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seres.adrienn\Desktop\NAGYMAROS\KÖLTSÉGVETÉS\Költségvetés 2025\Módosítás\"/>
    </mc:Choice>
  </mc:AlternateContent>
  <xr:revisionPtr revIDLastSave="0" documentId="13_ncr:1_{7FCD97D2-C1A9-43AE-8B72-762F4178B25D}" xr6:coauthVersionLast="47" xr6:coauthVersionMax="47" xr10:uidLastSave="{00000000-0000-0000-0000-000000000000}"/>
  <workbookProtection workbookAlgorithmName="SHA-512" workbookHashValue="eG3WCWkr3aPFmi9IffTMhjKPiVhOOuxMZjF6eru6Wo/Vi+APfkCJzfqZ7fIUP7OLtYCkw38/RQeFnKAXsKlcnw==" workbookSaltValue="Dly2Q6ClbEKqf8pcR8z+ng==" workbookSpinCount="100000" lockStructure="1"/>
  <bookViews>
    <workbookView xWindow="-120" yWindow="-120" windowWidth="25440" windowHeight="15390" tabRatio="853" activeTab="11" xr2:uid="{00000000-000D-0000-FFFF-FFFF00000000}"/>
  </bookViews>
  <sheets>
    <sheet name="Index" sheetId="158" r:id="rId1"/>
    <sheet name="PAR" sheetId="78" state="hidden" r:id="rId2"/>
    <sheet name="Info" sheetId="204" r:id="rId3"/>
    <sheet name="Tervezés" sheetId="207" r:id="rId4"/>
    <sheet name="Főkönyvi kivonat" sheetId="209" r:id="rId5"/>
    <sheet name="Részletező" sheetId="212" r:id="rId6"/>
    <sheet name="Cofog" sheetId="211" r:id="rId7"/>
    <sheet name="906MP" sheetId="203" r:id="rId8"/>
    <sheet name="Adat" sheetId="208" state="hidden" r:id="rId9"/>
    <sheet name="Előterjesztés" sheetId="198" r:id="rId10"/>
    <sheet name="Indokolás" sheetId="206" r:id="rId11"/>
    <sheet name="Rendelet" sheetId="199" r:id="rId12"/>
    <sheet name="01" sheetId="16" r:id="rId13"/>
    <sheet name="02" sheetId="17" r:id="rId14"/>
    <sheet name="03" sheetId="21" r:id="rId15"/>
    <sheet name="04" sheetId="22" r:id="rId16"/>
    <sheet name="05" sheetId="23" r:id="rId17"/>
    <sheet name="06" sheetId="24" r:id="rId18"/>
    <sheet name="07" sheetId="25" r:id="rId19"/>
    <sheet name="08" sheetId="26" r:id="rId20"/>
    <sheet name="09" sheetId="27" r:id="rId21"/>
    <sheet name="10" sheetId="28" r:id="rId22"/>
    <sheet name="11" sheetId="45" r:id="rId23"/>
    <sheet name="12" sheetId="29" r:id="rId24"/>
    <sheet name="13" sheetId="33" r:id="rId25"/>
    <sheet name="14" sheetId="213" r:id="rId26"/>
    <sheet name="15" sheetId="214" r:id="rId27"/>
    <sheet name="16" sheetId="215" r:id="rId28"/>
    <sheet name="T1" sheetId="46" r:id="rId29"/>
    <sheet name="T2" sheetId="47" r:id="rId30"/>
    <sheet name="T3" sheetId="48" r:id="rId31"/>
    <sheet name="T4" sheetId="49" r:id="rId32"/>
    <sheet name="T5" sheetId="50" r:id="rId33"/>
    <sheet name="T6" sheetId="157" r:id="rId34"/>
    <sheet name="T7" sheetId="51" r:id="rId35"/>
    <sheet name="T8" sheetId="52" r:id="rId36"/>
    <sheet name="T9" sheetId="205" r:id="rId37"/>
  </sheets>
  <definedNames>
    <definedName name="_xlnm._FilterDatabase" localSheetId="8" hidden="1">Adat!$A$1:$V$3000</definedName>
    <definedName name="_xlnm._FilterDatabase" localSheetId="32" hidden="1">'T5'!$B$9:$E$449</definedName>
    <definedName name="_xlnm._FilterDatabase" localSheetId="33" hidden="1">'T6'!$B$9:$E$449</definedName>
    <definedName name="_xlnm.Print_Area" localSheetId="12">'01'!$A$1:$N$49</definedName>
    <definedName name="_xlnm.Print_Area" localSheetId="13">'02'!$A$1:$J$145</definedName>
    <definedName name="_xlnm.Print_Area" localSheetId="14">'03'!$A$1:$I$21</definedName>
    <definedName name="_xlnm.Print_Area" localSheetId="15">'04'!$A$1:$I$19</definedName>
    <definedName name="_xlnm.Print_Area" localSheetId="16">'05'!$A$1:$H$16</definedName>
    <definedName name="_xlnm.Print_Area" localSheetId="17">'06'!$A$1:$I$25</definedName>
    <definedName name="_xlnm.Print_Area" localSheetId="18">'07'!$A$1:$E$16</definedName>
    <definedName name="_xlnm.Print_Area" localSheetId="19">'08'!$A$1:$I$31</definedName>
    <definedName name="_xlnm.Print_Area" localSheetId="20">'09'!$A$1:$I$22</definedName>
    <definedName name="_xlnm.Print_Area" localSheetId="21">'10'!$A$1:$H$37</definedName>
    <definedName name="_xlnm.Print_Area" localSheetId="22">'11'!$A$1:$I$31</definedName>
    <definedName name="_xlnm.Print_Area" localSheetId="23">'12'!$A$1:$J$144</definedName>
    <definedName name="_xlnm.Print_Area" localSheetId="24">'13'!$A$1:$J$64</definedName>
    <definedName name="_xlnm.Print_Area" localSheetId="25">'14'!$A$1:$J$64</definedName>
    <definedName name="_xlnm.Print_Area" localSheetId="26">'15'!$A$1:$J$64</definedName>
    <definedName name="_xlnm.Print_Area" localSheetId="27">'16'!$A$1:$J$64</definedName>
    <definedName name="_xlnm.Print_Area" localSheetId="6">Cofog!$A$1:$G$137</definedName>
    <definedName name="_xlnm.Print_Area" localSheetId="9">Előterjesztés!$A$1:$J$202</definedName>
    <definedName name="_xlnm.Print_Area" localSheetId="4">'Főkönyvi kivonat'!$A$1:$G$259</definedName>
    <definedName name="_xlnm.Print_Area" localSheetId="0">Index!$A$1:$J$51</definedName>
    <definedName name="_xlnm.Print_Area" localSheetId="10">Indokolás!$A$1:$C$45</definedName>
    <definedName name="_xlnm.Print_Area" localSheetId="2">Info!$A$1:$E$55</definedName>
    <definedName name="_xlnm.Print_Area" localSheetId="11">Rendelet!$A$1:$B$77</definedName>
    <definedName name="_xlnm.Print_Area" localSheetId="5">Részletező!$A$1:$G$74</definedName>
    <definedName name="_xlnm.Print_Area" localSheetId="28">'T1'!$A$1:$L$389</definedName>
    <definedName name="_xlnm.Print_Area" localSheetId="29">'T2'!$A$1:$L$73</definedName>
    <definedName name="_xlnm.Print_Area" localSheetId="30">'T3'!$A$1:$G$27</definedName>
    <definedName name="_xlnm.Print_Area" localSheetId="31">'T4'!$A$1:$R$51</definedName>
    <definedName name="_xlnm.Print_Area" localSheetId="32">'T5'!$A$1:$F$450</definedName>
    <definedName name="_xlnm.Print_Area" localSheetId="33">'T6'!$A$1:$F$450</definedName>
    <definedName name="_xlnm.Print_Area" localSheetId="34">'T7'!$A$1:$H$16</definedName>
    <definedName name="_xlnm.Print_Area" localSheetId="35">'T8'!$A$1:$H$43</definedName>
    <definedName name="_xlnm.Print_Area" localSheetId="36">'T9'!$A$1:$K$23</definedName>
    <definedName name="_xlnm.Print_Area" localSheetId="3">Tervezés!$A$1:$N$304</definedName>
  </definedNames>
  <calcPr calcId="191029"/>
  <pivotCaches>
    <pivotCache cacheId="0" r:id="rId38"/>
    <pivotCache cacheId="1" r:id="rId39"/>
    <pivotCache cacheId="2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1" i="199" l="1"/>
  <c r="B69" i="199"/>
  <c r="B70" i="199"/>
  <c r="B68" i="199"/>
  <c r="B5" i="205"/>
  <c r="B4" i="205"/>
  <c r="F23" i="205"/>
  <c r="G23" i="205"/>
  <c r="H23" i="205"/>
  <c r="I23" i="205"/>
  <c r="I8" i="205"/>
  <c r="H8" i="205"/>
  <c r="G8" i="205"/>
  <c r="I445" i="46"/>
  <c r="I439" i="46"/>
  <c r="I450" i="46" s="1"/>
  <c r="I384" i="46"/>
  <c r="I378" i="46"/>
  <c r="I389" i="46" s="1"/>
  <c r="I323" i="46"/>
  <c r="I317" i="46"/>
  <c r="I429" i="46"/>
  <c r="I422" i="46"/>
  <c r="I418" i="46"/>
  <c r="I413" i="46"/>
  <c r="I399" i="46"/>
  <c r="I368" i="46"/>
  <c r="I361" i="46"/>
  <c r="I357" i="46"/>
  <c r="I352" i="46"/>
  <c r="I338" i="46"/>
  <c r="I307" i="46"/>
  <c r="I300" i="46"/>
  <c r="I296" i="46"/>
  <c r="I291" i="46"/>
  <c r="I277" i="46"/>
  <c r="K438" i="46"/>
  <c r="I438" i="46"/>
  <c r="H438" i="46"/>
  <c r="K398" i="46"/>
  <c r="I398" i="46"/>
  <c r="H398" i="46"/>
  <c r="K377" i="46"/>
  <c r="I377" i="46"/>
  <c r="H377" i="46"/>
  <c r="K337" i="46"/>
  <c r="I337" i="46"/>
  <c r="H337" i="46"/>
  <c r="K316" i="46"/>
  <c r="I316" i="46"/>
  <c r="H316" i="46"/>
  <c r="K276" i="46"/>
  <c r="I276" i="46"/>
  <c r="H276" i="46"/>
  <c r="B67" i="199"/>
  <c r="B66" i="199"/>
  <c r="B64" i="199"/>
  <c r="B62" i="199"/>
  <c r="B60" i="199"/>
  <c r="B58" i="199"/>
  <c r="B56" i="199"/>
  <c r="B50" i="199"/>
  <c r="B48" i="199"/>
  <c r="B30" i="199"/>
  <c r="B28" i="199"/>
  <c r="B18" i="199"/>
  <c r="B16" i="199"/>
  <c r="B11" i="199"/>
  <c r="B8" i="199"/>
  <c r="I328" i="46" l="1"/>
  <c r="I428" i="46"/>
  <c r="I367" i="46"/>
  <c r="I306" i="46"/>
  <c r="I433" i="46" l="1"/>
  <c r="I372" i="46"/>
  <c r="I311" i="46"/>
  <c r="B34" i="158" l="1"/>
  <c r="B35" i="158"/>
  <c r="B2" i="215"/>
  <c r="B2" i="214"/>
  <c r="F681" i="215"/>
  <c r="F679" i="215"/>
  <c r="F670" i="215"/>
  <c r="E670" i="215"/>
  <c r="B667" i="215"/>
  <c r="F630" i="215"/>
  <c r="E630" i="215"/>
  <c r="B627" i="215"/>
  <c r="F619" i="215"/>
  <c r="F617" i="215"/>
  <c r="F608" i="215"/>
  <c r="E608" i="215"/>
  <c r="B605" i="215"/>
  <c r="F568" i="215"/>
  <c r="E568" i="215"/>
  <c r="B565" i="215"/>
  <c r="F557" i="215"/>
  <c r="F555" i="215"/>
  <c r="F546" i="215"/>
  <c r="E546" i="215"/>
  <c r="B543" i="215"/>
  <c r="F506" i="215"/>
  <c r="E506" i="215"/>
  <c r="B503" i="215"/>
  <c r="F495" i="215"/>
  <c r="F493" i="215"/>
  <c r="F484" i="215"/>
  <c r="E484" i="215"/>
  <c r="B481" i="215"/>
  <c r="F444" i="215"/>
  <c r="E444" i="215"/>
  <c r="B441" i="215"/>
  <c r="F433" i="215"/>
  <c r="F431" i="215"/>
  <c r="F422" i="215"/>
  <c r="E422" i="215"/>
  <c r="B419" i="215"/>
  <c r="F382" i="215"/>
  <c r="E382" i="215"/>
  <c r="B379" i="215"/>
  <c r="F371" i="215"/>
  <c r="F369" i="215"/>
  <c r="F360" i="215"/>
  <c r="E360" i="215"/>
  <c r="B357" i="215"/>
  <c r="F320" i="215"/>
  <c r="E320" i="215"/>
  <c r="B317" i="215"/>
  <c r="F309" i="215"/>
  <c r="F307" i="215"/>
  <c r="F298" i="215"/>
  <c r="E298" i="215"/>
  <c r="B295" i="215"/>
  <c r="F258" i="215"/>
  <c r="E258" i="215"/>
  <c r="B255" i="215"/>
  <c r="F247" i="215"/>
  <c r="F245" i="215"/>
  <c r="F236" i="215"/>
  <c r="E236" i="215"/>
  <c r="B233" i="215"/>
  <c r="F196" i="215"/>
  <c r="E196" i="215"/>
  <c r="B193" i="215"/>
  <c r="F185" i="215"/>
  <c r="F183" i="215"/>
  <c r="F174" i="215"/>
  <c r="E174" i="215"/>
  <c r="B171" i="215"/>
  <c r="F134" i="215"/>
  <c r="E134" i="215"/>
  <c r="B131" i="215"/>
  <c r="F123" i="215"/>
  <c r="F121" i="215"/>
  <c r="F112" i="215"/>
  <c r="E112" i="215"/>
  <c r="B109" i="215"/>
  <c r="F72" i="215"/>
  <c r="E72" i="215"/>
  <c r="B69" i="215"/>
  <c r="F50" i="215"/>
  <c r="E50" i="215"/>
  <c r="F10" i="215"/>
  <c r="E10" i="215"/>
  <c r="M4" i="215"/>
  <c r="F681" i="214"/>
  <c r="F679" i="214"/>
  <c r="F670" i="214"/>
  <c r="E670" i="214"/>
  <c r="B667" i="214"/>
  <c r="F630" i="214"/>
  <c r="E630" i="214"/>
  <c r="B627" i="214"/>
  <c r="F619" i="214"/>
  <c r="F617" i="214"/>
  <c r="F608" i="214"/>
  <c r="E608" i="214"/>
  <c r="B605" i="214"/>
  <c r="F568" i="214"/>
  <c r="E568" i="214"/>
  <c r="B565" i="214"/>
  <c r="F557" i="214"/>
  <c r="F555" i="214"/>
  <c r="F546" i="214"/>
  <c r="E546" i="214"/>
  <c r="B543" i="214"/>
  <c r="F506" i="214"/>
  <c r="E506" i="214"/>
  <c r="B503" i="214"/>
  <c r="F495" i="214"/>
  <c r="F493" i="214"/>
  <c r="F484" i="214"/>
  <c r="E484" i="214"/>
  <c r="B481" i="214"/>
  <c r="F444" i="214"/>
  <c r="E444" i="214"/>
  <c r="B441" i="214"/>
  <c r="F433" i="214"/>
  <c r="F431" i="214"/>
  <c r="F422" i="214"/>
  <c r="E422" i="214"/>
  <c r="B419" i="214"/>
  <c r="F382" i="214"/>
  <c r="E382" i="214"/>
  <c r="B379" i="214"/>
  <c r="F371" i="214"/>
  <c r="F369" i="214"/>
  <c r="F360" i="214"/>
  <c r="E360" i="214"/>
  <c r="B357" i="214"/>
  <c r="F320" i="214"/>
  <c r="E320" i="214"/>
  <c r="B317" i="214"/>
  <c r="F309" i="214"/>
  <c r="F307" i="214"/>
  <c r="F298" i="214"/>
  <c r="E298" i="214"/>
  <c r="B295" i="214"/>
  <c r="F258" i="214"/>
  <c r="E258" i="214"/>
  <c r="B255" i="214"/>
  <c r="F247" i="214"/>
  <c r="F245" i="214"/>
  <c r="F236" i="214"/>
  <c r="E236" i="214"/>
  <c r="B233" i="214"/>
  <c r="F196" i="214"/>
  <c r="E196" i="214"/>
  <c r="B193" i="214"/>
  <c r="F185" i="214"/>
  <c r="F183" i="214"/>
  <c r="F174" i="214"/>
  <c r="E174" i="214"/>
  <c r="B171" i="214"/>
  <c r="F134" i="214"/>
  <c r="E134" i="214"/>
  <c r="B131" i="214"/>
  <c r="F123" i="214"/>
  <c r="F121" i="214"/>
  <c r="F112" i="214"/>
  <c r="E112" i="214"/>
  <c r="B109" i="214"/>
  <c r="F72" i="214"/>
  <c r="E72" i="214"/>
  <c r="B69" i="214"/>
  <c r="F50" i="214"/>
  <c r="E50" i="214"/>
  <c r="F10" i="214"/>
  <c r="E10" i="214"/>
  <c r="M4" i="214"/>
  <c r="D34" i="158"/>
  <c r="D35" i="158"/>
  <c r="B2" i="213"/>
  <c r="J10" i="205"/>
  <c r="J11" i="205"/>
  <c r="J12" i="205"/>
  <c r="J13" i="205"/>
  <c r="J14" i="205"/>
  <c r="J15" i="205"/>
  <c r="J16" i="205"/>
  <c r="J17" i="205"/>
  <c r="J18" i="205"/>
  <c r="J19" i="205"/>
  <c r="J20" i="205"/>
  <c r="J21" i="205"/>
  <c r="J23" i="205" s="1"/>
  <c r="J22" i="205"/>
  <c r="J9" i="205"/>
  <c r="E23" i="205"/>
  <c r="F8" i="205"/>
  <c r="E8" i="205"/>
  <c r="I262" i="46"/>
  <c r="I256" i="46"/>
  <c r="I201" i="46"/>
  <c r="I195" i="46"/>
  <c r="I246" i="46"/>
  <c r="I239" i="46"/>
  <c r="I235" i="46"/>
  <c r="I230" i="46"/>
  <c r="I216" i="46"/>
  <c r="I185" i="46"/>
  <c r="I178" i="46"/>
  <c r="I174" i="46"/>
  <c r="I169" i="46"/>
  <c r="I155" i="46"/>
  <c r="I136" i="46"/>
  <c r="I130" i="46"/>
  <c r="I123" i="46"/>
  <c r="I119" i="46"/>
  <c r="I112" i="46"/>
  <c r="I103" i="46"/>
  <c r="I88" i="46"/>
  <c r="I84" i="46"/>
  <c r="I81" i="46"/>
  <c r="I76" i="46"/>
  <c r="I72" i="46"/>
  <c r="I65" i="46"/>
  <c r="I59" i="46"/>
  <c r="I53" i="46"/>
  <c r="I39" i="46"/>
  <c r="I32" i="46"/>
  <c r="I26" i="46"/>
  <c r="I20" i="46"/>
  <c r="I12" i="46"/>
  <c r="I184" i="46" l="1"/>
  <c r="I189" i="46" s="1"/>
  <c r="I118" i="46"/>
  <c r="I267" i="46"/>
  <c r="I245" i="46"/>
  <c r="I250" i="46" s="1"/>
  <c r="I206" i="46"/>
  <c r="I144" i="46"/>
  <c r="I96" i="46"/>
  <c r="I71" i="46"/>
  <c r="I145" i="46" l="1"/>
  <c r="I97" i="46"/>
  <c r="K255" i="46" l="1"/>
  <c r="I255" i="46"/>
  <c r="H255" i="46"/>
  <c r="K215" i="46"/>
  <c r="I215" i="46"/>
  <c r="H215" i="46"/>
  <c r="K194" i="46"/>
  <c r="I194" i="46"/>
  <c r="H194" i="46"/>
  <c r="K154" i="46"/>
  <c r="I154" i="46"/>
  <c r="H154" i="46"/>
  <c r="K102" i="46"/>
  <c r="I102" i="46"/>
  <c r="H102" i="46"/>
  <c r="K11" i="46"/>
  <c r="I11" i="46"/>
  <c r="H11" i="46"/>
  <c r="B2" i="205" l="1"/>
  <c r="B33" i="158"/>
  <c r="D32" i="158"/>
  <c r="D33" i="158"/>
  <c r="F681" i="213"/>
  <c r="F679" i="213"/>
  <c r="F670" i="213"/>
  <c r="E670" i="213"/>
  <c r="B667" i="213"/>
  <c r="F630" i="213"/>
  <c r="E630" i="213"/>
  <c r="B627" i="213"/>
  <c r="F619" i="213"/>
  <c r="F617" i="213"/>
  <c r="F608" i="213"/>
  <c r="E608" i="213"/>
  <c r="B605" i="213"/>
  <c r="F568" i="213"/>
  <c r="E568" i="213"/>
  <c r="B565" i="213"/>
  <c r="F557" i="213"/>
  <c r="F555" i="213"/>
  <c r="F546" i="213"/>
  <c r="E546" i="213"/>
  <c r="B543" i="213"/>
  <c r="F506" i="213"/>
  <c r="E506" i="213"/>
  <c r="B503" i="213"/>
  <c r="F495" i="213"/>
  <c r="F493" i="213"/>
  <c r="F484" i="213"/>
  <c r="E484" i="213"/>
  <c r="B481" i="213"/>
  <c r="F444" i="213"/>
  <c r="E444" i="213"/>
  <c r="B441" i="213"/>
  <c r="F433" i="213"/>
  <c r="F431" i="213"/>
  <c r="F422" i="213"/>
  <c r="E422" i="213"/>
  <c r="B419" i="213"/>
  <c r="F382" i="213"/>
  <c r="E382" i="213"/>
  <c r="B379" i="213"/>
  <c r="F371" i="213"/>
  <c r="F369" i="213"/>
  <c r="F360" i="213"/>
  <c r="E360" i="213"/>
  <c r="B357" i="213"/>
  <c r="F320" i="213"/>
  <c r="E320" i="213"/>
  <c r="B317" i="213"/>
  <c r="F309" i="213"/>
  <c r="F307" i="213"/>
  <c r="F298" i="213"/>
  <c r="E298" i="213"/>
  <c r="B295" i="213"/>
  <c r="F258" i="213"/>
  <c r="E258" i="213"/>
  <c r="B255" i="213"/>
  <c r="F247" i="213"/>
  <c r="F245" i="213"/>
  <c r="F236" i="213"/>
  <c r="E236" i="213"/>
  <c r="B233" i="213"/>
  <c r="F196" i="213"/>
  <c r="E196" i="213"/>
  <c r="B193" i="213"/>
  <c r="F185" i="213"/>
  <c r="F183" i="213"/>
  <c r="F174" i="213"/>
  <c r="E174" i="213"/>
  <c r="B171" i="213"/>
  <c r="F134" i="213"/>
  <c r="E134" i="213"/>
  <c r="B131" i="213"/>
  <c r="F123" i="213"/>
  <c r="F121" i="213"/>
  <c r="F112" i="213"/>
  <c r="E112" i="213"/>
  <c r="B109" i="213"/>
  <c r="F72" i="213"/>
  <c r="E72" i="213"/>
  <c r="B69" i="213"/>
  <c r="F50" i="213"/>
  <c r="E50" i="213"/>
  <c r="F10" i="213"/>
  <c r="E10" i="213"/>
  <c r="M4" i="213"/>
  <c r="G35" i="52"/>
  <c r="G39" i="52" s="1"/>
  <c r="G42" i="52" s="1"/>
  <c r="F35" i="52"/>
  <c r="F39" i="52" s="1"/>
  <c r="F42" i="52" s="1"/>
  <c r="E35" i="52"/>
  <c r="E39" i="52" s="1"/>
  <c r="E42" i="52" s="1"/>
  <c r="G15" i="52"/>
  <c r="G26" i="52" s="1"/>
  <c r="G28" i="52" s="1"/>
  <c r="F15" i="52"/>
  <c r="F26" i="52" s="1"/>
  <c r="F28" i="52" s="1"/>
  <c r="E15" i="52"/>
  <c r="E26" i="52" s="1"/>
  <c r="E28" i="52" s="1"/>
  <c r="H29" i="26"/>
  <c r="H21" i="26"/>
  <c r="H22" i="26"/>
  <c r="H23" i="26"/>
  <c r="H24" i="26"/>
  <c r="H25" i="26"/>
  <c r="H26" i="26"/>
  <c r="H27" i="26"/>
  <c r="H28" i="26"/>
  <c r="G30" i="26"/>
  <c r="F41" i="28"/>
  <c r="E24" i="28"/>
  <c r="B2" i="52"/>
  <c r="B2" i="51"/>
  <c r="B2" i="157"/>
  <c r="B2" i="50"/>
  <c r="B2" i="49"/>
  <c r="B2" i="48"/>
  <c r="B2" i="47"/>
  <c r="B2" i="46"/>
  <c r="B2" i="33"/>
  <c r="B2" i="29"/>
  <c r="B2" i="45"/>
  <c r="B2" i="28"/>
  <c r="B2" i="27"/>
  <c r="B2" i="26"/>
  <c r="B2" i="25"/>
  <c r="B2" i="24"/>
  <c r="B2" i="23"/>
  <c r="B2" i="22"/>
  <c r="B2" i="21"/>
  <c r="B2" i="17"/>
  <c r="B2" i="16"/>
  <c r="F34" i="16"/>
  <c r="F33" i="16"/>
  <c r="F30" i="16"/>
  <c r="F27" i="16"/>
  <c r="F26" i="16"/>
  <c r="F25" i="16"/>
  <c r="A303" i="208"/>
  <c r="A304" i="208"/>
  <c r="A305" i="208"/>
  <c r="A306" i="208"/>
  <c r="A307" i="208"/>
  <c r="A308" i="208"/>
  <c r="A309" i="208"/>
  <c r="A310" i="208"/>
  <c r="A311" i="208"/>
  <c r="A312" i="208"/>
  <c r="A313" i="208"/>
  <c r="A314" i="208"/>
  <c r="A315" i="208"/>
  <c r="A316" i="208"/>
  <c r="A317" i="208"/>
  <c r="A318" i="208"/>
  <c r="A319" i="208"/>
  <c r="A320" i="208"/>
  <c r="A321" i="208"/>
  <c r="A322" i="208"/>
  <c r="A323" i="208"/>
  <c r="A324" i="208"/>
  <c r="A325" i="208"/>
  <c r="A326" i="208"/>
  <c r="A327" i="208"/>
  <c r="A328" i="208"/>
  <c r="A329" i="208"/>
  <c r="A330" i="208"/>
  <c r="A331" i="208"/>
  <c r="A332" i="208"/>
  <c r="A333" i="208"/>
  <c r="A334" i="208"/>
  <c r="A335" i="208"/>
  <c r="A336" i="208"/>
  <c r="A337" i="208"/>
  <c r="A338" i="208"/>
  <c r="A339" i="208"/>
  <c r="A340" i="208"/>
  <c r="A341" i="208"/>
  <c r="A342" i="208"/>
  <c r="A343" i="208"/>
  <c r="A344" i="208"/>
  <c r="A345" i="208"/>
  <c r="A346" i="208"/>
  <c r="A347" i="208"/>
  <c r="A348" i="208"/>
  <c r="A349" i="208"/>
  <c r="A350" i="208"/>
  <c r="A351" i="208"/>
  <c r="A352" i="208"/>
  <c r="A353" i="208"/>
  <c r="A354" i="208"/>
  <c r="A355" i="208"/>
  <c r="A356" i="208"/>
  <c r="A357" i="208"/>
  <c r="A358" i="208"/>
  <c r="A359" i="208"/>
  <c r="A360" i="208"/>
  <c r="A361" i="208"/>
  <c r="A362" i="208"/>
  <c r="A363" i="208"/>
  <c r="A364" i="208"/>
  <c r="A365" i="208"/>
  <c r="A366" i="208"/>
  <c r="A367" i="208"/>
  <c r="A368" i="208"/>
  <c r="A369" i="208"/>
  <c r="A370" i="208"/>
  <c r="A371" i="208"/>
  <c r="A372" i="208"/>
  <c r="A373" i="208"/>
  <c r="A374" i="208"/>
  <c r="A375" i="208"/>
  <c r="A376" i="208"/>
  <c r="A377" i="208"/>
  <c r="A378" i="208"/>
  <c r="A379" i="208"/>
  <c r="A380" i="208"/>
  <c r="A381" i="208"/>
  <c r="A382" i="208"/>
  <c r="A383" i="208"/>
  <c r="A384" i="208"/>
  <c r="A385" i="208"/>
  <c r="A386" i="208"/>
  <c r="A387" i="208"/>
  <c r="A388" i="208"/>
  <c r="A389" i="208"/>
  <c r="A390" i="208"/>
  <c r="A391" i="208"/>
  <c r="A392" i="208"/>
  <c r="A393" i="208"/>
  <c r="A394" i="208"/>
  <c r="A395" i="208"/>
  <c r="A396" i="208"/>
  <c r="A397" i="208"/>
  <c r="A398" i="208"/>
  <c r="A399" i="208"/>
  <c r="A400" i="208"/>
  <c r="A401" i="208"/>
  <c r="A402" i="208"/>
  <c r="A403" i="208"/>
  <c r="A404" i="208"/>
  <c r="A405" i="208"/>
  <c r="A406" i="208"/>
  <c r="A407" i="208"/>
  <c r="A408" i="208"/>
  <c r="A409" i="208"/>
  <c r="A410" i="208"/>
  <c r="A411" i="208"/>
  <c r="A412" i="208"/>
  <c r="A413" i="208"/>
  <c r="A414" i="208"/>
  <c r="A415" i="208"/>
  <c r="A416" i="208"/>
  <c r="A417" i="208"/>
  <c r="A418" i="208"/>
  <c r="A419" i="208"/>
  <c r="A420" i="208"/>
  <c r="A421" i="208"/>
  <c r="A422" i="208"/>
  <c r="A423" i="208"/>
  <c r="A424" i="208"/>
  <c r="A425" i="208"/>
  <c r="A426" i="208"/>
  <c r="A427" i="208"/>
  <c r="A428" i="208"/>
  <c r="A429" i="208"/>
  <c r="A430" i="208"/>
  <c r="A431" i="208"/>
  <c r="A432" i="208"/>
  <c r="A433" i="208"/>
  <c r="A434" i="208"/>
  <c r="A435" i="208"/>
  <c r="A436" i="208"/>
  <c r="A437" i="208"/>
  <c r="A438" i="208"/>
  <c r="A439" i="208"/>
  <c r="A440" i="208"/>
  <c r="A441" i="208"/>
  <c r="A442" i="208"/>
  <c r="A443" i="208"/>
  <c r="A444" i="208"/>
  <c r="A445" i="208"/>
  <c r="A446" i="208"/>
  <c r="A447" i="208"/>
  <c r="A448" i="208"/>
  <c r="A449" i="208"/>
  <c r="A450" i="208"/>
  <c r="A451" i="208"/>
  <c r="A452" i="208"/>
  <c r="A453" i="208"/>
  <c r="A454" i="208"/>
  <c r="A455" i="208"/>
  <c r="A456" i="208"/>
  <c r="A457" i="208"/>
  <c r="A458" i="208"/>
  <c r="A459" i="208"/>
  <c r="A460" i="208"/>
  <c r="A461" i="208"/>
  <c r="A462" i="208"/>
  <c r="A463" i="208"/>
  <c r="A464" i="208"/>
  <c r="A465" i="208"/>
  <c r="A466" i="208"/>
  <c r="A467" i="208"/>
  <c r="A468" i="208"/>
  <c r="A469" i="208"/>
  <c r="A470" i="208"/>
  <c r="A471" i="208"/>
  <c r="A472" i="208"/>
  <c r="A473" i="208"/>
  <c r="A474" i="208"/>
  <c r="A475" i="208"/>
  <c r="A476" i="208"/>
  <c r="A477" i="208"/>
  <c r="A478" i="208"/>
  <c r="A479" i="208"/>
  <c r="A480" i="208"/>
  <c r="A481" i="208"/>
  <c r="A482" i="208"/>
  <c r="A483" i="208"/>
  <c r="A484" i="208"/>
  <c r="A485" i="208"/>
  <c r="A486" i="208"/>
  <c r="A487" i="208"/>
  <c r="A488" i="208"/>
  <c r="A489" i="208"/>
  <c r="A490" i="208"/>
  <c r="A491" i="208"/>
  <c r="A492" i="208"/>
  <c r="A493" i="208"/>
  <c r="A494" i="208"/>
  <c r="A495" i="208"/>
  <c r="A496" i="208"/>
  <c r="A497" i="208"/>
  <c r="A498" i="208"/>
  <c r="A499" i="208"/>
  <c r="A500" i="208"/>
  <c r="A501" i="208"/>
  <c r="A502" i="208"/>
  <c r="A503" i="208"/>
  <c r="A504" i="208"/>
  <c r="A505" i="208"/>
  <c r="A506" i="208"/>
  <c r="A507" i="208"/>
  <c r="A508" i="208"/>
  <c r="A509" i="208"/>
  <c r="A510" i="208"/>
  <c r="A511" i="208"/>
  <c r="A512" i="208"/>
  <c r="A513" i="208"/>
  <c r="A514" i="208"/>
  <c r="A515" i="208"/>
  <c r="A516" i="208"/>
  <c r="A517" i="208"/>
  <c r="A518" i="208"/>
  <c r="A519" i="208"/>
  <c r="A520" i="208"/>
  <c r="A521" i="208"/>
  <c r="A522" i="208"/>
  <c r="A523" i="208"/>
  <c r="A524" i="208"/>
  <c r="A525" i="208"/>
  <c r="A526" i="208"/>
  <c r="A527" i="208"/>
  <c r="A528" i="208"/>
  <c r="A529" i="208"/>
  <c r="A530" i="208"/>
  <c r="A531" i="208"/>
  <c r="A532" i="208"/>
  <c r="A533" i="208"/>
  <c r="A534" i="208"/>
  <c r="A535" i="208"/>
  <c r="A536" i="208"/>
  <c r="A537" i="208"/>
  <c r="A538" i="208"/>
  <c r="A539" i="208"/>
  <c r="A540" i="208"/>
  <c r="A541" i="208"/>
  <c r="A542" i="208"/>
  <c r="A543" i="208"/>
  <c r="A544" i="208"/>
  <c r="A545" i="208"/>
  <c r="A546" i="208"/>
  <c r="A547" i="208"/>
  <c r="A548" i="208"/>
  <c r="A549" i="208"/>
  <c r="A550" i="208"/>
  <c r="A551" i="208"/>
  <c r="A552" i="208"/>
  <c r="A553" i="208"/>
  <c r="A554" i="208"/>
  <c r="A555" i="208"/>
  <c r="A556" i="208"/>
  <c r="A557" i="208"/>
  <c r="A558" i="208"/>
  <c r="A559" i="208"/>
  <c r="A560" i="208"/>
  <c r="A561" i="208"/>
  <c r="A562" i="208"/>
  <c r="A563" i="208"/>
  <c r="A564" i="208"/>
  <c r="A565" i="208"/>
  <c r="A566" i="208"/>
  <c r="A567" i="208"/>
  <c r="A568" i="208"/>
  <c r="A569" i="208"/>
  <c r="A570" i="208"/>
  <c r="A571" i="208"/>
  <c r="A572" i="208"/>
  <c r="A573" i="208"/>
  <c r="A574" i="208"/>
  <c r="A575" i="208"/>
  <c r="A576" i="208"/>
  <c r="A577" i="208"/>
  <c r="A578" i="208"/>
  <c r="A579" i="208"/>
  <c r="A580" i="208"/>
  <c r="A581" i="208"/>
  <c r="A582" i="208"/>
  <c r="A583" i="208"/>
  <c r="A584" i="208"/>
  <c r="A585" i="208"/>
  <c r="A586" i="208"/>
  <c r="A587" i="208"/>
  <c r="A588" i="208"/>
  <c r="A589" i="208"/>
  <c r="A590" i="208"/>
  <c r="A591" i="208"/>
  <c r="A592" i="208"/>
  <c r="A593" i="208"/>
  <c r="A594" i="208"/>
  <c r="A595" i="208"/>
  <c r="A596" i="208"/>
  <c r="A597" i="208"/>
  <c r="A598" i="208"/>
  <c r="A599" i="208"/>
  <c r="A600" i="208"/>
  <c r="A601" i="208"/>
  <c r="A602" i="208"/>
  <c r="A603" i="208"/>
  <c r="A604" i="208"/>
  <c r="A605" i="208"/>
  <c r="A606" i="208"/>
  <c r="A607" i="208"/>
  <c r="A608" i="208"/>
  <c r="A609" i="208"/>
  <c r="A610" i="208"/>
  <c r="A611" i="208"/>
  <c r="A612" i="208"/>
  <c r="A613" i="208"/>
  <c r="A614" i="208"/>
  <c r="A615" i="208"/>
  <c r="A616" i="208"/>
  <c r="A617" i="208"/>
  <c r="A618" i="208"/>
  <c r="A619" i="208"/>
  <c r="A620" i="208"/>
  <c r="A621" i="208"/>
  <c r="A622" i="208"/>
  <c r="A623" i="208"/>
  <c r="A624" i="208"/>
  <c r="A625" i="208"/>
  <c r="A626" i="208"/>
  <c r="A627" i="208"/>
  <c r="A628" i="208"/>
  <c r="A629" i="208"/>
  <c r="A630" i="208"/>
  <c r="A631" i="208"/>
  <c r="A632" i="208"/>
  <c r="A633" i="208"/>
  <c r="A634" i="208"/>
  <c r="A635" i="208"/>
  <c r="A636" i="208"/>
  <c r="A637" i="208"/>
  <c r="A638" i="208"/>
  <c r="A639" i="208"/>
  <c r="A640" i="208"/>
  <c r="A641" i="208"/>
  <c r="A642" i="208"/>
  <c r="A643" i="208"/>
  <c r="A644" i="208"/>
  <c r="A645" i="208"/>
  <c r="A646" i="208"/>
  <c r="A647" i="208"/>
  <c r="A648" i="208"/>
  <c r="A649" i="208"/>
  <c r="A650" i="208"/>
  <c r="A651" i="208"/>
  <c r="A652" i="208"/>
  <c r="A653" i="208"/>
  <c r="A654" i="208"/>
  <c r="A655" i="208"/>
  <c r="A656" i="208"/>
  <c r="A657" i="208"/>
  <c r="A658" i="208"/>
  <c r="A659" i="208"/>
  <c r="A660" i="208"/>
  <c r="A661" i="208"/>
  <c r="A662" i="208"/>
  <c r="A663" i="208"/>
  <c r="A664" i="208"/>
  <c r="A665" i="208"/>
  <c r="A666" i="208"/>
  <c r="A667" i="208"/>
  <c r="A668" i="208"/>
  <c r="A669" i="208"/>
  <c r="A670" i="208"/>
  <c r="A671" i="208"/>
  <c r="A672" i="208"/>
  <c r="A673" i="208"/>
  <c r="A674" i="208"/>
  <c r="A675" i="208"/>
  <c r="A676" i="208"/>
  <c r="A677" i="208"/>
  <c r="A678" i="208"/>
  <c r="A679" i="208"/>
  <c r="A680" i="208"/>
  <c r="A681" i="208"/>
  <c r="A682" i="208"/>
  <c r="A683" i="208"/>
  <c r="A684" i="208"/>
  <c r="A685" i="208"/>
  <c r="A686" i="208"/>
  <c r="A687" i="208"/>
  <c r="A688" i="208"/>
  <c r="A689" i="208"/>
  <c r="A690" i="208"/>
  <c r="A691" i="208"/>
  <c r="A692" i="208"/>
  <c r="A693" i="208"/>
  <c r="A694" i="208"/>
  <c r="A695" i="208"/>
  <c r="A696" i="208"/>
  <c r="A697" i="208"/>
  <c r="A698" i="208"/>
  <c r="A699" i="208"/>
  <c r="A700" i="208"/>
  <c r="A701" i="208"/>
  <c r="A702" i="208"/>
  <c r="A703" i="208"/>
  <c r="A704" i="208"/>
  <c r="A705" i="208"/>
  <c r="A706" i="208"/>
  <c r="A707" i="208"/>
  <c r="A708" i="208"/>
  <c r="A709" i="208"/>
  <c r="A710" i="208"/>
  <c r="A711" i="208"/>
  <c r="A712" i="208"/>
  <c r="A713" i="208"/>
  <c r="A714" i="208"/>
  <c r="A715" i="208"/>
  <c r="A716" i="208"/>
  <c r="A717" i="208"/>
  <c r="A718" i="208"/>
  <c r="A719" i="208"/>
  <c r="A720" i="208"/>
  <c r="A721" i="208"/>
  <c r="A722" i="208"/>
  <c r="A723" i="208"/>
  <c r="A724" i="208"/>
  <c r="A725" i="208"/>
  <c r="A726" i="208"/>
  <c r="A727" i="208"/>
  <c r="A728" i="208"/>
  <c r="A729" i="208"/>
  <c r="A730" i="208"/>
  <c r="A731" i="208"/>
  <c r="A732" i="208"/>
  <c r="A733" i="208"/>
  <c r="A734" i="208"/>
  <c r="A735" i="208"/>
  <c r="A736" i="208"/>
  <c r="A737" i="208"/>
  <c r="A738" i="208"/>
  <c r="A739" i="208"/>
  <c r="A740" i="208"/>
  <c r="A741" i="208"/>
  <c r="A742" i="208"/>
  <c r="A743" i="208"/>
  <c r="A744" i="208"/>
  <c r="A745" i="208"/>
  <c r="A746" i="208"/>
  <c r="A747" i="208"/>
  <c r="A748" i="208"/>
  <c r="A749" i="208"/>
  <c r="A750" i="208"/>
  <c r="A751" i="208"/>
  <c r="A752" i="208"/>
  <c r="A753" i="208"/>
  <c r="A754" i="208"/>
  <c r="A755" i="208"/>
  <c r="A756" i="208"/>
  <c r="A757" i="208"/>
  <c r="A758" i="208"/>
  <c r="A759" i="208"/>
  <c r="A760" i="208"/>
  <c r="A761" i="208"/>
  <c r="A762" i="208"/>
  <c r="A763" i="208"/>
  <c r="A764" i="208"/>
  <c r="A765" i="208"/>
  <c r="A766" i="208"/>
  <c r="A767" i="208"/>
  <c r="A768" i="208"/>
  <c r="A769" i="208"/>
  <c r="A770" i="208"/>
  <c r="A771" i="208"/>
  <c r="A772" i="208"/>
  <c r="A773" i="208"/>
  <c r="A774" i="208"/>
  <c r="A775" i="208"/>
  <c r="A776" i="208"/>
  <c r="A777" i="208"/>
  <c r="A778" i="208"/>
  <c r="A779" i="208"/>
  <c r="A780" i="208"/>
  <c r="A781" i="208"/>
  <c r="A782" i="208"/>
  <c r="A783" i="208"/>
  <c r="A784" i="208"/>
  <c r="A785" i="208"/>
  <c r="A786" i="208"/>
  <c r="A787" i="208"/>
  <c r="A788" i="208"/>
  <c r="A789" i="208"/>
  <c r="A790" i="208"/>
  <c r="A791" i="208"/>
  <c r="A792" i="208"/>
  <c r="A793" i="208"/>
  <c r="A794" i="208"/>
  <c r="A795" i="208"/>
  <c r="A796" i="208"/>
  <c r="A797" i="208"/>
  <c r="A798" i="208"/>
  <c r="A799" i="208"/>
  <c r="A800" i="208"/>
  <c r="A801" i="208"/>
  <c r="A802" i="208"/>
  <c r="A803" i="208"/>
  <c r="A804" i="208"/>
  <c r="A805" i="208"/>
  <c r="A806" i="208"/>
  <c r="A807" i="208"/>
  <c r="A808" i="208"/>
  <c r="A809" i="208"/>
  <c r="A810" i="208"/>
  <c r="A811" i="208"/>
  <c r="A812" i="208"/>
  <c r="A813" i="208"/>
  <c r="A814" i="208"/>
  <c r="A815" i="208"/>
  <c r="A816" i="208"/>
  <c r="A817" i="208"/>
  <c r="A818" i="208"/>
  <c r="A819" i="208"/>
  <c r="A820" i="208"/>
  <c r="A821" i="208"/>
  <c r="A822" i="208"/>
  <c r="A823" i="208"/>
  <c r="A824" i="208"/>
  <c r="A825" i="208"/>
  <c r="A826" i="208"/>
  <c r="A827" i="208"/>
  <c r="A828" i="208"/>
  <c r="A829" i="208"/>
  <c r="A830" i="208"/>
  <c r="A831" i="208"/>
  <c r="A832" i="208"/>
  <c r="A833" i="208"/>
  <c r="A834" i="208"/>
  <c r="A835" i="208"/>
  <c r="A836" i="208"/>
  <c r="A837" i="208"/>
  <c r="A838" i="208"/>
  <c r="A839" i="208"/>
  <c r="A840" i="208"/>
  <c r="A841" i="208"/>
  <c r="A842" i="208"/>
  <c r="A843" i="208"/>
  <c r="A844" i="208"/>
  <c r="A845" i="208"/>
  <c r="A846" i="208"/>
  <c r="A847" i="208"/>
  <c r="A848" i="208"/>
  <c r="A849" i="208"/>
  <c r="A850" i="208"/>
  <c r="A851" i="208"/>
  <c r="A852" i="208"/>
  <c r="A853" i="208"/>
  <c r="A854" i="208"/>
  <c r="A855" i="208"/>
  <c r="A856" i="208"/>
  <c r="A857" i="208"/>
  <c r="A858" i="208"/>
  <c r="A859" i="208"/>
  <c r="A860" i="208"/>
  <c r="A861" i="208"/>
  <c r="A862" i="208"/>
  <c r="A863" i="208"/>
  <c r="A864" i="208"/>
  <c r="A865" i="208"/>
  <c r="A866" i="208"/>
  <c r="A867" i="208"/>
  <c r="A868" i="208"/>
  <c r="A869" i="208"/>
  <c r="A870" i="208"/>
  <c r="A871" i="208"/>
  <c r="A872" i="208"/>
  <c r="A873" i="208"/>
  <c r="A874" i="208"/>
  <c r="A875" i="208"/>
  <c r="A876" i="208"/>
  <c r="A877" i="208"/>
  <c r="A878" i="208"/>
  <c r="A879" i="208"/>
  <c r="A880" i="208"/>
  <c r="A881" i="208"/>
  <c r="A882" i="208"/>
  <c r="A883" i="208"/>
  <c r="A884" i="208"/>
  <c r="A885" i="208"/>
  <c r="A886" i="208"/>
  <c r="A887" i="208"/>
  <c r="A888" i="208"/>
  <c r="A889" i="208"/>
  <c r="A890" i="208"/>
  <c r="A891" i="208"/>
  <c r="A892" i="208"/>
  <c r="A893" i="208"/>
  <c r="A894" i="208"/>
  <c r="A895" i="208"/>
  <c r="A896" i="208"/>
  <c r="A897" i="208"/>
  <c r="A898" i="208"/>
  <c r="A899" i="208"/>
  <c r="A900" i="208"/>
  <c r="A901" i="208"/>
  <c r="A902" i="208"/>
  <c r="A903" i="208"/>
  <c r="A904" i="208"/>
  <c r="A905" i="208"/>
  <c r="A906" i="208"/>
  <c r="A907" i="208"/>
  <c r="A908" i="208"/>
  <c r="A909" i="208"/>
  <c r="A910" i="208"/>
  <c r="A911" i="208"/>
  <c r="A912" i="208"/>
  <c r="A913" i="208"/>
  <c r="A914" i="208"/>
  <c r="A915" i="208"/>
  <c r="A916" i="208"/>
  <c r="A917" i="208"/>
  <c r="A918" i="208"/>
  <c r="A919" i="208"/>
  <c r="A920" i="208"/>
  <c r="A921" i="208"/>
  <c r="A922" i="208"/>
  <c r="A923" i="208"/>
  <c r="A924" i="208"/>
  <c r="A925" i="208"/>
  <c r="A926" i="208"/>
  <c r="A927" i="208"/>
  <c r="A928" i="208"/>
  <c r="A929" i="208"/>
  <c r="A930" i="208"/>
  <c r="A931" i="208"/>
  <c r="A932" i="208"/>
  <c r="A933" i="208"/>
  <c r="A934" i="208"/>
  <c r="A935" i="208"/>
  <c r="A936" i="208"/>
  <c r="A937" i="208"/>
  <c r="A938" i="208"/>
  <c r="A939" i="208"/>
  <c r="A940" i="208"/>
  <c r="A941" i="208"/>
  <c r="A942" i="208"/>
  <c r="A943" i="208"/>
  <c r="A944" i="208"/>
  <c r="A945" i="208"/>
  <c r="A946" i="208"/>
  <c r="A947" i="208"/>
  <c r="A948" i="208"/>
  <c r="A949" i="208"/>
  <c r="A950" i="208"/>
  <c r="A951" i="208"/>
  <c r="A952" i="208"/>
  <c r="A953" i="208"/>
  <c r="A954" i="208"/>
  <c r="A955" i="208"/>
  <c r="A956" i="208"/>
  <c r="A957" i="208"/>
  <c r="A958" i="208"/>
  <c r="A959" i="208"/>
  <c r="A960" i="208"/>
  <c r="A961" i="208"/>
  <c r="A962" i="208"/>
  <c r="A963" i="208"/>
  <c r="A964" i="208"/>
  <c r="A965" i="208"/>
  <c r="A966" i="208"/>
  <c r="A967" i="208"/>
  <c r="A968" i="208"/>
  <c r="A969" i="208"/>
  <c r="A970" i="208"/>
  <c r="A971" i="208"/>
  <c r="A972" i="208"/>
  <c r="A973" i="208"/>
  <c r="A974" i="208"/>
  <c r="A975" i="208"/>
  <c r="A976" i="208"/>
  <c r="A977" i="208"/>
  <c r="A978" i="208"/>
  <c r="A979" i="208"/>
  <c r="A980" i="208"/>
  <c r="A981" i="208"/>
  <c r="A982" i="208"/>
  <c r="A983" i="208"/>
  <c r="A984" i="208"/>
  <c r="A985" i="208"/>
  <c r="A986" i="208"/>
  <c r="A987" i="208"/>
  <c r="A988" i="208"/>
  <c r="A989" i="208"/>
  <c r="A990" i="208"/>
  <c r="A991" i="208"/>
  <c r="A992" i="208"/>
  <c r="A993" i="208"/>
  <c r="A994" i="208"/>
  <c r="A995" i="208"/>
  <c r="A996" i="208"/>
  <c r="A997" i="208"/>
  <c r="A998" i="208"/>
  <c r="A999" i="208"/>
  <c r="A1000" i="208"/>
  <c r="A1001" i="208"/>
  <c r="A1002" i="208"/>
  <c r="A1003" i="208"/>
  <c r="A1004" i="208"/>
  <c r="A1005" i="208"/>
  <c r="A1006" i="208"/>
  <c r="A1007" i="208"/>
  <c r="A1008" i="208"/>
  <c r="A1009" i="208"/>
  <c r="A1010" i="208"/>
  <c r="A1011" i="208"/>
  <c r="A1012" i="208"/>
  <c r="A1013" i="208"/>
  <c r="A1014" i="208"/>
  <c r="A1015" i="208"/>
  <c r="A1016" i="208"/>
  <c r="A1017" i="208"/>
  <c r="A1018" i="208"/>
  <c r="A1019" i="208"/>
  <c r="A1020" i="208"/>
  <c r="A1021" i="208"/>
  <c r="A1022" i="208"/>
  <c r="A1023" i="208"/>
  <c r="A1024" i="208"/>
  <c r="A1025" i="208"/>
  <c r="A1026" i="208"/>
  <c r="A1027" i="208"/>
  <c r="A1028" i="208"/>
  <c r="A1029" i="208"/>
  <c r="A1030" i="208"/>
  <c r="A1031" i="208"/>
  <c r="A1032" i="208"/>
  <c r="A1033" i="208"/>
  <c r="A1034" i="208"/>
  <c r="A1035" i="208"/>
  <c r="A1036" i="208"/>
  <c r="A1037" i="208"/>
  <c r="A1038" i="208"/>
  <c r="A1039" i="208"/>
  <c r="A1040" i="208"/>
  <c r="A1041" i="208"/>
  <c r="A1042" i="208"/>
  <c r="A1043" i="208"/>
  <c r="A1044" i="208"/>
  <c r="A1045" i="208"/>
  <c r="A1046" i="208"/>
  <c r="A1047" i="208"/>
  <c r="A1048" i="208"/>
  <c r="A1049" i="208"/>
  <c r="A1050" i="208"/>
  <c r="A1051" i="208"/>
  <c r="A1052" i="208"/>
  <c r="A1053" i="208"/>
  <c r="A1054" i="208"/>
  <c r="A1055" i="208"/>
  <c r="A1056" i="208"/>
  <c r="A1057" i="208"/>
  <c r="A1058" i="208"/>
  <c r="A1059" i="208"/>
  <c r="A1060" i="208"/>
  <c r="A1061" i="208"/>
  <c r="A1062" i="208"/>
  <c r="A1063" i="208"/>
  <c r="A1064" i="208"/>
  <c r="A1065" i="208"/>
  <c r="A1066" i="208"/>
  <c r="A1067" i="208"/>
  <c r="A1068" i="208"/>
  <c r="A1069" i="208"/>
  <c r="A1070" i="208"/>
  <c r="A1071" i="208"/>
  <c r="A1072" i="208"/>
  <c r="A1073" i="208"/>
  <c r="A1074" i="208"/>
  <c r="A1075" i="208"/>
  <c r="A1076" i="208"/>
  <c r="A1077" i="208"/>
  <c r="A1078" i="208"/>
  <c r="A1079" i="208"/>
  <c r="A1080" i="208"/>
  <c r="A1081" i="208"/>
  <c r="A1082" i="208"/>
  <c r="A1083" i="208"/>
  <c r="A1084" i="208"/>
  <c r="A1085" i="208"/>
  <c r="A1086" i="208"/>
  <c r="A1087" i="208"/>
  <c r="A1088" i="208"/>
  <c r="A1089" i="208"/>
  <c r="A1090" i="208"/>
  <c r="A1091" i="208"/>
  <c r="A1092" i="208"/>
  <c r="A1093" i="208"/>
  <c r="A1094" i="208"/>
  <c r="A1095" i="208"/>
  <c r="A1096" i="208"/>
  <c r="A1097" i="208"/>
  <c r="A1098" i="208"/>
  <c r="A1099" i="208"/>
  <c r="A1100" i="208"/>
  <c r="A1101" i="208"/>
  <c r="A1102" i="208"/>
  <c r="A1103" i="208"/>
  <c r="A1104" i="208"/>
  <c r="A1105" i="208"/>
  <c r="A1106" i="208"/>
  <c r="A1107" i="208"/>
  <c r="A1108" i="208"/>
  <c r="A1109" i="208"/>
  <c r="A1110" i="208"/>
  <c r="A1111" i="208"/>
  <c r="A1112" i="208"/>
  <c r="A1113" i="208"/>
  <c r="A1114" i="208"/>
  <c r="A1115" i="208"/>
  <c r="A1116" i="208"/>
  <c r="A1117" i="208"/>
  <c r="A1118" i="208"/>
  <c r="A1119" i="208"/>
  <c r="A1120" i="208"/>
  <c r="A1121" i="208"/>
  <c r="A1122" i="208"/>
  <c r="A1123" i="208"/>
  <c r="A1124" i="208"/>
  <c r="A1125" i="208"/>
  <c r="A1126" i="208"/>
  <c r="A1127" i="208"/>
  <c r="A1128" i="208"/>
  <c r="A1129" i="208"/>
  <c r="A1130" i="208"/>
  <c r="A1131" i="208"/>
  <c r="A1132" i="208"/>
  <c r="A1133" i="208"/>
  <c r="A1134" i="208"/>
  <c r="A1135" i="208"/>
  <c r="A1136" i="208"/>
  <c r="A1137" i="208"/>
  <c r="A1138" i="208"/>
  <c r="A1139" i="208"/>
  <c r="A1140" i="208"/>
  <c r="A1141" i="208"/>
  <c r="A1142" i="208"/>
  <c r="A1143" i="208"/>
  <c r="A1144" i="208"/>
  <c r="A1145" i="208"/>
  <c r="A1146" i="208"/>
  <c r="A1147" i="208"/>
  <c r="A1148" i="208"/>
  <c r="A1149" i="208"/>
  <c r="A1150" i="208"/>
  <c r="A1151" i="208"/>
  <c r="A1152" i="208"/>
  <c r="A1153" i="208"/>
  <c r="A1154" i="208"/>
  <c r="A1155" i="208"/>
  <c r="A1156" i="208"/>
  <c r="A1157" i="208"/>
  <c r="A1158" i="208"/>
  <c r="A1159" i="208"/>
  <c r="A1160" i="208"/>
  <c r="A1161" i="208"/>
  <c r="A1162" i="208"/>
  <c r="A1163" i="208"/>
  <c r="A1164" i="208"/>
  <c r="A1165" i="208"/>
  <c r="A1166" i="208"/>
  <c r="A1167" i="208"/>
  <c r="A1168" i="208"/>
  <c r="A1169" i="208"/>
  <c r="A1170" i="208"/>
  <c r="A1171" i="208"/>
  <c r="A1172" i="208"/>
  <c r="A1173" i="208"/>
  <c r="A1174" i="208"/>
  <c r="A1175" i="208"/>
  <c r="A1176" i="208"/>
  <c r="A1177" i="208"/>
  <c r="A1178" i="208"/>
  <c r="A1179" i="208"/>
  <c r="A1180" i="208"/>
  <c r="A1181" i="208"/>
  <c r="A1182" i="208"/>
  <c r="A1183" i="208"/>
  <c r="A1184" i="208"/>
  <c r="A1185" i="208"/>
  <c r="A1186" i="208"/>
  <c r="A1187" i="208"/>
  <c r="A1188" i="208"/>
  <c r="A1189" i="208"/>
  <c r="A1190" i="208"/>
  <c r="A1191" i="208"/>
  <c r="A1192" i="208"/>
  <c r="A1193" i="208"/>
  <c r="A1194" i="208"/>
  <c r="A1195" i="208"/>
  <c r="A1196" i="208"/>
  <c r="A1197" i="208"/>
  <c r="A1198" i="208"/>
  <c r="A1199" i="208"/>
  <c r="A1200" i="208"/>
  <c r="A1201" i="208"/>
  <c r="A1202" i="208"/>
  <c r="A1203" i="208"/>
  <c r="A1204" i="208"/>
  <c r="A1205" i="208"/>
  <c r="A1206" i="208"/>
  <c r="A1207" i="208"/>
  <c r="A1208" i="208"/>
  <c r="A1209" i="208"/>
  <c r="A1210" i="208"/>
  <c r="A1211" i="208"/>
  <c r="A1212" i="208"/>
  <c r="A1213" i="208"/>
  <c r="A1214" i="208"/>
  <c r="A1215" i="208"/>
  <c r="A1216" i="208"/>
  <c r="A1217" i="208"/>
  <c r="A1218" i="208"/>
  <c r="A1219" i="208"/>
  <c r="A1220" i="208"/>
  <c r="A1221" i="208"/>
  <c r="A1222" i="208"/>
  <c r="A1223" i="208"/>
  <c r="A1224" i="208"/>
  <c r="A1225" i="208"/>
  <c r="A1226" i="208"/>
  <c r="A1227" i="208"/>
  <c r="A1228" i="208"/>
  <c r="A1229" i="208"/>
  <c r="A1230" i="208"/>
  <c r="A1231" i="208"/>
  <c r="A1232" i="208"/>
  <c r="A1233" i="208"/>
  <c r="A1234" i="208"/>
  <c r="A1235" i="208"/>
  <c r="A1236" i="208"/>
  <c r="A1237" i="208"/>
  <c r="A1238" i="208"/>
  <c r="A1239" i="208"/>
  <c r="A1240" i="208"/>
  <c r="A1241" i="208"/>
  <c r="A1242" i="208"/>
  <c r="A1243" i="208"/>
  <c r="A1244" i="208"/>
  <c r="A1245" i="208"/>
  <c r="A1246" i="208"/>
  <c r="A1247" i="208"/>
  <c r="A1248" i="208"/>
  <c r="A1249" i="208"/>
  <c r="A1250" i="208"/>
  <c r="A1251" i="208"/>
  <c r="A1252" i="208"/>
  <c r="A1253" i="208"/>
  <c r="A1254" i="208"/>
  <c r="A1255" i="208"/>
  <c r="A1256" i="208"/>
  <c r="A1257" i="208"/>
  <c r="A1258" i="208"/>
  <c r="A1259" i="208"/>
  <c r="A1260" i="208"/>
  <c r="A1261" i="208"/>
  <c r="A1262" i="208"/>
  <c r="A1263" i="208"/>
  <c r="A1264" i="208"/>
  <c r="A1265" i="208"/>
  <c r="A1266" i="208"/>
  <c r="A1267" i="208"/>
  <c r="A1268" i="208"/>
  <c r="A1269" i="208"/>
  <c r="A1270" i="208"/>
  <c r="A1271" i="208"/>
  <c r="A1272" i="208"/>
  <c r="A1273" i="208"/>
  <c r="A1274" i="208"/>
  <c r="A1275" i="208"/>
  <c r="A1276" i="208"/>
  <c r="A1277" i="208"/>
  <c r="A1278" i="208"/>
  <c r="A1279" i="208"/>
  <c r="A1280" i="208"/>
  <c r="A1281" i="208"/>
  <c r="A1282" i="208"/>
  <c r="A1283" i="208"/>
  <c r="A1284" i="208"/>
  <c r="A1285" i="208"/>
  <c r="A1286" i="208"/>
  <c r="A1287" i="208"/>
  <c r="A1288" i="208"/>
  <c r="A1289" i="208"/>
  <c r="A1290" i="208"/>
  <c r="A1291" i="208"/>
  <c r="A1292" i="208"/>
  <c r="A1293" i="208"/>
  <c r="A1294" i="208"/>
  <c r="A1295" i="208"/>
  <c r="A1296" i="208"/>
  <c r="A1297" i="208"/>
  <c r="A1298" i="208"/>
  <c r="A1299" i="208"/>
  <c r="A1300" i="208"/>
  <c r="A1301" i="208"/>
  <c r="A1302" i="208"/>
  <c r="A1303" i="208"/>
  <c r="A1304" i="208"/>
  <c r="A1305" i="208"/>
  <c r="A1306" i="208"/>
  <c r="A1307" i="208"/>
  <c r="A1308" i="208"/>
  <c r="A1309" i="208"/>
  <c r="A1310" i="208"/>
  <c r="A1311" i="208"/>
  <c r="A1312" i="208"/>
  <c r="A1313" i="208"/>
  <c r="A1314" i="208"/>
  <c r="A1315" i="208"/>
  <c r="A1316" i="208"/>
  <c r="A1317" i="208"/>
  <c r="A1318" i="208"/>
  <c r="A1319" i="208"/>
  <c r="A1320" i="208"/>
  <c r="A1321" i="208"/>
  <c r="A1322" i="208"/>
  <c r="A1323" i="208"/>
  <c r="A1324" i="208"/>
  <c r="A1325" i="208"/>
  <c r="A1326" i="208"/>
  <c r="A1327" i="208"/>
  <c r="A1328" i="208"/>
  <c r="A1329" i="208"/>
  <c r="A1330" i="208"/>
  <c r="A1331" i="208"/>
  <c r="A1332" i="208"/>
  <c r="A1333" i="208"/>
  <c r="A1334" i="208"/>
  <c r="A1335" i="208"/>
  <c r="A1336" i="208"/>
  <c r="A1337" i="208"/>
  <c r="A1338" i="208"/>
  <c r="A1339" i="208"/>
  <c r="A1340" i="208"/>
  <c r="A1341" i="208"/>
  <c r="A1342" i="208"/>
  <c r="A1343" i="208"/>
  <c r="A1344" i="208"/>
  <c r="A1345" i="208"/>
  <c r="A1346" i="208"/>
  <c r="A1347" i="208"/>
  <c r="A1348" i="208"/>
  <c r="A1349" i="208"/>
  <c r="A1350" i="208"/>
  <c r="A1351" i="208"/>
  <c r="A1352" i="208"/>
  <c r="A1353" i="208"/>
  <c r="A1354" i="208"/>
  <c r="A1355" i="208"/>
  <c r="A1356" i="208"/>
  <c r="A1357" i="208"/>
  <c r="A1358" i="208"/>
  <c r="A1359" i="208"/>
  <c r="A1360" i="208"/>
  <c r="A1361" i="208"/>
  <c r="A1362" i="208"/>
  <c r="A1363" i="208"/>
  <c r="A1364" i="208"/>
  <c r="A1365" i="208"/>
  <c r="A1366" i="208"/>
  <c r="A1367" i="208"/>
  <c r="A1368" i="208"/>
  <c r="A1369" i="208"/>
  <c r="A1370" i="208"/>
  <c r="A1371" i="208"/>
  <c r="A1372" i="208"/>
  <c r="A1373" i="208"/>
  <c r="A1374" i="208"/>
  <c r="A1375" i="208"/>
  <c r="A1376" i="208"/>
  <c r="A1377" i="208"/>
  <c r="A1378" i="208"/>
  <c r="A1379" i="208"/>
  <c r="A1380" i="208"/>
  <c r="A1381" i="208"/>
  <c r="A1382" i="208"/>
  <c r="A1383" i="208"/>
  <c r="A1384" i="208"/>
  <c r="A1385" i="208"/>
  <c r="A1386" i="208"/>
  <c r="A1387" i="208"/>
  <c r="A1388" i="208"/>
  <c r="A1389" i="208"/>
  <c r="A1390" i="208"/>
  <c r="A1391" i="208"/>
  <c r="A1392" i="208"/>
  <c r="A1393" i="208"/>
  <c r="A1394" i="208"/>
  <c r="A1395" i="208"/>
  <c r="A1396" i="208"/>
  <c r="A1397" i="208"/>
  <c r="A1398" i="208"/>
  <c r="A1399" i="208"/>
  <c r="A1400" i="208"/>
  <c r="A1401" i="208"/>
  <c r="A1402" i="208"/>
  <c r="A1403" i="208"/>
  <c r="A1404" i="208"/>
  <c r="A1405" i="208"/>
  <c r="A1406" i="208"/>
  <c r="A1407" i="208"/>
  <c r="A1408" i="208"/>
  <c r="A1409" i="208"/>
  <c r="A1410" i="208"/>
  <c r="A1411" i="208"/>
  <c r="A1412" i="208"/>
  <c r="A1413" i="208"/>
  <c r="A1414" i="208"/>
  <c r="A1415" i="208"/>
  <c r="A1416" i="208"/>
  <c r="A1417" i="208"/>
  <c r="A1418" i="208"/>
  <c r="A1419" i="208"/>
  <c r="A1420" i="208"/>
  <c r="A1421" i="208"/>
  <c r="A1422" i="208"/>
  <c r="A1423" i="208"/>
  <c r="A1424" i="208"/>
  <c r="A1425" i="208"/>
  <c r="A1426" i="208"/>
  <c r="A1427" i="208"/>
  <c r="A1428" i="208"/>
  <c r="A1429" i="208"/>
  <c r="A1430" i="208"/>
  <c r="A1431" i="208"/>
  <c r="A1432" i="208"/>
  <c r="A1433" i="208"/>
  <c r="A1434" i="208"/>
  <c r="A1435" i="208"/>
  <c r="A1436" i="208"/>
  <c r="A1437" i="208"/>
  <c r="A1438" i="208"/>
  <c r="A1439" i="208"/>
  <c r="A1440" i="208"/>
  <c r="A1441" i="208"/>
  <c r="A1442" i="208"/>
  <c r="A1443" i="208"/>
  <c r="A1444" i="208"/>
  <c r="A1445" i="208"/>
  <c r="A1446" i="208"/>
  <c r="A1447" i="208"/>
  <c r="A1448" i="208"/>
  <c r="A1449" i="208"/>
  <c r="A1450" i="208"/>
  <c r="A1451" i="208"/>
  <c r="A1452" i="208"/>
  <c r="A1453" i="208"/>
  <c r="A1454" i="208"/>
  <c r="A1455" i="208"/>
  <c r="A1456" i="208"/>
  <c r="A1457" i="208"/>
  <c r="A1458" i="208"/>
  <c r="A1459" i="208"/>
  <c r="A1460" i="208"/>
  <c r="A1461" i="208"/>
  <c r="A1462" i="208"/>
  <c r="A1463" i="208"/>
  <c r="A1464" i="208"/>
  <c r="A1465" i="208"/>
  <c r="A1466" i="208"/>
  <c r="A1467" i="208"/>
  <c r="A1468" i="208"/>
  <c r="A1469" i="208"/>
  <c r="A1470" i="208"/>
  <c r="A1471" i="208"/>
  <c r="A1472" i="208"/>
  <c r="A1473" i="208"/>
  <c r="A1474" i="208"/>
  <c r="A1475" i="208"/>
  <c r="A1476" i="208"/>
  <c r="A1477" i="208"/>
  <c r="A1478" i="208"/>
  <c r="A1479" i="208"/>
  <c r="A1480" i="208"/>
  <c r="A1481" i="208"/>
  <c r="A1482" i="208"/>
  <c r="A1483" i="208"/>
  <c r="A1484" i="208"/>
  <c r="A1485" i="208"/>
  <c r="A1486" i="208"/>
  <c r="A1487" i="208"/>
  <c r="A1488" i="208"/>
  <c r="A1489" i="208"/>
  <c r="A1490" i="208"/>
  <c r="A1491" i="208"/>
  <c r="A1492" i="208"/>
  <c r="A1493" i="208"/>
  <c r="A1494" i="208"/>
  <c r="A1495" i="208"/>
  <c r="A1496" i="208"/>
  <c r="A1497" i="208"/>
  <c r="A1498" i="208"/>
  <c r="A1499" i="208"/>
  <c r="A1500" i="208"/>
  <c r="A1501" i="208"/>
  <c r="A1502" i="208"/>
  <c r="A1503" i="208"/>
  <c r="A1504" i="208"/>
  <c r="A1505" i="208"/>
  <c r="A1506" i="208"/>
  <c r="A1507" i="208"/>
  <c r="A1508" i="208"/>
  <c r="A1509" i="208"/>
  <c r="A1510" i="208"/>
  <c r="A1511" i="208"/>
  <c r="A1512" i="208"/>
  <c r="A1513" i="208"/>
  <c r="A1514" i="208"/>
  <c r="A1515" i="208"/>
  <c r="A1516" i="208"/>
  <c r="A1517" i="208"/>
  <c r="A1518" i="208"/>
  <c r="A1519" i="208"/>
  <c r="A1520" i="208"/>
  <c r="A1521" i="208"/>
  <c r="A1522" i="208"/>
  <c r="A1523" i="208"/>
  <c r="A1524" i="208"/>
  <c r="A1525" i="208"/>
  <c r="A1526" i="208"/>
  <c r="A1527" i="208"/>
  <c r="A1528" i="208"/>
  <c r="A1529" i="208"/>
  <c r="A1530" i="208"/>
  <c r="A1531" i="208"/>
  <c r="A1532" i="208"/>
  <c r="A1533" i="208"/>
  <c r="A1534" i="208"/>
  <c r="A1535" i="208"/>
  <c r="A1536" i="208"/>
  <c r="A1537" i="208"/>
  <c r="A1538" i="208"/>
  <c r="A1539" i="208"/>
  <c r="A1540" i="208"/>
  <c r="A1541" i="208"/>
  <c r="A1542" i="208"/>
  <c r="A1543" i="208"/>
  <c r="A1544" i="208"/>
  <c r="A1545" i="208"/>
  <c r="A1546" i="208"/>
  <c r="A1547" i="208"/>
  <c r="A1548" i="208"/>
  <c r="A1549" i="208"/>
  <c r="A1550" i="208"/>
  <c r="A1551" i="208"/>
  <c r="A1552" i="208"/>
  <c r="A1553" i="208"/>
  <c r="A1554" i="208"/>
  <c r="A1555" i="208"/>
  <c r="A1556" i="208"/>
  <c r="A1557" i="208"/>
  <c r="A1558" i="208"/>
  <c r="A1559" i="208"/>
  <c r="A1560" i="208"/>
  <c r="A1561" i="208"/>
  <c r="A1562" i="208"/>
  <c r="A1563" i="208"/>
  <c r="A1564" i="208"/>
  <c r="A1565" i="208"/>
  <c r="A1566" i="208"/>
  <c r="A1567" i="208"/>
  <c r="A1568" i="208"/>
  <c r="A1569" i="208"/>
  <c r="A1570" i="208"/>
  <c r="A1571" i="208"/>
  <c r="A1572" i="208"/>
  <c r="A1573" i="208"/>
  <c r="A1574" i="208"/>
  <c r="A1575" i="208"/>
  <c r="A1576" i="208"/>
  <c r="A1577" i="208"/>
  <c r="A1578" i="208"/>
  <c r="A1579" i="208"/>
  <c r="A1580" i="208"/>
  <c r="A1581" i="208"/>
  <c r="A1582" i="208"/>
  <c r="A1583" i="208"/>
  <c r="A1584" i="208"/>
  <c r="A1585" i="208"/>
  <c r="A1586" i="208"/>
  <c r="A1587" i="208"/>
  <c r="A1588" i="208"/>
  <c r="A1589" i="208"/>
  <c r="A1590" i="208"/>
  <c r="A1591" i="208"/>
  <c r="A1592" i="208"/>
  <c r="A1593" i="208"/>
  <c r="A1594" i="208"/>
  <c r="A1595" i="208"/>
  <c r="A1596" i="208"/>
  <c r="A1597" i="208"/>
  <c r="A1598" i="208"/>
  <c r="A1599" i="208"/>
  <c r="A1600" i="208"/>
  <c r="A1601" i="208"/>
  <c r="A1602" i="208"/>
  <c r="A1603" i="208"/>
  <c r="A1604" i="208"/>
  <c r="A1605" i="208"/>
  <c r="A1606" i="208"/>
  <c r="A1607" i="208"/>
  <c r="A1608" i="208"/>
  <c r="A1609" i="208"/>
  <c r="A1610" i="208"/>
  <c r="A1611" i="208"/>
  <c r="A1612" i="208"/>
  <c r="A1613" i="208"/>
  <c r="A1614" i="208"/>
  <c r="A1615" i="208"/>
  <c r="A1616" i="208"/>
  <c r="A1617" i="208"/>
  <c r="A1618" i="208"/>
  <c r="A1619" i="208"/>
  <c r="A1620" i="208"/>
  <c r="A1621" i="208"/>
  <c r="A1622" i="208"/>
  <c r="A1623" i="208"/>
  <c r="A1624" i="208"/>
  <c r="A1625" i="208"/>
  <c r="A1626" i="208"/>
  <c r="A1627" i="208"/>
  <c r="A1628" i="208"/>
  <c r="A1629" i="208"/>
  <c r="A1630" i="208"/>
  <c r="A1631" i="208"/>
  <c r="A1632" i="208"/>
  <c r="A1633" i="208"/>
  <c r="A1634" i="208"/>
  <c r="A1635" i="208"/>
  <c r="A1636" i="208"/>
  <c r="A1637" i="208"/>
  <c r="A1638" i="208"/>
  <c r="A1639" i="208"/>
  <c r="A1640" i="208"/>
  <c r="A1641" i="208"/>
  <c r="A1642" i="208"/>
  <c r="A1643" i="208"/>
  <c r="A1644" i="208"/>
  <c r="A1645" i="208"/>
  <c r="A1646" i="208"/>
  <c r="A1647" i="208"/>
  <c r="A1648" i="208"/>
  <c r="A1649" i="208"/>
  <c r="A1650" i="208"/>
  <c r="A1651" i="208"/>
  <c r="A1652" i="208"/>
  <c r="A1653" i="208"/>
  <c r="A1654" i="208"/>
  <c r="A1655" i="208"/>
  <c r="A1656" i="208"/>
  <c r="A1657" i="208"/>
  <c r="A1658" i="208"/>
  <c r="A1659" i="208"/>
  <c r="A1660" i="208"/>
  <c r="A1661" i="208"/>
  <c r="A1662" i="208"/>
  <c r="A1663" i="208"/>
  <c r="A1664" i="208"/>
  <c r="A1665" i="208"/>
  <c r="A1666" i="208"/>
  <c r="A1667" i="208"/>
  <c r="A1668" i="208"/>
  <c r="A1669" i="208"/>
  <c r="A1670" i="208"/>
  <c r="A1671" i="208"/>
  <c r="A1672" i="208"/>
  <c r="A1673" i="208"/>
  <c r="A1674" i="208"/>
  <c r="A1675" i="208"/>
  <c r="A1676" i="208"/>
  <c r="A1677" i="208"/>
  <c r="A1678" i="208"/>
  <c r="A1679" i="208"/>
  <c r="A1680" i="208"/>
  <c r="A1681" i="208"/>
  <c r="A1682" i="208"/>
  <c r="A1683" i="208"/>
  <c r="A1684" i="208"/>
  <c r="A1685" i="208"/>
  <c r="A1686" i="208"/>
  <c r="A1687" i="208"/>
  <c r="A1688" i="208"/>
  <c r="A1689" i="208"/>
  <c r="A1690" i="208"/>
  <c r="A1691" i="208"/>
  <c r="A1692" i="208"/>
  <c r="A1693" i="208"/>
  <c r="A1694" i="208"/>
  <c r="A1695" i="208"/>
  <c r="A1696" i="208"/>
  <c r="A1697" i="208"/>
  <c r="A1698" i="208"/>
  <c r="A1699" i="208"/>
  <c r="A1700" i="208"/>
  <c r="A1701" i="208"/>
  <c r="A1702" i="208"/>
  <c r="A1703" i="208"/>
  <c r="A1704" i="208"/>
  <c r="A1705" i="208"/>
  <c r="A1706" i="208"/>
  <c r="A1707" i="208"/>
  <c r="A1708" i="208"/>
  <c r="A1709" i="208"/>
  <c r="A1710" i="208"/>
  <c r="A1711" i="208"/>
  <c r="A1712" i="208"/>
  <c r="A1713" i="208"/>
  <c r="A1714" i="208"/>
  <c r="A1715" i="208"/>
  <c r="A1716" i="208"/>
  <c r="A1717" i="208"/>
  <c r="A1718" i="208"/>
  <c r="A1719" i="208"/>
  <c r="A1720" i="208"/>
  <c r="A1721" i="208"/>
  <c r="A1722" i="208"/>
  <c r="A1723" i="208"/>
  <c r="A1724" i="208"/>
  <c r="A1725" i="208"/>
  <c r="A1726" i="208"/>
  <c r="A1727" i="208"/>
  <c r="A1728" i="208"/>
  <c r="A1729" i="208"/>
  <c r="A1730" i="208"/>
  <c r="A1731" i="208"/>
  <c r="A1732" i="208"/>
  <c r="A1733" i="208"/>
  <c r="A1734" i="208"/>
  <c r="A1735" i="208"/>
  <c r="A1736" i="208"/>
  <c r="A1737" i="208"/>
  <c r="A1738" i="208"/>
  <c r="A1739" i="208"/>
  <c r="A1740" i="208"/>
  <c r="A1741" i="208"/>
  <c r="A1742" i="208"/>
  <c r="A1743" i="208"/>
  <c r="A1744" i="208"/>
  <c r="A1745" i="208"/>
  <c r="A1746" i="208"/>
  <c r="A1747" i="208"/>
  <c r="A1748" i="208"/>
  <c r="A1749" i="208"/>
  <c r="A1750" i="208"/>
  <c r="A1751" i="208"/>
  <c r="A1752" i="208"/>
  <c r="A1753" i="208"/>
  <c r="A1754" i="208"/>
  <c r="A1755" i="208"/>
  <c r="A1756" i="208"/>
  <c r="A1757" i="208"/>
  <c r="A1758" i="208"/>
  <c r="A1759" i="208"/>
  <c r="A1760" i="208"/>
  <c r="A1761" i="208"/>
  <c r="A1762" i="208"/>
  <c r="A1763" i="208"/>
  <c r="A1764" i="208"/>
  <c r="A1765" i="208"/>
  <c r="A1766" i="208"/>
  <c r="A1767" i="208"/>
  <c r="A1768" i="208"/>
  <c r="A1769" i="208"/>
  <c r="A1770" i="208"/>
  <c r="A1771" i="208"/>
  <c r="A1772" i="208"/>
  <c r="A1773" i="208"/>
  <c r="A1774" i="208"/>
  <c r="A1775" i="208"/>
  <c r="A1776" i="208"/>
  <c r="A1777" i="208"/>
  <c r="A1778" i="208"/>
  <c r="A1779" i="208"/>
  <c r="A1780" i="208"/>
  <c r="A1781" i="208"/>
  <c r="A1782" i="208"/>
  <c r="A1783" i="208"/>
  <c r="A1784" i="208"/>
  <c r="A1785" i="208"/>
  <c r="A1786" i="208"/>
  <c r="A1787" i="208"/>
  <c r="A1788" i="208"/>
  <c r="A1789" i="208"/>
  <c r="A1790" i="208"/>
  <c r="A1791" i="208"/>
  <c r="A1792" i="208"/>
  <c r="A1793" i="208"/>
  <c r="A1794" i="208"/>
  <c r="A1795" i="208"/>
  <c r="A1796" i="208"/>
  <c r="A1797" i="208"/>
  <c r="A1798" i="208"/>
  <c r="A1799" i="208"/>
  <c r="A1800" i="208"/>
  <c r="A1801" i="208"/>
  <c r="A1802" i="208"/>
  <c r="A1803" i="208"/>
  <c r="A1804" i="208"/>
  <c r="A1805" i="208"/>
  <c r="A1806" i="208"/>
  <c r="A1807" i="208"/>
  <c r="A1808" i="208"/>
  <c r="A1809" i="208"/>
  <c r="A1810" i="208"/>
  <c r="A1811" i="208"/>
  <c r="A1812" i="208"/>
  <c r="A1813" i="208"/>
  <c r="A1814" i="208"/>
  <c r="A1815" i="208"/>
  <c r="A1816" i="208"/>
  <c r="A1817" i="208"/>
  <c r="A1818" i="208"/>
  <c r="A1819" i="208"/>
  <c r="A1820" i="208"/>
  <c r="A1821" i="208"/>
  <c r="A1822" i="208"/>
  <c r="A1823" i="208"/>
  <c r="A1824" i="208"/>
  <c r="A1825" i="208"/>
  <c r="A1826" i="208"/>
  <c r="A1827" i="208"/>
  <c r="A1828" i="208"/>
  <c r="A1829" i="208"/>
  <c r="A1830" i="208"/>
  <c r="A1831" i="208"/>
  <c r="A1832" i="208"/>
  <c r="A1833" i="208"/>
  <c r="A1834" i="208"/>
  <c r="A1835" i="208"/>
  <c r="A1836" i="208"/>
  <c r="A1837" i="208"/>
  <c r="A1838" i="208"/>
  <c r="A1839" i="208"/>
  <c r="A1840" i="208"/>
  <c r="A1841" i="208"/>
  <c r="A1842" i="208"/>
  <c r="A1843" i="208"/>
  <c r="A1844" i="208"/>
  <c r="A1845" i="208"/>
  <c r="A1846" i="208"/>
  <c r="A1847" i="208"/>
  <c r="A1848" i="208"/>
  <c r="A1849" i="208"/>
  <c r="A1850" i="208"/>
  <c r="A1851" i="208"/>
  <c r="A1852" i="208"/>
  <c r="A1853" i="208"/>
  <c r="A1854" i="208"/>
  <c r="A1855" i="208"/>
  <c r="A1856" i="208"/>
  <c r="A1857" i="208"/>
  <c r="A1858" i="208"/>
  <c r="A1859" i="208"/>
  <c r="A1860" i="208"/>
  <c r="A1861" i="208"/>
  <c r="A1862" i="208"/>
  <c r="A1863" i="208"/>
  <c r="A1864" i="208"/>
  <c r="A1865" i="208"/>
  <c r="A1866" i="208"/>
  <c r="A1867" i="208"/>
  <c r="A1868" i="208"/>
  <c r="A1869" i="208"/>
  <c r="A1870" i="208"/>
  <c r="A1871" i="208"/>
  <c r="A1872" i="208"/>
  <c r="A1873" i="208"/>
  <c r="A1874" i="208"/>
  <c r="A1875" i="208"/>
  <c r="A1876" i="208"/>
  <c r="A1877" i="208"/>
  <c r="A1878" i="208"/>
  <c r="A1879" i="208"/>
  <c r="A1880" i="208"/>
  <c r="A1881" i="208"/>
  <c r="A1882" i="208"/>
  <c r="A1883" i="208"/>
  <c r="A1884" i="208"/>
  <c r="A1885" i="208"/>
  <c r="A1886" i="208"/>
  <c r="A1887" i="208"/>
  <c r="A1888" i="208"/>
  <c r="A1889" i="208"/>
  <c r="A1890" i="208"/>
  <c r="A1891" i="208"/>
  <c r="A1892" i="208"/>
  <c r="A1893" i="208"/>
  <c r="A1894" i="208"/>
  <c r="A1895" i="208"/>
  <c r="A1896" i="208"/>
  <c r="A1897" i="208"/>
  <c r="A1898" i="208"/>
  <c r="A1899" i="208"/>
  <c r="A1900" i="208"/>
  <c r="A1901" i="208"/>
  <c r="A1902" i="208"/>
  <c r="A1903" i="208"/>
  <c r="A1904" i="208"/>
  <c r="A1905" i="208"/>
  <c r="A1906" i="208"/>
  <c r="A1907" i="208"/>
  <c r="A1908" i="208"/>
  <c r="A1909" i="208"/>
  <c r="A1910" i="208"/>
  <c r="A1911" i="208"/>
  <c r="A1912" i="208"/>
  <c r="A1913" i="208"/>
  <c r="A1914" i="208"/>
  <c r="A1915" i="208"/>
  <c r="A1916" i="208"/>
  <c r="A1917" i="208"/>
  <c r="A1918" i="208"/>
  <c r="A1919" i="208"/>
  <c r="A1920" i="208"/>
  <c r="A1921" i="208"/>
  <c r="A1922" i="208"/>
  <c r="A1923" i="208"/>
  <c r="A1924" i="208"/>
  <c r="A1925" i="208"/>
  <c r="A1926" i="208"/>
  <c r="A1927" i="208"/>
  <c r="A1928" i="208"/>
  <c r="A1929" i="208"/>
  <c r="A1930" i="208"/>
  <c r="A1931" i="208"/>
  <c r="A1932" i="208"/>
  <c r="A1933" i="208"/>
  <c r="A1934" i="208"/>
  <c r="A1935" i="208"/>
  <c r="A1936" i="208"/>
  <c r="A1937" i="208"/>
  <c r="A1938" i="208"/>
  <c r="A1939" i="208"/>
  <c r="A1940" i="208"/>
  <c r="A1941" i="208"/>
  <c r="A1942" i="208"/>
  <c r="A1943" i="208"/>
  <c r="A1944" i="208"/>
  <c r="A1945" i="208"/>
  <c r="A1946" i="208"/>
  <c r="A1947" i="208"/>
  <c r="A1948" i="208"/>
  <c r="A1949" i="208"/>
  <c r="A1950" i="208"/>
  <c r="A1951" i="208"/>
  <c r="A1952" i="208"/>
  <c r="A1953" i="208"/>
  <c r="A1954" i="208"/>
  <c r="A1955" i="208"/>
  <c r="A1956" i="208"/>
  <c r="A1957" i="208"/>
  <c r="A1958" i="208"/>
  <c r="A1959" i="208"/>
  <c r="A1960" i="208"/>
  <c r="A1961" i="208"/>
  <c r="A1962" i="208"/>
  <c r="A1963" i="208"/>
  <c r="A1964" i="208"/>
  <c r="A1965" i="208"/>
  <c r="A1966" i="208"/>
  <c r="A1967" i="208"/>
  <c r="A1968" i="208"/>
  <c r="A1969" i="208"/>
  <c r="A1970" i="208"/>
  <c r="A1971" i="208"/>
  <c r="A1972" i="208"/>
  <c r="A1973" i="208"/>
  <c r="A1974" i="208"/>
  <c r="A1975" i="208"/>
  <c r="A1976" i="208"/>
  <c r="A1977" i="208"/>
  <c r="A1978" i="208"/>
  <c r="A1979" i="208"/>
  <c r="A1980" i="208"/>
  <c r="A1981" i="208"/>
  <c r="A1982" i="208"/>
  <c r="A1983" i="208"/>
  <c r="A1984" i="208"/>
  <c r="A1985" i="208"/>
  <c r="A1986" i="208"/>
  <c r="A1987" i="208"/>
  <c r="A1988" i="208"/>
  <c r="A1989" i="208"/>
  <c r="A1990" i="208"/>
  <c r="A1991" i="208"/>
  <c r="A1992" i="208"/>
  <c r="A1993" i="208"/>
  <c r="A1994" i="208"/>
  <c r="A1995" i="208"/>
  <c r="A1996" i="208"/>
  <c r="A1997" i="208"/>
  <c r="A1998" i="208"/>
  <c r="A1999" i="208"/>
  <c r="A2000" i="208"/>
  <c r="A2001" i="208"/>
  <c r="A2002" i="208"/>
  <c r="A2003" i="208"/>
  <c r="A2004" i="208"/>
  <c r="A2005" i="208"/>
  <c r="A2006" i="208"/>
  <c r="A2007" i="208"/>
  <c r="A2008" i="208"/>
  <c r="A2009" i="208"/>
  <c r="A2010" i="208"/>
  <c r="A2011" i="208"/>
  <c r="A2012" i="208"/>
  <c r="A2013" i="208"/>
  <c r="A2014" i="208"/>
  <c r="A2015" i="208"/>
  <c r="A2016" i="208"/>
  <c r="A2017" i="208"/>
  <c r="A2018" i="208"/>
  <c r="A2019" i="208"/>
  <c r="A2020" i="208"/>
  <c r="A2021" i="208"/>
  <c r="A2022" i="208"/>
  <c r="A2023" i="208"/>
  <c r="A2024" i="208"/>
  <c r="A2025" i="208"/>
  <c r="A2026" i="208"/>
  <c r="A2027" i="208"/>
  <c r="A2028" i="208"/>
  <c r="A2029" i="208"/>
  <c r="A2030" i="208"/>
  <c r="A2031" i="208"/>
  <c r="A2032" i="208"/>
  <c r="A2033" i="208"/>
  <c r="A2034" i="208"/>
  <c r="A2035" i="208"/>
  <c r="A2036" i="208"/>
  <c r="A2037" i="208"/>
  <c r="A2038" i="208"/>
  <c r="A2039" i="208"/>
  <c r="A2040" i="208"/>
  <c r="A2041" i="208"/>
  <c r="A2042" i="208"/>
  <c r="A2043" i="208"/>
  <c r="A2044" i="208"/>
  <c r="A2045" i="208"/>
  <c r="A2046" i="208"/>
  <c r="A2047" i="208"/>
  <c r="A2048" i="208"/>
  <c r="A2049" i="208"/>
  <c r="A2050" i="208"/>
  <c r="A2051" i="208"/>
  <c r="A2052" i="208"/>
  <c r="A2053" i="208"/>
  <c r="A2054" i="208"/>
  <c r="A2055" i="208"/>
  <c r="A2056" i="208"/>
  <c r="A2057" i="208"/>
  <c r="A2058" i="208"/>
  <c r="A2059" i="208"/>
  <c r="A2060" i="208"/>
  <c r="A2061" i="208"/>
  <c r="A2062" i="208"/>
  <c r="A2063" i="208"/>
  <c r="A2064" i="208"/>
  <c r="A2065" i="208"/>
  <c r="A2066" i="208"/>
  <c r="A2067" i="208"/>
  <c r="A2068" i="208"/>
  <c r="A2069" i="208"/>
  <c r="A2070" i="208"/>
  <c r="A2071" i="208"/>
  <c r="A2072" i="208"/>
  <c r="A2073" i="208"/>
  <c r="A2074" i="208"/>
  <c r="A2075" i="208"/>
  <c r="A2076" i="208"/>
  <c r="A2077" i="208"/>
  <c r="A2078" i="208"/>
  <c r="A2079" i="208"/>
  <c r="A2080" i="208"/>
  <c r="A2081" i="208"/>
  <c r="A2082" i="208"/>
  <c r="A2083" i="208"/>
  <c r="A2084" i="208"/>
  <c r="A2085" i="208"/>
  <c r="A2086" i="208"/>
  <c r="A2087" i="208"/>
  <c r="A2088" i="208"/>
  <c r="A2089" i="208"/>
  <c r="A2090" i="208"/>
  <c r="A2091" i="208"/>
  <c r="A2092" i="208"/>
  <c r="A2093" i="208"/>
  <c r="A2094" i="208"/>
  <c r="A2095" i="208"/>
  <c r="A2096" i="208"/>
  <c r="A2097" i="208"/>
  <c r="A2098" i="208"/>
  <c r="A2099" i="208"/>
  <c r="A2100" i="208"/>
  <c r="A2101" i="208"/>
  <c r="A2102" i="208"/>
  <c r="A2103" i="208"/>
  <c r="A2104" i="208"/>
  <c r="A2105" i="208"/>
  <c r="A2106" i="208"/>
  <c r="A2107" i="208"/>
  <c r="A2108" i="208"/>
  <c r="A2109" i="208"/>
  <c r="A2110" i="208"/>
  <c r="A2111" i="208"/>
  <c r="A2112" i="208"/>
  <c r="A2113" i="208"/>
  <c r="A2114" i="208"/>
  <c r="A2115" i="208"/>
  <c r="A2116" i="208"/>
  <c r="A2117" i="208"/>
  <c r="A2118" i="208"/>
  <c r="A2119" i="208"/>
  <c r="A2120" i="208"/>
  <c r="A2121" i="208"/>
  <c r="A2122" i="208"/>
  <c r="A2123" i="208"/>
  <c r="A2124" i="208"/>
  <c r="A2125" i="208"/>
  <c r="A2126" i="208"/>
  <c r="A2127" i="208"/>
  <c r="A2128" i="208"/>
  <c r="A2129" i="208"/>
  <c r="A2130" i="208"/>
  <c r="A2131" i="208"/>
  <c r="A2132" i="208"/>
  <c r="A2133" i="208"/>
  <c r="A2134" i="208"/>
  <c r="A2135" i="208"/>
  <c r="A2136" i="208"/>
  <c r="A2137" i="208"/>
  <c r="A2138" i="208"/>
  <c r="A2139" i="208"/>
  <c r="A2140" i="208"/>
  <c r="A2141" i="208"/>
  <c r="A2142" i="208"/>
  <c r="A2143" i="208"/>
  <c r="A2144" i="208"/>
  <c r="A2145" i="208"/>
  <c r="A2146" i="208"/>
  <c r="A2147" i="208"/>
  <c r="A2148" i="208"/>
  <c r="A2149" i="208"/>
  <c r="A2150" i="208"/>
  <c r="A2151" i="208"/>
  <c r="A2152" i="208"/>
  <c r="A2153" i="208"/>
  <c r="A2154" i="208"/>
  <c r="A2155" i="208"/>
  <c r="A2156" i="208"/>
  <c r="A2157" i="208"/>
  <c r="A2158" i="208"/>
  <c r="A2159" i="208"/>
  <c r="A2160" i="208"/>
  <c r="A2161" i="208"/>
  <c r="A2162" i="208"/>
  <c r="A2163" i="208"/>
  <c r="A2164" i="208"/>
  <c r="A2165" i="208"/>
  <c r="A2166" i="208"/>
  <c r="A2167" i="208"/>
  <c r="A2168" i="208"/>
  <c r="A2169" i="208"/>
  <c r="A2170" i="208"/>
  <c r="A2171" i="208"/>
  <c r="A2172" i="208"/>
  <c r="A2173" i="208"/>
  <c r="A2174" i="208"/>
  <c r="A2175" i="208"/>
  <c r="A2176" i="208"/>
  <c r="A2177" i="208"/>
  <c r="A2178" i="208"/>
  <c r="A2179" i="208"/>
  <c r="A2180" i="208"/>
  <c r="A2181" i="208"/>
  <c r="A2182" i="208"/>
  <c r="A2183" i="208"/>
  <c r="A2184" i="208"/>
  <c r="A2185" i="208"/>
  <c r="A2186" i="208"/>
  <c r="A2187" i="208"/>
  <c r="A2188" i="208"/>
  <c r="A2189" i="208"/>
  <c r="A2190" i="208"/>
  <c r="A2191" i="208"/>
  <c r="A2192" i="208"/>
  <c r="A2193" i="208"/>
  <c r="A2194" i="208"/>
  <c r="A2195" i="208"/>
  <c r="A2196" i="208"/>
  <c r="A2197" i="208"/>
  <c r="A2198" i="208"/>
  <c r="A2199" i="208"/>
  <c r="A2200" i="208"/>
  <c r="A2201" i="208"/>
  <c r="A2202" i="208"/>
  <c r="A2203" i="208"/>
  <c r="A2204" i="208"/>
  <c r="A2205" i="208"/>
  <c r="A2206" i="208"/>
  <c r="A2207" i="208"/>
  <c r="A2208" i="208"/>
  <c r="A2209" i="208"/>
  <c r="A2210" i="208"/>
  <c r="A2211" i="208"/>
  <c r="A2212" i="208"/>
  <c r="A2213" i="208"/>
  <c r="A2214" i="208"/>
  <c r="A2215" i="208"/>
  <c r="A2216" i="208"/>
  <c r="A2217" i="208"/>
  <c r="A2218" i="208"/>
  <c r="A2219" i="208"/>
  <c r="A2220" i="208"/>
  <c r="A2221" i="208"/>
  <c r="A2222" i="208"/>
  <c r="A2223" i="208"/>
  <c r="A2224" i="208"/>
  <c r="A2225" i="208"/>
  <c r="A2226" i="208"/>
  <c r="A2227" i="208"/>
  <c r="A2228" i="208"/>
  <c r="A2229" i="208"/>
  <c r="A2230" i="208"/>
  <c r="A2231" i="208"/>
  <c r="A2232" i="208"/>
  <c r="A2233" i="208"/>
  <c r="A2234" i="208"/>
  <c r="A2235" i="208"/>
  <c r="A2236" i="208"/>
  <c r="A2237" i="208"/>
  <c r="A2238" i="208"/>
  <c r="A2239" i="208"/>
  <c r="A2240" i="208"/>
  <c r="A2241" i="208"/>
  <c r="A2242" i="208"/>
  <c r="A2243" i="208"/>
  <c r="A2244" i="208"/>
  <c r="A2245" i="208"/>
  <c r="A2246" i="208"/>
  <c r="A2247" i="208"/>
  <c r="A2248" i="208"/>
  <c r="A2249" i="208"/>
  <c r="A2250" i="208"/>
  <c r="A2251" i="208"/>
  <c r="A2252" i="208"/>
  <c r="A2253" i="208"/>
  <c r="A2254" i="208"/>
  <c r="A2255" i="208"/>
  <c r="A2256" i="208"/>
  <c r="A2257" i="208"/>
  <c r="A2258" i="208"/>
  <c r="A2259" i="208"/>
  <c r="A2260" i="208"/>
  <c r="A2261" i="208"/>
  <c r="A2262" i="208"/>
  <c r="A2263" i="208"/>
  <c r="A2264" i="208"/>
  <c r="A2265" i="208"/>
  <c r="A2266" i="208"/>
  <c r="A2267" i="208"/>
  <c r="A2268" i="208"/>
  <c r="A2269" i="208"/>
  <c r="A2270" i="208"/>
  <c r="A2271" i="208"/>
  <c r="A2272" i="208"/>
  <c r="A2273" i="208"/>
  <c r="A2274" i="208"/>
  <c r="A2275" i="208"/>
  <c r="A2276" i="208"/>
  <c r="A2277" i="208"/>
  <c r="A2278" i="208"/>
  <c r="A2279" i="208"/>
  <c r="A2280" i="208"/>
  <c r="A2281" i="208"/>
  <c r="A2282" i="208"/>
  <c r="A2283" i="208"/>
  <c r="A2284" i="208"/>
  <c r="A2285" i="208"/>
  <c r="A2286" i="208"/>
  <c r="A2287" i="208"/>
  <c r="A2288" i="208"/>
  <c r="A2289" i="208"/>
  <c r="A2290" i="208"/>
  <c r="A2291" i="208"/>
  <c r="A2292" i="208"/>
  <c r="A2293" i="208"/>
  <c r="A2294" i="208"/>
  <c r="A2295" i="208"/>
  <c r="A2296" i="208"/>
  <c r="A2297" i="208"/>
  <c r="A2298" i="208"/>
  <c r="A2299" i="208"/>
  <c r="A2300" i="208"/>
  <c r="A2301" i="208"/>
  <c r="A2302" i="208"/>
  <c r="A2303" i="208"/>
  <c r="A2304" i="208"/>
  <c r="A2305" i="208"/>
  <c r="A2306" i="208"/>
  <c r="A2307" i="208"/>
  <c r="A2308" i="208"/>
  <c r="A2309" i="208"/>
  <c r="A2310" i="208"/>
  <c r="A2311" i="208"/>
  <c r="A2312" i="208"/>
  <c r="A2313" i="208"/>
  <c r="A2314" i="208"/>
  <c r="A2315" i="208"/>
  <c r="A2316" i="208"/>
  <c r="A2317" i="208"/>
  <c r="A2318" i="208"/>
  <c r="A2319" i="208"/>
  <c r="A2320" i="208"/>
  <c r="A2321" i="208"/>
  <c r="A2322" i="208"/>
  <c r="A2323" i="208"/>
  <c r="A2324" i="208"/>
  <c r="A2325" i="208"/>
  <c r="A2326" i="208"/>
  <c r="A2327" i="208"/>
  <c r="A2328" i="208"/>
  <c r="A2329" i="208"/>
  <c r="A2330" i="208"/>
  <c r="A2331" i="208"/>
  <c r="A2332" i="208"/>
  <c r="A2333" i="208"/>
  <c r="A2334" i="208"/>
  <c r="A2335" i="208"/>
  <c r="A2336" i="208"/>
  <c r="A2337" i="208"/>
  <c r="A2338" i="208"/>
  <c r="A2339" i="208"/>
  <c r="A2340" i="208"/>
  <c r="A2341" i="208"/>
  <c r="A2342" i="208"/>
  <c r="A2343" i="208"/>
  <c r="A2344" i="208"/>
  <c r="A2345" i="208"/>
  <c r="A2346" i="208"/>
  <c r="A2347" i="208"/>
  <c r="A2348" i="208"/>
  <c r="A2349" i="208"/>
  <c r="A2350" i="208"/>
  <c r="A2351" i="208"/>
  <c r="A2352" i="208"/>
  <c r="A2353" i="208"/>
  <c r="A2354" i="208"/>
  <c r="A2355" i="208"/>
  <c r="A2356" i="208"/>
  <c r="A2357" i="208"/>
  <c r="A2358" i="208"/>
  <c r="A2359" i="208"/>
  <c r="A2360" i="208"/>
  <c r="A2361" i="208"/>
  <c r="A2362" i="208"/>
  <c r="A2363" i="208"/>
  <c r="A2364" i="208"/>
  <c r="A2365" i="208"/>
  <c r="A2366" i="208"/>
  <c r="A2367" i="208"/>
  <c r="A2368" i="208"/>
  <c r="A2369" i="208"/>
  <c r="A2370" i="208"/>
  <c r="A2371" i="208"/>
  <c r="A2372" i="208"/>
  <c r="A2373" i="208"/>
  <c r="A2374" i="208"/>
  <c r="A2375" i="208"/>
  <c r="A2376" i="208"/>
  <c r="A2377" i="208"/>
  <c r="A2378" i="208"/>
  <c r="A2379" i="208"/>
  <c r="A2380" i="208"/>
  <c r="A2381" i="208"/>
  <c r="A2382" i="208"/>
  <c r="A2383" i="208"/>
  <c r="A2384" i="208"/>
  <c r="A2385" i="208"/>
  <c r="A2386" i="208"/>
  <c r="A2387" i="208"/>
  <c r="A2388" i="208"/>
  <c r="A2389" i="208"/>
  <c r="A2390" i="208"/>
  <c r="A2391" i="208"/>
  <c r="A2392" i="208"/>
  <c r="A2393" i="208"/>
  <c r="A2394" i="208"/>
  <c r="A2395" i="208"/>
  <c r="A2396" i="208"/>
  <c r="A2397" i="208"/>
  <c r="A2398" i="208"/>
  <c r="A2399" i="208"/>
  <c r="A2400" i="208"/>
  <c r="A2401" i="208"/>
  <c r="A2402" i="208"/>
  <c r="A2403" i="208"/>
  <c r="A2404" i="208"/>
  <c r="A2405" i="208"/>
  <c r="A2406" i="208"/>
  <c r="A2407" i="208"/>
  <c r="A2408" i="208"/>
  <c r="A2409" i="208"/>
  <c r="A2410" i="208"/>
  <c r="A2411" i="208"/>
  <c r="A2412" i="208"/>
  <c r="A2413" i="208"/>
  <c r="A2414" i="208"/>
  <c r="A2415" i="208"/>
  <c r="A2416" i="208"/>
  <c r="A2417" i="208"/>
  <c r="A2418" i="208"/>
  <c r="A2419" i="208"/>
  <c r="A2420" i="208"/>
  <c r="A2421" i="208"/>
  <c r="A2422" i="208"/>
  <c r="A2423" i="208"/>
  <c r="A2424" i="208"/>
  <c r="A2425" i="208"/>
  <c r="A2426" i="208"/>
  <c r="A2427" i="208"/>
  <c r="A2428" i="208"/>
  <c r="A2429" i="208"/>
  <c r="A2430" i="208"/>
  <c r="A2431" i="208"/>
  <c r="A2432" i="208"/>
  <c r="A2433" i="208"/>
  <c r="A2434" i="208"/>
  <c r="A2435" i="208"/>
  <c r="A2436" i="208"/>
  <c r="A2437" i="208"/>
  <c r="A2438" i="208"/>
  <c r="A2439" i="208"/>
  <c r="A2440" i="208"/>
  <c r="A2441" i="208"/>
  <c r="A2442" i="208"/>
  <c r="A2443" i="208"/>
  <c r="A2444" i="208"/>
  <c r="A2445" i="208"/>
  <c r="A2446" i="208"/>
  <c r="A2447" i="208"/>
  <c r="A2448" i="208"/>
  <c r="A2449" i="208"/>
  <c r="A2450" i="208"/>
  <c r="A2451" i="208"/>
  <c r="A2452" i="208"/>
  <c r="A2453" i="208"/>
  <c r="A2454" i="208"/>
  <c r="A2455" i="208"/>
  <c r="A2456" i="208"/>
  <c r="A2457" i="208"/>
  <c r="A2458" i="208"/>
  <c r="A2459" i="208"/>
  <c r="A2460" i="208"/>
  <c r="A2461" i="208"/>
  <c r="A2462" i="208"/>
  <c r="A2463" i="208"/>
  <c r="A2464" i="208"/>
  <c r="A2465" i="208"/>
  <c r="A2466" i="208"/>
  <c r="A2467" i="208"/>
  <c r="A2468" i="208"/>
  <c r="A2469" i="208"/>
  <c r="A2470" i="208"/>
  <c r="A2471" i="208"/>
  <c r="A2472" i="208"/>
  <c r="A2473" i="208"/>
  <c r="A2474" i="208"/>
  <c r="A2475" i="208"/>
  <c r="A2476" i="208"/>
  <c r="A2477" i="208"/>
  <c r="A2478" i="208"/>
  <c r="A2479" i="208"/>
  <c r="A2480" i="208"/>
  <c r="A2481" i="208"/>
  <c r="A2482" i="208"/>
  <c r="A2483" i="208"/>
  <c r="A2484" i="208"/>
  <c r="A2485" i="208"/>
  <c r="A2486" i="208"/>
  <c r="A2487" i="208"/>
  <c r="A2488" i="208"/>
  <c r="A2489" i="208"/>
  <c r="A2490" i="208"/>
  <c r="A2491" i="208"/>
  <c r="A2492" i="208"/>
  <c r="A2493" i="208"/>
  <c r="A2494" i="208"/>
  <c r="A2495" i="208"/>
  <c r="A2496" i="208"/>
  <c r="A2497" i="208"/>
  <c r="A2498" i="208"/>
  <c r="A2499" i="208"/>
  <c r="A2500" i="208"/>
  <c r="A2501" i="208"/>
  <c r="A2502" i="208"/>
  <c r="A2503" i="208"/>
  <c r="A2504" i="208"/>
  <c r="A2505" i="208"/>
  <c r="A2506" i="208"/>
  <c r="A2507" i="208"/>
  <c r="A2508" i="208"/>
  <c r="A2509" i="208"/>
  <c r="A2510" i="208"/>
  <c r="A2511" i="208"/>
  <c r="A2512" i="208"/>
  <c r="A2513" i="208"/>
  <c r="A2514" i="208"/>
  <c r="A2515" i="208"/>
  <c r="A2516" i="208"/>
  <c r="A2517" i="208"/>
  <c r="A2518" i="208"/>
  <c r="A2519" i="208"/>
  <c r="A2520" i="208"/>
  <c r="A2521" i="208"/>
  <c r="A2522" i="208"/>
  <c r="A2523" i="208"/>
  <c r="A2524" i="208"/>
  <c r="A2525" i="208"/>
  <c r="A2526" i="208"/>
  <c r="A2527" i="208"/>
  <c r="A2528" i="208"/>
  <c r="A2529" i="208"/>
  <c r="A2530" i="208"/>
  <c r="A2531" i="208"/>
  <c r="A2532" i="208"/>
  <c r="A2533" i="208"/>
  <c r="A2534" i="208"/>
  <c r="A2535" i="208"/>
  <c r="A2536" i="208"/>
  <c r="A2537" i="208"/>
  <c r="A2538" i="208"/>
  <c r="A2539" i="208"/>
  <c r="A2540" i="208"/>
  <c r="A2541" i="208"/>
  <c r="A2542" i="208"/>
  <c r="A2543" i="208"/>
  <c r="A2544" i="208"/>
  <c r="A2545" i="208"/>
  <c r="A2546" i="208"/>
  <c r="A2547" i="208"/>
  <c r="A2548" i="208"/>
  <c r="A2549" i="208"/>
  <c r="A2550" i="208"/>
  <c r="A2551" i="208"/>
  <c r="A2552" i="208"/>
  <c r="A2553" i="208"/>
  <c r="A2554" i="208"/>
  <c r="A2555" i="208"/>
  <c r="A2556" i="208"/>
  <c r="A2557" i="208"/>
  <c r="A2558" i="208"/>
  <c r="A2559" i="208"/>
  <c r="A2560" i="208"/>
  <c r="A2561" i="208"/>
  <c r="A2562" i="208"/>
  <c r="A2563" i="208"/>
  <c r="A2564" i="208"/>
  <c r="A2565" i="208"/>
  <c r="A2566" i="208"/>
  <c r="A2567" i="208"/>
  <c r="A2568" i="208"/>
  <c r="A2569" i="208"/>
  <c r="A2570" i="208"/>
  <c r="A2571" i="208"/>
  <c r="A2572" i="208"/>
  <c r="A2573" i="208"/>
  <c r="A2574" i="208"/>
  <c r="A2575" i="208"/>
  <c r="A2576" i="208"/>
  <c r="A2577" i="208"/>
  <c r="A2578" i="208"/>
  <c r="A2579" i="208"/>
  <c r="A2580" i="208"/>
  <c r="A2581" i="208"/>
  <c r="A2582" i="208"/>
  <c r="A2583" i="208"/>
  <c r="A2584" i="208"/>
  <c r="A2585" i="208"/>
  <c r="A2586" i="208"/>
  <c r="A2587" i="208"/>
  <c r="A2588" i="208"/>
  <c r="A2589" i="208"/>
  <c r="A2590" i="208"/>
  <c r="A2591" i="208"/>
  <c r="A2592" i="208"/>
  <c r="A2593" i="208"/>
  <c r="A2594" i="208"/>
  <c r="A2595" i="208"/>
  <c r="A2596" i="208"/>
  <c r="A2597" i="208"/>
  <c r="A2598" i="208"/>
  <c r="A2599" i="208"/>
  <c r="A2600" i="208"/>
  <c r="A2601" i="208"/>
  <c r="A2602" i="208"/>
  <c r="A2603" i="208"/>
  <c r="A2604" i="208"/>
  <c r="A2605" i="208"/>
  <c r="A2606" i="208"/>
  <c r="A2607" i="208"/>
  <c r="A2608" i="208"/>
  <c r="A2609" i="208"/>
  <c r="A2610" i="208"/>
  <c r="A2611" i="208"/>
  <c r="A2612" i="208"/>
  <c r="A2613" i="208"/>
  <c r="A2614" i="208"/>
  <c r="A2615" i="208"/>
  <c r="A2616" i="208"/>
  <c r="A2617" i="208"/>
  <c r="A2618" i="208"/>
  <c r="A2619" i="208"/>
  <c r="A2620" i="208"/>
  <c r="A2621" i="208"/>
  <c r="A2622" i="208"/>
  <c r="A2623" i="208"/>
  <c r="A2624" i="208"/>
  <c r="A2625" i="208"/>
  <c r="A2626" i="208"/>
  <c r="A2627" i="208"/>
  <c r="A2628" i="208"/>
  <c r="A2629" i="208"/>
  <c r="A2630" i="208"/>
  <c r="A2631" i="208"/>
  <c r="A2632" i="208"/>
  <c r="A2633" i="208"/>
  <c r="A2634" i="208"/>
  <c r="A2635" i="208"/>
  <c r="A2636" i="208"/>
  <c r="A2637" i="208"/>
  <c r="A2638" i="208"/>
  <c r="A2639" i="208"/>
  <c r="A2640" i="208"/>
  <c r="A2641" i="208"/>
  <c r="A2642" i="208"/>
  <c r="A2643" i="208"/>
  <c r="A2644" i="208"/>
  <c r="A2645" i="208"/>
  <c r="A2646" i="208"/>
  <c r="A2647" i="208"/>
  <c r="A2648" i="208"/>
  <c r="A2649" i="208"/>
  <c r="A2650" i="208"/>
  <c r="A2651" i="208"/>
  <c r="A2652" i="208"/>
  <c r="A2653" i="208"/>
  <c r="A2654" i="208"/>
  <c r="A2655" i="208"/>
  <c r="A2656" i="208"/>
  <c r="A2657" i="208"/>
  <c r="A2658" i="208"/>
  <c r="A2659" i="208"/>
  <c r="A2660" i="208"/>
  <c r="A2661" i="208"/>
  <c r="A2662" i="208"/>
  <c r="A2663" i="208"/>
  <c r="A2664" i="208"/>
  <c r="A2665" i="208"/>
  <c r="A2666" i="208"/>
  <c r="A2667" i="208"/>
  <c r="A2668" i="208"/>
  <c r="A2669" i="208"/>
  <c r="A2670" i="208"/>
  <c r="A2671" i="208"/>
  <c r="A2672" i="208"/>
  <c r="A2673" i="208"/>
  <c r="A2674" i="208"/>
  <c r="A2675" i="208"/>
  <c r="A2676" i="208"/>
  <c r="A2677" i="208"/>
  <c r="A2678" i="208"/>
  <c r="A2679" i="208"/>
  <c r="A2680" i="208"/>
  <c r="A2681" i="208"/>
  <c r="A2682" i="208"/>
  <c r="A2683" i="208"/>
  <c r="A2684" i="208"/>
  <c r="A2685" i="208"/>
  <c r="A2686" i="208"/>
  <c r="A2687" i="208"/>
  <c r="A2688" i="208"/>
  <c r="A2689" i="208"/>
  <c r="A2690" i="208"/>
  <c r="A2691" i="208"/>
  <c r="A2692" i="208"/>
  <c r="A2693" i="208"/>
  <c r="A2694" i="208"/>
  <c r="A2695" i="208"/>
  <c r="A2696" i="208"/>
  <c r="A2697" i="208"/>
  <c r="A2698" i="208"/>
  <c r="A2699" i="208"/>
  <c r="A2700" i="208"/>
  <c r="A2701" i="208"/>
  <c r="A2702" i="208"/>
  <c r="A2703" i="208"/>
  <c r="A2704" i="208"/>
  <c r="A2705" i="208"/>
  <c r="A2706" i="208"/>
  <c r="A2707" i="208"/>
  <c r="A2708" i="208"/>
  <c r="A2709" i="208"/>
  <c r="A2710" i="208"/>
  <c r="A2711" i="208"/>
  <c r="A2712" i="208"/>
  <c r="A2713" i="208"/>
  <c r="A2714" i="208"/>
  <c r="A2715" i="208"/>
  <c r="A2716" i="208"/>
  <c r="A2717" i="208"/>
  <c r="A2718" i="208"/>
  <c r="A2719" i="208"/>
  <c r="A2720" i="208"/>
  <c r="A2721" i="208"/>
  <c r="A2722" i="208"/>
  <c r="A2723" i="208"/>
  <c r="A2724" i="208"/>
  <c r="A2725" i="208"/>
  <c r="A2726" i="208"/>
  <c r="A2727" i="208"/>
  <c r="A2728" i="208"/>
  <c r="A2729" i="208"/>
  <c r="A2730" i="208"/>
  <c r="A2731" i="208"/>
  <c r="A2732" i="208"/>
  <c r="A2733" i="208"/>
  <c r="A2734" i="208"/>
  <c r="A2735" i="208"/>
  <c r="A2736" i="208"/>
  <c r="A2737" i="208"/>
  <c r="A2738" i="208"/>
  <c r="A2739" i="208"/>
  <c r="A2740" i="208"/>
  <c r="A2741" i="208"/>
  <c r="A2742" i="208"/>
  <c r="A2743" i="208"/>
  <c r="A2744" i="208"/>
  <c r="A2745" i="208"/>
  <c r="A2746" i="208"/>
  <c r="A2747" i="208"/>
  <c r="A2748" i="208"/>
  <c r="A2749" i="208"/>
  <c r="A2750" i="208"/>
  <c r="A2751" i="208"/>
  <c r="A2752" i="208"/>
  <c r="A2753" i="208"/>
  <c r="A2754" i="208"/>
  <c r="A2755" i="208"/>
  <c r="A2756" i="208"/>
  <c r="A2757" i="208"/>
  <c r="A2758" i="208"/>
  <c r="A2759" i="208"/>
  <c r="A2760" i="208"/>
  <c r="A2761" i="208"/>
  <c r="A2762" i="208"/>
  <c r="A2763" i="208"/>
  <c r="A2764" i="208"/>
  <c r="A2765" i="208"/>
  <c r="A2766" i="208"/>
  <c r="A2767" i="208"/>
  <c r="A2768" i="208"/>
  <c r="A2769" i="208"/>
  <c r="A2770" i="208"/>
  <c r="A2771" i="208"/>
  <c r="A2772" i="208"/>
  <c r="A2773" i="208"/>
  <c r="A2774" i="208"/>
  <c r="A2775" i="208"/>
  <c r="A2776" i="208"/>
  <c r="A2777" i="208"/>
  <c r="A2778" i="208"/>
  <c r="A2779" i="208"/>
  <c r="A2780" i="208"/>
  <c r="A2781" i="208"/>
  <c r="A2782" i="208"/>
  <c r="A2783" i="208"/>
  <c r="A2784" i="208"/>
  <c r="A2785" i="208"/>
  <c r="A2786" i="208"/>
  <c r="A2787" i="208"/>
  <c r="A2788" i="208"/>
  <c r="A2789" i="208"/>
  <c r="A2790" i="208"/>
  <c r="A2791" i="208"/>
  <c r="A2792" i="208"/>
  <c r="A2793" i="208"/>
  <c r="A2794" i="208"/>
  <c r="A2795" i="208"/>
  <c r="A2796" i="208"/>
  <c r="A2797" i="208"/>
  <c r="A2798" i="208"/>
  <c r="A2799" i="208"/>
  <c r="A2800" i="208"/>
  <c r="A2801" i="208"/>
  <c r="A2802" i="208"/>
  <c r="A2803" i="208"/>
  <c r="A2804" i="208"/>
  <c r="A2805" i="208"/>
  <c r="A2806" i="208"/>
  <c r="A2807" i="208"/>
  <c r="A2808" i="208"/>
  <c r="A2809" i="208"/>
  <c r="A2810" i="208"/>
  <c r="A2811" i="208"/>
  <c r="A2812" i="208"/>
  <c r="A2813" i="208"/>
  <c r="A2814" i="208"/>
  <c r="A2815" i="208"/>
  <c r="A2816" i="208"/>
  <c r="A2817" i="208"/>
  <c r="A2818" i="208"/>
  <c r="A2819" i="208"/>
  <c r="A2820" i="208"/>
  <c r="A2821" i="208"/>
  <c r="A2822" i="208"/>
  <c r="A2823" i="208"/>
  <c r="A2824" i="208"/>
  <c r="A2825" i="208"/>
  <c r="A2826" i="208"/>
  <c r="A2827" i="208"/>
  <c r="A2828" i="208"/>
  <c r="A2829" i="208"/>
  <c r="A2830" i="208"/>
  <c r="A2831" i="208"/>
  <c r="A2832" i="208"/>
  <c r="A2833" i="208"/>
  <c r="A2834" i="208"/>
  <c r="A2835" i="208"/>
  <c r="A2836" i="208"/>
  <c r="A2837" i="208"/>
  <c r="A2838" i="208"/>
  <c r="A2839" i="208"/>
  <c r="A2840" i="208"/>
  <c r="A2841" i="208"/>
  <c r="A2842" i="208"/>
  <c r="A2843" i="208"/>
  <c r="A2844" i="208"/>
  <c r="A2845" i="208"/>
  <c r="A2846" i="208"/>
  <c r="A2847" i="208"/>
  <c r="A2848" i="208"/>
  <c r="A2849" i="208"/>
  <c r="A2850" i="208"/>
  <c r="A2851" i="208"/>
  <c r="A2852" i="208"/>
  <c r="A2853" i="208"/>
  <c r="A2854" i="208"/>
  <c r="A2855" i="208"/>
  <c r="A2856" i="208"/>
  <c r="A2857" i="208"/>
  <c r="A2858" i="208"/>
  <c r="A2859" i="208"/>
  <c r="A2860" i="208"/>
  <c r="A2861" i="208"/>
  <c r="A2862" i="208"/>
  <c r="A2863" i="208"/>
  <c r="A2864" i="208"/>
  <c r="A2865" i="208"/>
  <c r="A2866" i="208"/>
  <c r="A2867" i="208"/>
  <c r="A2868" i="208"/>
  <c r="A2869" i="208"/>
  <c r="A2870" i="208"/>
  <c r="A2871" i="208"/>
  <c r="A2872" i="208"/>
  <c r="A2873" i="208"/>
  <c r="A2874" i="208"/>
  <c r="A2875" i="208"/>
  <c r="A2876" i="208"/>
  <c r="A2877" i="208"/>
  <c r="A2878" i="208"/>
  <c r="A2879" i="208"/>
  <c r="A2880" i="208"/>
  <c r="A2881" i="208"/>
  <c r="A2882" i="208"/>
  <c r="A2883" i="208"/>
  <c r="A2884" i="208"/>
  <c r="A2885" i="208"/>
  <c r="A2886" i="208"/>
  <c r="A2887" i="208"/>
  <c r="A2888" i="208"/>
  <c r="A2889" i="208"/>
  <c r="A2890" i="208"/>
  <c r="A2891" i="208"/>
  <c r="A2892" i="208"/>
  <c r="A2893" i="208"/>
  <c r="A2894" i="208"/>
  <c r="A2895" i="208"/>
  <c r="A2896" i="208"/>
  <c r="A2897" i="208"/>
  <c r="A2898" i="208"/>
  <c r="A2899" i="208"/>
  <c r="A2900" i="208"/>
  <c r="A2901" i="208"/>
  <c r="A2902" i="208"/>
  <c r="A2903" i="208"/>
  <c r="A2904" i="208"/>
  <c r="A2905" i="208"/>
  <c r="A2906" i="208"/>
  <c r="A2907" i="208"/>
  <c r="A2908" i="208"/>
  <c r="A2909" i="208"/>
  <c r="A2910" i="208"/>
  <c r="A2911" i="208"/>
  <c r="A2912" i="208"/>
  <c r="A2913" i="208"/>
  <c r="A2914" i="208"/>
  <c r="A2915" i="208"/>
  <c r="A2916" i="208"/>
  <c r="A2917" i="208"/>
  <c r="A2918" i="208"/>
  <c r="A2919" i="208"/>
  <c r="A2920" i="208"/>
  <c r="A2921" i="208"/>
  <c r="A2922" i="208"/>
  <c r="A2923" i="208"/>
  <c r="A2924" i="208"/>
  <c r="A2925" i="208"/>
  <c r="A2926" i="208"/>
  <c r="A2927" i="208"/>
  <c r="A2928" i="208"/>
  <c r="A2929" i="208"/>
  <c r="A2930" i="208"/>
  <c r="A2931" i="208"/>
  <c r="A2932" i="208"/>
  <c r="A2933" i="208"/>
  <c r="A2934" i="208"/>
  <c r="A2935" i="208"/>
  <c r="A2936" i="208"/>
  <c r="A2937" i="208"/>
  <c r="A2938" i="208"/>
  <c r="A2939" i="208"/>
  <c r="A2940" i="208"/>
  <c r="A2941" i="208"/>
  <c r="A2942" i="208"/>
  <c r="A2943" i="208"/>
  <c r="A2944" i="208"/>
  <c r="A2945" i="208"/>
  <c r="A2946" i="208"/>
  <c r="A2947" i="208"/>
  <c r="A2948" i="208"/>
  <c r="A2949" i="208"/>
  <c r="A2950" i="208"/>
  <c r="A2951" i="208"/>
  <c r="A2952" i="208"/>
  <c r="A2953" i="208"/>
  <c r="A2954" i="208"/>
  <c r="A2955" i="208"/>
  <c r="A2956" i="208"/>
  <c r="A2957" i="208"/>
  <c r="A2958" i="208"/>
  <c r="A2959" i="208"/>
  <c r="A2960" i="208"/>
  <c r="A2961" i="208"/>
  <c r="A2962" i="208"/>
  <c r="A2963" i="208"/>
  <c r="A2964" i="208"/>
  <c r="A2965" i="208"/>
  <c r="A2966" i="208"/>
  <c r="A2967" i="208"/>
  <c r="A2968" i="208"/>
  <c r="A2969" i="208"/>
  <c r="A2970" i="208"/>
  <c r="A2971" i="208"/>
  <c r="A2972" i="208"/>
  <c r="A2973" i="208"/>
  <c r="A2974" i="208"/>
  <c r="A2975" i="208"/>
  <c r="A2976" i="208"/>
  <c r="A2977" i="208"/>
  <c r="A2978" i="208"/>
  <c r="A2979" i="208"/>
  <c r="A2980" i="208"/>
  <c r="A2981" i="208"/>
  <c r="A2982" i="208"/>
  <c r="A2983" i="208"/>
  <c r="A2984" i="208"/>
  <c r="A2985" i="208"/>
  <c r="A2986" i="208"/>
  <c r="A2987" i="208"/>
  <c r="A2988" i="208"/>
  <c r="A2989" i="208"/>
  <c r="A2990" i="208"/>
  <c r="A2991" i="208"/>
  <c r="A2992" i="208"/>
  <c r="A2993" i="208"/>
  <c r="A2994" i="208"/>
  <c r="A2995" i="208"/>
  <c r="A2996" i="208"/>
  <c r="A2997" i="208"/>
  <c r="A2998" i="208"/>
  <c r="A2999" i="208"/>
  <c r="A3000" i="208"/>
  <c r="A302" i="208"/>
  <c r="A2" i="208"/>
  <c r="A3" i="208"/>
  <c r="A4" i="208"/>
  <c r="A5" i="208"/>
  <c r="A6" i="208"/>
  <c r="A7" i="208"/>
  <c r="A8" i="208"/>
  <c r="A9" i="208"/>
  <c r="A10" i="208"/>
  <c r="A11" i="208"/>
  <c r="A12" i="208"/>
  <c r="A13" i="208"/>
  <c r="A14" i="208"/>
  <c r="A15" i="208"/>
  <c r="A16" i="208"/>
  <c r="A17" i="208"/>
  <c r="A18" i="208"/>
  <c r="A19" i="208"/>
  <c r="A20" i="208"/>
  <c r="A21" i="208"/>
  <c r="A22" i="208"/>
  <c r="A23" i="208"/>
  <c r="A24" i="208"/>
  <c r="A25" i="208"/>
  <c r="A26" i="208"/>
  <c r="A27" i="208"/>
  <c r="A28" i="208"/>
  <c r="A29" i="208"/>
  <c r="A30" i="208"/>
  <c r="A31" i="208"/>
  <c r="A32" i="208"/>
  <c r="A33" i="208"/>
  <c r="A34" i="208"/>
  <c r="A35" i="208"/>
  <c r="A36" i="208"/>
  <c r="A37" i="208"/>
  <c r="A38" i="208"/>
  <c r="A39" i="208"/>
  <c r="A40" i="208"/>
  <c r="A41" i="208"/>
  <c r="A42" i="208"/>
  <c r="A43" i="208"/>
  <c r="A44" i="208"/>
  <c r="A45" i="208"/>
  <c r="A46" i="208"/>
  <c r="A47" i="208"/>
  <c r="A48" i="208"/>
  <c r="A49" i="208"/>
  <c r="A50" i="208"/>
  <c r="A51" i="208"/>
  <c r="A52" i="208"/>
  <c r="A53" i="208"/>
  <c r="A54" i="208"/>
  <c r="A55" i="208"/>
  <c r="A56" i="208"/>
  <c r="A57" i="208"/>
  <c r="A58" i="208"/>
  <c r="A59" i="208"/>
  <c r="A60" i="208"/>
  <c r="A61" i="208"/>
  <c r="A62" i="208"/>
  <c r="A63" i="208"/>
  <c r="A64" i="208"/>
  <c r="A65" i="208"/>
  <c r="A66" i="208"/>
  <c r="A67" i="208"/>
  <c r="A68" i="208"/>
  <c r="A69" i="208"/>
  <c r="A70" i="208"/>
  <c r="A71" i="208"/>
  <c r="A72" i="208"/>
  <c r="A73" i="208"/>
  <c r="A74" i="208"/>
  <c r="A75" i="208"/>
  <c r="A76" i="208"/>
  <c r="A77" i="208"/>
  <c r="A78" i="208"/>
  <c r="A79" i="208"/>
  <c r="A80" i="208"/>
  <c r="A81" i="208"/>
  <c r="A82" i="208"/>
  <c r="A83" i="208"/>
  <c r="A84" i="208"/>
  <c r="A85" i="208"/>
  <c r="A86" i="208"/>
  <c r="A87" i="208"/>
  <c r="A88" i="208"/>
  <c r="A89" i="208"/>
  <c r="A90" i="208"/>
  <c r="A91" i="208"/>
  <c r="A92" i="208"/>
  <c r="A93" i="208"/>
  <c r="A94" i="208"/>
  <c r="A95" i="208"/>
  <c r="A96" i="208"/>
  <c r="A97" i="208"/>
  <c r="A98" i="208"/>
  <c r="A99" i="208"/>
  <c r="A100" i="208"/>
  <c r="A101" i="208"/>
  <c r="A102" i="208"/>
  <c r="A103" i="208"/>
  <c r="A104" i="208"/>
  <c r="A105" i="208"/>
  <c r="A106" i="208"/>
  <c r="A107" i="208"/>
  <c r="A108" i="208"/>
  <c r="A109" i="208"/>
  <c r="A110" i="208"/>
  <c r="A111" i="208"/>
  <c r="A112" i="208"/>
  <c r="A113" i="208"/>
  <c r="A114" i="208"/>
  <c r="A115" i="208"/>
  <c r="A116" i="208"/>
  <c r="A117" i="208"/>
  <c r="A118" i="208"/>
  <c r="A119" i="208"/>
  <c r="A120" i="208"/>
  <c r="A121" i="208"/>
  <c r="A122" i="208"/>
  <c r="A123" i="208"/>
  <c r="A124" i="208"/>
  <c r="A125" i="208"/>
  <c r="A126" i="208"/>
  <c r="A127" i="208"/>
  <c r="A128" i="208"/>
  <c r="A129" i="208"/>
  <c r="A130" i="208"/>
  <c r="A131" i="208"/>
  <c r="A132" i="208"/>
  <c r="A133" i="208"/>
  <c r="A134" i="208"/>
  <c r="A135" i="208"/>
  <c r="A136" i="208"/>
  <c r="A137" i="208"/>
  <c r="A138" i="208"/>
  <c r="A139" i="208"/>
  <c r="A140" i="208"/>
  <c r="A141" i="208"/>
  <c r="A142" i="208"/>
  <c r="A143" i="208"/>
  <c r="A144" i="208"/>
  <c r="A145" i="208"/>
  <c r="A146" i="208"/>
  <c r="A147" i="208"/>
  <c r="A148" i="208"/>
  <c r="A149" i="208"/>
  <c r="A150" i="208"/>
  <c r="A151" i="208"/>
  <c r="A152" i="208"/>
  <c r="A153" i="208"/>
  <c r="A154" i="208"/>
  <c r="A155" i="208"/>
  <c r="A156" i="208"/>
  <c r="A157" i="208"/>
  <c r="A158" i="208"/>
  <c r="A159" i="208"/>
  <c r="A160" i="208"/>
  <c r="A161" i="208"/>
  <c r="A162" i="208"/>
  <c r="A163" i="208"/>
  <c r="A164" i="208"/>
  <c r="A165" i="208"/>
  <c r="A166" i="208"/>
  <c r="A167" i="208"/>
  <c r="A168" i="208"/>
  <c r="A169" i="208"/>
  <c r="A170" i="208"/>
  <c r="A171" i="208"/>
  <c r="A172" i="208"/>
  <c r="A173" i="208"/>
  <c r="A174" i="208"/>
  <c r="A175" i="208"/>
  <c r="A176" i="208"/>
  <c r="A177" i="208"/>
  <c r="A178" i="208"/>
  <c r="A179" i="208"/>
  <c r="A180" i="208"/>
  <c r="A181" i="208"/>
  <c r="A182" i="208"/>
  <c r="A183" i="208"/>
  <c r="A184" i="208"/>
  <c r="A185" i="208"/>
  <c r="A186" i="208"/>
  <c r="A187" i="208"/>
  <c r="A188" i="208"/>
  <c r="A189" i="208"/>
  <c r="A190" i="208"/>
  <c r="A191" i="208"/>
  <c r="A192" i="208"/>
  <c r="A193" i="208"/>
  <c r="A194" i="208"/>
  <c r="A195" i="208"/>
  <c r="A196" i="208"/>
  <c r="A197" i="208"/>
  <c r="A198" i="208"/>
  <c r="A199" i="208"/>
  <c r="A200" i="208"/>
  <c r="A201" i="208"/>
  <c r="A202" i="208"/>
  <c r="A203" i="208"/>
  <c r="A204" i="208"/>
  <c r="A205" i="208"/>
  <c r="A206" i="208"/>
  <c r="A207" i="208"/>
  <c r="A208" i="208"/>
  <c r="A209" i="208"/>
  <c r="A210" i="208"/>
  <c r="A211" i="208"/>
  <c r="A212" i="208"/>
  <c r="A213" i="208"/>
  <c r="A214" i="208"/>
  <c r="A215" i="208"/>
  <c r="A216" i="208"/>
  <c r="A217" i="208"/>
  <c r="A218" i="208"/>
  <c r="A219" i="208"/>
  <c r="A220" i="208"/>
  <c r="A221" i="208"/>
  <c r="A222" i="208"/>
  <c r="A223" i="208"/>
  <c r="A224" i="208"/>
  <c r="A225" i="208"/>
  <c r="A226" i="208"/>
  <c r="A227" i="208"/>
  <c r="A228" i="208"/>
  <c r="A229" i="208"/>
  <c r="A230" i="208"/>
  <c r="A231" i="208"/>
  <c r="A232" i="208"/>
  <c r="A233" i="208"/>
  <c r="A234" i="208"/>
  <c r="A235" i="208"/>
  <c r="A236" i="208"/>
  <c r="A237" i="208"/>
  <c r="A238" i="208"/>
  <c r="A239" i="208"/>
  <c r="A240" i="208"/>
  <c r="A241" i="208"/>
  <c r="A242" i="208"/>
  <c r="A243" i="208"/>
  <c r="A244" i="208"/>
  <c r="A245" i="208"/>
  <c r="A246" i="208"/>
  <c r="A247" i="208"/>
  <c r="A248" i="208"/>
  <c r="A249" i="208"/>
  <c r="A250" i="208"/>
  <c r="A251" i="208"/>
  <c r="A252" i="208"/>
  <c r="A253" i="208"/>
  <c r="A254" i="208"/>
  <c r="A255" i="208"/>
  <c r="A256" i="208"/>
  <c r="A257" i="208"/>
  <c r="A258" i="208"/>
  <c r="A259" i="208"/>
  <c r="A260" i="208"/>
  <c r="A261" i="208"/>
  <c r="A262" i="208"/>
  <c r="A263" i="208"/>
  <c r="A264" i="208"/>
  <c r="A265" i="208"/>
  <c r="A266" i="208"/>
  <c r="A267" i="208"/>
  <c r="A268" i="208"/>
  <c r="A269" i="208"/>
  <c r="A270" i="208"/>
  <c r="A271" i="208"/>
  <c r="A272" i="208"/>
  <c r="A273" i="208"/>
  <c r="A274" i="208"/>
  <c r="A275" i="208"/>
  <c r="A276" i="208"/>
  <c r="A277" i="208"/>
  <c r="A278" i="208"/>
  <c r="A279" i="208"/>
  <c r="A280" i="208"/>
  <c r="A281" i="208"/>
  <c r="A282" i="208"/>
  <c r="A283" i="208"/>
  <c r="A284" i="208"/>
  <c r="A285" i="208"/>
  <c r="A286" i="208"/>
  <c r="A287" i="208"/>
  <c r="A288" i="208"/>
  <c r="A289" i="208"/>
  <c r="A290" i="208"/>
  <c r="A291" i="208"/>
  <c r="A292" i="208"/>
  <c r="A293" i="208"/>
  <c r="A294" i="208"/>
  <c r="A295" i="208"/>
  <c r="A296" i="208"/>
  <c r="A297" i="208"/>
  <c r="A298" i="208"/>
  <c r="A299" i="208"/>
  <c r="A300" i="208"/>
  <c r="A301" i="208"/>
  <c r="G34" i="198"/>
  <c r="G58" i="198"/>
  <c r="G44" i="198"/>
  <c r="B12" i="199"/>
  <c r="E58" i="198"/>
  <c r="E44" i="198"/>
  <c r="B5" i="199"/>
  <c r="B4" i="206"/>
  <c r="G33" i="198"/>
  <c r="B3" i="199"/>
  <c r="B5" i="206"/>
  <c r="G35" i="198"/>
  <c r="I58" i="198"/>
  <c r="I44" i="198"/>
  <c r="B667" i="33"/>
  <c r="B627" i="33"/>
  <c r="B605" i="33"/>
  <c r="B565" i="33"/>
  <c r="B543" i="33"/>
  <c r="B503" i="33"/>
  <c r="B481" i="33"/>
  <c r="B441" i="33"/>
  <c r="B419" i="33"/>
  <c r="B379" i="33"/>
  <c r="B357" i="33"/>
  <c r="B317" i="33"/>
  <c r="B295" i="33"/>
  <c r="B255" i="33"/>
  <c r="B233" i="33"/>
  <c r="B193" i="33"/>
  <c r="B171" i="33"/>
  <c r="B131" i="33"/>
  <c r="F681" i="33"/>
  <c r="F679" i="33"/>
  <c r="F670" i="33"/>
  <c r="E670" i="33"/>
  <c r="F630" i="33"/>
  <c r="E630" i="33"/>
  <c r="F619" i="33"/>
  <c r="F617" i="33"/>
  <c r="F608" i="33"/>
  <c r="E608" i="33"/>
  <c r="F568" i="33"/>
  <c r="E568" i="33"/>
  <c r="F557" i="33"/>
  <c r="F555" i="33"/>
  <c r="F546" i="33"/>
  <c r="E546" i="33"/>
  <c r="F506" i="33"/>
  <c r="E506" i="33"/>
  <c r="F495" i="33"/>
  <c r="F493" i="33"/>
  <c r="F484" i="33"/>
  <c r="E484" i="33"/>
  <c r="F444" i="33"/>
  <c r="E444" i="33"/>
  <c r="F433" i="33"/>
  <c r="F431" i="33"/>
  <c r="F422" i="33"/>
  <c r="E422" i="33"/>
  <c r="F382" i="33"/>
  <c r="E382" i="33"/>
  <c r="F371" i="33"/>
  <c r="F369" i="33"/>
  <c r="F360" i="33"/>
  <c r="E360" i="33"/>
  <c r="F320" i="33"/>
  <c r="E320" i="33"/>
  <c r="F309" i="33"/>
  <c r="F307" i="33"/>
  <c r="F298" i="33"/>
  <c r="E298" i="33"/>
  <c r="F258" i="33"/>
  <c r="E258" i="33"/>
  <c r="F247" i="33"/>
  <c r="F245" i="33"/>
  <c r="F236" i="33"/>
  <c r="E236" i="33"/>
  <c r="F196" i="33"/>
  <c r="E196" i="33"/>
  <c r="F185" i="33"/>
  <c r="F183" i="33"/>
  <c r="F174" i="33"/>
  <c r="E174" i="33"/>
  <c r="F134" i="33"/>
  <c r="E134" i="33"/>
  <c r="F123" i="33"/>
  <c r="F121" i="33"/>
  <c r="B109" i="33" l="1"/>
  <c r="B69" i="33"/>
  <c r="F112" i="33"/>
  <c r="E112" i="33"/>
  <c r="F72" i="33"/>
  <c r="E72" i="33"/>
  <c r="F2955" i="29"/>
  <c r="F2953" i="29"/>
  <c r="F2950" i="29"/>
  <c r="F2949" i="29"/>
  <c r="F2941" i="29"/>
  <c r="E2941" i="29"/>
  <c r="F2850" i="29"/>
  <c r="E2850" i="29"/>
  <c r="F2813" i="29"/>
  <c r="F2811" i="29"/>
  <c r="F2808" i="29"/>
  <c r="F2807" i="29"/>
  <c r="F2799" i="29"/>
  <c r="E2799" i="29"/>
  <c r="F2708" i="29"/>
  <c r="E2708" i="29"/>
  <c r="F2671" i="29"/>
  <c r="F2669" i="29"/>
  <c r="F2666" i="29"/>
  <c r="F2665" i="29"/>
  <c r="F2657" i="29"/>
  <c r="E2657" i="29"/>
  <c r="F2566" i="29"/>
  <c r="E2566" i="29"/>
  <c r="F2529" i="29"/>
  <c r="F2527" i="29"/>
  <c r="F2524" i="29"/>
  <c r="F2523" i="29"/>
  <c r="F2515" i="29"/>
  <c r="E2515" i="29"/>
  <c r="F2424" i="29"/>
  <c r="E2424" i="29"/>
  <c r="F2387" i="29"/>
  <c r="F2385" i="29"/>
  <c r="F2382" i="29"/>
  <c r="F2381" i="29"/>
  <c r="F2373" i="29"/>
  <c r="E2373" i="29"/>
  <c r="F2282" i="29"/>
  <c r="E2282" i="29"/>
  <c r="F2245" i="29"/>
  <c r="F2243" i="29"/>
  <c r="F2240" i="29"/>
  <c r="F2239" i="29"/>
  <c r="F2231" i="29"/>
  <c r="E2231" i="29"/>
  <c r="F2140" i="29"/>
  <c r="E2140" i="29"/>
  <c r="F2103" i="29"/>
  <c r="F2101" i="29"/>
  <c r="F2098" i="29"/>
  <c r="F2097" i="29"/>
  <c r="F2089" i="29"/>
  <c r="E2089" i="29"/>
  <c r="F1998" i="29"/>
  <c r="E1998" i="29"/>
  <c r="F1961" i="29"/>
  <c r="F1959" i="29"/>
  <c r="F1956" i="29"/>
  <c r="F1955" i="29"/>
  <c r="F1947" i="29"/>
  <c r="E1947" i="29"/>
  <c r="F1856" i="29"/>
  <c r="E1856" i="29"/>
  <c r="F1819" i="29"/>
  <c r="F1817" i="29"/>
  <c r="F1814" i="29"/>
  <c r="F1813" i="29"/>
  <c r="F1805" i="29"/>
  <c r="E1805" i="29"/>
  <c r="F1714" i="29"/>
  <c r="E1714" i="29"/>
  <c r="F1677" i="29"/>
  <c r="F1675" i="29"/>
  <c r="F1672" i="29"/>
  <c r="F1671" i="29"/>
  <c r="F1663" i="29"/>
  <c r="E1663" i="29"/>
  <c r="F1572" i="29"/>
  <c r="E1572" i="29"/>
  <c r="F1535" i="29"/>
  <c r="F1533" i="29"/>
  <c r="F1530" i="29"/>
  <c r="F1529" i="29"/>
  <c r="F1521" i="29"/>
  <c r="E1521" i="29"/>
  <c r="F1430" i="29"/>
  <c r="E1430" i="29"/>
  <c r="F1393" i="29"/>
  <c r="F1391" i="29"/>
  <c r="F1388" i="29"/>
  <c r="F1387" i="29"/>
  <c r="F1379" i="29"/>
  <c r="E1379" i="29"/>
  <c r="F1288" i="29"/>
  <c r="E1288" i="29"/>
  <c r="F1251" i="29"/>
  <c r="F1249" i="29"/>
  <c r="F1246" i="29"/>
  <c r="F1245" i="29"/>
  <c r="F1237" i="29"/>
  <c r="E1237" i="29"/>
  <c r="F1146" i="29"/>
  <c r="E1146" i="29"/>
  <c r="F1109" i="29"/>
  <c r="F1107" i="29"/>
  <c r="F1104" i="29"/>
  <c r="F1103" i="29"/>
  <c r="F1095" i="29"/>
  <c r="E1095" i="29"/>
  <c r="F1004" i="29"/>
  <c r="E1004" i="29"/>
  <c r="F967" i="29"/>
  <c r="F965" i="29"/>
  <c r="F962" i="29"/>
  <c r="F961" i="29"/>
  <c r="F953" i="29"/>
  <c r="E953" i="29"/>
  <c r="F862" i="29"/>
  <c r="E862" i="29"/>
  <c r="F825" i="29"/>
  <c r="F823" i="29"/>
  <c r="F820" i="29"/>
  <c r="F819" i="29"/>
  <c r="F811" i="29"/>
  <c r="E811" i="29"/>
  <c r="F720" i="29"/>
  <c r="E720" i="29"/>
  <c r="F683" i="29"/>
  <c r="F681" i="29"/>
  <c r="F678" i="29"/>
  <c r="F677" i="29"/>
  <c r="F669" i="29"/>
  <c r="E669" i="29"/>
  <c r="F578" i="29"/>
  <c r="E578" i="29"/>
  <c r="F541" i="29"/>
  <c r="F539" i="29"/>
  <c r="F536" i="29"/>
  <c r="F535" i="29"/>
  <c r="F527" i="29"/>
  <c r="E527" i="29"/>
  <c r="F436" i="29"/>
  <c r="E436" i="29"/>
  <c r="F399" i="29"/>
  <c r="F397" i="29"/>
  <c r="F394" i="29"/>
  <c r="F393" i="29"/>
  <c r="F385" i="29"/>
  <c r="E385" i="29"/>
  <c r="F294" i="29"/>
  <c r="E294" i="29"/>
  <c r="B2938" i="29"/>
  <c r="B2847" i="29"/>
  <c r="B2796" i="29"/>
  <c r="B2705" i="29"/>
  <c r="B2654" i="29"/>
  <c r="B2563" i="29"/>
  <c r="B2512" i="29"/>
  <c r="B2421" i="29"/>
  <c r="B2370" i="29"/>
  <c r="B2279" i="29"/>
  <c r="B2228" i="29"/>
  <c r="B2137" i="29"/>
  <c r="B2086" i="29"/>
  <c r="B1995" i="29"/>
  <c r="B1944" i="29"/>
  <c r="B1853" i="29"/>
  <c r="B1802" i="29"/>
  <c r="B1711" i="29"/>
  <c r="B1660" i="29"/>
  <c r="B1569" i="29"/>
  <c r="B2844" i="29"/>
  <c r="B2702" i="29"/>
  <c r="B2560" i="29"/>
  <c r="B2418" i="29"/>
  <c r="B2276" i="29"/>
  <c r="B2134" i="29"/>
  <c r="B1992" i="29"/>
  <c r="B1850" i="29"/>
  <c r="B1708" i="29"/>
  <c r="B1566" i="29"/>
  <c r="B1518" i="29"/>
  <c r="B1427" i="29"/>
  <c r="B1376" i="29"/>
  <c r="B1285" i="29"/>
  <c r="B1234" i="29"/>
  <c r="B1143" i="29"/>
  <c r="B1092" i="29"/>
  <c r="B1001" i="29"/>
  <c r="B950" i="29"/>
  <c r="B859" i="29"/>
  <c r="B808" i="29"/>
  <c r="B717" i="29"/>
  <c r="B666" i="29"/>
  <c r="B575" i="29"/>
  <c r="B524" i="29"/>
  <c r="B433" i="29"/>
  <c r="B382" i="29"/>
  <c r="B291" i="29"/>
  <c r="B1424" i="29" l="1"/>
  <c r="B1282" i="29"/>
  <c r="B1140" i="29"/>
  <c r="B998" i="29"/>
  <c r="B856" i="29"/>
  <c r="B714" i="29"/>
  <c r="B572" i="29"/>
  <c r="B430" i="29"/>
  <c r="B288" i="29"/>
  <c r="F243" i="29"/>
  <c r="E243" i="29"/>
  <c r="B240" i="29"/>
  <c r="F152" i="29"/>
  <c r="E152" i="29"/>
  <c r="B149" i="29"/>
  <c r="F101" i="29"/>
  <c r="E101" i="29"/>
  <c r="F10" i="29"/>
  <c r="E10" i="29"/>
  <c r="B146" i="29" l="1"/>
  <c r="B4" i="29"/>
  <c r="F257" i="29"/>
  <c r="F255" i="29"/>
  <c r="F252" i="29"/>
  <c r="F251" i="29"/>
  <c r="B4" i="199"/>
  <c r="B3" i="206"/>
  <c r="B35" i="206"/>
  <c r="B23" i="206"/>
  <c r="B13" i="206"/>
  <c r="B8" i="206"/>
  <c r="B2" i="206" l="1"/>
  <c r="G68" i="198"/>
  <c r="G8" i="158"/>
  <c r="E8" i="158"/>
  <c r="F8" i="158"/>
  <c r="U303" i="208"/>
  <c r="U304" i="208"/>
  <c r="U305" i="208"/>
  <c r="U306" i="208"/>
  <c r="U307" i="208"/>
  <c r="U308" i="208"/>
  <c r="U309" i="208"/>
  <c r="U310" i="208"/>
  <c r="U311" i="208"/>
  <c r="U312" i="208"/>
  <c r="U313" i="208"/>
  <c r="U314" i="208"/>
  <c r="U315" i="208"/>
  <c r="U316" i="208"/>
  <c r="U317" i="208"/>
  <c r="U318" i="208"/>
  <c r="U319" i="208"/>
  <c r="U320" i="208"/>
  <c r="U321" i="208"/>
  <c r="U322" i="208"/>
  <c r="U323" i="208"/>
  <c r="U324" i="208"/>
  <c r="U325" i="208"/>
  <c r="U326" i="208"/>
  <c r="U327" i="208"/>
  <c r="U328" i="208"/>
  <c r="U329" i="208"/>
  <c r="U330" i="208"/>
  <c r="U331" i="208"/>
  <c r="U332" i="208"/>
  <c r="U333" i="208"/>
  <c r="U334" i="208"/>
  <c r="U335" i="208"/>
  <c r="U336" i="208"/>
  <c r="U337" i="208"/>
  <c r="U338" i="208"/>
  <c r="U339" i="208"/>
  <c r="U340" i="208"/>
  <c r="U341" i="208"/>
  <c r="U342" i="208"/>
  <c r="U343" i="208"/>
  <c r="U344" i="208"/>
  <c r="U345" i="208"/>
  <c r="U346" i="208"/>
  <c r="U347" i="208"/>
  <c r="U348" i="208"/>
  <c r="U349" i="208"/>
  <c r="U350" i="208"/>
  <c r="U351" i="208"/>
  <c r="U352" i="208"/>
  <c r="U353" i="208"/>
  <c r="U354" i="208"/>
  <c r="U355" i="208"/>
  <c r="U356" i="208"/>
  <c r="U357" i="208"/>
  <c r="U358" i="208"/>
  <c r="U359" i="208"/>
  <c r="U360" i="208"/>
  <c r="U361" i="208"/>
  <c r="U362" i="208"/>
  <c r="U363" i="208"/>
  <c r="U364" i="208"/>
  <c r="U365" i="208"/>
  <c r="U366" i="208"/>
  <c r="U367" i="208"/>
  <c r="U368" i="208"/>
  <c r="U369" i="208"/>
  <c r="U370" i="208"/>
  <c r="U371" i="208"/>
  <c r="U372" i="208"/>
  <c r="U373" i="208"/>
  <c r="U374" i="208"/>
  <c r="U375" i="208"/>
  <c r="U376" i="208"/>
  <c r="U377" i="208"/>
  <c r="U378" i="208"/>
  <c r="U379" i="208"/>
  <c r="U380" i="208"/>
  <c r="U381" i="208"/>
  <c r="U382" i="208"/>
  <c r="U383" i="208"/>
  <c r="U384" i="208"/>
  <c r="U385" i="208"/>
  <c r="U386" i="208"/>
  <c r="U387" i="208"/>
  <c r="U388" i="208"/>
  <c r="U389" i="208"/>
  <c r="U390" i="208"/>
  <c r="U391" i="208"/>
  <c r="U392" i="208"/>
  <c r="U393" i="208"/>
  <c r="U394" i="208"/>
  <c r="U395" i="208"/>
  <c r="U396" i="208"/>
  <c r="U397" i="208"/>
  <c r="U398" i="208"/>
  <c r="U399" i="208"/>
  <c r="U400" i="208"/>
  <c r="U401" i="208"/>
  <c r="U402" i="208"/>
  <c r="U403" i="208"/>
  <c r="U404" i="208"/>
  <c r="U405" i="208"/>
  <c r="U406" i="208"/>
  <c r="U407" i="208"/>
  <c r="U408" i="208"/>
  <c r="U409" i="208"/>
  <c r="U410" i="208"/>
  <c r="U411" i="208"/>
  <c r="U412" i="208"/>
  <c r="U413" i="208"/>
  <c r="U414" i="208"/>
  <c r="U415" i="208"/>
  <c r="U416" i="208"/>
  <c r="U417" i="208"/>
  <c r="U418" i="208"/>
  <c r="U419" i="208"/>
  <c r="U420" i="208"/>
  <c r="U421" i="208"/>
  <c r="U422" i="208"/>
  <c r="U423" i="208"/>
  <c r="U424" i="208"/>
  <c r="U425" i="208"/>
  <c r="U426" i="208"/>
  <c r="U427" i="208"/>
  <c r="U428" i="208"/>
  <c r="U429" i="208"/>
  <c r="U430" i="208"/>
  <c r="U431" i="208"/>
  <c r="U432" i="208"/>
  <c r="U433" i="208"/>
  <c r="U434" i="208"/>
  <c r="U435" i="208"/>
  <c r="U436" i="208"/>
  <c r="U437" i="208"/>
  <c r="U438" i="208"/>
  <c r="U439" i="208"/>
  <c r="U440" i="208"/>
  <c r="U441" i="208"/>
  <c r="U442" i="208"/>
  <c r="U443" i="208"/>
  <c r="U444" i="208"/>
  <c r="U445" i="208"/>
  <c r="U446" i="208"/>
  <c r="U447" i="208"/>
  <c r="U448" i="208"/>
  <c r="U449" i="208"/>
  <c r="U450" i="208"/>
  <c r="U451" i="208"/>
  <c r="U452" i="208"/>
  <c r="U453" i="208"/>
  <c r="U454" i="208"/>
  <c r="U455" i="208"/>
  <c r="U456" i="208"/>
  <c r="U457" i="208"/>
  <c r="U458" i="208"/>
  <c r="U459" i="208"/>
  <c r="U460" i="208"/>
  <c r="U461" i="208"/>
  <c r="U462" i="208"/>
  <c r="U463" i="208"/>
  <c r="U464" i="208"/>
  <c r="U465" i="208"/>
  <c r="U466" i="208"/>
  <c r="U467" i="208"/>
  <c r="U468" i="208"/>
  <c r="U469" i="208"/>
  <c r="U470" i="208"/>
  <c r="U471" i="208"/>
  <c r="U472" i="208"/>
  <c r="U473" i="208"/>
  <c r="U474" i="208"/>
  <c r="U475" i="208"/>
  <c r="U476" i="208"/>
  <c r="U477" i="208"/>
  <c r="U478" i="208"/>
  <c r="U479" i="208"/>
  <c r="U480" i="208"/>
  <c r="U481" i="208"/>
  <c r="U482" i="208"/>
  <c r="U483" i="208"/>
  <c r="U484" i="208"/>
  <c r="U485" i="208"/>
  <c r="U486" i="208"/>
  <c r="U487" i="208"/>
  <c r="U488" i="208"/>
  <c r="U489" i="208"/>
  <c r="U490" i="208"/>
  <c r="U491" i="208"/>
  <c r="U492" i="208"/>
  <c r="U493" i="208"/>
  <c r="U494" i="208"/>
  <c r="U495" i="208"/>
  <c r="U496" i="208"/>
  <c r="U497" i="208"/>
  <c r="U498" i="208"/>
  <c r="U499" i="208"/>
  <c r="U500" i="208"/>
  <c r="U501" i="208"/>
  <c r="U502" i="208"/>
  <c r="U503" i="208"/>
  <c r="U504" i="208"/>
  <c r="U505" i="208"/>
  <c r="U506" i="208"/>
  <c r="U507" i="208"/>
  <c r="U508" i="208"/>
  <c r="U509" i="208"/>
  <c r="U510" i="208"/>
  <c r="U511" i="208"/>
  <c r="U512" i="208"/>
  <c r="U513" i="208"/>
  <c r="U514" i="208"/>
  <c r="U515" i="208"/>
  <c r="U516" i="208"/>
  <c r="U517" i="208"/>
  <c r="U518" i="208"/>
  <c r="U519" i="208"/>
  <c r="U520" i="208"/>
  <c r="U521" i="208"/>
  <c r="U522" i="208"/>
  <c r="U523" i="208"/>
  <c r="U524" i="208"/>
  <c r="U525" i="208"/>
  <c r="U526" i="208"/>
  <c r="U527" i="208"/>
  <c r="U528" i="208"/>
  <c r="U529" i="208"/>
  <c r="U530" i="208"/>
  <c r="U531" i="208"/>
  <c r="U532" i="208"/>
  <c r="U533" i="208"/>
  <c r="U534" i="208"/>
  <c r="U535" i="208"/>
  <c r="U536" i="208"/>
  <c r="U537" i="208"/>
  <c r="U538" i="208"/>
  <c r="U539" i="208"/>
  <c r="U540" i="208"/>
  <c r="U541" i="208"/>
  <c r="U542" i="208"/>
  <c r="U543" i="208"/>
  <c r="U544" i="208"/>
  <c r="U545" i="208"/>
  <c r="U546" i="208"/>
  <c r="U547" i="208"/>
  <c r="U548" i="208"/>
  <c r="U549" i="208"/>
  <c r="U550" i="208"/>
  <c r="U551" i="208"/>
  <c r="U552" i="208"/>
  <c r="U553" i="208"/>
  <c r="U554" i="208"/>
  <c r="U555" i="208"/>
  <c r="U556" i="208"/>
  <c r="U557" i="208"/>
  <c r="U558" i="208"/>
  <c r="U559" i="208"/>
  <c r="U560" i="208"/>
  <c r="U561" i="208"/>
  <c r="U562" i="208"/>
  <c r="U563" i="208"/>
  <c r="U564" i="208"/>
  <c r="U565" i="208"/>
  <c r="U566" i="208"/>
  <c r="U567" i="208"/>
  <c r="U568" i="208"/>
  <c r="U569" i="208"/>
  <c r="U570" i="208"/>
  <c r="U571" i="208"/>
  <c r="U572" i="208"/>
  <c r="U573" i="208"/>
  <c r="U574" i="208"/>
  <c r="U575" i="208"/>
  <c r="U576" i="208"/>
  <c r="U577" i="208"/>
  <c r="U578" i="208"/>
  <c r="U579" i="208"/>
  <c r="U580" i="208"/>
  <c r="U581" i="208"/>
  <c r="U582" i="208"/>
  <c r="U583" i="208"/>
  <c r="U584" i="208"/>
  <c r="U585" i="208"/>
  <c r="U586" i="208"/>
  <c r="U587" i="208"/>
  <c r="U588" i="208"/>
  <c r="U589" i="208"/>
  <c r="U590" i="208"/>
  <c r="U591" i="208"/>
  <c r="U592" i="208"/>
  <c r="U593" i="208"/>
  <c r="U594" i="208"/>
  <c r="U595" i="208"/>
  <c r="U596" i="208"/>
  <c r="U597" i="208"/>
  <c r="U598" i="208"/>
  <c r="U599" i="208"/>
  <c r="U600" i="208"/>
  <c r="U601" i="208"/>
  <c r="U602" i="208"/>
  <c r="U603" i="208"/>
  <c r="U604" i="208"/>
  <c r="U605" i="208"/>
  <c r="U606" i="208"/>
  <c r="U607" i="208"/>
  <c r="U608" i="208"/>
  <c r="U609" i="208"/>
  <c r="U610" i="208"/>
  <c r="U611" i="208"/>
  <c r="U612" i="208"/>
  <c r="U613" i="208"/>
  <c r="U614" i="208"/>
  <c r="U615" i="208"/>
  <c r="U616" i="208"/>
  <c r="U617" i="208"/>
  <c r="U618" i="208"/>
  <c r="U619" i="208"/>
  <c r="U620" i="208"/>
  <c r="U621" i="208"/>
  <c r="U622" i="208"/>
  <c r="U623" i="208"/>
  <c r="U624" i="208"/>
  <c r="U625" i="208"/>
  <c r="U626" i="208"/>
  <c r="U627" i="208"/>
  <c r="U628" i="208"/>
  <c r="U629" i="208"/>
  <c r="U630" i="208"/>
  <c r="U631" i="208"/>
  <c r="U632" i="208"/>
  <c r="U633" i="208"/>
  <c r="U634" i="208"/>
  <c r="U635" i="208"/>
  <c r="U636" i="208"/>
  <c r="U637" i="208"/>
  <c r="U638" i="208"/>
  <c r="U639" i="208"/>
  <c r="U640" i="208"/>
  <c r="U641" i="208"/>
  <c r="U642" i="208"/>
  <c r="U643" i="208"/>
  <c r="U644" i="208"/>
  <c r="U645" i="208"/>
  <c r="U646" i="208"/>
  <c r="U647" i="208"/>
  <c r="U648" i="208"/>
  <c r="U649" i="208"/>
  <c r="U650" i="208"/>
  <c r="U651" i="208"/>
  <c r="U652" i="208"/>
  <c r="U653" i="208"/>
  <c r="U654" i="208"/>
  <c r="U655" i="208"/>
  <c r="U656" i="208"/>
  <c r="U657" i="208"/>
  <c r="U658" i="208"/>
  <c r="U659" i="208"/>
  <c r="U660" i="208"/>
  <c r="U661" i="208"/>
  <c r="U662" i="208"/>
  <c r="U663" i="208"/>
  <c r="U664" i="208"/>
  <c r="U665" i="208"/>
  <c r="U666" i="208"/>
  <c r="U667" i="208"/>
  <c r="U668" i="208"/>
  <c r="U669" i="208"/>
  <c r="U670" i="208"/>
  <c r="U671" i="208"/>
  <c r="U672" i="208"/>
  <c r="U673" i="208"/>
  <c r="U674" i="208"/>
  <c r="U675" i="208"/>
  <c r="U676" i="208"/>
  <c r="U677" i="208"/>
  <c r="U678" i="208"/>
  <c r="U679" i="208"/>
  <c r="U680" i="208"/>
  <c r="U681" i="208"/>
  <c r="U682" i="208"/>
  <c r="U683" i="208"/>
  <c r="U684" i="208"/>
  <c r="U685" i="208"/>
  <c r="U686" i="208"/>
  <c r="U687" i="208"/>
  <c r="U688" i="208"/>
  <c r="U689" i="208"/>
  <c r="U690" i="208"/>
  <c r="U691" i="208"/>
  <c r="U692" i="208"/>
  <c r="U693" i="208"/>
  <c r="U694" i="208"/>
  <c r="U695" i="208"/>
  <c r="U696" i="208"/>
  <c r="U697" i="208"/>
  <c r="U698" i="208"/>
  <c r="U699" i="208"/>
  <c r="U700" i="208"/>
  <c r="U701" i="208"/>
  <c r="U702" i="208"/>
  <c r="U703" i="208"/>
  <c r="U704" i="208"/>
  <c r="U705" i="208"/>
  <c r="U706" i="208"/>
  <c r="U707" i="208"/>
  <c r="U708" i="208"/>
  <c r="U709" i="208"/>
  <c r="U710" i="208"/>
  <c r="U711" i="208"/>
  <c r="U712" i="208"/>
  <c r="U713" i="208"/>
  <c r="U714" i="208"/>
  <c r="U715" i="208"/>
  <c r="U716" i="208"/>
  <c r="U717" i="208"/>
  <c r="U718" i="208"/>
  <c r="U719" i="208"/>
  <c r="U720" i="208"/>
  <c r="U721" i="208"/>
  <c r="U722" i="208"/>
  <c r="U723" i="208"/>
  <c r="U724" i="208"/>
  <c r="U725" i="208"/>
  <c r="U726" i="208"/>
  <c r="U727" i="208"/>
  <c r="U728" i="208"/>
  <c r="U729" i="208"/>
  <c r="U730" i="208"/>
  <c r="U731" i="208"/>
  <c r="U732" i="208"/>
  <c r="U733" i="208"/>
  <c r="U734" i="208"/>
  <c r="U735" i="208"/>
  <c r="U736" i="208"/>
  <c r="U737" i="208"/>
  <c r="U738" i="208"/>
  <c r="U739" i="208"/>
  <c r="U740" i="208"/>
  <c r="U741" i="208"/>
  <c r="U742" i="208"/>
  <c r="U743" i="208"/>
  <c r="U744" i="208"/>
  <c r="U745" i="208"/>
  <c r="U746" i="208"/>
  <c r="U747" i="208"/>
  <c r="U748" i="208"/>
  <c r="U749" i="208"/>
  <c r="U750" i="208"/>
  <c r="U751" i="208"/>
  <c r="U752" i="208"/>
  <c r="U753" i="208"/>
  <c r="U754" i="208"/>
  <c r="U755" i="208"/>
  <c r="U756" i="208"/>
  <c r="U757" i="208"/>
  <c r="U758" i="208"/>
  <c r="U759" i="208"/>
  <c r="U760" i="208"/>
  <c r="U761" i="208"/>
  <c r="U762" i="208"/>
  <c r="U763" i="208"/>
  <c r="U764" i="208"/>
  <c r="U765" i="208"/>
  <c r="U766" i="208"/>
  <c r="U767" i="208"/>
  <c r="U768" i="208"/>
  <c r="U769" i="208"/>
  <c r="U770" i="208"/>
  <c r="U771" i="208"/>
  <c r="U772" i="208"/>
  <c r="U773" i="208"/>
  <c r="U774" i="208"/>
  <c r="U775" i="208"/>
  <c r="U776" i="208"/>
  <c r="U777" i="208"/>
  <c r="U778" i="208"/>
  <c r="U779" i="208"/>
  <c r="U780" i="208"/>
  <c r="U781" i="208"/>
  <c r="U782" i="208"/>
  <c r="U783" i="208"/>
  <c r="U784" i="208"/>
  <c r="U785" i="208"/>
  <c r="U786" i="208"/>
  <c r="U787" i="208"/>
  <c r="U788" i="208"/>
  <c r="U789" i="208"/>
  <c r="U790" i="208"/>
  <c r="U791" i="208"/>
  <c r="U792" i="208"/>
  <c r="U793" i="208"/>
  <c r="U794" i="208"/>
  <c r="U795" i="208"/>
  <c r="U796" i="208"/>
  <c r="U797" i="208"/>
  <c r="U798" i="208"/>
  <c r="U799" i="208"/>
  <c r="U800" i="208"/>
  <c r="U801" i="208"/>
  <c r="U802" i="208"/>
  <c r="U803" i="208"/>
  <c r="U804" i="208"/>
  <c r="U805" i="208"/>
  <c r="U806" i="208"/>
  <c r="U807" i="208"/>
  <c r="U808" i="208"/>
  <c r="U809" i="208"/>
  <c r="U810" i="208"/>
  <c r="U811" i="208"/>
  <c r="U812" i="208"/>
  <c r="U813" i="208"/>
  <c r="U814" i="208"/>
  <c r="U815" i="208"/>
  <c r="U816" i="208"/>
  <c r="U817" i="208"/>
  <c r="U818" i="208"/>
  <c r="U819" i="208"/>
  <c r="U820" i="208"/>
  <c r="U821" i="208"/>
  <c r="U822" i="208"/>
  <c r="U823" i="208"/>
  <c r="U824" i="208"/>
  <c r="U825" i="208"/>
  <c r="U826" i="208"/>
  <c r="U827" i="208"/>
  <c r="U828" i="208"/>
  <c r="U829" i="208"/>
  <c r="U830" i="208"/>
  <c r="U831" i="208"/>
  <c r="U832" i="208"/>
  <c r="U833" i="208"/>
  <c r="U834" i="208"/>
  <c r="U835" i="208"/>
  <c r="U836" i="208"/>
  <c r="U837" i="208"/>
  <c r="U838" i="208"/>
  <c r="U839" i="208"/>
  <c r="U840" i="208"/>
  <c r="U841" i="208"/>
  <c r="U842" i="208"/>
  <c r="U843" i="208"/>
  <c r="U844" i="208"/>
  <c r="U845" i="208"/>
  <c r="U846" i="208"/>
  <c r="U847" i="208"/>
  <c r="U848" i="208"/>
  <c r="U849" i="208"/>
  <c r="U850" i="208"/>
  <c r="U851" i="208"/>
  <c r="U852" i="208"/>
  <c r="U853" i="208"/>
  <c r="U854" i="208"/>
  <c r="U855" i="208"/>
  <c r="U856" i="208"/>
  <c r="U857" i="208"/>
  <c r="U858" i="208"/>
  <c r="U859" i="208"/>
  <c r="U860" i="208"/>
  <c r="U861" i="208"/>
  <c r="U862" i="208"/>
  <c r="U863" i="208"/>
  <c r="U864" i="208"/>
  <c r="U865" i="208"/>
  <c r="U866" i="208"/>
  <c r="U867" i="208"/>
  <c r="U868" i="208"/>
  <c r="U869" i="208"/>
  <c r="U870" i="208"/>
  <c r="U871" i="208"/>
  <c r="U872" i="208"/>
  <c r="U873" i="208"/>
  <c r="U874" i="208"/>
  <c r="U875" i="208"/>
  <c r="U876" i="208"/>
  <c r="U877" i="208"/>
  <c r="U878" i="208"/>
  <c r="U879" i="208"/>
  <c r="U880" i="208"/>
  <c r="U881" i="208"/>
  <c r="U882" i="208"/>
  <c r="U883" i="208"/>
  <c r="U884" i="208"/>
  <c r="U885" i="208"/>
  <c r="U886" i="208"/>
  <c r="U887" i="208"/>
  <c r="U888" i="208"/>
  <c r="U889" i="208"/>
  <c r="U890" i="208"/>
  <c r="U891" i="208"/>
  <c r="U892" i="208"/>
  <c r="U893" i="208"/>
  <c r="U894" i="208"/>
  <c r="U895" i="208"/>
  <c r="U896" i="208"/>
  <c r="U897" i="208"/>
  <c r="U898" i="208"/>
  <c r="U899" i="208"/>
  <c r="U900" i="208"/>
  <c r="U901" i="208"/>
  <c r="U902" i="208"/>
  <c r="U903" i="208"/>
  <c r="U904" i="208"/>
  <c r="U905" i="208"/>
  <c r="U906" i="208"/>
  <c r="U907" i="208"/>
  <c r="U908" i="208"/>
  <c r="U909" i="208"/>
  <c r="U910" i="208"/>
  <c r="U911" i="208"/>
  <c r="U912" i="208"/>
  <c r="U913" i="208"/>
  <c r="U914" i="208"/>
  <c r="U915" i="208"/>
  <c r="U916" i="208"/>
  <c r="U917" i="208"/>
  <c r="U918" i="208"/>
  <c r="U919" i="208"/>
  <c r="U920" i="208"/>
  <c r="U921" i="208"/>
  <c r="U922" i="208"/>
  <c r="U923" i="208"/>
  <c r="U924" i="208"/>
  <c r="U925" i="208"/>
  <c r="U926" i="208"/>
  <c r="U927" i="208"/>
  <c r="U928" i="208"/>
  <c r="U929" i="208"/>
  <c r="U930" i="208"/>
  <c r="U931" i="208"/>
  <c r="U932" i="208"/>
  <c r="U933" i="208"/>
  <c r="U934" i="208"/>
  <c r="U935" i="208"/>
  <c r="U936" i="208"/>
  <c r="U937" i="208"/>
  <c r="U938" i="208"/>
  <c r="U939" i="208"/>
  <c r="U940" i="208"/>
  <c r="U941" i="208"/>
  <c r="U942" i="208"/>
  <c r="U943" i="208"/>
  <c r="U944" i="208"/>
  <c r="U945" i="208"/>
  <c r="U946" i="208"/>
  <c r="U947" i="208"/>
  <c r="U948" i="208"/>
  <c r="U949" i="208"/>
  <c r="U950" i="208"/>
  <c r="U951" i="208"/>
  <c r="U952" i="208"/>
  <c r="U953" i="208"/>
  <c r="U954" i="208"/>
  <c r="U955" i="208"/>
  <c r="U956" i="208"/>
  <c r="U957" i="208"/>
  <c r="U958" i="208"/>
  <c r="U959" i="208"/>
  <c r="U960" i="208"/>
  <c r="U961" i="208"/>
  <c r="U962" i="208"/>
  <c r="U963" i="208"/>
  <c r="U964" i="208"/>
  <c r="U965" i="208"/>
  <c r="U966" i="208"/>
  <c r="U967" i="208"/>
  <c r="U968" i="208"/>
  <c r="U969" i="208"/>
  <c r="U970" i="208"/>
  <c r="U971" i="208"/>
  <c r="U972" i="208"/>
  <c r="U973" i="208"/>
  <c r="U974" i="208"/>
  <c r="U975" i="208"/>
  <c r="U976" i="208"/>
  <c r="U977" i="208"/>
  <c r="U978" i="208"/>
  <c r="U979" i="208"/>
  <c r="U980" i="208"/>
  <c r="U981" i="208"/>
  <c r="U982" i="208"/>
  <c r="U983" i="208"/>
  <c r="U984" i="208"/>
  <c r="U985" i="208"/>
  <c r="U986" i="208"/>
  <c r="U987" i="208"/>
  <c r="U988" i="208"/>
  <c r="U989" i="208"/>
  <c r="U990" i="208"/>
  <c r="U991" i="208"/>
  <c r="U992" i="208"/>
  <c r="U993" i="208"/>
  <c r="U994" i="208"/>
  <c r="U995" i="208"/>
  <c r="U996" i="208"/>
  <c r="U997" i="208"/>
  <c r="U998" i="208"/>
  <c r="U999" i="208"/>
  <c r="U1000" i="208"/>
  <c r="U1001" i="208"/>
  <c r="U1002" i="208"/>
  <c r="U1003" i="208"/>
  <c r="U1004" i="208"/>
  <c r="U1005" i="208"/>
  <c r="U1006" i="208"/>
  <c r="U1007" i="208"/>
  <c r="U1008" i="208"/>
  <c r="U1009" i="208"/>
  <c r="U1010" i="208"/>
  <c r="U1011" i="208"/>
  <c r="U1012" i="208"/>
  <c r="U1013" i="208"/>
  <c r="U1014" i="208"/>
  <c r="U1015" i="208"/>
  <c r="U1016" i="208"/>
  <c r="U1017" i="208"/>
  <c r="U1018" i="208"/>
  <c r="U1019" i="208"/>
  <c r="U1020" i="208"/>
  <c r="U1021" i="208"/>
  <c r="U1022" i="208"/>
  <c r="U1023" i="208"/>
  <c r="U1024" i="208"/>
  <c r="U1025" i="208"/>
  <c r="U1026" i="208"/>
  <c r="U1027" i="208"/>
  <c r="U1028" i="208"/>
  <c r="U1029" i="208"/>
  <c r="U1030" i="208"/>
  <c r="U1031" i="208"/>
  <c r="U1032" i="208"/>
  <c r="U1033" i="208"/>
  <c r="U1034" i="208"/>
  <c r="U1035" i="208"/>
  <c r="U1036" i="208"/>
  <c r="U1037" i="208"/>
  <c r="U1038" i="208"/>
  <c r="U1039" i="208"/>
  <c r="U1040" i="208"/>
  <c r="U1041" i="208"/>
  <c r="U1042" i="208"/>
  <c r="U1043" i="208"/>
  <c r="U1044" i="208"/>
  <c r="U1045" i="208"/>
  <c r="U1046" i="208"/>
  <c r="U1047" i="208"/>
  <c r="U1048" i="208"/>
  <c r="U1049" i="208"/>
  <c r="U1050" i="208"/>
  <c r="U1051" i="208"/>
  <c r="U1052" i="208"/>
  <c r="U1053" i="208"/>
  <c r="U1054" i="208"/>
  <c r="U1055" i="208"/>
  <c r="U1056" i="208"/>
  <c r="U1057" i="208"/>
  <c r="U1058" i="208"/>
  <c r="U1059" i="208"/>
  <c r="U1060" i="208"/>
  <c r="U1061" i="208"/>
  <c r="U1062" i="208"/>
  <c r="U1063" i="208"/>
  <c r="U1064" i="208"/>
  <c r="U1065" i="208"/>
  <c r="U1066" i="208"/>
  <c r="U1067" i="208"/>
  <c r="U1068" i="208"/>
  <c r="U1069" i="208"/>
  <c r="U1070" i="208"/>
  <c r="U1071" i="208"/>
  <c r="U1072" i="208"/>
  <c r="U1073" i="208"/>
  <c r="U1074" i="208"/>
  <c r="U1075" i="208"/>
  <c r="U1076" i="208"/>
  <c r="U1077" i="208"/>
  <c r="U1078" i="208"/>
  <c r="U1079" i="208"/>
  <c r="U1080" i="208"/>
  <c r="U1081" i="208"/>
  <c r="U1082" i="208"/>
  <c r="U1083" i="208"/>
  <c r="U1084" i="208"/>
  <c r="U1085" i="208"/>
  <c r="U1086" i="208"/>
  <c r="U1087" i="208"/>
  <c r="U1088" i="208"/>
  <c r="U1089" i="208"/>
  <c r="U1090" i="208"/>
  <c r="U1091" i="208"/>
  <c r="U1092" i="208"/>
  <c r="U1093" i="208"/>
  <c r="U1094" i="208"/>
  <c r="U1095" i="208"/>
  <c r="U1096" i="208"/>
  <c r="U1097" i="208"/>
  <c r="U1098" i="208"/>
  <c r="U1099" i="208"/>
  <c r="U1100" i="208"/>
  <c r="U1101" i="208"/>
  <c r="U1102" i="208"/>
  <c r="U1103" i="208"/>
  <c r="U1104" i="208"/>
  <c r="U1105" i="208"/>
  <c r="U1106" i="208"/>
  <c r="U1107" i="208"/>
  <c r="U1108" i="208"/>
  <c r="U1109" i="208"/>
  <c r="U1110" i="208"/>
  <c r="U1111" i="208"/>
  <c r="U1112" i="208"/>
  <c r="U1113" i="208"/>
  <c r="U1114" i="208"/>
  <c r="U1115" i="208"/>
  <c r="U1116" i="208"/>
  <c r="U1117" i="208"/>
  <c r="U1118" i="208"/>
  <c r="U1119" i="208"/>
  <c r="U1120" i="208"/>
  <c r="U1121" i="208"/>
  <c r="U1122" i="208"/>
  <c r="U1123" i="208"/>
  <c r="U1124" i="208"/>
  <c r="U1125" i="208"/>
  <c r="U1126" i="208"/>
  <c r="U1127" i="208"/>
  <c r="U1128" i="208"/>
  <c r="U1129" i="208"/>
  <c r="U1130" i="208"/>
  <c r="U1131" i="208"/>
  <c r="U1132" i="208"/>
  <c r="U1133" i="208"/>
  <c r="U1134" i="208"/>
  <c r="U1135" i="208"/>
  <c r="U1136" i="208"/>
  <c r="U1137" i="208"/>
  <c r="U1138" i="208"/>
  <c r="U1139" i="208"/>
  <c r="U1140" i="208"/>
  <c r="U1141" i="208"/>
  <c r="U1142" i="208"/>
  <c r="U1143" i="208"/>
  <c r="U1144" i="208"/>
  <c r="U1145" i="208"/>
  <c r="U1146" i="208"/>
  <c r="U1147" i="208"/>
  <c r="U1148" i="208"/>
  <c r="U1149" i="208"/>
  <c r="U1150" i="208"/>
  <c r="U1151" i="208"/>
  <c r="U1152" i="208"/>
  <c r="U1153" i="208"/>
  <c r="U1154" i="208"/>
  <c r="U1155" i="208"/>
  <c r="U1156" i="208"/>
  <c r="U1157" i="208"/>
  <c r="U1158" i="208"/>
  <c r="U1159" i="208"/>
  <c r="U1160" i="208"/>
  <c r="U1161" i="208"/>
  <c r="U1162" i="208"/>
  <c r="U1163" i="208"/>
  <c r="U1164" i="208"/>
  <c r="U1165" i="208"/>
  <c r="U1166" i="208"/>
  <c r="U1167" i="208"/>
  <c r="U1168" i="208"/>
  <c r="U1169" i="208"/>
  <c r="U1170" i="208"/>
  <c r="U1171" i="208"/>
  <c r="U1172" i="208"/>
  <c r="U1173" i="208"/>
  <c r="U1174" i="208"/>
  <c r="U1175" i="208"/>
  <c r="U1176" i="208"/>
  <c r="U1177" i="208"/>
  <c r="U1178" i="208"/>
  <c r="U1179" i="208"/>
  <c r="U1180" i="208"/>
  <c r="U1181" i="208"/>
  <c r="U1182" i="208"/>
  <c r="U1183" i="208"/>
  <c r="U1184" i="208"/>
  <c r="U1185" i="208"/>
  <c r="U1186" i="208"/>
  <c r="U1187" i="208"/>
  <c r="U1188" i="208"/>
  <c r="U1189" i="208"/>
  <c r="U1190" i="208"/>
  <c r="U1191" i="208"/>
  <c r="U1192" i="208"/>
  <c r="U1193" i="208"/>
  <c r="U1194" i="208"/>
  <c r="U1195" i="208"/>
  <c r="U1196" i="208"/>
  <c r="U1197" i="208"/>
  <c r="U1198" i="208"/>
  <c r="U1199" i="208"/>
  <c r="U1200" i="208"/>
  <c r="U1201" i="208"/>
  <c r="U1202" i="208"/>
  <c r="U1203" i="208"/>
  <c r="U1204" i="208"/>
  <c r="U1205" i="208"/>
  <c r="U1206" i="208"/>
  <c r="U1207" i="208"/>
  <c r="U1208" i="208"/>
  <c r="U1209" i="208"/>
  <c r="U1210" i="208"/>
  <c r="U1211" i="208"/>
  <c r="U1212" i="208"/>
  <c r="U1213" i="208"/>
  <c r="U1214" i="208"/>
  <c r="U1215" i="208"/>
  <c r="U1216" i="208"/>
  <c r="U1217" i="208"/>
  <c r="U1218" i="208"/>
  <c r="U1219" i="208"/>
  <c r="U1220" i="208"/>
  <c r="U1221" i="208"/>
  <c r="U1222" i="208"/>
  <c r="U1223" i="208"/>
  <c r="U1224" i="208"/>
  <c r="U1225" i="208"/>
  <c r="U1226" i="208"/>
  <c r="U1227" i="208"/>
  <c r="U1228" i="208"/>
  <c r="U1229" i="208"/>
  <c r="U1230" i="208"/>
  <c r="U1231" i="208"/>
  <c r="U1232" i="208"/>
  <c r="U1233" i="208"/>
  <c r="U1234" i="208"/>
  <c r="U1235" i="208"/>
  <c r="U1236" i="208"/>
  <c r="U1237" i="208"/>
  <c r="U1238" i="208"/>
  <c r="U1239" i="208"/>
  <c r="U1240" i="208"/>
  <c r="U1241" i="208"/>
  <c r="U1242" i="208"/>
  <c r="U1243" i="208"/>
  <c r="U1244" i="208"/>
  <c r="U1245" i="208"/>
  <c r="U1246" i="208"/>
  <c r="U1247" i="208"/>
  <c r="U1248" i="208"/>
  <c r="U1249" i="208"/>
  <c r="U1250" i="208"/>
  <c r="U1251" i="208"/>
  <c r="U1252" i="208"/>
  <c r="U1253" i="208"/>
  <c r="U1254" i="208"/>
  <c r="U1255" i="208"/>
  <c r="U1256" i="208"/>
  <c r="U1257" i="208"/>
  <c r="U1258" i="208"/>
  <c r="U1259" i="208"/>
  <c r="U1260" i="208"/>
  <c r="U1261" i="208"/>
  <c r="U1262" i="208"/>
  <c r="U1263" i="208"/>
  <c r="U1264" i="208"/>
  <c r="U1265" i="208"/>
  <c r="U1266" i="208"/>
  <c r="U1267" i="208"/>
  <c r="U1268" i="208"/>
  <c r="U1269" i="208"/>
  <c r="U1270" i="208"/>
  <c r="U1271" i="208"/>
  <c r="U1272" i="208"/>
  <c r="U1273" i="208"/>
  <c r="U1274" i="208"/>
  <c r="U1275" i="208"/>
  <c r="U1276" i="208"/>
  <c r="U1277" i="208"/>
  <c r="U1278" i="208"/>
  <c r="U1279" i="208"/>
  <c r="U1280" i="208"/>
  <c r="U1281" i="208"/>
  <c r="U1282" i="208"/>
  <c r="U1283" i="208"/>
  <c r="U1284" i="208"/>
  <c r="U1285" i="208"/>
  <c r="U1286" i="208"/>
  <c r="U1287" i="208"/>
  <c r="U1288" i="208"/>
  <c r="U1289" i="208"/>
  <c r="U1290" i="208"/>
  <c r="U1291" i="208"/>
  <c r="U1292" i="208"/>
  <c r="U1293" i="208"/>
  <c r="U1294" i="208"/>
  <c r="U1295" i="208"/>
  <c r="U1296" i="208"/>
  <c r="U1297" i="208"/>
  <c r="U1298" i="208"/>
  <c r="U1299" i="208"/>
  <c r="U1300" i="208"/>
  <c r="U1301" i="208"/>
  <c r="U1302" i="208"/>
  <c r="U1303" i="208"/>
  <c r="U1304" i="208"/>
  <c r="U1305" i="208"/>
  <c r="U1306" i="208"/>
  <c r="U1307" i="208"/>
  <c r="U1308" i="208"/>
  <c r="U1309" i="208"/>
  <c r="U1310" i="208"/>
  <c r="U1311" i="208"/>
  <c r="U1312" i="208"/>
  <c r="U1313" i="208"/>
  <c r="U1314" i="208"/>
  <c r="U1315" i="208"/>
  <c r="U1316" i="208"/>
  <c r="U1317" i="208"/>
  <c r="U1318" i="208"/>
  <c r="U1319" i="208"/>
  <c r="U1320" i="208"/>
  <c r="U1321" i="208"/>
  <c r="U1322" i="208"/>
  <c r="U1323" i="208"/>
  <c r="U1324" i="208"/>
  <c r="U1325" i="208"/>
  <c r="U1326" i="208"/>
  <c r="U1327" i="208"/>
  <c r="U1328" i="208"/>
  <c r="U1329" i="208"/>
  <c r="U1330" i="208"/>
  <c r="U1331" i="208"/>
  <c r="U1332" i="208"/>
  <c r="U1333" i="208"/>
  <c r="U1334" i="208"/>
  <c r="U1335" i="208"/>
  <c r="U1336" i="208"/>
  <c r="U1337" i="208"/>
  <c r="U1338" i="208"/>
  <c r="U1339" i="208"/>
  <c r="U1340" i="208"/>
  <c r="U1341" i="208"/>
  <c r="U1342" i="208"/>
  <c r="U1343" i="208"/>
  <c r="U1344" i="208"/>
  <c r="U1345" i="208"/>
  <c r="U1346" i="208"/>
  <c r="U1347" i="208"/>
  <c r="U1348" i="208"/>
  <c r="U1349" i="208"/>
  <c r="U1350" i="208"/>
  <c r="U1351" i="208"/>
  <c r="U1352" i="208"/>
  <c r="U1353" i="208"/>
  <c r="U1354" i="208"/>
  <c r="U1355" i="208"/>
  <c r="U1356" i="208"/>
  <c r="U1357" i="208"/>
  <c r="U1358" i="208"/>
  <c r="U1359" i="208"/>
  <c r="U1360" i="208"/>
  <c r="U1361" i="208"/>
  <c r="U1362" i="208"/>
  <c r="U1363" i="208"/>
  <c r="U1364" i="208"/>
  <c r="U1365" i="208"/>
  <c r="U1366" i="208"/>
  <c r="U1367" i="208"/>
  <c r="U1368" i="208"/>
  <c r="U1369" i="208"/>
  <c r="U1370" i="208"/>
  <c r="U1371" i="208"/>
  <c r="U1372" i="208"/>
  <c r="U1373" i="208"/>
  <c r="U1374" i="208"/>
  <c r="U1375" i="208"/>
  <c r="U1376" i="208"/>
  <c r="U1377" i="208"/>
  <c r="U1378" i="208"/>
  <c r="U1379" i="208"/>
  <c r="U1380" i="208"/>
  <c r="U1381" i="208"/>
  <c r="U1382" i="208"/>
  <c r="U1383" i="208"/>
  <c r="U1384" i="208"/>
  <c r="U1385" i="208"/>
  <c r="U1386" i="208"/>
  <c r="U1387" i="208"/>
  <c r="U1388" i="208"/>
  <c r="U1389" i="208"/>
  <c r="U1390" i="208"/>
  <c r="U1391" i="208"/>
  <c r="U1392" i="208"/>
  <c r="U1393" i="208"/>
  <c r="U1394" i="208"/>
  <c r="U1395" i="208"/>
  <c r="U1396" i="208"/>
  <c r="U1397" i="208"/>
  <c r="U1398" i="208"/>
  <c r="U1399" i="208"/>
  <c r="U1400" i="208"/>
  <c r="U1401" i="208"/>
  <c r="U1402" i="208"/>
  <c r="U1403" i="208"/>
  <c r="U1404" i="208"/>
  <c r="U1405" i="208"/>
  <c r="U1406" i="208"/>
  <c r="U1407" i="208"/>
  <c r="U1408" i="208"/>
  <c r="U1409" i="208"/>
  <c r="U1410" i="208"/>
  <c r="U1411" i="208"/>
  <c r="U1412" i="208"/>
  <c r="U1413" i="208"/>
  <c r="U1414" i="208"/>
  <c r="U1415" i="208"/>
  <c r="U1416" i="208"/>
  <c r="U1417" i="208"/>
  <c r="U1418" i="208"/>
  <c r="U1419" i="208"/>
  <c r="U1420" i="208"/>
  <c r="U1421" i="208"/>
  <c r="U1422" i="208"/>
  <c r="U1423" i="208"/>
  <c r="U1424" i="208"/>
  <c r="U1425" i="208"/>
  <c r="U1426" i="208"/>
  <c r="U1427" i="208"/>
  <c r="U1428" i="208"/>
  <c r="U1429" i="208"/>
  <c r="U1430" i="208"/>
  <c r="U1431" i="208"/>
  <c r="U1432" i="208"/>
  <c r="U1433" i="208"/>
  <c r="U1434" i="208"/>
  <c r="U1435" i="208"/>
  <c r="U1436" i="208"/>
  <c r="U1437" i="208"/>
  <c r="U1438" i="208"/>
  <c r="U1439" i="208"/>
  <c r="U1440" i="208"/>
  <c r="U1441" i="208"/>
  <c r="U1442" i="208"/>
  <c r="U1443" i="208"/>
  <c r="U1444" i="208"/>
  <c r="U1445" i="208"/>
  <c r="U1446" i="208"/>
  <c r="U1447" i="208"/>
  <c r="U1448" i="208"/>
  <c r="U1449" i="208"/>
  <c r="U1450" i="208"/>
  <c r="U1451" i="208"/>
  <c r="U1452" i="208"/>
  <c r="U1453" i="208"/>
  <c r="U1454" i="208"/>
  <c r="U1455" i="208"/>
  <c r="U1456" i="208"/>
  <c r="U1457" i="208"/>
  <c r="U1458" i="208"/>
  <c r="U1459" i="208"/>
  <c r="U1460" i="208"/>
  <c r="U1461" i="208"/>
  <c r="U1462" i="208"/>
  <c r="U1463" i="208"/>
  <c r="U1464" i="208"/>
  <c r="U1465" i="208"/>
  <c r="U1466" i="208"/>
  <c r="U1467" i="208"/>
  <c r="U1468" i="208"/>
  <c r="U1469" i="208"/>
  <c r="U1470" i="208"/>
  <c r="U1471" i="208"/>
  <c r="U1472" i="208"/>
  <c r="U1473" i="208"/>
  <c r="U1474" i="208"/>
  <c r="U1475" i="208"/>
  <c r="U1476" i="208"/>
  <c r="U1477" i="208"/>
  <c r="U1478" i="208"/>
  <c r="U1479" i="208"/>
  <c r="U1480" i="208"/>
  <c r="U1481" i="208"/>
  <c r="U1482" i="208"/>
  <c r="U1483" i="208"/>
  <c r="U1484" i="208"/>
  <c r="U1485" i="208"/>
  <c r="U1486" i="208"/>
  <c r="U1487" i="208"/>
  <c r="U1488" i="208"/>
  <c r="U1489" i="208"/>
  <c r="U1490" i="208"/>
  <c r="U1491" i="208"/>
  <c r="U1492" i="208"/>
  <c r="U1493" i="208"/>
  <c r="U1494" i="208"/>
  <c r="U1495" i="208"/>
  <c r="U1496" i="208"/>
  <c r="U1497" i="208"/>
  <c r="U1498" i="208"/>
  <c r="U1499" i="208"/>
  <c r="U1500" i="208"/>
  <c r="U1501" i="208"/>
  <c r="U1502" i="208"/>
  <c r="U1503" i="208"/>
  <c r="U1504" i="208"/>
  <c r="U1505" i="208"/>
  <c r="U1506" i="208"/>
  <c r="U1507" i="208"/>
  <c r="U1508" i="208"/>
  <c r="U1509" i="208"/>
  <c r="U1510" i="208"/>
  <c r="U1511" i="208"/>
  <c r="U1512" i="208"/>
  <c r="U1513" i="208"/>
  <c r="U1514" i="208"/>
  <c r="U1515" i="208"/>
  <c r="U1516" i="208"/>
  <c r="U1517" i="208"/>
  <c r="U1518" i="208"/>
  <c r="U1519" i="208"/>
  <c r="U1520" i="208"/>
  <c r="U1521" i="208"/>
  <c r="U1522" i="208"/>
  <c r="U1523" i="208"/>
  <c r="U1524" i="208"/>
  <c r="U1525" i="208"/>
  <c r="U1526" i="208"/>
  <c r="U1527" i="208"/>
  <c r="U1528" i="208"/>
  <c r="U1529" i="208"/>
  <c r="U1530" i="208"/>
  <c r="U1531" i="208"/>
  <c r="U1532" i="208"/>
  <c r="U1533" i="208"/>
  <c r="U1534" i="208"/>
  <c r="U1535" i="208"/>
  <c r="U1536" i="208"/>
  <c r="U1537" i="208"/>
  <c r="U1538" i="208"/>
  <c r="U1539" i="208"/>
  <c r="U1540" i="208"/>
  <c r="U1541" i="208"/>
  <c r="U1542" i="208"/>
  <c r="U1543" i="208"/>
  <c r="U1544" i="208"/>
  <c r="U1545" i="208"/>
  <c r="U1546" i="208"/>
  <c r="U1547" i="208"/>
  <c r="U1548" i="208"/>
  <c r="U1549" i="208"/>
  <c r="U1550" i="208"/>
  <c r="U1551" i="208"/>
  <c r="U1552" i="208"/>
  <c r="U1553" i="208"/>
  <c r="U1554" i="208"/>
  <c r="U1555" i="208"/>
  <c r="U1556" i="208"/>
  <c r="U1557" i="208"/>
  <c r="U1558" i="208"/>
  <c r="U1559" i="208"/>
  <c r="U1560" i="208"/>
  <c r="U1561" i="208"/>
  <c r="U1562" i="208"/>
  <c r="U1563" i="208"/>
  <c r="U1564" i="208"/>
  <c r="U1565" i="208"/>
  <c r="U1566" i="208"/>
  <c r="U1567" i="208"/>
  <c r="U1568" i="208"/>
  <c r="U1569" i="208"/>
  <c r="U1570" i="208"/>
  <c r="U1571" i="208"/>
  <c r="U1572" i="208"/>
  <c r="U1573" i="208"/>
  <c r="U1574" i="208"/>
  <c r="U1575" i="208"/>
  <c r="U1576" i="208"/>
  <c r="U1577" i="208"/>
  <c r="U1578" i="208"/>
  <c r="U1579" i="208"/>
  <c r="U1580" i="208"/>
  <c r="U1581" i="208"/>
  <c r="U1582" i="208"/>
  <c r="U1583" i="208"/>
  <c r="U1584" i="208"/>
  <c r="U1585" i="208"/>
  <c r="U1586" i="208"/>
  <c r="U1587" i="208"/>
  <c r="U1588" i="208"/>
  <c r="U1589" i="208"/>
  <c r="U1590" i="208"/>
  <c r="U1591" i="208"/>
  <c r="U1592" i="208"/>
  <c r="U1593" i="208"/>
  <c r="U1594" i="208"/>
  <c r="U1595" i="208"/>
  <c r="U1596" i="208"/>
  <c r="U1597" i="208"/>
  <c r="U1598" i="208"/>
  <c r="U1599" i="208"/>
  <c r="U1600" i="208"/>
  <c r="U1601" i="208"/>
  <c r="U1602" i="208"/>
  <c r="U1603" i="208"/>
  <c r="U1604" i="208"/>
  <c r="U1605" i="208"/>
  <c r="U1606" i="208"/>
  <c r="U1607" i="208"/>
  <c r="U1608" i="208"/>
  <c r="U1609" i="208"/>
  <c r="U1610" i="208"/>
  <c r="U1611" i="208"/>
  <c r="U1612" i="208"/>
  <c r="U1613" i="208"/>
  <c r="U1614" i="208"/>
  <c r="U1615" i="208"/>
  <c r="U1616" i="208"/>
  <c r="U1617" i="208"/>
  <c r="U1618" i="208"/>
  <c r="U1619" i="208"/>
  <c r="U1620" i="208"/>
  <c r="U1621" i="208"/>
  <c r="U1622" i="208"/>
  <c r="U1623" i="208"/>
  <c r="U1624" i="208"/>
  <c r="U1625" i="208"/>
  <c r="U1626" i="208"/>
  <c r="U1627" i="208"/>
  <c r="U1628" i="208"/>
  <c r="U1629" i="208"/>
  <c r="U1630" i="208"/>
  <c r="U1631" i="208"/>
  <c r="U1632" i="208"/>
  <c r="U1633" i="208"/>
  <c r="U1634" i="208"/>
  <c r="U1635" i="208"/>
  <c r="U1636" i="208"/>
  <c r="U1637" i="208"/>
  <c r="U1638" i="208"/>
  <c r="U1639" i="208"/>
  <c r="U1640" i="208"/>
  <c r="U1641" i="208"/>
  <c r="U1642" i="208"/>
  <c r="U1643" i="208"/>
  <c r="U1644" i="208"/>
  <c r="U1645" i="208"/>
  <c r="U1646" i="208"/>
  <c r="U1647" i="208"/>
  <c r="U1648" i="208"/>
  <c r="U1649" i="208"/>
  <c r="U1650" i="208"/>
  <c r="U1651" i="208"/>
  <c r="U1652" i="208"/>
  <c r="U1653" i="208"/>
  <c r="U1654" i="208"/>
  <c r="U1655" i="208"/>
  <c r="U1656" i="208"/>
  <c r="U1657" i="208"/>
  <c r="U1658" i="208"/>
  <c r="U1659" i="208"/>
  <c r="U1660" i="208"/>
  <c r="U1661" i="208"/>
  <c r="U1662" i="208"/>
  <c r="U1663" i="208"/>
  <c r="U1664" i="208"/>
  <c r="U1665" i="208"/>
  <c r="U1666" i="208"/>
  <c r="U1667" i="208"/>
  <c r="U1668" i="208"/>
  <c r="U1669" i="208"/>
  <c r="U1670" i="208"/>
  <c r="U1671" i="208"/>
  <c r="U1672" i="208"/>
  <c r="U1673" i="208"/>
  <c r="U1674" i="208"/>
  <c r="U1675" i="208"/>
  <c r="U1676" i="208"/>
  <c r="U1677" i="208"/>
  <c r="U1678" i="208"/>
  <c r="U1679" i="208"/>
  <c r="U1680" i="208"/>
  <c r="U1681" i="208"/>
  <c r="U1682" i="208"/>
  <c r="U1683" i="208"/>
  <c r="U1684" i="208"/>
  <c r="U1685" i="208"/>
  <c r="U1686" i="208"/>
  <c r="U1687" i="208"/>
  <c r="U1688" i="208"/>
  <c r="U1689" i="208"/>
  <c r="U1690" i="208"/>
  <c r="U1691" i="208"/>
  <c r="U1692" i="208"/>
  <c r="U1693" i="208"/>
  <c r="U1694" i="208"/>
  <c r="U1695" i="208"/>
  <c r="U1696" i="208"/>
  <c r="U1697" i="208"/>
  <c r="U1698" i="208"/>
  <c r="U1699" i="208"/>
  <c r="U1700" i="208"/>
  <c r="U1701" i="208"/>
  <c r="U1702" i="208"/>
  <c r="U1703" i="208"/>
  <c r="U1704" i="208"/>
  <c r="U1705" i="208"/>
  <c r="U1706" i="208"/>
  <c r="U1707" i="208"/>
  <c r="U1708" i="208"/>
  <c r="U1709" i="208"/>
  <c r="U1710" i="208"/>
  <c r="U1711" i="208"/>
  <c r="U1712" i="208"/>
  <c r="U1713" i="208"/>
  <c r="U1714" i="208"/>
  <c r="U1715" i="208"/>
  <c r="U1716" i="208"/>
  <c r="U1717" i="208"/>
  <c r="U1718" i="208"/>
  <c r="U1719" i="208"/>
  <c r="U1720" i="208"/>
  <c r="U1721" i="208"/>
  <c r="U1722" i="208"/>
  <c r="U1723" i="208"/>
  <c r="U1724" i="208"/>
  <c r="U1725" i="208"/>
  <c r="U1726" i="208"/>
  <c r="U1727" i="208"/>
  <c r="U1728" i="208"/>
  <c r="U1729" i="208"/>
  <c r="U1730" i="208"/>
  <c r="U1731" i="208"/>
  <c r="U1732" i="208"/>
  <c r="U1733" i="208"/>
  <c r="U1734" i="208"/>
  <c r="U1735" i="208"/>
  <c r="U1736" i="208"/>
  <c r="U1737" i="208"/>
  <c r="U1738" i="208"/>
  <c r="U1739" i="208"/>
  <c r="U1740" i="208"/>
  <c r="U1741" i="208"/>
  <c r="U1742" i="208"/>
  <c r="U1743" i="208"/>
  <c r="U1744" i="208"/>
  <c r="U1745" i="208"/>
  <c r="U1746" i="208"/>
  <c r="U1747" i="208"/>
  <c r="U1748" i="208"/>
  <c r="U1749" i="208"/>
  <c r="U1750" i="208"/>
  <c r="U1751" i="208"/>
  <c r="U1752" i="208"/>
  <c r="U1753" i="208"/>
  <c r="U1754" i="208"/>
  <c r="U1755" i="208"/>
  <c r="U1756" i="208"/>
  <c r="U1757" i="208"/>
  <c r="U1758" i="208"/>
  <c r="U1759" i="208"/>
  <c r="U1760" i="208"/>
  <c r="U1761" i="208"/>
  <c r="U1762" i="208"/>
  <c r="U1763" i="208"/>
  <c r="U1764" i="208"/>
  <c r="U1765" i="208"/>
  <c r="U1766" i="208"/>
  <c r="U1767" i="208"/>
  <c r="U1768" i="208"/>
  <c r="U1769" i="208"/>
  <c r="U1770" i="208"/>
  <c r="U1771" i="208"/>
  <c r="U1772" i="208"/>
  <c r="U1773" i="208"/>
  <c r="U1774" i="208"/>
  <c r="U1775" i="208"/>
  <c r="U1776" i="208"/>
  <c r="U1777" i="208"/>
  <c r="U1778" i="208"/>
  <c r="U1779" i="208"/>
  <c r="U1780" i="208"/>
  <c r="U1781" i="208"/>
  <c r="U1782" i="208"/>
  <c r="U1783" i="208"/>
  <c r="U1784" i="208"/>
  <c r="U1785" i="208"/>
  <c r="U1786" i="208"/>
  <c r="U1787" i="208"/>
  <c r="U1788" i="208"/>
  <c r="U1789" i="208"/>
  <c r="U1790" i="208"/>
  <c r="U1791" i="208"/>
  <c r="U1792" i="208"/>
  <c r="U1793" i="208"/>
  <c r="U1794" i="208"/>
  <c r="U1795" i="208"/>
  <c r="U1796" i="208"/>
  <c r="U1797" i="208"/>
  <c r="U1798" i="208"/>
  <c r="U1799" i="208"/>
  <c r="U1800" i="208"/>
  <c r="U1801" i="208"/>
  <c r="U1802" i="208"/>
  <c r="U1803" i="208"/>
  <c r="U1804" i="208"/>
  <c r="U1805" i="208"/>
  <c r="U1806" i="208"/>
  <c r="U1807" i="208"/>
  <c r="U1808" i="208"/>
  <c r="U1809" i="208"/>
  <c r="U1810" i="208"/>
  <c r="U1811" i="208"/>
  <c r="U1812" i="208"/>
  <c r="U1813" i="208"/>
  <c r="U1814" i="208"/>
  <c r="U1815" i="208"/>
  <c r="U1816" i="208"/>
  <c r="U1817" i="208"/>
  <c r="U1818" i="208"/>
  <c r="U1819" i="208"/>
  <c r="U1820" i="208"/>
  <c r="U1821" i="208"/>
  <c r="U1822" i="208"/>
  <c r="U1823" i="208"/>
  <c r="U1824" i="208"/>
  <c r="U1825" i="208"/>
  <c r="U1826" i="208"/>
  <c r="U1827" i="208"/>
  <c r="U1828" i="208"/>
  <c r="U1829" i="208"/>
  <c r="U1830" i="208"/>
  <c r="U1831" i="208"/>
  <c r="U1832" i="208"/>
  <c r="U1833" i="208"/>
  <c r="U1834" i="208"/>
  <c r="U1835" i="208"/>
  <c r="U1836" i="208"/>
  <c r="U1837" i="208"/>
  <c r="U1838" i="208"/>
  <c r="U1839" i="208"/>
  <c r="U1840" i="208"/>
  <c r="U1841" i="208"/>
  <c r="U1842" i="208"/>
  <c r="U1843" i="208"/>
  <c r="U1844" i="208"/>
  <c r="U1845" i="208"/>
  <c r="U1846" i="208"/>
  <c r="U1847" i="208"/>
  <c r="U1848" i="208"/>
  <c r="U1849" i="208"/>
  <c r="U1850" i="208"/>
  <c r="U1851" i="208"/>
  <c r="U1852" i="208"/>
  <c r="U1853" i="208"/>
  <c r="U1854" i="208"/>
  <c r="U1855" i="208"/>
  <c r="U1856" i="208"/>
  <c r="U1857" i="208"/>
  <c r="U1858" i="208"/>
  <c r="U1859" i="208"/>
  <c r="U1860" i="208"/>
  <c r="U1861" i="208"/>
  <c r="U1862" i="208"/>
  <c r="U1863" i="208"/>
  <c r="U1864" i="208"/>
  <c r="U1865" i="208"/>
  <c r="U1866" i="208"/>
  <c r="U1867" i="208"/>
  <c r="U1868" i="208"/>
  <c r="U1869" i="208"/>
  <c r="U1870" i="208"/>
  <c r="U1871" i="208"/>
  <c r="U1872" i="208"/>
  <c r="U1873" i="208"/>
  <c r="U1874" i="208"/>
  <c r="U1875" i="208"/>
  <c r="U1876" i="208"/>
  <c r="U1877" i="208"/>
  <c r="U1878" i="208"/>
  <c r="U1879" i="208"/>
  <c r="U1880" i="208"/>
  <c r="U1881" i="208"/>
  <c r="U1882" i="208"/>
  <c r="U1883" i="208"/>
  <c r="U1884" i="208"/>
  <c r="U1885" i="208"/>
  <c r="U1886" i="208"/>
  <c r="U1887" i="208"/>
  <c r="U1888" i="208"/>
  <c r="U1889" i="208"/>
  <c r="U1890" i="208"/>
  <c r="U1891" i="208"/>
  <c r="U1892" i="208"/>
  <c r="U1893" i="208"/>
  <c r="U1894" i="208"/>
  <c r="U1895" i="208"/>
  <c r="U1896" i="208"/>
  <c r="U1897" i="208"/>
  <c r="U1898" i="208"/>
  <c r="U1899" i="208"/>
  <c r="U1900" i="208"/>
  <c r="U1901" i="208"/>
  <c r="U1902" i="208"/>
  <c r="U1903" i="208"/>
  <c r="U1904" i="208"/>
  <c r="U1905" i="208"/>
  <c r="U1906" i="208"/>
  <c r="U1907" i="208"/>
  <c r="U1908" i="208"/>
  <c r="U1909" i="208"/>
  <c r="U1910" i="208"/>
  <c r="U1911" i="208"/>
  <c r="U1912" i="208"/>
  <c r="U1913" i="208"/>
  <c r="U1914" i="208"/>
  <c r="U1915" i="208"/>
  <c r="U1916" i="208"/>
  <c r="U1917" i="208"/>
  <c r="U1918" i="208"/>
  <c r="U1919" i="208"/>
  <c r="U1920" i="208"/>
  <c r="U1921" i="208"/>
  <c r="U1922" i="208"/>
  <c r="U1923" i="208"/>
  <c r="U1924" i="208"/>
  <c r="U1925" i="208"/>
  <c r="U1926" i="208"/>
  <c r="U1927" i="208"/>
  <c r="U1928" i="208"/>
  <c r="U1929" i="208"/>
  <c r="U1930" i="208"/>
  <c r="U1931" i="208"/>
  <c r="U1932" i="208"/>
  <c r="U1933" i="208"/>
  <c r="U1934" i="208"/>
  <c r="U1935" i="208"/>
  <c r="U1936" i="208"/>
  <c r="U1937" i="208"/>
  <c r="U1938" i="208"/>
  <c r="U1939" i="208"/>
  <c r="U1940" i="208"/>
  <c r="U1941" i="208"/>
  <c r="U1942" i="208"/>
  <c r="U1943" i="208"/>
  <c r="U1944" i="208"/>
  <c r="U1945" i="208"/>
  <c r="U1946" i="208"/>
  <c r="U1947" i="208"/>
  <c r="U1948" i="208"/>
  <c r="U1949" i="208"/>
  <c r="U1950" i="208"/>
  <c r="U1951" i="208"/>
  <c r="U1952" i="208"/>
  <c r="U1953" i="208"/>
  <c r="U1954" i="208"/>
  <c r="U1955" i="208"/>
  <c r="U1956" i="208"/>
  <c r="U1957" i="208"/>
  <c r="U1958" i="208"/>
  <c r="U1959" i="208"/>
  <c r="U1960" i="208"/>
  <c r="U1961" i="208"/>
  <c r="U1962" i="208"/>
  <c r="U1963" i="208"/>
  <c r="U1964" i="208"/>
  <c r="U1965" i="208"/>
  <c r="U1966" i="208"/>
  <c r="U1967" i="208"/>
  <c r="U1968" i="208"/>
  <c r="U1969" i="208"/>
  <c r="U1970" i="208"/>
  <c r="U1971" i="208"/>
  <c r="U1972" i="208"/>
  <c r="U1973" i="208"/>
  <c r="U1974" i="208"/>
  <c r="U1975" i="208"/>
  <c r="U1976" i="208"/>
  <c r="U1977" i="208"/>
  <c r="U1978" i="208"/>
  <c r="U1979" i="208"/>
  <c r="U1980" i="208"/>
  <c r="U1981" i="208"/>
  <c r="U1982" i="208"/>
  <c r="U1983" i="208"/>
  <c r="U1984" i="208"/>
  <c r="U1985" i="208"/>
  <c r="U1986" i="208"/>
  <c r="U1987" i="208"/>
  <c r="U1988" i="208"/>
  <c r="U1989" i="208"/>
  <c r="U1990" i="208"/>
  <c r="U1991" i="208"/>
  <c r="U1992" i="208"/>
  <c r="U1993" i="208"/>
  <c r="U1994" i="208"/>
  <c r="U1995" i="208"/>
  <c r="U1996" i="208"/>
  <c r="U1997" i="208"/>
  <c r="U1998" i="208"/>
  <c r="U1999" i="208"/>
  <c r="U2000" i="208"/>
  <c r="U2001" i="208"/>
  <c r="U2002" i="208"/>
  <c r="U2003" i="208"/>
  <c r="U2004" i="208"/>
  <c r="U2005" i="208"/>
  <c r="U2006" i="208"/>
  <c r="U2007" i="208"/>
  <c r="U2008" i="208"/>
  <c r="U2009" i="208"/>
  <c r="U2010" i="208"/>
  <c r="U2011" i="208"/>
  <c r="U2012" i="208"/>
  <c r="U2013" i="208"/>
  <c r="U2014" i="208"/>
  <c r="U2015" i="208"/>
  <c r="U2016" i="208"/>
  <c r="U2017" i="208"/>
  <c r="U2018" i="208"/>
  <c r="U2019" i="208"/>
  <c r="U2020" i="208"/>
  <c r="U2021" i="208"/>
  <c r="U2022" i="208"/>
  <c r="U2023" i="208"/>
  <c r="U2024" i="208"/>
  <c r="U2025" i="208"/>
  <c r="U2026" i="208"/>
  <c r="U2027" i="208"/>
  <c r="U2028" i="208"/>
  <c r="U2029" i="208"/>
  <c r="U2030" i="208"/>
  <c r="U2031" i="208"/>
  <c r="U2032" i="208"/>
  <c r="U2033" i="208"/>
  <c r="U2034" i="208"/>
  <c r="U2035" i="208"/>
  <c r="U2036" i="208"/>
  <c r="U2037" i="208"/>
  <c r="U2038" i="208"/>
  <c r="U2039" i="208"/>
  <c r="U2040" i="208"/>
  <c r="U2041" i="208"/>
  <c r="U2042" i="208"/>
  <c r="U2043" i="208"/>
  <c r="U2044" i="208"/>
  <c r="U2045" i="208"/>
  <c r="U2046" i="208"/>
  <c r="U2047" i="208"/>
  <c r="U2048" i="208"/>
  <c r="U2049" i="208"/>
  <c r="U2050" i="208"/>
  <c r="U2051" i="208"/>
  <c r="U2052" i="208"/>
  <c r="U2053" i="208"/>
  <c r="U2054" i="208"/>
  <c r="U2055" i="208"/>
  <c r="U2056" i="208"/>
  <c r="U2057" i="208"/>
  <c r="U2058" i="208"/>
  <c r="U2059" i="208"/>
  <c r="U2060" i="208"/>
  <c r="U2061" i="208"/>
  <c r="U2062" i="208"/>
  <c r="U2063" i="208"/>
  <c r="U2064" i="208"/>
  <c r="U2065" i="208"/>
  <c r="U2066" i="208"/>
  <c r="U2067" i="208"/>
  <c r="U2068" i="208"/>
  <c r="U2069" i="208"/>
  <c r="U2070" i="208"/>
  <c r="U2071" i="208"/>
  <c r="U2072" i="208"/>
  <c r="U2073" i="208"/>
  <c r="U2074" i="208"/>
  <c r="U2075" i="208"/>
  <c r="U2076" i="208"/>
  <c r="U2077" i="208"/>
  <c r="U2078" i="208"/>
  <c r="U2079" i="208"/>
  <c r="U2080" i="208"/>
  <c r="U2081" i="208"/>
  <c r="U2082" i="208"/>
  <c r="U2083" i="208"/>
  <c r="U2084" i="208"/>
  <c r="U2085" i="208"/>
  <c r="U2086" i="208"/>
  <c r="U2087" i="208"/>
  <c r="U2088" i="208"/>
  <c r="U2089" i="208"/>
  <c r="U2090" i="208"/>
  <c r="U2091" i="208"/>
  <c r="U2092" i="208"/>
  <c r="U2093" i="208"/>
  <c r="U2094" i="208"/>
  <c r="U2095" i="208"/>
  <c r="U2096" i="208"/>
  <c r="U2097" i="208"/>
  <c r="U2098" i="208"/>
  <c r="U2099" i="208"/>
  <c r="U2100" i="208"/>
  <c r="U2101" i="208"/>
  <c r="U2102" i="208"/>
  <c r="U2103" i="208"/>
  <c r="U2104" i="208"/>
  <c r="U2105" i="208"/>
  <c r="U2106" i="208"/>
  <c r="U2107" i="208"/>
  <c r="U2108" i="208"/>
  <c r="U2109" i="208"/>
  <c r="U2110" i="208"/>
  <c r="U2111" i="208"/>
  <c r="U2112" i="208"/>
  <c r="U2113" i="208"/>
  <c r="U2114" i="208"/>
  <c r="U2115" i="208"/>
  <c r="U2116" i="208"/>
  <c r="U2117" i="208"/>
  <c r="U2118" i="208"/>
  <c r="U2119" i="208"/>
  <c r="U2120" i="208"/>
  <c r="U2121" i="208"/>
  <c r="U2122" i="208"/>
  <c r="U2123" i="208"/>
  <c r="U2124" i="208"/>
  <c r="U2125" i="208"/>
  <c r="U2126" i="208"/>
  <c r="U2127" i="208"/>
  <c r="U2128" i="208"/>
  <c r="U2129" i="208"/>
  <c r="U2130" i="208"/>
  <c r="U2131" i="208"/>
  <c r="U2132" i="208"/>
  <c r="U2133" i="208"/>
  <c r="U2134" i="208"/>
  <c r="U2135" i="208"/>
  <c r="U2136" i="208"/>
  <c r="U2137" i="208"/>
  <c r="U2138" i="208"/>
  <c r="U2139" i="208"/>
  <c r="U2140" i="208"/>
  <c r="U2141" i="208"/>
  <c r="U2142" i="208"/>
  <c r="U2143" i="208"/>
  <c r="U2144" i="208"/>
  <c r="U2145" i="208"/>
  <c r="U2146" i="208"/>
  <c r="U2147" i="208"/>
  <c r="U2148" i="208"/>
  <c r="U2149" i="208"/>
  <c r="U2150" i="208"/>
  <c r="U2151" i="208"/>
  <c r="U2152" i="208"/>
  <c r="U2153" i="208"/>
  <c r="U2154" i="208"/>
  <c r="U2155" i="208"/>
  <c r="U2156" i="208"/>
  <c r="U2157" i="208"/>
  <c r="U2158" i="208"/>
  <c r="U2159" i="208"/>
  <c r="U2160" i="208"/>
  <c r="U2161" i="208"/>
  <c r="U2162" i="208"/>
  <c r="U2163" i="208"/>
  <c r="U2164" i="208"/>
  <c r="U2165" i="208"/>
  <c r="U2166" i="208"/>
  <c r="U2167" i="208"/>
  <c r="U2168" i="208"/>
  <c r="U2169" i="208"/>
  <c r="U2170" i="208"/>
  <c r="U2171" i="208"/>
  <c r="U2172" i="208"/>
  <c r="U2173" i="208"/>
  <c r="U2174" i="208"/>
  <c r="U2175" i="208"/>
  <c r="U2176" i="208"/>
  <c r="U2177" i="208"/>
  <c r="U2178" i="208"/>
  <c r="U2179" i="208"/>
  <c r="U2180" i="208"/>
  <c r="U2181" i="208"/>
  <c r="U2182" i="208"/>
  <c r="U2183" i="208"/>
  <c r="U2184" i="208"/>
  <c r="U2185" i="208"/>
  <c r="U2186" i="208"/>
  <c r="U2187" i="208"/>
  <c r="U2188" i="208"/>
  <c r="U2189" i="208"/>
  <c r="U2190" i="208"/>
  <c r="U2191" i="208"/>
  <c r="U2192" i="208"/>
  <c r="U2193" i="208"/>
  <c r="U2194" i="208"/>
  <c r="U2195" i="208"/>
  <c r="U2196" i="208"/>
  <c r="U2197" i="208"/>
  <c r="U2198" i="208"/>
  <c r="U2199" i="208"/>
  <c r="U2200" i="208"/>
  <c r="U2201" i="208"/>
  <c r="U2202" i="208"/>
  <c r="U2203" i="208"/>
  <c r="U2204" i="208"/>
  <c r="U2205" i="208"/>
  <c r="U2206" i="208"/>
  <c r="U2207" i="208"/>
  <c r="U2208" i="208"/>
  <c r="U2209" i="208"/>
  <c r="U2210" i="208"/>
  <c r="U2211" i="208"/>
  <c r="U2212" i="208"/>
  <c r="U2213" i="208"/>
  <c r="U2214" i="208"/>
  <c r="U2215" i="208"/>
  <c r="U2216" i="208"/>
  <c r="U2217" i="208"/>
  <c r="U2218" i="208"/>
  <c r="U2219" i="208"/>
  <c r="U2220" i="208"/>
  <c r="U2221" i="208"/>
  <c r="U2222" i="208"/>
  <c r="U2223" i="208"/>
  <c r="U2224" i="208"/>
  <c r="U2225" i="208"/>
  <c r="U2226" i="208"/>
  <c r="U2227" i="208"/>
  <c r="U2228" i="208"/>
  <c r="U2229" i="208"/>
  <c r="U2230" i="208"/>
  <c r="U2231" i="208"/>
  <c r="U2232" i="208"/>
  <c r="U2233" i="208"/>
  <c r="U2234" i="208"/>
  <c r="U2235" i="208"/>
  <c r="U2236" i="208"/>
  <c r="U2237" i="208"/>
  <c r="U2238" i="208"/>
  <c r="U2239" i="208"/>
  <c r="U2240" i="208"/>
  <c r="U2241" i="208"/>
  <c r="U2242" i="208"/>
  <c r="U2243" i="208"/>
  <c r="U2244" i="208"/>
  <c r="U2245" i="208"/>
  <c r="U2246" i="208"/>
  <c r="U2247" i="208"/>
  <c r="U2248" i="208"/>
  <c r="U2249" i="208"/>
  <c r="U2250" i="208"/>
  <c r="U2251" i="208"/>
  <c r="U2252" i="208"/>
  <c r="U2253" i="208"/>
  <c r="U2254" i="208"/>
  <c r="U2255" i="208"/>
  <c r="U2256" i="208"/>
  <c r="U2257" i="208"/>
  <c r="U2258" i="208"/>
  <c r="U2259" i="208"/>
  <c r="U2260" i="208"/>
  <c r="U2261" i="208"/>
  <c r="U2262" i="208"/>
  <c r="U2263" i="208"/>
  <c r="U2264" i="208"/>
  <c r="U2265" i="208"/>
  <c r="U2266" i="208"/>
  <c r="U2267" i="208"/>
  <c r="U2268" i="208"/>
  <c r="U2269" i="208"/>
  <c r="U2270" i="208"/>
  <c r="U2271" i="208"/>
  <c r="U2272" i="208"/>
  <c r="U2273" i="208"/>
  <c r="U2274" i="208"/>
  <c r="U2275" i="208"/>
  <c r="U2276" i="208"/>
  <c r="U2277" i="208"/>
  <c r="U2278" i="208"/>
  <c r="U2279" i="208"/>
  <c r="U2280" i="208"/>
  <c r="U2281" i="208"/>
  <c r="U2282" i="208"/>
  <c r="U2283" i="208"/>
  <c r="U2284" i="208"/>
  <c r="U2285" i="208"/>
  <c r="U2286" i="208"/>
  <c r="U2287" i="208"/>
  <c r="U2288" i="208"/>
  <c r="U2289" i="208"/>
  <c r="U2290" i="208"/>
  <c r="U2291" i="208"/>
  <c r="U2292" i="208"/>
  <c r="U2293" i="208"/>
  <c r="U2294" i="208"/>
  <c r="U2295" i="208"/>
  <c r="U2296" i="208"/>
  <c r="U2297" i="208"/>
  <c r="U2298" i="208"/>
  <c r="U2299" i="208"/>
  <c r="U2300" i="208"/>
  <c r="U2301" i="208"/>
  <c r="U2302" i="208"/>
  <c r="U2303" i="208"/>
  <c r="U2304" i="208"/>
  <c r="U2305" i="208"/>
  <c r="U2306" i="208"/>
  <c r="U2307" i="208"/>
  <c r="U2308" i="208"/>
  <c r="U2309" i="208"/>
  <c r="U2310" i="208"/>
  <c r="U2311" i="208"/>
  <c r="U2312" i="208"/>
  <c r="U2313" i="208"/>
  <c r="U2314" i="208"/>
  <c r="U2315" i="208"/>
  <c r="U2316" i="208"/>
  <c r="U2317" i="208"/>
  <c r="U2318" i="208"/>
  <c r="U2319" i="208"/>
  <c r="U2320" i="208"/>
  <c r="U2321" i="208"/>
  <c r="U2322" i="208"/>
  <c r="U2323" i="208"/>
  <c r="U2324" i="208"/>
  <c r="U2325" i="208"/>
  <c r="U2326" i="208"/>
  <c r="U2327" i="208"/>
  <c r="U2328" i="208"/>
  <c r="U2329" i="208"/>
  <c r="U2330" i="208"/>
  <c r="U2331" i="208"/>
  <c r="U2332" i="208"/>
  <c r="U2333" i="208"/>
  <c r="U2334" i="208"/>
  <c r="U2335" i="208"/>
  <c r="U2336" i="208"/>
  <c r="U2337" i="208"/>
  <c r="U2338" i="208"/>
  <c r="U2339" i="208"/>
  <c r="U2340" i="208"/>
  <c r="U2341" i="208"/>
  <c r="U2342" i="208"/>
  <c r="U2343" i="208"/>
  <c r="U2344" i="208"/>
  <c r="U2345" i="208"/>
  <c r="U2346" i="208"/>
  <c r="U2347" i="208"/>
  <c r="U2348" i="208"/>
  <c r="U2349" i="208"/>
  <c r="U2350" i="208"/>
  <c r="U2351" i="208"/>
  <c r="U2352" i="208"/>
  <c r="U2353" i="208"/>
  <c r="U2354" i="208"/>
  <c r="U2355" i="208"/>
  <c r="U2356" i="208"/>
  <c r="U2357" i="208"/>
  <c r="U2358" i="208"/>
  <c r="U2359" i="208"/>
  <c r="U2360" i="208"/>
  <c r="U2361" i="208"/>
  <c r="U2362" i="208"/>
  <c r="U2363" i="208"/>
  <c r="U2364" i="208"/>
  <c r="U2365" i="208"/>
  <c r="U2366" i="208"/>
  <c r="U2367" i="208"/>
  <c r="U2368" i="208"/>
  <c r="U2369" i="208"/>
  <c r="U2370" i="208"/>
  <c r="U2371" i="208"/>
  <c r="U2372" i="208"/>
  <c r="U2373" i="208"/>
  <c r="U2374" i="208"/>
  <c r="U2375" i="208"/>
  <c r="U2376" i="208"/>
  <c r="U2377" i="208"/>
  <c r="U2378" i="208"/>
  <c r="U2379" i="208"/>
  <c r="U2380" i="208"/>
  <c r="U2381" i="208"/>
  <c r="U2382" i="208"/>
  <c r="U2383" i="208"/>
  <c r="U2384" i="208"/>
  <c r="U2385" i="208"/>
  <c r="U2386" i="208"/>
  <c r="U2387" i="208"/>
  <c r="U2388" i="208"/>
  <c r="U2389" i="208"/>
  <c r="U2390" i="208"/>
  <c r="U2391" i="208"/>
  <c r="U2392" i="208"/>
  <c r="U2393" i="208"/>
  <c r="U2394" i="208"/>
  <c r="U2395" i="208"/>
  <c r="U2396" i="208"/>
  <c r="U2397" i="208"/>
  <c r="U2398" i="208"/>
  <c r="U2399" i="208"/>
  <c r="U2400" i="208"/>
  <c r="U2401" i="208"/>
  <c r="U2402" i="208"/>
  <c r="U2403" i="208"/>
  <c r="U2404" i="208"/>
  <c r="U2405" i="208"/>
  <c r="U2406" i="208"/>
  <c r="U2407" i="208"/>
  <c r="U2408" i="208"/>
  <c r="U2409" i="208"/>
  <c r="U2410" i="208"/>
  <c r="U2411" i="208"/>
  <c r="U2412" i="208"/>
  <c r="U2413" i="208"/>
  <c r="U2414" i="208"/>
  <c r="U2415" i="208"/>
  <c r="U2416" i="208"/>
  <c r="U2417" i="208"/>
  <c r="U2418" i="208"/>
  <c r="U2419" i="208"/>
  <c r="U2420" i="208"/>
  <c r="U2421" i="208"/>
  <c r="U2422" i="208"/>
  <c r="U2423" i="208"/>
  <c r="U2424" i="208"/>
  <c r="U2425" i="208"/>
  <c r="U2426" i="208"/>
  <c r="U2427" i="208"/>
  <c r="U2428" i="208"/>
  <c r="U2429" i="208"/>
  <c r="U2430" i="208"/>
  <c r="U2431" i="208"/>
  <c r="U2432" i="208"/>
  <c r="U2433" i="208"/>
  <c r="U2434" i="208"/>
  <c r="U2435" i="208"/>
  <c r="U2436" i="208"/>
  <c r="U2437" i="208"/>
  <c r="U2438" i="208"/>
  <c r="U2439" i="208"/>
  <c r="U2440" i="208"/>
  <c r="U2441" i="208"/>
  <c r="U2442" i="208"/>
  <c r="U2443" i="208"/>
  <c r="U2444" i="208"/>
  <c r="U2445" i="208"/>
  <c r="U2446" i="208"/>
  <c r="U2447" i="208"/>
  <c r="U2448" i="208"/>
  <c r="U2449" i="208"/>
  <c r="U2450" i="208"/>
  <c r="U2451" i="208"/>
  <c r="U2452" i="208"/>
  <c r="U2453" i="208"/>
  <c r="U2454" i="208"/>
  <c r="U2455" i="208"/>
  <c r="U2456" i="208"/>
  <c r="U2457" i="208"/>
  <c r="U2458" i="208"/>
  <c r="U2459" i="208"/>
  <c r="U2460" i="208"/>
  <c r="U2461" i="208"/>
  <c r="U2462" i="208"/>
  <c r="U2463" i="208"/>
  <c r="U2464" i="208"/>
  <c r="U2465" i="208"/>
  <c r="U2466" i="208"/>
  <c r="U2467" i="208"/>
  <c r="U2468" i="208"/>
  <c r="U2469" i="208"/>
  <c r="U2470" i="208"/>
  <c r="U2471" i="208"/>
  <c r="U2472" i="208"/>
  <c r="U2473" i="208"/>
  <c r="U2474" i="208"/>
  <c r="U2475" i="208"/>
  <c r="U2476" i="208"/>
  <c r="U2477" i="208"/>
  <c r="U2478" i="208"/>
  <c r="U2479" i="208"/>
  <c r="U2480" i="208"/>
  <c r="U2481" i="208"/>
  <c r="U2482" i="208"/>
  <c r="U2483" i="208"/>
  <c r="U2484" i="208"/>
  <c r="U2485" i="208"/>
  <c r="U2486" i="208"/>
  <c r="U2487" i="208"/>
  <c r="U2488" i="208"/>
  <c r="U2489" i="208"/>
  <c r="U2490" i="208"/>
  <c r="U2491" i="208"/>
  <c r="U2492" i="208"/>
  <c r="U2493" i="208"/>
  <c r="U2494" i="208"/>
  <c r="U2495" i="208"/>
  <c r="U2496" i="208"/>
  <c r="U2497" i="208"/>
  <c r="U2498" i="208"/>
  <c r="U2499" i="208"/>
  <c r="U2500" i="208"/>
  <c r="U2501" i="208"/>
  <c r="U2502" i="208"/>
  <c r="U2503" i="208"/>
  <c r="U2504" i="208"/>
  <c r="U2505" i="208"/>
  <c r="U2506" i="208"/>
  <c r="U2507" i="208"/>
  <c r="U2508" i="208"/>
  <c r="U2509" i="208"/>
  <c r="U2510" i="208"/>
  <c r="U2511" i="208"/>
  <c r="U2512" i="208"/>
  <c r="U2513" i="208"/>
  <c r="U2514" i="208"/>
  <c r="U2515" i="208"/>
  <c r="U2516" i="208"/>
  <c r="U2517" i="208"/>
  <c r="U2518" i="208"/>
  <c r="U2519" i="208"/>
  <c r="U2520" i="208"/>
  <c r="U2521" i="208"/>
  <c r="U2522" i="208"/>
  <c r="U2523" i="208"/>
  <c r="U2524" i="208"/>
  <c r="U2525" i="208"/>
  <c r="U2526" i="208"/>
  <c r="U2527" i="208"/>
  <c r="U2528" i="208"/>
  <c r="U2529" i="208"/>
  <c r="U2530" i="208"/>
  <c r="U2531" i="208"/>
  <c r="U2532" i="208"/>
  <c r="U2533" i="208"/>
  <c r="U2534" i="208"/>
  <c r="U2535" i="208"/>
  <c r="U2536" i="208"/>
  <c r="U2537" i="208"/>
  <c r="U2538" i="208"/>
  <c r="U2539" i="208"/>
  <c r="U2540" i="208"/>
  <c r="U2541" i="208"/>
  <c r="U2542" i="208"/>
  <c r="U2543" i="208"/>
  <c r="U2544" i="208"/>
  <c r="U2545" i="208"/>
  <c r="U2546" i="208"/>
  <c r="U2547" i="208"/>
  <c r="U2548" i="208"/>
  <c r="U2549" i="208"/>
  <c r="U2550" i="208"/>
  <c r="U2551" i="208"/>
  <c r="U2552" i="208"/>
  <c r="U2553" i="208"/>
  <c r="U2554" i="208"/>
  <c r="U2555" i="208"/>
  <c r="U2556" i="208"/>
  <c r="U2557" i="208"/>
  <c r="U2558" i="208"/>
  <c r="U2559" i="208"/>
  <c r="U2560" i="208"/>
  <c r="U2561" i="208"/>
  <c r="U2562" i="208"/>
  <c r="U2563" i="208"/>
  <c r="U2564" i="208"/>
  <c r="U2565" i="208"/>
  <c r="U2566" i="208"/>
  <c r="U2567" i="208"/>
  <c r="U2568" i="208"/>
  <c r="U2569" i="208"/>
  <c r="U2570" i="208"/>
  <c r="U2571" i="208"/>
  <c r="U2572" i="208"/>
  <c r="U2573" i="208"/>
  <c r="U2574" i="208"/>
  <c r="U2575" i="208"/>
  <c r="U2576" i="208"/>
  <c r="U2577" i="208"/>
  <c r="U2578" i="208"/>
  <c r="U2579" i="208"/>
  <c r="U2580" i="208"/>
  <c r="U2581" i="208"/>
  <c r="U2582" i="208"/>
  <c r="U2583" i="208"/>
  <c r="U2584" i="208"/>
  <c r="U2585" i="208"/>
  <c r="U2586" i="208"/>
  <c r="U2587" i="208"/>
  <c r="U2588" i="208"/>
  <c r="U2589" i="208"/>
  <c r="U2590" i="208"/>
  <c r="U2591" i="208"/>
  <c r="U2592" i="208"/>
  <c r="U2593" i="208"/>
  <c r="U2594" i="208"/>
  <c r="U2595" i="208"/>
  <c r="U2596" i="208"/>
  <c r="U2597" i="208"/>
  <c r="U2598" i="208"/>
  <c r="U2599" i="208"/>
  <c r="U2600" i="208"/>
  <c r="U2601" i="208"/>
  <c r="U2602" i="208"/>
  <c r="U2603" i="208"/>
  <c r="U2604" i="208"/>
  <c r="U2605" i="208"/>
  <c r="U2606" i="208"/>
  <c r="U2607" i="208"/>
  <c r="U2608" i="208"/>
  <c r="U2609" i="208"/>
  <c r="U2610" i="208"/>
  <c r="U2611" i="208"/>
  <c r="U2612" i="208"/>
  <c r="U2613" i="208"/>
  <c r="U2614" i="208"/>
  <c r="U2615" i="208"/>
  <c r="U2616" i="208"/>
  <c r="U2617" i="208"/>
  <c r="U2618" i="208"/>
  <c r="U2619" i="208"/>
  <c r="U2620" i="208"/>
  <c r="U2621" i="208"/>
  <c r="U2622" i="208"/>
  <c r="U2623" i="208"/>
  <c r="U2624" i="208"/>
  <c r="U2625" i="208"/>
  <c r="U2626" i="208"/>
  <c r="U2627" i="208"/>
  <c r="U2628" i="208"/>
  <c r="U2629" i="208"/>
  <c r="U2630" i="208"/>
  <c r="U2631" i="208"/>
  <c r="U2632" i="208"/>
  <c r="U2633" i="208"/>
  <c r="U2634" i="208"/>
  <c r="U2635" i="208"/>
  <c r="U2636" i="208"/>
  <c r="U2637" i="208"/>
  <c r="U2638" i="208"/>
  <c r="U2639" i="208"/>
  <c r="U2640" i="208"/>
  <c r="U2641" i="208"/>
  <c r="U2642" i="208"/>
  <c r="U2643" i="208"/>
  <c r="U2644" i="208"/>
  <c r="U2645" i="208"/>
  <c r="U2646" i="208"/>
  <c r="U2647" i="208"/>
  <c r="U2648" i="208"/>
  <c r="U2649" i="208"/>
  <c r="U2650" i="208"/>
  <c r="U2651" i="208"/>
  <c r="U2652" i="208"/>
  <c r="U2653" i="208"/>
  <c r="U2654" i="208"/>
  <c r="U2655" i="208"/>
  <c r="U2656" i="208"/>
  <c r="U2657" i="208"/>
  <c r="U2658" i="208"/>
  <c r="U2659" i="208"/>
  <c r="U2660" i="208"/>
  <c r="U2661" i="208"/>
  <c r="U2662" i="208"/>
  <c r="U2663" i="208"/>
  <c r="U2664" i="208"/>
  <c r="U2665" i="208"/>
  <c r="U2666" i="208"/>
  <c r="U2667" i="208"/>
  <c r="U2668" i="208"/>
  <c r="U2669" i="208"/>
  <c r="U2670" i="208"/>
  <c r="U2671" i="208"/>
  <c r="U2672" i="208"/>
  <c r="U2673" i="208"/>
  <c r="U2674" i="208"/>
  <c r="U2675" i="208"/>
  <c r="U2676" i="208"/>
  <c r="U2677" i="208"/>
  <c r="U2678" i="208"/>
  <c r="U2679" i="208"/>
  <c r="U2680" i="208"/>
  <c r="U2681" i="208"/>
  <c r="U2682" i="208"/>
  <c r="U2683" i="208"/>
  <c r="U2684" i="208"/>
  <c r="U2685" i="208"/>
  <c r="U2686" i="208"/>
  <c r="U2687" i="208"/>
  <c r="U2688" i="208"/>
  <c r="U2689" i="208"/>
  <c r="U2690" i="208"/>
  <c r="U2691" i="208"/>
  <c r="U2692" i="208"/>
  <c r="U2693" i="208"/>
  <c r="U2694" i="208"/>
  <c r="U2695" i="208"/>
  <c r="U2696" i="208"/>
  <c r="U2697" i="208"/>
  <c r="U2698" i="208"/>
  <c r="U2699" i="208"/>
  <c r="U2700" i="208"/>
  <c r="U2701" i="208"/>
  <c r="U2702" i="208"/>
  <c r="U2703" i="208"/>
  <c r="U2704" i="208"/>
  <c r="U2705" i="208"/>
  <c r="U2706" i="208"/>
  <c r="U2707" i="208"/>
  <c r="U2708" i="208"/>
  <c r="U2709" i="208"/>
  <c r="U2710" i="208"/>
  <c r="U2711" i="208"/>
  <c r="U2712" i="208"/>
  <c r="U2713" i="208"/>
  <c r="U2714" i="208"/>
  <c r="U2715" i="208"/>
  <c r="U2716" i="208"/>
  <c r="U2717" i="208"/>
  <c r="U2718" i="208"/>
  <c r="U2719" i="208"/>
  <c r="U2720" i="208"/>
  <c r="U2721" i="208"/>
  <c r="U2722" i="208"/>
  <c r="U2723" i="208"/>
  <c r="U2724" i="208"/>
  <c r="U2725" i="208"/>
  <c r="U2726" i="208"/>
  <c r="U2727" i="208"/>
  <c r="U2728" i="208"/>
  <c r="U2729" i="208"/>
  <c r="U2730" i="208"/>
  <c r="U2731" i="208"/>
  <c r="U2732" i="208"/>
  <c r="U2733" i="208"/>
  <c r="U2734" i="208"/>
  <c r="U2735" i="208"/>
  <c r="U2736" i="208"/>
  <c r="U2737" i="208"/>
  <c r="U2738" i="208"/>
  <c r="U2739" i="208"/>
  <c r="U2740" i="208"/>
  <c r="U2741" i="208"/>
  <c r="U2742" i="208"/>
  <c r="U2743" i="208"/>
  <c r="U2744" i="208"/>
  <c r="U2745" i="208"/>
  <c r="U2746" i="208"/>
  <c r="U2747" i="208"/>
  <c r="U2748" i="208"/>
  <c r="U2749" i="208"/>
  <c r="U2750" i="208"/>
  <c r="U2751" i="208"/>
  <c r="U2752" i="208"/>
  <c r="U2753" i="208"/>
  <c r="U2754" i="208"/>
  <c r="U2755" i="208"/>
  <c r="U2756" i="208"/>
  <c r="U2757" i="208"/>
  <c r="U2758" i="208"/>
  <c r="U2759" i="208"/>
  <c r="U2760" i="208"/>
  <c r="U2761" i="208"/>
  <c r="U2762" i="208"/>
  <c r="U2763" i="208"/>
  <c r="U2764" i="208"/>
  <c r="U2765" i="208"/>
  <c r="U2766" i="208"/>
  <c r="U2767" i="208"/>
  <c r="U2768" i="208"/>
  <c r="U2769" i="208"/>
  <c r="U2770" i="208"/>
  <c r="U2771" i="208"/>
  <c r="U2772" i="208"/>
  <c r="U2773" i="208"/>
  <c r="U2774" i="208"/>
  <c r="U2775" i="208"/>
  <c r="U2776" i="208"/>
  <c r="U2777" i="208"/>
  <c r="U2778" i="208"/>
  <c r="U2779" i="208"/>
  <c r="U2780" i="208"/>
  <c r="U2781" i="208"/>
  <c r="U2782" i="208"/>
  <c r="U2783" i="208"/>
  <c r="U2784" i="208"/>
  <c r="U2785" i="208"/>
  <c r="U2786" i="208"/>
  <c r="U2787" i="208"/>
  <c r="U2788" i="208"/>
  <c r="U2789" i="208"/>
  <c r="U2790" i="208"/>
  <c r="U2791" i="208"/>
  <c r="U2792" i="208"/>
  <c r="U2793" i="208"/>
  <c r="U2794" i="208"/>
  <c r="U2795" i="208"/>
  <c r="U2796" i="208"/>
  <c r="U2797" i="208"/>
  <c r="U2798" i="208"/>
  <c r="U2799" i="208"/>
  <c r="U2800" i="208"/>
  <c r="U2801" i="208"/>
  <c r="U2802" i="208"/>
  <c r="U2803" i="208"/>
  <c r="U2804" i="208"/>
  <c r="U2805" i="208"/>
  <c r="U2806" i="208"/>
  <c r="U2807" i="208"/>
  <c r="U2808" i="208"/>
  <c r="U2809" i="208"/>
  <c r="U2810" i="208"/>
  <c r="U2811" i="208"/>
  <c r="U2812" i="208"/>
  <c r="U2813" i="208"/>
  <c r="U2814" i="208"/>
  <c r="U2815" i="208"/>
  <c r="U2816" i="208"/>
  <c r="U2817" i="208"/>
  <c r="U2818" i="208"/>
  <c r="U2819" i="208"/>
  <c r="U2820" i="208"/>
  <c r="U2821" i="208"/>
  <c r="U2822" i="208"/>
  <c r="U2823" i="208"/>
  <c r="U2824" i="208"/>
  <c r="U2825" i="208"/>
  <c r="U2826" i="208"/>
  <c r="U2827" i="208"/>
  <c r="U2828" i="208"/>
  <c r="U2829" i="208"/>
  <c r="U2830" i="208"/>
  <c r="U2831" i="208"/>
  <c r="U2832" i="208"/>
  <c r="U2833" i="208"/>
  <c r="U2834" i="208"/>
  <c r="U2835" i="208"/>
  <c r="U2836" i="208"/>
  <c r="U2837" i="208"/>
  <c r="U2838" i="208"/>
  <c r="U2839" i="208"/>
  <c r="U2840" i="208"/>
  <c r="U2841" i="208"/>
  <c r="U2842" i="208"/>
  <c r="U2843" i="208"/>
  <c r="U2844" i="208"/>
  <c r="U2845" i="208"/>
  <c r="U2846" i="208"/>
  <c r="U2847" i="208"/>
  <c r="U2848" i="208"/>
  <c r="U2849" i="208"/>
  <c r="U2850" i="208"/>
  <c r="U2851" i="208"/>
  <c r="U2852" i="208"/>
  <c r="U2853" i="208"/>
  <c r="U2854" i="208"/>
  <c r="U2855" i="208"/>
  <c r="U2856" i="208"/>
  <c r="U2857" i="208"/>
  <c r="U2858" i="208"/>
  <c r="U2859" i="208"/>
  <c r="U2860" i="208"/>
  <c r="U2861" i="208"/>
  <c r="U2862" i="208"/>
  <c r="U2863" i="208"/>
  <c r="U2864" i="208"/>
  <c r="U2865" i="208"/>
  <c r="U2866" i="208"/>
  <c r="U2867" i="208"/>
  <c r="U2868" i="208"/>
  <c r="U2869" i="208"/>
  <c r="U2870" i="208"/>
  <c r="U2871" i="208"/>
  <c r="U2872" i="208"/>
  <c r="U2873" i="208"/>
  <c r="U2874" i="208"/>
  <c r="U2875" i="208"/>
  <c r="U2876" i="208"/>
  <c r="U2877" i="208"/>
  <c r="U2878" i="208"/>
  <c r="U2879" i="208"/>
  <c r="U2880" i="208"/>
  <c r="U2881" i="208"/>
  <c r="U2882" i="208"/>
  <c r="U2883" i="208"/>
  <c r="U2884" i="208"/>
  <c r="U2885" i="208"/>
  <c r="U2886" i="208"/>
  <c r="U2887" i="208"/>
  <c r="U2888" i="208"/>
  <c r="U2889" i="208"/>
  <c r="U2890" i="208"/>
  <c r="U2891" i="208"/>
  <c r="U2892" i="208"/>
  <c r="U2893" i="208"/>
  <c r="U2894" i="208"/>
  <c r="U2895" i="208"/>
  <c r="U2896" i="208"/>
  <c r="U2897" i="208"/>
  <c r="U2898" i="208"/>
  <c r="U2899" i="208"/>
  <c r="U2900" i="208"/>
  <c r="U2901" i="208"/>
  <c r="U2902" i="208"/>
  <c r="U2903" i="208"/>
  <c r="U2904" i="208"/>
  <c r="U2905" i="208"/>
  <c r="U2906" i="208"/>
  <c r="U2907" i="208"/>
  <c r="U2908" i="208"/>
  <c r="U2909" i="208"/>
  <c r="U2910" i="208"/>
  <c r="U2911" i="208"/>
  <c r="U2912" i="208"/>
  <c r="U2913" i="208"/>
  <c r="U2914" i="208"/>
  <c r="U2915" i="208"/>
  <c r="U2916" i="208"/>
  <c r="U2917" i="208"/>
  <c r="U2918" i="208"/>
  <c r="U2919" i="208"/>
  <c r="U2920" i="208"/>
  <c r="U2921" i="208"/>
  <c r="U2922" i="208"/>
  <c r="U2923" i="208"/>
  <c r="U2924" i="208"/>
  <c r="U2925" i="208"/>
  <c r="U2926" i="208"/>
  <c r="U2927" i="208"/>
  <c r="U2928" i="208"/>
  <c r="U2929" i="208"/>
  <c r="U2930" i="208"/>
  <c r="U2931" i="208"/>
  <c r="U2932" i="208"/>
  <c r="U2933" i="208"/>
  <c r="U2934" i="208"/>
  <c r="U2935" i="208"/>
  <c r="U2936" i="208"/>
  <c r="U2937" i="208"/>
  <c r="U2938" i="208"/>
  <c r="U2939" i="208"/>
  <c r="U2940" i="208"/>
  <c r="U2941" i="208"/>
  <c r="U2942" i="208"/>
  <c r="U2943" i="208"/>
  <c r="U2944" i="208"/>
  <c r="U2945" i="208"/>
  <c r="U2946" i="208"/>
  <c r="U2947" i="208"/>
  <c r="U2948" i="208"/>
  <c r="U2949" i="208"/>
  <c r="U2950" i="208"/>
  <c r="U2951" i="208"/>
  <c r="U2952" i="208"/>
  <c r="U2953" i="208"/>
  <c r="U2954" i="208"/>
  <c r="U2955" i="208"/>
  <c r="U2956" i="208"/>
  <c r="U2957" i="208"/>
  <c r="U2958" i="208"/>
  <c r="U2959" i="208"/>
  <c r="U2960" i="208"/>
  <c r="U2961" i="208"/>
  <c r="U2962" i="208"/>
  <c r="U2963" i="208"/>
  <c r="U2964" i="208"/>
  <c r="U2965" i="208"/>
  <c r="U2966" i="208"/>
  <c r="U2967" i="208"/>
  <c r="U2968" i="208"/>
  <c r="U2969" i="208"/>
  <c r="U2970" i="208"/>
  <c r="U2971" i="208"/>
  <c r="U2972" i="208"/>
  <c r="U2973" i="208"/>
  <c r="U2974" i="208"/>
  <c r="U2975" i="208"/>
  <c r="U2976" i="208"/>
  <c r="U2977" i="208"/>
  <c r="U2978" i="208"/>
  <c r="U2979" i="208"/>
  <c r="U2980" i="208"/>
  <c r="U2981" i="208"/>
  <c r="U2982" i="208"/>
  <c r="U2983" i="208"/>
  <c r="U2984" i="208"/>
  <c r="U2985" i="208"/>
  <c r="U2986" i="208"/>
  <c r="U2987" i="208"/>
  <c r="U2988" i="208"/>
  <c r="U2989" i="208"/>
  <c r="U2990" i="208"/>
  <c r="U2991" i="208"/>
  <c r="U2992" i="208"/>
  <c r="U2993" i="208"/>
  <c r="U2994" i="208"/>
  <c r="U2995" i="208"/>
  <c r="U2996" i="208"/>
  <c r="U2997" i="208"/>
  <c r="U2998" i="208"/>
  <c r="U2999" i="208"/>
  <c r="U3000" i="208"/>
  <c r="U302" i="208"/>
  <c r="U3" i="208"/>
  <c r="U4" i="208"/>
  <c r="U5" i="208"/>
  <c r="U6" i="208"/>
  <c r="U7" i="208"/>
  <c r="U8" i="208"/>
  <c r="U9" i="208"/>
  <c r="U10" i="208"/>
  <c r="U11" i="208"/>
  <c r="U12" i="208"/>
  <c r="U13" i="208"/>
  <c r="U14" i="208"/>
  <c r="U15" i="208"/>
  <c r="U16" i="208"/>
  <c r="U17" i="208"/>
  <c r="U18" i="208"/>
  <c r="U19" i="208"/>
  <c r="U20" i="208"/>
  <c r="U21" i="208"/>
  <c r="U22" i="208"/>
  <c r="U23" i="208"/>
  <c r="U24" i="208"/>
  <c r="U25" i="208"/>
  <c r="U26" i="208"/>
  <c r="U27" i="208"/>
  <c r="U28" i="208"/>
  <c r="U29" i="208"/>
  <c r="U30" i="208"/>
  <c r="U31" i="208"/>
  <c r="U32" i="208"/>
  <c r="U33" i="208"/>
  <c r="U34" i="208"/>
  <c r="U35" i="208"/>
  <c r="U36" i="208"/>
  <c r="U37" i="208"/>
  <c r="U38" i="208"/>
  <c r="U39" i="208"/>
  <c r="U40" i="208"/>
  <c r="U41" i="208"/>
  <c r="U42" i="208"/>
  <c r="U43" i="208"/>
  <c r="U44" i="208"/>
  <c r="U45" i="208"/>
  <c r="U46" i="208"/>
  <c r="U47" i="208"/>
  <c r="U48" i="208"/>
  <c r="U49" i="208"/>
  <c r="U50" i="208"/>
  <c r="U51" i="208"/>
  <c r="U52" i="208"/>
  <c r="U53" i="208"/>
  <c r="U54" i="208"/>
  <c r="U55" i="208"/>
  <c r="U56" i="208"/>
  <c r="U57" i="208"/>
  <c r="U58" i="208"/>
  <c r="U59" i="208"/>
  <c r="U60" i="208"/>
  <c r="U61" i="208"/>
  <c r="U62" i="208"/>
  <c r="U63" i="208"/>
  <c r="U64" i="208"/>
  <c r="U65" i="208"/>
  <c r="U66" i="208"/>
  <c r="U67" i="208"/>
  <c r="U68" i="208"/>
  <c r="U69" i="208"/>
  <c r="U70" i="208"/>
  <c r="U71" i="208"/>
  <c r="U72" i="208"/>
  <c r="U73" i="208"/>
  <c r="U74" i="208"/>
  <c r="U75" i="208"/>
  <c r="U76" i="208"/>
  <c r="U77" i="208"/>
  <c r="U78" i="208"/>
  <c r="U79" i="208"/>
  <c r="U80" i="208"/>
  <c r="U81" i="208"/>
  <c r="U82" i="208"/>
  <c r="U83" i="208"/>
  <c r="U84" i="208"/>
  <c r="U85" i="208"/>
  <c r="U86" i="208"/>
  <c r="U87" i="208"/>
  <c r="U88" i="208"/>
  <c r="U89" i="208"/>
  <c r="U90" i="208"/>
  <c r="U91" i="208"/>
  <c r="U92" i="208"/>
  <c r="U93" i="208"/>
  <c r="U94" i="208"/>
  <c r="U95" i="208"/>
  <c r="U96" i="208"/>
  <c r="U97" i="208"/>
  <c r="U98" i="208"/>
  <c r="U99" i="208"/>
  <c r="U100" i="208"/>
  <c r="U101" i="208"/>
  <c r="U102" i="208"/>
  <c r="U103" i="208"/>
  <c r="U104" i="208"/>
  <c r="U105" i="208"/>
  <c r="U106" i="208"/>
  <c r="U107" i="208"/>
  <c r="U108" i="208"/>
  <c r="U109" i="208"/>
  <c r="U110" i="208"/>
  <c r="U111" i="208"/>
  <c r="U112" i="208"/>
  <c r="U113" i="208"/>
  <c r="U114" i="208"/>
  <c r="U115" i="208"/>
  <c r="U116" i="208"/>
  <c r="U117" i="208"/>
  <c r="U118" i="208"/>
  <c r="U119" i="208"/>
  <c r="U120" i="208"/>
  <c r="U121" i="208"/>
  <c r="U122" i="208"/>
  <c r="U123" i="208"/>
  <c r="U124" i="208"/>
  <c r="U125" i="208"/>
  <c r="U126" i="208"/>
  <c r="U127" i="208"/>
  <c r="U128" i="208"/>
  <c r="U129" i="208"/>
  <c r="U130" i="208"/>
  <c r="U131" i="208"/>
  <c r="U132" i="208"/>
  <c r="U133" i="208"/>
  <c r="U134" i="208"/>
  <c r="U135" i="208"/>
  <c r="U136" i="208"/>
  <c r="U137" i="208"/>
  <c r="U138" i="208"/>
  <c r="U139" i="208"/>
  <c r="U140" i="208"/>
  <c r="U141" i="208"/>
  <c r="U142" i="208"/>
  <c r="U143" i="208"/>
  <c r="U144" i="208"/>
  <c r="U145" i="208"/>
  <c r="U146" i="208"/>
  <c r="U147" i="208"/>
  <c r="U148" i="208"/>
  <c r="U149" i="208"/>
  <c r="U150" i="208"/>
  <c r="U151" i="208"/>
  <c r="U152" i="208"/>
  <c r="U153" i="208"/>
  <c r="U154" i="208"/>
  <c r="U155" i="208"/>
  <c r="U156" i="208"/>
  <c r="U157" i="208"/>
  <c r="U158" i="208"/>
  <c r="U159" i="208"/>
  <c r="U160" i="208"/>
  <c r="U161" i="208"/>
  <c r="U162" i="208"/>
  <c r="U163" i="208"/>
  <c r="U164" i="208"/>
  <c r="U165" i="208"/>
  <c r="U166" i="208"/>
  <c r="U167" i="208"/>
  <c r="U168" i="208"/>
  <c r="U169" i="208"/>
  <c r="U170" i="208"/>
  <c r="U171" i="208"/>
  <c r="U172" i="208"/>
  <c r="U173" i="208"/>
  <c r="U174" i="208"/>
  <c r="U175" i="208"/>
  <c r="U176" i="208"/>
  <c r="U177" i="208"/>
  <c r="U178" i="208"/>
  <c r="U179" i="208"/>
  <c r="U180" i="208"/>
  <c r="U181" i="208"/>
  <c r="U182" i="208"/>
  <c r="U183" i="208"/>
  <c r="U184" i="208"/>
  <c r="U185" i="208"/>
  <c r="U186" i="208"/>
  <c r="U187" i="208"/>
  <c r="U188" i="208"/>
  <c r="U189" i="208"/>
  <c r="U190" i="208"/>
  <c r="U191" i="208"/>
  <c r="U192" i="208"/>
  <c r="U193" i="208"/>
  <c r="U194" i="208"/>
  <c r="U195" i="208"/>
  <c r="U196" i="208"/>
  <c r="U197" i="208"/>
  <c r="U198" i="208"/>
  <c r="U199" i="208"/>
  <c r="U200" i="208"/>
  <c r="U201" i="208"/>
  <c r="U202" i="208"/>
  <c r="U203" i="208"/>
  <c r="U204" i="208"/>
  <c r="U205" i="208"/>
  <c r="U206" i="208"/>
  <c r="U207" i="208"/>
  <c r="U208" i="208"/>
  <c r="U209" i="208"/>
  <c r="U210" i="208"/>
  <c r="U211" i="208"/>
  <c r="U212" i="208"/>
  <c r="U213" i="208"/>
  <c r="U214" i="208"/>
  <c r="U215" i="208"/>
  <c r="U216" i="208"/>
  <c r="U217" i="208"/>
  <c r="U218" i="208"/>
  <c r="U219" i="208"/>
  <c r="U220" i="208"/>
  <c r="U221" i="208"/>
  <c r="U222" i="208"/>
  <c r="U223" i="208"/>
  <c r="U224" i="208"/>
  <c r="U225" i="208"/>
  <c r="U226" i="208"/>
  <c r="U227" i="208"/>
  <c r="U228" i="208"/>
  <c r="U229" i="208"/>
  <c r="U230" i="208"/>
  <c r="U231" i="208"/>
  <c r="U232" i="208"/>
  <c r="U233" i="208"/>
  <c r="U234" i="208"/>
  <c r="U235" i="208"/>
  <c r="U236" i="208"/>
  <c r="U237" i="208"/>
  <c r="U238" i="208"/>
  <c r="U239" i="208"/>
  <c r="U240" i="208"/>
  <c r="U241" i="208"/>
  <c r="U242" i="208"/>
  <c r="U243" i="208"/>
  <c r="U244" i="208"/>
  <c r="U245" i="208"/>
  <c r="U246" i="208"/>
  <c r="U247" i="208"/>
  <c r="U248" i="208"/>
  <c r="U249" i="208"/>
  <c r="U250" i="208"/>
  <c r="U251" i="208"/>
  <c r="U252" i="208"/>
  <c r="U253" i="208"/>
  <c r="U254" i="208"/>
  <c r="U255" i="208"/>
  <c r="U256" i="208"/>
  <c r="U257" i="208"/>
  <c r="U258" i="208"/>
  <c r="U259" i="208"/>
  <c r="U260" i="208"/>
  <c r="U261" i="208"/>
  <c r="U262" i="208"/>
  <c r="U263" i="208"/>
  <c r="U264" i="208"/>
  <c r="U265" i="208"/>
  <c r="U266" i="208"/>
  <c r="U267" i="208"/>
  <c r="U268" i="208"/>
  <c r="U269" i="208"/>
  <c r="U270" i="208"/>
  <c r="U271" i="208"/>
  <c r="U272" i="208"/>
  <c r="U273" i="208"/>
  <c r="U274" i="208"/>
  <c r="U275" i="208"/>
  <c r="U276" i="208"/>
  <c r="U277" i="208"/>
  <c r="U278" i="208"/>
  <c r="U279" i="208"/>
  <c r="U280" i="208"/>
  <c r="U281" i="208"/>
  <c r="U282" i="208"/>
  <c r="U283" i="208"/>
  <c r="U284" i="208"/>
  <c r="U285" i="208"/>
  <c r="U286" i="208"/>
  <c r="U287" i="208"/>
  <c r="U288" i="208"/>
  <c r="U289" i="208"/>
  <c r="U290" i="208"/>
  <c r="U291" i="208"/>
  <c r="U292" i="208"/>
  <c r="U293" i="208"/>
  <c r="U294" i="208"/>
  <c r="U295" i="208"/>
  <c r="U296" i="208"/>
  <c r="U297" i="208"/>
  <c r="U298" i="208"/>
  <c r="U299" i="208"/>
  <c r="U300" i="208"/>
  <c r="U301" i="208"/>
  <c r="U2" i="208"/>
  <c r="H6" i="207"/>
  <c r="H7" i="207"/>
  <c r="H8" i="207"/>
  <c r="H9" i="207"/>
  <c r="H10" i="207"/>
  <c r="H11" i="207"/>
  <c r="H12" i="207"/>
  <c r="H13" i="207"/>
  <c r="H14" i="207"/>
  <c r="H15" i="207"/>
  <c r="H16" i="207"/>
  <c r="H17" i="207"/>
  <c r="H18" i="207"/>
  <c r="H19" i="207"/>
  <c r="H20" i="207"/>
  <c r="H21" i="207"/>
  <c r="H22" i="207"/>
  <c r="H23" i="207"/>
  <c r="H24" i="207"/>
  <c r="H25" i="207"/>
  <c r="H26" i="207"/>
  <c r="H27" i="207"/>
  <c r="H28" i="207"/>
  <c r="H29" i="207"/>
  <c r="H30" i="207"/>
  <c r="H31" i="207"/>
  <c r="H32" i="207"/>
  <c r="H33" i="207"/>
  <c r="H34" i="207"/>
  <c r="H35" i="207"/>
  <c r="H36" i="207"/>
  <c r="H37" i="207"/>
  <c r="H38" i="207"/>
  <c r="H39" i="207"/>
  <c r="H40" i="207"/>
  <c r="H41" i="207"/>
  <c r="H42" i="207"/>
  <c r="H43" i="207"/>
  <c r="H44" i="207"/>
  <c r="H45" i="207"/>
  <c r="H46" i="207"/>
  <c r="H47" i="207"/>
  <c r="H48" i="207"/>
  <c r="H49" i="207"/>
  <c r="H50" i="207"/>
  <c r="H51" i="207"/>
  <c r="H52" i="207"/>
  <c r="H53" i="207"/>
  <c r="H54" i="207"/>
  <c r="H55" i="207"/>
  <c r="H56" i="207"/>
  <c r="H57" i="207"/>
  <c r="H58" i="207"/>
  <c r="H59" i="207"/>
  <c r="H60" i="207"/>
  <c r="H61" i="207"/>
  <c r="H62" i="207"/>
  <c r="H63" i="207"/>
  <c r="H64" i="207"/>
  <c r="H65" i="207"/>
  <c r="H66" i="207"/>
  <c r="H67" i="207"/>
  <c r="H68" i="207"/>
  <c r="H69" i="207"/>
  <c r="H70" i="207"/>
  <c r="H71" i="207"/>
  <c r="H72" i="207"/>
  <c r="H73" i="207"/>
  <c r="H74" i="207"/>
  <c r="H75" i="207"/>
  <c r="H76" i="207"/>
  <c r="H77" i="207"/>
  <c r="H78" i="207"/>
  <c r="H79" i="207"/>
  <c r="H80" i="207"/>
  <c r="H81" i="207"/>
  <c r="H82" i="207"/>
  <c r="H83" i="207"/>
  <c r="H84" i="207"/>
  <c r="H85" i="207"/>
  <c r="H86" i="207"/>
  <c r="H87" i="207"/>
  <c r="H88" i="207"/>
  <c r="H89" i="207"/>
  <c r="H90" i="207"/>
  <c r="H91" i="207"/>
  <c r="H92" i="207"/>
  <c r="H93" i="207"/>
  <c r="H94" i="207"/>
  <c r="H95" i="207"/>
  <c r="H96" i="207"/>
  <c r="H97" i="207"/>
  <c r="H98" i="207"/>
  <c r="H99" i="207"/>
  <c r="H100" i="207"/>
  <c r="H101" i="207"/>
  <c r="H102" i="207"/>
  <c r="H103" i="207"/>
  <c r="H104" i="207"/>
  <c r="H105" i="207"/>
  <c r="H106" i="207"/>
  <c r="H107" i="207"/>
  <c r="H108" i="207"/>
  <c r="H109" i="207"/>
  <c r="H110" i="207"/>
  <c r="H111" i="207"/>
  <c r="H112" i="207"/>
  <c r="H113" i="207"/>
  <c r="H114" i="207"/>
  <c r="H115" i="207"/>
  <c r="H116" i="207"/>
  <c r="H117" i="207"/>
  <c r="H118" i="207"/>
  <c r="H119" i="207"/>
  <c r="H120" i="207"/>
  <c r="H121" i="207"/>
  <c r="H122" i="207"/>
  <c r="H123" i="207"/>
  <c r="H124" i="207"/>
  <c r="H125" i="207"/>
  <c r="H126" i="207"/>
  <c r="H127" i="207"/>
  <c r="H128" i="207"/>
  <c r="H129" i="207"/>
  <c r="H130" i="207"/>
  <c r="H131" i="207"/>
  <c r="H132" i="207"/>
  <c r="H133" i="207"/>
  <c r="H134" i="207"/>
  <c r="H135" i="207"/>
  <c r="H136" i="207"/>
  <c r="H137" i="207"/>
  <c r="H138" i="207"/>
  <c r="H139" i="207"/>
  <c r="H140" i="207"/>
  <c r="H141" i="207"/>
  <c r="H142" i="207"/>
  <c r="H143" i="207"/>
  <c r="H144" i="207"/>
  <c r="H145" i="207"/>
  <c r="H146" i="207"/>
  <c r="H147" i="207"/>
  <c r="H148" i="207"/>
  <c r="H149" i="207"/>
  <c r="H150" i="207"/>
  <c r="H151" i="207"/>
  <c r="H152" i="207"/>
  <c r="H153" i="207"/>
  <c r="H154" i="207"/>
  <c r="H155" i="207"/>
  <c r="H156" i="207"/>
  <c r="H157" i="207"/>
  <c r="H158" i="207"/>
  <c r="H159" i="207"/>
  <c r="H160" i="207"/>
  <c r="H161" i="207"/>
  <c r="H162" i="207"/>
  <c r="H163" i="207"/>
  <c r="H164" i="207"/>
  <c r="H165" i="207"/>
  <c r="H166" i="207"/>
  <c r="H167" i="207"/>
  <c r="H168" i="207"/>
  <c r="H169" i="207"/>
  <c r="H170" i="207"/>
  <c r="H171" i="207"/>
  <c r="H172" i="207"/>
  <c r="H173" i="207"/>
  <c r="H174" i="207"/>
  <c r="H175" i="207"/>
  <c r="H176" i="207"/>
  <c r="H177" i="207"/>
  <c r="H178" i="207"/>
  <c r="H179" i="207"/>
  <c r="H180" i="207"/>
  <c r="H181" i="207"/>
  <c r="H182" i="207"/>
  <c r="H183" i="207"/>
  <c r="H184" i="207"/>
  <c r="H185" i="207"/>
  <c r="H186" i="207"/>
  <c r="H187" i="207"/>
  <c r="H188" i="207"/>
  <c r="H189" i="207"/>
  <c r="H190" i="207"/>
  <c r="H191" i="207"/>
  <c r="H192" i="207"/>
  <c r="H193" i="207"/>
  <c r="H194" i="207"/>
  <c r="H195" i="207"/>
  <c r="H196" i="207"/>
  <c r="H197" i="207"/>
  <c r="H198" i="207"/>
  <c r="H199" i="207"/>
  <c r="H200" i="207"/>
  <c r="H201" i="207"/>
  <c r="H202" i="207"/>
  <c r="H203" i="207"/>
  <c r="H204" i="207"/>
  <c r="H205" i="207"/>
  <c r="H206" i="207"/>
  <c r="H207" i="207"/>
  <c r="H208" i="207"/>
  <c r="H209" i="207"/>
  <c r="H210" i="207"/>
  <c r="H211" i="207"/>
  <c r="H212" i="207"/>
  <c r="H213" i="207"/>
  <c r="H214" i="207"/>
  <c r="H215" i="207"/>
  <c r="H216" i="207"/>
  <c r="H217" i="207"/>
  <c r="H218" i="207"/>
  <c r="H219" i="207"/>
  <c r="H220" i="207"/>
  <c r="H221" i="207"/>
  <c r="H222" i="207"/>
  <c r="H223" i="207"/>
  <c r="H224" i="207"/>
  <c r="H225" i="207"/>
  <c r="H226" i="207"/>
  <c r="H227" i="207"/>
  <c r="H228" i="207"/>
  <c r="H229" i="207"/>
  <c r="H230" i="207"/>
  <c r="H231" i="207"/>
  <c r="H232" i="207"/>
  <c r="H233" i="207"/>
  <c r="H234" i="207"/>
  <c r="H235" i="207"/>
  <c r="H236" i="207"/>
  <c r="H237" i="207"/>
  <c r="H238" i="207"/>
  <c r="H239" i="207"/>
  <c r="H240" i="207"/>
  <c r="H241" i="207"/>
  <c r="H242" i="207"/>
  <c r="H243" i="207"/>
  <c r="H244" i="207"/>
  <c r="H245" i="207"/>
  <c r="H246" i="207"/>
  <c r="H247" i="207"/>
  <c r="H248" i="207"/>
  <c r="H249" i="207"/>
  <c r="H250" i="207"/>
  <c r="H251" i="207"/>
  <c r="H252" i="207"/>
  <c r="H253" i="207"/>
  <c r="H254" i="207"/>
  <c r="H255" i="207"/>
  <c r="H256" i="207"/>
  <c r="H257" i="207"/>
  <c r="H258" i="207"/>
  <c r="H259" i="207"/>
  <c r="H260" i="207"/>
  <c r="H261" i="207"/>
  <c r="H262" i="207"/>
  <c r="H263" i="207"/>
  <c r="H264" i="207"/>
  <c r="H265" i="207"/>
  <c r="H266" i="207"/>
  <c r="H267" i="207"/>
  <c r="H268" i="207"/>
  <c r="H269" i="207"/>
  <c r="H270" i="207"/>
  <c r="H271" i="207"/>
  <c r="H272" i="207"/>
  <c r="H273" i="207"/>
  <c r="H274" i="207"/>
  <c r="H275" i="207"/>
  <c r="H276" i="207"/>
  <c r="H277" i="207"/>
  <c r="H278" i="207"/>
  <c r="H279" i="207"/>
  <c r="H280" i="207"/>
  <c r="H281" i="207"/>
  <c r="H282" i="207"/>
  <c r="H283" i="207"/>
  <c r="H284" i="207"/>
  <c r="H285" i="207"/>
  <c r="H286" i="207"/>
  <c r="H287" i="207"/>
  <c r="H288" i="207"/>
  <c r="H289" i="207"/>
  <c r="H290" i="207"/>
  <c r="H291" i="207"/>
  <c r="H292" i="207"/>
  <c r="H293" i="207"/>
  <c r="H294" i="207"/>
  <c r="H295" i="207"/>
  <c r="H296" i="207"/>
  <c r="H297" i="207"/>
  <c r="H298" i="207"/>
  <c r="H299" i="207"/>
  <c r="H300" i="207"/>
  <c r="H301" i="207"/>
  <c r="H302" i="207"/>
  <c r="H303" i="207"/>
  <c r="H304" i="207"/>
  <c r="H5" i="207"/>
  <c r="I8" i="158" l="1"/>
  <c r="X4" i="78"/>
  <c r="X5" i="78"/>
  <c r="X6" i="78"/>
  <c r="X7" i="78"/>
  <c r="X8" i="78"/>
  <c r="X9" i="78"/>
  <c r="X10" i="78"/>
  <c r="X11" i="78"/>
  <c r="X12" i="78"/>
  <c r="X13" i="78"/>
  <c r="X14" i="78"/>
  <c r="X15" i="78"/>
  <c r="X16" i="78"/>
  <c r="X17" i="78"/>
  <c r="X18" i="78"/>
  <c r="X19" i="78"/>
  <c r="X20" i="78"/>
  <c r="X21" i="78"/>
  <c r="X22" i="78"/>
  <c r="X23" i="78"/>
  <c r="X24" i="78"/>
  <c r="X25" i="78"/>
  <c r="X26" i="78"/>
  <c r="X27" i="78"/>
  <c r="X28" i="78"/>
  <c r="X29" i="78"/>
  <c r="X30" i="78"/>
  <c r="X31" i="78"/>
  <c r="X32" i="78"/>
  <c r="X33" i="78"/>
  <c r="X34" i="78"/>
  <c r="X35" i="78"/>
  <c r="X36" i="78"/>
  <c r="X37" i="78"/>
  <c r="X38" i="78"/>
  <c r="X39" i="78"/>
  <c r="X40" i="78"/>
  <c r="X41" i="78"/>
  <c r="X42" i="78"/>
  <c r="X43" i="78"/>
  <c r="X44" i="78"/>
  <c r="X45" i="78"/>
  <c r="X46" i="78"/>
  <c r="X47" i="78"/>
  <c r="X48" i="78"/>
  <c r="X49" i="78"/>
  <c r="X50" i="78"/>
  <c r="X51" i="78"/>
  <c r="X52" i="78"/>
  <c r="X53" i="78"/>
  <c r="X54" i="78"/>
  <c r="X55" i="78"/>
  <c r="X56" i="78"/>
  <c r="X57" i="78"/>
  <c r="X58" i="78"/>
  <c r="X59" i="78"/>
  <c r="X60" i="78"/>
  <c r="X61" i="78"/>
  <c r="X62" i="78"/>
  <c r="X63" i="78"/>
  <c r="X64" i="78"/>
  <c r="X65" i="78"/>
  <c r="X66" i="78"/>
  <c r="X67" i="78"/>
  <c r="X68" i="78"/>
  <c r="X69" i="78"/>
  <c r="X70" i="78"/>
  <c r="X71" i="78"/>
  <c r="X72" i="78"/>
  <c r="X73" i="78"/>
  <c r="X74" i="78"/>
  <c r="X75" i="78"/>
  <c r="X76" i="78"/>
  <c r="X77" i="78"/>
  <c r="X78" i="78"/>
  <c r="X79" i="78"/>
  <c r="X80" i="78"/>
  <c r="X81" i="78"/>
  <c r="X82" i="78"/>
  <c r="X83" i="78"/>
  <c r="X84" i="78"/>
  <c r="X85" i="78"/>
  <c r="X86" i="78"/>
  <c r="X87" i="78"/>
  <c r="X88" i="78"/>
  <c r="X89" i="78"/>
  <c r="X90" i="78"/>
  <c r="X91" i="78"/>
  <c r="X92" i="78"/>
  <c r="X93" i="78"/>
  <c r="X94" i="78"/>
  <c r="X95" i="78"/>
  <c r="X96" i="78"/>
  <c r="X97" i="78"/>
  <c r="X98" i="78"/>
  <c r="X99" i="78"/>
  <c r="X100" i="78"/>
  <c r="X101" i="78"/>
  <c r="X102" i="78"/>
  <c r="X103" i="78"/>
  <c r="X104" i="78"/>
  <c r="X105" i="78"/>
  <c r="X106" i="78"/>
  <c r="X107" i="78"/>
  <c r="X108" i="78"/>
  <c r="X109" i="78"/>
  <c r="X110" i="78"/>
  <c r="X111" i="78"/>
  <c r="X112" i="78"/>
  <c r="X113" i="78"/>
  <c r="X114" i="78"/>
  <c r="X115" i="78"/>
  <c r="X116" i="78"/>
  <c r="X117" i="78"/>
  <c r="X118" i="78"/>
  <c r="X119" i="78"/>
  <c r="X120" i="78"/>
  <c r="X121" i="78"/>
  <c r="X122" i="78"/>
  <c r="X123" i="78"/>
  <c r="X124" i="78"/>
  <c r="X125" i="78"/>
  <c r="X126" i="78"/>
  <c r="X127" i="78"/>
  <c r="X128" i="78"/>
  <c r="X129" i="78"/>
  <c r="X130" i="78"/>
  <c r="X131" i="78"/>
  <c r="X132" i="78"/>
  <c r="X133" i="78"/>
  <c r="X134" i="78"/>
  <c r="X135" i="78"/>
  <c r="X136" i="78"/>
  <c r="X137" i="78"/>
  <c r="X138" i="78"/>
  <c r="X139" i="78"/>
  <c r="X140" i="78"/>
  <c r="X141" i="78"/>
  <c r="X142" i="78"/>
  <c r="X143" i="78"/>
  <c r="X144" i="78"/>
  <c r="X145" i="78"/>
  <c r="X146" i="78"/>
  <c r="X147" i="78"/>
  <c r="X148" i="78"/>
  <c r="X149" i="78"/>
  <c r="X150" i="78"/>
  <c r="X151" i="78"/>
  <c r="X152" i="78"/>
  <c r="X153" i="78"/>
  <c r="X154" i="78"/>
  <c r="X155" i="78"/>
  <c r="X156" i="78"/>
  <c r="X157" i="78"/>
  <c r="X158" i="78"/>
  <c r="X159" i="78"/>
  <c r="X160" i="78"/>
  <c r="X161" i="78"/>
  <c r="X162" i="78"/>
  <c r="X163" i="78"/>
  <c r="X164" i="78"/>
  <c r="X165" i="78"/>
  <c r="X166" i="78"/>
  <c r="X167" i="78"/>
  <c r="X168" i="78"/>
  <c r="X169" i="78"/>
  <c r="X170" i="78"/>
  <c r="X171" i="78"/>
  <c r="X172" i="78"/>
  <c r="X173" i="78"/>
  <c r="X174" i="78"/>
  <c r="X175" i="78"/>
  <c r="X176" i="78"/>
  <c r="X177" i="78"/>
  <c r="X178" i="78"/>
  <c r="X179" i="78"/>
  <c r="X180" i="78"/>
  <c r="X181" i="78"/>
  <c r="X182" i="78"/>
  <c r="X183" i="78"/>
  <c r="X184" i="78"/>
  <c r="X185" i="78"/>
  <c r="X186" i="78"/>
  <c r="X187" i="78"/>
  <c r="X188" i="78"/>
  <c r="X189" i="78"/>
  <c r="X190" i="78"/>
  <c r="X191" i="78"/>
  <c r="X192" i="78"/>
  <c r="X193" i="78"/>
  <c r="X194" i="78"/>
  <c r="X195" i="78"/>
  <c r="X196" i="78"/>
  <c r="X197" i="78"/>
  <c r="X198" i="78"/>
  <c r="X199" i="78"/>
  <c r="X200" i="78"/>
  <c r="X201" i="78"/>
  <c r="X202" i="78"/>
  <c r="X203" i="78"/>
  <c r="X204" i="78"/>
  <c r="X205" i="78"/>
  <c r="X206" i="78"/>
  <c r="X207" i="78"/>
  <c r="X208" i="78"/>
  <c r="X209" i="78"/>
  <c r="X210" i="78"/>
  <c r="X211" i="78"/>
  <c r="X212" i="78"/>
  <c r="X213" i="78"/>
  <c r="X214" i="78"/>
  <c r="X215" i="78"/>
  <c r="X216" i="78"/>
  <c r="X217" i="78"/>
  <c r="X218" i="78"/>
  <c r="X219" i="78"/>
  <c r="X220" i="78"/>
  <c r="X221" i="78"/>
  <c r="X222" i="78"/>
  <c r="X223" i="78"/>
  <c r="X224" i="78"/>
  <c r="X225" i="78"/>
  <c r="X226" i="78"/>
  <c r="X227" i="78"/>
  <c r="X228" i="78"/>
  <c r="X229" i="78"/>
  <c r="X230" i="78"/>
  <c r="X231" i="78"/>
  <c r="X232" i="78"/>
  <c r="X233" i="78"/>
  <c r="X234" i="78"/>
  <c r="X235" i="78"/>
  <c r="X236" i="78"/>
  <c r="X237" i="78"/>
  <c r="X238" i="78"/>
  <c r="X239" i="78"/>
  <c r="X240" i="78"/>
  <c r="X241" i="78"/>
  <c r="X242" i="78"/>
  <c r="X243" i="78"/>
  <c r="X244" i="78"/>
  <c r="X245" i="78"/>
  <c r="X246" i="78"/>
  <c r="X247" i="78"/>
  <c r="X248" i="78"/>
  <c r="X249" i="78"/>
  <c r="X250" i="78"/>
  <c r="X251" i="78"/>
  <c r="X252" i="78"/>
  <c r="X253" i="78"/>
  <c r="X254" i="78"/>
  <c r="X255" i="78"/>
  <c r="X256" i="78"/>
  <c r="X257" i="78"/>
  <c r="X258" i="78"/>
  <c r="X259" i="78"/>
  <c r="X260" i="78"/>
  <c r="X261" i="78"/>
  <c r="X262" i="78"/>
  <c r="X263" i="78"/>
  <c r="X264" i="78"/>
  <c r="X265" i="78"/>
  <c r="X266" i="78"/>
  <c r="X267" i="78"/>
  <c r="X268" i="78"/>
  <c r="X269" i="78"/>
  <c r="X270" i="78"/>
  <c r="X271" i="78"/>
  <c r="X272" i="78"/>
  <c r="X273" i="78"/>
  <c r="X274" i="78"/>
  <c r="X275" i="78"/>
  <c r="X276" i="78"/>
  <c r="X277" i="78"/>
  <c r="X278" i="78"/>
  <c r="X279" i="78"/>
  <c r="X280" i="78"/>
  <c r="X281" i="78"/>
  <c r="X282" i="78"/>
  <c r="X283" i="78"/>
  <c r="X284" i="78"/>
  <c r="X285" i="78"/>
  <c r="X286" i="78"/>
  <c r="X287" i="78"/>
  <c r="X288" i="78"/>
  <c r="X289" i="78"/>
  <c r="X290" i="78"/>
  <c r="X291" i="78"/>
  <c r="X292" i="78"/>
  <c r="X293" i="78"/>
  <c r="X294" i="78"/>
  <c r="X295" i="78"/>
  <c r="X296" i="78"/>
  <c r="X297" i="78"/>
  <c r="X298" i="78"/>
  <c r="X299" i="78"/>
  <c r="X300" i="78"/>
  <c r="X301" i="78"/>
  <c r="X302" i="78"/>
  <c r="X303" i="78"/>
  <c r="X304" i="78"/>
  <c r="X305" i="78"/>
  <c r="X306" i="78"/>
  <c r="X307" i="78"/>
  <c r="X308" i="78"/>
  <c r="X309" i="78"/>
  <c r="X310" i="78"/>
  <c r="X311" i="78"/>
  <c r="X312" i="78"/>
  <c r="X313" i="78"/>
  <c r="X314" i="78"/>
  <c r="X315" i="78"/>
  <c r="X316" i="78"/>
  <c r="X317" i="78"/>
  <c r="X318" i="78"/>
  <c r="X319" i="78"/>
  <c r="X320" i="78"/>
  <c r="X321" i="78"/>
  <c r="X322" i="78"/>
  <c r="X323" i="78"/>
  <c r="X324" i="78"/>
  <c r="X325" i="78"/>
  <c r="X326" i="78"/>
  <c r="X327" i="78"/>
  <c r="X328" i="78"/>
  <c r="X329" i="78"/>
  <c r="X330" i="78"/>
  <c r="X331" i="78"/>
  <c r="X332" i="78"/>
  <c r="X333" i="78"/>
  <c r="X334" i="78"/>
  <c r="X335" i="78"/>
  <c r="X336" i="78"/>
  <c r="X337" i="78"/>
  <c r="X338" i="78"/>
  <c r="X339" i="78"/>
  <c r="X340" i="78"/>
  <c r="X341" i="78"/>
  <c r="X342" i="78"/>
  <c r="X343" i="78"/>
  <c r="X344" i="78"/>
  <c r="X345" i="78"/>
  <c r="X346" i="78"/>
  <c r="X347" i="78"/>
  <c r="X348" i="78"/>
  <c r="X349" i="78"/>
  <c r="X350" i="78"/>
  <c r="X351" i="78"/>
  <c r="X352" i="78"/>
  <c r="X353" i="78"/>
  <c r="X354" i="78"/>
  <c r="X355" i="78"/>
  <c r="X356" i="78"/>
  <c r="X357" i="78"/>
  <c r="X358" i="78"/>
  <c r="X359" i="78"/>
  <c r="X360" i="78"/>
  <c r="X361" i="78"/>
  <c r="X362" i="78"/>
  <c r="X363" i="78"/>
  <c r="X364" i="78"/>
  <c r="X365" i="78"/>
  <c r="X366" i="78"/>
  <c r="X367" i="78"/>
  <c r="X368" i="78"/>
  <c r="X369" i="78"/>
  <c r="X370" i="78"/>
  <c r="X371" i="78"/>
  <c r="X372" i="78"/>
  <c r="X373" i="78"/>
  <c r="X374" i="78"/>
  <c r="X375" i="78"/>
  <c r="X376" i="78"/>
  <c r="X377" i="78"/>
  <c r="X378" i="78"/>
  <c r="X379" i="78"/>
  <c r="X380" i="78"/>
  <c r="X381" i="78"/>
  <c r="X382" i="78"/>
  <c r="X383" i="78"/>
  <c r="X384" i="78"/>
  <c r="X385" i="78"/>
  <c r="X386" i="78"/>
  <c r="X387" i="78"/>
  <c r="X388" i="78"/>
  <c r="X389" i="78"/>
  <c r="X390" i="78"/>
  <c r="X391" i="78"/>
  <c r="X392" i="78"/>
  <c r="X393" i="78"/>
  <c r="X394" i="78"/>
  <c r="X395" i="78"/>
  <c r="X396" i="78"/>
  <c r="X397" i="78"/>
  <c r="X398" i="78"/>
  <c r="X399" i="78"/>
  <c r="X400" i="78"/>
  <c r="X401" i="78"/>
  <c r="X402" i="78"/>
  <c r="X403" i="78"/>
  <c r="X404" i="78"/>
  <c r="X405" i="78"/>
  <c r="X406" i="78"/>
  <c r="X407" i="78"/>
  <c r="X408" i="78"/>
  <c r="X409" i="78"/>
  <c r="X410" i="78"/>
  <c r="X411" i="78"/>
  <c r="X412" i="78"/>
  <c r="X413" i="78"/>
  <c r="X414" i="78"/>
  <c r="X415" i="78"/>
  <c r="X416" i="78"/>
  <c r="X417" i="78"/>
  <c r="X418" i="78"/>
  <c r="X419" i="78"/>
  <c r="X420" i="78"/>
  <c r="X421" i="78"/>
  <c r="X422" i="78"/>
  <c r="X423" i="78"/>
  <c r="X424" i="78"/>
  <c r="X425" i="78"/>
  <c r="X426" i="78"/>
  <c r="X427" i="78"/>
  <c r="X428" i="78"/>
  <c r="X429" i="78"/>
  <c r="X430" i="78"/>
  <c r="X431" i="78"/>
  <c r="X432" i="78"/>
  <c r="X433" i="78"/>
  <c r="X434" i="78"/>
  <c r="X435" i="78"/>
  <c r="X436" i="78"/>
  <c r="X437" i="78"/>
  <c r="X438" i="78"/>
  <c r="X3" i="78"/>
  <c r="AC4" i="78" l="1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26" i="78"/>
  <c r="AC27" i="78"/>
  <c r="AC28" i="78"/>
  <c r="AC29" i="78"/>
  <c r="AC30" i="78"/>
  <c r="AC31" i="78"/>
  <c r="AC32" i="78"/>
  <c r="AC33" i="78"/>
  <c r="AC34" i="78"/>
  <c r="AC35" i="78"/>
  <c r="AC36" i="78"/>
  <c r="AC37" i="78"/>
  <c r="AC38" i="78"/>
  <c r="AC39" i="78"/>
  <c r="AC40" i="78"/>
  <c r="AC41" i="78"/>
  <c r="AC42" i="78"/>
  <c r="AC43" i="78"/>
  <c r="AC44" i="78"/>
  <c r="AC45" i="78"/>
  <c r="AC46" i="78"/>
  <c r="AC47" i="78"/>
  <c r="AC48" i="78"/>
  <c r="AC49" i="78"/>
  <c r="AC50" i="78"/>
  <c r="AC51" i="78"/>
  <c r="AC52" i="78"/>
  <c r="AC53" i="78"/>
  <c r="AC54" i="78"/>
  <c r="AC55" i="78"/>
  <c r="AC56" i="78"/>
  <c r="AC57" i="78"/>
  <c r="AC58" i="78"/>
  <c r="AC59" i="78"/>
  <c r="AC60" i="78"/>
  <c r="AC61" i="78"/>
  <c r="AC62" i="78"/>
  <c r="AC63" i="78"/>
  <c r="AC64" i="78"/>
  <c r="AC65" i="78"/>
  <c r="AC66" i="78"/>
  <c r="AC67" i="78"/>
  <c r="AC68" i="78"/>
  <c r="AC69" i="78"/>
  <c r="AC70" i="78"/>
  <c r="AC71" i="78"/>
  <c r="AC72" i="78"/>
  <c r="AC73" i="78"/>
  <c r="AC74" i="78"/>
  <c r="AC75" i="78"/>
  <c r="AC76" i="78"/>
  <c r="AC77" i="78"/>
  <c r="AC78" i="78"/>
  <c r="AC79" i="78"/>
  <c r="AC80" i="78"/>
  <c r="AC81" i="78"/>
  <c r="AC82" i="78"/>
  <c r="AC83" i="78"/>
  <c r="AC84" i="78"/>
  <c r="AC85" i="78"/>
  <c r="AC86" i="78"/>
  <c r="AC87" i="78"/>
  <c r="AC88" i="78"/>
  <c r="AC89" i="78"/>
  <c r="AC90" i="78"/>
  <c r="AC91" i="78"/>
  <c r="AC92" i="78"/>
  <c r="AC93" i="78"/>
  <c r="AC94" i="78"/>
  <c r="AC95" i="78"/>
  <c r="AC96" i="78"/>
  <c r="AC97" i="78"/>
  <c r="AC98" i="78"/>
  <c r="AC99" i="78"/>
  <c r="AC100" i="78"/>
  <c r="AC101" i="78"/>
  <c r="AC102" i="78"/>
  <c r="AC103" i="78"/>
  <c r="AC104" i="78"/>
  <c r="AC105" i="78"/>
  <c r="AC106" i="78"/>
  <c r="AC107" i="78"/>
  <c r="AC108" i="78"/>
  <c r="AC109" i="78"/>
  <c r="AC110" i="78"/>
  <c r="AC111" i="78"/>
  <c r="AC112" i="78"/>
  <c r="AC113" i="78"/>
  <c r="AC114" i="78"/>
  <c r="AC115" i="78"/>
  <c r="AC116" i="78"/>
  <c r="AC117" i="78"/>
  <c r="AC118" i="78"/>
  <c r="AC119" i="78"/>
  <c r="AC120" i="78"/>
  <c r="AC121" i="78"/>
  <c r="AC122" i="78"/>
  <c r="AC123" i="78"/>
  <c r="AC124" i="78"/>
  <c r="AC125" i="78"/>
  <c r="AC126" i="78"/>
  <c r="AC127" i="78"/>
  <c r="AC128" i="78"/>
  <c r="AC129" i="78"/>
  <c r="AC130" i="78"/>
  <c r="AC131" i="78"/>
  <c r="AC132" i="78"/>
  <c r="AC133" i="78"/>
  <c r="AC134" i="78"/>
  <c r="AC135" i="78"/>
  <c r="AC136" i="78"/>
  <c r="AC137" i="78"/>
  <c r="AC138" i="78"/>
  <c r="AC139" i="78"/>
  <c r="AC140" i="78"/>
  <c r="AC141" i="78"/>
  <c r="AC142" i="78"/>
  <c r="AC143" i="78"/>
  <c r="AC144" i="78"/>
  <c r="AC145" i="78"/>
  <c r="AC146" i="78"/>
  <c r="AC147" i="78"/>
  <c r="AC148" i="78"/>
  <c r="AC149" i="78"/>
  <c r="AC150" i="78"/>
  <c r="AC151" i="78"/>
  <c r="AC152" i="78"/>
  <c r="AC153" i="78"/>
  <c r="AC154" i="78"/>
  <c r="AC155" i="78"/>
  <c r="AC156" i="78"/>
  <c r="AC157" i="78"/>
  <c r="AC158" i="78"/>
  <c r="AC159" i="78"/>
  <c r="AC160" i="78"/>
  <c r="AC161" i="78"/>
  <c r="AC162" i="78"/>
  <c r="AC163" i="78"/>
  <c r="AC164" i="78"/>
  <c r="AC165" i="78"/>
  <c r="AC166" i="78"/>
  <c r="AC167" i="78"/>
  <c r="AC168" i="78"/>
  <c r="AC169" i="78"/>
  <c r="AC170" i="78"/>
  <c r="AC171" i="78"/>
  <c r="AC172" i="78"/>
  <c r="AC173" i="78"/>
  <c r="AC174" i="78"/>
  <c r="AC175" i="78"/>
  <c r="AC176" i="78"/>
  <c r="AC177" i="78"/>
  <c r="AC178" i="78"/>
  <c r="AC179" i="78"/>
  <c r="AC180" i="78"/>
  <c r="AC181" i="78"/>
  <c r="AC182" i="78"/>
  <c r="AC183" i="78"/>
  <c r="AC184" i="78"/>
  <c r="AC185" i="78"/>
  <c r="AC186" i="78"/>
  <c r="AC187" i="78"/>
  <c r="AC3" i="78"/>
  <c r="D4" i="78"/>
  <c r="D5" i="78"/>
  <c r="D6" i="78"/>
  <c r="D7" i="78"/>
  <c r="D8" i="78"/>
  <c r="D9" i="78"/>
  <c r="D10" i="78"/>
  <c r="D11" i="78"/>
  <c r="D12" i="78"/>
  <c r="D13" i="78"/>
  <c r="D14" i="78"/>
  <c r="D15" i="78"/>
  <c r="D16" i="78"/>
  <c r="D17" i="78"/>
  <c r="D18" i="78"/>
  <c r="D19" i="78"/>
  <c r="D20" i="78"/>
  <c r="D21" i="78"/>
  <c r="D22" i="78"/>
  <c r="D23" i="78"/>
  <c r="D24" i="78"/>
  <c r="D25" i="78"/>
  <c r="D26" i="78"/>
  <c r="D27" i="78"/>
  <c r="D28" i="78"/>
  <c r="D29" i="78"/>
  <c r="D30" i="78"/>
  <c r="D31" i="78"/>
  <c r="D32" i="78"/>
  <c r="D33" i="78"/>
  <c r="D34" i="78"/>
  <c r="D35" i="78"/>
  <c r="D36" i="78"/>
  <c r="D37" i="78"/>
  <c r="D38" i="78"/>
  <c r="D39" i="78"/>
  <c r="D40" i="78"/>
  <c r="D41" i="78"/>
  <c r="D42" i="78"/>
  <c r="D43" i="78"/>
  <c r="D44" i="78"/>
  <c r="D45" i="78"/>
  <c r="D46" i="78"/>
  <c r="D47" i="78"/>
  <c r="D48" i="78"/>
  <c r="D49" i="78"/>
  <c r="D50" i="78"/>
  <c r="D51" i="78"/>
  <c r="D52" i="78"/>
  <c r="D53" i="78"/>
  <c r="D3" i="78"/>
  <c r="C7" i="207" l="1"/>
  <c r="M2" i="208"/>
  <c r="C78" i="207"/>
  <c r="C65" i="207"/>
  <c r="C5" i="207"/>
  <c r="M291" i="208"/>
  <c r="M51" i="208"/>
  <c r="C246" i="207"/>
  <c r="C210" i="207"/>
  <c r="C30" i="207"/>
  <c r="M206" i="208"/>
  <c r="M62" i="208"/>
  <c r="C281" i="207"/>
  <c r="C197" i="207"/>
  <c r="C137" i="207"/>
  <c r="C113" i="207"/>
  <c r="M301" i="208"/>
  <c r="M289" i="208"/>
  <c r="M277" i="208"/>
  <c r="M265" i="208"/>
  <c r="M253" i="208"/>
  <c r="M241" i="208"/>
  <c r="M229" i="208"/>
  <c r="M217" i="208"/>
  <c r="M205" i="208"/>
  <c r="M193" i="208"/>
  <c r="M181" i="208"/>
  <c r="M169" i="208"/>
  <c r="M157" i="208"/>
  <c r="M145" i="208"/>
  <c r="M133" i="208"/>
  <c r="M121" i="208"/>
  <c r="M109" i="208"/>
  <c r="M97" i="208"/>
  <c r="M85" i="208"/>
  <c r="M73" i="208"/>
  <c r="M61" i="208"/>
  <c r="M49" i="208"/>
  <c r="M37" i="208"/>
  <c r="M25" i="208"/>
  <c r="M13" i="208"/>
  <c r="C304" i="207"/>
  <c r="C292" i="207"/>
  <c r="C280" i="207"/>
  <c r="C268" i="207"/>
  <c r="C256" i="207"/>
  <c r="C244" i="207"/>
  <c r="C232" i="207"/>
  <c r="C220" i="207"/>
  <c r="C208" i="207"/>
  <c r="C196" i="207"/>
  <c r="C184" i="207"/>
  <c r="C172" i="207"/>
  <c r="C160" i="207"/>
  <c r="C148" i="207"/>
  <c r="C136" i="207"/>
  <c r="C124" i="207"/>
  <c r="C112" i="207"/>
  <c r="C100" i="207"/>
  <c r="C88" i="207"/>
  <c r="C76" i="207"/>
  <c r="C64" i="207"/>
  <c r="C52" i="207"/>
  <c r="C40" i="207"/>
  <c r="C28" i="207"/>
  <c r="C16" i="207"/>
  <c r="M27" i="208"/>
  <c r="C102" i="207"/>
  <c r="M254" i="208"/>
  <c r="M170" i="208"/>
  <c r="M98" i="208"/>
  <c r="C257" i="207"/>
  <c r="C101" i="207"/>
  <c r="M300" i="208"/>
  <c r="M288" i="208"/>
  <c r="M276" i="208"/>
  <c r="M264" i="208"/>
  <c r="M252" i="208"/>
  <c r="M240" i="208"/>
  <c r="M228" i="208"/>
  <c r="M216" i="208"/>
  <c r="M204" i="208"/>
  <c r="M192" i="208"/>
  <c r="M180" i="208"/>
  <c r="M168" i="208"/>
  <c r="M156" i="208"/>
  <c r="M144" i="208"/>
  <c r="M132" i="208"/>
  <c r="M120" i="208"/>
  <c r="M108" i="208"/>
  <c r="M96" i="208"/>
  <c r="M84" i="208"/>
  <c r="M72" i="208"/>
  <c r="M60" i="208"/>
  <c r="M48" i="208"/>
  <c r="M36" i="208"/>
  <c r="M24" i="208"/>
  <c r="M12" i="208"/>
  <c r="C303" i="207"/>
  <c r="C291" i="207"/>
  <c r="C279" i="207"/>
  <c r="C267" i="207"/>
  <c r="C255" i="207"/>
  <c r="C243" i="207"/>
  <c r="C231" i="207"/>
  <c r="C219" i="207"/>
  <c r="C207" i="207"/>
  <c r="C195" i="207"/>
  <c r="C183" i="207"/>
  <c r="C171" i="207"/>
  <c r="C159" i="207"/>
  <c r="C147" i="207"/>
  <c r="C135" i="207"/>
  <c r="C123" i="207"/>
  <c r="C111" i="207"/>
  <c r="C99" i="207"/>
  <c r="C87" i="207"/>
  <c r="C75" i="207"/>
  <c r="C63" i="207"/>
  <c r="C51" i="207"/>
  <c r="C39" i="207"/>
  <c r="C27" i="207"/>
  <c r="C15" i="207"/>
  <c r="C54" i="207"/>
  <c r="M14" i="208"/>
  <c r="M299" i="208"/>
  <c r="M287" i="208"/>
  <c r="M275" i="208"/>
  <c r="M263" i="208"/>
  <c r="M251" i="208"/>
  <c r="M239" i="208"/>
  <c r="M227" i="208"/>
  <c r="M215" i="208"/>
  <c r="M203" i="208"/>
  <c r="M191" i="208"/>
  <c r="M179" i="208"/>
  <c r="M167" i="208"/>
  <c r="M155" i="208"/>
  <c r="M143" i="208"/>
  <c r="M131" i="208"/>
  <c r="M119" i="208"/>
  <c r="M107" i="208"/>
  <c r="M95" i="208"/>
  <c r="M83" i="208"/>
  <c r="M71" i="208"/>
  <c r="M59" i="208"/>
  <c r="M47" i="208"/>
  <c r="M35" i="208"/>
  <c r="M23" i="208"/>
  <c r="M11" i="208"/>
  <c r="C302" i="207"/>
  <c r="C290" i="207"/>
  <c r="C278" i="207"/>
  <c r="C266" i="207"/>
  <c r="C254" i="207"/>
  <c r="C242" i="207"/>
  <c r="C230" i="207"/>
  <c r="C218" i="207"/>
  <c r="C206" i="207"/>
  <c r="C194" i="207"/>
  <c r="C182" i="207"/>
  <c r="C170" i="207"/>
  <c r="C158" i="207"/>
  <c r="C146" i="207"/>
  <c r="C134" i="207"/>
  <c r="C122" i="207"/>
  <c r="C110" i="207"/>
  <c r="C98" i="207"/>
  <c r="C86" i="207"/>
  <c r="C74" i="207"/>
  <c r="C62" i="207"/>
  <c r="C50" i="207"/>
  <c r="C38" i="207"/>
  <c r="C26" i="207"/>
  <c r="C14" i="207"/>
  <c r="M231" i="208"/>
  <c r="M171" i="208"/>
  <c r="M123" i="208"/>
  <c r="M39" i="208"/>
  <c r="C258" i="207"/>
  <c r="C198" i="207"/>
  <c r="C42" i="207"/>
  <c r="M290" i="208"/>
  <c r="M218" i="208"/>
  <c r="M158" i="208"/>
  <c r="M74" i="208"/>
  <c r="C269" i="207"/>
  <c r="C185" i="207"/>
  <c r="C17" i="207"/>
  <c r="M298" i="208"/>
  <c r="M286" i="208"/>
  <c r="M274" i="208"/>
  <c r="M262" i="208"/>
  <c r="M250" i="208"/>
  <c r="M238" i="208"/>
  <c r="M226" i="208"/>
  <c r="M214" i="208"/>
  <c r="M202" i="208"/>
  <c r="M190" i="208"/>
  <c r="M178" i="208"/>
  <c r="M166" i="208"/>
  <c r="M154" i="208"/>
  <c r="M142" i="208"/>
  <c r="M130" i="208"/>
  <c r="M118" i="208"/>
  <c r="M106" i="208"/>
  <c r="M94" i="208"/>
  <c r="M82" i="208"/>
  <c r="M70" i="208"/>
  <c r="M58" i="208"/>
  <c r="M46" i="208"/>
  <c r="M34" i="208"/>
  <c r="M22" i="208"/>
  <c r="M10" i="208"/>
  <c r="C301" i="207"/>
  <c r="C289" i="207"/>
  <c r="C277" i="207"/>
  <c r="C265" i="207"/>
  <c r="C253" i="207"/>
  <c r="C241" i="207"/>
  <c r="C229" i="207"/>
  <c r="C217" i="207"/>
  <c r="C205" i="207"/>
  <c r="C193" i="207"/>
  <c r="C181" i="207"/>
  <c r="C169" i="207"/>
  <c r="C157" i="207"/>
  <c r="C145" i="207"/>
  <c r="C133" i="207"/>
  <c r="C121" i="207"/>
  <c r="C109" i="207"/>
  <c r="C97" i="207"/>
  <c r="C85" i="207"/>
  <c r="C73" i="207"/>
  <c r="C61" i="207"/>
  <c r="C49" i="207"/>
  <c r="C37" i="207"/>
  <c r="C25" i="207"/>
  <c r="C13" i="207"/>
  <c r="C162" i="207"/>
  <c r="M122" i="208"/>
  <c r="C41" i="207"/>
  <c r="M297" i="208"/>
  <c r="M285" i="208"/>
  <c r="M273" i="208"/>
  <c r="M261" i="208"/>
  <c r="M249" i="208"/>
  <c r="M237" i="208"/>
  <c r="M225" i="208"/>
  <c r="M213" i="208"/>
  <c r="M201" i="208"/>
  <c r="M189" i="208"/>
  <c r="M177" i="208"/>
  <c r="M165" i="208"/>
  <c r="M153" i="208"/>
  <c r="M141" i="208"/>
  <c r="M129" i="208"/>
  <c r="M117" i="208"/>
  <c r="M105" i="208"/>
  <c r="M93" i="208"/>
  <c r="M81" i="208"/>
  <c r="M69" i="208"/>
  <c r="M57" i="208"/>
  <c r="M45" i="208"/>
  <c r="M33" i="208"/>
  <c r="M21" i="208"/>
  <c r="M9" i="208"/>
  <c r="C300" i="207"/>
  <c r="C288" i="207"/>
  <c r="C276" i="207"/>
  <c r="C264" i="207"/>
  <c r="C252" i="207"/>
  <c r="C240" i="207"/>
  <c r="C228" i="207"/>
  <c r="C216" i="207"/>
  <c r="C204" i="207"/>
  <c r="C192" i="207"/>
  <c r="C180" i="207"/>
  <c r="C168" i="207"/>
  <c r="C156" i="207"/>
  <c r="C144" i="207"/>
  <c r="C132" i="207"/>
  <c r="C120" i="207"/>
  <c r="C108" i="207"/>
  <c r="C96" i="207"/>
  <c r="C84" i="207"/>
  <c r="C72" i="207"/>
  <c r="C60" i="207"/>
  <c r="C48" i="207"/>
  <c r="C36" i="207"/>
  <c r="C24" i="207"/>
  <c r="C12" i="207"/>
  <c r="M243" i="208"/>
  <c r="M87" i="208"/>
  <c r="C270" i="207"/>
  <c r="C66" i="207"/>
  <c r="M278" i="208"/>
  <c r="M194" i="208"/>
  <c r="M146" i="208"/>
  <c r="M110" i="208"/>
  <c r="M26" i="208"/>
  <c r="C233" i="207"/>
  <c r="C149" i="207"/>
  <c r="C29" i="207"/>
  <c r="M296" i="208"/>
  <c r="M284" i="208"/>
  <c r="M272" i="208"/>
  <c r="M260" i="208"/>
  <c r="M248" i="208"/>
  <c r="M236" i="208"/>
  <c r="M224" i="208"/>
  <c r="M212" i="208"/>
  <c r="M200" i="208"/>
  <c r="M188" i="208"/>
  <c r="M176" i="208"/>
  <c r="M164" i="208"/>
  <c r="M152" i="208"/>
  <c r="M140" i="208"/>
  <c r="M128" i="208"/>
  <c r="M116" i="208"/>
  <c r="M104" i="208"/>
  <c r="M92" i="208"/>
  <c r="M80" i="208"/>
  <c r="M68" i="208"/>
  <c r="M56" i="208"/>
  <c r="M44" i="208"/>
  <c r="M32" i="208"/>
  <c r="M20" i="208"/>
  <c r="M8" i="208"/>
  <c r="C299" i="207"/>
  <c r="C287" i="207"/>
  <c r="C275" i="207"/>
  <c r="C263" i="207"/>
  <c r="C251" i="207"/>
  <c r="C239" i="207"/>
  <c r="C227" i="207"/>
  <c r="C215" i="207"/>
  <c r="C203" i="207"/>
  <c r="C191" i="207"/>
  <c r="C179" i="207"/>
  <c r="C167" i="207"/>
  <c r="C155" i="207"/>
  <c r="C143" i="207"/>
  <c r="C131" i="207"/>
  <c r="C119" i="207"/>
  <c r="C107" i="207"/>
  <c r="C95" i="207"/>
  <c r="C83" i="207"/>
  <c r="C71" i="207"/>
  <c r="C59" i="207"/>
  <c r="C47" i="207"/>
  <c r="C35" i="207"/>
  <c r="C23" i="207"/>
  <c r="C11" i="207"/>
  <c r="M255" i="208"/>
  <c r="M195" i="208"/>
  <c r="M135" i="208"/>
  <c r="M111" i="208"/>
  <c r="M3" i="208"/>
  <c r="C222" i="207"/>
  <c r="C174" i="207"/>
  <c r="C138" i="207"/>
  <c r="C114" i="207"/>
  <c r="C6" i="207"/>
  <c r="C209" i="207"/>
  <c r="C125" i="207"/>
  <c r="C53" i="207"/>
  <c r="M295" i="208"/>
  <c r="M283" i="208"/>
  <c r="M271" i="208"/>
  <c r="M259" i="208"/>
  <c r="M247" i="208"/>
  <c r="M235" i="208"/>
  <c r="M223" i="208"/>
  <c r="M211" i="208"/>
  <c r="M199" i="208"/>
  <c r="M187" i="208"/>
  <c r="M175" i="208"/>
  <c r="M163" i="208"/>
  <c r="M151" i="208"/>
  <c r="M139" i="208"/>
  <c r="M127" i="208"/>
  <c r="M115" i="208"/>
  <c r="M103" i="208"/>
  <c r="M91" i="208"/>
  <c r="M79" i="208"/>
  <c r="M67" i="208"/>
  <c r="M55" i="208"/>
  <c r="M43" i="208"/>
  <c r="M31" i="208"/>
  <c r="M19" i="208"/>
  <c r="M7" i="208"/>
  <c r="C298" i="207"/>
  <c r="C286" i="207"/>
  <c r="C274" i="207"/>
  <c r="C262" i="207"/>
  <c r="C250" i="207"/>
  <c r="C238" i="207"/>
  <c r="C226" i="207"/>
  <c r="C214" i="207"/>
  <c r="C202" i="207"/>
  <c r="C190" i="207"/>
  <c r="C178" i="207"/>
  <c r="C166" i="207"/>
  <c r="C154" i="207"/>
  <c r="C142" i="207"/>
  <c r="C130" i="207"/>
  <c r="C118" i="207"/>
  <c r="C106" i="207"/>
  <c r="C94" i="207"/>
  <c r="C82" i="207"/>
  <c r="C70" i="207"/>
  <c r="C58" i="207"/>
  <c r="C46" i="207"/>
  <c r="C34" i="207"/>
  <c r="C22" i="207"/>
  <c r="C10" i="207"/>
  <c r="M219" i="208"/>
  <c r="M159" i="208"/>
  <c r="M63" i="208"/>
  <c r="C282" i="207"/>
  <c r="C90" i="207"/>
  <c r="M266" i="208"/>
  <c r="M50" i="208"/>
  <c r="C89" i="207"/>
  <c r="M294" i="208"/>
  <c r="M282" i="208"/>
  <c r="M270" i="208"/>
  <c r="M258" i="208"/>
  <c r="M246" i="208"/>
  <c r="M234" i="208"/>
  <c r="M222" i="208"/>
  <c r="M210" i="208"/>
  <c r="M198" i="208"/>
  <c r="M186" i="208"/>
  <c r="M174" i="208"/>
  <c r="M162" i="208"/>
  <c r="M150" i="208"/>
  <c r="M138" i="208"/>
  <c r="M126" i="208"/>
  <c r="M114" i="208"/>
  <c r="M102" i="208"/>
  <c r="M90" i="208"/>
  <c r="M78" i="208"/>
  <c r="M66" i="208"/>
  <c r="M54" i="208"/>
  <c r="M42" i="208"/>
  <c r="M30" i="208"/>
  <c r="M18" i="208"/>
  <c r="M6" i="208"/>
  <c r="C297" i="207"/>
  <c r="C285" i="207"/>
  <c r="C273" i="207"/>
  <c r="C261" i="207"/>
  <c r="C249" i="207"/>
  <c r="C237" i="207"/>
  <c r="C225" i="207"/>
  <c r="C213" i="207"/>
  <c r="C201" i="207"/>
  <c r="C189" i="207"/>
  <c r="C177" i="207"/>
  <c r="C165" i="207"/>
  <c r="C153" i="207"/>
  <c r="C141" i="207"/>
  <c r="C129" i="207"/>
  <c r="C117" i="207"/>
  <c r="C105" i="207"/>
  <c r="C93" i="207"/>
  <c r="C81" i="207"/>
  <c r="C69" i="207"/>
  <c r="C57" i="207"/>
  <c r="C45" i="207"/>
  <c r="C33" i="207"/>
  <c r="C21" i="207"/>
  <c r="C9" i="207"/>
  <c r="M267" i="208"/>
  <c r="M207" i="208"/>
  <c r="M147" i="208"/>
  <c r="M99" i="208"/>
  <c r="M15" i="208"/>
  <c r="C234" i="207"/>
  <c r="C186" i="207"/>
  <c r="C150" i="207"/>
  <c r="C126" i="207"/>
  <c r="C18" i="207"/>
  <c r="M230" i="208"/>
  <c r="M182" i="208"/>
  <c r="M134" i="208"/>
  <c r="M38" i="208"/>
  <c r="C245" i="207"/>
  <c r="C173" i="207"/>
  <c r="C77" i="207"/>
  <c r="M293" i="208"/>
  <c r="M281" i="208"/>
  <c r="M269" i="208"/>
  <c r="M257" i="208"/>
  <c r="M245" i="208"/>
  <c r="M233" i="208"/>
  <c r="M221" i="208"/>
  <c r="M209" i="208"/>
  <c r="M197" i="208"/>
  <c r="M185" i="208"/>
  <c r="M173" i="208"/>
  <c r="M161" i="208"/>
  <c r="M149" i="208"/>
  <c r="M137" i="208"/>
  <c r="M125" i="208"/>
  <c r="M113" i="208"/>
  <c r="M101" i="208"/>
  <c r="M89" i="208"/>
  <c r="M77" i="208"/>
  <c r="M65" i="208"/>
  <c r="M53" i="208"/>
  <c r="M41" i="208"/>
  <c r="M29" i="208"/>
  <c r="M17" i="208"/>
  <c r="M5" i="208"/>
  <c r="C296" i="207"/>
  <c r="C284" i="207"/>
  <c r="C272" i="207"/>
  <c r="C260" i="207"/>
  <c r="C248" i="207"/>
  <c r="C236" i="207"/>
  <c r="C224" i="207"/>
  <c r="C212" i="207"/>
  <c r="C200" i="207"/>
  <c r="C188" i="207"/>
  <c r="C176" i="207"/>
  <c r="C164" i="207"/>
  <c r="C152" i="207"/>
  <c r="C140" i="207"/>
  <c r="C128" i="207"/>
  <c r="C116" i="207"/>
  <c r="C104" i="207"/>
  <c r="C92" i="207"/>
  <c r="C80" i="207"/>
  <c r="C68" i="207"/>
  <c r="C56" i="207"/>
  <c r="C44" i="207"/>
  <c r="C32" i="207"/>
  <c r="C20" i="207"/>
  <c r="C8" i="207"/>
  <c r="M279" i="208"/>
  <c r="M183" i="208"/>
  <c r="M75" i="208"/>
  <c r="C294" i="207"/>
  <c r="M242" i="208"/>
  <c r="M86" i="208"/>
  <c r="C293" i="207"/>
  <c r="C221" i="207"/>
  <c r="C161" i="207"/>
  <c r="M292" i="208"/>
  <c r="M280" i="208"/>
  <c r="M268" i="208"/>
  <c r="M256" i="208"/>
  <c r="M244" i="208"/>
  <c r="M232" i="208"/>
  <c r="M220" i="208"/>
  <c r="M208" i="208"/>
  <c r="M196" i="208"/>
  <c r="M184" i="208"/>
  <c r="M172" i="208"/>
  <c r="M160" i="208"/>
  <c r="M148" i="208"/>
  <c r="M136" i="208"/>
  <c r="M124" i="208"/>
  <c r="M112" i="208"/>
  <c r="M100" i="208"/>
  <c r="M88" i="208"/>
  <c r="M76" i="208"/>
  <c r="M64" i="208"/>
  <c r="M52" i="208"/>
  <c r="M40" i="208"/>
  <c r="M28" i="208"/>
  <c r="M16" i="208"/>
  <c r="M4" i="208"/>
  <c r="C295" i="207"/>
  <c r="C283" i="207"/>
  <c r="C271" i="207"/>
  <c r="C259" i="207"/>
  <c r="C247" i="207"/>
  <c r="C235" i="207"/>
  <c r="C223" i="207"/>
  <c r="C211" i="207"/>
  <c r="C199" i="207"/>
  <c r="C187" i="207"/>
  <c r="C175" i="207"/>
  <c r="C163" i="207"/>
  <c r="C151" i="207"/>
  <c r="C139" i="207"/>
  <c r="C127" i="207"/>
  <c r="C115" i="207"/>
  <c r="C103" i="207"/>
  <c r="C91" i="207"/>
  <c r="C79" i="207"/>
  <c r="C67" i="207"/>
  <c r="C55" i="207"/>
  <c r="C43" i="207"/>
  <c r="C31" i="207"/>
  <c r="C19" i="207"/>
  <c r="M1733" i="208"/>
  <c r="M2972" i="208"/>
  <c r="M2936" i="208"/>
  <c r="M2900" i="208"/>
  <c r="M2876" i="208"/>
  <c r="M2810" i="208"/>
  <c r="M2426" i="208"/>
  <c r="M1868" i="208"/>
  <c r="M2971" i="208"/>
  <c r="M2923" i="208"/>
  <c r="M2887" i="208"/>
  <c r="M2806" i="208"/>
  <c r="M2414" i="208"/>
  <c r="M1832" i="208"/>
  <c r="M2994" i="208"/>
  <c r="M2982" i="208"/>
  <c r="M2970" i="208"/>
  <c r="M2958" i="208"/>
  <c r="M2946" i="208"/>
  <c r="M2934" i="208"/>
  <c r="M2922" i="208"/>
  <c r="M2910" i="208"/>
  <c r="M2898" i="208"/>
  <c r="M2886" i="208"/>
  <c r="M2872" i="208"/>
  <c r="M2846" i="208"/>
  <c r="M2798" i="208"/>
  <c r="M2690" i="208"/>
  <c r="M2546" i="208"/>
  <c r="M2402" i="208"/>
  <c r="M2258" i="208"/>
  <c r="M2114" i="208"/>
  <c r="M1796" i="208"/>
  <c r="M2960" i="208"/>
  <c r="M2924" i="208"/>
  <c r="M2888" i="208"/>
  <c r="M2855" i="208"/>
  <c r="M2570" i="208"/>
  <c r="M2282" i="208"/>
  <c r="M2138" i="208"/>
  <c r="M2983" i="208"/>
  <c r="M2947" i="208"/>
  <c r="M2899" i="208"/>
  <c r="M2854" i="208"/>
  <c r="M2558" i="208"/>
  <c r="M2126" i="208"/>
  <c r="M2993" i="208"/>
  <c r="M2981" i="208"/>
  <c r="M2969" i="208"/>
  <c r="M2957" i="208"/>
  <c r="M2945" i="208"/>
  <c r="M2933" i="208"/>
  <c r="M2921" i="208"/>
  <c r="M2909" i="208"/>
  <c r="M2897" i="208"/>
  <c r="M2885" i="208"/>
  <c r="M2871" i="208"/>
  <c r="M2844" i="208"/>
  <c r="M2794" i="208"/>
  <c r="M2678" i="208"/>
  <c r="M2534" i="208"/>
  <c r="M2390" i="208"/>
  <c r="M2246" i="208"/>
  <c r="M2099" i="208"/>
  <c r="M313" i="208"/>
  <c r="M325" i="208"/>
  <c r="M337" i="208"/>
  <c r="M349" i="208"/>
  <c r="M361" i="208"/>
  <c r="M373" i="208"/>
  <c r="M385" i="208"/>
  <c r="M397" i="208"/>
  <c r="M409" i="208"/>
  <c r="M421" i="208"/>
  <c r="M433" i="208"/>
  <c r="M445" i="208"/>
  <c r="M457" i="208"/>
  <c r="M469" i="208"/>
  <c r="M481" i="208"/>
  <c r="M493" i="208"/>
  <c r="M505" i="208"/>
  <c r="M517" i="208"/>
  <c r="M529" i="208"/>
  <c r="M541" i="208"/>
  <c r="M553" i="208"/>
  <c r="M565" i="208"/>
  <c r="M577" i="208"/>
  <c r="M589" i="208"/>
  <c r="M601" i="208"/>
  <c r="M613" i="208"/>
  <c r="M625" i="208"/>
  <c r="M637" i="208"/>
  <c r="M649" i="208"/>
  <c r="M661" i="208"/>
  <c r="M673" i="208"/>
  <c r="M685" i="208"/>
  <c r="M697" i="208"/>
  <c r="M709" i="208"/>
  <c r="M721" i="208"/>
  <c r="M733" i="208"/>
  <c r="M745" i="208"/>
  <c r="M757" i="208"/>
  <c r="M769" i="208"/>
  <c r="M781" i="208"/>
  <c r="M793" i="208"/>
  <c r="M805" i="208"/>
  <c r="M817" i="208"/>
  <c r="M829" i="208"/>
  <c r="M841" i="208"/>
  <c r="M853" i="208"/>
  <c r="M865" i="208"/>
  <c r="M877" i="208"/>
  <c r="M889" i="208"/>
  <c r="M901" i="208"/>
  <c r="M913" i="208"/>
  <c r="M925" i="208"/>
  <c r="M937" i="208"/>
  <c r="M949" i="208"/>
  <c r="M961" i="208"/>
  <c r="M973" i="208"/>
  <c r="M985" i="208"/>
  <c r="M997" i="208"/>
  <c r="M1009" i="208"/>
  <c r="M1021" i="208"/>
  <c r="M1033" i="208"/>
  <c r="M1045" i="208"/>
  <c r="M1057" i="208"/>
  <c r="M1069" i="208"/>
  <c r="M1081" i="208"/>
  <c r="M1093" i="208"/>
  <c r="M1105" i="208"/>
  <c r="M1117" i="208"/>
  <c r="M1129" i="208"/>
  <c r="M1141" i="208"/>
  <c r="M1153" i="208"/>
  <c r="M1165" i="208"/>
  <c r="M1177" i="208"/>
  <c r="M1189" i="208"/>
  <c r="M1201" i="208"/>
  <c r="M1213" i="208"/>
  <c r="M1225" i="208"/>
  <c r="M1237" i="208"/>
  <c r="M1249" i="208"/>
  <c r="M1261" i="208"/>
  <c r="M1273" i="208"/>
  <c r="M1285" i="208"/>
  <c r="M1297" i="208"/>
  <c r="M302" i="208"/>
  <c r="M314" i="208"/>
  <c r="M326" i="208"/>
  <c r="M338" i="208"/>
  <c r="M350" i="208"/>
  <c r="M362" i="208"/>
  <c r="M374" i="208"/>
  <c r="M386" i="208"/>
  <c r="M398" i="208"/>
  <c r="M410" i="208"/>
  <c r="M422" i="208"/>
  <c r="M434" i="208"/>
  <c r="M446" i="208"/>
  <c r="M458" i="208"/>
  <c r="M470" i="208"/>
  <c r="M482" i="208"/>
  <c r="M494" i="208"/>
  <c r="M506" i="208"/>
  <c r="M518" i="208"/>
  <c r="M530" i="208"/>
  <c r="M542" i="208"/>
  <c r="M554" i="208"/>
  <c r="M566" i="208"/>
  <c r="M578" i="208"/>
  <c r="M590" i="208"/>
  <c r="M602" i="208"/>
  <c r="M614" i="208"/>
  <c r="M626" i="208"/>
  <c r="M638" i="208"/>
  <c r="M650" i="208"/>
  <c r="M662" i="208"/>
  <c r="M674" i="208"/>
  <c r="M686" i="208"/>
  <c r="M698" i="208"/>
  <c r="M710" i="208"/>
  <c r="M722" i="208"/>
  <c r="M734" i="208"/>
  <c r="M746" i="208"/>
  <c r="M758" i="208"/>
  <c r="M770" i="208"/>
  <c r="M782" i="208"/>
  <c r="M794" i="208"/>
  <c r="M806" i="208"/>
  <c r="M818" i="208"/>
  <c r="M830" i="208"/>
  <c r="M842" i="208"/>
  <c r="M854" i="208"/>
  <c r="M866" i="208"/>
  <c r="M878" i="208"/>
  <c r="M890" i="208"/>
  <c r="M902" i="208"/>
  <c r="M914" i="208"/>
  <c r="M926" i="208"/>
  <c r="M938" i="208"/>
  <c r="M950" i="208"/>
  <c r="M962" i="208"/>
  <c r="M974" i="208"/>
  <c r="M986" i="208"/>
  <c r="M998" i="208"/>
  <c r="M1010" i="208"/>
  <c r="M1022" i="208"/>
  <c r="M1034" i="208"/>
  <c r="M1046" i="208"/>
  <c r="M1058" i="208"/>
  <c r="M1070" i="208"/>
  <c r="M1082" i="208"/>
  <c r="M1094" i="208"/>
  <c r="M1106" i="208"/>
  <c r="M1118" i="208"/>
  <c r="M1130" i="208"/>
  <c r="M1142" i="208"/>
  <c r="M1154" i="208"/>
  <c r="M1166" i="208"/>
  <c r="M1178" i="208"/>
  <c r="M1190" i="208"/>
  <c r="M1202" i="208"/>
  <c r="M1214" i="208"/>
  <c r="M1226" i="208"/>
  <c r="M1238" i="208"/>
  <c r="M1250" i="208"/>
  <c r="M1262" i="208"/>
  <c r="M1274" i="208"/>
  <c r="M1286" i="208"/>
  <c r="M1298" i="208"/>
  <c r="M1310" i="208"/>
  <c r="M303" i="208"/>
  <c r="M315" i="208"/>
  <c r="M327" i="208"/>
  <c r="M339" i="208"/>
  <c r="M351" i="208"/>
  <c r="M363" i="208"/>
  <c r="M375" i="208"/>
  <c r="M387" i="208"/>
  <c r="M399" i="208"/>
  <c r="M411" i="208"/>
  <c r="M423" i="208"/>
  <c r="M435" i="208"/>
  <c r="M447" i="208"/>
  <c r="M459" i="208"/>
  <c r="M471" i="208"/>
  <c r="M483" i="208"/>
  <c r="M495" i="208"/>
  <c r="M507" i="208"/>
  <c r="M519" i="208"/>
  <c r="M531" i="208"/>
  <c r="M543" i="208"/>
  <c r="M555" i="208"/>
  <c r="M567" i="208"/>
  <c r="M579" i="208"/>
  <c r="M591" i="208"/>
  <c r="M603" i="208"/>
  <c r="M615" i="208"/>
  <c r="M627" i="208"/>
  <c r="M639" i="208"/>
  <c r="M651" i="208"/>
  <c r="M663" i="208"/>
  <c r="M304" i="208"/>
  <c r="M316" i="208"/>
  <c r="M328" i="208"/>
  <c r="M340" i="208"/>
  <c r="M352" i="208"/>
  <c r="M364" i="208"/>
  <c r="M376" i="208"/>
  <c r="M388" i="208"/>
  <c r="M400" i="208"/>
  <c r="M412" i="208"/>
  <c r="M424" i="208"/>
  <c r="M436" i="208"/>
  <c r="M448" i="208"/>
  <c r="M460" i="208"/>
  <c r="M472" i="208"/>
  <c r="M484" i="208"/>
  <c r="M496" i="208"/>
  <c r="M508" i="208"/>
  <c r="M520" i="208"/>
  <c r="M532" i="208"/>
  <c r="M544" i="208"/>
  <c r="M556" i="208"/>
  <c r="M568" i="208"/>
  <c r="M580" i="208"/>
  <c r="M592" i="208"/>
  <c r="M604" i="208"/>
  <c r="M616" i="208"/>
  <c r="M628" i="208"/>
  <c r="M640" i="208"/>
  <c r="M652" i="208"/>
  <c r="M664" i="208"/>
  <c r="M676" i="208"/>
  <c r="M688" i="208"/>
  <c r="M700" i="208"/>
  <c r="M712" i="208"/>
  <c r="M724" i="208"/>
  <c r="M736" i="208"/>
  <c r="M748" i="208"/>
  <c r="M760" i="208"/>
  <c r="M772" i="208"/>
  <c r="M784" i="208"/>
  <c r="M796" i="208"/>
  <c r="M808" i="208"/>
  <c r="M820" i="208"/>
  <c r="M832" i="208"/>
  <c r="M844" i="208"/>
  <c r="M856" i="208"/>
  <c r="M868" i="208"/>
  <c r="M880" i="208"/>
  <c r="M892" i="208"/>
  <c r="M904" i="208"/>
  <c r="M916" i="208"/>
  <c r="M928" i="208"/>
  <c r="M940" i="208"/>
  <c r="M952" i="208"/>
  <c r="M964" i="208"/>
  <c r="M976" i="208"/>
  <c r="M988" i="208"/>
  <c r="M1000" i="208"/>
  <c r="M1012" i="208"/>
  <c r="M1024" i="208"/>
  <c r="M1036" i="208"/>
  <c r="M1048" i="208"/>
  <c r="M1060" i="208"/>
  <c r="M1072" i="208"/>
  <c r="M1084" i="208"/>
  <c r="M1096" i="208"/>
  <c r="M1108" i="208"/>
  <c r="M1120" i="208"/>
  <c r="M1132" i="208"/>
  <c r="M1144" i="208"/>
  <c r="M1156" i="208"/>
  <c r="M1168" i="208"/>
  <c r="M1180" i="208"/>
  <c r="M1192" i="208"/>
  <c r="M1204" i="208"/>
  <c r="M1216" i="208"/>
  <c r="M1228" i="208"/>
  <c r="M1240" i="208"/>
  <c r="M1252" i="208"/>
  <c r="M305" i="208"/>
  <c r="M317" i="208"/>
  <c r="M329" i="208"/>
  <c r="M341" i="208"/>
  <c r="M353" i="208"/>
  <c r="M365" i="208"/>
  <c r="M377" i="208"/>
  <c r="M389" i="208"/>
  <c r="M401" i="208"/>
  <c r="M413" i="208"/>
  <c r="M425" i="208"/>
  <c r="M437" i="208"/>
  <c r="M449" i="208"/>
  <c r="M461" i="208"/>
  <c r="M473" i="208"/>
  <c r="M485" i="208"/>
  <c r="M497" i="208"/>
  <c r="M509" i="208"/>
  <c r="M521" i="208"/>
  <c r="M533" i="208"/>
  <c r="M545" i="208"/>
  <c r="M557" i="208"/>
  <c r="M569" i="208"/>
  <c r="M581" i="208"/>
  <c r="M593" i="208"/>
  <c r="M605" i="208"/>
  <c r="M617" i="208"/>
  <c r="M629" i="208"/>
  <c r="M641" i="208"/>
  <c r="M653" i="208"/>
  <c r="M665" i="208"/>
  <c r="M677" i="208"/>
  <c r="M689" i="208"/>
  <c r="M701" i="208"/>
  <c r="M713" i="208"/>
  <c r="M725" i="208"/>
  <c r="M737" i="208"/>
  <c r="M749" i="208"/>
  <c r="M761" i="208"/>
  <c r="M773" i="208"/>
  <c r="M785" i="208"/>
  <c r="M797" i="208"/>
  <c r="M809" i="208"/>
  <c r="M821" i="208"/>
  <c r="M833" i="208"/>
  <c r="M845" i="208"/>
  <c r="M857" i="208"/>
  <c r="M869" i="208"/>
  <c r="M881" i="208"/>
  <c r="M893" i="208"/>
  <c r="M905" i="208"/>
  <c r="M917" i="208"/>
  <c r="M929" i="208"/>
  <c r="M941" i="208"/>
  <c r="M953" i="208"/>
  <c r="M965" i="208"/>
  <c r="M977" i="208"/>
  <c r="M989" i="208"/>
  <c r="M1001" i="208"/>
  <c r="M1013" i="208"/>
  <c r="M1025" i="208"/>
  <c r="M1037" i="208"/>
  <c r="M1049" i="208"/>
  <c r="M1061" i="208"/>
  <c r="M1073" i="208"/>
  <c r="M1085" i="208"/>
  <c r="M1097" i="208"/>
  <c r="M1109" i="208"/>
  <c r="M1121" i="208"/>
  <c r="M1133" i="208"/>
  <c r="M1145" i="208"/>
  <c r="M1157" i="208"/>
  <c r="M1169" i="208"/>
  <c r="M1181" i="208"/>
  <c r="M1193" i="208"/>
  <c r="M1205" i="208"/>
  <c r="M1217" i="208"/>
  <c r="M1229" i="208"/>
  <c r="M1241" i="208"/>
  <c r="M1253" i="208"/>
  <c r="M1265" i="208"/>
  <c r="M1277" i="208"/>
  <c r="M1289" i="208"/>
  <c r="M1301" i="208"/>
  <c r="M1313" i="208"/>
  <c r="M306" i="208"/>
  <c r="M318" i="208"/>
  <c r="M330" i="208"/>
  <c r="M342" i="208"/>
  <c r="M354" i="208"/>
  <c r="M366" i="208"/>
  <c r="M378" i="208"/>
  <c r="M390" i="208"/>
  <c r="M402" i="208"/>
  <c r="M414" i="208"/>
  <c r="M426" i="208"/>
  <c r="M438" i="208"/>
  <c r="M450" i="208"/>
  <c r="M462" i="208"/>
  <c r="M474" i="208"/>
  <c r="M486" i="208"/>
  <c r="M498" i="208"/>
  <c r="M510" i="208"/>
  <c r="M522" i="208"/>
  <c r="M534" i="208"/>
  <c r="M546" i="208"/>
  <c r="M558" i="208"/>
  <c r="M570" i="208"/>
  <c r="M582" i="208"/>
  <c r="M594" i="208"/>
  <c r="M606" i="208"/>
  <c r="M618" i="208"/>
  <c r="M630" i="208"/>
  <c r="M642" i="208"/>
  <c r="M654" i="208"/>
  <c r="M666" i="208"/>
  <c r="M678" i="208"/>
  <c r="M690" i="208"/>
  <c r="M702" i="208"/>
  <c r="M714" i="208"/>
  <c r="M726" i="208"/>
  <c r="M738" i="208"/>
  <c r="M750" i="208"/>
  <c r="M762" i="208"/>
  <c r="M774" i="208"/>
  <c r="M786" i="208"/>
  <c r="M798" i="208"/>
  <c r="M810" i="208"/>
  <c r="M822" i="208"/>
  <c r="M834" i="208"/>
  <c r="M846" i="208"/>
  <c r="M858" i="208"/>
  <c r="M870" i="208"/>
  <c r="M882" i="208"/>
  <c r="M894" i="208"/>
  <c r="M906" i="208"/>
  <c r="M918" i="208"/>
  <c r="M930" i="208"/>
  <c r="M942" i="208"/>
  <c r="M954" i="208"/>
  <c r="M966" i="208"/>
  <c r="M978" i="208"/>
  <c r="M990" i="208"/>
  <c r="M1002" i="208"/>
  <c r="M1014" i="208"/>
  <c r="M1026" i="208"/>
  <c r="M1038" i="208"/>
  <c r="M1050" i="208"/>
  <c r="M1062" i="208"/>
  <c r="M1074" i="208"/>
  <c r="M1086" i="208"/>
  <c r="M1098" i="208"/>
  <c r="M1110" i="208"/>
  <c r="M1122" i="208"/>
  <c r="M1134" i="208"/>
  <c r="M1146" i="208"/>
  <c r="M1158" i="208"/>
  <c r="M1170" i="208"/>
  <c r="M1182" i="208"/>
  <c r="M1194" i="208"/>
  <c r="M1206" i="208"/>
  <c r="M1218" i="208"/>
  <c r="M1230" i="208"/>
  <c r="M1242" i="208"/>
  <c r="M1254" i="208"/>
  <c r="M1266" i="208"/>
  <c r="M1278" i="208"/>
  <c r="M1290" i="208"/>
  <c r="M1302" i="208"/>
  <c r="M1314" i="208"/>
  <c r="M307" i="208"/>
  <c r="M319" i="208"/>
  <c r="M331" i="208"/>
  <c r="M343" i="208"/>
  <c r="M355" i="208"/>
  <c r="M367" i="208"/>
  <c r="M379" i="208"/>
  <c r="M391" i="208"/>
  <c r="M403" i="208"/>
  <c r="M415" i="208"/>
  <c r="M427" i="208"/>
  <c r="M439" i="208"/>
  <c r="M451" i="208"/>
  <c r="M463" i="208"/>
  <c r="M475" i="208"/>
  <c r="M487" i="208"/>
  <c r="M499" i="208"/>
  <c r="M511" i="208"/>
  <c r="M523" i="208"/>
  <c r="M535" i="208"/>
  <c r="M547" i="208"/>
  <c r="M559" i="208"/>
  <c r="M571" i="208"/>
  <c r="M583" i="208"/>
  <c r="M595" i="208"/>
  <c r="M607" i="208"/>
  <c r="M619" i="208"/>
  <c r="M631" i="208"/>
  <c r="M643" i="208"/>
  <c r="M655" i="208"/>
  <c r="M667" i="208"/>
  <c r="M679" i="208"/>
  <c r="M691" i="208"/>
  <c r="M703" i="208"/>
  <c r="M715" i="208"/>
  <c r="M727" i="208"/>
  <c r="M739" i="208"/>
  <c r="M751" i="208"/>
  <c r="M763" i="208"/>
  <c r="M775" i="208"/>
  <c r="M787" i="208"/>
  <c r="M799" i="208"/>
  <c r="M811" i="208"/>
  <c r="M823" i="208"/>
  <c r="M835" i="208"/>
  <c r="M847" i="208"/>
  <c r="M859" i="208"/>
  <c r="M871" i="208"/>
  <c r="M883" i="208"/>
  <c r="M895" i="208"/>
  <c r="M907" i="208"/>
  <c r="M919" i="208"/>
  <c r="M931" i="208"/>
  <c r="M943" i="208"/>
  <c r="M955" i="208"/>
  <c r="M967" i="208"/>
  <c r="M979" i="208"/>
  <c r="M991" i="208"/>
  <c r="M1003" i="208"/>
  <c r="M1015" i="208"/>
  <c r="M1027" i="208"/>
  <c r="M1039" i="208"/>
  <c r="M1051" i="208"/>
  <c r="M1063" i="208"/>
  <c r="M1075" i="208"/>
  <c r="M1087" i="208"/>
  <c r="M1099" i="208"/>
  <c r="M1111" i="208"/>
  <c r="M1123" i="208"/>
  <c r="M1135" i="208"/>
  <c r="M1147" i="208"/>
  <c r="M1159" i="208"/>
  <c r="M1171" i="208"/>
  <c r="M1183" i="208"/>
  <c r="M1195" i="208"/>
  <c r="M1207" i="208"/>
  <c r="M1219" i="208"/>
  <c r="M1231" i="208"/>
  <c r="M1243" i="208"/>
  <c r="M1255" i="208"/>
  <c r="M1267" i="208"/>
  <c r="M1279" i="208"/>
  <c r="M1291" i="208"/>
  <c r="M1303" i="208"/>
  <c r="M1315" i="208"/>
  <c r="M308" i="208"/>
  <c r="M320" i="208"/>
  <c r="M332" i="208"/>
  <c r="M344" i="208"/>
  <c r="M356" i="208"/>
  <c r="M368" i="208"/>
  <c r="M380" i="208"/>
  <c r="M392" i="208"/>
  <c r="M404" i="208"/>
  <c r="M416" i="208"/>
  <c r="M428" i="208"/>
  <c r="M440" i="208"/>
  <c r="M452" i="208"/>
  <c r="M464" i="208"/>
  <c r="M476" i="208"/>
  <c r="M488" i="208"/>
  <c r="M500" i="208"/>
  <c r="M512" i="208"/>
  <c r="M524" i="208"/>
  <c r="M536" i="208"/>
  <c r="M548" i="208"/>
  <c r="M560" i="208"/>
  <c r="M572" i="208"/>
  <c r="M584" i="208"/>
  <c r="M596" i="208"/>
  <c r="M608" i="208"/>
  <c r="M620" i="208"/>
  <c r="M632" i="208"/>
  <c r="M644" i="208"/>
  <c r="M656" i="208"/>
  <c r="M668" i="208"/>
  <c r="M680" i="208"/>
  <c r="M692" i="208"/>
  <c r="M704" i="208"/>
  <c r="M716" i="208"/>
  <c r="M728" i="208"/>
  <c r="M740" i="208"/>
  <c r="M752" i="208"/>
  <c r="M764" i="208"/>
  <c r="M776" i="208"/>
  <c r="M788" i="208"/>
  <c r="M800" i="208"/>
  <c r="M812" i="208"/>
  <c r="M824" i="208"/>
  <c r="M836" i="208"/>
  <c r="M848" i="208"/>
  <c r="M860" i="208"/>
  <c r="M872" i="208"/>
  <c r="M884" i="208"/>
  <c r="M896" i="208"/>
  <c r="M908" i="208"/>
  <c r="M920" i="208"/>
  <c r="M932" i="208"/>
  <c r="M944" i="208"/>
  <c r="M956" i="208"/>
  <c r="M968" i="208"/>
  <c r="M980" i="208"/>
  <c r="M992" i="208"/>
  <c r="M1004" i="208"/>
  <c r="M1016" i="208"/>
  <c r="M1028" i="208"/>
  <c r="M1040" i="208"/>
  <c r="M1052" i="208"/>
  <c r="M1064" i="208"/>
  <c r="M1076" i="208"/>
  <c r="M1088" i="208"/>
  <c r="M1100" i="208"/>
  <c r="M1112" i="208"/>
  <c r="M1124" i="208"/>
  <c r="M1136" i="208"/>
  <c r="M1148" i="208"/>
  <c r="M1160" i="208"/>
  <c r="M1172" i="208"/>
  <c r="M1184" i="208"/>
  <c r="M1196" i="208"/>
  <c r="M1208" i="208"/>
  <c r="M1220" i="208"/>
  <c r="M1232" i="208"/>
  <c r="M1244" i="208"/>
  <c r="M1256" i="208"/>
  <c r="M1268" i="208"/>
  <c r="M1280" i="208"/>
  <c r="M1292" i="208"/>
  <c r="M1304" i="208"/>
  <c r="M1316" i="208"/>
  <c r="M309" i="208"/>
  <c r="M321" i="208"/>
  <c r="M333" i="208"/>
  <c r="M345" i="208"/>
  <c r="M357" i="208"/>
  <c r="M369" i="208"/>
  <c r="M381" i="208"/>
  <c r="M393" i="208"/>
  <c r="M405" i="208"/>
  <c r="M417" i="208"/>
  <c r="M429" i="208"/>
  <c r="M441" i="208"/>
  <c r="M453" i="208"/>
  <c r="M465" i="208"/>
  <c r="M477" i="208"/>
  <c r="M489" i="208"/>
  <c r="M501" i="208"/>
  <c r="M513" i="208"/>
  <c r="M525" i="208"/>
  <c r="M537" i="208"/>
  <c r="M549" i="208"/>
  <c r="M561" i="208"/>
  <c r="M573" i="208"/>
  <c r="M585" i="208"/>
  <c r="M597" i="208"/>
  <c r="M609" i="208"/>
  <c r="M621" i="208"/>
  <c r="M633" i="208"/>
  <c r="M645" i="208"/>
  <c r="M657" i="208"/>
  <c r="M669" i="208"/>
  <c r="M681" i="208"/>
  <c r="M693" i="208"/>
  <c r="M705" i="208"/>
  <c r="M717" i="208"/>
  <c r="M729" i="208"/>
  <c r="M741" i="208"/>
  <c r="M753" i="208"/>
  <c r="M765" i="208"/>
  <c r="M777" i="208"/>
  <c r="M789" i="208"/>
  <c r="M801" i="208"/>
  <c r="M813" i="208"/>
  <c r="M825" i="208"/>
  <c r="M837" i="208"/>
  <c r="M849" i="208"/>
  <c r="M861" i="208"/>
  <c r="M873" i="208"/>
  <c r="M885" i="208"/>
  <c r="M897" i="208"/>
  <c r="M909" i="208"/>
  <c r="M921" i="208"/>
  <c r="M933" i="208"/>
  <c r="M945" i="208"/>
  <c r="M957" i="208"/>
  <c r="M969" i="208"/>
  <c r="M981" i="208"/>
  <c r="M993" i="208"/>
  <c r="M1005" i="208"/>
  <c r="M1017" i="208"/>
  <c r="M1029" i="208"/>
  <c r="M1041" i="208"/>
  <c r="M1053" i="208"/>
  <c r="M1065" i="208"/>
  <c r="M1077" i="208"/>
  <c r="M1089" i="208"/>
  <c r="M1101" i="208"/>
  <c r="M1113" i="208"/>
  <c r="M1125" i="208"/>
  <c r="M1137" i="208"/>
  <c r="M1149" i="208"/>
  <c r="M1161" i="208"/>
  <c r="M1173" i="208"/>
  <c r="M1185" i="208"/>
  <c r="M1197" i="208"/>
  <c r="M1209" i="208"/>
  <c r="M1221" i="208"/>
  <c r="M1233" i="208"/>
  <c r="M1245" i="208"/>
  <c r="M1257" i="208"/>
  <c r="M310" i="208"/>
  <c r="M322" i="208"/>
  <c r="M334" i="208"/>
  <c r="M346" i="208"/>
  <c r="M358" i="208"/>
  <c r="M370" i="208"/>
  <c r="M382" i="208"/>
  <c r="M394" i="208"/>
  <c r="M406" i="208"/>
  <c r="M418" i="208"/>
  <c r="M430" i="208"/>
  <c r="M442" i="208"/>
  <c r="M454" i="208"/>
  <c r="M466" i="208"/>
  <c r="M478" i="208"/>
  <c r="M490" i="208"/>
  <c r="M502" i="208"/>
  <c r="M514" i="208"/>
  <c r="M526" i="208"/>
  <c r="M538" i="208"/>
  <c r="M550" i="208"/>
  <c r="M562" i="208"/>
  <c r="M574" i="208"/>
  <c r="M586" i="208"/>
  <c r="M598" i="208"/>
  <c r="M610" i="208"/>
  <c r="M622" i="208"/>
  <c r="M634" i="208"/>
  <c r="M646" i="208"/>
  <c r="M658" i="208"/>
  <c r="M670" i="208"/>
  <c r="M682" i="208"/>
  <c r="M694" i="208"/>
  <c r="M706" i="208"/>
  <c r="M718" i="208"/>
  <c r="M730" i="208"/>
  <c r="M742" i="208"/>
  <c r="M754" i="208"/>
  <c r="M766" i="208"/>
  <c r="M778" i="208"/>
  <c r="M790" i="208"/>
  <c r="M802" i="208"/>
  <c r="M814" i="208"/>
  <c r="M826" i="208"/>
  <c r="M838" i="208"/>
  <c r="M850" i="208"/>
  <c r="M862" i="208"/>
  <c r="M874" i="208"/>
  <c r="M886" i="208"/>
  <c r="M898" i="208"/>
  <c r="M910" i="208"/>
  <c r="M922" i="208"/>
  <c r="M934" i="208"/>
  <c r="M946" i="208"/>
  <c r="M958" i="208"/>
  <c r="M970" i="208"/>
  <c r="M982" i="208"/>
  <c r="M994" i="208"/>
  <c r="M1006" i="208"/>
  <c r="M1018" i="208"/>
  <c r="M1030" i="208"/>
  <c r="M1042" i="208"/>
  <c r="M1054" i="208"/>
  <c r="M1066" i="208"/>
  <c r="M1078" i="208"/>
  <c r="M1090" i="208"/>
  <c r="M1102" i="208"/>
  <c r="M1114" i="208"/>
  <c r="M1126" i="208"/>
  <c r="M1138" i="208"/>
  <c r="M1150" i="208"/>
  <c r="M1162" i="208"/>
  <c r="M1174" i="208"/>
  <c r="M1186" i="208"/>
  <c r="M1198" i="208"/>
  <c r="M1210" i="208"/>
  <c r="M1222" i="208"/>
  <c r="M1234" i="208"/>
  <c r="M1246" i="208"/>
  <c r="M1258" i="208"/>
  <c r="M1270" i="208"/>
  <c r="M1282" i="208"/>
  <c r="M1294" i="208"/>
  <c r="M1306" i="208"/>
  <c r="M1318" i="208"/>
  <c r="M311" i="208"/>
  <c r="M383" i="208"/>
  <c r="M455" i="208"/>
  <c r="M527" i="208"/>
  <c r="M599" i="208"/>
  <c r="M671" i="208"/>
  <c r="M719" i="208"/>
  <c r="M767" i="208"/>
  <c r="M815" i="208"/>
  <c r="M863" i="208"/>
  <c r="M911" i="208"/>
  <c r="M959" i="208"/>
  <c r="M1007" i="208"/>
  <c r="M1055" i="208"/>
  <c r="M1103" i="208"/>
  <c r="M1151" i="208"/>
  <c r="M1199" i="208"/>
  <c r="M1247" i="208"/>
  <c r="M1281" i="208"/>
  <c r="M1308" i="208"/>
  <c r="M1326" i="208"/>
  <c r="M1338" i="208"/>
  <c r="M1350" i="208"/>
  <c r="M1362" i="208"/>
  <c r="M1374" i="208"/>
  <c r="M1386" i="208"/>
  <c r="M1398" i="208"/>
  <c r="M1410" i="208"/>
  <c r="M1422" i="208"/>
  <c r="M1434" i="208"/>
  <c r="M1446" i="208"/>
  <c r="M1458" i="208"/>
  <c r="M1470" i="208"/>
  <c r="M1482" i="208"/>
  <c r="M1494" i="208"/>
  <c r="M1506" i="208"/>
  <c r="M1518" i="208"/>
  <c r="M1530" i="208"/>
  <c r="M1542" i="208"/>
  <c r="M1554" i="208"/>
  <c r="M1566" i="208"/>
  <c r="M1578" i="208"/>
  <c r="M1590" i="208"/>
  <c r="M1602" i="208"/>
  <c r="M1614" i="208"/>
  <c r="M1626" i="208"/>
  <c r="M1638" i="208"/>
  <c r="M1650" i="208"/>
  <c r="M1662" i="208"/>
  <c r="M1674" i="208"/>
  <c r="M1686" i="208"/>
  <c r="M1698" i="208"/>
  <c r="M1710" i="208"/>
  <c r="M1722" i="208"/>
  <c r="M1734" i="208"/>
  <c r="M1746" i="208"/>
  <c r="M1758" i="208"/>
  <c r="M1770" i="208"/>
  <c r="M1782" i="208"/>
  <c r="M1794" i="208"/>
  <c r="M1806" i="208"/>
  <c r="M1818" i="208"/>
  <c r="M1830" i="208"/>
  <c r="M1842" i="208"/>
  <c r="M1854" i="208"/>
  <c r="M1866" i="208"/>
  <c r="M1878" i="208"/>
  <c r="M1890" i="208"/>
  <c r="M1902" i="208"/>
  <c r="M1914" i="208"/>
  <c r="M1926" i="208"/>
  <c r="M1938" i="208"/>
  <c r="M1950" i="208"/>
  <c r="M1962" i="208"/>
  <c r="M1974" i="208"/>
  <c r="M1986" i="208"/>
  <c r="M1998" i="208"/>
  <c r="M2010" i="208"/>
  <c r="M2022" i="208"/>
  <c r="M2034" i="208"/>
  <c r="M2046" i="208"/>
  <c r="M2058" i="208"/>
  <c r="M2070" i="208"/>
  <c r="M312" i="208"/>
  <c r="M384" i="208"/>
  <c r="M456" i="208"/>
  <c r="M528" i="208"/>
  <c r="M600" i="208"/>
  <c r="M672" i="208"/>
  <c r="M720" i="208"/>
  <c r="M768" i="208"/>
  <c r="M816" i="208"/>
  <c r="M864" i="208"/>
  <c r="M912" i="208"/>
  <c r="M960" i="208"/>
  <c r="M1008" i="208"/>
  <c r="M1056" i="208"/>
  <c r="M1104" i="208"/>
  <c r="M1152" i="208"/>
  <c r="M1200" i="208"/>
  <c r="M1248" i="208"/>
  <c r="M1283" i="208"/>
  <c r="M1309" i="208"/>
  <c r="M1327" i="208"/>
  <c r="M1339" i="208"/>
  <c r="M1351" i="208"/>
  <c r="M1363" i="208"/>
  <c r="M1375" i="208"/>
  <c r="M1387" i="208"/>
  <c r="M1399" i="208"/>
  <c r="M1411" i="208"/>
  <c r="M1423" i="208"/>
  <c r="M1435" i="208"/>
  <c r="M1447" i="208"/>
  <c r="M1459" i="208"/>
  <c r="M1471" i="208"/>
  <c r="M1483" i="208"/>
  <c r="M1495" i="208"/>
  <c r="M1507" i="208"/>
  <c r="M1519" i="208"/>
  <c r="M1531" i="208"/>
  <c r="M1543" i="208"/>
  <c r="M1555" i="208"/>
  <c r="M1567" i="208"/>
  <c r="M1579" i="208"/>
  <c r="M1591" i="208"/>
  <c r="M1603" i="208"/>
  <c r="M1615" i="208"/>
  <c r="M1627" i="208"/>
  <c r="M1639" i="208"/>
  <c r="M1651" i="208"/>
  <c r="M1663" i="208"/>
  <c r="M1675" i="208"/>
  <c r="M1687" i="208"/>
  <c r="M1699" i="208"/>
  <c r="M1711" i="208"/>
  <c r="M1723" i="208"/>
  <c r="M1735" i="208"/>
  <c r="M1747" i="208"/>
  <c r="M1759" i="208"/>
  <c r="M1771" i="208"/>
  <c r="M1783" i="208"/>
  <c r="M1795" i="208"/>
  <c r="M1807" i="208"/>
  <c r="M1819" i="208"/>
  <c r="M1831" i="208"/>
  <c r="M1843" i="208"/>
  <c r="M1855" i="208"/>
  <c r="M1867" i="208"/>
  <c r="M1879" i="208"/>
  <c r="M1891" i="208"/>
  <c r="M1903" i="208"/>
  <c r="M1915" i="208"/>
  <c r="M1927" i="208"/>
  <c r="M1939" i="208"/>
  <c r="M1951" i="208"/>
  <c r="M1963" i="208"/>
  <c r="M1975" i="208"/>
  <c r="M1987" i="208"/>
  <c r="M1999" i="208"/>
  <c r="M2011" i="208"/>
  <c r="M2023" i="208"/>
  <c r="M2035" i="208"/>
  <c r="M2047" i="208"/>
  <c r="M2059" i="208"/>
  <c r="M2071" i="208"/>
  <c r="M2083" i="208"/>
  <c r="M2095" i="208"/>
  <c r="M2107" i="208"/>
  <c r="M323" i="208"/>
  <c r="M395" i="208"/>
  <c r="M467" i="208"/>
  <c r="M539" i="208"/>
  <c r="M611" i="208"/>
  <c r="M675" i="208"/>
  <c r="M723" i="208"/>
  <c r="M771" i="208"/>
  <c r="M819" i="208"/>
  <c r="M867" i="208"/>
  <c r="M915" i="208"/>
  <c r="M963" i="208"/>
  <c r="M1011" i="208"/>
  <c r="M1059" i="208"/>
  <c r="M1107" i="208"/>
  <c r="M1155" i="208"/>
  <c r="M1203" i="208"/>
  <c r="M1251" i="208"/>
  <c r="M1284" i="208"/>
  <c r="M1311" i="208"/>
  <c r="M1328" i="208"/>
  <c r="M1340" i="208"/>
  <c r="M1352" i="208"/>
  <c r="M1364" i="208"/>
  <c r="M1376" i="208"/>
  <c r="M1388" i="208"/>
  <c r="M1400" i="208"/>
  <c r="M1412" i="208"/>
  <c r="M1424" i="208"/>
  <c r="M1436" i="208"/>
  <c r="M1448" i="208"/>
  <c r="M1460" i="208"/>
  <c r="M1472" i="208"/>
  <c r="M1484" i="208"/>
  <c r="M1496" i="208"/>
  <c r="M1508" i="208"/>
  <c r="M1520" i="208"/>
  <c r="M1532" i="208"/>
  <c r="M1544" i="208"/>
  <c r="M1556" i="208"/>
  <c r="M1568" i="208"/>
  <c r="M1580" i="208"/>
  <c r="M1592" i="208"/>
  <c r="M1604" i="208"/>
  <c r="M1616" i="208"/>
  <c r="M1628" i="208"/>
  <c r="M1640" i="208"/>
  <c r="M1652" i="208"/>
  <c r="M1664" i="208"/>
  <c r="M1676" i="208"/>
  <c r="M1688" i="208"/>
  <c r="M1700" i="208"/>
  <c r="M1712" i="208"/>
  <c r="M1724" i="208"/>
  <c r="M1736" i="208"/>
  <c r="M1748" i="208"/>
  <c r="M1760" i="208"/>
  <c r="M1772" i="208"/>
  <c r="M324" i="208"/>
  <c r="M396" i="208"/>
  <c r="M468" i="208"/>
  <c r="M540" i="208"/>
  <c r="M612" i="208"/>
  <c r="M683" i="208"/>
  <c r="M731" i="208"/>
  <c r="M779" i="208"/>
  <c r="M827" i="208"/>
  <c r="M875" i="208"/>
  <c r="M923" i="208"/>
  <c r="M971" i="208"/>
  <c r="M1019" i="208"/>
  <c r="M1067" i="208"/>
  <c r="M1115" i="208"/>
  <c r="M1163" i="208"/>
  <c r="M1211" i="208"/>
  <c r="M1259" i="208"/>
  <c r="M1287" i="208"/>
  <c r="M1312" i="208"/>
  <c r="M1329" i="208"/>
  <c r="M1341" i="208"/>
  <c r="M1353" i="208"/>
  <c r="M1365" i="208"/>
  <c r="M1377" i="208"/>
  <c r="M1389" i="208"/>
  <c r="M1401" i="208"/>
  <c r="M1413" i="208"/>
  <c r="M1425" i="208"/>
  <c r="M1437" i="208"/>
  <c r="M1449" i="208"/>
  <c r="M1461" i="208"/>
  <c r="M1473" i="208"/>
  <c r="M1485" i="208"/>
  <c r="M1497" i="208"/>
  <c r="M1509" i="208"/>
  <c r="M1521" i="208"/>
  <c r="M1533" i="208"/>
  <c r="M1545" i="208"/>
  <c r="M1557" i="208"/>
  <c r="M1569" i="208"/>
  <c r="M1581" i="208"/>
  <c r="M1593" i="208"/>
  <c r="M1605" i="208"/>
  <c r="M1617" i="208"/>
  <c r="M1629" i="208"/>
  <c r="M1641" i="208"/>
  <c r="M1653" i="208"/>
  <c r="M1665" i="208"/>
  <c r="M1677" i="208"/>
  <c r="M1689" i="208"/>
  <c r="M1701" i="208"/>
  <c r="M1713" i="208"/>
  <c r="M1725" i="208"/>
  <c r="M1737" i="208"/>
  <c r="M1749" i="208"/>
  <c r="M1761" i="208"/>
  <c r="M1773" i="208"/>
  <c r="M1785" i="208"/>
  <c r="M1797" i="208"/>
  <c r="M1809" i="208"/>
  <c r="M1821" i="208"/>
  <c r="M1833" i="208"/>
  <c r="M1845" i="208"/>
  <c r="M1857" i="208"/>
  <c r="M1869" i="208"/>
  <c r="M1881" i="208"/>
  <c r="M1893" i="208"/>
  <c r="M1905" i="208"/>
  <c r="M1917" i="208"/>
  <c r="M1929" i="208"/>
  <c r="M1941" i="208"/>
  <c r="M1953" i="208"/>
  <c r="M1965" i="208"/>
  <c r="M1977" i="208"/>
  <c r="M1989" i="208"/>
  <c r="M2001" i="208"/>
  <c r="M2013" i="208"/>
  <c r="M2025" i="208"/>
  <c r="M2037" i="208"/>
  <c r="M2049" i="208"/>
  <c r="M2061" i="208"/>
  <c r="M2073" i="208"/>
  <c r="M2085" i="208"/>
  <c r="M2097" i="208"/>
  <c r="M335" i="208"/>
  <c r="M407" i="208"/>
  <c r="M479" i="208"/>
  <c r="M551" i="208"/>
  <c r="M623" i="208"/>
  <c r="M684" i="208"/>
  <c r="M732" i="208"/>
  <c r="M780" i="208"/>
  <c r="M828" i="208"/>
  <c r="M876" i="208"/>
  <c r="M924" i="208"/>
  <c r="M972" i="208"/>
  <c r="M1020" i="208"/>
  <c r="M1068" i="208"/>
  <c r="M1116" i="208"/>
  <c r="M1164" i="208"/>
  <c r="M1212" i="208"/>
  <c r="M1260" i="208"/>
  <c r="M1288" i="208"/>
  <c r="M1317" i="208"/>
  <c r="M1330" i="208"/>
  <c r="M1342" i="208"/>
  <c r="M1354" i="208"/>
  <c r="M1366" i="208"/>
  <c r="M1378" i="208"/>
  <c r="M1390" i="208"/>
  <c r="M1402" i="208"/>
  <c r="M1414" i="208"/>
  <c r="M1426" i="208"/>
  <c r="M1438" i="208"/>
  <c r="M1450" i="208"/>
  <c r="M1462" i="208"/>
  <c r="M1474" i="208"/>
  <c r="M1486" i="208"/>
  <c r="M1498" i="208"/>
  <c r="M1510" i="208"/>
  <c r="M1522" i="208"/>
  <c r="M1534" i="208"/>
  <c r="M1546" i="208"/>
  <c r="M1558" i="208"/>
  <c r="M1570" i="208"/>
  <c r="M1582" i="208"/>
  <c r="M1594" i="208"/>
  <c r="M1606" i="208"/>
  <c r="M1618" i="208"/>
  <c r="M1630" i="208"/>
  <c r="M1642" i="208"/>
  <c r="M1654" i="208"/>
  <c r="M1666" i="208"/>
  <c r="M1678" i="208"/>
  <c r="M1690" i="208"/>
  <c r="M1702" i="208"/>
  <c r="M1714" i="208"/>
  <c r="M1726" i="208"/>
  <c r="M1738" i="208"/>
  <c r="M1750" i="208"/>
  <c r="M1762" i="208"/>
  <c r="M1774" i="208"/>
  <c r="M1786" i="208"/>
  <c r="M1798" i="208"/>
  <c r="M1810" i="208"/>
  <c r="M1822" i="208"/>
  <c r="M1834" i="208"/>
  <c r="M1846" i="208"/>
  <c r="M1858" i="208"/>
  <c r="M1870" i="208"/>
  <c r="M1882" i="208"/>
  <c r="M1894" i="208"/>
  <c r="M1906" i="208"/>
  <c r="M1918" i="208"/>
  <c r="M1930" i="208"/>
  <c r="M1942" i="208"/>
  <c r="M1954" i="208"/>
  <c r="M1966" i="208"/>
  <c r="M1978" i="208"/>
  <c r="M1990" i="208"/>
  <c r="M2002" i="208"/>
  <c r="M2014" i="208"/>
  <c r="M2026" i="208"/>
  <c r="M2038" i="208"/>
  <c r="M2050" i="208"/>
  <c r="M2062" i="208"/>
  <c r="M2074" i="208"/>
  <c r="M2086" i="208"/>
  <c r="M2098" i="208"/>
  <c r="M2110" i="208"/>
  <c r="M336" i="208"/>
  <c r="M408" i="208"/>
  <c r="M480" i="208"/>
  <c r="M552" i="208"/>
  <c r="M624" i="208"/>
  <c r="M687" i="208"/>
  <c r="M735" i="208"/>
  <c r="M783" i="208"/>
  <c r="M831" i="208"/>
  <c r="M879" i="208"/>
  <c r="M927" i="208"/>
  <c r="M975" i="208"/>
  <c r="M1023" i="208"/>
  <c r="M1071" i="208"/>
  <c r="M1119" i="208"/>
  <c r="M1167" i="208"/>
  <c r="M1215" i="208"/>
  <c r="M1263" i="208"/>
  <c r="M1293" i="208"/>
  <c r="M1319" i="208"/>
  <c r="M1331" i="208"/>
  <c r="M1343" i="208"/>
  <c r="M1355" i="208"/>
  <c r="M1367" i="208"/>
  <c r="M1379" i="208"/>
  <c r="M1391" i="208"/>
  <c r="M1403" i="208"/>
  <c r="M1415" i="208"/>
  <c r="M1427" i="208"/>
  <c r="M1439" i="208"/>
  <c r="M1451" i="208"/>
  <c r="M1463" i="208"/>
  <c r="M1475" i="208"/>
  <c r="M1487" i="208"/>
  <c r="M1499" i="208"/>
  <c r="M1511" i="208"/>
  <c r="M1523" i="208"/>
  <c r="M1535" i="208"/>
  <c r="M1547" i="208"/>
  <c r="M1559" i="208"/>
  <c r="M1571" i="208"/>
  <c r="M1583" i="208"/>
  <c r="M1595" i="208"/>
  <c r="M1607" i="208"/>
  <c r="M1619" i="208"/>
  <c r="M1631" i="208"/>
  <c r="M1643" i="208"/>
  <c r="M1655" i="208"/>
  <c r="M1667" i="208"/>
  <c r="M1679" i="208"/>
  <c r="M1691" i="208"/>
  <c r="M1703" i="208"/>
  <c r="M1715" i="208"/>
  <c r="M1727" i="208"/>
  <c r="M1739" i="208"/>
  <c r="M1751" i="208"/>
  <c r="M1763" i="208"/>
  <c r="M1775" i="208"/>
  <c r="M1787" i="208"/>
  <c r="M1799" i="208"/>
  <c r="M1811" i="208"/>
  <c r="M1823" i="208"/>
  <c r="M1835" i="208"/>
  <c r="M1847" i="208"/>
  <c r="M1859" i="208"/>
  <c r="M1871" i="208"/>
  <c r="M1883" i="208"/>
  <c r="M1895" i="208"/>
  <c r="M1907" i="208"/>
  <c r="M1919" i="208"/>
  <c r="M1931" i="208"/>
  <c r="M1943" i="208"/>
  <c r="M1955" i="208"/>
  <c r="M1967" i="208"/>
  <c r="M1979" i="208"/>
  <c r="M1991" i="208"/>
  <c r="M2003" i="208"/>
  <c r="M2015" i="208"/>
  <c r="M2027" i="208"/>
  <c r="M2039" i="208"/>
  <c r="M2051" i="208"/>
  <c r="M2063" i="208"/>
  <c r="M2075" i="208"/>
  <c r="M347" i="208"/>
  <c r="M419" i="208"/>
  <c r="M491" i="208"/>
  <c r="M563" i="208"/>
  <c r="M635" i="208"/>
  <c r="M695" i="208"/>
  <c r="M743" i="208"/>
  <c r="M791" i="208"/>
  <c r="M839" i="208"/>
  <c r="M887" i="208"/>
  <c r="M935" i="208"/>
  <c r="M983" i="208"/>
  <c r="M1031" i="208"/>
  <c r="M1079" i="208"/>
  <c r="M1127" i="208"/>
  <c r="M1175" i="208"/>
  <c r="M1223" i="208"/>
  <c r="M1264" i="208"/>
  <c r="M1295" i="208"/>
  <c r="M1320" i="208"/>
  <c r="M1332" i="208"/>
  <c r="M1344" i="208"/>
  <c r="M1356" i="208"/>
  <c r="M1368" i="208"/>
  <c r="M1380" i="208"/>
  <c r="M1392" i="208"/>
  <c r="M1404" i="208"/>
  <c r="M1416" i="208"/>
  <c r="M1428" i="208"/>
  <c r="M1440" i="208"/>
  <c r="M1452" i="208"/>
  <c r="M1464" i="208"/>
  <c r="M1476" i="208"/>
  <c r="M1488" i="208"/>
  <c r="M1500" i="208"/>
  <c r="M1512" i="208"/>
  <c r="M1524" i="208"/>
  <c r="M1536" i="208"/>
  <c r="M1548" i="208"/>
  <c r="M1560" i="208"/>
  <c r="M1572" i="208"/>
  <c r="M1584" i="208"/>
  <c r="M1596" i="208"/>
  <c r="M1608" i="208"/>
  <c r="M1620" i="208"/>
  <c r="M1632" i="208"/>
  <c r="M1644" i="208"/>
  <c r="M1656" i="208"/>
  <c r="M1668" i="208"/>
  <c r="M1680" i="208"/>
  <c r="M1692" i="208"/>
  <c r="M1704" i="208"/>
  <c r="M1716" i="208"/>
  <c r="M1728" i="208"/>
  <c r="M1740" i="208"/>
  <c r="M1752" i="208"/>
  <c r="M1764" i="208"/>
  <c r="M1776" i="208"/>
  <c r="M1788" i="208"/>
  <c r="M359" i="208"/>
  <c r="M431" i="208"/>
  <c r="M503" i="208"/>
  <c r="M575" i="208"/>
  <c r="M647" i="208"/>
  <c r="M699" i="208"/>
  <c r="M747" i="208"/>
  <c r="M795" i="208"/>
  <c r="M843" i="208"/>
  <c r="M891" i="208"/>
  <c r="M939" i="208"/>
  <c r="M987" i="208"/>
  <c r="M1035" i="208"/>
  <c r="M1083" i="208"/>
  <c r="M1131" i="208"/>
  <c r="M1179" i="208"/>
  <c r="M1227" i="208"/>
  <c r="M1271" i="208"/>
  <c r="M1299" i="208"/>
  <c r="M1322" i="208"/>
  <c r="M1334" i="208"/>
  <c r="M1346" i="208"/>
  <c r="M1358" i="208"/>
  <c r="M1370" i="208"/>
  <c r="M1382" i="208"/>
  <c r="M1394" i="208"/>
  <c r="M1406" i="208"/>
  <c r="M1418" i="208"/>
  <c r="M1430" i="208"/>
  <c r="M1442" i="208"/>
  <c r="M1454" i="208"/>
  <c r="M1466" i="208"/>
  <c r="M1478" i="208"/>
  <c r="M1490" i="208"/>
  <c r="M1502" i="208"/>
  <c r="M1514" i="208"/>
  <c r="M1526" i="208"/>
  <c r="M1538" i="208"/>
  <c r="M1550" i="208"/>
  <c r="M1562" i="208"/>
  <c r="M1574" i="208"/>
  <c r="M1586" i="208"/>
  <c r="M1598" i="208"/>
  <c r="M1610" i="208"/>
  <c r="M1622" i="208"/>
  <c r="M1634" i="208"/>
  <c r="M1646" i="208"/>
  <c r="M1658" i="208"/>
  <c r="M1670" i="208"/>
  <c r="M1682" i="208"/>
  <c r="M1694" i="208"/>
  <c r="M1706" i="208"/>
  <c r="M1718" i="208"/>
  <c r="M1730" i="208"/>
  <c r="M1742" i="208"/>
  <c r="M1754" i="208"/>
  <c r="M1766" i="208"/>
  <c r="M1778" i="208"/>
  <c r="M1790" i="208"/>
  <c r="M1802" i="208"/>
  <c r="M1814" i="208"/>
  <c r="M1826" i="208"/>
  <c r="M1838" i="208"/>
  <c r="M1850" i="208"/>
  <c r="M1862" i="208"/>
  <c r="M1874" i="208"/>
  <c r="M1886" i="208"/>
  <c r="M1898" i="208"/>
  <c r="M1910" i="208"/>
  <c r="M1922" i="208"/>
  <c r="M1934" i="208"/>
  <c r="M1946" i="208"/>
  <c r="M1958" i="208"/>
  <c r="M1970" i="208"/>
  <c r="M1982" i="208"/>
  <c r="M1994" i="208"/>
  <c r="M2006" i="208"/>
  <c r="M2018" i="208"/>
  <c r="M2030" i="208"/>
  <c r="M2042" i="208"/>
  <c r="M2054" i="208"/>
  <c r="M2066" i="208"/>
  <c r="M2078" i="208"/>
  <c r="M2090" i="208"/>
  <c r="M2102" i="208"/>
  <c r="M360" i="208"/>
  <c r="M432" i="208"/>
  <c r="M504" i="208"/>
  <c r="M576" i="208"/>
  <c r="M648" i="208"/>
  <c r="M707" i="208"/>
  <c r="M755" i="208"/>
  <c r="M803" i="208"/>
  <c r="M851" i="208"/>
  <c r="M899" i="208"/>
  <c r="M947" i="208"/>
  <c r="M995" i="208"/>
  <c r="M1043" i="208"/>
  <c r="M1091" i="208"/>
  <c r="M1139" i="208"/>
  <c r="M1187" i="208"/>
  <c r="M1235" i="208"/>
  <c r="M1272" i="208"/>
  <c r="M1300" i="208"/>
  <c r="M1323" i="208"/>
  <c r="M1335" i="208"/>
  <c r="M1347" i="208"/>
  <c r="M1359" i="208"/>
  <c r="M1371" i="208"/>
  <c r="M1383" i="208"/>
  <c r="M1395" i="208"/>
  <c r="M1407" i="208"/>
  <c r="M1419" i="208"/>
  <c r="M1431" i="208"/>
  <c r="M1443" i="208"/>
  <c r="M1455" i="208"/>
  <c r="M1467" i="208"/>
  <c r="M1479" i="208"/>
  <c r="M1491" i="208"/>
  <c r="M1503" i="208"/>
  <c r="M1515" i="208"/>
  <c r="M1527" i="208"/>
  <c r="M1539" i="208"/>
  <c r="M1551" i="208"/>
  <c r="M1563" i="208"/>
  <c r="M1575" i="208"/>
  <c r="M1587" i="208"/>
  <c r="M1599" i="208"/>
  <c r="M1611" i="208"/>
  <c r="M1623" i="208"/>
  <c r="M1635" i="208"/>
  <c r="M1647" i="208"/>
  <c r="M1659" i="208"/>
  <c r="M1671" i="208"/>
  <c r="M1683" i="208"/>
  <c r="M1695" i="208"/>
  <c r="M1707" i="208"/>
  <c r="M1719" i="208"/>
  <c r="M1731" i="208"/>
  <c r="M1743" i="208"/>
  <c r="M1755" i="208"/>
  <c r="M1767" i="208"/>
  <c r="M1779" i="208"/>
  <c r="M1791" i="208"/>
  <c r="M1803" i="208"/>
  <c r="M1815" i="208"/>
  <c r="M1827" i="208"/>
  <c r="M1839" i="208"/>
  <c r="M1851" i="208"/>
  <c r="M1863" i="208"/>
  <c r="M1875" i="208"/>
  <c r="M1887" i="208"/>
  <c r="M1899" i="208"/>
  <c r="M371" i="208"/>
  <c r="M443" i="208"/>
  <c r="M515" i="208"/>
  <c r="M587" i="208"/>
  <c r="M659" i="208"/>
  <c r="M708" i="208"/>
  <c r="M756" i="208"/>
  <c r="M804" i="208"/>
  <c r="M852" i="208"/>
  <c r="M900" i="208"/>
  <c r="M948" i="208"/>
  <c r="M996" i="208"/>
  <c r="M1044" i="208"/>
  <c r="M1092" i="208"/>
  <c r="M1140" i="208"/>
  <c r="M1188" i="208"/>
  <c r="M1236" i="208"/>
  <c r="M1275" i="208"/>
  <c r="M1305" i="208"/>
  <c r="M1324" i="208"/>
  <c r="M1336" i="208"/>
  <c r="M1348" i="208"/>
  <c r="M1360" i="208"/>
  <c r="M1372" i="208"/>
  <c r="M1384" i="208"/>
  <c r="M1396" i="208"/>
  <c r="M1408" i="208"/>
  <c r="M1420" i="208"/>
  <c r="M1432" i="208"/>
  <c r="M1444" i="208"/>
  <c r="M1456" i="208"/>
  <c r="M1468" i="208"/>
  <c r="M1480" i="208"/>
  <c r="M1492" i="208"/>
  <c r="M1504" i="208"/>
  <c r="M1516" i="208"/>
  <c r="M1528" i="208"/>
  <c r="M1540" i="208"/>
  <c r="M1552" i="208"/>
  <c r="M1564" i="208"/>
  <c r="M1576" i="208"/>
  <c r="M1588" i="208"/>
  <c r="M1600" i="208"/>
  <c r="M1612" i="208"/>
  <c r="M1624" i="208"/>
  <c r="M1636" i="208"/>
  <c r="M1648" i="208"/>
  <c r="M1660" i="208"/>
  <c r="M1672" i="208"/>
  <c r="M1684" i="208"/>
  <c r="M1696" i="208"/>
  <c r="M1708" i="208"/>
  <c r="M1720" i="208"/>
  <c r="M1732" i="208"/>
  <c r="M1744" i="208"/>
  <c r="M1756" i="208"/>
  <c r="M1768" i="208"/>
  <c r="M1780" i="208"/>
  <c r="M1792" i="208"/>
  <c r="M1804" i="208"/>
  <c r="M1816" i="208"/>
  <c r="M1828" i="208"/>
  <c r="M1840" i="208"/>
  <c r="M1852" i="208"/>
  <c r="M1864" i="208"/>
  <c r="M1876" i="208"/>
  <c r="M1888" i="208"/>
  <c r="M1900" i="208"/>
  <c r="M1912" i="208"/>
  <c r="M1924" i="208"/>
  <c r="M1936" i="208"/>
  <c r="M1948" i="208"/>
  <c r="M348" i="208"/>
  <c r="M744" i="208"/>
  <c r="M1032" i="208"/>
  <c r="M1296" i="208"/>
  <c r="M1381" i="208"/>
  <c r="M1453" i="208"/>
  <c r="M1525" i="208"/>
  <c r="M1597" i="208"/>
  <c r="M1669" i="208"/>
  <c r="M1741" i="208"/>
  <c r="M1800" i="208"/>
  <c r="M1836" i="208"/>
  <c r="M1872" i="208"/>
  <c r="M1908" i="208"/>
  <c r="M1935" i="208"/>
  <c r="M1961" i="208"/>
  <c r="M1985" i="208"/>
  <c r="M2009" i="208"/>
  <c r="M2033" i="208"/>
  <c r="M2057" i="208"/>
  <c r="M2081" i="208"/>
  <c r="M2100" i="208"/>
  <c r="M2115" i="208"/>
  <c r="M2127" i="208"/>
  <c r="M2139" i="208"/>
  <c r="M2151" i="208"/>
  <c r="M2163" i="208"/>
  <c r="M2175" i="208"/>
  <c r="M2187" i="208"/>
  <c r="M2199" i="208"/>
  <c r="M2211" i="208"/>
  <c r="M2223" i="208"/>
  <c r="M2235" i="208"/>
  <c r="M2247" i="208"/>
  <c r="M2259" i="208"/>
  <c r="M2271" i="208"/>
  <c r="M2283" i="208"/>
  <c r="M2295" i="208"/>
  <c r="M2307" i="208"/>
  <c r="M2319" i="208"/>
  <c r="M2331" i="208"/>
  <c r="M2343" i="208"/>
  <c r="M2355" i="208"/>
  <c r="M2367" i="208"/>
  <c r="M2379" i="208"/>
  <c r="M2391" i="208"/>
  <c r="M2403" i="208"/>
  <c r="M2415" i="208"/>
  <c r="M2427" i="208"/>
  <c r="M2439" i="208"/>
  <c r="M2451" i="208"/>
  <c r="M2463" i="208"/>
  <c r="M2475" i="208"/>
  <c r="M2487" i="208"/>
  <c r="M2499" i="208"/>
  <c r="M2511" i="208"/>
  <c r="M2523" i="208"/>
  <c r="M2535" i="208"/>
  <c r="M2547" i="208"/>
  <c r="M2559" i="208"/>
  <c r="M2571" i="208"/>
  <c r="M2583" i="208"/>
  <c r="M2595" i="208"/>
  <c r="M2607" i="208"/>
  <c r="M2619" i="208"/>
  <c r="M2631" i="208"/>
  <c r="M2643" i="208"/>
  <c r="M2655" i="208"/>
  <c r="M2667" i="208"/>
  <c r="M2679" i="208"/>
  <c r="M2691" i="208"/>
  <c r="M2703" i="208"/>
  <c r="M2715" i="208"/>
  <c r="M2727" i="208"/>
  <c r="M2739" i="208"/>
  <c r="M2751" i="208"/>
  <c r="M2763" i="208"/>
  <c r="M2775" i="208"/>
  <c r="M2787" i="208"/>
  <c r="M2799" i="208"/>
  <c r="M2811" i="208"/>
  <c r="M2823" i="208"/>
  <c r="M2835" i="208"/>
  <c r="M2847" i="208"/>
  <c r="M2859" i="208"/>
  <c r="M372" i="208"/>
  <c r="M759" i="208"/>
  <c r="M1047" i="208"/>
  <c r="M1307" i="208"/>
  <c r="M1385" i="208"/>
  <c r="M1457" i="208"/>
  <c r="M1529" i="208"/>
  <c r="M1601" i="208"/>
  <c r="M1673" i="208"/>
  <c r="M1745" i="208"/>
  <c r="M1801" i="208"/>
  <c r="M1837" i="208"/>
  <c r="M1873" i="208"/>
  <c r="M1909" i="208"/>
  <c r="M1937" i="208"/>
  <c r="M1964" i="208"/>
  <c r="M1988" i="208"/>
  <c r="M2012" i="208"/>
  <c r="M2036" i="208"/>
  <c r="M2060" i="208"/>
  <c r="M2082" i="208"/>
  <c r="M2101" i="208"/>
  <c r="M2116" i="208"/>
  <c r="M2128" i="208"/>
  <c r="M2140" i="208"/>
  <c r="M2152" i="208"/>
  <c r="M2164" i="208"/>
  <c r="M2176" i="208"/>
  <c r="M2188" i="208"/>
  <c r="M2200" i="208"/>
  <c r="M2212" i="208"/>
  <c r="M2224" i="208"/>
  <c r="M2236" i="208"/>
  <c r="M2248" i="208"/>
  <c r="M2260" i="208"/>
  <c r="M2272" i="208"/>
  <c r="M2284" i="208"/>
  <c r="M2296" i="208"/>
  <c r="M2308" i="208"/>
  <c r="M2320" i="208"/>
  <c r="M2332" i="208"/>
  <c r="M2344" i="208"/>
  <c r="M2356" i="208"/>
  <c r="M2368" i="208"/>
  <c r="M2380" i="208"/>
  <c r="M2392" i="208"/>
  <c r="M2404" i="208"/>
  <c r="M2416" i="208"/>
  <c r="M2428" i="208"/>
  <c r="M2440" i="208"/>
  <c r="M2452" i="208"/>
  <c r="M2464" i="208"/>
  <c r="M2476" i="208"/>
  <c r="M2488" i="208"/>
  <c r="M2500" i="208"/>
  <c r="M2512" i="208"/>
  <c r="M2524" i="208"/>
  <c r="M2536" i="208"/>
  <c r="M2548" i="208"/>
  <c r="M2560" i="208"/>
  <c r="M2572" i="208"/>
  <c r="M2584" i="208"/>
  <c r="M2596" i="208"/>
  <c r="M2608" i="208"/>
  <c r="M2620" i="208"/>
  <c r="M2632" i="208"/>
  <c r="M2644" i="208"/>
  <c r="M2656" i="208"/>
  <c r="M2668" i="208"/>
  <c r="M2680" i="208"/>
  <c r="M2692" i="208"/>
  <c r="M2704" i="208"/>
  <c r="M2716" i="208"/>
  <c r="M2728" i="208"/>
  <c r="M2740" i="208"/>
  <c r="M2752" i="208"/>
  <c r="M2764" i="208"/>
  <c r="M2776" i="208"/>
  <c r="M2788" i="208"/>
  <c r="M2800" i="208"/>
  <c r="M2812" i="208"/>
  <c r="M2824" i="208"/>
  <c r="M2836" i="208"/>
  <c r="M2848" i="208"/>
  <c r="M2860" i="208"/>
  <c r="M420" i="208"/>
  <c r="M792" i="208"/>
  <c r="M1080" i="208"/>
  <c r="M1321" i="208"/>
  <c r="M1393" i="208"/>
  <c r="M1465" i="208"/>
  <c r="M1537" i="208"/>
  <c r="M1609" i="208"/>
  <c r="M1681" i="208"/>
  <c r="M1753" i="208"/>
  <c r="M1805" i="208"/>
  <c r="M1841" i="208"/>
  <c r="M1877" i="208"/>
  <c r="M1911" i="208"/>
  <c r="M1940" i="208"/>
  <c r="M1968" i="208"/>
  <c r="M1992" i="208"/>
  <c r="M2016" i="208"/>
  <c r="M2040" i="208"/>
  <c r="M2064" i="208"/>
  <c r="M2084" i="208"/>
  <c r="M2103" i="208"/>
  <c r="M2117" i="208"/>
  <c r="M2129" i="208"/>
  <c r="M2141" i="208"/>
  <c r="M2153" i="208"/>
  <c r="M2165" i="208"/>
  <c r="M2177" i="208"/>
  <c r="M2189" i="208"/>
  <c r="M2201" i="208"/>
  <c r="M2213" i="208"/>
  <c r="M2225" i="208"/>
  <c r="M2237" i="208"/>
  <c r="M2249" i="208"/>
  <c r="M2261" i="208"/>
  <c r="M2273" i="208"/>
  <c r="M2285" i="208"/>
  <c r="M2297" i="208"/>
  <c r="M2309" i="208"/>
  <c r="M2321" i="208"/>
  <c r="M2333" i="208"/>
  <c r="M2345" i="208"/>
  <c r="M2357" i="208"/>
  <c r="M2369" i="208"/>
  <c r="M2381" i="208"/>
  <c r="M2393" i="208"/>
  <c r="M2405" i="208"/>
  <c r="M2417" i="208"/>
  <c r="M2429" i="208"/>
  <c r="M2441" i="208"/>
  <c r="M2453" i="208"/>
  <c r="M2465" i="208"/>
  <c r="M2477" i="208"/>
  <c r="M2489" i="208"/>
  <c r="M2501" i="208"/>
  <c r="M2513" i="208"/>
  <c r="M2525" i="208"/>
  <c r="M2537" i="208"/>
  <c r="M2549" i="208"/>
  <c r="M2561" i="208"/>
  <c r="M2573" i="208"/>
  <c r="M2585" i="208"/>
  <c r="M2597" i="208"/>
  <c r="M2609" i="208"/>
  <c r="M2621" i="208"/>
  <c r="M2633" i="208"/>
  <c r="M2645" i="208"/>
  <c r="M2657" i="208"/>
  <c r="M2669" i="208"/>
  <c r="M2681" i="208"/>
  <c r="M2693" i="208"/>
  <c r="M2705" i="208"/>
  <c r="M2717" i="208"/>
  <c r="M2729" i="208"/>
  <c r="M2741" i="208"/>
  <c r="M2753" i="208"/>
  <c r="M2765" i="208"/>
  <c r="M2777" i="208"/>
  <c r="M2789" i="208"/>
  <c r="M2801" i="208"/>
  <c r="M2813" i="208"/>
  <c r="M2825" i="208"/>
  <c r="M2837" i="208"/>
  <c r="M2849" i="208"/>
  <c r="M2861" i="208"/>
  <c r="M444" i="208"/>
  <c r="M807" i="208"/>
  <c r="M1095" i="208"/>
  <c r="M1325" i="208"/>
  <c r="M1397" i="208"/>
  <c r="M1469" i="208"/>
  <c r="M1541" i="208"/>
  <c r="M1613" i="208"/>
  <c r="M1685" i="208"/>
  <c r="M1757" i="208"/>
  <c r="M1808" i="208"/>
  <c r="M1844" i="208"/>
  <c r="M1880" i="208"/>
  <c r="M1913" i="208"/>
  <c r="M1944" i="208"/>
  <c r="M1969" i="208"/>
  <c r="M1993" i="208"/>
  <c r="M2017" i="208"/>
  <c r="M2041" i="208"/>
  <c r="M2065" i="208"/>
  <c r="M2087" i="208"/>
  <c r="M2104" i="208"/>
  <c r="M2118" i="208"/>
  <c r="M2130" i="208"/>
  <c r="M2142" i="208"/>
  <c r="M2154" i="208"/>
  <c r="M2166" i="208"/>
  <c r="M2178" i="208"/>
  <c r="M2190" i="208"/>
  <c r="M2202" i="208"/>
  <c r="M2214" i="208"/>
  <c r="M2226" i="208"/>
  <c r="M2238" i="208"/>
  <c r="M2250" i="208"/>
  <c r="M2262" i="208"/>
  <c r="M2274" i="208"/>
  <c r="M2286" i="208"/>
  <c r="M2298" i="208"/>
  <c r="M2310" i="208"/>
  <c r="M2322" i="208"/>
  <c r="M2334" i="208"/>
  <c r="M2346" i="208"/>
  <c r="M2358" i="208"/>
  <c r="M2370" i="208"/>
  <c r="M2382" i="208"/>
  <c r="M2394" i="208"/>
  <c r="M2406" i="208"/>
  <c r="M2418" i="208"/>
  <c r="M2430" i="208"/>
  <c r="M2442" i="208"/>
  <c r="M2454" i="208"/>
  <c r="M2466" i="208"/>
  <c r="M2478" i="208"/>
  <c r="M2490" i="208"/>
  <c r="M2502" i="208"/>
  <c r="M2514" i="208"/>
  <c r="M2526" i="208"/>
  <c r="M2538" i="208"/>
  <c r="M2550" i="208"/>
  <c r="M2562" i="208"/>
  <c r="M2574" i="208"/>
  <c r="M2586" i="208"/>
  <c r="M2598" i="208"/>
  <c r="M2610" i="208"/>
  <c r="M2622" i="208"/>
  <c r="M2634" i="208"/>
  <c r="M2646" i="208"/>
  <c r="M2658" i="208"/>
  <c r="M2670" i="208"/>
  <c r="M2682" i="208"/>
  <c r="M2694" i="208"/>
  <c r="M2706" i="208"/>
  <c r="M2718" i="208"/>
  <c r="M2730" i="208"/>
  <c r="M2742" i="208"/>
  <c r="M2754" i="208"/>
  <c r="M2766" i="208"/>
  <c r="M2778" i="208"/>
  <c r="M2790" i="208"/>
  <c r="M2802" i="208"/>
  <c r="M2814" i="208"/>
  <c r="M2826" i="208"/>
  <c r="M2838" i="208"/>
  <c r="M2850" i="208"/>
  <c r="M2862" i="208"/>
  <c r="M2874" i="208"/>
  <c r="M492" i="208"/>
  <c r="M840" i="208"/>
  <c r="M1128" i="208"/>
  <c r="M1333" i="208"/>
  <c r="M1405" i="208"/>
  <c r="M1477" i="208"/>
  <c r="M1549" i="208"/>
  <c r="M1621" i="208"/>
  <c r="M1693" i="208"/>
  <c r="M1765" i="208"/>
  <c r="M1812" i="208"/>
  <c r="M1848" i="208"/>
  <c r="M1884" i="208"/>
  <c r="M1916" i="208"/>
  <c r="M1945" i="208"/>
  <c r="M1971" i="208"/>
  <c r="M1995" i="208"/>
  <c r="M2019" i="208"/>
  <c r="M2043" i="208"/>
  <c r="M2067" i="208"/>
  <c r="M2088" i="208"/>
  <c r="M2105" i="208"/>
  <c r="M2119" i="208"/>
  <c r="M2131" i="208"/>
  <c r="M2143" i="208"/>
  <c r="M2155" i="208"/>
  <c r="M2167" i="208"/>
  <c r="M2179" i="208"/>
  <c r="M2191" i="208"/>
  <c r="M2203" i="208"/>
  <c r="M2215" i="208"/>
  <c r="M2227" i="208"/>
  <c r="M2239" i="208"/>
  <c r="M2251" i="208"/>
  <c r="M2263" i="208"/>
  <c r="M2275" i="208"/>
  <c r="M2287" i="208"/>
  <c r="M2299" i="208"/>
  <c r="M2311" i="208"/>
  <c r="M2323" i="208"/>
  <c r="M2335" i="208"/>
  <c r="M2347" i="208"/>
  <c r="M2359" i="208"/>
  <c r="M2371" i="208"/>
  <c r="M2383" i="208"/>
  <c r="M2395" i="208"/>
  <c r="M2407" i="208"/>
  <c r="M2419" i="208"/>
  <c r="M2431" i="208"/>
  <c r="M2443" i="208"/>
  <c r="M2455" i="208"/>
  <c r="M2467" i="208"/>
  <c r="M2479" i="208"/>
  <c r="M2491" i="208"/>
  <c r="M2503" i="208"/>
  <c r="M2515" i="208"/>
  <c r="M2527" i="208"/>
  <c r="M2539" i="208"/>
  <c r="M2551" i="208"/>
  <c r="M2563" i="208"/>
  <c r="M2575" i="208"/>
  <c r="M2587" i="208"/>
  <c r="M2599" i="208"/>
  <c r="M2611" i="208"/>
  <c r="M2623" i="208"/>
  <c r="M2635" i="208"/>
  <c r="M2647" i="208"/>
  <c r="M2659" i="208"/>
  <c r="M2671" i="208"/>
  <c r="M2683" i="208"/>
  <c r="M2695" i="208"/>
  <c r="M2707" i="208"/>
  <c r="M2719" i="208"/>
  <c r="M2731" i="208"/>
  <c r="M2743" i="208"/>
  <c r="M2755" i="208"/>
  <c r="M2767" i="208"/>
  <c r="M2779" i="208"/>
  <c r="M2791" i="208"/>
  <c r="M2803" i="208"/>
  <c r="M2815" i="208"/>
  <c r="M2827" i="208"/>
  <c r="M2839" i="208"/>
  <c r="M2851" i="208"/>
  <c r="M2863" i="208"/>
  <c r="M2875" i="208"/>
  <c r="M516" i="208"/>
  <c r="M855" i="208"/>
  <c r="M1143" i="208"/>
  <c r="M1337" i="208"/>
  <c r="M1409" i="208"/>
  <c r="M1481" i="208"/>
  <c r="M1553" i="208"/>
  <c r="M1625" i="208"/>
  <c r="M1697" i="208"/>
  <c r="M1769" i="208"/>
  <c r="M1813" i="208"/>
  <c r="M1849" i="208"/>
  <c r="M1885" i="208"/>
  <c r="M1920" i="208"/>
  <c r="M1947" i="208"/>
  <c r="M1972" i="208"/>
  <c r="M1996" i="208"/>
  <c r="M2020" i="208"/>
  <c r="M2044" i="208"/>
  <c r="M2068" i="208"/>
  <c r="M2089" i="208"/>
  <c r="M2106" i="208"/>
  <c r="M2120" i="208"/>
  <c r="M2132" i="208"/>
  <c r="M2144" i="208"/>
  <c r="M2156" i="208"/>
  <c r="M2168" i="208"/>
  <c r="M2180" i="208"/>
  <c r="M2192" i="208"/>
  <c r="M2204" i="208"/>
  <c r="M2216" i="208"/>
  <c r="M2228" i="208"/>
  <c r="M2240" i="208"/>
  <c r="M2252" i="208"/>
  <c r="M2264" i="208"/>
  <c r="M2276" i="208"/>
  <c r="M2288" i="208"/>
  <c r="M2300" i="208"/>
  <c r="M2312" i="208"/>
  <c r="M2324" i="208"/>
  <c r="M2336" i="208"/>
  <c r="M2348" i="208"/>
  <c r="M2360" i="208"/>
  <c r="M2372" i="208"/>
  <c r="M2384" i="208"/>
  <c r="M2396" i="208"/>
  <c r="M2408" i="208"/>
  <c r="M2420" i="208"/>
  <c r="M2432" i="208"/>
  <c r="M2444" i="208"/>
  <c r="M2456" i="208"/>
  <c r="M2468" i="208"/>
  <c r="M2480" i="208"/>
  <c r="M2492" i="208"/>
  <c r="M2504" i="208"/>
  <c r="M2516" i="208"/>
  <c r="M2528" i="208"/>
  <c r="M2540" i="208"/>
  <c r="M2552" i="208"/>
  <c r="M2564" i="208"/>
  <c r="M2576" i="208"/>
  <c r="M2588" i="208"/>
  <c r="M2600" i="208"/>
  <c r="M2612" i="208"/>
  <c r="M2624" i="208"/>
  <c r="M2636" i="208"/>
  <c r="M2648" i="208"/>
  <c r="M2660" i="208"/>
  <c r="M2672" i="208"/>
  <c r="M2684" i="208"/>
  <c r="M2696" i="208"/>
  <c r="M2708" i="208"/>
  <c r="M2720" i="208"/>
  <c r="M2732" i="208"/>
  <c r="M2744" i="208"/>
  <c r="M2756" i="208"/>
  <c r="M2768" i="208"/>
  <c r="M2780" i="208"/>
  <c r="M2792" i="208"/>
  <c r="M2804" i="208"/>
  <c r="M2816" i="208"/>
  <c r="M2828" i="208"/>
  <c r="M2840" i="208"/>
  <c r="M2852" i="208"/>
  <c r="M2864" i="208"/>
  <c r="M564" i="208"/>
  <c r="M888" i="208"/>
  <c r="M1176" i="208"/>
  <c r="M1345" i="208"/>
  <c r="M1417" i="208"/>
  <c r="M1489" i="208"/>
  <c r="M1561" i="208"/>
  <c r="M1633" i="208"/>
  <c r="M1705" i="208"/>
  <c r="M1777" i="208"/>
  <c r="M1817" i="208"/>
  <c r="M1853" i="208"/>
  <c r="M1889" i="208"/>
  <c r="M1921" i="208"/>
  <c r="M1949" i="208"/>
  <c r="M1973" i="208"/>
  <c r="M1997" i="208"/>
  <c r="M2021" i="208"/>
  <c r="M2045" i="208"/>
  <c r="M2069" i="208"/>
  <c r="M2091" i="208"/>
  <c r="M2108" i="208"/>
  <c r="M2121" i="208"/>
  <c r="M2133" i="208"/>
  <c r="M2145" i="208"/>
  <c r="M2157" i="208"/>
  <c r="M2169" i="208"/>
  <c r="M2181" i="208"/>
  <c r="M2193" i="208"/>
  <c r="M2205" i="208"/>
  <c r="M2217" i="208"/>
  <c r="M2229" i="208"/>
  <c r="M2241" i="208"/>
  <c r="M2253" i="208"/>
  <c r="M2265" i="208"/>
  <c r="M2277" i="208"/>
  <c r="M2289" i="208"/>
  <c r="M2301" i="208"/>
  <c r="M2313" i="208"/>
  <c r="M2325" i="208"/>
  <c r="M2337" i="208"/>
  <c r="M2349" i="208"/>
  <c r="M2361" i="208"/>
  <c r="M2373" i="208"/>
  <c r="M2385" i="208"/>
  <c r="M2397" i="208"/>
  <c r="M2409" i="208"/>
  <c r="M2421" i="208"/>
  <c r="M2433" i="208"/>
  <c r="M2445" i="208"/>
  <c r="M2457" i="208"/>
  <c r="M2469" i="208"/>
  <c r="M2481" i="208"/>
  <c r="M2493" i="208"/>
  <c r="M2505" i="208"/>
  <c r="M2517" i="208"/>
  <c r="M2529" i="208"/>
  <c r="M2541" i="208"/>
  <c r="M2553" i="208"/>
  <c r="M2565" i="208"/>
  <c r="M2577" i="208"/>
  <c r="M2589" i="208"/>
  <c r="M2601" i="208"/>
  <c r="M2613" i="208"/>
  <c r="M2625" i="208"/>
  <c r="M2637" i="208"/>
  <c r="M2649" i="208"/>
  <c r="M2661" i="208"/>
  <c r="M2673" i="208"/>
  <c r="M2685" i="208"/>
  <c r="M2697" i="208"/>
  <c r="M2709" i="208"/>
  <c r="M2721" i="208"/>
  <c r="M2733" i="208"/>
  <c r="M2745" i="208"/>
  <c r="M2757" i="208"/>
  <c r="M2769" i="208"/>
  <c r="M2781" i="208"/>
  <c r="M2793" i="208"/>
  <c r="M2805" i="208"/>
  <c r="M2817" i="208"/>
  <c r="M2829" i="208"/>
  <c r="M2841" i="208"/>
  <c r="M2853" i="208"/>
  <c r="M2865" i="208"/>
  <c r="M588" i="208"/>
  <c r="M903" i="208"/>
  <c r="M1191" i="208"/>
  <c r="M1349" i="208"/>
  <c r="M1421" i="208"/>
  <c r="M1493" i="208"/>
  <c r="M1565" i="208"/>
  <c r="M1637" i="208"/>
  <c r="M1709" i="208"/>
  <c r="M1781" i="208"/>
  <c r="M1820" i="208"/>
  <c r="M1856" i="208"/>
  <c r="M1892" i="208"/>
  <c r="M1923" i="208"/>
  <c r="M1952" i="208"/>
  <c r="M1976" i="208"/>
  <c r="M2000" i="208"/>
  <c r="M2024" i="208"/>
  <c r="M2048" i="208"/>
  <c r="M2072" i="208"/>
  <c r="M2092" i="208"/>
  <c r="M2109" i="208"/>
  <c r="M2122" i="208"/>
  <c r="M2134" i="208"/>
  <c r="M2146" i="208"/>
  <c r="M2158" i="208"/>
  <c r="M2170" i="208"/>
  <c r="M2182" i="208"/>
  <c r="M2194" i="208"/>
  <c r="M2206" i="208"/>
  <c r="M2218" i="208"/>
  <c r="M2230" i="208"/>
  <c r="M2242" i="208"/>
  <c r="M2254" i="208"/>
  <c r="M2266" i="208"/>
  <c r="M2278" i="208"/>
  <c r="M2290" i="208"/>
  <c r="M2302" i="208"/>
  <c r="M2314" i="208"/>
  <c r="M2326" i="208"/>
  <c r="M2338" i="208"/>
  <c r="M2350" i="208"/>
  <c r="M2362" i="208"/>
  <c r="M2374" i="208"/>
  <c r="M2386" i="208"/>
  <c r="M2398" i="208"/>
  <c r="M2410" i="208"/>
  <c r="M2422" i="208"/>
  <c r="M2434" i="208"/>
  <c r="M2446" i="208"/>
  <c r="M2458" i="208"/>
  <c r="M2470" i="208"/>
  <c r="M2482" i="208"/>
  <c r="M2494" i="208"/>
  <c r="M2506" i="208"/>
  <c r="M2518" i="208"/>
  <c r="M2530" i="208"/>
  <c r="M2542" i="208"/>
  <c r="M2554" i="208"/>
  <c r="M2566" i="208"/>
  <c r="M2578" i="208"/>
  <c r="M2590" i="208"/>
  <c r="M2602" i="208"/>
  <c r="M2614" i="208"/>
  <c r="M2626" i="208"/>
  <c r="M2638" i="208"/>
  <c r="M2650" i="208"/>
  <c r="M2662" i="208"/>
  <c r="M2674" i="208"/>
  <c r="M2686" i="208"/>
  <c r="M2698" i="208"/>
  <c r="M2710" i="208"/>
  <c r="M2722" i="208"/>
  <c r="M2734" i="208"/>
  <c r="M2746" i="208"/>
  <c r="M2758" i="208"/>
  <c r="M636" i="208"/>
  <c r="M936" i="208"/>
  <c r="M1224" i="208"/>
  <c r="M1357" i="208"/>
  <c r="M1429" i="208"/>
  <c r="M1501" i="208"/>
  <c r="M1573" i="208"/>
  <c r="M1645" i="208"/>
  <c r="M1717" i="208"/>
  <c r="M1784" i="208"/>
  <c r="M1824" i="208"/>
  <c r="M1860" i="208"/>
  <c r="M1896" i="208"/>
  <c r="M1925" i="208"/>
  <c r="M1956" i="208"/>
  <c r="M1980" i="208"/>
  <c r="M2004" i="208"/>
  <c r="M2028" i="208"/>
  <c r="M2052" i="208"/>
  <c r="M2076" i="208"/>
  <c r="M2093" i="208"/>
  <c r="M2111" i="208"/>
  <c r="M2123" i="208"/>
  <c r="M2135" i="208"/>
  <c r="M2147" i="208"/>
  <c r="M2159" i="208"/>
  <c r="M2171" i="208"/>
  <c r="M2183" i="208"/>
  <c r="M2195" i="208"/>
  <c r="M2207" i="208"/>
  <c r="M2219" i="208"/>
  <c r="M2231" i="208"/>
  <c r="M2243" i="208"/>
  <c r="M2255" i="208"/>
  <c r="M2267" i="208"/>
  <c r="M2279" i="208"/>
  <c r="M2291" i="208"/>
  <c r="M2303" i="208"/>
  <c r="M2315" i="208"/>
  <c r="M2327" i="208"/>
  <c r="M2339" i="208"/>
  <c r="M2351" i="208"/>
  <c r="M2363" i="208"/>
  <c r="M2375" i="208"/>
  <c r="M2387" i="208"/>
  <c r="M2399" i="208"/>
  <c r="M2411" i="208"/>
  <c r="M2423" i="208"/>
  <c r="M2435" i="208"/>
  <c r="M2447" i="208"/>
  <c r="M2459" i="208"/>
  <c r="M2471" i="208"/>
  <c r="M2483" i="208"/>
  <c r="M2495" i="208"/>
  <c r="M2507" i="208"/>
  <c r="M2519" i="208"/>
  <c r="M2531" i="208"/>
  <c r="M2543" i="208"/>
  <c r="M2555" i="208"/>
  <c r="M2567" i="208"/>
  <c r="M2579" i="208"/>
  <c r="M2591" i="208"/>
  <c r="M2603" i="208"/>
  <c r="M2615" i="208"/>
  <c r="M2627" i="208"/>
  <c r="M2639" i="208"/>
  <c r="M2651" i="208"/>
  <c r="M2663" i="208"/>
  <c r="M2675" i="208"/>
  <c r="M2687" i="208"/>
  <c r="M2699" i="208"/>
  <c r="M2711" i="208"/>
  <c r="M2723" i="208"/>
  <c r="M2735" i="208"/>
  <c r="M2747" i="208"/>
  <c r="M2759" i="208"/>
  <c r="M2771" i="208"/>
  <c r="M2783" i="208"/>
  <c r="M2795" i="208"/>
  <c r="M2807" i="208"/>
  <c r="M2819" i="208"/>
  <c r="M660" i="208"/>
  <c r="M951" i="208"/>
  <c r="M1239" i="208"/>
  <c r="M1361" i="208"/>
  <c r="M1433" i="208"/>
  <c r="M1505" i="208"/>
  <c r="M1577" i="208"/>
  <c r="M1649" i="208"/>
  <c r="M1721" i="208"/>
  <c r="M1789" i="208"/>
  <c r="M1825" i="208"/>
  <c r="M1861" i="208"/>
  <c r="M1897" i="208"/>
  <c r="M1928" i="208"/>
  <c r="M1957" i="208"/>
  <c r="M1981" i="208"/>
  <c r="M2005" i="208"/>
  <c r="M2029" i="208"/>
  <c r="M2053" i="208"/>
  <c r="M2077" i="208"/>
  <c r="M2094" i="208"/>
  <c r="M2112" i="208"/>
  <c r="M2124" i="208"/>
  <c r="M2136" i="208"/>
  <c r="M2148" i="208"/>
  <c r="M2160" i="208"/>
  <c r="M2172" i="208"/>
  <c r="M2184" i="208"/>
  <c r="M2196" i="208"/>
  <c r="M2208" i="208"/>
  <c r="M2220" i="208"/>
  <c r="M2232" i="208"/>
  <c r="M2244" i="208"/>
  <c r="M2256" i="208"/>
  <c r="M2268" i="208"/>
  <c r="M2280" i="208"/>
  <c r="M2292" i="208"/>
  <c r="M2304" i="208"/>
  <c r="M2316" i="208"/>
  <c r="M2328" i="208"/>
  <c r="M2340" i="208"/>
  <c r="M2352" i="208"/>
  <c r="M2364" i="208"/>
  <c r="M2376" i="208"/>
  <c r="M2388" i="208"/>
  <c r="M2400" i="208"/>
  <c r="M2412" i="208"/>
  <c r="M2424" i="208"/>
  <c r="M2436" i="208"/>
  <c r="M2448" i="208"/>
  <c r="M2460" i="208"/>
  <c r="M2472" i="208"/>
  <c r="M2484" i="208"/>
  <c r="M2496" i="208"/>
  <c r="M2508" i="208"/>
  <c r="M2520" i="208"/>
  <c r="M2532" i="208"/>
  <c r="M2544" i="208"/>
  <c r="M2556" i="208"/>
  <c r="M2568" i="208"/>
  <c r="M2580" i="208"/>
  <c r="M2592" i="208"/>
  <c r="M2604" i="208"/>
  <c r="M2616" i="208"/>
  <c r="M2628" i="208"/>
  <c r="M2640" i="208"/>
  <c r="M2652" i="208"/>
  <c r="M2664" i="208"/>
  <c r="M2676" i="208"/>
  <c r="M2688" i="208"/>
  <c r="M2700" i="208"/>
  <c r="M2712" i="208"/>
  <c r="M2724" i="208"/>
  <c r="M2736" i="208"/>
  <c r="M2748" i="208"/>
  <c r="M2760" i="208"/>
  <c r="M2772" i="208"/>
  <c r="M2784" i="208"/>
  <c r="M2796" i="208"/>
  <c r="M2808" i="208"/>
  <c r="M2820" i="208"/>
  <c r="M696" i="208"/>
  <c r="M984" i="208"/>
  <c r="M1269" i="208"/>
  <c r="M1369" i="208"/>
  <c r="M1441" i="208"/>
  <c r="M1513" i="208"/>
  <c r="M1585" i="208"/>
  <c r="M1657" i="208"/>
  <c r="M1729" i="208"/>
  <c r="M1793" i="208"/>
  <c r="M1829" i="208"/>
  <c r="M1865" i="208"/>
  <c r="M1901" i="208"/>
  <c r="M1932" i="208"/>
  <c r="M1959" i="208"/>
  <c r="M1983" i="208"/>
  <c r="M2007" i="208"/>
  <c r="M2031" i="208"/>
  <c r="M2055" i="208"/>
  <c r="M2079" i="208"/>
  <c r="M2096" i="208"/>
  <c r="M2113" i="208"/>
  <c r="M2125" i="208"/>
  <c r="M2137" i="208"/>
  <c r="M2149" i="208"/>
  <c r="M2161" i="208"/>
  <c r="M2173" i="208"/>
  <c r="M2185" i="208"/>
  <c r="M2197" i="208"/>
  <c r="M2209" i="208"/>
  <c r="M2221" i="208"/>
  <c r="M2233" i="208"/>
  <c r="M2245" i="208"/>
  <c r="M2257" i="208"/>
  <c r="M2269" i="208"/>
  <c r="M2281" i="208"/>
  <c r="M2293" i="208"/>
  <c r="M2305" i="208"/>
  <c r="M2317" i="208"/>
  <c r="M2329" i="208"/>
  <c r="M2341" i="208"/>
  <c r="M2353" i="208"/>
  <c r="M2365" i="208"/>
  <c r="M2377" i="208"/>
  <c r="M2389" i="208"/>
  <c r="M2401" i="208"/>
  <c r="M2413" i="208"/>
  <c r="M2425" i="208"/>
  <c r="M2437" i="208"/>
  <c r="M2449" i="208"/>
  <c r="M2461" i="208"/>
  <c r="M2473" i="208"/>
  <c r="M2485" i="208"/>
  <c r="M2497" i="208"/>
  <c r="M2509" i="208"/>
  <c r="M2521" i="208"/>
  <c r="M2533" i="208"/>
  <c r="M2545" i="208"/>
  <c r="M2557" i="208"/>
  <c r="M2569" i="208"/>
  <c r="M2581" i="208"/>
  <c r="M2593" i="208"/>
  <c r="M2605" i="208"/>
  <c r="M2617" i="208"/>
  <c r="M2629" i="208"/>
  <c r="M2641" i="208"/>
  <c r="M2653" i="208"/>
  <c r="M2665" i="208"/>
  <c r="M2677" i="208"/>
  <c r="M2689" i="208"/>
  <c r="M2701" i="208"/>
  <c r="M2713" i="208"/>
  <c r="M2725" i="208"/>
  <c r="M2737" i="208"/>
  <c r="M2749" i="208"/>
  <c r="M2761" i="208"/>
  <c r="M2773" i="208"/>
  <c r="M2785" i="208"/>
  <c r="M2797" i="208"/>
  <c r="M2809" i="208"/>
  <c r="M2821" i="208"/>
  <c r="M2833" i="208"/>
  <c r="M2845" i="208"/>
  <c r="M2996" i="208"/>
  <c r="M2935" i="208"/>
  <c r="M2992" i="208"/>
  <c r="M2980" i="208"/>
  <c r="M2968" i="208"/>
  <c r="M2956" i="208"/>
  <c r="M2944" i="208"/>
  <c r="M2932" i="208"/>
  <c r="M2920" i="208"/>
  <c r="M2908" i="208"/>
  <c r="M2896" i="208"/>
  <c r="M2884" i="208"/>
  <c r="M2870" i="208"/>
  <c r="M2843" i="208"/>
  <c r="M2786" i="208"/>
  <c r="M2666" i="208"/>
  <c r="M2522" i="208"/>
  <c r="M2378" i="208"/>
  <c r="M2234" i="208"/>
  <c r="M2080" i="208"/>
  <c r="M1661" i="208"/>
  <c r="M2984" i="208"/>
  <c r="M2948" i="208"/>
  <c r="M2912" i="208"/>
  <c r="M2714" i="208"/>
  <c r="M2995" i="208"/>
  <c r="M2959" i="208"/>
  <c r="M2911" i="208"/>
  <c r="M2873" i="208"/>
  <c r="M2702" i="208"/>
  <c r="M2270" i="208"/>
  <c r="M2991" i="208"/>
  <c r="M2979" i="208"/>
  <c r="M2967" i="208"/>
  <c r="M2955" i="208"/>
  <c r="M2943" i="208"/>
  <c r="M2931" i="208"/>
  <c r="M2919" i="208"/>
  <c r="M2907" i="208"/>
  <c r="M2895" i="208"/>
  <c r="M2883" i="208"/>
  <c r="M2869" i="208"/>
  <c r="M2842" i="208"/>
  <c r="M2782" i="208"/>
  <c r="M2654" i="208"/>
  <c r="M2510" i="208"/>
  <c r="M2366" i="208"/>
  <c r="M2222" i="208"/>
  <c r="M2056" i="208"/>
  <c r="M1589" i="208"/>
  <c r="M2978" i="208"/>
  <c r="M2930" i="208"/>
  <c r="M2894" i="208"/>
  <c r="M2834" i="208"/>
  <c r="M2354" i="208"/>
  <c r="M1517" i="208"/>
  <c r="M2989" i="208"/>
  <c r="M2941" i="208"/>
  <c r="M2905" i="208"/>
  <c r="M2832" i="208"/>
  <c r="M2630" i="208"/>
  <c r="M2342" i="208"/>
  <c r="M1445" i="208"/>
  <c r="M3000" i="208"/>
  <c r="M2988" i="208"/>
  <c r="M2976" i="208"/>
  <c r="M2964" i="208"/>
  <c r="M2952" i="208"/>
  <c r="M2940" i="208"/>
  <c r="M2928" i="208"/>
  <c r="M2916" i="208"/>
  <c r="M2904" i="208"/>
  <c r="M2892" i="208"/>
  <c r="M2880" i="208"/>
  <c r="M2866" i="208"/>
  <c r="M2831" i="208"/>
  <c r="M2762" i="208"/>
  <c r="M2618" i="208"/>
  <c r="M2474" i="208"/>
  <c r="M2330" i="208"/>
  <c r="M2186" i="208"/>
  <c r="M1984" i="208"/>
  <c r="M1373" i="208"/>
  <c r="M2990" i="208"/>
  <c r="M2942" i="208"/>
  <c r="M2906" i="208"/>
  <c r="M2868" i="208"/>
  <c r="M2210" i="208"/>
  <c r="M2977" i="208"/>
  <c r="M2929" i="208"/>
  <c r="M2893" i="208"/>
  <c r="M2770" i="208"/>
  <c r="M2008" i="208"/>
  <c r="M2999" i="208"/>
  <c r="M2987" i="208"/>
  <c r="M2975" i="208"/>
  <c r="M2963" i="208"/>
  <c r="M2951" i="208"/>
  <c r="M2939" i="208"/>
  <c r="M2927" i="208"/>
  <c r="M2915" i="208"/>
  <c r="M2903" i="208"/>
  <c r="M2891" i="208"/>
  <c r="M2879" i="208"/>
  <c r="M2858" i="208"/>
  <c r="M2830" i="208"/>
  <c r="M2750" i="208"/>
  <c r="M2606" i="208"/>
  <c r="M2462" i="208"/>
  <c r="M2318" i="208"/>
  <c r="M2174" i="208"/>
  <c r="M1960" i="208"/>
  <c r="M1276" i="208"/>
  <c r="M2966" i="208"/>
  <c r="M2642" i="208"/>
  <c r="M2953" i="208"/>
  <c r="M2881" i="208"/>
  <c r="M2486" i="208"/>
  <c r="M2998" i="208"/>
  <c r="M2986" i="208"/>
  <c r="M2974" i="208"/>
  <c r="M2962" i="208"/>
  <c r="M2950" i="208"/>
  <c r="M2938" i="208"/>
  <c r="M2926" i="208"/>
  <c r="M2914" i="208"/>
  <c r="M2902" i="208"/>
  <c r="M2890" i="208"/>
  <c r="M2878" i="208"/>
  <c r="M2857" i="208"/>
  <c r="M2822" i="208"/>
  <c r="M2738" i="208"/>
  <c r="M2594" i="208"/>
  <c r="M2450" i="208"/>
  <c r="M2306" i="208"/>
  <c r="M2162" i="208"/>
  <c r="M1933" i="208"/>
  <c r="M999" i="208"/>
  <c r="M2954" i="208"/>
  <c r="M2918" i="208"/>
  <c r="M2882" i="208"/>
  <c r="M2774" i="208"/>
  <c r="M2498" i="208"/>
  <c r="M2032" i="208"/>
  <c r="M2965" i="208"/>
  <c r="M2917" i="208"/>
  <c r="M2867" i="208"/>
  <c r="M2198" i="208"/>
  <c r="M2997" i="208"/>
  <c r="M2985" i="208"/>
  <c r="M2973" i="208"/>
  <c r="M2961" i="208"/>
  <c r="M2949" i="208"/>
  <c r="M2937" i="208"/>
  <c r="M2925" i="208"/>
  <c r="M2913" i="208"/>
  <c r="M2901" i="208"/>
  <c r="M2889" i="208"/>
  <c r="M2877" i="208"/>
  <c r="M2856" i="208"/>
  <c r="M2818" i="208"/>
  <c r="M2726" i="208"/>
  <c r="M2582" i="208"/>
  <c r="M2438" i="208"/>
  <c r="M2294" i="208"/>
  <c r="M2150" i="208"/>
  <c r="M1904" i="208"/>
  <c r="M711" i="208"/>
  <c r="M4" i="78" l="1"/>
  <c r="M5" i="78"/>
  <c r="M6" i="78"/>
  <c r="M7" i="78"/>
  <c r="M8" i="78"/>
  <c r="M9" i="78"/>
  <c r="M10" i="78"/>
  <c r="M11" i="78"/>
  <c r="M12" i="78"/>
  <c r="M13" i="78"/>
  <c r="M14" i="78"/>
  <c r="M15" i="78"/>
  <c r="M16" i="78"/>
  <c r="M17" i="78"/>
  <c r="M18" i="78"/>
  <c r="M19" i="78"/>
  <c r="M3" i="78"/>
  <c r="K303" i="208" l="1"/>
  <c r="R303" i="208" s="1"/>
  <c r="K304" i="208"/>
  <c r="R304" i="208" s="1"/>
  <c r="K305" i="208"/>
  <c r="R305" i="208" s="1"/>
  <c r="K306" i="208"/>
  <c r="R306" i="208" s="1"/>
  <c r="K307" i="208"/>
  <c r="R307" i="208" s="1"/>
  <c r="K308" i="208"/>
  <c r="R308" i="208" s="1"/>
  <c r="K309" i="208"/>
  <c r="R309" i="208" s="1"/>
  <c r="K310" i="208"/>
  <c r="R310" i="208" s="1"/>
  <c r="K311" i="208"/>
  <c r="R311" i="208" s="1"/>
  <c r="K312" i="208"/>
  <c r="R312" i="208" s="1"/>
  <c r="K313" i="208"/>
  <c r="R313" i="208" s="1"/>
  <c r="K314" i="208"/>
  <c r="R314" i="208" s="1"/>
  <c r="K315" i="208"/>
  <c r="R315" i="208" s="1"/>
  <c r="K316" i="208"/>
  <c r="R316" i="208" s="1"/>
  <c r="K317" i="208"/>
  <c r="R317" i="208" s="1"/>
  <c r="K318" i="208"/>
  <c r="R318" i="208" s="1"/>
  <c r="K319" i="208"/>
  <c r="R319" i="208" s="1"/>
  <c r="K320" i="208"/>
  <c r="R320" i="208" s="1"/>
  <c r="K321" i="208"/>
  <c r="R321" i="208" s="1"/>
  <c r="K322" i="208"/>
  <c r="R322" i="208" s="1"/>
  <c r="K323" i="208"/>
  <c r="R323" i="208" s="1"/>
  <c r="K324" i="208"/>
  <c r="R324" i="208" s="1"/>
  <c r="K325" i="208"/>
  <c r="R325" i="208" s="1"/>
  <c r="K326" i="208"/>
  <c r="R326" i="208" s="1"/>
  <c r="K327" i="208"/>
  <c r="R327" i="208" s="1"/>
  <c r="K328" i="208"/>
  <c r="R328" i="208" s="1"/>
  <c r="K329" i="208"/>
  <c r="R329" i="208" s="1"/>
  <c r="K330" i="208"/>
  <c r="R330" i="208" s="1"/>
  <c r="K331" i="208"/>
  <c r="R331" i="208" s="1"/>
  <c r="K332" i="208"/>
  <c r="R332" i="208" s="1"/>
  <c r="K333" i="208"/>
  <c r="R333" i="208" s="1"/>
  <c r="K334" i="208"/>
  <c r="R334" i="208" s="1"/>
  <c r="K335" i="208"/>
  <c r="R335" i="208" s="1"/>
  <c r="K336" i="208"/>
  <c r="R336" i="208" s="1"/>
  <c r="K337" i="208"/>
  <c r="R337" i="208" s="1"/>
  <c r="K338" i="208"/>
  <c r="R338" i="208" s="1"/>
  <c r="K339" i="208"/>
  <c r="R339" i="208" s="1"/>
  <c r="K340" i="208"/>
  <c r="R340" i="208" s="1"/>
  <c r="K341" i="208"/>
  <c r="R341" i="208" s="1"/>
  <c r="K342" i="208"/>
  <c r="R342" i="208" s="1"/>
  <c r="K343" i="208"/>
  <c r="R343" i="208" s="1"/>
  <c r="K344" i="208"/>
  <c r="R344" i="208" s="1"/>
  <c r="K345" i="208"/>
  <c r="R345" i="208" s="1"/>
  <c r="K346" i="208"/>
  <c r="R346" i="208" s="1"/>
  <c r="K347" i="208"/>
  <c r="R347" i="208" s="1"/>
  <c r="K348" i="208"/>
  <c r="R348" i="208" s="1"/>
  <c r="K349" i="208"/>
  <c r="R349" i="208" s="1"/>
  <c r="K350" i="208"/>
  <c r="R350" i="208" s="1"/>
  <c r="K351" i="208"/>
  <c r="R351" i="208" s="1"/>
  <c r="K352" i="208"/>
  <c r="R352" i="208" s="1"/>
  <c r="K353" i="208"/>
  <c r="R353" i="208" s="1"/>
  <c r="K354" i="208"/>
  <c r="R354" i="208" s="1"/>
  <c r="K355" i="208"/>
  <c r="R355" i="208" s="1"/>
  <c r="K356" i="208"/>
  <c r="R356" i="208" s="1"/>
  <c r="K357" i="208"/>
  <c r="R357" i="208" s="1"/>
  <c r="K358" i="208"/>
  <c r="R358" i="208" s="1"/>
  <c r="K359" i="208"/>
  <c r="R359" i="208" s="1"/>
  <c r="K360" i="208"/>
  <c r="R360" i="208" s="1"/>
  <c r="K361" i="208"/>
  <c r="R361" i="208" s="1"/>
  <c r="K362" i="208"/>
  <c r="R362" i="208" s="1"/>
  <c r="K363" i="208"/>
  <c r="R363" i="208" s="1"/>
  <c r="K364" i="208"/>
  <c r="R364" i="208" s="1"/>
  <c r="K365" i="208"/>
  <c r="R365" i="208" s="1"/>
  <c r="K366" i="208"/>
  <c r="R366" i="208" s="1"/>
  <c r="K367" i="208"/>
  <c r="R367" i="208" s="1"/>
  <c r="K368" i="208"/>
  <c r="R368" i="208" s="1"/>
  <c r="K369" i="208"/>
  <c r="R369" i="208" s="1"/>
  <c r="K370" i="208"/>
  <c r="R370" i="208" s="1"/>
  <c r="K371" i="208"/>
  <c r="R371" i="208" s="1"/>
  <c r="K372" i="208"/>
  <c r="R372" i="208" s="1"/>
  <c r="K373" i="208"/>
  <c r="R373" i="208" s="1"/>
  <c r="K374" i="208"/>
  <c r="R374" i="208" s="1"/>
  <c r="K375" i="208"/>
  <c r="R375" i="208" s="1"/>
  <c r="K376" i="208"/>
  <c r="R376" i="208" s="1"/>
  <c r="K377" i="208"/>
  <c r="R377" i="208" s="1"/>
  <c r="K378" i="208"/>
  <c r="R378" i="208" s="1"/>
  <c r="K379" i="208"/>
  <c r="R379" i="208" s="1"/>
  <c r="K380" i="208"/>
  <c r="R380" i="208" s="1"/>
  <c r="K381" i="208"/>
  <c r="R381" i="208" s="1"/>
  <c r="K382" i="208"/>
  <c r="R382" i="208" s="1"/>
  <c r="K383" i="208"/>
  <c r="R383" i="208" s="1"/>
  <c r="K384" i="208"/>
  <c r="R384" i="208" s="1"/>
  <c r="K385" i="208"/>
  <c r="R385" i="208" s="1"/>
  <c r="K386" i="208"/>
  <c r="R386" i="208" s="1"/>
  <c r="K387" i="208"/>
  <c r="R387" i="208" s="1"/>
  <c r="K388" i="208"/>
  <c r="R388" i="208" s="1"/>
  <c r="K389" i="208"/>
  <c r="R389" i="208" s="1"/>
  <c r="K390" i="208"/>
  <c r="R390" i="208" s="1"/>
  <c r="K391" i="208"/>
  <c r="R391" i="208" s="1"/>
  <c r="K392" i="208"/>
  <c r="R392" i="208" s="1"/>
  <c r="K393" i="208"/>
  <c r="R393" i="208" s="1"/>
  <c r="K394" i="208"/>
  <c r="R394" i="208" s="1"/>
  <c r="K395" i="208"/>
  <c r="R395" i="208" s="1"/>
  <c r="K396" i="208"/>
  <c r="R396" i="208" s="1"/>
  <c r="K397" i="208"/>
  <c r="R397" i="208" s="1"/>
  <c r="K398" i="208"/>
  <c r="R398" i="208" s="1"/>
  <c r="K399" i="208"/>
  <c r="R399" i="208" s="1"/>
  <c r="K400" i="208"/>
  <c r="R400" i="208" s="1"/>
  <c r="K401" i="208"/>
  <c r="R401" i="208" s="1"/>
  <c r="K402" i="208"/>
  <c r="R402" i="208" s="1"/>
  <c r="K403" i="208"/>
  <c r="R403" i="208" s="1"/>
  <c r="K404" i="208"/>
  <c r="R404" i="208" s="1"/>
  <c r="K405" i="208"/>
  <c r="R405" i="208" s="1"/>
  <c r="K406" i="208"/>
  <c r="R406" i="208" s="1"/>
  <c r="K407" i="208"/>
  <c r="R407" i="208" s="1"/>
  <c r="K408" i="208"/>
  <c r="R408" i="208" s="1"/>
  <c r="K409" i="208"/>
  <c r="R409" i="208" s="1"/>
  <c r="K410" i="208"/>
  <c r="R410" i="208" s="1"/>
  <c r="K411" i="208"/>
  <c r="R411" i="208" s="1"/>
  <c r="K412" i="208"/>
  <c r="R412" i="208" s="1"/>
  <c r="K413" i="208"/>
  <c r="R413" i="208" s="1"/>
  <c r="K414" i="208"/>
  <c r="R414" i="208" s="1"/>
  <c r="K415" i="208"/>
  <c r="R415" i="208" s="1"/>
  <c r="K416" i="208"/>
  <c r="R416" i="208" s="1"/>
  <c r="K417" i="208"/>
  <c r="R417" i="208" s="1"/>
  <c r="K418" i="208"/>
  <c r="R418" i="208" s="1"/>
  <c r="K419" i="208"/>
  <c r="R419" i="208" s="1"/>
  <c r="K420" i="208"/>
  <c r="R420" i="208" s="1"/>
  <c r="K421" i="208"/>
  <c r="R421" i="208" s="1"/>
  <c r="K422" i="208"/>
  <c r="R422" i="208" s="1"/>
  <c r="K423" i="208"/>
  <c r="R423" i="208" s="1"/>
  <c r="K424" i="208"/>
  <c r="R424" i="208" s="1"/>
  <c r="K425" i="208"/>
  <c r="R425" i="208" s="1"/>
  <c r="K426" i="208"/>
  <c r="R426" i="208" s="1"/>
  <c r="K427" i="208"/>
  <c r="R427" i="208" s="1"/>
  <c r="K428" i="208"/>
  <c r="R428" i="208" s="1"/>
  <c r="K429" i="208"/>
  <c r="R429" i="208" s="1"/>
  <c r="K430" i="208"/>
  <c r="R430" i="208" s="1"/>
  <c r="K431" i="208"/>
  <c r="R431" i="208" s="1"/>
  <c r="K432" i="208"/>
  <c r="R432" i="208" s="1"/>
  <c r="K433" i="208"/>
  <c r="R433" i="208" s="1"/>
  <c r="K434" i="208"/>
  <c r="R434" i="208" s="1"/>
  <c r="K435" i="208"/>
  <c r="R435" i="208" s="1"/>
  <c r="K436" i="208"/>
  <c r="R436" i="208" s="1"/>
  <c r="K437" i="208"/>
  <c r="R437" i="208" s="1"/>
  <c r="K438" i="208"/>
  <c r="R438" i="208" s="1"/>
  <c r="K439" i="208"/>
  <c r="R439" i="208" s="1"/>
  <c r="K440" i="208"/>
  <c r="R440" i="208" s="1"/>
  <c r="K441" i="208"/>
  <c r="R441" i="208" s="1"/>
  <c r="K442" i="208"/>
  <c r="R442" i="208" s="1"/>
  <c r="K443" i="208"/>
  <c r="R443" i="208" s="1"/>
  <c r="K444" i="208"/>
  <c r="R444" i="208" s="1"/>
  <c r="K445" i="208"/>
  <c r="R445" i="208" s="1"/>
  <c r="K446" i="208"/>
  <c r="R446" i="208" s="1"/>
  <c r="K447" i="208"/>
  <c r="R447" i="208" s="1"/>
  <c r="K448" i="208"/>
  <c r="R448" i="208" s="1"/>
  <c r="K449" i="208"/>
  <c r="R449" i="208" s="1"/>
  <c r="K450" i="208"/>
  <c r="R450" i="208" s="1"/>
  <c r="K451" i="208"/>
  <c r="R451" i="208" s="1"/>
  <c r="K452" i="208"/>
  <c r="R452" i="208" s="1"/>
  <c r="K453" i="208"/>
  <c r="R453" i="208" s="1"/>
  <c r="K454" i="208"/>
  <c r="R454" i="208" s="1"/>
  <c r="K455" i="208"/>
  <c r="R455" i="208" s="1"/>
  <c r="K456" i="208"/>
  <c r="R456" i="208" s="1"/>
  <c r="K457" i="208"/>
  <c r="R457" i="208" s="1"/>
  <c r="K458" i="208"/>
  <c r="R458" i="208" s="1"/>
  <c r="K459" i="208"/>
  <c r="R459" i="208" s="1"/>
  <c r="K460" i="208"/>
  <c r="R460" i="208" s="1"/>
  <c r="K461" i="208"/>
  <c r="R461" i="208" s="1"/>
  <c r="K462" i="208"/>
  <c r="R462" i="208" s="1"/>
  <c r="K463" i="208"/>
  <c r="R463" i="208" s="1"/>
  <c r="K464" i="208"/>
  <c r="R464" i="208" s="1"/>
  <c r="K465" i="208"/>
  <c r="R465" i="208" s="1"/>
  <c r="K466" i="208"/>
  <c r="R466" i="208" s="1"/>
  <c r="K467" i="208"/>
  <c r="R467" i="208" s="1"/>
  <c r="K468" i="208"/>
  <c r="R468" i="208" s="1"/>
  <c r="K469" i="208"/>
  <c r="R469" i="208" s="1"/>
  <c r="K470" i="208"/>
  <c r="R470" i="208" s="1"/>
  <c r="K471" i="208"/>
  <c r="R471" i="208" s="1"/>
  <c r="K472" i="208"/>
  <c r="R472" i="208" s="1"/>
  <c r="K473" i="208"/>
  <c r="R473" i="208" s="1"/>
  <c r="K474" i="208"/>
  <c r="R474" i="208" s="1"/>
  <c r="K475" i="208"/>
  <c r="R475" i="208" s="1"/>
  <c r="K476" i="208"/>
  <c r="R476" i="208" s="1"/>
  <c r="K477" i="208"/>
  <c r="R477" i="208" s="1"/>
  <c r="K478" i="208"/>
  <c r="R478" i="208" s="1"/>
  <c r="K479" i="208"/>
  <c r="R479" i="208" s="1"/>
  <c r="K480" i="208"/>
  <c r="R480" i="208" s="1"/>
  <c r="K481" i="208"/>
  <c r="R481" i="208" s="1"/>
  <c r="K482" i="208"/>
  <c r="R482" i="208" s="1"/>
  <c r="K483" i="208"/>
  <c r="R483" i="208" s="1"/>
  <c r="K484" i="208"/>
  <c r="R484" i="208" s="1"/>
  <c r="K485" i="208"/>
  <c r="R485" i="208" s="1"/>
  <c r="K486" i="208"/>
  <c r="R486" i="208" s="1"/>
  <c r="K487" i="208"/>
  <c r="R487" i="208" s="1"/>
  <c r="K488" i="208"/>
  <c r="R488" i="208" s="1"/>
  <c r="K489" i="208"/>
  <c r="R489" i="208" s="1"/>
  <c r="K490" i="208"/>
  <c r="R490" i="208" s="1"/>
  <c r="K491" i="208"/>
  <c r="R491" i="208" s="1"/>
  <c r="K492" i="208"/>
  <c r="R492" i="208" s="1"/>
  <c r="K493" i="208"/>
  <c r="R493" i="208" s="1"/>
  <c r="K494" i="208"/>
  <c r="R494" i="208" s="1"/>
  <c r="K495" i="208"/>
  <c r="R495" i="208" s="1"/>
  <c r="K496" i="208"/>
  <c r="R496" i="208" s="1"/>
  <c r="K497" i="208"/>
  <c r="R497" i="208" s="1"/>
  <c r="K498" i="208"/>
  <c r="R498" i="208" s="1"/>
  <c r="K499" i="208"/>
  <c r="R499" i="208" s="1"/>
  <c r="K500" i="208"/>
  <c r="R500" i="208" s="1"/>
  <c r="K501" i="208"/>
  <c r="R501" i="208" s="1"/>
  <c r="K502" i="208"/>
  <c r="R502" i="208" s="1"/>
  <c r="K503" i="208"/>
  <c r="R503" i="208" s="1"/>
  <c r="K504" i="208"/>
  <c r="R504" i="208" s="1"/>
  <c r="K505" i="208"/>
  <c r="R505" i="208" s="1"/>
  <c r="K506" i="208"/>
  <c r="R506" i="208" s="1"/>
  <c r="K507" i="208"/>
  <c r="R507" i="208" s="1"/>
  <c r="K508" i="208"/>
  <c r="R508" i="208" s="1"/>
  <c r="K509" i="208"/>
  <c r="R509" i="208" s="1"/>
  <c r="K510" i="208"/>
  <c r="R510" i="208" s="1"/>
  <c r="K511" i="208"/>
  <c r="R511" i="208" s="1"/>
  <c r="K512" i="208"/>
  <c r="R512" i="208" s="1"/>
  <c r="K513" i="208"/>
  <c r="R513" i="208" s="1"/>
  <c r="K514" i="208"/>
  <c r="R514" i="208" s="1"/>
  <c r="K515" i="208"/>
  <c r="R515" i="208" s="1"/>
  <c r="K516" i="208"/>
  <c r="R516" i="208" s="1"/>
  <c r="K517" i="208"/>
  <c r="R517" i="208" s="1"/>
  <c r="K518" i="208"/>
  <c r="R518" i="208" s="1"/>
  <c r="K519" i="208"/>
  <c r="R519" i="208" s="1"/>
  <c r="K520" i="208"/>
  <c r="R520" i="208" s="1"/>
  <c r="K521" i="208"/>
  <c r="R521" i="208" s="1"/>
  <c r="K522" i="208"/>
  <c r="R522" i="208" s="1"/>
  <c r="K523" i="208"/>
  <c r="R523" i="208" s="1"/>
  <c r="K524" i="208"/>
  <c r="R524" i="208" s="1"/>
  <c r="K525" i="208"/>
  <c r="R525" i="208" s="1"/>
  <c r="K526" i="208"/>
  <c r="R526" i="208" s="1"/>
  <c r="K527" i="208"/>
  <c r="R527" i="208" s="1"/>
  <c r="K528" i="208"/>
  <c r="R528" i="208" s="1"/>
  <c r="K529" i="208"/>
  <c r="R529" i="208" s="1"/>
  <c r="K530" i="208"/>
  <c r="R530" i="208" s="1"/>
  <c r="K531" i="208"/>
  <c r="R531" i="208" s="1"/>
  <c r="K532" i="208"/>
  <c r="R532" i="208" s="1"/>
  <c r="K533" i="208"/>
  <c r="R533" i="208" s="1"/>
  <c r="K534" i="208"/>
  <c r="R534" i="208" s="1"/>
  <c r="K535" i="208"/>
  <c r="R535" i="208" s="1"/>
  <c r="K536" i="208"/>
  <c r="R536" i="208" s="1"/>
  <c r="K537" i="208"/>
  <c r="R537" i="208" s="1"/>
  <c r="K538" i="208"/>
  <c r="R538" i="208" s="1"/>
  <c r="K539" i="208"/>
  <c r="R539" i="208" s="1"/>
  <c r="K540" i="208"/>
  <c r="R540" i="208" s="1"/>
  <c r="K541" i="208"/>
  <c r="R541" i="208" s="1"/>
  <c r="K542" i="208"/>
  <c r="R542" i="208" s="1"/>
  <c r="K543" i="208"/>
  <c r="R543" i="208" s="1"/>
  <c r="K544" i="208"/>
  <c r="R544" i="208" s="1"/>
  <c r="K545" i="208"/>
  <c r="R545" i="208" s="1"/>
  <c r="K546" i="208"/>
  <c r="R546" i="208" s="1"/>
  <c r="K547" i="208"/>
  <c r="R547" i="208" s="1"/>
  <c r="K548" i="208"/>
  <c r="R548" i="208" s="1"/>
  <c r="K549" i="208"/>
  <c r="R549" i="208" s="1"/>
  <c r="K550" i="208"/>
  <c r="R550" i="208" s="1"/>
  <c r="K551" i="208"/>
  <c r="R551" i="208" s="1"/>
  <c r="K552" i="208"/>
  <c r="R552" i="208" s="1"/>
  <c r="K553" i="208"/>
  <c r="R553" i="208" s="1"/>
  <c r="K554" i="208"/>
  <c r="R554" i="208" s="1"/>
  <c r="K555" i="208"/>
  <c r="R555" i="208" s="1"/>
  <c r="K556" i="208"/>
  <c r="R556" i="208" s="1"/>
  <c r="K557" i="208"/>
  <c r="R557" i="208" s="1"/>
  <c r="K558" i="208"/>
  <c r="R558" i="208" s="1"/>
  <c r="K559" i="208"/>
  <c r="R559" i="208" s="1"/>
  <c r="K560" i="208"/>
  <c r="R560" i="208" s="1"/>
  <c r="K561" i="208"/>
  <c r="R561" i="208" s="1"/>
  <c r="K562" i="208"/>
  <c r="R562" i="208" s="1"/>
  <c r="K563" i="208"/>
  <c r="R563" i="208" s="1"/>
  <c r="K564" i="208"/>
  <c r="R564" i="208" s="1"/>
  <c r="K565" i="208"/>
  <c r="R565" i="208" s="1"/>
  <c r="K566" i="208"/>
  <c r="R566" i="208" s="1"/>
  <c r="K567" i="208"/>
  <c r="R567" i="208" s="1"/>
  <c r="K568" i="208"/>
  <c r="R568" i="208" s="1"/>
  <c r="K569" i="208"/>
  <c r="R569" i="208" s="1"/>
  <c r="K570" i="208"/>
  <c r="R570" i="208" s="1"/>
  <c r="K571" i="208"/>
  <c r="R571" i="208" s="1"/>
  <c r="K572" i="208"/>
  <c r="R572" i="208" s="1"/>
  <c r="K573" i="208"/>
  <c r="R573" i="208" s="1"/>
  <c r="K574" i="208"/>
  <c r="R574" i="208" s="1"/>
  <c r="K575" i="208"/>
  <c r="R575" i="208" s="1"/>
  <c r="K576" i="208"/>
  <c r="R576" i="208" s="1"/>
  <c r="K577" i="208"/>
  <c r="R577" i="208" s="1"/>
  <c r="K578" i="208"/>
  <c r="R578" i="208" s="1"/>
  <c r="K579" i="208"/>
  <c r="R579" i="208" s="1"/>
  <c r="K580" i="208"/>
  <c r="R580" i="208" s="1"/>
  <c r="K581" i="208"/>
  <c r="R581" i="208" s="1"/>
  <c r="K582" i="208"/>
  <c r="R582" i="208" s="1"/>
  <c r="K583" i="208"/>
  <c r="R583" i="208" s="1"/>
  <c r="K584" i="208"/>
  <c r="R584" i="208" s="1"/>
  <c r="K585" i="208"/>
  <c r="R585" i="208" s="1"/>
  <c r="K586" i="208"/>
  <c r="R586" i="208" s="1"/>
  <c r="K587" i="208"/>
  <c r="R587" i="208" s="1"/>
  <c r="K588" i="208"/>
  <c r="R588" i="208" s="1"/>
  <c r="K589" i="208"/>
  <c r="R589" i="208" s="1"/>
  <c r="K590" i="208"/>
  <c r="R590" i="208" s="1"/>
  <c r="K591" i="208"/>
  <c r="R591" i="208" s="1"/>
  <c r="K592" i="208"/>
  <c r="R592" i="208" s="1"/>
  <c r="K593" i="208"/>
  <c r="R593" i="208" s="1"/>
  <c r="K594" i="208"/>
  <c r="R594" i="208" s="1"/>
  <c r="K595" i="208"/>
  <c r="R595" i="208" s="1"/>
  <c r="K596" i="208"/>
  <c r="R596" i="208" s="1"/>
  <c r="K597" i="208"/>
  <c r="R597" i="208" s="1"/>
  <c r="K598" i="208"/>
  <c r="R598" i="208" s="1"/>
  <c r="K599" i="208"/>
  <c r="R599" i="208" s="1"/>
  <c r="K600" i="208"/>
  <c r="R600" i="208" s="1"/>
  <c r="K601" i="208"/>
  <c r="R601" i="208" s="1"/>
  <c r="K602" i="208"/>
  <c r="R602" i="208" s="1"/>
  <c r="K603" i="208"/>
  <c r="R603" i="208" s="1"/>
  <c r="K604" i="208"/>
  <c r="R604" i="208" s="1"/>
  <c r="K605" i="208"/>
  <c r="R605" i="208" s="1"/>
  <c r="K606" i="208"/>
  <c r="R606" i="208" s="1"/>
  <c r="K607" i="208"/>
  <c r="R607" i="208" s="1"/>
  <c r="K608" i="208"/>
  <c r="R608" i="208" s="1"/>
  <c r="K609" i="208"/>
  <c r="R609" i="208" s="1"/>
  <c r="K610" i="208"/>
  <c r="R610" i="208" s="1"/>
  <c r="K611" i="208"/>
  <c r="R611" i="208" s="1"/>
  <c r="K612" i="208"/>
  <c r="R612" i="208" s="1"/>
  <c r="K613" i="208"/>
  <c r="R613" i="208" s="1"/>
  <c r="K614" i="208"/>
  <c r="R614" i="208" s="1"/>
  <c r="K615" i="208"/>
  <c r="R615" i="208" s="1"/>
  <c r="K616" i="208"/>
  <c r="R616" i="208" s="1"/>
  <c r="K617" i="208"/>
  <c r="R617" i="208" s="1"/>
  <c r="K618" i="208"/>
  <c r="R618" i="208" s="1"/>
  <c r="K619" i="208"/>
  <c r="R619" i="208" s="1"/>
  <c r="K620" i="208"/>
  <c r="R620" i="208" s="1"/>
  <c r="K621" i="208"/>
  <c r="R621" i="208" s="1"/>
  <c r="K622" i="208"/>
  <c r="R622" i="208" s="1"/>
  <c r="K623" i="208"/>
  <c r="R623" i="208" s="1"/>
  <c r="K624" i="208"/>
  <c r="R624" i="208" s="1"/>
  <c r="K625" i="208"/>
  <c r="R625" i="208" s="1"/>
  <c r="K626" i="208"/>
  <c r="R626" i="208" s="1"/>
  <c r="K627" i="208"/>
  <c r="R627" i="208" s="1"/>
  <c r="K628" i="208"/>
  <c r="R628" i="208" s="1"/>
  <c r="K629" i="208"/>
  <c r="R629" i="208" s="1"/>
  <c r="K630" i="208"/>
  <c r="R630" i="208" s="1"/>
  <c r="K631" i="208"/>
  <c r="R631" i="208" s="1"/>
  <c r="K632" i="208"/>
  <c r="R632" i="208" s="1"/>
  <c r="K633" i="208"/>
  <c r="R633" i="208" s="1"/>
  <c r="K634" i="208"/>
  <c r="R634" i="208" s="1"/>
  <c r="K635" i="208"/>
  <c r="R635" i="208" s="1"/>
  <c r="K636" i="208"/>
  <c r="R636" i="208" s="1"/>
  <c r="K637" i="208"/>
  <c r="R637" i="208" s="1"/>
  <c r="K638" i="208"/>
  <c r="R638" i="208" s="1"/>
  <c r="K639" i="208"/>
  <c r="R639" i="208" s="1"/>
  <c r="K640" i="208"/>
  <c r="R640" i="208" s="1"/>
  <c r="K641" i="208"/>
  <c r="R641" i="208" s="1"/>
  <c r="K642" i="208"/>
  <c r="R642" i="208" s="1"/>
  <c r="K643" i="208"/>
  <c r="R643" i="208" s="1"/>
  <c r="K644" i="208"/>
  <c r="R644" i="208" s="1"/>
  <c r="K645" i="208"/>
  <c r="R645" i="208" s="1"/>
  <c r="K646" i="208"/>
  <c r="R646" i="208" s="1"/>
  <c r="K647" i="208"/>
  <c r="R647" i="208" s="1"/>
  <c r="K648" i="208"/>
  <c r="R648" i="208" s="1"/>
  <c r="K649" i="208"/>
  <c r="R649" i="208" s="1"/>
  <c r="K650" i="208"/>
  <c r="R650" i="208" s="1"/>
  <c r="K651" i="208"/>
  <c r="R651" i="208" s="1"/>
  <c r="K652" i="208"/>
  <c r="R652" i="208" s="1"/>
  <c r="K653" i="208"/>
  <c r="R653" i="208" s="1"/>
  <c r="K654" i="208"/>
  <c r="R654" i="208" s="1"/>
  <c r="K655" i="208"/>
  <c r="R655" i="208" s="1"/>
  <c r="K656" i="208"/>
  <c r="R656" i="208" s="1"/>
  <c r="K657" i="208"/>
  <c r="R657" i="208" s="1"/>
  <c r="K658" i="208"/>
  <c r="R658" i="208" s="1"/>
  <c r="K659" i="208"/>
  <c r="R659" i="208" s="1"/>
  <c r="K660" i="208"/>
  <c r="R660" i="208" s="1"/>
  <c r="K661" i="208"/>
  <c r="R661" i="208" s="1"/>
  <c r="K662" i="208"/>
  <c r="R662" i="208" s="1"/>
  <c r="K663" i="208"/>
  <c r="R663" i="208" s="1"/>
  <c r="K664" i="208"/>
  <c r="R664" i="208" s="1"/>
  <c r="K665" i="208"/>
  <c r="R665" i="208" s="1"/>
  <c r="K666" i="208"/>
  <c r="R666" i="208" s="1"/>
  <c r="K667" i="208"/>
  <c r="R667" i="208" s="1"/>
  <c r="K668" i="208"/>
  <c r="R668" i="208" s="1"/>
  <c r="K669" i="208"/>
  <c r="R669" i="208" s="1"/>
  <c r="K670" i="208"/>
  <c r="R670" i="208" s="1"/>
  <c r="K671" i="208"/>
  <c r="R671" i="208" s="1"/>
  <c r="K672" i="208"/>
  <c r="R672" i="208" s="1"/>
  <c r="K673" i="208"/>
  <c r="R673" i="208" s="1"/>
  <c r="K674" i="208"/>
  <c r="R674" i="208" s="1"/>
  <c r="K675" i="208"/>
  <c r="R675" i="208" s="1"/>
  <c r="K676" i="208"/>
  <c r="R676" i="208" s="1"/>
  <c r="K677" i="208"/>
  <c r="R677" i="208" s="1"/>
  <c r="K678" i="208"/>
  <c r="R678" i="208" s="1"/>
  <c r="K679" i="208"/>
  <c r="R679" i="208" s="1"/>
  <c r="K680" i="208"/>
  <c r="R680" i="208" s="1"/>
  <c r="K681" i="208"/>
  <c r="R681" i="208" s="1"/>
  <c r="K682" i="208"/>
  <c r="R682" i="208" s="1"/>
  <c r="K683" i="208"/>
  <c r="R683" i="208" s="1"/>
  <c r="K684" i="208"/>
  <c r="R684" i="208" s="1"/>
  <c r="K685" i="208"/>
  <c r="R685" i="208" s="1"/>
  <c r="K686" i="208"/>
  <c r="R686" i="208" s="1"/>
  <c r="K687" i="208"/>
  <c r="R687" i="208" s="1"/>
  <c r="K688" i="208"/>
  <c r="R688" i="208" s="1"/>
  <c r="K689" i="208"/>
  <c r="R689" i="208" s="1"/>
  <c r="K690" i="208"/>
  <c r="R690" i="208" s="1"/>
  <c r="K691" i="208"/>
  <c r="R691" i="208" s="1"/>
  <c r="K692" i="208"/>
  <c r="R692" i="208" s="1"/>
  <c r="K693" i="208"/>
  <c r="R693" i="208" s="1"/>
  <c r="K694" i="208"/>
  <c r="R694" i="208" s="1"/>
  <c r="K695" i="208"/>
  <c r="R695" i="208" s="1"/>
  <c r="K696" i="208"/>
  <c r="R696" i="208" s="1"/>
  <c r="K697" i="208"/>
  <c r="R697" i="208" s="1"/>
  <c r="K698" i="208"/>
  <c r="R698" i="208" s="1"/>
  <c r="K699" i="208"/>
  <c r="R699" i="208" s="1"/>
  <c r="K700" i="208"/>
  <c r="R700" i="208" s="1"/>
  <c r="K701" i="208"/>
  <c r="R701" i="208" s="1"/>
  <c r="K702" i="208"/>
  <c r="R702" i="208" s="1"/>
  <c r="K703" i="208"/>
  <c r="R703" i="208" s="1"/>
  <c r="K704" i="208"/>
  <c r="R704" i="208" s="1"/>
  <c r="K705" i="208"/>
  <c r="R705" i="208" s="1"/>
  <c r="K706" i="208"/>
  <c r="R706" i="208" s="1"/>
  <c r="K707" i="208"/>
  <c r="R707" i="208" s="1"/>
  <c r="K708" i="208"/>
  <c r="R708" i="208" s="1"/>
  <c r="K709" i="208"/>
  <c r="R709" i="208" s="1"/>
  <c r="K710" i="208"/>
  <c r="R710" i="208" s="1"/>
  <c r="K711" i="208"/>
  <c r="R711" i="208" s="1"/>
  <c r="K712" i="208"/>
  <c r="R712" i="208" s="1"/>
  <c r="K713" i="208"/>
  <c r="R713" i="208" s="1"/>
  <c r="K714" i="208"/>
  <c r="R714" i="208" s="1"/>
  <c r="K715" i="208"/>
  <c r="R715" i="208" s="1"/>
  <c r="K716" i="208"/>
  <c r="R716" i="208" s="1"/>
  <c r="K717" i="208"/>
  <c r="R717" i="208" s="1"/>
  <c r="K718" i="208"/>
  <c r="R718" i="208" s="1"/>
  <c r="K719" i="208"/>
  <c r="R719" i="208" s="1"/>
  <c r="K720" i="208"/>
  <c r="R720" i="208" s="1"/>
  <c r="K721" i="208"/>
  <c r="R721" i="208" s="1"/>
  <c r="K722" i="208"/>
  <c r="R722" i="208" s="1"/>
  <c r="K723" i="208"/>
  <c r="R723" i="208" s="1"/>
  <c r="K724" i="208"/>
  <c r="R724" i="208" s="1"/>
  <c r="K725" i="208"/>
  <c r="R725" i="208" s="1"/>
  <c r="K726" i="208"/>
  <c r="R726" i="208" s="1"/>
  <c r="K727" i="208"/>
  <c r="R727" i="208" s="1"/>
  <c r="K728" i="208"/>
  <c r="R728" i="208" s="1"/>
  <c r="K729" i="208"/>
  <c r="R729" i="208" s="1"/>
  <c r="K730" i="208"/>
  <c r="R730" i="208" s="1"/>
  <c r="K731" i="208"/>
  <c r="R731" i="208" s="1"/>
  <c r="K732" i="208"/>
  <c r="R732" i="208" s="1"/>
  <c r="K733" i="208"/>
  <c r="R733" i="208" s="1"/>
  <c r="K734" i="208"/>
  <c r="R734" i="208" s="1"/>
  <c r="K735" i="208"/>
  <c r="R735" i="208" s="1"/>
  <c r="K736" i="208"/>
  <c r="R736" i="208" s="1"/>
  <c r="K737" i="208"/>
  <c r="R737" i="208" s="1"/>
  <c r="K738" i="208"/>
  <c r="R738" i="208" s="1"/>
  <c r="K739" i="208"/>
  <c r="R739" i="208" s="1"/>
  <c r="K740" i="208"/>
  <c r="R740" i="208" s="1"/>
  <c r="K741" i="208"/>
  <c r="R741" i="208" s="1"/>
  <c r="K742" i="208"/>
  <c r="R742" i="208" s="1"/>
  <c r="K743" i="208"/>
  <c r="R743" i="208" s="1"/>
  <c r="K744" i="208"/>
  <c r="R744" i="208" s="1"/>
  <c r="K745" i="208"/>
  <c r="R745" i="208" s="1"/>
  <c r="K746" i="208"/>
  <c r="R746" i="208" s="1"/>
  <c r="K747" i="208"/>
  <c r="R747" i="208" s="1"/>
  <c r="K748" i="208"/>
  <c r="R748" i="208" s="1"/>
  <c r="K749" i="208"/>
  <c r="R749" i="208" s="1"/>
  <c r="K750" i="208"/>
  <c r="R750" i="208" s="1"/>
  <c r="K751" i="208"/>
  <c r="R751" i="208" s="1"/>
  <c r="K752" i="208"/>
  <c r="R752" i="208" s="1"/>
  <c r="K753" i="208"/>
  <c r="R753" i="208" s="1"/>
  <c r="K754" i="208"/>
  <c r="R754" i="208" s="1"/>
  <c r="K755" i="208"/>
  <c r="R755" i="208" s="1"/>
  <c r="K756" i="208"/>
  <c r="R756" i="208" s="1"/>
  <c r="K757" i="208"/>
  <c r="R757" i="208" s="1"/>
  <c r="K758" i="208"/>
  <c r="R758" i="208" s="1"/>
  <c r="K759" i="208"/>
  <c r="R759" i="208" s="1"/>
  <c r="K760" i="208"/>
  <c r="R760" i="208" s="1"/>
  <c r="K761" i="208"/>
  <c r="R761" i="208" s="1"/>
  <c r="K762" i="208"/>
  <c r="R762" i="208" s="1"/>
  <c r="K763" i="208"/>
  <c r="R763" i="208" s="1"/>
  <c r="K764" i="208"/>
  <c r="R764" i="208" s="1"/>
  <c r="K765" i="208"/>
  <c r="R765" i="208" s="1"/>
  <c r="K766" i="208"/>
  <c r="R766" i="208" s="1"/>
  <c r="K767" i="208"/>
  <c r="R767" i="208" s="1"/>
  <c r="K768" i="208"/>
  <c r="R768" i="208" s="1"/>
  <c r="K769" i="208"/>
  <c r="R769" i="208" s="1"/>
  <c r="K770" i="208"/>
  <c r="R770" i="208" s="1"/>
  <c r="K771" i="208"/>
  <c r="R771" i="208" s="1"/>
  <c r="K772" i="208"/>
  <c r="R772" i="208" s="1"/>
  <c r="K773" i="208"/>
  <c r="R773" i="208" s="1"/>
  <c r="K774" i="208"/>
  <c r="R774" i="208" s="1"/>
  <c r="K775" i="208"/>
  <c r="R775" i="208" s="1"/>
  <c r="K776" i="208"/>
  <c r="R776" i="208" s="1"/>
  <c r="K777" i="208"/>
  <c r="R777" i="208" s="1"/>
  <c r="K778" i="208"/>
  <c r="R778" i="208" s="1"/>
  <c r="K779" i="208"/>
  <c r="R779" i="208" s="1"/>
  <c r="K780" i="208"/>
  <c r="R780" i="208" s="1"/>
  <c r="K781" i="208"/>
  <c r="R781" i="208" s="1"/>
  <c r="K782" i="208"/>
  <c r="R782" i="208" s="1"/>
  <c r="K783" i="208"/>
  <c r="R783" i="208" s="1"/>
  <c r="K784" i="208"/>
  <c r="R784" i="208" s="1"/>
  <c r="K785" i="208"/>
  <c r="R785" i="208" s="1"/>
  <c r="K786" i="208"/>
  <c r="R786" i="208" s="1"/>
  <c r="K787" i="208"/>
  <c r="R787" i="208" s="1"/>
  <c r="K788" i="208"/>
  <c r="R788" i="208" s="1"/>
  <c r="K789" i="208"/>
  <c r="R789" i="208" s="1"/>
  <c r="K790" i="208"/>
  <c r="R790" i="208" s="1"/>
  <c r="K791" i="208"/>
  <c r="R791" i="208" s="1"/>
  <c r="K792" i="208"/>
  <c r="R792" i="208" s="1"/>
  <c r="K793" i="208"/>
  <c r="R793" i="208" s="1"/>
  <c r="K794" i="208"/>
  <c r="R794" i="208" s="1"/>
  <c r="K795" i="208"/>
  <c r="R795" i="208" s="1"/>
  <c r="K796" i="208"/>
  <c r="R796" i="208" s="1"/>
  <c r="K797" i="208"/>
  <c r="R797" i="208" s="1"/>
  <c r="K798" i="208"/>
  <c r="R798" i="208" s="1"/>
  <c r="K799" i="208"/>
  <c r="R799" i="208" s="1"/>
  <c r="K800" i="208"/>
  <c r="R800" i="208" s="1"/>
  <c r="K801" i="208"/>
  <c r="R801" i="208" s="1"/>
  <c r="K802" i="208"/>
  <c r="R802" i="208" s="1"/>
  <c r="K803" i="208"/>
  <c r="R803" i="208" s="1"/>
  <c r="K804" i="208"/>
  <c r="R804" i="208" s="1"/>
  <c r="K805" i="208"/>
  <c r="R805" i="208" s="1"/>
  <c r="K806" i="208"/>
  <c r="R806" i="208" s="1"/>
  <c r="K807" i="208"/>
  <c r="R807" i="208" s="1"/>
  <c r="K808" i="208"/>
  <c r="R808" i="208" s="1"/>
  <c r="K809" i="208"/>
  <c r="R809" i="208" s="1"/>
  <c r="K810" i="208"/>
  <c r="R810" i="208" s="1"/>
  <c r="K811" i="208"/>
  <c r="R811" i="208" s="1"/>
  <c r="K812" i="208"/>
  <c r="R812" i="208" s="1"/>
  <c r="K813" i="208"/>
  <c r="R813" i="208" s="1"/>
  <c r="K814" i="208"/>
  <c r="R814" i="208" s="1"/>
  <c r="K815" i="208"/>
  <c r="R815" i="208" s="1"/>
  <c r="K816" i="208"/>
  <c r="R816" i="208" s="1"/>
  <c r="K817" i="208"/>
  <c r="R817" i="208" s="1"/>
  <c r="K818" i="208"/>
  <c r="R818" i="208" s="1"/>
  <c r="K819" i="208"/>
  <c r="R819" i="208" s="1"/>
  <c r="K820" i="208"/>
  <c r="R820" i="208" s="1"/>
  <c r="K821" i="208"/>
  <c r="R821" i="208" s="1"/>
  <c r="K822" i="208"/>
  <c r="R822" i="208" s="1"/>
  <c r="K823" i="208"/>
  <c r="R823" i="208" s="1"/>
  <c r="K824" i="208"/>
  <c r="R824" i="208" s="1"/>
  <c r="K825" i="208"/>
  <c r="R825" i="208" s="1"/>
  <c r="K826" i="208"/>
  <c r="R826" i="208" s="1"/>
  <c r="K827" i="208"/>
  <c r="R827" i="208" s="1"/>
  <c r="K828" i="208"/>
  <c r="R828" i="208" s="1"/>
  <c r="K829" i="208"/>
  <c r="R829" i="208" s="1"/>
  <c r="K830" i="208"/>
  <c r="R830" i="208" s="1"/>
  <c r="K831" i="208"/>
  <c r="R831" i="208" s="1"/>
  <c r="K832" i="208"/>
  <c r="R832" i="208" s="1"/>
  <c r="K833" i="208"/>
  <c r="R833" i="208" s="1"/>
  <c r="K834" i="208"/>
  <c r="R834" i="208" s="1"/>
  <c r="K835" i="208"/>
  <c r="R835" i="208" s="1"/>
  <c r="K836" i="208"/>
  <c r="R836" i="208" s="1"/>
  <c r="K837" i="208"/>
  <c r="R837" i="208" s="1"/>
  <c r="K838" i="208"/>
  <c r="R838" i="208" s="1"/>
  <c r="K839" i="208"/>
  <c r="R839" i="208" s="1"/>
  <c r="K840" i="208"/>
  <c r="R840" i="208" s="1"/>
  <c r="K841" i="208"/>
  <c r="R841" i="208" s="1"/>
  <c r="K842" i="208"/>
  <c r="R842" i="208" s="1"/>
  <c r="K843" i="208"/>
  <c r="R843" i="208" s="1"/>
  <c r="K844" i="208"/>
  <c r="R844" i="208" s="1"/>
  <c r="K845" i="208"/>
  <c r="R845" i="208" s="1"/>
  <c r="K846" i="208"/>
  <c r="R846" i="208" s="1"/>
  <c r="K847" i="208"/>
  <c r="R847" i="208" s="1"/>
  <c r="K848" i="208"/>
  <c r="R848" i="208" s="1"/>
  <c r="K849" i="208"/>
  <c r="R849" i="208" s="1"/>
  <c r="K850" i="208"/>
  <c r="R850" i="208" s="1"/>
  <c r="K851" i="208"/>
  <c r="R851" i="208" s="1"/>
  <c r="K852" i="208"/>
  <c r="R852" i="208" s="1"/>
  <c r="K853" i="208"/>
  <c r="R853" i="208" s="1"/>
  <c r="K854" i="208"/>
  <c r="R854" i="208" s="1"/>
  <c r="K855" i="208"/>
  <c r="R855" i="208" s="1"/>
  <c r="K856" i="208"/>
  <c r="R856" i="208" s="1"/>
  <c r="K857" i="208"/>
  <c r="R857" i="208" s="1"/>
  <c r="K858" i="208"/>
  <c r="R858" i="208" s="1"/>
  <c r="K859" i="208"/>
  <c r="R859" i="208" s="1"/>
  <c r="K860" i="208"/>
  <c r="R860" i="208" s="1"/>
  <c r="K861" i="208"/>
  <c r="R861" i="208" s="1"/>
  <c r="K862" i="208"/>
  <c r="R862" i="208" s="1"/>
  <c r="K863" i="208"/>
  <c r="R863" i="208" s="1"/>
  <c r="K864" i="208"/>
  <c r="R864" i="208" s="1"/>
  <c r="K865" i="208"/>
  <c r="R865" i="208" s="1"/>
  <c r="K866" i="208"/>
  <c r="R866" i="208" s="1"/>
  <c r="K867" i="208"/>
  <c r="R867" i="208" s="1"/>
  <c r="K868" i="208"/>
  <c r="R868" i="208" s="1"/>
  <c r="K869" i="208"/>
  <c r="R869" i="208" s="1"/>
  <c r="K870" i="208"/>
  <c r="R870" i="208" s="1"/>
  <c r="K871" i="208"/>
  <c r="R871" i="208" s="1"/>
  <c r="K872" i="208"/>
  <c r="R872" i="208" s="1"/>
  <c r="K873" i="208"/>
  <c r="R873" i="208" s="1"/>
  <c r="K874" i="208"/>
  <c r="R874" i="208" s="1"/>
  <c r="K875" i="208"/>
  <c r="R875" i="208" s="1"/>
  <c r="K876" i="208"/>
  <c r="R876" i="208" s="1"/>
  <c r="K877" i="208"/>
  <c r="R877" i="208" s="1"/>
  <c r="K878" i="208"/>
  <c r="R878" i="208" s="1"/>
  <c r="K879" i="208"/>
  <c r="R879" i="208" s="1"/>
  <c r="K880" i="208"/>
  <c r="R880" i="208" s="1"/>
  <c r="K881" i="208"/>
  <c r="R881" i="208" s="1"/>
  <c r="K882" i="208"/>
  <c r="R882" i="208" s="1"/>
  <c r="K883" i="208"/>
  <c r="R883" i="208" s="1"/>
  <c r="K884" i="208"/>
  <c r="R884" i="208" s="1"/>
  <c r="K885" i="208"/>
  <c r="R885" i="208" s="1"/>
  <c r="K886" i="208"/>
  <c r="R886" i="208" s="1"/>
  <c r="K887" i="208"/>
  <c r="R887" i="208" s="1"/>
  <c r="K888" i="208"/>
  <c r="R888" i="208" s="1"/>
  <c r="K889" i="208"/>
  <c r="R889" i="208" s="1"/>
  <c r="K890" i="208"/>
  <c r="R890" i="208" s="1"/>
  <c r="K891" i="208"/>
  <c r="R891" i="208" s="1"/>
  <c r="K892" i="208"/>
  <c r="R892" i="208" s="1"/>
  <c r="K893" i="208"/>
  <c r="R893" i="208" s="1"/>
  <c r="K894" i="208"/>
  <c r="R894" i="208" s="1"/>
  <c r="K895" i="208"/>
  <c r="R895" i="208" s="1"/>
  <c r="K896" i="208"/>
  <c r="R896" i="208" s="1"/>
  <c r="K897" i="208"/>
  <c r="R897" i="208" s="1"/>
  <c r="K898" i="208"/>
  <c r="R898" i="208" s="1"/>
  <c r="K899" i="208"/>
  <c r="R899" i="208" s="1"/>
  <c r="K900" i="208"/>
  <c r="R900" i="208" s="1"/>
  <c r="K901" i="208"/>
  <c r="R901" i="208" s="1"/>
  <c r="K902" i="208"/>
  <c r="R902" i="208" s="1"/>
  <c r="K903" i="208"/>
  <c r="R903" i="208" s="1"/>
  <c r="K904" i="208"/>
  <c r="R904" i="208" s="1"/>
  <c r="K905" i="208"/>
  <c r="R905" i="208" s="1"/>
  <c r="K906" i="208"/>
  <c r="R906" i="208" s="1"/>
  <c r="K907" i="208"/>
  <c r="R907" i="208" s="1"/>
  <c r="K908" i="208"/>
  <c r="R908" i="208" s="1"/>
  <c r="K909" i="208"/>
  <c r="R909" i="208" s="1"/>
  <c r="K910" i="208"/>
  <c r="R910" i="208" s="1"/>
  <c r="K911" i="208"/>
  <c r="R911" i="208" s="1"/>
  <c r="K912" i="208"/>
  <c r="R912" i="208" s="1"/>
  <c r="K913" i="208"/>
  <c r="R913" i="208" s="1"/>
  <c r="K914" i="208"/>
  <c r="R914" i="208" s="1"/>
  <c r="K915" i="208"/>
  <c r="R915" i="208" s="1"/>
  <c r="K916" i="208"/>
  <c r="R916" i="208" s="1"/>
  <c r="K917" i="208"/>
  <c r="R917" i="208" s="1"/>
  <c r="K918" i="208"/>
  <c r="R918" i="208" s="1"/>
  <c r="K919" i="208"/>
  <c r="R919" i="208" s="1"/>
  <c r="K920" i="208"/>
  <c r="R920" i="208" s="1"/>
  <c r="K921" i="208"/>
  <c r="R921" i="208" s="1"/>
  <c r="K922" i="208"/>
  <c r="R922" i="208" s="1"/>
  <c r="K923" i="208"/>
  <c r="R923" i="208" s="1"/>
  <c r="K924" i="208"/>
  <c r="R924" i="208" s="1"/>
  <c r="K925" i="208"/>
  <c r="R925" i="208" s="1"/>
  <c r="K926" i="208"/>
  <c r="R926" i="208" s="1"/>
  <c r="K927" i="208"/>
  <c r="R927" i="208" s="1"/>
  <c r="K928" i="208"/>
  <c r="R928" i="208" s="1"/>
  <c r="K929" i="208"/>
  <c r="R929" i="208" s="1"/>
  <c r="K930" i="208"/>
  <c r="R930" i="208" s="1"/>
  <c r="K931" i="208"/>
  <c r="R931" i="208" s="1"/>
  <c r="K932" i="208"/>
  <c r="R932" i="208" s="1"/>
  <c r="K933" i="208"/>
  <c r="R933" i="208" s="1"/>
  <c r="K934" i="208"/>
  <c r="R934" i="208" s="1"/>
  <c r="K935" i="208"/>
  <c r="R935" i="208" s="1"/>
  <c r="K936" i="208"/>
  <c r="R936" i="208" s="1"/>
  <c r="K937" i="208"/>
  <c r="R937" i="208" s="1"/>
  <c r="K938" i="208"/>
  <c r="R938" i="208" s="1"/>
  <c r="K939" i="208"/>
  <c r="R939" i="208" s="1"/>
  <c r="K940" i="208"/>
  <c r="R940" i="208" s="1"/>
  <c r="K941" i="208"/>
  <c r="R941" i="208" s="1"/>
  <c r="K942" i="208"/>
  <c r="R942" i="208" s="1"/>
  <c r="K943" i="208"/>
  <c r="R943" i="208" s="1"/>
  <c r="K944" i="208"/>
  <c r="R944" i="208" s="1"/>
  <c r="K945" i="208"/>
  <c r="R945" i="208" s="1"/>
  <c r="K946" i="208"/>
  <c r="R946" i="208" s="1"/>
  <c r="K947" i="208"/>
  <c r="R947" i="208" s="1"/>
  <c r="K948" i="208"/>
  <c r="R948" i="208" s="1"/>
  <c r="K949" i="208"/>
  <c r="R949" i="208" s="1"/>
  <c r="K950" i="208"/>
  <c r="R950" i="208" s="1"/>
  <c r="K951" i="208"/>
  <c r="R951" i="208" s="1"/>
  <c r="K952" i="208"/>
  <c r="R952" i="208" s="1"/>
  <c r="K953" i="208"/>
  <c r="R953" i="208" s="1"/>
  <c r="K954" i="208"/>
  <c r="R954" i="208" s="1"/>
  <c r="K955" i="208"/>
  <c r="R955" i="208" s="1"/>
  <c r="K956" i="208"/>
  <c r="R956" i="208" s="1"/>
  <c r="K957" i="208"/>
  <c r="R957" i="208" s="1"/>
  <c r="K958" i="208"/>
  <c r="R958" i="208" s="1"/>
  <c r="K959" i="208"/>
  <c r="R959" i="208" s="1"/>
  <c r="K960" i="208"/>
  <c r="R960" i="208" s="1"/>
  <c r="K961" i="208"/>
  <c r="R961" i="208" s="1"/>
  <c r="K962" i="208"/>
  <c r="R962" i="208" s="1"/>
  <c r="K963" i="208"/>
  <c r="R963" i="208" s="1"/>
  <c r="K964" i="208"/>
  <c r="R964" i="208" s="1"/>
  <c r="K965" i="208"/>
  <c r="R965" i="208" s="1"/>
  <c r="K966" i="208"/>
  <c r="R966" i="208" s="1"/>
  <c r="K967" i="208"/>
  <c r="R967" i="208" s="1"/>
  <c r="K968" i="208"/>
  <c r="R968" i="208" s="1"/>
  <c r="K969" i="208"/>
  <c r="R969" i="208" s="1"/>
  <c r="K970" i="208"/>
  <c r="R970" i="208" s="1"/>
  <c r="K971" i="208"/>
  <c r="R971" i="208" s="1"/>
  <c r="K972" i="208"/>
  <c r="R972" i="208" s="1"/>
  <c r="K973" i="208"/>
  <c r="R973" i="208" s="1"/>
  <c r="K974" i="208"/>
  <c r="R974" i="208" s="1"/>
  <c r="K975" i="208"/>
  <c r="R975" i="208" s="1"/>
  <c r="K976" i="208"/>
  <c r="R976" i="208" s="1"/>
  <c r="K977" i="208"/>
  <c r="R977" i="208" s="1"/>
  <c r="K978" i="208"/>
  <c r="R978" i="208" s="1"/>
  <c r="K979" i="208"/>
  <c r="R979" i="208" s="1"/>
  <c r="K980" i="208"/>
  <c r="R980" i="208" s="1"/>
  <c r="K981" i="208"/>
  <c r="R981" i="208" s="1"/>
  <c r="K982" i="208"/>
  <c r="R982" i="208" s="1"/>
  <c r="K983" i="208"/>
  <c r="R983" i="208" s="1"/>
  <c r="K984" i="208"/>
  <c r="R984" i="208" s="1"/>
  <c r="K985" i="208"/>
  <c r="R985" i="208" s="1"/>
  <c r="K986" i="208"/>
  <c r="R986" i="208" s="1"/>
  <c r="K987" i="208"/>
  <c r="R987" i="208" s="1"/>
  <c r="K988" i="208"/>
  <c r="R988" i="208" s="1"/>
  <c r="K989" i="208"/>
  <c r="R989" i="208" s="1"/>
  <c r="K990" i="208"/>
  <c r="R990" i="208" s="1"/>
  <c r="K991" i="208"/>
  <c r="R991" i="208" s="1"/>
  <c r="K992" i="208"/>
  <c r="R992" i="208" s="1"/>
  <c r="K993" i="208"/>
  <c r="R993" i="208" s="1"/>
  <c r="K994" i="208"/>
  <c r="R994" i="208" s="1"/>
  <c r="K995" i="208"/>
  <c r="R995" i="208" s="1"/>
  <c r="K996" i="208"/>
  <c r="R996" i="208" s="1"/>
  <c r="K997" i="208"/>
  <c r="R997" i="208" s="1"/>
  <c r="K998" i="208"/>
  <c r="R998" i="208" s="1"/>
  <c r="K999" i="208"/>
  <c r="R999" i="208" s="1"/>
  <c r="K1000" i="208"/>
  <c r="R1000" i="208" s="1"/>
  <c r="K1001" i="208"/>
  <c r="R1001" i="208" s="1"/>
  <c r="K1002" i="208"/>
  <c r="R1002" i="208" s="1"/>
  <c r="K1003" i="208"/>
  <c r="R1003" i="208" s="1"/>
  <c r="K1004" i="208"/>
  <c r="R1004" i="208" s="1"/>
  <c r="K1005" i="208"/>
  <c r="R1005" i="208" s="1"/>
  <c r="K1006" i="208"/>
  <c r="R1006" i="208" s="1"/>
  <c r="K1007" i="208"/>
  <c r="R1007" i="208" s="1"/>
  <c r="K1008" i="208"/>
  <c r="R1008" i="208" s="1"/>
  <c r="K1009" i="208"/>
  <c r="R1009" i="208" s="1"/>
  <c r="K1010" i="208"/>
  <c r="R1010" i="208" s="1"/>
  <c r="K1011" i="208"/>
  <c r="R1011" i="208" s="1"/>
  <c r="K1012" i="208"/>
  <c r="R1012" i="208" s="1"/>
  <c r="K1013" i="208"/>
  <c r="R1013" i="208" s="1"/>
  <c r="K1014" i="208"/>
  <c r="R1014" i="208" s="1"/>
  <c r="K1015" i="208"/>
  <c r="R1015" i="208" s="1"/>
  <c r="K1016" i="208"/>
  <c r="R1016" i="208" s="1"/>
  <c r="K1017" i="208"/>
  <c r="R1017" i="208" s="1"/>
  <c r="K1018" i="208"/>
  <c r="R1018" i="208" s="1"/>
  <c r="K1019" i="208"/>
  <c r="R1019" i="208" s="1"/>
  <c r="K1020" i="208"/>
  <c r="R1020" i="208" s="1"/>
  <c r="K1021" i="208"/>
  <c r="R1021" i="208" s="1"/>
  <c r="K1022" i="208"/>
  <c r="R1022" i="208" s="1"/>
  <c r="K1023" i="208"/>
  <c r="R1023" i="208" s="1"/>
  <c r="K1024" i="208"/>
  <c r="R1024" i="208" s="1"/>
  <c r="K1025" i="208"/>
  <c r="R1025" i="208" s="1"/>
  <c r="K1026" i="208"/>
  <c r="R1026" i="208" s="1"/>
  <c r="K1027" i="208"/>
  <c r="R1027" i="208" s="1"/>
  <c r="K1028" i="208"/>
  <c r="R1028" i="208" s="1"/>
  <c r="K1029" i="208"/>
  <c r="R1029" i="208" s="1"/>
  <c r="K1030" i="208"/>
  <c r="R1030" i="208" s="1"/>
  <c r="K1031" i="208"/>
  <c r="R1031" i="208" s="1"/>
  <c r="K1032" i="208"/>
  <c r="R1032" i="208" s="1"/>
  <c r="K1033" i="208"/>
  <c r="R1033" i="208" s="1"/>
  <c r="K1034" i="208"/>
  <c r="R1034" i="208" s="1"/>
  <c r="K1035" i="208"/>
  <c r="R1035" i="208" s="1"/>
  <c r="K1036" i="208"/>
  <c r="R1036" i="208" s="1"/>
  <c r="K1037" i="208"/>
  <c r="R1037" i="208" s="1"/>
  <c r="K1038" i="208"/>
  <c r="R1038" i="208" s="1"/>
  <c r="K1039" i="208"/>
  <c r="R1039" i="208" s="1"/>
  <c r="K1040" i="208"/>
  <c r="R1040" i="208" s="1"/>
  <c r="K1041" i="208"/>
  <c r="R1041" i="208" s="1"/>
  <c r="K1042" i="208"/>
  <c r="R1042" i="208" s="1"/>
  <c r="K1043" i="208"/>
  <c r="R1043" i="208" s="1"/>
  <c r="K1044" i="208"/>
  <c r="R1044" i="208" s="1"/>
  <c r="K1045" i="208"/>
  <c r="R1045" i="208" s="1"/>
  <c r="K1046" i="208"/>
  <c r="R1046" i="208" s="1"/>
  <c r="K1047" i="208"/>
  <c r="R1047" i="208" s="1"/>
  <c r="K1048" i="208"/>
  <c r="R1048" i="208" s="1"/>
  <c r="K1049" i="208"/>
  <c r="R1049" i="208" s="1"/>
  <c r="K1050" i="208"/>
  <c r="R1050" i="208" s="1"/>
  <c r="K1051" i="208"/>
  <c r="R1051" i="208" s="1"/>
  <c r="K1052" i="208"/>
  <c r="R1052" i="208" s="1"/>
  <c r="K1053" i="208"/>
  <c r="R1053" i="208" s="1"/>
  <c r="K1054" i="208"/>
  <c r="R1054" i="208" s="1"/>
  <c r="K1055" i="208"/>
  <c r="R1055" i="208" s="1"/>
  <c r="K1056" i="208"/>
  <c r="R1056" i="208" s="1"/>
  <c r="K1057" i="208"/>
  <c r="R1057" i="208" s="1"/>
  <c r="K1058" i="208"/>
  <c r="R1058" i="208" s="1"/>
  <c r="K1059" i="208"/>
  <c r="R1059" i="208" s="1"/>
  <c r="K1060" i="208"/>
  <c r="R1060" i="208" s="1"/>
  <c r="K1061" i="208"/>
  <c r="R1061" i="208" s="1"/>
  <c r="K1062" i="208"/>
  <c r="R1062" i="208" s="1"/>
  <c r="K1063" i="208"/>
  <c r="R1063" i="208" s="1"/>
  <c r="K1064" i="208"/>
  <c r="R1064" i="208" s="1"/>
  <c r="K1065" i="208"/>
  <c r="R1065" i="208" s="1"/>
  <c r="K1066" i="208"/>
  <c r="R1066" i="208" s="1"/>
  <c r="K1067" i="208"/>
  <c r="R1067" i="208" s="1"/>
  <c r="K1068" i="208"/>
  <c r="R1068" i="208" s="1"/>
  <c r="K1069" i="208"/>
  <c r="R1069" i="208" s="1"/>
  <c r="K1070" i="208"/>
  <c r="R1070" i="208" s="1"/>
  <c r="K1071" i="208"/>
  <c r="R1071" i="208" s="1"/>
  <c r="K1072" i="208"/>
  <c r="R1072" i="208" s="1"/>
  <c r="K1073" i="208"/>
  <c r="R1073" i="208" s="1"/>
  <c r="K1074" i="208"/>
  <c r="R1074" i="208" s="1"/>
  <c r="K1075" i="208"/>
  <c r="R1075" i="208" s="1"/>
  <c r="K1076" i="208"/>
  <c r="R1076" i="208" s="1"/>
  <c r="K1077" i="208"/>
  <c r="R1077" i="208" s="1"/>
  <c r="K1078" i="208"/>
  <c r="R1078" i="208" s="1"/>
  <c r="K1079" i="208"/>
  <c r="R1079" i="208" s="1"/>
  <c r="K1080" i="208"/>
  <c r="R1080" i="208" s="1"/>
  <c r="K1081" i="208"/>
  <c r="R1081" i="208" s="1"/>
  <c r="K1082" i="208"/>
  <c r="R1082" i="208" s="1"/>
  <c r="K1083" i="208"/>
  <c r="R1083" i="208" s="1"/>
  <c r="K1084" i="208"/>
  <c r="R1084" i="208" s="1"/>
  <c r="K1085" i="208"/>
  <c r="R1085" i="208" s="1"/>
  <c r="K1086" i="208"/>
  <c r="R1086" i="208" s="1"/>
  <c r="K1087" i="208"/>
  <c r="R1087" i="208" s="1"/>
  <c r="K1088" i="208"/>
  <c r="R1088" i="208" s="1"/>
  <c r="K1089" i="208"/>
  <c r="R1089" i="208" s="1"/>
  <c r="K1090" i="208"/>
  <c r="R1090" i="208" s="1"/>
  <c r="K1091" i="208"/>
  <c r="R1091" i="208" s="1"/>
  <c r="K1092" i="208"/>
  <c r="R1092" i="208" s="1"/>
  <c r="K1093" i="208"/>
  <c r="R1093" i="208" s="1"/>
  <c r="K1094" i="208"/>
  <c r="R1094" i="208" s="1"/>
  <c r="K1095" i="208"/>
  <c r="R1095" i="208" s="1"/>
  <c r="K1096" i="208"/>
  <c r="R1096" i="208" s="1"/>
  <c r="K1097" i="208"/>
  <c r="R1097" i="208" s="1"/>
  <c r="K1098" i="208"/>
  <c r="R1098" i="208" s="1"/>
  <c r="K1099" i="208"/>
  <c r="R1099" i="208" s="1"/>
  <c r="K1100" i="208"/>
  <c r="R1100" i="208" s="1"/>
  <c r="K1101" i="208"/>
  <c r="R1101" i="208" s="1"/>
  <c r="K1102" i="208"/>
  <c r="R1102" i="208" s="1"/>
  <c r="K1103" i="208"/>
  <c r="R1103" i="208" s="1"/>
  <c r="K1104" i="208"/>
  <c r="R1104" i="208" s="1"/>
  <c r="K1105" i="208"/>
  <c r="R1105" i="208" s="1"/>
  <c r="K1106" i="208"/>
  <c r="R1106" i="208" s="1"/>
  <c r="K1107" i="208"/>
  <c r="R1107" i="208" s="1"/>
  <c r="K1108" i="208"/>
  <c r="R1108" i="208" s="1"/>
  <c r="K1109" i="208"/>
  <c r="R1109" i="208" s="1"/>
  <c r="K1110" i="208"/>
  <c r="R1110" i="208" s="1"/>
  <c r="K1111" i="208"/>
  <c r="R1111" i="208" s="1"/>
  <c r="K1112" i="208"/>
  <c r="R1112" i="208" s="1"/>
  <c r="K1113" i="208"/>
  <c r="R1113" i="208" s="1"/>
  <c r="K1114" i="208"/>
  <c r="R1114" i="208" s="1"/>
  <c r="K1115" i="208"/>
  <c r="R1115" i="208" s="1"/>
  <c r="K1116" i="208"/>
  <c r="R1116" i="208" s="1"/>
  <c r="K1117" i="208"/>
  <c r="R1117" i="208" s="1"/>
  <c r="K1118" i="208"/>
  <c r="R1118" i="208" s="1"/>
  <c r="K1119" i="208"/>
  <c r="R1119" i="208" s="1"/>
  <c r="K1120" i="208"/>
  <c r="R1120" i="208" s="1"/>
  <c r="K1121" i="208"/>
  <c r="R1121" i="208" s="1"/>
  <c r="K1122" i="208"/>
  <c r="R1122" i="208" s="1"/>
  <c r="K1123" i="208"/>
  <c r="R1123" i="208" s="1"/>
  <c r="K1124" i="208"/>
  <c r="R1124" i="208" s="1"/>
  <c r="K1125" i="208"/>
  <c r="R1125" i="208" s="1"/>
  <c r="K1126" i="208"/>
  <c r="R1126" i="208" s="1"/>
  <c r="K1127" i="208"/>
  <c r="R1127" i="208" s="1"/>
  <c r="K1128" i="208"/>
  <c r="R1128" i="208" s="1"/>
  <c r="K1129" i="208"/>
  <c r="R1129" i="208" s="1"/>
  <c r="K1130" i="208"/>
  <c r="R1130" i="208" s="1"/>
  <c r="K1131" i="208"/>
  <c r="R1131" i="208" s="1"/>
  <c r="K1132" i="208"/>
  <c r="R1132" i="208" s="1"/>
  <c r="K1133" i="208"/>
  <c r="R1133" i="208" s="1"/>
  <c r="K1134" i="208"/>
  <c r="R1134" i="208" s="1"/>
  <c r="K1135" i="208"/>
  <c r="R1135" i="208" s="1"/>
  <c r="K1136" i="208"/>
  <c r="R1136" i="208" s="1"/>
  <c r="K1137" i="208"/>
  <c r="R1137" i="208" s="1"/>
  <c r="K1138" i="208"/>
  <c r="R1138" i="208" s="1"/>
  <c r="K1139" i="208"/>
  <c r="R1139" i="208" s="1"/>
  <c r="K1140" i="208"/>
  <c r="R1140" i="208" s="1"/>
  <c r="K1141" i="208"/>
  <c r="R1141" i="208" s="1"/>
  <c r="K1142" i="208"/>
  <c r="R1142" i="208" s="1"/>
  <c r="K1143" i="208"/>
  <c r="R1143" i="208" s="1"/>
  <c r="K1144" i="208"/>
  <c r="R1144" i="208" s="1"/>
  <c r="K1145" i="208"/>
  <c r="R1145" i="208" s="1"/>
  <c r="K1146" i="208"/>
  <c r="R1146" i="208" s="1"/>
  <c r="K1147" i="208"/>
  <c r="R1147" i="208" s="1"/>
  <c r="K1148" i="208"/>
  <c r="R1148" i="208" s="1"/>
  <c r="K1149" i="208"/>
  <c r="R1149" i="208" s="1"/>
  <c r="K1150" i="208"/>
  <c r="R1150" i="208" s="1"/>
  <c r="K1151" i="208"/>
  <c r="R1151" i="208" s="1"/>
  <c r="K1152" i="208"/>
  <c r="R1152" i="208" s="1"/>
  <c r="K1153" i="208"/>
  <c r="R1153" i="208" s="1"/>
  <c r="K1154" i="208"/>
  <c r="R1154" i="208" s="1"/>
  <c r="K1155" i="208"/>
  <c r="R1155" i="208" s="1"/>
  <c r="K1156" i="208"/>
  <c r="R1156" i="208" s="1"/>
  <c r="K1157" i="208"/>
  <c r="R1157" i="208" s="1"/>
  <c r="K1158" i="208"/>
  <c r="R1158" i="208" s="1"/>
  <c r="K1159" i="208"/>
  <c r="R1159" i="208" s="1"/>
  <c r="K1160" i="208"/>
  <c r="R1160" i="208" s="1"/>
  <c r="K1161" i="208"/>
  <c r="R1161" i="208" s="1"/>
  <c r="K1162" i="208"/>
  <c r="R1162" i="208" s="1"/>
  <c r="K1163" i="208"/>
  <c r="R1163" i="208" s="1"/>
  <c r="K1164" i="208"/>
  <c r="R1164" i="208" s="1"/>
  <c r="K1165" i="208"/>
  <c r="R1165" i="208" s="1"/>
  <c r="K1166" i="208"/>
  <c r="R1166" i="208" s="1"/>
  <c r="K1167" i="208"/>
  <c r="R1167" i="208" s="1"/>
  <c r="K1168" i="208"/>
  <c r="R1168" i="208" s="1"/>
  <c r="K1169" i="208"/>
  <c r="R1169" i="208" s="1"/>
  <c r="K1170" i="208"/>
  <c r="R1170" i="208" s="1"/>
  <c r="K1171" i="208"/>
  <c r="R1171" i="208" s="1"/>
  <c r="K1172" i="208"/>
  <c r="R1172" i="208" s="1"/>
  <c r="K1173" i="208"/>
  <c r="R1173" i="208" s="1"/>
  <c r="K1174" i="208"/>
  <c r="R1174" i="208" s="1"/>
  <c r="K1175" i="208"/>
  <c r="R1175" i="208" s="1"/>
  <c r="K1176" i="208"/>
  <c r="R1176" i="208" s="1"/>
  <c r="K1177" i="208"/>
  <c r="R1177" i="208" s="1"/>
  <c r="K1178" i="208"/>
  <c r="R1178" i="208" s="1"/>
  <c r="K1179" i="208"/>
  <c r="R1179" i="208" s="1"/>
  <c r="K1180" i="208"/>
  <c r="R1180" i="208" s="1"/>
  <c r="K1181" i="208"/>
  <c r="R1181" i="208" s="1"/>
  <c r="K1182" i="208"/>
  <c r="R1182" i="208" s="1"/>
  <c r="K1183" i="208"/>
  <c r="R1183" i="208" s="1"/>
  <c r="K1184" i="208"/>
  <c r="R1184" i="208" s="1"/>
  <c r="K1185" i="208"/>
  <c r="R1185" i="208" s="1"/>
  <c r="K1186" i="208"/>
  <c r="R1186" i="208" s="1"/>
  <c r="K1187" i="208"/>
  <c r="R1187" i="208" s="1"/>
  <c r="K1188" i="208"/>
  <c r="R1188" i="208" s="1"/>
  <c r="K1189" i="208"/>
  <c r="R1189" i="208" s="1"/>
  <c r="K1190" i="208"/>
  <c r="R1190" i="208" s="1"/>
  <c r="K1191" i="208"/>
  <c r="R1191" i="208" s="1"/>
  <c r="K1192" i="208"/>
  <c r="R1192" i="208" s="1"/>
  <c r="K1193" i="208"/>
  <c r="R1193" i="208" s="1"/>
  <c r="K1194" i="208"/>
  <c r="R1194" i="208" s="1"/>
  <c r="K1195" i="208"/>
  <c r="R1195" i="208" s="1"/>
  <c r="K1196" i="208"/>
  <c r="R1196" i="208" s="1"/>
  <c r="K1197" i="208"/>
  <c r="R1197" i="208" s="1"/>
  <c r="K1198" i="208"/>
  <c r="R1198" i="208" s="1"/>
  <c r="K1199" i="208"/>
  <c r="R1199" i="208" s="1"/>
  <c r="K1200" i="208"/>
  <c r="R1200" i="208" s="1"/>
  <c r="K1201" i="208"/>
  <c r="R1201" i="208" s="1"/>
  <c r="K1202" i="208"/>
  <c r="R1202" i="208" s="1"/>
  <c r="K1203" i="208"/>
  <c r="R1203" i="208" s="1"/>
  <c r="K1204" i="208"/>
  <c r="R1204" i="208" s="1"/>
  <c r="K1205" i="208"/>
  <c r="R1205" i="208" s="1"/>
  <c r="K1206" i="208"/>
  <c r="R1206" i="208" s="1"/>
  <c r="K1207" i="208"/>
  <c r="R1207" i="208" s="1"/>
  <c r="K1208" i="208"/>
  <c r="R1208" i="208" s="1"/>
  <c r="K1209" i="208"/>
  <c r="R1209" i="208" s="1"/>
  <c r="K1210" i="208"/>
  <c r="R1210" i="208" s="1"/>
  <c r="K1211" i="208"/>
  <c r="R1211" i="208" s="1"/>
  <c r="K1212" i="208"/>
  <c r="R1212" i="208" s="1"/>
  <c r="K1213" i="208"/>
  <c r="R1213" i="208" s="1"/>
  <c r="K1214" i="208"/>
  <c r="R1214" i="208" s="1"/>
  <c r="K1215" i="208"/>
  <c r="R1215" i="208" s="1"/>
  <c r="K1216" i="208"/>
  <c r="R1216" i="208" s="1"/>
  <c r="K1217" i="208"/>
  <c r="R1217" i="208" s="1"/>
  <c r="K1218" i="208"/>
  <c r="R1218" i="208" s="1"/>
  <c r="K1219" i="208"/>
  <c r="R1219" i="208" s="1"/>
  <c r="K1220" i="208"/>
  <c r="R1220" i="208" s="1"/>
  <c r="K1221" i="208"/>
  <c r="R1221" i="208" s="1"/>
  <c r="K1222" i="208"/>
  <c r="R1222" i="208" s="1"/>
  <c r="K1223" i="208"/>
  <c r="R1223" i="208" s="1"/>
  <c r="K1224" i="208"/>
  <c r="R1224" i="208" s="1"/>
  <c r="K1225" i="208"/>
  <c r="R1225" i="208" s="1"/>
  <c r="K1226" i="208"/>
  <c r="R1226" i="208" s="1"/>
  <c r="K1227" i="208"/>
  <c r="R1227" i="208" s="1"/>
  <c r="K1228" i="208"/>
  <c r="R1228" i="208" s="1"/>
  <c r="K1229" i="208"/>
  <c r="R1229" i="208" s="1"/>
  <c r="K1230" i="208"/>
  <c r="R1230" i="208" s="1"/>
  <c r="K1231" i="208"/>
  <c r="R1231" i="208" s="1"/>
  <c r="K1232" i="208"/>
  <c r="R1232" i="208" s="1"/>
  <c r="K1233" i="208"/>
  <c r="R1233" i="208" s="1"/>
  <c r="K1234" i="208"/>
  <c r="R1234" i="208" s="1"/>
  <c r="K1235" i="208"/>
  <c r="R1235" i="208" s="1"/>
  <c r="K1236" i="208"/>
  <c r="R1236" i="208" s="1"/>
  <c r="K1237" i="208"/>
  <c r="R1237" i="208" s="1"/>
  <c r="K1238" i="208"/>
  <c r="R1238" i="208" s="1"/>
  <c r="K1239" i="208"/>
  <c r="R1239" i="208" s="1"/>
  <c r="K1240" i="208"/>
  <c r="R1240" i="208" s="1"/>
  <c r="K1241" i="208"/>
  <c r="R1241" i="208" s="1"/>
  <c r="K1242" i="208"/>
  <c r="R1242" i="208" s="1"/>
  <c r="K1243" i="208"/>
  <c r="R1243" i="208" s="1"/>
  <c r="K1244" i="208"/>
  <c r="R1244" i="208" s="1"/>
  <c r="K1245" i="208"/>
  <c r="R1245" i="208" s="1"/>
  <c r="K1246" i="208"/>
  <c r="R1246" i="208" s="1"/>
  <c r="K1247" i="208"/>
  <c r="R1247" i="208" s="1"/>
  <c r="K1248" i="208"/>
  <c r="R1248" i="208" s="1"/>
  <c r="K1249" i="208"/>
  <c r="R1249" i="208" s="1"/>
  <c r="K1250" i="208"/>
  <c r="R1250" i="208" s="1"/>
  <c r="K1251" i="208"/>
  <c r="R1251" i="208" s="1"/>
  <c r="K1252" i="208"/>
  <c r="R1252" i="208" s="1"/>
  <c r="K1253" i="208"/>
  <c r="R1253" i="208" s="1"/>
  <c r="K1254" i="208"/>
  <c r="R1254" i="208" s="1"/>
  <c r="K1255" i="208"/>
  <c r="R1255" i="208" s="1"/>
  <c r="K1256" i="208"/>
  <c r="R1256" i="208" s="1"/>
  <c r="K1257" i="208"/>
  <c r="R1257" i="208" s="1"/>
  <c r="K1258" i="208"/>
  <c r="R1258" i="208" s="1"/>
  <c r="K1259" i="208"/>
  <c r="R1259" i="208" s="1"/>
  <c r="K1260" i="208"/>
  <c r="R1260" i="208" s="1"/>
  <c r="K1261" i="208"/>
  <c r="R1261" i="208" s="1"/>
  <c r="K1262" i="208"/>
  <c r="R1262" i="208" s="1"/>
  <c r="K1263" i="208"/>
  <c r="R1263" i="208" s="1"/>
  <c r="K1264" i="208"/>
  <c r="R1264" i="208" s="1"/>
  <c r="K1265" i="208"/>
  <c r="R1265" i="208" s="1"/>
  <c r="K1266" i="208"/>
  <c r="R1266" i="208" s="1"/>
  <c r="K1267" i="208"/>
  <c r="R1267" i="208" s="1"/>
  <c r="K1268" i="208"/>
  <c r="R1268" i="208" s="1"/>
  <c r="K1269" i="208"/>
  <c r="R1269" i="208" s="1"/>
  <c r="K1270" i="208"/>
  <c r="R1270" i="208" s="1"/>
  <c r="K1271" i="208"/>
  <c r="R1271" i="208" s="1"/>
  <c r="K1272" i="208"/>
  <c r="R1272" i="208" s="1"/>
  <c r="K1273" i="208"/>
  <c r="R1273" i="208" s="1"/>
  <c r="K1274" i="208"/>
  <c r="R1274" i="208" s="1"/>
  <c r="K1275" i="208"/>
  <c r="R1275" i="208" s="1"/>
  <c r="K1276" i="208"/>
  <c r="R1276" i="208" s="1"/>
  <c r="K1277" i="208"/>
  <c r="R1277" i="208" s="1"/>
  <c r="K1278" i="208"/>
  <c r="R1278" i="208" s="1"/>
  <c r="K1279" i="208"/>
  <c r="R1279" i="208" s="1"/>
  <c r="K1280" i="208"/>
  <c r="R1280" i="208" s="1"/>
  <c r="K1281" i="208"/>
  <c r="R1281" i="208" s="1"/>
  <c r="K1282" i="208"/>
  <c r="R1282" i="208" s="1"/>
  <c r="K1283" i="208"/>
  <c r="R1283" i="208" s="1"/>
  <c r="K1284" i="208"/>
  <c r="R1284" i="208" s="1"/>
  <c r="K1285" i="208"/>
  <c r="R1285" i="208" s="1"/>
  <c r="K1286" i="208"/>
  <c r="R1286" i="208" s="1"/>
  <c r="K1287" i="208"/>
  <c r="R1287" i="208" s="1"/>
  <c r="K1288" i="208"/>
  <c r="R1288" i="208" s="1"/>
  <c r="K1289" i="208"/>
  <c r="R1289" i="208" s="1"/>
  <c r="K1290" i="208"/>
  <c r="R1290" i="208" s="1"/>
  <c r="K1291" i="208"/>
  <c r="R1291" i="208" s="1"/>
  <c r="K1292" i="208"/>
  <c r="R1292" i="208" s="1"/>
  <c r="K1293" i="208"/>
  <c r="R1293" i="208" s="1"/>
  <c r="K1294" i="208"/>
  <c r="R1294" i="208" s="1"/>
  <c r="K1295" i="208"/>
  <c r="R1295" i="208" s="1"/>
  <c r="K1296" i="208"/>
  <c r="R1296" i="208" s="1"/>
  <c r="K1297" i="208"/>
  <c r="R1297" i="208" s="1"/>
  <c r="K1298" i="208"/>
  <c r="R1298" i="208" s="1"/>
  <c r="K1299" i="208"/>
  <c r="R1299" i="208" s="1"/>
  <c r="K1300" i="208"/>
  <c r="R1300" i="208" s="1"/>
  <c r="K1301" i="208"/>
  <c r="R1301" i="208" s="1"/>
  <c r="K1302" i="208"/>
  <c r="R1302" i="208" s="1"/>
  <c r="K1303" i="208"/>
  <c r="R1303" i="208" s="1"/>
  <c r="K1304" i="208"/>
  <c r="R1304" i="208" s="1"/>
  <c r="K1305" i="208"/>
  <c r="R1305" i="208" s="1"/>
  <c r="K1306" i="208"/>
  <c r="R1306" i="208" s="1"/>
  <c r="K1307" i="208"/>
  <c r="R1307" i="208" s="1"/>
  <c r="K1308" i="208"/>
  <c r="R1308" i="208" s="1"/>
  <c r="K1309" i="208"/>
  <c r="R1309" i="208" s="1"/>
  <c r="K1310" i="208"/>
  <c r="R1310" i="208" s="1"/>
  <c r="K1311" i="208"/>
  <c r="R1311" i="208" s="1"/>
  <c r="K1312" i="208"/>
  <c r="R1312" i="208" s="1"/>
  <c r="K1313" i="208"/>
  <c r="R1313" i="208" s="1"/>
  <c r="K1314" i="208"/>
  <c r="R1314" i="208" s="1"/>
  <c r="K1315" i="208"/>
  <c r="R1315" i="208" s="1"/>
  <c r="K1316" i="208"/>
  <c r="R1316" i="208" s="1"/>
  <c r="K1317" i="208"/>
  <c r="R1317" i="208" s="1"/>
  <c r="K1318" i="208"/>
  <c r="R1318" i="208" s="1"/>
  <c r="K1319" i="208"/>
  <c r="R1319" i="208" s="1"/>
  <c r="K1320" i="208"/>
  <c r="R1320" i="208" s="1"/>
  <c r="K1321" i="208"/>
  <c r="R1321" i="208" s="1"/>
  <c r="K1322" i="208"/>
  <c r="R1322" i="208" s="1"/>
  <c r="K1323" i="208"/>
  <c r="R1323" i="208" s="1"/>
  <c r="K1324" i="208"/>
  <c r="R1324" i="208" s="1"/>
  <c r="K1325" i="208"/>
  <c r="R1325" i="208" s="1"/>
  <c r="K1326" i="208"/>
  <c r="R1326" i="208" s="1"/>
  <c r="K1327" i="208"/>
  <c r="R1327" i="208" s="1"/>
  <c r="K1328" i="208"/>
  <c r="R1328" i="208" s="1"/>
  <c r="K1329" i="208"/>
  <c r="R1329" i="208" s="1"/>
  <c r="K1330" i="208"/>
  <c r="R1330" i="208" s="1"/>
  <c r="K1331" i="208"/>
  <c r="R1331" i="208" s="1"/>
  <c r="K1332" i="208"/>
  <c r="R1332" i="208" s="1"/>
  <c r="K1333" i="208"/>
  <c r="R1333" i="208" s="1"/>
  <c r="K1334" i="208"/>
  <c r="R1334" i="208" s="1"/>
  <c r="K1335" i="208"/>
  <c r="R1335" i="208" s="1"/>
  <c r="K1336" i="208"/>
  <c r="R1336" i="208" s="1"/>
  <c r="K1337" i="208"/>
  <c r="R1337" i="208" s="1"/>
  <c r="K1338" i="208"/>
  <c r="R1338" i="208" s="1"/>
  <c r="K1339" i="208"/>
  <c r="R1339" i="208" s="1"/>
  <c r="K1340" i="208"/>
  <c r="R1340" i="208" s="1"/>
  <c r="K1341" i="208"/>
  <c r="R1341" i="208" s="1"/>
  <c r="K1342" i="208"/>
  <c r="R1342" i="208" s="1"/>
  <c r="K1343" i="208"/>
  <c r="R1343" i="208" s="1"/>
  <c r="K1344" i="208"/>
  <c r="R1344" i="208" s="1"/>
  <c r="K1345" i="208"/>
  <c r="R1345" i="208" s="1"/>
  <c r="K1346" i="208"/>
  <c r="R1346" i="208" s="1"/>
  <c r="K1347" i="208"/>
  <c r="R1347" i="208" s="1"/>
  <c r="K1348" i="208"/>
  <c r="R1348" i="208" s="1"/>
  <c r="K1349" i="208"/>
  <c r="R1349" i="208" s="1"/>
  <c r="K1350" i="208"/>
  <c r="R1350" i="208" s="1"/>
  <c r="K1351" i="208"/>
  <c r="R1351" i="208" s="1"/>
  <c r="K1352" i="208"/>
  <c r="R1352" i="208" s="1"/>
  <c r="K1353" i="208"/>
  <c r="R1353" i="208" s="1"/>
  <c r="K1354" i="208"/>
  <c r="R1354" i="208" s="1"/>
  <c r="K1355" i="208"/>
  <c r="R1355" i="208" s="1"/>
  <c r="K1356" i="208"/>
  <c r="R1356" i="208" s="1"/>
  <c r="K1357" i="208"/>
  <c r="R1357" i="208" s="1"/>
  <c r="K1358" i="208"/>
  <c r="R1358" i="208" s="1"/>
  <c r="K1359" i="208"/>
  <c r="R1359" i="208" s="1"/>
  <c r="K1360" i="208"/>
  <c r="R1360" i="208" s="1"/>
  <c r="K1361" i="208"/>
  <c r="R1361" i="208" s="1"/>
  <c r="K1362" i="208"/>
  <c r="R1362" i="208" s="1"/>
  <c r="K1363" i="208"/>
  <c r="R1363" i="208" s="1"/>
  <c r="K1364" i="208"/>
  <c r="R1364" i="208" s="1"/>
  <c r="K1365" i="208"/>
  <c r="R1365" i="208" s="1"/>
  <c r="K1366" i="208"/>
  <c r="R1366" i="208" s="1"/>
  <c r="K1367" i="208"/>
  <c r="R1367" i="208" s="1"/>
  <c r="K1368" i="208"/>
  <c r="R1368" i="208" s="1"/>
  <c r="K1369" i="208"/>
  <c r="R1369" i="208" s="1"/>
  <c r="K1370" i="208"/>
  <c r="R1370" i="208" s="1"/>
  <c r="K1371" i="208"/>
  <c r="R1371" i="208" s="1"/>
  <c r="K1372" i="208"/>
  <c r="R1372" i="208" s="1"/>
  <c r="K1373" i="208"/>
  <c r="R1373" i="208" s="1"/>
  <c r="K1374" i="208"/>
  <c r="R1374" i="208" s="1"/>
  <c r="K1375" i="208"/>
  <c r="R1375" i="208" s="1"/>
  <c r="K1376" i="208"/>
  <c r="R1376" i="208" s="1"/>
  <c r="K1377" i="208"/>
  <c r="R1377" i="208" s="1"/>
  <c r="K1378" i="208"/>
  <c r="R1378" i="208" s="1"/>
  <c r="K1379" i="208"/>
  <c r="R1379" i="208" s="1"/>
  <c r="K1380" i="208"/>
  <c r="R1380" i="208" s="1"/>
  <c r="K1381" i="208"/>
  <c r="R1381" i="208" s="1"/>
  <c r="K1382" i="208"/>
  <c r="R1382" i="208" s="1"/>
  <c r="K1383" i="208"/>
  <c r="R1383" i="208" s="1"/>
  <c r="K1384" i="208"/>
  <c r="R1384" i="208" s="1"/>
  <c r="K1385" i="208"/>
  <c r="R1385" i="208" s="1"/>
  <c r="K1386" i="208"/>
  <c r="R1386" i="208" s="1"/>
  <c r="K1387" i="208"/>
  <c r="R1387" i="208" s="1"/>
  <c r="K1388" i="208"/>
  <c r="R1388" i="208" s="1"/>
  <c r="K1389" i="208"/>
  <c r="R1389" i="208" s="1"/>
  <c r="K1390" i="208"/>
  <c r="R1390" i="208" s="1"/>
  <c r="K1391" i="208"/>
  <c r="R1391" i="208" s="1"/>
  <c r="K1392" i="208"/>
  <c r="R1392" i="208" s="1"/>
  <c r="K1393" i="208"/>
  <c r="R1393" i="208" s="1"/>
  <c r="K1394" i="208"/>
  <c r="R1394" i="208" s="1"/>
  <c r="K1395" i="208"/>
  <c r="R1395" i="208" s="1"/>
  <c r="K1396" i="208"/>
  <c r="R1396" i="208" s="1"/>
  <c r="K1397" i="208"/>
  <c r="R1397" i="208" s="1"/>
  <c r="K1398" i="208"/>
  <c r="R1398" i="208" s="1"/>
  <c r="K1399" i="208"/>
  <c r="R1399" i="208" s="1"/>
  <c r="K1400" i="208"/>
  <c r="R1400" i="208" s="1"/>
  <c r="K1401" i="208"/>
  <c r="R1401" i="208" s="1"/>
  <c r="K1402" i="208"/>
  <c r="R1402" i="208" s="1"/>
  <c r="K1403" i="208"/>
  <c r="R1403" i="208" s="1"/>
  <c r="K1404" i="208"/>
  <c r="R1404" i="208" s="1"/>
  <c r="K1405" i="208"/>
  <c r="R1405" i="208" s="1"/>
  <c r="K1406" i="208"/>
  <c r="R1406" i="208" s="1"/>
  <c r="K1407" i="208"/>
  <c r="R1407" i="208" s="1"/>
  <c r="K1408" i="208"/>
  <c r="R1408" i="208" s="1"/>
  <c r="K1409" i="208"/>
  <c r="R1409" i="208" s="1"/>
  <c r="K1410" i="208"/>
  <c r="R1410" i="208" s="1"/>
  <c r="K1411" i="208"/>
  <c r="R1411" i="208" s="1"/>
  <c r="K1412" i="208"/>
  <c r="R1412" i="208" s="1"/>
  <c r="K1413" i="208"/>
  <c r="R1413" i="208" s="1"/>
  <c r="K1414" i="208"/>
  <c r="R1414" i="208" s="1"/>
  <c r="K1415" i="208"/>
  <c r="R1415" i="208" s="1"/>
  <c r="K1416" i="208"/>
  <c r="R1416" i="208" s="1"/>
  <c r="K1417" i="208"/>
  <c r="R1417" i="208" s="1"/>
  <c r="K1418" i="208"/>
  <c r="R1418" i="208" s="1"/>
  <c r="K1419" i="208"/>
  <c r="R1419" i="208" s="1"/>
  <c r="K1420" i="208"/>
  <c r="R1420" i="208" s="1"/>
  <c r="K1421" i="208"/>
  <c r="R1421" i="208" s="1"/>
  <c r="K1422" i="208"/>
  <c r="R1422" i="208" s="1"/>
  <c r="K1423" i="208"/>
  <c r="R1423" i="208" s="1"/>
  <c r="K1424" i="208"/>
  <c r="R1424" i="208" s="1"/>
  <c r="K1425" i="208"/>
  <c r="R1425" i="208" s="1"/>
  <c r="K1426" i="208"/>
  <c r="R1426" i="208" s="1"/>
  <c r="K1427" i="208"/>
  <c r="R1427" i="208" s="1"/>
  <c r="K1428" i="208"/>
  <c r="R1428" i="208" s="1"/>
  <c r="K1429" i="208"/>
  <c r="R1429" i="208" s="1"/>
  <c r="K1430" i="208"/>
  <c r="R1430" i="208" s="1"/>
  <c r="K1431" i="208"/>
  <c r="R1431" i="208" s="1"/>
  <c r="K1432" i="208"/>
  <c r="R1432" i="208" s="1"/>
  <c r="K1433" i="208"/>
  <c r="R1433" i="208" s="1"/>
  <c r="K1434" i="208"/>
  <c r="R1434" i="208" s="1"/>
  <c r="K1435" i="208"/>
  <c r="R1435" i="208" s="1"/>
  <c r="K1436" i="208"/>
  <c r="R1436" i="208" s="1"/>
  <c r="K1437" i="208"/>
  <c r="R1437" i="208" s="1"/>
  <c r="K1438" i="208"/>
  <c r="R1438" i="208" s="1"/>
  <c r="K1439" i="208"/>
  <c r="R1439" i="208" s="1"/>
  <c r="K1440" i="208"/>
  <c r="R1440" i="208" s="1"/>
  <c r="K1441" i="208"/>
  <c r="R1441" i="208" s="1"/>
  <c r="K1442" i="208"/>
  <c r="R1442" i="208" s="1"/>
  <c r="K1443" i="208"/>
  <c r="R1443" i="208" s="1"/>
  <c r="K1444" i="208"/>
  <c r="R1444" i="208" s="1"/>
  <c r="K1445" i="208"/>
  <c r="R1445" i="208" s="1"/>
  <c r="K1446" i="208"/>
  <c r="R1446" i="208" s="1"/>
  <c r="K1447" i="208"/>
  <c r="R1447" i="208" s="1"/>
  <c r="K1448" i="208"/>
  <c r="R1448" i="208" s="1"/>
  <c r="K1449" i="208"/>
  <c r="R1449" i="208" s="1"/>
  <c r="K1450" i="208"/>
  <c r="R1450" i="208" s="1"/>
  <c r="K1451" i="208"/>
  <c r="R1451" i="208" s="1"/>
  <c r="K1452" i="208"/>
  <c r="R1452" i="208" s="1"/>
  <c r="K1453" i="208"/>
  <c r="R1453" i="208" s="1"/>
  <c r="K1454" i="208"/>
  <c r="R1454" i="208" s="1"/>
  <c r="K1455" i="208"/>
  <c r="R1455" i="208" s="1"/>
  <c r="K1456" i="208"/>
  <c r="R1456" i="208" s="1"/>
  <c r="K1457" i="208"/>
  <c r="R1457" i="208" s="1"/>
  <c r="K1458" i="208"/>
  <c r="R1458" i="208" s="1"/>
  <c r="K1459" i="208"/>
  <c r="R1459" i="208" s="1"/>
  <c r="K1460" i="208"/>
  <c r="R1460" i="208" s="1"/>
  <c r="K1461" i="208"/>
  <c r="R1461" i="208" s="1"/>
  <c r="K1462" i="208"/>
  <c r="R1462" i="208" s="1"/>
  <c r="K1463" i="208"/>
  <c r="R1463" i="208" s="1"/>
  <c r="K1464" i="208"/>
  <c r="R1464" i="208" s="1"/>
  <c r="K1465" i="208"/>
  <c r="R1465" i="208" s="1"/>
  <c r="K1466" i="208"/>
  <c r="R1466" i="208" s="1"/>
  <c r="K1467" i="208"/>
  <c r="R1467" i="208" s="1"/>
  <c r="K1468" i="208"/>
  <c r="R1468" i="208" s="1"/>
  <c r="K1469" i="208"/>
  <c r="R1469" i="208" s="1"/>
  <c r="K1470" i="208"/>
  <c r="R1470" i="208" s="1"/>
  <c r="K1471" i="208"/>
  <c r="R1471" i="208" s="1"/>
  <c r="K1472" i="208"/>
  <c r="R1472" i="208" s="1"/>
  <c r="K1473" i="208"/>
  <c r="R1473" i="208" s="1"/>
  <c r="K1474" i="208"/>
  <c r="R1474" i="208" s="1"/>
  <c r="K1475" i="208"/>
  <c r="R1475" i="208" s="1"/>
  <c r="K1476" i="208"/>
  <c r="R1476" i="208" s="1"/>
  <c r="K1477" i="208"/>
  <c r="R1477" i="208" s="1"/>
  <c r="K1478" i="208"/>
  <c r="R1478" i="208" s="1"/>
  <c r="K1479" i="208"/>
  <c r="R1479" i="208" s="1"/>
  <c r="K1480" i="208"/>
  <c r="R1480" i="208" s="1"/>
  <c r="K1481" i="208"/>
  <c r="R1481" i="208" s="1"/>
  <c r="K1482" i="208"/>
  <c r="R1482" i="208" s="1"/>
  <c r="K1483" i="208"/>
  <c r="R1483" i="208" s="1"/>
  <c r="K1484" i="208"/>
  <c r="R1484" i="208" s="1"/>
  <c r="K1485" i="208"/>
  <c r="R1485" i="208" s="1"/>
  <c r="K1486" i="208"/>
  <c r="R1486" i="208" s="1"/>
  <c r="K1487" i="208"/>
  <c r="R1487" i="208" s="1"/>
  <c r="K1488" i="208"/>
  <c r="R1488" i="208" s="1"/>
  <c r="K1489" i="208"/>
  <c r="R1489" i="208" s="1"/>
  <c r="K1490" i="208"/>
  <c r="R1490" i="208" s="1"/>
  <c r="K1491" i="208"/>
  <c r="R1491" i="208" s="1"/>
  <c r="K1492" i="208"/>
  <c r="R1492" i="208" s="1"/>
  <c r="K1493" i="208"/>
  <c r="R1493" i="208" s="1"/>
  <c r="K1494" i="208"/>
  <c r="R1494" i="208" s="1"/>
  <c r="K1495" i="208"/>
  <c r="R1495" i="208" s="1"/>
  <c r="K1496" i="208"/>
  <c r="R1496" i="208" s="1"/>
  <c r="K1497" i="208"/>
  <c r="R1497" i="208" s="1"/>
  <c r="K1498" i="208"/>
  <c r="R1498" i="208" s="1"/>
  <c r="K1499" i="208"/>
  <c r="R1499" i="208" s="1"/>
  <c r="K1500" i="208"/>
  <c r="R1500" i="208" s="1"/>
  <c r="K1501" i="208"/>
  <c r="R1501" i="208" s="1"/>
  <c r="K1502" i="208"/>
  <c r="R1502" i="208" s="1"/>
  <c r="K1503" i="208"/>
  <c r="R1503" i="208" s="1"/>
  <c r="K1504" i="208"/>
  <c r="R1504" i="208" s="1"/>
  <c r="K1505" i="208"/>
  <c r="R1505" i="208" s="1"/>
  <c r="K1506" i="208"/>
  <c r="R1506" i="208" s="1"/>
  <c r="K1507" i="208"/>
  <c r="R1507" i="208" s="1"/>
  <c r="K1508" i="208"/>
  <c r="R1508" i="208" s="1"/>
  <c r="K1509" i="208"/>
  <c r="R1509" i="208" s="1"/>
  <c r="K1510" i="208"/>
  <c r="R1510" i="208" s="1"/>
  <c r="K1511" i="208"/>
  <c r="R1511" i="208" s="1"/>
  <c r="K1512" i="208"/>
  <c r="R1512" i="208" s="1"/>
  <c r="K1513" i="208"/>
  <c r="R1513" i="208" s="1"/>
  <c r="K1514" i="208"/>
  <c r="R1514" i="208" s="1"/>
  <c r="K1515" i="208"/>
  <c r="R1515" i="208" s="1"/>
  <c r="K1516" i="208"/>
  <c r="R1516" i="208" s="1"/>
  <c r="K1517" i="208"/>
  <c r="R1517" i="208" s="1"/>
  <c r="K1518" i="208"/>
  <c r="R1518" i="208" s="1"/>
  <c r="K1519" i="208"/>
  <c r="R1519" i="208" s="1"/>
  <c r="K1520" i="208"/>
  <c r="R1520" i="208" s="1"/>
  <c r="K1521" i="208"/>
  <c r="R1521" i="208" s="1"/>
  <c r="K1522" i="208"/>
  <c r="R1522" i="208" s="1"/>
  <c r="K1523" i="208"/>
  <c r="R1523" i="208" s="1"/>
  <c r="K1524" i="208"/>
  <c r="R1524" i="208" s="1"/>
  <c r="K1525" i="208"/>
  <c r="R1525" i="208" s="1"/>
  <c r="K1526" i="208"/>
  <c r="R1526" i="208" s="1"/>
  <c r="K1527" i="208"/>
  <c r="R1527" i="208" s="1"/>
  <c r="K1528" i="208"/>
  <c r="R1528" i="208" s="1"/>
  <c r="K1529" i="208"/>
  <c r="R1529" i="208" s="1"/>
  <c r="K1530" i="208"/>
  <c r="R1530" i="208" s="1"/>
  <c r="K1531" i="208"/>
  <c r="R1531" i="208" s="1"/>
  <c r="K1532" i="208"/>
  <c r="R1532" i="208" s="1"/>
  <c r="K1533" i="208"/>
  <c r="R1533" i="208" s="1"/>
  <c r="K1534" i="208"/>
  <c r="R1534" i="208" s="1"/>
  <c r="K1535" i="208"/>
  <c r="R1535" i="208" s="1"/>
  <c r="K1536" i="208"/>
  <c r="R1536" i="208" s="1"/>
  <c r="K1537" i="208"/>
  <c r="R1537" i="208" s="1"/>
  <c r="K1538" i="208"/>
  <c r="R1538" i="208" s="1"/>
  <c r="K1539" i="208"/>
  <c r="R1539" i="208" s="1"/>
  <c r="K1540" i="208"/>
  <c r="R1540" i="208" s="1"/>
  <c r="K1541" i="208"/>
  <c r="R1541" i="208" s="1"/>
  <c r="K1542" i="208"/>
  <c r="R1542" i="208" s="1"/>
  <c r="K1543" i="208"/>
  <c r="R1543" i="208" s="1"/>
  <c r="K1544" i="208"/>
  <c r="R1544" i="208" s="1"/>
  <c r="K1545" i="208"/>
  <c r="R1545" i="208" s="1"/>
  <c r="K1546" i="208"/>
  <c r="R1546" i="208" s="1"/>
  <c r="K1547" i="208"/>
  <c r="R1547" i="208" s="1"/>
  <c r="K1548" i="208"/>
  <c r="R1548" i="208" s="1"/>
  <c r="K1549" i="208"/>
  <c r="R1549" i="208" s="1"/>
  <c r="K1550" i="208"/>
  <c r="R1550" i="208" s="1"/>
  <c r="K1551" i="208"/>
  <c r="R1551" i="208" s="1"/>
  <c r="K1552" i="208"/>
  <c r="R1552" i="208" s="1"/>
  <c r="K1553" i="208"/>
  <c r="R1553" i="208" s="1"/>
  <c r="K1554" i="208"/>
  <c r="R1554" i="208" s="1"/>
  <c r="K1555" i="208"/>
  <c r="R1555" i="208" s="1"/>
  <c r="K1556" i="208"/>
  <c r="R1556" i="208" s="1"/>
  <c r="K1557" i="208"/>
  <c r="R1557" i="208" s="1"/>
  <c r="K1558" i="208"/>
  <c r="R1558" i="208" s="1"/>
  <c r="K1559" i="208"/>
  <c r="R1559" i="208" s="1"/>
  <c r="K1560" i="208"/>
  <c r="R1560" i="208" s="1"/>
  <c r="K1561" i="208"/>
  <c r="R1561" i="208" s="1"/>
  <c r="K1562" i="208"/>
  <c r="R1562" i="208" s="1"/>
  <c r="K1563" i="208"/>
  <c r="R1563" i="208" s="1"/>
  <c r="K1564" i="208"/>
  <c r="R1564" i="208" s="1"/>
  <c r="K1565" i="208"/>
  <c r="R1565" i="208" s="1"/>
  <c r="K1566" i="208"/>
  <c r="R1566" i="208" s="1"/>
  <c r="K1567" i="208"/>
  <c r="R1567" i="208" s="1"/>
  <c r="K1568" i="208"/>
  <c r="R1568" i="208" s="1"/>
  <c r="K1569" i="208"/>
  <c r="R1569" i="208" s="1"/>
  <c r="K1570" i="208"/>
  <c r="R1570" i="208" s="1"/>
  <c r="K1571" i="208"/>
  <c r="R1571" i="208" s="1"/>
  <c r="K1572" i="208"/>
  <c r="R1572" i="208" s="1"/>
  <c r="K1573" i="208"/>
  <c r="R1573" i="208" s="1"/>
  <c r="K1574" i="208"/>
  <c r="R1574" i="208" s="1"/>
  <c r="K1575" i="208"/>
  <c r="R1575" i="208" s="1"/>
  <c r="K1576" i="208"/>
  <c r="R1576" i="208" s="1"/>
  <c r="K1577" i="208"/>
  <c r="R1577" i="208" s="1"/>
  <c r="K1578" i="208"/>
  <c r="R1578" i="208" s="1"/>
  <c r="K1579" i="208"/>
  <c r="R1579" i="208" s="1"/>
  <c r="K1580" i="208"/>
  <c r="R1580" i="208" s="1"/>
  <c r="K1581" i="208"/>
  <c r="R1581" i="208" s="1"/>
  <c r="K1582" i="208"/>
  <c r="R1582" i="208" s="1"/>
  <c r="K1583" i="208"/>
  <c r="R1583" i="208" s="1"/>
  <c r="K1584" i="208"/>
  <c r="R1584" i="208" s="1"/>
  <c r="K1585" i="208"/>
  <c r="R1585" i="208" s="1"/>
  <c r="K1586" i="208"/>
  <c r="R1586" i="208" s="1"/>
  <c r="K1587" i="208"/>
  <c r="R1587" i="208" s="1"/>
  <c r="K1588" i="208"/>
  <c r="R1588" i="208" s="1"/>
  <c r="K1589" i="208"/>
  <c r="R1589" i="208" s="1"/>
  <c r="K1590" i="208"/>
  <c r="R1590" i="208" s="1"/>
  <c r="K1591" i="208"/>
  <c r="R1591" i="208" s="1"/>
  <c r="K1592" i="208"/>
  <c r="R1592" i="208" s="1"/>
  <c r="K1593" i="208"/>
  <c r="R1593" i="208" s="1"/>
  <c r="K1594" i="208"/>
  <c r="R1594" i="208" s="1"/>
  <c r="K1595" i="208"/>
  <c r="R1595" i="208" s="1"/>
  <c r="K1596" i="208"/>
  <c r="R1596" i="208" s="1"/>
  <c r="K1597" i="208"/>
  <c r="R1597" i="208" s="1"/>
  <c r="K1598" i="208"/>
  <c r="R1598" i="208" s="1"/>
  <c r="K1599" i="208"/>
  <c r="R1599" i="208" s="1"/>
  <c r="K1600" i="208"/>
  <c r="R1600" i="208" s="1"/>
  <c r="K1601" i="208"/>
  <c r="R1601" i="208" s="1"/>
  <c r="K1602" i="208"/>
  <c r="R1602" i="208" s="1"/>
  <c r="K1603" i="208"/>
  <c r="R1603" i="208" s="1"/>
  <c r="K1604" i="208"/>
  <c r="R1604" i="208" s="1"/>
  <c r="K1605" i="208"/>
  <c r="R1605" i="208" s="1"/>
  <c r="K1606" i="208"/>
  <c r="R1606" i="208" s="1"/>
  <c r="K1607" i="208"/>
  <c r="R1607" i="208" s="1"/>
  <c r="K1608" i="208"/>
  <c r="R1608" i="208" s="1"/>
  <c r="K1609" i="208"/>
  <c r="R1609" i="208" s="1"/>
  <c r="K1610" i="208"/>
  <c r="R1610" i="208" s="1"/>
  <c r="K1611" i="208"/>
  <c r="R1611" i="208" s="1"/>
  <c r="K1612" i="208"/>
  <c r="R1612" i="208" s="1"/>
  <c r="K1613" i="208"/>
  <c r="R1613" i="208" s="1"/>
  <c r="K1614" i="208"/>
  <c r="R1614" i="208" s="1"/>
  <c r="K1615" i="208"/>
  <c r="R1615" i="208" s="1"/>
  <c r="K1616" i="208"/>
  <c r="R1616" i="208" s="1"/>
  <c r="K1617" i="208"/>
  <c r="R1617" i="208" s="1"/>
  <c r="K1618" i="208"/>
  <c r="R1618" i="208" s="1"/>
  <c r="K1619" i="208"/>
  <c r="R1619" i="208" s="1"/>
  <c r="K1620" i="208"/>
  <c r="R1620" i="208" s="1"/>
  <c r="K1621" i="208"/>
  <c r="R1621" i="208" s="1"/>
  <c r="K1622" i="208"/>
  <c r="R1622" i="208" s="1"/>
  <c r="K1623" i="208"/>
  <c r="R1623" i="208" s="1"/>
  <c r="K1624" i="208"/>
  <c r="R1624" i="208" s="1"/>
  <c r="K1625" i="208"/>
  <c r="R1625" i="208" s="1"/>
  <c r="K1626" i="208"/>
  <c r="R1626" i="208" s="1"/>
  <c r="K1627" i="208"/>
  <c r="R1627" i="208" s="1"/>
  <c r="K1628" i="208"/>
  <c r="R1628" i="208" s="1"/>
  <c r="K1629" i="208"/>
  <c r="R1629" i="208" s="1"/>
  <c r="K1630" i="208"/>
  <c r="R1630" i="208" s="1"/>
  <c r="K1631" i="208"/>
  <c r="R1631" i="208" s="1"/>
  <c r="K1632" i="208"/>
  <c r="R1632" i="208" s="1"/>
  <c r="K1633" i="208"/>
  <c r="R1633" i="208" s="1"/>
  <c r="K1634" i="208"/>
  <c r="R1634" i="208" s="1"/>
  <c r="K1635" i="208"/>
  <c r="R1635" i="208" s="1"/>
  <c r="K1636" i="208"/>
  <c r="R1636" i="208" s="1"/>
  <c r="K1637" i="208"/>
  <c r="R1637" i="208" s="1"/>
  <c r="K1638" i="208"/>
  <c r="R1638" i="208" s="1"/>
  <c r="K1639" i="208"/>
  <c r="R1639" i="208" s="1"/>
  <c r="K1640" i="208"/>
  <c r="R1640" i="208" s="1"/>
  <c r="K1641" i="208"/>
  <c r="R1641" i="208" s="1"/>
  <c r="K1642" i="208"/>
  <c r="R1642" i="208" s="1"/>
  <c r="K1643" i="208"/>
  <c r="R1643" i="208" s="1"/>
  <c r="K1644" i="208"/>
  <c r="R1644" i="208" s="1"/>
  <c r="K1645" i="208"/>
  <c r="R1645" i="208" s="1"/>
  <c r="K1646" i="208"/>
  <c r="R1646" i="208" s="1"/>
  <c r="K1647" i="208"/>
  <c r="R1647" i="208" s="1"/>
  <c r="K1648" i="208"/>
  <c r="R1648" i="208" s="1"/>
  <c r="K1649" i="208"/>
  <c r="R1649" i="208" s="1"/>
  <c r="K1650" i="208"/>
  <c r="R1650" i="208" s="1"/>
  <c r="K1651" i="208"/>
  <c r="R1651" i="208" s="1"/>
  <c r="K1652" i="208"/>
  <c r="R1652" i="208" s="1"/>
  <c r="K1653" i="208"/>
  <c r="R1653" i="208" s="1"/>
  <c r="K1654" i="208"/>
  <c r="R1654" i="208" s="1"/>
  <c r="K1655" i="208"/>
  <c r="R1655" i="208" s="1"/>
  <c r="K1656" i="208"/>
  <c r="R1656" i="208" s="1"/>
  <c r="K1657" i="208"/>
  <c r="R1657" i="208" s="1"/>
  <c r="K1658" i="208"/>
  <c r="R1658" i="208" s="1"/>
  <c r="K1659" i="208"/>
  <c r="R1659" i="208" s="1"/>
  <c r="K1660" i="208"/>
  <c r="R1660" i="208" s="1"/>
  <c r="K1661" i="208"/>
  <c r="R1661" i="208" s="1"/>
  <c r="K1662" i="208"/>
  <c r="R1662" i="208" s="1"/>
  <c r="K1663" i="208"/>
  <c r="R1663" i="208" s="1"/>
  <c r="K1664" i="208"/>
  <c r="R1664" i="208" s="1"/>
  <c r="K1665" i="208"/>
  <c r="R1665" i="208" s="1"/>
  <c r="K1666" i="208"/>
  <c r="R1666" i="208" s="1"/>
  <c r="K1667" i="208"/>
  <c r="R1667" i="208" s="1"/>
  <c r="K1668" i="208"/>
  <c r="R1668" i="208" s="1"/>
  <c r="K1669" i="208"/>
  <c r="R1669" i="208" s="1"/>
  <c r="K1670" i="208"/>
  <c r="R1670" i="208" s="1"/>
  <c r="K1671" i="208"/>
  <c r="R1671" i="208" s="1"/>
  <c r="K1672" i="208"/>
  <c r="R1672" i="208" s="1"/>
  <c r="K1673" i="208"/>
  <c r="R1673" i="208" s="1"/>
  <c r="K1674" i="208"/>
  <c r="R1674" i="208" s="1"/>
  <c r="K1675" i="208"/>
  <c r="R1675" i="208" s="1"/>
  <c r="K1676" i="208"/>
  <c r="R1676" i="208" s="1"/>
  <c r="K1677" i="208"/>
  <c r="R1677" i="208" s="1"/>
  <c r="K1678" i="208"/>
  <c r="R1678" i="208" s="1"/>
  <c r="K1679" i="208"/>
  <c r="R1679" i="208" s="1"/>
  <c r="K1680" i="208"/>
  <c r="R1680" i="208" s="1"/>
  <c r="K1681" i="208"/>
  <c r="R1681" i="208" s="1"/>
  <c r="K1682" i="208"/>
  <c r="R1682" i="208" s="1"/>
  <c r="K1683" i="208"/>
  <c r="R1683" i="208" s="1"/>
  <c r="K1684" i="208"/>
  <c r="R1684" i="208" s="1"/>
  <c r="K1685" i="208"/>
  <c r="R1685" i="208" s="1"/>
  <c r="K1686" i="208"/>
  <c r="R1686" i="208" s="1"/>
  <c r="K1687" i="208"/>
  <c r="R1687" i="208" s="1"/>
  <c r="K1688" i="208"/>
  <c r="R1688" i="208" s="1"/>
  <c r="K1689" i="208"/>
  <c r="R1689" i="208" s="1"/>
  <c r="K1690" i="208"/>
  <c r="R1690" i="208" s="1"/>
  <c r="K1691" i="208"/>
  <c r="R1691" i="208" s="1"/>
  <c r="K1692" i="208"/>
  <c r="R1692" i="208" s="1"/>
  <c r="K1693" i="208"/>
  <c r="R1693" i="208" s="1"/>
  <c r="K1694" i="208"/>
  <c r="R1694" i="208" s="1"/>
  <c r="K1695" i="208"/>
  <c r="R1695" i="208" s="1"/>
  <c r="K1696" i="208"/>
  <c r="R1696" i="208" s="1"/>
  <c r="K1697" i="208"/>
  <c r="R1697" i="208" s="1"/>
  <c r="K1698" i="208"/>
  <c r="R1698" i="208" s="1"/>
  <c r="K1699" i="208"/>
  <c r="R1699" i="208" s="1"/>
  <c r="K1700" i="208"/>
  <c r="R1700" i="208" s="1"/>
  <c r="K1701" i="208"/>
  <c r="R1701" i="208" s="1"/>
  <c r="K1702" i="208"/>
  <c r="R1702" i="208" s="1"/>
  <c r="K1703" i="208"/>
  <c r="R1703" i="208" s="1"/>
  <c r="K1704" i="208"/>
  <c r="R1704" i="208" s="1"/>
  <c r="K1705" i="208"/>
  <c r="R1705" i="208" s="1"/>
  <c r="K1706" i="208"/>
  <c r="R1706" i="208" s="1"/>
  <c r="K1707" i="208"/>
  <c r="R1707" i="208" s="1"/>
  <c r="K1708" i="208"/>
  <c r="R1708" i="208" s="1"/>
  <c r="K1709" i="208"/>
  <c r="R1709" i="208" s="1"/>
  <c r="K1710" i="208"/>
  <c r="R1710" i="208" s="1"/>
  <c r="K1711" i="208"/>
  <c r="R1711" i="208" s="1"/>
  <c r="K1712" i="208"/>
  <c r="R1712" i="208" s="1"/>
  <c r="K1713" i="208"/>
  <c r="R1713" i="208" s="1"/>
  <c r="K1714" i="208"/>
  <c r="R1714" i="208" s="1"/>
  <c r="K1715" i="208"/>
  <c r="R1715" i="208" s="1"/>
  <c r="K1716" i="208"/>
  <c r="R1716" i="208" s="1"/>
  <c r="K1717" i="208"/>
  <c r="R1717" i="208" s="1"/>
  <c r="K1718" i="208"/>
  <c r="R1718" i="208" s="1"/>
  <c r="K1719" i="208"/>
  <c r="R1719" i="208" s="1"/>
  <c r="K1720" i="208"/>
  <c r="R1720" i="208" s="1"/>
  <c r="K1721" i="208"/>
  <c r="R1721" i="208" s="1"/>
  <c r="K1722" i="208"/>
  <c r="R1722" i="208" s="1"/>
  <c r="K1723" i="208"/>
  <c r="R1723" i="208" s="1"/>
  <c r="K1724" i="208"/>
  <c r="R1724" i="208" s="1"/>
  <c r="K1725" i="208"/>
  <c r="R1725" i="208" s="1"/>
  <c r="K1726" i="208"/>
  <c r="R1726" i="208" s="1"/>
  <c r="K1727" i="208"/>
  <c r="R1727" i="208" s="1"/>
  <c r="K1728" i="208"/>
  <c r="R1728" i="208" s="1"/>
  <c r="K1729" i="208"/>
  <c r="R1729" i="208" s="1"/>
  <c r="K1730" i="208"/>
  <c r="R1730" i="208" s="1"/>
  <c r="K1731" i="208"/>
  <c r="R1731" i="208" s="1"/>
  <c r="K1732" i="208"/>
  <c r="R1732" i="208" s="1"/>
  <c r="K1733" i="208"/>
  <c r="R1733" i="208" s="1"/>
  <c r="K1734" i="208"/>
  <c r="R1734" i="208" s="1"/>
  <c r="K1735" i="208"/>
  <c r="R1735" i="208" s="1"/>
  <c r="K1736" i="208"/>
  <c r="R1736" i="208" s="1"/>
  <c r="K1737" i="208"/>
  <c r="R1737" i="208" s="1"/>
  <c r="K1738" i="208"/>
  <c r="R1738" i="208" s="1"/>
  <c r="K1739" i="208"/>
  <c r="R1739" i="208" s="1"/>
  <c r="K1740" i="208"/>
  <c r="R1740" i="208" s="1"/>
  <c r="K1741" i="208"/>
  <c r="R1741" i="208" s="1"/>
  <c r="K1742" i="208"/>
  <c r="R1742" i="208" s="1"/>
  <c r="K1743" i="208"/>
  <c r="R1743" i="208" s="1"/>
  <c r="K1744" i="208"/>
  <c r="R1744" i="208" s="1"/>
  <c r="K1745" i="208"/>
  <c r="R1745" i="208" s="1"/>
  <c r="K1746" i="208"/>
  <c r="R1746" i="208" s="1"/>
  <c r="K1747" i="208"/>
  <c r="R1747" i="208" s="1"/>
  <c r="K1748" i="208"/>
  <c r="R1748" i="208" s="1"/>
  <c r="K1749" i="208"/>
  <c r="R1749" i="208" s="1"/>
  <c r="K1750" i="208"/>
  <c r="R1750" i="208" s="1"/>
  <c r="K1751" i="208"/>
  <c r="R1751" i="208" s="1"/>
  <c r="K1752" i="208"/>
  <c r="R1752" i="208" s="1"/>
  <c r="K1753" i="208"/>
  <c r="R1753" i="208" s="1"/>
  <c r="K1754" i="208"/>
  <c r="R1754" i="208" s="1"/>
  <c r="K1755" i="208"/>
  <c r="R1755" i="208" s="1"/>
  <c r="K1756" i="208"/>
  <c r="R1756" i="208" s="1"/>
  <c r="K1757" i="208"/>
  <c r="R1757" i="208" s="1"/>
  <c r="K1758" i="208"/>
  <c r="R1758" i="208" s="1"/>
  <c r="K1759" i="208"/>
  <c r="R1759" i="208" s="1"/>
  <c r="K1760" i="208"/>
  <c r="R1760" i="208" s="1"/>
  <c r="K1761" i="208"/>
  <c r="R1761" i="208" s="1"/>
  <c r="K1762" i="208"/>
  <c r="R1762" i="208" s="1"/>
  <c r="K1763" i="208"/>
  <c r="R1763" i="208" s="1"/>
  <c r="K1764" i="208"/>
  <c r="R1764" i="208" s="1"/>
  <c r="K1765" i="208"/>
  <c r="R1765" i="208" s="1"/>
  <c r="K1766" i="208"/>
  <c r="R1766" i="208" s="1"/>
  <c r="K1767" i="208"/>
  <c r="R1767" i="208" s="1"/>
  <c r="K1768" i="208"/>
  <c r="R1768" i="208" s="1"/>
  <c r="K1769" i="208"/>
  <c r="R1769" i="208" s="1"/>
  <c r="K1770" i="208"/>
  <c r="R1770" i="208" s="1"/>
  <c r="K1771" i="208"/>
  <c r="R1771" i="208" s="1"/>
  <c r="K1772" i="208"/>
  <c r="R1772" i="208" s="1"/>
  <c r="K1773" i="208"/>
  <c r="R1773" i="208" s="1"/>
  <c r="K1774" i="208"/>
  <c r="R1774" i="208" s="1"/>
  <c r="K1775" i="208"/>
  <c r="R1775" i="208" s="1"/>
  <c r="K1776" i="208"/>
  <c r="R1776" i="208" s="1"/>
  <c r="K1777" i="208"/>
  <c r="R1777" i="208" s="1"/>
  <c r="K1778" i="208"/>
  <c r="R1778" i="208" s="1"/>
  <c r="K1779" i="208"/>
  <c r="R1779" i="208" s="1"/>
  <c r="K1780" i="208"/>
  <c r="R1780" i="208" s="1"/>
  <c r="K1781" i="208"/>
  <c r="R1781" i="208" s="1"/>
  <c r="K1782" i="208"/>
  <c r="R1782" i="208" s="1"/>
  <c r="K1783" i="208"/>
  <c r="R1783" i="208" s="1"/>
  <c r="K1784" i="208"/>
  <c r="R1784" i="208" s="1"/>
  <c r="K1785" i="208"/>
  <c r="R1785" i="208" s="1"/>
  <c r="K1786" i="208"/>
  <c r="R1786" i="208" s="1"/>
  <c r="K1787" i="208"/>
  <c r="R1787" i="208" s="1"/>
  <c r="K1788" i="208"/>
  <c r="R1788" i="208" s="1"/>
  <c r="K1789" i="208"/>
  <c r="R1789" i="208" s="1"/>
  <c r="K1790" i="208"/>
  <c r="R1790" i="208" s="1"/>
  <c r="K1791" i="208"/>
  <c r="R1791" i="208" s="1"/>
  <c r="K1792" i="208"/>
  <c r="R1792" i="208" s="1"/>
  <c r="K1793" i="208"/>
  <c r="R1793" i="208" s="1"/>
  <c r="K1794" i="208"/>
  <c r="R1794" i="208" s="1"/>
  <c r="K1795" i="208"/>
  <c r="R1795" i="208" s="1"/>
  <c r="K1796" i="208"/>
  <c r="R1796" i="208" s="1"/>
  <c r="K1797" i="208"/>
  <c r="R1797" i="208" s="1"/>
  <c r="K1798" i="208"/>
  <c r="R1798" i="208" s="1"/>
  <c r="K1799" i="208"/>
  <c r="R1799" i="208" s="1"/>
  <c r="K1800" i="208"/>
  <c r="R1800" i="208" s="1"/>
  <c r="K1801" i="208"/>
  <c r="R1801" i="208" s="1"/>
  <c r="K1802" i="208"/>
  <c r="R1802" i="208" s="1"/>
  <c r="K1803" i="208"/>
  <c r="R1803" i="208" s="1"/>
  <c r="K1804" i="208"/>
  <c r="R1804" i="208" s="1"/>
  <c r="K1805" i="208"/>
  <c r="R1805" i="208" s="1"/>
  <c r="K1806" i="208"/>
  <c r="R1806" i="208" s="1"/>
  <c r="K1807" i="208"/>
  <c r="R1807" i="208" s="1"/>
  <c r="K1808" i="208"/>
  <c r="R1808" i="208" s="1"/>
  <c r="K1809" i="208"/>
  <c r="R1809" i="208" s="1"/>
  <c r="K1810" i="208"/>
  <c r="R1810" i="208" s="1"/>
  <c r="K1811" i="208"/>
  <c r="R1811" i="208" s="1"/>
  <c r="K1812" i="208"/>
  <c r="R1812" i="208" s="1"/>
  <c r="K1813" i="208"/>
  <c r="R1813" i="208" s="1"/>
  <c r="K1814" i="208"/>
  <c r="R1814" i="208" s="1"/>
  <c r="K1815" i="208"/>
  <c r="R1815" i="208" s="1"/>
  <c r="K1816" i="208"/>
  <c r="R1816" i="208" s="1"/>
  <c r="K1817" i="208"/>
  <c r="R1817" i="208" s="1"/>
  <c r="K1818" i="208"/>
  <c r="R1818" i="208" s="1"/>
  <c r="K1819" i="208"/>
  <c r="R1819" i="208" s="1"/>
  <c r="K1820" i="208"/>
  <c r="R1820" i="208" s="1"/>
  <c r="K1821" i="208"/>
  <c r="R1821" i="208" s="1"/>
  <c r="K1822" i="208"/>
  <c r="R1822" i="208" s="1"/>
  <c r="K1823" i="208"/>
  <c r="R1823" i="208" s="1"/>
  <c r="K1824" i="208"/>
  <c r="R1824" i="208" s="1"/>
  <c r="K1825" i="208"/>
  <c r="R1825" i="208" s="1"/>
  <c r="K1826" i="208"/>
  <c r="R1826" i="208" s="1"/>
  <c r="K1827" i="208"/>
  <c r="R1827" i="208" s="1"/>
  <c r="K1828" i="208"/>
  <c r="R1828" i="208" s="1"/>
  <c r="K1829" i="208"/>
  <c r="R1829" i="208" s="1"/>
  <c r="K1830" i="208"/>
  <c r="R1830" i="208" s="1"/>
  <c r="K1831" i="208"/>
  <c r="R1831" i="208" s="1"/>
  <c r="K1832" i="208"/>
  <c r="R1832" i="208" s="1"/>
  <c r="K1833" i="208"/>
  <c r="R1833" i="208" s="1"/>
  <c r="K1834" i="208"/>
  <c r="R1834" i="208" s="1"/>
  <c r="K1835" i="208"/>
  <c r="R1835" i="208" s="1"/>
  <c r="K1836" i="208"/>
  <c r="R1836" i="208" s="1"/>
  <c r="K1837" i="208"/>
  <c r="R1837" i="208" s="1"/>
  <c r="K1838" i="208"/>
  <c r="R1838" i="208" s="1"/>
  <c r="K1839" i="208"/>
  <c r="R1839" i="208" s="1"/>
  <c r="K1840" i="208"/>
  <c r="R1840" i="208" s="1"/>
  <c r="K1841" i="208"/>
  <c r="R1841" i="208" s="1"/>
  <c r="K1842" i="208"/>
  <c r="R1842" i="208" s="1"/>
  <c r="K1843" i="208"/>
  <c r="R1843" i="208" s="1"/>
  <c r="K1844" i="208"/>
  <c r="R1844" i="208" s="1"/>
  <c r="K1845" i="208"/>
  <c r="R1845" i="208" s="1"/>
  <c r="K1846" i="208"/>
  <c r="R1846" i="208" s="1"/>
  <c r="K1847" i="208"/>
  <c r="R1847" i="208" s="1"/>
  <c r="K1848" i="208"/>
  <c r="R1848" i="208" s="1"/>
  <c r="K1849" i="208"/>
  <c r="R1849" i="208" s="1"/>
  <c r="K1850" i="208"/>
  <c r="R1850" i="208" s="1"/>
  <c r="K1851" i="208"/>
  <c r="R1851" i="208" s="1"/>
  <c r="K1852" i="208"/>
  <c r="R1852" i="208" s="1"/>
  <c r="K1853" i="208"/>
  <c r="R1853" i="208" s="1"/>
  <c r="K1854" i="208"/>
  <c r="R1854" i="208" s="1"/>
  <c r="K1855" i="208"/>
  <c r="R1855" i="208" s="1"/>
  <c r="K1856" i="208"/>
  <c r="R1856" i="208" s="1"/>
  <c r="K1857" i="208"/>
  <c r="R1857" i="208" s="1"/>
  <c r="K1858" i="208"/>
  <c r="R1858" i="208" s="1"/>
  <c r="K1859" i="208"/>
  <c r="R1859" i="208" s="1"/>
  <c r="K1860" i="208"/>
  <c r="R1860" i="208" s="1"/>
  <c r="K1861" i="208"/>
  <c r="R1861" i="208" s="1"/>
  <c r="K1862" i="208"/>
  <c r="R1862" i="208" s="1"/>
  <c r="K1863" i="208"/>
  <c r="R1863" i="208" s="1"/>
  <c r="K1864" i="208"/>
  <c r="R1864" i="208" s="1"/>
  <c r="K1865" i="208"/>
  <c r="R1865" i="208" s="1"/>
  <c r="K1866" i="208"/>
  <c r="R1866" i="208" s="1"/>
  <c r="K1867" i="208"/>
  <c r="R1867" i="208" s="1"/>
  <c r="K1868" i="208"/>
  <c r="R1868" i="208" s="1"/>
  <c r="K1869" i="208"/>
  <c r="R1869" i="208" s="1"/>
  <c r="K1870" i="208"/>
  <c r="R1870" i="208" s="1"/>
  <c r="K1871" i="208"/>
  <c r="R1871" i="208" s="1"/>
  <c r="K1872" i="208"/>
  <c r="R1872" i="208" s="1"/>
  <c r="K1873" i="208"/>
  <c r="R1873" i="208" s="1"/>
  <c r="K1874" i="208"/>
  <c r="R1874" i="208" s="1"/>
  <c r="K1875" i="208"/>
  <c r="R1875" i="208" s="1"/>
  <c r="K1876" i="208"/>
  <c r="R1876" i="208" s="1"/>
  <c r="K1877" i="208"/>
  <c r="R1877" i="208" s="1"/>
  <c r="K1878" i="208"/>
  <c r="R1878" i="208" s="1"/>
  <c r="K1879" i="208"/>
  <c r="R1879" i="208" s="1"/>
  <c r="K1880" i="208"/>
  <c r="R1880" i="208" s="1"/>
  <c r="K1881" i="208"/>
  <c r="R1881" i="208" s="1"/>
  <c r="K1882" i="208"/>
  <c r="R1882" i="208" s="1"/>
  <c r="K1883" i="208"/>
  <c r="R1883" i="208" s="1"/>
  <c r="K1884" i="208"/>
  <c r="R1884" i="208" s="1"/>
  <c r="K1885" i="208"/>
  <c r="R1885" i="208" s="1"/>
  <c r="K1886" i="208"/>
  <c r="R1886" i="208" s="1"/>
  <c r="K1887" i="208"/>
  <c r="R1887" i="208" s="1"/>
  <c r="K1888" i="208"/>
  <c r="R1888" i="208" s="1"/>
  <c r="K1889" i="208"/>
  <c r="R1889" i="208" s="1"/>
  <c r="K1890" i="208"/>
  <c r="R1890" i="208" s="1"/>
  <c r="K1891" i="208"/>
  <c r="R1891" i="208" s="1"/>
  <c r="K1892" i="208"/>
  <c r="R1892" i="208" s="1"/>
  <c r="K1893" i="208"/>
  <c r="R1893" i="208" s="1"/>
  <c r="K1894" i="208"/>
  <c r="R1894" i="208" s="1"/>
  <c r="K1895" i="208"/>
  <c r="R1895" i="208" s="1"/>
  <c r="K1896" i="208"/>
  <c r="R1896" i="208" s="1"/>
  <c r="K1897" i="208"/>
  <c r="R1897" i="208" s="1"/>
  <c r="K1898" i="208"/>
  <c r="R1898" i="208" s="1"/>
  <c r="K1899" i="208"/>
  <c r="R1899" i="208" s="1"/>
  <c r="K1900" i="208"/>
  <c r="R1900" i="208" s="1"/>
  <c r="K1901" i="208"/>
  <c r="R1901" i="208" s="1"/>
  <c r="K1902" i="208"/>
  <c r="R1902" i="208" s="1"/>
  <c r="K1903" i="208"/>
  <c r="R1903" i="208" s="1"/>
  <c r="K1904" i="208"/>
  <c r="R1904" i="208" s="1"/>
  <c r="K1905" i="208"/>
  <c r="R1905" i="208" s="1"/>
  <c r="K1906" i="208"/>
  <c r="R1906" i="208" s="1"/>
  <c r="K1907" i="208"/>
  <c r="R1907" i="208" s="1"/>
  <c r="K1908" i="208"/>
  <c r="R1908" i="208" s="1"/>
  <c r="K1909" i="208"/>
  <c r="R1909" i="208" s="1"/>
  <c r="K1910" i="208"/>
  <c r="R1910" i="208" s="1"/>
  <c r="K1911" i="208"/>
  <c r="R1911" i="208" s="1"/>
  <c r="K1912" i="208"/>
  <c r="R1912" i="208" s="1"/>
  <c r="K1913" i="208"/>
  <c r="R1913" i="208" s="1"/>
  <c r="K1914" i="208"/>
  <c r="R1914" i="208" s="1"/>
  <c r="K1915" i="208"/>
  <c r="R1915" i="208" s="1"/>
  <c r="K1916" i="208"/>
  <c r="R1916" i="208" s="1"/>
  <c r="K1917" i="208"/>
  <c r="R1917" i="208" s="1"/>
  <c r="K1918" i="208"/>
  <c r="R1918" i="208" s="1"/>
  <c r="K1919" i="208"/>
  <c r="R1919" i="208" s="1"/>
  <c r="K1920" i="208"/>
  <c r="R1920" i="208" s="1"/>
  <c r="K1921" i="208"/>
  <c r="R1921" i="208" s="1"/>
  <c r="K1922" i="208"/>
  <c r="R1922" i="208" s="1"/>
  <c r="K1923" i="208"/>
  <c r="R1923" i="208" s="1"/>
  <c r="K1924" i="208"/>
  <c r="R1924" i="208" s="1"/>
  <c r="K1925" i="208"/>
  <c r="R1925" i="208" s="1"/>
  <c r="K1926" i="208"/>
  <c r="R1926" i="208" s="1"/>
  <c r="K1927" i="208"/>
  <c r="R1927" i="208" s="1"/>
  <c r="K1928" i="208"/>
  <c r="R1928" i="208" s="1"/>
  <c r="K1929" i="208"/>
  <c r="R1929" i="208" s="1"/>
  <c r="K1930" i="208"/>
  <c r="R1930" i="208" s="1"/>
  <c r="K1931" i="208"/>
  <c r="R1931" i="208" s="1"/>
  <c r="K1932" i="208"/>
  <c r="R1932" i="208" s="1"/>
  <c r="K1933" i="208"/>
  <c r="R1933" i="208" s="1"/>
  <c r="K1934" i="208"/>
  <c r="R1934" i="208" s="1"/>
  <c r="K1935" i="208"/>
  <c r="R1935" i="208" s="1"/>
  <c r="K1936" i="208"/>
  <c r="R1936" i="208" s="1"/>
  <c r="K1937" i="208"/>
  <c r="R1937" i="208" s="1"/>
  <c r="K1938" i="208"/>
  <c r="R1938" i="208" s="1"/>
  <c r="K1939" i="208"/>
  <c r="R1939" i="208" s="1"/>
  <c r="K1940" i="208"/>
  <c r="R1940" i="208" s="1"/>
  <c r="K1941" i="208"/>
  <c r="R1941" i="208" s="1"/>
  <c r="K1942" i="208"/>
  <c r="R1942" i="208" s="1"/>
  <c r="K1943" i="208"/>
  <c r="R1943" i="208" s="1"/>
  <c r="K1944" i="208"/>
  <c r="R1944" i="208" s="1"/>
  <c r="K1945" i="208"/>
  <c r="R1945" i="208" s="1"/>
  <c r="K1946" i="208"/>
  <c r="R1946" i="208" s="1"/>
  <c r="K1947" i="208"/>
  <c r="R1947" i="208" s="1"/>
  <c r="K1948" i="208"/>
  <c r="R1948" i="208" s="1"/>
  <c r="K1949" i="208"/>
  <c r="R1949" i="208" s="1"/>
  <c r="K1950" i="208"/>
  <c r="R1950" i="208" s="1"/>
  <c r="K1951" i="208"/>
  <c r="R1951" i="208" s="1"/>
  <c r="K1952" i="208"/>
  <c r="R1952" i="208" s="1"/>
  <c r="K1953" i="208"/>
  <c r="R1953" i="208" s="1"/>
  <c r="K1954" i="208"/>
  <c r="R1954" i="208" s="1"/>
  <c r="K1955" i="208"/>
  <c r="R1955" i="208" s="1"/>
  <c r="K1956" i="208"/>
  <c r="R1956" i="208" s="1"/>
  <c r="K1957" i="208"/>
  <c r="R1957" i="208" s="1"/>
  <c r="K1958" i="208"/>
  <c r="R1958" i="208" s="1"/>
  <c r="K1959" i="208"/>
  <c r="R1959" i="208" s="1"/>
  <c r="K1960" i="208"/>
  <c r="R1960" i="208" s="1"/>
  <c r="K1961" i="208"/>
  <c r="R1961" i="208" s="1"/>
  <c r="K1962" i="208"/>
  <c r="R1962" i="208" s="1"/>
  <c r="K1963" i="208"/>
  <c r="R1963" i="208" s="1"/>
  <c r="K1964" i="208"/>
  <c r="R1964" i="208" s="1"/>
  <c r="K1965" i="208"/>
  <c r="R1965" i="208" s="1"/>
  <c r="K1966" i="208"/>
  <c r="R1966" i="208" s="1"/>
  <c r="K1967" i="208"/>
  <c r="R1967" i="208" s="1"/>
  <c r="K1968" i="208"/>
  <c r="R1968" i="208" s="1"/>
  <c r="K1969" i="208"/>
  <c r="R1969" i="208" s="1"/>
  <c r="K1970" i="208"/>
  <c r="R1970" i="208" s="1"/>
  <c r="K1971" i="208"/>
  <c r="R1971" i="208" s="1"/>
  <c r="K1972" i="208"/>
  <c r="R1972" i="208" s="1"/>
  <c r="K1973" i="208"/>
  <c r="R1973" i="208" s="1"/>
  <c r="K1974" i="208"/>
  <c r="R1974" i="208" s="1"/>
  <c r="K1975" i="208"/>
  <c r="R1975" i="208" s="1"/>
  <c r="K1976" i="208"/>
  <c r="R1976" i="208" s="1"/>
  <c r="K1977" i="208"/>
  <c r="R1977" i="208" s="1"/>
  <c r="K1978" i="208"/>
  <c r="R1978" i="208" s="1"/>
  <c r="K1979" i="208"/>
  <c r="R1979" i="208" s="1"/>
  <c r="K1980" i="208"/>
  <c r="R1980" i="208" s="1"/>
  <c r="K1981" i="208"/>
  <c r="R1981" i="208" s="1"/>
  <c r="K1982" i="208"/>
  <c r="R1982" i="208" s="1"/>
  <c r="K1983" i="208"/>
  <c r="R1983" i="208" s="1"/>
  <c r="K1984" i="208"/>
  <c r="R1984" i="208" s="1"/>
  <c r="K1985" i="208"/>
  <c r="R1985" i="208" s="1"/>
  <c r="K1986" i="208"/>
  <c r="R1986" i="208" s="1"/>
  <c r="K1987" i="208"/>
  <c r="R1987" i="208" s="1"/>
  <c r="K1988" i="208"/>
  <c r="R1988" i="208" s="1"/>
  <c r="K1989" i="208"/>
  <c r="R1989" i="208" s="1"/>
  <c r="K1990" i="208"/>
  <c r="R1990" i="208" s="1"/>
  <c r="K1991" i="208"/>
  <c r="R1991" i="208" s="1"/>
  <c r="K1992" i="208"/>
  <c r="R1992" i="208" s="1"/>
  <c r="K1993" i="208"/>
  <c r="R1993" i="208" s="1"/>
  <c r="K1994" i="208"/>
  <c r="R1994" i="208" s="1"/>
  <c r="K1995" i="208"/>
  <c r="R1995" i="208" s="1"/>
  <c r="K1996" i="208"/>
  <c r="R1996" i="208" s="1"/>
  <c r="K1997" i="208"/>
  <c r="R1997" i="208" s="1"/>
  <c r="K1998" i="208"/>
  <c r="R1998" i="208" s="1"/>
  <c r="K1999" i="208"/>
  <c r="R1999" i="208" s="1"/>
  <c r="K2000" i="208"/>
  <c r="R2000" i="208" s="1"/>
  <c r="K2001" i="208"/>
  <c r="R2001" i="208" s="1"/>
  <c r="K2002" i="208"/>
  <c r="R2002" i="208" s="1"/>
  <c r="K2003" i="208"/>
  <c r="R2003" i="208" s="1"/>
  <c r="K2004" i="208"/>
  <c r="R2004" i="208" s="1"/>
  <c r="K2005" i="208"/>
  <c r="R2005" i="208" s="1"/>
  <c r="K2006" i="208"/>
  <c r="R2006" i="208" s="1"/>
  <c r="K2007" i="208"/>
  <c r="R2007" i="208" s="1"/>
  <c r="K2008" i="208"/>
  <c r="R2008" i="208" s="1"/>
  <c r="K2009" i="208"/>
  <c r="R2009" i="208" s="1"/>
  <c r="K2010" i="208"/>
  <c r="R2010" i="208" s="1"/>
  <c r="K2011" i="208"/>
  <c r="R2011" i="208" s="1"/>
  <c r="K2012" i="208"/>
  <c r="R2012" i="208" s="1"/>
  <c r="K2013" i="208"/>
  <c r="R2013" i="208" s="1"/>
  <c r="K2014" i="208"/>
  <c r="R2014" i="208" s="1"/>
  <c r="K2015" i="208"/>
  <c r="R2015" i="208" s="1"/>
  <c r="K2016" i="208"/>
  <c r="R2016" i="208" s="1"/>
  <c r="K2017" i="208"/>
  <c r="R2017" i="208" s="1"/>
  <c r="K2018" i="208"/>
  <c r="R2018" i="208" s="1"/>
  <c r="K2019" i="208"/>
  <c r="R2019" i="208" s="1"/>
  <c r="K2020" i="208"/>
  <c r="R2020" i="208" s="1"/>
  <c r="K2021" i="208"/>
  <c r="R2021" i="208" s="1"/>
  <c r="K2022" i="208"/>
  <c r="R2022" i="208" s="1"/>
  <c r="K2023" i="208"/>
  <c r="R2023" i="208" s="1"/>
  <c r="K2024" i="208"/>
  <c r="R2024" i="208" s="1"/>
  <c r="K2025" i="208"/>
  <c r="R2025" i="208" s="1"/>
  <c r="K2026" i="208"/>
  <c r="R2026" i="208" s="1"/>
  <c r="K2027" i="208"/>
  <c r="R2027" i="208" s="1"/>
  <c r="K2028" i="208"/>
  <c r="R2028" i="208" s="1"/>
  <c r="K2029" i="208"/>
  <c r="R2029" i="208" s="1"/>
  <c r="K2030" i="208"/>
  <c r="R2030" i="208" s="1"/>
  <c r="K2031" i="208"/>
  <c r="R2031" i="208" s="1"/>
  <c r="K2032" i="208"/>
  <c r="R2032" i="208" s="1"/>
  <c r="K2033" i="208"/>
  <c r="R2033" i="208" s="1"/>
  <c r="K2034" i="208"/>
  <c r="R2034" i="208" s="1"/>
  <c r="K2035" i="208"/>
  <c r="R2035" i="208" s="1"/>
  <c r="K2036" i="208"/>
  <c r="R2036" i="208" s="1"/>
  <c r="K2037" i="208"/>
  <c r="R2037" i="208" s="1"/>
  <c r="K2038" i="208"/>
  <c r="R2038" i="208" s="1"/>
  <c r="K2039" i="208"/>
  <c r="R2039" i="208" s="1"/>
  <c r="K2040" i="208"/>
  <c r="R2040" i="208" s="1"/>
  <c r="K2041" i="208"/>
  <c r="R2041" i="208" s="1"/>
  <c r="K2042" i="208"/>
  <c r="R2042" i="208" s="1"/>
  <c r="K2043" i="208"/>
  <c r="R2043" i="208" s="1"/>
  <c r="K2044" i="208"/>
  <c r="R2044" i="208" s="1"/>
  <c r="K2045" i="208"/>
  <c r="R2045" i="208" s="1"/>
  <c r="K2046" i="208"/>
  <c r="R2046" i="208" s="1"/>
  <c r="K2047" i="208"/>
  <c r="R2047" i="208" s="1"/>
  <c r="K2048" i="208"/>
  <c r="R2048" i="208" s="1"/>
  <c r="K2049" i="208"/>
  <c r="R2049" i="208" s="1"/>
  <c r="K2050" i="208"/>
  <c r="R2050" i="208" s="1"/>
  <c r="K2051" i="208"/>
  <c r="R2051" i="208" s="1"/>
  <c r="K2052" i="208"/>
  <c r="R2052" i="208" s="1"/>
  <c r="K2053" i="208"/>
  <c r="R2053" i="208" s="1"/>
  <c r="K2054" i="208"/>
  <c r="R2054" i="208" s="1"/>
  <c r="K2055" i="208"/>
  <c r="R2055" i="208" s="1"/>
  <c r="K2056" i="208"/>
  <c r="R2056" i="208" s="1"/>
  <c r="K2057" i="208"/>
  <c r="R2057" i="208" s="1"/>
  <c r="K2058" i="208"/>
  <c r="R2058" i="208" s="1"/>
  <c r="K2059" i="208"/>
  <c r="R2059" i="208" s="1"/>
  <c r="K2060" i="208"/>
  <c r="R2060" i="208" s="1"/>
  <c r="K2061" i="208"/>
  <c r="R2061" i="208" s="1"/>
  <c r="K2062" i="208"/>
  <c r="R2062" i="208" s="1"/>
  <c r="K2063" i="208"/>
  <c r="R2063" i="208" s="1"/>
  <c r="K2064" i="208"/>
  <c r="R2064" i="208" s="1"/>
  <c r="K2065" i="208"/>
  <c r="R2065" i="208" s="1"/>
  <c r="K2066" i="208"/>
  <c r="R2066" i="208" s="1"/>
  <c r="K2067" i="208"/>
  <c r="R2067" i="208" s="1"/>
  <c r="K2068" i="208"/>
  <c r="R2068" i="208" s="1"/>
  <c r="K2069" i="208"/>
  <c r="R2069" i="208" s="1"/>
  <c r="K2070" i="208"/>
  <c r="R2070" i="208" s="1"/>
  <c r="K2071" i="208"/>
  <c r="R2071" i="208" s="1"/>
  <c r="K2072" i="208"/>
  <c r="R2072" i="208" s="1"/>
  <c r="K2073" i="208"/>
  <c r="R2073" i="208" s="1"/>
  <c r="K2074" i="208"/>
  <c r="R2074" i="208" s="1"/>
  <c r="K2075" i="208"/>
  <c r="R2075" i="208" s="1"/>
  <c r="K2076" i="208"/>
  <c r="R2076" i="208" s="1"/>
  <c r="K2077" i="208"/>
  <c r="R2077" i="208" s="1"/>
  <c r="K2078" i="208"/>
  <c r="R2078" i="208" s="1"/>
  <c r="K2079" i="208"/>
  <c r="R2079" i="208" s="1"/>
  <c r="K2080" i="208"/>
  <c r="R2080" i="208" s="1"/>
  <c r="K2081" i="208"/>
  <c r="R2081" i="208" s="1"/>
  <c r="K2082" i="208"/>
  <c r="R2082" i="208" s="1"/>
  <c r="K2083" i="208"/>
  <c r="R2083" i="208" s="1"/>
  <c r="K2084" i="208"/>
  <c r="R2084" i="208" s="1"/>
  <c r="K2085" i="208"/>
  <c r="R2085" i="208" s="1"/>
  <c r="K2086" i="208"/>
  <c r="R2086" i="208" s="1"/>
  <c r="K2087" i="208"/>
  <c r="R2087" i="208" s="1"/>
  <c r="K2088" i="208"/>
  <c r="R2088" i="208" s="1"/>
  <c r="K2089" i="208"/>
  <c r="R2089" i="208" s="1"/>
  <c r="K2090" i="208"/>
  <c r="R2090" i="208" s="1"/>
  <c r="K2091" i="208"/>
  <c r="R2091" i="208" s="1"/>
  <c r="K2092" i="208"/>
  <c r="R2092" i="208" s="1"/>
  <c r="K2093" i="208"/>
  <c r="R2093" i="208" s="1"/>
  <c r="K2094" i="208"/>
  <c r="R2094" i="208" s="1"/>
  <c r="K2095" i="208"/>
  <c r="R2095" i="208" s="1"/>
  <c r="K2096" i="208"/>
  <c r="R2096" i="208" s="1"/>
  <c r="K2097" i="208"/>
  <c r="R2097" i="208" s="1"/>
  <c r="K2098" i="208"/>
  <c r="R2098" i="208" s="1"/>
  <c r="K2099" i="208"/>
  <c r="R2099" i="208" s="1"/>
  <c r="K2100" i="208"/>
  <c r="R2100" i="208" s="1"/>
  <c r="K2101" i="208"/>
  <c r="R2101" i="208" s="1"/>
  <c r="K2102" i="208"/>
  <c r="R2102" i="208" s="1"/>
  <c r="K2103" i="208"/>
  <c r="R2103" i="208" s="1"/>
  <c r="K2104" i="208"/>
  <c r="R2104" i="208" s="1"/>
  <c r="K2105" i="208"/>
  <c r="R2105" i="208" s="1"/>
  <c r="K2106" i="208"/>
  <c r="R2106" i="208" s="1"/>
  <c r="K2107" i="208"/>
  <c r="R2107" i="208" s="1"/>
  <c r="K2108" i="208"/>
  <c r="R2108" i="208" s="1"/>
  <c r="K2109" i="208"/>
  <c r="R2109" i="208" s="1"/>
  <c r="K2110" i="208"/>
  <c r="R2110" i="208" s="1"/>
  <c r="K2111" i="208"/>
  <c r="R2111" i="208" s="1"/>
  <c r="K2112" i="208"/>
  <c r="R2112" i="208" s="1"/>
  <c r="K2113" i="208"/>
  <c r="R2113" i="208" s="1"/>
  <c r="K2114" i="208"/>
  <c r="R2114" i="208" s="1"/>
  <c r="K2115" i="208"/>
  <c r="R2115" i="208" s="1"/>
  <c r="K2116" i="208"/>
  <c r="R2116" i="208" s="1"/>
  <c r="K2117" i="208"/>
  <c r="R2117" i="208" s="1"/>
  <c r="K2118" i="208"/>
  <c r="R2118" i="208" s="1"/>
  <c r="K2119" i="208"/>
  <c r="R2119" i="208" s="1"/>
  <c r="K2120" i="208"/>
  <c r="R2120" i="208" s="1"/>
  <c r="K2121" i="208"/>
  <c r="R2121" i="208" s="1"/>
  <c r="K2122" i="208"/>
  <c r="R2122" i="208" s="1"/>
  <c r="K2123" i="208"/>
  <c r="R2123" i="208" s="1"/>
  <c r="K2124" i="208"/>
  <c r="R2124" i="208" s="1"/>
  <c r="K2125" i="208"/>
  <c r="R2125" i="208" s="1"/>
  <c r="K2126" i="208"/>
  <c r="R2126" i="208" s="1"/>
  <c r="K2127" i="208"/>
  <c r="R2127" i="208" s="1"/>
  <c r="K2128" i="208"/>
  <c r="R2128" i="208" s="1"/>
  <c r="K2129" i="208"/>
  <c r="R2129" i="208" s="1"/>
  <c r="K2130" i="208"/>
  <c r="R2130" i="208" s="1"/>
  <c r="K2131" i="208"/>
  <c r="R2131" i="208" s="1"/>
  <c r="K2132" i="208"/>
  <c r="R2132" i="208" s="1"/>
  <c r="K2133" i="208"/>
  <c r="R2133" i="208" s="1"/>
  <c r="K2134" i="208"/>
  <c r="R2134" i="208" s="1"/>
  <c r="K2135" i="208"/>
  <c r="R2135" i="208" s="1"/>
  <c r="K2136" i="208"/>
  <c r="R2136" i="208" s="1"/>
  <c r="K2137" i="208"/>
  <c r="R2137" i="208" s="1"/>
  <c r="K2138" i="208"/>
  <c r="R2138" i="208" s="1"/>
  <c r="K2139" i="208"/>
  <c r="R2139" i="208" s="1"/>
  <c r="K2140" i="208"/>
  <c r="R2140" i="208" s="1"/>
  <c r="K2141" i="208"/>
  <c r="R2141" i="208" s="1"/>
  <c r="K2142" i="208"/>
  <c r="R2142" i="208" s="1"/>
  <c r="K2143" i="208"/>
  <c r="R2143" i="208" s="1"/>
  <c r="K2144" i="208"/>
  <c r="R2144" i="208" s="1"/>
  <c r="K2145" i="208"/>
  <c r="R2145" i="208" s="1"/>
  <c r="K2146" i="208"/>
  <c r="R2146" i="208" s="1"/>
  <c r="K2147" i="208"/>
  <c r="R2147" i="208" s="1"/>
  <c r="K2148" i="208"/>
  <c r="R2148" i="208" s="1"/>
  <c r="K2149" i="208"/>
  <c r="R2149" i="208" s="1"/>
  <c r="K2150" i="208"/>
  <c r="R2150" i="208" s="1"/>
  <c r="K2151" i="208"/>
  <c r="R2151" i="208" s="1"/>
  <c r="K2152" i="208"/>
  <c r="R2152" i="208" s="1"/>
  <c r="K2153" i="208"/>
  <c r="R2153" i="208" s="1"/>
  <c r="K2154" i="208"/>
  <c r="R2154" i="208" s="1"/>
  <c r="K2155" i="208"/>
  <c r="R2155" i="208" s="1"/>
  <c r="K2156" i="208"/>
  <c r="R2156" i="208" s="1"/>
  <c r="K2157" i="208"/>
  <c r="R2157" i="208" s="1"/>
  <c r="K2158" i="208"/>
  <c r="R2158" i="208" s="1"/>
  <c r="K2159" i="208"/>
  <c r="R2159" i="208" s="1"/>
  <c r="K2160" i="208"/>
  <c r="R2160" i="208" s="1"/>
  <c r="K2161" i="208"/>
  <c r="R2161" i="208" s="1"/>
  <c r="K2162" i="208"/>
  <c r="R2162" i="208" s="1"/>
  <c r="K2163" i="208"/>
  <c r="R2163" i="208" s="1"/>
  <c r="K2164" i="208"/>
  <c r="R2164" i="208" s="1"/>
  <c r="K2165" i="208"/>
  <c r="R2165" i="208" s="1"/>
  <c r="K2166" i="208"/>
  <c r="R2166" i="208" s="1"/>
  <c r="K2167" i="208"/>
  <c r="R2167" i="208" s="1"/>
  <c r="K2168" i="208"/>
  <c r="R2168" i="208" s="1"/>
  <c r="K2169" i="208"/>
  <c r="R2169" i="208" s="1"/>
  <c r="K2170" i="208"/>
  <c r="R2170" i="208" s="1"/>
  <c r="K2171" i="208"/>
  <c r="R2171" i="208" s="1"/>
  <c r="K2172" i="208"/>
  <c r="R2172" i="208" s="1"/>
  <c r="K2173" i="208"/>
  <c r="R2173" i="208" s="1"/>
  <c r="K2174" i="208"/>
  <c r="R2174" i="208" s="1"/>
  <c r="K2175" i="208"/>
  <c r="R2175" i="208" s="1"/>
  <c r="K2176" i="208"/>
  <c r="R2176" i="208" s="1"/>
  <c r="K2177" i="208"/>
  <c r="R2177" i="208" s="1"/>
  <c r="K2178" i="208"/>
  <c r="R2178" i="208" s="1"/>
  <c r="K2179" i="208"/>
  <c r="R2179" i="208" s="1"/>
  <c r="K2180" i="208"/>
  <c r="R2180" i="208" s="1"/>
  <c r="K2181" i="208"/>
  <c r="R2181" i="208" s="1"/>
  <c r="K2182" i="208"/>
  <c r="R2182" i="208" s="1"/>
  <c r="K2183" i="208"/>
  <c r="R2183" i="208" s="1"/>
  <c r="K2184" i="208"/>
  <c r="R2184" i="208" s="1"/>
  <c r="K2185" i="208"/>
  <c r="R2185" i="208" s="1"/>
  <c r="K2186" i="208"/>
  <c r="R2186" i="208" s="1"/>
  <c r="K2187" i="208"/>
  <c r="R2187" i="208" s="1"/>
  <c r="K2188" i="208"/>
  <c r="R2188" i="208" s="1"/>
  <c r="K2189" i="208"/>
  <c r="R2189" i="208" s="1"/>
  <c r="K2190" i="208"/>
  <c r="R2190" i="208" s="1"/>
  <c r="K2191" i="208"/>
  <c r="R2191" i="208" s="1"/>
  <c r="K2192" i="208"/>
  <c r="R2192" i="208" s="1"/>
  <c r="K2193" i="208"/>
  <c r="R2193" i="208" s="1"/>
  <c r="K2194" i="208"/>
  <c r="R2194" i="208" s="1"/>
  <c r="K2195" i="208"/>
  <c r="R2195" i="208" s="1"/>
  <c r="K2196" i="208"/>
  <c r="R2196" i="208" s="1"/>
  <c r="K2197" i="208"/>
  <c r="R2197" i="208" s="1"/>
  <c r="K2198" i="208"/>
  <c r="R2198" i="208" s="1"/>
  <c r="K2199" i="208"/>
  <c r="R2199" i="208" s="1"/>
  <c r="K2200" i="208"/>
  <c r="R2200" i="208" s="1"/>
  <c r="K2201" i="208"/>
  <c r="R2201" i="208" s="1"/>
  <c r="K2202" i="208"/>
  <c r="R2202" i="208" s="1"/>
  <c r="K2203" i="208"/>
  <c r="R2203" i="208" s="1"/>
  <c r="K2204" i="208"/>
  <c r="R2204" i="208" s="1"/>
  <c r="K2205" i="208"/>
  <c r="R2205" i="208" s="1"/>
  <c r="K2206" i="208"/>
  <c r="R2206" i="208" s="1"/>
  <c r="K2207" i="208"/>
  <c r="R2207" i="208" s="1"/>
  <c r="K2208" i="208"/>
  <c r="R2208" i="208" s="1"/>
  <c r="K2209" i="208"/>
  <c r="R2209" i="208" s="1"/>
  <c r="K2210" i="208"/>
  <c r="R2210" i="208" s="1"/>
  <c r="K2211" i="208"/>
  <c r="R2211" i="208" s="1"/>
  <c r="K2212" i="208"/>
  <c r="R2212" i="208" s="1"/>
  <c r="K2213" i="208"/>
  <c r="R2213" i="208" s="1"/>
  <c r="K2214" i="208"/>
  <c r="R2214" i="208" s="1"/>
  <c r="K2215" i="208"/>
  <c r="R2215" i="208" s="1"/>
  <c r="K2216" i="208"/>
  <c r="R2216" i="208" s="1"/>
  <c r="K2217" i="208"/>
  <c r="R2217" i="208" s="1"/>
  <c r="K2218" i="208"/>
  <c r="R2218" i="208" s="1"/>
  <c r="K2219" i="208"/>
  <c r="R2219" i="208" s="1"/>
  <c r="K2220" i="208"/>
  <c r="R2220" i="208" s="1"/>
  <c r="K2221" i="208"/>
  <c r="R2221" i="208" s="1"/>
  <c r="K2222" i="208"/>
  <c r="R2222" i="208" s="1"/>
  <c r="K2223" i="208"/>
  <c r="R2223" i="208" s="1"/>
  <c r="K2224" i="208"/>
  <c r="R2224" i="208" s="1"/>
  <c r="K2225" i="208"/>
  <c r="R2225" i="208" s="1"/>
  <c r="K2226" i="208"/>
  <c r="R2226" i="208" s="1"/>
  <c r="K2227" i="208"/>
  <c r="R2227" i="208" s="1"/>
  <c r="K2228" i="208"/>
  <c r="R2228" i="208" s="1"/>
  <c r="K2229" i="208"/>
  <c r="R2229" i="208" s="1"/>
  <c r="K2230" i="208"/>
  <c r="R2230" i="208" s="1"/>
  <c r="K2231" i="208"/>
  <c r="R2231" i="208" s="1"/>
  <c r="K2232" i="208"/>
  <c r="R2232" i="208" s="1"/>
  <c r="K2233" i="208"/>
  <c r="R2233" i="208" s="1"/>
  <c r="K2234" i="208"/>
  <c r="R2234" i="208" s="1"/>
  <c r="K2235" i="208"/>
  <c r="R2235" i="208" s="1"/>
  <c r="K2236" i="208"/>
  <c r="R2236" i="208" s="1"/>
  <c r="K2237" i="208"/>
  <c r="R2237" i="208" s="1"/>
  <c r="K2238" i="208"/>
  <c r="R2238" i="208" s="1"/>
  <c r="K2239" i="208"/>
  <c r="R2239" i="208" s="1"/>
  <c r="K2240" i="208"/>
  <c r="R2240" i="208" s="1"/>
  <c r="K2241" i="208"/>
  <c r="R2241" i="208" s="1"/>
  <c r="K2242" i="208"/>
  <c r="R2242" i="208" s="1"/>
  <c r="K2243" i="208"/>
  <c r="R2243" i="208" s="1"/>
  <c r="K2244" i="208"/>
  <c r="R2244" i="208" s="1"/>
  <c r="K2245" i="208"/>
  <c r="R2245" i="208" s="1"/>
  <c r="K2246" i="208"/>
  <c r="R2246" i="208" s="1"/>
  <c r="K2247" i="208"/>
  <c r="R2247" i="208" s="1"/>
  <c r="K2248" i="208"/>
  <c r="R2248" i="208" s="1"/>
  <c r="K2249" i="208"/>
  <c r="R2249" i="208" s="1"/>
  <c r="K2250" i="208"/>
  <c r="R2250" i="208" s="1"/>
  <c r="K2251" i="208"/>
  <c r="R2251" i="208" s="1"/>
  <c r="K2252" i="208"/>
  <c r="R2252" i="208" s="1"/>
  <c r="K2253" i="208"/>
  <c r="R2253" i="208" s="1"/>
  <c r="K2254" i="208"/>
  <c r="R2254" i="208" s="1"/>
  <c r="K2255" i="208"/>
  <c r="R2255" i="208" s="1"/>
  <c r="K2256" i="208"/>
  <c r="R2256" i="208" s="1"/>
  <c r="K2257" i="208"/>
  <c r="R2257" i="208" s="1"/>
  <c r="K2258" i="208"/>
  <c r="R2258" i="208" s="1"/>
  <c r="K2259" i="208"/>
  <c r="R2259" i="208" s="1"/>
  <c r="K2260" i="208"/>
  <c r="R2260" i="208" s="1"/>
  <c r="K2261" i="208"/>
  <c r="R2261" i="208" s="1"/>
  <c r="K2262" i="208"/>
  <c r="R2262" i="208" s="1"/>
  <c r="K2263" i="208"/>
  <c r="R2263" i="208" s="1"/>
  <c r="K2264" i="208"/>
  <c r="R2264" i="208" s="1"/>
  <c r="K2265" i="208"/>
  <c r="R2265" i="208" s="1"/>
  <c r="K2266" i="208"/>
  <c r="R2266" i="208" s="1"/>
  <c r="K2267" i="208"/>
  <c r="R2267" i="208" s="1"/>
  <c r="K2268" i="208"/>
  <c r="R2268" i="208" s="1"/>
  <c r="K2269" i="208"/>
  <c r="R2269" i="208" s="1"/>
  <c r="K2270" i="208"/>
  <c r="R2270" i="208" s="1"/>
  <c r="K2271" i="208"/>
  <c r="R2271" i="208" s="1"/>
  <c r="K2272" i="208"/>
  <c r="R2272" i="208" s="1"/>
  <c r="K2273" i="208"/>
  <c r="R2273" i="208" s="1"/>
  <c r="K2274" i="208"/>
  <c r="R2274" i="208" s="1"/>
  <c r="K2275" i="208"/>
  <c r="R2275" i="208" s="1"/>
  <c r="K2276" i="208"/>
  <c r="R2276" i="208" s="1"/>
  <c r="K2277" i="208"/>
  <c r="R2277" i="208" s="1"/>
  <c r="K2278" i="208"/>
  <c r="R2278" i="208" s="1"/>
  <c r="K2279" i="208"/>
  <c r="R2279" i="208" s="1"/>
  <c r="K2280" i="208"/>
  <c r="R2280" i="208" s="1"/>
  <c r="K2281" i="208"/>
  <c r="R2281" i="208" s="1"/>
  <c r="K2282" i="208"/>
  <c r="R2282" i="208" s="1"/>
  <c r="K2283" i="208"/>
  <c r="R2283" i="208" s="1"/>
  <c r="K2284" i="208"/>
  <c r="R2284" i="208" s="1"/>
  <c r="K2285" i="208"/>
  <c r="R2285" i="208" s="1"/>
  <c r="K2286" i="208"/>
  <c r="R2286" i="208" s="1"/>
  <c r="K2287" i="208"/>
  <c r="R2287" i="208" s="1"/>
  <c r="K2288" i="208"/>
  <c r="R2288" i="208" s="1"/>
  <c r="K2289" i="208"/>
  <c r="R2289" i="208" s="1"/>
  <c r="K2290" i="208"/>
  <c r="R2290" i="208" s="1"/>
  <c r="K2291" i="208"/>
  <c r="R2291" i="208" s="1"/>
  <c r="K2292" i="208"/>
  <c r="R2292" i="208" s="1"/>
  <c r="K2293" i="208"/>
  <c r="R2293" i="208" s="1"/>
  <c r="K2294" i="208"/>
  <c r="R2294" i="208" s="1"/>
  <c r="K2295" i="208"/>
  <c r="R2295" i="208" s="1"/>
  <c r="K2296" i="208"/>
  <c r="R2296" i="208" s="1"/>
  <c r="K2297" i="208"/>
  <c r="R2297" i="208" s="1"/>
  <c r="K2298" i="208"/>
  <c r="R2298" i="208" s="1"/>
  <c r="K2299" i="208"/>
  <c r="R2299" i="208" s="1"/>
  <c r="K2300" i="208"/>
  <c r="R2300" i="208" s="1"/>
  <c r="K2301" i="208"/>
  <c r="R2301" i="208" s="1"/>
  <c r="K2302" i="208"/>
  <c r="R2302" i="208" s="1"/>
  <c r="K2303" i="208"/>
  <c r="R2303" i="208" s="1"/>
  <c r="K2304" i="208"/>
  <c r="R2304" i="208" s="1"/>
  <c r="K2305" i="208"/>
  <c r="R2305" i="208" s="1"/>
  <c r="K2306" i="208"/>
  <c r="R2306" i="208" s="1"/>
  <c r="K2307" i="208"/>
  <c r="R2307" i="208" s="1"/>
  <c r="K2308" i="208"/>
  <c r="R2308" i="208" s="1"/>
  <c r="K2309" i="208"/>
  <c r="R2309" i="208" s="1"/>
  <c r="K2310" i="208"/>
  <c r="R2310" i="208" s="1"/>
  <c r="K2311" i="208"/>
  <c r="R2311" i="208" s="1"/>
  <c r="K2312" i="208"/>
  <c r="R2312" i="208" s="1"/>
  <c r="K2313" i="208"/>
  <c r="R2313" i="208" s="1"/>
  <c r="K2314" i="208"/>
  <c r="R2314" i="208" s="1"/>
  <c r="K2315" i="208"/>
  <c r="R2315" i="208" s="1"/>
  <c r="K2316" i="208"/>
  <c r="R2316" i="208" s="1"/>
  <c r="K2317" i="208"/>
  <c r="R2317" i="208" s="1"/>
  <c r="K2318" i="208"/>
  <c r="R2318" i="208" s="1"/>
  <c r="K2319" i="208"/>
  <c r="R2319" i="208" s="1"/>
  <c r="K2320" i="208"/>
  <c r="R2320" i="208" s="1"/>
  <c r="K2321" i="208"/>
  <c r="R2321" i="208" s="1"/>
  <c r="K2322" i="208"/>
  <c r="R2322" i="208" s="1"/>
  <c r="K2323" i="208"/>
  <c r="R2323" i="208" s="1"/>
  <c r="K2324" i="208"/>
  <c r="R2324" i="208" s="1"/>
  <c r="K2325" i="208"/>
  <c r="R2325" i="208" s="1"/>
  <c r="K2326" i="208"/>
  <c r="R2326" i="208" s="1"/>
  <c r="K2327" i="208"/>
  <c r="R2327" i="208" s="1"/>
  <c r="K2328" i="208"/>
  <c r="R2328" i="208" s="1"/>
  <c r="K2329" i="208"/>
  <c r="R2329" i="208" s="1"/>
  <c r="K2330" i="208"/>
  <c r="R2330" i="208" s="1"/>
  <c r="K2331" i="208"/>
  <c r="R2331" i="208" s="1"/>
  <c r="K2332" i="208"/>
  <c r="R2332" i="208" s="1"/>
  <c r="K2333" i="208"/>
  <c r="R2333" i="208" s="1"/>
  <c r="K2334" i="208"/>
  <c r="R2334" i="208" s="1"/>
  <c r="K2335" i="208"/>
  <c r="R2335" i="208" s="1"/>
  <c r="K2336" i="208"/>
  <c r="R2336" i="208" s="1"/>
  <c r="K2337" i="208"/>
  <c r="R2337" i="208" s="1"/>
  <c r="K2338" i="208"/>
  <c r="R2338" i="208" s="1"/>
  <c r="K2339" i="208"/>
  <c r="R2339" i="208" s="1"/>
  <c r="K2340" i="208"/>
  <c r="R2340" i="208" s="1"/>
  <c r="K2341" i="208"/>
  <c r="R2341" i="208" s="1"/>
  <c r="K2342" i="208"/>
  <c r="R2342" i="208" s="1"/>
  <c r="K2343" i="208"/>
  <c r="R2343" i="208" s="1"/>
  <c r="K2344" i="208"/>
  <c r="R2344" i="208" s="1"/>
  <c r="K2345" i="208"/>
  <c r="R2345" i="208" s="1"/>
  <c r="K2346" i="208"/>
  <c r="R2346" i="208" s="1"/>
  <c r="K2347" i="208"/>
  <c r="R2347" i="208" s="1"/>
  <c r="K2348" i="208"/>
  <c r="R2348" i="208" s="1"/>
  <c r="K2349" i="208"/>
  <c r="R2349" i="208" s="1"/>
  <c r="K2350" i="208"/>
  <c r="R2350" i="208" s="1"/>
  <c r="K2351" i="208"/>
  <c r="R2351" i="208" s="1"/>
  <c r="K2352" i="208"/>
  <c r="R2352" i="208" s="1"/>
  <c r="K2353" i="208"/>
  <c r="R2353" i="208" s="1"/>
  <c r="K2354" i="208"/>
  <c r="R2354" i="208" s="1"/>
  <c r="K2355" i="208"/>
  <c r="R2355" i="208" s="1"/>
  <c r="K2356" i="208"/>
  <c r="R2356" i="208" s="1"/>
  <c r="K2357" i="208"/>
  <c r="R2357" i="208" s="1"/>
  <c r="K2358" i="208"/>
  <c r="R2358" i="208" s="1"/>
  <c r="K2359" i="208"/>
  <c r="R2359" i="208" s="1"/>
  <c r="K2360" i="208"/>
  <c r="R2360" i="208" s="1"/>
  <c r="K2361" i="208"/>
  <c r="R2361" i="208" s="1"/>
  <c r="K2362" i="208"/>
  <c r="R2362" i="208" s="1"/>
  <c r="K2363" i="208"/>
  <c r="R2363" i="208" s="1"/>
  <c r="K2364" i="208"/>
  <c r="R2364" i="208" s="1"/>
  <c r="K2365" i="208"/>
  <c r="R2365" i="208" s="1"/>
  <c r="K2366" i="208"/>
  <c r="R2366" i="208" s="1"/>
  <c r="K2367" i="208"/>
  <c r="R2367" i="208" s="1"/>
  <c r="K2368" i="208"/>
  <c r="R2368" i="208" s="1"/>
  <c r="K2369" i="208"/>
  <c r="R2369" i="208" s="1"/>
  <c r="K2370" i="208"/>
  <c r="R2370" i="208" s="1"/>
  <c r="K2371" i="208"/>
  <c r="R2371" i="208" s="1"/>
  <c r="K2372" i="208"/>
  <c r="R2372" i="208" s="1"/>
  <c r="K2373" i="208"/>
  <c r="R2373" i="208" s="1"/>
  <c r="K2374" i="208"/>
  <c r="R2374" i="208" s="1"/>
  <c r="K2375" i="208"/>
  <c r="R2375" i="208" s="1"/>
  <c r="K2376" i="208"/>
  <c r="R2376" i="208" s="1"/>
  <c r="K2377" i="208"/>
  <c r="R2377" i="208" s="1"/>
  <c r="K2378" i="208"/>
  <c r="R2378" i="208" s="1"/>
  <c r="K2379" i="208"/>
  <c r="R2379" i="208" s="1"/>
  <c r="K2380" i="208"/>
  <c r="R2380" i="208" s="1"/>
  <c r="K2381" i="208"/>
  <c r="R2381" i="208" s="1"/>
  <c r="K2382" i="208"/>
  <c r="R2382" i="208" s="1"/>
  <c r="K2383" i="208"/>
  <c r="R2383" i="208" s="1"/>
  <c r="K2384" i="208"/>
  <c r="R2384" i="208" s="1"/>
  <c r="K2385" i="208"/>
  <c r="R2385" i="208" s="1"/>
  <c r="K2386" i="208"/>
  <c r="R2386" i="208" s="1"/>
  <c r="K2387" i="208"/>
  <c r="R2387" i="208" s="1"/>
  <c r="K2388" i="208"/>
  <c r="R2388" i="208" s="1"/>
  <c r="K2389" i="208"/>
  <c r="R2389" i="208" s="1"/>
  <c r="K2390" i="208"/>
  <c r="R2390" i="208" s="1"/>
  <c r="K2391" i="208"/>
  <c r="R2391" i="208" s="1"/>
  <c r="K2392" i="208"/>
  <c r="R2392" i="208" s="1"/>
  <c r="K2393" i="208"/>
  <c r="R2393" i="208" s="1"/>
  <c r="K2394" i="208"/>
  <c r="R2394" i="208" s="1"/>
  <c r="K2395" i="208"/>
  <c r="R2395" i="208" s="1"/>
  <c r="K2396" i="208"/>
  <c r="R2396" i="208" s="1"/>
  <c r="K2397" i="208"/>
  <c r="R2397" i="208" s="1"/>
  <c r="K2398" i="208"/>
  <c r="R2398" i="208" s="1"/>
  <c r="K2399" i="208"/>
  <c r="R2399" i="208" s="1"/>
  <c r="K2400" i="208"/>
  <c r="R2400" i="208" s="1"/>
  <c r="K2401" i="208"/>
  <c r="R2401" i="208" s="1"/>
  <c r="K2402" i="208"/>
  <c r="R2402" i="208" s="1"/>
  <c r="K2403" i="208"/>
  <c r="R2403" i="208" s="1"/>
  <c r="K2404" i="208"/>
  <c r="R2404" i="208" s="1"/>
  <c r="K2405" i="208"/>
  <c r="R2405" i="208" s="1"/>
  <c r="K2406" i="208"/>
  <c r="R2406" i="208" s="1"/>
  <c r="K2407" i="208"/>
  <c r="R2407" i="208" s="1"/>
  <c r="K2408" i="208"/>
  <c r="R2408" i="208" s="1"/>
  <c r="K2409" i="208"/>
  <c r="R2409" i="208" s="1"/>
  <c r="K2410" i="208"/>
  <c r="R2410" i="208" s="1"/>
  <c r="K2411" i="208"/>
  <c r="R2411" i="208" s="1"/>
  <c r="K2412" i="208"/>
  <c r="R2412" i="208" s="1"/>
  <c r="K2413" i="208"/>
  <c r="R2413" i="208" s="1"/>
  <c r="K2414" i="208"/>
  <c r="R2414" i="208" s="1"/>
  <c r="K2415" i="208"/>
  <c r="R2415" i="208" s="1"/>
  <c r="K2416" i="208"/>
  <c r="R2416" i="208" s="1"/>
  <c r="K2417" i="208"/>
  <c r="R2417" i="208" s="1"/>
  <c r="K2418" i="208"/>
  <c r="R2418" i="208" s="1"/>
  <c r="K2419" i="208"/>
  <c r="R2419" i="208" s="1"/>
  <c r="K2420" i="208"/>
  <c r="R2420" i="208" s="1"/>
  <c r="K2421" i="208"/>
  <c r="R2421" i="208" s="1"/>
  <c r="K2422" i="208"/>
  <c r="R2422" i="208" s="1"/>
  <c r="K2423" i="208"/>
  <c r="R2423" i="208" s="1"/>
  <c r="K2424" i="208"/>
  <c r="R2424" i="208" s="1"/>
  <c r="K2425" i="208"/>
  <c r="R2425" i="208" s="1"/>
  <c r="K2426" i="208"/>
  <c r="R2426" i="208" s="1"/>
  <c r="K2427" i="208"/>
  <c r="R2427" i="208" s="1"/>
  <c r="K2428" i="208"/>
  <c r="R2428" i="208" s="1"/>
  <c r="K2429" i="208"/>
  <c r="R2429" i="208" s="1"/>
  <c r="K2430" i="208"/>
  <c r="R2430" i="208" s="1"/>
  <c r="K2431" i="208"/>
  <c r="R2431" i="208" s="1"/>
  <c r="K2432" i="208"/>
  <c r="R2432" i="208" s="1"/>
  <c r="K2433" i="208"/>
  <c r="R2433" i="208" s="1"/>
  <c r="K2434" i="208"/>
  <c r="R2434" i="208" s="1"/>
  <c r="K2435" i="208"/>
  <c r="R2435" i="208" s="1"/>
  <c r="K2436" i="208"/>
  <c r="R2436" i="208" s="1"/>
  <c r="K2437" i="208"/>
  <c r="R2437" i="208" s="1"/>
  <c r="K2438" i="208"/>
  <c r="R2438" i="208" s="1"/>
  <c r="K2439" i="208"/>
  <c r="R2439" i="208" s="1"/>
  <c r="K2440" i="208"/>
  <c r="R2440" i="208" s="1"/>
  <c r="K2441" i="208"/>
  <c r="R2441" i="208" s="1"/>
  <c r="K2442" i="208"/>
  <c r="R2442" i="208" s="1"/>
  <c r="K2443" i="208"/>
  <c r="R2443" i="208" s="1"/>
  <c r="K2444" i="208"/>
  <c r="R2444" i="208" s="1"/>
  <c r="K2445" i="208"/>
  <c r="R2445" i="208" s="1"/>
  <c r="K2446" i="208"/>
  <c r="R2446" i="208" s="1"/>
  <c r="K2447" i="208"/>
  <c r="R2447" i="208" s="1"/>
  <c r="K2448" i="208"/>
  <c r="R2448" i="208" s="1"/>
  <c r="K2449" i="208"/>
  <c r="R2449" i="208" s="1"/>
  <c r="K2450" i="208"/>
  <c r="R2450" i="208" s="1"/>
  <c r="K2451" i="208"/>
  <c r="R2451" i="208" s="1"/>
  <c r="K2452" i="208"/>
  <c r="R2452" i="208" s="1"/>
  <c r="K2453" i="208"/>
  <c r="R2453" i="208" s="1"/>
  <c r="K2454" i="208"/>
  <c r="R2454" i="208" s="1"/>
  <c r="K2455" i="208"/>
  <c r="R2455" i="208" s="1"/>
  <c r="K2456" i="208"/>
  <c r="R2456" i="208" s="1"/>
  <c r="K2457" i="208"/>
  <c r="R2457" i="208" s="1"/>
  <c r="K2458" i="208"/>
  <c r="R2458" i="208" s="1"/>
  <c r="K2459" i="208"/>
  <c r="R2459" i="208" s="1"/>
  <c r="K2460" i="208"/>
  <c r="R2460" i="208" s="1"/>
  <c r="K2461" i="208"/>
  <c r="R2461" i="208" s="1"/>
  <c r="K2462" i="208"/>
  <c r="R2462" i="208" s="1"/>
  <c r="K2463" i="208"/>
  <c r="R2463" i="208" s="1"/>
  <c r="K2464" i="208"/>
  <c r="R2464" i="208" s="1"/>
  <c r="K2465" i="208"/>
  <c r="R2465" i="208" s="1"/>
  <c r="K2466" i="208"/>
  <c r="R2466" i="208" s="1"/>
  <c r="K2467" i="208"/>
  <c r="R2467" i="208" s="1"/>
  <c r="K2468" i="208"/>
  <c r="R2468" i="208" s="1"/>
  <c r="K2469" i="208"/>
  <c r="R2469" i="208" s="1"/>
  <c r="K2470" i="208"/>
  <c r="R2470" i="208" s="1"/>
  <c r="K2471" i="208"/>
  <c r="R2471" i="208" s="1"/>
  <c r="K2472" i="208"/>
  <c r="R2472" i="208" s="1"/>
  <c r="K2473" i="208"/>
  <c r="R2473" i="208" s="1"/>
  <c r="K2474" i="208"/>
  <c r="R2474" i="208" s="1"/>
  <c r="K2475" i="208"/>
  <c r="R2475" i="208" s="1"/>
  <c r="K2476" i="208"/>
  <c r="R2476" i="208" s="1"/>
  <c r="K2477" i="208"/>
  <c r="R2477" i="208" s="1"/>
  <c r="K2478" i="208"/>
  <c r="R2478" i="208" s="1"/>
  <c r="K2479" i="208"/>
  <c r="R2479" i="208" s="1"/>
  <c r="K2480" i="208"/>
  <c r="R2480" i="208" s="1"/>
  <c r="K2481" i="208"/>
  <c r="R2481" i="208" s="1"/>
  <c r="K2482" i="208"/>
  <c r="R2482" i="208" s="1"/>
  <c r="K2483" i="208"/>
  <c r="R2483" i="208" s="1"/>
  <c r="K2484" i="208"/>
  <c r="R2484" i="208" s="1"/>
  <c r="K2485" i="208"/>
  <c r="R2485" i="208" s="1"/>
  <c r="K2486" i="208"/>
  <c r="R2486" i="208" s="1"/>
  <c r="K2487" i="208"/>
  <c r="R2487" i="208" s="1"/>
  <c r="K2488" i="208"/>
  <c r="R2488" i="208" s="1"/>
  <c r="K2489" i="208"/>
  <c r="R2489" i="208" s="1"/>
  <c r="K2490" i="208"/>
  <c r="R2490" i="208" s="1"/>
  <c r="K2491" i="208"/>
  <c r="R2491" i="208" s="1"/>
  <c r="K2492" i="208"/>
  <c r="R2492" i="208" s="1"/>
  <c r="K2493" i="208"/>
  <c r="R2493" i="208" s="1"/>
  <c r="K2494" i="208"/>
  <c r="R2494" i="208" s="1"/>
  <c r="K2495" i="208"/>
  <c r="R2495" i="208" s="1"/>
  <c r="K2496" i="208"/>
  <c r="R2496" i="208" s="1"/>
  <c r="K2497" i="208"/>
  <c r="R2497" i="208" s="1"/>
  <c r="K2498" i="208"/>
  <c r="R2498" i="208" s="1"/>
  <c r="K2499" i="208"/>
  <c r="R2499" i="208" s="1"/>
  <c r="K2500" i="208"/>
  <c r="R2500" i="208" s="1"/>
  <c r="K2501" i="208"/>
  <c r="R2501" i="208" s="1"/>
  <c r="K2502" i="208"/>
  <c r="R2502" i="208" s="1"/>
  <c r="K2503" i="208"/>
  <c r="R2503" i="208" s="1"/>
  <c r="K2504" i="208"/>
  <c r="R2504" i="208" s="1"/>
  <c r="K2505" i="208"/>
  <c r="R2505" i="208" s="1"/>
  <c r="K2506" i="208"/>
  <c r="R2506" i="208" s="1"/>
  <c r="K2507" i="208"/>
  <c r="R2507" i="208" s="1"/>
  <c r="K2508" i="208"/>
  <c r="R2508" i="208" s="1"/>
  <c r="K2509" i="208"/>
  <c r="R2509" i="208" s="1"/>
  <c r="K2510" i="208"/>
  <c r="R2510" i="208" s="1"/>
  <c r="K2511" i="208"/>
  <c r="R2511" i="208" s="1"/>
  <c r="K2512" i="208"/>
  <c r="R2512" i="208" s="1"/>
  <c r="K2513" i="208"/>
  <c r="R2513" i="208" s="1"/>
  <c r="K2514" i="208"/>
  <c r="R2514" i="208" s="1"/>
  <c r="K2515" i="208"/>
  <c r="R2515" i="208" s="1"/>
  <c r="K2516" i="208"/>
  <c r="R2516" i="208" s="1"/>
  <c r="K2517" i="208"/>
  <c r="R2517" i="208" s="1"/>
  <c r="K2518" i="208"/>
  <c r="R2518" i="208" s="1"/>
  <c r="K2519" i="208"/>
  <c r="R2519" i="208" s="1"/>
  <c r="K2520" i="208"/>
  <c r="R2520" i="208" s="1"/>
  <c r="K2521" i="208"/>
  <c r="R2521" i="208" s="1"/>
  <c r="K2522" i="208"/>
  <c r="R2522" i="208" s="1"/>
  <c r="K2523" i="208"/>
  <c r="R2523" i="208" s="1"/>
  <c r="K2524" i="208"/>
  <c r="R2524" i="208" s="1"/>
  <c r="K2525" i="208"/>
  <c r="R2525" i="208" s="1"/>
  <c r="K2526" i="208"/>
  <c r="R2526" i="208" s="1"/>
  <c r="K2527" i="208"/>
  <c r="R2527" i="208" s="1"/>
  <c r="K2528" i="208"/>
  <c r="R2528" i="208" s="1"/>
  <c r="K2529" i="208"/>
  <c r="R2529" i="208" s="1"/>
  <c r="K2530" i="208"/>
  <c r="R2530" i="208" s="1"/>
  <c r="K2531" i="208"/>
  <c r="R2531" i="208" s="1"/>
  <c r="K2532" i="208"/>
  <c r="R2532" i="208" s="1"/>
  <c r="K2533" i="208"/>
  <c r="R2533" i="208" s="1"/>
  <c r="K2534" i="208"/>
  <c r="R2534" i="208" s="1"/>
  <c r="K2535" i="208"/>
  <c r="R2535" i="208" s="1"/>
  <c r="K2536" i="208"/>
  <c r="R2536" i="208" s="1"/>
  <c r="K2537" i="208"/>
  <c r="R2537" i="208" s="1"/>
  <c r="K2538" i="208"/>
  <c r="R2538" i="208" s="1"/>
  <c r="K2539" i="208"/>
  <c r="R2539" i="208" s="1"/>
  <c r="K2540" i="208"/>
  <c r="R2540" i="208" s="1"/>
  <c r="K2541" i="208"/>
  <c r="R2541" i="208" s="1"/>
  <c r="K2542" i="208"/>
  <c r="R2542" i="208" s="1"/>
  <c r="K2543" i="208"/>
  <c r="R2543" i="208" s="1"/>
  <c r="K2544" i="208"/>
  <c r="R2544" i="208" s="1"/>
  <c r="K2545" i="208"/>
  <c r="R2545" i="208" s="1"/>
  <c r="K2546" i="208"/>
  <c r="R2546" i="208" s="1"/>
  <c r="K2547" i="208"/>
  <c r="R2547" i="208" s="1"/>
  <c r="K2548" i="208"/>
  <c r="R2548" i="208" s="1"/>
  <c r="K2549" i="208"/>
  <c r="R2549" i="208" s="1"/>
  <c r="K2550" i="208"/>
  <c r="R2550" i="208" s="1"/>
  <c r="K2551" i="208"/>
  <c r="R2551" i="208" s="1"/>
  <c r="K2552" i="208"/>
  <c r="R2552" i="208" s="1"/>
  <c r="K2553" i="208"/>
  <c r="R2553" i="208" s="1"/>
  <c r="K2554" i="208"/>
  <c r="R2554" i="208" s="1"/>
  <c r="K2555" i="208"/>
  <c r="R2555" i="208" s="1"/>
  <c r="K2556" i="208"/>
  <c r="R2556" i="208" s="1"/>
  <c r="K2557" i="208"/>
  <c r="R2557" i="208" s="1"/>
  <c r="K2558" i="208"/>
  <c r="R2558" i="208" s="1"/>
  <c r="K2559" i="208"/>
  <c r="R2559" i="208" s="1"/>
  <c r="K2560" i="208"/>
  <c r="R2560" i="208" s="1"/>
  <c r="K2561" i="208"/>
  <c r="R2561" i="208" s="1"/>
  <c r="K2562" i="208"/>
  <c r="R2562" i="208" s="1"/>
  <c r="K2563" i="208"/>
  <c r="R2563" i="208" s="1"/>
  <c r="K2564" i="208"/>
  <c r="R2564" i="208" s="1"/>
  <c r="K2565" i="208"/>
  <c r="R2565" i="208" s="1"/>
  <c r="K2566" i="208"/>
  <c r="R2566" i="208" s="1"/>
  <c r="K2567" i="208"/>
  <c r="R2567" i="208" s="1"/>
  <c r="K2568" i="208"/>
  <c r="R2568" i="208" s="1"/>
  <c r="K2569" i="208"/>
  <c r="R2569" i="208" s="1"/>
  <c r="K2570" i="208"/>
  <c r="R2570" i="208" s="1"/>
  <c r="K2571" i="208"/>
  <c r="R2571" i="208" s="1"/>
  <c r="K2572" i="208"/>
  <c r="R2572" i="208" s="1"/>
  <c r="K2573" i="208"/>
  <c r="R2573" i="208" s="1"/>
  <c r="K2574" i="208"/>
  <c r="R2574" i="208" s="1"/>
  <c r="K2575" i="208"/>
  <c r="R2575" i="208" s="1"/>
  <c r="K2576" i="208"/>
  <c r="R2576" i="208" s="1"/>
  <c r="K2577" i="208"/>
  <c r="R2577" i="208" s="1"/>
  <c r="K2578" i="208"/>
  <c r="R2578" i="208" s="1"/>
  <c r="K2579" i="208"/>
  <c r="R2579" i="208" s="1"/>
  <c r="K2580" i="208"/>
  <c r="R2580" i="208" s="1"/>
  <c r="K2581" i="208"/>
  <c r="R2581" i="208" s="1"/>
  <c r="K2582" i="208"/>
  <c r="R2582" i="208" s="1"/>
  <c r="K2583" i="208"/>
  <c r="R2583" i="208" s="1"/>
  <c r="K2584" i="208"/>
  <c r="R2584" i="208" s="1"/>
  <c r="K2585" i="208"/>
  <c r="R2585" i="208" s="1"/>
  <c r="K2586" i="208"/>
  <c r="R2586" i="208" s="1"/>
  <c r="K2587" i="208"/>
  <c r="R2587" i="208" s="1"/>
  <c r="K2588" i="208"/>
  <c r="R2588" i="208" s="1"/>
  <c r="K2589" i="208"/>
  <c r="R2589" i="208" s="1"/>
  <c r="K2590" i="208"/>
  <c r="R2590" i="208" s="1"/>
  <c r="K2591" i="208"/>
  <c r="R2591" i="208" s="1"/>
  <c r="K2592" i="208"/>
  <c r="R2592" i="208" s="1"/>
  <c r="K2593" i="208"/>
  <c r="R2593" i="208" s="1"/>
  <c r="K2594" i="208"/>
  <c r="R2594" i="208" s="1"/>
  <c r="K2595" i="208"/>
  <c r="R2595" i="208" s="1"/>
  <c r="K2596" i="208"/>
  <c r="R2596" i="208" s="1"/>
  <c r="K2597" i="208"/>
  <c r="R2597" i="208" s="1"/>
  <c r="K2598" i="208"/>
  <c r="R2598" i="208" s="1"/>
  <c r="K2599" i="208"/>
  <c r="R2599" i="208" s="1"/>
  <c r="K2600" i="208"/>
  <c r="R2600" i="208" s="1"/>
  <c r="K2601" i="208"/>
  <c r="R2601" i="208" s="1"/>
  <c r="K2602" i="208"/>
  <c r="R2602" i="208" s="1"/>
  <c r="K2603" i="208"/>
  <c r="R2603" i="208" s="1"/>
  <c r="K2604" i="208"/>
  <c r="R2604" i="208" s="1"/>
  <c r="K2605" i="208"/>
  <c r="R2605" i="208" s="1"/>
  <c r="K2606" i="208"/>
  <c r="R2606" i="208" s="1"/>
  <c r="K2607" i="208"/>
  <c r="R2607" i="208" s="1"/>
  <c r="K2608" i="208"/>
  <c r="R2608" i="208" s="1"/>
  <c r="K2609" i="208"/>
  <c r="R2609" i="208" s="1"/>
  <c r="K2610" i="208"/>
  <c r="R2610" i="208" s="1"/>
  <c r="K2611" i="208"/>
  <c r="R2611" i="208" s="1"/>
  <c r="K2612" i="208"/>
  <c r="R2612" i="208" s="1"/>
  <c r="K2613" i="208"/>
  <c r="R2613" i="208" s="1"/>
  <c r="K2614" i="208"/>
  <c r="R2614" i="208" s="1"/>
  <c r="K2615" i="208"/>
  <c r="R2615" i="208" s="1"/>
  <c r="K2616" i="208"/>
  <c r="R2616" i="208" s="1"/>
  <c r="K2617" i="208"/>
  <c r="R2617" i="208" s="1"/>
  <c r="K2618" i="208"/>
  <c r="R2618" i="208" s="1"/>
  <c r="K2619" i="208"/>
  <c r="R2619" i="208" s="1"/>
  <c r="K2620" i="208"/>
  <c r="R2620" i="208" s="1"/>
  <c r="K2621" i="208"/>
  <c r="R2621" i="208" s="1"/>
  <c r="K2622" i="208"/>
  <c r="R2622" i="208" s="1"/>
  <c r="K2623" i="208"/>
  <c r="R2623" i="208" s="1"/>
  <c r="K2624" i="208"/>
  <c r="R2624" i="208" s="1"/>
  <c r="K2625" i="208"/>
  <c r="R2625" i="208" s="1"/>
  <c r="K2626" i="208"/>
  <c r="R2626" i="208" s="1"/>
  <c r="K2627" i="208"/>
  <c r="R2627" i="208" s="1"/>
  <c r="K2628" i="208"/>
  <c r="R2628" i="208" s="1"/>
  <c r="K2629" i="208"/>
  <c r="R2629" i="208" s="1"/>
  <c r="K2630" i="208"/>
  <c r="R2630" i="208" s="1"/>
  <c r="K2631" i="208"/>
  <c r="R2631" i="208" s="1"/>
  <c r="K2632" i="208"/>
  <c r="R2632" i="208" s="1"/>
  <c r="K2633" i="208"/>
  <c r="R2633" i="208" s="1"/>
  <c r="K2634" i="208"/>
  <c r="R2634" i="208" s="1"/>
  <c r="K2635" i="208"/>
  <c r="R2635" i="208" s="1"/>
  <c r="K2636" i="208"/>
  <c r="R2636" i="208" s="1"/>
  <c r="K2637" i="208"/>
  <c r="R2637" i="208" s="1"/>
  <c r="K2638" i="208"/>
  <c r="R2638" i="208" s="1"/>
  <c r="K2639" i="208"/>
  <c r="R2639" i="208" s="1"/>
  <c r="K2640" i="208"/>
  <c r="R2640" i="208" s="1"/>
  <c r="K2641" i="208"/>
  <c r="R2641" i="208" s="1"/>
  <c r="K2642" i="208"/>
  <c r="R2642" i="208" s="1"/>
  <c r="K2643" i="208"/>
  <c r="R2643" i="208" s="1"/>
  <c r="K2644" i="208"/>
  <c r="R2644" i="208" s="1"/>
  <c r="K2645" i="208"/>
  <c r="R2645" i="208" s="1"/>
  <c r="K2646" i="208"/>
  <c r="R2646" i="208" s="1"/>
  <c r="K2647" i="208"/>
  <c r="R2647" i="208" s="1"/>
  <c r="K2648" i="208"/>
  <c r="R2648" i="208" s="1"/>
  <c r="K2649" i="208"/>
  <c r="R2649" i="208" s="1"/>
  <c r="K2650" i="208"/>
  <c r="R2650" i="208" s="1"/>
  <c r="K2651" i="208"/>
  <c r="R2651" i="208" s="1"/>
  <c r="K2652" i="208"/>
  <c r="R2652" i="208" s="1"/>
  <c r="K2653" i="208"/>
  <c r="R2653" i="208" s="1"/>
  <c r="K2654" i="208"/>
  <c r="R2654" i="208" s="1"/>
  <c r="K2655" i="208"/>
  <c r="R2655" i="208" s="1"/>
  <c r="K2656" i="208"/>
  <c r="R2656" i="208" s="1"/>
  <c r="K2657" i="208"/>
  <c r="R2657" i="208" s="1"/>
  <c r="K2658" i="208"/>
  <c r="R2658" i="208" s="1"/>
  <c r="K2659" i="208"/>
  <c r="R2659" i="208" s="1"/>
  <c r="K2660" i="208"/>
  <c r="R2660" i="208" s="1"/>
  <c r="K2661" i="208"/>
  <c r="R2661" i="208" s="1"/>
  <c r="K2662" i="208"/>
  <c r="R2662" i="208" s="1"/>
  <c r="K2663" i="208"/>
  <c r="R2663" i="208" s="1"/>
  <c r="K2664" i="208"/>
  <c r="R2664" i="208" s="1"/>
  <c r="K2665" i="208"/>
  <c r="R2665" i="208" s="1"/>
  <c r="K2666" i="208"/>
  <c r="R2666" i="208" s="1"/>
  <c r="K2667" i="208"/>
  <c r="R2667" i="208" s="1"/>
  <c r="K2668" i="208"/>
  <c r="R2668" i="208" s="1"/>
  <c r="K2669" i="208"/>
  <c r="R2669" i="208" s="1"/>
  <c r="K2670" i="208"/>
  <c r="R2670" i="208" s="1"/>
  <c r="K2671" i="208"/>
  <c r="R2671" i="208" s="1"/>
  <c r="K2672" i="208"/>
  <c r="R2672" i="208" s="1"/>
  <c r="K2673" i="208"/>
  <c r="R2673" i="208" s="1"/>
  <c r="K2674" i="208"/>
  <c r="R2674" i="208" s="1"/>
  <c r="K2675" i="208"/>
  <c r="R2675" i="208" s="1"/>
  <c r="K2676" i="208"/>
  <c r="R2676" i="208" s="1"/>
  <c r="K2677" i="208"/>
  <c r="R2677" i="208" s="1"/>
  <c r="K2678" i="208"/>
  <c r="R2678" i="208" s="1"/>
  <c r="K2679" i="208"/>
  <c r="R2679" i="208" s="1"/>
  <c r="K2680" i="208"/>
  <c r="R2680" i="208" s="1"/>
  <c r="K2681" i="208"/>
  <c r="R2681" i="208" s="1"/>
  <c r="K2682" i="208"/>
  <c r="R2682" i="208" s="1"/>
  <c r="K2683" i="208"/>
  <c r="R2683" i="208" s="1"/>
  <c r="K2684" i="208"/>
  <c r="R2684" i="208" s="1"/>
  <c r="K2685" i="208"/>
  <c r="R2685" i="208" s="1"/>
  <c r="K2686" i="208"/>
  <c r="R2686" i="208" s="1"/>
  <c r="K2687" i="208"/>
  <c r="R2687" i="208" s="1"/>
  <c r="K2688" i="208"/>
  <c r="R2688" i="208" s="1"/>
  <c r="K2689" i="208"/>
  <c r="R2689" i="208" s="1"/>
  <c r="K2690" i="208"/>
  <c r="R2690" i="208" s="1"/>
  <c r="K2691" i="208"/>
  <c r="R2691" i="208" s="1"/>
  <c r="K2692" i="208"/>
  <c r="R2692" i="208" s="1"/>
  <c r="K2693" i="208"/>
  <c r="R2693" i="208" s="1"/>
  <c r="K2694" i="208"/>
  <c r="R2694" i="208" s="1"/>
  <c r="K2695" i="208"/>
  <c r="R2695" i="208" s="1"/>
  <c r="K2696" i="208"/>
  <c r="R2696" i="208" s="1"/>
  <c r="K2697" i="208"/>
  <c r="R2697" i="208" s="1"/>
  <c r="K2698" i="208"/>
  <c r="R2698" i="208" s="1"/>
  <c r="K2699" i="208"/>
  <c r="R2699" i="208" s="1"/>
  <c r="K2700" i="208"/>
  <c r="R2700" i="208" s="1"/>
  <c r="K2701" i="208"/>
  <c r="R2701" i="208" s="1"/>
  <c r="K2702" i="208"/>
  <c r="R2702" i="208" s="1"/>
  <c r="K2703" i="208"/>
  <c r="R2703" i="208" s="1"/>
  <c r="K2704" i="208"/>
  <c r="R2704" i="208" s="1"/>
  <c r="K2705" i="208"/>
  <c r="R2705" i="208" s="1"/>
  <c r="K2706" i="208"/>
  <c r="R2706" i="208" s="1"/>
  <c r="K2707" i="208"/>
  <c r="R2707" i="208" s="1"/>
  <c r="K2708" i="208"/>
  <c r="R2708" i="208" s="1"/>
  <c r="K2709" i="208"/>
  <c r="R2709" i="208" s="1"/>
  <c r="K2710" i="208"/>
  <c r="R2710" i="208" s="1"/>
  <c r="K2711" i="208"/>
  <c r="R2711" i="208" s="1"/>
  <c r="K2712" i="208"/>
  <c r="R2712" i="208" s="1"/>
  <c r="K2713" i="208"/>
  <c r="R2713" i="208" s="1"/>
  <c r="K2714" i="208"/>
  <c r="R2714" i="208" s="1"/>
  <c r="K2715" i="208"/>
  <c r="R2715" i="208" s="1"/>
  <c r="K2716" i="208"/>
  <c r="R2716" i="208" s="1"/>
  <c r="K2717" i="208"/>
  <c r="R2717" i="208" s="1"/>
  <c r="K2718" i="208"/>
  <c r="R2718" i="208" s="1"/>
  <c r="K2719" i="208"/>
  <c r="R2719" i="208" s="1"/>
  <c r="K2720" i="208"/>
  <c r="R2720" i="208" s="1"/>
  <c r="K2721" i="208"/>
  <c r="R2721" i="208" s="1"/>
  <c r="K2722" i="208"/>
  <c r="R2722" i="208" s="1"/>
  <c r="K2723" i="208"/>
  <c r="R2723" i="208" s="1"/>
  <c r="K2724" i="208"/>
  <c r="R2724" i="208" s="1"/>
  <c r="K2725" i="208"/>
  <c r="R2725" i="208" s="1"/>
  <c r="K2726" i="208"/>
  <c r="R2726" i="208" s="1"/>
  <c r="K2727" i="208"/>
  <c r="R2727" i="208" s="1"/>
  <c r="K2728" i="208"/>
  <c r="R2728" i="208" s="1"/>
  <c r="K2729" i="208"/>
  <c r="R2729" i="208" s="1"/>
  <c r="K2730" i="208"/>
  <c r="R2730" i="208" s="1"/>
  <c r="K2731" i="208"/>
  <c r="R2731" i="208" s="1"/>
  <c r="K2732" i="208"/>
  <c r="R2732" i="208" s="1"/>
  <c r="K2733" i="208"/>
  <c r="R2733" i="208" s="1"/>
  <c r="K2734" i="208"/>
  <c r="R2734" i="208" s="1"/>
  <c r="K2735" i="208"/>
  <c r="R2735" i="208" s="1"/>
  <c r="K2736" i="208"/>
  <c r="R2736" i="208" s="1"/>
  <c r="K2737" i="208"/>
  <c r="R2737" i="208" s="1"/>
  <c r="K2738" i="208"/>
  <c r="R2738" i="208" s="1"/>
  <c r="K2739" i="208"/>
  <c r="R2739" i="208" s="1"/>
  <c r="K2740" i="208"/>
  <c r="R2740" i="208" s="1"/>
  <c r="K2741" i="208"/>
  <c r="R2741" i="208" s="1"/>
  <c r="K2742" i="208"/>
  <c r="R2742" i="208" s="1"/>
  <c r="K2743" i="208"/>
  <c r="R2743" i="208" s="1"/>
  <c r="K2744" i="208"/>
  <c r="R2744" i="208" s="1"/>
  <c r="K2745" i="208"/>
  <c r="R2745" i="208" s="1"/>
  <c r="K2746" i="208"/>
  <c r="R2746" i="208" s="1"/>
  <c r="K2747" i="208"/>
  <c r="R2747" i="208" s="1"/>
  <c r="K2748" i="208"/>
  <c r="R2748" i="208" s="1"/>
  <c r="K2749" i="208"/>
  <c r="R2749" i="208" s="1"/>
  <c r="K2750" i="208"/>
  <c r="R2750" i="208" s="1"/>
  <c r="K2751" i="208"/>
  <c r="R2751" i="208" s="1"/>
  <c r="K2752" i="208"/>
  <c r="R2752" i="208" s="1"/>
  <c r="K2753" i="208"/>
  <c r="R2753" i="208" s="1"/>
  <c r="K2754" i="208"/>
  <c r="R2754" i="208" s="1"/>
  <c r="K2755" i="208"/>
  <c r="R2755" i="208" s="1"/>
  <c r="K2756" i="208"/>
  <c r="R2756" i="208" s="1"/>
  <c r="K2757" i="208"/>
  <c r="R2757" i="208" s="1"/>
  <c r="K2758" i="208"/>
  <c r="R2758" i="208" s="1"/>
  <c r="K2759" i="208"/>
  <c r="R2759" i="208" s="1"/>
  <c r="K2760" i="208"/>
  <c r="R2760" i="208" s="1"/>
  <c r="K2761" i="208"/>
  <c r="R2761" i="208" s="1"/>
  <c r="K2762" i="208"/>
  <c r="R2762" i="208" s="1"/>
  <c r="K2763" i="208"/>
  <c r="R2763" i="208" s="1"/>
  <c r="K2764" i="208"/>
  <c r="R2764" i="208" s="1"/>
  <c r="K2765" i="208"/>
  <c r="R2765" i="208" s="1"/>
  <c r="K2766" i="208"/>
  <c r="R2766" i="208" s="1"/>
  <c r="K2767" i="208"/>
  <c r="R2767" i="208" s="1"/>
  <c r="K2768" i="208"/>
  <c r="R2768" i="208" s="1"/>
  <c r="K2769" i="208"/>
  <c r="R2769" i="208" s="1"/>
  <c r="K2770" i="208"/>
  <c r="R2770" i="208" s="1"/>
  <c r="K2771" i="208"/>
  <c r="R2771" i="208" s="1"/>
  <c r="K2772" i="208"/>
  <c r="R2772" i="208" s="1"/>
  <c r="K2773" i="208"/>
  <c r="R2773" i="208" s="1"/>
  <c r="K2774" i="208"/>
  <c r="R2774" i="208" s="1"/>
  <c r="K2775" i="208"/>
  <c r="R2775" i="208" s="1"/>
  <c r="K2776" i="208"/>
  <c r="R2776" i="208" s="1"/>
  <c r="K2777" i="208"/>
  <c r="R2777" i="208" s="1"/>
  <c r="K2778" i="208"/>
  <c r="R2778" i="208" s="1"/>
  <c r="K2779" i="208"/>
  <c r="R2779" i="208" s="1"/>
  <c r="K2780" i="208"/>
  <c r="R2780" i="208" s="1"/>
  <c r="K2781" i="208"/>
  <c r="R2781" i="208" s="1"/>
  <c r="K2782" i="208"/>
  <c r="R2782" i="208" s="1"/>
  <c r="K2783" i="208"/>
  <c r="R2783" i="208" s="1"/>
  <c r="K2784" i="208"/>
  <c r="R2784" i="208" s="1"/>
  <c r="K2785" i="208"/>
  <c r="R2785" i="208" s="1"/>
  <c r="K2786" i="208"/>
  <c r="R2786" i="208" s="1"/>
  <c r="K2787" i="208"/>
  <c r="R2787" i="208" s="1"/>
  <c r="K2788" i="208"/>
  <c r="R2788" i="208" s="1"/>
  <c r="K2789" i="208"/>
  <c r="R2789" i="208" s="1"/>
  <c r="K2790" i="208"/>
  <c r="R2790" i="208" s="1"/>
  <c r="K2791" i="208"/>
  <c r="R2791" i="208" s="1"/>
  <c r="K2792" i="208"/>
  <c r="R2792" i="208" s="1"/>
  <c r="K2793" i="208"/>
  <c r="R2793" i="208" s="1"/>
  <c r="K2794" i="208"/>
  <c r="R2794" i="208" s="1"/>
  <c r="K2795" i="208"/>
  <c r="R2795" i="208" s="1"/>
  <c r="K2796" i="208"/>
  <c r="R2796" i="208" s="1"/>
  <c r="K2797" i="208"/>
  <c r="R2797" i="208" s="1"/>
  <c r="K2798" i="208"/>
  <c r="R2798" i="208" s="1"/>
  <c r="K2799" i="208"/>
  <c r="R2799" i="208" s="1"/>
  <c r="K2800" i="208"/>
  <c r="R2800" i="208" s="1"/>
  <c r="K2801" i="208"/>
  <c r="R2801" i="208" s="1"/>
  <c r="K2802" i="208"/>
  <c r="R2802" i="208" s="1"/>
  <c r="K2803" i="208"/>
  <c r="R2803" i="208" s="1"/>
  <c r="K2804" i="208"/>
  <c r="R2804" i="208" s="1"/>
  <c r="K2805" i="208"/>
  <c r="R2805" i="208" s="1"/>
  <c r="K2806" i="208"/>
  <c r="R2806" i="208" s="1"/>
  <c r="K2807" i="208"/>
  <c r="R2807" i="208" s="1"/>
  <c r="K2808" i="208"/>
  <c r="R2808" i="208" s="1"/>
  <c r="K2809" i="208"/>
  <c r="R2809" i="208" s="1"/>
  <c r="K2810" i="208"/>
  <c r="R2810" i="208" s="1"/>
  <c r="K2811" i="208"/>
  <c r="R2811" i="208" s="1"/>
  <c r="K2812" i="208"/>
  <c r="R2812" i="208" s="1"/>
  <c r="K2813" i="208"/>
  <c r="R2813" i="208" s="1"/>
  <c r="K2814" i="208"/>
  <c r="R2814" i="208" s="1"/>
  <c r="K2815" i="208"/>
  <c r="R2815" i="208" s="1"/>
  <c r="K2816" i="208"/>
  <c r="R2816" i="208" s="1"/>
  <c r="K2817" i="208"/>
  <c r="R2817" i="208" s="1"/>
  <c r="K2818" i="208"/>
  <c r="R2818" i="208" s="1"/>
  <c r="K2819" i="208"/>
  <c r="R2819" i="208" s="1"/>
  <c r="K2820" i="208"/>
  <c r="R2820" i="208" s="1"/>
  <c r="K2821" i="208"/>
  <c r="R2821" i="208" s="1"/>
  <c r="K2822" i="208"/>
  <c r="R2822" i="208" s="1"/>
  <c r="K2823" i="208"/>
  <c r="R2823" i="208" s="1"/>
  <c r="K2824" i="208"/>
  <c r="R2824" i="208" s="1"/>
  <c r="K2825" i="208"/>
  <c r="R2825" i="208" s="1"/>
  <c r="K2826" i="208"/>
  <c r="R2826" i="208" s="1"/>
  <c r="K2827" i="208"/>
  <c r="R2827" i="208" s="1"/>
  <c r="K2828" i="208"/>
  <c r="R2828" i="208" s="1"/>
  <c r="K2829" i="208"/>
  <c r="R2829" i="208" s="1"/>
  <c r="K2830" i="208"/>
  <c r="R2830" i="208" s="1"/>
  <c r="K2831" i="208"/>
  <c r="R2831" i="208" s="1"/>
  <c r="K2832" i="208"/>
  <c r="R2832" i="208" s="1"/>
  <c r="K2833" i="208"/>
  <c r="R2833" i="208" s="1"/>
  <c r="K2834" i="208"/>
  <c r="R2834" i="208" s="1"/>
  <c r="K2835" i="208"/>
  <c r="R2835" i="208" s="1"/>
  <c r="K2836" i="208"/>
  <c r="R2836" i="208" s="1"/>
  <c r="K2837" i="208"/>
  <c r="R2837" i="208" s="1"/>
  <c r="K2838" i="208"/>
  <c r="R2838" i="208" s="1"/>
  <c r="K2839" i="208"/>
  <c r="R2839" i="208" s="1"/>
  <c r="K2840" i="208"/>
  <c r="R2840" i="208" s="1"/>
  <c r="K2841" i="208"/>
  <c r="R2841" i="208" s="1"/>
  <c r="K2842" i="208"/>
  <c r="R2842" i="208" s="1"/>
  <c r="K2843" i="208"/>
  <c r="R2843" i="208" s="1"/>
  <c r="K2844" i="208"/>
  <c r="R2844" i="208" s="1"/>
  <c r="K2845" i="208"/>
  <c r="R2845" i="208" s="1"/>
  <c r="K2846" i="208"/>
  <c r="R2846" i="208" s="1"/>
  <c r="K2847" i="208"/>
  <c r="R2847" i="208" s="1"/>
  <c r="K2848" i="208"/>
  <c r="R2848" i="208" s="1"/>
  <c r="K2849" i="208"/>
  <c r="R2849" i="208" s="1"/>
  <c r="K2850" i="208"/>
  <c r="R2850" i="208" s="1"/>
  <c r="K2851" i="208"/>
  <c r="R2851" i="208" s="1"/>
  <c r="K2852" i="208"/>
  <c r="R2852" i="208" s="1"/>
  <c r="K2853" i="208"/>
  <c r="R2853" i="208" s="1"/>
  <c r="K2854" i="208"/>
  <c r="R2854" i="208" s="1"/>
  <c r="K2855" i="208"/>
  <c r="R2855" i="208" s="1"/>
  <c r="K2856" i="208"/>
  <c r="R2856" i="208" s="1"/>
  <c r="K2857" i="208"/>
  <c r="R2857" i="208" s="1"/>
  <c r="K2858" i="208"/>
  <c r="R2858" i="208" s="1"/>
  <c r="K2859" i="208"/>
  <c r="R2859" i="208" s="1"/>
  <c r="K2860" i="208"/>
  <c r="R2860" i="208" s="1"/>
  <c r="K2861" i="208"/>
  <c r="R2861" i="208" s="1"/>
  <c r="K2862" i="208"/>
  <c r="R2862" i="208" s="1"/>
  <c r="K2863" i="208"/>
  <c r="R2863" i="208" s="1"/>
  <c r="K2864" i="208"/>
  <c r="R2864" i="208" s="1"/>
  <c r="K2865" i="208"/>
  <c r="R2865" i="208" s="1"/>
  <c r="K2866" i="208"/>
  <c r="R2866" i="208" s="1"/>
  <c r="K2867" i="208"/>
  <c r="R2867" i="208" s="1"/>
  <c r="K2868" i="208"/>
  <c r="R2868" i="208" s="1"/>
  <c r="K2869" i="208"/>
  <c r="R2869" i="208" s="1"/>
  <c r="K2870" i="208"/>
  <c r="R2870" i="208" s="1"/>
  <c r="K2871" i="208"/>
  <c r="R2871" i="208" s="1"/>
  <c r="K2872" i="208"/>
  <c r="R2872" i="208" s="1"/>
  <c r="K2873" i="208"/>
  <c r="R2873" i="208" s="1"/>
  <c r="K2874" i="208"/>
  <c r="R2874" i="208" s="1"/>
  <c r="K2875" i="208"/>
  <c r="R2875" i="208" s="1"/>
  <c r="K2876" i="208"/>
  <c r="R2876" i="208" s="1"/>
  <c r="K2877" i="208"/>
  <c r="R2877" i="208" s="1"/>
  <c r="K2878" i="208"/>
  <c r="R2878" i="208" s="1"/>
  <c r="K2879" i="208"/>
  <c r="R2879" i="208" s="1"/>
  <c r="K2880" i="208"/>
  <c r="R2880" i="208" s="1"/>
  <c r="K2881" i="208"/>
  <c r="R2881" i="208" s="1"/>
  <c r="K2882" i="208"/>
  <c r="R2882" i="208" s="1"/>
  <c r="K2883" i="208"/>
  <c r="R2883" i="208" s="1"/>
  <c r="K2884" i="208"/>
  <c r="R2884" i="208" s="1"/>
  <c r="K2885" i="208"/>
  <c r="R2885" i="208" s="1"/>
  <c r="K2886" i="208"/>
  <c r="R2886" i="208" s="1"/>
  <c r="K2887" i="208"/>
  <c r="R2887" i="208" s="1"/>
  <c r="K2888" i="208"/>
  <c r="R2888" i="208" s="1"/>
  <c r="K2889" i="208"/>
  <c r="R2889" i="208" s="1"/>
  <c r="K2890" i="208"/>
  <c r="R2890" i="208" s="1"/>
  <c r="K2891" i="208"/>
  <c r="R2891" i="208" s="1"/>
  <c r="K2892" i="208"/>
  <c r="R2892" i="208" s="1"/>
  <c r="K2893" i="208"/>
  <c r="R2893" i="208" s="1"/>
  <c r="K2894" i="208"/>
  <c r="R2894" i="208" s="1"/>
  <c r="K2895" i="208"/>
  <c r="R2895" i="208" s="1"/>
  <c r="K2896" i="208"/>
  <c r="R2896" i="208" s="1"/>
  <c r="K2897" i="208"/>
  <c r="R2897" i="208" s="1"/>
  <c r="K2898" i="208"/>
  <c r="R2898" i="208" s="1"/>
  <c r="K2899" i="208"/>
  <c r="R2899" i="208" s="1"/>
  <c r="K2900" i="208"/>
  <c r="R2900" i="208" s="1"/>
  <c r="K2901" i="208"/>
  <c r="R2901" i="208" s="1"/>
  <c r="K2902" i="208"/>
  <c r="R2902" i="208" s="1"/>
  <c r="K2903" i="208"/>
  <c r="R2903" i="208" s="1"/>
  <c r="K2904" i="208"/>
  <c r="R2904" i="208" s="1"/>
  <c r="K2905" i="208"/>
  <c r="R2905" i="208" s="1"/>
  <c r="K2906" i="208"/>
  <c r="R2906" i="208" s="1"/>
  <c r="K2907" i="208"/>
  <c r="R2907" i="208" s="1"/>
  <c r="K2908" i="208"/>
  <c r="R2908" i="208" s="1"/>
  <c r="K2909" i="208"/>
  <c r="R2909" i="208" s="1"/>
  <c r="K2910" i="208"/>
  <c r="R2910" i="208" s="1"/>
  <c r="K2911" i="208"/>
  <c r="R2911" i="208" s="1"/>
  <c r="K2912" i="208"/>
  <c r="R2912" i="208" s="1"/>
  <c r="K2913" i="208"/>
  <c r="R2913" i="208" s="1"/>
  <c r="K2914" i="208"/>
  <c r="R2914" i="208" s="1"/>
  <c r="K2915" i="208"/>
  <c r="R2915" i="208" s="1"/>
  <c r="K2916" i="208"/>
  <c r="R2916" i="208" s="1"/>
  <c r="K2917" i="208"/>
  <c r="R2917" i="208" s="1"/>
  <c r="K2918" i="208"/>
  <c r="R2918" i="208" s="1"/>
  <c r="K2919" i="208"/>
  <c r="R2919" i="208" s="1"/>
  <c r="K2920" i="208"/>
  <c r="R2920" i="208" s="1"/>
  <c r="K2921" i="208"/>
  <c r="R2921" i="208" s="1"/>
  <c r="K2922" i="208"/>
  <c r="R2922" i="208" s="1"/>
  <c r="K2923" i="208"/>
  <c r="R2923" i="208" s="1"/>
  <c r="K2924" i="208"/>
  <c r="R2924" i="208" s="1"/>
  <c r="K2925" i="208"/>
  <c r="R2925" i="208" s="1"/>
  <c r="K2926" i="208"/>
  <c r="R2926" i="208" s="1"/>
  <c r="K2927" i="208"/>
  <c r="R2927" i="208" s="1"/>
  <c r="K2928" i="208"/>
  <c r="R2928" i="208" s="1"/>
  <c r="K2929" i="208"/>
  <c r="R2929" i="208" s="1"/>
  <c r="K2930" i="208"/>
  <c r="R2930" i="208" s="1"/>
  <c r="K2931" i="208"/>
  <c r="R2931" i="208" s="1"/>
  <c r="K2932" i="208"/>
  <c r="R2932" i="208" s="1"/>
  <c r="K2933" i="208"/>
  <c r="R2933" i="208" s="1"/>
  <c r="K2934" i="208"/>
  <c r="R2934" i="208" s="1"/>
  <c r="K2935" i="208"/>
  <c r="R2935" i="208" s="1"/>
  <c r="K2936" i="208"/>
  <c r="R2936" i="208" s="1"/>
  <c r="K2937" i="208"/>
  <c r="R2937" i="208" s="1"/>
  <c r="K2938" i="208"/>
  <c r="R2938" i="208" s="1"/>
  <c r="K2939" i="208"/>
  <c r="R2939" i="208" s="1"/>
  <c r="K2940" i="208"/>
  <c r="R2940" i="208" s="1"/>
  <c r="K2941" i="208"/>
  <c r="R2941" i="208" s="1"/>
  <c r="K2942" i="208"/>
  <c r="R2942" i="208" s="1"/>
  <c r="K2943" i="208"/>
  <c r="R2943" i="208" s="1"/>
  <c r="K2944" i="208"/>
  <c r="R2944" i="208" s="1"/>
  <c r="K2945" i="208"/>
  <c r="R2945" i="208" s="1"/>
  <c r="K2946" i="208"/>
  <c r="R2946" i="208" s="1"/>
  <c r="K2947" i="208"/>
  <c r="R2947" i="208" s="1"/>
  <c r="K2948" i="208"/>
  <c r="R2948" i="208" s="1"/>
  <c r="K2949" i="208"/>
  <c r="R2949" i="208" s="1"/>
  <c r="K2950" i="208"/>
  <c r="R2950" i="208" s="1"/>
  <c r="K2951" i="208"/>
  <c r="R2951" i="208" s="1"/>
  <c r="K2952" i="208"/>
  <c r="R2952" i="208" s="1"/>
  <c r="K2953" i="208"/>
  <c r="R2953" i="208" s="1"/>
  <c r="K2954" i="208"/>
  <c r="R2954" i="208" s="1"/>
  <c r="K2955" i="208"/>
  <c r="R2955" i="208" s="1"/>
  <c r="K2956" i="208"/>
  <c r="R2956" i="208" s="1"/>
  <c r="K2957" i="208"/>
  <c r="R2957" i="208" s="1"/>
  <c r="K2958" i="208"/>
  <c r="R2958" i="208" s="1"/>
  <c r="K2959" i="208"/>
  <c r="R2959" i="208" s="1"/>
  <c r="K2960" i="208"/>
  <c r="R2960" i="208" s="1"/>
  <c r="K2961" i="208"/>
  <c r="R2961" i="208" s="1"/>
  <c r="K2962" i="208"/>
  <c r="R2962" i="208" s="1"/>
  <c r="K2963" i="208"/>
  <c r="R2963" i="208" s="1"/>
  <c r="K2964" i="208"/>
  <c r="R2964" i="208" s="1"/>
  <c r="K2965" i="208"/>
  <c r="R2965" i="208" s="1"/>
  <c r="K2966" i="208"/>
  <c r="R2966" i="208" s="1"/>
  <c r="K2967" i="208"/>
  <c r="R2967" i="208" s="1"/>
  <c r="K2968" i="208"/>
  <c r="R2968" i="208" s="1"/>
  <c r="K2969" i="208"/>
  <c r="R2969" i="208" s="1"/>
  <c r="K2970" i="208"/>
  <c r="R2970" i="208" s="1"/>
  <c r="K2971" i="208"/>
  <c r="R2971" i="208" s="1"/>
  <c r="K2972" i="208"/>
  <c r="R2972" i="208" s="1"/>
  <c r="K2973" i="208"/>
  <c r="R2973" i="208" s="1"/>
  <c r="K2974" i="208"/>
  <c r="R2974" i="208" s="1"/>
  <c r="K2975" i="208"/>
  <c r="R2975" i="208" s="1"/>
  <c r="K2976" i="208"/>
  <c r="R2976" i="208" s="1"/>
  <c r="K2977" i="208"/>
  <c r="R2977" i="208" s="1"/>
  <c r="K2978" i="208"/>
  <c r="R2978" i="208" s="1"/>
  <c r="K2979" i="208"/>
  <c r="R2979" i="208" s="1"/>
  <c r="K2980" i="208"/>
  <c r="R2980" i="208" s="1"/>
  <c r="K2981" i="208"/>
  <c r="R2981" i="208" s="1"/>
  <c r="K2982" i="208"/>
  <c r="R2982" i="208" s="1"/>
  <c r="K2983" i="208"/>
  <c r="R2983" i="208" s="1"/>
  <c r="K2984" i="208"/>
  <c r="R2984" i="208" s="1"/>
  <c r="K2985" i="208"/>
  <c r="R2985" i="208" s="1"/>
  <c r="K2986" i="208"/>
  <c r="R2986" i="208" s="1"/>
  <c r="K2987" i="208"/>
  <c r="R2987" i="208" s="1"/>
  <c r="K2988" i="208"/>
  <c r="R2988" i="208" s="1"/>
  <c r="K2989" i="208"/>
  <c r="R2989" i="208" s="1"/>
  <c r="K2990" i="208"/>
  <c r="R2990" i="208" s="1"/>
  <c r="K2991" i="208"/>
  <c r="R2991" i="208" s="1"/>
  <c r="K2992" i="208"/>
  <c r="R2992" i="208" s="1"/>
  <c r="K2993" i="208"/>
  <c r="R2993" i="208" s="1"/>
  <c r="K2994" i="208"/>
  <c r="R2994" i="208" s="1"/>
  <c r="K2995" i="208"/>
  <c r="R2995" i="208" s="1"/>
  <c r="K2996" i="208"/>
  <c r="R2996" i="208" s="1"/>
  <c r="K2997" i="208"/>
  <c r="R2997" i="208" s="1"/>
  <c r="K2998" i="208"/>
  <c r="R2998" i="208" s="1"/>
  <c r="K2999" i="208"/>
  <c r="R2999" i="208" s="1"/>
  <c r="K3000" i="208"/>
  <c r="R3000" i="208" s="1"/>
  <c r="K302" i="208"/>
  <c r="R302" i="208" s="1"/>
  <c r="K3" i="208"/>
  <c r="R3" i="208" s="1"/>
  <c r="K4" i="208"/>
  <c r="R4" i="208" s="1"/>
  <c r="K5" i="208"/>
  <c r="R5" i="208" s="1"/>
  <c r="K6" i="208"/>
  <c r="R6" i="208" s="1"/>
  <c r="K7" i="208"/>
  <c r="R7" i="208" s="1"/>
  <c r="K8" i="208"/>
  <c r="R8" i="208" s="1"/>
  <c r="K9" i="208"/>
  <c r="R9" i="208" s="1"/>
  <c r="K10" i="208"/>
  <c r="R10" i="208" s="1"/>
  <c r="K11" i="208"/>
  <c r="R11" i="208" s="1"/>
  <c r="K12" i="208"/>
  <c r="R12" i="208" s="1"/>
  <c r="K13" i="208"/>
  <c r="R13" i="208" s="1"/>
  <c r="K14" i="208"/>
  <c r="R14" i="208" s="1"/>
  <c r="K15" i="208"/>
  <c r="R15" i="208" s="1"/>
  <c r="K16" i="208"/>
  <c r="R16" i="208" s="1"/>
  <c r="K17" i="208"/>
  <c r="R17" i="208" s="1"/>
  <c r="K18" i="208"/>
  <c r="R18" i="208" s="1"/>
  <c r="K19" i="208"/>
  <c r="R19" i="208" s="1"/>
  <c r="K20" i="208"/>
  <c r="R20" i="208" s="1"/>
  <c r="K21" i="208"/>
  <c r="R21" i="208" s="1"/>
  <c r="K22" i="208"/>
  <c r="R22" i="208" s="1"/>
  <c r="K23" i="208"/>
  <c r="R23" i="208" s="1"/>
  <c r="K24" i="208"/>
  <c r="R24" i="208" s="1"/>
  <c r="K25" i="208"/>
  <c r="R25" i="208" s="1"/>
  <c r="K26" i="208"/>
  <c r="R26" i="208" s="1"/>
  <c r="K27" i="208"/>
  <c r="R27" i="208" s="1"/>
  <c r="K28" i="208"/>
  <c r="R28" i="208" s="1"/>
  <c r="K29" i="208"/>
  <c r="R29" i="208" s="1"/>
  <c r="K30" i="208"/>
  <c r="R30" i="208" s="1"/>
  <c r="K31" i="208"/>
  <c r="R31" i="208" s="1"/>
  <c r="K32" i="208"/>
  <c r="R32" i="208" s="1"/>
  <c r="K33" i="208"/>
  <c r="R33" i="208" s="1"/>
  <c r="K34" i="208"/>
  <c r="R34" i="208" s="1"/>
  <c r="K35" i="208"/>
  <c r="R35" i="208" s="1"/>
  <c r="K36" i="208"/>
  <c r="R36" i="208" s="1"/>
  <c r="K37" i="208"/>
  <c r="R37" i="208" s="1"/>
  <c r="K38" i="208"/>
  <c r="R38" i="208" s="1"/>
  <c r="K39" i="208"/>
  <c r="R39" i="208" s="1"/>
  <c r="K40" i="208"/>
  <c r="R40" i="208" s="1"/>
  <c r="K41" i="208"/>
  <c r="R41" i="208" s="1"/>
  <c r="K42" i="208"/>
  <c r="R42" i="208" s="1"/>
  <c r="K43" i="208"/>
  <c r="R43" i="208" s="1"/>
  <c r="K44" i="208"/>
  <c r="R44" i="208" s="1"/>
  <c r="K45" i="208"/>
  <c r="R45" i="208" s="1"/>
  <c r="K46" i="208"/>
  <c r="R46" i="208" s="1"/>
  <c r="K47" i="208"/>
  <c r="R47" i="208" s="1"/>
  <c r="K48" i="208"/>
  <c r="R48" i="208" s="1"/>
  <c r="K49" i="208"/>
  <c r="R49" i="208" s="1"/>
  <c r="K50" i="208"/>
  <c r="R50" i="208" s="1"/>
  <c r="K51" i="208"/>
  <c r="R51" i="208" s="1"/>
  <c r="K52" i="208"/>
  <c r="R52" i="208" s="1"/>
  <c r="K53" i="208"/>
  <c r="R53" i="208" s="1"/>
  <c r="K54" i="208"/>
  <c r="R54" i="208" s="1"/>
  <c r="K55" i="208"/>
  <c r="R55" i="208" s="1"/>
  <c r="K56" i="208"/>
  <c r="R56" i="208" s="1"/>
  <c r="K57" i="208"/>
  <c r="R57" i="208" s="1"/>
  <c r="K58" i="208"/>
  <c r="R58" i="208" s="1"/>
  <c r="K59" i="208"/>
  <c r="R59" i="208" s="1"/>
  <c r="K60" i="208"/>
  <c r="R60" i="208" s="1"/>
  <c r="K61" i="208"/>
  <c r="R61" i="208" s="1"/>
  <c r="K62" i="208"/>
  <c r="R62" i="208" s="1"/>
  <c r="K63" i="208"/>
  <c r="R63" i="208" s="1"/>
  <c r="K64" i="208"/>
  <c r="R64" i="208" s="1"/>
  <c r="K65" i="208"/>
  <c r="R65" i="208" s="1"/>
  <c r="K66" i="208"/>
  <c r="R66" i="208" s="1"/>
  <c r="K67" i="208"/>
  <c r="R67" i="208" s="1"/>
  <c r="K68" i="208"/>
  <c r="R68" i="208" s="1"/>
  <c r="K69" i="208"/>
  <c r="R69" i="208" s="1"/>
  <c r="K70" i="208"/>
  <c r="R70" i="208" s="1"/>
  <c r="K71" i="208"/>
  <c r="R71" i="208" s="1"/>
  <c r="K72" i="208"/>
  <c r="R72" i="208" s="1"/>
  <c r="K73" i="208"/>
  <c r="R73" i="208" s="1"/>
  <c r="K74" i="208"/>
  <c r="R74" i="208" s="1"/>
  <c r="K75" i="208"/>
  <c r="R75" i="208" s="1"/>
  <c r="K76" i="208"/>
  <c r="R76" i="208" s="1"/>
  <c r="K77" i="208"/>
  <c r="R77" i="208" s="1"/>
  <c r="K78" i="208"/>
  <c r="R78" i="208" s="1"/>
  <c r="K79" i="208"/>
  <c r="R79" i="208" s="1"/>
  <c r="K80" i="208"/>
  <c r="R80" i="208" s="1"/>
  <c r="K81" i="208"/>
  <c r="R81" i="208" s="1"/>
  <c r="K82" i="208"/>
  <c r="R82" i="208" s="1"/>
  <c r="K83" i="208"/>
  <c r="R83" i="208" s="1"/>
  <c r="K84" i="208"/>
  <c r="R84" i="208" s="1"/>
  <c r="K85" i="208"/>
  <c r="R85" i="208" s="1"/>
  <c r="K86" i="208"/>
  <c r="R86" i="208" s="1"/>
  <c r="K87" i="208"/>
  <c r="R87" i="208" s="1"/>
  <c r="K88" i="208"/>
  <c r="R88" i="208" s="1"/>
  <c r="K89" i="208"/>
  <c r="R89" i="208" s="1"/>
  <c r="K90" i="208"/>
  <c r="R90" i="208" s="1"/>
  <c r="K91" i="208"/>
  <c r="R91" i="208" s="1"/>
  <c r="K92" i="208"/>
  <c r="R92" i="208" s="1"/>
  <c r="K93" i="208"/>
  <c r="R93" i="208" s="1"/>
  <c r="K94" i="208"/>
  <c r="R94" i="208" s="1"/>
  <c r="K95" i="208"/>
  <c r="R95" i="208" s="1"/>
  <c r="K96" i="208"/>
  <c r="R96" i="208" s="1"/>
  <c r="K97" i="208"/>
  <c r="R97" i="208" s="1"/>
  <c r="K98" i="208"/>
  <c r="R98" i="208" s="1"/>
  <c r="K99" i="208"/>
  <c r="R99" i="208" s="1"/>
  <c r="K100" i="208"/>
  <c r="R100" i="208" s="1"/>
  <c r="K101" i="208"/>
  <c r="R101" i="208" s="1"/>
  <c r="K102" i="208"/>
  <c r="R102" i="208" s="1"/>
  <c r="K103" i="208"/>
  <c r="R103" i="208" s="1"/>
  <c r="K104" i="208"/>
  <c r="R104" i="208" s="1"/>
  <c r="K105" i="208"/>
  <c r="R105" i="208" s="1"/>
  <c r="K106" i="208"/>
  <c r="R106" i="208" s="1"/>
  <c r="K107" i="208"/>
  <c r="R107" i="208" s="1"/>
  <c r="K108" i="208"/>
  <c r="R108" i="208" s="1"/>
  <c r="K109" i="208"/>
  <c r="R109" i="208" s="1"/>
  <c r="K110" i="208"/>
  <c r="R110" i="208" s="1"/>
  <c r="K111" i="208"/>
  <c r="R111" i="208" s="1"/>
  <c r="K112" i="208"/>
  <c r="R112" i="208" s="1"/>
  <c r="K113" i="208"/>
  <c r="R113" i="208" s="1"/>
  <c r="K114" i="208"/>
  <c r="R114" i="208" s="1"/>
  <c r="K115" i="208"/>
  <c r="R115" i="208" s="1"/>
  <c r="K116" i="208"/>
  <c r="R116" i="208" s="1"/>
  <c r="K117" i="208"/>
  <c r="R117" i="208" s="1"/>
  <c r="K118" i="208"/>
  <c r="R118" i="208" s="1"/>
  <c r="K119" i="208"/>
  <c r="R119" i="208" s="1"/>
  <c r="K120" i="208"/>
  <c r="R120" i="208" s="1"/>
  <c r="K121" i="208"/>
  <c r="R121" i="208" s="1"/>
  <c r="K122" i="208"/>
  <c r="R122" i="208" s="1"/>
  <c r="K123" i="208"/>
  <c r="R123" i="208" s="1"/>
  <c r="K124" i="208"/>
  <c r="R124" i="208" s="1"/>
  <c r="K125" i="208"/>
  <c r="R125" i="208" s="1"/>
  <c r="K126" i="208"/>
  <c r="R126" i="208" s="1"/>
  <c r="K127" i="208"/>
  <c r="R127" i="208" s="1"/>
  <c r="K128" i="208"/>
  <c r="R128" i="208" s="1"/>
  <c r="K129" i="208"/>
  <c r="R129" i="208" s="1"/>
  <c r="K130" i="208"/>
  <c r="R130" i="208" s="1"/>
  <c r="K131" i="208"/>
  <c r="R131" i="208" s="1"/>
  <c r="K132" i="208"/>
  <c r="R132" i="208" s="1"/>
  <c r="K133" i="208"/>
  <c r="R133" i="208" s="1"/>
  <c r="K134" i="208"/>
  <c r="R134" i="208" s="1"/>
  <c r="K135" i="208"/>
  <c r="R135" i="208" s="1"/>
  <c r="K136" i="208"/>
  <c r="R136" i="208" s="1"/>
  <c r="K137" i="208"/>
  <c r="R137" i="208" s="1"/>
  <c r="K138" i="208"/>
  <c r="R138" i="208" s="1"/>
  <c r="K139" i="208"/>
  <c r="R139" i="208" s="1"/>
  <c r="K140" i="208"/>
  <c r="R140" i="208" s="1"/>
  <c r="K141" i="208"/>
  <c r="R141" i="208" s="1"/>
  <c r="K142" i="208"/>
  <c r="R142" i="208" s="1"/>
  <c r="K143" i="208"/>
  <c r="R143" i="208" s="1"/>
  <c r="K144" i="208"/>
  <c r="R144" i="208" s="1"/>
  <c r="K145" i="208"/>
  <c r="R145" i="208" s="1"/>
  <c r="K146" i="208"/>
  <c r="R146" i="208" s="1"/>
  <c r="K147" i="208"/>
  <c r="R147" i="208" s="1"/>
  <c r="K148" i="208"/>
  <c r="R148" i="208" s="1"/>
  <c r="K149" i="208"/>
  <c r="R149" i="208" s="1"/>
  <c r="K150" i="208"/>
  <c r="R150" i="208" s="1"/>
  <c r="K151" i="208"/>
  <c r="R151" i="208" s="1"/>
  <c r="K152" i="208"/>
  <c r="R152" i="208" s="1"/>
  <c r="K153" i="208"/>
  <c r="R153" i="208" s="1"/>
  <c r="K154" i="208"/>
  <c r="R154" i="208" s="1"/>
  <c r="K155" i="208"/>
  <c r="R155" i="208" s="1"/>
  <c r="K156" i="208"/>
  <c r="R156" i="208" s="1"/>
  <c r="K157" i="208"/>
  <c r="R157" i="208" s="1"/>
  <c r="K158" i="208"/>
  <c r="R158" i="208" s="1"/>
  <c r="K159" i="208"/>
  <c r="R159" i="208" s="1"/>
  <c r="K160" i="208"/>
  <c r="R160" i="208" s="1"/>
  <c r="K161" i="208"/>
  <c r="R161" i="208" s="1"/>
  <c r="K162" i="208"/>
  <c r="R162" i="208" s="1"/>
  <c r="K163" i="208"/>
  <c r="R163" i="208" s="1"/>
  <c r="K164" i="208"/>
  <c r="R164" i="208" s="1"/>
  <c r="K165" i="208"/>
  <c r="R165" i="208" s="1"/>
  <c r="K166" i="208"/>
  <c r="R166" i="208" s="1"/>
  <c r="K167" i="208"/>
  <c r="R167" i="208" s="1"/>
  <c r="K168" i="208"/>
  <c r="R168" i="208" s="1"/>
  <c r="K169" i="208"/>
  <c r="R169" i="208" s="1"/>
  <c r="K170" i="208"/>
  <c r="R170" i="208" s="1"/>
  <c r="K171" i="208"/>
  <c r="R171" i="208" s="1"/>
  <c r="K172" i="208"/>
  <c r="R172" i="208" s="1"/>
  <c r="K173" i="208"/>
  <c r="R173" i="208" s="1"/>
  <c r="K174" i="208"/>
  <c r="R174" i="208" s="1"/>
  <c r="K175" i="208"/>
  <c r="R175" i="208" s="1"/>
  <c r="K176" i="208"/>
  <c r="R176" i="208" s="1"/>
  <c r="K177" i="208"/>
  <c r="R177" i="208" s="1"/>
  <c r="K178" i="208"/>
  <c r="R178" i="208" s="1"/>
  <c r="K179" i="208"/>
  <c r="R179" i="208" s="1"/>
  <c r="K180" i="208"/>
  <c r="R180" i="208" s="1"/>
  <c r="K181" i="208"/>
  <c r="R181" i="208" s="1"/>
  <c r="K182" i="208"/>
  <c r="R182" i="208" s="1"/>
  <c r="K183" i="208"/>
  <c r="R183" i="208" s="1"/>
  <c r="K184" i="208"/>
  <c r="R184" i="208" s="1"/>
  <c r="K185" i="208"/>
  <c r="R185" i="208" s="1"/>
  <c r="K186" i="208"/>
  <c r="R186" i="208" s="1"/>
  <c r="K187" i="208"/>
  <c r="R187" i="208" s="1"/>
  <c r="K188" i="208"/>
  <c r="R188" i="208" s="1"/>
  <c r="K189" i="208"/>
  <c r="R189" i="208" s="1"/>
  <c r="K190" i="208"/>
  <c r="R190" i="208" s="1"/>
  <c r="K191" i="208"/>
  <c r="R191" i="208" s="1"/>
  <c r="K192" i="208"/>
  <c r="R192" i="208" s="1"/>
  <c r="K193" i="208"/>
  <c r="R193" i="208" s="1"/>
  <c r="K194" i="208"/>
  <c r="R194" i="208" s="1"/>
  <c r="K195" i="208"/>
  <c r="R195" i="208" s="1"/>
  <c r="K196" i="208"/>
  <c r="R196" i="208" s="1"/>
  <c r="K197" i="208"/>
  <c r="R197" i="208" s="1"/>
  <c r="K198" i="208"/>
  <c r="R198" i="208" s="1"/>
  <c r="K199" i="208"/>
  <c r="R199" i="208" s="1"/>
  <c r="K200" i="208"/>
  <c r="R200" i="208" s="1"/>
  <c r="K201" i="208"/>
  <c r="R201" i="208" s="1"/>
  <c r="K202" i="208"/>
  <c r="R202" i="208" s="1"/>
  <c r="K203" i="208"/>
  <c r="R203" i="208" s="1"/>
  <c r="K204" i="208"/>
  <c r="R204" i="208" s="1"/>
  <c r="K205" i="208"/>
  <c r="R205" i="208" s="1"/>
  <c r="K206" i="208"/>
  <c r="R206" i="208" s="1"/>
  <c r="K207" i="208"/>
  <c r="R207" i="208" s="1"/>
  <c r="K208" i="208"/>
  <c r="R208" i="208" s="1"/>
  <c r="K209" i="208"/>
  <c r="R209" i="208" s="1"/>
  <c r="K210" i="208"/>
  <c r="R210" i="208" s="1"/>
  <c r="K211" i="208"/>
  <c r="R211" i="208" s="1"/>
  <c r="K212" i="208"/>
  <c r="R212" i="208" s="1"/>
  <c r="K213" i="208"/>
  <c r="R213" i="208" s="1"/>
  <c r="K214" i="208"/>
  <c r="R214" i="208" s="1"/>
  <c r="K215" i="208"/>
  <c r="R215" i="208" s="1"/>
  <c r="K216" i="208"/>
  <c r="R216" i="208" s="1"/>
  <c r="K217" i="208"/>
  <c r="R217" i="208" s="1"/>
  <c r="K218" i="208"/>
  <c r="R218" i="208" s="1"/>
  <c r="K219" i="208"/>
  <c r="R219" i="208" s="1"/>
  <c r="K220" i="208"/>
  <c r="R220" i="208" s="1"/>
  <c r="K221" i="208"/>
  <c r="R221" i="208" s="1"/>
  <c r="K222" i="208"/>
  <c r="R222" i="208" s="1"/>
  <c r="K223" i="208"/>
  <c r="R223" i="208" s="1"/>
  <c r="K224" i="208"/>
  <c r="R224" i="208" s="1"/>
  <c r="K225" i="208"/>
  <c r="R225" i="208" s="1"/>
  <c r="K226" i="208"/>
  <c r="R226" i="208" s="1"/>
  <c r="K227" i="208"/>
  <c r="R227" i="208" s="1"/>
  <c r="K228" i="208"/>
  <c r="R228" i="208" s="1"/>
  <c r="K229" i="208"/>
  <c r="R229" i="208" s="1"/>
  <c r="K230" i="208"/>
  <c r="R230" i="208" s="1"/>
  <c r="K231" i="208"/>
  <c r="R231" i="208" s="1"/>
  <c r="K232" i="208"/>
  <c r="R232" i="208" s="1"/>
  <c r="K233" i="208"/>
  <c r="R233" i="208" s="1"/>
  <c r="K234" i="208"/>
  <c r="R234" i="208" s="1"/>
  <c r="K235" i="208"/>
  <c r="R235" i="208" s="1"/>
  <c r="K236" i="208"/>
  <c r="R236" i="208" s="1"/>
  <c r="K237" i="208"/>
  <c r="R237" i="208" s="1"/>
  <c r="K238" i="208"/>
  <c r="R238" i="208" s="1"/>
  <c r="K239" i="208"/>
  <c r="R239" i="208" s="1"/>
  <c r="K240" i="208"/>
  <c r="R240" i="208" s="1"/>
  <c r="K241" i="208"/>
  <c r="R241" i="208" s="1"/>
  <c r="K242" i="208"/>
  <c r="R242" i="208" s="1"/>
  <c r="K243" i="208"/>
  <c r="R243" i="208" s="1"/>
  <c r="K244" i="208"/>
  <c r="R244" i="208" s="1"/>
  <c r="K245" i="208"/>
  <c r="R245" i="208" s="1"/>
  <c r="K246" i="208"/>
  <c r="R246" i="208" s="1"/>
  <c r="K247" i="208"/>
  <c r="R247" i="208" s="1"/>
  <c r="K248" i="208"/>
  <c r="R248" i="208" s="1"/>
  <c r="K249" i="208"/>
  <c r="R249" i="208" s="1"/>
  <c r="K250" i="208"/>
  <c r="R250" i="208" s="1"/>
  <c r="K251" i="208"/>
  <c r="R251" i="208" s="1"/>
  <c r="K252" i="208"/>
  <c r="R252" i="208" s="1"/>
  <c r="K253" i="208"/>
  <c r="R253" i="208" s="1"/>
  <c r="K254" i="208"/>
  <c r="R254" i="208" s="1"/>
  <c r="K255" i="208"/>
  <c r="R255" i="208" s="1"/>
  <c r="K256" i="208"/>
  <c r="R256" i="208" s="1"/>
  <c r="K257" i="208"/>
  <c r="R257" i="208" s="1"/>
  <c r="K258" i="208"/>
  <c r="R258" i="208" s="1"/>
  <c r="K259" i="208"/>
  <c r="R259" i="208" s="1"/>
  <c r="K260" i="208"/>
  <c r="R260" i="208" s="1"/>
  <c r="K261" i="208"/>
  <c r="R261" i="208" s="1"/>
  <c r="K262" i="208"/>
  <c r="R262" i="208" s="1"/>
  <c r="K263" i="208"/>
  <c r="R263" i="208" s="1"/>
  <c r="K264" i="208"/>
  <c r="R264" i="208" s="1"/>
  <c r="K265" i="208"/>
  <c r="R265" i="208" s="1"/>
  <c r="K266" i="208"/>
  <c r="R266" i="208" s="1"/>
  <c r="K267" i="208"/>
  <c r="R267" i="208" s="1"/>
  <c r="K268" i="208"/>
  <c r="R268" i="208" s="1"/>
  <c r="K269" i="208"/>
  <c r="R269" i="208" s="1"/>
  <c r="K270" i="208"/>
  <c r="R270" i="208" s="1"/>
  <c r="K271" i="208"/>
  <c r="R271" i="208" s="1"/>
  <c r="K272" i="208"/>
  <c r="R272" i="208" s="1"/>
  <c r="K273" i="208"/>
  <c r="R273" i="208" s="1"/>
  <c r="K274" i="208"/>
  <c r="R274" i="208" s="1"/>
  <c r="K275" i="208"/>
  <c r="R275" i="208" s="1"/>
  <c r="K276" i="208"/>
  <c r="R276" i="208" s="1"/>
  <c r="K277" i="208"/>
  <c r="R277" i="208" s="1"/>
  <c r="K278" i="208"/>
  <c r="R278" i="208" s="1"/>
  <c r="K279" i="208"/>
  <c r="R279" i="208" s="1"/>
  <c r="K280" i="208"/>
  <c r="R280" i="208" s="1"/>
  <c r="K281" i="208"/>
  <c r="R281" i="208" s="1"/>
  <c r="K282" i="208"/>
  <c r="R282" i="208" s="1"/>
  <c r="K283" i="208"/>
  <c r="R283" i="208" s="1"/>
  <c r="K284" i="208"/>
  <c r="R284" i="208" s="1"/>
  <c r="K285" i="208"/>
  <c r="R285" i="208" s="1"/>
  <c r="K286" i="208"/>
  <c r="R286" i="208" s="1"/>
  <c r="K287" i="208"/>
  <c r="R287" i="208" s="1"/>
  <c r="K288" i="208"/>
  <c r="R288" i="208" s="1"/>
  <c r="K289" i="208"/>
  <c r="R289" i="208" s="1"/>
  <c r="K290" i="208"/>
  <c r="R290" i="208" s="1"/>
  <c r="K291" i="208"/>
  <c r="R291" i="208" s="1"/>
  <c r="K292" i="208"/>
  <c r="R292" i="208" s="1"/>
  <c r="K293" i="208"/>
  <c r="R293" i="208" s="1"/>
  <c r="K294" i="208"/>
  <c r="R294" i="208" s="1"/>
  <c r="K295" i="208"/>
  <c r="R295" i="208" s="1"/>
  <c r="K296" i="208"/>
  <c r="R296" i="208" s="1"/>
  <c r="K297" i="208"/>
  <c r="R297" i="208" s="1"/>
  <c r="K298" i="208"/>
  <c r="R298" i="208" s="1"/>
  <c r="K299" i="208"/>
  <c r="R299" i="208" s="1"/>
  <c r="K300" i="208"/>
  <c r="R300" i="208" s="1"/>
  <c r="K301" i="208"/>
  <c r="R301" i="208" s="1"/>
  <c r="K2" i="208"/>
  <c r="R2" i="208" s="1"/>
  <c r="G1177" i="46"/>
  <c r="F1177" i="46"/>
  <c r="E1177" i="46"/>
  <c r="G1171" i="46"/>
  <c r="F1171" i="46"/>
  <c r="E1171" i="46"/>
  <c r="K1170" i="46"/>
  <c r="H1170" i="46"/>
  <c r="G1170" i="46"/>
  <c r="F1170" i="46"/>
  <c r="E1170" i="46"/>
  <c r="G1161" i="46"/>
  <c r="F1161" i="46"/>
  <c r="E1161" i="46"/>
  <c r="G1154" i="46"/>
  <c r="F1154" i="46"/>
  <c r="E1154" i="46"/>
  <c r="G1150" i="46"/>
  <c r="F1150" i="46"/>
  <c r="E1150" i="46"/>
  <c r="G1145" i="46"/>
  <c r="F1145" i="46"/>
  <c r="E1145" i="46"/>
  <c r="G1131" i="46"/>
  <c r="F1131" i="46"/>
  <c r="E1131" i="46"/>
  <c r="K1130" i="46"/>
  <c r="H1130" i="46"/>
  <c r="G1130" i="46"/>
  <c r="F1130" i="46"/>
  <c r="E1130" i="46"/>
  <c r="B1124" i="46"/>
  <c r="N1123" i="46"/>
  <c r="G1116" i="46"/>
  <c r="F1116" i="46"/>
  <c r="E1116" i="46"/>
  <c r="G1110" i="46"/>
  <c r="F1110" i="46"/>
  <c r="E1110" i="46"/>
  <c r="K1109" i="46"/>
  <c r="H1109" i="46"/>
  <c r="G1109" i="46"/>
  <c r="F1109" i="46"/>
  <c r="E1109" i="46"/>
  <c r="G1100" i="46"/>
  <c r="F1100" i="46"/>
  <c r="E1100" i="46"/>
  <c r="G1093" i="46"/>
  <c r="F1093" i="46"/>
  <c r="E1093" i="46"/>
  <c r="G1089" i="46"/>
  <c r="F1089" i="46"/>
  <c r="E1089" i="46"/>
  <c r="G1084" i="46"/>
  <c r="F1084" i="46"/>
  <c r="E1084" i="46"/>
  <c r="G1070" i="46"/>
  <c r="G1099" i="46" s="1"/>
  <c r="G1104" i="46" s="1"/>
  <c r="F1070" i="46"/>
  <c r="E1070" i="46"/>
  <c r="K1069" i="46"/>
  <c r="H1069" i="46"/>
  <c r="G1069" i="46"/>
  <c r="F1069" i="46"/>
  <c r="E1069" i="46"/>
  <c r="B1063" i="46"/>
  <c r="N1062" i="46"/>
  <c r="G1055" i="46"/>
  <c r="F1055" i="46"/>
  <c r="E1055" i="46"/>
  <c r="G1049" i="46"/>
  <c r="F1049" i="46"/>
  <c r="E1049" i="46"/>
  <c r="K1048" i="46"/>
  <c r="H1048" i="46"/>
  <c r="G1048" i="46"/>
  <c r="F1048" i="46"/>
  <c r="E1048" i="46"/>
  <c r="G1039" i="46"/>
  <c r="F1039" i="46"/>
  <c r="E1039" i="46"/>
  <c r="G1032" i="46"/>
  <c r="F1032" i="46"/>
  <c r="E1032" i="46"/>
  <c r="G1028" i="46"/>
  <c r="F1028" i="46"/>
  <c r="E1028" i="46"/>
  <c r="G1023" i="46"/>
  <c r="F1023" i="46"/>
  <c r="E1023" i="46"/>
  <c r="G1009" i="46"/>
  <c r="F1009" i="46"/>
  <c r="E1009" i="46"/>
  <c r="K1008" i="46"/>
  <c r="H1008" i="46"/>
  <c r="G1008" i="46"/>
  <c r="F1008" i="46"/>
  <c r="E1008" i="46"/>
  <c r="B1002" i="46"/>
  <c r="N1001" i="46"/>
  <c r="G994" i="46"/>
  <c r="F994" i="46"/>
  <c r="E994" i="46"/>
  <c r="G988" i="46"/>
  <c r="F988" i="46"/>
  <c r="E988" i="46"/>
  <c r="E999" i="46" s="1"/>
  <c r="K987" i="46"/>
  <c r="H987" i="46"/>
  <c r="G987" i="46"/>
  <c r="F987" i="46"/>
  <c r="E987" i="46"/>
  <c r="G978" i="46"/>
  <c r="F978" i="46"/>
  <c r="E978" i="46"/>
  <c r="G971" i="46"/>
  <c r="F971" i="46"/>
  <c r="E971" i="46"/>
  <c r="G967" i="46"/>
  <c r="F967" i="46"/>
  <c r="E967" i="46"/>
  <c r="G962" i="46"/>
  <c r="F962" i="46"/>
  <c r="E962" i="46"/>
  <c r="G948" i="46"/>
  <c r="F948" i="46"/>
  <c r="E948" i="46"/>
  <c r="K947" i="46"/>
  <c r="H947" i="46"/>
  <c r="G947" i="46"/>
  <c r="F947" i="46"/>
  <c r="E947" i="46"/>
  <c r="B941" i="46"/>
  <c r="N940" i="46"/>
  <c r="G933" i="46"/>
  <c r="F933" i="46"/>
  <c r="E933" i="46"/>
  <c r="G927" i="46"/>
  <c r="F927" i="46"/>
  <c r="E927" i="46"/>
  <c r="K926" i="46"/>
  <c r="H926" i="46"/>
  <c r="G926" i="46"/>
  <c r="F926" i="46"/>
  <c r="E926" i="46"/>
  <c r="G917" i="46"/>
  <c r="F917" i="46"/>
  <c r="E917" i="46"/>
  <c r="G910" i="46"/>
  <c r="F910" i="46"/>
  <c r="E910" i="46"/>
  <c r="G906" i="46"/>
  <c r="F906" i="46"/>
  <c r="E906" i="46"/>
  <c r="G901" i="46"/>
  <c r="F901" i="46"/>
  <c r="E901" i="46"/>
  <c r="G887" i="46"/>
  <c r="F887" i="46"/>
  <c r="E887" i="46"/>
  <c r="K886" i="46"/>
  <c r="H886" i="46"/>
  <c r="G886" i="46"/>
  <c r="F886" i="46"/>
  <c r="E886" i="46"/>
  <c r="B880" i="46"/>
  <c r="N879" i="46"/>
  <c r="G872" i="46"/>
  <c r="F872" i="46"/>
  <c r="E872" i="46"/>
  <c r="G866" i="46"/>
  <c r="F866" i="46"/>
  <c r="E866" i="46"/>
  <c r="K865" i="46"/>
  <c r="H865" i="46"/>
  <c r="G865" i="46"/>
  <c r="F865" i="46"/>
  <c r="E865" i="46"/>
  <c r="G856" i="46"/>
  <c r="F856" i="46"/>
  <c r="E856" i="46"/>
  <c r="G849" i="46"/>
  <c r="F849" i="46"/>
  <c r="E849" i="46"/>
  <c r="G845" i="46"/>
  <c r="F845" i="46"/>
  <c r="E845" i="46"/>
  <c r="G840" i="46"/>
  <c r="F840" i="46"/>
  <c r="E840" i="46"/>
  <c r="G826" i="46"/>
  <c r="F826" i="46"/>
  <c r="E826" i="46"/>
  <c r="K825" i="46"/>
  <c r="H825" i="46"/>
  <c r="G825" i="46"/>
  <c r="F825" i="46"/>
  <c r="E825" i="46"/>
  <c r="B819" i="46"/>
  <c r="N818" i="46"/>
  <c r="G811" i="46"/>
  <c r="F811" i="46"/>
  <c r="E811" i="46"/>
  <c r="G805" i="46"/>
  <c r="F805" i="46"/>
  <c r="E805" i="46"/>
  <c r="K804" i="46"/>
  <c r="H804" i="46"/>
  <c r="G804" i="46"/>
  <c r="F804" i="46"/>
  <c r="E804" i="46"/>
  <c r="G795" i="46"/>
  <c r="F795" i="46"/>
  <c r="E795" i="46"/>
  <c r="G788" i="46"/>
  <c r="F788" i="46"/>
  <c r="E788" i="46"/>
  <c r="G784" i="46"/>
  <c r="F784" i="46"/>
  <c r="E784" i="46"/>
  <c r="G779" i="46"/>
  <c r="F779" i="46"/>
  <c r="E779" i="46"/>
  <c r="G765" i="46"/>
  <c r="F765" i="46"/>
  <c r="E765" i="46"/>
  <c r="K764" i="46"/>
  <c r="H764" i="46"/>
  <c r="G764" i="46"/>
  <c r="F764" i="46"/>
  <c r="E764" i="46"/>
  <c r="B758" i="46"/>
  <c r="N757" i="46"/>
  <c r="G750" i="46"/>
  <c r="F750" i="46"/>
  <c r="E750" i="46"/>
  <c r="G744" i="46"/>
  <c r="F744" i="46"/>
  <c r="E744" i="46"/>
  <c r="E755" i="46" s="1"/>
  <c r="K743" i="46"/>
  <c r="H743" i="46"/>
  <c r="G743" i="46"/>
  <c r="F743" i="46"/>
  <c r="E743" i="46"/>
  <c r="G734" i="46"/>
  <c r="F734" i="46"/>
  <c r="E734" i="46"/>
  <c r="G727" i="46"/>
  <c r="F727" i="46"/>
  <c r="E727" i="46"/>
  <c r="G723" i="46"/>
  <c r="F723" i="46"/>
  <c r="E723" i="46"/>
  <c r="G718" i="46"/>
  <c r="F718" i="46"/>
  <c r="F733" i="46" s="1"/>
  <c r="F738" i="46" s="1"/>
  <c r="E718" i="46"/>
  <c r="G704" i="46"/>
  <c r="F704" i="46"/>
  <c r="E704" i="46"/>
  <c r="K703" i="46"/>
  <c r="H703" i="46"/>
  <c r="G703" i="46"/>
  <c r="F703" i="46"/>
  <c r="E703" i="46"/>
  <c r="B697" i="46"/>
  <c r="N696" i="46"/>
  <c r="G689" i="46"/>
  <c r="F689" i="46"/>
  <c r="E689" i="46"/>
  <c r="G683" i="46"/>
  <c r="F683" i="46"/>
  <c r="E683" i="46"/>
  <c r="K682" i="46"/>
  <c r="H682" i="46"/>
  <c r="G682" i="46"/>
  <c r="F682" i="46"/>
  <c r="E682" i="46"/>
  <c r="G673" i="46"/>
  <c r="F673" i="46"/>
  <c r="E673" i="46"/>
  <c r="G666" i="46"/>
  <c r="F666" i="46"/>
  <c r="E666" i="46"/>
  <c r="G662" i="46"/>
  <c r="F662" i="46"/>
  <c r="E662" i="46"/>
  <c r="G657" i="46"/>
  <c r="F657" i="46"/>
  <c r="E657" i="46"/>
  <c r="G643" i="46"/>
  <c r="F643" i="46"/>
  <c r="E643" i="46"/>
  <c r="K642" i="46"/>
  <c r="H642" i="46"/>
  <c r="G642" i="46"/>
  <c r="F642" i="46"/>
  <c r="E642" i="46"/>
  <c r="B636" i="46"/>
  <c r="N635" i="46"/>
  <c r="G628" i="46"/>
  <c r="F628" i="46"/>
  <c r="E628" i="46"/>
  <c r="G622" i="46"/>
  <c r="G633" i="46" s="1"/>
  <c r="F622" i="46"/>
  <c r="E622" i="46"/>
  <c r="K621" i="46"/>
  <c r="H621" i="46"/>
  <c r="G621" i="46"/>
  <c r="F621" i="46"/>
  <c r="E621" i="46"/>
  <c r="G612" i="46"/>
  <c r="F612" i="46"/>
  <c r="E612" i="46"/>
  <c r="G605" i="46"/>
  <c r="F605" i="46"/>
  <c r="E605" i="46"/>
  <c r="G601" i="46"/>
  <c r="F601" i="46"/>
  <c r="E601" i="46"/>
  <c r="G596" i="46"/>
  <c r="F596" i="46"/>
  <c r="E596" i="46"/>
  <c r="G582" i="46"/>
  <c r="F582" i="46"/>
  <c r="E582" i="46"/>
  <c r="K581" i="46"/>
  <c r="H581" i="46"/>
  <c r="G581" i="46"/>
  <c r="F581" i="46"/>
  <c r="E581" i="46"/>
  <c r="B575" i="46"/>
  <c r="N574" i="46"/>
  <c r="G567" i="46"/>
  <c r="F567" i="46"/>
  <c r="E567" i="46"/>
  <c r="G561" i="46"/>
  <c r="F561" i="46"/>
  <c r="E561" i="46"/>
  <c r="K560" i="46"/>
  <c r="H560" i="46"/>
  <c r="G560" i="46"/>
  <c r="F560" i="46"/>
  <c r="E560" i="46"/>
  <c r="G551" i="46"/>
  <c r="F551" i="46"/>
  <c r="E551" i="46"/>
  <c r="G544" i="46"/>
  <c r="F544" i="46"/>
  <c r="E544" i="46"/>
  <c r="G540" i="46"/>
  <c r="F540" i="46"/>
  <c r="E540" i="46"/>
  <c r="G535" i="46"/>
  <c r="F535" i="46"/>
  <c r="E535" i="46"/>
  <c r="G521" i="46"/>
  <c r="F521" i="46"/>
  <c r="E521" i="46"/>
  <c r="K520" i="46"/>
  <c r="H520" i="46"/>
  <c r="G520" i="46"/>
  <c r="F520" i="46"/>
  <c r="E520" i="46"/>
  <c r="B514" i="46"/>
  <c r="N513" i="46"/>
  <c r="G506" i="46"/>
  <c r="F506" i="46"/>
  <c r="E506" i="46"/>
  <c r="G500" i="46"/>
  <c r="F500" i="46"/>
  <c r="E500" i="46"/>
  <c r="K499" i="46"/>
  <c r="H499" i="46"/>
  <c r="G499" i="46"/>
  <c r="F499" i="46"/>
  <c r="E499" i="46"/>
  <c r="G490" i="46"/>
  <c r="F490" i="46"/>
  <c r="E490" i="46"/>
  <c r="G483" i="46"/>
  <c r="F483" i="46"/>
  <c r="E483" i="46"/>
  <c r="G479" i="46"/>
  <c r="F479" i="46"/>
  <c r="E479" i="46"/>
  <c r="G474" i="46"/>
  <c r="F474" i="46"/>
  <c r="E474" i="46"/>
  <c r="G460" i="46"/>
  <c r="F460" i="46"/>
  <c r="E460" i="46"/>
  <c r="K459" i="46"/>
  <c r="H459" i="46"/>
  <c r="G459" i="46"/>
  <c r="F459" i="46"/>
  <c r="E459" i="46"/>
  <c r="B453" i="46"/>
  <c r="N452" i="46"/>
  <c r="G445" i="46"/>
  <c r="G450" i="46" s="1"/>
  <c r="F445" i="46"/>
  <c r="E445" i="46"/>
  <c r="G439" i="46"/>
  <c r="F439" i="46"/>
  <c r="F450" i="46" s="1"/>
  <c r="E439" i="46"/>
  <c r="E450" i="46" s="1"/>
  <c r="G438" i="46"/>
  <c r="F438" i="46"/>
  <c r="E438" i="46"/>
  <c r="G429" i="46"/>
  <c r="F429" i="46"/>
  <c r="E429" i="46"/>
  <c r="G422" i="46"/>
  <c r="F422" i="46"/>
  <c r="E422" i="46"/>
  <c r="G418" i="46"/>
  <c r="F418" i="46"/>
  <c r="E418" i="46"/>
  <c r="G413" i="46"/>
  <c r="F413" i="46"/>
  <c r="E413" i="46"/>
  <c r="G399" i="46"/>
  <c r="F399" i="46"/>
  <c r="E399" i="46"/>
  <c r="G398" i="46"/>
  <c r="F398" i="46"/>
  <c r="E398" i="46"/>
  <c r="B392" i="46"/>
  <c r="N391" i="46"/>
  <c r="G384" i="46"/>
  <c r="F384" i="46"/>
  <c r="E384" i="46"/>
  <c r="G378" i="46"/>
  <c r="F378" i="46"/>
  <c r="E378" i="46"/>
  <c r="G377" i="46"/>
  <c r="F377" i="46"/>
  <c r="E377" i="46"/>
  <c r="G368" i="46"/>
  <c r="E368" i="46"/>
  <c r="G361" i="46"/>
  <c r="F361" i="46"/>
  <c r="E361" i="46"/>
  <c r="G357" i="46"/>
  <c r="F357" i="46"/>
  <c r="E357" i="46"/>
  <c r="G352" i="46"/>
  <c r="F352" i="46"/>
  <c r="E352" i="46"/>
  <c r="G338" i="46"/>
  <c r="F338" i="46"/>
  <c r="E338" i="46"/>
  <c r="G337" i="46"/>
  <c r="F337" i="46"/>
  <c r="E337" i="46"/>
  <c r="B331" i="46"/>
  <c r="N330" i="46"/>
  <c r="F999" i="46" l="1"/>
  <c r="E367" i="46"/>
  <c r="E372" i="46" s="1"/>
  <c r="F550" i="46"/>
  <c r="F555" i="46" s="1"/>
  <c r="E877" i="46"/>
  <c r="F877" i="46"/>
  <c r="G877" i="46"/>
  <c r="G1060" i="46"/>
  <c r="E794" i="46"/>
  <c r="E799" i="46" s="1"/>
  <c r="F672" i="46"/>
  <c r="E1182" i="46"/>
  <c r="E977" i="46"/>
  <c r="E982" i="46" s="1"/>
  <c r="G938" i="46"/>
  <c r="F1038" i="46"/>
  <c r="F1043" i="46" s="1"/>
  <c r="E611" i="46"/>
  <c r="E616" i="46" s="1"/>
  <c r="E855" i="46"/>
  <c r="E860" i="46" s="1"/>
  <c r="E428" i="46"/>
  <c r="E433" i="46" s="1"/>
  <c r="G572" i="46"/>
  <c r="E1099" i="46"/>
  <c r="E1104" i="46" s="1"/>
  <c r="E550" i="46"/>
  <c r="E555" i="46" s="1"/>
  <c r="E1038" i="46"/>
  <c r="E1043" i="46" s="1"/>
  <c r="E938" i="46"/>
  <c r="E733" i="46"/>
  <c r="E738" i="46" s="1"/>
  <c r="G755" i="46"/>
  <c r="E672" i="46"/>
  <c r="E677" i="46" s="1"/>
  <c r="E916" i="46"/>
  <c r="E921" i="46" s="1"/>
  <c r="G977" i="46"/>
  <c r="G982" i="46" s="1"/>
  <c r="F916" i="46"/>
  <c r="F921" i="46" s="1"/>
  <c r="F1121" i="46"/>
  <c r="E1160" i="46"/>
  <c r="E1165" i="46" s="1"/>
  <c r="E389" i="46"/>
  <c r="G794" i="46"/>
  <c r="G799" i="46" s="1"/>
  <c r="F389" i="46"/>
  <c r="F489" i="46"/>
  <c r="F494" i="46" s="1"/>
  <c r="G511" i="46"/>
  <c r="G672" i="46"/>
  <c r="G677" i="46" s="1"/>
  <c r="E816" i="46"/>
  <c r="G1038" i="46"/>
  <c r="G1043" i="46" s="1"/>
  <c r="G1160" i="46"/>
  <c r="G1165" i="46" s="1"/>
  <c r="F938" i="46"/>
  <c r="G999" i="46"/>
  <c r="G389" i="46"/>
  <c r="G550" i="46"/>
  <c r="G555" i="46" s="1"/>
  <c r="G611" i="46"/>
  <c r="G616" i="46" s="1"/>
  <c r="F816" i="46"/>
  <c r="F611" i="46"/>
  <c r="F616" i="46" s="1"/>
  <c r="F755" i="46"/>
  <c r="F1099" i="46"/>
  <c r="F1104" i="46" s="1"/>
  <c r="E694" i="46"/>
  <c r="G489" i="46"/>
  <c r="G494" i="46" s="1"/>
  <c r="F794" i="46"/>
  <c r="F799" i="46" s="1"/>
  <c r="G428" i="46"/>
  <c r="G433" i="46" s="1"/>
  <c r="E489" i="46"/>
  <c r="E494" i="46" s="1"/>
  <c r="E633" i="46"/>
  <c r="F694" i="46"/>
  <c r="G816" i="46"/>
  <c r="G916" i="46"/>
  <c r="G921" i="46" s="1"/>
  <c r="E1121" i="46"/>
  <c r="F1182" i="46"/>
  <c r="G1182" i="46"/>
  <c r="E572" i="46"/>
  <c r="F633" i="46"/>
  <c r="G694" i="46"/>
  <c r="G855" i="46"/>
  <c r="G860" i="46" s="1"/>
  <c r="E511" i="46"/>
  <c r="F677" i="46"/>
  <c r="F367" i="46"/>
  <c r="F372" i="46" s="1"/>
  <c r="F428" i="46"/>
  <c r="F433" i="46" s="1"/>
  <c r="F572" i="46"/>
  <c r="G733" i="46"/>
  <c r="G738" i="46" s="1"/>
  <c r="F977" i="46"/>
  <c r="F982" i="46" s="1"/>
  <c r="E1060" i="46"/>
  <c r="G1121" i="46"/>
  <c r="G367" i="46"/>
  <c r="G372" i="46" s="1"/>
  <c r="F511" i="46"/>
  <c r="F855" i="46"/>
  <c r="F860" i="46" s="1"/>
  <c r="F1060" i="46"/>
  <c r="F1160" i="46"/>
  <c r="F1165" i="46" s="1"/>
  <c r="G323" i="46"/>
  <c r="F323" i="46"/>
  <c r="E323" i="46"/>
  <c r="G317" i="46"/>
  <c r="F317" i="46"/>
  <c r="E317" i="46"/>
  <c r="G316" i="46"/>
  <c r="F316" i="46"/>
  <c r="E316" i="46"/>
  <c r="G307" i="46"/>
  <c r="F307" i="46"/>
  <c r="E307" i="46"/>
  <c r="G300" i="46"/>
  <c r="F300" i="46"/>
  <c r="E300" i="46"/>
  <c r="G296" i="46"/>
  <c r="F296" i="46"/>
  <c r="E296" i="46"/>
  <c r="G291" i="46"/>
  <c r="F291" i="46"/>
  <c r="E291" i="46"/>
  <c r="G277" i="46"/>
  <c r="F277" i="46"/>
  <c r="E277" i="46"/>
  <c r="G276" i="46"/>
  <c r="F276" i="46"/>
  <c r="E276" i="46"/>
  <c r="B270" i="46"/>
  <c r="N269" i="46"/>
  <c r="G262" i="46"/>
  <c r="F262" i="46"/>
  <c r="E262" i="46"/>
  <c r="G256" i="46"/>
  <c r="F256" i="46"/>
  <c r="E256" i="46"/>
  <c r="G255" i="46"/>
  <c r="F255" i="46"/>
  <c r="E255" i="46"/>
  <c r="G246" i="46"/>
  <c r="F246" i="46"/>
  <c r="E246" i="46"/>
  <c r="G239" i="46"/>
  <c r="F239" i="46"/>
  <c r="E239" i="46"/>
  <c r="G235" i="46"/>
  <c r="F235" i="46"/>
  <c r="E235" i="46"/>
  <c r="G230" i="46"/>
  <c r="F230" i="46"/>
  <c r="E230" i="46"/>
  <c r="G216" i="46"/>
  <c r="F216" i="46"/>
  <c r="E216" i="46"/>
  <c r="G215" i="46"/>
  <c r="F215" i="46"/>
  <c r="E215" i="46"/>
  <c r="B209" i="46"/>
  <c r="N208" i="46"/>
  <c r="F201" i="46"/>
  <c r="G201" i="46"/>
  <c r="E201" i="46"/>
  <c r="G328" i="46" l="1"/>
  <c r="G267" i="46"/>
  <c r="E328" i="46"/>
  <c r="F328" i="46"/>
  <c r="E267" i="46"/>
  <c r="G306" i="46"/>
  <c r="G311" i="46" s="1"/>
  <c r="E306" i="46"/>
  <c r="E311" i="46" s="1"/>
  <c r="F245" i="46"/>
  <c r="F250" i="46" s="1"/>
  <c r="F306" i="46"/>
  <c r="F311" i="46" s="1"/>
  <c r="E245" i="46"/>
  <c r="E250" i="46" s="1"/>
  <c r="F267" i="46"/>
  <c r="G245" i="46"/>
  <c r="G250" i="46" s="1"/>
  <c r="G195" i="46" l="1"/>
  <c r="F195" i="46"/>
  <c r="G185" i="46"/>
  <c r="E174" i="46"/>
  <c r="G169" i="46"/>
  <c r="E169" i="46"/>
  <c r="G155" i="46"/>
  <c r="E155" i="46"/>
  <c r="N147" i="46"/>
  <c r="F88" i="46"/>
  <c r="G88" i="46"/>
  <c r="E88" i="46"/>
  <c r="F65" i="46"/>
  <c r="G65" i="46"/>
  <c r="E65" i="46"/>
  <c r="F59" i="46"/>
  <c r="G59" i="46"/>
  <c r="E59" i="46"/>
  <c r="G26" i="46"/>
  <c r="E26" i="46"/>
  <c r="M4" i="33" l="1"/>
  <c r="F115" i="29" l="1"/>
  <c r="F113" i="29"/>
  <c r="F110" i="29"/>
  <c r="F109" i="29"/>
  <c r="B303" i="208" l="1"/>
  <c r="B304" i="208"/>
  <c r="B305" i="208"/>
  <c r="B306" i="208"/>
  <c r="B307" i="208"/>
  <c r="B308" i="208"/>
  <c r="B309" i="208"/>
  <c r="B310" i="208"/>
  <c r="B311" i="208"/>
  <c r="B312" i="208"/>
  <c r="B313" i="208"/>
  <c r="B314" i="208"/>
  <c r="B315" i="208"/>
  <c r="B316" i="208"/>
  <c r="B317" i="208"/>
  <c r="B318" i="208"/>
  <c r="B319" i="208"/>
  <c r="B320" i="208"/>
  <c r="B321" i="208"/>
  <c r="B322" i="208"/>
  <c r="B323" i="208"/>
  <c r="B324" i="208"/>
  <c r="B325" i="208"/>
  <c r="B326" i="208"/>
  <c r="B327" i="208"/>
  <c r="B328" i="208"/>
  <c r="B329" i="208"/>
  <c r="B330" i="208"/>
  <c r="B331" i="208"/>
  <c r="B332" i="208"/>
  <c r="B333" i="208"/>
  <c r="B334" i="208"/>
  <c r="B335" i="208"/>
  <c r="B336" i="208"/>
  <c r="B337" i="208"/>
  <c r="B338" i="208"/>
  <c r="B339" i="208"/>
  <c r="B340" i="208"/>
  <c r="B341" i="208"/>
  <c r="B342" i="208"/>
  <c r="B343" i="208"/>
  <c r="B344" i="208"/>
  <c r="B345" i="208"/>
  <c r="B346" i="208"/>
  <c r="B347" i="208"/>
  <c r="B348" i="208"/>
  <c r="B349" i="208"/>
  <c r="B350" i="208"/>
  <c r="B351" i="208"/>
  <c r="B352" i="208"/>
  <c r="B353" i="208"/>
  <c r="B354" i="208"/>
  <c r="B355" i="208"/>
  <c r="B356" i="208"/>
  <c r="B357" i="208"/>
  <c r="B358" i="208"/>
  <c r="B359" i="208"/>
  <c r="B360" i="208"/>
  <c r="B361" i="208"/>
  <c r="B362" i="208"/>
  <c r="B363" i="208"/>
  <c r="B364" i="208"/>
  <c r="B365" i="208"/>
  <c r="B366" i="208"/>
  <c r="B367" i="208"/>
  <c r="B368" i="208"/>
  <c r="B369" i="208"/>
  <c r="B370" i="208"/>
  <c r="B371" i="208"/>
  <c r="B372" i="208"/>
  <c r="B373" i="208"/>
  <c r="B374" i="208"/>
  <c r="B375" i="208"/>
  <c r="B376" i="208"/>
  <c r="B377" i="208"/>
  <c r="B378" i="208"/>
  <c r="B379" i="208"/>
  <c r="B380" i="208"/>
  <c r="B381" i="208"/>
  <c r="B382" i="208"/>
  <c r="B383" i="208"/>
  <c r="B384" i="208"/>
  <c r="B385" i="208"/>
  <c r="B386" i="208"/>
  <c r="B387" i="208"/>
  <c r="B388" i="208"/>
  <c r="B389" i="208"/>
  <c r="B390" i="208"/>
  <c r="B391" i="208"/>
  <c r="B392" i="208"/>
  <c r="B393" i="208"/>
  <c r="B394" i="208"/>
  <c r="B395" i="208"/>
  <c r="B396" i="208"/>
  <c r="B397" i="208"/>
  <c r="B398" i="208"/>
  <c r="B399" i="208"/>
  <c r="B400" i="208"/>
  <c r="B401" i="208"/>
  <c r="B402" i="208"/>
  <c r="B403" i="208"/>
  <c r="B404" i="208"/>
  <c r="B405" i="208"/>
  <c r="B406" i="208"/>
  <c r="B407" i="208"/>
  <c r="B408" i="208"/>
  <c r="B409" i="208"/>
  <c r="B410" i="208"/>
  <c r="B411" i="208"/>
  <c r="B412" i="208"/>
  <c r="B413" i="208"/>
  <c r="B414" i="208"/>
  <c r="B415" i="208"/>
  <c r="B416" i="208"/>
  <c r="B417" i="208"/>
  <c r="B418" i="208"/>
  <c r="B419" i="208"/>
  <c r="B420" i="208"/>
  <c r="B421" i="208"/>
  <c r="B422" i="208"/>
  <c r="B423" i="208"/>
  <c r="B424" i="208"/>
  <c r="B425" i="208"/>
  <c r="B426" i="208"/>
  <c r="B427" i="208"/>
  <c r="B428" i="208"/>
  <c r="B429" i="208"/>
  <c r="B430" i="208"/>
  <c r="B431" i="208"/>
  <c r="B432" i="208"/>
  <c r="B433" i="208"/>
  <c r="B434" i="208"/>
  <c r="B435" i="208"/>
  <c r="B436" i="208"/>
  <c r="B437" i="208"/>
  <c r="B438" i="208"/>
  <c r="B439" i="208"/>
  <c r="B440" i="208"/>
  <c r="B441" i="208"/>
  <c r="B442" i="208"/>
  <c r="B443" i="208"/>
  <c r="B444" i="208"/>
  <c r="B445" i="208"/>
  <c r="B446" i="208"/>
  <c r="B447" i="208"/>
  <c r="B448" i="208"/>
  <c r="B449" i="208"/>
  <c r="B450" i="208"/>
  <c r="B451" i="208"/>
  <c r="B452" i="208"/>
  <c r="B453" i="208"/>
  <c r="B454" i="208"/>
  <c r="B455" i="208"/>
  <c r="B456" i="208"/>
  <c r="B457" i="208"/>
  <c r="B458" i="208"/>
  <c r="B459" i="208"/>
  <c r="B460" i="208"/>
  <c r="B461" i="208"/>
  <c r="B462" i="208"/>
  <c r="B463" i="208"/>
  <c r="B464" i="208"/>
  <c r="B465" i="208"/>
  <c r="B466" i="208"/>
  <c r="B467" i="208"/>
  <c r="B468" i="208"/>
  <c r="B469" i="208"/>
  <c r="B470" i="208"/>
  <c r="B471" i="208"/>
  <c r="B472" i="208"/>
  <c r="B473" i="208"/>
  <c r="B474" i="208"/>
  <c r="B475" i="208"/>
  <c r="B476" i="208"/>
  <c r="B477" i="208"/>
  <c r="B478" i="208"/>
  <c r="B479" i="208"/>
  <c r="B480" i="208"/>
  <c r="B481" i="208"/>
  <c r="B482" i="208"/>
  <c r="B483" i="208"/>
  <c r="B484" i="208"/>
  <c r="B485" i="208"/>
  <c r="B486" i="208"/>
  <c r="B487" i="208"/>
  <c r="B488" i="208"/>
  <c r="B489" i="208"/>
  <c r="B490" i="208"/>
  <c r="B491" i="208"/>
  <c r="B492" i="208"/>
  <c r="B493" i="208"/>
  <c r="B494" i="208"/>
  <c r="B495" i="208"/>
  <c r="B496" i="208"/>
  <c r="B497" i="208"/>
  <c r="B498" i="208"/>
  <c r="B499" i="208"/>
  <c r="B500" i="208"/>
  <c r="B501" i="208"/>
  <c r="B502" i="208"/>
  <c r="B503" i="208"/>
  <c r="B504" i="208"/>
  <c r="B505" i="208"/>
  <c r="B506" i="208"/>
  <c r="B507" i="208"/>
  <c r="B508" i="208"/>
  <c r="B509" i="208"/>
  <c r="B510" i="208"/>
  <c r="B511" i="208"/>
  <c r="B512" i="208"/>
  <c r="B513" i="208"/>
  <c r="B514" i="208"/>
  <c r="B515" i="208"/>
  <c r="B516" i="208"/>
  <c r="B517" i="208"/>
  <c r="B518" i="208"/>
  <c r="B519" i="208"/>
  <c r="B520" i="208"/>
  <c r="B521" i="208"/>
  <c r="B522" i="208"/>
  <c r="B523" i="208"/>
  <c r="B524" i="208"/>
  <c r="B525" i="208"/>
  <c r="B526" i="208"/>
  <c r="B527" i="208"/>
  <c r="B528" i="208"/>
  <c r="B529" i="208"/>
  <c r="B530" i="208"/>
  <c r="B531" i="208"/>
  <c r="B532" i="208"/>
  <c r="B533" i="208"/>
  <c r="B534" i="208"/>
  <c r="B535" i="208"/>
  <c r="B536" i="208"/>
  <c r="B537" i="208"/>
  <c r="B538" i="208"/>
  <c r="B539" i="208"/>
  <c r="B540" i="208"/>
  <c r="B541" i="208"/>
  <c r="B542" i="208"/>
  <c r="B543" i="208"/>
  <c r="B544" i="208"/>
  <c r="B545" i="208"/>
  <c r="B546" i="208"/>
  <c r="B547" i="208"/>
  <c r="B548" i="208"/>
  <c r="B549" i="208"/>
  <c r="B550" i="208"/>
  <c r="B551" i="208"/>
  <c r="B552" i="208"/>
  <c r="B553" i="208"/>
  <c r="B554" i="208"/>
  <c r="B555" i="208"/>
  <c r="B556" i="208"/>
  <c r="B557" i="208"/>
  <c r="B558" i="208"/>
  <c r="B559" i="208"/>
  <c r="B560" i="208"/>
  <c r="B561" i="208"/>
  <c r="B562" i="208"/>
  <c r="B563" i="208"/>
  <c r="B564" i="208"/>
  <c r="B565" i="208"/>
  <c r="B566" i="208"/>
  <c r="B567" i="208"/>
  <c r="B568" i="208"/>
  <c r="B569" i="208"/>
  <c r="B570" i="208"/>
  <c r="B571" i="208"/>
  <c r="B572" i="208"/>
  <c r="B573" i="208"/>
  <c r="B574" i="208"/>
  <c r="B575" i="208"/>
  <c r="B576" i="208"/>
  <c r="B577" i="208"/>
  <c r="B578" i="208"/>
  <c r="B579" i="208"/>
  <c r="B580" i="208"/>
  <c r="B581" i="208"/>
  <c r="B582" i="208"/>
  <c r="B583" i="208"/>
  <c r="B584" i="208"/>
  <c r="B585" i="208"/>
  <c r="B586" i="208"/>
  <c r="B587" i="208"/>
  <c r="B588" i="208"/>
  <c r="B589" i="208"/>
  <c r="B590" i="208"/>
  <c r="B591" i="208"/>
  <c r="B592" i="208"/>
  <c r="B593" i="208"/>
  <c r="B594" i="208"/>
  <c r="B595" i="208"/>
  <c r="B596" i="208"/>
  <c r="B597" i="208"/>
  <c r="B598" i="208"/>
  <c r="B599" i="208"/>
  <c r="B600" i="208"/>
  <c r="B601" i="208"/>
  <c r="B602" i="208"/>
  <c r="B603" i="208"/>
  <c r="B604" i="208"/>
  <c r="B605" i="208"/>
  <c r="B606" i="208"/>
  <c r="B607" i="208"/>
  <c r="B608" i="208"/>
  <c r="B609" i="208"/>
  <c r="B610" i="208"/>
  <c r="B611" i="208"/>
  <c r="B612" i="208"/>
  <c r="B613" i="208"/>
  <c r="B614" i="208"/>
  <c r="B615" i="208"/>
  <c r="B616" i="208"/>
  <c r="B617" i="208"/>
  <c r="B618" i="208"/>
  <c r="B619" i="208"/>
  <c r="B620" i="208"/>
  <c r="B621" i="208"/>
  <c r="B622" i="208"/>
  <c r="B623" i="208"/>
  <c r="B624" i="208"/>
  <c r="B625" i="208"/>
  <c r="B626" i="208"/>
  <c r="B627" i="208"/>
  <c r="B628" i="208"/>
  <c r="B629" i="208"/>
  <c r="B630" i="208"/>
  <c r="B631" i="208"/>
  <c r="B632" i="208"/>
  <c r="B633" i="208"/>
  <c r="B634" i="208"/>
  <c r="B635" i="208"/>
  <c r="B636" i="208"/>
  <c r="B637" i="208"/>
  <c r="B638" i="208"/>
  <c r="B639" i="208"/>
  <c r="B640" i="208"/>
  <c r="B641" i="208"/>
  <c r="B642" i="208"/>
  <c r="B643" i="208"/>
  <c r="B644" i="208"/>
  <c r="B645" i="208"/>
  <c r="B646" i="208"/>
  <c r="B647" i="208"/>
  <c r="B648" i="208"/>
  <c r="B649" i="208"/>
  <c r="B650" i="208"/>
  <c r="B651" i="208"/>
  <c r="B652" i="208"/>
  <c r="B653" i="208"/>
  <c r="B654" i="208"/>
  <c r="B655" i="208"/>
  <c r="B656" i="208"/>
  <c r="B657" i="208"/>
  <c r="B658" i="208"/>
  <c r="B659" i="208"/>
  <c r="B660" i="208"/>
  <c r="B661" i="208"/>
  <c r="B662" i="208"/>
  <c r="B663" i="208"/>
  <c r="B664" i="208"/>
  <c r="B665" i="208"/>
  <c r="B666" i="208"/>
  <c r="B667" i="208"/>
  <c r="B668" i="208"/>
  <c r="B669" i="208"/>
  <c r="B670" i="208"/>
  <c r="B671" i="208"/>
  <c r="B672" i="208"/>
  <c r="B673" i="208"/>
  <c r="B674" i="208"/>
  <c r="B675" i="208"/>
  <c r="B676" i="208"/>
  <c r="B677" i="208"/>
  <c r="B678" i="208"/>
  <c r="B679" i="208"/>
  <c r="B680" i="208"/>
  <c r="B681" i="208"/>
  <c r="B682" i="208"/>
  <c r="B683" i="208"/>
  <c r="B684" i="208"/>
  <c r="B685" i="208"/>
  <c r="B686" i="208"/>
  <c r="B687" i="208"/>
  <c r="B688" i="208"/>
  <c r="B689" i="208"/>
  <c r="B690" i="208"/>
  <c r="B691" i="208"/>
  <c r="B692" i="208"/>
  <c r="B693" i="208"/>
  <c r="B694" i="208"/>
  <c r="B695" i="208"/>
  <c r="B696" i="208"/>
  <c r="B697" i="208"/>
  <c r="B698" i="208"/>
  <c r="B699" i="208"/>
  <c r="B700" i="208"/>
  <c r="B701" i="208"/>
  <c r="B702" i="208"/>
  <c r="B703" i="208"/>
  <c r="B704" i="208"/>
  <c r="B705" i="208"/>
  <c r="B706" i="208"/>
  <c r="B707" i="208"/>
  <c r="B708" i="208"/>
  <c r="B709" i="208"/>
  <c r="B710" i="208"/>
  <c r="B711" i="208"/>
  <c r="B712" i="208"/>
  <c r="B713" i="208"/>
  <c r="B714" i="208"/>
  <c r="B715" i="208"/>
  <c r="B716" i="208"/>
  <c r="B717" i="208"/>
  <c r="B718" i="208"/>
  <c r="B719" i="208"/>
  <c r="B720" i="208"/>
  <c r="B721" i="208"/>
  <c r="B722" i="208"/>
  <c r="B723" i="208"/>
  <c r="B724" i="208"/>
  <c r="B725" i="208"/>
  <c r="B726" i="208"/>
  <c r="B727" i="208"/>
  <c r="B728" i="208"/>
  <c r="B729" i="208"/>
  <c r="B730" i="208"/>
  <c r="B731" i="208"/>
  <c r="B732" i="208"/>
  <c r="B733" i="208"/>
  <c r="B734" i="208"/>
  <c r="B735" i="208"/>
  <c r="B736" i="208"/>
  <c r="B737" i="208"/>
  <c r="B738" i="208"/>
  <c r="B739" i="208"/>
  <c r="B740" i="208"/>
  <c r="B741" i="208"/>
  <c r="B742" i="208"/>
  <c r="B743" i="208"/>
  <c r="B744" i="208"/>
  <c r="B745" i="208"/>
  <c r="B746" i="208"/>
  <c r="B747" i="208"/>
  <c r="B748" i="208"/>
  <c r="B749" i="208"/>
  <c r="B750" i="208"/>
  <c r="B751" i="208"/>
  <c r="B752" i="208"/>
  <c r="B753" i="208"/>
  <c r="B754" i="208"/>
  <c r="B755" i="208"/>
  <c r="B756" i="208"/>
  <c r="B757" i="208"/>
  <c r="B758" i="208"/>
  <c r="B759" i="208"/>
  <c r="B760" i="208"/>
  <c r="B761" i="208"/>
  <c r="B762" i="208"/>
  <c r="B763" i="208"/>
  <c r="B764" i="208"/>
  <c r="B765" i="208"/>
  <c r="B766" i="208"/>
  <c r="B767" i="208"/>
  <c r="B768" i="208"/>
  <c r="B769" i="208"/>
  <c r="B770" i="208"/>
  <c r="B771" i="208"/>
  <c r="B772" i="208"/>
  <c r="B773" i="208"/>
  <c r="B774" i="208"/>
  <c r="B775" i="208"/>
  <c r="B776" i="208"/>
  <c r="B777" i="208"/>
  <c r="B778" i="208"/>
  <c r="B779" i="208"/>
  <c r="B780" i="208"/>
  <c r="B781" i="208"/>
  <c r="B782" i="208"/>
  <c r="B783" i="208"/>
  <c r="B784" i="208"/>
  <c r="B785" i="208"/>
  <c r="B786" i="208"/>
  <c r="B787" i="208"/>
  <c r="B788" i="208"/>
  <c r="B789" i="208"/>
  <c r="B790" i="208"/>
  <c r="B791" i="208"/>
  <c r="B792" i="208"/>
  <c r="B793" i="208"/>
  <c r="B794" i="208"/>
  <c r="B795" i="208"/>
  <c r="B796" i="208"/>
  <c r="B797" i="208"/>
  <c r="B798" i="208"/>
  <c r="B799" i="208"/>
  <c r="B800" i="208"/>
  <c r="B801" i="208"/>
  <c r="B802" i="208"/>
  <c r="B803" i="208"/>
  <c r="B804" i="208"/>
  <c r="B805" i="208"/>
  <c r="B806" i="208"/>
  <c r="B807" i="208"/>
  <c r="B808" i="208"/>
  <c r="B809" i="208"/>
  <c r="B810" i="208"/>
  <c r="B811" i="208"/>
  <c r="B812" i="208"/>
  <c r="B813" i="208"/>
  <c r="B814" i="208"/>
  <c r="B815" i="208"/>
  <c r="B816" i="208"/>
  <c r="B817" i="208"/>
  <c r="B818" i="208"/>
  <c r="B819" i="208"/>
  <c r="B820" i="208"/>
  <c r="B821" i="208"/>
  <c r="B822" i="208"/>
  <c r="B823" i="208"/>
  <c r="B824" i="208"/>
  <c r="B825" i="208"/>
  <c r="B826" i="208"/>
  <c r="B827" i="208"/>
  <c r="B828" i="208"/>
  <c r="B829" i="208"/>
  <c r="B830" i="208"/>
  <c r="B831" i="208"/>
  <c r="B832" i="208"/>
  <c r="B833" i="208"/>
  <c r="B834" i="208"/>
  <c r="B835" i="208"/>
  <c r="B836" i="208"/>
  <c r="B837" i="208"/>
  <c r="B838" i="208"/>
  <c r="B839" i="208"/>
  <c r="B840" i="208"/>
  <c r="B841" i="208"/>
  <c r="B842" i="208"/>
  <c r="B843" i="208"/>
  <c r="B844" i="208"/>
  <c r="B845" i="208"/>
  <c r="B846" i="208"/>
  <c r="B847" i="208"/>
  <c r="B848" i="208"/>
  <c r="B849" i="208"/>
  <c r="B850" i="208"/>
  <c r="B851" i="208"/>
  <c r="B852" i="208"/>
  <c r="B853" i="208"/>
  <c r="B854" i="208"/>
  <c r="B855" i="208"/>
  <c r="B856" i="208"/>
  <c r="B857" i="208"/>
  <c r="B858" i="208"/>
  <c r="B859" i="208"/>
  <c r="B860" i="208"/>
  <c r="B861" i="208"/>
  <c r="B862" i="208"/>
  <c r="B863" i="208"/>
  <c r="B864" i="208"/>
  <c r="B865" i="208"/>
  <c r="B866" i="208"/>
  <c r="B867" i="208"/>
  <c r="B868" i="208"/>
  <c r="B869" i="208"/>
  <c r="B870" i="208"/>
  <c r="B871" i="208"/>
  <c r="B872" i="208"/>
  <c r="B873" i="208"/>
  <c r="B874" i="208"/>
  <c r="B875" i="208"/>
  <c r="B876" i="208"/>
  <c r="B877" i="208"/>
  <c r="B878" i="208"/>
  <c r="B879" i="208"/>
  <c r="B880" i="208"/>
  <c r="B881" i="208"/>
  <c r="B882" i="208"/>
  <c r="B883" i="208"/>
  <c r="B884" i="208"/>
  <c r="B885" i="208"/>
  <c r="B886" i="208"/>
  <c r="B887" i="208"/>
  <c r="B888" i="208"/>
  <c r="B889" i="208"/>
  <c r="B890" i="208"/>
  <c r="B891" i="208"/>
  <c r="B892" i="208"/>
  <c r="B893" i="208"/>
  <c r="B894" i="208"/>
  <c r="B895" i="208"/>
  <c r="B896" i="208"/>
  <c r="B897" i="208"/>
  <c r="B898" i="208"/>
  <c r="B899" i="208"/>
  <c r="B900" i="208"/>
  <c r="B901" i="208"/>
  <c r="B902" i="208"/>
  <c r="B903" i="208"/>
  <c r="B904" i="208"/>
  <c r="B905" i="208"/>
  <c r="B906" i="208"/>
  <c r="B907" i="208"/>
  <c r="B908" i="208"/>
  <c r="B909" i="208"/>
  <c r="B910" i="208"/>
  <c r="B911" i="208"/>
  <c r="B912" i="208"/>
  <c r="B913" i="208"/>
  <c r="B914" i="208"/>
  <c r="B915" i="208"/>
  <c r="B916" i="208"/>
  <c r="B917" i="208"/>
  <c r="B918" i="208"/>
  <c r="B919" i="208"/>
  <c r="B920" i="208"/>
  <c r="B921" i="208"/>
  <c r="B922" i="208"/>
  <c r="B923" i="208"/>
  <c r="B924" i="208"/>
  <c r="B925" i="208"/>
  <c r="B926" i="208"/>
  <c r="B927" i="208"/>
  <c r="B928" i="208"/>
  <c r="B929" i="208"/>
  <c r="B930" i="208"/>
  <c r="B931" i="208"/>
  <c r="B932" i="208"/>
  <c r="B933" i="208"/>
  <c r="B934" i="208"/>
  <c r="B935" i="208"/>
  <c r="B936" i="208"/>
  <c r="B937" i="208"/>
  <c r="B938" i="208"/>
  <c r="B939" i="208"/>
  <c r="B940" i="208"/>
  <c r="B941" i="208"/>
  <c r="B942" i="208"/>
  <c r="B943" i="208"/>
  <c r="B944" i="208"/>
  <c r="B945" i="208"/>
  <c r="B946" i="208"/>
  <c r="B947" i="208"/>
  <c r="B948" i="208"/>
  <c r="B949" i="208"/>
  <c r="B950" i="208"/>
  <c r="B951" i="208"/>
  <c r="B952" i="208"/>
  <c r="B953" i="208"/>
  <c r="B954" i="208"/>
  <c r="B955" i="208"/>
  <c r="B956" i="208"/>
  <c r="B957" i="208"/>
  <c r="B958" i="208"/>
  <c r="B959" i="208"/>
  <c r="B960" i="208"/>
  <c r="B961" i="208"/>
  <c r="B962" i="208"/>
  <c r="B963" i="208"/>
  <c r="B964" i="208"/>
  <c r="B965" i="208"/>
  <c r="B966" i="208"/>
  <c r="B967" i="208"/>
  <c r="B968" i="208"/>
  <c r="B969" i="208"/>
  <c r="B970" i="208"/>
  <c r="B971" i="208"/>
  <c r="B972" i="208"/>
  <c r="B973" i="208"/>
  <c r="B974" i="208"/>
  <c r="B975" i="208"/>
  <c r="B976" i="208"/>
  <c r="B977" i="208"/>
  <c r="B978" i="208"/>
  <c r="B979" i="208"/>
  <c r="B980" i="208"/>
  <c r="B981" i="208"/>
  <c r="B982" i="208"/>
  <c r="B983" i="208"/>
  <c r="B984" i="208"/>
  <c r="B985" i="208"/>
  <c r="B986" i="208"/>
  <c r="B987" i="208"/>
  <c r="B988" i="208"/>
  <c r="B989" i="208"/>
  <c r="B990" i="208"/>
  <c r="B991" i="208"/>
  <c r="B992" i="208"/>
  <c r="B993" i="208"/>
  <c r="B994" i="208"/>
  <c r="B995" i="208"/>
  <c r="B996" i="208"/>
  <c r="B997" i="208"/>
  <c r="B998" i="208"/>
  <c r="B999" i="208"/>
  <c r="B1000" i="208"/>
  <c r="B1001" i="208"/>
  <c r="B1002" i="208"/>
  <c r="B1003" i="208"/>
  <c r="B1004" i="208"/>
  <c r="B1005" i="208"/>
  <c r="B1006" i="208"/>
  <c r="B1007" i="208"/>
  <c r="B1008" i="208"/>
  <c r="B1009" i="208"/>
  <c r="B1010" i="208"/>
  <c r="B1011" i="208"/>
  <c r="B1012" i="208"/>
  <c r="B1013" i="208"/>
  <c r="B1014" i="208"/>
  <c r="B1015" i="208"/>
  <c r="B1016" i="208"/>
  <c r="B1017" i="208"/>
  <c r="B1018" i="208"/>
  <c r="B1019" i="208"/>
  <c r="B1020" i="208"/>
  <c r="B1021" i="208"/>
  <c r="B1022" i="208"/>
  <c r="B1023" i="208"/>
  <c r="B1024" i="208"/>
  <c r="B1025" i="208"/>
  <c r="B1026" i="208"/>
  <c r="B1027" i="208"/>
  <c r="B1028" i="208"/>
  <c r="B1029" i="208"/>
  <c r="B1030" i="208"/>
  <c r="B1031" i="208"/>
  <c r="B1032" i="208"/>
  <c r="B1033" i="208"/>
  <c r="B1034" i="208"/>
  <c r="B1035" i="208"/>
  <c r="B1036" i="208"/>
  <c r="B1037" i="208"/>
  <c r="B1038" i="208"/>
  <c r="B1039" i="208"/>
  <c r="B1040" i="208"/>
  <c r="B1041" i="208"/>
  <c r="B1042" i="208"/>
  <c r="B1043" i="208"/>
  <c r="B1044" i="208"/>
  <c r="B1045" i="208"/>
  <c r="B1046" i="208"/>
  <c r="B1047" i="208"/>
  <c r="B1048" i="208"/>
  <c r="B1049" i="208"/>
  <c r="B1050" i="208"/>
  <c r="B1051" i="208"/>
  <c r="B1052" i="208"/>
  <c r="B1053" i="208"/>
  <c r="B1054" i="208"/>
  <c r="B1055" i="208"/>
  <c r="B1056" i="208"/>
  <c r="B1057" i="208"/>
  <c r="B1058" i="208"/>
  <c r="B1059" i="208"/>
  <c r="B1060" i="208"/>
  <c r="B1061" i="208"/>
  <c r="B1062" i="208"/>
  <c r="B1063" i="208"/>
  <c r="B1064" i="208"/>
  <c r="B1065" i="208"/>
  <c r="B1066" i="208"/>
  <c r="B1067" i="208"/>
  <c r="B1068" i="208"/>
  <c r="B1069" i="208"/>
  <c r="B1070" i="208"/>
  <c r="B1071" i="208"/>
  <c r="B1072" i="208"/>
  <c r="B1073" i="208"/>
  <c r="B1074" i="208"/>
  <c r="B1075" i="208"/>
  <c r="B1076" i="208"/>
  <c r="B1077" i="208"/>
  <c r="B1078" i="208"/>
  <c r="B1079" i="208"/>
  <c r="B1080" i="208"/>
  <c r="B1081" i="208"/>
  <c r="B1082" i="208"/>
  <c r="B1083" i="208"/>
  <c r="B1084" i="208"/>
  <c r="B1085" i="208"/>
  <c r="B1086" i="208"/>
  <c r="B1087" i="208"/>
  <c r="B1088" i="208"/>
  <c r="B1089" i="208"/>
  <c r="B1090" i="208"/>
  <c r="B1091" i="208"/>
  <c r="B1092" i="208"/>
  <c r="B1093" i="208"/>
  <c r="B1094" i="208"/>
  <c r="B1095" i="208"/>
  <c r="B1096" i="208"/>
  <c r="B1097" i="208"/>
  <c r="B1098" i="208"/>
  <c r="B1099" i="208"/>
  <c r="B1100" i="208"/>
  <c r="B1101" i="208"/>
  <c r="B1102" i="208"/>
  <c r="B1103" i="208"/>
  <c r="B1104" i="208"/>
  <c r="B1105" i="208"/>
  <c r="B1106" i="208"/>
  <c r="B1107" i="208"/>
  <c r="B1108" i="208"/>
  <c r="B1109" i="208"/>
  <c r="B1110" i="208"/>
  <c r="B1111" i="208"/>
  <c r="B1112" i="208"/>
  <c r="B1113" i="208"/>
  <c r="B1114" i="208"/>
  <c r="B1115" i="208"/>
  <c r="B1116" i="208"/>
  <c r="B1117" i="208"/>
  <c r="B1118" i="208"/>
  <c r="B1119" i="208"/>
  <c r="B1120" i="208"/>
  <c r="B1121" i="208"/>
  <c r="B1122" i="208"/>
  <c r="B1123" i="208"/>
  <c r="B1124" i="208"/>
  <c r="B1125" i="208"/>
  <c r="B1126" i="208"/>
  <c r="B1127" i="208"/>
  <c r="B1128" i="208"/>
  <c r="B1129" i="208"/>
  <c r="B1130" i="208"/>
  <c r="B1131" i="208"/>
  <c r="B1132" i="208"/>
  <c r="B1133" i="208"/>
  <c r="B1134" i="208"/>
  <c r="B1135" i="208"/>
  <c r="B1136" i="208"/>
  <c r="B1137" i="208"/>
  <c r="B1138" i="208"/>
  <c r="B1139" i="208"/>
  <c r="B1140" i="208"/>
  <c r="B1141" i="208"/>
  <c r="B1142" i="208"/>
  <c r="B1143" i="208"/>
  <c r="B1144" i="208"/>
  <c r="B1145" i="208"/>
  <c r="B1146" i="208"/>
  <c r="B1147" i="208"/>
  <c r="B1148" i="208"/>
  <c r="B1149" i="208"/>
  <c r="B1150" i="208"/>
  <c r="B1151" i="208"/>
  <c r="B1152" i="208"/>
  <c r="B1153" i="208"/>
  <c r="B1154" i="208"/>
  <c r="B1155" i="208"/>
  <c r="B1156" i="208"/>
  <c r="B1157" i="208"/>
  <c r="B1158" i="208"/>
  <c r="B1159" i="208"/>
  <c r="B1160" i="208"/>
  <c r="B1161" i="208"/>
  <c r="B1162" i="208"/>
  <c r="B1163" i="208"/>
  <c r="B1164" i="208"/>
  <c r="B1165" i="208"/>
  <c r="B1166" i="208"/>
  <c r="B1167" i="208"/>
  <c r="B1168" i="208"/>
  <c r="B1169" i="208"/>
  <c r="B1170" i="208"/>
  <c r="B1171" i="208"/>
  <c r="B1172" i="208"/>
  <c r="B1173" i="208"/>
  <c r="B1174" i="208"/>
  <c r="B1175" i="208"/>
  <c r="B1176" i="208"/>
  <c r="B1177" i="208"/>
  <c r="B1178" i="208"/>
  <c r="B1179" i="208"/>
  <c r="B1180" i="208"/>
  <c r="B1181" i="208"/>
  <c r="B1182" i="208"/>
  <c r="B1183" i="208"/>
  <c r="B1184" i="208"/>
  <c r="B1185" i="208"/>
  <c r="B1186" i="208"/>
  <c r="B1187" i="208"/>
  <c r="B1188" i="208"/>
  <c r="B1189" i="208"/>
  <c r="B1190" i="208"/>
  <c r="B1191" i="208"/>
  <c r="B1192" i="208"/>
  <c r="B1193" i="208"/>
  <c r="B1194" i="208"/>
  <c r="B1195" i="208"/>
  <c r="B1196" i="208"/>
  <c r="B1197" i="208"/>
  <c r="B1198" i="208"/>
  <c r="B1199" i="208"/>
  <c r="B1200" i="208"/>
  <c r="B1201" i="208"/>
  <c r="B1202" i="208"/>
  <c r="B1203" i="208"/>
  <c r="B1204" i="208"/>
  <c r="B1205" i="208"/>
  <c r="B1206" i="208"/>
  <c r="B1207" i="208"/>
  <c r="B1208" i="208"/>
  <c r="B1209" i="208"/>
  <c r="B1210" i="208"/>
  <c r="B1211" i="208"/>
  <c r="B1212" i="208"/>
  <c r="B1213" i="208"/>
  <c r="B1214" i="208"/>
  <c r="B1215" i="208"/>
  <c r="B1216" i="208"/>
  <c r="B1217" i="208"/>
  <c r="B1218" i="208"/>
  <c r="B1219" i="208"/>
  <c r="B1220" i="208"/>
  <c r="B1221" i="208"/>
  <c r="B1222" i="208"/>
  <c r="B1223" i="208"/>
  <c r="B1224" i="208"/>
  <c r="B1225" i="208"/>
  <c r="B1226" i="208"/>
  <c r="B1227" i="208"/>
  <c r="B1228" i="208"/>
  <c r="B1229" i="208"/>
  <c r="B1230" i="208"/>
  <c r="B1231" i="208"/>
  <c r="B1232" i="208"/>
  <c r="B1233" i="208"/>
  <c r="B1234" i="208"/>
  <c r="B1235" i="208"/>
  <c r="B1236" i="208"/>
  <c r="B1237" i="208"/>
  <c r="B1238" i="208"/>
  <c r="B1239" i="208"/>
  <c r="B1240" i="208"/>
  <c r="B1241" i="208"/>
  <c r="B1242" i="208"/>
  <c r="B1243" i="208"/>
  <c r="B1244" i="208"/>
  <c r="B1245" i="208"/>
  <c r="B1246" i="208"/>
  <c r="B1247" i="208"/>
  <c r="B1248" i="208"/>
  <c r="B1249" i="208"/>
  <c r="B1250" i="208"/>
  <c r="B1251" i="208"/>
  <c r="B1252" i="208"/>
  <c r="B1253" i="208"/>
  <c r="B1254" i="208"/>
  <c r="B1255" i="208"/>
  <c r="B1256" i="208"/>
  <c r="B1257" i="208"/>
  <c r="B1258" i="208"/>
  <c r="B1259" i="208"/>
  <c r="B1260" i="208"/>
  <c r="B1261" i="208"/>
  <c r="B1262" i="208"/>
  <c r="B1263" i="208"/>
  <c r="B1264" i="208"/>
  <c r="B1265" i="208"/>
  <c r="B1266" i="208"/>
  <c r="B1267" i="208"/>
  <c r="B1268" i="208"/>
  <c r="B1269" i="208"/>
  <c r="B1270" i="208"/>
  <c r="B1271" i="208"/>
  <c r="B1272" i="208"/>
  <c r="B1273" i="208"/>
  <c r="B1274" i="208"/>
  <c r="B1275" i="208"/>
  <c r="B1276" i="208"/>
  <c r="B1277" i="208"/>
  <c r="B1278" i="208"/>
  <c r="B1279" i="208"/>
  <c r="B1280" i="208"/>
  <c r="B1281" i="208"/>
  <c r="B1282" i="208"/>
  <c r="B1283" i="208"/>
  <c r="B1284" i="208"/>
  <c r="B1285" i="208"/>
  <c r="B1286" i="208"/>
  <c r="B1287" i="208"/>
  <c r="B1288" i="208"/>
  <c r="B1289" i="208"/>
  <c r="B1290" i="208"/>
  <c r="B1291" i="208"/>
  <c r="B1292" i="208"/>
  <c r="B1293" i="208"/>
  <c r="B1294" i="208"/>
  <c r="B1295" i="208"/>
  <c r="B1296" i="208"/>
  <c r="B1297" i="208"/>
  <c r="B1298" i="208"/>
  <c r="B1299" i="208"/>
  <c r="B1300" i="208"/>
  <c r="B1301" i="208"/>
  <c r="B1302" i="208"/>
  <c r="B1303" i="208"/>
  <c r="B1304" i="208"/>
  <c r="B1305" i="208"/>
  <c r="B1306" i="208"/>
  <c r="B1307" i="208"/>
  <c r="B1308" i="208"/>
  <c r="B1309" i="208"/>
  <c r="B1310" i="208"/>
  <c r="B1311" i="208"/>
  <c r="B1312" i="208"/>
  <c r="B1313" i="208"/>
  <c r="B1314" i="208"/>
  <c r="B1315" i="208"/>
  <c r="B1316" i="208"/>
  <c r="B1317" i="208"/>
  <c r="B1318" i="208"/>
  <c r="B1319" i="208"/>
  <c r="B1320" i="208"/>
  <c r="B1321" i="208"/>
  <c r="B1322" i="208"/>
  <c r="B1323" i="208"/>
  <c r="B1324" i="208"/>
  <c r="B1325" i="208"/>
  <c r="B1326" i="208"/>
  <c r="B1327" i="208"/>
  <c r="B1328" i="208"/>
  <c r="B1329" i="208"/>
  <c r="B1330" i="208"/>
  <c r="B1331" i="208"/>
  <c r="B1332" i="208"/>
  <c r="B1333" i="208"/>
  <c r="B1334" i="208"/>
  <c r="B1335" i="208"/>
  <c r="B1336" i="208"/>
  <c r="B1337" i="208"/>
  <c r="B1338" i="208"/>
  <c r="B1339" i="208"/>
  <c r="B1340" i="208"/>
  <c r="B1341" i="208"/>
  <c r="B1342" i="208"/>
  <c r="B1343" i="208"/>
  <c r="B1344" i="208"/>
  <c r="B1345" i="208"/>
  <c r="B1346" i="208"/>
  <c r="B1347" i="208"/>
  <c r="B1348" i="208"/>
  <c r="B1349" i="208"/>
  <c r="B1350" i="208"/>
  <c r="B1351" i="208"/>
  <c r="B1352" i="208"/>
  <c r="B1353" i="208"/>
  <c r="B1354" i="208"/>
  <c r="B1355" i="208"/>
  <c r="B1356" i="208"/>
  <c r="B1357" i="208"/>
  <c r="B1358" i="208"/>
  <c r="B1359" i="208"/>
  <c r="B1360" i="208"/>
  <c r="B1361" i="208"/>
  <c r="B1362" i="208"/>
  <c r="B1363" i="208"/>
  <c r="B1364" i="208"/>
  <c r="B1365" i="208"/>
  <c r="B1366" i="208"/>
  <c r="B1367" i="208"/>
  <c r="B1368" i="208"/>
  <c r="B1369" i="208"/>
  <c r="B1370" i="208"/>
  <c r="B1371" i="208"/>
  <c r="B1372" i="208"/>
  <c r="B1373" i="208"/>
  <c r="B1374" i="208"/>
  <c r="B1375" i="208"/>
  <c r="B1376" i="208"/>
  <c r="B1377" i="208"/>
  <c r="B1378" i="208"/>
  <c r="B1379" i="208"/>
  <c r="B1380" i="208"/>
  <c r="B1381" i="208"/>
  <c r="B1382" i="208"/>
  <c r="B1383" i="208"/>
  <c r="B1384" i="208"/>
  <c r="B1385" i="208"/>
  <c r="B1386" i="208"/>
  <c r="B1387" i="208"/>
  <c r="B1388" i="208"/>
  <c r="B1389" i="208"/>
  <c r="B1390" i="208"/>
  <c r="B1391" i="208"/>
  <c r="B1392" i="208"/>
  <c r="B1393" i="208"/>
  <c r="B1394" i="208"/>
  <c r="B1395" i="208"/>
  <c r="B1396" i="208"/>
  <c r="B1397" i="208"/>
  <c r="B1398" i="208"/>
  <c r="B1399" i="208"/>
  <c r="B1400" i="208"/>
  <c r="B1401" i="208"/>
  <c r="B1402" i="208"/>
  <c r="B1403" i="208"/>
  <c r="B1404" i="208"/>
  <c r="B1405" i="208"/>
  <c r="B1406" i="208"/>
  <c r="B1407" i="208"/>
  <c r="B1408" i="208"/>
  <c r="B1409" i="208"/>
  <c r="B1410" i="208"/>
  <c r="B1411" i="208"/>
  <c r="B1412" i="208"/>
  <c r="B1413" i="208"/>
  <c r="B1414" i="208"/>
  <c r="B1415" i="208"/>
  <c r="B1416" i="208"/>
  <c r="B1417" i="208"/>
  <c r="B1418" i="208"/>
  <c r="B1419" i="208"/>
  <c r="B1420" i="208"/>
  <c r="B1421" i="208"/>
  <c r="B1422" i="208"/>
  <c r="B1423" i="208"/>
  <c r="B1424" i="208"/>
  <c r="B1425" i="208"/>
  <c r="B1426" i="208"/>
  <c r="B1427" i="208"/>
  <c r="B1428" i="208"/>
  <c r="B1429" i="208"/>
  <c r="B1430" i="208"/>
  <c r="B1431" i="208"/>
  <c r="B1432" i="208"/>
  <c r="B1433" i="208"/>
  <c r="B1434" i="208"/>
  <c r="B1435" i="208"/>
  <c r="B1436" i="208"/>
  <c r="B1437" i="208"/>
  <c r="B1438" i="208"/>
  <c r="B1439" i="208"/>
  <c r="B1440" i="208"/>
  <c r="B1441" i="208"/>
  <c r="B1442" i="208"/>
  <c r="B1443" i="208"/>
  <c r="B1444" i="208"/>
  <c r="B1445" i="208"/>
  <c r="B1446" i="208"/>
  <c r="B1447" i="208"/>
  <c r="B1448" i="208"/>
  <c r="B1449" i="208"/>
  <c r="B1450" i="208"/>
  <c r="B1451" i="208"/>
  <c r="B1452" i="208"/>
  <c r="B1453" i="208"/>
  <c r="B1454" i="208"/>
  <c r="B1455" i="208"/>
  <c r="B1456" i="208"/>
  <c r="B1457" i="208"/>
  <c r="B1458" i="208"/>
  <c r="B1459" i="208"/>
  <c r="B1460" i="208"/>
  <c r="B1461" i="208"/>
  <c r="B1462" i="208"/>
  <c r="B1463" i="208"/>
  <c r="B1464" i="208"/>
  <c r="B1465" i="208"/>
  <c r="B1466" i="208"/>
  <c r="B1467" i="208"/>
  <c r="B1468" i="208"/>
  <c r="B1469" i="208"/>
  <c r="B1470" i="208"/>
  <c r="B1471" i="208"/>
  <c r="B1472" i="208"/>
  <c r="B1473" i="208"/>
  <c r="B1474" i="208"/>
  <c r="B1475" i="208"/>
  <c r="B1476" i="208"/>
  <c r="B1477" i="208"/>
  <c r="B1478" i="208"/>
  <c r="B1479" i="208"/>
  <c r="B1480" i="208"/>
  <c r="B1481" i="208"/>
  <c r="B1482" i="208"/>
  <c r="B1483" i="208"/>
  <c r="B1484" i="208"/>
  <c r="B1485" i="208"/>
  <c r="B1486" i="208"/>
  <c r="B1487" i="208"/>
  <c r="B1488" i="208"/>
  <c r="B1489" i="208"/>
  <c r="B1490" i="208"/>
  <c r="B1491" i="208"/>
  <c r="B1492" i="208"/>
  <c r="B1493" i="208"/>
  <c r="B1494" i="208"/>
  <c r="B1495" i="208"/>
  <c r="B1496" i="208"/>
  <c r="B1497" i="208"/>
  <c r="B1498" i="208"/>
  <c r="B1499" i="208"/>
  <c r="B1500" i="208"/>
  <c r="B1501" i="208"/>
  <c r="B1502" i="208"/>
  <c r="B1503" i="208"/>
  <c r="B1504" i="208"/>
  <c r="B1505" i="208"/>
  <c r="B1506" i="208"/>
  <c r="B1507" i="208"/>
  <c r="B1508" i="208"/>
  <c r="B1509" i="208"/>
  <c r="B1510" i="208"/>
  <c r="B1511" i="208"/>
  <c r="B1512" i="208"/>
  <c r="B1513" i="208"/>
  <c r="B1514" i="208"/>
  <c r="B1515" i="208"/>
  <c r="B1516" i="208"/>
  <c r="B1517" i="208"/>
  <c r="B1518" i="208"/>
  <c r="B1519" i="208"/>
  <c r="B1520" i="208"/>
  <c r="B1521" i="208"/>
  <c r="B1522" i="208"/>
  <c r="B1523" i="208"/>
  <c r="B1524" i="208"/>
  <c r="B1525" i="208"/>
  <c r="B1526" i="208"/>
  <c r="B1527" i="208"/>
  <c r="B1528" i="208"/>
  <c r="B1529" i="208"/>
  <c r="B1530" i="208"/>
  <c r="B1531" i="208"/>
  <c r="B1532" i="208"/>
  <c r="B1533" i="208"/>
  <c r="B1534" i="208"/>
  <c r="B1535" i="208"/>
  <c r="B1536" i="208"/>
  <c r="B1537" i="208"/>
  <c r="B1538" i="208"/>
  <c r="B1539" i="208"/>
  <c r="B1540" i="208"/>
  <c r="B1541" i="208"/>
  <c r="B1542" i="208"/>
  <c r="B1543" i="208"/>
  <c r="B1544" i="208"/>
  <c r="B1545" i="208"/>
  <c r="B1546" i="208"/>
  <c r="B1547" i="208"/>
  <c r="B1548" i="208"/>
  <c r="B1549" i="208"/>
  <c r="B1550" i="208"/>
  <c r="B1551" i="208"/>
  <c r="B1552" i="208"/>
  <c r="B1553" i="208"/>
  <c r="B1554" i="208"/>
  <c r="B1555" i="208"/>
  <c r="B1556" i="208"/>
  <c r="B1557" i="208"/>
  <c r="B1558" i="208"/>
  <c r="B1559" i="208"/>
  <c r="B1560" i="208"/>
  <c r="B1561" i="208"/>
  <c r="B1562" i="208"/>
  <c r="B1563" i="208"/>
  <c r="B1564" i="208"/>
  <c r="B1565" i="208"/>
  <c r="B1566" i="208"/>
  <c r="B1567" i="208"/>
  <c r="B1568" i="208"/>
  <c r="B1569" i="208"/>
  <c r="B1570" i="208"/>
  <c r="B1571" i="208"/>
  <c r="B1572" i="208"/>
  <c r="B1573" i="208"/>
  <c r="B1574" i="208"/>
  <c r="B1575" i="208"/>
  <c r="B1576" i="208"/>
  <c r="B1577" i="208"/>
  <c r="B1578" i="208"/>
  <c r="B1579" i="208"/>
  <c r="B1580" i="208"/>
  <c r="B1581" i="208"/>
  <c r="B1582" i="208"/>
  <c r="B1583" i="208"/>
  <c r="B1584" i="208"/>
  <c r="B1585" i="208"/>
  <c r="B1586" i="208"/>
  <c r="B1587" i="208"/>
  <c r="B1588" i="208"/>
  <c r="B1589" i="208"/>
  <c r="B1590" i="208"/>
  <c r="B1591" i="208"/>
  <c r="B1592" i="208"/>
  <c r="B1593" i="208"/>
  <c r="B1594" i="208"/>
  <c r="B1595" i="208"/>
  <c r="B1596" i="208"/>
  <c r="B1597" i="208"/>
  <c r="B1598" i="208"/>
  <c r="B1599" i="208"/>
  <c r="B1600" i="208"/>
  <c r="B1601" i="208"/>
  <c r="B1602" i="208"/>
  <c r="B1603" i="208"/>
  <c r="B1604" i="208"/>
  <c r="B1605" i="208"/>
  <c r="B1606" i="208"/>
  <c r="B1607" i="208"/>
  <c r="B1608" i="208"/>
  <c r="B1609" i="208"/>
  <c r="B1610" i="208"/>
  <c r="B1611" i="208"/>
  <c r="B1612" i="208"/>
  <c r="B1613" i="208"/>
  <c r="B1614" i="208"/>
  <c r="B1615" i="208"/>
  <c r="B1616" i="208"/>
  <c r="B1617" i="208"/>
  <c r="B1618" i="208"/>
  <c r="B1619" i="208"/>
  <c r="B1620" i="208"/>
  <c r="B1621" i="208"/>
  <c r="B1622" i="208"/>
  <c r="B1623" i="208"/>
  <c r="B1624" i="208"/>
  <c r="B1625" i="208"/>
  <c r="B1626" i="208"/>
  <c r="B1627" i="208"/>
  <c r="B1628" i="208"/>
  <c r="B1629" i="208"/>
  <c r="B1630" i="208"/>
  <c r="B1631" i="208"/>
  <c r="B1632" i="208"/>
  <c r="B1633" i="208"/>
  <c r="B1634" i="208"/>
  <c r="B1635" i="208"/>
  <c r="B1636" i="208"/>
  <c r="B1637" i="208"/>
  <c r="B1638" i="208"/>
  <c r="B1639" i="208"/>
  <c r="B1640" i="208"/>
  <c r="B1641" i="208"/>
  <c r="B1642" i="208"/>
  <c r="B1643" i="208"/>
  <c r="B1644" i="208"/>
  <c r="B1645" i="208"/>
  <c r="B1646" i="208"/>
  <c r="B1647" i="208"/>
  <c r="B1648" i="208"/>
  <c r="B1649" i="208"/>
  <c r="B1650" i="208"/>
  <c r="B1651" i="208"/>
  <c r="B1652" i="208"/>
  <c r="B1653" i="208"/>
  <c r="B1654" i="208"/>
  <c r="B1655" i="208"/>
  <c r="B1656" i="208"/>
  <c r="B1657" i="208"/>
  <c r="B1658" i="208"/>
  <c r="B1659" i="208"/>
  <c r="B1660" i="208"/>
  <c r="B1661" i="208"/>
  <c r="B1662" i="208"/>
  <c r="B1663" i="208"/>
  <c r="B1664" i="208"/>
  <c r="B1665" i="208"/>
  <c r="B1666" i="208"/>
  <c r="B1667" i="208"/>
  <c r="B1668" i="208"/>
  <c r="B1669" i="208"/>
  <c r="B1670" i="208"/>
  <c r="B1671" i="208"/>
  <c r="B1672" i="208"/>
  <c r="B1673" i="208"/>
  <c r="B1674" i="208"/>
  <c r="B1675" i="208"/>
  <c r="B1676" i="208"/>
  <c r="B1677" i="208"/>
  <c r="B1678" i="208"/>
  <c r="B1679" i="208"/>
  <c r="B1680" i="208"/>
  <c r="B1681" i="208"/>
  <c r="B1682" i="208"/>
  <c r="B1683" i="208"/>
  <c r="B1684" i="208"/>
  <c r="B1685" i="208"/>
  <c r="B1686" i="208"/>
  <c r="B1687" i="208"/>
  <c r="B1688" i="208"/>
  <c r="B1689" i="208"/>
  <c r="B1690" i="208"/>
  <c r="B1691" i="208"/>
  <c r="B1692" i="208"/>
  <c r="B1693" i="208"/>
  <c r="B1694" i="208"/>
  <c r="B1695" i="208"/>
  <c r="B1696" i="208"/>
  <c r="B1697" i="208"/>
  <c r="B1698" i="208"/>
  <c r="B1699" i="208"/>
  <c r="B1700" i="208"/>
  <c r="B1701" i="208"/>
  <c r="B1702" i="208"/>
  <c r="B1703" i="208"/>
  <c r="B1704" i="208"/>
  <c r="B1705" i="208"/>
  <c r="B1706" i="208"/>
  <c r="B1707" i="208"/>
  <c r="B1708" i="208"/>
  <c r="B1709" i="208"/>
  <c r="B1710" i="208"/>
  <c r="B1711" i="208"/>
  <c r="B1712" i="208"/>
  <c r="B1713" i="208"/>
  <c r="B1714" i="208"/>
  <c r="B1715" i="208"/>
  <c r="B1716" i="208"/>
  <c r="B1717" i="208"/>
  <c r="B1718" i="208"/>
  <c r="B1719" i="208"/>
  <c r="B1720" i="208"/>
  <c r="B1721" i="208"/>
  <c r="B1722" i="208"/>
  <c r="B1723" i="208"/>
  <c r="B1724" i="208"/>
  <c r="B1725" i="208"/>
  <c r="B1726" i="208"/>
  <c r="B1727" i="208"/>
  <c r="B1728" i="208"/>
  <c r="B1729" i="208"/>
  <c r="B1730" i="208"/>
  <c r="B1731" i="208"/>
  <c r="B1732" i="208"/>
  <c r="B1733" i="208"/>
  <c r="B1734" i="208"/>
  <c r="B1735" i="208"/>
  <c r="B1736" i="208"/>
  <c r="B1737" i="208"/>
  <c r="B1738" i="208"/>
  <c r="B1739" i="208"/>
  <c r="B1740" i="208"/>
  <c r="B1741" i="208"/>
  <c r="B1742" i="208"/>
  <c r="B1743" i="208"/>
  <c r="B1744" i="208"/>
  <c r="B1745" i="208"/>
  <c r="B1746" i="208"/>
  <c r="B1747" i="208"/>
  <c r="B1748" i="208"/>
  <c r="B1749" i="208"/>
  <c r="B1750" i="208"/>
  <c r="B1751" i="208"/>
  <c r="B1752" i="208"/>
  <c r="B1753" i="208"/>
  <c r="B1754" i="208"/>
  <c r="B1755" i="208"/>
  <c r="B1756" i="208"/>
  <c r="B1757" i="208"/>
  <c r="B1758" i="208"/>
  <c r="B1759" i="208"/>
  <c r="B1760" i="208"/>
  <c r="B1761" i="208"/>
  <c r="B1762" i="208"/>
  <c r="B1763" i="208"/>
  <c r="B1764" i="208"/>
  <c r="B1765" i="208"/>
  <c r="B1766" i="208"/>
  <c r="B1767" i="208"/>
  <c r="B1768" i="208"/>
  <c r="B1769" i="208"/>
  <c r="B1770" i="208"/>
  <c r="B1771" i="208"/>
  <c r="B1772" i="208"/>
  <c r="B1773" i="208"/>
  <c r="B1774" i="208"/>
  <c r="B1775" i="208"/>
  <c r="B1776" i="208"/>
  <c r="B1777" i="208"/>
  <c r="B1778" i="208"/>
  <c r="B1779" i="208"/>
  <c r="B1780" i="208"/>
  <c r="B1781" i="208"/>
  <c r="B1782" i="208"/>
  <c r="B1783" i="208"/>
  <c r="B1784" i="208"/>
  <c r="B1785" i="208"/>
  <c r="B1786" i="208"/>
  <c r="B1787" i="208"/>
  <c r="B1788" i="208"/>
  <c r="B1789" i="208"/>
  <c r="B1790" i="208"/>
  <c r="B1791" i="208"/>
  <c r="B1792" i="208"/>
  <c r="B1793" i="208"/>
  <c r="B1794" i="208"/>
  <c r="B1795" i="208"/>
  <c r="B1796" i="208"/>
  <c r="B1797" i="208"/>
  <c r="B1798" i="208"/>
  <c r="B1799" i="208"/>
  <c r="B1800" i="208"/>
  <c r="B1801" i="208"/>
  <c r="B1802" i="208"/>
  <c r="B1803" i="208"/>
  <c r="B1804" i="208"/>
  <c r="B1805" i="208"/>
  <c r="B1806" i="208"/>
  <c r="B1807" i="208"/>
  <c r="B1808" i="208"/>
  <c r="B1809" i="208"/>
  <c r="B1810" i="208"/>
  <c r="B1811" i="208"/>
  <c r="B1812" i="208"/>
  <c r="B1813" i="208"/>
  <c r="B1814" i="208"/>
  <c r="B1815" i="208"/>
  <c r="B1816" i="208"/>
  <c r="B1817" i="208"/>
  <c r="B1818" i="208"/>
  <c r="B1819" i="208"/>
  <c r="B1820" i="208"/>
  <c r="B1821" i="208"/>
  <c r="B1822" i="208"/>
  <c r="B1823" i="208"/>
  <c r="B1824" i="208"/>
  <c r="B1825" i="208"/>
  <c r="B1826" i="208"/>
  <c r="B1827" i="208"/>
  <c r="B1828" i="208"/>
  <c r="B1829" i="208"/>
  <c r="B1830" i="208"/>
  <c r="B1831" i="208"/>
  <c r="B1832" i="208"/>
  <c r="B1833" i="208"/>
  <c r="B1834" i="208"/>
  <c r="B1835" i="208"/>
  <c r="B1836" i="208"/>
  <c r="B1837" i="208"/>
  <c r="B1838" i="208"/>
  <c r="B1839" i="208"/>
  <c r="B1840" i="208"/>
  <c r="B1841" i="208"/>
  <c r="B1842" i="208"/>
  <c r="B1843" i="208"/>
  <c r="B1844" i="208"/>
  <c r="B1845" i="208"/>
  <c r="B1846" i="208"/>
  <c r="B1847" i="208"/>
  <c r="B1848" i="208"/>
  <c r="B1849" i="208"/>
  <c r="B1850" i="208"/>
  <c r="B1851" i="208"/>
  <c r="B1852" i="208"/>
  <c r="B1853" i="208"/>
  <c r="B1854" i="208"/>
  <c r="B1855" i="208"/>
  <c r="B1856" i="208"/>
  <c r="B1857" i="208"/>
  <c r="B1858" i="208"/>
  <c r="B1859" i="208"/>
  <c r="B1860" i="208"/>
  <c r="B1861" i="208"/>
  <c r="B1862" i="208"/>
  <c r="B1863" i="208"/>
  <c r="B1864" i="208"/>
  <c r="B1865" i="208"/>
  <c r="B1866" i="208"/>
  <c r="B1867" i="208"/>
  <c r="B1868" i="208"/>
  <c r="B1869" i="208"/>
  <c r="B1870" i="208"/>
  <c r="B1871" i="208"/>
  <c r="B1872" i="208"/>
  <c r="B1873" i="208"/>
  <c r="B1874" i="208"/>
  <c r="B1875" i="208"/>
  <c r="B1876" i="208"/>
  <c r="B1877" i="208"/>
  <c r="B1878" i="208"/>
  <c r="B1879" i="208"/>
  <c r="B1880" i="208"/>
  <c r="B1881" i="208"/>
  <c r="B1882" i="208"/>
  <c r="B1883" i="208"/>
  <c r="B1884" i="208"/>
  <c r="B1885" i="208"/>
  <c r="B1886" i="208"/>
  <c r="B1887" i="208"/>
  <c r="B1888" i="208"/>
  <c r="B1889" i="208"/>
  <c r="B1890" i="208"/>
  <c r="B1891" i="208"/>
  <c r="B1892" i="208"/>
  <c r="B1893" i="208"/>
  <c r="B1894" i="208"/>
  <c r="B1895" i="208"/>
  <c r="B1896" i="208"/>
  <c r="B1897" i="208"/>
  <c r="B1898" i="208"/>
  <c r="B1899" i="208"/>
  <c r="B1900" i="208"/>
  <c r="B1901" i="208"/>
  <c r="B1902" i="208"/>
  <c r="B1903" i="208"/>
  <c r="B1904" i="208"/>
  <c r="B1905" i="208"/>
  <c r="B1906" i="208"/>
  <c r="B1907" i="208"/>
  <c r="B1908" i="208"/>
  <c r="B1909" i="208"/>
  <c r="B1910" i="208"/>
  <c r="B1911" i="208"/>
  <c r="B1912" i="208"/>
  <c r="B1913" i="208"/>
  <c r="B1914" i="208"/>
  <c r="B1915" i="208"/>
  <c r="B1916" i="208"/>
  <c r="B1917" i="208"/>
  <c r="B1918" i="208"/>
  <c r="B1919" i="208"/>
  <c r="B1920" i="208"/>
  <c r="B1921" i="208"/>
  <c r="B1922" i="208"/>
  <c r="B1923" i="208"/>
  <c r="B1924" i="208"/>
  <c r="B1925" i="208"/>
  <c r="B1926" i="208"/>
  <c r="B1927" i="208"/>
  <c r="B1928" i="208"/>
  <c r="B1929" i="208"/>
  <c r="B1930" i="208"/>
  <c r="B1931" i="208"/>
  <c r="B1932" i="208"/>
  <c r="B1933" i="208"/>
  <c r="B1934" i="208"/>
  <c r="B1935" i="208"/>
  <c r="B1936" i="208"/>
  <c r="B1937" i="208"/>
  <c r="B1938" i="208"/>
  <c r="B1939" i="208"/>
  <c r="B1940" i="208"/>
  <c r="B1941" i="208"/>
  <c r="B1942" i="208"/>
  <c r="B1943" i="208"/>
  <c r="B1944" i="208"/>
  <c r="B1945" i="208"/>
  <c r="B1946" i="208"/>
  <c r="B1947" i="208"/>
  <c r="B1948" i="208"/>
  <c r="B1949" i="208"/>
  <c r="B1950" i="208"/>
  <c r="B1951" i="208"/>
  <c r="B1952" i="208"/>
  <c r="B1953" i="208"/>
  <c r="B1954" i="208"/>
  <c r="B1955" i="208"/>
  <c r="B1956" i="208"/>
  <c r="B1957" i="208"/>
  <c r="B1958" i="208"/>
  <c r="B1959" i="208"/>
  <c r="B1960" i="208"/>
  <c r="B1961" i="208"/>
  <c r="B1962" i="208"/>
  <c r="B1963" i="208"/>
  <c r="B1964" i="208"/>
  <c r="B1965" i="208"/>
  <c r="B1966" i="208"/>
  <c r="B1967" i="208"/>
  <c r="B1968" i="208"/>
  <c r="B1969" i="208"/>
  <c r="B1970" i="208"/>
  <c r="B1971" i="208"/>
  <c r="B1972" i="208"/>
  <c r="B1973" i="208"/>
  <c r="B1974" i="208"/>
  <c r="B1975" i="208"/>
  <c r="B1976" i="208"/>
  <c r="B1977" i="208"/>
  <c r="B1978" i="208"/>
  <c r="B1979" i="208"/>
  <c r="B1980" i="208"/>
  <c r="B1981" i="208"/>
  <c r="B1982" i="208"/>
  <c r="B1983" i="208"/>
  <c r="B1984" i="208"/>
  <c r="B1985" i="208"/>
  <c r="B1986" i="208"/>
  <c r="B1987" i="208"/>
  <c r="B1988" i="208"/>
  <c r="B1989" i="208"/>
  <c r="B1990" i="208"/>
  <c r="B1991" i="208"/>
  <c r="B1992" i="208"/>
  <c r="B1993" i="208"/>
  <c r="B1994" i="208"/>
  <c r="B1995" i="208"/>
  <c r="B1996" i="208"/>
  <c r="B1997" i="208"/>
  <c r="B1998" i="208"/>
  <c r="B1999" i="208"/>
  <c r="B2000" i="208"/>
  <c r="B2001" i="208"/>
  <c r="B2002" i="208"/>
  <c r="B2003" i="208"/>
  <c r="B2004" i="208"/>
  <c r="B2005" i="208"/>
  <c r="B2006" i="208"/>
  <c r="B2007" i="208"/>
  <c r="B2008" i="208"/>
  <c r="B2009" i="208"/>
  <c r="B2010" i="208"/>
  <c r="B2011" i="208"/>
  <c r="B2012" i="208"/>
  <c r="B2013" i="208"/>
  <c r="B2014" i="208"/>
  <c r="B2015" i="208"/>
  <c r="B2016" i="208"/>
  <c r="B2017" i="208"/>
  <c r="B2018" i="208"/>
  <c r="B2019" i="208"/>
  <c r="B2020" i="208"/>
  <c r="B2021" i="208"/>
  <c r="B2022" i="208"/>
  <c r="B2023" i="208"/>
  <c r="B2024" i="208"/>
  <c r="B2025" i="208"/>
  <c r="B2026" i="208"/>
  <c r="B2027" i="208"/>
  <c r="B2028" i="208"/>
  <c r="B2029" i="208"/>
  <c r="B2030" i="208"/>
  <c r="B2031" i="208"/>
  <c r="B2032" i="208"/>
  <c r="B2033" i="208"/>
  <c r="B2034" i="208"/>
  <c r="B2035" i="208"/>
  <c r="B2036" i="208"/>
  <c r="B2037" i="208"/>
  <c r="B2038" i="208"/>
  <c r="B2039" i="208"/>
  <c r="B2040" i="208"/>
  <c r="B2041" i="208"/>
  <c r="B2042" i="208"/>
  <c r="B2043" i="208"/>
  <c r="B2044" i="208"/>
  <c r="B2045" i="208"/>
  <c r="B2046" i="208"/>
  <c r="B2047" i="208"/>
  <c r="B2048" i="208"/>
  <c r="B2049" i="208"/>
  <c r="B2050" i="208"/>
  <c r="B2051" i="208"/>
  <c r="B2052" i="208"/>
  <c r="B2053" i="208"/>
  <c r="B2054" i="208"/>
  <c r="B2055" i="208"/>
  <c r="B2056" i="208"/>
  <c r="B2057" i="208"/>
  <c r="B2058" i="208"/>
  <c r="B2059" i="208"/>
  <c r="B2060" i="208"/>
  <c r="B2061" i="208"/>
  <c r="B2062" i="208"/>
  <c r="B2063" i="208"/>
  <c r="B2064" i="208"/>
  <c r="B2065" i="208"/>
  <c r="B2066" i="208"/>
  <c r="B2067" i="208"/>
  <c r="B2068" i="208"/>
  <c r="B2069" i="208"/>
  <c r="B2070" i="208"/>
  <c r="B2071" i="208"/>
  <c r="B2072" i="208"/>
  <c r="B2073" i="208"/>
  <c r="B2074" i="208"/>
  <c r="B2075" i="208"/>
  <c r="B2076" i="208"/>
  <c r="B2077" i="208"/>
  <c r="B2078" i="208"/>
  <c r="B2079" i="208"/>
  <c r="B2080" i="208"/>
  <c r="B2081" i="208"/>
  <c r="B2082" i="208"/>
  <c r="B2083" i="208"/>
  <c r="B2084" i="208"/>
  <c r="B2085" i="208"/>
  <c r="B2086" i="208"/>
  <c r="B2087" i="208"/>
  <c r="B2088" i="208"/>
  <c r="B2089" i="208"/>
  <c r="B2090" i="208"/>
  <c r="B2091" i="208"/>
  <c r="B2092" i="208"/>
  <c r="B2093" i="208"/>
  <c r="B2094" i="208"/>
  <c r="B2095" i="208"/>
  <c r="B2096" i="208"/>
  <c r="B2097" i="208"/>
  <c r="B2098" i="208"/>
  <c r="B2099" i="208"/>
  <c r="B2100" i="208"/>
  <c r="B2101" i="208"/>
  <c r="B2102" i="208"/>
  <c r="B2103" i="208"/>
  <c r="B2104" i="208"/>
  <c r="B2105" i="208"/>
  <c r="B2106" i="208"/>
  <c r="B2107" i="208"/>
  <c r="B2108" i="208"/>
  <c r="B2109" i="208"/>
  <c r="B2110" i="208"/>
  <c r="B2111" i="208"/>
  <c r="B2112" i="208"/>
  <c r="B2113" i="208"/>
  <c r="B2114" i="208"/>
  <c r="B2115" i="208"/>
  <c r="B2116" i="208"/>
  <c r="B2117" i="208"/>
  <c r="B2118" i="208"/>
  <c r="B2119" i="208"/>
  <c r="B2120" i="208"/>
  <c r="B2121" i="208"/>
  <c r="B2122" i="208"/>
  <c r="B2123" i="208"/>
  <c r="B2124" i="208"/>
  <c r="B2125" i="208"/>
  <c r="B2126" i="208"/>
  <c r="B2127" i="208"/>
  <c r="B2128" i="208"/>
  <c r="B2129" i="208"/>
  <c r="B2130" i="208"/>
  <c r="B2131" i="208"/>
  <c r="B2132" i="208"/>
  <c r="B2133" i="208"/>
  <c r="B2134" i="208"/>
  <c r="B2135" i="208"/>
  <c r="B2136" i="208"/>
  <c r="B2137" i="208"/>
  <c r="B2138" i="208"/>
  <c r="B2139" i="208"/>
  <c r="B2140" i="208"/>
  <c r="B2141" i="208"/>
  <c r="B2142" i="208"/>
  <c r="B2143" i="208"/>
  <c r="B2144" i="208"/>
  <c r="B2145" i="208"/>
  <c r="B2146" i="208"/>
  <c r="B2147" i="208"/>
  <c r="B2148" i="208"/>
  <c r="B2149" i="208"/>
  <c r="B2150" i="208"/>
  <c r="B2151" i="208"/>
  <c r="B2152" i="208"/>
  <c r="B2153" i="208"/>
  <c r="B2154" i="208"/>
  <c r="B2155" i="208"/>
  <c r="B2156" i="208"/>
  <c r="B2157" i="208"/>
  <c r="B2158" i="208"/>
  <c r="B2159" i="208"/>
  <c r="B2160" i="208"/>
  <c r="B2161" i="208"/>
  <c r="B2162" i="208"/>
  <c r="B2163" i="208"/>
  <c r="B2164" i="208"/>
  <c r="B2165" i="208"/>
  <c r="B2166" i="208"/>
  <c r="B2167" i="208"/>
  <c r="B2168" i="208"/>
  <c r="B2169" i="208"/>
  <c r="B2170" i="208"/>
  <c r="B2171" i="208"/>
  <c r="B2172" i="208"/>
  <c r="B2173" i="208"/>
  <c r="B2174" i="208"/>
  <c r="B2175" i="208"/>
  <c r="B2176" i="208"/>
  <c r="B2177" i="208"/>
  <c r="B2178" i="208"/>
  <c r="B2179" i="208"/>
  <c r="B2180" i="208"/>
  <c r="B2181" i="208"/>
  <c r="B2182" i="208"/>
  <c r="B2183" i="208"/>
  <c r="B2184" i="208"/>
  <c r="B2185" i="208"/>
  <c r="B2186" i="208"/>
  <c r="B2187" i="208"/>
  <c r="B2188" i="208"/>
  <c r="B2189" i="208"/>
  <c r="B2190" i="208"/>
  <c r="B2191" i="208"/>
  <c r="B2192" i="208"/>
  <c r="B2193" i="208"/>
  <c r="B2194" i="208"/>
  <c r="B2195" i="208"/>
  <c r="B2196" i="208"/>
  <c r="B2197" i="208"/>
  <c r="B2198" i="208"/>
  <c r="B2199" i="208"/>
  <c r="B2200" i="208"/>
  <c r="B2201" i="208"/>
  <c r="B2202" i="208"/>
  <c r="B2203" i="208"/>
  <c r="B2204" i="208"/>
  <c r="B2205" i="208"/>
  <c r="B2206" i="208"/>
  <c r="B2207" i="208"/>
  <c r="B2208" i="208"/>
  <c r="B2209" i="208"/>
  <c r="B2210" i="208"/>
  <c r="B2211" i="208"/>
  <c r="B2212" i="208"/>
  <c r="B2213" i="208"/>
  <c r="B2214" i="208"/>
  <c r="B2215" i="208"/>
  <c r="B2216" i="208"/>
  <c r="B2217" i="208"/>
  <c r="B2218" i="208"/>
  <c r="B2219" i="208"/>
  <c r="B2220" i="208"/>
  <c r="B2221" i="208"/>
  <c r="B2222" i="208"/>
  <c r="B2223" i="208"/>
  <c r="B2224" i="208"/>
  <c r="B2225" i="208"/>
  <c r="B2226" i="208"/>
  <c r="B2227" i="208"/>
  <c r="B2228" i="208"/>
  <c r="B2229" i="208"/>
  <c r="B2230" i="208"/>
  <c r="B2231" i="208"/>
  <c r="B2232" i="208"/>
  <c r="B2233" i="208"/>
  <c r="B2234" i="208"/>
  <c r="B2235" i="208"/>
  <c r="B2236" i="208"/>
  <c r="B2237" i="208"/>
  <c r="B2238" i="208"/>
  <c r="B2239" i="208"/>
  <c r="B2240" i="208"/>
  <c r="B2241" i="208"/>
  <c r="B2242" i="208"/>
  <c r="B2243" i="208"/>
  <c r="B2244" i="208"/>
  <c r="B2245" i="208"/>
  <c r="B2246" i="208"/>
  <c r="B2247" i="208"/>
  <c r="B2248" i="208"/>
  <c r="B2249" i="208"/>
  <c r="B2250" i="208"/>
  <c r="B2251" i="208"/>
  <c r="B2252" i="208"/>
  <c r="B2253" i="208"/>
  <c r="B2254" i="208"/>
  <c r="B2255" i="208"/>
  <c r="B2256" i="208"/>
  <c r="B2257" i="208"/>
  <c r="B2258" i="208"/>
  <c r="B2259" i="208"/>
  <c r="B2260" i="208"/>
  <c r="B2261" i="208"/>
  <c r="B2262" i="208"/>
  <c r="B2263" i="208"/>
  <c r="B2264" i="208"/>
  <c r="B2265" i="208"/>
  <c r="B2266" i="208"/>
  <c r="B2267" i="208"/>
  <c r="B2268" i="208"/>
  <c r="B2269" i="208"/>
  <c r="B2270" i="208"/>
  <c r="B2271" i="208"/>
  <c r="B2272" i="208"/>
  <c r="B2273" i="208"/>
  <c r="B2274" i="208"/>
  <c r="B2275" i="208"/>
  <c r="B2276" i="208"/>
  <c r="B2277" i="208"/>
  <c r="B2278" i="208"/>
  <c r="B2279" i="208"/>
  <c r="B2280" i="208"/>
  <c r="B2281" i="208"/>
  <c r="B2282" i="208"/>
  <c r="B2283" i="208"/>
  <c r="B2284" i="208"/>
  <c r="B2285" i="208"/>
  <c r="B2286" i="208"/>
  <c r="B2287" i="208"/>
  <c r="B2288" i="208"/>
  <c r="B2289" i="208"/>
  <c r="B2290" i="208"/>
  <c r="B2291" i="208"/>
  <c r="B2292" i="208"/>
  <c r="B2293" i="208"/>
  <c r="B2294" i="208"/>
  <c r="B2295" i="208"/>
  <c r="B2296" i="208"/>
  <c r="B2297" i="208"/>
  <c r="B2298" i="208"/>
  <c r="B2299" i="208"/>
  <c r="B2300" i="208"/>
  <c r="B2301" i="208"/>
  <c r="B2302" i="208"/>
  <c r="B2303" i="208"/>
  <c r="B2304" i="208"/>
  <c r="B2305" i="208"/>
  <c r="B2306" i="208"/>
  <c r="B2307" i="208"/>
  <c r="B2308" i="208"/>
  <c r="B2309" i="208"/>
  <c r="B2310" i="208"/>
  <c r="B2311" i="208"/>
  <c r="B2312" i="208"/>
  <c r="B2313" i="208"/>
  <c r="B2314" i="208"/>
  <c r="B2315" i="208"/>
  <c r="B2316" i="208"/>
  <c r="B2317" i="208"/>
  <c r="B2318" i="208"/>
  <c r="B2319" i="208"/>
  <c r="B2320" i="208"/>
  <c r="B2321" i="208"/>
  <c r="B2322" i="208"/>
  <c r="B2323" i="208"/>
  <c r="B2324" i="208"/>
  <c r="B2325" i="208"/>
  <c r="B2326" i="208"/>
  <c r="B2327" i="208"/>
  <c r="B2328" i="208"/>
  <c r="B2329" i="208"/>
  <c r="B2330" i="208"/>
  <c r="B2331" i="208"/>
  <c r="B2332" i="208"/>
  <c r="B2333" i="208"/>
  <c r="B2334" i="208"/>
  <c r="B2335" i="208"/>
  <c r="B2336" i="208"/>
  <c r="B2337" i="208"/>
  <c r="B2338" i="208"/>
  <c r="B2339" i="208"/>
  <c r="B2340" i="208"/>
  <c r="B2341" i="208"/>
  <c r="B2342" i="208"/>
  <c r="B2343" i="208"/>
  <c r="B2344" i="208"/>
  <c r="B2345" i="208"/>
  <c r="B2346" i="208"/>
  <c r="B2347" i="208"/>
  <c r="B2348" i="208"/>
  <c r="B2349" i="208"/>
  <c r="B2350" i="208"/>
  <c r="B2351" i="208"/>
  <c r="B2352" i="208"/>
  <c r="B2353" i="208"/>
  <c r="B2354" i="208"/>
  <c r="B2355" i="208"/>
  <c r="B2356" i="208"/>
  <c r="B2357" i="208"/>
  <c r="B2358" i="208"/>
  <c r="B2359" i="208"/>
  <c r="B2360" i="208"/>
  <c r="B2361" i="208"/>
  <c r="B2362" i="208"/>
  <c r="B2363" i="208"/>
  <c r="B2364" i="208"/>
  <c r="B2365" i="208"/>
  <c r="B2366" i="208"/>
  <c r="B2367" i="208"/>
  <c r="B2368" i="208"/>
  <c r="B2369" i="208"/>
  <c r="B2370" i="208"/>
  <c r="B2371" i="208"/>
  <c r="B2372" i="208"/>
  <c r="B2373" i="208"/>
  <c r="B2374" i="208"/>
  <c r="B2375" i="208"/>
  <c r="B2376" i="208"/>
  <c r="B2377" i="208"/>
  <c r="B2378" i="208"/>
  <c r="B2379" i="208"/>
  <c r="B2380" i="208"/>
  <c r="B2381" i="208"/>
  <c r="B2382" i="208"/>
  <c r="B2383" i="208"/>
  <c r="B2384" i="208"/>
  <c r="B2385" i="208"/>
  <c r="B2386" i="208"/>
  <c r="B2387" i="208"/>
  <c r="B2388" i="208"/>
  <c r="B2389" i="208"/>
  <c r="B2390" i="208"/>
  <c r="B2391" i="208"/>
  <c r="B2392" i="208"/>
  <c r="B2393" i="208"/>
  <c r="B2394" i="208"/>
  <c r="B2395" i="208"/>
  <c r="B2396" i="208"/>
  <c r="B2397" i="208"/>
  <c r="B2398" i="208"/>
  <c r="B2399" i="208"/>
  <c r="B2400" i="208"/>
  <c r="B2401" i="208"/>
  <c r="B2402" i="208"/>
  <c r="B2403" i="208"/>
  <c r="B2404" i="208"/>
  <c r="B2405" i="208"/>
  <c r="B2406" i="208"/>
  <c r="B2407" i="208"/>
  <c r="B2408" i="208"/>
  <c r="B2409" i="208"/>
  <c r="B2410" i="208"/>
  <c r="B2411" i="208"/>
  <c r="B2412" i="208"/>
  <c r="B2413" i="208"/>
  <c r="B2414" i="208"/>
  <c r="B2415" i="208"/>
  <c r="B2416" i="208"/>
  <c r="B2417" i="208"/>
  <c r="B2418" i="208"/>
  <c r="B2419" i="208"/>
  <c r="B2420" i="208"/>
  <c r="B2421" i="208"/>
  <c r="B2422" i="208"/>
  <c r="B2423" i="208"/>
  <c r="B2424" i="208"/>
  <c r="B2425" i="208"/>
  <c r="B2426" i="208"/>
  <c r="B2427" i="208"/>
  <c r="B2428" i="208"/>
  <c r="B2429" i="208"/>
  <c r="B2430" i="208"/>
  <c r="B2431" i="208"/>
  <c r="B2432" i="208"/>
  <c r="B2433" i="208"/>
  <c r="B2434" i="208"/>
  <c r="B2435" i="208"/>
  <c r="B2436" i="208"/>
  <c r="B2437" i="208"/>
  <c r="B2438" i="208"/>
  <c r="B2439" i="208"/>
  <c r="B2440" i="208"/>
  <c r="B2441" i="208"/>
  <c r="B2442" i="208"/>
  <c r="B2443" i="208"/>
  <c r="B2444" i="208"/>
  <c r="B2445" i="208"/>
  <c r="B2446" i="208"/>
  <c r="B2447" i="208"/>
  <c r="B2448" i="208"/>
  <c r="B2449" i="208"/>
  <c r="B2450" i="208"/>
  <c r="B2451" i="208"/>
  <c r="B2452" i="208"/>
  <c r="B2453" i="208"/>
  <c r="B2454" i="208"/>
  <c r="B2455" i="208"/>
  <c r="B2456" i="208"/>
  <c r="B2457" i="208"/>
  <c r="B2458" i="208"/>
  <c r="B2459" i="208"/>
  <c r="B2460" i="208"/>
  <c r="B2461" i="208"/>
  <c r="B2462" i="208"/>
  <c r="B2463" i="208"/>
  <c r="B2464" i="208"/>
  <c r="B2465" i="208"/>
  <c r="B2466" i="208"/>
  <c r="B2467" i="208"/>
  <c r="B2468" i="208"/>
  <c r="B2469" i="208"/>
  <c r="B2470" i="208"/>
  <c r="B2471" i="208"/>
  <c r="B2472" i="208"/>
  <c r="B2473" i="208"/>
  <c r="B2474" i="208"/>
  <c r="B2475" i="208"/>
  <c r="B2476" i="208"/>
  <c r="B2477" i="208"/>
  <c r="B2478" i="208"/>
  <c r="B2479" i="208"/>
  <c r="B2480" i="208"/>
  <c r="B2481" i="208"/>
  <c r="B2482" i="208"/>
  <c r="B2483" i="208"/>
  <c r="B2484" i="208"/>
  <c r="B2485" i="208"/>
  <c r="B2486" i="208"/>
  <c r="B2487" i="208"/>
  <c r="B2488" i="208"/>
  <c r="B2489" i="208"/>
  <c r="B2490" i="208"/>
  <c r="B2491" i="208"/>
  <c r="B2492" i="208"/>
  <c r="B2493" i="208"/>
  <c r="B2494" i="208"/>
  <c r="B2495" i="208"/>
  <c r="B2496" i="208"/>
  <c r="B2497" i="208"/>
  <c r="B2498" i="208"/>
  <c r="B2499" i="208"/>
  <c r="B2500" i="208"/>
  <c r="B2501" i="208"/>
  <c r="B2502" i="208"/>
  <c r="B2503" i="208"/>
  <c r="B2504" i="208"/>
  <c r="B2505" i="208"/>
  <c r="B2506" i="208"/>
  <c r="B2507" i="208"/>
  <c r="B2508" i="208"/>
  <c r="B2509" i="208"/>
  <c r="B2510" i="208"/>
  <c r="B2511" i="208"/>
  <c r="B2512" i="208"/>
  <c r="B2513" i="208"/>
  <c r="B2514" i="208"/>
  <c r="B2515" i="208"/>
  <c r="B2516" i="208"/>
  <c r="B2517" i="208"/>
  <c r="B2518" i="208"/>
  <c r="B2519" i="208"/>
  <c r="B2520" i="208"/>
  <c r="B2521" i="208"/>
  <c r="B2522" i="208"/>
  <c r="B2523" i="208"/>
  <c r="B2524" i="208"/>
  <c r="B2525" i="208"/>
  <c r="B2526" i="208"/>
  <c r="B2527" i="208"/>
  <c r="B2528" i="208"/>
  <c r="B2529" i="208"/>
  <c r="B2530" i="208"/>
  <c r="B2531" i="208"/>
  <c r="B2532" i="208"/>
  <c r="B2533" i="208"/>
  <c r="B2534" i="208"/>
  <c r="B2535" i="208"/>
  <c r="B2536" i="208"/>
  <c r="B2537" i="208"/>
  <c r="B2538" i="208"/>
  <c r="B2539" i="208"/>
  <c r="B2540" i="208"/>
  <c r="B2541" i="208"/>
  <c r="B2542" i="208"/>
  <c r="B2543" i="208"/>
  <c r="B2544" i="208"/>
  <c r="B2545" i="208"/>
  <c r="B2546" i="208"/>
  <c r="B2547" i="208"/>
  <c r="B2548" i="208"/>
  <c r="B2549" i="208"/>
  <c r="B2550" i="208"/>
  <c r="B2551" i="208"/>
  <c r="B2552" i="208"/>
  <c r="B2553" i="208"/>
  <c r="B2554" i="208"/>
  <c r="B2555" i="208"/>
  <c r="B2556" i="208"/>
  <c r="B2557" i="208"/>
  <c r="B2558" i="208"/>
  <c r="B2559" i="208"/>
  <c r="B2560" i="208"/>
  <c r="B2561" i="208"/>
  <c r="B2562" i="208"/>
  <c r="B2563" i="208"/>
  <c r="B2564" i="208"/>
  <c r="B2565" i="208"/>
  <c r="B2566" i="208"/>
  <c r="B2567" i="208"/>
  <c r="B2568" i="208"/>
  <c r="B2569" i="208"/>
  <c r="B2570" i="208"/>
  <c r="B2571" i="208"/>
  <c r="B2572" i="208"/>
  <c r="B2573" i="208"/>
  <c r="B2574" i="208"/>
  <c r="B2575" i="208"/>
  <c r="B2576" i="208"/>
  <c r="B2577" i="208"/>
  <c r="B2578" i="208"/>
  <c r="B2579" i="208"/>
  <c r="B2580" i="208"/>
  <c r="B2581" i="208"/>
  <c r="B2582" i="208"/>
  <c r="B2583" i="208"/>
  <c r="B2584" i="208"/>
  <c r="B2585" i="208"/>
  <c r="B2586" i="208"/>
  <c r="B2587" i="208"/>
  <c r="B2588" i="208"/>
  <c r="B2589" i="208"/>
  <c r="B2590" i="208"/>
  <c r="B2591" i="208"/>
  <c r="B2592" i="208"/>
  <c r="B2593" i="208"/>
  <c r="B2594" i="208"/>
  <c r="B2595" i="208"/>
  <c r="B2596" i="208"/>
  <c r="B2597" i="208"/>
  <c r="B2598" i="208"/>
  <c r="B2599" i="208"/>
  <c r="B2600" i="208"/>
  <c r="B2601" i="208"/>
  <c r="B2602" i="208"/>
  <c r="B2603" i="208"/>
  <c r="B2604" i="208"/>
  <c r="B2605" i="208"/>
  <c r="B2606" i="208"/>
  <c r="B2607" i="208"/>
  <c r="B2608" i="208"/>
  <c r="B2609" i="208"/>
  <c r="B2610" i="208"/>
  <c r="B2611" i="208"/>
  <c r="B2612" i="208"/>
  <c r="B2613" i="208"/>
  <c r="B2614" i="208"/>
  <c r="B2615" i="208"/>
  <c r="B2616" i="208"/>
  <c r="B2617" i="208"/>
  <c r="B2618" i="208"/>
  <c r="B2619" i="208"/>
  <c r="B2620" i="208"/>
  <c r="B2621" i="208"/>
  <c r="B2622" i="208"/>
  <c r="B2623" i="208"/>
  <c r="B2624" i="208"/>
  <c r="B2625" i="208"/>
  <c r="B2626" i="208"/>
  <c r="B2627" i="208"/>
  <c r="B2628" i="208"/>
  <c r="B2629" i="208"/>
  <c r="B2630" i="208"/>
  <c r="B2631" i="208"/>
  <c r="B2632" i="208"/>
  <c r="B2633" i="208"/>
  <c r="B2634" i="208"/>
  <c r="B2635" i="208"/>
  <c r="B2636" i="208"/>
  <c r="B2637" i="208"/>
  <c r="B2638" i="208"/>
  <c r="B2639" i="208"/>
  <c r="B2640" i="208"/>
  <c r="B2641" i="208"/>
  <c r="B2642" i="208"/>
  <c r="B2643" i="208"/>
  <c r="B2644" i="208"/>
  <c r="B2645" i="208"/>
  <c r="B2646" i="208"/>
  <c r="B2647" i="208"/>
  <c r="B2648" i="208"/>
  <c r="B2649" i="208"/>
  <c r="B2650" i="208"/>
  <c r="B2651" i="208"/>
  <c r="B2652" i="208"/>
  <c r="B2653" i="208"/>
  <c r="B2654" i="208"/>
  <c r="B2655" i="208"/>
  <c r="B2656" i="208"/>
  <c r="B2657" i="208"/>
  <c r="B2658" i="208"/>
  <c r="B2659" i="208"/>
  <c r="B2660" i="208"/>
  <c r="B2661" i="208"/>
  <c r="B2662" i="208"/>
  <c r="B2663" i="208"/>
  <c r="B2664" i="208"/>
  <c r="B2665" i="208"/>
  <c r="B2666" i="208"/>
  <c r="B2667" i="208"/>
  <c r="B2668" i="208"/>
  <c r="B2669" i="208"/>
  <c r="B2670" i="208"/>
  <c r="B2671" i="208"/>
  <c r="B2672" i="208"/>
  <c r="B2673" i="208"/>
  <c r="B2674" i="208"/>
  <c r="B2675" i="208"/>
  <c r="B2676" i="208"/>
  <c r="B2677" i="208"/>
  <c r="B2678" i="208"/>
  <c r="B2679" i="208"/>
  <c r="B2680" i="208"/>
  <c r="B2681" i="208"/>
  <c r="B2682" i="208"/>
  <c r="B2683" i="208"/>
  <c r="B2684" i="208"/>
  <c r="B2685" i="208"/>
  <c r="B2686" i="208"/>
  <c r="B2687" i="208"/>
  <c r="B2688" i="208"/>
  <c r="B2689" i="208"/>
  <c r="B2690" i="208"/>
  <c r="B2691" i="208"/>
  <c r="B2692" i="208"/>
  <c r="B2693" i="208"/>
  <c r="B2694" i="208"/>
  <c r="B2695" i="208"/>
  <c r="B2696" i="208"/>
  <c r="B2697" i="208"/>
  <c r="B2698" i="208"/>
  <c r="B2699" i="208"/>
  <c r="B2700" i="208"/>
  <c r="B2701" i="208"/>
  <c r="B2702" i="208"/>
  <c r="B2703" i="208"/>
  <c r="B2704" i="208"/>
  <c r="B2705" i="208"/>
  <c r="B2706" i="208"/>
  <c r="B2707" i="208"/>
  <c r="B2708" i="208"/>
  <c r="B2709" i="208"/>
  <c r="B2710" i="208"/>
  <c r="B2711" i="208"/>
  <c r="B2712" i="208"/>
  <c r="B2713" i="208"/>
  <c r="B2714" i="208"/>
  <c r="B2715" i="208"/>
  <c r="B2716" i="208"/>
  <c r="B2717" i="208"/>
  <c r="B2718" i="208"/>
  <c r="B2719" i="208"/>
  <c r="B2720" i="208"/>
  <c r="B2721" i="208"/>
  <c r="B2722" i="208"/>
  <c r="B2723" i="208"/>
  <c r="B2724" i="208"/>
  <c r="B2725" i="208"/>
  <c r="B2726" i="208"/>
  <c r="B2727" i="208"/>
  <c r="B2728" i="208"/>
  <c r="B2729" i="208"/>
  <c r="B2730" i="208"/>
  <c r="B2731" i="208"/>
  <c r="B2732" i="208"/>
  <c r="B2733" i="208"/>
  <c r="B2734" i="208"/>
  <c r="B2735" i="208"/>
  <c r="B2736" i="208"/>
  <c r="B2737" i="208"/>
  <c r="B2738" i="208"/>
  <c r="B2739" i="208"/>
  <c r="B2740" i="208"/>
  <c r="B2741" i="208"/>
  <c r="B2742" i="208"/>
  <c r="B2743" i="208"/>
  <c r="B2744" i="208"/>
  <c r="B2745" i="208"/>
  <c r="B2746" i="208"/>
  <c r="B2747" i="208"/>
  <c r="B2748" i="208"/>
  <c r="B2749" i="208"/>
  <c r="B2750" i="208"/>
  <c r="B2751" i="208"/>
  <c r="B2752" i="208"/>
  <c r="B2753" i="208"/>
  <c r="B2754" i="208"/>
  <c r="B2755" i="208"/>
  <c r="B2756" i="208"/>
  <c r="B2757" i="208"/>
  <c r="B2758" i="208"/>
  <c r="B2759" i="208"/>
  <c r="B2760" i="208"/>
  <c r="B2761" i="208"/>
  <c r="B2762" i="208"/>
  <c r="B2763" i="208"/>
  <c r="B2764" i="208"/>
  <c r="B2765" i="208"/>
  <c r="B2766" i="208"/>
  <c r="B2767" i="208"/>
  <c r="B2768" i="208"/>
  <c r="B2769" i="208"/>
  <c r="B2770" i="208"/>
  <c r="B2771" i="208"/>
  <c r="B2772" i="208"/>
  <c r="B2773" i="208"/>
  <c r="B2774" i="208"/>
  <c r="B2775" i="208"/>
  <c r="B2776" i="208"/>
  <c r="B2777" i="208"/>
  <c r="B2778" i="208"/>
  <c r="B2779" i="208"/>
  <c r="B2780" i="208"/>
  <c r="B2781" i="208"/>
  <c r="B2782" i="208"/>
  <c r="B2783" i="208"/>
  <c r="B2784" i="208"/>
  <c r="B2785" i="208"/>
  <c r="B2786" i="208"/>
  <c r="B2787" i="208"/>
  <c r="B2788" i="208"/>
  <c r="B2789" i="208"/>
  <c r="B2790" i="208"/>
  <c r="B2791" i="208"/>
  <c r="B2792" i="208"/>
  <c r="B2793" i="208"/>
  <c r="B2794" i="208"/>
  <c r="B2795" i="208"/>
  <c r="B2796" i="208"/>
  <c r="B2797" i="208"/>
  <c r="B2798" i="208"/>
  <c r="B2799" i="208"/>
  <c r="B2800" i="208"/>
  <c r="B2801" i="208"/>
  <c r="B2802" i="208"/>
  <c r="B2803" i="208"/>
  <c r="B2804" i="208"/>
  <c r="B2805" i="208"/>
  <c r="B2806" i="208"/>
  <c r="B2807" i="208"/>
  <c r="B2808" i="208"/>
  <c r="B2809" i="208"/>
  <c r="B2810" i="208"/>
  <c r="B2811" i="208"/>
  <c r="B2812" i="208"/>
  <c r="B2813" i="208"/>
  <c r="B2814" i="208"/>
  <c r="B2815" i="208"/>
  <c r="B2816" i="208"/>
  <c r="B2817" i="208"/>
  <c r="B2818" i="208"/>
  <c r="B2819" i="208"/>
  <c r="B2820" i="208"/>
  <c r="B2821" i="208"/>
  <c r="B2822" i="208"/>
  <c r="B2823" i="208"/>
  <c r="B2824" i="208"/>
  <c r="B2825" i="208"/>
  <c r="B2826" i="208"/>
  <c r="B2827" i="208"/>
  <c r="B2828" i="208"/>
  <c r="B2829" i="208"/>
  <c r="B2830" i="208"/>
  <c r="B2831" i="208"/>
  <c r="B2832" i="208"/>
  <c r="B2833" i="208"/>
  <c r="B2834" i="208"/>
  <c r="B2835" i="208"/>
  <c r="B2836" i="208"/>
  <c r="B2837" i="208"/>
  <c r="B2838" i="208"/>
  <c r="B2839" i="208"/>
  <c r="B2840" i="208"/>
  <c r="B2841" i="208"/>
  <c r="B2842" i="208"/>
  <c r="B2843" i="208"/>
  <c r="B2844" i="208"/>
  <c r="B2845" i="208"/>
  <c r="B2846" i="208"/>
  <c r="B2847" i="208"/>
  <c r="B2848" i="208"/>
  <c r="B2849" i="208"/>
  <c r="B2850" i="208"/>
  <c r="B2851" i="208"/>
  <c r="B2852" i="208"/>
  <c r="B2853" i="208"/>
  <c r="B2854" i="208"/>
  <c r="B2855" i="208"/>
  <c r="B2856" i="208"/>
  <c r="B2857" i="208"/>
  <c r="B2858" i="208"/>
  <c r="B2859" i="208"/>
  <c r="B2860" i="208"/>
  <c r="B2861" i="208"/>
  <c r="B2862" i="208"/>
  <c r="B2863" i="208"/>
  <c r="B2864" i="208"/>
  <c r="B2865" i="208"/>
  <c r="B2866" i="208"/>
  <c r="B2867" i="208"/>
  <c r="B2868" i="208"/>
  <c r="B2869" i="208"/>
  <c r="B2870" i="208"/>
  <c r="B2871" i="208"/>
  <c r="B2872" i="208"/>
  <c r="B2873" i="208"/>
  <c r="B2874" i="208"/>
  <c r="B2875" i="208"/>
  <c r="B2876" i="208"/>
  <c r="B2877" i="208"/>
  <c r="B2878" i="208"/>
  <c r="B2879" i="208"/>
  <c r="B2880" i="208"/>
  <c r="B2881" i="208"/>
  <c r="B2882" i="208"/>
  <c r="B2883" i="208"/>
  <c r="B2884" i="208"/>
  <c r="B2885" i="208"/>
  <c r="B2886" i="208"/>
  <c r="B2887" i="208"/>
  <c r="B2888" i="208"/>
  <c r="B2889" i="208"/>
  <c r="B2890" i="208"/>
  <c r="B2891" i="208"/>
  <c r="B2892" i="208"/>
  <c r="B2893" i="208"/>
  <c r="B2894" i="208"/>
  <c r="B2895" i="208"/>
  <c r="B2896" i="208"/>
  <c r="B2897" i="208"/>
  <c r="B2898" i="208"/>
  <c r="B2899" i="208"/>
  <c r="B2900" i="208"/>
  <c r="B2901" i="208"/>
  <c r="B2902" i="208"/>
  <c r="B2903" i="208"/>
  <c r="B2904" i="208"/>
  <c r="B2905" i="208"/>
  <c r="B2906" i="208"/>
  <c r="B2907" i="208"/>
  <c r="B2908" i="208"/>
  <c r="B2909" i="208"/>
  <c r="B2910" i="208"/>
  <c r="B2911" i="208"/>
  <c r="B2912" i="208"/>
  <c r="B2913" i="208"/>
  <c r="B2914" i="208"/>
  <c r="B2915" i="208"/>
  <c r="B2916" i="208"/>
  <c r="B2917" i="208"/>
  <c r="B2918" i="208"/>
  <c r="B2919" i="208"/>
  <c r="B2920" i="208"/>
  <c r="B2921" i="208"/>
  <c r="B2922" i="208"/>
  <c r="B2923" i="208"/>
  <c r="B2924" i="208"/>
  <c r="B2925" i="208"/>
  <c r="B2926" i="208"/>
  <c r="B2927" i="208"/>
  <c r="B2928" i="208"/>
  <c r="B2929" i="208"/>
  <c r="B2930" i="208"/>
  <c r="B2931" i="208"/>
  <c r="B2932" i="208"/>
  <c r="B2933" i="208"/>
  <c r="B2934" i="208"/>
  <c r="B2935" i="208"/>
  <c r="B2936" i="208"/>
  <c r="B2937" i="208"/>
  <c r="B2938" i="208"/>
  <c r="B2939" i="208"/>
  <c r="B2940" i="208"/>
  <c r="B2941" i="208"/>
  <c r="B2942" i="208"/>
  <c r="B2943" i="208"/>
  <c r="B2944" i="208"/>
  <c r="B2945" i="208"/>
  <c r="B2946" i="208"/>
  <c r="B2947" i="208"/>
  <c r="B2948" i="208"/>
  <c r="B2949" i="208"/>
  <c r="B2950" i="208"/>
  <c r="B2951" i="208"/>
  <c r="B2952" i="208"/>
  <c r="B2953" i="208"/>
  <c r="B2954" i="208"/>
  <c r="B2955" i="208"/>
  <c r="B2956" i="208"/>
  <c r="B2957" i="208"/>
  <c r="B2958" i="208"/>
  <c r="B2959" i="208"/>
  <c r="B2960" i="208"/>
  <c r="B2961" i="208"/>
  <c r="B2962" i="208"/>
  <c r="B2963" i="208"/>
  <c r="B2964" i="208"/>
  <c r="B2965" i="208"/>
  <c r="B2966" i="208"/>
  <c r="B2967" i="208"/>
  <c r="B2968" i="208"/>
  <c r="B2969" i="208"/>
  <c r="B2970" i="208"/>
  <c r="B2971" i="208"/>
  <c r="B2972" i="208"/>
  <c r="B2973" i="208"/>
  <c r="B2974" i="208"/>
  <c r="B2975" i="208"/>
  <c r="B2976" i="208"/>
  <c r="B2977" i="208"/>
  <c r="B2978" i="208"/>
  <c r="B2979" i="208"/>
  <c r="B2980" i="208"/>
  <c r="B2981" i="208"/>
  <c r="B2982" i="208"/>
  <c r="B2983" i="208"/>
  <c r="B2984" i="208"/>
  <c r="B2985" i="208"/>
  <c r="B2986" i="208"/>
  <c r="B2987" i="208"/>
  <c r="B2988" i="208"/>
  <c r="B2989" i="208"/>
  <c r="B2990" i="208"/>
  <c r="B2991" i="208"/>
  <c r="B2992" i="208"/>
  <c r="B2993" i="208"/>
  <c r="B2994" i="208"/>
  <c r="B2995" i="208"/>
  <c r="B2996" i="208"/>
  <c r="B2997" i="208"/>
  <c r="B2998" i="208"/>
  <c r="B2999" i="208"/>
  <c r="B3000" i="208"/>
  <c r="B302" i="208"/>
  <c r="C3" i="208"/>
  <c r="D3" i="208"/>
  <c r="E3" i="208"/>
  <c r="H3" i="208"/>
  <c r="I3" i="208"/>
  <c r="J3" i="208"/>
  <c r="O3" i="208" s="1"/>
  <c r="L3" i="208"/>
  <c r="C4" i="208"/>
  <c r="D4" i="208"/>
  <c r="E4" i="208"/>
  <c r="H4" i="208"/>
  <c r="I4" i="208"/>
  <c r="J4" i="208"/>
  <c r="O4" i="208" s="1"/>
  <c r="L4" i="208"/>
  <c r="C5" i="208"/>
  <c r="D5" i="208"/>
  <c r="E5" i="208"/>
  <c r="H5" i="208"/>
  <c r="I5" i="208"/>
  <c r="J5" i="208"/>
  <c r="L5" i="208"/>
  <c r="C6" i="208"/>
  <c r="D6" i="208"/>
  <c r="E6" i="208"/>
  <c r="S6" i="208" s="1"/>
  <c r="H6" i="208"/>
  <c r="I6" i="208"/>
  <c r="J6" i="208"/>
  <c r="L6" i="208"/>
  <c r="C7" i="208"/>
  <c r="D7" i="208"/>
  <c r="E7" i="208"/>
  <c r="S7" i="208" s="1"/>
  <c r="H7" i="208"/>
  <c r="I7" i="208"/>
  <c r="J7" i="208"/>
  <c r="L7" i="208"/>
  <c r="C8" i="208"/>
  <c r="D8" i="208"/>
  <c r="E8" i="208"/>
  <c r="S8" i="208" s="1"/>
  <c r="H8" i="208"/>
  <c r="I8" i="208"/>
  <c r="J8" i="208"/>
  <c r="L8" i="208"/>
  <c r="C9" i="208"/>
  <c r="D9" i="208"/>
  <c r="E9" i="208"/>
  <c r="S9" i="208" s="1"/>
  <c r="H9" i="208"/>
  <c r="I9" i="208"/>
  <c r="J9" i="208"/>
  <c r="L9" i="208"/>
  <c r="C10" i="208"/>
  <c r="D10" i="208"/>
  <c r="E10" i="208"/>
  <c r="S10" i="208" s="1"/>
  <c r="H10" i="208"/>
  <c r="I10" i="208"/>
  <c r="J10" i="208"/>
  <c r="L10" i="208"/>
  <c r="C11" i="208"/>
  <c r="D11" i="208"/>
  <c r="E11" i="208"/>
  <c r="S11" i="208" s="1"/>
  <c r="H11" i="208"/>
  <c r="I11" i="208"/>
  <c r="J11" i="208"/>
  <c r="L11" i="208"/>
  <c r="C12" i="208"/>
  <c r="D12" i="208"/>
  <c r="E12" i="208"/>
  <c r="S12" i="208" s="1"/>
  <c r="H12" i="208"/>
  <c r="I12" i="208"/>
  <c r="J12" i="208"/>
  <c r="L12" i="208"/>
  <c r="C13" i="208"/>
  <c r="D13" i="208"/>
  <c r="E13" i="208"/>
  <c r="S13" i="208" s="1"/>
  <c r="H13" i="208"/>
  <c r="I13" i="208"/>
  <c r="J13" i="208"/>
  <c r="L13" i="208"/>
  <c r="C14" i="208"/>
  <c r="D14" i="208"/>
  <c r="E14" i="208"/>
  <c r="S14" i="208" s="1"/>
  <c r="H14" i="208"/>
  <c r="I14" i="208"/>
  <c r="J14" i="208"/>
  <c r="L14" i="208"/>
  <c r="C15" i="208"/>
  <c r="D15" i="208"/>
  <c r="E15" i="208"/>
  <c r="S15" i="208" s="1"/>
  <c r="H15" i="208"/>
  <c r="I15" i="208"/>
  <c r="J15" i="208"/>
  <c r="L15" i="208"/>
  <c r="C16" i="208"/>
  <c r="D16" i="208"/>
  <c r="E16" i="208"/>
  <c r="S16" i="208" s="1"/>
  <c r="H16" i="208"/>
  <c r="I16" i="208"/>
  <c r="J16" i="208"/>
  <c r="L16" i="208"/>
  <c r="C17" i="208"/>
  <c r="D17" i="208"/>
  <c r="E17" i="208"/>
  <c r="S17" i="208" s="1"/>
  <c r="H17" i="208"/>
  <c r="I17" i="208"/>
  <c r="J17" i="208"/>
  <c r="L17" i="208"/>
  <c r="C18" i="208"/>
  <c r="D18" i="208"/>
  <c r="E18" i="208"/>
  <c r="S18" i="208" s="1"/>
  <c r="H18" i="208"/>
  <c r="I18" i="208"/>
  <c r="J18" i="208"/>
  <c r="L18" i="208"/>
  <c r="C19" i="208"/>
  <c r="D19" i="208"/>
  <c r="E19" i="208"/>
  <c r="S19" i="208" s="1"/>
  <c r="H19" i="208"/>
  <c r="I19" i="208"/>
  <c r="J19" i="208"/>
  <c r="L19" i="208"/>
  <c r="C20" i="208"/>
  <c r="D20" i="208"/>
  <c r="E20" i="208"/>
  <c r="S20" i="208" s="1"/>
  <c r="H20" i="208"/>
  <c r="I20" i="208"/>
  <c r="J20" i="208"/>
  <c r="L20" i="208"/>
  <c r="C21" i="208"/>
  <c r="D21" i="208"/>
  <c r="E21" i="208"/>
  <c r="S21" i="208" s="1"/>
  <c r="H21" i="208"/>
  <c r="I21" i="208"/>
  <c r="J21" i="208"/>
  <c r="L21" i="208"/>
  <c r="C22" i="208"/>
  <c r="D22" i="208"/>
  <c r="E22" i="208"/>
  <c r="S22" i="208" s="1"/>
  <c r="H22" i="208"/>
  <c r="I22" i="208"/>
  <c r="J22" i="208"/>
  <c r="L22" i="208"/>
  <c r="C23" i="208"/>
  <c r="D23" i="208"/>
  <c r="E23" i="208"/>
  <c r="S23" i="208" s="1"/>
  <c r="H23" i="208"/>
  <c r="I23" i="208"/>
  <c r="J23" i="208"/>
  <c r="L23" i="208"/>
  <c r="C24" i="208"/>
  <c r="D24" i="208"/>
  <c r="E24" i="208"/>
  <c r="S24" i="208" s="1"/>
  <c r="H24" i="208"/>
  <c r="I24" i="208"/>
  <c r="J24" i="208"/>
  <c r="L24" i="208"/>
  <c r="C25" i="208"/>
  <c r="D25" i="208"/>
  <c r="E25" i="208"/>
  <c r="S25" i="208" s="1"/>
  <c r="H25" i="208"/>
  <c r="I25" i="208"/>
  <c r="J25" i="208"/>
  <c r="L25" i="208"/>
  <c r="C26" i="208"/>
  <c r="D26" i="208"/>
  <c r="E26" i="208"/>
  <c r="S26" i="208" s="1"/>
  <c r="H26" i="208"/>
  <c r="I26" i="208"/>
  <c r="J26" i="208"/>
  <c r="L26" i="208"/>
  <c r="C27" i="208"/>
  <c r="D27" i="208"/>
  <c r="E27" i="208"/>
  <c r="S27" i="208" s="1"/>
  <c r="H27" i="208"/>
  <c r="I27" i="208"/>
  <c r="J27" i="208"/>
  <c r="L27" i="208"/>
  <c r="C28" i="208"/>
  <c r="D28" i="208"/>
  <c r="E28" i="208"/>
  <c r="S28" i="208" s="1"/>
  <c r="H28" i="208"/>
  <c r="I28" i="208"/>
  <c r="J28" i="208"/>
  <c r="L28" i="208"/>
  <c r="C29" i="208"/>
  <c r="D29" i="208"/>
  <c r="E29" i="208"/>
  <c r="S29" i="208" s="1"/>
  <c r="H29" i="208"/>
  <c r="I29" i="208"/>
  <c r="J29" i="208"/>
  <c r="L29" i="208"/>
  <c r="C30" i="208"/>
  <c r="D30" i="208"/>
  <c r="E30" i="208"/>
  <c r="S30" i="208" s="1"/>
  <c r="H30" i="208"/>
  <c r="I30" i="208"/>
  <c r="J30" i="208"/>
  <c r="L30" i="208"/>
  <c r="C31" i="208"/>
  <c r="D31" i="208"/>
  <c r="E31" i="208"/>
  <c r="S31" i="208" s="1"/>
  <c r="H31" i="208"/>
  <c r="I31" i="208"/>
  <c r="J31" i="208"/>
  <c r="L31" i="208"/>
  <c r="C32" i="208"/>
  <c r="D32" i="208"/>
  <c r="E32" i="208"/>
  <c r="S32" i="208" s="1"/>
  <c r="H32" i="208"/>
  <c r="I32" i="208"/>
  <c r="J32" i="208"/>
  <c r="L32" i="208"/>
  <c r="C33" i="208"/>
  <c r="D33" i="208"/>
  <c r="E33" i="208"/>
  <c r="S33" i="208" s="1"/>
  <c r="H33" i="208"/>
  <c r="I33" i="208"/>
  <c r="J33" i="208"/>
  <c r="L33" i="208"/>
  <c r="C34" i="208"/>
  <c r="D34" i="208"/>
  <c r="E34" i="208"/>
  <c r="S34" i="208" s="1"/>
  <c r="H34" i="208"/>
  <c r="I34" i="208"/>
  <c r="J34" i="208"/>
  <c r="L34" i="208"/>
  <c r="C35" i="208"/>
  <c r="D35" i="208"/>
  <c r="E35" i="208"/>
  <c r="S35" i="208" s="1"/>
  <c r="H35" i="208"/>
  <c r="I35" i="208"/>
  <c r="J35" i="208"/>
  <c r="L35" i="208"/>
  <c r="C36" i="208"/>
  <c r="D36" i="208"/>
  <c r="E36" i="208"/>
  <c r="S36" i="208" s="1"/>
  <c r="H36" i="208"/>
  <c r="I36" i="208"/>
  <c r="J36" i="208"/>
  <c r="L36" i="208"/>
  <c r="C37" i="208"/>
  <c r="D37" i="208"/>
  <c r="E37" i="208"/>
  <c r="S37" i="208" s="1"/>
  <c r="H37" i="208"/>
  <c r="I37" i="208"/>
  <c r="J37" i="208"/>
  <c r="L37" i="208"/>
  <c r="C38" i="208"/>
  <c r="D38" i="208"/>
  <c r="E38" i="208"/>
  <c r="S38" i="208" s="1"/>
  <c r="H38" i="208"/>
  <c r="I38" i="208"/>
  <c r="J38" i="208"/>
  <c r="L38" i="208"/>
  <c r="C39" i="208"/>
  <c r="D39" i="208"/>
  <c r="E39" i="208"/>
  <c r="S39" i="208" s="1"/>
  <c r="H39" i="208"/>
  <c r="I39" i="208"/>
  <c r="J39" i="208"/>
  <c r="L39" i="208"/>
  <c r="C40" i="208"/>
  <c r="D40" i="208"/>
  <c r="E40" i="208"/>
  <c r="S40" i="208" s="1"/>
  <c r="H40" i="208"/>
  <c r="I40" i="208"/>
  <c r="J40" i="208"/>
  <c r="L40" i="208"/>
  <c r="C41" i="208"/>
  <c r="D41" i="208"/>
  <c r="E41" i="208"/>
  <c r="S41" i="208" s="1"/>
  <c r="H41" i="208"/>
  <c r="I41" i="208"/>
  <c r="J41" i="208"/>
  <c r="L41" i="208"/>
  <c r="C42" i="208"/>
  <c r="D42" i="208"/>
  <c r="E42" i="208"/>
  <c r="S42" i="208" s="1"/>
  <c r="H42" i="208"/>
  <c r="I42" i="208"/>
  <c r="J42" i="208"/>
  <c r="L42" i="208"/>
  <c r="C43" i="208"/>
  <c r="D43" i="208"/>
  <c r="E43" i="208"/>
  <c r="S43" i="208" s="1"/>
  <c r="H43" i="208"/>
  <c r="I43" i="208"/>
  <c r="J43" i="208"/>
  <c r="L43" i="208"/>
  <c r="C44" i="208"/>
  <c r="D44" i="208"/>
  <c r="E44" i="208"/>
  <c r="S44" i="208" s="1"/>
  <c r="H44" i="208"/>
  <c r="I44" i="208"/>
  <c r="J44" i="208"/>
  <c r="L44" i="208"/>
  <c r="C45" i="208"/>
  <c r="D45" i="208"/>
  <c r="E45" i="208"/>
  <c r="S45" i="208" s="1"/>
  <c r="H45" i="208"/>
  <c r="I45" i="208"/>
  <c r="J45" i="208"/>
  <c r="L45" i="208"/>
  <c r="C46" i="208"/>
  <c r="D46" i="208"/>
  <c r="E46" i="208"/>
  <c r="S46" i="208" s="1"/>
  <c r="H46" i="208"/>
  <c r="I46" i="208"/>
  <c r="J46" i="208"/>
  <c r="L46" i="208"/>
  <c r="C47" i="208"/>
  <c r="D47" i="208"/>
  <c r="E47" i="208"/>
  <c r="S47" i="208" s="1"/>
  <c r="H47" i="208"/>
  <c r="I47" i="208"/>
  <c r="J47" i="208"/>
  <c r="L47" i="208"/>
  <c r="C48" i="208"/>
  <c r="D48" i="208"/>
  <c r="E48" i="208"/>
  <c r="S48" i="208" s="1"/>
  <c r="H48" i="208"/>
  <c r="I48" i="208"/>
  <c r="J48" i="208"/>
  <c r="L48" i="208"/>
  <c r="C49" i="208"/>
  <c r="D49" i="208"/>
  <c r="E49" i="208"/>
  <c r="S49" i="208" s="1"/>
  <c r="H49" i="208"/>
  <c r="I49" i="208"/>
  <c r="J49" i="208"/>
  <c r="L49" i="208"/>
  <c r="C50" i="208"/>
  <c r="D50" i="208"/>
  <c r="E50" i="208"/>
  <c r="S50" i="208" s="1"/>
  <c r="H50" i="208"/>
  <c r="I50" i="208"/>
  <c r="J50" i="208"/>
  <c r="L50" i="208"/>
  <c r="C51" i="208"/>
  <c r="D51" i="208"/>
  <c r="E51" i="208"/>
  <c r="S51" i="208" s="1"/>
  <c r="H51" i="208"/>
  <c r="I51" i="208"/>
  <c r="J51" i="208"/>
  <c r="L51" i="208"/>
  <c r="C52" i="208"/>
  <c r="D52" i="208"/>
  <c r="E52" i="208"/>
  <c r="S52" i="208" s="1"/>
  <c r="H52" i="208"/>
  <c r="I52" i="208"/>
  <c r="J52" i="208"/>
  <c r="L52" i="208"/>
  <c r="C53" i="208"/>
  <c r="D53" i="208"/>
  <c r="E53" i="208"/>
  <c r="S53" i="208" s="1"/>
  <c r="H53" i="208"/>
  <c r="I53" i="208"/>
  <c r="J53" i="208"/>
  <c r="L53" i="208"/>
  <c r="C54" i="208"/>
  <c r="D54" i="208"/>
  <c r="E54" i="208"/>
  <c r="S54" i="208" s="1"/>
  <c r="H54" i="208"/>
  <c r="I54" i="208"/>
  <c r="J54" i="208"/>
  <c r="L54" i="208"/>
  <c r="C55" i="208"/>
  <c r="D55" i="208"/>
  <c r="E55" i="208"/>
  <c r="S55" i="208" s="1"/>
  <c r="H55" i="208"/>
  <c r="I55" i="208"/>
  <c r="J55" i="208"/>
  <c r="L55" i="208"/>
  <c r="C56" i="208"/>
  <c r="D56" i="208"/>
  <c r="E56" i="208"/>
  <c r="S56" i="208" s="1"/>
  <c r="H56" i="208"/>
  <c r="I56" i="208"/>
  <c r="J56" i="208"/>
  <c r="L56" i="208"/>
  <c r="C57" i="208"/>
  <c r="D57" i="208"/>
  <c r="E57" i="208"/>
  <c r="S57" i="208" s="1"/>
  <c r="H57" i="208"/>
  <c r="I57" i="208"/>
  <c r="J57" i="208"/>
  <c r="L57" i="208"/>
  <c r="C58" i="208"/>
  <c r="D58" i="208"/>
  <c r="E58" i="208"/>
  <c r="S58" i="208" s="1"/>
  <c r="H58" i="208"/>
  <c r="I58" i="208"/>
  <c r="J58" i="208"/>
  <c r="L58" i="208"/>
  <c r="C59" i="208"/>
  <c r="D59" i="208"/>
  <c r="E59" i="208"/>
  <c r="S59" i="208" s="1"/>
  <c r="H59" i="208"/>
  <c r="I59" i="208"/>
  <c r="J59" i="208"/>
  <c r="L59" i="208"/>
  <c r="C60" i="208"/>
  <c r="D60" i="208"/>
  <c r="E60" i="208"/>
  <c r="S60" i="208" s="1"/>
  <c r="H60" i="208"/>
  <c r="I60" i="208"/>
  <c r="J60" i="208"/>
  <c r="L60" i="208"/>
  <c r="C61" i="208"/>
  <c r="D61" i="208"/>
  <c r="E61" i="208"/>
  <c r="S61" i="208" s="1"/>
  <c r="H61" i="208"/>
  <c r="I61" i="208"/>
  <c r="J61" i="208"/>
  <c r="L61" i="208"/>
  <c r="C62" i="208"/>
  <c r="D62" i="208"/>
  <c r="E62" i="208"/>
  <c r="S62" i="208" s="1"/>
  <c r="H62" i="208"/>
  <c r="I62" i="208"/>
  <c r="J62" i="208"/>
  <c r="L62" i="208"/>
  <c r="C63" i="208"/>
  <c r="D63" i="208"/>
  <c r="E63" i="208"/>
  <c r="S63" i="208" s="1"/>
  <c r="H63" i="208"/>
  <c r="I63" i="208"/>
  <c r="J63" i="208"/>
  <c r="L63" i="208"/>
  <c r="C64" i="208"/>
  <c r="D64" i="208"/>
  <c r="E64" i="208"/>
  <c r="S64" i="208" s="1"/>
  <c r="H64" i="208"/>
  <c r="I64" i="208"/>
  <c r="J64" i="208"/>
  <c r="L64" i="208"/>
  <c r="C65" i="208"/>
  <c r="D65" i="208"/>
  <c r="E65" i="208"/>
  <c r="S65" i="208" s="1"/>
  <c r="H65" i="208"/>
  <c r="I65" i="208"/>
  <c r="J65" i="208"/>
  <c r="L65" i="208"/>
  <c r="C66" i="208"/>
  <c r="D66" i="208"/>
  <c r="E66" i="208"/>
  <c r="S66" i="208" s="1"/>
  <c r="H66" i="208"/>
  <c r="I66" i="208"/>
  <c r="J66" i="208"/>
  <c r="L66" i="208"/>
  <c r="C67" i="208"/>
  <c r="D67" i="208"/>
  <c r="E67" i="208"/>
  <c r="S67" i="208" s="1"/>
  <c r="H67" i="208"/>
  <c r="I67" i="208"/>
  <c r="J67" i="208"/>
  <c r="L67" i="208"/>
  <c r="C68" i="208"/>
  <c r="D68" i="208"/>
  <c r="E68" i="208"/>
  <c r="S68" i="208" s="1"/>
  <c r="H68" i="208"/>
  <c r="I68" i="208"/>
  <c r="J68" i="208"/>
  <c r="L68" i="208"/>
  <c r="C69" i="208"/>
  <c r="D69" i="208"/>
  <c r="E69" i="208"/>
  <c r="S69" i="208" s="1"/>
  <c r="H69" i="208"/>
  <c r="I69" i="208"/>
  <c r="J69" i="208"/>
  <c r="L69" i="208"/>
  <c r="C70" i="208"/>
  <c r="D70" i="208"/>
  <c r="E70" i="208"/>
  <c r="S70" i="208" s="1"/>
  <c r="H70" i="208"/>
  <c r="I70" i="208"/>
  <c r="J70" i="208"/>
  <c r="L70" i="208"/>
  <c r="C71" i="208"/>
  <c r="D71" i="208"/>
  <c r="E71" i="208"/>
  <c r="S71" i="208" s="1"/>
  <c r="H71" i="208"/>
  <c r="I71" i="208"/>
  <c r="J71" i="208"/>
  <c r="L71" i="208"/>
  <c r="C72" i="208"/>
  <c r="D72" i="208"/>
  <c r="E72" i="208"/>
  <c r="S72" i="208" s="1"/>
  <c r="H72" i="208"/>
  <c r="I72" i="208"/>
  <c r="J72" i="208"/>
  <c r="L72" i="208"/>
  <c r="C73" i="208"/>
  <c r="D73" i="208"/>
  <c r="E73" i="208"/>
  <c r="S73" i="208" s="1"/>
  <c r="H73" i="208"/>
  <c r="I73" i="208"/>
  <c r="J73" i="208"/>
  <c r="L73" i="208"/>
  <c r="C74" i="208"/>
  <c r="D74" i="208"/>
  <c r="E74" i="208"/>
  <c r="S74" i="208" s="1"/>
  <c r="H74" i="208"/>
  <c r="I74" i="208"/>
  <c r="J74" i="208"/>
  <c r="L74" i="208"/>
  <c r="C75" i="208"/>
  <c r="D75" i="208"/>
  <c r="E75" i="208"/>
  <c r="S75" i="208" s="1"/>
  <c r="H75" i="208"/>
  <c r="I75" i="208"/>
  <c r="J75" i="208"/>
  <c r="L75" i="208"/>
  <c r="C76" i="208"/>
  <c r="D76" i="208"/>
  <c r="E76" i="208"/>
  <c r="S76" i="208" s="1"/>
  <c r="H76" i="208"/>
  <c r="I76" i="208"/>
  <c r="J76" i="208"/>
  <c r="L76" i="208"/>
  <c r="C77" i="208"/>
  <c r="D77" i="208"/>
  <c r="E77" i="208"/>
  <c r="S77" i="208" s="1"/>
  <c r="H77" i="208"/>
  <c r="I77" i="208"/>
  <c r="J77" i="208"/>
  <c r="L77" i="208"/>
  <c r="C78" i="208"/>
  <c r="D78" i="208"/>
  <c r="E78" i="208"/>
  <c r="S78" i="208" s="1"/>
  <c r="H78" i="208"/>
  <c r="I78" i="208"/>
  <c r="J78" i="208"/>
  <c r="L78" i="208"/>
  <c r="C79" i="208"/>
  <c r="D79" i="208"/>
  <c r="E79" i="208"/>
  <c r="S79" i="208" s="1"/>
  <c r="H79" i="208"/>
  <c r="I79" i="208"/>
  <c r="J79" i="208"/>
  <c r="L79" i="208"/>
  <c r="C80" i="208"/>
  <c r="D80" i="208"/>
  <c r="E80" i="208"/>
  <c r="S80" i="208" s="1"/>
  <c r="H80" i="208"/>
  <c r="I80" i="208"/>
  <c r="J80" i="208"/>
  <c r="L80" i="208"/>
  <c r="C81" i="208"/>
  <c r="D81" i="208"/>
  <c r="E81" i="208"/>
  <c r="S81" i="208" s="1"/>
  <c r="H81" i="208"/>
  <c r="I81" i="208"/>
  <c r="J81" i="208"/>
  <c r="L81" i="208"/>
  <c r="C82" i="208"/>
  <c r="D82" i="208"/>
  <c r="E82" i="208"/>
  <c r="S82" i="208" s="1"/>
  <c r="H82" i="208"/>
  <c r="I82" i="208"/>
  <c r="J82" i="208"/>
  <c r="L82" i="208"/>
  <c r="C83" i="208"/>
  <c r="D83" i="208"/>
  <c r="E83" i="208"/>
  <c r="S83" i="208" s="1"/>
  <c r="H83" i="208"/>
  <c r="I83" i="208"/>
  <c r="J83" i="208"/>
  <c r="L83" i="208"/>
  <c r="C84" i="208"/>
  <c r="D84" i="208"/>
  <c r="E84" i="208"/>
  <c r="S84" i="208" s="1"/>
  <c r="H84" i="208"/>
  <c r="I84" i="208"/>
  <c r="J84" i="208"/>
  <c r="L84" i="208"/>
  <c r="C85" i="208"/>
  <c r="D85" i="208"/>
  <c r="E85" i="208"/>
  <c r="S85" i="208" s="1"/>
  <c r="H85" i="208"/>
  <c r="I85" i="208"/>
  <c r="J85" i="208"/>
  <c r="L85" i="208"/>
  <c r="C86" i="208"/>
  <c r="D86" i="208"/>
  <c r="E86" i="208"/>
  <c r="S86" i="208" s="1"/>
  <c r="H86" i="208"/>
  <c r="I86" i="208"/>
  <c r="J86" i="208"/>
  <c r="L86" i="208"/>
  <c r="C87" i="208"/>
  <c r="D87" i="208"/>
  <c r="E87" i="208"/>
  <c r="S87" i="208" s="1"/>
  <c r="H87" i="208"/>
  <c r="I87" i="208"/>
  <c r="J87" i="208"/>
  <c r="L87" i="208"/>
  <c r="C88" i="208"/>
  <c r="D88" i="208"/>
  <c r="E88" i="208"/>
  <c r="S88" i="208" s="1"/>
  <c r="H88" i="208"/>
  <c r="I88" i="208"/>
  <c r="J88" i="208"/>
  <c r="L88" i="208"/>
  <c r="C89" i="208"/>
  <c r="D89" i="208"/>
  <c r="E89" i="208"/>
  <c r="S89" i="208" s="1"/>
  <c r="H89" i="208"/>
  <c r="I89" i="208"/>
  <c r="J89" i="208"/>
  <c r="L89" i="208"/>
  <c r="C90" i="208"/>
  <c r="D90" i="208"/>
  <c r="E90" i="208"/>
  <c r="S90" i="208" s="1"/>
  <c r="H90" i="208"/>
  <c r="I90" i="208"/>
  <c r="J90" i="208"/>
  <c r="L90" i="208"/>
  <c r="C91" i="208"/>
  <c r="D91" i="208"/>
  <c r="E91" i="208"/>
  <c r="S91" i="208" s="1"/>
  <c r="H91" i="208"/>
  <c r="I91" i="208"/>
  <c r="J91" i="208"/>
  <c r="L91" i="208"/>
  <c r="C92" i="208"/>
  <c r="D92" i="208"/>
  <c r="E92" i="208"/>
  <c r="S92" i="208" s="1"/>
  <c r="H92" i="208"/>
  <c r="I92" i="208"/>
  <c r="J92" i="208"/>
  <c r="L92" i="208"/>
  <c r="C93" i="208"/>
  <c r="D93" i="208"/>
  <c r="E93" i="208"/>
  <c r="S93" i="208" s="1"/>
  <c r="H93" i="208"/>
  <c r="I93" i="208"/>
  <c r="J93" i="208"/>
  <c r="L93" i="208"/>
  <c r="C94" i="208"/>
  <c r="D94" i="208"/>
  <c r="E94" i="208"/>
  <c r="S94" i="208" s="1"/>
  <c r="H94" i="208"/>
  <c r="I94" i="208"/>
  <c r="J94" i="208"/>
  <c r="L94" i="208"/>
  <c r="C95" i="208"/>
  <c r="D95" i="208"/>
  <c r="E95" i="208"/>
  <c r="S95" i="208" s="1"/>
  <c r="H95" i="208"/>
  <c r="I95" i="208"/>
  <c r="J95" i="208"/>
  <c r="L95" i="208"/>
  <c r="C96" i="208"/>
  <c r="D96" i="208"/>
  <c r="E96" i="208"/>
  <c r="S96" i="208" s="1"/>
  <c r="H96" i="208"/>
  <c r="I96" i="208"/>
  <c r="J96" i="208"/>
  <c r="L96" i="208"/>
  <c r="C97" i="208"/>
  <c r="D97" i="208"/>
  <c r="E97" i="208"/>
  <c r="S97" i="208" s="1"/>
  <c r="H97" i="208"/>
  <c r="I97" i="208"/>
  <c r="J97" i="208"/>
  <c r="L97" i="208"/>
  <c r="C98" i="208"/>
  <c r="D98" i="208"/>
  <c r="E98" i="208"/>
  <c r="S98" i="208" s="1"/>
  <c r="H98" i="208"/>
  <c r="I98" i="208"/>
  <c r="J98" i="208"/>
  <c r="L98" i="208"/>
  <c r="C99" i="208"/>
  <c r="D99" i="208"/>
  <c r="E99" i="208"/>
  <c r="S99" i="208" s="1"/>
  <c r="H99" i="208"/>
  <c r="I99" i="208"/>
  <c r="J99" i="208"/>
  <c r="L99" i="208"/>
  <c r="C100" i="208"/>
  <c r="D100" i="208"/>
  <c r="E100" i="208"/>
  <c r="S100" i="208" s="1"/>
  <c r="H100" i="208"/>
  <c r="I100" i="208"/>
  <c r="J100" i="208"/>
  <c r="L100" i="208"/>
  <c r="C101" i="208"/>
  <c r="D101" i="208"/>
  <c r="E101" i="208"/>
  <c r="S101" i="208" s="1"/>
  <c r="H101" i="208"/>
  <c r="I101" i="208"/>
  <c r="J101" i="208"/>
  <c r="L101" i="208"/>
  <c r="C102" i="208"/>
  <c r="D102" i="208"/>
  <c r="E102" i="208"/>
  <c r="S102" i="208" s="1"/>
  <c r="H102" i="208"/>
  <c r="I102" i="208"/>
  <c r="J102" i="208"/>
  <c r="L102" i="208"/>
  <c r="C103" i="208"/>
  <c r="D103" i="208"/>
  <c r="E103" i="208"/>
  <c r="S103" i="208" s="1"/>
  <c r="H103" i="208"/>
  <c r="I103" i="208"/>
  <c r="J103" i="208"/>
  <c r="L103" i="208"/>
  <c r="C104" i="208"/>
  <c r="D104" i="208"/>
  <c r="E104" i="208"/>
  <c r="S104" i="208" s="1"/>
  <c r="H104" i="208"/>
  <c r="I104" i="208"/>
  <c r="J104" i="208"/>
  <c r="L104" i="208"/>
  <c r="C105" i="208"/>
  <c r="D105" i="208"/>
  <c r="E105" i="208"/>
  <c r="S105" i="208" s="1"/>
  <c r="H105" i="208"/>
  <c r="I105" i="208"/>
  <c r="J105" i="208"/>
  <c r="L105" i="208"/>
  <c r="C106" i="208"/>
  <c r="D106" i="208"/>
  <c r="E106" i="208"/>
  <c r="S106" i="208" s="1"/>
  <c r="H106" i="208"/>
  <c r="I106" i="208"/>
  <c r="J106" i="208"/>
  <c r="L106" i="208"/>
  <c r="C107" i="208"/>
  <c r="D107" i="208"/>
  <c r="E107" i="208"/>
  <c r="S107" i="208" s="1"/>
  <c r="H107" i="208"/>
  <c r="I107" i="208"/>
  <c r="J107" i="208"/>
  <c r="L107" i="208"/>
  <c r="C108" i="208"/>
  <c r="D108" i="208"/>
  <c r="E108" i="208"/>
  <c r="S108" i="208" s="1"/>
  <c r="H108" i="208"/>
  <c r="I108" i="208"/>
  <c r="J108" i="208"/>
  <c r="L108" i="208"/>
  <c r="C109" i="208"/>
  <c r="D109" i="208"/>
  <c r="E109" i="208"/>
  <c r="S109" i="208" s="1"/>
  <c r="H109" i="208"/>
  <c r="I109" i="208"/>
  <c r="J109" i="208"/>
  <c r="L109" i="208"/>
  <c r="C110" i="208"/>
  <c r="D110" i="208"/>
  <c r="E110" i="208"/>
  <c r="S110" i="208" s="1"/>
  <c r="H110" i="208"/>
  <c r="I110" i="208"/>
  <c r="J110" i="208"/>
  <c r="L110" i="208"/>
  <c r="C111" i="208"/>
  <c r="D111" i="208"/>
  <c r="E111" i="208"/>
  <c r="S111" i="208" s="1"/>
  <c r="H111" i="208"/>
  <c r="I111" i="208"/>
  <c r="J111" i="208"/>
  <c r="L111" i="208"/>
  <c r="C112" i="208"/>
  <c r="D112" i="208"/>
  <c r="E112" i="208"/>
  <c r="S112" i="208" s="1"/>
  <c r="H112" i="208"/>
  <c r="I112" i="208"/>
  <c r="J112" i="208"/>
  <c r="L112" i="208"/>
  <c r="C113" i="208"/>
  <c r="D113" i="208"/>
  <c r="E113" i="208"/>
  <c r="S113" i="208" s="1"/>
  <c r="H113" i="208"/>
  <c r="I113" i="208"/>
  <c r="J113" i="208"/>
  <c r="L113" i="208"/>
  <c r="C114" i="208"/>
  <c r="D114" i="208"/>
  <c r="E114" i="208"/>
  <c r="S114" i="208" s="1"/>
  <c r="H114" i="208"/>
  <c r="I114" i="208"/>
  <c r="J114" i="208"/>
  <c r="L114" i="208"/>
  <c r="C115" i="208"/>
  <c r="D115" i="208"/>
  <c r="E115" i="208"/>
  <c r="S115" i="208" s="1"/>
  <c r="H115" i="208"/>
  <c r="I115" i="208"/>
  <c r="J115" i="208"/>
  <c r="L115" i="208"/>
  <c r="C116" i="208"/>
  <c r="D116" i="208"/>
  <c r="E116" i="208"/>
  <c r="S116" i="208" s="1"/>
  <c r="H116" i="208"/>
  <c r="I116" i="208"/>
  <c r="J116" i="208"/>
  <c r="L116" i="208"/>
  <c r="C117" i="208"/>
  <c r="D117" i="208"/>
  <c r="E117" i="208"/>
  <c r="S117" i="208" s="1"/>
  <c r="H117" i="208"/>
  <c r="I117" i="208"/>
  <c r="J117" i="208"/>
  <c r="L117" i="208"/>
  <c r="C118" i="208"/>
  <c r="D118" i="208"/>
  <c r="E118" i="208"/>
  <c r="S118" i="208" s="1"/>
  <c r="H118" i="208"/>
  <c r="I118" i="208"/>
  <c r="J118" i="208"/>
  <c r="L118" i="208"/>
  <c r="C119" i="208"/>
  <c r="D119" i="208"/>
  <c r="E119" i="208"/>
  <c r="S119" i="208" s="1"/>
  <c r="H119" i="208"/>
  <c r="I119" i="208"/>
  <c r="J119" i="208"/>
  <c r="L119" i="208"/>
  <c r="C120" i="208"/>
  <c r="D120" i="208"/>
  <c r="E120" i="208"/>
  <c r="S120" i="208" s="1"/>
  <c r="H120" i="208"/>
  <c r="I120" i="208"/>
  <c r="J120" i="208"/>
  <c r="L120" i="208"/>
  <c r="C121" i="208"/>
  <c r="D121" i="208"/>
  <c r="E121" i="208"/>
  <c r="S121" i="208" s="1"/>
  <c r="H121" i="208"/>
  <c r="I121" i="208"/>
  <c r="J121" i="208"/>
  <c r="L121" i="208"/>
  <c r="C122" i="208"/>
  <c r="D122" i="208"/>
  <c r="E122" i="208"/>
  <c r="S122" i="208" s="1"/>
  <c r="H122" i="208"/>
  <c r="I122" i="208"/>
  <c r="J122" i="208"/>
  <c r="L122" i="208"/>
  <c r="C123" i="208"/>
  <c r="D123" i="208"/>
  <c r="E123" i="208"/>
  <c r="S123" i="208" s="1"/>
  <c r="H123" i="208"/>
  <c r="I123" i="208"/>
  <c r="J123" i="208"/>
  <c r="L123" i="208"/>
  <c r="C124" i="208"/>
  <c r="D124" i="208"/>
  <c r="E124" i="208"/>
  <c r="S124" i="208" s="1"/>
  <c r="H124" i="208"/>
  <c r="I124" i="208"/>
  <c r="J124" i="208"/>
  <c r="L124" i="208"/>
  <c r="C125" i="208"/>
  <c r="D125" i="208"/>
  <c r="E125" i="208"/>
  <c r="S125" i="208" s="1"/>
  <c r="H125" i="208"/>
  <c r="I125" i="208"/>
  <c r="J125" i="208"/>
  <c r="L125" i="208"/>
  <c r="C126" i="208"/>
  <c r="D126" i="208"/>
  <c r="E126" i="208"/>
  <c r="S126" i="208" s="1"/>
  <c r="H126" i="208"/>
  <c r="I126" i="208"/>
  <c r="J126" i="208"/>
  <c r="L126" i="208"/>
  <c r="C127" i="208"/>
  <c r="D127" i="208"/>
  <c r="E127" i="208"/>
  <c r="S127" i="208" s="1"/>
  <c r="H127" i="208"/>
  <c r="I127" i="208"/>
  <c r="J127" i="208"/>
  <c r="L127" i="208"/>
  <c r="C128" i="208"/>
  <c r="D128" i="208"/>
  <c r="E128" i="208"/>
  <c r="S128" i="208" s="1"/>
  <c r="H128" i="208"/>
  <c r="I128" i="208"/>
  <c r="J128" i="208"/>
  <c r="L128" i="208"/>
  <c r="C129" i="208"/>
  <c r="D129" i="208"/>
  <c r="E129" i="208"/>
  <c r="S129" i="208" s="1"/>
  <c r="H129" i="208"/>
  <c r="I129" i="208"/>
  <c r="J129" i="208"/>
  <c r="L129" i="208"/>
  <c r="C130" i="208"/>
  <c r="D130" i="208"/>
  <c r="E130" i="208"/>
  <c r="S130" i="208" s="1"/>
  <c r="H130" i="208"/>
  <c r="I130" i="208"/>
  <c r="J130" i="208"/>
  <c r="L130" i="208"/>
  <c r="C131" i="208"/>
  <c r="D131" i="208"/>
  <c r="E131" i="208"/>
  <c r="S131" i="208" s="1"/>
  <c r="H131" i="208"/>
  <c r="I131" i="208"/>
  <c r="J131" i="208"/>
  <c r="L131" i="208"/>
  <c r="C132" i="208"/>
  <c r="D132" i="208"/>
  <c r="E132" i="208"/>
  <c r="S132" i="208" s="1"/>
  <c r="H132" i="208"/>
  <c r="I132" i="208"/>
  <c r="J132" i="208"/>
  <c r="L132" i="208"/>
  <c r="C133" i="208"/>
  <c r="D133" i="208"/>
  <c r="E133" i="208"/>
  <c r="S133" i="208" s="1"/>
  <c r="H133" i="208"/>
  <c r="I133" i="208"/>
  <c r="J133" i="208"/>
  <c r="L133" i="208"/>
  <c r="C134" i="208"/>
  <c r="D134" i="208"/>
  <c r="E134" i="208"/>
  <c r="S134" i="208" s="1"/>
  <c r="H134" i="208"/>
  <c r="I134" i="208"/>
  <c r="J134" i="208"/>
  <c r="L134" i="208"/>
  <c r="C135" i="208"/>
  <c r="D135" i="208"/>
  <c r="E135" i="208"/>
  <c r="S135" i="208" s="1"/>
  <c r="H135" i="208"/>
  <c r="I135" i="208"/>
  <c r="J135" i="208"/>
  <c r="L135" i="208"/>
  <c r="C136" i="208"/>
  <c r="D136" i="208"/>
  <c r="E136" i="208"/>
  <c r="S136" i="208" s="1"/>
  <c r="H136" i="208"/>
  <c r="I136" i="208"/>
  <c r="J136" i="208"/>
  <c r="L136" i="208"/>
  <c r="C137" i="208"/>
  <c r="D137" i="208"/>
  <c r="E137" i="208"/>
  <c r="S137" i="208" s="1"/>
  <c r="H137" i="208"/>
  <c r="I137" i="208"/>
  <c r="J137" i="208"/>
  <c r="L137" i="208"/>
  <c r="C138" i="208"/>
  <c r="D138" i="208"/>
  <c r="E138" i="208"/>
  <c r="S138" i="208" s="1"/>
  <c r="H138" i="208"/>
  <c r="I138" i="208"/>
  <c r="J138" i="208"/>
  <c r="L138" i="208"/>
  <c r="C139" i="208"/>
  <c r="D139" i="208"/>
  <c r="E139" i="208"/>
  <c r="S139" i="208" s="1"/>
  <c r="H139" i="208"/>
  <c r="I139" i="208"/>
  <c r="J139" i="208"/>
  <c r="L139" i="208"/>
  <c r="C140" i="208"/>
  <c r="D140" i="208"/>
  <c r="E140" i="208"/>
  <c r="S140" i="208" s="1"/>
  <c r="H140" i="208"/>
  <c r="I140" i="208"/>
  <c r="J140" i="208"/>
  <c r="L140" i="208"/>
  <c r="C141" i="208"/>
  <c r="D141" i="208"/>
  <c r="E141" i="208"/>
  <c r="S141" i="208" s="1"/>
  <c r="H141" i="208"/>
  <c r="I141" i="208"/>
  <c r="J141" i="208"/>
  <c r="L141" i="208"/>
  <c r="C142" i="208"/>
  <c r="D142" i="208"/>
  <c r="E142" i="208"/>
  <c r="S142" i="208" s="1"/>
  <c r="H142" i="208"/>
  <c r="I142" i="208"/>
  <c r="J142" i="208"/>
  <c r="L142" i="208"/>
  <c r="C143" i="208"/>
  <c r="D143" i="208"/>
  <c r="E143" i="208"/>
  <c r="S143" i="208" s="1"/>
  <c r="H143" i="208"/>
  <c r="I143" i="208"/>
  <c r="J143" i="208"/>
  <c r="L143" i="208"/>
  <c r="C144" i="208"/>
  <c r="D144" i="208"/>
  <c r="E144" i="208"/>
  <c r="S144" i="208" s="1"/>
  <c r="H144" i="208"/>
  <c r="I144" i="208"/>
  <c r="J144" i="208"/>
  <c r="L144" i="208"/>
  <c r="C145" i="208"/>
  <c r="D145" i="208"/>
  <c r="E145" i="208"/>
  <c r="S145" i="208" s="1"/>
  <c r="H145" i="208"/>
  <c r="I145" i="208"/>
  <c r="J145" i="208"/>
  <c r="L145" i="208"/>
  <c r="C146" i="208"/>
  <c r="D146" i="208"/>
  <c r="E146" i="208"/>
  <c r="S146" i="208" s="1"/>
  <c r="H146" i="208"/>
  <c r="I146" i="208"/>
  <c r="J146" i="208"/>
  <c r="L146" i="208"/>
  <c r="C147" i="208"/>
  <c r="D147" i="208"/>
  <c r="E147" i="208"/>
  <c r="S147" i="208" s="1"/>
  <c r="H147" i="208"/>
  <c r="I147" i="208"/>
  <c r="J147" i="208"/>
  <c r="L147" i="208"/>
  <c r="C148" i="208"/>
  <c r="D148" i="208"/>
  <c r="E148" i="208"/>
  <c r="S148" i="208" s="1"/>
  <c r="H148" i="208"/>
  <c r="I148" i="208"/>
  <c r="J148" i="208"/>
  <c r="L148" i="208"/>
  <c r="C149" i="208"/>
  <c r="D149" i="208"/>
  <c r="E149" i="208"/>
  <c r="S149" i="208" s="1"/>
  <c r="H149" i="208"/>
  <c r="I149" i="208"/>
  <c r="J149" i="208"/>
  <c r="L149" i="208"/>
  <c r="C150" i="208"/>
  <c r="D150" i="208"/>
  <c r="E150" i="208"/>
  <c r="S150" i="208" s="1"/>
  <c r="H150" i="208"/>
  <c r="I150" i="208"/>
  <c r="J150" i="208"/>
  <c r="L150" i="208"/>
  <c r="C151" i="208"/>
  <c r="D151" i="208"/>
  <c r="E151" i="208"/>
  <c r="S151" i="208" s="1"/>
  <c r="H151" i="208"/>
  <c r="I151" i="208"/>
  <c r="J151" i="208"/>
  <c r="L151" i="208"/>
  <c r="C152" i="208"/>
  <c r="D152" i="208"/>
  <c r="E152" i="208"/>
  <c r="S152" i="208" s="1"/>
  <c r="H152" i="208"/>
  <c r="I152" i="208"/>
  <c r="J152" i="208"/>
  <c r="L152" i="208"/>
  <c r="C153" i="208"/>
  <c r="D153" i="208"/>
  <c r="E153" i="208"/>
  <c r="S153" i="208" s="1"/>
  <c r="H153" i="208"/>
  <c r="I153" i="208"/>
  <c r="J153" i="208"/>
  <c r="L153" i="208"/>
  <c r="C154" i="208"/>
  <c r="D154" i="208"/>
  <c r="E154" i="208"/>
  <c r="S154" i="208" s="1"/>
  <c r="H154" i="208"/>
  <c r="I154" i="208"/>
  <c r="J154" i="208"/>
  <c r="L154" i="208"/>
  <c r="C155" i="208"/>
  <c r="D155" i="208"/>
  <c r="E155" i="208"/>
  <c r="S155" i="208" s="1"/>
  <c r="H155" i="208"/>
  <c r="I155" i="208"/>
  <c r="J155" i="208"/>
  <c r="L155" i="208"/>
  <c r="C156" i="208"/>
  <c r="D156" i="208"/>
  <c r="E156" i="208"/>
  <c r="S156" i="208" s="1"/>
  <c r="H156" i="208"/>
  <c r="I156" i="208"/>
  <c r="J156" i="208"/>
  <c r="L156" i="208"/>
  <c r="C157" i="208"/>
  <c r="D157" i="208"/>
  <c r="E157" i="208"/>
  <c r="S157" i="208" s="1"/>
  <c r="H157" i="208"/>
  <c r="I157" i="208"/>
  <c r="J157" i="208"/>
  <c r="L157" i="208"/>
  <c r="C158" i="208"/>
  <c r="D158" i="208"/>
  <c r="E158" i="208"/>
  <c r="S158" i="208" s="1"/>
  <c r="H158" i="208"/>
  <c r="I158" i="208"/>
  <c r="J158" i="208"/>
  <c r="L158" i="208"/>
  <c r="C159" i="208"/>
  <c r="D159" i="208"/>
  <c r="E159" i="208"/>
  <c r="S159" i="208" s="1"/>
  <c r="H159" i="208"/>
  <c r="I159" i="208"/>
  <c r="J159" i="208"/>
  <c r="L159" i="208"/>
  <c r="C160" i="208"/>
  <c r="D160" i="208"/>
  <c r="E160" i="208"/>
  <c r="S160" i="208" s="1"/>
  <c r="H160" i="208"/>
  <c r="I160" i="208"/>
  <c r="J160" i="208"/>
  <c r="L160" i="208"/>
  <c r="C161" i="208"/>
  <c r="D161" i="208"/>
  <c r="E161" i="208"/>
  <c r="S161" i="208" s="1"/>
  <c r="H161" i="208"/>
  <c r="I161" i="208"/>
  <c r="J161" i="208"/>
  <c r="L161" i="208"/>
  <c r="C162" i="208"/>
  <c r="D162" i="208"/>
  <c r="E162" i="208"/>
  <c r="S162" i="208" s="1"/>
  <c r="H162" i="208"/>
  <c r="I162" i="208"/>
  <c r="J162" i="208"/>
  <c r="L162" i="208"/>
  <c r="C163" i="208"/>
  <c r="D163" i="208"/>
  <c r="E163" i="208"/>
  <c r="S163" i="208" s="1"/>
  <c r="H163" i="208"/>
  <c r="I163" i="208"/>
  <c r="J163" i="208"/>
  <c r="L163" i="208"/>
  <c r="C164" i="208"/>
  <c r="D164" i="208"/>
  <c r="E164" i="208"/>
  <c r="S164" i="208" s="1"/>
  <c r="H164" i="208"/>
  <c r="I164" i="208"/>
  <c r="J164" i="208"/>
  <c r="L164" i="208"/>
  <c r="C165" i="208"/>
  <c r="D165" i="208"/>
  <c r="E165" i="208"/>
  <c r="S165" i="208" s="1"/>
  <c r="H165" i="208"/>
  <c r="I165" i="208"/>
  <c r="J165" i="208"/>
  <c r="L165" i="208"/>
  <c r="C166" i="208"/>
  <c r="D166" i="208"/>
  <c r="E166" i="208"/>
  <c r="S166" i="208" s="1"/>
  <c r="H166" i="208"/>
  <c r="I166" i="208"/>
  <c r="J166" i="208"/>
  <c r="L166" i="208"/>
  <c r="C167" i="208"/>
  <c r="D167" i="208"/>
  <c r="E167" i="208"/>
  <c r="S167" i="208" s="1"/>
  <c r="H167" i="208"/>
  <c r="I167" i="208"/>
  <c r="J167" i="208"/>
  <c r="L167" i="208"/>
  <c r="C168" i="208"/>
  <c r="D168" i="208"/>
  <c r="E168" i="208"/>
  <c r="S168" i="208" s="1"/>
  <c r="H168" i="208"/>
  <c r="I168" i="208"/>
  <c r="J168" i="208"/>
  <c r="L168" i="208"/>
  <c r="C169" i="208"/>
  <c r="D169" i="208"/>
  <c r="E169" i="208"/>
  <c r="S169" i="208" s="1"/>
  <c r="H169" i="208"/>
  <c r="I169" i="208"/>
  <c r="J169" i="208"/>
  <c r="L169" i="208"/>
  <c r="C170" i="208"/>
  <c r="D170" i="208"/>
  <c r="E170" i="208"/>
  <c r="S170" i="208" s="1"/>
  <c r="H170" i="208"/>
  <c r="I170" i="208"/>
  <c r="J170" i="208"/>
  <c r="L170" i="208"/>
  <c r="C171" i="208"/>
  <c r="D171" i="208"/>
  <c r="E171" i="208"/>
  <c r="S171" i="208" s="1"/>
  <c r="H171" i="208"/>
  <c r="I171" i="208"/>
  <c r="J171" i="208"/>
  <c r="L171" i="208"/>
  <c r="C172" i="208"/>
  <c r="D172" i="208"/>
  <c r="E172" i="208"/>
  <c r="S172" i="208" s="1"/>
  <c r="H172" i="208"/>
  <c r="I172" i="208"/>
  <c r="J172" i="208"/>
  <c r="L172" i="208"/>
  <c r="C173" i="208"/>
  <c r="D173" i="208"/>
  <c r="E173" i="208"/>
  <c r="S173" i="208" s="1"/>
  <c r="H173" i="208"/>
  <c r="I173" i="208"/>
  <c r="J173" i="208"/>
  <c r="L173" i="208"/>
  <c r="C174" i="208"/>
  <c r="D174" i="208"/>
  <c r="E174" i="208"/>
  <c r="S174" i="208" s="1"/>
  <c r="H174" i="208"/>
  <c r="I174" i="208"/>
  <c r="J174" i="208"/>
  <c r="L174" i="208"/>
  <c r="C175" i="208"/>
  <c r="D175" i="208"/>
  <c r="E175" i="208"/>
  <c r="S175" i="208" s="1"/>
  <c r="H175" i="208"/>
  <c r="I175" i="208"/>
  <c r="J175" i="208"/>
  <c r="L175" i="208"/>
  <c r="C176" i="208"/>
  <c r="D176" i="208"/>
  <c r="E176" i="208"/>
  <c r="S176" i="208" s="1"/>
  <c r="H176" i="208"/>
  <c r="I176" i="208"/>
  <c r="J176" i="208"/>
  <c r="L176" i="208"/>
  <c r="C177" i="208"/>
  <c r="D177" i="208"/>
  <c r="E177" i="208"/>
  <c r="S177" i="208" s="1"/>
  <c r="H177" i="208"/>
  <c r="I177" i="208"/>
  <c r="J177" i="208"/>
  <c r="L177" i="208"/>
  <c r="C178" i="208"/>
  <c r="D178" i="208"/>
  <c r="E178" i="208"/>
  <c r="S178" i="208" s="1"/>
  <c r="H178" i="208"/>
  <c r="I178" i="208"/>
  <c r="J178" i="208"/>
  <c r="L178" i="208"/>
  <c r="C179" i="208"/>
  <c r="D179" i="208"/>
  <c r="E179" i="208"/>
  <c r="S179" i="208" s="1"/>
  <c r="H179" i="208"/>
  <c r="I179" i="208"/>
  <c r="J179" i="208"/>
  <c r="L179" i="208"/>
  <c r="C180" i="208"/>
  <c r="D180" i="208"/>
  <c r="E180" i="208"/>
  <c r="S180" i="208" s="1"/>
  <c r="H180" i="208"/>
  <c r="I180" i="208"/>
  <c r="J180" i="208"/>
  <c r="L180" i="208"/>
  <c r="C181" i="208"/>
  <c r="D181" i="208"/>
  <c r="E181" i="208"/>
  <c r="S181" i="208" s="1"/>
  <c r="H181" i="208"/>
  <c r="I181" i="208"/>
  <c r="J181" i="208"/>
  <c r="L181" i="208"/>
  <c r="C182" i="208"/>
  <c r="D182" i="208"/>
  <c r="E182" i="208"/>
  <c r="S182" i="208" s="1"/>
  <c r="H182" i="208"/>
  <c r="I182" i="208"/>
  <c r="J182" i="208"/>
  <c r="L182" i="208"/>
  <c r="C183" i="208"/>
  <c r="D183" i="208"/>
  <c r="E183" i="208"/>
  <c r="S183" i="208" s="1"/>
  <c r="H183" i="208"/>
  <c r="I183" i="208"/>
  <c r="J183" i="208"/>
  <c r="L183" i="208"/>
  <c r="C184" i="208"/>
  <c r="D184" i="208"/>
  <c r="E184" i="208"/>
  <c r="S184" i="208" s="1"/>
  <c r="H184" i="208"/>
  <c r="I184" i="208"/>
  <c r="J184" i="208"/>
  <c r="L184" i="208"/>
  <c r="C185" i="208"/>
  <c r="D185" i="208"/>
  <c r="E185" i="208"/>
  <c r="S185" i="208" s="1"/>
  <c r="H185" i="208"/>
  <c r="I185" i="208"/>
  <c r="J185" i="208"/>
  <c r="L185" i="208"/>
  <c r="C186" i="208"/>
  <c r="D186" i="208"/>
  <c r="E186" i="208"/>
  <c r="S186" i="208" s="1"/>
  <c r="H186" i="208"/>
  <c r="I186" i="208"/>
  <c r="J186" i="208"/>
  <c r="L186" i="208"/>
  <c r="C187" i="208"/>
  <c r="D187" i="208"/>
  <c r="E187" i="208"/>
  <c r="S187" i="208" s="1"/>
  <c r="H187" i="208"/>
  <c r="I187" i="208"/>
  <c r="J187" i="208"/>
  <c r="L187" i="208"/>
  <c r="C188" i="208"/>
  <c r="D188" i="208"/>
  <c r="E188" i="208"/>
  <c r="S188" i="208" s="1"/>
  <c r="H188" i="208"/>
  <c r="I188" i="208"/>
  <c r="J188" i="208"/>
  <c r="L188" i="208"/>
  <c r="C189" i="208"/>
  <c r="D189" i="208"/>
  <c r="E189" i="208"/>
  <c r="S189" i="208" s="1"/>
  <c r="H189" i="208"/>
  <c r="I189" i="208"/>
  <c r="J189" i="208"/>
  <c r="L189" i="208"/>
  <c r="C190" i="208"/>
  <c r="D190" i="208"/>
  <c r="E190" i="208"/>
  <c r="S190" i="208" s="1"/>
  <c r="H190" i="208"/>
  <c r="I190" i="208"/>
  <c r="J190" i="208"/>
  <c r="L190" i="208"/>
  <c r="C191" i="208"/>
  <c r="D191" i="208"/>
  <c r="E191" i="208"/>
  <c r="S191" i="208" s="1"/>
  <c r="H191" i="208"/>
  <c r="I191" i="208"/>
  <c r="J191" i="208"/>
  <c r="L191" i="208"/>
  <c r="C192" i="208"/>
  <c r="D192" i="208"/>
  <c r="E192" i="208"/>
  <c r="S192" i="208" s="1"/>
  <c r="H192" i="208"/>
  <c r="I192" i="208"/>
  <c r="J192" i="208"/>
  <c r="L192" i="208"/>
  <c r="C193" i="208"/>
  <c r="D193" i="208"/>
  <c r="E193" i="208"/>
  <c r="S193" i="208" s="1"/>
  <c r="H193" i="208"/>
  <c r="I193" i="208"/>
  <c r="J193" i="208"/>
  <c r="L193" i="208"/>
  <c r="C194" i="208"/>
  <c r="D194" i="208"/>
  <c r="E194" i="208"/>
  <c r="S194" i="208" s="1"/>
  <c r="H194" i="208"/>
  <c r="I194" i="208"/>
  <c r="J194" i="208"/>
  <c r="L194" i="208"/>
  <c r="C195" i="208"/>
  <c r="D195" i="208"/>
  <c r="E195" i="208"/>
  <c r="S195" i="208" s="1"/>
  <c r="H195" i="208"/>
  <c r="I195" i="208"/>
  <c r="J195" i="208"/>
  <c r="L195" i="208"/>
  <c r="C196" i="208"/>
  <c r="D196" i="208"/>
  <c r="E196" i="208"/>
  <c r="S196" i="208" s="1"/>
  <c r="H196" i="208"/>
  <c r="I196" i="208"/>
  <c r="J196" i="208"/>
  <c r="L196" i="208"/>
  <c r="C197" i="208"/>
  <c r="D197" i="208"/>
  <c r="E197" i="208"/>
  <c r="S197" i="208" s="1"/>
  <c r="H197" i="208"/>
  <c r="I197" i="208"/>
  <c r="J197" i="208"/>
  <c r="L197" i="208"/>
  <c r="C198" i="208"/>
  <c r="D198" i="208"/>
  <c r="E198" i="208"/>
  <c r="S198" i="208" s="1"/>
  <c r="H198" i="208"/>
  <c r="I198" i="208"/>
  <c r="J198" i="208"/>
  <c r="L198" i="208"/>
  <c r="C199" i="208"/>
  <c r="D199" i="208"/>
  <c r="E199" i="208"/>
  <c r="S199" i="208" s="1"/>
  <c r="H199" i="208"/>
  <c r="I199" i="208"/>
  <c r="J199" i="208"/>
  <c r="L199" i="208"/>
  <c r="C200" i="208"/>
  <c r="D200" i="208"/>
  <c r="E200" i="208"/>
  <c r="S200" i="208" s="1"/>
  <c r="H200" i="208"/>
  <c r="I200" i="208"/>
  <c r="J200" i="208"/>
  <c r="L200" i="208"/>
  <c r="C201" i="208"/>
  <c r="D201" i="208"/>
  <c r="E201" i="208"/>
  <c r="S201" i="208" s="1"/>
  <c r="H201" i="208"/>
  <c r="I201" i="208"/>
  <c r="J201" i="208"/>
  <c r="L201" i="208"/>
  <c r="C202" i="208"/>
  <c r="D202" i="208"/>
  <c r="E202" i="208"/>
  <c r="S202" i="208" s="1"/>
  <c r="H202" i="208"/>
  <c r="I202" i="208"/>
  <c r="J202" i="208"/>
  <c r="L202" i="208"/>
  <c r="C203" i="208"/>
  <c r="D203" i="208"/>
  <c r="E203" i="208"/>
  <c r="S203" i="208" s="1"/>
  <c r="H203" i="208"/>
  <c r="I203" i="208"/>
  <c r="J203" i="208"/>
  <c r="L203" i="208"/>
  <c r="C204" i="208"/>
  <c r="D204" i="208"/>
  <c r="E204" i="208"/>
  <c r="S204" i="208" s="1"/>
  <c r="H204" i="208"/>
  <c r="I204" i="208"/>
  <c r="J204" i="208"/>
  <c r="L204" i="208"/>
  <c r="C205" i="208"/>
  <c r="D205" i="208"/>
  <c r="E205" i="208"/>
  <c r="S205" i="208" s="1"/>
  <c r="H205" i="208"/>
  <c r="I205" i="208"/>
  <c r="J205" i="208"/>
  <c r="L205" i="208"/>
  <c r="C206" i="208"/>
  <c r="D206" i="208"/>
  <c r="E206" i="208"/>
  <c r="S206" i="208" s="1"/>
  <c r="H206" i="208"/>
  <c r="I206" i="208"/>
  <c r="J206" i="208"/>
  <c r="L206" i="208"/>
  <c r="C207" i="208"/>
  <c r="D207" i="208"/>
  <c r="E207" i="208"/>
  <c r="S207" i="208" s="1"/>
  <c r="H207" i="208"/>
  <c r="I207" i="208"/>
  <c r="J207" i="208"/>
  <c r="L207" i="208"/>
  <c r="C208" i="208"/>
  <c r="D208" i="208"/>
  <c r="E208" i="208"/>
  <c r="S208" i="208" s="1"/>
  <c r="H208" i="208"/>
  <c r="I208" i="208"/>
  <c r="J208" i="208"/>
  <c r="L208" i="208"/>
  <c r="C209" i="208"/>
  <c r="D209" i="208"/>
  <c r="E209" i="208"/>
  <c r="S209" i="208" s="1"/>
  <c r="H209" i="208"/>
  <c r="I209" i="208"/>
  <c r="J209" i="208"/>
  <c r="L209" i="208"/>
  <c r="C210" i="208"/>
  <c r="D210" i="208"/>
  <c r="E210" i="208"/>
  <c r="S210" i="208" s="1"/>
  <c r="H210" i="208"/>
  <c r="I210" i="208"/>
  <c r="J210" i="208"/>
  <c r="L210" i="208"/>
  <c r="C211" i="208"/>
  <c r="D211" i="208"/>
  <c r="E211" i="208"/>
  <c r="S211" i="208" s="1"/>
  <c r="H211" i="208"/>
  <c r="I211" i="208"/>
  <c r="J211" i="208"/>
  <c r="L211" i="208"/>
  <c r="C212" i="208"/>
  <c r="D212" i="208"/>
  <c r="E212" i="208"/>
  <c r="S212" i="208" s="1"/>
  <c r="H212" i="208"/>
  <c r="I212" i="208"/>
  <c r="J212" i="208"/>
  <c r="L212" i="208"/>
  <c r="C213" i="208"/>
  <c r="D213" i="208"/>
  <c r="E213" i="208"/>
  <c r="S213" i="208" s="1"/>
  <c r="H213" i="208"/>
  <c r="I213" i="208"/>
  <c r="J213" i="208"/>
  <c r="L213" i="208"/>
  <c r="C214" i="208"/>
  <c r="D214" i="208"/>
  <c r="E214" i="208"/>
  <c r="S214" i="208" s="1"/>
  <c r="H214" i="208"/>
  <c r="I214" i="208"/>
  <c r="J214" i="208"/>
  <c r="L214" i="208"/>
  <c r="C215" i="208"/>
  <c r="D215" i="208"/>
  <c r="E215" i="208"/>
  <c r="S215" i="208" s="1"/>
  <c r="H215" i="208"/>
  <c r="I215" i="208"/>
  <c r="J215" i="208"/>
  <c r="L215" i="208"/>
  <c r="C216" i="208"/>
  <c r="D216" i="208"/>
  <c r="E216" i="208"/>
  <c r="S216" i="208" s="1"/>
  <c r="H216" i="208"/>
  <c r="I216" i="208"/>
  <c r="J216" i="208"/>
  <c r="L216" i="208"/>
  <c r="C217" i="208"/>
  <c r="D217" i="208"/>
  <c r="E217" i="208"/>
  <c r="S217" i="208" s="1"/>
  <c r="H217" i="208"/>
  <c r="I217" i="208"/>
  <c r="J217" i="208"/>
  <c r="L217" i="208"/>
  <c r="C218" i="208"/>
  <c r="D218" i="208"/>
  <c r="E218" i="208"/>
  <c r="S218" i="208" s="1"/>
  <c r="H218" i="208"/>
  <c r="I218" i="208"/>
  <c r="J218" i="208"/>
  <c r="L218" i="208"/>
  <c r="C219" i="208"/>
  <c r="D219" i="208"/>
  <c r="E219" i="208"/>
  <c r="S219" i="208" s="1"/>
  <c r="H219" i="208"/>
  <c r="I219" i="208"/>
  <c r="J219" i="208"/>
  <c r="L219" i="208"/>
  <c r="C220" i="208"/>
  <c r="D220" i="208"/>
  <c r="E220" i="208"/>
  <c r="S220" i="208" s="1"/>
  <c r="H220" i="208"/>
  <c r="I220" i="208"/>
  <c r="J220" i="208"/>
  <c r="L220" i="208"/>
  <c r="C221" i="208"/>
  <c r="D221" i="208"/>
  <c r="E221" i="208"/>
  <c r="S221" i="208" s="1"/>
  <c r="H221" i="208"/>
  <c r="I221" i="208"/>
  <c r="J221" i="208"/>
  <c r="L221" i="208"/>
  <c r="C222" i="208"/>
  <c r="D222" i="208"/>
  <c r="E222" i="208"/>
  <c r="S222" i="208" s="1"/>
  <c r="H222" i="208"/>
  <c r="I222" i="208"/>
  <c r="J222" i="208"/>
  <c r="L222" i="208"/>
  <c r="C223" i="208"/>
  <c r="D223" i="208"/>
  <c r="E223" i="208"/>
  <c r="S223" i="208" s="1"/>
  <c r="H223" i="208"/>
  <c r="I223" i="208"/>
  <c r="J223" i="208"/>
  <c r="L223" i="208"/>
  <c r="C224" i="208"/>
  <c r="D224" i="208"/>
  <c r="E224" i="208"/>
  <c r="S224" i="208" s="1"/>
  <c r="H224" i="208"/>
  <c r="I224" i="208"/>
  <c r="J224" i="208"/>
  <c r="L224" i="208"/>
  <c r="C225" i="208"/>
  <c r="D225" i="208"/>
  <c r="E225" i="208"/>
  <c r="S225" i="208" s="1"/>
  <c r="H225" i="208"/>
  <c r="I225" i="208"/>
  <c r="J225" i="208"/>
  <c r="L225" i="208"/>
  <c r="C226" i="208"/>
  <c r="D226" i="208"/>
  <c r="E226" i="208"/>
  <c r="S226" i="208" s="1"/>
  <c r="H226" i="208"/>
  <c r="I226" i="208"/>
  <c r="J226" i="208"/>
  <c r="L226" i="208"/>
  <c r="C227" i="208"/>
  <c r="D227" i="208"/>
  <c r="E227" i="208"/>
  <c r="S227" i="208" s="1"/>
  <c r="H227" i="208"/>
  <c r="I227" i="208"/>
  <c r="J227" i="208"/>
  <c r="L227" i="208"/>
  <c r="C228" i="208"/>
  <c r="D228" i="208"/>
  <c r="E228" i="208"/>
  <c r="S228" i="208" s="1"/>
  <c r="H228" i="208"/>
  <c r="I228" i="208"/>
  <c r="J228" i="208"/>
  <c r="L228" i="208"/>
  <c r="C229" i="208"/>
  <c r="D229" i="208"/>
  <c r="E229" i="208"/>
  <c r="S229" i="208" s="1"/>
  <c r="H229" i="208"/>
  <c r="I229" i="208"/>
  <c r="J229" i="208"/>
  <c r="L229" i="208"/>
  <c r="C230" i="208"/>
  <c r="D230" i="208"/>
  <c r="E230" i="208"/>
  <c r="S230" i="208" s="1"/>
  <c r="H230" i="208"/>
  <c r="I230" i="208"/>
  <c r="J230" i="208"/>
  <c r="L230" i="208"/>
  <c r="C231" i="208"/>
  <c r="D231" i="208"/>
  <c r="E231" i="208"/>
  <c r="S231" i="208" s="1"/>
  <c r="H231" i="208"/>
  <c r="I231" i="208"/>
  <c r="J231" i="208"/>
  <c r="L231" i="208"/>
  <c r="C232" i="208"/>
  <c r="D232" i="208"/>
  <c r="E232" i="208"/>
  <c r="S232" i="208" s="1"/>
  <c r="H232" i="208"/>
  <c r="I232" i="208"/>
  <c r="J232" i="208"/>
  <c r="L232" i="208"/>
  <c r="C233" i="208"/>
  <c r="D233" i="208"/>
  <c r="E233" i="208"/>
  <c r="S233" i="208" s="1"/>
  <c r="H233" i="208"/>
  <c r="I233" i="208"/>
  <c r="J233" i="208"/>
  <c r="L233" i="208"/>
  <c r="C234" i="208"/>
  <c r="D234" i="208"/>
  <c r="E234" i="208"/>
  <c r="S234" i="208" s="1"/>
  <c r="H234" i="208"/>
  <c r="I234" i="208"/>
  <c r="J234" i="208"/>
  <c r="L234" i="208"/>
  <c r="C235" i="208"/>
  <c r="D235" i="208"/>
  <c r="E235" i="208"/>
  <c r="S235" i="208" s="1"/>
  <c r="H235" i="208"/>
  <c r="I235" i="208"/>
  <c r="J235" i="208"/>
  <c r="L235" i="208"/>
  <c r="C236" i="208"/>
  <c r="D236" i="208"/>
  <c r="E236" i="208"/>
  <c r="S236" i="208" s="1"/>
  <c r="H236" i="208"/>
  <c r="I236" i="208"/>
  <c r="J236" i="208"/>
  <c r="L236" i="208"/>
  <c r="C237" i="208"/>
  <c r="D237" i="208"/>
  <c r="E237" i="208"/>
  <c r="S237" i="208" s="1"/>
  <c r="H237" i="208"/>
  <c r="I237" i="208"/>
  <c r="J237" i="208"/>
  <c r="L237" i="208"/>
  <c r="C238" i="208"/>
  <c r="D238" i="208"/>
  <c r="E238" i="208"/>
  <c r="S238" i="208" s="1"/>
  <c r="H238" i="208"/>
  <c r="I238" i="208"/>
  <c r="J238" i="208"/>
  <c r="L238" i="208"/>
  <c r="C239" i="208"/>
  <c r="D239" i="208"/>
  <c r="E239" i="208"/>
  <c r="S239" i="208" s="1"/>
  <c r="H239" i="208"/>
  <c r="I239" i="208"/>
  <c r="J239" i="208"/>
  <c r="L239" i="208"/>
  <c r="C240" i="208"/>
  <c r="D240" i="208"/>
  <c r="E240" i="208"/>
  <c r="S240" i="208" s="1"/>
  <c r="H240" i="208"/>
  <c r="I240" i="208"/>
  <c r="J240" i="208"/>
  <c r="L240" i="208"/>
  <c r="C241" i="208"/>
  <c r="D241" i="208"/>
  <c r="E241" i="208"/>
  <c r="S241" i="208" s="1"/>
  <c r="H241" i="208"/>
  <c r="I241" i="208"/>
  <c r="J241" i="208"/>
  <c r="L241" i="208"/>
  <c r="C242" i="208"/>
  <c r="D242" i="208"/>
  <c r="E242" i="208"/>
  <c r="S242" i="208" s="1"/>
  <c r="H242" i="208"/>
  <c r="I242" i="208"/>
  <c r="J242" i="208"/>
  <c r="L242" i="208"/>
  <c r="C243" i="208"/>
  <c r="D243" i="208"/>
  <c r="E243" i="208"/>
  <c r="S243" i="208" s="1"/>
  <c r="H243" i="208"/>
  <c r="I243" i="208"/>
  <c r="J243" i="208"/>
  <c r="L243" i="208"/>
  <c r="C244" i="208"/>
  <c r="D244" i="208"/>
  <c r="E244" i="208"/>
  <c r="S244" i="208" s="1"/>
  <c r="H244" i="208"/>
  <c r="I244" i="208"/>
  <c r="J244" i="208"/>
  <c r="L244" i="208"/>
  <c r="C245" i="208"/>
  <c r="D245" i="208"/>
  <c r="E245" i="208"/>
  <c r="S245" i="208" s="1"/>
  <c r="H245" i="208"/>
  <c r="I245" i="208"/>
  <c r="J245" i="208"/>
  <c r="L245" i="208"/>
  <c r="C246" i="208"/>
  <c r="D246" i="208"/>
  <c r="E246" i="208"/>
  <c r="S246" i="208" s="1"/>
  <c r="H246" i="208"/>
  <c r="I246" i="208"/>
  <c r="J246" i="208"/>
  <c r="L246" i="208"/>
  <c r="C247" i="208"/>
  <c r="D247" i="208"/>
  <c r="E247" i="208"/>
  <c r="S247" i="208" s="1"/>
  <c r="H247" i="208"/>
  <c r="I247" i="208"/>
  <c r="J247" i="208"/>
  <c r="L247" i="208"/>
  <c r="C248" i="208"/>
  <c r="D248" i="208"/>
  <c r="E248" i="208"/>
  <c r="S248" i="208" s="1"/>
  <c r="H248" i="208"/>
  <c r="I248" i="208"/>
  <c r="J248" i="208"/>
  <c r="L248" i="208"/>
  <c r="C249" i="208"/>
  <c r="D249" i="208"/>
  <c r="E249" i="208"/>
  <c r="S249" i="208" s="1"/>
  <c r="H249" i="208"/>
  <c r="I249" i="208"/>
  <c r="J249" i="208"/>
  <c r="L249" i="208"/>
  <c r="C250" i="208"/>
  <c r="D250" i="208"/>
  <c r="E250" i="208"/>
  <c r="S250" i="208" s="1"/>
  <c r="H250" i="208"/>
  <c r="I250" i="208"/>
  <c r="J250" i="208"/>
  <c r="L250" i="208"/>
  <c r="C251" i="208"/>
  <c r="D251" i="208"/>
  <c r="E251" i="208"/>
  <c r="S251" i="208" s="1"/>
  <c r="H251" i="208"/>
  <c r="I251" i="208"/>
  <c r="J251" i="208"/>
  <c r="L251" i="208"/>
  <c r="C252" i="208"/>
  <c r="D252" i="208"/>
  <c r="E252" i="208"/>
  <c r="S252" i="208" s="1"/>
  <c r="H252" i="208"/>
  <c r="I252" i="208"/>
  <c r="J252" i="208"/>
  <c r="L252" i="208"/>
  <c r="C253" i="208"/>
  <c r="D253" i="208"/>
  <c r="E253" i="208"/>
  <c r="S253" i="208" s="1"/>
  <c r="H253" i="208"/>
  <c r="I253" i="208"/>
  <c r="J253" i="208"/>
  <c r="L253" i="208"/>
  <c r="C254" i="208"/>
  <c r="D254" i="208"/>
  <c r="E254" i="208"/>
  <c r="S254" i="208" s="1"/>
  <c r="H254" i="208"/>
  <c r="I254" i="208"/>
  <c r="J254" i="208"/>
  <c r="L254" i="208"/>
  <c r="C255" i="208"/>
  <c r="D255" i="208"/>
  <c r="E255" i="208"/>
  <c r="S255" i="208" s="1"/>
  <c r="H255" i="208"/>
  <c r="I255" i="208"/>
  <c r="J255" i="208"/>
  <c r="L255" i="208"/>
  <c r="C256" i="208"/>
  <c r="D256" i="208"/>
  <c r="E256" i="208"/>
  <c r="S256" i="208" s="1"/>
  <c r="H256" i="208"/>
  <c r="I256" i="208"/>
  <c r="J256" i="208"/>
  <c r="L256" i="208"/>
  <c r="C257" i="208"/>
  <c r="D257" i="208"/>
  <c r="E257" i="208"/>
  <c r="S257" i="208" s="1"/>
  <c r="H257" i="208"/>
  <c r="I257" i="208"/>
  <c r="J257" i="208"/>
  <c r="L257" i="208"/>
  <c r="C258" i="208"/>
  <c r="D258" i="208"/>
  <c r="E258" i="208"/>
  <c r="S258" i="208" s="1"/>
  <c r="H258" i="208"/>
  <c r="I258" i="208"/>
  <c r="J258" i="208"/>
  <c r="L258" i="208"/>
  <c r="C259" i="208"/>
  <c r="D259" i="208"/>
  <c r="E259" i="208"/>
  <c r="S259" i="208" s="1"/>
  <c r="H259" i="208"/>
  <c r="I259" i="208"/>
  <c r="J259" i="208"/>
  <c r="L259" i="208"/>
  <c r="C260" i="208"/>
  <c r="D260" i="208"/>
  <c r="E260" i="208"/>
  <c r="S260" i="208" s="1"/>
  <c r="H260" i="208"/>
  <c r="I260" i="208"/>
  <c r="J260" i="208"/>
  <c r="L260" i="208"/>
  <c r="C261" i="208"/>
  <c r="D261" i="208"/>
  <c r="E261" i="208"/>
  <c r="S261" i="208" s="1"/>
  <c r="H261" i="208"/>
  <c r="I261" i="208"/>
  <c r="J261" i="208"/>
  <c r="L261" i="208"/>
  <c r="C262" i="208"/>
  <c r="D262" i="208"/>
  <c r="E262" i="208"/>
  <c r="S262" i="208" s="1"/>
  <c r="H262" i="208"/>
  <c r="I262" i="208"/>
  <c r="J262" i="208"/>
  <c r="L262" i="208"/>
  <c r="C263" i="208"/>
  <c r="D263" i="208"/>
  <c r="E263" i="208"/>
  <c r="S263" i="208" s="1"/>
  <c r="H263" i="208"/>
  <c r="I263" i="208"/>
  <c r="J263" i="208"/>
  <c r="L263" i="208"/>
  <c r="C264" i="208"/>
  <c r="D264" i="208"/>
  <c r="E264" i="208"/>
  <c r="S264" i="208" s="1"/>
  <c r="H264" i="208"/>
  <c r="I264" i="208"/>
  <c r="J264" i="208"/>
  <c r="L264" i="208"/>
  <c r="C265" i="208"/>
  <c r="D265" i="208"/>
  <c r="E265" i="208"/>
  <c r="S265" i="208" s="1"/>
  <c r="H265" i="208"/>
  <c r="I265" i="208"/>
  <c r="J265" i="208"/>
  <c r="L265" i="208"/>
  <c r="C266" i="208"/>
  <c r="D266" i="208"/>
  <c r="E266" i="208"/>
  <c r="S266" i="208" s="1"/>
  <c r="H266" i="208"/>
  <c r="I266" i="208"/>
  <c r="J266" i="208"/>
  <c r="L266" i="208"/>
  <c r="C267" i="208"/>
  <c r="D267" i="208"/>
  <c r="E267" i="208"/>
  <c r="S267" i="208" s="1"/>
  <c r="H267" i="208"/>
  <c r="I267" i="208"/>
  <c r="J267" i="208"/>
  <c r="L267" i="208"/>
  <c r="C268" i="208"/>
  <c r="D268" i="208"/>
  <c r="E268" i="208"/>
  <c r="S268" i="208" s="1"/>
  <c r="H268" i="208"/>
  <c r="I268" i="208"/>
  <c r="J268" i="208"/>
  <c r="L268" i="208"/>
  <c r="C269" i="208"/>
  <c r="D269" i="208"/>
  <c r="E269" i="208"/>
  <c r="S269" i="208" s="1"/>
  <c r="H269" i="208"/>
  <c r="I269" i="208"/>
  <c r="J269" i="208"/>
  <c r="L269" i="208"/>
  <c r="C270" i="208"/>
  <c r="D270" i="208"/>
  <c r="E270" i="208"/>
  <c r="S270" i="208" s="1"/>
  <c r="H270" i="208"/>
  <c r="I270" i="208"/>
  <c r="J270" i="208"/>
  <c r="L270" i="208"/>
  <c r="C271" i="208"/>
  <c r="D271" i="208"/>
  <c r="E271" i="208"/>
  <c r="S271" i="208" s="1"/>
  <c r="H271" i="208"/>
  <c r="I271" i="208"/>
  <c r="J271" i="208"/>
  <c r="L271" i="208"/>
  <c r="C272" i="208"/>
  <c r="D272" i="208"/>
  <c r="E272" i="208"/>
  <c r="S272" i="208" s="1"/>
  <c r="H272" i="208"/>
  <c r="I272" i="208"/>
  <c r="J272" i="208"/>
  <c r="L272" i="208"/>
  <c r="C273" i="208"/>
  <c r="D273" i="208"/>
  <c r="E273" i="208"/>
  <c r="S273" i="208" s="1"/>
  <c r="H273" i="208"/>
  <c r="I273" i="208"/>
  <c r="J273" i="208"/>
  <c r="L273" i="208"/>
  <c r="C274" i="208"/>
  <c r="D274" i="208"/>
  <c r="E274" i="208"/>
  <c r="S274" i="208" s="1"/>
  <c r="H274" i="208"/>
  <c r="I274" i="208"/>
  <c r="J274" i="208"/>
  <c r="L274" i="208"/>
  <c r="C275" i="208"/>
  <c r="D275" i="208"/>
  <c r="E275" i="208"/>
  <c r="S275" i="208" s="1"/>
  <c r="H275" i="208"/>
  <c r="I275" i="208"/>
  <c r="J275" i="208"/>
  <c r="L275" i="208"/>
  <c r="C276" i="208"/>
  <c r="D276" i="208"/>
  <c r="E276" i="208"/>
  <c r="S276" i="208" s="1"/>
  <c r="H276" i="208"/>
  <c r="I276" i="208"/>
  <c r="J276" i="208"/>
  <c r="L276" i="208"/>
  <c r="C277" i="208"/>
  <c r="D277" i="208"/>
  <c r="E277" i="208"/>
  <c r="S277" i="208" s="1"/>
  <c r="H277" i="208"/>
  <c r="I277" i="208"/>
  <c r="J277" i="208"/>
  <c r="L277" i="208"/>
  <c r="C278" i="208"/>
  <c r="D278" i="208"/>
  <c r="E278" i="208"/>
  <c r="S278" i="208" s="1"/>
  <c r="H278" i="208"/>
  <c r="I278" i="208"/>
  <c r="J278" i="208"/>
  <c r="L278" i="208"/>
  <c r="C279" i="208"/>
  <c r="D279" i="208"/>
  <c r="E279" i="208"/>
  <c r="S279" i="208" s="1"/>
  <c r="H279" i="208"/>
  <c r="I279" i="208"/>
  <c r="J279" i="208"/>
  <c r="L279" i="208"/>
  <c r="C280" i="208"/>
  <c r="D280" i="208"/>
  <c r="E280" i="208"/>
  <c r="S280" i="208" s="1"/>
  <c r="H280" i="208"/>
  <c r="I280" i="208"/>
  <c r="J280" i="208"/>
  <c r="L280" i="208"/>
  <c r="C281" i="208"/>
  <c r="D281" i="208"/>
  <c r="E281" i="208"/>
  <c r="S281" i="208" s="1"/>
  <c r="H281" i="208"/>
  <c r="I281" i="208"/>
  <c r="J281" i="208"/>
  <c r="L281" i="208"/>
  <c r="C282" i="208"/>
  <c r="D282" i="208"/>
  <c r="E282" i="208"/>
  <c r="S282" i="208" s="1"/>
  <c r="H282" i="208"/>
  <c r="I282" i="208"/>
  <c r="J282" i="208"/>
  <c r="L282" i="208"/>
  <c r="C283" i="208"/>
  <c r="D283" i="208"/>
  <c r="E283" i="208"/>
  <c r="S283" i="208" s="1"/>
  <c r="H283" i="208"/>
  <c r="I283" i="208"/>
  <c r="J283" i="208"/>
  <c r="L283" i="208"/>
  <c r="C284" i="208"/>
  <c r="D284" i="208"/>
  <c r="E284" i="208"/>
  <c r="S284" i="208" s="1"/>
  <c r="H284" i="208"/>
  <c r="I284" i="208"/>
  <c r="J284" i="208"/>
  <c r="L284" i="208"/>
  <c r="C285" i="208"/>
  <c r="D285" i="208"/>
  <c r="E285" i="208"/>
  <c r="S285" i="208" s="1"/>
  <c r="H285" i="208"/>
  <c r="I285" i="208"/>
  <c r="J285" i="208"/>
  <c r="L285" i="208"/>
  <c r="C286" i="208"/>
  <c r="D286" i="208"/>
  <c r="E286" i="208"/>
  <c r="S286" i="208" s="1"/>
  <c r="H286" i="208"/>
  <c r="I286" i="208"/>
  <c r="J286" i="208"/>
  <c r="L286" i="208"/>
  <c r="C287" i="208"/>
  <c r="D287" i="208"/>
  <c r="E287" i="208"/>
  <c r="S287" i="208" s="1"/>
  <c r="H287" i="208"/>
  <c r="I287" i="208"/>
  <c r="J287" i="208"/>
  <c r="L287" i="208"/>
  <c r="C288" i="208"/>
  <c r="D288" i="208"/>
  <c r="E288" i="208"/>
  <c r="S288" i="208" s="1"/>
  <c r="H288" i="208"/>
  <c r="I288" i="208"/>
  <c r="J288" i="208"/>
  <c r="L288" i="208"/>
  <c r="C289" i="208"/>
  <c r="D289" i="208"/>
  <c r="E289" i="208"/>
  <c r="S289" i="208" s="1"/>
  <c r="H289" i="208"/>
  <c r="I289" i="208"/>
  <c r="J289" i="208"/>
  <c r="L289" i="208"/>
  <c r="C290" i="208"/>
  <c r="D290" i="208"/>
  <c r="E290" i="208"/>
  <c r="S290" i="208" s="1"/>
  <c r="H290" i="208"/>
  <c r="I290" i="208"/>
  <c r="J290" i="208"/>
  <c r="L290" i="208"/>
  <c r="C291" i="208"/>
  <c r="D291" i="208"/>
  <c r="E291" i="208"/>
  <c r="S291" i="208" s="1"/>
  <c r="H291" i="208"/>
  <c r="I291" i="208"/>
  <c r="J291" i="208"/>
  <c r="L291" i="208"/>
  <c r="C292" i="208"/>
  <c r="D292" i="208"/>
  <c r="E292" i="208"/>
  <c r="S292" i="208" s="1"/>
  <c r="H292" i="208"/>
  <c r="I292" i="208"/>
  <c r="J292" i="208"/>
  <c r="L292" i="208"/>
  <c r="C293" i="208"/>
  <c r="D293" i="208"/>
  <c r="E293" i="208"/>
  <c r="S293" i="208" s="1"/>
  <c r="H293" i="208"/>
  <c r="I293" i="208"/>
  <c r="J293" i="208"/>
  <c r="L293" i="208"/>
  <c r="C294" i="208"/>
  <c r="D294" i="208"/>
  <c r="E294" i="208"/>
  <c r="S294" i="208" s="1"/>
  <c r="H294" i="208"/>
  <c r="I294" i="208"/>
  <c r="J294" i="208"/>
  <c r="L294" i="208"/>
  <c r="C295" i="208"/>
  <c r="D295" i="208"/>
  <c r="E295" i="208"/>
  <c r="S295" i="208" s="1"/>
  <c r="H295" i="208"/>
  <c r="I295" i="208"/>
  <c r="J295" i="208"/>
  <c r="L295" i="208"/>
  <c r="C296" i="208"/>
  <c r="D296" i="208"/>
  <c r="E296" i="208"/>
  <c r="S296" i="208" s="1"/>
  <c r="H296" i="208"/>
  <c r="I296" i="208"/>
  <c r="J296" i="208"/>
  <c r="L296" i="208"/>
  <c r="C297" i="208"/>
  <c r="D297" i="208"/>
  <c r="E297" i="208"/>
  <c r="S297" i="208" s="1"/>
  <c r="H297" i="208"/>
  <c r="I297" i="208"/>
  <c r="J297" i="208"/>
  <c r="L297" i="208"/>
  <c r="C298" i="208"/>
  <c r="D298" i="208"/>
  <c r="E298" i="208"/>
  <c r="S298" i="208" s="1"/>
  <c r="H298" i="208"/>
  <c r="I298" i="208"/>
  <c r="J298" i="208"/>
  <c r="L298" i="208"/>
  <c r="C299" i="208"/>
  <c r="D299" i="208"/>
  <c r="E299" i="208"/>
  <c r="S299" i="208" s="1"/>
  <c r="H299" i="208"/>
  <c r="I299" i="208"/>
  <c r="J299" i="208"/>
  <c r="L299" i="208"/>
  <c r="C300" i="208"/>
  <c r="D300" i="208"/>
  <c r="E300" i="208"/>
  <c r="S300" i="208" s="1"/>
  <c r="H300" i="208"/>
  <c r="I300" i="208"/>
  <c r="J300" i="208"/>
  <c r="L300" i="208"/>
  <c r="C301" i="208"/>
  <c r="D301" i="208"/>
  <c r="E301" i="208"/>
  <c r="S301" i="208" s="1"/>
  <c r="H301" i="208"/>
  <c r="I301" i="208"/>
  <c r="J301" i="208"/>
  <c r="L301" i="208"/>
  <c r="L2" i="208"/>
  <c r="J2" i="208"/>
  <c r="O2" i="208" s="1"/>
  <c r="I2" i="208"/>
  <c r="H2" i="208"/>
  <c r="E2" i="208"/>
  <c r="D2" i="208"/>
  <c r="C2" i="208"/>
  <c r="C302" i="208"/>
  <c r="D302" i="208"/>
  <c r="E302" i="208"/>
  <c r="S302" i="208" s="1"/>
  <c r="C306" i="208"/>
  <c r="D306" i="208"/>
  <c r="E306" i="208"/>
  <c r="S306" i="208" s="1"/>
  <c r="H306" i="208"/>
  <c r="Q306" i="208" s="1"/>
  <c r="I306" i="208"/>
  <c r="J306" i="208"/>
  <c r="L306" i="208"/>
  <c r="C307" i="208"/>
  <c r="D307" i="208"/>
  <c r="E307" i="208"/>
  <c r="S307" i="208" s="1"/>
  <c r="H307" i="208"/>
  <c r="Q307" i="208" s="1"/>
  <c r="I307" i="208"/>
  <c r="J307" i="208"/>
  <c r="L307" i="208"/>
  <c r="C308" i="208"/>
  <c r="D308" i="208"/>
  <c r="E308" i="208"/>
  <c r="S308" i="208" s="1"/>
  <c r="H308" i="208"/>
  <c r="Q308" i="208" s="1"/>
  <c r="I308" i="208"/>
  <c r="J308" i="208"/>
  <c r="L308" i="208"/>
  <c r="C309" i="208"/>
  <c r="D309" i="208"/>
  <c r="E309" i="208"/>
  <c r="S309" i="208" s="1"/>
  <c r="H309" i="208"/>
  <c r="Q309" i="208" s="1"/>
  <c r="I309" i="208"/>
  <c r="J309" i="208"/>
  <c r="L309" i="208"/>
  <c r="C310" i="208"/>
  <c r="D310" i="208"/>
  <c r="E310" i="208"/>
  <c r="S310" i="208" s="1"/>
  <c r="H310" i="208"/>
  <c r="Q310" i="208" s="1"/>
  <c r="I310" i="208"/>
  <c r="J310" i="208"/>
  <c r="L310" i="208"/>
  <c r="C311" i="208"/>
  <c r="D311" i="208"/>
  <c r="E311" i="208"/>
  <c r="S311" i="208" s="1"/>
  <c r="H311" i="208"/>
  <c r="Q311" i="208" s="1"/>
  <c r="I311" i="208"/>
  <c r="J311" i="208"/>
  <c r="L311" i="208"/>
  <c r="C312" i="208"/>
  <c r="D312" i="208"/>
  <c r="E312" i="208"/>
  <c r="S312" i="208" s="1"/>
  <c r="H312" i="208"/>
  <c r="Q312" i="208" s="1"/>
  <c r="I312" i="208"/>
  <c r="J312" i="208"/>
  <c r="L312" i="208"/>
  <c r="C313" i="208"/>
  <c r="D313" i="208"/>
  <c r="E313" i="208"/>
  <c r="S313" i="208" s="1"/>
  <c r="H313" i="208"/>
  <c r="Q313" i="208" s="1"/>
  <c r="I313" i="208"/>
  <c r="J313" i="208"/>
  <c r="L313" i="208"/>
  <c r="C314" i="208"/>
  <c r="D314" i="208"/>
  <c r="E314" i="208"/>
  <c r="S314" i="208" s="1"/>
  <c r="H314" i="208"/>
  <c r="Q314" i="208" s="1"/>
  <c r="I314" i="208"/>
  <c r="J314" i="208"/>
  <c r="L314" i="208"/>
  <c r="C315" i="208"/>
  <c r="D315" i="208"/>
  <c r="E315" i="208"/>
  <c r="S315" i="208" s="1"/>
  <c r="H315" i="208"/>
  <c r="Q315" i="208" s="1"/>
  <c r="I315" i="208"/>
  <c r="J315" i="208"/>
  <c r="L315" i="208"/>
  <c r="C316" i="208"/>
  <c r="D316" i="208"/>
  <c r="E316" i="208"/>
  <c r="S316" i="208" s="1"/>
  <c r="H316" i="208"/>
  <c r="Q316" i="208" s="1"/>
  <c r="I316" i="208"/>
  <c r="J316" i="208"/>
  <c r="L316" i="208"/>
  <c r="C317" i="208"/>
  <c r="D317" i="208"/>
  <c r="E317" i="208"/>
  <c r="S317" i="208" s="1"/>
  <c r="H317" i="208"/>
  <c r="Q317" i="208" s="1"/>
  <c r="I317" i="208"/>
  <c r="J317" i="208"/>
  <c r="L317" i="208"/>
  <c r="C318" i="208"/>
  <c r="D318" i="208"/>
  <c r="E318" i="208"/>
  <c r="S318" i="208" s="1"/>
  <c r="H318" i="208"/>
  <c r="Q318" i="208" s="1"/>
  <c r="I318" i="208"/>
  <c r="J318" i="208"/>
  <c r="L318" i="208"/>
  <c r="C319" i="208"/>
  <c r="D319" i="208"/>
  <c r="E319" i="208"/>
  <c r="S319" i="208" s="1"/>
  <c r="H319" i="208"/>
  <c r="Q319" i="208" s="1"/>
  <c r="I319" i="208"/>
  <c r="J319" i="208"/>
  <c r="L319" i="208"/>
  <c r="C320" i="208"/>
  <c r="D320" i="208"/>
  <c r="E320" i="208"/>
  <c r="S320" i="208" s="1"/>
  <c r="H320" i="208"/>
  <c r="Q320" i="208" s="1"/>
  <c r="I320" i="208"/>
  <c r="J320" i="208"/>
  <c r="L320" i="208"/>
  <c r="C321" i="208"/>
  <c r="D321" i="208"/>
  <c r="E321" i="208"/>
  <c r="S321" i="208" s="1"/>
  <c r="H321" i="208"/>
  <c r="Q321" i="208" s="1"/>
  <c r="I321" i="208"/>
  <c r="J321" i="208"/>
  <c r="L321" i="208"/>
  <c r="C322" i="208"/>
  <c r="D322" i="208"/>
  <c r="E322" i="208"/>
  <c r="S322" i="208" s="1"/>
  <c r="H322" i="208"/>
  <c r="Q322" i="208" s="1"/>
  <c r="I322" i="208"/>
  <c r="J322" i="208"/>
  <c r="L322" i="208"/>
  <c r="C323" i="208"/>
  <c r="D323" i="208"/>
  <c r="E323" i="208"/>
  <c r="S323" i="208" s="1"/>
  <c r="H323" i="208"/>
  <c r="Q323" i="208" s="1"/>
  <c r="I323" i="208"/>
  <c r="J323" i="208"/>
  <c r="L323" i="208"/>
  <c r="C324" i="208"/>
  <c r="D324" i="208"/>
  <c r="E324" i="208"/>
  <c r="S324" i="208" s="1"/>
  <c r="H324" i="208"/>
  <c r="Q324" i="208" s="1"/>
  <c r="I324" i="208"/>
  <c r="J324" i="208"/>
  <c r="L324" i="208"/>
  <c r="C325" i="208"/>
  <c r="D325" i="208"/>
  <c r="E325" i="208"/>
  <c r="S325" i="208" s="1"/>
  <c r="H325" i="208"/>
  <c r="Q325" i="208" s="1"/>
  <c r="I325" i="208"/>
  <c r="J325" i="208"/>
  <c r="L325" i="208"/>
  <c r="C326" i="208"/>
  <c r="D326" i="208"/>
  <c r="E326" i="208"/>
  <c r="S326" i="208" s="1"/>
  <c r="H326" i="208"/>
  <c r="Q326" i="208" s="1"/>
  <c r="I326" i="208"/>
  <c r="J326" i="208"/>
  <c r="L326" i="208"/>
  <c r="C327" i="208"/>
  <c r="D327" i="208"/>
  <c r="E327" i="208"/>
  <c r="S327" i="208" s="1"/>
  <c r="H327" i="208"/>
  <c r="Q327" i="208" s="1"/>
  <c r="I327" i="208"/>
  <c r="J327" i="208"/>
  <c r="L327" i="208"/>
  <c r="C328" i="208"/>
  <c r="D328" i="208"/>
  <c r="E328" i="208"/>
  <c r="S328" i="208" s="1"/>
  <c r="H328" i="208"/>
  <c r="Q328" i="208" s="1"/>
  <c r="I328" i="208"/>
  <c r="J328" i="208"/>
  <c r="L328" i="208"/>
  <c r="C329" i="208"/>
  <c r="D329" i="208"/>
  <c r="E329" i="208"/>
  <c r="S329" i="208" s="1"/>
  <c r="H329" i="208"/>
  <c r="Q329" i="208" s="1"/>
  <c r="I329" i="208"/>
  <c r="J329" i="208"/>
  <c r="L329" i="208"/>
  <c r="C330" i="208"/>
  <c r="D330" i="208"/>
  <c r="E330" i="208"/>
  <c r="S330" i="208" s="1"/>
  <c r="H330" i="208"/>
  <c r="Q330" i="208" s="1"/>
  <c r="I330" i="208"/>
  <c r="J330" i="208"/>
  <c r="L330" i="208"/>
  <c r="C331" i="208"/>
  <c r="D331" i="208"/>
  <c r="E331" i="208"/>
  <c r="S331" i="208" s="1"/>
  <c r="H331" i="208"/>
  <c r="Q331" i="208" s="1"/>
  <c r="I331" i="208"/>
  <c r="J331" i="208"/>
  <c r="L331" i="208"/>
  <c r="C332" i="208"/>
  <c r="D332" i="208"/>
  <c r="E332" i="208"/>
  <c r="S332" i="208" s="1"/>
  <c r="H332" i="208"/>
  <c r="Q332" i="208" s="1"/>
  <c r="I332" i="208"/>
  <c r="J332" i="208"/>
  <c r="L332" i="208"/>
  <c r="C333" i="208"/>
  <c r="D333" i="208"/>
  <c r="E333" i="208"/>
  <c r="S333" i="208" s="1"/>
  <c r="H333" i="208"/>
  <c r="Q333" i="208" s="1"/>
  <c r="I333" i="208"/>
  <c r="J333" i="208"/>
  <c r="L333" i="208"/>
  <c r="C334" i="208"/>
  <c r="D334" i="208"/>
  <c r="E334" i="208"/>
  <c r="S334" i="208" s="1"/>
  <c r="H334" i="208"/>
  <c r="Q334" i="208" s="1"/>
  <c r="I334" i="208"/>
  <c r="J334" i="208"/>
  <c r="L334" i="208"/>
  <c r="C335" i="208"/>
  <c r="D335" i="208"/>
  <c r="E335" i="208"/>
  <c r="S335" i="208" s="1"/>
  <c r="H335" i="208"/>
  <c r="Q335" i="208" s="1"/>
  <c r="I335" i="208"/>
  <c r="J335" i="208"/>
  <c r="L335" i="208"/>
  <c r="C336" i="208"/>
  <c r="D336" i="208"/>
  <c r="E336" i="208"/>
  <c r="S336" i="208" s="1"/>
  <c r="H336" i="208"/>
  <c r="Q336" i="208" s="1"/>
  <c r="I336" i="208"/>
  <c r="J336" i="208"/>
  <c r="L336" i="208"/>
  <c r="C337" i="208"/>
  <c r="D337" i="208"/>
  <c r="E337" i="208"/>
  <c r="S337" i="208" s="1"/>
  <c r="H337" i="208"/>
  <c r="Q337" i="208" s="1"/>
  <c r="I337" i="208"/>
  <c r="J337" i="208"/>
  <c r="L337" i="208"/>
  <c r="C338" i="208"/>
  <c r="D338" i="208"/>
  <c r="E338" i="208"/>
  <c r="S338" i="208" s="1"/>
  <c r="H338" i="208"/>
  <c r="Q338" i="208" s="1"/>
  <c r="I338" i="208"/>
  <c r="J338" i="208"/>
  <c r="L338" i="208"/>
  <c r="C339" i="208"/>
  <c r="D339" i="208"/>
  <c r="E339" i="208"/>
  <c r="S339" i="208" s="1"/>
  <c r="H339" i="208"/>
  <c r="Q339" i="208" s="1"/>
  <c r="I339" i="208"/>
  <c r="J339" i="208"/>
  <c r="L339" i="208"/>
  <c r="C340" i="208"/>
  <c r="D340" i="208"/>
  <c r="E340" i="208"/>
  <c r="S340" i="208" s="1"/>
  <c r="H340" i="208"/>
  <c r="Q340" i="208" s="1"/>
  <c r="I340" i="208"/>
  <c r="J340" i="208"/>
  <c r="L340" i="208"/>
  <c r="C341" i="208"/>
  <c r="D341" i="208"/>
  <c r="E341" i="208"/>
  <c r="S341" i="208" s="1"/>
  <c r="H341" i="208"/>
  <c r="Q341" i="208" s="1"/>
  <c r="I341" i="208"/>
  <c r="J341" i="208"/>
  <c r="L341" i="208"/>
  <c r="C342" i="208"/>
  <c r="D342" i="208"/>
  <c r="E342" i="208"/>
  <c r="S342" i="208" s="1"/>
  <c r="H342" i="208"/>
  <c r="Q342" i="208" s="1"/>
  <c r="I342" i="208"/>
  <c r="J342" i="208"/>
  <c r="L342" i="208"/>
  <c r="C343" i="208"/>
  <c r="D343" i="208"/>
  <c r="E343" i="208"/>
  <c r="S343" i="208" s="1"/>
  <c r="H343" i="208"/>
  <c r="Q343" i="208" s="1"/>
  <c r="I343" i="208"/>
  <c r="J343" i="208"/>
  <c r="L343" i="208"/>
  <c r="C344" i="208"/>
  <c r="D344" i="208"/>
  <c r="E344" i="208"/>
  <c r="S344" i="208" s="1"/>
  <c r="H344" i="208"/>
  <c r="Q344" i="208" s="1"/>
  <c r="I344" i="208"/>
  <c r="J344" i="208"/>
  <c r="L344" i="208"/>
  <c r="C345" i="208"/>
  <c r="D345" i="208"/>
  <c r="E345" i="208"/>
  <c r="S345" i="208" s="1"/>
  <c r="H345" i="208"/>
  <c r="Q345" i="208" s="1"/>
  <c r="I345" i="208"/>
  <c r="J345" i="208"/>
  <c r="L345" i="208"/>
  <c r="C346" i="208"/>
  <c r="D346" i="208"/>
  <c r="E346" i="208"/>
  <c r="S346" i="208" s="1"/>
  <c r="H346" i="208"/>
  <c r="Q346" i="208" s="1"/>
  <c r="I346" i="208"/>
  <c r="J346" i="208"/>
  <c r="L346" i="208"/>
  <c r="C347" i="208"/>
  <c r="D347" i="208"/>
  <c r="E347" i="208"/>
  <c r="S347" i="208" s="1"/>
  <c r="H347" i="208"/>
  <c r="Q347" i="208" s="1"/>
  <c r="I347" i="208"/>
  <c r="J347" i="208"/>
  <c r="L347" i="208"/>
  <c r="C348" i="208"/>
  <c r="D348" i="208"/>
  <c r="E348" i="208"/>
  <c r="S348" i="208" s="1"/>
  <c r="H348" i="208"/>
  <c r="Q348" i="208" s="1"/>
  <c r="I348" i="208"/>
  <c r="J348" i="208"/>
  <c r="L348" i="208"/>
  <c r="C349" i="208"/>
  <c r="D349" i="208"/>
  <c r="E349" i="208"/>
  <c r="S349" i="208" s="1"/>
  <c r="H349" i="208"/>
  <c r="Q349" i="208" s="1"/>
  <c r="I349" i="208"/>
  <c r="J349" i="208"/>
  <c r="L349" i="208"/>
  <c r="C350" i="208"/>
  <c r="D350" i="208"/>
  <c r="E350" i="208"/>
  <c r="S350" i="208" s="1"/>
  <c r="H350" i="208"/>
  <c r="Q350" i="208" s="1"/>
  <c r="I350" i="208"/>
  <c r="J350" i="208"/>
  <c r="L350" i="208"/>
  <c r="C351" i="208"/>
  <c r="D351" i="208"/>
  <c r="E351" i="208"/>
  <c r="S351" i="208" s="1"/>
  <c r="H351" i="208"/>
  <c r="Q351" i="208" s="1"/>
  <c r="I351" i="208"/>
  <c r="J351" i="208"/>
  <c r="L351" i="208"/>
  <c r="C352" i="208"/>
  <c r="D352" i="208"/>
  <c r="E352" i="208"/>
  <c r="S352" i="208" s="1"/>
  <c r="H352" i="208"/>
  <c r="Q352" i="208" s="1"/>
  <c r="I352" i="208"/>
  <c r="J352" i="208"/>
  <c r="L352" i="208"/>
  <c r="C353" i="208"/>
  <c r="D353" i="208"/>
  <c r="E353" i="208"/>
  <c r="S353" i="208" s="1"/>
  <c r="H353" i="208"/>
  <c r="Q353" i="208" s="1"/>
  <c r="I353" i="208"/>
  <c r="J353" i="208"/>
  <c r="L353" i="208"/>
  <c r="C354" i="208"/>
  <c r="D354" i="208"/>
  <c r="E354" i="208"/>
  <c r="S354" i="208" s="1"/>
  <c r="H354" i="208"/>
  <c r="Q354" i="208" s="1"/>
  <c r="I354" i="208"/>
  <c r="J354" i="208"/>
  <c r="L354" i="208"/>
  <c r="C355" i="208"/>
  <c r="D355" i="208"/>
  <c r="E355" i="208"/>
  <c r="S355" i="208" s="1"/>
  <c r="H355" i="208"/>
  <c r="Q355" i="208" s="1"/>
  <c r="I355" i="208"/>
  <c r="J355" i="208"/>
  <c r="L355" i="208"/>
  <c r="C356" i="208"/>
  <c r="D356" i="208"/>
  <c r="E356" i="208"/>
  <c r="S356" i="208" s="1"/>
  <c r="H356" i="208"/>
  <c r="Q356" i="208" s="1"/>
  <c r="I356" i="208"/>
  <c r="J356" i="208"/>
  <c r="L356" i="208"/>
  <c r="C357" i="208"/>
  <c r="D357" i="208"/>
  <c r="E357" i="208"/>
  <c r="S357" i="208" s="1"/>
  <c r="H357" i="208"/>
  <c r="Q357" i="208" s="1"/>
  <c r="I357" i="208"/>
  <c r="J357" i="208"/>
  <c r="L357" i="208"/>
  <c r="C358" i="208"/>
  <c r="D358" i="208"/>
  <c r="E358" i="208"/>
  <c r="S358" i="208" s="1"/>
  <c r="H358" i="208"/>
  <c r="Q358" i="208" s="1"/>
  <c r="I358" i="208"/>
  <c r="J358" i="208"/>
  <c r="L358" i="208"/>
  <c r="C359" i="208"/>
  <c r="D359" i="208"/>
  <c r="E359" i="208"/>
  <c r="S359" i="208" s="1"/>
  <c r="H359" i="208"/>
  <c r="Q359" i="208" s="1"/>
  <c r="I359" i="208"/>
  <c r="J359" i="208"/>
  <c r="L359" i="208"/>
  <c r="C360" i="208"/>
  <c r="D360" i="208"/>
  <c r="E360" i="208"/>
  <c r="S360" i="208" s="1"/>
  <c r="H360" i="208"/>
  <c r="Q360" i="208" s="1"/>
  <c r="I360" i="208"/>
  <c r="J360" i="208"/>
  <c r="L360" i="208"/>
  <c r="C361" i="208"/>
  <c r="D361" i="208"/>
  <c r="E361" i="208"/>
  <c r="S361" i="208" s="1"/>
  <c r="H361" i="208"/>
  <c r="Q361" i="208" s="1"/>
  <c r="I361" i="208"/>
  <c r="J361" i="208"/>
  <c r="L361" i="208"/>
  <c r="C362" i="208"/>
  <c r="D362" i="208"/>
  <c r="E362" i="208"/>
  <c r="S362" i="208" s="1"/>
  <c r="H362" i="208"/>
  <c r="Q362" i="208" s="1"/>
  <c r="I362" i="208"/>
  <c r="J362" i="208"/>
  <c r="L362" i="208"/>
  <c r="C363" i="208"/>
  <c r="D363" i="208"/>
  <c r="E363" i="208"/>
  <c r="S363" i="208" s="1"/>
  <c r="H363" i="208"/>
  <c r="Q363" i="208" s="1"/>
  <c r="I363" i="208"/>
  <c r="J363" i="208"/>
  <c r="L363" i="208"/>
  <c r="C364" i="208"/>
  <c r="D364" i="208"/>
  <c r="E364" i="208"/>
  <c r="S364" i="208" s="1"/>
  <c r="H364" i="208"/>
  <c r="Q364" i="208" s="1"/>
  <c r="I364" i="208"/>
  <c r="J364" i="208"/>
  <c r="L364" i="208"/>
  <c r="C365" i="208"/>
  <c r="D365" i="208"/>
  <c r="E365" i="208"/>
  <c r="S365" i="208" s="1"/>
  <c r="H365" i="208"/>
  <c r="Q365" i="208" s="1"/>
  <c r="I365" i="208"/>
  <c r="J365" i="208"/>
  <c r="L365" i="208"/>
  <c r="C366" i="208"/>
  <c r="D366" i="208"/>
  <c r="E366" i="208"/>
  <c r="S366" i="208" s="1"/>
  <c r="H366" i="208"/>
  <c r="Q366" i="208" s="1"/>
  <c r="I366" i="208"/>
  <c r="J366" i="208"/>
  <c r="L366" i="208"/>
  <c r="C367" i="208"/>
  <c r="D367" i="208"/>
  <c r="E367" i="208"/>
  <c r="S367" i="208" s="1"/>
  <c r="H367" i="208"/>
  <c r="Q367" i="208" s="1"/>
  <c r="I367" i="208"/>
  <c r="J367" i="208"/>
  <c r="L367" i="208"/>
  <c r="C368" i="208"/>
  <c r="D368" i="208"/>
  <c r="E368" i="208"/>
  <c r="S368" i="208" s="1"/>
  <c r="H368" i="208"/>
  <c r="Q368" i="208" s="1"/>
  <c r="I368" i="208"/>
  <c r="J368" i="208"/>
  <c r="L368" i="208"/>
  <c r="C369" i="208"/>
  <c r="D369" i="208"/>
  <c r="E369" i="208"/>
  <c r="S369" i="208" s="1"/>
  <c r="H369" i="208"/>
  <c r="Q369" i="208" s="1"/>
  <c r="I369" i="208"/>
  <c r="J369" i="208"/>
  <c r="L369" i="208"/>
  <c r="C370" i="208"/>
  <c r="D370" i="208"/>
  <c r="E370" i="208"/>
  <c r="S370" i="208" s="1"/>
  <c r="H370" i="208"/>
  <c r="Q370" i="208" s="1"/>
  <c r="I370" i="208"/>
  <c r="J370" i="208"/>
  <c r="L370" i="208"/>
  <c r="C371" i="208"/>
  <c r="D371" i="208"/>
  <c r="E371" i="208"/>
  <c r="S371" i="208" s="1"/>
  <c r="H371" i="208"/>
  <c r="Q371" i="208" s="1"/>
  <c r="I371" i="208"/>
  <c r="J371" i="208"/>
  <c r="L371" i="208"/>
  <c r="C372" i="208"/>
  <c r="D372" i="208"/>
  <c r="E372" i="208"/>
  <c r="S372" i="208" s="1"/>
  <c r="H372" i="208"/>
  <c r="Q372" i="208" s="1"/>
  <c r="I372" i="208"/>
  <c r="J372" i="208"/>
  <c r="L372" i="208"/>
  <c r="C373" i="208"/>
  <c r="D373" i="208"/>
  <c r="E373" i="208"/>
  <c r="S373" i="208" s="1"/>
  <c r="H373" i="208"/>
  <c r="Q373" i="208" s="1"/>
  <c r="I373" i="208"/>
  <c r="J373" i="208"/>
  <c r="L373" i="208"/>
  <c r="C374" i="208"/>
  <c r="D374" i="208"/>
  <c r="E374" i="208"/>
  <c r="S374" i="208" s="1"/>
  <c r="H374" i="208"/>
  <c r="Q374" i="208" s="1"/>
  <c r="I374" i="208"/>
  <c r="J374" i="208"/>
  <c r="L374" i="208"/>
  <c r="C375" i="208"/>
  <c r="D375" i="208"/>
  <c r="E375" i="208"/>
  <c r="S375" i="208" s="1"/>
  <c r="H375" i="208"/>
  <c r="Q375" i="208" s="1"/>
  <c r="I375" i="208"/>
  <c r="J375" i="208"/>
  <c r="L375" i="208"/>
  <c r="C376" i="208"/>
  <c r="D376" i="208"/>
  <c r="E376" i="208"/>
  <c r="S376" i="208" s="1"/>
  <c r="H376" i="208"/>
  <c r="Q376" i="208" s="1"/>
  <c r="I376" i="208"/>
  <c r="J376" i="208"/>
  <c r="L376" i="208"/>
  <c r="C377" i="208"/>
  <c r="D377" i="208"/>
  <c r="E377" i="208"/>
  <c r="S377" i="208" s="1"/>
  <c r="H377" i="208"/>
  <c r="Q377" i="208" s="1"/>
  <c r="I377" i="208"/>
  <c r="J377" i="208"/>
  <c r="L377" i="208"/>
  <c r="C378" i="208"/>
  <c r="D378" i="208"/>
  <c r="E378" i="208"/>
  <c r="S378" i="208" s="1"/>
  <c r="H378" i="208"/>
  <c r="Q378" i="208" s="1"/>
  <c r="I378" i="208"/>
  <c r="J378" i="208"/>
  <c r="L378" i="208"/>
  <c r="C379" i="208"/>
  <c r="D379" i="208"/>
  <c r="E379" i="208"/>
  <c r="S379" i="208" s="1"/>
  <c r="H379" i="208"/>
  <c r="Q379" i="208" s="1"/>
  <c r="I379" i="208"/>
  <c r="J379" i="208"/>
  <c r="L379" i="208"/>
  <c r="C380" i="208"/>
  <c r="D380" i="208"/>
  <c r="E380" i="208"/>
  <c r="S380" i="208" s="1"/>
  <c r="H380" i="208"/>
  <c r="Q380" i="208" s="1"/>
  <c r="I380" i="208"/>
  <c r="J380" i="208"/>
  <c r="L380" i="208"/>
  <c r="C381" i="208"/>
  <c r="D381" i="208"/>
  <c r="E381" i="208"/>
  <c r="S381" i="208" s="1"/>
  <c r="H381" i="208"/>
  <c r="Q381" i="208" s="1"/>
  <c r="I381" i="208"/>
  <c r="J381" i="208"/>
  <c r="L381" i="208"/>
  <c r="C382" i="208"/>
  <c r="D382" i="208"/>
  <c r="E382" i="208"/>
  <c r="S382" i="208" s="1"/>
  <c r="H382" i="208"/>
  <c r="Q382" i="208" s="1"/>
  <c r="I382" i="208"/>
  <c r="J382" i="208"/>
  <c r="L382" i="208"/>
  <c r="C383" i="208"/>
  <c r="D383" i="208"/>
  <c r="E383" i="208"/>
  <c r="S383" i="208" s="1"/>
  <c r="H383" i="208"/>
  <c r="Q383" i="208" s="1"/>
  <c r="I383" i="208"/>
  <c r="J383" i="208"/>
  <c r="L383" i="208"/>
  <c r="C384" i="208"/>
  <c r="D384" i="208"/>
  <c r="E384" i="208"/>
  <c r="S384" i="208" s="1"/>
  <c r="H384" i="208"/>
  <c r="Q384" i="208" s="1"/>
  <c r="I384" i="208"/>
  <c r="J384" i="208"/>
  <c r="L384" i="208"/>
  <c r="C385" i="208"/>
  <c r="D385" i="208"/>
  <c r="E385" i="208"/>
  <c r="S385" i="208" s="1"/>
  <c r="H385" i="208"/>
  <c r="Q385" i="208" s="1"/>
  <c r="I385" i="208"/>
  <c r="J385" i="208"/>
  <c r="L385" i="208"/>
  <c r="C386" i="208"/>
  <c r="D386" i="208"/>
  <c r="E386" i="208"/>
  <c r="S386" i="208" s="1"/>
  <c r="H386" i="208"/>
  <c r="Q386" i="208" s="1"/>
  <c r="I386" i="208"/>
  <c r="J386" i="208"/>
  <c r="L386" i="208"/>
  <c r="C387" i="208"/>
  <c r="D387" i="208"/>
  <c r="E387" i="208"/>
  <c r="S387" i="208" s="1"/>
  <c r="H387" i="208"/>
  <c r="Q387" i="208" s="1"/>
  <c r="I387" i="208"/>
  <c r="J387" i="208"/>
  <c r="L387" i="208"/>
  <c r="C388" i="208"/>
  <c r="D388" i="208"/>
  <c r="E388" i="208"/>
  <c r="S388" i="208" s="1"/>
  <c r="H388" i="208"/>
  <c r="Q388" i="208" s="1"/>
  <c r="I388" i="208"/>
  <c r="J388" i="208"/>
  <c r="L388" i="208"/>
  <c r="C389" i="208"/>
  <c r="D389" i="208"/>
  <c r="E389" i="208"/>
  <c r="S389" i="208" s="1"/>
  <c r="H389" i="208"/>
  <c r="Q389" i="208" s="1"/>
  <c r="I389" i="208"/>
  <c r="J389" i="208"/>
  <c r="L389" i="208"/>
  <c r="C390" i="208"/>
  <c r="D390" i="208"/>
  <c r="E390" i="208"/>
  <c r="S390" i="208" s="1"/>
  <c r="H390" i="208"/>
  <c r="Q390" i="208" s="1"/>
  <c r="I390" i="208"/>
  <c r="J390" i="208"/>
  <c r="L390" i="208"/>
  <c r="C391" i="208"/>
  <c r="D391" i="208"/>
  <c r="E391" i="208"/>
  <c r="S391" i="208" s="1"/>
  <c r="H391" i="208"/>
  <c r="Q391" i="208" s="1"/>
  <c r="I391" i="208"/>
  <c r="J391" i="208"/>
  <c r="L391" i="208"/>
  <c r="C392" i="208"/>
  <c r="D392" i="208"/>
  <c r="E392" i="208"/>
  <c r="S392" i="208" s="1"/>
  <c r="H392" i="208"/>
  <c r="Q392" i="208" s="1"/>
  <c r="I392" i="208"/>
  <c r="J392" i="208"/>
  <c r="L392" i="208"/>
  <c r="C393" i="208"/>
  <c r="D393" i="208"/>
  <c r="E393" i="208"/>
  <c r="S393" i="208" s="1"/>
  <c r="H393" i="208"/>
  <c r="Q393" i="208" s="1"/>
  <c r="I393" i="208"/>
  <c r="J393" i="208"/>
  <c r="L393" i="208"/>
  <c r="C394" i="208"/>
  <c r="D394" i="208"/>
  <c r="E394" i="208"/>
  <c r="S394" i="208" s="1"/>
  <c r="H394" i="208"/>
  <c r="Q394" i="208" s="1"/>
  <c r="I394" i="208"/>
  <c r="J394" i="208"/>
  <c r="L394" i="208"/>
  <c r="C395" i="208"/>
  <c r="D395" i="208"/>
  <c r="E395" i="208"/>
  <c r="S395" i="208" s="1"/>
  <c r="H395" i="208"/>
  <c r="Q395" i="208" s="1"/>
  <c r="I395" i="208"/>
  <c r="J395" i="208"/>
  <c r="L395" i="208"/>
  <c r="C396" i="208"/>
  <c r="D396" i="208"/>
  <c r="E396" i="208"/>
  <c r="S396" i="208" s="1"/>
  <c r="H396" i="208"/>
  <c r="Q396" i="208" s="1"/>
  <c r="I396" i="208"/>
  <c r="J396" i="208"/>
  <c r="L396" i="208"/>
  <c r="C397" i="208"/>
  <c r="D397" i="208"/>
  <c r="E397" i="208"/>
  <c r="S397" i="208" s="1"/>
  <c r="H397" i="208"/>
  <c r="Q397" i="208" s="1"/>
  <c r="I397" i="208"/>
  <c r="J397" i="208"/>
  <c r="L397" i="208"/>
  <c r="C398" i="208"/>
  <c r="D398" i="208"/>
  <c r="E398" i="208"/>
  <c r="S398" i="208" s="1"/>
  <c r="H398" i="208"/>
  <c r="Q398" i="208" s="1"/>
  <c r="I398" i="208"/>
  <c r="J398" i="208"/>
  <c r="L398" i="208"/>
  <c r="C399" i="208"/>
  <c r="D399" i="208"/>
  <c r="E399" i="208"/>
  <c r="S399" i="208" s="1"/>
  <c r="H399" i="208"/>
  <c r="Q399" i="208" s="1"/>
  <c r="I399" i="208"/>
  <c r="J399" i="208"/>
  <c r="L399" i="208"/>
  <c r="C400" i="208"/>
  <c r="D400" i="208"/>
  <c r="E400" i="208"/>
  <c r="S400" i="208" s="1"/>
  <c r="H400" i="208"/>
  <c r="Q400" i="208" s="1"/>
  <c r="I400" i="208"/>
  <c r="J400" i="208"/>
  <c r="L400" i="208"/>
  <c r="C401" i="208"/>
  <c r="D401" i="208"/>
  <c r="E401" i="208"/>
  <c r="S401" i="208" s="1"/>
  <c r="H401" i="208"/>
  <c r="Q401" i="208" s="1"/>
  <c r="I401" i="208"/>
  <c r="J401" i="208"/>
  <c r="L401" i="208"/>
  <c r="C402" i="208"/>
  <c r="D402" i="208"/>
  <c r="E402" i="208"/>
  <c r="S402" i="208" s="1"/>
  <c r="H402" i="208"/>
  <c r="Q402" i="208" s="1"/>
  <c r="I402" i="208"/>
  <c r="J402" i="208"/>
  <c r="L402" i="208"/>
  <c r="C403" i="208"/>
  <c r="D403" i="208"/>
  <c r="E403" i="208"/>
  <c r="S403" i="208" s="1"/>
  <c r="H403" i="208"/>
  <c r="Q403" i="208" s="1"/>
  <c r="I403" i="208"/>
  <c r="J403" i="208"/>
  <c r="L403" i="208"/>
  <c r="C404" i="208"/>
  <c r="D404" i="208"/>
  <c r="E404" i="208"/>
  <c r="S404" i="208" s="1"/>
  <c r="H404" i="208"/>
  <c r="Q404" i="208" s="1"/>
  <c r="I404" i="208"/>
  <c r="J404" i="208"/>
  <c r="L404" i="208"/>
  <c r="C405" i="208"/>
  <c r="D405" i="208"/>
  <c r="E405" i="208"/>
  <c r="S405" i="208" s="1"/>
  <c r="H405" i="208"/>
  <c r="Q405" i="208" s="1"/>
  <c r="I405" i="208"/>
  <c r="J405" i="208"/>
  <c r="L405" i="208"/>
  <c r="C406" i="208"/>
  <c r="D406" i="208"/>
  <c r="E406" i="208"/>
  <c r="S406" i="208" s="1"/>
  <c r="H406" i="208"/>
  <c r="Q406" i="208" s="1"/>
  <c r="I406" i="208"/>
  <c r="J406" i="208"/>
  <c r="L406" i="208"/>
  <c r="C407" i="208"/>
  <c r="D407" i="208"/>
  <c r="E407" i="208"/>
  <c r="S407" i="208" s="1"/>
  <c r="H407" i="208"/>
  <c r="Q407" i="208" s="1"/>
  <c r="I407" i="208"/>
  <c r="J407" i="208"/>
  <c r="L407" i="208"/>
  <c r="C408" i="208"/>
  <c r="D408" i="208"/>
  <c r="E408" i="208"/>
  <c r="S408" i="208" s="1"/>
  <c r="H408" i="208"/>
  <c r="Q408" i="208" s="1"/>
  <c r="I408" i="208"/>
  <c r="J408" i="208"/>
  <c r="L408" i="208"/>
  <c r="C409" i="208"/>
  <c r="D409" i="208"/>
  <c r="E409" i="208"/>
  <c r="S409" i="208" s="1"/>
  <c r="H409" i="208"/>
  <c r="Q409" i="208" s="1"/>
  <c r="I409" i="208"/>
  <c r="J409" i="208"/>
  <c r="L409" i="208"/>
  <c r="C410" i="208"/>
  <c r="D410" i="208"/>
  <c r="E410" i="208"/>
  <c r="S410" i="208" s="1"/>
  <c r="H410" i="208"/>
  <c r="Q410" i="208" s="1"/>
  <c r="I410" i="208"/>
  <c r="J410" i="208"/>
  <c r="L410" i="208"/>
  <c r="C411" i="208"/>
  <c r="D411" i="208"/>
  <c r="E411" i="208"/>
  <c r="S411" i="208" s="1"/>
  <c r="H411" i="208"/>
  <c r="Q411" i="208" s="1"/>
  <c r="I411" i="208"/>
  <c r="J411" i="208"/>
  <c r="L411" i="208"/>
  <c r="C412" i="208"/>
  <c r="D412" i="208"/>
  <c r="E412" i="208"/>
  <c r="S412" i="208" s="1"/>
  <c r="H412" i="208"/>
  <c r="Q412" i="208" s="1"/>
  <c r="I412" i="208"/>
  <c r="J412" i="208"/>
  <c r="L412" i="208"/>
  <c r="C413" i="208"/>
  <c r="D413" i="208"/>
  <c r="E413" i="208"/>
  <c r="S413" i="208" s="1"/>
  <c r="H413" i="208"/>
  <c r="Q413" i="208" s="1"/>
  <c r="I413" i="208"/>
  <c r="J413" i="208"/>
  <c r="L413" i="208"/>
  <c r="C414" i="208"/>
  <c r="D414" i="208"/>
  <c r="E414" i="208"/>
  <c r="S414" i="208" s="1"/>
  <c r="H414" i="208"/>
  <c r="Q414" i="208" s="1"/>
  <c r="I414" i="208"/>
  <c r="J414" i="208"/>
  <c r="L414" i="208"/>
  <c r="C415" i="208"/>
  <c r="D415" i="208"/>
  <c r="E415" i="208"/>
  <c r="S415" i="208" s="1"/>
  <c r="H415" i="208"/>
  <c r="Q415" i="208" s="1"/>
  <c r="I415" i="208"/>
  <c r="J415" i="208"/>
  <c r="L415" i="208"/>
  <c r="C416" i="208"/>
  <c r="D416" i="208"/>
  <c r="E416" i="208"/>
  <c r="S416" i="208" s="1"/>
  <c r="H416" i="208"/>
  <c r="Q416" i="208" s="1"/>
  <c r="I416" i="208"/>
  <c r="J416" i="208"/>
  <c r="L416" i="208"/>
  <c r="C417" i="208"/>
  <c r="D417" i="208"/>
  <c r="E417" i="208"/>
  <c r="S417" i="208" s="1"/>
  <c r="H417" i="208"/>
  <c r="Q417" i="208" s="1"/>
  <c r="I417" i="208"/>
  <c r="J417" i="208"/>
  <c r="L417" i="208"/>
  <c r="C418" i="208"/>
  <c r="D418" i="208"/>
  <c r="E418" i="208"/>
  <c r="S418" i="208" s="1"/>
  <c r="H418" i="208"/>
  <c r="Q418" i="208" s="1"/>
  <c r="I418" i="208"/>
  <c r="J418" i="208"/>
  <c r="L418" i="208"/>
  <c r="C419" i="208"/>
  <c r="D419" i="208"/>
  <c r="E419" i="208"/>
  <c r="S419" i="208" s="1"/>
  <c r="H419" i="208"/>
  <c r="Q419" i="208" s="1"/>
  <c r="I419" i="208"/>
  <c r="J419" i="208"/>
  <c r="L419" i="208"/>
  <c r="C420" i="208"/>
  <c r="D420" i="208"/>
  <c r="E420" i="208"/>
  <c r="S420" i="208" s="1"/>
  <c r="H420" i="208"/>
  <c r="Q420" i="208" s="1"/>
  <c r="I420" i="208"/>
  <c r="J420" i="208"/>
  <c r="L420" i="208"/>
  <c r="C421" i="208"/>
  <c r="D421" i="208"/>
  <c r="E421" i="208"/>
  <c r="S421" i="208" s="1"/>
  <c r="H421" i="208"/>
  <c r="Q421" i="208" s="1"/>
  <c r="I421" i="208"/>
  <c r="J421" i="208"/>
  <c r="L421" i="208"/>
  <c r="C422" i="208"/>
  <c r="D422" i="208"/>
  <c r="E422" i="208"/>
  <c r="S422" i="208" s="1"/>
  <c r="H422" i="208"/>
  <c r="Q422" i="208" s="1"/>
  <c r="I422" i="208"/>
  <c r="J422" i="208"/>
  <c r="L422" i="208"/>
  <c r="C423" i="208"/>
  <c r="D423" i="208"/>
  <c r="E423" i="208"/>
  <c r="S423" i="208" s="1"/>
  <c r="H423" i="208"/>
  <c r="Q423" i="208" s="1"/>
  <c r="I423" i="208"/>
  <c r="J423" i="208"/>
  <c r="L423" i="208"/>
  <c r="C424" i="208"/>
  <c r="D424" i="208"/>
  <c r="E424" i="208"/>
  <c r="S424" i="208" s="1"/>
  <c r="H424" i="208"/>
  <c r="Q424" i="208" s="1"/>
  <c r="I424" i="208"/>
  <c r="J424" i="208"/>
  <c r="L424" i="208"/>
  <c r="C425" i="208"/>
  <c r="D425" i="208"/>
  <c r="E425" i="208"/>
  <c r="S425" i="208" s="1"/>
  <c r="H425" i="208"/>
  <c r="Q425" i="208" s="1"/>
  <c r="I425" i="208"/>
  <c r="J425" i="208"/>
  <c r="L425" i="208"/>
  <c r="C426" i="208"/>
  <c r="D426" i="208"/>
  <c r="E426" i="208"/>
  <c r="S426" i="208" s="1"/>
  <c r="H426" i="208"/>
  <c r="Q426" i="208" s="1"/>
  <c r="I426" i="208"/>
  <c r="J426" i="208"/>
  <c r="L426" i="208"/>
  <c r="C427" i="208"/>
  <c r="D427" i="208"/>
  <c r="E427" i="208"/>
  <c r="S427" i="208" s="1"/>
  <c r="H427" i="208"/>
  <c r="Q427" i="208" s="1"/>
  <c r="I427" i="208"/>
  <c r="J427" i="208"/>
  <c r="L427" i="208"/>
  <c r="C428" i="208"/>
  <c r="D428" i="208"/>
  <c r="E428" i="208"/>
  <c r="S428" i="208" s="1"/>
  <c r="H428" i="208"/>
  <c r="Q428" i="208" s="1"/>
  <c r="I428" i="208"/>
  <c r="J428" i="208"/>
  <c r="L428" i="208"/>
  <c r="C429" i="208"/>
  <c r="D429" i="208"/>
  <c r="E429" i="208"/>
  <c r="S429" i="208" s="1"/>
  <c r="H429" i="208"/>
  <c r="Q429" i="208" s="1"/>
  <c r="I429" i="208"/>
  <c r="J429" i="208"/>
  <c r="L429" i="208"/>
  <c r="C430" i="208"/>
  <c r="D430" i="208"/>
  <c r="E430" i="208"/>
  <c r="S430" i="208" s="1"/>
  <c r="H430" i="208"/>
  <c r="Q430" i="208" s="1"/>
  <c r="I430" i="208"/>
  <c r="J430" i="208"/>
  <c r="L430" i="208"/>
  <c r="C431" i="208"/>
  <c r="D431" i="208"/>
  <c r="E431" i="208"/>
  <c r="S431" i="208" s="1"/>
  <c r="H431" i="208"/>
  <c r="Q431" i="208" s="1"/>
  <c r="I431" i="208"/>
  <c r="J431" i="208"/>
  <c r="L431" i="208"/>
  <c r="C432" i="208"/>
  <c r="D432" i="208"/>
  <c r="E432" i="208"/>
  <c r="S432" i="208" s="1"/>
  <c r="H432" i="208"/>
  <c r="Q432" i="208" s="1"/>
  <c r="I432" i="208"/>
  <c r="J432" i="208"/>
  <c r="L432" i="208"/>
  <c r="C433" i="208"/>
  <c r="D433" i="208"/>
  <c r="E433" i="208"/>
  <c r="S433" i="208" s="1"/>
  <c r="H433" i="208"/>
  <c r="Q433" i="208" s="1"/>
  <c r="I433" i="208"/>
  <c r="J433" i="208"/>
  <c r="L433" i="208"/>
  <c r="C434" i="208"/>
  <c r="D434" i="208"/>
  <c r="E434" i="208"/>
  <c r="S434" i="208" s="1"/>
  <c r="H434" i="208"/>
  <c r="Q434" i="208" s="1"/>
  <c r="I434" i="208"/>
  <c r="J434" i="208"/>
  <c r="L434" i="208"/>
  <c r="C435" i="208"/>
  <c r="D435" i="208"/>
  <c r="E435" i="208"/>
  <c r="S435" i="208" s="1"/>
  <c r="H435" i="208"/>
  <c r="Q435" i="208" s="1"/>
  <c r="I435" i="208"/>
  <c r="J435" i="208"/>
  <c r="L435" i="208"/>
  <c r="C436" i="208"/>
  <c r="D436" i="208"/>
  <c r="E436" i="208"/>
  <c r="S436" i="208" s="1"/>
  <c r="H436" i="208"/>
  <c r="Q436" i="208" s="1"/>
  <c r="I436" i="208"/>
  <c r="J436" i="208"/>
  <c r="L436" i="208"/>
  <c r="C437" i="208"/>
  <c r="D437" i="208"/>
  <c r="E437" i="208"/>
  <c r="S437" i="208" s="1"/>
  <c r="H437" i="208"/>
  <c r="Q437" i="208" s="1"/>
  <c r="I437" i="208"/>
  <c r="J437" i="208"/>
  <c r="L437" i="208"/>
  <c r="C438" i="208"/>
  <c r="D438" i="208"/>
  <c r="E438" i="208"/>
  <c r="S438" i="208" s="1"/>
  <c r="H438" i="208"/>
  <c r="Q438" i="208" s="1"/>
  <c r="I438" i="208"/>
  <c r="J438" i="208"/>
  <c r="L438" i="208"/>
  <c r="C439" i="208"/>
  <c r="D439" i="208"/>
  <c r="E439" i="208"/>
  <c r="S439" i="208" s="1"/>
  <c r="H439" i="208"/>
  <c r="Q439" i="208" s="1"/>
  <c r="I439" i="208"/>
  <c r="J439" i="208"/>
  <c r="L439" i="208"/>
  <c r="C440" i="208"/>
  <c r="D440" i="208"/>
  <c r="E440" i="208"/>
  <c r="S440" i="208" s="1"/>
  <c r="H440" i="208"/>
  <c r="Q440" i="208" s="1"/>
  <c r="I440" i="208"/>
  <c r="J440" i="208"/>
  <c r="L440" i="208"/>
  <c r="C441" i="208"/>
  <c r="D441" i="208"/>
  <c r="E441" i="208"/>
  <c r="S441" i="208" s="1"/>
  <c r="H441" i="208"/>
  <c r="Q441" i="208" s="1"/>
  <c r="I441" i="208"/>
  <c r="J441" i="208"/>
  <c r="L441" i="208"/>
  <c r="C442" i="208"/>
  <c r="D442" i="208"/>
  <c r="E442" i="208"/>
  <c r="S442" i="208" s="1"/>
  <c r="H442" i="208"/>
  <c r="Q442" i="208" s="1"/>
  <c r="I442" i="208"/>
  <c r="J442" i="208"/>
  <c r="L442" i="208"/>
  <c r="C443" i="208"/>
  <c r="D443" i="208"/>
  <c r="E443" i="208"/>
  <c r="S443" i="208" s="1"/>
  <c r="H443" i="208"/>
  <c r="Q443" i="208" s="1"/>
  <c r="I443" i="208"/>
  <c r="J443" i="208"/>
  <c r="L443" i="208"/>
  <c r="C444" i="208"/>
  <c r="D444" i="208"/>
  <c r="E444" i="208"/>
  <c r="S444" i="208" s="1"/>
  <c r="H444" i="208"/>
  <c r="Q444" i="208" s="1"/>
  <c r="I444" i="208"/>
  <c r="J444" i="208"/>
  <c r="L444" i="208"/>
  <c r="C445" i="208"/>
  <c r="D445" i="208"/>
  <c r="E445" i="208"/>
  <c r="S445" i="208" s="1"/>
  <c r="H445" i="208"/>
  <c r="Q445" i="208" s="1"/>
  <c r="I445" i="208"/>
  <c r="J445" i="208"/>
  <c r="L445" i="208"/>
  <c r="C446" i="208"/>
  <c r="D446" i="208"/>
  <c r="E446" i="208"/>
  <c r="S446" i="208" s="1"/>
  <c r="H446" i="208"/>
  <c r="Q446" i="208" s="1"/>
  <c r="I446" i="208"/>
  <c r="J446" i="208"/>
  <c r="L446" i="208"/>
  <c r="C447" i="208"/>
  <c r="D447" i="208"/>
  <c r="E447" i="208"/>
  <c r="S447" i="208" s="1"/>
  <c r="H447" i="208"/>
  <c r="Q447" i="208" s="1"/>
  <c r="I447" i="208"/>
  <c r="J447" i="208"/>
  <c r="L447" i="208"/>
  <c r="C448" i="208"/>
  <c r="D448" i="208"/>
  <c r="E448" i="208"/>
  <c r="S448" i="208" s="1"/>
  <c r="H448" i="208"/>
  <c r="Q448" i="208" s="1"/>
  <c r="I448" i="208"/>
  <c r="J448" i="208"/>
  <c r="L448" i="208"/>
  <c r="C449" i="208"/>
  <c r="D449" i="208"/>
  <c r="E449" i="208"/>
  <c r="S449" i="208" s="1"/>
  <c r="H449" i="208"/>
  <c r="Q449" i="208" s="1"/>
  <c r="I449" i="208"/>
  <c r="J449" i="208"/>
  <c r="L449" i="208"/>
  <c r="C450" i="208"/>
  <c r="D450" i="208"/>
  <c r="E450" i="208"/>
  <c r="S450" i="208" s="1"/>
  <c r="H450" i="208"/>
  <c r="Q450" i="208" s="1"/>
  <c r="I450" i="208"/>
  <c r="J450" i="208"/>
  <c r="L450" i="208"/>
  <c r="C451" i="208"/>
  <c r="D451" i="208"/>
  <c r="E451" i="208"/>
  <c r="S451" i="208" s="1"/>
  <c r="H451" i="208"/>
  <c r="Q451" i="208" s="1"/>
  <c r="I451" i="208"/>
  <c r="J451" i="208"/>
  <c r="L451" i="208"/>
  <c r="C452" i="208"/>
  <c r="D452" i="208"/>
  <c r="E452" i="208"/>
  <c r="S452" i="208" s="1"/>
  <c r="H452" i="208"/>
  <c r="Q452" i="208" s="1"/>
  <c r="I452" i="208"/>
  <c r="J452" i="208"/>
  <c r="L452" i="208"/>
  <c r="C453" i="208"/>
  <c r="D453" i="208"/>
  <c r="E453" i="208"/>
  <c r="S453" i="208" s="1"/>
  <c r="H453" i="208"/>
  <c r="Q453" i="208" s="1"/>
  <c r="I453" i="208"/>
  <c r="J453" i="208"/>
  <c r="L453" i="208"/>
  <c r="C454" i="208"/>
  <c r="D454" i="208"/>
  <c r="E454" i="208"/>
  <c r="S454" i="208" s="1"/>
  <c r="H454" i="208"/>
  <c r="Q454" i="208" s="1"/>
  <c r="I454" i="208"/>
  <c r="J454" i="208"/>
  <c r="L454" i="208"/>
  <c r="C455" i="208"/>
  <c r="D455" i="208"/>
  <c r="E455" i="208"/>
  <c r="S455" i="208" s="1"/>
  <c r="H455" i="208"/>
  <c r="Q455" i="208" s="1"/>
  <c r="I455" i="208"/>
  <c r="J455" i="208"/>
  <c r="L455" i="208"/>
  <c r="C456" i="208"/>
  <c r="D456" i="208"/>
  <c r="E456" i="208"/>
  <c r="S456" i="208" s="1"/>
  <c r="H456" i="208"/>
  <c r="Q456" i="208" s="1"/>
  <c r="I456" i="208"/>
  <c r="J456" i="208"/>
  <c r="L456" i="208"/>
  <c r="C457" i="208"/>
  <c r="D457" i="208"/>
  <c r="E457" i="208"/>
  <c r="S457" i="208" s="1"/>
  <c r="H457" i="208"/>
  <c r="Q457" i="208" s="1"/>
  <c r="I457" i="208"/>
  <c r="J457" i="208"/>
  <c r="L457" i="208"/>
  <c r="C458" i="208"/>
  <c r="D458" i="208"/>
  <c r="E458" i="208"/>
  <c r="S458" i="208" s="1"/>
  <c r="H458" i="208"/>
  <c r="Q458" i="208" s="1"/>
  <c r="I458" i="208"/>
  <c r="J458" i="208"/>
  <c r="L458" i="208"/>
  <c r="C459" i="208"/>
  <c r="D459" i="208"/>
  <c r="E459" i="208"/>
  <c r="S459" i="208" s="1"/>
  <c r="H459" i="208"/>
  <c r="Q459" i="208" s="1"/>
  <c r="I459" i="208"/>
  <c r="J459" i="208"/>
  <c r="L459" i="208"/>
  <c r="C460" i="208"/>
  <c r="D460" i="208"/>
  <c r="E460" i="208"/>
  <c r="S460" i="208" s="1"/>
  <c r="H460" i="208"/>
  <c r="Q460" i="208" s="1"/>
  <c r="I460" i="208"/>
  <c r="J460" i="208"/>
  <c r="L460" i="208"/>
  <c r="C461" i="208"/>
  <c r="D461" i="208"/>
  <c r="E461" i="208"/>
  <c r="S461" i="208" s="1"/>
  <c r="H461" i="208"/>
  <c r="Q461" i="208" s="1"/>
  <c r="I461" i="208"/>
  <c r="J461" i="208"/>
  <c r="L461" i="208"/>
  <c r="C462" i="208"/>
  <c r="D462" i="208"/>
  <c r="E462" i="208"/>
  <c r="S462" i="208" s="1"/>
  <c r="H462" i="208"/>
  <c r="Q462" i="208" s="1"/>
  <c r="I462" i="208"/>
  <c r="J462" i="208"/>
  <c r="L462" i="208"/>
  <c r="C463" i="208"/>
  <c r="D463" i="208"/>
  <c r="E463" i="208"/>
  <c r="S463" i="208" s="1"/>
  <c r="H463" i="208"/>
  <c r="Q463" i="208" s="1"/>
  <c r="I463" i="208"/>
  <c r="J463" i="208"/>
  <c r="O463" i="208" s="1"/>
  <c r="L463" i="208"/>
  <c r="C464" i="208"/>
  <c r="D464" i="208"/>
  <c r="E464" i="208"/>
  <c r="S464" i="208" s="1"/>
  <c r="H464" i="208"/>
  <c r="Q464" i="208" s="1"/>
  <c r="I464" i="208"/>
  <c r="J464" i="208"/>
  <c r="L464" i="208"/>
  <c r="C465" i="208"/>
  <c r="D465" i="208"/>
  <c r="E465" i="208"/>
  <c r="S465" i="208" s="1"/>
  <c r="H465" i="208"/>
  <c r="Q465" i="208" s="1"/>
  <c r="I465" i="208"/>
  <c r="J465" i="208"/>
  <c r="L465" i="208"/>
  <c r="C466" i="208"/>
  <c r="D466" i="208"/>
  <c r="E466" i="208"/>
  <c r="S466" i="208" s="1"/>
  <c r="H466" i="208"/>
  <c r="Q466" i="208" s="1"/>
  <c r="I466" i="208"/>
  <c r="J466" i="208"/>
  <c r="L466" i="208"/>
  <c r="C467" i="208"/>
  <c r="D467" i="208"/>
  <c r="E467" i="208"/>
  <c r="S467" i="208" s="1"/>
  <c r="H467" i="208"/>
  <c r="Q467" i="208" s="1"/>
  <c r="I467" i="208"/>
  <c r="J467" i="208"/>
  <c r="L467" i="208"/>
  <c r="C468" i="208"/>
  <c r="D468" i="208"/>
  <c r="E468" i="208"/>
  <c r="S468" i="208" s="1"/>
  <c r="H468" i="208"/>
  <c r="Q468" i="208" s="1"/>
  <c r="I468" i="208"/>
  <c r="J468" i="208"/>
  <c r="L468" i="208"/>
  <c r="C469" i="208"/>
  <c r="D469" i="208"/>
  <c r="E469" i="208"/>
  <c r="S469" i="208" s="1"/>
  <c r="H469" i="208"/>
  <c r="Q469" i="208" s="1"/>
  <c r="I469" i="208"/>
  <c r="J469" i="208"/>
  <c r="L469" i="208"/>
  <c r="C470" i="208"/>
  <c r="D470" i="208"/>
  <c r="E470" i="208"/>
  <c r="S470" i="208" s="1"/>
  <c r="H470" i="208"/>
  <c r="Q470" i="208" s="1"/>
  <c r="I470" i="208"/>
  <c r="J470" i="208"/>
  <c r="L470" i="208"/>
  <c r="C471" i="208"/>
  <c r="D471" i="208"/>
  <c r="E471" i="208"/>
  <c r="S471" i="208" s="1"/>
  <c r="H471" i="208"/>
  <c r="Q471" i="208" s="1"/>
  <c r="I471" i="208"/>
  <c r="J471" i="208"/>
  <c r="L471" i="208"/>
  <c r="C472" i="208"/>
  <c r="D472" i="208"/>
  <c r="E472" i="208"/>
  <c r="S472" i="208" s="1"/>
  <c r="H472" i="208"/>
  <c r="Q472" i="208" s="1"/>
  <c r="I472" i="208"/>
  <c r="J472" i="208"/>
  <c r="L472" i="208"/>
  <c r="C473" i="208"/>
  <c r="D473" i="208"/>
  <c r="E473" i="208"/>
  <c r="S473" i="208" s="1"/>
  <c r="H473" i="208"/>
  <c r="Q473" i="208" s="1"/>
  <c r="I473" i="208"/>
  <c r="J473" i="208"/>
  <c r="L473" i="208"/>
  <c r="C474" i="208"/>
  <c r="D474" i="208"/>
  <c r="E474" i="208"/>
  <c r="S474" i="208" s="1"/>
  <c r="H474" i="208"/>
  <c r="Q474" i="208" s="1"/>
  <c r="I474" i="208"/>
  <c r="J474" i="208"/>
  <c r="L474" i="208"/>
  <c r="C475" i="208"/>
  <c r="D475" i="208"/>
  <c r="E475" i="208"/>
  <c r="S475" i="208" s="1"/>
  <c r="H475" i="208"/>
  <c r="Q475" i="208" s="1"/>
  <c r="I475" i="208"/>
  <c r="J475" i="208"/>
  <c r="L475" i="208"/>
  <c r="C476" i="208"/>
  <c r="D476" i="208"/>
  <c r="E476" i="208"/>
  <c r="S476" i="208" s="1"/>
  <c r="H476" i="208"/>
  <c r="Q476" i="208" s="1"/>
  <c r="I476" i="208"/>
  <c r="J476" i="208"/>
  <c r="L476" i="208"/>
  <c r="C477" i="208"/>
  <c r="D477" i="208"/>
  <c r="E477" i="208"/>
  <c r="S477" i="208" s="1"/>
  <c r="H477" i="208"/>
  <c r="Q477" i="208" s="1"/>
  <c r="I477" i="208"/>
  <c r="J477" i="208"/>
  <c r="L477" i="208"/>
  <c r="C478" i="208"/>
  <c r="D478" i="208"/>
  <c r="E478" i="208"/>
  <c r="S478" i="208" s="1"/>
  <c r="H478" i="208"/>
  <c r="Q478" i="208" s="1"/>
  <c r="I478" i="208"/>
  <c r="J478" i="208"/>
  <c r="L478" i="208"/>
  <c r="C479" i="208"/>
  <c r="D479" i="208"/>
  <c r="E479" i="208"/>
  <c r="S479" i="208" s="1"/>
  <c r="H479" i="208"/>
  <c r="Q479" i="208" s="1"/>
  <c r="I479" i="208"/>
  <c r="J479" i="208"/>
  <c r="L479" i="208"/>
  <c r="C480" i="208"/>
  <c r="D480" i="208"/>
  <c r="E480" i="208"/>
  <c r="S480" i="208" s="1"/>
  <c r="H480" i="208"/>
  <c r="Q480" i="208" s="1"/>
  <c r="I480" i="208"/>
  <c r="J480" i="208"/>
  <c r="L480" i="208"/>
  <c r="C481" i="208"/>
  <c r="D481" i="208"/>
  <c r="E481" i="208"/>
  <c r="S481" i="208" s="1"/>
  <c r="H481" i="208"/>
  <c r="Q481" i="208" s="1"/>
  <c r="I481" i="208"/>
  <c r="J481" i="208"/>
  <c r="L481" i="208"/>
  <c r="C482" i="208"/>
  <c r="D482" i="208"/>
  <c r="E482" i="208"/>
  <c r="S482" i="208" s="1"/>
  <c r="H482" i="208"/>
  <c r="Q482" i="208" s="1"/>
  <c r="I482" i="208"/>
  <c r="J482" i="208"/>
  <c r="L482" i="208"/>
  <c r="C483" i="208"/>
  <c r="D483" i="208"/>
  <c r="E483" i="208"/>
  <c r="S483" i="208" s="1"/>
  <c r="H483" i="208"/>
  <c r="Q483" i="208" s="1"/>
  <c r="I483" i="208"/>
  <c r="J483" i="208"/>
  <c r="L483" i="208"/>
  <c r="C484" i="208"/>
  <c r="D484" i="208"/>
  <c r="E484" i="208"/>
  <c r="S484" i="208" s="1"/>
  <c r="H484" i="208"/>
  <c r="Q484" i="208" s="1"/>
  <c r="I484" i="208"/>
  <c r="J484" i="208"/>
  <c r="L484" i="208"/>
  <c r="C485" i="208"/>
  <c r="D485" i="208"/>
  <c r="E485" i="208"/>
  <c r="S485" i="208" s="1"/>
  <c r="H485" i="208"/>
  <c r="Q485" i="208" s="1"/>
  <c r="I485" i="208"/>
  <c r="J485" i="208"/>
  <c r="L485" i="208"/>
  <c r="C486" i="208"/>
  <c r="D486" i="208"/>
  <c r="E486" i="208"/>
  <c r="S486" i="208" s="1"/>
  <c r="H486" i="208"/>
  <c r="Q486" i="208" s="1"/>
  <c r="I486" i="208"/>
  <c r="J486" i="208"/>
  <c r="L486" i="208"/>
  <c r="C487" i="208"/>
  <c r="D487" i="208"/>
  <c r="E487" i="208"/>
  <c r="S487" i="208" s="1"/>
  <c r="H487" i="208"/>
  <c r="Q487" i="208" s="1"/>
  <c r="I487" i="208"/>
  <c r="J487" i="208"/>
  <c r="L487" i="208"/>
  <c r="C488" i="208"/>
  <c r="D488" i="208"/>
  <c r="E488" i="208"/>
  <c r="S488" i="208" s="1"/>
  <c r="H488" i="208"/>
  <c r="Q488" i="208" s="1"/>
  <c r="I488" i="208"/>
  <c r="J488" i="208"/>
  <c r="L488" i="208"/>
  <c r="C489" i="208"/>
  <c r="D489" i="208"/>
  <c r="E489" i="208"/>
  <c r="S489" i="208" s="1"/>
  <c r="H489" i="208"/>
  <c r="Q489" i="208" s="1"/>
  <c r="I489" i="208"/>
  <c r="J489" i="208"/>
  <c r="L489" i="208"/>
  <c r="C490" i="208"/>
  <c r="D490" i="208"/>
  <c r="E490" i="208"/>
  <c r="S490" i="208" s="1"/>
  <c r="H490" i="208"/>
  <c r="Q490" i="208" s="1"/>
  <c r="I490" i="208"/>
  <c r="J490" i="208"/>
  <c r="L490" i="208"/>
  <c r="C491" i="208"/>
  <c r="D491" i="208"/>
  <c r="E491" i="208"/>
  <c r="S491" i="208" s="1"/>
  <c r="H491" i="208"/>
  <c r="Q491" i="208" s="1"/>
  <c r="I491" i="208"/>
  <c r="J491" i="208"/>
  <c r="L491" i="208"/>
  <c r="C492" i="208"/>
  <c r="D492" i="208"/>
  <c r="E492" i="208"/>
  <c r="S492" i="208" s="1"/>
  <c r="H492" i="208"/>
  <c r="Q492" i="208" s="1"/>
  <c r="I492" i="208"/>
  <c r="J492" i="208"/>
  <c r="L492" i="208"/>
  <c r="C493" i="208"/>
  <c r="D493" i="208"/>
  <c r="E493" i="208"/>
  <c r="S493" i="208" s="1"/>
  <c r="H493" i="208"/>
  <c r="Q493" i="208" s="1"/>
  <c r="I493" i="208"/>
  <c r="J493" i="208"/>
  <c r="L493" i="208"/>
  <c r="C494" i="208"/>
  <c r="D494" i="208"/>
  <c r="E494" i="208"/>
  <c r="S494" i="208" s="1"/>
  <c r="H494" i="208"/>
  <c r="Q494" i="208" s="1"/>
  <c r="I494" i="208"/>
  <c r="J494" i="208"/>
  <c r="L494" i="208"/>
  <c r="C495" i="208"/>
  <c r="D495" i="208"/>
  <c r="E495" i="208"/>
  <c r="S495" i="208" s="1"/>
  <c r="H495" i="208"/>
  <c r="Q495" i="208" s="1"/>
  <c r="I495" i="208"/>
  <c r="J495" i="208"/>
  <c r="L495" i="208"/>
  <c r="C496" i="208"/>
  <c r="D496" i="208"/>
  <c r="E496" i="208"/>
  <c r="S496" i="208" s="1"/>
  <c r="H496" i="208"/>
  <c r="Q496" i="208" s="1"/>
  <c r="I496" i="208"/>
  <c r="J496" i="208"/>
  <c r="L496" i="208"/>
  <c r="C497" i="208"/>
  <c r="D497" i="208"/>
  <c r="E497" i="208"/>
  <c r="S497" i="208" s="1"/>
  <c r="H497" i="208"/>
  <c r="Q497" i="208" s="1"/>
  <c r="I497" i="208"/>
  <c r="J497" i="208"/>
  <c r="L497" i="208"/>
  <c r="C498" i="208"/>
  <c r="D498" i="208"/>
  <c r="E498" i="208"/>
  <c r="S498" i="208" s="1"/>
  <c r="H498" i="208"/>
  <c r="Q498" i="208" s="1"/>
  <c r="I498" i="208"/>
  <c r="J498" i="208"/>
  <c r="L498" i="208"/>
  <c r="C499" i="208"/>
  <c r="D499" i="208"/>
  <c r="E499" i="208"/>
  <c r="S499" i="208" s="1"/>
  <c r="H499" i="208"/>
  <c r="Q499" i="208" s="1"/>
  <c r="I499" i="208"/>
  <c r="J499" i="208"/>
  <c r="L499" i="208"/>
  <c r="C500" i="208"/>
  <c r="D500" i="208"/>
  <c r="E500" i="208"/>
  <c r="S500" i="208" s="1"/>
  <c r="H500" i="208"/>
  <c r="Q500" i="208" s="1"/>
  <c r="I500" i="208"/>
  <c r="J500" i="208"/>
  <c r="L500" i="208"/>
  <c r="C501" i="208"/>
  <c r="D501" i="208"/>
  <c r="E501" i="208"/>
  <c r="S501" i="208" s="1"/>
  <c r="H501" i="208"/>
  <c r="Q501" i="208" s="1"/>
  <c r="I501" i="208"/>
  <c r="J501" i="208"/>
  <c r="L501" i="208"/>
  <c r="C502" i="208"/>
  <c r="D502" i="208"/>
  <c r="E502" i="208"/>
  <c r="S502" i="208" s="1"/>
  <c r="H502" i="208"/>
  <c r="Q502" i="208" s="1"/>
  <c r="I502" i="208"/>
  <c r="J502" i="208"/>
  <c r="L502" i="208"/>
  <c r="C503" i="208"/>
  <c r="D503" i="208"/>
  <c r="E503" i="208"/>
  <c r="S503" i="208" s="1"/>
  <c r="H503" i="208"/>
  <c r="Q503" i="208" s="1"/>
  <c r="I503" i="208"/>
  <c r="J503" i="208"/>
  <c r="L503" i="208"/>
  <c r="C504" i="208"/>
  <c r="D504" i="208"/>
  <c r="E504" i="208"/>
  <c r="S504" i="208" s="1"/>
  <c r="H504" i="208"/>
  <c r="Q504" i="208" s="1"/>
  <c r="I504" i="208"/>
  <c r="J504" i="208"/>
  <c r="L504" i="208"/>
  <c r="C505" i="208"/>
  <c r="D505" i="208"/>
  <c r="E505" i="208"/>
  <c r="S505" i="208" s="1"/>
  <c r="H505" i="208"/>
  <c r="Q505" i="208" s="1"/>
  <c r="I505" i="208"/>
  <c r="J505" i="208"/>
  <c r="L505" i="208"/>
  <c r="C506" i="208"/>
  <c r="D506" i="208"/>
  <c r="E506" i="208"/>
  <c r="S506" i="208" s="1"/>
  <c r="H506" i="208"/>
  <c r="Q506" i="208" s="1"/>
  <c r="I506" i="208"/>
  <c r="J506" i="208"/>
  <c r="L506" i="208"/>
  <c r="C507" i="208"/>
  <c r="D507" i="208"/>
  <c r="E507" i="208"/>
  <c r="S507" i="208" s="1"/>
  <c r="H507" i="208"/>
  <c r="Q507" i="208" s="1"/>
  <c r="I507" i="208"/>
  <c r="J507" i="208"/>
  <c r="L507" i="208"/>
  <c r="C508" i="208"/>
  <c r="D508" i="208"/>
  <c r="E508" i="208"/>
  <c r="S508" i="208" s="1"/>
  <c r="H508" i="208"/>
  <c r="Q508" i="208" s="1"/>
  <c r="I508" i="208"/>
  <c r="J508" i="208"/>
  <c r="L508" i="208"/>
  <c r="C509" i="208"/>
  <c r="D509" i="208"/>
  <c r="E509" i="208"/>
  <c r="S509" i="208" s="1"/>
  <c r="H509" i="208"/>
  <c r="Q509" i="208" s="1"/>
  <c r="I509" i="208"/>
  <c r="J509" i="208"/>
  <c r="L509" i="208"/>
  <c r="C510" i="208"/>
  <c r="D510" i="208"/>
  <c r="E510" i="208"/>
  <c r="S510" i="208" s="1"/>
  <c r="H510" i="208"/>
  <c r="Q510" i="208" s="1"/>
  <c r="I510" i="208"/>
  <c r="J510" i="208"/>
  <c r="L510" i="208"/>
  <c r="C511" i="208"/>
  <c r="D511" i="208"/>
  <c r="E511" i="208"/>
  <c r="S511" i="208" s="1"/>
  <c r="H511" i="208"/>
  <c r="Q511" i="208" s="1"/>
  <c r="I511" i="208"/>
  <c r="J511" i="208"/>
  <c r="L511" i="208"/>
  <c r="C512" i="208"/>
  <c r="D512" i="208"/>
  <c r="E512" i="208"/>
  <c r="S512" i="208" s="1"/>
  <c r="H512" i="208"/>
  <c r="Q512" i="208" s="1"/>
  <c r="I512" i="208"/>
  <c r="J512" i="208"/>
  <c r="L512" i="208"/>
  <c r="C513" i="208"/>
  <c r="D513" i="208"/>
  <c r="E513" i="208"/>
  <c r="S513" i="208" s="1"/>
  <c r="H513" i="208"/>
  <c r="Q513" i="208" s="1"/>
  <c r="I513" i="208"/>
  <c r="J513" i="208"/>
  <c r="L513" i="208"/>
  <c r="C514" i="208"/>
  <c r="D514" i="208"/>
  <c r="E514" i="208"/>
  <c r="S514" i="208" s="1"/>
  <c r="H514" i="208"/>
  <c r="Q514" i="208" s="1"/>
  <c r="I514" i="208"/>
  <c r="J514" i="208"/>
  <c r="L514" i="208"/>
  <c r="C515" i="208"/>
  <c r="D515" i="208"/>
  <c r="E515" i="208"/>
  <c r="S515" i="208" s="1"/>
  <c r="H515" i="208"/>
  <c r="Q515" i="208" s="1"/>
  <c r="I515" i="208"/>
  <c r="J515" i="208"/>
  <c r="L515" i="208"/>
  <c r="C516" i="208"/>
  <c r="D516" i="208"/>
  <c r="E516" i="208"/>
  <c r="S516" i="208" s="1"/>
  <c r="H516" i="208"/>
  <c r="Q516" i="208" s="1"/>
  <c r="I516" i="208"/>
  <c r="J516" i="208"/>
  <c r="L516" i="208"/>
  <c r="C517" i="208"/>
  <c r="D517" i="208"/>
  <c r="E517" i="208"/>
  <c r="S517" i="208" s="1"/>
  <c r="H517" i="208"/>
  <c r="Q517" i="208" s="1"/>
  <c r="I517" i="208"/>
  <c r="J517" i="208"/>
  <c r="L517" i="208"/>
  <c r="C518" i="208"/>
  <c r="D518" i="208"/>
  <c r="E518" i="208"/>
  <c r="S518" i="208" s="1"/>
  <c r="H518" i="208"/>
  <c r="Q518" i="208" s="1"/>
  <c r="I518" i="208"/>
  <c r="J518" i="208"/>
  <c r="L518" i="208"/>
  <c r="C519" i="208"/>
  <c r="D519" i="208"/>
  <c r="E519" i="208"/>
  <c r="S519" i="208" s="1"/>
  <c r="H519" i="208"/>
  <c r="Q519" i="208" s="1"/>
  <c r="I519" i="208"/>
  <c r="J519" i="208"/>
  <c r="L519" i="208"/>
  <c r="C520" i="208"/>
  <c r="D520" i="208"/>
  <c r="E520" i="208"/>
  <c r="S520" i="208" s="1"/>
  <c r="H520" i="208"/>
  <c r="Q520" i="208" s="1"/>
  <c r="I520" i="208"/>
  <c r="J520" i="208"/>
  <c r="L520" i="208"/>
  <c r="C521" i="208"/>
  <c r="D521" i="208"/>
  <c r="E521" i="208"/>
  <c r="S521" i="208" s="1"/>
  <c r="H521" i="208"/>
  <c r="Q521" i="208" s="1"/>
  <c r="I521" i="208"/>
  <c r="J521" i="208"/>
  <c r="L521" i="208"/>
  <c r="C522" i="208"/>
  <c r="D522" i="208"/>
  <c r="E522" i="208"/>
  <c r="S522" i="208" s="1"/>
  <c r="H522" i="208"/>
  <c r="Q522" i="208" s="1"/>
  <c r="I522" i="208"/>
  <c r="J522" i="208"/>
  <c r="L522" i="208"/>
  <c r="C523" i="208"/>
  <c r="D523" i="208"/>
  <c r="E523" i="208"/>
  <c r="S523" i="208" s="1"/>
  <c r="H523" i="208"/>
  <c r="Q523" i="208" s="1"/>
  <c r="I523" i="208"/>
  <c r="J523" i="208"/>
  <c r="L523" i="208"/>
  <c r="C524" i="208"/>
  <c r="D524" i="208"/>
  <c r="E524" i="208"/>
  <c r="S524" i="208" s="1"/>
  <c r="H524" i="208"/>
  <c r="Q524" i="208" s="1"/>
  <c r="I524" i="208"/>
  <c r="J524" i="208"/>
  <c r="L524" i="208"/>
  <c r="C525" i="208"/>
  <c r="D525" i="208"/>
  <c r="E525" i="208"/>
  <c r="S525" i="208" s="1"/>
  <c r="H525" i="208"/>
  <c r="Q525" i="208" s="1"/>
  <c r="I525" i="208"/>
  <c r="J525" i="208"/>
  <c r="L525" i="208"/>
  <c r="C526" i="208"/>
  <c r="D526" i="208"/>
  <c r="E526" i="208"/>
  <c r="S526" i="208" s="1"/>
  <c r="H526" i="208"/>
  <c r="Q526" i="208" s="1"/>
  <c r="I526" i="208"/>
  <c r="J526" i="208"/>
  <c r="L526" i="208"/>
  <c r="C527" i="208"/>
  <c r="D527" i="208"/>
  <c r="E527" i="208"/>
  <c r="S527" i="208" s="1"/>
  <c r="H527" i="208"/>
  <c r="Q527" i="208" s="1"/>
  <c r="I527" i="208"/>
  <c r="J527" i="208"/>
  <c r="L527" i="208"/>
  <c r="C528" i="208"/>
  <c r="D528" i="208"/>
  <c r="E528" i="208"/>
  <c r="S528" i="208" s="1"/>
  <c r="H528" i="208"/>
  <c r="Q528" i="208" s="1"/>
  <c r="I528" i="208"/>
  <c r="J528" i="208"/>
  <c r="L528" i="208"/>
  <c r="C529" i="208"/>
  <c r="D529" i="208"/>
  <c r="E529" i="208"/>
  <c r="S529" i="208" s="1"/>
  <c r="H529" i="208"/>
  <c r="Q529" i="208" s="1"/>
  <c r="I529" i="208"/>
  <c r="J529" i="208"/>
  <c r="L529" i="208"/>
  <c r="C530" i="208"/>
  <c r="D530" i="208"/>
  <c r="E530" i="208"/>
  <c r="S530" i="208" s="1"/>
  <c r="H530" i="208"/>
  <c r="Q530" i="208" s="1"/>
  <c r="I530" i="208"/>
  <c r="J530" i="208"/>
  <c r="L530" i="208"/>
  <c r="C531" i="208"/>
  <c r="D531" i="208"/>
  <c r="E531" i="208"/>
  <c r="S531" i="208" s="1"/>
  <c r="H531" i="208"/>
  <c r="Q531" i="208" s="1"/>
  <c r="I531" i="208"/>
  <c r="J531" i="208"/>
  <c r="L531" i="208"/>
  <c r="C532" i="208"/>
  <c r="D532" i="208"/>
  <c r="E532" i="208"/>
  <c r="S532" i="208" s="1"/>
  <c r="H532" i="208"/>
  <c r="Q532" i="208" s="1"/>
  <c r="I532" i="208"/>
  <c r="J532" i="208"/>
  <c r="L532" i="208"/>
  <c r="C533" i="208"/>
  <c r="D533" i="208"/>
  <c r="E533" i="208"/>
  <c r="S533" i="208" s="1"/>
  <c r="H533" i="208"/>
  <c r="Q533" i="208" s="1"/>
  <c r="I533" i="208"/>
  <c r="J533" i="208"/>
  <c r="L533" i="208"/>
  <c r="C534" i="208"/>
  <c r="D534" i="208"/>
  <c r="E534" i="208"/>
  <c r="S534" i="208" s="1"/>
  <c r="H534" i="208"/>
  <c r="Q534" i="208" s="1"/>
  <c r="I534" i="208"/>
  <c r="J534" i="208"/>
  <c r="L534" i="208"/>
  <c r="C535" i="208"/>
  <c r="D535" i="208"/>
  <c r="E535" i="208"/>
  <c r="S535" i="208" s="1"/>
  <c r="H535" i="208"/>
  <c r="Q535" i="208" s="1"/>
  <c r="I535" i="208"/>
  <c r="J535" i="208"/>
  <c r="L535" i="208"/>
  <c r="C536" i="208"/>
  <c r="D536" i="208"/>
  <c r="E536" i="208"/>
  <c r="S536" i="208" s="1"/>
  <c r="H536" i="208"/>
  <c r="Q536" i="208" s="1"/>
  <c r="I536" i="208"/>
  <c r="J536" i="208"/>
  <c r="L536" i="208"/>
  <c r="C537" i="208"/>
  <c r="D537" i="208"/>
  <c r="E537" i="208"/>
  <c r="S537" i="208" s="1"/>
  <c r="H537" i="208"/>
  <c r="Q537" i="208" s="1"/>
  <c r="I537" i="208"/>
  <c r="J537" i="208"/>
  <c r="L537" i="208"/>
  <c r="C538" i="208"/>
  <c r="D538" i="208"/>
  <c r="E538" i="208"/>
  <c r="S538" i="208" s="1"/>
  <c r="H538" i="208"/>
  <c r="Q538" i="208" s="1"/>
  <c r="I538" i="208"/>
  <c r="J538" i="208"/>
  <c r="L538" i="208"/>
  <c r="C539" i="208"/>
  <c r="D539" i="208"/>
  <c r="E539" i="208"/>
  <c r="S539" i="208" s="1"/>
  <c r="H539" i="208"/>
  <c r="Q539" i="208" s="1"/>
  <c r="I539" i="208"/>
  <c r="J539" i="208"/>
  <c r="L539" i="208"/>
  <c r="C540" i="208"/>
  <c r="D540" i="208"/>
  <c r="E540" i="208"/>
  <c r="S540" i="208" s="1"/>
  <c r="H540" i="208"/>
  <c r="Q540" i="208" s="1"/>
  <c r="I540" i="208"/>
  <c r="J540" i="208"/>
  <c r="L540" i="208"/>
  <c r="C541" i="208"/>
  <c r="D541" i="208"/>
  <c r="E541" i="208"/>
  <c r="S541" i="208" s="1"/>
  <c r="H541" i="208"/>
  <c r="Q541" i="208" s="1"/>
  <c r="I541" i="208"/>
  <c r="J541" i="208"/>
  <c r="L541" i="208"/>
  <c r="C542" i="208"/>
  <c r="D542" i="208"/>
  <c r="E542" i="208"/>
  <c r="S542" i="208" s="1"/>
  <c r="H542" i="208"/>
  <c r="Q542" i="208" s="1"/>
  <c r="I542" i="208"/>
  <c r="J542" i="208"/>
  <c r="L542" i="208"/>
  <c r="C543" i="208"/>
  <c r="D543" i="208"/>
  <c r="E543" i="208"/>
  <c r="S543" i="208" s="1"/>
  <c r="H543" i="208"/>
  <c r="Q543" i="208" s="1"/>
  <c r="I543" i="208"/>
  <c r="J543" i="208"/>
  <c r="L543" i="208"/>
  <c r="C544" i="208"/>
  <c r="D544" i="208"/>
  <c r="E544" i="208"/>
  <c r="S544" i="208" s="1"/>
  <c r="H544" i="208"/>
  <c r="Q544" i="208" s="1"/>
  <c r="I544" i="208"/>
  <c r="J544" i="208"/>
  <c r="L544" i="208"/>
  <c r="C545" i="208"/>
  <c r="D545" i="208"/>
  <c r="E545" i="208"/>
  <c r="S545" i="208" s="1"/>
  <c r="H545" i="208"/>
  <c r="Q545" i="208" s="1"/>
  <c r="I545" i="208"/>
  <c r="J545" i="208"/>
  <c r="L545" i="208"/>
  <c r="C546" i="208"/>
  <c r="D546" i="208"/>
  <c r="E546" i="208"/>
  <c r="S546" i="208" s="1"/>
  <c r="H546" i="208"/>
  <c r="Q546" i="208" s="1"/>
  <c r="I546" i="208"/>
  <c r="J546" i="208"/>
  <c r="L546" i="208"/>
  <c r="C547" i="208"/>
  <c r="D547" i="208"/>
  <c r="E547" i="208"/>
  <c r="S547" i="208" s="1"/>
  <c r="H547" i="208"/>
  <c r="Q547" i="208" s="1"/>
  <c r="I547" i="208"/>
  <c r="J547" i="208"/>
  <c r="L547" i="208"/>
  <c r="C548" i="208"/>
  <c r="D548" i="208"/>
  <c r="E548" i="208"/>
  <c r="S548" i="208" s="1"/>
  <c r="H548" i="208"/>
  <c r="Q548" i="208" s="1"/>
  <c r="I548" i="208"/>
  <c r="J548" i="208"/>
  <c r="L548" i="208"/>
  <c r="C549" i="208"/>
  <c r="D549" i="208"/>
  <c r="E549" i="208"/>
  <c r="S549" i="208" s="1"/>
  <c r="H549" i="208"/>
  <c r="Q549" i="208" s="1"/>
  <c r="I549" i="208"/>
  <c r="J549" i="208"/>
  <c r="L549" i="208"/>
  <c r="C550" i="208"/>
  <c r="D550" i="208"/>
  <c r="E550" i="208"/>
  <c r="S550" i="208" s="1"/>
  <c r="H550" i="208"/>
  <c r="Q550" i="208" s="1"/>
  <c r="I550" i="208"/>
  <c r="J550" i="208"/>
  <c r="L550" i="208"/>
  <c r="C551" i="208"/>
  <c r="D551" i="208"/>
  <c r="E551" i="208"/>
  <c r="S551" i="208" s="1"/>
  <c r="H551" i="208"/>
  <c r="Q551" i="208" s="1"/>
  <c r="I551" i="208"/>
  <c r="J551" i="208"/>
  <c r="L551" i="208"/>
  <c r="C552" i="208"/>
  <c r="D552" i="208"/>
  <c r="E552" i="208"/>
  <c r="S552" i="208" s="1"/>
  <c r="H552" i="208"/>
  <c r="Q552" i="208" s="1"/>
  <c r="I552" i="208"/>
  <c r="J552" i="208"/>
  <c r="L552" i="208"/>
  <c r="C553" i="208"/>
  <c r="D553" i="208"/>
  <c r="E553" i="208"/>
  <c r="S553" i="208" s="1"/>
  <c r="H553" i="208"/>
  <c r="Q553" i="208" s="1"/>
  <c r="I553" i="208"/>
  <c r="J553" i="208"/>
  <c r="L553" i="208"/>
  <c r="C554" i="208"/>
  <c r="D554" i="208"/>
  <c r="E554" i="208"/>
  <c r="S554" i="208" s="1"/>
  <c r="H554" i="208"/>
  <c r="Q554" i="208" s="1"/>
  <c r="I554" i="208"/>
  <c r="J554" i="208"/>
  <c r="L554" i="208"/>
  <c r="C555" i="208"/>
  <c r="D555" i="208"/>
  <c r="E555" i="208"/>
  <c r="S555" i="208" s="1"/>
  <c r="H555" i="208"/>
  <c r="Q555" i="208" s="1"/>
  <c r="I555" i="208"/>
  <c r="J555" i="208"/>
  <c r="L555" i="208"/>
  <c r="C556" i="208"/>
  <c r="D556" i="208"/>
  <c r="E556" i="208"/>
  <c r="S556" i="208" s="1"/>
  <c r="H556" i="208"/>
  <c r="Q556" i="208" s="1"/>
  <c r="I556" i="208"/>
  <c r="J556" i="208"/>
  <c r="L556" i="208"/>
  <c r="C557" i="208"/>
  <c r="D557" i="208"/>
  <c r="E557" i="208"/>
  <c r="S557" i="208" s="1"/>
  <c r="H557" i="208"/>
  <c r="Q557" i="208" s="1"/>
  <c r="I557" i="208"/>
  <c r="J557" i="208"/>
  <c r="L557" i="208"/>
  <c r="C558" i="208"/>
  <c r="D558" i="208"/>
  <c r="E558" i="208"/>
  <c r="S558" i="208" s="1"/>
  <c r="H558" i="208"/>
  <c r="Q558" i="208" s="1"/>
  <c r="I558" i="208"/>
  <c r="J558" i="208"/>
  <c r="L558" i="208"/>
  <c r="C559" i="208"/>
  <c r="D559" i="208"/>
  <c r="E559" i="208"/>
  <c r="S559" i="208" s="1"/>
  <c r="H559" i="208"/>
  <c r="Q559" i="208" s="1"/>
  <c r="I559" i="208"/>
  <c r="J559" i="208"/>
  <c r="L559" i="208"/>
  <c r="C560" i="208"/>
  <c r="D560" i="208"/>
  <c r="E560" i="208"/>
  <c r="S560" i="208" s="1"/>
  <c r="H560" i="208"/>
  <c r="Q560" i="208" s="1"/>
  <c r="I560" i="208"/>
  <c r="J560" i="208"/>
  <c r="L560" i="208"/>
  <c r="C561" i="208"/>
  <c r="D561" i="208"/>
  <c r="E561" i="208"/>
  <c r="S561" i="208" s="1"/>
  <c r="H561" i="208"/>
  <c r="Q561" i="208" s="1"/>
  <c r="I561" i="208"/>
  <c r="J561" i="208"/>
  <c r="L561" i="208"/>
  <c r="C562" i="208"/>
  <c r="D562" i="208"/>
  <c r="E562" i="208"/>
  <c r="S562" i="208" s="1"/>
  <c r="H562" i="208"/>
  <c r="Q562" i="208" s="1"/>
  <c r="I562" i="208"/>
  <c r="J562" i="208"/>
  <c r="L562" i="208"/>
  <c r="C563" i="208"/>
  <c r="D563" i="208"/>
  <c r="E563" i="208"/>
  <c r="S563" i="208" s="1"/>
  <c r="H563" i="208"/>
  <c r="Q563" i="208" s="1"/>
  <c r="I563" i="208"/>
  <c r="J563" i="208"/>
  <c r="L563" i="208"/>
  <c r="C564" i="208"/>
  <c r="D564" i="208"/>
  <c r="E564" i="208"/>
  <c r="S564" i="208" s="1"/>
  <c r="H564" i="208"/>
  <c r="Q564" i="208" s="1"/>
  <c r="I564" i="208"/>
  <c r="J564" i="208"/>
  <c r="L564" i="208"/>
  <c r="C565" i="208"/>
  <c r="D565" i="208"/>
  <c r="E565" i="208"/>
  <c r="S565" i="208" s="1"/>
  <c r="H565" i="208"/>
  <c r="Q565" i="208" s="1"/>
  <c r="I565" i="208"/>
  <c r="J565" i="208"/>
  <c r="L565" i="208"/>
  <c r="C566" i="208"/>
  <c r="D566" i="208"/>
  <c r="E566" i="208"/>
  <c r="S566" i="208" s="1"/>
  <c r="H566" i="208"/>
  <c r="Q566" i="208" s="1"/>
  <c r="I566" i="208"/>
  <c r="J566" i="208"/>
  <c r="L566" i="208"/>
  <c r="C567" i="208"/>
  <c r="D567" i="208"/>
  <c r="E567" i="208"/>
  <c r="S567" i="208" s="1"/>
  <c r="H567" i="208"/>
  <c r="Q567" i="208" s="1"/>
  <c r="I567" i="208"/>
  <c r="J567" i="208"/>
  <c r="L567" i="208"/>
  <c r="C568" i="208"/>
  <c r="D568" i="208"/>
  <c r="E568" i="208"/>
  <c r="S568" i="208" s="1"/>
  <c r="H568" i="208"/>
  <c r="Q568" i="208" s="1"/>
  <c r="I568" i="208"/>
  <c r="J568" i="208"/>
  <c r="L568" i="208"/>
  <c r="C569" i="208"/>
  <c r="D569" i="208"/>
  <c r="E569" i="208"/>
  <c r="S569" i="208" s="1"/>
  <c r="H569" i="208"/>
  <c r="Q569" i="208" s="1"/>
  <c r="I569" i="208"/>
  <c r="J569" i="208"/>
  <c r="L569" i="208"/>
  <c r="C570" i="208"/>
  <c r="D570" i="208"/>
  <c r="E570" i="208"/>
  <c r="S570" i="208" s="1"/>
  <c r="H570" i="208"/>
  <c r="Q570" i="208" s="1"/>
  <c r="I570" i="208"/>
  <c r="J570" i="208"/>
  <c r="L570" i="208"/>
  <c r="C571" i="208"/>
  <c r="D571" i="208"/>
  <c r="E571" i="208"/>
  <c r="S571" i="208" s="1"/>
  <c r="H571" i="208"/>
  <c r="Q571" i="208" s="1"/>
  <c r="I571" i="208"/>
  <c r="J571" i="208"/>
  <c r="L571" i="208"/>
  <c r="C572" i="208"/>
  <c r="D572" i="208"/>
  <c r="E572" i="208"/>
  <c r="S572" i="208" s="1"/>
  <c r="H572" i="208"/>
  <c r="Q572" i="208" s="1"/>
  <c r="I572" i="208"/>
  <c r="J572" i="208"/>
  <c r="L572" i="208"/>
  <c r="C573" i="208"/>
  <c r="D573" i="208"/>
  <c r="E573" i="208"/>
  <c r="S573" i="208" s="1"/>
  <c r="H573" i="208"/>
  <c r="Q573" i="208" s="1"/>
  <c r="I573" i="208"/>
  <c r="J573" i="208"/>
  <c r="L573" i="208"/>
  <c r="C574" i="208"/>
  <c r="D574" i="208"/>
  <c r="E574" i="208"/>
  <c r="S574" i="208" s="1"/>
  <c r="H574" i="208"/>
  <c r="Q574" i="208" s="1"/>
  <c r="I574" i="208"/>
  <c r="J574" i="208"/>
  <c r="L574" i="208"/>
  <c r="C575" i="208"/>
  <c r="D575" i="208"/>
  <c r="E575" i="208"/>
  <c r="S575" i="208" s="1"/>
  <c r="H575" i="208"/>
  <c r="Q575" i="208" s="1"/>
  <c r="I575" i="208"/>
  <c r="J575" i="208"/>
  <c r="L575" i="208"/>
  <c r="C576" i="208"/>
  <c r="D576" i="208"/>
  <c r="E576" i="208"/>
  <c r="S576" i="208" s="1"/>
  <c r="H576" i="208"/>
  <c r="Q576" i="208" s="1"/>
  <c r="I576" i="208"/>
  <c r="J576" i="208"/>
  <c r="O576" i="208" s="1"/>
  <c r="L576" i="208"/>
  <c r="C577" i="208"/>
  <c r="D577" i="208"/>
  <c r="E577" i="208"/>
  <c r="S577" i="208" s="1"/>
  <c r="H577" i="208"/>
  <c r="Q577" i="208" s="1"/>
  <c r="I577" i="208"/>
  <c r="J577" i="208"/>
  <c r="L577" i="208"/>
  <c r="C578" i="208"/>
  <c r="D578" i="208"/>
  <c r="E578" i="208"/>
  <c r="S578" i="208" s="1"/>
  <c r="H578" i="208"/>
  <c r="Q578" i="208" s="1"/>
  <c r="I578" i="208"/>
  <c r="J578" i="208"/>
  <c r="L578" i="208"/>
  <c r="C579" i="208"/>
  <c r="D579" i="208"/>
  <c r="E579" i="208"/>
  <c r="S579" i="208" s="1"/>
  <c r="H579" i="208"/>
  <c r="Q579" i="208" s="1"/>
  <c r="I579" i="208"/>
  <c r="J579" i="208"/>
  <c r="L579" i="208"/>
  <c r="C580" i="208"/>
  <c r="D580" i="208"/>
  <c r="E580" i="208"/>
  <c r="S580" i="208" s="1"/>
  <c r="H580" i="208"/>
  <c r="Q580" i="208" s="1"/>
  <c r="I580" i="208"/>
  <c r="J580" i="208"/>
  <c r="L580" i="208"/>
  <c r="C581" i="208"/>
  <c r="D581" i="208"/>
  <c r="E581" i="208"/>
  <c r="S581" i="208" s="1"/>
  <c r="H581" i="208"/>
  <c r="Q581" i="208" s="1"/>
  <c r="I581" i="208"/>
  <c r="J581" i="208"/>
  <c r="L581" i="208"/>
  <c r="C582" i="208"/>
  <c r="D582" i="208"/>
  <c r="E582" i="208"/>
  <c r="S582" i="208" s="1"/>
  <c r="H582" i="208"/>
  <c r="Q582" i="208" s="1"/>
  <c r="I582" i="208"/>
  <c r="J582" i="208"/>
  <c r="L582" i="208"/>
  <c r="C583" i="208"/>
  <c r="D583" i="208"/>
  <c r="E583" i="208"/>
  <c r="S583" i="208" s="1"/>
  <c r="H583" i="208"/>
  <c r="Q583" i="208" s="1"/>
  <c r="I583" i="208"/>
  <c r="J583" i="208"/>
  <c r="L583" i="208"/>
  <c r="C584" i="208"/>
  <c r="D584" i="208"/>
  <c r="E584" i="208"/>
  <c r="S584" i="208" s="1"/>
  <c r="H584" i="208"/>
  <c r="Q584" i="208" s="1"/>
  <c r="I584" i="208"/>
  <c r="J584" i="208"/>
  <c r="L584" i="208"/>
  <c r="C585" i="208"/>
  <c r="D585" i="208"/>
  <c r="E585" i="208"/>
  <c r="S585" i="208" s="1"/>
  <c r="H585" i="208"/>
  <c r="Q585" i="208" s="1"/>
  <c r="I585" i="208"/>
  <c r="J585" i="208"/>
  <c r="L585" i="208"/>
  <c r="C586" i="208"/>
  <c r="D586" i="208"/>
  <c r="E586" i="208"/>
  <c r="S586" i="208" s="1"/>
  <c r="H586" i="208"/>
  <c r="Q586" i="208" s="1"/>
  <c r="I586" i="208"/>
  <c r="J586" i="208"/>
  <c r="L586" i="208"/>
  <c r="C587" i="208"/>
  <c r="D587" i="208"/>
  <c r="E587" i="208"/>
  <c r="S587" i="208" s="1"/>
  <c r="H587" i="208"/>
  <c r="Q587" i="208" s="1"/>
  <c r="I587" i="208"/>
  <c r="J587" i="208"/>
  <c r="L587" i="208"/>
  <c r="C588" i="208"/>
  <c r="D588" i="208"/>
  <c r="E588" i="208"/>
  <c r="S588" i="208" s="1"/>
  <c r="H588" i="208"/>
  <c r="Q588" i="208" s="1"/>
  <c r="I588" i="208"/>
  <c r="J588" i="208"/>
  <c r="L588" i="208"/>
  <c r="C589" i="208"/>
  <c r="D589" i="208"/>
  <c r="E589" i="208"/>
  <c r="S589" i="208" s="1"/>
  <c r="H589" i="208"/>
  <c r="Q589" i="208" s="1"/>
  <c r="I589" i="208"/>
  <c r="J589" i="208"/>
  <c r="L589" i="208"/>
  <c r="C590" i="208"/>
  <c r="D590" i="208"/>
  <c r="E590" i="208"/>
  <c r="S590" i="208" s="1"/>
  <c r="H590" i="208"/>
  <c r="Q590" i="208" s="1"/>
  <c r="I590" i="208"/>
  <c r="J590" i="208"/>
  <c r="L590" i="208"/>
  <c r="C591" i="208"/>
  <c r="D591" i="208"/>
  <c r="E591" i="208"/>
  <c r="S591" i="208" s="1"/>
  <c r="H591" i="208"/>
  <c r="Q591" i="208" s="1"/>
  <c r="I591" i="208"/>
  <c r="J591" i="208"/>
  <c r="L591" i="208"/>
  <c r="C592" i="208"/>
  <c r="D592" i="208"/>
  <c r="E592" i="208"/>
  <c r="S592" i="208" s="1"/>
  <c r="H592" i="208"/>
  <c r="Q592" i="208" s="1"/>
  <c r="I592" i="208"/>
  <c r="J592" i="208"/>
  <c r="L592" i="208"/>
  <c r="C593" i="208"/>
  <c r="D593" i="208"/>
  <c r="E593" i="208"/>
  <c r="S593" i="208" s="1"/>
  <c r="H593" i="208"/>
  <c r="Q593" i="208" s="1"/>
  <c r="I593" i="208"/>
  <c r="J593" i="208"/>
  <c r="L593" i="208"/>
  <c r="C594" i="208"/>
  <c r="D594" i="208"/>
  <c r="E594" i="208"/>
  <c r="S594" i="208" s="1"/>
  <c r="H594" i="208"/>
  <c r="Q594" i="208" s="1"/>
  <c r="I594" i="208"/>
  <c r="J594" i="208"/>
  <c r="L594" i="208"/>
  <c r="C595" i="208"/>
  <c r="D595" i="208"/>
  <c r="E595" i="208"/>
  <c r="S595" i="208" s="1"/>
  <c r="H595" i="208"/>
  <c r="Q595" i="208" s="1"/>
  <c r="I595" i="208"/>
  <c r="J595" i="208"/>
  <c r="L595" i="208"/>
  <c r="C596" i="208"/>
  <c r="D596" i="208"/>
  <c r="E596" i="208"/>
  <c r="S596" i="208" s="1"/>
  <c r="H596" i="208"/>
  <c r="Q596" i="208" s="1"/>
  <c r="I596" i="208"/>
  <c r="J596" i="208"/>
  <c r="L596" i="208"/>
  <c r="C597" i="208"/>
  <c r="D597" i="208"/>
  <c r="E597" i="208"/>
  <c r="S597" i="208" s="1"/>
  <c r="H597" i="208"/>
  <c r="Q597" i="208" s="1"/>
  <c r="I597" i="208"/>
  <c r="J597" i="208"/>
  <c r="L597" i="208"/>
  <c r="C598" i="208"/>
  <c r="D598" i="208"/>
  <c r="E598" i="208"/>
  <c r="S598" i="208" s="1"/>
  <c r="H598" i="208"/>
  <c r="Q598" i="208" s="1"/>
  <c r="I598" i="208"/>
  <c r="J598" i="208"/>
  <c r="L598" i="208"/>
  <c r="C599" i="208"/>
  <c r="D599" i="208"/>
  <c r="E599" i="208"/>
  <c r="S599" i="208" s="1"/>
  <c r="H599" i="208"/>
  <c r="Q599" i="208" s="1"/>
  <c r="I599" i="208"/>
  <c r="J599" i="208"/>
  <c r="L599" i="208"/>
  <c r="C600" i="208"/>
  <c r="D600" i="208"/>
  <c r="E600" i="208"/>
  <c r="S600" i="208" s="1"/>
  <c r="H600" i="208"/>
  <c r="Q600" i="208" s="1"/>
  <c r="I600" i="208"/>
  <c r="J600" i="208"/>
  <c r="L600" i="208"/>
  <c r="C601" i="208"/>
  <c r="D601" i="208"/>
  <c r="E601" i="208"/>
  <c r="S601" i="208" s="1"/>
  <c r="H601" i="208"/>
  <c r="Q601" i="208" s="1"/>
  <c r="I601" i="208"/>
  <c r="J601" i="208"/>
  <c r="L601" i="208"/>
  <c r="C602" i="208"/>
  <c r="D602" i="208"/>
  <c r="E602" i="208"/>
  <c r="S602" i="208" s="1"/>
  <c r="H602" i="208"/>
  <c r="Q602" i="208" s="1"/>
  <c r="I602" i="208"/>
  <c r="J602" i="208"/>
  <c r="L602" i="208"/>
  <c r="C603" i="208"/>
  <c r="D603" i="208"/>
  <c r="E603" i="208"/>
  <c r="S603" i="208" s="1"/>
  <c r="H603" i="208"/>
  <c r="Q603" i="208" s="1"/>
  <c r="I603" i="208"/>
  <c r="J603" i="208"/>
  <c r="L603" i="208"/>
  <c r="C604" i="208"/>
  <c r="D604" i="208"/>
  <c r="E604" i="208"/>
  <c r="S604" i="208" s="1"/>
  <c r="H604" i="208"/>
  <c r="Q604" i="208" s="1"/>
  <c r="I604" i="208"/>
  <c r="J604" i="208"/>
  <c r="L604" i="208"/>
  <c r="C605" i="208"/>
  <c r="D605" i="208"/>
  <c r="E605" i="208"/>
  <c r="S605" i="208" s="1"/>
  <c r="H605" i="208"/>
  <c r="Q605" i="208" s="1"/>
  <c r="I605" i="208"/>
  <c r="J605" i="208"/>
  <c r="L605" i="208"/>
  <c r="C606" i="208"/>
  <c r="D606" i="208"/>
  <c r="E606" i="208"/>
  <c r="S606" i="208" s="1"/>
  <c r="H606" i="208"/>
  <c r="Q606" i="208" s="1"/>
  <c r="I606" i="208"/>
  <c r="J606" i="208"/>
  <c r="L606" i="208"/>
  <c r="C607" i="208"/>
  <c r="D607" i="208"/>
  <c r="E607" i="208"/>
  <c r="S607" i="208" s="1"/>
  <c r="H607" i="208"/>
  <c r="Q607" i="208" s="1"/>
  <c r="I607" i="208"/>
  <c r="J607" i="208"/>
  <c r="L607" i="208"/>
  <c r="C608" i="208"/>
  <c r="D608" i="208"/>
  <c r="E608" i="208"/>
  <c r="S608" i="208" s="1"/>
  <c r="H608" i="208"/>
  <c r="Q608" i="208" s="1"/>
  <c r="I608" i="208"/>
  <c r="J608" i="208"/>
  <c r="L608" i="208"/>
  <c r="C609" i="208"/>
  <c r="D609" i="208"/>
  <c r="E609" i="208"/>
  <c r="S609" i="208" s="1"/>
  <c r="H609" i="208"/>
  <c r="Q609" i="208" s="1"/>
  <c r="I609" i="208"/>
  <c r="J609" i="208"/>
  <c r="L609" i="208"/>
  <c r="C610" i="208"/>
  <c r="D610" i="208"/>
  <c r="E610" i="208"/>
  <c r="S610" i="208" s="1"/>
  <c r="H610" i="208"/>
  <c r="Q610" i="208" s="1"/>
  <c r="I610" i="208"/>
  <c r="J610" i="208"/>
  <c r="L610" i="208"/>
  <c r="C611" i="208"/>
  <c r="D611" i="208"/>
  <c r="E611" i="208"/>
  <c r="S611" i="208" s="1"/>
  <c r="H611" i="208"/>
  <c r="Q611" i="208" s="1"/>
  <c r="I611" i="208"/>
  <c r="J611" i="208"/>
  <c r="L611" i="208"/>
  <c r="C612" i="208"/>
  <c r="D612" i="208"/>
  <c r="E612" i="208"/>
  <c r="S612" i="208" s="1"/>
  <c r="H612" i="208"/>
  <c r="Q612" i="208" s="1"/>
  <c r="I612" i="208"/>
  <c r="J612" i="208"/>
  <c r="L612" i="208"/>
  <c r="C613" i="208"/>
  <c r="D613" i="208"/>
  <c r="E613" i="208"/>
  <c r="S613" i="208" s="1"/>
  <c r="H613" i="208"/>
  <c r="Q613" i="208" s="1"/>
  <c r="I613" i="208"/>
  <c r="J613" i="208"/>
  <c r="L613" i="208"/>
  <c r="C614" i="208"/>
  <c r="D614" i="208"/>
  <c r="E614" i="208"/>
  <c r="S614" i="208" s="1"/>
  <c r="H614" i="208"/>
  <c r="Q614" i="208" s="1"/>
  <c r="I614" i="208"/>
  <c r="J614" i="208"/>
  <c r="L614" i="208"/>
  <c r="C615" i="208"/>
  <c r="D615" i="208"/>
  <c r="E615" i="208"/>
  <c r="S615" i="208" s="1"/>
  <c r="H615" i="208"/>
  <c r="Q615" i="208" s="1"/>
  <c r="I615" i="208"/>
  <c r="J615" i="208"/>
  <c r="L615" i="208"/>
  <c r="C616" i="208"/>
  <c r="D616" i="208"/>
  <c r="E616" i="208"/>
  <c r="S616" i="208" s="1"/>
  <c r="H616" i="208"/>
  <c r="Q616" i="208" s="1"/>
  <c r="I616" i="208"/>
  <c r="J616" i="208"/>
  <c r="L616" i="208"/>
  <c r="C617" i="208"/>
  <c r="D617" i="208"/>
  <c r="E617" i="208"/>
  <c r="S617" i="208" s="1"/>
  <c r="H617" i="208"/>
  <c r="Q617" i="208" s="1"/>
  <c r="I617" i="208"/>
  <c r="J617" i="208"/>
  <c r="L617" i="208"/>
  <c r="C618" i="208"/>
  <c r="D618" i="208"/>
  <c r="E618" i="208"/>
  <c r="S618" i="208" s="1"/>
  <c r="H618" i="208"/>
  <c r="Q618" i="208" s="1"/>
  <c r="I618" i="208"/>
  <c r="J618" i="208"/>
  <c r="L618" i="208"/>
  <c r="C619" i="208"/>
  <c r="D619" i="208"/>
  <c r="E619" i="208"/>
  <c r="S619" i="208" s="1"/>
  <c r="H619" i="208"/>
  <c r="Q619" i="208" s="1"/>
  <c r="I619" i="208"/>
  <c r="J619" i="208"/>
  <c r="L619" i="208"/>
  <c r="C620" i="208"/>
  <c r="D620" i="208"/>
  <c r="E620" i="208"/>
  <c r="S620" i="208" s="1"/>
  <c r="H620" i="208"/>
  <c r="Q620" i="208" s="1"/>
  <c r="I620" i="208"/>
  <c r="J620" i="208"/>
  <c r="L620" i="208"/>
  <c r="C621" i="208"/>
  <c r="D621" i="208"/>
  <c r="E621" i="208"/>
  <c r="S621" i="208" s="1"/>
  <c r="H621" i="208"/>
  <c r="Q621" i="208" s="1"/>
  <c r="I621" i="208"/>
  <c r="J621" i="208"/>
  <c r="L621" i="208"/>
  <c r="C622" i="208"/>
  <c r="D622" i="208"/>
  <c r="E622" i="208"/>
  <c r="S622" i="208" s="1"/>
  <c r="H622" i="208"/>
  <c r="Q622" i="208" s="1"/>
  <c r="I622" i="208"/>
  <c r="J622" i="208"/>
  <c r="L622" i="208"/>
  <c r="C623" i="208"/>
  <c r="D623" i="208"/>
  <c r="E623" i="208"/>
  <c r="S623" i="208" s="1"/>
  <c r="H623" i="208"/>
  <c r="Q623" i="208" s="1"/>
  <c r="I623" i="208"/>
  <c r="J623" i="208"/>
  <c r="L623" i="208"/>
  <c r="C624" i="208"/>
  <c r="D624" i="208"/>
  <c r="E624" i="208"/>
  <c r="S624" i="208" s="1"/>
  <c r="H624" i="208"/>
  <c r="Q624" i="208" s="1"/>
  <c r="I624" i="208"/>
  <c r="J624" i="208"/>
  <c r="L624" i="208"/>
  <c r="C625" i="208"/>
  <c r="D625" i="208"/>
  <c r="E625" i="208"/>
  <c r="S625" i="208" s="1"/>
  <c r="H625" i="208"/>
  <c r="Q625" i="208" s="1"/>
  <c r="I625" i="208"/>
  <c r="J625" i="208"/>
  <c r="L625" i="208"/>
  <c r="C626" i="208"/>
  <c r="D626" i="208"/>
  <c r="E626" i="208"/>
  <c r="S626" i="208" s="1"/>
  <c r="H626" i="208"/>
  <c r="Q626" i="208" s="1"/>
  <c r="I626" i="208"/>
  <c r="J626" i="208"/>
  <c r="L626" i="208"/>
  <c r="C627" i="208"/>
  <c r="D627" i="208"/>
  <c r="E627" i="208"/>
  <c r="S627" i="208" s="1"/>
  <c r="H627" i="208"/>
  <c r="Q627" i="208" s="1"/>
  <c r="I627" i="208"/>
  <c r="J627" i="208"/>
  <c r="L627" i="208"/>
  <c r="C628" i="208"/>
  <c r="D628" i="208"/>
  <c r="E628" i="208"/>
  <c r="S628" i="208" s="1"/>
  <c r="H628" i="208"/>
  <c r="Q628" i="208" s="1"/>
  <c r="I628" i="208"/>
  <c r="J628" i="208"/>
  <c r="L628" i="208"/>
  <c r="C629" i="208"/>
  <c r="D629" i="208"/>
  <c r="E629" i="208"/>
  <c r="S629" i="208" s="1"/>
  <c r="H629" i="208"/>
  <c r="Q629" i="208" s="1"/>
  <c r="I629" i="208"/>
  <c r="J629" i="208"/>
  <c r="L629" i="208"/>
  <c r="C630" i="208"/>
  <c r="D630" i="208"/>
  <c r="E630" i="208"/>
  <c r="S630" i="208" s="1"/>
  <c r="H630" i="208"/>
  <c r="Q630" i="208" s="1"/>
  <c r="I630" i="208"/>
  <c r="J630" i="208"/>
  <c r="L630" i="208"/>
  <c r="C631" i="208"/>
  <c r="D631" i="208"/>
  <c r="E631" i="208"/>
  <c r="S631" i="208" s="1"/>
  <c r="H631" i="208"/>
  <c r="Q631" i="208" s="1"/>
  <c r="I631" i="208"/>
  <c r="J631" i="208"/>
  <c r="L631" i="208"/>
  <c r="C632" i="208"/>
  <c r="D632" i="208"/>
  <c r="E632" i="208"/>
  <c r="S632" i="208" s="1"/>
  <c r="H632" i="208"/>
  <c r="Q632" i="208" s="1"/>
  <c r="I632" i="208"/>
  <c r="J632" i="208"/>
  <c r="L632" i="208"/>
  <c r="C633" i="208"/>
  <c r="D633" i="208"/>
  <c r="E633" i="208"/>
  <c r="S633" i="208" s="1"/>
  <c r="H633" i="208"/>
  <c r="Q633" i="208" s="1"/>
  <c r="I633" i="208"/>
  <c r="J633" i="208"/>
  <c r="L633" i="208"/>
  <c r="C634" i="208"/>
  <c r="D634" i="208"/>
  <c r="E634" i="208"/>
  <c r="S634" i="208" s="1"/>
  <c r="H634" i="208"/>
  <c r="Q634" i="208" s="1"/>
  <c r="I634" i="208"/>
  <c r="J634" i="208"/>
  <c r="L634" i="208"/>
  <c r="C635" i="208"/>
  <c r="D635" i="208"/>
  <c r="E635" i="208"/>
  <c r="S635" i="208" s="1"/>
  <c r="H635" i="208"/>
  <c r="Q635" i="208" s="1"/>
  <c r="I635" i="208"/>
  <c r="J635" i="208"/>
  <c r="L635" i="208"/>
  <c r="C636" i="208"/>
  <c r="D636" i="208"/>
  <c r="E636" i="208"/>
  <c r="S636" i="208" s="1"/>
  <c r="H636" i="208"/>
  <c r="Q636" i="208" s="1"/>
  <c r="I636" i="208"/>
  <c r="J636" i="208"/>
  <c r="L636" i="208"/>
  <c r="C637" i="208"/>
  <c r="D637" i="208"/>
  <c r="E637" i="208"/>
  <c r="S637" i="208" s="1"/>
  <c r="H637" i="208"/>
  <c r="Q637" i="208" s="1"/>
  <c r="I637" i="208"/>
  <c r="J637" i="208"/>
  <c r="L637" i="208"/>
  <c r="C638" i="208"/>
  <c r="D638" i="208"/>
  <c r="E638" i="208"/>
  <c r="S638" i="208" s="1"/>
  <c r="H638" i="208"/>
  <c r="Q638" i="208" s="1"/>
  <c r="I638" i="208"/>
  <c r="J638" i="208"/>
  <c r="L638" i="208"/>
  <c r="C639" i="208"/>
  <c r="D639" i="208"/>
  <c r="E639" i="208"/>
  <c r="S639" i="208" s="1"/>
  <c r="H639" i="208"/>
  <c r="Q639" i="208" s="1"/>
  <c r="I639" i="208"/>
  <c r="J639" i="208"/>
  <c r="L639" i="208"/>
  <c r="C640" i="208"/>
  <c r="D640" i="208"/>
  <c r="E640" i="208"/>
  <c r="S640" i="208" s="1"/>
  <c r="H640" i="208"/>
  <c r="Q640" i="208" s="1"/>
  <c r="I640" i="208"/>
  <c r="J640" i="208"/>
  <c r="L640" i="208"/>
  <c r="C641" i="208"/>
  <c r="D641" i="208"/>
  <c r="E641" i="208"/>
  <c r="S641" i="208" s="1"/>
  <c r="H641" i="208"/>
  <c r="Q641" i="208" s="1"/>
  <c r="I641" i="208"/>
  <c r="J641" i="208"/>
  <c r="L641" i="208"/>
  <c r="C642" i="208"/>
  <c r="D642" i="208"/>
  <c r="E642" i="208"/>
  <c r="S642" i="208" s="1"/>
  <c r="H642" i="208"/>
  <c r="Q642" i="208" s="1"/>
  <c r="I642" i="208"/>
  <c r="J642" i="208"/>
  <c r="L642" i="208"/>
  <c r="C643" i="208"/>
  <c r="D643" i="208"/>
  <c r="E643" i="208"/>
  <c r="S643" i="208" s="1"/>
  <c r="H643" i="208"/>
  <c r="Q643" i="208" s="1"/>
  <c r="I643" i="208"/>
  <c r="J643" i="208"/>
  <c r="L643" i="208"/>
  <c r="C644" i="208"/>
  <c r="D644" i="208"/>
  <c r="E644" i="208"/>
  <c r="S644" i="208" s="1"/>
  <c r="H644" i="208"/>
  <c r="Q644" i="208" s="1"/>
  <c r="I644" i="208"/>
  <c r="J644" i="208"/>
  <c r="L644" i="208"/>
  <c r="C645" i="208"/>
  <c r="D645" i="208"/>
  <c r="E645" i="208"/>
  <c r="S645" i="208" s="1"/>
  <c r="H645" i="208"/>
  <c r="Q645" i="208" s="1"/>
  <c r="I645" i="208"/>
  <c r="J645" i="208"/>
  <c r="L645" i="208"/>
  <c r="C646" i="208"/>
  <c r="D646" i="208"/>
  <c r="E646" i="208"/>
  <c r="S646" i="208" s="1"/>
  <c r="H646" i="208"/>
  <c r="Q646" i="208" s="1"/>
  <c r="I646" i="208"/>
  <c r="J646" i="208"/>
  <c r="L646" i="208"/>
  <c r="C647" i="208"/>
  <c r="D647" i="208"/>
  <c r="E647" i="208"/>
  <c r="S647" i="208" s="1"/>
  <c r="H647" i="208"/>
  <c r="Q647" i="208" s="1"/>
  <c r="I647" i="208"/>
  <c r="J647" i="208"/>
  <c r="L647" i="208"/>
  <c r="C648" i="208"/>
  <c r="D648" i="208"/>
  <c r="E648" i="208"/>
  <c r="S648" i="208" s="1"/>
  <c r="H648" i="208"/>
  <c r="Q648" i="208" s="1"/>
  <c r="I648" i="208"/>
  <c r="J648" i="208"/>
  <c r="L648" i="208"/>
  <c r="C649" i="208"/>
  <c r="D649" i="208"/>
  <c r="E649" i="208"/>
  <c r="S649" i="208" s="1"/>
  <c r="H649" i="208"/>
  <c r="Q649" i="208" s="1"/>
  <c r="I649" i="208"/>
  <c r="J649" i="208"/>
  <c r="L649" i="208"/>
  <c r="C650" i="208"/>
  <c r="D650" i="208"/>
  <c r="E650" i="208"/>
  <c r="S650" i="208" s="1"/>
  <c r="H650" i="208"/>
  <c r="Q650" i="208" s="1"/>
  <c r="I650" i="208"/>
  <c r="J650" i="208"/>
  <c r="L650" i="208"/>
  <c r="C651" i="208"/>
  <c r="D651" i="208"/>
  <c r="E651" i="208"/>
  <c r="S651" i="208" s="1"/>
  <c r="H651" i="208"/>
  <c r="Q651" i="208" s="1"/>
  <c r="I651" i="208"/>
  <c r="J651" i="208"/>
  <c r="L651" i="208"/>
  <c r="C652" i="208"/>
  <c r="D652" i="208"/>
  <c r="E652" i="208"/>
  <c r="S652" i="208" s="1"/>
  <c r="H652" i="208"/>
  <c r="Q652" i="208" s="1"/>
  <c r="I652" i="208"/>
  <c r="J652" i="208"/>
  <c r="L652" i="208"/>
  <c r="C653" i="208"/>
  <c r="D653" i="208"/>
  <c r="E653" i="208"/>
  <c r="S653" i="208" s="1"/>
  <c r="H653" i="208"/>
  <c r="Q653" i="208" s="1"/>
  <c r="I653" i="208"/>
  <c r="J653" i="208"/>
  <c r="L653" i="208"/>
  <c r="C654" i="208"/>
  <c r="D654" i="208"/>
  <c r="E654" i="208"/>
  <c r="S654" i="208" s="1"/>
  <c r="H654" i="208"/>
  <c r="Q654" i="208" s="1"/>
  <c r="I654" i="208"/>
  <c r="J654" i="208"/>
  <c r="L654" i="208"/>
  <c r="C655" i="208"/>
  <c r="D655" i="208"/>
  <c r="E655" i="208"/>
  <c r="S655" i="208" s="1"/>
  <c r="H655" i="208"/>
  <c r="Q655" i="208" s="1"/>
  <c r="I655" i="208"/>
  <c r="J655" i="208"/>
  <c r="L655" i="208"/>
  <c r="C656" i="208"/>
  <c r="D656" i="208"/>
  <c r="E656" i="208"/>
  <c r="S656" i="208" s="1"/>
  <c r="H656" i="208"/>
  <c r="Q656" i="208" s="1"/>
  <c r="I656" i="208"/>
  <c r="J656" i="208"/>
  <c r="L656" i="208"/>
  <c r="C657" i="208"/>
  <c r="D657" i="208"/>
  <c r="E657" i="208"/>
  <c r="S657" i="208" s="1"/>
  <c r="H657" i="208"/>
  <c r="Q657" i="208" s="1"/>
  <c r="I657" i="208"/>
  <c r="J657" i="208"/>
  <c r="L657" i="208"/>
  <c r="C658" i="208"/>
  <c r="D658" i="208"/>
  <c r="E658" i="208"/>
  <c r="S658" i="208" s="1"/>
  <c r="H658" i="208"/>
  <c r="Q658" i="208" s="1"/>
  <c r="I658" i="208"/>
  <c r="J658" i="208"/>
  <c r="L658" i="208"/>
  <c r="C659" i="208"/>
  <c r="D659" i="208"/>
  <c r="E659" i="208"/>
  <c r="S659" i="208" s="1"/>
  <c r="H659" i="208"/>
  <c r="Q659" i="208" s="1"/>
  <c r="I659" i="208"/>
  <c r="J659" i="208"/>
  <c r="L659" i="208"/>
  <c r="C660" i="208"/>
  <c r="D660" i="208"/>
  <c r="E660" i="208"/>
  <c r="S660" i="208" s="1"/>
  <c r="H660" i="208"/>
  <c r="Q660" i="208" s="1"/>
  <c r="I660" i="208"/>
  <c r="J660" i="208"/>
  <c r="L660" i="208"/>
  <c r="C661" i="208"/>
  <c r="D661" i="208"/>
  <c r="E661" i="208"/>
  <c r="S661" i="208" s="1"/>
  <c r="H661" i="208"/>
  <c r="Q661" i="208" s="1"/>
  <c r="I661" i="208"/>
  <c r="J661" i="208"/>
  <c r="L661" i="208"/>
  <c r="C662" i="208"/>
  <c r="D662" i="208"/>
  <c r="E662" i="208"/>
  <c r="S662" i="208" s="1"/>
  <c r="H662" i="208"/>
  <c r="Q662" i="208" s="1"/>
  <c r="I662" i="208"/>
  <c r="J662" i="208"/>
  <c r="L662" i="208"/>
  <c r="C663" i="208"/>
  <c r="D663" i="208"/>
  <c r="E663" i="208"/>
  <c r="S663" i="208" s="1"/>
  <c r="H663" i="208"/>
  <c r="Q663" i="208" s="1"/>
  <c r="I663" i="208"/>
  <c r="J663" i="208"/>
  <c r="L663" i="208"/>
  <c r="C664" i="208"/>
  <c r="D664" i="208"/>
  <c r="E664" i="208"/>
  <c r="S664" i="208" s="1"/>
  <c r="H664" i="208"/>
  <c r="Q664" i="208" s="1"/>
  <c r="I664" i="208"/>
  <c r="J664" i="208"/>
  <c r="L664" i="208"/>
  <c r="C665" i="208"/>
  <c r="D665" i="208"/>
  <c r="E665" i="208"/>
  <c r="S665" i="208" s="1"/>
  <c r="H665" i="208"/>
  <c r="Q665" i="208" s="1"/>
  <c r="I665" i="208"/>
  <c r="J665" i="208"/>
  <c r="L665" i="208"/>
  <c r="C666" i="208"/>
  <c r="D666" i="208"/>
  <c r="E666" i="208"/>
  <c r="S666" i="208" s="1"/>
  <c r="H666" i="208"/>
  <c r="Q666" i="208" s="1"/>
  <c r="I666" i="208"/>
  <c r="J666" i="208"/>
  <c r="L666" i="208"/>
  <c r="C667" i="208"/>
  <c r="D667" i="208"/>
  <c r="E667" i="208"/>
  <c r="S667" i="208" s="1"/>
  <c r="H667" i="208"/>
  <c r="Q667" i="208" s="1"/>
  <c r="I667" i="208"/>
  <c r="J667" i="208"/>
  <c r="L667" i="208"/>
  <c r="C668" i="208"/>
  <c r="D668" i="208"/>
  <c r="E668" i="208"/>
  <c r="S668" i="208" s="1"/>
  <c r="H668" i="208"/>
  <c r="Q668" i="208" s="1"/>
  <c r="I668" i="208"/>
  <c r="J668" i="208"/>
  <c r="L668" i="208"/>
  <c r="C669" i="208"/>
  <c r="D669" i="208"/>
  <c r="E669" i="208"/>
  <c r="S669" i="208" s="1"/>
  <c r="H669" i="208"/>
  <c r="Q669" i="208" s="1"/>
  <c r="I669" i="208"/>
  <c r="J669" i="208"/>
  <c r="L669" i="208"/>
  <c r="C670" i="208"/>
  <c r="D670" i="208"/>
  <c r="E670" i="208"/>
  <c r="S670" i="208" s="1"/>
  <c r="H670" i="208"/>
  <c r="Q670" i="208" s="1"/>
  <c r="I670" i="208"/>
  <c r="J670" i="208"/>
  <c r="L670" i="208"/>
  <c r="C671" i="208"/>
  <c r="D671" i="208"/>
  <c r="E671" i="208"/>
  <c r="S671" i="208" s="1"/>
  <c r="H671" i="208"/>
  <c r="Q671" i="208" s="1"/>
  <c r="I671" i="208"/>
  <c r="J671" i="208"/>
  <c r="L671" i="208"/>
  <c r="C672" i="208"/>
  <c r="D672" i="208"/>
  <c r="E672" i="208"/>
  <c r="S672" i="208" s="1"/>
  <c r="H672" i="208"/>
  <c r="Q672" i="208" s="1"/>
  <c r="I672" i="208"/>
  <c r="J672" i="208"/>
  <c r="L672" i="208"/>
  <c r="C673" i="208"/>
  <c r="D673" i="208"/>
  <c r="E673" i="208"/>
  <c r="S673" i="208" s="1"/>
  <c r="H673" i="208"/>
  <c r="Q673" i="208" s="1"/>
  <c r="I673" i="208"/>
  <c r="J673" i="208"/>
  <c r="L673" i="208"/>
  <c r="C674" i="208"/>
  <c r="D674" i="208"/>
  <c r="E674" i="208"/>
  <c r="S674" i="208" s="1"/>
  <c r="H674" i="208"/>
  <c r="Q674" i="208" s="1"/>
  <c r="I674" i="208"/>
  <c r="J674" i="208"/>
  <c r="L674" i="208"/>
  <c r="C675" i="208"/>
  <c r="D675" i="208"/>
  <c r="E675" i="208"/>
  <c r="S675" i="208" s="1"/>
  <c r="H675" i="208"/>
  <c r="Q675" i="208" s="1"/>
  <c r="I675" i="208"/>
  <c r="J675" i="208"/>
  <c r="L675" i="208"/>
  <c r="C676" i="208"/>
  <c r="D676" i="208"/>
  <c r="E676" i="208"/>
  <c r="S676" i="208" s="1"/>
  <c r="H676" i="208"/>
  <c r="Q676" i="208" s="1"/>
  <c r="I676" i="208"/>
  <c r="J676" i="208"/>
  <c r="L676" i="208"/>
  <c r="C677" i="208"/>
  <c r="D677" i="208"/>
  <c r="E677" i="208"/>
  <c r="S677" i="208" s="1"/>
  <c r="H677" i="208"/>
  <c r="Q677" i="208" s="1"/>
  <c r="I677" i="208"/>
  <c r="J677" i="208"/>
  <c r="L677" i="208"/>
  <c r="C678" i="208"/>
  <c r="D678" i="208"/>
  <c r="E678" i="208"/>
  <c r="S678" i="208" s="1"/>
  <c r="H678" i="208"/>
  <c r="Q678" i="208" s="1"/>
  <c r="I678" i="208"/>
  <c r="J678" i="208"/>
  <c r="L678" i="208"/>
  <c r="C679" i="208"/>
  <c r="D679" i="208"/>
  <c r="E679" i="208"/>
  <c r="S679" i="208" s="1"/>
  <c r="H679" i="208"/>
  <c r="Q679" i="208" s="1"/>
  <c r="I679" i="208"/>
  <c r="J679" i="208"/>
  <c r="L679" i="208"/>
  <c r="C680" i="208"/>
  <c r="D680" i="208"/>
  <c r="E680" i="208"/>
  <c r="S680" i="208" s="1"/>
  <c r="H680" i="208"/>
  <c r="Q680" i="208" s="1"/>
  <c r="I680" i="208"/>
  <c r="J680" i="208"/>
  <c r="L680" i="208"/>
  <c r="C681" i="208"/>
  <c r="D681" i="208"/>
  <c r="E681" i="208"/>
  <c r="S681" i="208" s="1"/>
  <c r="H681" i="208"/>
  <c r="Q681" i="208" s="1"/>
  <c r="I681" i="208"/>
  <c r="J681" i="208"/>
  <c r="L681" i="208"/>
  <c r="C682" i="208"/>
  <c r="D682" i="208"/>
  <c r="E682" i="208"/>
  <c r="S682" i="208" s="1"/>
  <c r="H682" i="208"/>
  <c r="Q682" i="208" s="1"/>
  <c r="I682" i="208"/>
  <c r="J682" i="208"/>
  <c r="L682" i="208"/>
  <c r="C683" i="208"/>
  <c r="D683" i="208"/>
  <c r="E683" i="208"/>
  <c r="S683" i="208" s="1"/>
  <c r="H683" i="208"/>
  <c r="Q683" i="208" s="1"/>
  <c r="I683" i="208"/>
  <c r="J683" i="208"/>
  <c r="L683" i="208"/>
  <c r="C684" i="208"/>
  <c r="D684" i="208"/>
  <c r="E684" i="208"/>
  <c r="S684" i="208" s="1"/>
  <c r="H684" i="208"/>
  <c r="Q684" i="208" s="1"/>
  <c r="I684" i="208"/>
  <c r="J684" i="208"/>
  <c r="L684" i="208"/>
  <c r="C685" i="208"/>
  <c r="D685" i="208"/>
  <c r="E685" i="208"/>
  <c r="S685" i="208" s="1"/>
  <c r="H685" i="208"/>
  <c r="Q685" i="208" s="1"/>
  <c r="I685" i="208"/>
  <c r="J685" i="208"/>
  <c r="L685" i="208"/>
  <c r="C686" i="208"/>
  <c r="D686" i="208"/>
  <c r="E686" i="208"/>
  <c r="S686" i="208" s="1"/>
  <c r="H686" i="208"/>
  <c r="Q686" i="208" s="1"/>
  <c r="I686" i="208"/>
  <c r="J686" i="208"/>
  <c r="L686" i="208"/>
  <c r="C687" i="208"/>
  <c r="D687" i="208"/>
  <c r="E687" i="208"/>
  <c r="S687" i="208" s="1"/>
  <c r="H687" i="208"/>
  <c r="Q687" i="208" s="1"/>
  <c r="I687" i="208"/>
  <c r="J687" i="208"/>
  <c r="L687" i="208"/>
  <c r="C688" i="208"/>
  <c r="D688" i="208"/>
  <c r="E688" i="208"/>
  <c r="S688" i="208" s="1"/>
  <c r="H688" i="208"/>
  <c r="Q688" i="208" s="1"/>
  <c r="I688" i="208"/>
  <c r="J688" i="208"/>
  <c r="L688" i="208"/>
  <c r="C689" i="208"/>
  <c r="D689" i="208"/>
  <c r="E689" i="208"/>
  <c r="S689" i="208" s="1"/>
  <c r="H689" i="208"/>
  <c r="Q689" i="208" s="1"/>
  <c r="I689" i="208"/>
  <c r="J689" i="208"/>
  <c r="L689" i="208"/>
  <c r="C690" i="208"/>
  <c r="D690" i="208"/>
  <c r="E690" i="208"/>
  <c r="S690" i="208" s="1"/>
  <c r="H690" i="208"/>
  <c r="Q690" i="208" s="1"/>
  <c r="I690" i="208"/>
  <c r="J690" i="208"/>
  <c r="L690" i="208"/>
  <c r="C691" i="208"/>
  <c r="D691" i="208"/>
  <c r="E691" i="208"/>
  <c r="S691" i="208" s="1"/>
  <c r="H691" i="208"/>
  <c r="Q691" i="208" s="1"/>
  <c r="I691" i="208"/>
  <c r="J691" i="208"/>
  <c r="L691" i="208"/>
  <c r="C692" i="208"/>
  <c r="D692" i="208"/>
  <c r="E692" i="208"/>
  <c r="S692" i="208" s="1"/>
  <c r="H692" i="208"/>
  <c r="Q692" i="208" s="1"/>
  <c r="I692" i="208"/>
  <c r="J692" i="208"/>
  <c r="L692" i="208"/>
  <c r="C693" i="208"/>
  <c r="D693" i="208"/>
  <c r="E693" i="208"/>
  <c r="S693" i="208" s="1"/>
  <c r="H693" i="208"/>
  <c r="Q693" i="208" s="1"/>
  <c r="I693" i="208"/>
  <c r="J693" i="208"/>
  <c r="L693" i="208"/>
  <c r="C694" i="208"/>
  <c r="D694" i="208"/>
  <c r="E694" i="208"/>
  <c r="S694" i="208" s="1"/>
  <c r="H694" i="208"/>
  <c r="Q694" i="208" s="1"/>
  <c r="I694" i="208"/>
  <c r="J694" i="208"/>
  <c r="L694" i="208"/>
  <c r="C695" i="208"/>
  <c r="D695" i="208"/>
  <c r="E695" i="208"/>
  <c r="S695" i="208" s="1"/>
  <c r="H695" i="208"/>
  <c r="Q695" i="208" s="1"/>
  <c r="I695" i="208"/>
  <c r="J695" i="208"/>
  <c r="L695" i="208"/>
  <c r="C696" i="208"/>
  <c r="D696" i="208"/>
  <c r="E696" i="208"/>
  <c r="S696" i="208" s="1"/>
  <c r="H696" i="208"/>
  <c r="Q696" i="208" s="1"/>
  <c r="I696" i="208"/>
  <c r="J696" i="208"/>
  <c r="L696" i="208"/>
  <c r="C697" i="208"/>
  <c r="D697" i="208"/>
  <c r="E697" i="208"/>
  <c r="S697" i="208" s="1"/>
  <c r="H697" i="208"/>
  <c r="Q697" i="208" s="1"/>
  <c r="I697" i="208"/>
  <c r="J697" i="208"/>
  <c r="L697" i="208"/>
  <c r="C698" i="208"/>
  <c r="D698" i="208"/>
  <c r="E698" i="208"/>
  <c r="S698" i="208" s="1"/>
  <c r="H698" i="208"/>
  <c r="Q698" i="208" s="1"/>
  <c r="I698" i="208"/>
  <c r="J698" i="208"/>
  <c r="L698" i="208"/>
  <c r="C699" i="208"/>
  <c r="D699" i="208"/>
  <c r="E699" i="208"/>
  <c r="S699" i="208" s="1"/>
  <c r="H699" i="208"/>
  <c r="Q699" i="208" s="1"/>
  <c r="I699" i="208"/>
  <c r="J699" i="208"/>
  <c r="L699" i="208"/>
  <c r="C700" i="208"/>
  <c r="D700" i="208"/>
  <c r="E700" i="208"/>
  <c r="S700" i="208" s="1"/>
  <c r="H700" i="208"/>
  <c r="Q700" i="208" s="1"/>
  <c r="I700" i="208"/>
  <c r="J700" i="208"/>
  <c r="L700" i="208"/>
  <c r="C701" i="208"/>
  <c r="D701" i="208"/>
  <c r="E701" i="208"/>
  <c r="S701" i="208" s="1"/>
  <c r="H701" i="208"/>
  <c r="Q701" i="208" s="1"/>
  <c r="I701" i="208"/>
  <c r="J701" i="208"/>
  <c r="L701" i="208"/>
  <c r="C702" i="208"/>
  <c r="D702" i="208"/>
  <c r="E702" i="208"/>
  <c r="S702" i="208" s="1"/>
  <c r="H702" i="208"/>
  <c r="Q702" i="208" s="1"/>
  <c r="I702" i="208"/>
  <c r="J702" i="208"/>
  <c r="L702" i="208"/>
  <c r="C703" i="208"/>
  <c r="D703" i="208"/>
  <c r="E703" i="208"/>
  <c r="S703" i="208" s="1"/>
  <c r="H703" i="208"/>
  <c r="Q703" i="208" s="1"/>
  <c r="I703" i="208"/>
  <c r="J703" i="208"/>
  <c r="L703" i="208"/>
  <c r="C704" i="208"/>
  <c r="D704" i="208"/>
  <c r="E704" i="208"/>
  <c r="S704" i="208" s="1"/>
  <c r="H704" i="208"/>
  <c r="Q704" i="208" s="1"/>
  <c r="I704" i="208"/>
  <c r="J704" i="208"/>
  <c r="L704" i="208"/>
  <c r="C705" i="208"/>
  <c r="D705" i="208"/>
  <c r="E705" i="208"/>
  <c r="S705" i="208" s="1"/>
  <c r="H705" i="208"/>
  <c r="Q705" i="208" s="1"/>
  <c r="I705" i="208"/>
  <c r="J705" i="208"/>
  <c r="L705" i="208"/>
  <c r="C706" i="208"/>
  <c r="D706" i="208"/>
  <c r="E706" i="208"/>
  <c r="S706" i="208" s="1"/>
  <c r="H706" i="208"/>
  <c r="Q706" i="208" s="1"/>
  <c r="I706" i="208"/>
  <c r="J706" i="208"/>
  <c r="L706" i="208"/>
  <c r="C707" i="208"/>
  <c r="D707" i="208"/>
  <c r="E707" i="208"/>
  <c r="S707" i="208" s="1"/>
  <c r="H707" i="208"/>
  <c r="Q707" i="208" s="1"/>
  <c r="I707" i="208"/>
  <c r="J707" i="208"/>
  <c r="L707" i="208"/>
  <c r="C708" i="208"/>
  <c r="D708" i="208"/>
  <c r="E708" i="208"/>
  <c r="S708" i="208" s="1"/>
  <c r="H708" i="208"/>
  <c r="Q708" i="208" s="1"/>
  <c r="I708" i="208"/>
  <c r="J708" i="208"/>
  <c r="L708" i="208"/>
  <c r="C709" i="208"/>
  <c r="D709" i="208"/>
  <c r="E709" i="208"/>
  <c r="S709" i="208" s="1"/>
  <c r="H709" i="208"/>
  <c r="Q709" i="208" s="1"/>
  <c r="I709" i="208"/>
  <c r="J709" i="208"/>
  <c r="L709" i="208"/>
  <c r="C710" i="208"/>
  <c r="D710" i="208"/>
  <c r="E710" i="208"/>
  <c r="S710" i="208" s="1"/>
  <c r="H710" i="208"/>
  <c r="Q710" i="208" s="1"/>
  <c r="I710" i="208"/>
  <c r="J710" i="208"/>
  <c r="L710" i="208"/>
  <c r="C711" i="208"/>
  <c r="D711" i="208"/>
  <c r="E711" i="208"/>
  <c r="S711" i="208" s="1"/>
  <c r="H711" i="208"/>
  <c r="Q711" i="208" s="1"/>
  <c r="I711" i="208"/>
  <c r="J711" i="208"/>
  <c r="L711" i="208"/>
  <c r="C712" i="208"/>
  <c r="D712" i="208"/>
  <c r="E712" i="208"/>
  <c r="S712" i="208" s="1"/>
  <c r="H712" i="208"/>
  <c r="Q712" i="208" s="1"/>
  <c r="I712" i="208"/>
  <c r="J712" i="208"/>
  <c r="L712" i="208"/>
  <c r="C713" i="208"/>
  <c r="D713" i="208"/>
  <c r="E713" i="208"/>
  <c r="S713" i="208" s="1"/>
  <c r="H713" i="208"/>
  <c r="Q713" i="208" s="1"/>
  <c r="I713" i="208"/>
  <c r="J713" i="208"/>
  <c r="L713" i="208"/>
  <c r="C714" i="208"/>
  <c r="D714" i="208"/>
  <c r="E714" i="208"/>
  <c r="S714" i="208" s="1"/>
  <c r="H714" i="208"/>
  <c r="Q714" i="208" s="1"/>
  <c r="I714" i="208"/>
  <c r="J714" i="208"/>
  <c r="L714" i="208"/>
  <c r="C715" i="208"/>
  <c r="D715" i="208"/>
  <c r="E715" i="208"/>
  <c r="S715" i="208" s="1"/>
  <c r="H715" i="208"/>
  <c r="Q715" i="208" s="1"/>
  <c r="I715" i="208"/>
  <c r="J715" i="208"/>
  <c r="L715" i="208"/>
  <c r="C716" i="208"/>
  <c r="D716" i="208"/>
  <c r="E716" i="208"/>
  <c r="S716" i="208" s="1"/>
  <c r="H716" i="208"/>
  <c r="Q716" i="208" s="1"/>
  <c r="I716" i="208"/>
  <c r="J716" i="208"/>
  <c r="L716" i="208"/>
  <c r="C717" i="208"/>
  <c r="D717" i="208"/>
  <c r="E717" i="208"/>
  <c r="S717" i="208" s="1"/>
  <c r="H717" i="208"/>
  <c r="Q717" i="208" s="1"/>
  <c r="I717" i="208"/>
  <c r="J717" i="208"/>
  <c r="L717" i="208"/>
  <c r="C718" i="208"/>
  <c r="D718" i="208"/>
  <c r="E718" i="208"/>
  <c r="S718" i="208" s="1"/>
  <c r="H718" i="208"/>
  <c r="Q718" i="208" s="1"/>
  <c r="I718" i="208"/>
  <c r="J718" i="208"/>
  <c r="L718" i="208"/>
  <c r="C719" i="208"/>
  <c r="D719" i="208"/>
  <c r="E719" i="208"/>
  <c r="S719" i="208" s="1"/>
  <c r="H719" i="208"/>
  <c r="Q719" i="208" s="1"/>
  <c r="I719" i="208"/>
  <c r="J719" i="208"/>
  <c r="L719" i="208"/>
  <c r="C720" i="208"/>
  <c r="D720" i="208"/>
  <c r="E720" i="208"/>
  <c r="S720" i="208" s="1"/>
  <c r="H720" i="208"/>
  <c r="Q720" i="208" s="1"/>
  <c r="I720" i="208"/>
  <c r="J720" i="208"/>
  <c r="L720" i="208"/>
  <c r="C721" i="208"/>
  <c r="D721" i="208"/>
  <c r="E721" i="208"/>
  <c r="S721" i="208" s="1"/>
  <c r="H721" i="208"/>
  <c r="Q721" i="208" s="1"/>
  <c r="I721" i="208"/>
  <c r="J721" i="208"/>
  <c r="L721" i="208"/>
  <c r="C722" i="208"/>
  <c r="D722" i="208"/>
  <c r="E722" i="208"/>
  <c r="S722" i="208" s="1"/>
  <c r="H722" i="208"/>
  <c r="Q722" i="208" s="1"/>
  <c r="I722" i="208"/>
  <c r="J722" i="208"/>
  <c r="L722" i="208"/>
  <c r="C723" i="208"/>
  <c r="D723" i="208"/>
  <c r="E723" i="208"/>
  <c r="S723" i="208" s="1"/>
  <c r="H723" i="208"/>
  <c r="Q723" i="208" s="1"/>
  <c r="I723" i="208"/>
  <c r="J723" i="208"/>
  <c r="L723" i="208"/>
  <c r="C724" i="208"/>
  <c r="D724" i="208"/>
  <c r="E724" i="208"/>
  <c r="S724" i="208" s="1"/>
  <c r="H724" i="208"/>
  <c r="Q724" i="208" s="1"/>
  <c r="I724" i="208"/>
  <c r="J724" i="208"/>
  <c r="L724" i="208"/>
  <c r="C725" i="208"/>
  <c r="D725" i="208"/>
  <c r="E725" i="208"/>
  <c r="S725" i="208" s="1"/>
  <c r="H725" i="208"/>
  <c r="Q725" i="208" s="1"/>
  <c r="I725" i="208"/>
  <c r="J725" i="208"/>
  <c r="L725" i="208"/>
  <c r="C726" i="208"/>
  <c r="D726" i="208"/>
  <c r="E726" i="208"/>
  <c r="S726" i="208" s="1"/>
  <c r="H726" i="208"/>
  <c r="Q726" i="208" s="1"/>
  <c r="I726" i="208"/>
  <c r="J726" i="208"/>
  <c r="L726" i="208"/>
  <c r="C727" i="208"/>
  <c r="D727" i="208"/>
  <c r="E727" i="208"/>
  <c r="S727" i="208" s="1"/>
  <c r="H727" i="208"/>
  <c r="Q727" i="208" s="1"/>
  <c r="I727" i="208"/>
  <c r="J727" i="208"/>
  <c r="L727" i="208"/>
  <c r="C728" i="208"/>
  <c r="D728" i="208"/>
  <c r="E728" i="208"/>
  <c r="S728" i="208" s="1"/>
  <c r="H728" i="208"/>
  <c r="Q728" i="208" s="1"/>
  <c r="I728" i="208"/>
  <c r="J728" i="208"/>
  <c r="L728" i="208"/>
  <c r="C729" i="208"/>
  <c r="D729" i="208"/>
  <c r="E729" i="208"/>
  <c r="S729" i="208" s="1"/>
  <c r="H729" i="208"/>
  <c r="Q729" i="208" s="1"/>
  <c r="I729" i="208"/>
  <c r="J729" i="208"/>
  <c r="L729" i="208"/>
  <c r="C730" i="208"/>
  <c r="D730" i="208"/>
  <c r="E730" i="208"/>
  <c r="S730" i="208" s="1"/>
  <c r="H730" i="208"/>
  <c r="Q730" i="208" s="1"/>
  <c r="I730" i="208"/>
  <c r="J730" i="208"/>
  <c r="L730" i="208"/>
  <c r="C731" i="208"/>
  <c r="D731" i="208"/>
  <c r="E731" i="208"/>
  <c r="S731" i="208" s="1"/>
  <c r="H731" i="208"/>
  <c r="Q731" i="208" s="1"/>
  <c r="I731" i="208"/>
  <c r="J731" i="208"/>
  <c r="L731" i="208"/>
  <c r="C732" i="208"/>
  <c r="D732" i="208"/>
  <c r="E732" i="208"/>
  <c r="S732" i="208" s="1"/>
  <c r="H732" i="208"/>
  <c r="Q732" i="208" s="1"/>
  <c r="I732" i="208"/>
  <c r="J732" i="208"/>
  <c r="L732" i="208"/>
  <c r="C733" i="208"/>
  <c r="D733" i="208"/>
  <c r="E733" i="208"/>
  <c r="S733" i="208" s="1"/>
  <c r="H733" i="208"/>
  <c r="Q733" i="208" s="1"/>
  <c r="I733" i="208"/>
  <c r="J733" i="208"/>
  <c r="L733" i="208"/>
  <c r="C734" i="208"/>
  <c r="D734" i="208"/>
  <c r="E734" i="208"/>
  <c r="S734" i="208" s="1"/>
  <c r="H734" i="208"/>
  <c r="Q734" i="208" s="1"/>
  <c r="I734" i="208"/>
  <c r="J734" i="208"/>
  <c r="L734" i="208"/>
  <c r="C735" i="208"/>
  <c r="D735" i="208"/>
  <c r="E735" i="208"/>
  <c r="S735" i="208" s="1"/>
  <c r="H735" i="208"/>
  <c r="Q735" i="208" s="1"/>
  <c r="I735" i="208"/>
  <c r="J735" i="208"/>
  <c r="L735" i="208"/>
  <c r="C736" i="208"/>
  <c r="D736" i="208"/>
  <c r="E736" i="208"/>
  <c r="S736" i="208" s="1"/>
  <c r="H736" i="208"/>
  <c r="Q736" i="208" s="1"/>
  <c r="I736" i="208"/>
  <c r="J736" i="208"/>
  <c r="L736" i="208"/>
  <c r="C737" i="208"/>
  <c r="D737" i="208"/>
  <c r="E737" i="208"/>
  <c r="S737" i="208" s="1"/>
  <c r="H737" i="208"/>
  <c r="Q737" i="208" s="1"/>
  <c r="I737" i="208"/>
  <c r="J737" i="208"/>
  <c r="L737" i="208"/>
  <c r="C738" i="208"/>
  <c r="D738" i="208"/>
  <c r="E738" i="208"/>
  <c r="S738" i="208" s="1"/>
  <c r="H738" i="208"/>
  <c r="Q738" i="208" s="1"/>
  <c r="I738" i="208"/>
  <c r="J738" i="208"/>
  <c r="L738" i="208"/>
  <c r="C739" i="208"/>
  <c r="D739" i="208"/>
  <c r="E739" i="208"/>
  <c r="S739" i="208" s="1"/>
  <c r="H739" i="208"/>
  <c r="Q739" i="208" s="1"/>
  <c r="I739" i="208"/>
  <c r="J739" i="208"/>
  <c r="L739" i="208"/>
  <c r="C740" i="208"/>
  <c r="D740" i="208"/>
  <c r="E740" i="208"/>
  <c r="S740" i="208" s="1"/>
  <c r="H740" i="208"/>
  <c r="Q740" i="208" s="1"/>
  <c r="I740" i="208"/>
  <c r="J740" i="208"/>
  <c r="L740" i="208"/>
  <c r="C741" i="208"/>
  <c r="D741" i="208"/>
  <c r="E741" i="208"/>
  <c r="S741" i="208" s="1"/>
  <c r="H741" i="208"/>
  <c r="Q741" i="208" s="1"/>
  <c r="I741" i="208"/>
  <c r="J741" i="208"/>
  <c r="L741" i="208"/>
  <c r="C742" i="208"/>
  <c r="D742" i="208"/>
  <c r="E742" i="208"/>
  <c r="S742" i="208" s="1"/>
  <c r="H742" i="208"/>
  <c r="Q742" i="208" s="1"/>
  <c r="I742" i="208"/>
  <c r="J742" i="208"/>
  <c r="L742" i="208"/>
  <c r="C743" i="208"/>
  <c r="D743" i="208"/>
  <c r="E743" i="208"/>
  <c r="S743" i="208" s="1"/>
  <c r="H743" i="208"/>
  <c r="Q743" i="208" s="1"/>
  <c r="I743" i="208"/>
  <c r="J743" i="208"/>
  <c r="L743" i="208"/>
  <c r="C744" i="208"/>
  <c r="D744" i="208"/>
  <c r="E744" i="208"/>
  <c r="S744" i="208" s="1"/>
  <c r="H744" i="208"/>
  <c r="Q744" i="208" s="1"/>
  <c r="I744" i="208"/>
  <c r="J744" i="208"/>
  <c r="L744" i="208"/>
  <c r="C745" i="208"/>
  <c r="D745" i="208"/>
  <c r="E745" i="208"/>
  <c r="S745" i="208" s="1"/>
  <c r="H745" i="208"/>
  <c r="Q745" i="208" s="1"/>
  <c r="I745" i="208"/>
  <c r="J745" i="208"/>
  <c r="L745" i="208"/>
  <c r="C746" i="208"/>
  <c r="D746" i="208"/>
  <c r="E746" i="208"/>
  <c r="S746" i="208" s="1"/>
  <c r="H746" i="208"/>
  <c r="Q746" i="208" s="1"/>
  <c r="I746" i="208"/>
  <c r="J746" i="208"/>
  <c r="L746" i="208"/>
  <c r="C747" i="208"/>
  <c r="D747" i="208"/>
  <c r="E747" i="208"/>
  <c r="S747" i="208" s="1"/>
  <c r="H747" i="208"/>
  <c r="Q747" i="208" s="1"/>
  <c r="I747" i="208"/>
  <c r="J747" i="208"/>
  <c r="L747" i="208"/>
  <c r="C748" i="208"/>
  <c r="D748" i="208"/>
  <c r="E748" i="208"/>
  <c r="S748" i="208" s="1"/>
  <c r="H748" i="208"/>
  <c r="Q748" i="208" s="1"/>
  <c r="I748" i="208"/>
  <c r="J748" i="208"/>
  <c r="L748" i="208"/>
  <c r="C749" i="208"/>
  <c r="D749" i="208"/>
  <c r="E749" i="208"/>
  <c r="S749" i="208" s="1"/>
  <c r="H749" i="208"/>
  <c r="Q749" i="208" s="1"/>
  <c r="I749" i="208"/>
  <c r="J749" i="208"/>
  <c r="L749" i="208"/>
  <c r="C750" i="208"/>
  <c r="D750" i="208"/>
  <c r="E750" i="208"/>
  <c r="S750" i="208" s="1"/>
  <c r="H750" i="208"/>
  <c r="Q750" i="208" s="1"/>
  <c r="I750" i="208"/>
  <c r="J750" i="208"/>
  <c r="L750" i="208"/>
  <c r="C751" i="208"/>
  <c r="D751" i="208"/>
  <c r="E751" i="208"/>
  <c r="S751" i="208" s="1"/>
  <c r="H751" i="208"/>
  <c r="Q751" i="208" s="1"/>
  <c r="I751" i="208"/>
  <c r="J751" i="208"/>
  <c r="L751" i="208"/>
  <c r="C752" i="208"/>
  <c r="D752" i="208"/>
  <c r="E752" i="208"/>
  <c r="S752" i="208" s="1"/>
  <c r="H752" i="208"/>
  <c r="Q752" i="208" s="1"/>
  <c r="I752" i="208"/>
  <c r="J752" i="208"/>
  <c r="L752" i="208"/>
  <c r="C753" i="208"/>
  <c r="D753" i="208"/>
  <c r="E753" i="208"/>
  <c r="S753" i="208" s="1"/>
  <c r="H753" i="208"/>
  <c r="Q753" i="208" s="1"/>
  <c r="I753" i="208"/>
  <c r="J753" i="208"/>
  <c r="L753" i="208"/>
  <c r="C754" i="208"/>
  <c r="D754" i="208"/>
  <c r="E754" i="208"/>
  <c r="S754" i="208" s="1"/>
  <c r="H754" i="208"/>
  <c r="Q754" i="208" s="1"/>
  <c r="I754" i="208"/>
  <c r="J754" i="208"/>
  <c r="L754" i="208"/>
  <c r="C755" i="208"/>
  <c r="D755" i="208"/>
  <c r="E755" i="208"/>
  <c r="S755" i="208" s="1"/>
  <c r="H755" i="208"/>
  <c r="Q755" i="208" s="1"/>
  <c r="I755" i="208"/>
  <c r="J755" i="208"/>
  <c r="L755" i="208"/>
  <c r="C756" i="208"/>
  <c r="D756" i="208"/>
  <c r="E756" i="208"/>
  <c r="S756" i="208" s="1"/>
  <c r="H756" i="208"/>
  <c r="Q756" i="208" s="1"/>
  <c r="I756" i="208"/>
  <c r="J756" i="208"/>
  <c r="L756" i="208"/>
  <c r="C757" i="208"/>
  <c r="D757" i="208"/>
  <c r="E757" i="208"/>
  <c r="S757" i="208" s="1"/>
  <c r="H757" i="208"/>
  <c r="Q757" i="208" s="1"/>
  <c r="I757" i="208"/>
  <c r="J757" i="208"/>
  <c r="L757" i="208"/>
  <c r="C758" i="208"/>
  <c r="D758" i="208"/>
  <c r="E758" i="208"/>
  <c r="S758" i="208" s="1"/>
  <c r="H758" i="208"/>
  <c r="Q758" i="208" s="1"/>
  <c r="I758" i="208"/>
  <c r="J758" i="208"/>
  <c r="L758" i="208"/>
  <c r="C759" i="208"/>
  <c r="D759" i="208"/>
  <c r="E759" i="208"/>
  <c r="S759" i="208" s="1"/>
  <c r="H759" i="208"/>
  <c r="Q759" i="208" s="1"/>
  <c r="I759" i="208"/>
  <c r="J759" i="208"/>
  <c r="L759" i="208"/>
  <c r="C760" i="208"/>
  <c r="D760" i="208"/>
  <c r="E760" i="208"/>
  <c r="S760" i="208" s="1"/>
  <c r="H760" i="208"/>
  <c r="Q760" i="208" s="1"/>
  <c r="I760" i="208"/>
  <c r="J760" i="208"/>
  <c r="L760" i="208"/>
  <c r="C761" i="208"/>
  <c r="D761" i="208"/>
  <c r="E761" i="208"/>
  <c r="S761" i="208" s="1"/>
  <c r="H761" i="208"/>
  <c r="Q761" i="208" s="1"/>
  <c r="I761" i="208"/>
  <c r="J761" i="208"/>
  <c r="L761" i="208"/>
  <c r="C762" i="208"/>
  <c r="D762" i="208"/>
  <c r="E762" i="208"/>
  <c r="S762" i="208" s="1"/>
  <c r="H762" i="208"/>
  <c r="Q762" i="208" s="1"/>
  <c r="I762" i="208"/>
  <c r="J762" i="208"/>
  <c r="L762" i="208"/>
  <c r="C763" i="208"/>
  <c r="D763" i="208"/>
  <c r="E763" i="208"/>
  <c r="S763" i="208" s="1"/>
  <c r="H763" i="208"/>
  <c r="Q763" i="208" s="1"/>
  <c r="I763" i="208"/>
  <c r="J763" i="208"/>
  <c r="L763" i="208"/>
  <c r="C764" i="208"/>
  <c r="D764" i="208"/>
  <c r="E764" i="208"/>
  <c r="S764" i="208" s="1"/>
  <c r="H764" i="208"/>
  <c r="Q764" i="208" s="1"/>
  <c r="I764" i="208"/>
  <c r="J764" i="208"/>
  <c r="L764" i="208"/>
  <c r="C765" i="208"/>
  <c r="D765" i="208"/>
  <c r="E765" i="208"/>
  <c r="S765" i="208" s="1"/>
  <c r="H765" i="208"/>
  <c r="Q765" i="208" s="1"/>
  <c r="I765" i="208"/>
  <c r="J765" i="208"/>
  <c r="L765" i="208"/>
  <c r="C766" i="208"/>
  <c r="D766" i="208"/>
  <c r="E766" i="208"/>
  <c r="S766" i="208" s="1"/>
  <c r="H766" i="208"/>
  <c r="Q766" i="208" s="1"/>
  <c r="I766" i="208"/>
  <c r="J766" i="208"/>
  <c r="L766" i="208"/>
  <c r="C767" i="208"/>
  <c r="D767" i="208"/>
  <c r="E767" i="208"/>
  <c r="S767" i="208" s="1"/>
  <c r="H767" i="208"/>
  <c r="Q767" i="208" s="1"/>
  <c r="I767" i="208"/>
  <c r="J767" i="208"/>
  <c r="L767" i="208"/>
  <c r="C768" i="208"/>
  <c r="D768" i="208"/>
  <c r="E768" i="208"/>
  <c r="S768" i="208" s="1"/>
  <c r="H768" i="208"/>
  <c r="Q768" i="208" s="1"/>
  <c r="I768" i="208"/>
  <c r="J768" i="208"/>
  <c r="L768" i="208"/>
  <c r="C769" i="208"/>
  <c r="D769" i="208"/>
  <c r="E769" i="208"/>
  <c r="S769" i="208" s="1"/>
  <c r="H769" i="208"/>
  <c r="Q769" i="208" s="1"/>
  <c r="I769" i="208"/>
  <c r="J769" i="208"/>
  <c r="L769" i="208"/>
  <c r="C770" i="208"/>
  <c r="D770" i="208"/>
  <c r="E770" i="208"/>
  <c r="S770" i="208" s="1"/>
  <c r="H770" i="208"/>
  <c r="Q770" i="208" s="1"/>
  <c r="I770" i="208"/>
  <c r="J770" i="208"/>
  <c r="L770" i="208"/>
  <c r="C771" i="208"/>
  <c r="D771" i="208"/>
  <c r="E771" i="208"/>
  <c r="S771" i="208" s="1"/>
  <c r="H771" i="208"/>
  <c r="Q771" i="208" s="1"/>
  <c r="I771" i="208"/>
  <c r="J771" i="208"/>
  <c r="L771" i="208"/>
  <c r="C772" i="208"/>
  <c r="D772" i="208"/>
  <c r="E772" i="208"/>
  <c r="S772" i="208" s="1"/>
  <c r="H772" i="208"/>
  <c r="Q772" i="208" s="1"/>
  <c r="I772" i="208"/>
  <c r="J772" i="208"/>
  <c r="L772" i="208"/>
  <c r="C773" i="208"/>
  <c r="D773" i="208"/>
  <c r="E773" i="208"/>
  <c r="S773" i="208" s="1"/>
  <c r="H773" i="208"/>
  <c r="Q773" i="208" s="1"/>
  <c r="I773" i="208"/>
  <c r="J773" i="208"/>
  <c r="L773" i="208"/>
  <c r="C774" i="208"/>
  <c r="D774" i="208"/>
  <c r="E774" i="208"/>
  <c r="S774" i="208" s="1"/>
  <c r="H774" i="208"/>
  <c r="Q774" i="208" s="1"/>
  <c r="I774" i="208"/>
  <c r="J774" i="208"/>
  <c r="L774" i="208"/>
  <c r="C775" i="208"/>
  <c r="D775" i="208"/>
  <c r="E775" i="208"/>
  <c r="S775" i="208" s="1"/>
  <c r="H775" i="208"/>
  <c r="Q775" i="208" s="1"/>
  <c r="I775" i="208"/>
  <c r="J775" i="208"/>
  <c r="L775" i="208"/>
  <c r="C776" i="208"/>
  <c r="D776" i="208"/>
  <c r="E776" i="208"/>
  <c r="S776" i="208" s="1"/>
  <c r="H776" i="208"/>
  <c r="Q776" i="208" s="1"/>
  <c r="I776" i="208"/>
  <c r="J776" i="208"/>
  <c r="L776" i="208"/>
  <c r="C777" i="208"/>
  <c r="D777" i="208"/>
  <c r="E777" i="208"/>
  <c r="S777" i="208" s="1"/>
  <c r="H777" i="208"/>
  <c r="Q777" i="208" s="1"/>
  <c r="I777" i="208"/>
  <c r="J777" i="208"/>
  <c r="L777" i="208"/>
  <c r="C778" i="208"/>
  <c r="D778" i="208"/>
  <c r="E778" i="208"/>
  <c r="S778" i="208" s="1"/>
  <c r="H778" i="208"/>
  <c r="Q778" i="208" s="1"/>
  <c r="I778" i="208"/>
  <c r="J778" i="208"/>
  <c r="L778" i="208"/>
  <c r="C779" i="208"/>
  <c r="D779" i="208"/>
  <c r="E779" i="208"/>
  <c r="S779" i="208" s="1"/>
  <c r="H779" i="208"/>
  <c r="Q779" i="208" s="1"/>
  <c r="I779" i="208"/>
  <c r="J779" i="208"/>
  <c r="L779" i="208"/>
  <c r="C780" i="208"/>
  <c r="D780" i="208"/>
  <c r="E780" i="208"/>
  <c r="S780" i="208" s="1"/>
  <c r="H780" i="208"/>
  <c r="Q780" i="208" s="1"/>
  <c r="I780" i="208"/>
  <c r="J780" i="208"/>
  <c r="L780" i="208"/>
  <c r="C781" i="208"/>
  <c r="D781" i="208"/>
  <c r="E781" i="208"/>
  <c r="S781" i="208" s="1"/>
  <c r="H781" i="208"/>
  <c r="Q781" i="208" s="1"/>
  <c r="I781" i="208"/>
  <c r="J781" i="208"/>
  <c r="L781" i="208"/>
  <c r="C782" i="208"/>
  <c r="D782" i="208"/>
  <c r="E782" i="208"/>
  <c r="S782" i="208" s="1"/>
  <c r="H782" i="208"/>
  <c r="Q782" i="208" s="1"/>
  <c r="I782" i="208"/>
  <c r="J782" i="208"/>
  <c r="L782" i="208"/>
  <c r="C783" i="208"/>
  <c r="D783" i="208"/>
  <c r="E783" i="208"/>
  <c r="S783" i="208" s="1"/>
  <c r="H783" i="208"/>
  <c r="Q783" i="208" s="1"/>
  <c r="I783" i="208"/>
  <c r="J783" i="208"/>
  <c r="L783" i="208"/>
  <c r="C784" i="208"/>
  <c r="D784" i="208"/>
  <c r="E784" i="208"/>
  <c r="S784" i="208" s="1"/>
  <c r="H784" i="208"/>
  <c r="Q784" i="208" s="1"/>
  <c r="I784" i="208"/>
  <c r="J784" i="208"/>
  <c r="L784" i="208"/>
  <c r="C785" i="208"/>
  <c r="D785" i="208"/>
  <c r="E785" i="208"/>
  <c r="S785" i="208" s="1"/>
  <c r="H785" i="208"/>
  <c r="Q785" i="208" s="1"/>
  <c r="I785" i="208"/>
  <c r="J785" i="208"/>
  <c r="L785" i="208"/>
  <c r="C786" i="208"/>
  <c r="D786" i="208"/>
  <c r="E786" i="208"/>
  <c r="S786" i="208" s="1"/>
  <c r="H786" i="208"/>
  <c r="Q786" i="208" s="1"/>
  <c r="I786" i="208"/>
  <c r="J786" i="208"/>
  <c r="L786" i="208"/>
  <c r="C787" i="208"/>
  <c r="D787" i="208"/>
  <c r="E787" i="208"/>
  <c r="S787" i="208" s="1"/>
  <c r="H787" i="208"/>
  <c r="Q787" i="208" s="1"/>
  <c r="I787" i="208"/>
  <c r="J787" i="208"/>
  <c r="L787" i="208"/>
  <c r="C788" i="208"/>
  <c r="D788" i="208"/>
  <c r="E788" i="208"/>
  <c r="S788" i="208" s="1"/>
  <c r="H788" i="208"/>
  <c r="Q788" i="208" s="1"/>
  <c r="I788" i="208"/>
  <c r="J788" i="208"/>
  <c r="L788" i="208"/>
  <c r="C789" i="208"/>
  <c r="D789" i="208"/>
  <c r="E789" i="208"/>
  <c r="S789" i="208" s="1"/>
  <c r="H789" i="208"/>
  <c r="Q789" i="208" s="1"/>
  <c r="I789" i="208"/>
  <c r="J789" i="208"/>
  <c r="L789" i="208"/>
  <c r="C790" i="208"/>
  <c r="D790" i="208"/>
  <c r="E790" i="208"/>
  <c r="S790" i="208" s="1"/>
  <c r="H790" i="208"/>
  <c r="Q790" i="208" s="1"/>
  <c r="I790" i="208"/>
  <c r="J790" i="208"/>
  <c r="L790" i="208"/>
  <c r="C791" i="208"/>
  <c r="D791" i="208"/>
  <c r="E791" i="208"/>
  <c r="S791" i="208" s="1"/>
  <c r="H791" i="208"/>
  <c r="Q791" i="208" s="1"/>
  <c r="I791" i="208"/>
  <c r="J791" i="208"/>
  <c r="L791" i="208"/>
  <c r="C792" i="208"/>
  <c r="D792" i="208"/>
  <c r="E792" i="208"/>
  <c r="S792" i="208" s="1"/>
  <c r="H792" i="208"/>
  <c r="Q792" i="208" s="1"/>
  <c r="I792" i="208"/>
  <c r="J792" i="208"/>
  <c r="L792" i="208"/>
  <c r="C793" i="208"/>
  <c r="D793" i="208"/>
  <c r="E793" i="208"/>
  <c r="S793" i="208" s="1"/>
  <c r="H793" i="208"/>
  <c r="Q793" i="208" s="1"/>
  <c r="I793" i="208"/>
  <c r="J793" i="208"/>
  <c r="L793" i="208"/>
  <c r="C794" i="208"/>
  <c r="D794" i="208"/>
  <c r="E794" i="208"/>
  <c r="S794" i="208" s="1"/>
  <c r="H794" i="208"/>
  <c r="Q794" i="208" s="1"/>
  <c r="I794" i="208"/>
  <c r="J794" i="208"/>
  <c r="L794" i="208"/>
  <c r="C795" i="208"/>
  <c r="D795" i="208"/>
  <c r="E795" i="208"/>
  <c r="S795" i="208" s="1"/>
  <c r="H795" i="208"/>
  <c r="Q795" i="208" s="1"/>
  <c r="I795" i="208"/>
  <c r="J795" i="208"/>
  <c r="L795" i="208"/>
  <c r="C796" i="208"/>
  <c r="D796" i="208"/>
  <c r="E796" i="208"/>
  <c r="S796" i="208" s="1"/>
  <c r="H796" i="208"/>
  <c r="Q796" i="208" s="1"/>
  <c r="I796" i="208"/>
  <c r="J796" i="208"/>
  <c r="L796" i="208"/>
  <c r="C797" i="208"/>
  <c r="D797" i="208"/>
  <c r="E797" i="208"/>
  <c r="S797" i="208" s="1"/>
  <c r="H797" i="208"/>
  <c r="Q797" i="208" s="1"/>
  <c r="I797" i="208"/>
  <c r="J797" i="208"/>
  <c r="L797" i="208"/>
  <c r="C798" i="208"/>
  <c r="D798" i="208"/>
  <c r="E798" i="208"/>
  <c r="S798" i="208" s="1"/>
  <c r="H798" i="208"/>
  <c r="Q798" i="208" s="1"/>
  <c r="I798" i="208"/>
  <c r="J798" i="208"/>
  <c r="L798" i="208"/>
  <c r="C799" i="208"/>
  <c r="D799" i="208"/>
  <c r="E799" i="208"/>
  <c r="S799" i="208" s="1"/>
  <c r="H799" i="208"/>
  <c r="Q799" i="208" s="1"/>
  <c r="I799" i="208"/>
  <c r="J799" i="208"/>
  <c r="L799" i="208"/>
  <c r="C800" i="208"/>
  <c r="D800" i="208"/>
  <c r="E800" i="208"/>
  <c r="S800" i="208" s="1"/>
  <c r="H800" i="208"/>
  <c r="Q800" i="208" s="1"/>
  <c r="I800" i="208"/>
  <c r="J800" i="208"/>
  <c r="L800" i="208"/>
  <c r="C801" i="208"/>
  <c r="D801" i="208"/>
  <c r="E801" i="208"/>
  <c r="S801" i="208" s="1"/>
  <c r="H801" i="208"/>
  <c r="Q801" i="208" s="1"/>
  <c r="I801" i="208"/>
  <c r="J801" i="208"/>
  <c r="L801" i="208"/>
  <c r="C802" i="208"/>
  <c r="D802" i="208"/>
  <c r="E802" i="208"/>
  <c r="S802" i="208" s="1"/>
  <c r="H802" i="208"/>
  <c r="Q802" i="208" s="1"/>
  <c r="I802" i="208"/>
  <c r="J802" i="208"/>
  <c r="L802" i="208"/>
  <c r="C803" i="208"/>
  <c r="D803" i="208"/>
  <c r="E803" i="208"/>
  <c r="S803" i="208" s="1"/>
  <c r="H803" i="208"/>
  <c r="Q803" i="208" s="1"/>
  <c r="I803" i="208"/>
  <c r="J803" i="208"/>
  <c r="L803" i="208"/>
  <c r="C804" i="208"/>
  <c r="D804" i="208"/>
  <c r="E804" i="208"/>
  <c r="S804" i="208" s="1"/>
  <c r="H804" i="208"/>
  <c r="Q804" i="208" s="1"/>
  <c r="I804" i="208"/>
  <c r="J804" i="208"/>
  <c r="L804" i="208"/>
  <c r="C805" i="208"/>
  <c r="D805" i="208"/>
  <c r="E805" i="208"/>
  <c r="S805" i="208" s="1"/>
  <c r="H805" i="208"/>
  <c r="Q805" i="208" s="1"/>
  <c r="I805" i="208"/>
  <c r="J805" i="208"/>
  <c r="L805" i="208"/>
  <c r="C806" i="208"/>
  <c r="D806" i="208"/>
  <c r="E806" i="208"/>
  <c r="S806" i="208" s="1"/>
  <c r="H806" i="208"/>
  <c r="Q806" i="208" s="1"/>
  <c r="I806" i="208"/>
  <c r="J806" i="208"/>
  <c r="L806" i="208"/>
  <c r="C807" i="208"/>
  <c r="D807" i="208"/>
  <c r="E807" i="208"/>
  <c r="S807" i="208" s="1"/>
  <c r="H807" i="208"/>
  <c r="Q807" i="208" s="1"/>
  <c r="I807" i="208"/>
  <c r="J807" i="208"/>
  <c r="L807" i="208"/>
  <c r="C808" i="208"/>
  <c r="D808" i="208"/>
  <c r="E808" i="208"/>
  <c r="S808" i="208" s="1"/>
  <c r="H808" i="208"/>
  <c r="Q808" i="208" s="1"/>
  <c r="I808" i="208"/>
  <c r="J808" i="208"/>
  <c r="L808" i="208"/>
  <c r="C809" i="208"/>
  <c r="D809" i="208"/>
  <c r="E809" i="208"/>
  <c r="S809" i="208" s="1"/>
  <c r="H809" i="208"/>
  <c r="Q809" i="208" s="1"/>
  <c r="I809" i="208"/>
  <c r="J809" i="208"/>
  <c r="L809" i="208"/>
  <c r="C810" i="208"/>
  <c r="D810" i="208"/>
  <c r="E810" i="208"/>
  <c r="S810" i="208" s="1"/>
  <c r="H810" i="208"/>
  <c r="Q810" i="208" s="1"/>
  <c r="I810" i="208"/>
  <c r="J810" i="208"/>
  <c r="L810" i="208"/>
  <c r="C811" i="208"/>
  <c r="D811" i="208"/>
  <c r="E811" i="208"/>
  <c r="S811" i="208" s="1"/>
  <c r="H811" i="208"/>
  <c r="Q811" i="208" s="1"/>
  <c r="I811" i="208"/>
  <c r="J811" i="208"/>
  <c r="L811" i="208"/>
  <c r="C812" i="208"/>
  <c r="D812" i="208"/>
  <c r="E812" i="208"/>
  <c r="S812" i="208" s="1"/>
  <c r="H812" i="208"/>
  <c r="Q812" i="208" s="1"/>
  <c r="I812" i="208"/>
  <c r="J812" i="208"/>
  <c r="L812" i="208"/>
  <c r="C813" i="208"/>
  <c r="D813" i="208"/>
  <c r="E813" i="208"/>
  <c r="S813" i="208" s="1"/>
  <c r="H813" i="208"/>
  <c r="Q813" i="208" s="1"/>
  <c r="I813" i="208"/>
  <c r="J813" i="208"/>
  <c r="L813" i="208"/>
  <c r="C814" i="208"/>
  <c r="D814" i="208"/>
  <c r="E814" i="208"/>
  <c r="S814" i="208" s="1"/>
  <c r="H814" i="208"/>
  <c r="Q814" i="208" s="1"/>
  <c r="I814" i="208"/>
  <c r="J814" i="208"/>
  <c r="L814" i="208"/>
  <c r="C815" i="208"/>
  <c r="D815" i="208"/>
  <c r="E815" i="208"/>
  <c r="S815" i="208" s="1"/>
  <c r="H815" i="208"/>
  <c r="Q815" i="208" s="1"/>
  <c r="I815" i="208"/>
  <c r="J815" i="208"/>
  <c r="L815" i="208"/>
  <c r="C816" i="208"/>
  <c r="D816" i="208"/>
  <c r="E816" i="208"/>
  <c r="S816" i="208" s="1"/>
  <c r="H816" i="208"/>
  <c r="Q816" i="208" s="1"/>
  <c r="I816" i="208"/>
  <c r="J816" i="208"/>
  <c r="L816" i="208"/>
  <c r="C817" i="208"/>
  <c r="D817" i="208"/>
  <c r="E817" i="208"/>
  <c r="S817" i="208" s="1"/>
  <c r="H817" i="208"/>
  <c r="Q817" i="208" s="1"/>
  <c r="I817" i="208"/>
  <c r="J817" i="208"/>
  <c r="L817" i="208"/>
  <c r="C818" i="208"/>
  <c r="D818" i="208"/>
  <c r="E818" i="208"/>
  <c r="S818" i="208" s="1"/>
  <c r="H818" i="208"/>
  <c r="Q818" i="208" s="1"/>
  <c r="I818" i="208"/>
  <c r="J818" i="208"/>
  <c r="L818" i="208"/>
  <c r="C819" i="208"/>
  <c r="D819" i="208"/>
  <c r="E819" i="208"/>
  <c r="S819" i="208" s="1"/>
  <c r="H819" i="208"/>
  <c r="Q819" i="208" s="1"/>
  <c r="I819" i="208"/>
  <c r="J819" i="208"/>
  <c r="L819" i="208"/>
  <c r="C820" i="208"/>
  <c r="D820" i="208"/>
  <c r="E820" i="208"/>
  <c r="S820" i="208" s="1"/>
  <c r="H820" i="208"/>
  <c r="Q820" i="208" s="1"/>
  <c r="I820" i="208"/>
  <c r="J820" i="208"/>
  <c r="L820" i="208"/>
  <c r="C821" i="208"/>
  <c r="D821" i="208"/>
  <c r="E821" i="208"/>
  <c r="S821" i="208" s="1"/>
  <c r="H821" i="208"/>
  <c r="Q821" i="208" s="1"/>
  <c r="I821" i="208"/>
  <c r="J821" i="208"/>
  <c r="L821" i="208"/>
  <c r="C822" i="208"/>
  <c r="D822" i="208"/>
  <c r="E822" i="208"/>
  <c r="S822" i="208" s="1"/>
  <c r="H822" i="208"/>
  <c r="Q822" i="208" s="1"/>
  <c r="I822" i="208"/>
  <c r="J822" i="208"/>
  <c r="L822" i="208"/>
  <c r="C823" i="208"/>
  <c r="D823" i="208"/>
  <c r="E823" i="208"/>
  <c r="S823" i="208" s="1"/>
  <c r="H823" i="208"/>
  <c r="Q823" i="208" s="1"/>
  <c r="I823" i="208"/>
  <c r="J823" i="208"/>
  <c r="L823" i="208"/>
  <c r="C824" i="208"/>
  <c r="D824" i="208"/>
  <c r="E824" i="208"/>
  <c r="S824" i="208" s="1"/>
  <c r="H824" i="208"/>
  <c r="Q824" i="208" s="1"/>
  <c r="I824" i="208"/>
  <c r="J824" i="208"/>
  <c r="L824" i="208"/>
  <c r="C825" i="208"/>
  <c r="D825" i="208"/>
  <c r="E825" i="208"/>
  <c r="S825" i="208" s="1"/>
  <c r="H825" i="208"/>
  <c r="Q825" i="208" s="1"/>
  <c r="I825" i="208"/>
  <c r="J825" i="208"/>
  <c r="L825" i="208"/>
  <c r="C826" i="208"/>
  <c r="D826" i="208"/>
  <c r="E826" i="208"/>
  <c r="S826" i="208" s="1"/>
  <c r="H826" i="208"/>
  <c r="Q826" i="208" s="1"/>
  <c r="I826" i="208"/>
  <c r="J826" i="208"/>
  <c r="L826" i="208"/>
  <c r="C827" i="208"/>
  <c r="D827" i="208"/>
  <c r="E827" i="208"/>
  <c r="S827" i="208" s="1"/>
  <c r="H827" i="208"/>
  <c r="Q827" i="208" s="1"/>
  <c r="I827" i="208"/>
  <c r="J827" i="208"/>
  <c r="L827" i="208"/>
  <c r="C828" i="208"/>
  <c r="D828" i="208"/>
  <c r="E828" i="208"/>
  <c r="S828" i="208" s="1"/>
  <c r="H828" i="208"/>
  <c r="Q828" i="208" s="1"/>
  <c r="I828" i="208"/>
  <c r="J828" i="208"/>
  <c r="L828" i="208"/>
  <c r="C829" i="208"/>
  <c r="D829" i="208"/>
  <c r="E829" i="208"/>
  <c r="S829" i="208" s="1"/>
  <c r="H829" i="208"/>
  <c r="Q829" i="208" s="1"/>
  <c r="I829" i="208"/>
  <c r="J829" i="208"/>
  <c r="L829" i="208"/>
  <c r="C830" i="208"/>
  <c r="D830" i="208"/>
  <c r="E830" i="208"/>
  <c r="S830" i="208" s="1"/>
  <c r="H830" i="208"/>
  <c r="Q830" i="208" s="1"/>
  <c r="I830" i="208"/>
  <c r="J830" i="208"/>
  <c r="L830" i="208"/>
  <c r="C831" i="208"/>
  <c r="D831" i="208"/>
  <c r="E831" i="208"/>
  <c r="S831" i="208" s="1"/>
  <c r="H831" i="208"/>
  <c r="Q831" i="208" s="1"/>
  <c r="I831" i="208"/>
  <c r="J831" i="208"/>
  <c r="L831" i="208"/>
  <c r="C832" i="208"/>
  <c r="D832" i="208"/>
  <c r="E832" i="208"/>
  <c r="S832" i="208" s="1"/>
  <c r="H832" i="208"/>
  <c r="Q832" i="208" s="1"/>
  <c r="I832" i="208"/>
  <c r="J832" i="208"/>
  <c r="L832" i="208"/>
  <c r="C833" i="208"/>
  <c r="D833" i="208"/>
  <c r="E833" i="208"/>
  <c r="S833" i="208" s="1"/>
  <c r="H833" i="208"/>
  <c r="Q833" i="208" s="1"/>
  <c r="I833" i="208"/>
  <c r="J833" i="208"/>
  <c r="L833" i="208"/>
  <c r="C834" i="208"/>
  <c r="D834" i="208"/>
  <c r="E834" i="208"/>
  <c r="S834" i="208" s="1"/>
  <c r="H834" i="208"/>
  <c r="Q834" i="208" s="1"/>
  <c r="I834" i="208"/>
  <c r="J834" i="208"/>
  <c r="L834" i="208"/>
  <c r="C835" i="208"/>
  <c r="D835" i="208"/>
  <c r="E835" i="208"/>
  <c r="S835" i="208" s="1"/>
  <c r="H835" i="208"/>
  <c r="Q835" i="208" s="1"/>
  <c r="I835" i="208"/>
  <c r="J835" i="208"/>
  <c r="L835" i="208"/>
  <c r="C836" i="208"/>
  <c r="D836" i="208"/>
  <c r="E836" i="208"/>
  <c r="S836" i="208" s="1"/>
  <c r="H836" i="208"/>
  <c r="Q836" i="208" s="1"/>
  <c r="I836" i="208"/>
  <c r="J836" i="208"/>
  <c r="L836" i="208"/>
  <c r="C837" i="208"/>
  <c r="D837" i="208"/>
  <c r="E837" i="208"/>
  <c r="S837" i="208" s="1"/>
  <c r="H837" i="208"/>
  <c r="Q837" i="208" s="1"/>
  <c r="I837" i="208"/>
  <c r="J837" i="208"/>
  <c r="L837" i="208"/>
  <c r="C838" i="208"/>
  <c r="D838" i="208"/>
  <c r="E838" i="208"/>
  <c r="S838" i="208" s="1"/>
  <c r="H838" i="208"/>
  <c r="Q838" i="208" s="1"/>
  <c r="I838" i="208"/>
  <c r="J838" i="208"/>
  <c r="L838" i="208"/>
  <c r="C839" i="208"/>
  <c r="D839" i="208"/>
  <c r="E839" i="208"/>
  <c r="S839" i="208" s="1"/>
  <c r="H839" i="208"/>
  <c r="Q839" i="208" s="1"/>
  <c r="I839" i="208"/>
  <c r="J839" i="208"/>
  <c r="L839" i="208"/>
  <c r="C840" i="208"/>
  <c r="D840" i="208"/>
  <c r="E840" i="208"/>
  <c r="S840" i="208" s="1"/>
  <c r="H840" i="208"/>
  <c r="Q840" i="208" s="1"/>
  <c r="I840" i="208"/>
  <c r="J840" i="208"/>
  <c r="L840" i="208"/>
  <c r="C841" i="208"/>
  <c r="D841" i="208"/>
  <c r="E841" i="208"/>
  <c r="S841" i="208" s="1"/>
  <c r="H841" i="208"/>
  <c r="Q841" i="208" s="1"/>
  <c r="I841" i="208"/>
  <c r="J841" i="208"/>
  <c r="L841" i="208"/>
  <c r="C842" i="208"/>
  <c r="D842" i="208"/>
  <c r="E842" i="208"/>
  <c r="S842" i="208" s="1"/>
  <c r="H842" i="208"/>
  <c r="Q842" i="208" s="1"/>
  <c r="I842" i="208"/>
  <c r="J842" i="208"/>
  <c r="L842" i="208"/>
  <c r="C843" i="208"/>
  <c r="D843" i="208"/>
  <c r="E843" i="208"/>
  <c r="S843" i="208" s="1"/>
  <c r="H843" i="208"/>
  <c r="Q843" i="208" s="1"/>
  <c r="I843" i="208"/>
  <c r="J843" i="208"/>
  <c r="L843" i="208"/>
  <c r="C844" i="208"/>
  <c r="D844" i="208"/>
  <c r="E844" i="208"/>
  <c r="S844" i="208" s="1"/>
  <c r="H844" i="208"/>
  <c r="Q844" i="208" s="1"/>
  <c r="I844" i="208"/>
  <c r="J844" i="208"/>
  <c r="L844" i="208"/>
  <c r="C845" i="208"/>
  <c r="D845" i="208"/>
  <c r="E845" i="208"/>
  <c r="S845" i="208" s="1"/>
  <c r="H845" i="208"/>
  <c r="Q845" i="208" s="1"/>
  <c r="I845" i="208"/>
  <c r="J845" i="208"/>
  <c r="L845" i="208"/>
  <c r="C846" i="208"/>
  <c r="D846" i="208"/>
  <c r="E846" i="208"/>
  <c r="S846" i="208" s="1"/>
  <c r="H846" i="208"/>
  <c r="Q846" i="208" s="1"/>
  <c r="I846" i="208"/>
  <c r="J846" i="208"/>
  <c r="L846" i="208"/>
  <c r="C847" i="208"/>
  <c r="D847" i="208"/>
  <c r="E847" i="208"/>
  <c r="S847" i="208" s="1"/>
  <c r="H847" i="208"/>
  <c r="Q847" i="208" s="1"/>
  <c r="I847" i="208"/>
  <c r="J847" i="208"/>
  <c r="L847" i="208"/>
  <c r="C848" i="208"/>
  <c r="D848" i="208"/>
  <c r="E848" i="208"/>
  <c r="S848" i="208" s="1"/>
  <c r="H848" i="208"/>
  <c r="Q848" i="208" s="1"/>
  <c r="I848" i="208"/>
  <c r="J848" i="208"/>
  <c r="L848" i="208"/>
  <c r="C849" i="208"/>
  <c r="D849" i="208"/>
  <c r="E849" i="208"/>
  <c r="S849" i="208" s="1"/>
  <c r="H849" i="208"/>
  <c r="Q849" i="208" s="1"/>
  <c r="I849" i="208"/>
  <c r="J849" i="208"/>
  <c r="L849" i="208"/>
  <c r="C850" i="208"/>
  <c r="D850" i="208"/>
  <c r="E850" i="208"/>
  <c r="S850" i="208" s="1"/>
  <c r="H850" i="208"/>
  <c r="Q850" i="208" s="1"/>
  <c r="I850" i="208"/>
  <c r="J850" i="208"/>
  <c r="L850" i="208"/>
  <c r="C851" i="208"/>
  <c r="D851" i="208"/>
  <c r="E851" i="208"/>
  <c r="S851" i="208" s="1"/>
  <c r="H851" i="208"/>
  <c r="Q851" i="208" s="1"/>
  <c r="I851" i="208"/>
  <c r="J851" i="208"/>
  <c r="L851" i="208"/>
  <c r="C852" i="208"/>
  <c r="D852" i="208"/>
  <c r="E852" i="208"/>
  <c r="S852" i="208" s="1"/>
  <c r="H852" i="208"/>
  <c r="Q852" i="208" s="1"/>
  <c r="I852" i="208"/>
  <c r="J852" i="208"/>
  <c r="L852" i="208"/>
  <c r="C853" i="208"/>
  <c r="D853" i="208"/>
  <c r="E853" i="208"/>
  <c r="S853" i="208" s="1"/>
  <c r="H853" i="208"/>
  <c r="Q853" i="208" s="1"/>
  <c r="I853" i="208"/>
  <c r="J853" i="208"/>
  <c r="L853" i="208"/>
  <c r="C854" i="208"/>
  <c r="D854" i="208"/>
  <c r="E854" i="208"/>
  <c r="S854" i="208" s="1"/>
  <c r="H854" i="208"/>
  <c r="Q854" i="208" s="1"/>
  <c r="I854" i="208"/>
  <c r="J854" i="208"/>
  <c r="L854" i="208"/>
  <c r="C855" i="208"/>
  <c r="D855" i="208"/>
  <c r="E855" i="208"/>
  <c r="S855" i="208" s="1"/>
  <c r="H855" i="208"/>
  <c r="Q855" i="208" s="1"/>
  <c r="I855" i="208"/>
  <c r="J855" i="208"/>
  <c r="L855" i="208"/>
  <c r="C856" i="208"/>
  <c r="D856" i="208"/>
  <c r="E856" i="208"/>
  <c r="S856" i="208" s="1"/>
  <c r="H856" i="208"/>
  <c r="Q856" i="208" s="1"/>
  <c r="I856" i="208"/>
  <c r="J856" i="208"/>
  <c r="L856" i="208"/>
  <c r="C857" i="208"/>
  <c r="D857" i="208"/>
  <c r="E857" i="208"/>
  <c r="S857" i="208" s="1"/>
  <c r="H857" i="208"/>
  <c r="Q857" i="208" s="1"/>
  <c r="I857" i="208"/>
  <c r="J857" i="208"/>
  <c r="L857" i="208"/>
  <c r="C858" i="208"/>
  <c r="D858" i="208"/>
  <c r="E858" i="208"/>
  <c r="S858" i="208" s="1"/>
  <c r="H858" i="208"/>
  <c r="Q858" i="208" s="1"/>
  <c r="I858" i="208"/>
  <c r="J858" i="208"/>
  <c r="L858" i="208"/>
  <c r="C859" i="208"/>
  <c r="D859" i="208"/>
  <c r="E859" i="208"/>
  <c r="S859" i="208" s="1"/>
  <c r="H859" i="208"/>
  <c r="Q859" i="208" s="1"/>
  <c r="I859" i="208"/>
  <c r="J859" i="208"/>
  <c r="L859" i="208"/>
  <c r="C860" i="208"/>
  <c r="D860" i="208"/>
  <c r="E860" i="208"/>
  <c r="S860" i="208" s="1"/>
  <c r="H860" i="208"/>
  <c r="Q860" i="208" s="1"/>
  <c r="I860" i="208"/>
  <c r="J860" i="208"/>
  <c r="L860" i="208"/>
  <c r="C861" i="208"/>
  <c r="D861" i="208"/>
  <c r="E861" i="208"/>
  <c r="S861" i="208" s="1"/>
  <c r="H861" i="208"/>
  <c r="Q861" i="208" s="1"/>
  <c r="I861" i="208"/>
  <c r="J861" i="208"/>
  <c r="L861" i="208"/>
  <c r="C862" i="208"/>
  <c r="D862" i="208"/>
  <c r="E862" i="208"/>
  <c r="S862" i="208" s="1"/>
  <c r="H862" i="208"/>
  <c r="Q862" i="208" s="1"/>
  <c r="I862" i="208"/>
  <c r="J862" i="208"/>
  <c r="L862" i="208"/>
  <c r="C863" i="208"/>
  <c r="D863" i="208"/>
  <c r="E863" i="208"/>
  <c r="S863" i="208" s="1"/>
  <c r="H863" i="208"/>
  <c r="Q863" i="208" s="1"/>
  <c r="I863" i="208"/>
  <c r="J863" i="208"/>
  <c r="L863" i="208"/>
  <c r="C864" i="208"/>
  <c r="D864" i="208"/>
  <c r="E864" i="208"/>
  <c r="S864" i="208" s="1"/>
  <c r="H864" i="208"/>
  <c r="Q864" i="208" s="1"/>
  <c r="I864" i="208"/>
  <c r="J864" i="208"/>
  <c r="L864" i="208"/>
  <c r="C865" i="208"/>
  <c r="D865" i="208"/>
  <c r="E865" i="208"/>
  <c r="S865" i="208" s="1"/>
  <c r="H865" i="208"/>
  <c r="Q865" i="208" s="1"/>
  <c r="I865" i="208"/>
  <c r="J865" i="208"/>
  <c r="L865" i="208"/>
  <c r="C866" i="208"/>
  <c r="D866" i="208"/>
  <c r="E866" i="208"/>
  <c r="S866" i="208" s="1"/>
  <c r="H866" i="208"/>
  <c r="Q866" i="208" s="1"/>
  <c r="I866" i="208"/>
  <c r="J866" i="208"/>
  <c r="L866" i="208"/>
  <c r="C867" i="208"/>
  <c r="D867" i="208"/>
  <c r="E867" i="208"/>
  <c r="S867" i="208" s="1"/>
  <c r="H867" i="208"/>
  <c r="Q867" i="208" s="1"/>
  <c r="I867" i="208"/>
  <c r="J867" i="208"/>
  <c r="L867" i="208"/>
  <c r="C868" i="208"/>
  <c r="D868" i="208"/>
  <c r="E868" i="208"/>
  <c r="S868" i="208" s="1"/>
  <c r="H868" i="208"/>
  <c r="Q868" i="208" s="1"/>
  <c r="I868" i="208"/>
  <c r="J868" i="208"/>
  <c r="L868" i="208"/>
  <c r="C869" i="208"/>
  <c r="D869" i="208"/>
  <c r="E869" i="208"/>
  <c r="S869" i="208" s="1"/>
  <c r="H869" i="208"/>
  <c r="Q869" i="208" s="1"/>
  <c r="I869" i="208"/>
  <c r="J869" i="208"/>
  <c r="L869" i="208"/>
  <c r="C870" i="208"/>
  <c r="D870" i="208"/>
  <c r="E870" i="208"/>
  <c r="S870" i="208" s="1"/>
  <c r="H870" i="208"/>
  <c r="Q870" i="208" s="1"/>
  <c r="I870" i="208"/>
  <c r="J870" i="208"/>
  <c r="L870" i="208"/>
  <c r="C871" i="208"/>
  <c r="D871" i="208"/>
  <c r="E871" i="208"/>
  <c r="S871" i="208" s="1"/>
  <c r="H871" i="208"/>
  <c r="Q871" i="208" s="1"/>
  <c r="I871" i="208"/>
  <c r="J871" i="208"/>
  <c r="L871" i="208"/>
  <c r="C872" i="208"/>
  <c r="D872" i="208"/>
  <c r="E872" i="208"/>
  <c r="S872" i="208" s="1"/>
  <c r="H872" i="208"/>
  <c r="Q872" i="208" s="1"/>
  <c r="I872" i="208"/>
  <c r="J872" i="208"/>
  <c r="L872" i="208"/>
  <c r="C873" i="208"/>
  <c r="D873" i="208"/>
  <c r="E873" i="208"/>
  <c r="S873" i="208" s="1"/>
  <c r="H873" i="208"/>
  <c r="Q873" i="208" s="1"/>
  <c r="I873" i="208"/>
  <c r="J873" i="208"/>
  <c r="L873" i="208"/>
  <c r="C874" i="208"/>
  <c r="D874" i="208"/>
  <c r="E874" i="208"/>
  <c r="S874" i="208" s="1"/>
  <c r="H874" i="208"/>
  <c r="Q874" i="208" s="1"/>
  <c r="I874" i="208"/>
  <c r="J874" i="208"/>
  <c r="L874" i="208"/>
  <c r="C875" i="208"/>
  <c r="D875" i="208"/>
  <c r="E875" i="208"/>
  <c r="S875" i="208" s="1"/>
  <c r="H875" i="208"/>
  <c r="Q875" i="208" s="1"/>
  <c r="I875" i="208"/>
  <c r="J875" i="208"/>
  <c r="L875" i="208"/>
  <c r="C876" i="208"/>
  <c r="D876" i="208"/>
  <c r="E876" i="208"/>
  <c r="S876" i="208" s="1"/>
  <c r="H876" i="208"/>
  <c r="Q876" i="208" s="1"/>
  <c r="I876" i="208"/>
  <c r="J876" i="208"/>
  <c r="L876" i="208"/>
  <c r="C877" i="208"/>
  <c r="D877" i="208"/>
  <c r="E877" i="208"/>
  <c r="S877" i="208" s="1"/>
  <c r="H877" i="208"/>
  <c r="Q877" i="208" s="1"/>
  <c r="I877" i="208"/>
  <c r="J877" i="208"/>
  <c r="L877" i="208"/>
  <c r="C878" i="208"/>
  <c r="D878" i="208"/>
  <c r="E878" i="208"/>
  <c r="S878" i="208" s="1"/>
  <c r="H878" i="208"/>
  <c r="Q878" i="208" s="1"/>
  <c r="I878" i="208"/>
  <c r="J878" i="208"/>
  <c r="L878" i="208"/>
  <c r="C879" i="208"/>
  <c r="D879" i="208"/>
  <c r="E879" i="208"/>
  <c r="S879" i="208" s="1"/>
  <c r="H879" i="208"/>
  <c r="Q879" i="208" s="1"/>
  <c r="I879" i="208"/>
  <c r="J879" i="208"/>
  <c r="L879" i="208"/>
  <c r="C880" i="208"/>
  <c r="D880" i="208"/>
  <c r="E880" i="208"/>
  <c r="S880" i="208" s="1"/>
  <c r="H880" i="208"/>
  <c r="Q880" i="208" s="1"/>
  <c r="I880" i="208"/>
  <c r="J880" i="208"/>
  <c r="L880" i="208"/>
  <c r="C881" i="208"/>
  <c r="D881" i="208"/>
  <c r="E881" i="208"/>
  <c r="S881" i="208" s="1"/>
  <c r="H881" i="208"/>
  <c r="Q881" i="208" s="1"/>
  <c r="I881" i="208"/>
  <c r="J881" i="208"/>
  <c r="L881" i="208"/>
  <c r="C882" i="208"/>
  <c r="D882" i="208"/>
  <c r="E882" i="208"/>
  <c r="S882" i="208" s="1"/>
  <c r="H882" i="208"/>
  <c r="Q882" i="208" s="1"/>
  <c r="I882" i="208"/>
  <c r="J882" i="208"/>
  <c r="L882" i="208"/>
  <c r="C883" i="208"/>
  <c r="D883" i="208"/>
  <c r="E883" i="208"/>
  <c r="S883" i="208" s="1"/>
  <c r="H883" i="208"/>
  <c r="Q883" i="208" s="1"/>
  <c r="I883" i="208"/>
  <c r="J883" i="208"/>
  <c r="L883" i="208"/>
  <c r="C884" i="208"/>
  <c r="D884" i="208"/>
  <c r="E884" i="208"/>
  <c r="S884" i="208" s="1"/>
  <c r="H884" i="208"/>
  <c r="Q884" i="208" s="1"/>
  <c r="I884" i="208"/>
  <c r="J884" i="208"/>
  <c r="L884" i="208"/>
  <c r="C885" i="208"/>
  <c r="D885" i="208"/>
  <c r="E885" i="208"/>
  <c r="S885" i="208" s="1"/>
  <c r="H885" i="208"/>
  <c r="Q885" i="208" s="1"/>
  <c r="I885" i="208"/>
  <c r="J885" i="208"/>
  <c r="L885" i="208"/>
  <c r="C886" i="208"/>
  <c r="D886" i="208"/>
  <c r="E886" i="208"/>
  <c r="S886" i="208" s="1"/>
  <c r="H886" i="208"/>
  <c r="Q886" i="208" s="1"/>
  <c r="I886" i="208"/>
  <c r="J886" i="208"/>
  <c r="L886" i="208"/>
  <c r="C887" i="208"/>
  <c r="D887" i="208"/>
  <c r="E887" i="208"/>
  <c r="S887" i="208" s="1"/>
  <c r="H887" i="208"/>
  <c r="Q887" i="208" s="1"/>
  <c r="I887" i="208"/>
  <c r="J887" i="208"/>
  <c r="L887" i="208"/>
  <c r="C888" i="208"/>
  <c r="D888" i="208"/>
  <c r="E888" i="208"/>
  <c r="S888" i="208" s="1"/>
  <c r="H888" i="208"/>
  <c r="Q888" i="208" s="1"/>
  <c r="I888" i="208"/>
  <c r="J888" i="208"/>
  <c r="L888" i="208"/>
  <c r="C889" i="208"/>
  <c r="D889" i="208"/>
  <c r="E889" i="208"/>
  <c r="S889" i="208" s="1"/>
  <c r="H889" i="208"/>
  <c r="Q889" i="208" s="1"/>
  <c r="I889" i="208"/>
  <c r="J889" i="208"/>
  <c r="L889" i="208"/>
  <c r="C890" i="208"/>
  <c r="D890" i="208"/>
  <c r="E890" i="208"/>
  <c r="S890" i="208" s="1"/>
  <c r="H890" i="208"/>
  <c r="Q890" i="208" s="1"/>
  <c r="I890" i="208"/>
  <c r="J890" i="208"/>
  <c r="L890" i="208"/>
  <c r="C891" i="208"/>
  <c r="D891" i="208"/>
  <c r="E891" i="208"/>
  <c r="S891" i="208" s="1"/>
  <c r="H891" i="208"/>
  <c r="Q891" i="208" s="1"/>
  <c r="I891" i="208"/>
  <c r="J891" i="208"/>
  <c r="L891" i="208"/>
  <c r="C892" i="208"/>
  <c r="D892" i="208"/>
  <c r="E892" i="208"/>
  <c r="S892" i="208" s="1"/>
  <c r="H892" i="208"/>
  <c r="Q892" i="208" s="1"/>
  <c r="I892" i="208"/>
  <c r="J892" i="208"/>
  <c r="L892" i="208"/>
  <c r="C893" i="208"/>
  <c r="D893" i="208"/>
  <c r="E893" i="208"/>
  <c r="S893" i="208" s="1"/>
  <c r="H893" i="208"/>
  <c r="Q893" i="208" s="1"/>
  <c r="I893" i="208"/>
  <c r="J893" i="208"/>
  <c r="L893" i="208"/>
  <c r="C894" i="208"/>
  <c r="D894" i="208"/>
  <c r="E894" i="208"/>
  <c r="S894" i="208" s="1"/>
  <c r="H894" i="208"/>
  <c r="Q894" i="208" s="1"/>
  <c r="I894" i="208"/>
  <c r="J894" i="208"/>
  <c r="L894" i="208"/>
  <c r="C895" i="208"/>
  <c r="D895" i="208"/>
  <c r="E895" i="208"/>
  <c r="S895" i="208" s="1"/>
  <c r="H895" i="208"/>
  <c r="Q895" i="208" s="1"/>
  <c r="I895" i="208"/>
  <c r="J895" i="208"/>
  <c r="L895" i="208"/>
  <c r="C896" i="208"/>
  <c r="D896" i="208"/>
  <c r="E896" i="208"/>
  <c r="S896" i="208" s="1"/>
  <c r="H896" i="208"/>
  <c r="Q896" i="208" s="1"/>
  <c r="I896" i="208"/>
  <c r="J896" i="208"/>
  <c r="L896" i="208"/>
  <c r="C897" i="208"/>
  <c r="D897" i="208"/>
  <c r="E897" i="208"/>
  <c r="S897" i="208" s="1"/>
  <c r="H897" i="208"/>
  <c r="Q897" i="208" s="1"/>
  <c r="I897" i="208"/>
  <c r="J897" i="208"/>
  <c r="L897" i="208"/>
  <c r="C898" i="208"/>
  <c r="D898" i="208"/>
  <c r="E898" i="208"/>
  <c r="S898" i="208" s="1"/>
  <c r="H898" i="208"/>
  <c r="Q898" i="208" s="1"/>
  <c r="I898" i="208"/>
  <c r="J898" i="208"/>
  <c r="L898" i="208"/>
  <c r="C899" i="208"/>
  <c r="D899" i="208"/>
  <c r="E899" i="208"/>
  <c r="S899" i="208" s="1"/>
  <c r="H899" i="208"/>
  <c r="Q899" i="208" s="1"/>
  <c r="I899" i="208"/>
  <c r="J899" i="208"/>
  <c r="L899" i="208"/>
  <c r="C900" i="208"/>
  <c r="D900" i="208"/>
  <c r="E900" i="208"/>
  <c r="S900" i="208" s="1"/>
  <c r="H900" i="208"/>
  <c r="Q900" i="208" s="1"/>
  <c r="I900" i="208"/>
  <c r="J900" i="208"/>
  <c r="L900" i="208"/>
  <c r="C901" i="208"/>
  <c r="D901" i="208"/>
  <c r="E901" i="208"/>
  <c r="S901" i="208" s="1"/>
  <c r="H901" i="208"/>
  <c r="Q901" i="208" s="1"/>
  <c r="I901" i="208"/>
  <c r="J901" i="208"/>
  <c r="L901" i="208"/>
  <c r="C902" i="208"/>
  <c r="D902" i="208"/>
  <c r="E902" i="208"/>
  <c r="S902" i="208" s="1"/>
  <c r="H902" i="208"/>
  <c r="Q902" i="208" s="1"/>
  <c r="I902" i="208"/>
  <c r="J902" i="208"/>
  <c r="L902" i="208"/>
  <c r="C903" i="208"/>
  <c r="D903" i="208"/>
  <c r="E903" i="208"/>
  <c r="S903" i="208" s="1"/>
  <c r="H903" i="208"/>
  <c r="Q903" i="208" s="1"/>
  <c r="I903" i="208"/>
  <c r="J903" i="208"/>
  <c r="L903" i="208"/>
  <c r="C904" i="208"/>
  <c r="D904" i="208"/>
  <c r="E904" i="208"/>
  <c r="S904" i="208" s="1"/>
  <c r="H904" i="208"/>
  <c r="Q904" i="208" s="1"/>
  <c r="I904" i="208"/>
  <c r="J904" i="208"/>
  <c r="L904" i="208"/>
  <c r="C905" i="208"/>
  <c r="D905" i="208"/>
  <c r="E905" i="208"/>
  <c r="S905" i="208" s="1"/>
  <c r="H905" i="208"/>
  <c r="Q905" i="208" s="1"/>
  <c r="I905" i="208"/>
  <c r="J905" i="208"/>
  <c r="L905" i="208"/>
  <c r="C906" i="208"/>
  <c r="D906" i="208"/>
  <c r="E906" i="208"/>
  <c r="S906" i="208" s="1"/>
  <c r="H906" i="208"/>
  <c r="Q906" i="208" s="1"/>
  <c r="I906" i="208"/>
  <c r="J906" i="208"/>
  <c r="L906" i="208"/>
  <c r="C907" i="208"/>
  <c r="D907" i="208"/>
  <c r="E907" i="208"/>
  <c r="S907" i="208" s="1"/>
  <c r="H907" i="208"/>
  <c r="Q907" i="208" s="1"/>
  <c r="I907" i="208"/>
  <c r="J907" i="208"/>
  <c r="L907" i="208"/>
  <c r="C908" i="208"/>
  <c r="D908" i="208"/>
  <c r="E908" i="208"/>
  <c r="S908" i="208" s="1"/>
  <c r="H908" i="208"/>
  <c r="Q908" i="208" s="1"/>
  <c r="I908" i="208"/>
  <c r="J908" i="208"/>
  <c r="L908" i="208"/>
  <c r="C909" i="208"/>
  <c r="D909" i="208"/>
  <c r="E909" i="208"/>
  <c r="S909" i="208" s="1"/>
  <c r="H909" i="208"/>
  <c r="Q909" i="208" s="1"/>
  <c r="I909" i="208"/>
  <c r="J909" i="208"/>
  <c r="L909" i="208"/>
  <c r="C910" i="208"/>
  <c r="D910" i="208"/>
  <c r="E910" i="208"/>
  <c r="S910" i="208" s="1"/>
  <c r="H910" i="208"/>
  <c r="Q910" i="208" s="1"/>
  <c r="I910" i="208"/>
  <c r="J910" i="208"/>
  <c r="L910" i="208"/>
  <c r="C911" i="208"/>
  <c r="D911" i="208"/>
  <c r="E911" i="208"/>
  <c r="S911" i="208" s="1"/>
  <c r="H911" i="208"/>
  <c r="Q911" i="208" s="1"/>
  <c r="I911" i="208"/>
  <c r="J911" i="208"/>
  <c r="L911" i="208"/>
  <c r="C912" i="208"/>
  <c r="D912" i="208"/>
  <c r="E912" i="208"/>
  <c r="S912" i="208" s="1"/>
  <c r="H912" i="208"/>
  <c r="Q912" i="208" s="1"/>
  <c r="I912" i="208"/>
  <c r="J912" i="208"/>
  <c r="L912" i="208"/>
  <c r="C913" i="208"/>
  <c r="D913" i="208"/>
  <c r="E913" i="208"/>
  <c r="S913" i="208" s="1"/>
  <c r="H913" i="208"/>
  <c r="Q913" i="208" s="1"/>
  <c r="I913" i="208"/>
  <c r="J913" i="208"/>
  <c r="L913" i="208"/>
  <c r="C914" i="208"/>
  <c r="D914" i="208"/>
  <c r="E914" i="208"/>
  <c r="S914" i="208" s="1"/>
  <c r="H914" i="208"/>
  <c r="Q914" i="208" s="1"/>
  <c r="I914" i="208"/>
  <c r="J914" i="208"/>
  <c r="L914" i="208"/>
  <c r="C915" i="208"/>
  <c r="D915" i="208"/>
  <c r="E915" i="208"/>
  <c r="S915" i="208" s="1"/>
  <c r="H915" i="208"/>
  <c r="Q915" i="208" s="1"/>
  <c r="I915" i="208"/>
  <c r="J915" i="208"/>
  <c r="L915" i="208"/>
  <c r="C916" i="208"/>
  <c r="D916" i="208"/>
  <c r="E916" i="208"/>
  <c r="S916" i="208" s="1"/>
  <c r="H916" i="208"/>
  <c r="Q916" i="208" s="1"/>
  <c r="I916" i="208"/>
  <c r="J916" i="208"/>
  <c r="L916" i="208"/>
  <c r="C917" i="208"/>
  <c r="D917" i="208"/>
  <c r="E917" i="208"/>
  <c r="S917" i="208" s="1"/>
  <c r="H917" i="208"/>
  <c r="Q917" i="208" s="1"/>
  <c r="I917" i="208"/>
  <c r="J917" i="208"/>
  <c r="L917" i="208"/>
  <c r="C918" i="208"/>
  <c r="D918" i="208"/>
  <c r="E918" i="208"/>
  <c r="S918" i="208" s="1"/>
  <c r="H918" i="208"/>
  <c r="Q918" i="208" s="1"/>
  <c r="I918" i="208"/>
  <c r="J918" i="208"/>
  <c r="L918" i="208"/>
  <c r="C919" i="208"/>
  <c r="D919" i="208"/>
  <c r="E919" i="208"/>
  <c r="S919" i="208" s="1"/>
  <c r="H919" i="208"/>
  <c r="Q919" i="208" s="1"/>
  <c r="I919" i="208"/>
  <c r="J919" i="208"/>
  <c r="L919" i="208"/>
  <c r="C920" i="208"/>
  <c r="D920" i="208"/>
  <c r="E920" i="208"/>
  <c r="S920" i="208" s="1"/>
  <c r="H920" i="208"/>
  <c r="Q920" i="208" s="1"/>
  <c r="I920" i="208"/>
  <c r="J920" i="208"/>
  <c r="L920" i="208"/>
  <c r="C921" i="208"/>
  <c r="D921" i="208"/>
  <c r="E921" i="208"/>
  <c r="S921" i="208" s="1"/>
  <c r="H921" i="208"/>
  <c r="Q921" i="208" s="1"/>
  <c r="I921" i="208"/>
  <c r="J921" i="208"/>
  <c r="L921" i="208"/>
  <c r="C922" i="208"/>
  <c r="D922" i="208"/>
  <c r="E922" i="208"/>
  <c r="S922" i="208" s="1"/>
  <c r="H922" i="208"/>
  <c r="Q922" i="208" s="1"/>
  <c r="I922" i="208"/>
  <c r="J922" i="208"/>
  <c r="L922" i="208"/>
  <c r="C923" i="208"/>
  <c r="D923" i="208"/>
  <c r="E923" i="208"/>
  <c r="S923" i="208" s="1"/>
  <c r="H923" i="208"/>
  <c r="Q923" i="208" s="1"/>
  <c r="I923" i="208"/>
  <c r="J923" i="208"/>
  <c r="L923" i="208"/>
  <c r="C924" i="208"/>
  <c r="D924" i="208"/>
  <c r="E924" i="208"/>
  <c r="S924" i="208" s="1"/>
  <c r="H924" i="208"/>
  <c r="Q924" i="208" s="1"/>
  <c r="I924" i="208"/>
  <c r="J924" i="208"/>
  <c r="L924" i="208"/>
  <c r="C925" i="208"/>
  <c r="D925" i="208"/>
  <c r="E925" i="208"/>
  <c r="S925" i="208" s="1"/>
  <c r="H925" i="208"/>
  <c r="Q925" i="208" s="1"/>
  <c r="I925" i="208"/>
  <c r="J925" i="208"/>
  <c r="L925" i="208"/>
  <c r="C926" i="208"/>
  <c r="D926" i="208"/>
  <c r="E926" i="208"/>
  <c r="S926" i="208" s="1"/>
  <c r="H926" i="208"/>
  <c r="Q926" i="208" s="1"/>
  <c r="I926" i="208"/>
  <c r="J926" i="208"/>
  <c r="L926" i="208"/>
  <c r="C927" i="208"/>
  <c r="D927" i="208"/>
  <c r="E927" i="208"/>
  <c r="S927" i="208" s="1"/>
  <c r="H927" i="208"/>
  <c r="Q927" i="208" s="1"/>
  <c r="I927" i="208"/>
  <c r="J927" i="208"/>
  <c r="L927" i="208"/>
  <c r="C928" i="208"/>
  <c r="D928" i="208"/>
  <c r="E928" i="208"/>
  <c r="S928" i="208" s="1"/>
  <c r="H928" i="208"/>
  <c r="Q928" i="208" s="1"/>
  <c r="I928" i="208"/>
  <c r="J928" i="208"/>
  <c r="L928" i="208"/>
  <c r="C929" i="208"/>
  <c r="D929" i="208"/>
  <c r="E929" i="208"/>
  <c r="S929" i="208" s="1"/>
  <c r="H929" i="208"/>
  <c r="Q929" i="208" s="1"/>
  <c r="I929" i="208"/>
  <c r="J929" i="208"/>
  <c r="L929" i="208"/>
  <c r="C930" i="208"/>
  <c r="D930" i="208"/>
  <c r="E930" i="208"/>
  <c r="S930" i="208" s="1"/>
  <c r="H930" i="208"/>
  <c r="Q930" i="208" s="1"/>
  <c r="I930" i="208"/>
  <c r="J930" i="208"/>
  <c r="L930" i="208"/>
  <c r="C931" i="208"/>
  <c r="D931" i="208"/>
  <c r="E931" i="208"/>
  <c r="S931" i="208" s="1"/>
  <c r="H931" i="208"/>
  <c r="Q931" i="208" s="1"/>
  <c r="I931" i="208"/>
  <c r="J931" i="208"/>
  <c r="L931" i="208"/>
  <c r="C932" i="208"/>
  <c r="D932" i="208"/>
  <c r="E932" i="208"/>
  <c r="S932" i="208" s="1"/>
  <c r="H932" i="208"/>
  <c r="Q932" i="208" s="1"/>
  <c r="I932" i="208"/>
  <c r="J932" i="208"/>
  <c r="L932" i="208"/>
  <c r="C933" i="208"/>
  <c r="D933" i="208"/>
  <c r="E933" i="208"/>
  <c r="S933" i="208" s="1"/>
  <c r="H933" i="208"/>
  <c r="Q933" i="208" s="1"/>
  <c r="I933" i="208"/>
  <c r="J933" i="208"/>
  <c r="L933" i="208"/>
  <c r="C934" i="208"/>
  <c r="D934" i="208"/>
  <c r="E934" i="208"/>
  <c r="S934" i="208" s="1"/>
  <c r="H934" i="208"/>
  <c r="Q934" i="208" s="1"/>
  <c r="I934" i="208"/>
  <c r="J934" i="208"/>
  <c r="L934" i="208"/>
  <c r="C935" i="208"/>
  <c r="D935" i="208"/>
  <c r="E935" i="208"/>
  <c r="S935" i="208" s="1"/>
  <c r="H935" i="208"/>
  <c r="Q935" i="208" s="1"/>
  <c r="I935" i="208"/>
  <c r="J935" i="208"/>
  <c r="L935" i="208"/>
  <c r="C936" i="208"/>
  <c r="D936" i="208"/>
  <c r="E936" i="208"/>
  <c r="S936" i="208" s="1"/>
  <c r="H936" i="208"/>
  <c r="Q936" i="208" s="1"/>
  <c r="I936" i="208"/>
  <c r="J936" i="208"/>
  <c r="L936" i="208"/>
  <c r="C937" i="208"/>
  <c r="D937" i="208"/>
  <c r="E937" i="208"/>
  <c r="S937" i="208" s="1"/>
  <c r="H937" i="208"/>
  <c r="Q937" i="208" s="1"/>
  <c r="I937" i="208"/>
  <c r="J937" i="208"/>
  <c r="L937" i="208"/>
  <c r="C938" i="208"/>
  <c r="D938" i="208"/>
  <c r="E938" i="208"/>
  <c r="S938" i="208" s="1"/>
  <c r="H938" i="208"/>
  <c r="Q938" i="208" s="1"/>
  <c r="I938" i="208"/>
  <c r="J938" i="208"/>
  <c r="L938" i="208"/>
  <c r="C939" i="208"/>
  <c r="D939" i="208"/>
  <c r="E939" i="208"/>
  <c r="S939" i="208" s="1"/>
  <c r="H939" i="208"/>
  <c r="Q939" i="208" s="1"/>
  <c r="I939" i="208"/>
  <c r="J939" i="208"/>
  <c r="L939" i="208"/>
  <c r="C940" i="208"/>
  <c r="D940" i="208"/>
  <c r="E940" i="208"/>
  <c r="S940" i="208" s="1"/>
  <c r="H940" i="208"/>
  <c r="Q940" i="208" s="1"/>
  <c r="I940" i="208"/>
  <c r="J940" i="208"/>
  <c r="L940" i="208"/>
  <c r="C941" i="208"/>
  <c r="D941" i="208"/>
  <c r="E941" i="208"/>
  <c r="S941" i="208" s="1"/>
  <c r="H941" i="208"/>
  <c r="Q941" i="208" s="1"/>
  <c r="I941" i="208"/>
  <c r="J941" i="208"/>
  <c r="L941" i="208"/>
  <c r="C942" i="208"/>
  <c r="D942" i="208"/>
  <c r="E942" i="208"/>
  <c r="S942" i="208" s="1"/>
  <c r="H942" i="208"/>
  <c r="Q942" i="208" s="1"/>
  <c r="I942" i="208"/>
  <c r="J942" i="208"/>
  <c r="L942" i="208"/>
  <c r="C943" i="208"/>
  <c r="D943" i="208"/>
  <c r="E943" i="208"/>
  <c r="S943" i="208" s="1"/>
  <c r="H943" i="208"/>
  <c r="Q943" i="208" s="1"/>
  <c r="I943" i="208"/>
  <c r="J943" i="208"/>
  <c r="L943" i="208"/>
  <c r="C944" i="208"/>
  <c r="D944" i="208"/>
  <c r="E944" i="208"/>
  <c r="S944" i="208" s="1"/>
  <c r="H944" i="208"/>
  <c r="Q944" i="208" s="1"/>
  <c r="I944" i="208"/>
  <c r="J944" i="208"/>
  <c r="L944" i="208"/>
  <c r="C945" i="208"/>
  <c r="D945" i="208"/>
  <c r="E945" i="208"/>
  <c r="S945" i="208" s="1"/>
  <c r="H945" i="208"/>
  <c r="Q945" i="208" s="1"/>
  <c r="I945" i="208"/>
  <c r="J945" i="208"/>
  <c r="L945" i="208"/>
  <c r="C946" i="208"/>
  <c r="D946" i="208"/>
  <c r="E946" i="208"/>
  <c r="S946" i="208" s="1"/>
  <c r="H946" i="208"/>
  <c r="Q946" i="208" s="1"/>
  <c r="I946" i="208"/>
  <c r="J946" i="208"/>
  <c r="L946" i="208"/>
  <c r="C947" i="208"/>
  <c r="D947" i="208"/>
  <c r="E947" i="208"/>
  <c r="S947" i="208" s="1"/>
  <c r="H947" i="208"/>
  <c r="Q947" i="208" s="1"/>
  <c r="I947" i="208"/>
  <c r="J947" i="208"/>
  <c r="L947" i="208"/>
  <c r="C948" i="208"/>
  <c r="D948" i="208"/>
  <c r="E948" i="208"/>
  <c r="S948" i="208" s="1"/>
  <c r="H948" i="208"/>
  <c r="Q948" i="208" s="1"/>
  <c r="I948" i="208"/>
  <c r="J948" i="208"/>
  <c r="L948" i="208"/>
  <c r="C949" i="208"/>
  <c r="D949" i="208"/>
  <c r="E949" i="208"/>
  <c r="S949" i="208" s="1"/>
  <c r="H949" i="208"/>
  <c r="Q949" i="208" s="1"/>
  <c r="I949" i="208"/>
  <c r="J949" i="208"/>
  <c r="L949" i="208"/>
  <c r="C950" i="208"/>
  <c r="D950" i="208"/>
  <c r="E950" i="208"/>
  <c r="S950" i="208" s="1"/>
  <c r="H950" i="208"/>
  <c r="Q950" i="208" s="1"/>
  <c r="I950" i="208"/>
  <c r="J950" i="208"/>
  <c r="L950" i="208"/>
  <c r="C951" i="208"/>
  <c r="D951" i="208"/>
  <c r="E951" i="208"/>
  <c r="S951" i="208" s="1"/>
  <c r="H951" i="208"/>
  <c r="Q951" i="208" s="1"/>
  <c r="I951" i="208"/>
  <c r="J951" i="208"/>
  <c r="L951" i="208"/>
  <c r="C952" i="208"/>
  <c r="D952" i="208"/>
  <c r="E952" i="208"/>
  <c r="S952" i="208" s="1"/>
  <c r="H952" i="208"/>
  <c r="Q952" i="208" s="1"/>
  <c r="I952" i="208"/>
  <c r="J952" i="208"/>
  <c r="L952" i="208"/>
  <c r="C953" i="208"/>
  <c r="D953" i="208"/>
  <c r="E953" i="208"/>
  <c r="S953" i="208" s="1"/>
  <c r="H953" i="208"/>
  <c r="Q953" i="208" s="1"/>
  <c r="I953" i="208"/>
  <c r="J953" i="208"/>
  <c r="L953" i="208"/>
  <c r="C954" i="208"/>
  <c r="D954" i="208"/>
  <c r="E954" i="208"/>
  <c r="S954" i="208" s="1"/>
  <c r="H954" i="208"/>
  <c r="Q954" i="208" s="1"/>
  <c r="I954" i="208"/>
  <c r="J954" i="208"/>
  <c r="L954" i="208"/>
  <c r="C955" i="208"/>
  <c r="D955" i="208"/>
  <c r="E955" i="208"/>
  <c r="S955" i="208" s="1"/>
  <c r="H955" i="208"/>
  <c r="Q955" i="208" s="1"/>
  <c r="I955" i="208"/>
  <c r="J955" i="208"/>
  <c r="L955" i="208"/>
  <c r="C956" i="208"/>
  <c r="D956" i="208"/>
  <c r="E956" i="208"/>
  <c r="S956" i="208" s="1"/>
  <c r="H956" i="208"/>
  <c r="Q956" i="208" s="1"/>
  <c r="I956" i="208"/>
  <c r="J956" i="208"/>
  <c r="L956" i="208"/>
  <c r="C957" i="208"/>
  <c r="D957" i="208"/>
  <c r="E957" i="208"/>
  <c r="S957" i="208" s="1"/>
  <c r="H957" i="208"/>
  <c r="Q957" i="208" s="1"/>
  <c r="I957" i="208"/>
  <c r="J957" i="208"/>
  <c r="L957" i="208"/>
  <c r="C958" i="208"/>
  <c r="D958" i="208"/>
  <c r="E958" i="208"/>
  <c r="S958" i="208" s="1"/>
  <c r="H958" i="208"/>
  <c r="Q958" i="208" s="1"/>
  <c r="I958" i="208"/>
  <c r="J958" i="208"/>
  <c r="L958" i="208"/>
  <c r="C959" i="208"/>
  <c r="D959" i="208"/>
  <c r="E959" i="208"/>
  <c r="S959" i="208" s="1"/>
  <c r="H959" i="208"/>
  <c r="Q959" i="208" s="1"/>
  <c r="I959" i="208"/>
  <c r="J959" i="208"/>
  <c r="L959" i="208"/>
  <c r="C960" i="208"/>
  <c r="D960" i="208"/>
  <c r="E960" i="208"/>
  <c r="S960" i="208" s="1"/>
  <c r="H960" i="208"/>
  <c r="Q960" i="208" s="1"/>
  <c r="I960" i="208"/>
  <c r="J960" i="208"/>
  <c r="L960" i="208"/>
  <c r="C961" i="208"/>
  <c r="D961" i="208"/>
  <c r="E961" i="208"/>
  <c r="S961" i="208" s="1"/>
  <c r="H961" i="208"/>
  <c r="Q961" i="208" s="1"/>
  <c r="I961" i="208"/>
  <c r="J961" i="208"/>
  <c r="L961" i="208"/>
  <c r="C962" i="208"/>
  <c r="D962" i="208"/>
  <c r="E962" i="208"/>
  <c r="S962" i="208" s="1"/>
  <c r="H962" i="208"/>
  <c r="Q962" i="208" s="1"/>
  <c r="I962" i="208"/>
  <c r="J962" i="208"/>
  <c r="L962" i="208"/>
  <c r="C963" i="208"/>
  <c r="D963" i="208"/>
  <c r="E963" i="208"/>
  <c r="S963" i="208" s="1"/>
  <c r="H963" i="208"/>
  <c r="Q963" i="208" s="1"/>
  <c r="I963" i="208"/>
  <c r="J963" i="208"/>
  <c r="L963" i="208"/>
  <c r="C964" i="208"/>
  <c r="D964" i="208"/>
  <c r="E964" i="208"/>
  <c r="S964" i="208" s="1"/>
  <c r="H964" i="208"/>
  <c r="Q964" i="208" s="1"/>
  <c r="I964" i="208"/>
  <c r="J964" i="208"/>
  <c r="L964" i="208"/>
  <c r="C965" i="208"/>
  <c r="D965" i="208"/>
  <c r="E965" i="208"/>
  <c r="S965" i="208" s="1"/>
  <c r="H965" i="208"/>
  <c r="Q965" i="208" s="1"/>
  <c r="I965" i="208"/>
  <c r="J965" i="208"/>
  <c r="L965" i="208"/>
  <c r="C966" i="208"/>
  <c r="D966" i="208"/>
  <c r="E966" i="208"/>
  <c r="S966" i="208" s="1"/>
  <c r="H966" i="208"/>
  <c r="Q966" i="208" s="1"/>
  <c r="I966" i="208"/>
  <c r="J966" i="208"/>
  <c r="L966" i="208"/>
  <c r="C967" i="208"/>
  <c r="D967" i="208"/>
  <c r="E967" i="208"/>
  <c r="S967" i="208" s="1"/>
  <c r="H967" i="208"/>
  <c r="Q967" i="208" s="1"/>
  <c r="I967" i="208"/>
  <c r="J967" i="208"/>
  <c r="L967" i="208"/>
  <c r="C968" i="208"/>
  <c r="D968" i="208"/>
  <c r="E968" i="208"/>
  <c r="S968" i="208" s="1"/>
  <c r="H968" i="208"/>
  <c r="Q968" i="208" s="1"/>
  <c r="I968" i="208"/>
  <c r="J968" i="208"/>
  <c r="L968" i="208"/>
  <c r="C969" i="208"/>
  <c r="D969" i="208"/>
  <c r="E969" i="208"/>
  <c r="S969" i="208" s="1"/>
  <c r="H969" i="208"/>
  <c r="Q969" i="208" s="1"/>
  <c r="I969" i="208"/>
  <c r="J969" i="208"/>
  <c r="L969" i="208"/>
  <c r="C970" i="208"/>
  <c r="D970" i="208"/>
  <c r="E970" i="208"/>
  <c r="S970" i="208" s="1"/>
  <c r="H970" i="208"/>
  <c r="Q970" i="208" s="1"/>
  <c r="I970" i="208"/>
  <c r="J970" i="208"/>
  <c r="L970" i="208"/>
  <c r="C971" i="208"/>
  <c r="D971" i="208"/>
  <c r="E971" i="208"/>
  <c r="S971" i="208" s="1"/>
  <c r="H971" i="208"/>
  <c r="Q971" i="208" s="1"/>
  <c r="I971" i="208"/>
  <c r="J971" i="208"/>
  <c r="L971" i="208"/>
  <c r="C972" i="208"/>
  <c r="D972" i="208"/>
  <c r="E972" i="208"/>
  <c r="S972" i="208" s="1"/>
  <c r="H972" i="208"/>
  <c r="Q972" i="208" s="1"/>
  <c r="I972" i="208"/>
  <c r="J972" i="208"/>
  <c r="L972" i="208"/>
  <c r="C973" i="208"/>
  <c r="D973" i="208"/>
  <c r="E973" i="208"/>
  <c r="S973" i="208" s="1"/>
  <c r="H973" i="208"/>
  <c r="Q973" i="208" s="1"/>
  <c r="I973" i="208"/>
  <c r="J973" i="208"/>
  <c r="L973" i="208"/>
  <c r="C974" i="208"/>
  <c r="D974" i="208"/>
  <c r="E974" i="208"/>
  <c r="S974" i="208" s="1"/>
  <c r="H974" i="208"/>
  <c r="Q974" i="208" s="1"/>
  <c r="I974" i="208"/>
  <c r="J974" i="208"/>
  <c r="L974" i="208"/>
  <c r="C975" i="208"/>
  <c r="D975" i="208"/>
  <c r="E975" i="208"/>
  <c r="S975" i="208" s="1"/>
  <c r="H975" i="208"/>
  <c r="Q975" i="208" s="1"/>
  <c r="I975" i="208"/>
  <c r="J975" i="208"/>
  <c r="L975" i="208"/>
  <c r="C976" i="208"/>
  <c r="D976" i="208"/>
  <c r="E976" i="208"/>
  <c r="S976" i="208" s="1"/>
  <c r="H976" i="208"/>
  <c r="Q976" i="208" s="1"/>
  <c r="I976" i="208"/>
  <c r="J976" i="208"/>
  <c r="L976" i="208"/>
  <c r="C977" i="208"/>
  <c r="D977" i="208"/>
  <c r="E977" i="208"/>
  <c r="S977" i="208" s="1"/>
  <c r="H977" i="208"/>
  <c r="Q977" i="208" s="1"/>
  <c r="I977" i="208"/>
  <c r="J977" i="208"/>
  <c r="L977" i="208"/>
  <c r="C978" i="208"/>
  <c r="D978" i="208"/>
  <c r="E978" i="208"/>
  <c r="S978" i="208" s="1"/>
  <c r="H978" i="208"/>
  <c r="Q978" i="208" s="1"/>
  <c r="I978" i="208"/>
  <c r="J978" i="208"/>
  <c r="L978" i="208"/>
  <c r="C979" i="208"/>
  <c r="D979" i="208"/>
  <c r="E979" i="208"/>
  <c r="S979" i="208" s="1"/>
  <c r="H979" i="208"/>
  <c r="Q979" i="208" s="1"/>
  <c r="I979" i="208"/>
  <c r="J979" i="208"/>
  <c r="L979" i="208"/>
  <c r="C980" i="208"/>
  <c r="D980" i="208"/>
  <c r="E980" i="208"/>
  <c r="S980" i="208" s="1"/>
  <c r="H980" i="208"/>
  <c r="Q980" i="208" s="1"/>
  <c r="I980" i="208"/>
  <c r="J980" i="208"/>
  <c r="L980" i="208"/>
  <c r="C981" i="208"/>
  <c r="D981" i="208"/>
  <c r="E981" i="208"/>
  <c r="S981" i="208" s="1"/>
  <c r="H981" i="208"/>
  <c r="Q981" i="208" s="1"/>
  <c r="I981" i="208"/>
  <c r="J981" i="208"/>
  <c r="L981" i="208"/>
  <c r="C982" i="208"/>
  <c r="D982" i="208"/>
  <c r="E982" i="208"/>
  <c r="S982" i="208" s="1"/>
  <c r="H982" i="208"/>
  <c r="Q982" i="208" s="1"/>
  <c r="I982" i="208"/>
  <c r="J982" i="208"/>
  <c r="L982" i="208"/>
  <c r="C983" i="208"/>
  <c r="D983" i="208"/>
  <c r="E983" i="208"/>
  <c r="S983" i="208" s="1"/>
  <c r="H983" i="208"/>
  <c r="Q983" i="208" s="1"/>
  <c r="I983" i="208"/>
  <c r="J983" i="208"/>
  <c r="L983" i="208"/>
  <c r="C984" i="208"/>
  <c r="D984" i="208"/>
  <c r="E984" i="208"/>
  <c r="S984" i="208" s="1"/>
  <c r="H984" i="208"/>
  <c r="Q984" i="208" s="1"/>
  <c r="I984" i="208"/>
  <c r="J984" i="208"/>
  <c r="L984" i="208"/>
  <c r="C985" i="208"/>
  <c r="D985" i="208"/>
  <c r="E985" i="208"/>
  <c r="S985" i="208" s="1"/>
  <c r="H985" i="208"/>
  <c r="Q985" i="208" s="1"/>
  <c r="I985" i="208"/>
  <c r="J985" i="208"/>
  <c r="L985" i="208"/>
  <c r="C986" i="208"/>
  <c r="D986" i="208"/>
  <c r="E986" i="208"/>
  <c r="S986" i="208" s="1"/>
  <c r="H986" i="208"/>
  <c r="Q986" i="208" s="1"/>
  <c r="I986" i="208"/>
  <c r="J986" i="208"/>
  <c r="L986" i="208"/>
  <c r="C987" i="208"/>
  <c r="D987" i="208"/>
  <c r="E987" i="208"/>
  <c r="S987" i="208" s="1"/>
  <c r="H987" i="208"/>
  <c r="Q987" i="208" s="1"/>
  <c r="I987" i="208"/>
  <c r="J987" i="208"/>
  <c r="L987" i="208"/>
  <c r="C988" i="208"/>
  <c r="D988" i="208"/>
  <c r="E988" i="208"/>
  <c r="S988" i="208" s="1"/>
  <c r="H988" i="208"/>
  <c r="Q988" i="208" s="1"/>
  <c r="I988" i="208"/>
  <c r="J988" i="208"/>
  <c r="L988" i="208"/>
  <c r="C989" i="208"/>
  <c r="D989" i="208"/>
  <c r="E989" i="208"/>
  <c r="S989" i="208" s="1"/>
  <c r="H989" i="208"/>
  <c r="Q989" i="208" s="1"/>
  <c r="I989" i="208"/>
  <c r="J989" i="208"/>
  <c r="L989" i="208"/>
  <c r="C990" i="208"/>
  <c r="D990" i="208"/>
  <c r="E990" i="208"/>
  <c r="S990" i="208" s="1"/>
  <c r="H990" i="208"/>
  <c r="Q990" i="208" s="1"/>
  <c r="I990" i="208"/>
  <c r="J990" i="208"/>
  <c r="L990" i="208"/>
  <c r="C991" i="208"/>
  <c r="D991" i="208"/>
  <c r="E991" i="208"/>
  <c r="S991" i="208" s="1"/>
  <c r="H991" i="208"/>
  <c r="Q991" i="208" s="1"/>
  <c r="I991" i="208"/>
  <c r="J991" i="208"/>
  <c r="L991" i="208"/>
  <c r="C992" i="208"/>
  <c r="D992" i="208"/>
  <c r="E992" i="208"/>
  <c r="S992" i="208" s="1"/>
  <c r="H992" i="208"/>
  <c r="Q992" i="208" s="1"/>
  <c r="I992" i="208"/>
  <c r="J992" i="208"/>
  <c r="L992" i="208"/>
  <c r="C993" i="208"/>
  <c r="D993" i="208"/>
  <c r="E993" i="208"/>
  <c r="S993" i="208" s="1"/>
  <c r="H993" i="208"/>
  <c r="Q993" i="208" s="1"/>
  <c r="I993" i="208"/>
  <c r="J993" i="208"/>
  <c r="L993" i="208"/>
  <c r="C994" i="208"/>
  <c r="D994" i="208"/>
  <c r="E994" i="208"/>
  <c r="S994" i="208" s="1"/>
  <c r="H994" i="208"/>
  <c r="Q994" i="208" s="1"/>
  <c r="I994" i="208"/>
  <c r="J994" i="208"/>
  <c r="L994" i="208"/>
  <c r="C995" i="208"/>
  <c r="D995" i="208"/>
  <c r="E995" i="208"/>
  <c r="S995" i="208" s="1"/>
  <c r="H995" i="208"/>
  <c r="Q995" i="208" s="1"/>
  <c r="I995" i="208"/>
  <c r="J995" i="208"/>
  <c r="L995" i="208"/>
  <c r="C996" i="208"/>
  <c r="D996" i="208"/>
  <c r="E996" i="208"/>
  <c r="S996" i="208" s="1"/>
  <c r="H996" i="208"/>
  <c r="Q996" i="208" s="1"/>
  <c r="I996" i="208"/>
  <c r="J996" i="208"/>
  <c r="L996" i="208"/>
  <c r="C997" i="208"/>
  <c r="D997" i="208"/>
  <c r="E997" i="208"/>
  <c r="S997" i="208" s="1"/>
  <c r="H997" i="208"/>
  <c r="Q997" i="208" s="1"/>
  <c r="I997" i="208"/>
  <c r="J997" i="208"/>
  <c r="L997" i="208"/>
  <c r="C998" i="208"/>
  <c r="D998" i="208"/>
  <c r="E998" i="208"/>
  <c r="S998" i="208" s="1"/>
  <c r="H998" i="208"/>
  <c r="Q998" i="208" s="1"/>
  <c r="I998" i="208"/>
  <c r="J998" i="208"/>
  <c r="L998" i="208"/>
  <c r="C999" i="208"/>
  <c r="D999" i="208"/>
  <c r="E999" i="208"/>
  <c r="S999" i="208" s="1"/>
  <c r="H999" i="208"/>
  <c r="Q999" i="208" s="1"/>
  <c r="I999" i="208"/>
  <c r="J999" i="208"/>
  <c r="L999" i="208"/>
  <c r="C1000" i="208"/>
  <c r="D1000" i="208"/>
  <c r="E1000" i="208"/>
  <c r="S1000" i="208" s="1"/>
  <c r="H1000" i="208"/>
  <c r="Q1000" i="208" s="1"/>
  <c r="I1000" i="208"/>
  <c r="J1000" i="208"/>
  <c r="L1000" i="208"/>
  <c r="C1001" i="208"/>
  <c r="D1001" i="208"/>
  <c r="E1001" i="208"/>
  <c r="S1001" i="208" s="1"/>
  <c r="H1001" i="208"/>
  <c r="Q1001" i="208" s="1"/>
  <c r="I1001" i="208"/>
  <c r="J1001" i="208"/>
  <c r="L1001" i="208"/>
  <c r="C1002" i="208"/>
  <c r="D1002" i="208"/>
  <c r="E1002" i="208"/>
  <c r="S1002" i="208" s="1"/>
  <c r="H1002" i="208"/>
  <c r="Q1002" i="208" s="1"/>
  <c r="I1002" i="208"/>
  <c r="J1002" i="208"/>
  <c r="L1002" i="208"/>
  <c r="C1003" i="208"/>
  <c r="D1003" i="208"/>
  <c r="E1003" i="208"/>
  <c r="S1003" i="208" s="1"/>
  <c r="H1003" i="208"/>
  <c r="Q1003" i="208" s="1"/>
  <c r="I1003" i="208"/>
  <c r="J1003" i="208"/>
  <c r="L1003" i="208"/>
  <c r="C1004" i="208"/>
  <c r="D1004" i="208"/>
  <c r="E1004" i="208"/>
  <c r="S1004" i="208" s="1"/>
  <c r="H1004" i="208"/>
  <c r="Q1004" i="208" s="1"/>
  <c r="I1004" i="208"/>
  <c r="J1004" i="208"/>
  <c r="L1004" i="208"/>
  <c r="C1005" i="208"/>
  <c r="D1005" i="208"/>
  <c r="E1005" i="208"/>
  <c r="S1005" i="208" s="1"/>
  <c r="H1005" i="208"/>
  <c r="Q1005" i="208" s="1"/>
  <c r="I1005" i="208"/>
  <c r="J1005" i="208"/>
  <c r="L1005" i="208"/>
  <c r="C1006" i="208"/>
  <c r="D1006" i="208"/>
  <c r="E1006" i="208"/>
  <c r="S1006" i="208" s="1"/>
  <c r="H1006" i="208"/>
  <c r="Q1006" i="208" s="1"/>
  <c r="I1006" i="208"/>
  <c r="J1006" i="208"/>
  <c r="L1006" i="208"/>
  <c r="C1007" i="208"/>
  <c r="D1007" i="208"/>
  <c r="E1007" i="208"/>
  <c r="S1007" i="208" s="1"/>
  <c r="H1007" i="208"/>
  <c r="Q1007" i="208" s="1"/>
  <c r="I1007" i="208"/>
  <c r="J1007" i="208"/>
  <c r="L1007" i="208"/>
  <c r="C1008" i="208"/>
  <c r="D1008" i="208"/>
  <c r="E1008" i="208"/>
  <c r="S1008" i="208" s="1"/>
  <c r="H1008" i="208"/>
  <c r="Q1008" i="208" s="1"/>
  <c r="I1008" i="208"/>
  <c r="J1008" i="208"/>
  <c r="L1008" i="208"/>
  <c r="C1009" i="208"/>
  <c r="D1009" i="208"/>
  <c r="E1009" i="208"/>
  <c r="S1009" i="208" s="1"/>
  <c r="H1009" i="208"/>
  <c r="Q1009" i="208" s="1"/>
  <c r="I1009" i="208"/>
  <c r="J1009" i="208"/>
  <c r="L1009" i="208"/>
  <c r="C1010" i="208"/>
  <c r="D1010" i="208"/>
  <c r="E1010" i="208"/>
  <c r="S1010" i="208" s="1"/>
  <c r="H1010" i="208"/>
  <c r="Q1010" i="208" s="1"/>
  <c r="I1010" i="208"/>
  <c r="J1010" i="208"/>
  <c r="L1010" i="208"/>
  <c r="C1011" i="208"/>
  <c r="D1011" i="208"/>
  <c r="E1011" i="208"/>
  <c r="S1011" i="208" s="1"/>
  <c r="H1011" i="208"/>
  <c r="Q1011" i="208" s="1"/>
  <c r="I1011" i="208"/>
  <c r="J1011" i="208"/>
  <c r="L1011" i="208"/>
  <c r="C1012" i="208"/>
  <c r="D1012" i="208"/>
  <c r="E1012" i="208"/>
  <c r="S1012" i="208" s="1"/>
  <c r="H1012" i="208"/>
  <c r="Q1012" i="208" s="1"/>
  <c r="I1012" i="208"/>
  <c r="J1012" i="208"/>
  <c r="L1012" i="208"/>
  <c r="C1013" i="208"/>
  <c r="D1013" i="208"/>
  <c r="E1013" i="208"/>
  <c r="S1013" i="208" s="1"/>
  <c r="H1013" i="208"/>
  <c r="Q1013" i="208" s="1"/>
  <c r="I1013" i="208"/>
  <c r="J1013" i="208"/>
  <c r="L1013" i="208"/>
  <c r="C1014" i="208"/>
  <c r="D1014" i="208"/>
  <c r="E1014" i="208"/>
  <c r="S1014" i="208" s="1"/>
  <c r="H1014" i="208"/>
  <c r="Q1014" i="208" s="1"/>
  <c r="I1014" i="208"/>
  <c r="J1014" i="208"/>
  <c r="L1014" i="208"/>
  <c r="C1015" i="208"/>
  <c r="D1015" i="208"/>
  <c r="E1015" i="208"/>
  <c r="S1015" i="208" s="1"/>
  <c r="H1015" i="208"/>
  <c r="Q1015" i="208" s="1"/>
  <c r="I1015" i="208"/>
  <c r="J1015" i="208"/>
  <c r="L1015" i="208"/>
  <c r="C1016" i="208"/>
  <c r="D1016" i="208"/>
  <c r="E1016" i="208"/>
  <c r="S1016" i="208" s="1"/>
  <c r="H1016" i="208"/>
  <c r="Q1016" i="208" s="1"/>
  <c r="I1016" i="208"/>
  <c r="J1016" i="208"/>
  <c r="L1016" i="208"/>
  <c r="C1017" i="208"/>
  <c r="D1017" i="208"/>
  <c r="E1017" i="208"/>
  <c r="S1017" i="208" s="1"/>
  <c r="H1017" i="208"/>
  <c r="Q1017" i="208" s="1"/>
  <c r="I1017" i="208"/>
  <c r="J1017" i="208"/>
  <c r="L1017" i="208"/>
  <c r="C1018" i="208"/>
  <c r="D1018" i="208"/>
  <c r="E1018" i="208"/>
  <c r="S1018" i="208" s="1"/>
  <c r="H1018" i="208"/>
  <c r="Q1018" i="208" s="1"/>
  <c r="I1018" i="208"/>
  <c r="J1018" i="208"/>
  <c r="L1018" i="208"/>
  <c r="C1019" i="208"/>
  <c r="D1019" i="208"/>
  <c r="E1019" i="208"/>
  <c r="S1019" i="208" s="1"/>
  <c r="H1019" i="208"/>
  <c r="Q1019" i="208" s="1"/>
  <c r="I1019" i="208"/>
  <c r="J1019" i="208"/>
  <c r="L1019" i="208"/>
  <c r="C1020" i="208"/>
  <c r="D1020" i="208"/>
  <c r="E1020" i="208"/>
  <c r="S1020" i="208" s="1"/>
  <c r="H1020" i="208"/>
  <c r="Q1020" i="208" s="1"/>
  <c r="I1020" i="208"/>
  <c r="J1020" i="208"/>
  <c r="L1020" i="208"/>
  <c r="C1021" i="208"/>
  <c r="D1021" i="208"/>
  <c r="E1021" i="208"/>
  <c r="S1021" i="208" s="1"/>
  <c r="H1021" i="208"/>
  <c r="Q1021" i="208" s="1"/>
  <c r="I1021" i="208"/>
  <c r="J1021" i="208"/>
  <c r="L1021" i="208"/>
  <c r="C1022" i="208"/>
  <c r="D1022" i="208"/>
  <c r="E1022" i="208"/>
  <c r="S1022" i="208" s="1"/>
  <c r="H1022" i="208"/>
  <c r="Q1022" i="208" s="1"/>
  <c r="I1022" i="208"/>
  <c r="J1022" i="208"/>
  <c r="L1022" i="208"/>
  <c r="C1023" i="208"/>
  <c r="D1023" i="208"/>
  <c r="E1023" i="208"/>
  <c r="S1023" i="208" s="1"/>
  <c r="H1023" i="208"/>
  <c r="Q1023" i="208" s="1"/>
  <c r="I1023" i="208"/>
  <c r="J1023" i="208"/>
  <c r="L1023" i="208"/>
  <c r="C1024" i="208"/>
  <c r="D1024" i="208"/>
  <c r="E1024" i="208"/>
  <c r="S1024" i="208" s="1"/>
  <c r="H1024" i="208"/>
  <c r="Q1024" i="208" s="1"/>
  <c r="I1024" i="208"/>
  <c r="J1024" i="208"/>
  <c r="L1024" i="208"/>
  <c r="C1025" i="208"/>
  <c r="D1025" i="208"/>
  <c r="E1025" i="208"/>
  <c r="S1025" i="208" s="1"/>
  <c r="H1025" i="208"/>
  <c r="Q1025" i="208" s="1"/>
  <c r="I1025" i="208"/>
  <c r="J1025" i="208"/>
  <c r="L1025" i="208"/>
  <c r="C1026" i="208"/>
  <c r="D1026" i="208"/>
  <c r="E1026" i="208"/>
  <c r="S1026" i="208" s="1"/>
  <c r="H1026" i="208"/>
  <c r="Q1026" i="208" s="1"/>
  <c r="I1026" i="208"/>
  <c r="J1026" i="208"/>
  <c r="L1026" i="208"/>
  <c r="C1027" i="208"/>
  <c r="D1027" i="208"/>
  <c r="E1027" i="208"/>
  <c r="S1027" i="208" s="1"/>
  <c r="H1027" i="208"/>
  <c r="Q1027" i="208" s="1"/>
  <c r="I1027" i="208"/>
  <c r="J1027" i="208"/>
  <c r="L1027" i="208"/>
  <c r="C1028" i="208"/>
  <c r="D1028" i="208"/>
  <c r="E1028" i="208"/>
  <c r="S1028" i="208" s="1"/>
  <c r="H1028" i="208"/>
  <c r="Q1028" i="208" s="1"/>
  <c r="I1028" i="208"/>
  <c r="J1028" i="208"/>
  <c r="L1028" i="208"/>
  <c r="C1029" i="208"/>
  <c r="D1029" i="208"/>
  <c r="E1029" i="208"/>
  <c r="S1029" i="208" s="1"/>
  <c r="H1029" i="208"/>
  <c r="Q1029" i="208" s="1"/>
  <c r="I1029" i="208"/>
  <c r="J1029" i="208"/>
  <c r="L1029" i="208"/>
  <c r="C1030" i="208"/>
  <c r="D1030" i="208"/>
  <c r="E1030" i="208"/>
  <c r="S1030" i="208" s="1"/>
  <c r="H1030" i="208"/>
  <c r="Q1030" i="208" s="1"/>
  <c r="I1030" i="208"/>
  <c r="J1030" i="208"/>
  <c r="L1030" i="208"/>
  <c r="C1031" i="208"/>
  <c r="D1031" i="208"/>
  <c r="E1031" i="208"/>
  <c r="S1031" i="208" s="1"/>
  <c r="H1031" i="208"/>
  <c r="Q1031" i="208" s="1"/>
  <c r="I1031" i="208"/>
  <c r="J1031" i="208"/>
  <c r="L1031" i="208"/>
  <c r="C1032" i="208"/>
  <c r="D1032" i="208"/>
  <c r="E1032" i="208"/>
  <c r="S1032" i="208" s="1"/>
  <c r="H1032" i="208"/>
  <c r="Q1032" i="208" s="1"/>
  <c r="I1032" i="208"/>
  <c r="J1032" i="208"/>
  <c r="L1032" i="208"/>
  <c r="C1033" i="208"/>
  <c r="D1033" i="208"/>
  <c r="E1033" i="208"/>
  <c r="S1033" i="208" s="1"/>
  <c r="H1033" i="208"/>
  <c r="Q1033" i="208" s="1"/>
  <c r="I1033" i="208"/>
  <c r="J1033" i="208"/>
  <c r="L1033" i="208"/>
  <c r="C1034" i="208"/>
  <c r="D1034" i="208"/>
  <c r="E1034" i="208"/>
  <c r="S1034" i="208" s="1"/>
  <c r="H1034" i="208"/>
  <c r="Q1034" i="208" s="1"/>
  <c r="I1034" i="208"/>
  <c r="J1034" i="208"/>
  <c r="L1034" i="208"/>
  <c r="C1035" i="208"/>
  <c r="D1035" i="208"/>
  <c r="E1035" i="208"/>
  <c r="S1035" i="208" s="1"/>
  <c r="H1035" i="208"/>
  <c r="Q1035" i="208" s="1"/>
  <c r="I1035" i="208"/>
  <c r="J1035" i="208"/>
  <c r="L1035" i="208"/>
  <c r="C1036" i="208"/>
  <c r="D1036" i="208"/>
  <c r="E1036" i="208"/>
  <c r="S1036" i="208" s="1"/>
  <c r="H1036" i="208"/>
  <c r="Q1036" i="208" s="1"/>
  <c r="I1036" i="208"/>
  <c r="J1036" i="208"/>
  <c r="L1036" i="208"/>
  <c r="C1037" i="208"/>
  <c r="D1037" i="208"/>
  <c r="E1037" i="208"/>
  <c r="S1037" i="208" s="1"/>
  <c r="H1037" i="208"/>
  <c r="Q1037" i="208" s="1"/>
  <c r="I1037" i="208"/>
  <c r="J1037" i="208"/>
  <c r="L1037" i="208"/>
  <c r="C1038" i="208"/>
  <c r="D1038" i="208"/>
  <c r="E1038" i="208"/>
  <c r="S1038" i="208" s="1"/>
  <c r="H1038" i="208"/>
  <c r="Q1038" i="208" s="1"/>
  <c r="I1038" i="208"/>
  <c r="J1038" i="208"/>
  <c r="L1038" i="208"/>
  <c r="C1039" i="208"/>
  <c r="D1039" i="208"/>
  <c r="E1039" i="208"/>
  <c r="S1039" i="208" s="1"/>
  <c r="H1039" i="208"/>
  <c r="Q1039" i="208" s="1"/>
  <c r="I1039" i="208"/>
  <c r="J1039" i="208"/>
  <c r="L1039" i="208"/>
  <c r="C1040" i="208"/>
  <c r="D1040" i="208"/>
  <c r="E1040" i="208"/>
  <c r="S1040" i="208" s="1"/>
  <c r="H1040" i="208"/>
  <c r="Q1040" i="208" s="1"/>
  <c r="I1040" i="208"/>
  <c r="J1040" i="208"/>
  <c r="L1040" i="208"/>
  <c r="C1041" i="208"/>
  <c r="D1041" i="208"/>
  <c r="E1041" i="208"/>
  <c r="S1041" i="208" s="1"/>
  <c r="H1041" i="208"/>
  <c r="Q1041" i="208" s="1"/>
  <c r="I1041" i="208"/>
  <c r="J1041" i="208"/>
  <c r="L1041" i="208"/>
  <c r="C1042" i="208"/>
  <c r="D1042" i="208"/>
  <c r="E1042" i="208"/>
  <c r="S1042" i="208" s="1"/>
  <c r="H1042" i="208"/>
  <c r="Q1042" i="208" s="1"/>
  <c r="I1042" i="208"/>
  <c r="J1042" i="208"/>
  <c r="L1042" i="208"/>
  <c r="C1043" i="208"/>
  <c r="D1043" i="208"/>
  <c r="E1043" i="208"/>
  <c r="S1043" i="208" s="1"/>
  <c r="H1043" i="208"/>
  <c r="Q1043" i="208" s="1"/>
  <c r="I1043" i="208"/>
  <c r="J1043" i="208"/>
  <c r="L1043" i="208"/>
  <c r="C1044" i="208"/>
  <c r="D1044" i="208"/>
  <c r="E1044" i="208"/>
  <c r="S1044" i="208" s="1"/>
  <c r="H1044" i="208"/>
  <c r="Q1044" i="208" s="1"/>
  <c r="I1044" i="208"/>
  <c r="J1044" i="208"/>
  <c r="L1044" i="208"/>
  <c r="C1045" i="208"/>
  <c r="D1045" i="208"/>
  <c r="E1045" i="208"/>
  <c r="S1045" i="208" s="1"/>
  <c r="H1045" i="208"/>
  <c r="Q1045" i="208" s="1"/>
  <c r="I1045" i="208"/>
  <c r="J1045" i="208"/>
  <c r="L1045" i="208"/>
  <c r="C1046" i="208"/>
  <c r="D1046" i="208"/>
  <c r="E1046" i="208"/>
  <c r="S1046" i="208" s="1"/>
  <c r="H1046" i="208"/>
  <c r="Q1046" i="208" s="1"/>
  <c r="I1046" i="208"/>
  <c r="J1046" i="208"/>
  <c r="L1046" i="208"/>
  <c r="C1047" i="208"/>
  <c r="D1047" i="208"/>
  <c r="E1047" i="208"/>
  <c r="S1047" i="208" s="1"/>
  <c r="H1047" i="208"/>
  <c r="Q1047" i="208" s="1"/>
  <c r="I1047" i="208"/>
  <c r="J1047" i="208"/>
  <c r="L1047" i="208"/>
  <c r="C1048" i="208"/>
  <c r="D1048" i="208"/>
  <c r="E1048" i="208"/>
  <c r="S1048" i="208" s="1"/>
  <c r="H1048" i="208"/>
  <c r="Q1048" i="208" s="1"/>
  <c r="I1048" i="208"/>
  <c r="J1048" i="208"/>
  <c r="L1048" i="208"/>
  <c r="C1049" i="208"/>
  <c r="D1049" i="208"/>
  <c r="E1049" i="208"/>
  <c r="S1049" i="208" s="1"/>
  <c r="H1049" i="208"/>
  <c r="Q1049" i="208" s="1"/>
  <c r="I1049" i="208"/>
  <c r="J1049" i="208"/>
  <c r="L1049" i="208"/>
  <c r="C1050" i="208"/>
  <c r="D1050" i="208"/>
  <c r="E1050" i="208"/>
  <c r="S1050" i="208" s="1"/>
  <c r="H1050" i="208"/>
  <c r="Q1050" i="208" s="1"/>
  <c r="I1050" i="208"/>
  <c r="J1050" i="208"/>
  <c r="L1050" i="208"/>
  <c r="C1051" i="208"/>
  <c r="D1051" i="208"/>
  <c r="E1051" i="208"/>
  <c r="S1051" i="208" s="1"/>
  <c r="H1051" i="208"/>
  <c r="Q1051" i="208" s="1"/>
  <c r="I1051" i="208"/>
  <c r="J1051" i="208"/>
  <c r="L1051" i="208"/>
  <c r="C1052" i="208"/>
  <c r="D1052" i="208"/>
  <c r="E1052" i="208"/>
  <c r="S1052" i="208" s="1"/>
  <c r="H1052" i="208"/>
  <c r="Q1052" i="208" s="1"/>
  <c r="I1052" i="208"/>
  <c r="J1052" i="208"/>
  <c r="L1052" i="208"/>
  <c r="C1053" i="208"/>
  <c r="D1053" i="208"/>
  <c r="E1053" i="208"/>
  <c r="S1053" i="208" s="1"/>
  <c r="H1053" i="208"/>
  <c r="Q1053" i="208" s="1"/>
  <c r="I1053" i="208"/>
  <c r="J1053" i="208"/>
  <c r="L1053" i="208"/>
  <c r="C1054" i="208"/>
  <c r="D1054" i="208"/>
  <c r="E1054" i="208"/>
  <c r="S1054" i="208" s="1"/>
  <c r="H1054" i="208"/>
  <c r="Q1054" i="208" s="1"/>
  <c r="I1054" i="208"/>
  <c r="J1054" i="208"/>
  <c r="L1054" i="208"/>
  <c r="C1055" i="208"/>
  <c r="D1055" i="208"/>
  <c r="E1055" i="208"/>
  <c r="S1055" i="208" s="1"/>
  <c r="H1055" i="208"/>
  <c r="Q1055" i="208" s="1"/>
  <c r="I1055" i="208"/>
  <c r="J1055" i="208"/>
  <c r="L1055" i="208"/>
  <c r="C1056" i="208"/>
  <c r="D1056" i="208"/>
  <c r="E1056" i="208"/>
  <c r="S1056" i="208" s="1"/>
  <c r="H1056" i="208"/>
  <c r="Q1056" i="208" s="1"/>
  <c r="I1056" i="208"/>
  <c r="J1056" i="208"/>
  <c r="L1056" i="208"/>
  <c r="C1057" i="208"/>
  <c r="D1057" i="208"/>
  <c r="E1057" i="208"/>
  <c r="S1057" i="208" s="1"/>
  <c r="H1057" i="208"/>
  <c r="Q1057" i="208" s="1"/>
  <c r="I1057" i="208"/>
  <c r="J1057" i="208"/>
  <c r="L1057" i="208"/>
  <c r="C1058" i="208"/>
  <c r="D1058" i="208"/>
  <c r="E1058" i="208"/>
  <c r="S1058" i="208" s="1"/>
  <c r="H1058" i="208"/>
  <c r="Q1058" i="208" s="1"/>
  <c r="I1058" i="208"/>
  <c r="J1058" i="208"/>
  <c r="L1058" i="208"/>
  <c r="C1059" i="208"/>
  <c r="D1059" i="208"/>
  <c r="E1059" i="208"/>
  <c r="S1059" i="208" s="1"/>
  <c r="H1059" i="208"/>
  <c r="Q1059" i="208" s="1"/>
  <c r="I1059" i="208"/>
  <c r="J1059" i="208"/>
  <c r="L1059" i="208"/>
  <c r="C1060" i="208"/>
  <c r="D1060" i="208"/>
  <c r="E1060" i="208"/>
  <c r="S1060" i="208" s="1"/>
  <c r="H1060" i="208"/>
  <c r="Q1060" i="208" s="1"/>
  <c r="I1060" i="208"/>
  <c r="J1060" i="208"/>
  <c r="L1060" i="208"/>
  <c r="C1061" i="208"/>
  <c r="D1061" i="208"/>
  <c r="E1061" i="208"/>
  <c r="S1061" i="208" s="1"/>
  <c r="H1061" i="208"/>
  <c r="Q1061" i="208" s="1"/>
  <c r="I1061" i="208"/>
  <c r="J1061" i="208"/>
  <c r="L1061" i="208"/>
  <c r="C1062" i="208"/>
  <c r="D1062" i="208"/>
  <c r="E1062" i="208"/>
  <c r="S1062" i="208" s="1"/>
  <c r="H1062" i="208"/>
  <c r="Q1062" i="208" s="1"/>
  <c r="I1062" i="208"/>
  <c r="J1062" i="208"/>
  <c r="L1062" i="208"/>
  <c r="C1063" i="208"/>
  <c r="D1063" i="208"/>
  <c r="E1063" i="208"/>
  <c r="S1063" i="208" s="1"/>
  <c r="H1063" i="208"/>
  <c r="Q1063" i="208" s="1"/>
  <c r="I1063" i="208"/>
  <c r="J1063" i="208"/>
  <c r="L1063" i="208"/>
  <c r="C1064" i="208"/>
  <c r="D1064" i="208"/>
  <c r="E1064" i="208"/>
  <c r="S1064" i="208" s="1"/>
  <c r="H1064" i="208"/>
  <c r="Q1064" i="208" s="1"/>
  <c r="I1064" i="208"/>
  <c r="J1064" i="208"/>
  <c r="L1064" i="208"/>
  <c r="C1065" i="208"/>
  <c r="D1065" i="208"/>
  <c r="E1065" i="208"/>
  <c r="S1065" i="208" s="1"/>
  <c r="H1065" i="208"/>
  <c r="Q1065" i="208" s="1"/>
  <c r="I1065" i="208"/>
  <c r="J1065" i="208"/>
  <c r="L1065" i="208"/>
  <c r="C1066" i="208"/>
  <c r="D1066" i="208"/>
  <c r="E1066" i="208"/>
  <c r="S1066" i="208" s="1"/>
  <c r="H1066" i="208"/>
  <c r="Q1066" i="208" s="1"/>
  <c r="I1066" i="208"/>
  <c r="J1066" i="208"/>
  <c r="L1066" i="208"/>
  <c r="C1067" i="208"/>
  <c r="D1067" i="208"/>
  <c r="E1067" i="208"/>
  <c r="S1067" i="208" s="1"/>
  <c r="H1067" i="208"/>
  <c r="Q1067" i="208" s="1"/>
  <c r="I1067" i="208"/>
  <c r="J1067" i="208"/>
  <c r="L1067" i="208"/>
  <c r="C1068" i="208"/>
  <c r="D1068" i="208"/>
  <c r="E1068" i="208"/>
  <c r="S1068" i="208" s="1"/>
  <c r="H1068" i="208"/>
  <c r="Q1068" i="208" s="1"/>
  <c r="I1068" i="208"/>
  <c r="J1068" i="208"/>
  <c r="L1068" i="208"/>
  <c r="C1069" i="208"/>
  <c r="D1069" i="208"/>
  <c r="E1069" i="208"/>
  <c r="S1069" i="208" s="1"/>
  <c r="H1069" i="208"/>
  <c r="Q1069" i="208" s="1"/>
  <c r="I1069" i="208"/>
  <c r="J1069" i="208"/>
  <c r="L1069" i="208"/>
  <c r="C1070" i="208"/>
  <c r="D1070" i="208"/>
  <c r="E1070" i="208"/>
  <c r="S1070" i="208" s="1"/>
  <c r="H1070" i="208"/>
  <c r="Q1070" i="208" s="1"/>
  <c r="I1070" i="208"/>
  <c r="J1070" i="208"/>
  <c r="L1070" i="208"/>
  <c r="C1071" i="208"/>
  <c r="D1071" i="208"/>
  <c r="E1071" i="208"/>
  <c r="S1071" i="208" s="1"/>
  <c r="H1071" i="208"/>
  <c r="Q1071" i="208" s="1"/>
  <c r="I1071" i="208"/>
  <c r="J1071" i="208"/>
  <c r="L1071" i="208"/>
  <c r="C1072" i="208"/>
  <c r="D1072" i="208"/>
  <c r="E1072" i="208"/>
  <c r="S1072" i="208" s="1"/>
  <c r="H1072" i="208"/>
  <c r="Q1072" i="208" s="1"/>
  <c r="I1072" i="208"/>
  <c r="J1072" i="208"/>
  <c r="L1072" i="208"/>
  <c r="C1073" i="208"/>
  <c r="D1073" i="208"/>
  <c r="E1073" i="208"/>
  <c r="S1073" i="208" s="1"/>
  <c r="H1073" i="208"/>
  <c r="Q1073" i="208" s="1"/>
  <c r="I1073" i="208"/>
  <c r="J1073" i="208"/>
  <c r="L1073" i="208"/>
  <c r="C1074" i="208"/>
  <c r="D1074" i="208"/>
  <c r="E1074" i="208"/>
  <c r="S1074" i="208" s="1"/>
  <c r="H1074" i="208"/>
  <c r="Q1074" i="208" s="1"/>
  <c r="I1074" i="208"/>
  <c r="J1074" i="208"/>
  <c r="L1074" i="208"/>
  <c r="C1075" i="208"/>
  <c r="D1075" i="208"/>
  <c r="E1075" i="208"/>
  <c r="S1075" i="208" s="1"/>
  <c r="H1075" i="208"/>
  <c r="Q1075" i="208" s="1"/>
  <c r="I1075" i="208"/>
  <c r="J1075" i="208"/>
  <c r="L1075" i="208"/>
  <c r="C1076" i="208"/>
  <c r="D1076" i="208"/>
  <c r="E1076" i="208"/>
  <c r="S1076" i="208" s="1"/>
  <c r="H1076" i="208"/>
  <c r="Q1076" i="208" s="1"/>
  <c r="I1076" i="208"/>
  <c r="J1076" i="208"/>
  <c r="L1076" i="208"/>
  <c r="C1077" i="208"/>
  <c r="D1077" i="208"/>
  <c r="E1077" i="208"/>
  <c r="S1077" i="208" s="1"/>
  <c r="H1077" i="208"/>
  <c r="Q1077" i="208" s="1"/>
  <c r="I1077" i="208"/>
  <c r="J1077" i="208"/>
  <c r="L1077" i="208"/>
  <c r="C1078" i="208"/>
  <c r="D1078" i="208"/>
  <c r="E1078" i="208"/>
  <c r="S1078" i="208" s="1"/>
  <c r="H1078" i="208"/>
  <c r="Q1078" i="208" s="1"/>
  <c r="I1078" i="208"/>
  <c r="J1078" i="208"/>
  <c r="L1078" i="208"/>
  <c r="C1079" i="208"/>
  <c r="D1079" i="208"/>
  <c r="E1079" i="208"/>
  <c r="S1079" i="208" s="1"/>
  <c r="H1079" i="208"/>
  <c r="Q1079" i="208" s="1"/>
  <c r="I1079" i="208"/>
  <c r="J1079" i="208"/>
  <c r="L1079" i="208"/>
  <c r="C1080" i="208"/>
  <c r="D1080" i="208"/>
  <c r="E1080" i="208"/>
  <c r="S1080" i="208" s="1"/>
  <c r="H1080" i="208"/>
  <c r="Q1080" i="208" s="1"/>
  <c r="I1080" i="208"/>
  <c r="J1080" i="208"/>
  <c r="L1080" i="208"/>
  <c r="C1081" i="208"/>
  <c r="D1081" i="208"/>
  <c r="E1081" i="208"/>
  <c r="S1081" i="208" s="1"/>
  <c r="H1081" i="208"/>
  <c r="Q1081" i="208" s="1"/>
  <c r="I1081" i="208"/>
  <c r="J1081" i="208"/>
  <c r="L1081" i="208"/>
  <c r="C1082" i="208"/>
  <c r="D1082" i="208"/>
  <c r="E1082" i="208"/>
  <c r="S1082" i="208" s="1"/>
  <c r="H1082" i="208"/>
  <c r="Q1082" i="208" s="1"/>
  <c r="I1082" i="208"/>
  <c r="J1082" i="208"/>
  <c r="L1082" i="208"/>
  <c r="C1083" i="208"/>
  <c r="D1083" i="208"/>
  <c r="E1083" i="208"/>
  <c r="S1083" i="208" s="1"/>
  <c r="H1083" i="208"/>
  <c r="Q1083" i="208" s="1"/>
  <c r="I1083" i="208"/>
  <c r="J1083" i="208"/>
  <c r="L1083" i="208"/>
  <c r="C1084" i="208"/>
  <c r="D1084" i="208"/>
  <c r="E1084" i="208"/>
  <c r="S1084" i="208" s="1"/>
  <c r="H1084" i="208"/>
  <c r="Q1084" i="208" s="1"/>
  <c r="I1084" i="208"/>
  <c r="J1084" i="208"/>
  <c r="L1084" i="208"/>
  <c r="C1085" i="208"/>
  <c r="D1085" i="208"/>
  <c r="E1085" i="208"/>
  <c r="S1085" i="208" s="1"/>
  <c r="H1085" i="208"/>
  <c r="Q1085" i="208" s="1"/>
  <c r="I1085" i="208"/>
  <c r="J1085" i="208"/>
  <c r="L1085" i="208"/>
  <c r="C1086" i="208"/>
  <c r="D1086" i="208"/>
  <c r="E1086" i="208"/>
  <c r="S1086" i="208" s="1"/>
  <c r="H1086" i="208"/>
  <c r="Q1086" i="208" s="1"/>
  <c r="I1086" i="208"/>
  <c r="J1086" i="208"/>
  <c r="L1086" i="208"/>
  <c r="C1087" i="208"/>
  <c r="D1087" i="208"/>
  <c r="E1087" i="208"/>
  <c r="S1087" i="208" s="1"/>
  <c r="H1087" i="208"/>
  <c r="Q1087" i="208" s="1"/>
  <c r="I1087" i="208"/>
  <c r="J1087" i="208"/>
  <c r="L1087" i="208"/>
  <c r="C1088" i="208"/>
  <c r="D1088" i="208"/>
  <c r="E1088" i="208"/>
  <c r="S1088" i="208" s="1"/>
  <c r="H1088" i="208"/>
  <c r="Q1088" i="208" s="1"/>
  <c r="I1088" i="208"/>
  <c r="J1088" i="208"/>
  <c r="L1088" i="208"/>
  <c r="C1089" i="208"/>
  <c r="D1089" i="208"/>
  <c r="E1089" i="208"/>
  <c r="S1089" i="208" s="1"/>
  <c r="H1089" i="208"/>
  <c r="Q1089" i="208" s="1"/>
  <c r="I1089" i="208"/>
  <c r="J1089" i="208"/>
  <c r="L1089" i="208"/>
  <c r="C1090" i="208"/>
  <c r="D1090" i="208"/>
  <c r="E1090" i="208"/>
  <c r="S1090" i="208" s="1"/>
  <c r="H1090" i="208"/>
  <c r="Q1090" i="208" s="1"/>
  <c r="I1090" i="208"/>
  <c r="J1090" i="208"/>
  <c r="L1090" i="208"/>
  <c r="C1091" i="208"/>
  <c r="D1091" i="208"/>
  <c r="E1091" i="208"/>
  <c r="S1091" i="208" s="1"/>
  <c r="H1091" i="208"/>
  <c r="Q1091" i="208" s="1"/>
  <c r="I1091" i="208"/>
  <c r="J1091" i="208"/>
  <c r="L1091" i="208"/>
  <c r="C1092" i="208"/>
  <c r="D1092" i="208"/>
  <c r="E1092" i="208"/>
  <c r="S1092" i="208" s="1"/>
  <c r="H1092" i="208"/>
  <c r="Q1092" i="208" s="1"/>
  <c r="I1092" i="208"/>
  <c r="J1092" i="208"/>
  <c r="L1092" i="208"/>
  <c r="C1093" i="208"/>
  <c r="D1093" i="208"/>
  <c r="E1093" i="208"/>
  <c r="S1093" i="208" s="1"/>
  <c r="H1093" i="208"/>
  <c r="Q1093" i="208" s="1"/>
  <c r="I1093" i="208"/>
  <c r="J1093" i="208"/>
  <c r="L1093" i="208"/>
  <c r="C1094" i="208"/>
  <c r="D1094" i="208"/>
  <c r="E1094" i="208"/>
  <c r="S1094" i="208" s="1"/>
  <c r="H1094" i="208"/>
  <c r="Q1094" i="208" s="1"/>
  <c r="I1094" i="208"/>
  <c r="J1094" i="208"/>
  <c r="L1094" i="208"/>
  <c r="C1095" i="208"/>
  <c r="D1095" i="208"/>
  <c r="E1095" i="208"/>
  <c r="S1095" i="208" s="1"/>
  <c r="H1095" i="208"/>
  <c r="Q1095" i="208" s="1"/>
  <c r="I1095" i="208"/>
  <c r="J1095" i="208"/>
  <c r="L1095" i="208"/>
  <c r="C1096" i="208"/>
  <c r="D1096" i="208"/>
  <c r="E1096" i="208"/>
  <c r="S1096" i="208" s="1"/>
  <c r="H1096" i="208"/>
  <c r="Q1096" i="208" s="1"/>
  <c r="I1096" i="208"/>
  <c r="J1096" i="208"/>
  <c r="L1096" i="208"/>
  <c r="C1097" i="208"/>
  <c r="D1097" i="208"/>
  <c r="E1097" i="208"/>
  <c r="S1097" i="208" s="1"/>
  <c r="H1097" i="208"/>
  <c r="Q1097" i="208" s="1"/>
  <c r="I1097" i="208"/>
  <c r="J1097" i="208"/>
  <c r="L1097" i="208"/>
  <c r="C1098" i="208"/>
  <c r="D1098" i="208"/>
  <c r="E1098" i="208"/>
  <c r="S1098" i="208" s="1"/>
  <c r="H1098" i="208"/>
  <c r="Q1098" i="208" s="1"/>
  <c r="I1098" i="208"/>
  <c r="J1098" i="208"/>
  <c r="L1098" i="208"/>
  <c r="C1099" i="208"/>
  <c r="D1099" i="208"/>
  <c r="E1099" i="208"/>
  <c r="S1099" i="208" s="1"/>
  <c r="H1099" i="208"/>
  <c r="Q1099" i="208" s="1"/>
  <c r="I1099" i="208"/>
  <c r="J1099" i="208"/>
  <c r="L1099" i="208"/>
  <c r="C1100" i="208"/>
  <c r="D1100" i="208"/>
  <c r="E1100" i="208"/>
  <c r="S1100" i="208" s="1"/>
  <c r="H1100" i="208"/>
  <c r="Q1100" i="208" s="1"/>
  <c r="I1100" i="208"/>
  <c r="J1100" i="208"/>
  <c r="L1100" i="208"/>
  <c r="C1101" i="208"/>
  <c r="D1101" i="208"/>
  <c r="E1101" i="208"/>
  <c r="S1101" i="208" s="1"/>
  <c r="H1101" i="208"/>
  <c r="Q1101" i="208" s="1"/>
  <c r="I1101" i="208"/>
  <c r="J1101" i="208"/>
  <c r="L1101" i="208"/>
  <c r="C1102" i="208"/>
  <c r="D1102" i="208"/>
  <c r="E1102" i="208"/>
  <c r="S1102" i="208" s="1"/>
  <c r="H1102" i="208"/>
  <c r="Q1102" i="208" s="1"/>
  <c r="I1102" i="208"/>
  <c r="J1102" i="208"/>
  <c r="L1102" i="208"/>
  <c r="C1103" i="208"/>
  <c r="D1103" i="208"/>
  <c r="E1103" i="208"/>
  <c r="S1103" i="208" s="1"/>
  <c r="H1103" i="208"/>
  <c r="Q1103" i="208" s="1"/>
  <c r="I1103" i="208"/>
  <c r="J1103" i="208"/>
  <c r="L1103" i="208"/>
  <c r="C1104" i="208"/>
  <c r="D1104" i="208"/>
  <c r="E1104" i="208"/>
  <c r="S1104" i="208" s="1"/>
  <c r="H1104" i="208"/>
  <c r="Q1104" i="208" s="1"/>
  <c r="I1104" i="208"/>
  <c r="J1104" i="208"/>
  <c r="L1104" i="208"/>
  <c r="C1105" i="208"/>
  <c r="D1105" i="208"/>
  <c r="E1105" i="208"/>
  <c r="S1105" i="208" s="1"/>
  <c r="H1105" i="208"/>
  <c r="Q1105" i="208" s="1"/>
  <c r="I1105" i="208"/>
  <c r="J1105" i="208"/>
  <c r="L1105" i="208"/>
  <c r="C1106" i="208"/>
  <c r="D1106" i="208"/>
  <c r="E1106" i="208"/>
  <c r="S1106" i="208" s="1"/>
  <c r="H1106" i="208"/>
  <c r="Q1106" i="208" s="1"/>
  <c r="I1106" i="208"/>
  <c r="J1106" i="208"/>
  <c r="L1106" i="208"/>
  <c r="C1107" i="208"/>
  <c r="D1107" i="208"/>
  <c r="E1107" i="208"/>
  <c r="S1107" i="208" s="1"/>
  <c r="H1107" i="208"/>
  <c r="Q1107" i="208" s="1"/>
  <c r="I1107" i="208"/>
  <c r="J1107" i="208"/>
  <c r="L1107" i="208"/>
  <c r="C1108" i="208"/>
  <c r="D1108" i="208"/>
  <c r="E1108" i="208"/>
  <c r="S1108" i="208" s="1"/>
  <c r="H1108" i="208"/>
  <c r="Q1108" i="208" s="1"/>
  <c r="I1108" i="208"/>
  <c r="J1108" i="208"/>
  <c r="L1108" i="208"/>
  <c r="C1109" i="208"/>
  <c r="D1109" i="208"/>
  <c r="E1109" i="208"/>
  <c r="S1109" i="208" s="1"/>
  <c r="H1109" i="208"/>
  <c r="Q1109" i="208" s="1"/>
  <c r="I1109" i="208"/>
  <c r="J1109" i="208"/>
  <c r="L1109" i="208"/>
  <c r="C1110" i="208"/>
  <c r="D1110" i="208"/>
  <c r="E1110" i="208"/>
  <c r="S1110" i="208" s="1"/>
  <c r="H1110" i="208"/>
  <c r="Q1110" i="208" s="1"/>
  <c r="I1110" i="208"/>
  <c r="J1110" i="208"/>
  <c r="L1110" i="208"/>
  <c r="C1111" i="208"/>
  <c r="D1111" i="208"/>
  <c r="E1111" i="208"/>
  <c r="S1111" i="208" s="1"/>
  <c r="H1111" i="208"/>
  <c r="Q1111" i="208" s="1"/>
  <c r="I1111" i="208"/>
  <c r="J1111" i="208"/>
  <c r="L1111" i="208"/>
  <c r="C1112" i="208"/>
  <c r="D1112" i="208"/>
  <c r="E1112" i="208"/>
  <c r="S1112" i="208" s="1"/>
  <c r="H1112" i="208"/>
  <c r="Q1112" i="208" s="1"/>
  <c r="I1112" i="208"/>
  <c r="J1112" i="208"/>
  <c r="L1112" i="208"/>
  <c r="C1113" i="208"/>
  <c r="D1113" i="208"/>
  <c r="E1113" i="208"/>
  <c r="S1113" i="208" s="1"/>
  <c r="H1113" i="208"/>
  <c r="Q1113" i="208" s="1"/>
  <c r="I1113" i="208"/>
  <c r="J1113" i="208"/>
  <c r="L1113" i="208"/>
  <c r="C1114" i="208"/>
  <c r="D1114" i="208"/>
  <c r="E1114" i="208"/>
  <c r="S1114" i="208" s="1"/>
  <c r="H1114" i="208"/>
  <c r="Q1114" i="208" s="1"/>
  <c r="I1114" i="208"/>
  <c r="J1114" i="208"/>
  <c r="L1114" i="208"/>
  <c r="C1115" i="208"/>
  <c r="D1115" i="208"/>
  <c r="E1115" i="208"/>
  <c r="S1115" i="208" s="1"/>
  <c r="H1115" i="208"/>
  <c r="Q1115" i="208" s="1"/>
  <c r="I1115" i="208"/>
  <c r="J1115" i="208"/>
  <c r="L1115" i="208"/>
  <c r="C1116" i="208"/>
  <c r="D1116" i="208"/>
  <c r="E1116" i="208"/>
  <c r="S1116" i="208" s="1"/>
  <c r="H1116" i="208"/>
  <c r="Q1116" i="208" s="1"/>
  <c r="I1116" i="208"/>
  <c r="J1116" i="208"/>
  <c r="L1116" i="208"/>
  <c r="C1117" i="208"/>
  <c r="D1117" i="208"/>
  <c r="E1117" i="208"/>
  <c r="S1117" i="208" s="1"/>
  <c r="H1117" i="208"/>
  <c r="Q1117" i="208" s="1"/>
  <c r="I1117" i="208"/>
  <c r="J1117" i="208"/>
  <c r="L1117" i="208"/>
  <c r="C1118" i="208"/>
  <c r="D1118" i="208"/>
  <c r="E1118" i="208"/>
  <c r="S1118" i="208" s="1"/>
  <c r="H1118" i="208"/>
  <c r="Q1118" i="208" s="1"/>
  <c r="I1118" i="208"/>
  <c r="J1118" i="208"/>
  <c r="L1118" i="208"/>
  <c r="C1119" i="208"/>
  <c r="D1119" i="208"/>
  <c r="E1119" i="208"/>
  <c r="S1119" i="208" s="1"/>
  <c r="H1119" i="208"/>
  <c r="Q1119" i="208" s="1"/>
  <c r="I1119" i="208"/>
  <c r="J1119" i="208"/>
  <c r="L1119" i="208"/>
  <c r="C1120" i="208"/>
  <c r="D1120" i="208"/>
  <c r="E1120" i="208"/>
  <c r="S1120" i="208" s="1"/>
  <c r="H1120" i="208"/>
  <c r="Q1120" i="208" s="1"/>
  <c r="I1120" i="208"/>
  <c r="J1120" i="208"/>
  <c r="L1120" i="208"/>
  <c r="C1121" i="208"/>
  <c r="D1121" i="208"/>
  <c r="E1121" i="208"/>
  <c r="S1121" i="208" s="1"/>
  <c r="H1121" i="208"/>
  <c r="Q1121" i="208" s="1"/>
  <c r="I1121" i="208"/>
  <c r="J1121" i="208"/>
  <c r="L1121" i="208"/>
  <c r="C1122" i="208"/>
  <c r="D1122" i="208"/>
  <c r="E1122" i="208"/>
  <c r="S1122" i="208" s="1"/>
  <c r="H1122" i="208"/>
  <c r="Q1122" i="208" s="1"/>
  <c r="I1122" i="208"/>
  <c r="J1122" i="208"/>
  <c r="L1122" i="208"/>
  <c r="C1123" i="208"/>
  <c r="D1123" i="208"/>
  <c r="E1123" i="208"/>
  <c r="S1123" i="208" s="1"/>
  <c r="H1123" i="208"/>
  <c r="Q1123" i="208" s="1"/>
  <c r="I1123" i="208"/>
  <c r="J1123" i="208"/>
  <c r="L1123" i="208"/>
  <c r="C1124" i="208"/>
  <c r="D1124" i="208"/>
  <c r="E1124" i="208"/>
  <c r="S1124" i="208" s="1"/>
  <c r="H1124" i="208"/>
  <c r="Q1124" i="208" s="1"/>
  <c r="I1124" i="208"/>
  <c r="J1124" i="208"/>
  <c r="L1124" i="208"/>
  <c r="C1125" i="208"/>
  <c r="D1125" i="208"/>
  <c r="E1125" i="208"/>
  <c r="S1125" i="208" s="1"/>
  <c r="H1125" i="208"/>
  <c r="Q1125" i="208" s="1"/>
  <c r="I1125" i="208"/>
  <c r="J1125" i="208"/>
  <c r="L1125" i="208"/>
  <c r="C1126" i="208"/>
  <c r="D1126" i="208"/>
  <c r="E1126" i="208"/>
  <c r="S1126" i="208" s="1"/>
  <c r="H1126" i="208"/>
  <c r="Q1126" i="208" s="1"/>
  <c r="I1126" i="208"/>
  <c r="J1126" i="208"/>
  <c r="L1126" i="208"/>
  <c r="C1127" i="208"/>
  <c r="D1127" i="208"/>
  <c r="E1127" i="208"/>
  <c r="S1127" i="208" s="1"/>
  <c r="H1127" i="208"/>
  <c r="Q1127" i="208" s="1"/>
  <c r="I1127" i="208"/>
  <c r="J1127" i="208"/>
  <c r="L1127" i="208"/>
  <c r="C1128" i="208"/>
  <c r="D1128" i="208"/>
  <c r="E1128" i="208"/>
  <c r="S1128" i="208" s="1"/>
  <c r="H1128" i="208"/>
  <c r="Q1128" i="208" s="1"/>
  <c r="I1128" i="208"/>
  <c r="J1128" i="208"/>
  <c r="L1128" i="208"/>
  <c r="C1129" i="208"/>
  <c r="D1129" i="208"/>
  <c r="E1129" i="208"/>
  <c r="S1129" i="208" s="1"/>
  <c r="H1129" i="208"/>
  <c r="Q1129" i="208" s="1"/>
  <c r="I1129" i="208"/>
  <c r="J1129" i="208"/>
  <c r="L1129" i="208"/>
  <c r="C1130" i="208"/>
  <c r="D1130" i="208"/>
  <c r="E1130" i="208"/>
  <c r="S1130" i="208" s="1"/>
  <c r="H1130" i="208"/>
  <c r="Q1130" i="208" s="1"/>
  <c r="I1130" i="208"/>
  <c r="J1130" i="208"/>
  <c r="L1130" i="208"/>
  <c r="C1131" i="208"/>
  <c r="D1131" i="208"/>
  <c r="E1131" i="208"/>
  <c r="S1131" i="208" s="1"/>
  <c r="H1131" i="208"/>
  <c r="Q1131" i="208" s="1"/>
  <c r="I1131" i="208"/>
  <c r="J1131" i="208"/>
  <c r="L1131" i="208"/>
  <c r="C1132" i="208"/>
  <c r="D1132" i="208"/>
  <c r="E1132" i="208"/>
  <c r="S1132" i="208" s="1"/>
  <c r="H1132" i="208"/>
  <c r="Q1132" i="208" s="1"/>
  <c r="I1132" i="208"/>
  <c r="J1132" i="208"/>
  <c r="L1132" i="208"/>
  <c r="C1133" i="208"/>
  <c r="D1133" i="208"/>
  <c r="E1133" i="208"/>
  <c r="S1133" i="208" s="1"/>
  <c r="H1133" i="208"/>
  <c r="Q1133" i="208" s="1"/>
  <c r="I1133" i="208"/>
  <c r="J1133" i="208"/>
  <c r="L1133" i="208"/>
  <c r="C1134" i="208"/>
  <c r="D1134" i="208"/>
  <c r="E1134" i="208"/>
  <c r="S1134" i="208" s="1"/>
  <c r="H1134" i="208"/>
  <c r="Q1134" i="208" s="1"/>
  <c r="I1134" i="208"/>
  <c r="J1134" i="208"/>
  <c r="L1134" i="208"/>
  <c r="C1135" i="208"/>
  <c r="D1135" i="208"/>
  <c r="E1135" i="208"/>
  <c r="S1135" i="208" s="1"/>
  <c r="H1135" i="208"/>
  <c r="Q1135" i="208" s="1"/>
  <c r="I1135" i="208"/>
  <c r="J1135" i="208"/>
  <c r="L1135" i="208"/>
  <c r="C1136" i="208"/>
  <c r="D1136" i="208"/>
  <c r="E1136" i="208"/>
  <c r="S1136" i="208" s="1"/>
  <c r="H1136" i="208"/>
  <c r="Q1136" i="208" s="1"/>
  <c r="I1136" i="208"/>
  <c r="J1136" i="208"/>
  <c r="L1136" i="208"/>
  <c r="C1137" i="208"/>
  <c r="D1137" i="208"/>
  <c r="E1137" i="208"/>
  <c r="S1137" i="208" s="1"/>
  <c r="H1137" i="208"/>
  <c r="Q1137" i="208" s="1"/>
  <c r="I1137" i="208"/>
  <c r="J1137" i="208"/>
  <c r="L1137" i="208"/>
  <c r="C1138" i="208"/>
  <c r="D1138" i="208"/>
  <c r="E1138" i="208"/>
  <c r="S1138" i="208" s="1"/>
  <c r="H1138" i="208"/>
  <c r="Q1138" i="208" s="1"/>
  <c r="I1138" i="208"/>
  <c r="J1138" i="208"/>
  <c r="L1138" i="208"/>
  <c r="C1139" i="208"/>
  <c r="D1139" i="208"/>
  <c r="E1139" i="208"/>
  <c r="S1139" i="208" s="1"/>
  <c r="H1139" i="208"/>
  <c r="Q1139" i="208" s="1"/>
  <c r="I1139" i="208"/>
  <c r="J1139" i="208"/>
  <c r="L1139" i="208"/>
  <c r="C1140" i="208"/>
  <c r="D1140" i="208"/>
  <c r="E1140" i="208"/>
  <c r="S1140" i="208" s="1"/>
  <c r="H1140" i="208"/>
  <c r="Q1140" i="208" s="1"/>
  <c r="I1140" i="208"/>
  <c r="J1140" i="208"/>
  <c r="L1140" i="208"/>
  <c r="C1141" i="208"/>
  <c r="D1141" i="208"/>
  <c r="E1141" i="208"/>
  <c r="S1141" i="208" s="1"/>
  <c r="H1141" i="208"/>
  <c r="Q1141" i="208" s="1"/>
  <c r="I1141" i="208"/>
  <c r="J1141" i="208"/>
  <c r="L1141" i="208"/>
  <c r="C1142" i="208"/>
  <c r="D1142" i="208"/>
  <c r="E1142" i="208"/>
  <c r="S1142" i="208" s="1"/>
  <c r="H1142" i="208"/>
  <c r="Q1142" i="208" s="1"/>
  <c r="I1142" i="208"/>
  <c r="J1142" i="208"/>
  <c r="L1142" i="208"/>
  <c r="C1143" i="208"/>
  <c r="D1143" i="208"/>
  <c r="E1143" i="208"/>
  <c r="S1143" i="208" s="1"/>
  <c r="H1143" i="208"/>
  <c r="Q1143" i="208" s="1"/>
  <c r="I1143" i="208"/>
  <c r="J1143" i="208"/>
  <c r="L1143" i="208"/>
  <c r="C1144" i="208"/>
  <c r="D1144" i="208"/>
  <c r="E1144" i="208"/>
  <c r="S1144" i="208" s="1"/>
  <c r="H1144" i="208"/>
  <c r="Q1144" i="208" s="1"/>
  <c r="I1144" i="208"/>
  <c r="J1144" i="208"/>
  <c r="L1144" i="208"/>
  <c r="C1145" i="208"/>
  <c r="D1145" i="208"/>
  <c r="E1145" i="208"/>
  <c r="S1145" i="208" s="1"/>
  <c r="H1145" i="208"/>
  <c r="Q1145" i="208" s="1"/>
  <c r="I1145" i="208"/>
  <c r="J1145" i="208"/>
  <c r="L1145" i="208"/>
  <c r="C1146" i="208"/>
  <c r="D1146" i="208"/>
  <c r="E1146" i="208"/>
  <c r="S1146" i="208" s="1"/>
  <c r="H1146" i="208"/>
  <c r="Q1146" i="208" s="1"/>
  <c r="I1146" i="208"/>
  <c r="J1146" i="208"/>
  <c r="L1146" i="208"/>
  <c r="C1147" i="208"/>
  <c r="D1147" i="208"/>
  <c r="E1147" i="208"/>
  <c r="S1147" i="208" s="1"/>
  <c r="H1147" i="208"/>
  <c r="Q1147" i="208" s="1"/>
  <c r="I1147" i="208"/>
  <c r="J1147" i="208"/>
  <c r="L1147" i="208"/>
  <c r="C1148" i="208"/>
  <c r="D1148" i="208"/>
  <c r="E1148" i="208"/>
  <c r="S1148" i="208" s="1"/>
  <c r="H1148" i="208"/>
  <c r="Q1148" i="208" s="1"/>
  <c r="I1148" i="208"/>
  <c r="J1148" i="208"/>
  <c r="L1148" i="208"/>
  <c r="C1149" i="208"/>
  <c r="D1149" i="208"/>
  <c r="E1149" i="208"/>
  <c r="S1149" i="208" s="1"/>
  <c r="H1149" i="208"/>
  <c r="Q1149" i="208" s="1"/>
  <c r="I1149" i="208"/>
  <c r="J1149" i="208"/>
  <c r="L1149" i="208"/>
  <c r="C1150" i="208"/>
  <c r="D1150" i="208"/>
  <c r="E1150" i="208"/>
  <c r="S1150" i="208" s="1"/>
  <c r="H1150" i="208"/>
  <c r="Q1150" i="208" s="1"/>
  <c r="I1150" i="208"/>
  <c r="J1150" i="208"/>
  <c r="L1150" i="208"/>
  <c r="C1151" i="208"/>
  <c r="D1151" i="208"/>
  <c r="E1151" i="208"/>
  <c r="S1151" i="208" s="1"/>
  <c r="H1151" i="208"/>
  <c r="Q1151" i="208" s="1"/>
  <c r="I1151" i="208"/>
  <c r="J1151" i="208"/>
  <c r="L1151" i="208"/>
  <c r="C1152" i="208"/>
  <c r="D1152" i="208"/>
  <c r="E1152" i="208"/>
  <c r="S1152" i="208" s="1"/>
  <c r="H1152" i="208"/>
  <c r="Q1152" i="208" s="1"/>
  <c r="I1152" i="208"/>
  <c r="J1152" i="208"/>
  <c r="L1152" i="208"/>
  <c r="C1153" i="208"/>
  <c r="D1153" i="208"/>
  <c r="E1153" i="208"/>
  <c r="S1153" i="208" s="1"/>
  <c r="H1153" i="208"/>
  <c r="Q1153" i="208" s="1"/>
  <c r="I1153" i="208"/>
  <c r="J1153" i="208"/>
  <c r="L1153" i="208"/>
  <c r="C1154" i="208"/>
  <c r="D1154" i="208"/>
  <c r="E1154" i="208"/>
  <c r="S1154" i="208" s="1"/>
  <c r="H1154" i="208"/>
  <c r="Q1154" i="208" s="1"/>
  <c r="I1154" i="208"/>
  <c r="J1154" i="208"/>
  <c r="L1154" i="208"/>
  <c r="C1155" i="208"/>
  <c r="D1155" i="208"/>
  <c r="E1155" i="208"/>
  <c r="S1155" i="208" s="1"/>
  <c r="H1155" i="208"/>
  <c r="Q1155" i="208" s="1"/>
  <c r="I1155" i="208"/>
  <c r="J1155" i="208"/>
  <c r="L1155" i="208"/>
  <c r="C1156" i="208"/>
  <c r="D1156" i="208"/>
  <c r="E1156" i="208"/>
  <c r="S1156" i="208" s="1"/>
  <c r="H1156" i="208"/>
  <c r="Q1156" i="208" s="1"/>
  <c r="I1156" i="208"/>
  <c r="J1156" i="208"/>
  <c r="L1156" i="208"/>
  <c r="C1157" i="208"/>
  <c r="D1157" i="208"/>
  <c r="E1157" i="208"/>
  <c r="S1157" i="208" s="1"/>
  <c r="H1157" i="208"/>
  <c r="Q1157" i="208" s="1"/>
  <c r="I1157" i="208"/>
  <c r="J1157" i="208"/>
  <c r="L1157" i="208"/>
  <c r="C1158" i="208"/>
  <c r="D1158" i="208"/>
  <c r="E1158" i="208"/>
  <c r="S1158" i="208" s="1"/>
  <c r="H1158" i="208"/>
  <c r="Q1158" i="208" s="1"/>
  <c r="I1158" i="208"/>
  <c r="J1158" i="208"/>
  <c r="L1158" i="208"/>
  <c r="C1159" i="208"/>
  <c r="D1159" i="208"/>
  <c r="E1159" i="208"/>
  <c r="S1159" i="208" s="1"/>
  <c r="H1159" i="208"/>
  <c r="Q1159" i="208" s="1"/>
  <c r="I1159" i="208"/>
  <c r="J1159" i="208"/>
  <c r="L1159" i="208"/>
  <c r="C1160" i="208"/>
  <c r="D1160" i="208"/>
  <c r="E1160" i="208"/>
  <c r="S1160" i="208" s="1"/>
  <c r="H1160" i="208"/>
  <c r="Q1160" i="208" s="1"/>
  <c r="I1160" i="208"/>
  <c r="J1160" i="208"/>
  <c r="L1160" i="208"/>
  <c r="C1161" i="208"/>
  <c r="D1161" i="208"/>
  <c r="E1161" i="208"/>
  <c r="S1161" i="208" s="1"/>
  <c r="H1161" i="208"/>
  <c r="Q1161" i="208" s="1"/>
  <c r="I1161" i="208"/>
  <c r="J1161" i="208"/>
  <c r="L1161" i="208"/>
  <c r="C1162" i="208"/>
  <c r="D1162" i="208"/>
  <c r="E1162" i="208"/>
  <c r="S1162" i="208" s="1"/>
  <c r="H1162" i="208"/>
  <c r="Q1162" i="208" s="1"/>
  <c r="I1162" i="208"/>
  <c r="J1162" i="208"/>
  <c r="L1162" i="208"/>
  <c r="C1163" i="208"/>
  <c r="D1163" i="208"/>
  <c r="E1163" i="208"/>
  <c r="S1163" i="208" s="1"/>
  <c r="H1163" i="208"/>
  <c r="Q1163" i="208" s="1"/>
  <c r="I1163" i="208"/>
  <c r="J1163" i="208"/>
  <c r="L1163" i="208"/>
  <c r="C1164" i="208"/>
  <c r="D1164" i="208"/>
  <c r="E1164" i="208"/>
  <c r="S1164" i="208" s="1"/>
  <c r="H1164" i="208"/>
  <c r="Q1164" i="208" s="1"/>
  <c r="I1164" i="208"/>
  <c r="J1164" i="208"/>
  <c r="L1164" i="208"/>
  <c r="C1165" i="208"/>
  <c r="D1165" i="208"/>
  <c r="E1165" i="208"/>
  <c r="S1165" i="208" s="1"/>
  <c r="H1165" i="208"/>
  <c r="Q1165" i="208" s="1"/>
  <c r="I1165" i="208"/>
  <c r="J1165" i="208"/>
  <c r="L1165" i="208"/>
  <c r="C1166" i="208"/>
  <c r="D1166" i="208"/>
  <c r="E1166" i="208"/>
  <c r="S1166" i="208" s="1"/>
  <c r="H1166" i="208"/>
  <c r="Q1166" i="208" s="1"/>
  <c r="I1166" i="208"/>
  <c r="J1166" i="208"/>
  <c r="L1166" i="208"/>
  <c r="C1167" i="208"/>
  <c r="D1167" i="208"/>
  <c r="E1167" i="208"/>
  <c r="S1167" i="208" s="1"/>
  <c r="H1167" i="208"/>
  <c r="Q1167" i="208" s="1"/>
  <c r="I1167" i="208"/>
  <c r="J1167" i="208"/>
  <c r="L1167" i="208"/>
  <c r="C1168" i="208"/>
  <c r="D1168" i="208"/>
  <c r="E1168" i="208"/>
  <c r="S1168" i="208" s="1"/>
  <c r="H1168" i="208"/>
  <c r="Q1168" i="208" s="1"/>
  <c r="I1168" i="208"/>
  <c r="J1168" i="208"/>
  <c r="L1168" i="208"/>
  <c r="C1169" i="208"/>
  <c r="D1169" i="208"/>
  <c r="E1169" i="208"/>
  <c r="S1169" i="208" s="1"/>
  <c r="H1169" i="208"/>
  <c r="Q1169" i="208" s="1"/>
  <c r="I1169" i="208"/>
  <c r="J1169" i="208"/>
  <c r="L1169" i="208"/>
  <c r="C1170" i="208"/>
  <c r="D1170" i="208"/>
  <c r="E1170" i="208"/>
  <c r="S1170" i="208" s="1"/>
  <c r="H1170" i="208"/>
  <c r="Q1170" i="208" s="1"/>
  <c r="I1170" i="208"/>
  <c r="J1170" i="208"/>
  <c r="L1170" i="208"/>
  <c r="C1171" i="208"/>
  <c r="D1171" i="208"/>
  <c r="E1171" i="208"/>
  <c r="S1171" i="208" s="1"/>
  <c r="H1171" i="208"/>
  <c r="Q1171" i="208" s="1"/>
  <c r="I1171" i="208"/>
  <c r="J1171" i="208"/>
  <c r="L1171" i="208"/>
  <c r="C1172" i="208"/>
  <c r="D1172" i="208"/>
  <c r="E1172" i="208"/>
  <c r="S1172" i="208" s="1"/>
  <c r="H1172" i="208"/>
  <c r="Q1172" i="208" s="1"/>
  <c r="I1172" i="208"/>
  <c r="J1172" i="208"/>
  <c r="L1172" i="208"/>
  <c r="C1173" i="208"/>
  <c r="D1173" i="208"/>
  <c r="E1173" i="208"/>
  <c r="S1173" i="208" s="1"/>
  <c r="H1173" i="208"/>
  <c r="Q1173" i="208" s="1"/>
  <c r="I1173" i="208"/>
  <c r="J1173" i="208"/>
  <c r="L1173" i="208"/>
  <c r="C1174" i="208"/>
  <c r="D1174" i="208"/>
  <c r="E1174" i="208"/>
  <c r="S1174" i="208" s="1"/>
  <c r="H1174" i="208"/>
  <c r="Q1174" i="208" s="1"/>
  <c r="I1174" i="208"/>
  <c r="J1174" i="208"/>
  <c r="L1174" i="208"/>
  <c r="C1175" i="208"/>
  <c r="D1175" i="208"/>
  <c r="E1175" i="208"/>
  <c r="S1175" i="208" s="1"/>
  <c r="H1175" i="208"/>
  <c r="Q1175" i="208" s="1"/>
  <c r="I1175" i="208"/>
  <c r="J1175" i="208"/>
  <c r="L1175" i="208"/>
  <c r="C1176" i="208"/>
  <c r="D1176" i="208"/>
  <c r="E1176" i="208"/>
  <c r="S1176" i="208" s="1"/>
  <c r="H1176" i="208"/>
  <c r="Q1176" i="208" s="1"/>
  <c r="I1176" i="208"/>
  <c r="J1176" i="208"/>
  <c r="L1176" i="208"/>
  <c r="C1177" i="208"/>
  <c r="D1177" i="208"/>
  <c r="E1177" i="208"/>
  <c r="S1177" i="208" s="1"/>
  <c r="H1177" i="208"/>
  <c r="Q1177" i="208" s="1"/>
  <c r="I1177" i="208"/>
  <c r="J1177" i="208"/>
  <c r="L1177" i="208"/>
  <c r="C1178" i="208"/>
  <c r="D1178" i="208"/>
  <c r="E1178" i="208"/>
  <c r="S1178" i="208" s="1"/>
  <c r="H1178" i="208"/>
  <c r="Q1178" i="208" s="1"/>
  <c r="I1178" i="208"/>
  <c r="J1178" i="208"/>
  <c r="L1178" i="208"/>
  <c r="C1179" i="208"/>
  <c r="D1179" i="208"/>
  <c r="E1179" i="208"/>
  <c r="S1179" i="208" s="1"/>
  <c r="H1179" i="208"/>
  <c r="Q1179" i="208" s="1"/>
  <c r="I1179" i="208"/>
  <c r="J1179" i="208"/>
  <c r="L1179" i="208"/>
  <c r="C1180" i="208"/>
  <c r="D1180" i="208"/>
  <c r="E1180" i="208"/>
  <c r="S1180" i="208" s="1"/>
  <c r="H1180" i="208"/>
  <c r="Q1180" i="208" s="1"/>
  <c r="I1180" i="208"/>
  <c r="J1180" i="208"/>
  <c r="L1180" i="208"/>
  <c r="C1181" i="208"/>
  <c r="D1181" i="208"/>
  <c r="E1181" i="208"/>
  <c r="S1181" i="208" s="1"/>
  <c r="H1181" i="208"/>
  <c r="Q1181" i="208" s="1"/>
  <c r="I1181" i="208"/>
  <c r="J1181" i="208"/>
  <c r="L1181" i="208"/>
  <c r="C1182" i="208"/>
  <c r="D1182" i="208"/>
  <c r="E1182" i="208"/>
  <c r="S1182" i="208" s="1"/>
  <c r="H1182" i="208"/>
  <c r="Q1182" i="208" s="1"/>
  <c r="I1182" i="208"/>
  <c r="J1182" i="208"/>
  <c r="L1182" i="208"/>
  <c r="C1183" i="208"/>
  <c r="D1183" i="208"/>
  <c r="E1183" i="208"/>
  <c r="S1183" i="208" s="1"/>
  <c r="H1183" i="208"/>
  <c r="Q1183" i="208" s="1"/>
  <c r="I1183" i="208"/>
  <c r="J1183" i="208"/>
  <c r="L1183" i="208"/>
  <c r="C1184" i="208"/>
  <c r="D1184" i="208"/>
  <c r="E1184" i="208"/>
  <c r="S1184" i="208" s="1"/>
  <c r="H1184" i="208"/>
  <c r="Q1184" i="208" s="1"/>
  <c r="I1184" i="208"/>
  <c r="J1184" i="208"/>
  <c r="L1184" i="208"/>
  <c r="C1185" i="208"/>
  <c r="D1185" i="208"/>
  <c r="E1185" i="208"/>
  <c r="S1185" i="208" s="1"/>
  <c r="H1185" i="208"/>
  <c r="Q1185" i="208" s="1"/>
  <c r="I1185" i="208"/>
  <c r="J1185" i="208"/>
  <c r="L1185" i="208"/>
  <c r="C1186" i="208"/>
  <c r="D1186" i="208"/>
  <c r="E1186" i="208"/>
  <c r="S1186" i="208" s="1"/>
  <c r="H1186" i="208"/>
  <c r="Q1186" i="208" s="1"/>
  <c r="I1186" i="208"/>
  <c r="J1186" i="208"/>
  <c r="L1186" i="208"/>
  <c r="C1187" i="208"/>
  <c r="D1187" i="208"/>
  <c r="E1187" i="208"/>
  <c r="S1187" i="208" s="1"/>
  <c r="H1187" i="208"/>
  <c r="Q1187" i="208" s="1"/>
  <c r="I1187" i="208"/>
  <c r="J1187" i="208"/>
  <c r="L1187" i="208"/>
  <c r="C1188" i="208"/>
  <c r="D1188" i="208"/>
  <c r="E1188" i="208"/>
  <c r="S1188" i="208" s="1"/>
  <c r="H1188" i="208"/>
  <c r="Q1188" i="208" s="1"/>
  <c r="I1188" i="208"/>
  <c r="J1188" i="208"/>
  <c r="L1188" i="208"/>
  <c r="C1189" i="208"/>
  <c r="D1189" i="208"/>
  <c r="E1189" i="208"/>
  <c r="S1189" i="208" s="1"/>
  <c r="H1189" i="208"/>
  <c r="Q1189" i="208" s="1"/>
  <c r="I1189" i="208"/>
  <c r="J1189" i="208"/>
  <c r="L1189" i="208"/>
  <c r="C1190" i="208"/>
  <c r="D1190" i="208"/>
  <c r="E1190" i="208"/>
  <c r="S1190" i="208" s="1"/>
  <c r="H1190" i="208"/>
  <c r="Q1190" i="208" s="1"/>
  <c r="I1190" i="208"/>
  <c r="J1190" i="208"/>
  <c r="L1190" i="208"/>
  <c r="C1191" i="208"/>
  <c r="D1191" i="208"/>
  <c r="E1191" i="208"/>
  <c r="S1191" i="208" s="1"/>
  <c r="H1191" i="208"/>
  <c r="Q1191" i="208" s="1"/>
  <c r="I1191" i="208"/>
  <c r="J1191" i="208"/>
  <c r="L1191" i="208"/>
  <c r="C1192" i="208"/>
  <c r="D1192" i="208"/>
  <c r="E1192" i="208"/>
  <c r="S1192" i="208" s="1"/>
  <c r="H1192" i="208"/>
  <c r="Q1192" i="208" s="1"/>
  <c r="I1192" i="208"/>
  <c r="J1192" i="208"/>
  <c r="L1192" i="208"/>
  <c r="C1193" i="208"/>
  <c r="D1193" i="208"/>
  <c r="E1193" i="208"/>
  <c r="S1193" i="208" s="1"/>
  <c r="H1193" i="208"/>
  <c r="Q1193" i="208" s="1"/>
  <c r="I1193" i="208"/>
  <c r="J1193" i="208"/>
  <c r="L1193" i="208"/>
  <c r="C1194" i="208"/>
  <c r="D1194" i="208"/>
  <c r="E1194" i="208"/>
  <c r="S1194" i="208" s="1"/>
  <c r="H1194" i="208"/>
  <c r="Q1194" i="208" s="1"/>
  <c r="I1194" i="208"/>
  <c r="J1194" i="208"/>
  <c r="L1194" i="208"/>
  <c r="C1195" i="208"/>
  <c r="D1195" i="208"/>
  <c r="E1195" i="208"/>
  <c r="S1195" i="208" s="1"/>
  <c r="H1195" i="208"/>
  <c r="Q1195" i="208" s="1"/>
  <c r="I1195" i="208"/>
  <c r="J1195" i="208"/>
  <c r="L1195" i="208"/>
  <c r="C1196" i="208"/>
  <c r="D1196" i="208"/>
  <c r="E1196" i="208"/>
  <c r="S1196" i="208" s="1"/>
  <c r="H1196" i="208"/>
  <c r="Q1196" i="208" s="1"/>
  <c r="I1196" i="208"/>
  <c r="J1196" i="208"/>
  <c r="L1196" i="208"/>
  <c r="C1197" i="208"/>
  <c r="D1197" i="208"/>
  <c r="E1197" i="208"/>
  <c r="S1197" i="208" s="1"/>
  <c r="H1197" i="208"/>
  <c r="Q1197" i="208" s="1"/>
  <c r="I1197" i="208"/>
  <c r="J1197" i="208"/>
  <c r="L1197" i="208"/>
  <c r="C1198" i="208"/>
  <c r="D1198" i="208"/>
  <c r="E1198" i="208"/>
  <c r="S1198" i="208" s="1"/>
  <c r="H1198" i="208"/>
  <c r="Q1198" i="208" s="1"/>
  <c r="I1198" i="208"/>
  <c r="J1198" i="208"/>
  <c r="L1198" i="208"/>
  <c r="C1199" i="208"/>
  <c r="D1199" i="208"/>
  <c r="E1199" i="208"/>
  <c r="S1199" i="208" s="1"/>
  <c r="H1199" i="208"/>
  <c r="Q1199" i="208" s="1"/>
  <c r="I1199" i="208"/>
  <c r="J1199" i="208"/>
  <c r="L1199" i="208"/>
  <c r="C1200" i="208"/>
  <c r="D1200" i="208"/>
  <c r="E1200" i="208"/>
  <c r="S1200" i="208" s="1"/>
  <c r="H1200" i="208"/>
  <c r="Q1200" i="208" s="1"/>
  <c r="I1200" i="208"/>
  <c r="J1200" i="208"/>
  <c r="L1200" i="208"/>
  <c r="C1201" i="208"/>
  <c r="D1201" i="208"/>
  <c r="E1201" i="208"/>
  <c r="S1201" i="208" s="1"/>
  <c r="H1201" i="208"/>
  <c r="Q1201" i="208" s="1"/>
  <c r="I1201" i="208"/>
  <c r="J1201" i="208"/>
  <c r="L1201" i="208"/>
  <c r="C1202" i="208"/>
  <c r="D1202" i="208"/>
  <c r="E1202" i="208"/>
  <c r="S1202" i="208" s="1"/>
  <c r="H1202" i="208"/>
  <c r="Q1202" i="208" s="1"/>
  <c r="I1202" i="208"/>
  <c r="J1202" i="208"/>
  <c r="L1202" i="208"/>
  <c r="C1203" i="208"/>
  <c r="D1203" i="208"/>
  <c r="E1203" i="208"/>
  <c r="S1203" i="208" s="1"/>
  <c r="H1203" i="208"/>
  <c r="Q1203" i="208" s="1"/>
  <c r="I1203" i="208"/>
  <c r="J1203" i="208"/>
  <c r="L1203" i="208"/>
  <c r="C1204" i="208"/>
  <c r="D1204" i="208"/>
  <c r="E1204" i="208"/>
  <c r="S1204" i="208" s="1"/>
  <c r="H1204" i="208"/>
  <c r="Q1204" i="208" s="1"/>
  <c r="I1204" i="208"/>
  <c r="J1204" i="208"/>
  <c r="L1204" i="208"/>
  <c r="C1205" i="208"/>
  <c r="D1205" i="208"/>
  <c r="E1205" i="208"/>
  <c r="S1205" i="208" s="1"/>
  <c r="H1205" i="208"/>
  <c r="Q1205" i="208" s="1"/>
  <c r="I1205" i="208"/>
  <c r="J1205" i="208"/>
  <c r="L1205" i="208"/>
  <c r="C1206" i="208"/>
  <c r="D1206" i="208"/>
  <c r="E1206" i="208"/>
  <c r="S1206" i="208" s="1"/>
  <c r="H1206" i="208"/>
  <c r="Q1206" i="208" s="1"/>
  <c r="I1206" i="208"/>
  <c r="J1206" i="208"/>
  <c r="L1206" i="208"/>
  <c r="C1207" i="208"/>
  <c r="D1207" i="208"/>
  <c r="E1207" i="208"/>
  <c r="S1207" i="208" s="1"/>
  <c r="H1207" i="208"/>
  <c r="Q1207" i="208" s="1"/>
  <c r="I1207" i="208"/>
  <c r="J1207" i="208"/>
  <c r="L1207" i="208"/>
  <c r="C1208" i="208"/>
  <c r="D1208" i="208"/>
  <c r="E1208" i="208"/>
  <c r="S1208" i="208" s="1"/>
  <c r="H1208" i="208"/>
  <c r="Q1208" i="208" s="1"/>
  <c r="I1208" i="208"/>
  <c r="J1208" i="208"/>
  <c r="L1208" i="208"/>
  <c r="C1209" i="208"/>
  <c r="D1209" i="208"/>
  <c r="E1209" i="208"/>
  <c r="S1209" i="208" s="1"/>
  <c r="H1209" i="208"/>
  <c r="Q1209" i="208" s="1"/>
  <c r="I1209" i="208"/>
  <c r="J1209" i="208"/>
  <c r="L1209" i="208"/>
  <c r="C1210" i="208"/>
  <c r="D1210" i="208"/>
  <c r="E1210" i="208"/>
  <c r="S1210" i="208" s="1"/>
  <c r="H1210" i="208"/>
  <c r="Q1210" i="208" s="1"/>
  <c r="I1210" i="208"/>
  <c r="J1210" i="208"/>
  <c r="L1210" i="208"/>
  <c r="C1211" i="208"/>
  <c r="D1211" i="208"/>
  <c r="E1211" i="208"/>
  <c r="S1211" i="208" s="1"/>
  <c r="H1211" i="208"/>
  <c r="Q1211" i="208" s="1"/>
  <c r="I1211" i="208"/>
  <c r="J1211" i="208"/>
  <c r="L1211" i="208"/>
  <c r="C1212" i="208"/>
  <c r="D1212" i="208"/>
  <c r="E1212" i="208"/>
  <c r="S1212" i="208" s="1"/>
  <c r="H1212" i="208"/>
  <c r="Q1212" i="208" s="1"/>
  <c r="I1212" i="208"/>
  <c r="J1212" i="208"/>
  <c r="L1212" i="208"/>
  <c r="C1213" i="208"/>
  <c r="D1213" i="208"/>
  <c r="E1213" i="208"/>
  <c r="S1213" i="208" s="1"/>
  <c r="H1213" i="208"/>
  <c r="Q1213" i="208" s="1"/>
  <c r="I1213" i="208"/>
  <c r="J1213" i="208"/>
  <c r="L1213" i="208"/>
  <c r="C1214" i="208"/>
  <c r="D1214" i="208"/>
  <c r="E1214" i="208"/>
  <c r="S1214" i="208" s="1"/>
  <c r="H1214" i="208"/>
  <c r="Q1214" i="208" s="1"/>
  <c r="I1214" i="208"/>
  <c r="J1214" i="208"/>
  <c r="L1214" i="208"/>
  <c r="C1215" i="208"/>
  <c r="D1215" i="208"/>
  <c r="E1215" i="208"/>
  <c r="S1215" i="208" s="1"/>
  <c r="H1215" i="208"/>
  <c r="Q1215" i="208" s="1"/>
  <c r="I1215" i="208"/>
  <c r="J1215" i="208"/>
  <c r="L1215" i="208"/>
  <c r="C1216" i="208"/>
  <c r="D1216" i="208"/>
  <c r="E1216" i="208"/>
  <c r="S1216" i="208" s="1"/>
  <c r="H1216" i="208"/>
  <c r="Q1216" i="208" s="1"/>
  <c r="I1216" i="208"/>
  <c r="J1216" i="208"/>
  <c r="L1216" i="208"/>
  <c r="C1217" i="208"/>
  <c r="D1217" i="208"/>
  <c r="E1217" i="208"/>
  <c r="S1217" i="208" s="1"/>
  <c r="H1217" i="208"/>
  <c r="Q1217" i="208" s="1"/>
  <c r="I1217" i="208"/>
  <c r="J1217" i="208"/>
  <c r="L1217" i="208"/>
  <c r="C1218" i="208"/>
  <c r="D1218" i="208"/>
  <c r="E1218" i="208"/>
  <c r="S1218" i="208" s="1"/>
  <c r="H1218" i="208"/>
  <c r="Q1218" i="208" s="1"/>
  <c r="I1218" i="208"/>
  <c r="J1218" i="208"/>
  <c r="L1218" i="208"/>
  <c r="C1219" i="208"/>
  <c r="D1219" i="208"/>
  <c r="E1219" i="208"/>
  <c r="S1219" i="208" s="1"/>
  <c r="H1219" i="208"/>
  <c r="Q1219" i="208" s="1"/>
  <c r="I1219" i="208"/>
  <c r="J1219" i="208"/>
  <c r="L1219" i="208"/>
  <c r="C1220" i="208"/>
  <c r="D1220" i="208"/>
  <c r="E1220" i="208"/>
  <c r="S1220" i="208" s="1"/>
  <c r="H1220" i="208"/>
  <c r="Q1220" i="208" s="1"/>
  <c r="I1220" i="208"/>
  <c r="J1220" i="208"/>
  <c r="L1220" i="208"/>
  <c r="C1221" i="208"/>
  <c r="D1221" i="208"/>
  <c r="E1221" i="208"/>
  <c r="S1221" i="208" s="1"/>
  <c r="H1221" i="208"/>
  <c r="Q1221" i="208" s="1"/>
  <c r="I1221" i="208"/>
  <c r="J1221" i="208"/>
  <c r="L1221" i="208"/>
  <c r="C1222" i="208"/>
  <c r="D1222" i="208"/>
  <c r="E1222" i="208"/>
  <c r="S1222" i="208" s="1"/>
  <c r="H1222" i="208"/>
  <c r="Q1222" i="208" s="1"/>
  <c r="I1222" i="208"/>
  <c r="J1222" i="208"/>
  <c r="L1222" i="208"/>
  <c r="C1223" i="208"/>
  <c r="D1223" i="208"/>
  <c r="E1223" i="208"/>
  <c r="S1223" i="208" s="1"/>
  <c r="H1223" i="208"/>
  <c r="Q1223" i="208" s="1"/>
  <c r="I1223" i="208"/>
  <c r="J1223" i="208"/>
  <c r="L1223" i="208"/>
  <c r="C1224" i="208"/>
  <c r="D1224" i="208"/>
  <c r="E1224" i="208"/>
  <c r="S1224" i="208" s="1"/>
  <c r="H1224" i="208"/>
  <c r="Q1224" i="208" s="1"/>
  <c r="I1224" i="208"/>
  <c r="J1224" i="208"/>
  <c r="L1224" i="208"/>
  <c r="C1225" i="208"/>
  <c r="D1225" i="208"/>
  <c r="E1225" i="208"/>
  <c r="S1225" i="208" s="1"/>
  <c r="H1225" i="208"/>
  <c r="Q1225" i="208" s="1"/>
  <c r="I1225" i="208"/>
  <c r="J1225" i="208"/>
  <c r="L1225" i="208"/>
  <c r="C1226" i="208"/>
  <c r="D1226" i="208"/>
  <c r="E1226" i="208"/>
  <c r="S1226" i="208" s="1"/>
  <c r="H1226" i="208"/>
  <c r="Q1226" i="208" s="1"/>
  <c r="I1226" i="208"/>
  <c r="J1226" i="208"/>
  <c r="L1226" i="208"/>
  <c r="C1227" i="208"/>
  <c r="D1227" i="208"/>
  <c r="E1227" i="208"/>
  <c r="S1227" i="208" s="1"/>
  <c r="H1227" i="208"/>
  <c r="Q1227" i="208" s="1"/>
  <c r="I1227" i="208"/>
  <c r="J1227" i="208"/>
  <c r="L1227" i="208"/>
  <c r="C1228" i="208"/>
  <c r="D1228" i="208"/>
  <c r="E1228" i="208"/>
  <c r="S1228" i="208" s="1"/>
  <c r="H1228" i="208"/>
  <c r="Q1228" i="208" s="1"/>
  <c r="I1228" i="208"/>
  <c r="J1228" i="208"/>
  <c r="L1228" i="208"/>
  <c r="C1229" i="208"/>
  <c r="D1229" i="208"/>
  <c r="E1229" i="208"/>
  <c r="S1229" i="208" s="1"/>
  <c r="H1229" i="208"/>
  <c r="Q1229" i="208" s="1"/>
  <c r="I1229" i="208"/>
  <c r="J1229" i="208"/>
  <c r="L1229" i="208"/>
  <c r="C1230" i="208"/>
  <c r="D1230" i="208"/>
  <c r="E1230" i="208"/>
  <c r="S1230" i="208" s="1"/>
  <c r="H1230" i="208"/>
  <c r="Q1230" i="208" s="1"/>
  <c r="I1230" i="208"/>
  <c r="J1230" i="208"/>
  <c r="L1230" i="208"/>
  <c r="C1231" i="208"/>
  <c r="D1231" i="208"/>
  <c r="E1231" i="208"/>
  <c r="S1231" i="208" s="1"/>
  <c r="H1231" i="208"/>
  <c r="Q1231" i="208" s="1"/>
  <c r="I1231" i="208"/>
  <c r="J1231" i="208"/>
  <c r="L1231" i="208"/>
  <c r="C1232" i="208"/>
  <c r="D1232" i="208"/>
  <c r="E1232" i="208"/>
  <c r="S1232" i="208" s="1"/>
  <c r="H1232" i="208"/>
  <c r="Q1232" i="208" s="1"/>
  <c r="I1232" i="208"/>
  <c r="J1232" i="208"/>
  <c r="L1232" i="208"/>
  <c r="C1233" i="208"/>
  <c r="D1233" i="208"/>
  <c r="E1233" i="208"/>
  <c r="S1233" i="208" s="1"/>
  <c r="H1233" i="208"/>
  <c r="Q1233" i="208" s="1"/>
  <c r="I1233" i="208"/>
  <c r="J1233" i="208"/>
  <c r="L1233" i="208"/>
  <c r="C1234" i="208"/>
  <c r="D1234" i="208"/>
  <c r="E1234" i="208"/>
  <c r="S1234" i="208" s="1"/>
  <c r="H1234" i="208"/>
  <c r="Q1234" i="208" s="1"/>
  <c r="I1234" i="208"/>
  <c r="J1234" i="208"/>
  <c r="L1234" i="208"/>
  <c r="C1235" i="208"/>
  <c r="D1235" i="208"/>
  <c r="E1235" i="208"/>
  <c r="S1235" i="208" s="1"/>
  <c r="H1235" i="208"/>
  <c r="Q1235" i="208" s="1"/>
  <c r="I1235" i="208"/>
  <c r="J1235" i="208"/>
  <c r="L1235" i="208"/>
  <c r="C1236" i="208"/>
  <c r="D1236" i="208"/>
  <c r="E1236" i="208"/>
  <c r="S1236" i="208" s="1"/>
  <c r="H1236" i="208"/>
  <c r="Q1236" i="208" s="1"/>
  <c r="I1236" i="208"/>
  <c r="J1236" i="208"/>
  <c r="L1236" i="208"/>
  <c r="C1237" i="208"/>
  <c r="D1237" i="208"/>
  <c r="E1237" i="208"/>
  <c r="S1237" i="208" s="1"/>
  <c r="H1237" i="208"/>
  <c r="Q1237" i="208" s="1"/>
  <c r="I1237" i="208"/>
  <c r="J1237" i="208"/>
  <c r="L1237" i="208"/>
  <c r="C1238" i="208"/>
  <c r="D1238" i="208"/>
  <c r="E1238" i="208"/>
  <c r="S1238" i="208" s="1"/>
  <c r="H1238" i="208"/>
  <c r="Q1238" i="208" s="1"/>
  <c r="I1238" i="208"/>
  <c r="J1238" i="208"/>
  <c r="L1238" i="208"/>
  <c r="C1239" i="208"/>
  <c r="D1239" i="208"/>
  <c r="E1239" i="208"/>
  <c r="S1239" i="208" s="1"/>
  <c r="H1239" i="208"/>
  <c r="Q1239" i="208" s="1"/>
  <c r="I1239" i="208"/>
  <c r="J1239" i="208"/>
  <c r="L1239" i="208"/>
  <c r="C1240" i="208"/>
  <c r="D1240" i="208"/>
  <c r="E1240" i="208"/>
  <c r="S1240" i="208" s="1"/>
  <c r="H1240" i="208"/>
  <c r="Q1240" i="208" s="1"/>
  <c r="I1240" i="208"/>
  <c r="J1240" i="208"/>
  <c r="L1240" i="208"/>
  <c r="C1241" i="208"/>
  <c r="D1241" i="208"/>
  <c r="E1241" i="208"/>
  <c r="S1241" i="208" s="1"/>
  <c r="H1241" i="208"/>
  <c r="Q1241" i="208" s="1"/>
  <c r="I1241" i="208"/>
  <c r="J1241" i="208"/>
  <c r="L1241" i="208"/>
  <c r="C1242" i="208"/>
  <c r="D1242" i="208"/>
  <c r="E1242" i="208"/>
  <c r="S1242" i="208" s="1"/>
  <c r="H1242" i="208"/>
  <c r="Q1242" i="208" s="1"/>
  <c r="I1242" i="208"/>
  <c r="J1242" i="208"/>
  <c r="L1242" i="208"/>
  <c r="C1243" i="208"/>
  <c r="D1243" i="208"/>
  <c r="E1243" i="208"/>
  <c r="S1243" i="208" s="1"/>
  <c r="H1243" i="208"/>
  <c r="Q1243" i="208" s="1"/>
  <c r="I1243" i="208"/>
  <c r="J1243" i="208"/>
  <c r="L1243" i="208"/>
  <c r="C1244" i="208"/>
  <c r="D1244" i="208"/>
  <c r="E1244" i="208"/>
  <c r="S1244" i="208" s="1"/>
  <c r="H1244" i="208"/>
  <c r="Q1244" i="208" s="1"/>
  <c r="I1244" i="208"/>
  <c r="J1244" i="208"/>
  <c r="L1244" i="208"/>
  <c r="C1245" i="208"/>
  <c r="D1245" i="208"/>
  <c r="E1245" i="208"/>
  <c r="S1245" i="208" s="1"/>
  <c r="H1245" i="208"/>
  <c r="Q1245" i="208" s="1"/>
  <c r="I1245" i="208"/>
  <c r="J1245" i="208"/>
  <c r="L1245" i="208"/>
  <c r="C1246" i="208"/>
  <c r="D1246" i="208"/>
  <c r="E1246" i="208"/>
  <c r="S1246" i="208" s="1"/>
  <c r="H1246" i="208"/>
  <c r="Q1246" i="208" s="1"/>
  <c r="I1246" i="208"/>
  <c r="J1246" i="208"/>
  <c r="L1246" i="208"/>
  <c r="C1247" i="208"/>
  <c r="D1247" i="208"/>
  <c r="E1247" i="208"/>
  <c r="S1247" i="208" s="1"/>
  <c r="H1247" i="208"/>
  <c r="Q1247" i="208" s="1"/>
  <c r="I1247" i="208"/>
  <c r="J1247" i="208"/>
  <c r="L1247" i="208"/>
  <c r="C1248" i="208"/>
  <c r="D1248" i="208"/>
  <c r="E1248" i="208"/>
  <c r="S1248" i="208" s="1"/>
  <c r="H1248" i="208"/>
  <c r="Q1248" i="208" s="1"/>
  <c r="I1248" i="208"/>
  <c r="J1248" i="208"/>
  <c r="L1248" i="208"/>
  <c r="C1249" i="208"/>
  <c r="D1249" i="208"/>
  <c r="E1249" i="208"/>
  <c r="S1249" i="208" s="1"/>
  <c r="H1249" i="208"/>
  <c r="Q1249" i="208" s="1"/>
  <c r="I1249" i="208"/>
  <c r="J1249" i="208"/>
  <c r="L1249" i="208"/>
  <c r="C1250" i="208"/>
  <c r="D1250" i="208"/>
  <c r="E1250" i="208"/>
  <c r="S1250" i="208" s="1"/>
  <c r="H1250" i="208"/>
  <c r="Q1250" i="208" s="1"/>
  <c r="I1250" i="208"/>
  <c r="J1250" i="208"/>
  <c r="L1250" i="208"/>
  <c r="C1251" i="208"/>
  <c r="D1251" i="208"/>
  <c r="E1251" i="208"/>
  <c r="S1251" i="208" s="1"/>
  <c r="H1251" i="208"/>
  <c r="Q1251" i="208" s="1"/>
  <c r="I1251" i="208"/>
  <c r="J1251" i="208"/>
  <c r="L1251" i="208"/>
  <c r="C1252" i="208"/>
  <c r="D1252" i="208"/>
  <c r="E1252" i="208"/>
  <c r="S1252" i="208" s="1"/>
  <c r="H1252" i="208"/>
  <c r="Q1252" i="208" s="1"/>
  <c r="I1252" i="208"/>
  <c r="J1252" i="208"/>
  <c r="L1252" i="208"/>
  <c r="C1253" i="208"/>
  <c r="D1253" i="208"/>
  <c r="E1253" i="208"/>
  <c r="S1253" i="208" s="1"/>
  <c r="H1253" i="208"/>
  <c r="Q1253" i="208" s="1"/>
  <c r="I1253" i="208"/>
  <c r="J1253" i="208"/>
  <c r="L1253" i="208"/>
  <c r="C1254" i="208"/>
  <c r="D1254" i="208"/>
  <c r="E1254" i="208"/>
  <c r="S1254" i="208" s="1"/>
  <c r="H1254" i="208"/>
  <c r="Q1254" i="208" s="1"/>
  <c r="I1254" i="208"/>
  <c r="J1254" i="208"/>
  <c r="L1254" i="208"/>
  <c r="C1255" i="208"/>
  <c r="D1255" i="208"/>
  <c r="E1255" i="208"/>
  <c r="S1255" i="208" s="1"/>
  <c r="H1255" i="208"/>
  <c r="Q1255" i="208" s="1"/>
  <c r="I1255" i="208"/>
  <c r="J1255" i="208"/>
  <c r="L1255" i="208"/>
  <c r="C1256" i="208"/>
  <c r="D1256" i="208"/>
  <c r="E1256" i="208"/>
  <c r="S1256" i="208" s="1"/>
  <c r="H1256" i="208"/>
  <c r="Q1256" i="208" s="1"/>
  <c r="I1256" i="208"/>
  <c r="J1256" i="208"/>
  <c r="L1256" i="208"/>
  <c r="C1257" i="208"/>
  <c r="D1257" i="208"/>
  <c r="E1257" i="208"/>
  <c r="S1257" i="208" s="1"/>
  <c r="H1257" i="208"/>
  <c r="Q1257" i="208" s="1"/>
  <c r="I1257" i="208"/>
  <c r="J1257" i="208"/>
  <c r="L1257" i="208"/>
  <c r="C1258" i="208"/>
  <c r="D1258" i="208"/>
  <c r="E1258" i="208"/>
  <c r="S1258" i="208" s="1"/>
  <c r="H1258" i="208"/>
  <c r="Q1258" i="208" s="1"/>
  <c r="I1258" i="208"/>
  <c r="J1258" i="208"/>
  <c r="L1258" i="208"/>
  <c r="C1259" i="208"/>
  <c r="D1259" i="208"/>
  <c r="E1259" i="208"/>
  <c r="S1259" i="208" s="1"/>
  <c r="H1259" i="208"/>
  <c r="Q1259" i="208" s="1"/>
  <c r="I1259" i="208"/>
  <c r="J1259" i="208"/>
  <c r="L1259" i="208"/>
  <c r="C1260" i="208"/>
  <c r="D1260" i="208"/>
  <c r="E1260" i="208"/>
  <c r="S1260" i="208" s="1"/>
  <c r="H1260" i="208"/>
  <c r="Q1260" i="208" s="1"/>
  <c r="I1260" i="208"/>
  <c r="J1260" i="208"/>
  <c r="L1260" i="208"/>
  <c r="C1261" i="208"/>
  <c r="D1261" i="208"/>
  <c r="E1261" i="208"/>
  <c r="S1261" i="208" s="1"/>
  <c r="H1261" i="208"/>
  <c r="Q1261" i="208" s="1"/>
  <c r="I1261" i="208"/>
  <c r="J1261" i="208"/>
  <c r="L1261" i="208"/>
  <c r="C1262" i="208"/>
  <c r="D1262" i="208"/>
  <c r="E1262" i="208"/>
  <c r="S1262" i="208" s="1"/>
  <c r="H1262" i="208"/>
  <c r="Q1262" i="208" s="1"/>
  <c r="I1262" i="208"/>
  <c r="J1262" i="208"/>
  <c r="L1262" i="208"/>
  <c r="C1263" i="208"/>
  <c r="D1263" i="208"/>
  <c r="E1263" i="208"/>
  <c r="S1263" i="208" s="1"/>
  <c r="H1263" i="208"/>
  <c r="Q1263" i="208" s="1"/>
  <c r="I1263" i="208"/>
  <c r="J1263" i="208"/>
  <c r="L1263" i="208"/>
  <c r="C1264" i="208"/>
  <c r="D1264" i="208"/>
  <c r="E1264" i="208"/>
  <c r="S1264" i="208" s="1"/>
  <c r="H1264" i="208"/>
  <c r="Q1264" i="208" s="1"/>
  <c r="I1264" i="208"/>
  <c r="J1264" i="208"/>
  <c r="L1264" i="208"/>
  <c r="C1265" i="208"/>
  <c r="D1265" i="208"/>
  <c r="E1265" i="208"/>
  <c r="S1265" i="208" s="1"/>
  <c r="H1265" i="208"/>
  <c r="Q1265" i="208" s="1"/>
  <c r="I1265" i="208"/>
  <c r="J1265" i="208"/>
  <c r="L1265" i="208"/>
  <c r="C1266" i="208"/>
  <c r="D1266" i="208"/>
  <c r="E1266" i="208"/>
  <c r="S1266" i="208" s="1"/>
  <c r="H1266" i="208"/>
  <c r="Q1266" i="208" s="1"/>
  <c r="I1266" i="208"/>
  <c r="J1266" i="208"/>
  <c r="L1266" i="208"/>
  <c r="C1267" i="208"/>
  <c r="D1267" i="208"/>
  <c r="E1267" i="208"/>
  <c r="S1267" i="208" s="1"/>
  <c r="H1267" i="208"/>
  <c r="Q1267" i="208" s="1"/>
  <c r="I1267" i="208"/>
  <c r="J1267" i="208"/>
  <c r="L1267" i="208"/>
  <c r="C1268" i="208"/>
  <c r="D1268" i="208"/>
  <c r="E1268" i="208"/>
  <c r="S1268" i="208" s="1"/>
  <c r="H1268" i="208"/>
  <c r="Q1268" i="208" s="1"/>
  <c r="I1268" i="208"/>
  <c r="J1268" i="208"/>
  <c r="L1268" i="208"/>
  <c r="C1269" i="208"/>
  <c r="D1269" i="208"/>
  <c r="E1269" i="208"/>
  <c r="S1269" i="208" s="1"/>
  <c r="H1269" i="208"/>
  <c r="Q1269" i="208" s="1"/>
  <c r="I1269" i="208"/>
  <c r="J1269" i="208"/>
  <c r="L1269" i="208"/>
  <c r="C1270" i="208"/>
  <c r="D1270" i="208"/>
  <c r="E1270" i="208"/>
  <c r="S1270" i="208" s="1"/>
  <c r="H1270" i="208"/>
  <c r="Q1270" i="208" s="1"/>
  <c r="I1270" i="208"/>
  <c r="J1270" i="208"/>
  <c r="L1270" i="208"/>
  <c r="C1271" i="208"/>
  <c r="D1271" i="208"/>
  <c r="E1271" i="208"/>
  <c r="S1271" i="208" s="1"/>
  <c r="H1271" i="208"/>
  <c r="Q1271" i="208" s="1"/>
  <c r="I1271" i="208"/>
  <c r="J1271" i="208"/>
  <c r="L1271" i="208"/>
  <c r="C1272" i="208"/>
  <c r="D1272" i="208"/>
  <c r="E1272" i="208"/>
  <c r="S1272" i="208" s="1"/>
  <c r="H1272" i="208"/>
  <c r="Q1272" i="208" s="1"/>
  <c r="I1272" i="208"/>
  <c r="J1272" i="208"/>
  <c r="L1272" i="208"/>
  <c r="C1273" i="208"/>
  <c r="D1273" i="208"/>
  <c r="E1273" i="208"/>
  <c r="S1273" i="208" s="1"/>
  <c r="H1273" i="208"/>
  <c r="Q1273" i="208" s="1"/>
  <c r="I1273" i="208"/>
  <c r="J1273" i="208"/>
  <c r="L1273" i="208"/>
  <c r="C1274" i="208"/>
  <c r="D1274" i="208"/>
  <c r="E1274" i="208"/>
  <c r="S1274" i="208" s="1"/>
  <c r="H1274" i="208"/>
  <c r="Q1274" i="208" s="1"/>
  <c r="I1274" i="208"/>
  <c r="J1274" i="208"/>
  <c r="L1274" i="208"/>
  <c r="C1275" i="208"/>
  <c r="D1275" i="208"/>
  <c r="E1275" i="208"/>
  <c r="S1275" i="208" s="1"/>
  <c r="H1275" i="208"/>
  <c r="Q1275" i="208" s="1"/>
  <c r="I1275" i="208"/>
  <c r="J1275" i="208"/>
  <c r="L1275" i="208"/>
  <c r="C1276" i="208"/>
  <c r="D1276" i="208"/>
  <c r="E1276" i="208"/>
  <c r="S1276" i="208" s="1"/>
  <c r="H1276" i="208"/>
  <c r="Q1276" i="208" s="1"/>
  <c r="I1276" i="208"/>
  <c r="J1276" i="208"/>
  <c r="L1276" i="208"/>
  <c r="C1277" i="208"/>
  <c r="D1277" i="208"/>
  <c r="E1277" i="208"/>
  <c r="S1277" i="208" s="1"/>
  <c r="H1277" i="208"/>
  <c r="Q1277" i="208" s="1"/>
  <c r="I1277" i="208"/>
  <c r="J1277" i="208"/>
  <c r="L1277" i="208"/>
  <c r="C1278" i="208"/>
  <c r="D1278" i="208"/>
  <c r="E1278" i="208"/>
  <c r="S1278" i="208" s="1"/>
  <c r="H1278" i="208"/>
  <c r="Q1278" i="208" s="1"/>
  <c r="I1278" i="208"/>
  <c r="J1278" i="208"/>
  <c r="L1278" i="208"/>
  <c r="C1279" i="208"/>
  <c r="D1279" i="208"/>
  <c r="E1279" i="208"/>
  <c r="S1279" i="208" s="1"/>
  <c r="H1279" i="208"/>
  <c r="Q1279" i="208" s="1"/>
  <c r="I1279" i="208"/>
  <c r="J1279" i="208"/>
  <c r="L1279" i="208"/>
  <c r="C1280" i="208"/>
  <c r="D1280" i="208"/>
  <c r="E1280" i="208"/>
  <c r="S1280" i="208" s="1"/>
  <c r="H1280" i="208"/>
  <c r="Q1280" i="208" s="1"/>
  <c r="I1280" i="208"/>
  <c r="J1280" i="208"/>
  <c r="L1280" i="208"/>
  <c r="C1281" i="208"/>
  <c r="D1281" i="208"/>
  <c r="E1281" i="208"/>
  <c r="S1281" i="208" s="1"/>
  <c r="H1281" i="208"/>
  <c r="Q1281" i="208" s="1"/>
  <c r="I1281" i="208"/>
  <c r="J1281" i="208"/>
  <c r="L1281" i="208"/>
  <c r="C1282" i="208"/>
  <c r="D1282" i="208"/>
  <c r="E1282" i="208"/>
  <c r="S1282" i="208" s="1"/>
  <c r="H1282" i="208"/>
  <c r="Q1282" i="208" s="1"/>
  <c r="I1282" i="208"/>
  <c r="J1282" i="208"/>
  <c r="L1282" i="208"/>
  <c r="C1283" i="208"/>
  <c r="D1283" i="208"/>
  <c r="E1283" i="208"/>
  <c r="S1283" i="208" s="1"/>
  <c r="H1283" i="208"/>
  <c r="Q1283" i="208" s="1"/>
  <c r="I1283" i="208"/>
  <c r="J1283" i="208"/>
  <c r="L1283" i="208"/>
  <c r="C1284" i="208"/>
  <c r="D1284" i="208"/>
  <c r="E1284" i="208"/>
  <c r="S1284" i="208" s="1"/>
  <c r="H1284" i="208"/>
  <c r="Q1284" i="208" s="1"/>
  <c r="I1284" i="208"/>
  <c r="J1284" i="208"/>
  <c r="L1284" i="208"/>
  <c r="C1285" i="208"/>
  <c r="D1285" i="208"/>
  <c r="E1285" i="208"/>
  <c r="S1285" i="208" s="1"/>
  <c r="H1285" i="208"/>
  <c r="Q1285" i="208" s="1"/>
  <c r="I1285" i="208"/>
  <c r="J1285" i="208"/>
  <c r="L1285" i="208"/>
  <c r="C1286" i="208"/>
  <c r="D1286" i="208"/>
  <c r="E1286" i="208"/>
  <c r="S1286" i="208" s="1"/>
  <c r="H1286" i="208"/>
  <c r="Q1286" i="208" s="1"/>
  <c r="I1286" i="208"/>
  <c r="J1286" i="208"/>
  <c r="L1286" i="208"/>
  <c r="C1287" i="208"/>
  <c r="D1287" i="208"/>
  <c r="E1287" i="208"/>
  <c r="S1287" i="208" s="1"/>
  <c r="H1287" i="208"/>
  <c r="Q1287" i="208" s="1"/>
  <c r="I1287" i="208"/>
  <c r="J1287" i="208"/>
  <c r="L1287" i="208"/>
  <c r="C1288" i="208"/>
  <c r="D1288" i="208"/>
  <c r="E1288" i="208"/>
  <c r="S1288" i="208" s="1"/>
  <c r="H1288" i="208"/>
  <c r="Q1288" i="208" s="1"/>
  <c r="I1288" i="208"/>
  <c r="J1288" i="208"/>
  <c r="L1288" i="208"/>
  <c r="C1289" i="208"/>
  <c r="D1289" i="208"/>
  <c r="E1289" i="208"/>
  <c r="S1289" i="208" s="1"/>
  <c r="H1289" i="208"/>
  <c r="Q1289" i="208" s="1"/>
  <c r="I1289" i="208"/>
  <c r="J1289" i="208"/>
  <c r="L1289" i="208"/>
  <c r="C1290" i="208"/>
  <c r="D1290" i="208"/>
  <c r="E1290" i="208"/>
  <c r="S1290" i="208" s="1"/>
  <c r="H1290" i="208"/>
  <c r="Q1290" i="208" s="1"/>
  <c r="I1290" i="208"/>
  <c r="J1290" i="208"/>
  <c r="L1290" i="208"/>
  <c r="C1291" i="208"/>
  <c r="D1291" i="208"/>
  <c r="E1291" i="208"/>
  <c r="S1291" i="208" s="1"/>
  <c r="H1291" i="208"/>
  <c r="Q1291" i="208" s="1"/>
  <c r="I1291" i="208"/>
  <c r="J1291" i="208"/>
  <c r="L1291" i="208"/>
  <c r="C1292" i="208"/>
  <c r="D1292" i="208"/>
  <c r="E1292" i="208"/>
  <c r="S1292" i="208" s="1"/>
  <c r="H1292" i="208"/>
  <c r="Q1292" i="208" s="1"/>
  <c r="I1292" i="208"/>
  <c r="J1292" i="208"/>
  <c r="L1292" i="208"/>
  <c r="C1293" i="208"/>
  <c r="D1293" i="208"/>
  <c r="E1293" i="208"/>
  <c r="S1293" i="208" s="1"/>
  <c r="H1293" i="208"/>
  <c r="Q1293" i="208" s="1"/>
  <c r="I1293" i="208"/>
  <c r="J1293" i="208"/>
  <c r="L1293" i="208"/>
  <c r="C1294" i="208"/>
  <c r="D1294" i="208"/>
  <c r="E1294" i="208"/>
  <c r="S1294" i="208" s="1"/>
  <c r="H1294" i="208"/>
  <c r="Q1294" i="208" s="1"/>
  <c r="I1294" i="208"/>
  <c r="J1294" i="208"/>
  <c r="L1294" i="208"/>
  <c r="C1295" i="208"/>
  <c r="D1295" i="208"/>
  <c r="E1295" i="208"/>
  <c r="S1295" i="208" s="1"/>
  <c r="H1295" i="208"/>
  <c r="Q1295" i="208" s="1"/>
  <c r="I1295" i="208"/>
  <c r="J1295" i="208"/>
  <c r="L1295" i="208"/>
  <c r="C1296" i="208"/>
  <c r="D1296" i="208"/>
  <c r="E1296" i="208"/>
  <c r="S1296" i="208" s="1"/>
  <c r="H1296" i="208"/>
  <c r="Q1296" i="208" s="1"/>
  <c r="I1296" i="208"/>
  <c r="J1296" i="208"/>
  <c r="L1296" i="208"/>
  <c r="C1297" i="208"/>
  <c r="D1297" i="208"/>
  <c r="E1297" i="208"/>
  <c r="S1297" i="208" s="1"/>
  <c r="H1297" i="208"/>
  <c r="Q1297" i="208" s="1"/>
  <c r="I1297" i="208"/>
  <c r="J1297" i="208"/>
  <c r="L1297" i="208"/>
  <c r="C1298" i="208"/>
  <c r="D1298" i="208"/>
  <c r="E1298" i="208"/>
  <c r="S1298" i="208" s="1"/>
  <c r="H1298" i="208"/>
  <c r="Q1298" i="208" s="1"/>
  <c r="I1298" i="208"/>
  <c r="J1298" i="208"/>
  <c r="L1298" i="208"/>
  <c r="C1299" i="208"/>
  <c r="D1299" i="208"/>
  <c r="E1299" i="208"/>
  <c r="S1299" i="208" s="1"/>
  <c r="H1299" i="208"/>
  <c r="Q1299" i="208" s="1"/>
  <c r="I1299" i="208"/>
  <c r="J1299" i="208"/>
  <c r="L1299" i="208"/>
  <c r="C1300" i="208"/>
  <c r="D1300" i="208"/>
  <c r="E1300" i="208"/>
  <c r="S1300" i="208" s="1"/>
  <c r="H1300" i="208"/>
  <c r="Q1300" i="208" s="1"/>
  <c r="I1300" i="208"/>
  <c r="J1300" i="208"/>
  <c r="L1300" i="208"/>
  <c r="C1301" i="208"/>
  <c r="D1301" i="208"/>
  <c r="E1301" i="208"/>
  <c r="S1301" i="208" s="1"/>
  <c r="H1301" i="208"/>
  <c r="Q1301" i="208" s="1"/>
  <c r="I1301" i="208"/>
  <c r="J1301" i="208"/>
  <c r="L1301" i="208"/>
  <c r="C1302" i="208"/>
  <c r="D1302" i="208"/>
  <c r="E1302" i="208"/>
  <c r="S1302" i="208" s="1"/>
  <c r="H1302" i="208"/>
  <c r="Q1302" i="208" s="1"/>
  <c r="I1302" i="208"/>
  <c r="J1302" i="208"/>
  <c r="L1302" i="208"/>
  <c r="C1303" i="208"/>
  <c r="D1303" i="208"/>
  <c r="E1303" i="208"/>
  <c r="S1303" i="208" s="1"/>
  <c r="H1303" i="208"/>
  <c r="Q1303" i="208" s="1"/>
  <c r="I1303" i="208"/>
  <c r="J1303" i="208"/>
  <c r="L1303" i="208"/>
  <c r="C1304" i="208"/>
  <c r="D1304" i="208"/>
  <c r="E1304" i="208"/>
  <c r="S1304" i="208" s="1"/>
  <c r="H1304" i="208"/>
  <c r="Q1304" i="208" s="1"/>
  <c r="I1304" i="208"/>
  <c r="J1304" i="208"/>
  <c r="L1304" i="208"/>
  <c r="C1305" i="208"/>
  <c r="D1305" i="208"/>
  <c r="E1305" i="208"/>
  <c r="S1305" i="208" s="1"/>
  <c r="H1305" i="208"/>
  <c r="Q1305" i="208" s="1"/>
  <c r="I1305" i="208"/>
  <c r="J1305" i="208"/>
  <c r="L1305" i="208"/>
  <c r="C1306" i="208"/>
  <c r="D1306" i="208"/>
  <c r="E1306" i="208"/>
  <c r="S1306" i="208" s="1"/>
  <c r="H1306" i="208"/>
  <c r="Q1306" i="208" s="1"/>
  <c r="I1306" i="208"/>
  <c r="J1306" i="208"/>
  <c r="L1306" i="208"/>
  <c r="C1307" i="208"/>
  <c r="D1307" i="208"/>
  <c r="E1307" i="208"/>
  <c r="S1307" i="208" s="1"/>
  <c r="H1307" i="208"/>
  <c r="Q1307" i="208" s="1"/>
  <c r="I1307" i="208"/>
  <c r="J1307" i="208"/>
  <c r="L1307" i="208"/>
  <c r="C1308" i="208"/>
  <c r="D1308" i="208"/>
  <c r="E1308" i="208"/>
  <c r="S1308" i="208" s="1"/>
  <c r="H1308" i="208"/>
  <c r="Q1308" i="208" s="1"/>
  <c r="I1308" i="208"/>
  <c r="J1308" i="208"/>
  <c r="L1308" i="208"/>
  <c r="C1309" i="208"/>
  <c r="D1309" i="208"/>
  <c r="E1309" i="208"/>
  <c r="S1309" i="208" s="1"/>
  <c r="H1309" i="208"/>
  <c r="Q1309" i="208" s="1"/>
  <c r="I1309" i="208"/>
  <c r="J1309" i="208"/>
  <c r="L1309" i="208"/>
  <c r="C1310" i="208"/>
  <c r="D1310" i="208"/>
  <c r="E1310" i="208"/>
  <c r="S1310" i="208" s="1"/>
  <c r="H1310" i="208"/>
  <c r="Q1310" i="208" s="1"/>
  <c r="I1310" i="208"/>
  <c r="J1310" i="208"/>
  <c r="L1310" i="208"/>
  <c r="C1311" i="208"/>
  <c r="D1311" i="208"/>
  <c r="E1311" i="208"/>
  <c r="S1311" i="208" s="1"/>
  <c r="H1311" i="208"/>
  <c r="Q1311" i="208" s="1"/>
  <c r="I1311" i="208"/>
  <c r="J1311" i="208"/>
  <c r="L1311" i="208"/>
  <c r="C1312" i="208"/>
  <c r="D1312" i="208"/>
  <c r="E1312" i="208"/>
  <c r="S1312" i="208" s="1"/>
  <c r="H1312" i="208"/>
  <c r="Q1312" i="208" s="1"/>
  <c r="I1312" i="208"/>
  <c r="J1312" i="208"/>
  <c r="L1312" i="208"/>
  <c r="C1313" i="208"/>
  <c r="D1313" i="208"/>
  <c r="E1313" i="208"/>
  <c r="S1313" i="208" s="1"/>
  <c r="H1313" i="208"/>
  <c r="Q1313" i="208" s="1"/>
  <c r="I1313" i="208"/>
  <c r="J1313" i="208"/>
  <c r="L1313" i="208"/>
  <c r="C1314" i="208"/>
  <c r="D1314" i="208"/>
  <c r="E1314" i="208"/>
  <c r="S1314" i="208" s="1"/>
  <c r="H1314" i="208"/>
  <c r="Q1314" i="208" s="1"/>
  <c r="I1314" i="208"/>
  <c r="J1314" i="208"/>
  <c r="L1314" i="208"/>
  <c r="C1315" i="208"/>
  <c r="D1315" i="208"/>
  <c r="E1315" i="208"/>
  <c r="S1315" i="208" s="1"/>
  <c r="H1315" i="208"/>
  <c r="Q1315" i="208" s="1"/>
  <c r="I1315" i="208"/>
  <c r="J1315" i="208"/>
  <c r="L1315" i="208"/>
  <c r="C1316" i="208"/>
  <c r="D1316" i="208"/>
  <c r="E1316" i="208"/>
  <c r="S1316" i="208" s="1"/>
  <c r="H1316" i="208"/>
  <c r="Q1316" i="208" s="1"/>
  <c r="I1316" i="208"/>
  <c r="J1316" i="208"/>
  <c r="L1316" i="208"/>
  <c r="C1317" i="208"/>
  <c r="D1317" i="208"/>
  <c r="E1317" i="208"/>
  <c r="S1317" i="208" s="1"/>
  <c r="H1317" i="208"/>
  <c r="Q1317" i="208" s="1"/>
  <c r="I1317" i="208"/>
  <c r="J1317" i="208"/>
  <c r="L1317" i="208"/>
  <c r="C1318" i="208"/>
  <c r="D1318" i="208"/>
  <c r="E1318" i="208"/>
  <c r="S1318" i="208" s="1"/>
  <c r="H1318" i="208"/>
  <c r="Q1318" i="208" s="1"/>
  <c r="I1318" i="208"/>
  <c r="J1318" i="208"/>
  <c r="L1318" i="208"/>
  <c r="C1319" i="208"/>
  <c r="D1319" i="208"/>
  <c r="E1319" i="208"/>
  <c r="S1319" i="208" s="1"/>
  <c r="H1319" i="208"/>
  <c r="Q1319" i="208" s="1"/>
  <c r="I1319" i="208"/>
  <c r="J1319" i="208"/>
  <c r="L1319" i="208"/>
  <c r="C1320" i="208"/>
  <c r="D1320" i="208"/>
  <c r="E1320" i="208"/>
  <c r="S1320" i="208" s="1"/>
  <c r="H1320" i="208"/>
  <c r="Q1320" i="208" s="1"/>
  <c r="I1320" i="208"/>
  <c r="J1320" i="208"/>
  <c r="L1320" i="208"/>
  <c r="C1321" i="208"/>
  <c r="D1321" i="208"/>
  <c r="E1321" i="208"/>
  <c r="S1321" i="208" s="1"/>
  <c r="H1321" i="208"/>
  <c r="Q1321" i="208" s="1"/>
  <c r="I1321" i="208"/>
  <c r="J1321" i="208"/>
  <c r="L1321" i="208"/>
  <c r="C1322" i="208"/>
  <c r="D1322" i="208"/>
  <c r="E1322" i="208"/>
  <c r="S1322" i="208" s="1"/>
  <c r="H1322" i="208"/>
  <c r="Q1322" i="208" s="1"/>
  <c r="I1322" i="208"/>
  <c r="J1322" i="208"/>
  <c r="L1322" i="208"/>
  <c r="C1323" i="208"/>
  <c r="D1323" i="208"/>
  <c r="E1323" i="208"/>
  <c r="S1323" i="208" s="1"/>
  <c r="H1323" i="208"/>
  <c r="Q1323" i="208" s="1"/>
  <c r="I1323" i="208"/>
  <c r="J1323" i="208"/>
  <c r="L1323" i="208"/>
  <c r="C1324" i="208"/>
  <c r="D1324" i="208"/>
  <c r="E1324" i="208"/>
  <c r="S1324" i="208" s="1"/>
  <c r="H1324" i="208"/>
  <c r="Q1324" i="208" s="1"/>
  <c r="I1324" i="208"/>
  <c r="J1324" i="208"/>
  <c r="L1324" i="208"/>
  <c r="C1325" i="208"/>
  <c r="D1325" i="208"/>
  <c r="E1325" i="208"/>
  <c r="S1325" i="208" s="1"/>
  <c r="H1325" i="208"/>
  <c r="Q1325" i="208" s="1"/>
  <c r="I1325" i="208"/>
  <c r="J1325" i="208"/>
  <c r="L1325" i="208"/>
  <c r="C1326" i="208"/>
  <c r="D1326" i="208"/>
  <c r="E1326" i="208"/>
  <c r="S1326" i="208" s="1"/>
  <c r="H1326" i="208"/>
  <c r="Q1326" i="208" s="1"/>
  <c r="I1326" i="208"/>
  <c r="J1326" i="208"/>
  <c r="L1326" i="208"/>
  <c r="C1327" i="208"/>
  <c r="D1327" i="208"/>
  <c r="E1327" i="208"/>
  <c r="S1327" i="208" s="1"/>
  <c r="H1327" i="208"/>
  <c r="Q1327" i="208" s="1"/>
  <c r="I1327" i="208"/>
  <c r="J1327" i="208"/>
  <c r="L1327" i="208"/>
  <c r="C1328" i="208"/>
  <c r="D1328" i="208"/>
  <c r="E1328" i="208"/>
  <c r="S1328" i="208" s="1"/>
  <c r="H1328" i="208"/>
  <c r="Q1328" i="208" s="1"/>
  <c r="I1328" i="208"/>
  <c r="J1328" i="208"/>
  <c r="L1328" i="208"/>
  <c r="C1329" i="208"/>
  <c r="D1329" i="208"/>
  <c r="E1329" i="208"/>
  <c r="S1329" i="208" s="1"/>
  <c r="H1329" i="208"/>
  <c r="Q1329" i="208" s="1"/>
  <c r="I1329" i="208"/>
  <c r="J1329" i="208"/>
  <c r="L1329" i="208"/>
  <c r="C1330" i="208"/>
  <c r="D1330" i="208"/>
  <c r="E1330" i="208"/>
  <c r="S1330" i="208" s="1"/>
  <c r="H1330" i="208"/>
  <c r="Q1330" i="208" s="1"/>
  <c r="I1330" i="208"/>
  <c r="J1330" i="208"/>
  <c r="L1330" i="208"/>
  <c r="C1331" i="208"/>
  <c r="D1331" i="208"/>
  <c r="E1331" i="208"/>
  <c r="S1331" i="208" s="1"/>
  <c r="H1331" i="208"/>
  <c r="Q1331" i="208" s="1"/>
  <c r="I1331" i="208"/>
  <c r="J1331" i="208"/>
  <c r="L1331" i="208"/>
  <c r="C1332" i="208"/>
  <c r="D1332" i="208"/>
  <c r="E1332" i="208"/>
  <c r="S1332" i="208" s="1"/>
  <c r="H1332" i="208"/>
  <c r="Q1332" i="208" s="1"/>
  <c r="I1332" i="208"/>
  <c r="J1332" i="208"/>
  <c r="L1332" i="208"/>
  <c r="C1333" i="208"/>
  <c r="D1333" i="208"/>
  <c r="E1333" i="208"/>
  <c r="S1333" i="208" s="1"/>
  <c r="H1333" i="208"/>
  <c r="Q1333" i="208" s="1"/>
  <c r="I1333" i="208"/>
  <c r="J1333" i="208"/>
  <c r="L1333" i="208"/>
  <c r="C1334" i="208"/>
  <c r="D1334" i="208"/>
  <c r="E1334" i="208"/>
  <c r="S1334" i="208" s="1"/>
  <c r="H1334" i="208"/>
  <c r="Q1334" i="208" s="1"/>
  <c r="I1334" i="208"/>
  <c r="J1334" i="208"/>
  <c r="L1334" i="208"/>
  <c r="C1335" i="208"/>
  <c r="D1335" i="208"/>
  <c r="E1335" i="208"/>
  <c r="S1335" i="208" s="1"/>
  <c r="H1335" i="208"/>
  <c r="Q1335" i="208" s="1"/>
  <c r="I1335" i="208"/>
  <c r="J1335" i="208"/>
  <c r="L1335" i="208"/>
  <c r="C1336" i="208"/>
  <c r="D1336" i="208"/>
  <c r="E1336" i="208"/>
  <c r="S1336" i="208" s="1"/>
  <c r="H1336" i="208"/>
  <c r="Q1336" i="208" s="1"/>
  <c r="I1336" i="208"/>
  <c r="J1336" i="208"/>
  <c r="L1336" i="208"/>
  <c r="C1337" i="208"/>
  <c r="D1337" i="208"/>
  <c r="E1337" i="208"/>
  <c r="S1337" i="208" s="1"/>
  <c r="H1337" i="208"/>
  <c r="Q1337" i="208" s="1"/>
  <c r="I1337" i="208"/>
  <c r="J1337" i="208"/>
  <c r="L1337" i="208"/>
  <c r="C1338" i="208"/>
  <c r="D1338" i="208"/>
  <c r="E1338" i="208"/>
  <c r="S1338" i="208" s="1"/>
  <c r="H1338" i="208"/>
  <c r="Q1338" i="208" s="1"/>
  <c r="I1338" i="208"/>
  <c r="J1338" i="208"/>
  <c r="L1338" i="208"/>
  <c r="C1339" i="208"/>
  <c r="D1339" i="208"/>
  <c r="E1339" i="208"/>
  <c r="S1339" i="208" s="1"/>
  <c r="H1339" i="208"/>
  <c r="Q1339" i="208" s="1"/>
  <c r="I1339" i="208"/>
  <c r="J1339" i="208"/>
  <c r="L1339" i="208"/>
  <c r="C1340" i="208"/>
  <c r="D1340" i="208"/>
  <c r="E1340" i="208"/>
  <c r="S1340" i="208" s="1"/>
  <c r="H1340" i="208"/>
  <c r="Q1340" i="208" s="1"/>
  <c r="I1340" i="208"/>
  <c r="J1340" i="208"/>
  <c r="L1340" i="208"/>
  <c r="C1341" i="208"/>
  <c r="D1341" i="208"/>
  <c r="E1341" i="208"/>
  <c r="S1341" i="208" s="1"/>
  <c r="H1341" i="208"/>
  <c r="Q1341" i="208" s="1"/>
  <c r="I1341" i="208"/>
  <c r="J1341" i="208"/>
  <c r="L1341" i="208"/>
  <c r="C1342" i="208"/>
  <c r="D1342" i="208"/>
  <c r="E1342" i="208"/>
  <c r="S1342" i="208" s="1"/>
  <c r="H1342" i="208"/>
  <c r="Q1342" i="208" s="1"/>
  <c r="I1342" i="208"/>
  <c r="J1342" i="208"/>
  <c r="L1342" i="208"/>
  <c r="C1343" i="208"/>
  <c r="D1343" i="208"/>
  <c r="E1343" i="208"/>
  <c r="S1343" i="208" s="1"/>
  <c r="H1343" i="208"/>
  <c r="Q1343" i="208" s="1"/>
  <c r="I1343" i="208"/>
  <c r="J1343" i="208"/>
  <c r="L1343" i="208"/>
  <c r="C1344" i="208"/>
  <c r="D1344" i="208"/>
  <c r="E1344" i="208"/>
  <c r="S1344" i="208" s="1"/>
  <c r="H1344" i="208"/>
  <c r="Q1344" i="208" s="1"/>
  <c r="I1344" i="208"/>
  <c r="J1344" i="208"/>
  <c r="L1344" i="208"/>
  <c r="C1345" i="208"/>
  <c r="D1345" i="208"/>
  <c r="E1345" i="208"/>
  <c r="S1345" i="208" s="1"/>
  <c r="H1345" i="208"/>
  <c r="Q1345" i="208" s="1"/>
  <c r="I1345" i="208"/>
  <c r="J1345" i="208"/>
  <c r="L1345" i="208"/>
  <c r="C1346" i="208"/>
  <c r="D1346" i="208"/>
  <c r="E1346" i="208"/>
  <c r="S1346" i="208" s="1"/>
  <c r="H1346" i="208"/>
  <c r="Q1346" i="208" s="1"/>
  <c r="I1346" i="208"/>
  <c r="J1346" i="208"/>
  <c r="L1346" i="208"/>
  <c r="C1347" i="208"/>
  <c r="D1347" i="208"/>
  <c r="E1347" i="208"/>
  <c r="S1347" i="208" s="1"/>
  <c r="H1347" i="208"/>
  <c r="Q1347" i="208" s="1"/>
  <c r="I1347" i="208"/>
  <c r="J1347" i="208"/>
  <c r="L1347" i="208"/>
  <c r="C1348" i="208"/>
  <c r="D1348" i="208"/>
  <c r="E1348" i="208"/>
  <c r="S1348" i="208" s="1"/>
  <c r="H1348" i="208"/>
  <c r="Q1348" i="208" s="1"/>
  <c r="I1348" i="208"/>
  <c r="J1348" i="208"/>
  <c r="L1348" i="208"/>
  <c r="C1349" i="208"/>
  <c r="D1349" i="208"/>
  <c r="E1349" i="208"/>
  <c r="S1349" i="208" s="1"/>
  <c r="H1349" i="208"/>
  <c r="Q1349" i="208" s="1"/>
  <c r="I1349" i="208"/>
  <c r="J1349" i="208"/>
  <c r="L1349" i="208"/>
  <c r="C1350" i="208"/>
  <c r="D1350" i="208"/>
  <c r="E1350" i="208"/>
  <c r="S1350" i="208" s="1"/>
  <c r="H1350" i="208"/>
  <c r="Q1350" i="208" s="1"/>
  <c r="I1350" i="208"/>
  <c r="J1350" i="208"/>
  <c r="L1350" i="208"/>
  <c r="C1351" i="208"/>
  <c r="D1351" i="208"/>
  <c r="E1351" i="208"/>
  <c r="S1351" i="208" s="1"/>
  <c r="H1351" i="208"/>
  <c r="Q1351" i="208" s="1"/>
  <c r="I1351" i="208"/>
  <c r="J1351" i="208"/>
  <c r="L1351" i="208"/>
  <c r="C1352" i="208"/>
  <c r="D1352" i="208"/>
  <c r="E1352" i="208"/>
  <c r="S1352" i="208" s="1"/>
  <c r="H1352" i="208"/>
  <c r="Q1352" i="208" s="1"/>
  <c r="I1352" i="208"/>
  <c r="J1352" i="208"/>
  <c r="L1352" i="208"/>
  <c r="C1353" i="208"/>
  <c r="D1353" i="208"/>
  <c r="E1353" i="208"/>
  <c r="S1353" i="208" s="1"/>
  <c r="H1353" i="208"/>
  <c r="Q1353" i="208" s="1"/>
  <c r="I1353" i="208"/>
  <c r="J1353" i="208"/>
  <c r="L1353" i="208"/>
  <c r="C1354" i="208"/>
  <c r="D1354" i="208"/>
  <c r="E1354" i="208"/>
  <c r="S1354" i="208" s="1"/>
  <c r="H1354" i="208"/>
  <c r="Q1354" i="208" s="1"/>
  <c r="I1354" i="208"/>
  <c r="J1354" i="208"/>
  <c r="L1354" i="208"/>
  <c r="C1355" i="208"/>
  <c r="D1355" i="208"/>
  <c r="E1355" i="208"/>
  <c r="S1355" i="208" s="1"/>
  <c r="H1355" i="208"/>
  <c r="Q1355" i="208" s="1"/>
  <c r="I1355" i="208"/>
  <c r="J1355" i="208"/>
  <c r="L1355" i="208"/>
  <c r="C1356" i="208"/>
  <c r="D1356" i="208"/>
  <c r="E1356" i="208"/>
  <c r="S1356" i="208" s="1"/>
  <c r="H1356" i="208"/>
  <c r="Q1356" i="208" s="1"/>
  <c r="I1356" i="208"/>
  <c r="J1356" i="208"/>
  <c r="L1356" i="208"/>
  <c r="C1357" i="208"/>
  <c r="D1357" i="208"/>
  <c r="E1357" i="208"/>
  <c r="S1357" i="208" s="1"/>
  <c r="H1357" i="208"/>
  <c r="Q1357" i="208" s="1"/>
  <c r="I1357" i="208"/>
  <c r="J1357" i="208"/>
  <c r="L1357" i="208"/>
  <c r="C1358" i="208"/>
  <c r="D1358" i="208"/>
  <c r="E1358" i="208"/>
  <c r="S1358" i="208" s="1"/>
  <c r="H1358" i="208"/>
  <c r="Q1358" i="208" s="1"/>
  <c r="I1358" i="208"/>
  <c r="J1358" i="208"/>
  <c r="L1358" i="208"/>
  <c r="C1359" i="208"/>
  <c r="D1359" i="208"/>
  <c r="E1359" i="208"/>
  <c r="S1359" i="208" s="1"/>
  <c r="H1359" i="208"/>
  <c r="Q1359" i="208" s="1"/>
  <c r="I1359" i="208"/>
  <c r="J1359" i="208"/>
  <c r="L1359" i="208"/>
  <c r="C1360" i="208"/>
  <c r="D1360" i="208"/>
  <c r="E1360" i="208"/>
  <c r="S1360" i="208" s="1"/>
  <c r="H1360" i="208"/>
  <c r="Q1360" i="208" s="1"/>
  <c r="I1360" i="208"/>
  <c r="J1360" i="208"/>
  <c r="L1360" i="208"/>
  <c r="C1361" i="208"/>
  <c r="D1361" i="208"/>
  <c r="E1361" i="208"/>
  <c r="S1361" i="208" s="1"/>
  <c r="H1361" i="208"/>
  <c r="Q1361" i="208" s="1"/>
  <c r="I1361" i="208"/>
  <c r="J1361" i="208"/>
  <c r="L1361" i="208"/>
  <c r="C1362" i="208"/>
  <c r="D1362" i="208"/>
  <c r="E1362" i="208"/>
  <c r="S1362" i="208" s="1"/>
  <c r="H1362" i="208"/>
  <c r="Q1362" i="208" s="1"/>
  <c r="I1362" i="208"/>
  <c r="J1362" i="208"/>
  <c r="L1362" i="208"/>
  <c r="C1363" i="208"/>
  <c r="D1363" i="208"/>
  <c r="E1363" i="208"/>
  <c r="S1363" i="208" s="1"/>
  <c r="H1363" i="208"/>
  <c r="Q1363" i="208" s="1"/>
  <c r="I1363" i="208"/>
  <c r="J1363" i="208"/>
  <c r="L1363" i="208"/>
  <c r="C1364" i="208"/>
  <c r="D1364" i="208"/>
  <c r="E1364" i="208"/>
  <c r="S1364" i="208" s="1"/>
  <c r="H1364" i="208"/>
  <c r="Q1364" i="208" s="1"/>
  <c r="I1364" i="208"/>
  <c r="J1364" i="208"/>
  <c r="L1364" i="208"/>
  <c r="C1365" i="208"/>
  <c r="D1365" i="208"/>
  <c r="E1365" i="208"/>
  <c r="S1365" i="208" s="1"/>
  <c r="H1365" i="208"/>
  <c r="Q1365" i="208" s="1"/>
  <c r="I1365" i="208"/>
  <c r="J1365" i="208"/>
  <c r="L1365" i="208"/>
  <c r="C1366" i="208"/>
  <c r="D1366" i="208"/>
  <c r="E1366" i="208"/>
  <c r="S1366" i="208" s="1"/>
  <c r="H1366" i="208"/>
  <c r="Q1366" i="208" s="1"/>
  <c r="I1366" i="208"/>
  <c r="J1366" i="208"/>
  <c r="L1366" i="208"/>
  <c r="C1367" i="208"/>
  <c r="D1367" i="208"/>
  <c r="E1367" i="208"/>
  <c r="S1367" i="208" s="1"/>
  <c r="H1367" i="208"/>
  <c r="Q1367" i="208" s="1"/>
  <c r="I1367" i="208"/>
  <c r="J1367" i="208"/>
  <c r="L1367" i="208"/>
  <c r="C1368" i="208"/>
  <c r="D1368" i="208"/>
  <c r="E1368" i="208"/>
  <c r="S1368" i="208" s="1"/>
  <c r="H1368" i="208"/>
  <c r="Q1368" i="208" s="1"/>
  <c r="I1368" i="208"/>
  <c r="J1368" i="208"/>
  <c r="L1368" i="208"/>
  <c r="C1369" i="208"/>
  <c r="D1369" i="208"/>
  <c r="E1369" i="208"/>
  <c r="S1369" i="208" s="1"/>
  <c r="H1369" i="208"/>
  <c r="Q1369" i="208" s="1"/>
  <c r="I1369" i="208"/>
  <c r="J1369" i="208"/>
  <c r="L1369" i="208"/>
  <c r="C1370" i="208"/>
  <c r="D1370" i="208"/>
  <c r="E1370" i="208"/>
  <c r="S1370" i="208" s="1"/>
  <c r="H1370" i="208"/>
  <c r="Q1370" i="208" s="1"/>
  <c r="I1370" i="208"/>
  <c r="J1370" i="208"/>
  <c r="L1370" i="208"/>
  <c r="C1371" i="208"/>
  <c r="D1371" i="208"/>
  <c r="E1371" i="208"/>
  <c r="S1371" i="208" s="1"/>
  <c r="H1371" i="208"/>
  <c r="Q1371" i="208" s="1"/>
  <c r="I1371" i="208"/>
  <c r="J1371" i="208"/>
  <c r="L1371" i="208"/>
  <c r="C1372" i="208"/>
  <c r="D1372" i="208"/>
  <c r="E1372" i="208"/>
  <c r="S1372" i="208" s="1"/>
  <c r="H1372" i="208"/>
  <c r="Q1372" i="208" s="1"/>
  <c r="I1372" i="208"/>
  <c r="J1372" i="208"/>
  <c r="L1372" i="208"/>
  <c r="C1373" i="208"/>
  <c r="D1373" i="208"/>
  <c r="E1373" i="208"/>
  <c r="S1373" i="208" s="1"/>
  <c r="H1373" i="208"/>
  <c r="Q1373" i="208" s="1"/>
  <c r="I1373" i="208"/>
  <c r="J1373" i="208"/>
  <c r="L1373" i="208"/>
  <c r="C1374" i="208"/>
  <c r="D1374" i="208"/>
  <c r="E1374" i="208"/>
  <c r="S1374" i="208" s="1"/>
  <c r="H1374" i="208"/>
  <c r="Q1374" i="208" s="1"/>
  <c r="I1374" i="208"/>
  <c r="J1374" i="208"/>
  <c r="L1374" i="208"/>
  <c r="C1375" i="208"/>
  <c r="D1375" i="208"/>
  <c r="E1375" i="208"/>
  <c r="S1375" i="208" s="1"/>
  <c r="H1375" i="208"/>
  <c r="Q1375" i="208" s="1"/>
  <c r="I1375" i="208"/>
  <c r="J1375" i="208"/>
  <c r="L1375" i="208"/>
  <c r="C1376" i="208"/>
  <c r="D1376" i="208"/>
  <c r="E1376" i="208"/>
  <c r="S1376" i="208" s="1"/>
  <c r="H1376" i="208"/>
  <c r="Q1376" i="208" s="1"/>
  <c r="I1376" i="208"/>
  <c r="J1376" i="208"/>
  <c r="L1376" i="208"/>
  <c r="C1377" i="208"/>
  <c r="D1377" i="208"/>
  <c r="E1377" i="208"/>
  <c r="S1377" i="208" s="1"/>
  <c r="H1377" i="208"/>
  <c r="Q1377" i="208" s="1"/>
  <c r="I1377" i="208"/>
  <c r="J1377" i="208"/>
  <c r="L1377" i="208"/>
  <c r="C1378" i="208"/>
  <c r="D1378" i="208"/>
  <c r="E1378" i="208"/>
  <c r="S1378" i="208" s="1"/>
  <c r="H1378" i="208"/>
  <c r="Q1378" i="208" s="1"/>
  <c r="I1378" i="208"/>
  <c r="J1378" i="208"/>
  <c r="L1378" i="208"/>
  <c r="C1379" i="208"/>
  <c r="D1379" i="208"/>
  <c r="E1379" i="208"/>
  <c r="S1379" i="208" s="1"/>
  <c r="H1379" i="208"/>
  <c r="Q1379" i="208" s="1"/>
  <c r="I1379" i="208"/>
  <c r="J1379" i="208"/>
  <c r="L1379" i="208"/>
  <c r="C1380" i="208"/>
  <c r="D1380" i="208"/>
  <c r="E1380" i="208"/>
  <c r="S1380" i="208" s="1"/>
  <c r="H1380" i="208"/>
  <c r="Q1380" i="208" s="1"/>
  <c r="I1380" i="208"/>
  <c r="J1380" i="208"/>
  <c r="L1380" i="208"/>
  <c r="C1381" i="208"/>
  <c r="D1381" i="208"/>
  <c r="E1381" i="208"/>
  <c r="S1381" i="208" s="1"/>
  <c r="H1381" i="208"/>
  <c r="Q1381" i="208" s="1"/>
  <c r="I1381" i="208"/>
  <c r="J1381" i="208"/>
  <c r="L1381" i="208"/>
  <c r="C1382" i="208"/>
  <c r="D1382" i="208"/>
  <c r="E1382" i="208"/>
  <c r="S1382" i="208" s="1"/>
  <c r="H1382" i="208"/>
  <c r="Q1382" i="208" s="1"/>
  <c r="I1382" i="208"/>
  <c r="J1382" i="208"/>
  <c r="L1382" i="208"/>
  <c r="C1383" i="208"/>
  <c r="D1383" i="208"/>
  <c r="E1383" i="208"/>
  <c r="S1383" i="208" s="1"/>
  <c r="H1383" i="208"/>
  <c r="Q1383" i="208" s="1"/>
  <c r="I1383" i="208"/>
  <c r="J1383" i="208"/>
  <c r="L1383" i="208"/>
  <c r="C1384" i="208"/>
  <c r="D1384" i="208"/>
  <c r="E1384" i="208"/>
  <c r="S1384" i="208" s="1"/>
  <c r="H1384" i="208"/>
  <c r="Q1384" i="208" s="1"/>
  <c r="I1384" i="208"/>
  <c r="J1384" i="208"/>
  <c r="L1384" i="208"/>
  <c r="C1385" i="208"/>
  <c r="D1385" i="208"/>
  <c r="E1385" i="208"/>
  <c r="S1385" i="208" s="1"/>
  <c r="H1385" i="208"/>
  <c r="Q1385" i="208" s="1"/>
  <c r="I1385" i="208"/>
  <c r="J1385" i="208"/>
  <c r="L1385" i="208"/>
  <c r="C1386" i="208"/>
  <c r="D1386" i="208"/>
  <c r="E1386" i="208"/>
  <c r="S1386" i="208" s="1"/>
  <c r="H1386" i="208"/>
  <c r="Q1386" i="208" s="1"/>
  <c r="I1386" i="208"/>
  <c r="J1386" i="208"/>
  <c r="L1386" i="208"/>
  <c r="C1387" i="208"/>
  <c r="D1387" i="208"/>
  <c r="E1387" i="208"/>
  <c r="S1387" i="208" s="1"/>
  <c r="H1387" i="208"/>
  <c r="Q1387" i="208" s="1"/>
  <c r="I1387" i="208"/>
  <c r="J1387" i="208"/>
  <c r="L1387" i="208"/>
  <c r="C1388" i="208"/>
  <c r="D1388" i="208"/>
  <c r="E1388" i="208"/>
  <c r="S1388" i="208" s="1"/>
  <c r="H1388" i="208"/>
  <c r="Q1388" i="208" s="1"/>
  <c r="I1388" i="208"/>
  <c r="J1388" i="208"/>
  <c r="L1388" i="208"/>
  <c r="C1389" i="208"/>
  <c r="D1389" i="208"/>
  <c r="E1389" i="208"/>
  <c r="S1389" i="208" s="1"/>
  <c r="H1389" i="208"/>
  <c r="Q1389" i="208" s="1"/>
  <c r="I1389" i="208"/>
  <c r="J1389" i="208"/>
  <c r="L1389" i="208"/>
  <c r="C1390" i="208"/>
  <c r="D1390" i="208"/>
  <c r="E1390" i="208"/>
  <c r="S1390" i="208" s="1"/>
  <c r="H1390" i="208"/>
  <c r="Q1390" i="208" s="1"/>
  <c r="I1390" i="208"/>
  <c r="J1390" i="208"/>
  <c r="L1390" i="208"/>
  <c r="C1391" i="208"/>
  <c r="D1391" i="208"/>
  <c r="E1391" i="208"/>
  <c r="S1391" i="208" s="1"/>
  <c r="H1391" i="208"/>
  <c r="Q1391" i="208" s="1"/>
  <c r="I1391" i="208"/>
  <c r="J1391" i="208"/>
  <c r="L1391" i="208"/>
  <c r="C1392" i="208"/>
  <c r="D1392" i="208"/>
  <c r="E1392" i="208"/>
  <c r="S1392" i="208" s="1"/>
  <c r="H1392" i="208"/>
  <c r="Q1392" i="208" s="1"/>
  <c r="I1392" i="208"/>
  <c r="J1392" i="208"/>
  <c r="L1392" i="208"/>
  <c r="C1393" i="208"/>
  <c r="D1393" i="208"/>
  <c r="E1393" i="208"/>
  <c r="S1393" i="208" s="1"/>
  <c r="H1393" i="208"/>
  <c r="Q1393" i="208" s="1"/>
  <c r="I1393" i="208"/>
  <c r="J1393" i="208"/>
  <c r="L1393" i="208"/>
  <c r="C1394" i="208"/>
  <c r="D1394" i="208"/>
  <c r="E1394" i="208"/>
  <c r="S1394" i="208" s="1"/>
  <c r="H1394" i="208"/>
  <c r="Q1394" i="208" s="1"/>
  <c r="I1394" i="208"/>
  <c r="J1394" i="208"/>
  <c r="L1394" i="208"/>
  <c r="C1395" i="208"/>
  <c r="D1395" i="208"/>
  <c r="E1395" i="208"/>
  <c r="S1395" i="208" s="1"/>
  <c r="H1395" i="208"/>
  <c r="Q1395" i="208" s="1"/>
  <c r="I1395" i="208"/>
  <c r="J1395" i="208"/>
  <c r="L1395" i="208"/>
  <c r="C1396" i="208"/>
  <c r="D1396" i="208"/>
  <c r="E1396" i="208"/>
  <c r="S1396" i="208" s="1"/>
  <c r="H1396" i="208"/>
  <c r="Q1396" i="208" s="1"/>
  <c r="I1396" i="208"/>
  <c r="J1396" i="208"/>
  <c r="L1396" i="208"/>
  <c r="C1397" i="208"/>
  <c r="D1397" i="208"/>
  <c r="E1397" i="208"/>
  <c r="S1397" i="208" s="1"/>
  <c r="H1397" i="208"/>
  <c r="Q1397" i="208" s="1"/>
  <c r="I1397" i="208"/>
  <c r="J1397" i="208"/>
  <c r="L1397" i="208"/>
  <c r="C1398" i="208"/>
  <c r="D1398" i="208"/>
  <c r="E1398" i="208"/>
  <c r="S1398" i="208" s="1"/>
  <c r="H1398" i="208"/>
  <c r="Q1398" i="208" s="1"/>
  <c r="I1398" i="208"/>
  <c r="J1398" i="208"/>
  <c r="L1398" i="208"/>
  <c r="C1399" i="208"/>
  <c r="D1399" i="208"/>
  <c r="E1399" i="208"/>
  <c r="S1399" i="208" s="1"/>
  <c r="H1399" i="208"/>
  <c r="Q1399" i="208" s="1"/>
  <c r="I1399" i="208"/>
  <c r="J1399" i="208"/>
  <c r="L1399" i="208"/>
  <c r="C1400" i="208"/>
  <c r="D1400" i="208"/>
  <c r="E1400" i="208"/>
  <c r="S1400" i="208" s="1"/>
  <c r="H1400" i="208"/>
  <c r="Q1400" i="208" s="1"/>
  <c r="I1400" i="208"/>
  <c r="J1400" i="208"/>
  <c r="L1400" i="208"/>
  <c r="C1401" i="208"/>
  <c r="D1401" i="208"/>
  <c r="E1401" i="208"/>
  <c r="S1401" i="208" s="1"/>
  <c r="H1401" i="208"/>
  <c r="Q1401" i="208" s="1"/>
  <c r="I1401" i="208"/>
  <c r="J1401" i="208"/>
  <c r="L1401" i="208"/>
  <c r="C1402" i="208"/>
  <c r="D1402" i="208"/>
  <c r="E1402" i="208"/>
  <c r="S1402" i="208" s="1"/>
  <c r="H1402" i="208"/>
  <c r="Q1402" i="208" s="1"/>
  <c r="I1402" i="208"/>
  <c r="J1402" i="208"/>
  <c r="L1402" i="208"/>
  <c r="C1403" i="208"/>
  <c r="D1403" i="208"/>
  <c r="E1403" i="208"/>
  <c r="S1403" i="208" s="1"/>
  <c r="H1403" i="208"/>
  <c r="Q1403" i="208" s="1"/>
  <c r="I1403" i="208"/>
  <c r="J1403" i="208"/>
  <c r="L1403" i="208"/>
  <c r="C1404" i="208"/>
  <c r="D1404" i="208"/>
  <c r="E1404" i="208"/>
  <c r="S1404" i="208" s="1"/>
  <c r="H1404" i="208"/>
  <c r="Q1404" i="208" s="1"/>
  <c r="I1404" i="208"/>
  <c r="J1404" i="208"/>
  <c r="L1404" i="208"/>
  <c r="C1405" i="208"/>
  <c r="D1405" i="208"/>
  <c r="E1405" i="208"/>
  <c r="S1405" i="208" s="1"/>
  <c r="H1405" i="208"/>
  <c r="Q1405" i="208" s="1"/>
  <c r="I1405" i="208"/>
  <c r="J1405" i="208"/>
  <c r="L1405" i="208"/>
  <c r="C1406" i="208"/>
  <c r="D1406" i="208"/>
  <c r="E1406" i="208"/>
  <c r="S1406" i="208" s="1"/>
  <c r="H1406" i="208"/>
  <c r="Q1406" i="208" s="1"/>
  <c r="I1406" i="208"/>
  <c r="J1406" i="208"/>
  <c r="L1406" i="208"/>
  <c r="C1407" i="208"/>
  <c r="D1407" i="208"/>
  <c r="E1407" i="208"/>
  <c r="S1407" i="208" s="1"/>
  <c r="H1407" i="208"/>
  <c r="Q1407" i="208" s="1"/>
  <c r="I1407" i="208"/>
  <c r="J1407" i="208"/>
  <c r="L1407" i="208"/>
  <c r="C1408" i="208"/>
  <c r="D1408" i="208"/>
  <c r="E1408" i="208"/>
  <c r="S1408" i="208" s="1"/>
  <c r="H1408" i="208"/>
  <c r="Q1408" i="208" s="1"/>
  <c r="I1408" i="208"/>
  <c r="J1408" i="208"/>
  <c r="L1408" i="208"/>
  <c r="C1409" i="208"/>
  <c r="D1409" i="208"/>
  <c r="E1409" i="208"/>
  <c r="S1409" i="208" s="1"/>
  <c r="H1409" i="208"/>
  <c r="Q1409" i="208" s="1"/>
  <c r="I1409" i="208"/>
  <c r="J1409" i="208"/>
  <c r="L1409" i="208"/>
  <c r="C1410" i="208"/>
  <c r="D1410" i="208"/>
  <c r="E1410" i="208"/>
  <c r="S1410" i="208" s="1"/>
  <c r="H1410" i="208"/>
  <c r="Q1410" i="208" s="1"/>
  <c r="I1410" i="208"/>
  <c r="J1410" i="208"/>
  <c r="L1410" i="208"/>
  <c r="C1411" i="208"/>
  <c r="D1411" i="208"/>
  <c r="E1411" i="208"/>
  <c r="S1411" i="208" s="1"/>
  <c r="H1411" i="208"/>
  <c r="Q1411" i="208" s="1"/>
  <c r="I1411" i="208"/>
  <c r="J1411" i="208"/>
  <c r="L1411" i="208"/>
  <c r="C1412" i="208"/>
  <c r="D1412" i="208"/>
  <c r="E1412" i="208"/>
  <c r="S1412" i="208" s="1"/>
  <c r="H1412" i="208"/>
  <c r="Q1412" i="208" s="1"/>
  <c r="I1412" i="208"/>
  <c r="J1412" i="208"/>
  <c r="L1412" i="208"/>
  <c r="C1413" i="208"/>
  <c r="D1413" i="208"/>
  <c r="E1413" i="208"/>
  <c r="S1413" i="208" s="1"/>
  <c r="H1413" i="208"/>
  <c r="Q1413" i="208" s="1"/>
  <c r="I1413" i="208"/>
  <c r="J1413" i="208"/>
  <c r="L1413" i="208"/>
  <c r="C1414" i="208"/>
  <c r="D1414" i="208"/>
  <c r="E1414" i="208"/>
  <c r="S1414" i="208" s="1"/>
  <c r="H1414" i="208"/>
  <c r="Q1414" i="208" s="1"/>
  <c r="I1414" i="208"/>
  <c r="J1414" i="208"/>
  <c r="L1414" i="208"/>
  <c r="C1415" i="208"/>
  <c r="D1415" i="208"/>
  <c r="E1415" i="208"/>
  <c r="S1415" i="208" s="1"/>
  <c r="H1415" i="208"/>
  <c r="Q1415" i="208" s="1"/>
  <c r="I1415" i="208"/>
  <c r="J1415" i="208"/>
  <c r="L1415" i="208"/>
  <c r="C1416" i="208"/>
  <c r="D1416" i="208"/>
  <c r="E1416" i="208"/>
  <c r="S1416" i="208" s="1"/>
  <c r="H1416" i="208"/>
  <c r="Q1416" i="208" s="1"/>
  <c r="I1416" i="208"/>
  <c r="J1416" i="208"/>
  <c r="L1416" i="208"/>
  <c r="C1417" i="208"/>
  <c r="D1417" i="208"/>
  <c r="E1417" i="208"/>
  <c r="S1417" i="208" s="1"/>
  <c r="H1417" i="208"/>
  <c r="Q1417" i="208" s="1"/>
  <c r="I1417" i="208"/>
  <c r="J1417" i="208"/>
  <c r="L1417" i="208"/>
  <c r="C1418" i="208"/>
  <c r="D1418" i="208"/>
  <c r="E1418" i="208"/>
  <c r="S1418" i="208" s="1"/>
  <c r="H1418" i="208"/>
  <c r="Q1418" i="208" s="1"/>
  <c r="I1418" i="208"/>
  <c r="J1418" i="208"/>
  <c r="L1418" i="208"/>
  <c r="C1419" i="208"/>
  <c r="D1419" i="208"/>
  <c r="E1419" i="208"/>
  <c r="S1419" i="208" s="1"/>
  <c r="H1419" i="208"/>
  <c r="Q1419" i="208" s="1"/>
  <c r="I1419" i="208"/>
  <c r="J1419" i="208"/>
  <c r="L1419" i="208"/>
  <c r="C1420" i="208"/>
  <c r="D1420" i="208"/>
  <c r="E1420" i="208"/>
  <c r="S1420" i="208" s="1"/>
  <c r="H1420" i="208"/>
  <c r="Q1420" i="208" s="1"/>
  <c r="I1420" i="208"/>
  <c r="J1420" i="208"/>
  <c r="L1420" i="208"/>
  <c r="C1421" i="208"/>
  <c r="D1421" i="208"/>
  <c r="E1421" i="208"/>
  <c r="S1421" i="208" s="1"/>
  <c r="H1421" i="208"/>
  <c r="Q1421" i="208" s="1"/>
  <c r="I1421" i="208"/>
  <c r="J1421" i="208"/>
  <c r="L1421" i="208"/>
  <c r="C1422" i="208"/>
  <c r="D1422" i="208"/>
  <c r="E1422" i="208"/>
  <c r="S1422" i="208" s="1"/>
  <c r="H1422" i="208"/>
  <c r="Q1422" i="208" s="1"/>
  <c r="I1422" i="208"/>
  <c r="J1422" i="208"/>
  <c r="L1422" i="208"/>
  <c r="C1423" i="208"/>
  <c r="D1423" i="208"/>
  <c r="E1423" i="208"/>
  <c r="S1423" i="208" s="1"/>
  <c r="H1423" i="208"/>
  <c r="Q1423" i="208" s="1"/>
  <c r="I1423" i="208"/>
  <c r="J1423" i="208"/>
  <c r="L1423" i="208"/>
  <c r="C1424" i="208"/>
  <c r="D1424" i="208"/>
  <c r="E1424" i="208"/>
  <c r="S1424" i="208" s="1"/>
  <c r="H1424" i="208"/>
  <c r="Q1424" i="208" s="1"/>
  <c r="I1424" i="208"/>
  <c r="J1424" i="208"/>
  <c r="L1424" i="208"/>
  <c r="C1425" i="208"/>
  <c r="D1425" i="208"/>
  <c r="E1425" i="208"/>
  <c r="S1425" i="208" s="1"/>
  <c r="H1425" i="208"/>
  <c r="Q1425" i="208" s="1"/>
  <c r="I1425" i="208"/>
  <c r="J1425" i="208"/>
  <c r="L1425" i="208"/>
  <c r="C1426" i="208"/>
  <c r="D1426" i="208"/>
  <c r="E1426" i="208"/>
  <c r="S1426" i="208" s="1"/>
  <c r="H1426" i="208"/>
  <c r="Q1426" i="208" s="1"/>
  <c r="I1426" i="208"/>
  <c r="J1426" i="208"/>
  <c r="L1426" i="208"/>
  <c r="C1427" i="208"/>
  <c r="D1427" i="208"/>
  <c r="E1427" i="208"/>
  <c r="S1427" i="208" s="1"/>
  <c r="H1427" i="208"/>
  <c r="Q1427" i="208" s="1"/>
  <c r="I1427" i="208"/>
  <c r="J1427" i="208"/>
  <c r="L1427" i="208"/>
  <c r="C1428" i="208"/>
  <c r="D1428" i="208"/>
  <c r="E1428" i="208"/>
  <c r="S1428" i="208" s="1"/>
  <c r="H1428" i="208"/>
  <c r="Q1428" i="208" s="1"/>
  <c r="I1428" i="208"/>
  <c r="J1428" i="208"/>
  <c r="L1428" i="208"/>
  <c r="C1429" i="208"/>
  <c r="D1429" i="208"/>
  <c r="E1429" i="208"/>
  <c r="S1429" i="208" s="1"/>
  <c r="H1429" i="208"/>
  <c r="Q1429" i="208" s="1"/>
  <c r="I1429" i="208"/>
  <c r="J1429" i="208"/>
  <c r="L1429" i="208"/>
  <c r="C1430" i="208"/>
  <c r="D1430" i="208"/>
  <c r="E1430" i="208"/>
  <c r="S1430" i="208" s="1"/>
  <c r="H1430" i="208"/>
  <c r="Q1430" i="208" s="1"/>
  <c r="I1430" i="208"/>
  <c r="J1430" i="208"/>
  <c r="L1430" i="208"/>
  <c r="C1431" i="208"/>
  <c r="D1431" i="208"/>
  <c r="E1431" i="208"/>
  <c r="S1431" i="208" s="1"/>
  <c r="H1431" i="208"/>
  <c r="Q1431" i="208" s="1"/>
  <c r="I1431" i="208"/>
  <c r="J1431" i="208"/>
  <c r="L1431" i="208"/>
  <c r="C1432" i="208"/>
  <c r="D1432" i="208"/>
  <c r="E1432" i="208"/>
  <c r="S1432" i="208" s="1"/>
  <c r="H1432" i="208"/>
  <c r="Q1432" i="208" s="1"/>
  <c r="I1432" i="208"/>
  <c r="J1432" i="208"/>
  <c r="L1432" i="208"/>
  <c r="C1433" i="208"/>
  <c r="D1433" i="208"/>
  <c r="E1433" i="208"/>
  <c r="S1433" i="208" s="1"/>
  <c r="H1433" i="208"/>
  <c r="Q1433" i="208" s="1"/>
  <c r="I1433" i="208"/>
  <c r="J1433" i="208"/>
  <c r="L1433" i="208"/>
  <c r="C1434" i="208"/>
  <c r="D1434" i="208"/>
  <c r="E1434" i="208"/>
  <c r="S1434" i="208" s="1"/>
  <c r="H1434" i="208"/>
  <c r="Q1434" i="208" s="1"/>
  <c r="I1434" i="208"/>
  <c r="J1434" i="208"/>
  <c r="L1434" i="208"/>
  <c r="C1435" i="208"/>
  <c r="D1435" i="208"/>
  <c r="E1435" i="208"/>
  <c r="S1435" i="208" s="1"/>
  <c r="H1435" i="208"/>
  <c r="Q1435" i="208" s="1"/>
  <c r="I1435" i="208"/>
  <c r="J1435" i="208"/>
  <c r="L1435" i="208"/>
  <c r="C1436" i="208"/>
  <c r="D1436" i="208"/>
  <c r="E1436" i="208"/>
  <c r="S1436" i="208" s="1"/>
  <c r="H1436" i="208"/>
  <c r="Q1436" i="208" s="1"/>
  <c r="I1436" i="208"/>
  <c r="J1436" i="208"/>
  <c r="L1436" i="208"/>
  <c r="C1437" i="208"/>
  <c r="D1437" i="208"/>
  <c r="E1437" i="208"/>
  <c r="S1437" i="208" s="1"/>
  <c r="H1437" i="208"/>
  <c r="Q1437" i="208" s="1"/>
  <c r="I1437" i="208"/>
  <c r="J1437" i="208"/>
  <c r="L1437" i="208"/>
  <c r="C1438" i="208"/>
  <c r="D1438" i="208"/>
  <c r="E1438" i="208"/>
  <c r="S1438" i="208" s="1"/>
  <c r="H1438" i="208"/>
  <c r="Q1438" i="208" s="1"/>
  <c r="I1438" i="208"/>
  <c r="J1438" i="208"/>
  <c r="L1438" i="208"/>
  <c r="C1439" i="208"/>
  <c r="D1439" i="208"/>
  <c r="E1439" i="208"/>
  <c r="S1439" i="208" s="1"/>
  <c r="H1439" i="208"/>
  <c r="Q1439" i="208" s="1"/>
  <c r="I1439" i="208"/>
  <c r="J1439" i="208"/>
  <c r="L1439" i="208"/>
  <c r="C1440" i="208"/>
  <c r="D1440" i="208"/>
  <c r="E1440" i="208"/>
  <c r="S1440" i="208" s="1"/>
  <c r="H1440" i="208"/>
  <c r="Q1440" i="208" s="1"/>
  <c r="I1440" i="208"/>
  <c r="J1440" i="208"/>
  <c r="L1440" i="208"/>
  <c r="C1441" i="208"/>
  <c r="D1441" i="208"/>
  <c r="E1441" i="208"/>
  <c r="S1441" i="208" s="1"/>
  <c r="H1441" i="208"/>
  <c r="Q1441" i="208" s="1"/>
  <c r="I1441" i="208"/>
  <c r="J1441" i="208"/>
  <c r="L1441" i="208"/>
  <c r="C1442" i="208"/>
  <c r="D1442" i="208"/>
  <c r="E1442" i="208"/>
  <c r="S1442" i="208" s="1"/>
  <c r="H1442" i="208"/>
  <c r="Q1442" i="208" s="1"/>
  <c r="I1442" i="208"/>
  <c r="J1442" i="208"/>
  <c r="L1442" i="208"/>
  <c r="C1443" i="208"/>
  <c r="D1443" i="208"/>
  <c r="E1443" i="208"/>
  <c r="S1443" i="208" s="1"/>
  <c r="H1443" i="208"/>
  <c r="Q1443" i="208" s="1"/>
  <c r="I1443" i="208"/>
  <c r="J1443" i="208"/>
  <c r="L1443" i="208"/>
  <c r="C1444" i="208"/>
  <c r="D1444" i="208"/>
  <c r="E1444" i="208"/>
  <c r="S1444" i="208" s="1"/>
  <c r="H1444" i="208"/>
  <c r="Q1444" i="208" s="1"/>
  <c r="I1444" i="208"/>
  <c r="J1444" i="208"/>
  <c r="L1444" i="208"/>
  <c r="C1445" i="208"/>
  <c r="D1445" i="208"/>
  <c r="E1445" i="208"/>
  <c r="S1445" i="208" s="1"/>
  <c r="H1445" i="208"/>
  <c r="Q1445" i="208" s="1"/>
  <c r="I1445" i="208"/>
  <c r="J1445" i="208"/>
  <c r="L1445" i="208"/>
  <c r="C1446" i="208"/>
  <c r="D1446" i="208"/>
  <c r="E1446" i="208"/>
  <c r="S1446" i="208" s="1"/>
  <c r="H1446" i="208"/>
  <c r="Q1446" i="208" s="1"/>
  <c r="I1446" i="208"/>
  <c r="J1446" i="208"/>
  <c r="L1446" i="208"/>
  <c r="C1447" i="208"/>
  <c r="D1447" i="208"/>
  <c r="E1447" i="208"/>
  <c r="S1447" i="208" s="1"/>
  <c r="H1447" i="208"/>
  <c r="Q1447" i="208" s="1"/>
  <c r="I1447" i="208"/>
  <c r="J1447" i="208"/>
  <c r="L1447" i="208"/>
  <c r="C1448" i="208"/>
  <c r="D1448" i="208"/>
  <c r="E1448" i="208"/>
  <c r="S1448" i="208" s="1"/>
  <c r="H1448" i="208"/>
  <c r="Q1448" i="208" s="1"/>
  <c r="I1448" i="208"/>
  <c r="J1448" i="208"/>
  <c r="L1448" i="208"/>
  <c r="C1449" i="208"/>
  <c r="D1449" i="208"/>
  <c r="E1449" i="208"/>
  <c r="S1449" i="208" s="1"/>
  <c r="H1449" i="208"/>
  <c r="Q1449" i="208" s="1"/>
  <c r="I1449" i="208"/>
  <c r="J1449" i="208"/>
  <c r="L1449" i="208"/>
  <c r="C1450" i="208"/>
  <c r="D1450" i="208"/>
  <c r="E1450" i="208"/>
  <c r="S1450" i="208" s="1"/>
  <c r="H1450" i="208"/>
  <c r="Q1450" i="208" s="1"/>
  <c r="I1450" i="208"/>
  <c r="J1450" i="208"/>
  <c r="L1450" i="208"/>
  <c r="C1451" i="208"/>
  <c r="D1451" i="208"/>
  <c r="E1451" i="208"/>
  <c r="S1451" i="208" s="1"/>
  <c r="H1451" i="208"/>
  <c r="Q1451" i="208" s="1"/>
  <c r="I1451" i="208"/>
  <c r="J1451" i="208"/>
  <c r="L1451" i="208"/>
  <c r="C1452" i="208"/>
  <c r="D1452" i="208"/>
  <c r="E1452" i="208"/>
  <c r="S1452" i="208" s="1"/>
  <c r="H1452" i="208"/>
  <c r="Q1452" i="208" s="1"/>
  <c r="I1452" i="208"/>
  <c r="J1452" i="208"/>
  <c r="L1452" i="208"/>
  <c r="C1453" i="208"/>
  <c r="D1453" i="208"/>
  <c r="E1453" i="208"/>
  <c r="S1453" i="208" s="1"/>
  <c r="H1453" i="208"/>
  <c r="Q1453" i="208" s="1"/>
  <c r="I1453" i="208"/>
  <c r="J1453" i="208"/>
  <c r="L1453" i="208"/>
  <c r="C1454" i="208"/>
  <c r="D1454" i="208"/>
  <c r="E1454" i="208"/>
  <c r="S1454" i="208" s="1"/>
  <c r="H1454" i="208"/>
  <c r="Q1454" i="208" s="1"/>
  <c r="I1454" i="208"/>
  <c r="J1454" i="208"/>
  <c r="L1454" i="208"/>
  <c r="C1455" i="208"/>
  <c r="D1455" i="208"/>
  <c r="E1455" i="208"/>
  <c r="S1455" i="208" s="1"/>
  <c r="H1455" i="208"/>
  <c r="Q1455" i="208" s="1"/>
  <c r="I1455" i="208"/>
  <c r="J1455" i="208"/>
  <c r="L1455" i="208"/>
  <c r="C1456" i="208"/>
  <c r="D1456" i="208"/>
  <c r="E1456" i="208"/>
  <c r="S1456" i="208" s="1"/>
  <c r="H1456" i="208"/>
  <c r="Q1456" i="208" s="1"/>
  <c r="I1456" i="208"/>
  <c r="J1456" i="208"/>
  <c r="L1456" i="208"/>
  <c r="C1457" i="208"/>
  <c r="D1457" i="208"/>
  <c r="E1457" i="208"/>
  <c r="S1457" i="208" s="1"/>
  <c r="H1457" i="208"/>
  <c r="Q1457" i="208" s="1"/>
  <c r="I1457" i="208"/>
  <c r="J1457" i="208"/>
  <c r="L1457" i="208"/>
  <c r="C1458" i="208"/>
  <c r="D1458" i="208"/>
  <c r="E1458" i="208"/>
  <c r="S1458" i="208" s="1"/>
  <c r="H1458" i="208"/>
  <c r="Q1458" i="208" s="1"/>
  <c r="I1458" i="208"/>
  <c r="J1458" i="208"/>
  <c r="L1458" i="208"/>
  <c r="C1459" i="208"/>
  <c r="D1459" i="208"/>
  <c r="E1459" i="208"/>
  <c r="S1459" i="208" s="1"/>
  <c r="H1459" i="208"/>
  <c r="Q1459" i="208" s="1"/>
  <c r="I1459" i="208"/>
  <c r="J1459" i="208"/>
  <c r="L1459" i="208"/>
  <c r="C1460" i="208"/>
  <c r="D1460" i="208"/>
  <c r="E1460" i="208"/>
  <c r="S1460" i="208" s="1"/>
  <c r="H1460" i="208"/>
  <c r="Q1460" i="208" s="1"/>
  <c r="I1460" i="208"/>
  <c r="J1460" i="208"/>
  <c r="L1460" i="208"/>
  <c r="C1461" i="208"/>
  <c r="D1461" i="208"/>
  <c r="E1461" i="208"/>
  <c r="S1461" i="208" s="1"/>
  <c r="H1461" i="208"/>
  <c r="Q1461" i="208" s="1"/>
  <c r="I1461" i="208"/>
  <c r="J1461" i="208"/>
  <c r="L1461" i="208"/>
  <c r="C1462" i="208"/>
  <c r="D1462" i="208"/>
  <c r="E1462" i="208"/>
  <c r="S1462" i="208" s="1"/>
  <c r="H1462" i="208"/>
  <c r="Q1462" i="208" s="1"/>
  <c r="I1462" i="208"/>
  <c r="J1462" i="208"/>
  <c r="L1462" i="208"/>
  <c r="C1463" i="208"/>
  <c r="D1463" i="208"/>
  <c r="E1463" i="208"/>
  <c r="S1463" i="208" s="1"/>
  <c r="H1463" i="208"/>
  <c r="Q1463" i="208" s="1"/>
  <c r="I1463" i="208"/>
  <c r="J1463" i="208"/>
  <c r="L1463" i="208"/>
  <c r="C1464" i="208"/>
  <c r="D1464" i="208"/>
  <c r="E1464" i="208"/>
  <c r="S1464" i="208" s="1"/>
  <c r="H1464" i="208"/>
  <c r="Q1464" i="208" s="1"/>
  <c r="I1464" i="208"/>
  <c r="J1464" i="208"/>
  <c r="L1464" i="208"/>
  <c r="C1465" i="208"/>
  <c r="D1465" i="208"/>
  <c r="E1465" i="208"/>
  <c r="S1465" i="208" s="1"/>
  <c r="H1465" i="208"/>
  <c r="Q1465" i="208" s="1"/>
  <c r="I1465" i="208"/>
  <c r="J1465" i="208"/>
  <c r="L1465" i="208"/>
  <c r="C1466" i="208"/>
  <c r="D1466" i="208"/>
  <c r="E1466" i="208"/>
  <c r="S1466" i="208" s="1"/>
  <c r="H1466" i="208"/>
  <c r="Q1466" i="208" s="1"/>
  <c r="I1466" i="208"/>
  <c r="J1466" i="208"/>
  <c r="L1466" i="208"/>
  <c r="C1467" i="208"/>
  <c r="D1467" i="208"/>
  <c r="E1467" i="208"/>
  <c r="S1467" i="208" s="1"/>
  <c r="H1467" i="208"/>
  <c r="Q1467" i="208" s="1"/>
  <c r="I1467" i="208"/>
  <c r="J1467" i="208"/>
  <c r="L1467" i="208"/>
  <c r="C1468" i="208"/>
  <c r="D1468" i="208"/>
  <c r="E1468" i="208"/>
  <c r="S1468" i="208" s="1"/>
  <c r="H1468" i="208"/>
  <c r="Q1468" i="208" s="1"/>
  <c r="I1468" i="208"/>
  <c r="J1468" i="208"/>
  <c r="L1468" i="208"/>
  <c r="C1469" i="208"/>
  <c r="D1469" i="208"/>
  <c r="E1469" i="208"/>
  <c r="S1469" i="208" s="1"/>
  <c r="H1469" i="208"/>
  <c r="Q1469" i="208" s="1"/>
  <c r="I1469" i="208"/>
  <c r="J1469" i="208"/>
  <c r="L1469" i="208"/>
  <c r="C1470" i="208"/>
  <c r="D1470" i="208"/>
  <c r="E1470" i="208"/>
  <c r="S1470" i="208" s="1"/>
  <c r="H1470" i="208"/>
  <c r="Q1470" i="208" s="1"/>
  <c r="I1470" i="208"/>
  <c r="J1470" i="208"/>
  <c r="L1470" i="208"/>
  <c r="C1471" i="208"/>
  <c r="D1471" i="208"/>
  <c r="E1471" i="208"/>
  <c r="S1471" i="208" s="1"/>
  <c r="H1471" i="208"/>
  <c r="Q1471" i="208" s="1"/>
  <c r="I1471" i="208"/>
  <c r="J1471" i="208"/>
  <c r="L1471" i="208"/>
  <c r="C1472" i="208"/>
  <c r="D1472" i="208"/>
  <c r="E1472" i="208"/>
  <c r="S1472" i="208" s="1"/>
  <c r="H1472" i="208"/>
  <c r="Q1472" i="208" s="1"/>
  <c r="I1472" i="208"/>
  <c r="J1472" i="208"/>
  <c r="L1472" i="208"/>
  <c r="C1473" i="208"/>
  <c r="D1473" i="208"/>
  <c r="E1473" i="208"/>
  <c r="S1473" i="208" s="1"/>
  <c r="H1473" i="208"/>
  <c r="Q1473" i="208" s="1"/>
  <c r="I1473" i="208"/>
  <c r="J1473" i="208"/>
  <c r="L1473" i="208"/>
  <c r="C1474" i="208"/>
  <c r="D1474" i="208"/>
  <c r="E1474" i="208"/>
  <c r="S1474" i="208" s="1"/>
  <c r="H1474" i="208"/>
  <c r="Q1474" i="208" s="1"/>
  <c r="I1474" i="208"/>
  <c r="J1474" i="208"/>
  <c r="L1474" i="208"/>
  <c r="C1475" i="208"/>
  <c r="D1475" i="208"/>
  <c r="E1475" i="208"/>
  <c r="S1475" i="208" s="1"/>
  <c r="H1475" i="208"/>
  <c r="Q1475" i="208" s="1"/>
  <c r="I1475" i="208"/>
  <c r="J1475" i="208"/>
  <c r="L1475" i="208"/>
  <c r="C1476" i="208"/>
  <c r="D1476" i="208"/>
  <c r="E1476" i="208"/>
  <c r="S1476" i="208" s="1"/>
  <c r="H1476" i="208"/>
  <c r="Q1476" i="208" s="1"/>
  <c r="I1476" i="208"/>
  <c r="J1476" i="208"/>
  <c r="L1476" i="208"/>
  <c r="C1477" i="208"/>
  <c r="D1477" i="208"/>
  <c r="E1477" i="208"/>
  <c r="S1477" i="208" s="1"/>
  <c r="H1477" i="208"/>
  <c r="Q1477" i="208" s="1"/>
  <c r="I1477" i="208"/>
  <c r="J1477" i="208"/>
  <c r="L1477" i="208"/>
  <c r="C1478" i="208"/>
  <c r="D1478" i="208"/>
  <c r="E1478" i="208"/>
  <c r="S1478" i="208" s="1"/>
  <c r="H1478" i="208"/>
  <c r="Q1478" i="208" s="1"/>
  <c r="I1478" i="208"/>
  <c r="J1478" i="208"/>
  <c r="L1478" i="208"/>
  <c r="C1479" i="208"/>
  <c r="D1479" i="208"/>
  <c r="E1479" i="208"/>
  <c r="S1479" i="208" s="1"/>
  <c r="H1479" i="208"/>
  <c r="Q1479" i="208" s="1"/>
  <c r="I1479" i="208"/>
  <c r="J1479" i="208"/>
  <c r="L1479" i="208"/>
  <c r="C1480" i="208"/>
  <c r="D1480" i="208"/>
  <c r="E1480" i="208"/>
  <c r="S1480" i="208" s="1"/>
  <c r="H1480" i="208"/>
  <c r="Q1480" i="208" s="1"/>
  <c r="I1480" i="208"/>
  <c r="J1480" i="208"/>
  <c r="L1480" i="208"/>
  <c r="C1481" i="208"/>
  <c r="D1481" i="208"/>
  <c r="E1481" i="208"/>
  <c r="S1481" i="208" s="1"/>
  <c r="H1481" i="208"/>
  <c r="Q1481" i="208" s="1"/>
  <c r="I1481" i="208"/>
  <c r="J1481" i="208"/>
  <c r="L1481" i="208"/>
  <c r="C1482" i="208"/>
  <c r="D1482" i="208"/>
  <c r="E1482" i="208"/>
  <c r="S1482" i="208" s="1"/>
  <c r="H1482" i="208"/>
  <c r="Q1482" i="208" s="1"/>
  <c r="I1482" i="208"/>
  <c r="J1482" i="208"/>
  <c r="L1482" i="208"/>
  <c r="C1483" i="208"/>
  <c r="D1483" i="208"/>
  <c r="E1483" i="208"/>
  <c r="S1483" i="208" s="1"/>
  <c r="H1483" i="208"/>
  <c r="Q1483" i="208" s="1"/>
  <c r="I1483" i="208"/>
  <c r="J1483" i="208"/>
  <c r="L1483" i="208"/>
  <c r="C1484" i="208"/>
  <c r="D1484" i="208"/>
  <c r="E1484" i="208"/>
  <c r="S1484" i="208" s="1"/>
  <c r="H1484" i="208"/>
  <c r="Q1484" i="208" s="1"/>
  <c r="I1484" i="208"/>
  <c r="J1484" i="208"/>
  <c r="L1484" i="208"/>
  <c r="C1485" i="208"/>
  <c r="D1485" i="208"/>
  <c r="E1485" i="208"/>
  <c r="S1485" i="208" s="1"/>
  <c r="H1485" i="208"/>
  <c r="Q1485" i="208" s="1"/>
  <c r="I1485" i="208"/>
  <c r="J1485" i="208"/>
  <c r="L1485" i="208"/>
  <c r="C1486" i="208"/>
  <c r="D1486" i="208"/>
  <c r="E1486" i="208"/>
  <c r="S1486" i="208" s="1"/>
  <c r="H1486" i="208"/>
  <c r="Q1486" i="208" s="1"/>
  <c r="I1486" i="208"/>
  <c r="J1486" i="208"/>
  <c r="L1486" i="208"/>
  <c r="C1487" i="208"/>
  <c r="D1487" i="208"/>
  <c r="E1487" i="208"/>
  <c r="S1487" i="208" s="1"/>
  <c r="H1487" i="208"/>
  <c r="Q1487" i="208" s="1"/>
  <c r="I1487" i="208"/>
  <c r="J1487" i="208"/>
  <c r="L1487" i="208"/>
  <c r="C1488" i="208"/>
  <c r="D1488" i="208"/>
  <c r="E1488" i="208"/>
  <c r="S1488" i="208" s="1"/>
  <c r="H1488" i="208"/>
  <c r="Q1488" i="208" s="1"/>
  <c r="I1488" i="208"/>
  <c r="J1488" i="208"/>
  <c r="L1488" i="208"/>
  <c r="C1489" i="208"/>
  <c r="D1489" i="208"/>
  <c r="E1489" i="208"/>
  <c r="S1489" i="208" s="1"/>
  <c r="H1489" i="208"/>
  <c r="Q1489" i="208" s="1"/>
  <c r="I1489" i="208"/>
  <c r="J1489" i="208"/>
  <c r="L1489" i="208"/>
  <c r="C1490" i="208"/>
  <c r="D1490" i="208"/>
  <c r="E1490" i="208"/>
  <c r="S1490" i="208" s="1"/>
  <c r="H1490" i="208"/>
  <c r="Q1490" i="208" s="1"/>
  <c r="I1490" i="208"/>
  <c r="J1490" i="208"/>
  <c r="L1490" i="208"/>
  <c r="C1491" i="208"/>
  <c r="D1491" i="208"/>
  <c r="E1491" i="208"/>
  <c r="S1491" i="208" s="1"/>
  <c r="H1491" i="208"/>
  <c r="Q1491" i="208" s="1"/>
  <c r="I1491" i="208"/>
  <c r="J1491" i="208"/>
  <c r="L1491" i="208"/>
  <c r="C1492" i="208"/>
  <c r="D1492" i="208"/>
  <c r="E1492" i="208"/>
  <c r="S1492" i="208" s="1"/>
  <c r="H1492" i="208"/>
  <c r="Q1492" i="208" s="1"/>
  <c r="I1492" i="208"/>
  <c r="J1492" i="208"/>
  <c r="L1492" i="208"/>
  <c r="C1493" i="208"/>
  <c r="D1493" i="208"/>
  <c r="E1493" i="208"/>
  <c r="S1493" i="208" s="1"/>
  <c r="H1493" i="208"/>
  <c r="Q1493" i="208" s="1"/>
  <c r="I1493" i="208"/>
  <c r="J1493" i="208"/>
  <c r="L1493" i="208"/>
  <c r="C1494" i="208"/>
  <c r="D1494" i="208"/>
  <c r="E1494" i="208"/>
  <c r="S1494" i="208" s="1"/>
  <c r="H1494" i="208"/>
  <c r="Q1494" i="208" s="1"/>
  <c r="I1494" i="208"/>
  <c r="J1494" i="208"/>
  <c r="L1494" i="208"/>
  <c r="C1495" i="208"/>
  <c r="D1495" i="208"/>
  <c r="E1495" i="208"/>
  <c r="S1495" i="208" s="1"/>
  <c r="H1495" i="208"/>
  <c r="Q1495" i="208" s="1"/>
  <c r="I1495" i="208"/>
  <c r="J1495" i="208"/>
  <c r="L1495" i="208"/>
  <c r="C1496" i="208"/>
  <c r="D1496" i="208"/>
  <c r="E1496" i="208"/>
  <c r="S1496" i="208" s="1"/>
  <c r="H1496" i="208"/>
  <c r="Q1496" i="208" s="1"/>
  <c r="I1496" i="208"/>
  <c r="J1496" i="208"/>
  <c r="L1496" i="208"/>
  <c r="C1497" i="208"/>
  <c r="D1497" i="208"/>
  <c r="E1497" i="208"/>
  <c r="S1497" i="208" s="1"/>
  <c r="H1497" i="208"/>
  <c r="Q1497" i="208" s="1"/>
  <c r="I1497" i="208"/>
  <c r="J1497" i="208"/>
  <c r="L1497" i="208"/>
  <c r="C1498" i="208"/>
  <c r="D1498" i="208"/>
  <c r="E1498" i="208"/>
  <c r="S1498" i="208" s="1"/>
  <c r="H1498" i="208"/>
  <c r="Q1498" i="208" s="1"/>
  <c r="I1498" i="208"/>
  <c r="J1498" i="208"/>
  <c r="L1498" i="208"/>
  <c r="C1499" i="208"/>
  <c r="D1499" i="208"/>
  <c r="E1499" i="208"/>
  <c r="S1499" i="208" s="1"/>
  <c r="H1499" i="208"/>
  <c r="Q1499" i="208" s="1"/>
  <c r="I1499" i="208"/>
  <c r="J1499" i="208"/>
  <c r="L1499" i="208"/>
  <c r="C1500" i="208"/>
  <c r="D1500" i="208"/>
  <c r="E1500" i="208"/>
  <c r="S1500" i="208" s="1"/>
  <c r="H1500" i="208"/>
  <c r="Q1500" i="208" s="1"/>
  <c r="I1500" i="208"/>
  <c r="J1500" i="208"/>
  <c r="L1500" i="208"/>
  <c r="C1501" i="208"/>
  <c r="D1501" i="208"/>
  <c r="E1501" i="208"/>
  <c r="S1501" i="208" s="1"/>
  <c r="H1501" i="208"/>
  <c r="Q1501" i="208" s="1"/>
  <c r="I1501" i="208"/>
  <c r="J1501" i="208"/>
  <c r="L1501" i="208"/>
  <c r="C1502" i="208"/>
  <c r="D1502" i="208"/>
  <c r="E1502" i="208"/>
  <c r="S1502" i="208" s="1"/>
  <c r="H1502" i="208"/>
  <c r="Q1502" i="208" s="1"/>
  <c r="I1502" i="208"/>
  <c r="J1502" i="208"/>
  <c r="L1502" i="208"/>
  <c r="C1503" i="208"/>
  <c r="D1503" i="208"/>
  <c r="E1503" i="208"/>
  <c r="S1503" i="208" s="1"/>
  <c r="H1503" i="208"/>
  <c r="Q1503" i="208" s="1"/>
  <c r="I1503" i="208"/>
  <c r="J1503" i="208"/>
  <c r="L1503" i="208"/>
  <c r="C1504" i="208"/>
  <c r="D1504" i="208"/>
  <c r="E1504" i="208"/>
  <c r="S1504" i="208" s="1"/>
  <c r="H1504" i="208"/>
  <c r="Q1504" i="208" s="1"/>
  <c r="I1504" i="208"/>
  <c r="J1504" i="208"/>
  <c r="L1504" i="208"/>
  <c r="C1505" i="208"/>
  <c r="D1505" i="208"/>
  <c r="E1505" i="208"/>
  <c r="S1505" i="208" s="1"/>
  <c r="H1505" i="208"/>
  <c r="Q1505" i="208" s="1"/>
  <c r="I1505" i="208"/>
  <c r="J1505" i="208"/>
  <c r="L1505" i="208"/>
  <c r="C1506" i="208"/>
  <c r="D1506" i="208"/>
  <c r="E1506" i="208"/>
  <c r="S1506" i="208" s="1"/>
  <c r="H1506" i="208"/>
  <c r="Q1506" i="208" s="1"/>
  <c r="I1506" i="208"/>
  <c r="J1506" i="208"/>
  <c r="L1506" i="208"/>
  <c r="C1507" i="208"/>
  <c r="D1507" i="208"/>
  <c r="E1507" i="208"/>
  <c r="S1507" i="208" s="1"/>
  <c r="H1507" i="208"/>
  <c r="Q1507" i="208" s="1"/>
  <c r="I1507" i="208"/>
  <c r="J1507" i="208"/>
  <c r="L1507" i="208"/>
  <c r="C1508" i="208"/>
  <c r="D1508" i="208"/>
  <c r="E1508" i="208"/>
  <c r="S1508" i="208" s="1"/>
  <c r="H1508" i="208"/>
  <c r="Q1508" i="208" s="1"/>
  <c r="I1508" i="208"/>
  <c r="J1508" i="208"/>
  <c r="L1508" i="208"/>
  <c r="C1509" i="208"/>
  <c r="D1509" i="208"/>
  <c r="E1509" i="208"/>
  <c r="S1509" i="208" s="1"/>
  <c r="H1509" i="208"/>
  <c r="Q1509" i="208" s="1"/>
  <c r="I1509" i="208"/>
  <c r="J1509" i="208"/>
  <c r="L1509" i="208"/>
  <c r="C1510" i="208"/>
  <c r="D1510" i="208"/>
  <c r="E1510" i="208"/>
  <c r="S1510" i="208" s="1"/>
  <c r="H1510" i="208"/>
  <c r="Q1510" i="208" s="1"/>
  <c r="I1510" i="208"/>
  <c r="J1510" i="208"/>
  <c r="L1510" i="208"/>
  <c r="C1511" i="208"/>
  <c r="D1511" i="208"/>
  <c r="E1511" i="208"/>
  <c r="S1511" i="208" s="1"/>
  <c r="H1511" i="208"/>
  <c r="Q1511" i="208" s="1"/>
  <c r="I1511" i="208"/>
  <c r="J1511" i="208"/>
  <c r="L1511" i="208"/>
  <c r="C1512" i="208"/>
  <c r="D1512" i="208"/>
  <c r="E1512" i="208"/>
  <c r="S1512" i="208" s="1"/>
  <c r="H1512" i="208"/>
  <c r="Q1512" i="208" s="1"/>
  <c r="I1512" i="208"/>
  <c r="J1512" i="208"/>
  <c r="L1512" i="208"/>
  <c r="C1513" i="208"/>
  <c r="D1513" i="208"/>
  <c r="E1513" i="208"/>
  <c r="S1513" i="208" s="1"/>
  <c r="H1513" i="208"/>
  <c r="Q1513" i="208" s="1"/>
  <c r="I1513" i="208"/>
  <c r="J1513" i="208"/>
  <c r="L1513" i="208"/>
  <c r="C1514" i="208"/>
  <c r="D1514" i="208"/>
  <c r="E1514" i="208"/>
  <c r="S1514" i="208" s="1"/>
  <c r="H1514" i="208"/>
  <c r="Q1514" i="208" s="1"/>
  <c r="I1514" i="208"/>
  <c r="J1514" i="208"/>
  <c r="L1514" i="208"/>
  <c r="C1515" i="208"/>
  <c r="D1515" i="208"/>
  <c r="E1515" i="208"/>
  <c r="S1515" i="208" s="1"/>
  <c r="H1515" i="208"/>
  <c r="Q1515" i="208" s="1"/>
  <c r="I1515" i="208"/>
  <c r="J1515" i="208"/>
  <c r="L1515" i="208"/>
  <c r="C1516" i="208"/>
  <c r="D1516" i="208"/>
  <c r="E1516" i="208"/>
  <c r="S1516" i="208" s="1"/>
  <c r="H1516" i="208"/>
  <c r="Q1516" i="208" s="1"/>
  <c r="I1516" i="208"/>
  <c r="J1516" i="208"/>
  <c r="L1516" i="208"/>
  <c r="C1517" i="208"/>
  <c r="D1517" i="208"/>
  <c r="E1517" i="208"/>
  <c r="S1517" i="208" s="1"/>
  <c r="H1517" i="208"/>
  <c r="Q1517" i="208" s="1"/>
  <c r="I1517" i="208"/>
  <c r="J1517" i="208"/>
  <c r="L1517" i="208"/>
  <c r="C1518" i="208"/>
  <c r="D1518" i="208"/>
  <c r="E1518" i="208"/>
  <c r="S1518" i="208" s="1"/>
  <c r="H1518" i="208"/>
  <c r="Q1518" i="208" s="1"/>
  <c r="I1518" i="208"/>
  <c r="J1518" i="208"/>
  <c r="L1518" i="208"/>
  <c r="C1519" i="208"/>
  <c r="D1519" i="208"/>
  <c r="E1519" i="208"/>
  <c r="S1519" i="208" s="1"/>
  <c r="H1519" i="208"/>
  <c r="Q1519" i="208" s="1"/>
  <c r="I1519" i="208"/>
  <c r="J1519" i="208"/>
  <c r="L1519" i="208"/>
  <c r="C1520" i="208"/>
  <c r="D1520" i="208"/>
  <c r="E1520" i="208"/>
  <c r="S1520" i="208" s="1"/>
  <c r="H1520" i="208"/>
  <c r="Q1520" i="208" s="1"/>
  <c r="I1520" i="208"/>
  <c r="J1520" i="208"/>
  <c r="L1520" i="208"/>
  <c r="C1521" i="208"/>
  <c r="D1521" i="208"/>
  <c r="E1521" i="208"/>
  <c r="S1521" i="208" s="1"/>
  <c r="H1521" i="208"/>
  <c r="Q1521" i="208" s="1"/>
  <c r="I1521" i="208"/>
  <c r="J1521" i="208"/>
  <c r="L1521" i="208"/>
  <c r="C1522" i="208"/>
  <c r="D1522" i="208"/>
  <c r="E1522" i="208"/>
  <c r="S1522" i="208" s="1"/>
  <c r="H1522" i="208"/>
  <c r="Q1522" i="208" s="1"/>
  <c r="I1522" i="208"/>
  <c r="J1522" i="208"/>
  <c r="L1522" i="208"/>
  <c r="C1523" i="208"/>
  <c r="D1523" i="208"/>
  <c r="E1523" i="208"/>
  <c r="S1523" i="208" s="1"/>
  <c r="H1523" i="208"/>
  <c r="Q1523" i="208" s="1"/>
  <c r="I1523" i="208"/>
  <c r="J1523" i="208"/>
  <c r="L1523" i="208"/>
  <c r="C1524" i="208"/>
  <c r="D1524" i="208"/>
  <c r="E1524" i="208"/>
  <c r="S1524" i="208" s="1"/>
  <c r="H1524" i="208"/>
  <c r="Q1524" i="208" s="1"/>
  <c r="I1524" i="208"/>
  <c r="J1524" i="208"/>
  <c r="L1524" i="208"/>
  <c r="C1525" i="208"/>
  <c r="D1525" i="208"/>
  <c r="E1525" i="208"/>
  <c r="S1525" i="208" s="1"/>
  <c r="H1525" i="208"/>
  <c r="Q1525" i="208" s="1"/>
  <c r="I1525" i="208"/>
  <c r="J1525" i="208"/>
  <c r="L1525" i="208"/>
  <c r="C1526" i="208"/>
  <c r="D1526" i="208"/>
  <c r="E1526" i="208"/>
  <c r="S1526" i="208" s="1"/>
  <c r="H1526" i="208"/>
  <c r="Q1526" i="208" s="1"/>
  <c r="I1526" i="208"/>
  <c r="J1526" i="208"/>
  <c r="L1526" i="208"/>
  <c r="C1527" i="208"/>
  <c r="D1527" i="208"/>
  <c r="E1527" i="208"/>
  <c r="S1527" i="208" s="1"/>
  <c r="H1527" i="208"/>
  <c r="Q1527" i="208" s="1"/>
  <c r="I1527" i="208"/>
  <c r="J1527" i="208"/>
  <c r="L1527" i="208"/>
  <c r="C1528" i="208"/>
  <c r="D1528" i="208"/>
  <c r="E1528" i="208"/>
  <c r="S1528" i="208" s="1"/>
  <c r="H1528" i="208"/>
  <c r="Q1528" i="208" s="1"/>
  <c r="I1528" i="208"/>
  <c r="J1528" i="208"/>
  <c r="L1528" i="208"/>
  <c r="C1529" i="208"/>
  <c r="D1529" i="208"/>
  <c r="E1529" i="208"/>
  <c r="S1529" i="208" s="1"/>
  <c r="H1529" i="208"/>
  <c r="Q1529" i="208" s="1"/>
  <c r="I1529" i="208"/>
  <c r="J1529" i="208"/>
  <c r="L1529" i="208"/>
  <c r="C1530" i="208"/>
  <c r="D1530" i="208"/>
  <c r="E1530" i="208"/>
  <c r="S1530" i="208" s="1"/>
  <c r="H1530" i="208"/>
  <c r="Q1530" i="208" s="1"/>
  <c r="I1530" i="208"/>
  <c r="J1530" i="208"/>
  <c r="L1530" i="208"/>
  <c r="C1531" i="208"/>
  <c r="D1531" i="208"/>
  <c r="E1531" i="208"/>
  <c r="S1531" i="208" s="1"/>
  <c r="H1531" i="208"/>
  <c r="Q1531" i="208" s="1"/>
  <c r="I1531" i="208"/>
  <c r="J1531" i="208"/>
  <c r="L1531" i="208"/>
  <c r="C1532" i="208"/>
  <c r="D1532" i="208"/>
  <c r="E1532" i="208"/>
  <c r="S1532" i="208" s="1"/>
  <c r="H1532" i="208"/>
  <c r="Q1532" i="208" s="1"/>
  <c r="I1532" i="208"/>
  <c r="J1532" i="208"/>
  <c r="L1532" i="208"/>
  <c r="C1533" i="208"/>
  <c r="D1533" i="208"/>
  <c r="E1533" i="208"/>
  <c r="S1533" i="208" s="1"/>
  <c r="H1533" i="208"/>
  <c r="Q1533" i="208" s="1"/>
  <c r="I1533" i="208"/>
  <c r="J1533" i="208"/>
  <c r="L1533" i="208"/>
  <c r="C1534" i="208"/>
  <c r="D1534" i="208"/>
  <c r="E1534" i="208"/>
  <c r="S1534" i="208" s="1"/>
  <c r="H1534" i="208"/>
  <c r="Q1534" i="208" s="1"/>
  <c r="I1534" i="208"/>
  <c r="J1534" i="208"/>
  <c r="L1534" i="208"/>
  <c r="C1535" i="208"/>
  <c r="D1535" i="208"/>
  <c r="E1535" i="208"/>
  <c r="S1535" i="208" s="1"/>
  <c r="H1535" i="208"/>
  <c r="Q1535" i="208" s="1"/>
  <c r="I1535" i="208"/>
  <c r="J1535" i="208"/>
  <c r="L1535" i="208"/>
  <c r="C1536" i="208"/>
  <c r="D1536" i="208"/>
  <c r="E1536" i="208"/>
  <c r="S1536" i="208" s="1"/>
  <c r="H1536" i="208"/>
  <c r="Q1536" i="208" s="1"/>
  <c r="I1536" i="208"/>
  <c r="J1536" i="208"/>
  <c r="L1536" i="208"/>
  <c r="C1537" i="208"/>
  <c r="D1537" i="208"/>
  <c r="E1537" i="208"/>
  <c r="S1537" i="208" s="1"/>
  <c r="H1537" i="208"/>
  <c r="Q1537" i="208" s="1"/>
  <c r="I1537" i="208"/>
  <c r="J1537" i="208"/>
  <c r="L1537" i="208"/>
  <c r="C1538" i="208"/>
  <c r="D1538" i="208"/>
  <c r="E1538" i="208"/>
  <c r="S1538" i="208" s="1"/>
  <c r="H1538" i="208"/>
  <c r="Q1538" i="208" s="1"/>
  <c r="I1538" i="208"/>
  <c r="J1538" i="208"/>
  <c r="L1538" i="208"/>
  <c r="C1539" i="208"/>
  <c r="D1539" i="208"/>
  <c r="E1539" i="208"/>
  <c r="S1539" i="208" s="1"/>
  <c r="H1539" i="208"/>
  <c r="Q1539" i="208" s="1"/>
  <c r="I1539" i="208"/>
  <c r="J1539" i="208"/>
  <c r="L1539" i="208"/>
  <c r="C1540" i="208"/>
  <c r="D1540" i="208"/>
  <c r="E1540" i="208"/>
  <c r="S1540" i="208" s="1"/>
  <c r="H1540" i="208"/>
  <c r="Q1540" i="208" s="1"/>
  <c r="I1540" i="208"/>
  <c r="J1540" i="208"/>
  <c r="L1540" i="208"/>
  <c r="C1541" i="208"/>
  <c r="D1541" i="208"/>
  <c r="E1541" i="208"/>
  <c r="S1541" i="208" s="1"/>
  <c r="H1541" i="208"/>
  <c r="Q1541" i="208" s="1"/>
  <c r="I1541" i="208"/>
  <c r="J1541" i="208"/>
  <c r="L1541" i="208"/>
  <c r="C1542" i="208"/>
  <c r="D1542" i="208"/>
  <c r="E1542" i="208"/>
  <c r="S1542" i="208" s="1"/>
  <c r="H1542" i="208"/>
  <c r="Q1542" i="208" s="1"/>
  <c r="I1542" i="208"/>
  <c r="J1542" i="208"/>
  <c r="L1542" i="208"/>
  <c r="C1543" i="208"/>
  <c r="D1543" i="208"/>
  <c r="E1543" i="208"/>
  <c r="S1543" i="208" s="1"/>
  <c r="H1543" i="208"/>
  <c r="Q1543" i="208" s="1"/>
  <c r="I1543" i="208"/>
  <c r="J1543" i="208"/>
  <c r="L1543" i="208"/>
  <c r="C1544" i="208"/>
  <c r="D1544" i="208"/>
  <c r="E1544" i="208"/>
  <c r="S1544" i="208" s="1"/>
  <c r="H1544" i="208"/>
  <c r="Q1544" i="208" s="1"/>
  <c r="I1544" i="208"/>
  <c r="J1544" i="208"/>
  <c r="L1544" i="208"/>
  <c r="C1545" i="208"/>
  <c r="D1545" i="208"/>
  <c r="E1545" i="208"/>
  <c r="S1545" i="208" s="1"/>
  <c r="H1545" i="208"/>
  <c r="Q1545" i="208" s="1"/>
  <c r="I1545" i="208"/>
  <c r="J1545" i="208"/>
  <c r="L1545" i="208"/>
  <c r="C1546" i="208"/>
  <c r="D1546" i="208"/>
  <c r="E1546" i="208"/>
  <c r="S1546" i="208" s="1"/>
  <c r="H1546" i="208"/>
  <c r="Q1546" i="208" s="1"/>
  <c r="I1546" i="208"/>
  <c r="J1546" i="208"/>
  <c r="L1546" i="208"/>
  <c r="C1547" i="208"/>
  <c r="D1547" i="208"/>
  <c r="E1547" i="208"/>
  <c r="S1547" i="208" s="1"/>
  <c r="H1547" i="208"/>
  <c r="Q1547" i="208" s="1"/>
  <c r="I1547" i="208"/>
  <c r="J1547" i="208"/>
  <c r="L1547" i="208"/>
  <c r="C1548" i="208"/>
  <c r="D1548" i="208"/>
  <c r="E1548" i="208"/>
  <c r="S1548" i="208" s="1"/>
  <c r="H1548" i="208"/>
  <c r="Q1548" i="208" s="1"/>
  <c r="I1548" i="208"/>
  <c r="J1548" i="208"/>
  <c r="L1548" i="208"/>
  <c r="C1549" i="208"/>
  <c r="D1549" i="208"/>
  <c r="E1549" i="208"/>
  <c r="S1549" i="208" s="1"/>
  <c r="H1549" i="208"/>
  <c r="Q1549" i="208" s="1"/>
  <c r="I1549" i="208"/>
  <c r="J1549" i="208"/>
  <c r="L1549" i="208"/>
  <c r="C1550" i="208"/>
  <c r="D1550" i="208"/>
  <c r="E1550" i="208"/>
  <c r="S1550" i="208" s="1"/>
  <c r="H1550" i="208"/>
  <c r="Q1550" i="208" s="1"/>
  <c r="I1550" i="208"/>
  <c r="J1550" i="208"/>
  <c r="L1550" i="208"/>
  <c r="C1551" i="208"/>
  <c r="D1551" i="208"/>
  <c r="E1551" i="208"/>
  <c r="S1551" i="208" s="1"/>
  <c r="H1551" i="208"/>
  <c r="Q1551" i="208" s="1"/>
  <c r="I1551" i="208"/>
  <c r="J1551" i="208"/>
  <c r="L1551" i="208"/>
  <c r="C1552" i="208"/>
  <c r="D1552" i="208"/>
  <c r="E1552" i="208"/>
  <c r="S1552" i="208" s="1"/>
  <c r="H1552" i="208"/>
  <c r="Q1552" i="208" s="1"/>
  <c r="I1552" i="208"/>
  <c r="J1552" i="208"/>
  <c r="L1552" i="208"/>
  <c r="C1553" i="208"/>
  <c r="D1553" i="208"/>
  <c r="E1553" i="208"/>
  <c r="S1553" i="208" s="1"/>
  <c r="H1553" i="208"/>
  <c r="Q1553" i="208" s="1"/>
  <c r="I1553" i="208"/>
  <c r="J1553" i="208"/>
  <c r="L1553" i="208"/>
  <c r="C1554" i="208"/>
  <c r="D1554" i="208"/>
  <c r="E1554" i="208"/>
  <c r="S1554" i="208" s="1"/>
  <c r="H1554" i="208"/>
  <c r="Q1554" i="208" s="1"/>
  <c r="I1554" i="208"/>
  <c r="J1554" i="208"/>
  <c r="L1554" i="208"/>
  <c r="C1555" i="208"/>
  <c r="D1555" i="208"/>
  <c r="E1555" i="208"/>
  <c r="S1555" i="208" s="1"/>
  <c r="H1555" i="208"/>
  <c r="Q1555" i="208" s="1"/>
  <c r="I1555" i="208"/>
  <c r="J1555" i="208"/>
  <c r="L1555" i="208"/>
  <c r="C1556" i="208"/>
  <c r="D1556" i="208"/>
  <c r="E1556" i="208"/>
  <c r="S1556" i="208" s="1"/>
  <c r="H1556" i="208"/>
  <c r="Q1556" i="208" s="1"/>
  <c r="I1556" i="208"/>
  <c r="J1556" i="208"/>
  <c r="L1556" i="208"/>
  <c r="C1557" i="208"/>
  <c r="D1557" i="208"/>
  <c r="E1557" i="208"/>
  <c r="S1557" i="208" s="1"/>
  <c r="H1557" i="208"/>
  <c r="Q1557" i="208" s="1"/>
  <c r="I1557" i="208"/>
  <c r="J1557" i="208"/>
  <c r="L1557" i="208"/>
  <c r="C1558" i="208"/>
  <c r="D1558" i="208"/>
  <c r="E1558" i="208"/>
  <c r="S1558" i="208" s="1"/>
  <c r="H1558" i="208"/>
  <c r="Q1558" i="208" s="1"/>
  <c r="I1558" i="208"/>
  <c r="J1558" i="208"/>
  <c r="L1558" i="208"/>
  <c r="C1559" i="208"/>
  <c r="D1559" i="208"/>
  <c r="E1559" i="208"/>
  <c r="S1559" i="208" s="1"/>
  <c r="H1559" i="208"/>
  <c r="Q1559" i="208" s="1"/>
  <c r="I1559" i="208"/>
  <c r="J1559" i="208"/>
  <c r="L1559" i="208"/>
  <c r="C1560" i="208"/>
  <c r="D1560" i="208"/>
  <c r="E1560" i="208"/>
  <c r="S1560" i="208" s="1"/>
  <c r="H1560" i="208"/>
  <c r="Q1560" i="208" s="1"/>
  <c r="I1560" i="208"/>
  <c r="J1560" i="208"/>
  <c r="L1560" i="208"/>
  <c r="C1561" i="208"/>
  <c r="D1561" i="208"/>
  <c r="E1561" i="208"/>
  <c r="S1561" i="208" s="1"/>
  <c r="H1561" i="208"/>
  <c r="Q1561" i="208" s="1"/>
  <c r="I1561" i="208"/>
  <c r="J1561" i="208"/>
  <c r="L1561" i="208"/>
  <c r="C1562" i="208"/>
  <c r="D1562" i="208"/>
  <c r="E1562" i="208"/>
  <c r="S1562" i="208" s="1"/>
  <c r="H1562" i="208"/>
  <c r="Q1562" i="208" s="1"/>
  <c r="I1562" i="208"/>
  <c r="J1562" i="208"/>
  <c r="L1562" i="208"/>
  <c r="C1563" i="208"/>
  <c r="D1563" i="208"/>
  <c r="E1563" i="208"/>
  <c r="S1563" i="208" s="1"/>
  <c r="H1563" i="208"/>
  <c r="Q1563" i="208" s="1"/>
  <c r="I1563" i="208"/>
  <c r="J1563" i="208"/>
  <c r="L1563" i="208"/>
  <c r="C1564" i="208"/>
  <c r="D1564" i="208"/>
  <c r="E1564" i="208"/>
  <c r="S1564" i="208" s="1"/>
  <c r="H1564" i="208"/>
  <c r="Q1564" i="208" s="1"/>
  <c r="I1564" i="208"/>
  <c r="J1564" i="208"/>
  <c r="L1564" i="208"/>
  <c r="C1565" i="208"/>
  <c r="D1565" i="208"/>
  <c r="E1565" i="208"/>
  <c r="S1565" i="208" s="1"/>
  <c r="H1565" i="208"/>
  <c r="Q1565" i="208" s="1"/>
  <c r="I1565" i="208"/>
  <c r="J1565" i="208"/>
  <c r="L1565" i="208"/>
  <c r="C1566" i="208"/>
  <c r="D1566" i="208"/>
  <c r="E1566" i="208"/>
  <c r="S1566" i="208" s="1"/>
  <c r="H1566" i="208"/>
  <c r="Q1566" i="208" s="1"/>
  <c r="I1566" i="208"/>
  <c r="J1566" i="208"/>
  <c r="L1566" i="208"/>
  <c r="C1567" i="208"/>
  <c r="D1567" i="208"/>
  <c r="E1567" i="208"/>
  <c r="S1567" i="208" s="1"/>
  <c r="H1567" i="208"/>
  <c r="Q1567" i="208" s="1"/>
  <c r="I1567" i="208"/>
  <c r="J1567" i="208"/>
  <c r="L1567" i="208"/>
  <c r="C1568" i="208"/>
  <c r="D1568" i="208"/>
  <c r="E1568" i="208"/>
  <c r="S1568" i="208" s="1"/>
  <c r="H1568" i="208"/>
  <c r="Q1568" i="208" s="1"/>
  <c r="I1568" i="208"/>
  <c r="J1568" i="208"/>
  <c r="L1568" i="208"/>
  <c r="C1569" i="208"/>
  <c r="D1569" i="208"/>
  <c r="E1569" i="208"/>
  <c r="S1569" i="208" s="1"/>
  <c r="H1569" i="208"/>
  <c r="Q1569" i="208" s="1"/>
  <c r="I1569" i="208"/>
  <c r="J1569" i="208"/>
  <c r="L1569" i="208"/>
  <c r="C1570" i="208"/>
  <c r="D1570" i="208"/>
  <c r="E1570" i="208"/>
  <c r="S1570" i="208" s="1"/>
  <c r="H1570" i="208"/>
  <c r="Q1570" i="208" s="1"/>
  <c r="I1570" i="208"/>
  <c r="J1570" i="208"/>
  <c r="L1570" i="208"/>
  <c r="C1571" i="208"/>
  <c r="D1571" i="208"/>
  <c r="E1571" i="208"/>
  <c r="S1571" i="208" s="1"/>
  <c r="H1571" i="208"/>
  <c r="Q1571" i="208" s="1"/>
  <c r="I1571" i="208"/>
  <c r="J1571" i="208"/>
  <c r="L1571" i="208"/>
  <c r="C1572" i="208"/>
  <c r="D1572" i="208"/>
  <c r="E1572" i="208"/>
  <c r="S1572" i="208" s="1"/>
  <c r="H1572" i="208"/>
  <c r="Q1572" i="208" s="1"/>
  <c r="I1572" i="208"/>
  <c r="J1572" i="208"/>
  <c r="L1572" i="208"/>
  <c r="C1573" i="208"/>
  <c r="D1573" i="208"/>
  <c r="E1573" i="208"/>
  <c r="S1573" i="208" s="1"/>
  <c r="H1573" i="208"/>
  <c r="Q1573" i="208" s="1"/>
  <c r="I1573" i="208"/>
  <c r="J1573" i="208"/>
  <c r="L1573" i="208"/>
  <c r="C1574" i="208"/>
  <c r="D1574" i="208"/>
  <c r="E1574" i="208"/>
  <c r="S1574" i="208" s="1"/>
  <c r="H1574" i="208"/>
  <c r="Q1574" i="208" s="1"/>
  <c r="I1574" i="208"/>
  <c r="J1574" i="208"/>
  <c r="L1574" i="208"/>
  <c r="C1575" i="208"/>
  <c r="D1575" i="208"/>
  <c r="E1575" i="208"/>
  <c r="S1575" i="208" s="1"/>
  <c r="H1575" i="208"/>
  <c r="Q1575" i="208" s="1"/>
  <c r="I1575" i="208"/>
  <c r="J1575" i="208"/>
  <c r="L1575" i="208"/>
  <c r="C1576" i="208"/>
  <c r="D1576" i="208"/>
  <c r="E1576" i="208"/>
  <c r="S1576" i="208" s="1"/>
  <c r="H1576" i="208"/>
  <c r="Q1576" i="208" s="1"/>
  <c r="I1576" i="208"/>
  <c r="J1576" i="208"/>
  <c r="L1576" i="208"/>
  <c r="C1577" i="208"/>
  <c r="D1577" i="208"/>
  <c r="E1577" i="208"/>
  <c r="S1577" i="208" s="1"/>
  <c r="H1577" i="208"/>
  <c r="Q1577" i="208" s="1"/>
  <c r="I1577" i="208"/>
  <c r="J1577" i="208"/>
  <c r="L1577" i="208"/>
  <c r="C1578" i="208"/>
  <c r="D1578" i="208"/>
  <c r="E1578" i="208"/>
  <c r="S1578" i="208" s="1"/>
  <c r="H1578" i="208"/>
  <c r="Q1578" i="208" s="1"/>
  <c r="I1578" i="208"/>
  <c r="J1578" i="208"/>
  <c r="L1578" i="208"/>
  <c r="C1579" i="208"/>
  <c r="D1579" i="208"/>
  <c r="E1579" i="208"/>
  <c r="S1579" i="208" s="1"/>
  <c r="H1579" i="208"/>
  <c r="Q1579" i="208" s="1"/>
  <c r="I1579" i="208"/>
  <c r="J1579" i="208"/>
  <c r="L1579" i="208"/>
  <c r="C1580" i="208"/>
  <c r="D1580" i="208"/>
  <c r="E1580" i="208"/>
  <c r="S1580" i="208" s="1"/>
  <c r="H1580" i="208"/>
  <c r="Q1580" i="208" s="1"/>
  <c r="I1580" i="208"/>
  <c r="J1580" i="208"/>
  <c r="L1580" i="208"/>
  <c r="C1581" i="208"/>
  <c r="D1581" i="208"/>
  <c r="E1581" i="208"/>
  <c r="S1581" i="208" s="1"/>
  <c r="H1581" i="208"/>
  <c r="Q1581" i="208" s="1"/>
  <c r="I1581" i="208"/>
  <c r="J1581" i="208"/>
  <c r="L1581" i="208"/>
  <c r="C1582" i="208"/>
  <c r="D1582" i="208"/>
  <c r="E1582" i="208"/>
  <c r="S1582" i="208" s="1"/>
  <c r="H1582" i="208"/>
  <c r="Q1582" i="208" s="1"/>
  <c r="I1582" i="208"/>
  <c r="J1582" i="208"/>
  <c r="L1582" i="208"/>
  <c r="C1583" i="208"/>
  <c r="D1583" i="208"/>
  <c r="E1583" i="208"/>
  <c r="S1583" i="208" s="1"/>
  <c r="H1583" i="208"/>
  <c r="Q1583" i="208" s="1"/>
  <c r="I1583" i="208"/>
  <c r="J1583" i="208"/>
  <c r="L1583" i="208"/>
  <c r="C1584" i="208"/>
  <c r="D1584" i="208"/>
  <c r="E1584" i="208"/>
  <c r="S1584" i="208" s="1"/>
  <c r="H1584" i="208"/>
  <c r="Q1584" i="208" s="1"/>
  <c r="I1584" i="208"/>
  <c r="J1584" i="208"/>
  <c r="L1584" i="208"/>
  <c r="C1585" i="208"/>
  <c r="D1585" i="208"/>
  <c r="E1585" i="208"/>
  <c r="S1585" i="208" s="1"/>
  <c r="H1585" i="208"/>
  <c r="Q1585" i="208" s="1"/>
  <c r="I1585" i="208"/>
  <c r="J1585" i="208"/>
  <c r="L1585" i="208"/>
  <c r="C1586" i="208"/>
  <c r="D1586" i="208"/>
  <c r="E1586" i="208"/>
  <c r="S1586" i="208" s="1"/>
  <c r="H1586" i="208"/>
  <c r="Q1586" i="208" s="1"/>
  <c r="I1586" i="208"/>
  <c r="J1586" i="208"/>
  <c r="L1586" i="208"/>
  <c r="C1587" i="208"/>
  <c r="D1587" i="208"/>
  <c r="E1587" i="208"/>
  <c r="S1587" i="208" s="1"/>
  <c r="H1587" i="208"/>
  <c r="Q1587" i="208" s="1"/>
  <c r="I1587" i="208"/>
  <c r="J1587" i="208"/>
  <c r="L1587" i="208"/>
  <c r="C1588" i="208"/>
  <c r="D1588" i="208"/>
  <c r="E1588" i="208"/>
  <c r="S1588" i="208" s="1"/>
  <c r="H1588" i="208"/>
  <c r="Q1588" i="208" s="1"/>
  <c r="I1588" i="208"/>
  <c r="J1588" i="208"/>
  <c r="L1588" i="208"/>
  <c r="C1589" i="208"/>
  <c r="D1589" i="208"/>
  <c r="E1589" i="208"/>
  <c r="S1589" i="208" s="1"/>
  <c r="H1589" i="208"/>
  <c r="Q1589" i="208" s="1"/>
  <c r="I1589" i="208"/>
  <c r="J1589" i="208"/>
  <c r="L1589" i="208"/>
  <c r="C1590" i="208"/>
  <c r="D1590" i="208"/>
  <c r="E1590" i="208"/>
  <c r="S1590" i="208" s="1"/>
  <c r="H1590" i="208"/>
  <c r="Q1590" i="208" s="1"/>
  <c r="I1590" i="208"/>
  <c r="J1590" i="208"/>
  <c r="L1590" i="208"/>
  <c r="C1591" i="208"/>
  <c r="D1591" i="208"/>
  <c r="E1591" i="208"/>
  <c r="S1591" i="208" s="1"/>
  <c r="H1591" i="208"/>
  <c r="Q1591" i="208" s="1"/>
  <c r="I1591" i="208"/>
  <c r="J1591" i="208"/>
  <c r="L1591" i="208"/>
  <c r="C1592" i="208"/>
  <c r="D1592" i="208"/>
  <c r="E1592" i="208"/>
  <c r="S1592" i="208" s="1"/>
  <c r="H1592" i="208"/>
  <c r="Q1592" i="208" s="1"/>
  <c r="I1592" i="208"/>
  <c r="J1592" i="208"/>
  <c r="L1592" i="208"/>
  <c r="C1593" i="208"/>
  <c r="D1593" i="208"/>
  <c r="E1593" i="208"/>
  <c r="S1593" i="208" s="1"/>
  <c r="H1593" i="208"/>
  <c r="Q1593" i="208" s="1"/>
  <c r="I1593" i="208"/>
  <c r="J1593" i="208"/>
  <c r="L1593" i="208"/>
  <c r="C1594" i="208"/>
  <c r="D1594" i="208"/>
  <c r="E1594" i="208"/>
  <c r="S1594" i="208" s="1"/>
  <c r="H1594" i="208"/>
  <c r="Q1594" i="208" s="1"/>
  <c r="I1594" i="208"/>
  <c r="J1594" i="208"/>
  <c r="L1594" i="208"/>
  <c r="C1595" i="208"/>
  <c r="D1595" i="208"/>
  <c r="E1595" i="208"/>
  <c r="S1595" i="208" s="1"/>
  <c r="H1595" i="208"/>
  <c r="Q1595" i="208" s="1"/>
  <c r="I1595" i="208"/>
  <c r="J1595" i="208"/>
  <c r="L1595" i="208"/>
  <c r="C1596" i="208"/>
  <c r="D1596" i="208"/>
  <c r="E1596" i="208"/>
  <c r="S1596" i="208" s="1"/>
  <c r="H1596" i="208"/>
  <c r="Q1596" i="208" s="1"/>
  <c r="I1596" i="208"/>
  <c r="J1596" i="208"/>
  <c r="L1596" i="208"/>
  <c r="C1597" i="208"/>
  <c r="D1597" i="208"/>
  <c r="E1597" i="208"/>
  <c r="S1597" i="208" s="1"/>
  <c r="H1597" i="208"/>
  <c r="Q1597" i="208" s="1"/>
  <c r="I1597" i="208"/>
  <c r="J1597" i="208"/>
  <c r="L1597" i="208"/>
  <c r="C1598" i="208"/>
  <c r="D1598" i="208"/>
  <c r="E1598" i="208"/>
  <c r="S1598" i="208" s="1"/>
  <c r="H1598" i="208"/>
  <c r="Q1598" i="208" s="1"/>
  <c r="I1598" i="208"/>
  <c r="J1598" i="208"/>
  <c r="L1598" i="208"/>
  <c r="C1599" i="208"/>
  <c r="D1599" i="208"/>
  <c r="E1599" i="208"/>
  <c r="S1599" i="208" s="1"/>
  <c r="H1599" i="208"/>
  <c r="Q1599" i="208" s="1"/>
  <c r="I1599" i="208"/>
  <c r="J1599" i="208"/>
  <c r="L1599" i="208"/>
  <c r="C1600" i="208"/>
  <c r="D1600" i="208"/>
  <c r="E1600" i="208"/>
  <c r="S1600" i="208" s="1"/>
  <c r="H1600" i="208"/>
  <c r="Q1600" i="208" s="1"/>
  <c r="I1600" i="208"/>
  <c r="J1600" i="208"/>
  <c r="L1600" i="208"/>
  <c r="C1601" i="208"/>
  <c r="D1601" i="208"/>
  <c r="E1601" i="208"/>
  <c r="S1601" i="208" s="1"/>
  <c r="H1601" i="208"/>
  <c r="Q1601" i="208" s="1"/>
  <c r="I1601" i="208"/>
  <c r="J1601" i="208"/>
  <c r="L1601" i="208"/>
  <c r="C1602" i="208"/>
  <c r="D1602" i="208"/>
  <c r="E1602" i="208"/>
  <c r="S1602" i="208" s="1"/>
  <c r="H1602" i="208"/>
  <c r="Q1602" i="208" s="1"/>
  <c r="I1602" i="208"/>
  <c r="J1602" i="208"/>
  <c r="L1602" i="208"/>
  <c r="C1603" i="208"/>
  <c r="D1603" i="208"/>
  <c r="E1603" i="208"/>
  <c r="S1603" i="208" s="1"/>
  <c r="H1603" i="208"/>
  <c r="Q1603" i="208" s="1"/>
  <c r="I1603" i="208"/>
  <c r="J1603" i="208"/>
  <c r="L1603" i="208"/>
  <c r="C1604" i="208"/>
  <c r="D1604" i="208"/>
  <c r="E1604" i="208"/>
  <c r="S1604" i="208" s="1"/>
  <c r="H1604" i="208"/>
  <c r="Q1604" i="208" s="1"/>
  <c r="I1604" i="208"/>
  <c r="J1604" i="208"/>
  <c r="L1604" i="208"/>
  <c r="C1605" i="208"/>
  <c r="D1605" i="208"/>
  <c r="E1605" i="208"/>
  <c r="S1605" i="208" s="1"/>
  <c r="H1605" i="208"/>
  <c r="Q1605" i="208" s="1"/>
  <c r="I1605" i="208"/>
  <c r="J1605" i="208"/>
  <c r="L1605" i="208"/>
  <c r="C1606" i="208"/>
  <c r="D1606" i="208"/>
  <c r="E1606" i="208"/>
  <c r="S1606" i="208" s="1"/>
  <c r="H1606" i="208"/>
  <c r="Q1606" i="208" s="1"/>
  <c r="I1606" i="208"/>
  <c r="J1606" i="208"/>
  <c r="L1606" i="208"/>
  <c r="C1607" i="208"/>
  <c r="D1607" i="208"/>
  <c r="E1607" i="208"/>
  <c r="S1607" i="208" s="1"/>
  <c r="H1607" i="208"/>
  <c r="Q1607" i="208" s="1"/>
  <c r="I1607" i="208"/>
  <c r="J1607" i="208"/>
  <c r="L1607" i="208"/>
  <c r="C1608" i="208"/>
  <c r="D1608" i="208"/>
  <c r="E1608" i="208"/>
  <c r="S1608" i="208" s="1"/>
  <c r="H1608" i="208"/>
  <c r="Q1608" i="208" s="1"/>
  <c r="I1608" i="208"/>
  <c r="J1608" i="208"/>
  <c r="L1608" i="208"/>
  <c r="C1609" i="208"/>
  <c r="D1609" i="208"/>
  <c r="E1609" i="208"/>
  <c r="S1609" i="208" s="1"/>
  <c r="H1609" i="208"/>
  <c r="Q1609" i="208" s="1"/>
  <c r="I1609" i="208"/>
  <c r="J1609" i="208"/>
  <c r="L1609" i="208"/>
  <c r="C1610" i="208"/>
  <c r="D1610" i="208"/>
  <c r="E1610" i="208"/>
  <c r="S1610" i="208" s="1"/>
  <c r="H1610" i="208"/>
  <c r="Q1610" i="208" s="1"/>
  <c r="I1610" i="208"/>
  <c r="J1610" i="208"/>
  <c r="L1610" i="208"/>
  <c r="C1611" i="208"/>
  <c r="D1611" i="208"/>
  <c r="E1611" i="208"/>
  <c r="S1611" i="208" s="1"/>
  <c r="H1611" i="208"/>
  <c r="Q1611" i="208" s="1"/>
  <c r="I1611" i="208"/>
  <c r="J1611" i="208"/>
  <c r="L1611" i="208"/>
  <c r="C1612" i="208"/>
  <c r="D1612" i="208"/>
  <c r="E1612" i="208"/>
  <c r="S1612" i="208" s="1"/>
  <c r="H1612" i="208"/>
  <c r="Q1612" i="208" s="1"/>
  <c r="I1612" i="208"/>
  <c r="J1612" i="208"/>
  <c r="L1612" i="208"/>
  <c r="C1613" i="208"/>
  <c r="D1613" i="208"/>
  <c r="E1613" i="208"/>
  <c r="S1613" i="208" s="1"/>
  <c r="H1613" i="208"/>
  <c r="Q1613" i="208" s="1"/>
  <c r="I1613" i="208"/>
  <c r="J1613" i="208"/>
  <c r="L1613" i="208"/>
  <c r="C1614" i="208"/>
  <c r="D1614" i="208"/>
  <c r="E1614" i="208"/>
  <c r="S1614" i="208" s="1"/>
  <c r="H1614" i="208"/>
  <c r="Q1614" i="208" s="1"/>
  <c r="I1614" i="208"/>
  <c r="J1614" i="208"/>
  <c r="L1614" i="208"/>
  <c r="C1615" i="208"/>
  <c r="D1615" i="208"/>
  <c r="E1615" i="208"/>
  <c r="S1615" i="208" s="1"/>
  <c r="H1615" i="208"/>
  <c r="Q1615" i="208" s="1"/>
  <c r="I1615" i="208"/>
  <c r="J1615" i="208"/>
  <c r="L1615" i="208"/>
  <c r="C1616" i="208"/>
  <c r="D1616" i="208"/>
  <c r="E1616" i="208"/>
  <c r="S1616" i="208" s="1"/>
  <c r="H1616" i="208"/>
  <c r="Q1616" i="208" s="1"/>
  <c r="I1616" i="208"/>
  <c r="J1616" i="208"/>
  <c r="L1616" i="208"/>
  <c r="C1617" i="208"/>
  <c r="D1617" i="208"/>
  <c r="E1617" i="208"/>
  <c r="S1617" i="208" s="1"/>
  <c r="H1617" i="208"/>
  <c r="Q1617" i="208" s="1"/>
  <c r="I1617" i="208"/>
  <c r="J1617" i="208"/>
  <c r="L1617" i="208"/>
  <c r="C1618" i="208"/>
  <c r="D1618" i="208"/>
  <c r="E1618" i="208"/>
  <c r="S1618" i="208" s="1"/>
  <c r="H1618" i="208"/>
  <c r="Q1618" i="208" s="1"/>
  <c r="I1618" i="208"/>
  <c r="J1618" i="208"/>
  <c r="L1618" i="208"/>
  <c r="C1619" i="208"/>
  <c r="D1619" i="208"/>
  <c r="E1619" i="208"/>
  <c r="S1619" i="208" s="1"/>
  <c r="H1619" i="208"/>
  <c r="Q1619" i="208" s="1"/>
  <c r="I1619" i="208"/>
  <c r="J1619" i="208"/>
  <c r="L1619" i="208"/>
  <c r="C1620" i="208"/>
  <c r="D1620" i="208"/>
  <c r="E1620" i="208"/>
  <c r="S1620" i="208" s="1"/>
  <c r="H1620" i="208"/>
  <c r="Q1620" i="208" s="1"/>
  <c r="I1620" i="208"/>
  <c r="J1620" i="208"/>
  <c r="L1620" i="208"/>
  <c r="C1621" i="208"/>
  <c r="D1621" i="208"/>
  <c r="E1621" i="208"/>
  <c r="S1621" i="208" s="1"/>
  <c r="H1621" i="208"/>
  <c r="Q1621" i="208" s="1"/>
  <c r="I1621" i="208"/>
  <c r="J1621" i="208"/>
  <c r="L1621" i="208"/>
  <c r="C1622" i="208"/>
  <c r="D1622" i="208"/>
  <c r="E1622" i="208"/>
  <c r="S1622" i="208" s="1"/>
  <c r="H1622" i="208"/>
  <c r="Q1622" i="208" s="1"/>
  <c r="I1622" i="208"/>
  <c r="J1622" i="208"/>
  <c r="L1622" i="208"/>
  <c r="C1623" i="208"/>
  <c r="D1623" i="208"/>
  <c r="E1623" i="208"/>
  <c r="S1623" i="208" s="1"/>
  <c r="H1623" i="208"/>
  <c r="Q1623" i="208" s="1"/>
  <c r="I1623" i="208"/>
  <c r="J1623" i="208"/>
  <c r="L1623" i="208"/>
  <c r="C1624" i="208"/>
  <c r="D1624" i="208"/>
  <c r="E1624" i="208"/>
  <c r="S1624" i="208" s="1"/>
  <c r="H1624" i="208"/>
  <c r="Q1624" i="208" s="1"/>
  <c r="I1624" i="208"/>
  <c r="J1624" i="208"/>
  <c r="L1624" i="208"/>
  <c r="C1625" i="208"/>
  <c r="D1625" i="208"/>
  <c r="E1625" i="208"/>
  <c r="S1625" i="208" s="1"/>
  <c r="H1625" i="208"/>
  <c r="Q1625" i="208" s="1"/>
  <c r="I1625" i="208"/>
  <c r="J1625" i="208"/>
  <c r="L1625" i="208"/>
  <c r="C1626" i="208"/>
  <c r="D1626" i="208"/>
  <c r="E1626" i="208"/>
  <c r="S1626" i="208" s="1"/>
  <c r="H1626" i="208"/>
  <c r="Q1626" i="208" s="1"/>
  <c r="I1626" i="208"/>
  <c r="J1626" i="208"/>
  <c r="L1626" i="208"/>
  <c r="C1627" i="208"/>
  <c r="D1627" i="208"/>
  <c r="E1627" i="208"/>
  <c r="S1627" i="208" s="1"/>
  <c r="H1627" i="208"/>
  <c r="Q1627" i="208" s="1"/>
  <c r="I1627" i="208"/>
  <c r="J1627" i="208"/>
  <c r="L1627" i="208"/>
  <c r="C1628" i="208"/>
  <c r="D1628" i="208"/>
  <c r="E1628" i="208"/>
  <c r="S1628" i="208" s="1"/>
  <c r="H1628" i="208"/>
  <c r="Q1628" i="208" s="1"/>
  <c r="I1628" i="208"/>
  <c r="J1628" i="208"/>
  <c r="L1628" i="208"/>
  <c r="C1629" i="208"/>
  <c r="D1629" i="208"/>
  <c r="E1629" i="208"/>
  <c r="S1629" i="208" s="1"/>
  <c r="H1629" i="208"/>
  <c r="Q1629" i="208" s="1"/>
  <c r="I1629" i="208"/>
  <c r="J1629" i="208"/>
  <c r="L1629" i="208"/>
  <c r="C1630" i="208"/>
  <c r="D1630" i="208"/>
  <c r="E1630" i="208"/>
  <c r="S1630" i="208" s="1"/>
  <c r="H1630" i="208"/>
  <c r="Q1630" i="208" s="1"/>
  <c r="I1630" i="208"/>
  <c r="J1630" i="208"/>
  <c r="L1630" i="208"/>
  <c r="C1631" i="208"/>
  <c r="D1631" i="208"/>
  <c r="E1631" i="208"/>
  <c r="S1631" i="208" s="1"/>
  <c r="H1631" i="208"/>
  <c r="Q1631" i="208" s="1"/>
  <c r="I1631" i="208"/>
  <c r="J1631" i="208"/>
  <c r="L1631" i="208"/>
  <c r="C1632" i="208"/>
  <c r="D1632" i="208"/>
  <c r="E1632" i="208"/>
  <c r="S1632" i="208" s="1"/>
  <c r="H1632" i="208"/>
  <c r="Q1632" i="208" s="1"/>
  <c r="I1632" i="208"/>
  <c r="J1632" i="208"/>
  <c r="L1632" i="208"/>
  <c r="C1633" i="208"/>
  <c r="D1633" i="208"/>
  <c r="E1633" i="208"/>
  <c r="S1633" i="208" s="1"/>
  <c r="H1633" i="208"/>
  <c r="Q1633" i="208" s="1"/>
  <c r="I1633" i="208"/>
  <c r="J1633" i="208"/>
  <c r="L1633" i="208"/>
  <c r="C1634" i="208"/>
  <c r="D1634" i="208"/>
  <c r="E1634" i="208"/>
  <c r="S1634" i="208" s="1"/>
  <c r="H1634" i="208"/>
  <c r="Q1634" i="208" s="1"/>
  <c r="I1634" i="208"/>
  <c r="J1634" i="208"/>
  <c r="L1634" i="208"/>
  <c r="C1635" i="208"/>
  <c r="D1635" i="208"/>
  <c r="E1635" i="208"/>
  <c r="S1635" i="208" s="1"/>
  <c r="H1635" i="208"/>
  <c r="Q1635" i="208" s="1"/>
  <c r="I1635" i="208"/>
  <c r="J1635" i="208"/>
  <c r="L1635" i="208"/>
  <c r="C1636" i="208"/>
  <c r="D1636" i="208"/>
  <c r="E1636" i="208"/>
  <c r="S1636" i="208" s="1"/>
  <c r="H1636" i="208"/>
  <c r="Q1636" i="208" s="1"/>
  <c r="I1636" i="208"/>
  <c r="J1636" i="208"/>
  <c r="L1636" i="208"/>
  <c r="C1637" i="208"/>
  <c r="D1637" i="208"/>
  <c r="E1637" i="208"/>
  <c r="S1637" i="208" s="1"/>
  <c r="H1637" i="208"/>
  <c r="Q1637" i="208" s="1"/>
  <c r="I1637" i="208"/>
  <c r="J1637" i="208"/>
  <c r="L1637" i="208"/>
  <c r="C1638" i="208"/>
  <c r="D1638" i="208"/>
  <c r="E1638" i="208"/>
  <c r="S1638" i="208" s="1"/>
  <c r="H1638" i="208"/>
  <c r="Q1638" i="208" s="1"/>
  <c r="I1638" i="208"/>
  <c r="J1638" i="208"/>
  <c r="L1638" i="208"/>
  <c r="C1639" i="208"/>
  <c r="D1639" i="208"/>
  <c r="E1639" i="208"/>
  <c r="S1639" i="208" s="1"/>
  <c r="H1639" i="208"/>
  <c r="Q1639" i="208" s="1"/>
  <c r="I1639" i="208"/>
  <c r="J1639" i="208"/>
  <c r="L1639" i="208"/>
  <c r="C1640" i="208"/>
  <c r="D1640" i="208"/>
  <c r="E1640" i="208"/>
  <c r="S1640" i="208" s="1"/>
  <c r="H1640" i="208"/>
  <c r="Q1640" i="208" s="1"/>
  <c r="I1640" i="208"/>
  <c r="J1640" i="208"/>
  <c r="L1640" i="208"/>
  <c r="C1641" i="208"/>
  <c r="D1641" i="208"/>
  <c r="E1641" i="208"/>
  <c r="S1641" i="208" s="1"/>
  <c r="H1641" i="208"/>
  <c r="Q1641" i="208" s="1"/>
  <c r="I1641" i="208"/>
  <c r="J1641" i="208"/>
  <c r="L1641" i="208"/>
  <c r="C1642" i="208"/>
  <c r="D1642" i="208"/>
  <c r="E1642" i="208"/>
  <c r="S1642" i="208" s="1"/>
  <c r="H1642" i="208"/>
  <c r="Q1642" i="208" s="1"/>
  <c r="I1642" i="208"/>
  <c r="J1642" i="208"/>
  <c r="L1642" i="208"/>
  <c r="C1643" i="208"/>
  <c r="D1643" i="208"/>
  <c r="E1643" i="208"/>
  <c r="S1643" i="208" s="1"/>
  <c r="H1643" i="208"/>
  <c r="Q1643" i="208" s="1"/>
  <c r="I1643" i="208"/>
  <c r="J1643" i="208"/>
  <c r="L1643" i="208"/>
  <c r="C1644" i="208"/>
  <c r="D1644" i="208"/>
  <c r="E1644" i="208"/>
  <c r="S1644" i="208" s="1"/>
  <c r="H1644" i="208"/>
  <c r="Q1644" i="208" s="1"/>
  <c r="I1644" i="208"/>
  <c r="J1644" i="208"/>
  <c r="L1644" i="208"/>
  <c r="C1645" i="208"/>
  <c r="D1645" i="208"/>
  <c r="E1645" i="208"/>
  <c r="S1645" i="208" s="1"/>
  <c r="H1645" i="208"/>
  <c r="Q1645" i="208" s="1"/>
  <c r="I1645" i="208"/>
  <c r="J1645" i="208"/>
  <c r="L1645" i="208"/>
  <c r="C1646" i="208"/>
  <c r="D1646" i="208"/>
  <c r="E1646" i="208"/>
  <c r="S1646" i="208" s="1"/>
  <c r="H1646" i="208"/>
  <c r="Q1646" i="208" s="1"/>
  <c r="I1646" i="208"/>
  <c r="J1646" i="208"/>
  <c r="L1646" i="208"/>
  <c r="C1647" i="208"/>
  <c r="D1647" i="208"/>
  <c r="E1647" i="208"/>
  <c r="S1647" i="208" s="1"/>
  <c r="H1647" i="208"/>
  <c r="Q1647" i="208" s="1"/>
  <c r="I1647" i="208"/>
  <c r="J1647" i="208"/>
  <c r="L1647" i="208"/>
  <c r="C1648" i="208"/>
  <c r="D1648" i="208"/>
  <c r="E1648" i="208"/>
  <c r="S1648" i="208" s="1"/>
  <c r="H1648" i="208"/>
  <c r="Q1648" i="208" s="1"/>
  <c r="I1648" i="208"/>
  <c r="J1648" i="208"/>
  <c r="L1648" i="208"/>
  <c r="C1649" i="208"/>
  <c r="D1649" i="208"/>
  <c r="E1649" i="208"/>
  <c r="S1649" i="208" s="1"/>
  <c r="H1649" i="208"/>
  <c r="Q1649" i="208" s="1"/>
  <c r="I1649" i="208"/>
  <c r="J1649" i="208"/>
  <c r="L1649" i="208"/>
  <c r="C1650" i="208"/>
  <c r="D1650" i="208"/>
  <c r="E1650" i="208"/>
  <c r="S1650" i="208" s="1"/>
  <c r="H1650" i="208"/>
  <c r="Q1650" i="208" s="1"/>
  <c r="I1650" i="208"/>
  <c r="J1650" i="208"/>
  <c r="L1650" i="208"/>
  <c r="C1651" i="208"/>
  <c r="D1651" i="208"/>
  <c r="E1651" i="208"/>
  <c r="S1651" i="208" s="1"/>
  <c r="H1651" i="208"/>
  <c r="Q1651" i="208" s="1"/>
  <c r="I1651" i="208"/>
  <c r="J1651" i="208"/>
  <c r="L1651" i="208"/>
  <c r="C1652" i="208"/>
  <c r="D1652" i="208"/>
  <c r="E1652" i="208"/>
  <c r="S1652" i="208" s="1"/>
  <c r="H1652" i="208"/>
  <c r="Q1652" i="208" s="1"/>
  <c r="I1652" i="208"/>
  <c r="J1652" i="208"/>
  <c r="L1652" i="208"/>
  <c r="C1653" i="208"/>
  <c r="D1653" i="208"/>
  <c r="E1653" i="208"/>
  <c r="S1653" i="208" s="1"/>
  <c r="H1653" i="208"/>
  <c r="Q1653" i="208" s="1"/>
  <c r="I1653" i="208"/>
  <c r="J1653" i="208"/>
  <c r="L1653" i="208"/>
  <c r="C1654" i="208"/>
  <c r="D1654" i="208"/>
  <c r="E1654" i="208"/>
  <c r="S1654" i="208" s="1"/>
  <c r="H1654" i="208"/>
  <c r="Q1654" i="208" s="1"/>
  <c r="I1654" i="208"/>
  <c r="J1654" i="208"/>
  <c r="L1654" i="208"/>
  <c r="C1655" i="208"/>
  <c r="D1655" i="208"/>
  <c r="E1655" i="208"/>
  <c r="S1655" i="208" s="1"/>
  <c r="H1655" i="208"/>
  <c r="Q1655" i="208" s="1"/>
  <c r="I1655" i="208"/>
  <c r="J1655" i="208"/>
  <c r="L1655" i="208"/>
  <c r="C1656" i="208"/>
  <c r="D1656" i="208"/>
  <c r="E1656" i="208"/>
  <c r="S1656" i="208" s="1"/>
  <c r="H1656" i="208"/>
  <c r="Q1656" i="208" s="1"/>
  <c r="I1656" i="208"/>
  <c r="J1656" i="208"/>
  <c r="L1656" i="208"/>
  <c r="C1657" i="208"/>
  <c r="D1657" i="208"/>
  <c r="E1657" i="208"/>
  <c r="S1657" i="208" s="1"/>
  <c r="H1657" i="208"/>
  <c r="Q1657" i="208" s="1"/>
  <c r="I1657" i="208"/>
  <c r="J1657" i="208"/>
  <c r="L1657" i="208"/>
  <c r="C1658" i="208"/>
  <c r="D1658" i="208"/>
  <c r="E1658" i="208"/>
  <c r="S1658" i="208" s="1"/>
  <c r="H1658" i="208"/>
  <c r="Q1658" i="208" s="1"/>
  <c r="I1658" i="208"/>
  <c r="J1658" i="208"/>
  <c r="L1658" i="208"/>
  <c r="C1659" i="208"/>
  <c r="D1659" i="208"/>
  <c r="E1659" i="208"/>
  <c r="S1659" i="208" s="1"/>
  <c r="H1659" i="208"/>
  <c r="Q1659" i="208" s="1"/>
  <c r="I1659" i="208"/>
  <c r="J1659" i="208"/>
  <c r="L1659" i="208"/>
  <c r="C1660" i="208"/>
  <c r="D1660" i="208"/>
  <c r="E1660" i="208"/>
  <c r="S1660" i="208" s="1"/>
  <c r="H1660" i="208"/>
  <c r="Q1660" i="208" s="1"/>
  <c r="I1660" i="208"/>
  <c r="J1660" i="208"/>
  <c r="L1660" i="208"/>
  <c r="C1661" i="208"/>
  <c r="D1661" i="208"/>
  <c r="E1661" i="208"/>
  <c r="S1661" i="208" s="1"/>
  <c r="H1661" i="208"/>
  <c r="Q1661" i="208" s="1"/>
  <c r="I1661" i="208"/>
  <c r="J1661" i="208"/>
  <c r="L1661" i="208"/>
  <c r="C1662" i="208"/>
  <c r="D1662" i="208"/>
  <c r="E1662" i="208"/>
  <c r="S1662" i="208" s="1"/>
  <c r="H1662" i="208"/>
  <c r="Q1662" i="208" s="1"/>
  <c r="I1662" i="208"/>
  <c r="J1662" i="208"/>
  <c r="L1662" i="208"/>
  <c r="C1663" i="208"/>
  <c r="D1663" i="208"/>
  <c r="E1663" i="208"/>
  <c r="S1663" i="208" s="1"/>
  <c r="H1663" i="208"/>
  <c r="Q1663" i="208" s="1"/>
  <c r="I1663" i="208"/>
  <c r="J1663" i="208"/>
  <c r="L1663" i="208"/>
  <c r="C1664" i="208"/>
  <c r="D1664" i="208"/>
  <c r="E1664" i="208"/>
  <c r="S1664" i="208" s="1"/>
  <c r="H1664" i="208"/>
  <c r="Q1664" i="208" s="1"/>
  <c r="I1664" i="208"/>
  <c r="J1664" i="208"/>
  <c r="L1664" i="208"/>
  <c r="C1665" i="208"/>
  <c r="D1665" i="208"/>
  <c r="E1665" i="208"/>
  <c r="S1665" i="208" s="1"/>
  <c r="H1665" i="208"/>
  <c r="Q1665" i="208" s="1"/>
  <c r="I1665" i="208"/>
  <c r="J1665" i="208"/>
  <c r="L1665" i="208"/>
  <c r="C1666" i="208"/>
  <c r="D1666" i="208"/>
  <c r="E1666" i="208"/>
  <c r="S1666" i="208" s="1"/>
  <c r="H1666" i="208"/>
  <c r="Q1666" i="208" s="1"/>
  <c r="I1666" i="208"/>
  <c r="J1666" i="208"/>
  <c r="L1666" i="208"/>
  <c r="C1667" i="208"/>
  <c r="D1667" i="208"/>
  <c r="E1667" i="208"/>
  <c r="S1667" i="208" s="1"/>
  <c r="H1667" i="208"/>
  <c r="Q1667" i="208" s="1"/>
  <c r="I1667" i="208"/>
  <c r="J1667" i="208"/>
  <c r="L1667" i="208"/>
  <c r="C1668" i="208"/>
  <c r="D1668" i="208"/>
  <c r="E1668" i="208"/>
  <c r="S1668" i="208" s="1"/>
  <c r="H1668" i="208"/>
  <c r="Q1668" i="208" s="1"/>
  <c r="I1668" i="208"/>
  <c r="J1668" i="208"/>
  <c r="L1668" i="208"/>
  <c r="C1669" i="208"/>
  <c r="D1669" i="208"/>
  <c r="E1669" i="208"/>
  <c r="S1669" i="208" s="1"/>
  <c r="H1669" i="208"/>
  <c r="Q1669" i="208" s="1"/>
  <c r="I1669" i="208"/>
  <c r="J1669" i="208"/>
  <c r="L1669" i="208"/>
  <c r="C1670" i="208"/>
  <c r="D1670" i="208"/>
  <c r="E1670" i="208"/>
  <c r="S1670" i="208" s="1"/>
  <c r="H1670" i="208"/>
  <c r="Q1670" i="208" s="1"/>
  <c r="I1670" i="208"/>
  <c r="J1670" i="208"/>
  <c r="L1670" i="208"/>
  <c r="C1671" i="208"/>
  <c r="D1671" i="208"/>
  <c r="E1671" i="208"/>
  <c r="S1671" i="208" s="1"/>
  <c r="H1671" i="208"/>
  <c r="Q1671" i="208" s="1"/>
  <c r="I1671" i="208"/>
  <c r="J1671" i="208"/>
  <c r="L1671" i="208"/>
  <c r="C1672" i="208"/>
  <c r="D1672" i="208"/>
  <c r="E1672" i="208"/>
  <c r="S1672" i="208" s="1"/>
  <c r="H1672" i="208"/>
  <c r="Q1672" i="208" s="1"/>
  <c r="I1672" i="208"/>
  <c r="J1672" i="208"/>
  <c r="L1672" i="208"/>
  <c r="C1673" i="208"/>
  <c r="D1673" i="208"/>
  <c r="E1673" i="208"/>
  <c r="S1673" i="208" s="1"/>
  <c r="H1673" i="208"/>
  <c r="Q1673" i="208" s="1"/>
  <c r="I1673" i="208"/>
  <c r="J1673" i="208"/>
  <c r="L1673" i="208"/>
  <c r="C1674" i="208"/>
  <c r="D1674" i="208"/>
  <c r="E1674" i="208"/>
  <c r="S1674" i="208" s="1"/>
  <c r="H1674" i="208"/>
  <c r="Q1674" i="208" s="1"/>
  <c r="I1674" i="208"/>
  <c r="J1674" i="208"/>
  <c r="L1674" i="208"/>
  <c r="C1675" i="208"/>
  <c r="D1675" i="208"/>
  <c r="E1675" i="208"/>
  <c r="S1675" i="208" s="1"/>
  <c r="H1675" i="208"/>
  <c r="Q1675" i="208" s="1"/>
  <c r="I1675" i="208"/>
  <c r="J1675" i="208"/>
  <c r="L1675" i="208"/>
  <c r="C1676" i="208"/>
  <c r="D1676" i="208"/>
  <c r="E1676" i="208"/>
  <c r="S1676" i="208" s="1"/>
  <c r="H1676" i="208"/>
  <c r="Q1676" i="208" s="1"/>
  <c r="I1676" i="208"/>
  <c r="J1676" i="208"/>
  <c r="L1676" i="208"/>
  <c r="C1677" i="208"/>
  <c r="D1677" i="208"/>
  <c r="E1677" i="208"/>
  <c r="S1677" i="208" s="1"/>
  <c r="H1677" i="208"/>
  <c r="Q1677" i="208" s="1"/>
  <c r="I1677" i="208"/>
  <c r="J1677" i="208"/>
  <c r="L1677" i="208"/>
  <c r="C1678" i="208"/>
  <c r="D1678" i="208"/>
  <c r="E1678" i="208"/>
  <c r="S1678" i="208" s="1"/>
  <c r="H1678" i="208"/>
  <c r="Q1678" i="208" s="1"/>
  <c r="I1678" i="208"/>
  <c r="J1678" i="208"/>
  <c r="L1678" i="208"/>
  <c r="C1679" i="208"/>
  <c r="D1679" i="208"/>
  <c r="E1679" i="208"/>
  <c r="S1679" i="208" s="1"/>
  <c r="H1679" i="208"/>
  <c r="Q1679" i="208" s="1"/>
  <c r="I1679" i="208"/>
  <c r="J1679" i="208"/>
  <c r="L1679" i="208"/>
  <c r="C1680" i="208"/>
  <c r="D1680" i="208"/>
  <c r="E1680" i="208"/>
  <c r="S1680" i="208" s="1"/>
  <c r="H1680" i="208"/>
  <c r="Q1680" i="208" s="1"/>
  <c r="I1680" i="208"/>
  <c r="J1680" i="208"/>
  <c r="L1680" i="208"/>
  <c r="C1681" i="208"/>
  <c r="D1681" i="208"/>
  <c r="E1681" i="208"/>
  <c r="S1681" i="208" s="1"/>
  <c r="H1681" i="208"/>
  <c r="Q1681" i="208" s="1"/>
  <c r="I1681" i="208"/>
  <c r="J1681" i="208"/>
  <c r="L1681" i="208"/>
  <c r="C1682" i="208"/>
  <c r="D1682" i="208"/>
  <c r="E1682" i="208"/>
  <c r="S1682" i="208" s="1"/>
  <c r="H1682" i="208"/>
  <c r="Q1682" i="208" s="1"/>
  <c r="I1682" i="208"/>
  <c r="J1682" i="208"/>
  <c r="L1682" i="208"/>
  <c r="C1683" i="208"/>
  <c r="D1683" i="208"/>
  <c r="E1683" i="208"/>
  <c r="S1683" i="208" s="1"/>
  <c r="H1683" i="208"/>
  <c r="Q1683" i="208" s="1"/>
  <c r="I1683" i="208"/>
  <c r="J1683" i="208"/>
  <c r="L1683" i="208"/>
  <c r="C1684" i="208"/>
  <c r="D1684" i="208"/>
  <c r="E1684" i="208"/>
  <c r="S1684" i="208" s="1"/>
  <c r="H1684" i="208"/>
  <c r="Q1684" i="208" s="1"/>
  <c r="I1684" i="208"/>
  <c r="J1684" i="208"/>
  <c r="L1684" i="208"/>
  <c r="C1685" i="208"/>
  <c r="D1685" i="208"/>
  <c r="E1685" i="208"/>
  <c r="S1685" i="208" s="1"/>
  <c r="H1685" i="208"/>
  <c r="Q1685" i="208" s="1"/>
  <c r="I1685" i="208"/>
  <c r="J1685" i="208"/>
  <c r="L1685" i="208"/>
  <c r="C1686" i="208"/>
  <c r="D1686" i="208"/>
  <c r="E1686" i="208"/>
  <c r="S1686" i="208" s="1"/>
  <c r="H1686" i="208"/>
  <c r="Q1686" i="208" s="1"/>
  <c r="I1686" i="208"/>
  <c r="J1686" i="208"/>
  <c r="L1686" i="208"/>
  <c r="C1687" i="208"/>
  <c r="D1687" i="208"/>
  <c r="E1687" i="208"/>
  <c r="S1687" i="208" s="1"/>
  <c r="H1687" i="208"/>
  <c r="Q1687" i="208" s="1"/>
  <c r="I1687" i="208"/>
  <c r="J1687" i="208"/>
  <c r="L1687" i="208"/>
  <c r="C1688" i="208"/>
  <c r="D1688" i="208"/>
  <c r="E1688" i="208"/>
  <c r="S1688" i="208" s="1"/>
  <c r="H1688" i="208"/>
  <c r="Q1688" i="208" s="1"/>
  <c r="I1688" i="208"/>
  <c r="J1688" i="208"/>
  <c r="L1688" i="208"/>
  <c r="C1689" i="208"/>
  <c r="D1689" i="208"/>
  <c r="E1689" i="208"/>
  <c r="S1689" i="208" s="1"/>
  <c r="H1689" i="208"/>
  <c r="Q1689" i="208" s="1"/>
  <c r="I1689" i="208"/>
  <c r="J1689" i="208"/>
  <c r="L1689" i="208"/>
  <c r="C1690" i="208"/>
  <c r="D1690" i="208"/>
  <c r="E1690" i="208"/>
  <c r="S1690" i="208" s="1"/>
  <c r="H1690" i="208"/>
  <c r="Q1690" i="208" s="1"/>
  <c r="I1690" i="208"/>
  <c r="J1690" i="208"/>
  <c r="L1690" i="208"/>
  <c r="C1691" i="208"/>
  <c r="D1691" i="208"/>
  <c r="E1691" i="208"/>
  <c r="S1691" i="208" s="1"/>
  <c r="H1691" i="208"/>
  <c r="Q1691" i="208" s="1"/>
  <c r="I1691" i="208"/>
  <c r="J1691" i="208"/>
  <c r="L1691" i="208"/>
  <c r="C1692" i="208"/>
  <c r="D1692" i="208"/>
  <c r="E1692" i="208"/>
  <c r="S1692" i="208" s="1"/>
  <c r="H1692" i="208"/>
  <c r="Q1692" i="208" s="1"/>
  <c r="I1692" i="208"/>
  <c r="J1692" i="208"/>
  <c r="L1692" i="208"/>
  <c r="C1693" i="208"/>
  <c r="D1693" i="208"/>
  <c r="E1693" i="208"/>
  <c r="S1693" i="208" s="1"/>
  <c r="H1693" i="208"/>
  <c r="Q1693" i="208" s="1"/>
  <c r="I1693" i="208"/>
  <c r="J1693" i="208"/>
  <c r="L1693" i="208"/>
  <c r="C1694" i="208"/>
  <c r="D1694" i="208"/>
  <c r="E1694" i="208"/>
  <c r="S1694" i="208" s="1"/>
  <c r="H1694" i="208"/>
  <c r="Q1694" i="208" s="1"/>
  <c r="I1694" i="208"/>
  <c r="J1694" i="208"/>
  <c r="L1694" i="208"/>
  <c r="C1695" i="208"/>
  <c r="D1695" i="208"/>
  <c r="E1695" i="208"/>
  <c r="S1695" i="208" s="1"/>
  <c r="H1695" i="208"/>
  <c r="Q1695" i="208" s="1"/>
  <c r="I1695" i="208"/>
  <c r="J1695" i="208"/>
  <c r="L1695" i="208"/>
  <c r="C1696" i="208"/>
  <c r="D1696" i="208"/>
  <c r="E1696" i="208"/>
  <c r="S1696" i="208" s="1"/>
  <c r="H1696" i="208"/>
  <c r="Q1696" i="208" s="1"/>
  <c r="I1696" i="208"/>
  <c r="J1696" i="208"/>
  <c r="L1696" i="208"/>
  <c r="C1697" i="208"/>
  <c r="D1697" i="208"/>
  <c r="E1697" i="208"/>
  <c r="S1697" i="208" s="1"/>
  <c r="H1697" i="208"/>
  <c r="Q1697" i="208" s="1"/>
  <c r="I1697" i="208"/>
  <c r="J1697" i="208"/>
  <c r="L1697" i="208"/>
  <c r="C1698" i="208"/>
  <c r="D1698" i="208"/>
  <c r="E1698" i="208"/>
  <c r="S1698" i="208" s="1"/>
  <c r="H1698" i="208"/>
  <c r="Q1698" i="208" s="1"/>
  <c r="I1698" i="208"/>
  <c r="J1698" i="208"/>
  <c r="L1698" i="208"/>
  <c r="C1699" i="208"/>
  <c r="D1699" i="208"/>
  <c r="E1699" i="208"/>
  <c r="S1699" i="208" s="1"/>
  <c r="H1699" i="208"/>
  <c r="Q1699" i="208" s="1"/>
  <c r="I1699" i="208"/>
  <c r="J1699" i="208"/>
  <c r="L1699" i="208"/>
  <c r="C1700" i="208"/>
  <c r="D1700" i="208"/>
  <c r="E1700" i="208"/>
  <c r="S1700" i="208" s="1"/>
  <c r="H1700" i="208"/>
  <c r="Q1700" i="208" s="1"/>
  <c r="I1700" i="208"/>
  <c r="J1700" i="208"/>
  <c r="L1700" i="208"/>
  <c r="C1701" i="208"/>
  <c r="D1701" i="208"/>
  <c r="E1701" i="208"/>
  <c r="S1701" i="208" s="1"/>
  <c r="H1701" i="208"/>
  <c r="Q1701" i="208" s="1"/>
  <c r="I1701" i="208"/>
  <c r="J1701" i="208"/>
  <c r="L1701" i="208"/>
  <c r="C1702" i="208"/>
  <c r="D1702" i="208"/>
  <c r="E1702" i="208"/>
  <c r="S1702" i="208" s="1"/>
  <c r="H1702" i="208"/>
  <c r="Q1702" i="208" s="1"/>
  <c r="I1702" i="208"/>
  <c r="J1702" i="208"/>
  <c r="L1702" i="208"/>
  <c r="C1703" i="208"/>
  <c r="D1703" i="208"/>
  <c r="E1703" i="208"/>
  <c r="S1703" i="208" s="1"/>
  <c r="H1703" i="208"/>
  <c r="Q1703" i="208" s="1"/>
  <c r="I1703" i="208"/>
  <c r="J1703" i="208"/>
  <c r="L1703" i="208"/>
  <c r="C1704" i="208"/>
  <c r="D1704" i="208"/>
  <c r="E1704" i="208"/>
  <c r="S1704" i="208" s="1"/>
  <c r="H1704" i="208"/>
  <c r="Q1704" i="208" s="1"/>
  <c r="I1704" i="208"/>
  <c r="J1704" i="208"/>
  <c r="L1704" i="208"/>
  <c r="C1705" i="208"/>
  <c r="D1705" i="208"/>
  <c r="E1705" i="208"/>
  <c r="S1705" i="208" s="1"/>
  <c r="H1705" i="208"/>
  <c r="Q1705" i="208" s="1"/>
  <c r="I1705" i="208"/>
  <c r="J1705" i="208"/>
  <c r="L1705" i="208"/>
  <c r="C1706" i="208"/>
  <c r="D1706" i="208"/>
  <c r="E1706" i="208"/>
  <c r="S1706" i="208" s="1"/>
  <c r="H1706" i="208"/>
  <c r="Q1706" i="208" s="1"/>
  <c r="I1706" i="208"/>
  <c r="J1706" i="208"/>
  <c r="L1706" i="208"/>
  <c r="C1707" i="208"/>
  <c r="D1707" i="208"/>
  <c r="E1707" i="208"/>
  <c r="S1707" i="208" s="1"/>
  <c r="H1707" i="208"/>
  <c r="Q1707" i="208" s="1"/>
  <c r="I1707" i="208"/>
  <c r="J1707" i="208"/>
  <c r="L1707" i="208"/>
  <c r="C1708" i="208"/>
  <c r="D1708" i="208"/>
  <c r="E1708" i="208"/>
  <c r="S1708" i="208" s="1"/>
  <c r="H1708" i="208"/>
  <c r="Q1708" i="208" s="1"/>
  <c r="I1708" i="208"/>
  <c r="J1708" i="208"/>
  <c r="L1708" i="208"/>
  <c r="C1709" i="208"/>
  <c r="D1709" i="208"/>
  <c r="E1709" i="208"/>
  <c r="S1709" i="208" s="1"/>
  <c r="H1709" i="208"/>
  <c r="Q1709" i="208" s="1"/>
  <c r="I1709" i="208"/>
  <c r="J1709" i="208"/>
  <c r="L1709" i="208"/>
  <c r="C1710" i="208"/>
  <c r="D1710" i="208"/>
  <c r="E1710" i="208"/>
  <c r="S1710" i="208" s="1"/>
  <c r="H1710" i="208"/>
  <c r="Q1710" i="208" s="1"/>
  <c r="I1710" i="208"/>
  <c r="J1710" i="208"/>
  <c r="L1710" i="208"/>
  <c r="C1711" i="208"/>
  <c r="D1711" i="208"/>
  <c r="E1711" i="208"/>
  <c r="S1711" i="208" s="1"/>
  <c r="H1711" i="208"/>
  <c r="Q1711" i="208" s="1"/>
  <c r="I1711" i="208"/>
  <c r="J1711" i="208"/>
  <c r="L1711" i="208"/>
  <c r="C1712" i="208"/>
  <c r="D1712" i="208"/>
  <c r="E1712" i="208"/>
  <c r="S1712" i="208" s="1"/>
  <c r="H1712" i="208"/>
  <c r="Q1712" i="208" s="1"/>
  <c r="I1712" i="208"/>
  <c r="J1712" i="208"/>
  <c r="L1712" i="208"/>
  <c r="C1713" i="208"/>
  <c r="D1713" i="208"/>
  <c r="E1713" i="208"/>
  <c r="S1713" i="208" s="1"/>
  <c r="H1713" i="208"/>
  <c r="Q1713" i="208" s="1"/>
  <c r="I1713" i="208"/>
  <c r="J1713" i="208"/>
  <c r="L1713" i="208"/>
  <c r="C1714" i="208"/>
  <c r="D1714" i="208"/>
  <c r="E1714" i="208"/>
  <c r="S1714" i="208" s="1"/>
  <c r="H1714" i="208"/>
  <c r="Q1714" i="208" s="1"/>
  <c r="I1714" i="208"/>
  <c r="J1714" i="208"/>
  <c r="L1714" i="208"/>
  <c r="C1715" i="208"/>
  <c r="D1715" i="208"/>
  <c r="E1715" i="208"/>
  <c r="S1715" i="208" s="1"/>
  <c r="H1715" i="208"/>
  <c r="Q1715" i="208" s="1"/>
  <c r="I1715" i="208"/>
  <c r="J1715" i="208"/>
  <c r="L1715" i="208"/>
  <c r="C1716" i="208"/>
  <c r="D1716" i="208"/>
  <c r="E1716" i="208"/>
  <c r="S1716" i="208" s="1"/>
  <c r="H1716" i="208"/>
  <c r="Q1716" i="208" s="1"/>
  <c r="I1716" i="208"/>
  <c r="J1716" i="208"/>
  <c r="L1716" i="208"/>
  <c r="C1717" i="208"/>
  <c r="D1717" i="208"/>
  <c r="E1717" i="208"/>
  <c r="S1717" i="208" s="1"/>
  <c r="H1717" i="208"/>
  <c r="Q1717" i="208" s="1"/>
  <c r="I1717" i="208"/>
  <c r="J1717" i="208"/>
  <c r="L1717" i="208"/>
  <c r="C1718" i="208"/>
  <c r="D1718" i="208"/>
  <c r="E1718" i="208"/>
  <c r="S1718" i="208" s="1"/>
  <c r="H1718" i="208"/>
  <c r="Q1718" i="208" s="1"/>
  <c r="I1718" i="208"/>
  <c r="J1718" i="208"/>
  <c r="L1718" i="208"/>
  <c r="C1719" i="208"/>
  <c r="D1719" i="208"/>
  <c r="E1719" i="208"/>
  <c r="S1719" i="208" s="1"/>
  <c r="H1719" i="208"/>
  <c r="Q1719" i="208" s="1"/>
  <c r="I1719" i="208"/>
  <c r="J1719" i="208"/>
  <c r="L1719" i="208"/>
  <c r="C1720" i="208"/>
  <c r="D1720" i="208"/>
  <c r="E1720" i="208"/>
  <c r="S1720" i="208" s="1"/>
  <c r="H1720" i="208"/>
  <c r="Q1720" i="208" s="1"/>
  <c r="I1720" i="208"/>
  <c r="J1720" i="208"/>
  <c r="L1720" i="208"/>
  <c r="C1721" i="208"/>
  <c r="D1721" i="208"/>
  <c r="E1721" i="208"/>
  <c r="S1721" i="208" s="1"/>
  <c r="H1721" i="208"/>
  <c r="Q1721" i="208" s="1"/>
  <c r="I1721" i="208"/>
  <c r="J1721" i="208"/>
  <c r="L1721" i="208"/>
  <c r="C1722" i="208"/>
  <c r="D1722" i="208"/>
  <c r="E1722" i="208"/>
  <c r="S1722" i="208" s="1"/>
  <c r="H1722" i="208"/>
  <c r="Q1722" i="208" s="1"/>
  <c r="I1722" i="208"/>
  <c r="J1722" i="208"/>
  <c r="L1722" i="208"/>
  <c r="C1723" i="208"/>
  <c r="D1723" i="208"/>
  <c r="E1723" i="208"/>
  <c r="S1723" i="208" s="1"/>
  <c r="H1723" i="208"/>
  <c r="Q1723" i="208" s="1"/>
  <c r="I1723" i="208"/>
  <c r="J1723" i="208"/>
  <c r="L1723" i="208"/>
  <c r="C1724" i="208"/>
  <c r="D1724" i="208"/>
  <c r="E1724" i="208"/>
  <c r="S1724" i="208" s="1"/>
  <c r="H1724" i="208"/>
  <c r="Q1724" i="208" s="1"/>
  <c r="I1724" i="208"/>
  <c r="J1724" i="208"/>
  <c r="L1724" i="208"/>
  <c r="C1725" i="208"/>
  <c r="D1725" i="208"/>
  <c r="E1725" i="208"/>
  <c r="S1725" i="208" s="1"/>
  <c r="H1725" i="208"/>
  <c r="Q1725" i="208" s="1"/>
  <c r="I1725" i="208"/>
  <c r="J1725" i="208"/>
  <c r="L1725" i="208"/>
  <c r="C1726" i="208"/>
  <c r="D1726" i="208"/>
  <c r="E1726" i="208"/>
  <c r="S1726" i="208" s="1"/>
  <c r="H1726" i="208"/>
  <c r="Q1726" i="208" s="1"/>
  <c r="I1726" i="208"/>
  <c r="J1726" i="208"/>
  <c r="L1726" i="208"/>
  <c r="C1727" i="208"/>
  <c r="D1727" i="208"/>
  <c r="E1727" i="208"/>
  <c r="S1727" i="208" s="1"/>
  <c r="H1727" i="208"/>
  <c r="Q1727" i="208" s="1"/>
  <c r="I1727" i="208"/>
  <c r="J1727" i="208"/>
  <c r="L1727" i="208"/>
  <c r="C1728" i="208"/>
  <c r="D1728" i="208"/>
  <c r="E1728" i="208"/>
  <c r="S1728" i="208" s="1"/>
  <c r="H1728" i="208"/>
  <c r="Q1728" i="208" s="1"/>
  <c r="I1728" i="208"/>
  <c r="J1728" i="208"/>
  <c r="L1728" i="208"/>
  <c r="C1729" i="208"/>
  <c r="D1729" i="208"/>
  <c r="E1729" i="208"/>
  <c r="S1729" i="208" s="1"/>
  <c r="H1729" i="208"/>
  <c r="Q1729" i="208" s="1"/>
  <c r="I1729" i="208"/>
  <c r="J1729" i="208"/>
  <c r="L1729" i="208"/>
  <c r="C1730" i="208"/>
  <c r="D1730" i="208"/>
  <c r="E1730" i="208"/>
  <c r="S1730" i="208" s="1"/>
  <c r="H1730" i="208"/>
  <c r="Q1730" i="208" s="1"/>
  <c r="I1730" i="208"/>
  <c r="J1730" i="208"/>
  <c r="L1730" i="208"/>
  <c r="C1731" i="208"/>
  <c r="D1731" i="208"/>
  <c r="E1731" i="208"/>
  <c r="S1731" i="208" s="1"/>
  <c r="H1731" i="208"/>
  <c r="Q1731" i="208" s="1"/>
  <c r="I1731" i="208"/>
  <c r="J1731" i="208"/>
  <c r="L1731" i="208"/>
  <c r="C1732" i="208"/>
  <c r="D1732" i="208"/>
  <c r="E1732" i="208"/>
  <c r="S1732" i="208" s="1"/>
  <c r="H1732" i="208"/>
  <c r="Q1732" i="208" s="1"/>
  <c r="I1732" i="208"/>
  <c r="J1732" i="208"/>
  <c r="L1732" i="208"/>
  <c r="C1733" i="208"/>
  <c r="D1733" i="208"/>
  <c r="E1733" i="208"/>
  <c r="S1733" i="208" s="1"/>
  <c r="H1733" i="208"/>
  <c r="Q1733" i="208" s="1"/>
  <c r="I1733" i="208"/>
  <c r="J1733" i="208"/>
  <c r="L1733" i="208"/>
  <c r="C1734" i="208"/>
  <c r="D1734" i="208"/>
  <c r="E1734" i="208"/>
  <c r="S1734" i="208" s="1"/>
  <c r="H1734" i="208"/>
  <c r="Q1734" i="208" s="1"/>
  <c r="I1734" i="208"/>
  <c r="J1734" i="208"/>
  <c r="L1734" i="208"/>
  <c r="C1735" i="208"/>
  <c r="D1735" i="208"/>
  <c r="E1735" i="208"/>
  <c r="S1735" i="208" s="1"/>
  <c r="H1735" i="208"/>
  <c r="Q1735" i="208" s="1"/>
  <c r="I1735" i="208"/>
  <c r="J1735" i="208"/>
  <c r="L1735" i="208"/>
  <c r="C1736" i="208"/>
  <c r="D1736" i="208"/>
  <c r="E1736" i="208"/>
  <c r="S1736" i="208" s="1"/>
  <c r="H1736" i="208"/>
  <c r="Q1736" i="208" s="1"/>
  <c r="I1736" i="208"/>
  <c r="J1736" i="208"/>
  <c r="L1736" i="208"/>
  <c r="C1737" i="208"/>
  <c r="D1737" i="208"/>
  <c r="E1737" i="208"/>
  <c r="S1737" i="208" s="1"/>
  <c r="H1737" i="208"/>
  <c r="Q1737" i="208" s="1"/>
  <c r="I1737" i="208"/>
  <c r="J1737" i="208"/>
  <c r="L1737" i="208"/>
  <c r="C1738" i="208"/>
  <c r="D1738" i="208"/>
  <c r="E1738" i="208"/>
  <c r="S1738" i="208" s="1"/>
  <c r="H1738" i="208"/>
  <c r="Q1738" i="208" s="1"/>
  <c r="I1738" i="208"/>
  <c r="J1738" i="208"/>
  <c r="L1738" i="208"/>
  <c r="C1739" i="208"/>
  <c r="D1739" i="208"/>
  <c r="E1739" i="208"/>
  <c r="S1739" i="208" s="1"/>
  <c r="H1739" i="208"/>
  <c r="Q1739" i="208" s="1"/>
  <c r="I1739" i="208"/>
  <c r="J1739" i="208"/>
  <c r="L1739" i="208"/>
  <c r="C1740" i="208"/>
  <c r="D1740" i="208"/>
  <c r="E1740" i="208"/>
  <c r="S1740" i="208" s="1"/>
  <c r="H1740" i="208"/>
  <c r="Q1740" i="208" s="1"/>
  <c r="I1740" i="208"/>
  <c r="J1740" i="208"/>
  <c r="L1740" i="208"/>
  <c r="C1741" i="208"/>
  <c r="D1741" i="208"/>
  <c r="E1741" i="208"/>
  <c r="S1741" i="208" s="1"/>
  <c r="H1741" i="208"/>
  <c r="Q1741" i="208" s="1"/>
  <c r="I1741" i="208"/>
  <c r="J1741" i="208"/>
  <c r="L1741" i="208"/>
  <c r="C1742" i="208"/>
  <c r="D1742" i="208"/>
  <c r="E1742" i="208"/>
  <c r="S1742" i="208" s="1"/>
  <c r="H1742" i="208"/>
  <c r="Q1742" i="208" s="1"/>
  <c r="I1742" i="208"/>
  <c r="J1742" i="208"/>
  <c r="L1742" i="208"/>
  <c r="C1743" i="208"/>
  <c r="D1743" i="208"/>
  <c r="E1743" i="208"/>
  <c r="S1743" i="208" s="1"/>
  <c r="H1743" i="208"/>
  <c r="Q1743" i="208" s="1"/>
  <c r="I1743" i="208"/>
  <c r="J1743" i="208"/>
  <c r="L1743" i="208"/>
  <c r="C1744" i="208"/>
  <c r="D1744" i="208"/>
  <c r="E1744" i="208"/>
  <c r="S1744" i="208" s="1"/>
  <c r="H1744" i="208"/>
  <c r="Q1744" i="208" s="1"/>
  <c r="I1744" i="208"/>
  <c r="J1744" i="208"/>
  <c r="L1744" i="208"/>
  <c r="C1745" i="208"/>
  <c r="D1745" i="208"/>
  <c r="E1745" i="208"/>
  <c r="S1745" i="208" s="1"/>
  <c r="H1745" i="208"/>
  <c r="Q1745" i="208" s="1"/>
  <c r="I1745" i="208"/>
  <c r="J1745" i="208"/>
  <c r="L1745" i="208"/>
  <c r="C1746" i="208"/>
  <c r="D1746" i="208"/>
  <c r="E1746" i="208"/>
  <c r="S1746" i="208" s="1"/>
  <c r="H1746" i="208"/>
  <c r="Q1746" i="208" s="1"/>
  <c r="I1746" i="208"/>
  <c r="J1746" i="208"/>
  <c r="L1746" i="208"/>
  <c r="C1747" i="208"/>
  <c r="D1747" i="208"/>
  <c r="E1747" i="208"/>
  <c r="S1747" i="208" s="1"/>
  <c r="H1747" i="208"/>
  <c r="Q1747" i="208" s="1"/>
  <c r="I1747" i="208"/>
  <c r="J1747" i="208"/>
  <c r="L1747" i="208"/>
  <c r="C1748" i="208"/>
  <c r="D1748" i="208"/>
  <c r="E1748" i="208"/>
  <c r="S1748" i="208" s="1"/>
  <c r="H1748" i="208"/>
  <c r="Q1748" i="208" s="1"/>
  <c r="I1748" i="208"/>
  <c r="J1748" i="208"/>
  <c r="L1748" i="208"/>
  <c r="C1749" i="208"/>
  <c r="D1749" i="208"/>
  <c r="E1749" i="208"/>
  <c r="S1749" i="208" s="1"/>
  <c r="H1749" i="208"/>
  <c r="Q1749" i="208" s="1"/>
  <c r="I1749" i="208"/>
  <c r="J1749" i="208"/>
  <c r="L1749" i="208"/>
  <c r="C1750" i="208"/>
  <c r="D1750" i="208"/>
  <c r="E1750" i="208"/>
  <c r="S1750" i="208" s="1"/>
  <c r="H1750" i="208"/>
  <c r="Q1750" i="208" s="1"/>
  <c r="I1750" i="208"/>
  <c r="J1750" i="208"/>
  <c r="L1750" i="208"/>
  <c r="C1751" i="208"/>
  <c r="D1751" i="208"/>
  <c r="E1751" i="208"/>
  <c r="S1751" i="208" s="1"/>
  <c r="H1751" i="208"/>
  <c r="Q1751" i="208" s="1"/>
  <c r="I1751" i="208"/>
  <c r="J1751" i="208"/>
  <c r="L1751" i="208"/>
  <c r="C1752" i="208"/>
  <c r="D1752" i="208"/>
  <c r="E1752" i="208"/>
  <c r="S1752" i="208" s="1"/>
  <c r="H1752" i="208"/>
  <c r="Q1752" i="208" s="1"/>
  <c r="I1752" i="208"/>
  <c r="J1752" i="208"/>
  <c r="L1752" i="208"/>
  <c r="C1753" i="208"/>
  <c r="D1753" i="208"/>
  <c r="E1753" i="208"/>
  <c r="S1753" i="208" s="1"/>
  <c r="H1753" i="208"/>
  <c r="Q1753" i="208" s="1"/>
  <c r="I1753" i="208"/>
  <c r="J1753" i="208"/>
  <c r="L1753" i="208"/>
  <c r="C1754" i="208"/>
  <c r="D1754" i="208"/>
  <c r="E1754" i="208"/>
  <c r="S1754" i="208" s="1"/>
  <c r="H1754" i="208"/>
  <c r="Q1754" i="208" s="1"/>
  <c r="I1754" i="208"/>
  <c r="J1754" i="208"/>
  <c r="L1754" i="208"/>
  <c r="C1755" i="208"/>
  <c r="D1755" i="208"/>
  <c r="E1755" i="208"/>
  <c r="S1755" i="208" s="1"/>
  <c r="H1755" i="208"/>
  <c r="Q1755" i="208" s="1"/>
  <c r="I1755" i="208"/>
  <c r="J1755" i="208"/>
  <c r="L1755" i="208"/>
  <c r="C1756" i="208"/>
  <c r="D1756" i="208"/>
  <c r="E1756" i="208"/>
  <c r="S1756" i="208" s="1"/>
  <c r="H1756" i="208"/>
  <c r="Q1756" i="208" s="1"/>
  <c r="I1756" i="208"/>
  <c r="J1756" i="208"/>
  <c r="L1756" i="208"/>
  <c r="C1757" i="208"/>
  <c r="D1757" i="208"/>
  <c r="E1757" i="208"/>
  <c r="S1757" i="208" s="1"/>
  <c r="H1757" i="208"/>
  <c r="Q1757" i="208" s="1"/>
  <c r="I1757" i="208"/>
  <c r="J1757" i="208"/>
  <c r="L1757" i="208"/>
  <c r="C1758" i="208"/>
  <c r="D1758" i="208"/>
  <c r="E1758" i="208"/>
  <c r="S1758" i="208" s="1"/>
  <c r="H1758" i="208"/>
  <c r="Q1758" i="208" s="1"/>
  <c r="I1758" i="208"/>
  <c r="J1758" i="208"/>
  <c r="L1758" i="208"/>
  <c r="C1759" i="208"/>
  <c r="D1759" i="208"/>
  <c r="E1759" i="208"/>
  <c r="S1759" i="208" s="1"/>
  <c r="H1759" i="208"/>
  <c r="Q1759" i="208" s="1"/>
  <c r="I1759" i="208"/>
  <c r="J1759" i="208"/>
  <c r="L1759" i="208"/>
  <c r="C1760" i="208"/>
  <c r="D1760" i="208"/>
  <c r="E1760" i="208"/>
  <c r="S1760" i="208" s="1"/>
  <c r="H1760" i="208"/>
  <c r="Q1760" i="208" s="1"/>
  <c r="I1760" i="208"/>
  <c r="J1760" i="208"/>
  <c r="L1760" i="208"/>
  <c r="C1761" i="208"/>
  <c r="D1761" i="208"/>
  <c r="E1761" i="208"/>
  <c r="S1761" i="208" s="1"/>
  <c r="H1761" i="208"/>
  <c r="Q1761" i="208" s="1"/>
  <c r="I1761" i="208"/>
  <c r="J1761" i="208"/>
  <c r="L1761" i="208"/>
  <c r="C1762" i="208"/>
  <c r="D1762" i="208"/>
  <c r="E1762" i="208"/>
  <c r="S1762" i="208" s="1"/>
  <c r="H1762" i="208"/>
  <c r="Q1762" i="208" s="1"/>
  <c r="I1762" i="208"/>
  <c r="J1762" i="208"/>
  <c r="L1762" i="208"/>
  <c r="C1763" i="208"/>
  <c r="D1763" i="208"/>
  <c r="E1763" i="208"/>
  <c r="S1763" i="208" s="1"/>
  <c r="H1763" i="208"/>
  <c r="Q1763" i="208" s="1"/>
  <c r="I1763" i="208"/>
  <c r="J1763" i="208"/>
  <c r="L1763" i="208"/>
  <c r="C1764" i="208"/>
  <c r="D1764" i="208"/>
  <c r="E1764" i="208"/>
  <c r="S1764" i="208" s="1"/>
  <c r="H1764" i="208"/>
  <c r="Q1764" i="208" s="1"/>
  <c r="I1764" i="208"/>
  <c r="J1764" i="208"/>
  <c r="L1764" i="208"/>
  <c r="C1765" i="208"/>
  <c r="D1765" i="208"/>
  <c r="E1765" i="208"/>
  <c r="S1765" i="208" s="1"/>
  <c r="H1765" i="208"/>
  <c r="Q1765" i="208" s="1"/>
  <c r="I1765" i="208"/>
  <c r="J1765" i="208"/>
  <c r="L1765" i="208"/>
  <c r="C1766" i="208"/>
  <c r="D1766" i="208"/>
  <c r="E1766" i="208"/>
  <c r="S1766" i="208" s="1"/>
  <c r="H1766" i="208"/>
  <c r="Q1766" i="208" s="1"/>
  <c r="I1766" i="208"/>
  <c r="J1766" i="208"/>
  <c r="L1766" i="208"/>
  <c r="C1767" i="208"/>
  <c r="D1767" i="208"/>
  <c r="E1767" i="208"/>
  <c r="S1767" i="208" s="1"/>
  <c r="H1767" i="208"/>
  <c r="Q1767" i="208" s="1"/>
  <c r="I1767" i="208"/>
  <c r="J1767" i="208"/>
  <c r="L1767" i="208"/>
  <c r="C1768" i="208"/>
  <c r="D1768" i="208"/>
  <c r="E1768" i="208"/>
  <c r="S1768" i="208" s="1"/>
  <c r="H1768" i="208"/>
  <c r="Q1768" i="208" s="1"/>
  <c r="I1768" i="208"/>
  <c r="J1768" i="208"/>
  <c r="L1768" i="208"/>
  <c r="C1769" i="208"/>
  <c r="D1769" i="208"/>
  <c r="E1769" i="208"/>
  <c r="S1769" i="208" s="1"/>
  <c r="H1769" i="208"/>
  <c r="Q1769" i="208" s="1"/>
  <c r="I1769" i="208"/>
  <c r="J1769" i="208"/>
  <c r="L1769" i="208"/>
  <c r="C1770" i="208"/>
  <c r="D1770" i="208"/>
  <c r="E1770" i="208"/>
  <c r="S1770" i="208" s="1"/>
  <c r="H1770" i="208"/>
  <c r="Q1770" i="208" s="1"/>
  <c r="I1770" i="208"/>
  <c r="J1770" i="208"/>
  <c r="L1770" i="208"/>
  <c r="C1771" i="208"/>
  <c r="D1771" i="208"/>
  <c r="E1771" i="208"/>
  <c r="S1771" i="208" s="1"/>
  <c r="H1771" i="208"/>
  <c r="Q1771" i="208" s="1"/>
  <c r="I1771" i="208"/>
  <c r="J1771" i="208"/>
  <c r="L1771" i="208"/>
  <c r="C1772" i="208"/>
  <c r="D1772" i="208"/>
  <c r="E1772" i="208"/>
  <c r="S1772" i="208" s="1"/>
  <c r="H1772" i="208"/>
  <c r="Q1772" i="208" s="1"/>
  <c r="I1772" i="208"/>
  <c r="J1772" i="208"/>
  <c r="L1772" i="208"/>
  <c r="C1773" i="208"/>
  <c r="D1773" i="208"/>
  <c r="E1773" i="208"/>
  <c r="S1773" i="208" s="1"/>
  <c r="H1773" i="208"/>
  <c r="Q1773" i="208" s="1"/>
  <c r="I1773" i="208"/>
  <c r="J1773" i="208"/>
  <c r="L1773" i="208"/>
  <c r="C1774" i="208"/>
  <c r="D1774" i="208"/>
  <c r="E1774" i="208"/>
  <c r="S1774" i="208" s="1"/>
  <c r="H1774" i="208"/>
  <c r="Q1774" i="208" s="1"/>
  <c r="I1774" i="208"/>
  <c r="J1774" i="208"/>
  <c r="L1774" i="208"/>
  <c r="C1775" i="208"/>
  <c r="D1775" i="208"/>
  <c r="E1775" i="208"/>
  <c r="S1775" i="208" s="1"/>
  <c r="H1775" i="208"/>
  <c r="Q1775" i="208" s="1"/>
  <c r="I1775" i="208"/>
  <c r="J1775" i="208"/>
  <c r="L1775" i="208"/>
  <c r="C1776" i="208"/>
  <c r="D1776" i="208"/>
  <c r="E1776" i="208"/>
  <c r="S1776" i="208" s="1"/>
  <c r="H1776" i="208"/>
  <c r="Q1776" i="208" s="1"/>
  <c r="I1776" i="208"/>
  <c r="J1776" i="208"/>
  <c r="L1776" i="208"/>
  <c r="C1777" i="208"/>
  <c r="D1777" i="208"/>
  <c r="E1777" i="208"/>
  <c r="S1777" i="208" s="1"/>
  <c r="H1777" i="208"/>
  <c r="Q1777" i="208" s="1"/>
  <c r="I1777" i="208"/>
  <c r="J1777" i="208"/>
  <c r="L1777" i="208"/>
  <c r="C1778" i="208"/>
  <c r="D1778" i="208"/>
  <c r="E1778" i="208"/>
  <c r="S1778" i="208" s="1"/>
  <c r="H1778" i="208"/>
  <c r="Q1778" i="208" s="1"/>
  <c r="I1778" i="208"/>
  <c r="J1778" i="208"/>
  <c r="L1778" i="208"/>
  <c r="C1779" i="208"/>
  <c r="D1779" i="208"/>
  <c r="E1779" i="208"/>
  <c r="S1779" i="208" s="1"/>
  <c r="H1779" i="208"/>
  <c r="Q1779" i="208" s="1"/>
  <c r="I1779" i="208"/>
  <c r="J1779" i="208"/>
  <c r="L1779" i="208"/>
  <c r="C1780" i="208"/>
  <c r="D1780" i="208"/>
  <c r="E1780" i="208"/>
  <c r="S1780" i="208" s="1"/>
  <c r="H1780" i="208"/>
  <c r="Q1780" i="208" s="1"/>
  <c r="I1780" i="208"/>
  <c r="J1780" i="208"/>
  <c r="L1780" i="208"/>
  <c r="C1781" i="208"/>
  <c r="D1781" i="208"/>
  <c r="E1781" i="208"/>
  <c r="S1781" i="208" s="1"/>
  <c r="H1781" i="208"/>
  <c r="Q1781" i="208" s="1"/>
  <c r="I1781" i="208"/>
  <c r="J1781" i="208"/>
  <c r="L1781" i="208"/>
  <c r="C1782" i="208"/>
  <c r="D1782" i="208"/>
  <c r="E1782" i="208"/>
  <c r="S1782" i="208" s="1"/>
  <c r="H1782" i="208"/>
  <c r="Q1782" i="208" s="1"/>
  <c r="I1782" i="208"/>
  <c r="J1782" i="208"/>
  <c r="L1782" i="208"/>
  <c r="C1783" i="208"/>
  <c r="D1783" i="208"/>
  <c r="E1783" i="208"/>
  <c r="S1783" i="208" s="1"/>
  <c r="H1783" i="208"/>
  <c r="Q1783" i="208" s="1"/>
  <c r="I1783" i="208"/>
  <c r="J1783" i="208"/>
  <c r="L1783" i="208"/>
  <c r="C1784" i="208"/>
  <c r="D1784" i="208"/>
  <c r="E1784" i="208"/>
  <c r="S1784" i="208" s="1"/>
  <c r="H1784" i="208"/>
  <c r="Q1784" i="208" s="1"/>
  <c r="I1784" i="208"/>
  <c r="J1784" i="208"/>
  <c r="L1784" i="208"/>
  <c r="C1785" i="208"/>
  <c r="D1785" i="208"/>
  <c r="E1785" i="208"/>
  <c r="S1785" i="208" s="1"/>
  <c r="H1785" i="208"/>
  <c r="Q1785" i="208" s="1"/>
  <c r="I1785" i="208"/>
  <c r="J1785" i="208"/>
  <c r="L1785" i="208"/>
  <c r="C1786" i="208"/>
  <c r="D1786" i="208"/>
  <c r="E1786" i="208"/>
  <c r="S1786" i="208" s="1"/>
  <c r="H1786" i="208"/>
  <c r="Q1786" i="208" s="1"/>
  <c r="I1786" i="208"/>
  <c r="J1786" i="208"/>
  <c r="L1786" i="208"/>
  <c r="C1787" i="208"/>
  <c r="D1787" i="208"/>
  <c r="E1787" i="208"/>
  <c r="S1787" i="208" s="1"/>
  <c r="H1787" i="208"/>
  <c r="Q1787" i="208" s="1"/>
  <c r="I1787" i="208"/>
  <c r="J1787" i="208"/>
  <c r="L1787" i="208"/>
  <c r="C1788" i="208"/>
  <c r="D1788" i="208"/>
  <c r="E1788" i="208"/>
  <c r="S1788" i="208" s="1"/>
  <c r="H1788" i="208"/>
  <c r="Q1788" i="208" s="1"/>
  <c r="I1788" i="208"/>
  <c r="J1788" i="208"/>
  <c r="L1788" i="208"/>
  <c r="C1789" i="208"/>
  <c r="D1789" i="208"/>
  <c r="E1789" i="208"/>
  <c r="S1789" i="208" s="1"/>
  <c r="H1789" i="208"/>
  <c r="Q1789" i="208" s="1"/>
  <c r="I1789" i="208"/>
  <c r="J1789" i="208"/>
  <c r="L1789" i="208"/>
  <c r="C1790" i="208"/>
  <c r="D1790" i="208"/>
  <c r="E1790" i="208"/>
  <c r="S1790" i="208" s="1"/>
  <c r="H1790" i="208"/>
  <c r="Q1790" i="208" s="1"/>
  <c r="I1790" i="208"/>
  <c r="J1790" i="208"/>
  <c r="L1790" i="208"/>
  <c r="C1791" i="208"/>
  <c r="D1791" i="208"/>
  <c r="E1791" i="208"/>
  <c r="S1791" i="208" s="1"/>
  <c r="H1791" i="208"/>
  <c r="Q1791" i="208" s="1"/>
  <c r="I1791" i="208"/>
  <c r="J1791" i="208"/>
  <c r="L1791" i="208"/>
  <c r="C1792" i="208"/>
  <c r="D1792" i="208"/>
  <c r="E1792" i="208"/>
  <c r="S1792" i="208" s="1"/>
  <c r="H1792" i="208"/>
  <c r="Q1792" i="208" s="1"/>
  <c r="I1792" i="208"/>
  <c r="J1792" i="208"/>
  <c r="L1792" i="208"/>
  <c r="C1793" i="208"/>
  <c r="D1793" i="208"/>
  <c r="E1793" i="208"/>
  <c r="S1793" i="208" s="1"/>
  <c r="H1793" i="208"/>
  <c r="Q1793" i="208" s="1"/>
  <c r="I1793" i="208"/>
  <c r="J1793" i="208"/>
  <c r="L1793" i="208"/>
  <c r="C1794" i="208"/>
  <c r="D1794" i="208"/>
  <c r="E1794" i="208"/>
  <c r="S1794" i="208" s="1"/>
  <c r="H1794" i="208"/>
  <c r="Q1794" i="208" s="1"/>
  <c r="I1794" i="208"/>
  <c r="J1794" i="208"/>
  <c r="L1794" i="208"/>
  <c r="C1795" i="208"/>
  <c r="D1795" i="208"/>
  <c r="E1795" i="208"/>
  <c r="S1795" i="208" s="1"/>
  <c r="H1795" i="208"/>
  <c r="Q1795" i="208" s="1"/>
  <c r="I1795" i="208"/>
  <c r="J1795" i="208"/>
  <c r="L1795" i="208"/>
  <c r="C1796" i="208"/>
  <c r="D1796" i="208"/>
  <c r="E1796" i="208"/>
  <c r="S1796" i="208" s="1"/>
  <c r="H1796" i="208"/>
  <c r="Q1796" i="208" s="1"/>
  <c r="I1796" i="208"/>
  <c r="J1796" i="208"/>
  <c r="L1796" i="208"/>
  <c r="C1797" i="208"/>
  <c r="D1797" i="208"/>
  <c r="E1797" i="208"/>
  <c r="S1797" i="208" s="1"/>
  <c r="H1797" i="208"/>
  <c r="Q1797" i="208" s="1"/>
  <c r="I1797" i="208"/>
  <c r="J1797" i="208"/>
  <c r="L1797" i="208"/>
  <c r="C1798" i="208"/>
  <c r="D1798" i="208"/>
  <c r="E1798" i="208"/>
  <c r="S1798" i="208" s="1"/>
  <c r="H1798" i="208"/>
  <c r="Q1798" i="208" s="1"/>
  <c r="I1798" i="208"/>
  <c r="J1798" i="208"/>
  <c r="L1798" i="208"/>
  <c r="C1799" i="208"/>
  <c r="D1799" i="208"/>
  <c r="E1799" i="208"/>
  <c r="S1799" i="208" s="1"/>
  <c r="H1799" i="208"/>
  <c r="Q1799" i="208" s="1"/>
  <c r="I1799" i="208"/>
  <c r="J1799" i="208"/>
  <c r="L1799" i="208"/>
  <c r="C1800" i="208"/>
  <c r="D1800" i="208"/>
  <c r="E1800" i="208"/>
  <c r="S1800" i="208" s="1"/>
  <c r="H1800" i="208"/>
  <c r="Q1800" i="208" s="1"/>
  <c r="I1800" i="208"/>
  <c r="J1800" i="208"/>
  <c r="L1800" i="208"/>
  <c r="C1801" i="208"/>
  <c r="D1801" i="208"/>
  <c r="E1801" i="208"/>
  <c r="S1801" i="208" s="1"/>
  <c r="H1801" i="208"/>
  <c r="Q1801" i="208" s="1"/>
  <c r="I1801" i="208"/>
  <c r="J1801" i="208"/>
  <c r="L1801" i="208"/>
  <c r="C1802" i="208"/>
  <c r="D1802" i="208"/>
  <c r="E1802" i="208"/>
  <c r="S1802" i="208" s="1"/>
  <c r="H1802" i="208"/>
  <c r="Q1802" i="208" s="1"/>
  <c r="I1802" i="208"/>
  <c r="J1802" i="208"/>
  <c r="L1802" i="208"/>
  <c r="C1803" i="208"/>
  <c r="D1803" i="208"/>
  <c r="E1803" i="208"/>
  <c r="S1803" i="208" s="1"/>
  <c r="H1803" i="208"/>
  <c r="Q1803" i="208" s="1"/>
  <c r="I1803" i="208"/>
  <c r="J1803" i="208"/>
  <c r="L1803" i="208"/>
  <c r="C1804" i="208"/>
  <c r="D1804" i="208"/>
  <c r="E1804" i="208"/>
  <c r="S1804" i="208" s="1"/>
  <c r="H1804" i="208"/>
  <c r="Q1804" i="208" s="1"/>
  <c r="I1804" i="208"/>
  <c r="J1804" i="208"/>
  <c r="L1804" i="208"/>
  <c r="C1805" i="208"/>
  <c r="D1805" i="208"/>
  <c r="E1805" i="208"/>
  <c r="S1805" i="208" s="1"/>
  <c r="H1805" i="208"/>
  <c r="Q1805" i="208" s="1"/>
  <c r="I1805" i="208"/>
  <c r="J1805" i="208"/>
  <c r="L1805" i="208"/>
  <c r="C1806" i="208"/>
  <c r="D1806" i="208"/>
  <c r="E1806" i="208"/>
  <c r="S1806" i="208" s="1"/>
  <c r="H1806" i="208"/>
  <c r="Q1806" i="208" s="1"/>
  <c r="I1806" i="208"/>
  <c r="J1806" i="208"/>
  <c r="L1806" i="208"/>
  <c r="C1807" i="208"/>
  <c r="D1807" i="208"/>
  <c r="E1807" i="208"/>
  <c r="S1807" i="208" s="1"/>
  <c r="H1807" i="208"/>
  <c r="Q1807" i="208" s="1"/>
  <c r="I1807" i="208"/>
  <c r="J1807" i="208"/>
  <c r="L1807" i="208"/>
  <c r="C1808" i="208"/>
  <c r="D1808" i="208"/>
  <c r="E1808" i="208"/>
  <c r="S1808" i="208" s="1"/>
  <c r="H1808" i="208"/>
  <c r="Q1808" i="208" s="1"/>
  <c r="I1808" i="208"/>
  <c r="J1808" i="208"/>
  <c r="L1808" i="208"/>
  <c r="C1809" i="208"/>
  <c r="D1809" i="208"/>
  <c r="E1809" i="208"/>
  <c r="S1809" i="208" s="1"/>
  <c r="H1809" i="208"/>
  <c r="Q1809" i="208" s="1"/>
  <c r="I1809" i="208"/>
  <c r="J1809" i="208"/>
  <c r="L1809" i="208"/>
  <c r="C1810" i="208"/>
  <c r="D1810" i="208"/>
  <c r="E1810" i="208"/>
  <c r="S1810" i="208" s="1"/>
  <c r="H1810" i="208"/>
  <c r="Q1810" i="208" s="1"/>
  <c r="I1810" i="208"/>
  <c r="J1810" i="208"/>
  <c r="L1810" i="208"/>
  <c r="C1811" i="208"/>
  <c r="D1811" i="208"/>
  <c r="E1811" i="208"/>
  <c r="S1811" i="208" s="1"/>
  <c r="H1811" i="208"/>
  <c r="Q1811" i="208" s="1"/>
  <c r="I1811" i="208"/>
  <c r="J1811" i="208"/>
  <c r="L1811" i="208"/>
  <c r="C1812" i="208"/>
  <c r="D1812" i="208"/>
  <c r="E1812" i="208"/>
  <c r="S1812" i="208" s="1"/>
  <c r="H1812" i="208"/>
  <c r="Q1812" i="208" s="1"/>
  <c r="I1812" i="208"/>
  <c r="J1812" i="208"/>
  <c r="L1812" i="208"/>
  <c r="C1813" i="208"/>
  <c r="D1813" i="208"/>
  <c r="E1813" i="208"/>
  <c r="S1813" i="208" s="1"/>
  <c r="H1813" i="208"/>
  <c r="Q1813" i="208" s="1"/>
  <c r="I1813" i="208"/>
  <c r="J1813" i="208"/>
  <c r="L1813" i="208"/>
  <c r="C1814" i="208"/>
  <c r="D1814" i="208"/>
  <c r="E1814" i="208"/>
  <c r="S1814" i="208" s="1"/>
  <c r="H1814" i="208"/>
  <c r="Q1814" i="208" s="1"/>
  <c r="I1814" i="208"/>
  <c r="J1814" i="208"/>
  <c r="L1814" i="208"/>
  <c r="C1815" i="208"/>
  <c r="D1815" i="208"/>
  <c r="E1815" i="208"/>
  <c r="S1815" i="208" s="1"/>
  <c r="H1815" i="208"/>
  <c r="Q1815" i="208" s="1"/>
  <c r="I1815" i="208"/>
  <c r="J1815" i="208"/>
  <c r="L1815" i="208"/>
  <c r="C1816" i="208"/>
  <c r="D1816" i="208"/>
  <c r="E1816" i="208"/>
  <c r="S1816" i="208" s="1"/>
  <c r="H1816" i="208"/>
  <c r="Q1816" i="208" s="1"/>
  <c r="I1816" i="208"/>
  <c r="J1816" i="208"/>
  <c r="L1816" i="208"/>
  <c r="C1817" i="208"/>
  <c r="D1817" i="208"/>
  <c r="E1817" i="208"/>
  <c r="S1817" i="208" s="1"/>
  <c r="H1817" i="208"/>
  <c r="Q1817" i="208" s="1"/>
  <c r="I1817" i="208"/>
  <c r="J1817" i="208"/>
  <c r="L1817" i="208"/>
  <c r="C1818" i="208"/>
  <c r="D1818" i="208"/>
  <c r="E1818" i="208"/>
  <c r="S1818" i="208" s="1"/>
  <c r="H1818" i="208"/>
  <c r="Q1818" i="208" s="1"/>
  <c r="I1818" i="208"/>
  <c r="J1818" i="208"/>
  <c r="L1818" i="208"/>
  <c r="C1819" i="208"/>
  <c r="D1819" i="208"/>
  <c r="E1819" i="208"/>
  <c r="S1819" i="208" s="1"/>
  <c r="H1819" i="208"/>
  <c r="Q1819" i="208" s="1"/>
  <c r="I1819" i="208"/>
  <c r="J1819" i="208"/>
  <c r="L1819" i="208"/>
  <c r="C1820" i="208"/>
  <c r="D1820" i="208"/>
  <c r="E1820" i="208"/>
  <c r="S1820" i="208" s="1"/>
  <c r="H1820" i="208"/>
  <c r="Q1820" i="208" s="1"/>
  <c r="I1820" i="208"/>
  <c r="J1820" i="208"/>
  <c r="L1820" i="208"/>
  <c r="C1821" i="208"/>
  <c r="D1821" i="208"/>
  <c r="E1821" i="208"/>
  <c r="S1821" i="208" s="1"/>
  <c r="H1821" i="208"/>
  <c r="Q1821" i="208" s="1"/>
  <c r="I1821" i="208"/>
  <c r="J1821" i="208"/>
  <c r="L1821" i="208"/>
  <c r="C1822" i="208"/>
  <c r="D1822" i="208"/>
  <c r="E1822" i="208"/>
  <c r="S1822" i="208" s="1"/>
  <c r="H1822" i="208"/>
  <c r="Q1822" i="208" s="1"/>
  <c r="I1822" i="208"/>
  <c r="J1822" i="208"/>
  <c r="L1822" i="208"/>
  <c r="C1823" i="208"/>
  <c r="D1823" i="208"/>
  <c r="E1823" i="208"/>
  <c r="S1823" i="208" s="1"/>
  <c r="H1823" i="208"/>
  <c r="Q1823" i="208" s="1"/>
  <c r="I1823" i="208"/>
  <c r="J1823" i="208"/>
  <c r="L1823" i="208"/>
  <c r="C1824" i="208"/>
  <c r="D1824" i="208"/>
  <c r="E1824" i="208"/>
  <c r="S1824" i="208" s="1"/>
  <c r="H1824" i="208"/>
  <c r="Q1824" i="208" s="1"/>
  <c r="I1824" i="208"/>
  <c r="J1824" i="208"/>
  <c r="L1824" i="208"/>
  <c r="C1825" i="208"/>
  <c r="D1825" i="208"/>
  <c r="E1825" i="208"/>
  <c r="S1825" i="208" s="1"/>
  <c r="H1825" i="208"/>
  <c r="Q1825" i="208" s="1"/>
  <c r="I1825" i="208"/>
  <c r="J1825" i="208"/>
  <c r="L1825" i="208"/>
  <c r="C1826" i="208"/>
  <c r="D1826" i="208"/>
  <c r="E1826" i="208"/>
  <c r="S1826" i="208" s="1"/>
  <c r="H1826" i="208"/>
  <c r="Q1826" i="208" s="1"/>
  <c r="I1826" i="208"/>
  <c r="J1826" i="208"/>
  <c r="L1826" i="208"/>
  <c r="C1827" i="208"/>
  <c r="D1827" i="208"/>
  <c r="E1827" i="208"/>
  <c r="S1827" i="208" s="1"/>
  <c r="H1827" i="208"/>
  <c r="Q1827" i="208" s="1"/>
  <c r="I1827" i="208"/>
  <c r="J1827" i="208"/>
  <c r="L1827" i="208"/>
  <c r="C1828" i="208"/>
  <c r="D1828" i="208"/>
  <c r="E1828" i="208"/>
  <c r="S1828" i="208" s="1"/>
  <c r="H1828" i="208"/>
  <c r="Q1828" i="208" s="1"/>
  <c r="I1828" i="208"/>
  <c r="J1828" i="208"/>
  <c r="L1828" i="208"/>
  <c r="C1829" i="208"/>
  <c r="D1829" i="208"/>
  <c r="E1829" i="208"/>
  <c r="S1829" i="208" s="1"/>
  <c r="H1829" i="208"/>
  <c r="Q1829" i="208" s="1"/>
  <c r="I1829" i="208"/>
  <c r="J1829" i="208"/>
  <c r="L1829" i="208"/>
  <c r="C1830" i="208"/>
  <c r="D1830" i="208"/>
  <c r="E1830" i="208"/>
  <c r="S1830" i="208" s="1"/>
  <c r="H1830" i="208"/>
  <c r="Q1830" i="208" s="1"/>
  <c r="I1830" i="208"/>
  <c r="J1830" i="208"/>
  <c r="L1830" i="208"/>
  <c r="C1831" i="208"/>
  <c r="D1831" i="208"/>
  <c r="E1831" i="208"/>
  <c r="S1831" i="208" s="1"/>
  <c r="H1831" i="208"/>
  <c r="Q1831" i="208" s="1"/>
  <c r="I1831" i="208"/>
  <c r="J1831" i="208"/>
  <c r="L1831" i="208"/>
  <c r="C1832" i="208"/>
  <c r="D1832" i="208"/>
  <c r="E1832" i="208"/>
  <c r="S1832" i="208" s="1"/>
  <c r="H1832" i="208"/>
  <c r="Q1832" i="208" s="1"/>
  <c r="I1832" i="208"/>
  <c r="J1832" i="208"/>
  <c r="L1832" i="208"/>
  <c r="C1833" i="208"/>
  <c r="D1833" i="208"/>
  <c r="E1833" i="208"/>
  <c r="S1833" i="208" s="1"/>
  <c r="H1833" i="208"/>
  <c r="Q1833" i="208" s="1"/>
  <c r="I1833" i="208"/>
  <c r="J1833" i="208"/>
  <c r="L1833" i="208"/>
  <c r="C1834" i="208"/>
  <c r="D1834" i="208"/>
  <c r="E1834" i="208"/>
  <c r="S1834" i="208" s="1"/>
  <c r="H1834" i="208"/>
  <c r="Q1834" i="208" s="1"/>
  <c r="I1834" i="208"/>
  <c r="J1834" i="208"/>
  <c r="L1834" i="208"/>
  <c r="C1835" i="208"/>
  <c r="D1835" i="208"/>
  <c r="E1835" i="208"/>
  <c r="S1835" i="208" s="1"/>
  <c r="H1835" i="208"/>
  <c r="Q1835" i="208" s="1"/>
  <c r="I1835" i="208"/>
  <c r="J1835" i="208"/>
  <c r="L1835" i="208"/>
  <c r="C1836" i="208"/>
  <c r="D1836" i="208"/>
  <c r="E1836" i="208"/>
  <c r="S1836" i="208" s="1"/>
  <c r="H1836" i="208"/>
  <c r="Q1836" i="208" s="1"/>
  <c r="I1836" i="208"/>
  <c r="J1836" i="208"/>
  <c r="L1836" i="208"/>
  <c r="C1837" i="208"/>
  <c r="D1837" i="208"/>
  <c r="E1837" i="208"/>
  <c r="S1837" i="208" s="1"/>
  <c r="H1837" i="208"/>
  <c r="Q1837" i="208" s="1"/>
  <c r="I1837" i="208"/>
  <c r="J1837" i="208"/>
  <c r="L1837" i="208"/>
  <c r="C1838" i="208"/>
  <c r="D1838" i="208"/>
  <c r="E1838" i="208"/>
  <c r="S1838" i="208" s="1"/>
  <c r="H1838" i="208"/>
  <c r="Q1838" i="208" s="1"/>
  <c r="I1838" i="208"/>
  <c r="J1838" i="208"/>
  <c r="L1838" i="208"/>
  <c r="C1839" i="208"/>
  <c r="D1839" i="208"/>
  <c r="E1839" i="208"/>
  <c r="S1839" i="208" s="1"/>
  <c r="H1839" i="208"/>
  <c r="Q1839" i="208" s="1"/>
  <c r="I1839" i="208"/>
  <c r="J1839" i="208"/>
  <c r="L1839" i="208"/>
  <c r="C1840" i="208"/>
  <c r="D1840" i="208"/>
  <c r="E1840" i="208"/>
  <c r="S1840" i="208" s="1"/>
  <c r="H1840" i="208"/>
  <c r="Q1840" i="208" s="1"/>
  <c r="I1840" i="208"/>
  <c r="J1840" i="208"/>
  <c r="L1840" i="208"/>
  <c r="C1841" i="208"/>
  <c r="D1841" i="208"/>
  <c r="E1841" i="208"/>
  <c r="S1841" i="208" s="1"/>
  <c r="H1841" i="208"/>
  <c r="Q1841" i="208" s="1"/>
  <c r="I1841" i="208"/>
  <c r="J1841" i="208"/>
  <c r="L1841" i="208"/>
  <c r="C1842" i="208"/>
  <c r="D1842" i="208"/>
  <c r="E1842" i="208"/>
  <c r="S1842" i="208" s="1"/>
  <c r="H1842" i="208"/>
  <c r="Q1842" i="208" s="1"/>
  <c r="I1842" i="208"/>
  <c r="J1842" i="208"/>
  <c r="L1842" i="208"/>
  <c r="C1843" i="208"/>
  <c r="D1843" i="208"/>
  <c r="E1843" i="208"/>
  <c r="S1843" i="208" s="1"/>
  <c r="H1843" i="208"/>
  <c r="Q1843" i="208" s="1"/>
  <c r="I1843" i="208"/>
  <c r="J1843" i="208"/>
  <c r="L1843" i="208"/>
  <c r="C1844" i="208"/>
  <c r="D1844" i="208"/>
  <c r="E1844" i="208"/>
  <c r="S1844" i="208" s="1"/>
  <c r="H1844" i="208"/>
  <c r="Q1844" i="208" s="1"/>
  <c r="I1844" i="208"/>
  <c r="J1844" i="208"/>
  <c r="L1844" i="208"/>
  <c r="C1845" i="208"/>
  <c r="D1845" i="208"/>
  <c r="E1845" i="208"/>
  <c r="S1845" i="208" s="1"/>
  <c r="H1845" i="208"/>
  <c r="Q1845" i="208" s="1"/>
  <c r="I1845" i="208"/>
  <c r="J1845" i="208"/>
  <c r="L1845" i="208"/>
  <c r="C1846" i="208"/>
  <c r="D1846" i="208"/>
  <c r="E1846" i="208"/>
  <c r="S1846" i="208" s="1"/>
  <c r="H1846" i="208"/>
  <c r="Q1846" i="208" s="1"/>
  <c r="I1846" i="208"/>
  <c r="J1846" i="208"/>
  <c r="L1846" i="208"/>
  <c r="C1847" i="208"/>
  <c r="D1847" i="208"/>
  <c r="E1847" i="208"/>
  <c r="S1847" i="208" s="1"/>
  <c r="H1847" i="208"/>
  <c r="Q1847" i="208" s="1"/>
  <c r="I1847" i="208"/>
  <c r="J1847" i="208"/>
  <c r="L1847" i="208"/>
  <c r="C1848" i="208"/>
  <c r="D1848" i="208"/>
  <c r="E1848" i="208"/>
  <c r="S1848" i="208" s="1"/>
  <c r="H1848" i="208"/>
  <c r="Q1848" i="208" s="1"/>
  <c r="I1848" i="208"/>
  <c r="J1848" i="208"/>
  <c r="L1848" i="208"/>
  <c r="C1849" i="208"/>
  <c r="D1849" i="208"/>
  <c r="E1849" i="208"/>
  <c r="S1849" i="208" s="1"/>
  <c r="H1849" i="208"/>
  <c r="Q1849" i="208" s="1"/>
  <c r="I1849" i="208"/>
  <c r="J1849" i="208"/>
  <c r="L1849" i="208"/>
  <c r="C1850" i="208"/>
  <c r="D1850" i="208"/>
  <c r="E1850" i="208"/>
  <c r="S1850" i="208" s="1"/>
  <c r="H1850" i="208"/>
  <c r="Q1850" i="208" s="1"/>
  <c r="I1850" i="208"/>
  <c r="J1850" i="208"/>
  <c r="L1850" i="208"/>
  <c r="C1851" i="208"/>
  <c r="D1851" i="208"/>
  <c r="E1851" i="208"/>
  <c r="S1851" i="208" s="1"/>
  <c r="H1851" i="208"/>
  <c r="Q1851" i="208" s="1"/>
  <c r="I1851" i="208"/>
  <c r="J1851" i="208"/>
  <c r="L1851" i="208"/>
  <c r="C1852" i="208"/>
  <c r="D1852" i="208"/>
  <c r="E1852" i="208"/>
  <c r="S1852" i="208" s="1"/>
  <c r="H1852" i="208"/>
  <c r="Q1852" i="208" s="1"/>
  <c r="I1852" i="208"/>
  <c r="J1852" i="208"/>
  <c r="L1852" i="208"/>
  <c r="C1853" i="208"/>
  <c r="D1853" i="208"/>
  <c r="E1853" i="208"/>
  <c r="S1853" i="208" s="1"/>
  <c r="H1853" i="208"/>
  <c r="Q1853" i="208" s="1"/>
  <c r="I1853" i="208"/>
  <c r="J1853" i="208"/>
  <c r="L1853" i="208"/>
  <c r="C1854" i="208"/>
  <c r="D1854" i="208"/>
  <c r="E1854" i="208"/>
  <c r="S1854" i="208" s="1"/>
  <c r="H1854" i="208"/>
  <c r="Q1854" i="208" s="1"/>
  <c r="I1854" i="208"/>
  <c r="J1854" i="208"/>
  <c r="L1854" i="208"/>
  <c r="C1855" i="208"/>
  <c r="D1855" i="208"/>
  <c r="E1855" i="208"/>
  <c r="S1855" i="208" s="1"/>
  <c r="H1855" i="208"/>
  <c r="Q1855" i="208" s="1"/>
  <c r="I1855" i="208"/>
  <c r="J1855" i="208"/>
  <c r="L1855" i="208"/>
  <c r="C1856" i="208"/>
  <c r="D1856" i="208"/>
  <c r="E1856" i="208"/>
  <c r="S1856" i="208" s="1"/>
  <c r="H1856" i="208"/>
  <c r="Q1856" i="208" s="1"/>
  <c r="I1856" i="208"/>
  <c r="J1856" i="208"/>
  <c r="L1856" i="208"/>
  <c r="C1857" i="208"/>
  <c r="D1857" i="208"/>
  <c r="E1857" i="208"/>
  <c r="S1857" i="208" s="1"/>
  <c r="H1857" i="208"/>
  <c r="Q1857" i="208" s="1"/>
  <c r="I1857" i="208"/>
  <c r="J1857" i="208"/>
  <c r="L1857" i="208"/>
  <c r="C1858" i="208"/>
  <c r="D1858" i="208"/>
  <c r="E1858" i="208"/>
  <c r="S1858" i="208" s="1"/>
  <c r="H1858" i="208"/>
  <c r="Q1858" i="208" s="1"/>
  <c r="I1858" i="208"/>
  <c r="J1858" i="208"/>
  <c r="L1858" i="208"/>
  <c r="C1859" i="208"/>
  <c r="D1859" i="208"/>
  <c r="E1859" i="208"/>
  <c r="S1859" i="208" s="1"/>
  <c r="H1859" i="208"/>
  <c r="Q1859" i="208" s="1"/>
  <c r="I1859" i="208"/>
  <c r="J1859" i="208"/>
  <c r="L1859" i="208"/>
  <c r="C1860" i="208"/>
  <c r="D1860" i="208"/>
  <c r="E1860" i="208"/>
  <c r="S1860" i="208" s="1"/>
  <c r="H1860" i="208"/>
  <c r="Q1860" i="208" s="1"/>
  <c r="I1860" i="208"/>
  <c r="J1860" i="208"/>
  <c r="L1860" i="208"/>
  <c r="C1861" i="208"/>
  <c r="D1861" i="208"/>
  <c r="E1861" i="208"/>
  <c r="S1861" i="208" s="1"/>
  <c r="H1861" i="208"/>
  <c r="Q1861" i="208" s="1"/>
  <c r="I1861" i="208"/>
  <c r="J1861" i="208"/>
  <c r="L1861" i="208"/>
  <c r="C1862" i="208"/>
  <c r="D1862" i="208"/>
  <c r="E1862" i="208"/>
  <c r="S1862" i="208" s="1"/>
  <c r="H1862" i="208"/>
  <c r="Q1862" i="208" s="1"/>
  <c r="I1862" i="208"/>
  <c r="J1862" i="208"/>
  <c r="L1862" i="208"/>
  <c r="C1863" i="208"/>
  <c r="D1863" i="208"/>
  <c r="E1863" i="208"/>
  <c r="S1863" i="208" s="1"/>
  <c r="H1863" i="208"/>
  <c r="Q1863" i="208" s="1"/>
  <c r="I1863" i="208"/>
  <c r="J1863" i="208"/>
  <c r="L1863" i="208"/>
  <c r="C1864" i="208"/>
  <c r="D1864" i="208"/>
  <c r="E1864" i="208"/>
  <c r="S1864" i="208" s="1"/>
  <c r="H1864" i="208"/>
  <c r="Q1864" i="208" s="1"/>
  <c r="I1864" i="208"/>
  <c r="J1864" i="208"/>
  <c r="L1864" i="208"/>
  <c r="C1865" i="208"/>
  <c r="D1865" i="208"/>
  <c r="E1865" i="208"/>
  <c r="S1865" i="208" s="1"/>
  <c r="H1865" i="208"/>
  <c r="Q1865" i="208" s="1"/>
  <c r="I1865" i="208"/>
  <c r="J1865" i="208"/>
  <c r="L1865" i="208"/>
  <c r="C1866" i="208"/>
  <c r="D1866" i="208"/>
  <c r="E1866" i="208"/>
  <c r="S1866" i="208" s="1"/>
  <c r="H1866" i="208"/>
  <c r="Q1866" i="208" s="1"/>
  <c r="I1866" i="208"/>
  <c r="J1866" i="208"/>
  <c r="L1866" i="208"/>
  <c r="C1867" i="208"/>
  <c r="D1867" i="208"/>
  <c r="E1867" i="208"/>
  <c r="S1867" i="208" s="1"/>
  <c r="H1867" i="208"/>
  <c r="Q1867" i="208" s="1"/>
  <c r="I1867" i="208"/>
  <c r="J1867" i="208"/>
  <c r="L1867" i="208"/>
  <c r="C1868" i="208"/>
  <c r="D1868" i="208"/>
  <c r="E1868" i="208"/>
  <c r="S1868" i="208" s="1"/>
  <c r="H1868" i="208"/>
  <c r="Q1868" i="208" s="1"/>
  <c r="I1868" i="208"/>
  <c r="J1868" i="208"/>
  <c r="L1868" i="208"/>
  <c r="C1869" i="208"/>
  <c r="D1869" i="208"/>
  <c r="E1869" i="208"/>
  <c r="S1869" i="208" s="1"/>
  <c r="H1869" i="208"/>
  <c r="Q1869" i="208" s="1"/>
  <c r="I1869" i="208"/>
  <c r="J1869" i="208"/>
  <c r="L1869" i="208"/>
  <c r="C1870" i="208"/>
  <c r="D1870" i="208"/>
  <c r="E1870" i="208"/>
  <c r="S1870" i="208" s="1"/>
  <c r="H1870" i="208"/>
  <c r="Q1870" i="208" s="1"/>
  <c r="I1870" i="208"/>
  <c r="J1870" i="208"/>
  <c r="L1870" i="208"/>
  <c r="C1871" i="208"/>
  <c r="D1871" i="208"/>
  <c r="E1871" i="208"/>
  <c r="S1871" i="208" s="1"/>
  <c r="H1871" i="208"/>
  <c r="Q1871" i="208" s="1"/>
  <c r="I1871" i="208"/>
  <c r="J1871" i="208"/>
  <c r="L1871" i="208"/>
  <c r="C1872" i="208"/>
  <c r="D1872" i="208"/>
  <c r="E1872" i="208"/>
  <c r="S1872" i="208" s="1"/>
  <c r="H1872" i="208"/>
  <c r="Q1872" i="208" s="1"/>
  <c r="I1872" i="208"/>
  <c r="J1872" i="208"/>
  <c r="L1872" i="208"/>
  <c r="C1873" i="208"/>
  <c r="D1873" i="208"/>
  <c r="E1873" i="208"/>
  <c r="S1873" i="208" s="1"/>
  <c r="H1873" i="208"/>
  <c r="Q1873" i="208" s="1"/>
  <c r="I1873" i="208"/>
  <c r="J1873" i="208"/>
  <c r="L1873" i="208"/>
  <c r="C1874" i="208"/>
  <c r="D1874" i="208"/>
  <c r="E1874" i="208"/>
  <c r="S1874" i="208" s="1"/>
  <c r="H1874" i="208"/>
  <c r="Q1874" i="208" s="1"/>
  <c r="I1874" i="208"/>
  <c r="J1874" i="208"/>
  <c r="L1874" i="208"/>
  <c r="C1875" i="208"/>
  <c r="D1875" i="208"/>
  <c r="E1875" i="208"/>
  <c r="S1875" i="208" s="1"/>
  <c r="H1875" i="208"/>
  <c r="Q1875" i="208" s="1"/>
  <c r="I1875" i="208"/>
  <c r="J1875" i="208"/>
  <c r="L1875" i="208"/>
  <c r="C1876" i="208"/>
  <c r="D1876" i="208"/>
  <c r="E1876" i="208"/>
  <c r="S1876" i="208" s="1"/>
  <c r="H1876" i="208"/>
  <c r="Q1876" i="208" s="1"/>
  <c r="I1876" i="208"/>
  <c r="J1876" i="208"/>
  <c r="L1876" i="208"/>
  <c r="C1877" i="208"/>
  <c r="D1877" i="208"/>
  <c r="E1877" i="208"/>
  <c r="S1877" i="208" s="1"/>
  <c r="H1877" i="208"/>
  <c r="Q1877" i="208" s="1"/>
  <c r="I1877" i="208"/>
  <c r="J1877" i="208"/>
  <c r="L1877" i="208"/>
  <c r="C1878" i="208"/>
  <c r="D1878" i="208"/>
  <c r="E1878" i="208"/>
  <c r="S1878" i="208" s="1"/>
  <c r="H1878" i="208"/>
  <c r="Q1878" i="208" s="1"/>
  <c r="I1878" i="208"/>
  <c r="J1878" i="208"/>
  <c r="L1878" i="208"/>
  <c r="C1879" i="208"/>
  <c r="D1879" i="208"/>
  <c r="E1879" i="208"/>
  <c r="S1879" i="208" s="1"/>
  <c r="H1879" i="208"/>
  <c r="Q1879" i="208" s="1"/>
  <c r="I1879" i="208"/>
  <c r="J1879" i="208"/>
  <c r="L1879" i="208"/>
  <c r="C1880" i="208"/>
  <c r="D1880" i="208"/>
  <c r="E1880" i="208"/>
  <c r="S1880" i="208" s="1"/>
  <c r="H1880" i="208"/>
  <c r="Q1880" i="208" s="1"/>
  <c r="I1880" i="208"/>
  <c r="J1880" i="208"/>
  <c r="L1880" i="208"/>
  <c r="C1881" i="208"/>
  <c r="D1881" i="208"/>
  <c r="E1881" i="208"/>
  <c r="S1881" i="208" s="1"/>
  <c r="H1881" i="208"/>
  <c r="Q1881" i="208" s="1"/>
  <c r="I1881" i="208"/>
  <c r="J1881" i="208"/>
  <c r="L1881" i="208"/>
  <c r="C1882" i="208"/>
  <c r="D1882" i="208"/>
  <c r="E1882" i="208"/>
  <c r="S1882" i="208" s="1"/>
  <c r="H1882" i="208"/>
  <c r="Q1882" i="208" s="1"/>
  <c r="I1882" i="208"/>
  <c r="J1882" i="208"/>
  <c r="L1882" i="208"/>
  <c r="C1883" i="208"/>
  <c r="D1883" i="208"/>
  <c r="E1883" i="208"/>
  <c r="S1883" i="208" s="1"/>
  <c r="H1883" i="208"/>
  <c r="Q1883" i="208" s="1"/>
  <c r="I1883" i="208"/>
  <c r="J1883" i="208"/>
  <c r="L1883" i="208"/>
  <c r="C1884" i="208"/>
  <c r="D1884" i="208"/>
  <c r="E1884" i="208"/>
  <c r="S1884" i="208" s="1"/>
  <c r="H1884" i="208"/>
  <c r="Q1884" i="208" s="1"/>
  <c r="I1884" i="208"/>
  <c r="J1884" i="208"/>
  <c r="L1884" i="208"/>
  <c r="C1885" i="208"/>
  <c r="D1885" i="208"/>
  <c r="E1885" i="208"/>
  <c r="S1885" i="208" s="1"/>
  <c r="H1885" i="208"/>
  <c r="Q1885" i="208" s="1"/>
  <c r="I1885" i="208"/>
  <c r="J1885" i="208"/>
  <c r="L1885" i="208"/>
  <c r="C1886" i="208"/>
  <c r="D1886" i="208"/>
  <c r="E1886" i="208"/>
  <c r="S1886" i="208" s="1"/>
  <c r="H1886" i="208"/>
  <c r="Q1886" i="208" s="1"/>
  <c r="I1886" i="208"/>
  <c r="J1886" i="208"/>
  <c r="L1886" i="208"/>
  <c r="C1887" i="208"/>
  <c r="D1887" i="208"/>
  <c r="E1887" i="208"/>
  <c r="S1887" i="208" s="1"/>
  <c r="H1887" i="208"/>
  <c r="Q1887" i="208" s="1"/>
  <c r="I1887" i="208"/>
  <c r="J1887" i="208"/>
  <c r="L1887" i="208"/>
  <c r="C1888" i="208"/>
  <c r="D1888" i="208"/>
  <c r="E1888" i="208"/>
  <c r="S1888" i="208" s="1"/>
  <c r="H1888" i="208"/>
  <c r="Q1888" i="208" s="1"/>
  <c r="I1888" i="208"/>
  <c r="J1888" i="208"/>
  <c r="L1888" i="208"/>
  <c r="C1889" i="208"/>
  <c r="D1889" i="208"/>
  <c r="E1889" i="208"/>
  <c r="S1889" i="208" s="1"/>
  <c r="H1889" i="208"/>
  <c r="Q1889" i="208" s="1"/>
  <c r="I1889" i="208"/>
  <c r="J1889" i="208"/>
  <c r="L1889" i="208"/>
  <c r="C1890" i="208"/>
  <c r="D1890" i="208"/>
  <c r="E1890" i="208"/>
  <c r="S1890" i="208" s="1"/>
  <c r="H1890" i="208"/>
  <c r="Q1890" i="208" s="1"/>
  <c r="I1890" i="208"/>
  <c r="J1890" i="208"/>
  <c r="L1890" i="208"/>
  <c r="C1891" i="208"/>
  <c r="D1891" i="208"/>
  <c r="E1891" i="208"/>
  <c r="S1891" i="208" s="1"/>
  <c r="H1891" i="208"/>
  <c r="Q1891" i="208" s="1"/>
  <c r="I1891" i="208"/>
  <c r="J1891" i="208"/>
  <c r="L1891" i="208"/>
  <c r="C1892" i="208"/>
  <c r="D1892" i="208"/>
  <c r="E1892" i="208"/>
  <c r="S1892" i="208" s="1"/>
  <c r="H1892" i="208"/>
  <c r="Q1892" i="208" s="1"/>
  <c r="I1892" i="208"/>
  <c r="J1892" i="208"/>
  <c r="L1892" i="208"/>
  <c r="C1893" i="208"/>
  <c r="D1893" i="208"/>
  <c r="E1893" i="208"/>
  <c r="S1893" i="208" s="1"/>
  <c r="H1893" i="208"/>
  <c r="Q1893" i="208" s="1"/>
  <c r="I1893" i="208"/>
  <c r="J1893" i="208"/>
  <c r="L1893" i="208"/>
  <c r="C1894" i="208"/>
  <c r="D1894" i="208"/>
  <c r="E1894" i="208"/>
  <c r="S1894" i="208" s="1"/>
  <c r="H1894" i="208"/>
  <c r="Q1894" i="208" s="1"/>
  <c r="I1894" i="208"/>
  <c r="J1894" i="208"/>
  <c r="L1894" i="208"/>
  <c r="C1895" i="208"/>
  <c r="D1895" i="208"/>
  <c r="E1895" i="208"/>
  <c r="S1895" i="208" s="1"/>
  <c r="H1895" i="208"/>
  <c r="Q1895" i="208" s="1"/>
  <c r="I1895" i="208"/>
  <c r="J1895" i="208"/>
  <c r="L1895" i="208"/>
  <c r="C1896" i="208"/>
  <c r="D1896" i="208"/>
  <c r="E1896" i="208"/>
  <c r="S1896" i="208" s="1"/>
  <c r="H1896" i="208"/>
  <c r="Q1896" i="208" s="1"/>
  <c r="I1896" i="208"/>
  <c r="J1896" i="208"/>
  <c r="L1896" i="208"/>
  <c r="C1897" i="208"/>
  <c r="D1897" i="208"/>
  <c r="E1897" i="208"/>
  <c r="S1897" i="208" s="1"/>
  <c r="H1897" i="208"/>
  <c r="Q1897" i="208" s="1"/>
  <c r="I1897" i="208"/>
  <c r="J1897" i="208"/>
  <c r="L1897" i="208"/>
  <c r="C1898" i="208"/>
  <c r="D1898" i="208"/>
  <c r="E1898" i="208"/>
  <c r="S1898" i="208" s="1"/>
  <c r="H1898" i="208"/>
  <c r="Q1898" i="208" s="1"/>
  <c r="I1898" i="208"/>
  <c r="J1898" i="208"/>
  <c r="L1898" i="208"/>
  <c r="C1899" i="208"/>
  <c r="D1899" i="208"/>
  <c r="E1899" i="208"/>
  <c r="S1899" i="208" s="1"/>
  <c r="H1899" i="208"/>
  <c r="Q1899" i="208" s="1"/>
  <c r="I1899" i="208"/>
  <c r="J1899" i="208"/>
  <c r="L1899" i="208"/>
  <c r="C1900" i="208"/>
  <c r="D1900" i="208"/>
  <c r="E1900" i="208"/>
  <c r="S1900" i="208" s="1"/>
  <c r="H1900" i="208"/>
  <c r="Q1900" i="208" s="1"/>
  <c r="I1900" i="208"/>
  <c r="J1900" i="208"/>
  <c r="L1900" i="208"/>
  <c r="C1901" i="208"/>
  <c r="D1901" i="208"/>
  <c r="E1901" i="208"/>
  <c r="S1901" i="208" s="1"/>
  <c r="H1901" i="208"/>
  <c r="Q1901" i="208" s="1"/>
  <c r="I1901" i="208"/>
  <c r="J1901" i="208"/>
  <c r="L1901" i="208"/>
  <c r="C1902" i="208"/>
  <c r="D1902" i="208"/>
  <c r="E1902" i="208"/>
  <c r="S1902" i="208" s="1"/>
  <c r="H1902" i="208"/>
  <c r="Q1902" i="208" s="1"/>
  <c r="I1902" i="208"/>
  <c r="J1902" i="208"/>
  <c r="L1902" i="208"/>
  <c r="C1903" i="208"/>
  <c r="D1903" i="208"/>
  <c r="E1903" i="208"/>
  <c r="S1903" i="208" s="1"/>
  <c r="H1903" i="208"/>
  <c r="Q1903" i="208" s="1"/>
  <c r="I1903" i="208"/>
  <c r="J1903" i="208"/>
  <c r="L1903" i="208"/>
  <c r="C1904" i="208"/>
  <c r="D1904" i="208"/>
  <c r="E1904" i="208"/>
  <c r="S1904" i="208" s="1"/>
  <c r="H1904" i="208"/>
  <c r="Q1904" i="208" s="1"/>
  <c r="I1904" i="208"/>
  <c r="J1904" i="208"/>
  <c r="L1904" i="208"/>
  <c r="C1905" i="208"/>
  <c r="D1905" i="208"/>
  <c r="E1905" i="208"/>
  <c r="S1905" i="208" s="1"/>
  <c r="H1905" i="208"/>
  <c r="Q1905" i="208" s="1"/>
  <c r="I1905" i="208"/>
  <c r="J1905" i="208"/>
  <c r="L1905" i="208"/>
  <c r="C1906" i="208"/>
  <c r="D1906" i="208"/>
  <c r="E1906" i="208"/>
  <c r="S1906" i="208" s="1"/>
  <c r="H1906" i="208"/>
  <c r="Q1906" i="208" s="1"/>
  <c r="I1906" i="208"/>
  <c r="J1906" i="208"/>
  <c r="L1906" i="208"/>
  <c r="C1907" i="208"/>
  <c r="D1907" i="208"/>
  <c r="E1907" i="208"/>
  <c r="S1907" i="208" s="1"/>
  <c r="H1907" i="208"/>
  <c r="Q1907" i="208" s="1"/>
  <c r="I1907" i="208"/>
  <c r="J1907" i="208"/>
  <c r="L1907" i="208"/>
  <c r="C1908" i="208"/>
  <c r="D1908" i="208"/>
  <c r="E1908" i="208"/>
  <c r="S1908" i="208" s="1"/>
  <c r="H1908" i="208"/>
  <c r="Q1908" i="208" s="1"/>
  <c r="I1908" i="208"/>
  <c r="J1908" i="208"/>
  <c r="L1908" i="208"/>
  <c r="C1909" i="208"/>
  <c r="D1909" i="208"/>
  <c r="E1909" i="208"/>
  <c r="S1909" i="208" s="1"/>
  <c r="H1909" i="208"/>
  <c r="Q1909" i="208" s="1"/>
  <c r="I1909" i="208"/>
  <c r="J1909" i="208"/>
  <c r="L1909" i="208"/>
  <c r="C1910" i="208"/>
  <c r="D1910" i="208"/>
  <c r="E1910" i="208"/>
  <c r="S1910" i="208" s="1"/>
  <c r="H1910" i="208"/>
  <c r="Q1910" i="208" s="1"/>
  <c r="I1910" i="208"/>
  <c r="J1910" i="208"/>
  <c r="L1910" i="208"/>
  <c r="C1911" i="208"/>
  <c r="D1911" i="208"/>
  <c r="E1911" i="208"/>
  <c r="S1911" i="208" s="1"/>
  <c r="H1911" i="208"/>
  <c r="Q1911" i="208" s="1"/>
  <c r="I1911" i="208"/>
  <c r="J1911" i="208"/>
  <c r="L1911" i="208"/>
  <c r="C1912" i="208"/>
  <c r="D1912" i="208"/>
  <c r="E1912" i="208"/>
  <c r="S1912" i="208" s="1"/>
  <c r="H1912" i="208"/>
  <c r="Q1912" i="208" s="1"/>
  <c r="I1912" i="208"/>
  <c r="J1912" i="208"/>
  <c r="L1912" i="208"/>
  <c r="C1913" i="208"/>
  <c r="D1913" i="208"/>
  <c r="E1913" i="208"/>
  <c r="S1913" i="208" s="1"/>
  <c r="H1913" i="208"/>
  <c r="Q1913" i="208" s="1"/>
  <c r="I1913" i="208"/>
  <c r="J1913" i="208"/>
  <c r="L1913" i="208"/>
  <c r="C1914" i="208"/>
  <c r="D1914" i="208"/>
  <c r="E1914" i="208"/>
  <c r="S1914" i="208" s="1"/>
  <c r="H1914" i="208"/>
  <c r="Q1914" i="208" s="1"/>
  <c r="I1914" i="208"/>
  <c r="J1914" i="208"/>
  <c r="L1914" i="208"/>
  <c r="C1915" i="208"/>
  <c r="D1915" i="208"/>
  <c r="E1915" i="208"/>
  <c r="S1915" i="208" s="1"/>
  <c r="H1915" i="208"/>
  <c r="Q1915" i="208" s="1"/>
  <c r="I1915" i="208"/>
  <c r="J1915" i="208"/>
  <c r="L1915" i="208"/>
  <c r="C1916" i="208"/>
  <c r="D1916" i="208"/>
  <c r="E1916" i="208"/>
  <c r="S1916" i="208" s="1"/>
  <c r="H1916" i="208"/>
  <c r="Q1916" i="208" s="1"/>
  <c r="I1916" i="208"/>
  <c r="J1916" i="208"/>
  <c r="L1916" i="208"/>
  <c r="C1917" i="208"/>
  <c r="D1917" i="208"/>
  <c r="E1917" i="208"/>
  <c r="S1917" i="208" s="1"/>
  <c r="H1917" i="208"/>
  <c r="Q1917" i="208" s="1"/>
  <c r="I1917" i="208"/>
  <c r="J1917" i="208"/>
  <c r="L1917" i="208"/>
  <c r="C1918" i="208"/>
  <c r="D1918" i="208"/>
  <c r="E1918" i="208"/>
  <c r="S1918" i="208" s="1"/>
  <c r="H1918" i="208"/>
  <c r="Q1918" i="208" s="1"/>
  <c r="I1918" i="208"/>
  <c r="J1918" i="208"/>
  <c r="L1918" i="208"/>
  <c r="C1919" i="208"/>
  <c r="D1919" i="208"/>
  <c r="E1919" i="208"/>
  <c r="S1919" i="208" s="1"/>
  <c r="H1919" i="208"/>
  <c r="Q1919" i="208" s="1"/>
  <c r="I1919" i="208"/>
  <c r="J1919" i="208"/>
  <c r="L1919" i="208"/>
  <c r="C1920" i="208"/>
  <c r="D1920" i="208"/>
  <c r="E1920" i="208"/>
  <c r="S1920" i="208" s="1"/>
  <c r="H1920" i="208"/>
  <c r="Q1920" i="208" s="1"/>
  <c r="I1920" i="208"/>
  <c r="J1920" i="208"/>
  <c r="L1920" i="208"/>
  <c r="C1921" i="208"/>
  <c r="D1921" i="208"/>
  <c r="E1921" i="208"/>
  <c r="S1921" i="208" s="1"/>
  <c r="H1921" i="208"/>
  <c r="Q1921" i="208" s="1"/>
  <c r="I1921" i="208"/>
  <c r="J1921" i="208"/>
  <c r="L1921" i="208"/>
  <c r="C1922" i="208"/>
  <c r="D1922" i="208"/>
  <c r="E1922" i="208"/>
  <c r="S1922" i="208" s="1"/>
  <c r="H1922" i="208"/>
  <c r="Q1922" i="208" s="1"/>
  <c r="I1922" i="208"/>
  <c r="J1922" i="208"/>
  <c r="L1922" i="208"/>
  <c r="C1923" i="208"/>
  <c r="D1923" i="208"/>
  <c r="E1923" i="208"/>
  <c r="S1923" i="208" s="1"/>
  <c r="H1923" i="208"/>
  <c r="Q1923" i="208" s="1"/>
  <c r="I1923" i="208"/>
  <c r="J1923" i="208"/>
  <c r="L1923" i="208"/>
  <c r="C1924" i="208"/>
  <c r="D1924" i="208"/>
  <c r="E1924" i="208"/>
  <c r="S1924" i="208" s="1"/>
  <c r="H1924" i="208"/>
  <c r="Q1924" i="208" s="1"/>
  <c r="I1924" i="208"/>
  <c r="J1924" i="208"/>
  <c r="L1924" i="208"/>
  <c r="C1925" i="208"/>
  <c r="D1925" i="208"/>
  <c r="E1925" i="208"/>
  <c r="S1925" i="208" s="1"/>
  <c r="H1925" i="208"/>
  <c r="Q1925" i="208" s="1"/>
  <c r="I1925" i="208"/>
  <c r="J1925" i="208"/>
  <c r="L1925" i="208"/>
  <c r="C1926" i="208"/>
  <c r="D1926" i="208"/>
  <c r="E1926" i="208"/>
  <c r="S1926" i="208" s="1"/>
  <c r="H1926" i="208"/>
  <c r="Q1926" i="208" s="1"/>
  <c r="I1926" i="208"/>
  <c r="J1926" i="208"/>
  <c r="L1926" i="208"/>
  <c r="C1927" i="208"/>
  <c r="D1927" i="208"/>
  <c r="E1927" i="208"/>
  <c r="S1927" i="208" s="1"/>
  <c r="H1927" i="208"/>
  <c r="Q1927" i="208" s="1"/>
  <c r="I1927" i="208"/>
  <c r="J1927" i="208"/>
  <c r="L1927" i="208"/>
  <c r="C1928" i="208"/>
  <c r="D1928" i="208"/>
  <c r="E1928" i="208"/>
  <c r="S1928" i="208" s="1"/>
  <c r="H1928" i="208"/>
  <c r="Q1928" i="208" s="1"/>
  <c r="I1928" i="208"/>
  <c r="J1928" i="208"/>
  <c r="L1928" i="208"/>
  <c r="C1929" i="208"/>
  <c r="D1929" i="208"/>
  <c r="E1929" i="208"/>
  <c r="S1929" i="208" s="1"/>
  <c r="H1929" i="208"/>
  <c r="Q1929" i="208" s="1"/>
  <c r="I1929" i="208"/>
  <c r="J1929" i="208"/>
  <c r="L1929" i="208"/>
  <c r="C1930" i="208"/>
  <c r="D1930" i="208"/>
  <c r="E1930" i="208"/>
  <c r="S1930" i="208" s="1"/>
  <c r="H1930" i="208"/>
  <c r="Q1930" i="208" s="1"/>
  <c r="I1930" i="208"/>
  <c r="J1930" i="208"/>
  <c r="L1930" i="208"/>
  <c r="C1931" i="208"/>
  <c r="D1931" i="208"/>
  <c r="E1931" i="208"/>
  <c r="S1931" i="208" s="1"/>
  <c r="H1931" i="208"/>
  <c r="Q1931" i="208" s="1"/>
  <c r="I1931" i="208"/>
  <c r="J1931" i="208"/>
  <c r="L1931" i="208"/>
  <c r="C1932" i="208"/>
  <c r="D1932" i="208"/>
  <c r="E1932" i="208"/>
  <c r="S1932" i="208" s="1"/>
  <c r="H1932" i="208"/>
  <c r="Q1932" i="208" s="1"/>
  <c r="I1932" i="208"/>
  <c r="J1932" i="208"/>
  <c r="L1932" i="208"/>
  <c r="C1933" i="208"/>
  <c r="D1933" i="208"/>
  <c r="E1933" i="208"/>
  <c r="S1933" i="208" s="1"/>
  <c r="H1933" i="208"/>
  <c r="Q1933" i="208" s="1"/>
  <c r="I1933" i="208"/>
  <c r="J1933" i="208"/>
  <c r="L1933" i="208"/>
  <c r="C1934" i="208"/>
  <c r="D1934" i="208"/>
  <c r="E1934" i="208"/>
  <c r="S1934" i="208" s="1"/>
  <c r="H1934" i="208"/>
  <c r="Q1934" i="208" s="1"/>
  <c r="I1934" i="208"/>
  <c r="J1934" i="208"/>
  <c r="L1934" i="208"/>
  <c r="C1935" i="208"/>
  <c r="D1935" i="208"/>
  <c r="E1935" i="208"/>
  <c r="S1935" i="208" s="1"/>
  <c r="H1935" i="208"/>
  <c r="Q1935" i="208" s="1"/>
  <c r="I1935" i="208"/>
  <c r="J1935" i="208"/>
  <c r="L1935" i="208"/>
  <c r="C1936" i="208"/>
  <c r="D1936" i="208"/>
  <c r="E1936" i="208"/>
  <c r="S1936" i="208" s="1"/>
  <c r="H1936" i="208"/>
  <c r="Q1936" i="208" s="1"/>
  <c r="I1936" i="208"/>
  <c r="J1936" i="208"/>
  <c r="L1936" i="208"/>
  <c r="C1937" i="208"/>
  <c r="D1937" i="208"/>
  <c r="E1937" i="208"/>
  <c r="S1937" i="208" s="1"/>
  <c r="H1937" i="208"/>
  <c r="Q1937" i="208" s="1"/>
  <c r="I1937" i="208"/>
  <c r="J1937" i="208"/>
  <c r="L1937" i="208"/>
  <c r="C1938" i="208"/>
  <c r="D1938" i="208"/>
  <c r="E1938" i="208"/>
  <c r="S1938" i="208" s="1"/>
  <c r="H1938" i="208"/>
  <c r="Q1938" i="208" s="1"/>
  <c r="I1938" i="208"/>
  <c r="J1938" i="208"/>
  <c r="L1938" i="208"/>
  <c r="C1939" i="208"/>
  <c r="D1939" i="208"/>
  <c r="E1939" i="208"/>
  <c r="S1939" i="208" s="1"/>
  <c r="H1939" i="208"/>
  <c r="Q1939" i="208" s="1"/>
  <c r="I1939" i="208"/>
  <c r="J1939" i="208"/>
  <c r="L1939" i="208"/>
  <c r="C1940" i="208"/>
  <c r="D1940" i="208"/>
  <c r="E1940" i="208"/>
  <c r="S1940" i="208" s="1"/>
  <c r="H1940" i="208"/>
  <c r="Q1940" i="208" s="1"/>
  <c r="I1940" i="208"/>
  <c r="J1940" i="208"/>
  <c r="L1940" i="208"/>
  <c r="C1941" i="208"/>
  <c r="D1941" i="208"/>
  <c r="E1941" i="208"/>
  <c r="S1941" i="208" s="1"/>
  <c r="H1941" i="208"/>
  <c r="Q1941" i="208" s="1"/>
  <c r="I1941" i="208"/>
  <c r="J1941" i="208"/>
  <c r="L1941" i="208"/>
  <c r="C1942" i="208"/>
  <c r="D1942" i="208"/>
  <c r="E1942" i="208"/>
  <c r="S1942" i="208" s="1"/>
  <c r="H1942" i="208"/>
  <c r="Q1942" i="208" s="1"/>
  <c r="I1942" i="208"/>
  <c r="J1942" i="208"/>
  <c r="L1942" i="208"/>
  <c r="C1943" i="208"/>
  <c r="D1943" i="208"/>
  <c r="E1943" i="208"/>
  <c r="S1943" i="208" s="1"/>
  <c r="H1943" i="208"/>
  <c r="Q1943" i="208" s="1"/>
  <c r="I1943" i="208"/>
  <c r="J1943" i="208"/>
  <c r="L1943" i="208"/>
  <c r="C1944" i="208"/>
  <c r="D1944" i="208"/>
  <c r="E1944" i="208"/>
  <c r="S1944" i="208" s="1"/>
  <c r="H1944" i="208"/>
  <c r="Q1944" i="208" s="1"/>
  <c r="I1944" i="208"/>
  <c r="J1944" i="208"/>
  <c r="L1944" i="208"/>
  <c r="C1945" i="208"/>
  <c r="D1945" i="208"/>
  <c r="E1945" i="208"/>
  <c r="S1945" i="208" s="1"/>
  <c r="H1945" i="208"/>
  <c r="Q1945" i="208" s="1"/>
  <c r="I1945" i="208"/>
  <c r="J1945" i="208"/>
  <c r="L1945" i="208"/>
  <c r="C1946" i="208"/>
  <c r="D1946" i="208"/>
  <c r="E1946" i="208"/>
  <c r="S1946" i="208" s="1"/>
  <c r="H1946" i="208"/>
  <c r="Q1946" i="208" s="1"/>
  <c r="I1946" i="208"/>
  <c r="J1946" i="208"/>
  <c r="L1946" i="208"/>
  <c r="C1947" i="208"/>
  <c r="D1947" i="208"/>
  <c r="E1947" i="208"/>
  <c r="S1947" i="208" s="1"/>
  <c r="H1947" i="208"/>
  <c r="Q1947" i="208" s="1"/>
  <c r="I1947" i="208"/>
  <c r="J1947" i="208"/>
  <c r="L1947" i="208"/>
  <c r="C1948" i="208"/>
  <c r="D1948" i="208"/>
  <c r="E1948" i="208"/>
  <c r="S1948" i="208" s="1"/>
  <c r="H1948" i="208"/>
  <c r="Q1948" i="208" s="1"/>
  <c r="I1948" i="208"/>
  <c r="J1948" i="208"/>
  <c r="L1948" i="208"/>
  <c r="C1949" i="208"/>
  <c r="D1949" i="208"/>
  <c r="E1949" i="208"/>
  <c r="S1949" i="208" s="1"/>
  <c r="H1949" i="208"/>
  <c r="Q1949" i="208" s="1"/>
  <c r="I1949" i="208"/>
  <c r="J1949" i="208"/>
  <c r="L1949" i="208"/>
  <c r="C1950" i="208"/>
  <c r="D1950" i="208"/>
  <c r="E1950" i="208"/>
  <c r="S1950" i="208" s="1"/>
  <c r="H1950" i="208"/>
  <c r="Q1950" i="208" s="1"/>
  <c r="I1950" i="208"/>
  <c r="J1950" i="208"/>
  <c r="L1950" i="208"/>
  <c r="C1951" i="208"/>
  <c r="D1951" i="208"/>
  <c r="E1951" i="208"/>
  <c r="S1951" i="208" s="1"/>
  <c r="H1951" i="208"/>
  <c r="Q1951" i="208" s="1"/>
  <c r="I1951" i="208"/>
  <c r="J1951" i="208"/>
  <c r="L1951" i="208"/>
  <c r="C1952" i="208"/>
  <c r="D1952" i="208"/>
  <c r="E1952" i="208"/>
  <c r="S1952" i="208" s="1"/>
  <c r="H1952" i="208"/>
  <c r="Q1952" i="208" s="1"/>
  <c r="I1952" i="208"/>
  <c r="J1952" i="208"/>
  <c r="L1952" i="208"/>
  <c r="C1953" i="208"/>
  <c r="D1953" i="208"/>
  <c r="E1953" i="208"/>
  <c r="S1953" i="208" s="1"/>
  <c r="H1953" i="208"/>
  <c r="Q1953" i="208" s="1"/>
  <c r="I1953" i="208"/>
  <c r="J1953" i="208"/>
  <c r="L1953" i="208"/>
  <c r="C1954" i="208"/>
  <c r="D1954" i="208"/>
  <c r="E1954" i="208"/>
  <c r="S1954" i="208" s="1"/>
  <c r="H1954" i="208"/>
  <c r="Q1954" i="208" s="1"/>
  <c r="I1954" i="208"/>
  <c r="J1954" i="208"/>
  <c r="L1954" i="208"/>
  <c r="C1955" i="208"/>
  <c r="D1955" i="208"/>
  <c r="E1955" i="208"/>
  <c r="S1955" i="208" s="1"/>
  <c r="H1955" i="208"/>
  <c r="Q1955" i="208" s="1"/>
  <c r="I1955" i="208"/>
  <c r="J1955" i="208"/>
  <c r="L1955" i="208"/>
  <c r="C1956" i="208"/>
  <c r="D1956" i="208"/>
  <c r="E1956" i="208"/>
  <c r="S1956" i="208" s="1"/>
  <c r="H1956" i="208"/>
  <c r="Q1956" i="208" s="1"/>
  <c r="I1956" i="208"/>
  <c r="J1956" i="208"/>
  <c r="L1956" i="208"/>
  <c r="C1957" i="208"/>
  <c r="D1957" i="208"/>
  <c r="E1957" i="208"/>
  <c r="S1957" i="208" s="1"/>
  <c r="H1957" i="208"/>
  <c r="Q1957" i="208" s="1"/>
  <c r="I1957" i="208"/>
  <c r="J1957" i="208"/>
  <c r="L1957" i="208"/>
  <c r="C1958" i="208"/>
  <c r="D1958" i="208"/>
  <c r="E1958" i="208"/>
  <c r="S1958" i="208" s="1"/>
  <c r="H1958" i="208"/>
  <c r="Q1958" i="208" s="1"/>
  <c r="I1958" i="208"/>
  <c r="J1958" i="208"/>
  <c r="L1958" i="208"/>
  <c r="C1959" i="208"/>
  <c r="D1959" i="208"/>
  <c r="E1959" i="208"/>
  <c r="S1959" i="208" s="1"/>
  <c r="H1959" i="208"/>
  <c r="Q1959" i="208" s="1"/>
  <c r="I1959" i="208"/>
  <c r="J1959" i="208"/>
  <c r="L1959" i="208"/>
  <c r="C1960" i="208"/>
  <c r="D1960" i="208"/>
  <c r="E1960" i="208"/>
  <c r="S1960" i="208" s="1"/>
  <c r="H1960" i="208"/>
  <c r="Q1960" i="208" s="1"/>
  <c r="I1960" i="208"/>
  <c r="J1960" i="208"/>
  <c r="L1960" i="208"/>
  <c r="C1961" i="208"/>
  <c r="D1961" i="208"/>
  <c r="E1961" i="208"/>
  <c r="S1961" i="208" s="1"/>
  <c r="H1961" i="208"/>
  <c r="Q1961" i="208" s="1"/>
  <c r="I1961" i="208"/>
  <c r="J1961" i="208"/>
  <c r="L1961" i="208"/>
  <c r="C1962" i="208"/>
  <c r="D1962" i="208"/>
  <c r="E1962" i="208"/>
  <c r="S1962" i="208" s="1"/>
  <c r="H1962" i="208"/>
  <c r="Q1962" i="208" s="1"/>
  <c r="I1962" i="208"/>
  <c r="J1962" i="208"/>
  <c r="L1962" i="208"/>
  <c r="C1963" i="208"/>
  <c r="D1963" i="208"/>
  <c r="E1963" i="208"/>
  <c r="S1963" i="208" s="1"/>
  <c r="H1963" i="208"/>
  <c r="Q1963" i="208" s="1"/>
  <c r="I1963" i="208"/>
  <c r="J1963" i="208"/>
  <c r="L1963" i="208"/>
  <c r="C1964" i="208"/>
  <c r="D1964" i="208"/>
  <c r="E1964" i="208"/>
  <c r="S1964" i="208" s="1"/>
  <c r="H1964" i="208"/>
  <c r="Q1964" i="208" s="1"/>
  <c r="I1964" i="208"/>
  <c r="J1964" i="208"/>
  <c r="L1964" i="208"/>
  <c r="C1965" i="208"/>
  <c r="D1965" i="208"/>
  <c r="E1965" i="208"/>
  <c r="S1965" i="208" s="1"/>
  <c r="H1965" i="208"/>
  <c r="Q1965" i="208" s="1"/>
  <c r="I1965" i="208"/>
  <c r="J1965" i="208"/>
  <c r="L1965" i="208"/>
  <c r="C1966" i="208"/>
  <c r="D1966" i="208"/>
  <c r="E1966" i="208"/>
  <c r="S1966" i="208" s="1"/>
  <c r="H1966" i="208"/>
  <c r="Q1966" i="208" s="1"/>
  <c r="I1966" i="208"/>
  <c r="J1966" i="208"/>
  <c r="L1966" i="208"/>
  <c r="C1967" i="208"/>
  <c r="D1967" i="208"/>
  <c r="E1967" i="208"/>
  <c r="S1967" i="208" s="1"/>
  <c r="H1967" i="208"/>
  <c r="Q1967" i="208" s="1"/>
  <c r="I1967" i="208"/>
  <c r="J1967" i="208"/>
  <c r="L1967" i="208"/>
  <c r="C1968" i="208"/>
  <c r="D1968" i="208"/>
  <c r="E1968" i="208"/>
  <c r="S1968" i="208" s="1"/>
  <c r="H1968" i="208"/>
  <c r="Q1968" i="208" s="1"/>
  <c r="I1968" i="208"/>
  <c r="J1968" i="208"/>
  <c r="L1968" i="208"/>
  <c r="C1969" i="208"/>
  <c r="D1969" i="208"/>
  <c r="E1969" i="208"/>
  <c r="S1969" i="208" s="1"/>
  <c r="H1969" i="208"/>
  <c r="Q1969" i="208" s="1"/>
  <c r="I1969" i="208"/>
  <c r="J1969" i="208"/>
  <c r="L1969" i="208"/>
  <c r="C1970" i="208"/>
  <c r="D1970" i="208"/>
  <c r="E1970" i="208"/>
  <c r="S1970" i="208" s="1"/>
  <c r="H1970" i="208"/>
  <c r="Q1970" i="208" s="1"/>
  <c r="I1970" i="208"/>
  <c r="J1970" i="208"/>
  <c r="L1970" i="208"/>
  <c r="C1971" i="208"/>
  <c r="D1971" i="208"/>
  <c r="E1971" i="208"/>
  <c r="S1971" i="208" s="1"/>
  <c r="H1971" i="208"/>
  <c r="Q1971" i="208" s="1"/>
  <c r="I1971" i="208"/>
  <c r="J1971" i="208"/>
  <c r="L1971" i="208"/>
  <c r="C1972" i="208"/>
  <c r="D1972" i="208"/>
  <c r="E1972" i="208"/>
  <c r="S1972" i="208" s="1"/>
  <c r="H1972" i="208"/>
  <c r="Q1972" i="208" s="1"/>
  <c r="I1972" i="208"/>
  <c r="J1972" i="208"/>
  <c r="L1972" i="208"/>
  <c r="C1973" i="208"/>
  <c r="D1973" i="208"/>
  <c r="E1973" i="208"/>
  <c r="S1973" i="208" s="1"/>
  <c r="H1973" i="208"/>
  <c r="Q1973" i="208" s="1"/>
  <c r="I1973" i="208"/>
  <c r="J1973" i="208"/>
  <c r="L1973" i="208"/>
  <c r="C1974" i="208"/>
  <c r="D1974" i="208"/>
  <c r="E1974" i="208"/>
  <c r="S1974" i="208" s="1"/>
  <c r="H1974" i="208"/>
  <c r="Q1974" i="208" s="1"/>
  <c r="I1974" i="208"/>
  <c r="J1974" i="208"/>
  <c r="L1974" i="208"/>
  <c r="C1975" i="208"/>
  <c r="D1975" i="208"/>
  <c r="E1975" i="208"/>
  <c r="S1975" i="208" s="1"/>
  <c r="H1975" i="208"/>
  <c r="Q1975" i="208" s="1"/>
  <c r="I1975" i="208"/>
  <c r="J1975" i="208"/>
  <c r="L1975" i="208"/>
  <c r="C1976" i="208"/>
  <c r="D1976" i="208"/>
  <c r="E1976" i="208"/>
  <c r="S1976" i="208" s="1"/>
  <c r="H1976" i="208"/>
  <c r="Q1976" i="208" s="1"/>
  <c r="I1976" i="208"/>
  <c r="J1976" i="208"/>
  <c r="L1976" i="208"/>
  <c r="C1977" i="208"/>
  <c r="D1977" i="208"/>
  <c r="E1977" i="208"/>
  <c r="S1977" i="208" s="1"/>
  <c r="H1977" i="208"/>
  <c r="Q1977" i="208" s="1"/>
  <c r="I1977" i="208"/>
  <c r="J1977" i="208"/>
  <c r="L1977" i="208"/>
  <c r="C1978" i="208"/>
  <c r="D1978" i="208"/>
  <c r="E1978" i="208"/>
  <c r="S1978" i="208" s="1"/>
  <c r="H1978" i="208"/>
  <c r="Q1978" i="208" s="1"/>
  <c r="I1978" i="208"/>
  <c r="J1978" i="208"/>
  <c r="L1978" i="208"/>
  <c r="C1979" i="208"/>
  <c r="D1979" i="208"/>
  <c r="E1979" i="208"/>
  <c r="S1979" i="208" s="1"/>
  <c r="H1979" i="208"/>
  <c r="Q1979" i="208" s="1"/>
  <c r="I1979" i="208"/>
  <c r="J1979" i="208"/>
  <c r="L1979" i="208"/>
  <c r="C1980" i="208"/>
  <c r="D1980" i="208"/>
  <c r="E1980" i="208"/>
  <c r="S1980" i="208" s="1"/>
  <c r="H1980" i="208"/>
  <c r="Q1980" i="208" s="1"/>
  <c r="I1980" i="208"/>
  <c r="J1980" i="208"/>
  <c r="L1980" i="208"/>
  <c r="C1981" i="208"/>
  <c r="D1981" i="208"/>
  <c r="E1981" i="208"/>
  <c r="S1981" i="208" s="1"/>
  <c r="H1981" i="208"/>
  <c r="Q1981" i="208" s="1"/>
  <c r="I1981" i="208"/>
  <c r="J1981" i="208"/>
  <c r="L1981" i="208"/>
  <c r="C1982" i="208"/>
  <c r="D1982" i="208"/>
  <c r="E1982" i="208"/>
  <c r="S1982" i="208" s="1"/>
  <c r="H1982" i="208"/>
  <c r="Q1982" i="208" s="1"/>
  <c r="I1982" i="208"/>
  <c r="J1982" i="208"/>
  <c r="L1982" i="208"/>
  <c r="C1983" i="208"/>
  <c r="D1983" i="208"/>
  <c r="E1983" i="208"/>
  <c r="S1983" i="208" s="1"/>
  <c r="H1983" i="208"/>
  <c r="Q1983" i="208" s="1"/>
  <c r="I1983" i="208"/>
  <c r="J1983" i="208"/>
  <c r="L1983" i="208"/>
  <c r="C1984" i="208"/>
  <c r="D1984" i="208"/>
  <c r="E1984" i="208"/>
  <c r="S1984" i="208" s="1"/>
  <c r="H1984" i="208"/>
  <c r="Q1984" i="208" s="1"/>
  <c r="I1984" i="208"/>
  <c r="J1984" i="208"/>
  <c r="L1984" i="208"/>
  <c r="C1985" i="208"/>
  <c r="D1985" i="208"/>
  <c r="E1985" i="208"/>
  <c r="S1985" i="208" s="1"/>
  <c r="H1985" i="208"/>
  <c r="Q1985" i="208" s="1"/>
  <c r="I1985" i="208"/>
  <c r="J1985" i="208"/>
  <c r="L1985" i="208"/>
  <c r="C1986" i="208"/>
  <c r="D1986" i="208"/>
  <c r="E1986" i="208"/>
  <c r="S1986" i="208" s="1"/>
  <c r="H1986" i="208"/>
  <c r="Q1986" i="208" s="1"/>
  <c r="I1986" i="208"/>
  <c r="J1986" i="208"/>
  <c r="L1986" i="208"/>
  <c r="C1987" i="208"/>
  <c r="D1987" i="208"/>
  <c r="E1987" i="208"/>
  <c r="S1987" i="208" s="1"/>
  <c r="H1987" i="208"/>
  <c r="Q1987" i="208" s="1"/>
  <c r="I1987" i="208"/>
  <c r="J1987" i="208"/>
  <c r="L1987" i="208"/>
  <c r="C1988" i="208"/>
  <c r="D1988" i="208"/>
  <c r="E1988" i="208"/>
  <c r="S1988" i="208" s="1"/>
  <c r="H1988" i="208"/>
  <c r="Q1988" i="208" s="1"/>
  <c r="I1988" i="208"/>
  <c r="J1988" i="208"/>
  <c r="L1988" i="208"/>
  <c r="C1989" i="208"/>
  <c r="D1989" i="208"/>
  <c r="E1989" i="208"/>
  <c r="S1989" i="208" s="1"/>
  <c r="H1989" i="208"/>
  <c r="Q1989" i="208" s="1"/>
  <c r="I1989" i="208"/>
  <c r="J1989" i="208"/>
  <c r="L1989" i="208"/>
  <c r="C1990" i="208"/>
  <c r="D1990" i="208"/>
  <c r="E1990" i="208"/>
  <c r="S1990" i="208" s="1"/>
  <c r="H1990" i="208"/>
  <c r="Q1990" i="208" s="1"/>
  <c r="I1990" i="208"/>
  <c r="J1990" i="208"/>
  <c r="L1990" i="208"/>
  <c r="C1991" i="208"/>
  <c r="D1991" i="208"/>
  <c r="E1991" i="208"/>
  <c r="S1991" i="208" s="1"/>
  <c r="H1991" i="208"/>
  <c r="Q1991" i="208" s="1"/>
  <c r="I1991" i="208"/>
  <c r="J1991" i="208"/>
  <c r="L1991" i="208"/>
  <c r="C1992" i="208"/>
  <c r="D1992" i="208"/>
  <c r="E1992" i="208"/>
  <c r="S1992" i="208" s="1"/>
  <c r="H1992" i="208"/>
  <c r="Q1992" i="208" s="1"/>
  <c r="I1992" i="208"/>
  <c r="J1992" i="208"/>
  <c r="L1992" i="208"/>
  <c r="C1993" i="208"/>
  <c r="D1993" i="208"/>
  <c r="E1993" i="208"/>
  <c r="S1993" i="208" s="1"/>
  <c r="H1993" i="208"/>
  <c r="Q1993" i="208" s="1"/>
  <c r="I1993" i="208"/>
  <c r="J1993" i="208"/>
  <c r="L1993" i="208"/>
  <c r="C1994" i="208"/>
  <c r="D1994" i="208"/>
  <c r="E1994" i="208"/>
  <c r="S1994" i="208" s="1"/>
  <c r="H1994" i="208"/>
  <c r="Q1994" i="208" s="1"/>
  <c r="I1994" i="208"/>
  <c r="J1994" i="208"/>
  <c r="L1994" i="208"/>
  <c r="C1995" i="208"/>
  <c r="D1995" i="208"/>
  <c r="E1995" i="208"/>
  <c r="S1995" i="208" s="1"/>
  <c r="H1995" i="208"/>
  <c r="Q1995" i="208" s="1"/>
  <c r="I1995" i="208"/>
  <c r="J1995" i="208"/>
  <c r="L1995" i="208"/>
  <c r="C1996" i="208"/>
  <c r="D1996" i="208"/>
  <c r="E1996" i="208"/>
  <c r="S1996" i="208" s="1"/>
  <c r="H1996" i="208"/>
  <c r="Q1996" i="208" s="1"/>
  <c r="I1996" i="208"/>
  <c r="J1996" i="208"/>
  <c r="L1996" i="208"/>
  <c r="C1997" i="208"/>
  <c r="D1997" i="208"/>
  <c r="E1997" i="208"/>
  <c r="S1997" i="208" s="1"/>
  <c r="H1997" i="208"/>
  <c r="Q1997" i="208" s="1"/>
  <c r="I1997" i="208"/>
  <c r="J1997" i="208"/>
  <c r="L1997" i="208"/>
  <c r="C1998" i="208"/>
  <c r="D1998" i="208"/>
  <c r="E1998" i="208"/>
  <c r="S1998" i="208" s="1"/>
  <c r="H1998" i="208"/>
  <c r="Q1998" i="208" s="1"/>
  <c r="I1998" i="208"/>
  <c r="J1998" i="208"/>
  <c r="L1998" i="208"/>
  <c r="C1999" i="208"/>
  <c r="D1999" i="208"/>
  <c r="E1999" i="208"/>
  <c r="S1999" i="208" s="1"/>
  <c r="H1999" i="208"/>
  <c r="Q1999" i="208" s="1"/>
  <c r="I1999" i="208"/>
  <c r="J1999" i="208"/>
  <c r="L1999" i="208"/>
  <c r="C2000" i="208"/>
  <c r="D2000" i="208"/>
  <c r="E2000" i="208"/>
  <c r="S2000" i="208" s="1"/>
  <c r="H2000" i="208"/>
  <c r="Q2000" i="208" s="1"/>
  <c r="I2000" i="208"/>
  <c r="J2000" i="208"/>
  <c r="L2000" i="208"/>
  <c r="C2001" i="208"/>
  <c r="D2001" i="208"/>
  <c r="E2001" i="208"/>
  <c r="S2001" i="208" s="1"/>
  <c r="H2001" i="208"/>
  <c r="Q2001" i="208" s="1"/>
  <c r="I2001" i="208"/>
  <c r="J2001" i="208"/>
  <c r="L2001" i="208"/>
  <c r="C2002" i="208"/>
  <c r="D2002" i="208"/>
  <c r="E2002" i="208"/>
  <c r="S2002" i="208" s="1"/>
  <c r="H2002" i="208"/>
  <c r="Q2002" i="208" s="1"/>
  <c r="I2002" i="208"/>
  <c r="J2002" i="208"/>
  <c r="L2002" i="208"/>
  <c r="C2003" i="208"/>
  <c r="D2003" i="208"/>
  <c r="E2003" i="208"/>
  <c r="S2003" i="208" s="1"/>
  <c r="H2003" i="208"/>
  <c r="Q2003" i="208" s="1"/>
  <c r="I2003" i="208"/>
  <c r="J2003" i="208"/>
  <c r="L2003" i="208"/>
  <c r="C2004" i="208"/>
  <c r="D2004" i="208"/>
  <c r="E2004" i="208"/>
  <c r="S2004" i="208" s="1"/>
  <c r="H2004" i="208"/>
  <c r="Q2004" i="208" s="1"/>
  <c r="I2004" i="208"/>
  <c r="J2004" i="208"/>
  <c r="L2004" i="208"/>
  <c r="C2005" i="208"/>
  <c r="D2005" i="208"/>
  <c r="E2005" i="208"/>
  <c r="S2005" i="208" s="1"/>
  <c r="H2005" i="208"/>
  <c r="Q2005" i="208" s="1"/>
  <c r="I2005" i="208"/>
  <c r="J2005" i="208"/>
  <c r="L2005" i="208"/>
  <c r="C2006" i="208"/>
  <c r="D2006" i="208"/>
  <c r="E2006" i="208"/>
  <c r="S2006" i="208" s="1"/>
  <c r="H2006" i="208"/>
  <c r="Q2006" i="208" s="1"/>
  <c r="I2006" i="208"/>
  <c r="J2006" i="208"/>
  <c r="L2006" i="208"/>
  <c r="C2007" i="208"/>
  <c r="D2007" i="208"/>
  <c r="E2007" i="208"/>
  <c r="S2007" i="208" s="1"/>
  <c r="H2007" i="208"/>
  <c r="Q2007" i="208" s="1"/>
  <c r="I2007" i="208"/>
  <c r="J2007" i="208"/>
  <c r="L2007" i="208"/>
  <c r="C2008" i="208"/>
  <c r="D2008" i="208"/>
  <c r="E2008" i="208"/>
  <c r="S2008" i="208" s="1"/>
  <c r="H2008" i="208"/>
  <c r="Q2008" i="208" s="1"/>
  <c r="I2008" i="208"/>
  <c r="J2008" i="208"/>
  <c r="L2008" i="208"/>
  <c r="C2009" i="208"/>
  <c r="D2009" i="208"/>
  <c r="E2009" i="208"/>
  <c r="S2009" i="208" s="1"/>
  <c r="H2009" i="208"/>
  <c r="Q2009" i="208" s="1"/>
  <c r="I2009" i="208"/>
  <c r="J2009" i="208"/>
  <c r="L2009" i="208"/>
  <c r="C2010" i="208"/>
  <c r="D2010" i="208"/>
  <c r="E2010" i="208"/>
  <c r="S2010" i="208" s="1"/>
  <c r="H2010" i="208"/>
  <c r="Q2010" i="208" s="1"/>
  <c r="I2010" i="208"/>
  <c r="J2010" i="208"/>
  <c r="L2010" i="208"/>
  <c r="C2011" i="208"/>
  <c r="D2011" i="208"/>
  <c r="E2011" i="208"/>
  <c r="S2011" i="208" s="1"/>
  <c r="H2011" i="208"/>
  <c r="Q2011" i="208" s="1"/>
  <c r="I2011" i="208"/>
  <c r="J2011" i="208"/>
  <c r="L2011" i="208"/>
  <c r="C2012" i="208"/>
  <c r="D2012" i="208"/>
  <c r="E2012" i="208"/>
  <c r="S2012" i="208" s="1"/>
  <c r="H2012" i="208"/>
  <c r="Q2012" i="208" s="1"/>
  <c r="I2012" i="208"/>
  <c r="J2012" i="208"/>
  <c r="L2012" i="208"/>
  <c r="C2013" i="208"/>
  <c r="D2013" i="208"/>
  <c r="E2013" i="208"/>
  <c r="S2013" i="208" s="1"/>
  <c r="H2013" i="208"/>
  <c r="Q2013" i="208" s="1"/>
  <c r="I2013" i="208"/>
  <c r="J2013" i="208"/>
  <c r="L2013" i="208"/>
  <c r="C2014" i="208"/>
  <c r="D2014" i="208"/>
  <c r="E2014" i="208"/>
  <c r="S2014" i="208" s="1"/>
  <c r="H2014" i="208"/>
  <c r="Q2014" i="208" s="1"/>
  <c r="I2014" i="208"/>
  <c r="J2014" i="208"/>
  <c r="L2014" i="208"/>
  <c r="C2015" i="208"/>
  <c r="D2015" i="208"/>
  <c r="E2015" i="208"/>
  <c r="S2015" i="208" s="1"/>
  <c r="H2015" i="208"/>
  <c r="Q2015" i="208" s="1"/>
  <c r="I2015" i="208"/>
  <c r="J2015" i="208"/>
  <c r="L2015" i="208"/>
  <c r="C2016" i="208"/>
  <c r="D2016" i="208"/>
  <c r="E2016" i="208"/>
  <c r="S2016" i="208" s="1"/>
  <c r="H2016" i="208"/>
  <c r="Q2016" i="208" s="1"/>
  <c r="I2016" i="208"/>
  <c r="J2016" i="208"/>
  <c r="L2016" i="208"/>
  <c r="C2017" i="208"/>
  <c r="D2017" i="208"/>
  <c r="E2017" i="208"/>
  <c r="S2017" i="208" s="1"/>
  <c r="H2017" i="208"/>
  <c r="Q2017" i="208" s="1"/>
  <c r="I2017" i="208"/>
  <c r="J2017" i="208"/>
  <c r="L2017" i="208"/>
  <c r="C2018" i="208"/>
  <c r="D2018" i="208"/>
  <c r="E2018" i="208"/>
  <c r="S2018" i="208" s="1"/>
  <c r="H2018" i="208"/>
  <c r="Q2018" i="208" s="1"/>
  <c r="I2018" i="208"/>
  <c r="J2018" i="208"/>
  <c r="L2018" i="208"/>
  <c r="C2019" i="208"/>
  <c r="D2019" i="208"/>
  <c r="E2019" i="208"/>
  <c r="S2019" i="208" s="1"/>
  <c r="H2019" i="208"/>
  <c r="Q2019" i="208" s="1"/>
  <c r="I2019" i="208"/>
  <c r="J2019" i="208"/>
  <c r="L2019" i="208"/>
  <c r="C2020" i="208"/>
  <c r="D2020" i="208"/>
  <c r="E2020" i="208"/>
  <c r="S2020" i="208" s="1"/>
  <c r="H2020" i="208"/>
  <c r="Q2020" i="208" s="1"/>
  <c r="I2020" i="208"/>
  <c r="J2020" i="208"/>
  <c r="L2020" i="208"/>
  <c r="C2021" i="208"/>
  <c r="D2021" i="208"/>
  <c r="E2021" i="208"/>
  <c r="S2021" i="208" s="1"/>
  <c r="H2021" i="208"/>
  <c r="Q2021" i="208" s="1"/>
  <c r="I2021" i="208"/>
  <c r="J2021" i="208"/>
  <c r="L2021" i="208"/>
  <c r="C2022" i="208"/>
  <c r="D2022" i="208"/>
  <c r="E2022" i="208"/>
  <c r="S2022" i="208" s="1"/>
  <c r="H2022" i="208"/>
  <c r="Q2022" i="208" s="1"/>
  <c r="I2022" i="208"/>
  <c r="J2022" i="208"/>
  <c r="L2022" i="208"/>
  <c r="C2023" i="208"/>
  <c r="D2023" i="208"/>
  <c r="E2023" i="208"/>
  <c r="S2023" i="208" s="1"/>
  <c r="H2023" i="208"/>
  <c r="Q2023" i="208" s="1"/>
  <c r="I2023" i="208"/>
  <c r="J2023" i="208"/>
  <c r="L2023" i="208"/>
  <c r="C2024" i="208"/>
  <c r="D2024" i="208"/>
  <c r="E2024" i="208"/>
  <c r="S2024" i="208" s="1"/>
  <c r="H2024" i="208"/>
  <c r="Q2024" i="208" s="1"/>
  <c r="I2024" i="208"/>
  <c r="J2024" i="208"/>
  <c r="L2024" i="208"/>
  <c r="C2025" i="208"/>
  <c r="D2025" i="208"/>
  <c r="E2025" i="208"/>
  <c r="S2025" i="208" s="1"/>
  <c r="H2025" i="208"/>
  <c r="Q2025" i="208" s="1"/>
  <c r="I2025" i="208"/>
  <c r="J2025" i="208"/>
  <c r="L2025" i="208"/>
  <c r="C2026" i="208"/>
  <c r="D2026" i="208"/>
  <c r="E2026" i="208"/>
  <c r="S2026" i="208" s="1"/>
  <c r="H2026" i="208"/>
  <c r="Q2026" i="208" s="1"/>
  <c r="I2026" i="208"/>
  <c r="J2026" i="208"/>
  <c r="L2026" i="208"/>
  <c r="C2027" i="208"/>
  <c r="D2027" i="208"/>
  <c r="E2027" i="208"/>
  <c r="S2027" i="208" s="1"/>
  <c r="H2027" i="208"/>
  <c r="Q2027" i="208" s="1"/>
  <c r="I2027" i="208"/>
  <c r="J2027" i="208"/>
  <c r="L2027" i="208"/>
  <c r="C2028" i="208"/>
  <c r="D2028" i="208"/>
  <c r="E2028" i="208"/>
  <c r="S2028" i="208" s="1"/>
  <c r="H2028" i="208"/>
  <c r="Q2028" i="208" s="1"/>
  <c r="I2028" i="208"/>
  <c r="J2028" i="208"/>
  <c r="L2028" i="208"/>
  <c r="C2029" i="208"/>
  <c r="D2029" i="208"/>
  <c r="E2029" i="208"/>
  <c r="S2029" i="208" s="1"/>
  <c r="H2029" i="208"/>
  <c r="Q2029" i="208" s="1"/>
  <c r="I2029" i="208"/>
  <c r="J2029" i="208"/>
  <c r="L2029" i="208"/>
  <c r="C2030" i="208"/>
  <c r="D2030" i="208"/>
  <c r="E2030" i="208"/>
  <c r="S2030" i="208" s="1"/>
  <c r="H2030" i="208"/>
  <c r="Q2030" i="208" s="1"/>
  <c r="I2030" i="208"/>
  <c r="J2030" i="208"/>
  <c r="L2030" i="208"/>
  <c r="C2031" i="208"/>
  <c r="D2031" i="208"/>
  <c r="E2031" i="208"/>
  <c r="S2031" i="208" s="1"/>
  <c r="H2031" i="208"/>
  <c r="Q2031" i="208" s="1"/>
  <c r="I2031" i="208"/>
  <c r="J2031" i="208"/>
  <c r="L2031" i="208"/>
  <c r="C2032" i="208"/>
  <c r="D2032" i="208"/>
  <c r="E2032" i="208"/>
  <c r="S2032" i="208" s="1"/>
  <c r="H2032" i="208"/>
  <c r="Q2032" i="208" s="1"/>
  <c r="I2032" i="208"/>
  <c r="J2032" i="208"/>
  <c r="L2032" i="208"/>
  <c r="C2033" i="208"/>
  <c r="D2033" i="208"/>
  <c r="E2033" i="208"/>
  <c r="S2033" i="208" s="1"/>
  <c r="H2033" i="208"/>
  <c r="Q2033" i="208" s="1"/>
  <c r="I2033" i="208"/>
  <c r="J2033" i="208"/>
  <c r="L2033" i="208"/>
  <c r="C2034" i="208"/>
  <c r="D2034" i="208"/>
  <c r="E2034" i="208"/>
  <c r="S2034" i="208" s="1"/>
  <c r="H2034" i="208"/>
  <c r="Q2034" i="208" s="1"/>
  <c r="I2034" i="208"/>
  <c r="J2034" i="208"/>
  <c r="L2034" i="208"/>
  <c r="C2035" i="208"/>
  <c r="D2035" i="208"/>
  <c r="E2035" i="208"/>
  <c r="S2035" i="208" s="1"/>
  <c r="H2035" i="208"/>
  <c r="Q2035" i="208" s="1"/>
  <c r="I2035" i="208"/>
  <c r="J2035" i="208"/>
  <c r="L2035" i="208"/>
  <c r="C2036" i="208"/>
  <c r="D2036" i="208"/>
  <c r="E2036" i="208"/>
  <c r="S2036" i="208" s="1"/>
  <c r="H2036" i="208"/>
  <c r="Q2036" i="208" s="1"/>
  <c r="I2036" i="208"/>
  <c r="J2036" i="208"/>
  <c r="L2036" i="208"/>
  <c r="C2037" i="208"/>
  <c r="D2037" i="208"/>
  <c r="E2037" i="208"/>
  <c r="S2037" i="208" s="1"/>
  <c r="H2037" i="208"/>
  <c r="Q2037" i="208" s="1"/>
  <c r="I2037" i="208"/>
  <c r="J2037" i="208"/>
  <c r="L2037" i="208"/>
  <c r="C2038" i="208"/>
  <c r="D2038" i="208"/>
  <c r="E2038" i="208"/>
  <c r="S2038" i="208" s="1"/>
  <c r="H2038" i="208"/>
  <c r="Q2038" i="208" s="1"/>
  <c r="I2038" i="208"/>
  <c r="J2038" i="208"/>
  <c r="L2038" i="208"/>
  <c r="C2039" i="208"/>
  <c r="D2039" i="208"/>
  <c r="E2039" i="208"/>
  <c r="S2039" i="208" s="1"/>
  <c r="H2039" i="208"/>
  <c r="Q2039" i="208" s="1"/>
  <c r="I2039" i="208"/>
  <c r="J2039" i="208"/>
  <c r="L2039" i="208"/>
  <c r="C2040" i="208"/>
  <c r="D2040" i="208"/>
  <c r="E2040" i="208"/>
  <c r="S2040" i="208" s="1"/>
  <c r="H2040" i="208"/>
  <c r="Q2040" i="208" s="1"/>
  <c r="I2040" i="208"/>
  <c r="J2040" i="208"/>
  <c r="L2040" i="208"/>
  <c r="C2041" i="208"/>
  <c r="D2041" i="208"/>
  <c r="E2041" i="208"/>
  <c r="S2041" i="208" s="1"/>
  <c r="H2041" i="208"/>
  <c r="Q2041" i="208" s="1"/>
  <c r="I2041" i="208"/>
  <c r="J2041" i="208"/>
  <c r="L2041" i="208"/>
  <c r="C2042" i="208"/>
  <c r="D2042" i="208"/>
  <c r="E2042" i="208"/>
  <c r="S2042" i="208" s="1"/>
  <c r="H2042" i="208"/>
  <c r="Q2042" i="208" s="1"/>
  <c r="I2042" i="208"/>
  <c r="J2042" i="208"/>
  <c r="L2042" i="208"/>
  <c r="C2043" i="208"/>
  <c r="D2043" i="208"/>
  <c r="E2043" i="208"/>
  <c r="S2043" i="208" s="1"/>
  <c r="H2043" i="208"/>
  <c r="Q2043" i="208" s="1"/>
  <c r="I2043" i="208"/>
  <c r="J2043" i="208"/>
  <c r="L2043" i="208"/>
  <c r="C2044" i="208"/>
  <c r="D2044" i="208"/>
  <c r="E2044" i="208"/>
  <c r="S2044" i="208" s="1"/>
  <c r="H2044" i="208"/>
  <c r="Q2044" i="208" s="1"/>
  <c r="I2044" i="208"/>
  <c r="J2044" i="208"/>
  <c r="L2044" i="208"/>
  <c r="C2045" i="208"/>
  <c r="D2045" i="208"/>
  <c r="E2045" i="208"/>
  <c r="S2045" i="208" s="1"/>
  <c r="H2045" i="208"/>
  <c r="Q2045" i="208" s="1"/>
  <c r="I2045" i="208"/>
  <c r="J2045" i="208"/>
  <c r="L2045" i="208"/>
  <c r="C2046" i="208"/>
  <c r="D2046" i="208"/>
  <c r="E2046" i="208"/>
  <c r="S2046" i="208" s="1"/>
  <c r="H2046" i="208"/>
  <c r="Q2046" i="208" s="1"/>
  <c r="I2046" i="208"/>
  <c r="J2046" i="208"/>
  <c r="L2046" i="208"/>
  <c r="C2047" i="208"/>
  <c r="D2047" i="208"/>
  <c r="E2047" i="208"/>
  <c r="S2047" i="208" s="1"/>
  <c r="H2047" i="208"/>
  <c r="Q2047" i="208" s="1"/>
  <c r="I2047" i="208"/>
  <c r="J2047" i="208"/>
  <c r="L2047" i="208"/>
  <c r="C2048" i="208"/>
  <c r="D2048" i="208"/>
  <c r="E2048" i="208"/>
  <c r="S2048" i="208" s="1"/>
  <c r="H2048" i="208"/>
  <c r="Q2048" i="208" s="1"/>
  <c r="I2048" i="208"/>
  <c r="J2048" i="208"/>
  <c r="L2048" i="208"/>
  <c r="C2049" i="208"/>
  <c r="D2049" i="208"/>
  <c r="E2049" i="208"/>
  <c r="S2049" i="208" s="1"/>
  <c r="H2049" i="208"/>
  <c r="Q2049" i="208" s="1"/>
  <c r="I2049" i="208"/>
  <c r="J2049" i="208"/>
  <c r="L2049" i="208"/>
  <c r="C2050" i="208"/>
  <c r="D2050" i="208"/>
  <c r="E2050" i="208"/>
  <c r="S2050" i="208" s="1"/>
  <c r="H2050" i="208"/>
  <c r="Q2050" i="208" s="1"/>
  <c r="I2050" i="208"/>
  <c r="J2050" i="208"/>
  <c r="L2050" i="208"/>
  <c r="C2051" i="208"/>
  <c r="D2051" i="208"/>
  <c r="E2051" i="208"/>
  <c r="S2051" i="208" s="1"/>
  <c r="H2051" i="208"/>
  <c r="Q2051" i="208" s="1"/>
  <c r="I2051" i="208"/>
  <c r="J2051" i="208"/>
  <c r="L2051" i="208"/>
  <c r="C2052" i="208"/>
  <c r="D2052" i="208"/>
  <c r="E2052" i="208"/>
  <c r="S2052" i="208" s="1"/>
  <c r="H2052" i="208"/>
  <c r="Q2052" i="208" s="1"/>
  <c r="I2052" i="208"/>
  <c r="J2052" i="208"/>
  <c r="L2052" i="208"/>
  <c r="C2053" i="208"/>
  <c r="D2053" i="208"/>
  <c r="E2053" i="208"/>
  <c r="S2053" i="208" s="1"/>
  <c r="H2053" i="208"/>
  <c r="Q2053" i="208" s="1"/>
  <c r="I2053" i="208"/>
  <c r="J2053" i="208"/>
  <c r="L2053" i="208"/>
  <c r="C2054" i="208"/>
  <c r="D2054" i="208"/>
  <c r="E2054" i="208"/>
  <c r="S2054" i="208" s="1"/>
  <c r="H2054" i="208"/>
  <c r="Q2054" i="208" s="1"/>
  <c r="I2054" i="208"/>
  <c r="J2054" i="208"/>
  <c r="L2054" i="208"/>
  <c r="C2055" i="208"/>
  <c r="D2055" i="208"/>
  <c r="E2055" i="208"/>
  <c r="S2055" i="208" s="1"/>
  <c r="H2055" i="208"/>
  <c r="Q2055" i="208" s="1"/>
  <c r="I2055" i="208"/>
  <c r="J2055" i="208"/>
  <c r="L2055" i="208"/>
  <c r="C2056" i="208"/>
  <c r="D2056" i="208"/>
  <c r="E2056" i="208"/>
  <c r="S2056" i="208" s="1"/>
  <c r="H2056" i="208"/>
  <c r="Q2056" i="208" s="1"/>
  <c r="I2056" i="208"/>
  <c r="J2056" i="208"/>
  <c r="L2056" i="208"/>
  <c r="C2057" i="208"/>
  <c r="D2057" i="208"/>
  <c r="E2057" i="208"/>
  <c r="S2057" i="208" s="1"/>
  <c r="H2057" i="208"/>
  <c r="Q2057" i="208" s="1"/>
  <c r="I2057" i="208"/>
  <c r="J2057" i="208"/>
  <c r="L2057" i="208"/>
  <c r="C2058" i="208"/>
  <c r="D2058" i="208"/>
  <c r="E2058" i="208"/>
  <c r="S2058" i="208" s="1"/>
  <c r="H2058" i="208"/>
  <c r="Q2058" i="208" s="1"/>
  <c r="I2058" i="208"/>
  <c r="J2058" i="208"/>
  <c r="L2058" i="208"/>
  <c r="C2059" i="208"/>
  <c r="D2059" i="208"/>
  <c r="E2059" i="208"/>
  <c r="S2059" i="208" s="1"/>
  <c r="H2059" i="208"/>
  <c r="Q2059" i="208" s="1"/>
  <c r="I2059" i="208"/>
  <c r="J2059" i="208"/>
  <c r="L2059" i="208"/>
  <c r="C2060" i="208"/>
  <c r="D2060" i="208"/>
  <c r="E2060" i="208"/>
  <c r="S2060" i="208" s="1"/>
  <c r="H2060" i="208"/>
  <c r="Q2060" i="208" s="1"/>
  <c r="I2060" i="208"/>
  <c r="J2060" i="208"/>
  <c r="L2060" i="208"/>
  <c r="C2061" i="208"/>
  <c r="D2061" i="208"/>
  <c r="E2061" i="208"/>
  <c r="S2061" i="208" s="1"/>
  <c r="H2061" i="208"/>
  <c r="Q2061" i="208" s="1"/>
  <c r="I2061" i="208"/>
  <c r="J2061" i="208"/>
  <c r="L2061" i="208"/>
  <c r="C2062" i="208"/>
  <c r="D2062" i="208"/>
  <c r="E2062" i="208"/>
  <c r="S2062" i="208" s="1"/>
  <c r="H2062" i="208"/>
  <c r="Q2062" i="208" s="1"/>
  <c r="I2062" i="208"/>
  <c r="J2062" i="208"/>
  <c r="L2062" i="208"/>
  <c r="C2063" i="208"/>
  <c r="D2063" i="208"/>
  <c r="E2063" i="208"/>
  <c r="S2063" i="208" s="1"/>
  <c r="H2063" i="208"/>
  <c r="Q2063" i="208" s="1"/>
  <c r="I2063" i="208"/>
  <c r="J2063" i="208"/>
  <c r="L2063" i="208"/>
  <c r="C2064" i="208"/>
  <c r="D2064" i="208"/>
  <c r="E2064" i="208"/>
  <c r="S2064" i="208" s="1"/>
  <c r="H2064" i="208"/>
  <c r="Q2064" i="208" s="1"/>
  <c r="I2064" i="208"/>
  <c r="J2064" i="208"/>
  <c r="L2064" i="208"/>
  <c r="C2065" i="208"/>
  <c r="D2065" i="208"/>
  <c r="E2065" i="208"/>
  <c r="S2065" i="208" s="1"/>
  <c r="H2065" i="208"/>
  <c r="Q2065" i="208" s="1"/>
  <c r="I2065" i="208"/>
  <c r="J2065" i="208"/>
  <c r="L2065" i="208"/>
  <c r="C2066" i="208"/>
  <c r="D2066" i="208"/>
  <c r="E2066" i="208"/>
  <c r="S2066" i="208" s="1"/>
  <c r="H2066" i="208"/>
  <c r="Q2066" i="208" s="1"/>
  <c r="I2066" i="208"/>
  <c r="J2066" i="208"/>
  <c r="L2066" i="208"/>
  <c r="C2067" i="208"/>
  <c r="D2067" i="208"/>
  <c r="E2067" i="208"/>
  <c r="S2067" i="208" s="1"/>
  <c r="H2067" i="208"/>
  <c r="Q2067" i="208" s="1"/>
  <c r="I2067" i="208"/>
  <c r="J2067" i="208"/>
  <c r="L2067" i="208"/>
  <c r="C2068" i="208"/>
  <c r="D2068" i="208"/>
  <c r="E2068" i="208"/>
  <c r="S2068" i="208" s="1"/>
  <c r="H2068" i="208"/>
  <c r="Q2068" i="208" s="1"/>
  <c r="I2068" i="208"/>
  <c r="J2068" i="208"/>
  <c r="L2068" i="208"/>
  <c r="C2069" i="208"/>
  <c r="D2069" i="208"/>
  <c r="E2069" i="208"/>
  <c r="S2069" i="208" s="1"/>
  <c r="H2069" i="208"/>
  <c r="Q2069" i="208" s="1"/>
  <c r="I2069" i="208"/>
  <c r="J2069" i="208"/>
  <c r="L2069" i="208"/>
  <c r="C2070" i="208"/>
  <c r="D2070" i="208"/>
  <c r="E2070" i="208"/>
  <c r="S2070" i="208" s="1"/>
  <c r="H2070" i="208"/>
  <c r="Q2070" i="208" s="1"/>
  <c r="I2070" i="208"/>
  <c r="J2070" i="208"/>
  <c r="L2070" i="208"/>
  <c r="C2071" i="208"/>
  <c r="D2071" i="208"/>
  <c r="E2071" i="208"/>
  <c r="S2071" i="208" s="1"/>
  <c r="H2071" i="208"/>
  <c r="Q2071" i="208" s="1"/>
  <c r="I2071" i="208"/>
  <c r="J2071" i="208"/>
  <c r="L2071" i="208"/>
  <c r="C2072" i="208"/>
  <c r="D2072" i="208"/>
  <c r="E2072" i="208"/>
  <c r="S2072" i="208" s="1"/>
  <c r="H2072" i="208"/>
  <c r="Q2072" i="208" s="1"/>
  <c r="I2072" i="208"/>
  <c r="J2072" i="208"/>
  <c r="L2072" i="208"/>
  <c r="C2073" i="208"/>
  <c r="D2073" i="208"/>
  <c r="E2073" i="208"/>
  <c r="S2073" i="208" s="1"/>
  <c r="H2073" i="208"/>
  <c r="Q2073" i="208" s="1"/>
  <c r="I2073" i="208"/>
  <c r="J2073" i="208"/>
  <c r="L2073" i="208"/>
  <c r="C2074" i="208"/>
  <c r="D2074" i="208"/>
  <c r="E2074" i="208"/>
  <c r="S2074" i="208" s="1"/>
  <c r="H2074" i="208"/>
  <c r="Q2074" i="208" s="1"/>
  <c r="I2074" i="208"/>
  <c r="J2074" i="208"/>
  <c r="L2074" i="208"/>
  <c r="C2075" i="208"/>
  <c r="D2075" i="208"/>
  <c r="E2075" i="208"/>
  <c r="S2075" i="208" s="1"/>
  <c r="H2075" i="208"/>
  <c r="Q2075" i="208" s="1"/>
  <c r="I2075" i="208"/>
  <c r="J2075" i="208"/>
  <c r="L2075" i="208"/>
  <c r="C2076" i="208"/>
  <c r="D2076" i="208"/>
  <c r="E2076" i="208"/>
  <c r="S2076" i="208" s="1"/>
  <c r="H2076" i="208"/>
  <c r="Q2076" i="208" s="1"/>
  <c r="I2076" i="208"/>
  <c r="J2076" i="208"/>
  <c r="L2076" i="208"/>
  <c r="C2077" i="208"/>
  <c r="D2077" i="208"/>
  <c r="E2077" i="208"/>
  <c r="S2077" i="208" s="1"/>
  <c r="H2077" i="208"/>
  <c r="Q2077" i="208" s="1"/>
  <c r="I2077" i="208"/>
  <c r="J2077" i="208"/>
  <c r="L2077" i="208"/>
  <c r="C2078" i="208"/>
  <c r="D2078" i="208"/>
  <c r="E2078" i="208"/>
  <c r="S2078" i="208" s="1"/>
  <c r="H2078" i="208"/>
  <c r="Q2078" i="208" s="1"/>
  <c r="I2078" i="208"/>
  <c r="J2078" i="208"/>
  <c r="L2078" i="208"/>
  <c r="C2079" i="208"/>
  <c r="D2079" i="208"/>
  <c r="E2079" i="208"/>
  <c r="S2079" i="208" s="1"/>
  <c r="H2079" i="208"/>
  <c r="Q2079" i="208" s="1"/>
  <c r="I2079" i="208"/>
  <c r="J2079" i="208"/>
  <c r="L2079" i="208"/>
  <c r="C2080" i="208"/>
  <c r="D2080" i="208"/>
  <c r="E2080" i="208"/>
  <c r="S2080" i="208" s="1"/>
  <c r="H2080" i="208"/>
  <c r="Q2080" i="208" s="1"/>
  <c r="I2080" i="208"/>
  <c r="J2080" i="208"/>
  <c r="L2080" i="208"/>
  <c r="C2081" i="208"/>
  <c r="D2081" i="208"/>
  <c r="E2081" i="208"/>
  <c r="S2081" i="208" s="1"/>
  <c r="H2081" i="208"/>
  <c r="Q2081" i="208" s="1"/>
  <c r="I2081" i="208"/>
  <c r="J2081" i="208"/>
  <c r="L2081" i="208"/>
  <c r="C2082" i="208"/>
  <c r="D2082" i="208"/>
  <c r="E2082" i="208"/>
  <c r="S2082" i="208" s="1"/>
  <c r="H2082" i="208"/>
  <c r="Q2082" i="208" s="1"/>
  <c r="I2082" i="208"/>
  <c r="J2082" i="208"/>
  <c r="L2082" i="208"/>
  <c r="C2083" i="208"/>
  <c r="D2083" i="208"/>
  <c r="E2083" i="208"/>
  <c r="S2083" i="208" s="1"/>
  <c r="H2083" i="208"/>
  <c r="Q2083" i="208" s="1"/>
  <c r="I2083" i="208"/>
  <c r="J2083" i="208"/>
  <c r="L2083" i="208"/>
  <c r="C2084" i="208"/>
  <c r="D2084" i="208"/>
  <c r="E2084" i="208"/>
  <c r="S2084" i="208" s="1"/>
  <c r="H2084" i="208"/>
  <c r="Q2084" i="208" s="1"/>
  <c r="I2084" i="208"/>
  <c r="J2084" i="208"/>
  <c r="L2084" i="208"/>
  <c r="C2085" i="208"/>
  <c r="D2085" i="208"/>
  <c r="E2085" i="208"/>
  <c r="S2085" i="208" s="1"/>
  <c r="H2085" i="208"/>
  <c r="Q2085" i="208" s="1"/>
  <c r="I2085" i="208"/>
  <c r="J2085" i="208"/>
  <c r="L2085" i="208"/>
  <c r="C2086" i="208"/>
  <c r="D2086" i="208"/>
  <c r="E2086" i="208"/>
  <c r="S2086" i="208" s="1"/>
  <c r="H2086" i="208"/>
  <c r="Q2086" i="208" s="1"/>
  <c r="I2086" i="208"/>
  <c r="J2086" i="208"/>
  <c r="L2086" i="208"/>
  <c r="C2087" i="208"/>
  <c r="D2087" i="208"/>
  <c r="E2087" i="208"/>
  <c r="S2087" i="208" s="1"/>
  <c r="H2087" i="208"/>
  <c r="Q2087" i="208" s="1"/>
  <c r="I2087" i="208"/>
  <c r="J2087" i="208"/>
  <c r="L2087" i="208"/>
  <c r="C2088" i="208"/>
  <c r="D2088" i="208"/>
  <c r="E2088" i="208"/>
  <c r="S2088" i="208" s="1"/>
  <c r="H2088" i="208"/>
  <c r="Q2088" i="208" s="1"/>
  <c r="I2088" i="208"/>
  <c r="J2088" i="208"/>
  <c r="L2088" i="208"/>
  <c r="C2089" i="208"/>
  <c r="D2089" i="208"/>
  <c r="E2089" i="208"/>
  <c r="S2089" i="208" s="1"/>
  <c r="H2089" i="208"/>
  <c r="Q2089" i="208" s="1"/>
  <c r="I2089" i="208"/>
  <c r="J2089" i="208"/>
  <c r="L2089" i="208"/>
  <c r="C2090" i="208"/>
  <c r="D2090" i="208"/>
  <c r="E2090" i="208"/>
  <c r="S2090" i="208" s="1"/>
  <c r="H2090" i="208"/>
  <c r="Q2090" i="208" s="1"/>
  <c r="I2090" i="208"/>
  <c r="J2090" i="208"/>
  <c r="L2090" i="208"/>
  <c r="C2091" i="208"/>
  <c r="D2091" i="208"/>
  <c r="E2091" i="208"/>
  <c r="S2091" i="208" s="1"/>
  <c r="H2091" i="208"/>
  <c r="Q2091" i="208" s="1"/>
  <c r="I2091" i="208"/>
  <c r="J2091" i="208"/>
  <c r="L2091" i="208"/>
  <c r="C2092" i="208"/>
  <c r="D2092" i="208"/>
  <c r="E2092" i="208"/>
  <c r="S2092" i="208" s="1"/>
  <c r="H2092" i="208"/>
  <c r="Q2092" i="208" s="1"/>
  <c r="I2092" i="208"/>
  <c r="J2092" i="208"/>
  <c r="L2092" i="208"/>
  <c r="C2093" i="208"/>
  <c r="D2093" i="208"/>
  <c r="E2093" i="208"/>
  <c r="S2093" i="208" s="1"/>
  <c r="H2093" i="208"/>
  <c r="Q2093" i="208" s="1"/>
  <c r="I2093" i="208"/>
  <c r="J2093" i="208"/>
  <c r="L2093" i="208"/>
  <c r="C2094" i="208"/>
  <c r="D2094" i="208"/>
  <c r="E2094" i="208"/>
  <c r="S2094" i="208" s="1"/>
  <c r="H2094" i="208"/>
  <c r="Q2094" i="208" s="1"/>
  <c r="I2094" i="208"/>
  <c r="J2094" i="208"/>
  <c r="L2094" i="208"/>
  <c r="C2095" i="208"/>
  <c r="D2095" i="208"/>
  <c r="E2095" i="208"/>
  <c r="S2095" i="208" s="1"/>
  <c r="H2095" i="208"/>
  <c r="Q2095" i="208" s="1"/>
  <c r="I2095" i="208"/>
  <c r="J2095" i="208"/>
  <c r="L2095" i="208"/>
  <c r="C2096" i="208"/>
  <c r="D2096" i="208"/>
  <c r="E2096" i="208"/>
  <c r="S2096" i="208" s="1"/>
  <c r="H2096" i="208"/>
  <c r="Q2096" i="208" s="1"/>
  <c r="I2096" i="208"/>
  <c r="J2096" i="208"/>
  <c r="L2096" i="208"/>
  <c r="C2097" i="208"/>
  <c r="D2097" i="208"/>
  <c r="E2097" i="208"/>
  <c r="S2097" i="208" s="1"/>
  <c r="H2097" i="208"/>
  <c r="Q2097" i="208" s="1"/>
  <c r="I2097" i="208"/>
  <c r="J2097" i="208"/>
  <c r="L2097" i="208"/>
  <c r="C2098" i="208"/>
  <c r="D2098" i="208"/>
  <c r="E2098" i="208"/>
  <c r="S2098" i="208" s="1"/>
  <c r="H2098" i="208"/>
  <c r="Q2098" i="208" s="1"/>
  <c r="I2098" i="208"/>
  <c r="J2098" i="208"/>
  <c r="L2098" i="208"/>
  <c r="C2099" i="208"/>
  <c r="D2099" i="208"/>
  <c r="E2099" i="208"/>
  <c r="S2099" i="208" s="1"/>
  <c r="H2099" i="208"/>
  <c r="Q2099" i="208" s="1"/>
  <c r="I2099" i="208"/>
  <c r="J2099" i="208"/>
  <c r="L2099" i="208"/>
  <c r="C2100" i="208"/>
  <c r="D2100" i="208"/>
  <c r="E2100" i="208"/>
  <c r="S2100" i="208" s="1"/>
  <c r="H2100" i="208"/>
  <c r="Q2100" i="208" s="1"/>
  <c r="I2100" i="208"/>
  <c r="J2100" i="208"/>
  <c r="L2100" i="208"/>
  <c r="C2101" i="208"/>
  <c r="D2101" i="208"/>
  <c r="E2101" i="208"/>
  <c r="S2101" i="208" s="1"/>
  <c r="H2101" i="208"/>
  <c r="Q2101" i="208" s="1"/>
  <c r="I2101" i="208"/>
  <c r="J2101" i="208"/>
  <c r="L2101" i="208"/>
  <c r="C2102" i="208"/>
  <c r="D2102" i="208"/>
  <c r="E2102" i="208"/>
  <c r="S2102" i="208" s="1"/>
  <c r="H2102" i="208"/>
  <c r="Q2102" i="208" s="1"/>
  <c r="I2102" i="208"/>
  <c r="J2102" i="208"/>
  <c r="L2102" i="208"/>
  <c r="C2103" i="208"/>
  <c r="D2103" i="208"/>
  <c r="E2103" i="208"/>
  <c r="S2103" i="208" s="1"/>
  <c r="H2103" i="208"/>
  <c r="Q2103" i="208" s="1"/>
  <c r="I2103" i="208"/>
  <c r="J2103" i="208"/>
  <c r="L2103" i="208"/>
  <c r="C2104" i="208"/>
  <c r="D2104" i="208"/>
  <c r="E2104" i="208"/>
  <c r="S2104" i="208" s="1"/>
  <c r="H2104" i="208"/>
  <c r="Q2104" i="208" s="1"/>
  <c r="I2104" i="208"/>
  <c r="J2104" i="208"/>
  <c r="L2104" i="208"/>
  <c r="C2105" i="208"/>
  <c r="D2105" i="208"/>
  <c r="E2105" i="208"/>
  <c r="S2105" i="208" s="1"/>
  <c r="H2105" i="208"/>
  <c r="Q2105" i="208" s="1"/>
  <c r="I2105" i="208"/>
  <c r="J2105" i="208"/>
  <c r="L2105" i="208"/>
  <c r="C2106" i="208"/>
  <c r="D2106" i="208"/>
  <c r="E2106" i="208"/>
  <c r="S2106" i="208" s="1"/>
  <c r="H2106" i="208"/>
  <c r="Q2106" i="208" s="1"/>
  <c r="I2106" i="208"/>
  <c r="J2106" i="208"/>
  <c r="L2106" i="208"/>
  <c r="C2107" i="208"/>
  <c r="D2107" i="208"/>
  <c r="E2107" i="208"/>
  <c r="S2107" i="208" s="1"/>
  <c r="H2107" i="208"/>
  <c r="Q2107" i="208" s="1"/>
  <c r="I2107" i="208"/>
  <c r="J2107" i="208"/>
  <c r="L2107" i="208"/>
  <c r="C2108" i="208"/>
  <c r="D2108" i="208"/>
  <c r="E2108" i="208"/>
  <c r="S2108" i="208" s="1"/>
  <c r="H2108" i="208"/>
  <c r="Q2108" i="208" s="1"/>
  <c r="I2108" i="208"/>
  <c r="J2108" i="208"/>
  <c r="L2108" i="208"/>
  <c r="C2109" i="208"/>
  <c r="D2109" i="208"/>
  <c r="E2109" i="208"/>
  <c r="S2109" i="208" s="1"/>
  <c r="H2109" i="208"/>
  <c r="Q2109" i="208" s="1"/>
  <c r="I2109" i="208"/>
  <c r="J2109" i="208"/>
  <c r="L2109" i="208"/>
  <c r="C2110" i="208"/>
  <c r="D2110" i="208"/>
  <c r="E2110" i="208"/>
  <c r="S2110" i="208" s="1"/>
  <c r="H2110" i="208"/>
  <c r="Q2110" i="208" s="1"/>
  <c r="I2110" i="208"/>
  <c r="J2110" i="208"/>
  <c r="L2110" i="208"/>
  <c r="C2111" i="208"/>
  <c r="D2111" i="208"/>
  <c r="E2111" i="208"/>
  <c r="S2111" i="208" s="1"/>
  <c r="H2111" i="208"/>
  <c r="Q2111" i="208" s="1"/>
  <c r="I2111" i="208"/>
  <c r="J2111" i="208"/>
  <c r="L2111" i="208"/>
  <c r="C2112" i="208"/>
  <c r="D2112" i="208"/>
  <c r="E2112" i="208"/>
  <c r="S2112" i="208" s="1"/>
  <c r="H2112" i="208"/>
  <c r="Q2112" i="208" s="1"/>
  <c r="I2112" i="208"/>
  <c r="J2112" i="208"/>
  <c r="L2112" i="208"/>
  <c r="C2113" i="208"/>
  <c r="D2113" i="208"/>
  <c r="E2113" i="208"/>
  <c r="S2113" i="208" s="1"/>
  <c r="H2113" i="208"/>
  <c r="Q2113" i="208" s="1"/>
  <c r="I2113" i="208"/>
  <c r="J2113" i="208"/>
  <c r="L2113" i="208"/>
  <c r="C2114" i="208"/>
  <c r="D2114" i="208"/>
  <c r="E2114" i="208"/>
  <c r="S2114" i="208" s="1"/>
  <c r="H2114" i="208"/>
  <c r="Q2114" i="208" s="1"/>
  <c r="I2114" i="208"/>
  <c r="J2114" i="208"/>
  <c r="L2114" i="208"/>
  <c r="C2115" i="208"/>
  <c r="D2115" i="208"/>
  <c r="E2115" i="208"/>
  <c r="S2115" i="208" s="1"/>
  <c r="H2115" i="208"/>
  <c r="Q2115" i="208" s="1"/>
  <c r="I2115" i="208"/>
  <c r="J2115" i="208"/>
  <c r="L2115" i="208"/>
  <c r="C2116" i="208"/>
  <c r="D2116" i="208"/>
  <c r="E2116" i="208"/>
  <c r="S2116" i="208" s="1"/>
  <c r="H2116" i="208"/>
  <c r="Q2116" i="208" s="1"/>
  <c r="I2116" i="208"/>
  <c r="J2116" i="208"/>
  <c r="L2116" i="208"/>
  <c r="C2117" i="208"/>
  <c r="D2117" i="208"/>
  <c r="E2117" i="208"/>
  <c r="S2117" i="208" s="1"/>
  <c r="H2117" i="208"/>
  <c r="Q2117" i="208" s="1"/>
  <c r="I2117" i="208"/>
  <c r="J2117" i="208"/>
  <c r="L2117" i="208"/>
  <c r="C2118" i="208"/>
  <c r="D2118" i="208"/>
  <c r="E2118" i="208"/>
  <c r="S2118" i="208" s="1"/>
  <c r="H2118" i="208"/>
  <c r="Q2118" i="208" s="1"/>
  <c r="I2118" i="208"/>
  <c r="J2118" i="208"/>
  <c r="L2118" i="208"/>
  <c r="C2119" i="208"/>
  <c r="D2119" i="208"/>
  <c r="E2119" i="208"/>
  <c r="S2119" i="208" s="1"/>
  <c r="H2119" i="208"/>
  <c r="Q2119" i="208" s="1"/>
  <c r="I2119" i="208"/>
  <c r="J2119" i="208"/>
  <c r="L2119" i="208"/>
  <c r="C2120" i="208"/>
  <c r="D2120" i="208"/>
  <c r="E2120" i="208"/>
  <c r="S2120" i="208" s="1"/>
  <c r="H2120" i="208"/>
  <c r="Q2120" i="208" s="1"/>
  <c r="I2120" i="208"/>
  <c r="J2120" i="208"/>
  <c r="L2120" i="208"/>
  <c r="C2121" i="208"/>
  <c r="D2121" i="208"/>
  <c r="E2121" i="208"/>
  <c r="S2121" i="208" s="1"/>
  <c r="H2121" i="208"/>
  <c r="Q2121" i="208" s="1"/>
  <c r="I2121" i="208"/>
  <c r="J2121" i="208"/>
  <c r="L2121" i="208"/>
  <c r="C2122" i="208"/>
  <c r="D2122" i="208"/>
  <c r="E2122" i="208"/>
  <c r="S2122" i="208" s="1"/>
  <c r="H2122" i="208"/>
  <c r="Q2122" i="208" s="1"/>
  <c r="I2122" i="208"/>
  <c r="J2122" i="208"/>
  <c r="L2122" i="208"/>
  <c r="C2123" i="208"/>
  <c r="D2123" i="208"/>
  <c r="E2123" i="208"/>
  <c r="S2123" i="208" s="1"/>
  <c r="H2123" i="208"/>
  <c r="Q2123" i="208" s="1"/>
  <c r="I2123" i="208"/>
  <c r="J2123" i="208"/>
  <c r="L2123" i="208"/>
  <c r="C2124" i="208"/>
  <c r="D2124" i="208"/>
  <c r="E2124" i="208"/>
  <c r="S2124" i="208" s="1"/>
  <c r="H2124" i="208"/>
  <c r="Q2124" i="208" s="1"/>
  <c r="I2124" i="208"/>
  <c r="J2124" i="208"/>
  <c r="L2124" i="208"/>
  <c r="C2125" i="208"/>
  <c r="D2125" i="208"/>
  <c r="E2125" i="208"/>
  <c r="S2125" i="208" s="1"/>
  <c r="H2125" i="208"/>
  <c r="Q2125" i="208" s="1"/>
  <c r="I2125" i="208"/>
  <c r="J2125" i="208"/>
  <c r="L2125" i="208"/>
  <c r="C2126" i="208"/>
  <c r="D2126" i="208"/>
  <c r="E2126" i="208"/>
  <c r="S2126" i="208" s="1"/>
  <c r="H2126" i="208"/>
  <c r="Q2126" i="208" s="1"/>
  <c r="I2126" i="208"/>
  <c r="J2126" i="208"/>
  <c r="L2126" i="208"/>
  <c r="C2127" i="208"/>
  <c r="D2127" i="208"/>
  <c r="E2127" i="208"/>
  <c r="S2127" i="208" s="1"/>
  <c r="H2127" i="208"/>
  <c r="Q2127" i="208" s="1"/>
  <c r="I2127" i="208"/>
  <c r="J2127" i="208"/>
  <c r="L2127" i="208"/>
  <c r="C2128" i="208"/>
  <c r="D2128" i="208"/>
  <c r="E2128" i="208"/>
  <c r="S2128" i="208" s="1"/>
  <c r="H2128" i="208"/>
  <c r="Q2128" i="208" s="1"/>
  <c r="I2128" i="208"/>
  <c r="J2128" i="208"/>
  <c r="L2128" i="208"/>
  <c r="C2129" i="208"/>
  <c r="D2129" i="208"/>
  <c r="E2129" i="208"/>
  <c r="S2129" i="208" s="1"/>
  <c r="H2129" i="208"/>
  <c r="Q2129" i="208" s="1"/>
  <c r="I2129" i="208"/>
  <c r="J2129" i="208"/>
  <c r="L2129" i="208"/>
  <c r="C2130" i="208"/>
  <c r="D2130" i="208"/>
  <c r="E2130" i="208"/>
  <c r="S2130" i="208" s="1"/>
  <c r="H2130" i="208"/>
  <c r="Q2130" i="208" s="1"/>
  <c r="I2130" i="208"/>
  <c r="J2130" i="208"/>
  <c r="L2130" i="208"/>
  <c r="C2131" i="208"/>
  <c r="D2131" i="208"/>
  <c r="E2131" i="208"/>
  <c r="S2131" i="208" s="1"/>
  <c r="H2131" i="208"/>
  <c r="Q2131" i="208" s="1"/>
  <c r="I2131" i="208"/>
  <c r="J2131" i="208"/>
  <c r="L2131" i="208"/>
  <c r="C2132" i="208"/>
  <c r="D2132" i="208"/>
  <c r="E2132" i="208"/>
  <c r="S2132" i="208" s="1"/>
  <c r="H2132" i="208"/>
  <c r="Q2132" i="208" s="1"/>
  <c r="I2132" i="208"/>
  <c r="J2132" i="208"/>
  <c r="L2132" i="208"/>
  <c r="C2133" i="208"/>
  <c r="D2133" i="208"/>
  <c r="E2133" i="208"/>
  <c r="S2133" i="208" s="1"/>
  <c r="H2133" i="208"/>
  <c r="Q2133" i="208" s="1"/>
  <c r="I2133" i="208"/>
  <c r="J2133" i="208"/>
  <c r="L2133" i="208"/>
  <c r="C2134" i="208"/>
  <c r="D2134" i="208"/>
  <c r="E2134" i="208"/>
  <c r="S2134" i="208" s="1"/>
  <c r="H2134" i="208"/>
  <c r="Q2134" i="208" s="1"/>
  <c r="I2134" i="208"/>
  <c r="J2134" i="208"/>
  <c r="L2134" i="208"/>
  <c r="C2135" i="208"/>
  <c r="D2135" i="208"/>
  <c r="E2135" i="208"/>
  <c r="S2135" i="208" s="1"/>
  <c r="H2135" i="208"/>
  <c r="Q2135" i="208" s="1"/>
  <c r="I2135" i="208"/>
  <c r="J2135" i="208"/>
  <c r="L2135" i="208"/>
  <c r="C2136" i="208"/>
  <c r="D2136" i="208"/>
  <c r="E2136" i="208"/>
  <c r="S2136" i="208" s="1"/>
  <c r="H2136" i="208"/>
  <c r="Q2136" i="208" s="1"/>
  <c r="I2136" i="208"/>
  <c r="J2136" i="208"/>
  <c r="L2136" i="208"/>
  <c r="C2137" i="208"/>
  <c r="D2137" i="208"/>
  <c r="E2137" i="208"/>
  <c r="S2137" i="208" s="1"/>
  <c r="H2137" i="208"/>
  <c r="Q2137" i="208" s="1"/>
  <c r="I2137" i="208"/>
  <c r="J2137" i="208"/>
  <c r="L2137" i="208"/>
  <c r="C2138" i="208"/>
  <c r="D2138" i="208"/>
  <c r="E2138" i="208"/>
  <c r="S2138" i="208" s="1"/>
  <c r="H2138" i="208"/>
  <c r="Q2138" i="208" s="1"/>
  <c r="I2138" i="208"/>
  <c r="J2138" i="208"/>
  <c r="L2138" i="208"/>
  <c r="C2139" i="208"/>
  <c r="D2139" i="208"/>
  <c r="E2139" i="208"/>
  <c r="S2139" i="208" s="1"/>
  <c r="H2139" i="208"/>
  <c r="Q2139" i="208" s="1"/>
  <c r="I2139" i="208"/>
  <c r="J2139" i="208"/>
  <c r="L2139" i="208"/>
  <c r="C2140" i="208"/>
  <c r="D2140" i="208"/>
  <c r="E2140" i="208"/>
  <c r="S2140" i="208" s="1"/>
  <c r="H2140" i="208"/>
  <c r="Q2140" i="208" s="1"/>
  <c r="I2140" i="208"/>
  <c r="J2140" i="208"/>
  <c r="L2140" i="208"/>
  <c r="C2141" i="208"/>
  <c r="D2141" i="208"/>
  <c r="E2141" i="208"/>
  <c r="S2141" i="208" s="1"/>
  <c r="H2141" i="208"/>
  <c r="Q2141" i="208" s="1"/>
  <c r="I2141" i="208"/>
  <c r="J2141" i="208"/>
  <c r="L2141" i="208"/>
  <c r="C2142" i="208"/>
  <c r="D2142" i="208"/>
  <c r="E2142" i="208"/>
  <c r="S2142" i="208" s="1"/>
  <c r="H2142" i="208"/>
  <c r="Q2142" i="208" s="1"/>
  <c r="I2142" i="208"/>
  <c r="J2142" i="208"/>
  <c r="L2142" i="208"/>
  <c r="C2143" i="208"/>
  <c r="D2143" i="208"/>
  <c r="E2143" i="208"/>
  <c r="S2143" i="208" s="1"/>
  <c r="H2143" i="208"/>
  <c r="Q2143" i="208" s="1"/>
  <c r="I2143" i="208"/>
  <c r="J2143" i="208"/>
  <c r="L2143" i="208"/>
  <c r="C2144" i="208"/>
  <c r="D2144" i="208"/>
  <c r="E2144" i="208"/>
  <c r="S2144" i="208" s="1"/>
  <c r="H2144" i="208"/>
  <c r="Q2144" i="208" s="1"/>
  <c r="I2144" i="208"/>
  <c r="J2144" i="208"/>
  <c r="L2144" i="208"/>
  <c r="C2145" i="208"/>
  <c r="D2145" i="208"/>
  <c r="E2145" i="208"/>
  <c r="S2145" i="208" s="1"/>
  <c r="H2145" i="208"/>
  <c r="Q2145" i="208" s="1"/>
  <c r="I2145" i="208"/>
  <c r="J2145" i="208"/>
  <c r="L2145" i="208"/>
  <c r="C2146" i="208"/>
  <c r="D2146" i="208"/>
  <c r="E2146" i="208"/>
  <c r="S2146" i="208" s="1"/>
  <c r="H2146" i="208"/>
  <c r="Q2146" i="208" s="1"/>
  <c r="I2146" i="208"/>
  <c r="J2146" i="208"/>
  <c r="L2146" i="208"/>
  <c r="C2147" i="208"/>
  <c r="D2147" i="208"/>
  <c r="E2147" i="208"/>
  <c r="S2147" i="208" s="1"/>
  <c r="H2147" i="208"/>
  <c r="Q2147" i="208" s="1"/>
  <c r="I2147" i="208"/>
  <c r="J2147" i="208"/>
  <c r="L2147" i="208"/>
  <c r="C2148" i="208"/>
  <c r="D2148" i="208"/>
  <c r="E2148" i="208"/>
  <c r="S2148" i="208" s="1"/>
  <c r="H2148" i="208"/>
  <c r="Q2148" i="208" s="1"/>
  <c r="I2148" i="208"/>
  <c r="J2148" i="208"/>
  <c r="L2148" i="208"/>
  <c r="C2149" i="208"/>
  <c r="D2149" i="208"/>
  <c r="E2149" i="208"/>
  <c r="S2149" i="208" s="1"/>
  <c r="H2149" i="208"/>
  <c r="Q2149" i="208" s="1"/>
  <c r="I2149" i="208"/>
  <c r="J2149" i="208"/>
  <c r="L2149" i="208"/>
  <c r="C2150" i="208"/>
  <c r="D2150" i="208"/>
  <c r="E2150" i="208"/>
  <c r="S2150" i="208" s="1"/>
  <c r="H2150" i="208"/>
  <c r="Q2150" i="208" s="1"/>
  <c r="I2150" i="208"/>
  <c r="J2150" i="208"/>
  <c r="L2150" i="208"/>
  <c r="C2151" i="208"/>
  <c r="D2151" i="208"/>
  <c r="E2151" i="208"/>
  <c r="S2151" i="208" s="1"/>
  <c r="H2151" i="208"/>
  <c r="Q2151" i="208" s="1"/>
  <c r="I2151" i="208"/>
  <c r="J2151" i="208"/>
  <c r="L2151" i="208"/>
  <c r="C2152" i="208"/>
  <c r="D2152" i="208"/>
  <c r="E2152" i="208"/>
  <c r="S2152" i="208" s="1"/>
  <c r="H2152" i="208"/>
  <c r="Q2152" i="208" s="1"/>
  <c r="I2152" i="208"/>
  <c r="J2152" i="208"/>
  <c r="L2152" i="208"/>
  <c r="C2153" i="208"/>
  <c r="D2153" i="208"/>
  <c r="E2153" i="208"/>
  <c r="S2153" i="208" s="1"/>
  <c r="H2153" i="208"/>
  <c r="Q2153" i="208" s="1"/>
  <c r="I2153" i="208"/>
  <c r="J2153" i="208"/>
  <c r="L2153" i="208"/>
  <c r="C2154" i="208"/>
  <c r="D2154" i="208"/>
  <c r="E2154" i="208"/>
  <c r="S2154" i="208" s="1"/>
  <c r="H2154" i="208"/>
  <c r="Q2154" i="208" s="1"/>
  <c r="I2154" i="208"/>
  <c r="J2154" i="208"/>
  <c r="L2154" i="208"/>
  <c r="C2155" i="208"/>
  <c r="D2155" i="208"/>
  <c r="E2155" i="208"/>
  <c r="S2155" i="208" s="1"/>
  <c r="H2155" i="208"/>
  <c r="Q2155" i="208" s="1"/>
  <c r="I2155" i="208"/>
  <c r="J2155" i="208"/>
  <c r="L2155" i="208"/>
  <c r="C2156" i="208"/>
  <c r="D2156" i="208"/>
  <c r="E2156" i="208"/>
  <c r="S2156" i="208" s="1"/>
  <c r="H2156" i="208"/>
  <c r="Q2156" i="208" s="1"/>
  <c r="I2156" i="208"/>
  <c r="J2156" i="208"/>
  <c r="L2156" i="208"/>
  <c r="C2157" i="208"/>
  <c r="D2157" i="208"/>
  <c r="E2157" i="208"/>
  <c r="S2157" i="208" s="1"/>
  <c r="H2157" i="208"/>
  <c r="Q2157" i="208" s="1"/>
  <c r="I2157" i="208"/>
  <c r="J2157" i="208"/>
  <c r="L2157" i="208"/>
  <c r="C2158" i="208"/>
  <c r="D2158" i="208"/>
  <c r="E2158" i="208"/>
  <c r="S2158" i="208" s="1"/>
  <c r="H2158" i="208"/>
  <c r="Q2158" i="208" s="1"/>
  <c r="I2158" i="208"/>
  <c r="J2158" i="208"/>
  <c r="L2158" i="208"/>
  <c r="C2159" i="208"/>
  <c r="D2159" i="208"/>
  <c r="E2159" i="208"/>
  <c r="S2159" i="208" s="1"/>
  <c r="H2159" i="208"/>
  <c r="Q2159" i="208" s="1"/>
  <c r="I2159" i="208"/>
  <c r="J2159" i="208"/>
  <c r="L2159" i="208"/>
  <c r="C2160" i="208"/>
  <c r="D2160" i="208"/>
  <c r="E2160" i="208"/>
  <c r="S2160" i="208" s="1"/>
  <c r="H2160" i="208"/>
  <c r="Q2160" i="208" s="1"/>
  <c r="I2160" i="208"/>
  <c r="J2160" i="208"/>
  <c r="L2160" i="208"/>
  <c r="C2161" i="208"/>
  <c r="D2161" i="208"/>
  <c r="E2161" i="208"/>
  <c r="S2161" i="208" s="1"/>
  <c r="H2161" i="208"/>
  <c r="Q2161" i="208" s="1"/>
  <c r="I2161" i="208"/>
  <c r="J2161" i="208"/>
  <c r="L2161" i="208"/>
  <c r="C2162" i="208"/>
  <c r="D2162" i="208"/>
  <c r="E2162" i="208"/>
  <c r="S2162" i="208" s="1"/>
  <c r="H2162" i="208"/>
  <c r="Q2162" i="208" s="1"/>
  <c r="I2162" i="208"/>
  <c r="J2162" i="208"/>
  <c r="L2162" i="208"/>
  <c r="C2163" i="208"/>
  <c r="D2163" i="208"/>
  <c r="E2163" i="208"/>
  <c r="S2163" i="208" s="1"/>
  <c r="H2163" i="208"/>
  <c r="Q2163" i="208" s="1"/>
  <c r="I2163" i="208"/>
  <c r="J2163" i="208"/>
  <c r="L2163" i="208"/>
  <c r="C2164" i="208"/>
  <c r="D2164" i="208"/>
  <c r="E2164" i="208"/>
  <c r="S2164" i="208" s="1"/>
  <c r="H2164" i="208"/>
  <c r="Q2164" i="208" s="1"/>
  <c r="I2164" i="208"/>
  <c r="J2164" i="208"/>
  <c r="L2164" i="208"/>
  <c r="C2165" i="208"/>
  <c r="D2165" i="208"/>
  <c r="E2165" i="208"/>
  <c r="S2165" i="208" s="1"/>
  <c r="H2165" i="208"/>
  <c r="Q2165" i="208" s="1"/>
  <c r="I2165" i="208"/>
  <c r="J2165" i="208"/>
  <c r="L2165" i="208"/>
  <c r="C2166" i="208"/>
  <c r="D2166" i="208"/>
  <c r="E2166" i="208"/>
  <c r="S2166" i="208" s="1"/>
  <c r="H2166" i="208"/>
  <c r="Q2166" i="208" s="1"/>
  <c r="I2166" i="208"/>
  <c r="J2166" i="208"/>
  <c r="L2166" i="208"/>
  <c r="C2167" i="208"/>
  <c r="D2167" i="208"/>
  <c r="E2167" i="208"/>
  <c r="S2167" i="208" s="1"/>
  <c r="H2167" i="208"/>
  <c r="Q2167" i="208" s="1"/>
  <c r="I2167" i="208"/>
  <c r="J2167" i="208"/>
  <c r="L2167" i="208"/>
  <c r="C2168" i="208"/>
  <c r="D2168" i="208"/>
  <c r="E2168" i="208"/>
  <c r="S2168" i="208" s="1"/>
  <c r="H2168" i="208"/>
  <c r="Q2168" i="208" s="1"/>
  <c r="I2168" i="208"/>
  <c r="J2168" i="208"/>
  <c r="L2168" i="208"/>
  <c r="C2169" i="208"/>
  <c r="D2169" i="208"/>
  <c r="E2169" i="208"/>
  <c r="S2169" i="208" s="1"/>
  <c r="H2169" i="208"/>
  <c r="Q2169" i="208" s="1"/>
  <c r="I2169" i="208"/>
  <c r="J2169" i="208"/>
  <c r="L2169" i="208"/>
  <c r="C2170" i="208"/>
  <c r="D2170" i="208"/>
  <c r="E2170" i="208"/>
  <c r="S2170" i="208" s="1"/>
  <c r="H2170" i="208"/>
  <c r="Q2170" i="208" s="1"/>
  <c r="I2170" i="208"/>
  <c r="J2170" i="208"/>
  <c r="L2170" i="208"/>
  <c r="C2171" i="208"/>
  <c r="D2171" i="208"/>
  <c r="E2171" i="208"/>
  <c r="S2171" i="208" s="1"/>
  <c r="H2171" i="208"/>
  <c r="Q2171" i="208" s="1"/>
  <c r="I2171" i="208"/>
  <c r="J2171" i="208"/>
  <c r="L2171" i="208"/>
  <c r="C2172" i="208"/>
  <c r="D2172" i="208"/>
  <c r="E2172" i="208"/>
  <c r="S2172" i="208" s="1"/>
  <c r="H2172" i="208"/>
  <c r="Q2172" i="208" s="1"/>
  <c r="I2172" i="208"/>
  <c r="J2172" i="208"/>
  <c r="L2172" i="208"/>
  <c r="C2173" i="208"/>
  <c r="D2173" i="208"/>
  <c r="E2173" i="208"/>
  <c r="S2173" i="208" s="1"/>
  <c r="H2173" i="208"/>
  <c r="Q2173" i="208" s="1"/>
  <c r="I2173" i="208"/>
  <c r="J2173" i="208"/>
  <c r="L2173" i="208"/>
  <c r="C2174" i="208"/>
  <c r="D2174" i="208"/>
  <c r="E2174" i="208"/>
  <c r="S2174" i="208" s="1"/>
  <c r="H2174" i="208"/>
  <c r="Q2174" i="208" s="1"/>
  <c r="I2174" i="208"/>
  <c r="J2174" i="208"/>
  <c r="L2174" i="208"/>
  <c r="C2175" i="208"/>
  <c r="D2175" i="208"/>
  <c r="E2175" i="208"/>
  <c r="S2175" i="208" s="1"/>
  <c r="H2175" i="208"/>
  <c r="Q2175" i="208" s="1"/>
  <c r="I2175" i="208"/>
  <c r="J2175" i="208"/>
  <c r="L2175" i="208"/>
  <c r="C2176" i="208"/>
  <c r="D2176" i="208"/>
  <c r="E2176" i="208"/>
  <c r="S2176" i="208" s="1"/>
  <c r="H2176" i="208"/>
  <c r="Q2176" i="208" s="1"/>
  <c r="I2176" i="208"/>
  <c r="J2176" i="208"/>
  <c r="L2176" i="208"/>
  <c r="C2177" i="208"/>
  <c r="D2177" i="208"/>
  <c r="E2177" i="208"/>
  <c r="S2177" i="208" s="1"/>
  <c r="H2177" i="208"/>
  <c r="Q2177" i="208" s="1"/>
  <c r="I2177" i="208"/>
  <c r="J2177" i="208"/>
  <c r="L2177" i="208"/>
  <c r="C2178" i="208"/>
  <c r="D2178" i="208"/>
  <c r="E2178" i="208"/>
  <c r="S2178" i="208" s="1"/>
  <c r="H2178" i="208"/>
  <c r="Q2178" i="208" s="1"/>
  <c r="I2178" i="208"/>
  <c r="J2178" i="208"/>
  <c r="L2178" i="208"/>
  <c r="C2179" i="208"/>
  <c r="D2179" i="208"/>
  <c r="E2179" i="208"/>
  <c r="S2179" i="208" s="1"/>
  <c r="H2179" i="208"/>
  <c r="Q2179" i="208" s="1"/>
  <c r="I2179" i="208"/>
  <c r="J2179" i="208"/>
  <c r="L2179" i="208"/>
  <c r="C2180" i="208"/>
  <c r="D2180" i="208"/>
  <c r="E2180" i="208"/>
  <c r="S2180" i="208" s="1"/>
  <c r="H2180" i="208"/>
  <c r="Q2180" i="208" s="1"/>
  <c r="I2180" i="208"/>
  <c r="J2180" i="208"/>
  <c r="L2180" i="208"/>
  <c r="C2181" i="208"/>
  <c r="D2181" i="208"/>
  <c r="E2181" i="208"/>
  <c r="S2181" i="208" s="1"/>
  <c r="H2181" i="208"/>
  <c r="Q2181" i="208" s="1"/>
  <c r="I2181" i="208"/>
  <c r="J2181" i="208"/>
  <c r="L2181" i="208"/>
  <c r="C2182" i="208"/>
  <c r="D2182" i="208"/>
  <c r="E2182" i="208"/>
  <c r="S2182" i="208" s="1"/>
  <c r="H2182" i="208"/>
  <c r="Q2182" i="208" s="1"/>
  <c r="I2182" i="208"/>
  <c r="J2182" i="208"/>
  <c r="L2182" i="208"/>
  <c r="C2183" i="208"/>
  <c r="D2183" i="208"/>
  <c r="E2183" i="208"/>
  <c r="S2183" i="208" s="1"/>
  <c r="H2183" i="208"/>
  <c r="Q2183" i="208" s="1"/>
  <c r="I2183" i="208"/>
  <c r="J2183" i="208"/>
  <c r="L2183" i="208"/>
  <c r="C2184" i="208"/>
  <c r="D2184" i="208"/>
  <c r="E2184" i="208"/>
  <c r="S2184" i="208" s="1"/>
  <c r="H2184" i="208"/>
  <c r="Q2184" i="208" s="1"/>
  <c r="I2184" i="208"/>
  <c r="J2184" i="208"/>
  <c r="L2184" i="208"/>
  <c r="C2185" i="208"/>
  <c r="D2185" i="208"/>
  <c r="E2185" i="208"/>
  <c r="S2185" i="208" s="1"/>
  <c r="H2185" i="208"/>
  <c r="Q2185" i="208" s="1"/>
  <c r="I2185" i="208"/>
  <c r="J2185" i="208"/>
  <c r="L2185" i="208"/>
  <c r="C2186" i="208"/>
  <c r="D2186" i="208"/>
  <c r="E2186" i="208"/>
  <c r="S2186" i="208" s="1"/>
  <c r="H2186" i="208"/>
  <c r="Q2186" i="208" s="1"/>
  <c r="I2186" i="208"/>
  <c r="J2186" i="208"/>
  <c r="L2186" i="208"/>
  <c r="C2187" i="208"/>
  <c r="D2187" i="208"/>
  <c r="E2187" i="208"/>
  <c r="S2187" i="208" s="1"/>
  <c r="H2187" i="208"/>
  <c r="Q2187" i="208" s="1"/>
  <c r="I2187" i="208"/>
  <c r="J2187" i="208"/>
  <c r="L2187" i="208"/>
  <c r="C2188" i="208"/>
  <c r="D2188" i="208"/>
  <c r="E2188" i="208"/>
  <c r="S2188" i="208" s="1"/>
  <c r="H2188" i="208"/>
  <c r="Q2188" i="208" s="1"/>
  <c r="I2188" i="208"/>
  <c r="J2188" i="208"/>
  <c r="L2188" i="208"/>
  <c r="C2189" i="208"/>
  <c r="D2189" i="208"/>
  <c r="E2189" i="208"/>
  <c r="S2189" i="208" s="1"/>
  <c r="H2189" i="208"/>
  <c r="Q2189" i="208" s="1"/>
  <c r="I2189" i="208"/>
  <c r="J2189" i="208"/>
  <c r="L2189" i="208"/>
  <c r="C2190" i="208"/>
  <c r="D2190" i="208"/>
  <c r="E2190" i="208"/>
  <c r="S2190" i="208" s="1"/>
  <c r="H2190" i="208"/>
  <c r="Q2190" i="208" s="1"/>
  <c r="I2190" i="208"/>
  <c r="J2190" i="208"/>
  <c r="L2190" i="208"/>
  <c r="C2191" i="208"/>
  <c r="D2191" i="208"/>
  <c r="E2191" i="208"/>
  <c r="S2191" i="208" s="1"/>
  <c r="H2191" i="208"/>
  <c r="Q2191" i="208" s="1"/>
  <c r="I2191" i="208"/>
  <c r="J2191" i="208"/>
  <c r="L2191" i="208"/>
  <c r="C2192" i="208"/>
  <c r="D2192" i="208"/>
  <c r="E2192" i="208"/>
  <c r="S2192" i="208" s="1"/>
  <c r="H2192" i="208"/>
  <c r="Q2192" i="208" s="1"/>
  <c r="I2192" i="208"/>
  <c r="J2192" i="208"/>
  <c r="L2192" i="208"/>
  <c r="C2193" i="208"/>
  <c r="D2193" i="208"/>
  <c r="E2193" i="208"/>
  <c r="S2193" i="208" s="1"/>
  <c r="H2193" i="208"/>
  <c r="Q2193" i="208" s="1"/>
  <c r="I2193" i="208"/>
  <c r="J2193" i="208"/>
  <c r="L2193" i="208"/>
  <c r="C2194" i="208"/>
  <c r="D2194" i="208"/>
  <c r="E2194" i="208"/>
  <c r="S2194" i="208" s="1"/>
  <c r="H2194" i="208"/>
  <c r="Q2194" i="208" s="1"/>
  <c r="I2194" i="208"/>
  <c r="J2194" i="208"/>
  <c r="L2194" i="208"/>
  <c r="C2195" i="208"/>
  <c r="D2195" i="208"/>
  <c r="E2195" i="208"/>
  <c r="S2195" i="208" s="1"/>
  <c r="H2195" i="208"/>
  <c r="Q2195" i="208" s="1"/>
  <c r="I2195" i="208"/>
  <c r="J2195" i="208"/>
  <c r="L2195" i="208"/>
  <c r="C2196" i="208"/>
  <c r="D2196" i="208"/>
  <c r="E2196" i="208"/>
  <c r="S2196" i="208" s="1"/>
  <c r="H2196" i="208"/>
  <c r="Q2196" i="208" s="1"/>
  <c r="I2196" i="208"/>
  <c r="J2196" i="208"/>
  <c r="L2196" i="208"/>
  <c r="C2197" i="208"/>
  <c r="D2197" i="208"/>
  <c r="E2197" i="208"/>
  <c r="S2197" i="208" s="1"/>
  <c r="H2197" i="208"/>
  <c r="Q2197" i="208" s="1"/>
  <c r="I2197" i="208"/>
  <c r="J2197" i="208"/>
  <c r="L2197" i="208"/>
  <c r="C2198" i="208"/>
  <c r="D2198" i="208"/>
  <c r="E2198" i="208"/>
  <c r="S2198" i="208" s="1"/>
  <c r="H2198" i="208"/>
  <c r="Q2198" i="208" s="1"/>
  <c r="I2198" i="208"/>
  <c r="J2198" i="208"/>
  <c r="L2198" i="208"/>
  <c r="C2199" i="208"/>
  <c r="D2199" i="208"/>
  <c r="E2199" i="208"/>
  <c r="S2199" i="208" s="1"/>
  <c r="H2199" i="208"/>
  <c r="Q2199" i="208" s="1"/>
  <c r="I2199" i="208"/>
  <c r="J2199" i="208"/>
  <c r="L2199" i="208"/>
  <c r="C2200" i="208"/>
  <c r="D2200" i="208"/>
  <c r="E2200" i="208"/>
  <c r="S2200" i="208" s="1"/>
  <c r="H2200" i="208"/>
  <c r="Q2200" i="208" s="1"/>
  <c r="I2200" i="208"/>
  <c r="J2200" i="208"/>
  <c r="L2200" i="208"/>
  <c r="C2201" i="208"/>
  <c r="D2201" i="208"/>
  <c r="E2201" i="208"/>
  <c r="S2201" i="208" s="1"/>
  <c r="H2201" i="208"/>
  <c r="Q2201" i="208" s="1"/>
  <c r="I2201" i="208"/>
  <c r="J2201" i="208"/>
  <c r="L2201" i="208"/>
  <c r="C2202" i="208"/>
  <c r="D2202" i="208"/>
  <c r="E2202" i="208"/>
  <c r="S2202" i="208" s="1"/>
  <c r="H2202" i="208"/>
  <c r="Q2202" i="208" s="1"/>
  <c r="I2202" i="208"/>
  <c r="J2202" i="208"/>
  <c r="L2202" i="208"/>
  <c r="C2203" i="208"/>
  <c r="D2203" i="208"/>
  <c r="E2203" i="208"/>
  <c r="S2203" i="208" s="1"/>
  <c r="H2203" i="208"/>
  <c r="Q2203" i="208" s="1"/>
  <c r="I2203" i="208"/>
  <c r="J2203" i="208"/>
  <c r="L2203" i="208"/>
  <c r="C2204" i="208"/>
  <c r="D2204" i="208"/>
  <c r="E2204" i="208"/>
  <c r="S2204" i="208" s="1"/>
  <c r="H2204" i="208"/>
  <c r="Q2204" i="208" s="1"/>
  <c r="I2204" i="208"/>
  <c r="J2204" i="208"/>
  <c r="L2204" i="208"/>
  <c r="C2205" i="208"/>
  <c r="D2205" i="208"/>
  <c r="E2205" i="208"/>
  <c r="S2205" i="208" s="1"/>
  <c r="H2205" i="208"/>
  <c r="Q2205" i="208" s="1"/>
  <c r="I2205" i="208"/>
  <c r="J2205" i="208"/>
  <c r="L2205" i="208"/>
  <c r="C2206" i="208"/>
  <c r="D2206" i="208"/>
  <c r="E2206" i="208"/>
  <c r="S2206" i="208" s="1"/>
  <c r="H2206" i="208"/>
  <c r="Q2206" i="208" s="1"/>
  <c r="I2206" i="208"/>
  <c r="J2206" i="208"/>
  <c r="L2206" i="208"/>
  <c r="C2207" i="208"/>
  <c r="D2207" i="208"/>
  <c r="E2207" i="208"/>
  <c r="S2207" i="208" s="1"/>
  <c r="H2207" i="208"/>
  <c r="Q2207" i="208" s="1"/>
  <c r="I2207" i="208"/>
  <c r="J2207" i="208"/>
  <c r="L2207" i="208"/>
  <c r="C2208" i="208"/>
  <c r="D2208" i="208"/>
  <c r="E2208" i="208"/>
  <c r="S2208" i="208" s="1"/>
  <c r="H2208" i="208"/>
  <c r="Q2208" i="208" s="1"/>
  <c r="I2208" i="208"/>
  <c r="J2208" i="208"/>
  <c r="L2208" i="208"/>
  <c r="C2209" i="208"/>
  <c r="D2209" i="208"/>
  <c r="E2209" i="208"/>
  <c r="S2209" i="208" s="1"/>
  <c r="H2209" i="208"/>
  <c r="Q2209" i="208" s="1"/>
  <c r="I2209" i="208"/>
  <c r="J2209" i="208"/>
  <c r="L2209" i="208"/>
  <c r="C2210" i="208"/>
  <c r="D2210" i="208"/>
  <c r="E2210" i="208"/>
  <c r="S2210" i="208" s="1"/>
  <c r="H2210" i="208"/>
  <c r="Q2210" i="208" s="1"/>
  <c r="I2210" i="208"/>
  <c r="J2210" i="208"/>
  <c r="L2210" i="208"/>
  <c r="C2211" i="208"/>
  <c r="D2211" i="208"/>
  <c r="E2211" i="208"/>
  <c r="S2211" i="208" s="1"/>
  <c r="H2211" i="208"/>
  <c r="Q2211" i="208" s="1"/>
  <c r="I2211" i="208"/>
  <c r="J2211" i="208"/>
  <c r="L2211" i="208"/>
  <c r="C2212" i="208"/>
  <c r="D2212" i="208"/>
  <c r="E2212" i="208"/>
  <c r="S2212" i="208" s="1"/>
  <c r="H2212" i="208"/>
  <c r="Q2212" i="208" s="1"/>
  <c r="I2212" i="208"/>
  <c r="J2212" i="208"/>
  <c r="L2212" i="208"/>
  <c r="C2213" i="208"/>
  <c r="D2213" i="208"/>
  <c r="E2213" i="208"/>
  <c r="S2213" i="208" s="1"/>
  <c r="H2213" i="208"/>
  <c r="Q2213" i="208" s="1"/>
  <c r="I2213" i="208"/>
  <c r="J2213" i="208"/>
  <c r="L2213" i="208"/>
  <c r="C2214" i="208"/>
  <c r="D2214" i="208"/>
  <c r="E2214" i="208"/>
  <c r="S2214" i="208" s="1"/>
  <c r="H2214" i="208"/>
  <c r="Q2214" i="208" s="1"/>
  <c r="I2214" i="208"/>
  <c r="J2214" i="208"/>
  <c r="L2214" i="208"/>
  <c r="C2215" i="208"/>
  <c r="D2215" i="208"/>
  <c r="E2215" i="208"/>
  <c r="S2215" i="208" s="1"/>
  <c r="H2215" i="208"/>
  <c r="Q2215" i="208" s="1"/>
  <c r="I2215" i="208"/>
  <c r="J2215" i="208"/>
  <c r="L2215" i="208"/>
  <c r="C2216" i="208"/>
  <c r="D2216" i="208"/>
  <c r="E2216" i="208"/>
  <c r="S2216" i="208" s="1"/>
  <c r="H2216" i="208"/>
  <c r="Q2216" i="208" s="1"/>
  <c r="I2216" i="208"/>
  <c r="J2216" i="208"/>
  <c r="L2216" i="208"/>
  <c r="C2217" i="208"/>
  <c r="D2217" i="208"/>
  <c r="E2217" i="208"/>
  <c r="S2217" i="208" s="1"/>
  <c r="H2217" i="208"/>
  <c r="Q2217" i="208" s="1"/>
  <c r="I2217" i="208"/>
  <c r="J2217" i="208"/>
  <c r="L2217" i="208"/>
  <c r="C2218" i="208"/>
  <c r="D2218" i="208"/>
  <c r="E2218" i="208"/>
  <c r="S2218" i="208" s="1"/>
  <c r="H2218" i="208"/>
  <c r="Q2218" i="208" s="1"/>
  <c r="I2218" i="208"/>
  <c r="J2218" i="208"/>
  <c r="L2218" i="208"/>
  <c r="C2219" i="208"/>
  <c r="D2219" i="208"/>
  <c r="E2219" i="208"/>
  <c r="S2219" i="208" s="1"/>
  <c r="H2219" i="208"/>
  <c r="Q2219" i="208" s="1"/>
  <c r="I2219" i="208"/>
  <c r="J2219" i="208"/>
  <c r="L2219" i="208"/>
  <c r="C2220" i="208"/>
  <c r="D2220" i="208"/>
  <c r="E2220" i="208"/>
  <c r="S2220" i="208" s="1"/>
  <c r="H2220" i="208"/>
  <c r="Q2220" i="208" s="1"/>
  <c r="I2220" i="208"/>
  <c r="J2220" i="208"/>
  <c r="L2220" i="208"/>
  <c r="C2221" i="208"/>
  <c r="D2221" i="208"/>
  <c r="E2221" i="208"/>
  <c r="S2221" i="208" s="1"/>
  <c r="H2221" i="208"/>
  <c r="Q2221" i="208" s="1"/>
  <c r="I2221" i="208"/>
  <c r="J2221" i="208"/>
  <c r="L2221" i="208"/>
  <c r="C2222" i="208"/>
  <c r="D2222" i="208"/>
  <c r="E2222" i="208"/>
  <c r="S2222" i="208" s="1"/>
  <c r="H2222" i="208"/>
  <c r="Q2222" i="208" s="1"/>
  <c r="I2222" i="208"/>
  <c r="J2222" i="208"/>
  <c r="L2222" i="208"/>
  <c r="C2223" i="208"/>
  <c r="D2223" i="208"/>
  <c r="E2223" i="208"/>
  <c r="S2223" i="208" s="1"/>
  <c r="H2223" i="208"/>
  <c r="Q2223" i="208" s="1"/>
  <c r="I2223" i="208"/>
  <c r="J2223" i="208"/>
  <c r="L2223" i="208"/>
  <c r="C2224" i="208"/>
  <c r="D2224" i="208"/>
  <c r="E2224" i="208"/>
  <c r="S2224" i="208" s="1"/>
  <c r="H2224" i="208"/>
  <c r="Q2224" i="208" s="1"/>
  <c r="I2224" i="208"/>
  <c r="J2224" i="208"/>
  <c r="L2224" i="208"/>
  <c r="C2225" i="208"/>
  <c r="D2225" i="208"/>
  <c r="E2225" i="208"/>
  <c r="S2225" i="208" s="1"/>
  <c r="H2225" i="208"/>
  <c r="Q2225" i="208" s="1"/>
  <c r="I2225" i="208"/>
  <c r="J2225" i="208"/>
  <c r="L2225" i="208"/>
  <c r="C2226" i="208"/>
  <c r="D2226" i="208"/>
  <c r="E2226" i="208"/>
  <c r="S2226" i="208" s="1"/>
  <c r="H2226" i="208"/>
  <c r="Q2226" i="208" s="1"/>
  <c r="I2226" i="208"/>
  <c r="J2226" i="208"/>
  <c r="L2226" i="208"/>
  <c r="C2227" i="208"/>
  <c r="D2227" i="208"/>
  <c r="E2227" i="208"/>
  <c r="S2227" i="208" s="1"/>
  <c r="H2227" i="208"/>
  <c r="Q2227" i="208" s="1"/>
  <c r="I2227" i="208"/>
  <c r="J2227" i="208"/>
  <c r="L2227" i="208"/>
  <c r="C2228" i="208"/>
  <c r="D2228" i="208"/>
  <c r="E2228" i="208"/>
  <c r="S2228" i="208" s="1"/>
  <c r="H2228" i="208"/>
  <c r="Q2228" i="208" s="1"/>
  <c r="I2228" i="208"/>
  <c r="J2228" i="208"/>
  <c r="L2228" i="208"/>
  <c r="C2229" i="208"/>
  <c r="D2229" i="208"/>
  <c r="E2229" i="208"/>
  <c r="S2229" i="208" s="1"/>
  <c r="H2229" i="208"/>
  <c r="Q2229" i="208" s="1"/>
  <c r="I2229" i="208"/>
  <c r="J2229" i="208"/>
  <c r="L2229" i="208"/>
  <c r="C2230" i="208"/>
  <c r="D2230" i="208"/>
  <c r="E2230" i="208"/>
  <c r="S2230" i="208" s="1"/>
  <c r="H2230" i="208"/>
  <c r="Q2230" i="208" s="1"/>
  <c r="I2230" i="208"/>
  <c r="J2230" i="208"/>
  <c r="L2230" i="208"/>
  <c r="C2231" i="208"/>
  <c r="D2231" i="208"/>
  <c r="E2231" i="208"/>
  <c r="S2231" i="208" s="1"/>
  <c r="H2231" i="208"/>
  <c r="Q2231" i="208" s="1"/>
  <c r="I2231" i="208"/>
  <c r="J2231" i="208"/>
  <c r="L2231" i="208"/>
  <c r="C2232" i="208"/>
  <c r="D2232" i="208"/>
  <c r="E2232" i="208"/>
  <c r="S2232" i="208" s="1"/>
  <c r="H2232" i="208"/>
  <c r="Q2232" i="208" s="1"/>
  <c r="I2232" i="208"/>
  <c r="J2232" i="208"/>
  <c r="L2232" i="208"/>
  <c r="C2233" i="208"/>
  <c r="D2233" i="208"/>
  <c r="E2233" i="208"/>
  <c r="S2233" i="208" s="1"/>
  <c r="H2233" i="208"/>
  <c r="Q2233" i="208" s="1"/>
  <c r="I2233" i="208"/>
  <c r="J2233" i="208"/>
  <c r="L2233" i="208"/>
  <c r="C2234" i="208"/>
  <c r="D2234" i="208"/>
  <c r="E2234" i="208"/>
  <c r="S2234" i="208" s="1"/>
  <c r="H2234" i="208"/>
  <c r="Q2234" i="208" s="1"/>
  <c r="I2234" i="208"/>
  <c r="J2234" i="208"/>
  <c r="L2234" i="208"/>
  <c r="C2235" i="208"/>
  <c r="D2235" i="208"/>
  <c r="E2235" i="208"/>
  <c r="S2235" i="208" s="1"/>
  <c r="H2235" i="208"/>
  <c r="Q2235" i="208" s="1"/>
  <c r="I2235" i="208"/>
  <c r="J2235" i="208"/>
  <c r="L2235" i="208"/>
  <c r="C2236" i="208"/>
  <c r="D2236" i="208"/>
  <c r="E2236" i="208"/>
  <c r="S2236" i="208" s="1"/>
  <c r="H2236" i="208"/>
  <c r="Q2236" i="208" s="1"/>
  <c r="I2236" i="208"/>
  <c r="J2236" i="208"/>
  <c r="L2236" i="208"/>
  <c r="C2237" i="208"/>
  <c r="D2237" i="208"/>
  <c r="E2237" i="208"/>
  <c r="S2237" i="208" s="1"/>
  <c r="H2237" i="208"/>
  <c r="Q2237" i="208" s="1"/>
  <c r="I2237" i="208"/>
  <c r="J2237" i="208"/>
  <c r="L2237" i="208"/>
  <c r="C2238" i="208"/>
  <c r="D2238" i="208"/>
  <c r="E2238" i="208"/>
  <c r="S2238" i="208" s="1"/>
  <c r="H2238" i="208"/>
  <c r="Q2238" i="208" s="1"/>
  <c r="I2238" i="208"/>
  <c r="J2238" i="208"/>
  <c r="L2238" i="208"/>
  <c r="C2239" i="208"/>
  <c r="D2239" i="208"/>
  <c r="E2239" i="208"/>
  <c r="S2239" i="208" s="1"/>
  <c r="H2239" i="208"/>
  <c r="Q2239" i="208" s="1"/>
  <c r="I2239" i="208"/>
  <c r="J2239" i="208"/>
  <c r="L2239" i="208"/>
  <c r="C2240" i="208"/>
  <c r="D2240" i="208"/>
  <c r="E2240" i="208"/>
  <c r="S2240" i="208" s="1"/>
  <c r="H2240" i="208"/>
  <c r="Q2240" i="208" s="1"/>
  <c r="I2240" i="208"/>
  <c r="J2240" i="208"/>
  <c r="L2240" i="208"/>
  <c r="C2241" i="208"/>
  <c r="D2241" i="208"/>
  <c r="E2241" i="208"/>
  <c r="S2241" i="208" s="1"/>
  <c r="H2241" i="208"/>
  <c r="Q2241" i="208" s="1"/>
  <c r="I2241" i="208"/>
  <c r="J2241" i="208"/>
  <c r="L2241" i="208"/>
  <c r="C2242" i="208"/>
  <c r="D2242" i="208"/>
  <c r="E2242" i="208"/>
  <c r="S2242" i="208" s="1"/>
  <c r="H2242" i="208"/>
  <c r="Q2242" i="208" s="1"/>
  <c r="I2242" i="208"/>
  <c r="J2242" i="208"/>
  <c r="L2242" i="208"/>
  <c r="C2243" i="208"/>
  <c r="D2243" i="208"/>
  <c r="E2243" i="208"/>
  <c r="S2243" i="208" s="1"/>
  <c r="H2243" i="208"/>
  <c r="Q2243" i="208" s="1"/>
  <c r="I2243" i="208"/>
  <c r="J2243" i="208"/>
  <c r="L2243" i="208"/>
  <c r="C2244" i="208"/>
  <c r="D2244" i="208"/>
  <c r="E2244" i="208"/>
  <c r="S2244" i="208" s="1"/>
  <c r="H2244" i="208"/>
  <c r="Q2244" i="208" s="1"/>
  <c r="I2244" i="208"/>
  <c r="J2244" i="208"/>
  <c r="L2244" i="208"/>
  <c r="C2245" i="208"/>
  <c r="D2245" i="208"/>
  <c r="E2245" i="208"/>
  <c r="S2245" i="208" s="1"/>
  <c r="H2245" i="208"/>
  <c r="Q2245" i="208" s="1"/>
  <c r="I2245" i="208"/>
  <c r="J2245" i="208"/>
  <c r="L2245" i="208"/>
  <c r="C2246" i="208"/>
  <c r="D2246" i="208"/>
  <c r="E2246" i="208"/>
  <c r="S2246" i="208" s="1"/>
  <c r="H2246" i="208"/>
  <c r="Q2246" i="208" s="1"/>
  <c r="I2246" i="208"/>
  <c r="J2246" i="208"/>
  <c r="L2246" i="208"/>
  <c r="C2247" i="208"/>
  <c r="D2247" i="208"/>
  <c r="E2247" i="208"/>
  <c r="S2247" i="208" s="1"/>
  <c r="H2247" i="208"/>
  <c r="Q2247" i="208" s="1"/>
  <c r="I2247" i="208"/>
  <c r="J2247" i="208"/>
  <c r="L2247" i="208"/>
  <c r="C2248" i="208"/>
  <c r="D2248" i="208"/>
  <c r="E2248" i="208"/>
  <c r="S2248" i="208" s="1"/>
  <c r="H2248" i="208"/>
  <c r="Q2248" i="208" s="1"/>
  <c r="I2248" i="208"/>
  <c r="J2248" i="208"/>
  <c r="L2248" i="208"/>
  <c r="C2249" i="208"/>
  <c r="D2249" i="208"/>
  <c r="E2249" i="208"/>
  <c r="S2249" i="208" s="1"/>
  <c r="H2249" i="208"/>
  <c r="Q2249" i="208" s="1"/>
  <c r="I2249" i="208"/>
  <c r="J2249" i="208"/>
  <c r="L2249" i="208"/>
  <c r="C2250" i="208"/>
  <c r="D2250" i="208"/>
  <c r="E2250" i="208"/>
  <c r="S2250" i="208" s="1"/>
  <c r="H2250" i="208"/>
  <c r="Q2250" i="208" s="1"/>
  <c r="I2250" i="208"/>
  <c r="J2250" i="208"/>
  <c r="L2250" i="208"/>
  <c r="C2251" i="208"/>
  <c r="D2251" i="208"/>
  <c r="E2251" i="208"/>
  <c r="S2251" i="208" s="1"/>
  <c r="H2251" i="208"/>
  <c r="Q2251" i="208" s="1"/>
  <c r="I2251" i="208"/>
  <c r="J2251" i="208"/>
  <c r="L2251" i="208"/>
  <c r="C2252" i="208"/>
  <c r="D2252" i="208"/>
  <c r="E2252" i="208"/>
  <c r="S2252" i="208" s="1"/>
  <c r="H2252" i="208"/>
  <c r="Q2252" i="208" s="1"/>
  <c r="I2252" i="208"/>
  <c r="J2252" i="208"/>
  <c r="L2252" i="208"/>
  <c r="C2253" i="208"/>
  <c r="D2253" i="208"/>
  <c r="E2253" i="208"/>
  <c r="S2253" i="208" s="1"/>
  <c r="H2253" i="208"/>
  <c r="Q2253" i="208" s="1"/>
  <c r="I2253" i="208"/>
  <c r="J2253" i="208"/>
  <c r="L2253" i="208"/>
  <c r="C2254" i="208"/>
  <c r="D2254" i="208"/>
  <c r="E2254" i="208"/>
  <c r="S2254" i="208" s="1"/>
  <c r="H2254" i="208"/>
  <c r="Q2254" i="208" s="1"/>
  <c r="I2254" i="208"/>
  <c r="J2254" i="208"/>
  <c r="L2254" i="208"/>
  <c r="C2255" i="208"/>
  <c r="D2255" i="208"/>
  <c r="E2255" i="208"/>
  <c r="S2255" i="208" s="1"/>
  <c r="H2255" i="208"/>
  <c r="Q2255" i="208" s="1"/>
  <c r="I2255" i="208"/>
  <c r="J2255" i="208"/>
  <c r="L2255" i="208"/>
  <c r="C2256" i="208"/>
  <c r="D2256" i="208"/>
  <c r="E2256" i="208"/>
  <c r="S2256" i="208" s="1"/>
  <c r="H2256" i="208"/>
  <c r="Q2256" i="208" s="1"/>
  <c r="I2256" i="208"/>
  <c r="J2256" i="208"/>
  <c r="L2256" i="208"/>
  <c r="C2257" i="208"/>
  <c r="D2257" i="208"/>
  <c r="E2257" i="208"/>
  <c r="S2257" i="208" s="1"/>
  <c r="H2257" i="208"/>
  <c r="Q2257" i="208" s="1"/>
  <c r="I2257" i="208"/>
  <c r="J2257" i="208"/>
  <c r="L2257" i="208"/>
  <c r="C2258" i="208"/>
  <c r="D2258" i="208"/>
  <c r="E2258" i="208"/>
  <c r="S2258" i="208" s="1"/>
  <c r="H2258" i="208"/>
  <c r="Q2258" i="208" s="1"/>
  <c r="I2258" i="208"/>
  <c r="J2258" i="208"/>
  <c r="L2258" i="208"/>
  <c r="C2259" i="208"/>
  <c r="D2259" i="208"/>
  <c r="E2259" i="208"/>
  <c r="S2259" i="208" s="1"/>
  <c r="H2259" i="208"/>
  <c r="Q2259" i="208" s="1"/>
  <c r="I2259" i="208"/>
  <c r="J2259" i="208"/>
  <c r="L2259" i="208"/>
  <c r="C2260" i="208"/>
  <c r="D2260" i="208"/>
  <c r="E2260" i="208"/>
  <c r="S2260" i="208" s="1"/>
  <c r="H2260" i="208"/>
  <c r="Q2260" i="208" s="1"/>
  <c r="I2260" i="208"/>
  <c r="J2260" i="208"/>
  <c r="L2260" i="208"/>
  <c r="C2261" i="208"/>
  <c r="D2261" i="208"/>
  <c r="E2261" i="208"/>
  <c r="S2261" i="208" s="1"/>
  <c r="H2261" i="208"/>
  <c r="Q2261" i="208" s="1"/>
  <c r="I2261" i="208"/>
  <c r="J2261" i="208"/>
  <c r="L2261" i="208"/>
  <c r="C2262" i="208"/>
  <c r="D2262" i="208"/>
  <c r="E2262" i="208"/>
  <c r="S2262" i="208" s="1"/>
  <c r="H2262" i="208"/>
  <c r="Q2262" i="208" s="1"/>
  <c r="I2262" i="208"/>
  <c r="J2262" i="208"/>
  <c r="L2262" i="208"/>
  <c r="C2263" i="208"/>
  <c r="D2263" i="208"/>
  <c r="E2263" i="208"/>
  <c r="S2263" i="208" s="1"/>
  <c r="H2263" i="208"/>
  <c r="Q2263" i="208" s="1"/>
  <c r="I2263" i="208"/>
  <c r="J2263" i="208"/>
  <c r="L2263" i="208"/>
  <c r="C2264" i="208"/>
  <c r="D2264" i="208"/>
  <c r="E2264" i="208"/>
  <c r="S2264" i="208" s="1"/>
  <c r="H2264" i="208"/>
  <c r="Q2264" i="208" s="1"/>
  <c r="I2264" i="208"/>
  <c r="J2264" i="208"/>
  <c r="L2264" i="208"/>
  <c r="C2265" i="208"/>
  <c r="D2265" i="208"/>
  <c r="E2265" i="208"/>
  <c r="S2265" i="208" s="1"/>
  <c r="H2265" i="208"/>
  <c r="Q2265" i="208" s="1"/>
  <c r="I2265" i="208"/>
  <c r="J2265" i="208"/>
  <c r="L2265" i="208"/>
  <c r="C2266" i="208"/>
  <c r="D2266" i="208"/>
  <c r="E2266" i="208"/>
  <c r="S2266" i="208" s="1"/>
  <c r="H2266" i="208"/>
  <c r="Q2266" i="208" s="1"/>
  <c r="I2266" i="208"/>
  <c r="J2266" i="208"/>
  <c r="L2266" i="208"/>
  <c r="C2267" i="208"/>
  <c r="D2267" i="208"/>
  <c r="E2267" i="208"/>
  <c r="S2267" i="208" s="1"/>
  <c r="H2267" i="208"/>
  <c r="Q2267" i="208" s="1"/>
  <c r="I2267" i="208"/>
  <c r="J2267" i="208"/>
  <c r="L2267" i="208"/>
  <c r="C2268" i="208"/>
  <c r="D2268" i="208"/>
  <c r="E2268" i="208"/>
  <c r="S2268" i="208" s="1"/>
  <c r="H2268" i="208"/>
  <c r="Q2268" i="208" s="1"/>
  <c r="I2268" i="208"/>
  <c r="J2268" i="208"/>
  <c r="L2268" i="208"/>
  <c r="C2269" i="208"/>
  <c r="D2269" i="208"/>
  <c r="E2269" i="208"/>
  <c r="S2269" i="208" s="1"/>
  <c r="H2269" i="208"/>
  <c r="Q2269" i="208" s="1"/>
  <c r="I2269" i="208"/>
  <c r="J2269" i="208"/>
  <c r="L2269" i="208"/>
  <c r="C2270" i="208"/>
  <c r="D2270" i="208"/>
  <c r="E2270" i="208"/>
  <c r="S2270" i="208" s="1"/>
  <c r="H2270" i="208"/>
  <c r="Q2270" i="208" s="1"/>
  <c r="I2270" i="208"/>
  <c r="J2270" i="208"/>
  <c r="L2270" i="208"/>
  <c r="C2271" i="208"/>
  <c r="D2271" i="208"/>
  <c r="E2271" i="208"/>
  <c r="S2271" i="208" s="1"/>
  <c r="H2271" i="208"/>
  <c r="Q2271" i="208" s="1"/>
  <c r="I2271" i="208"/>
  <c r="J2271" i="208"/>
  <c r="L2271" i="208"/>
  <c r="C2272" i="208"/>
  <c r="D2272" i="208"/>
  <c r="E2272" i="208"/>
  <c r="S2272" i="208" s="1"/>
  <c r="H2272" i="208"/>
  <c r="Q2272" i="208" s="1"/>
  <c r="I2272" i="208"/>
  <c r="J2272" i="208"/>
  <c r="L2272" i="208"/>
  <c r="C2273" i="208"/>
  <c r="D2273" i="208"/>
  <c r="E2273" i="208"/>
  <c r="S2273" i="208" s="1"/>
  <c r="H2273" i="208"/>
  <c r="Q2273" i="208" s="1"/>
  <c r="I2273" i="208"/>
  <c r="J2273" i="208"/>
  <c r="L2273" i="208"/>
  <c r="C2274" i="208"/>
  <c r="D2274" i="208"/>
  <c r="E2274" i="208"/>
  <c r="S2274" i="208" s="1"/>
  <c r="H2274" i="208"/>
  <c r="Q2274" i="208" s="1"/>
  <c r="I2274" i="208"/>
  <c r="J2274" i="208"/>
  <c r="L2274" i="208"/>
  <c r="C2275" i="208"/>
  <c r="D2275" i="208"/>
  <c r="E2275" i="208"/>
  <c r="S2275" i="208" s="1"/>
  <c r="H2275" i="208"/>
  <c r="Q2275" i="208" s="1"/>
  <c r="I2275" i="208"/>
  <c r="J2275" i="208"/>
  <c r="L2275" i="208"/>
  <c r="C2276" i="208"/>
  <c r="D2276" i="208"/>
  <c r="E2276" i="208"/>
  <c r="S2276" i="208" s="1"/>
  <c r="H2276" i="208"/>
  <c r="Q2276" i="208" s="1"/>
  <c r="I2276" i="208"/>
  <c r="J2276" i="208"/>
  <c r="L2276" i="208"/>
  <c r="C2277" i="208"/>
  <c r="D2277" i="208"/>
  <c r="E2277" i="208"/>
  <c r="S2277" i="208" s="1"/>
  <c r="H2277" i="208"/>
  <c r="Q2277" i="208" s="1"/>
  <c r="I2277" i="208"/>
  <c r="J2277" i="208"/>
  <c r="L2277" i="208"/>
  <c r="C2278" i="208"/>
  <c r="D2278" i="208"/>
  <c r="E2278" i="208"/>
  <c r="S2278" i="208" s="1"/>
  <c r="H2278" i="208"/>
  <c r="Q2278" i="208" s="1"/>
  <c r="I2278" i="208"/>
  <c r="J2278" i="208"/>
  <c r="L2278" i="208"/>
  <c r="C2279" i="208"/>
  <c r="D2279" i="208"/>
  <c r="E2279" i="208"/>
  <c r="S2279" i="208" s="1"/>
  <c r="H2279" i="208"/>
  <c r="Q2279" i="208" s="1"/>
  <c r="I2279" i="208"/>
  <c r="J2279" i="208"/>
  <c r="L2279" i="208"/>
  <c r="C2280" i="208"/>
  <c r="D2280" i="208"/>
  <c r="E2280" i="208"/>
  <c r="S2280" i="208" s="1"/>
  <c r="H2280" i="208"/>
  <c r="Q2280" i="208" s="1"/>
  <c r="I2280" i="208"/>
  <c r="J2280" i="208"/>
  <c r="L2280" i="208"/>
  <c r="C2281" i="208"/>
  <c r="D2281" i="208"/>
  <c r="E2281" i="208"/>
  <c r="S2281" i="208" s="1"/>
  <c r="H2281" i="208"/>
  <c r="Q2281" i="208" s="1"/>
  <c r="I2281" i="208"/>
  <c r="J2281" i="208"/>
  <c r="L2281" i="208"/>
  <c r="C2282" i="208"/>
  <c r="D2282" i="208"/>
  <c r="E2282" i="208"/>
  <c r="S2282" i="208" s="1"/>
  <c r="H2282" i="208"/>
  <c r="Q2282" i="208" s="1"/>
  <c r="I2282" i="208"/>
  <c r="J2282" i="208"/>
  <c r="L2282" i="208"/>
  <c r="C2283" i="208"/>
  <c r="D2283" i="208"/>
  <c r="E2283" i="208"/>
  <c r="S2283" i="208" s="1"/>
  <c r="H2283" i="208"/>
  <c r="Q2283" i="208" s="1"/>
  <c r="I2283" i="208"/>
  <c r="J2283" i="208"/>
  <c r="L2283" i="208"/>
  <c r="C2284" i="208"/>
  <c r="D2284" i="208"/>
  <c r="E2284" i="208"/>
  <c r="S2284" i="208" s="1"/>
  <c r="H2284" i="208"/>
  <c r="Q2284" i="208" s="1"/>
  <c r="I2284" i="208"/>
  <c r="J2284" i="208"/>
  <c r="L2284" i="208"/>
  <c r="C2285" i="208"/>
  <c r="D2285" i="208"/>
  <c r="E2285" i="208"/>
  <c r="S2285" i="208" s="1"/>
  <c r="H2285" i="208"/>
  <c r="Q2285" i="208" s="1"/>
  <c r="I2285" i="208"/>
  <c r="J2285" i="208"/>
  <c r="L2285" i="208"/>
  <c r="C2286" i="208"/>
  <c r="D2286" i="208"/>
  <c r="E2286" i="208"/>
  <c r="S2286" i="208" s="1"/>
  <c r="H2286" i="208"/>
  <c r="Q2286" i="208" s="1"/>
  <c r="I2286" i="208"/>
  <c r="J2286" i="208"/>
  <c r="L2286" i="208"/>
  <c r="C2287" i="208"/>
  <c r="D2287" i="208"/>
  <c r="E2287" i="208"/>
  <c r="S2287" i="208" s="1"/>
  <c r="H2287" i="208"/>
  <c r="Q2287" i="208" s="1"/>
  <c r="I2287" i="208"/>
  <c r="J2287" i="208"/>
  <c r="L2287" i="208"/>
  <c r="C2288" i="208"/>
  <c r="D2288" i="208"/>
  <c r="E2288" i="208"/>
  <c r="S2288" i="208" s="1"/>
  <c r="H2288" i="208"/>
  <c r="Q2288" i="208" s="1"/>
  <c r="I2288" i="208"/>
  <c r="J2288" i="208"/>
  <c r="L2288" i="208"/>
  <c r="C2289" i="208"/>
  <c r="D2289" i="208"/>
  <c r="E2289" i="208"/>
  <c r="S2289" i="208" s="1"/>
  <c r="H2289" i="208"/>
  <c r="Q2289" i="208" s="1"/>
  <c r="I2289" i="208"/>
  <c r="J2289" i="208"/>
  <c r="L2289" i="208"/>
  <c r="C2290" i="208"/>
  <c r="D2290" i="208"/>
  <c r="E2290" i="208"/>
  <c r="S2290" i="208" s="1"/>
  <c r="H2290" i="208"/>
  <c r="Q2290" i="208" s="1"/>
  <c r="I2290" i="208"/>
  <c r="J2290" i="208"/>
  <c r="L2290" i="208"/>
  <c r="C2291" i="208"/>
  <c r="D2291" i="208"/>
  <c r="E2291" i="208"/>
  <c r="S2291" i="208" s="1"/>
  <c r="H2291" i="208"/>
  <c r="Q2291" i="208" s="1"/>
  <c r="I2291" i="208"/>
  <c r="J2291" i="208"/>
  <c r="L2291" i="208"/>
  <c r="C2292" i="208"/>
  <c r="D2292" i="208"/>
  <c r="E2292" i="208"/>
  <c r="S2292" i="208" s="1"/>
  <c r="H2292" i="208"/>
  <c r="Q2292" i="208" s="1"/>
  <c r="I2292" i="208"/>
  <c r="J2292" i="208"/>
  <c r="L2292" i="208"/>
  <c r="C2293" i="208"/>
  <c r="D2293" i="208"/>
  <c r="E2293" i="208"/>
  <c r="S2293" i="208" s="1"/>
  <c r="H2293" i="208"/>
  <c r="Q2293" i="208" s="1"/>
  <c r="I2293" i="208"/>
  <c r="J2293" i="208"/>
  <c r="L2293" i="208"/>
  <c r="C2294" i="208"/>
  <c r="D2294" i="208"/>
  <c r="E2294" i="208"/>
  <c r="S2294" i="208" s="1"/>
  <c r="H2294" i="208"/>
  <c r="Q2294" i="208" s="1"/>
  <c r="I2294" i="208"/>
  <c r="J2294" i="208"/>
  <c r="L2294" i="208"/>
  <c r="C2295" i="208"/>
  <c r="D2295" i="208"/>
  <c r="E2295" i="208"/>
  <c r="S2295" i="208" s="1"/>
  <c r="H2295" i="208"/>
  <c r="Q2295" i="208" s="1"/>
  <c r="I2295" i="208"/>
  <c r="J2295" i="208"/>
  <c r="L2295" i="208"/>
  <c r="C2296" i="208"/>
  <c r="D2296" i="208"/>
  <c r="E2296" i="208"/>
  <c r="S2296" i="208" s="1"/>
  <c r="H2296" i="208"/>
  <c r="Q2296" i="208" s="1"/>
  <c r="I2296" i="208"/>
  <c r="J2296" i="208"/>
  <c r="L2296" i="208"/>
  <c r="C2297" i="208"/>
  <c r="D2297" i="208"/>
  <c r="E2297" i="208"/>
  <c r="S2297" i="208" s="1"/>
  <c r="H2297" i="208"/>
  <c r="Q2297" i="208" s="1"/>
  <c r="I2297" i="208"/>
  <c r="J2297" i="208"/>
  <c r="L2297" i="208"/>
  <c r="C2298" i="208"/>
  <c r="D2298" i="208"/>
  <c r="E2298" i="208"/>
  <c r="S2298" i="208" s="1"/>
  <c r="H2298" i="208"/>
  <c r="Q2298" i="208" s="1"/>
  <c r="I2298" i="208"/>
  <c r="J2298" i="208"/>
  <c r="L2298" i="208"/>
  <c r="C2299" i="208"/>
  <c r="D2299" i="208"/>
  <c r="E2299" i="208"/>
  <c r="S2299" i="208" s="1"/>
  <c r="H2299" i="208"/>
  <c r="Q2299" i="208" s="1"/>
  <c r="I2299" i="208"/>
  <c r="J2299" i="208"/>
  <c r="L2299" i="208"/>
  <c r="C2300" i="208"/>
  <c r="D2300" i="208"/>
  <c r="E2300" i="208"/>
  <c r="S2300" i="208" s="1"/>
  <c r="H2300" i="208"/>
  <c r="Q2300" i="208" s="1"/>
  <c r="I2300" i="208"/>
  <c r="J2300" i="208"/>
  <c r="L2300" i="208"/>
  <c r="C2301" i="208"/>
  <c r="D2301" i="208"/>
  <c r="E2301" i="208"/>
  <c r="S2301" i="208" s="1"/>
  <c r="H2301" i="208"/>
  <c r="Q2301" i="208" s="1"/>
  <c r="I2301" i="208"/>
  <c r="J2301" i="208"/>
  <c r="L2301" i="208"/>
  <c r="C2302" i="208"/>
  <c r="D2302" i="208"/>
  <c r="E2302" i="208"/>
  <c r="S2302" i="208" s="1"/>
  <c r="H2302" i="208"/>
  <c r="Q2302" i="208" s="1"/>
  <c r="I2302" i="208"/>
  <c r="J2302" i="208"/>
  <c r="L2302" i="208"/>
  <c r="C2303" i="208"/>
  <c r="D2303" i="208"/>
  <c r="E2303" i="208"/>
  <c r="S2303" i="208" s="1"/>
  <c r="H2303" i="208"/>
  <c r="Q2303" i="208" s="1"/>
  <c r="I2303" i="208"/>
  <c r="J2303" i="208"/>
  <c r="L2303" i="208"/>
  <c r="C2304" i="208"/>
  <c r="D2304" i="208"/>
  <c r="E2304" i="208"/>
  <c r="S2304" i="208" s="1"/>
  <c r="H2304" i="208"/>
  <c r="Q2304" i="208" s="1"/>
  <c r="I2304" i="208"/>
  <c r="J2304" i="208"/>
  <c r="L2304" i="208"/>
  <c r="C2305" i="208"/>
  <c r="D2305" i="208"/>
  <c r="E2305" i="208"/>
  <c r="S2305" i="208" s="1"/>
  <c r="H2305" i="208"/>
  <c r="Q2305" i="208" s="1"/>
  <c r="I2305" i="208"/>
  <c r="J2305" i="208"/>
  <c r="L2305" i="208"/>
  <c r="C2306" i="208"/>
  <c r="D2306" i="208"/>
  <c r="E2306" i="208"/>
  <c r="S2306" i="208" s="1"/>
  <c r="H2306" i="208"/>
  <c r="Q2306" i="208" s="1"/>
  <c r="I2306" i="208"/>
  <c r="J2306" i="208"/>
  <c r="L2306" i="208"/>
  <c r="C2307" i="208"/>
  <c r="D2307" i="208"/>
  <c r="E2307" i="208"/>
  <c r="S2307" i="208" s="1"/>
  <c r="H2307" i="208"/>
  <c r="Q2307" i="208" s="1"/>
  <c r="I2307" i="208"/>
  <c r="J2307" i="208"/>
  <c r="L2307" i="208"/>
  <c r="C2308" i="208"/>
  <c r="D2308" i="208"/>
  <c r="E2308" i="208"/>
  <c r="S2308" i="208" s="1"/>
  <c r="H2308" i="208"/>
  <c r="Q2308" i="208" s="1"/>
  <c r="I2308" i="208"/>
  <c r="J2308" i="208"/>
  <c r="L2308" i="208"/>
  <c r="C2309" i="208"/>
  <c r="D2309" i="208"/>
  <c r="E2309" i="208"/>
  <c r="S2309" i="208" s="1"/>
  <c r="H2309" i="208"/>
  <c r="Q2309" i="208" s="1"/>
  <c r="I2309" i="208"/>
  <c r="J2309" i="208"/>
  <c r="L2309" i="208"/>
  <c r="C2310" i="208"/>
  <c r="D2310" i="208"/>
  <c r="E2310" i="208"/>
  <c r="S2310" i="208" s="1"/>
  <c r="H2310" i="208"/>
  <c r="Q2310" i="208" s="1"/>
  <c r="I2310" i="208"/>
  <c r="J2310" i="208"/>
  <c r="L2310" i="208"/>
  <c r="C2311" i="208"/>
  <c r="D2311" i="208"/>
  <c r="E2311" i="208"/>
  <c r="S2311" i="208" s="1"/>
  <c r="H2311" i="208"/>
  <c r="Q2311" i="208" s="1"/>
  <c r="I2311" i="208"/>
  <c r="J2311" i="208"/>
  <c r="L2311" i="208"/>
  <c r="C2312" i="208"/>
  <c r="D2312" i="208"/>
  <c r="E2312" i="208"/>
  <c r="S2312" i="208" s="1"/>
  <c r="H2312" i="208"/>
  <c r="Q2312" i="208" s="1"/>
  <c r="I2312" i="208"/>
  <c r="J2312" i="208"/>
  <c r="L2312" i="208"/>
  <c r="C2313" i="208"/>
  <c r="D2313" i="208"/>
  <c r="E2313" i="208"/>
  <c r="S2313" i="208" s="1"/>
  <c r="H2313" i="208"/>
  <c r="Q2313" i="208" s="1"/>
  <c r="I2313" i="208"/>
  <c r="J2313" i="208"/>
  <c r="L2313" i="208"/>
  <c r="C2314" i="208"/>
  <c r="D2314" i="208"/>
  <c r="E2314" i="208"/>
  <c r="S2314" i="208" s="1"/>
  <c r="H2314" i="208"/>
  <c r="Q2314" i="208" s="1"/>
  <c r="I2314" i="208"/>
  <c r="J2314" i="208"/>
  <c r="L2314" i="208"/>
  <c r="C2315" i="208"/>
  <c r="D2315" i="208"/>
  <c r="E2315" i="208"/>
  <c r="S2315" i="208" s="1"/>
  <c r="H2315" i="208"/>
  <c r="Q2315" i="208" s="1"/>
  <c r="I2315" i="208"/>
  <c r="J2315" i="208"/>
  <c r="L2315" i="208"/>
  <c r="C2316" i="208"/>
  <c r="D2316" i="208"/>
  <c r="E2316" i="208"/>
  <c r="S2316" i="208" s="1"/>
  <c r="H2316" i="208"/>
  <c r="Q2316" i="208" s="1"/>
  <c r="I2316" i="208"/>
  <c r="J2316" i="208"/>
  <c r="L2316" i="208"/>
  <c r="C2317" i="208"/>
  <c r="D2317" i="208"/>
  <c r="E2317" i="208"/>
  <c r="S2317" i="208" s="1"/>
  <c r="H2317" i="208"/>
  <c r="Q2317" i="208" s="1"/>
  <c r="I2317" i="208"/>
  <c r="J2317" i="208"/>
  <c r="L2317" i="208"/>
  <c r="C2318" i="208"/>
  <c r="D2318" i="208"/>
  <c r="E2318" i="208"/>
  <c r="S2318" i="208" s="1"/>
  <c r="H2318" i="208"/>
  <c r="Q2318" i="208" s="1"/>
  <c r="I2318" i="208"/>
  <c r="J2318" i="208"/>
  <c r="L2318" i="208"/>
  <c r="C2319" i="208"/>
  <c r="D2319" i="208"/>
  <c r="E2319" i="208"/>
  <c r="S2319" i="208" s="1"/>
  <c r="H2319" i="208"/>
  <c r="Q2319" i="208" s="1"/>
  <c r="I2319" i="208"/>
  <c r="J2319" i="208"/>
  <c r="L2319" i="208"/>
  <c r="C2320" i="208"/>
  <c r="D2320" i="208"/>
  <c r="E2320" i="208"/>
  <c r="S2320" i="208" s="1"/>
  <c r="H2320" i="208"/>
  <c r="Q2320" i="208" s="1"/>
  <c r="I2320" i="208"/>
  <c r="J2320" i="208"/>
  <c r="L2320" i="208"/>
  <c r="C2321" i="208"/>
  <c r="D2321" i="208"/>
  <c r="E2321" i="208"/>
  <c r="S2321" i="208" s="1"/>
  <c r="H2321" i="208"/>
  <c r="Q2321" i="208" s="1"/>
  <c r="I2321" i="208"/>
  <c r="J2321" i="208"/>
  <c r="L2321" i="208"/>
  <c r="C2322" i="208"/>
  <c r="D2322" i="208"/>
  <c r="E2322" i="208"/>
  <c r="S2322" i="208" s="1"/>
  <c r="H2322" i="208"/>
  <c r="Q2322" i="208" s="1"/>
  <c r="I2322" i="208"/>
  <c r="J2322" i="208"/>
  <c r="L2322" i="208"/>
  <c r="C2323" i="208"/>
  <c r="D2323" i="208"/>
  <c r="E2323" i="208"/>
  <c r="S2323" i="208" s="1"/>
  <c r="H2323" i="208"/>
  <c r="Q2323" i="208" s="1"/>
  <c r="I2323" i="208"/>
  <c r="J2323" i="208"/>
  <c r="L2323" i="208"/>
  <c r="C2324" i="208"/>
  <c r="D2324" i="208"/>
  <c r="E2324" i="208"/>
  <c r="S2324" i="208" s="1"/>
  <c r="H2324" i="208"/>
  <c r="Q2324" i="208" s="1"/>
  <c r="I2324" i="208"/>
  <c r="J2324" i="208"/>
  <c r="L2324" i="208"/>
  <c r="C2325" i="208"/>
  <c r="D2325" i="208"/>
  <c r="E2325" i="208"/>
  <c r="S2325" i="208" s="1"/>
  <c r="H2325" i="208"/>
  <c r="Q2325" i="208" s="1"/>
  <c r="I2325" i="208"/>
  <c r="J2325" i="208"/>
  <c r="L2325" i="208"/>
  <c r="C2326" i="208"/>
  <c r="D2326" i="208"/>
  <c r="E2326" i="208"/>
  <c r="S2326" i="208" s="1"/>
  <c r="H2326" i="208"/>
  <c r="Q2326" i="208" s="1"/>
  <c r="I2326" i="208"/>
  <c r="J2326" i="208"/>
  <c r="L2326" i="208"/>
  <c r="C2327" i="208"/>
  <c r="D2327" i="208"/>
  <c r="E2327" i="208"/>
  <c r="S2327" i="208" s="1"/>
  <c r="H2327" i="208"/>
  <c r="Q2327" i="208" s="1"/>
  <c r="I2327" i="208"/>
  <c r="J2327" i="208"/>
  <c r="L2327" i="208"/>
  <c r="C2328" i="208"/>
  <c r="D2328" i="208"/>
  <c r="E2328" i="208"/>
  <c r="S2328" i="208" s="1"/>
  <c r="H2328" i="208"/>
  <c r="Q2328" i="208" s="1"/>
  <c r="I2328" i="208"/>
  <c r="J2328" i="208"/>
  <c r="L2328" i="208"/>
  <c r="C2329" i="208"/>
  <c r="D2329" i="208"/>
  <c r="E2329" i="208"/>
  <c r="S2329" i="208" s="1"/>
  <c r="H2329" i="208"/>
  <c r="Q2329" i="208" s="1"/>
  <c r="I2329" i="208"/>
  <c r="J2329" i="208"/>
  <c r="L2329" i="208"/>
  <c r="C2330" i="208"/>
  <c r="D2330" i="208"/>
  <c r="E2330" i="208"/>
  <c r="S2330" i="208" s="1"/>
  <c r="H2330" i="208"/>
  <c r="Q2330" i="208" s="1"/>
  <c r="I2330" i="208"/>
  <c r="J2330" i="208"/>
  <c r="L2330" i="208"/>
  <c r="C2331" i="208"/>
  <c r="D2331" i="208"/>
  <c r="E2331" i="208"/>
  <c r="S2331" i="208" s="1"/>
  <c r="H2331" i="208"/>
  <c r="Q2331" i="208" s="1"/>
  <c r="I2331" i="208"/>
  <c r="J2331" i="208"/>
  <c r="L2331" i="208"/>
  <c r="C2332" i="208"/>
  <c r="D2332" i="208"/>
  <c r="E2332" i="208"/>
  <c r="S2332" i="208" s="1"/>
  <c r="H2332" i="208"/>
  <c r="Q2332" i="208" s="1"/>
  <c r="I2332" i="208"/>
  <c r="J2332" i="208"/>
  <c r="L2332" i="208"/>
  <c r="C2333" i="208"/>
  <c r="D2333" i="208"/>
  <c r="E2333" i="208"/>
  <c r="S2333" i="208" s="1"/>
  <c r="H2333" i="208"/>
  <c r="Q2333" i="208" s="1"/>
  <c r="I2333" i="208"/>
  <c r="J2333" i="208"/>
  <c r="L2333" i="208"/>
  <c r="C2334" i="208"/>
  <c r="D2334" i="208"/>
  <c r="E2334" i="208"/>
  <c r="S2334" i="208" s="1"/>
  <c r="H2334" i="208"/>
  <c r="Q2334" i="208" s="1"/>
  <c r="I2334" i="208"/>
  <c r="J2334" i="208"/>
  <c r="L2334" i="208"/>
  <c r="C2335" i="208"/>
  <c r="D2335" i="208"/>
  <c r="E2335" i="208"/>
  <c r="S2335" i="208" s="1"/>
  <c r="H2335" i="208"/>
  <c r="Q2335" i="208" s="1"/>
  <c r="I2335" i="208"/>
  <c r="J2335" i="208"/>
  <c r="L2335" i="208"/>
  <c r="C2336" i="208"/>
  <c r="D2336" i="208"/>
  <c r="E2336" i="208"/>
  <c r="S2336" i="208" s="1"/>
  <c r="H2336" i="208"/>
  <c r="Q2336" i="208" s="1"/>
  <c r="I2336" i="208"/>
  <c r="J2336" i="208"/>
  <c r="L2336" i="208"/>
  <c r="C2337" i="208"/>
  <c r="D2337" i="208"/>
  <c r="E2337" i="208"/>
  <c r="S2337" i="208" s="1"/>
  <c r="H2337" i="208"/>
  <c r="Q2337" i="208" s="1"/>
  <c r="I2337" i="208"/>
  <c r="J2337" i="208"/>
  <c r="L2337" i="208"/>
  <c r="C2338" i="208"/>
  <c r="D2338" i="208"/>
  <c r="E2338" i="208"/>
  <c r="S2338" i="208" s="1"/>
  <c r="H2338" i="208"/>
  <c r="Q2338" i="208" s="1"/>
  <c r="I2338" i="208"/>
  <c r="J2338" i="208"/>
  <c r="L2338" i="208"/>
  <c r="C2339" i="208"/>
  <c r="D2339" i="208"/>
  <c r="E2339" i="208"/>
  <c r="S2339" i="208" s="1"/>
  <c r="H2339" i="208"/>
  <c r="Q2339" i="208" s="1"/>
  <c r="I2339" i="208"/>
  <c r="J2339" i="208"/>
  <c r="L2339" i="208"/>
  <c r="C2340" i="208"/>
  <c r="D2340" i="208"/>
  <c r="E2340" i="208"/>
  <c r="S2340" i="208" s="1"/>
  <c r="H2340" i="208"/>
  <c r="Q2340" i="208" s="1"/>
  <c r="I2340" i="208"/>
  <c r="J2340" i="208"/>
  <c r="L2340" i="208"/>
  <c r="C2341" i="208"/>
  <c r="D2341" i="208"/>
  <c r="E2341" i="208"/>
  <c r="S2341" i="208" s="1"/>
  <c r="H2341" i="208"/>
  <c r="Q2341" i="208" s="1"/>
  <c r="I2341" i="208"/>
  <c r="J2341" i="208"/>
  <c r="L2341" i="208"/>
  <c r="C2342" i="208"/>
  <c r="D2342" i="208"/>
  <c r="E2342" i="208"/>
  <c r="S2342" i="208" s="1"/>
  <c r="H2342" i="208"/>
  <c r="Q2342" i="208" s="1"/>
  <c r="I2342" i="208"/>
  <c r="J2342" i="208"/>
  <c r="L2342" i="208"/>
  <c r="C2343" i="208"/>
  <c r="D2343" i="208"/>
  <c r="E2343" i="208"/>
  <c r="S2343" i="208" s="1"/>
  <c r="H2343" i="208"/>
  <c r="Q2343" i="208" s="1"/>
  <c r="I2343" i="208"/>
  <c r="J2343" i="208"/>
  <c r="L2343" i="208"/>
  <c r="C2344" i="208"/>
  <c r="D2344" i="208"/>
  <c r="E2344" i="208"/>
  <c r="S2344" i="208" s="1"/>
  <c r="H2344" i="208"/>
  <c r="Q2344" i="208" s="1"/>
  <c r="I2344" i="208"/>
  <c r="J2344" i="208"/>
  <c r="L2344" i="208"/>
  <c r="C2345" i="208"/>
  <c r="D2345" i="208"/>
  <c r="E2345" i="208"/>
  <c r="S2345" i="208" s="1"/>
  <c r="H2345" i="208"/>
  <c r="Q2345" i="208" s="1"/>
  <c r="I2345" i="208"/>
  <c r="J2345" i="208"/>
  <c r="L2345" i="208"/>
  <c r="C2346" i="208"/>
  <c r="D2346" i="208"/>
  <c r="E2346" i="208"/>
  <c r="S2346" i="208" s="1"/>
  <c r="H2346" i="208"/>
  <c r="Q2346" i="208" s="1"/>
  <c r="I2346" i="208"/>
  <c r="J2346" i="208"/>
  <c r="L2346" i="208"/>
  <c r="C2347" i="208"/>
  <c r="D2347" i="208"/>
  <c r="E2347" i="208"/>
  <c r="S2347" i="208" s="1"/>
  <c r="H2347" i="208"/>
  <c r="Q2347" i="208" s="1"/>
  <c r="I2347" i="208"/>
  <c r="J2347" i="208"/>
  <c r="L2347" i="208"/>
  <c r="C2348" i="208"/>
  <c r="D2348" i="208"/>
  <c r="E2348" i="208"/>
  <c r="S2348" i="208" s="1"/>
  <c r="H2348" i="208"/>
  <c r="Q2348" i="208" s="1"/>
  <c r="I2348" i="208"/>
  <c r="J2348" i="208"/>
  <c r="L2348" i="208"/>
  <c r="C2349" i="208"/>
  <c r="D2349" i="208"/>
  <c r="E2349" i="208"/>
  <c r="S2349" i="208" s="1"/>
  <c r="H2349" i="208"/>
  <c r="Q2349" i="208" s="1"/>
  <c r="I2349" i="208"/>
  <c r="J2349" i="208"/>
  <c r="L2349" i="208"/>
  <c r="C2350" i="208"/>
  <c r="D2350" i="208"/>
  <c r="E2350" i="208"/>
  <c r="S2350" i="208" s="1"/>
  <c r="H2350" i="208"/>
  <c r="Q2350" i="208" s="1"/>
  <c r="I2350" i="208"/>
  <c r="J2350" i="208"/>
  <c r="L2350" i="208"/>
  <c r="C2351" i="208"/>
  <c r="D2351" i="208"/>
  <c r="E2351" i="208"/>
  <c r="S2351" i="208" s="1"/>
  <c r="H2351" i="208"/>
  <c r="Q2351" i="208" s="1"/>
  <c r="I2351" i="208"/>
  <c r="J2351" i="208"/>
  <c r="L2351" i="208"/>
  <c r="C2352" i="208"/>
  <c r="D2352" i="208"/>
  <c r="E2352" i="208"/>
  <c r="S2352" i="208" s="1"/>
  <c r="H2352" i="208"/>
  <c r="Q2352" i="208" s="1"/>
  <c r="I2352" i="208"/>
  <c r="J2352" i="208"/>
  <c r="L2352" i="208"/>
  <c r="C2353" i="208"/>
  <c r="D2353" i="208"/>
  <c r="E2353" i="208"/>
  <c r="S2353" i="208" s="1"/>
  <c r="H2353" i="208"/>
  <c r="Q2353" i="208" s="1"/>
  <c r="I2353" i="208"/>
  <c r="J2353" i="208"/>
  <c r="L2353" i="208"/>
  <c r="C2354" i="208"/>
  <c r="D2354" i="208"/>
  <c r="E2354" i="208"/>
  <c r="S2354" i="208" s="1"/>
  <c r="H2354" i="208"/>
  <c r="Q2354" i="208" s="1"/>
  <c r="I2354" i="208"/>
  <c r="J2354" i="208"/>
  <c r="L2354" i="208"/>
  <c r="C2355" i="208"/>
  <c r="D2355" i="208"/>
  <c r="E2355" i="208"/>
  <c r="S2355" i="208" s="1"/>
  <c r="H2355" i="208"/>
  <c r="Q2355" i="208" s="1"/>
  <c r="I2355" i="208"/>
  <c r="J2355" i="208"/>
  <c r="L2355" i="208"/>
  <c r="C2356" i="208"/>
  <c r="D2356" i="208"/>
  <c r="E2356" i="208"/>
  <c r="S2356" i="208" s="1"/>
  <c r="H2356" i="208"/>
  <c r="Q2356" i="208" s="1"/>
  <c r="I2356" i="208"/>
  <c r="J2356" i="208"/>
  <c r="L2356" i="208"/>
  <c r="C2357" i="208"/>
  <c r="D2357" i="208"/>
  <c r="E2357" i="208"/>
  <c r="S2357" i="208" s="1"/>
  <c r="H2357" i="208"/>
  <c r="Q2357" i="208" s="1"/>
  <c r="I2357" i="208"/>
  <c r="J2357" i="208"/>
  <c r="L2357" i="208"/>
  <c r="C2358" i="208"/>
  <c r="D2358" i="208"/>
  <c r="E2358" i="208"/>
  <c r="S2358" i="208" s="1"/>
  <c r="H2358" i="208"/>
  <c r="Q2358" i="208" s="1"/>
  <c r="I2358" i="208"/>
  <c r="J2358" i="208"/>
  <c r="L2358" i="208"/>
  <c r="C2359" i="208"/>
  <c r="D2359" i="208"/>
  <c r="E2359" i="208"/>
  <c r="S2359" i="208" s="1"/>
  <c r="H2359" i="208"/>
  <c r="Q2359" i="208" s="1"/>
  <c r="I2359" i="208"/>
  <c r="J2359" i="208"/>
  <c r="L2359" i="208"/>
  <c r="C2360" i="208"/>
  <c r="D2360" i="208"/>
  <c r="E2360" i="208"/>
  <c r="S2360" i="208" s="1"/>
  <c r="H2360" i="208"/>
  <c r="Q2360" i="208" s="1"/>
  <c r="I2360" i="208"/>
  <c r="J2360" i="208"/>
  <c r="L2360" i="208"/>
  <c r="C2361" i="208"/>
  <c r="D2361" i="208"/>
  <c r="E2361" i="208"/>
  <c r="S2361" i="208" s="1"/>
  <c r="H2361" i="208"/>
  <c r="Q2361" i="208" s="1"/>
  <c r="I2361" i="208"/>
  <c r="J2361" i="208"/>
  <c r="L2361" i="208"/>
  <c r="C2362" i="208"/>
  <c r="D2362" i="208"/>
  <c r="E2362" i="208"/>
  <c r="S2362" i="208" s="1"/>
  <c r="H2362" i="208"/>
  <c r="Q2362" i="208" s="1"/>
  <c r="I2362" i="208"/>
  <c r="J2362" i="208"/>
  <c r="L2362" i="208"/>
  <c r="C2363" i="208"/>
  <c r="D2363" i="208"/>
  <c r="E2363" i="208"/>
  <c r="S2363" i="208" s="1"/>
  <c r="H2363" i="208"/>
  <c r="Q2363" i="208" s="1"/>
  <c r="I2363" i="208"/>
  <c r="J2363" i="208"/>
  <c r="L2363" i="208"/>
  <c r="C2364" i="208"/>
  <c r="D2364" i="208"/>
  <c r="E2364" i="208"/>
  <c r="S2364" i="208" s="1"/>
  <c r="H2364" i="208"/>
  <c r="Q2364" i="208" s="1"/>
  <c r="I2364" i="208"/>
  <c r="J2364" i="208"/>
  <c r="L2364" i="208"/>
  <c r="C2365" i="208"/>
  <c r="D2365" i="208"/>
  <c r="E2365" i="208"/>
  <c r="S2365" i="208" s="1"/>
  <c r="H2365" i="208"/>
  <c r="Q2365" i="208" s="1"/>
  <c r="I2365" i="208"/>
  <c r="J2365" i="208"/>
  <c r="L2365" i="208"/>
  <c r="C2366" i="208"/>
  <c r="D2366" i="208"/>
  <c r="E2366" i="208"/>
  <c r="S2366" i="208" s="1"/>
  <c r="H2366" i="208"/>
  <c r="Q2366" i="208" s="1"/>
  <c r="I2366" i="208"/>
  <c r="J2366" i="208"/>
  <c r="L2366" i="208"/>
  <c r="C2367" i="208"/>
  <c r="D2367" i="208"/>
  <c r="E2367" i="208"/>
  <c r="S2367" i="208" s="1"/>
  <c r="H2367" i="208"/>
  <c r="Q2367" i="208" s="1"/>
  <c r="I2367" i="208"/>
  <c r="J2367" i="208"/>
  <c r="L2367" i="208"/>
  <c r="C2368" i="208"/>
  <c r="D2368" i="208"/>
  <c r="E2368" i="208"/>
  <c r="S2368" i="208" s="1"/>
  <c r="H2368" i="208"/>
  <c r="Q2368" i="208" s="1"/>
  <c r="I2368" i="208"/>
  <c r="J2368" i="208"/>
  <c r="L2368" i="208"/>
  <c r="C2369" i="208"/>
  <c r="D2369" i="208"/>
  <c r="E2369" i="208"/>
  <c r="S2369" i="208" s="1"/>
  <c r="H2369" i="208"/>
  <c r="Q2369" i="208" s="1"/>
  <c r="I2369" i="208"/>
  <c r="J2369" i="208"/>
  <c r="L2369" i="208"/>
  <c r="C2370" i="208"/>
  <c r="D2370" i="208"/>
  <c r="E2370" i="208"/>
  <c r="S2370" i="208" s="1"/>
  <c r="H2370" i="208"/>
  <c r="Q2370" i="208" s="1"/>
  <c r="I2370" i="208"/>
  <c r="J2370" i="208"/>
  <c r="L2370" i="208"/>
  <c r="C2371" i="208"/>
  <c r="D2371" i="208"/>
  <c r="E2371" i="208"/>
  <c r="S2371" i="208" s="1"/>
  <c r="H2371" i="208"/>
  <c r="Q2371" i="208" s="1"/>
  <c r="I2371" i="208"/>
  <c r="J2371" i="208"/>
  <c r="L2371" i="208"/>
  <c r="C2372" i="208"/>
  <c r="D2372" i="208"/>
  <c r="E2372" i="208"/>
  <c r="S2372" i="208" s="1"/>
  <c r="H2372" i="208"/>
  <c r="Q2372" i="208" s="1"/>
  <c r="I2372" i="208"/>
  <c r="J2372" i="208"/>
  <c r="L2372" i="208"/>
  <c r="C2373" i="208"/>
  <c r="D2373" i="208"/>
  <c r="E2373" i="208"/>
  <c r="S2373" i="208" s="1"/>
  <c r="H2373" i="208"/>
  <c r="Q2373" i="208" s="1"/>
  <c r="I2373" i="208"/>
  <c r="J2373" i="208"/>
  <c r="L2373" i="208"/>
  <c r="C2374" i="208"/>
  <c r="D2374" i="208"/>
  <c r="E2374" i="208"/>
  <c r="S2374" i="208" s="1"/>
  <c r="H2374" i="208"/>
  <c r="Q2374" i="208" s="1"/>
  <c r="I2374" i="208"/>
  <c r="J2374" i="208"/>
  <c r="L2374" i="208"/>
  <c r="C2375" i="208"/>
  <c r="D2375" i="208"/>
  <c r="E2375" i="208"/>
  <c r="S2375" i="208" s="1"/>
  <c r="H2375" i="208"/>
  <c r="Q2375" i="208" s="1"/>
  <c r="I2375" i="208"/>
  <c r="J2375" i="208"/>
  <c r="L2375" i="208"/>
  <c r="C2376" i="208"/>
  <c r="D2376" i="208"/>
  <c r="E2376" i="208"/>
  <c r="S2376" i="208" s="1"/>
  <c r="H2376" i="208"/>
  <c r="Q2376" i="208" s="1"/>
  <c r="I2376" i="208"/>
  <c r="J2376" i="208"/>
  <c r="L2376" i="208"/>
  <c r="C2377" i="208"/>
  <c r="D2377" i="208"/>
  <c r="E2377" i="208"/>
  <c r="S2377" i="208" s="1"/>
  <c r="H2377" i="208"/>
  <c r="Q2377" i="208" s="1"/>
  <c r="I2377" i="208"/>
  <c r="J2377" i="208"/>
  <c r="L2377" i="208"/>
  <c r="C2378" i="208"/>
  <c r="D2378" i="208"/>
  <c r="E2378" i="208"/>
  <c r="S2378" i="208" s="1"/>
  <c r="H2378" i="208"/>
  <c r="Q2378" i="208" s="1"/>
  <c r="I2378" i="208"/>
  <c r="J2378" i="208"/>
  <c r="L2378" i="208"/>
  <c r="C2379" i="208"/>
  <c r="D2379" i="208"/>
  <c r="E2379" i="208"/>
  <c r="S2379" i="208" s="1"/>
  <c r="H2379" i="208"/>
  <c r="Q2379" i="208" s="1"/>
  <c r="I2379" i="208"/>
  <c r="J2379" i="208"/>
  <c r="L2379" i="208"/>
  <c r="C2380" i="208"/>
  <c r="D2380" i="208"/>
  <c r="E2380" i="208"/>
  <c r="S2380" i="208" s="1"/>
  <c r="H2380" i="208"/>
  <c r="Q2380" i="208" s="1"/>
  <c r="I2380" i="208"/>
  <c r="J2380" i="208"/>
  <c r="L2380" i="208"/>
  <c r="C2381" i="208"/>
  <c r="D2381" i="208"/>
  <c r="E2381" i="208"/>
  <c r="S2381" i="208" s="1"/>
  <c r="H2381" i="208"/>
  <c r="Q2381" i="208" s="1"/>
  <c r="I2381" i="208"/>
  <c r="J2381" i="208"/>
  <c r="L2381" i="208"/>
  <c r="C2382" i="208"/>
  <c r="D2382" i="208"/>
  <c r="E2382" i="208"/>
  <c r="S2382" i="208" s="1"/>
  <c r="H2382" i="208"/>
  <c r="Q2382" i="208" s="1"/>
  <c r="I2382" i="208"/>
  <c r="J2382" i="208"/>
  <c r="L2382" i="208"/>
  <c r="C2383" i="208"/>
  <c r="D2383" i="208"/>
  <c r="E2383" i="208"/>
  <c r="S2383" i="208" s="1"/>
  <c r="H2383" i="208"/>
  <c r="Q2383" i="208" s="1"/>
  <c r="I2383" i="208"/>
  <c r="J2383" i="208"/>
  <c r="L2383" i="208"/>
  <c r="C2384" i="208"/>
  <c r="D2384" i="208"/>
  <c r="E2384" i="208"/>
  <c r="S2384" i="208" s="1"/>
  <c r="H2384" i="208"/>
  <c r="Q2384" i="208" s="1"/>
  <c r="I2384" i="208"/>
  <c r="J2384" i="208"/>
  <c r="L2384" i="208"/>
  <c r="C2385" i="208"/>
  <c r="D2385" i="208"/>
  <c r="E2385" i="208"/>
  <c r="S2385" i="208" s="1"/>
  <c r="H2385" i="208"/>
  <c r="Q2385" i="208" s="1"/>
  <c r="I2385" i="208"/>
  <c r="J2385" i="208"/>
  <c r="L2385" i="208"/>
  <c r="C2386" i="208"/>
  <c r="D2386" i="208"/>
  <c r="E2386" i="208"/>
  <c r="S2386" i="208" s="1"/>
  <c r="H2386" i="208"/>
  <c r="Q2386" i="208" s="1"/>
  <c r="I2386" i="208"/>
  <c r="J2386" i="208"/>
  <c r="L2386" i="208"/>
  <c r="C2387" i="208"/>
  <c r="D2387" i="208"/>
  <c r="E2387" i="208"/>
  <c r="S2387" i="208" s="1"/>
  <c r="H2387" i="208"/>
  <c r="Q2387" i="208" s="1"/>
  <c r="I2387" i="208"/>
  <c r="J2387" i="208"/>
  <c r="L2387" i="208"/>
  <c r="C2388" i="208"/>
  <c r="D2388" i="208"/>
  <c r="E2388" i="208"/>
  <c r="S2388" i="208" s="1"/>
  <c r="H2388" i="208"/>
  <c r="Q2388" i="208" s="1"/>
  <c r="I2388" i="208"/>
  <c r="J2388" i="208"/>
  <c r="L2388" i="208"/>
  <c r="C2389" i="208"/>
  <c r="D2389" i="208"/>
  <c r="E2389" i="208"/>
  <c r="S2389" i="208" s="1"/>
  <c r="H2389" i="208"/>
  <c r="Q2389" i="208" s="1"/>
  <c r="I2389" i="208"/>
  <c r="J2389" i="208"/>
  <c r="L2389" i="208"/>
  <c r="C2390" i="208"/>
  <c r="D2390" i="208"/>
  <c r="E2390" i="208"/>
  <c r="S2390" i="208" s="1"/>
  <c r="H2390" i="208"/>
  <c r="Q2390" i="208" s="1"/>
  <c r="I2390" i="208"/>
  <c r="J2390" i="208"/>
  <c r="L2390" i="208"/>
  <c r="C2391" i="208"/>
  <c r="D2391" i="208"/>
  <c r="E2391" i="208"/>
  <c r="S2391" i="208" s="1"/>
  <c r="H2391" i="208"/>
  <c r="Q2391" i="208" s="1"/>
  <c r="I2391" i="208"/>
  <c r="J2391" i="208"/>
  <c r="L2391" i="208"/>
  <c r="C2392" i="208"/>
  <c r="D2392" i="208"/>
  <c r="E2392" i="208"/>
  <c r="S2392" i="208" s="1"/>
  <c r="H2392" i="208"/>
  <c r="Q2392" i="208" s="1"/>
  <c r="I2392" i="208"/>
  <c r="J2392" i="208"/>
  <c r="L2392" i="208"/>
  <c r="C2393" i="208"/>
  <c r="D2393" i="208"/>
  <c r="E2393" i="208"/>
  <c r="S2393" i="208" s="1"/>
  <c r="H2393" i="208"/>
  <c r="Q2393" i="208" s="1"/>
  <c r="I2393" i="208"/>
  <c r="J2393" i="208"/>
  <c r="L2393" i="208"/>
  <c r="C2394" i="208"/>
  <c r="D2394" i="208"/>
  <c r="E2394" i="208"/>
  <c r="S2394" i="208" s="1"/>
  <c r="H2394" i="208"/>
  <c r="Q2394" i="208" s="1"/>
  <c r="I2394" i="208"/>
  <c r="J2394" i="208"/>
  <c r="L2394" i="208"/>
  <c r="C2395" i="208"/>
  <c r="D2395" i="208"/>
  <c r="E2395" i="208"/>
  <c r="S2395" i="208" s="1"/>
  <c r="H2395" i="208"/>
  <c r="Q2395" i="208" s="1"/>
  <c r="I2395" i="208"/>
  <c r="J2395" i="208"/>
  <c r="L2395" i="208"/>
  <c r="C2396" i="208"/>
  <c r="D2396" i="208"/>
  <c r="E2396" i="208"/>
  <c r="S2396" i="208" s="1"/>
  <c r="H2396" i="208"/>
  <c r="Q2396" i="208" s="1"/>
  <c r="I2396" i="208"/>
  <c r="J2396" i="208"/>
  <c r="L2396" i="208"/>
  <c r="C2397" i="208"/>
  <c r="D2397" i="208"/>
  <c r="E2397" i="208"/>
  <c r="S2397" i="208" s="1"/>
  <c r="H2397" i="208"/>
  <c r="Q2397" i="208" s="1"/>
  <c r="I2397" i="208"/>
  <c r="J2397" i="208"/>
  <c r="L2397" i="208"/>
  <c r="C2398" i="208"/>
  <c r="D2398" i="208"/>
  <c r="E2398" i="208"/>
  <c r="S2398" i="208" s="1"/>
  <c r="H2398" i="208"/>
  <c r="Q2398" i="208" s="1"/>
  <c r="I2398" i="208"/>
  <c r="J2398" i="208"/>
  <c r="L2398" i="208"/>
  <c r="C2399" i="208"/>
  <c r="D2399" i="208"/>
  <c r="E2399" i="208"/>
  <c r="S2399" i="208" s="1"/>
  <c r="H2399" i="208"/>
  <c r="Q2399" i="208" s="1"/>
  <c r="I2399" i="208"/>
  <c r="J2399" i="208"/>
  <c r="L2399" i="208"/>
  <c r="C2400" i="208"/>
  <c r="D2400" i="208"/>
  <c r="E2400" i="208"/>
  <c r="S2400" i="208" s="1"/>
  <c r="H2400" i="208"/>
  <c r="Q2400" i="208" s="1"/>
  <c r="I2400" i="208"/>
  <c r="J2400" i="208"/>
  <c r="L2400" i="208"/>
  <c r="C2401" i="208"/>
  <c r="D2401" i="208"/>
  <c r="E2401" i="208"/>
  <c r="S2401" i="208" s="1"/>
  <c r="H2401" i="208"/>
  <c r="Q2401" i="208" s="1"/>
  <c r="I2401" i="208"/>
  <c r="J2401" i="208"/>
  <c r="L2401" i="208"/>
  <c r="C2402" i="208"/>
  <c r="D2402" i="208"/>
  <c r="E2402" i="208"/>
  <c r="S2402" i="208" s="1"/>
  <c r="H2402" i="208"/>
  <c r="Q2402" i="208" s="1"/>
  <c r="I2402" i="208"/>
  <c r="J2402" i="208"/>
  <c r="L2402" i="208"/>
  <c r="C2403" i="208"/>
  <c r="D2403" i="208"/>
  <c r="E2403" i="208"/>
  <c r="S2403" i="208" s="1"/>
  <c r="H2403" i="208"/>
  <c r="Q2403" i="208" s="1"/>
  <c r="I2403" i="208"/>
  <c r="J2403" i="208"/>
  <c r="L2403" i="208"/>
  <c r="C2404" i="208"/>
  <c r="D2404" i="208"/>
  <c r="E2404" i="208"/>
  <c r="S2404" i="208" s="1"/>
  <c r="H2404" i="208"/>
  <c r="Q2404" i="208" s="1"/>
  <c r="I2404" i="208"/>
  <c r="J2404" i="208"/>
  <c r="L2404" i="208"/>
  <c r="C2405" i="208"/>
  <c r="D2405" i="208"/>
  <c r="E2405" i="208"/>
  <c r="S2405" i="208" s="1"/>
  <c r="H2405" i="208"/>
  <c r="Q2405" i="208" s="1"/>
  <c r="I2405" i="208"/>
  <c r="J2405" i="208"/>
  <c r="L2405" i="208"/>
  <c r="C2406" i="208"/>
  <c r="D2406" i="208"/>
  <c r="E2406" i="208"/>
  <c r="S2406" i="208" s="1"/>
  <c r="H2406" i="208"/>
  <c r="Q2406" i="208" s="1"/>
  <c r="I2406" i="208"/>
  <c r="J2406" i="208"/>
  <c r="L2406" i="208"/>
  <c r="C2407" i="208"/>
  <c r="D2407" i="208"/>
  <c r="E2407" i="208"/>
  <c r="S2407" i="208" s="1"/>
  <c r="H2407" i="208"/>
  <c r="Q2407" i="208" s="1"/>
  <c r="I2407" i="208"/>
  <c r="J2407" i="208"/>
  <c r="L2407" i="208"/>
  <c r="C2408" i="208"/>
  <c r="D2408" i="208"/>
  <c r="E2408" i="208"/>
  <c r="S2408" i="208" s="1"/>
  <c r="H2408" i="208"/>
  <c r="Q2408" i="208" s="1"/>
  <c r="I2408" i="208"/>
  <c r="J2408" i="208"/>
  <c r="L2408" i="208"/>
  <c r="C2409" i="208"/>
  <c r="D2409" i="208"/>
  <c r="E2409" i="208"/>
  <c r="S2409" i="208" s="1"/>
  <c r="H2409" i="208"/>
  <c r="Q2409" i="208" s="1"/>
  <c r="I2409" i="208"/>
  <c r="J2409" i="208"/>
  <c r="L2409" i="208"/>
  <c r="C2410" i="208"/>
  <c r="D2410" i="208"/>
  <c r="E2410" i="208"/>
  <c r="S2410" i="208" s="1"/>
  <c r="H2410" i="208"/>
  <c r="Q2410" i="208" s="1"/>
  <c r="I2410" i="208"/>
  <c r="J2410" i="208"/>
  <c r="L2410" i="208"/>
  <c r="C2411" i="208"/>
  <c r="D2411" i="208"/>
  <c r="E2411" i="208"/>
  <c r="S2411" i="208" s="1"/>
  <c r="H2411" i="208"/>
  <c r="Q2411" i="208" s="1"/>
  <c r="I2411" i="208"/>
  <c r="J2411" i="208"/>
  <c r="L2411" i="208"/>
  <c r="C2412" i="208"/>
  <c r="D2412" i="208"/>
  <c r="E2412" i="208"/>
  <c r="S2412" i="208" s="1"/>
  <c r="H2412" i="208"/>
  <c r="Q2412" i="208" s="1"/>
  <c r="I2412" i="208"/>
  <c r="J2412" i="208"/>
  <c r="L2412" i="208"/>
  <c r="C2413" i="208"/>
  <c r="D2413" i="208"/>
  <c r="E2413" i="208"/>
  <c r="S2413" i="208" s="1"/>
  <c r="H2413" i="208"/>
  <c r="Q2413" i="208" s="1"/>
  <c r="I2413" i="208"/>
  <c r="J2413" i="208"/>
  <c r="L2413" i="208"/>
  <c r="C2414" i="208"/>
  <c r="D2414" i="208"/>
  <c r="E2414" i="208"/>
  <c r="S2414" i="208" s="1"/>
  <c r="H2414" i="208"/>
  <c r="Q2414" i="208" s="1"/>
  <c r="I2414" i="208"/>
  <c r="J2414" i="208"/>
  <c r="L2414" i="208"/>
  <c r="C2415" i="208"/>
  <c r="D2415" i="208"/>
  <c r="E2415" i="208"/>
  <c r="S2415" i="208" s="1"/>
  <c r="H2415" i="208"/>
  <c r="Q2415" i="208" s="1"/>
  <c r="I2415" i="208"/>
  <c r="J2415" i="208"/>
  <c r="L2415" i="208"/>
  <c r="C2416" i="208"/>
  <c r="D2416" i="208"/>
  <c r="E2416" i="208"/>
  <c r="S2416" i="208" s="1"/>
  <c r="H2416" i="208"/>
  <c r="Q2416" i="208" s="1"/>
  <c r="I2416" i="208"/>
  <c r="J2416" i="208"/>
  <c r="L2416" i="208"/>
  <c r="C2417" i="208"/>
  <c r="D2417" i="208"/>
  <c r="E2417" i="208"/>
  <c r="S2417" i="208" s="1"/>
  <c r="H2417" i="208"/>
  <c r="Q2417" i="208" s="1"/>
  <c r="I2417" i="208"/>
  <c r="J2417" i="208"/>
  <c r="L2417" i="208"/>
  <c r="C2418" i="208"/>
  <c r="D2418" i="208"/>
  <c r="E2418" i="208"/>
  <c r="S2418" i="208" s="1"/>
  <c r="H2418" i="208"/>
  <c r="Q2418" i="208" s="1"/>
  <c r="I2418" i="208"/>
  <c r="J2418" i="208"/>
  <c r="L2418" i="208"/>
  <c r="C2419" i="208"/>
  <c r="D2419" i="208"/>
  <c r="E2419" i="208"/>
  <c r="S2419" i="208" s="1"/>
  <c r="H2419" i="208"/>
  <c r="Q2419" i="208" s="1"/>
  <c r="I2419" i="208"/>
  <c r="J2419" i="208"/>
  <c r="L2419" i="208"/>
  <c r="C2420" i="208"/>
  <c r="D2420" i="208"/>
  <c r="E2420" i="208"/>
  <c r="S2420" i="208" s="1"/>
  <c r="H2420" i="208"/>
  <c r="Q2420" i="208" s="1"/>
  <c r="I2420" i="208"/>
  <c r="J2420" i="208"/>
  <c r="L2420" i="208"/>
  <c r="C2421" i="208"/>
  <c r="D2421" i="208"/>
  <c r="E2421" i="208"/>
  <c r="S2421" i="208" s="1"/>
  <c r="H2421" i="208"/>
  <c r="Q2421" i="208" s="1"/>
  <c r="I2421" i="208"/>
  <c r="J2421" i="208"/>
  <c r="L2421" i="208"/>
  <c r="C2422" i="208"/>
  <c r="D2422" i="208"/>
  <c r="E2422" i="208"/>
  <c r="S2422" i="208" s="1"/>
  <c r="H2422" i="208"/>
  <c r="Q2422" i="208" s="1"/>
  <c r="I2422" i="208"/>
  <c r="J2422" i="208"/>
  <c r="L2422" i="208"/>
  <c r="C2423" i="208"/>
  <c r="D2423" i="208"/>
  <c r="E2423" i="208"/>
  <c r="S2423" i="208" s="1"/>
  <c r="H2423" i="208"/>
  <c r="Q2423" i="208" s="1"/>
  <c r="I2423" i="208"/>
  <c r="J2423" i="208"/>
  <c r="L2423" i="208"/>
  <c r="C2424" i="208"/>
  <c r="D2424" i="208"/>
  <c r="E2424" i="208"/>
  <c r="S2424" i="208" s="1"/>
  <c r="H2424" i="208"/>
  <c r="Q2424" i="208" s="1"/>
  <c r="I2424" i="208"/>
  <c r="J2424" i="208"/>
  <c r="L2424" i="208"/>
  <c r="C2425" i="208"/>
  <c r="D2425" i="208"/>
  <c r="E2425" i="208"/>
  <c r="S2425" i="208" s="1"/>
  <c r="H2425" i="208"/>
  <c r="Q2425" i="208" s="1"/>
  <c r="I2425" i="208"/>
  <c r="J2425" i="208"/>
  <c r="L2425" i="208"/>
  <c r="C2426" i="208"/>
  <c r="D2426" i="208"/>
  <c r="E2426" i="208"/>
  <c r="S2426" i="208" s="1"/>
  <c r="H2426" i="208"/>
  <c r="Q2426" i="208" s="1"/>
  <c r="I2426" i="208"/>
  <c r="J2426" i="208"/>
  <c r="L2426" i="208"/>
  <c r="C2427" i="208"/>
  <c r="D2427" i="208"/>
  <c r="E2427" i="208"/>
  <c r="S2427" i="208" s="1"/>
  <c r="H2427" i="208"/>
  <c r="Q2427" i="208" s="1"/>
  <c r="I2427" i="208"/>
  <c r="J2427" i="208"/>
  <c r="L2427" i="208"/>
  <c r="C2428" i="208"/>
  <c r="D2428" i="208"/>
  <c r="E2428" i="208"/>
  <c r="S2428" i="208" s="1"/>
  <c r="H2428" i="208"/>
  <c r="Q2428" i="208" s="1"/>
  <c r="I2428" i="208"/>
  <c r="J2428" i="208"/>
  <c r="L2428" i="208"/>
  <c r="C2429" i="208"/>
  <c r="D2429" i="208"/>
  <c r="E2429" i="208"/>
  <c r="S2429" i="208" s="1"/>
  <c r="H2429" i="208"/>
  <c r="Q2429" i="208" s="1"/>
  <c r="I2429" i="208"/>
  <c r="J2429" i="208"/>
  <c r="L2429" i="208"/>
  <c r="C2430" i="208"/>
  <c r="D2430" i="208"/>
  <c r="E2430" i="208"/>
  <c r="S2430" i="208" s="1"/>
  <c r="H2430" i="208"/>
  <c r="Q2430" i="208" s="1"/>
  <c r="I2430" i="208"/>
  <c r="J2430" i="208"/>
  <c r="L2430" i="208"/>
  <c r="C2431" i="208"/>
  <c r="D2431" i="208"/>
  <c r="E2431" i="208"/>
  <c r="S2431" i="208" s="1"/>
  <c r="H2431" i="208"/>
  <c r="Q2431" i="208" s="1"/>
  <c r="I2431" i="208"/>
  <c r="J2431" i="208"/>
  <c r="L2431" i="208"/>
  <c r="C2432" i="208"/>
  <c r="D2432" i="208"/>
  <c r="E2432" i="208"/>
  <c r="S2432" i="208" s="1"/>
  <c r="H2432" i="208"/>
  <c r="Q2432" i="208" s="1"/>
  <c r="I2432" i="208"/>
  <c r="J2432" i="208"/>
  <c r="L2432" i="208"/>
  <c r="C2433" i="208"/>
  <c r="D2433" i="208"/>
  <c r="E2433" i="208"/>
  <c r="S2433" i="208" s="1"/>
  <c r="H2433" i="208"/>
  <c r="Q2433" i="208" s="1"/>
  <c r="I2433" i="208"/>
  <c r="J2433" i="208"/>
  <c r="L2433" i="208"/>
  <c r="C2434" i="208"/>
  <c r="D2434" i="208"/>
  <c r="E2434" i="208"/>
  <c r="S2434" i="208" s="1"/>
  <c r="H2434" i="208"/>
  <c r="Q2434" i="208" s="1"/>
  <c r="I2434" i="208"/>
  <c r="J2434" i="208"/>
  <c r="L2434" i="208"/>
  <c r="C2435" i="208"/>
  <c r="D2435" i="208"/>
  <c r="E2435" i="208"/>
  <c r="S2435" i="208" s="1"/>
  <c r="H2435" i="208"/>
  <c r="Q2435" i="208" s="1"/>
  <c r="I2435" i="208"/>
  <c r="J2435" i="208"/>
  <c r="L2435" i="208"/>
  <c r="C2436" i="208"/>
  <c r="D2436" i="208"/>
  <c r="E2436" i="208"/>
  <c r="S2436" i="208" s="1"/>
  <c r="H2436" i="208"/>
  <c r="Q2436" i="208" s="1"/>
  <c r="I2436" i="208"/>
  <c r="J2436" i="208"/>
  <c r="L2436" i="208"/>
  <c r="C2437" i="208"/>
  <c r="D2437" i="208"/>
  <c r="E2437" i="208"/>
  <c r="S2437" i="208" s="1"/>
  <c r="H2437" i="208"/>
  <c r="Q2437" i="208" s="1"/>
  <c r="I2437" i="208"/>
  <c r="J2437" i="208"/>
  <c r="L2437" i="208"/>
  <c r="C2438" i="208"/>
  <c r="D2438" i="208"/>
  <c r="E2438" i="208"/>
  <c r="S2438" i="208" s="1"/>
  <c r="H2438" i="208"/>
  <c r="Q2438" i="208" s="1"/>
  <c r="I2438" i="208"/>
  <c r="J2438" i="208"/>
  <c r="L2438" i="208"/>
  <c r="C2439" i="208"/>
  <c r="D2439" i="208"/>
  <c r="E2439" i="208"/>
  <c r="S2439" i="208" s="1"/>
  <c r="H2439" i="208"/>
  <c r="Q2439" i="208" s="1"/>
  <c r="I2439" i="208"/>
  <c r="J2439" i="208"/>
  <c r="L2439" i="208"/>
  <c r="C2440" i="208"/>
  <c r="D2440" i="208"/>
  <c r="E2440" i="208"/>
  <c r="S2440" i="208" s="1"/>
  <c r="H2440" i="208"/>
  <c r="Q2440" i="208" s="1"/>
  <c r="I2440" i="208"/>
  <c r="J2440" i="208"/>
  <c r="L2440" i="208"/>
  <c r="C2441" i="208"/>
  <c r="D2441" i="208"/>
  <c r="E2441" i="208"/>
  <c r="S2441" i="208" s="1"/>
  <c r="H2441" i="208"/>
  <c r="Q2441" i="208" s="1"/>
  <c r="I2441" i="208"/>
  <c r="J2441" i="208"/>
  <c r="L2441" i="208"/>
  <c r="C2442" i="208"/>
  <c r="D2442" i="208"/>
  <c r="E2442" i="208"/>
  <c r="S2442" i="208" s="1"/>
  <c r="H2442" i="208"/>
  <c r="Q2442" i="208" s="1"/>
  <c r="I2442" i="208"/>
  <c r="J2442" i="208"/>
  <c r="L2442" i="208"/>
  <c r="C2443" i="208"/>
  <c r="D2443" i="208"/>
  <c r="E2443" i="208"/>
  <c r="S2443" i="208" s="1"/>
  <c r="H2443" i="208"/>
  <c r="Q2443" i="208" s="1"/>
  <c r="I2443" i="208"/>
  <c r="J2443" i="208"/>
  <c r="L2443" i="208"/>
  <c r="C2444" i="208"/>
  <c r="D2444" i="208"/>
  <c r="E2444" i="208"/>
  <c r="S2444" i="208" s="1"/>
  <c r="H2444" i="208"/>
  <c r="Q2444" i="208" s="1"/>
  <c r="I2444" i="208"/>
  <c r="J2444" i="208"/>
  <c r="L2444" i="208"/>
  <c r="C2445" i="208"/>
  <c r="D2445" i="208"/>
  <c r="E2445" i="208"/>
  <c r="S2445" i="208" s="1"/>
  <c r="H2445" i="208"/>
  <c r="Q2445" i="208" s="1"/>
  <c r="I2445" i="208"/>
  <c r="J2445" i="208"/>
  <c r="L2445" i="208"/>
  <c r="C2446" i="208"/>
  <c r="D2446" i="208"/>
  <c r="E2446" i="208"/>
  <c r="S2446" i="208" s="1"/>
  <c r="H2446" i="208"/>
  <c r="Q2446" i="208" s="1"/>
  <c r="I2446" i="208"/>
  <c r="J2446" i="208"/>
  <c r="L2446" i="208"/>
  <c r="C2447" i="208"/>
  <c r="D2447" i="208"/>
  <c r="E2447" i="208"/>
  <c r="S2447" i="208" s="1"/>
  <c r="H2447" i="208"/>
  <c r="Q2447" i="208" s="1"/>
  <c r="I2447" i="208"/>
  <c r="J2447" i="208"/>
  <c r="L2447" i="208"/>
  <c r="C2448" i="208"/>
  <c r="D2448" i="208"/>
  <c r="E2448" i="208"/>
  <c r="S2448" i="208" s="1"/>
  <c r="H2448" i="208"/>
  <c r="Q2448" i="208" s="1"/>
  <c r="I2448" i="208"/>
  <c r="J2448" i="208"/>
  <c r="L2448" i="208"/>
  <c r="C2449" i="208"/>
  <c r="D2449" i="208"/>
  <c r="E2449" i="208"/>
  <c r="S2449" i="208" s="1"/>
  <c r="H2449" i="208"/>
  <c r="Q2449" i="208" s="1"/>
  <c r="I2449" i="208"/>
  <c r="J2449" i="208"/>
  <c r="L2449" i="208"/>
  <c r="C2450" i="208"/>
  <c r="D2450" i="208"/>
  <c r="E2450" i="208"/>
  <c r="S2450" i="208" s="1"/>
  <c r="H2450" i="208"/>
  <c r="Q2450" i="208" s="1"/>
  <c r="I2450" i="208"/>
  <c r="J2450" i="208"/>
  <c r="L2450" i="208"/>
  <c r="C2451" i="208"/>
  <c r="D2451" i="208"/>
  <c r="E2451" i="208"/>
  <c r="S2451" i="208" s="1"/>
  <c r="H2451" i="208"/>
  <c r="Q2451" i="208" s="1"/>
  <c r="I2451" i="208"/>
  <c r="J2451" i="208"/>
  <c r="L2451" i="208"/>
  <c r="C2452" i="208"/>
  <c r="D2452" i="208"/>
  <c r="E2452" i="208"/>
  <c r="S2452" i="208" s="1"/>
  <c r="H2452" i="208"/>
  <c r="Q2452" i="208" s="1"/>
  <c r="I2452" i="208"/>
  <c r="J2452" i="208"/>
  <c r="L2452" i="208"/>
  <c r="C2453" i="208"/>
  <c r="D2453" i="208"/>
  <c r="E2453" i="208"/>
  <c r="S2453" i="208" s="1"/>
  <c r="H2453" i="208"/>
  <c r="Q2453" i="208" s="1"/>
  <c r="I2453" i="208"/>
  <c r="J2453" i="208"/>
  <c r="L2453" i="208"/>
  <c r="C2454" i="208"/>
  <c r="D2454" i="208"/>
  <c r="E2454" i="208"/>
  <c r="S2454" i="208" s="1"/>
  <c r="H2454" i="208"/>
  <c r="Q2454" i="208" s="1"/>
  <c r="I2454" i="208"/>
  <c r="J2454" i="208"/>
  <c r="L2454" i="208"/>
  <c r="C2455" i="208"/>
  <c r="D2455" i="208"/>
  <c r="E2455" i="208"/>
  <c r="S2455" i="208" s="1"/>
  <c r="H2455" i="208"/>
  <c r="Q2455" i="208" s="1"/>
  <c r="I2455" i="208"/>
  <c r="J2455" i="208"/>
  <c r="L2455" i="208"/>
  <c r="C2456" i="208"/>
  <c r="D2456" i="208"/>
  <c r="E2456" i="208"/>
  <c r="S2456" i="208" s="1"/>
  <c r="H2456" i="208"/>
  <c r="Q2456" i="208" s="1"/>
  <c r="I2456" i="208"/>
  <c r="J2456" i="208"/>
  <c r="L2456" i="208"/>
  <c r="C2457" i="208"/>
  <c r="D2457" i="208"/>
  <c r="E2457" i="208"/>
  <c r="S2457" i="208" s="1"/>
  <c r="H2457" i="208"/>
  <c r="Q2457" i="208" s="1"/>
  <c r="I2457" i="208"/>
  <c r="J2457" i="208"/>
  <c r="L2457" i="208"/>
  <c r="C2458" i="208"/>
  <c r="D2458" i="208"/>
  <c r="E2458" i="208"/>
  <c r="S2458" i="208" s="1"/>
  <c r="H2458" i="208"/>
  <c r="Q2458" i="208" s="1"/>
  <c r="I2458" i="208"/>
  <c r="J2458" i="208"/>
  <c r="L2458" i="208"/>
  <c r="C2459" i="208"/>
  <c r="D2459" i="208"/>
  <c r="E2459" i="208"/>
  <c r="S2459" i="208" s="1"/>
  <c r="H2459" i="208"/>
  <c r="Q2459" i="208" s="1"/>
  <c r="I2459" i="208"/>
  <c r="J2459" i="208"/>
  <c r="L2459" i="208"/>
  <c r="C2460" i="208"/>
  <c r="D2460" i="208"/>
  <c r="E2460" i="208"/>
  <c r="S2460" i="208" s="1"/>
  <c r="H2460" i="208"/>
  <c r="Q2460" i="208" s="1"/>
  <c r="I2460" i="208"/>
  <c r="J2460" i="208"/>
  <c r="L2460" i="208"/>
  <c r="C2461" i="208"/>
  <c r="D2461" i="208"/>
  <c r="E2461" i="208"/>
  <c r="S2461" i="208" s="1"/>
  <c r="H2461" i="208"/>
  <c r="Q2461" i="208" s="1"/>
  <c r="I2461" i="208"/>
  <c r="J2461" i="208"/>
  <c r="L2461" i="208"/>
  <c r="C2462" i="208"/>
  <c r="D2462" i="208"/>
  <c r="E2462" i="208"/>
  <c r="S2462" i="208" s="1"/>
  <c r="H2462" i="208"/>
  <c r="Q2462" i="208" s="1"/>
  <c r="I2462" i="208"/>
  <c r="J2462" i="208"/>
  <c r="L2462" i="208"/>
  <c r="C2463" i="208"/>
  <c r="D2463" i="208"/>
  <c r="E2463" i="208"/>
  <c r="S2463" i="208" s="1"/>
  <c r="H2463" i="208"/>
  <c r="Q2463" i="208" s="1"/>
  <c r="I2463" i="208"/>
  <c r="J2463" i="208"/>
  <c r="L2463" i="208"/>
  <c r="C2464" i="208"/>
  <c r="D2464" i="208"/>
  <c r="E2464" i="208"/>
  <c r="S2464" i="208" s="1"/>
  <c r="H2464" i="208"/>
  <c r="Q2464" i="208" s="1"/>
  <c r="I2464" i="208"/>
  <c r="J2464" i="208"/>
  <c r="L2464" i="208"/>
  <c r="C2465" i="208"/>
  <c r="D2465" i="208"/>
  <c r="E2465" i="208"/>
  <c r="S2465" i="208" s="1"/>
  <c r="H2465" i="208"/>
  <c r="Q2465" i="208" s="1"/>
  <c r="I2465" i="208"/>
  <c r="J2465" i="208"/>
  <c r="L2465" i="208"/>
  <c r="C2466" i="208"/>
  <c r="D2466" i="208"/>
  <c r="E2466" i="208"/>
  <c r="S2466" i="208" s="1"/>
  <c r="H2466" i="208"/>
  <c r="Q2466" i="208" s="1"/>
  <c r="I2466" i="208"/>
  <c r="J2466" i="208"/>
  <c r="L2466" i="208"/>
  <c r="C2467" i="208"/>
  <c r="D2467" i="208"/>
  <c r="E2467" i="208"/>
  <c r="S2467" i="208" s="1"/>
  <c r="H2467" i="208"/>
  <c r="Q2467" i="208" s="1"/>
  <c r="I2467" i="208"/>
  <c r="J2467" i="208"/>
  <c r="L2467" i="208"/>
  <c r="C2468" i="208"/>
  <c r="D2468" i="208"/>
  <c r="E2468" i="208"/>
  <c r="S2468" i="208" s="1"/>
  <c r="H2468" i="208"/>
  <c r="Q2468" i="208" s="1"/>
  <c r="I2468" i="208"/>
  <c r="J2468" i="208"/>
  <c r="L2468" i="208"/>
  <c r="C2469" i="208"/>
  <c r="D2469" i="208"/>
  <c r="E2469" i="208"/>
  <c r="S2469" i="208" s="1"/>
  <c r="H2469" i="208"/>
  <c r="Q2469" i="208" s="1"/>
  <c r="I2469" i="208"/>
  <c r="J2469" i="208"/>
  <c r="L2469" i="208"/>
  <c r="C2470" i="208"/>
  <c r="D2470" i="208"/>
  <c r="E2470" i="208"/>
  <c r="S2470" i="208" s="1"/>
  <c r="H2470" i="208"/>
  <c r="Q2470" i="208" s="1"/>
  <c r="I2470" i="208"/>
  <c r="J2470" i="208"/>
  <c r="L2470" i="208"/>
  <c r="C2471" i="208"/>
  <c r="D2471" i="208"/>
  <c r="E2471" i="208"/>
  <c r="S2471" i="208" s="1"/>
  <c r="H2471" i="208"/>
  <c r="Q2471" i="208" s="1"/>
  <c r="I2471" i="208"/>
  <c r="J2471" i="208"/>
  <c r="L2471" i="208"/>
  <c r="C2472" i="208"/>
  <c r="D2472" i="208"/>
  <c r="E2472" i="208"/>
  <c r="S2472" i="208" s="1"/>
  <c r="H2472" i="208"/>
  <c r="Q2472" i="208" s="1"/>
  <c r="I2472" i="208"/>
  <c r="J2472" i="208"/>
  <c r="L2472" i="208"/>
  <c r="C2473" i="208"/>
  <c r="D2473" i="208"/>
  <c r="E2473" i="208"/>
  <c r="S2473" i="208" s="1"/>
  <c r="H2473" i="208"/>
  <c r="Q2473" i="208" s="1"/>
  <c r="I2473" i="208"/>
  <c r="J2473" i="208"/>
  <c r="L2473" i="208"/>
  <c r="C2474" i="208"/>
  <c r="D2474" i="208"/>
  <c r="E2474" i="208"/>
  <c r="S2474" i="208" s="1"/>
  <c r="H2474" i="208"/>
  <c r="Q2474" i="208" s="1"/>
  <c r="I2474" i="208"/>
  <c r="J2474" i="208"/>
  <c r="L2474" i="208"/>
  <c r="C2475" i="208"/>
  <c r="D2475" i="208"/>
  <c r="E2475" i="208"/>
  <c r="S2475" i="208" s="1"/>
  <c r="H2475" i="208"/>
  <c r="Q2475" i="208" s="1"/>
  <c r="I2475" i="208"/>
  <c r="J2475" i="208"/>
  <c r="L2475" i="208"/>
  <c r="C2476" i="208"/>
  <c r="D2476" i="208"/>
  <c r="E2476" i="208"/>
  <c r="S2476" i="208" s="1"/>
  <c r="H2476" i="208"/>
  <c r="Q2476" i="208" s="1"/>
  <c r="I2476" i="208"/>
  <c r="J2476" i="208"/>
  <c r="L2476" i="208"/>
  <c r="C2477" i="208"/>
  <c r="D2477" i="208"/>
  <c r="E2477" i="208"/>
  <c r="S2477" i="208" s="1"/>
  <c r="H2477" i="208"/>
  <c r="Q2477" i="208" s="1"/>
  <c r="I2477" i="208"/>
  <c r="J2477" i="208"/>
  <c r="L2477" i="208"/>
  <c r="C2478" i="208"/>
  <c r="D2478" i="208"/>
  <c r="E2478" i="208"/>
  <c r="S2478" i="208" s="1"/>
  <c r="H2478" i="208"/>
  <c r="Q2478" i="208" s="1"/>
  <c r="I2478" i="208"/>
  <c r="J2478" i="208"/>
  <c r="L2478" i="208"/>
  <c r="C2479" i="208"/>
  <c r="D2479" i="208"/>
  <c r="E2479" i="208"/>
  <c r="S2479" i="208" s="1"/>
  <c r="H2479" i="208"/>
  <c r="Q2479" i="208" s="1"/>
  <c r="I2479" i="208"/>
  <c r="J2479" i="208"/>
  <c r="L2479" i="208"/>
  <c r="C2480" i="208"/>
  <c r="D2480" i="208"/>
  <c r="E2480" i="208"/>
  <c r="S2480" i="208" s="1"/>
  <c r="H2480" i="208"/>
  <c r="Q2480" i="208" s="1"/>
  <c r="I2480" i="208"/>
  <c r="J2480" i="208"/>
  <c r="L2480" i="208"/>
  <c r="C2481" i="208"/>
  <c r="D2481" i="208"/>
  <c r="E2481" i="208"/>
  <c r="S2481" i="208" s="1"/>
  <c r="H2481" i="208"/>
  <c r="Q2481" i="208" s="1"/>
  <c r="I2481" i="208"/>
  <c r="J2481" i="208"/>
  <c r="L2481" i="208"/>
  <c r="C2482" i="208"/>
  <c r="D2482" i="208"/>
  <c r="E2482" i="208"/>
  <c r="S2482" i="208" s="1"/>
  <c r="H2482" i="208"/>
  <c r="Q2482" i="208" s="1"/>
  <c r="I2482" i="208"/>
  <c r="J2482" i="208"/>
  <c r="L2482" i="208"/>
  <c r="C2483" i="208"/>
  <c r="D2483" i="208"/>
  <c r="E2483" i="208"/>
  <c r="S2483" i="208" s="1"/>
  <c r="H2483" i="208"/>
  <c r="Q2483" i="208" s="1"/>
  <c r="I2483" i="208"/>
  <c r="J2483" i="208"/>
  <c r="L2483" i="208"/>
  <c r="C2484" i="208"/>
  <c r="D2484" i="208"/>
  <c r="E2484" i="208"/>
  <c r="S2484" i="208" s="1"/>
  <c r="H2484" i="208"/>
  <c r="Q2484" i="208" s="1"/>
  <c r="I2484" i="208"/>
  <c r="J2484" i="208"/>
  <c r="L2484" i="208"/>
  <c r="C2485" i="208"/>
  <c r="D2485" i="208"/>
  <c r="E2485" i="208"/>
  <c r="S2485" i="208" s="1"/>
  <c r="H2485" i="208"/>
  <c r="Q2485" i="208" s="1"/>
  <c r="I2485" i="208"/>
  <c r="J2485" i="208"/>
  <c r="L2485" i="208"/>
  <c r="C2486" i="208"/>
  <c r="D2486" i="208"/>
  <c r="E2486" i="208"/>
  <c r="S2486" i="208" s="1"/>
  <c r="H2486" i="208"/>
  <c r="Q2486" i="208" s="1"/>
  <c r="I2486" i="208"/>
  <c r="J2486" i="208"/>
  <c r="L2486" i="208"/>
  <c r="C2487" i="208"/>
  <c r="D2487" i="208"/>
  <c r="E2487" i="208"/>
  <c r="S2487" i="208" s="1"/>
  <c r="H2487" i="208"/>
  <c r="Q2487" i="208" s="1"/>
  <c r="I2487" i="208"/>
  <c r="J2487" i="208"/>
  <c r="L2487" i="208"/>
  <c r="C2488" i="208"/>
  <c r="D2488" i="208"/>
  <c r="E2488" i="208"/>
  <c r="S2488" i="208" s="1"/>
  <c r="H2488" i="208"/>
  <c r="Q2488" i="208" s="1"/>
  <c r="I2488" i="208"/>
  <c r="J2488" i="208"/>
  <c r="L2488" i="208"/>
  <c r="C2489" i="208"/>
  <c r="D2489" i="208"/>
  <c r="E2489" i="208"/>
  <c r="S2489" i="208" s="1"/>
  <c r="H2489" i="208"/>
  <c r="Q2489" i="208" s="1"/>
  <c r="I2489" i="208"/>
  <c r="J2489" i="208"/>
  <c r="L2489" i="208"/>
  <c r="C2490" i="208"/>
  <c r="D2490" i="208"/>
  <c r="E2490" i="208"/>
  <c r="S2490" i="208" s="1"/>
  <c r="H2490" i="208"/>
  <c r="Q2490" i="208" s="1"/>
  <c r="I2490" i="208"/>
  <c r="J2490" i="208"/>
  <c r="L2490" i="208"/>
  <c r="C2491" i="208"/>
  <c r="D2491" i="208"/>
  <c r="E2491" i="208"/>
  <c r="S2491" i="208" s="1"/>
  <c r="H2491" i="208"/>
  <c r="Q2491" i="208" s="1"/>
  <c r="I2491" i="208"/>
  <c r="J2491" i="208"/>
  <c r="L2491" i="208"/>
  <c r="C2492" i="208"/>
  <c r="D2492" i="208"/>
  <c r="E2492" i="208"/>
  <c r="S2492" i="208" s="1"/>
  <c r="H2492" i="208"/>
  <c r="Q2492" i="208" s="1"/>
  <c r="I2492" i="208"/>
  <c r="J2492" i="208"/>
  <c r="L2492" i="208"/>
  <c r="C2493" i="208"/>
  <c r="D2493" i="208"/>
  <c r="E2493" i="208"/>
  <c r="S2493" i="208" s="1"/>
  <c r="H2493" i="208"/>
  <c r="Q2493" i="208" s="1"/>
  <c r="I2493" i="208"/>
  <c r="J2493" i="208"/>
  <c r="L2493" i="208"/>
  <c r="C2494" i="208"/>
  <c r="D2494" i="208"/>
  <c r="E2494" i="208"/>
  <c r="S2494" i="208" s="1"/>
  <c r="H2494" i="208"/>
  <c r="Q2494" i="208" s="1"/>
  <c r="I2494" i="208"/>
  <c r="J2494" i="208"/>
  <c r="L2494" i="208"/>
  <c r="C2495" i="208"/>
  <c r="D2495" i="208"/>
  <c r="E2495" i="208"/>
  <c r="S2495" i="208" s="1"/>
  <c r="H2495" i="208"/>
  <c r="Q2495" i="208" s="1"/>
  <c r="I2495" i="208"/>
  <c r="J2495" i="208"/>
  <c r="L2495" i="208"/>
  <c r="C2496" i="208"/>
  <c r="D2496" i="208"/>
  <c r="E2496" i="208"/>
  <c r="S2496" i="208" s="1"/>
  <c r="H2496" i="208"/>
  <c r="Q2496" i="208" s="1"/>
  <c r="I2496" i="208"/>
  <c r="J2496" i="208"/>
  <c r="L2496" i="208"/>
  <c r="C2497" i="208"/>
  <c r="D2497" i="208"/>
  <c r="E2497" i="208"/>
  <c r="S2497" i="208" s="1"/>
  <c r="H2497" i="208"/>
  <c r="Q2497" i="208" s="1"/>
  <c r="I2497" i="208"/>
  <c r="J2497" i="208"/>
  <c r="L2497" i="208"/>
  <c r="C2498" i="208"/>
  <c r="D2498" i="208"/>
  <c r="E2498" i="208"/>
  <c r="S2498" i="208" s="1"/>
  <c r="H2498" i="208"/>
  <c r="Q2498" i="208" s="1"/>
  <c r="I2498" i="208"/>
  <c r="J2498" i="208"/>
  <c r="L2498" i="208"/>
  <c r="C2499" i="208"/>
  <c r="D2499" i="208"/>
  <c r="E2499" i="208"/>
  <c r="S2499" i="208" s="1"/>
  <c r="H2499" i="208"/>
  <c r="Q2499" i="208" s="1"/>
  <c r="I2499" i="208"/>
  <c r="J2499" i="208"/>
  <c r="L2499" i="208"/>
  <c r="C2500" i="208"/>
  <c r="D2500" i="208"/>
  <c r="E2500" i="208"/>
  <c r="S2500" i="208" s="1"/>
  <c r="H2500" i="208"/>
  <c r="Q2500" i="208" s="1"/>
  <c r="I2500" i="208"/>
  <c r="J2500" i="208"/>
  <c r="L2500" i="208"/>
  <c r="C2501" i="208"/>
  <c r="D2501" i="208"/>
  <c r="E2501" i="208"/>
  <c r="S2501" i="208" s="1"/>
  <c r="H2501" i="208"/>
  <c r="Q2501" i="208" s="1"/>
  <c r="I2501" i="208"/>
  <c r="J2501" i="208"/>
  <c r="L2501" i="208"/>
  <c r="C2502" i="208"/>
  <c r="D2502" i="208"/>
  <c r="E2502" i="208"/>
  <c r="S2502" i="208" s="1"/>
  <c r="H2502" i="208"/>
  <c r="Q2502" i="208" s="1"/>
  <c r="I2502" i="208"/>
  <c r="J2502" i="208"/>
  <c r="L2502" i="208"/>
  <c r="C2503" i="208"/>
  <c r="D2503" i="208"/>
  <c r="E2503" i="208"/>
  <c r="S2503" i="208" s="1"/>
  <c r="H2503" i="208"/>
  <c r="Q2503" i="208" s="1"/>
  <c r="I2503" i="208"/>
  <c r="J2503" i="208"/>
  <c r="L2503" i="208"/>
  <c r="C2504" i="208"/>
  <c r="D2504" i="208"/>
  <c r="E2504" i="208"/>
  <c r="S2504" i="208" s="1"/>
  <c r="H2504" i="208"/>
  <c r="Q2504" i="208" s="1"/>
  <c r="I2504" i="208"/>
  <c r="J2504" i="208"/>
  <c r="L2504" i="208"/>
  <c r="C2505" i="208"/>
  <c r="D2505" i="208"/>
  <c r="E2505" i="208"/>
  <c r="S2505" i="208" s="1"/>
  <c r="H2505" i="208"/>
  <c r="Q2505" i="208" s="1"/>
  <c r="I2505" i="208"/>
  <c r="J2505" i="208"/>
  <c r="L2505" i="208"/>
  <c r="C2506" i="208"/>
  <c r="D2506" i="208"/>
  <c r="E2506" i="208"/>
  <c r="S2506" i="208" s="1"/>
  <c r="H2506" i="208"/>
  <c r="Q2506" i="208" s="1"/>
  <c r="I2506" i="208"/>
  <c r="J2506" i="208"/>
  <c r="L2506" i="208"/>
  <c r="C2507" i="208"/>
  <c r="D2507" i="208"/>
  <c r="E2507" i="208"/>
  <c r="S2507" i="208" s="1"/>
  <c r="H2507" i="208"/>
  <c r="Q2507" i="208" s="1"/>
  <c r="I2507" i="208"/>
  <c r="J2507" i="208"/>
  <c r="L2507" i="208"/>
  <c r="C2508" i="208"/>
  <c r="D2508" i="208"/>
  <c r="E2508" i="208"/>
  <c r="S2508" i="208" s="1"/>
  <c r="H2508" i="208"/>
  <c r="Q2508" i="208" s="1"/>
  <c r="I2508" i="208"/>
  <c r="J2508" i="208"/>
  <c r="L2508" i="208"/>
  <c r="C2509" i="208"/>
  <c r="D2509" i="208"/>
  <c r="E2509" i="208"/>
  <c r="S2509" i="208" s="1"/>
  <c r="H2509" i="208"/>
  <c r="Q2509" i="208" s="1"/>
  <c r="I2509" i="208"/>
  <c r="J2509" i="208"/>
  <c r="L2509" i="208"/>
  <c r="C2510" i="208"/>
  <c r="D2510" i="208"/>
  <c r="E2510" i="208"/>
  <c r="S2510" i="208" s="1"/>
  <c r="H2510" i="208"/>
  <c r="Q2510" i="208" s="1"/>
  <c r="I2510" i="208"/>
  <c r="J2510" i="208"/>
  <c r="L2510" i="208"/>
  <c r="C2511" i="208"/>
  <c r="D2511" i="208"/>
  <c r="E2511" i="208"/>
  <c r="S2511" i="208" s="1"/>
  <c r="H2511" i="208"/>
  <c r="Q2511" i="208" s="1"/>
  <c r="I2511" i="208"/>
  <c r="J2511" i="208"/>
  <c r="L2511" i="208"/>
  <c r="C2512" i="208"/>
  <c r="D2512" i="208"/>
  <c r="E2512" i="208"/>
  <c r="S2512" i="208" s="1"/>
  <c r="H2512" i="208"/>
  <c r="Q2512" i="208" s="1"/>
  <c r="I2512" i="208"/>
  <c r="J2512" i="208"/>
  <c r="L2512" i="208"/>
  <c r="C2513" i="208"/>
  <c r="D2513" i="208"/>
  <c r="E2513" i="208"/>
  <c r="S2513" i="208" s="1"/>
  <c r="H2513" i="208"/>
  <c r="Q2513" i="208" s="1"/>
  <c r="I2513" i="208"/>
  <c r="J2513" i="208"/>
  <c r="L2513" i="208"/>
  <c r="C2514" i="208"/>
  <c r="D2514" i="208"/>
  <c r="E2514" i="208"/>
  <c r="S2514" i="208" s="1"/>
  <c r="H2514" i="208"/>
  <c r="Q2514" i="208" s="1"/>
  <c r="I2514" i="208"/>
  <c r="J2514" i="208"/>
  <c r="L2514" i="208"/>
  <c r="C2515" i="208"/>
  <c r="D2515" i="208"/>
  <c r="E2515" i="208"/>
  <c r="S2515" i="208" s="1"/>
  <c r="H2515" i="208"/>
  <c r="Q2515" i="208" s="1"/>
  <c r="I2515" i="208"/>
  <c r="J2515" i="208"/>
  <c r="L2515" i="208"/>
  <c r="C2516" i="208"/>
  <c r="D2516" i="208"/>
  <c r="E2516" i="208"/>
  <c r="S2516" i="208" s="1"/>
  <c r="H2516" i="208"/>
  <c r="Q2516" i="208" s="1"/>
  <c r="I2516" i="208"/>
  <c r="J2516" i="208"/>
  <c r="L2516" i="208"/>
  <c r="C2517" i="208"/>
  <c r="D2517" i="208"/>
  <c r="E2517" i="208"/>
  <c r="S2517" i="208" s="1"/>
  <c r="H2517" i="208"/>
  <c r="Q2517" i="208" s="1"/>
  <c r="I2517" i="208"/>
  <c r="J2517" i="208"/>
  <c r="L2517" i="208"/>
  <c r="C2518" i="208"/>
  <c r="D2518" i="208"/>
  <c r="E2518" i="208"/>
  <c r="S2518" i="208" s="1"/>
  <c r="H2518" i="208"/>
  <c r="Q2518" i="208" s="1"/>
  <c r="I2518" i="208"/>
  <c r="J2518" i="208"/>
  <c r="L2518" i="208"/>
  <c r="C2519" i="208"/>
  <c r="D2519" i="208"/>
  <c r="E2519" i="208"/>
  <c r="S2519" i="208" s="1"/>
  <c r="H2519" i="208"/>
  <c r="Q2519" i="208" s="1"/>
  <c r="I2519" i="208"/>
  <c r="J2519" i="208"/>
  <c r="L2519" i="208"/>
  <c r="C2520" i="208"/>
  <c r="D2520" i="208"/>
  <c r="E2520" i="208"/>
  <c r="S2520" i="208" s="1"/>
  <c r="H2520" i="208"/>
  <c r="Q2520" i="208" s="1"/>
  <c r="I2520" i="208"/>
  <c r="J2520" i="208"/>
  <c r="L2520" i="208"/>
  <c r="C2521" i="208"/>
  <c r="D2521" i="208"/>
  <c r="E2521" i="208"/>
  <c r="S2521" i="208" s="1"/>
  <c r="H2521" i="208"/>
  <c r="Q2521" i="208" s="1"/>
  <c r="I2521" i="208"/>
  <c r="J2521" i="208"/>
  <c r="L2521" i="208"/>
  <c r="C2522" i="208"/>
  <c r="D2522" i="208"/>
  <c r="E2522" i="208"/>
  <c r="S2522" i="208" s="1"/>
  <c r="H2522" i="208"/>
  <c r="Q2522" i="208" s="1"/>
  <c r="I2522" i="208"/>
  <c r="J2522" i="208"/>
  <c r="L2522" i="208"/>
  <c r="C2523" i="208"/>
  <c r="D2523" i="208"/>
  <c r="E2523" i="208"/>
  <c r="S2523" i="208" s="1"/>
  <c r="H2523" i="208"/>
  <c r="Q2523" i="208" s="1"/>
  <c r="I2523" i="208"/>
  <c r="J2523" i="208"/>
  <c r="L2523" i="208"/>
  <c r="C2524" i="208"/>
  <c r="D2524" i="208"/>
  <c r="E2524" i="208"/>
  <c r="S2524" i="208" s="1"/>
  <c r="H2524" i="208"/>
  <c r="Q2524" i="208" s="1"/>
  <c r="I2524" i="208"/>
  <c r="J2524" i="208"/>
  <c r="L2524" i="208"/>
  <c r="C2525" i="208"/>
  <c r="D2525" i="208"/>
  <c r="E2525" i="208"/>
  <c r="S2525" i="208" s="1"/>
  <c r="H2525" i="208"/>
  <c r="Q2525" i="208" s="1"/>
  <c r="I2525" i="208"/>
  <c r="J2525" i="208"/>
  <c r="L2525" i="208"/>
  <c r="C2526" i="208"/>
  <c r="D2526" i="208"/>
  <c r="E2526" i="208"/>
  <c r="S2526" i="208" s="1"/>
  <c r="H2526" i="208"/>
  <c r="Q2526" i="208" s="1"/>
  <c r="I2526" i="208"/>
  <c r="J2526" i="208"/>
  <c r="L2526" i="208"/>
  <c r="C2527" i="208"/>
  <c r="D2527" i="208"/>
  <c r="E2527" i="208"/>
  <c r="S2527" i="208" s="1"/>
  <c r="H2527" i="208"/>
  <c r="Q2527" i="208" s="1"/>
  <c r="I2527" i="208"/>
  <c r="J2527" i="208"/>
  <c r="L2527" i="208"/>
  <c r="C2528" i="208"/>
  <c r="D2528" i="208"/>
  <c r="E2528" i="208"/>
  <c r="S2528" i="208" s="1"/>
  <c r="H2528" i="208"/>
  <c r="Q2528" i="208" s="1"/>
  <c r="I2528" i="208"/>
  <c r="J2528" i="208"/>
  <c r="L2528" i="208"/>
  <c r="C2529" i="208"/>
  <c r="D2529" i="208"/>
  <c r="E2529" i="208"/>
  <c r="S2529" i="208" s="1"/>
  <c r="H2529" i="208"/>
  <c r="Q2529" i="208" s="1"/>
  <c r="I2529" i="208"/>
  <c r="J2529" i="208"/>
  <c r="L2529" i="208"/>
  <c r="C2530" i="208"/>
  <c r="D2530" i="208"/>
  <c r="E2530" i="208"/>
  <c r="S2530" i="208" s="1"/>
  <c r="H2530" i="208"/>
  <c r="Q2530" i="208" s="1"/>
  <c r="I2530" i="208"/>
  <c r="J2530" i="208"/>
  <c r="L2530" i="208"/>
  <c r="C2531" i="208"/>
  <c r="D2531" i="208"/>
  <c r="E2531" i="208"/>
  <c r="S2531" i="208" s="1"/>
  <c r="H2531" i="208"/>
  <c r="Q2531" i="208" s="1"/>
  <c r="I2531" i="208"/>
  <c r="J2531" i="208"/>
  <c r="L2531" i="208"/>
  <c r="C2532" i="208"/>
  <c r="D2532" i="208"/>
  <c r="E2532" i="208"/>
  <c r="S2532" i="208" s="1"/>
  <c r="H2532" i="208"/>
  <c r="Q2532" i="208" s="1"/>
  <c r="I2532" i="208"/>
  <c r="J2532" i="208"/>
  <c r="L2532" i="208"/>
  <c r="C2533" i="208"/>
  <c r="D2533" i="208"/>
  <c r="E2533" i="208"/>
  <c r="S2533" i="208" s="1"/>
  <c r="H2533" i="208"/>
  <c r="Q2533" i="208" s="1"/>
  <c r="I2533" i="208"/>
  <c r="J2533" i="208"/>
  <c r="L2533" i="208"/>
  <c r="C2534" i="208"/>
  <c r="D2534" i="208"/>
  <c r="E2534" i="208"/>
  <c r="S2534" i="208" s="1"/>
  <c r="H2534" i="208"/>
  <c r="Q2534" i="208" s="1"/>
  <c r="I2534" i="208"/>
  <c r="J2534" i="208"/>
  <c r="L2534" i="208"/>
  <c r="C2535" i="208"/>
  <c r="D2535" i="208"/>
  <c r="E2535" i="208"/>
  <c r="S2535" i="208" s="1"/>
  <c r="H2535" i="208"/>
  <c r="Q2535" i="208" s="1"/>
  <c r="I2535" i="208"/>
  <c r="J2535" i="208"/>
  <c r="L2535" i="208"/>
  <c r="C2536" i="208"/>
  <c r="D2536" i="208"/>
  <c r="E2536" i="208"/>
  <c r="S2536" i="208" s="1"/>
  <c r="H2536" i="208"/>
  <c r="Q2536" i="208" s="1"/>
  <c r="I2536" i="208"/>
  <c r="J2536" i="208"/>
  <c r="L2536" i="208"/>
  <c r="C2537" i="208"/>
  <c r="D2537" i="208"/>
  <c r="E2537" i="208"/>
  <c r="S2537" i="208" s="1"/>
  <c r="H2537" i="208"/>
  <c r="Q2537" i="208" s="1"/>
  <c r="I2537" i="208"/>
  <c r="J2537" i="208"/>
  <c r="L2537" i="208"/>
  <c r="C2538" i="208"/>
  <c r="D2538" i="208"/>
  <c r="E2538" i="208"/>
  <c r="S2538" i="208" s="1"/>
  <c r="H2538" i="208"/>
  <c r="Q2538" i="208" s="1"/>
  <c r="I2538" i="208"/>
  <c r="J2538" i="208"/>
  <c r="L2538" i="208"/>
  <c r="C2539" i="208"/>
  <c r="D2539" i="208"/>
  <c r="E2539" i="208"/>
  <c r="S2539" i="208" s="1"/>
  <c r="H2539" i="208"/>
  <c r="Q2539" i="208" s="1"/>
  <c r="I2539" i="208"/>
  <c r="J2539" i="208"/>
  <c r="L2539" i="208"/>
  <c r="C2540" i="208"/>
  <c r="D2540" i="208"/>
  <c r="E2540" i="208"/>
  <c r="S2540" i="208" s="1"/>
  <c r="H2540" i="208"/>
  <c r="Q2540" i="208" s="1"/>
  <c r="I2540" i="208"/>
  <c r="J2540" i="208"/>
  <c r="L2540" i="208"/>
  <c r="C2541" i="208"/>
  <c r="D2541" i="208"/>
  <c r="E2541" i="208"/>
  <c r="S2541" i="208" s="1"/>
  <c r="H2541" i="208"/>
  <c r="Q2541" i="208" s="1"/>
  <c r="I2541" i="208"/>
  <c r="J2541" i="208"/>
  <c r="L2541" i="208"/>
  <c r="C2542" i="208"/>
  <c r="D2542" i="208"/>
  <c r="E2542" i="208"/>
  <c r="S2542" i="208" s="1"/>
  <c r="H2542" i="208"/>
  <c r="Q2542" i="208" s="1"/>
  <c r="I2542" i="208"/>
  <c r="J2542" i="208"/>
  <c r="L2542" i="208"/>
  <c r="C2543" i="208"/>
  <c r="D2543" i="208"/>
  <c r="E2543" i="208"/>
  <c r="S2543" i="208" s="1"/>
  <c r="H2543" i="208"/>
  <c r="Q2543" i="208" s="1"/>
  <c r="I2543" i="208"/>
  <c r="J2543" i="208"/>
  <c r="L2543" i="208"/>
  <c r="C2544" i="208"/>
  <c r="D2544" i="208"/>
  <c r="E2544" i="208"/>
  <c r="S2544" i="208" s="1"/>
  <c r="H2544" i="208"/>
  <c r="Q2544" i="208" s="1"/>
  <c r="I2544" i="208"/>
  <c r="J2544" i="208"/>
  <c r="L2544" i="208"/>
  <c r="C2545" i="208"/>
  <c r="D2545" i="208"/>
  <c r="E2545" i="208"/>
  <c r="S2545" i="208" s="1"/>
  <c r="H2545" i="208"/>
  <c r="Q2545" i="208" s="1"/>
  <c r="I2545" i="208"/>
  <c r="J2545" i="208"/>
  <c r="L2545" i="208"/>
  <c r="C2546" i="208"/>
  <c r="D2546" i="208"/>
  <c r="E2546" i="208"/>
  <c r="S2546" i="208" s="1"/>
  <c r="H2546" i="208"/>
  <c r="Q2546" i="208" s="1"/>
  <c r="I2546" i="208"/>
  <c r="J2546" i="208"/>
  <c r="L2546" i="208"/>
  <c r="C2547" i="208"/>
  <c r="D2547" i="208"/>
  <c r="E2547" i="208"/>
  <c r="S2547" i="208" s="1"/>
  <c r="H2547" i="208"/>
  <c r="Q2547" i="208" s="1"/>
  <c r="I2547" i="208"/>
  <c r="J2547" i="208"/>
  <c r="L2547" i="208"/>
  <c r="C2548" i="208"/>
  <c r="D2548" i="208"/>
  <c r="E2548" i="208"/>
  <c r="S2548" i="208" s="1"/>
  <c r="H2548" i="208"/>
  <c r="Q2548" i="208" s="1"/>
  <c r="I2548" i="208"/>
  <c r="J2548" i="208"/>
  <c r="L2548" i="208"/>
  <c r="C2549" i="208"/>
  <c r="D2549" i="208"/>
  <c r="E2549" i="208"/>
  <c r="S2549" i="208" s="1"/>
  <c r="H2549" i="208"/>
  <c r="Q2549" i="208" s="1"/>
  <c r="I2549" i="208"/>
  <c r="J2549" i="208"/>
  <c r="L2549" i="208"/>
  <c r="C2550" i="208"/>
  <c r="D2550" i="208"/>
  <c r="E2550" i="208"/>
  <c r="S2550" i="208" s="1"/>
  <c r="H2550" i="208"/>
  <c r="Q2550" i="208" s="1"/>
  <c r="I2550" i="208"/>
  <c r="J2550" i="208"/>
  <c r="L2550" i="208"/>
  <c r="C2551" i="208"/>
  <c r="D2551" i="208"/>
  <c r="E2551" i="208"/>
  <c r="S2551" i="208" s="1"/>
  <c r="H2551" i="208"/>
  <c r="Q2551" i="208" s="1"/>
  <c r="I2551" i="208"/>
  <c r="J2551" i="208"/>
  <c r="L2551" i="208"/>
  <c r="C2552" i="208"/>
  <c r="D2552" i="208"/>
  <c r="E2552" i="208"/>
  <c r="S2552" i="208" s="1"/>
  <c r="H2552" i="208"/>
  <c r="Q2552" i="208" s="1"/>
  <c r="I2552" i="208"/>
  <c r="J2552" i="208"/>
  <c r="L2552" i="208"/>
  <c r="C2553" i="208"/>
  <c r="D2553" i="208"/>
  <c r="E2553" i="208"/>
  <c r="S2553" i="208" s="1"/>
  <c r="H2553" i="208"/>
  <c r="Q2553" i="208" s="1"/>
  <c r="I2553" i="208"/>
  <c r="J2553" i="208"/>
  <c r="L2553" i="208"/>
  <c r="C2554" i="208"/>
  <c r="D2554" i="208"/>
  <c r="E2554" i="208"/>
  <c r="S2554" i="208" s="1"/>
  <c r="H2554" i="208"/>
  <c r="Q2554" i="208" s="1"/>
  <c r="I2554" i="208"/>
  <c r="J2554" i="208"/>
  <c r="L2554" i="208"/>
  <c r="C2555" i="208"/>
  <c r="D2555" i="208"/>
  <c r="E2555" i="208"/>
  <c r="S2555" i="208" s="1"/>
  <c r="H2555" i="208"/>
  <c r="Q2555" i="208" s="1"/>
  <c r="I2555" i="208"/>
  <c r="J2555" i="208"/>
  <c r="L2555" i="208"/>
  <c r="C2556" i="208"/>
  <c r="D2556" i="208"/>
  <c r="E2556" i="208"/>
  <c r="S2556" i="208" s="1"/>
  <c r="H2556" i="208"/>
  <c r="Q2556" i="208" s="1"/>
  <c r="I2556" i="208"/>
  <c r="J2556" i="208"/>
  <c r="L2556" i="208"/>
  <c r="C2557" i="208"/>
  <c r="D2557" i="208"/>
  <c r="E2557" i="208"/>
  <c r="S2557" i="208" s="1"/>
  <c r="H2557" i="208"/>
  <c r="Q2557" i="208" s="1"/>
  <c r="I2557" i="208"/>
  <c r="J2557" i="208"/>
  <c r="L2557" i="208"/>
  <c r="C2558" i="208"/>
  <c r="D2558" i="208"/>
  <c r="E2558" i="208"/>
  <c r="S2558" i="208" s="1"/>
  <c r="H2558" i="208"/>
  <c r="Q2558" i="208" s="1"/>
  <c r="I2558" i="208"/>
  <c r="J2558" i="208"/>
  <c r="L2558" i="208"/>
  <c r="C2559" i="208"/>
  <c r="D2559" i="208"/>
  <c r="E2559" i="208"/>
  <c r="S2559" i="208" s="1"/>
  <c r="H2559" i="208"/>
  <c r="Q2559" i="208" s="1"/>
  <c r="I2559" i="208"/>
  <c r="J2559" i="208"/>
  <c r="L2559" i="208"/>
  <c r="C2560" i="208"/>
  <c r="D2560" i="208"/>
  <c r="E2560" i="208"/>
  <c r="S2560" i="208" s="1"/>
  <c r="H2560" i="208"/>
  <c r="Q2560" i="208" s="1"/>
  <c r="I2560" i="208"/>
  <c r="J2560" i="208"/>
  <c r="L2560" i="208"/>
  <c r="C2561" i="208"/>
  <c r="D2561" i="208"/>
  <c r="E2561" i="208"/>
  <c r="S2561" i="208" s="1"/>
  <c r="H2561" i="208"/>
  <c r="Q2561" i="208" s="1"/>
  <c r="I2561" i="208"/>
  <c r="J2561" i="208"/>
  <c r="L2561" i="208"/>
  <c r="C2562" i="208"/>
  <c r="D2562" i="208"/>
  <c r="E2562" i="208"/>
  <c r="S2562" i="208" s="1"/>
  <c r="H2562" i="208"/>
  <c r="Q2562" i="208" s="1"/>
  <c r="I2562" i="208"/>
  <c r="J2562" i="208"/>
  <c r="L2562" i="208"/>
  <c r="C2563" i="208"/>
  <c r="D2563" i="208"/>
  <c r="E2563" i="208"/>
  <c r="S2563" i="208" s="1"/>
  <c r="H2563" i="208"/>
  <c r="Q2563" i="208" s="1"/>
  <c r="I2563" i="208"/>
  <c r="J2563" i="208"/>
  <c r="L2563" i="208"/>
  <c r="C2564" i="208"/>
  <c r="D2564" i="208"/>
  <c r="E2564" i="208"/>
  <c r="S2564" i="208" s="1"/>
  <c r="H2564" i="208"/>
  <c r="Q2564" i="208" s="1"/>
  <c r="I2564" i="208"/>
  <c r="J2564" i="208"/>
  <c r="L2564" i="208"/>
  <c r="C2565" i="208"/>
  <c r="D2565" i="208"/>
  <c r="E2565" i="208"/>
  <c r="S2565" i="208" s="1"/>
  <c r="H2565" i="208"/>
  <c r="Q2565" i="208" s="1"/>
  <c r="I2565" i="208"/>
  <c r="J2565" i="208"/>
  <c r="L2565" i="208"/>
  <c r="C2566" i="208"/>
  <c r="D2566" i="208"/>
  <c r="E2566" i="208"/>
  <c r="S2566" i="208" s="1"/>
  <c r="H2566" i="208"/>
  <c r="Q2566" i="208" s="1"/>
  <c r="I2566" i="208"/>
  <c r="J2566" i="208"/>
  <c r="L2566" i="208"/>
  <c r="C2567" i="208"/>
  <c r="D2567" i="208"/>
  <c r="E2567" i="208"/>
  <c r="S2567" i="208" s="1"/>
  <c r="H2567" i="208"/>
  <c r="Q2567" i="208" s="1"/>
  <c r="I2567" i="208"/>
  <c r="J2567" i="208"/>
  <c r="L2567" i="208"/>
  <c r="C2568" i="208"/>
  <c r="D2568" i="208"/>
  <c r="E2568" i="208"/>
  <c r="S2568" i="208" s="1"/>
  <c r="H2568" i="208"/>
  <c r="Q2568" i="208" s="1"/>
  <c r="I2568" i="208"/>
  <c r="J2568" i="208"/>
  <c r="L2568" i="208"/>
  <c r="C2569" i="208"/>
  <c r="D2569" i="208"/>
  <c r="E2569" i="208"/>
  <c r="S2569" i="208" s="1"/>
  <c r="H2569" i="208"/>
  <c r="Q2569" i="208" s="1"/>
  <c r="I2569" i="208"/>
  <c r="J2569" i="208"/>
  <c r="L2569" i="208"/>
  <c r="C2570" i="208"/>
  <c r="D2570" i="208"/>
  <c r="E2570" i="208"/>
  <c r="S2570" i="208" s="1"/>
  <c r="H2570" i="208"/>
  <c r="Q2570" i="208" s="1"/>
  <c r="I2570" i="208"/>
  <c r="J2570" i="208"/>
  <c r="L2570" i="208"/>
  <c r="C2571" i="208"/>
  <c r="D2571" i="208"/>
  <c r="E2571" i="208"/>
  <c r="S2571" i="208" s="1"/>
  <c r="H2571" i="208"/>
  <c r="Q2571" i="208" s="1"/>
  <c r="I2571" i="208"/>
  <c r="J2571" i="208"/>
  <c r="L2571" i="208"/>
  <c r="C2572" i="208"/>
  <c r="D2572" i="208"/>
  <c r="E2572" i="208"/>
  <c r="S2572" i="208" s="1"/>
  <c r="H2572" i="208"/>
  <c r="Q2572" i="208" s="1"/>
  <c r="I2572" i="208"/>
  <c r="J2572" i="208"/>
  <c r="L2572" i="208"/>
  <c r="C2573" i="208"/>
  <c r="D2573" i="208"/>
  <c r="E2573" i="208"/>
  <c r="S2573" i="208" s="1"/>
  <c r="H2573" i="208"/>
  <c r="Q2573" i="208" s="1"/>
  <c r="I2573" i="208"/>
  <c r="J2573" i="208"/>
  <c r="L2573" i="208"/>
  <c r="C2574" i="208"/>
  <c r="D2574" i="208"/>
  <c r="E2574" i="208"/>
  <c r="S2574" i="208" s="1"/>
  <c r="H2574" i="208"/>
  <c r="Q2574" i="208" s="1"/>
  <c r="I2574" i="208"/>
  <c r="J2574" i="208"/>
  <c r="L2574" i="208"/>
  <c r="C2575" i="208"/>
  <c r="D2575" i="208"/>
  <c r="E2575" i="208"/>
  <c r="S2575" i="208" s="1"/>
  <c r="H2575" i="208"/>
  <c r="Q2575" i="208" s="1"/>
  <c r="I2575" i="208"/>
  <c r="J2575" i="208"/>
  <c r="L2575" i="208"/>
  <c r="C2576" i="208"/>
  <c r="D2576" i="208"/>
  <c r="E2576" i="208"/>
  <c r="S2576" i="208" s="1"/>
  <c r="H2576" i="208"/>
  <c r="Q2576" i="208" s="1"/>
  <c r="I2576" i="208"/>
  <c r="J2576" i="208"/>
  <c r="L2576" i="208"/>
  <c r="C2577" i="208"/>
  <c r="D2577" i="208"/>
  <c r="E2577" i="208"/>
  <c r="S2577" i="208" s="1"/>
  <c r="H2577" i="208"/>
  <c r="Q2577" i="208" s="1"/>
  <c r="I2577" i="208"/>
  <c r="J2577" i="208"/>
  <c r="L2577" i="208"/>
  <c r="C2578" i="208"/>
  <c r="D2578" i="208"/>
  <c r="E2578" i="208"/>
  <c r="S2578" i="208" s="1"/>
  <c r="H2578" i="208"/>
  <c r="Q2578" i="208" s="1"/>
  <c r="I2578" i="208"/>
  <c r="J2578" i="208"/>
  <c r="L2578" i="208"/>
  <c r="C2579" i="208"/>
  <c r="D2579" i="208"/>
  <c r="E2579" i="208"/>
  <c r="S2579" i="208" s="1"/>
  <c r="H2579" i="208"/>
  <c r="Q2579" i="208" s="1"/>
  <c r="I2579" i="208"/>
  <c r="J2579" i="208"/>
  <c r="L2579" i="208"/>
  <c r="C2580" i="208"/>
  <c r="D2580" i="208"/>
  <c r="E2580" i="208"/>
  <c r="S2580" i="208" s="1"/>
  <c r="H2580" i="208"/>
  <c r="Q2580" i="208" s="1"/>
  <c r="I2580" i="208"/>
  <c r="J2580" i="208"/>
  <c r="L2580" i="208"/>
  <c r="C2581" i="208"/>
  <c r="D2581" i="208"/>
  <c r="E2581" i="208"/>
  <c r="S2581" i="208" s="1"/>
  <c r="H2581" i="208"/>
  <c r="Q2581" i="208" s="1"/>
  <c r="I2581" i="208"/>
  <c r="J2581" i="208"/>
  <c r="L2581" i="208"/>
  <c r="C2582" i="208"/>
  <c r="D2582" i="208"/>
  <c r="E2582" i="208"/>
  <c r="S2582" i="208" s="1"/>
  <c r="H2582" i="208"/>
  <c r="Q2582" i="208" s="1"/>
  <c r="I2582" i="208"/>
  <c r="J2582" i="208"/>
  <c r="L2582" i="208"/>
  <c r="C2583" i="208"/>
  <c r="D2583" i="208"/>
  <c r="E2583" i="208"/>
  <c r="S2583" i="208" s="1"/>
  <c r="H2583" i="208"/>
  <c r="Q2583" i="208" s="1"/>
  <c r="I2583" i="208"/>
  <c r="J2583" i="208"/>
  <c r="L2583" i="208"/>
  <c r="C2584" i="208"/>
  <c r="D2584" i="208"/>
  <c r="E2584" i="208"/>
  <c r="S2584" i="208" s="1"/>
  <c r="H2584" i="208"/>
  <c r="Q2584" i="208" s="1"/>
  <c r="I2584" i="208"/>
  <c r="J2584" i="208"/>
  <c r="L2584" i="208"/>
  <c r="C2585" i="208"/>
  <c r="D2585" i="208"/>
  <c r="E2585" i="208"/>
  <c r="S2585" i="208" s="1"/>
  <c r="H2585" i="208"/>
  <c r="Q2585" i="208" s="1"/>
  <c r="I2585" i="208"/>
  <c r="J2585" i="208"/>
  <c r="L2585" i="208"/>
  <c r="C2586" i="208"/>
  <c r="D2586" i="208"/>
  <c r="E2586" i="208"/>
  <c r="S2586" i="208" s="1"/>
  <c r="H2586" i="208"/>
  <c r="Q2586" i="208" s="1"/>
  <c r="I2586" i="208"/>
  <c r="J2586" i="208"/>
  <c r="L2586" i="208"/>
  <c r="C2587" i="208"/>
  <c r="D2587" i="208"/>
  <c r="E2587" i="208"/>
  <c r="S2587" i="208" s="1"/>
  <c r="H2587" i="208"/>
  <c r="Q2587" i="208" s="1"/>
  <c r="I2587" i="208"/>
  <c r="J2587" i="208"/>
  <c r="L2587" i="208"/>
  <c r="C2588" i="208"/>
  <c r="D2588" i="208"/>
  <c r="E2588" i="208"/>
  <c r="S2588" i="208" s="1"/>
  <c r="H2588" i="208"/>
  <c r="Q2588" i="208" s="1"/>
  <c r="I2588" i="208"/>
  <c r="J2588" i="208"/>
  <c r="L2588" i="208"/>
  <c r="C2589" i="208"/>
  <c r="D2589" i="208"/>
  <c r="E2589" i="208"/>
  <c r="S2589" i="208" s="1"/>
  <c r="H2589" i="208"/>
  <c r="Q2589" i="208" s="1"/>
  <c r="I2589" i="208"/>
  <c r="J2589" i="208"/>
  <c r="L2589" i="208"/>
  <c r="C2590" i="208"/>
  <c r="D2590" i="208"/>
  <c r="E2590" i="208"/>
  <c r="S2590" i="208" s="1"/>
  <c r="H2590" i="208"/>
  <c r="Q2590" i="208" s="1"/>
  <c r="I2590" i="208"/>
  <c r="J2590" i="208"/>
  <c r="L2590" i="208"/>
  <c r="C2591" i="208"/>
  <c r="D2591" i="208"/>
  <c r="E2591" i="208"/>
  <c r="S2591" i="208" s="1"/>
  <c r="H2591" i="208"/>
  <c r="Q2591" i="208" s="1"/>
  <c r="I2591" i="208"/>
  <c r="J2591" i="208"/>
  <c r="L2591" i="208"/>
  <c r="C2592" i="208"/>
  <c r="D2592" i="208"/>
  <c r="E2592" i="208"/>
  <c r="S2592" i="208" s="1"/>
  <c r="H2592" i="208"/>
  <c r="Q2592" i="208" s="1"/>
  <c r="I2592" i="208"/>
  <c r="J2592" i="208"/>
  <c r="L2592" i="208"/>
  <c r="C2593" i="208"/>
  <c r="D2593" i="208"/>
  <c r="E2593" i="208"/>
  <c r="S2593" i="208" s="1"/>
  <c r="H2593" i="208"/>
  <c r="Q2593" i="208" s="1"/>
  <c r="I2593" i="208"/>
  <c r="J2593" i="208"/>
  <c r="L2593" i="208"/>
  <c r="C2594" i="208"/>
  <c r="D2594" i="208"/>
  <c r="E2594" i="208"/>
  <c r="S2594" i="208" s="1"/>
  <c r="H2594" i="208"/>
  <c r="Q2594" i="208" s="1"/>
  <c r="I2594" i="208"/>
  <c r="J2594" i="208"/>
  <c r="L2594" i="208"/>
  <c r="C2595" i="208"/>
  <c r="D2595" i="208"/>
  <c r="E2595" i="208"/>
  <c r="S2595" i="208" s="1"/>
  <c r="H2595" i="208"/>
  <c r="Q2595" i="208" s="1"/>
  <c r="I2595" i="208"/>
  <c r="J2595" i="208"/>
  <c r="L2595" i="208"/>
  <c r="C2596" i="208"/>
  <c r="D2596" i="208"/>
  <c r="E2596" i="208"/>
  <c r="S2596" i="208" s="1"/>
  <c r="H2596" i="208"/>
  <c r="Q2596" i="208" s="1"/>
  <c r="I2596" i="208"/>
  <c r="J2596" i="208"/>
  <c r="L2596" i="208"/>
  <c r="C2597" i="208"/>
  <c r="D2597" i="208"/>
  <c r="E2597" i="208"/>
  <c r="S2597" i="208" s="1"/>
  <c r="H2597" i="208"/>
  <c r="Q2597" i="208" s="1"/>
  <c r="I2597" i="208"/>
  <c r="J2597" i="208"/>
  <c r="L2597" i="208"/>
  <c r="C2598" i="208"/>
  <c r="D2598" i="208"/>
  <c r="E2598" i="208"/>
  <c r="S2598" i="208" s="1"/>
  <c r="H2598" i="208"/>
  <c r="Q2598" i="208" s="1"/>
  <c r="I2598" i="208"/>
  <c r="J2598" i="208"/>
  <c r="L2598" i="208"/>
  <c r="C2599" i="208"/>
  <c r="D2599" i="208"/>
  <c r="E2599" i="208"/>
  <c r="S2599" i="208" s="1"/>
  <c r="H2599" i="208"/>
  <c r="Q2599" i="208" s="1"/>
  <c r="I2599" i="208"/>
  <c r="J2599" i="208"/>
  <c r="L2599" i="208"/>
  <c r="C2600" i="208"/>
  <c r="D2600" i="208"/>
  <c r="E2600" i="208"/>
  <c r="S2600" i="208" s="1"/>
  <c r="H2600" i="208"/>
  <c r="Q2600" i="208" s="1"/>
  <c r="I2600" i="208"/>
  <c r="J2600" i="208"/>
  <c r="L2600" i="208"/>
  <c r="C2601" i="208"/>
  <c r="D2601" i="208"/>
  <c r="E2601" i="208"/>
  <c r="S2601" i="208" s="1"/>
  <c r="H2601" i="208"/>
  <c r="Q2601" i="208" s="1"/>
  <c r="I2601" i="208"/>
  <c r="J2601" i="208"/>
  <c r="L2601" i="208"/>
  <c r="C2602" i="208"/>
  <c r="D2602" i="208"/>
  <c r="E2602" i="208"/>
  <c r="S2602" i="208" s="1"/>
  <c r="H2602" i="208"/>
  <c r="Q2602" i="208" s="1"/>
  <c r="I2602" i="208"/>
  <c r="J2602" i="208"/>
  <c r="L2602" i="208"/>
  <c r="C2603" i="208"/>
  <c r="D2603" i="208"/>
  <c r="E2603" i="208"/>
  <c r="S2603" i="208" s="1"/>
  <c r="H2603" i="208"/>
  <c r="Q2603" i="208" s="1"/>
  <c r="I2603" i="208"/>
  <c r="J2603" i="208"/>
  <c r="L2603" i="208"/>
  <c r="C2604" i="208"/>
  <c r="D2604" i="208"/>
  <c r="E2604" i="208"/>
  <c r="S2604" i="208" s="1"/>
  <c r="H2604" i="208"/>
  <c r="Q2604" i="208" s="1"/>
  <c r="I2604" i="208"/>
  <c r="J2604" i="208"/>
  <c r="L2604" i="208"/>
  <c r="C2605" i="208"/>
  <c r="D2605" i="208"/>
  <c r="E2605" i="208"/>
  <c r="S2605" i="208" s="1"/>
  <c r="H2605" i="208"/>
  <c r="Q2605" i="208" s="1"/>
  <c r="I2605" i="208"/>
  <c r="J2605" i="208"/>
  <c r="L2605" i="208"/>
  <c r="C2606" i="208"/>
  <c r="D2606" i="208"/>
  <c r="E2606" i="208"/>
  <c r="S2606" i="208" s="1"/>
  <c r="H2606" i="208"/>
  <c r="Q2606" i="208" s="1"/>
  <c r="I2606" i="208"/>
  <c r="J2606" i="208"/>
  <c r="L2606" i="208"/>
  <c r="C2607" i="208"/>
  <c r="D2607" i="208"/>
  <c r="E2607" i="208"/>
  <c r="S2607" i="208" s="1"/>
  <c r="H2607" i="208"/>
  <c r="Q2607" i="208" s="1"/>
  <c r="I2607" i="208"/>
  <c r="J2607" i="208"/>
  <c r="L2607" i="208"/>
  <c r="C2608" i="208"/>
  <c r="D2608" i="208"/>
  <c r="E2608" i="208"/>
  <c r="S2608" i="208" s="1"/>
  <c r="H2608" i="208"/>
  <c r="Q2608" i="208" s="1"/>
  <c r="I2608" i="208"/>
  <c r="J2608" i="208"/>
  <c r="L2608" i="208"/>
  <c r="C2609" i="208"/>
  <c r="D2609" i="208"/>
  <c r="E2609" i="208"/>
  <c r="S2609" i="208" s="1"/>
  <c r="H2609" i="208"/>
  <c r="Q2609" i="208" s="1"/>
  <c r="I2609" i="208"/>
  <c r="J2609" i="208"/>
  <c r="L2609" i="208"/>
  <c r="C2610" i="208"/>
  <c r="D2610" i="208"/>
  <c r="E2610" i="208"/>
  <c r="S2610" i="208" s="1"/>
  <c r="H2610" i="208"/>
  <c r="Q2610" i="208" s="1"/>
  <c r="I2610" i="208"/>
  <c r="J2610" i="208"/>
  <c r="L2610" i="208"/>
  <c r="C2611" i="208"/>
  <c r="D2611" i="208"/>
  <c r="E2611" i="208"/>
  <c r="S2611" i="208" s="1"/>
  <c r="H2611" i="208"/>
  <c r="Q2611" i="208" s="1"/>
  <c r="I2611" i="208"/>
  <c r="J2611" i="208"/>
  <c r="L2611" i="208"/>
  <c r="C2612" i="208"/>
  <c r="D2612" i="208"/>
  <c r="E2612" i="208"/>
  <c r="S2612" i="208" s="1"/>
  <c r="H2612" i="208"/>
  <c r="Q2612" i="208" s="1"/>
  <c r="I2612" i="208"/>
  <c r="J2612" i="208"/>
  <c r="L2612" i="208"/>
  <c r="C2613" i="208"/>
  <c r="D2613" i="208"/>
  <c r="E2613" i="208"/>
  <c r="S2613" i="208" s="1"/>
  <c r="H2613" i="208"/>
  <c r="Q2613" i="208" s="1"/>
  <c r="I2613" i="208"/>
  <c r="J2613" i="208"/>
  <c r="L2613" i="208"/>
  <c r="C2614" i="208"/>
  <c r="D2614" i="208"/>
  <c r="E2614" i="208"/>
  <c r="S2614" i="208" s="1"/>
  <c r="H2614" i="208"/>
  <c r="Q2614" i="208" s="1"/>
  <c r="I2614" i="208"/>
  <c r="J2614" i="208"/>
  <c r="L2614" i="208"/>
  <c r="C2615" i="208"/>
  <c r="D2615" i="208"/>
  <c r="E2615" i="208"/>
  <c r="S2615" i="208" s="1"/>
  <c r="H2615" i="208"/>
  <c r="Q2615" i="208" s="1"/>
  <c r="I2615" i="208"/>
  <c r="J2615" i="208"/>
  <c r="L2615" i="208"/>
  <c r="C2616" i="208"/>
  <c r="D2616" i="208"/>
  <c r="E2616" i="208"/>
  <c r="S2616" i="208" s="1"/>
  <c r="H2616" i="208"/>
  <c r="Q2616" i="208" s="1"/>
  <c r="I2616" i="208"/>
  <c r="J2616" i="208"/>
  <c r="L2616" i="208"/>
  <c r="C2617" i="208"/>
  <c r="D2617" i="208"/>
  <c r="E2617" i="208"/>
  <c r="S2617" i="208" s="1"/>
  <c r="H2617" i="208"/>
  <c r="Q2617" i="208" s="1"/>
  <c r="I2617" i="208"/>
  <c r="J2617" i="208"/>
  <c r="L2617" i="208"/>
  <c r="C2618" i="208"/>
  <c r="D2618" i="208"/>
  <c r="E2618" i="208"/>
  <c r="S2618" i="208" s="1"/>
  <c r="H2618" i="208"/>
  <c r="Q2618" i="208" s="1"/>
  <c r="I2618" i="208"/>
  <c r="J2618" i="208"/>
  <c r="L2618" i="208"/>
  <c r="C2619" i="208"/>
  <c r="D2619" i="208"/>
  <c r="E2619" i="208"/>
  <c r="S2619" i="208" s="1"/>
  <c r="H2619" i="208"/>
  <c r="Q2619" i="208" s="1"/>
  <c r="I2619" i="208"/>
  <c r="J2619" i="208"/>
  <c r="L2619" i="208"/>
  <c r="C2620" i="208"/>
  <c r="D2620" i="208"/>
  <c r="E2620" i="208"/>
  <c r="S2620" i="208" s="1"/>
  <c r="H2620" i="208"/>
  <c r="Q2620" i="208" s="1"/>
  <c r="I2620" i="208"/>
  <c r="J2620" i="208"/>
  <c r="L2620" i="208"/>
  <c r="C2621" i="208"/>
  <c r="D2621" i="208"/>
  <c r="E2621" i="208"/>
  <c r="S2621" i="208" s="1"/>
  <c r="H2621" i="208"/>
  <c r="Q2621" i="208" s="1"/>
  <c r="I2621" i="208"/>
  <c r="J2621" i="208"/>
  <c r="L2621" i="208"/>
  <c r="C2622" i="208"/>
  <c r="D2622" i="208"/>
  <c r="E2622" i="208"/>
  <c r="S2622" i="208" s="1"/>
  <c r="H2622" i="208"/>
  <c r="Q2622" i="208" s="1"/>
  <c r="I2622" i="208"/>
  <c r="J2622" i="208"/>
  <c r="L2622" i="208"/>
  <c r="C2623" i="208"/>
  <c r="D2623" i="208"/>
  <c r="E2623" i="208"/>
  <c r="S2623" i="208" s="1"/>
  <c r="H2623" i="208"/>
  <c r="Q2623" i="208" s="1"/>
  <c r="I2623" i="208"/>
  <c r="J2623" i="208"/>
  <c r="L2623" i="208"/>
  <c r="C2624" i="208"/>
  <c r="D2624" i="208"/>
  <c r="E2624" i="208"/>
  <c r="S2624" i="208" s="1"/>
  <c r="H2624" i="208"/>
  <c r="Q2624" i="208" s="1"/>
  <c r="I2624" i="208"/>
  <c r="J2624" i="208"/>
  <c r="L2624" i="208"/>
  <c r="C2625" i="208"/>
  <c r="D2625" i="208"/>
  <c r="E2625" i="208"/>
  <c r="S2625" i="208" s="1"/>
  <c r="H2625" i="208"/>
  <c r="Q2625" i="208" s="1"/>
  <c r="I2625" i="208"/>
  <c r="J2625" i="208"/>
  <c r="L2625" i="208"/>
  <c r="C2626" i="208"/>
  <c r="D2626" i="208"/>
  <c r="E2626" i="208"/>
  <c r="S2626" i="208" s="1"/>
  <c r="H2626" i="208"/>
  <c r="Q2626" i="208" s="1"/>
  <c r="I2626" i="208"/>
  <c r="J2626" i="208"/>
  <c r="L2626" i="208"/>
  <c r="C2627" i="208"/>
  <c r="D2627" i="208"/>
  <c r="E2627" i="208"/>
  <c r="S2627" i="208" s="1"/>
  <c r="H2627" i="208"/>
  <c r="Q2627" i="208" s="1"/>
  <c r="I2627" i="208"/>
  <c r="J2627" i="208"/>
  <c r="L2627" i="208"/>
  <c r="C2628" i="208"/>
  <c r="D2628" i="208"/>
  <c r="E2628" i="208"/>
  <c r="S2628" i="208" s="1"/>
  <c r="H2628" i="208"/>
  <c r="Q2628" i="208" s="1"/>
  <c r="I2628" i="208"/>
  <c r="J2628" i="208"/>
  <c r="L2628" i="208"/>
  <c r="C2629" i="208"/>
  <c r="D2629" i="208"/>
  <c r="E2629" i="208"/>
  <c r="S2629" i="208" s="1"/>
  <c r="H2629" i="208"/>
  <c r="Q2629" i="208" s="1"/>
  <c r="I2629" i="208"/>
  <c r="J2629" i="208"/>
  <c r="L2629" i="208"/>
  <c r="C2630" i="208"/>
  <c r="D2630" i="208"/>
  <c r="E2630" i="208"/>
  <c r="S2630" i="208" s="1"/>
  <c r="H2630" i="208"/>
  <c r="Q2630" i="208" s="1"/>
  <c r="I2630" i="208"/>
  <c r="J2630" i="208"/>
  <c r="L2630" i="208"/>
  <c r="C2631" i="208"/>
  <c r="D2631" i="208"/>
  <c r="E2631" i="208"/>
  <c r="S2631" i="208" s="1"/>
  <c r="H2631" i="208"/>
  <c r="Q2631" i="208" s="1"/>
  <c r="I2631" i="208"/>
  <c r="J2631" i="208"/>
  <c r="L2631" i="208"/>
  <c r="C2632" i="208"/>
  <c r="D2632" i="208"/>
  <c r="E2632" i="208"/>
  <c r="S2632" i="208" s="1"/>
  <c r="H2632" i="208"/>
  <c r="Q2632" i="208" s="1"/>
  <c r="I2632" i="208"/>
  <c r="J2632" i="208"/>
  <c r="L2632" i="208"/>
  <c r="C2633" i="208"/>
  <c r="D2633" i="208"/>
  <c r="E2633" i="208"/>
  <c r="S2633" i="208" s="1"/>
  <c r="H2633" i="208"/>
  <c r="Q2633" i="208" s="1"/>
  <c r="I2633" i="208"/>
  <c r="J2633" i="208"/>
  <c r="L2633" i="208"/>
  <c r="C2634" i="208"/>
  <c r="D2634" i="208"/>
  <c r="E2634" i="208"/>
  <c r="S2634" i="208" s="1"/>
  <c r="H2634" i="208"/>
  <c r="Q2634" i="208" s="1"/>
  <c r="I2634" i="208"/>
  <c r="J2634" i="208"/>
  <c r="L2634" i="208"/>
  <c r="C2635" i="208"/>
  <c r="D2635" i="208"/>
  <c r="E2635" i="208"/>
  <c r="S2635" i="208" s="1"/>
  <c r="H2635" i="208"/>
  <c r="Q2635" i="208" s="1"/>
  <c r="I2635" i="208"/>
  <c r="J2635" i="208"/>
  <c r="L2635" i="208"/>
  <c r="C2636" i="208"/>
  <c r="D2636" i="208"/>
  <c r="E2636" i="208"/>
  <c r="S2636" i="208" s="1"/>
  <c r="H2636" i="208"/>
  <c r="Q2636" i="208" s="1"/>
  <c r="I2636" i="208"/>
  <c r="J2636" i="208"/>
  <c r="L2636" i="208"/>
  <c r="C2637" i="208"/>
  <c r="D2637" i="208"/>
  <c r="E2637" i="208"/>
  <c r="S2637" i="208" s="1"/>
  <c r="H2637" i="208"/>
  <c r="Q2637" i="208" s="1"/>
  <c r="I2637" i="208"/>
  <c r="J2637" i="208"/>
  <c r="L2637" i="208"/>
  <c r="C2638" i="208"/>
  <c r="D2638" i="208"/>
  <c r="E2638" i="208"/>
  <c r="S2638" i="208" s="1"/>
  <c r="H2638" i="208"/>
  <c r="Q2638" i="208" s="1"/>
  <c r="I2638" i="208"/>
  <c r="J2638" i="208"/>
  <c r="L2638" i="208"/>
  <c r="C2639" i="208"/>
  <c r="D2639" i="208"/>
  <c r="E2639" i="208"/>
  <c r="S2639" i="208" s="1"/>
  <c r="H2639" i="208"/>
  <c r="Q2639" i="208" s="1"/>
  <c r="I2639" i="208"/>
  <c r="J2639" i="208"/>
  <c r="L2639" i="208"/>
  <c r="C2640" i="208"/>
  <c r="D2640" i="208"/>
  <c r="E2640" i="208"/>
  <c r="S2640" i="208" s="1"/>
  <c r="H2640" i="208"/>
  <c r="Q2640" i="208" s="1"/>
  <c r="I2640" i="208"/>
  <c r="J2640" i="208"/>
  <c r="L2640" i="208"/>
  <c r="C2641" i="208"/>
  <c r="D2641" i="208"/>
  <c r="E2641" i="208"/>
  <c r="S2641" i="208" s="1"/>
  <c r="H2641" i="208"/>
  <c r="Q2641" i="208" s="1"/>
  <c r="I2641" i="208"/>
  <c r="J2641" i="208"/>
  <c r="L2641" i="208"/>
  <c r="C2642" i="208"/>
  <c r="D2642" i="208"/>
  <c r="E2642" i="208"/>
  <c r="S2642" i="208" s="1"/>
  <c r="H2642" i="208"/>
  <c r="Q2642" i="208" s="1"/>
  <c r="I2642" i="208"/>
  <c r="J2642" i="208"/>
  <c r="L2642" i="208"/>
  <c r="C2643" i="208"/>
  <c r="D2643" i="208"/>
  <c r="E2643" i="208"/>
  <c r="S2643" i="208" s="1"/>
  <c r="H2643" i="208"/>
  <c r="Q2643" i="208" s="1"/>
  <c r="I2643" i="208"/>
  <c r="J2643" i="208"/>
  <c r="L2643" i="208"/>
  <c r="C2644" i="208"/>
  <c r="D2644" i="208"/>
  <c r="E2644" i="208"/>
  <c r="S2644" i="208" s="1"/>
  <c r="H2644" i="208"/>
  <c r="Q2644" i="208" s="1"/>
  <c r="I2644" i="208"/>
  <c r="J2644" i="208"/>
  <c r="L2644" i="208"/>
  <c r="C2645" i="208"/>
  <c r="D2645" i="208"/>
  <c r="E2645" i="208"/>
  <c r="S2645" i="208" s="1"/>
  <c r="H2645" i="208"/>
  <c r="Q2645" i="208" s="1"/>
  <c r="I2645" i="208"/>
  <c r="J2645" i="208"/>
  <c r="L2645" i="208"/>
  <c r="C2646" i="208"/>
  <c r="D2646" i="208"/>
  <c r="E2646" i="208"/>
  <c r="S2646" i="208" s="1"/>
  <c r="H2646" i="208"/>
  <c r="Q2646" i="208" s="1"/>
  <c r="I2646" i="208"/>
  <c r="J2646" i="208"/>
  <c r="L2646" i="208"/>
  <c r="C2647" i="208"/>
  <c r="D2647" i="208"/>
  <c r="E2647" i="208"/>
  <c r="S2647" i="208" s="1"/>
  <c r="H2647" i="208"/>
  <c r="Q2647" i="208" s="1"/>
  <c r="I2647" i="208"/>
  <c r="J2647" i="208"/>
  <c r="L2647" i="208"/>
  <c r="C2648" i="208"/>
  <c r="D2648" i="208"/>
  <c r="E2648" i="208"/>
  <c r="S2648" i="208" s="1"/>
  <c r="H2648" i="208"/>
  <c r="Q2648" i="208" s="1"/>
  <c r="I2648" i="208"/>
  <c r="J2648" i="208"/>
  <c r="L2648" i="208"/>
  <c r="C2649" i="208"/>
  <c r="D2649" i="208"/>
  <c r="E2649" i="208"/>
  <c r="S2649" i="208" s="1"/>
  <c r="H2649" i="208"/>
  <c r="Q2649" i="208" s="1"/>
  <c r="I2649" i="208"/>
  <c r="J2649" i="208"/>
  <c r="L2649" i="208"/>
  <c r="C2650" i="208"/>
  <c r="D2650" i="208"/>
  <c r="E2650" i="208"/>
  <c r="S2650" i="208" s="1"/>
  <c r="H2650" i="208"/>
  <c r="Q2650" i="208" s="1"/>
  <c r="I2650" i="208"/>
  <c r="J2650" i="208"/>
  <c r="L2650" i="208"/>
  <c r="C2651" i="208"/>
  <c r="D2651" i="208"/>
  <c r="E2651" i="208"/>
  <c r="S2651" i="208" s="1"/>
  <c r="H2651" i="208"/>
  <c r="Q2651" i="208" s="1"/>
  <c r="I2651" i="208"/>
  <c r="J2651" i="208"/>
  <c r="L2651" i="208"/>
  <c r="C2652" i="208"/>
  <c r="D2652" i="208"/>
  <c r="E2652" i="208"/>
  <c r="S2652" i="208" s="1"/>
  <c r="H2652" i="208"/>
  <c r="Q2652" i="208" s="1"/>
  <c r="I2652" i="208"/>
  <c r="J2652" i="208"/>
  <c r="L2652" i="208"/>
  <c r="C2653" i="208"/>
  <c r="D2653" i="208"/>
  <c r="E2653" i="208"/>
  <c r="S2653" i="208" s="1"/>
  <c r="H2653" i="208"/>
  <c r="Q2653" i="208" s="1"/>
  <c r="I2653" i="208"/>
  <c r="J2653" i="208"/>
  <c r="L2653" i="208"/>
  <c r="C2654" i="208"/>
  <c r="D2654" i="208"/>
  <c r="E2654" i="208"/>
  <c r="S2654" i="208" s="1"/>
  <c r="H2654" i="208"/>
  <c r="Q2654" i="208" s="1"/>
  <c r="I2654" i="208"/>
  <c r="J2654" i="208"/>
  <c r="L2654" i="208"/>
  <c r="C2655" i="208"/>
  <c r="D2655" i="208"/>
  <c r="E2655" i="208"/>
  <c r="S2655" i="208" s="1"/>
  <c r="H2655" i="208"/>
  <c r="Q2655" i="208" s="1"/>
  <c r="I2655" i="208"/>
  <c r="J2655" i="208"/>
  <c r="L2655" i="208"/>
  <c r="C2656" i="208"/>
  <c r="D2656" i="208"/>
  <c r="E2656" i="208"/>
  <c r="S2656" i="208" s="1"/>
  <c r="H2656" i="208"/>
  <c r="Q2656" i="208" s="1"/>
  <c r="I2656" i="208"/>
  <c r="J2656" i="208"/>
  <c r="L2656" i="208"/>
  <c r="C2657" i="208"/>
  <c r="D2657" i="208"/>
  <c r="E2657" i="208"/>
  <c r="S2657" i="208" s="1"/>
  <c r="H2657" i="208"/>
  <c r="Q2657" i="208" s="1"/>
  <c r="I2657" i="208"/>
  <c r="J2657" i="208"/>
  <c r="L2657" i="208"/>
  <c r="C2658" i="208"/>
  <c r="D2658" i="208"/>
  <c r="E2658" i="208"/>
  <c r="S2658" i="208" s="1"/>
  <c r="H2658" i="208"/>
  <c r="Q2658" i="208" s="1"/>
  <c r="I2658" i="208"/>
  <c r="J2658" i="208"/>
  <c r="L2658" i="208"/>
  <c r="C2659" i="208"/>
  <c r="D2659" i="208"/>
  <c r="E2659" i="208"/>
  <c r="S2659" i="208" s="1"/>
  <c r="H2659" i="208"/>
  <c r="Q2659" i="208" s="1"/>
  <c r="I2659" i="208"/>
  <c r="J2659" i="208"/>
  <c r="L2659" i="208"/>
  <c r="C2660" i="208"/>
  <c r="D2660" i="208"/>
  <c r="E2660" i="208"/>
  <c r="S2660" i="208" s="1"/>
  <c r="H2660" i="208"/>
  <c r="Q2660" i="208" s="1"/>
  <c r="I2660" i="208"/>
  <c r="J2660" i="208"/>
  <c r="L2660" i="208"/>
  <c r="C2661" i="208"/>
  <c r="D2661" i="208"/>
  <c r="E2661" i="208"/>
  <c r="S2661" i="208" s="1"/>
  <c r="H2661" i="208"/>
  <c r="Q2661" i="208" s="1"/>
  <c r="I2661" i="208"/>
  <c r="J2661" i="208"/>
  <c r="L2661" i="208"/>
  <c r="C2662" i="208"/>
  <c r="D2662" i="208"/>
  <c r="E2662" i="208"/>
  <c r="S2662" i="208" s="1"/>
  <c r="H2662" i="208"/>
  <c r="Q2662" i="208" s="1"/>
  <c r="I2662" i="208"/>
  <c r="J2662" i="208"/>
  <c r="L2662" i="208"/>
  <c r="C2663" i="208"/>
  <c r="D2663" i="208"/>
  <c r="E2663" i="208"/>
  <c r="S2663" i="208" s="1"/>
  <c r="H2663" i="208"/>
  <c r="Q2663" i="208" s="1"/>
  <c r="I2663" i="208"/>
  <c r="J2663" i="208"/>
  <c r="L2663" i="208"/>
  <c r="C2664" i="208"/>
  <c r="D2664" i="208"/>
  <c r="E2664" i="208"/>
  <c r="S2664" i="208" s="1"/>
  <c r="H2664" i="208"/>
  <c r="Q2664" i="208" s="1"/>
  <c r="I2664" i="208"/>
  <c r="J2664" i="208"/>
  <c r="L2664" i="208"/>
  <c r="C2665" i="208"/>
  <c r="D2665" i="208"/>
  <c r="E2665" i="208"/>
  <c r="S2665" i="208" s="1"/>
  <c r="H2665" i="208"/>
  <c r="Q2665" i="208" s="1"/>
  <c r="I2665" i="208"/>
  <c r="J2665" i="208"/>
  <c r="L2665" i="208"/>
  <c r="C2666" i="208"/>
  <c r="D2666" i="208"/>
  <c r="E2666" i="208"/>
  <c r="S2666" i="208" s="1"/>
  <c r="H2666" i="208"/>
  <c r="Q2666" i="208" s="1"/>
  <c r="I2666" i="208"/>
  <c r="J2666" i="208"/>
  <c r="L2666" i="208"/>
  <c r="C2667" i="208"/>
  <c r="D2667" i="208"/>
  <c r="E2667" i="208"/>
  <c r="S2667" i="208" s="1"/>
  <c r="H2667" i="208"/>
  <c r="Q2667" i="208" s="1"/>
  <c r="I2667" i="208"/>
  <c r="J2667" i="208"/>
  <c r="L2667" i="208"/>
  <c r="C2668" i="208"/>
  <c r="D2668" i="208"/>
  <c r="E2668" i="208"/>
  <c r="S2668" i="208" s="1"/>
  <c r="H2668" i="208"/>
  <c r="Q2668" i="208" s="1"/>
  <c r="I2668" i="208"/>
  <c r="J2668" i="208"/>
  <c r="L2668" i="208"/>
  <c r="C2669" i="208"/>
  <c r="D2669" i="208"/>
  <c r="E2669" i="208"/>
  <c r="S2669" i="208" s="1"/>
  <c r="H2669" i="208"/>
  <c r="Q2669" i="208" s="1"/>
  <c r="I2669" i="208"/>
  <c r="J2669" i="208"/>
  <c r="L2669" i="208"/>
  <c r="C2670" i="208"/>
  <c r="D2670" i="208"/>
  <c r="E2670" i="208"/>
  <c r="S2670" i="208" s="1"/>
  <c r="H2670" i="208"/>
  <c r="Q2670" i="208" s="1"/>
  <c r="I2670" i="208"/>
  <c r="J2670" i="208"/>
  <c r="L2670" i="208"/>
  <c r="C2671" i="208"/>
  <c r="D2671" i="208"/>
  <c r="E2671" i="208"/>
  <c r="S2671" i="208" s="1"/>
  <c r="H2671" i="208"/>
  <c r="Q2671" i="208" s="1"/>
  <c r="I2671" i="208"/>
  <c r="J2671" i="208"/>
  <c r="L2671" i="208"/>
  <c r="C2672" i="208"/>
  <c r="D2672" i="208"/>
  <c r="E2672" i="208"/>
  <c r="S2672" i="208" s="1"/>
  <c r="H2672" i="208"/>
  <c r="Q2672" i="208" s="1"/>
  <c r="I2672" i="208"/>
  <c r="J2672" i="208"/>
  <c r="L2672" i="208"/>
  <c r="C2673" i="208"/>
  <c r="D2673" i="208"/>
  <c r="E2673" i="208"/>
  <c r="S2673" i="208" s="1"/>
  <c r="H2673" i="208"/>
  <c r="Q2673" i="208" s="1"/>
  <c r="I2673" i="208"/>
  <c r="J2673" i="208"/>
  <c r="L2673" i="208"/>
  <c r="C2674" i="208"/>
  <c r="D2674" i="208"/>
  <c r="E2674" i="208"/>
  <c r="S2674" i="208" s="1"/>
  <c r="H2674" i="208"/>
  <c r="Q2674" i="208" s="1"/>
  <c r="I2674" i="208"/>
  <c r="J2674" i="208"/>
  <c r="L2674" i="208"/>
  <c r="C2675" i="208"/>
  <c r="D2675" i="208"/>
  <c r="E2675" i="208"/>
  <c r="S2675" i="208" s="1"/>
  <c r="H2675" i="208"/>
  <c r="Q2675" i="208" s="1"/>
  <c r="I2675" i="208"/>
  <c r="J2675" i="208"/>
  <c r="L2675" i="208"/>
  <c r="C2676" i="208"/>
  <c r="D2676" i="208"/>
  <c r="E2676" i="208"/>
  <c r="S2676" i="208" s="1"/>
  <c r="H2676" i="208"/>
  <c r="Q2676" i="208" s="1"/>
  <c r="I2676" i="208"/>
  <c r="J2676" i="208"/>
  <c r="L2676" i="208"/>
  <c r="C2677" i="208"/>
  <c r="D2677" i="208"/>
  <c r="E2677" i="208"/>
  <c r="S2677" i="208" s="1"/>
  <c r="H2677" i="208"/>
  <c r="Q2677" i="208" s="1"/>
  <c r="I2677" i="208"/>
  <c r="J2677" i="208"/>
  <c r="L2677" i="208"/>
  <c r="C2678" i="208"/>
  <c r="D2678" i="208"/>
  <c r="E2678" i="208"/>
  <c r="S2678" i="208" s="1"/>
  <c r="H2678" i="208"/>
  <c r="Q2678" i="208" s="1"/>
  <c r="I2678" i="208"/>
  <c r="J2678" i="208"/>
  <c r="L2678" i="208"/>
  <c r="C2679" i="208"/>
  <c r="D2679" i="208"/>
  <c r="E2679" i="208"/>
  <c r="S2679" i="208" s="1"/>
  <c r="H2679" i="208"/>
  <c r="Q2679" i="208" s="1"/>
  <c r="I2679" i="208"/>
  <c r="J2679" i="208"/>
  <c r="L2679" i="208"/>
  <c r="C2680" i="208"/>
  <c r="D2680" i="208"/>
  <c r="E2680" i="208"/>
  <c r="S2680" i="208" s="1"/>
  <c r="H2680" i="208"/>
  <c r="Q2680" i="208" s="1"/>
  <c r="I2680" i="208"/>
  <c r="J2680" i="208"/>
  <c r="L2680" i="208"/>
  <c r="C2681" i="208"/>
  <c r="D2681" i="208"/>
  <c r="E2681" i="208"/>
  <c r="S2681" i="208" s="1"/>
  <c r="H2681" i="208"/>
  <c r="Q2681" i="208" s="1"/>
  <c r="I2681" i="208"/>
  <c r="J2681" i="208"/>
  <c r="L2681" i="208"/>
  <c r="C2682" i="208"/>
  <c r="D2682" i="208"/>
  <c r="E2682" i="208"/>
  <c r="S2682" i="208" s="1"/>
  <c r="H2682" i="208"/>
  <c r="Q2682" i="208" s="1"/>
  <c r="I2682" i="208"/>
  <c r="J2682" i="208"/>
  <c r="L2682" i="208"/>
  <c r="C2683" i="208"/>
  <c r="D2683" i="208"/>
  <c r="E2683" i="208"/>
  <c r="S2683" i="208" s="1"/>
  <c r="H2683" i="208"/>
  <c r="Q2683" i="208" s="1"/>
  <c r="I2683" i="208"/>
  <c r="J2683" i="208"/>
  <c r="L2683" i="208"/>
  <c r="C2684" i="208"/>
  <c r="D2684" i="208"/>
  <c r="E2684" i="208"/>
  <c r="S2684" i="208" s="1"/>
  <c r="H2684" i="208"/>
  <c r="Q2684" i="208" s="1"/>
  <c r="I2684" i="208"/>
  <c r="J2684" i="208"/>
  <c r="L2684" i="208"/>
  <c r="C2685" i="208"/>
  <c r="D2685" i="208"/>
  <c r="E2685" i="208"/>
  <c r="S2685" i="208" s="1"/>
  <c r="H2685" i="208"/>
  <c r="Q2685" i="208" s="1"/>
  <c r="I2685" i="208"/>
  <c r="J2685" i="208"/>
  <c r="L2685" i="208"/>
  <c r="C2686" i="208"/>
  <c r="D2686" i="208"/>
  <c r="E2686" i="208"/>
  <c r="S2686" i="208" s="1"/>
  <c r="H2686" i="208"/>
  <c r="Q2686" i="208" s="1"/>
  <c r="I2686" i="208"/>
  <c r="J2686" i="208"/>
  <c r="L2686" i="208"/>
  <c r="C2687" i="208"/>
  <c r="D2687" i="208"/>
  <c r="E2687" i="208"/>
  <c r="S2687" i="208" s="1"/>
  <c r="H2687" i="208"/>
  <c r="Q2687" i="208" s="1"/>
  <c r="I2687" i="208"/>
  <c r="J2687" i="208"/>
  <c r="L2687" i="208"/>
  <c r="C2688" i="208"/>
  <c r="D2688" i="208"/>
  <c r="E2688" i="208"/>
  <c r="S2688" i="208" s="1"/>
  <c r="H2688" i="208"/>
  <c r="Q2688" i="208" s="1"/>
  <c r="I2688" i="208"/>
  <c r="J2688" i="208"/>
  <c r="L2688" i="208"/>
  <c r="C2689" i="208"/>
  <c r="D2689" i="208"/>
  <c r="E2689" i="208"/>
  <c r="S2689" i="208" s="1"/>
  <c r="H2689" i="208"/>
  <c r="Q2689" i="208" s="1"/>
  <c r="I2689" i="208"/>
  <c r="J2689" i="208"/>
  <c r="L2689" i="208"/>
  <c r="C2690" i="208"/>
  <c r="D2690" i="208"/>
  <c r="E2690" i="208"/>
  <c r="S2690" i="208" s="1"/>
  <c r="H2690" i="208"/>
  <c r="Q2690" i="208" s="1"/>
  <c r="I2690" i="208"/>
  <c r="J2690" i="208"/>
  <c r="L2690" i="208"/>
  <c r="C2691" i="208"/>
  <c r="D2691" i="208"/>
  <c r="E2691" i="208"/>
  <c r="S2691" i="208" s="1"/>
  <c r="H2691" i="208"/>
  <c r="Q2691" i="208" s="1"/>
  <c r="I2691" i="208"/>
  <c r="J2691" i="208"/>
  <c r="L2691" i="208"/>
  <c r="C2692" i="208"/>
  <c r="D2692" i="208"/>
  <c r="E2692" i="208"/>
  <c r="S2692" i="208" s="1"/>
  <c r="H2692" i="208"/>
  <c r="Q2692" i="208" s="1"/>
  <c r="I2692" i="208"/>
  <c r="J2692" i="208"/>
  <c r="L2692" i="208"/>
  <c r="C2693" i="208"/>
  <c r="D2693" i="208"/>
  <c r="E2693" i="208"/>
  <c r="S2693" i="208" s="1"/>
  <c r="H2693" i="208"/>
  <c r="Q2693" i="208" s="1"/>
  <c r="I2693" i="208"/>
  <c r="J2693" i="208"/>
  <c r="L2693" i="208"/>
  <c r="C2694" i="208"/>
  <c r="D2694" i="208"/>
  <c r="E2694" i="208"/>
  <c r="S2694" i="208" s="1"/>
  <c r="H2694" i="208"/>
  <c r="Q2694" i="208" s="1"/>
  <c r="I2694" i="208"/>
  <c r="J2694" i="208"/>
  <c r="L2694" i="208"/>
  <c r="C2695" i="208"/>
  <c r="D2695" i="208"/>
  <c r="E2695" i="208"/>
  <c r="S2695" i="208" s="1"/>
  <c r="H2695" i="208"/>
  <c r="Q2695" i="208" s="1"/>
  <c r="I2695" i="208"/>
  <c r="J2695" i="208"/>
  <c r="L2695" i="208"/>
  <c r="C2696" i="208"/>
  <c r="D2696" i="208"/>
  <c r="E2696" i="208"/>
  <c r="S2696" i="208" s="1"/>
  <c r="H2696" i="208"/>
  <c r="Q2696" i="208" s="1"/>
  <c r="I2696" i="208"/>
  <c r="J2696" i="208"/>
  <c r="L2696" i="208"/>
  <c r="C2697" i="208"/>
  <c r="D2697" i="208"/>
  <c r="E2697" i="208"/>
  <c r="S2697" i="208" s="1"/>
  <c r="H2697" i="208"/>
  <c r="Q2697" i="208" s="1"/>
  <c r="I2697" i="208"/>
  <c r="J2697" i="208"/>
  <c r="L2697" i="208"/>
  <c r="C2698" i="208"/>
  <c r="D2698" i="208"/>
  <c r="E2698" i="208"/>
  <c r="S2698" i="208" s="1"/>
  <c r="H2698" i="208"/>
  <c r="Q2698" i="208" s="1"/>
  <c r="I2698" i="208"/>
  <c r="J2698" i="208"/>
  <c r="L2698" i="208"/>
  <c r="C2699" i="208"/>
  <c r="D2699" i="208"/>
  <c r="E2699" i="208"/>
  <c r="S2699" i="208" s="1"/>
  <c r="H2699" i="208"/>
  <c r="Q2699" i="208" s="1"/>
  <c r="I2699" i="208"/>
  <c r="J2699" i="208"/>
  <c r="L2699" i="208"/>
  <c r="C2700" i="208"/>
  <c r="D2700" i="208"/>
  <c r="E2700" i="208"/>
  <c r="S2700" i="208" s="1"/>
  <c r="H2700" i="208"/>
  <c r="Q2700" i="208" s="1"/>
  <c r="I2700" i="208"/>
  <c r="J2700" i="208"/>
  <c r="L2700" i="208"/>
  <c r="C2701" i="208"/>
  <c r="D2701" i="208"/>
  <c r="E2701" i="208"/>
  <c r="S2701" i="208" s="1"/>
  <c r="H2701" i="208"/>
  <c r="Q2701" i="208" s="1"/>
  <c r="I2701" i="208"/>
  <c r="J2701" i="208"/>
  <c r="L2701" i="208"/>
  <c r="C2702" i="208"/>
  <c r="D2702" i="208"/>
  <c r="E2702" i="208"/>
  <c r="S2702" i="208" s="1"/>
  <c r="H2702" i="208"/>
  <c r="Q2702" i="208" s="1"/>
  <c r="I2702" i="208"/>
  <c r="J2702" i="208"/>
  <c r="L2702" i="208"/>
  <c r="C2703" i="208"/>
  <c r="D2703" i="208"/>
  <c r="E2703" i="208"/>
  <c r="S2703" i="208" s="1"/>
  <c r="H2703" i="208"/>
  <c r="Q2703" i="208" s="1"/>
  <c r="I2703" i="208"/>
  <c r="J2703" i="208"/>
  <c r="L2703" i="208"/>
  <c r="C2704" i="208"/>
  <c r="D2704" i="208"/>
  <c r="E2704" i="208"/>
  <c r="S2704" i="208" s="1"/>
  <c r="H2704" i="208"/>
  <c r="Q2704" i="208" s="1"/>
  <c r="I2704" i="208"/>
  <c r="J2704" i="208"/>
  <c r="L2704" i="208"/>
  <c r="C2705" i="208"/>
  <c r="D2705" i="208"/>
  <c r="E2705" i="208"/>
  <c r="S2705" i="208" s="1"/>
  <c r="H2705" i="208"/>
  <c r="Q2705" i="208" s="1"/>
  <c r="I2705" i="208"/>
  <c r="J2705" i="208"/>
  <c r="L2705" i="208"/>
  <c r="C2706" i="208"/>
  <c r="D2706" i="208"/>
  <c r="E2706" i="208"/>
  <c r="S2706" i="208" s="1"/>
  <c r="H2706" i="208"/>
  <c r="Q2706" i="208" s="1"/>
  <c r="I2706" i="208"/>
  <c r="J2706" i="208"/>
  <c r="L2706" i="208"/>
  <c r="C2707" i="208"/>
  <c r="D2707" i="208"/>
  <c r="E2707" i="208"/>
  <c r="S2707" i="208" s="1"/>
  <c r="H2707" i="208"/>
  <c r="Q2707" i="208" s="1"/>
  <c r="I2707" i="208"/>
  <c r="J2707" i="208"/>
  <c r="L2707" i="208"/>
  <c r="C2708" i="208"/>
  <c r="D2708" i="208"/>
  <c r="E2708" i="208"/>
  <c r="S2708" i="208" s="1"/>
  <c r="H2708" i="208"/>
  <c r="Q2708" i="208" s="1"/>
  <c r="I2708" i="208"/>
  <c r="J2708" i="208"/>
  <c r="L2708" i="208"/>
  <c r="C2709" i="208"/>
  <c r="D2709" i="208"/>
  <c r="E2709" i="208"/>
  <c r="S2709" i="208" s="1"/>
  <c r="H2709" i="208"/>
  <c r="Q2709" i="208" s="1"/>
  <c r="I2709" i="208"/>
  <c r="J2709" i="208"/>
  <c r="L2709" i="208"/>
  <c r="C2710" i="208"/>
  <c r="D2710" i="208"/>
  <c r="E2710" i="208"/>
  <c r="S2710" i="208" s="1"/>
  <c r="H2710" i="208"/>
  <c r="Q2710" i="208" s="1"/>
  <c r="I2710" i="208"/>
  <c r="J2710" i="208"/>
  <c r="L2710" i="208"/>
  <c r="C2711" i="208"/>
  <c r="D2711" i="208"/>
  <c r="E2711" i="208"/>
  <c r="S2711" i="208" s="1"/>
  <c r="H2711" i="208"/>
  <c r="Q2711" i="208" s="1"/>
  <c r="I2711" i="208"/>
  <c r="J2711" i="208"/>
  <c r="L2711" i="208"/>
  <c r="C2712" i="208"/>
  <c r="D2712" i="208"/>
  <c r="E2712" i="208"/>
  <c r="S2712" i="208" s="1"/>
  <c r="H2712" i="208"/>
  <c r="Q2712" i="208" s="1"/>
  <c r="I2712" i="208"/>
  <c r="J2712" i="208"/>
  <c r="L2712" i="208"/>
  <c r="C2713" i="208"/>
  <c r="D2713" i="208"/>
  <c r="E2713" i="208"/>
  <c r="S2713" i="208" s="1"/>
  <c r="H2713" i="208"/>
  <c r="Q2713" i="208" s="1"/>
  <c r="I2713" i="208"/>
  <c r="J2713" i="208"/>
  <c r="L2713" i="208"/>
  <c r="C2714" i="208"/>
  <c r="D2714" i="208"/>
  <c r="E2714" i="208"/>
  <c r="S2714" i="208" s="1"/>
  <c r="H2714" i="208"/>
  <c r="Q2714" i="208" s="1"/>
  <c r="I2714" i="208"/>
  <c r="J2714" i="208"/>
  <c r="L2714" i="208"/>
  <c r="C2715" i="208"/>
  <c r="D2715" i="208"/>
  <c r="E2715" i="208"/>
  <c r="S2715" i="208" s="1"/>
  <c r="H2715" i="208"/>
  <c r="Q2715" i="208" s="1"/>
  <c r="I2715" i="208"/>
  <c r="J2715" i="208"/>
  <c r="L2715" i="208"/>
  <c r="C2716" i="208"/>
  <c r="D2716" i="208"/>
  <c r="E2716" i="208"/>
  <c r="S2716" i="208" s="1"/>
  <c r="H2716" i="208"/>
  <c r="Q2716" i="208" s="1"/>
  <c r="I2716" i="208"/>
  <c r="J2716" i="208"/>
  <c r="L2716" i="208"/>
  <c r="C2717" i="208"/>
  <c r="D2717" i="208"/>
  <c r="E2717" i="208"/>
  <c r="S2717" i="208" s="1"/>
  <c r="H2717" i="208"/>
  <c r="Q2717" i="208" s="1"/>
  <c r="I2717" i="208"/>
  <c r="J2717" i="208"/>
  <c r="L2717" i="208"/>
  <c r="C2718" i="208"/>
  <c r="D2718" i="208"/>
  <c r="E2718" i="208"/>
  <c r="S2718" i="208" s="1"/>
  <c r="H2718" i="208"/>
  <c r="Q2718" i="208" s="1"/>
  <c r="I2718" i="208"/>
  <c r="J2718" i="208"/>
  <c r="L2718" i="208"/>
  <c r="C2719" i="208"/>
  <c r="D2719" i="208"/>
  <c r="E2719" i="208"/>
  <c r="S2719" i="208" s="1"/>
  <c r="H2719" i="208"/>
  <c r="Q2719" i="208" s="1"/>
  <c r="I2719" i="208"/>
  <c r="J2719" i="208"/>
  <c r="L2719" i="208"/>
  <c r="C2720" i="208"/>
  <c r="D2720" i="208"/>
  <c r="E2720" i="208"/>
  <c r="S2720" i="208" s="1"/>
  <c r="H2720" i="208"/>
  <c r="Q2720" i="208" s="1"/>
  <c r="I2720" i="208"/>
  <c r="J2720" i="208"/>
  <c r="L2720" i="208"/>
  <c r="C2721" i="208"/>
  <c r="D2721" i="208"/>
  <c r="E2721" i="208"/>
  <c r="S2721" i="208" s="1"/>
  <c r="H2721" i="208"/>
  <c r="Q2721" i="208" s="1"/>
  <c r="I2721" i="208"/>
  <c r="J2721" i="208"/>
  <c r="L2721" i="208"/>
  <c r="C2722" i="208"/>
  <c r="D2722" i="208"/>
  <c r="E2722" i="208"/>
  <c r="S2722" i="208" s="1"/>
  <c r="H2722" i="208"/>
  <c r="Q2722" i="208" s="1"/>
  <c r="I2722" i="208"/>
  <c r="J2722" i="208"/>
  <c r="L2722" i="208"/>
  <c r="C2723" i="208"/>
  <c r="D2723" i="208"/>
  <c r="E2723" i="208"/>
  <c r="S2723" i="208" s="1"/>
  <c r="H2723" i="208"/>
  <c r="Q2723" i="208" s="1"/>
  <c r="I2723" i="208"/>
  <c r="J2723" i="208"/>
  <c r="L2723" i="208"/>
  <c r="C2724" i="208"/>
  <c r="D2724" i="208"/>
  <c r="E2724" i="208"/>
  <c r="S2724" i="208" s="1"/>
  <c r="H2724" i="208"/>
  <c r="Q2724" i="208" s="1"/>
  <c r="I2724" i="208"/>
  <c r="J2724" i="208"/>
  <c r="L2724" i="208"/>
  <c r="C2725" i="208"/>
  <c r="D2725" i="208"/>
  <c r="E2725" i="208"/>
  <c r="S2725" i="208" s="1"/>
  <c r="H2725" i="208"/>
  <c r="Q2725" i="208" s="1"/>
  <c r="I2725" i="208"/>
  <c r="J2725" i="208"/>
  <c r="L2725" i="208"/>
  <c r="C2726" i="208"/>
  <c r="D2726" i="208"/>
  <c r="E2726" i="208"/>
  <c r="S2726" i="208" s="1"/>
  <c r="H2726" i="208"/>
  <c r="Q2726" i="208" s="1"/>
  <c r="I2726" i="208"/>
  <c r="J2726" i="208"/>
  <c r="L2726" i="208"/>
  <c r="C2727" i="208"/>
  <c r="D2727" i="208"/>
  <c r="E2727" i="208"/>
  <c r="S2727" i="208" s="1"/>
  <c r="H2727" i="208"/>
  <c r="Q2727" i="208" s="1"/>
  <c r="I2727" i="208"/>
  <c r="J2727" i="208"/>
  <c r="L2727" i="208"/>
  <c r="C2728" i="208"/>
  <c r="D2728" i="208"/>
  <c r="E2728" i="208"/>
  <c r="S2728" i="208" s="1"/>
  <c r="H2728" i="208"/>
  <c r="Q2728" i="208" s="1"/>
  <c r="I2728" i="208"/>
  <c r="J2728" i="208"/>
  <c r="L2728" i="208"/>
  <c r="C2729" i="208"/>
  <c r="D2729" i="208"/>
  <c r="E2729" i="208"/>
  <c r="S2729" i="208" s="1"/>
  <c r="H2729" i="208"/>
  <c r="Q2729" i="208" s="1"/>
  <c r="I2729" i="208"/>
  <c r="J2729" i="208"/>
  <c r="L2729" i="208"/>
  <c r="C2730" i="208"/>
  <c r="D2730" i="208"/>
  <c r="E2730" i="208"/>
  <c r="S2730" i="208" s="1"/>
  <c r="H2730" i="208"/>
  <c r="Q2730" i="208" s="1"/>
  <c r="I2730" i="208"/>
  <c r="J2730" i="208"/>
  <c r="L2730" i="208"/>
  <c r="C2731" i="208"/>
  <c r="D2731" i="208"/>
  <c r="E2731" i="208"/>
  <c r="S2731" i="208" s="1"/>
  <c r="H2731" i="208"/>
  <c r="Q2731" i="208" s="1"/>
  <c r="I2731" i="208"/>
  <c r="J2731" i="208"/>
  <c r="L2731" i="208"/>
  <c r="C2732" i="208"/>
  <c r="D2732" i="208"/>
  <c r="E2732" i="208"/>
  <c r="S2732" i="208" s="1"/>
  <c r="H2732" i="208"/>
  <c r="Q2732" i="208" s="1"/>
  <c r="I2732" i="208"/>
  <c r="J2732" i="208"/>
  <c r="L2732" i="208"/>
  <c r="C2733" i="208"/>
  <c r="D2733" i="208"/>
  <c r="E2733" i="208"/>
  <c r="S2733" i="208" s="1"/>
  <c r="H2733" i="208"/>
  <c r="Q2733" i="208" s="1"/>
  <c r="I2733" i="208"/>
  <c r="J2733" i="208"/>
  <c r="L2733" i="208"/>
  <c r="C2734" i="208"/>
  <c r="D2734" i="208"/>
  <c r="E2734" i="208"/>
  <c r="S2734" i="208" s="1"/>
  <c r="H2734" i="208"/>
  <c r="Q2734" i="208" s="1"/>
  <c r="I2734" i="208"/>
  <c r="J2734" i="208"/>
  <c r="L2734" i="208"/>
  <c r="C2735" i="208"/>
  <c r="D2735" i="208"/>
  <c r="E2735" i="208"/>
  <c r="S2735" i="208" s="1"/>
  <c r="H2735" i="208"/>
  <c r="Q2735" i="208" s="1"/>
  <c r="I2735" i="208"/>
  <c r="J2735" i="208"/>
  <c r="L2735" i="208"/>
  <c r="C2736" i="208"/>
  <c r="D2736" i="208"/>
  <c r="E2736" i="208"/>
  <c r="S2736" i="208" s="1"/>
  <c r="H2736" i="208"/>
  <c r="Q2736" i="208" s="1"/>
  <c r="I2736" i="208"/>
  <c r="J2736" i="208"/>
  <c r="L2736" i="208"/>
  <c r="C2737" i="208"/>
  <c r="D2737" i="208"/>
  <c r="E2737" i="208"/>
  <c r="S2737" i="208" s="1"/>
  <c r="H2737" i="208"/>
  <c r="Q2737" i="208" s="1"/>
  <c r="I2737" i="208"/>
  <c r="J2737" i="208"/>
  <c r="L2737" i="208"/>
  <c r="C2738" i="208"/>
  <c r="D2738" i="208"/>
  <c r="E2738" i="208"/>
  <c r="S2738" i="208" s="1"/>
  <c r="H2738" i="208"/>
  <c r="Q2738" i="208" s="1"/>
  <c r="I2738" i="208"/>
  <c r="J2738" i="208"/>
  <c r="L2738" i="208"/>
  <c r="C2739" i="208"/>
  <c r="D2739" i="208"/>
  <c r="E2739" i="208"/>
  <c r="S2739" i="208" s="1"/>
  <c r="H2739" i="208"/>
  <c r="Q2739" i="208" s="1"/>
  <c r="I2739" i="208"/>
  <c r="J2739" i="208"/>
  <c r="L2739" i="208"/>
  <c r="C2740" i="208"/>
  <c r="D2740" i="208"/>
  <c r="E2740" i="208"/>
  <c r="S2740" i="208" s="1"/>
  <c r="H2740" i="208"/>
  <c r="Q2740" i="208" s="1"/>
  <c r="I2740" i="208"/>
  <c r="J2740" i="208"/>
  <c r="L2740" i="208"/>
  <c r="C2741" i="208"/>
  <c r="D2741" i="208"/>
  <c r="E2741" i="208"/>
  <c r="S2741" i="208" s="1"/>
  <c r="H2741" i="208"/>
  <c r="Q2741" i="208" s="1"/>
  <c r="I2741" i="208"/>
  <c r="J2741" i="208"/>
  <c r="L2741" i="208"/>
  <c r="C2742" i="208"/>
  <c r="D2742" i="208"/>
  <c r="E2742" i="208"/>
  <c r="S2742" i="208" s="1"/>
  <c r="H2742" i="208"/>
  <c r="Q2742" i="208" s="1"/>
  <c r="I2742" i="208"/>
  <c r="J2742" i="208"/>
  <c r="L2742" i="208"/>
  <c r="C2743" i="208"/>
  <c r="D2743" i="208"/>
  <c r="E2743" i="208"/>
  <c r="S2743" i="208" s="1"/>
  <c r="H2743" i="208"/>
  <c r="Q2743" i="208" s="1"/>
  <c r="I2743" i="208"/>
  <c r="J2743" i="208"/>
  <c r="L2743" i="208"/>
  <c r="C2744" i="208"/>
  <c r="D2744" i="208"/>
  <c r="E2744" i="208"/>
  <c r="S2744" i="208" s="1"/>
  <c r="H2744" i="208"/>
  <c r="Q2744" i="208" s="1"/>
  <c r="I2744" i="208"/>
  <c r="J2744" i="208"/>
  <c r="L2744" i="208"/>
  <c r="C2745" i="208"/>
  <c r="D2745" i="208"/>
  <c r="E2745" i="208"/>
  <c r="S2745" i="208" s="1"/>
  <c r="H2745" i="208"/>
  <c r="Q2745" i="208" s="1"/>
  <c r="I2745" i="208"/>
  <c r="J2745" i="208"/>
  <c r="L2745" i="208"/>
  <c r="C2746" i="208"/>
  <c r="D2746" i="208"/>
  <c r="E2746" i="208"/>
  <c r="S2746" i="208" s="1"/>
  <c r="H2746" i="208"/>
  <c r="Q2746" i="208" s="1"/>
  <c r="I2746" i="208"/>
  <c r="J2746" i="208"/>
  <c r="L2746" i="208"/>
  <c r="C2747" i="208"/>
  <c r="D2747" i="208"/>
  <c r="E2747" i="208"/>
  <c r="S2747" i="208" s="1"/>
  <c r="H2747" i="208"/>
  <c r="Q2747" i="208" s="1"/>
  <c r="I2747" i="208"/>
  <c r="J2747" i="208"/>
  <c r="L2747" i="208"/>
  <c r="C2748" i="208"/>
  <c r="D2748" i="208"/>
  <c r="E2748" i="208"/>
  <c r="S2748" i="208" s="1"/>
  <c r="H2748" i="208"/>
  <c r="Q2748" i="208" s="1"/>
  <c r="I2748" i="208"/>
  <c r="J2748" i="208"/>
  <c r="L2748" i="208"/>
  <c r="C2749" i="208"/>
  <c r="D2749" i="208"/>
  <c r="E2749" i="208"/>
  <c r="S2749" i="208" s="1"/>
  <c r="H2749" i="208"/>
  <c r="Q2749" i="208" s="1"/>
  <c r="I2749" i="208"/>
  <c r="J2749" i="208"/>
  <c r="L2749" i="208"/>
  <c r="C2750" i="208"/>
  <c r="D2750" i="208"/>
  <c r="E2750" i="208"/>
  <c r="S2750" i="208" s="1"/>
  <c r="H2750" i="208"/>
  <c r="Q2750" i="208" s="1"/>
  <c r="I2750" i="208"/>
  <c r="J2750" i="208"/>
  <c r="L2750" i="208"/>
  <c r="C2751" i="208"/>
  <c r="D2751" i="208"/>
  <c r="E2751" i="208"/>
  <c r="S2751" i="208" s="1"/>
  <c r="H2751" i="208"/>
  <c r="Q2751" i="208" s="1"/>
  <c r="I2751" i="208"/>
  <c r="J2751" i="208"/>
  <c r="L2751" i="208"/>
  <c r="C2752" i="208"/>
  <c r="D2752" i="208"/>
  <c r="E2752" i="208"/>
  <c r="S2752" i="208" s="1"/>
  <c r="H2752" i="208"/>
  <c r="Q2752" i="208" s="1"/>
  <c r="I2752" i="208"/>
  <c r="J2752" i="208"/>
  <c r="L2752" i="208"/>
  <c r="C2753" i="208"/>
  <c r="D2753" i="208"/>
  <c r="E2753" i="208"/>
  <c r="S2753" i="208" s="1"/>
  <c r="H2753" i="208"/>
  <c r="Q2753" i="208" s="1"/>
  <c r="I2753" i="208"/>
  <c r="J2753" i="208"/>
  <c r="L2753" i="208"/>
  <c r="C2754" i="208"/>
  <c r="D2754" i="208"/>
  <c r="E2754" i="208"/>
  <c r="S2754" i="208" s="1"/>
  <c r="H2754" i="208"/>
  <c r="Q2754" i="208" s="1"/>
  <c r="I2754" i="208"/>
  <c r="J2754" i="208"/>
  <c r="L2754" i="208"/>
  <c r="C2755" i="208"/>
  <c r="D2755" i="208"/>
  <c r="E2755" i="208"/>
  <c r="S2755" i="208" s="1"/>
  <c r="H2755" i="208"/>
  <c r="Q2755" i="208" s="1"/>
  <c r="I2755" i="208"/>
  <c r="J2755" i="208"/>
  <c r="L2755" i="208"/>
  <c r="C2756" i="208"/>
  <c r="D2756" i="208"/>
  <c r="E2756" i="208"/>
  <c r="S2756" i="208" s="1"/>
  <c r="H2756" i="208"/>
  <c r="Q2756" i="208" s="1"/>
  <c r="I2756" i="208"/>
  <c r="J2756" i="208"/>
  <c r="L2756" i="208"/>
  <c r="C2757" i="208"/>
  <c r="D2757" i="208"/>
  <c r="E2757" i="208"/>
  <c r="S2757" i="208" s="1"/>
  <c r="H2757" i="208"/>
  <c r="Q2757" i="208" s="1"/>
  <c r="I2757" i="208"/>
  <c r="J2757" i="208"/>
  <c r="L2757" i="208"/>
  <c r="C2758" i="208"/>
  <c r="D2758" i="208"/>
  <c r="E2758" i="208"/>
  <c r="S2758" i="208" s="1"/>
  <c r="H2758" i="208"/>
  <c r="Q2758" i="208" s="1"/>
  <c r="I2758" i="208"/>
  <c r="J2758" i="208"/>
  <c r="L2758" i="208"/>
  <c r="C2759" i="208"/>
  <c r="D2759" i="208"/>
  <c r="E2759" i="208"/>
  <c r="S2759" i="208" s="1"/>
  <c r="H2759" i="208"/>
  <c r="Q2759" i="208" s="1"/>
  <c r="I2759" i="208"/>
  <c r="J2759" i="208"/>
  <c r="L2759" i="208"/>
  <c r="C2760" i="208"/>
  <c r="D2760" i="208"/>
  <c r="E2760" i="208"/>
  <c r="S2760" i="208" s="1"/>
  <c r="H2760" i="208"/>
  <c r="Q2760" i="208" s="1"/>
  <c r="I2760" i="208"/>
  <c r="J2760" i="208"/>
  <c r="L2760" i="208"/>
  <c r="C2761" i="208"/>
  <c r="D2761" i="208"/>
  <c r="E2761" i="208"/>
  <c r="S2761" i="208" s="1"/>
  <c r="H2761" i="208"/>
  <c r="Q2761" i="208" s="1"/>
  <c r="I2761" i="208"/>
  <c r="J2761" i="208"/>
  <c r="L2761" i="208"/>
  <c r="C2762" i="208"/>
  <c r="D2762" i="208"/>
  <c r="E2762" i="208"/>
  <c r="S2762" i="208" s="1"/>
  <c r="H2762" i="208"/>
  <c r="Q2762" i="208" s="1"/>
  <c r="I2762" i="208"/>
  <c r="J2762" i="208"/>
  <c r="L2762" i="208"/>
  <c r="C2763" i="208"/>
  <c r="D2763" i="208"/>
  <c r="E2763" i="208"/>
  <c r="S2763" i="208" s="1"/>
  <c r="H2763" i="208"/>
  <c r="Q2763" i="208" s="1"/>
  <c r="I2763" i="208"/>
  <c r="J2763" i="208"/>
  <c r="L2763" i="208"/>
  <c r="C2764" i="208"/>
  <c r="D2764" i="208"/>
  <c r="E2764" i="208"/>
  <c r="S2764" i="208" s="1"/>
  <c r="H2764" i="208"/>
  <c r="Q2764" i="208" s="1"/>
  <c r="I2764" i="208"/>
  <c r="J2764" i="208"/>
  <c r="L2764" i="208"/>
  <c r="C2765" i="208"/>
  <c r="D2765" i="208"/>
  <c r="E2765" i="208"/>
  <c r="S2765" i="208" s="1"/>
  <c r="H2765" i="208"/>
  <c r="Q2765" i="208" s="1"/>
  <c r="I2765" i="208"/>
  <c r="J2765" i="208"/>
  <c r="L2765" i="208"/>
  <c r="C2766" i="208"/>
  <c r="D2766" i="208"/>
  <c r="E2766" i="208"/>
  <c r="S2766" i="208" s="1"/>
  <c r="H2766" i="208"/>
  <c r="Q2766" i="208" s="1"/>
  <c r="I2766" i="208"/>
  <c r="J2766" i="208"/>
  <c r="L2766" i="208"/>
  <c r="C2767" i="208"/>
  <c r="D2767" i="208"/>
  <c r="E2767" i="208"/>
  <c r="S2767" i="208" s="1"/>
  <c r="H2767" i="208"/>
  <c r="Q2767" i="208" s="1"/>
  <c r="I2767" i="208"/>
  <c r="J2767" i="208"/>
  <c r="L2767" i="208"/>
  <c r="C2768" i="208"/>
  <c r="D2768" i="208"/>
  <c r="E2768" i="208"/>
  <c r="S2768" i="208" s="1"/>
  <c r="H2768" i="208"/>
  <c r="Q2768" i="208" s="1"/>
  <c r="I2768" i="208"/>
  <c r="J2768" i="208"/>
  <c r="L2768" i="208"/>
  <c r="C2769" i="208"/>
  <c r="D2769" i="208"/>
  <c r="E2769" i="208"/>
  <c r="S2769" i="208" s="1"/>
  <c r="H2769" i="208"/>
  <c r="Q2769" i="208" s="1"/>
  <c r="I2769" i="208"/>
  <c r="J2769" i="208"/>
  <c r="L2769" i="208"/>
  <c r="C2770" i="208"/>
  <c r="D2770" i="208"/>
  <c r="E2770" i="208"/>
  <c r="S2770" i="208" s="1"/>
  <c r="H2770" i="208"/>
  <c r="Q2770" i="208" s="1"/>
  <c r="I2770" i="208"/>
  <c r="J2770" i="208"/>
  <c r="L2770" i="208"/>
  <c r="C2771" i="208"/>
  <c r="D2771" i="208"/>
  <c r="E2771" i="208"/>
  <c r="S2771" i="208" s="1"/>
  <c r="H2771" i="208"/>
  <c r="Q2771" i="208" s="1"/>
  <c r="I2771" i="208"/>
  <c r="J2771" i="208"/>
  <c r="L2771" i="208"/>
  <c r="C2772" i="208"/>
  <c r="D2772" i="208"/>
  <c r="E2772" i="208"/>
  <c r="S2772" i="208" s="1"/>
  <c r="H2772" i="208"/>
  <c r="Q2772" i="208" s="1"/>
  <c r="I2772" i="208"/>
  <c r="J2772" i="208"/>
  <c r="L2772" i="208"/>
  <c r="C2773" i="208"/>
  <c r="D2773" i="208"/>
  <c r="E2773" i="208"/>
  <c r="S2773" i="208" s="1"/>
  <c r="H2773" i="208"/>
  <c r="Q2773" i="208" s="1"/>
  <c r="I2773" i="208"/>
  <c r="J2773" i="208"/>
  <c r="L2773" i="208"/>
  <c r="C2774" i="208"/>
  <c r="D2774" i="208"/>
  <c r="E2774" i="208"/>
  <c r="S2774" i="208" s="1"/>
  <c r="H2774" i="208"/>
  <c r="Q2774" i="208" s="1"/>
  <c r="I2774" i="208"/>
  <c r="J2774" i="208"/>
  <c r="L2774" i="208"/>
  <c r="C2775" i="208"/>
  <c r="D2775" i="208"/>
  <c r="E2775" i="208"/>
  <c r="S2775" i="208" s="1"/>
  <c r="H2775" i="208"/>
  <c r="Q2775" i="208" s="1"/>
  <c r="I2775" i="208"/>
  <c r="J2775" i="208"/>
  <c r="L2775" i="208"/>
  <c r="C2776" i="208"/>
  <c r="D2776" i="208"/>
  <c r="E2776" i="208"/>
  <c r="S2776" i="208" s="1"/>
  <c r="H2776" i="208"/>
  <c r="Q2776" i="208" s="1"/>
  <c r="I2776" i="208"/>
  <c r="J2776" i="208"/>
  <c r="L2776" i="208"/>
  <c r="C2777" i="208"/>
  <c r="D2777" i="208"/>
  <c r="E2777" i="208"/>
  <c r="S2777" i="208" s="1"/>
  <c r="H2777" i="208"/>
  <c r="Q2777" i="208" s="1"/>
  <c r="I2777" i="208"/>
  <c r="J2777" i="208"/>
  <c r="L2777" i="208"/>
  <c r="C2778" i="208"/>
  <c r="D2778" i="208"/>
  <c r="E2778" i="208"/>
  <c r="S2778" i="208" s="1"/>
  <c r="H2778" i="208"/>
  <c r="Q2778" i="208" s="1"/>
  <c r="I2778" i="208"/>
  <c r="J2778" i="208"/>
  <c r="L2778" i="208"/>
  <c r="C2779" i="208"/>
  <c r="D2779" i="208"/>
  <c r="E2779" i="208"/>
  <c r="S2779" i="208" s="1"/>
  <c r="H2779" i="208"/>
  <c r="Q2779" i="208" s="1"/>
  <c r="I2779" i="208"/>
  <c r="J2779" i="208"/>
  <c r="L2779" i="208"/>
  <c r="C2780" i="208"/>
  <c r="D2780" i="208"/>
  <c r="E2780" i="208"/>
  <c r="S2780" i="208" s="1"/>
  <c r="H2780" i="208"/>
  <c r="Q2780" i="208" s="1"/>
  <c r="I2780" i="208"/>
  <c r="J2780" i="208"/>
  <c r="L2780" i="208"/>
  <c r="C2781" i="208"/>
  <c r="D2781" i="208"/>
  <c r="E2781" i="208"/>
  <c r="S2781" i="208" s="1"/>
  <c r="H2781" i="208"/>
  <c r="Q2781" i="208" s="1"/>
  <c r="I2781" i="208"/>
  <c r="J2781" i="208"/>
  <c r="L2781" i="208"/>
  <c r="C2782" i="208"/>
  <c r="D2782" i="208"/>
  <c r="E2782" i="208"/>
  <c r="S2782" i="208" s="1"/>
  <c r="H2782" i="208"/>
  <c r="Q2782" i="208" s="1"/>
  <c r="I2782" i="208"/>
  <c r="J2782" i="208"/>
  <c r="L2782" i="208"/>
  <c r="C2783" i="208"/>
  <c r="D2783" i="208"/>
  <c r="E2783" i="208"/>
  <c r="S2783" i="208" s="1"/>
  <c r="H2783" i="208"/>
  <c r="Q2783" i="208" s="1"/>
  <c r="I2783" i="208"/>
  <c r="J2783" i="208"/>
  <c r="L2783" i="208"/>
  <c r="C2784" i="208"/>
  <c r="D2784" i="208"/>
  <c r="E2784" i="208"/>
  <c r="S2784" i="208" s="1"/>
  <c r="H2784" i="208"/>
  <c r="Q2784" i="208" s="1"/>
  <c r="I2784" i="208"/>
  <c r="J2784" i="208"/>
  <c r="L2784" i="208"/>
  <c r="C2785" i="208"/>
  <c r="D2785" i="208"/>
  <c r="E2785" i="208"/>
  <c r="S2785" i="208" s="1"/>
  <c r="H2785" i="208"/>
  <c r="Q2785" i="208" s="1"/>
  <c r="I2785" i="208"/>
  <c r="J2785" i="208"/>
  <c r="L2785" i="208"/>
  <c r="C2786" i="208"/>
  <c r="D2786" i="208"/>
  <c r="E2786" i="208"/>
  <c r="S2786" i="208" s="1"/>
  <c r="H2786" i="208"/>
  <c r="Q2786" i="208" s="1"/>
  <c r="I2786" i="208"/>
  <c r="J2786" i="208"/>
  <c r="L2786" i="208"/>
  <c r="C2787" i="208"/>
  <c r="D2787" i="208"/>
  <c r="E2787" i="208"/>
  <c r="S2787" i="208" s="1"/>
  <c r="H2787" i="208"/>
  <c r="Q2787" i="208" s="1"/>
  <c r="I2787" i="208"/>
  <c r="J2787" i="208"/>
  <c r="L2787" i="208"/>
  <c r="C2788" i="208"/>
  <c r="D2788" i="208"/>
  <c r="E2788" i="208"/>
  <c r="S2788" i="208" s="1"/>
  <c r="H2788" i="208"/>
  <c r="Q2788" i="208" s="1"/>
  <c r="I2788" i="208"/>
  <c r="J2788" i="208"/>
  <c r="L2788" i="208"/>
  <c r="C2789" i="208"/>
  <c r="D2789" i="208"/>
  <c r="E2789" i="208"/>
  <c r="S2789" i="208" s="1"/>
  <c r="H2789" i="208"/>
  <c r="Q2789" i="208" s="1"/>
  <c r="I2789" i="208"/>
  <c r="J2789" i="208"/>
  <c r="L2789" i="208"/>
  <c r="C2790" i="208"/>
  <c r="D2790" i="208"/>
  <c r="E2790" i="208"/>
  <c r="S2790" i="208" s="1"/>
  <c r="H2790" i="208"/>
  <c r="Q2790" i="208" s="1"/>
  <c r="I2790" i="208"/>
  <c r="J2790" i="208"/>
  <c r="L2790" i="208"/>
  <c r="C2791" i="208"/>
  <c r="D2791" i="208"/>
  <c r="E2791" i="208"/>
  <c r="S2791" i="208" s="1"/>
  <c r="H2791" i="208"/>
  <c r="Q2791" i="208" s="1"/>
  <c r="I2791" i="208"/>
  <c r="J2791" i="208"/>
  <c r="L2791" i="208"/>
  <c r="C2792" i="208"/>
  <c r="D2792" i="208"/>
  <c r="E2792" i="208"/>
  <c r="S2792" i="208" s="1"/>
  <c r="H2792" i="208"/>
  <c r="Q2792" i="208" s="1"/>
  <c r="I2792" i="208"/>
  <c r="J2792" i="208"/>
  <c r="L2792" i="208"/>
  <c r="C2793" i="208"/>
  <c r="D2793" i="208"/>
  <c r="E2793" i="208"/>
  <c r="S2793" i="208" s="1"/>
  <c r="H2793" i="208"/>
  <c r="Q2793" i="208" s="1"/>
  <c r="I2793" i="208"/>
  <c r="J2793" i="208"/>
  <c r="L2793" i="208"/>
  <c r="C2794" i="208"/>
  <c r="D2794" i="208"/>
  <c r="E2794" i="208"/>
  <c r="S2794" i="208" s="1"/>
  <c r="H2794" i="208"/>
  <c r="Q2794" i="208" s="1"/>
  <c r="I2794" i="208"/>
  <c r="J2794" i="208"/>
  <c r="L2794" i="208"/>
  <c r="C2795" i="208"/>
  <c r="D2795" i="208"/>
  <c r="E2795" i="208"/>
  <c r="S2795" i="208" s="1"/>
  <c r="H2795" i="208"/>
  <c r="Q2795" i="208" s="1"/>
  <c r="I2795" i="208"/>
  <c r="J2795" i="208"/>
  <c r="L2795" i="208"/>
  <c r="C2796" i="208"/>
  <c r="D2796" i="208"/>
  <c r="E2796" i="208"/>
  <c r="S2796" i="208" s="1"/>
  <c r="H2796" i="208"/>
  <c r="Q2796" i="208" s="1"/>
  <c r="I2796" i="208"/>
  <c r="J2796" i="208"/>
  <c r="L2796" i="208"/>
  <c r="C2797" i="208"/>
  <c r="D2797" i="208"/>
  <c r="E2797" i="208"/>
  <c r="S2797" i="208" s="1"/>
  <c r="H2797" i="208"/>
  <c r="Q2797" i="208" s="1"/>
  <c r="I2797" i="208"/>
  <c r="J2797" i="208"/>
  <c r="L2797" i="208"/>
  <c r="C2798" i="208"/>
  <c r="D2798" i="208"/>
  <c r="E2798" i="208"/>
  <c r="S2798" i="208" s="1"/>
  <c r="H2798" i="208"/>
  <c r="Q2798" i="208" s="1"/>
  <c r="I2798" i="208"/>
  <c r="J2798" i="208"/>
  <c r="L2798" i="208"/>
  <c r="C2799" i="208"/>
  <c r="D2799" i="208"/>
  <c r="E2799" i="208"/>
  <c r="S2799" i="208" s="1"/>
  <c r="H2799" i="208"/>
  <c r="Q2799" i="208" s="1"/>
  <c r="I2799" i="208"/>
  <c r="J2799" i="208"/>
  <c r="L2799" i="208"/>
  <c r="C2800" i="208"/>
  <c r="D2800" i="208"/>
  <c r="E2800" i="208"/>
  <c r="S2800" i="208" s="1"/>
  <c r="H2800" i="208"/>
  <c r="Q2800" i="208" s="1"/>
  <c r="I2800" i="208"/>
  <c r="J2800" i="208"/>
  <c r="L2800" i="208"/>
  <c r="C2801" i="208"/>
  <c r="D2801" i="208"/>
  <c r="E2801" i="208"/>
  <c r="S2801" i="208" s="1"/>
  <c r="H2801" i="208"/>
  <c r="Q2801" i="208" s="1"/>
  <c r="I2801" i="208"/>
  <c r="J2801" i="208"/>
  <c r="L2801" i="208"/>
  <c r="C2802" i="208"/>
  <c r="D2802" i="208"/>
  <c r="E2802" i="208"/>
  <c r="S2802" i="208" s="1"/>
  <c r="H2802" i="208"/>
  <c r="Q2802" i="208" s="1"/>
  <c r="I2802" i="208"/>
  <c r="J2802" i="208"/>
  <c r="L2802" i="208"/>
  <c r="C2803" i="208"/>
  <c r="D2803" i="208"/>
  <c r="E2803" i="208"/>
  <c r="S2803" i="208" s="1"/>
  <c r="H2803" i="208"/>
  <c r="Q2803" i="208" s="1"/>
  <c r="I2803" i="208"/>
  <c r="J2803" i="208"/>
  <c r="L2803" i="208"/>
  <c r="C2804" i="208"/>
  <c r="D2804" i="208"/>
  <c r="E2804" i="208"/>
  <c r="S2804" i="208" s="1"/>
  <c r="H2804" i="208"/>
  <c r="Q2804" i="208" s="1"/>
  <c r="I2804" i="208"/>
  <c r="J2804" i="208"/>
  <c r="L2804" i="208"/>
  <c r="C2805" i="208"/>
  <c r="D2805" i="208"/>
  <c r="E2805" i="208"/>
  <c r="S2805" i="208" s="1"/>
  <c r="H2805" i="208"/>
  <c r="Q2805" i="208" s="1"/>
  <c r="I2805" i="208"/>
  <c r="J2805" i="208"/>
  <c r="L2805" i="208"/>
  <c r="C2806" i="208"/>
  <c r="D2806" i="208"/>
  <c r="E2806" i="208"/>
  <c r="S2806" i="208" s="1"/>
  <c r="H2806" i="208"/>
  <c r="Q2806" i="208" s="1"/>
  <c r="I2806" i="208"/>
  <c r="J2806" i="208"/>
  <c r="L2806" i="208"/>
  <c r="C2807" i="208"/>
  <c r="D2807" i="208"/>
  <c r="E2807" i="208"/>
  <c r="S2807" i="208" s="1"/>
  <c r="H2807" i="208"/>
  <c r="Q2807" i="208" s="1"/>
  <c r="I2807" i="208"/>
  <c r="J2807" i="208"/>
  <c r="L2807" i="208"/>
  <c r="C2808" i="208"/>
  <c r="D2808" i="208"/>
  <c r="E2808" i="208"/>
  <c r="S2808" i="208" s="1"/>
  <c r="H2808" i="208"/>
  <c r="Q2808" i="208" s="1"/>
  <c r="I2808" i="208"/>
  <c r="J2808" i="208"/>
  <c r="L2808" i="208"/>
  <c r="C2809" i="208"/>
  <c r="D2809" i="208"/>
  <c r="E2809" i="208"/>
  <c r="S2809" i="208" s="1"/>
  <c r="H2809" i="208"/>
  <c r="Q2809" i="208" s="1"/>
  <c r="I2809" i="208"/>
  <c r="J2809" i="208"/>
  <c r="L2809" i="208"/>
  <c r="C2810" i="208"/>
  <c r="D2810" i="208"/>
  <c r="E2810" i="208"/>
  <c r="S2810" i="208" s="1"/>
  <c r="H2810" i="208"/>
  <c r="Q2810" i="208" s="1"/>
  <c r="I2810" i="208"/>
  <c r="J2810" i="208"/>
  <c r="L2810" i="208"/>
  <c r="C2811" i="208"/>
  <c r="D2811" i="208"/>
  <c r="E2811" i="208"/>
  <c r="S2811" i="208" s="1"/>
  <c r="H2811" i="208"/>
  <c r="Q2811" i="208" s="1"/>
  <c r="I2811" i="208"/>
  <c r="J2811" i="208"/>
  <c r="L2811" i="208"/>
  <c r="C2812" i="208"/>
  <c r="D2812" i="208"/>
  <c r="E2812" i="208"/>
  <c r="S2812" i="208" s="1"/>
  <c r="H2812" i="208"/>
  <c r="Q2812" i="208" s="1"/>
  <c r="I2812" i="208"/>
  <c r="J2812" i="208"/>
  <c r="L2812" i="208"/>
  <c r="C2813" i="208"/>
  <c r="D2813" i="208"/>
  <c r="E2813" i="208"/>
  <c r="S2813" i="208" s="1"/>
  <c r="H2813" i="208"/>
  <c r="Q2813" i="208" s="1"/>
  <c r="I2813" i="208"/>
  <c r="J2813" i="208"/>
  <c r="L2813" i="208"/>
  <c r="C2814" i="208"/>
  <c r="D2814" i="208"/>
  <c r="E2814" i="208"/>
  <c r="S2814" i="208" s="1"/>
  <c r="H2814" i="208"/>
  <c r="Q2814" i="208" s="1"/>
  <c r="I2814" i="208"/>
  <c r="J2814" i="208"/>
  <c r="L2814" i="208"/>
  <c r="C2815" i="208"/>
  <c r="D2815" i="208"/>
  <c r="E2815" i="208"/>
  <c r="S2815" i="208" s="1"/>
  <c r="H2815" i="208"/>
  <c r="Q2815" i="208" s="1"/>
  <c r="I2815" i="208"/>
  <c r="J2815" i="208"/>
  <c r="L2815" i="208"/>
  <c r="C2816" i="208"/>
  <c r="D2816" i="208"/>
  <c r="E2816" i="208"/>
  <c r="S2816" i="208" s="1"/>
  <c r="H2816" i="208"/>
  <c r="Q2816" i="208" s="1"/>
  <c r="I2816" i="208"/>
  <c r="J2816" i="208"/>
  <c r="L2816" i="208"/>
  <c r="C2817" i="208"/>
  <c r="D2817" i="208"/>
  <c r="E2817" i="208"/>
  <c r="S2817" i="208" s="1"/>
  <c r="H2817" i="208"/>
  <c r="Q2817" i="208" s="1"/>
  <c r="I2817" i="208"/>
  <c r="J2817" i="208"/>
  <c r="L2817" i="208"/>
  <c r="C2818" i="208"/>
  <c r="D2818" i="208"/>
  <c r="E2818" i="208"/>
  <c r="S2818" i="208" s="1"/>
  <c r="H2818" i="208"/>
  <c r="Q2818" i="208" s="1"/>
  <c r="I2818" i="208"/>
  <c r="J2818" i="208"/>
  <c r="L2818" i="208"/>
  <c r="C2819" i="208"/>
  <c r="D2819" i="208"/>
  <c r="E2819" i="208"/>
  <c r="S2819" i="208" s="1"/>
  <c r="H2819" i="208"/>
  <c r="Q2819" i="208" s="1"/>
  <c r="I2819" i="208"/>
  <c r="J2819" i="208"/>
  <c r="L2819" i="208"/>
  <c r="C2820" i="208"/>
  <c r="D2820" i="208"/>
  <c r="E2820" i="208"/>
  <c r="S2820" i="208" s="1"/>
  <c r="H2820" i="208"/>
  <c r="Q2820" i="208" s="1"/>
  <c r="I2820" i="208"/>
  <c r="J2820" i="208"/>
  <c r="L2820" i="208"/>
  <c r="C2821" i="208"/>
  <c r="D2821" i="208"/>
  <c r="E2821" i="208"/>
  <c r="S2821" i="208" s="1"/>
  <c r="H2821" i="208"/>
  <c r="Q2821" i="208" s="1"/>
  <c r="I2821" i="208"/>
  <c r="J2821" i="208"/>
  <c r="L2821" i="208"/>
  <c r="C2822" i="208"/>
  <c r="D2822" i="208"/>
  <c r="E2822" i="208"/>
  <c r="S2822" i="208" s="1"/>
  <c r="H2822" i="208"/>
  <c r="Q2822" i="208" s="1"/>
  <c r="I2822" i="208"/>
  <c r="J2822" i="208"/>
  <c r="L2822" i="208"/>
  <c r="C2823" i="208"/>
  <c r="D2823" i="208"/>
  <c r="E2823" i="208"/>
  <c r="S2823" i="208" s="1"/>
  <c r="H2823" i="208"/>
  <c r="Q2823" i="208" s="1"/>
  <c r="I2823" i="208"/>
  <c r="J2823" i="208"/>
  <c r="L2823" i="208"/>
  <c r="C2824" i="208"/>
  <c r="D2824" i="208"/>
  <c r="E2824" i="208"/>
  <c r="S2824" i="208" s="1"/>
  <c r="H2824" i="208"/>
  <c r="Q2824" i="208" s="1"/>
  <c r="I2824" i="208"/>
  <c r="J2824" i="208"/>
  <c r="L2824" i="208"/>
  <c r="C2825" i="208"/>
  <c r="D2825" i="208"/>
  <c r="E2825" i="208"/>
  <c r="S2825" i="208" s="1"/>
  <c r="H2825" i="208"/>
  <c r="Q2825" i="208" s="1"/>
  <c r="I2825" i="208"/>
  <c r="J2825" i="208"/>
  <c r="L2825" i="208"/>
  <c r="C2826" i="208"/>
  <c r="D2826" i="208"/>
  <c r="E2826" i="208"/>
  <c r="S2826" i="208" s="1"/>
  <c r="H2826" i="208"/>
  <c r="Q2826" i="208" s="1"/>
  <c r="I2826" i="208"/>
  <c r="J2826" i="208"/>
  <c r="L2826" i="208"/>
  <c r="C2827" i="208"/>
  <c r="D2827" i="208"/>
  <c r="E2827" i="208"/>
  <c r="S2827" i="208" s="1"/>
  <c r="H2827" i="208"/>
  <c r="Q2827" i="208" s="1"/>
  <c r="I2827" i="208"/>
  <c r="J2827" i="208"/>
  <c r="L2827" i="208"/>
  <c r="C2828" i="208"/>
  <c r="D2828" i="208"/>
  <c r="E2828" i="208"/>
  <c r="S2828" i="208" s="1"/>
  <c r="H2828" i="208"/>
  <c r="Q2828" i="208" s="1"/>
  <c r="I2828" i="208"/>
  <c r="J2828" i="208"/>
  <c r="L2828" i="208"/>
  <c r="C2829" i="208"/>
  <c r="D2829" i="208"/>
  <c r="E2829" i="208"/>
  <c r="S2829" i="208" s="1"/>
  <c r="H2829" i="208"/>
  <c r="Q2829" i="208" s="1"/>
  <c r="I2829" i="208"/>
  <c r="J2829" i="208"/>
  <c r="L2829" i="208"/>
  <c r="C2830" i="208"/>
  <c r="D2830" i="208"/>
  <c r="E2830" i="208"/>
  <c r="S2830" i="208" s="1"/>
  <c r="H2830" i="208"/>
  <c r="Q2830" i="208" s="1"/>
  <c r="I2830" i="208"/>
  <c r="J2830" i="208"/>
  <c r="L2830" i="208"/>
  <c r="C2831" i="208"/>
  <c r="D2831" i="208"/>
  <c r="E2831" i="208"/>
  <c r="S2831" i="208" s="1"/>
  <c r="H2831" i="208"/>
  <c r="Q2831" i="208" s="1"/>
  <c r="I2831" i="208"/>
  <c r="J2831" i="208"/>
  <c r="L2831" i="208"/>
  <c r="C2832" i="208"/>
  <c r="D2832" i="208"/>
  <c r="E2832" i="208"/>
  <c r="S2832" i="208" s="1"/>
  <c r="H2832" i="208"/>
  <c r="Q2832" i="208" s="1"/>
  <c r="I2832" i="208"/>
  <c r="J2832" i="208"/>
  <c r="L2832" i="208"/>
  <c r="C2833" i="208"/>
  <c r="D2833" i="208"/>
  <c r="E2833" i="208"/>
  <c r="S2833" i="208" s="1"/>
  <c r="H2833" i="208"/>
  <c r="Q2833" i="208" s="1"/>
  <c r="I2833" i="208"/>
  <c r="J2833" i="208"/>
  <c r="L2833" i="208"/>
  <c r="C2834" i="208"/>
  <c r="D2834" i="208"/>
  <c r="E2834" i="208"/>
  <c r="S2834" i="208" s="1"/>
  <c r="H2834" i="208"/>
  <c r="Q2834" i="208" s="1"/>
  <c r="I2834" i="208"/>
  <c r="J2834" i="208"/>
  <c r="L2834" i="208"/>
  <c r="C2835" i="208"/>
  <c r="D2835" i="208"/>
  <c r="E2835" i="208"/>
  <c r="S2835" i="208" s="1"/>
  <c r="H2835" i="208"/>
  <c r="Q2835" i="208" s="1"/>
  <c r="I2835" i="208"/>
  <c r="J2835" i="208"/>
  <c r="L2835" i="208"/>
  <c r="C2836" i="208"/>
  <c r="D2836" i="208"/>
  <c r="E2836" i="208"/>
  <c r="S2836" i="208" s="1"/>
  <c r="H2836" i="208"/>
  <c r="Q2836" i="208" s="1"/>
  <c r="I2836" i="208"/>
  <c r="J2836" i="208"/>
  <c r="L2836" i="208"/>
  <c r="C2837" i="208"/>
  <c r="D2837" i="208"/>
  <c r="E2837" i="208"/>
  <c r="S2837" i="208" s="1"/>
  <c r="H2837" i="208"/>
  <c r="Q2837" i="208" s="1"/>
  <c r="I2837" i="208"/>
  <c r="J2837" i="208"/>
  <c r="L2837" i="208"/>
  <c r="C2838" i="208"/>
  <c r="D2838" i="208"/>
  <c r="E2838" i="208"/>
  <c r="S2838" i="208" s="1"/>
  <c r="H2838" i="208"/>
  <c r="Q2838" i="208" s="1"/>
  <c r="I2838" i="208"/>
  <c r="J2838" i="208"/>
  <c r="L2838" i="208"/>
  <c r="C2839" i="208"/>
  <c r="D2839" i="208"/>
  <c r="E2839" i="208"/>
  <c r="S2839" i="208" s="1"/>
  <c r="H2839" i="208"/>
  <c r="Q2839" i="208" s="1"/>
  <c r="I2839" i="208"/>
  <c r="J2839" i="208"/>
  <c r="L2839" i="208"/>
  <c r="C2840" i="208"/>
  <c r="D2840" i="208"/>
  <c r="E2840" i="208"/>
  <c r="S2840" i="208" s="1"/>
  <c r="H2840" i="208"/>
  <c r="Q2840" i="208" s="1"/>
  <c r="I2840" i="208"/>
  <c r="J2840" i="208"/>
  <c r="L2840" i="208"/>
  <c r="C2841" i="208"/>
  <c r="D2841" i="208"/>
  <c r="E2841" i="208"/>
  <c r="S2841" i="208" s="1"/>
  <c r="H2841" i="208"/>
  <c r="Q2841" i="208" s="1"/>
  <c r="I2841" i="208"/>
  <c r="J2841" i="208"/>
  <c r="L2841" i="208"/>
  <c r="C2842" i="208"/>
  <c r="D2842" i="208"/>
  <c r="E2842" i="208"/>
  <c r="S2842" i="208" s="1"/>
  <c r="H2842" i="208"/>
  <c r="Q2842" i="208" s="1"/>
  <c r="I2842" i="208"/>
  <c r="J2842" i="208"/>
  <c r="L2842" i="208"/>
  <c r="C2843" i="208"/>
  <c r="D2843" i="208"/>
  <c r="E2843" i="208"/>
  <c r="S2843" i="208" s="1"/>
  <c r="H2843" i="208"/>
  <c r="Q2843" i="208" s="1"/>
  <c r="I2843" i="208"/>
  <c r="J2843" i="208"/>
  <c r="L2843" i="208"/>
  <c r="C2844" i="208"/>
  <c r="D2844" i="208"/>
  <c r="E2844" i="208"/>
  <c r="S2844" i="208" s="1"/>
  <c r="H2844" i="208"/>
  <c r="Q2844" i="208" s="1"/>
  <c r="I2844" i="208"/>
  <c r="J2844" i="208"/>
  <c r="L2844" i="208"/>
  <c r="C2845" i="208"/>
  <c r="D2845" i="208"/>
  <c r="E2845" i="208"/>
  <c r="S2845" i="208" s="1"/>
  <c r="H2845" i="208"/>
  <c r="Q2845" i="208" s="1"/>
  <c r="I2845" i="208"/>
  <c r="J2845" i="208"/>
  <c r="L2845" i="208"/>
  <c r="C2846" i="208"/>
  <c r="D2846" i="208"/>
  <c r="E2846" i="208"/>
  <c r="S2846" i="208" s="1"/>
  <c r="H2846" i="208"/>
  <c r="Q2846" i="208" s="1"/>
  <c r="I2846" i="208"/>
  <c r="J2846" i="208"/>
  <c r="L2846" i="208"/>
  <c r="C2847" i="208"/>
  <c r="D2847" i="208"/>
  <c r="E2847" i="208"/>
  <c r="S2847" i="208" s="1"/>
  <c r="H2847" i="208"/>
  <c r="Q2847" i="208" s="1"/>
  <c r="I2847" i="208"/>
  <c r="J2847" i="208"/>
  <c r="L2847" i="208"/>
  <c r="C2848" i="208"/>
  <c r="D2848" i="208"/>
  <c r="E2848" i="208"/>
  <c r="S2848" i="208" s="1"/>
  <c r="H2848" i="208"/>
  <c r="Q2848" i="208" s="1"/>
  <c r="I2848" i="208"/>
  <c r="J2848" i="208"/>
  <c r="L2848" i="208"/>
  <c r="C2849" i="208"/>
  <c r="D2849" i="208"/>
  <c r="E2849" i="208"/>
  <c r="S2849" i="208" s="1"/>
  <c r="H2849" i="208"/>
  <c r="Q2849" i="208" s="1"/>
  <c r="I2849" i="208"/>
  <c r="J2849" i="208"/>
  <c r="L2849" i="208"/>
  <c r="C2850" i="208"/>
  <c r="D2850" i="208"/>
  <c r="E2850" i="208"/>
  <c r="S2850" i="208" s="1"/>
  <c r="H2850" i="208"/>
  <c r="Q2850" i="208" s="1"/>
  <c r="I2850" i="208"/>
  <c r="J2850" i="208"/>
  <c r="L2850" i="208"/>
  <c r="C2851" i="208"/>
  <c r="D2851" i="208"/>
  <c r="E2851" i="208"/>
  <c r="S2851" i="208" s="1"/>
  <c r="H2851" i="208"/>
  <c r="Q2851" i="208" s="1"/>
  <c r="I2851" i="208"/>
  <c r="J2851" i="208"/>
  <c r="L2851" i="208"/>
  <c r="C2852" i="208"/>
  <c r="D2852" i="208"/>
  <c r="E2852" i="208"/>
  <c r="S2852" i="208" s="1"/>
  <c r="H2852" i="208"/>
  <c r="Q2852" i="208" s="1"/>
  <c r="I2852" i="208"/>
  <c r="J2852" i="208"/>
  <c r="L2852" i="208"/>
  <c r="C2853" i="208"/>
  <c r="D2853" i="208"/>
  <c r="E2853" i="208"/>
  <c r="S2853" i="208" s="1"/>
  <c r="H2853" i="208"/>
  <c r="Q2853" i="208" s="1"/>
  <c r="I2853" i="208"/>
  <c r="J2853" i="208"/>
  <c r="L2853" i="208"/>
  <c r="C2854" i="208"/>
  <c r="D2854" i="208"/>
  <c r="E2854" i="208"/>
  <c r="S2854" i="208" s="1"/>
  <c r="H2854" i="208"/>
  <c r="Q2854" i="208" s="1"/>
  <c r="I2854" i="208"/>
  <c r="J2854" i="208"/>
  <c r="L2854" i="208"/>
  <c r="C2855" i="208"/>
  <c r="D2855" i="208"/>
  <c r="E2855" i="208"/>
  <c r="S2855" i="208" s="1"/>
  <c r="H2855" i="208"/>
  <c r="Q2855" i="208" s="1"/>
  <c r="I2855" i="208"/>
  <c r="J2855" i="208"/>
  <c r="L2855" i="208"/>
  <c r="C2856" i="208"/>
  <c r="D2856" i="208"/>
  <c r="E2856" i="208"/>
  <c r="S2856" i="208" s="1"/>
  <c r="H2856" i="208"/>
  <c r="Q2856" i="208" s="1"/>
  <c r="I2856" i="208"/>
  <c r="J2856" i="208"/>
  <c r="L2856" i="208"/>
  <c r="C2857" i="208"/>
  <c r="D2857" i="208"/>
  <c r="E2857" i="208"/>
  <c r="S2857" i="208" s="1"/>
  <c r="H2857" i="208"/>
  <c r="Q2857" i="208" s="1"/>
  <c r="I2857" i="208"/>
  <c r="J2857" i="208"/>
  <c r="L2857" i="208"/>
  <c r="C2858" i="208"/>
  <c r="D2858" i="208"/>
  <c r="E2858" i="208"/>
  <c r="S2858" i="208" s="1"/>
  <c r="H2858" i="208"/>
  <c r="Q2858" i="208" s="1"/>
  <c r="I2858" i="208"/>
  <c r="J2858" i="208"/>
  <c r="L2858" i="208"/>
  <c r="C2859" i="208"/>
  <c r="D2859" i="208"/>
  <c r="E2859" i="208"/>
  <c r="S2859" i="208" s="1"/>
  <c r="H2859" i="208"/>
  <c r="Q2859" i="208" s="1"/>
  <c r="I2859" i="208"/>
  <c r="J2859" i="208"/>
  <c r="L2859" i="208"/>
  <c r="C2860" i="208"/>
  <c r="D2860" i="208"/>
  <c r="E2860" i="208"/>
  <c r="S2860" i="208" s="1"/>
  <c r="H2860" i="208"/>
  <c r="Q2860" i="208" s="1"/>
  <c r="I2860" i="208"/>
  <c r="J2860" i="208"/>
  <c r="L2860" i="208"/>
  <c r="C2861" i="208"/>
  <c r="D2861" i="208"/>
  <c r="E2861" i="208"/>
  <c r="S2861" i="208" s="1"/>
  <c r="H2861" i="208"/>
  <c r="Q2861" i="208" s="1"/>
  <c r="I2861" i="208"/>
  <c r="J2861" i="208"/>
  <c r="L2861" i="208"/>
  <c r="C2862" i="208"/>
  <c r="D2862" i="208"/>
  <c r="E2862" i="208"/>
  <c r="S2862" i="208" s="1"/>
  <c r="H2862" i="208"/>
  <c r="Q2862" i="208" s="1"/>
  <c r="I2862" i="208"/>
  <c r="J2862" i="208"/>
  <c r="L2862" i="208"/>
  <c r="C2863" i="208"/>
  <c r="D2863" i="208"/>
  <c r="E2863" i="208"/>
  <c r="S2863" i="208" s="1"/>
  <c r="H2863" i="208"/>
  <c r="Q2863" i="208" s="1"/>
  <c r="I2863" i="208"/>
  <c r="J2863" i="208"/>
  <c r="L2863" i="208"/>
  <c r="C2864" i="208"/>
  <c r="D2864" i="208"/>
  <c r="E2864" i="208"/>
  <c r="S2864" i="208" s="1"/>
  <c r="H2864" i="208"/>
  <c r="Q2864" i="208" s="1"/>
  <c r="I2864" i="208"/>
  <c r="J2864" i="208"/>
  <c r="L2864" i="208"/>
  <c r="C2865" i="208"/>
  <c r="D2865" i="208"/>
  <c r="E2865" i="208"/>
  <c r="S2865" i="208" s="1"/>
  <c r="H2865" i="208"/>
  <c r="Q2865" i="208" s="1"/>
  <c r="I2865" i="208"/>
  <c r="J2865" i="208"/>
  <c r="L2865" i="208"/>
  <c r="C2866" i="208"/>
  <c r="D2866" i="208"/>
  <c r="E2866" i="208"/>
  <c r="S2866" i="208" s="1"/>
  <c r="H2866" i="208"/>
  <c r="Q2866" i="208" s="1"/>
  <c r="I2866" i="208"/>
  <c r="J2866" i="208"/>
  <c r="L2866" i="208"/>
  <c r="C2867" i="208"/>
  <c r="D2867" i="208"/>
  <c r="E2867" i="208"/>
  <c r="S2867" i="208" s="1"/>
  <c r="H2867" i="208"/>
  <c r="Q2867" i="208" s="1"/>
  <c r="I2867" i="208"/>
  <c r="J2867" i="208"/>
  <c r="L2867" i="208"/>
  <c r="C2868" i="208"/>
  <c r="D2868" i="208"/>
  <c r="E2868" i="208"/>
  <c r="S2868" i="208" s="1"/>
  <c r="H2868" i="208"/>
  <c r="Q2868" i="208" s="1"/>
  <c r="I2868" i="208"/>
  <c r="J2868" i="208"/>
  <c r="L2868" i="208"/>
  <c r="C2869" i="208"/>
  <c r="D2869" i="208"/>
  <c r="E2869" i="208"/>
  <c r="S2869" i="208" s="1"/>
  <c r="H2869" i="208"/>
  <c r="Q2869" i="208" s="1"/>
  <c r="I2869" i="208"/>
  <c r="J2869" i="208"/>
  <c r="L2869" i="208"/>
  <c r="C2870" i="208"/>
  <c r="D2870" i="208"/>
  <c r="E2870" i="208"/>
  <c r="S2870" i="208" s="1"/>
  <c r="H2870" i="208"/>
  <c r="Q2870" i="208" s="1"/>
  <c r="I2870" i="208"/>
  <c r="J2870" i="208"/>
  <c r="L2870" i="208"/>
  <c r="C2871" i="208"/>
  <c r="D2871" i="208"/>
  <c r="E2871" i="208"/>
  <c r="S2871" i="208" s="1"/>
  <c r="H2871" i="208"/>
  <c r="Q2871" i="208" s="1"/>
  <c r="I2871" i="208"/>
  <c r="J2871" i="208"/>
  <c r="L2871" i="208"/>
  <c r="C2872" i="208"/>
  <c r="D2872" i="208"/>
  <c r="E2872" i="208"/>
  <c r="S2872" i="208" s="1"/>
  <c r="H2872" i="208"/>
  <c r="Q2872" i="208" s="1"/>
  <c r="I2872" i="208"/>
  <c r="J2872" i="208"/>
  <c r="L2872" i="208"/>
  <c r="C2873" i="208"/>
  <c r="D2873" i="208"/>
  <c r="E2873" i="208"/>
  <c r="S2873" i="208" s="1"/>
  <c r="H2873" i="208"/>
  <c r="Q2873" i="208" s="1"/>
  <c r="I2873" i="208"/>
  <c r="J2873" i="208"/>
  <c r="L2873" i="208"/>
  <c r="C2874" i="208"/>
  <c r="D2874" i="208"/>
  <c r="E2874" i="208"/>
  <c r="S2874" i="208" s="1"/>
  <c r="H2874" i="208"/>
  <c r="Q2874" i="208" s="1"/>
  <c r="I2874" i="208"/>
  <c r="J2874" i="208"/>
  <c r="L2874" i="208"/>
  <c r="C2875" i="208"/>
  <c r="D2875" i="208"/>
  <c r="E2875" i="208"/>
  <c r="S2875" i="208" s="1"/>
  <c r="H2875" i="208"/>
  <c r="Q2875" i="208" s="1"/>
  <c r="I2875" i="208"/>
  <c r="J2875" i="208"/>
  <c r="L2875" i="208"/>
  <c r="C2876" i="208"/>
  <c r="D2876" i="208"/>
  <c r="E2876" i="208"/>
  <c r="S2876" i="208" s="1"/>
  <c r="H2876" i="208"/>
  <c r="Q2876" i="208" s="1"/>
  <c r="I2876" i="208"/>
  <c r="J2876" i="208"/>
  <c r="L2876" i="208"/>
  <c r="C2877" i="208"/>
  <c r="D2877" i="208"/>
  <c r="E2877" i="208"/>
  <c r="S2877" i="208" s="1"/>
  <c r="H2877" i="208"/>
  <c r="Q2877" i="208" s="1"/>
  <c r="I2877" i="208"/>
  <c r="J2877" i="208"/>
  <c r="L2877" i="208"/>
  <c r="C2878" i="208"/>
  <c r="D2878" i="208"/>
  <c r="E2878" i="208"/>
  <c r="S2878" i="208" s="1"/>
  <c r="H2878" i="208"/>
  <c r="Q2878" i="208" s="1"/>
  <c r="I2878" i="208"/>
  <c r="J2878" i="208"/>
  <c r="L2878" i="208"/>
  <c r="C2879" i="208"/>
  <c r="D2879" i="208"/>
  <c r="E2879" i="208"/>
  <c r="S2879" i="208" s="1"/>
  <c r="H2879" i="208"/>
  <c r="Q2879" i="208" s="1"/>
  <c r="I2879" i="208"/>
  <c r="J2879" i="208"/>
  <c r="L2879" i="208"/>
  <c r="C2880" i="208"/>
  <c r="D2880" i="208"/>
  <c r="E2880" i="208"/>
  <c r="S2880" i="208" s="1"/>
  <c r="H2880" i="208"/>
  <c r="Q2880" i="208" s="1"/>
  <c r="I2880" i="208"/>
  <c r="J2880" i="208"/>
  <c r="L2880" i="208"/>
  <c r="C2881" i="208"/>
  <c r="D2881" i="208"/>
  <c r="E2881" i="208"/>
  <c r="S2881" i="208" s="1"/>
  <c r="H2881" i="208"/>
  <c r="Q2881" i="208" s="1"/>
  <c r="I2881" i="208"/>
  <c r="J2881" i="208"/>
  <c r="L2881" i="208"/>
  <c r="C2882" i="208"/>
  <c r="D2882" i="208"/>
  <c r="E2882" i="208"/>
  <c r="S2882" i="208" s="1"/>
  <c r="H2882" i="208"/>
  <c r="Q2882" i="208" s="1"/>
  <c r="I2882" i="208"/>
  <c r="J2882" i="208"/>
  <c r="L2882" i="208"/>
  <c r="C2883" i="208"/>
  <c r="D2883" i="208"/>
  <c r="E2883" i="208"/>
  <c r="S2883" i="208" s="1"/>
  <c r="H2883" i="208"/>
  <c r="Q2883" i="208" s="1"/>
  <c r="I2883" i="208"/>
  <c r="J2883" i="208"/>
  <c r="L2883" i="208"/>
  <c r="C2884" i="208"/>
  <c r="D2884" i="208"/>
  <c r="E2884" i="208"/>
  <c r="S2884" i="208" s="1"/>
  <c r="H2884" i="208"/>
  <c r="Q2884" i="208" s="1"/>
  <c r="I2884" i="208"/>
  <c r="J2884" i="208"/>
  <c r="L2884" i="208"/>
  <c r="C2885" i="208"/>
  <c r="D2885" i="208"/>
  <c r="E2885" i="208"/>
  <c r="S2885" i="208" s="1"/>
  <c r="H2885" i="208"/>
  <c r="Q2885" i="208" s="1"/>
  <c r="I2885" i="208"/>
  <c r="J2885" i="208"/>
  <c r="L2885" i="208"/>
  <c r="C2886" i="208"/>
  <c r="D2886" i="208"/>
  <c r="E2886" i="208"/>
  <c r="S2886" i="208" s="1"/>
  <c r="H2886" i="208"/>
  <c r="Q2886" i="208" s="1"/>
  <c r="I2886" i="208"/>
  <c r="J2886" i="208"/>
  <c r="L2886" i="208"/>
  <c r="C2887" i="208"/>
  <c r="D2887" i="208"/>
  <c r="E2887" i="208"/>
  <c r="S2887" i="208" s="1"/>
  <c r="H2887" i="208"/>
  <c r="Q2887" i="208" s="1"/>
  <c r="I2887" i="208"/>
  <c r="J2887" i="208"/>
  <c r="L2887" i="208"/>
  <c r="C2888" i="208"/>
  <c r="D2888" i="208"/>
  <c r="E2888" i="208"/>
  <c r="S2888" i="208" s="1"/>
  <c r="H2888" i="208"/>
  <c r="Q2888" i="208" s="1"/>
  <c r="I2888" i="208"/>
  <c r="J2888" i="208"/>
  <c r="L2888" i="208"/>
  <c r="C2889" i="208"/>
  <c r="D2889" i="208"/>
  <c r="E2889" i="208"/>
  <c r="S2889" i="208" s="1"/>
  <c r="H2889" i="208"/>
  <c r="Q2889" i="208" s="1"/>
  <c r="I2889" i="208"/>
  <c r="J2889" i="208"/>
  <c r="L2889" i="208"/>
  <c r="C2890" i="208"/>
  <c r="D2890" i="208"/>
  <c r="E2890" i="208"/>
  <c r="S2890" i="208" s="1"/>
  <c r="H2890" i="208"/>
  <c r="Q2890" i="208" s="1"/>
  <c r="I2890" i="208"/>
  <c r="J2890" i="208"/>
  <c r="L2890" i="208"/>
  <c r="C2891" i="208"/>
  <c r="D2891" i="208"/>
  <c r="E2891" i="208"/>
  <c r="S2891" i="208" s="1"/>
  <c r="H2891" i="208"/>
  <c r="Q2891" i="208" s="1"/>
  <c r="I2891" i="208"/>
  <c r="J2891" i="208"/>
  <c r="L2891" i="208"/>
  <c r="C2892" i="208"/>
  <c r="D2892" i="208"/>
  <c r="E2892" i="208"/>
  <c r="S2892" i="208" s="1"/>
  <c r="H2892" i="208"/>
  <c r="Q2892" i="208" s="1"/>
  <c r="I2892" i="208"/>
  <c r="J2892" i="208"/>
  <c r="L2892" i="208"/>
  <c r="C2893" i="208"/>
  <c r="D2893" i="208"/>
  <c r="E2893" i="208"/>
  <c r="S2893" i="208" s="1"/>
  <c r="H2893" i="208"/>
  <c r="Q2893" i="208" s="1"/>
  <c r="I2893" i="208"/>
  <c r="J2893" i="208"/>
  <c r="L2893" i="208"/>
  <c r="C2894" i="208"/>
  <c r="D2894" i="208"/>
  <c r="E2894" i="208"/>
  <c r="S2894" i="208" s="1"/>
  <c r="H2894" i="208"/>
  <c r="Q2894" i="208" s="1"/>
  <c r="I2894" i="208"/>
  <c r="J2894" i="208"/>
  <c r="L2894" i="208"/>
  <c r="C2895" i="208"/>
  <c r="D2895" i="208"/>
  <c r="E2895" i="208"/>
  <c r="S2895" i="208" s="1"/>
  <c r="H2895" i="208"/>
  <c r="Q2895" i="208" s="1"/>
  <c r="I2895" i="208"/>
  <c r="J2895" i="208"/>
  <c r="L2895" i="208"/>
  <c r="C2896" i="208"/>
  <c r="D2896" i="208"/>
  <c r="E2896" i="208"/>
  <c r="S2896" i="208" s="1"/>
  <c r="H2896" i="208"/>
  <c r="Q2896" i="208" s="1"/>
  <c r="I2896" i="208"/>
  <c r="J2896" i="208"/>
  <c r="L2896" i="208"/>
  <c r="C2897" i="208"/>
  <c r="D2897" i="208"/>
  <c r="E2897" i="208"/>
  <c r="S2897" i="208" s="1"/>
  <c r="H2897" i="208"/>
  <c r="Q2897" i="208" s="1"/>
  <c r="I2897" i="208"/>
  <c r="J2897" i="208"/>
  <c r="L2897" i="208"/>
  <c r="C2898" i="208"/>
  <c r="D2898" i="208"/>
  <c r="E2898" i="208"/>
  <c r="S2898" i="208" s="1"/>
  <c r="H2898" i="208"/>
  <c r="Q2898" i="208" s="1"/>
  <c r="I2898" i="208"/>
  <c r="J2898" i="208"/>
  <c r="L2898" i="208"/>
  <c r="C2899" i="208"/>
  <c r="D2899" i="208"/>
  <c r="E2899" i="208"/>
  <c r="S2899" i="208" s="1"/>
  <c r="H2899" i="208"/>
  <c r="Q2899" i="208" s="1"/>
  <c r="I2899" i="208"/>
  <c r="J2899" i="208"/>
  <c r="L2899" i="208"/>
  <c r="C2900" i="208"/>
  <c r="D2900" i="208"/>
  <c r="E2900" i="208"/>
  <c r="S2900" i="208" s="1"/>
  <c r="H2900" i="208"/>
  <c r="Q2900" i="208" s="1"/>
  <c r="I2900" i="208"/>
  <c r="J2900" i="208"/>
  <c r="L2900" i="208"/>
  <c r="C2901" i="208"/>
  <c r="D2901" i="208"/>
  <c r="E2901" i="208"/>
  <c r="S2901" i="208" s="1"/>
  <c r="H2901" i="208"/>
  <c r="Q2901" i="208" s="1"/>
  <c r="I2901" i="208"/>
  <c r="J2901" i="208"/>
  <c r="L2901" i="208"/>
  <c r="C2902" i="208"/>
  <c r="D2902" i="208"/>
  <c r="E2902" i="208"/>
  <c r="S2902" i="208" s="1"/>
  <c r="H2902" i="208"/>
  <c r="Q2902" i="208" s="1"/>
  <c r="I2902" i="208"/>
  <c r="J2902" i="208"/>
  <c r="L2902" i="208"/>
  <c r="C2903" i="208"/>
  <c r="D2903" i="208"/>
  <c r="E2903" i="208"/>
  <c r="S2903" i="208" s="1"/>
  <c r="H2903" i="208"/>
  <c r="Q2903" i="208" s="1"/>
  <c r="I2903" i="208"/>
  <c r="J2903" i="208"/>
  <c r="L2903" i="208"/>
  <c r="C2904" i="208"/>
  <c r="D2904" i="208"/>
  <c r="E2904" i="208"/>
  <c r="S2904" i="208" s="1"/>
  <c r="H2904" i="208"/>
  <c r="Q2904" i="208" s="1"/>
  <c r="I2904" i="208"/>
  <c r="J2904" i="208"/>
  <c r="L2904" i="208"/>
  <c r="C2905" i="208"/>
  <c r="D2905" i="208"/>
  <c r="E2905" i="208"/>
  <c r="S2905" i="208" s="1"/>
  <c r="H2905" i="208"/>
  <c r="Q2905" i="208" s="1"/>
  <c r="I2905" i="208"/>
  <c r="J2905" i="208"/>
  <c r="L2905" i="208"/>
  <c r="C2906" i="208"/>
  <c r="D2906" i="208"/>
  <c r="E2906" i="208"/>
  <c r="S2906" i="208" s="1"/>
  <c r="H2906" i="208"/>
  <c r="Q2906" i="208" s="1"/>
  <c r="I2906" i="208"/>
  <c r="J2906" i="208"/>
  <c r="L2906" i="208"/>
  <c r="C2907" i="208"/>
  <c r="D2907" i="208"/>
  <c r="E2907" i="208"/>
  <c r="S2907" i="208" s="1"/>
  <c r="H2907" i="208"/>
  <c r="Q2907" i="208" s="1"/>
  <c r="I2907" i="208"/>
  <c r="J2907" i="208"/>
  <c r="L2907" i="208"/>
  <c r="C2908" i="208"/>
  <c r="D2908" i="208"/>
  <c r="E2908" i="208"/>
  <c r="S2908" i="208" s="1"/>
  <c r="H2908" i="208"/>
  <c r="Q2908" i="208" s="1"/>
  <c r="I2908" i="208"/>
  <c r="J2908" i="208"/>
  <c r="L2908" i="208"/>
  <c r="C2909" i="208"/>
  <c r="D2909" i="208"/>
  <c r="E2909" i="208"/>
  <c r="S2909" i="208" s="1"/>
  <c r="H2909" i="208"/>
  <c r="Q2909" i="208" s="1"/>
  <c r="I2909" i="208"/>
  <c r="J2909" i="208"/>
  <c r="L2909" i="208"/>
  <c r="C2910" i="208"/>
  <c r="D2910" i="208"/>
  <c r="E2910" i="208"/>
  <c r="S2910" i="208" s="1"/>
  <c r="H2910" i="208"/>
  <c r="Q2910" i="208" s="1"/>
  <c r="I2910" i="208"/>
  <c r="J2910" i="208"/>
  <c r="L2910" i="208"/>
  <c r="C2911" i="208"/>
  <c r="D2911" i="208"/>
  <c r="E2911" i="208"/>
  <c r="S2911" i="208" s="1"/>
  <c r="H2911" i="208"/>
  <c r="Q2911" i="208" s="1"/>
  <c r="I2911" i="208"/>
  <c r="J2911" i="208"/>
  <c r="L2911" i="208"/>
  <c r="C2912" i="208"/>
  <c r="D2912" i="208"/>
  <c r="E2912" i="208"/>
  <c r="S2912" i="208" s="1"/>
  <c r="H2912" i="208"/>
  <c r="Q2912" i="208" s="1"/>
  <c r="I2912" i="208"/>
  <c r="J2912" i="208"/>
  <c r="L2912" i="208"/>
  <c r="C2913" i="208"/>
  <c r="D2913" i="208"/>
  <c r="E2913" i="208"/>
  <c r="S2913" i="208" s="1"/>
  <c r="H2913" i="208"/>
  <c r="Q2913" i="208" s="1"/>
  <c r="I2913" i="208"/>
  <c r="J2913" i="208"/>
  <c r="L2913" i="208"/>
  <c r="C2914" i="208"/>
  <c r="D2914" i="208"/>
  <c r="E2914" i="208"/>
  <c r="S2914" i="208" s="1"/>
  <c r="H2914" i="208"/>
  <c r="Q2914" i="208" s="1"/>
  <c r="I2914" i="208"/>
  <c r="J2914" i="208"/>
  <c r="L2914" i="208"/>
  <c r="C2915" i="208"/>
  <c r="D2915" i="208"/>
  <c r="E2915" i="208"/>
  <c r="S2915" i="208" s="1"/>
  <c r="H2915" i="208"/>
  <c r="Q2915" i="208" s="1"/>
  <c r="I2915" i="208"/>
  <c r="J2915" i="208"/>
  <c r="L2915" i="208"/>
  <c r="C2916" i="208"/>
  <c r="D2916" i="208"/>
  <c r="E2916" i="208"/>
  <c r="S2916" i="208" s="1"/>
  <c r="H2916" i="208"/>
  <c r="Q2916" i="208" s="1"/>
  <c r="I2916" i="208"/>
  <c r="J2916" i="208"/>
  <c r="L2916" i="208"/>
  <c r="C2917" i="208"/>
  <c r="D2917" i="208"/>
  <c r="E2917" i="208"/>
  <c r="S2917" i="208" s="1"/>
  <c r="H2917" i="208"/>
  <c r="Q2917" i="208" s="1"/>
  <c r="I2917" i="208"/>
  <c r="J2917" i="208"/>
  <c r="L2917" i="208"/>
  <c r="C2918" i="208"/>
  <c r="D2918" i="208"/>
  <c r="E2918" i="208"/>
  <c r="S2918" i="208" s="1"/>
  <c r="H2918" i="208"/>
  <c r="Q2918" i="208" s="1"/>
  <c r="I2918" i="208"/>
  <c r="J2918" i="208"/>
  <c r="L2918" i="208"/>
  <c r="C2919" i="208"/>
  <c r="D2919" i="208"/>
  <c r="E2919" i="208"/>
  <c r="S2919" i="208" s="1"/>
  <c r="H2919" i="208"/>
  <c r="Q2919" i="208" s="1"/>
  <c r="I2919" i="208"/>
  <c r="J2919" i="208"/>
  <c r="L2919" i="208"/>
  <c r="C2920" i="208"/>
  <c r="D2920" i="208"/>
  <c r="E2920" i="208"/>
  <c r="S2920" i="208" s="1"/>
  <c r="H2920" i="208"/>
  <c r="Q2920" i="208" s="1"/>
  <c r="I2920" i="208"/>
  <c r="J2920" i="208"/>
  <c r="L2920" i="208"/>
  <c r="C2921" i="208"/>
  <c r="D2921" i="208"/>
  <c r="E2921" i="208"/>
  <c r="S2921" i="208" s="1"/>
  <c r="H2921" i="208"/>
  <c r="Q2921" i="208" s="1"/>
  <c r="I2921" i="208"/>
  <c r="J2921" i="208"/>
  <c r="L2921" i="208"/>
  <c r="C2922" i="208"/>
  <c r="D2922" i="208"/>
  <c r="E2922" i="208"/>
  <c r="S2922" i="208" s="1"/>
  <c r="H2922" i="208"/>
  <c r="Q2922" i="208" s="1"/>
  <c r="I2922" i="208"/>
  <c r="J2922" i="208"/>
  <c r="L2922" i="208"/>
  <c r="C2923" i="208"/>
  <c r="D2923" i="208"/>
  <c r="E2923" i="208"/>
  <c r="S2923" i="208" s="1"/>
  <c r="H2923" i="208"/>
  <c r="Q2923" i="208" s="1"/>
  <c r="I2923" i="208"/>
  <c r="J2923" i="208"/>
  <c r="L2923" i="208"/>
  <c r="C2924" i="208"/>
  <c r="D2924" i="208"/>
  <c r="E2924" i="208"/>
  <c r="S2924" i="208" s="1"/>
  <c r="H2924" i="208"/>
  <c r="Q2924" i="208" s="1"/>
  <c r="I2924" i="208"/>
  <c r="J2924" i="208"/>
  <c r="L2924" i="208"/>
  <c r="C2925" i="208"/>
  <c r="D2925" i="208"/>
  <c r="E2925" i="208"/>
  <c r="S2925" i="208" s="1"/>
  <c r="H2925" i="208"/>
  <c r="Q2925" i="208" s="1"/>
  <c r="I2925" i="208"/>
  <c r="J2925" i="208"/>
  <c r="L2925" i="208"/>
  <c r="C2926" i="208"/>
  <c r="D2926" i="208"/>
  <c r="E2926" i="208"/>
  <c r="S2926" i="208" s="1"/>
  <c r="H2926" i="208"/>
  <c r="Q2926" i="208" s="1"/>
  <c r="I2926" i="208"/>
  <c r="J2926" i="208"/>
  <c r="L2926" i="208"/>
  <c r="C2927" i="208"/>
  <c r="D2927" i="208"/>
  <c r="E2927" i="208"/>
  <c r="S2927" i="208" s="1"/>
  <c r="H2927" i="208"/>
  <c r="Q2927" i="208" s="1"/>
  <c r="I2927" i="208"/>
  <c r="J2927" i="208"/>
  <c r="L2927" i="208"/>
  <c r="C2928" i="208"/>
  <c r="D2928" i="208"/>
  <c r="E2928" i="208"/>
  <c r="S2928" i="208" s="1"/>
  <c r="H2928" i="208"/>
  <c r="Q2928" i="208" s="1"/>
  <c r="I2928" i="208"/>
  <c r="J2928" i="208"/>
  <c r="L2928" i="208"/>
  <c r="C2929" i="208"/>
  <c r="D2929" i="208"/>
  <c r="E2929" i="208"/>
  <c r="S2929" i="208" s="1"/>
  <c r="H2929" i="208"/>
  <c r="Q2929" i="208" s="1"/>
  <c r="I2929" i="208"/>
  <c r="J2929" i="208"/>
  <c r="L2929" i="208"/>
  <c r="C2930" i="208"/>
  <c r="D2930" i="208"/>
  <c r="E2930" i="208"/>
  <c r="S2930" i="208" s="1"/>
  <c r="H2930" i="208"/>
  <c r="Q2930" i="208" s="1"/>
  <c r="I2930" i="208"/>
  <c r="J2930" i="208"/>
  <c r="L2930" i="208"/>
  <c r="C2931" i="208"/>
  <c r="D2931" i="208"/>
  <c r="E2931" i="208"/>
  <c r="S2931" i="208" s="1"/>
  <c r="H2931" i="208"/>
  <c r="Q2931" i="208" s="1"/>
  <c r="I2931" i="208"/>
  <c r="J2931" i="208"/>
  <c r="L2931" i="208"/>
  <c r="C2932" i="208"/>
  <c r="D2932" i="208"/>
  <c r="E2932" i="208"/>
  <c r="S2932" i="208" s="1"/>
  <c r="H2932" i="208"/>
  <c r="Q2932" i="208" s="1"/>
  <c r="I2932" i="208"/>
  <c r="J2932" i="208"/>
  <c r="L2932" i="208"/>
  <c r="C2933" i="208"/>
  <c r="D2933" i="208"/>
  <c r="E2933" i="208"/>
  <c r="S2933" i="208" s="1"/>
  <c r="H2933" i="208"/>
  <c r="Q2933" i="208" s="1"/>
  <c r="I2933" i="208"/>
  <c r="J2933" i="208"/>
  <c r="L2933" i="208"/>
  <c r="C2934" i="208"/>
  <c r="D2934" i="208"/>
  <c r="E2934" i="208"/>
  <c r="S2934" i="208" s="1"/>
  <c r="H2934" i="208"/>
  <c r="Q2934" i="208" s="1"/>
  <c r="I2934" i="208"/>
  <c r="J2934" i="208"/>
  <c r="L2934" i="208"/>
  <c r="C2935" i="208"/>
  <c r="D2935" i="208"/>
  <c r="E2935" i="208"/>
  <c r="S2935" i="208" s="1"/>
  <c r="H2935" i="208"/>
  <c r="Q2935" i="208" s="1"/>
  <c r="I2935" i="208"/>
  <c r="J2935" i="208"/>
  <c r="L2935" i="208"/>
  <c r="C2936" i="208"/>
  <c r="D2936" i="208"/>
  <c r="E2936" i="208"/>
  <c r="S2936" i="208" s="1"/>
  <c r="H2936" i="208"/>
  <c r="Q2936" i="208" s="1"/>
  <c r="I2936" i="208"/>
  <c r="J2936" i="208"/>
  <c r="L2936" i="208"/>
  <c r="C2937" i="208"/>
  <c r="D2937" i="208"/>
  <c r="E2937" i="208"/>
  <c r="S2937" i="208" s="1"/>
  <c r="H2937" i="208"/>
  <c r="Q2937" i="208" s="1"/>
  <c r="I2937" i="208"/>
  <c r="J2937" i="208"/>
  <c r="L2937" i="208"/>
  <c r="C2938" i="208"/>
  <c r="D2938" i="208"/>
  <c r="E2938" i="208"/>
  <c r="S2938" i="208" s="1"/>
  <c r="H2938" i="208"/>
  <c r="Q2938" i="208" s="1"/>
  <c r="I2938" i="208"/>
  <c r="J2938" i="208"/>
  <c r="L2938" i="208"/>
  <c r="C2939" i="208"/>
  <c r="D2939" i="208"/>
  <c r="E2939" i="208"/>
  <c r="S2939" i="208" s="1"/>
  <c r="H2939" i="208"/>
  <c r="Q2939" i="208" s="1"/>
  <c r="I2939" i="208"/>
  <c r="J2939" i="208"/>
  <c r="L2939" i="208"/>
  <c r="C2940" i="208"/>
  <c r="D2940" i="208"/>
  <c r="E2940" i="208"/>
  <c r="S2940" i="208" s="1"/>
  <c r="H2940" i="208"/>
  <c r="Q2940" i="208" s="1"/>
  <c r="I2940" i="208"/>
  <c r="J2940" i="208"/>
  <c r="L2940" i="208"/>
  <c r="C2941" i="208"/>
  <c r="D2941" i="208"/>
  <c r="E2941" i="208"/>
  <c r="S2941" i="208" s="1"/>
  <c r="H2941" i="208"/>
  <c r="Q2941" i="208" s="1"/>
  <c r="I2941" i="208"/>
  <c r="J2941" i="208"/>
  <c r="L2941" i="208"/>
  <c r="C2942" i="208"/>
  <c r="D2942" i="208"/>
  <c r="E2942" i="208"/>
  <c r="S2942" i="208" s="1"/>
  <c r="H2942" i="208"/>
  <c r="Q2942" i="208" s="1"/>
  <c r="I2942" i="208"/>
  <c r="J2942" i="208"/>
  <c r="L2942" i="208"/>
  <c r="C2943" i="208"/>
  <c r="D2943" i="208"/>
  <c r="E2943" i="208"/>
  <c r="S2943" i="208" s="1"/>
  <c r="H2943" i="208"/>
  <c r="Q2943" i="208" s="1"/>
  <c r="I2943" i="208"/>
  <c r="J2943" i="208"/>
  <c r="L2943" i="208"/>
  <c r="C2944" i="208"/>
  <c r="D2944" i="208"/>
  <c r="E2944" i="208"/>
  <c r="S2944" i="208" s="1"/>
  <c r="H2944" i="208"/>
  <c r="Q2944" i="208" s="1"/>
  <c r="I2944" i="208"/>
  <c r="J2944" i="208"/>
  <c r="L2944" i="208"/>
  <c r="C2945" i="208"/>
  <c r="D2945" i="208"/>
  <c r="E2945" i="208"/>
  <c r="S2945" i="208" s="1"/>
  <c r="H2945" i="208"/>
  <c r="Q2945" i="208" s="1"/>
  <c r="I2945" i="208"/>
  <c r="J2945" i="208"/>
  <c r="L2945" i="208"/>
  <c r="C2946" i="208"/>
  <c r="D2946" i="208"/>
  <c r="E2946" i="208"/>
  <c r="S2946" i="208" s="1"/>
  <c r="H2946" i="208"/>
  <c r="Q2946" i="208" s="1"/>
  <c r="I2946" i="208"/>
  <c r="J2946" i="208"/>
  <c r="L2946" i="208"/>
  <c r="C2947" i="208"/>
  <c r="D2947" i="208"/>
  <c r="E2947" i="208"/>
  <c r="S2947" i="208" s="1"/>
  <c r="H2947" i="208"/>
  <c r="Q2947" i="208" s="1"/>
  <c r="I2947" i="208"/>
  <c r="J2947" i="208"/>
  <c r="L2947" i="208"/>
  <c r="C2948" i="208"/>
  <c r="D2948" i="208"/>
  <c r="E2948" i="208"/>
  <c r="S2948" i="208" s="1"/>
  <c r="H2948" i="208"/>
  <c r="Q2948" i="208" s="1"/>
  <c r="I2948" i="208"/>
  <c r="J2948" i="208"/>
  <c r="L2948" i="208"/>
  <c r="C2949" i="208"/>
  <c r="D2949" i="208"/>
  <c r="E2949" i="208"/>
  <c r="S2949" i="208" s="1"/>
  <c r="H2949" i="208"/>
  <c r="Q2949" i="208" s="1"/>
  <c r="I2949" i="208"/>
  <c r="J2949" i="208"/>
  <c r="L2949" i="208"/>
  <c r="C2950" i="208"/>
  <c r="D2950" i="208"/>
  <c r="E2950" i="208"/>
  <c r="S2950" i="208" s="1"/>
  <c r="H2950" i="208"/>
  <c r="Q2950" i="208" s="1"/>
  <c r="I2950" i="208"/>
  <c r="J2950" i="208"/>
  <c r="L2950" i="208"/>
  <c r="C2951" i="208"/>
  <c r="D2951" i="208"/>
  <c r="E2951" i="208"/>
  <c r="S2951" i="208" s="1"/>
  <c r="H2951" i="208"/>
  <c r="Q2951" i="208" s="1"/>
  <c r="I2951" i="208"/>
  <c r="J2951" i="208"/>
  <c r="L2951" i="208"/>
  <c r="C2952" i="208"/>
  <c r="D2952" i="208"/>
  <c r="E2952" i="208"/>
  <c r="S2952" i="208" s="1"/>
  <c r="H2952" i="208"/>
  <c r="Q2952" i="208" s="1"/>
  <c r="I2952" i="208"/>
  <c r="J2952" i="208"/>
  <c r="L2952" i="208"/>
  <c r="C2953" i="208"/>
  <c r="D2953" i="208"/>
  <c r="E2953" i="208"/>
  <c r="S2953" i="208" s="1"/>
  <c r="H2953" i="208"/>
  <c r="Q2953" i="208" s="1"/>
  <c r="I2953" i="208"/>
  <c r="J2953" i="208"/>
  <c r="L2953" i="208"/>
  <c r="C2954" i="208"/>
  <c r="D2954" i="208"/>
  <c r="E2954" i="208"/>
  <c r="S2954" i="208" s="1"/>
  <c r="H2954" i="208"/>
  <c r="Q2954" i="208" s="1"/>
  <c r="I2954" i="208"/>
  <c r="J2954" i="208"/>
  <c r="L2954" i="208"/>
  <c r="C2955" i="208"/>
  <c r="D2955" i="208"/>
  <c r="E2955" i="208"/>
  <c r="S2955" i="208" s="1"/>
  <c r="H2955" i="208"/>
  <c r="Q2955" i="208" s="1"/>
  <c r="I2955" i="208"/>
  <c r="J2955" i="208"/>
  <c r="L2955" i="208"/>
  <c r="C2956" i="208"/>
  <c r="D2956" i="208"/>
  <c r="E2956" i="208"/>
  <c r="S2956" i="208" s="1"/>
  <c r="H2956" i="208"/>
  <c r="Q2956" i="208" s="1"/>
  <c r="I2956" i="208"/>
  <c r="J2956" i="208"/>
  <c r="L2956" i="208"/>
  <c r="C2957" i="208"/>
  <c r="D2957" i="208"/>
  <c r="E2957" i="208"/>
  <c r="S2957" i="208" s="1"/>
  <c r="H2957" i="208"/>
  <c r="Q2957" i="208" s="1"/>
  <c r="I2957" i="208"/>
  <c r="J2957" i="208"/>
  <c r="L2957" i="208"/>
  <c r="C2958" i="208"/>
  <c r="D2958" i="208"/>
  <c r="E2958" i="208"/>
  <c r="S2958" i="208" s="1"/>
  <c r="H2958" i="208"/>
  <c r="Q2958" i="208" s="1"/>
  <c r="I2958" i="208"/>
  <c r="J2958" i="208"/>
  <c r="L2958" i="208"/>
  <c r="C2959" i="208"/>
  <c r="D2959" i="208"/>
  <c r="E2959" i="208"/>
  <c r="S2959" i="208" s="1"/>
  <c r="H2959" i="208"/>
  <c r="Q2959" i="208" s="1"/>
  <c r="I2959" i="208"/>
  <c r="J2959" i="208"/>
  <c r="L2959" i="208"/>
  <c r="C2960" i="208"/>
  <c r="D2960" i="208"/>
  <c r="E2960" i="208"/>
  <c r="S2960" i="208" s="1"/>
  <c r="H2960" i="208"/>
  <c r="Q2960" i="208" s="1"/>
  <c r="I2960" i="208"/>
  <c r="J2960" i="208"/>
  <c r="L2960" i="208"/>
  <c r="C2961" i="208"/>
  <c r="D2961" i="208"/>
  <c r="E2961" i="208"/>
  <c r="S2961" i="208" s="1"/>
  <c r="H2961" i="208"/>
  <c r="Q2961" i="208" s="1"/>
  <c r="I2961" i="208"/>
  <c r="J2961" i="208"/>
  <c r="L2961" i="208"/>
  <c r="C2962" i="208"/>
  <c r="D2962" i="208"/>
  <c r="E2962" i="208"/>
  <c r="S2962" i="208" s="1"/>
  <c r="H2962" i="208"/>
  <c r="Q2962" i="208" s="1"/>
  <c r="I2962" i="208"/>
  <c r="J2962" i="208"/>
  <c r="L2962" i="208"/>
  <c r="C2963" i="208"/>
  <c r="D2963" i="208"/>
  <c r="E2963" i="208"/>
  <c r="S2963" i="208" s="1"/>
  <c r="H2963" i="208"/>
  <c r="Q2963" i="208" s="1"/>
  <c r="I2963" i="208"/>
  <c r="J2963" i="208"/>
  <c r="L2963" i="208"/>
  <c r="C2964" i="208"/>
  <c r="D2964" i="208"/>
  <c r="E2964" i="208"/>
  <c r="S2964" i="208" s="1"/>
  <c r="H2964" i="208"/>
  <c r="Q2964" i="208" s="1"/>
  <c r="I2964" i="208"/>
  <c r="J2964" i="208"/>
  <c r="L2964" i="208"/>
  <c r="C2965" i="208"/>
  <c r="D2965" i="208"/>
  <c r="E2965" i="208"/>
  <c r="S2965" i="208" s="1"/>
  <c r="H2965" i="208"/>
  <c r="Q2965" i="208" s="1"/>
  <c r="I2965" i="208"/>
  <c r="J2965" i="208"/>
  <c r="L2965" i="208"/>
  <c r="C2966" i="208"/>
  <c r="D2966" i="208"/>
  <c r="E2966" i="208"/>
  <c r="S2966" i="208" s="1"/>
  <c r="H2966" i="208"/>
  <c r="Q2966" i="208" s="1"/>
  <c r="I2966" i="208"/>
  <c r="J2966" i="208"/>
  <c r="L2966" i="208"/>
  <c r="C2967" i="208"/>
  <c r="D2967" i="208"/>
  <c r="E2967" i="208"/>
  <c r="S2967" i="208" s="1"/>
  <c r="H2967" i="208"/>
  <c r="Q2967" i="208" s="1"/>
  <c r="I2967" i="208"/>
  <c r="J2967" i="208"/>
  <c r="L2967" i="208"/>
  <c r="C2968" i="208"/>
  <c r="D2968" i="208"/>
  <c r="E2968" i="208"/>
  <c r="S2968" i="208" s="1"/>
  <c r="H2968" i="208"/>
  <c r="Q2968" i="208" s="1"/>
  <c r="I2968" i="208"/>
  <c r="J2968" i="208"/>
  <c r="L2968" i="208"/>
  <c r="C2969" i="208"/>
  <c r="D2969" i="208"/>
  <c r="E2969" i="208"/>
  <c r="S2969" i="208" s="1"/>
  <c r="H2969" i="208"/>
  <c r="Q2969" i="208" s="1"/>
  <c r="I2969" i="208"/>
  <c r="J2969" i="208"/>
  <c r="L2969" i="208"/>
  <c r="C2970" i="208"/>
  <c r="D2970" i="208"/>
  <c r="E2970" i="208"/>
  <c r="S2970" i="208" s="1"/>
  <c r="H2970" i="208"/>
  <c r="Q2970" i="208" s="1"/>
  <c r="I2970" i="208"/>
  <c r="J2970" i="208"/>
  <c r="L2970" i="208"/>
  <c r="C2971" i="208"/>
  <c r="D2971" i="208"/>
  <c r="E2971" i="208"/>
  <c r="S2971" i="208" s="1"/>
  <c r="H2971" i="208"/>
  <c r="Q2971" i="208" s="1"/>
  <c r="I2971" i="208"/>
  <c r="J2971" i="208"/>
  <c r="L2971" i="208"/>
  <c r="C2972" i="208"/>
  <c r="D2972" i="208"/>
  <c r="E2972" i="208"/>
  <c r="S2972" i="208" s="1"/>
  <c r="H2972" i="208"/>
  <c r="Q2972" i="208" s="1"/>
  <c r="I2972" i="208"/>
  <c r="J2972" i="208"/>
  <c r="L2972" i="208"/>
  <c r="C2973" i="208"/>
  <c r="D2973" i="208"/>
  <c r="E2973" i="208"/>
  <c r="S2973" i="208" s="1"/>
  <c r="H2973" i="208"/>
  <c r="Q2973" i="208" s="1"/>
  <c r="I2973" i="208"/>
  <c r="J2973" i="208"/>
  <c r="L2973" i="208"/>
  <c r="C2974" i="208"/>
  <c r="D2974" i="208"/>
  <c r="E2974" i="208"/>
  <c r="S2974" i="208" s="1"/>
  <c r="H2974" i="208"/>
  <c r="Q2974" i="208" s="1"/>
  <c r="I2974" i="208"/>
  <c r="J2974" i="208"/>
  <c r="L2974" i="208"/>
  <c r="C2975" i="208"/>
  <c r="D2975" i="208"/>
  <c r="E2975" i="208"/>
  <c r="S2975" i="208" s="1"/>
  <c r="H2975" i="208"/>
  <c r="Q2975" i="208" s="1"/>
  <c r="I2975" i="208"/>
  <c r="J2975" i="208"/>
  <c r="L2975" i="208"/>
  <c r="C2976" i="208"/>
  <c r="D2976" i="208"/>
  <c r="E2976" i="208"/>
  <c r="S2976" i="208" s="1"/>
  <c r="H2976" i="208"/>
  <c r="Q2976" i="208" s="1"/>
  <c r="I2976" i="208"/>
  <c r="J2976" i="208"/>
  <c r="L2976" i="208"/>
  <c r="C2977" i="208"/>
  <c r="D2977" i="208"/>
  <c r="E2977" i="208"/>
  <c r="S2977" i="208" s="1"/>
  <c r="H2977" i="208"/>
  <c r="Q2977" i="208" s="1"/>
  <c r="I2977" i="208"/>
  <c r="J2977" i="208"/>
  <c r="L2977" i="208"/>
  <c r="C2978" i="208"/>
  <c r="D2978" i="208"/>
  <c r="E2978" i="208"/>
  <c r="S2978" i="208" s="1"/>
  <c r="H2978" i="208"/>
  <c r="Q2978" i="208" s="1"/>
  <c r="I2978" i="208"/>
  <c r="J2978" i="208"/>
  <c r="L2978" i="208"/>
  <c r="C2979" i="208"/>
  <c r="D2979" i="208"/>
  <c r="E2979" i="208"/>
  <c r="S2979" i="208" s="1"/>
  <c r="H2979" i="208"/>
  <c r="Q2979" i="208" s="1"/>
  <c r="I2979" i="208"/>
  <c r="J2979" i="208"/>
  <c r="L2979" i="208"/>
  <c r="C2980" i="208"/>
  <c r="D2980" i="208"/>
  <c r="E2980" i="208"/>
  <c r="S2980" i="208" s="1"/>
  <c r="H2980" i="208"/>
  <c r="Q2980" i="208" s="1"/>
  <c r="I2980" i="208"/>
  <c r="J2980" i="208"/>
  <c r="L2980" i="208"/>
  <c r="C2981" i="208"/>
  <c r="D2981" i="208"/>
  <c r="E2981" i="208"/>
  <c r="S2981" i="208" s="1"/>
  <c r="H2981" i="208"/>
  <c r="Q2981" i="208" s="1"/>
  <c r="I2981" i="208"/>
  <c r="J2981" i="208"/>
  <c r="L2981" i="208"/>
  <c r="C2982" i="208"/>
  <c r="D2982" i="208"/>
  <c r="E2982" i="208"/>
  <c r="S2982" i="208" s="1"/>
  <c r="H2982" i="208"/>
  <c r="Q2982" i="208" s="1"/>
  <c r="I2982" i="208"/>
  <c r="J2982" i="208"/>
  <c r="L2982" i="208"/>
  <c r="C2983" i="208"/>
  <c r="D2983" i="208"/>
  <c r="E2983" i="208"/>
  <c r="S2983" i="208" s="1"/>
  <c r="H2983" i="208"/>
  <c r="Q2983" i="208" s="1"/>
  <c r="I2983" i="208"/>
  <c r="J2983" i="208"/>
  <c r="L2983" i="208"/>
  <c r="C2984" i="208"/>
  <c r="D2984" i="208"/>
  <c r="E2984" i="208"/>
  <c r="S2984" i="208" s="1"/>
  <c r="H2984" i="208"/>
  <c r="Q2984" i="208" s="1"/>
  <c r="I2984" i="208"/>
  <c r="J2984" i="208"/>
  <c r="L2984" i="208"/>
  <c r="C2985" i="208"/>
  <c r="D2985" i="208"/>
  <c r="E2985" i="208"/>
  <c r="S2985" i="208" s="1"/>
  <c r="H2985" i="208"/>
  <c r="Q2985" i="208" s="1"/>
  <c r="I2985" i="208"/>
  <c r="J2985" i="208"/>
  <c r="L2985" i="208"/>
  <c r="C2986" i="208"/>
  <c r="D2986" i="208"/>
  <c r="E2986" i="208"/>
  <c r="S2986" i="208" s="1"/>
  <c r="H2986" i="208"/>
  <c r="Q2986" i="208" s="1"/>
  <c r="I2986" i="208"/>
  <c r="J2986" i="208"/>
  <c r="L2986" i="208"/>
  <c r="C2987" i="208"/>
  <c r="D2987" i="208"/>
  <c r="E2987" i="208"/>
  <c r="S2987" i="208" s="1"/>
  <c r="H2987" i="208"/>
  <c r="Q2987" i="208" s="1"/>
  <c r="I2987" i="208"/>
  <c r="J2987" i="208"/>
  <c r="L2987" i="208"/>
  <c r="C2988" i="208"/>
  <c r="D2988" i="208"/>
  <c r="E2988" i="208"/>
  <c r="S2988" i="208" s="1"/>
  <c r="H2988" i="208"/>
  <c r="Q2988" i="208" s="1"/>
  <c r="I2988" i="208"/>
  <c r="J2988" i="208"/>
  <c r="L2988" i="208"/>
  <c r="C2989" i="208"/>
  <c r="D2989" i="208"/>
  <c r="E2989" i="208"/>
  <c r="S2989" i="208" s="1"/>
  <c r="H2989" i="208"/>
  <c r="Q2989" i="208" s="1"/>
  <c r="I2989" i="208"/>
  <c r="J2989" i="208"/>
  <c r="L2989" i="208"/>
  <c r="C2990" i="208"/>
  <c r="D2990" i="208"/>
  <c r="E2990" i="208"/>
  <c r="S2990" i="208" s="1"/>
  <c r="H2990" i="208"/>
  <c r="Q2990" i="208" s="1"/>
  <c r="I2990" i="208"/>
  <c r="J2990" i="208"/>
  <c r="L2990" i="208"/>
  <c r="C2991" i="208"/>
  <c r="D2991" i="208"/>
  <c r="E2991" i="208"/>
  <c r="S2991" i="208" s="1"/>
  <c r="H2991" i="208"/>
  <c r="Q2991" i="208" s="1"/>
  <c r="I2991" i="208"/>
  <c r="J2991" i="208"/>
  <c r="L2991" i="208"/>
  <c r="C2992" i="208"/>
  <c r="D2992" i="208"/>
  <c r="E2992" i="208"/>
  <c r="S2992" i="208" s="1"/>
  <c r="H2992" i="208"/>
  <c r="Q2992" i="208" s="1"/>
  <c r="I2992" i="208"/>
  <c r="J2992" i="208"/>
  <c r="L2992" i="208"/>
  <c r="C2993" i="208"/>
  <c r="D2993" i="208"/>
  <c r="E2993" i="208"/>
  <c r="S2993" i="208" s="1"/>
  <c r="H2993" i="208"/>
  <c r="Q2993" i="208" s="1"/>
  <c r="I2993" i="208"/>
  <c r="J2993" i="208"/>
  <c r="L2993" i="208"/>
  <c r="C2994" i="208"/>
  <c r="D2994" i="208"/>
  <c r="E2994" i="208"/>
  <c r="S2994" i="208" s="1"/>
  <c r="H2994" i="208"/>
  <c r="Q2994" i="208" s="1"/>
  <c r="I2994" i="208"/>
  <c r="J2994" i="208"/>
  <c r="L2994" i="208"/>
  <c r="C2995" i="208"/>
  <c r="D2995" i="208"/>
  <c r="E2995" i="208"/>
  <c r="S2995" i="208" s="1"/>
  <c r="H2995" i="208"/>
  <c r="Q2995" i="208" s="1"/>
  <c r="I2995" i="208"/>
  <c r="J2995" i="208"/>
  <c r="L2995" i="208"/>
  <c r="C2996" i="208"/>
  <c r="D2996" i="208"/>
  <c r="E2996" i="208"/>
  <c r="S2996" i="208" s="1"/>
  <c r="H2996" i="208"/>
  <c r="Q2996" i="208" s="1"/>
  <c r="I2996" i="208"/>
  <c r="J2996" i="208"/>
  <c r="L2996" i="208"/>
  <c r="C2997" i="208"/>
  <c r="D2997" i="208"/>
  <c r="E2997" i="208"/>
  <c r="S2997" i="208" s="1"/>
  <c r="H2997" i="208"/>
  <c r="Q2997" i="208" s="1"/>
  <c r="I2997" i="208"/>
  <c r="J2997" i="208"/>
  <c r="L2997" i="208"/>
  <c r="C2998" i="208"/>
  <c r="D2998" i="208"/>
  <c r="E2998" i="208"/>
  <c r="S2998" i="208" s="1"/>
  <c r="H2998" i="208"/>
  <c r="Q2998" i="208" s="1"/>
  <c r="I2998" i="208"/>
  <c r="J2998" i="208"/>
  <c r="L2998" i="208"/>
  <c r="C2999" i="208"/>
  <c r="D2999" i="208"/>
  <c r="E2999" i="208"/>
  <c r="S2999" i="208" s="1"/>
  <c r="H2999" i="208"/>
  <c r="Q2999" i="208" s="1"/>
  <c r="I2999" i="208"/>
  <c r="J2999" i="208"/>
  <c r="L2999" i="208"/>
  <c r="C3000" i="208"/>
  <c r="D3000" i="208"/>
  <c r="E3000" i="208"/>
  <c r="S3000" i="208" s="1"/>
  <c r="H3000" i="208"/>
  <c r="Q3000" i="208" s="1"/>
  <c r="I3000" i="208"/>
  <c r="J3000" i="208"/>
  <c r="L3000" i="208"/>
  <c r="C303" i="208"/>
  <c r="D303" i="208"/>
  <c r="E303" i="208"/>
  <c r="S303" i="208" s="1"/>
  <c r="H303" i="208"/>
  <c r="Q303" i="208" s="1"/>
  <c r="I303" i="208"/>
  <c r="J303" i="208"/>
  <c r="L303" i="208"/>
  <c r="C304" i="208"/>
  <c r="D304" i="208"/>
  <c r="E304" i="208"/>
  <c r="S304" i="208" s="1"/>
  <c r="H304" i="208"/>
  <c r="Q304" i="208" s="1"/>
  <c r="I304" i="208"/>
  <c r="J304" i="208"/>
  <c r="L304" i="208"/>
  <c r="C305" i="208"/>
  <c r="D305" i="208"/>
  <c r="E305" i="208"/>
  <c r="S305" i="208" s="1"/>
  <c r="H305" i="208"/>
  <c r="Q305" i="208" s="1"/>
  <c r="I305" i="208"/>
  <c r="J305" i="208"/>
  <c r="L305" i="208"/>
  <c r="L302" i="208"/>
  <c r="J302" i="208"/>
  <c r="I302" i="208"/>
  <c r="H302" i="208"/>
  <c r="Q302" i="208" s="1"/>
  <c r="O2931" i="208" l="1"/>
  <c r="AH2931" i="208"/>
  <c r="O2739" i="208"/>
  <c r="AH2739" i="208"/>
  <c r="O2607" i="208"/>
  <c r="AH2607" i="208"/>
  <c r="O2523" i="208"/>
  <c r="AH2523" i="208"/>
  <c r="O2391" i="208"/>
  <c r="AH2391" i="208"/>
  <c r="O2271" i="208"/>
  <c r="AH2271" i="208"/>
  <c r="O2211" i="208"/>
  <c r="AH2211" i="208"/>
  <c r="O1983" i="208"/>
  <c r="AH1983" i="208"/>
  <c r="O1887" i="208"/>
  <c r="AH1887" i="208"/>
  <c r="O1647" i="208"/>
  <c r="AH1647" i="208"/>
  <c r="O1395" i="208"/>
  <c r="AH1395" i="208"/>
  <c r="O1371" i="208"/>
  <c r="AH1371" i="208"/>
  <c r="O1359" i="208"/>
  <c r="AH1359" i="208"/>
  <c r="O1107" i="208"/>
  <c r="AH1107" i="208"/>
  <c r="Q275" i="208"/>
  <c r="AG275" i="208"/>
  <c r="O225" i="208"/>
  <c r="AH225" i="208"/>
  <c r="O2804" i="208"/>
  <c r="AH2804" i="208"/>
  <c r="O2732" i="208"/>
  <c r="AH2732" i="208"/>
  <c r="O2648" i="208"/>
  <c r="AH2648" i="208"/>
  <c r="O2612" i="208"/>
  <c r="AH2612" i="208"/>
  <c r="O2552" i="208"/>
  <c r="AH2552" i="208"/>
  <c r="O2540" i="208"/>
  <c r="AH2540" i="208"/>
  <c r="O2384" i="208"/>
  <c r="AH2384" i="208"/>
  <c r="O2372" i="208"/>
  <c r="AH2372" i="208"/>
  <c r="O2312" i="208"/>
  <c r="AH2312" i="208"/>
  <c r="O2216" i="208"/>
  <c r="AH2216" i="208"/>
  <c r="O2192" i="208"/>
  <c r="AH2192" i="208"/>
  <c r="O1964" i="208"/>
  <c r="AH1964" i="208"/>
  <c r="O1952" i="208"/>
  <c r="AH1952" i="208"/>
  <c r="O1892" i="208"/>
  <c r="AH1892" i="208"/>
  <c r="O1688" i="208"/>
  <c r="AH1688" i="208"/>
  <c r="O1580" i="208"/>
  <c r="AH1580" i="208"/>
  <c r="O1496" i="208"/>
  <c r="AH1496" i="208"/>
  <c r="O1364" i="208"/>
  <c r="AH1364" i="208"/>
  <c r="O1196" i="208"/>
  <c r="AH1196" i="208"/>
  <c r="O1052" i="208"/>
  <c r="AH1052" i="208"/>
  <c r="O2879" i="208"/>
  <c r="AH2879" i="208"/>
  <c r="O2998" i="208"/>
  <c r="AH2998" i="208"/>
  <c r="O2986" i="208"/>
  <c r="AH2986" i="208"/>
  <c r="O2974" i="208"/>
  <c r="AH2974" i="208"/>
  <c r="O2962" i="208"/>
  <c r="AH2962" i="208"/>
  <c r="O2950" i="208"/>
  <c r="AH2950" i="208"/>
  <c r="O2938" i="208"/>
  <c r="AH2938" i="208"/>
  <c r="O2926" i="208"/>
  <c r="AH2926" i="208"/>
  <c r="O2914" i="208"/>
  <c r="AH2914" i="208"/>
  <c r="O2902" i="208"/>
  <c r="AH2902" i="208"/>
  <c r="O2890" i="208"/>
  <c r="AH2890" i="208"/>
  <c r="O2878" i="208"/>
  <c r="AH2878" i="208"/>
  <c r="O2866" i="208"/>
  <c r="AH2866" i="208"/>
  <c r="O2854" i="208"/>
  <c r="AH2854" i="208"/>
  <c r="O2842" i="208"/>
  <c r="AH2842" i="208"/>
  <c r="O2830" i="208"/>
  <c r="AH2830" i="208"/>
  <c r="O2818" i="208"/>
  <c r="AH2818" i="208"/>
  <c r="O2806" i="208"/>
  <c r="AH2806" i="208"/>
  <c r="O2794" i="208"/>
  <c r="AH2794" i="208"/>
  <c r="O2782" i="208"/>
  <c r="AH2782" i="208"/>
  <c r="O2770" i="208"/>
  <c r="AH2770" i="208"/>
  <c r="O2758" i="208"/>
  <c r="AH2758" i="208"/>
  <c r="O2746" i="208"/>
  <c r="AH2746" i="208"/>
  <c r="O2734" i="208"/>
  <c r="AH2734" i="208"/>
  <c r="O2722" i="208"/>
  <c r="AH2722" i="208"/>
  <c r="O2710" i="208"/>
  <c r="AH2710" i="208"/>
  <c r="O2698" i="208"/>
  <c r="AH2698" i="208"/>
  <c r="O2686" i="208"/>
  <c r="AH2686" i="208"/>
  <c r="O2674" i="208"/>
  <c r="AH2674" i="208"/>
  <c r="O2662" i="208"/>
  <c r="AH2662" i="208"/>
  <c r="O2650" i="208"/>
  <c r="AH2650" i="208"/>
  <c r="O2638" i="208"/>
  <c r="AH2638" i="208"/>
  <c r="O2626" i="208"/>
  <c r="AH2626" i="208"/>
  <c r="O2614" i="208"/>
  <c r="AH2614" i="208"/>
  <c r="O2602" i="208"/>
  <c r="AH2602" i="208"/>
  <c r="O2590" i="208"/>
  <c r="AH2590" i="208"/>
  <c r="O2578" i="208"/>
  <c r="AH2578" i="208"/>
  <c r="O2566" i="208"/>
  <c r="AH2566" i="208"/>
  <c r="O2554" i="208"/>
  <c r="AH2554" i="208"/>
  <c r="O2542" i="208"/>
  <c r="AH2542" i="208"/>
  <c r="O2530" i="208"/>
  <c r="AH2530" i="208"/>
  <c r="O2518" i="208"/>
  <c r="AH2518" i="208"/>
  <c r="O2506" i="208"/>
  <c r="AH2506" i="208"/>
  <c r="O2494" i="208"/>
  <c r="AH2494" i="208"/>
  <c r="O2482" i="208"/>
  <c r="AH2482" i="208"/>
  <c r="O2470" i="208"/>
  <c r="AH2470" i="208"/>
  <c r="O2458" i="208"/>
  <c r="AH2458" i="208"/>
  <c r="O2446" i="208"/>
  <c r="AH2446" i="208"/>
  <c r="O2434" i="208"/>
  <c r="AH2434" i="208"/>
  <c r="O2422" i="208"/>
  <c r="AH2422" i="208"/>
  <c r="O2410" i="208"/>
  <c r="AH2410" i="208"/>
  <c r="O2398" i="208"/>
  <c r="AH2398" i="208"/>
  <c r="O2386" i="208"/>
  <c r="AH2386" i="208"/>
  <c r="O2374" i="208"/>
  <c r="AH2374" i="208"/>
  <c r="O2362" i="208"/>
  <c r="AH2362" i="208"/>
  <c r="O2350" i="208"/>
  <c r="AH2350" i="208"/>
  <c r="O2338" i="208"/>
  <c r="AH2338" i="208"/>
  <c r="O2326" i="208"/>
  <c r="AH2326" i="208"/>
  <c r="O2314" i="208"/>
  <c r="AH2314" i="208"/>
  <c r="O2302" i="208"/>
  <c r="AH2302" i="208"/>
  <c r="O2290" i="208"/>
  <c r="AH2290" i="208"/>
  <c r="O2278" i="208"/>
  <c r="AH2278" i="208"/>
  <c r="O2266" i="208"/>
  <c r="AH2266" i="208"/>
  <c r="O2254" i="208"/>
  <c r="AH2254" i="208"/>
  <c r="O2242" i="208"/>
  <c r="AH2242" i="208"/>
  <c r="O2230" i="208"/>
  <c r="AH2230" i="208"/>
  <c r="O2218" i="208"/>
  <c r="AH2218" i="208"/>
  <c r="O2206" i="208"/>
  <c r="AH2206" i="208"/>
  <c r="O2194" i="208"/>
  <c r="AH2194" i="208"/>
  <c r="O2182" i="208"/>
  <c r="AH2182" i="208"/>
  <c r="O2170" i="208"/>
  <c r="AH2170" i="208"/>
  <c r="O2158" i="208"/>
  <c r="AH2158" i="208"/>
  <c r="O2146" i="208"/>
  <c r="AH2146" i="208"/>
  <c r="O2134" i="208"/>
  <c r="AH2134" i="208"/>
  <c r="O2122" i="208"/>
  <c r="AH2122" i="208"/>
  <c r="O2110" i="208"/>
  <c r="AH2110" i="208"/>
  <c r="O2098" i="208"/>
  <c r="AH2098" i="208"/>
  <c r="O2086" i="208"/>
  <c r="AH2086" i="208"/>
  <c r="O2074" i="208"/>
  <c r="AH2074" i="208"/>
  <c r="O2062" i="208"/>
  <c r="AH2062" i="208"/>
  <c r="O2050" i="208"/>
  <c r="AH2050" i="208"/>
  <c r="O2038" i="208"/>
  <c r="AH2038" i="208"/>
  <c r="O2026" i="208"/>
  <c r="AH2026" i="208"/>
  <c r="O2014" i="208"/>
  <c r="AH2014" i="208"/>
  <c r="O2002" i="208"/>
  <c r="AH2002" i="208"/>
  <c r="O1990" i="208"/>
  <c r="AH1990" i="208"/>
  <c r="O1978" i="208"/>
  <c r="AH1978" i="208"/>
  <c r="O1966" i="208"/>
  <c r="AH1966" i="208"/>
  <c r="O1954" i="208"/>
  <c r="AH1954" i="208"/>
  <c r="O1942" i="208"/>
  <c r="AH1942" i="208"/>
  <c r="O1930" i="208"/>
  <c r="AH1930" i="208"/>
  <c r="O1918" i="208"/>
  <c r="AH1918" i="208"/>
  <c r="O1906" i="208"/>
  <c r="AH1906" i="208"/>
  <c r="O1894" i="208"/>
  <c r="AH1894" i="208"/>
  <c r="O1882" i="208"/>
  <c r="AH1882" i="208"/>
  <c r="O1870" i="208"/>
  <c r="AH1870" i="208"/>
  <c r="O1858" i="208"/>
  <c r="AH1858" i="208"/>
  <c r="O1846" i="208"/>
  <c r="AH1846" i="208"/>
  <c r="O1834" i="208"/>
  <c r="AH1834" i="208"/>
  <c r="O1822" i="208"/>
  <c r="AH1822" i="208"/>
  <c r="O1810" i="208"/>
  <c r="AH1810" i="208"/>
  <c r="O1798" i="208"/>
  <c r="AH1798" i="208"/>
  <c r="O1786" i="208"/>
  <c r="AH1786" i="208"/>
  <c r="O1774" i="208"/>
  <c r="AH1774" i="208"/>
  <c r="O1762" i="208"/>
  <c r="AH1762" i="208"/>
  <c r="O1750" i="208"/>
  <c r="AH1750" i="208"/>
  <c r="O1738" i="208"/>
  <c r="AH1738" i="208"/>
  <c r="O1726" i="208"/>
  <c r="AH1726" i="208"/>
  <c r="O1714" i="208"/>
  <c r="AH1714" i="208"/>
  <c r="O1702" i="208"/>
  <c r="AH1702" i="208"/>
  <c r="O1690" i="208"/>
  <c r="AH1690" i="208"/>
  <c r="O1678" i="208"/>
  <c r="AH1678" i="208"/>
  <c r="O1666" i="208"/>
  <c r="AH1666" i="208"/>
  <c r="O1654" i="208"/>
  <c r="AH1654" i="208"/>
  <c r="O1642" i="208"/>
  <c r="AH1642" i="208"/>
  <c r="O1630" i="208"/>
  <c r="AH1630" i="208"/>
  <c r="O1618" i="208"/>
  <c r="AH1618" i="208"/>
  <c r="O1606" i="208"/>
  <c r="AH1606" i="208"/>
  <c r="O1594" i="208"/>
  <c r="AH1594" i="208"/>
  <c r="O1582" i="208"/>
  <c r="AH1582" i="208"/>
  <c r="O1570" i="208"/>
  <c r="AH1570" i="208"/>
  <c r="O1558" i="208"/>
  <c r="AH1558" i="208"/>
  <c r="O1546" i="208"/>
  <c r="AH1546" i="208"/>
  <c r="O1534" i="208"/>
  <c r="AH1534" i="208"/>
  <c r="O1522" i="208"/>
  <c r="AH1522" i="208"/>
  <c r="O1510" i="208"/>
  <c r="AH1510" i="208"/>
  <c r="O1498" i="208"/>
  <c r="AH1498" i="208"/>
  <c r="O1486" i="208"/>
  <c r="AH1486" i="208"/>
  <c r="O1474" i="208"/>
  <c r="AH1474" i="208"/>
  <c r="O1462" i="208"/>
  <c r="AH1462" i="208"/>
  <c r="O1450" i="208"/>
  <c r="AH1450" i="208"/>
  <c r="O1438" i="208"/>
  <c r="AH1438" i="208"/>
  <c r="O1426" i="208"/>
  <c r="AH1426" i="208"/>
  <c r="O1414" i="208"/>
  <c r="AH1414" i="208"/>
  <c r="O1402" i="208"/>
  <c r="AH1402" i="208"/>
  <c r="O1390" i="208"/>
  <c r="AH1390" i="208"/>
  <c r="O1378" i="208"/>
  <c r="AH1378" i="208"/>
  <c r="O1366" i="208"/>
  <c r="AH1366" i="208"/>
  <c r="O1354" i="208"/>
  <c r="AH1354" i="208"/>
  <c r="O1342" i="208"/>
  <c r="AH1342" i="208"/>
  <c r="O1330" i="208"/>
  <c r="AH1330" i="208"/>
  <c r="O1318" i="208"/>
  <c r="AH1318" i="208"/>
  <c r="O1306" i="208"/>
  <c r="AH1306" i="208"/>
  <c r="O1294" i="208"/>
  <c r="AH1294" i="208"/>
  <c r="O1282" i="208"/>
  <c r="AH1282" i="208"/>
  <c r="O1270" i="208"/>
  <c r="AH1270" i="208"/>
  <c r="O1258" i="208"/>
  <c r="AH1258" i="208"/>
  <c r="O1246" i="208"/>
  <c r="AH1246" i="208"/>
  <c r="O1234" i="208"/>
  <c r="AH1234" i="208"/>
  <c r="O1222" i="208"/>
  <c r="AH1222" i="208"/>
  <c r="O1210" i="208"/>
  <c r="AH1210" i="208"/>
  <c r="O1198" i="208"/>
  <c r="AH1198" i="208"/>
  <c r="O1186" i="208"/>
  <c r="AH1186" i="208"/>
  <c r="O1174" i="208"/>
  <c r="AH1174" i="208"/>
  <c r="O1162" i="208"/>
  <c r="AH1162" i="208"/>
  <c r="O1150" i="208"/>
  <c r="AH1150" i="208"/>
  <c r="O1138" i="208"/>
  <c r="AH1138" i="208"/>
  <c r="O1126" i="208"/>
  <c r="AH1126" i="208"/>
  <c r="O1114" i="208"/>
  <c r="AH1114" i="208"/>
  <c r="O1102" i="208"/>
  <c r="AH1102" i="208"/>
  <c r="O1090" i="208"/>
  <c r="AH1090" i="208"/>
  <c r="O1078" i="208"/>
  <c r="AH1078" i="208"/>
  <c r="O1066" i="208"/>
  <c r="AH1066" i="208"/>
  <c r="O1054" i="208"/>
  <c r="AH1054" i="208"/>
  <c r="O1042" i="208"/>
  <c r="AH1042" i="208"/>
  <c r="Q294" i="208"/>
  <c r="AG294" i="208"/>
  <c r="O292" i="208"/>
  <c r="AH292" i="208"/>
  <c r="Q282" i="208"/>
  <c r="AG282" i="208"/>
  <c r="O280" i="208"/>
  <c r="AH280" i="208"/>
  <c r="Q270" i="208"/>
  <c r="AG270" i="208"/>
  <c r="O268" i="208"/>
  <c r="AH268" i="208"/>
  <c r="Q258" i="208"/>
  <c r="AG258" i="208"/>
  <c r="O256" i="208"/>
  <c r="AH256" i="208"/>
  <c r="Q246" i="208"/>
  <c r="AG246" i="208"/>
  <c r="O244" i="208"/>
  <c r="AH244" i="208"/>
  <c r="Q234" i="208"/>
  <c r="AG234" i="208"/>
  <c r="O232" i="208"/>
  <c r="AH232" i="208"/>
  <c r="Q222" i="208"/>
  <c r="AG222" i="208"/>
  <c r="O220" i="208"/>
  <c r="AH220" i="208"/>
  <c r="Q210" i="208"/>
  <c r="AG210" i="208"/>
  <c r="O208" i="208"/>
  <c r="AH208" i="208"/>
  <c r="Q198" i="208"/>
  <c r="AG198" i="208"/>
  <c r="O196" i="208"/>
  <c r="AH196" i="208"/>
  <c r="Q186" i="208"/>
  <c r="AG186" i="208"/>
  <c r="O184" i="208"/>
  <c r="AH184" i="208"/>
  <c r="Q174" i="208"/>
  <c r="AG174" i="208"/>
  <c r="O172" i="208"/>
  <c r="AH172" i="208"/>
  <c r="Q162" i="208"/>
  <c r="AG162" i="208"/>
  <c r="O160" i="208"/>
  <c r="AH160" i="208"/>
  <c r="Q150" i="208"/>
  <c r="AG150" i="208"/>
  <c r="O148" i="208"/>
  <c r="AH148" i="208"/>
  <c r="Q138" i="208"/>
  <c r="AG138" i="208"/>
  <c r="O136" i="208"/>
  <c r="AH136" i="208"/>
  <c r="Q126" i="208"/>
  <c r="AG126" i="208"/>
  <c r="O124" i="208"/>
  <c r="AH124" i="208"/>
  <c r="Q114" i="208"/>
  <c r="AG114" i="208"/>
  <c r="O112" i="208"/>
  <c r="AH112" i="208"/>
  <c r="Q102" i="208"/>
  <c r="AG102" i="208"/>
  <c r="O100" i="208"/>
  <c r="AH100" i="208"/>
  <c r="Q90" i="208"/>
  <c r="AG90" i="208"/>
  <c r="O88" i="208"/>
  <c r="AH88" i="208"/>
  <c r="Q78" i="208"/>
  <c r="AG78" i="208"/>
  <c r="O76" i="208"/>
  <c r="AH76" i="208"/>
  <c r="Q66" i="208"/>
  <c r="AG66" i="208"/>
  <c r="O64" i="208"/>
  <c r="AH64" i="208"/>
  <c r="Q54" i="208"/>
  <c r="AG54" i="208"/>
  <c r="O52" i="208"/>
  <c r="AH52" i="208"/>
  <c r="Q42" i="208"/>
  <c r="AG42" i="208"/>
  <c r="O40" i="208"/>
  <c r="AH40" i="208"/>
  <c r="Q30" i="208"/>
  <c r="AG30" i="208"/>
  <c r="O28" i="208"/>
  <c r="AH28" i="208"/>
  <c r="Q18" i="208"/>
  <c r="AG18" i="208"/>
  <c r="O16" i="208"/>
  <c r="AH16" i="208"/>
  <c r="Q6" i="208"/>
  <c r="AG6" i="208"/>
  <c r="O2919" i="208"/>
  <c r="AH2919" i="208"/>
  <c r="O2859" i="208"/>
  <c r="AH2859" i="208"/>
  <c r="O2643" i="208"/>
  <c r="AH2643" i="208"/>
  <c r="O2451" i="208"/>
  <c r="AH2451" i="208"/>
  <c r="O2187" i="208"/>
  <c r="AH2187" i="208"/>
  <c r="O2067" i="208"/>
  <c r="AH2067" i="208"/>
  <c r="O2007" i="208"/>
  <c r="AH2007" i="208"/>
  <c r="O1935" i="208"/>
  <c r="AH1935" i="208"/>
  <c r="O1683" i="208"/>
  <c r="AH1683" i="208"/>
  <c r="O1635" i="208"/>
  <c r="AH1635" i="208"/>
  <c r="O1599" i="208"/>
  <c r="AH1599" i="208"/>
  <c r="O1551" i="208"/>
  <c r="AH1551" i="208"/>
  <c r="O1539" i="208"/>
  <c r="AH1539" i="208"/>
  <c r="O1527" i="208"/>
  <c r="AH1527" i="208"/>
  <c r="O1515" i="208"/>
  <c r="AH1515" i="208"/>
  <c r="O1503" i="208"/>
  <c r="AH1503" i="208"/>
  <c r="O1335" i="208"/>
  <c r="AH1335" i="208"/>
  <c r="O1251" i="208"/>
  <c r="AH1251" i="208"/>
  <c r="O1131" i="208"/>
  <c r="AH1131" i="208"/>
  <c r="O1119" i="208"/>
  <c r="AH1119" i="208"/>
  <c r="O1047" i="208"/>
  <c r="AH1047" i="208"/>
  <c r="Q287" i="208"/>
  <c r="AG287" i="208"/>
  <c r="O273" i="208"/>
  <c r="AH273" i="208"/>
  <c r="Q227" i="208"/>
  <c r="AG227" i="208"/>
  <c r="O2864" i="208"/>
  <c r="AH2864" i="208"/>
  <c r="O2708" i="208"/>
  <c r="AH2708" i="208"/>
  <c r="O1592" i="208"/>
  <c r="AH1592" i="208"/>
  <c r="O1556" i="208"/>
  <c r="AH1556" i="208"/>
  <c r="O1484" i="208"/>
  <c r="AH1484" i="208"/>
  <c r="O1460" i="208"/>
  <c r="AH1460" i="208"/>
  <c r="O1448" i="208"/>
  <c r="AH1448" i="208"/>
  <c r="O1388" i="208"/>
  <c r="AH1388" i="208"/>
  <c r="O1352" i="208"/>
  <c r="AH1352" i="208"/>
  <c r="O1100" i="208"/>
  <c r="AH1100" i="208"/>
  <c r="O2991" i="208"/>
  <c r="AH2991" i="208"/>
  <c r="O2907" i="208"/>
  <c r="AH2907" i="208"/>
  <c r="O2895" i="208"/>
  <c r="AH2895" i="208"/>
  <c r="O2871" i="208"/>
  <c r="AH2871" i="208"/>
  <c r="O2727" i="208"/>
  <c r="AH2727" i="208"/>
  <c r="O2499" i="208"/>
  <c r="AH2499" i="208"/>
  <c r="O2367" i="208"/>
  <c r="AH2367" i="208"/>
  <c r="O2247" i="208"/>
  <c r="AH2247" i="208"/>
  <c r="O2019" i="208"/>
  <c r="AH2019" i="208"/>
  <c r="O1875" i="208"/>
  <c r="AH1875" i="208"/>
  <c r="O1827" i="208"/>
  <c r="AH1827" i="208"/>
  <c r="O1779" i="208"/>
  <c r="AH1779" i="208"/>
  <c r="O1767" i="208"/>
  <c r="AH1767" i="208"/>
  <c r="O1671" i="208"/>
  <c r="AH1671" i="208"/>
  <c r="O1611" i="208"/>
  <c r="AH1611" i="208"/>
  <c r="O1491" i="208"/>
  <c r="AH1491" i="208"/>
  <c r="O1299" i="208"/>
  <c r="AH1299" i="208"/>
  <c r="Q299" i="208"/>
  <c r="AG299" i="208"/>
  <c r="Q263" i="208"/>
  <c r="AG263" i="208"/>
  <c r="O2912" i="208"/>
  <c r="AH2912" i="208"/>
  <c r="O2852" i="208"/>
  <c r="AH2852" i="208"/>
  <c r="O2828" i="208"/>
  <c r="AH2828" i="208"/>
  <c r="O2420" i="208"/>
  <c r="AH2420" i="208"/>
  <c r="O2180" i="208"/>
  <c r="AH2180" i="208"/>
  <c r="O2048" i="208"/>
  <c r="AH2048" i="208"/>
  <c r="O1988" i="208"/>
  <c r="AH1988" i="208"/>
  <c r="O1772" i="208"/>
  <c r="AH1772" i="208"/>
  <c r="O1760" i="208"/>
  <c r="AH1760" i="208"/>
  <c r="O1724" i="208"/>
  <c r="AH1724" i="208"/>
  <c r="O1376" i="208"/>
  <c r="AH1376" i="208"/>
  <c r="O1328" i="208"/>
  <c r="AH1328" i="208"/>
  <c r="O1076" i="208"/>
  <c r="AH1076" i="208"/>
  <c r="O2977" i="208"/>
  <c r="AH2977" i="208"/>
  <c r="O2965" i="208"/>
  <c r="AH2965" i="208"/>
  <c r="O2953" i="208"/>
  <c r="AH2953" i="208"/>
  <c r="O2941" i="208"/>
  <c r="AH2941" i="208"/>
  <c r="O2929" i="208"/>
  <c r="AH2929" i="208"/>
  <c r="O2917" i="208"/>
  <c r="AH2917" i="208"/>
  <c r="O2881" i="208"/>
  <c r="AH2881" i="208"/>
  <c r="O2857" i="208"/>
  <c r="AH2857" i="208"/>
  <c r="O2845" i="208"/>
  <c r="AH2845" i="208"/>
  <c r="O2833" i="208"/>
  <c r="AH2833" i="208"/>
  <c r="O2809" i="208"/>
  <c r="AH2809" i="208"/>
  <c r="O2797" i="208"/>
  <c r="AH2797" i="208"/>
  <c r="O2785" i="208"/>
  <c r="AH2785" i="208"/>
  <c r="O2713" i="208"/>
  <c r="AH2713" i="208"/>
  <c r="O2677" i="208"/>
  <c r="AH2677" i="208"/>
  <c r="O2665" i="208"/>
  <c r="AH2665" i="208"/>
  <c r="O2653" i="208"/>
  <c r="AH2653" i="208"/>
  <c r="O2641" i="208"/>
  <c r="AH2641" i="208"/>
  <c r="O2629" i="208"/>
  <c r="AH2629" i="208"/>
  <c r="O2617" i="208"/>
  <c r="AH2617" i="208"/>
  <c r="O2605" i="208"/>
  <c r="AH2605" i="208"/>
  <c r="O2593" i="208"/>
  <c r="AH2593" i="208"/>
  <c r="O2581" i="208"/>
  <c r="AH2581" i="208"/>
  <c r="O2569" i="208"/>
  <c r="AH2569" i="208"/>
  <c r="O2557" i="208"/>
  <c r="AH2557" i="208"/>
  <c r="O2545" i="208"/>
  <c r="AH2545" i="208"/>
  <c r="O2533" i="208"/>
  <c r="AH2533" i="208"/>
  <c r="O2521" i="208"/>
  <c r="AH2521" i="208"/>
  <c r="O2509" i="208"/>
  <c r="AH2509" i="208"/>
  <c r="O2497" i="208"/>
  <c r="AH2497" i="208"/>
  <c r="O2485" i="208"/>
  <c r="AH2485" i="208"/>
  <c r="O2473" i="208"/>
  <c r="AH2473" i="208"/>
  <c r="O2461" i="208"/>
  <c r="AH2461" i="208"/>
  <c r="O2449" i="208"/>
  <c r="AH2449" i="208"/>
  <c r="O2437" i="208"/>
  <c r="AH2437" i="208"/>
  <c r="O2425" i="208"/>
  <c r="AH2425" i="208"/>
  <c r="O2413" i="208"/>
  <c r="AH2413" i="208"/>
  <c r="O2401" i="208"/>
  <c r="AH2401" i="208"/>
  <c r="O2389" i="208"/>
  <c r="AH2389" i="208"/>
  <c r="O2377" i="208"/>
  <c r="AH2377" i="208"/>
  <c r="O2365" i="208"/>
  <c r="AH2365" i="208"/>
  <c r="O2353" i="208"/>
  <c r="AH2353" i="208"/>
  <c r="O2341" i="208"/>
  <c r="AH2341" i="208"/>
  <c r="O2329" i="208"/>
  <c r="AH2329" i="208"/>
  <c r="O2317" i="208"/>
  <c r="AH2317" i="208"/>
  <c r="O2305" i="208"/>
  <c r="AH2305" i="208"/>
  <c r="O2293" i="208"/>
  <c r="AH2293" i="208"/>
  <c r="O2281" i="208"/>
  <c r="AH2281" i="208"/>
  <c r="O2269" i="208"/>
  <c r="AH2269" i="208"/>
  <c r="O2257" i="208"/>
  <c r="AH2257" i="208"/>
  <c r="O2245" i="208"/>
  <c r="AH2245" i="208"/>
  <c r="O2233" i="208"/>
  <c r="AH2233" i="208"/>
  <c r="O2221" i="208"/>
  <c r="AH2221" i="208"/>
  <c r="O2209" i="208"/>
  <c r="AH2209" i="208"/>
  <c r="O2197" i="208"/>
  <c r="AH2197" i="208"/>
  <c r="O2185" i="208"/>
  <c r="AH2185" i="208"/>
  <c r="O2173" i="208"/>
  <c r="AH2173" i="208"/>
  <c r="O2161" i="208"/>
  <c r="AH2161" i="208"/>
  <c r="O2149" i="208"/>
  <c r="AH2149" i="208"/>
  <c r="O2137" i="208"/>
  <c r="AH2137" i="208"/>
  <c r="O2125" i="208"/>
  <c r="AH2125" i="208"/>
  <c r="O2113" i="208"/>
  <c r="AH2113" i="208"/>
  <c r="O2101" i="208"/>
  <c r="AH2101" i="208"/>
  <c r="O2089" i="208"/>
  <c r="AH2089" i="208"/>
  <c r="O2077" i="208"/>
  <c r="AH2077" i="208"/>
  <c r="O2065" i="208"/>
  <c r="AH2065" i="208"/>
  <c r="O2053" i="208"/>
  <c r="AH2053" i="208"/>
  <c r="O2041" i="208"/>
  <c r="AH2041" i="208"/>
  <c r="O2029" i="208"/>
  <c r="AH2029" i="208"/>
  <c r="O2017" i="208"/>
  <c r="AH2017" i="208"/>
  <c r="O2005" i="208"/>
  <c r="AH2005" i="208"/>
  <c r="O1993" i="208"/>
  <c r="AH1993" i="208"/>
  <c r="O1981" i="208"/>
  <c r="AH1981" i="208"/>
  <c r="O1969" i="208"/>
  <c r="AH1969" i="208"/>
  <c r="O1957" i="208"/>
  <c r="AH1957" i="208"/>
  <c r="O1945" i="208"/>
  <c r="AH1945" i="208"/>
  <c r="O1933" i="208"/>
  <c r="AH1933" i="208"/>
  <c r="O1921" i="208"/>
  <c r="AH1921" i="208"/>
  <c r="O1909" i="208"/>
  <c r="AH1909" i="208"/>
  <c r="O1897" i="208"/>
  <c r="AH1897" i="208"/>
  <c r="O1885" i="208"/>
  <c r="AH1885" i="208"/>
  <c r="O1873" i="208"/>
  <c r="AH1873" i="208"/>
  <c r="O1861" i="208"/>
  <c r="AH1861" i="208"/>
  <c r="O1849" i="208"/>
  <c r="AH1849" i="208"/>
  <c r="O1837" i="208"/>
  <c r="AH1837" i="208"/>
  <c r="O1825" i="208"/>
  <c r="AH1825" i="208"/>
  <c r="O1813" i="208"/>
  <c r="AH1813" i="208"/>
  <c r="O1801" i="208"/>
  <c r="AH1801" i="208"/>
  <c r="O1789" i="208"/>
  <c r="AH1789" i="208"/>
  <c r="O1777" i="208"/>
  <c r="AH1777" i="208"/>
  <c r="O1765" i="208"/>
  <c r="AH1765" i="208"/>
  <c r="O1753" i="208"/>
  <c r="AH1753" i="208"/>
  <c r="O1741" i="208"/>
  <c r="AH1741" i="208"/>
  <c r="O1729" i="208"/>
  <c r="AH1729" i="208"/>
  <c r="O1717" i="208"/>
  <c r="AH1717" i="208"/>
  <c r="O1705" i="208"/>
  <c r="AH1705" i="208"/>
  <c r="O1693" i="208"/>
  <c r="AH1693" i="208"/>
  <c r="O1681" i="208"/>
  <c r="AH1681" i="208"/>
  <c r="O1669" i="208"/>
  <c r="AH1669" i="208"/>
  <c r="O1657" i="208"/>
  <c r="AH1657" i="208"/>
  <c r="O1645" i="208"/>
  <c r="AH1645" i="208"/>
  <c r="O1633" i="208"/>
  <c r="AH1633" i="208"/>
  <c r="O1621" i="208"/>
  <c r="AH1621" i="208"/>
  <c r="O1609" i="208"/>
  <c r="AH1609" i="208"/>
  <c r="O1597" i="208"/>
  <c r="AH1597" i="208"/>
  <c r="O1585" i="208"/>
  <c r="AH1585" i="208"/>
  <c r="O1573" i="208"/>
  <c r="AH1573" i="208"/>
  <c r="O1561" i="208"/>
  <c r="AH1561" i="208"/>
  <c r="O1549" i="208"/>
  <c r="AH1549" i="208"/>
  <c r="O1537" i="208"/>
  <c r="AH1537" i="208"/>
  <c r="O1525" i="208"/>
  <c r="AH1525" i="208"/>
  <c r="O1513" i="208"/>
  <c r="AH1513" i="208"/>
  <c r="O1501" i="208"/>
  <c r="AH1501" i="208"/>
  <c r="O1489" i="208"/>
  <c r="AH1489" i="208"/>
  <c r="O1477" i="208"/>
  <c r="AH1477" i="208"/>
  <c r="O1465" i="208"/>
  <c r="AH1465" i="208"/>
  <c r="O1453" i="208"/>
  <c r="AH1453" i="208"/>
  <c r="O1441" i="208"/>
  <c r="AH1441" i="208"/>
  <c r="O1429" i="208"/>
  <c r="AH1429" i="208"/>
  <c r="O1417" i="208"/>
  <c r="AH1417" i="208"/>
  <c r="O1405" i="208"/>
  <c r="AH1405" i="208"/>
  <c r="O1393" i="208"/>
  <c r="AH1393" i="208"/>
  <c r="O1381" i="208"/>
  <c r="AH1381" i="208"/>
  <c r="O1369" i="208"/>
  <c r="AH1369" i="208"/>
  <c r="O1357" i="208"/>
  <c r="AH1357" i="208"/>
  <c r="O1345" i="208"/>
  <c r="AH1345" i="208"/>
  <c r="O1333" i="208"/>
  <c r="AH1333" i="208"/>
  <c r="O1321" i="208"/>
  <c r="AH1321" i="208"/>
  <c r="O1309" i="208"/>
  <c r="AH1309" i="208"/>
  <c r="O1297" i="208"/>
  <c r="AH1297" i="208"/>
  <c r="O1285" i="208"/>
  <c r="AH1285" i="208"/>
  <c r="O1273" i="208"/>
  <c r="AH1273" i="208"/>
  <c r="O1261" i="208"/>
  <c r="AH1261" i="208"/>
  <c r="O1249" i="208"/>
  <c r="AH1249" i="208"/>
  <c r="O1237" i="208"/>
  <c r="AH1237" i="208"/>
  <c r="O1225" i="208"/>
  <c r="AH1225" i="208"/>
  <c r="O1213" i="208"/>
  <c r="AH1213" i="208"/>
  <c r="O1201" i="208"/>
  <c r="AH1201" i="208"/>
  <c r="O1189" i="208"/>
  <c r="AH1189" i="208"/>
  <c r="O1177" i="208"/>
  <c r="AH1177" i="208"/>
  <c r="O1165" i="208"/>
  <c r="AH1165" i="208"/>
  <c r="O1153" i="208"/>
  <c r="AH1153" i="208"/>
  <c r="O1141" i="208"/>
  <c r="AH1141" i="208"/>
  <c r="O1129" i="208"/>
  <c r="AH1129" i="208"/>
  <c r="O1117" i="208"/>
  <c r="AH1117" i="208"/>
  <c r="O1105" i="208"/>
  <c r="AH1105" i="208"/>
  <c r="O1093" i="208"/>
  <c r="AH1093" i="208"/>
  <c r="O1081" i="208"/>
  <c r="AH1081" i="208"/>
  <c r="O1069" i="208"/>
  <c r="AH1069" i="208"/>
  <c r="O1057" i="208"/>
  <c r="AH1057" i="208"/>
  <c r="O1045" i="208"/>
  <c r="AH1045" i="208"/>
  <c r="Q297" i="208"/>
  <c r="AG297" i="208"/>
  <c r="O295" i="208"/>
  <c r="AH295" i="208"/>
  <c r="Q285" i="208"/>
  <c r="AG285" i="208"/>
  <c r="O283" i="208"/>
  <c r="AH283" i="208"/>
  <c r="Q273" i="208"/>
  <c r="AG273" i="208"/>
  <c r="O271" i="208"/>
  <c r="AH271" i="208"/>
  <c r="Q261" i="208"/>
  <c r="AG261" i="208"/>
  <c r="O259" i="208"/>
  <c r="AH259" i="208"/>
  <c r="Q249" i="208"/>
  <c r="AG249" i="208"/>
  <c r="O247" i="208"/>
  <c r="AH247" i="208"/>
  <c r="Q237" i="208"/>
  <c r="AG237" i="208"/>
  <c r="O235" i="208"/>
  <c r="AH235" i="208"/>
  <c r="Q225" i="208"/>
  <c r="AG225" i="208"/>
  <c r="O223" i="208"/>
  <c r="AH223" i="208"/>
  <c r="Q213" i="208"/>
  <c r="AG213" i="208"/>
  <c r="O211" i="208"/>
  <c r="AH211" i="208"/>
  <c r="Q201" i="208"/>
  <c r="AG201" i="208"/>
  <c r="O199" i="208"/>
  <c r="AH199" i="208"/>
  <c r="Q189" i="208"/>
  <c r="AG189" i="208"/>
  <c r="O187" i="208"/>
  <c r="AH187" i="208"/>
  <c r="Q177" i="208"/>
  <c r="AG177" i="208"/>
  <c r="O175" i="208"/>
  <c r="AH175" i="208"/>
  <c r="Q165" i="208"/>
  <c r="AG165" i="208"/>
  <c r="O163" i="208"/>
  <c r="AH163" i="208"/>
  <c r="Q153" i="208"/>
  <c r="AG153" i="208"/>
  <c r="O151" i="208"/>
  <c r="AH151" i="208"/>
  <c r="Q141" i="208"/>
  <c r="AG141" i="208"/>
  <c r="O139" i="208"/>
  <c r="AH139" i="208"/>
  <c r="Q129" i="208"/>
  <c r="AG129" i="208"/>
  <c r="O127" i="208"/>
  <c r="AH127" i="208"/>
  <c r="Q117" i="208"/>
  <c r="AG117" i="208"/>
  <c r="O115" i="208"/>
  <c r="AH115" i="208"/>
  <c r="Q105" i="208"/>
  <c r="AG105" i="208"/>
  <c r="O103" i="208"/>
  <c r="AH103" i="208"/>
  <c r="Q93" i="208"/>
  <c r="AG93" i="208"/>
  <c r="O91" i="208"/>
  <c r="AH91" i="208"/>
  <c r="Q81" i="208"/>
  <c r="AG81" i="208"/>
  <c r="O79" i="208"/>
  <c r="AH79" i="208"/>
  <c r="Q69" i="208"/>
  <c r="AG69" i="208"/>
  <c r="O67" i="208"/>
  <c r="AH67" i="208"/>
  <c r="Q57" i="208"/>
  <c r="AG57" i="208"/>
  <c r="O55" i="208"/>
  <c r="AH55" i="208"/>
  <c r="Q45" i="208"/>
  <c r="AG45" i="208"/>
  <c r="O43" i="208"/>
  <c r="AH43" i="208"/>
  <c r="O2835" i="208"/>
  <c r="AH2835" i="208"/>
  <c r="O2763" i="208"/>
  <c r="AH2763" i="208"/>
  <c r="O2715" i="208"/>
  <c r="AH2715" i="208"/>
  <c r="O2547" i="208"/>
  <c r="AH2547" i="208"/>
  <c r="O2415" i="208"/>
  <c r="AH2415" i="208"/>
  <c r="O2295" i="208"/>
  <c r="AH2295" i="208"/>
  <c r="O1587" i="208"/>
  <c r="AH1587" i="208"/>
  <c r="O1263" i="208"/>
  <c r="AH1263" i="208"/>
  <c r="Q251" i="208"/>
  <c r="AG251" i="208"/>
  <c r="Q239" i="208"/>
  <c r="AG239" i="208"/>
  <c r="O237" i="208"/>
  <c r="AH237" i="208"/>
  <c r="O2948" i="208"/>
  <c r="AH2948" i="208"/>
  <c r="O2840" i="208"/>
  <c r="AH2840" i="208"/>
  <c r="O2288" i="208"/>
  <c r="AH2288" i="208"/>
  <c r="O2240" i="208"/>
  <c r="AH2240" i="208"/>
  <c r="O2120" i="208"/>
  <c r="AH2120" i="208"/>
  <c r="O2108" i="208"/>
  <c r="AH2108" i="208"/>
  <c r="O2096" i="208"/>
  <c r="AH2096" i="208"/>
  <c r="O2060" i="208"/>
  <c r="AH2060" i="208"/>
  <c r="O1976" i="208"/>
  <c r="AH1976" i="208"/>
  <c r="O1880" i="208"/>
  <c r="AH1880" i="208"/>
  <c r="O1868" i="208"/>
  <c r="AH1868" i="208"/>
  <c r="O1820" i="208"/>
  <c r="AH1820" i="208"/>
  <c r="O1748" i="208"/>
  <c r="AH1748" i="208"/>
  <c r="O1316" i="208"/>
  <c r="AH1316" i="208"/>
  <c r="O1304" i="208"/>
  <c r="AH1304" i="208"/>
  <c r="O1220" i="208"/>
  <c r="AH1220" i="208"/>
  <c r="O2989" i="208"/>
  <c r="AH2989" i="208"/>
  <c r="O2905" i="208"/>
  <c r="AH2905" i="208"/>
  <c r="O2893" i="208"/>
  <c r="AH2893" i="208"/>
  <c r="O2869" i="208"/>
  <c r="AH2869" i="208"/>
  <c r="O2821" i="208"/>
  <c r="AH2821" i="208"/>
  <c r="O2773" i="208"/>
  <c r="AH2773" i="208"/>
  <c r="O2761" i="208"/>
  <c r="AH2761" i="208"/>
  <c r="O2749" i="208"/>
  <c r="AH2749" i="208"/>
  <c r="O2737" i="208"/>
  <c r="AH2737" i="208"/>
  <c r="O2725" i="208"/>
  <c r="AH2725" i="208"/>
  <c r="O2701" i="208"/>
  <c r="AH2701" i="208"/>
  <c r="O2689" i="208"/>
  <c r="AH2689" i="208"/>
  <c r="O2994" i="208"/>
  <c r="AH2994" i="208"/>
  <c r="O2982" i="208"/>
  <c r="AH2982" i="208"/>
  <c r="O2970" i="208"/>
  <c r="AH2970" i="208"/>
  <c r="O2958" i="208"/>
  <c r="AH2958" i="208"/>
  <c r="O2946" i="208"/>
  <c r="AH2946" i="208"/>
  <c r="O2934" i="208"/>
  <c r="AH2934" i="208"/>
  <c r="O2922" i="208"/>
  <c r="AH2922" i="208"/>
  <c r="O2910" i="208"/>
  <c r="AH2910" i="208"/>
  <c r="O2898" i="208"/>
  <c r="AH2898" i="208"/>
  <c r="O2886" i="208"/>
  <c r="AH2886" i="208"/>
  <c r="O2874" i="208"/>
  <c r="AH2874" i="208"/>
  <c r="O2862" i="208"/>
  <c r="AH2862" i="208"/>
  <c r="O2850" i="208"/>
  <c r="AH2850" i="208"/>
  <c r="O2838" i="208"/>
  <c r="AH2838" i="208"/>
  <c r="O2826" i="208"/>
  <c r="AH2826" i="208"/>
  <c r="O2814" i="208"/>
  <c r="AH2814" i="208"/>
  <c r="O2802" i="208"/>
  <c r="AH2802" i="208"/>
  <c r="O2790" i="208"/>
  <c r="AH2790" i="208"/>
  <c r="O2778" i="208"/>
  <c r="AH2778" i="208"/>
  <c r="O2766" i="208"/>
  <c r="AH2766" i="208"/>
  <c r="O2754" i="208"/>
  <c r="AH2754" i="208"/>
  <c r="O2742" i="208"/>
  <c r="AH2742" i="208"/>
  <c r="O2730" i="208"/>
  <c r="AH2730" i="208"/>
  <c r="O2718" i="208"/>
  <c r="AH2718" i="208"/>
  <c r="O2706" i="208"/>
  <c r="AH2706" i="208"/>
  <c r="O2694" i="208"/>
  <c r="AH2694" i="208"/>
  <c r="O2682" i="208"/>
  <c r="AH2682" i="208"/>
  <c r="O2670" i="208"/>
  <c r="AH2670" i="208"/>
  <c r="O2658" i="208"/>
  <c r="AH2658" i="208"/>
  <c r="O2646" i="208"/>
  <c r="AH2646" i="208"/>
  <c r="O2634" i="208"/>
  <c r="AH2634" i="208"/>
  <c r="O2622" i="208"/>
  <c r="AH2622" i="208"/>
  <c r="O2610" i="208"/>
  <c r="AH2610" i="208"/>
  <c r="O2598" i="208"/>
  <c r="AH2598" i="208"/>
  <c r="O2586" i="208"/>
  <c r="AH2586" i="208"/>
  <c r="O2574" i="208"/>
  <c r="AH2574" i="208"/>
  <c r="O2562" i="208"/>
  <c r="AH2562" i="208"/>
  <c r="O2550" i="208"/>
  <c r="AH2550" i="208"/>
  <c r="O2538" i="208"/>
  <c r="AH2538" i="208"/>
  <c r="O2526" i="208"/>
  <c r="AH2526" i="208"/>
  <c r="O2514" i="208"/>
  <c r="AH2514" i="208"/>
  <c r="O2502" i="208"/>
  <c r="AH2502" i="208"/>
  <c r="O2490" i="208"/>
  <c r="AH2490" i="208"/>
  <c r="O2478" i="208"/>
  <c r="AH2478" i="208"/>
  <c r="O2466" i="208"/>
  <c r="AH2466" i="208"/>
  <c r="O2454" i="208"/>
  <c r="AH2454" i="208"/>
  <c r="O2442" i="208"/>
  <c r="AH2442" i="208"/>
  <c r="O2430" i="208"/>
  <c r="AH2430" i="208"/>
  <c r="O2418" i="208"/>
  <c r="AH2418" i="208"/>
  <c r="O2406" i="208"/>
  <c r="AH2406" i="208"/>
  <c r="O2394" i="208"/>
  <c r="AH2394" i="208"/>
  <c r="O2382" i="208"/>
  <c r="AH2382" i="208"/>
  <c r="O2370" i="208"/>
  <c r="AH2370" i="208"/>
  <c r="O2358" i="208"/>
  <c r="AH2358" i="208"/>
  <c r="O2346" i="208"/>
  <c r="AH2346" i="208"/>
  <c r="O2334" i="208"/>
  <c r="AH2334" i="208"/>
  <c r="O2322" i="208"/>
  <c r="AH2322" i="208"/>
  <c r="O2310" i="208"/>
  <c r="AH2310" i="208"/>
  <c r="O2298" i="208"/>
  <c r="AH2298" i="208"/>
  <c r="O2286" i="208"/>
  <c r="AH2286" i="208"/>
  <c r="O2274" i="208"/>
  <c r="AH2274" i="208"/>
  <c r="O2262" i="208"/>
  <c r="AH2262" i="208"/>
  <c r="O2250" i="208"/>
  <c r="AH2250" i="208"/>
  <c r="O2238" i="208"/>
  <c r="AH2238" i="208"/>
  <c r="O2226" i="208"/>
  <c r="AH2226" i="208"/>
  <c r="O2214" i="208"/>
  <c r="AH2214" i="208"/>
  <c r="O2202" i="208"/>
  <c r="AH2202" i="208"/>
  <c r="O2190" i="208"/>
  <c r="AH2190" i="208"/>
  <c r="O2178" i="208"/>
  <c r="AH2178" i="208"/>
  <c r="O2166" i="208"/>
  <c r="AH2166" i="208"/>
  <c r="O2154" i="208"/>
  <c r="AH2154" i="208"/>
  <c r="O2142" i="208"/>
  <c r="AH2142" i="208"/>
  <c r="O2130" i="208"/>
  <c r="AH2130" i="208"/>
  <c r="O2118" i="208"/>
  <c r="AH2118" i="208"/>
  <c r="O2106" i="208"/>
  <c r="AH2106" i="208"/>
  <c r="O2094" i="208"/>
  <c r="AH2094" i="208"/>
  <c r="O2082" i="208"/>
  <c r="AH2082" i="208"/>
  <c r="O2070" i="208"/>
  <c r="AH2070" i="208"/>
  <c r="O2058" i="208"/>
  <c r="AH2058" i="208"/>
  <c r="O2046" i="208"/>
  <c r="AH2046" i="208"/>
  <c r="O2034" i="208"/>
  <c r="AH2034" i="208"/>
  <c r="O2022" i="208"/>
  <c r="AH2022" i="208"/>
  <c r="O2010" i="208"/>
  <c r="AH2010" i="208"/>
  <c r="O1998" i="208"/>
  <c r="AH1998" i="208"/>
  <c r="O1986" i="208"/>
  <c r="AH1986" i="208"/>
  <c r="O1974" i="208"/>
  <c r="AH1974" i="208"/>
  <c r="O1962" i="208"/>
  <c r="AH1962" i="208"/>
  <c r="O1950" i="208"/>
  <c r="AH1950" i="208"/>
  <c r="O1938" i="208"/>
  <c r="AH1938" i="208"/>
  <c r="O1926" i="208"/>
  <c r="AH1926" i="208"/>
  <c r="O1914" i="208"/>
  <c r="AH1914" i="208"/>
  <c r="O1902" i="208"/>
  <c r="AH1902" i="208"/>
  <c r="O1890" i="208"/>
  <c r="AH1890" i="208"/>
  <c r="O1878" i="208"/>
  <c r="AH1878" i="208"/>
  <c r="O1866" i="208"/>
  <c r="AH1866" i="208"/>
  <c r="O1854" i="208"/>
  <c r="AH1854" i="208"/>
  <c r="O1842" i="208"/>
  <c r="AH1842" i="208"/>
  <c r="O1830" i="208"/>
  <c r="AH1830" i="208"/>
  <c r="O1818" i="208"/>
  <c r="AH1818" i="208"/>
  <c r="O1806" i="208"/>
  <c r="AH1806" i="208"/>
  <c r="O1794" i="208"/>
  <c r="AH1794" i="208"/>
  <c r="O1782" i="208"/>
  <c r="AH1782" i="208"/>
  <c r="O1770" i="208"/>
  <c r="AH1770" i="208"/>
  <c r="O1758" i="208"/>
  <c r="AH1758" i="208"/>
  <c r="O1746" i="208"/>
  <c r="AH1746" i="208"/>
  <c r="O1734" i="208"/>
  <c r="AH1734" i="208"/>
  <c r="O1722" i="208"/>
  <c r="AH1722" i="208"/>
  <c r="O1710" i="208"/>
  <c r="AH1710" i="208"/>
  <c r="O1698" i="208"/>
  <c r="AH1698" i="208"/>
  <c r="O1686" i="208"/>
  <c r="AH1686" i="208"/>
  <c r="O1674" i="208"/>
  <c r="AH1674" i="208"/>
  <c r="O1662" i="208"/>
  <c r="AH1662" i="208"/>
  <c r="O1650" i="208"/>
  <c r="AH1650" i="208"/>
  <c r="O1638" i="208"/>
  <c r="AH1638" i="208"/>
  <c r="O1626" i="208"/>
  <c r="AH1626" i="208"/>
  <c r="O1614" i="208"/>
  <c r="AH1614" i="208"/>
  <c r="O1602" i="208"/>
  <c r="AH1602" i="208"/>
  <c r="O1590" i="208"/>
  <c r="AH1590" i="208"/>
  <c r="O1578" i="208"/>
  <c r="AH1578" i="208"/>
  <c r="O1566" i="208"/>
  <c r="AH1566" i="208"/>
  <c r="O1554" i="208"/>
  <c r="AH1554" i="208"/>
  <c r="O1542" i="208"/>
  <c r="AH1542" i="208"/>
  <c r="O1530" i="208"/>
  <c r="AH1530" i="208"/>
  <c r="O1518" i="208"/>
  <c r="AH1518" i="208"/>
  <c r="O1506" i="208"/>
  <c r="AH1506" i="208"/>
  <c r="O1494" i="208"/>
  <c r="AH1494" i="208"/>
  <c r="O1482" i="208"/>
  <c r="AH1482" i="208"/>
  <c r="O1470" i="208"/>
  <c r="AH1470" i="208"/>
  <c r="O1458" i="208"/>
  <c r="AH1458" i="208"/>
  <c r="O1446" i="208"/>
  <c r="AH1446" i="208"/>
  <c r="O1434" i="208"/>
  <c r="AH1434" i="208"/>
  <c r="O1422" i="208"/>
  <c r="AH1422" i="208"/>
  <c r="O1410" i="208"/>
  <c r="AH1410" i="208"/>
  <c r="O1398" i="208"/>
  <c r="AH1398" i="208"/>
  <c r="O1386" i="208"/>
  <c r="AH1386" i="208"/>
  <c r="O1374" i="208"/>
  <c r="AH1374" i="208"/>
  <c r="O1362" i="208"/>
  <c r="AH1362" i="208"/>
  <c r="O1350" i="208"/>
  <c r="AH1350" i="208"/>
  <c r="O1338" i="208"/>
  <c r="AH1338" i="208"/>
  <c r="O1326" i="208"/>
  <c r="AH1326" i="208"/>
  <c r="O1314" i="208"/>
  <c r="AH1314" i="208"/>
  <c r="O1302" i="208"/>
  <c r="AH1302" i="208"/>
  <c r="O1290" i="208"/>
  <c r="AH1290" i="208"/>
  <c r="O1278" i="208"/>
  <c r="AH1278" i="208"/>
  <c r="O1266" i="208"/>
  <c r="AH1266" i="208"/>
  <c r="O1254" i="208"/>
  <c r="AH1254" i="208"/>
  <c r="O1242" i="208"/>
  <c r="AH1242" i="208"/>
  <c r="O1230" i="208"/>
  <c r="AH1230" i="208"/>
  <c r="O1218" i="208"/>
  <c r="AH1218" i="208"/>
  <c r="O1206" i="208"/>
  <c r="AH1206" i="208"/>
  <c r="O1194" i="208"/>
  <c r="AH1194" i="208"/>
  <c r="O1182" i="208"/>
  <c r="AH1182" i="208"/>
  <c r="O1170" i="208"/>
  <c r="AH1170" i="208"/>
  <c r="O1158" i="208"/>
  <c r="AH1158" i="208"/>
  <c r="O1146" i="208"/>
  <c r="AH1146" i="208"/>
  <c r="O1134" i="208"/>
  <c r="AH1134" i="208"/>
  <c r="O1122" i="208"/>
  <c r="AH1122" i="208"/>
  <c r="O1110" i="208"/>
  <c r="AH1110" i="208"/>
  <c r="O1098" i="208"/>
  <c r="AH1098" i="208"/>
  <c r="O1086" i="208"/>
  <c r="AH1086" i="208"/>
  <c r="O1074" i="208"/>
  <c r="AH1074" i="208"/>
  <c r="O1062" i="208"/>
  <c r="AH1062" i="208"/>
  <c r="O1050" i="208"/>
  <c r="AH1050" i="208"/>
  <c r="O2799" i="208"/>
  <c r="AH2799" i="208"/>
  <c r="O2679" i="208"/>
  <c r="AH2679" i="208"/>
  <c r="O2583" i="208"/>
  <c r="AH2583" i="208"/>
  <c r="O2151" i="208"/>
  <c r="AH2151" i="208"/>
  <c r="O1443" i="208"/>
  <c r="AH1443" i="208"/>
  <c r="O1287" i="208"/>
  <c r="AH1287" i="208"/>
  <c r="O2588" i="208"/>
  <c r="AH2588" i="208"/>
  <c r="O2228" i="208"/>
  <c r="AH2228" i="208"/>
  <c r="O1808" i="208"/>
  <c r="AH1808" i="208"/>
  <c r="O1292" i="208"/>
  <c r="AH1292" i="208"/>
  <c r="O1136" i="208"/>
  <c r="AH1136" i="208"/>
  <c r="O2651" i="208"/>
  <c r="AH2651" i="208"/>
  <c r="O2603" i="208"/>
  <c r="AH2603" i="208"/>
  <c r="O2555" i="208"/>
  <c r="AH2555" i="208"/>
  <c r="O2495" i="208"/>
  <c r="AH2495" i="208"/>
  <c r="O2483" i="208"/>
  <c r="AH2483" i="208"/>
  <c r="O2471" i="208"/>
  <c r="AH2471" i="208"/>
  <c r="O2459" i="208"/>
  <c r="AH2459" i="208"/>
  <c r="O2363" i="208"/>
  <c r="AH2363" i="208"/>
  <c r="O1991" i="208"/>
  <c r="AH1991" i="208"/>
  <c r="O1979" i="208"/>
  <c r="AH1979" i="208"/>
  <c r="O1967" i="208"/>
  <c r="AH1967" i="208"/>
  <c r="O1955" i="208"/>
  <c r="AH1955" i="208"/>
  <c r="O1943" i="208"/>
  <c r="AH1943" i="208"/>
  <c r="O1931" i="208"/>
  <c r="AH1931" i="208"/>
  <c r="O1919" i="208"/>
  <c r="AH1919" i="208"/>
  <c r="O1907" i="208"/>
  <c r="AH1907" i="208"/>
  <c r="O1895" i="208"/>
  <c r="AH1895" i="208"/>
  <c r="O1883" i="208"/>
  <c r="AH1883" i="208"/>
  <c r="O1871" i="208"/>
  <c r="AH1871" i="208"/>
  <c r="O1859" i="208"/>
  <c r="AH1859" i="208"/>
  <c r="O1847" i="208"/>
  <c r="AH1847" i="208"/>
  <c r="O1835" i="208"/>
  <c r="AH1835" i="208"/>
  <c r="O1823" i="208"/>
  <c r="AH1823" i="208"/>
  <c r="O1811" i="208"/>
  <c r="AH1811" i="208"/>
  <c r="O1799" i="208"/>
  <c r="AH1799" i="208"/>
  <c r="O1787" i="208"/>
  <c r="AH1787" i="208"/>
  <c r="O1775" i="208"/>
  <c r="AH1775" i="208"/>
  <c r="O1763" i="208"/>
  <c r="AH1763" i="208"/>
  <c r="O1751" i="208"/>
  <c r="AH1751" i="208"/>
  <c r="O1739" i="208"/>
  <c r="AH1739" i="208"/>
  <c r="O1727" i="208"/>
  <c r="AH1727" i="208"/>
  <c r="O1715" i="208"/>
  <c r="AH1715" i="208"/>
  <c r="O1703" i="208"/>
  <c r="AH1703" i="208"/>
  <c r="O1691" i="208"/>
  <c r="AH1691" i="208"/>
  <c r="O1679" i="208"/>
  <c r="AH1679" i="208"/>
  <c r="O1667" i="208"/>
  <c r="AH1667" i="208"/>
  <c r="O1655" i="208"/>
  <c r="AH1655" i="208"/>
  <c r="O1643" i="208"/>
  <c r="AH1643" i="208"/>
  <c r="O1631" i="208"/>
  <c r="AH1631" i="208"/>
  <c r="O1619" i="208"/>
  <c r="AH1619" i="208"/>
  <c r="O1607" i="208"/>
  <c r="AH1607" i="208"/>
  <c r="O1595" i="208"/>
  <c r="AH1595" i="208"/>
  <c r="O1583" i="208"/>
  <c r="AH1583" i="208"/>
  <c r="O1571" i="208"/>
  <c r="AH1571" i="208"/>
  <c r="O1559" i="208"/>
  <c r="AH1559" i="208"/>
  <c r="O1547" i="208"/>
  <c r="AH1547" i="208"/>
  <c r="O1535" i="208"/>
  <c r="AH1535" i="208"/>
  <c r="O1523" i="208"/>
  <c r="AH1523" i="208"/>
  <c r="O1511" i="208"/>
  <c r="AH1511" i="208"/>
  <c r="O1499" i="208"/>
  <c r="AH1499" i="208"/>
  <c r="O1487" i="208"/>
  <c r="AH1487" i="208"/>
  <c r="O1475" i="208"/>
  <c r="AH1475" i="208"/>
  <c r="O1463" i="208"/>
  <c r="AH1463" i="208"/>
  <c r="O1451" i="208"/>
  <c r="AH1451" i="208"/>
  <c r="O1439" i="208"/>
  <c r="AH1439" i="208"/>
  <c r="O1427" i="208"/>
  <c r="AH1427" i="208"/>
  <c r="O1415" i="208"/>
  <c r="AH1415" i="208"/>
  <c r="O1403" i="208"/>
  <c r="AH1403" i="208"/>
  <c r="O1391" i="208"/>
  <c r="AH1391" i="208"/>
  <c r="O1379" i="208"/>
  <c r="AH1379" i="208"/>
  <c r="O1367" i="208"/>
  <c r="AH1367" i="208"/>
  <c r="O1355" i="208"/>
  <c r="AH1355" i="208"/>
  <c r="O1343" i="208"/>
  <c r="AH1343" i="208"/>
  <c r="O1331" i="208"/>
  <c r="AH1331" i="208"/>
  <c r="O1319" i="208"/>
  <c r="AH1319" i="208"/>
  <c r="O1307" i="208"/>
  <c r="AH1307" i="208"/>
  <c r="O1295" i="208"/>
  <c r="AH1295" i="208"/>
  <c r="O1283" i="208"/>
  <c r="AH1283" i="208"/>
  <c r="O1271" i="208"/>
  <c r="AH1271" i="208"/>
  <c r="O1259" i="208"/>
  <c r="AH1259" i="208"/>
  <c r="O1247" i="208"/>
  <c r="AH1247" i="208"/>
  <c r="O1235" i="208"/>
  <c r="AH1235" i="208"/>
  <c r="O1223" i="208"/>
  <c r="AH1223" i="208"/>
  <c r="O1211" i="208"/>
  <c r="AH1211" i="208"/>
  <c r="O1199" i="208"/>
  <c r="AH1199" i="208"/>
  <c r="O1187" i="208"/>
  <c r="AH1187" i="208"/>
  <c r="O1175" i="208"/>
  <c r="AH1175" i="208"/>
  <c r="O1163" i="208"/>
  <c r="AH1163" i="208"/>
  <c r="O1151" i="208"/>
  <c r="AH1151" i="208"/>
  <c r="O1139" i="208"/>
  <c r="AH1139" i="208"/>
  <c r="O1127" i="208"/>
  <c r="AH1127" i="208"/>
  <c r="O1115" i="208"/>
  <c r="AH1115" i="208"/>
  <c r="O1103" i="208"/>
  <c r="AH1103" i="208"/>
  <c r="O1091" i="208"/>
  <c r="AH1091" i="208"/>
  <c r="O1079" i="208"/>
  <c r="AH1079" i="208"/>
  <c r="O1067" i="208"/>
  <c r="AH1067" i="208"/>
  <c r="O1055" i="208"/>
  <c r="AH1055" i="208"/>
  <c r="O1043" i="208"/>
  <c r="AH1043" i="208"/>
  <c r="Q295" i="208"/>
  <c r="AG295" i="208"/>
  <c r="O293" i="208"/>
  <c r="AH293" i="208"/>
  <c r="Q283" i="208"/>
  <c r="AG283" i="208"/>
  <c r="O281" i="208"/>
  <c r="AH281" i="208"/>
  <c r="Q271" i="208"/>
  <c r="AG271" i="208"/>
  <c r="O269" i="208"/>
  <c r="AH269" i="208"/>
  <c r="Q259" i="208"/>
  <c r="AG259" i="208"/>
  <c r="O257" i="208"/>
  <c r="AH257" i="208"/>
  <c r="Q247" i="208"/>
  <c r="AG247" i="208"/>
  <c r="O245" i="208"/>
  <c r="AH245" i="208"/>
  <c r="Q235" i="208"/>
  <c r="AG235" i="208"/>
  <c r="O233" i="208"/>
  <c r="AH233" i="208"/>
  <c r="Q223" i="208"/>
  <c r="AG223" i="208"/>
  <c r="O221" i="208"/>
  <c r="AH221" i="208"/>
  <c r="Q211" i="208"/>
  <c r="AG211" i="208"/>
  <c r="O209" i="208"/>
  <c r="AH209" i="208"/>
  <c r="Q199" i="208"/>
  <c r="AG199" i="208"/>
  <c r="O197" i="208"/>
  <c r="AH197" i="208"/>
  <c r="Q187" i="208"/>
  <c r="AG187" i="208"/>
  <c r="O185" i="208"/>
  <c r="AH185" i="208"/>
  <c r="Q175" i="208"/>
  <c r="AG175" i="208"/>
  <c r="O173" i="208"/>
  <c r="AH173" i="208"/>
  <c r="Q163" i="208"/>
  <c r="AG163" i="208"/>
  <c r="O161" i="208"/>
  <c r="AH161" i="208"/>
  <c r="Q151" i="208"/>
  <c r="AG151" i="208"/>
  <c r="O149" i="208"/>
  <c r="AH149" i="208"/>
  <c r="Q139" i="208"/>
  <c r="AG139" i="208"/>
  <c r="O137" i="208"/>
  <c r="AH137" i="208"/>
  <c r="Q127" i="208"/>
  <c r="AG127" i="208"/>
  <c r="O125" i="208"/>
  <c r="AH125" i="208"/>
  <c r="Q115" i="208"/>
  <c r="AG115" i="208"/>
  <c r="O113" i="208"/>
  <c r="AH113" i="208"/>
  <c r="Q103" i="208"/>
  <c r="AG103" i="208"/>
  <c r="O101" i="208"/>
  <c r="AH101" i="208"/>
  <c r="Q91" i="208"/>
  <c r="AG91" i="208"/>
  <c r="O89" i="208"/>
  <c r="AH89" i="208"/>
  <c r="Q79" i="208"/>
  <c r="AG79" i="208"/>
  <c r="O77" i="208"/>
  <c r="AH77" i="208"/>
  <c r="Q67" i="208"/>
  <c r="AG67" i="208"/>
  <c r="O65" i="208"/>
  <c r="AH65" i="208"/>
  <c r="Q55" i="208"/>
  <c r="AG55" i="208"/>
  <c r="O53" i="208"/>
  <c r="AH53" i="208"/>
  <c r="Q43" i="208"/>
  <c r="AG43" i="208"/>
  <c r="O41" i="208"/>
  <c r="AH41" i="208"/>
  <c r="Q31" i="208"/>
  <c r="AG31" i="208"/>
  <c r="O29" i="208"/>
  <c r="AH29" i="208"/>
  <c r="Q19" i="208"/>
  <c r="AG19" i="208"/>
  <c r="O17" i="208"/>
  <c r="AH17" i="208"/>
  <c r="Q7" i="208"/>
  <c r="AG7" i="208"/>
  <c r="O5" i="208"/>
  <c r="AH5" i="208"/>
  <c r="O2943" i="208"/>
  <c r="AH2943" i="208"/>
  <c r="O2703" i="208"/>
  <c r="AH2703" i="208"/>
  <c r="O2559" i="208"/>
  <c r="AH2559" i="208"/>
  <c r="O2487" i="208"/>
  <c r="AH2487" i="208"/>
  <c r="O2403" i="208"/>
  <c r="AH2403" i="208"/>
  <c r="O2355" i="208"/>
  <c r="AH2355" i="208"/>
  <c r="O2259" i="208"/>
  <c r="AH2259" i="208"/>
  <c r="O2175" i="208"/>
  <c r="AH2175" i="208"/>
  <c r="O2139" i="208"/>
  <c r="AH2139" i="208"/>
  <c r="O2079" i="208"/>
  <c r="AH2079" i="208"/>
  <c r="O2055" i="208"/>
  <c r="AH2055" i="208"/>
  <c r="O2043" i="208"/>
  <c r="AH2043" i="208"/>
  <c r="O2031" i="208"/>
  <c r="AH2031" i="208"/>
  <c r="O1959" i="208"/>
  <c r="AH1959" i="208"/>
  <c r="O1863" i="208"/>
  <c r="AH1863" i="208"/>
  <c r="O1851" i="208"/>
  <c r="AH1851" i="208"/>
  <c r="O1743" i="208"/>
  <c r="AH1743" i="208"/>
  <c r="O1731" i="208"/>
  <c r="AH1731" i="208"/>
  <c r="O1719" i="208"/>
  <c r="AH1719" i="208"/>
  <c r="O1707" i="208"/>
  <c r="AH1707" i="208"/>
  <c r="O1407" i="208"/>
  <c r="AH1407" i="208"/>
  <c r="O1323" i="208"/>
  <c r="AH1323" i="208"/>
  <c r="O1275" i="208"/>
  <c r="AH1275" i="208"/>
  <c r="O297" i="208"/>
  <c r="AH297" i="208"/>
  <c r="O249" i="208"/>
  <c r="AH249" i="208"/>
  <c r="O2699" i="208"/>
  <c r="AH2699" i="208"/>
  <c r="O2507" i="208"/>
  <c r="AH2507" i="208"/>
  <c r="O2423" i="208"/>
  <c r="AH2423" i="208"/>
  <c r="O2399" i="208"/>
  <c r="AH2399" i="208"/>
  <c r="O2219" i="208"/>
  <c r="AH2219" i="208"/>
  <c r="O2123" i="208"/>
  <c r="AH2123" i="208"/>
  <c r="O2051" i="208"/>
  <c r="AH2051" i="208"/>
  <c r="O2027" i="208"/>
  <c r="AH2027" i="208"/>
  <c r="O2992" i="208"/>
  <c r="AH2992" i="208"/>
  <c r="O2980" i="208"/>
  <c r="AH2980" i="208"/>
  <c r="O2968" i="208"/>
  <c r="AH2968" i="208"/>
  <c r="O2956" i="208"/>
  <c r="AH2956" i="208"/>
  <c r="O2944" i="208"/>
  <c r="AH2944" i="208"/>
  <c r="O2932" i="208"/>
  <c r="AH2932" i="208"/>
  <c r="O2920" i="208"/>
  <c r="AH2920" i="208"/>
  <c r="O2908" i="208"/>
  <c r="AH2908" i="208"/>
  <c r="O2896" i="208"/>
  <c r="AH2896" i="208"/>
  <c r="O2884" i="208"/>
  <c r="AH2884" i="208"/>
  <c r="O2872" i="208"/>
  <c r="AH2872" i="208"/>
  <c r="O2860" i="208"/>
  <c r="AH2860" i="208"/>
  <c r="O2848" i="208"/>
  <c r="AH2848" i="208"/>
  <c r="O2836" i="208"/>
  <c r="AH2836" i="208"/>
  <c r="O2824" i="208"/>
  <c r="AH2824" i="208"/>
  <c r="O2812" i="208"/>
  <c r="AH2812" i="208"/>
  <c r="O2800" i="208"/>
  <c r="AH2800" i="208"/>
  <c r="O2788" i="208"/>
  <c r="AH2788" i="208"/>
  <c r="O2776" i="208"/>
  <c r="AH2776" i="208"/>
  <c r="O2764" i="208"/>
  <c r="AH2764" i="208"/>
  <c r="O2752" i="208"/>
  <c r="AH2752" i="208"/>
  <c r="O2740" i="208"/>
  <c r="AH2740" i="208"/>
  <c r="O2728" i="208"/>
  <c r="AH2728" i="208"/>
  <c r="O2716" i="208"/>
  <c r="AH2716" i="208"/>
  <c r="O2704" i="208"/>
  <c r="AH2704" i="208"/>
  <c r="O2692" i="208"/>
  <c r="AH2692" i="208"/>
  <c r="O2680" i="208"/>
  <c r="AH2680" i="208"/>
  <c r="O2668" i="208"/>
  <c r="AH2668" i="208"/>
  <c r="O2656" i="208"/>
  <c r="AH2656" i="208"/>
  <c r="O2644" i="208"/>
  <c r="AH2644" i="208"/>
  <c r="O2632" i="208"/>
  <c r="AH2632" i="208"/>
  <c r="O2620" i="208"/>
  <c r="AH2620" i="208"/>
  <c r="O2608" i="208"/>
  <c r="AH2608" i="208"/>
  <c r="O2596" i="208"/>
  <c r="AH2596" i="208"/>
  <c r="O2584" i="208"/>
  <c r="AH2584" i="208"/>
  <c r="O2572" i="208"/>
  <c r="AH2572" i="208"/>
  <c r="O2560" i="208"/>
  <c r="AH2560" i="208"/>
  <c r="O2548" i="208"/>
  <c r="AH2548" i="208"/>
  <c r="O2536" i="208"/>
  <c r="AH2536" i="208"/>
  <c r="O2524" i="208"/>
  <c r="AH2524" i="208"/>
  <c r="O2512" i="208"/>
  <c r="AH2512" i="208"/>
  <c r="O2500" i="208"/>
  <c r="AH2500" i="208"/>
  <c r="O2488" i="208"/>
  <c r="AH2488" i="208"/>
  <c r="O2476" i="208"/>
  <c r="AH2476" i="208"/>
  <c r="O2464" i="208"/>
  <c r="AH2464" i="208"/>
  <c r="O2452" i="208"/>
  <c r="AH2452" i="208"/>
  <c r="O2440" i="208"/>
  <c r="AH2440" i="208"/>
  <c r="O2428" i="208"/>
  <c r="AH2428" i="208"/>
  <c r="O2416" i="208"/>
  <c r="AH2416" i="208"/>
  <c r="O2404" i="208"/>
  <c r="AH2404" i="208"/>
  <c r="O2392" i="208"/>
  <c r="AH2392" i="208"/>
  <c r="O2380" i="208"/>
  <c r="AH2380" i="208"/>
  <c r="O2368" i="208"/>
  <c r="AH2368" i="208"/>
  <c r="O2356" i="208"/>
  <c r="AH2356" i="208"/>
  <c r="O2344" i="208"/>
  <c r="AH2344" i="208"/>
  <c r="O2332" i="208"/>
  <c r="AH2332" i="208"/>
  <c r="O2320" i="208"/>
  <c r="AH2320" i="208"/>
  <c r="O2308" i="208"/>
  <c r="AH2308" i="208"/>
  <c r="O2296" i="208"/>
  <c r="AH2296" i="208"/>
  <c r="O2284" i="208"/>
  <c r="AH2284" i="208"/>
  <c r="O2272" i="208"/>
  <c r="AH2272" i="208"/>
  <c r="O2260" i="208"/>
  <c r="AH2260" i="208"/>
  <c r="O2248" i="208"/>
  <c r="AH2248" i="208"/>
  <c r="O2236" i="208"/>
  <c r="AH2236" i="208"/>
  <c r="O2224" i="208"/>
  <c r="AH2224" i="208"/>
  <c r="O2212" i="208"/>
  <c r="AH2212" i="208"/>
  <c r="O2200" i="208"/>
  <c r="AH2200" i="208"/>
  <c r="O2188" i="208"/>
  <c r="AH2188" i="208"/>
  <c r="O2176" i="208"/>
  <c r="AH2176" i="208"/>
  <c r="O2164" i="208"/>
  <c r="AH2164" i="208"/>
  <c r="O2152" i="208"/>
  <c r="AH2152" i="208"/>
  <c r="O2140" i="208"/>
  <c r="AH2140" i="208"/>
  <c r="O2128" i="208"/>
  <c r="AH2128" i="208"/>
  <c r="O2116" i="208"/>
  <c r="AH2116" i="208"/>
  <c r="O2104" i="208"/>
  <c r="AH2104" i="208"/>
  <c r="O2092" i="208"/>
  <c r="AH2092" i="208"/>
  <c r="O2080" i="208"/>
  <c r="AH2080" i="208"/>
  <c r="O2068" i="208"/>
  <c r="AH2068" i="208"/>
  <c r="O2056" i="208"/>
  <c r="AH2056" i="208"/>
  <c r="O2044" i="208"/>
  <c r="AH2044" i="208"/>
  <c r="O2032" i="208"/>
  <c r="AH2032" i="208"/>
  <c r="O2020" i="208"/>
  <c r="AH2020" i="208"/>
  <c r="O2008" i="208"/>
  <c r="AH2008" i="208"/>
  <c r="O1996" i="208"/>
  <c r="AH1996" i="208"/>
  <c r="O1984" i="208"/>
  <c r="AH1984" i="208"/>
  <c r="O1972" i="208"/>
  <c r="AH1972" i="208"/>
  <c r="O1960" i="208"/>
  <c r="AH1960" i="208"/>
  <c r="O1948" i="208"/>
  <c r="AH1948" i="208"/>
  <c r="O1936" i="208"/>
  <c r="AH1936" i="208"/>
  <c r="O1924" i="208"/>
  <c r="AH1924" i="208"/>
  <c r="O1912" i="208"/>
  <c r="AH1912" i="208"/>
  <c r="O1900" i="208"/>
  <c r="AH1900" i="208"/>
  <c r="O1888" i="208"/>
  <c r="AH1888" i="208"/>
  <c r="O1876" i="208"/>
  <c r="AH1876" i="208"/>
  <c r="O1864" i="208"/>
  <c r="AH1864" i="208"/>
  <c r="O1852" i="208"/>
  <c r="AH1852" i="208"/>
  <c r="O1840" i="208"/>
  <c r="AH1840" i="208"/>
  <c r="O1828" i="208"/>
  <c r="AH1828" i="208"/>
  <c r="O1816" i="208"/>
  <c r="AH1816" i="208"/>
  <c r="O1804" i="208"/>
  <c r="AH1804" i="208"/>
  <c r="O1792" i="208"/>
  <c r="AH1792" i="208"/>
  <c r="O1780" i="208"/>
  <c r="AH1780" i="208"/>
  <c r="O1768" i="208"/>
  <c r="AH1768" i="208"/>
  <c r="O1756" i="208"/>
  <c r="AH1756" i="208"/>
  <c r="O1744" i="208"/>
  <c r="AH1744" i="208"/>
  <c r="O1732" i="208"/>
  <c r="AH1732" i="208"/>
  <c r="O1720" i="208"/>
  <c r="AH1720" i="208"/>
  <c r="O1708" i="208"/>
  <c r="AH1708" i="208"/>
  <c r="O1696" i="208"/>
  <c r="AH1696" i="208"/>
  <c r="O1684" i="208"/>
  <c r="AH1684" i="208"/>
  <c r="O1672" i="208"/>
  <c r="AH1672" i="208"/>
  <c r="O1660" i="208"/>
  <c r="AH1660" i="208"/>
  <c r="O1648" i="208"/>
  <c r="AH1648" i="208"/>
  <c r="O1636" i="208"/>
  <c r="AH1636" i="208"/>
  <c r="O1624" i="208"/>
  <c r="AH1624" i="208"/>
  <c r="O1612" i="208"/>
  <c r="AH1612" i="208"/>
  <c r="O1600" i="208"/>
  <c r="AH1600" i="208"/>
  <c r="O1588" i="208"/>
  <c r="AH1588" i="208"/>
  <c r="O1576" i="208"/>
  <c r="AH1576" i="208"/>
  <c r="O1564" i="208"/>
  <c r="AH1564" i="208"/>
  <c r="O1552" i="208"/>
  <c r="AH1552" i="208"/>
  <c r="O1540" i="208"/>
  <c r="AH1540" i="208"/>
  <c r="O1528" i="208"/>
  <c r="AH1528" i="208"/>
  <c r="O1516" i="208"/>
  <c r="AH1516" i="208"/>
  <c r="O1504" i="208"/>
  <c r="AH1504" i="208"/>
  <c r="O1492" i="208"/>
  <c r="AH1492" i="208"/>
  <c r="O1480" i="208"/>
  <c r="AH1480" i="208"/>
  <c r="O1468" i="208"/>
  <c r="AH1468" i="208"/>
  <c r="O1456" i="208"/>
  <c r="AH1456" i="208"/>
  <c r="O1444" i="208"/>
  <c r="AH1444" i="208"/>
  <c r="O1432" i="208"/>
  <c r="AH1432" i="208"/>
  <c r="O1420" i="208"/>
  <c r="AH1420" i="208"/>
  <c r="O1408" i="208"/>
  <c r="AH1408" i="208"/>
  <c r="O1396" i="208"/>
  <c r="AH1396" i="208"/>
  <c r="O1384" i="208"/>
  <c r="AH1384" i="208"/>
  <c r="O1372" i="208"/>
  <c r="AH1372" i="208"/>
  <c r="O1360" i="208"/>
  <c r="AH1360" i="208"/>
  <c r="O1348" i="208"/>
  <c r="AH1348" i="208"/>
  <c r="O1336" i="208"/>
  <c r="AH1336" i="208"/>
  <c r="O1324" i="208"/>
  <c r="AH1324" i="208"/>
  <c r="O1312" i="208"/>
  <c r="AH1312" i="208"/>
  <c r="O1300" i="208"/>
  <c r="AH1300" i="208"/>
  <c r="O1288" i="208"/>
  <c r="AH1288" i="208"/>
  <c r="O1276" i="208"/>
  <c r="AH1276" i="208"/>
  <c r="O1264" i="208"/>
  <c r="AH1264" i="208"/>
  <c r="O1252" i="208"/>
  <c r="AH1252" i="208"/>
  <c r="O1240" i="208"/>
  <c r="AH1240" i="208"/>
  <c r="O1228" i="208"/>
  <c r="AH1228" i="208"/>
  <c r="O1216" i="208"/>
  <c r="AH1216" i="208"/>
  <c r="O1204" i="208"/>
  <c r="AH1204" i="208"/>
  <c r="O1192" i="208"/>
  <c r="AH1192" i="208"/>
  <c r="O1180" i="208"/>
  <c r="AH1180" i="208"/>
  <c r="O1168" i="208"/>
  <c r="AH1168" i="208"/>
  <c r="O1156" i="208"/>
  <c r="AH1156" i="208"/>
  <c r="O1144" i="208"/>
  <c r="AH1144" i="208"/>
  <c r="O1132" i="208"/>
  <c r="AH1132" i="208"/>
  <c r="O1120" i="208"/>
  <c r="AH1120" i="208"/>
  <c r="O1108" i="208"/>
  <c r="AH1108" i="208"/>
  <c r="O1096" i="208"/>
  <c r="AH1096" i="208"/>
  <c r="O1084" i="208"/>
  <c r="AH1084" i="208"/>
  <c r="O1072" i="208"/>
  <c r="AH1072" i="208"/>
  <c r="O1060" i="208"/>
  <c r="AH1060" i="208"/>
  <c r="O1048" i="208"/>
  <c r="AH1048" i="208"/>
  <c r="O2751" i="208"/>
  <c r="AH2751" i="208"/>
  <c r="O2667" i="208"/>
  <c r="AH2667" i="208"/>
  <c r="O2595" i="208"/>
  <c r="AH2595" i="208"/>
  <c r="O2463" i="208"/>
  <c r="AH2463" i="208"/>
  <c r="O2427" i="208"/>
  <c r="AH2427" i="208"/>
  <c r="O2331" i="208"/>
  <c r="AH2331" i="208"/>
  <c r="O2283" i="208"/>
  <c r="AH2283" i="208"/>
  <c r="O2163" i="208"/>
  <c r="AH2163" i="208"/>
  <c r="O1575" i="208"/>
  <c r="AH1575" i="208"/>
  <c r="O1203" i="208"/>
  <c r="AH1203" i="208"/>
  <c r="O1191" i="208"/>
  <c r="AH1191" i="208"/>
  <c r="O1167" i="208"/>
  <c r="AH1167" i="208"/>
  <c r="O1095" i="208"/>
  <c r="AH1095" i="208"/>
  <c r="O2720" i="208"/>
  <c r="AH2720" i="208"/>
  <c r="O2624" i="208"/>
  <c r="AH2624" i="208"/>
  <c r="O2576" i="208"/>
  <c r="AH2576" i="208"/>
  <c r="O2504" i="208"/>
  <c r="AH2504" i="208"/>
  <c r="O2480" i="208"/>
  <c r="AH2480" i="208"/>
  <c r="O2468" i="208"/>
  <c r="AH2468" i="208"/>
  <c r="O2456" i="208"/>
  <c r="AH2456" i="208"/>
  <c r="O2360" i="208"/>
  <c r="AH2360" i="208"/>
  <c r="O2336" i="208"/>
  <c r="AH2336" i="208"/>
  <c r="O2324" i="208"/>
  <c r="AH2324" i="208"/>
  <c r="O2168" i="208"/>
  <c r="AH2168" i="208"/>
  <c r="O2132" i="208"/>
  <c r="AH2132" i="208"/>
  <c r="O1940" i="208"/>
  <c r="AH1940" i="208"/>
  <c r="O1916" i="208"/>
  <c r="AH1916" i="208"/>
  <c r="O1904" i="208"/>
  <c r="AH1904" i="208"/>
  <c r="O1856" i="208"/>
  <c r="AH1856" i="208"/>
  <c r="O1844" i="208"/>
  <c r="AH1844" i="208"/>
  <c r="O1832" i="208"/>
  <c r="AH1832" i="208"/>
  <c r="O1784" i="208"/>
  <c r="AH1784" i="208"/>
  <c r="O1712" i="208"/>
  <c r="AH1712" i="208"/>
  <c r="O1700" i="208"/>
  <c r="AH1700" i="208"/>
  <c r="O1652" i="208"/>
  <c r="AH1652" i="208"/>
  <c r="O1628" i="208"/>
  <c r="AH1628" i="208"/>
  <c r="O1544" i="208"/>
  <c r="AH1544" i="208"/>
  <c r="O1340" i="208"/>
  <c r="AH1340" i="208"/>
  <c r="O1280" i="208"/>
  <c r="AH1280" i="208"/>
  <c r="O1268" i="208"/>
  <c r="AH1268" i="208"/>
  <c r="O1256" i="208"/>
  <c r="AH1256" i="208"/>
  <c r="O1172" i="208"/>
  <c r="AH1172" i="208"/>
  <c r="O1160" i="208"/>
  <c r="AH1160" i="208"/>
  <c r="O1088" i="208"/>
  <c r="AH1088" i="208"/>
  <c r="O1064" i="208"/>
  <c r="AH1064" i="208"/>
  <c r="O2975" i="208"/>
  <c r="AH2975" i="208"/>
  <c r="O2867" i="208"/>
  <c r="AH2867" i="208"/>
  <c r="O2855" i="208"/>
  <c r="AH2855" i="208"/>
  <c r="O2747" i="208"/>
  <c r="AH2747" i="208"/>
  <c r="O2447" i="208"/>
  <c r="AH2447" i="208"/>
  <c r="O2411" i="208"/>
  <c r="AH2411" i="208"/>
  <c r="O2351" i="208"/>
  <c r="AH2351" i="208"/>
  <c r="O2183" i="208"/>
  <c r="AH2183" i="208"/>
  <c r="O2111" i="208"/>
  <c r="AH2111" i="208"/>
  <c r="O2063" i="208"/>
  <c r="AH2063" i="208"/>
  <c r="O2039" i="208"/>
  <c r="AH2039" i="208"/>
  <c r="O2015" i="208"/>
  <c r="AH2015" i="208"/>
  <c r="O2003" i="208"/>
  <c r="AH2003" i="208"/>
  <c r="O2997" i="208"/>
  <c r="AH2997" i="208"/>
  <c r="O2985" i="208"/>
  <c r="AH2985" i="208"/>
  <c r="O2973" i="208"/>
  <c r="AH2973" i="208"/>
  <c r="O2961" i="208"/>
  <c r="AH2961" i="208"/>
  <c r="O2949" i="208"/>
  <c r="AH2949" i="208"/>
  <c r="O2937" i="208"/>
  <c r="AH2937" i="208"/>
  <c r="O2925" i="208"/>
  <c r="AH2925" i="208"/>
  <c r="O2913" i="208"/>
  <c r="AH2913" i="208"/>
  <c r="O2901" i="208"/>
  <c r="AH2901" i="208"/>
  <c r="O2889" i="208"/>
  <c r="AH2889" i="208"/>
  <c r="O2877" i="208"/>
  <c r="AH2877" i="208"/>
  <c r="O2865" i="208"/>
  <c r="AH2865" i="208"/>
  <c r="O2853" i="208"/>
  <c r="AH2853" i="208"/>
  <c r="O2841" i="208"/>
  <c r="AH2841" i="208"/>
  <c r="O2829" i="208"/>
  <c r="AH2829" i="208"/>
  <c r="O2817" i="208"/>
  <c r="AH2817" i="208"/>
  <c r="O2805" i="208"/>
  <c r="AH2805" i="208"/>
  <c r="O2793" i="208"/>
  <c r="AH2793" i="208"/>
  <c r="O2781" i="208"/>
  <c r="AH2781" i="208"/>
  <c r="O2769" i="208"/>
  <c r="AH2769" i="208"/>
  <c r="O2757" i="208"/>
  <c r="AH2757" i="208"/>
  <c r="O2745" i="208"/>
  <c r="AH2745" i="208"/>
  <c r="O2733" i="208"/>
  <c r="AH2733" i="208"/>
  <c r="O2721" i="208"/>
  <c r="AH2721" i="208"/>
  <c r="O2709" i="208"/>
  <c r="AH2709" i="208"/>
  <c r="O2697" i="208"/>
  <c r="AH2697" i="208"/>
  <c r="O2685" i="208"/>
  <c r="AH2685" i="208"/>
  <c r="O2673" i="208"/>
  <c r="AH2673" i="208"/>
  <c r="O2661" i="208"/>
  <c r="AH2661" i="208"/>
  <c r="O2649" i="208"/>
  <c r="AH2649" i="208"/>
  <c r="O2637" i="208"/>
  <c r="AH2637" i="208"/>
  <c r="O2625" i="208"/>
  <c r="AH2625" i="208"/>
  <c r="O2613" i="208"/>
  <c r="AH2613" i="208"/>
  <c r="O2601" i="208"/>
  <c r="AH2601" i="208"/>
  <c r="O2589" i="208"/>
  <c r="AH2589" i="208"/>
  <c r="O2577" i="208"/>
  <c r="AH2577" i="208"/>
  <c r="O2565" i="208"/>
  <c r="AH2565" i="208"/>
  <c r="O2553" i="208"/>
  <c r="AH2553" i="208"/>
  <c r="O2541" i="208"/>
  <c r="AH2541" i="208"/>
  <c r="O2529" i="208"/>
  <c r="AH2529" i="208"/>
  <c r="O2517" i="208"/>
  <c r="AH2517" i="208"/>
  <c r="O2505" i="208"/>
  <c r="AH2505" i="208"/>
  <c r="O2493" i="208"/>
  <c r="AH2493" i="208"/>
  <c r="O2481" i="208"/>
  <c r="AH2481" i="208"/>
  <c r="O2469" i="208"/>
  <c r="AH2469" i="208"/>
  <c r="O2457" i="208"/>
  <c r="AH2457" i="208"/>
  <c r="O2445" i="208"/>
  <c r="AH2445" i="208"/>
  <c r="O2433" i="208"/>
  <c r="AH2433" i="208"/>
  <c r="O2421" i="208"/>
  <c r="AH2421" i="208"/>
  <c r="O2409" i="208"/>
  <c r="AH2409" i="208"/>
  <c r="O2397" i="208"/>
  <c r="AH2397" i="208"/>
  <c r="O2385" i="208"/>
  <c r="AH2385" i="208"/>
  <c r="O2373" i="208"/>
  <c r="AH2373" i="208"/>
  <c r="O2361" i="208"/>
  <c r="AH2361" i="208"/>
  <c r="O2349" i="208"/>
  <c r="AH2349" i="208"/>
  <c r="O2337" i="208"/>
  <c r="AH2337" i="208"/>
  <c r="O2325" i="208"/>
  <c r="AH2325" i="208"/>
  <c r="O2313" i="208"/>
  <c r="AH2313" i="208"/>
  <c r="O2301" i="208"/>
  <c r="AH2301" i="208"/>
  <c r="O2289" i="208"/>
  <c r="AH2289" i="208"/>
  <c r="O2277" i="208"/>
  <c r="AH2277" i="208"/>
  <c r="O2265" i="208"/>
  <c r="AH2265" i="208"/>
  <c r="O2253" i="208"/>
  <c r="AH2253" i="208"/>
  <c r="O2241" i="208"/>
  <c r="AH2241" i="208"/>
  <c r="O2229" i="208"/>
  <c r="AH2229" i="208"/>
  <c r="O2217" i="208"/>
  <c r="AH2217" i="208"/>
  <c r="O2205" i="208"/>
  <c r="AH2205" i="208"/>
  <c r="O2193" i="208"/>
  <c r="AH2193" i="208"/>
  <c r="O2181" i="208"/>
  <c r="AH2181" i="208"/>
  <c r="O2169" i="208"/>
  <c r="AH2169" i="208"/>
  <c r="O2157" i="208"/>
  <c r="AH2157" i="208"/>
  <c r="O2145" i="208"/>
  <c r="AH2145" i="208"/>
  <c r="O2133" i="208"/>
  <c r="AH2133" i="208"/>
  <c r="O2121" i="208"/>
  <c r="AH2121" i="208"/>
  <c r="O2109" i="208"/>
  <c r="AH2109" i="208"/>
  <c r="O2097" i="208"/>
  <c r="AH2097" i="208"/>
  <c r="O2085" i="208"/>
  <c r="AH2085" i="208"/>
  <c r="O2073" i="208"/>
  <c r="AH2073" i="208"/>
  <c r="O2061" i="208"/>
  <c r="AH2061" i="208"/>
  <c r="O2049" i="208"/>
  <c r="AH2049" i="208"/>
  <c r="O2037" i="208"/>
  <c r="AH2037" i="208"/>
  <c r="O2025" i="208"/>
  <c r="AH2025" i="208"/>
  <c r="O2013" i="208"/>
  <c r="AH2013" i="208"/>
  <c r="O2001" i="208"/>
  <c r="AH2001" i="208"/>
  <c r="O1989" i="208"/>
  <c r="AH1989" i="208"/>
  <c r="O1977" i="208"/>
  <c r="AH1977" i="208"/>
  <c r="O1965" i="208"/>
  <c r="AH1965" i="208"/>
  <c r="O1953" i="208"/>
  <c r="AH1953" i="208"/>
  <c r="O1941" i="208"/>
  <c r="AH1941" i="208"/>
  <c r="O1929" i="208"/>
  <c r="AH1929" i="208"/>
  <c r="O1917" i="208"/>
  <c r="AH1917" i="208"/>
  <c r="O1905" i="208"/>
  <c r="AH1905" i="208"/>
  <c r="O1893" i="208"/>
  <c r="AH1893" i="208"/>
  <c r="O1881" i="208"/>
  <c r="AH1881" i="208"/>
  <c r="O1869" i="208"/>
  <c r="AH1869" i="208"/>
  <c r="O1857" i="208"/>
  <c r="AH1857" i="208"/>
  <c r="O1845" i="208"/>
  <c r="AH1845" i="208"/>
  <c r="O1833" i="208"/>
  <c r="AH1833" i="208"/>
  <c r="O1821" i="208"/>
  <c r="AH1821" i="208"/>
  <c r="O1809" i="208"/>
  <c r="AH1809" i="208"/>
  <c r="O1797" i="208"/>
  <c r="AH1797" i="208"/>
  <c r="O1785" i="208"/>
  <c r="AH1785" i="208"/>
  <c r="O1773" i="208"/>
  <c r="AH1773" i="208"/>
  <c r="O1761" i="208"/>
  <c r="AH1761" i="208"/>
  <c r="O1749" i="208"/>
  <c r="AH1749" i="208"/>
  <c r="O1737" i="208"/>
  <c r="AH1737" i="208"/>
  <c r="O1725" i="208"/>
  <c r="AH1725" i="208"/>
  <c r="O1713" i="208"/>
  <c r="AH1713" i="208"/>
  <c r="O1701" i="208"/>
  <c r="AH1701" i="208"/>
  <c r="O1689" i="208"/>
  <c r="AH1689" i="208"/>
  <c r="O1677" i="208"/>
  <c r="AH1677" i="208"/>
  <c r="O1665" i="208"/>
  <c r="AH1665" i="208"/>
  <c r="O1653" i="208"/>
  <c r="AH1653" i="208"/>
  <c r="O1641" i="208"/>
  <c r="AH1641" i="208"/>
  <c r="O1629" i="208"/>
  <c r="AH1629" i="208"/>
  <c r="O1617" i="208"/>
  <c r="AH1617" i="208"/>
  <c r="O1605" i="208"/>
  <c r="AH1605" i="208"/>
  <c r="O1593" i="208"/>
  <c r="AH1593" i="208"/>
  <c r="O1581" i="208"/>
  <c r="AH1581" i="208"/>
  <c r="O1569" i="208"/>
  <c r="AH1569" i="208"/>
  <c r="O1557" i="208"/>
  <c r="AH1557" i="208"/>
  <c r="O1545" i="208"/>
  <c r="AH1545" i="208"/>
  <c r="O1533" i="208"/>
  <c r="AH1533" i="208"/>
  <c r="O1521" i="208"/>
  <c r="AH1521" i="208"/>
  <c r="O1509" i="208"/>
  <c r="AH1509" i="208"/>
  <c r="O1497" i="208"/>
  <c r="AH1497" i="208"/>
  <c r="O1485" i="208"/>
  <c r="AH1485" i="208"/>
  <c r="O1473" i="208"/>
  <c r="AH1473" i="208"/>
  <c r="O1461" i="208"/>
  <c r="AH1461" i="208"/>
  <c r="O1449" i="208"/>
  <c r="AH1449" i="208"/>
  <c r="O1437" i="208"/>
  <c r="AH1437" i="208"/>
  <c r="O1425" i="208"/>
  <c r="AH1425" i="208"/>
  <c r="O1413" i="208"/>
  <c r="AH1413" i="208"/>
  <c r="O1401" i="208"/>
  <c r="AH1401" i="208"/>
  <c r="O1389" i="208"/>
  <c r="AH1389" i="208"/>
  <c r="O1377" i="208"/>
  <c r="AH1377" i="208"/>
  <c r="O1365" i="208"/>
  <c r="AH1365" i="208"/>
  <c r="O1353" i="208"/>
  <c r="AH1353" i="208"/>
  <c r="O1341" i="208"/>
  <c r="AH1341" i="208"/>
  <c r="O1329" i="208"/>
  <c r="AH1329" i="208"/>
  <c r="O1317" i="208"/>
  <c r="AH1317" i="208"/>
  <c r="O1305" i="208"/>
  <c r="AH1305" i="208"/>
  <c r="O1293" i="208"/>
  <c r="AH1293" i="208"/>
  <c r="O1281" i="208"/>
  <c r="AH1281" i="208"/>
  <c r="O1269" i="208"/>
  <c r="AH1269" i="208"/>
  <c r="O1257" i="208"/>
  <c r="AH1257" i="208"/>
  <c r="O1245" i="208"/>
  <c r="AH1245" i="208"/>
  <c r="O1233" i="208"/>
  <c r="AH1233" i="208"/>
  <c r="O1221" i="208"/>
  <c r="AH1221" i="208"/>
  <c r="O1209" i="208"/>
  <c r="AH1209" i="208"/>
  <c r="O1197" i="208"/>
  <c r="AH1197" i="208"/>
  <c r="O1185" i="208"/>
  <c r="AH1185" i="208"/>
  <c r="O1173" i="208"/>
  <c r="AH1173" i="208"/>
  <c r="O1161" i="208"/>
  <c r="AH1161" i="208"/>
  <c r="O1149" i="208"/>
  <c r="AH1149" i="208"/>
  <c r="O1137" i="208"/>
  <c r="AH1137" i="208"/>
  <c r="O1125" i="208"/>
  <c r="AH1125" i="208"/>
  <c r="O1113" i="208"/>
  <c r="AH1113" i="208"/>
  <c r="O1101" i="208"/>
  <c r="AH1101" i="208"/>
  <c r="O1089" i="208"/>
  <c r="AH1089" i="208"/>
  <c r="O1077" i="208"/>
  <c r="AH1077" i="208"/>
  <c r="O1065" i="208"/>
  <c r="AH1065" i="208"/>
  <c r="O1053" i="208"/>
  <c r="AH1053" i="208"/>
  <c r="O2631" i="208"/>
  <c r="AH2631" i="208"/>
  <c r="O2571" i="208"/>
  <c r="AH2571" i="208"/>
  <c r="O2379" i="208"/>
  <c r="AH2379" i="208"/>
  <c r="O2307" i="208"/>
  <c r="AH2307" i="208"/>
  <c r="O2235" i="208"/>
  <c r="AH2235" i="208"/>
  <c r="O1755" i="208"/>
  <c r="AH1755" i="208"/>
  <c r="O1659" i="208"/>
  <c r="AH1659" i="208"/>
  <c r="O1479" i="208"/>
  <c r="AH1479" i="208"/>
  <c r="O1347" i="208"/>
  <c r="AH1347" i="208"/>
  <c r="O1155" i="208"/>
  <c r="AH1155" i="208"/>
  <c r="O2900" i="208"/>
  <c r="AH2900" i="208"/>
  <c r="O2816" i="208"/>
  <c r="AH2816" i="208"/>
  <c r="O2780" i="208"/>
  <c r="AH2780" i="208"/>
  <c r="O2696" i="208"/>
  <c r="AH2696" i="208"/>
  <c r="O2660" i="208"/>
  <c r="AH2660" i="208"/>
  <c r="O2492" i="208"/>
  <c r="AH2492" i="208"/>
  <c r="O2432" i="208"/>
  <c r="AH2432" i="208"/>
  <c r="O2408" i="208"/>
  <c r="AH2408" i="208"/>
  <c r="O2396" i="208"/>
  <c r="AH2396" i="208"/>
  <c r="O2276" i="208"/>
  <c r="AH2276" i="208"/>
  <c r="O2264" i="208"/>
  <c r="AH2264" i="208"/>
  <c r="O1736" i="208"/>
  <c r="AH1736" i="208"/>
  <c r="O1664" i="208"/>
  <c r="AH1664" i="208"/>
  <c r="O1616" i="208"/>
  <c r="AH1616" i="208"/>
  <c r="O1532" i="208"/>
  <c r="AH1532" i="208"/>
  <c r="O2915" i="208"/>
  <c r="AH2915" i="208"/>
  <c r="O2903" i="208"/>
  <c r="AH2903" i="208"/>
  <c r="O2891" i="208"/>
  <c r="AH2891" i="208"/>
  <c r="O2735" i="208"/>
  <c r="AH2735" i="208"/>
  <c r="O2627" i="208"/>
  <c r="AH2627" i="208"/>
  <c r="O2591" i="208"/>
  <c r="AH2591" i="208"/>
  <c r="O2579" i="208"/>
  <c r="AH2579" i="208"/>
  <c r="O2543" i="208"/>
  <c r="AH2543" i="208"/>
  <c r="O2531" i="208"/>
  <c r="AH2531" i="208"/>
  <c r="O2387" i="208"/>
  <c r="AH2387" i="208"/>
  <c r="O2375" i="208"/>
  <c r="AH2375" i="208"/>
  <c r="O2315" i="208"/>
  <c r="AH2315" i="208"/>
  <c r="O2303" i="208"/>
  <c r="AH2303" i="208"/>
  <c r="O2291" i="208"/>
  <c r="AH2291" i="208"/>
  <c r="O2279" i="208"/>
  <c r="AH2279" i="208"/>
  <c r="O2255" i="208"/>
  <c r="AH2255" i="208"/>
  <c r="O2243" i="208"/>
  <c r="AH2243" i="208"/>
  <c r="O2207" i="208"/>
  <c r="AH2207" i="208"/>
  <c r="O2990" i="208"/>
  <c r="AH2990" i="208"/>
  <c r="O2978" i="208"/>
  <c r="AH2978" i="208"/>
  <c r="O2966" i="208"/>
  <c r="AH2966" i="208"/>
  <c r="O2954" i="208"/>
  <c r="AH2954" i="208"/>
  <c r="O2942" i="208"/>
  <c r="AH2942" i="208"/>
  <c r="O2930" i="208"/>
  <c r="AH2930" i="208"/>
  <c r="O2918" i="208"/>
  <c r="AH2918" i="208"/>
  <c r="O2906" i="208"/>
  <c r="AH2906" i="208"/>
  <c r="O2894" i="208"/>
  <c r="AH2894" i="208"/>
  <c r="O2882" i="208"/>
  <c r="AH2882" i="208"/>
  <c r="O2870" i="208"/>
  <c r="AH2870" i="208"/>
  <c r="O2858" i="208"/>
  <c r="AH2858" i="208"/>
  <c r="O2846" i="208"/>
  <c r="AH2846" i="208"/>
  <c r="O2834" i="208"/>
  <c r="AH2834" i="208"/>
  <c r="O2822" i="208"/>
  <c r="AH2822" i="208"/>
  <c r="O2810" i="208"/>
  <c r="AH2810" i="208"/>
  <c r="O2798" i="208"/>
  <c r="AH2798" i="208"/>
  <c r="O2786" i="208"/>
  <c r="AH2786" i="208"/>
  <c r="O2774" i="208"/>
  <c r="AH2774" i="208"/>
  <c r="O2762" i="208"/>
  <c r="AH2762" i="208"/>
  <c r="O2750" i="208"/>
  <c r="AH2750" i="208"/>
  <c r="O2738" i="208"/>
  <c r="AH2738" i="208"/>
  <c r="O2726" i="208"/>
  <c r="AH2726" i="208"/>
  <c r="O2714" i="208"/>
  <c r="AH2714" i="208"/>
  <c r="O2702" i="208"/>
  <c r="AH2702" i="208"/>
  <c r="O2690" i="208"/>
  <c r="AH2690" i="208"/>
  <c r="O2678" i="208"/>
  <c r="AH2678" i="208"/>
  <c r="O2666" i="208"/>
  <c r="AH2666" i="208"/>
  <c r="O2654" i="208"/>
  <c r="AH2654" i="208"/>
  <c r="O2642" i="208"/>
  <c r="AH2642" i="208"/>
  <c r="O2630" i="208"/>
  <c r="AH2630" i="208"/>
  <c r="O2618" i="208"/>
  <c r="AH2618" i="208"/>
  <c r="O2606" i="208"/>
  <c r="AH2606" i="208"/>
  <c r="O2594" i="208"/>
  <c r="AH2594" i="208"/>
  <c r="O2582" i="208"/>
  <c r="AH2582" i="208"/>
  <c r="O2570" i="208"/>
  <c r="AH2570" i="208"/>
  <c r="O2558" i="208"/>
  <c r="AH2558" i="208"/>
  <c r="O2546" i="208"/>
  <c r="AH2546" i="208"/>
  <c r="O2534" i="208"/>
  <c r="AH2534" i="208"/>
  <c r="O2522" i="208"/>
  <c r="AH2522" i="208"/>
  <c r="O2510" i="208"/>
  <c r="AH2510" i="208"/>
  <c r="O2498" i="208"/>
  <c r="AH2498" i="208"/>
  <c r="O2486" i="208"/>
  <c r="AH2486" i="208"/>
  <c r="O2474" i="208"/>
  <c r="AH2474" i="208"/>
  <c r="O2462" i="208"/>
  <c r="AH2462" i="208"/>
  <c r="O2450" i="208"/>
  <c r="AH2450" i="208"/>
  <c r="O2438" i="208"/>
  <c r="AH2438" i="208"/>
  <c r="O2426" i="208"/>
  <c r="AH2426" i="208"/>
  <c r="O2414" i="208"/>
  <c r="AH2414" i="208"/>
  <c r="O2402" i="208"/>
  <c r="AH2402" i="208"/>
  <c r="O2390" i="208"/>
  <c r="AH2390" i="208"/>
  <c r="O2378" i="208"/>
  <c r="AH2378" i="208"/>
  <c r="O2366" i="208"/>
  <c r="AH2366" i="208"/>
  <c r="O2354" i="208"/>
  <c r="AH2354" i="208"/>
  <c r="O2342" i="208"/>
  <c r="AH2342" i="208"/>
  <c r="O2330" i="208"/>
  <c r="AH2330" i="208"/>
  <c r="O2318" i="208"/>
  <c r="AH2318" i="208"/>
  <c r="O2306" i="208"/>
  <c r="AH2306" i="208"/>
  <c r="O2294" i="208"/>
  <c r="AH2294" i="208"/>
  <c r="O2282" i="208"/>
  <c r="AH2282" i="208"/>
  <c r="O2270" i="208"/>
  <c r="AH2270" i="208"/>
  <c r="O2258" i="208"/>
  <c r="AH2258" i="208"/>
  <c r="O2246" i="208"/>
  <c r="AH2246" i="208"/>
  <c r="O2234" i="208"/>
  <c r="AH2234" i="208"/>
  <c r="O2222" i="208"/>
  <c r="AH2222" i="208"/>
  <c r="O2210" i="208"/>
  <c r="AH2210" i="208"/>
  <c r="O2198" i="208"/>
  <c r="AH2198" i="208"/>
  <c r="O2186" i="208"/>
  <c r="AH2186" i="208"/>
  <c r="O2174" i="208"/>
  <c r="AH2174" i="208"/>
  <c r="O2162" i="208"/>
  <c r="AH2162" i="208"/>
  <c r="O2150" i="208"/>
  <c r="AH2150" i="208"/>
  <c r="O2138" i="208"/>
  <c r="AH2138" i="208"/>
  <c r="O2126" i="208"/>
  <c r="AH2126" i="208"/>
  <c r="O2114" i="208"/>
  <c r="AH2114" i="208"/>
  <c r="O2102" i="208"/>
  <c r="AH2102" i="208"/>
  <c r="O2090" i="208"/>
  <c r="AH2090" i="208"/>
  <c r="O2078" i="208"/>
  <c r="AH2078" i="208"/>
  <c r="O2066" i="208"/>
  <c r="AH2066" i="208"/>
  <c r="O2054" i="208"/>
  <c r="AH2054" i="208"/>
  <c r="O2042" i="208"/>
  <c r="AH2042" i="208"/>
  <c r="O2030" i="208"/>
  <c r="AH2030" i="208"/>
  <c r="O2018" i="208"/>
  <c r="AH2018" i="208"/>
  <c r="O2006" i="208"/>
  <c r="AH2006" i="208"/>
  <c r="O1994" i="208"/>
  <c r="AH1994" i="208"/>
  <c r="O1982" i="208"/>
  <c r="AH1982" i="208"/>
  <c r="O1970" i="208"/>
  <c r="AH1970" i="208"/>
  <c r="O1958" i="208"/>
  <c r="AH1958" i="208"/>
  <c r="O1946" i="208"/>
  <c r="AH1946" i="208"/>
  <c r="O1934" i="208"/>
  <c r="AH1934" i="208"/>
  <c r="O1922" i="208"/>
  <c r="AH1922" i="208"/>
  <c r="O1910" i="208"/>
  <c r="AH1910" i="208"/>
  <c r="O1898" i="208"/>
  <c r="AH1898" i="208"/>
  <c r="O1886" i="208"/>
  <c r="AH1886" i="208"/>
  <c r="O1874" i="208"/>
  <c r="AH1874" i="208"/>
  <c r="O1862" i="208"/>
  <c r="AH1862" i="208"/>
  <c r="O1850" i="208"/>
  <c r="AH1850" i="208"/>
  <c r="O1838" i="208"/>
  <c r="AH1838" i="208"/>
  <c r="O1826" i="208"/>
  <c r="AH1826" i="208"/>
  <c r="O1814" i="208"/>
  <c r="AH1814" i="208"/>
  <c r="O1802" i="208"/>
  <c r="AH1802" i="208"/>
  <c r="O1790" i="208"/>
  <c r="AH1790" i="208"/>
  <c r="O1778" i="208"/>
  <c r="AH1778" i="208"/>
  <c r="O1766" i="208"/>
  <c r="AH1766" i="208"/>
  <c r="O1754" i="208"/>
  <c r="AH1754" i="208"/>
  <c r="O1742" i="208"/>
  <c r="AH1742" i="208"/>
  <c r="O1730" i="208"/>
  <c r="AH1730" i="208"/>
  <c r="O1718" i="208"/>
  <c r="AH1718" i="208"/>
  <c r="O1706" i="208"/>
  <c r="AH1706" i="208"/>
  <c r="O1694" i="208"/>
  <c r="AH1694" i="208"/>
  <c r="O1682" i="208"/>
  <c r="AH1682" i="208"/>
  <c r="O1670" i="208"/>
  <c r="AH1670" i="208"/>
  <c r="O1658" i="208"/>
  <c r="AH1658" i="208"/>
  <c r="O1646" i="208"/>
  <c r="AH1646" i="208"/>
  <c r="O1634" i="208"/>
  <c r="AH1634" i="208"/>
  <c r="O1622" i="208"/>
  <c r="AH1622" i="208"/>
  <c r="O1610" i="208"/>
  <c r="AH1610" i="208"/>
  <c r="O1598" i="208"/>
  <c r="AH1598" i="208"/>
  <c r="O1586" i="208"/>
  <c r="AH1586" i="208"/>
  <c r="O1574" i="208"/>
  <c r="AH1574" i="208"/>
  <c r="O1562" i="208"/>
  <c r="AH1562" i="208"/>
  <c r="O1550" i="208"/>
  <c r="AH1550" i="208"/>
  <c r="O1538" i="208"/>
  <c r="AH1538" i="208"/>
  <c r="O1526" i="208"/>
  <c r="AH1526" i="208"/>
  <c r="O1514" i="208"/>
  <c r="AH1514" i="208"/>
  <c r="O1502" i="208"/>
  <c r="AH1502" i="208"/>
  <c r="O1490" i="208"/>
  <c r="AH1490" i="208"/>
  <c r="O1478" i="208"/>
  <c r="AH1478" i="208"/>
  <c r="O1466" i="208"/>
  <c r="AH1466" i="208"/>
  <c r="O1454" i="208"/>
  <c r="AH1454" i="208"/>
  <c r="O1442" i="208"/>
  <c r="AH1442" i="208"/>
  <c r="O1430" i="208"/>
  <c r="AH1430" i="208"/>
  <c r="O1418" i="208"/>
  <c r="AH1418" i="208"/>
  <c r="O1406" i="208"/>
  <c r="AH1406" i="208"/>
  <c r="O1394" i="208"/>
  <c r="AH1394" i="208"/>
  <c r="O1382" i="208"/>
  <c r="AH1382" i="208"/>
  <c r="O1370" i="208"/>
  <c r="AH1370" i="208"/>
  <c r="O1358" i="208"/>
  <c r="AH1358" i="208"/>
  <c r="O1346" i="208"/>
  <c r="AH1346" i="208"/>
  <c r="O1334" i="208"/>
  <c r="AH1334" i="208"/>
  <c r="O1322" i="208"/>
  <c r="AH1322" i="208"/>
  <c r="O1310" i="208"/>
  <c r="AH1310" i="208"/>
  <c r="O1298" i="208"/>
  <c r="AH1298" i="208"/>
  <c r="O1286" i="208"/>
  <c r="AH1286" i="208"/>
  <c r="O1274" i="208"/>
  <c r="AH1274" i="208"/>
  <c r="O1262" i="208"/>
  <c r="AH1262" i="208"/>
  <c r="O1250" i="208"/>
  <c r="AH1250" i="208"/>
  <c r="O1238" i="208"/>
  <c r="AH1238" i="208"/>
  <c r="O1226" i="208"/>
  <c r="AH1226" i="208"/>
  <c r="O1214" i="208"/>
  <c r="AH1214" i="208"/>
  <c r="O1202" i="208"/>
  <c r="AH1202" i="208"/>
  <c r="O1190" i="208"/>
  <c r="AH1190" i="208"/>
  <c r="O1178" i="208"/>
  <c r="AH1178" i="208"/>
  <c r="O1166" i="208"/>
  <c r="AH1166" i="208"/>
  <c r="O1154" i="208"/>
  <c r="AH1154" i="208"/>
  <c r="O1142" i="208"/>
  <c r="AH1142" i="208"/>
  <c r="O1130" i="208"/>
  <c r="AH1130" i="208"/>
  <c r="O1118" i="208"/>
  <c r="AH1118" i="208"/>
  <c r="O1106" i="208"/>
  <c r="AH1106" i="208"/>
  <c r="O1094" i="208"/>
  <c r="AH1094" i="208"/>
  <c r="O1082" i="208"/>
  <c r="AH1082" i="208"/>
  <c r="O1070" i="208"/>
  <c r="AH1070" i="208"/>
  <c r="O1058" i="208"/>
  <c r="AH1058" i="208"/>
  <c r="O1046" i="208"/>
  <c r="AH1046" i="208"/>
  <c r="O2979" i="208"/>
  <c r="AH2979" i="208"/>
  <c r="O2967" i="208"/>
  <c r="AH2967" i="208"/>
  <c r="O2955" i="208"/>
  <c r="AH2955" i="208"/>
  <c r="O2883" i="208"/>
  <c r="AH2883" i="208"/>
  <c r="O2691" i="208"/>
  <c r="AH2691" i="208"/>
  <c r="O2655" i="208"/>
  <c r="AH2655" i="208"/>
  <c r="O2319" i="208"/>
  <c r="AH2319" i="208"/>
  <c r="O2223" i="208"/>
  <c r="AH2223" i="208"/>
  <c r="O1803" i="208"/>
  <c r="AH1803" i="208"/>
  <c r="O1623" i="208"/>
  <c r="AH1623" i="208"/>
  <c r="O1467" i="208"/>
  <c r="AH1467" i="208"/>
  <c r="O1431" i="208"/>
  <c r="AH1431" i="208"/>
  <c r="O2996" i="208"/>
  <c r="AH2996" i="208"/>
  <c r="O2972" i="208"/>
  <c r="AH2972" i="208"/>
  <c r="O2960" i="208"/>
  <c r="AH2960" i="208"/>
  <c r="O2768" i="208"/>
  <c r="AH2768" i="208"/>
  <c r="O2744" i="208"/>
  <c r="AH2744" i="208"/>
  <c r="O2636" i="208"/>
  <c r="AH2636" i="208"/>
  <c r="O2300" i="208"/>
  <c r="AH2300" i="208"/>
  <c r="O2252" i="208"/>
  <c r="AH2252" i="208"/>
  <c r="O2156" i="208"/>
  <c r="AH2156" i="208"/>
  <c r="O2144" i="208"/>
  <c r="AH2144" i="208"/>
  <c r="O2084" i="208"/>
  <c r="AH2084" i="208"/>
  <c r="O2072" i="208"/>
  <c r="AH2072" i="208"/>
  <c r="O2036" i="208"/>
  <c r="AH2036" i="208"/>
  <c r="O2024" i="208"/>
  <c r="AH2024" i="208"/>
  <c r="O2012" i="208"/>
  <c r="AH2012" i="208"/>
  <c r="O2000" i="208"/>
  <c r="AH2000" i="208"/>
  <c r="O1928" i="208"/>
  <c r="AH1928" i="208"/>
  <c r="O1676" i="208"/>
  <c r="AH1676" i="208"/>
  <c r="O1640" i="208"/>
  <c r="AH1640" i="208"/>
  <c r="O1604" i="208"/>
  <c r="AH1604" i="208"/>
  <c r="O1568" i="208"/>
  <c r="AH1568" i="208"/>
  <c r="O1400" i="208"/>
  <c r="AH1400" i="208"/>
  <c r="O1244" i="208"/>
  <c r="AH1244" i="208"/>
  <c r="O1232" i="208"/>
  <c r="AH1232" i="208"/>
  <c r="O1184" i="208"/>
  <c r="AH1184" i="208"/>
  <c r="O2999" i="208"/>
  <c r="AH2999" i="208"/>
  <c r="O2963" i="208"/>
  <c r="AH2963" i="208"/>
  <c r="O2831" i="208"/>
  <c r="AH2831" i="208"/>
  <c r="O2819" i="208"/>
  <c r="AH2819" i="208"/>
  <c r="O2795" i="208"/>
  <c r="AH2795" i="208"/>
  <c r="O2783" i="208"/>
  <c r="AH2783" i="208"/>
  <c r="O2723" i="208"/>
  <c r="AH2723" i="208"/>
  <c r="O2687" i="208"/>
  <c r="AH2687" i="208"/>
  <c r="O2663" i="208"/>
  <c r="AH2663" i="208"/>
  <c r="O2567" i="208"/>
  <c r="AH2567" i="208"/>
  <c r="O2519" i="208"/>
  <c r="AH2519" i="208"/>
  <c r="O2435" i="208"/>
  <c r="AH2435" i="208"/>
  <c r="O2339" i="208"/>
  <c r="AH2339" i="208"/>
  <c r="O2267" i="208"/>
  <c r="AH2267" i="208"/>
  <c r="O2159" i="208"/>
  <c r="AH2159" i="208"/>
  <c r="O2099" i="208"/>
  <c r="AH2099" i="208"/>
  <c r="O2087" i="208"/>
  <c r="AH2087" i="208"/>
  <c r="O2995" i="208"/>
  <c r="AH2995" i="208"/>
  <c r="O2983" i="208"/>
  <c r="AH2983" i="208"/>
  <c r="O2971" i="208"/>
  <c r="AH2971" i="208"/>
  <c r="O2959" i="208"/>
  <c r="AH2959" i="208"/>
  <c r="O2947" i="208"/>
  <c r="AH2947" i="208"/>
  <c r="O2935" i="208"/>
  <c r="AH2935" i="208"/>
  <c r="O2923" i="208"/>
  <c r="AH2923" i="208"/>
  <c r="O2911" i="208"/>
  <c r="AH2911" i="208"/>
  <c r="O2899" i="208"/>
  <c r="AH2899" i="208"/>
  <c r="O2887" i="208"/>
  <c r="AH2887" i="208"/>
  <c r="O2875" i="208"/>
  <c r="AH2875" i="208"/>
  <c r="O2863" i="208"/>
  <c r="AH2863" i="208"/>
  <c r="O2851" i="208"/>
  <c r="AH2851" i="208"/>
  <c r="O2839" i="208"/>
  <c r="AH2839" i="208"/>
  <c r="O2827" i="208"/>
  <c r="AH2827" i="208"/>
  <c r="O2815" i="208"/>
  <c r="AH2815" i="208"/>
  <c r="O2803" i="208"/>
  <c r="AH2803" i="208"/>
  <c r="O2791" i="208"/>
  <c r="AH2791" i="208"/>
  <c r="O2779" i="208"/>
  <c r="AH2779" i="208"/>
  <c r="O2767" i="208"/>
  <c r="AH2767" i="208"/>
  <c r="O2755" i="208"/>
  <c r="AH2755" i="208"/>
  <c r="O2743" i="208"/>
  <c r="AH2743" i="208"/>
  <c r="O2731" i="208"/>
  <c r="AH2731" i="208"/>
  <c r="O2719" i="208"/>
  <c r="AH2719" i="208"/>
  <c r="O2707" i="208"/>
  <c r="AH2707" i="208"/>
  <c r="O2695" i="208"/>
  <c r="AH2695" i="208"/>
  <c r="O2683" i="208"/>
  <c r="AH2683" i="208"/>
  <c r="O2671" i="208"/>
  <c r="AH2671" i="208"/>
  <c r="O2659" i="208"/>
  <c r="AH2659" i="208"/>
  <c r="O2647" i="208"/>
  <c r="AH2647" i="208"/>
  <c r="O2635" i="208"/>
  <c r="AH2635" i="208"/>
  <c r="O2623" i="208"/>
  <c r="AH2623" i="208"/>
  <c r="O2611" i="208"/>
  <c r="AH2611" i="208"/>
  <c r="O2599" i="208"/>
  <c r="AH2599" i="208"/>
  <c r="O2587" i="208"/>
  <c r="AH2587" i="208"/>
  <c r="O2575" i="208"/>
  <c r="AH2575" i="208"/>
  <c r="O2563" i="208"/>
  <c r="AH2563" i="208"/>
  <c r="O2551" i="208"/>
  <c r="AH2551" i="208"/>
  <c r="O2539" i="208"/>
  <c r="AH2539" i="208"/>
  <c r="O2527" i="208"/>
  <c r="AH2527" i="208"/>
  <c r="O2515" i="208"/>
  <c r="AH2515" i="208"/>
  <c r="O2503" i="208"/>
  <c r="AH2503" i="208"/>
  <c r="O2491" i="208"/>
  <c r="AH2491" i="208"/>
  <c r="O2479" i="208"/>
  <c r="AH2479" i="208"/>
  <c r="O2467" i="208"/>
  <c r="AH2467" i="208"/>
  <c r="O2455" i="208"/>
  <c r="AH2455" i="208"/>
  <c r="O2443" i="208"/>
  <c r="AH2443" i="208"/>
  <c r="O2431" i="208"/>
  <c r="AH2431" i="208"/>
  <c r="O2419" i="208"/>
  <c r="AH2419" i="208"/>
  <c r="O2407" i="208"/>
  <c r="AH2407" i="208"/>
  <c r="O2395" i="208"/>
  <c r="AH2395" i="208"/>
  <c r="O2383" i="208"/>
  <c r="AH2383" i="208"/>
  <c r="O2371" i="208"/>
  <c r="AH2371" i="208"/>
  <c r="O2359" i="208"/>
  <c r="AH2359" i="208"/>
  <c r="O2347" i="208"/>
  <c r="AH2347" i="208"/>
  <c r="O2335" i="208"/>
  <c r="AH2335" i="208"/>
  <c r="O2323" i="208"/>
  <c r="AH2323" i="208"/>
  <c r="O2311" i="208"/>
  <c r="AH2311" i="208"/>
  <c r="O2299" i="208"/>
  <c r="AH2299" i="208"/>
  <c r="O2287" i="208"/>
  <c r="AH2287" i="208"/>
  <c r="O2275" i="208"/>
  <c r="AH2275" i="208"/>
  <c r="O2263" i="208"/>
  <c r="AH2263" i="208"/>
  <c r="O2251" i="208"/>
  <c r="AH2251" i="208"/>
  <c r="O2239" i="208"/>
  <c r="AH2239" i="208"/>
  <c r="O2227" i="208"/>
  <c r="AH2227" i="208"/>
  <c r="O2215" i="208"/>
  <c r="AH2215" i="208"/>
  <c r="O2203" i="208"/>
  <c r="AH2203" i="208"/>
  <c r="O2191" i="208"/>
  <c r="AH2191" i="208"/>
  <c r="O2179" i="208"/>
  <c r="AH2179" i="208"/>
  <c r="O2167" i="208"/>
  <c r="AH2167" i="208"/>
  <c r="O2155" i="208"/>
  <c r="AH2155" i="208"/>
  <c r="O2143" i="208"/>
  <c r="AH2143" i="208"/>
  <c r="O2131" i="208"/>
  <c r="AH2131" i="208"/>
  <c r="O2119" i="208"/>
  <c r="AH2119" i="208"/>
  <c r="O2107" i="208"/>
  <c r="AH2107" i="208"/>
  <c r="O2095" i="208"/>
  <c r="AH2095" i="208"/>
  <c r="O2083" i="208"/>
  <c r="AH2083" i="208"/>
  <c r="O2071" i="208"/>
  <c r="AH2071" i="208"/>
  <c r="O2059" i="208"/>
  <c r="AH2059" i="208"/>
  <c r="O2047" i="208"/>
  <c r="AH2047" i="208"/>
  <c r="O2035" i="208"/>
  <c r="AH2035" i="208"/>
  <c r="O2023" i="208"/>
  <c r="AH2023" i="208"/>
  <c r="O2011" i="208"/>
  <c r="AH2011" i="208"/>
  <c r="O1999" i="208"/>
  <c r="AH1999" i="208"/>
  <c r="O1987" i="208"/>
  <c r="AH1987" i="208"/>
  <c r="O1975" i="208"/>
  <c r="AH1975" i="208"/>
  <c r="O1963" i="208"/>
  <c r="AH1963" i="208"/>
  <c r="O1951" i="208"/>
  <c r="AH1951" i="208"/>
  <c r="O1939" i="208"/>
  <c r="AH1939" i="208"/>
  <c r="O1927" i="208"/>
  <c r="AH1927" i="208"/>
  <c r="O1915" i="208"/>
  <c r="AH1915" i="208"/>
  <c r="O1903" i="208"/>
  <c r="AH1903" i="208"/>
  <c r="O1891" i="208"/>
  <c r="AH1891" i="208"/>
  <c r="O1879" i="208"/>
  <c r="AH1879" i="208"/>
  <c r="O1867" i="208"/>
  <c r="AH1867" i="208"/>
  <c r="O1855" i="208"/>
  <c r="AH1855" i="208"/>
  <c r="O1843" i="208"/>
  <c r="AH1843" i="208"/>
  <c r="O1831" i="208"/>
  <c r="AH1831" i="208"/>
  <c r="O1819" i="208"/>
  <c r="AH1819" i="208"/>
  <c r="O1807" i="208"/>
  <c r="AH1807" i="208"/>
  <c r="O1795" i="208"/>
  <c r="AH1795" i="208"/>
  <c r="O1783" i="208"/>
  <c r="AH1783" i="208"/>
  <c r="O1771" i="208"/>
  <c r="AH1771" i="208"/>
  <c r="O1759" i="208"/>
  <c r="AH1759" i="208"/>
  <c r="O1747" i="208"/>
  <c r="AH1747" i="208"/>
  <c r="O1735" i="208"/>
  <c r="AH1735" i="208"/>
  <c r="O1723" i="208"/>
  <c r="AH1723" i="208"/>
  <c r="O1711" i="208"/>
  <c r="AH1711" i="208"/>
  <c r="O1699" i="208"/>
  <c r="AH1699" i="208"/>
  <c r="O1687" i="208"/>
  <c r="AH1687" i="208"/>
  <c r="O1675" i="208"/>
  <c r="AH1675" i="208"/>
  <c r="O1663" i="208"/>
  <c r="AH1663" i="208"/>
  <c r="O1651" i="208"/>
  <c r="AH1651" i="208"/>
  <c r="O1639" i="208"/>
  <c r="AH1639" i="208"/>
  <c r="O1627" i="208"/>
  <c r="AH1627" i="208"/>
  <c r="O1615" i="208"/>
  <c r="AH1615" i="208"/>
  <c r="O1603" i="208"/>
  <c r="AH1603" i="208"/>
  <c r="O1591" i="208"/>
  <c r="AH1591" i="208"/>
  <c r="O1579" i="208"/>
  <c r="AH1579" i="208"/>
  <c r="O1567" i="208"/>
  <c r="AH1567" i="208"/>
  <c r="O1555" i="208"/>
  <c r="AH1555" i="208"/>
  <c r="O1543" i="208"/>
  <c r="AH1543" i="208"/>
  <c r="O1531" i="208"/>
  <c r="AH1531" i="208"/>
  <c r="O1519" i="208"/>
  <c r="AH1519" i="208"/>
  <c r="O1507" i="208"/>
  <c r="AH1507" i="208"/>
  <c r="O1495" i="208"/>
  <c r="AH1495" i="208"/>
  <c r="O1483" i="208"/>
  <c r="AH1483" i="208"/>
  <c r="O1471" i="208"/>
  <c r="AH1471" i="208"/>
  <c r="O1459" i="208"/>
  <c r="AH1459" i="208"/>
  <c r="O1447" i="208"/>
  <c r="AH1447" i="208"/>
  <c r="O1435" i="208"/>
  <c r="AH1435" i="208"/>
  <c r="O1423" i="208"/>
  <c r="AH1423" i="208"/>
  <c r="O1411" i="208"/>
  <c r="AH1411" i="208"/>
  <c r="O1399" i="208"/>
  <c r="AH1399" i="208"/>
  <c r="O1387" i="208"/>
  <c r="AH1387" i="208"/>
  <c r="O1375" i="208"/>
  <c r="AH1375" i="208"/>
  <c r="O1363" i="208"/>
  <c r="AH1363" i="208"/>
  <c r="O1351" i="208"/>
  <c r="AH1351" i="208"/>
  <c r="O1339" i="208"/>
  <c r="AH1339" i="208"/>
  <c r="O1327" i="208"/>
  <c r="AH1327" i="208"/>
  <c r="O1315" i="208"/>
  <c r="AH1315" i="208"/>
  <c r="O1303" i="208"/>
  <c r="AH1303" i="208"/>
  <c r="O1291" i="208"/>
  <c r="AH1291" i="208"/>
  <c r="O1279" i="208"/>
  <c r="AH1279" i="208"/>
  <c r="O1267" i="208"/>
  <c r="AH1267" i="208"/>
  <c r="O1255" i="208"/>
  <c r="AH1255" i="208"/>
  <c r="O1243" i="208"/>
  <c r="AH1243" i="208"/>
  <c r="O1231" i="208"/>
  <c r="AH1231" i="208"/>
  <c r="O1219" i="208"/>
  <c r="AH1219" i="208"/>
  <c r="O1207" i="208"/>
  <c r="AH1207" i="208"/>
  <c r="O1195" i="208"/>
  <c r="AH1195" i="208"/>
  <c r="O1183" i="208"/>
  <c r="AH1183" i="208"/>
  <c r="O1171" i="208"/>
  <c r="AH1171" i="208"/>
  <c r="O1159" i="208"/>
  <c r="AH1159" i="208"/>
  <c r="O1147" i="208"/>
  <c r="AH1147" i="208"/>
  <c r="O1135" i="208"/>
  <c r="AH1135" i="208"/>
  <c r="O1123" i="208"/>
  <c r="AH1123" i="208"/>
  <c r="O1111" i="208"/>
  <c r="AH1111" i="208"/>
  <c r="O1099" i="208"/>
  <c r="AH1099" i="208"/>
  <c r="O1087" i="208"/>
  <c r="AH1087" i="208"/>
  <c r="O1075" i="208"/>
  <c r="AH1075" i="208"/>
  <c r="O1063" i="208"/>
  <c r="AH1063" i="208"/>
  <c r="O1051" i="208"/>
  <c r="AH1051" i="208"/>
  <c r="O2847" i="208"/>
  <c r="AH2847" i="208"/>
  <c r="O2787" i="208"/>
  <c r="AH2787" i="208"/>
  <c r="O2511" i="208"/>
  <c r="AH2511" i="208"/>
  <c r="O2475" i="208"/>
  <c r="AH2475" i="208"/>
  <c r="O2127" i="208"/>
  <c r="AH2127" i="208"/>
  <c r="O1947" i="208"/>
  <c r="AH1947" i="208"/>
  <c r="O1911" i="208"/>
  <c r="AH1911" i="208"/>
  <c r="O1899" i="208"/>
  <c r="AH1899" i="208"/>
  <c r="O1839" i="208"/>
  <c r="AH1839" i="208"/>
  <c r="O1791" i="208"/>
  <c r="AH1791" i="208"/>
  <c r="O1695" i="208"/>
  <c r="AH1695" i="208"/>
  <c r="O1563" i="208"/>
  <c r="AH1563" i="208"/>
  <c r="O1383" i="208"/>
  <c r="AH1383" i="208"/>
  <c r="O1239" i="208"/>
  <c r="AH1239" i="208"/>
  <c r="O1227" i="208"/>
  <c r="AH1227" i="208"/>
  <c r="O1215" i="208"/>
  <c r="AH1215" i="208"/>
  <c r="O1179" i="208"/>
  <c r="AH1179" i="208"/>
  <c r="O1143" i="208"/>
  <c r="AH1143" i="208"/>
  <c r="O1083" i="208"/>
  <c r="AH1083" i="208"/>
  <c r="O1071" i="208"/>
  <c r="AH1071" i="208"/>
  <c r="O1059" i="208"/>
  <c r="AH1059" i="208"/>
  <c r="O285" i="208"/>
  <c r="AH285" i="208"/>
  <c r="O2984" i="208"/>
  <c r="AH2984" i="208"/>
  <c r="O2924" i="208"/>
  <c r="AH2924" i="208"/>
  <c r="O2888" i="208"/>
  <c r="AH2888" i="208"/>
  <c r="O2876" i="208"/>
  <c r="AH2876" i="208"/>
  <c r="O2684" i="208"/>
  <c r="AH2684" i="208"/>
  <c r="O2516" i="208"/>
  <c r="AH2516" i="208"/>
  <c r="O2348" i="208"/>
  <c r="AH2348" i="208"/>
  <c r="O1796" i="208"/>
  <c r="AH1796" i="208"/>
  <c r="O1520" i="208"/>
  <c r="AH1520" i="208"/>
  <c r="O1508" i="208"/>
  <c r="AH1508" i="208"/>
  <c r="O1472" i="208"/>
  <c r="AH1472" i="208"/>
  <c r="O1436" i="208"/>
  <c r="AH1436" i="208"/>
  <c r="O1424" i="208"/>
  <c r="AH1424" i="208"/>
  <c r="O1412" i="208"/>
  <c r="AH1412" i="208"/>
  <c r="O1208" i="208"/>
  <c r="AH1208" i="208"/>
  <c r="O1148" i="208"/>
  <c r="AH1148" i="208"/>
  <c r="O1124" i="208"/>
  <c r="AH1124" i="208"/>
  <c r="O1112" i="208"/>
  <c r="AH1112" i="208"/>
  <c r="O3000" i="208"/>
  <c r="AH3000" i="208"/>
  <c r="O2988" i="208"/>
  <c r="AH2988" i="208"/>
  <c r="O2976" i="208"/>
  <c r="AH2976" i="208"/>
  <c r="O2964" i="208"/>
  <c r="AH2964" i="208"/>
  <c r="O2952" i="208"/>
  <c r="AH2952" i="208"/>
  <c r="O2940" i="208"/>
  <c r="AH2940" i="208"/>
  <c r="O2928" i="208"/>
  <c r="AH2928" i="208"/>
  <c r="O2916" i="208"/>
  <c r="AH2916" i="208"/>
  <c r="O2904" i="208"/>
  <c r="AH2904" i="208"/>
  <c r="O2892" i="208"/>
  <c r="AH2892" i="208"/>
  <c r="O2880" i="208"/>
  <c r="AH2880" i="208"/>
  <c r="O2868" i="208"/>
  <c r="AH2868" i="208"/>
  <c r="O2856" i="208"/>
  <c r="AH2856" i="208"/>
  <c r="O2844" i="208"/>
  <c r="AH2844" i="208"/>
  <c r="O2832" i="208"/>
  <c r="AH2832" i="208"/>
  <c r="O2820" i="208"/>
  <c r="AH2820" i="208"/>
  <c r="O2808" i="208"/>
  <c r="AH2808" i="208"/>
  <c r="O2796" i="208"/>
  <c r="AH2796" i="208"/>
  <c r="O2784" i="208"/>
  <c r="AH2784" i="208"/>
  <c r="O2772" i="208"/>
  <c r="AH2772" i="208"/>
  <c r="O2760" i="208"/>
  <c r="AH2760" i="208"/>
  <c r="O2748" i="208"/>
  <c r="AH2748" i="208"/>
  <c r="O2736" i="208"/>
  <c r="AH2736" i="208"/>
  <c r="O2724" i="208"/>
  <c r="AH2724" i="208"/>
  <c r="O2712" i="208"/>
  <c r="AH2712" i="208"/>
  <c r="O2700" i="208"/>
  <c r="AH2700" i="208"/>
  <c r="O2688" i="208"/>
  <c r="AH2688" i="208"/>
  <c r="O2676" i="208"/>
  <c r="AH2676" i="208"/>
  <c r="O2664" i="208"/>
  <c r="AH2664" i="208"/>
  <c r="O2652" i="208"/>
  <c r="AH2652" i="208"/>
  <c r="O2640" i="208"/>
  <c r="AH2640" i="208"/>
  <c r="O2628" i="208"/>
  <c r="AH2628" i="208"/>
  <c r="O2616" i="208"/>
  <c r="AH2616" i="208"/>
  <c r="O2604" i="208"/>
  <c r="AH2604" i="208"/>
  <c r="O2592" i="208"/>
  <c r="AH2592" i="208"/>
  <c r="O2580" i="208"/>
  <c r="AH2580" i="208"/>
  <c r="O2568" i="208"/>
  <c r="AH2568" i="208"/>
  <c r="O2556" i="208"/>
  <c r="AH2556" i="208"/>
  <c r="O2544" i="208"/>
  <c r="AH2544" i="208"/>
  <c r="O2532" i="208"/>
  <c r="AH2532" i="208"/>
  <c r="O2520" i="208"/>
  <c r="AH2520" i="208"/>
  <c r="O2508" i="208"/>
  <c r="AH2508" i="208"/>
  <c r="O2496" i="208"/>
  <c r="AH2496" i="208"/>
  <c r="O2484" i="208"/>
  <c r="AH2484" i="208"/>
  <c r="O2472" i="208"/>
  <c r="AH2472" i="208"/>
  <c r="O2460" i="208"/>
  <c r="AH2460" i="208"/>
  <c r="O2448" i="208"/>
  <c r="AH2448" i="208"/>
  <c r="O2436" i="208"/>
  <c r="AH2436" i="208"/>
  <c r="O2424" i="208"/>
  <c r="AH2424" i="208"/>
  <c r="O2412" i="208"/>
  <c r="AH2412" i="208"/>
  <c r="O2400" i="208"/>
  <c r="AH2400" i="208"/>
  <c r="O2388" i="208"/>
  <c r="AH2388" i="208"/>
  <c r="O2376" i="208"/>
  <c r="AH2376" i="208"/>
  <c r="O2364" i="208"/>
  <c r="AH2364" i="208"/>
  <c r="O2352" i="208"/>
  <c r="AH2352" i="208"/>
  <c r="O2340" i="208"/>
  <c r="AH2340" i="208"/>
  <c r="O2328" i="208"/>
  <c r="AH2328" i="208"/>
  <c r="O2316" i="208"/>
  <c r="AH2316" i="208"/>
  <c r="O2304" i="208"/>
  <c r="AH2304" i="208"/>
  <c r="O2292" i="208"/>
  <c r="AH2292" i="208"/>
  <c r="O2280" i="208"/>
  <c r="AH2280" i="208"/>
  <c r="O2268" i="208"/>
  <c r="AH2268" i="208"/>
  <c r="O2256" i="208"/>
  <c r="AH2256" i="208"/>
  <c r="O2244" i="208"/>
  <c r="AH2244" i="208"/>
  <c r="O2232" i="208"/>
  <c r="AH2232" i="208"/>
  <c r="O2220" i="208"/>
  <c r="AH2220" i="208"/>
  <c r="O2208" i="208"/>
  <c r="AH2208" i="208"/>
  <c r="O2196" i="208"/>
  <c r="AH2196" i="208"/>
  <c r="O2184" i="208"/>
  <c r="AH2184" i="208"/>
  <c r="O2172" i="208"/>
  <c r="AH2172" i="208"/>
  <c r="O2160" i="208"/>
  <c r="AH2160" i="208"/>
  <c r="O2148" i="208"/>
  <c r="AH2148" i="208"/>
  <c r="O2136" i="208"/>
  <c r="AH2136" i="208"/>
  <c r="O2124" i="208"/>
  <c r="AH2124" i="208"/>
  <c r="O2112" i="208"/>
  <c r="AH2112" i="208"/>
  <c r="O2100" i="208"/>
  <c r="AH2100" i="208"/>
  <c r="O2088" i="208"/>
  <c r="AH2088" i="208"/>
  <c r="O2076" i="208"/>
  <c r="AH2076" i="208"/>
  <c r="O2064" i="208"/>
  <c r="AH2064" i="208"/>
  <c r="O2052" i="208"/>
  <c r="AH2052" i="208"/>
  <c r="O2040" i="208"/>
  <c r="AH2040" i="208"/>
  <c r="O2028" i="208"/>
  <c r="AH2028" i="208"/>
  <c r="O2016" i="208"/>
  <c r="AH2016" i="208"/>
  <c r="O2004" i="208"/>
  <c r="AH2004" i="208"/>
  <c r="O1992" i="208"/>
  <c r="AH1992" i="208"/>
  <c r="O1980" i="208"/>
  <c r="AH1980" i="208"/>
  <c r="O1968" i="208"/>
  <c r="AH1968" i="208"/>
  <c r="O1956" i="208"/>
  <c r="AH1956" i="208"/>
  <c r="O1944" i="208"/>
  <c r="AH1944" i="208"/>
  <c r="O1932" i="208"/>
  <c r="AH1932" i="208"/>
  <c r="O1920" i="208"/>
  <c r="AH1920" i="208"/>
  <c r="O1908" i="208"/>
  <c r="AH1908" i="208"/>
  <c r="O1896" i="208"/>
  <c r="AH1896" i="208"/>
  <c r="O1884" i="208"/>
  <c r="AH1884" i="208"/>
  <c r="O1872" i="208"/>
  <c r="AH1872" i="208"/>
  <c r="O1860" i="208"/>
  <c r="AH1860" i="208"/>
  <c r="O1848" i="208"/>
  <c r="AH1848" i="208"/>
  <c r="O1836" i="208"/>
  <c r="AH1836" i="208"/>
  <c r="O1824" i="208"/>
  <c r="AH1824" i="208"/>
  <c r="O1812" i="208"/>
  <c r="AH1812" i="208"/>
  <c r="O1800" i="208"/>
  <c r="AH1800" i="208"/>
  <c r="O1788" i="208"/>
  <c r="AH1788" i="208"/>
  <c r="O1776" i="208"/>
  <c r="AH1776" i="208"/>
  <c r="O1764" i="208"/>
  <c r="AH1764" i="208"/>
  <c r="O1752" i="208"/>
  <c r="AH1752" i="208"/>
  <c r="O1740" i="208"/>
  <c r="AH1740" i="208"/>
  <c r="O1728" i="208"/>
  <c r="AH1728" i="208"/>
  <c r="O1716" i="208"/>
  <c r="AH1716" i="208"/>
  <c r="O1704" i="208"/>
  <c r="AH1704" i="208"/>
  <c r="O1692" i="208"/>
  <c r="AH1692" i="208"/>
  <c r="O1680" i="208"/>
  <c r="AH1680" i="208"/>
  <c r="O1668" i="208"/>
  <c r="AH1668" i="208"/>
  <c r="O1656" i="208"/>
  <c r="AH1656" i="208"/>
  <c r="O1644" i="208"/>
  <c r="AH1644" i="208"/>
  <c r="O1632" i="208"/>
  <c r="AH1632" i="208"/>
  <c r="O1620" i="208"/>
  <c r="AH1620" i="208"/>
  <c r="O1608" i="208"/>
  <c r="AH1608" i="208"/>
  <c r="O1596" i="208"/>
  <c r="AH1596" i="208"/>
  <c r="O1584" i="208"/>
  <c r="AH1584" i="208"/>
  <c r="O1572" i="208"/>
  <c r="AH1572" i="208"/>
  <c r="O1560" i="208"/>
  <c r="AH1560" i="208"/>
  <c r="O1548" i="208"/>
  <c r="AH1548" i="208"/>
  <c r="O1536" i="208"/>
  <c r="AH1536" i="208"/>
  <c r="O1524" i="208"/>
  <c r="AH1524" i="208"/>
  <c r="O1512" i="208"/>
  <c r="AH1512" i="208"/>
  <c r="O1500" i="208"/>
  <c r="AH1500" i="208"/>
  <c r="O1488" i="208"/>
  <c r="AH1488" i="208"/>
  <c r="O1476" i="208"/>
  <c r="AH1476" i="208"/>
  <c r="O1464" i="208"/>
  <c r="AH1464" i="208"/>
  <c r="O1452" i="208"/>
  <c r="AH1452" i="208"/>
  <c r="O1440" i="208"/>
  <c r="AH1440" i="208"/>
  <c r="O1428" i="208"/>
  <c r="AH1428" i="208"/>
  <c r="O1416" i="208"/>
  <c r="AH1416" i="208"/>
  <c r="O1404" i="208"/>
  <c r="AH1404" i="208"/>
  <c r="O1392" i="208"/>
  <c r="AH1392" i="208"/>
  <c r="O1380" i="208"/>
  <c r="AH1380" i="208"/>
  <c r="O1368" i="208"/>
  <c r="AH1368" i="208"/>
  <c r="O1356" i="208"/>
  <c r="AH1356" i="208"/>
  <c r="O1344" i="208"/>
  <c r="AH1344" i="208"/>
  <c r="O1332" i="208"/>
  <c r="AH1332" i="208"/>
  <c r="O1320" i="208"/>
  <c r="AH1320" i="208"/>
  <c r="O1308" i="208"/>
  <c r="AH1308" i="208"/>
  <c r="O1296" i="208"/>
  <c r="AH1296" i="208"/>
  <c r="O1284" i="208"/>
  <c r="AH1284" i="208"/>
  <c r="O1272" i="208"/>
  <c r="AH1272" i="208"/>
  <c r="O1260" i="208"/>
  <c r="AH1260" i="208"/>
  <c r="O1248" i="208"/>
  <c r="AH1248" i="208"/>
  <c r="O1236" i="208"/>
  <c r="AH1236" i="208"/>
  <c r="O1224" i="208"/>
  <c r="AH1224" i="208"/>
  <c r="O1212" i="208"/>
  <c r="AH1212" i="208"/>
  <c r="O1200" i="208"/>
  <c r="AH1200" i="208"/>
  <c r="O1188" i="208"/>
  <c r="AH1188" i="208"/>
  <c r="O1176" i="208"/>
  <c r="AH1176" i="208"/>
  <c r="O1164" i="208"/>
  <c r="AH1164" i="208"/>
  <c r="O1152" i="208"/>
  <c r="AH1152" i="208"/>
  <c r="O1140" i="208"/>
  <c r="AH1140" i="208"/>
  <c r="O1128" i="208"/>
  <c r="AH1128" i="208"/>
  <c r="O1116" i="208"/>
  <c r="AH1116" i="208"/>
  <c r="O1104" i="208"/>
  <c r="AH1104" i="208"/>
  <c r="O1092" i="208"/>
  <c r="AH1092" i="208"/>
  <c r="O1080" i="208"/>
  <c r="AH1080" i="208"/>
  <c r="O1068" i="208"/>
  <c r="AH1068" i="208"/>
  <c r="O1056" i="208"/>
  <c r="AH1056" i="208"/>
  <c r="O1044" i="208"/>
  <c r="AH1044" i="208"/>
  <c r="O2823" i="208"/>
  <c r="AH2823" i="208"/>
  <c r="O2811" i="208"/>
  <c r="AH2811" i="208"/>
  <c r="O2775" i="208"/>
  <c r="AH2775" i="208"/>
  <c r="O2619" i="208"/>
  <c r="AH2619" i="208"/>
  <c r="O2535" i="208"/>
  <c r="AH2535" i="208"/>
  <c r="O2439" i="208"/>
  <c r="AH2439" i="208"/>
  <c r="O2343" i="208"/>
  <c r="AH2343" i="208"/>
  <c r="O2199" i="208"/>
  <c r="AH2199" i="208"/>
  <c r="O2115" i="208"/>
  <c r="AH2115" i="208"/>
  <c r="O2103" i="208"/>
  <c r="AH2103" i="208"/>
  <c r="O2091" i="208"/>
  <c r="AH2091" i="208"/>
  <c r="O1995" i="208"/>
  <c r="AH1995" i="208"/>
  <c r="O1971" i="208"/>
  <c r="AH1971" i="208"/>
  <c r="O1923" i="208"/>
  <c r="AH1923" i="208"/>
  <c r="O1815" i="208"/>
  <c r="AH1815" i="208"/>
  <c r="O1455" i="208"/>
  <c r="AH1455" i="208"/>
  <c r="O1419" i="208"/>
  <c r="AH1419" i="208"/>
  <c r="O1311" i="208"/>
  <c r="AH1311" i="208"/>
  <c r="O261" i="208"/>
  <c r="AH261" i="208"/>
  <c r="O2936" i="208"/>
  <c r="AH2936" i="208"/>
  <c r="O2792" i="208"/>
  <c r="AH2792" i="208"/>
  <c r="O2756" i="208"/>
  <c r="AH2756" i="208"/>
  <c r="O2672" i="208"/>
  <c r="AH2672" i="208"/>
  <c r="O2600" i="208"/>
  <c r="AH2600" i="208"/>
  <c r="O2564" i="208"/>
  <c r="AH2564" i="208"/>
  <c r="O2528" i="208"/>
  <c r="AH2528" i="208"/>
  <c r="O2444" i="208"/>
  <c r="AH2444" i="208"/>
  <c r="O2204" i="208"/>
  <c r="AH2204" i="208"/>
  <c r="O2987" i="208"/>
  <c r="AH2987" i="208"/>
  <c r="O2951" i="208"/>
  <c r="AH2951" i="208"/>
  <c r="O2939" i="208"/>
  <c r="AH2939" i="208"/>
  <c r="O2927" i="208"/>
  <c r="AH2927" i="208"/>
  <c r="O2843" i="208"/>
  <c r="AH2843" i="208"/>
  <c r="O2807" i="208"/>
  <c r="AH2807" i="208"/>
  <c r="O2771" i="208"/>
  <c r="AH2771" i="208"/>
  <c r="O2759" i="208"/>
  <c r="AH2759" i="208"/>
  <c r="O2711" i="208"/>
  <c r="AH2711" i="208"/>
  <c r="O2675" i="208"/>
  <c r="AH2675" i="208"/>
  <c r="O2639" i="208"/>
  <c r="AH2639" i="208"/>
  <c r="O2615" i="208"/>
  <c r="AH2615" i="208"/>
  <c r="O2327" i="208"/>
  <c r="AH2327" i="208"/>
  <c r="O2231" i="208"/>
  <c r="AH2231" i="208"/>
  <c r="O2195" i="208"/>
  <c r="AH2195" i="208"/>
  <c r="O2171" i="208"/>
  <c r="AH2171" i="208"/>
  <c r="O2147" i="208"/>
  <c r="AH2147" i="208"/>
  <c r="O2135" i="208"/>
  <c r="AH2135" i="208"/>
  <c r="O2075" i="208"/>
  <c r="AH2075" i="208"/>
  <c r="O2993" i="208"/>
  <c r="AH2993" i="208"/>
  <c r="O2981" i="208"/>
  <c r="AH2981" i="208"/>
  <c r="O2969" i="208"/>
  <c r="AH2969" i="208"/>
  <c r="O2957" i="208"/>
  <c r="AH2957" i="208"/>
  <c r="O2945" i="208"/>
  <c r="AH2945" i="208"/>
  <c r="O2933" i="208"/>
  <c r="AH2933" i="208"/>
  <c r="O2921" i="208"/>
  <c r="AH2921" i="208"/>
  <c r="O2909" i="208"/>
  <c r="AH2909" i="208"/>
  <c r="O2897" i="208"/>
  <c r="AH2897" i="208"/>
  <c r="O2885" i="208"/>
  <c r="AH2885" i="208"/>
  <c r="O2873" i="208"/>
  <c r="AH2873" i="208"/>
  <c r="O2861" i="208"/>
  <c r="AH2861" i="208"/>
  <c r="O2849" i="208"/>
  <c r="AH2849" i="208"/>
  <c r="O2837" i="208"/>
  <c r="AH2837" i="208"/>
  <c r="O2825" i="208"/>
  <c r="AH2825" i="208"/>
  <c r="O2813" i="208"/>
  <c r="AH2813" i="208"/>
  <c r="O2801" i="208"/>
  <c r="AH2801" i="208"/>
  <c r="O2789" i="208"/>
  <c r="AH2789" i="208"/>
  <c r="O2777" i="208"/>
  <c r="AH2777" i="208"/>
  <c r="O2765" i="208"/>
  <c r="AH2765" i="208"/>
  <c r="O2753" i="208"/>
  <c r="AH2753" i="208"/>
  <c r="O2741" i="208"/>
  <c r="AH2741" i="208"/>
  <c r="O2729" i="208"/>
  <c r="AH2729" i="208"/>
  <c r="O2717" i="208"/>
  <c r="AH2717" i="208"/>
  <c r="O2705" i="208"/>
  <c r="AH2705" i="208"/>
  <c r="O2693" i="208"/>
  <c r="AH2693" i="208"/>
  <c r="O2681" i="208"/>
  <c r="AH2681" i="208"/>
  <c r="O2669" i="208"/>
  <c r="AH2669" i="208"/>
  <c r="O2657" i="208"/>
  <c r="AH2657" i="208"/>
  <c r="O2645" i="208"/>
  <c r="AH2645" i="208"/>
  <c r="O2633" i="208"/>
  <c r="AH2633" i="208"/>
  <c r="O2621" i="208"/>
  <c r="AH2621" i="208"/>
  <c r="O2609" i="208"/>
  <c r="AH2609" i="208"/>
  <c r="O2597" i="208"/>
  <c r="AH2597" i="208"/>
  <c r="O2585" i="208"/>
  <c r="AH2585" i="208"/>
  <c r="O2573" i="208"/>
  <c r="AH2573" i="208"/>
  <c r="O2561" i="208"/>
  <c r="AH2561" i="208"/>
  <c r="O2549" i="208"/>
  <c r="AH2549" i="208"/>
  <c r="O2537" i="208"/>
  <c r="AH2537" i="208"/>
  <c r="O2525" i="208"/>
  <c r="AH2525" i="208"/>
  <c r="O2513" i="208"/>
  <c r="AH2513" i="208"/>
  <c r="O2501" i="208"/>
  <c r="AH2501" i="208"/>
  <c r="O2489" i="208"/>
  <c r="AH2489" i="208"/>
  <c r="O2477" i="208"/>
  <c r="AH2477" i="208"/>
  <c r="O2465" i="208"/>
  <c r="AH2465" i="208"/>
  <c r="O2453" i="208"/>
  <c r="AH2453" i="208"/>
  <c r="O2441" i="208"/>
  <c r="AH2441" i="208"/>
  <c r="O2429" i="208"/>
  <c r="AH2429" i="208"/>
  <c r="O2417" i="208"/>
  <c r="AH2417" i="208"/>
  <c r="O2405" i="208"/>
  <c r="AH2405" i="208"/>
  <c r="O2393" i="208"/>
  <c r="AH2393" i="208"/>
  <c r="O2381" i="208"/>
  <c r="AH2381" i="208"/>
  <c r="O2369" i="208"/>
  <c r="AH2369" i="208"/>
  <c r="O2357" i="208"/>
  <c r="AH2357" i="208"/>
  <c r="O2345" i="208"/>
  <c r="AH2345" i="208"/>
  <c r="O2333" i="208"/>
  <c r="AH2333" i="208"/>
  <c r="O2321" i="208"/>
  <c r="AH2321" i="208"/>
  <c r="O2309" i="208"/>
  <c r="AH2309" i="208"/>
  <c r="O2297" i="208"/>
  <c r="AH2297" i="208"/>
  <c r="O2285" i="208"/>
  <c r="AH2285" i="208"/>
  <c r="O2273" i="208"/>
  <c r="AH2273" i="208"/>
  <c r="O2261" i="208"/>
  <c r="AH2261" i="208"/>
  <c r="O2249" i="208"/>
  <c r="AH2249" i="208"/>
  <c r="O2237" i="208"/>
  <c r="AH2237" i="208"/>
  <c r="O2225" i="208"/>
  <c r="AH2225" i="208"/>
  <c r="O2213" i="208"/>
  <c r="AH2213" i="208"/>
  <c r="O2201" i="208"/>
  <c r="AH2201" i="208"/>
  <c r="O2189" i="208"/>
  <c r="AH2189" i="208"/>
  <c r="O2177" i="208"/>
  <c r="AH2177" i="208"/>
  <c r="O2165" i="208"/>
  <c r="AH2165" i="208"/>
  <c r="O2153" i="208"/>
  <c r="AH2153" i="208"/>
  <c r="O2141" i="208"/>
  <c r="AH2141" i="208"/>
  <c r="O2129" i="208"/>
  <c r="AH2129" i="208"/>
  <c r="O2117" i="208"/>
  <c r="AH2117" i="208"/>
  <c r="O2105" i="208"/>
  <c r="AH2105" i="208"/>
  <c r="O2093" i="208"/>
  <c r="AH2093" i="208"/>
  <c r="O2081" i="208"/>
  <c r="AH2081" i="208"/>
  <c r="O2069" i="208"/>
  <c r="AH2069" i="208"/>
  <c r="O2057" i="208"/>
  <c r="AH2057" i="208"/>
  <c r="O2045" i="208"/>
  <c r="AH2045" i="208"/>
  <c r="O2033" i="208"/>
  <c r="AH2033" i="208"/>
  <c r="O2021" i="208"/>
  <c r="AH2021" i="208"/>
  <c r="O2009" i="208"/>
  <c r="AH2009" i="208"/>
  <c r="O1997" i="208"/>
  <c r="AH1997" i="208"/>
  <c r="O1985" i="208"/>
  <c r="AH1985" i="208"/>
  <c r="O1973" i="208"/>
  <c r="AH1973" i="208"/>
  <c r="O1961" i="208"/>
  <c r="AH1961" i="208"/>
  <c r="O1949" i="208"/>
  <c r="AH1949" i="208"/>
  <c r="O1937" i="208"/>
  <c r="AH1937" i="208"/>
  <c r="O1925" i="208"/>
  <c r="AH1925" i="208"/>
  <c r="O1913" i="208"/>
  <c r="AH1913" i="208"/>
  <c r="O1901" i="208"/>
  <c r="AH1901" i="208"/>
  <c r="O1889" i="208"/>
  <c r="AH1889" i="208"/>
  <c r="O1877" i="208"/>
  <c r="AH1877" i="208"/>
  <c r="O1865" i="208"/>
  <c r="AH1865" i="208"/>
  <c r="O1853" i="208"/>
  <c r="AH1853" i="208"/>
  <c r="O1841" i="208"/>
  <c r="AH1841" i="208"/>
  <c r="O1829" i="208"/>
  <c r="AH1829" i="208"/>
  <c r="O1817" i="208"/>
  <c r="AH1817" i="208"/>
  <c r="O1805" i="208"/>
  <c r="AH1805" i="208"/>
  <c r="O1793" i="208"/>
  <c r="AH1793" i="208"/>
  <c r="O1781" i="208"/>
  <c r="AH1781" i="208"/>
  <c r="O1769" i="208"/>
  <c r="AH1769" i="208"/>
  <c r="O1757" i="208"/>
  <c r="AH1757" i="208"/>
  <c r="O1745" i="208"/>
  <c r="AH1745" i="208"/>
  <c r="O1733" i="208"/>
  <c r="AH1733" i="208"/>
  <c r="O1721" i="208"/>
  <c r="AH1721" i="208"/>
  <c r="O1709" i="208"/>
  <c r="AH1709" i="208"/>
  <c r="O1697" i="208"/>
  <c r="AH1697" i="208"/>
  <c r="O1685" i="208"/>
  <c r="AH1685" i="208"/>
  <c r="O1673" i="208"/>
  <c r="AH1673" i="208"/>
  <c r="O1661" i="208"/>
  <c r="AH1661" i="208"/>
  <c r="O1649" i="208"/>
  <c r="AH1649" i="208"/>
  <c r="O1637" i="208"/>
  <c r="AH1637" i="208"/>
  <c r="O1625" i="208"/>
  <c r="AH1625" i="208"/>
  <c r="O1613" i="208"/>
  <c r="AH1613" i="208"/>
  <c r="O1601" i="208"/>
  <c r="AH1601" i="208"/>
  <c r="O1589" i="208"/>
  <c r="AH1589" i="208"/>
  <c r="O1577" i="208"/>
  <c r="AH1577" i="208"/>
  <c r="O1565" i="208"/>
  <c r="AH1565" i="208"/>
  <c r="O1553" i="208"/>
  <c r="AH1553" i="208"/>
  <c r="O1541" i="208"/>
  <c r="AH1541" i="208"/>
  <c r="O1529" i="208"/>
  <c r="AH1529" i="208"/>
  <c r="O1517" i="208"/>
  <c r="AH1517" i="208"/>
  <c r="O1505" i="208"/>
  <c r="AH1505" i="208"/>
  <c r="O1493" i="208"/>
  <c r="AH1493" i="208"/>
  <c r="O1481" i="208"/>
  <c r="AH1481" i="208"/>
  <c r="O1469" i="208"/>
  <c r="AH1469" i="208"/>
  <c r="O1457" i="208"/>
  <c r="AH1457" i="208"/>
  <c r="O1445" i="208"/>
  <c r="AH1445" i="208"/>
  <c r="O1433" i="208"/>
  <c r="AH1433" i="208"/>
  <c r="O1421" i="208"/>
  <c r="AH1421" i="208"/>
  <c r="O1409" i="208"/>
  <c r="AH1409" i="208"/>
  <c r="O1397" i="208"/>
  <c r="AH1397" i="208"/>
  <c r="O1385" i="208"/>
  <c r="AH1385" i="208"/>
  <c r="O1373" i="208"/>
  <c r="AH1373" i="208"/>
  <c r="O1361" i="208"/>
  <c r="AH1361" i="208"/>
  <c r="O1349" i="208"/>
  <c r="AH1349" i="208"/>
  <c r="O1337" i="208"/>
  <c r="AH1337" i="208"/>
  <c r="O1325" i="208"/>
  <c r="AH1325" i="208"/>
  <c r="O1313" i="208"/>
  <c r="AH1313" i="208"/>
  <c r="O1301" i="208"/>
  <c r="AH1301" i="208"/>
  <c r="O1289" i="208"/>
  <c r="AH1289" i="208"/>
  <c r="O1277" i="208"/>
  <c r="AH1277" i="208"/>
  <c r="O1265" i="208"/>
  <c r="AH1265" i="208"/>
  <c r="O1253" i="208"/>
  <c r="AH1253" i="208"/>
  <c r="O1241" i="208"/>
  <c r="AH1241" i="208"/>
  <c r="O1229" i="208"/>
  <c r="AH1229" i="208"/>
  <c r="O1217" i="208"/>
  <c r="AH1217" i="208"/>
  <c r="O1205" i="208"/>
  <c r="AH1205" i="208"/>
  <c r="O1193" i="208"/>
  <c r="AH1193" i="208"/>
  <c r="O1181" i="208"/>
  <c r="AH1181" i="208"/>
  <c r="O1169" i="208"/>
  <c r="AH1169" i="208"/>
  <c r="O1157" i="208"/>
  <c r="AH1157" i="208"/>
  <c r="O1145" i="208"/>
  <c r="AH1145" i="208"/>
  <c r="O1133" i="208"/>
  <c r="AH1133" i="208"/>
  <c r="O1121" i="208"/>
  <c r="AH1121" i="208"/>
  <c r="O1109" i="208"/>
  <c r="AH1109" i="208"/>
  <c r="O1097" i="208"/>
  <c r="AH1097" i="208"/>
  <c r="O1085" i="208"/>
  <c r="AH1085" i="208"/>
  <c r="O1073" i="208"/>
  <c r="AH1073" i="208"/>
  <c r="O1061" i="208"/>
  <c r="AH1061" i="208"/>
  <c r="O1049" i="208"/>
  <c r="AH1049" i="208"/>
  <c r="Q215" i="208"/>
  <c r="AG215" i="208"/>
  <c r="O213" i="208"/>
  <c r="AH213" i="208"/>
  <c r="Q203" i="208"/>
  <c r="AG203" i="208"/>
  <c r="O201" i="208"/>
  <c r="AH201" i="208"/>
  <c r="Q191" i="208"/>
  <c r="AG191" i="208"/>
  <c r="O189" i="208"/>
  <c r="AH189" i="208"/>
  <c r="Q179" i="208"/>
  <c r="AG179" i="208"/>
  <c r="O177" i="208"/>
  <c r="AH177" i="208"/>
  <c r="Q167" i="208"/>
  <c r="AG167" i="208"/>
  <c r="O165" i="208"/>
  <c r="AH165" i="208"/>
  <c r="Q155" i="208"/>
  <c r="AG155" i="208"/>
  <c r="O153" i="208"/>
  <c r="AH153" i="208"/>
  <c r="Q143" i="208"/>
  <c r="AG143" i="208"/>
  <c r="O141" i="208"/>
  <c r="AH141" i="208"/>
  <c r="Q131" i="208"/>
  <c r="AG131" i="208"/>
  <c r="O129" i="208"/>
  <c r="AH129" i="208"/>
  <c r="Q119" i="208"/>
  <c r="AG119" i="208"/>
  <c r="O117" i="208"/>
  <c r="AH117" i="208"/>
  <c r="Q107" i="208"/>
  <c r="AG107" i="208"/>
  <c r="O105" i="208"/>
  <c r="AH105" i="208"/>
  <c r="Q95" i="208"/>
  <c r="AG95" i="208"/>
  <c r="O93" i="208"/>
  <c r="AH93" i="208"/>
  <c r="Q83" i="208"/>
  <c r="AG83" i="208"/>
  <c r="O81" i="208"/>
  <c r="AH81" i="208"/>
  <c r="Q71" i="208"/>
  <c r="AG71" i="208"/>
  <c r="O69" i="208"/>
  <c r="AH69" i="208"/>
  <c r="Q59" i="208"/>
  <c r="AG59" i="208"/>
  <c r="O57" i="208"/>
  <c r="AH57" i="208"/>
  <c r="Q47" i="208"/>
  <c r="AG47" i="208"/>
  <c r="O45" i="208"/>
  <c r="AH45" i="208"/>
  <c r="Q35" i="208"/>
  <c r="AG35" i="208"/>
  <c r="O33" i="208"/>
  <c r="AH33" i="208"/>
  <c r="Q23" i="208"/>
  <c r="AG23" i="208"/>
  <c r="O21" i="208"/>
  <c r="AH21" i="208"/>
  <c r="Q11" i="208"/>
  <c r="AG11" i="208"/>
  <c r="O9" i="208"/>
  <c r="AH9" i="208"/>
  <c r="AG2989" i="208"/>
  <c r="AG2977" i="208"/>
  <c r="AG2965" i="208"/>
  <c r="AG2953" i="208"/>
  <c r="AG2941" i="208"/>
  <c r="AG2929" i="208"/>
  <c r="AG2917" i="208"/>
  <c r="AG2905" i="208"/>
  <c r="AG2893" i="208"/>
  <c r="AG2881" i="208"/>
  <c r="AG2869" i="208"/>
  <c r="AG2857" i="208"/>
  <c r="AG2845" i="208"/>
  <c r="AG2833" i="208"/>
  <c r="AG2821" i="208"/>
  <c r="AG2809" i="208"/>
  <c r="AG2797" i="208"/>
  <c r="AG2785" i="208"/>
  <c r="AG2773" i="208"/>
  <c r="AG2761" i="208"/>
  <c r="AG2749" i="208"/>
  <c r="AG2737" i="208"/>
  <c r="AG2725" i="208"/>
  <c r="AG2713" i="208"/>
  <c r="AG2701" i="208"/>
  <c r="AG2689" i="208"/>
  <c r="AG2677" i="208"/>
  <c r="AG2665" i="208"/>
  <c r="AG2653" i="208"/>
  <c r="AG2641" i="208"/>
  <c r="AG2629" i="208"/>
  <c r="AG2617" i="208"/>
  <c r="AG2605" i="208"/>
  <c r="AG2593" i="208"/>
  <c r="AG2581" i="208"/>
  <c r="AG2569" i="208"/>
  <c r="AG2557" i="208"/>
  <c r="AG2545" i="208"/>
  <c r="AG2533" i="208"/>
  <c r="AG2521" i="208"/>
  <c r="AG2509" i="208"/>
  <c r="AG2497" i="208"/>
  <c r="AG2485" i="208"/>
  <c r="AG2473" i="208"/>
  <c r="AG2461" i="208"/>
  <c r="AG2449" i="208"/>
  <c r="AG2437" i="208"/>
  <c r="AG2425" i="208"/>
  <c r="AG2413" i="208"/>
  <c r="AG2401" i="208"/>
  <c r="AG2389" i="208"/>
  <c r="AG2377" i="208"/>
  <c r="AG2365" i="208"/>
  <c r="AG2353" i="208"/>
  <c r="AG2341" i="208"/>
  <c r="AG2329" i="208"/>
  <c r="AG2317" i="208"/>
  <c r="AG2305" i="208"/>
  <c r="AG2293" i="208"/>
  <c r="AG2281" i="208"/>
  <c r="AG2269" i="208"/>
  <c r="AG2257" i="208"/>
  <c r="AG2245" i="208"/>
  <c r="AG2233" i="208"/>
  <c r="AG2221" i="208"/>
  <c r="AG2209" i="208"/>
  <c r="AG2197" i="208"/>
  <c r="AG2185" i="208"/>
  <c r="AG2173" i="208"/>
  <c r="AG2161" i="208"/>
  <c r="AG2149" i="208"/>
  <c r="AG2137" i="208"/>
  <c r="AG2125" i="208"/>
  <c r="AG2113" i="208"/>
  <c r="AG2101" i="208"/>
  <c r="AG2089" i="208"/>
  <c r="AG2077" i="208"/>
  <c r="AG2065" i="208"/>
  <c r="AG2053" i="208"/>
  <c r="AG2041" i="208"/>
  <c r="AG2029" i="208"/>
  <c r="AG2017" i="208"/>
  <c r="AG2005" i="208"/>
  <c r="AG1993" i="208"/>
  <c r="AG1981" i="208"/>
  <c r="AG1969" i="208"/>
  <c r="AG1957" i="208"/>
  <c r="AG1945" i="208"/>
  <c r="AG1933" i="208"/>
  <c r="AG1921" i="208"/>
  <c r="AG1909" i="208"/>
  <c r="AG1897" i="208"/>
  <c r="AG1885" i="208"/>
  <c r="AG1873" i="208"/>
  <c r="AG1861" i="208"/>
  <c r="AG1849" i="208"/>
  <c r="AG1837" i="208"/>
  <c r="AG1825" i="208"/>
  <c r="AG1813" i="208"/>
  <c r="AG1801" i="208"/>
  <c r="AG1789" i="208"/>
  <c r="AG1777" i="208"/>
  <c r="AG1765" i="208"/>
  <c r="AG1753" i="208"/>
  <c r="AG1741" i="208"/>
  <c r="AG1729" i="208"/>
  <c r="AG1717" i="208"/>
  <c r="AG1705" i="208"/>
  <c r="AG1693" i="208"/>
  <c r="AG1681" i="208"/>
  <c r="AG1669" i="208"/>
  <c r="AG1657" i="208"/>
  <c r="AG1645" i="208"/>
  <c r="AG1633" i="208"/>
  <c r="AG1621" i="208"/>
  <c r="AG1609" i="208"/>
  <c r="AG1597" i="208"/>
  <c r="AG1585" i="208"/>
  <c r="AG1573" i="208"/>
  <c r="AG1561" i="208"/>
  <c r="AG1549" i="208"/>
  <c r="AG1537" i="208"/>
  <c r="AG1525" i="208"/>
  <c r="AG1513" i="208"/>
  <c r="AG1501" i="208"/>
  <c r="AG1489" i="208"/>
  <c r="AG1477" i="208"/>
  <c r="AG1465" i="208"/>
  <c r="AG1453" i="208"/>
  <c r="AG1441" i="208"/>
  <c r="AG1429" i="208"/>
  <c r="AG1417" i="208"/>
  <c r="AG1405" i="208"/>
  <c r="AG1393" i="208"/>
  <c r="AG1381" i="208"/>
  <c r="AG1369" i="208"/>
  <c r="AG1357" i="208"/>
  <c r="AG1345" i="208"/>
  <c r="AG1333" i="208"/>
  <c r="AG1321" i="208"/>
  <c r="AG1309" i="208"/>
  <c r="AG1297" i="208"/>
  <c r="AG1285" i="208"/>
  <c r="AG1273" i="208"/>
  <c r="AG1261" i="208"/>
  <c r="AG1249" i="208"/>
  <c r="AG1237" i="208"/>
  <c r="AG1225" i="208"/>
  <c r="AG1213" i="208"/>
  <c r="AG1201" i="208"/>
  <c r="AG1189" i="208"/>
  <c r="AG1177" i="208"/>
  <c r="AG1165" i="208"/>
  <c r="AG1153" i="208"/>
  <c r="AG1141" i="208"/>
  <c r="AG1129" i="208"/>
  <c r="AG1117" i="208"/>
  <c r="AG1105" i="208"/>
  <c r="Q292" i="208"/>
  <c r="AG292" i="208"/>
  <c r="O290" i="208"/>
  <c r="AH290" i="208"/>
  <c r="Q280" i="208"/>
  <c r="AG280" i="208"/>
  <c r="O278" i="208"/>
  <c r="AH278" i="208"/>
  <c r="Q268" i="208"/>
  <c r="AG268" i="208"/>
  <c r="O266" i="208"/>
  <c r="AH266" i="208"/>
  <c r="Q256" i="208"/>
  <c r="AG256" i="208"/>
  <c r="O254" i="208"/>
  <c r="AH254" i="208"/>
  <c r="Q244" i="208"/>
  <c r="AG244" i="208"/>
  <c r="O242" i="208"/>
  <c r="AH242" i="208"/>
  <c r="Q232" i="208"/>
  <c r="AG232" i="208"/>
  <c r="O230" i="208"/>
  <c r="AH230" i="208"/>
  <c r="Q220" i="208"/>
  <c r="AG220" i="208"/>
  <c r="O218" i="208"/>
  <c r="AH218" i="208"/>
  <c r="Q208" i="208"/>
  <c r="AG208" i="208"/>
  <c r="O206" i="208"/>
  <c r="AH206" i="208"/>
  <c r="Q196" i="208"/>
  <c r="AG196" i="208"/>
  <c r="O194" i="208"/>
  <c r="AH194" i="208"/>
  <c r="Q184" i="208"/>
  <c r="AG184" i="208"/>
  <c r="O182" i="208"/>
  <c r="AH182" i="208"/>
  <c r="Q172" i="208"/>
  <c r="AG172" i="208"/>
  <c r="O170" i="208"/>
  <c r="AH170" i="208"/>
  <c r="Q160" i="208"/>
  <c r="AG160" i="208"/>
  <c r="O158" i="208"/>
  <c r="AH158" i="208"/>
  <c r="Q148" i="208"/>
  <c r="AG148" i="208"/>
  <c r="O146" i="208"/>
  <c r="AH146" i="208"/>
  <c r="Q136" i="208"/>
  <c r="AG136" i="208"/>
  <c r="O134" i="208"/>
  <c r="AH134" i="208"/>
  <c r="Q124" i="208"/>
  <c r="AG124" i="208"/>
  <c r="O122" i="208"/>
  <c r="AH122" i="208"/>
  <c r="Q112" i="208"/>
  <c r="AG112" i="208"/>
  <c r="O110" i="208"/>
  <c r="AH110" i="208"/>
  <c r="Q100" i="208"/>
  <c r="AG100" i="208"/>
  <c r="O98" i="208"/>
  <c r="AH98" i="208"/>
  <c r="Q88" i="208"/>
  <c r="AG88" i="208"/>
  <c r="O86" i="208"/>
  <c r="AH86" i="208"/>
  <c r="Q76" i="208"/>
  <c r="AG76" i="208"/>
  <c r="O74" i="208"/>
  <c r="AH74" i="208"/>
  <c r="Q64" i="208"/>
  <c r="AG64" i="208"/>
  <c r="O62" i="208"/>
  <c r="AH62" i="208"/>
  <c r="Q52" i="208"/>
  <c r="AG52" i="208"/>
  <c r="O50" i="208"/>
  <c r="AH50" i="208"/>
  <c r="Q40" i="208"/>
  <c r="AG40" i="208"/>
  <c r="O38" i="208"/>
  <c r="AH38" i="208"/>
  <c r="Q28" i="208"/>
  <c r="AG28" i="208"/>
  <c r="O26" i="208"/>
  <c r="AH26" i="208"/>
  <c r="Q16" i="208"/>
  <c r="AG16" i="208"/>
  <c r="O14" i="208"/>
  <c r="AH14" i="208"/>
  <c r="AG3000" i="208"/>
  <c r="Q33" i="208"/>
  <c r="AG33" i="208"/>
  <c r="O31" i="208"/>
  <c r="AH31" i="208"/>
  <c r="Q21" i="208"/>
  <c r="AG21" i="208"/>
  <c r="O19" i="208"/>
  <c r="AH19" i="208"/>
  <c r="Q9" i="208"/>
  <c r="AG9" i="208"/>
  <c r="O7" i="208"/>
  <c r="AH7" i="208"/>
  <c r="AG2999" i="208"/>
  <c r="AG2987" i="208"/>
  <c r="AG2975" i="208"/>
  <c r="AG2963" i="208"/>
  <c r="AG2951" i="208"/>
  <c r="AG2939" i="208"/>
  <c r="AG2927" i="208"/>
  <c r="AG2915" i="208"/>
  <c r="AG2903" i="208"/>
  <c r="AG2891" i="208"/>
  <c r="AG2879" i="208"/>
  <c r="AG2867" i="208"/>
  <c r="AG2855" i="208"/>
  <c r="AG2843" i="208"/>
  <c r="AG2831" i="208"/>
  <c r="AG2819" i="208"/>
  <c r="AG2807" i="208"/>
  <c r="AG2795" i="208"/>
  <c r="AG2783" i="208"/>
  <c r="AG2771" i="208"/>
  <c r="AG2759" i="208"/>
  <c r="AG2747" i="208"/>
  <c r="AG2735" i="208"/>
  <c r="AG2723" i="208"/>
  <c r="AG2711" i="208"/>
  <c r="AG2699" i="208"/>
  <c r="AG2687" i="208"/>
  <c r="AG2675" i="208"/>
  <c r="AG2663" i="208"/>
  <c r="AG2651" i="208"/>
  <c r="AG2639" i="208"/>
  <c r="AG2627" i="208"/>
  <c r="AG2615" i="208"/>
  <c r="AG2603" i="208"/>
  <c r="AG2591" i="208"/>
  <c r="AG2579" i="208"/>
  <c r="AG2567" i="208"/>
  <c r="AG2555" i="208"/>
  <c r="AG2543" i="208"/>
  <c r="AG2531" i="208"/>
  <c r="AG2519" i="208"/>
  <c r="AG2507" i="208"/>
  <c r="AG2495" i="208"/>
  <c r="AG2483" i="208"/>
  <c r="AG2471" i="208"/>
  <c r="AG2459" i="208"/>
  <c r="AG2447" i="208"/>
  <c r="AG2435" i="208"/>
  <c r="AG2423" i="208"/>
  <c r="AG2411" i="208"/>
  <c r="AG2399" i="208"/>
  <c r="AG2387" i="208"/>
  <c r="AG2375" i="208"/>
  <c r="AG2363" i="208"/>
  <c r="AG2351" i="208"/>
  <c r="AG2339" i="208"/>
  <c r="AG2327" i="208"/>
  <c r="AG2315" i="208"/>
  <c r="AG2303" i="208"/>
  <c r="AG2291" i="208"/>
  <c r="AG2279" i="208"/>
  <c r="AG2267" i="208"/>
  <c r="AG2255" i="208"/>
  <c r="AG2243" i="208"/>
  <c r="AG2231" i="208"/>
  <c r="AG2219" i="208"/>
  <c r="AG2207" i="208"/>
  <c r="AG2195" i="208"/>
  <c r="AG2183" i="208"/>
  <c r="AG2171" i="208"/>
  <c r="AG2159" i="208"/>
  <c r="AG2147" i="208"/>
  <c r="AG2135" i="208"/>
  <c r="AG2123" i="208"/>
  <c r="AG2111" i="208"/>
  <c r="AG2099" i="208"/>
  <c r="AG2087" i="208"/>
  <c r="AG2075" i="208"/>
  <c r="AG2063" i="208"/>
  <c r="AG2051" i="208"/>
  <c r="AG2039" i="208"/>
  <c r="AG2027" i="208"/>
  <c r="AG2015" i="208"/>
  <c r="AG2003" i="208"/>
  <c r="AG1991" i="208"/>
  <c r="AG1979" i="208"/>
  <c r="AG1967" i="208"/>
  <c r="AG1955" i="208"/>
  <c r="AG1943" i="208"/>
  <c r="AG1931" i="208"/>
  <c r="AG1919" i="208"/>
  <c r="AG1907" i="208"/>
  <c r="AG1895" i="208"/>
  <c r="AG1883" i="208"/>
  <c r="AG1871" i="208"/>
  <c r="AG1859" i="208"/>
  <c r="AG1847" i="208"/>
  <c r="AG1835" i="208"/>
  <c r="AG1823" i="208"/>
  <c r="AG1811" i="208"/>
  <c r="AG1799" i="208"/>
  <c r="AG1787" i="208"/>
  <c r="AG1775" i="208"/>
  <c r="AG1763" i="208"/>
  <c r="AG1751" i="208"/>
  <c r="AG1739" i="208"/>
  <c r="AG1727" i="208"/>
  <c r="AG1715" i="208"/>
  <c r="AG1703" i="208"/>
  <c r="AG1691" i="208"/>
  <c r="AG1679" i="208"/>
  <c r="AG1667" i="208"/>
  <c r="AG1655" i="208"/>
  <c r="AG1643" i="208"/>
  <c r="AG1631" i="208"/>
  <c r="AG1619" i="208"/>
  <c r="AG1607" i="208"/>
  <c r="AG1595" i="208"/>
  <c r="AG1583" i="208"/>
  <c r="AG1571" i="208"/>
  <c r="AG1559" i="208"/>
  <c r="AG1547" i="208"/>
  <c r="AG1535" i="208"/>
  <c r="AG1523" i="208"/>
  <c r="AG1511" i="208"/>
  <c r="AG1499" i="208"/>
  <c r="AG1487" i="208"/>
  <c r="AG1475" i="208"/>
  <c r="AG1463" i="208"/>
  <c r="AG1451" i="208"/>
  <c r="AG1439" i="208"/>
  <c r="AG1427" i="208"/>
  <c r="AG1415" i="208"/>
  <c r="AG1403" i="208"/>
  <c r="AG1391" i="208"/>
  <c r="AG1379" i="208"/>
  <c r="AG1367" i="208"/>
  <c r="AG1355" i="208"/>
  <c r="AG1343" i="208"/>
  <c r="AG1331" i="208"/>
  <c r="AG1319" i="208"/>
  <c r="AG1307" i="208"/>
  <c r="AG1295" i="208"/>
  <c r="AG1283" i="208"/>
  <c r="AG1271" i="208"/>
  <c r="AG1259" i="208"/>
  <c r="AG1247" i="208"/>
  <c r="AG1235" i="208"/>
  <c r="AG1223" i="208"/>
  <c r="AG1211" i="208"/>
  <c r="AG1199" i="208"/>
  <c r="AG1187" i="208"/>
  <c r="AG1175" i="208"/>
  <c r="AG1163" i="208"/>
  <c r="AG1151" i="208"/>
  <c r="AG1139" i="208"/>
  <c r="AG1127" i="208"/>
  <c r="AG1115" i="208"/>
  <c r="AG1103" i="208"/>
  <c r="AG1091" i="208"/>
  <c r="AG1079" i="208"/>
  <c r="AG1067" i="208"/>
  <c r="AG1055" i="208"/>
  <c r="AG1043" i="208"/>
  <c r="O300" i="208"/>
  <c r="AH300" i="208"/>
  <c r="Q290" i="208"/>
  <c r="AG290" i="208"/>
  <c r="O288" i="208"/>
  <c r="AH288" i="208"/>
  <c r="Q278" i="208"/>
  <c r="AG278" i="208"/>
  <c r="O276" i="208"/>
  <c r="AH276" i="208"/>
  <c r="Q266" i="208"/>
  <c r="AG266" i="208"/>
  <c r="O264" i="208"/>
  <c r="AH264" i="208"/>
  <c r="Q254" i="208"/>
  <c r="AG254" i="208"/>
  <c r="O252" i="208"/>
  <c r="AH252" i="208"/>
  <c r="Q242" i="208"/>
  <c r="AG242" i="208"/>
  <c r="O240" i="208"/>
  <c r="AH240" i="208"/>
  <c r="Q230" i="208"/>
  <c r="AG230" i="208"/>
  <c r="O228" i="208"/>
  <c r="AH228" i="208"/>
  <c r="Q218" i="208"/>
  <c r="AG218" i="208"/>
  <c r="O216" i="208"/>
  <c r="AH216" i="208"/>
  <c r="Q206" i="208"/>
  <c r="AG206" i="208"/>
  <c r="O204" i="208"/>
  <c r="AH204" i="208"/>
  <c r="Q194" i="208"/>
  <c r="AG194" i="208"/>
  <c r="O192" i="208"/>
  <c r="AH192" i="208"/>
  <c r="Q182" i="208"/>
  <c r="AG182" i="208"/>
  <c r="O180" i="208"/>
  <c r="AH180" i="208"/>
  <c r="Q170" i="208"/>
  <c r="AG170" i="208"/>
  <c r="O168" i="208"/>
  <c r="AH168" i="208"/>
  <c r="Q158" i="208"/>
  <c r="AG158" i="208"/>
  <c r="O156" i="208"/>
  <c r="AH156" i="208"/>
  <c r="Q146" i="208"/>
  <c r="AG146" i="208"/>
  <c r="O144" i="208"/>
  <c r="AH144" i="208"/>
  <c r="Q134" i="208"/>
  <c r="AG134" i="208"/>
  <c r="O132" i="208"/>
  <c r="AH132" i="208"/>
  <c r="Q122" i="208"/>
  <c r="AG122" i="208"/>
  <c r="O120" i="208"/>
  <c r="AH120" i="208"/>
  <c r="Q110" i="208"/>
  <c r="AG110" i="208"/>
  <c r="O108" i="208"/>
  <c r="AH108" i="208"/>
  <c r="Q98" i="208"/>
  <c r="AG98" i="208"/>
  <c r="O96" i="208"/>
  <c r="AH96" i="208"/>
  <c r="Q86" i="208"/>
  <c r="AG86" i="208"/>
  <c r="O84" i="208"/>
  <c r="AH84" i="208"/>
  <c r="Q74" i="208"/>
  <c r="AG74" i="208"/>
  <c r="O72" i="208"/>
  <c r="AH72" i="208"/>
  <c r="Q62" i="208"/>
  <c r="AG62" i="208"/>
  <c r="O60" i="208"/>
  <c r="AH60" i="208"/>
  <c r="Q50" i="208"/>
  <c r="AG50" i="208"/>
  <c r="O48" i="208"/>
  <c r="AH48" i="208"/>
  <c r="Q38" i="208"/>
  <c r="AG38" i="208"/>
  <c r="O36" i="208"/>
  <c r="AH36" i="208"/>
  <c r="Q26" i="208"/>
  <c r="AG26" i="208"/>
  <c r="O24" i="208"/>
  <c r="AH24" i="208"/>
  <c r="Q14" i="208"/>
  <c r="AG14" i="208"/>
  <c r="O12" i="208"/>
  <c r="AH12" i="208"/>
  <c r="Q300" i="208"/>
  <c r="AG300" i="208"/>
  <c r="O298" i="208"/>
  <c r="AH298" i="208"/>
  <c r="Q288" i="208"/>
  <c r="AG288" i="208"/>
  <c r="O286" i="208"/>
  <c r="AH286" i="208"/>
  <c r="Q276" i="208"/>
  <c r="AG276" i="208"/>
  <c r="O274" i="208"/>
  <c r="AH274" i="208"/>
  <c r="Q264" i="208"/>
  <c r="AG264" i="208"/>
  <c r="O262" i="208"/>
  <c r="AH262" i="208"/>
  <c r="Q252" i="208"/>
  <c r="AG252" i="208"/>
  <c r="O250" i="208"/>
  <c r="AH250" i="208"/>
  <c r="Q240" i="208"/>
  <c r="AG240" i="208"/>
  <c r="O238" i="208"/>
  <c r="AH238" i="208"/>
  <c r="Q228" i="208"/>
  <c r="AG228" i="208"/>
  <c r="O226" i="208"/>
  <c r="AH226" i="208"/>
  <c r="Q216" i="208"/>
  <c r="AG216" i="208"/>
  <c r="O214" i="208"/>
  <c r="AH214" i="208"/>
  <c r="Q204" i="208"/>
  <c r="AG204" i="208"/>
  <c r="O202" i="208"/>
  <c r="AH202" i="208"/>
  <c r="Q192" i="208"/>
  <c r="AG192" i="208"/>
  <c r="O190" i="208"/>
  <c r="AH190" i="208"/>
  <c r="Q180" i="208"/>
  <c r="AG180" i="208"/>
  <c r="O178" i="208"/>
  <c r="AH178" i="208"/>
  <c r="Q168" i="208"/>
  <c r="AG168" i="208"/>
  <c r="O166" i="208"/>
  <c r="AH166" i="208"/>
  <c r="Q156" i="208"/>
  <c r="AG156" i="208"/>
  <c r="O154" i="208"/>
  <c r="AH154" i="208"/>
  <c r="Q144" i="208"/>
  <c r="AG144" i="208"/>
  <c r="O142" i="208"/>
  <c r="AH142" i="208"/>
  <c r="Q132" i="208"/>
  <c r="AG132" i="208"/>
  <c r="O130" i="208"/>
  <c r="AH130" i="208"/>
  <c r="Q120" i="208"/>
  <c r="AG120" i="208"/>
  <c r="O118" i="208"/>
  <c r="AH118" i="208"/>
  <c r="Q108" i="208"/>
  <c r="AG108" i="208"/>
  <c r="O106" i="208"/>
  <c r="AH106" i="208"/>
  <c r="Q96" i="208"/>
  <c r="AG96" i="208"/>
  <c r="O94" i="208"/>
  <c r="AH94" i="208"/>
  <c r="Q84" i="208"/>
  <c r="AG84" i="208"/>
  <c r="O82" i="208"/>
  <c r="AH82" i="208"/>
  <c r="Q72" i="208"/>
  <c r="AG72" i="208"/>
  <c r="O70" i="208"/>
  <c r="AH70" i="208"/>
  <c r="Q60" i="208"/>
  <c r="AG60" i="208"/>
  <c r="O58" i="208"/>
  <c r="AH58" i="208"/>
  <c r="Q48" i="208"/>
  <c r="AG48" i="208"/>
  <c r="O46" i="208"/>
  <c r="AH46" i="208"/>
  <c r="Q36" i="208"/>
  <c r="AG36" i="208"/>
  <c r="O34" i="208"/>
  <c r="AH34" i="208"/>
  <c r="Q24" i="208"/>
  <c r="AG24" i="208"/>
  <c r="O22" i="208"/>
  <c r="AH22" i="208"/>
  <c r="Q12" i="208"/>
  <c r="AG12" i="208"/>
  <c r="O10" i="208"/>
  <c r="AH10" i="208"/>
  <c r="Q293" i="208"/>
  <c r="AG293" i="208"/>
  <c r="O291" i="208"/>
  <c r="AH291" i="208"/>
  <c r="Q281" i="208"/>
  <c r="AG281" i="208"/>
  <c r="O279" i="208"/>
  <c r="AH279" i="208"/>
  <c r="Q269" i="208"/>
  <c r="AG269" i="208"/>
  <c r="O267" i="208"/>
  <c r="AH267" i="208"/>
  <c r="Q257" i="208"/>
  <c r="AG257" i="208"/>
  <c r="O255" i="208"/>
  <c r="AH255" i="208"/>
  <c r="Q245" i="208"/>
  <c r="AG245" i="208"/>
  <c r="O243" i="208"/>
  <c r="AH243" i="208"/>
  <c r="Q233" i="208"/>
  <c r="AG233" i="208"/>
  <c r="O231" i="208"/>
  <c r="AH231" i="208"/>
  <c r="Q221" i="208"/>
  <c r="AG221" i="208"/>
  <c r="O219" i="208"/>
  <c r="AH219" i="208"/>
  <c r="Q209" i="208"/>
  <c r="AG209" i="208"/>
  <c r="O207" i="208"/>
  <c r="AH207" i="208"/>
  <c r="Q197" i="208"/>
  <c r="AG197" i="208"/>
  <c r="O195" i="208"/>
  <c r="AH195" i="208"/>
  <c r="Q185" i="208"/>
  <c r="AG185" i="208"/>
  <c r="O183" i="208"/>
  <c r="AH183" i="208"/>
  <c r="Q173" i="208"/>
  <c r="AG173" i="208"/>
  <c r="O171" i="208"/>
  <c r="AH171" i="208"/>
  <c r="Q161" i="208"/>
  <c r="AG161" i="208"/>
  <c r="O159" i="208"/>
  <c r="AH159" i="208"/>
  <c r="Q149" i="208"/>
  <c r="AG149" i="208"/>
  <c r="O147" i="208"/>
  <c r="AH147" i="208"/>
  <c r="Q137" i="208"/>
  <c r="AG137" i="208"/>
  <c r="O135" i="208"/>
  <c r="AH135" i="208"/>
  <c r="Q125" i="208"/>
  <c r="AG125" i="208"/>
  <c r="O123" i="208"/>
  <c r="AH123" i="208"/>
  <c r="Q113" i="208"/>
  <c r="AG113" i="208"/>
  <c r="O111" i="208"/>
  <c r="AH111" i="208"/>
  <c r="Q101" i="208"/>
  <c r="AG101" i="208"/>
  <c r="O99" i="208"/>
  <c r="AH99" i="208"/>
  <c r="Q89" i="208"/>
  <c r="AG89" i="208"/>
  <c r="O87" i="208"/>
  <c r="AH87" i="208"/>
  <c r="Q77" i="208"/>
  <c r="AG77" i="208"/>
  <c r="O75" i="208"/>
  <c r="AH75" i="208"/>
  <c r="Q65" i="208"/>
  <c r="AG65" i="208"/>
  <c r="O63" i="208"/>
  <c r="AH63" i="208"/>
  <c r="Q53" i="208"/>
  <c r="AG53" i="208"/>
  <c r="O51" i="208"/>
  <c r="AH51" i="208"/>
  <c r="Q41" i="208"/>
  <c r="AG41" i="208"/>
  <c r="O39" i="208"/>
  <c r="AH39" i="208"/>
  <c r="Q29" i="208"/>
  <c r="AG29" i="208"/>
  <c r="O27" i="208"/>
  <c r="AH27" i="208"/>
  <c r="Q17" i="208"/>
  <c r="AG17" i="208"/>
  <c r="O15" i="208"/>
  <c r="AH15" i="208"/>
  <c r="Q5" i="208"/>
  <c r="AG5" i="208"/>
  <c r="Q298" i="208"/>
  <c r="AG298" i="208"/>
  <c r="O296" i="208"/>
  <c r="AH296" i="208"/>
  <c r="Q286" i="208"/>
  <c r="AG286" i="208"/>
  <c r="O284" i="208"/>
  <c r="AH284" i="208"/>
  <c r="Q274" i="208"/>
  <c r="AG274" i="208"/>
  <c r="O272" i="208"/>
  <c r="AH272" i="208"/>
  <c r="Q262" i="208"/>
  <c r="AG262" i="208"/>
  <c r="O260" i="208"/>
  <c r="AH260" i="208"/>
  <c r="Q250" i="208"/>
  <c r="AG250" i="208"/>
  <c r="O248" i="208"/>
  <c r="AH248" i="208"/>
  <c r="Q238" i="208"/>
  <c r="AG238" i="208"/>
  <c r="O236" i="208"/>
  <c r="AH236" i="208"/>
  <c r="Q226" i="208"/>
  <c r="AG226" i="208"/>
  <c r="O224" i="208"/>
  <c r="AH224" i="208"/>
  <c r="Q214" i="208"/>
  <c r="AG214" i="208"/>
  <c r="O212" i="208"/>
  <c r="AH212" i="208"/>
  <c r="Q202" i="208"/>
  <c r="AG202" i="208"/>
  <c r="O200" i="208"/>
  <c r="AH200" i="208"/>
  <c r="Q190" i="208"/>
  <c r="AG190" i="208"/>
  <c r="O188" i="208"/>
  <c r="AH188" i="208"/>
  <c r="Q178" i="208"/>
  <c r="AG178" i="208"/>
  <c r="O176" i="208"/>
  <c r="AH176" i="208"/>
  <c r="Q166" i="208"/>
  <c r="AG166" i="208"/>
  <c r="O164" i="208"/>
  <c r="AH164" i="208"/>
  <c r="Q154" i="208"/>
  <c r="AG154" i="208"/>
  <c r="O152" i="208"/>
  <c r="AH152" i="208"/>
  <c r="Q142" i="208"/>
  <c r="AG142" i="208"/>
  <c r="O140" i="208"/>
  <c r="AH140" i="208"/>
  <c r="Q130" i="208"/>
  <c r="AG130" i="208"/>
  <c r="O128" i="208"/>
  <c r="AH128" i="208"/>
  <c r="Q118" i="208"/>
  <c r="AG118" i="208"/>
  <c r="O116" i="208"/>
  <c r="AH116" i="208"/>
  <c r="Q106" i="208"/>
  <c r="AG106" i="208"/>
  <c r="O104" i="208"/>
  <c r="AH104" i="208"/>
  <c r="Q94" i="208"/>
  <c r="AG94" i="208"/>
  <c r="O92" i="208"/>
  <c r="AH92" i="208"/>
  <c r="Q82" i="208"/>
  <c r="AG82" i="208"/>
  <c r="O80" i="208"/>
  <c r="AH80" i="208"/>
  <c r="Q70" i="208"/>
  <c r="AG70" i="208"/>
  <c r="O68" i="208"/>
  <c r="AH68" i="208"/>
  <c r="Q58" i="208"/>
  <c r="AG58" i="208"/>
  <c r="O56" i="208"/>
  <c r="AH56" i="208"/>
  <c r="Q46" i="208"/>
  <c r="AG46" i="208"/>
  <c r="O44" i="208"/>
  <c r="AH44" i="208"/>
  <c r="Q34" i="208"/>
  <c r="AG34" i="208"/>
  <c r="O32" i="208"/>
  <c r="AH32" i="208"/>
  <c r="Q22" i="208"/>
  <c r="AG22" i="208"/>
  <c r="O20" i="208"/>
  <c r="AH20" i="208"/>
  <c r="Q10" i="208"/>
  <c r="AG10" i="208"/>
  <c r="O8" i="208"/>
  <c r="AH8" i="208"/>
  <c r="O301" i="208"/>
  <c r="AH301" i="208"/>
  <c r="Q291" i="208"/>
  <c r="AG291" i="208"/>
  <c r="O289" i="208"/>
  <c r="AH289" i="208"/>
  <c r="Q279" i="208"/>
  <c r="AG279" i="208"/>
  <c r="O277" i="208"/>
  <c r="AH277" i="208"/>
  <c r="Q267" i="208"/>
  <c r="AG267" i="208"/>
  <c r="O265" i="208"/>
  <c r="AH265" i="208"/>
  <c r="Q255" i="208"/>
  <c r="AG255" i="208"/>
  <c r="O253" i="208"/>
  <c r="AH253" i="208"/>
  <c r="Q243" i="208"/>
  <c r="AG243" i="208"/>
  <c r="O241" i="208"/>
  <c r="AH241" i="208"/>
  <c r="Q231" i="208"/>
  <c r="AG231" i="208"/>
  <c r="O229" i="208"/>
  <c r="AH229" i="208"/>
  <c r="Q219" i="208"/>
  <c r="AG219" i="208"/>
  <c r="O217" i="208"/>
  <c r="AH217" i="208"/>
  <c r="Q207" i="208"/>
  <c r="AG207" i="208"/>
  <c r="O205" i="208"/>
  <c r="AH205" i="208"/>
  <c r="Q195" i="208"/>
  <c r="AG195" i="208"/>
  <c r="O193" i="208"/>
  <c r="AH193" i="208"/>
  <c r="Q183" i="208"/>
  <c r="AG183" i="208"/>
  <c r="O181" i="208"/>
  <c r="AH181" i="208"/>
  <c r="Q171" i="208"/>
  <c r="AG171" i="208"/>
  <c r="O169" i="208"/>
  <c r="AH169" i="208"/>
  <c r="Q159" i="208"/>
  <c r="AG159" i="208"/>
  <c r="O157" i="208"/>
  <c r="AH157" i="208"/>
  <c r="Q147" i="208"/>
  <c r="AG147" i="208"/>
  <c r="O145" i="208"/>
  <c r="AH145" i="208"/>
  <c r="Q135" i="208"/>
  <c r="AG135" i="208"/>
  <c r="O133" i="208"/>
  <c r="AH133" i="208"/>
  <c r="Q123" i="208"/>
  <c r="AG123" i="208"/>
  <c r="O121" i="208"/>
  <c r="AH121" i="208"/>
  <c r="Q111" i="208"/>
  <c r="AG111" i="208"/>
  <c r="O109" i="208"/>
  <c r="AH109" i="208"/>
  <c r="Q99" i="208"/>
  <c r="AG99" i="208"/>
  <c r="O97" i="208"/>
  <c r="AH97" i="208"/>
  <c r="Q87" i="208"/>
  <c r="AG87" i="208"/>
  <c r="O85" i="208"/>
  <c r="AH85" i="208"/>
  <c r="Q75" i="208"/>
  <c r="AG75" i="208"/>
  <c r="O73" i="208"/>
  <c r="AH73" i="208"/>
  <c r="Q63" i="208"/>
  <c r="AG63" i="208"/>
  <c r="O61" i="208"/>
  <c r="AH61" i="208"/>
  <c r="Q51" i="208"/>
  <c r="AG51" i="208"/>
  <c r="O49" i="208"/>
  <c r="AH49" i="208"/>
  <c r="Q39" i="208"/>
  <c r="AG39" i="208"/>
  <c r="O37" i="208"/>
  <c r="AH37" i="208"/>
  <c r="Q27" i="208"/>
  <c r="AG27" i="208"/>
  <c r="O25" i="208"/>
  <c r="AH25" i="208"/>
  <c r="Q15" i="208"/>
  <c r="AG15" i="208"/>
  <c r="O13" i="208"/>
  <c r="AH13" i="208"/>
  <c r="Q296" i="208"/>
  <c r="AG296" i="208"/>
  <c r="O294" i="208"/>
  <c r="AH294" i="208"/>
  <c r="Q284" i="208"/>
  <c r="AG284" i="208"/>
  <c r="O282" i="208"/>
  <c r="AH282" i="208"/>
  <c r="Q272" i="208"/>
  <c r="AG272" i="208"/>
  <c r="O270" i="208"/>
  <c r="AH270" i="208"/>
  <c r="Q260" i="208"/>
  <c r="AG260" i="208"/>
  <c r="O258" i="208"/>
  <c r="AH258" i="208"/>
  <c r="Q248" i="208"/>
  <c r="AG248" i="208"/>
  <c r="O246" i="208"/>
  <c r="AH246" i="208"/>
  <c r="Q236" i="208"/>
  <c r="AG236" i="208"/>
  <c r="O234" i="208"/>
  <c r="AH234" i="208"/>
  <c r="Q224" i="208"/>
  <c r="AG224" i="208"/>
  <c r="O222" i="208"/>
  <c r="AH222" i="208"/>
  <c r="Q212" i="208"/>
  <c r="AG212" i="208"/>
  <c r="O210" i="208"/>
  <c r="AH210" i="208"/>
  <c r="Q200" i="208"/>
  <c r="AG200" i="208"/>
  <c r="O198" i="208"/>
  <c r="AH198" i="208"/>
  <c r="Q188" i="208"/>
  <c r="AG188" i="208"/>
  <c r="O186" i="208"/>
  <c r="AH186" i="208"/>
  <c r="Q176" i="208"/>
  <c r="AG176" i="208"/>
  <c r="O174" i="208"/>
  <c r="AH174" i="208"/>
  <c r="Q164" i="208"/>
  <c r="AG164" i="208"/>
  <c r="O162" i="208"/>
  <c r="AH162" i="208"/>
  <c r="Q152" i="208"/>
  <c r="AG152" i="208"/>
  <c r="O150" i="208"/>
  <c r="AH150" i="208"/>
  <c r="Q140" i="208"/>
  <c r="AG140" i="208"/>
  <c r="O138" i="208"/>
  <c r="AH138" i="208"/>
  <c r="Q128" i="208"/>
  <c r="AG128" i="208"/>
  <c r="O126" i="208"/>
  <c r="AH126" i="208"/>
  <c r="Q116" i="208"/>
  <c r="AG116" i="208"/>
  <c r="O114" i="208"/>
  <c r="AH114" i="208"/>
  <c r="Q104" i="208"/>
  <c r="AG104" i="208"/>
  <c r="O102" i="208"/>
  <c r="AH102" i="208"/>
  <c r="Q92" i="208"/>
  <c r="AG92" i="208"/>
  <c r="O90" i="208"/>
  <c r="AH90" i="208"/>
  <c r="Q80" i="208"/>
  <c r="AG80" i="208"/>
  <c r="O78" i="208"/>
  <c r="AH78" i="208"/>
  <c r="Q68" i="208"/>
  <c r="AG68" i="208"/>
  <c r="O66" i="208"/>
  <c r="AH66" i="208"/>
  <c r="Q56" i="208"/>
  <c r="AG56" i="208"/>
  <c r="O54" i="208"/>
  <c r="AH54" i="208"/>
  <c r="Q44" i="208"/>
  <c r="AG44" i="208"/>
  <c r="O42" i="208"/>
  <c r="AH42" i="208"/>
  <c r="Q32" i="208"/>
  <c r="AG32" i="208"/>
  <c r="O30" i="208"/>
  <c r="AH30" i="208"/>
  <c r="Q20" i="208"/>
  <c r="AG20" i="208"/>
  <c r="O18" i="208"/>
  <c r="AH18" i="208"/>
  <c r="Q8" i="208"/>
  <c r="AG8" i="208"/>
  <c r="O6" i="208"/>
  <c r="AH6" i="208"/>
  <c r="Q301" i="208"/>
  <c r="AG301" i="208"/>
  <c r="O299" i="208"/>
  <c r="AH299" i="208"/>
  <c r="Q289" i="208"/>
  <c r="AG289" i="208"/>
  <c r="O287" i="208"/>
  <c r="AH287" i="208"/>
  <c r="Q277" i="208"/>
  <c r="AG277" i="208"/>
  <c r="O275" i="208"/>
  <c r="AH275" i="208"/>
  <c r="Q265" i="208"/>
  <c r="AG265" i="208"/>
  <c r="O263" i="208"/>
  <c r="AH263" i="208"/>
  <c r="Q253" i="208"/>
  <c r="AG253" i="208"/>
  <c r="O251" i="208"/>
  <c r="AH251" i="208"/>
  <c r="Q241" i="208"/>
  <c r="AG241" i="208"/>
  <c r="O239" i="208"/>
  <c r="AH239" i="208"/>
  <c r="Q229" i="208"/>
  <c r="AG229" i="208"/>
  <c r="O227" i="208"/>
  <c r="AH227" i="208"/>
  <c r="Q217" i="208"/>
  <c r="AG217" i="208"/>
  <c r="O215" i="208"/>
  <c r="AH215" i="208"/>
  <c r="Q205" i="208"/>
  <c r="AG205" i="208"/>
  <c r="O203" i="208"/>
  <c r="AH203" i="208"/>
  <c r="Q193" i="208"/>
  <c r="AG193" i="208"/>
  <c r="O191" i="208"/>
  <c r="AH191" i="208"/>
  <c r="Q181" i="208"/>
  <c r="AG181" i="208"/>
  <c r="O179" i="208"/>
  <c r="AH179" i="208"/>
  <c r="Q169" i="208"/>
  <c r="AG169" i="208"/>
  <c r="O167" i="208"/>
  <c r="AH167" i="208"/>
  <c r="Q157" i="208"/>
  <c r="AG157" i="208"/>
  <c r="O155" i="208"/>
  <c r="AH155" i="208"/>
  <c r="Q145" i="208"/>
  <c r="AG145" i="208"/>
  <c r="O143" i="208"/>
  <c r="AH143" i="208"/>
  <c r="Q133" i="208"/>
  <c r="AG133" i="208"/>
  <c r="O131" i="208"/>
  <c r="AH131" i="208"/>
  <c r="Q121" i="208"/>
  <c r="AG121" i="208"/>
  <c r="O119" i="208"/>
  <c r="AH119" i="208"/>
  <c r="Q109" i="208"/>
  <c r="AG109" i="208"/>
  <c r="O107" i="208"/>
  <c r="AH107" i="208"/>
  <c r="Q97" i="208"/>
  <c r="AG97" i="208"/>
  <c r="O95" i="208"/>
  <c r="AH95" i="208"/>
  <c r="Q85" i="208"/>
  <c r="AG85" i="208"/>
  <c r="O83" i="208"/>
  <c r="AH83" i="208"/>
  <c r="Q73" i="208"/>
  <c r="AG73" i="208"/>
  <c r="O71" i="208"/>
  <c r="AH71" i="208"/>
  <c r="Q61" i="208"/>
  <c r="AG61" i="208"/>
  <c r="O59" i="208"/>
  <c r="AH59" i="208"/>
  <c r="Q49" i="208"/>
  <c r="AG49" i="208"/>
  <c r="O47" i="208"/>
  <c r="AH47" i="208"/>
  <c r="Q37" i="208"/>
  <c r="AG37" i="208"/>
  <c r="O35" i="208"/>
  <c r="AH35" i="208"/>
  <c r="Q25" i="208"/>
  <c r="AG25" i="208"/>
  <c r="O23" i="208"/>
  <c r="AH23" i="208"/>
  <c r="Q13" i="208"/>
  <c r="AG13" i="208"/>
  <c r="O11" i="208"/>
  <c r="AH11" i="208"/>
  <c r="AG2991" i="208"/>
  <c r="AG2979" i="208"/>
  <c r="AG2967" i="208"/>
  <c r="AG2955" i="208"/>
  <c r="AG2943" i="208"/>
  <c r="AG2990" i="208"/>
  <c r="AG2978" i="208"/>
  <c r="AG2966" i="208"/>
  <c r="AG2954" i="208"/>
  <c r="AG2942" i="208"/>
  <c r="AG2930" i="208"/>
  <c r="AG2918" i="208"/>
  <c r="AG2906" i="208"/>
  <c r="AG2894" i="208"/>
  <c r="AG2882" i="208"/>
  <c r="AG2870" i="208"/>
  <c r="AG2858" i="208"/>
  <c r="AG2846" i="208"/>
  <c r="AG2834" i="208"/>
  <c r="AG2822" i="208"/>
  <c r="AG2810" i="208"/>
  <c r="AG2798" i="208"/>
  <c r="AG2786" i="208"/>
  <c r="AG2774" i="208"/>
  <c r="AG2762" i="208"/>
  <c r="AG2750" i="208"/>
  <c r="AG2738" i="208"/>
  <c r="AG2726" i="208"/>
  <c r="AG2714" i="208"/>
  <c r="AG2702" i="208"/>
  <c r="AG2690" i="208"/>
  <c r="AG2678" i="208"/>
  <c r="AG2666" i="208"/>
  <c r="AG2654" i="208"/>
  <c r="AG2642" i="208"/>
  <c r="AG2630" i="208"/>
  <c r="AG2618" i="208"/>
  <c r="AG2606" i="208"/>
  <c r="AG2594" i="208"/>
  <c r="AG2582" i="208"/>
  <c r="AG2570" i="208"/>
  <c r="AG2558" i="208"/>
  <c r="AG2546" i="208"/>
  <c r="AG2534" i="208"/>
  <c r="AG2522" i="208"/>
  <c r="AG2510" i="208"/>
  <c r="AG2498" i="208"/>
  <c r="AG2486" i="208"/>
  <c r="AG2474" i="208"/>
  <c r="AG2462" i="208"/>
  <c r="AG2450" i="208"/>
  <c r="AG2438" i="208"/>
  <c r="AG2426" i="208"/>
  <c r="AG2414" i="208"/>
  <c r="AG2402" i="208"/>
  <c r="AG2390" i="208"/>
  <c r="AG2378" i="208"/>
  <c r="AG2366" i="208"/>
  <c r="AG2354" i="208"/>
  <c r="AG2342" i="208"/>
  <c r="AG2330" i="208"/>
  <c r="AG2318" i="208"/>
  <c r="AG2306" i="208"/>
  <c r="AG2294" i="208"/>
  <c r="AG2282" i="208"/>
  <c r="AG2270" i="208"/>
  <c r="AG2258" i="208"/>
  <c r="AG2246" i="208"/>
  <c r="AG2234" i="208"/>
  <c r="AG2222" i="208"/>
  <c r="AG2210" i="208"/>
  <c r="AG2198" i="208"/>
  <c r="AG2186" i="208"/>
  <c r="AG2174" i="208"/>
  <c r="AG2162" i="208"/>
  <c r="AG2150" i="208"/>
  <c r="AG2138" i="208"/>
  <c r="AG2126" i="208"/>
  <c r="AG2114" i="208"/>
  <c r="AG2102" i="208"/>
  <c r="AG2090" i="208"/>
  <c r="AG2078" i="208"/>
  <c r="AG2066" i="208"/>
  <c r="AG2054" i="208"/>
  <c r="AG2042" i="208"/>
  <c r="AG2030" i="208"/>
  <c r="AG2018" i="208"/>
  <c r="AG2006" i="208"/>
  <c r="AG1994" i="208"/>
  <c r="AG1982" i="208"/>
  <c r="AG1970" i="208"/>
  <c r="AG1958" i="208"/>
  <c r="AG1946" i="208"/>
  <c r="AG1934" i="208"/>
  <c r="AG1922" i="208"/>
  <c r="AG1910" i="208"/>
  <c r="AG1898" i="208"/>
  <c r="AG1886" i="208"/>
  <c r="AG1874" i="208"/>
  <c r="AG1862" i="208"/>
  <c r="AG1850" i="208"/>
  <c r="AG1838" i="208"/>
  <c r="AG1826" i="208"/>
  <c r="AG1814" i="208"/>
  <c r="AG1802" i="208"/>
  <c r="AG1790" i="208"/>
  <c r="AG1778" i="208"/>
  <c r="AG1766" i="208"/>
  <c r="AG1754" i="208"/>
  <c r="AG1742" i="208"/>
  <c r="AG1730" i="208"/>
  <c r="AG1718" i="208"/>
  <c r="AG1706" i="208"/>
  <c r="AG1694" i="208"/>
  <c r="AG1682" i="208"/>
  <c r="AG1670" i="208"/>
  <c r="AG1658" i="208"/>
  <c r="AG1646" i="208"/>
  <c r="AG1634" i="208"/>
  <c r="AG1622" i="208"/>
  <c r="AG1610" i="208"/>
  <c r="AG1598" i="208"/>
  <c r="AG1586" i="208"/>
  <c r="AG1574" i="208"/>
  <c r="AG1562" i="208"/>
  <c r="AG1550" i="208"/>
  <c r="AG1538" i="208"/>
  <c r="AG1526" i="208"/>
  <c r="AG1514" i="208"/>
  <c r="AG1502" i="208"/>
  <c r="AG1490" i="208"/>
  <c r="AG1478" i="208"/>
  <c r="AG1466" i="208"/>
  <c r="AG1454" i="208"/>
  <c r="AG1442" i="208"/>
  <c r="AG1430" i="208"/>
  <c r="AG1418" i="208"/>
  <c r="AG1406" i="208"/>
  <c r="AG1394" i="208"/>
  <c r="AG1382" i="208"/>
  <c r="AG1370" i="208"/>
  <c r="AG1358" i="208"/>
  <c r="AG1346" i="208"/>
  <c r="AG1334" i="208"/>
  <c r="AG1322" i="208"/>
  <c r="AG1310" i="208"/>
  <c r="AG1298" i="208"/>
  <c r="AG1286" i="208"/>
  <c r="AG1274" i="208"/>
  <c r="AG1262" i="208"/>
  <c r="AG1250" i="208"/>
  <c r="AG1238" i="208"/>
  <c r="AG1226" i="208"/>
  <c r="AG1214" i="208"/>
  <c r="AG1202" i="208"/>
  <c r="AG1190" i="208"/>
  <c r="AG1178" i="208"/>
  <c r="AG1166" i="208"/>
  <c r="AG1154" i="208"/>
  <c r="AG1142" i="208"/>
  <c r="AG1130" i="208"/>
  <c r="AG1118" i="208"/>
  <c r="AG1106" i="208"/>
  <c r="AG1094" i="208"/>
  <c r="AG1082" i="208"/>
  <c r="AG1070" i="208"/>
  <c r="AG1058" i="208"/>
  <c r="AG1046" i="208"/>
  <c r="AG974" i="208"/>
  <c r="AG962" i="208"/>
  <c r="AG950" i="208"/>
  <c r="AG938" i="208"/>
  <c r="AG926" i="208"/>
  <c r="AG914" i="208"/>
  <c r="AG902" i="208"/>
  <c r="AG1093" i="208"/>
  <c r="AG1081" i="208"/>
  <c r="AG1069" i="208"/>
  <c r="AG1057" i="208"/>
  <c r="AG1045" i="208"/>
  <c r="AG2988" i="208"/>
  <c r="AG2976" i="208"/>
  <c r="AG2964" i="208"/>
  <c r="AG2952" i="208"/>
  <c r="AG2940" i="208"/>
  <c r="AG2928" i="208"/>
  <c r="AG2916" i="208"/>
  <c r="AG2904" i="208"/>
  <c r="AG2892" i="208"/>
  <c r="AG2880" i="208"/>
  <c r="AG2868" i="208"/>
  <c r="AG2856" i="208"/>
  <c r="AG2844" i="208"/>
  <c r="AG2832" i="208"/>
  <c r="AG2820" i="208"/>
  <c r="AG2808" i="208"/>
  <c r="AG2796" i="208"/>
  <c r="AG2784" i="208"/>
  <c r="AG2772" i="208"/>
  <c r="AG2760" i="208"/>
  <c r="AG2748" i="208"/>
  <c r="AG2736" i="208"/>
  <c r="AG2724" i="208"/>
  <c r="AG2712" i="208"/>
  <c r="AG2700" i="208"/>
  <c r="AG2688" i="208"/>
  <c r="AG2676" i="208"/>
  <c r="AG2664" i="208"/>
  <c r="AG2652" i="208"/>
  <c r="AG2640" i="208"/>
  <c r="AG2628" i="208"/>
  <c r="AG2616" i="208"/>
  <c r="AG2604" i="208"/>
  <c r="AG2592" i="208"/>
  <c r="AG2580" i="208"/>
  <c r="AG2568" i="208"/>
  <c r="AG2556" i="208"/>
  <c r="AG2544" i="208"/>
  <c r="AG2532" i="208"/>
  <c r="AG2520" i="208"/>
  <c r="AG2508" i="208"/>
  <c r="AG2496" i="208"/>
  <c r="AG2484" i="208"/>
  <c r="AG2472" i="208"/>
  <c r="AG2460" i="208"/>
  <c r="AG2448" i="208"/>
  <c r="AG2436" i="208"/>
  <c r="AG2424" i="208"/>
  <c r="AG2412" i="208"/>
  <c r="AG2400" i="208"/>
  <c r="AG2388" i="208"/>
  <c r="AG2376" i="208"/>
  <c r="AG2364" i="208"/>
  <c r="AG2352" i="208"/>
  <c r="AG2340" i="208"/>
  <c r="AG2328" i="208"/>
  <c r="AG2316" i="208"/>
  <c r="AG2304" i="208"/>
  <c r="AG2292" i="208"/>
  <c r="AG2280" i="208"/>
  <c r="AG2268" i="208"/>
  <c r="AG2256" i="208"/>
  <c r="AG2244" i="208"/>
  <c r="AG2232" i="208"/>
  <c r="AG2220" i="208"/>
  <c r="AG2208" i="208"/>
  <c r="AG2196" i="208"/>
  <c r="AG2184" i="208"/>
  <c r="AG2172" i="208"/>
  <c r="AG2160" i="208"/>
  <c r="AG2148" i="208"/>
  <c r="AG2136" i="208"/>
  <c r="AG2124" i="208"/>
  <c r="AG2112" i="208"/>
  <c r="AG2100" i="208"/>
  <c r="AG2088" i="208"/>
  <c r="AG2076" i="208"/>
  <c r="AG2064" i="208"/>
  <c r="AG2052" i="208"/>
  <c r="AG2040" i="208"/>
  <c r="AG2028" i="208"/>
  <c r="AG2016" i="208"/>
  <c r="AG2004" i="208"/>
  <c r="AG1992" i="208"/>
  <c r="AG1980" i="208"/>
  <c r="AG1968" i="208"/>
  <c r="AG1956" i="208"/>
  <c r="AG1944" i="208"/>
  <c r="AG1932" i="208"/>
  <c r="AG1920" i="208"/>
  <c r="AG1908" i="208"/>
  <c r="AG1896" i="208"/>
  <c r="AG1884" i="208"/>
  <c r="AG1872" i="208"/>
  <c r="AG1860" i="208"/>
  <c r="AG1848" i="208"/>
  <c r="AG1836" i="208"/>
  <c r="AG1824" i="208"/>
  <c r="AG1812" i="208"/>
  <c r="AG1800" i="208"/>
  <c r="AG1788" i="208"/>
  <c r="AG1776" i="208"/>
  <c r="AG1764" i="208"/>
  <c r="AG1752" i="208"/>
  <c r="AG1740" i="208"/>
  <c r="AG1728" i="208"/>
  <c r="AG1716" i="208"/>
  <c r="AG1704" i="208"/>
  <c r="AG1692" i="208"/>
  <c r="AG1680" i="208"/>
  <c r="AG1668" i="208"/>
  <c r="AG1656" i="208"/>
  <c r="AG1644" i="208"/>
  <c r="AG1632" i="208"/>
  <c r="AG1620" i="208"/>
  <c r="AG1608" i="208"/>
  <c r="AG1596" i="208"/>
  <c r="AG1584" i="208"/>
  <c r="AG1572" i="208"/>
  <c r="AG1560" i="208"/>
  <c r="AG1548" i="208"/>
  <c r="AG1536" i="208"/>
  <c r="AG1524" i="208"/>
  <c r="AG1512" i="208"/>
  <c r="AG1500" i="208"/>
  <c r="AG1488" i="208"/>
  <c r="AG1476" i="208"/>
  <c r="AG1464" i="208"/>
  <c r="AG1452" i="208"/>
  <c r="AG1440" i="208"/>
  <c r="AG1428" i="208"/>
  <c r="AG1416" i="208"/>
  <c r="AG1404" i="208"/>
  <c r="AG1392" i="208"/>
  <c r="AG1380" i="208"/>
  <c r="AG1368" i="208"/>
  <c r="AG1356" i="208"/>
  <c r="AG1344" i="208"/>
  <c r="AG1332" i="208"/>
  <c r="AG1320" i="208"/>
  <c r="AG1308" i="208"/>
  <c r="AG1296" i="208"/>
  <c r="AG1284" i="208"/>
  <c r="AG1272" i="208"/>
  <c r="AG1260" i="208"/>
  <c r="AG1248" i="208"/>
  <c r="AG1236" i="208"/>
  <c r="AG1224" i="208"/>
  <c r="AG1212" i="208"/>
  <c r="AG1200" i="208"/>
  <c r="AG1188" i="208"/>
  <c r="AG1176" i="208"/>
  <c r="AG1164" i="208"/>
  <c r="AG1152" i="208"/>
  <c r="AG1140" i="208"/>
  <c r="AG1128" i="208"/>
  <c r="AG1116" i="208"/>
  <c r="AG1104" i="208"/>
  <c r="AG1092" i="208"/>
  <c r="AG1080" i="208"/>
  <c r="AG1068" i="208"/>
  <c r="AG1056" i="208"/>
  <c r="AG1044" i="208"/>
  <c r="AG2998" i="208"/>
  <c r="AG2986" i="208"/>
  <c r="AG2974" i="208"/>
  <c r="AG2962" i="208"/>
  <c r="AG2950" i="208"/>
  <c r="AG2938" i="208"/>
  <c r="AG2926" i="208"/>
  <c r="AG2914" i="208"/>
  <c r="AG2902" i="208"/>
  <c r="AG2890" i="208"/>
  <c r="AG2878" i="208"/>
  <c r="AG2866" i="208"/>
  <c r="AG2854" i="208"/>
  <c r="AG2842" i="208"/>
  <c r="AG2830" i="208"/>
  <c r="AG2818" i="208"/>
  <c r="AG2806" i="208"/>
  <c r="AG2794" i="208"/>
  <c r="AG2782" i="208"/>
  <c r="AG2770" i="208"/>
  <c r="AG2758" i="208"/>
  <c r="AG2746" i="208"/>
  <c r="AG2734" i="208"/>
  <c r="AG2722" i="208"/>
  <c r="AG2710" i="208"/>
  <c r="AG2698" i="208"/>
  <c r="AG2686" i="208"/>
  <c r="AG2674" i="208"/>
  <c r="AG2662" i="208"/>
  <c r="AG2650" i="208"/>
  <c r="AG2638" i="208"/>
  <c r="AG2626" i="208"/>
  <c r="AG2614" i="208"/>
  <c r="AG2602" i="208"/>
  <c r="AG2590" i="208"/>
  <c r="AG2578" i="208"/>
  <c r="AG2566" i="208"/>
  <c r="AG2554" i="208"/>
  <c r="AG2542" i="208"/>
  <c r="AG2530" i="208"/>
  <c r="AG2518" i="208"/>
  <c r="AG2506" i="208"/>
  <c r="AG2494" i="208"/>
  <c r="AG2482" i="208"/>
  <c r="AG2470" i="208"/>
  <c r="AG2458" i="208"/>
  <c r="AG2446" i="208"/>
  <c r="AG2434" i="208"/>
  <c r="AG2422" i="208"/>
  <c r="AG2410" i="208"/>
  <c r="AG2398" i="208"/>
  <c r="AG2386" i="208"/>
  <c r="AG2374" i="208"/>
  <c r="AG2362" i="208"/>
  <c r="AG2350" i="208"/>
  <c r="AG2338" i="208"/>
  <c r="AG2326" i="208"/>
  <c r="AG2314" i="208"/>
  <c r="AG2302" i="208"/>
  <c r="AG2290" i="208"/>
  <c r="AG2278" i="208"/>
  <c r="AG2266" i="208"/>
  <c r="AG2254" i="208"/>
  <c r="AG2242" i="208"/>
  <c r="AG2230" i="208"/>
  <c r="AG2218" i="208"/>
  <c r="AG2206" i="208"/>
  <c r="AG2194" i="208"/>
  <c r="AG2182" i="208"/>
  <c r="AG2170" i="208"/>
  <c r="AG2158" i="208"/>
  <c r="AG2146" i="208"/>
  <c r="AG2134" i="208"/>
  <c r="AG2122" i="208"/>
  <c r="AG2110" i="208"/>
  <c r="AG2098" i="208"/>
  <c r="AG2086" i="208"/>
  <c r="AG2074" i="208"/>
  <c r="AG2062" i="208"/>
  <c r="AG2050" i="208"/>
  <c r="AG2038" i="208"/>
  <c r="AG2026" i="208"/>
  <c r="AG2014" i="208"/>
  <c r="AG2002" i="208"/>
  <c r="AG1990" i="208"/>
  <c r="AG1978" i="208"/>
  <c r="AG1966" i="208"/>
  <c r="AG1954" i="208"/>
  <c r="AG1942" i="208"/>
  <c r="AG1930" i="208"/>
  <c r="AG1918" i="208"/>
  <c r="AG1906" i="208"/>
  <c r="AG1894" i="208"/>
  <c r="AG1882" i="208"/>
  <c r="AG1870" i="208"/>
  <c r="AG1858" i="208"/>
  <c r="AG1846" i="208"/>
  <c r="AG1834" i="208"/>
  <c r="AG1822" i="208"/>
  <c r="AG1810" i="208"/>
  <c r="AG1798" i="208"/>
  <c r="AG1786" i="208"/>
  <c r="AG1774" i="208"/>
  <c r="AG1762" i="208"/>
  <c r="AG1750" i="208"/>
  <c r="AG1738" i="208"/>
  <c r="AG1726" i="208"/>
  <c r="AG1714" i="208"/>
  <c r="AG1702" i="208"/>
  <c r="AG1690" i="208"/>
  <c r="AG1678" i="208"/>
  <c r="AG1666" i="208"/>
  <c r="AG1654" i="208"/>
  <c r="AG1642" i="208"/>
  <c r="AG1630" i="208"/>
  <c r="AG1618" i="208"/>
  <c r="AG1606" i="208"/>
  <c r="AG1594" i="208"/>
  <c r="AG1582" i="208"/>
  <c r="AG1570" i="208"/>
  <c r="AG1558" i="208"/>
  <c r="AG1546" i="208"/>
  <c r="AG1534" i="208"/>
  <c r="AG1522" i="208"/>
  <c r="AG1510" i="208"/>
  <c r="AG1498" i="208"/>
  <c r="AG1486" i="208"/>
  <c r="AG1474" i="208"/>
  <c r="AG1462" i="208"/>
  <c r="AG1450" i="208"/>
  <c r="AG1438" i="208"/>
  <c r="AG1426" i="208"/>
  <c r="AG1414" i="208"/>
  <c r="AG1402" i="208"/>
  <c r="AG1390" i="208"/>
  <c r="AG1378" i="208"/>
  <c r="AG1366" i="208"/>
  <c r="AG1354" i="208"/>
  <c r="AG1342" i="208"/>
  <c r="AG1330" i="208"/>
  <c r="AG1318" i="208"/>
  <c r="AG1306" i="208"/>
  <c r="AG1294" i="208"/>
  <c r="AG1282" i="208"/>
  <c r="AG1270" i="208"/>
  <c r="AG1258" i="208"/>
  <c r="AG1246" i="208"/>
  <c r="AG1234" i="208"/>
  <c r="AG1222" i="208"/>
  <c r="AG1210" i="208"/>
  <c r="AG1198" i="208"/>
  <c r="AG1186" i="208"/>
  <c r="AG1174" i="208"/>
  <c r="AG1162" i="208"/>
  <c r="AG1150" i="208"/>
  <c r="AG1138" i="208"/>
  <c r="AG1126" i="208"/>
  <c r="AG1114" i="208"/>
  <c r="AG1102" i="208"/>
  <c r="AG1090" i="208"/>
  <c r="AG1078" i="208"/>
  <c r="AG1066" i="208"/>
  <c r="AG1054" i="208"/>
  <c r="AG1042" i="208"/>
  <c r="AG2997" i="208"/>
  <c r="AG2985" i="208"/>
  <c r="AG2973" i="208"/>
  <c r="AG2961" i="208"/>
  <c r="AG2949" i="208"/>
  <c r="AG2937" i="208"/>
  <c r="AG2925" i="208"/>
  <c r="AG2913" i="208"/>
  <c r="AG2901" i="208"/>
  <c r="AG2889" i="208"/>
  <c r="AG2877" i="208"/>
  <c r="AG2865" i="208"/>
  <c r="AG2853" i="208"/>
  <c r="AG2841" i="208"/>
  <c r="AG2829" i="208"/>
  <c r="AG2817" i="208"/>
  <c r="AG2805" i="208"/>
  <c r="AG2793" i="208"/>
  <c r="AG2781" i="208"/>
  <c r="AG2769" i="208"/>
  <c r="AG2757" i="208"/>
  <c r="AG2745" i="208"/>
  <c r="AG2733" i="208"/>
  <c r="AG2721" i="208"/>
  <c r="AG2709" i="208"/>
  <c r="AG2697" i="208"/>
  <c r="AG2685" i="208"/>
  <c r="AG2673" i="208"/>
  <c r="AG2661" i="208"/>
  <c r="AG2649" i="208"/>
  <c r="AG2637" i="208"/>
  <c r="AG2625" i="208"/>
  <c r="AG2613" i="208"/>
  <c r="AG2601" i="208"/>
  <c r="AG2589" i="208"/>
  <c r="AG2577" i="208"/>
  <c r="AG2565" i="208"/>
  <c r="AG2553" i="208"/>
  <c r="AG2541" i="208"/>
  <c r="AG2529" i="208"/>
  <c r="AG2517" i="208"/>
  <c r="AG2505" i="208"/>
  <c r="AG2493" i="208"/>
  <c r="AG2481" i="208"/>
  <c r="AG2469" i="208"/>
  <c r="AG2457" i="208"/>
  <c r="AG2445" i="208"/>
  <c r="AG2433" i="208"/>
  <c r="AG2421" i="208"/>
  <c r="AG2409" i="208"/>
  <c r="AG2397" i="208"/>
  <c r="AG2385" i="208"/>
  <c r="AG2373" i="208"/>
  <c r="AG2361" i="208"/>
  <c r="AG2349" i="208"/>
  <c r="AG2337" i="208"/>
  <c r="AG2325" i="208"/>
  <c r="AG2313" i="208"/>
  <c r="AG2301" i="208"/>
  <c r="AG2289" i="208"/>
  <c r="AG2277" i="208"/>
  <c r="AG2265" i="208"/>
  <c r="AG2253" i="208"/>
  <c r="AG2241" i="208"/>
  <c r="AG2229" i="208"/>
  <c r="AG2217" i="208"/>
  <c r="AG2205" i="208"/>
  <c r="AG2193" i="208"/>
  <c r="AG2181" i="208"/>
  <c r="AG2169" i="208"/>
  <c r="AG2157" i="208"/>
  <c r="AG2145" i="208"/>
  <c r="AG2133" i="208"/>
  <c r="AG2121" i="208"/>
  <c r="AG2109" i="208"/>
  <c r="AG2097" i="208"/>
  <c r="AG2085" i="208"/>
  <c r="AG2073" i="208"/>
  <c r="AG2061" i="208"/>
  <c r="AG2049" i="208"/>
  <c r="AG2037" i="208"/>
  <c r="AG2025" i="208"/>
  <c r="AG2013" i="208"/>
  <c r="AG2001" i="208"/>
  <c r="AG1989" i="208"/>
  <c r="AG1977" i="208"/>
  <c r="AG1965" i="208"/>
  <c r="AG1953" i="208"/>
  <c r="AG1941" i="208"/>
  <c r="AG1929" i="208"/>
  <c r="AG1917" i="208"/>
  <c r="AG1905" i="208"/>
  <c r="AG1893" i="208"/>
  <c r="AG1881" i="208"/>
  <c r="AG1869" i="208"/>
  <c r="AG1857" i="208"/>
  <c r="AG1845" i="208"/>
  <c r="AG1833" i="208"/>
  <c r="AG1821" i="208"/>
  <c r="AG1809" i="208"/>
  <c r="AG1797" i="208"/>
  <c r="AG1785" i="208"/>
  <c r="AG1773" i="208"/>
  <c r="AG1761" i="208"/>
  <c r="AG1749" i="208"/>
  <c r="AG1737" i="208"/>
  <c r="AG1725" i="208"/>
  <c r="AG1713" i="208"/>
  <c r="AG1701" i="208"/>
  <c r="AG1689" i="208"/>
  <c r="AG1677" i="208"/>
  <c r="AG1665" i="208"/>
  <c r="AG1653" i="208"/>
  <c r="AG1641" i="208"/>
  <c r="AG1629" i="208"/>
  <c r="AG1617" i="208"/>
  <c r="AG1605" i="208"/>
  <c r="AG1593" i="208"/>
  <c r="AG1581" i="208"/>
  <c r="AG1569" i="208"/>
  <c r="AG1557" i="208"/>
  <c r="AG1545" i="208"/>
  <c r="AG1533" i="208"/>
  <c r="AG1521" i="208"/>
  <c r="AG1509" i="208"/>
  <c r="AG1497" i="208"/>
  <c r="AG1485" i="208"/>
  <c r="AG1473" i="208"/>
  <c r="AG1461" i="208"/>
  <c r="AG1449" i="208"/>
  <c r="AG1437" i="208"/>
  <c r="AG1425" i="208"/>
  <c r="AG1413" i="208"/>
  <c r="AG1401" i="208"/>
  <c r="AG1389" i="208"/>
  <c r="AG1377" i="208"/>
  <c r="AG1365" i="208"/>
  <c r="AG1353" i="208"/>
  <c r="AG1341" i="208"/>
  <c r="AG1329" i="208"/>
  <c r="AG1317" i="208"/>
  <c r="AG1305" i="208"/>
  <c r="AG1293" i="208"/>
  <c r="AG1281" i="208"/>
  <c r="AG1269" i="208"/>
  <c r="AG1257" i="208"/>
  <c r="AG1245" i="208"/>
  <c r="AG1233" i="208"/>
  <c r="AG1221" i="208"/>
  <c r="AG1209" i="208"/>
  <c r="AG1197" i="208"/>
  <c r="AG1185" i="208"/>
  <c r="AG1173" i="208"/>
  <c r="AG1161" i="208"/>
  <c r="AG1149" i="208"/>
  <c r="AG1137" i="208"/>
  <c r="AG1125" i="208"/>
  <c r="AG1113" i="208"/>
  <c r="AG1101" i="208"/>
  <c r="AG1089" i="208"/>
  <c r="AG1077" i="208"/>
  <c r="AG1065" i="208"/>
  <c r="AG1053" i="208"/>
  <c r="AG2996" i="208"/>
  <c r="AG2984" i="208"/>
  <c r="AG2972" i="208"/>
  <c r="AG2960" i="208"/>
  <c r="AG2948" i="208"/>
  <c r="AG2936" i="208"/>
  <c r="AG2924" i="208"/>
  <c r="AG2912" i="208"/>
  <c r="AG2900" i="208"/>
  <c r="AG2888" i="208"/>
  <c r="AG2876" i="208"/>
  <c r="AG2864" i="208"/>
  <c r="AG2852" i="208"/>
  <c r="AG2840" i="208"/>
  <c r="AG2828" i="208"/>
  <c r="AG2816" i="208"/>
  <c r="AG2804" i="208"/>
  <c r="AG2792" i="208"/>
  <c r="AG2780" i="208"/>
  <c r="AG2768" i="208"/>
  <c r="AG2756" i="208"/>
  <c r="AG2744" i="208"/>
  <c r="AG2732" i="208"/>
  <c r="AG2720" i="208"/>
  <c r="AG2708" i="208"/>
  <c r="AG2696" i="208"/>
  <c r="AG2684" i="208"/>
  <c r="AG2672" i="208"/>
  <c r="AG2660" i="208"/>
  <c r="AG2648" i="208"/>
  <c r="AG2636" i="208"/>
  <c r="AG2624" i="208"/>
  <c r="AG2612" i="208"/>
  <c r="AG2600" i="208"/>
  <c r="AG2588" i="208"/>
  <c r="AG2576" i="208"/>
  <c r="AG2564" i="208"/>
  <c r="AG2552" i="208"/>
  <c r="AG2540" i="208"/>
  <c r="AG2528" i="208"/>
  <c r="AG2516" i="208"/>
  <c r="AG2504" i="208"/>
  <c r="AG2492" i="208"/>
  <c r="AG2480" i="208"/>
  <c r="AG2468" i="208"/>
  <c r="AG2456" i="208"/>
  <c r="AG2444" i="208"/>
  <c r="AG2432" i="208"/>
  <c r="AG2420" i="208"/>
  <c r="AG2408" i="208"/>
  <c r="AG2396" i="208"/>
  <c r="AG2384" i="208"/>
  <c r="AG2372" i="208"/>
  <c r="AG2360" i="208"/>
  <c r="AG2348" i="208"/>
  <c r="AG2336" i="208"/>
  <c r="AG2324" i="208"/>
  <c r="AG2312" i="208"/>
  <c r="AG2300" i="208"/>
  <c r="AG2288" i="208"/>
  <c r="AG2276" i="208"/>
  <c r="AG2264" i="208"/>
  <c r="AG2252" i="208"/>
  <c r="AG2240" i="208"/>
  <c r="AG2228" i="208"/>
  <c r="AG2216" i="208"/>
  <c r="AG2204" i="208"/>
  <c r="AG2192" i="208"/>
  <c r="AG2180" i="208"/>
  <c r="AG2168" i="208"/>
  <c r="AG2156" i="208"/>
  <c r="AG2144" i="208"/>
  <c r="AG2132" i="208"/>
  <c r="AG2120" i="208"/>
  <c r="AG2108" i="208"/>
  <c r="AG2096" i="208"/>
  <c r="AG2084" i="208"/>
  <c r="AG2072" i="208"/>
  <c r="AG2060" i="208"/>
  <c r="AG2048" i="208"/>
  <c r="AG2036" i="208"/>
  <c r="AG2024" i="208"/>
  <c r="AG2012" i="208"/>
  <c r="AG2000" i="208"/>
  <c r="AG1988" i="208"/>
  <c r="AG1976" i="208"/>
  <c r="AG1964" i="208"/>
  <c r="AG1952" i="208"/>
  <c r="AG1940" i="208"/>
  <c r="AG1928" i="208"/>
  <c r="AG1916" i="208"/>
  <c r="AG1904" i="208"/>
  <c r="AG1892" i="208"/>
  <c r="AG1880" i="208"/>
  <c r="AG1868" i="208"/>
  <c r="AG1856" i="208"/>
  <c r="AG1844" i="208"/>
  <c r="AG1832" i="208"/>
  <c r="AG1820" i="208"/>
  <c r="AG1808" i="208"/>
  <c r="AG1796" i="208"/>
  <c r="AG1784" i="208"/>
  <c r="AG1772" i="208"/>
  <c r="AG1760" i="208"/>
  <c r="AG1748" i="208"/>
  <c r="AG1736" i="208"/>
  <c r="AG1724" i="208"/>
  <c r="AG1712" i="208"/>
  <c r="AG1700" i="208"/>
  <c r="AG1688" i="208"/>
  <c r="AG1676" i="208"/>
  <c r="AG1664" i="208"/>
  <c r="AG1652" i="208"/>
  <c r="AG1640" i="208"/>
  <c r="AG1628" i="208"/>
  <c r="AG1616" i="208"/>
  <c r="AG1604" i="208"/>
  <c r="AG1592" i="208"/>
  <c r="AG1580" i="208"/>
  <c r="AG1568" i="208"/>
  <c r="AG1556" i="208"/>
  <c r="AG1544" i="208"/>
  <c r="AG1532" i="208"/>
  <c r="AG1520" i="208"/>
  <c r="AG1508" i="208"/>
  <c r="AG1496" i="208"/>
  <c r="AG1484" i="208"/>
  <c r="AG1472" i="208"/>
  <c r="AG1460" i="208"/>
  <c r="AG1448" i="208"/>
  <c r="AG1436" i="208"/>
  <c r="AG1424" i="208"/>
  <c r="AG1412" i="208"/>
  <c r="AG1400" i="208"/>
  <c r="AG1388" i="208"/>
  <c r="AG1376" i="208"/>
  <c r="AG1364" i="208"/>
  <c r="AG1352" i="208"/>
  <c r="AG1340" i="208"/>
  <c r="AG1328" i="208"/>
  <c r="AG1316" i="208"/>
  <c r="AG1304" i="208"/>
  <c r="AG1292" i="208"/>
  <c r="AG1280" i="208"/>
  <c r="AG1268" i="208"/>
  <c r="AG1256" i="208"/>
  <c r="AG1244" i="208"/>
  <c r="AG1232" i="208"/>
  <c r="AG1220" i="208"/>
  <c r="AG1208" i="208"/>
  <c r="AG1196" i="208"/>
  <c r="AG1184" i="208"/>
  <c r="AG1172" i="208"/>
  <c r="AG1160" i="208"/>
  <c r="AG1148" i="208"/>
  <c r="AG1136" i="208"/>
  <c r="AG1124" i="208"/>
  <c r="AG1112" i="208"/>
  <c r="AG1100" i="208"/>
  <c r="AG1088" i="208"/>
  <c r="AG1076" i="208"/>
  <c r="AG1064" i="208"/>
  <c r="AG1052" i="208"/>
  <c r="AG2995" i="208"/>
  <c r="AG2983" i="208"/>
  <c r="AG2971" i="208"/>
  <c r="AG2959" i="208"/>
  <c r="AG2947" i="208"/>
  <c r="AG2935" i="208"/>
  <c r="AG2923" i="208"/>
  <c r="AG2911" i="208"/>
  <c r="AG2899" i="208"/>
  <c r="AG2887" i="208"/>
  <c r="AG2875" i="208"/>
  <c r="AG2863" i="208"/>
  <c r="AG2851" i="208"/>
  <c r="AG2839" i="208"/>
  <c r="AG2827" i="208"/>
  <c r="AG2815" i="208"/>
  <c r="AG2803" i="208"/>
  <c r="AG2791" i="208"/>
  <c r="AG2779" i="208"/>
  <c r="AG2767" i="208"/>
  <c r="AG2755" i="208"/>
  <c r="AG2743" i="208"/>
  <c r="AG2731" i="208"/>
  <c r="AG2719" i="208"/>
  <c r="AG2707" i="208"/>
  <c r="AG2695" i="208"/>
  <c r="AG2683" i="208"/>
  <c r="AG2671" i="208"/>
  <c r="AG2659" i="208"/>
  <c r="AG2647" i="208"/>
  <c r="AG2635" i="208"/>
  <c r="AG2623" i="208"/>
  <c r="AG2611" i="208"/>
  <c r="AG2599" i="208"/>
  <c r="AG2587" i="208"/>
  <c r="AG2575" i="208"/>
  <c r="AG2563" i="208"/>
  <c r="AG2551" i="208"/>
  <c r="AG2539" i="208"/>
  <c r="AG2527" i="208"/>
  <c r="AG2515" i="208"/>
  <c r="AG2503" i="208"/>
  <c r="AG2491" i="208"/>
  <c r="AG2479" i="208"/>
  <c r="AG2467" i="208"/>
  <c r="AG2455" i="208"/>
  <c r="AG2443" i="208"/>
  <c r="AG2431" i="208"/>
  <c r="AG2419" i="208"/>
  <c r="AG2407" i="208"/>
  <c r="AG2395" i="208"/>
  <c r="AG2383" i="208"/>
  <c r="AG2371" i="208"/>
  <c r="AG2359" i="208"/>
  <c r="AG2347" i="208"/>
  <c r="AG2335" i="208"/>
  <c r="AG2323" i="208"/>
  <c r="AG2311" i="208"/>
  <c r="AG2299" i="208"/>
  <c r="AG2287" i="208"/>
  <c r="AG2275" i="208"/>
  <c r="AG2263" i="208"/>
  <c r="AG2251" i="208"/>
  <c r="AG2239" i="208"/>
  <c r="AG2227" i="208"/>
  <c r="AG2215" i="208"/>
  <c r="AG2203" i="208"/>
  <c r="AG2191" i="208"/>
  <c r="AG2179" i="208"/>
  <c r="AG2167" i="208"/>
  <c r="AG2155" i="208"/>
  <c r="AG2143" i="208"/>
  <c r="AG2131" i="208"/>
  <c r="AG2119" i="208"/>
  <c r="AG2107" i="208"/>
  <c r="AG2095" i="208"/>
  <c r="AG2083" i="208"/>
  <c r="AG2071" i="208"/>
  <c r="AG2059" i="208"/>
  <c r="AG2047" i="208"/>
  <c r="AG2035" i="208"/>
  <c r="AG2023" i="208"/>
  <c r="AG2011" i="208"/>
  <c r="AG1999" i="208"/>
  <c r="AG1987" i="208"/>
  <c r="AG1975" i="208"/>
  <c r="AG1963" i="208"/>
  <c r="AG1951" i="208"/>
  <c r="AG1939" i="208"/>
  <c r="AG1927" i="208"/>
  <c r="AG1915" i="208"/>
  <c r="AG1903" i="208"/>
  <c r="AG1891" i="208"/>
  <c r="AG1879" i="208"/>
  <c r="AG1867" i="208"/>
  <c r="AG1855" i="208"/>
  <c r="AG1843" i="208"/>
  <c r="AG1831" i="208"/>
  <c r="AG1819" i="208"/>
  <c r="AG1807" i="208"/>
  <c r="AG1795" i="208"/>
  <c r="AG1783" i="208"/>
  <c r="AG1771" i="208"/>
  <c r="AG1759" i="208"/>
  <c r="AG1747" i="208"/>
  <c r="AG1735" i="208"/>
  <c r="AG1723" i="208"/>
  <c r="AG1711" i="208"/>
  <c r="AG1699" i="208"/>
  <c r="AG1687" i="208"/>
  <c r="AG1675" i="208"/>
  <c r="AG1663" i="208"/>
  <c r="AG1651" i="208"/>
  <c r="AG1639" i="208"/>
  <c r="AG1627" i="208"/>
  <c r="AG1615" i="208"/>
  <c r="AG1603" i="208"/>
  <c r="AG1591" i="208"/>
  <c r="AG1579" i="208"/>
  <c r="AG1567" i="208"/>
  <c r="AG1555" i="208"/>
  <c r="AG1543" i="208"/>
  <c r="AG1531" i="208"/>
  <c r="AG1519" i="208"/>
  <c r="AG1507" i="208"/>
  <c r="AG1495" i="208"/>
  <c r="AG1483" i="208"/>
  <c r="AG1471" i="208"/>
  <c r="AG1459" i="208"/>
  <c r="AG1447" i="208"/>
  <c r="AG1435" i="208"/>
  <c r="AG1423" i="208"/>
  <c r="AG1411" i="208"/>
  <c r="AG1399" i="208"/>
  <c r="AG1387" i="208"/>
  <c r="AG1375" i="208"/>
  <c r="AG1363" i="208"/>
  <c r="AG1351" i="208"/>
  <c r="AG1339" i="208"/>
  <c r="AG1327" i="208"/>
  <c r="AG1315" i="208"/>
  <c r="AG1303" i="208"/>
  <c r="AG1291" i="208"/>
  <c r="AG1279" i="208"/>
  <c r="AG1267" i="208"/>
  <c r="AG1255" i="208"/>
  <c r="AG1243" i="208"/>
  <c r="AG1231" i="208"/>
  <c r="AG1219" i="208"/>
  <c r="AG1207" i="208"/>
  <c r="AG1195" i="208"/>
  <c r="AG1183" i="208"/>
  <c r="AG1171" i="208"/>
  <c r="AG1159" i="208"/>
  <c r="AG1147" i="208"/>
  <c r="AG1135" i="208"/>
  <c r="AG1123" i="208"/>
  <c r="AG1111" i="208"/>
  <c r="AG1099" i="208"/>
  <c r="AG1087" i="208"/>
  <c r="AG1075" i="208"/>
  <c r="AG1063" i="208"/>
  <c r="AG1051" i="208"/>
  <c r="AG2994" i="208"/>
  <c r="AG2982" i="208"/>
  <c r="AG2970" i="208"/>
  <c r="AG2958" i="208"/>
  <c r="AG2946" i="208"/>
  <c r="AG2934" i="208"/>
  <c r="AG2922" i="208"/>
  <c r="AG2910" i="208"/>
  <c r="AG2898" i="208"/>
  <c r="AG2886" i="208"/>
  <c r="AG2874" i="208"/>
  <c r="AG2862" i="208"/>
  <c r="AG2850" i="208"/>
  <c r="AG2838" i="208"/>
  <c r="AG2826" i="208"/>
  <c r="AG2814" i="208"/>
  <c r="AG2802" i="208"/>
  <c r="AG2790" i="208"/>
  <c r="AG2778" i="208"/>
  <c r="AG2766" i="208"/>
  <c r="AG2754" i="208"/>
  <c r="AG2742" i="208"/>
  <c r="AG2730" i="208"/>
  <c r="AG2718" i="208"/>
  <c r="AG2706" i="208"/>
  <c r="AG2694" i="208"/>
  <c r="AG2682" i="208"/>
  <c r="AG2670" i="208"/>
  <c r="AG2658" i="208"/>
  <c r="AG2646" i="208"/>
  <c r="AG2634" i="208"/>
  <c r="AG2622" i="208"/>
  <c r="AG2610" i="208"/>
  <c r="AG2598" i="208"/>
  <c r="AG2586" i="208"/>
  <c r="AG2574" i="208"/>
  <c r="AG2562" i="208"/>
  <c r="AG2550" i="208"/>
  <c r="AG2538" i="208"/>
  <c r="AG2526" i="208"/>
  <c r="AG2514" i="208"/>
  <c r="AG2502" i="208"/>
  <c r="AG2490" i="208"/>
  <c r="AG2478" i="208"/>
  <c r="AG2466" i="208"/>
  <c r="AG2454" i="208"/>
  <c r="AG2442" i="208"/>
  <c r="AG2430" i="208"/>
  <c r="AG2418" i="208"/>
  <c r="AG2406" i="208"/>
  <c r="AG2394" i="208"/>
  <c r="AG2382" i="208"/>
  <c r="AG2370" i="208"/>
  <c r="AG2358" i="208"/>
  <c r="AG2346" i="208"/>
  <c r="AG2334" i="208"/>
  <c r="AG2322" i="208"/>
  <c r="AG2310" i="208"/>
  <c r="AG2298" i="208"/>
  <c r="AG2286" i="208"/>
  <c r="AG2274" i="208"/>
  <c r="AG2262" i="208"/>
  <c r="AG2250" i="208"/>
  <c r="AG2238" i="208"/>
  <c r="AG2226" i="208"/>
  <c r="AG2214" i="208"/>
  <c r="AG2202" i="208"/>
  <c r="AG2190" i="208"/>
  <c r="AG2178" i="208"/>
  <c r="AG2166" i="208"/>
  <c r="AG2154" i="208"/>
  <c r="AG2142" i="208"/>
  <c r="AG2130" i="208"/>
  <c r="AG2118" i="208"/>
  <c r="AG2106" i="208"/>
  <c r="AG2094" i="208"/>
  <c r="AG2082" i="208"/>
  <c r="AG2070" i="208"/>
  <c r="AG2058" i="208"/>
  <c r="AG2046" i="208"/>
  <c r="AG2034" i="208"/>
  <c r="AG2022" i="208"/>
  <c r="AG2010" i="208"/>
  <c r="AG1998" i="208"/>
  <c r="AG1986" i="208"/>
  <c r="AG1974" i="208"/>
  <c r="AG1962" i="208"/>
  <c r="AG1950" i="208"/>
  <c r="AG1938" i="208"/>
  <c r="AG1926" i="208"/>
  <c r="AG1914" i="208"/>
  <c r="AG1902" i="208"/>
  <c r="AG1890" i="208"/>
  <c r="AG1878" i="208"/>
  <c r="AG1866" i="208"/>
  <c r="AG1854" i="208"/>
  <c r="AG1842" i="208"/>
  <c r="AG1830" i="208"/>
  <c r="AG1818" i="208"/>
  <c r="AG1806" i="208"/>
  <c r="AG1794" i="208"/>
  <c r="AG1782" i="208"/>
  <c r="AG1770" i="208"/>
  <c r="AG1758" i="208"/>
  <c r="AG1746" i="208"/>
  <c r="AG1734" i="208"/>
  <c r="AG1722" i="208"/>
  <c r="AG1710" i="208"/>
  <c r="AG1698" i="208"/>
  <c r="AG1686" i="208"/>
  <c r="AG1674" i="208"/>
  <c r="AG1662" i="208"/>
  <c r="AG1650" i="208"/>
  <c r="AG1638" i="208"/>
  <c r="AG1626" i="208"/>
  <c r="AG1614" i="208"/>
  <c r="AG1602" i="208"/>
  <c r="AG1590" i="208"/>
  <c r="AG1578" i="208"/>
  <c r="AG1566" i="208"/>
  <c r="AG1554" i="208"/>
  <c r="AG1542" i="208"/>
  <c r="AG1530" i="208"/>
  <c r="AG1518" i="208"/>
  <c r="AG1506" i="208"/>
  <c r="AG1494" i="208"/>
  <c r="AG1482" i="208"/>
  <c r="AG1470" i="208"/>
  <c r="AG1458" i="208"/>
  <c r="AG1446" i="208"/>
  <c r="AG1434" i="208"/>
  <c r="AG1422" i="208"/>
  <c r="AG1410" i="208"/>
  <c r="AG1398" i="208"/>
  <c r="AG1386" i="208"/>
  <c r="AG1374" i="208"/>
  <c r="AG1362" i="208"/>
  <c r="AG1350" i="208"/>
  <c r="AG1338" i="208"/>
  <c r="AG1326" i="208"/>
  <c r="AG1314" i="208"/>
  <c r="AG1302" i="208"/>
  <c r="AG1290" i="208"/>
  <c r="AG1278" i="208"/>
  <c r="AG1266" i="208"/>
  <c r="AG1254" i="208"/>
  <c r="AG1242" i="208"/>
  <c r="AG1230" i="208"/>
  <c r="AG1218" i="208"/>
  <c r="AG1206" i="208"/>
  <c r="AG1194" i="208"/>
  <c r="AG1182" i="208"/>
  <c r="AG1170" i="208"/>
  <c r="AG1158" i="208"/>
  <c r="AG1146" i="208"/>
  <c r="AG1134" i="208"/>
  <c r="AG1122" i="208"/>
  <c r="AG1110" i="208"/>
  <c r="AG1098" i="208"/>
  <c r="AG1086" i="208"/>
  <c r="AG1074" i="208"/>
  <c r="AG1062" i="208"/>
  <c r="AG1050" i="208"/>
  <c r="AG2993" i="208"/>
  <c r="AG2981" i="208"/>
  <c r="AG2969" i="208"/>
  <c r="AG2957" i="208"/>
  <c r="AG2945" i="208"/>
  <c r="AG2933" i="208"/>
  <c r="AG2921" i="208"/>
  <c r="AG2909" i="208"/>
  <c r="AG2897" i="208"/>
  <c r="AG2885" i="208"/>
  <c r="AG2873" i="208"/>
  <c r="AG2861" i="208"/>
  <c r="AG2849" i="208"/>
  <c r="AG2837" i="208"/>
  <c r="AG2825" i="208"/>
  <c r="AG2813" i="208"/>
  <c r="AG2801" i="208"/>
  <c r="AG2789" i="208"/>
  <c r="AG2777" i="208"/>
  <c r="AG2765" i="208"/>
  <c r="AG2753" i="208"/>
  <c r="AG2741" i="208"/>
  <c r="AG2729" i="208"/>
  <c r="AG2717" i="208"/>
  <c r="AG2705" i="208"/>
  <c r="AG2693" i="208"/>
  <c r="AG2681" i="208"/>
  <c r="AG2669" i="208"/>
  <c r="AG2657" i="208"/>
  <c r="AG2645" i="208"/>
  <c r="AG2633" i="208"/>
  <c r="AG2621" i="208"/>
  <c r="AG2609" i="208"/>
  <c r="AG2597" i="208"/>
  <c r="AG2585" i="208"/>
  <c r="AG2573" i="208"/>
  <c r="AG2561" i="208"/>
  <c r="AG2549" i="208"/>
  <c r="AG2537" i="208"/>
  <c r="AG2525" i="208"/>
  <c r="AG2513" i="208"/>
  <c r="AG2501" i="208"/>
  <c r="AG2489" i="208"/>
  <c r="AG2477" i="208"/>
  <c r="AG2465" i="208"/>
  <c r="AG2453" i="208"/>
  <c r="AG2441" i="208"/>
  <c r="AG2429" i="208"/>
  <c r="AG2417" i="208"/>
  <c r="AG2405" i="208"/>
  <c r="AG2393" i="208"/>
  <c r="AG2381" i="208"/>
  <c r="AG2369" i="208"/>
  <c r="AG2357" i="208"/>
  <c r="AG2345" i="208"/>
  <c r="AG2333" i="208"/>
  <c r="AG2321" i="208"/>
  <c r="AG2309" i="208"/>
  <c r="AG2297" i="208"/>
  <c r="AG2285" i="208"/>
  <c r="AG2273" i="208"/>
  <c r="AG2261" i="208"/>
  <c r="AG2249" i="208"/>
  <c r="AG2237" i="208"/>
  <c r="AG2225" i="208"/>
  <c r="AG2213" i="208"/>
  <c r="AG2201" i="208"/>
  <c r="AG2189" i="208"/>
  <c r="AG2177" i="208"/>
  <c r="AG2165" i="208"/>
  <c r="AG2153" i="208"/>
  <c r="AG2141" i="208"/>
  <c r="AG2129" i="208"/>
  <c r="AG2117" i="208"/>
  <c r="AG2105" i="208"/>
  <c r="AG2093" i="208"/>
  <c r="AG2081" i="208"/>
  <c r="AG2069" i="208"/>
  <c r="AG2057" i="208"/>
  <c r="AG2045" i="208"/>
  <c r="AG2033" i="208"/>
  <c r="AG2021" i="208"/>
  <c r="AG2009" i="208"/>
  <c r="AG1997" i="208"/>
  <c r="AG1985" i="208"/>
  <c r="AG1973" i="208"/>
  <c r="AG1961" i="208"/>
  <c r="AG1949" i="208"/>
  <c r="AG1937" i="208"/>
  <c r="AG1925" i="208"/>
  <c r="AG1913" i="208"/>
  <c r="AG1901" i="208"/>
  <c r="AG1889" i="208"/>
  <c r="AG1877" i="208"/>
  <c r="AG1865" i="208"/>
  <c r="AG1853" i="208"/>
  <c r="AG1841" i="208"/>
  <c r="AG1829" i="208"/>
  <c r="AG1817" i="208"/>
  <c r="AG1805" i="208"/>
  <c r="AG1793" i="208"/>
  <c r="AG1781" i="208"/>
  <c r="AG1769" i="208"/>
  <c r="AG1757" i="208"/>
  <c r="AG1745" i="208"/>
  <c r="AG1733" i="208"/>
  <c r="AG1721" i="208"/>
  <c r="AG1709" i="208"/>
  <c r="AG1697" i="208"/>
  <c r="AG1685" i="208"/>
  <c r="AG1673" i="208"/>
  <c r="AG1661" i="208"/>
  <c r="AG1649" i="208"/>
  <c r="AG1637" i="208"/>
  <c r="AG1625" i="208"/>
  <c r="AG1613" i="208"/>
  <c r="AG1601" i="208"/>
  <c r="AG1589" i="208"/>
  <c r="AG1577" i="208"/>
  <c r="AG1565" i="208"/>
  <c r="AG1553" i="208"/>
  <c r="AG1541" i="208"/>
  <c r="AG1529" i="208"/>
  <c r="AG1517" i="208"/>
  <c r="AG1505" i="208"/>
  <c r="AG1493" i="208"/>
  <c r="AG1481" i="208"/>
  <c r="AG1469" i="208"/>
  <c r="AG1457" i="208"/>
  <c r="AG1445" i="208"/>
  <c r="AG1433" i="208"/>
  <c r="AG1421" i="208"/>
  <c r="AG1409" i="208"/>
  <c r="AG1397" i="208"/>
  <c r="AG1385" i="208"/>
  <c r="AG1373" i="208"/>
  <c r="AG1361" i="208"/>
  <c r="AG1349" i="208"/>
  <c r="AG1337" i="208"/>
  <c r="AG1325" i="208"/>
  <c r="AG1313" i="208"/>
  <c r="AG1301" i="208"/>
  <c r="AG1289" i="208"/>
  <c r="AG1277" i="208"/>
  <c r="AG1265" i="208"/>
  <c r="AG1253" i="208"/>
  <c r="AG1241" i="208"/>
  <c r="AG1229" i="208"/>
  <c r="AG1217" i="208"/>
  <c r="AG1205" i="208"/>
  <c r="AG1193" i="208"/>
  <c r="AG1181" i="208"/>
  <c r="AG1169" i="208"/>
  <c r="AG1157" i="208"/>
  <c r="AG1145" i="208"/>
  <c r="AG1133" i="208"/>
  <c r="AG1121" i="208"/>
  <c r="AG1109" i="208"/>
  <c r="AG1097" i="208"/>
  <c r="AG1085" i="208"/>
  <c r="AG1073" i="208"/>
  <c r="AG1061" i="208"/>
  <c r="AG1049" i="208"/>
  <c r="AG2992" i="208"/>
  <c r="AG2980" i="208"/>
  <c r="AG2968" i="208"/>
  <c r="AG2956" i="208"/>
  <c r="AG2944" i="208"/>
  <c r="AG2932" i="208"/>
  <c r="AG2920" i="208"/>
  <c r="AG2908" i="208"/>
  <c r="AG2896" i="208"/>
  <c r="AG2884" i="208"/>
  <c r="AG2872" i="208"/>
  <c r="AG2860" i="208"/>
  <c r="AG2848" i="208"/>
  <c r="AG2836" i="208"/>
  <c r="AG2824" i="208"/>
  <c r="AG2812" i="208"/>
  <c r="AG2800" i="208"/>
  <c r="AG2788" i="208"/>
  <c r="AG2776" i="208"/>
  <c r="AG2764" i="208"/>
  <c r="AG2752" i="208"/>
  <c r="AG2740" i="208"/>
  <c r="AG2728" i="208"/>
  <c r="AG2716" i="208"/>
  <c r="AG2704" i="208"/>
  <c r="AG2692" i="208"/>
  <c r="AG2680" i="208"/>
  <c r="AG2668" i="208"/>
  <c r="AG2656" i="208"/>
  <c r="AG2644" i="208"/>
  <c r="AG2632" i="208"/>
  <c r="AG2620" i="208"/>
  <c r="AG2608" i="208"/>
  <c r="AG2596" i="208"/>
  <c r="AG2584" i="208"/>
  <c r="AG2572" i="208"/>
  <c r="AG2560" i="208"/>
  <c r="AG2548" i="208"/>
  <c r="AG2536" i="208"/>
  <c r="AG2524" i="208"/>
  <c r="AG2512" i="208"/>
  <c r="AG2500" i="208"/>
  <c r="AG2488" i="208"/>
  <c r="AG2476" i="208"/>
  <c r="AG2464" i="208"/>
  <c r="AG2452" i="208"/>
  <c r="AG2440" i="208"/>
  <c r="AG2428" i="208"/>
  <c r="AG2416" i="208"/>
  <c r="AG2404" i="208"/>
  <c r="AG2392" i="208"/>
  <c r="AG2380" i="208"/>
  <c r="AG2368" i="208"/>
  <c r="AG2356" i="208"/>
  <c r="AG2344" i="208"/>
  <c r="AG2332" i="208"/>
  <c r="AG2320" i="208"/>
  <c r="AG2308" i="208"/>
  <c r="AG2296" i="208"/>
  <c r="AG2284" i="208"/>
  <c r="AG2272" i="208"/>
  <c r="AG2260" i="208"/>
  <c r="AG2248" i="208"/>
  <c r="AG2236" i="208"/>
  <c r="AG2224" i="208"/>
  <c r="AG2212" i="208"/>
  <c r="AG2200" i="208"/>
  <c r="AG2188" i="208"/>
  <c r="AG2176" i="208"/>
  <c r="AG2164" i="208"/>
  <c r="AG2152" i="208"/>
  <c r="AG2140" i="208"/>
  <c r="AG2128" i="208"/>
  <c r="AG2116" i="208"/>
  <c r="AG2104" i="208"/>
  <c r="AG2092" i="208"/>
  <c r="AG2080" i="208"/>
  <c r="AG2068" i="208"/>
  <c r="AG2056" i="208"/>
  <c r="AG2044" i="208"/>
  <c r="AG2032" i="208"/>
  <c r="AG2020" i="208"/>
  <c r="AG2008" i="208"/>
  <c r="AG1996" i="208"/>
  <c r="AG1984" i="208"/>
  <c r="AG1972" i="208"/>
  <c r="AG1960" i="208"/>
  <c r="AG1948" i="208"/>
  <c r="AG1936" i="208"/>
  <c r="AG1924" i="208"/>
  <c r="AG1912" i="208"/>
  <c r="AG1900" i="208"/>
  <c r="AG1888" i="208"/>
  <c r="AG1876" i="208"/>
  <c r="AG1864" i="208"/>
  <c r="AG1852" i="208"/>
  <c r="AG1840" i="208"/>
  <c r="AG1828" i="208"/>
  <c r="AG1816" i="208"/>
  <c r="AG1804" i="208"/>
  <c r="AG1792" i="208"/>
  <c r="AG1780" i="208"/>
  <c r="AG1768" i="208"/>
  <c r="AG1756" i="208"/>
  <c r="AG1744" i="208"/>
  <c r="AG1732" i="208"/>
  <c r="AG1720" i="208"/>
  <c r="AG1708" i="208"/>
  <c r="AG1696" i="208"/>
  <c r="AG1684" i="208"/>
  <c r="AG1672" i="208"/>
  <c r="AG1660" i="208"/>
  <c r="AG1648" i="208"/>
  <c r="AG1636" i="208"/>
  <c r="AG1624" i="208"/>
  <c r="AG1612" i="208"/>
  <c r="AG1600" i="208"/>
  <c r="AG1588" i="208"/>
  <c r="AG1576" i="208"/>
  <c r="AG1564" i="208"/>
  <c r="AG1552" i="208"/>
  <c r="AG1540" i="208"/>
  <c r="AG1528" i="208"/>
  <c r="AG1516" i="208"/>
  <c r="AG1504" i="208"/>
  <c r="AG1492" i="208"/>
  <c r="AG1480" i="208"/>
  <c r="AG1468" i="208"/>
  <c r="AG1456" i="208"/>
  <c r="AG1444" i="208"/>
  <c r="AG1432" i="208"/>
  <c r="AG1420" i="208"/>
  <c r="AG1408" i="208"/>
  <c r="AG1396" i="208"/>
  <c r="AG1384" i="208"/>
  <c r="AG1372" i="208"/>
  <c r="AG1360" i="208"/>
  <c r="AG1348" i="208"/>
  <c r="AG1336" i="208"/>
  <c r="AG1324" i="208"/>
  <c r="AG1312" i="208"/>
  <c r="AG1300" i="208"/>
  <c r="AG1288" i="208"/>
  <c r="AG1276" i="208"/>
  <c r="AG1264" i="208"/>
  <c r="AG1252" i="208"/>
  <c r="AG1240" i="208"/>
  <c r="AG1228" i="208"/>
  <c r="AG1216" i="208"/>
  <c r="AG1204" i="208"/>
  <c r="AG1192" i="208"/>
  <c r="AG1180" i="208"/>
  <c r="AG1168" i="208"/>
  <c r="AG1156" i="208"/>
  <c r="AG1144" i="208"/>
  <c r="AG1132" i="208"/>
  <c r="AG1120" i="208"/>
  <c r="AG1108" i="208"/>
  <c r="AG1096" i="208"/>
  <c r="AG1084" i="208"/>
  <c r="AG1072" i="208"/>
  <c r="AG1060" i="208"/>
  <c r="AG1048" i="208"/>
  <c r="AG2931" i="208"/>
  <c r="AG2919" i="208"/>
  <c r="AG2907" i="208"/>
  <c r="AG2895" i="208"/>
  <c r="AG2883" i="208"/>
  <c r="AG2871" i="208"/>
  <c r="AG2859" i="208"/>
  <c r="AG2847" i="208"/>
  <c r="AG2835" i="208"/>
  <c r="AG2823" i="208"/>
  <c r="AG2811" i="208"/>
  <c r="AG2799" i="208"/>
  <c r="AG2787" i="208"/>
  <c r="AG2775" i="208"/>
  <c r="AG2763" i="208"/>
  <c r="AG2751" i="208"/>
  <c r="AG2739" i="208"/>
  <c r="AG2727" i="208"/>
  <c r="AG2715" i="208"/>
  <c r="AG2703" i="208"/>
  <c r="AG2691" i="208"/>
  <c r="AG2679" i="208"/>
  <c r="AG2667" i="208"/>
  <c r="AG2655" i="208"/>
  <c r="AG2643" i="208"/>
  <c r="AG2631" i="208"/>
  <c r="AG2619" i="208"/>
  <c r="AG2607" i="208"/>
  <c r="AG2595" i="208"/>
  <c r="AG2583" i="208"/>
  <c r="AG2571" i="208"/>
  <c r="AG2559" i="208"/>
  <c r="AG2547" i="208"/>
  <c r="AG2535" i="208"/>
  <c r="AG2523" i="208"/>
  <c r="AG2511" i="208"/>
  <c r="AG2499" i="208"/>
  <c r="AG2487" i="208"/>
  <c r="AG2475" i="208"/>
  <c r="AG2463" i="208"/>
  <c r="AG2451" i="208"/>
  <c r="AG2439" i="208"/>
  <c r="AG2427" i="208"/>
  <c r="AG2415" i="208"/>
  <c r="AG2403" i="208"/>
  <c r="AG2391" i="208"/>
  <c r="AG2379" i="208"/>
  <c r="AG2367" i="208"/>
  <c r="AG2355" i="208"/>
  <c r="AG2343" i="208"/>
  <c r="AG2331" i="208"/>
  <c r="AG2319" i="208"/>
  <c r="AG2307" i="208"/>
  <c r="AG2295" i="208"/>
  <c r="AG2283" i="208"/>
  <c r="AG2271" i="208"/>
  <c r="AG2259" i="208"/>
  <c r="AG2247" i="208"/>
  <c r="AG2235" i="208"/>
  <c r="AG2223" i="208"/>
  <c r="AG2211" i="208"/>
  <c r="AG2199" i="208"/>
  <c r="AG2187" i="208"/>
  <c r="AG2175" i="208"/>
  <c r="AG2163" i="208"/>
  <c r="AG2151" i="208"/>
  <c r="AG2139" i="208"/>
  <c r="AG2127" i="208"/>
  <c r="AG2115" i="208"/>
  <c r="AG2103" i="208"/>
  <c r="AG2091" i="208"/>
  <c r="AG2079" i="208"/>
  <c r="AG2067" i="208"/>
  <c r="AG2055" i="208"/>
  <c r="AG2043" i="208"/>
  <c r="AG2031" i="208"/>
  <c r="AG2019" i="208"/>
  <c r="AG2007" i="208"/>
  <c r="AG1995" i="208"/>
  <c r="AG1983" i="208"/>
  <c r="AG1971" i="208"/>
  <c r="AG1959" i="208"/>
  <c r="AG1947" i="208"/>
  <c r="AG1935" i="208"/>
  <c r="AG1923" i="208"/>
  <c r="AG1911" i="208"/>
  <c r="AG1899" i="208"/>
  <c r="AG1887" i="208"/>
  <c r="AG1875" i="208"/>
  <c r="AG1863" i="208"/>
  <c r="AG1851" i="208"/>
  <c r="AG1839" i="208"/>
  <c r="AG1827" i="208"/>
  <c r="AG1815" i="208"/>
  <c r="AG1803" i="208"/>
  <c r="AG1791" i="208"/>
  <c r="AG1779" i="208"/>
  <c r="AG1767" i="208"/>
  <c r="AG1755" i="208"/>
  <c r="AG1743" i="208"/>
  <c r="AG1731" i="208"/>
  <c r="AG1719" i="208"/>
  <c r="AG1707" i="208"/>
  <c r="AG1695" i="208"/>
  <c r="AG1683" i="208"/>
  <c r="AG1671" i="208"/>
  <c r="AG1659" i="208"/>
  <c r="AG1647" i="208"/>
  <c r="AG1635" i="208"/>
  <c r="AG1623" i="208"/>
  <c r="AG1611" i="208"/>
  <c r="AG1599" i="208"/>
  <c r="AG1587" i="208"/>
  <c r="AG1575" i="208"/>
  <c r="AG1563" i="208"/>
  <c r="AG1551" i="208"/>
  <c r="AG1539" i="208"/>
  <c r="AG1527" i="208"/>
  <c r="AG1515" i="208"/>
  <c r="AG1503" i="208"/>
  <c r="AG1491" i="208"/>
  <c r="AG1479" i="208"/>
  <c r="AG1467" i="208"/>
  <c r="AG1455" i="208"/>
  <c r="AG1443" i="208"/>
  <c r="AG1431" i="208"/>
  <c r="AG1419" i="208"/>
  <c r="AG1407" i="208"/>
  <c r="AG1395" i="208"/>
  <c r="AG1383" i="208"/>
  <c r="AG1371" i="208"/>
  <c r="AG1359" i="208"/>
  <c r="AG1347" i="208"/>
  <c r="AG1335" i="208"/>
  <c r="AG1323" i="208"/>
  <c r="AG1311" i="208"/>
  <c r="AG1299" i="208"/>
  <c r="AG1287" i="208"/>
  <c r="AG1275" i="208"/>
  <c r="AG1263" i="208"/>
  <c r="AG1251" i="208"/>
  <c r="AG1239" i="208"/>
  <c r="AG1227" i="208"/>
  <c r="AG1215" i="208"/>
  <c r="AG1203" i="208"/>
  <c r="AG1191" i="208"/>
  <c r="AG1179" i="208"/>
  <c r="AG1167" i="208"/>
  <c r="AG1155" i="208"/>
  <c r="AG1143" i="208"/>
  <c r="AG1131" i="208"/>
  <c r="AG1119" i="208"/>
  <c r="AG1107" i="208"/>
  <c r="AG1095" i="208"/>
  <c r="AG1083" i="208"/>
  <c r="AG1071" i="208"/>
  <c r="AG1059" i="208"/>
  <c r="AG1047" i="208"/>
  <c r="O1030" i="208"/>
  <c r="AH1030" i="208"/>
  <c r="O1006" i="208"/>
  <c r="AH1006" i="208"/>
  <c r="O982" i="208"/>
  <c r="AH982" i="208"/>
  <c r="O970" i="208"/>
  <c r="AH970" i="208"/>
  <c r="O946" i="208"/>
  <c r="AH946" i="208"/>
  <c r="O922" i="208"/>
  <c r="AH922" i="208"/>
  <c r="AG1034" i="208"/>
  <c r="AG1022" i="208"/>
  <c r="AG1010" i="208"/>
  <c r="AG998" i="208"/>
  <c r="AG986" i="208"/>
  <c r="O1018" i="208"/>
  <c r="AH1018" i="208"/>
  <c r="O994" i="208"/>
  <c r="AH994" i="208"/>
  <c r="O958" i="208"/>
  <c r="AH958" i="208"/>
  <c r="O934" i="208"/>
  <c r="AH934" i="208"/>
  <c r="O910" i="208"/>
  <c r="AH910" i="208"/>
  <c r="O1035" i="208"/>
  <c r="AH1035" i="208"/>
  <c r="O1023" i="208"/>
  <c r="AH1023" i="208"/>
  <c r="O1011" i="208"/>
  <c r="AH1011" i="208"/>
  <c r="O999" i="208"/>
  <c r="AH999" i="208"/>
  <c r="O987" i="208"/>
  <c r="AH987" i="208"/>
  <c r="O975" i="208"/>
  <c r="AH975" i="208"/>
  <c r="O963" i="208"/>
  <c r="AH963" i="208"/>
  <c r="O951" i="208"/>
  <c r="AH951" i="208"/>
  <c r="O939" i="208"/>
  <c r="AH939" i="208"/>
  <c r="O927" i="208"/>
  <c r="AH927" i="208"/>
  <c r="O915" i="208"/>
  <c r="AH915" i="208"/>
  <c r="O903" i="208"/>
  <c r="AH903" i="208"/>
  <c r="AG1033" i="208"/>
  <c r="AG1021" i="208"/>
  <c r="AG1009" i="208"/>
  <c r="AG997" i="208"/>
  <c r="AG985" i="208"/>
  <c r="AG973" i="208"/>
  <c r="AG961" i="208"/>
  <c r="AG949" i="208"/>
  <c r="AG937" i="208"/>
  <c r="AG925" i="208"/>
  <c r="AG913" i="208"/>
  <c r="AG901" i="208"/>
  <c r="O1040" i="208"/>
  <c r="AH1040" i="208"/>
  <c r="O1028" i="208"/>
  <c r="AH1028" i="208"/>
  <c r="AG1032" i="208"/>
  <c r="AG984" i="208"/>
  <c r="O1033" i="208"/>
  <c r="AH1033" i="208"/>
  <c r="O1021" i="208"/>
  <c r="AH1021" i="208"/>
  <c r="O1009" i="208"/>
  <c r="AH1009" i="208"/>
  <c r="O997" i="208"/>
  <c r="AH997" i="208"/>
  <c r="O985" i="208"/>
  <c r="AH985" i="208"/>
  <c r="O973" i="208"/>
  <c r="AH973" i="208"/>
  <c r="O961" i="208"/>
  <c r="AH961" i="208"/>
  <c r="O949" i="208"/>
  <c r="AH949" i="208"/>
  <c r="O937" i="208"/>
  <c r="AH937" i="208"/>
  <c r="O925" i="208"/>
  <c r="AH925" i="208"/>
  <c r="O913" i="208"/>
  <c r="AH913" i="208"/>
  <c r="O901" i="208"/>
  <c r="AH901" i="208"/>
  <c r="AG1031" i="208"/>
  <c r="AG1019" i="208"/>
  <c r="AG1007" i="208"/>
  <c r="AG995" i="208"/>
  <c r="AG983" i="208"/>
  <c r="AG971" i="208"/>
  <c r="AG959" i="208"/>
  <c r="AG947" i="208"/>
  <c r="AG935" i="208"/>
  <c r="AG923" i="208"/>
  <c r="AG911" i="208"/>
  <c r="AG899" i="208"/>
  <c r="AG972" i="208"/>
  <c r="O1038" i="208"/>
  <c r="AH1038" i="208"/>
  <c r="O1026" i="208"/>
  <c r="AH1026" i="208"/>
  <c r="O1014" i="208"/>
  <c r="AH1014" i="208"/>
  <c r="O1002" i="208"/>
  <c r="AH1002" i="208"/>
  <c r="O990" i="208"/>
  <c r="AH990" i="208"/>
  <c r="O978" i="208"/>
  <c r="AH978" i="208"/>
  <c r="O966" i="208"/>
  <c r="AH966" i="208"/>
  <c r="O954" i="208"/>
  <c r="AH954" i="208"/>
  <c r="O942" i="208"/>
  <c r="AH942" i="208"/>
  <c r="O930" i="208"/>
  <c r="AH930" i="208"/>
  <c r="O918" i="208"/>
  <c r="AH918" i="208"/>
  <c r="O906" i="208"/>
  <c r="AH906" i="208"/>
  <c r="AG1030" i="208"/>
  <c r="AG1018" i="208"/>
  <c r="AG1006" i="208"/>
  <c r="AG994" i="208"/>
  <c r="AG982" i="208"/>
  <c r="AG970" i="208"/>
  <c r="AG958" i="208"/>
  <c r="AG946" i="208"/>
  <c r="AG934" i="208"/>
  <c r="AG922" i="208"/>
  <c r="AG910" i="208"/>
  <c r="O992" i="208"/>
  <c r="AH992" i="208"/>
  <c r="O932" i="208"/>
  <c r="AH932" i="208"/>
  <c r="O920" i="208"/>
  <c r="AH920" i="208"/>
  <c r="O1031" i="208"/>
  <c r="AH1031" i="208"/>
  <c r="O1019" i="208"/>
  <c r="AH1019" i="208"/>
  <c r="O1007" i="208"/>
  <c r="AH1007" i="208"/>
  <c r="O995" i="208"/>
  <c r="AH995" i="208"/>
  <c r="O983" i="208"/>
  <c r="AH983" i="208"/>
  <c r="O971" i="208"/>
  <c r="AH971" i="208"/>
  <c r="O959" i="208"/>
  <c r="AH959" i="208"/>
  <c r="O947" i="208"/>
  <c r="AH947" i="208"/>
  <c r="O935" i="208"/>
  <c r="AH935" i="208"/>
  <c r="O923" i="208"/>
  <c r="AH923" i="208"/>
  <c r="O911" i="208"/>
  <c r="AH911" i="208"/>
  <c r="O899" i="208"/>
  <c r="AH899" i="208"/>
  <c r="AG1041" i="208"/>
  <c r="AG1029" i="208"/>
  <c r="AG1017" i="208"/>
  <c r="AG1005" i="208"/>
  <c r="AG993" i="208"/>
  <c r="AG981" i="208"/>
  <c r="AG969" i="208"/>
  <c r="AG957" i="208"/>
  <c r="AG945" i="208"/>
  <c r="AG933" i="208"/>
  <c r="AG921" i="208"/>
  <c r="AG909" i="208"/>
  <c r="O980" i="208"/>
  <c r="AH980" i="208"/>
  <c r="O968" i="208"/>
  <c r="AH968" i="208"/>
  <c r="AG960" i="208"/>
  <c r="O1036" i="208"/>
  <c r="AH1036" i="208"/>
  <c r="O1024" i="208"/>
  <c r="AH1024" i="208"/>
  <c r="O1012" i="208"/>
  <c r="AH1012" i="208"/>
  <c r="O1000" i="208"/>
  <c r="AH1000" i="208"/>
  <c r="O988" i="208"/>
  <c r="AH988" i="208"/>
  <c r="O976" i="208"/>
  <c r="AH976" i="208"/>
  <c r="O964" i="208"/>
  <c r="AH964" i="208"/>
  <c r="O952" i="208"/>
  <c r="AH952" i="208"/>
  <c r="O940" i="208"/>
  <c r="AH940" i="208"/>
  <c r="O928" i="208"/>
  <c r="AH928" i="208"/>
  <c r="O916" i="208"/>
  <c r="AH916" i="208"/>
  <c r="O904" i="208"/>
  <c r="AH904" i="208"/>
  <c r="AG1040" i="208"/>
  <c r="AG1028" i="208"/>
  <c r="AG1016" i="208"/>
  <c r="AG1004" i="208"/>
  <c r="AG992" i="208"/>
  <c r="AG980" i="208"/>
  <c r="AG968" i="208"/>
  <c r="AG956" i="208"/>
  <c r="AG944" i="208"/>
  <c r="AG932" i="208"/>
  <c r="AG920" i="208"/>
  <c r="AG908" i="208"/>
  <c r="AG900" i="208"/>
  <c r="O1041" i="208"/>
  <c r="AH1041" i="208"/>
  <c r="O1029" i="208"/>
  <c r="AH1029" i="208"/>
  <c r="O1017" i="208"/>
  <c r="AH1017" i="208"/>
  <c r="O1005" i="208"/>
  <c r="AH1005" i="208"/>
  <c r="O993" i="208"/>
  <c r="AH993" i="208"/>
  <c r="O981" i="208"/>
  <c r="AH981" i="208"/>
  <c r="O969" i="208"/>
  <c r="AH969" i="208"/>
  <c r="O957" i="208"/>
  <c r="AH957" i="208"/>
  <c r="O945" i="208"/>
  <c r="AH945" i="208"/>
  <c r="O933" i="208"/>
  <c r="AH933" i="208"/>
  <c r="O921" i="208"/>
  <c r="AH921" i="208"/>
  <c r="O909" i="208"/>
  <c r="AH909" i="208"/>
  <c r="AG1039" i="208"/>
  <c r="AG1027" i="208"/>
  <c r="AG1015" i="208"/>
  <c r="AG1003" i="208"/>
  <c r="AG991" i="208"/>
  <c r="AG979" i="208"/>
  <c r="AG967" i="208"/>
  <c r="AG955" i="208"/>
  <c r="AG943" i="208"/>
  <c r="AG931" i="208"/>
  <c r="AG919" i="208"/>
  <c r="AG907" i="208"/>
  <c r="O956" i="208"/>
  <c r="AH956" i="208"/>
  <c r="O944" i="208"/>
  <c r="AH944" i="208"/>
  <c r="AG1020" i="208"/>
  <c r="AG948" i="208"/>
  <c r="O1034" i="208"/>
  <c r="AH1034" i="208"/>
  <c r="O1022" i="208"/>
  <c r="AH1022" i="208"/>
  <c r="O1010" i="208"/>
  <c r="AH1010" i="208"/>
  <c r="O998" i="208"/>
  <c r="AH998" i="208"/>
  <c r="O986" i="208"/>
  <c r="AH986" i="208"/>
  <c r="O974" i="208"/>
  <c r="AH974" i="208"/>
  <c r="O962" i="208"/>
  <c r="AH962" i="208"/>
  <c r="O950" i="208"/>
  <c r="AH950" i="208"/>
  <c r="O938" i="208"/>
  <c r="AH938" i="208"/>
  <c r="O926" i="208"/>
  <c r="AH926" i="208"/>
  <c r="O914" i="208"/>
  <c r="AH914" i="208"/>
  <c r="O902" i="208"/>
  <c r="AH902" i="208"/>
  <c r="AG1038" i="208"/>
  <c r="AG1026" i="208"/>
  <c r="AG1014" i="208"/>
  <c r="AG1002" i="208"/>
  <c r="AG990" i="208"/>
  <c r="AG978" i="208"/>
  <c r="AG966" i="208"/>
  <c r="AG954" i="208"/>
  <c r="AG942" i="208"/>
  <c r="AG930" i="208"/>
  <c r="AG918" i="208"/>
  <c r="AG906" i="208"/>
  <c r="O1004" i="208"/>
  <c r="AH1004" i="208"/>
  <c r="AG996" i="208"/>
  <c r="AG912" i="208"/>
  <c r="O1039" i="208"/>
  <c r="AH1039" i="208"/>
  <c r="O1027" i="208"/>
  <c r="AH1027" i="208"/>
  <c r="O1015" i="208"/>
  <c r="AH1015" i="208"/>
  <c r="O1003" i="208"/>
  <c r="AH1003" i="208"/>
  <c r="O991" i="208"/>
  <c r="AH991" i="208"/>
  <c r="O979" i="208"/>
  <c r="AH979" i="208"/>
  <c r="O967" i="208"/>
  <c r="AH967" i="208"/>
  <c r="O955" i="208"/>
  <c r="AH955" i="208"/>
  <c r="O943" i="208"/>
  <c r="AH943" i="208"/>
  <c r="O931" i="208"/>
  <c r="AH931" i="208"/>
  <c r="O919" i="208"/>
  <c r="AH919" i="208"/>
  <c r="O907" i="208"/>
  <c r="AH907" i="208"/>
  <c r="AG1037" i="208"/>
  <c r="AG1025" i="208"/>
  <c r="AG1013" i="208"/>
  <c r="AG1001" i="208"/>
  <c r="AG989" i="208"/>
  <c r="AG977" i="208"/>
  <c r="AG965" i="208"/>
  <c r="AG953" i="208"/>
  <c r="AG941" i="208"/>
  <c r="AG929" i="208"/>
  <c r="AG917" i="208"/>
  <c r="AG905" i="208"/>
  <c r="AG924" i="208"/>
  <c r="O1032" i="208"/>
  <c r="AH1032" i="208"/>
  <c r="O1020" i="208"/>
  <c r="AH1020" i="208"/>
  <c r="O1008" i="208"/>
  <c r="AH1008" i="208"/>
  <c r="O996" i="208"/>
  <c r="AH996" i="208"/>
  <c r="O984" i="208"/>
  <c r="AH984" i="208"/>
  <c r="O972" i="208"/>
  <c r="AH972" i="208"/>
  <c r="O960" i="208"/>
  <c r="AH960" i="208"/>
  <c r="O948" i="208"/>
  <c r="AH948" i="208"/>
  <c r="O936" i="208"/>
  <c r="AH936" i="208"/>
  <c r="O924" i="208"/>
  <c r="AH924" i="208"/>
  <c r="O912" i="208"/>
  <c r="AH912" i="208"/>
  <c r="O900" i="208"/>
  <c r="AH900" i="208"/>
  <c r="AG1036" i="208"/>
  <c r="AG1024" i="208"/>
  <c r="AG1012" i="208"/>
  <c r="AG1000" i="208"/>
  <c r="AG988" i="208"/>
  <c r="AG976" i="208"/>
  <c r="AG964" i="208"/>
  <c r="AG952" i="208"/>
  <c r="AG940" i="208"/>
  <c r="AG928" i="208"/>
  <c r="AG916" i="208"/>
  <c r="AG904" i="208"/>
  <c r="O1016" i="208"/>
  <c r="AH1016" i="208"/>
  <c r="O908" i="208"/>
  <c r="AH908" i="208"/>
  <c r="AG1008" i="208"/>
  <c r="AG936" i="208"/>
  <c r="O1037" i="208"/>
  <c r="AH1037" i="208"/>
  <c r="O1025" i="208"/>
  <c r="AH1025" i="208"/>
  <c r="O1013" i="208"/>
  <c r="AH1013" i="208"/>
  <c r="O1001" i="208"/>
  <c r="AH1001" i="208"/>
  <c r="O989" i="208"/>
  <c r="AH989" i="208"/>
  <c r="O977" i="208"/>
  <c r="AH977" i="208"/>
  <c r="O965" i="208"/>
  <c r="AH965" i="208"/>
  <c r="O953" i="208"/>
  <c r="AH953" i="208"/>
  <c r="O941" i="208"/>
  <c r="AH941" i="208"/>
  <c r="O929" i="208"/>
  <c r="AH929" i="208"/>
  <c r="O917" i="208"/>
  <c r="AH917" i="208"/>
  <c r="O905" i="208"/>
  <c r="AH905" i="208"/>
  <c r="AG1035" i="208"/>
  <c r="AG1023" i="208"/>
  <c r="AG1011" i="208"/>
  <c r="AG999" i="208"/>
  <c r="AG987" i="208"/>
  <c r="AG975" i="208"/>
  <c r="AG963" i="208"/>
  <c r="AG951" i="208"/>
  <c r="AG939" i="208"/>
  <c r="AG927" i="208"/>
  <c r="AG915" i="208"/>
  <c r="AG903" i="208"/>
  <c r="O898" i="208"/>
  <c r="AH898" i="208"/>
  <c r="O886" i="208"/>
  <c r="AH886" i="208"/>
  <c r="O874" i="208"/>
  <c r="AH874" i="208"/>
  <c r="O862" i="208"/>
  <c r="AH862" i="208"/>
  <c r="O850" i="208"/>
  <c r="AH850" i="208"/>
  <c r="O838" i="208"/>
  <c r="AH838" i="208"/>
  <c r="O826" i="208"/>
  <c r="AH826" i="208"/>
  <c r="O814" i="208"/>
  <c r="AH814" i="208"/>
  <c r="O802" i="208"/>
  <c r="AH802" i="208"/>
  <c r="O790" i="208"/>
  <c r="AH790" i="208"/>
  <c r="O778" i="208"/>
  <c r="AH778" i="208"/>
  <c r="O766" i="208"/>
  <c r="AH766" i="208"/>
  <c r="O754" i="208"/>
  <c r="AH754" i="208"/>
  <c r="O742" i="208"/>
  <c r="AH742" i="208"/>
  <c r="O730" i="208"/>
  <c r="AH730" i="208"/>
  <c r="O718" i="208"/>
  <c r="AH718" i="208"/>
  <c r="O706" i="208"/>
  <c r="AH706" i="208"/>
  <c r="O694" i="208"/>
  <c r="AH694" i="208"/>
  <c r="O682" i="208"/>
  <c r="AH682" i="208"/>
  <c r="O670" i="208"/>
  <c r="AH670" i="208"/>
  <c r="O658" i="208"/>
  <c r="AH658" i="208"/>
  <c r="O646" i="208"/>
  <c r="AH646" i="208"/>
  <c r="O634" i="208"/>
  <c r="AH634" i="208"/>
  <c r="O622" i="208"/>
  <c r="AH622" i="208"/>
  <c r="O610" i="208"/>
  <c r="AH610" i="208"/>
  <c r="O598" i="208"/>
  <c r="AH598" i="208"/>
  <c r="O586" i="208"/>
  <c r="AH586" i="208"/>
  <c r="O574" i="208"/>
  <c r="AH574" i="208"/>
  <c r="O562" i="208"/>
  <c r="AH562" i="208"/>
  <c r="O550" i="208"/>
  <c r="AH550" i="208"/>
  <c r="O538" i="208"/>
  <c r="AH538" i="208"/>
  <c r="O526" i="208"/>
  <c r="AH526" i="208"/>
  <c r="O514" i="208"/>
  <c r="AH514" i="208"/>
  <c r="O502" i="208"/>
  <c r="AH502" i="208"/>
  <c r="O490" i="208"/>
  <c r="AH490" i="208"/>
  <c r="O478" i="208"/>
  <c r="AH478" i="208"/>
  <c r="O466" i="208"/>
  <c r="AH466" i="208"/>
  <c r="O454" i="208"/>
  <c r="AH454" i="208"/>
  <c r="O442" i="208"/>
  <c r="AH442" i="208"/>
  <c r="O430" i="208"/>
  <c r="AH430" i="208"/>
  <c r="O418" i="208"/>
  <c r="AH418" i="208"/>
  <c r="O406" i="208"/>
  <c r="AH406" i="208"/>
  <c r="O394" i="208"/>
  <c r="AH394" i="208"/>
  <c r="O382" i="208"/>
  <c r="AH382" i="208"/>
  <c r="O370" i="208"/>
  <c r="AH370" i="208"/>
  <c r="O358" i="208"/>
  <c r="AH358" i="208"/>
  <c r="O346" i="208"/>
  <c r="AH346" i="208"/>
  <c r="O334" i="208"/>
  <c r="AH334" i="208"/>
  <c r="O322" i="208"/>
  <c r="AH322" i="208"/>
  <c r="O310" i="208"/>
  <c r="AH310" i="208"/>
  <c r="AG890" i="208"/>
  <c r="AG878" i="208"/>
  <c r="AG866" i="208"/>
  <c r="AG854" i="208"/>
  <c r="AG842" i="208"/>
  <c r="AG830" i="208"/>
  <c r="AG818" i="208"/>
  <c r="AG806" i="208"/>
  <c r="AG794" i="208"/>
  <c r="AG782" i="208"/>
  <c r="AG770" i="208"/>
  <c r="AG758" i="208"/>
  <c r="AG746" i="208"/>
  <c r="AG734" i="208"/>
  <c r="AG722" i="208"/>
  <c r="AG710" i="208"/>
  <c r="AG698" i="208"/>
  <c r="AG686" i="208"/>
  <c r="AG674" i="208"/>
  <c r="AG662" i="208"/>
  <c r="AG650" i="208"/>
  <c r="AG638" i="208"/>
  <c r="AG626" i="208"/>
  <c r="AG614" i="208"/>
  <c r="AG602" i="208"/>
  <c r="AG590" i="208"/>
  <c r="AG578" i="208"/>
  <c r="AG566" i="208"/>
  <c r="AG554" i="208"/>
  <c r="AG542" i="208"/>
  <c r="AG530" i="208"/>
  <c r="AG518" i="208"/>
  <c r="AG506" i="208"/>
  <c r="AG494" i="208"/>
  <c r="AG482" i="208"/>
  <c r="AG470" i="208"/>
  <c r="AG458" i="208"/>
  <c r="AG446" i="208"/>
  <c r="AG434" i="208"/>
  <c r="AG422" i="208"/>
  <c r="AG410" i="208"/>
  <c r="AG398" i="208"/>
  <c r="AG386" i="208"/>
  <c r="AG374" i="208"/>
  <c r="AG362" i="208"/>
  <c r="AG350" i="208"/>
  <c r="AG338" i="208"/>
  <c r="AG326" i="208"/>
  <c r="AG314" i="208"/>
  <c r="O891" i="208"/>
  <c r="AH891" i="208"/>
  <c r="O879" i="208"/>
  <c r="AH879" i="208"/>
  <c r="O867" i="208"/>
  <c r="AH867" i="208"/>
  <c r="O855" i="208"/>
  <c r="AH855" i="208"/>
  <c r="O843" i="208"/>
  <c r="AH843" i="208"/>
  <c r="O831" i="208"/>
  <c r="AH831" i="208"/>
  <c r="O819" i="208"/>
  <c r="AH819" i="208"/>
  <c r="O807" i="208"/>
  <c r="AH807" i="208"/>
  <c r="O795" i="208"/>
  <c r="AH795" i="208"/>
  <c r="O783" i="208"/>
  <c r="AH783" i="208"/>
  <c r="O771" i="208"/>
  <c r="AH771" i="208"/>
  <c r="O759" i="208"/>
  <c r="AH759" i="208"/>
  <c r="O747" i="208"/>
  <c r="AH747" i="208"/>
  <c r="O735" i="208"/>
  <c r="AH735" i="208"/>
  <c r="O723" i="208"/>
  <c r="AH723" i="208"/>
  <c r="O711" i="208"/>
  <c r="AH711" i="208"/>
  <c r="O699" i="208"/>
  <c r="AH699" i="208"/>
  <c r="O687" i="208"/>
  <c r="AH687" i="208"/>
  <c r="O675" i="208"/>
  <c r="AH675" i="208"/>
  <c r="O663" i="208"/>
  <c r="AH663" i="208"/>
  <c r="O651" i="208"/>
  <c r="AH651" i="208"/>
  <c r="O639" i="208"/>
  <c r="AH639" i="208"/>
  <c r="O627" i="208"/>
  <c r="AH627" i="208"/>
  <c r="O615" i="208"/>
  <c r="AH615" i="208"/>
  <c r="O603" i="208"/>
  <c r="AH603" i="208"/>
  <c r="O591" i="208"/>
  <c r="AH591" i="208"/>
  <c r="O579" i="208"/>
  <c r="AH579" i="208"/>
  <c r="O567" i="208"/>
  <c r="AH567" i="208"/>
  <c r="O555" i="208"/>
  <c r="AH555" i="208"/>
  <c r="O543" i="208"/>
  <c r="AH543" i="208"/>
  <c r="O531" i="208"/>
  <c r="AH531" i="208"/>
  <c r="O519" i="208"/>
  <c r="AH519" i="208"/>
  <c r="O507" i="208"/>
  <c r="AH507" i="208"/>
  <c r="O495" i="208"/>
  <c r="AH495" i="208"/>
  <c r="O483" i="208"/>
  <c r="AH483" i="208"/>
  <c r="O471" i="208"/>
  <c r="AH471" i="208"/>
  <c r="O459" i="208"/>
  <c r="AH459" i="208"/>
  <c r="O447" i="208"/>
  <c r="AH447" i="208"/>
  <c r="O435" i="208"/>
  <c r="AH435" i="208"/>
  <c r="O423" i="208"/>
  <c r="AH423" i="208"/>
  <c r="O411" i="208"/>
  <c r="AH411" i="208"/>
  <c r="O399" i="208"/>
  <c r="AH399" i="208"/>
  <c r="O387" i="208"/>
  <c r="AH387" i="208"/>
  <c r="O375" i="208"/>
  <c r="AH375" i="208"/>
  <c r="O363" i="208"/>
  <c r="AH363" i="208"/>
  <c r="O351" i="208"/>
  <c r="AH351" i="208"/>
  <c r="O339" i="208"/>
  <c r="AH339" i="208"/>
  <c r="O327" i="208"/>
  <c r="AH327" i="208"/>
  <c r="O315" i="208"/>
  <c r="AH315" i="208"/>
  <c r="AG302" i="208"/>
  <c r="AG889" i="208"/>
  <c r="AG877" i="208"/>
  <c r="AG865" i="208"/>
  <c r="AG853" i="208"/>
  <c r="AG841" i="208"/>
  <c r="AG829" i="208"/>
  <c r="AG817" i="208"/>
  <c r="AG805" i="208"/>
  <c r="AG793" i="208"/>
  <c r="AG781" i="208"/>
  <c r="AG769" i="208"/>
  <c r="AG757" i="208"/>
  <c r="AG745" i="208"/>
  <c r="AG733" i="208"/>
  <c r="AG721" i="208"/>
  <c r="AG709" i="208"/>
  <c r="AG697" i="208"/>
  <c r="AG685" i="208"/>
  <c r="AG673" i="208"/>
  <c r="AG661" i="208"/>
  <c r="AG649" i="208"/>
  <c r="AG637" i="208"/>
  <c r="AG625" i="208"/>
  <c r="AG613" i="208"/>
  <c r="AG601" i="208"/>
  <c r="AG589" i="208"/>
  <c r="AG577" i="208"/>
  <c r="AG565" i="208"/>
  <c r="AG553" i="208"/>
  <c r="AG541" i="208"/>
  <c r="AG529" i="208"/>
  <c r="AG517" i="208"/>
  <c r="AG505" i="208"/>
  <c r="AG493" i="208"/>
  <c r="AG481" i="208"/>
  <c r="AG469" i="208"/>
  <c r="AG457" i="208"/>
  <c r="AG445" i="208"/>
  <c r="AG433" i="208"/>
  <c r="AG421" i="208"/>
  <c r="AG409" i="208"/>
  <c r="AG397" i="208"/>
  <c r="AG385" i="208"/>
  <c r="AG373" i="208"/>
  <c r="AG361" i="208"/>
  <c r="AG349" i="208"/>
  <c r="AG337" i="208"/>
  <c r="AG325" i="208"/>
  <c r="AG313" i="208"/>
  <c r="O896" i="208"/>
  <c r="AH896" i="208"/>
  <c r="O884" i="208"/>
  <c r="AH884" i="208"/>
  <c r="O872" i="208"/>
  <c r="AH872" i="208"/>
  <c r="O860" i="208"/>
  <c r="AH860" i="208"/>
  <c r="O848" i="208"/>
  <c r="AH848" i="208"/>
  <c r="O836" i="208"/>
  <c r="AH836" i="208"/>
  <c r="O824" i="208"/>
  <c r="AH824" i="208"/>
  <c r="O812" i="208"/>
  <c r="AH812" i="208"/>
  <c r="O800" i="208"/>
  <c r="AH800" i="208"/>
  <c r="O788" i="208"/>
  <c r="AH788" i="208"/>
  <c r="O776" i="208"/>
  <c r="AH776" i="208"/>
  <c r="O764" i="208"/>
  <c r="AH764" i="208"/>
  <c r="O752" i="208"/>
  <c r="AH752" i="208"/>
  <c r="O740" i="208"/>
  <c r="AH740" i="208"/>
  <c r="O728" i="208"/>
  <c r="AH728" i="208"/>
  <c r="O716" i="208"/>
  <c r="AH716" i="208"/>
  <c r="O704" i="208"/>
  <c r="AH704" i="208"/>
  <c r="O692" i="208"/>
  <c r="AH692" i="208"/>
  <c r="O680" i="208"/>
  <c r="AH680" i="208"/>
  <c r="O668" i="208"/>
  <c r="AH668" i="208"/>
  <c r="O656" i="208"/>
  <c r="AH656" i="208"/>
  <c r="O644" i="208"/>
  <c r="AH644" i="208"/>
  <c r="O632" i="208"/>
  <c r="AH632" i="208"/>
  <c r="O620" i="208"/>
  <c r="AH620" i="208"/>
  <c r="O608" i="208"/>
  <c r="AH608" i="208"/>
  <c r="O596" i="208"/>
  <c r="AH596" i="208"/>
  <c r="O584" i="208"/>
  <c r="AH584" i="208"/>
  <c r="O572" i="208"/>
  <c r="AH572" i="208"/>
  <c r="O560" i="208"/>
  <c r="AH560" i="208"/>
  <c r="O548" i="208"/>
  <c r="AH548" i="208"/>
  <c r="O536" i="208"/>
  <c r="AH536" i="208"/>
  <c r="O524" i="208"/>
  <c r="AH524" i="208"/>
  <c r="O512" i="208"/>
  <c r="AH512" i="208"/>
  <c r="O500" i="208"/>
  <c r="AH500" i="208"/>
  <c r="O488" i="208"/>
  <c r="AH488" i="208"/>
  <c r="O476" i="208"/>
  <c r="AH476" i="208"/>
  <c r="O464" i="208"/>
  <c r="AH464" i="208"/>
  <c r="O452" i="208"/>
  <c r="AH452" i="208"/>
  <c r="O440" i="208"/>
  <c r="AH440" i="208"/>
  <c r="O428" i="208"/>
  <c r="AH428" i="208"/>
  <c r="O416" i="208"/>
  <c r="AH416" i="208"/>
  <c r="O404" i="208"/>
  <c r="AH404" i="208"/>
  <c r="O392" i="208"/>
  <c r="AH392" i="208"/>
  <c r="O380" i="208"/>
  <c r="AH380" i="208"/>
  <c r="O368" i="208"/>
  <c r="AH368" i="208"/>
  <c r="O356" i="208"/>
  <c r="AH356" i="208"/>
  <c r="O344" i="208"/>
  <c r="AH344" i="208"/>
  <c r="O332" i="208"/>
  <c r="AH332" i="208"/>
  <c r="O320" i="208"/>
  <c r="AH320" i="208"/>
  <c r="O308" i="208"/>
  <c r="AH308" i="208"/>
  <c r="AG888" i="208"/>
  <c r="AG876" i="208"/>
  <c r="AG864" i="208"/>
  <c r="AG852" i="208"/>
  <c r="AG840" i="208"/>
  <c r="AG828" i="208"/>
  <c r="AG816" i="208"/>
  <c r="AG804" i="208"/>
  <c r="AG792" i="208"/>
  <c r="AG780" i="208"/>
  <c r="AG768" i="208"/>
  <c r="AG756" i="208"/>
  <c r="AG744" i="208"/>
  <c r="AG732" i="208"/>
  <c r="AG720" i="208"/>
  <c r="AG708" i="208"/>
  <c r="AG696" i="208"/>
  <c r="AG684" i="208"/>
  <c r="AG672" i="208"/>
  <c r="AG660" i="208"/>
  <c r="AG648" i="208"/>
  <c r="AG636" i="208"/>
  <c r="AG624" i="208"/>
  <c r="AG612" i="208"/>
  <c r="AG600" i="208"/>
  <c r="AG588" i="208"/>
  <c r="AG564" i="208"/>
  <c r="AG552" i="208"/>
  <c r="AG540" i="208"/>
  <c r="AG528" i="208"/>
  <c r="AG516" i="208"/>
  <c r="AG504" i="208"/>
  <c r="AG492" i="208"/>
  <c r="AG480" i="208"/>
  <c r="AG468" i="208"/>
  <c r="AG456" i="208"/>
  <c r="AG444" i="208"/>
  <c r="AG432" i="208"/>
  <c r="AG420" i="208"/>
  <c r="AG408" i="208"/>
  <c r="AG396" i="208"/>
  <c r="AG384" i="208"/>
  <c r="AG372" i="208"/>
  <c r="AG360" i="208"/>
  <c r="AG348" i="208"/>
  <c r="AG336" i="208"/>
  <c r="AG324" i="208"/>
  <c r="AG312" i="208"/>
  <c r="O303" i="208"/>
  <c r="AH303" i="208"/>
  <c r="O889" i="208"/>
  <c r="AH889" i="208"/>
  <c r="O877" i="208"/>
  <c r="AH877" i="208"/>
  <c r="O865" i="208"/>
  <c r="AH865" i="208"/>
  <c r="O853" i="208"/>
  <c r="AH853" i="208"/>
  <c r="O841" i="208"/>
  <c r="AH841" i="208"/>
  <c r="O829" i="208"/>
  <c r="AH829" i="208"/>
  <c r="O817" i="208"/>
  <c r="AH817" i="208"/>
  <c r="O805" i="208"/>
  <c r="AH805" i="208"/>
  <c r="O793" i="208"/>
  <c r="AH793" i="208"/>
  <c r="O781" i="208"/>
  <c r="AH781" i="208"/>
  <c r="O769" i="208"/>
  <c r="AH769" i="208"/>
  <c r="O757" i="208"/>
  <c r="AH757" i="208"/>
  <c r="O745" i="208"/>
  <c r="AH745" i="208"/>
  <c r="O733" i="208"/>
  <c r="AH733" i="208"/>
  <c r="O721" i="208"/>
  <c r="AH721" i="208"/>
  <c r="O709" i="208"/>
  <c r="AH709" i="208"/>
  <c r="O697" i="208"/>
  <c r="AH697" i="208"/>
  <c r="O685" i="208"/>
  <c r="AH685" i="208"/>
  <c r="O673" i="208"/>
  <c r="AH673" i="208"/>
  <c r="O661" i="208"/>
  <c r="AH661" i="208"/>
  <c r="O649" i="208"/>
  <c r="AH649" i="208"/>
  <c r="O637" i="208"/>
  <c r="AH637" i="208"/>
  <c r="O625" i="208"/>
  <c r="AH625" i="208"/>
  <c r="O613" i="208"/>
  <c r="AH613" i="208"/>
  <c r="O601" i="208"/>
  <c r="AH601" i="208"/>
  <c r="O589" i="208"/>
  <c r="AH589" i="208"/>
  <c r="O577" i="208"/>
  <c r="AH577" i="208"/>
  <c r="O565" i="208"/>
  <c r="AH565" i="208"/>
  <c r="O553" i="208"/>
  <c r="AH553" i="208"/>
  <c r="O541" i="208"/>
  <c r="AH541" i="208"/>
  <c r="O529" i="208"/>
  <c r="AH529" i="208"/>
  <c r="O517" i="208"/>
  <c r="AH517" i="208"/>
  <c r="O505" i="208"/>
  <c r="AH505" i="208"/>
  <c r="O493" i="208"/>
  <c r="AH493" i="208"/>
  <c r="O481" i="208"/>
  <c r="AH481" i="208"/>
  <c r="O469" i="208"/>
  <c r="AH469" i="208"/>
  <c r="O457" i="208"/>
  <c r="AH457" i="208"/>
  <c r="O445" i="208"/>
  <c r="AH445" i="208"/>
  <c r="O433" i="208"/>
  <c r="AH433" i="208"/>
  <c r="O421" i="208"/>
  <c r="AH421" i="208"/>
  <c r="O409" i="208"/>
  <c r="AH409" i="208"/>
  <c r="O397" i="208"/>
  <c r="AH397" i="208"/>
  <c r="O385" i="208"/>
  <c r="AH385" i="208"/>
  <c r="O373" i="208"/>
  <c r="AH373" i="208"/>
  <c r="O361" i="208"/>
  <c r="AH361" i="208"/>
  <c r="O349" i="208"/>
  <c r="AH349" i="208"/>
  <c r="O337" i="208"/>
  <c r="AH337" i="208"/>
  <c r="O325" i="208"/>
  <c r="AH325" i="208"/>
  <c r="O313" i="208"/>
  <c r="AH313" i="208"/>
  <c r="AG887" i="208"/>
  <c r="AG875" i="208"/>
  <c r="AG863" i="208"/>
  <c r="AG851" i="208"/>
  <c r="AG839" i="208"/>
  <c r="AG827" i="208"/>
  <c r="AG815" i="208"/>
  <c r="AG803" i="208"/>
  <c r="AG791" i="208"/>
  <c r="AG779" i="208"/>
  <c r="AG767" i="208"/>
  <c r="AG755" i="208"/>
  <c r="AG743" i="208"/>
  <c r="AG731" i="208"/>
  <c r="AG719" i="208"/>
  <c r="AG707" i="208"/>
  <c r="AG695" i="208"/>
  <c r="AG683" i="208"/>
  <c r="AG671" i="208"/>
  <c r="AG659" i="208"/>
  <c r="AG647" i="208"/>
  <c r="AG635" i="208"/>
  <c r="AG623" i="208"/>
  <c r="AG611" i="208"/>
  <c r="AG599" i="208"/>
  <c r="AG587" i="208"/>
  <c r="AG575" i="208"/>
  <c r="AG563" i="208"/>
  <c r="AG551" i="208"/>
  <c r="AG539" i="208"/>
  <c r="AG527" i="208"/>
  <c r="AG515" i="208"/>
  <c r="AG503" i="208"/>
  <c r="AG491" i="208"/>
  <c r="AG479" i="208"/>
  <c r="AG467" i="208"/>
  <c r="AG455" i="208"/>
  <c r="AG443" i="208"/>
  <c r="AG431" i="208"/>
  <c r="AG419" i="208"/>
  <c r="AG407" i="208"/>
  <c r="AG395" i="208"/>
  <c r="AG383" i="208"/>
  <c r="AG371" i="208"/>
  <c r="AG359" i="208"/>
  <c r="AG347" i="208"/>
  <c r="AG335" i="208"/>
  <c r="AG323" i="208"/>
  <c r="AG311" i="208"/>
  <c r="O894" i="208"/>
  <c r="AH894" i="208"/>
  <c r="O882" i="208"/>
  <c r="AH882" i="208"/>
  <c r="O870" i="208"/>
  <c r="AH870" i="208"/>
  <c r="O858" i="208"/>
  <c r="AH858" i="208"/>
  <c r="O846" i="208"/>
  <c r="AH846" i="208"/>
  <c r="O834" i="208"/>
  <c r="AH834" i="208"/>
  <c r="O822" i="208"/>
  <c r="AH822" i="208"/>
  <c r="O810" i="208"/>
  <c r="AH810" i="208"/>
  <c r="O798" i="208"/>
  <c r="AH798" i="208"/>
  <c r="O786" i="208"/>
  <c r="AH786" i="208"/>
  <c r="O774" i="208"/>
  <c r="AH774" i="208"/>
  <c r="O762" i="208"/>
  <c r="AH762" i="208"/>
  <c r="O750" i="208"/>
  <c r="AH750" i="208"/>
  <c r="O738" i="208"/>
  <c r="AH738" i="208"/>
  <c r="O726" i="208"/>
  <c r="AH726" i="208"/>
  <c r="O714" i="208"/>
  <c r="AH714" i="208"/>
  <c r="O702" i="208"/>
  <c r="AH702" i="208"/>
  <c r="O690" i="208"/>
  <c r="AH690" i="208"/>
  <c r="O678" i="208"/>
  <c r="AH678" i="208"/>
  <c r="O666" i="208"/>
  <c r="AH666" i="208"/>
  <c r="O654" i="208"/>
  <c r="AH654" i="208"/>
  <c r="O642" i="208"/>
  <c r="AH642" i="208"/>
  <c r="O630" i="208"/>
  <c r="AH630" i="208"/>
  <c r="O618" i="208"/>
  <c r="AH618" i="208"/>
  <c r="O606" i="208"/>
  <c r="AH606" i="208"/>
  <c r="O594" i="208"/>
  <c r="AH594" i="208"/>
  <c r="O582" i="208"/>
  <c r="AH582" i="208"/>
  <c r="O570" i="208"/>
  <c r="AH570" i="208"/>
  <c r="O558" i="208"/>
  <c r="AH558" i="208"/>
  <c r="O546" i="208"/>
  <c r="AH546" i="208"/>
  <c r="O534" i="208"/>
  <c r="AH534" i="208"/>
  <c r="O522" i="208"/>
  <c r="AH522" i="208"/>
  <c r="O510" i="208"/>
  <c r="AH510" i="208"/>
  <c r="O498" i="208"/>
  <c r="AH498" i="208"/>
  <c r="O486" i="208"/>
  <c r="AH486" i="208"/>
  <c r="O474" i="208"/>
  <c r="AH474" i="208"/>
  <c r="O462" i="208"/>
  <c r="AH462" i="208"/>
  <c r="O450" i="208"/>
  <c r="AH450" i="208"/>
  <c r="O438" i="208"/>
  <c r="AH438" i="208"/>
  <c r="O426" i="208"/>
  <c r="AH426" i="208"/>
  <c r="O414" i="208"/>
  <c r="AH414" i="208"/>
  <c r="O402" i="208"/>
  <c r="AH402" i="208"/>
  <c r="O390" i="208"/>
  <c r="AH390" i="208"/>
  <c r="O378" i="208"/>
  <c r="AH378" i="208"/>
  <c r="O366" i="208"/>
  <c r="AH366" i="208"/>
  <c r="O354" i="208"/>
  <c r="AH354" i="208"/>
  <c r="O342" i="208"/>
  <c r="AH342" i="208"/>
  <c r="O330" i="208"/>
  <c r="AH330" i="208"/>
  <c r="O318" i="208"/>
  <c r="AH318" i="208"/>
  <c r="O306" i="208"/>
  <c r="AH306" i="208"/>
  <c r="AG898" i="208"/>
  <c r="AG886" i="208"/>
  <c r="AG874" i="208"/>
  <c r="AG862" i="208"/>
  <c r="AG850" i="208"/>
  <c r="AG838" i="208"/>
  <c r="AG826" i="208"/>
  <c r="AG814" i="208"/>
  <c r="AG802" i="208"/>
  <c r="AG790" i="208"/>
  <c r="AG778" i="208"/>
  <c r="AG766" i="208"/>
  <c r="AG754" i="208"/>
  <c r="AG742" i="208"/>
  <c r="AG730" i="208"/>
  <c r="AG718" i="208"/>
  <c r="AG706" i="208"/>
  <c r="AG694" i="208"/>
  <c r="AG682" i="208"/>
  <c r="AG670" i="208"/>
  <c r="AG658" i="208"/>
  <c r="AG646" i="208"/>
  <c r="AG634" i="208"/>
  <c r="AG622" i="208"/>
  <c r="AG610" i="208"/>
  <c r="AG598" i="208"/>
  <c r="AG586" i="208"/>
  <c r="AG574" i="208"/>
  <c r="AG562" i="208"/>
  <c r="AG550" i="208"/>
  <c r="AG538" i="208"/>
  <c r="AG526" i="208"/>
  <c r="AG514" i="208"/>
  <c r="AG502" i="208"/>
  <c r="AG490" i="208"/>
  <c r="AG478" i="208"/>
  <c r="AG466" i="208"/>
  <c r="AG454" i="208"/>
  <c r="AG442" i="208"/>
  <c r="AG430" i="208"/>
  <c r="AG418" i="208"/>
  <c r="AG406" i="208"/>
  <c r="AG394" i="208"/>
  <c r="AG382" i="208"/>
  <c r="AG370" i="208"/>
  <c r="AG358" i="208"/>
  <c r="AG346" i="208"/>
  <c r="AG334" i="208"/>
  <c r="AG322" i="208"/>
  <c r="AG310" i="208"/>
  <c r="O887" i="208"/>
  <c r="AH887" i="208"/>
  <c r="O875" i="208"/>
  <c r="AH875" i="208"/>
  <c r="O863" i="208"/>
  <c r="AH863" i="208"/>
  <c r="O851" i="208"/>
  <c r="AH851" i="208"/>
  <c r="O839" i="208"/>
  <c r="AH839" i="208"/>
  <c r="O827" i="208"/>
  <c r="AH827" i="208"/>
  <c r="O815" i="208"/>
  <c r="AH815" i="208"/>
  <c r="O803" i="208"/>
  <c r="AH803" i="208"/>
  <c r="O791" i="208"/>
  <c r="AH791" i="208"/>
  <c r="O779" i="208"/>
  <c r="AH779" i="208"/>
  <c r="O767" i="208"/>
  <c r="AH767" i="208"/>
  <c r="O755" i="208"/>
  <c r="AH755" i="208"/>
  <c r="O743" i="208"/>
  <c r="AH743" i="208"/>
  <c r="O731" i="208"/>
  <c r="AH731" i="208"/>
  <c r="O719" i="208"/>
  <c r="AH719" i="208"/>
  <c r="O707" i="208"/>
  <c r="AH707" i="208"/>
  <c r="O695" i="208"/>
  <c r="AH695" i="208"/>
  <c r="O683" i="208"/>
  <c r="AH683" i="208"/>
  <c r="O671" i="208"/>
  <c r="AH671" i="208"/>
  <c r="O659" i="208"/>
  <c r="AH659" i="208"/>
  <c r="O647" i="208"/>
  <c r="AH647" i="208"/>
  <c r="O635" i="208"/>
  <c r="AH635" i="208"/>
  <c r="O623" i="208"/>
  <c r="AH623" i="208"/>
  <c r="O611" i="208"/>
  <c r="AH611" i="208"/>
  <c r="O599" i="208"/>
  <c r="AH599" i="208"/>
  <c r="O587" i="208"/>
  <c r="AH587" i="208"/>
  <c r="O575" i="208"/>
  <c r="AH575" i="208"/>
  <c r="O563" i="208"/>
  <c r="AH563" i="208"/>
  <c r="O551" i="208"/>
  <c r="AH551" i="208"/>
  <c r="O539" i="208"/>
  <c r="AH539" i="208"/>
  <c r="O527" i="208"/>
  <c r="AH527" i="208"/>
  <c r="O515" i="208"/>
  <c r="AH515" i="208"/>
  <c r="O503" i="208"/>
  <c r="AH503" i="208"/>
  <c r="O491" i="208"/>
  <c r="AH491" i="208"/>
  <c r="O479" i="208"/>
  <c r="AH479" i="208"/>
  <c r="O467" i="208"/>
  <c r="AH467" i="208"/>
  <c r="O455" i="208"/>
  <c r="AH455" i="208"/>
  <c r="O443" i="208"/>
  <c r="AH443" i="208"/>
  <c r="O431" i="208"/>
  <c r="AH431" i="208"/>
  <c r="O419" i="208"/>
  <c r="AH419" i="208"/>
  <c r="O407" i="208"/>
  <c r="AH407" i="208"/>
  <c r="O395" i="208"/>
  <c r="AH395" i="208"/>
  <c r="O383" i="208"/>
  <c r="AH383" i="208"/>
  <c r="O371" i="208"/>
  <c r="AH371" i="208"/>
  <c r="O359" i="208"/>
  <c r="AH359" i="208"/>
  <c r="O347" i="208"/>
  <c r="AH347" i="208"/>
  <c r="O335" i="208"/>
  <c r="AH335" i="208"/>
  <c r="O323" i="208"/>
  <c r="AH323" i="208"/>
  <c r="O311" i="208"/>
  <c r="AH311" i="208"/>
  <c r="AG897" i="208"/>
  <c r="AG885" i="208"/>
  <c r="AG873" i="208"/>
  <c r="AG861" i="208"/>
  <c r="AG849" i="208"/>
  <c r="AG837" i="208"/>
  <c r="AG825" i="208"/>
  <c r="AG813" i="208"/>
  <c r="AG801" i="208"/>
  <c r="AG789" i="208"/>
  <c r="AG777" i="208"/>
  <c r="AG765" i="208"/>
  <c r="AG753" i="208"/>
  <c r="AG741" i="208"/>
  <c r="AG729" i="208"/>
  <c r="AG717" i="208"/>
  <c r="AG705" i="208"/>
  <c r="AG693" i="208"/>
  <c r="AG681" i="208"/>
  <c r="AG669" i="208"/>
  <c r="AG657" i="208"/>
  <c r="AG645" i="208"/>
  <c r="AG633" i="208"/>
  <c r="AG621" i="208"/>
  <c r="AG609" i="208"/>
  <c r="AG597" i="208"/>
  <c r="AG585" i="208"/>
  <c r="AG573" i="208"/>
  <c r="AG561" i="208"/>
  <c r="AG549" i="208"/>
  <c r="AG537" i="208"/>
  <c r="AG525" i="208"/>
  <c r="AG513" i="208"/>
  <c r="AG501" i="208"/>
  <c r="AG489" i="208"/>
  <c r="AG477" i="208"/>
  <c r="AG465" i="208"/>
  <c r="AG453" i="208"/>
  <c r="AG441" i="208"/>
  <c r="AG429" i="208"/>
  <c r="AG417" i="208"/>
  <c r="AG405" i="208"/>
  <c r="AG393" i="208"/>
  <c r="AG381" i="208"/>
  <c r="AG369" i="208"/>
  <c r="AG357" i="208"/>
  <c r="AG345" i="208"/>
  <c r="AG333" i="208"/>
  <c r="AG321" i="208"/>
  <c r="AG309" i="208"/>
  <c r="O302" i="208"/>
  <c r="AH302" i="208"/>
  <c r="O892" i="208"/>
  <c r="AH892" i="208"/>
  <c r="O880" i="208"/>
  <c r="AH880" i="208"/>
  <c r="O868" i="208"/>
  <c r="AH868" i="208"/>
  <c r="O856" i="208"/>
  <c r="AH856" i="208"/>
  <c r="O844" i="208"/>
  <c r="AH844" i="208"/>
  <c r="O832" i="208"/>
  <c r="AH832" i="208"/>
  <c r="O820" i="208"/>
  <c r="AH820" i="208"/>
  <c r="O808" i="208"/>
  <c r="AH808" i="208"/>
  <c r="O796" i="208"/>
  <c r="AH796" i="208"/>
  <c r="O784" i="208"/>
  <c r="AH784" i="208"/>
  <c r="O772" i="208"/>
  <c r="AH772" i="208"/>
  <c r="O760" i="208"/>
  <c r="AH760" i="208"/>
  <c r="O748" i="208"/>
  <c r="AH748" i="208"/>
  <c r="O736" i="208"/>
  <c r="AH736" i="208"/>
  <c r="O724" i="208"/>
  <c r="AH724" i="208"/>
  <c r="O712" i="208"/>
  <c r="AH712" i="208"/>
  <c r="O700" i="208"/>
  <c r="AH700" i="208"/>
  <c r="O688" i="208"/>
  <c r="AH688" i="208"/>
  <c r="O676" i="208"/>
  <c r="AH676" i="208"/>
  <c r="O664" i="208"/>
  <c r="AH664" i="208"/>
  <c r="O652" i="208"/>
  <c r="AH652" i="208"/>
  <c r="O640" i="208"/>
  <c r="AH640" i="208"/>
  <c r="O628" i="208"/>
  <c r="AH628" i="208"/>
  <c r="O616" i="208"/>
  <c r="AH616" i="208"/>
  <c r="O604" i="208"/>
  <c r="AH604" i="208"/>
  <c r="O592" i="208"/>
  <c r="AH592" i="208"/>
  <c r="O580" i="208"/>
  <c r="AH580" i="208"/>
  <c r="O568" i="208"/>
  <c r="AH568" i="208"/>
  <c r="O556" i="208"/>
  <c r="AH556" i="208"/>
  <c r="O544" i="208"/>
  <c r="AH544" i="208"/>
  <c r="O532" i="208"/>
  <c r="AH532" i="208"/>
  <c r="O520" i="208"/>
  <c r="AH520" i="208"/>
  <c r="O508" i="208"/>
  <c r="AH508" i="208"/>
  <c r="O496" i="208"/>
  <c r="AH496" i="208"/>
  <c r="O484" i="208"/>
  <c r="AH484" i="208"/>
  <c r="O472" i="208"/>
  <c r="AH472" i="208"/>
  <c r="O460" i="208"/>
  <c r="AH460" i="208"/>
  <c r="O448" i="208"/>
  <c r="AH448" i="208"/>
  <c r="O436" i="208"/>
  <c r="AH436" i="208"/>
  <c r="O424" i="208"/>
  <c r="AH424" i="208"/>
  <c r="O412" i="208"/>
  <c r="AH412" i="208"/>
  <c r="O400" i="208"/>
  <c r="AH400" i="208"/>
  <c r="O388" i="208"/>
  <c r="AH388" i="208"/>
  <c r="O376" i="208"/>
  <c r="AH376" i="208"/>
  <c r="O364" i="208"/>
  <c r="AH364" i="208"/>
  <c r="O352" i="208"/>
  <c r="AH352" i="208"/>
  <c r="O340" i="208"/>
  <c r="AH340" i="208"/>
  <c r="O328" i="208"/>
  <c r="AH328" i="208"/>
  <c r="O316" i="208"/>
  <c r="AH316" i="208"/>
  <c r="AG896" i="208"/>
  <c r="AG884" i="208"/>
  <c r="AG872" i="208"/>
  <c r="AG860" i="208"/>
  <c r="AG848" i="208"/>
  <c r="AG836" i="208"/>
  <c r="AG824" i="208"/>
  <c r="AG812" i="208"/>
  <c r="AG800" i="208"/>
  <c r="AG788" i="208"/>
  <c r="AG776" i="208"/>
  <c r="AG764" i="208"/>
  <c r="AG752" i="208"/>
  <c r="AG740" i="208"/>
  <c r="AG728" i="208"/>
  <c r="AG716" i="208"/>
  <c r="AG704" i="208"/>
  <c r="AG692" i="208"/>
  <c r="AG680" i="208"/>
  <c r="AG668" i="208"/>
  <c r="AG656" i="208"/>
  <c r="AG644" i="208"/>
  <c r="AG632" i="208"/>
  <c r="AG620" i="208"/>
  <c r="AG608" i="208"/>
  <c r="AG596" i="208"/>
  <c r="AG584" i="208"/>
  <c r="AG572" i="208"/>
  <c r="AG560" i="208"/>
  <c r="AG548" i="208"/>
  <c r="AG536" i="208"/>
  <c r="AG524" i="208"/>
  <c r="AG512" i="208"/>
  <c r="AG500" i="208"/>
  <c r="AG488" i="208"/>
  <c r="AG476" i="208"/>
  <c r="AG464" i="208"/>
  <c r="AG452" i="208"/>
  <c r="AG440" i="208"/>
  <c r="AG428" i="208"/>
  <c r="AG416" i="208"/>
  <c r="AG404" i="208"/>
  <c r="AG392" i="208"/>
  <c r="AG380" i="208"/>
  <c r="AG368" i="208"/>
  <c r="AG356" i="208"/>
  <c r="AG344" i="208"/>
  <c r="AG332" i="208"/>
  <c r="AG320" i="208"/>
  <c r="AG308" i="208"/>
  <c r="O897" i="208"/>
  <c r="AH897" i="208"/>
  <c r="O885" i="208"/>
  <c r="AH885" i="208"/>
  <c r="O873" i="208"/>
  <c r="AH873" i="208"/>
  <c r="O861" i="208"/>
  <c r="AH861" i="208"/>
  <c r="O849" i="208"/>
  <c r="AH849" i="208"/>
  <c r="O837" i="208"/>
  <c r="AH837" i="208"/>
  <c r="O825" i="208"/>
  <c r="AH825" i="208"/>
  <c r="O813" i="208"/>
  <c r="AH813" i="208"/>
  <c r="O801" i="208"/>
  <c r="AH801" i="208"/>
  <c r="O789" i="208"/>
  <c r="AH789" i="208"/>
  <c r="O777" i="208"/>
  <c r="AH777" i="208"/>
  <c r="O765" i="208"/>
  <c r="AH765" i="208"/>
  <c r="O753" i="208"/>
  <c r="AH753" i="208"/>
  <c r="O741" i="208"/>
  <c r="AH741" i="208"/>
  <c r="O729" i="208"/>
  <c r="AH729" i="208"/>
  <c r="O717" i="208"/>
  <c r="AH717" i="208"/>
  <c r="O705" i="208"/>
  <c r="AH705" i="208"/>
  <c r="O693" i="208"/>
  <c r="AH693" i="208"/>
  <c r="O681" i="208"/>
  <c r="AH681" i="208"/>
  <c r="O669" i="208"/>
  <c r="AH669" i="208"/>
  <c r="O657" i="208"/>
  <c r="AH657" i="208"/>
  <c r="O645" i="208"/>
  <c r="AH645" i="208"/>
  <c r="O633" i="208"/>
  <c r="AH633" i="208"/>
  <c r="O621" i="208"/>
  <c r="AH621" i="208"/>
  <c r="O609" i="208"/>
  <c r="AH609" i="208"/>
  <c r="O597" i="208"/>
  <c r="AH597" i="208"/>
  <c r="O585" i="208"/>
  <c r="AH585" i="208"/>
  <c r="O573" i="208"/>
  <c r="AH573" i="208"/>
  <c r="O561" i="208"/>
  <c r="AH561" i="208"/>
  <c r="O549" i="208"/>
  <c r="AH549" i="208"/>
  <c r="O537" i="208"/>
  <c r="AH537" i="208"/>
  <c r="O525" i="208"/>
  <c r="AH525" i="208"/>
  <c r="O513" i="208"/>
  <c r="AH513" i="208"/>
  <c r="O501" i="208"/>
  <c r="AH501" i="208"/>
  <c r="O489" i="208"/>
  <c r="AH489" i="208"/>
  <c r="O477" i="208"/>
  <c r="AH477" i="208"/>
  <c r="O465" i="208"/>
  <c r="AH465" i="208"/>
  <c r="O453" i="208"/>
  <c r="AH453" i="208"/>
  <c r="O441" i="208"/>
  <c r="AH441" i="208"/>
  <c r="O429" i="208"/>
  <c r="AH429" i="208"/>
  <c r="O417" i="208"/>
  <c r="AH417" i="208"/>
  <c r="O405" i="208"/>
  <c r="AH405" i="208"/>
  <c r="O393" i="208"/>
  <c r="AH393" i="208"/>
  <c r="O381" i="208"/>
  <c r="AH381" i="208"/>
  <c r="O369" i="208"/>
  <c r="AH369" i="208"/>
  <c r="O357" i="208"/>
  <c r="AH357" i="208"/>
  <c r="O345" i="208"/>
  <c r="AH345" i="208"/>
  <c r="O333" i="208"/>
  <c r="AH333" i="208"/>
  <c r="O321" i="208"/>
  <c r="AH321" i="208"/>
  <c r="O309" i="208"/>
  <c r="AH309" i="208"/>
  <c r="AG895" i="208"/>
  <c r="AG883" i="208"/>
  <c r="AG871" i="208"/>
  <c r="AG859" i="208"/>
  <c r="AG847" i="208"/>
  <c r="AG835" i="208"/>
  <c r="AG823" i="208"/>
  <c r="AG811" i="208"/>
  <c r="AG799" i="208"/>
  <c r="AG787" i="208"/>
  <c r="AG775" i="208"/>
  <c r="AG763" i="208"/>
  <c r="AG751" i="208"/>
  <c r="AG739" i="208"/>
  <c r="AG727" i="208"/>
  <c r="AG715" i="208"/>
  <c r="AG703" i="208"/>
  <c r="AG691" i="208"/>
  <c r="AG679" i="208"/>
  <c r="AG667" i="208"/>
  <c r="AG655" i="208"/>
  <c r="AG643" i="208"/>
  <c r="AG631" i="208"/>
  <c r="AG619" i="208"/>
  <c r="AG607" i="208"/>
  <c r="AG595" i="208"/>
  <c r="AG583" i="208"/>
  <c r="AG571" i="208"/>
  <c r="AG559" i="208"/>
  <c r="AG547" i="208"/>
  <c r="AG535" i="208"/>
  <c r="AG523" i="208"/>
  <c r="AG511" i="208"/>
  <c r="AG499" i="208"/>
  <c r="AG487" i="208"/>
  <c r="AG475" i="208"/>
  <c r="AG451" i="208"/>
  <c r="AG439" i="208"/>
  <c r="AG427" i="208"/>
  <c r="AG415" i="208"/>
  <c r="AG403" i="208"/>
  <c r="AG391" i="208"/>
  <c r="AG379" i="208"/>
  <c r="AG367" i="208"/>
  <c r="AG355" i="208"/>
  <c r="AG343" i="208"/>
  <c r="AG331" i="208"/>
  <c r="AG319" i="208"/>
  <c r="AG307" i="208"/>
  <c r="O305" i="208"/>
  <c r="AH305" i="208"/>
  <c r="O304" i="208"/>
  <c r="AH304" i="208"/>
  <c r="O890" i="208"/>
  <c r="AH890" i="208"/>
  <c r="O878" i="208"/>
  <c r="AH878" i="208"/>
  <c r="O866" i="208"/>
  <c r="AH866" i="208"/>
  <c r="O854" i="208"/>
  <c r="AH854" i="208"/>
  <c r="O842" i="208"/>
  <c r="AH842" i="208"/>
  <c r="O830" i="208"/>
  <c r="AH830" i="208"/>
  <c r="O818" i="208"/>
  <c r="AH818" i="208"/>
  <c r="O806" i="208"/>
  <c r="AH806" i="208"/>
  <c r="O794" i="208"/>
  <c r="AH794" i="208"/>
  <c r="O782" i="208"/>
  <c r="AH782" i="208"/>
  <c r="O770" i="208"/>
  <c r="AH770" i="208"/>
  <c r="O758" i="208"/>
  <c r="AH758" i="208"/>
  <c r="O746" i="208"/>
  <c r="AH746" i="208"/>
  <c r="O734" i="208"/>
  <c r="AH734" i="208"/>
  <c r="O722" i="208"/>
  <c r="AH722" i="208"/>
  <c r="O710" i="208"/>
  <c r="AH710" i="208"/>
  <c r="O698" i="208"/>
  <c r="AH698" i="208"/>
  <c r="O686" i="208"/>
  <c r="AH686" i="208"/>
  <c r="O674" i="208"/>
  <c r="AH674" i="208"/>
  <c r="O662" i="208"/>
  <c r="AH662" i="208"/>
  <c r="O650" i="208"/>
  <c r="AH650" i="208"/>
  <c r="O638" i="208"/>
  <c r="AH638" i="208"/>
  <c r="O626" i="208"/>
  <c r="AH626" i="208"/>
  <c r="O614" i="208"/>
  <c r="AH614" i="208"/>
  <c r="O602" i="208"/>
  <c r="AH602" i="208"/>
  <c r="O590" i="208"/>
  <c r="AH590" i="208"/>
  <c r="O578" i="208"/>
  <c r="AH578" i="208"/>
  <c r="O566" i="208"/>
  <c r="AH566" i="208"/>
  <c r="O554" i="208"/>
  <c r="AH554" i="208"/>
  <c r="O542" i="208"/>
  <c r="AH542" i="208"/>
  <c r="O530" i="208"/>
  <c r="AH530" i="208"/>
  <c r="O518" i="208"/>
  <c r="AH518" i="208"/>
  <c r="O506" i="208"/>
  <c r="AH506" i="208"/>
  <c r="O494" i="208"/>
  <c r="AH494" i="208"/>
  <c r="O482" i="208"/>
  <c r="AH482" i="208"/>
  <c r="O470" i="208"/>
  <c r="AH470" i="208"/>
  <c r="O458" i="208"/>
  <c r="AH458" i="208"/>
  <c r="O446" i="208"/>
  <c r="AH446" i="208"/>
  <c r="O434" i="208"/>
  <c r="AH434" i="208"/>
  <c r="O422" i="208"/>
  <c r="AH422" i="208"/>
  <c r="O410" i="208"/>
  <c r="AH410" i="208"/>
  <c r="O398" i="208"/>
  <c r="AH398" i="208"/>
  <c r="O386" i="208"/>
  <c r="AH386" i="208"/>
  <c r="O374" i="208"/>
  <c r="AH374" i="208"/>
  <c r="O362" i="208"/>
  <c r="AH362" i="208"/>
  <c r="O350" i="208"/>
  <c r="AH350" i="208"/>
  <c r="O338" i="208"/>
  <c r="AH338" i="208"/>
  <c r="O326" i="208"/>
  <c r="AH326" i="208"/>
  <c r="O314" i="208"/>
  <c r="AH314" i="208"/>
  <c r="AG894" i="208"/>
  <c r="AG882" i="208"/>
  <c r="AG870" i="208"/>
  <c r="AG858" i="208"/>
  <c r="AG846" i="208"/>
  <c r="AG834" i="208"/>
  <c r="AG822" i="208"/>
  <c r="AG810" i="208"/>
  <c r="AG798" i="208"/>
  <c r="AG786" i="208"/>
  <c r="AG774" i="208"/>
  <c r="AG762" i="208"/>
  <c r="AG750" i="208"/>
  <c r="AG738" i="208"/>
  <c r="AG726" i="208"/>
  <c r="AG714" i="208"/>
  <c r="AG702" i="208"/>
  <c r="AG690" i="208"/>
  <c r="AG678" i="208"/>
  <c r="AG666" i="208"/>
  <c r="AG654" i="208"/>
  <c r="AG642" i="208"/>
  <c r="AG630" i="208"/>
  <c r="AG618" i="208"/>
  <c r="AG606" i="208"/>
  <c r="AG594" i="208"/>
  <c r="AG582" i="208"/>
  <c r="AG570" i="208"/>
  <c r="AG558" i="208"/>
  <c r="AG546" i="208"/>
  <c r="AG534" i="208"/>
  <c r="AG522" i="208"/>
  <c r="AG510" i="208"/>
  <c r="AG498" i="208"/>
  <c r="AG486" i="208"/>
  <c r="AG474" i="208"/>
  <c r="AG462" i="208"/>
  <c r="AG450" i="208"/>
  <c r="AG438" i="208"/>
  <c r="AG426" i="208"/>
  <c r="AG414" i="208"/>
  <c r="AG402" i="208"/>
  <c r="AG390" i="208"/>
  <c r="AG378" i="208"/>
  <c r="AG366" i="208"/>
  <c r="AG354" i="208"/>
  <c r="AG342" i="208"/>
  <c r="AG330" i="208"/>
  <c r="AG318" i="208"/>
  <c r="AG306" i="208"/>
  <c r="O895" i="208"/>
  <c r="AH895" i="208"/>
  <c r="O883" i="208"/>
  <c r="AH883" i="208"/>
  <c r="O871" i="208"/>
  <c r="AH871" i="208"/>
  <c r="O859" i="208"/>
  <c r="AH859" i="208"/>
  <c r="O847" i="208"/>
  <c r="AH847" i="208"/>
  <c r="O835" i="208"/>
  <c r="AH835" i="208"/>
  <c r="O823" i="208"/>
  <c r="AH823" i="208"/>
  <c r="O811" i="208"/>
  <c r="AH811" i="208"/>
  <c r="O799" i="208"/>
  <c r="AH799" i="208"/>
  <c r="O787" i="208"/>
  <c r="AH787" i="208"/>
  <c r="O775" i="208"/>
  <c r="AH775" i="208"/>
  <c r="O763" i="208"/>
  <c r="AH763" i="208"/>
  <c r="O751" i="208"/>
  <c r="AH751" i="208"/>
  <c r="O739" i="208"/>
  <c r="AH739" i="208"/>
  <c r="O727" i="208"/>
  <c r="AH727" i="208"/>
  <c r="O715" i="208"/>
  <c r="AH715" i="208"/>
  <c r="O703" i="208"/>
  <c r="AH703" i="208"/>
  <c r="O691" i="208"/>
  <c r="AH691" i="208"/>
  <c r="O679" i="208"/>
  <c r="AH679" i="208"/>
  <c r="O667" i="208"/>
  <c r="AH667" i="208"/>
  <c r="O655" i="208"/>
  <c r="AH655" i="208"/>
  <c r="O643" i="208"/>
  <c r="AH643" i="208"/>
  <c r="O631" i="208"/>
  <c r="AH631" i="208"/>
  <c r="O619" i="208"/>
  <c r="AH619" i="208"/>
  <c r="O607" i="208"/>
  <c r="AH607" i="208"/>
  <c r="O595" i="208"/>
  <c r="AH595" i="208"/>
  <c r="O583" i="208"/>
  <c r="AH583" i="208"/>
  <c r="O571" i="208"/>
  <c r="AH571" i="208"/>
  <c r="O559" i="208"/>
  <c r="AH559" i="208"/>
  <c r="O547" i="208"/>
  <c r="AH547" i="208"/>
  <c r="O535" i="208"/>
  <c r="AH535" i="208"/>
  <c r="O523" i="208"/>
  <c r="AH523" i="208"/>
  <c r="O511" i="208"/>
  <c r="AH511" i="208"/>
  <c r="O499" i="208"/>
  <c r="AH499" i="208"/>
  <c r="O487" i="208"/>
  <c r="AH487" i="208"/>
  <c r="O475" i="208"/>
  <c r="AH475" i="208"/>
  <c r="O451" i="208"/>
  <c r="AH451" i="208"/>
  <c r="O439" i="208"/>
  <c r="AH439" i="208"/>
  <c r="O427" i="208"/>
  <c r="AH427" i="208"/>
  <c r="O415" i="208"/>
  <c r="AH415" i="208"/>
  <c r="O403" i="208"/>
  <c r="AH403" i="208"/>
  <c r="O391" i="208"/>
  <c r="AH391" i="208"/>
  <c r="O379" i="208"/>
  <c r="AH379" i="208"/>
  <c r="O367" i="208"/>
  <c r="AH367" i="208"/>
  <c r="O355" i="208"/>
  <c r="AH355" i="208"/>
  <c r="O343" i="208"/>
  <c r="AH343" i="208"/>
  <c r="O331" i="208"/>
  <c r="AH331" i="208"/>
  <c r="O319" i="208"/>
  <c r="AH319" i="208"/>
  <c r="O307" i="208"/>
  <c r="AH307" i="208"/>
  <c r="AG893" i="208"/>
  <c r="AG881" i="208"/>
  <c r="AG869" i="208"/>
  <c r="AG857" i="208"/>
  <c r="AG845" i="208"/>
  <c r="AG833" i="208"/>
  <c r="AG821" i="208"/>
  <c r="AG809" i="208"/>
  <c r="AG797" i="208"/>
  <c r="AG785" i="208"/>
  <c r="AG773" i="208"/>
  <c r="AG761" i="208"/>
  <c r="AG749" i="208"/>
  <c r="AG737" i="208"/>
  <c r="AG725" i="208"/>
  <c r="AG713" i="208"/>
  <c r="AG701" i="208"/>
  <c r="AG689" i="208"/>
  <c r="AG677" i="208"/>
  <c r="AG665" i="208"/>
  <c r="AG653" i="208"/>
  <c r="AG641" i="208"/>
  <c r="AG629" i="208"/>
  <c r="AG617" i="208"/>
  <c r="AG605" i="208"/>
  <c r="AG593" i="208"/>
  <c r="AG581" i="208"/>
  <c r="AG569" i="208"/>
  <c r="AG557" i="208"/>
  <c r="AG545" i="208"/>
  <c r="AG533" i="208"/>
  <c r="AG521" i="208"/>
  <c r="AG509" i="208"/>
  <c r="AG497" i="208"/>
  <c r="AG485" i="208"/>
  <c r="AG473" i="208"/>
  <c r="AG461" i="208"/>
  <c r="AG449" i="208"/>
  <c r="AG437" i="208"/>
  <c r="AG425" i="208"/>
  <c r="AG413" i="208"/>
  <c r="AG401" i="208"/>
  <c r="AG389" i="208"/>
  <c r="AG377" i="208"/>
  <c r="AG365" i="208"/>
  <c r="AG353" i="208"/>
  <c r="AG341" i="208"/>
  <c r="AG329" i="208"/>
  <c r="AG317" i="208"/>
  <c r="AG305" i="208"/>
  <c r="O888" i="208"/>
  <c r="AH888" i="208"/>
  <c r="O876" i="208"/>
  <c r="AH876" i="208"/>
  <c r="O864" i="208"/>
  <c r="AH864" i="208"/>
  <c r="O852" i="208"/>
  <c r="AH852" i="208"/>
  <c r="O840" i="208"/>
  <c r="AH840" i="208"/>
  <c r="O828" i="208"/>
  <c r="AH828" i="208"/>
  <c r="O816" i="208"/>
  <c r="AH816" i="208"/>
  <c r="O804" i="208"/>
  <c r="AH804" i="208"/>
  <c r="O792" i="208"/>
  <c r="AH792" i="208"/>
  <c r="O780" i="208"/>
  <c r="AH780" i="208"/>
  <c r="O768" i="208"/>
  <c r="AH768" i="208"/>
  <c r="O756" i="208"/>
  <c r="AH756" i="208"/>
  <c r="O744" i="208"/>
  <c r="AH744" i="208"/>
  <c r="O732" i="208"/>
  <c r="AH732" i="208"/>
  <c r="O720" i="208"/>
  <c r="AH720" i="208"/>
  <c r="O708" i="208"/>
  <c r="AH708" i="208"/>
  <c r="O696" i="208"/>
  <c r="AH696" i="208"/>
  <c r="O684" i="208"/>
  <c r="AH684" i="208"/>
  <c r="O672" i="208"/>
  <c r="AH672" i="208"/>
  <c r="O660" i="208"/>
  <c r="AH660" i="208"/>
  <c r="O648" i="208"/>
  <c r="AH648" i="208"/>
  <c r="O636" i="208"/>
  <c r="AH636" i="208"/>
  <c r="O624" i="208"/>
  <c r="AH624" i="208"/>
  <c r="O612" i="208"/>
  <c r="AH612" i="208"/>
  <c r="O600" i="208"/>
  <c r="AH600" i="208"/>
  <c r="O588" i="208"/>
  <c r="AH588" i="208"/>
  <c r="O564" i="208"/>
  <c r="AH564" i="208"/>
  <c r="O552" i="208"/>
  <c r="AH552" i="208"/>
  <c r="O540" i="208"/>
  <c r="AH540" i="208"/>
  <c r="O528" i="208"/>
  <c r="AH528" i="208"/>
  <c r="O516" i="208"/>
  <c r="AH516" i="208"/>
  <c r="O504" i="208"/>
  <c r="AH504" i="208"/>
  <c r="O492" i="208"/>
  <c r="AH492" i="208"/>
  <c r="O480" i="208"/>
  <c r="AH480" i="208"/>
  <c r="O468" i="208"/>
  <c r="AH468" i="208"/>
  <c r="O456" i="208"/>
  <c r="AH456" i="208"/>
  <c r="O444" i="208"/>
  <c r="AH444" i="208"/>
  <c r="O432" i="208"/>
  <c r="AH432" i="208"/>
  <c r="O420" i="208"/>
  <c r="AH420" i="208"/>
  <c r="O408" i="208"/>
  <c r="AH408" i="208"/>
  <c r="O396" i="208"/>
  <c r="AH396" i="208"/>
  <c r="O384" i="208"/>
  <c r="AH384" i="208"/>
  <c r="O372" i="208"/>
  <c r="AH372" i="208"/>
  <c r="O360" i="208"/>
  <c r="AH360" i="208"/>
  <c r="O348" i="208"/>
  <c r="AH348" i="208"/>
  <c r="O336" i="208"/>
  <c r="AH336" i="208"/>
  <c r="O324" i="208"/>
  <c r="AH324" i="208"/>
  <c r="O312" i="208"/>
  <c r="AH312" i="208"/>
  <c r="AG892" i="208"/>
  <c r="AG880" i="208"/>
  <c r="AG868" i="208"/>
  <c r="AG856" i="208"/>
  <c r="AG844" i="208"/>
  <c r="AG832" i="208"/>
  <c r="AG820" i="208"/>
  <c r="AG808" i="208"/>
  <c r="AG796" i="208"/>
  <c r="AG784" i="208"/>
  <c r="AG772" i="208"/>
  <c r="AG760" i="208"/>
  <c r="AG748" i="208"/>
  <c r="AG736" i="208"/>
  <c r="AG724" i="208"/>
  <c r="AG712" i="208"/>
  <c r="AG700" i="208"/>
  <c r="AG688" i="208"/>
  <c r="AG676" i="208"/>
  <c r="AG664" i="208"/>
  <c r="AG652" i="208"/>
  <c r="AG640" i="208"/>
  <c r="AG628" i="208"/>
  <c r="AG616" i="208"/>
  <c r="AG604" i="208"/>
  <c r="AG592" i="208"/>
  <c r="AG580" i="208"/>
  <c r="AG568" i="208"/>
  <c r="AG556" i="208"/>
  <c r="AG544" i="208"/>
  <c r="AG532" i="208"/>
  <c r="AG520" i="208"/>
  <c r="AG508" i="208"/>
  <c r="AG496" i="208"/>
  <c r="AG484" i="208"/>
  <c r="AG472" i="208"/>
  <c r="AG460" i="208"/>
  <c r="AG448" i="208"/>
  <c r="AG436" i="208"/>
  <c r="AG424" i="208"/>
  <c r="AG412" i="208"/>
  <c r="AG400" i="208"/>
  <c r="AG388" i="208"/>
  <c r="AG376" i="208"/>
  <c r="AG364" i="208"/>
  <c r="AG352" i="208"/>
  <c r="AG340" i="208"/>
  <c r="AG328" i="208"/>
  <c r="AG316" i="208"/>
  <c r="AG304" i="208"/>
  <c r="O893" i="208"/>
  <c r="AH893" i="208"/>
  <c r="O881" i="208"/>
  <c r="AH881" i="208"/>
  <c r="O869" i="208"/>
  <c r="AH869" i="208"/>
  <c r="O857" i="208"/>
  <c r="AH857" i="208"/>
  <c r="O845" i="208"/>
  <c r="AH845" i="208"/>
  <c r="O833" i="208"/>
  <c r="AH833" i="208"/>
  <c r="O821" i="208"/>
  <c r="AH821" i="208"/>
  <c r="O809" i="208"/>
  <c r="AH809" i="208"/>
  <c r="O797" i="208"/>
  <c r="AH797" i="208"/>
  <c r="O785" i="208"/>
  <c r="AH785" i="208"/>
  <c r="O773" i="208"/>
  <c r="AH773" i="208"/>
  <c r="O761" i="208"/>
  <c r="AH761" i="208"/>
  <c r="O749" i="208"/>
  <c r="AH749" i="208"/>
  <c r="O737" i="208"/>
  <c r="AH737" i="208"/>
  <c r="O725" i="208"/>
  <c r="AH725" i="208"/>
  <c r="O713" i="208"/>
  <c r="AH713" i="208"/>
  <c r="O701" i="208"/>
  <c r="AH701" i="208"/>
  <c r="O689" i="208"/>
  <c r="AH689" i="208"/>
  <c r="O677" i="208"/>
  <c r="AH677" i="208"/>
  <c r="O665" i="208"/>
  <c r="AH665" i="208"/>
  <c r="O653" i="208"/>
  <c r="AH653" i="208"/>
  <c r="O641" i="208"/>
  <c r="AH641" i="208"/>
  <c r="O629" i="208"/>
  <c r="AH629" i="208"/>
  <c r="O617" i="208"/>
  <c r="AH617" i="208"/>
  <c r="O605" i="208"/>
  <c r="AH605" i="208"/>
  <c r="O593" i="208"/>
  <c r="AH593" i="208"/>
  <c r="O581" i="208"/>
  <c r="AH581" i="208"/>
  <c r="O569" i="208"/>
  <c r="AH569" i="208"/>
  <c r="O557" i="208"/>
  <c r="AH557" i="208"/>
  <c r="O545" i="208"/>
  <c r="AH545" i="208"/>
  <c r="O533" i="208"/>
  <c r="AH533" i="208"/>
  <c r="O521" i="208"/>
  <c r="AH521" i="208"/>
  <c r="O509" i="208"/>
  <c r="AH509" i="208"/>
  <c r="O497" i="208"/>
  <c r="AH497" i="208"/>
  <c r="O485" i="208"/>
  <c r="AH485" i="208"/>
  <c r="O473" i="208"/>
  <c r="AH473" i="208"/>
  <c r="O461" i="208"/>
  <c r="AH461" i="208"/>
  <c r="O449" i="208"/>
  <c r="AH449" i="208"/>
  <c r="O437" i="208"/>
  <c r="AH437" i="208"/>
  <c r="O425" i="208"/>
  <c r="AH425" i="208"/>
  <c r="O413" i="208"/>
  <c r="AH413" i="208"/>
  <c r="O401" i="208"/>
  <c r="AH401" i="208"/>
  <c r="O389" i="208"/>
  <c r="AH389" i="208"/>
  <c r="O377" i="208"/>
  <c r="AH377" i="208"/>
  <c r="O365" i="208"/>
  <c r="AH365" i="208"/>
  <c r="O353" i="208"/>
  <c r="AH353" i="208"/>
  <c r="O341" i="208"/>
  <c r="AH341" i="208"/>
  <c r="O329" i="208"/>
  <c r="AH329" i="208"/>
  <c r="O317" i="208"/>
  <c r="AH317" i="208"/>
  <c r="AG891" i="208"/>
  <c r="AG879" i="208"/>
  <c r="AG867" i="208"/>
  <c r="AG855" i="208"/>
  <c r="AG843" i="208"/>
  <c r="AG831" i="208"/>
  <c r="AG819" i="208"/>
  <c r="AG807" i="208"/>
  <c r="AG795" i="208"/>
  <c r="AG783" i="208"/>
  <c r="AG771" i="208"/>
  <c r="AG759" i="208"/>
  <c r="AG747" i="208"/>
  <c r="AG735" i="208"/>
  <c r="AG723" i="208"/>
  <c r="AG711" i="208"/>
  <c r="AG699" i="208"/>
  <c r="AG687" i="208"/>
  <c r="AG675" i="208"/>
  <c r="AG663" i="208"/>
  <c r="AG651" i="208"/>
  <c r="AG639" i="208"/>
  <c r="AG627" i="208"/>
  <c r="AG615" i="208"/>
  <c r="AG603" i="208"/>
  <c r="AG591" i="208"/>
  <c r="AG579" i="208"/>
  <c r="AG567" i="208"/>
  <c r="AG555" i="208"/>
  <c r="AG543" i="208"/>
  <c r="AG531" i="208"/>
  <c r="AG519" i="208"/>
  <c r="AG507" i="208"/>
  <c r="AG495" i="208"/>
  <c r="AG483" i="208"/>
  <c r="AG471" i="208"/>
  <c r="AG459" i="208"/>
  <c r="AG447" i="208"/>
  <c r="AG435" i="208"/>
  <c r="AG423" i="208"/>
  <c r="AG411" i="208"/>
  <c r="AG399" i="208"/>
  <c r="AG387" i="208"/>
  <c r="AG375" i="208"/>
  <c r="AG363" i="208"/>
  <c r="AG351" i="208"/>
  <c r="AG339" i="208"/>
  <c r="AG327" i="208"/>
  <c r="AG315" i="208"/>
  <c r="AG303" i="208"/>
  <c r="Q4" i="208"/>
  <c r="AH4" i="208"/>
  <c r="AG4" i="208"/>
  <c r="Q3" i="208"/>
  <c r="AH3" i="208"/>
  <c r="AG3" i="208"/>
  <c r="AH463" i="208"/>
  <c r="AG463" i="208"/>
  <c r="AH576" i="208"/>
  <c r="AG576" i="208"/>
  <c r="Q2" i="208"/>
  <c r="AH2" i="208"/>
  <c r="AG2" i="208"/>
  <c r="S5" i="208"/>
  <c r="S4" i="208"/>
  <c r="S3" i="208"/>
  <c r="S2" i="208"/>
  <c r="X169" i="208"/>
  <c r="G399" i="208"/>
  <c r="AA399" i="208" s="1"/>
  <c r="G387" i="208"/>
  <c r="AA387" i="208" s="1"/>
  <c r="G375" i="208"/>
  <c r="G363" i="208"/>
  <c r="G351" i="208"/>
  <c r="AE351" i="208" s="1"/>
  <c r="G339" i="208"/>
  <c r="G327" i="208"/>
  <c r="AB327" i="208" s="1"/>
  <c r="G315" i="208"/>
  <c r="G2943" i="208"/>
  <c r="G2835" i="208"/>
  <c r="G2811" i="208"/>
  <c r="G2787" i="208"/>
  <c r="G2715" i="208"/>
  <c r="G2571" i="208"/>
  <c r="AB2571" i="208" s="1"/>
  <c r="G2475" i="208"/>
  <c r="G2439" i="208"/>
  <c r="G2379" i="208"/>
  <c r="G2295" i="208"/>
  <c r="G2175" i="208"/>
  <c r="AB2175" i="208" s="1"/>
  <c r="G2055" i="208"/>
  <c r="G1683" i="208"/>
  <c r="G1275" i="208"/>
  <c r="G1251" i="208"/>
  <c r="G1227" i="208"/>
  <c r="AE1227" i="208" s="1"/>
  <c r="G1143" i="208"/>
  <c r="G1071" i="208"/>
  <c r="AF1071" i="208" s="1"/>
  <c r="G987" i="208"/>
  <c r="G963" i="208"/>
  <c r="G639" i="208"/>
  <c r="AF639" i="208" s="1"/>
  <c r="G627" i="208"/>
  <c r="G567" i="208"/>
  <c r="AF567" i="208" s="1"/>
  <c r="G555" i="208"/>
  <c r="G543" i="208"/>
  <c r="G531" i="208"/>
  <c r="G2996" i="208"/>
  <c r="G2984" i="208"/>
  <c r="V2984" i="208" s="1"/>
  <c r="G2972" i="208"/>
  <c r="G2960" i="208"/>
  <c r="AA2960" i="208" s="1"/>
  <c r="G2948" i="208"/>
  <c r="G2936" i="208"/>
  <c r="G2924" i="208"/>
  <c r="G2912" i="208"/>
  <c r="G2900" i="208"/>
  <c r="V2900" i="208" s="1"/>
  <c r="G2888" i="208"/>
  <c r="G2876" i="208"/>
  <c r="G2864" i="208"/>
  <c r="G2852" i="208"/>
  <c r="G2840" i="208"/>
  <c r="G2828" i="208"/>
  <c r="G2816" i="208"/>
  <c r="F2816" i="208" s="1"/>
  <c r="T2816" i="208" s="1"/>
  <c r="G2804" i="208"/>
  <c r="G2792" i="208"/>
  <c r="G2780" i="208"/>
  <c r="G2768" i="208"/>
  <c r="G2756" i="208"/>
  <c r="F2756" i="208" s="1"/>
  <c r="T2756" i="208" s="1"/>
  <c r="G2744" i="208"/>
  <c r="G2732" i="208"/>
  <c r="G2720" i="208"/>
  <c r="G2708" i="208"/>
  <c r="G2696" i="208"/>
  <c r="AF2696" i="208" s="1"/>
  <c r="G2684" i="208"/>
  <c r="G2672" i="208"/>
  <c r="AF2672" i="208" s="1"/>
  <c r="G2660" i="208"/>
  <c r="G2648" i="208"/>
  <c r="G2636" i="208"/>
  <c r="G2624" i="208"/>
  <c r="G2612" i="208"/>
  <c r="AA2612" i="208" s="1"/>
  <c r="G2600" i="208"/>
  <c r="G2588" i="208"/>
  <c r="G2576" i="208"/>
  <c r="G2564" i="208"/>
  <c r="G2552" i="208"/>
  <c r="G2540" i="208"/>
  <c r="G2528" i="208"/>
  <c r="AF2528" i="208" s="1"/>
  <c r="G2516" i="208"/>
  <c r="G2504" i="208"/>
  <c r="G2492" i="208"/>
  <c r="G2480" i="208"/>
  <c r="G2468" i="208"/>
  <c r="F2468" i="208" s="1"/>
  <c r="T2468" i="208" s="1"/>
  <c r="G2456" i="208"/>
  <c r="G2444" i="208"/>
  <c r="G2432" i="208"/>
  <c r="G2420" i="208"/>
  <c r="G2408" i="208"/>
  <c r="G2396" i="208"/>
  <c r="G2384" i="208"/>
  <c r="AB2384" i="208" s="1"/>
  <c r="G2372" i="208"/>
  <c r="G2360" i="208"/>
  <c r="G2348" i="208"/>
  <c r="G2336" i="208"/>
  <c r="G2324" i="208"/>
  <c r="F2324" i="208" s="1"/>
  <c r="T2324" i="208" s="1"/>
  <c r="G2312" i="208"/>
  <c r="G2300" i="208"/>
  <c r="G2288" i="208"/>
  <c r="G2276" i="208"/>
  <c r="G2264" i="208"/>
  <c r="V2264" i="208" s="1"/>
  <c r="G2252" i="208"/>
  <c r="G2240" i="208"/>
  <c r="AA2240" i="208" s="1"/>
  <c r="G2228" i="208"/>
  <c r="G2216" i="208"/>
  <c r="G2204" i="208"/>
  <c r="G2192" i="208"/>
  <c r="G2180" i="208"/>
  <c r="V2180" i="208" s="1"/>
  <c r="G2168" i="208"/>
  <c r="G2156" i="208"/>
  <c r="G2144" i="208"/>
  <c r="G2132" i="208"/>
  <c r="G2120" i="208"/>
  <c r="F2120" i="208" s="1"/>
  <c r="T2120" i="208" s="1"/>
  <c r="G2108" i="208"/>
  <c r="G2096" i="208"/>
  <c r="AA2096" i="208" s="1"/>
  <c r="G2084" i="208"/>
  <c r="G2072" i="208"/>
  <c r="G2060" i="208"/>
  <c r="G2048" i="208"/>
  <c r="G2036" i="208"/>
  <c r="V2036" i="208" s="1"/>
  <c r="G2024" i="208"/>
  <c r="G2012" i="208"/>
  <c r="G2000" i="208"/>
  <c r="G1988" i="208"/>
  <c r="G1976" i="208"/>
  <c r="V1976" i="208" s="1"/>
  <c r="G1964" i="208"/>
  <c r="G1952" i="208"/>
  <c r="AB1952" i="208" s="1"/>
  <c r="G1940" i="208"/>
  <c r="G1928" i="208"/>
  <c r="G1916" i="208"/>
  <c r="G1904" i="208"/>
  <c r="G1892" i="208"/>
  <c r="AA1892" i="208" s="1"/>
  <c r="G1880" i="208"/>
  <c r="G1868" i="208"/>
  <c r="G1856" i="208"/>
  <c r="G1844" i="208"/>
  <c r="G1832" i="208"/>
  <c r="G1820" i="208"/>
  <c r="G1808" i="208"/>
  <c r="AF1808" i="208" s="1"/>
  <c r="G1796" i="208"/>
  <c r="G1784" i="208"/>
  <c r="G1772" i="208"/>
  <c r="G1760" i="208"/>
  <c r="G1748" i="208"/>
  <c r="V1748" i="208" s="1"/>
  <c r="G1736" i="208"/>
  <c r="G1724" i="208"/>
  <c r="G1712" i="208"/>
  <c r="G1700" i="208"/>
  <c r="G1688" i="208"/>
  <c r="V1688" i="208" s="1"/>
  <c r="G1676" i="208"/>
  <c r="G1664" i="208"/>
  <c r="AF1664" i="208" s="1"/>
  <c r="G1652" i="208"/>
  <c r="G1640" i="208"/>
  <c r="G1628" i="208"/>
  <c r="G1616" i="208"/>
  <c r="G1604" i="208"/>
  <c r="AB1604" i="208" s="1"/>
  <c r="G1592" i="208"/>
  <c r="G1580" i="208"/>
  <c r="G1568" i="208"/>
  <c r="G1556" i="208"/>
  <c r="G1544" i="208"/>
  <c r="V1544" i="208" s="1"/>
  <c r="G1532" i="208"/>
  <c r="G1520" i="208"/>
  <c r="AE1520" i="208" s="1"/>
  <c r="G1508" i="208"/>
  <c r="G1496" i="208"/>
  <c r="G1484" i="208"/>
  <c r="G1472" i="208"/>
  <c r="G1460" i="208"/>
  <c r="AE1460" i="208" s="1"/>
  <c r="G1448" i="208"/>
  <c r="G1436" i="208"/>
  <c r="G1424" i="208"/>
  <c r="G1412" i="208"/>
  <c r="G1400" i="208"/>
  <c r="AA1400" i="208" s="1"/>
  <c r="G1388" i="208"/>
  <c r="G1376" i="208"/>
  <c r="AF1376" i="208" s="1"/>
  <c r="G1364" i="208"/>
  <c r="G1352" i="208"/>
  <c r="G1340" i="208"/>
  <c r="G1328" i="208"/>
  <c r="G1316" i="208"/>
  <c r="AB1316" i="208" s="1"/>
  <c r="G1304" i="208"/>
  <c r="G1292" i="208"/>
  <c r="G1280" i="208"/>
  <c r="G1268" i="208"/>
  <c r="G1256" i="208"/>
  <c r="V1256" i="208" s="1"/>
  <c r="G1244" i="208"/>
  <c r="G1232" i="208"/>
  <c r="V1232" i="208" s="1"/>
  <c r="G1220" i="208"/>
  <c r="G1208" i="208"/>
  <c r="G1196" i="208"/>
  <c r="G1184" i="208"/>
  <c r="G1172" i="208"/>
  <c r="V1172" i="208" s="1"/>
  <c r="G1160" i="208"/>
  <c r="G1148" i="208"/>
  <c r="G1136" i="208"/>
  <c r="G1124" i="208"/>
  <c r="G1112" i="208"/>
  <c r="G1100" i="208"/>
  <c r="G1088" i="208"/>
  <c r="AF1088" i="208" s="1"/>
  <c r="G1076" i="208"/>
  <c r="G1064" i="208"/>
  <c r="G1052" i="208"/>
  <c r="G1040" i="208"/>
  <c r="G1028" i="208"/>
  <c r="AB1028" i="208" s="1"/>
  <c r="G1016" i="208"/>
  <c r="G1004" i="208"/>
  <c r="G992" i="208"/>
  <c r="G980" i="208"/>
  <c r="G968" i="208"/>
  <c r="G956" i="208"/>
  <c r="G944" i="208"/>
  <c r="AE944" i="208" s="1"/>
  <c r="G932" i="208"/>
  <c r="G920" i="208"/>
  <c r="G908" i="208"/>
  <c r="AB908" i="208" s="1"/>
  <c r="G896" i="208"/>
  <c r="G884" i="208"/>
  <c r="AB884" i="208" s="1"/>
  <c r="G872" i="208"/>
  <c r="G860" i="208"/>
  <c r="G848" i="208"/>
  <c r="G836" i="208"/>
  <c r="G824" i="208"/>
  <c r="V824" i="208" s="1"/>
  <c r="G812" i="208"/>
  <c r="G800" i="208"/>
  <c r="AB800" i="208" s="1"/>
  <c r="G788" i="208"/>
  <c r="G776" i="208"/>
  <c r="G764" i="208"/>
  <c r="AA764" i="208" s="1"/>
  <c r="G752" i="208"/>
  <c r="G740" i="208"/>
  <c r="AF740" i="208" s="1"/>
  <c r="G728" i="208"/>
  <c r="G716" i="208"/>
  <c r="G704" i="208"/>
  <c r="G692" i="208"/>
  <c r="G680" i="208"/>
  <c r="F680" i="208" s="1"/>
  <c r="T680" i="208" s="1"/>
  <c r="G668" i="208"/>
  <c r="AB668" i="208" s="1"/>
  <c r="G656" i="208"/>
  <c r="AB656" i="208" s="1"/>
  <c r="G644" i="208"/>
  <c r="G632" i="208"/>
  <c r="G620" i="208"/>
  <c r="AF620" i="208" s="1"/>
  <c r="G608" i="208"/>
  <c r="G596" i="208"/>
  <c r="AB596" i="208" s="1"/>
  <c r="G584" i="208"/>
  <c r="G572" i="208"/>
  <c r="G560" i="208"/>
  <c r="G548" i="208"/>
  <c r="G536" i="208"/>
  <c r="G524" i="208"/>
  <c r="AA524" i="208" s="1"/>
  <c r="G512" i="208"/>
  <c r="AF512" i="208" s="1"/>
  <c r="G500" i="208"/>
  <c r="G488" i="208"/>
  <c r="G476" i="208"/>
  <c r="V476" i="208" s="1"/>
  <c r="G464" i="208"/>
  <c r="G452" i="208"/>
  <c r="V452" i="208" s="1"/>
  <c r="G440" i="208"/>
  <c r="G428" i="208"/>
  <c r="G416" i="208"/>
  <c r="G404" i="208"/>
  <c r="G392" i="208"/>
  <c r="G380" i="208"/>
  <c r="AA380" i="208" s="1"/>
  <c r="G368" i="208"/>
  <c r="AF368" i="208" s="1"/>
  <c r="G356" i="208"/>
  <c r="G344" i="208"/>
  <c r="G332" i="208"/>
  <c r="AF332" i="208" s="1"/>
  <c r="G320" i="208"/>
  <c r="G308" i="208"/>
  <c r="F308" i="208" s="1"/>
  <c r="T308" i="208" s="1"/>
  <c r="G2931" i="208"/>
  <c r="G2871" i="208"/>
  <c r="G2739" i="208"/>
  <c r="G2727" i="208"/>
  <c r="G2631" i="208"/>
  <c r="F2631" i="208" s="1"/>
  <c r="T2631" i="208" s="1"/>
  <c r="G2595" i="208"/>
  <c r="G2559" i="208"/>
  <c r="AF2559" i="208" s="1"/>
  <c r="G2523" i="208"/>
  <c r="G2187" i="208"/>
  <c r="G2031" i="208"/>
  <c r="G2019" i="208"/>
  <c r="G1923" i="208"/>
  <c r="V1923" i="208" s="1"/>
  <c r="G1851" i="208"/>
  <c r="G1827" i="208"/>
  <c r="G1719" i="208"/>
  <c r="G1707" i="208"/>
  <c r="G1635" i="208"/>
  <c r="G1563" i="208"/>
  <c r="G1467" i="208"/>
  <c r="V1467" i="208" s="1"/>
  <c r="G1419" i="208"/>
  <c r="G1383" i="208"/>
  <c r="G1131" i="208"/>
  <c r="G999" i="208"/>
  <c r="G975" i="208"/>
  <c r="V975" i="208" s="1"/>
  <c r="G939" i="208"/>
  <c r="G867" i="208"/>
  <c r="G735" i="208"/>
  <c r="G303" i="208"/>
  <c r="G2989" i="208"/>
  <c r="G2977" i="208"/>
  <c r="G2965" i="208"/>
  <c r="F2965" i="208" s="1"/>
  <c r="T2965" i="208" s="1"/>
  <c r="G2953" i="208"/>
  <c r="G2941" i="208"/>
  <c r="G2929" i="208"/>
  <c r="G2917" i="208"/>
  <c r="G2905" i="208"/>
  <c r="AF2905" i="208" s="1"/>
  <c r="G2893" i="208"/>
  <c r="G2881" i="208"/>
  <c r="G2869" i="208"/>
  <c r="G2857" i="208"/>
  <c r="G2845" i="208"/>
  <c r="V2845" i="208" s="1"/>
  <c r="G2833" i="208"/>
  <c r="G2821" i="208"/>
  <c r="AF2821" i="208" s="1"/>
  <c r="G2809" i="208"/>
  <c r="G2797" i="208"/>
  <c r="G2785" i="208"/>
  <c r="G2773" i="208"/>
  <c r="G2761" i="208"/>
  <c r="V2761" i="208" s="1"/>
  <c r="G2749" i="208"/>
  <c r="G2737" i="208"/>
  <c r="G2725" i="208"/>
  <c r="G2713" i="208"/>
  <c r="G2701" i="208"/>
  <c r="AE2701" i="208" s="1"/>
  <c r="G2689" i="208"/>
  <c r="G2677" i="208"/>
  <c r="F2677" i="208" s="1"/>
  <c r="T2677" i="208" s="1"/>
  <c r="G2665" i="208"/>
  <c r="G2653" i="208"/>
  <c r="V2653" i="208" s="1"/>
  <c r="G2641" i="208"/>
  <c r="G2629" i="208"/>
  <c r="G2617" i="208"/>
  <c r="AF2617" i="208" s="1"/>
  <c r="G2605" i="208"/>
  <c r="G2593" i="208"/>
  <c r="G2581" i="208"/>
  <c r="G2569" i="208"/>
  <c r="G2557" i="208"/>
  <c r="G2545" i="208"/>
  <c r="G2533" i="208"/>
  <c r="F2533" i="208" s="1"/>
  <c r="T2533" i="208" s="1"/>
  <c r="G2521" i="208"/>
  <c r="G2509" i="208"/>
  <c r="G2497" i="208"/>
  <c r="G2485" i="208"/>
  <c r="G2473" i="208"/>
  <c r="AB2473" i="208" s="1"/>
  <c r="G2461" i="208"/>
  <c r="G2449" i="208"/>
  <c r="G2437" i="208"/>
  <c r="G2425" i="208"/>
  <c r="G2413" i="208"/>
  <c r="G2401" i="208"/>
  <c r="G2389" i="208"/>
  <c r="V2389" i="208" s="1"/>
  <c r="G2377" i="208"/>
  <c r="G2365" i="208"/>
  <c r="G2353" i="208"/>
  <c r="G2341" i="208"/>
  <c r="G2329" i="208"/>
  <c r="V2329" i="208" s="1"/>
  <c r="G2317" i="208"/>
  <c r="G2305" i="208"/>
  <c r="G2293" i="208"/>
  <c r="G2281" i="208"/>
  <c r="G2269" i="208"/>
  <c r="F2269" i="208" s="1"/>
  <c r="T2269" i="208" s="1"/>
  <c r="G2257" i="208"/>
  <c r="G2245" i="208"/>
  <c r="AA2245" i="208" s="1"/>
  <c r="G2233" i="208"/>
  <c r="G2221" i="208"/>
  <c r="G2209" i="208"/>
  <c r="G2197" i="208"/>
  <c r="G2185" i="208"/>
  <c r="V2185" i="208" s="1"/>
  <c r="G2173" i="208"/>
  <c r="G2161" i="208"/>
  <c r="G2149" i="208"/>
  <c r="G2137" i="208"/>
  <c r="G2125" i="208"/>
  <c r="V2125" i="208" s="1"/>
  <c r="G2113" i="208"/>
  <c r="G2101" i="208"/>
  <c r="AE2101" i="208" s="1"/>
  <c r="G2089" i="208"/>
  <c r="G2077" i="208"/>
  <c r="V2077" i="208" s="1"/>
  <c r="G2065" i="208"/>
  <c r="G2053" i="208"/>
  <c r="G2041" i="208"/>
  <c r="AE2041" i="208" s="1"/>
  <c r="G2029" i="208"/>
  <c r="G2017" i="208"/>
  <c r="G2005" i="208"/>
  <c r="G1993" i="208"/>
  <c r="G1981" i="208"/>
  <c r="V1981" i="208" s="1"/>
  <c r="G1969" i="208"/>
  <c r="G1957" i="208"/>
  <c r="F1957" i="208" s="1"/>
  <c r="T1957" i="208" s="1"/>
  <c r="G1945" i="208"/>
  <c r="G1933" i="208"/>
  <c r="G1921" i="208"/>
  <c r="G1909" i="208"/>
  <c r="G1897" i="208"/>
  <c r="V1897" i="208" s="1"/>
  <c r="G1885" i="208"/>
  <c r="G1873" i="208"/>
  <c r="G1861" i="208"/>
  <c r="G1849" i="208"/>
  <c r="G1837" i="208"/>
  <c r="AA1837" i="208" s="1"/>
  <c r="G1825" i="208"/>
  <c r="G1813" i="208"/>
  <c r="V1813" i="208" s="1"/>
  <c r="G1801" i="208"/>
  <c r="G1789" i="208"/>
  <c r="G1777" i="208"/>
  <c r="G1765" i="208"/>
  <c r="G1753" i="208"/>
  <c r="V1753" i="208" s="1"/>
  <c r="G1741" i="208"/>
  <c r="G1729" i="208"/>
  <c r="G1717" i="208"/>
  <c r="G1705" i="208"/>
  <c r="G1693" i="208"/>
  <c r="V1693" i="208" s="1"/>
  <c r="G1681" i="208"/>
  <c r="G1669" i="208"/>
  <c r="F1669" i="208" s="1"/>
  <c r="T1669" i="208" s="1"/>
  <c r="G1657" i="208"/>
  <c r="G1645" i="208"/>
  <c r="G1633" i="208"/>
  <c r="G1621" i="208"/>
  <c r="G1609" i="208"/>
  <c r="AF1609" i="208" s="1"/>
  <c r="G1597" i="208"/>
  <c r="G1585" i="208"/>
  <c r="G1573" i="208"/>
  <c r="G1561" i="208"/>
  <c r="G1549" i="208"/>
  <c r="G1537" i="208"/>
  <c r="G1525" i="208"/>
  <c r="AF1525" i="208" s="1"/>
  <c r="G1513" i="208"/>
  <c r="G1501" i="208"/>
  <c r="AA1501" i="208" s="1"/>
  <c r="G1489" i="208"/>
  <c r="G1477" i="208"/>
  <c r="G1465" i="208"/>
  <c r="V1465" i="208" s="1"/>
  <c r="G1453" i="208"/>
  <c r="G1441" i="208"/>
  <c r="G1429" i="208"/>
  <c r="G1417" i="208"/>
  <c r="G1405" i="208"/>
  <c r="AF1405" i="208" s="1"/>
  <c r="G1393" i="208"/>
  <c r="G1381" i="208"/>
  <c r="AF1381" i="208" s="1"/>
  <c r="G1369" i="208"/>
  <c r="G1357" i="208"/>
  <c r="G1345" i="208"/>
  <c r="G1333" i="208"/>
  <c r="G1321" i="208"/>
  <c r="V1321" i="208" s="1"/>
  <c r="G1309" i="208"/>
  <c r="G1297" i="208"/>
  <c r="G1285" i="208"/>
  <c r="G1273" i="208"/>
  <c r="G1261" i="208"/>
  <c r="V1261" i="208" s="1"/>
  <c r="G1249" i="208"/>
  <c r="G1237" i="208"/>
  <c r="AF1237" i="208" s="1"/>
  <c r="G1225" i="208"/>
  <c r="G1213" i="208"/>
  <c r="G1201" i="208"/>
  <c r="G1189" i="208"/>
  <c r="G1177" i="208"/>
  <c r="F1177" i="208" s="1"/>
  <c r="T1177" i="208" s="1"/>
  <c r="G1165" i="208"/>
  <c r="G1153" i="208"/>
  <c r="G1141" i="208"/>
  <c r="G1129" i="208"/>
  <c r="G1117" i="208"/>
  <c r="F1117" i="208" s="1"/>
  <c r="T1117" i="208" s="1"/>
  <c r="G1105" i="208"/>
  <c r="G1093" i="208"/>
  <c r="AF1093" i="208" s="1"/>
  <c r="G1081" i="208"/>
  <c r="G1069" i="208"/>
  <c r="G1057" i="208"/>
  <c r="G1045" i="208"/>
  <c r="G1033" i="208"/>
  <c r="F1033" i="208" s="1"/>
  <c r="T1033" i="208" s="1"/>
  <c r="G1021" i="208"/>
  <c r="G1009" i="208"/>
  <c r="G997" i="208"/>
  <c r="G985" i="208"/>
  <c r="G973" i="208"/>
  <c r="G961" i="208"/>
  <c r="G949" i="208"/>
  <c r="AF949" i="208" s="1"/>
  <c r="G937" i="208"/>
  <c r="G925" i="208"/>
  <c r="V925" i="208" s="1"/>
  <c r="G913" i="208"/>
  <c r="AF913" i="208" s="1"/>
  <c r="G901" i="208"/>
  <c r="G889" i="208"/>
  <c r="F889" i="208" s="1"/>
  <c r="T889" i="208" s="1"/>
  <c r="G877" i="208"/>
  <c r="G865" i="208"/>
  <c r="G853" i="208"/>
  <c r="G841" i="208"/>
  <c r="G829" i="208"/>
  <c r="F829" i="208" s="1"/>
  <c r="T829" i="208" s="1"/>
  <c r="G817" i="208"/>
  <c r="G805" i="208"/>
  <c r="F805" i="208" s="1"/>
  <c r="T805" i="208" s="1"/>
  <c r="G793" i="208"/>
  <c r="G781" i="208"/>
  <c r="G769" i="208"/>
  <c r="V769" i="208" s="1"/>
  <c r="G757" i="208"/>
  <c r="G745" i="208"/>
  <c r="F745" i="208" s="1"/>
  <c r="T745" i="208" s="1"/>
  <c r="G733" i="208"/>
  <c r="G721" i="208"/>
  <c r="G709" i="208"/>
  <c r="G697" i="208"/>
  <c r="G685" i="208"/>
  <c r="F685" i="208" s="1"/>
  <c r="T685" i="208" s="1"/>
  <c r="G673" i="208"/>
  <c r="AE673" i="208" s="1"/>
  <c r="G661" i="208"/>
  <c r="F661" i="208" s="1"/>
  <c r="T661" i="208" s="1"/>
  <c r="G649" i="208"/>
  <c r="G637" i="208"/>
  <c r="G625" i="208"/>
  <c r="F625" i="208" s="1"/>
  <c r="T625" i="208" s="1"/>
  <c r="G613" i="208"/>
  <c r="G601" i="208"/>
  <c r="V601" i="208" s="1"/>
  <c r="G589" i="208"/>
  <c r="G577" i="208"/>
  <c r="G565" i="208"/>
  <c r="G553" i="208"/>
  <c r="G541" i="208"/>
  <c r="G529" i="208"/>
  <c r="F529" i="208" s="1"/>
  <c r="T529" i="208" s="1"/>
  <c r="G517" i="208"/>
  <c r="AF517" i="208" s="1"/>
  <c r="G505" i="208"/>
  <c r="G493" i="208"/>
  <c r="G481" i="208"/>
  <c r="AF481" i="208" s="1"/>
  <c r="G469" i="208"/>
  <c r="G457" i="208"/>
  <c r="AF457" i="208" s="1"/>
  <c r="G445" i="208"/>
  <c r="G433" i="208"/>
  <c r="G421" i="208"/>
  <c r="G409" i="208"/>
  <c r="G397" i="208"/>
  <c r="F397" i="208" s="1"/>
  <c r="T397" i="208" s="1"/>
  <c r="G385" i="208"/>
  <c r="V385" i="208" s="1"/>
  <c r="G373" i="208"/>
  <c r="AF373" i="208" s="1"/>
  <c r="G361" i="208"/>
  <c r="G349" i="208"/>
  <c r="G337" i="208"/>
  <c r="F337" i="208" s="1"/>
  <c r="T337" i="208" s="1"/>
  <c r="G325" i="208"/>
  <c r="G313" i="208"/>
  <c r="AB313" i="208" s="1"/>
  <c r="G2979" i="208"/>
  <c r="G2583" i="208"/>
  <c r="G2043" i="208"/>
  <c r="G1971" i="208"/>
  <c r="G1839" i="208"/>
  <c r="V1839" i="208" s="1"/>
  <c r="G1803" i="208"/>
  <c r="G1791" i="208"/>
  <c r="AF1791" i="208" s="1"/>
  <c r="G1443" i="208"/>
  <c r="G1359" i="208"/>
  <c r="G1323" i="208"/>
  <c r="G1155" i="208"/>
  <c r="G1107" i="208"/>
  <c r="AF1107" i="208" s="1"/>
  <c r="G927" i="208"/>
  <c r="G2994" i="208"/>
  <c r="G2982" i="208"/>
  <c r="G2970" i="208"/>
  <c r="G2958" i="208"/>
  <c r="V2958" i="208" s="1"/>
  <c r="G2946" i="208"/>
  <c r="G2934" i="208"/>
  <c r="AF2934" i="208" s="1"/>
  <c r="G2922" i="208"/>
  <c r="G2910" i="208"/>
  <c r="G2898" i="208"/>
  <c r="G2886" i="208"/>
  <c r="G2874" i="208"/>
  <c r="V2874" i="208" s="1"/>
  <c r="G2862" i="208"/>
  <c r="G2850" i="208"/>
  <c r="G2838" i="208"/>
  <c r="G2826" i="208"/>
  <c r="G2814" i="208"/>
  <c r="F2814" i="208" s="1"/>
  <c r="T2814" i="208" s="1"/>
  <c r="G2802" i="208"/>
  <c r="G2790" i="208"/>
  <c r="AB2790" i="208" s="1"/>
  <c r="G2778" i="208"/>
  <c r="G2766" i="208"/>
  <c r="G2754" i="208"/>
  <c r="G2742" i="208"/>
  <c r="G2730" i="208"/>
  <c r="AB2730" i="208" s="1"/>
  <c r="G2718" i="208"/>
  <c r="G2706" i="208"/>
  <c r="G2694" i="208"/>
  <c r="G2682" i="208"/>
  <c r="G2670" i="208"/>
  <c r="G2658" i="208"/>
  <c r="G2646" i="208"/>
  <c r="AB2646" i="208" s="1"/>
  <c r="G2634" i="208"/>
  <c r="G2622" i="208"/>
  <c r="G2610" i="208"/>
  <c r="G2598" i="208"/>
  <c r="G2586" i="208"/>
  <c r="F2586" i="208" s="1"/>
  <c r="T2586" i="208" s="1"/>
  <c r="G2574" i="208"/>
  <c r="G2562" i="208"/>
  <c r="G2550" i="208"/>
  <c r="G2538" i="208"/>
  <c r="G2526" i="208"/>
  <c r="V2526" i="208" s="1"/>
  <c r="G2514" i="208"/>
  <c r="G2502" i="208"/>
  <c r="AB2502" i="208" s="1"/>
  <c r="G2490" i="208"/>
  <c r="G2478" i="208"/>
  <c r="G2466" i="208"/>
  <c r="G2454" i="208"/>
  <c r="G2442" i="208"/>
  <c r="F2442" i="208" s="1"/>
  <c r="T2442" i="208" s="1"/>
  <c r="G2430" i="208"/>
  <c r="G2418" i="208"/>
  <c r="G2406" i="208"/>
  <c r="G2394" i="208"/>
  <c r="G2382" i="208"/>
  <c r="F2382" i="208" s="1"/>
  <c r="T2382" i="208" s="1"/>
  <c r="G2370" i="208"/>
  <c r="G2358" i="208"/>
  <c r="V2358" i="208" s="1"/>
  <c r="G2346" i="208"/>
  <c r="G2334" i="208"/>
  <c r="G2322" i="208"/>
  <c r="G2310" i="208"/>
  <c r="G2298" i="208"/>
  <c r="V2298" i="208" s="1"/>
  <c r="G2286" i="208"/>
  <c r="G2274" i="208"/>
  <c r="G2262" i="208"/>
  <c r="G2250" i="208"/>
  <c r="G2238" i="208"/>
  <c r="V2238" i="208" s="1"/>
  <c r="G2226" i="208"/>
  <c r="G2214" i="208"/>
  <c r="AF2214" i="208" s="1"/>
  <c r="G2202" i="208"/>
  <c r="G2190" i="208"/>
  <c r="G2178" i="208"/>
  <c r="G2166" i="208"/>
  <c r="G2154" i="208"/>
  <c r="AF2154" i="208" s="1"/>
  <c r="G2142" i="208"/>
  <c r="G2130" i="208"/>
  <c r="G2118" i="208"/>
  <c r="G2106" i="208"/>
  <c r="G2094" i="208"/>
  <c r="V2094" i="208" s="1"/>
  <c r="G2082" i="208"/>
  <c r="G2070" i="208"/>
  <c r="AF2070" i="208" s="1"/>
  <c r="G2058" i="208"/>
  <c r="G2046" i="208"/>
  <c r="G2034" i="208"/>
  <c r="G2022" i="208"/>
  <c r="G2010" i="208"/>
  <c r="AB2010" i="208" s="1"/>
  <c r="G1998" i="208"/>
  <c r="G1986" i="208"/>
  <c r="G1974" i="208"/>
  <c r="G1962" i="208"/>
  <c r="G1950" i="208"/>
  <c r="G1938" i="208"/>
  <c r="G1926" i="208"/>
  <c r="AF1926" i="208" s="1"/>
  <c r="G1914" i="208"/>
  <c r="G1902" i="208"/>
  <c r="G1890" i="208"/>
  <c r="G1878" i="208"/>
  <c r="G1866" i="208"/>
  <c r="V1866" i="208" s="1"/>
  <c r="G1854" i="208"/>
  <c r="G1842" i="208"/>
  <c r="G1830" i="208"/>
  <c r="G1818" i="208"/>
  <c r="G1806" i="208"/>
  <c r="G1794" i="208"/>
  <c r="G1782" i="208"/>
  <c r="F1782" i="208" s="1"/>
  <c r="T1782" i="208" s="1"/>
  <c r="G1770" i="208"/>
  <c r="G1758" i="208"/>
  <c r="G1746" i="208"/>
  <c r="G1734" i="208"/>
  <c r="G1722" i="208"/>
  <c r="V1722" i="208" s="1"/>
  <c r="G1710" i="208"/>
  <c r="G1698" i="208"/>
  <c r="G1686" i="208"/>
  <c r="G1674" i="208"/>
  <c r="G1662" i="208"/>
  <c r="AA1662" i="208" s="1"/>
  <c r="G1650" i="208"/>
  <c r="G1638" i="208"/>
  <c r="AB1638" i="208" s="1"/>
  <c r="G1626" i="208"/>
  <c r="G1614" i="208"/>
  <c r="G1602" i="208"/>
  <c r="G1590" i="208"/>
  <c r="G1578" i="208"/>
  <c r="V1578" i="208" s="1"/>
  <c r="G1566" i="208"/>
  <c r="G1554" i="208"/>
  <c r="G1542" i="208"/>
  <c r="G1530" i="208"/>
  <c r="G1518" i="208"/>
  <c r="G1506" i="208"/>
  <c r="G1494" i="208"/>
  <c r="AE1494" i="208" s="1"/>
  <c r="G1482" i="208"/>
  <c r="G1470" i="208"/>
  <c r="G1458" i="208"/>
  <c r="G1446" i="208"/>
  <c r="G1434" i="208"/>
  <c r="F1434" i="208" s="1"/>
  <c r="T1434" i="208" s="1"/>
  <c r="G1422" i="208"/>
  <c r="G1410" i="208"/>
  <c r="G1398" i="208"/>
  <c r="G1386" i="208"/>
  <c r="G1374" i="208"/>
  <c r="G1362" i="208"/>
  <c r="G1350" i="208"/>
  <c r="AE1350" i="208" s="1"/>
  <c r="G1338" i="208"/>
  <c r="G1326" i="208"/>
  <c r="G1314" i="208"/>
  <c r="G1302" i="208"/>
  <c r="G1290" i="208"/>
  <c r="AB1290" i="208" s="1"/>
  <c r="G1278" i="208"/>
  <c r="G1266" i="208"/>
  <c r="G1254" i="208"/>
  <c r="G1242" i="208"/>
  <c r="G1230" i="208"/>
  <c r="G1218" i="208"/>
  <c r="G1206" i="208"/>
  <c r="AF1206" i="208" s="1"/>
  <c r="G1194" i="208"/>
  <c r="G1182" i="208"/>
  <c r="G1170" i="208"/>
  <c r="G1158" i="208"/>
  <c r="G1146" i="208"/>
  <c r="F1146" i="208" s="1"/>
  <c r="T1146" i="208" s="1"/>
  <c r="G1134" i="208"/>
  <c r="G1122" i="208"/>
  <c r="G1110" i="208"/>
  <c r="G1098" i="208"/>
  <c r="G1086" i="208"/>
  <c r="F1086" i="208" s="1"/>
  <c r="T1086" i="208" s="1"/>
  <c r="G1074" i="208"/>
  <c r="G1062" i="208"/>
  <c r="AA1062" i="208" s="1"/>
  <c r="G1050" i="208"/>
  <c r="G1038" i="208"/>
  <c r="G1026" i="208"/>
  <c r="AB1026" i="208" s="1"/>
  <c r="G1014" i="208"/>
  <c r="G1002" i="208"/>
  <c r="F1002" i="208" s="1"/>
  <c r="T1002" i="208" s="1"/>
  <c r="G990" i="208"/>
  <c r="G978" i="208"/>
  <c r="G966" i="208"/>
  <c r="G954" i="208"/>
  <c r="G942" i="208"/>
  <c r="V942" i="208" s="1"/>
  <c r="G930" i="208"/>
  <c r="G918" i="208"/>
  <c r="AF918" i="208" s="1"/>
  <c r="G906" i="208"/>
  <c r="G894" i="208"/>
  <c r="G882" i="208"/>
  <c r="AB882" i="208" s="1"/>
  <c r="G870" i="208"/>
  <c r="G858" i="208"/>
  <c r="V858" i="208" s="1"/>
  <c r="G846" i="208"/>
  <c r="G834" i="208"/>
  <c r="G822" i="208"/>
  <c r="G810" i="208"/>
  <c r="G798" i="208"/>
  <c r="AF798" i="208" s="1"/>
  <c r="G786" i="208"/>
  <c r="G774" i="208"/>
  <c r="AA774" i="208" s="1"/>
  <c r="G762" i="208"/>
  <c r="G750" i="208"/>
  <c r="G738" i="208"/>
  <c r="F738" i="208" s="1"/>
  <c r="T738" i="208" s="1"/>
  <c r="G726" i="208"/>
  <c r="G714" i="208"/>
  <c r="V714" i="208" s="1"/>
  <c r="G702" i="208"/>
  <c r="G690" i="208"/>
  <c r="G678" i="208"/>
  <c r="G666" i="208"/>
  <c r="G654" i="208"/>
  <c r="V654" i="208" s="1"/>
  <c r="G642" i="208"/>
  <c r="V642" i="208" s="1"/>
  <c r="G630" i="208"/>
  <c r="F630" i="208" s="1"/>
  <c r="T630" i="208" s="1"/>
  <c r="G618" i="208"/>
  <c r="G606" i="208"/>
  <c r="G594" i="208"/>
  <c r="AE594" i="208" s="1"/>
  <c r="G582" i="208"/>
  <c r="G570" i="208"/>
  <c r="F570" i="208" s="1"/>
  <c r="T570" i="208" s="1"/>
  <c r="G558" i="208"/>
  <c r="G546" i="208"/>
  <c r="G534" i="208"/>
  <c r="G522" i="208"/>
  <c r="G510" i="208"/>
  <c r="G498" i="208"/>
  <c r="AA498" i="208" s="1"/>
  <c r="G486" i="208"/>
  <c r="V486" i="208" s="1"/>
  <c r="G474" i="208"/>
  <c r="G462" i="208"/>
  <c r="G450" i="208"/>
  <c r="AF450" i="208" s="1"/>
  <c r="G438" i="208"/>
  <c r="G426" i="208"/>
  <c r="AB426" i="208" s="1"/>
  <c r="G414" i="208"/>
  <c r="G402" i="208"/>
  <c r="G390" i="208"/>
  <c r="G378" i="208"/>
  <c r="G366" i="208"/>
  <c r="AB366" i="208" s="1"/>
  <c r="G354" i="208"/>
  <c r="F354" i="208" s="1"/>
  <c r="T354" i="208" s="1"/>
  <c r="G342" i="208"/>
  <c r="AF342" i="208" s="1"/>
  <c r="G330" i="208"/>
  <c r="G318" i="208"/>
  <c r="G306" i="208"/>
  <c r="AB306" i="208" s="1"/>
  <c r="G305" i="208"/>
  <c r="G2823" i="208"/>
  <c r="F2823" i="208" s="1"/>
  <c r="T2823" i="208" s="1"/>
  <c r="G2799" i="208"/>
  <c r="G2775" i="208"/>
  <c r="G2463" i="208"/>
  <c r="G2415" i="208"/>
  <c r="G2259" i="208"/>
  <c r="V2259" i="208" s="1"/>
  <c r="G2199" i="208"/>
  <c r="G1815" i="208"/>
  <c r="AB1815" i="208" s="1"/>
  <c r="G1767" i="208"/>
  <c r="G1527" i="208"/>
  <c r="G951" i="208"/>
  <c r="AF951" i="208" s="1"/>
  <c r="G819" i="208"/>
  <c r="G687" i="208"/>
  <c r="F687" i="208" s="1"/>
  <c r="T687" i="208" s="1"/>
  <c r="G651" i="208"/>
  <c r="G615" i="208"/>
  <c r="G411" i="208"/>
  <c r="G2999" i="208"/>
  <c r="G2987" i="208"/>
  <c r="G2975" i="208"/>
  <c r="G2963" i="208"/>
  <c r="V2963" i="208" s="1"/>
  <c r="G2951" i="208"/>
  <c r="G2939" i="208"/>
  <c r="G2927" i="208"/>
  <c r="G2915" i="208"/>
  <c r="G2903" i="208"/>
  <c r="AB2903" i="208" s="1"/>
  <c r="G2891" i="208"/>
  <c r="G2879" i="208"/>
  <c r="G2867" i="208"/>
  <c r="G2855" i="208"/>
  <c r="G2843" i="208"/>
  <c r="G2831" i="208"/>
  <c r="G2819" i="208"/>
  <c r="AF2819" i="208" s="1"/>
  <c r="G2807" i="208"/>
  <c r="G2795" i="208"/>
  <c r="G2783" i="208"/>
  <c r="G2771" i="208"/>
  <c r="G2759" i="208"/>
  <c r="F2759" i="208" s="1"/>
  <c r="T2759" i="208" s="1"/>
  <c r="G2747" i="208"/>
  <c r="G2735" i="208"/>
  <c r="G2723" i="208"/>
  <c r="G2711" i="208"/>
  <c r="G2699" i="208"/>
  <c r="AF2699" i="208" s="1"/>
  <c r="G2687" i="208"/>
  <c r="G2675" i="208"/>
  <c r="F2675" i="208" s="1"/>
  <c r="T2675" i="208" s="1"/>
  <c r="G2663" i="208"/>
  <c r="G2651" i="208"/>
  <c r="G2639" i="208"/>
  <c r="G2627" i="208"/>
  <c r="G2615" i="208"/>
  <c r="F2615" i="208" s="1"/>
  <c r="T2615" i="208" s="1"/>
  <c r="G2603" i="208"/>
  <c r="G2591" i="208"/>
  <c r="G2579" i="208"/>
  <c r="G2567" i="208"/>
  <c r="G2555" i="208"/>
  <c r="F2555" i="208" s="1"/>
  <c r="T2555" i="208" s="1"/>
  <c r="G2543" i="208"/>
  <c r="G2531" i="208"/>
  <c r="V2531" i="208" s="1"/>
  <c r="G2519" i="208"/>
  <c r="G2507" i="208"/>
  <c r="G2495" i="208"/>
  <c r="G2483" i="208"/>
  <c r="G2471" i="208"/>
  <c r="V2471" i="208" s="1"/>
  <c r="G2459" i="208"/>
  <c r="G2447" i="208"/>
  <c r="G2435" i="208"/>
  <c r="G2423" i="208"/>
  <c r="G2411" i="208"/>
  <c r="AA2411" i="208" s="1"/>
  <c r="G2399" i="208"/>
  <c r="G2387" i="208"/>
  <c r="V2387" i="208" s="1"/>
  <c r="G2375" i="208"/>
  <c r="G2363" i="208"/>
  <c r="G2351" i="208"/>
  <c r="G2339" i="208"/>
  <c r="G2327" i="208"/>
  <c r="V2327" i="208" s="1"/>
  <c r="G2315" i="208"/>
  <c r="G2303" i="208"/>
  <c r="G2291" i="208"/>
  <c r="G2279" i="208"/>
  <c r="G2267" i="208"/>
  <c r="V2267" i="208" s="1"/>
  <c r="G2255" i="208"/>
  <c r="G2243" i="208"/>
  <c r="AF2243" i="208" s="1"/>
  <c r="G2231" i="208"/>
  <c r="G2219" i="208"/>
  <c r="G2207" i="208"/>
  <c r="G2195" i="208"/>
  <c r="G2183" i="208"/>
  <c r="V2183" i="208" s="1"/>
  <c r="G2171" i="208"/>
  <c r="G2159" i="208"/>
  <c r="G2147" i="208"/>
  <c r="G2135" i="208"/>
  <c r="G2123" i="208"/>
  <c r="F2123" i="208" s="1"/>
  <c r="T2123" i="208" s="1"/>
  <c r="G2111" i="208"/>
  <c r="G2099" i="208"/>
  <c r="AA2099" i="208" s="1"/>
  <c r="G2087" i="208"/>
  <c r="G2075" i="208"/>
  <c r="G2063" i="208"/>
  <c r="G2051" i="208"/>
  <c r="G2039" i="208"/>
  <c r="V2039" i="208" s="1"/>
  <c r="G2027" i="208"/>
  <c r="G2015" i="208"/>
  <c r="G2003" i="208"/>
  <c r="G1991" i="208"/>
  <c r="G1979" i="208"/>
  <c r="V1979" i="208" s="1"/>
  <c r="G1967" i="208"/>
  <c r="G1955" i="208"/>
  <c r="AE1955" i="208" s="1"/>
  <c r="G1943" i="208"/>
  <c r="G1931" i="208"/>
  <c r="G1919" i="208"/>
  <c r="G1907" i="208"/>
  <c r="G1895" i="208"/>
  <c r="V1895" i="208" s="1"/>
  <c r="G1883" i="208"/>
  <c r="G1871" i="208"/>
  <c r="G1859" i="208"/>
  <c r="G1847" i="208"/>
  <c r="G1835" i="208"/>
  <c r="F1835" i="208" s="1"/>
  <c r="T1835" i="208" s="1"/>
  <c r="G1823" i="208"/>
  <c r="G1811" i="208"/>
  <c r="V1811" i="208" s="1"/>
  <c r="G1799" i="208"/>
  <c r="G1787" i="208"/>
  <c r="G1775" i="208"/>
  <c r="G1763" i="208"/>
  <c r="G1751" i="208"/>
  <c r="AA1751" i="208" s="1"/>
  <c r="G1739" i="208"/>
  <c r="G1727" i="208"/>
  <c r="G1715" i="208"/>
  <c r="G1703" i="208"/>
  <c r="G1691" i="208"/>
  <c r="G1679" i="208"/>
  <c r="G1667" i="208"/>
  <c r="V1667" i="208" s="1"/>
  <c r="G1655" i="208"/>
  <c r="G1643" i="208"/>
  <c r="G1631" i="208"/>
  <c r="G1619" i="208"/>
  <c r="G1607" i="208"/>
  <c r="AF1607" i="208" s="1"/>
  <c r="G1595" i="208"/>
  <c r="G1583" i="208"/>
  <c r="G1571" i="208"/>
  <c r="G1559" i="208"/>
  <c r="G1547" i="208"/>
  <c r="V1547" i="208" s="1"/>
  <c r="G1535" i="208"/>
  <c r="G1523" i="208"/>
  <c r="V1523" i="208" s="1"/>
  <c r="G1511" i="208"/>
  <c r="G1499" i="208"/>
  <c r="G1487" i="208"/>
  <c r="G1475" i="208"/>
  <c r="G1463" i="208"/>
  <c r="AF1463" i="208" s="1"/>
  <c r="G1451" i="208"/>
  <c r="G1439" i="208"/>
  <c r="G1427" i="208"/>
  <c r="G1415" i="208"/>
  <c r="G1403" i="208"/>
  <c r="V1403" i="208" s="1"/>
  <c r="G1391" i="208"/>
  <c r="G1379" i="208"/>
  <c r="AF1379" i="208" s="1"/>
  <c r="G1367" i="208"/>
  <c r="G1355" i="208"/>
  <c r="G1343" i="208"/>
  <c r="G1331" i="208"/>
  <c r="G1319" i="208"/>
  <c r="AB1319" i="208" s="1"/>
  <c r="G1307" i="208"/>
  <c r="G1295" i="208"/>
  <c r="G1283" i="208"/>
  <c r="G1271" i="208"/>
  <c r="G1259" i="208"/>
  <c r="V1259" i="208" s="1"/>
  <c r="G1247" i="208"/>
  <c r="G1235" i="208"/>
  <c r="AE1235" i="208" s="1"/>
  <c r="G1223" i="208"/>
  <c r="G1211" i="208"/>
  <c r="G1199" i="208"/>
  <c r="G1187" i="208"/>
  <c r="G1175" i="208"/>
  <c r="AB1175" i="208" s="1"/>
  <c r="G1163" i="208"/>
  <c r="G1151" i="208"/>
  <c r="G1139" i="208"/>
  <c r="G1127" i="208"/>
  <c r="G1115" i="208"/>
  <c r="F1115" i="208" s="1"/>
  <c r="T1115" i="208" s="1"/>
  <c r="G1103" i="208"/>
  <c r="G1091" i="208"/>
  <c r="AB1091" i="208" s="1"/>
  <c r="G1079" i="208"/>
  <c r="G1067" i="208"/>
  <c r="G1055" i="208"/>
  <c r="G1043" i="208"/>
  <c r="G1031" i="208"/>
  <c r="AB1031" i="208" s="1"/>
  <c r="G1019" i="208"/>
  <c r="G1007" i="208"/>
  <c r="G995" i="208"/>
  <c r="G983" i="208"/>
  <c r="G971" i="208"/>
  <c r="F971" i="208" s="1"/>
  <c r="T971" i="208" s="1"/>
  <c r="G959" i="208"/>
  <c r="G947" i="208"/>
  <c r="AB947" i="208" s="1"/>
  <c r="G935" i="208"/>
  <c r="G923" i="208"/>
  <c r="G911" i="208"/>
  <c r="AB911" i="208" s="1"/>
  <c r="G899" i="208"/>
  <c r="G887" i="208"/>
  <c r="AB887" i="208" s="1"/>
  <c r="G875" i="208"/>
  <c r="G863" i="208"/>
  <c r="G851" i="208"/>
  <c r="G839" i="208"/>
  <c r="G827" i="208"/>
  <c r="AA827" i="208" s="1"/>
  <c r="G815" i="208"/>
  <c r="G803" i="208"/>
  <c r="AF803" i="208" s="1"/>
  <c r="G791" i="208"/>
  <c r="G779" i="208"/>
  <c r="G767" i="208"/>
  <c r="V767" i="208" s="1"/>
  <c r="G755" i="208"/>
  <c r="G743" i="208"/>
  <c r="AF743" i="208" s="1"/>
  <c r="G731" i="208"/>
  <c r="G719" i="208"/>
  <c r="G707" i="208"/>
  <c r="G695" i="208"/>
  <c r="G683" i="208"/>
  <c r="AE683" i="208" s="1"/>
  <c r="G671" i="208"/>
  <c r="V671" i="208" s="1"/>
  <c r="G659" i="208"/>
  <c r="AB659" i="208" s="1"/>
  <c r="G647" i="208"/>
  <c r="G635" i="208"/>
  <c r="G623" i="208"/>
  <c r="V623" i="208" s="1"/>
  <c r="G611" i="208"/>
  <c r="G599" i="208"/>
  <c r="AE599" i="208" s="1"/>
  <c r="G587" i="208"/>
  <c r="G575" i="208"/>
  <c r="G563" i="208"/>
  <c r="G551" i="208"/>
  <c r="G539" i="208"/>
  <c r="AB539" i="208" s="1"/>
  <c r="G527" i="208"/>
  <c r="V527" i="208" s="1"/>
  <c r="G515" i="208"/>
  <c r="AF515" i="208" s="1"/>
  <c r="G503" i="208"/>
  <c r="G491" i="208"/>
  <c r="G479" i="208"/>
  <c r="V479" i="208" s="1"/>
  <c r="G467" i="208"/>
  <c r="G455" i="208"/>
  <c r="AB455" i="208" s="1"/>
  <c r="G443" i="208"/>
  <c r="G431" i="208"/>
  <c r="G419" i="208"/>
  <c r="G407" i="208"/>
  <c r="G395" i="208"/>
  <c r="F395" i="208" s="1"/>
  <c r="T395" i="208" s="1"/>
  <c r="G383" i="208"/>
  <c r="AF383" i="208" s="1"/>
  <c r="G371" i="208"/>
  <c r="AB371" i="208" s="1"/>
  <c r="G359" i="208"/>
  <c r="G347" i="208"/>
  <c r="G335" i="208"/>
  <c r="AB335" i="208" s="1"/>
  <c r="G323" i="208"/>
  <c r="G311" i="208"/>
  <c r="AB311" i="208" s="1"/>
  <c r="G2991" i="208"/>
  <c r="G2919" i="208"/>
  <c r="G2907" i="208"/>
  <c r="G2703" i="208"/>
  <c r="G2283" i="208"/>
  <c r="G2223" i="208"/>
  <c r="G2151" i="208"/>
  <c r="V2151" i="208" s="1"/>
  <c r="G2115" i="208"/>
  <c r="G2103" i="208"/>
  <c r="G2079" i="208"/>
  <c r="G2067" i="208"/>
  <c r="G2007" i="208"/>
  <c r="AA2007" i="208" s="1"/>
  <c r="G1995" i="208"/>
  <c r="G1515" i="208"/>
  <c r="G1395" i="208"/>
  <c r="G1239" i="208"/>
  <c r="G1179" i="208"/>
  <c r="AA1179" i="208" s="1"/>
  <c r="G1035" i="208"/>
  <c r="G843" i="208"/>
  <c r="F843" i="208" s="1"/>
  <c r="T843" i="208" s="1"/>
  <c r="G831" i="208"/>
  <c r="G771" i="208"/>
  <c r="G759" i="208"/>
  <c r="AB759" i="208" s="1"/>
  <c r="G675" i="208"/>
  <c r="G423" i="208"/>
  <c r="AF423" i="208" s="1"/>
  <c r="G2992" i="208"/>
  <c r="G2980" i="208"/>
  <c r="G2968" i="208"/>
  <c r="G2956" i="208"/>
  <c r="G2944" i="208"/>
  <c r="F2944" i="208" s="1"/>
  <c r="T2944" i="208" s="1"/>
  <c r="G2932" i="208"/>
  <c r="G2920" i="208"/>
  <c r="F2920" i="208" s="1"/>
  <c r="T2920" i="208" s="1"/>
  <c r="G2908" i="208"/>
  <c r="G2896" i="208"/>
  <c r="G2884" i="208"/>
  <c r="G2872" i="208"/>
  <c r="G2860" i="208"/>
  <c r="V2860" i="208" s="1"/>
  <c r="G2848" i="208"/>
  <c r="G2836" i="208"/>
  <c r="G2824" i="208"/>
  <c r="G2812" i="208"/>
  <c r="G2800" i="208"/>
  <c r="V2800" i="208" s="1"/>
  <c r="G2788" i="208"/>
  <c r="G2776" i="208"/>
  <c r="F2776" i="208" s="1"/>
  <c r="T2776" i="208" s="1"/>
  <c r="G2764" i="208"/>
  <c r="G2752" i="208"/>
  <c r="G2740" i="208"/>
  <c r="G2728" i="208"/>
  <c r="G2716" i="208"/>
  <c r="V2716" i="208" s="1"/>
  <c r="G2704" i="208"/>
  <c r="G2692" i="208"/>
  <c r="G2680" i="208"/>
  <c r="G2668" i="208"/>
  <c r="G2656" i="208"/>
  <c r="V2656" i="208" s="1"/>
  <c r="G2644" i="208"/>
  <c r="G2632" i="208"/>
  <c r="AF2632" i="208" s="1"/>
  <c r="G2620" i="208"/>
  <c r="G2608" i="208"/>
  <c r="F2608" i="208" s="1"/>
  <c r="T2608" i="208" s="1"/>
  <c r="G2596" i="208"/>
  <c r="G2584" i="208"/>
  <c r="G2572" i="208"/>
  <c r="AB2572" i="208" s="1"/>
  <c r="G2560" i="208"/>
  <c r="G2548" i="208"/>
  <c r="G2536" i="208"/>
  <c r="G2524" i="208"/>
  <c r="G2512" i="208"/>
  <c r="V2512" i="208" s="1"/>
  <c r="G2500" i="208"/>
  <c r="G2488" i="208"/>
  <c r="V2488" i="208" s="1"/>
  <c r="G2476" i="208"/>
  <c r="G2464" i="208"/>
  <c r="G2452" i="208"/>
  <c r="G2440" i="208"/>
  <c r="G2428" i="208"/>
  <c r="AE2428" i="208" s="1"/>
  <c r="G2416" i="208"/>
  <c r="G2404" i="208"/>
  <c r="G2392" i="208"/>
  <c r="G2380" i="208"/>
  <c r="G2368" i="208"/>
  <c r="V2368" i="208" s="1"/>
  <c r="G2356" i="208"/>
  <c r="G2344" i="208"/>
  <c r="AE2344" i="208" s="1"/>
  <c r="G2332" i="208"/>
  <c r="G2320" i="208"/>
  <c r="G2308" i="208"/>
  <c r="G2296" i="208"/>
  <c r="G2284" i="208"/>
  <c r="V2284" i="208" s="1"/>
  <c r="G2272" i="208"/>
  <c r="G2260" i="208"/>
  <c r="G2248" i="208"/>
  <c r="G2236" i="208"/>
  <c r="G2224" i="208"/>
  <c r="V2224" i="208" s="1"/>
  <c r="G2212" i="208"/>
  <c r="G2200" i="208"/>
  <c r="F2200" i="208" s="1"/>
  <c r="T2200" i="208" s="1"/>
  <c r="G2188" i="208"/>
  <c r="G2176" i="208"/>
  <c r="G2164" i="208"/>
  <c r="G2152" i="208"/>
  <c r="G2140" i="208"/>
  <c r="V2140" i="208" s="1"/>
  <c r="G2128" i="208"/>
  <c r="G2116" i="208"/>
  <c r="G2104" i="208"/>
  <c r="G2092" i="208"/>
  <c r="G2080" i="208"/>
  <c r="V2080" i="208" s="1"/>
  <c r="G2068" i="208"/>
  <c r="G2056" i="208"/>
  <c r="AA2056" i="208" s="1"/>
  <c r="G2044" i="208"/>
  <c r="G2032" i="208"/>
  <c r="G2020" i="208"/>
  <c r="G2008" i="208"/>
  <c r="G1996" i="208"/>
  <c r="V1996" i="208" s="1"/>
  <c r="G1984" i="208"/>
  <c r="G1972" i="208"/>
  <c r="G1960" i="208"/>
  <c r="G1948" i="208"/>
  <c r="G1936" i="208"/>
  <c r="V1936" i="208" s="1"/>
  <c r="G1924" i="208"/>
  <c r="G1912" i="208"/>
  <c r="AE1912" i="208" s="1"/>
  <c r="G1900" i="208"/>
  <c r="G1888" i="208"/>
  <c r="G1876" i="208"/>
  <c r="G1864" i="208"/>
  <c r="G1852" i="208"/>
  <c r="V1852" i="208" s="1"/>
  <c r="G1840" i="208"/>
  <c r="G1828" i="208"/>
  <c r="G1816" i="208"/>
  <c r="G1804" i="208"/>
  <c r="G1792" i="208"/>
  <c r="V1792" i="208" s="1"/>
  <c r="G1780" i="208"/>
  <c r="G1768" i="208"/>
  <c r="F1768" i="208" s="1"/>
  <c r="T1768" i="208" s="1"/>
  <c r="G1756" i="208"/>
  <c r="G1744" i="208"/>
  <c r="G1732" i="208"/>
  <c r="G1720" i="208"/>
  <c r="G1708" i="208"/>
  <c r="V1708" i="208" s="1"/>
  <c r="G1696" i="208"/>
  <c r="G1684" i="208"/>
  <c r="G1672" i="208"/>
  <c r="G1660" i="208"/>
  <c r="G1648" i="208"/>
  <c r="V1648" i="208" s="1"/>
  <c r="G1636" i="208"/>
  <c r="G1624" i="208"/>
  <c r="V1624" i="208" s="1"/>
  <c r="G1612" i="208"/>
  <c r="G1600" i="208"/>
  <c r="G1588" i="208"/>
  <c r="G1576" i="208"/>
  <c r="G1564" i="208"/>
  <c r="V1564" i="208" s="1"/>
  <c r="G1552" i="208"/>
  <c r="G1540" i="208"/>
  <c r="G1528" i="208"/>
  <c r="G1516" i="208"/>
  <c r="G1504" i="208"/>
  <c r="G1492" i="208"/>
  <c r="G1480" i="208"/>
  <c r="AF1480" i="208" s="1"/>
  <c r="G1468" i="208"/>
  <c r="G1456" i="208"/>
  <c r="G1444" i="208"/>
  <c r="G1432" i="208"/>
  <c r="G1420" i="208"/>
  <c r="F1420" i="208" s="1"/>
  <c r="T1420" i="208" s="1"/>
  <c r="G1408" i="208"/>
  <c r="G1396" i="208"/>
  <c r="G1384" i="208"/>
  <c r="G1372" i="208"/>
  <c r="G1360" i="208"/>
  <c r="F1360" i="208" s="1"/>
  <c r="T1360" i="208" s="1"/>
  <c r="G1348" i="208"/>
  <c r="G1336" i="208"/>
  <c r="AF1336" i="208" s="1"/>
  <c r="G1324" i="208"/>
  <c r="G1312" i="208"/>
  <c r="G1300" i="208"/>
  <c r="G1288" i="208"/>
  <c r="G1276" i="208"/>
  <c r="F1276" i="208" s="1"/>
  <c r="T1276" i="208" s="1"/>
  <c r="G1264" i="208"/>
  <c r="G1252" i="208"/>
  <c r="G1240" i="208"/>
  <c r="G1228" i="208"/>
  <c r="G1216" i="208"/>
  <c r="F1216" i="208" s="1"/>
  <c r="T1216" i="208" s="1"/>
  <c r="G1204" i="208"/>
  <c r="G1192" i="208"/>
  <c r="AF1192" i="208" s="1"/>
  <c r="G1180" i="208"/>
  <c r="G1168" i="208"/>
  <c r="G1156" i="208"/>
  <c r="G1144" i="208"/>
  <c r="G1132" i="208"/>
  <c r="F1132" i="208" s="1"/>
  <c r="T1132" i="208" s="1"/>
  <c r="G1120" i="208"/>
  <c r="G1108" i="208"/>
  <c r="G1096" i="208"/>
  <c r="G1084" i="208"/>
  <c r="G1072" i="208"/>
  <c r="F1072" i="208" s="1"/>
  <c r="T1072" i="208" s="1"/>
  <c r="G1060" i="208"/>
  <c r="G1048" i="208"/>
  <c r="F1048" i="208" s="1"/>
  <c r="T1048" i="208" s="1"/>
  <c r="G1036" i="208"/>
  <c r="G1024" i="208"/>
  <c r="G1012" i="208"/>
  <c r="F1012" i="208" s="1"/>
  <c r="T1012" i="208" s="1"/>
  <c r="G1000" i="208"/>
  <c r="G988" i="208"/>
  <c r="AB988" i="208" s="1"/>
  <c r="G976" i="208"/>
  <c r="G964" i="208"/>
  <c r="G952" i="208"/>
  <c r="G940" i="208"/>
  <c r="G928" i="208"/>
  <c r="AE928" i="208" s="1"/>
  <c r="G916" i="208"/>
  <c r="G904" i="208"/>
  <c r="F904" i="208" s="1"/>
  <c r="T904" i="208" s="1"/>
  <c r="G892" i="208"/>
  <c r="G880" i="208"/>
  <c r="G868" i="208"/>
  <c r="AF868" i="208" s="1"/>
  <c r="G856" i="208"/>
  <c r="G844" i="208"/>
  <c r="F844" i="208" s="1"/>
  <c r="T844" i="208" s="1"/>
  <c r="G832" i="208"/>
  <c r="G820" i="208"/>
  <c r="G808" i="208"/>
  <c r="G796" i="208"/>
  <c r="G784" i="208"/>
  <c r="AE784" i="208" s="1"/>
  <c r="G772" i="208"/>
  <c r="G760" i="208"/>
  <c r="V760" i="208" s="1"/>
  <c r="G748" i="208"/>
  <c r="G736" i="208"/>
  <c r="G724" i="208"/>
  <c r="V724" i="208" s="1"/>
  <c r="G712" i="208"/>
  <c r="G700" i="208"/>
  <c r="V700" i="208" s="1"/>
  <c r="G688" i="208"/>
  <c r="G676" i="208"/>
  <c r="G664" i="208"/>
  <c r="G652" i="208"/>
  <c r="G640" i="208"/>
  <c r="AE640" i="208" s="1"/>
  <c r="G628" i="208"/>
  <c r="F628" i="208" s="1"/>
  <c r="T628" i="208" s="1"/>
  <c r="G616" i="208"/>
  <c r="AF616" i="208" s="1"/>
  <c r="G604" i="208"/>
  <c r="G592" i="208"/>
  <c r="G580" i="208"/>
  <c r="V580" i="208" s="1"/>
  <c r="G568" i="208"/>
  <c r="G556" i="208"/>
  <c r="V556" i="208" s="1"/>
  <c r="G544" i="208"/>
  <c r="G532" i="208"/>
  <c r="G520" i="208"/>
  <c r="G508" i="208"/>
  <c r="G496" i="208"/>
  <c r="AE496" i="208" s="1"/>
  <c r="G484" i="208"/>
  <c r="AF484" i="208" s="1"/>
  <c r="G472" i="208"/>
  <c r="AF472" i="208" s="1"/>
  <c r="G460" i="208"/>
  <c r="G448" i="208"/>
  <c r="G436" i="208"/>
  <c r="AF436" i="208" s="1"/>
  <c r="G424" i="208"/>
  <c r="G412" i="208"/>
  <c r="V412" i="208" s="1"/>
  <c r="G400" i="208"/>
  <c r="G388" i="208"/>
  <c r="G376" i="208"/>
  <c r="G364" i="208"/>
  <c r="G352" i="208"/>
  <c r="AE352" i="208" s="1"/>
  <c r="G340" i="208"/>
  <c r="AF340" i="208" s="1"/>
  <c r="G328" i="208"/>
  <c r="AF328" i="208" s="1"/>
  <c r="G316" i="208"/>
  <c r="X262" i="208"/>
  <c r="X250" i="208"/>
  <c r="X238" i="208"/>
  <c r="X226" i="208"/>
  <c r="X214" i="208"/>
  <c r="X202" i="208"/>
  <c r="X190" i="208"/>
  <c r="X178" i="208"/>
  <c r="G2895" i="208"/>
  <c r="AA2895" i="208" s="1"/>
  <c r="G2883" i="208"/>
  <c r="G2847" i="208"/>
  <c r="AF2847" i="208" s="1"/>
  <c r="G2763" i="208"/>
  <c r="G2679" i="208"/>
  <c r="G2619" i="208"/>
  <c r="G2607" i="208"/>
  <c r="G2547" i="208"/>
  <c r="G2535" i="208"/>
  <c r="G2391" i="208"/>
  <c r="G2367" i="208"/>
  <c r="G2331" i="208"/>
  <c r="G2271" i="208"/>
  <c r="AB2271" i="208" s="1"/>
  <c r="G1983" i="208"/>
  <c r="G1947" i="208"/>
  <c r="AB1947" i="208" s="1"/>
  <c r="G1911" i="208"/>
  <c r="G1899" i="208"/>
  <c r="G1743" i="208"/>
  <c r="G1731" i="208"/>
  <c r="G1623" i="208"/>
  <c r="AB1623" i="208" s="1"/>
  <c r="G1431" i="208"/>
  <c r="G1407" i="208"/>
  <c r="G1347" i="208"/>
  <c r="G1335" i="208"/>
  <c r="G1059" i="208"/>
  <c r="V1059" i="208" s="1"/>
  <c r="G891" i="208"/>
  <c r="G855" i="208"/>
  <c r="AF855" i="208" s="1"/>
  <c r="G795" i="208"/>
  <c r="G699" i="208"/>
  <c r="G663" i="208"/>
  <c r="AF663" i="208" s="1"/>
  <c r="G603" i="208"/>
  <c r="G302" i="208"/>
  <c r="V302" i="208" s="1"/>
  <c r="G2997" i="208"/>
  <c r="G2985" i="208"/>
  <c r="G2973" i="208"/>
  <c r="G2961" i="208"/>
  <c r="G2949" i="208"/>
  <c r="G2937" i="208"/>
  <c r="G2925" i="208"/>
  <c r="F2925" i="208" s="1"/>
  <c r="T2925" i="208" s="1"/>
  <c r="G2913" i="208"/>
  <c r="G2901" i="208"/>
  <c r="G2889" i="208"/>
  <c r="G2877" i="208"/>
  <c r="G2865" i="208"/>
  <c r="AA2865" i="208" s="1"/>
  <c r="G2853" i="208"/>
  <c r="G2841" i="208"/>
  <c r="G2829" i="208"/>
  <c r="G2817" i="208"/>
  <c r="G2805" i="208"/>
  <c r="F2805" i="208" s="1"/>
  <c r="T2805" i="208" s="1"/>
  <c r="G2793" i="208"/>
  <c r="G2781" i="208"/>
  <c r="AB2781" i="208" s="1"/>
  <c r="G2769" i="208"/>
  <c r="G2757" i="208"/>
  <c r="G2745" i="208"/>
  <c r="G2733" i="208"/>
  <c r="G2721" i="208"/>
  <c r="F2721" i="208" s="1"/>
  <c r="T2721" i="208" s="1"/>
  <c r="G2709" i="208"/>
  <c r="G2697" i="208"/>
  <c r="G2685" i="208"/>
  <c r="G2673" i="208"/>
  <c r="G2661" i="208"/>
  <c r="AB2661" i="208" s="1"/>
  <c r="G2649" i="208"/>
  <c r="G2637" i="208"/>
  <c r="AF2637" i="208" s="1"/>
  <c r="G2625" i="208"/>
  <c r="G2613" i="208"/>
  <c r="G2601" i="208"/>
  <c r="G2589" i="208"/>
  <c r="G2577" i="208"/>
  <c r="V2577" i="208" s="1"/>
  <c r="G2565" i="208"/>
  <c r="G2553" i="208"/>
  <c r="G2541" i="208"/>
  <c r="G2529" i="208"/>
  <c r="G2517" i="208"/>
  <c r="G2505" i="208"/>
  <c r="G2493" i="208"/>
  <c r="AF2493" i="208" s="1"/>
  <c r="G2481" i="208"/>
  <c r="G2469" i="208"/>
  <c r="G2457" i="208"/>
  <c r="G2445" i="208"/>
  <c r="G2433" i="208"/>
  <c r="AF2433" i="208" s="1"/>
  <c r="G2421" i="208"/>
  <c r="G2409" i="208"/>
  <c r="G2397" i="208"/>
  <c r="G2385" i="208"/>
  <c r="G2373" i="208"/>
  <c r="G2361" i="208"/>
  <c r="G2349" i="208"/>
  <c r="V2349" i="208" s="1"/>
  <c r="G2337" i="208"/>
  <c r="G2325" i="208"/>
  <c r="G2313" i="208"/>
  <c r="G2301" i="208"/>
  <c r="G2289" i="208"/>
  <c r="AA2289" i="208" s="1"/>
  <c r="G2277" i="208"/>
  <c r="G2265" i="208"/>
  <c r="G2253" i="208"/>
  <c r="G2241" i="208"/>
  <c r="G2229" i="208"/>
  <c r="V2229" i="208" s="1"/>
  <c r="G2217" i="208"/>
  <c r="G2205" i="208"/>
  <c r="AF2205" i="208" s="1"/>
  <c r="G2193" i="208"/>
  <c r="G2181" i="208"/>
  <c r="G2169" i="208"/>
  <c r="G2157" i="208"/>
  <c r="G2145" i="208"/>
  <c r="V2145" i="208" s="1"/>
  <c r="G2133" i="208"/>
  <c r="G2121" i="208"/>
  <c r="G2109" i="208"/>
  <c r="G2097" i="208"/>
  <c r="G2085" i="208"/>
  <c r="AB2085" i="208" s="1"/>
  <c r="G2073" i="208"/>
  <c r="G2061" i="208"/>
  <c r="AF2061" i="208" s="1"/>
  <c r="G2049" i="208"/>
  <c r="G2037" i="208"/>
  <c r="G2025" i="208"/>
  <c r="G2013" i="208"/>
  <c r="G2001" i="208"/>
  <c r="AB2001" i="208" s="1"/>
  <c r="G1989" i="208"/>
  <c r="G1977" i="208"/>
  <c r="G1965" i="208"/>
  <c r="G1953" i="208"/>
  <c r="G1941" i="208"/>
  <c r="V1941" i="208" s="1"/>
  <c r="G1929" i="208"/>
  <c r="G1917" i="208"/>
  <c r="AF1917" i="208" s="1"/>
  <c r="G1905" i="208"/>
  <c r="G1893" i="208"/>
  <c r="G1881" i="208"/>
  <c r="G1869" i="208"/>
  <c r="G1857" i="208"/>
  <c r="AA1857" i="208" s="1"/>
  <c r="G1845" i="208"/>
  <c r="G1833" i="208"/>
  <c r="G1821" i="208"/>
  <c r="G1809" i="208"/>
  <c r="G1797" i="208"/>
  <c r="G1785" i="208"/>
  <c r="G1773" i="208"/>
  <c r="AB1773" i="208" s="1"/>
  <c r="G1761" i="208"/>
  <c r="G1749" i="208"/>
  <c r="G1737" i="208"/>
  <c r="G1725" i="208"/>
  <c r="G1713" i="208"/>
  <c r="F1713" i="208" s="1"/>
  <c r="T1713" i="208" s="1"/>
  <c r="G1701" i="208"/>
  <c r="G1689" i="208"/>
  <c r="G1677" i="208"/>
  <c r="G1665" i="208"/>
  <c r="G1653" i="208"/>
  <c r="AF1653" i="208" s="1"/>
  <c r="G1641" i="208"/>
  <c r="G1629" i="208"/>
  <c r="V1629" i="208" s="1"/>
  <c r="G1617" i="208"/>
  <c r="G1605" i="208"/>
  <c r="G1593" i="208"/>
  <c r="G1581" i="208"/>
  <c r="G1569" i="208"/>
  <c r="AA1569" i="208" s="1"/>
  <c r="G1557" i="208"/>
  <c r="G1545" i="208"/>
  <c r="G1533" i="208"/>
  <c r="G1521" i="208"/>
  <c r="G1509" i="208"/>
  <c r="V1509" i="208" s="1"/>
  <c r="G1497" i="208"/>
  <c r="G1485" i="208"/>
  <c r="AF1485" i="208" s="1"/>
  <c r="G1473" i="208"/>
  <c r="G1461" i="208"/>
  <c r="G1449" i="208"/>
  <c r="G1437" i="208"/>
  <c r="G1425" i="208"/>
  <c r="AB1425" i="208" s="1"/>
  <c r="G1413" i="208"/>
  <c r="G1401" i="208"/>
  <c r="G1389" i="208"/>
  <c r="G1377" i="208"/>
  <c r="G1365" i="208"/>
  <c r="V1365" i="208" s="1"/>
  <c r="G1353" i="208"/>
  <c r="G1341" i="208"/>
  <c r="AF1341" i="208" s="1"/>
  <c r="G1329" i="208"/>
  <c r="G1317" i="208"/>
  <c r="G1305" i="208"/>
  <c r="G1293" i="208"/>
  <c r="G1281" i="208"/>
  <c r="V1281" i="208" s="1"/>
  <c r="G1269" i="208"/>
  <c r="G1257" i="208"/>
  <c r="G1245" i="208"/>
  <c r="G1233" i="208"/>
  <c r="G1221" i="208"/>
  <c r="AA1221" i="208" s="1"/>
  <c r="G1209" i="208"/>
  <c r="G1197" i="208"/>
  <c r="F1197" i="208" s="1"/>
  <c r="T1197" i="208" s="1"/>
  <c r="G1185" i="208"/>
  <c r="G1173" i="208"/>
  <c r="G1161" i="208"/>
  <c r="G1149" i="208"/>
  <c r="G1137" i="208"/>
  <c r="F1137" i="208" s="1"/>
  <c r="T1137" i="208" s="1"/>
  <c r="G1125" i="208"/>
  <c r="G1113" i="208"/>
  <c r="G1101" i="208"/>
  <c r="G1089" i="208"/>
  <c r="G1077" i="208"/>
  <c r="AB1077" i="208" s="1"/>
  <c r="G1065" i="208"/>
  <c r="G1053" i="208"/>
  <c r="AF1053" i="208" s="1"/>
  <c r="G1041" i="208"/>
  <c r="G1029" i="208"/>
  <c r="G1017" i="208"/>
  <c r="AF1017" i="208" s="1"/>
  <c r="G1005" i="208"/>
  <c r="G993" i="208"/>
  <c r="AB993" i="208" s="1"/>
  <c r="G981" i="208"/>
  <c r="G969" i="208"/>
  <c r="G957" i="208"/>
  <c r="G945" i="208"/>
  <c r="G933" i="208"/>
  <c r="AB933" i="208" s="1"/>
  <c r="G921" i="208"/>
  <c r="G909" i="208"/>
  <c r="AF909" i="208" s="1"/>
  <c r="G897" i="208"/>
  <c r="G885" i="208"/>
  <c r="G873" i="208"/>
  <c r="V873" i="208" s="1"/>
  <c r="G861" i="208"/>
  <c r="G849" i="208"/>
  <c r="F849" i="208" s="1"/>
  <c r="T849" i="208" s="1"/>
  <c r="G837" i="208"/>
  <c r="G825" i="208"/>
  <c r="G813" i="208"/>
  <c r="G801" i="208"/>
  <c r="G789" i="208"/>
  <c r="F789" i="208" s="1"/>
  <c r="T789" i="208" s="1"/>
  <c r="G777" i="208"/>
  <c r="G765" i="208"/>
  <c r="AF765" i="208" s="1"/>
  <c r="G753" i="208"/>
  <c r="G741" i="208"/>
  <c r="G729" i="208"/>
  <c r="AB729" i="208" s="1"/>
  <c r="G717" i="208"/>
  <c r="G705" i="208"/>
  <c r="F705" i="208" s="1"/>
  <c r="T705" i="208" s="1"/>
  <c r="G693" i="208"/>
  <c r="G681" i="208"/>
  <c r="G669" i="208"/>
  <c r="G657" i="208"/>
  <c r="G645" i="208"/>
  <c r="AA645" i="208" s="1"/>
  <c r="G633" i="208"/>
  <c r="V633" i="208" s="1"/>
  <c r="G621" i="208"/>
  <c r="AF621" i="208" s="1"/>
  <c r="G609" i="208"/>
  <c r="G597" i="208"/>
  <c r="G585" i="208"/>
  <c r="F585" i="208" s="1"/>
  <c r="T585" i="208" s="1"/>
  <c r="G573" i="208"/>
  <c r="G561" i="208"/>
  <c r="V561" i="208" s="1"/>
  <c r="G549" i="208"/>
  <c r="G537" i="208"/>
  <c r="G525" i="208"/>
  <c r="G513" i="208"/>
  <c r="G501" i="208"/>
  <c r="V501" i="208" s="1"/>
  <c r="G489" i="208"/>
  <c r="AE489" i="208" s="1"/>
  <c r="G477" i="208"/>
  <c r="F477" i="208" s="1"/>
  <c r="T477" i="208" s="1"/>
  <c r="G465" i="208"/>
  <c r="G453" i="208"/>
  <c r="G441" i="208"/>
  <c r="V441" i="208" s="1"/>
  <c r="G429" i="208"/>
  <c r="G417" i="208"/>
  <c r="AA417" i="208" s="1"/>
  <c r="G405" i="208"/>
  <c r="G393" i="208"/>
  <c r="G381" i="208"/>
  <c r="G369" i="208"/>
  <c r="G357" i="208"/>
  <c r="AE357" i="208" s="1"/>
  <c r="G345" i="208"/>
  <c r="AE345" i="208" s="1"/>
  <c r="G333" i="208"/>
  <c r="V333" i="208" s="1"/>
  <c r="G321" i="208"/>
  <c r="G309" i="208"/>
  <c r="X166" i="208"/>
  <c r="X154" i="208"/>
  <c r="X142" i="208"/>
  <c r="X130" i="208"/>
  <c r="X118" i="208"/>
  <c r="X106" i="208"/>
  <c r="X94" i="208"/>
  <c r="X82" i="208"/>
  <c r="X70" i="208"/>
  <c r="G2967" i="208"/>
  <c r="AF2967" i="208" s="1"/>
  <c r="G2955" i="208"/>
  <c r="G2859" i="208"/>
  <c r="G2691" i="208"/>
  <c r="G2511" i="208"/>
  <c r="G2319" i="208"/>
  <c r="V2319" i="208" s="1"/>
  <c r="G1887" i="208"/>
  <c r="G1575" i="208"/>
  <c r="G1479" i="208"/>
  <c r="G1299" i="208"/>
  <c r="G1191" i="208"/>
  <c r="F1191" i="208" s="1"/>
  <c r="T1191" i="208" s="1"/>
  <c r="G1011" i="208"/>
  <c r="G519" i="208"/>
  <c r="AF519" i="208" s="1"/>
  <c r="G471" i="208"/>
  <c r="G459" i="208"/>
  <c r="G304" i="208"/>
  <c r="F304" i="208" s="1"/>
  <c r="T304" i="208" s="1"/>
  <c r="G2990" i="208"/>
  <c r="G2978" i="208"/>
  <c r="V2978" i="208" s="1"/>
  <c r="G2966" i="208"/>
  <c r="G2954" i="208"/>
  <c r="G2942" i="208"/>
  <c r="G2930" i="208"/>
  <c r="G2918" i="208"/>
  <c r="G2906" i="208"/>
  <c r="G2894" i="208"/>
  <c r="AA2894" i="208" s="1"/>
  <c r="G2882" i="208"/>
  <c r="G2870" i="208"/>
  <c r="G2858" i="208"/>
  <c r="G2846" i="208"/>
  <c r="G2834" i="208"/>
  <c r="F2834" i="208" s="1"/>
  <c r="T2834" i="208" s="1"/>
  <c r="G2822" i="208"/>
  <c r="G2810" i="208"/>
  <c r="G2798" i="208"/>
  <c r="G2786" i="208"/>
  <c r="G2774" i="208"/>
  <c r="G2762" i="208"/>
  <c r="G2750" i="208"/>
  <c r="AF2750" i="208" s="1"/>
  <c r="G2738" i="208"/>
  <c r="G2726" i="208"/>
  <c r="G2714" i="208"/>
  <c r="G2702" i="208"/>
  <c r="G2690" i="208"/>
  <c r="AE2690" i="208" s="1"/>
  <c r="G2678" i="208"/>
  <c r="G2666" i="208"/>
  <c r="G2654" i="208"/>
  <c r="G2642" i="208"/>
  <c r="G2630" i="208"/>
  <c r="G2618" i="208"/>
  <c r="G2606" i="208"/>
  <c r="V2606" i="208" s="1"/>
  <c r="G2594" i="208"/>
  <c r="G2582" i="208"/>
  <c r="G2570" i="208"/>
  <c r="G2558" i="208"/>
  <c r="G2546" i="208"/>
  <c r="AE2546" i="208" s="1"/>
  <c r="G2534" i="208"/>
  <c r="G2522" i="208"/>
  <c r="G2510" i="208"/>
  <c r="G2498" i="208"/>
  <c r="G2486" i="208"/>
  <c r="AA2486" i="208" s="1"/>
  <c r="G2474" i="208"/>
  <c r="G2462" i="208"/>
  <c r="V2462" i="208" s="1"/>
  <c r="G2450" i="208"/>
  <c r="G2438" i="208"/>
  <c r="G2426" i="208"/>
  <c r="G2414" i="208"/>
  <c r="G2402" i="208"/>
  <c r="F2402" i="208" s="1"/>
  <c r="T2402" i="208" s="1"/>
  <c r="G2390" i="208"/>
  <c r="G2378" i="208"/>
  <c r="G2366" i="208"/>
  <c r="G2354" i="208"/>
  <c r="G2342" i="208"/>
  <c r="G2330" i="208"/>
  <c r="G2318" i="208"/>
  <c r="AF2318" i="208" s="1"/>
  <c r="G2306" i="208"/>
  <c r="G2294" i="208"/>
  <c r="G2282" i="208"/>
  <c r="G2270" i="208"/>
  <c r="G2258" i="208"/>
  <c r="AE2258" i="208" s="1"/>
  <c r="G2246" i="208"/>
  <c r="G2234" i="208"/>
  <c r="G2222" i="208"/>
  <c r="G2210" i="208"/>
  <c r="G2198" i="208"/>
  <c r="G2186" i="208"/>
  <c r="G2174" i="208"/>
  <c r="V2174" i="208" s="1"/>
  <c r="G2162" i="208"/>
  <c r="G2150" i="208"/>
  <c r="G2138" i="208"/>
  <c r="G2126" i="208"/>
  <c r="G2114" i="208"/>
  <c r="AA2114" i="208" s="1"/>
  <c r="G2102" i="208"/>
  <c r="G2090" i="208"/>
  <c r="G2078" i="208"/>
  <c r="G2066" i="208"/>
  <c r="G2054" i="208"/>
  <c r="AF2054" i="208" s="1"/>
  <c r="G2042" i="208"/>
  <c r="G2030" i="208"/>
  <c r="AF2030" i="208" s="1"/>
  <c r="G2018" i="208"/>
  <c r="G2006" i="208"/>
  <c r="G1994" i="208"/>
  <c r="G1982" i="208"/>
  <c r="G1970" i="208"/>
  <c r="V1970" i="208" s="1"/>
  <c r="G1958" i="208"/>
  <c r="G1946" i="208"/>
  <c r="G1934" i="208"/>
  <c r="G1922" i="208"/>
  <c r="G1910" i="208"/>
  <c r="G1898" i="208"/>
  <c r="G1886" i="208"/>
  <c r="F1886" i="208" s="1"/>
  <c r="T1886" i="208" s="1"/>
  <c r="G1874" i="208"/>
  <c r="G1862" i="208"/>
  <c r="G1850" i="208"/>
  <c r="G1838" i="208"/>
  <c r="G1826" i="208"/>
  <c r="V1826" i="208" s="1"/>
  <c r="G1814" i="208"/>
  <c r="G1802" i="208"/>
  <c r="G1790" i="208"/>
  <c r="G1778" i="208"/>
  <c r="G1766" i="208"/>
  <c r="G1754" i="208"/>
  <c r="G1742" i="208"/>
  <c r="AF1742" i="208" s="1"/>
  <c r="G1730" i="208"/>
  <c r="G1718" i="208"/>
  <c r="G1706" i="208"/>
  <c r="G1694" i="208"/>
  <c r="G1682" i="208"/>
  <c r="V1682" i="208" s="1"/>
  <c r="G1670" i="208"/>
  <c r="G1658" i="208"/>
  <c r="G1646" i="208"/>
  <c r="G1634" i="208"/>
  <c r="G1622" i="208"/>
  <c r="V1622" i="208" s="1"/>
  <c r="G1610" i="208"/>
  <c r="G1598" i="208"/>
  <c r="AF1598" i="208" s="1"/>
  <c r="G1586" i="208"/>
  <c r="G1574" i="208"/>
  <c r="G1562" i="208"/>
  <c r="G1550" i="208"/>
  <c r="G1538" i="208"/>
  <c r="AB1538" i="208" s="1"/>
  <c r="G1526" i="208"/>
  <c r="G1514" i="208"/>
  <c r="G1502" i="208"/>
  <c r="G1490" i="208"/>
  <c r="G1478" i="208"/>
  <c r="G1466" i="208"/>
  <c r="G1454" i="208"/>
  <c r="AB1454" i="208" s="1"/>
  <c r="G1442" i="208"/>
  <c r="G1430" i="208"/>
  <c r="G1418" i="208"/>
  <c r="G1406" i="208"/>
  <c r="G1394" i="208"/>
  <c r="AB1394" i="208" s="1"/>
  <c r="G1382" i="208"/>
  <c r="G1370" i="208"/>
  <c r="G1358" i="208"/>
  <c r="G1346" i="208"/>
  <c r="G1334" i="208"/>
  <c r="V1334" i="208" s="1"/>
  <c r="G1322" i="208"/>
  <c r="G1310" i="208"/>
  <c r="AB1310" i="208" s="1"/>
  <c r="G1298" i="208"/>
  <c r="G1286" i="208"/>
  <c r="G1274" i="208"/>
  <c r="G1262" i="208"/>
  <c r="G1250" i="208"/>
  <c r="AB1250" i="208" s="1"/>
  <c r="G1238" i="208"/>
  <c r="G1226" i="208"/>
  <c r="G1214" i="208"/>
  <c r="G1202" i="208"/>
  <c r="G1190" i="208"/>
  <c r="AA1190" i="208" s="1"/>
  <c r="G1178" i="208"/>
  <c r="G1166" i="208"/>
  <c r="AA1166" i="208" s="1"/>
  <c r="G1154" i="208"/>
  <c r="G1142" i="208"/>
  <c r="G1130" i="208"/>
  <c r="G1118" i="208"/>
  <c r="G1106" i="208"/>
  <c r="AB1106" i="208" s="1"/>
  <c r="G1094" i="208"/>
  <c r="G1082" i="208"/>
  <c r="G1070" i="208"/>
  <c r="G1058" i="208"/>
  <c r="G1046" i="208"/>
  <c r="G1034" i="208"/>
  <c r="G1022" i="208"/>
  <c r="AB1022" i="208" s="1"/>
  <c r="G1010" i="208"/>
  <c r="G998" i="208"/>
  <c r="G986" i="208"/>
  <c r="V986" i="208" s="1"/>
  <c r="G974" i="208"/>
  <c r="G962" i="208"/>
  <c r="AF962" i="208" s="1"/>
  <c r="G950" i="208"/>
  <c r="G938" i="208"/>
  <c r="G926" i="208"/>
  <c r="G914" i="208"/>
  <c r="G902" i="208"/>
  <c r="V902" i="208" s="1"/>
  <c r="G890" i="208"/>
  <c r="G878" i="208"/>
  <c r="AF878" i="208" s="1"/>
  <c r="G866" i="208"/>
  <c r="G854" i="208"/>
  <c r="G842" i="208"/>
  <c r="AF842" i="208" s="1"/>
  <c r="G830" i="208"/>
  <c r="G818" i="208"/>
  <c r="AB818" i="208" s="1"/>
  <c r="G806" i="208"/>
  <c r="G794" i="208"/>
  <c r="G782" i="208"/>
  <c r="G770" i="208"/>
  <c r="G758" i="208"/>
  <c r="AA758" i="208" s="1"/>
  <c r="G746" i="208"/>
  <c r="G734" i="208"/>
  <c r="AA734" i="208" s="1"/>
  <c r="G722" i="208"/>
  <c r="G710" i="208"/>
  <c r="G698" i="208"/>
  <c r="AF698" i="208" s="1"/>
  <c r="G686" i="208"/>
  <c r="G674" i="208"/>
  <c r="AB674" i="208" s="1"/>
  <c r="G662" i="208"/>
  <c r="G650" i="208"/>
  <c r="G638" i="208"/>
  <c r="G626" i="208"/>
  <c r="G614" i="208"/>
  <c r="G602" i="208"/>
  <c r="AB602" i="208" s="1"/>
  <c r="G590" i="208"/>
  <c r="AF590" i="208" s="1"/>
  <c r="G578" i="208"/>
  <c r="G566" i="208"/>
  <c r="G554" i="208"/>
  <c r="V554" i="208" s="1"/>
  <c r="G542" i="208"/>
  <c r="G530" i="208"/>
  <c r="AB530" i="208" s="1"/>
  <c r="G518" i="208"/>
  <c r="G506" i="208"/>
  <c r="G494" i="208"/>
  <c r="G482" i="208"/>
  <c r="G470" i="208"/>
  <c r="G458" i="208"/>
  <c r="V458" i="208" s="1"/>
  <c r="G446" i="208"/>
  <c r="AB446" i="208" s="1"/>
  <c r="G434" i="208"/>
  <c r="G422" i="208"/>
  <c r="G410" i="208"/>
  <c r="AB410" i="208" s="1"/>
  <c r="G398" i="208"/>
  <c r="G386" i="208"/>
  <c r="V386" i="208" s="1"/>
  <c r="G374" i="208"/>
  <c r="G362" i="208"/>
  <c r="G350" i="208"/>
  <c r="G338" i="208"/>
  <c r="G326" i="208"/>
  <c r="V326" i="208" s="1"/>
  <c r="G314" i="208"/>
  <c r="AE314" i="208" s="1"/>
  <c r="X46" i="208"/>
  <c r="X34" i="208"/>
  <c r="X22" i="208"/>
  <c r="X10" i="208"/>
  <c r="G2403" i="208"/>
  <c r="G2091" i="208"/>
  <c r="V2091" i="208" s="1"/>
  <c r="G1959" i="208"/>
  <c r="G1695" i="208"/>
  <c r="G1671" i="208"/>
  <c r="G1659" i="208"/>
  <c r="G1647" i="208"/>
  <c r="V1647" i="208" s="1"/>
  <c r="G1587" i="208"/>
  <c r="G1287" i="208"/>
  <c r="AF1287" i="208" s="1"/>
  <c r="G1263" i="208"/>
  <c r="G1167" i="208"/>
  <c r="G1083" i="208"/>
  <c r="G807" i="208"/>
  <c r="G711" i="208"/>
  <c r="V711" i="208" s="1"/>
  <c r="G2995" i="208"/>
  <c r="G2983" i="208"/>
  <c r="G2971" i="208"/>
  <c r="G2959" i="208"/>
  <c r="G2947" i="208"/>
  <c r="G2935" i="208"/>
  <c r="G2923" i="208"/>
  <c r="AA2923" i="208" s="1"/>
  <c r="G2911" i="208"/>
  <c r="G2899" i="208"/>
  <c r="G2887" i="208"/>
  <c r="G2875" i="208"/>
  <c r="G2863" i="208"/>
  <c r="AF2863" i="208" s="1"/>
  <c r="G2851" i="208"/>
  <c r="G2839" i="208"/>
  <c r="G2827" i="208"/>
  <c r="G2815" i="208"/>
  <c r="G2803" i="208"/>
  <c r="G2791" i="208"/>
  <c r="G2779" i="208"/>
  <c r="F2779" i="208" s="1"/>
  <c r="T2779" i="208" s="1"/>
  <c r="G2767" i="208"/>
  <c r="G2755" i="208"/>
  <c r="G2743" i="208"/>
  <c r="G2731" i="208"/>
  <c r="G2719" i="208"/>
  <c r="F2719" i="208" s="1"/>
  <c r="T2719" i="208" s="1"/>
  <c r="G2707" i="208"/>
  <c r="G2695" i="208"/>
  <c r="G2683" i="208"/>
  <c r="G2671" i="208"/>
  <c r="G2659" i="208"/>
  <c r="V2659" i="208" s="1"/>
  <c r="G2647" i="208"/>
  <c r="G2635" i="208"/>
  <c r="AF2635" i="208" s="1"/>
  <c r="G2623" i="208"/>
  <c r="G2611" i="208"/>
  <c r="G2599" i="208"/>
  <c r="G2587" i="208"/>
  <c r="G2575" i="208"/>
  <c r="V2575" i="208" s="1"/>
  <c r="G2563" i="208"/>
  <c r="G2551" i="208"/>
  <c r="G2539" i="208"/>
  <c r="G2527" i="208"/>
  <c r="G2515" i="208"/>
  <c r="G2503" i="208"/>
  <c r="G2491" i="208"/>
  <c r="AF2491" i="208" s="1"/>
  <c r="G2479" i="208"/>
  <c r="G2467" i="208"/>
  <c r="G2455" i="208"/>
  <c r="G2443" i="208"/>
  <c r="G2431" i="208"/>
  <c r="F2431" i="208" s="1"/>
  <c r="T2431" i="208" s="1"/>
  <c r="G2419" i="208"/>
  <c r="G2407" i="208"/>
  <c r="G2395" i="208"/>
  <c r="G2383" i="208"/>
  <c r="G2371" i="208"/>
  <c r="V2371" i="208" s="1"/>
  <c r="G2359" i="208"/>
  <c r="G2347" i="208"/>
  <c r="F2347" i="208" s="1"/>
  <c r="T2347" i="208" s="1"/>
  <c r="G2335" i="208"/>
  <c r="G2323" i="208"/>
  <c r="G2311" i="208"/>
  <c r="G2299" i="208"/>
  <c r="G2287" i="208"/>
  <c r="F2287" i="208" s="1"/>
  <c r="T2287" i="208" s="1"/>
  <c r="G2275" i="208"/>
  <c r="G2263" i="208"/>
  <c r="G2251" i="208"/>
  <c r="G2239" i="208"/>
  <c r="G2227" i="208"/>
  <c r="AA2227" i="208" s="1"/>
  <c r="G2215" i="208"/>
  <c r="G2203" i="208"/>
  <c r="AF2203" i="208" s="1"/>
  <c r="G2191" i="208"/>
  <c r="G2179" i="208"/>
  <c r="G2167" i="208"/>
  <c r="G2155" i="208"/>
  <c r="G2143" i="208"/>
  <c r="V2143" i="208" s="1"/>
  <c r="G2131" i="208"/>
  <c r="G2119" i="208"/>
  <c r="G2107" i="208"/>
  <c r="G2095" i="208"/>
  <c r="G2083" i="208"/>
  <c r="G2071" i="208"/>
  <c r="G2059" i="208"/>
  <c r="F2059" i="208" s="1"/>
  <c r="T2059" i="208" s="1"/>
  <c r="G2047" i="208"/>
  <c r="G2035" i="208"/>
  <c r="G2023" i="208"/>
  <c r="G2011" i="208"/>
  <c r="G1999" i="208"/>
  <c r="AB1999" i="208" s="1"/>
  <c r="G1987" i="208"/>
  <c r="G1975" i="208"/>
  <c r="G1963" i="208"/>
  <c r="G1951" i="208"/>
  <c r="G1939" i="208"/>
  <c r="V1939" i="208" s="1"/>
  <c r="G1927" i="208"/>
  <c r="G1915" i="208"/>
  <c r="AE1915" i="208" s="1"/>
  <c r="G1903" i="208"/>
  <c r="G1891" i="208"/>
  <c r="G1879" i="208"/>
  <c r="G1867" i="208"/>
  <c r="G1855" i="208"/>
  <c r="V1855" i="208" s="1"/>
  <c r="G1843" i="208"/>
  <c r="G1831" i="208"/>
  <c r="G1819" i="208"/>
  <c r="G1807" i="208"/>
  <c r="G1795" i="208"/>
  <c r="AF1795" i="208" s="1"/>
  <c r="G1783" i="208"/>
  <c r="G1771" i="208"/>
  <c r="F1771" i="208" s="1"/>
  <c r="T1771" i="208" s="1"/>
  <c r="G1759" i="208"/>
  <c r="G1747" i="208"/>
  <c r="G1735" i="208"/>
  <c r="G1723" i="208"/>
  <c r="G1711" i="208"/>
  <c r="F1711" i="208" s="1"/>
  <c r="T1711" i="208" s="1"/>
  <c r="G1699" i="208"/>
  <c r="G1687" i="208"/>
  <c r="G1675" i="208"/>
  <c r="G1663" i="208"/>
  <c r="G1651" i="208"/>
  <c r="G1639" i="208"/>
  <c r="G1627" i="208"/>
  <c r="F1627" i="208" s="1"/>
  <c r="T1627" i="208" s="1"/>
  <c r="G1615" i="208"/>
  <c r="G1603" i="208"/>
  <c r="G1591" i="208"/>
  <c r="G1579" i="208"/>
  <c r="G1567" i="208"/>
  <c r="AE1567" i="208" s="1"/>
  <c r="G1555" i="208"/>
  <c r="G1543" i="208"/>
  <c r="G1531" i="208"/>
  <c r="G1519" i="208"/>
  <c r="G1507" i="208"/>
  <c r="AB1507" i="208" s="1"/>
  <c r="G1495" i="208"/>
  <c r="G1483" i="208"/>
  <c r="AE1483" i="208" s="1"/>
  <c r="G1471" i="208"/>
  <c r="G1459" i="208"/>
  <c r="G1447" i="208"/>
  <c r="G1435" i="208"/>
  <c r="G1423" i="208"/>
  <c r="V1423" i="208" s="1"/>
  <c r="G1411" i="208"/>
  <c r="G1399" i="208"/>
  <c r="G1387" i="208"/>
  <c r="G1375" i="208"/>
  <c r="G1363" i="208"/>
  <c r="G1351" i="208"/>
  <c r="G1339" i="208"/>
  <c r="AE1339" i="208" s="1"/>
  <c r="G1327" i="208"/>
  <c r="G1315" i="208"/>
  <c r="G1303" i="208"/>
  <c r="G1291" i="208"/>
  <c r="G1279" i="208"/>
  <c r="F1279" i="208" s="1"/>
  <c r="T1279" i="208" s="1"/>
  <c r="G1267" i="208"/>
  <c r="G1255" i="208"/>
  <c r="G1243" i="208"/>
  <c r="G1231" i="208"/>
  <c r="G1219" i="208"/>
  <c r="AE1219" i="208" s="1"/>
  <c r="G1207" i="208"/>
  <c r="G1195" i="208"/>
  <c r="F1195" i="208" s="1"/>
  <c r="T1195" i="208" s="1"/>
  <c r="G1183" i="208"/>
  <c r="G1171" i="208"/>
  <c r="G1159" i="208"/>
  <c r="G1147" i="208"/>
  <c r="G1135" i="208"/>
  <c r="F1135" i="208" s="1"/>
  <c r="T1135" i="208" s="1"/>
  <c r="G1123" i="208"/>
  <c r="G1111" i="208"/>
  <c r="G1099" i="208"/>
  <c r="G1087" i="208"/>
  <c r="G1075" i="208"/>
  <c r="AF1075" i="208" s="1"/>
  <c r="G1063" i="208"/>
  <c r="G1051" i="208"/>
  <c r="AE1051" i="208" s="1"/>
  <c r="G1039" i="208"/>
  <c r="G1027" i="208"/>
  <c r="G1015" i="208"/>
  <c r="F1015" i="208" s="1"/>
  <c r="T1015" i="208" s="1"/>
  <c r="G1003" i="208"/>
  <c r="G991" i="208"/>
  <c r="V991" i="208" s="1"/>
  <c r="G979" i="208"/>
  <c r="G967" i="208"/>
  <c r="G955" i="208"/>
  <c r="G943" i="208"/>
  <c r="G931" i="208"/>
  <c r="V931" i="208" s="1"/>
  <c r="G919" i="208"/>
  <c r="G907" i="208"/>
  <c r="AB907" i="208" s="1"/>
  <c r="G895" i="208"/>
  <c r="G883" i="208"/>
  <c r="G871" i="208"/>
  <c r="AF871" i="208" s="1"/>
  <c r="G859" i="208"/>
  <c r="G847" i="208"/>
  <c r="AA847" i="208" s="1"/>
  <c r="G835" i="208"/>
  <c r="G823" i="208"/>
  <c r="G811" i="208"/>
  <c r="G799" i="208"/>
  <c r="G787" i="208"/>
  <c r="F787" i="208" s="1"/>
  <c r="T787" i="208" s="1"/>
  <c r="G775" i="208"/>
  <c r="G763" i="208"/>
  <c r="V763" i="208" s="1"/>
  <c r="G751" i="208"/>
  <c r="G739" i="208"/>
  <c r="G727" i="208"/>
  <c r="V727" i="208" s="1"/>
  <c r="G715" i="208"/>
  <c r="G703" i="208"/>
  <c r="F703" i="208" s="1"/>
  <c r="T703" i="208" s="1"/>
  <c r="G691" i="208"/>
  <c r="G679" i="208"/>
  <c r="G667" i="208"/>
  <c r="G655" i="208"/>
  <c r="G643" i="208"/>
  <c r="F643" i="208" s="1"/>
  <c r="T643" i="208" s="1"/>
  <c r="G631" i="208"/>
  <c r="F631" i="208" s="1"/>
  <c r="T631" i="208" s="1"/>
  <c r="G619" i="208"/>
  <c r="AF619" i="208" s="1"/>
  <c r="G607" i="208"/>
  <c r="G595" i="208"/>
  <c r="G583" i="208"/>
  <c r="F583" i="208" s="1"/>
  <c r="T583" i="208" s="1"/>
  <c r="G571" i="208"/>
  <c r="G559" i="208"/>
  <c r="V559" i="208" s="1"/>
  <c r="G547" i="208"/>
  <c r="G535" i="208"/>
  <c r="G523" i="208"/>
  <c r="G511" i="208"/>
  <c r="G499" i="208"/>
  <c r="G487" i="208"/>
  <c r="AF487" i="208" s="1"/>
  <c r="G475" i="208"/>
  <c r="AF475" i="208" s="1"/>
  <c r="G463" i="208"/>
  <c r="G451" i="208"/>
  <c r="G439" i="208"/>
  <c r="AF439" i="208" s="1"/>
  <c r="G427" i="208"/>
  <c r="G415" i="208"/>
  <c r="V415" i="208" s="1"/>
  <c r="G403" i="208"/>
  <c r="G391" i="208"/>
  <c r="G379" i="208"/>
  <c r="G367" i="208"/>
  <c r="G355" i="208"/>
  <c r="AA355" i="208" s="1"/>
  <c r="G343" i="208"/>
  <c r="V343" i="208" s="1"/>
  <c r="G331" i="208"/>
  <c r="V331" i="208" s="1"/>
  <c r="G319" i="208"/>
  <c r="G307" i="208"/>
  <c r="X277" i="208"/>
  <c r="X265" i="208"/>
  <c r="X253" i="208"/>
  <c r="X241" i="208"/>
  <c r="X229" i="208"/>
  <c r="X217" i="208"/>
  <c r="X205" i="208"/>
  <c r="X193" i="208"/>
  <c r="X181" i="208"/>
  <c r="G2667" i="208"/>
  <c r="AA2667" i="208" s="1"/>
  <c r="G2655" i="208"/>
  <c r="G2643" i="208"/>
  <c r="G2499" i="208"/>
  <c r="G2487" i="208"/>
  <c r="G2307" i="208"/>
  <c r="V2307" i="208" s="1"/>
  <c r="G2247" i="208"/>
  <c r="G2235" i="208"/>
  <c r="G2139" i="208"/>
  <c r="G1863" i="208"/>
  <c r="G1779" i="208"/>
  <c r="V1779" i="208" s="1"/>
  <c r="G1755" i="208"/>
  <c r="G1599" i="208"/>
  <c r="AB1599" i="208" s="1"/>
  <c r="G1539" i="208"/>
  <c r="G1371" i="208"/>
  <c r="G1311" i="208"/>
  <c r="G1119" i="208"/>
  <c r="G1095" i="208"/>
  <c r="F1095" i="208" s="1"/>
  <c r="T1095" i="208" s="1"/>
  <c r="G591" i="208"/>
  <c r="G507" i="208"/>
  <c r="G495" i="208"/>
  <c r="G3000" i="208"/>
  <c r="G2988" i="208"/>
  <c r="G2976" i="208"/>
  <c r="G2964" i="208"/>
  <c r="F2964" i="208" s="1"/>
  <c r="T2964" i="208" s="1"/>
  <c r="G2952" i="208"/>
  <c r="G2940" i="208"/>
  <c r="G2928" i="208"/>
  <c r="G2916" i="208"/>
  <c r="G2904" i="208"/>
  <c r="AA2904" i="208" s="1"/>
  <c r="G2892" i="208"/>
  <c r="G2880" i="208"/>
  <c r="G2868" i="208"/>
  <c r="G2856" i="208"/>
  <c r="G2844" i="208"/>
  <c r="G2832" i="208"/>
  <c r="G2820" i="208"/>
  <c r="AE2820" i="208" s="1"/>
  <c r="G2808" i="208"/>
  <c r="G2796" i="208"/>
  <c r="G2784" i="208"/>
  <c r="G2772" i="208"/>
  <c r="G2760" i="208"/>
  <c r="AF2760" i="208" s="1"/>
  <c r="G2748" i="208"/>
  <c r="G2736" i="208"/>
  <c r="G2724" i="208"/>
  <c r="G2712" i="208"/>
  <c r="G2700" i="208"/>
  <c r="G2688" i="208"/>
  <c r="G2676" i="208"/>
  <c r="AB2676" i="208" s="1"/>
  <c r="G2664" i="208"/>
  <c r="G2652" i="208"/>
  <c r="G2640" i="208"/>
  <c r="G2628" i="208"/>
  <c r="G2616" i="208"/>
  <c r="F2616" i="208" s="1"/>
  <c r="T2616" i="208" s="1"/>
  <c r="G2604" i="208"/>
  <c r="G2592" i="208"/>
  <c r="G2580" i="208"/>
  <c r="G2568" i="208"/>
  <c r="G2556" i="208"/>
  <c r="F2556" i="208" s="1"/>
  <c r="T2556" i="208" s="1"/>
  <c r="G2544" i="208"/>
  <c r="G2532" i="208"/>
  <c r="AF2532" i="208" s="1"/>
  <c r="G2520" i="208"/>
  <c r="G2508" i="208"/>
  <c r="G2496" i="208"/>
  <c r="G2484" i="208"/>
  <c r="G2472" i="208"/>
  <c r="F2472" i="208" s="1"/>
  <c r="T2472" i="208" s="1"/>
  <c r="G2460" i="208"/>
  <c r="G2448" i="208"/>
  <c r="G2436" i="208"/>
  <c r="G2424" i="208"/>
  <c r="G2412" i="208"/>
  <c r="AF2412" i="208" s="1"/>
  <c r="G2400" i="208"/>
  <c r="G2388" i="208"/>
  <c r="V2388" i="208" s="1"/>
  <c r="G2376" i="208"/>
  <c r="G2364" i="208"/>
  <c r="G2352" i="208"/>
  <c r="G2340" i="208"/>
  <c r="G2328" i="208"/>
  <c r="F2328" i="208" s="1"/>
  <c r="T2328" i="208" s="1"/>
  <c r="G2316" i="208"/>
  <c r="G2304" i="208"/>
  <c r="G2292" i="208"/>
  <c r="G2280" i="208"/>
  <c r="G2268" i="208"/>
  <c r="G2256" i="208"/>
  <c r="G2244" i="208"/>
  <c r="V2244" i="208" s="1"/>
  <c r="G2232" i="208"/>
  <c r="G2220" i="208"/>
  <c r="G2208" i="208"/>
  <c r="G2196" i="208"/>
  <c r="G2184" i="208"/>
  <c r="AB2184" i="208" s="1"/>
  <c r="G2172" i="208"/>
  <c r="G2160" i="208"/>
  <c r="G2148" i="208"/>
  <c r="G2136" i="208"/>
  <c r="G2124" i="208"/>
  <c r="V2124" i="208" s="1"/>
  <c r="G2112" i="208"/>
  <c r="G2100" i="208"/>
  <c r="AF2100" i="208" s="1"/>
  <c r="G2088" i="208"/>
  <c r="G2076" i="208"/>
  <c r="G2064" i="208"/>
  <c r="G2052" i="208"/>
  <c r="G2040" i="208"/>
  <c r="V2040" i="208" s="1"/>
  <c r="G2028" i="208"/>
  <c r="G2016" i="208"/>
  <c r="G2004" i="208"/>
  <c r="G1992" i="208"/>
  <c r="G1980" i="208"/>
  <c r="V1980" i="208" s="1"/>
  <c r="G1968" i="208"/>
  <c r="G1956" i="208"/>
  <c r="AA1956" i="208" s="1"/>
  <c r="G1944" i="208"/>
  <c r="G1932" i="208"/>
  <c r="G1920" i="208"/>
  <c r="G1908" i="208"/>
  <c r="G1896" i="208"/>
  <c r="V1896" i="208" s="1"/>
  <c r="G1884" i="208"/>
  <c r="G1872" i="208"/>
  <c r="G1860" i="208"/>
  <c r="G1848" i="208"/>
  <c r="G1836" i="208"/>
  <c r="V1836" i="208" s="1"/>
  <c r="G1824" i="208"/>
  <c r="G1812" i="208"/>
  <c r="AB1812" i="208" s="1"/>
  <c r="G1800" i="208"/>
  <c r="G1788" i="208"/>
  <c r="G1776" i="208"/>
  <c r="G1764" i="208"/>
  <c r="G1752" i="208"/>
  <c r="V1752" i="208" s="1"/>
  <c r="G1740" i="208"/>
  <c r="G1728" i="208"/>
  <c r="G1716" i="208"/>
  <c r="G1704" i="208"/>
  <c r="G1692" i="208"/>
  <c r="G1680" i="208"/>
  <c r="G1668" i="208"/>
  <c r="AF1668" i="208" s="1"/>
  <c r="G1656" i="208"/>
  <c r="G1644" i="208"/>
  <c r="G1632" i="208"/>
  <c r="G1620" i="208"/>
  <c r="G1608" i="208"/>
  <c r="V1608" i="208" s="1"/>
  <c r="G1596" i="208"/>
  <c r="G1584" i="208"/>
  <c r="G1572" i="208"/>
  <c r="G1560" i="208"/>
  <c r="G1548" i="208"/>
  <c r="G1536" i="208"/>
  <c r="G1524" i="208"/>
  <c r="AB1524" i="208" s="1"/>
  <c r="G1512" i="208"/>
  <c r="G1500" i="208"/>
  <c r="G1488" i="208"/>
  <c r="G1476" i="208"/>
  <c r="G1464" i="208"/>
  <c r="AB1464" i="208" s="1"/>
  <c r="G1452" i="208"/>
  <c r="G1440" i="208"/>
  <c r="G1428" i="208"/>
  <c r="G1416" i="208"/>
  <c r="G1404" i="208"/>
  <c r="G1392" i="208"/>
  <c r="G1380" i="208"/>
  <c r="AF1380" i="208" s="1"/>
  <c r="G1368" i="208"/>
  <c r="G1356" i="208"/>
  <c r="G1344" i="208"/>
  <c r="G1332" i="208"/>
  <c r="G1320" i="208"/>
  <c r="AF1320" i="208" s="1"/>
  <c r="G1308" i="208"/>
  <c r="G1296" i="208"/>
  <c r="G1284" i="208"/>
  <c r="G1272" i="208"/>
  <c r="G1260" i="208"/>
  <c r="G1248" i="208"/>
  <c r="G1236" i="208"/>
  <c r="AB1236" i="208" s="1"/>
  <c r="G1224" i="208"/>
  <c r="G1212" i="208"/>
  <c r="G1200" i="208"/>
  <c r="G1188" i="208"/>
  <c r="G1176" i="208"/>
  <c r="V1176" i="208" s="1"/>
  <c r="G1164" i="208"/>
  <c r="G1152" i="208"/>
  <c r="G1140" i="208"/>
  <c r="G1128" i="208"/>
  <c r="G1116" i="208"/>
  <c r="F1116" i="208" s="1"/>
  <c r="T1116" i="208" s="1"/>
  <c r="G1104" i="208"/>
  <c r="G1092" i="208"/>
  <c r="F1092" i="208" s="1"/>
  <c r="T1092" i="208" s="1"/>
  <c r="G1080" i="208"/>
  <c r="G1068" i="208"/>
  <c r="G1056" i="208"/>
  <c r="G1044" i="208"/>
  <c r="G1032" i="208"/>
  <c r="V1032" i="208" s="1"/>
  <c r="G1020" i="208"/>
  <c r="G1008" i="208"/>
  <c r="G996" i="208"/>
  <c r="G984" i="208"/>
  <c r="G972" i="208"/>
  <c r="V972" i="208" s="1"/>
  <c r="G960" i="208"/>
  <c r="G948" i="208"/>
  <c r="AF948" i="208" s="1"/>
  <c r="G936" i="208"/>
  <c r="G924" i="208"/>
  <c r="G912" i="208"/>
  <c r="AF912" i="208" s="1"/>
  <c r="G900" i="208"/>
  <c r="G888" i="208"/>
  <c r="F888" i="208" s="1"/>
  <c r="T888" i="208" s="1"/>
  <c r="G876" i="208"/>
  <c r="G864" i="208"/>
  <c r="G852" i="208"/>
  <c r="G840" i="208"/>
  <c r="G828" i="208"/>
  <c r="F828" i="208" s="1"/>
  <c r="T828" i="208" s="1"/>
  <c r="G816" i="208"/>
  <c r="G804" i="208"/>
  <c r="F804" i="208" s="1"/>
  <c r="T804" i="208" s="1"/>
  <c r="G792" i="208"/>
  <c r="G780" i="208"/>
  <c r="G768" i="208"/>
  <c r="F768" i="208" s="1"/>
  <c r="T768" i="208" s="1"/>
  <c r="G756" i="208"/>
  <c r="G744" i="208"/>
  <c r="AF744" i="208" s="1"/>
  <c r="G732" i="208"/>
  <c r="G720" i="208"/>
  <c r="G708" i="208"/>
  <c r="G696" i="208"/>
  <c r="G684" i="208"/>
  <c r="AF684" i="208" s="1"/>
  <c r="G672" i="208"/>
  <c r="F672" i="208" s="1"/>
  <c r="T672" i="208" s="1"/>
  <c r="G660" i="208"/>
  <c r="V660" i="208" s="1"/>
  <c r="G648" i="208"/>
  <c r="G636" i="208"/>
  <c r="G624" i="208"/>
  <c r="F624" i="208" s="1"/>
  <c r="T624" i="208" s="1"/>
  <c r="G612" i="208"/>
  <c r="G600" i="208"/>
  <c r="AF600" i="208" s="1"/>
  <c r="G588" i="208"/>
  <c r="G576" i="208"/>
  <c r="G564" i="208"/>
  <c r="G552" i="208"/>
  <c r="G540" i="208"/>
  <c r="AF540" i="208" s="1"/>
  <c r="G528" i="208"/>
  <c r="V528" i="208" s="1"/>
  <c r="G516" i="208"/>
  <c r="AA516" i="208" s="1"/>
  <c r="G504" i="208"/>
  <c r="G492" i="208"/>
  <c r="G480" i="208"/>
  <c r="AB480" i="208" s="1"/>
  <c r="G468" i="208"/>
  <c r="G456" i="208"/>
  <c r="F456" i="208" s="1"/>
  <c r="T456" i="208" s="1"/>
  <c r="G444" i="208"/>
  <c r="G432" i="208"/>
  <c r="G420" i="208"/>
  <c r="G408" i="208"/>
  <c r="G396" i="208"/>
  <c r="G384" i="208"/>
  <c r="V384" i="208" s="1"/>
  <c r="G372" i="208"/>
  <c r="AF372" i="208" s="1"/>
  <c r="G360" i="208"/>
  <c r="G348" i="208"/>
  <c r="G336" i="208"/>
  <c r="V336" i="208" s="1"/>
  <c r="G324" i="208"/>
  <c r="G312" i="208"/>
  <c r="V312" i="208" s="1"/>
  <c r="X157" i="208"/>
  <c r="X145" i="208"/>
  <c r="X133" i="208"/>
  <c r="X121" i="208"/>
  <c r="X109" i="208"/>
  <c r="X97" i="208"/>
  <c r="X85" i="208"/>
  <c r="X73" i="208"/>
  <c r="X61" i="208"/>
  <c r="G2427" i="208"/>
  <c r="G2343" i="208"/>
  <c r="G1611" i="208"/>
  <c r="AF1611" i="208" s="1"/>
  <c r="G1551" i="208"/>
  <c r="G1503" i="208"/>
  <c r="G1491" i="208"/>
  <c r="G1455" i="208"/>
  <c r="G1215" i="208"/>
  <c r="AA1215" i="208" s="1"/>
  <c r="G1047" i="208"/>
  <c r="G879" i="208"/>
  <c r="F879" i="208" s="1"/>
  <c r="T879" i="208" s="1"/>
  <c r="G747" i="208"/>
  <c r="G2993" i="208"/>
  <c r="G2981" i="208"/>
  <c r="G2969" i="208"/>
  <c r="G2957" i="208"/>
  <c r="F2957" i="208" s="1"/>
  <c r="T2957" i="208" s="1"/>
  <c r="G2945" i="208"/>
  <c r="G2933" i="208"/>
  <c r="G2921" i="208"/>
  <c r="G2909" i="208"/>
  <c r="G2897" i="208"/>
  <c r="G2885" i="208"/>
  <c r="G2873" i="208"/>
  <c r="AF2873" i="208" s="1"/>
  <c r="G2861" i="208"/>
  <c r="G2849" i="208"/>
  <c r="G2837" i="208"/>
  <c r="G2825" i="208"/>
  <c r="G2813" i="208"/>
  <c r="AB2813" i="208" s="1"/>
  <c r="G2801" i="208"/>
  <c r="G2789" i="208"/>
  <c r="G2777" i="208"/>
  <c r="G2765" i="208"/>
  <c r="G2753" i="208"/>
  <c r="V2753" i="208" s="1"/>
  <c r="G2741" i="208"/>
  <c r="G2729" i="208"/>
  <c r="V2729" i="208" s="1"/>
  <c r="G2717" i="208"/>
  <c r="G2705" i="208"/>
  <c r="G2693" i="208"/>
  <c r="G2681" i="208"/>
  <c r="G2669" i="208"/>
  <c r="V2669" i="208" s="1"/>
  <c r="G2657" i="208"/>
  <c r="G2645" i="208"/>
  <c r="G2633" i="208"/>
  <c r="G2621" i="208"/>
  <c r="G2609" i="208"/>
  <c r="G2597" i="208"/>
  <c r="G2585" i="208"/>
  <c r="AB2585" i="208" s="1"/>
  <c r="G2573" i="208"/>
  <c r="G2561" i="208"/>
  <c r="G2549" i="208"/>
  <c r="G2537" i="208"/>
  <c r="G2525" i="208"/>
  <c r="AE2525" i="208" s="1"/>
  <c r="G2513" i="208"/>
  <c r="G2501" i="208"/>
  <c r="G2489" i="208"/>
  <c r="G2477" i="208"/>
  <c r="G2465" i="208"/>
  <c r="F2465" i="208" s="1"/>
  <c r="T2465" i="208" s="1"/>
  <c r="G2453" i="208"/>
  <c r="G2441" i="208"/>
  <c r="F2441" i="208" s="1"/>
  <c r="T2441" i="208" s="1"/>
  <c r="G2429" i="208"/>
  <c r="G2417" i="208"/>
  <c r="G2405" i="208"/>
  <c r="G2393" i="208"/>
  <c r="G2381" i="208"/>
  <c r="F2381" i="208" s="1"/>
  <c r="T2381" i="208" s="1"/>
  <c r="G2369" i="208"/>
  <c r="G2357" i="208"/>
  <c r="G2345" i="208"/>
  <c r="G2333" i="208"/>
  <c r="G2321" i="208"/>
  <c r="G2309" i="208"/>
  <c r="G2297" i="208"/>
  <c r="AA2297" i="208" s="1"/>
  <c r="G2285" i="208"/>
  <c r="G2273" i="208"/>
  <c r="G2261" i="208"/>
  <c r="G2249" i="208"/>
  <c r="G2237" i="208"/>
  <c r="V2237" i="208" s="1"/>
  <c r="G2225" i="208"/>
  <c r="G2213" i="208"/>
  <c r="G2201" i="208"/>
  <c r="G2189" i="208"/>
  <c r="G2177" i="208"/>
  <c r="V2177" i="208" s="1"/>
  <c r="G2165" i="208"/>
  <c r="G2153" i="208"/>
  <c r="AB2153" i="208" s="1"/>
  <c r="G2141" i="208"/>
  <c r="G2129" i="208"/>
  <c r="G2117" i="208"/>
  <c r="G2105" i="208"/>
  <c r="G2093" i="208"/>
  <c r="V2093" i="208" s="1"/>
  <c r="G2081" i="208"/>
  <c r="G2069" i="208"/>
  <c r="G2057" i="208"/>
  <c r="G2045" i="208"/>
  <c r="G2033" i="208"/>
  <c r="G2021" i="208"/>
  <c r="G2009" i="208"/>
  <c r="V2009" i="208" s="1"/>
  <c r="G1997" i="208"/>
  <c r="G1985" i="208"/>
  <c r="G1973" i="208"/>
  <c r="G1961" i="208"/>
  <c r="G1949" i="208"/>
  <c r="V1949" i="208" s="1"/>
  <c r="G1937" i="208"/>
  <c r="G1925" i="208"/>
  <c r="G1913" i="208"/>
  <c r="G1901" i="208"/>
  <c r="G1889" i="208"/>
  <c r="G1877" i="208"/>
  <c r="G1865" i="208"/>
  <c r="V1865" i="208" s="1"/>
  <c r="G1853" i="208"/>
  <c r="G1841" i="208"/>
  <c r="G1829" i="208"/>
  <c r="G1817" i="208"/>
  <c r="G1805" i="208"/>
  <c r="AA1805" i="208" s="1"/>
  <c r="G1793" i="208"/>
  <c r="G1781" i="208"/>
  <c r="G1769" i="208"/>
  <c r="G1757" i="208"/>
  <c r="G1745" i="208"/>
  <c r="V1745" i="208" s="1"/>
  <c r="G1733" i="208"/>
  <c r="G1721" i="208"/>
  <c r="F1721" i="208" s="1"/>
  <c r="T1721" i="208" s="1"/>
  <c r="G1709" i="208"/>
  <c r="G1697" i="208"/>
  <c r="G1685" i="208"/>
  <c r="G1673" i="208"/>
  <c r="G1661" i="208"/>
  <c r="V1661" i="208" s="1"/>
  <c r="G1649" i="208"/>
  <c r="G1637" i="208"/>
  <c r="G1625" i="208"/>
  <c r="G1613" i="208"/>
  <c r="G1601" i="208"/>
  <c r="V1601" i="208" s="1"/>
  <c r="G1589" i="208"/>
  <c r="G1577" i="208"/>
  <c r="V1577" i="208" s="1"/>
  <c r="G1565" i="208"/>
  <c r="G1553" i="208"/>
  <c r="G1541" i="208"/>
  <c r="G1529" i="208"/>
  <c r="G1517" i="208"/>
  <c r="AB1517" i="208" s="1"/>
  <c r="G1505" i="208"/>
  <c r="G1493" i="208"/>
  <c r="G1481" i="208"/>
  <c r="G1469" i="208"/>
  <c r="G1457" i="208"/>
  <c r="F1457" i="208" s="1"/>
  <c r="T1457" i="208" s="1"/>
  <c r="G1445" i="208"/>
  <c r="G1433" i="208"/>
  <c r="V1433" i="208" s="1"/>
  <c r="G1421" i="208"/>
  <c r="G1409" i="208"/>
  <c r="G1397" i="208"/>
  <c r="G1385" i="208"/>
  <c r="G1373" i="208"/>
  <c r="AE1373" i="208" s="1"/>
  <c r="G1361" i="208"/>
  <c r="G1349" i="208"/>
  <c r="G1337" i="208"/>
  <c r="G1325" i="208"/>
  <c r="G1313" i="208"/>
  <c r="AA1313" i="208" s="1"/>
  <c r="G1301" i="208"/>
  <c r="G1289" i="208"/>
  <c r="AF1289" i="208" s="1"/>
  <c r="G1277" i="208"/>
  <c r="G1265" i="208"/>
  <c r="G1253" i="208"/>
  <c r="G1241" i="208"/>
  <c r="G1229" i="208"/>
  <c r="V1229" i="208" s="1"/>
  <c r="G1217" i="208"/>
  <c r="G1205" i="208"/>
  <c r="G1193" i="208"/>
  <c r="G1181" i="208"/>
  <c r="G1169" i="208"/>
  <c r="V1169" i="208" s="1"/>
  <c r="G1157" i="208"/>
  <c r="G1145" i="208"/>
  <c r="AB1145" i="208" s="1"/>
  <c r="G1133" i="208"/>
  <c r="G1121" i="208"/>
  <c r="G1109" i="208"/>
  <c r="G1097" i="208"/>
  <c r="G1085" i="208"/>
  <c r="V1085" i="208" s="1"/>
  <c r="G1073" i="208"/>
  <c r="G1061" i="208"/>
  <c r="G1049" i="208"/>
  <c r="G1037" i="208"/>
  <c r="G1025" i="208"/>
  <c r="G1013" i="208"/>
  <c r="G1001" i="208"/>
  <c r="AB1001" i="208" s="1"/>
  <c r="G989" i="208"/>
  <c r="G977" i="208"/>
  <c r="G965" i="208"/>
  <c r="AF965" i="208" s="1"/>
  <c r="G953" i="208"/>
  <c r="G941" i="208"/>
  <c r="AB941" i="208" s="1"/>
  <c r="G929" i="208"/>
  <c r="G917" i="208"/>
  <c r="G905" i="208"/>
  <c r="G893" i="208"/>
  <c r="G881" i="208"/>
  <c r="G869" i="208"/>
  <c r="G857" i="208"/>
  <c r="AB857" i="208" s="1"/>
  <c r="G845" i="208"/>
  <c r="G833" i="208"/>
  <c r="G821" i="208"/>
  <c r="AB821" i="208" s="1"/>
  <c r="G809" i="208"/>
  <c r="G797" i="208"/>
  <c r="AB797" i="208" s="1"/>
  <c r="G785" i="208"/>
  <c r="G773" i="208"/>
  <c r="G761" i="208"/>
  <c r="G749" i="208"/>
  <c r="G737" i="208"/>
  <c r="V737" i="208" s="1"/>
  <c r="G725" i="208"/>
  <c r="G713" i="208"/>
  <c r="AB713" i="208" s="1"/>
  <c r="G701" i="208"/>
  <c r="G689" i="208"/>
  <c r="G677" i="208"/>
  <c r="AF677" i="208" s="1"/>
  <c r="G665" i="208"/>
  <c r="G653" i="208"/>
  <c r="AB653" i="208" s="1"/>
  <c r="G641" i="208"/>
  <c r="G629" i="208"/>
  <c r="G617" i="208"/>
  <c r="G605" i="208"/>
  <c r="G593" i="208"/>
  <c r="V593" i="208" s="1"/>
  <c r="G581" i="208"/>
  <c r="AA581" i="208" s="1"/>
  <c r="G569" i="208"/>
  <c r="AF569" i="208" s="1"/>
  <c r="G557" i="208"/>
  <c r="G545" i="208"/>
  <c r="G533" i="208"/>
  <c r="AF533" i="208" s="1"/>
  <c r="G521" i="208"/>
  <c r="G509" i="208"/>
  <c r="V509" i="208" s="1"/>
  <c r="G497" i="208"/>
  <c r="G485" i="208"/>
  <c r="G473" i="208"/>
  <c r="G461" i="208"/>
  <c r="G449" i="208"/>
  <c r="F449" i="208" s="1"/>
  <c r="T449" i="208" s="1"/>
  <c r="G437" i="208"/>
  <c r="AE437" i="208" s="1"/>
  <c r="G425" i="208"/>
  <c r="AE425" i="208" s="1"/>
  <c r="G413" i="208"/>
  <c r="G401" i="208"/>
  <c r="G389" i="208"/>
  <c r="AF389" i="208" s="1"/>
  <c r="G377" i="208"/>
  <c r="G365" i="208"/>
  <c r="AB365" i="208" s="1"/>
  <c r="G353" i="208"/>
  <c r="G341" i="208"/>
  <c r="G329" i="208"/>
  <c r="G317" i="208"/>
  <c r="X58" i="208"/>
  <c r="X49" i="208"/>
  <c r="X37" i="208"/>
  <c r="X25" i="208"/>
  <c r="X13" i="208"/>
  <c r="G2751" i="208"/>
  <c r="G2451" i="208"/>
  <c r="G2355" i="208"/>
  <c r="F2355" i="208" s="1"/>
  <c r="T2355" i="208" s="1"/>
  <c r="G2211" i="208"/>
  <c r="G2163" i="208"/>
  <c r="G2127" i="208"/>
  <c r="G1935" i="208"/>
  <c r="G1875" i="208"/>
  <c r="V1875" i="208" s="1"/>
  <c r="G1203" i="208"/>
  <c r="G1023" i="208"/>
  <c r="AF1023" i="208" s="1"/>
  <c r="G915" i="208"/>
  <c r="G903" i="208"/>
  <c r="G783" i="208"/>
  <c r="F783" i="208" s="1"/>
  <c r="T783" i="208" s="1"/>
  <c r="G723" i="208"/>
  <c r="G579" i="208"/>
  <c r="V579" i="208" s="1"/>
  <c r="G483" i="208"/>
  <c r="G447" i="208"/>
  <c r="G435" i="208"/>
  <c r="G2998" i="208"/>
  <c r="G2986" i="208"/>
  <c r="F2986" i="208" s="1"/>
  <c r="T2986" i="208" s="1"/>
  <c r="G2974" i="208"/>
  <c r="G2962" i="208"/>
  <c r="AF2962" i="208" s="1"/>
  <c r="G2950" i="208"/>
  <c r="G2938" i="208"/>
  <c r="G2926" i="208"/>
  <c r="G2914" i="208"/>
  <c r="G2902" i="208"/>
  <c r="V2902" i="208" s="1"/>
  <c r="G2890" i="208"/>
  <c r="G2878" i="208"/>
  <c r="G2866" i="208"/>
  <c r="G2854" i="208"/>
  <c r="G2842" i="208"/>
  <c r="G2830" i="208"/>
  <c r="G2818" i="208"/>
  <c r="AF2818" i="208" s="1"/>
  <c r="G2806" i="208"/>
  <c r="G2794" i="208"/>
  <c r="G2782" i="208"/>
  <c r="G2770" i="208"/>
  <c r="G2758" i="208"/>
  <c r="V2758" i="208" s="1"/>
  <c r="G2746" i="208"/>
  <c r="G2734" i="208"/>
  <c r="G2722" i="208"/>
  <c r="G2710" i="208"/>
  <c r="G2698" i="208"/>
  <c r="F2698" i="208" s="1"/>
  <c r="T2698" i="208" s="1"/>
  <c r="G2686" i="208"/>
  <c r="G2674" i="208"/>
  <c r="F2674" i="208" s="1"/>
  <c r="T2674" i="208" s="1"/>
  <c r="G2662" i="208"/>
  <c r="G2650" i="208"/>
  <c r="G2638" i="208"/>
  <c r="G2626" i="208"/>
  <c r="G2614" i="208"/>
  <c r="V2614" i="208" s="1"/>
  <c r="G2602" i="208"/>
  <c r="G2590" i="208"/>
  <c r="G2578" i="208"/>
  <c r="G2566" i="208"/>
  <c r="G2554" i="208"/>
  <c r="G2542" i="208"/>
  <c r="G2530" i="208"/>
  <c r="AF2530" i="208" s="1"/>
  <c r="G2518" i="208"/>
  <c r="G2506" i="208"/>
  <c r="G2494" i="208"/>
  <c r="G2482" i="208"/>
  <c r="G2470" i="208"/>
  <c r="AE2470" i="208" s="1"/>
  <c r="G2458" i="208"/>
  <c r="G2446" i="208"/>
  <c r="G2434" i="208"/>
  <c r="G2422" i="208"/>
  <c r="G2410" i="208"/>
  <c r="G2398" i="208"/>
  <c r="G2386" i="208"/>
  <c r="V2386" i="208" s="1"/>
  <c r="G2374" i="208"/>
  <c r="G2362" i="208"/>
  <c r="G2350" i="208"/>
  <c r="G2338" i="208"/>
  <c r="G2326" i="208"/>
  <c r="V2326" i="208" s="1"/>
  <c r="G2314" i="208"/>
  <c r="G2302" i="208"/>
  <c r="G2290" i="208"/>
  <c r="G2278" i="208"/>
  <c r="G2266" i="208"/>
  <c r="G2254" i="208"/>
  <c r="G2242" i="208"/>
  <c r="AF2242" i="208" s="1"/>
  <c r="G2230" i="208"/>
  <c r="G2218" i="208"/>
  <c r="G2206" i="208"/>
  <c r="G2194" i="208"/>
  <c r="G2182" i="208"/>
  <c r="F2182" i="208" s="1"/>
  <c r="T2182" i="208" s="1"/>
  <c r="G2170" i="208"/>
  <c r="G2158" i="208"/>
  <c r="G2146" i="208"/>
  <c r="G2134" i="208"/>
  <c r="G2122" i="208"/>
  <c r="V2122" i="208" s="1"/>
  <c r="G2110" i="208"/>
  <c r="G2098" i="208"/>
  <c r="AF2098" i="208" s="1"/>
  <c r="G2086" i="208"/>
  <c r="G2074" i="208"/>
  <c r="G2062" i="208"/>
  <c r="G2050" i="208"/>
  <c r="G2038" i="208"/>
  <c r="F2038" i="208" s="1"/>
  <c r="T2038" i="208" s="1"/>
  <c r="G2026" i="208"/>
  <c r="G2014" i="208"/>
  <c r="G2002" i="208"/>
  <c r="G1990" i="208"/>
  <c r="G1978" i="208"/>
  <c r="V1978" i="208" s="1"/>
  <c r="G1966" i="208"/>
  <c r="G1954" i="208"/>
  <c r="V1954" i="208" s="1"/>
  <c r="G1942" i="208"/>
  <c r="G1930" i="208"/>
  <c r="G1918" i="208"/>
  <c r="G1906" i="208"/>
  <c r="G1894" i="208"/>
  <c r="V1894" i="208" s="1"/>
  <c r="G1882" i="208"/>
  <c r="G1870" i="208"/>
  <c r="G1858" i="208"/>
  <c r="G1846" i="208"/>
  <c r="G1834" i="208"/>
  <c r="G1822" i="208"/>
  <c r="G1810" i="208"/>
  <c r="AF1810" i="208" s="1"/>
  <c r="G1798" i="208"/>
  <c r="G1786" i="208"/>
  <c r="G1774" i="208"/>
  <c r="G1762" i="208"/>
  <c r="G1750" i="208"/>
  <c r="V1750" i="208" s="1"/>
  <c r="G1738" i="208"/>
  <c r="G1726" i="208"/>
  <c r="G1714" i="208"/>
  <c r="G1702" i="208"/>
  <c r="G1690" i="208"/>
  <c r="G1678" i="208"/>
  <c r="G1666" i="208"/>
  <c r="AF1666" i="208" s="1"/>
  <c r="G1654" i="208"/>
  <c r="G1642" i="208"/>
  <c r="G1630" i="208"/>
  <c r="G1618" i="208"/>
  <c r="G1606" i="208"/>
  <c r="AE1606" i="208" s="1"/>
  <c r="G1594" i="208"/>
  <c r="G1582" i="208"/>
  <c r="G1570" i="208"/>
  <c r="G1558" i="208"/>
  <c r="G1546" i="208"/>
  <c r="V1546" i="208" s="1"/>
  <c r="G1534" i="208"/>
  <c r="G1522" i="208"/>
  <c r="F1522" i="208" s="1"/>
  <c r="T1522" i="208" s="1"/>
  <c r="G1510" i="208"/>
  <c r="G1498" i="208"/>
  <c r="G1486" i="208"/>
  <c r="G1474" i="208"/>
  <c r="G1462" i="208"/>
  <c r="V1462" i="208" s="1"/>
  <c r="G1450" i="208"/>
  <c r="G1438" i="208"/>
  <c r="G1426" i="208"/>
  <c r="G1414" i="208"/>
  <c r="G1402" i="208"/>
  <c r="G1390" i="208"/>
  <c r="G1378" i="208"/>
  <c r="AF1378" i="208" s="1"/>
  <c r="G1366" i="208"/>
  <c r="G1354" i="208"/>
  <c r="G1342" i="208"/>
  <c r="G1330" i="208"/>
  <c r="G1318" i="208"/>
  <c r="V1318" i="208" s="1"/>
  <c r="G1306" i="208"/>
  <c r="G1294" i="208"/>
  <c r="G1282" i="208"/>
  <c r="G1270" i="208"/>
  <c r="G1258" i="208"/>
  <c r="F1258" i="208" s="1"/>
  <c r="T1258" i="208" s="1"/>
  <c r="G1246" i="208"/>
  <c r="G1234" i="208"/>
  <c r="AF1234" i="208" s="1"/>
  <c r="G1222" i="208"/>
  <c r="G1210" i="208"/>
  <c r="G1198" i="208"/>
  <c r="G1186" i="208"/>
  <c r="G1174" i="208"/>
  <c r="AF1174" i="208" s="1"/>
  <c r="G1162" i="208"/>
  <c r="G1150" i="208"/>
  <c r="G1138" i="208"/>
  <c r="G1126" i="208"/>
  <c r="G1114" i="208"/>
  <c r="F1114" i="208" s="1"/>
  <c r="T1114" i="208" s="1"/>
  <c r="G1102" i="208"/>
  <c r="G1090" i="208"/>
  <c r="V1090" i="208" s="1"/>
  <c r="G1078" i="208"/>
  <c r="G1066" i="208"/>
  <c r="G1054" i="208"/>
  <c r="G1042" i="208"/>
  <c r="G1030" i="208"/>
  <c r="V1030" i="208" s="1"/>
  <c r="G1018" i="208"/>
  <c r="G1006" i="208"/>
  <c r="G994" i="208"/>
  <c r="G982" i="208"/>
  <c r="G970" i="208"/>
  <c r="F970" i="208" s="1"/>
  <c r="T970" i="208" s="1"/>
  <c r="G958" i="208"/>
  <c r="G946" i="208"/>
  <c r="F946" i="208" s="1"/>
  <c r="T946" i="208" s="1"/>
  <c r="G934" i="208"/>
  <c r="G922" i="208"/>
  <c r="G910" i="208"/>
  <c r="AF910" i="208" s="1"/>
  <c r="G898" i="208"/>
  <c r="G886" i="208"/>
  <c r="AE886" i="208" s="1"/>
  <c r="G874" i="208"/>
  <c r="G862" i="208"/>
  <c r="G850" i="208"/>
  <c r="G838" i="208"/>
  <c r="G826" i="208"/>
  <c r="F826" i="208" s="1"/>
  <c r="T826" i="208" s="1"/>
  <c r="G814" i="208"/>
  <c r="G802" i="208"/>
  <c r="F802" i="208" s="1"/>
  <c r="T802" i="208" s="1"/>
  <c r="G790" i="208"/>
  <c r="G778" i="208"/>
  <c r="G766" i="208"/>
  <c r="V766" i="208" s="1"/>
  <c r="G754" i="208"/>
  <c r="G742" i="208"/>
  <c r="V742" i="208" s="1"/>
  <c r="G730" i="208"/>
  <c r="G718" i="208"/>
  <c r="G706" i="208"/>
  <c r="G694" i="208"/>
  <c r="G682" i="208"/>
  <c r="F682" i="208" s="1"/>
  <c r="T682" i="208" s="1"/>
  <c r="G670" i="208"/>
  <c r="AF670" i="208" s="1"/>
  <c r="G658" i="208"/>
  <c r="F658" i="208" s="1"/>
  <c r="T658" i="208" s="1"/>
  <c r="G646" i="208"/>
  <c r="G634" i="208"/>
  <c r="G622" i="208"/>
  <c r="AE622" i="208" s="1"/>
  <c r="G610" i="208"/>
  <c r="G598" i="208"/>
  <c r="AA598" i="208" s="1"/>
  <c r="G586" i="208"/>
  <c r="G574" i="208"/>
  <c r="G562" i="208"/>
  <c r="G550" i="208"/>
  <c r="G538" i="208"/>
  <c r="F538" i="208" s="1"/>
  <c r="T538" i="208" s="1"/>
  <c r="G526" i="208"/>
  <c r="AF526" i="208" s="1"/>
  <c r="G514" i="208"/>
  <c r="V514" i="208" s="1"/>
  <c r="G502" i="208"/>
  <c r="G490" i="208"/>
  <c r="G478" i="208"/>
  <c r="AF478" i="208" s="1"/>
  <c r="G466" i="208"/>
  <c r="G454" i="208"/>
  <c r="F454" i="208" s="1"/>
  <c r="T454" i="208" s="1"/>
  <c r="G442" i="208"/>
  <c r="G430" i="208"/>
  <c r="G418" i="208"/>
  <c r="G406" i="208"/>
  <c r="G394" i="208"/>
  <c r="F394" i="208" s="1"/>
  <c r="T394" i="208" s="1"/>
  <c r="G382" i="208"/>
  <c r="AA382" i="208" s="1"/>
  <c r="G370" i="208"/>
  <c r="AA370" i="208" s="1"/>
  <c r="G358" i="208"/>
  <c r="G346" i="208"/>
  <c r="G334" i="208"/>
  <c r="AF334" i="208" s="1"/>
  <c r="G322" i="208"/>
  <c r="G310" i="208"/>
  <c r="F310" i="208" s="1"/>
  <c r="T310" i="208" s="1"/>
  <c r="X395" i="208"/>
  <c r="X335" i="208"/>
  <c r="X347" i="208"/>
  <c r="X323" i="208"/>
  <c r="X995" i="208"/>
  <c r="Z466" i="208"/>
  <c r="Z463" i="208"/>
  <c r="Z460" i="208"/>
  <c r="Z457" i="208"/>
  <c r="Z454" i="208"/>
  <c r="Z451" i="208"/>
  <c r="Z448" i="208"/>
  <c r="Z445" i="208"/>
  <c r="Z442" i="208"/>
  <c r="Z439" i="208"/>
  <c r="Z436" i="208"/>
  <c r="Z433" i="208"/>
  <c r="Z430" i="208"/>
  <c r="Z427" i="208"/>
  <c r="Z424" i="208"/>
  <c r="Z421" i="208"/>
  <c r="Z418" i="208"/>
  <c r="Z415" i="208"/>
  <c r="Z412" i="208"/>
  <c r="Z409" i="208"/>
  <c r="Z406" i="208"/>
  <c r="Z403" i="208"/>
  <c r="Z400" i="208"/>
  <c r="Z397" i="208"/>
  <c r="Z394" i="208"/>
  <c r="Z391" i="208"/>
  <c r="Z388" i="208"/>
  <c r="Z385" i="208"/>
  <c r="Z382" i="208"/>
  <c r="Z379" i="208"/>
  <c r="Z376" i="208"/>
  <c r="Z373" i="208"/>
  <c r="Z370" i="208"/>
  <c r="Z367" i="208"/>
  <c r="Z364" i="208"/>
  <c r="Z361" i="208"/>
  <c r="Z358" i="208"/>
  <c r="Z355" i="208"/>
  <c r="Z352" i="208"/>
  <c r="Z349" i="208"/>
  <c r="Z346" i="208"/>
  <c r="Z343" i="208"/>
  <c r="Z340" i="208"/>
  <c r="Z337" i="208"/>
  <c r="Z334" i="208"/>
  <c r="Z331" i="208"/>
  <c r="Z328" i="208"/>
  <c r="Z325" i="208"/>
  <c r="Z322" i="208"/>
  <c r="Z319" i="208"/>
  <c r="Z316" i="208"/>
  <c r="Z313" i="208"/>
  <c r="Z310" i="208"/>
  <c r="Z307" i="208"/>
  <c r="Z300" i="208"/>
  <c r="Z297" i="208"/>
  <c r="Z294" i="208"/>
  <c r="Z291" i="208"/>
  <c r="Z288" i="208"/>
  <c r="Z285" i="208"/>
  <c r="Z282" i="208"/>
  <c r="Z279" i="208"/>
  <c r="Z276" i="208"/>
  <c r="Z273" i="208"/>
  <c r="Z270" i="208"/>
  <c r="Z267" i="208"/>
  <c r="Z264" i="208"/>
  <c r="Z261" i="208"/>
  <c r="Z258" i="208"/>
  <c r="Z255" i="208"/>
  <c r="Z252" i="208"/>
  <c r="Z249" i="208"/>
  <c r="Z246" i="208"/>
  <c r="Z243" i="208"/>
  <c r="Z240" i="208"/>
  <c r="Z237" i="208"/>
  <c r="Z234" i="208"/>
  <c r="Z231" i="208"/>
  <c r="Z228" i="208"/>
  <c r="Z225" i="208"/>
  <c r="Z222" i="208"/>
  <c r="Z219" i="208"/>
  <c r="Z216" i="208"/>
  <c r="Z213" i="208"/>
  <c r="Z210" i="208"/>
  <c r="Z207" i="208"/>
  <c r="Z204" i="208"/>
  <c r="Z201" i="208"/>
  <c r="Z198" i="208"/>
  <c r="Z195" i="208"/>
  <c r="Z192" i="208"/>
  <c r="Z189" i="208"/>
  <c r="Z186" i="208"/>
  <c r="Z183" i="208"/>
  <c r="Z180" i="208"/>
  <c r="Z177" i="208"/>
  <c r="Z174" i="208"/>
  <c r="Z171" i="208"/>
  <c r="Z168" i="208"/>
  <c r="Z165" i="208"/>
  <c r="Z162" i="208"/>
  <c r="Z159" i="208"/>
  <c r="Z156" i="208"/>
  <c r="Z153" i="208"/>
  <c r="Z150" i="208"/>
  <c r="Z147" i="208"/>
  <c r="Z144" i="208"/>
  <c r="Z141" i="208"/>
  <c r="Z138" i="208"/>
  <c r="Z135" i="208"/>
  <c r="Z132" i="208"/>
  <c r="Z129" i="208"/>
  <c r="Z126" i="208"/>
  <c r="Z123" i="208"/>
  <c r="Z120" i="208"/>
  <c r="Z117" i="208"/>
  <c r="Z114" i="208"/>
  <c r="Z111" i="208"/>
  <c r="Z108" i="208"/>
  <c r="Z105" i="208"/>
  <c r="Z102" i="208"/>
  <c r="Z99" i="208"/>
  <c r="Z96" i="208"/>
  <c r="Z93" i="208"/>
  <c r="Z90" i="208"/>
  <c r="Z87" i="208"/>
  <c r="Z84" i="208"/>
  <c r="Z81" i="208"/>
  <c r="Z78" i="208"/>
  <c r="Z75" i="208"/>
  <c r="Z72" i="208"/>
  <c r="Z69" i="208"/>
  <c r="Z66" i="208"/>
  <c r="Z63" i="208"/>
  <c r="Z60" i="208"/>
  <c r="Z57" i="208"/>
  <c r="Z54" i="208"/>
  <c r="Z51" i="208"/>
  <c r="Z48" i="208"/>
  <c r="Z45" i="208"/>
  <c r="Z42" i="208"/>
  <c r="Z39" i="208"/>
  <c r="Z36" i="208"/>
  <c r="Z33" i="208"/>
  <c r="Z30" i="208"/>
  <c r="Z27" i="208"/>
  <c r="Z24" i="208"/>
  <c r="Z21" i="208"/>
  <c r="Z18" i="208"/>
  <c r="Z15" i="208"/>
  <c r="Z12" i="208"/>
  <c r="Z9" i="208"/>
  <c r="Z6" i="208"/>
  <c r="Z362" i="208"/>
  <c r="Z359" i="208"/>
  <c r="Z356" i="208"/>
  <c r="Z353" i="208"/>
  <c r="Z350" i="208"/>
  <c r="Z347" i="208"/>
  <c r="Z344" i="208"/>
  <c r="Z341" i="208"/>
  <c r="Z338" i="208"/>
  <c r="Z335" i="208"/>
  <c r="Z332" i="208"/>
  <c r="Z329" i="208"/>
  <c r="Z326" i="208"/>
  <c r="Z323" i="208"/>
  <c r="Z320" i="208"/>
  <c r="Z317" i="208"/>
  <c r="Z314" i="208"/>
  <c r="Z311" i="208"/>
  <c r="Z308" i="208"/>
  <c r="Z301" i="208"/>
  <c r="Z298" i="208"/>
  <c r="Z295" i="208"/>
  <c r="Z292" i="208"/>
  <c r="Z289" i="208"/>
  <c r="Z286" i="208"/>
  <c r="Z283" i="208"/>
  <c r="Z280" i="208"/>
  <c r="Z277" i="208"/>
  <c r="Z274" i="208"/>
  <c r="Z271" i="208"/>
  <c r="Z268" i="208"/>
  <c r="Z265" i="208"/>
  <c r="Z262" i="208"/>
  <c r="Z259" i="208"/>
  <c r="Z256" i="208"/>
  <c r="Z253" i="208"/>
  <c r="Z250" i="208"/>
  <c r="Z247" i="208"/>
  <c r="Z244" i="208"/>
  <c r="Z241" i="208"/>
  <c r="Z238" i="208"/>
  <c r="Z235" i="208"/>
  <c r="Z232" i="208"/>
  <c r="Z229" i="208"/>
  <c r="Z226" i="208"/>
  <c r="Z223" i="208"/>
  <c r="Z220" i="208"/>
  <c r="Z217" i="208"/>
  <c r="Z214" i="208"/>
  <c r="Z211" i="208"/>
  <c r="Z208" i="208"/>
  <c r="Z205" i="208"/>
  <c r="Z202" i="208"/>
  <c r="Z199" i="208"/>
  <c r="Z196" i="208"/>
  <c r="Z193" i="208"/>
  <c r="Z190" i="208"/>
  <c r="Z187" i="208"/>
  <c r="Z184" i="208"/>
  <c r="Z181" i="208"/>
  <c r="Z178" i="208"/>
  <c r="Z175" i="208"/>
  <c r="Z172" i="208"/>
  <c r="Z169" i="208"/>
  <c r="Z166" i="208"/>
  <c r="Z163" i="208"/>
  <c r="Z160" i="208"/>
  <c r="Z157" i="208"/>
  <c r="Z154" i="208"/>
  <c r="Z151" i="208"/>
  <c r="Z148" i="208"/>
  <c r="Z145" i="208"/>
  <c r="Z142" i="208"/>
  <c r="Z139" i="208"/>
  <c r="Z136" i="208"/>
  <c r="Z133" i="208"/>
  <c r="Z130" i="208"/>
  <c r="Z127" i="208"/>
  <c r="Z124" i="208"/>
  <c r="Z121" i="208"/>
  <c r="Z118" i="208"/>
  <c r="Z115" i="208"/>
  <c r="Z112" i="208"/>
  <c r="Z109" i="208"/>
  <c r="Z106" i="208"/>
  <c r="Z103" i="208"/>
  <c r="Z100" i="208"/>
  <c r="Z97" i="208"/>
  <c r="Z94" i="208"/>
  <c r="Z91" i="208"/>
  <c r="Z88" i="208"/>
  <c r="Z85" i="208"/>
  <c r="Z82" i="208"/>
  <c r="Z79" i="208"/>
  <c r="Z76" i="208"/>
  <c r="Z73" i="208"/>
  <c r="Z70" i="208"/>
  <c r="Z67" i="208"/>
  <c r="Z64" i="208"/>
  <c r="Z61" i="208"/>
  <c r="Z58" i="208"/>
  <c r="Z55" i="208"/>
  <c r="Z52" i="208"/>
  <c r="Z49" i="208"/>
  <c r="Z46" i="208"/>
  <c r="Z43" i="208"/>
  <c r="Z40" i="208"/>
  <c r="Z37" i="208"/>
  <c r="Z34" i="208"/>
  <c r="Z31" i="208"/>
  <c r="Z28" i="208"/>
  <c r="Z25" i="208"/>
  <c r="Z22" i="208"/>
  <c r="Z19" i="208"/>
  <c r="Z16" i="208"/>
  <c r="Z13" i="208"/>
  <c r="Z10" i="208"/>
  <c r="Z7" i="208"/>
  <c r="Z4" i="208"/>
  <c r="X1931" i="208"/>
  <c r="X1859" i="208"/>
  <c r="Z2993" i="208"/>
  <c r="Z2987" i="208"/>
  <c r="Z2978" i="208"/>
  <c r="Z2975" i="208"/>
  <c r="Z2966" i="208"/>
  <c r="Z2960" i="208"/>
  <c r="Z2954" i="208"/>
  <c r="Z2951" i="208"/>
  <c r="Z2945" i="208"/>
  <c r="Z2939" i="208"/>
  <c r="Z2933" i="208"/>
  <c r="Z2927" i="208"/>
  <c r="Z2921" i="208"/>
  <c r="Z2915" i="208"/>
  <c r="Z2906" i="208"/>
  <c r="Z2900" i="208"/>
  <c r="Z2894" i="208"/>
  <c r="Z2888" i="208"/>
  <c r="Z2885" i="208"/>
  <c r="Z2876" i="208"/>
  <c r="Z2867" i="208"/>
  <c r="Z2864" i="208"/>
  <c r="Z2855" i="208"/>
  <c r="Z2852" i="208"/>
  <c r="Z2843" i="208"/>
  <c r="Z2837" i="208"/>
  <c r="Z2831" i="208"/>
  <c r="Z2825" i="208"/>
  <c r="Z2822" i="208"/>
  <c r="Z2813" i="208"/>
  <c r="Z2807" i="208"/>
  <c r="Z2801" i="208"/>
  <c r="Z2795" i="208"/>
  <c r="Z2786" i="208"/>
  <c r="Z2780" i="208"/>
  <c r="Z2774" i="208"/>
  <c r="Z2768" i="208"/>
  <c r="Z2762" i="208"/>
  <c r="Z2756" i="208"/>
  <c r="Z2750" i="208"/>
  <c r="Z2738" i="208"/>
  <c r="Z2735" i="208"/>
  <c r="Z2723" i="208"/>
  <c r="Z2720" i="208"/>
  <c r="Z2714" i="208"/>
  <c r="Z2708" i="208"/>
  <c r="Z2702" i="208"/>
  <c r="Z2696" i="208"/>
  <c r="Z2690" i="208"/>
  <c r="Z2684" i="208"/>
  <c r="Z2678" i="208"/>
  <c r="Z2669" i="208"/>
  <c r="Z2666" i="208"/>
  <c r="Z2660" i="208"/>
  <c r="Z2654" i="208"/>
  <c r="Z2645" i="208"/>
  <c r="Z2642" i="208"/>
  <c r="Z2633" i="208"/>
  <c r="Z2630" i="208"/>
  <c r="Z2618" i="208"/>
  <c r="Z2615" i="208"/>
  <c r="Z2612" i="208"/>
  <c r="Z2603" i="208"/>
  <c r="Z2600" i="208"/>
  <c r="Z2591" i="208"/>
  <c r="Z2588" i="208"/>
  <c r="Z2582" i="208"/>
  <c r="Z2579" i="208"/>
  <c r="Z2576" i="208"/>
  <c r="Z2573" i="208"/>
  <c r="Z2567" i="208"/>
  <c r="Z2564" i="208"/>
  <c r="Z2558" i="208"/>
  <c r="Z2555" i="208"/>
  <c r="Z2552" i="208"/>
  <c r="Z2549" i="208"/>
  <c r="Z2546" i="208"/>
  <c r="Z2543" i="208"/>
  <c r="Z2540" i="208"/>
  <c r="Z2537" i="208"/>
  <c r="Z2534" i="208"/>
  <c r="Z2531" i="208"/>
  <c r="Z2528" i="208"/>
  <c r="Z2525" i="208"/>
  <c r="Z2522" i="208"/>
  <c r="Z2519" i="208"/>
  <c r="Z2516" i="208"/>
  <c r="Z2513" i="208"/>
  <c r="Z2510" i="208"/>
  <c r="Z2507" i="208"/>
  <c r="Z2504" i="208"/>
  <c r="Z2501" i="208"/>
  <c r="Z2498" i="208"/>
  <c r="Z2495" i="208"/>
  <c r="Z2492" i="208"/>
  <c r="Z2489" i="208"/>
  <c r="Z2486" i="208"/>
  <c r="Z2483" i="208"/>
  <c r="Z2477" i="208"/>
  <c r="Z2474" i="208"/>
  <c r="Z2471" i="208"/>
  <c r="Z2468" i="208"/>
  <c r="Z2465" i="208"/>
  <c r="Z2462" i="208"/>
  <c r="Z2459" i="208"/>
  <c r="Z2456" i="208"/>
  <c r="Z2453" i="208"/>
  <c r="Z2450" i="208"/>
  <c r="Z2447" i="208"/>
  <c r="Z2444" i="208"/>
  <c r="Z2441" i="208"/>
  <c r="Z2438" i="208"/>
  <c r="Z2435" i="208"/>
  <c r="Z2432" i="208"/>
  <c r="Z2429" i="208"/>
  <c r="Z2426" i="208"/>
  <c r="Z2423" i="208"/>
  <c r="Z2420" i="208"/>
  <c r="Z2417" i="208"/>
  <c r="Z2414" i="208"/>
  <c r="Z2411" i="208"/>
  <c r="Z2408" i="208"/>
  <c r="Z2405" i="208"/>
  <c r="Z2402" i="208"/>
  <c r="Z2399" i="208"/>
  <c r="Z2396" i="208"/>
  <c r="Z2393" i="208"/>
  <c r="Z2390" i="208"/>
  <c r="Z2387" i="208"/>
  <c r="Z2384" i="208"/>
  <c r="Z2381" i="208"/>
  <c r="Z2378" i="208"/>
  <c r="Z2375" i="208"/>
  <c r="Z2372" i="208"/>
  <c r="Z2369" i="208"/>
  <c r="Z2366" i="208"/>
  <c r="Z2363" i="208"/>
  <c r="Z2360" i="208"/>
  <c r="Z2357" i="208"/>
  <c r="Z2354" i="208"/>
  <c r="Z2351" i="208"/>
  <c r="Z2348" i="208"/>
  <c r="Z2345" i="208"/>
  <c r="Z2342" i="208"/>
  <c r="Z2339" i="208"/>
  <c r="Z2336" i="208"/>
  <c r="Z2333" i="208"/>
  <c r="Z2330" i="208"/>
  <c r="Z2327" i="208"/>
  <c r="Z2324" i="208"/>
  <c r="Z2321" i="208"/>
  <c r="Z2318" i="208"/>
  <c r="Z2315" i="208"/>
  <c r="Z304" i="208"/>
  <c r="Z2999" i="208"/>
  <c r="Z2996" i="208"/>
  <c r="Z2990" i="208"/>
  <c r="Z2984" i="208"/>
  <c r="Z2981" i="208"/>
  <c r="Z2972" i="208"/>
  <c r="Z2969" i="208"/>
  <c r="Z2963" i="208"/>
  <c r="Z2957" i="208"/>
  <c r="Z2948" i="208"/>
  <c r="Z2942" i="208"/>
  <c r="Z2936" i="208"/>
  <c r="Z2930" i="208"/>
  <c r="Z2924" i="208"/>
  <c r="Z2918" i="208"/>
  <c r="Z2912" i="208"/>
  <c r="Z2909" i="208"/>
  <c r="Z2903" i="208"/>
  <c r="Z2897" i="208"/>
  <c r="Z2891" i="208"/>
  <c r="Z2882" i="208"/>
  <c r="Z2879" i="208"/>
  <c r="Z2873" i="208"/>
  <c r="Z2870" i="208"/>
  <c r="Z2861" i="208"/>
  <c r="Z2858" i="208"/>
  <c r="Z2849" i="208"/>
  <c r="Z2846" i="208"/>
  <c r="Z2840" i="208"/>
  <c r="Z2834" i="208"/>
  <c r="Z2828" i="208"/>
  <c r="Z2819" i="208"/>
  <c r="Z2816" i="208"/>
  <c r="Z2810" i="208"/>
  <c r="Z2804" i="208"/>
  <c r="Z2798" i="208"/>
  <c r="Z2792" i="208"/>
  <c r="Z2789" i="208"/>
  <c r="Z2783" i="208"/>
  <c r="Z2777" i="208"/>
  <c r="Z2771" i="208"/>
  <c r="Z2765" i="208"/>
  <c r="Z2759" i="208"/>
  <c r="Z2753" i="208"/>
  <c r="Z2747" i="208"/>
  <c r="Z2744" i="208"/>
  <c r="Z2741" i="208"/>
  <c r="Z2732" i="208"/>
  <c r="Z2729" i="208"/>
  <c r="Z2726" i="208"/>
  <c r="Z2717" i="208"/>
  <c r="Z2711" i="208"/>
  <c r="Z2705" i="208"/>
  <c r="Z2699" i="208"/>
  <c r="Z2693" i="208"/>
  <c r="Z2687" i="208"/>
  <c r="Z2675" i="208"/>
  <c r="Z2672" i="208"/>
  <c r="Z2663" i="208"/>
  <c r="Z2657" i="208"/>
  <c r="Z2651" i="208"/>
  <c r="Z2648" i="208"/>
  <c r="Z2639" i="208"/>
  <c r="Z2636" i="208"/>
  <c r="Z2627" i="208"/>
  <c r="Z2624" i="208"/>
  <c r="Z2621" i="208"/>
  <c r="Z2609" i="208"/>
  <c r="Z2606" i="208"/>
  <c r="Z2597" i="208"/>
  <c r="Z2594" i="208"/>
  <c r="Z2585" i="208"/>
  <c r="Z2561" i="208"/>
  <c r="Z302" i="208"/>
  <c r="Z1045" i="208"/>
  <c r="Z1042" i="208"/>
  <c r="Z1039" i="208"/>
  <c r="Z1036" i="208"/>
  <c r="Z1033" i="208"/>
  <c r="Z1030" i="208"/>
  <c r="Z1027" i="208"/>
  <c r="Z1024" i="208"/>
  <c r="Z1021" i="208"/>
  <c r="Z1018" i="208"/>
  <c r="Z1015" i="208"/>
  <c r="Z1012" i="208"/>
  <c r="Z1009" i="208"/>
  <c r="Z1006" i="208"/>
  <c r="Z1003" i="208"/>
  <c r="Z1000" i="208"/>
  <c r="Z997" i="208"/>
  <c r="Z994" i="208"/>
  <c r="Z991" i="208"/>
  <c r="Z988" i="208"/>
  <c r="Z985" i="208"/>
  <c r="Z982" i="208"/>
  <c r="Z979" i="208"/>
  <c r="Z976" i="208"/>
  <c r="Z973" i="208"/>
  <c r="Z970" i="208"/>
  <c r="Z967" i="208"/>
  <c r="Z964" i="208"/>
  <c r="Z961" i="208"/>
  <c r="Z958" i="208"/>
  <c r="Z955" i="208"/>
  <c r="Z952" i="208"/>
  <c r="Z949" i="208"/>
  <c r="Z946" i="208"/>
  <c r="Z943" i="208"/>
  <c r="Z2312" i="208"/>
  <c r="Z2309" i="208"/>
  <c r="Z2306" i="208"/>
  <c r="Z2303" i="208"/>
  <c r="Z2300" i="208"/>
  <c r="Z2297" i="208"/>
  <c r="Z2294" i="208"/>
  <c r="Z2291" i="208"/>
  <c r="Z2288" i="208"/>
  <c r="Z2285" i="208"/>
  <c r="Z2282" i="208"/>
  <c r="Z2279" i="208"/>
  <c r="Z2276" i="208"/>
  <c r="Z2273" i="208"/>
  <c r="Z2270" i="208"/>
  <c r="Z2267" i="208"/>
  <c r="Z2264" i="208"/>
  <c r="Z2261" i="208"/>
  <c r="Z2258" i="208"/>
  <c r="Z2255" i="208"/>
  <c r="Z2252" i="208"/>
  <c r="Z2249" i="208"/>
  <c r="Z2246" i="208"/>
  <c r="Z2243" i="208"/>
  <c r="Z2240" i="208"/>
  <c r="Z2237" i="208"/>
  <c r="Z2234" i="208"/>
  <c r="Z2231" i="208"/>
  <c r="Z2228" i="208"/>
  <c r="Z2225" i="208"/>
  <c r="Z2222" i="208"/>
  <c r="Z2219" i="208"/>
  <c r="Z2216" i="208"/>
  <c r="Z2213" i="208"/>
  <c r="Z2210" i="208"/>
  <c r="Z2207" i="208"/>
  <c r="Z2204" i="208"/>
  <c r="Z2201" i="208"/>
  <c r="Z2198" i="208"/>
  <c r="Z2195" i="208"/>
  <c r="Z2192" i="208"/>
  <c r="Z2189" i="208"/>
  <c r="Z2186" i="208"/>
  <c r="Z2183" i="208"/>
  <c r="Z2180" i="208"/>
  <c r="Z2177" i="208"/>
  <c r="Z2174" i="208"/>
  <c r="Z2171" i="208"/>
  <c r="Z2168" i="208"/>
  <c r="Z2165" i="208"/>
  <c r="Z2162" i="208"/>
  <c r="Z2159" i="208"/>
  <c r="Z2156" i="208"/>
  <c r="Z2153" i="208"/>
  <c r="Z2150" i="208"/>
  <c r="Z2147" i="208"/>
  <c r="Z2144" i="208"/>
  <c r="Z2141" i="208"/>
  <c r="Z2138" i="208"/>
  <c r="Z2135" i="208"/>
  <c r="Z2132" i="208"/>
  <c r="Z2129" i="208"/>
  <c r="Z2126" i="208"/>
  <c r="Z2123" i="208"/>
  <c r="Z2120" i="208"/>
  <c r="Z2117" i="208"/>
  <c r="Z2114" i="208"/>
  <c r="Z2111" i="208"/>
  <c r="Z2108" i="208"/>
  <c r="Z2105" i="208"/>
  <c r="Z2102" i="208"/>
  <c r="Z2099" i="208"/>
  <c r="Z2096" i="208"/>
  <c r="Z2093" i="208"/>
  <c r="Z2090" i="208"/>
  <c r="Z2087" i="208"/>
  <c r="Z2084" i="208"/>
  <c r="Z2081" i="208"/>
  <c r="Z2078" i="208"/>
  <c r="Z2075" i="208"/>
  <c r="Z2072" i="208"/>
  <c r="Z2069" i="208"/>
  <c r="Z2066" i="208"/>
  <c r="Z2063" i="208"/>
  <c r="Z2060" i="208"/>
  <c r="Z2057" i="208"/>
  <c r="Z2054" i="208"/>
  <c r="Z2051" i="208"/>
  <c r="Z2048" i="208"/>
  <c r="Z2045" i="208"/>
  <c r="Z2042" i="208"/>
  <c r="Z2039" i="208"/>
  <c r="Z2036" i="208"/>
  <c r="Z2033" i="208"/>
  <c r="Z2030" i="208"/>
  <c r="Z2027" i="208"/>
  <c r="Z2024" i="208"/>
  <c r="Z2021" i="208"/>
  <c r="Z2018" i="208"/>
  <c r="Z2015" i="208"/>
  <c r="Z2012" i="208"/>
  <c r="Z2009" i="208"/>
  <c r="Z2006" i="208"/>
  <c r="Z2003" i="208"/>
  <c r="Z2000" i="208"/>
  <c r="Z1997" i="208"/>
  <c r="Z1994" i="208"/>
  <c r="Z1991" i="208"/>
  <c r="Z1988" i="208"/>
  <c r="Z1985" i="208"/>
  <c r="Z1982" i="208"/>
  <c r="Z1979" i="208"/>
  <c r="Z1976" i="208"/>
  <c r="Z1973" i="208"/>
  <c r="Z1970" i="208"/>
  <c r="Z1967" i="208"/>
  <c r="Z1964" i="208"/>
  <c r="Z1961" i="208"/>
  <c r="Z1958" i="208"/>
  <c r="Z1955" i="208"/>
  <c r="Z1952" i="208"/>
  <c r="Z1949" i="208"/>
  <c r="Z1946" i="208"/>
  <c r="Z1943" i="208"/>
  <c r="Z1940" i="208"/>
  <c r="Z1937" i="208"/>
  <c r="Z1934" i="208"/>
  <c r="Z1931" i="208"/>
  <c r="Z1928" i="208"/>
  <c r="Z1925" i="208"/>
  <c r="Z1922" i="208"/>
  <c r="Z1919" i="208"/>
  <c r="Z1916" i="208"/>
  <c r="Z1913" i="208"/>
  <c r="Z1910" i="208"/>
  <c r="Z1907" i="208"/>
  <c r="Z1904" i="208"/>
  <c r="Z1901" i="208"/>
  <c r="Z1898" i="208"/>
  <c r="Z1895" i="208"/>
  <c r="Z1892" i="208"/>
  <c r="Z1889" i="208"/>
  <c r="Z1886" i="208"/>
  <c r="Z1883" i="208"/>
  <c r="Z1880" i="208"/>
  <c r="Z1877" i="208"/>
  <c r="Z1874" i="208"/>
  <c r="Z1871" i="208"/>
  <c r="Z1868" i="208"/>
  <c r="Z1865" i="208"/>
  <c r="Z1862" i="208"/>
  <c r="Z1859" i="208"/>
  <c r="Z1856" i="208"/>
  <c r="Z1853" i="208"/>
  <c r="Z1850" i="208"/>
  <c r="Z1847" i="208"/>
  <c r="Z1844" i="208"/>
  <c r="Z1841" i="208"/>
  <c r="Z1838" i="208"/>
  <c r="Z1835" i="208"/>
  <c r="Z1832" i="208"/>
  <c r="Z1829" i="208"/>
  <c r="Z1826" i="208"/>
  <c r="Z1823" i="208"/>
  <c r="Z1820" i="208"/>
  <c r="Z1817" i="208"/>
  <c r="Z1814" i="208"/>
  <c r="Z1811" i="208"/>
  <c r="Z1808" i="208"/>
  <c r="Z1805" i="208"/>
  <c r="Z1802" i="208"/>
  <c r="Z1799" i="208"/>
  <c r="Z1796" i="208"/>
  <c r="Z1793" i="208"/>
  <c r="Z1790" i="208"/>
  <c r="Z1787" i="208"/>
  <c r="Z1784" i="208"/>
  <c r="Z1781" i="208"/>
  <c r="Z1778" i="208"/>
  <c r="Z1775" i="208"/>
  <c r="Z1772" i="208"/>
  <c r="Z1769" i="208"/>
  <c r="Z1766" i="208"/>
  <c r="Z1763" i="208"/>
  <c r="Z1760" i="208"/>
  <c r="Z1757" i="208"/>
  <c r="Z1754" i="208"/>
  <c r="Z1751" i="208"/>
  <c r="Z1748" i="208"/>
  <c r="Z1745" i="208"/>
  <c r="Z1742" i="208"/>
  <c r="Z1739" i="208"/>
  <c r="Z1736" i="208"/>
  <c r="Z1733" i="208"/>
  <c r="Z1730" i="208"/>
  <c r="Z1727" i="208"/>
  <c r="Z1724" i="208"/>
  <c r="Z1721" i="208"/>
  <c r="Z1718" i="208"/>
  <c r="Z1715" i="208"/>
  <c r="Z1712" i="208"/>
  <c r="Z1709" i="208"/>
  <c r="Z1706" i="208"/>
  <c r="Z1703" i="208"/>
  <c r="Z1700" i="208"/>
  <c r="Z1697" i="208"/>
  <c r="Z1694" i="208"/>
  <c r="Z1691" i="208"/>
  <c r="Z1688" i="208"/>
  <c r="Z1685" i="208"/>
  <c r="Z1682" i="208"/>
  <c r="Z1679" i="208"/>
  <c r="Z1676" i="208"/>
  <c r="Z1673" i="208"/>
  <c r="Z1670" i="208"/>
  <c r="Z1667" i="208"/>
  <c r="Z1664" i="208"/>
  <c r="Z1661" i="208"/>
  <c r="Z1658" i="208"/>
  <c r="Z1655" i="208"/>
  <c r="Z1652" i="208"/>
  <c r="Z1649" i="208"/>
  <c r="Z1646" i="208"/>
  <c r="Z1643" i="208"/>
  <c r="Z1640" i="208"/>
  <c r="Z1637" i="208"/>
  <c r="Z1634" i="208"/>
  <c r="Z1631" i="208"/>
  <c r="Z1628" i="208"/>
  <c r="Z1625" i="208"/>
  <c r="Z1622" i="208"/>
  <c r="Z1619" i="208"/>
  <c r="Z1616" i="208"/>
  <c r="Z1613" i="208"/>
  <c r="Z1610" i="208"/>
  <c r="Z1607" i="208"/>
  <c r="Z1604" i="208"/>
  <c r="Z1601" i="208"/>
  <c r="Z1598" i="208"/>
  <c r="Z1595" i="208"/>
  <c r="Z1592" i="208"/>
  <c r="Z1589" i="208"/>
  <c r="Z1586" i="208"/>
  <c r="Z1583" i="208"/>
  <c r="Z1580" i="208"/>
  <c r="Z1577" i="208"/>
  <c r="Z1574" i="208"/>
  <c r="Z1571" i="208"/>
  <c r="Z1568" i="208"/>
  <c r="Z1565" i="208"/>
  <c r="Z1562" i="208"/>
  <c r="Z1559" i="208"/>
  <c r="Z1556" i="208"/>
  <c r="Z1553" i="208"/>
  <c r="Z1550" i="208"/>
  <c r="Z1547" i="208"/>
  <c r="Z1544" i="208"/>
  <c r="Z1541" i="208"/>
  <c r="Z1538" i="208"/>
  <c r="Z1535" i="208"/>
  <c r="Z1532" i="208"/>
  <c r="Z1529" i="208"/>
  <c r="Z1526" i="208"/>
  <c r="Z1523" i="208"/>
  <c r="Z1520" i="208"/>
  <c r="Z1517" i="208"/>
  <c r="Z1514" i="208"/>
  <c r="Z1511" i="208"/>
  <c r="Z1508" i="208"/>
  <c r="Z1505" i="208"/>
  <c r="Z1502" i="208"/>
  <c r="Z1499" i="208"/>
  <c r="Z1496" i="208"/>
  <c r="Z1493" i="208"/>
  <c r="Z1490" i="208"/>
  <c r="Z1487" i="208"/>
  <c r="Z1484" i="208"/>
  <c r="Z1481" i="208"/>
  <c r="Z1478" i="208"/>
  <c r="Z1475" i="208"/>
  <c r="Z1472" i="208"/>
  <c r="Z1469" i="208"/>
  <c r="Z1466" i="208"/>
  <c r="Z1463" i="208"/>
  <c r="Z1460" i="208"/>
  <c r="Z1457" i="208"/>
  <c r="Z1454" i="208"/>
  <c r="Z1451" i="208"/>
  <c r="Z1448" i="208"/>
  <c r="Z1445" i="208"/>
  <c r="Z1442" i="208"/>
  <c r="Z1439" i="208"/>
  <c r="Z1436" i="208"/>
  <c r="Z1433" i="208"/>
  <c r="Z1430" i="208"/>
  <c r="Z1427" i="208"/>
  <c r="Z1424" i="208"/>
  <c r="Z1421" i="208"/>
  <c r="Z1418" i="208"/>
  <c r="Z1415" i="208"/>
  <c r="Z1412" i="208"/>
  <c r="Z1409" i="208"/>
  <c r="Z1406" i="208"/>
  <c r="Z1403" i="208"/>
  <c r="Z1400" i="208"/>
  <c r="Z1397" i="208"/>
  <c r="Z1394" i="208"/>
  <c r="Z1391" i="208"/>
  <c r="Z1388" i="208"/>
  <c r="Z1385" i="208"/>
  <c r="Z1382" i="208"/>
  <c r="Z1379" i="208"/>
  <c r="Z1376" i="208"/>
  <c r="Z1373" i="208"/>
  <c r="Z1370" i="208"/>
  <c r="Z1367" i="208"/>
  <c r="Z1364" i="208"/>
  <c r="Z1361" i="208"/>
  <c r="Z1358" i="208"/>
  <c r="Z1355" i="208"/>
  <c r="Z1352" i="208"/>
  <c r="Z1349" i="208"/>
  <c r="Z1346" i="208"/>
  <c r="Z1343" i="208"/>
  <c r="Z1340" i="208"/>
  <c r="Z1337" i="208"/>
  <c r="Z1334" i="208"/>
  <c r="Z1331" i="208"/>
  <c r="Z1328" i="208"/>
  <c r="Z1325" i="208"/>
  <c r="Z1322" i="208"/>
  <c r="Z1319" i="208"/>
  <c r="Z1316" i="208"/>
  <c r="Z1313" i="208"/>
  <c r="Z1310" i="208"/>
  <c r="Z1307" i="208"/>
  <c r="Z1304" i="208"/>
  <c r="Z1301" i="208"/>
  <c r="Z1298" i="208"/>
  <c r="Z1295" i="208"/>
  <c r="Z1292" i="208"/>
  <c r="Z940" i="208"/>
  <c r="Z937" i="208"/>
  <c r="Z934" i="208"/>
  <c r="Z931" i="208"/>
  <c r="Z928" i="208"/>
  <c r="Z925" i="208"/>
  <c r="Z922" i="208"/>
  <c r="Z919" i="208"/>
  <c r="Z916" i="208"/>
  <c r="Z913" i="208"/>
  <c r="Z910" i="208"/>
  <c r="Z907" i="208"/>
  <c r="Z904" i="208"/>
  <c r="Z901" i="208"/>
  <c r="Z898" i="208"/>
  <c r="Z895" i="208"/>
  <c r="Z892" i="208"/>
  <c r="Z889" i="208"/>
  <c r="Z886" i="208"/>
  <c r="Z883" i="208"/>
  <c r="Z880" i="208"/>
  <c r="Z877" i="208"/>
  <c r="Z874" i="208"/>
  <c r="Z871" i="208"/>
  <c r="Z868" i="208"/>
  <c r="Z865" i="208"/>
  <c r="Z862" i="208"/>
  <c r="Z859" i="208"/>
  <c r="Z856" i="208"/>
  <c r="Z853" i="208"/>
  <c r="Z850" i="208"/>
  <c r="Z847" i="208"/>
  <c r="Z844" i="208"/>
  <c r="Z841" i="208"/>
  <c r="Z838" i="208"/>
  <c r="Z835" i="208"/>
  <c r="Z832" i="208"/>
  <c r="Z829" i="208"/>
  <c r="Z826" i="208"/>
  <c r="Z823" i="208"/>
  <c r="Z820" i="208"/>
  <c r="Z817" i="208"/>
  <c r="Z814" i="208"/>
  <c r="Z811" i="208"/>
  <c r="Z808" i="208"/>
  <c r="Z805" i="208"/>
  <c r="Z802" i="208"/>
  <c r="Z799" i="208"/>
  <c r="Z796" i="208"/>
  <c r="Z793" i="208"/>
  <c r="Z790" i="208"/>
  <c r="Z787" i="208"/>
  <c r="Z784" i="208"/>
  <c r="Z781" i="208"/>
  <c r="Z778" i="208"/>
  <c r="Z775" i="208"/>
  <c r="Z772" i="208"/>
  <c r="Z769" i="208"/>
  <c r="Z766" i="208"/>
  <c r="Z763" i="208"/>
  <c r="Z760" i="208"/>
  <c r="Z757" i="208"/>
  <c r="Z754" i="208"/>
  <c r="Z751" i="208"/>
  <c r="Z748" i="208"/>
  <c r="Z745" i="208"/>
  <c r="Z742" i="208"/>
  <c r="Z739" i="208"/>
  <c r="Z736" i="208"/>
  <c r="Z733" i="208"/>
  <c r="Z730" i="208"/>
  <c r="Z727" i="208"/>
  <c r="Z724" i="208"/>
  <c r="Z721" i="208"/>
  <c r="Z718" i="208"/>
  <c r="Z715" i="208"/>
  <c r="Z712" i="208"/>
  <c r="Z709" i="208"/>
  <c r="Z706" i="208"/>
  <c r="Z703" i="208"/>
  <c r="Z700" i="208"/>
  <c r="Z697" i="208"/>
  <c r="Z694" i="208"/>
  <c r="Z691" i="208"/>
  <c r="Z688" i="208"/>
  <c r="Z1289" i="208"/>
  <c r="Z1286" i="208"/>
  <c r="Z1283" i="208"/>
  <c r="Z1280" i="208"/>
  <c r="Z1277" i="208"/>
  <c r="Z1274" i="208"/>
  <c r="Z1271" i="208"/>
  <c r="Z1268" i="208"/>
  <c r="Z1265" i="208"/>
  <c r="Z1262" i="208"/>
  <c r="Z1259" i="208"/>
  <c r="Z1256" i="208"/>
  <c r="Z1253" i="208"/>
  <c r="Z1250" i="208"/>
  <c r="Z1247" i="208"/>
  <c r="Z1244" i="208"/>
  <c r="Z1241" i="208"/>
  <c r="Z1238" i="208"/>
  <c r="Z1235" i="208"/>
  <c r="Z1232" i="208"/>
  <c r="Z1229" i="208"/>
  <c r="Z1226" i="208"/>
  <c r="Z1223" i="208"/>
  <c r="Z1220" i="208"/>
  <c r="Z1217" i="208"/>
  <c r="Z1214" i="208"/>
  <c r="Z1211" i="208"/>
  <c r="Z1208" i="208"/>
  <c r="Z1205" i="208"/>
  <c r="Z1202" i="208"/>
  <c r="Z1199" i="208"/>
  <c r="Z1196" i="208"/>
  <c r="Z1193" i="208"/>
  <c r="Z1190" i="208"/>
  <c r="Z1187" i="208"/>
  <c r="Z1184" i="208"/>
  <c r="Z1181" i="208"/>
  <c r="Z1178" i="208"/>
  <c r="Z1175" i="208"/>
  <c r="Z1172" i="208"/>
  <c r="Z1169" i="208"/>
  <c r="Z1166" i="208"/>
  <c r="Z1163" i="208"/>
  <c r="Z1160" i="208"/>
  <c r="Z1157" i="208"/>
  <c r="Z1154" i="208"/>
  <c r="Z1151" i="208"/>
  <c r="Z1148" i="208"/>
  <c r="Z1145" i="208"/>
  <c r="Z1142" i="208"/>
  <c r="Z1139" i="208"/>
  <c r="Z1136" i="208"/>
  <c r="Z1133" i="208"/>
  <c r="Z1130" i="208"/>
  <c r="Z1127" i="208"/>
  <c r="Z1124" i="208"/>
  <c r="Z1121" i="208"/>
  <c r="Z1118" i="208"/>
  <c r="Z1115" i="208"/>
  <c r="Z1112" i="208"/>
  <c r="Z1109" i="208"/>
  <c r="Z1106" i="208"/>
  <c r="Z1103" i="208"/>
  <c r="Z1100" i="208"/>
  <c r="Z1097" i="208"/>
  <c r="Z1094" i="208"/>
  <c r="Z1091" i="208"/>
  <c r="Z1088" i="208"/>
  <c r="Z1085" i="208"/>
  <c r="Z1082" i="208"/>
  <c r="Z1079" i="208"/>
  <c r="Z1076" i="208"/>
  <c r="Z1073" i="208"/>
  <c r="Z1070" i="208"/>
  <c r="Z1067" i="208"/>
  <c r="Z1064" i="208"/>
  <c r="Z1061" i="208"/>
  <c r="Z1058" i="208"/>
  <c r="Z1055" i="208"/>
  <c r="Z1052" i="208"/>
  <c r="Z1049" i="208"/>
  <c r="Z1046" i="208"/>
  <c r="Z1043" i="208"/>
  <c r="Z1040" i="208"/>
  <c r="Z1037" i="208"/>
  <c r="Z1034" i="208"/>
  <c r="Z1031" i="208"/>
  <c r="Z1028" i="208"/>
  <c r="Z1025" i="208"/>
  <c r="Z1022" i="208"/>
  <c r="Z1019" i="208"/>
  <c r="Z1016" i="208"/>
  <c r="Z1013" i="208"/>
  <c r="Z1010" i="208"/>
  <c r="Z1007" i="208"/>
  <c r="Z1004" i="208"/>
  <c r="Z1001" i="208"/>
  <c r="Z998" i="208"/>
  <c r="Z995" i="208"/>
  <c r="Z992" i="208"/>
  <c r="Z989" i="208"/>
  <c r="Z986" i="208"/>
  <c r="Z983" i="208"/>
  <c r="Z980" i="208"/>
  <c r="Z977" i="208"/>
  <c r="Z974" i="208"/>
  <c r="Z971" i="208"/>
  <c r="Z968" i="208"/>
  <c r="Z965" i="208"/>
  <c r="Z962" i="208"/>
  <c r="Z959" i="208"/>
  <c r="Z956" i="208"/>
  <c r="Z953" i="208"/>
  <c r="Z950" i="208"/>
  <c r="Z947" i="208"/>
  <c r="Z944" i="208"/>
  <c r="Z941" i="208"/>
  <c r="Z938" i="208"/>
  <c r="Z935" i="208"/>
  <c r="Z932" i="208"/>
  <c r="Z929" i="208"/>
  <c r="Z926" i="208"/>
  <c r="Z923" i="208"/>
  <c r="Z920" i="208"/>
  <c r="Z917" i="208"/>
  <c r="Z914" i="208"/>
  <c r="Z911" i="208"/>
  <c r="Z908" i="208"/>
  <c r="Z905" i="208"/>
  <c r="Z902" i="208"/>
  <c r="Z899" i="208"/>
  <c r="Z896" i="208"/>
  <c r="Z893" i="208"/>
  <c r="Z890" i="208"/>
  <c r="Z887" i="208"/>
  <c r="Z884" i="208"/>
  <c r="Z881" i="208"/>
  <c r="Z878" i="208"/>
  <c r="Z875" i="208"/>
  <c r="X419" i="208"/>
  <c r="X407" i="208"/>
  <c r="Z685" i="208"/>
  <c r="Z682" i="208"/>
  <c r="Z679" i="208"/>
  <c r="Z676" i="208"/>
  <c r="Z673" i="208"/>
  <c r="Z670" i="208"/>
  <c r="Z667" i="208"/>
  <c r="Z664" i="208"/>
  <c r="Z661" i="208"/>
  <c r="Z658" i="208"/>
  <c r="Z655" i="208"/>
  <c r="Z652" i="208"/>
  <c r="Z649" i="208"/>
  <c r="Z646" i="208"/>
  <c r="Z643" i="208"/>
  <c r="Z640" i="208"/>
  <c r="Z637" i="208"/>
  <c r="Z634" i="208"/>
  <c r="Z631" i="208"/>
  <c r="Z628" i="208"/>
  <c r="Z625" i="208"/>
  <c r="Z622" i="208"/>
  <c r="Z619" i="208"/>
  <c r="Z616" i="208"/>
  <c r="Z613" i="208"/>
  <c r="Z610" i="208"/>
  <c r="Z607" i="208"/>
  <c r="Z604" i="208"/>
  <c r="Z601" i="208"/>
  <c r="Z598" i="208"/>
  <c r="Z595" i="208"/>
  <c r="Z592" i="208"/>
  <c r="Z589" i="208"/>
  <c r="Z586" i="208"/>
  <c r="Z583" i="208"/>
  <c r="Z580" i="208"/>
  <c r="Z577" i="208"/>
  <c r="Z574" i="208"/>
  <c r="Z571" i="208"/>
  <c r="Z568" i="208"/>
  <c r="Z565" i="208"/>
  <c r="Z562" i="208"/>
  <c r="Z559" i="208"/>
  <c r="Z556" i="208"/>
  <c r="Z553" i="208"/>
  <c r="Z550" i="208"/>
  <c r="Z547" i="208"/>
  <c r="Z544" i="208"/>
  <c r="Z541" i="208"/>
  <c r="Z538" i="208"/>
  <c r="Z535" i="208"/>
  <c r="Z532" i="208"/>
  <c r="Z529" i="208"/>
  <c r="Z526" i="208"/>
  <c r="Z523" i="208"/>
  <c r="Z520" i="208"/>
  <c r="Z517" i="208"/>
  <c r="Z514" i="208"/>
  <c r="Z511" i="208"/>
  <c r="Z508" i="208"/>
  <c r="Z505" i="208"/>
  <c r="Z502" i="208"/>
  <c r="Z499" i="208"/>
  <c r="Z496" i="208"/>
  <c r="Z493" i="208"/>
  <c r="Z490" i="208"/>
  <c r="Z487" i="208"/>
  <c r="Z484" i="208"/>
  <c r="Z481" i="208"/>
  <c r="Z478" i="208"/>
  <c r="Z475" i="208"/>
  <c r="Z472" i="208"/>
  <c r="Z469" i="208"/>
  <c r="Z872" i="208"/>
  <c r="Z869" i="208"/>
  <c r="Z866" i="208"/>
  <c r="Z863" i="208"/>
  <c r="Z860" i="208"/>
  <c r="Z857" i="208"/>
  <c r="Z854" i="208"/>
  <c r="Z851" i="208"/>
  <c r="Z848" i="208"/>
  <c r="Z845" i="208"/>
  <c r="Z842" i="208"/>
  <c r="Z839" i="208"/>
  <c r="Z836" i="208"/>
  <c r="Z833" i="208"/>
  <c r="Z830" i="208"/>
  <c r="Z827" i="208"/>
  <c r="Z824" i="208"/>
  <c r="Z821" i="208"/>
  <c r="Z818" i="208"/>
  <c r="Z815" i="208"/>
  <c r="Z812" i="208"/>
  <c r="Z809" i="208"/>
  <c r="Z806" i="208"/>
  <c r="Z803" i="208"/>
  <c r="Z800" i="208"/>
  <c r="Z797" i="208"/>
  <c r="Z794" i="208"/>
  <c r="Z791" i="208"/>
  <c r="Z788" i="208"/>
  <c r="Z785" i="208"/>
  <c r="Z782" i="208"/>
  <c r="Z779" i="208"/>
  <c r="Z776" i="208"/>
  <c r="Z773" i="208"/>
  <c r="Z770" i="208"/>
  <c r="Z767" i="208"/>
  <c r="Z764" i="208"/>
  <c r="Z761" i="208"/>
  <c r="Z758" i="208"/>
  <c r="Z755" i="208"/>
  <c r="Z752" i="208"/>
  <c r="Z749" i="208"/>
  <c r="Z746" i="208"/>
  <c r="Z743" i="208"/>
  <c r="Z740" i="208"/>
  <c r="Z737" i="208"/>
  <c r="Z734" i="208"/>
  <c r="Z731" i="208"/>
  <c r="Z728" i="208"/>
  <c r="Z725" i="208"/>
  <c r="Z722" i="208"/>
  <c r="Z719" i="208"/>
  <c r="Z716" i="208"/>
  <c r="Z713" i="208"/>
  <c r="Z710" i="208"/>
  <c r="Z707" i="208"/>
  <c r="Z704" i="208"/>
  <c r="Z701" i="208"/>
  <c r="Z698" i="208"/>
  <c r="Z695" i="208"/>
  <c r="Z692" i="208"/>
  <c r="Z689" i="208"/>
  <c r="Z686" i="208"/>
  <c r="Z683" i="208"/>
  <c r="Z680" i="208"/>
  <c r="Z677" i="208"/>
  <c r="Z674" i="208"/>
  <c r="Z671" i="208"/>
  <c r="Z668" i="208"/>
  <c r="Z665" i="208"/>
  <c r="Z662" i="208"/>
  <c r="Z659" i="208"/>
  <c r="Z656" i="208"/>
  <c r="Z653" i="208"/>
  <c r="Z650" i="208"/>
  <c r="Z647" i="208"/>
  <c r="Z644" i="208"/>
  <c r="Z641" i="208"/>
  <c r="Z638" i="208"/>
  <c r="Z635" i="208"/>
  <c r="Z632" i="208"/>
  <c r="Z629" i="208"/>
  <c r="Z626" i="208"/>
  <c r="Z623" i="208"/>
  <c r="Z620" i="208"/>
  <c r="Z617" i="208"/>
  <c r="Z614" i="208"/>
  <c r="Z611" i="208"/>
  <c r="Z608" i="208"/>
  <c r="Z605" i="208"/>
  <c r="Z602" i="208"/>
  <c r="Z599" i="208"/>
  <c r="Z596" i="208"/>
  <c r="Z593" i="208"/>
  <c r="Z590" i="208"/>
  <c r="Z587" i="208"/>
  <c r="Z584" i="208"/>
  <c r="Z581" i="208"/>
  <c r="Z578" i="208"/>
  <c r="Z575" i="208"/>
  <c r="Z572" i="208"/>
  <c r="Z569" i="208"/>
  <c r="Z566" i="208"/>
  <c r="Z563" i="208"/>
  <c r="Z560" i="208"/>
  <c r="Z557" i="208"/>
  <c r="Z554" i="208"/>
  <c r="Z551" i="208"/>
  <c r="Z548" i="208"/>
  <c r="Z545" i="208"/>
  <c r="Z542" i="208"/>
  <c r="Z539" i="208"/>
  <c r="Z536" i="208"/>
  <c r="Z533" i="208"/>
  <c r="Z530" i="208"/>
  <c r="Z527" i="208"/>
  <c r="Z524" i="208"/>
  <c r="Z521" i="208"/>
  <c r="Z518" i="208"/>
  <c r="Z515" i="208"/>
  <c r="Z512" i="208"/>
  <c r="Z509" i="208"/>
  <c r="Z506" i="208"/>
  <c r="Z503" i="208"/>
  <c r="Z500" i="208"/>
  <c r="Z497" i="208"/>
  <c r="Z494" i="208"/>
  <c r="Z491" i="208"/>
  <c r="Z488" i="208"/>
  <c r="Z485" i="208"/>
  <c r="Z482" i="208"/>
  <c r="Z479" i="208"/>
  <c r="Z476" i="208"/>
  <c r="Z473" i="208"/>
  <c r="Z470" i="208"/>
  <c r="Z467" i="208"/>
  <c r="Z464" i="208"/>
  <c r="Z461" i="208"/>
  <c r="Z458" i="208"/>
  <c r="Z455" i="208"/>
  <c r="Z452" i="208"/>
  <c r="Z449" i="208"/>
  <c r="Z446" i="208"/>
  <c r="Z443" i="208"/>
  <c r="Z440" i="208"/>
  <c r="Z437" i="208"/>
  <c r="Z434" i="208"/>
  <c r="Z431" i="208"/>
  <c r="Z428" i="208"/>
  <c r="Z425" i="208"/>
  <c r="Z422" i="208"/>
  <c r="Z419" i="208"/>
  <c r="Z416" i="208"/>
  <c r="Z413" i="208"/>
  <c r="Z410" i="208"/>
  <c r="Z407" i="208"/>
  <c r="Z404" i="208"/>
  <c r="Z401" i="208"/>
  <c r="Z398" i="208"/>
  <c r="Z395" i="208"/>
  <c r="Z392" i="208"/>
  <c r="Z389" i="208"/>
  <c r="Z386" i="208"/>
  <c r="Z383" i="208"/>
  <c r="Z380" i="208"/>
  <c r="Z377" i="208"/>
  <c r="Z374" i="208"/>
  <c r="Z371" i="208"/>
  <c r="Z368" i="208"/>
  <c r="Z365" i="208"/>
  <c r="X337" i="208"/>
  <c r="Z2994" i="208"/>
  <c r="Z2988" i="208"/>
  <c r="Z2979" i="208"/>
  <c r="Z2976" i="208"/>
  <c r="Z2967" i="208"/>
  <c r="Z2961" i="208"/>
  <c r="Z2952" i="208"/>
  <c r="Z2949" i="208"/>
  <c r="Z2940" i="208"/>
  <c r="Z2931" i="208"/>
  <c r="Z2928" i="208"/>
  <c r="Z2922" i="208"/>
  <c r="Z2913" i="208"/>
  <c r="Z2910" i="208"/>
  <c r="Z2904" i="208"/>
  <c r="Z2901" i="208"/>
  <c r="Z2898" i="208"/>
  <c r="Z2895" i="208"/>
  <c r="Z2892" i="208"/>
  <c r="Z2889" i="208"/>
  <c r="Z2886" i="208"/>
  <c r="Z2883" i="208"/>
  <c r="Z2880" i="208"/>
  <c r="Z2877" i="208"/>
  <c r="Z2871" i="208"/>
  <c r="Z2868" i="208"/>
  <c r="Z2865" i="208"/>
  <c r="Z2862" i="208"/>
  <c r="Z2859" i="208"/>
  <c r="Z2856" i="208"/>
  <c r="Z2853" i="208"/>
  <c r="Z2850" i="208"/>
  <c r="Z2847" i="208"/>
  <c r="Z2844" i="208"/>
  <c r="Z2841" i="208"/>
  <c r="Z2838" i="208"/>
  <c r="Z2835" i="208"/>
  <c r="Z2832" i="208"/>
  <c r="Z2829" i="208"/>
  <c r="Z2826" i="208"/>
  <c r="Z2823" i="208"/>
  <c r="Z2820" i="208"/>
  <c r="Z2817" i="208"/>
  <c r="Z2814" i="208"/>
  <c r="Z2811" i="208"/>
  <c r="Z2808" i="208"/>
  <c r="Z2805" i="208"/>
  <c r="Z2802" i="208"/>
  <c r="Z2799" i="208"/>
  <c r="Z2796" i="208"/>
  <c r="Z2793" i="208"/>
  <c r="Z2790" i="208"/>
  <c r="Z2787" i="208"/>
  <c r="Z2784" i="208"/>
  <c r="Z2781" i="208"/>
  <c r="Z2778" i="208"/>
  <c r="Z2775" i="208"/>
  <c r="Z2772" i="208"/>
  <c r="Z2769" i="208"/>
  <c r="Z2766" i="208"/>
  <c r="Z2763" i="208"/>
  <c r="Z2760" i="208"/>
  <c r="Z2757" i="208"/>
  <c r="Z2754" i="208"/>
  <c r="Z2751" i="208"/>
  <c r="Z2748" i="208"/>
  <c r="Z2745" i="208"/>
  <c r="Z2742" i="208"/>
  <c r="Z2739" i="208"/>
  <c r="Z2736" i="208"/>
  <c r="Z2733" i="208"/>
  <c r="Z2730" i="208"/>
  <c r="Z2727" i="208"/>
  <c r="Z2724" i="208"/>
  <c r="Z2721" i="208"/>
  <c r="Z2718" i="208"/>
  <c r="Z2715" i="208"/>
  <c r="Z2712" i="208"/>
  <c r="Z2709" i="208"/>
  <c r="Z2706" i="208"/>
  <c r="Z2703" i="208"/>
  <c r="Z2700" i="208"/>
  <c r="Z2697" i="208"/>
  <c r="Z2694" i="208"/>
  <c r="Z2691" i="208"/>
  <c r="Z2688" i="208"/>
  <c r="Z2685" i="208"/>
  <c r="Z2682" i="208"/>
  <c r="Z2679" i="208"/>
  <c r="Z2676" i="208"/>
  <c r="Z2673" i="208"/>
  <c r="Z2670" i="208"/>
  <c r="Z2667" i="208"/>
  <c r="Z2664" i="208"/>
  <c r="Z2661" i="208"/>
  <c r="Z2658" i="208"/>
  <c r="Z2655" i="208"/>
  <c r="Z2652" i="208"/>
  <c r="Z2649" i="208"/>
  <c r="Z2646" i="208"/>
  <c r="Z2643" i="208"/>
  <c r="Z2640" i="208"/>
  <c r="Z2637" i="208"/>
  <c r="Z2634" i="208"/>
  <c r="Z2631" i="208"/>
  <c r="Z2628" i="208"/>
  <c r="Z2625" i="208"/>
  <c r="Z2622" i="208"/>
  <c r="Z2619" i="208"/>
  <c r="Z2616" i="208"/>
  <c r="Z2613" i="208"/>
  <c r="Z2610" i="208"/>
  <c r="Z2607" i="208"/>
  <c r="Z2604" i="208"/>
  <c r="Z2601" i="208"/>
  <c r="Z2598" i="208"/>
  <c r="Z2595" i="208"/>
  <c r="Z2592" i="208"/>
  <c r="Z2589" i="208"/>
  <c r="Z2586" i="208"/>
  <c r="Z2583" i="208"/>
  <c r="Z2580" i="208"/>
  <c r="Z2577" i="208"/>
  <c r="Z2574" i="208"/>
  <c r="Z2571" i="208"/>
  <c r="Z2568" i="208"/>
  <c r="Z2565" i="208"/>
  <c r="Z2562" i="208"/>
  <c r="Z2559" i="208"/>
  <c r="Z2556" i="208"/>
  <c r="Z2553" i="208"/>
  <c r="Z2550" i="208"/>
  <c r="Z2547" i="208"/>
  <c r="Z2544" i="208"/>
  <c r="Z2541" i="208"/>
  <c r="Z2538" i="208"/>
  <c r="Z2535" i="208"/>
  <c r="Z2532" i="208"/>
  <c r="Z2529" i="208"/>
  <c r="Z2526" i="208"/>
  <c r="Z2523" i="208"/>
  <c r="Z2520" i="208"/>
  <c r="Z2517" i="208"/>
  <c r="Z2514" i="208"/>
  <c r="Z2511" i="208"/>
  <c r="Z2508" i="208"/>
  <c r="Z2505" i="208"/>
  <c r="Z2502" i="208"/>
  <c r="Z2499" i="208"/>
  <c r="Z2496" i="208"/>
  <c r="Z2493" i="208"/>
  <c r="Z2490" i="208"/>
  <c r="Z2487" i="208"/>
  <c r="Z2484" i="208"/>
  <c r="Z2481" i="208"/>
  <c r="Z2478" i="208"/>
  <c r="Z2475" i="208"/>
  <c r="Z2472" i="208"/>
  <c r="Z2469" i="208"/>
  <c r="Z2466" i="208"/>
  <c r="Z2463" i="208"/>
  <c r="Z2460" i="208"/>
  <c r="Z2457" i="208"/>
  <c r="Z2454" i="208"/>
  <c r="Z2451" i="208"/>
  <c r="Z2448" i="208"/>
  <c r="Z2445" i="208"/>
  <c r="Z2442" i="208"/>
  <c r="Z2439" i="208"/>
  <c r="Z2436" i="208"/>
  <c r="Z2433" i="208"/>
  <c r="Z2430" i="208"/>
  <c r="Z2427" i="208"/>
  <c r="Z2424" i="208"/>
  <c r="Z2421" i="208"/>
  <c r="Z2418" i="208"/>
  <c r="Z2415" i="208"/>
  <c r="Z2412" i="208"/>
  <c r="Z2409" i="208"/>
  <c r="Z2406" i="208"/>
  <c r="Z2403" i="208"/>
  <c r="Z2400" i="208"/>
  <c r="Z2397" i="208"/>
  <c r="Z2394" i="208"/>
  <c r="Z2391" i="208"/>
  <c r="Z2388" i="208"/>
  <c r="Z2385" i="208"/>
  <c r="Z2382" i="208"/>
  <c r="Z2379" i="208"/>
  <c r="Z2376" i="208"/>
  <c r="Z2373" i="208"/>
  <c r="Z2370" i="208"/>
  <c r="Z2367" i="208"/>
  <c r="Z2364" i="208"/>
  <c r="Z2361" i="208"/>
  <c r="Z2358" i="208"/>
  <c r="Z2355" i="208"/>
  <c r="Z2352" i="208"/>
  <c r="Z2349" i="208"/>
  <c r="Z2346" i="208"/>
  <c r="Z2343" i="208"/>
  <c r="Z2340" i="208"/>
  <c r="Z2337" i="208"/>
  <c r="Z2334" i="208"/>
  <c r="Z2331" i="208"/>
  <c r="Z2328" i="208"/>
  <c r="Z2325" i="208"/>
  <c r="Z2322" i="208"/>
  <c r="Z2319" i="208"/>
  <c r="Z2316" i="208"/>
  <c r="Z2313" i="208"/>
  <c r="Z2310" i="208"/>
  <c r="Z2307" i="208"/>
  <c r="Z2304" i="208"/>
  <c r="Z2301" i="208"/>
  <c r="Z2298" i="208"/>
  <c r="Z2295" i="208"/>
  <c r="Z2292" i="208"/>
  <c r="Z2289" i="208"/>
  <c r="Z2286" i="208"/>
  <c r="Z2283" i="208"/>
  <c r="Z2280" i="208"/>
  <c r="Z2277" i="208"/>
  <c r="Z2274" i="208"/>
  <c r="Z2271" i="208"/>
  <c r="Z2268" i="208"/>
  <c r="Z2265" i="208"/>
  <c r="Z2262" i="208"/>
  <c r="Z2259" i="208"/>
  <c r="Z2256" i="208"/>
  <c r="Z2253" i="208"/>
  <c r="Z2250" i="208"/>
  <c r="Z2247" i="208"/>
  <c r="Z2244" i="208"/>
  <c r="Z2241" i="208"/>
  <c r="Z2238" i="208"/>
  <c r="Z2235" i="208"/>
  <c r="Z2232" i="208"/>
  <c r="Z2229" i="208"/>
  <c r="Z2226" i="208"/>
  <c r="Z2223" i="208"/>
  <c r="Z2220" i="208"/>
  <c r="Z2217" i="208"/>
  <c r="Z2214" i="208"/>
  <c r="Z2211" i="208"/>
  <c r="Z2208" i="208"/>
  <c r="Z2205" i="208"/>
  <c r="Z2202" i="208"/>
  <c r="Z2199" i="208"/>
  <c r="Z2196" i="208"/>
  <c r="Z2193" i="208"/>
  <c r="Z2190" i="208"/>
  <c r="Z2187" i="208"/>
  <c r="Z2184" i="208"/>
  <c r="Z2181" i="208"/>
  <c r="Z2178" i="208"/>
  <c r="Z2175" i="208"/>
  <c r="Z2172" i="208"/>
  <c r="Z2169" i="208"/>
  <c r="Z2166" i="208"/>
  <c r="Z2163" i="208"/>
  <c r="Z2160" i="208"/>
  <c r="Z2157" i="208"/>
  <c r="Z2154" i="208"/>
  <c r="Z2151" i="208"/>
  <c r="Z2148" i="208"/>
  <c r="Z2145" i="208"/>
  <c r="Z2142" i="208"/>
  <c r="Z2139" i="208"/>
  <c r="Z2136" i="208"/>
  <c r="Z2133" i="208"/>
  <c r="Z2130" i="208"/>
  <c r="Z2127" i="208"/>
  <c r="Z2124" i="208"/>
  <c r="Z2121" i="208"/>
  <c r="Z2118" i="208"/>
  <c r="Z2115" i="208"/>
  <c r="Z2112" i="208"/>
  <c r="Z2109" i="208"/>
  <c r="Z2106" i="208"/>
  <c r="Z2103" i="208"/>
  <c r="Z2100" i="208"/>
  <c r="Z2097" i="208"/>
  <c r="Z2094" i="208"/>
  <c r="Z2091" i="208"/>
  <c r="Z2088" i="208"/>
  <c r="Z2085" i="208"/>
  <c r="Z2082" i="208"/>
  <c r="Z2079" i="208"/>
  <c r="Z2076" i="208"/>
  <c r="Z2073" i="208"/>
  <c r="Z2070" i="208"/>
  <c r="Z2067" i="208"/>
  <c r="Z2064" i="208"/>
  <c r="Z2061" i="208"/>
  <c r="Z2058" i="208"/>
  <c r="Z2055" i="208"/>
  <c r="Z2052" i="208"/>
  <c r="Z2049" i="208"/>
  <c r="Z2046" i="208"/>
  <c r="Z2043" i="208"/>
  <c r="Z2040" i="208"/>
  <c r="Z2037" i="208"/>
  <c r="Z2034" i="208"/>
  <c r="Z2031" i="208"/>
  <c r="Z2028" i="208"/>
  <c r="Z2025" i="208"/>
  <c r="Z2022" i="208"/>
  <c r="Z2019" i="208"/>
  <c r="Z2016" i="208"/>
  <c r="Z2013" i="208"/>
  <c r="Z305" i="208"/>
  <c r="Z3000" i="208"/>
  <c r="Z2997" i="208"/>
  <c r="Z2991" i="208"/>
  <c r="Z2985" i="208"/>
  <c r="Z2982" i="208"/>
  <c r="Z2973" i="208"/>
  <c r="Z2970" i="208"/>
  <c r="Z2964" i="208"/>
  <c r="Z2958" i="208"/>
  <c r="Z2955" i="208"/>
  <c r="Z2946" i="208"/>
  <c r="Z2943" i="208"/>
  <c r="Z2937" i="208"/>
  <c r="Z2934" i="208"/>
  <c r="Z2925" i="208"/>
  <c r="Z2919" i="208"/>
  <c r="Z2916" i="208"/>
  <c r="Z2907" i="208"/>
  <c r="Z2874" i="208"/>
  <c r="X2795" i="208"/>
  <c r="X2723" i="208"/>
  <c r="X2651" i="208"/>
  <c r="Z2681" i="208"/>
  <c r="Z2480" i="208"/>
  <c r="Z2570" i="208"/>
  <c r="Z2010" i="208"/>
  <c r="Z2007" i="208"/>
  <c r="Z2004" i="208"/>
  <c r="Z2001" i="208"/>
  <c r="Z1998" i="208"/>
  <c r="Z1995" i="208"/>
  <c r="Z1992" i="208"/>
  <c r="Z1989" i="208"/>
  <c r="Z1986" i="208"/>
  <c r="Z1983" i="208"/>
  <c r="Z1980" i="208"/>
  <c r="Z1977" i="208"/>
  <c r="Z1974" i="208"/>
  <c r="Z1971" i="208"/>
  <c r="Z1968" i="208"/>
  <c r="Z1965" i="208"/>
  <c r="Z1962" i="208"/>
  <c r="Z1959" i="208"/>
  <c r="Z1956" i="208"/>
  <c r="Z1953" i="208"/>
  <c r="Z1950" i="208"/>
  <c r="Z1947" i="208"/>
  <c r="Z1944" i="208"/>
  <c r="Z1941" i="208"/>
  <c r="Z1938" i="208"/>
  <c r="Z1935" i="208"/>
  <c r="Z1932" i="208"/>
  <c r="Z1929" i="208"/>
  <c r="Z1926" i="208"/>
  <c r="Z1923" i="208"/>
  <c r="Z1920" i="208"/>
  <c r="Z1917" i="208"/>
  <c r="Z1914" i="208"/>
  <c r="Z1911" i="208"/>
  <c r="Z1908" i="208"/>
  <c r="Z1905" i="208"/>
  <c r="Z1902" i="208"/>
  <c r="Z1899" i="208"/>
  <c r="Z1896" i="208"/>
  <c r="Z1893" i="208"/>
  <c r="Z1890" i="208"/>
  <c r="Z1887" i="208"/>
  <c r="Z1884" i="208"/>
  <c r="Z1881" i="208"/>
  <c r="Z1878" i="208"/>
  <c r="Z1875" i="208"/>
  <c r="Z1872" i="208"/>
  <c r="Z1869" i="208"/>
  <c r="Z1866" i="208"/>
  <c r="Z1863" i="208"/>
  <c r="Z1860" i="208"/>
  <c r="Z1857" i="208"/>
  <c r="Z1854" i="208"/>
  <c r="Z1851" i="208"/>
  <c r="Z1848" i="208"/>
  <c r="Z1845" i="208"/>
  <c r="Z1842" i="208"/>
  <c r="Z1839" i="208"/>
  <c r="Z1836" i="208"/>
  <c r="Z1833" i="208"/>
  <c r="Z1830" i="208"/>
  <c r="Z1827" i="208"/>
  <c r="Z1824" i="208"/>
  <c r="Z1821" i="208"/>
  <c r="Z1818" i="208"/>
  <c r="Z1815" i="208"/>
  <c r="Z1812" i="208"/>
  <c r="Z1809" i="208"/>
  <c r="Z1806" i="208"/>
  <c r="Z1803" i="208"/>
  <c r="Z1800" i="208"/>
  <c r="Z1797" i="208"/>
  <c r="Z1794" i="208"/>
  <c r="Z1791" i="208"/>
  <c r="Z1788" i="208"/>
  <c r="Z1785" i="208"/>
  <c r="Z1782" i="208"/>
  <c r="Z1779" i="208"/>
  <c r="Z1776" i="208"/>
  <c r="Z1773" i="208"/>
  <c r="Z1770" i="208"/>
  <c r="Z1767" i="208"/>
  <c r="Z1764" i="208"/>
  <c r="Z1761" i="208"/>
  <c r="Z1758" i="208"/>
  <c r="Z1755" i="208"/>
  <c r="Z1752" i="208"/>
  <c r="Z1749" i="208"/>
  <c r="Z1746" i="208"/>
  <c r="Z1743" i="208"/>
  <c r="Z1740" i="208"/>
  <c r="Z1737" i="208"/>
  <c r="Z1734" i="208"/>
  <c r="Z1731" i="208"/>
  <c r="Z1728" i="208"/>
  <c r="Z1725" i="208"/>
  <c r="Z1722" i="208"/>
  <c r="Z1719" i="208"/>
  <c r="Z1716" i="208"/>
  <c r="Z1713" i="208"/>
  <c r="Z1710" i="208"/>
  <c r="Z1707" i="208"/>
  <c r="Z1704" i="208"/>
  <c r="Z1701" i="208"/>
  <c r="Z1698" i="208"/>
  <c r="Z1695" i="208"/>
  <c r="Z1692" i="208"/>
  <c r="Z1689" i="208"/>
  <c r="Z1686" i="208"/>
  <c r="Z1683" i="208"/>
  <c r="Z1680" i="208"/>
  <c r="Z1677" i="208"/>
  <c r="Z1674" i="208"/>
  <c r="Z1671" i="208"/>
  <c r="Z1668" i="208"/>
  <c r="Z1665" i="208"/>
  <c r="Z1662" i="208"/>
  <c r="Z1659" i="208"/>
  <c r="Z1656" i="208"/>
  <c r="Z1653" i="208"/>
  <c r="Z1650" i="208"/>
  <c r="Z1647" i="208"/>
  <c r="Z1644" i="208"/>
  <c r="Z1641" i="208"/>
  <c r="Z1638" i="208"/>
  <c r="Z1635" i="208"/>
  <c r="Z1632" i="208"/>
  <c r="Z1629" i="208"/>
  <c r="Z1626" i="208"/>
  <c r="Z1623" i="208"/>
  <c r="Z1620" i="208"/>
  <c r="Z1617" i="208"/>
  <c r="Z1614" i="208"/>
  <c r="Z1611" i="208"/>
  <c r="Z1608" i="208"/>
  <c r="Z1605" i="208"/>
  <c r="Z1602" i="208"/>
  <c r="Z1599" i="208"/>
  <c r="Z1596" i="208"/>
  <c r="Z1593" i="208"/>
  <c r="Z1590" i="208"/>
  <c r="Z1587" i="208"/>
  <c r="Z1584" i="208"/>
  <c r="Z1581" i="208"/>
  <c r="Z1578" i="208"/>
  <c r="Z1575" i="208"/>
  <c r="Z1572" i="208"/>
  <c r="Z1569" i="208"/>
  <c r="Z1566" i="208"/>
  <c r="Z1563" i="208"/>
  <c r="Z1560" i="208"/>
  <c r="Z1557" i="208"/>
  <c r="Z1554" i="208"/>
  <c r="Z1551" i="208"/>
  <c r="Z1548" i="208"/>
  <c r="Z1545" i="208"/>
  <c r="Z1542" i="208"/>
  <c r="Z1539" i="208"/>
  <c r="Z1536" i="208"/>
  <c r="Z1533" i="208"/>
  <c r="Z1530" i="208"/>
  <c r="Z1527" i="208"/>
  <c r="Z1524" i="208"/>
  <c r="Z1521" i="208"/>
  <c r="Z1518" i="208"/>
  <c r="Z1515" i="208"/>
  <c r="Z1512" i="208"/>
  <c r="Z1509" i="208"/>
  <c r="Z1506" i="208"/>
  <c r="Z1503" i="208"/>
  <c r="Z1500" i="208"/>
  <c r="Z1497" i="208"/>
  <c r="Z1494" i="208"/>
  <c r="Z1491" i="208"/>
  <c r="Z1488" i="208"/>
  <c r="Z1485" i="208"/>
  <c r="Z1482" i="208"/>
  <c r="Z1479" i="208"/>
  <c r="Z1476" i="208"/>
  <c r="Z1473" i="208"/>
  <c r="Z1470" i="208"/>
  <c r="Z1467" i="208"/>
  <c r="Z1464" i="208"/>
  <c r="Z1461" i="208"/>
  <c r="Z1458" i="208"/>
  <c r="Z1455" i="208"/>
  <c r="Z1452" i="208"/>
  <c r="Z1449" i="208"/>
  <c r="Z1446" i="208"/>
  <c r="Z1443" i="208"/>
  <c r="Z1440" i="208"/>
  <c r="Z1437" i="208"/>
  <c r="Z1434" i="208"/>
  <c r="Z1431" i="208"/>
  <c r="Z1428" i="208"/>
  <c r="Z1425" i="208"/>
  <c r="Z1422" i="208"/>
  <c r="Z1419" i="208"/>
  <c r="Z1416" i="208"/>
  <c r="Z1413" i="208"/>
  <c r="Z1410" i="208"/>
  <c r="Z1407" i="208"/>
  <c r="Z1404" i="208"/>
  <c r="Z1401" i="208"/>
  <c r="Z1398" i="208"/>
  <c r="Z1395" i="208"/>
  <c r="Z1392" i="208"/>
  <c r="Z1389" i="208"/>
  <c r="Z1386" i="208"/>
  <c r="Z1383" i="208"/>
  <c r="Z1380" i="208"/>
  <c r="Z1377" i="208"/>
  <c r="Z1374" i="208"/>
  <c r="Z1371" i="208"/>
  <c r="Z1368" i="208"/>
  <c r="Z1365" i="208"/>
  <c r="Z1362" i="208"/>
  <c r="Z1359" i="208"/>
  <c r="Z1356" i="208"/>
  <c r="Z1353" i="208"/>
  <c r="Z1350" i="208"/>
  <c r="Z1347" i="208"/>
  <c r="Z1344" i="208"/>
  <c r="Z1341" i="208"/>
  <c r="Z1338" i="208"/>
  <c r="Z1335" i="208"/>
  <c r="Z1332" i="208"/>
  <c r="Z1329" i="208"/>
  <c r="Z1326" i="208"/>
  <c r="Z1323" i="208"/>
  <c r="Z1320" i="208"/>
  <c r="Z1317" i="208"/>
  <c r="Z1314" i="208"/>
  <c r="Z1311" i="208"/>
  <c r="Z1308" i="208"/>
  <c r="Z1305" i="208"/>
  <c r="Z1302" i="208"/>
  <c r="Z1299" i="208"/>
  <c r="Z1296" i="208"/>
  <c r="Z1293" i="208"/>
  <c r="Z1290" i="208"/>
  <c r="Z1287" i="208"/>
  <c r="Z1284" i="208"/>
  <c r="Z1281" i="208"/>
  <c r="Z1278" i="208"/>
  <c r="Z1275" i="208"/>
  <c r="Z1272" i="208"/>
  <c r="Z1269" i="208"/>
  <c r="Z1266" i="208"/>
  <c r="Z1263" i="208"/>
  <c r="Z1260" i="208"/>
  <c r="Z1257" i="208"/>
  <c r="Z1254" i="208"/>
  <c r="Z1251" i="208"/>
  <c r="Z1248" i="208"/>
  <c r="Z3" i="208"/>
  <c r="X409" i="208"/>
  <c r="Z1245" i="208"/>
  <c r="Z1242" i="208"/>
  <c r="Z1239" i="208"/>
  <c r="Z1236" i="208"/>
  <c r="Z1233" i="208"/>
  <c r="Z1230" i="208"/>
  <c r="Z1227" i="208"/>
  <c r="Z1224" i="208"/>
  <c r="Z1221" i="208"/>
  <c r="Z1218" i="208"/>
  <c r="Z1215" i="208"/>
  <c r="Z1212" i="208"/>
  <c r="Z1209" i="208"/>
  <c r="Z1206" i="208"/>
  <c r="Z1203" i="208"/>
  <c r="Z1200" i="208"/>
  <c r="Z1197" i="208"/>
  <c r="Z1194" i="208"/>
  <c r="Z1191" i="208"/>
  <c r="Z1188" i="208"/>
  <c r="Z1185" i="208"/>
  <c r="Z1182" i="208"/>
  <c r="Z1179" i="208"/>
  <c r="Z1176" i="208"/>
  <c r="Z1173" i="208"/>
  <c r="Z1170" i="208"/>
  <c r="Z1167" i="208"/>
  <c r="Z1164" i="208"/>
  <c r="Z1161" i="208"/>
  <c r="Z1158" i="208"/>
  <c r="Z1155" i="208"/>
  <c r="Z1152" i="208"/>
  <c r="Z1149" i="208"/>
  <c r="Z1146" i="208"/>
  <c r="Z1143" i="208"/>
  <c r="Z1140" i="208"/>
  <c r="Z1137" i="208"/>
  <c r="Z1134" i="208"/>
  <c r="Z1131" i="208"/>
  <c r="Z1128" i="208"/>
  <c r="Z1125" i="208"/>
  <c r="Z1122" i="208"/>
  <c r="Z1119" i="208"/>
  <c r="Z1116" i="208"/>
  <c r="Z1113" i="208"/>
  <c r="Z1110" i="208"/>
  <c r="Z1107" i="208"/>
  <c r="Z1104" i="208"/>
  <c r="Z1101" i="208"/>
  <c r="Z1098" i="208"/>
  <c r="Z1095" i="208"/>
  <c r="Z1092" i="208"/>
  <c r="Z1089" i="208"/>
  <c r="Z1086" i="208"/>
  <c r="Z1083" i="208"/>
  <c r="Z1080" i="208"/>
  <c r="Z1077" i="208"/>
  <c r="Z1074" i="208"/>
  <c r="Z1071" i="208"/>
  <c r="Z1068" i="208"/>
  <c r="Z1065" i="208"/>
  <c r="Z1062" i="208"/>
  <c r="Z1059" i="208"/>
  <c r="Z1056" i="208"/>
  <c r="Z1053" i="208"/>
  <c r="Z1050" i="208"/>
  <c r="Z1047" i="208"/>
  <c r="Z1044" i="208"/>
  <c r="Z1041" i="208"/>
  <c r="Z1038" i="208"/>
  <c r="Z1035" i="208"/>
  <c r="Z1032" i="208"/>
  <c r="Z1029" i="208"/>
  <c r="Z1026" i="208"/>
  <c r="Z1023" i="208"/>
  <c r="Z1020" i="208"/>
  <c r="Z1017" i="208"/>
  <c r="Z1014" i="208"/>
  <c r="Z1011" i="208"/>
  <c r="Z1008" i="208"/>
  <c r="Z1005" i="208"/>
  <c r="Z1002" i="208"/>
  <c r="Z999" i="208"/>
  <c r="Z996" i="208"/>
  <c r="Z993" i="208"/>
  <c r="X1067" i="208"/>
  <c r="AD2990" i="208"/>
  <c r="X2990" i="208"/>
  <c r="AD2963" i="208"/>
  <c r="X2963" i="208"/>
  <c r="AD2945" i="208"/>
  <c r="X2945" i="208"/>
  <c r="AD2942" i="208"/>
  <c r="X2942" i="208"/>
  <c r="AD2933" i="208"/>
  <c r="X2933" i="208"/>
  <c r="AD2930" i="208"/>
  <c r="X2930" i="208"/>
  <c r="AD2927" i="208"/>
  <c r="X2927" i="208"/>
  <c r="AD2918" i="208"/>
  <c r="X2918" i="208"/>
  <c r="AD2915" i="208"/>
  <c r="X2915" i="208"/>
  <c r="AD2912" i="208"/>
  <c r="X2912" i="208"/>
  <c r="AD2873" i="208"/>
  <c r="X2873" i="208"/>
  <c r="AD2870" i="208"/>
  <c r="X2870" i="208"/>
  <c r="AD2858" i="208"/>
  <c r="X2858" i="208"/>
  <c r="AD2855" i="208"/>
  <c r="X2855" i="208"/>
  <c r="AD2852" i="208"/>
  <c r="X2852" i="208"/>
  <c r="AD2837" i="208"/>
  <c r="X2837" i="208"/>
  <c r="AD2834" i="208"/>
  <c r="X2834" i="208"/>
  <c r="AD2831" i="208"/>
  <c r="X2831" i="208"/>
  <c r="AD2819" i="208"/>
  <c r="X2819" i="208"/>
  <c r="AD2792" i="208"/>
  <c r="X2792" i="208"/>
  <c r="AD2789" i="208"/>
  <c r="X2789" i="208"/>
  <c r="AD2786" i="208"/>
  <c r="X2786" i="208"/>
  <c r="AD2783" i="208"/>
  <c r="X2783" i="208"/>
  <c r="AD2762" i="208"/>
  <c r="X2762" i="208"/>
  <c r="AD2759" i="208"/>
  <c r="X2759" i="208"/>
  <c r="AD2753" i="208"/>
  <c r="X2753" i="208"/>
  <c r="AD2747" i="208"/>
  <c r="X2747" i="208"/>
  <c r="AD2744" i="208"/>
  <c r="X2744" i="208"/>
  <c r="AD2720" i="208"/>
  <c r="X2720" i="208"/>
  <c r="AD2666" i="208"/>
  <c r="X2666" i="208"/>
  <c r="AD2633" i="208"/>
  <c r="X2633" i="208"/>
  <c r="AD2627" i="208"/>
  <c r="X2627" i="208"/>
  <c r="AD2582" i="208"/>
  <c r="X2582" i="208"/>
  <c r="AD2570" i="208"/>
  <c r="X2570" i="208"/>
  <c r="AD2546" i="208"/>
  <c r="X2546" i="208"/>
  <c r="AD2537" i="208"/>
  <c r="X2537" i="208"/>
  <c r="AD2534" i="208"/>
  <c r="X2534" i="208"/>
  <c r="AD2531" i="208"/>
  <c r="X2531" i="208"/>
  <c r="AD2528" i="208"/>
  <c r="X2528" i="208"/>
  <c r="AD2525" i="208"/>
  <c r="X2525" i="208"/>
  <c r="AD2519" i="208"/>
  <c r="X2519" i="208"/>
  <c r="AD2465" i="208"/>
  <c r="X2465" i="208"/>
  <c r="AD2456" i="208"/>
  <c r="X2456" i="208"/>
  <c r="AD2447" i="208"/>
  <c r="X2447" i="208"/>
  <c r="AD2441" i="208"/>
  <c r="X2441" i="208"/>
  <c r="AD2435" i="208"/>
  <c r="AD2429" i="208"/>
  <c r="X2429" i="208"/>
  <c r="AD2426" i="208"/>
  <c r="X2426" i="208"/>
  <c r="AD2423" i="208"/>
  <c r="X2423" i="208"/>
  <c r="AD2417" i="208"/>
  <c r="X2417" i="208"/>
  <c r="AD2414" i="208"/>
  <c r="X2414" i="208"/>
  <c r="AD2408" i="208"/>
  <c r="X2408" i="208"/>
  <c r="AD2402" i="208"/>
  <c r="X2402" i="208"/>
  <c r="AD2396" i="208"/>
  <c r="X2396" i="208"/>
  <c r="AD2393" i="208"/>
  <c r="X2393" i="208"/>
  <c r="AD2384" i="208"/>
  <c r="X2384" i="208"/>
  <c r="AD2381" i="208"/>
  <c r="X2381" i="208"/>
  <c r="AD2375" i="208"/>
  <c r="X2375" i="208"/>
  <c r="AD2369" i="208"/>
  <c r="X2369" i="208"/>
  <c r="AD2360" i="208"/>
  <c r="X2360" i="208"/>
  <c r="AD2354" i="208"/>
  <c r="X2354" i="208"/>
  <c r="AD2348" i="208"/>
  <c r="X2348" i="208"/>
  <c r="AD2342" i="208"/>
  <c r="X2342" i="208"/>
  <c r="AD2336" i="208"/>
  <c r="X2336" i="208"/>
  <c r="AD2330" i="208"/>
  <c r="X2330" i="208"/>
  <c r="AD2324" i="208"/>
  <c r="X2324" i="208"/>
  <c r="AD2318" i="208"/>
  <c r="X2318" i="208"/>
  <c r="AD2312" i="208"/>
  <c r="X2312" i="208"/>
  <c r="AD2309" i="208"/>
  <c r="X2309" i="208"/>
  <c r="AD2300" i="208"/>
  <c r="X2300" i="208"/>
  <c r="AD2297" i="208"/>
  <c r="X2297" i="208"/>
  <c r="AD2291" i="208"/>
  <c r="AD2288" i="208"/>
  <c r="X2288" i="208"/>
  <c r="AD2279" i="208"/>
  <c r="X2279" i="208"/>
  <c r="AD2273" i="208"/>
  <c r="X2273" i="208"/>
  <c r="AD2267" i="208"/>
  <c r="X2267" i="208"/>
  <c r="AD2261" i="208"/>
  <c r="X2261" i="208"/>
  <c r="AD2255" i="208"/>
  <c r="X2255" i="208"/>
  <c r="AD2249" i="208"/>
  <c r="X2249" i="208"/>
  <c r="AD2246" i="208"/>
  <c r="X2246" i="208"/>
  <c r="AD2237" i="208"/>
  <c r="X2237" i="208"/>
  <c r="AD2231" i="208"/>
  <c r="X2231" i="208"/>
  <c r="AD2228" i="208"/>
  <c r="X2228" i="208"/>
  <c r="AD2222" i="208"/>
  <c r="X2222" i="208"/>
  <c r="AD2219" i="208"/>
  <c r="AD2210" i="208"/>
  <c r="X2210" i="208"/>
  <c r="AD2207" i="208"/>
  <c r="X2207" i="208"/>
  <c r="AD2201" i="208"/>
  <c r="X2201" i="208"/>
  <c r="AD2195" i="208"/>
  <c r="X2195" i="208"/>
  <c r="AD2189" i="208"/>
  <c r="X2189" i="208"/>
  <c r="AD2183" i="208"/>
  <c r="X2183" i="208"/>
  <c r="AD2177" i="208"/>
  <c r="X2177" i="208"/>
  <c r="AD2171" i="208"/>
  <c r="X2171" i="208"/>
  <c r="AD2165" i="208"/>
  <c r="X2165" i="208"/>
  <c r="AD2159" i="208"/>
  <c r="X2159" i="208"/>
  <c r="AD2153" i="208"/>
  <c r="X2153" i="208"/>
  <c r="AD2144" i="208"/>
  <c r="X2144" i="208"/>
  <c r="AD2141" i="208"/>
  <c r="X2141" i="208"/>
  <c r="AD2135" i="208"/>
  <c r="X2135" i="208"/>
  <c r="AD2129" i="208"/>
  <c r="X2129" i="208"/>
  <c r="AD2123" i="208"/>
  <c r="X2123" i="208"/>
  <c r="AD2117" i="208"/>
  <c r="X2117" i="208"/>
  <c r="AD2111" i="208"/>
  <c r="X2111" i="208"/>
  <c r="AD2105" i="208"/>
  <c r="X2105" i="208"/>
  <c r="AD2099" i="208"/>
  <c r="X2099" i="208"/>
  <c r="AD2093" i="208"/>
  <c r="X2093" i="208"/>
  <c r="AD2087" i="208"/>
  <c r="X2087" i="208"/>
  <c r="AD2081" i="208"/>
  <c r="X2081" i="208"/>
  <c r="AD2078" i="208"/>
  <c r="X2078" i="208"/>
  <c r="AD2075" i="208"/>
  <c r="AD2072" i="208"/>
  <c r="X2072" i="208"/>
  <c r="AD2060" i="208"/>
  <c r="X2060" i="208"/>
  <c r="AD2054" i="208"/>
  <c r="X2054" i="208"/>
  <c r="AD2048" i="208"/>
  <c r="X2048" i="208"/>
  <c r="AD2042" i="208"/>
  <c r="X2042" i="208"/>
  <c r="AD2036" i="208"/>
  <c r="X2036" i="208"/>
  <c r="AD2030" i="208"/>
  <c r="X2030" i="208"/>
  <c r="AD2024" i="208"/>
  <c r="X2024" i="208"/>
  <c r="AD2018" i="208"/>
  <c r="X2018" i="208"/>
  <c r="AD2012" i="208"/>
  <c r="X2012" i="208"/>
  <c r="AD2000" i="208"/>
  <c r="X2000" i="208"/>
  <c r="AD1994" i="208"/>
  <c r="X1994" i="208"/>
  <c r="AD1988" i="208"/>
  <c r="X1988" i="208"/>
  <c r="AD1979" i="208"/>
  <c r="X1979" i="208"/>
  <c r="AD1976" i="208"/>
  <c r="X1976" i="208"/>
  <c r="AD1970" i="208"/>
  <c r="X1970" i="208"/>
  <c r="AD1964" i="208"/>
  <c r="X1964" i="208"/>
  <c r="AD1958" i="208"/>
  <c r="X1958" i="208"/>
  <c r="AD1952" i="208"/>
  <c r="X1952" i="208"/>
  <c r="AD1946" i="208"/>
  <c r="X1946" i="208"/>
  <c r="AD1940" i="208"/>
  <c r="X1940" i="208"/>
  <c r="AD1934" i="208"/>
  <c r="X1934" i="208"/>
  <c r="AD1931" i="208"/>
  <c r="AD1925" i="208"/>
  <c r="X1925" i="208"/>
  <c r="AD1919" i="208"/>
  <c r="X1919" i="208"/>
  <c r="AD1913" i="208"/>
  <c r="X1913" i="208"/>
  <c r="AD1907" i="208"/>
  <c r="X1907" i="208"/>
  <c r="AD1901" i="208"/>
  <c r="X1901" i="208"/>
  <c r="AD1895" i="208"/>
  <c r="X1895" i="208"/>
  <c r="AD1886" i="208"/>
  <c r="X1886" i="208"/>
  <c r="AD1883" i="208"/>
  <c r="X1883" i="208"/>
  <c r="AD1880" i="208"/>
  <c r="X1880" i="208"/>
  <c r="AD1877" i="208"/>
  <c r="X1877" i="208"/>
  <c r="AD1874" i="208"/>
  <c r="X1874" i="208"/>
  <c r="AD1871" i="208"/>
  <c r="X1871" i="208"/>
  <c r="AD1862" i="208"/>
  <c r="X1862" i="208"/>
  <c r="AD1859" i="208"/>
  <c r="AD1853" i="208"/>
  <c r="X1853" i="208"/>
  <c r="AD1847" i="208"/>
  <c r="X1847" i="208"/>
  <c r="AD1838" i="208"/>
  <c r="X1838" i="208"/>
  <c r="AD1832" i="208"/>
  <c r="X1832" i="208"/>
  <c r="AD1829" i="208"/>
  <c r="X1829" i="208"/>
  <c r="AD1820" i="208"/>
  <c r="X1820" i="208"/>
  <c r="AD1817" i="208"/>
  <c r="X1817" i="208"/>
  <c r="AD1814" i="208"/>
  <c r="X1814" i="208"/>
  <c r="AD1811" i="208"/>
  <c r="X1811" i="208"/>
  <c r="AD1808" i="208"/>
  <c r="X1808" i="208"/>
  <c r="AD1799" i="208"/>
  <c r="X1799" i="208"/>
  <c r="AD1793" i="208"/>
  <c r="X1793" i="208"/>
  <c r="AD1790" i="208"/>
  <c r="X1790" i="208"/>
  <c r="AD1787" i="208"/>
  <c r="AD1784" i="208"/>
  <c r="X1784" i="208"/>
  <c r="AD1781" i="208"/>
  <c r="X1781" i="208"/>
  <c r="AD1778" i="208"/>
  <c r="X1778" i="208"/>
  <c r="AD1775" i="208"/>
  <c r="X1775" i="208"/>
  <c r="AD1772" i="208"/>
  <c r="X1772" i="208"/>
  <c r="AD1769" i="208"/>
  <c r="X1769" i="208"/>
  <c r="AD1766" i="208"/>
  <c r="X1766" i="208"/>
  <c r="AD1757" i="208"/>
  <c r="X1757" i="208"/>
  <c r="AD1751" i="208"/>
  <c r="X1751" i="208"/>
  <c r="AD1748" i="208"/>
  <c r="X1748" i="208"/>
  <c r="AD1739" i="208"/>
  <c r="X1739" i="208"/>
  <c r="AD1736" i="208"/>
  <c r="X1736" i="208"/>
  <c r="AD1733" i="208"/>
  <c r="X1733" i="208"/>
  <c r="AD1730" i="208"/>
  <c r="X1730" i="208"/>
  <c r="AD1727" i="208"/>
  <c r="X1727" i="208"/>
  <c r="AD1724" i="208"/>
  <c r="X1724" i="208"/>
  <c r="AD1721" i="208"/>
  <c r="X1721" i="208"/>
  <c r="AD1718" i="208"/>
  <c r="X1718" i="208"/>
  <c r="AD1709" i="208"/>
  <c r="X1709" i="208"/>
  <c r="AD1706" i="208"/>
  <c r="X1706" i="208"/>
  <c r="AD1703" i="208"/>
  <c r="X1703" i="208"/>
  <c r="AD1697" i="208"/>
  <c r="X1697" i="208"/>
  <c r="AD1694" i="208"/>
  <c r="X1694" i="208"/>
  <c r="AD1691" i="208"/>
  <c r="X1691" i="208"/>
  <c r="AD1688" i="208"/>
  <c r="X1688" i="208"/>
  <c r="AD1685" i="208"/>
  <c r="X1685" i="208"/>
  <c r="AD1682" i="208"/>
  <c r="X1682" i="208"/>
  <c r="AD1679" i="208"/>
  <c r="X1679" i="208"/>
  <c r="AD1676" i="208"/>
  <c r="X1676" i="208"/>
  <c r="AD1673" i="208"/>
  <c r="X1673" i="208"/>
  <c r="AD1670" i="208"/>
  <c r="X1670" i="208"/>
  <c r="AD1667" i="208"/>
  <c r="X1667" i="208"/>
  <c r="AD1664" i="208"/>
  <c r="X1664" i="208"/>
  <c r="AD1661" i="208"/>
  <c r="X1661" i="208"/>
  <c r="AD1658" i="208"/>
  <c r="X1658" i="208"/>
  <c r="AD1655" i="208"/>
  <c r="X1655" i="208"/>
  <c r="AD1652" i="208"/>
  <c r="X1652" i="208"/>
  <c r="AD1649" i="208"/>
  <c r="X1649" i="208"/>
  <c r="AD1646" i="208"/>
  <c r="X1646" i="208"/>
  <c r="AD1643" i="208"/>
  <c r="AD1640" i="208"/>
  <c r="X1640" i="208"/>
  <c r="AD1637" i="208"/>
  <c r="X1637" i="208"/>
  <c r="AD1634" i="208"/>
  <c r="X1634" i="208"/>
  <c r="AD1631" i="208"/>
  <c r="X1631" i="208"/>
  <c r="AD1628" i="208"/>
  <c r="X1628" i="208"/>
  <c r="AD1625" i="208"/>
  <c r="X1625" i="208"/>
  <c r="AD1622" i="208"/>
  <c r="X1622" i="208"/>
  <c r="AD1619" i="208"/>
  <c r="X1619" i="208"/>
  <c r="AD1616" i="208"/>
  <c r="X1616" i="208"/>
  <c r="AD1613" i="208"/>
  <c r="X1613" i="208"/>
  <c r="AD1610" i="208"/>
  <c r="X1610" i="208"/>
  <c r="AD1607" i="208"/>
  <c r="X1607" i="208"/>
  <c r="AD1604" i="208"/>
  <c r="X1604" i="208"/>
  <c r="AD1601" i="208"/>
  <c r="X1601" i="208"/>
  <c r="AD1598" i="208"/>
  <c r="X1598" i="208"/>
  <c r="AD1595" i="208"/>
  <c r="X1595" i="208"/>
  <c r="AD1592" i="208"/>
  <c r="X1592" i="208"/>
  <c r="AD1589" i="208"/>
  <c r="X1589" i="208"/>
  <c r="AD1586" i="208"/>
  <c r="X1586" i="208"/>
  <c r="AD1583" i="208"/>
  <c r="X1583" i="208"/>
  <c r="AD1580" i="208"/>
  <c r="X1580" i="208"/>
  <c r="AD1577" i="208"/>
  <c r="X1577" i="208"/>
  <c r="AD1574" i="208"/>
  <c r="X1574" i="208"/>
  <c r="AD1571" i="208"/>
  <c r="AD1568" i="208"/>
  <c r="X1568" i="208"/>
  <c r="AD1565" i="208"/>
  <c r="X1565" i="208"/>
  <c r="AD1562" i="208"/>
  <c r="X1562" i="208"/>
  <c r="AD1559" i="208"/>
  <c r="X1559" i="208"/>
  <c r="AD1556" i="208"/>
  <c r="X1556" i="208"/>
  <c r="AD1553" i="208"/>
  <c r="X1553" i="208"/>
  <c r="AD1550" i="208"/>
  <c r="X1550" i="208"/>
  <c r="AD1547" i="208"/>
  <c r="X1547" i="208"/>
  <c r="AD1544" i="208"/>
  <c r="X1544" i="208"/>
  <c r="AD1541" i="208"/>
  <c r="X1541" i="208"/>
  <c r="AD1538" i="208"/>
  <c r="X1538" i="208"/>
  <c r="AD1535" i="208"/>
  <c r="X1535" i="208"/>
  <c r="AD1532" i="208"/>
  <c r="X1532" i="208"/>
  <c r="AD1526" i="208"/>
  <c r="X1526" i="208"/>
  <c r="AD1523" i="208"/>
  <c r="X1523" i="208"/>
  <c r="AD1520" i="208"/>
  <c r="X1520" i="208"/>
  <c r="AD1517" i="208"/>
  <c r="X1517" i="208"/>
  <c r="AD1514" i="208"/>
  <c r="X1514" i="208"/>
  <c r="AD1511" i="208"/>
  <c r="X1511" i="208"/>
  <c r="AD1508" i="208"/>
  <c r="X1508" i="208"/>
  <c r="AD1505" i="208"/>
  <c r="X1505" i="208"/>
  <c r="AD1502" i="208"/>
  <c r="X1502" i="208"/>
  <c r="AD1499" i="208"/>
  <c r="AD1496" i="208"/>
  <c r="X1496" i="208"/>
  <c r="AD1493" i="208"/>
  <c r="X1493" i="208"/>
  <c r="AD1490" i="208"/>
  <c r="X1490" i="208"/>
  <c r="AD1487" i="208"/>
  <c r="X1487" i="208"/>
  <c r="AD1484" i="208"/>
  <c r="X1484" i="208"/>
  <c r="AD1481" i="208"/>
  <c r="X1481" i="208"/>
  <c r="AD1478" i="208"/>
  <c r="X1478" i="208"/>
  <c r="AD1475" i="208"/>
  <c r="X1475" i="208"/>
  <c r="AD1472" i="208"/>
  <c r="X1472" i="208"/>
  <c r="AD1469" i="208"/>
  <c r="X1469" i="208"/>
  <c r="AD1466" i="208"/>
  <c r="X1466" i="208"/>
  <c r="AD1463" i="208"/>
  <c r="X1463" i="208"/>
  <c r="AD1460" i="208"/>
  <c r="X1460" i="208"/>
  <c r="AD1457" i="208"/>
  <c r="X1457" i="208"/>
  <c r="AD1454" i="208"/>
  <c r="X1454" i="208"/>
  <c r="AD1451" i="208"/>
  <c r="X1451" i="208"/>
  <c r="AD1448" i="208"/>
  <c r="X1448" i="208"/>
  <c r="AD1445" i="208"/>
  <c r="X1445" i="208"/>
  <c r="AD1442" i="208"/>
  <c r="X1442" i="208"/>
  <c r="AD1439" i="208"/>
  <c r="X1439" i="208"/>
  <c r="AD1436" i="208"/>
  <c r="X1436" i="208"/>
  <c r="AD1433" i="208"/>
  <c r="X1433" i="208"/>
  <c r="AD1430" i="208"/>
  <c r="X1430" i="208"/>
  <c r="AD1427" i="208"/>
  <c r="AD1424" i="208"/>
  <c r="X1424" i="208"/>
  <c r="AD1421" i="208"/>
  <c r="X1421" i="208"/>
  <c r="AD1418" i="208"/>
  <c r="X1418" i="208"/>
  <c r="AD1415" i="208"/>
  <c r="X1415" i="208"/>
  <c r="AD1412" i="208"/>
  <c r="X1412" i="208"/>
  <c r="AD1409" i="208"/>
  <c r="X1409" i="208"/>
  <c r="AD1406" i="208"/>
  <c r="X1406" i="208"/>
  <c r="AD1403" i="208"/>
  <c r="X1403" i="208"/>
  <c r="AD1400" i="208"/>
  <c r="X1400" i="208"/>
  <c r="AD1397" i="208"/>
  <c r="X1397" i="208"/>
  <c r="AD1394" i="208"/>
  <c r="X1394" i="208"/>
  <c r="AD1391" i="208"/>
  <c r="X1391" i="208"/>
  <c r="AD1388" i="208"/>
  <c r="X1388" i="208"/>
  <c r="AD1385" i="208"/>
  <c r="X1385" i="208"/>
  <c r="AD1382" i="208"/>
  <c r="X1382" i="208"/>
  <c r="AD1379" i="208"/>
  <c r="X1379" i="208"/>
  <c r="AD1376" i="208"/>
  <c r="X1376" i="208"/>
  <c r="AD1373" i="208"/>
  <c r="X1373" i="208"/>
  <c r="AD1370" i="208"/>
  <c r="X1370" i="208"/>
  <c r="AD1367" i="208"/>
  <c r="X1367" i="208"/>
  <c r="AD1364" i="208"/>
  <c r="X1364" i="208"/>
  <c r="AD1361" i="208"/>
  <c r="X1361" i="208"/>
  <c r="AD1358" i="208"/>
  <c r="X1358" i="208"/>
  <c r="AD1355" i="208"/>
  <c r="AD1352" i="208"/>
  <c r="X1352" i="208"/>
  <c r="AD1349" i="208"/>
  <c r="X1349" i="208"/>
  <c r="AD1346" i="208"/>
  <c r="X1346" i="208"/>
  <c r="AD1343" i="208"/>
  <c r="X1343" i="208"/>
  <c r="AD1340" i="208"/>
  <c r="X1340" i="208"/>
  <c r="AD1337" i="208"/>
  <c r="X1337" i="208"/>
  <c r="AD1334" i="208"/>
  <c r="X1334" i="208"/>
  <c r="AD1331" i="208"/>
  <c r="X1331" i="208"/>
  <c r="AD1328" i="208"/>
  <c r="X1328" i="208"/>
  <c r="AD1325" i="208"/>
  <c r="X1325" i="208"/>
  <c r="AD1322" i="208"/>
  <c r="X1322" i="208"/>
  <c r="AD1319" i="208"/>
  <c r="X1319" i="208"/>
  <c r="AD1316" i="208"/>
  <c r="X1316" i="208"/>
  <c r="AD1313" i="208"/>
  <c r="X1313" i="208"/>
  <c r="AD1310" i="208"/>
  <c r="X1310" i="208"/>
  <c r="AD1307" i="208"/>
  <c r="X1307" i="208"/>
  <c r="AD1304" i="208"/>
  <c r="X1304" i="208"/>
  <c r="AD1301" i="208"/>
  <c r="X1301" i="208"/>
  <c r="AD1298" i="208"/>
  <c r="X1298" i="208"/>
  <c r="AD1295" i="208"/>
  <c r="X1295" i="208"/>
  <c r="AD1292" i="208"/>
  <c r="X1292" i="208"/>
  <c r="AD1289" i="208"/>
  <c r="X1289" i="208"/>
  <c r="AD1286" i="208"/>
  <c r="X1286" i="208"/>
  <c r="AD1283" i="208"/>
  <c r="AD1280" i="208"/>
  <c r="X1280" i="208"/>
  <c r="AD1277" i="208"/>
  <c r="X1277" i="208"/>
  <c r="AD1274" i="208"/>
  <c r="X1274" i="208"/>
  <c r="AD1271" i="208"/>
  <c r="X1271" i="208"/>
  <c r="AD1268" i="208"/>
  <c r="X1268" i="208"/>
  <c r="AD1265" i="208"/>
  <c r="X1265" i="208"/>
  <c r="AD1262" i="208"/>
  <c r="X1262" i="208"/>
  <c r="AD1259" i="208"/>
  <c r="X1259" i="208"/>
  <c r="AD1256" i="208"/>
  <c r="X1256" i="208"/>
  <c r="AD1253" i="208"/>
  <c r="X1253" i="208"/>
  <c r="AD1250" i="208"/>
  <c r="X1250" i="208"/>
  <c r="AD1247" i="208"/>
  <c r="X1247" i="208"/>
  <c r="AD1244" i="208"/>
  <c r="X1244" i="208"/>
  <c r="AD1241" i="208"/>
  <c r="X1241" i="208"/>
  <c r="AD1238" i="208"/>
  <c r="X1238" i="208"/>
  <c r="AD1235" i="208"/>
  <c r="X1235" i="208"/>
  <c r="AD1232" i="208"/>
  <c r="X1232" i="208"/>
  <c r="AD1229" i="208"/>
  <c r="X1229" i="208"/>
  <c r="AD1226" i="208"/>
  <c r="X1226" i="208"/>
  <c r="AD1223" i="208"/>
  <c r="X1223" i="208"/>
  <c r="AD1220" i="208"/>
  <c r="X1220" i="208"/>
  <c r="AD1217" i="208"/>
  <c r="X1217" i="208"/>
  <c r="AD1214" i="208"/>
  <c r="X1214" i="208"/>
  <c r="AD1211" i="208"/>
  <c r="AD1208" i="208"/>
  <c r="X1208" i="208"/>
  <c r="AD1205" i="208"/>
  <c r="X1205" i="208"/>
  <c r="AD1202" i="208"/>
  <c r="X1202" i="208"/>
  <c r="AD1199" i="208"/>
  <c r="X1199" i="208"/>
  <c r="AD1196" i="208"/>
  <c r="X1196" i="208"/>
  <c r="AD1193" i="208"/>
  <c r="X1193" i="208"/>
  <c r="AD1190" i="208"/>
  <c r="X1190" i="208"/>
  <c r="AD1187" i="208"/>
  <c r="X1187" i="208"/>
  <c r="AD1184" i="208"/>
  <c r="X1184" i="208"/>
  <c r="AD1181" i="208"/>
  <c r="X1181" i="208"/>
  <c r="AD1178" i="208"/>
  <c r="X1178" i="208"/>
  <c r="AD1175" i="208"/>
  <c r="X1175" i="208"/>
  <c r="AD1172" i="208"/>
  <c r="X1172" i="208"/>
  <c r="AD1169" i="208"/>
  <c r="X1169" i="208"/>
  <c r="AD1166" i="208"/>
  <c r="X1166" i="208"/>
  <c r="AD1163" i="208"/>
  <c r="X1163" i="208"/>
  <c r="AD1160" i="208"/>
  <c r="X1160" i="208"/>
  <c r="AD1157" i="208"/>
  <c r="X1157" i="208"/>
  <c r="AD1154" i="208"/>
  <c r="X1154" i="208"/>
  <c r="AD1151" i="208"/>
  <c r="X1151" i="208"/>
  <c r="AD1148" i="208"/>
  <c r="X1148" i="208"/>
  <c r="AD1145" i="208"/>
  <c r="X1145" i="208"/>
  <c r="AD1142" i="208"/>
  <c r="X1142" i="208"/>
  <c r="AD1139" i="208"/>
  <c r="AD1136" i="208"/>
  <c r="X1136" i="208"/>
  <c r="AD1133" i="208"/>
  <c r="X1133" i="208"/>
  <c r="AD1130" i="208"/>
  <c r="X1130" i="208"/>
  <c r="AD1127" i="208"/>
  <c r="X1127" i="208"/>
  <c r="AD1124" i="208"/>
  <c r="X1124" i="208"/>
  <c r="AD1121" i="208"/>
  <c r="X1121" i="208"/>
  <c r="AD1118" i="208"/>
  <c r="X1118" i="208"/>
  <c r="AD1115" i="208"/>
  <c r="X1115" i="208"/>
  <c r="AD1112" i="208"/>
  <c r="X1112" i="208"/>
  <c r="AD1109" i="208"/>
  <c r="X1109" i="208"/>
  <c r="AD1106" i="208"/>
  <c r="X1106" i="208"/>
  <c r="AD1103" i="208"/>
  <c r="X1103" i="208"/>
  <c r="AD1100" i="208"/>
  <c r="X1100" i="208"/>
  <c r="AD1097" i="208"/>
  <c r="X1097" i="208"/>
  <c r="AD1094" i="208"/>
  <c r="X1094" i="208"/>
  <c r="AD1091" i="208"/>
  <c r="X1091" i="208"/>
  <c r="AD1088" i="208"/>
  <c r="X1088" i="208"/>
  <c r="AD1085" i="208"/>
  <c r="X1085" i="208"/>
  <c r="AD1082" i="208"/>
  <c r="X1082" i="208"/>
  <c r="AD1079" i="208"/>
  <c r="X1079" i="208"/>
  <c r="AD1076" i="208"/>
  <c r="X1076" i="208"/>
  <c r="AD1073" i="208"/>
  <c r="X1073" i="208"/>
  <c r="AD1070" i="208"/>
  <c r="X1070" i="208"/>
  <c r="AD1067" i="208"/>
  <c r="AD1064" i="208"/>
  <c r="X1064" i="208"/>
  <c r="AD1061" i="208"/>
  <c r="X1061" i="208"/>
  <c r="AD1058" i="208"/>
  <c r="X1058" i="208"/>
  <c r="AD1055" i="208"/>
  <c r="X1055" i="208"/>
  <c r="AD1052" i="208"/>
  <c r="X1052" i="208"/>
  <c r="AD1049" i="208"/>
  <c r="X1049" i="208"/>
  <c r="AD1046" i="208"/>
  <c r="X1046" i="208"/>
  <c r="AD1043" i="208"/>
  <c r="X1043" i="208"/>
  <c r="AD1040" i="208"/>
  <c r="X1040" i="208"/>
  <c r="AD1037" i="208"/>
  <c r="X1037" i="208"/>
  <c r="AD1034" i="208"/>
  <c r="X1034" i="208"/>
  <c r="AD1031" i="208"/>
  <c r="X1031" i="208"/>
  <c r="AD1028" i="208"/>
  <c r="X1028" i="208"/>
  <c r="AD1025" i="208"/>
  <c r="X1025" i="208"/>
  <c r="AD1022" i="208"/>
  <c r="X1022" i="208"/>
  <c r="AD1019" i="208"/>
  <c r="X1019" i="208"/>
  <c r="AD1016" i="208"/>
  <c r="X1016" i="208"/>
  <c r="AD1013" i="208"/>
  <c r="X1013" i="208"/>
  <c r="AD1010" i="208"/>
  <c r="X1010" i="208"/>
  <c r="AD1007" i="208"/>
  <c r="X1007" i="208"/>
  <c r="AD1004" i="208"/>
  <c r="X1004" i="208"/>
  <c r="AD1001" i="208"/>
  <c r="X1001" i="208"/>
  <c r="AD998" i="208"/>
  <c r="X998" i="208"/>
  <c r="AD995" i="208"/>
  <c r="AD992" i="208"/>
  <c r="X992" i="208"/>
  <c r="AD989" i="208"/>
  <c r="X989" i="208"/>
  <c r="AD986" i="208"/>
  <c r="X986" i="208"/>
  <c r="AD983" i="208"/>
  <c r="X983" i="208"/>
  <c r="AD980" i="208"/>
  <c r="X980" i="208"/>
  <c r="AD977" i="208"/>
  <c r="X977" i="208"/>
  <c r="AD974" i="208"/>
  <c r="X974" i="208"/>
  <c r="AD971" i="208"/>
  <c r="X971" i="208"/>
  <c r="AD968" i="208"/>
  <c r="X968" i="208"/>
  <c r="AD965" i="208"/>
  <c r="X965" i="208"/>
  <c r="AD962" i="208"/>
  <c r="X962" i="208"/>
  <c r="AD959" i="208"/>
  <c r="X959" i="208"/>
  <c r="AD956" i="208"/>
  <c r="X956" i="208"/>
  <c r="AD953" i="208"/>
  <c r="X953" i="208"/>
  <c r="AD950" i="208"/>
  <c r="X950" i="208"/>
  <c r="AD947" i="208"/>
  <c r="X947" i="208"/>
  <c r="AD944" i="208"/>
  <c r="X944" i="208"/>
  <c r="AD941" i="208"/>
  <c r="X941" i="208"/>
  <c r="AD938" i="208"/>
  <c r="X938" i="208"/>
  <c r="AD935" i="208"/>
  <c r="X935" i="208"/>
  <c r="AD932" i="208"/>
  <c r="X932" i="208"/>
  <c r="AD929" i="208"/>
  <c r="X929" i="208"/>
  <c r="AD926" i="208"/>
  <c r="X926" i="208"/>
  <c r="AD923" i="208"/>
  <c r="AD920" i="208"/>
  <c r="X920" i="208"/>
  <c r="AD917" i="208"/>
  <c r="X917" i="208"/>
  <c r="AD914" i="208"/>
  <c r="X914" i="208"/>
  <c r="AD911" i="208"/>
  <c r="X911" i="208"/>
  <c r="AD908" i="208"/>
  <c r="X908" i="208"/>
  <c r="AD905" i="208"/>
  <c r="X905" i="208"/>
  <c r="AD902" i="208"/>
  <c r="X902" i="208"/>
  <c r="AD899" i="208"/>
  <c r="X899" i="208"/>
  <c r="AD896" i="208"/>
  <c r="X896" i="208"/>
  <c r="AD893" i="208"/>
  <c r="X893" i="208"/>
  <c r="AD890" i="208"/>
  <c r="X890" i="208"/>
  <c r="AD887" i="208"/>
  <c r="X887" i="208"/>
  <c r="AD884" i="208"/>
  <c r="X884" i="208"/>
  <c r="AD881" i="208"/>
  <c r="X881" i="208"/>
  <c r="AD878" i="208"/>
  <c r="X878" i="208"/>
  <c r="AD875" i="208"/>
  <c r="X875" i="208"/>
  <c r="AD872" i="208"/>
  <c r="X872" i="208"/>
  <c r="AD869" i="208"/>
  <c r="X869" i="208"/>
  <c r="AD866" i="208"/>
  <c r="X866" i="208"/>
  <c r="AD863" i="208"/>
  <c r="X863" i="208"/>
  <c r="AD860" i="208"/>
  <c r="X860" i="208"/>
  <c r="AD857" i="208"/>
  <c r="X857" i="208"/>
  <c r="AD854" i="208"/>
  <c r="X854" i="208"/>
  <c r="AD851" i="208"/>
  <c r="AD848" i="208"/>
  <c r="X848" i="208"/>
  <c r="AD845" i="208"/>
  <c r="X845" i="208"/>
  <c r="AD842" i="208"/>
  <c r="X842" i="208"/>
  <c r="AD839" i="208"/>
  <c r="X839" i="208"/>
  <c r="AD836" i="208"/>
  <c r="X836" i="208"/>
  <c r="AD833" i="208"/>
  <c r="X833" i="208"/>
  <c r="AD830" i="208"/>
  <c r="X830" i="208"/>
  <c r="AD827" i="208"/>
  <c r="X827" i="208"/>
  <c r="AD824" i="208"/>
  <c r="X824" i="208"/>
  <c r="AD821" i="208"/>
  <c r="X821" i="208"/>
  <c r="AD818" i="208"/>
  <c r="X818" i="208"/>
  <c r="AD815" i="208"/>
  <c r="X815" i="208"/>
  <c r="AD812" i="208"/>
  <c r="X812" i="208"/>
  <c r="AD809" i="208"/>
  <c r="X809" i="208"/>
  <c r="AD806" i="208"/>
  <c r="X806" i="208"/>
  <c r="AD803" i="208"/>
  <c r="X803" i="208"/>
  <c r="AD800" i="208"/>
  <c r="X800" i="208"/>
  <c r="AD797" i="208"/>
  <c r="X797" i="208"/>
  <c r="AD794" i="208"/>
  <c r="X794" i="208"/>
  <c r="AD791" i="208"/>
  <c r="X791" i="208"/>
  <c r="AD788" i="208"/>
  <c r="X788" i="208"/>
  <c r="AD785" i="208"/>
  <c r="X785" i="208"/>
  <c r="AD782" i="208"/>
  <c r="X782" i="208"/>
  <c r="AD779" i="208"/>
  <c r="AD776" i="208"/>
  <c r="X776" i="208"/>
  <c r="AD773" i="208"/>
  <c r="X773" i="208"/>
  <c r="AD770" i="208"/>
  <c r="X770" i="208"/>
  <c r="AD767" i="208"/>
  <c r="X767" i="208"/>
  <c r="AD764" i="208"/>
  <c r="X764" i="208"/>
  <c r="AD761" i="208"/>
  <c r="X761" i="208"/>
  <c r="AD758" i="208"/>
  <c r="X758" i="208"/>
  <c r="AD755" i="208"/>
  <c r="X755" i="208"/>
  <c r="AD752" i="208"/>
  <c r="X752" i="208"/>
  <c r="AD749" i="208"/>
  <c r="X749" i="208"/>
  <c r="AD746" i="208"/>
  <c r="X746" i="208"/>
  <c r="AD743" i="208"/>
  <c r="X743" i="208"/>
  <c r="AD740" i="208"/>
  <c r="X740" i="208"/>
  <c r="AD737" i="208"/>
  <c r="X737" i="208"/>
  <c r="AD734" i="208"/>
  <c r="X734" i="208"/>
  <c r="AD731" i="208"/>
  <c r="X731" i="208"/>
  <c r="AD728" i="208"/>
  <c r="X728" i="208"/>
  <c r="AD725" i="208"/>
  <c r="X725" i="208"/>
  <c r="AD722" i="208"/>
  <c r="X722" i="208"/>
  <c r="AD719" i="208"/>
  <c r="X719" i="208"/>
  <c r="AD716" i="208"/>
  <c r="X716" i="208"/>
  <c r="AD713" i="208"/>
  <c r="X713" i="208"/>
  <c r="AD710" i="208"/>
  <c r="X710" i="208"/>
  <c r="AD707" i="208"/>
  <c r="AD704" i="208"/>
  <c r="X704" i="208"/>
  <c r="AD701" i="208"/>
  <c r="X701" i="208"/>
  <c r="AD698" i="208"/>
  <c r="X698" i="208"/>
  <c r="AD695" i="208"/>
  <c r="X695" i="208"/>
  <c r="AD692" i="208"/>
  <c r="X692" i="208"/>
  <c r="AD689" i="208"/>
  <c r="X689" i="208"/>
  <c r="AD686" i="208"/>
  <c r="X686" i="208"/>
  <c r="AD683" i="208"/>
  <c r="X683" i="208"/>
  <c r="AD680" i="208"/>
  <c r="X680" i="208"/>
  <c r="AD677" i="208"/>
  <c r="X677" i="208"/>
  <c r="AD674" i="208"/>
  <c r="X674" i="208"/>
  <c r="AD671" i="208"/>
  <c r="X671" i="208"/>
  <c r="AD668" i="208"/>
  <c r="X668" i="208"/>
  <c r="AD665" i="208"/>
  <c r="X665" i="208"/>
  <c r="AD662" i="208"/>
  <c r="X662" i="208"/>
  <c r="AD659" i="208"/>
  <c r="X659" i="208"/>
  <c r="AD656" i="208"/>
  <c r="X656" i="208"/>
  <c r="AD653" i="208"/>
  <c r="X653" i="208"/>
  <c r="AD650" i="208"/>
  <c r="X650" i="208"/>
  <c r="AD647" i="208"/>
  <c r="X647" i="208"/>
  <c r="AD644" i="208"/>
  <c r="X644" i="208"/>
  <c r="AD641" i="208"/>
  <c r="X641" i="208"/>
  <c r="AD638" i="208"/>
  <c r="X638" i="208"/>
  <c r="AD635" i="208"/>
  <c r="AD632" i="208"/>
  <c r="X632" i="208"/>
  <c r="AD629" i="208"/>
  <c r="X629" i="208"/>
  <c r="AD626" i="208"/>
  <c r="X626" i="208"/>
  <c r="AD623" i="208"/>
  <c r="X623" i="208"/>
  <c r="X611" i="208"/>
  <c r="X551" i="208"/>
  <c r="X539" i="208"/>
  <c r="X479" i="208"/>
  <c r="X467" i="208"/>
  <c r="X1787" i="208"/>
  <c r="X923" i="208"/>
  <c r="AD2993" i="208"/>
  <c r="X2993" i="208"/>
  <c r="AD2975" i="208"/>
  <c r="X2975" i="208"/>
  <c r="AD2969" i="208"/>
  <c r="X2969" i="208"/>
  <c r="AD2939" i="208"/>
  <c r="AD2936" i="208"/>
  <c r="X2936" i="208"/>
  <c r="AD2924" i="208"/>
  <c r="X2924" i="208"/>
  <c r="AD2909" i="208"/>
  <c r="X2909" i="208"/>
  <c r="AD2906" i="208"/>
  <c r="X2906" i="208"/>
  <c r="AD2903" i="208"/>
  <c r="X2903" i="208"/>
  <c r="AD2900" i="208"/>
  <c r="X2900" i="208"/>
  <c r="AD2897" i="208"/>
  <c r="X2897" i="208"/>
  <c r="AD2891" i="208"/>
  <c r="X2891" i="208"/>
  <c r="AD2876" i="208"/>
  <c r="X2876" i="208"/>
  <c r="AD2861" i="208"/>
  <c r="X2861" i="208"/>
  <c r="AD2672" i="208"/>
  <c r="X2672" i="208"/>
  <c r="AD2663" i="208"/>
  <c r="X2663" i="208"/>
  <c r="AD2660" i="208"/>
  <c r="X2660" i="208"/>
  <c r="AD2657" i="208"/>
  <c r="X2657" i="208"/>
  <c r="AD2654" i="208"/>
  <c r="X2654" i="208"/>
  <c r="AD2651" i="208"/>
  <c r="AD2648" i="208"/>
  <c r="X2648" i="208"/>
  <c r="AD2645" i="208"/>
  <c r="X2645" i="208"/>
  <c r="AD2642" i="208"/>
  <c r="X2642" i="208"/>
  <c r="AD2630" i="208"/>
  <c r="X2630" i="208"/>
  <c r="AD2618" i="208"/>
  <c r="X2618" i="208"/>
  <c r="AD2615" i="208"/>
  <c r="X2615" i="208"/>
  <c r="AD2594" i="208"/>
  <c r="X2594" i="208"/>
  <c r="AD2591" i="208"/>
  <c r="X2591" i="208"/>
  <c r="AD2579" i="208"/>
  <c r="AD2573" i="208"/>
  <c r="X2573" i="208"/>
  <c r="AD2543" i="208"/>
  <c r="X2543" i="208"/>
  <c r="AD2522" i="208"/>
  <c r="X2522" i="208"/>
  <c r="AD2489" i="208"/>
  <c r="X2489" i="208"/>
  <c r="AD2486" i="208"/>
  <c r="X2486" i="208"/>
  <c r="AD2483" i="208"/>
  <c r="X2483" i="208"/>
  <c r="AD2480" i="208"/>
  <c r="X2480" i="208"/>
  <c r="AD2477" i="208"/>
  <c r="X2477" i="208"/>
  <c r="AD2474" i="208"/>
  <c r="X2474" i="208"/>
  <c r="AD2468" i="208"/>
  <c r="X2468" i="208"/>
  <c r="AD2444" i="208"/>
  <c r="X2444" i="208"/>
  <c r="AD2438" i="208"/>
  <c r="X2438" i="208"/>
  <c r="AD2432" i="208"/>
  <c r="X2432" i="208"/>
  <c r="AD2420" i="208"/>
  <c r="X2420" i="208"/>
  <c r="AD2411" i="208"/>
  <c r="X2411" i="208"/>
  <c r="AD2405" i="208"/>
  <c r="X2405" i="208"/>
  <c r="AD2399" i="208"/>
  <c r="X2399" i="208"/>
  <c r="AD2390" i="208"/>
  <c r="X2390" i="208"/>
  <c r="AD2387" i="208"/>
  <c r="X2387" i="208"/>
  <c r="AD2378" i="208"/>
  <c r="X2378" i="208"/>
  <c r="AD2372" i="208"/>
  <c r="X2372" i="208"/>
  <c r="AD2366" i="208"/>
  <c r="X2366" i="208"/>
  <c r="AD2363" i="208"/>
  <c r="AD2357" i="208"/>
  <c r="X2357" i="208"/>
  <c r="AD2351" i="208"/>
  <c r="X2351" i="208"/>
  <c r="AD2345" i="208"/>
  <c r="X2345" i="208"/>
  <c r="AD2339" i="208"/>
  <c r="X2339" i="208"/>
  <c r="AD2333" i="208"/>
  <c r="X2333" i="208"/>
  <c r="AD2327" i="208"/>
  <c r="X2327" i="208"/>
  <c r="AD2321" i="208"/>
  <c r="X2321" i="208"/>
  <c r="AD2315" i="208"/>
  <c r="X2315" i="208"/>
  <c r="AD2306" i="208"/>
  <c r="X2306" i="208"/>
  <c r="AD2303" i="208"/>
  <c r="X2303" i="208"/>
  <c r="AD2294" i="208"/>
  <c r="X2294" i="208"/>
  <c r="AD2285" i="208"/>
  <c r="X2285" i="208"/>
  <c r="AD2282" i="208"/>
  <c r="X2282" i="208"/>
  <c r="AD2270" i="208"/>
  <c r="X2270" i="208"/>
  <c r="AD2264" i="208"/>
  <c r="X2264" i="208"/>
  <c r="AD2258" i="208"/>
  <c r="X2258" i="208"/>
  <c r="AD2252" i="208"/>
  <c r="X2252" i="208"/>
  <c r="AD2243" i="208"/>
  <c r="X2243" i="208"/>
  <c r="AD2240" i="208"/>
  <c r="X2240" i="208"/>
  <c r="AD2234" i="208"/>
  <c r="X2234" i="208"/>
  <c r="AD2225" i="208"/>
  <c r="X2225" i="208"/>
  <c r="AD2216" i="208"/>
  <c r="X2216" i="208"/>
  <c r="AD2213" i="208"/>
  <c r="X2213" i="208"/>
  <c r="AD2204" i="208"/>
  <c r="X2204" i="208"/>
  <c r="AD2198" i="208"/>
  <c r="X2198" i="208"/>
  <c r="AD2192" i="208"/>
  <c r="X2192" i="208"/>
  <c r="AD2186" i="208"/>
  <c r="X2186" i="208"/>
  <c r="AD2180" i="208"/>
  <c r="X2180" i="208"/>
  <c r="AD2174" i="208"/>
  <c r="X2174" i="208"/>
  <c r="AD2168" i="208"/>
  <c r="X2168" i="208"/>
  <c r="AD2162" i="208"/>
  <c r="X2162" i="208"/>
  <c r="AD2156" i="208"/>
  <c r="X2156" i="208"/>
  <c r="AD2150" i="208"/>
  <c r="X2150" i="208"/>
  <c r="AD2147" i="208"/>
  <c r="AD2138" i="208"/>
  <c r="X2138" i="208"/>
  <c r="AD2132" i="208"/>
  <c r="X2132" i="208"/>
  <c r="AD2126" i="208"/>
  <c r="X2126" i="208"/>
  <c r="AD2120" i="208"/>
  <c r="X2120" i="208"/>
  <c r="AD2114" i="208"/>
  <c r="X2114" i="208"/>
  <c r="AD2108" i="208"/>
  <c r="X2108" i="208"/>
  <c r="AD2102" i="208"/>
  <c r="X2102" i="208"/>
  <c r="AD2096" i="208"/>
  <c r="X2096" i="208"/>
  <c r="AD2090" i="208"/>
  <c r="X2090" i="208"/>
  <c r="AD2084" i="208"/>
  <c r="X2084" i="208"/>
  <c r="AD2069" i="208"/>
  <c r="X2069" i="208"/>
  <c r="AD2066" i="208"/>
  <c r="X2066" i="208"/>
  <c r="AD2063" i="208"/>
  <c r="X2063" i="208"/>
  <c r="AD2057" i="208"/>
  <c r="X2057" i="208"/>
  <c r="AD2051" i="208"/>
  <c r="X2051" i="208"/>
  <c r="AD2045" i="208"/>
  <c r="X2045" i="208"/>
  <c r="AD2039" i="208"/>
  <c r="X2039" i="208"/>
  <c r="AD2033" i="208"/>
  <c r="X2033" i="208"/>
  <c r="AD2027" i="208"/>
  <c r="X2027" i="208"/>
  <c r="AD2021" i="208"/>
  <c r="X2021" i="208"/>
  <c r="AD2015" i="208"/>
  <c r="X2015" i="208"/>
  <c r="AD2009" i="208"/>
  <c r="X2009" i="208"/>
  <c r="AD2006" i="208"/>
  <c r="X2006" i="208"/>
  <c r="AD2003" i="208"/>
  <c r="AD1997" i="208"/>
  <c r="X1997" i="208"/>
  <c r="AD1991" i="208"/>
  <c r="X1991" i="208"/>
  <c r="AD1985" i="208"/>
  <c r="X1985" i="208"/>
  <c r="AD1982" i="208"/>
  <c r="X1982" i="208"/>
  <c r="AD1973" i="208"/>
  <c r="X1973" i="208"/>
  <c r="AD1967" i="208"/>
  <c r="X1967" i="208"/>
  <c r="AD1961" i="208"/>
  <c r="X1961" i="208"/>
  <c r="AD1955" i="208"/>
  <c r="X1955" i="208"/>
  <c r="AD1949" i="208"/>
  <c r="X1949" i="208"/>
  <c r="AD1943" i="208"/>
  <c r="X1943" i="208"/>
  <c r="AD1937" i="208"/>
  <c r="X1937" i="208"/>
  <c r="AD1928" i="208"/>
  <c r="X1928" i="208"/>
  <c r="AD1922" i="208"/>
  <c r="X1922" i="208"/>
  <c r="AD1916" i="208"/>
  <c r="X1916" i="208"/>
  <c r="AD1910" i="208"/>
  <c r="X1910" i="208"/>
  <c r="AD1904" i="208"/>
  <c r="X1904" i="208"/>
  <c r="AD1898" i="208"/>
  <c r="X1898" i="208"/>
  <c r="AD1892" i="208"/>
  <c r="X1892" i="208"/>
  <c r="AD1889" i="208"/>
  <c r="X1889" i="208"/>
  <c r="AD1868" i="208"/>
  <c r="X1868" i="208"/>
  <c r="AD1865" i="208"/>
  <c r="X1865" i="208"/>
  <c r="AD1856" i="208"/>
  <c r="X1856" i="208"/>
  <c r="AD1850" i="208"/>
  <c r="X1850" i="208"/>
  <c r="AD1844" i="208"/>
  <c r="X1844" i="208"/>
  <c r="AD1841" i="208"/>
  <c r="X1841" i="208"/>
  <c r="AD1835" i="208"/>
  <c r="X1835" i="208"/>
  <c r="AD1826" i="208"/>
  <c r="X1826" i="208"/>
  <c r="AD1823" i="208"/>
  <c r="X1823" i="208"/>
  <c r="AD1805" i="208"/>
  <c r="X1805" i="208"/>
  <c r="AD1802" i="208"/>
  <c r="X1802" i="208"/>
  <c r="AD1796" i="208"/>
  <c r="X1796" i="208"/>
  <c r="AD1763" i="208"/>
  <c r="X1763" i="208"/>
  <c r="AD1760" i="208"/>
  <c r="X1760" i="208"/>
  <c r="AD1754" i="208"/>
  <c r="X1754" i="208"/>
  <c r="AD1745" i="208"/>
  <c r="X1745" i="208"/>
  <c r="AD1742" i="208"/>
  <c r="X1742" i="208"/>
  <c r="AD1715" i="208"/>
  <c r="AD1712" i="208"/>
  <c r="X1712" i="208"/>
  <c r="AD1700" i="208"/>
  <c r="X1700" i="208"/>
  <c r="AD1529" i="208"/>
  <c r="X1529" i="208"/>
  <c r="X2579" i="208"/>
  <c r="X1715" i="208"/>
  <c r="X851" i="208"/>
  <c r="AD2987" i="208"/>
  <c r="X2987" i="208"/>
  <c r="AD2951" i="208"/>
  <c r="X2951" i="208"/>
  <c r="AD2948" i="208"/>
  <c r="X2948" i="208"/>
  <c r="AD2921" i="208"/>
  <c r="X2921" i="208"/>
  <c r="AD2888" i="208"/>
  <c r="X2888" i="208"/>
  <c r="AD2885" i="208"/>
  <c r="X2885" i="208"/>
  <c r="AD2879" i="208"/>
  <c r="X2879" i="208"/>
  <c r="AD2867" i="208"/>
  <c r="AD2864" i="208"/>
  <c r="X2864" i="208"/>
  <c r="AD2849" i="208"/>
  <c r="X2849" i="208"/>
  <c r="AD2846" i="208"/>
  <c r="X2846" i="208"/>
  <c r="AD2843" i="208"/>
  <c r="X2843" i="208"/>
  <c r="AD2840" i="208"/>
  <c r="X2840" i="208"/>
  <c r="AD2804" i="208"/>
  <c r="X2804" i="208"/>
  <c r="AD2801" i="208"/>
  <c r="X2801" i="208"/>
  <c r="AD2798" i="208"/>
  <c r="X2798" i="208"/>
  <c r="AD2768" i="208"/>
  <c r="X2768" i="208"/>
  <c r="AD2678" i="208"/>
  <c r="X2678" i="208"/>
  <c r="AD2675" i="208"/>
  <c r="X2675" i="208"/>
  <c r="AD2636" i="208"/>
  <c r="X2636" i="208"/>
  <c r="AD2612" i="208"/>
  <c r="X2612" i="208"/>
  <c r="AD2609" i="208"/>
  <c r="X2609" i="208"/>
  <c r="AD2606" i="208"/>
  <c r="X2606" i="208"/>
  <c r="AD2603" i="208"/>
  <c r="X2603" i="208"/>
  <c r="AD2600" i="208"/>
  <c r="X2600" i="208"/>
  <c r="AD2588" i="208"/>
  <c r="X2588" i="208"/>
  <c r="AD2576" i="208"/>
  <c r="X2576" i="208"/>
  <c r="AD2561" i="208"/>
  <c r="X2561" i="208"/>
  <c r="AD2558" i="208"/>
  <c r="X2558" i="208"/>
  <c r="AD2555" i="208"/>
  <c r="X2555" i="208"/>
  <c r="AD2552" i="208"/>
  <c r="X2552" i="208"/>
  <c r="AD2549" i="208"/>
  <c r="X2549" i="208"/>
  <c r="AD2516" i="208"/>
  <c r="X2516" i="208"/>
  <c r="AD2513" i="208"/>
  <c r="X2513" i="208"/>
  <c r="AD2510" i="208"/>
  <c r="X2510" i="208"/>
  <c r="AD2507" i="208"/>
  <c r="AD2504" i="208"/>
  <c r="X2504" i="208"/>
  <c r="AD2501" i="208"/>
  <c r="X2501" i="208"/>
  <c r="AD2498" i="208"/>
  <c r="X2498" i="208"/>
  <c r="AD2495" i="208"/>
  <c r="X2495" i="208"/>
  <c r="AD2492" i="208"/>
  <c r="X2492" i="208"/>
  <c r="AD2462" i="208"/>
  <c r="X2462" i="208"/>
  <c r="AD2453" i="208"/>
  <c r="X2453" i="208"/>
  <c r="Z2995" i="208"/>
  <c r="Z2992" i="208"/>
  <c r="Z2983" i="208"/>
  <c r="Z2974" i="208"/>
  <c r="Z2971" i="208"/>
  <c r="Z2959" i="208"/>
  <c r="Z2956" i="208"/>
  <c r="Z2947" i="208"/>
  <c r="Z2944" i="208"/>
  <c r="Z2935" i="208"/>
  <c r="Z2932" i="208"/>
  <c r="Z2923" i="208"/>
  <c r="Z2911" i="208"/>
  <c r="Z2908" i="208"/>
  <c r="Z2899" i="208"/>
  <c r="Z2893" i="208"/>
  <c r="Z2887" i="208"/>
  <c r="Z2881" i="208"/>
  <c r="Z2872" i="208"/>
  <c r="Z2869" i="208"/>
  <c r="Z2866" i="208"/>
  <c r="Z2863" i="208"/>
  <c r="Z2854" i="208"/>
  <c r="Z2851" i="208"/>
  <c r="Z2842" i="208"/>
  <c r="Z2839" i="208"/>
  <c r="Z2830" i="208"/>
  <c r="Z2827" i="208"/>
  <c r="Z2818" i="208"/>
  <c r="Z2815" i="208"/>
  <c r="Z2806" i="208"/>
  <c r="Z2797" i="208"/>
  <c r="Z2788" i="208"/>
  <c r="Z2785" i="208"/>
  <c r="Z2779" i="208"/>
  <c r="Z2773" i="208"/>
  <c r="Z2770" i="208"/>
  <c r="Z2761" i="208"/>
  <c r="Z2758" i="208"/>
  <c r="Z2752" i="208"/>
  <c r="Z2746" i="208"/>
  <c r="Z2737" i="208"/>
  <c r="Z2734" i="208"/>
  <c r="Z2722" i="208"/>
  <c r="Z2719" i="208"/>
  <c r="Z2707" i="208"/>
  <c r="Z2704" i="208"/>
  <c r="Z2701" i="208"/>
  <c r="Z2692" i="208"/>
  <c r="Z2689" i="208"/>
  <c r="Z2680" i="208"/>
  <c r="Z2674" i="208"/>
  <c r="Z2668" i="208"/>
  <c r="Z2659" i="208"/>
  <c r="Z2656" i="208"/>
  <c r="Z2647" i="208"/>
  <c r="Z2638" i="208"/>
  <c r="Z2635" i="208"/>
  <c r="Z2626" i="208"/>
  <c r="Z2617" i="208"/>
  <c r="Z2614" i="208"/>
  <c r="Z2611" i="208"/>
  <c r="Z2602" i="208"/>
  <c r="Z2599" i="208"/>
  <c r="Z2596" i="208"/>
  <c r="Z2587" i="208"/>
  <c r="Z2581" i="208"/>
  <c r="Z2575" i="208"/>
  <c r="Z2569" i="208"/>
  <c r="Z2566" i="208"/>
  <c r="Z2557" i="208"/>
  <c r="Z2554" i="208"/>
  <c r="Z2542" i="208"/>
  <c r="Z2539" i="208"/>
  <c r="Z2530" i="208"/>
  <c r="Z2527" i="208"/>
  <c r="Z2518" i="208"/>
  <c r="Z2515" i="208"/>
  <c r="Z2506" i="208"/>
  <c r="Z2503" i="208"/>
  <c r="Z2494" i="208"/>
  <c r="Z2491" i="208"/>
  <c r="Z2479" i="208"/>
  <c r="Z2476" i="208"/>
  <c r="Z2467" i="208"/>
  <c r="Z2464" i="208"/>
  <c r="Z2458" i="208"/>
  <c r="Z2452" i="208"/>
  <c r="Z2446" i="208"/>
  <c r="Z2437" i="208"/>
  <c r="Z2428" i="208"/>
  <c r="Z2419" i="208"/>
  <c r="Z2416" i="208"/>
  <c r="Z2407" i="208"/>
  <c r="Z2401" i="208"/>
  <c r="Z2392" i="208"/>
  <c r="Z2389" i="208"/>
  <c r="Z2380" i="208"/>
  <c r="Z2374" i="208"/>
  <c r="Z2368" i="208"/>
  <c r="Z2362" i="208"/>
  <c r="Z2359" i="208"/>
  <c r="Z2353" i="208"/>
  <c r="Z2344" i="208"/>
  <c r="Z2338" i="208"/>
  <c r="Z2329" i="208"/>
  <c r="Z2326" i="208"/>
  <c r="Z2314" i="208"/>
  <c r="Z2311" i="208"/>
  <c r="Z2302" i="208"/>
  <c r="Z2299" i="208"/>
  <c r="Z2296" i="208"/>
  <c r="Z2287" i="208"/>
  <c r="Z2275" i="208"/>
  <c r="Z2152" i="208"/>
  <c r="Z2143" i="208"/>
  <c r="Z2137" i="208"/>
  <c r="Z2128" i="208"/>
  <c r="Z2116" i="208"/>
  <c r="Z2107" i="208"/>
  <c r="Z2104" i="208"/>
  <c r="Z2098" i="208"/>
  <c r="Z2089" i="208"/>
  <c r="Z2086" i="208"/>
  <c r="Z2077" i="208"/>
  <c r="Z2074" i="208"/>
  <c r="Z2068" i="208"/>
  <c r="Z2065" i="208"/>
  <c r="Z2056" i="208"/>
  <c r="Z2050" i="208"/>
  <c r="Z2044" i="208"/>
  <c r="Z2035" i="208"/>
  <c r="Z2032" i="208"/>
  <c r="Z2023" i="208"/>
  <c r="Z2017" i="208"/>
  <c r="Z2011" i="208"/>
  <c r="Z2002" i="208"/>
  <c r="Z1999" i="208"/>
  <c r="Z1990" i="208"/>
  <c r="Z1987" i="208"/>
  <c r="Z1978" i="208"/>
  <c r="Z1972" i="208"/>
  <c r="Z1963" i="208"/>
  <c r="Z1957" i="208"/>
  <c r="Z1951" i="208"/>
  <c r="Z1945" i="208"/>
  <c r="Z1942" i="208"/>
  <c r="Z1939" i="208"/>
  <c r="Z1936" i="208"/>
  <c r="Z1933" i="208"/>
  <c r="Z1930" i="208"/>
  <c r="Z1924" i="208"/>
  <c r="Z1921" i="208"/>
  <c r="Z1918" i="208"/>
  <c r="Z1915" i="208"/>
  <c r="Z1912" i="208"/>
  <c r="Z1909" i="208"/>
  <c r="Z1906" i="208"/>
  <c r="Z1903" i="208"/>
  <c r="Z1900" i="208"/>
  <c r="Z1897" i="208"/>
  <c r="Z1894" i="208"/>
  <c r="Z1891" i="208"/>
  <c r="Z1888" i="208"/>
  <c r="Z1885" i="208"/>
  <c r="Z1882" i="208"/>
  <c r="Z1879" i="208"/>
  <c r="Z1876" i="208"/>
  <c r="Z1873" i="208"/>
  <c r="Z1870" i="208"/>
  <c r="Z1867" i="208"/>
  <c r="Z1864" i="208"/>
  <c r="Z1861" i="208"/>
  <c r="Z1858" i="208"/>
  <c r="Z1855" i="208"/>
  <c r="Z1852" i="208"/>
  <c r="Z1849" i="208"/>
  <c r="Z1846" i="208"/>
  <c r="Z1843" i="208"/>
  <c r="Z1840" i="208"/>
  <c r="Z1837" i="208"/>
  <c r="Z1834" i="208"/>
  <c r="Z1831" i="208"/>
  <c r="Z1828" i="208"/>
  <c r="Z1825" i="208"/>
  <c r="Z1822" i="208"/>
  <c r="Z1819" i="208"/>
  <c r="Z1816" i="208"/>
  <c r="Z1813" i="208"/>
  <c r="Z1810" i="208"/>
  <c r="Z1807" i="208"/>
  <c r="Z1804" i="208"/>
  <c r="Z1801" i="208"/>
  <c r="Z1798" i="208"/>
  <c r="Z1795" i="208"/>
  <c r="Z1792" i="208"/>
  <c r="Z1789" i="208"/>
  <c r="Z1786" i="208"/>
  <c r="Z1783" i="208"/>
  <c r="Z1780" i="208"/>
  <c r="Z1777" i="208"/>
  <c r="Z1774" i="208"/>
  <c r="Z1771" i="208"/>
  <c r="Z1768" i="208"/>
  <c r="Z1765" i="208"/>
  <c r="Z1762" i="208"/>
  <c r="Z1759" i="208"/>
  <c r="Z1756" i="208"/>
  <c r="Z1753" i="208"/>
  <c r="Z1750" i="208"/>
  <c r="Z1747" i="208"/>
  <c r="Z1744" i="208"/>
  <c r="Z1741" i="208"/>
  <c r="Z1738" i="208"/>
  <c r="Z1735" i="208"/>
  <c r="Z1732" i="208"/>
  <c r="Z1729" i="208"/>
  <c r="Z1726" i="208"/>
  <c r="Z1723" i="208"/>
  <c r="Z1720" i="208"/>
  <c r="Z1717" i="208"/>
  <c r="Z1714" i="208"/>
  <c r="Z1711" i="208"/>
  <c r="Z1708" i="208"/>
  <c r="Z1705" i="208"/>
  <c r="Z1702" i="208"/>
  <c r="Z1699" i="208"/>
  <c r="Z1696" i="208"/>
  <c r="Z1693" i="208"/>
  <c r="Z1690" i="208"/>
  <c r="Z1687" i="208"/>
  <c r="Z1684" i="208"/>
  <c r="Z1681" i="208"/>
  <c r="Z1678" i="208"/>
  <c r="Z1675" i="208"/>
  <c r="Z1672" i="208"/>
  <c r="Z1669" i="208"/>
  <c r="Z1666" i="208"/>
  <c r="Z1663" i="208"/>
  <c r="Z1660" i="208"/>
  <c r="Z1657" i="208"/>
  <c r="Z1654" i="208"/>
  <c r="Z1651" i="208"/>
  <c r="Z1648" i="208"/>
  <c r="Z1645" i="208"/>
  <c r="Z1642" i="208"/>
  <c r="Z1639" i="208"/>
  <c r="Z1636" i="208"/>
  <c r="Z1633" i="208"/>
  <c r="Z1630" i="208"/>
  <c r="Z1627" i="208"/>
  <c r="Z1624" i="208"/>
  <c r="Z1621" i="208"/>
  <c r="Z1618" i="208"/>
  <c r="Z1615" i="208"/>
  <c r="Z1612" i="208"/>
  <c r="Z1609" i="208"/>
  <c r="Z1606" i="208"/>
  <c r="Z1603" i="208"/>
  <c r="Z1600" i="208"/>
  <c r="Z1597" i="208"/>
  <c r="Z1594" i="208"/>
  <c r="Z1591" i="208"/>
  <c r="Z1588" i="208"/>
  <c r="Z1585" i="208"/>
  <c r="Z1582" i="208"/>
  <c r="Z1579" i="208"/>
  <c r="Z1576" i="208"/>
  <c r="Z1573" i="208"/>
  <c r="Z1570" i="208"/>
  <c r="Z1567" i="208"/>
  <c r="Z1564" i="208"/>
  <c r="Z1561" i="208"/>
  <c r="Z1558" i="208"/>
  <c r="Z1555" i="208"/>
  <c r="Z1552" i="208"/>
  <c r="Z1549" i="208"/>
  <c r="Z1546" i="208"/>
  <c r="Z1543" i="208"/>
  <c r="Z1540" i="208"/>
  <c r="Z1537" i="208"/>
  <c r="Z1534" i="208"/>
  <c r="Z1531" i="208"/>
  <c r="Z1528" i="208"/>
  <c r="Z1525" i="208"/>
  <c r="Z1522" i="208"/>
  <c r="Z1519" i="208"/>
  <c r="Z1516" i="208"/>
  <c r="Z1513" i="208"/>
  <c r="Z1510" i="208"/>
  <c r="Z1507" i="208"/>
  <c r="Z1504" i="208"/>
  <c r="Z1501" i="208"/>
  <c r="Z1498" i="208"/>
  <c r="Z1495" i="208"/>
  <c r="Z1492" i="208"/>
  <c r="Z1489" i="208"/>
  <c r="Z1486" i="208"/>
  <c r="Z1483" i="208"/>
  <c r="Z1480" i="208"/>
  <c r="Z1477" i="208"/>
  <c r="Z1474" i="208"/>
  <c r="Z1471" i="208"/>
  <c r="Z1468" i="208"/>
  <c r="Z1465" i="208"/>
  <c r="Z1462" i="208"/>
  <c r="Z1459" i="208"/>
  <c r="Z1456" i="208"/>
  <c r="Z1453" i="208"/>
  <c r="Z1450" i="208"/>
  <c r="Z1447" i="208"/>
  <c r="Z1444" i="208"/>
  <c r="Z1441" i="208"/>
  <c r="Z1438" i="208"/>
  <c r="Z1435" i="208"/>
  <c r="Z1432" i="208"/>
  <c r="Z1429" i="208"/>
  <c r="Z1426" i="208"/>
  <c r="Z1423" i="208"/>
  <c r="Z1420" i="208"/>
  <c r="Z1417" i="208"/>
  <c r="Z1414" i="208"/>
  <c r="Z1411" i="208"/>
  <c r="Z1408" i="208"/>
  <c r="Z1405" i="208"/>
  <c r="Z1402" i="208"/>
  <c r="Z1399" i="208"/>
  <c r="Z1396" i="208"/>
  <c r="Z1393" i="208"/>
  <c r="Z1390" i="208"/>
  <c r="Z1387" i="208"/>
  <c r="Z1384" i="208"/>
  <c r="Z1381" i="208"/>
  <c r="Z1378" i="208"/>
  <c r="Z1375" i="208"/>
  <c r="Z1372" i="208"/>
  <c r="Z1369" i="208"/>
  <c r="Z1366" i="208"/>
  <c r="Z1363" i="208"/>
  <c r="Z1360" i="208"/>
  <c r="Z1357" i="208"/>
  <c r="Z1354" i="208"/>
  <c r="Z1351" i="208"/>
  <c r="Z1348" i="208"/>
  <c r="Z1345" i="208"/>
  <c r="Z1342" i="208"/>
  <c r="Z1339" i="208"/>
  <c r="Z1336" i="208"/>
  <c r="Z1333" i="208"/>
  <c r="Z1330" i="208"/>
  <c r="Z1327" i="208"/>
  <c r="Z1324" i="208"/>
  <c r="Z1321" i="208"/>
  <c r="Z1318" i="208"/>
  <c r="Z1315" i="208"/>
  <c r="Z1312" i="208"/>
  <c r="Z1309" i="208"/>
  <c r="Z1306" i="208"/>
  <c r="Z1303" i="208"/>
  <c r="Z1300" i="208"/>
  <c r="Z1297" i="208"/>
  <c r="Z1294" i="208"/>
  <c r="Z1291" i="208"/>
  <c r="Z1288" i="208"/>
  <c r="Z1285" i="208"/>
  <c r="Z1282" i="208"/>
  <c r="Z1279" i="208"/>
  <c r="Z1276" i="208"/>
  <c r="Z1273" i="208"/>
  <c r="Z1270" i="208"/>
  <c r="Z1267" i="208"/>
  <c r="Z1264" i="208"/>
  <c r="Z1261" i="208"/>
  <c r="Z1258" i="208"/>
  <c r="Z1255" i="208"/>
  <c r="Z1252" i="208"/>
  <c r="Z1249" i="208"/>
  <c r="Z1246" i="208"/>
  <c r="Z1243" i="208"/>
  <c r="Z1240" i="208"/>
  <c r="Z1237" i="208"/>
  <c r="Z1234" i="208"/>
  <c r="Z1231" i="208"/>
  <c r="Z1228" i="208"/>
  <c r="Z1225" i="208"/>
  <c r="Z1222" i="208"/>
  <c r="Z1219" i="208"/>
  <c r="Z1216" i="208"/>
  <c r="Z1213" i="208"/>
  <c r="Z1210" i="208"/>
  <c r="Z1207" i="208"/>
  <c r="Z1204" i="208"/>
  <c r="Z1201" i="208"/>
  <c r="Z1198" i="208"/>
  <c r="Z1195" i="208"/>
  <c r="Z1192" i="208"/>
  <c r="Z1189" i="208"/>
  <c r="Z1186" i="208"/>
  <c r="Z1183" i="208"/>
  <c r="Z1180" i="208"/>
  <c r="Z1177" i="208"/>
  <c r="Z1174" i="208"/>
  <c r="Z1171" i="208"/>
  <c r="Z1168" i="208"/>
  <c r="Z1165" i="208"/>
  <c r="Z1162" i="208"/>
  <c r="Z1159" i="208"/>
  <c r="Z1156" i="208"/>
  <c r="Z1153" i="208"/>
  <c r="Z1150" i="208"/>
  <c r="Z1147" i="208"/>
  <c r="Z1144" i="208"/>
  <c r="Z1141" i="208"/>
  <c r="Z1138" i="208"/>
  <c r="Z1135" i="208"/>
  <c r="Z1132" i="208"/>
  <c r="Z1129" i="208"/>
  <c r="Z1126" i="208"/>
  <c r="Z1123" i="208"/>
  <c r="Z1120" i="208"/>
  <c r="Z1117" i="208"/>
  <c r="Z1114" i="208"/>
  <c r="Z1111" i="208"/>
  <c r="Z1108" i="208"/>
  <c r="Z1105" i="208"/>
  <c r="Z1102" i="208"/>
  <c r="Z1099" i="208"/>
  <c r="Z1096" i="208"/>
  <c r="Z1093" i="208"/>
  <c r="Z1090" i="208"/>
  <c r="Z1087" i="208"/>
  <c r="Z1084" i="208"/>
  <c r="Z1081" i="208"/>
  <c r="Z1078" i="208"/>
  <c r="Z1075" i="208"/>
  <c r="Z1072" i="208"/>
  <c r="Z1069" i="208"/>
  <c r="Z1066" i="208"/>
  <c r="Z1063" i="208"/>
  <c r="Z1060" i="208"/>
  <c r="Z1057" i="208"/>
  <c r="Z1054" i="208"/>
  <c r="Z1051" i="208"/>
  <c r="Z1048" i="208"/>
  <c r="X2507" i="208"/>
  <c r="X1643" i="208"/>
  <c r="X779" i="208"/>
  <c r="AD2999" i="208"/>
  <c r="X2999" i="208"/>
  <c r="AD2981" i="208"/>
  <c r="X2981" i="208"/>
  <c r="AD2957" i="208"/>
  <c r="X2957" i="208"/>
  <c r="AD2954" i="208"/>
  <c r="X2954" i="208"/>
  <c r="AD2894" i="208"/>
  <c r="X2894" i="208"/>
  <c r="AD2882" i="208"/>
  <c r="X2882" i="208"/>
  <c r="AD2828" i="208"/>
  <c r="X2828" i="208"/>
  <c r="AD2825" i="208"/>
  <c r="X2825" i="208"/>
  <c r="AD2822" i="208"/>
  <c r="X2822" i="208"/>
  <c r="AD2816" i="208"/>
  <c r="X2816" i="208"/>
  <c r="AD2813" i="208"/>
  <c r="X2813" i="208"/>
  <c r="AD2810" i="208"/>
  <c r="X2810" i="208"/>
  <c r="AD2807" i="208"/>
  <c r="X2807" i="208"/>
  <c r="AD2795" i="208"/>
  <c r="AD2780" i="208"/>
  <c r="X2780" i="208"/>
  <c r="AD2777" i="208"/>
  <c r="X2777" i="208"/>
  <c r="AD2774" i="208"/>
  <c r="X2774" i="208"/>
  <c r="AD2771" i="208"/>
  <c r="X2771" i="208"/>
  <c r="AD2765" i="208"/>
  <c r="X2765" i="208"/>
  <c r="AD2756" i="208"/>
  <c r="X2756" i="208"/>
  <c r="AD2750" i="208"/>
  <c r="X2750" i="208"/>
  <c r="AD2741" i="208"/>
  <c r="X2741" i="208"/>
  <c r="AD2738" i="208"/>
  <c r="X2738" i="208"/>
  <c r="AD2735" i="208"/>
  <c r="X2735" i="208"/>
  <c r="AD2732" i="208"/>
  <c r="X2732" i="208"/>
  <c r="AD2729" i="208"/>
  <c r="X2729" i="208"/>
  <c r="AD2726" i="208"/>
  <c r="X2726" i="208"/>
  <c r="AD2723" i="208"/>
  <c r="AD2717" i="208"/>
  <c r="X2717" i="208"/>
  <c r="AD2714" i="208"/>
  <c r="X2714" i="208"/>
  <c r="AD2711" i="208"/>
  <c r="X2711" i="208"/>
  <c r="AD2708" i="208"/>
  <c r="X2708" i="208"/>
  <c r="AD2705" i="208"/>
  <c r="X2705" i="208"/>
  <c r="AD2702" i="208"/>
  <c r="X2702" i="208"/>
  <c r="AD2699" i="208"/>
  <c r="X2699" i="208"/>
  <c r="AD2696" i="208"/>
  <c r="X2696" i="208"/>
  <c r="AD2693" i="208"/>
  <c r="X2693" i="208"/>
  <c r="AD2690" i="208"/>
  <c r="X2690" i="208"/>
  <c r="AD2687" i="208"/>
  <c r="X2687" i="208"/>
  <c r="AD2684" i="208"/>
  <c r="X2684" i="208"/>
  <c r="AD2681" i="208"/>
  <c r="X2681" i="208"/>
  <c r="AD2669" i="208"/>
  <c r="X2669" i="208"/>
  <c r="AD2639" i="208"/>
  <c r="X2639" i="208"/>
  <c r="AD2624" i="208"/>
  <c r="X2624" i="208"/>
  <c r="AD2621" i="208"/>
  <c r="X2621" i="208"/>
  <c r="AD2597" i="208"/>
  <c r="X2597" i="208"/>
  <c r="AD2585" i="208"/>
  <c r="X2585" i="208"/>
  <c r="AD2567" i="208"/>
  <c r="X2567" i="208"/>
  <c r="AD2564" i="208"/>
  <c r="X2564" i="208"/>
  <c r="AD2540" i="208"/>
  <c r="X2540" i="208"/>
  <c r="AD2471" i="208"/>
  <c r="X2471" i="208"/>
  <c r="AD2459" i="208"/>
  <c r="X2459" i="208"/>
  <c r="AD2450" i="208"/>
  <c r="X2450" i="208"/>
  <c r="AD2276" i="208"/>
  <c r="X2276" i="208"/>
  <c r="Z303" i="208"/>
  <c r="Z2998" i="208"/>
  <c r="Z2989" i="208"/>
  <c r="Z2986" i="208"/>
  <c r="Z2980" i="208"/>
  <c r="Z2977" i="208"/>
  <c r="Z2968" i="208"/>
  <c r="Z2965" i="208"/>
  <c r="Z2962" i="208"/>
  <c r="Z2953" i="208"/>
  <c r="Z2950" i="208"/>
  <c r="Z2941" i="208"/>
  <c r="Z2938" i="208"/>
  <c r="Z2929" i="208"/>
  <c r="Z2926" i="208"/>
  <c r="Z2920" i="208"/>
  <c r="Z2917" i="208"/>
  <c r="Z2914" i="208"/>
  <c r="Z2905" i="208"/>
  <c r="Z2902" i="208"/>
  <c r="Z2896" i="208"/>
  <c r="Z2890" i="208"/>
  <c r="Z2884" i="208"/>
  <c r="Z2878" i="208"/>
  <c r="Z2875" i="208"/>
  <c r="Z2860" i="208"/>
  <c r="Z2857" i="208"/>
  <c r="Z2848" i="208"/>
  <c r="Z2845" i="208"/>
  <c r="Z2836" i="208"/>
  <c r="Z2833" i="208"/>
  <c r="Z2824" i="208"/>
  <c r="Z2821" i="208"/>
  <c r="Z2812" i="208"/>
  <c r="Z2809" i="208"/>
  <c r="Z2803" i="208"/>
  <c r="Z2800" i="208"/>
  <c r="Z2794" i="208"/>
  <c r="Z2791" i="208"/>
  <c r="Z2782" i="208"/>
  <c r="Z2776" i="208"/>
  <c r="Z2767" i="208"/>
  <c r="Z2764" i="208"/>
  <c r="Z2755" i="208"/>
  <c r="Z2749" i="208"/>
  <c r="Z2743" i="208"/>
  <c r="Z2740" i="208"/>
  <c r="Z2731" i="208"/>
  <c r="Z2728" i="208"/>
  <c r="Z2725" i="208"/>
  <c r="Z2716" i="208"/>
  <c r="Z2713" i="208"/>
  <c r="Z2710" i="208"/>
  <c r="Z2698" i="208"/>
  <c r="Z2695" i="208"/>
  <c r="Z2686" i="208"/>
  <c r="Z2683" i="208"/>
  <c r="Z2677" i="208"/>
  <c r="Z2671" i="208"/>
  <c r="Z2665" i="208"/>
  <c r="Z2662" i="208"/>
  <c r="Z2653" i="208"/>
  <c r="Z2650" i="208"/>
  <c r="Z2644" i="208"/>
  <c r="Z2641" i="208"/>
  <c r="Z2632" i="208"/>
  <c r="Z2629" i="208"/>
  <c r="Z2623" i="208"/>
  <c r="Z2620" i="208"/>
  <c r="Z2608" i="208"/>
  <c r="Z2605" i="208"/>
  <c r="Z2593" i="208"/>
  <c r="Z2590" i="208"/>
  <c r="Z2584" i="208"/>
  <c r="Z2578" i="208"/>
  <c r="Z2572" i="208"/>
  <c r="Z2563" i="208"/>
  <c r="Z2560" i="208"/>
  <c r="Z2551" i="208"/>
  <c r="Z2548" i="208"/>
  <c r="Z2545" i="208"/>
  <c r="Z2536" i="208"/>
  <c r="Z2533" i="208"/>
  <c r="Z2524" i="208"/>
  <c r="Z2521" i="208"/>
  <c r="Z2512" i="208"/>
  <c r="Z2509" i="208"/>
  <c r="Z2500" i="208"/>
  <c r="Z2497" i="208"/>
  <c r="Z2488" i="208"/>
  <c r="Z2485" i="208"/>
  <c r="Z2482" i="208"/>
  <c r="Z2473" i="208"/>
  <c r="Z2470" i="208"/>
  <c r="Z2461" i="208"/>
  <c r="Z2455" i="208"/>
  <c r="Z2449" i="208"/>
  <c r="Z2443" i="208"/>
  <c r="Z2440" i="208"/>
  <c r="Z2434" i="208"/>
  <c r="Z2431" i="208"/>
  <c r="Z2425" i="208"/>
  <c r="Z2422" i="208"/>
  <c r="Z2413" i="208"/>
  <c r="Z2410" i="208"/>
  <c r="Z2404" i="208"/>
  <c r="Z2398" i="208"/>
  <c r="Z2395" i="208"/>
  <c r="Z2386" i="208"/>
  <c r="Z2383" i="208"/>
  <c r="Z2377" i="208"/>
  <c r="Z2371" i="208"/>
  <c r="Z2365" i="208"/>
  <c r="Z2356" i="208"/>
  <c r="Z2350" i="208"/>
  <c r="Z2347" i="208"/>
  <c r="Z2341" i="208"/>
  <c r="Z2335" i="208"/>
  <c r="Z2332" i="208"/>
  <c r="Z2323" i="208"/>
  <c r="Z2320" i="208"/>
  <c r="Z2317" i="208"/>
  <c r="Z2308" i="208"/>
  <c r="Z2305" i="208"/>
  <c r="Z2293" i="208"/>
  <c r="Z2290" i="208"/>
  <c r="Z2284" i="208"/>
  <c r="Z2281" i="208"/>
  <c r="Z2278" i="208"/>
  <c r="Z2272" i="208"/>
  <c r="Z2269" i="208"/>
  <c r="Z2266" i="208"/>
  <c r="Z2263" i="208"/>
  <c r="Z2260" i="208"/>
  <c r="Z2257" i="208"/>
  <c r="Z2254" i="208"/>
  <c r="Z2251" i="208"/>
  <c r="Z2248" i="208"/>
  <c r="Z2245" i="208"/>
  <c r="Z2242" i="208"/>
  <c r="Z2239" i="208"/>
  <c r="Z2236" i="208"/>
  <c r="Z2233" i="208"/>
  <c r="Z2230" i="208"/>
  <c r="Z2227" i="208"/>
  <c r="Z2224" i="208"/>
  <c r="Z2221" i="208"/>
  <c r="Z2218" i="208"/>
  <c r="Z2215" i="208"/>
  <c r="Z2212" i="208"/>
  <c r="Z2209" i="208"/>
  <c r="Z2206" i="208"/>
  <c r="Z2203" i="208"/>
  <c r="Z2200" i="208"/>
  <c r="Z2197" i="208"/>
  <c r="Z2194" i="208"/>
  <c r="Z2191" i="208"/>
  <c r="Z2188" i="208"/>
  <c r="Z2185" i="208"/>
  <c r="Z2182" i="208"/>
  <c r="Z2179" i="208"/>
  <c r="Z2176" i="208"/>
  <c r="Z2173" i="208"/>
  <c r="Z2170" i="208"/>
  <c r="Z2167" i="208"/>
  <c r="Z2164" i="208"/>
  <c r="Z2161" i="208"/>
  <c r="Z2158" i="208"/>
  <c r="Z2155" i="208"/>
  <c r="Z2149" i="208"/>
  <c r="Z2146" i="208"/>
  <c r="Z2140" i="208"/>
  <c r="Z2134" i="208"/>
  <c r="Z2131" i="208"/>
  <c r="Z2125" i="208"/>
  <c r="Z2122" i="208"/>
  <c r="Z2119" i="208"/>
  <c r="Z2113" i="208"/>
  <c r="Z2110" i="208"/>
  <c r="Z2101" i="208"/>
  <c r="Z2095" i="208"/>
  <c r="Z2092" i="208"/>
  <c r="Z2083" i="208"/>
  <c r="Z2080" i="208"/>
  <c r="Z2071" i="208"/>
  <c r="Z2062" i="208"/>
  <c r="Z2059" i="208"/>
  <c r="Z2053" i="208"/>
  <c r="Z2047" i="208"/>
  <c r="Z2041" i="208"/>
  <c r="Z2038" i="208"/>
  <c r="Z2029" i="208"/>
  <c r="Z2026" i="208"/>
  <c r="Z2020" i="208"/>
  <c r="Z2014" i="208"/>
  <c r="Z2008" i="208"/>
  <c r="Z2005" i="208"/>
  <c r="Z1996" i="208"/>
  <c r="Z1993" i="208"/>
  <c r="Z1984" i="208"/>
  <c r="Z1981" i="208"/>
  <c r="Z1975" i="208"/>
  <c r="Z1969" i="208"/>
  <c r="Z1966" i="208"/>
  <c r="Z1960" i="208"/>
  <c r="Z1954" i="208"/>
  <c r="Z1948" i="208"/>
  <c r="Z1927" i="208"/>
  <c r="X2435" i="208"/>
  <c r="X1571" i="208"/>
  <c r="X707" i="208"/>
  <c r="AD2966" i="208"/>
  <c r="X2966" i="208"/>
  <c r="AD3000" i="208"/>
  <c r="X3000" i="208"/>
  <c r="AD2994" i="208"/>
  <c r="X2994" i="208"/>
  <c r="AD2988" i="208"/>
  <c r="X2988" i="208"/>
  <c r="AD2985" i="208"/>
  <c r="X2985" i="208"/>
  <c r="AD2970" i="208"/>
  <c r="X2970" i="208"/>
  <c r="AD2967" i="208"/>
  <c r="X2967" i="208"/>
  <c r="AD2958" i="208"/>
  <c r="X2958" i="208"/>
  <c r="AD2952" i="208"/>
  <c r="X2952" i="208"/>
  <c r="AD2949" i="208"/>
  <c r="X2949" i="208"/>
  <c r="AD2928" i="208"/>
  <c r="X2928" i="208"/>
  <c r="AD2925" i="208"/>
  <c r="X2925" i="208"/>
  <c r="AD2910" i="208"/>
  <c r="X2910" i="208"/>
  <c r="AD2832" i="208"/>
  <c r="X2832" i="208"/>
  <c r="AD2826" i="208"/>
  <c r="X2826" i="208"/>
  <c r="AD2820" i="208"/>
  <c r="X2820" i="208"/>
  <c r="AD2814" i="208"/>
  <c r="X2814" i="208"/>
  <c r="AD2808" i="208"/>
  <c r="X2808" i="208"/>
  <c r="AD2802" i="208"/>
  <c r="X2802" i="208"/>
  <c r="AD2796" i="208"/>
  <c r="X2796" i="208"/>
  <c r="AD2790" i="208"/>
  <c r="X2790" i="208"/>
  <c r="AD2784" i="208"/>
  <c r="X2784" i="208"/>
  <c r="AD2778" i="208"/>
  <c r="X2778" i="208"/>
  <c r="AD2772" i="208"/>
  <c r="X2772" i="208"/>
  <c r="AD2766" i="208"/>
  <c r="X2766" i="208"/>
  <c r="AD2760" i="208"/>
  <c r="X2760" i="208"/>
  <c r="AD2754" i="208"/>
  <c r="X2754" i="208"/>
  <c r="AD2748" i="208"/>
  <c r="X2748" i="208"/>
  <c r="AD2742" i="208"/>
  <c r="X2742" i="208"/>
  <c r="AD2736" i="208"/>
  <c r="X2736" i="208"/>
  <c r="AD2730" i="208"/>
  <c r="X2730" i="208"/>
  <c r="AD2724" i="208"/>
  <c r="X2724" i="208"/>
  <c r="AD2718" i="208"/>
  <c r="X2718" i="208"/>
  <c r="AD2712" i="208"/>
  <c r="X2712" i="208"/>
  <c r="AD2709" i="208"/>
  <c r="X2709" i="208"/>
  <c r="AD2700" i="208"/>
  <c r="X2700" i="208"/>
  <c r="AD2694" i="208"/>
  <c r="X2694" i="208"/>
  <c r="AD2688" i="208"/>
  <c r="X2688" i="208"/>
  <c r="AD2682" i="208"/>
  <c r="X2682" i="208"/>
  <c r="AD2676" i="208"/>
  <c r="X2676" i="208"/>
  <c r="AD2670" i="208"/>
  <c r="X2670" i="208"/>
  <c r="AD2664" i="208"/>
  <c r="X2664" i="208"/>
  <c r="AD2658" i="208"/>
  <c r="X2658" i="208"/>
  <c r="AD2652" i="208"/>
  <c r="X2652" i="208"/>
  <c r="AD2646" i="208"/>
  <c r="X2646" i="208"/>
  <c r="AD2640" i="208"/>
  <c r="X2640" i="208"/>
  <c r="AD2634" i="208"/>
  <c r="X2634" i="208"/>
  <c r="AD2628" i="208"/>
  <c r="X2628" i="208"/>
  <c r="AD2622" i="208"/>
  <c r="X2622" i="208"/>
  <c r="AD2616" i="208"/>
  <c r="X2616" i="208"/>
  <c r="AD2610" i="208"/>
  <c r="X2610" i="208"/>
  <c r="AD2604" i="208"/>
  <c r="X2604" i="208"/>
  <c r="AD2598" i="208"/>
  <c r="X2598" i="208"/>
  <c r="AD2592" i="208"/>
  <c r="X2592" i="208"/>
  <c r="AD2586" i="208"/>
  <c r="X2586" i="208"/>
  <c r="AD2580" i="208"/>
  <c r="X2580" i="208"/>
  <c r="AD2574" i="208"/>
  <c r="X2574" i="208"/>
  <c r="AD2568" i="208"/>
  <c r="X2568" i="208"/>
  <c r="AD2562" i="208"/>
  <c r="X2562" i="208"/>
  <c r="AD2556" i="208"/>
  <c r="X2556" i="208"/>
  <c r="AD2550" i="208"/>
  <c r="X2550" i="208"/>
  <c r="AD2544" i="208"/>
  <c r="X2544" i="208"/>
  <c r="AD2538" i="208"/>
  <c r="X2538" i="208"/>
  <c r="AD2532" i="208"/>
  <c r="X2532" i="208"/>
  <c r="AD2526" i="208"/>
  <c r="X2526" i="208"/>
  <c r="AD2520" i="208"/>
  <c r="X2520" i="208"/>
  <c r="AD2514" i="208"/>
  <c r="X2514" i="208"/>
  <c r="AD2505" i="208"/>
  <c r="X2505" i="208"/>
  <c r="AD2502" i="208"/>
  <c r="X2502" i="208"/>
  <c r="AD2493" i="208"/>
  <c r="X2493" i="208"/>
  <c r="AD2490" i="208"/>
  <c r="X2490" i="208"/>
  <c r="AD2481" i="208"/>
  <c r="X2481" i="208"/>
  <c r="AD2475" i="208"/>
  <c r="X2475" i="208"/>
  <c r="AD2472" i="208"/>
  <c r="X2472" i="208"/>
  <c r="AD2463" i="208"/>
  <c r="X2463" i="208"/>
  <c r="AD2460" i="208"/>
  <c r="X2460" i="208"/>
  <c r="AD2451" i="208"/>
  <c r="X2451" i="208"/>
  <c r="AD2448" i="208"/>
  <c r="X2448" i="208"/>
  <c r="AD2442" i="208"/>
  <c r="X2442" i="208"/>
  <c r="AD2436" i="208"/>
  <c r="X2436" i="208"/>
  <c r="AD2427" i="208"/>
  <c r="X2427" i="208"/>
  <c r="AD2421" i="208"/>
  <c r="X2421" i="208"/>
  <c r="AD2415" i="208"/>
  <c r="X2415" i="208"/>
  <c r="AD2409" i="208"/>
  <c r="X2409" i="208"/>
  <c r="AD2403" i="208"/>
  <c r="X2403" i="208"/>
  <c r="AD2397" i="208"/>
  <c r="X2397" i="208"/>
  <c r="AD2394" i="208"/>
  <c r="X2394" i="208"/>
  <c r="AD2388" i="208"/>
  <c r="X2388" i="208"/>
  <c r="AD2379" i="208"/>
  <c r="X2379" i="208"/>
  <c r="AD2376" i="208"/>
  <c r="X2376" i="208"/>
  <c r="AD2367" i="208"/>
  <c r="X2367" i="208"/>
  <c r="AD2364" i="208"/>
  <c r="X2364" i="208"/>
  <c r="AD2355" i="208"/>
  <c r="X2355" i="208"/>
  <c r="AD2352" i="208"/>
  <c r="X2352" i="208"/>
  <c r="AD2343" i="208"/>
  <c r="X2343" i="208"/>
  <c r="AD2340" i="208"/>
  <c r="X2340" i="208"/>
  <c r="AD2331" i="208"/>
  <c r="X2331" i="208"/>
  <c r="AD2328" i="208"/>
  <c r="X2328" i="208"/>
  <c r="AD2319" i="208"/>
  <c r="X2319" i="208"/>
  <c r="AD2313" i="208"/>
  <c r="X2313" i="208"/>
  <c r="AD2307" i="208"/>
  <c r="X2307" i="208"/>
  <c r="AD2301" i="208"/>
  <c r="X2301" i="208"/>
  <c r="AD2295" i="208"/>
  <c r="X2295" i="208"/>
  <c r="AD2289" i="208"/>
  <c r="X2289" i="208"/>
  <c r="AD2283" i="208"/>
  <c r="X2283" i="208"/>
  <c r="AD2280" i="208"/>
  <c r="X2280" i="208"/>
  <c r="AD2271" i="208"/>
  <c r="X2271" i="208"/>
  <c r="AD2268" i="208"/>
  <c r="X2268" i="208"/>
  <c r="AD2259" i="208"/>
  <c r="X2259" i="208"/>
  <c r="AD2253" i="208"/>
  <c r="X2253" i="208"/>
  <c r="AD2250" i="208"/>
  <c r="X2250" i="208"/>
  <c r="AD2244" i="208"/>
  <c r="X2244" i="208"/>
  <c r="AD2238" i="208"/>
  <c r="X2238" i="208"/>
  <c r="AD2235" i="208"/>
  <c r="X2235" i="208"/>
  <c r="AD2229" i="208"/>
  <c r="X2229" i="208"/>
  <c r="AD2223" i="208"/>
  <c r="X2223" i="208"/>
  <c r="AD2217" i="208"/>
  <c r="X2217" i="208"/>
  <c r="AD2211" i="208"/>
  <c r="X2211" i="208"/>
  <c r="AD2205" i="208"/>
  <c r="X2205" i="208"/>
  <c r="AD2202" i="208"/>
  <c r="X2202" i="208"/>
  <c r="AD2196" i="208"/>
  <c r="X2196" i="208"/>
  <c r="AD2190" i="208"/>
  <c r="X2190" i="208"/>
  <c r="AD2184" i="208"/>
  <c r="X2184" i="208"/>
  <c r="AD2178" i="208"/>
  <c r="X2178" i="208"/>
  <c r="AD2172" i="208"/>
  <c r="X2172" i="208"/>
  <c r="AD2166" i="208"/>
  <c r="X2166" i="208"/>
  <c r="AD2163" i="208"/>
  <c r="X2163" i="208"/>
  <c r="AD2157" i="208"/>
  <c r="X2157" i="208"/>
  <c r="AD2151" i="208"/>
  <c r="X2151" i="208"/>
  <c r="AD2145" i="208"/>
  <c r="X2145" i="208"/>
  <c r="AD2139" i="208"/>
  <c r="X2139" i="208"/>
  <c r="AD2133" i="208"/>
  <c r="X2133" i="208"/>
  <c r="AD2130" i="208"/>
  <c r="X2130" i="208"/>
  <c r="AD2124" i="208"/>
  <c r="X2124" i="208"/>
  <c r="AD2118" i="208"/>
  <c r="X2118" i="208"/>
  <c r="AD2109" i="208"/>
  <c r="X2109" i="208"/>
  <c r="AD2100" i="208"/>
  <c r="X2100" i="208"/>
  <c r="AD2094" i="208"/>
  <c r="X2094" i="208"/>
  <c r="AD2091" i="208"/>
  <c r="X2091" i="208"/>
  <c r="AD2088" i="208"/>
  <c r="X2088" i="208"/>
  <c r="AD2085" i="208"/>
  <c r="X2085" i="208"/>
  <c r="AD2082" i="208"/>
  <c r="X2082" i="208"/>
  <c r="AD2079" i="208"/>
  <c r="X2079" i="208"/>
  <c r="AD2076" i="208"/>
  <c r="X2076" i="208"/>
  <c r="AD2073" i="208"/>
  <c r="X2073" i="208"/>
  <c r="AD2067" i="208"/>
  <c r="X2067" i="208"/>
  <c r="AD2061" i="208"/>
  <c r="X2061" i="208"/>
  <c r="AD2055" i="208"/>
  <c r="X2055" i="208"/>
  <c r="AD2049" i="208"/>
  <c r="X2049" i="208"/>
  <c r="AD2043" i="208"/>
  <c r="X2043" i="208"/>
  <c r="AD2040" i="208"/>
  <c r="X2040" i="208"/>
  <c r="AD2034" i="208"/>
  <c r="X2034" i="208"/>
  <c r="AD2028" i="208"/>
  <c r="X2028" i="208"/>
  <c r="AD2010" i="208"/>
  <c r="X2010" i="208"/>
  <c r="AD1908" i="208"/>
  <c r="X1908" i="208"/>
  <c r="AD1902" i="208"/>
  <c r="X1902" i="208"/>
  <c r="AD1896" i="208"/>
  <c r="X1896" i="208"/>
  <c r="AD1890" i="208"/>
  <c r="X1890" i="208"/>
  <c r="AD1884" i="208"/>
  <c r="X1884" i="208"/>
  <c r="AD1878" i="208"/>
  <c r="X1878" i="208"/>
  <c r="AD1872" i="208"/>
  <c r="X1872" i="208"/>
  <c r="AD1863" i="208"/>
  <c r="X1863" i="208"/>
  <c r="AD1860" i="208"/>
  <c r="X1860" i="208"/>
  <c r="AD1851" i="208"/>
  <c r="X1851" i="208"/>
  <c r="AD1848" i="208"/>
  <c r="X1848" i="208"/>
  <c r="AD1839" i="208"/>
  <c r="X1839" i="208"/>
  <c r="AD1836" i="208"/>
  <c r="X1836" i="208"/>
  <c r="AD1827" i="208"/>
  <c r="X1827" i="208"/>
  <c r="AD1821" i="208"/>
  <c r="X1821" i="208"/>
  <c r="AD1815" i="208"/>
  <c r="X1815" i="208"/>
  <c r="AD1809" i="208"/>
  <c r="X1809" i="208"/>
  <c r="AD1803" i="208"/>
  <c r="X1803" i="208"/>
  <c r="AD1797" i="208"/>
  <c r="X1797" i="208"/>
  <c r="AD1791" i="208"/>
  <c r="X1791" i="208"/>
  <c r="AD1785" i="208"/>
  <c r="X1785" i="208"/>
  <c r="AD1779" i="208"/>
  <c r="X1779" i="208"/>
  <c r="AD1773" i="208"/>
  <c r="X1773" i="208"/>
  <c r="AD1767" i="208"/>
  <c r="X1767" i="208"/>
  <c r="AD1761" i="208"/>
  <c r="X1761" i="208"/>
  <c r="AD1758" i="208"/>
  <c r="X1758" i="208"/>
  <c r="AD1743" i="208"/>
  <c r="X1743" i="208"/>
  <c r="AD1740" i="208"/>
  <c r="X1740" i="208"/>
  <c r="AD1737" i="208"/>
  <c r="X1737" i="208"/>
  <c r="AD1734" i="208"/>
  <c r="X1734" i="208"/>
  <c r="AD1731" i="208"/>
  <c r="X1731" i="208"/>
  <c r="AD1725" i="208"/>
  <c r="X1725" i="208"/>
  <c r="AD1722" i="208"/>
  <c r="X1722" i="208"/>
  <c r="AD1719" i="208"/>
  <c r="X1719" i="208"/>
  <c r="AD1716" i="208"/>
  <c r="X1716" i="208"/>
  <c r="AD1713" i="208"/>
  <c r="X1713" i="208"/>
  <c r="AD1710" i="208"/>
  <c r="X1710" i="208"/>
  <c r="AD1707" i="208"/>
  <c r="X1707" i="208"/>
  <c r="AD1704" i="208"/>
  <c r="X1704" i="208"/>
  <c r="AD1701" i="208"/>
  <c r="X1701" i="208"/>
  <c r="AD1698" i="208"/>
  <c r="X1698" i="208"/>
  <c r="AD1695" i="208"/>
  <c r="X1695" i="208"/>
  <c r="AD1692" i="208"/>
  <c r="X1692" i="208"/>
  <c r="AD1689" i="208"/>
  <c r="X1689" i="208"/>
  <c r="AD1686" i="208"/>
  <c r="X1686" i="208"/>
  <c r="AD1683" i="208"/>
  <c r="X1683" i="208"/>
  <c r="AD1680" i="208"/>
  <c r="X1680" i="208"/>
  <c r="AD1677" i="208"/>
  <c r="X1677" i="208"/>
  <c r="AD1674" i="208"/>
  <c r="X1674" i="208"/>
  <c r="AD1671" i="208"/>
  <c r="X1671" i="208"/>
  <c r="AD1668" i="208"/>
  <c r="X1668" i="208"/>
  <c r="AD1665" i="208"/>
  <c r="X1665" i="208"/>
  <c r="AD1662" i="208"/>
  <c r="X1662" i="208"/>
  <c r="AD1659" i="208"/>
  <c r="X1659" i="208"/>
  <c r="AD1656" i="208"/>
  <c r="X1656" i="208"/>
  <c r="AD1653" i="208"/>
  <c r="X1653" i="208"/>
  <c r="AD1650" i="208"/>
  <c r="X1650" i="208"/>
  <c r="AD1647" i="208"/>
  <c r="X1647" i="208"/>
  <c r="AD1644" i="208"/>
  <c r="X1644" i="208"/>
  <c r="AD1641" i="208"/>
  <c r="X1641" i="208"/>
  <c r="AD1638" i="208"/>
  <c r="X1638" i="208"/>
  <c r="AD1635" i="208"/>
  <c r="X1635" i="208"/>
  <c r="AD1632" i="208"/>
  <c r="X1632" i="208"/>
  <c r="AD1629" i="208"/>
  <c r="X1629" i="208"/>
  <c r="AD1626" i="208"/>
  <c r="X1626" i="208"/>
  <c r="AD1623" i="208"/>
  <c r="X1623" i="208"/>
  <c r="AD1620" i="208"/>
  <c r="X1620" i="208"/>
  <c r="AD1617" i="208"/>
  <c r="X1617" i="208"/>
  <c r="AD1614" i="208"/>
  <c r="X1614" i="208"/>
  <c r="AD1611" i="208"/>
  <c r="X1611" i="208"/>
  <c r="AD1608" i="208"/>
  <c r="X1608" i="208"/>
  <c r="AD1605" i="208"/>
  <c r="X1605" i="208"/>
  <c r="AD1602" i="208"/>
  <c r="X1602" i="208"/>
  <c r="AD1599" i="208"/>
  <c r="X1599" i="208"/>
  <c r="AD1596" i="208"/>
  <c r="X1596" i="208"/>
  <c r="AD1593" i="208"/>
  <c r="X1593" i="208"/>
  <c r="AD1590" i="208"/>
  <c r="X1590" i="208"/>
  <c r="AD1587" i="208"/>
  <c r="X1587" i="208"/>
  <c r="AD1584" i="208"/>
  <c r="X1584" i="208"/>
  <c r="AD1581" i="208"/>
  <c r="X1581" i="208"/>
  <c r="AD1578" i="208"/>
  <c r="X1578" i="208"/>
  <c r="AD1575" i="208"/>
  <c r="X1575" i="208"/>
  <c r="AD1572" i="208"/>
  <c r="X1572" i="208"/>
  <c r="AD1569" i="208"/>
  <c r="X1569" i="208"/>
  <c r="AD1566" i="208"/>
  <c r="X1566" i="208"/>
  <c r="AD1563" i="208"/>
  <c r="X1563" i="208"/>
  <c r="AD1560" i="208"/>
  <c r="X1560" i="208"/>
  <c r="AD1557" i="208"/>
  <c r="X1557" i="208"/>
  <c r="AD1554" i="208"/>
  <c r="X1554" i="208"/>
  <c r="AD1551" i="208"/>
  <c r="X1551" i="208"/>
  <c r="AD1548" i="208"/>
  <c r="X1548" i="208"/>
  <c r="AD1545" i="208"/>
  <c r="X1545" i="208"/>
  <c r="AD1539" i="208"/>
  <c r="X1539" i="208"/>
  <c r="AD1536" i="208"/>
  <c r="X1536" i="208"/>
  <c r="AD1533" i="208"/>
  <c r="X1533" i="208"/>
  <c r="AD1530" i="208"/>
  <c r="X1530" i="208"/>
  <c r="AD1527" i="208"/>
  <c r="X1527" i="208"/>
  <c r="AD1524" i="208"/>
  <c r="X1524" i="208"/>
  <c r="AD1521" i="208"/>
  <c r="X1521" i="208"/>
  <c r="AD1518" i="208"/>
  <c r="X1518" i="208"/>
  <c r="AD1515" i="208"/>
  <c r="X1515" i="208"/>
  <c r="AD1512" i="208"/>
  <c r="X1512" i="208"/>
  <c r="AD1509" i="208"/>
  <c r="X1509" i="208"/>
  <c r="AD1506" i="208"/>
  <c r="X1506" i="208"/>
  <c r="AD1503" i="208"/>
  <c r="X1503" i="208"/>
  <c r="AD1500" i="208"/>
  <c r="X1500" i="208"/>
  <c r="AD1497" i="208"/>
  <c r="X1497" i="208"/>
  <c r="AD1494" i="208"/>
  <c r="X1494" i="208"/>
  <c r="AD1491" i="208"/>
  <c r="X1491" i="208"/>
  <c r="AD1488" i="208"/>
  <c r="X1488" i="208"/>
  <c r="AD1485" i="208"/>
  <c r="X1485" i="208"/>
  <c r="AD1482" i="208"/>
  <c r="X1482" i="208"/>
  <c r="AD1479" i="208"/>
  <c r="X1479" i="208"/>
  <c r="AD1476" i="208"/>
  <c r="X1476" i="208"/>
  <c r="AD1473" i="208"/>
  <c r="X1473" i="208"/>
  <c r="AD1470" i="208"/>
  <c r="X1470" i="208"/>
  <c r="AD1467" i="208"/>
  <c r="X1467" i="208"/>
  <c r="AD1464" i="208"/>
  <c r="X1464" i="208"/>
  <c r="AD1461" i="208"/>
  <c r="X1461" i="208"/>
  <c r="AD1458" i="208"/>
  <c r="X1458" i="208"/>
  <c r="AD1455" i="208"/>
  <c r="X1455" i="208"/>
  <c r="AD1452" i="208"/>
  <c r="X1452" i="208"/>
  <c r="AD1449" i="208"/>
  <c r="X1449" i="208"/>
  <c r="AD1446" i="208"/>
  <c r="X1446" i="208"/>
  <c r="AD1443" i="208"/>
  <c r="X1443" i="208"/>
  <c r="AD1440" i="208"/>
  <c r="X1440" i="208"/>
  <c r="AD1437" i="208"/>
  <c r="X1437" i="208"/>
  <c r="AD1434" i="208"/>
  <c r="X1434" i="208"/>
  <c r="AD1431" i="208"/>
  <c r="X1431" i="208"/>
  <c r="AD1428" i="208"/>
  <c r="X1428" i="208"/>
  <c r="AD1425" i="208"/>
  <c r="X1425" i="208"/>
  <c r="AD1422" i="208"/>
  <c r="X1422" i="208"/>
  <c r="AD1419" i="208"/>
  <c r="X1419" i="208"/>
  <c r="AD1416" i="208"/>
  <c r="X1416" i="208"/>
  <c r="AD1413" i="208"/>
  <c r="X1413" i="208"/>
  <c r="AD1410" i="208"/>
  <c r="X1410" i="208"/>
  <c r="AD1407" i="208"/>
  <c r="X1407" i="208"/>
  <c r="AD1404" i="208"/>
  <c r="X1404" i="208"/>
  <c r="AD1401" i="208"/>
  <c r="X1401" i="208"/>
  <c r="AD1398" i="208"/>
  <c r="X1398" i="208"/>
  <c r="AD1395" i="208"/>
  <c r="X1395" i="208"/>
  <c r="AD1392" i="208"/>
  <c r="X1392" i="208"/>
  <c r="AD1389" i="208"/>
  <c r="X1389" i="208"/>
  <c r="AD1386" i="208"/>
  <c r="X1386" i="208"/>
  <c r="AD1383" i="208"/>
  <c r="X1383" i="208"/>
  <c r="AD1380" i="208"/>
  <c r="X1380" i="208"/>
  <c r="AD1377" i="208"/>
  <c r="X1377" i="208"/>
  <c r="AD1374" i="208"/>
  <c r="X1374" i="208"/>
  <c r="AD1371" i="208"/>
  <c r="X1371" i="208"/>
  <c r="AD1368" i="208"/>
  <c r="X1368" i="208"/>
  <c r="AD1365" i="208"/>
  <c r="X1365" i="208"/>
  <c r="AD1362" i="208"/>
  <c r="X1362" i="208"/>
  <c r="AD1359" i="208"/>
  <c r="X1359" i="208"/>
  <c r="AD1356" i="208"/>
  <c r="X1356" i="208"/>
  <c r="AD1353" i="208"/>
  <c r="X1353" i="208"/>
  <c r="AD1350" i="208"/>
  <c r="X1350" i="208"/>
  <c r="AD1347" i="208"/>
  <c r="X1347" i="208"/>
  <c r="AD1344" i="208"/>
  <c r="X1344" i="208"/>
  <c r="AD1341" i="208"/>
  <c r="X1341" i="208"/>
  <c r="AD1338" i="208"/>
  <c r="X1338" i="208"/>
  <c r="AD1335" i="208"/>
  <c r="X1335" i="208"/>
  <c r="AD1332" i="208"/>
  <c r="X1332" i="208"/>
  <c r="AD1329" i="208"/>
  <c r="X1329" i="208"/>
  <c r="AD1326" i="208"/>
  <c r="X1326" i="208"/>
  <c r="AD1323" i="208"/>
  <c r="X1323" i="208"/>
  <c r="AD1320" i="208"/>
  <c r="X1320" i="208"/>
  <c r="AD1317" i="208"/>
  <c r="X1317" i="208"/>
  <c r="AD1314" i="208"/>
  <c r="X1314" i="208"/>
  <c r="AD1311" i="208"/>
  <c r="X1311" i="208"/>
  <c r="AD1308" i="208"/>
  <c r="X1308" i="208"/>
  <c r="AD1305" i="208"/>
  <c r="X1305" i="208"/>
  <c r="AD1302" i="208"/>
  <c r="X1302" i="208"/>
  <c r="AD1299" i="208"/>
  <c r="X1299" i="208"/>
  <c r="AD1296" i="208"/>
  <c r="X1296" i="208"/>
  <c r="AD1293" i="208"/>
  <c r="X1293" i="208"/>
  <c r="AD1290" i="208"/>
  <c r="X1290" i="208"/>
  <c r="AD1287" i="208"/>
  <c r="X1287" i="208"/>
  <c r="AD1284" i="208"/>
  <c r="X1284" i="208"/>
  <c r="AD1281" i="208"/>
  <c r="X1281" i="208"/>
  <c r="AD1278" i="208"/>
  <c r="X1278" i="208"/>
  <c r="AD1275" i="208"/>
  <c r="X1275" i="208"/>
  <c r="AD1272" i="208"/>
  <c r="X1272" i="208"/>
  <c r="AD1269" i="208"/>
  <c r="X1269" i="208"/>
  <c r="AD1266" i="208"/>
  <c r="X1266" i="208"/>
  <c r="AD1263" i="208"/>
  <c r="X1263" i="208"/>
  <c r="AD1260" i="208"/>
  <c r="X1260" i="208"/>
  <c r="AD1257" i="208"/>
  <c r="X1257" i="208"/>
  <c r="AD1254" i="208"/>
  <c r="X1254" i="208"/>
  <c r="AD1251" i="208"/>
  <c r="X1251" i="208"/>
  <c r="AD1248" i="208"/>
  <c r="X1248" i="208"/>
  <c r="AD1245" i="208"/>
  <c r="X1245" i="208"/>
  <c r="AD1242" i="208"/>
  <c r="X1242" i="208"/>
  <c r="AD1239" i="208"/>
  <c r="X1239" i="208"/>
  <c r="AD1236" i="208"/>
  <c r="X1236" i="208"/>
  <c r="AD1233" i="208"/>
  <c r="X1233" i="208"/>
  <c r="AD1230" i="208"/>
  <c r="X1230" i="208"/>
  <c r="AD1227" i="208"/>
  <c r="X1227" i="208"/>
  <c r="AD1224" i="208"/>
  <c r="X1224" i="208"/>
  <c r="AD1221" i="208"/>
  <c r="X1221" i="208"/>
  <c r="AD1218" i="208"/>
  <c r="X1218" i="208"/>
  <c r="AD1215" i="208"/>
  <c r="X1215" i="208"/>
  <c r="AD1212" i="208"/>
  <c r="X1212" i="208"/>
  <c r="AD1209" i="208"/>
  <c r="X1209" i="208"/>
  <c r="AD1206" i="208"/>
  <c r="X1206" i="208"/>
  <c r="AD1203" i="208"/>
  <c r="X1203" i="208"/>
  <c r="AD1200" i="208"/>
  <c r="X1200" i="208"/>
  <c r="AD1197" i="208"/>
  <c r="X1197" i="208"/>
  <c r="AD1194" i="208"/>
  <c r="X1194" i="208"/>
  <c r="AD1191" i="208"/>
  <c r="X1191" i="208"/>
  <c r="AD1188" i="208"/>
  <c r="X1188" i="208"/>
  <c r="AD1185" i="208"/>
  <c r="X1185" i="208"/>
  <c r="AD1182" i="208"/>
  <c r="X1182" i="208"/>
  <c r="AD1179" i="208"/>
  <c r="X1179" i="208"/>
  <c r="AD1176" i="208"/>
  <c r="X1176" i="208"/>
  <c r="AD1173" i="208"/>
  <c r="X1173" i="208"/>
  <c r="AD1170" i="208"/>
  <c r="X1170" i="208"/>
  <c r="AD1167" i="208"/>
  <c r="X1167" i="208"/>
  <c r="AD1164" i="208"/>
  <c r="X1164" i="208"/>
  <c r="AD1161" i="208"/>
  <c r="X1161" i="208"/>
  <c r="AD1158" i="208"/>
  <c r="X1158" i="208"/>
  <c r="AD1155" i="208"/>
  <c r="X1155" i="208"/>
  <c r="AD1152" i="208"/>
  <c r="X1152" i="208"/>
  <c r="AD1149" i="208"/>
  <c r="X1149" i="208"/>
  <c r="AD1146" i="208"/>
  <c r="X1146" i="208"/>
  <c r="AD1143" i="208"/>
  <c r="X1143" i="208"/>
  <c r="AD1140" i="208"/>
  <c r="X1140" i="208"/>
  <c r="AD1137" i="208"/>
  <c r="X1137" i="208"/>
  <c r="AD1134" i="208"/>
  <c r="X1134" i="208"/>
  <c r="AD1131" i="208"/>
  <c r="X1131" i="208"/>
  <c r="AD1128" i="208"/>
  <c r="X1128" i="208"/>
  <c r="AD1125" i="208"/>
  <c r="X1125" i="208"/>
  <c r="AD1122" i="208"/>
  <c r="X1122" i="208"/>
  <c r="AD1119" i="208"/>
  <c r="X1119" i="208"/>
  <c r="AD1116" i="208"/>
  <c r="X1116" i="208"/>
  <c r="AD1113" i="208"/>
  <c r="X1113" i="208"/>
  <c r="AD1110" i="208"/>
  <c r="X1110" i="208"/>
  <c r="AD1107" i="208"/>
  <c r="X1107" i="208"/>
  <c r="AD1104" i="208"/>
  <c r="X1104" i="208"/>
  <c r="AD1101" i="208"/>
  <c r="X1101" i="208"/>
  <c r="AD1098" i="208"/>
  <c r="X1098" i="208"/>
  <c r="AD1095" i="208"/>
  <c r="X1095" i="208"/>
  <c r="AD1092" i="208"/>
  <c r="X1092" i="208"/>
  <c r="AD1089" i="208"/>
  <c r="X1089" i="208"/>
  <c r="AD1086" i="208"/>
  <c r="X1086" i="208"/>
  <c r="AD1083" i="208"/>
  <c r="X1083" i="208"/>
  <c r="AD1080" i="208"/>
  <c r="X1080" i="208"/>
  <c r="AD1077" i="208"/>
  <c r="X1077" i="208"/>
  <c r="AD1074" i="208"/>
  <c r="X1074" i="208"/>
  <c r="AD1071" i="208"/>
  <c r="X1071" i="208"/>
  <c r="AD1068" i="208"/>
  <c r="X1068" i="208"/>
  <c r="AD1065" i="208"/>
  <c r="X1065" i="208"/>
  <c r="AD1062" i="208"/>
  <c r="X1062" i="208"/>
  <c r="AD1059" i="208"/>
  <c r="X1059" i="208"/>
  <c r="AD1056" i="208"/>
  <c r="X1056" i="208"/>
  <c r="AD1053" i="208"/>
  <c r="X1053" i="208"/>
  <c r="AD1050" i="208"/>
  <c r="X1050" i="208"/>
  <c r="AD1047" i="208"/>
  <c r="X1047" i="208"/>
  <c r="AD1044" i="208"/>
  <c r="X1044" i="208"/>
  <c r="AD1041" i="208"/>
  <c r="X1041" i="208"/>
  <c r="AD1038" i="208"/>
  <c r="X1038" i="208"/>
  <c r="AD1035" i="208"/>
  <c r="X1035" i="208"/>
  <c r="AD1032" i="208"/>
  <c r="X1032" i="208"/>
  <c r="AD1029" i="208"/>
  <c r="X1029" i="208"/>
  <c r="AD1026" i="208"/>
  <c r="X1026" i="208"/>
  <c r="AD1023" i="208"/>
  <c r="X1023" i="208"/>
  <c r="AD1020" i="208"/>
  <c r="X1020" i="208"/>
  <c r="AD1017" i="208"/>
  <c r="X1017" i="208"/>
  <c r="AD1014" i="208"/>
  <c r="X1014" i="208"/>
  <c r="AD1011" i="208"/>
  <c r="X1011" i="208"/>
  <c r="AD1008" i="208"/>
  <c r="X1008" i="208"/>
  <c r="AD1005" i="208"/>
  <c r="X1005" i="208"/>
  <c r="AD1002" i="208"/>
  <c r="X1002" i="208"/>
  <c r="AD999" i="208"/>
  <c r="X999" i="208"/>
  <c r="AD996" i="208"/>
  <c r="X996" i="208"/>
  <c r="AD993" i="208"/>
  <c r="X993" i="208"/>
  <c r="AD990" i="208"/>
  <c r="X990" i="208"/>
  <c r="AD987" i="208"/>
  <c r="X987" i="208"/>
  <c r="AD984" i="208"/>
  <c r="X984" i="208"/>
  <c r="AD981" i="208"/>
  <c r="X981" i="208"/>
  <c r="AD978" i="208"/>
  <c r="X978" i="208"/>
  <c r="AD975" i="208"/>
  <c r="X975" i="208"/>
  <c r="AD972" i="208"/>
  <c r="X972" i="208"/>
  <c r="AD969" i="208"/>
  <c r="X969" i="208"/>
  <c r="AD966" i="208"/>
  <c r="X966" i="208"/>
  <c r="AD963" i="208"/>
  <c r="X963" i="208"/>
  <c r="AD960" i="208"/>
  <c r="X960" i="208"/>
  <c r="AD957" i="208"/>
  <c r="X957" i="208"/>
  <c r="AD954" i="208"/>
  <c r="X954" i="208"/>
  <c r="AD951" i="208"/>
  <c r="X951" i="208"/>
  <c r="AD948" i="208"/>
  <c r="X948" i="208"/>
  <c r="AD945" i="208"/>
  <c r="X945" i="208"/>
  <c r="AD942" i="208"/>
  <c r="X942" i="208"/>
  <c r="AD939" i="208"/>
  <c r="X939" i="208"/>
  <c r="AD936" i="208"/>
  <c r="X936" i="208"/>
  <c r="AD933" i="208"/>
  <c r="X933" i="208"/>
  <c r="AD930" i="208"/>
  <c r="X930" i="208"/>
  <c r="AD927" i="208"/>
  <c r="X927" i="208"/>
  <c r="AD924" i="208"/>
  <c r="X924" i="208"/>
  <c r="AD921" i="208"/>
  <c r="X921" i="208"/>
  <c r="AD918" i="208"/>
  <c r="X918" i="208"/>
  <c r="AD915" i="208"/>
  <c r="X915" i="208"/>
  <c r="AD912" i="208"/>
  <c r="X912" i="208"/>
  <c r="AD909" i="208"/>
  <c r="X909" i="208"/>
  <c r="AD906" i="208"/>
  <c r="X906" i="208"/>
  <c r="AD903" i="208"/>
  <c r="X903" i="208"/>
  <c r="AD900" i="208"/>
  <c r="X900" i="208"/>
  <c r="AD897" i="208"/>
  <c r="X897" i="208"/>
  <c r="AD894" i="208"/>
  <c r="X894" i="208"/>
  <c r="AD891" i="208"/>
  <c r="X891" i="208"/>
  <c r="AD888" i="208"/>
  <c r="X888" i="208"/>
  <c r="AD885" i="208"/>
  <c r="X885" i="208"/>
  <c r="AD882" i="208"/>
  <c r="X882" i="208"/>
  <c r="AD879" i="208"/>
  <c r="X879" i="208"/>
  <c r="AD876" i="208"/>
  <c r="X876" i="208"/>
  <c r="AD873" i="208"/>
  <c r="X873" i="208"/>
  <c r="AD870" i="208"/>
  <c r="X870" i="208"/>
  <c r="AD867" i="208"/>
  <c r="X867" i="208"/>
  <c r="AD864" i="208"/>
  <c r="X864" i="208"/>
  <c r="AD861" i="208"/>
  <c r="X861" i="208"/>
  <c r="AD858" i="208"/>
  <c r="X858" i="208"/>
  <c r="AD855" i="208"/>
  <c r="X855" i="208"/>
  <c r="AD852" i="208"/>
  <c r="X852" i="208"/>
  <c r="AD849" i="208"/>
  <c r="X849" i="208"/>
  <c r="AD846" i="208"/>
  <c r="X846" i="208"/>
  <c r="AD843" i="208"/>
  <c r="X843" i="208"/>
  <c r="AD840" i="208"/>
  <c r="X840" i="208"/>
  <c r="AD837" i="208"/>
  <c r="X837" i="208"/>
  <c r="AD834" i="208"/>
  <c r="X834" i="208"/>
  <c r="AD831" i="208"/>
  <c r="X831" i="208"/>
  <c r="AD828" i="208"/>
  <c r="X828" i="208"/>
  <c r="AD825" i="208"/>
  <c r="X825" i="208"/>
  <c r="AD822" i="208"/>
  <c r="X822" i="208"/>
  <c r="AD819" i="208"/>
  <c r="X819" i="208"/>
  <c r="AD816" i="208"/>
  <c r="X816" i="208"/>
  <c r="AD813" i="208"/>
  <c r="X813" i="208"/>
  <c r="AD810" i="208"/>
  <c r="X810" i="208"/>
  <c r="AD807" i="208"/>
  <c r="X807" i="208"/>
  <c r="AD804" i="208"/>
  <c r="X804" i="208"/>
  <c r="AD801" i="208"/>
  <c r="X801" i="208"/>
  <c r="AD798" i="208"/>
  <c r="X798" i="208"/>
  <c r="AD795" i="208"/>
  <c r="X795" i="208"/>
  <c r="AD792" i="208"/>
  <c r="X792" i="208"/>
  <c r="AD789" i="208"/>
  <c r="X789" i="208"/>
  <c r="AD786" i="208"/>
  <c r="X786" i="208"/>
  <c r="AD783" i="208"/>
  <c r="X783" i="208"/>
  <c r="AD780" i="208"/>
  <c r="X780" i="208"/>
  <c r="AD777" i="208"/>
  <c r="X777" i="208"/>
  <c r="AD774" i="208"/>
  <c r="X774" i="208"/>
  <c r="X2363" i="208"/>
  <c r="X1499" i="208"/>
  <c r="X635" i="208"/>
  <c r="AD304" i="208"/>
  <c r="X304" i="208"/>
  <c r="AD2996" i="208"/>
  <c r="X2996" i="208"/>
  <c r="AD2984" i="208"/>
  <c r="X2984" i="208"/>
  <c r="AD2978" i="208"/>
  <c r="X2978" i="208"/>
  <c r="AD2972" i="208"/>
  <c r="X2972" i="208"/>
  <c r="AD2960" i="208"/>
  <c r="X2960" i="208"/>
  <c r="AD305" i="208"/>
  <c r="X305" i="208"/>
  <c r="AD2997" i="208"/>
  <c r="X2997" i="208"/>
  <c r="AD2991" i="208"/>
  <c r="X2991" i="208"/>
  <c r="AD2982" i="208"/>
  <c r="X2982" i="208"/>
  <c r="AD2979" i="208"/>
  <c r="X2979" i="208"/>
  <c r="AD2976" i="208"/>
  <c r="X2976" i="208"/>
  <c r="AD2973" i="208"/>
  <c r="X2973" i="208"/>
  <c r="AD2964" i="208"/>
  <c r="X2964" i="208"/>
  <c r="AD2961" i="208"/>
  <c r="X2961" i="208"/>
  <c r="AD2955" i="208"/>
  <c r="X2955" i="208"/>
  <c r="AD2946" i="208"/>
  <c r="X2946" i="208"/>
  <c r="AD2943" i="208"/>
  <c r="X2943" i="208"/>
  <c r="AD2940" i="208"/>
  <c r="X2940" i="208"/>
  <c r="AD2937" i="208"/>
  <c r="X2937" i="208"/>
  <c r="AD2934" i="208"/>
  <c r="X2934" i="208"/>
  <c r="AD2931" i="208"/>
  <c r="X2931" i="208"/>
  <c r="AD2922" i="208"/>
  <c r="X2922" i="208"/>
  <c r="AD2919" i="208"/>
  <c r="X2919" i="208"/>
  <c r="AD2916" i="208"/>
  <c r="X2916" i="208"/>
  <c r="AD2913" i="208"/>
  <c r="X2913" i="208"/>
  <c r="AD2907" i="208"/>
  <c r="X2907" i="208"/>
  <c r="AD2904" i="208"/>
  <c r="X2904" i="208"/>
  <c r="AD2901" i="208"/>
  <c r="X2901" i="208"/>
  <c r="AD2898" i="208"/>
  <c r="X2898" i="208"/>
  <c r="AD2895" i="208"/>
  <c r="X2895" i="208"/>
  <c r="AD2892" i="208"/>
  <c r="X2892" i="208"/>
  <c r="AD2889" i="208"/>
  <c r="X2889" i="208"/>
  <c r="AD2886" i="208"/>
  <c r="X2886" i="208"/>
  <c r="AD2883" i="208"/>
  <c r="X2883" i="208"/>
  <c r="AD2880" i="208"/>
  <c r="X2880" i="208"/>
  <c r="AD2877" i="208"/>
  <c r="X2877" i="208"/>
  <c r="AD2874" i="208"/>
  <c r="X2874" i="208"/>
  <c r="AD2871" i="208"/>
  <c r="X2871" i="208"/>
  <c r="AD2868" i="208"/>
  <c r="X2868" i="208"/>
  <c r="AD2865" i="208"/>
  <c r="X2865" i="208"/>
  <c r="AD2862" i="208"/>
  <c r="X2862" i="208"/>
  <c r="AD2859" i="208"/>
  <c r="X2859" i="208"/>
  <c r="AD2856" i="208"/>
  <c r="X2856" i="208"/>
  <c r="AD2853" i="208"/>
  <c r="X2853" i="208"/>
  <c r="AD2850" i="208"/>
  <c r="X2850" i="208"/>
  <c r="AD2847" i="208"/>
  <c r="X2847" i="208"/>
  <c r="AD2844" i="208"/>
  <c r="X2844" i="208"/>
  <c r="AD2841" i="208"/>
  <c r="X2841" i="208"/>
  <c r="AD2838" i="208"/>
  <c r="X2838" i="208"/>
  <c r="AD2835" i="208"/>
  <c r="X2835" i="208"/>
  <c r="AD2829" i="208"/>
  <c r="X2829" i="208"/>
  <c r="AD2823" i="208"/>
  <c r="X2823" i="208"/>
  <c r="AD2817" i="208"/>
  <c r="X2817" i="208"/>
  <c r="AD2811" i="208"/>
  <c r="X2811" i="208"/>
  <c r="AD2805" i="208"/>
  <c r="X2805" i="208"/>
  <c r="AD2799" i="208"/>
  <c r="X2799" i="208"/>
  <c r="AD2793" i="208"/>
  <c r="X2793" i="208"/>
  <c r="AD2787" i="208"/>
  <c r="X2787" i="208"/>
  <c r="AD2781" i="208"/>
  <c r="X2781" i="208"/>
  <c r="AD2775" i="208"/>
  <c r="X2775" i="208"/>
  <c r="AD2769" i="208"/>
  <c r="X2769" i="208"/>
  <c r="AD2763" i="208"/>
  <c r="X2763" i="208"/>
  <c r="AD2757" i="208"/>
  <c r="X2757" i="208"/>
  <c r="AD2751" i="208"/>
  <c r="X2751" i="208"/>
  <c r="AD2745" i="208"/>
  <c r="X2745" i="208"/>
  <c r="AD2739" i="208"/>
  <c r="X2739" i="208"/>
  <c r="AD2733" i="208"/>
  <c r="X2733" i="208"/>
  <c r="AD2727" i="208"/>
  <c r="X2727" i="208"/>
  <c r="AD2721" i="208"/>
  <c r="X2721" i="208"/>
  <c r="AD2715" i="208"/>
  <c r="X2715" i="208"/>
  <c r="AD2706" i="208"/>
  <c r="X2706" i="208"/>
  <c r="AD2703" i="208"/>
  <c r="X2703" i="208"/>
  <c r="AD2697" i="208"/>
  <c r="X2697" i="208"/>
  <c r="AD2691" i="208"/>
  <c r="X2691" i="208"/>
  <c r="AD2685" i="208"/>
  <c r="X2685" i="208"/>
  <c r="AD2679" i="208"/>
  <c r="X2679" i="208"/>
  <c r="AD2673" i="208"/>
  <c r="X2673" i="208"/>
  <c r="AD2667" i="208"/>
  <c r="X2667" i="208"/>
  <c r="AD2661" i="208"/>
  <c r="X2661" i="208"/>
  <c r="AD2655" i="208"/>
  <c r="X2655" i="208"/>
  <c r="AD2649" i="208"/>
  <c r="X2649" i="208"/>
  <c r="AD2643" i="208"/>
  <c r="X2643" i="208"/>
  <c r="AD2637" i="208"/>
  <c r="X2637" i="208"/>
  <c r="AD2631" i="208"/>
  <c r="X2631" i="208"/>
  <c r="AD2625" i="208"/>
  <c r="X2625" i="208"/>
  <c r="AD2619" i="208"/>
  <c r="X2619" i="208"/>
  <c r="AD2613" i="208"/>
  <c r="X2613" i="208"/>
  <c r="AD2607" i="208"/>
  <c r="X2607" i="208"/>
  <c r="AD2601" i="208"/>
  <c r="X2601" i="208"/>
  <c r="AD2595" i="208"/>
  <c r="X2595" i="208"/>
  <c r="AD2589" i="208"/>
  <c r="X2589" i="208"/>
  <c r="AD2583" i="208"/>
  <c r="X2583" i="208"/>
  <c r="AD2577" i="208"/>
  <c r="X2577" i="208"/>
  <c r="AD2571" i="208"/>
  <c r="X2571" i="208"/>
  <c r="AD2565" i="208"/>
  <c r="X2565" i="208"/>
  <c r="AD2559" i="208"/>
  <c r="X2559" i="208"/>
  <c r="AD2553" i="208"/>
  <c r="X2553" i="208"/>
  <c r="AD2547" i="208"/>
  <c r="X2547" i="208"/>
  <c r="AD2541" i="208"/>
  <c r="X2541" i="208"/>
  <c r="AD2535" i="208"/>
  <c r="X2535" i="208"/>
  <c r="AD2529" i="208"/>
  <c r="X2529" i="208"/>
  <c r="AD2523" i="208"/>
  <c r="X2523" i="208"/>
  <c r="AD2517" i="208"/>
  <c r="X2517" i="208"/>
  <c r="AD2511" i="208"/>
  <c r="X2511" i="208"/>
  <c r="AD2508" i="208"/>
  <c r="X2508" i="208"/>
  <c r="AD2499" i="208"/>
  <c r="X2499" i="208"/>
  <c r="AD2496" i="208"/>
  <c r="X2496" i="208"/>
  <c r="AD2487" i="208"/>
  <c r="X2487" i="208"/>
  <c r="AD2484" i="208"/>
  <c r="X2484" i="208"/>
  <c r="AD2478" i="208"/>
  <c r="X2478" i="208"/>
  <c r="AD2469" i="208"/>
  <c r="X2469" i="208"/>
  <c r="AD2466" i="208"/>
  <c r="X2466" i="208"/>
  <c r="AD2457" i="208"/>
  <c r="X2457" i="208"/>
  <c r="AD2454" i="208"/>
  <c r="X2454" i="208"/>
  <c r="AD2445" i="208"/>
  <c r="X2445" i="208"/>
  <c r="AD2439" i="208"/>
  <c r="X2439" i="208"/>
  <c r="AD2433" i="208"/>
  <c r="X2433" i="208"/>
  <c r="AD2430" i="208"/>
  <c r="X2430" i="208"/>
  <c r="AD2424" i="208"/>
  <c r="X2424" i="208"/>
  <c r="AD2418" i="208"/>
  <c r="X2418" i="208"/>
  <c r="AD2412" i="208"/>
  <c r="X2412" i="208"/>
  <c r="AD2406" i="208"/>
  <c r="X2406" i="208"/>
  <c r="AD2400" i="208"/>
  <c r="X2400" i="208"/>
  <c r="AD2391" i="208"/>
  <c r="X2391" i="208"/>
  <c r="AD2385" i="208"/>
  <c r="X2385" i="208"/>
  <c r="AD2382" i="208"/>
  <c r="X2382" i="208"/>
  <c r="AD2373" i="208"/>
  <c r="X2373" i="208"/>
  <c r="AD2370" i="208"/>
  <c r="X2370" i="208"/>
  <c r="AD2361" i="208"/>
  <c r="X2361" i="208"/>
  <c r="AD2358" i="208"/>
  <c r="X2358" i="208"/>
  <c r="AD2349" i="208"/>
  <c r="X2349" i="208"/>
  <c r="AD2346" i="208"/>
  <c r="X2346" i="208"/>
  <c r="AD2337" i="208"/>
  <c r="X2337" i="208"/>
  <c r="AD2334" i="208"/>
  <c r="X2334" i="208"/>
  <c r="AD2325" i="208"/>
  <c r="X2325" i="208"/>
  <c r="AD2322" i="208"/>
  <c r="X2322" i="208"/>
  <c r="AD2316" i="208"/>
  <c r="X2316" i="208"/>
  <c r="AD2310" i="208"/>
  <c r="X2310" i="208"/>
  <c r="AD2304" i="208"/>
  <c r="X2304" i="208"/>
  <c r="AD2298" i="208"/>
  <c r="X2298" i="208"/>
  <c r="AD2292" i="208"/>
  <c r="X2292" i="208"/>
  <c r="AD2286" i="208"/>
  <c r="X2286" i="208"/>
  <c r="AD2277" i="208"/>
  <c r="X2277" i="208"/>
  <c r="AD2274" i="208"/>
  <c r="X2274" i="208"/>
  <c r="AD2265" i="208"/>
  <c r="X2265" i="208"/>
  <c r="AD2262" i="208"/>
  <c r="X2262" i="208"/>
  <c r="AD2256" i="208"/>
  <c r="X2256" i="208"/>
  <c r="AD2247" i="208"/>
  <c r="X2247" i="208"/>
  <c r="AD2241" i="208"/>
  <c r="X2241" i="208"/>
  <c r="AD2232" i="208"/>
  <c r="X2232" i="208"/>
  <c r="AD2226" i="208"/>
  <c r="X2226" i="208"/>
  <c r="AD2220" i="208"/>
  <c r="X2220" i="208"/>
  <c r="AD2214" i="208"/>
  <c r="X2214" i="208"/>
  <c r="AD2208" i="208"/>
  <c r="X2208" i="208"/>
  <c r="AD2199" i="208"/>
  <c r="X2199" i="208"/>
  <c r="AD2193" i="208"/>
  <c r="X2193" i="208"/>
  <c r="AD2187" i="208"/>
  <c r="X2187" i="208"/>
  <c r="AD2181" i="208"/>
  <c r="X2181" i="208"/>
  <c r="AD2175" i="208"/>
  <c r="X2175" i="208"/>
  <c r="AD2169" i="208"/>
  <c r="X2169" i="208"/>
  <c r="AD2160" i="208"/>
  <c r="X2160" i="208"/>
  <c r="AD2154" i="208"/>
  <c r="X2154" i="208"/>
  <c r="AD2148" i="208"/>
  <c r="X2148" i="208"/>
  <c r="AD2142" i="208"/>
  <c r="X2142" i="208"/>
  <c r="AD2136" i="208"/>
  <c r="X2136" i="208"/>
  <c r="AD2127" i="208"/>
  <c r="X2127" i="208"/>
  <c r="AD2121" i="208"/>
  <c r="X2121" i="208"/>
  <c r="AD2115" i="208"/>
  <c r="X2115" i="208"/>
  <c r="AD2112" i="208"/>
  <c r="X2112" i="208"/>
  <c r="AD2106" i="208"/>
  <c r="X2106" i="208"/>
  <c r="AD2103" i="208"/>
  <c r="X2103" i="208"/>
  <c r="AD2097" i="208"/>
  <c r="X2097" i="208"/>
  <c r="AD2070" i="208"/>
  <c r="X2070" i="208"/>
  <c r="AD2064" i="208"/>
  <c r="X2064" i="208"/>
  <c r="AD2058" i="208"/>
  <c r="X2058" i="208"/>
  <c r="AD2052" i="208"/>
  <c r="X2052" i="208"/>
  <c r="AD2046" i="208"/>
  <c r="X2046" i="208"/>
  <c r="AD2037" i="208"/>
  <c r="X2037" i="208"/>
  <c r="AD2031" i="208"/>
  <c r="X2031" i="208"/>
  <c r="AD2025" i="208"/>
  <c r="X2025" i="208"/>
  <c r="AD2022" i="208"/>
  <c r="X2022" i="208"/>
  <c r="AD2019" i="208"/>
  <c r="X2019" i="208"/>
  <c r="AD2016" i="208"/>
  <c r="X2016" i="208"/>
  <c r="AD2013" i="208"/>
  <c r="X2013" i="208"/>
  <c r="AD2007" i="208"/>
  <c r="X2007" i="208"/>
  <c r="AD2004" i="208"/>
  <c r="X2004" i="208"/>
  <c r="AD2001" i="208"/>
  <c r="X2001" i="208"/>
  <c r="AD1998" i="208"/>
  <c r="X1998" i="208"/>
  <c r="AD1995" i="208"/>
  <c r="X1995" i="208"/>
  <c r="AD1992" i="208"/>
  <c r="X1992" i="208"/>
  <c r="AD1989" i="208"/>
  <c r="X1989" i="208"/>
  <c r="AD1986" i="208"/>
  <c r="X1986" i="208"/>
  <c r="AD1983" i="208"/>
  <c r="X1983" i="208"/>
  <c r="AD1980" i="208"/>
  <c r="X1980" i="208"/>
  <c r="AD1977" i="208"/>
  <c r="X1977" i="208"/>
  <c r="AD1974" i="208"/>
  <c r="X1974" i="208"/>
  <c r="AD1971" i="208"/>
  <c r="X1971" i="208"/>
  <c r="AD1968" i="208"/>
  <c r="X1968" i="208"/>
  <c r="AD1965" i="208"/>
  <c r="X1965" i="208"/>
  <c r="AD1962" i="208"/>
  <c r="X1962" i="208"/>
  <c r="AD1959" i="208"/>
  <c r="X1959" i="208"/>
  <c r="AD1956" i="208"/>
  <c r="X1956" i="208"/>
  <c r="AD1953" i="208"/>
  <c r="X1953" i="208"/>
  <c r="AD1950" i="208"/>
  <c r="X1950" i="208"/>
  <c r="AD1947" i="208"/>
  <c r="X1947" i="208"/>
  <c r="AD1944" i="208"/>
  <c r="X1944" i="208"/>
  <c r="AD1941" i="208"/>
  <c r="X1941" i="208"/>
  <c r="AD1938" i="208"/>
  <c r="X1938" i="208"/>
  <c r="AD1935" i="208"/>
  <c r="X1935" i="208"/>
  <c r="AD1932" i="208"/>
  <c r="X1932" i="208"/>
  <c r="AD1929" i="208"/>
  <c r="X1929" i="208"/>
  <c r="AD1926" i="208"/>
  <c r="X1926" i="208"/>
  <c r="AD1923" i="208"/>
  <c r="X1923" i="208"/>
  <c r="AD1920" i="208"/>
  <c r="X1920" i="208"/>
  <c r="AD1917" i="208"/>
  <c r="X1917" i="208"/>
  <c r="AD1914" i="208"/>
  <c r="X1914" i="208"/>
  <c r="AD1911" i="208"/>
  <c r="X1911" i="208"/>
  <c r="AD1905" i="208"/>
  <c r="X1905" i="208"/>
  <c r="AD1899" i="208"/>
  <c r="X1899" i="208"/>
  <c r="AD1893" i="208"/>
  <c r="X1893" i="208"/>
  <c r="AD1887" i="208"/>
  <c r="X1887" i="208"/>
  <c r="AD1881" i="208"/>
  <c r="X1881" i="208"/>
  <c r="AD1875" i="208"/>
  <c r="X1875" i="208"/>
  <c r="AD1869" i="208"/>
  <c r="X1869" i="208"/>
  <c r="AD1866" i="208"/>
  <c r="X1866" i="208"/>
  <c r="AD1857" i="208"/>
  <c r="X1857" i="208"/>
  <c r="AD1854" i="208"/>
  <c r="X1854" i="208"/>
  <c r="AD1845" i="208"/>
  <c r="X1845" i="208"/>
  <c r="AD1842" i="208"/>
  <c r="X1842" i="208"/>
  <c r="AD1833" i="208"/>
  <c r="X1833" i="208"/>
  <c r="AD1830" i="208"/>
  <c r="X1830" i="208"/>
  <c r="AD1824" i="208"/>
  <c r="X1824" i="208"/>
  <c r="AD1818" i="208"/>
  <c r="X1818" i="208"/>
  <c r="AD1812" i="208"/>
  <c r="X1812" i="208"/>
  <c r="AD1806" i="208"/>
  <c r="X1806" i="208"/>
  <c r="AD1800" i="208"/>
  <c r="X1800" i="208"/>
  <c r="AD1794" i="208"/>
  <c r="X1794" i="208"/>
  <c r="AD1788" i="208"/>
  <c r="X1788" i="208"/>
  <c r="AD1782" i="208"/>
  <c r="X1782" i="208"/>
  <c r="AD1776" i="208"/>
  <c r="X1776" i="208"/>
  <c r="AD1770" i="208"/>
  <c r="X1770" i="208"/>
  <c r="AD1764" i="208"/>
  <c r="X1764" i="208"/>
  <c r="AD1755" i="208"/>
  <c r="X1755" i="208"/>
  <c r="AD1752" i="208"/>
  <c r="X1752" i="208"/>
  <c r="AD1749" i="208"/>
  <c r="X1749" i="208"/>
  <c r="AD1746" i="208"/>
  <c r="X1746" i="208"/>
  <c r="AD1728" i="208"/>
  <c r="X1728" i="208"/>
  <c r="AD1542" i="208"/>
  <c r="X1542" i="208"/>
  <c r="X2291" i="208"/>
  <c r="X1427" i="208"/>
  <c r="X563" i="208"/>
  <c r="X2219" i="208"/>
  <c r="X1355" i="208"/>
  <c r="X491" i="208"/>
  <c r="X2147" i="208"/>
  <c r="X1283" i="208"/>
  <c r="AD2998" i="208"/>
  <c r="X2998" i="208"/>
  <c r="AD2992" i="208"/>
  <c r="X2992" i="208"/>
  <c r="AD2986" i="208"/>
  <c r="X2986" i="208"/>
  <c r="AD2983" i="208"/>
  <c r="X2983" i="208"/>
  <c r="AD2974" i="208"/>
  <c r="X2974" i="208"/>
  <c r="AD2971" i="208"/>
  <c r="X2971" i="208"/>
  <c r="AD2962" i="208"/>
  <c r="X2962" i="208"/>
  <c r="AD2959" i="208"/>
  <c r="X2959" i="208"/>
  <c r="AD2953" i="208"/>
  <c r="X2953" i="208"/>
  <c r="AD2947" i="208"/>
  <c r="X2947" i="208"/>
  <c r="AD2941" i="208"/>
  <c r="X2941" i="208"/>
  <c r="AD2938" i="208"/>
  <c r="X2938" i="208"/>
  <c r="AD2929" i="208"/>
  <c r="X2929" i="208"/>
  <c r="AD2926" i="208"/>
  <c r="X2926" i="208"/>
  <c r="AD2917" i="208"/>
  <c r="X2917" i="208"/>
  <c r="AD2914" i="208"/>
  <c r="X2914" i="208"/>
  <c r="AD2908" i="208"/>
  <c r="X2908" i="208"/>
  <c r="AD2902" i="208"/>
  <c r="X2902" i="208"/>
  <c r="AD2896" i="208"/>
  <c r="X2896" i="208"/>
  <c r="AD2890" i="208"/>
  <c r="X2890" i="208"/>
  <c r="AD2884" i="208"/>
  <c r="X2884" i="208"/>
  <c r="AD2878" i="208"/>
  <c r="X2878" i="208"/>
  <c r="AD2872" i="208"/>
  <c r="X2872" i="208"/>
  <c r="AD2866" i="208"/>
  <c r="X2866" i="208"/>
  <c r="AD2860" i="208"/>
  <c r="X2860" i="208"/>
  <c r="AD2854" i="208"/>
  <c r="X2854" i="208"/>
  <c r="AD2848" i="208"/>
  <c r="X2848" i="208"/>
  <c r="AD2842" i="208"/>
  <c r="X2842" i="208"/>
  <c r="AD2836" i="208"/>
  <c r="X2836" i="208"/>
  <c r="AD2830" i="208"/>
  <c r="X2830" i="208"/>
  <c r="AD2824" i="208"/>
  <c r="X2824" i="208"/>
  <c r="AD2821" i="208"/>
  <c r="X2821" i="208"/>
  <c r="AD2812" i="208"/>
  <c r="X2812" i="208"/>
  <c r="AD2809" i="208"/>
  <c r="X2809" i="208"/>
  <c r="AD2803" i="208"/>
  <c r="X2803" i="208"/>
  <c r="AD2794" i="208"/>
  <c r="X2794" i="208"/>
  <c r="AD2791" i="208"/>
  <c r="X2791" i="208"/>
  <c r="AD2785" i="208"/>
  <c r="X2785" i="208"/>
  <c r="AD2779" i="208"/>
  <c r="X2779" i="208"/>
  <c r="AD2773" i="208"/>
  <c r="X2773" i="208"/>
  <c r="AD2767" i="208"/>
  <c r="X2767" i="208"/>
  <c r="AD2761" i="208"/>
  <c r="X2761" i="208"/>
  <c r="AD2758" i="208"/>
  <c r="X2758" i="208"/>
  <c r="AD2749" i="208"/>
  <c r="X2749" i="208"/>
  <c r="AD2746" i="208"/>
  <c r="X2746" i="208"/>
  <c r="AD2740" i="208"/>
  <c r="X2740" i="208"/>
  <c r="AD2734" i="208"/>
  <c r="X2734" i="208"/>
  <c r="AD2728" i="208"/>
  <c r="X2728" i="208"/>
  <c r="AD2722" i="208"/>
  <c r="X2722" i="208"/>
  <c r="AD2716" i="208"/>
  <c r="X2716" i="208"/>
  <c r="AD2710" i="208"/>
  <c r="X2710" i="208"/>
  <c r="AD2704" i="208"/>
  <c r="X2704" i="208"/>
  <c r="AD2701" i="208"/>
  <c r="X2701" i="208"/>
  <c r="AD2692" i="208"/>
  <c r="X2692" i="208"/>
  <c r="AD2689" i="208"/>
  <c r="X2689" i="208"/>
  <c r="AD2683" i="208"/>
  <c r="X2683" i="208"/>
  <c r="AD2677" i="208"/>
  <c r="X2677" i="208"/>
  <c r="AD2671" i="208"/>
  <c r="X2671" i="208"/>
  <c r="AD2665" i="208"/>
  <c r="X2665" i="208"/>
  <c r="AD2659" i="208"/>
  <c r="X2659" i="208"/>
  <c r="AD2653" i="208"/>
  <c r="X2653" i="208"/>
  <c r="AD2650" i="208"/>
  <c r="X2650" i="208"/>
  <c r="AD2644" i="208"/>
  <c r="X2644" i="208"/>
  <c r="AD2638" i="208"/>
  <c r="X2638" i="208"/>
  <c r="AD2632" i="208"/>
  <c r="X2632" i="208"/>
  <c r="AD2626" i="208"/>
  <c r="X2626" i="208"/>
  <c r="AD2620" i="208"/>
  <c r="X2620" i="208"/>
  <c r="AD2614" i="208"/>
  <c r="X2614" i="208"/>
  <c r="AD2611" i="208"/>
  <c r="X2611" i="208"/>
  <c r="AD2602" i="208"/>
  <c r="X2602" i="208"/>
  <c r="AD2599" i="208"/>
  <c r="X2599" i="208"/>
  <c r="AD2593" i="208"/>
  <c r="X2593" i="208"/>
  <c r="AD2587" i="208"/>
  <c r="X2587" i="208"/>
  <c r="AD2581" i="208"/>
  <c r="X2581" i="208"/>
  <c r="AD2572" i="208"/>
  <c r="X2572" i="208"/>
  <c r="AD2569" i="208"/>
  <c r="X2569" i="208"/>
  <c r="AD2563" i="208"/>
  <c r="X2563" i="208"/>
  <c r="AD2557" i="208"/>
  <c r="X2557" i="208"/>
  <c r="AD2551" i="208"/>
  <c r="X2551" i="208"/>
  <c r="AD2545" i="208"/>
  <c r="X2545" i="208"/>
  <c r="AD2539" i="208"/>
  <c r="X2539" i="208"/>
  <c r="AD2530" i="208"/>
  <c r="X2530" i="208"/>
  <c r="AD2527" i="208"/>
  <c r="X2527" i="208"/>
  <c r="AD2521" i="208"/>
  <c r="X2521" i="208"/>
  <c r="AD2515" i="208"/>
  <c r="X2515" i="208"/>
  <c r="AD2509" i="208"/>
  <c r="X2509" i="208"/>
  <c r="AD2503" i="208"/>
  <c r="X2503" i="208"/>
  <c r="AD2500" i="208"/>
  <c r="X2500" i="208"/>
  <c r="AD2491" i="208"/>
  <c r="X2491" i="208"/>
  <c r="AD2488" i="208"/>
  <c r="X2488" i="208"/>
  <c r="AD2482" i="208"/>
  <c r="X2482" i="208"/>
  <c r="AD2473" i="208"/>
  <c r="X2473" i="208"/>
  <c r="AD2470" i="208"/>
  <c r="X2470" i="208"/>
  <c r="AD2461" i="208"/>
  <c r="X2461" i="208"/>
  <c r="AD2455" i="208"/>
  <c r="X2455" i="208"/>
  <c r="AD2449" i="208"/>
  <c r="X2449" i="208"/>
  <c r="AD2443" i="208"/>
  <c r="X2443" i="208"/>
  <c r="AD2437" i="208"/>
  <c r="X2437" i="208"/>
  <c r="AD2431" i="208"/>
  <c r="X2431" i="208"/>
  <c r="AD2428" i="208"/>
  <c r="X2428" i="208"/>
  <c r="AD2422" i="208"/>
  <c r="X2422" i="208"/>
  <c r="AD2416" i="208"/>
  <c r="X2416" i="208"/>
  <c r="AD2410" i="208"/>
  <c r="X2410" i="208"/>
  <c r="AD2404" i="208"/>
  <c r="X2404" i="208"/>
  <c r="AD2398" i="208"/>
  <c r="X2398" i="208"/>
  <c r="AD2392" i="208"/>
  <c r="X2392" i="208"/>
  <c r="AD2386" i="208"/>
  <c r="X2386" i="208"/>
  <c r="AD2380" i="208"/>
  <c r="X2380" i="208"/>
  <c r="AD2374" i="208"/>
  <c r="X2374" i="208"/>
  <c r="AD2371" i="208"/>
  <c r="X2371" i="208"/>
  <c r="AD2365" i="208"/>
  <c r="X2365" i="208"/>
  <c r="AD2359" i="208"/>
  <c r="X2359" i="208"/>
  <c r="AD2353" i="208"/>
  <c r="X2353" i="208"/>
  <c r="AD2350" i="208"/>
  <c r="X2350" i="208"/>
  <c r="AD2347" i="208"/>
  <c r="X2347" i="208"/>
  <c r="AD2332" i="208"/>
  <c r="X2332" i="208"/>
  <c r="AD2329" i="208"/>
  <c r="X2329" i="208"/>
  <c r="AD2326" i="208"/>
  <c r="X2326" i="208"/>
  <c r="AD2308" i="208"/>
  <c r="X2308" i="208"/>
  <c r="AD2299" i="208"/>
  <c r="X2299" i="208"/>
  <c r="AD2296" i="208"/>
  <c r="X2296" i="208"/>
  <c r="AD2290" i="208"/>
  <c r="X2290" i="208"/>
  <c r="AD2281" i="208"/>
  <c r="X2281" i="208"/>
  <c r="AD2278" i="208"/>
  <c r="X2278" i="208"/>
  <c r="AD2272" i="208"/>
  <c r="X2272" i="208"/>
  <c r="AD2266" i="208"/>
  <c r="X2266" i="208"/>
  <c r="AD2260" i="208"/>
  <c r="X2260" i="208"/>
  <c r="AD2254" i="208"/>
  <c r="X2254" i="208"/>
  <c r="AD2248" i="208"/>
  <c r="X2248" i="208"/>
  <c r="AD2242" i="208"/>
  <c r="X2242" i="208"/>
  <c r="AD2236" i="208"/>
  <c r="X2236" i="208"/>
  <c r="AD2230" i="208"/>
  <c r="X2230" i="208"/>
  <c r="AD2224" i="208"/>
  <c r="X2224" i="208"/>
  <c r="AD2218" i="208"/>
  <c r="X2218" i="208"/>
  <c r="AD2212" i="208"/>
  <c r="X2212" i="208"/>
  <c r="AD2206" i="208"/>
  <c r="X2206" i="208"/>
  <c r="AD2200" i="208"/>
  <c r="X2200" i="208"/>
  <c r="AD2194" i="208"/>
  <c r="X2194" i="208"/>
  <c r="AD2188" i="208"/>
  <c r="X2188" i="208"/>
  <c r="AD2182" i="208"/>
  <c r="X2182" i="208"/>
  <c r="AD2176" i="208"/>
  <c r="X2176" i="208"/>
  <c r="AD2170" i="208"/>
  <c r="X2170" i="208"/>
  <c r="AD2164" i="208"/>
  <c r="X2164" i="208"/>
  <c r="AD2158" i="208"/>
  <c r="X2158" i="208"/>
  <c r="AD2152" i="208"/>
  <c r="X2152" i="208"/>
  <c r="AD2149" i="208"/>
  <c r="X2149" i="208"/>
  <c r="AD2143" i="208"/>
  <c r="X2143" i="208"/>
  <c r="AD2137" i="208"/>
  <c r="X2137" i="208"/>
  <c r="AD2131" i="208"/>
  <c r="X2131" i="208"/>
  <c r="AD2125" i="208"/>
  <c r="X2125" i="208"/>
  <c r="AD2119" i="208"/>
  <c r="X2119" i="208"/>
  <c r="AD2113" i="208"/>
  <c r="X2113" i="208"/>
  <c r="AD2107" i="208"/>
  <c r="X2107" i="208"/>
  <c r="AD2101" i="208"/>
  <c r="X2101" i="208"/>
  <c r="AD2095" i="208"/>
  <c r="X2095" i="208"/>
  <c r="AD2089" i="208"/>
  <c r="X2089" i="208"/>
  <c r="AD2083" i="208"/>
  <c r="X2083" i="208"/>
  <c r="AD2077" i="208"/>
  <c r="X2077" i="208"/>
  <c r="AD2071" i="208"/>
  <c r="X2071" i="208"/>
  <c r="AD2065" i="208"/>
  <c r="X2065" i="208"/>
  <c r="AD2059" i="208"/>
  <c r="X2059" i="208"/>
  <c r="AD2056" i="208"/>
  <c r="X2056" i="208"/>
  <c r="AD2047" i="208"/>
  <c r="X2047" i="208"/>
  <c r="AD2041" i="208"/>
  <c r="X2041" i="208"/>
  <c r="AD2035" i="208"/>
  <c r="X2035" i="208"/>
  <c r="AD2029" i="208"/>
  <c r="X2029" i="208"/>
  <c r="AD2023" i="208"/>
  <c r="X2023" i="208"/>
  <c r="AD2017" i="208"/>
  <c r="X2017" i="208"/>
  <c r="AD2011" i="208"/>
  <c r="X2011" i="208"/>
  <c r="AD2005" i="208"/>
  <c r="X2005" i="208"/>
  <c r="AD1999" i="208"/>
  <c r="X1999" i="208"/>
  <c r="AD1993" i="208"/>
  <c r="X1993" i="208"/>
  <c r="AD1990" i="208"/>
  <c r="X1990" i="208"/>
  <c r="AD1981" i="208"/>
  <c r="X1981" i="208"/>
  <c r="AD1978" i="208"/>
  <c r="X1978" i="208"/>
  <c r="AD1972" i="208"/>
  <c r="X1972" i="208"/>
  <c r="AD1966" i="208"/>
  <c r="X1966" i="208"/>
  <c r="AD1960" i="208"/>
  <c r="X1960" i="208"/>
  <c r="AD1957" i="208"/>
  <c r="X1957" i="208"/>
  <c r="AD1948" i="208"/>
  <c r="X1948" i="208"/>
  <c r="AD1945" i="208"/>
  <c r="X1945" i="208"/>
  <c r="AD1939" i="208"/>
  <c r="X1939" i="208"/>
  <c r="AD1933" i="208"/>
  <c r="X1933" i="208"/>
  <c r="AD1927" i="208"/>
  <c r="X1927" i="208"/>
  <c r="AD1921" i="208"/>
  <c r="X1921" i="208"/>
  <c r="AD1915" i="208"/>
  <c r="X1915" i="208"/>
  <c r="AD1912" i="208"/>
  <c r="X1912" i="208"/>
  <c r="AD1906" i="208"/>
  <c r="X1906" i="208"/>
  <c r="AD1900" i="208"/>
  <c r="X1900" i="208"/>
  <c r="AD1894" i="208"/>
  <c r="X1894" i="208"/>
  <c r="AD1888" i="208"/>
  <c r="X1888" i="208"/>
  <c r="AD1882" i="208"/>
  <c r="X1882" i="208"/>
  <c r="AD1879" i="208"/>
  <c r="X1879" i="208"/>
  <c r="AD1870" i="208"/>
  <c r="X1870" i="208"/>
  <c r="AD1867" i="208"/>
  <c r="X1867" i="208"/>
  <c r="AD1858" i="208"/>
  <c r="X1858" i="208"/>
  <c r="AD1855" i="208"/>
  <c r="X1855" i="208"/>
  <c r="AD1849" i="208"/>
  <c r="X1849" i="208"/>
  <c r="AD1843" i="208"/>
  <c r="X1843" i="208"/>
  <c r="AD1837" i="208"/>
  <c r="X1837" i="208"/>
  <c r="AD1831" i="208"/>
  <c r="X1831" i="208"/>
  <c r="AD1825" i="208"/>
  <c r="X1825" i="208"/>
  <c r="AD1822" i="208"/>
  <c r="X1822" i="208"/>
  <c r="AD1813" i="208"/>
  <c r="X1813" i="208"/>
  <c r="AD1810" i="208"/>
  <c r="X1810" i="208"/>
  <c r="AD1804" i="208"/>
  <c r="X1804" i="208"/>
  <c r="AD1798" i="208"/>
  <c r="X1798" i="208"/>
  <c r="AD1792" i="208"/>
  <c r="X1792" i="208"/>
  <c r="AD1789" i="208"/>
  <c r="X1789" i="208"/>
  <c r="AD1783" i="208"/>
  <c r="X1783" i="208"/>
  <c r="AD1777" i="208"/>
  <c r="X1777" i="208"/>
  <c r="AD1771" i="208"/>
  <c r="X1771" i="208"/>
  <c r="AD1765" i="208"/>
  <c r="X1765" i="208"/>
  <c r="AD1762" i="208"/>
  <c r="X1762" i="208"/>
  <c r="AD1753" i="208"/>
  <c r="X1753" i="208"/>
  <c r="AD1750" i="208"/>
  <c r="X1750" i="208"/>
  <c r="AD1744" i="208"/>
  <c r="X1744" i="208"/>
  <c r="AD1741" i="208"/>
  <c r="X1741" i="208"/>
  <c r="AD1732" i="208"/>
  <c r="X1732" i="208"/>
  <c r="AD1729" i="208"/>
  <c r="X1729" i="208"/>
  <c r="AD1723" i="208"/>
  <c r="X1723" i="208"/>
  <c r="AD1717" i="208"/>
  <c r="X1717" i="208"/>
  <c r="AD1711" i="208"/>
  <c r="X1711" i="208"/>
  <c r="AD1708" i="208"/>
  <c r="X1708" i="208"/>
  <c r="AD1699" i="208"/>
  <c r="X1699" i="208"/>
  <c r="AD1696" i="208"/>
  <c r="X1696" i="208"/>
  <c r="AD1690" i="208"/>
  <c r="X1690" i="208"/>
  <c r="AD1684" i="208"/>
  <c r="X1684" i="208"/>
  <c r="AD1678" i="208"/>
  <c r="X1678" i="208"/>
  <c r="AD1672" i="208"/>
  <c r="X1672" i="208"/>
  <c r="AD1666" i="208"/>
  <c r="X1666" i="208"/>
  <c r="AD1663" i="208"/>
  <c r="X1663" i="208"/>
  <c r="AD1657" i="208"/>
  <c r="X1657" i="208"/>
  <c r="AD1654" i="208"/>
  <c r="X1654" i="208"/>
  <c r="AD1645" i="208"/>
  <c r="X1645" i="208"/>
  <c r="AD1642" i="208"/>
  <c r="X1642" i="208"/>
  <c r="AD1636" i="208"/>
  <c r="X1636" i="208"/>
  <c r="AD1630" i="208"/>
  <c r="X1630" i="208"/>
  <c r="AD1624" i="208"/>
  <c r="X1624" i="208"/>
  <c r="AD1618" i="208"/>
  <c r="X1618" i="208"/>
  <c r="AD1612" i="208"/>
  <c r="X1612" i="208"/>
  <c r="AD1606" i="208"/>
  <c r="X1606" i="208"/>
  <c r="AD1603" i="208"/>
  <c r="X1603" i="208"/>
  <c r="AD1594" i="208"/>
  <c r="X1594" i="208"/>
  <c r="AD1591" i="208"/>
  <c r="X1591" i="208"/>
  <c r="AD1585" i="208"/>
  <c r="X1585" i="208"/>
  <c r="AD1579" i="208"/>
  <c r="X1579" i="208"/>
  <c r="AD1573" i="208"/>
  <c r="X1573" i="208"/>
  <c r="AD1567" i="208"/>
  <c r="X1567" i="208"/>
  <c r="AD1564" i="208"/>
  <c r="X1564" i="208"/>
  <c r="AD1558" i="208"/>
  <c r="X1558" i="208"/>
  <c r="AD1552" i="208"/>
  <c r="X1552" i="208"/>
  <c r="AD1546" i="208"/>
  <c r="X1546" i="208"/>
  <c r="AD1543" i="208"/>
  <c r="X1543" i="208"/>
  <c r="AD1534" i="208"/>
  <c r="X1534" i="208"/>
  <c r="AD1531" i="208"/>
  <c r="X1531" i="208"/>
  <c r="AD1522" i="208"/>
  <c r="X1522" i="208"/>
  <c r="AD1519" i="208"/>
  <c r="X1519" i="208"/>
  <c r="AD1513" i="208"/>
  <c r="X1513" i="208"/>
  <c r="AD1507" i="208"/>
  <c r="X1507" i="208"/>
  <c r="AD1501" i="208"/>
  <c r="X1501" i="208"/>
  <c r="AD1498" i="208"/>
  <c r="X1498" i="208"/>
  <c r="AD1489" i="208"/>
  <c r="X1489" i="208"/>
  <c r="AD1486" i="208"/>
  <c r="X1486" i="208"/>
  <c r="AD1480" i="208"/>
  <c r="X1480" i="208"/>
  <c r="AD1474" i="208"/>
  <c r="X1474" i="208"/>
  <c r="AD1465" i="208"/>
  <c r="X1465" i="208"/>
  <c r="AD1462" i="208"/>
  <c r="X1462" i="208"/>
  <c r="AD1459" i="208"/>
  <c r="X1459" i="208"/>
  <c r="AD1456" i="208"/>
  <c r="X1456" i="208"/>
  <c r="AD1453" i="208"/>
  <c r="X1453" i="208"/>
  <c r="AD1450" i="208"/>
  <c r="X1450" i="208"/>
  <c r="AD1447" i="208"/>
  <c r="X1447" i="208"/>
  <c r="AD1444" i="208"/>
  <c r="X1444" i="208"/>
  <c r="AD1441" i="208"/>
  <c r="X1441" i="208"/>
  <c r="AD1438" i="208"/>
  <c r="X1438" i="208"/>
  <c r="AD1435" i="208"/>
  <c r="X1435" i="208"/>
  <c r="AD1432" i="208"/>
  <c r="X1432" i="208"/>
  <c r="AD1429" i="208"/>
  <c r="X1429" i="208"/>
  <c r="AD1426" i="208"/>
  <c r="X1426" i="208"/>
  <c r="AD1423" i="208"/>
  <c r="X1423" i="208"/>
  <c r="AD1420" i="208"/>
  <c r="X1420" i="208"/>
  <c r="AD1417" i="208"/>
  <c r="X1417" i="208"/>
  <c r="AD1414" i="208"/>
  <c r="X1414" i="208"/>
  <c r="AD1411" i="208"/>
  <c r="X1411" i="208"/>
  <c r="AD1408" i="208"/>
  <c r="X1408" i="208"/>
  <c r="AD1405" i="208"/>
  <c r="X1405" i="208"/>
  <c r="AD1402" i="208"/>
  <c r="X1402" i="208"/>
  <c r="AD1399" i="208"/>
  <c r="X1399" i="208"/>
  <c r="AD1396" i="208"/>
  <c r="X1396" i="208"/>
  <c r="AD1393" i="208"/>
  <c r="X1393" i="208"/>
  <c r="AD1390" i="208"/>
  <c r="X1390" i="208"/>
  <c r="AD1387" i="208"/>
  <c r="X1387" i="208"/>
  <c r="AD1384" i="208"/>
  <c r="X1384" i="208"/>
  <c r="AD1381" i="208"/>
  <c r="X1381" i="208"/>
  <c r="AD1378" i="208"/>
  <c r="X1378" i="208"/>
  <c r="AD1375" i="208"/>
  <c r="X1375" i="208"/>
  <c r="AD1372" i="208"/>
  <c r="X1372" i="208"/>
  <c r="AD1369" i="208"/>
  <c r="X1369" i="208"/>
  <c r="AD1366" i="208"/>
  <c r="X1366" i="208"/>
  <c r="AD1363" i="208"/>
  <c r="X1363" i="208"/>
  <c r="AD1360" i="208"/>
  <c r="X1360" i="208"/>
  <c r="AD1357" i="208"/>
  <c r="X1357" i="208"/>
  <c r="AD1354" i="208"/>
  <c r="X1354" i="208"/>
  <c r="AD1351" i="208"/>
  <c r="X1351" i="208"/>
  <c r="AD1348" i="208"/>
  <c r="X1348" i="208"/>
  <c r="AD1345" i="208"/>
  <c r="X1345" i="208"/>
  <c r="AD1342" i="208"/>
  <c r="X1342" i="208"/>
  <c r="AD1339" i="208"/>
  <c r="X1339" i="208"/>
  <c r="AD1336" i="208"/>
  <c r="X1336" i="208"/>
  <c r="AD1333" i="208"/>
  <c r="X1333" i="208"/>
  <c r="AD1330" i="208"/>
  <c r="X1330" i="208"/>
  <c r="AD1327" i="208"/>
  <c r="X1327" i="208"/>
  <c r="AD1324" i="208"/>
  <c r="X1324" i="208"/>
  <c r="AD1321" i="208"/>
  <c r="X1321" i="208"/>
  <c r="AD1318" i="208"/>
  <c r="X1318" i="208"/>
  <c r="AD1315" i="208"/>
  <c r="X1315" i="208"/>
  <c r="AD1312" i="208"/>
  <c r="X1312" i="208"/>
  <c r="AD1309" i="208"/>
  <c r="X1309" i="208"/>
  <c r="AD1306" i="208"/>
  <c r="X1306" i="208"/>
  <c r="AD1303" i="208"/>
  <c r="X1303" i="208"/>
  <c r="AD1300" i="208"/>
  <c r="X1300" i="208"/>
  <c r="AD1297" i="208"/>
  <c r="X1297" i="208"/>
  <c r="AD1294" i="208"/>
  <c r="X1294" i="208"/>
  <c r="AD1291" i="208"/>
  <c r="X1291" i="208"/>
  <c r="AD1285" i="208"/>
  <c r="X1285" i="208"/>
  <c r="AD1282" i="208"/>
  <c r="X1282" i="208"/>
  <c r="AD1279" i="208"/>
  <c r="X1279" i="208"/>
  <c r="AD1276" i="208"/>
  <c r="X1276" i="208"/>
  <c r="AD1273" i="208"/>
  <c r="X1273" i="208"/>
  <c r="AD1270" i="208"/>
  <c r="X1270" i="208"/>
  <c r="AD1267" i="208"/>
  <c r="X1267" i="208"/>
  <c r="AD1264" i="208"/>
  <c r="X1264" i="208"/>
  <c r="AD1261" i="208"/>
  <c r="X1261" i="208"/>
  <c r="AD1258" i="208"/>
  <c r="X1258" i="208"/>
  <c r="AD1255" i="208"/>
  <c r="X1255" i="208"/>
  <c r="AD1252" i="208"/>
  <c r="X1252" i="208"/>
  <c r="AD1249" i="208"/>
  <c r="X1249" i="208"/>
  <c r="AD1246" i="208"/>
  <c r="X1246" i="208"/>
  <c r="AD1243" i="208"/>
  <c r="X1243" i="208"/>
  <c r="AD1240" i="208"/>
  <c r="X1240" i="208"/>
  <c r="AD1237" i="208"/>
  <c r="X1237" i="208"/>
  <c r="AD1234" i="208"/>
  <c r="X1234" i="208"/>
  <c r="AD1231" i="208"/>
  <c r="X1231" i="208"/>
  <c r="AD1228" i="208"/>
  <c r="X1228" i="208"/>
  <c r="AD1225" i="208"/>
  <c r="X1225" i="208"/>
  <c r="AD1222" i="208"/>
  <c r="X1222" i="208"/>
  <c r="AD1219" i="208"/>
  <c r="X1219" i="208"/>
  <c r="AD1216" i="208"/>
  <c r="X1216" i="208"/>
  <c r="AD1213" i="208"/>
  <c r="X1213" i="208"/>
  <c r="AD1210" i="208"/>
  <c r="X1210" i="208"/>
  <c r="AD1207" i="208"/>
  <c r="X1207" i="208"/>
  <c r="AD1204" i="208"/>
  <c r="X1204" i="208"/>
  <c r="AD1201" i="208"/>
  <c r="X1201" i="208"/>
  <c r="AD1198" i="208"/>
  <c r="X1198" i="208"/>
  <c r="AD1195" i="208"/>
  <c r="X1195" i="208"/>
  <c r="AD1192" i="208"/>
  <c r="X1192" i="208"/>
  <c r="AD1189" i="208"/>
  <c r="X1189" i="208"/>
  <c r="AD1186" i="208"/>
  <c r="X1186" i="208"/>
  <c r="AD1183" i="208"/>
  <c r="X1183" i="208"/>
  <c r="AD1180" i="208"/>
  <c r="X1180" i="208"/>
  <c r="AD1177" i="208"/>
  <c r="X1177" i="208"/>
  <c r="AD1174" i="208"/>
  <c r="X1174" i="208"/>
  <c r="AD1171" i="208"/>
  <c r="X1171" i="208"/>
  <c r="AD1168" i="208"/>
  <c r="X1168" i="208"/>
  <c r="AD1165" i="208"/>
  <c r="X1165" i="208"/>
  <c r="AD1162" i="208"/>
  <c r="X1162" i="208"/>
  <c r="AD1159" i="208"/>
  <c r="X1159" i="208"/>
  <c r="AD1156" i="208"/>
  <c r="X1156" i="208"/>
  <c r="AD1153" i="208"/>
  <c r="X1153" i="208"/>
  <c r="AD1150" i="208"/>
  <c r="X1150" i="208"/>
  <c r="AD1147" i="208"/>
  <c r="X1147" i="208"/>
  <c r="AD1144" i="208"/>
  <c r="X1144" i="208"/>
  <c r="AD1141" i="208"/>
  <c r="X1141" i="208"/>
  <c r="AD1138" i="208"/>
  <c r="X1138" i="208"/>
  <c r="AD1135" i="208"/>
  <c r="X1135" i="208"/>
  <c r="AD1132" i="208"/>
  <c r="X1132" i="208"/>
  <c r="AD1129" i="208"/>
  <c r="X1129" i="208"/>
  <c r="AD1126" i="208"/>
  <c r="X1126" i="208"/>
  <c r="AD1123" i="208"/>
  <c r="X1123" i="208"/>
  <c r="AD1120" i="208"/>
  <c r="X1120" i="208"/>
  <c r="AD1117" i="208"/>
  <c r="X1117" i="208"/>
  <c r="AD1114" i="208"/>
  <c r="X1114" i="208"/>
  <c r="AD1111" i="208"/>
  <c r="X1111" i="208"/>
  <c r="AD1108" i="208"/>
  <c r="X1108" i="208"/>
  <c r="AD1105" i="208"/>
  <c r="X1105" i="208"/>
  <c r="AD1102" i="208"/>
  <c r="X1102" i="208"/>
  <c r="AD1099" i="208"/>
  <c r="X1099" i="208"/>
  <c r="AD1096" i="208"/>
  <c r="X1096" i="208"/>
  <c r="AD1093" i="208"/>
  <c r="X1093" i="208"/>
  <c r="AD1090" i="208"/>
  <c r="X1090" i="208"/>
  <c r="AD1087" i="208"/>
  <c r="X1087" i="208"/>
  <c r="AD1084" i="208"/>
  <c r="X1084" i="208"/>
  <c r="AD1081" i="208"/>
  <c r="X1081" i="208"/>
  <c r="AD1078" i="208"/>
  <c r="X1078" i="208"/>
  <c r="AD1075" i="208"/>
  <c r="X1075" i="208"/>
  <c r="AD1072" i="208"/>
  <c r="X1072" i="208"/>
  <c r="AD1069" i="208"/>
  <c r="X1069" i="208"/>
  <c r="AD1066" i="208"/>
  <c r="X1066" i="208"/>
  <c r="AD1063" i="208"/>
  <c r="X1063" i="208"/>
  <c r="AD1060" i="208"/>
  <c r="X1060" i="208"/>
  <c r="AD1057" i="208"/>
  <c r="X1057" i="208"/>
  <c r="AD1054" i="208"/>
  <c r="X1054" i="208"/>
  <c r="AD1051" i="208"/>
  <c r="X1051" i="208"/>
  <c r="AD1048" i="208"/>
  <c r="X1048" i="208"/>
  <c r="AD1045" i="208"/>
  <c r="X1045" i="208"/>
  <c r="AD1042" i="208"/>
  <c r="X1042" i="208"/>
  <c r="AD1039" i="208"/>
  <c r="X1039" i="208"/>
  <c r="AD1036" i="208"/>
  <c r="X1036" i="208"/>
  <c r="AD1033" i="208"/>
  <c r="X1033" i="208"/>
  <c r="AD1030" i="208"/>
  <c r="X1030" i="208"/>
  <c r="AD1027" i="208"/>
  <c r="X1027" i="208"/>
  <c r="AD1024" i="208"/>
  <c r="X1024" i="208"/>
  <c r="AD1021" i="208"/>
  <c r="X1021" i="208"/>
  <c r="AD1018" i="208"/>
  <c r="X1018" i="208"/>
  <c r="AD1015" i="208"/>
  <c r="X1015" i="208"/>
  <c r="AD1012" i="208"/>
  <c r="X1012" i="208"/>
  <c r="AD1009" i="208"/>
  <c r="X1009" i="208"/>
  <c r="AD1006" i="208"/>
  <c r="X1006" i="208"/>
  <c r="AD1003" i="208"/>
  <c r="X1003" i="208"/>
  <c r="AD1000" i="208"/>
  <c r="X1000" i="208"/>
  <c r="AD997" i="208"/>
  <c r="X997" i="208"/>
  <c r="AD994" i="208"/>
  <c r="X994" i="208"/>
  <c r="AD991" i="208"/>
  <c r="X991" i="208"/>
  <c r="AD988" i="208"/>
  <c r="X988" i="208"/>
  <c r="AD985" i="208"/>
  <c r="X985" i="208"/>
  <c r="AD982" i="208"/>
  <c r="X982" i="208"/>
  <c r="AD979" i="208"/>
  <c r="X979" i="208"/>
  <c r="AD976" i="208"/>
  <c r="X976" i="208"/>
  <c r="AD973" i="208"/>
  <c r="X973" i="208"/>
  <c r="AD970" i="208"/>
  <c r="X970" i="208"/>
  <c r="AD967" i="208"/>
  <c r="X967" i="208"/>
  <c r="AD964" i="208"/>
  <c r="X964" i="208"/>
  <c r="AD961" i="208"/>
  <c r="X961" i="208"/>
  <c r="AD958" i="208"/>
  <c r="X958" i="208"/>
  <c r="AD955" i="208"/>
  <c r="X955" i="208"/>
  <c r="AD952" i="208"/>
  <c r="X952" i="208"/>
  <c r="AD949" i="208"/>
  <c r="X949" i="208"/>
  <c r="AD946" i="208"/>
  <c r="X946" i="208"/>
  <c r="AD943" i="208"/>
  <c r="X943" i="208"/>
  <c r="AD940" i="208"/>
  <c r="X940" i="208"/>
  <c r="AD937" i="208"/>
  <c r="X937" i="208"/>
  <c r="AD934" i="208"/>
  <c r="X934" i="208"/>
  <c r="AD931" i="208"/>
  <c r="X931" i="208"/>
  <c r="AD928" i="208"/>
  <c r="X928" i="208"/>
  <c r="AD925" i="208"/>
  <c r="X925" i="208"/>
  <c r="AD922" i="208"/>
  <c r="X922" i="208"/>
  <c r="AD919" i="208"/>
  <c r="X919" i="208"/>
  <c r="AD916" i="208"/>
  <c r="X916" i="208"/>
  <c r="AD913" i="208"/>
  <c r="X913" i="208"/>
  <c r="AD910" i="208"/>
  <c r="X910" i="208"/>
  <c r="AD907" i="208"/>
  <c r="X907" i="208"/>
  <c r="AD904" i="208"/>
  <c r="X904" i="208"/>
  <c r="AD901" i="208"/>
  <c r="X901" i="208"/>
  <c r="AD898" i="208"/>
  <c r="X898" i="208"/>
  <c r="AD895" i="208"/>
  <c r="X895" i="208"/>
  <c r="AD892" i="208"/>
  <c r="X892" i="208"/>
  <c r="AD889" i="208"/>
  <c r="X889" i="208"/>
  <c r="AD886" i="208"/>
  <c r="X886" i="208"/>
  <c r="AD883" i="208"/>
  <c r="X883" i="208"/>
  <c r="AD880" i="208"/>
  <c r="X880" i="208"/>
  <c r="AD877" i="208"/>
  <c r="X877" i="208"/>
  <c r="AD874" i="208"/>
  <c r="X874" i="208"/>
  <c r="AD871" i="208"/>
  <c r="X871" i="208"/>
  <c r="AD868" i="208"/>
  <c r="X868" i="208"/>
  <c r="AD865" i="208"/>
  <c r="X865" i="208"/>
  <c r="AD862" i="208"/>
  <c r="X862" i="208"/>
  <c r="AD859" i="208"/>
  <c r="X859" i="208"/>
  <c r="AD856" i="208"/>
  <c r="X856" i="208"/>
  <c r="AD853" i="208"/>
  <c r="X853" i="208"/>
  <c r="AD850" i="208"/>
  <c r="X850" i="208"/>
  <c r="AD847" i="208"/>
  <c r="X847" i="208"/>
  <c r="AD844" i="208"/>
  <c r="X844" i="208"/>
  <c r="AD841" i="208"/>
  <c r="X841" i="208"/>
  <c r="AD838" i="208"/>
  <c r="X838" i="208"/>
  <c r="AD835" i="208"/>
  <c r="X835" i="208"/>
  <c r="AD832" i="208"/>
  <c r="X832" i="208"/>
  <c r="AD829" i="208"/>
  <c r="X829" i="208"/>
  <c r="AD826" i="208"/>
  <c r="X826" i="208"/>
  <c r="AD823" i="208"/>
  <c r="X823" i="208"/>
  <c r="AD820" i="208"/>
  <c r="X820" i="208"/>
  <c r="AD817" i="208"/>
  <c r="X817" i="208"/>
  <c r="AD814" i="208"/>
  <c r="X814" i="208"/>
  <c r="AD811" i="208"/>
  <c r="X811" i="208"/>
  <c r="AD808" i="208"/>
  <c r="X808" i="208"/>
  <c r="AD805" i="208"/>
  <c r="X805" i="208"/>
  <c r="AD802" i="208"/>
  <c r="X802" i="208"/>
  <c r="AD799" i="208"/>
  <c r="X799" i="208"/>
  <c r="AD796" i="208"/>
  <c r="X796" i="208"/>
  <c r="AD793" i="208"/>
  <c r="X793" i="208"/>
  <c r="AD790" i="208"/>
  <c r="X790" i="208"/>
  <c r="AD787" i="208"/>
  <c r="X787" i="208"/>
  <c r="AD784" i="208"/>
  <c r="X784" i="208"/>
  <c r="AD781" i="208"/>
  <c r="X781" i="208"/>
  <c r="AD778" i="208"/>
  <c r="X778" i="208"/>
  <c r="AD775" i="208"/>
  <c r="X775" i="208"/>
  <c r="AD772" i="208"/>
  <c r="X772" i="208"/>
  <c r="AD769" i="208"/>
  <c r="X769" i="208"/>
  <c r="AD766" i="208"/>
  <c r="X766" i="208"/>
  <c r="AD763" i="208"/>
  <c r="X763" i="208"/>
  <c r="AD760" i="208"/>
  <c r="X760" i="208"/>
  <c r="AD757" i="208"/>
  <c r="X757" i="208"/>
  <c r="AD754" i="208"/>
  <c r="X754" i="208"/>
  <c r="AD751" i="208"/>
  <c r="X751" i="208"/>
  <c r="AD748" i="208"/>
  <c r="X748" i="208"/>
  <c r="AD745" i="208"/>
  <c r="X745" i="208"/>
  <c r="AD742" i="208"/>
  <c r="X742" i="208"/>
  <c r="AD739" i="208"/>
  <c r="X739" i="208"/>
  <c r="AD736" i="208"/>
  <c r="X736" i="208"/>
  <c r="AD733" i="208"/>
  <c r="X733" i="208"/>
  <c r="AD730" i="208"/>
  <c r="X730" i="208"/>
  <c r="AD727" i="208"/>
  <c r="X727" i="208"/>
  <c r="AD724" i="208"/>
  <c r="X724" i="208"/>
  <c r="AD721" i="208"/>
  <c r="X721" i="208"/>
  <c r="AD718" i="208"/>
  <c r="X718" i="208"/>
  <c r="AD715" i="208"/>
  <c r="X715" i="208"/>
  <c r="AD712" i="208"/>
  <c r="X712" i="208"/>
  <c r="AD709" i="208"/>
  <c r="X709" i="208"/>
  <c r="AD706" i="208"/>
  <c r="X706" i="208"/>
  <c r="AD703" i="208"/>
  <c r="X703" i="208"/>
  <c r="AD700" i="208"/>
  <c r="X700" i="208"/>
  <c r="AD697" i="208"/>
  <c r="X697" i="208"/>
  <c r="AD694" i="208"/>
  <c r="X694" i="208"/>
  <c r="AD691" i="208"/>
  <c r="X691" i="208"/>
  <c r="AD688" i="208"/>
  <c r="X688" i="208"/>
  <c r="AD685" i="208"/>
  <c r="X685" i="208"/>
  <c r="AD682" i="208"/>
  <c r="X682" i="208"/>
  <c r="AD679" i="208"/>
  <c r="X679" i="208"/>
  <c r="AD676" i="208"/>
  <c r="X676" i="208"/>
  <c r="AD673" i="208"/>
  <c r="X673" i="208"/>
  <c r="AD670" i="208"/>
  <c r="X670" i="208"/>
  <c r="AD667" i="208"/>
  <c r="X667" i="208"/>
  <c r="AD664" i="208"/>
  <c r="X664" i="208"/>
  <c r="AD661" i="208"/>
  <c r="X661" i="208"/>
  <c r="AD658" i="208"/>
  <c r="X658" i="208"/>
  <c r="AD655" i="208"/>
  <c r="X655" i="208"/>
  <c r="AD652" i="208"/>
  <c r="X652" i="208"/>
  <c r="AD649" i="208"/>
  <c r="X649" i="208"/>
  <c r="AD646" i="208"/>
  <c r="X646" i="208"/>
  <c r="AD643" i="208"/>
  <c r="X643" i="208"/>
  <c r="AD640" i="208"/>
  <c r="X640" i="208"/>
  <c r="AD637" i="208"/>
  <c r="X637" i="208"/>
  <c r="AD634" i="208"/>
  <c r="X634" i="208"/>
  <c r="AD631" i="208"/>
  <c r="X631" i="208"/>
  <c r="AD628" i="208"/>
  <c r="X628" i="208"/>
  <c r="AD625" i="208"/>
  <c r="X625" i="208"/>
  <c r="AD622" i="208"/>
  <c r="X622" i="208"/>
  <c r="AD619" i="208"/>
  <c r="X619" i="208"/>
  <c r="AD616" i="208"/>
  <c r="X616" i="208"/>
  <c r="AD613" i="208"/>
  <c r="X613" i="208"/>
  <c r="AD610" i="208"/>
  <c r="X610" i="208"/>
  <c r="AD607" i="208"/>
  <c r="X607" i="208"/>
  <c r="AD604" i="208"/>
  <c r="X604" i="208"/>
  <c r="AD601" i="208"/>
  <c r="X601" i="208"/>
  <c r="AD598" i="208"/>
  <c r="X598" i="208"/>
  <c r="AD595" i="208"/>
  <c r="X595" i="208"/>
  <c r="AD592" i="208"/>
  <c r="X592" i="208"/>
  <c r="AD589" i="208"/>
  <c r="X589" i="208"/>
  <c r="AD586" i="208"/>
  <c r="X586" i="208"/>
  <c r="AD583" i="208"/>
  <c r="X583" i="208"/>
  <c r="AD580" i="208"/>
  <c r="X580" i="208"/>
  <c r="AD577" i="208"/>
  <c r="X577" i="208"/>
  <c r="AD574" i="208"/>
  <c r="X574" i="208"/>
  <c r="AD571" i="208"/>
  <c r="X571" i="208"/>
  <c r="AD568" i="208"/>
  <c r="X568" i="208"/>
  <c r="AD565" i="208"/>
  <c r="X565" i="208"/>
  <c r="AD562" i="208"/>
  <c r="X562" i="208"/>
  <c r="AD559" i="208"/>
  <c r="X559" i="208"/>
  <c r="AD556" i="208"/>
  <c r="X556" i="208"/>
  <c r="AD553" i="208"/>
  <c r="X553" i="208"/>
  <c r="AD550" i="208"/>
  <c r="X550" i="208"/>
  <c r="AD547" i="208"/>
  <c r="X547" i="208"/>
  <c r="AD544" i="208"/>
  <c r="X544" i="208"/>
  <c r="AD541" i="208"/>
  <c r="X541" i="208"/>
  <c r="AD538" i="208"/>
  <c r="X538" i="208"/>
  <c r="AD535" i="208"/>
  <c r="X535" i="208"/>
  <c r="AD532" i="208"/>
  <c r="X532" i="208"/>
  <c r="AD529" i="208"/>
  <c r="X529" i="208"/>
  <c r="AD526" i="208"/>
  <c r="X526" i="208"/>
  <c r="AD523" i="208"/>
  <c r="X523" i="208"/>
  <c r="AD520" i="208"/>
  <c r="X520" i="208"/>
  <c r="AD517" i="208"/>
  <c r="X517" i="208"/>
  <c r="AD514" i="208"/>
  <c r="X514" i="208"/>
  <c r="AD511" i="208"/>
  <c r="X511" i="208"/>
  <c r="AD508" i="208"/>
  <c r="X508" i="208"/>
  <c r="AD505" i="208"/>
  <c r="X505" i="208"/>
  <c r="AD502" i="208"/>
  <c r="X502" i="208"/>
  <c r="AD499" i="208"/>
  <c r="X499" i="208"/>
  <c r="AD496" i="208"/>
  <c r="X496" i="208"/>
  <c r="AD493" i="208"/>
  <c r="X493" i="208"/>
  <c r="AD490" i="208"/>
  <c r="X490" i="208"/>
  <c r="AD487" i="208"/>
  <c r="X487" i="208"/>
  <c r="AD484" i="208"/>
  <c r="X484" i="208"/>
  <c r="AD481" i="208"/>
  <c r="X481" i="208"/>
  <c r="AD478" i="208"/>
  <c r="X478" i="208"/>
  <c r="AD475" i="208"/>
  <c r="X475" i="208"/>
  <c r="AD472" i="208"/>
  <c r="X472" i="208"/>
  <c r="AD469" i="208"/>
  <c r="X469" i="208"/>
  <c r="AD466" i="208"/>
  <c r="X466" i="208"/>
  <c r="AD463" i="208"/>
  <c r="X463" i="208"/>
  <c r="AD460" i="208"/>
  <c r="X460" i="208"/>
  <c r="AD457" i="208"/>
  <c r="X457" i="208"/>
  <c r="AD454" i="208"/>
  <c r="X454" i="208"/>
  <c r="AD451" i="208"/>
  <c r="X451" i="208"/>
  <c r="AD448" i="208"/>
  <c r="X448" i="208"/>
  <c r="AD445" i="208"/>
  <c r="X445" i="208"/>
  <c r="AD442" i="208"/>
  <c r="X442" i="208"/>
  <c r="AD439" i="208"/>
  <c r="X439" i="208"/>
  <c r="AD436" i="208"/>
  <c r="X436" i="208"/>
  <c r="AD433" i="208"/>
  <c r="X433" i="208"/>
  <c r="AD430" i="208"/>
  <c r="X430" i="208"/>
  <c r="AD427" i="208"/>
  <c r="X427" i="208"/>
  <c r="X2939" i="208"/>
  <c r="X2075" i="208"/>
  <c r="X1211" i="208"/>
  <c r="AD303" i="208"/>
  <c r="X303" i="208"/>
  <c r="AD2995" i="208"/>
  <c r="X2995" i="208"/>
  <c r="AD2989" i="208"/>
  <c r="X2989" i="208"/>
  <c r="AD2980" i="208"/>
  <c r="X2980" i="208"/>
  <c r="AD2977" i="208"/>
  <c r="X2977" i="208"/>
  <c r="AD2968" i="208"/>
  <c r="X2968" i="208"/>
  <c r="AD2965" i="208"/>
  <c r="X2965" i="208"/>
  <c r="AD2956" i="208"/>
  <c r="X2956" i="208"/>
  <c r="AD2950" i="208"/>
  <c r="X2950" i="208"/>
  <c r="AD2944" i="208"/>
  <c r="X2944" i="208"/>
  <c r="AD2935" i="208"/>
  <c r="X2935" i="208"/>
  <c r="AD2932" i="208"/>
  <c r="X2932" i="208"/>
  <c r="AD2923" i="208"/>
  <c r="X2923" i="208"/>
  <c r="AD2920" i="208"/>
  <c r="X2920" i="208"/>
  <c r="AD2911" i="208"/>
  <c r="X2911" i="208"/>
  <c r="AD2905" i="208"/>
  <c r="X2905" i="208"/>
  <c r="AD2899" i="208"/>
  <c r="X2899" i="208"/>
  <c r="AD2893" i="208"/>
  <c r="X2893" i="208"/>
  <c r="AD2887" i="208"/>
  <c r="X2887" i="208"/>
  <c r="AD2881" i="208"/>
  <c r="X2881" i="208"/>
  <c r="AD2875" i="208"/>
  <c r="X2875" i="208"/>
  <c r="AD2869" i="208"/>
  <c r="X2869" i="208"/>
  <c r="AD2863" i="208"/>
  <c r="X2863" i="208"/>
  <c r="AD2857" i="208"/>
  <c r="X2857" i="208"/>
  <c r="AD2851" i="208"/>
  <c r="X2851" i="208"/>
  <c r="AD2845" i="208"/>
  <c r="X2845" i="208"/>
  <c r="AD2839" i="208"/>
  <c r="X2839" i="208"/>
  <c r="AD2833" i="208"/>
  <c r="X2833" i="208"/>
  <c r="AD2827" i="208"/>
  <c r="X2827" i="208"/>
  <c r="AD2818" i="208"/>
  <c r="X2818" i="208"/>
  <c r="AD2815" i="208"/>
  <c r="X2815" i="208"/>
  <c r="AD2806" i="208"/>
  <c r="X2806" i="208"/>
  <c r="AD2800" i="208"/>
  <c r="X2800" i="208"/>
  <c r="AD2797" i="208"/>
  <c r="X2797" i="208"/>
  <c r="AD2788" i="208"/>
  <c r="X2788" i="208"/>
  <c r="AD2782" i="208"/>
  <c r="X2782" i="208"/>
  <c r="AD2776" i="208"/>
  <c r="X2776" i="208"/>
  <c r="AD2770" i="208"/>
  <c r="X2770" i="208"/>
  <c r="AD2764" i="208"/>
  <c r="X2764" i="208"/>
  <c r="AD2755" i="208"/>
  <c r="X2755" i="208"/>
  <c r="AD2752" i="208"/>
  <c r="X2752" i="208"/>
  <c r="AD2743" i="208"/>
  <c r="X2743" i="208"/>
  <c r="AD2737" i="208"/>
  <c r="X2737" i="208"/>
  <c r="AD2731" i="208"/>
  <c r="X2731" i="208"/>
  <c r="AD2725" i="208"/>
  <c r="X2725" i="208"/>
  <c r="AD2719" i="208"/>
  <c r="X2719" i="208"/>
  <c r="AD2713" i="208"/>
  <c r="X2713" i="208"/>
  <c r="AD2707" i="208"/>
  <c r="X2707" i="208"/>
  <c r="AD2698" i="208"/>
  <c r="X2698" i="208"/>
  <c r="AD2695" i="208"/>
  <c r="X2695" i="208"/>
  <c r="AD2686" i="208"/>
  <c r="X2686" i="208"/>
  <c r="AD2680" i="208"/>
  <c r="X2680" i="208"/>
  <c r="AD2674" i="208"/>
  <c r="X2674" i="208"/>
  <c r="AD2668" i="208"/>
  <c r="X2668" i="208"/>
  <c r="AD2662" i="208"/>
  <c r="X2662" i="208"/>
  <c r="AD2656" i="208"/>
  <c r="X2656" i="208"/>
  <c r="AD2647" i="208"/>
  <c r="X2647" i="208"/>
  <c r="AD2641" i="208"/>
  <c r="X2641" i="208"/>
  <c r="AD2635" i="208"/>
  <c r="X2635" i="208"/>
  <c r="AD2629" i="208"/>
  <c r="X2629" i="208"/>
  <c r="AD2623" i="208"/>
  <c r="X2623" i="208"/>
  <c r="AD2617" i="208"/>
  <c r="X2617" i="208"/>
  <c r="AD2608" i="208"/>
  <c r="X2608" i="208"/>
  <c r="AD2605" i="208"/>
  <c r="X2605" i="208"/>
  <c r="AD2596" i="208"/>
  <c r="X2596" i="208"/>
  <c r="AD2590" i="208"/>
  <c r="X2590" i="208"/>
  <c r="AD2584" i="208"/>
  <c r="X2584" i="208"/>
  <c r="AD2578" i="208"/>
  <c r="X2578" i="208"/>
  <c r="AD2575" i="208"/>
  <c r="X2575" i="208"/>
  <c r="AD2566" i="208"/>
  <c r="X2566" i="208"/>
  <c r="AD2560" i="208"/>
  <c r="X2560" i="208"/>
  <c r="AD2554" i="208"/>
  <c r="X2554" i="208"/>
  <c r="AD2548" i="208"/>
  <c r="X2548" i="208"/>
  <c r="AD2542" i="208"/>
  <c r="X2542" i="208"/>
  <c r="AD2536" i="208"/>
  <c r="X2536" i="208"/>
  <c r="AD2533" i="208"/>
  <c r="X2533" i="208"/>
  <c r="AD2524" i="208"/>
  <c r="X2524" i="208"/>
  <c r="AD2518" i="208"/>
  <c r="X2518" i="208"/>
  <c r="AD2512" i="208"/>
  <c r="X2512" i="208"/>
  <c r="AD2506" i="208"/>
  <c r="X2506" i="208"/>
  <c r="AD2497" i="208"/>
  <c r="X2497" i="208"/>
  <c r="AD2494" i="208"/>
  <c r="X2494" i="208"/>
  <c r="AD2485" i="208"/>
  <c r="X2485" i="208"/>
  <c r="AD2479" i="208"/>
  <c r="X2479" i="208"/>
  <c r="AD2476" i="208"/>
  <c r="X2476" i="208"/>
  <c r="AD2467" i="208"/>
  <c r="X2467" i="208"/>
  <c r="AD2464" i="208"/>
  <c r="X2464" i="208"/>
  <c r="AD2458" i="208"/>
  <c r="X2458" i="208"/>
  <c r="AD2452" i="208"/>
  <c r="X2452" i="208"/>
  <c r="AD2446" i="208"/>
  <c r="X2446" i="208"/>
  <c r="AD2440" i="208"/>
  <c r="X2440" i="208"/>
  <c r="AD2434" i="208"/>
  <c r="X2434" i="208"/>
  <c r="AD2425" i="208"/>
  <c r="X2425" i="208"/>
  <c r="AD2419" i="208"/>
  <c r="X2419" i="208"/>
  <c r="AD2413" i="208"/>
  <c r="X2413" i="208"/>
  <c r="AD2407" i="208"/>
  <c r="X2407" i="208"/>
  <c r="AD2401" i="208"/>
  <c r="X2401" i="208"/>
  <c r="AD2395" i="208"/>
  <c r="X2395" i="208"/>
  <c r="AD2389" i="208"/>
  <c r="X2389" i="208"/>
  <c r="AD2383" i="208"/>
  <c r="X2383" i="208"/>
  <c r="AD2377" i="208"/>
  <c r="X2377" i="208"/>
  <c r="AD2368" i="208"/>
  <c r="X2368" i="208"/>
  <c r="AD2362" i="208"/>
  <c r="X2362" i="208"/>
  <c r="AD2356" i="208"/>
  <c r="X2356" i="208"/>
  <c r="AD2344" i="208"/>
  <c r="X2344" i="208"/>
  <c r="AD2341" i="208"/>
  <c r="X2341" i="208"/>
  <c r="AD2338" i="208"/>
  <c r="X2338" i="208"/>
  <c r="AD2335" i="208"/>
  <c r="X2335" i="208"/>
  <c r="AD2323" i="208"/>
  <c r="X2323" i="208"/>
  <c r="AD2320" i="208"/>
  <c r="X2320" i="208"/>
  <c r="AD2317" i="208"/>
  <c r="X2317" i="208"/>
  <c r="AD2314" i="208"/>
  <c r="X2314" i="208"/>
  <c r="AD2311" i="208"/>
  <c r="X2311" i="208"/>
  <c r="AD2305" i="208"/>
  <c r="X2305" i="208"/>
  <c r="AD2302" i="208"/>
  <c r="X2302" i="208"/>
  <c r="AD2293" i="208"/>
  <c r="X2293" i="208"/>
  <c r="AD2287" i="208"/>
  <c r="X2287" i="208"/>
  <c r="AD2284" i="208"/>
  <c r="X2284" i="208"/>
  <c r="AD2275" i="208"/>
  <c r="X2275" i="208"/>
  <c r="AD2269" i="208"/>
  <c r="X2269" i="208"/>
  <c r="AD2263" i="208"/>
  <c r="X2263" i="208"/>
  <c r="AD2257" i="208"/>
  <c r="X2257" i="208"/>
  <c r="AD2251" i="208"/>
  <c r="X2251" i="208"/>
  <c r="AD2245" i="208"/>
  <c r="X2245" i="208"/>
  <c r="AD2239" i="208"/>
  <c r="X2239" i="208"/>
  <c r="AD2233" i="208"/>
  <c r="X2233" i="208"/>
  <c r="AD2227" i="208"/>
  <c r="X2227" i="208"/>
  <c r="AD2221" i="208"/>
  <c r="X2221" i="208"/>
  <c r="AD2215" i="208"/>
  <c r="X2215" i="208"/>
  <c r="AD2209" i="208"/>
  <c r="X2209" i="208"/>
  <c r="AD2203" i="208"/>
  <c r="X2203" i="208"/>
  <c r="AD2197" i="208"/>
  <c r="X2197" i="208"/>
  <c r="AD2191" i="208"/>
  <c r="X2191" i="208"/>
  <c r="AD2185" i="208"/>
  <c r="X2185" i="208"/>
  <c r="AD2179" i="208"/>
  <c r="X2179" i="208"/>
  <c r="AD2173" i="208"/>
  <c r="X2173" i="208"/>
  <c r="AD2167" i="208"/>
  <c r="X2167" i="208"/>
  <c r="AD2161" i="208"/>
  <c r="X2161" i="208"/>
  <c r="AD2155" i="208"/>
  <c r="X2155" i="208"/>
  <c r="AD2146" i="208"/>
  <c r="X2146" i="208"/>
  <c r="AD2140" i="208"/>
  <c r="X2140" i="208"/>
  <c r="AD2134" i="208"/>
  <c r="X2134" i="208"/>
  <c r="AD2128" i="208"/>
  <c r="X2128" i="208"/>
  <c r="AD2122" i="208"/>
  <c r="X2122" i="208"/>
  <c r="AD2116" i="208"/>
  <c r="X2116" i="208"/>
  <c r="AD2110" i="208"/>
  <c r="X2110" i="208"/>
  <c r="AD2104" i="208"/>
  <c r="X2104" i="208"/>
  <c r="AD2098" i="208"/>
  <c r="X2098" i="208"/>
  <c r="AD2092" i="208"/>
  <c r="X2092" i="208"/>
  <c r="AD2086" i="208"/>
  <c r="X2086" i="208"/>
  <c r="AD2080" i="208"/>
  <c r="X2080" i="208"/>
  <c r="AD2074" i="208"/>
  <c r="X2074" i="208"/>
  <c r="AD2068" i="208"/>
  <c r="X2068" i="208"/>
  <c r="AD2062" i="208"/>
  <c r="X2062" i="208"/>
  <c r="AD2053" i="208"/>
  <c r="X2053" i="208"/>
  <c r="AD2050" i="208"/>
  <c r="X2050" i="208"/>
  <c r="AD2044" i="208"/>
  <c r="X2044" i="208"/>
  <c r="AD2038" i="208"/>
  <c r="X2038" i="208"/>
  <c r="AD2032" i="208"/>
  <c r="X2032" i="208"/>
  <c r="AD2026" i="208"/>
  <c r="X2026" i="208"/>
  <c r="AD2020" i="208"/>
  <c r="X2020" i="208"/>
  <c r="AD2014" i="208"/>
  <c r="X2014" i="208"/>
  <c r="AD2008" i="208"/>
  <c r="X2008" i="208"/>
  <c r="AD2002" i="208"/>
  <c r="X2002" i="208"/>
  <c r="AD1996" i="208"/>
  <c r="X1996" i="208"/>
  <c r="AD1987" i="208"/>
  <c r="X1987" i="208"/>
  <c r="AD1984" i="208"/>
  <c r="X1984" i="208"/>
  <c r="AD1975" i="208"/>
  <c r="X1975" i="208"/>
  <c r="AD1969" i="208"/>
  <c r="X1969" i="208"/>
  <c r="AD1963" i="208"/>
  <c r="X1963" i="208"/>
  <c r="AD1954" i="208"/>
  <c r="X1954" i="208"/>
  <c r="AD1951" i="208"/>
  <c r="X1951" i="208"/>
  <c r="AD1942" i="208"/>
  <c r="X1942" i="208"/>
  <c r="AD1936" i="208"/>
  <c r="X1936" i="208"/>
  <c r="AD1930" i="208"/>
  <c r="X1930" i="208"/>
  <c r="AD1924" i="208"/>
  <c r="X1924" i="208"/>
  <c r="AD1918" i="208"/>
  <c r="X1918" i="208"/>
  <c r="AD1909" i="208"/>
  <c r="X1909" i="208"/>
  <c r="AD1903" i="208"/>
  <c r="X1903" i="208"/>
  <c r="AD1897" i="208"/>
  <c r="X1897" i="208"/>
  <c r="AD1891" i="208"/>
  <c r="X1891" i="208"/>
  <c r="AD1885" i="208"/>
  <c r="X1885" i="208"/>
  <c r="AD1876" i="208"/>
  <c r="X1876" i="208"/>
  <c r="AD1873" i="208"/>
  <c r="X1873" i="208"/>
  <c r="AD1864" i="208"/>
  <c r="X1864" i="208"/>
  <c r="AD1861" i="208"/>
  <c r="X1861" i="208"/>
  <c r="AD1852" i="208"/>
  <c r="X1852" i="208"/>
  <c r="AD1846" i="208"/>
  <c r="X1846" i="208"/>
  <c r="AD1840" i="208"/>
  <c r="X1840" i="208"/>
  <c r="AD1834" i="208"/>
  <c r="X1834" i="208"/>
  <c r="AD1828" i="208"/>
  <c r="X1828" i="208"/>
  <c r="AD1819" i="208"/>
  <c r="X1819" i="208"/>
  <c r="AD1816" i="208"/>
  <c r="X1816" i="208"/>
  <c r="AD1807" i="208"/>
  <c r="X1807" i="208"/>
  <c r="AD1801" i="208"/>
  <c r="X1801" i="208"/>
  <c r="AD1795" i="208"/>
  <c r="X1795" i="208"/>
  <c r="AD1786" i="208"/>
  <c r="X1786" i="208"/>
  <c r="AD1780" i="208"/>
  <c r="X1780" i="208"/>
  <c r="AD1774" i="208"/>
  <c r="X1774" i="208"/>
  <c r="AD1768" i="208"/>
  <c r="X1768" i="208"/>
  <c r="AD1759" i="208"/>
  <c r="X1759" i="208"/>
  <c r="AD1756" i="208"/>
  <c r="X1756" i="208"/>
  <c r="AD1747" i="208"/>
  <c r="X1747" i="208"/>
  <c r="AD1738" i="208"/>
  <c r="X1738" i="208"/>
  <c r="AD1735" i="208"/>
  <c r="X1735" i="208"/>
  <c r="AD1726" i="208"/>
  <c r="X1726" i="208"/>
  <c r="AD1720" i="208"/>
  <c r="X1720" i="208"/>
  <c r="AD1714" i="208"/>
  <c r="X1714" i="208"/>
  <c r="AD1705" i="208"/>
  <c r="X1705" i="208"/>
  <c r="AD1702" i="208"/>
  <c r="X1702" i="208"/>
  <c r="AD1693" i="208"/>
  <c r="X1693" i="208"/>
  <c r="AD1687" i="208"/>
  <c r="X1687" i="208"/>
  <c r="AD1681" i="208"/>
  <c r="X1681" i="208"/>
  <c r="AD1675" i="208"/>
  <c r="X1675" i="208"/>
  <c r="AD1669" i="208"/>
  <c r="X1669" i="208"/>
  <c r="AD1660" i="208"/>
  <c r="X1660" i="208"/>
  <c r="AD1651" i="208"/>
  <c r="X1651" i="208"/>
  <c r="AD1648" i="208"/>
  <c r="X1648" i="208"/>
  <c r="AD1639" i="208"/>
  <c r="X1639" i="208"/>
  <c r="AD1633" i="208"/>
  <c r="X1633" i="208"/>
  <c r="AD1627" i="208"/>
  <c r="X1627" i="208"/>
  <c r="AD1621" i="208"/>
  <c r="X1621" i="208"/>
  <c r="AD1615" i="208"/>
  <c r="X1615" i="208"/>
  <c r="AD1609" i="208"/>
  <c r="X1609" i="208"/>
  <c r="AD1600" i="208"/>
  <c r="X1600" i="208"/>
  <c r="AD1597" i="208"/>
  <c r="X1597" i="208"/>
  <c r="AD1588" i="208"/>
  <c r="X1588" i="208"/>
  <c r="AD1582" i="208"/>
  <c r="X1582" i="208"/>
  <c r="AD1576" i="208"/>
  <c r="X1576" i="208"/>
  <c r="AD1570" i="208"/>
  <c r="X1570" i="208"/>
  <c r="AD1561" i="208"/>
  <c r="X1561" i="208"/>
  <c r="AD1555" i="208"/>
  <c r="X1555" i="208"/>
  <c r="AD1549" i="208"/>
  <c r="X1549" i="208"/>
  <c r="AD1540" i="208"/>
  <c r="X1540" i="208"/>
  <c r="AD1537" i="208"/>
  <c r="X1537" i="208"/>
  <c r="AD1528" i="208"/>
  <c r="X1528" i="208"/>
  <c r="AD1525" i="208"/>
  <c r="X1525" i="208"/>
  <c r="AD1516" i="208"/>
  <c r="X1516" i="208"/>
  <c r="AD1510" i="208"/>
  <c r="X1510" i="208"/>
  <c r="AD1504" i="208"/>
  <c r="X1504" i="208"/>
  <c r="AD1495" i="208"/>
  <c r="X1495" i="208"/>
  <c r="AD1492" i="208"/>
  <c r="X1492" i="208"/>
  <c r="AD1483" i="208"/>
  <c r="X1483" i="208"/>
  <c r="AD1477" i="208"/>
  <c r="X1477" i="208"/>
  <c r="AD1471" i="208"/>
  <c r="X1471" i="208"/>
  <c r="AD1468" i="208"/>
  <c r="X1468" i="208"/>
  <c r="AD1288" i="208"/>
  <c r="X1288" i="208"/>
  <c r="X2867" i="208"/>
  <c r="X2003" i="208"/>
  <c r="X1139" i="208"/>
  <c r="AC2991" i="208"/>
  <c r="Y2991" i="208"/>
  <c r="AC2979" i="208"/>
  <c r="Y2979" i="208"/>
  <c r="AC2967" i="208"/>
  <c r="Y2967" i="208"/>
  <c r="AC2955" i="208"/>
  <c r="Y2955" i="208"/>
  <c r="AC2943" i="208"/>
  <c r="Y2943" i="208"/>
  <c r="AC2931" i="208"/>
  <c r="Y2931" i="208"/>
  <c r="AC2919" i="208"/>
  <c r="Y2919" i="208"/>
  <c r="AC2907" i="208"/>
  <c r="Y2907" i="208"/>
  <c r="AC2895" i="208"/>
  <c r="Y2895" i="208"/>
  <c r="AC2883" i="208"/>
  <c r="Y2883" i="208"/>
  <c r="AC2871" i="208"/>
  <c r="Y2871" i="208"/>
  <c r="AC2859" i="208"/>
  <c r="Y2859" i="208"/>
  <c r="AC2847" i="208"/>
  <c r="Y2847" i="208"/>
  <c r="AC2835" i="208"/>
  <c r="Y2835" i="208"/>
  <c r="AC2823" i="208"/>
  <c r="Y2823" i="208"/>
  <c r="AC2811" i="208"/>
  <c r="Y2811" i="208"/>
  <c r="AC2799" i="208"/>
  <c r="Y2799" i="208"/>
  <c r="AC2787" i="208"/>
  <c r="Y2787" i="208"/>
  <c r="AC2775" i="208"/>
  <c r="Y2775" i="208"/>
  <c r="AC2763" i="208"/>
  <c r="Y2763" i="208"/>
  <c r="AC2751" i="208"/>
  <c r="Y2751" i="208"/>
  <c r="AC2739" i="208"/>
  <c r="Y2739" i="208"/>
  <c r="AC2727" i="208"/>
  <c r="Y2727" i="208"/>
  <c r="AC2715" i="208"/>
  <c r="Y2715" i="208"/>
  <c r="AC2703" i="208"/>
  <c r="Y2703" i="208"/>
  <c r="AC2691" i="208"/>
  <c r="Y2691" i="208"/>
  <c r="AC2679" i="208"/>
  <c r="Y2679" i="208"/>
  <c r="AC2667" i="208"/>
  <c r="Y2667" i="208"/>
  <c r="AC2655" i="208"/>
  <c r="Y2655" i="208"/>
  <c r="AC2643" i="208"/>
  <c r="Y2643" i="208"/>
  <c r="AC2631" i="208"/>
  <c r="Y2631" i="208"/>
  <c r="AC2619" i="208"/>
  <c r="Y2619" i="208"/>
  <c r="AC2607" i="208"/>
  <c r="Y2607" i="208"/>
  <c r="AC2595" i="208"/>
  <c r="Y2595" i="208"/>
  <c r="AC2583" i="208"/>
  <c r="Y2583" i="208"/>
  <c r="AC2571" i="208"/>
  <c r="Y2571" i="208"/>
  <c r="AC2559" i="208"/>
  <c r="Y2559" i="208"/>
  <c r="AC2547" i="208"/>
  <c r="Y2547" i="208"/>
  <c r="AC2535" i="208"/>
  <c r="Y2535" i="208"/>
  <c r="AC2523" i="208"/>
  <c r="Y2523" i="208"/>
  <c r="AC2511" i="208"/>
  <c r="Y2511" i="208"/>
  <c r="AC2499" i="208"/>
  <c r="Y2499" i="208"/>
  <c r="AC2487" i="208"/>
  <c r="Y2487" i="208"/>
  <c r="AC2475" i="208"/>
  <c r="Y2475" i="208"/>
  <c r="AC2463" i="208"/>
  <c r="Y2463" i="208"/>
  <c r="AC2451" i="208"/>
  <c r="Y2451" i="208"/>
  <c r="AC2439" i="208"/>
  <c r="Y2439" i="208"/>
  <c r="AC2427" i="208"/>
  <c r="Y2427" i="208"/>
  <c r="AC2415" i="208"/>
  <c r="Y2415" i="208"/>
  <c r="AC2403" i="208"/>
  <c r="Y2403" i="208"/>
  <c r="AC2391" i="208"/>
  <c r="Y2391" i="208"/>
  <c r="AC2379" i="208"/>
  <c r="Y2379" i="208"/>
  <c r="AC2367" i="208"/>
  <c r="Y2367" i="208"/>
  <c r="AC2355" i="208"/>
  <c r="Y2355" i="208"/>
  <c r="AC2343" i="208"/>
  <c r="Y2343" i="208"/>
  <c r="AC2331" i="208"/>
  <c r="Y2331" i="208"/>
  <c r="AC2319" i="208"/>
  <c r="Y2319" i="208"/>
  <c r="AC2307" i="208"/>
  <c r="Y2307" i="208"/>
  <c r="AC2295" i="208"/>
  <c r="Y2295" i="208"/>
  <c r="AC2283" i="208"/>
  <c r="Y2283" i="208"/>
  <c r="AC2271" i="208"/>
  <c r="Y2271" i="208"/>
  <c r="AC2259" i="208"/>
  <c r="Y2259" i="208"/>
  <c r="AC2247" i="208"/>
  <c r="Y2247" i="208"/>
  <c r="AC2235" i="208"/>
  <c r="Y2235" i="208"/>
  <c r="AC2223" i="208"/>
  <c r="Y2223" i="208"/>
  <c r="AC2211" i="208"/>
  <c r="Y2211" i="208"/>
  <c r="AC2199" i="208"/>
  <c r="Y2199" i="208"/>
  <c r="AC2187" i="208"/>
  <c r="Y2187" i="208"/>
  <c r="AC2175" i="208"/>
  <c r="Y2175" i="208"/>
  <c r="AC2163" i="208"/>
  <c r="Y2163" i="208"/>
  <c r="AC2151" i="208"/>
  <c r="Y2151" i="208"/>
  <c r="AC2139" i="208"/>
  <c r="Y2139" i="208"/>
  <c r="AC2127" i="208"/>
  <c r="Y2127" i="208"/>
  <c r="AC2115" i="208"/>
  <c r="Y2115" i="208"/>
  <c r="AC2103" i="208"/>
  <c r="Y2103" i="208"/>
  <c r="AC2091" i="208"/>
  <c r="Y2091" i="208"/>
  <c r="AC2079" i="208"/>
  <c r="Y2079" i="208"/>
  <c r="AC2067" i="208"/>
  <c r="Y2067" i="208"/>
  <c r="AC2055" i="208"/>
  <c r="Y2055" i="208"/>
  <c r="AC2043" i="208"/>
  <c r="Y2043" i="208"/>
  <c r="AC2031" i="208"/>
  <c r="Y2031" i="208"/>
  <c r="AC2019" i="208"/>
  <c r="Y2019" i="208"/>
  <c r="AC2007" i="208"/>
  <c r="Y2007" i="208"/>
  <c r="AC1995" i="208"/>
  <c r="Y1995" i="208"/>
  <c r="AC1983" i="208"/>
  <c r="Y1983" i="208"/>
  <c r="AC1971" i="208"/>
  <c r="Y1971" i="208"/>
  <c r="AC1959" i="208"/>
  <c r="Y1959" i="208"/>
  <c r="AC1947" i="208"/>
  <c r="Y1947" i="208"/>
  <c r="AC1935" i="208"/>
  <c r="Y1935" i="208"/>
  <c r="AC1923" i="208"/>
  <c r="Y1923" i="208"/>
  <c r="AC1911" i="208"/>
  <c r="Y1911" i="208"/>
  <c r="AC1899" i="208"/>
  <c r="Y1899" i="208"/>
  <c r="AC1887" i="208"/>
  <c r="Y1887" i="208"/>
  <c r="AC1875" i="208"/>
  <c r="Y1875" i="208"/>
  <c r="AC1863" i="208"/>
  <c r="Y1863" i="208"/>
  <c r="AC1851" i="208"/>
  <c r="Y1851" i="208"/>
  <c r="AC1839" i="208"/>
  <c r="Y1839" i="208"/>
  <c r="AC1827" i="208"/>
  <c r="Y1827" i="208"/>
  <c r="AC1815" i="208"/>
  <c r="Y1815" i="208"/>
  <c r="AC1803" i="208"/>
  <c r="Y1803" i="208"/>
  <c r="AC1791" i="208"/>
  <c r="Y1791" i="208"/>
  <c r="AC1779" i="208"/>
  <c r="Y1779" i="208"/>
  <c r="AC1767" i="208"/>
  <c r="Y1767" i="208"/>
  <c r="AC1755" i="208"/>
  <c r="Y1755" i="208"/>
  <c r="AC1743" i="208"/>
  <c r="Y1743" i="208"/>
  <c r="AC1731" i="208"/>
  <c r="Y1731" i="208"/>
  <c r="AC1719" i="208"/>
  <c r="Y1719" i="208"/>
  <c r="AC1707" i="208"/>
  <c r="Y1707" i="208"/>
  <c r="AC1695" i="208"/>
  <c r="Y1695" i="208"/>
  <c r="AC1683" i="208"/>
  <c r="Y1683" i="208"/>
  <c r="AC1671" i="208"/>
  <c r="Y1671" i="208"/>
  <c r="AC1659" i="208"/>
  <c r="Y1659" i="208"/>
  <c r="AC1647" i="208"/>
  <c r="Y1647" i="208"/>
  <c r="AC1635" i="208"/>
  <c r="Y1635" i="208"/>
  <c r="AC1623" i="208"/>
  <c r="Y1623" i="208"/>
  <c r="AC1611" i="208"/>
  <c r="Y1611" i="208"/>
  <c r="AC1599" i="208"/>
  <c r="Y1599" i="208"/>
  <c r="AC1587" i="208"/>
  <c r="Y1587" i="208"/>
  <c r="AC1575" i="208"/>
  <c r="Y1575" i="208"/>
  <c r="AC1563" i="208"/>
  <c r="Y1563" i="208"/>
  <c r="AC1551" i="208"/>
  <c r="Y1551" i="208"/>
  <c r="AC1539" i="208"/>
  <c r="Y1539" i="208"/>
  <c r="AC1527" i="208"/>
  <c r="Y1527" i="208"/>
  <c r="AC1515" i="208"/>
  <c r="Y1515" i="208"/>
  <c r="AC1503" i="208"/>
  <c r="Y1503" i="208"/>
  <c r="AC1491" i="208"/>
  <c r="Y1491" i="208"/>
  <c r="AC1479" i="208"/>
  <c r="Y1479" i="208"/>
  <c r="AC1467" i="208"/>
  <c r="Y1467" i="208"/>
  <c r="AC1455" i="208"/>
  <c r="Y1455" i="208"/>
  <c r="AC1443" i="208"/>
  <c r="Y1443" i="208"/>
  <c r="AC1431" i="208"/>
  <c r="Y1431" i="208"/>
  <c r="AC1419" i="208"/>
  <c r="Y1419" i="208"/>
  <c r="AC1407" i="208"/>
  <c r="Y1407" i="208"/>
  <c r="AC1395" i="208"/>
  <c r="Y1395" i="208"/>
  <c r="AC1383" i="208"/>
  <c r="Y1383" i="208"/>
  <c r="AC1371" i="208"/>
  <c r="Y1371" i="208"/>
  <c r="AC1359" i="208"/>
  <c r="Y1359" i="208"/>
  <c r="AC1347" i="208"/>
  <c r="Y1347" i="208"/>
  <c r="AC1335" i="208"/>
  <c r="Y1335" i="208"/>
  <c r="AC1323" i="208"/>
  <c r="Y1323" i="208"/>
  <c r="AC1311" i="208"/>
  <c r="Y1311" i="208"/>
  <c r="AC1299" i="208"/>
  <c r="Y1299" i="208"/>
  <c r="AC1287" i="208"/>
  <c r="Y1287" i="208"/>
  <c r="AC1275" i="208"/>
  <c r="Y1275" i="208"/>
  <c r="AC1263" i="208"/>
  <c r="Y1263" i="208"/>
  <c r="AC1251" i="208"/>
  <c r="Y1251" i="208"/>
  <c r="AC1239" i="208"/>
  <c r="Y1239" i="208"/>
  <c r="AC1227" i="208"/>
  <c r="Y1227" i="208"/>
  <c r="AC1215" i="208"/>
  <c r="Y1215" i="208"/>
  <c r="AC1203" i="208"/>
  <c r="Y1203" i="208"/>
  <c r="AC1191" i="208"/>
  <c r="Y1191" i="208"/>
  <c r="AC1179" i="208"/>
  <c r="Y1179" i="208"/>
  <c r="AC1167" i="208"/>
  <c r="Y1167" i="208"/>
  <c r="AC1155" i="208"/>
  <c r="Y1155" i="208"/>
  <c r="AC1143" i="208"/>
  <c r="Y1143" i="208"/>
  <c r="AC1131" i="208"/>
  <c r="Y1131" i="208"/>
  <c r="AC1119" i="208"/>
  <c r="Y1119" i="208"/>
  <c r="AC1107" i="208"/>
  <c r="Y1107" i="208"/>
  <c r="AC1095" i="208"/>
  <c r="Y1095" i="208"/>
  <c r="AC1083" i="208"/>
  <c r="Y1083" i="208"/>
  <c r="AC1071" i="208"/>
  <c r="Y1071" i="208"/>
  <c r="AC1059" i="208"/>
  <c r="Y1059" i="208"/>
  <c r="AC1047" i="208"/>
  <c r="Y1047" i="208"/>
  <c r="AC1035" i="208"/>
  <c r="Y1035" i="208"/>
  <c r="AC1023" i="208"/>
  <c r="Y1023" i="208"/>
  <c r="AC1011" i="208"/>
  <c r="Y1011" i="208"/>
  <c r="AC999" i="208"/>
  <c r="Y999" i="208"/>
  <c r="AC987" i="208"/>
  <c r="Y987" i="208"/>
  <c r="AC975" i="208"/>
  <c r="Y975" i="208"/>
  <c r="AC963" i="208"/>
  <c r="Y963" i="208"/>
  <c r="AC951" i="208"/>
  <c r="Y951" i="208"/>
  <c r="AC939" i="208"/>
  <c r="Y939" i="208"/>
  <c r="AC927" i="208"/>
  <c r="Y927" i="208"/>
  <c r="AC915" i="208"/>
  <c r="Y915" i="208"/>
  <c r="AC903" i="208"/>
  <c r="Y903" i="208"/>
  <c r="AC891" i="208"/>
  <c r="Y891" i="208"/>
  <c r="AC879" i="208"/>
  <c r="Y879" i="208"/>
  <c r="AC867" i="208"/>
  <c r="Y867" i="208"/>
  <c r="AC855" i="208"/>
  <c r="Y855" i="208"/>
  <c r="AC843" i="208"/>
  <c r="Y843" i="208"/>
  <c r="AC831" i="208"/>
  <c r="Y831" i="208"/>
  <c r="AC819" i="208"/>
  <c r="Y819" i="208"/>
  <c r="AC807" i="208"/>
  <c r="Y807" i="208"/>
  <c r="AC795" i="208"/>
  <c r="Y795" i="208"/>
  <c r="AC783" i="208"/>
  <c r="Y783" i="208"/>
  <c r="AC771" i="208"/>
  <c r="Y771" i="208"/>
  <c r="AC759" i="208"/>
  <c r="Y759" i="208"/>
  <c r="AC747" i="208"/>
  <c r="Y747" i="208"/>
  <c r="AC735" i="208"/>
  <c r="Y735" i="208"/>
  <c r="AC723" i="208"/>
  <c r="Y723" i="208"/>
  <c r="AC711" i="208"/>
  <c r="Y711" i="208"/>
  <c r="AC699" i="208"/>
  <c r="Y699" i="208"/>
  <c r="AC687" i="208"/>
  <c r="Y687" i="208"/>
  <c r="AC675" i="208"/>
  <c r="Y675" i="208"/>
  <c r="AC663" i="208"/>
  <c r="Y663" i="208"/>
  <c r="AC651" i="208"/>
  <c r="Y651" i="208"/>
  <c r="AC639" i="208"/>
  <c r="Y639" i="208"/>
  <c r="AC627" i="208"/>
  <c r="Y627" i="208"/>
  <c r="AC615" i="208"/>
  <c r="Y615" i="208"/>
  <c r="AC603" i="208"/>
  <c r="Y603" i="208"/>
  <c r="AC591" i="208"/>
  <c r="Y591" i="208"/>
  <c r="AC579" i="208"/>
  <c r="Y579" i="208"/>
  <c r="AC567" i="208"/>
  <c r="Y567" i="208"/>
  <c r="AC555" i="208"/>
  <c r="Y555" i="208"/>
  <c r="AC543" i="208"/>
  <c r="Y543" i="208"/>
  <c r="AC531" i="208"/>
  <c r="Y531" i="208"/>
  <c r="AC519" i="208"/>
  <c r="Y519" i="208"/>
  <c r="AC507" i="208"/>
  <c r="Y507" i="208"/>
  <c r="AC495" i="208"/>
  <c r="Y495" i="208"/>
  <c r="AC483" i="208"/>
  <c r="Y483" i="208"/>
  <c r="AC471" i="208"/>
  <c r="Y471" i="208"/>
  <c r="AC459" i="208"/>
  <c r="Y459" i="208"/>
  <c r="AC447" i="208"/>
  <c r="Y447" i="208"/>
  <c r="AC435" i="208"/>
  <c r="Y435" i="208"/>
  <c r="AC423" i="208"/>
  <c r="Y423" i="208"/>
  <c r="AC411" i="208"/>
  <c r="Y411" i="208"/>
  <c r="AC399" i="208"/>
  <c r="Y399" i="208"/>
  <c r="AC387" i="208"/>
  <c r="Y387" i="208"/>
  <c r="AC375" i="208"/>
  <c r="Y375" i="208"/>
  <c r="AC363" i="208"/>
  <c r="Y363" i="208"/>
  <c r="AC351" i="208"/>
  <c r="Y351" i="208"/>
  <c r="AC339" i="208"/>
  <c r="Y339" i="208"/>
  <c r="AC327" i="208"/>
  <c r="Y327" i="208"/>
  <c r="AC315" i="208"/>
  <c r="Y315" i="208"/>
  <c r="AC303" i="208"/>
  <c r="Y303" i="208"/>
  <c r="AD424" i="208"/>
  <c r="X424" i="208"/>
  <c r="AD421" i="208"/>
  <c r="AD418" i="208"/>
  <c r="X418" i="208"/>
  <c r="AD415" i="208"/>
  <c r="X415" i="208"/>
  <c r="AD412" i="208"/>
  <c r="X412" i="208"/>
  <c r="AD409" i="208"/>
  <c r="AD406" i="208"/>
  <c r="X406" i="208"/>
  <c r="AD403" i="208"/>
  <c r="X403" i="208"/>
  <c r="AD400" i="208"/>
  <c r="X400" i="208"/>
  <c r="AD397" i="208"/>
  <c r="AD394" i="208"/>
  <c r="X394" i="208"/>
  <c r="AD391" i="208"/>
  <c r="X391" i="208"/>
  <c r="AD388" i="208"/>
  <c r="X388" i="208"/>
  <c r="AD385" i="208"/>
  <c r="AD382" i="208"/>
  <c r="X382" i="208"/>
  <c r="AD379" i="208"/>
  <c r="X379" i="208"/>
  <c r="AD376" i="208"/>
  <c r="X376" i="208"/>
  <c r="AD373" i="208"/>
  <c r="AD370" i="208"/>
  <c r="X370" i="208"/>
  <c r="AD367" i="208"/>
  <c r="X367" i="208"/>
  <c r="AD364" i="208"/>
  <c r="X364" i="208"/>
  <c r="AD361" i="208"/>
  <c r="AD358" i="208"/>
  <c r="X358" i="208"/>
  <c r="AD355" i="208"/>
  <c r="X355" i="208"/>
  <c r="AD352" i="208"/>
  <c r="X352" i="208"/>
  <c r="AD349" i="208"/>
  <c r="AD346" i="208"/>
  <c r="X346" i="208"/>
  <c r="AD343" i="208"/>
  <c r="X343" i="208"/>
  <c r="AD340" i="208"/>
  <c r="X340" i="208"/>
  <c r="AD337" i="208"/>
  <c r="AD334" i="208"/>
  <c r="X334" i="208"/>
  <c r="AD331" i="208"/>
  <c r="X331" i="208"/>
  <c r="AD328" i="208"/>
  <c r="X328" i="208"/>
  <c r="AD325" i="208"/>
  <c r="AD322" i="208"/>
  <c r="X322" i="208"/>
  <c r="AD319" i="208"/>
  <c r="X319" i="208"/>
  <c r="AD316" i="208"/>
  <c r="X316" i="208"/>
  <c r="AD313" i="208"/>
  <c r="AD310" i="208"/>
  <c r="X310" i="208"/>
  <c r="AD307" i="208"/>
  <c r="X307" i="208"/>
  <c r="AD302" i="208"/>
  <c r="X302" i="208"/>
  <c r="AC302" i="208"/>
  <c r="Y302" i="208"/>
  <c r="AC2989" i="208"/>
  <c r="Y2989" i="208"/>
  <c r="AC2977" i="208"/>
  <c r="Y2977" i="208"/>
  <c r="AC2965" i="208"/>
  <c r="Y2965" i="208"/>
  <c r="AC2953" i="208"/>
  <c r="Y2953" i="208"/>
  <c r="AC2941" i="208"/>
  <c r="Y2941" i="208"/>
  <c r="AC2929" i="208"/>
  <c r="Y2929" i="208"/>
  <c r="AC2917" i="208"/>
  <c r="Y2917" i="208"/>
  <c r="AC2905" i="208"/>
  <c r="Y2905" i="208"/>
  <c r="AC2893" i="208"/>
  <c r="Y2893" i="208"/>
  <c r="AC2881" i="208"/>
  <c r="Y2881" i="208"/>
  <c r="AC2869" i="208"/>
  <c r="Y2869" i="208"/>
  <c r="AC2857" i="208"/>
  <c r="Y2857" i="208"/>
  <c r="AC2845" i="208"/>
  <c r="Y2845" i="208"/>
  <c r="AC2833" i="208"/>
  <c r="Y2833" i="208"/>
  <c r="AC2821" i="208"/>
  <c r="Y2821" i="208"/>
  <c r="AC2809" i="208"/>
  <c r="Y2809" i="208"/>
  <c r="AC2797" i="208"/>
  <c r="Y2797" i="208"/>
  <c r="AC2785" i="208"/>
  <c r="Y2785" i="208"/>
  <c r="AC2773" i="208"/>
  <c r="Y2773" i="208"/>
  <c r="AC2761" i="208"/>
  <c r="Y2761" i="208"/>
  <c r="AC2749" i="208"/>
  <c r="Y2749" i="208"/>
  <c r="AC2737" i="208"/>
  <c r="Y2737" i="208"/>
  <c r="AC2725" i="208"/>
  <c r="Y2725" i="208"/>
  <c r="AC2713" i="208"/>
  <c r="Y2713" i="208"/>
  <c r="AC2701" i="208"/>
  <c r="Y2701" i="208"/>
  <c r="AC2689" i="208"/>
  <c r="Y2689" i="208"/>
  <c r="AC2677" i="208"/>
  <c r="Y2677" i="208"/>
  <c r="AC2665" i="208"/>
  <c r="Y2665" i="208"/>
  <c r="AC2653" i="208"/>
  <c r="Y2653" i="208"/>
  <c r="AC2641" i="208"/>
  <c r="Y2641" i="208"/>
  <c r="AC2629" i="208"/>
  <c r="Y2629" i="208"/>
  <c r="AC2617" i="208"/>
  <c r="Y2617" i="208"/>
  <c r="AC2605" i="208"/>
  <c r="Y2605" i="208"/>
  <c r="AC2593" i="208"/>
  <c r="Y2593" i="208"/>
  <c r="AC2581" i="208"/>
  <c r="Y2581" i="208"/>
  <c r="AC2569" i="208"/>
  <c r="Y2569" i="208"/>
  <c r="AC2557" i="208"/>
  <c r="Y2557" i="208"/>
  <c r="AC2545" i="208"/>
  <c r="Y2545" i="208"/>
  <c r="AC2533" i="208"/>
  <c r="Y2533" i="208"/>
  <c r="AC2521" i="208"/>
  <c r="Y2521" i="208"/>
  <c r="AC2509" i="208"/>
  <c r="Y2509" i="208"/>
  <c r="AC2497" i="208"/>
  <c r="Y2497" i="208"/>
  <c r="AC2485" i="208"/>
  <c r="Y2485" i="208"/>
  <c r="AC2473" i="208"/>
  <c r="Y2473" i="208"/>
  <c r="AC2461" i="208"/>
  <c r="Y2461" i="208"/>
  <c r="AC2449" i="208"/>
  <c r="Y2449" i="208"/>
  <c r="AC2437" i="208"/>
  <c r="Y2437" i="208"/>
  <c r="AC2425" i="208"/>
  <c r="Y2425" i="208"/>
  <c r="AC2413" i="208"/>
  <c r="Y2413" i="208"/>
  <c r="AC2401" i="208"/>
  <c r="Y2401" i="208"/>
  <c r="AC2389" i="208"/>
  <c r="Y2389" i="208"/>
  <c r="AC2377" i="208"/>
  <c r="Y2377" i="208"/>
  <c r="AC2365" i="208"/>
  <c r="Y2365" i="208"/>
  <c r="AC2353" i="208"/>
  <c r="Y2353" i="208"/>
  <c r="AC2341" i="208"/>
  <c r="Y2341" i="208"/>
  <c r="AC2329" i="208"/>
  <c r="Y2329" i="208"/>
  <c r="AC2317" i="208"/>
  <c r="Y2317" i="208"/>
  <c r="AC2305" i="208"/>
  <c r="Y2305" i="208"/>
  <c r="AC2293" i="208"/>
  <c r="Y2293" i="208"/>
  <c r="AC2281" i="208"/>
  <c r="Y2281" i="208"/>
  <c r="AC2269" i="208"/>
  <c r="Y2269" i="208"/>
  <c r="AC2257" i="208"/>
  <c r="Y2257" i="208"/>
  <c r="AC2245" i="208"/>
  <c r="Y2245" i="208"/>
  <c r="AC2233" i="208"/>
  <c r="Y2233" i="208"/>
  <c r="AC2221" i="208"/>
  <c r="Y2221" i="208"/>
  <c r="AC2209" i="208"/>
  <c r="Y2209" i="208"/>
  <c r="AC2197" i="208"/>
  <c r="Y2197" i="208"/>
  <c r="AC2185" i="208"/>
  <c r="Y2185" i="208"/>
  <c r="AC2173" i="208"/>
  <c r="Y2173" i="208"/>
  <c r="AC2161" i="208"/>
  <c r="Y2161" i="208"/>
  <c r="AC2149" i="208"/>
  <c r="Y2149" i="208"/>
  <c r="AC2137" i="208"/>
  <c r="Y2137" i="208"/>
  <c r="AC2125" i="208"/>
  <c r="Y2125" i="208"/>
  <c r="AC2113" i="208"/>
  <c r="Y2113" i="208"/>
  <c r="AC2101" i="208"/>
  <c r="Y2101" i="208"/>
  <c r="AC2089" i="208"/>
  <c r="Y2089" i="208"/>
  <c r="AC2077" i="208"/>
  <c r="Y2077" i="208"/>
  <c r="AC2065" i="208"/>
  <c r="Y2065" i="208"/>
  <c r="AC2053" i="208"/>
  <c r="Y2053" i="208"/>
  <c r="AC2041" i="208"/>
  <c r="Y2041" i="208"/>
  <c r="AC2029" i="208"/>
  <c r="Y2029" i="208"/>
  <c r="AC2017" i="208"/>
  <c r="Y2017" i="208"/>
  <c r="AC2005" i="208"/>
  <c r="Y2005" i="208"/>
  <c r="AC1993" i="208"/>
  <c r="Y1993" i="208"/>
  <c r="AC1981" i="208"/>
  <c r="Y1981" i="208"/>
  <c r="AC1969" i="208"/>
  <c r="Y1969" i="208"/>
  <c r="AC1957" i="208"/>
  <c r="Y1957" i="208"/>
  <c r="AC1945" i="208"/>
  <c r="Y1945" i="208"/>
  <c r="AC1933" i="208"/>
  <c r="Y1933" i="208"/>
  <c r="AC1921" i="208"/>
  <c r="Y1921" i="208"/>
  <c r="AC1909" i="208"/>
  <c r="Y1909" i="208"/>
  <c r="AC1897" i="208"/>
  <c r="Y1897" i="208"/>
  <c r="AC1885" i="208"/>
  <c r="Y1885" i="208"/>
  <c r="AC1873" i="208"/>
  <c r="Y1873" i="208"/>
  <c r="AC1861" i="208"/>
  <c r="Y1861" i="208"/>
  <c r="AC1849" i="208"/>
  <c r="Y1849" i="208"/>
  <c r="AC1837" i="208"/>
  <c r="Y1837" i="208"/>
  <c r="AC1825" i="208"/>
  <c r="Y1825" i="208"/>
  <c r="AC1813" i="208"/>
  <c r="Y1813" i="208"/>
  <c r="AC1801" i="208"/>
  <c r="Y1801" i="208"/>
  <c r="AC1789" i="208"/>
  <c r="Y1789" i="208"/>
  <c r="AC1777" i="208"/>
  <c r="Y1777" i="208"/>
  <c r="AC1765" i="208"/>
  <c r="Y1765" i="208"/>
  <c r="AC1753" i="208"/>
  <c r="Y1753" i="208"/>
  <c r="AC1741" i="208"/>
  <c r="Y1741" i="208"/>
  <c r="AC1729" i="208"/>
  <c r="Y1729" i="208"/>
  <c r="AC1717" i="208"/>
  <c r="Y1717" i="208"/>
  <c r="AC1705" i="208"/>
  <c r="Y1705" i="208"/>
  <c r="AC1693" i="208"/>
  <c r="Y1693" i="208"/>
  <c r="AC1681" i="208"/>
  <c r="Y1681" i="208"/>
  <c r="AC1669" i="208"/>
  <c r="Y1669" i="208"/>
  <c r="AC1657" i="208"/>
  <c r="Y1657" i="208"/>
  <c r="AC1645" i="208"/>
  <c r="Y1645" i="208"/>
  <c r="AC1633" i="208"/>
  <c r="Y1633" i="208"/>
  <c r="AC1621" i="208"/>
  <c r="Y1621" i="208"/>
  <c r="AC1609" i="208"/>
  <c r="Y1609" i="208"/>
  <c r="AC1597" i="208"/>
  <c r="Y1597" i="208"/>
  <c r="AC1585" i="208"/>
  <c r="Y1585" i="208"/>
  <c r="AC1573" i="208"/>
  <c r="Y1573" i="208"/>
  <c r="AC1561" i="208"/>
  <c r="Y1561" i="208"/>
  <c r="AC1549" i="208"/>
  <c r="Y1549" i="208"/>
  <c r="AC1537" i="208"/>
  <c r="Y1537" i="208"/>
  <c r="AC1525" i="208"/>
  <c r="Y1525" i="208"/>
  <c r="AC1513" i="208"/>
  <c r="Y1513" i="208"/>
  <c r="AC1501" i="208"/>
  <c r="Y1501" i="208"/>
  <c r="AC1489" i="208"/>
  <c r="Y1489" i="208"/>
  <c r="AC1477" i="208"/>
  <c r="Y1477" i="208"/>
  <c r="AC1465" i="208"/>
  <c r="Y1465" i="208"/>
  <c r="AC1453" i="208"/>
  <c r="Y1453" i="208"/>
  <c r="AC1441" i="208"/>
  <c r="Y1441" i="208"/>
  <c r="AC1429" i="208"/>
  <c r="Y1429" i="208"/>
  <c r="AC1417" i="208"/>
  <c r="Y1417" i="208"/>
  <c r="AC1405" i="208"/>
  <c r="Y1405" i="208"/>
  <c r="AC1393" i="208"/>
  <c r="Y1393" i="208"/>
  <c r="AC1381" i="208"/>
  <c r="Y1381" i="208"/>
  <c r="AC1369" i="208"/>
  <c r="Y1369" i="208"/>
  <c r="AC1357" i="208"/>
  <c r="Y1357" i="208"/>
  <c r="AC1345" i="208"/>
  <c r="Y1345" i="208"/>
  <c r="AC1333" i="208"/>
  <c r="Y1333" i="208"/>
  <c r="AC1321" i="208"/>
  <c r="Y1321" i="208"/>
  <c r="AC1309" i="208"/>
  <c r="Y1309" i="208"/>
  <c r="AC1297" i="208"/>
  <c r="Y1297" i="208"/>
  <c r="AC1285" i="208"/>
  <c r="Y1285" i="208"/>
  <c r="AC1273" i="208"/>
  <c r="Y1273" i="208"/>
  <c r="AC1261" i="208"/>
  <c r="Y1261" i="208"/>
  <c r="AC1249" i="208"/>
  <c r="Y1249" i="208"/>
  <c r="AC1237" i="208"/>
  <c r="Y1237" i="208"/>
  <c r="AC1225" i="208"/>
  <c r="Y1225" i="208"/>
  <c r="AC1213" i="208"/>
  <c r="Y1213" i="208"/>
  <c r="AC1201" i="208"/>
  <c r="Y1201" i="208"/>
  <c r="AC1189" i="208"/>
  <c r="Y1189" i="208"/>
  <c r="AC1177" i="208"/>
  <c r="Y1177" i="208"/>
  <c r="AC1165" i="208"/>
  <c r="Y1165" i="208"/>
  <c r="AC1153" i="208"/>
  <c r="Y1153" i="208"/>
  <c r="AC1141" i="208"/>
  <c r="Y1141" i="208"/>
  <c r="AC1129" i="208"/>
  <c r="Y1129" i="208"/>
  <c r="AC1117" i="208"/>
  <c r="Y1117" i="208"/>
  <c r="AC1105" i="208"/>
  <c r="Y1105" i="208"/>
  <c r="AC1093" i="208"/>
  <c r="Y1093" i="208"/>
  <c r="AC1081" i="208"/>
  <c r="Y1081" i="208"/>
  <c r="AC1069" i="208"/>
  <c r="Y1069" i="208"/>
  <c r="AC1057" i="208"/>
  <c r="Y1057" i="208"/>
  <c r="AC1045" i="208"/>
  <c r="Y1045" i="208"/>
  <c r="AC1033" i="208"/>
  <c r="Y1033" i="208"/>
  <c r="AC1021" i="208"/>
  <c r="Y1021" i="208"/>
  <c r="AC1009" i="208"/>
  <c r="Y1009" i="208"/>
  <c r="AC997" i="208"/>
  <c r="Y997" i="208"/>
  <c r="AC985" i="208"/>
  <c r="Y985" i="208"/>
  <c r="AC973" i="208"/>
  <c r="Y973" i="208"/>
  <c r="AC961" i="208"/>
  <c r="Y961" i="208"/>
  <c r="AC949" i="208"/>
  <c r="Y949" i="208"/>
  <c r="AC937" i="208"/>
  <c r="Y937" i="208"/>
  <c r="AC925" i="208"/>
  <c r="Y925" i="208"/>
  <c r="AC913" i="208"/>
  <c r="Y913" i="208"/>
  <c r="AC901" i="208"/>
  <c r="Y901" i="208"/>
  <c r="AC889" i="208"/>
  <c r="Y889" i="208"/>
  <c r="AC877" i="208"/>
  <c r="Y877" i="208"/>
  <c r="AC865" i="208"/>
  <c r="Y865" i="208"/>
  <c r="AC853" i="208"/>
  <c r="Y853" i="208"/>
  <c r="AC841" i="208"/>
  <c r="Y841" i="208"/>
  <c r="AC829" i="208"/>
  <c r="Y829" i="208"/>
  <c r="AC817" i="208"/>
  <c r="Y817" i="208"/>
  <c r="AC805" i="208"/>
  <c r="Y805" i="208"/>
  <c r="AC793" i="208"/>
  <c r="Y793" i="208"/>
  <c r="AC781" i="208"/>
  <c r="Y781" i="208"/>
  <c r="AC769" i="208"/>
  <c r="Y769" i="208"/>
  <c r="AC757" i="208"/>
  <c r="Y757" i="208"/>
  <c r="AC745" i="208"/>
  <c r="Y745" i="208"/>
  <c r="AC733" i="208"/>
  <c r="Y733" i="208"/>
  <c r="AC721" i="208"/>
  <c r="Y721" i="208"/>
  <c r="AC709" i="208"/>
  <c r="Y709" i="208"/>
  <c r="AC697" i="208"/>
  <c r="Y697" i="208"/>
  <c r="AC685" i="208"/>
  <c r="Y685" i="208"/>
  <c r="AC673" i="208"/>
  <c r="Y673" i="208"/>
  <c r="AC661" i="208"/>
  <c r="Y661" i="208"/>
  <c r="AC649" i="208"/>
  <c r="Y649" i="208"/>
  <c r="AC637" i="208"/>
  <c r="Y637" i="208"/>
  <c r="AC625" i="208"/>
  <c r="Y625" i="208"/>
  <c r="AC613" i="208"/>
  <c r="Y613" i="208"/>
  <c r="AC601" i="208"/>
  <c r="Y601" i="208"/>
  <c r="AC589" i="208"/>
  <c r="Y589" i="208"/>
  <c r="AC577" i="208"/>
  <c r="Y577" i="208"/>
  <c r="AC565" i="208"/>
  <c r="Y565" i="208"/>
  <c r="AC553" i="208"/>
  <c r="Y553" i="208"/>
  <c r="AC541" i="208"/>
  <c r="Y541" i="208"/>
  <c r="AC529" i="208"/>
  <c r="Y529" i="208"/>
  <c r="AC517" i="208"/>
  <c r="Y517" i="208"/>
  <c r="AC505" i="208"/>
  <c r="Y505" i="208"/>
  <c r="AC493" i="208"/>
  <c r="Y493" i="208"/>
  <c r="AC481" i="208"/>
  <c r="Y481" i="208"/>
  <c r="AC469" i="208"/>
  <c r="Y469" i="208"/>
  <c r="AC457" i="208"/>
  <c r="Y457" i="208"/>
  <c r="AC445" i="208"/>
  <c r="Y445" i="208"/>
  <c r="AC433" i="208"/>
  <c r="Y433" i="208"/>
  <c r="AC421" i="208"/>
  <c r="Y421" i="208"/>
  <c r="AC409" i="208"/>
  <c r="Y409" i="208"/>
  <c r="AC397" i="208"/>
  <c r="Y397" i="208"/>
  <c r="AC385" i="208"/>
  <c r="Y385" i="208"/>
  <c r="AC373" i="208"/>
  <c r="Y373" i="208"/>
  <c r="AC361" i="208"/>
  <c r="Y361" i="208"/>
  <c r="AC349" i="208"/>
  <c r="Y349" i="208"/>
  <c r="AC337" i="208"/>
  <c r="Y337" i="208"/>
  <c r="AC325" i="208"/>
  <c r="Y325" i="208"/>
  <c r="AC313" i="208"/>
  <c r="Y313" i="208"/>
  <c r="X397" i="208"/>
  <c r="X325" i="208"/>
  <c r="Z990" i="208"/>
  <c r="Z987" i="208"/>
  <c r="Z984" i="208"/>
  <c r="Z981" i="208"/>
  <c r="Z978" i="208"/>
  <c r="Z975" i="208"/>
  <c r="Z972" i="208"/>
  <c r="Z969" i="208"/>
  <c r="Z966" i="208"/>
  <c r="Z963" i="208"/>
  <c r="Z960" i="208"/>
  <c r="Z957" i="208"/>
  <c r="Z954" i="208"/>
  <c r="Z951" i="208"/>
  <c r="Z948" i="208"/>
  <c r="Z945" i="208"/>
  <c r="Z942" i="208"/>
  <c r="Z939" i="208"/>
  <c r="Z936" i="208"/>
  <c r="Z933" i="208"/>
  <c r="Z930" i="208"/>
  <c r="Z927" i="208"/>
  <c r="Z924" i="208"/>
  <c r="Z921" i="208"/>
  <c r="Z918" i="208"/>
  <c r="Z915" i="208"/>
  <c r="Z912" i="208"/>
  <c r="Z909" i="208"/>
  <c r="Z906" i="208"/>
  <c r="Z903" i="208"/>
  <c r="Z900" i="208"/>
  <c r="Z897" i="208"/>
  <c r="Z894" i="208"/>
  <c r="Z891" i="208"/>
  <c r="Z888" i="208"/>
  <c r="Z885" i="208"/>
  <c r="Z882" i="208"/>
  <c r="Z879" i="208"/>
  <c r="Z876" i="208"/>
  <c r="Z873" i="208"/>
  <c r="Z870" i="208"/>
  <c r="Z867" i="208"/>
  <c r="Z864" i="208"/>
  <c r="Z861" i="208"/>
  <c r="Z858" i="208"/>
  <c r="Z855" i="208"/>
  <c r="Z852" i="208"/>
  <c r="Z849" i="208"/>
  <c r="Z846" i="208"/>
  <c r="Z843" i="208"/>
  <c r="Z840" i="208"/>
  <c r="Z837" i="208"/>
  <c r="Z834" i="208"/>
  <c r="Z831" i="208"/>
  <c r="Z828" i="208"/>
  <c r="Z825" i="208"/>
  <c r="Z822" i="208"/>
  <c r="Z819" i="208"/>
  <c r="Z816" i="208"/>
  <c r="Z813" i="208"/>
  <c r="Z810" i="208"/>
  <c r="Z807" i="208"/>
  <c r="Z804" i="208"/>
  <c r="Z801" i="208"/>
  <c r="Z798" i="208"/>
  <c r="Z795" i="208"/>
  <c r="Z792" i="208"/>
  <c r="Z789" i="208"/>
  <c r="Z786" i="208"/>
  <c r="Z783" i="208"/>
  <c r="Z780" i="208"/>
  <c r="Z777" i="208"/>
  <c r="Z774" i="208"/>
  <c r="Z771" i="208"/>
  <c r="Z768" i="208"/>
  <c r="Z765" i="208"/>
  <c r="Z762" i="208"/>
  <c r="Z759" i="208"/>
  <c r="Z756" i="208"/>
  <c r="Z753" i="208"/>
  <c r="Z750" i="208"/>
  <c r="Z747" i="208"/>
  <c r="Z744" i="208"/>
  <c r="Z741" i="208"/>
  <c r="Z738" i="208"/>
  <c r="Z735" i="208"/>
  <c r="Z732" i="208"/>
  <c r="Z729" i="208"/>
  <c r="Z726" i="208"/>
  <c r="Z723" i="208"/>
  <c r="Z720" i="208"/>
  <c r="Z717" i="208"/>
  <c r="Z714" i="208"/>
  <c r="Z711" i="208"/>
  <c r="Z708" i="208"/>
  <c r="Z705" i="208"/>
  <c r="Z702" i="208"/>
  <c r="Z699" i="208"/>
  <c r="Z696" i="208"/>
  <c r="Z693" i="208"/>
  <c r="Z690" i="208"/>
  <c r="Z687" i="208"/>
  <c r="Z684" i="208"/>
  <c r="Z681" i="208"/>
  <c r="Z678" i="208"/>
  <c r="Z675" i="208"/>
  <c r="Z672" i="208"/>
  <c r="Z669" i="208"/>
  <c r="Z666" i="208"/>
  <c r="Z663" i="208"/>
  <c r="Z660" i="208"/>
  <c r="Z657" i="208"/>
  <c r="Z654" i="208"/>
  <c r="Z651" i="208"/>
  <c r="Z648" i="208"/>
  <c r="Z645" i="208"/>
  <c r="Z642" i="208"/>
  <c r="Z639" i="208"/>
  <c r="Z636" i="208"/>
  <c r="Z633" i="208"/>
  <c r="Z630" i="208"/>
  <c r="Z627" i="208"/>
  <c r="Z624" i="208"/>
  <c r="Z621" i="208"/>
  <c r="Z618" i="208"/>
  <c r="Z615" i="208"/>
  <c r="Z612" i="208"/>
  <c r="Z609" i="208"/>
  <c r="Z606" i="208"/>
  <c r="Z603" i="208"/>
  <c r="Z600" i="208"/>
  <c r="Z597" i="208"/>
  <c r="Z594" i="208"/>
  <c r="Z591" i="208"/>
  <c r="Z588" i="208"/>
  <c r="Z585" i="208"/>
  <c r="Z582" i="208"/>
  <c r="Z579" i="208"/>
  <c r="Z576" i="208"/>
  <c r="Z573" i="208"/>
  <c r="Z570" i="208"/>
  <c r="Z567" i="208"/>
  <c r="Z564" i="208"/>
  <c r="Z561" i="208"/>
  <c r="Z558" i="208"/>
  <c r="Z555" i="208"/>
  <c r="Z552" i="208"/>
  <c r="Z549" i="208"/>
  <c r="Z546" i="208"/>
  <c r="Z543" i="208"/>
  <c r="Z540" i="208"/>
  <c r="Z537" i="208"/>
  <c r="Z534" i="208"/>
  <c r="Z531" i="208"/>
  <c r="Z528" i="208"/>
  <c r="Z525" i="208"/>
  <c r="Z522" i="208"/>
  <c r="Z519" i="208"/>
  <c r="Z516" i="208"/>
  <c r="Z513" i="208"/>
  <c r="Z510" i="208"/>
  <c r="Z507" i="208"/>
  <c r="Z504" i="208"/>
  <c r="Z501" i="208"/>
  <c r="Z498" i="208"/>
  <c r="Z495" i="208"/>
  <c r="Z492" i="208"/>
  <c r="Z489" i="208"/>
  <c r="Z486" i="208"/>
  <c r="Z483" i="208"/>
  <c r="Z480" i="208"/>
  <c r="Z477" i="208"/>
  <c r="Z474" i="208"/>
  <c r="Z471" i="208"/>
  <c r="Z468" i="208"/>
  <c r="Z465" i="208"/>
  <c r="Z462" i="208"/>
  <c r="Z459" i="208"/>
  <c r="Z456" i="208"/>
  <c r="Z453" i="208"/>
  <c r="Z450" i="208"/>
  <c r="Z447" i="208"/>
  <c r="Z444" i="208"/>
  <c r="Z441" i="208"/>
  <c r="Z438" i="208"/>
  <c r="Z435" i="208"/>
  <c r="Z432" i="208"/>
  <c r="Z429" i="208"/>
  <c r="Z426" i="208"/>
  <c r="Z423" i="208"/>
  <c r="Z420" i="208"/>
  <c r="Z417" i="208"/>
  <c r="Z414" i="208"/>
  <c r="Z411" i="208"/>
  <c r="Z408" i="208"/>
  <c r="Z405" i="208"/>
  <c r="Z402" i="208"/>
  <c r="Z399" i="208"/>
  <c r="Z396" i="208"/>
  <c r="Z393" i="208"/>
  <c r="Z390" i="208"/>
  <c r="Z387" i="208"/>
  <c r="Z384" i="208"/>
  <c r="Z381" i="208"/>
  <c r="Z378" i="208"/>
  <c r="Z375" i="208"/>
  <c r="Z372" i="208"/>
  <c r="Z369" i="208"/>
  <c r="Z366" i="208"/>
  <c r="Z363" i="208"/>
  <c r="Z360" i="208"/>
  <c r="Z357" i="208"/>
  <c r="Z354" i="208"/>
  <c r="Z351" i="208"/>
  <c r="Z348" i="208"/>
  <c r="Z345" i="208"/>
  <c r="Z342" i="208"/>
  <c r="Z339" i="208"/>
  <c r="Z336" i="208"/>
  <c r="Z333" i="208"/>
  <c r="Z330" i="208"/>
  <c r="Z327" i="208"/>
  <c r="Z324" i="208"/>
  <c r="Z321" i="208"/>
  <c r="Z318" i="208"/>
  <c r="Z315" i="208"/>
  <c r="Z312" i="208"/>
  <c r="Z309" i="208"/>
  <c r="Z306" i="208"/>
  <c r="Z299" i="208"/>
  <c r="Z296" i="208"/>
  <c r="Z293" i="208"/>
  <c r="Z290" i="208"/>
  <c r="Z287" i="208"/>
  <c r="Z284" i="208"/>
  <c r="Z281" i="208"/>
  <c r="Z278" i="208"/>
  <c r="Z275" i="208"/>
  <c r="Z272" i="208"/>
  <c r="Z269" i="208"/>
  <c r="Z266" i="208"/>
  <c r="Z263" i="208"/>
  <c r="Z260" i="208"/>
  <c r="Z257" i="208"/>
  <c r="Z254" i="208"/>
  <c r="Z251" i="208"/>
  <c r="Z248" i="208"/>
  <c r="Z245" i="208"/>
  <c r="Z242" i="208"/>
  <c r="Z239" i="208"/>
  <c r="Z236" i="208"/>
  <c r="Z233" i="208"/>
  <c r="Z230" i="208"/>
  <c r="Z227" i="208"/>
  <c r="Z224" i="208"/>
  <c r="Z221" i="208"/>
  <c r="Z218" i="208"/>
  <c r="Z215" i="208"/>
  <c r="Z212" i="208"/>
  <c r="Z209" i="208"/>
  <c r="Z206" i="208"/>
  <c r="Z203" i="208"/>
  <c r="Z200" i="208"/>
  <c r="Z197" i="208"/>
  <c r="Z194" i="208"/>
  <c r="Z191" i="208"/>
  <c r="Z188" i="208"/>
  <c r="Z185" i="208"/>
  <c r="Z182" i="208"/>
  <c r="Z179" i="208"/>
  <c r="Z176" i="208"/>
  <c r="Z173" i="208"/>
  <c r="Z170" i="208"/>
  <c r="Z167" i="208"/>
  <c r="Z164" i="208"/>
  <c r="Z161" i="208"/>
  <c r="Z158" i="208"/>
  <c r="Z155" i="208"/>
  <c r="Z152" i="208"/>
  <c r="Z149" i="208"/>
  <c r="Z146" i="208"/>
  <c r="Z143" i="208"/>
  <c r="Z140" i="208"/>
  <c r="Z137" i="208"/>
  <c r="Z134" i="208"/>
  <c r="Z131" i="208"/>
  <c r="Z128" i="208"/>
  <c r="Z125" i="208"/>
  <c r="Z122" i="208"/>
  <c r="Z119" i="208"/>
  <c r="Z116" i="208"/>
  <c r="Z113" i="208"/>
  <c r="Z110" i="208"/>
  <c r="Z107" i="208"/>
  <c r="Z104" i="208"/>
  <c r="Z101" i="208"/>
  <c r="Z98" i="208"/>
  <c r="Z95" i="208"/>
  <c r="Z92" i="208"/>
  <c r="Z89" i="208"/>
  <c r="Z86" i="208"/>
  <c r="Z83" i="208"/>
  <c r="Z80" i="208"/>
  <c r="X385" i="208"/>
  <c r="X313" i="208"/>
  <c r="AD620" i="208"/>
  <c r="X620" i="208"/>
  <c r="AD617" i="208"/>
  <c r="X617" i="208"/>
  <c r="AD614" i="208"/>
  <c r="X614" i="208"/>
  <c r="AD611" i="208"/>
  <c r="AD608" i="208"/>
  <c r="X608" i="208"/>
  <c r="AD605" i="208"/>
  <c r="X605" i="208"/>
  <c r="AD602" i="208"/>
  <c r="X602" i="208"/>
  <c r="AD599" i="208"/>
  <c r="AD596" i="208"/>
  <c r="X596" i="208"/>
  <c r="AD593" i="208"/>
  <c r="X593" i="208"/>
  <c r="AD590" i="208"/>
  <c r="X590" i="208"/>
  <c r="AD587" i="208"/>
  <c r="AD584" i="208"/>
  <c r="X584" i="208"/>
  <c r="AD581" i="208"/>
  <c r="X581" i="208"/>
  <c r="AD578" i="208"/>
  <c r="X578" i="208"/>
  <c r="AD575" i="208"/>
  <c r="AD572" i="208"/>
  <c r="X572" i="208"/>
  <c r="AD569" i="208"/>
  <c r="X569" i="208"/>
  <c r="AD566" i="208"/>
  <c r="X566" i="208"/>
  <c r="AD563" i="208"/>
  <c r="AD560" i="208"/>
  <c r="X560" i="208"/>
  <c r="AD557" i="208"/>
  <c r="X557" i="208"/>
  <c r="AD554" i="208"/>
  <c r="X554" i="208"/>
  <c r="AD551" i="208"/>
  <c r="AD548" i="208"/>
  <c r="X548" i="208"/>
  <c r="AD545" i="208"/>
  <c r="X545" i="208"/>
  <c r="AD542" i="208"/>
  <c r="X542" i="208"/>
  <c r="AD539" i="208"/>
  <c r="AD536" i="208"/>
  <c r="X536" i="208"/>
  <c r="AD533" i="208"/>
  <c r="X533" i="208"/>
  <c r="AD530" i="208"/>
  <c r="X530" i="208"/>
  <c r="AD527" i="208"/>
  <c r="AD524" i="208"/>
  <c r="X524" i="208"/>
  <c r="AD521" i="208"/>
  <c r="X521" i="208"/>
  <c r="AD518" i="208"/>
  <c r="X518" i="208"/>
  <c r="AD515" i="208"/>
  <c r="AD512" i="208"/>
  <c r="X512" i="208"/>
  <c r="AD509" i="208"/>
  <c r="X509" i="208"/>
  <c r="AD506" i="208"/>
  <c r="X506" i="208"/>
  <c r="AD503" i="208"/>
  <c r="AD500" i="208"/>
  <c r="X500" i="208"/>
  <c r="AD497" i="208"/>
  <c r="X497" i="208"/>
  <c r="AD494" i="208"/>
  <c r="X494" i="208"/>
  <c r="AD491" i="208"/>
  <c r="AD488" i="208"/>
  <c r="X488" i="208"/>
  <c r="AD485" i="208"/>
  <c r="X485" i="208"/>
  <c r="AD482" i="208"/>
  <c r="X482" i="208"/>
  <c r="AD479" i="208"/>
  <c r="AD476" i="208"/>
  <c r="X476" i="208"/>
  <c r="AD473" i="208"/>
  <c r="X473" i="208"/>
  <c r="AD470" i="208"/>
  <c r="X470" i="208"/>
  <c r="AD467" i="208"/>
  <c r="AD464" i="208"/>
  <c r="X464" i="208"/>
  <c r="AD461" i="208"/>
  <c r="X461" i="208"/>
  <c r="AD458" i="208"/>
  <c r="X458" i="208"/>
  <c r="AD455" i="208"/>
  <c r="AD452" i="208"/>
  <c r="X452" i="208"/>
  <c r="AD449" i="208"/>
  <c r="X449" i="208"/>
  <c r="AD446" i="208"/>
  <c r="X446" i="208"/>
  <c r="AD443" i="208"/>
  <c r="AD440" i="208"/>
  <c r="X440" i="208"/>
  <c r="AD437" i="208"/>
  <c r="X437" i="208"/>
  <c r="AD434" i="208"/>
  <c r="X434" i="208"/>
  <c r="AD431" i="208"/>
  <c r="AD428" i="208"/>
  <c r="X428" i="208"/>
  <c r="AD425" i="208"/>
  <c r="X425" i="208"/>
  <c r="AD422" i="208"/>
  <c r="X422" i="208"/>
  <c r="AD419" i="208"/>
  <c r="AD416" i="208"/>
  <c r="X416" i="208"/>
  <c r="AD413" i="208"/>
  <c r="X413" i="208"/>
  <c r="AD410" i="208"/>
  <c r="X410" i="208"/>
  <c r="AD407" i="208"/>
  <c r="AD404" i="208"/>
  <c r="X404" i="208"/>
  <c r="AD401" i="208"/>
  <c r="X401" i="208"/>
  <c r="AD398" i="208"/>
  <c r="X398" i="208"/>
  <c r="AD395" i="208"/>
  <c r="AD392" i="208"/>
  <c r="X392" i="208"/>
  <c r="AD389" i="208"/>
  <c r="X389" i="208"/>
  <c r="AD386" i="208"/>
  <c r="X386" i="208"/>
  <c r="AD383" i="208"/>
  <c r="AD380" i="208"/>
  <c r="X380" i="208"/>
  <c r="AD377" i="208"/>
  <c r="X377" i="208"/>
  <c r="AD374" i="208"/>
  <c r="X374" i="208"/>
  <c r="AD371" i="208"/>
  <c r="AD368" i="208"/>
  <c r="X368" i="208"/>
  <c r="AD365" i="208"/>
  <c r="X365" i="208"/>
  <c r="AD362" i="208"/>
  <c r="X362" i="208"/>
  <c r="AD359" i="208"/>
  <c r="AD356" i="208"/>
  <c r="X356" i="208"/>
  <c r="AD353" i="208"/>
  <c r="X353" i="208"/>
  <c r="AD350" i="208"/>
  <c r="X350" i="208"/>
  <c r="AD347" i="208"/>
  <c r="AD344" i="208"/>
  <c r="X344" i="208"/>
  <c r="AD341" i="208"/>
  <c r="X341" i="208"/>
  <c r="AD338" i="208"/>
  <c r="X338" i="208"/>
  <c r="AD335" i="208"/>
  <c r="AD332" i="208"/>
  <c r="X332" i="208"/>
  <c r="AD329" i="208"/>
  <c r="X329" i="208"/>
  <c r="AD326" i="208"/>
  <c r="X326" i="208"/>
  <c r="AD323" i="208"/>
  <c r="AD320" i="208"/>
  <c r="X320" i="208"/>
  <c r="AD317" i="208"/>
  <c r="X317" i="208"/>
  <c r="AD314" i="208"/>
  <c r="X314" i="208"/>
  <c r="AD311" i="208"/>
  <c r="AD308" i="208"/>
  <c r="X308" i="208"/>
  <c r="AC2998" i="208"/>
  <c r="Y2998" i="208"/>
  <c r="AC2986" i="208"/>
  <c r="Y2986" i="208"/>
  <c r="AC2974" i="208"/>
  <c r="Y2974" i="208"/>
  <c r="AC2962" i="208"/>
  <c r="Y2962" i="208"/>
  <c r="AC2950" i="208"/>
  <c r="Y2950" i="208"/>
  <c r="AC2938" i="208"/>
  <c r="Y2938" i="208"/>
  <c r="AC2926" i="208"/>
  <c r="Y2926" i="208"/>
  <c r="AC2914" i="208"/>
  <c r="Y2914" i="208"/>
  <c r="AC2902" i="208"/>
  <c r="Y2902" i="208"/>
  <c r="AC2890" i="208"/>
  <c r="Y2890" i="208"/>
  <c r="AC2878" i="208"/>
  <c r="Y2878" i="208"/>
  <c r="AC2866" i="208"/>
  <c r="Y2866" i="208"/>
  <c r="AC2854" i="208"/>
  <c r="Y2854" i="208"/>
  <c r="AC2842" i="208"/>
  <c r="Y2842" i="208"/>
  <c r="AC2830" i="208"/>
  <c r="Y2830" i="208"/>
  <c r="AC2818" i="208"/>
  <c r="Y2818" i="208"/>
  <c r="AC2806" i="208"/>
  <c r="Y2806" i="208"/>
  <c r="AC2794" i="208"/>
  <c r="Y2794" i="208"/>
  <c r="AC2782" i="208"/>
  <c r="Y2782" i="208"/>
  <c r="AC2770" i="208"/>
  <c r="Y2770" i="208"/>
  <c r="AC2758" i="208"/>
  <c r="Y2758" i="208"/>
  <c r="AC2746" i="208"/>
  <c r="Y2746" i="208"/>
  <c r="AC2734" i="208"/>
  <c r="Y2734" i="208"/>
  <c r="AC2722" i="208"/>
  <c r="Y2722" i="208"/>
  <c r="AC2710" i="208"/>
  <c r="Y2710" i="208"/>
  <c r="AC2698" i="208"/>
  <c r="Y2698" i="208"/>
  <c r="AC2686" i="208"/>
  <c r="Y2686" i="208"/>
  <c r="AC2674" i="208"/>
  <c r="Y2674" i="208"/>
  <c r="AC2662" i="208"/>
  <c r="Y2662" i="208"/>
  <c r="AC2650" i="208"/>
  <c r="Y2650" i="208"/>
  <c r="AC2638" i="208"/>
  <c r="Y2638" i="208"/>
  <c r="AC2626" i="208"/>
  <c r="Y2626" i="208"/>
  <c r="AC2614" i="208"/>
  <c r="Y2614" i="208"/>
  <c r="AC2602" i="208"/>
  <c r="Y2602" i="208"/>
  <c r="AC2590" i="208"/>
  <c r="Y2590" i="208"/>
  <c r="AC2578" i="208"/>
  <c r="Y2578" i="208"/>
  <c r="AC2566" i="208"/>
  <c r="Y2566" i="208"/>
  <c r="AC2554" i="208"/>
  <c r="Y2554" i="208"/>
  <c r="AC2542" i="208"/>
  <c r="Y2542" i="208"/>
  <c r="AC2530" i="208"/>
  <c r="Y2530" i="208"/>
  <c r="AC2518" i="208"/>
  <c r="Y2518" i="208"/>
  <c r="AC2506" i="208"/>
  <c r="Y2506" i="208"/>
  <c r="AC2494" i="208"/>
  <c r="Y2494" i="208"/>
  <c r="AC2482" i="208"/>
  <c r="Y2482" i="208"/>
  <c r="AC2470" i="208"/>
  <c r="Y2470" i="208"/>
  <c r="AC2458" i="208"/>
  <c r="Y2458" i="208"/>
  <c r="AC2446" i="208"/>
  <c r="Y2446" i="208"/>
  <c r="AC2434" i="208"/>
  <c r="Y2434" i="208"/>
  <c r="AC2422" i="208"/>
  <c r="Y2422" i="208"/>
  <c r="AC2410" i="208"/>
  <c r="Y2410" i="208"/>
  <c r="AC2398" i="208"/>
  <c r="Y2398" i="208"/>
  <c r="AC2386" i="208"/>
  <c r="Y2386" i="208"/>
  <c r="AC2374" i="208"/>
  <c r="Y2374" i="208"/>
  <c r="AC2362" i="208"/>
  <c r="Y2362" i="208"/>
  <c r="AC2350" i="208"/>
  <c r="Y2350" i="208"/>
  <c r="AC2338" i="208"/>
  <c r="Y2338" i="208"/>
  <c r="AC2326" i="208"/>
  <c r="Y2326" i="208"/>
  <c r="AC2314" i="208"/>
  <c r="Y2314" i="208"/>
  <c r="AC2302" i="208"/>
  <c r="Y2302" i="208"/>
  <c r="AC2290" i="208"/>
  <c r="Y2290" i="208"/>
  <c r="AC2278" i="208"/>
  <c r="Y2278" i="208"/>
  <c r="AC2266" i="208"/>
  <c r="Y2266" i="208"/>
  <c r="AC2254" i="208"/>
  <c r="Y2254" i="208"/>
  <c r="AC2242" i="208"/>
  <c r="Y2242" i="208"/>
  <c r="AC2230" i="208"/>
  <c r="Y2230" i="208"/>
  <c r="AC2218" i="208"/>
  <c r="Y2218" i="208"/>
  <c r="AC2206" i="208"/>
  <c r="Y2206" i="208"/>
  <c r="AC2194" i="208"/>
  <c r="Y2194" i="208"/>
  <c r="AC2182" i="208"/>
  <c r="Y2182" i="208"/>
  <c r="AC2170" i="208"/>
  <c r="Y2170" i="208"/>
  <c r="AC2158" i="208"/>
  <c r="Y2158" i="208"/>
  <c r="AC2146" i="208"/>
  <c r="Y2146" i="208"/>
  <c r="AC2134" i="208"/>
  <c r="Y2134" i="208"/>
  <c r="AC2122" i="208"/>
  <c r="Y2122" i="208"/>
  <c r="AC2110" i="208"/>
  <c r="Y2110" i="208"/>
  <c r="AC2098" i="208"/>
  <c r="Y2098" i="208"/>
  <c r="AC2086" i="208"/>
  <c r="Y2086" i="208"/>
  <c r="AC2074" i="208"/>
  <c r="Y2074" i="208"/>
  <c r="AC2062" i="208"/>
  <c r="Y2062" i="208"/>
  <c r="AC2050" i="208"/>
  <c r="Y2050" i="208"/>
  <c r="AC2038" i="208"/>
  <c r="Y2038" i="208"/>
  <c r="AC2026" i="208"/>
  <c r="Y2026" i="208"/>
  <c r="AC2014" i="208"/>
  <c r="Y2014" i="208"/>
  <c r="AC2002" i="208"/>
  <c r="Y2002" i="208"/>
  <c r="AC1990" i="208"/>
  <c r="Y1990" i="208"/>
  <c r="AC1978" i="208"/>
  <c r="Y1978" i="208"/>
  <c r="AC1966" i="208"/>
  <c r="Y1966" i="208"/>
  <c r="AC1954" i="208"/>
  <c r="Y1954" i="208"/>
  <c r="AC1942" i="208"/>
  <c r="Y1942" i="208"/>
  <c r="AC1930" i="208"/>
  <c r="Y1930" i="208"/>
  <c r="AC1918" i="208"/>
  <c r="Y1918" i="208"/>
  <c r="AC1906" i="208"/>
  <c r="Y1906" i="208"/>
  <c r="AC1894" i="208"/>
  <c r="Y1894" i="208"/>
  <c r="AC1882" i="208"/>
  <c r="Y1882" i="208"/>
  <c r="AC1870" i="208"/>
  <c r="Y1870" i="208"/>
  <c r="AC1858" i="208"/>
  <c r="Y1858" i="208"/>
  <c r="AC1846" i="208"/>
  <c r="Y1846" i="208"/>
  <c r="AC1834" i="208"/>
  <c r="Y1834" i="208"/>
  <c r="AC1822" i="208"/>
  <c r="Y1822" i="208"/>
  <c r="AC1810" i="208"/>
  <c r="Y1810" i="208"/>
  <c r="AC1798" i="208"/>
  <c r="Y1798" i="208"/>
  <c r="AC1786" i="208"/>
  <c r="Y1786" i="208"/>
  <c r="AC1774" i="208"/>
  <c r="Y1774" i="208"/>
  <c r="AC1762" i="208"/>
  <c r="Y1762" i="208"/>
  <c r="AC1750" i="208"/>
  <c r="Y1750" i="208"/>
  <c r="AC1738" i="208"/>
  <c r="Y1738" i="208"/>
  <c r="AC1726" i="208"/>
  <c r="Y1726" i="208"/>
  <c r="AC1714" i="208"/>
  <c r="Y1714" i="208"/>
  <c r="AC1702" i="208"/>
  <c r="Y1702" i="208"/>
  <c r="AC1690" i="208"/>
  <c r="Y1690" i="208"/>
  <c r="AC1678" i="208"/>
  <c r="Y1678" i="208"/>
  <c r="AC1666" i="208"/>
  <c r="Y1666" i="208"/>
  <c r="AC1654" i="208"/>
  <c r="Y1654" i="208"/>
  <c r="AC1642" i="208"/>
  <c r="Y1642" i="208"/>
  <c r="AC1630" i="208"/>
  <c r="Y1630" i="208"/>
  <c r="AC1618" i="208"/>
  <c r="Y1618" i="208"/>
  <c r="AC1606" i="208"/>
  <c r="Y1606" i="208"/>
  <c r="AC1594" i="208"/>
  <c r="Y1594" i="208"/>
  <c r="AC1582" i="208"/>
  <c r="Y1582" i="208"/>
  <c r="AC1570" i="208"/>
  <c r="Y1570" i="208"/>
  <c r="AC1558" i="208"/>
  <c r="Y1558" i="208"/>
  <c r="AC1546" i="208"/>
  <c r="Y1546" i="208"/>
  <c r="AC1534" i="208"/>
  <c r="Y1534" i="208"/>
  <c r="AC1522" i="208"/>
  <c r="Y1522" i="208"/>
  <c r="AC1510" i="208"/>
  <c r="Y1510" i="208"/>
  <c r="AC1498" i="208"/>
  <c r="Y1498" i="208"/>
  <c r="AC1486" i="208"/>
  <c r="Y1486" i="208"/>
  <c r="AC1474" i="208"/>
  <c r="Y1474" i="208"/>
  <c r="AC1462" i="208"/>
  <c r="Y1462" i="208"/>
  <c r="AC1450" i="208"/>
  <c r="Y1450" i="208"/>
  <c r="AC1438" i="208"/>
  <c r="Y1438" i="208"/>
  <c r="AC1426" i="208"/>
  <c r="Y1426" i="208"/>
  <c r="AC1414" i="208"/>
  <c r="Y1414" i="208"/>
  <c r="AC1402" i="208"/>
  <c r="Y1402" i="208"/>
  <c r="AC1390" i="208"/>
  <c r="Y1390" i="208"/>
  <c r="AC1378" i="208"/>
  <c r="Y1378" i="208"/>
  <c r="AC1366" i="208"/>
  <c r="Y1366" i="208"/>
  <c r="AC1354" i="208"/>
  <c r="Y1354" i="208"/>
  <c r="AC1342" i="208"/>
  <c r="Y1342" i="208"/>
  <c r="AC1330" i="208"/>
  <c r="Y1330" i="208"/>
  <c r="AC1318" i="208"/>
  <c r="Y1318" i="208"/>
  <c r="AC1306" i="208"/>
  <c r="Y1306" i="208"/>
  <c r="AC1294" i="208"/>
  <c r="Y1294" i="208"/>
  <c r="AC1282" i="208"/>
  <c r="Y1282" i="208"/>
  <c r="AC1270" i="208"/>
  <c r="Y1270" i="208"/>
  <c r="AC1258" i="208"/>
  <c r="Y1258" i="208"/>
  <c r="AC1246" i="208"/>
  <c r="Y1246" i="208"/>
  <c r="AC1234" i="208"/>
  <c r="Y1234" i="208"/>
  <c r="AC1222" i="208"/>
  <c r="Y1222" i="208"/>
  <c r="AC1210" i="208"/>
  <c r="Y1210" i="208"/>
  <c r="AC1198" i="208"/>
  <c r="Y1198" i="208"/>
  <c r="AC1186" i="208"/>
  <c r="Y1186" i="208"/>
  <c r="AC1174" i="208"/>
  <c r="Y1174" i="208"/>
  <c r="AC1162" i="208"/>
  <c r="Y1162" i="208"/>
  <c r="AC1150" i="208"/>
  <c r="Y1150" i="208"/>
  <c r="AC1138" i="208"/>
  <c r="Y1138" i="208"/>
  <c r="AC1126" i="208"/>
  <c r="Y1126" i="208"/>
  <c r="AC1114" i="208"/>
  <c r="Y1114" i="208"/>
  <c r="AC1102" i="208"/>
  <c r="Y1102" i="208"/>
  <c r="AC1090" i="208"/>
  <c r="Y1090" i="208"/>
  <c r="AC1078" i="208"/>
  <c r="Y1078" i="208"/>
  <c r="AC1066" i="208"/>
  <c r="Y1066" i="208"/>
  <c r="AC1054" i="208"/>
  <c r="Y1054" i="208"/>
  <c r="AC1042" i="208"/>
  <c r="Y1042" i="208"/>
  <c r="AC1030" i="208"/>
  <c r="Y1030" i="208"/>
  <c r="AC1018" i="208"/>
  <c r="Y1018" i="208"/>
  <c r="AC1006" i="208"/>
  <c r="Y1006" i="208"/>
  <c r="AC994" i="208"/>
  <c r="Y994" i="208"/>
  <c r="AC982" i="208"/>
  <c r="Y982" i="208"/>
  <c r="AC970" i="208"/>
  <c r="Y970" i="208"/>
  <c r="AC958" i="208"/>
  <c r="Y958" i="208"/>
  <c r="AC946" i="208"/>
  <c r="Y946" i="208"/>
  <c r="AC934" i="208"/>
  <c r="Y934" i="208"/>
  <c r="AC922" i="208"/>
  <c r="Y922" i="208"/>
  <c r="X599" i="208"/>
  <c r="X527" i="208"/>
  <c r="X455" i="208"/>
  <c r="X383" i="208"/>
  <c r="X311" i="208"/>
  <c r="X373" i="208"/>
  <c r="X587" i="208"/>
  <c r="X515" i="208"/>
  <c r="X443" i="208"/>
  <c r="X371" i="208"/>
  <c r="X361" i="208"/>
  <c r="AD771" i="208"/>
  <c r="X771" i="208"/>
  <c r="AD768" i="208"/>
  <c r="X768" i="208"/>
  <c r="AD765" i="208"/>
  <c r="X765" i="208"/>
  <c r="AD762" i="208"/>
  <c r="X762" i="208"/>
  <c r="AD759" i="208"/>
  <c r="X759" i="208"/>
  <c r="AD756" i="208"/>
  <c r="X756" i="208"/>
  <c r="AD753" i="208"/>
  <c r="X753" i="208"/>
  <c r="AD750" i="208"/>
  <c r="X750" i="208"/>
  <c r="AD747" i="208"/>
  <c r="X747" i="208"/>
  <c r="AD744" i="208"/>
  <c r="X744" i="208"/>
  <c r="AD741" i="208"/>
  <c r="X741" i="208"/>
  <c r="AD738" i="208"/>
  <c r="X738" i="208"/>
  <c r="AD735" i="208"/>
  <c r="X735" i="208"/>
  <c r="AD732" i="208"/>
  <c r="X732" i="208"/>
  <c r="AD729" i="208"/>
  <c r="X729" i="208"/>
  <c r="AD726" i="208"/>
  <c r="X726" i="208"/>
  <c r="AD723" i="208"/>
  <c r="X723" i="208"/>
  <c r="AD720" i="208"/>
  <c r="X720" i="208"/>
  <c r="AD717" i="208"/>
  <c r="X717" i="208"/>
  <c r="AD714" i="208"/>
  <c r="X714" i="208"/>
  <c r="AD711" i="208"/>
  <c r="X711" i="208"/>
  <c r="AD708" i="208"/>
  <c r="X708" i="208"/>
  <c r="AD705" i="208"/>
  <c r="X705" i="208"/>
  <c r="AD702" i="208"/>
  <c r="X702" i="208"/>
  <c r="AD699" i="208"/>
  <c r="X699" i="208"/>
  <c r="AD696" i="208"/>
  <c r="X696" i="208"/>
  <c r="AD693" i="208"/>
  <c r="X693" i="208"/>
  <c r="AD690" i="208"/>
  <c r="X690" i="208"/>
  <c r="AD687" i="208"/>
  <c r="X687" i="208"/>
  <c r="AD684" i="208"/>
  <c r="X684" i="208"/>
  <c r="AD681" i="208"/>
  <c r="X681" i="208"/>
  <c r="AD678" i="208"/>
  <c r="X678" i="208"/>
  <c r="AD675" i="208"/>
  <c r="X675" i="208"/>
  <c r="AD672" i="208"/>
  <c r="X672" i="208"/>
  <c r="AD669" i="208"/>
  <c r="X669" i="208"/>
  <c r="AD666" i="208"/>
  <c r="X666" i="208"/>
  <c r="AD663" i="208"/>
  <c r="X663" i="208"/>
  <c r="AD660" i="208"/>
  <c r="X660" i="208"/>
  <c r="AD657" i="208"/>
  <c r="X657" i="208"/>
  <c r="AD654" i="208"/>
  <c r="X654" i="208"/>
  <c r="AD651" i="208"/>
  <c r="X651" i="208"/>
  <c r="AD648" i="208"/>
  <c r="X648" i="208"/>
  <c r="AD645" i="208"/>
  <c r="X645" i="208"/>
  <c r="AD642" i="208"/>
  <c r="X642" i="208"/>
  <c r="AD639" i="208"/>
  <c r="X639" i="208"/>
  <c r="AD636" i="208"/>
  <c r="X636" i="208"/>
  <c r="AD633" i="208"/>
  <c r="X633" i="208"/>
  <c r="AD630" i="208"/>
  <c r="X630" i="208"/>
  <c r="AD627" i="208"/>
  <c r="X627" i="208"/>
  <c r="AD624" i="208"/>
  <c r="X624" i="208"/>
  <c r="AD621" i="208"/>
  <c r="X621" i="208"/>
  <c r="AD618" i="208"/>
  <c r="X618" i="208"/>
  <c r="AD615" i="208"/>
  <c r="X615" i="208"/>
  <c r="AD612" i="208"/>
  <c r="X612" i="208"/>
  <c r="AD609" i="208"/>
  <c r="X609" i="208"/>
  <c r="AD606" i="208"/>
  <c r="X606" i="208"/>
  <c r="AD603" i="208"/>
  <c r="X603" i="208"/>
  <c r="AD600" i="208"/>
  <c r="X600" i="208"/>
  <c r="AD597" i="208"/>
  <c r="X597" i="208"/>
  <c r="AD594" i="208"/>
  <c r="X594" i="208"/>
  <c r="AD591" i="208"/>
  <c r="X591" i="208"/>
  <c r="AD588" i="208"/>
  <c r="X588" i="208"/>
  <c r="AD585" i="208"/>
  <c r="X585" i="208"/>
  <c r="AD582" i="208"/>
  <c r="X582" i="208"/>
  <c r="AD579" i="208"/>
  <c r="X579" i="208"/>
  <c r="AD576" i="208"/>
  <c r="X576" i="208"/>
  <c r="AD573" i="208"/>
  <c r="X573" i="208"/>
  <c r="AD570" i="208"/>
  <c r="X570" i="208"/>
  <c r="AD567" i="208"/>
  <c r="X567" i="208"/>
  <c r="AD564" i="208"/>
  <c r="X564" i="208"/>
  <c r="AD561" i="208"/>
  <c r="X561" i="208"/>
  <c r="AD558" i="208"/>
  <c r="X558" i="208"/>
  <c r="AD555" i="208"/>
  <c r="X555" i="208"/>
  <c r="AD552" i="208"/>
  <c r="X552" i="208"/>
  <c r="AD549" i="208"/>
  <c r="X549" i="208"/>
  <c r="AD546" i="208"/>
  <c r="X546" i="208"/>
  <c r="AD543" i="208"/>
  <c r="X543" i="208"/>
  <c r="AD540" i="208"/>
  <c r="X540" i="208"/>
  <c r="AD537" i="208"/>
  <c r="X537" i="208"/>
  <c r="AD534" i="208"/>
  <c r="X534" i="208"/>
  <c r="AD531" i="208"/>
  <c r="X531" i="208"/>
  <c r="AD528" i="208"/>
  <c r="X528" i="208"/>
  <c r="AD525" i="208"/>
  <c r="X525" i="208"/>
  <c r="AD522" i="208"/>
  <c r="X522" i="208"/>
  <c r="AD519" i="208"/>
  <c r="X519" i="208"/>
  <c r="AD516" i="208"/>
  <c r="X516" i="208"/>
  <c r="AD513" i="208"/>
  <c r="X513" i="208"/>
  <c r="AD510" i="208"/>
  <c r="X510" i="208"/>
  <c r="AD507" i="208"/>
  <c r="X507" i="208"/>
  <c r="AD504" i="208"/>
  <c r="X504" i="208"/>
  <c r="AD501" i="208"/>
  <c r="X501" i="208"/>
  <c r="AD498" i="208"/>
  <c r="X498" i="208"/>
  <c r="AD495" i="208"/>
  <c r="X495" i="208"/>
  <c r="AD492" i="208"/>
  <c r="X492" i="208"/>
  <c r="AD489" i="208"/>
  <c r="X489" i="208"/>
  <c r="AD486" i="208"/>
  <c r="X486" i="208"/>
  <c r="AD483" i="208"/>
  <c r="X483" i="208"/>
  <c r="AD480" i="208"/>
  <c r="X480" i="208"/>
  <c r="AD477" i="208"/>
  <c r="X477" i="208"/>
  <c r="AD474" i="208"/>
  <c r="X474" i="208"/>
  <c r="AD471" i="208"/>
  <c r="X471" i="208"/>
  <c r="AD468" i="208"/>
  <c r="X468" i="208"/>
  <c r="AD465" i="208"/>
  <c r="X465" i="208"/>
  <c r="AD462" i="208"/>
  <c r="X462" i="208"/>
  <c r="AD459" i="208"/>
  <c r="X459" i="208"/>
  <c r="AD456" i="208"/>
  <c r="X456" i="208"/>
  <c r="AD453" i="208"/>
  <c r="X453" i="208"/>
  <c r="AD450" i="208"/>
  <c r="X450" i="208"/>
  <c r="AD447" i="208"/>
  <c r="X447" i="208"/>
  <c r="AD444" i="208"/>
  <c r="X444" i="208"/>
  <c r="AD441" i="208"/>
  <c r="X441" i="208"/>
  <c r="AD438" i="208"/>
  <c r="X438" i="208"/>
  <c r="AD435" i="208"/>
  <c r="X435" i="208"/>
  <c r="AD432" i="208"/>
  <c r="X432" i="208"/>
  <c r="AD429" i="208"/>
  <c r="X429" i="208"/>
  <c r="AD426" i="208"/>
  <c r="X426" i="208"/>
  <c r="AD423" i="208"/>
  <c r="X423" i="208"/>
  <c r="AD420" i="208"/>
  <c r="X420" i="208"/>
  <c r="AD417" i="208"/>
  <c r="X417" i="208"/>
  <c r="AD414" i="208"/>
  <c r="X414" i="208"/>
  <c r="AD411" i="208"/>
  <c r="X411" i="208"/>
  <c r="AD408" i="208"/>
  <c r="X408" i="208"/>
  <c r="AD405" i="208"/>
  <c r="X405" i="208"/>
  <c r="AD402" i="208"/>
  <c r="X402" i="208"/>
  <c r="AD399" i="208"/>
  <c r="X399" i="208"/>
  <c r="AD396" i="208"/>
  <c r="X396" i="208"/>
  <c r="AD393" i="208"/>
  <c r="X393" i="208"/>
  <c r="AD390" i="208"/>
  <c r="X390" i="208"/>
  <c r="AD387" i="208"/>
  <c r="X387" i="208"/>
  <c r="AD384" i="208"/>
  <c r="X384" i="208"/>
  <c r="AD381" i="208"/>
  <c r="X381" i="208"/>
  <c r="AD378" i="208"/>
  <c r="X378" i="208"/>
  <c r="AD375" i="208"/>
  <c r="X375" i="208"/>
  <c r="AD372" i="208"/>
  <c r="X372" i="208"/>
  <c r="AD369" i="208"/>
  <c r="X369" i="208"/>
  <c r="AD366" i="208"/>
  <c r="X366" i="208"/>
  <c r="AD363" i="208"/>
  <c r="X363" i="208"/>
  <c r="AD360" i="208"/>
  <c r="X360" i="208"/>
  <c r="AD357" i="208"/>
  <c r="X357" i="208"/>
  <c r="AD354" i="208"/>
  <c r="X354" i="208"/>
  <c r="AD351" i="208"/>
  <c r="X351" i="208"/>
  <c r="AD348" i="208"/>
  <c r="X348" i="208"/>
  <c r="AD345" i="208"/>
  <c r="X345" i="208"/>
  <c r="AD342" i="208"/>
  <c r="X342" i="208"/>
  <c r="AD339" i="208"/>
  <c r="X339" i="208"/>
  <c r="AD336" i="208"/>
  <c r="X336" i="208"/>
  <c r="AD333" i="208"/>
  <c r="X333" i="208"/>
  <c r="AD330" i="208"/>
  <c r="X330" i="208"/>
  <c r="AD327" i="208"/>
  <c r="X327" i="208"/>
  <c r="AD324" i="208"/>
  <c r="X324" i="208"/>
  <c r="AD321" i="208"/>
  <c r="X321" i="208"/>
  <c r="AD318" i="208"/>
  <c r="X318" i="208"/>
  <c r="AD315" i="208"/>
  <c r="X315" i="208"/>
  <c r="AD312" i="208"/>
  <c r="X312" i="208"/>
  <c r="AD309" i="208"/>
  <c r="X309" i="208"/>
  <c r="AD306" i="208"/>
  <c r="X306" i="208"/>
  <c r="X269" i="208"/>
  <c r="X263" i="208"/>
  <c r="X260" i="208"/>
  <c r="X257" i="208"/>
  <c r="X251" i="208"/>
  <c r="X248" i="208"/>
  <c r="X245" i="208"/>
  <c r="X239" i="208"/>
  <c r="X236" i="208"/>
  <c r="X233" i="208"/>
  <c r="X227" i="208"/>
  <c r="X224" i="208"/>
  <c r="X221" i="208"/>
  <c r="X215" i="208"/>
  <c r="X212" i="208"/>
  <c r="X209" i="208"/>
  <c r="X203" i="208"/>
  <c r="X200" i="208"/>
  <c r="X197" i="208"/>
  <c r="X191" i="208"/>
  <c r="X188" i="208"/>
  <c r="X185" i="208"/>
  <c r="X179" i="208"/>
  <c r="X176" i="208"/>
  <c r="X173" i="208"/>
  <c r="X167" i="208"/>
  <c r="X164" i="208"/>
  <c r="X161" i="208"/>
  <c r="X575" i="208"/>
  <c r="X503" i="208"/>
  <c r="X431" i="208"/>
  <c r="X359" i="208"/>
  <c r="X421" i="208"/>
  <c r="X349" i="208"/>
  <c r="AC2990" i="208"/>
  <c r="Y2990" i="208"/>
  <c r="AC2978" i="208"/>
  <c r="Y2978" i="208"/>
  <c r="AC2966" i="208"/>
  <c r="Y2966" i="208"/>
  <c r="AC2954" i="208"/>
  <c r="Y2954" i="208"/>
  <c r="AC2942" i="208"/>
  <c r="Y2942" i="208"/>
  <c r="AC2930" i="208"/>
  <c r="Y2930" i="208"/>
  <c r="AC2918" i="208"/>
  <c r="Y2918" i="208"/>
  <c r="AC2906" i="208"/>
  <c r="Y2906" i="208"/>
  <c r="AC2894" i="208"/>
  <c r="Y2894" i="208"/>
  <c r="AC2882" i="208"/>
  <c r="Y2882" i="208"/>
  <c r="AC2870" i="208"/>
  <c r="Y2870" i="208"/>
  <c r="AC2858" i="208"/>
  <c r="Y2858" i="208"/>
  <c r="AC2846" i="208"/>
  <c r="Y2846" i="208"/>
  <c r="AC2834" i="208"/>
  <c r="Y2834" i="208"/>
  <c r="AC2822" i="208"/>
  <c r="Y2822" i="208"/>
  <c r="AC2810" i="208"/>
  <c r="Y2810" i="208"/>
  <c r="AC2798" i="208"/>
  <c r="Y2798" i="208"/>
  <c r="AC2786" i="208"/>
  <c r="Y2786" i="208"/>
  <c r="AC2774" i="208"/>
  <c r="Y2774" i="208"/>
  <c r="AC2762" i="208"/>
  <c r="Y2762" i="208"/>
  <c r="AC2750" i="208"/>
  <c r="Y2750" i="208"/>
  <c r="AC2738" i="208"/>
  <c r="Y2738" i="208"/>
  <c r="AC2726" i="208"/>
  <c r="Y2726" i="208"/>
  <c r="AC2714" i="208"/>
  <c r="Y2714" i="208"/>
  <c r="AC2702" i="208"/>
  <c r="Y2702" i="208"/>
  <c r="AC2690" i="208"/>
  <c r="Y2690" i="208"/>
  <c r="AC2678" i="208"/>
  <c r="Y2678" i="208"/>
  <c r="AC2666" i="208"/>
  <c r="Y2666" i="208"/>
  <c r="AC2654" i="208"/>
  <c r="Y2654" i="208"/>
  <c r="AC2642" i="208"/>
  <c r="Y2642" i="208"/>
  <c r="AC2630" i="208"/>
  <c r="Y2630" i="208"/>
  <c r="AC2618" i="208"/>
  <c r="Y2618" i="208"/>
  <c r="AC2606" i="208"/>
  <c r="Y2606" i="208"/>
  <c r="AC2594" i="208"/>
  <c r="Y2594" i="208"/>
  <c r="AC2582" i="208"/>
  <c r="Y2582" i="208"/>
  <c r="AC2570" i="208"/>
  <c r="Y2570" i="208"/>
  <c r="AC2558" i="208"/>
  <c r="Y2558" i="208"/>
  <c r="AC2546" i="208"/>
  <c r="Y2546" i="208"/>
  <c r="AC2534" i="208"/>
  <c r="Y2534" i="208"/>
  <c r="AC2522" i="208"/>
  <c r="Y2522" i="208"/>
  <c r="AC2510" i="208"/>
  <c r="Y2510" i="208"/>
  <c r="AC2498" i="208"/>
  <c r="Y2498" i="208"/>
  <c r="AC2486" i="208"/>
  <c r="Y2486" i="208"/>
  <c r="AC2474" i="208"/>
  <c r="Y2474" i="208"/>
  <c r="AC2462" i="208"/>
  <c r="Y2462" i="208"/>
  <c r="AC2450" i="208"/>
  <c r="Y2450" i="208"/>
  <c r="AC2438" i="208"/>
  <c r="Y2438" i="208"/>
  <c r="AC2426" i="208"/>
  <c r="Y2426" i="208"/>
  <c r="AC2414" i="208"/>
  <c r="Y2414" i="208"/>
  <c r="AC2402" i="208"/>
  <c r="Y2402" i="208"/>
  <c r="AC2390" i="208"/>
  <c r="Y2390" i="208"/>
  <c r="AC2378" i="208"/>
  <c r="Y2378" i="208"/>
  <c r="AC2366" i="208"/>
  <c r="Y2366" i="208"/>
  <c r="AC2354" i="208"/>
  <c r="Y2354" i="208"/>
  <c r="AC2342" i="208"/>
  <c r="Y2342" i="208"/>
  <c r="AC2330" i="208"/>
  <c r="Y2330" i="208"/>
  <c r="AC2318" i="208"/>
  <c r="Y2318" i="208"/>
  <c r="AC2306" i="208"/>
  <c r="Y2306" i="208"/>
  <c r="AC2294" i="208"/>
  <c r="Y2294" i="208"/>
  <c r="AC2282" i="208"/>
  <c r="Y2282" i="208"/>
  <c r="AC2270" i="208"/>
  <c r="Y2270" i="208"/>
  <c r="AC2258" i="208"/>
  <c r="Y2258" i="208"/>
  <c r="AC2246" i="208"/>
  <c r="Y2246" i="208"/>
  <c r="AC2234" i="208"/>
  <c r="Y2234" i="208"/>
  <c r="AC2222" i="208"/>
  <c r="Y2222" i="208"/>
  <c r="AC2210" i="208"/>
  <c r="Y2210" i="208"/>
  <c r="AC2198" i="208"/>
  <c r="Y2198" i="208"/>
  <c r="AC2186" i="208"/>
  <c r="Y2186" i="208"/>
  <c r="AC2174" i="208"/>
  <c r="Y2174" i="208"/>
  <c r="AC2162" i="208"/>
  <c r="Y2162" i="208"/>
  <c r="AC2150" i="208"/>
  <c r="Y2150" i="208"/>
  <c r="AC2138" i="208"/>
  <c r="Y2138" i="208"/>
  <c r="AC2126" i="208"/>
  <c r="Y2126" i="208"/>
  <c r="AC2114" i="208"/>
  <c r="Y2114" i="208"/>
  <c r="AC2102" i="208"/>
  <c r="Y2102" i="208"/>
  <c r="AC2090" i="208"/>
  <c r="Y2090" i="208"/>
  <c r="AC2078" i="208"/>
  <c r="Y2078" i="208"/>
  <c r="AC2066" i="208"/>
  <c r="Y2066" i="208"/>
  <c r="AC2054" i="208"/>
  <c r="Y2054" i="208"/>
  <c r="AC2042" i="208"/>
  <c r="Y2042" i="208"/>
  <c r="AC2030" i="208"/>
  <c r="Y2030" i="208"/>
  <c r="AC2018" i="208"/>
  <c r="Y2018" i="208"/>
  <c r="AC2006" i="208"/>
  <c r="Y2006" i="208"/>
  <c r="AC1994" i="208"/>
  <c r="Y1994" i="208"/>
  <c r="AC1982" i="208"/>
  <c r="Y1982" i="208"/>
  <c r="AC1970" i="208"/>
  <c r="Y1970" i="208"/>
  <c r="AC1958" i="208"/>
  <c r="Y1958" i="208"/>
  <c r="AC1946" i="208"/>
  <c r="Y1946" i="208"/>
  <c r="AC1934" i="208"/>
  <c r="Y1934" i="208"/>
  <c r="AC1922" i="208"/>
  <c r="Y1922" i="208"/>
  <c r="AC1910" i="208"/>
  <c r="Y1910" i="208"/>
  <c r="AC1898" i="208"/>
  <c r="Y1898" i="208"/>
  <c r="AC1886" i="208"/>
  <c r="Y1886" i="208"/>
  <c r="AC1874" i="208"/>
  <c r="Y1874" i="208"/>
  <c r="AC1862" i="208"/>
  <c r="Y1862" i="208"/>
  <c r="AC1850" i="208"/>
  <c r="Y1850" i="208"/>
  <c r="AC1838" i="208"/>
  <c r="Y1838" i="208"/>
  <c r="AC1826" i="208"/>
  <c r="Y1826" i="208"/>
  <c r="AC1814" i="208"/>
  <c r="Y1814" i="208"/>
  <c r="AC1802" i="208"/>
  <c r="Y1802" i="208"/>
  <c r="AC1790" i="208"/>
  <c r="Y1790" i="208"/>
  <c r="AC1778" i="208"/>
  <c r="Y1778" i="208"/>
  <c r="AC1766" i="208"/>
  <c r="Y1766" i="208"/>
  <c r="AC1754" i="208"/>
  <c r="Y1754" i="208"/>
  <c r="AC1742" i="208"/>
  <c r="Y1742" i="208"/>
  <c r="AC1730" i="208"/>
  <c r="Y1730" i="208"/>
  <c r="AC1718" i="208"/>
  <c r="Y1718" i="208"/>
  <c r="AC1706" i="208"/>
  <c r="Y1706" i="208"/>
  <c r="AC1694" i="208"/>
  <c r="Y1694" i="208"/>
  <c r="AC1682" i="208"/>
  <c r="Y1682" i="208"/>
  <c r="AC1670" i="208"/>
  <c r="Y1670" i="208"/>
  <c r="AC1658" i="208"/>
  <c r="Y1658" i="208"/>
  <c r="AC1646" i="208"/>
  <c r="Y1646" i="208"/>
  <c r="AC1634" i="208"/>
  <c r="Y1634" i="208"/>
  <c r="AC1622" i="208"/>
  <c r="Y1622" i="208"/>
  <c r="AC1610" i="208"/>
  <c r="Y1610" i="208"/>
  <c r="AC1598" i="208"/>
  <c r="Y1598" i="208"/>
  <c r="AC1586" i="208"/>
  <c r="Y1586" i="208"/>
  <c r="AC1574" i="208"/>
  <c r="Y1574" i="208"/>
  <c r="AC1562" i="208"/>
  <c r="Y1562" i="208"/>
  <c r="AC1550" i="208"/>
  <c r="Y1550" i="208"/>
  <c r="AC1538" i="208"/>
  <c r="Y1538" i="208"/>
  <c r="AC1526" i="208"/>
  <c r="Y1526" i="208"/>
  <c r="AC1514" i="208"/>
  <c r="Y1514" i="208"/>
  <c r="AC1502" i="208"/>
  <c r="Y1502" i="208"/>
  <c r="AC1490" i="208"/>
  <c r="Y1490" i="208"/>
  <c r="AC1478" i="208"/>
  <c r="Y1478" i="208"/>
  <c r="AC1466" i="208"/>
  <c r="Y1466" i="208"/>
  <c r="AC1454" i="208"/>
  <c r="Y1454" i="208"/>
  <c r="AC1442" i="208"/>
  <c r="Y1442" i="208"/>
  <c r="AC1430" i="208"/>
  <c r="Y1430" i="208"/>
  <c r="AC1418" i="208"/>
  <c r="Y1418" i="208"/>
  <c r="AC1406" i="208"/>
  <c r="Y1406" i="208"/>
  <c r="AC1394" i="208"/>
  <c r="Y1394" i="208"/>
  <c r="AC1382" i="208"/>
  <c r="Y1382" i="208"/>
  <c r="AC1370" i="208"/>
  <c r="Y1370" i="208"/>
  <c r="AC1358" i="208"/>
  <c r="Y1358" i="208"/>
  <c r="AC1346" i="208"/>
  <c r="Y1346" i="208"/>
  <c r="AC1334" i="208"/>
  <c r="Y1334" i="208"/>
  <c r="AC1322" i="208"/>
  <c r="Y1322" i="208"/>
  <c r="AC1310" i="208"/>
  <c r="Y1310" i="208"/>
  <c r="AC1298" i="208"/>
  <c r="Y1298" i="208"/>
  <c r="AC1286" i="208"/>
  <c r="Y1286" i="208"/>
  <c r="AC1274" i="208"/>
  <c r="Y1274" i="208"/>
  <c r="AC1262" i="208"/>
  <c r="Y1262" i="208"/>
  <c r="AC1250" i="208"/>
  <c r="Y1250" i="208"/>
  <c r="AC1238" i="208"/>
  <c r="Y1238" i="208"/>
  <c r="AC1226" i="208"/>
  <c r="Y1226" i="208"/>
  <c r="AC1214" i="208"/>
  <c r="Y1214" i="208"/>
  <c r="AC1202" i="208"/>
  <c r="Y1202" i="208"/>
  <c r="AC1190" i="208"/>
  <c r="Y1190" i="208"/>
  <c r="AC1178" i="208"/>
  <c r="Y1178" i="208"/>
  <c r="AC1166" i="208"/>
  <c r="Y1166" i="208"/>
  <c r="AC1154" i="208"/>
  <c r="Y1154" i="208"/>
  <c r="AC1142" i="208"/>
  <c r="Y1142" i="208"/>
  <c r="AC1130" i="208"/>
  <c r="Y1130" i="208"/>
  <c r="AC1118" i="208"/>
  <c r="Y1118" i="208"/>
  <c r="AC1106" i="208"/>
  <c r="Y1106" i="208"/>
  <c r="AC1094" i="208"/>
  <c r="Y1094" i="208"/>
  <c r="AC1082" i="208"/>
  <c r="Y1082" i="208"/>
  <c r="AC1070" i="208"/>
  <c r="Y1070" i="208"/>
  <c r="AC1058" i="208"/>
  <c r="Y1058" i="208"/>
  <c r="AC1046" i="208"/>
  <c r="Y1046" i="208"/>
  <c r="AC1034" i="208"/>
  <c r="Y1034" i="208"/>
  <c r="AC1022" i="208"/>
  <c r="Y1022" i="208"/>
  <c r="AC1010" i="208"/>
  <c r="Y1010" i="208"/>
  <c r="AC998" i="208"/>
  <c r="Y998" i="208"/>
  <c r="AC986" i="208"/>
  <c r="Y986" i="208"/>
  <c r="AC974" i="208"/>
  <c r="Y974" i="208"/>
  <c r="AC962" i="208"/>
  <c r="Y962" i="208"/>
  <c r="AC950" i="208"/>
  <c r="Y950" i="208"/>
  <c r="AC938" i="208"/>
  <c r="Y938" i="208"/>
  <c r="AC926" i="208"/>
  <c r="Y926" i="208"/>
  <c r="AC914" i="208"/>
  <c r="Y914" i="208"/>
  <c r="AC902" i="208"/>
  <c r="Y902" i="208"/>
  <c r="AC890" i="208"/>
  <c r="Y890" i="208"/>
  <c r="AC878" i="208"/>
  <c r="Y878" i="208"/>
  <c r="AC866" i="208"/>
  <c r="Y866" i="208"/>
  <c r="AC854" i="208"/>
  <c r="Y854" i="208"/>
  <c r="AC842" i="208"/>
  <c r="Y842" i="208"/>
  <c r="AC830" i="208"/>
  <c r="Y830" i="208"/>
  <c r="AC818" i="208"/>
  <c r="Y818" i="208"/>
  <c r="AC806" i="208"/>
  <c r="Y806" i="208"/>
  <c r="AC794" i="208"/>
  <c r="Y794" i="208"/>
  <c r="AC782" i="208"/>
  <c r="Y782" i="208"/>
  <c r="AC770" i="208"/>
  <c r="Y770" i="208"/>
  <c r="AC758" i="208"/>
  <c r="Y758" i="208"/>
  <c r="AC746" i="208"/>
  <c r="Y746" i="208"/>
  <c r="AC734" i="208"/>
  <c r="Y734" i="208"/>
  <c r="AC722" i="208"/>
  <c r="Y722" i="208"/>
  <c r="AC710" i="208"/>
  <c r="Y710" i="208"/>
  <c r="AC698" i="208"/>
  <c r="Y698" i="208"/>
  <c r="AC686" i="208"/>
  <c r="Y686" i="208"/>
  <c r="AC674" i="208"/>
  <c r="Y674" i="208"/>
  <c r="AC662" i="208"/>
  <c r="Y662" i="208"/>
  <c r="AC650" i="208"/>
  <c r="Y650" i="208"/>
  <c r="AC638" i="208"/>
  <c r="Y638" i="208"/>
  <c r="AC626" i="208"/>
  <c r="Y626" i="208"/>
  <c r="AC614" i="208"/>
  <c r="Y614" i="208"/>
  <c r="AC602" i="208"/>
  <c r="Y602" i="208"/>
  <c r="AC590" i="208"/>
  <c r="Y590" i="208"/>
  <c r="AC578" i="208"/>
  <c r="Y578" i="208"/>
  <c r="AC566" i="208"/>
  <c r="Y566" i="208"/>
  <c r="AC554" i="208"/>
  <c r="Y554" i="208"/>
  <c r="AC542" i="208"/>
  <c r="Y542" i="208"/>
  <c r="AC530" i="208"/>
  <c r="Y530" i="208"/>
  <c r="AC518" i="208"/>
  <c r="Y518" i="208"/>
  <c r="AC506" i="208"/>
  <c r="Y506" i="208"/>
  <c r="AC494" i="208"/>
  <c r="Y494" i="208"/>
  <c r="AC482" i="208"/>
  <c r="Y482" i="208"/>
  <c r="AC470" i="208"/>
  <c r="Y470" i="208"/>
  <c r="AC458" i="208"/>
  <c r="Y458" i="208"/>
  <c r="AC446" i="208"/>
  <c r="Y446" i="208"/>
  <c r="AC434" i="208"/>
  <c r="Y434" i="208"/>
  <c r="AC422" i="208"/>
  <c r="Y422" i="208"/>
  <c r="AC410" i="208"/>
  <c r="Y410" i="208"/>
  <c r="AC398" i="208"/>
  <c r="Y398" i="208"/>
  <c r="AC386" i="208"/>
  <c r="Y386" i="208"/>
  <c r="AC374" i="208"/>
  <c r="Y374" i="208"/>
  <c r="AC362" i="208"/>
  <c r="Y362" i="208"/>
  <c r="AC350" i="208"/>
  <c r="Y350" i="208"/>
  <c r="AC338" i="208"/>
  <c r="Y338" i="208"/>
  <c r="AC326" i="208"/>
  <c r="Y326" i="208"/>
  <c r="AC314" i="208"/>
  <c r="Y314" i="208"/>
  <c r="Z77" i="208"/>
  <c r="Z74" i="208"/>
  <c r="Z71" i="208"/>
  <c r="Z68" i="208"/>
  <c r="Z65" i="208"/>
  <c r="Z62" i="208"/>
  <c r="Z59" i="208"/>
  <c r="Z56" i="208"/>
  <c r="Z53" i="208"/>
  <c r="Z50" i="208"/>
  <c r="Z47" i="208"/>
  <c r="Z44" i="208"/>
  <c r="Z41" i="208"/>
  <c r="Z38" i="208"/>
  <c r="Z35" i="208"/>
  <c r="Z32" i="208"/>
  <c r="Z29" i="208"/>
  <c r="Z26" i="208"/>
  <c r="Z23" i="208"/>
  <c r="Z20" i="208"/>
  <c r="Z17" i="208"/>
  <c r="Z14" i="208"/>
  <c r="Z11" i="208"/>
  <c r="Z8" i="208"/>
  <c r="Z5" i="208"/>
  <c r="AC3000" i="208"/>
  <c r="Y3000" i="208"/>
  <c r="AC2988" i="208"/>
  <c r="Y2988" i="208"/>
  <c r="AC2976" i="208"/>
  <c r="Y2976" i="208"/>
  <c r="AC2964" i="208"/>
  <c r="Y2964" i="208"/>
  <c r="AC2952" i="208"/>
  <c r="Y2952" i="208"/>
  <c r="AC2940" i="208"/>
  <c r="Y2940" i="208"/>
  <c r="AC2928" i="208"/>
  <c r="Y2928" i="208"/>
  <c r="AC2916" i="208"/>
  <c r="Y2916" i="208"/>
  <c r="AC2904" i="208"/>
  <c r="Y2904" i="208"/>
  <c r="AC2892" i="208"/>
  <c r="Y2892" i="208"/>
  <c r="AC2880" i="208"/>
  <c r="Y2880" i="208"/>
  <c r="AC2868" i="208"/>
  <c r="Y2868" i="208"/>
  <c r="AC2856" i="208"/>
  <c r="Y2856" i="208"/>
  <c r="AC2844" i="208"/>
  <c r="Y2844" i="208"/>
  <c r="AC2832" i="208"/>
  <c r="Y2832" i="208"/>
  <c r="AC2820" i="208"/>
  <c r="Y2820" i="208"/>
  <c r="AC2808" i="208"/>
  <c r="Y2808" i="208"/>
  <c r="AC2796" i="208"/>
  <c r="Y2796" i="208"/>
  <c r="AC2784" i="208"/>
  <c r="Y2784" i="208"/>
  <c r="AC2772" i="208"/>
  <c r="Y2772" i="208"/>
  <c r="AC2760" i="208"/>
  <c r="Y2760" i="208"/>
  <c r="AC2748" i="208"/>
  <c r="Y2748" i="208"/>
  <c r="AC2736" i="208"/>
  <c r="Y2736" i="208"/>
  <c r="AC2724" i="208"/>
  <c r="Y2724" i="208"/>
  <c r="AC2712" i="208"/>
  <c r="Y2712" i="208"/>
  <c r="AC2700" i="208"/>
  <c r="Y2700" i="208"/>
  <c r="AC2688" i="208"/>
  <c r="Y2688" i="208"/>
  <c r="AC2676" i="208"/>
  <c r="Y2676" i="208"/>
  <c r="AC2664" i="208"/>
  <c r="Y2664" i="208"/>
  <c r="AC2652" i="208"/>
  <c r="Y2652" i="208"/>
  <c r="AC2640" i="208"/>
  <c r="Y2640" i="208"/>
  <c r="AC2628" i="208"/>
  <c r="Y2628" i="208"/>
  <c r="AC2616" i="208"/>
  <c r="Y2616" i="208"/>
  <c r="AC2604" i="208"/>
  <c r="Y2604" i="208"/>
  <c r="AC2592" i="208"/>
  <c r="Y2592" i="208"/>
  <c r="AC2580" i="208"/>
  <c r="Y2580" i="208"/>
  <c r="AC2568" i="208"/>
  <c r="Y2568" i="208"/>
  <c r="AC2556" i="208"/>
  <c r="Y2556" i="208"/>
  <c r="AC2544" i="208"/>
  <c r="Y2544" i="208"/>
  <c r="AC2532" i="208"/>
  <c r="Y2532" i="208"/>
  <c r="AC2520" i="208"/>
  <c r="Y2520" i="208"/>
  <c r="AC2508" i="208"/>
  <c r="Y2508" i="208"/>
  <c r="AC2496" i="208"/>
  <c r="Y2496" i="208"/>
  <c r="AC2484" i="208"/>
  <c r="Y2484" i="208"/>
  <c r="AC2472" i="208"/>
  <c r="Y2472" i="208"/>
  <c r="AC2460" i="208"/>
  <c r="Y2460" i="208"/>
  <c r="AC2448" i="208"/>
  <c r="Y2448" i="208"/>
  <c r="AC2436" i="208"/>
  <c r="Y2436" i="208"/>
  <c r="AC2424" i="208"/>
  <c r="Y2424" i="208"/>
  <c r="AC2412" i="208"/>
  <c r="Y2412" i="208"/>
  <c r="AC2400" i="208"/>
  <c r="Y2400" i="208"/>
  <c r="AC2388" i="208"/>
  <c r="Y2388" i="208"/>
  <c r="AC2376" i="208"/>
  <c r="Y2376" i="208"/>
  <c r="AC2364" i="208"/>
  <c r="Y2364" i="208"/>
  <c r="AC2352" i="208"/>
  <c r="Y2352" i="208"/>
  <c r="AC2340" i="208"/>
  <c r="Y2340" i="208"/>
  <c r="AC2328" i="208"/>
  <c r="Y2328" i="208"/>
  <c r="AC2316" i="208"/>
  <c r="Y2316" i="208"/>
  <c r="AC2304" i="208"/>
  <c r="Y2304" i="208"/>
  <c r="AC2292" i="208"/>
  <c r="Y2292" i="208"/>
  <c r="AC2280" i="208"/>
  <c r="Y2280" i="208"/>
  <c r="AC2268" i="208"/>
  <c r="Y2268" i="208"/>
  <c r="AC2256" i="208"/>
  <c r="Y2256" i="208"/>
  <c r="AC2244" i="208"/>
  <c r="Y2244" i="208"/>
  <c r="AC2232" i="208"/>
  <c r="Y2232" i="208"/>
  <c r="AC2220" i="208"/>
  <c r="Y2220" i="208"/>
  <c r="AC2208" i="208"/>
  <c r="Y2208" i="208"/>
  <c r="AC2196" i="208"/>
  <c r="Y2196" i="208"/>
  <c r="AC2184" i="208"/>
  <c r="Y2184" i="208"/>
  <c r="AC2172" i="208"/>
  <c r="Y2172" i="208"/>
  <c r="AC2160" i="208"/>
  <c r="Y2160" i="208"/>
  <c r="AC2148" i="208"/>
  <c r="Y2148" i="208"/>
  <c r="AC2136" i="208"/>
  <c r="Y2136" i="208"/>
  <c r="AC2124" i="208"/>
  <c r="Y2124" i="208"/>
  <c r="AC2112" i="208"/>
  <c r="Y2112" i="208"/>
  <c r="AC2100" i="208"/>
  <c r="Y2100" i="208"/>
  <c r="AC2088" i="208"/>
  <c r="Y2088" i="208"/>
  <c r="AC2076" i="208"/>
  <c r="Y2076" i="208"/>
  <c r="AC2064" i="208"/>
  <c r="Y2064" i="208"/>
  <c r="AC2052" i="208"/>
  <c r="Y2052" i="208"/>
  <c r="AC2040" i="208"/>
  <c r="Y2040" i="208"/>
  <c r="AC2028" i="208"/>
  <c r="Y2028" i="208"/>
  <c r="AC2016" i="208"/>
  <c r="Y2016" i="208"/>
  <c r="AC2004" i="208"/>
  <c r="Y2004" i="208"/>
  <c r="AC1992" i="208"/>
  <c r="Y1992" i="208"/>
  <c r="AC1980" i="208"/>
  <c r="Y1980" i="208"/>
  <c r="AC1968" i="208"/>
  <c r="Y1968" i="208"/>
  <c r="AC1956" i="208"/>
  <c r="Y1956" i="208"/>
  <c r="AC1944" i="208"/>
  <c r="Y1944" i="208"/>
  <c r="AC1932" i="208"/>
  <c r="Y1932" i="208"/>
  <c r="AC1920" i="208"/>
  <c r="Y1920" i="208"/>
  <c r="AC1908" i="208"/>
  <c r="Y1908" i="208"/>
  <c r="AC1896" i="208"/>
  <c r="Y1896" i="208"/>
  <c r="AC1884" i="208"/>
  <c r="Y1884" i="208"/>
  <c r="AC1872" i="208"/>
  <c r="Y1872" i="208"/>
  <c r="AC1860" i="208"/>
  <c r="Y1860" i="208"/>
  <c r="AC1848" i="208"/>
  <c r="Y1848" i="208"/>
  <c r="AC1836" i="208"/>
  <c r="Y1836" i="208"/>
  <c r="AC1824" i="208"/>
  <c r="Y1824" i="208"/>
  <c r="AC1812" i="208"/>
  <c r="Y1812" i="208"/>
  <c r="AC1800" i="208"/>
  <c r="Y1800" i="208"/>
  <c r="AC1788" i="208"/>
  <c r="Y1788" i="208"/>
  <c r="AC1776" i="208"/>
  <c r="Y1776" i="208"/>
  <c r="AC1764" i="208"/>
  <c r="Y1764" i="208"/>
  <c r="AC1752" i="208"/>
  <c r="Y1752" i="208"/>
  <c r="AC1740" i="208"/>
  <c r="Y1740" i="208"/>
  <c r="AC1728" i="208"/>
  <c r="Y1728" i="208"/>
  <c r="AC1716" i="208"/>
  <c r="Y1716" i="208"/>
  <c r="AC1704" i="208"/>
  <c r="Y1704" i="208"/>
  <c r="AC1692" i="208"/>
  <c r="Y1692" i="208"/>
  <c r="AC1680" i="208"/>
  <c r="Y1680" i="208"/>
  <c r="AC1668" i="208"/>
  <c r="Y1668" i="208"/>
  <c r="AC1656" i="208"/>
  <c r="Y1656" i="208"/>
  <c r="AC1644" i="208"/>
  <c r="Y1644" i="208"/>
  <c r="AC1632" i="208"/>
  <c r="Y1632" i="208"/>
  <c r="AC1620" i="208"/>
  <c r="Y1620" i="208"/>
  <c r="AC1608" i="208"/>
  <c r="Y1608" i="208"/>
  <c r="AC1596" i="208"/>
  <c r="Y1596" i="208"/>
  <c r="AC1584" i="208"/>
  <c r="Y1584" i="208"/>
  <c r="AC1572" i="208"/>
  <c r="Y1572" i="208"/>
  <c r="AC1560" i="208"/>
  <c r="Y1560" i="208"/>
  <c r="AC1548" i="208"/>
  <c r="Y1548" i="208"/>
  <c r="AC1536" i="208"/>
  <c r="Y1536" i="208"/>
  <c r="AC1524" i="208"/>
  <c r="Y1524" i="208"/>
  <c r="AC1512" i="208"/>
  <c r="Y1512" i="208"/>
  <c r="AC1500" i="208"/>
  <c r="Y1500" i="208"/>
  <c r="AC1488" i="208"/>
  <c r="Y1488" i="208"/>
  <c r="AC1476" i="208"/>
  <c r="Y1476" i="208"/>
  <c r="AC1464" i="208"/>
  <c r="Y1464" i="208"/>
  <c r="AC1452" i="208"/>
  <c r="Y1452" i="208"/>
  <c r="AC1440" i="208"/>
  <c r="Y1440" i="208"/>
  <c r="AC1428" i="208"/>
  <c r="Y1428" i="208"/>
  <c r="AC1416" i="208"/>
  <c r="Y1416" i="208"/>
  <c r="AC1404" i="208"/>
  <c r="Y1404" i="208"/>
  <c r="AC1392" i="208"/>
  <c r="Y1392" i="208"/>
  <c r="AC1380" i="208"/>
  <c r="Y1380" i="208"/>
  <c r="AC1368" i="208"/>
  <c r="Y1368" i="208"/>
  <c r="AC1356" i="208"/>
  <c r="Y1356" i="208"/>
  <c r="AC1344" i="208"/>
  <c r="Y1344" i="208"/>
  <c r="AC1332" i="208"/>
  <c r="Y1332" i="208"/>
  <c r="AC1320" i="208"/>
  <c r="Y1320" i="208"/>
  <c r="AC1308" i="208"/>
  <c r="Y1308" i="208"/>
  <c r="AC1296" i="208"/>
  <c r="Y1296" i="208"/>
  <c r="AC1284" i="208"/>
  <c r="Y1284" i="208"/>
  <c r="AC1272" i="208"/>
  <c r="Y1272" i="208"/>
  <c r="AC1260" i="208"/>
  <c r="Y1260" i="208"/>
  <c r="AC1248" i="208"/>
  <c r="Y1248" i="208"/>
  <c r="AC1236" i="208"/>
  <c r="Y1236" i="208"/>
  <c r="AC1224" i="208"/>
  <c r="Y1224" i="208"/>
  <c r="AC1212" i="208"/>
  <c r="Y1212" i="208"/>
  <c r="AC1200" i="208"/>
  <c r="Y1200" i="208"/>
  <c r="AC1188" i="208"/>
  <c r="Y1188" i="208"/>
  <c r="AC1176" i="208"/>
  <c r="Y1176" i="208"/>
  <c r="AC1164" i="208"/>
  <c r="Y1164" i="208"/>
  <c r="AC1152" i="208"/>
  <c r="Y1152" i="208"/>
  <c r="AC1140" i="208"/>
  <c r="Y1140" i="208"/>
  <c r="AC1128" i="208"/>
  <c r="Y1128" i="208"/>
  <c r="AC1116" i="208"/>
  <c r="Y1116" i="208"/>
  <c r="AC1104" i="208"/>
  <c r="Y1104" i="208"/>
  <c r="AC1092" i="208"/>
  <c r="Y1092" i="208"/>
  <c r="AC1080" i="208"/>
  <c r="Y1080" i="208"/>
  <c r="AC1068" i="208"/>
  <c r="Y1068" i="208"/>
  <c r="AC1056" i="208"/>
  <c r="Y1056" i="208"/>
  <c r="AC1044" i="208"/>
  <c r="Y1044" i="208"/>
  <c r="AC1032" i="208"/>
  <c r="Y1032" i="208"/>
  <c r="AC1020" i="208"/>
  <c r="Y1020" i="208"/>
  <c r="AC1008" i="208"/>
  <c r="Y1008" i="208"/>
  <c r="AC996" i="208"/>
  <c r="Y996" i="208"/>
  <c r="AC984" i="208"/>
  <c r="Y984" i="208"/>
  <c r="AC972" i="208"/>
  <c r="Y972" i="208"/>
  <c r="AC960" i="208"/>
  <c r="Y960" i="208"/>
  <c r="AC948" i="208"/>
  <c r="Y948" i="208"/>
  <c r="AC936" i="208"/>
  <c r="Y936" i="208"/>
  <c r="AC924" i="208"/>
  <c r="Y924" i="208"/>
  <c r="AC912" i="208"/>
  <c r="Y912" i="208"/>
  <c r="AC900" i="208"/>
  <c r="Y900" i="208"/>
  <c r="AC888" i="208"/>
  <c r="Y888" i="208"/>
  <c r="AC876" i="208"/>
  <c r="Y876" i="208"/>
  <c r="AC864" i="208"/>
  <c r="Y864" i="208"/>
  <c r="AC852" i="208"/>
  <c r="Y852" i="208"/>
  <c r="AC840" i="208"/>
  <c r="Y840" i="208"/>
  <c r="AC828" i="208"/>
  <c r="Y828" i="208"/>
  <c r="AC816" i="208"/>
  <c r="Y816" i="208"/>
  <c r="AC804" i="208"/>
  <c r="Y804" i="208"/>
  <c r="AC792" i="208"/>
  <c r="Y792" i="208"/>
  <c r="AC780" i="208"/>
  <c r="Y780" i="208"/>
  <c r="AC768" i="208"/>
  <c r="Y768" i="208"/>
  <c r="AC756" i="208"/>
  <c r="Y756" i="208"/>
  <c r="AC744" i="208"/>
  <c r="Y744" i="208"/>
  <c r="AC732" i="208"/>
  <c r="Y732" i="208"/>
  <c r="AC720" i="208"/>
  <c r="Y720" i="208"/>
  <c r="AC708" i="208"/>
  <c r="Y708" i="208"/>
  <c r="AC696" i="208"/>
  <c r="Y696" i="208"/>
  <c r="AC684" i="208"/>
  <c r="Y684" i="208"/>
  <c r="AC672" i="208"/>
  <c r="Y672" i="208"/>
  <c r="AC660" i="208"/>
  <c r="Y660" i="208"/>
  <c r="AC648" i="208"/>
  <c r="Y648" i="208"/>
  <c r="AC636" i="208"/>
  <c r="Y636" i="208"/>
  <c r="AC624" i="208"/>
  <c r="Y624" i="208"/>
  <c r="AC612" i="208"/>
  <c r="Y612" i="208"/>
  <c r="AC600" i="208"/>
  <c r="Y600" i="208"/>
  <c r="AC588" i="208"/>
  <c r="Y588" i="208"/>
  <c r="AC576" i="208"/>
  <c r="Y576" i="208"/>
  <c r="AC564" i="208"/>
  <c r="Y564" i="208"/>
  <c r="AC552" i="208"/>
  <c r="Y552" i="208"/>
  <c r="AC540" i="208"/>
  <c r="Y540" i="208"/>
  <c r="AC528" i="208"/>
  <c r="Y528" i="208"/>
  <c r="AC516" i="208"/>
  <c r="Y516" i="208"/>
  <c r="AC504" i="208"/>
  <c r="Y504" i="208"/>
  <c r="AC492" i="208"/>
  <c r="Y492" i="208"/>
  <c r="AC480" i="208"/>
  <c r="Y480" i="208"/>
  <c r="AC468" i="208"/>
  <c r="Y468" i="208"/>
  <c r="AC456" i="208"/>
  <c r="Y456" i="208"/>
  <c r="AC444" i="208"/>
  <c r="Y444" i="208"/>
  <c r="AC432" i="208"/>
  <c r="Y432" i="208"/>
  <c r="AC420" i="208"/>
  <c r="Y420" i="208"/>
  <c r="AC408" i="208"/>
  <c r="Y408" i="208"/>
  <c r="AC396" i="208"/>
  <c r="Y396" i="208"/>
  <c r="AC384" i="208"/>
  <c r="Y384" i="208"/>
  <c r="AC372" i="208"/>
  <c r="Y372" i="208"/>
  <c r="AC360" i="208"/>
  <c r="Y360" i="208"/>
  <c r="AC348" i="208"/>
  <c r="Y348" i="208"/>
  <c r="AC336" i="208"/>
  <c r="Y336" i="208"/>
  <c r="AC324" i="208"/>
  <c r="Y324" i="208"/>
  <c r="AC312" i="208"/>
  <c r="Y312" i="208"/>
  <c r="AC2999" i="208"/>
  <c r="Y2999" i="208"/>
  <c r="AC2987" i="208"/>
  <c r="Y2987" i="208"/>
  <c r="AC2975" i="208"/>
  <c r="Y2975" i="208"/>
  <c r="AC2963" i="208"/>
  <c r="Y2963" i="208"/>
  <c r="AC2951" i="208"/>
  <c r="Y2951" i="208"/>
  <c r="AC2939" i="208"/>
  <c r="Y2939" i="208"/>
  <c r="AC2927" i="208"/>
  <c r="Y2927" i="208"/>
  <c r="AC2915" i="208"/>
  <c r="Y2915" i="208"/>
  <c r="AC2903" i="208"/>
  <c r="Y2903" i="208"/>
  <c r="AC2891" i="208"/>
  <c r="Y2891" i="208"/>
  <c r="AC2879" i="208"/>
  <c r="Y2879" i="208"/>
  <c r="AC2867" i="208"/>
  <c r="Y2867" i="208"/>
  <c r="AC2855" i="208"/>
  <c r="Y2855" i="208"/>
  <c r="AC2843" i="208"/>
  <c r="Y2843" i="208"/>
  <c r="AC2831" i="208"/>
  <c r="Y2831" i="208"/>
  <c r="AC2819" i="208"/>
  <c r="Y2819" i="208"/>
  <c r="AC2807" i="208"/>
  <c r="Y2807" i="208"/>
  <c r="AC2795" i="208"/>
  <c r="Y2795" i="208"/>
  <c r="AC2783" i="208"/>
  <c r="Y2783" i="208"/>
  <c r="AC2771" i="208"/>
  <c r="Y2771" i="208"/>
  <c r="AC2759" i="208"/>
  <c r="Y2759" i="208"/>
  <c r="AC2747" i="208"/>
  <c r="Y2747" i="208"/>
  <c r="AC2735" i="208"/>
  <c r="Y2735" i="208"/>
  <c r="AC2723" i="208"/>
  <c r="Y2723" i="208"/>
  <c r="AC2711" i="208"/>
  <c r="Y2711" i="208"/>
  <c r="AC2699" i="208"/>
  <c r="Y2699" i="208"/>
  <c r="AC2687" i="208"/>
  <c r="Y2687" i="208"/>
  <c r="AC2675" i="208"/>
  <c r="Y2675" i="208"/>
  <c r="AC2663" i="208"/>
  <c r="Y2663" i="208"/>
  <c r="AC2651" i="208"/>
  <c r="Y2651" i="208"/>
  <c r="AC2639" i="208"/>
  <c r="Y2639" i="208"/>
  <c r="AC2627" i="208"/>
  <c r="Y2627" i="208"/>
  <c r="AC2615" i="208"/>
  <c r="Y2615" i="208"/>
  <c r="AC2603" i="208"/>
  <c r="Y2603" i="208"/>
  <c r="AC2591" i="208"/>
  <c r="Y2591" i="208"/>
  <c r="AC2579" i="208"/>
  <c r="Y2579" i="208"/>
  <c r="AC2567" i="208"/>
  <c r="Y2567" i="208"/>
  <c r="AC2555" i="208"/>
  <c r="Y2555" i="208"/>
  <c r="AC2543" i="208"/>
  <c r="Y2543" i="208"/>
  <c r="AC2531" i="208"/>
  <c r="Y2531" i="208"/>
  <c r="AC2519" i="208"/>
  <c r="Y2519" i="208"/>
  <c r="AC2507" i="208"/>
  <c r="Y2507" i="208"/>
  <c r="AC2495" i="208"/>
  <c r="Y2495" i="208"/>
  <c r="AC2483" i="208"/>
  <c r="Y2483" i="208"/>
  <c r="AC2471" i="208"/>
  <c r="Y2471" i="208"/>
  <c r="AC2459" i="208"/>
  <c r="Y2459" i="208"/>
  <c r="AC2447" i="208"/>
  <c r="Y2447" i="208"/>
  <c r="AC2435" i="208"/>
  <c r="Y2435" i="208"/>
  <c r="AC2423" i="208"/>
  <c r="Y2423" i="208"/>
  <c r="AC2411" i="208"/>
  <c r="Y2411" i="208"/>
  <c r="AC2399" i="208"/>
  <c r="Y2399" i="208"/>
  <c r="AC2387" i="208"/>
  <c r="Y2387" i="208"/>
  <c r="AC2375" i="208"/>
  <c r="Y2375" i="208"/>
  <c r="AC2363" i="208"/>
  <c r="Y2363" i="208"/>
  <c r="AC2351" i="208"/>
  <c r="Y2351" i="208"/>
  <c r="AC2339" i="208"/>
  <c r="Y2339" i="208"/>
  <c r="AC2327" i="208"/>
  <c r="Y2327" i="208"/>
  <c r="AC2315" i="208"/>
  <c r="Y2315" i="208"/>
  <c r="AC2303" i="208"/>
  <c r="Y2303" i="208"/>
  <c r="AC2291" i="208"/>
  <c r="Y2291" i="208"/>
  <c r="AC2279" i="208"/>
  <c r="Y2279" i="208"/>
  <c r="AC2267" i="208"/>
  <c r="Y2267" i="208"/>
  <c r="AC2255" i="208"/>
  <c r="Y2255" i="208"/>
  <c r="AC2243" i="208"/>
  <c r="Y2243" i="208"/>
  <c r="AC2231" i="208"/>
  <c r="Y2231" i="208"/>
  <c r="AC2219" i="208"/>
  <c r="Y2219" i="208"/>
  <c r="AC2207" i="208"/>
  <c r="Y2207" i="208"/>
  <c r="AC2195" i="208"/>
  <c r="Y2195" i="208"/>
  <c r="AC2183" i="208"/>
  <c r="Y2183" i="208"/>
  <c r="AC2171" i="208"/>
  <c r="Y2171" i="208"/>
  <c r="AC2159" i="208"/>
  <c r="Y2159" i="208"/>
  <c r="AC2147" i="208"/>
  <c r="Y2147" i="208"/>
  <c r="AC2135" i="208"/>
  <c r="Y2135" i="208"/>
  <c r="AC2123" i="208"/>
  <c r="Y2123" i="208"/>
  <c r="AC2111" i="208"/>
  <c r="Y2111" i="208"/>
  <c r="AC2099" i="208"/>
  <c r="Y2099" i="208"/>
  <c r="AC2087" i="208"/>
  <c r="Y2087" i="208"/>
  <c r="AC2075" i="208"/>
  <c r="Y2075" i="208"/>
  <c r="AC2063" i="208"/>
  <c r="Y2063" i="208"/>
  <c r="AC2051" i="208"/>
  <c r="Y2051" i="208"/>
  <c r="AC2039" i="208"/>
  <c r="Y2039" i="208"/>
  <c r="AC2027" i="208"/>
  <c r="Y2027" i="208"/>
  <c r="AC2015" i="208"/>
  <c r="Y2015" i="208"/>
  <c r="AC2003" i="208"/>
  <c r="Y2003" i="208"/>
  <c r="AC1991" i="208"/>
  <c r="Y1991" i="208"/>
  <c r="AC1979" i="208"/>
  <c r="Y1979" i="208"/>
  <c r="AC1967" i="208"/>
  <c r="Y1967" i="208"/>
  <c r="AC1955" i="208"/>
  <c r="Y1955" i="208"/>
  <c r="AC1943" i="208"/>
  <c r="Y1943" i="208"/>
  <c r="AC1931" i="208"/>
  <c r="Y1931" i="208"/>
  <c r="AC1919" i="208"/>
  <c r="Y1919" i="208"/>
  <c r="AC1907" i="208"/>
  <c r="Y1907" i="208"/>
  <c r="AC1895" i="208"/>
  <c r="Y1895" i="208"/>
  <c r="AC1883" i="208"/>
  <c r="Y1883" i="208"/>
  <c r="AC1871" i="208"/>
  <c r="Y1871" i="208"/>
  <c r="AC1859" i="208"/>
  <c r="Y1859" i="208"/>
  <c r="AC1847" i="208"/>
  <c r="Y1847" i="208"/>
  <c r="AC1835" i="208"/>
  <c r="Y1835" i="208"/>
  <c r="AC1823" i="208"/>
  <c r="Y1823" i="208"/>
  <c r="AC1811" i="208"/>
  <c r="Y1811" i="208"/>
  <c r="AC1799" i="208"/>
  <c r="Y1799" i="208"/>
  <c r="AC1787" i="208"/>
  <c r="Y1787" i="208"/>
  <c r="AC1775" i="208"/>
  <c r="Y1775" i="208"/>
  <c r="AC1763" i="208"/>
  <c r="Y1763" i="208"/>
  <c r="AC1751" i="208"/>
  <c r="Y1751" i="208"/>
  <c r="AC1739" i="208"/>
  <c r="Y1739" i="208"/>
  <c r="AC1727" i="208"/>
  <c r="Y1727" i="208"/>
  <c r="AC1715" i="208"/>
  <c r="Y1715" i="208"/>
  <c r="AC1703" i="208"/>
  <c r="Y1703" i="208"/>
  <c r="AC1691" i="208"/>
  <c r="Y1691" i="208"/>
  <c r="AC1679" i="208"/>
  <c r="Y1679" i="208"/>
  <c r="AC1667" i="208"/>
  <c r="Y1667" i="208"/>
  <c r="AC1655" i="208"/>
  <c r="Y1655" i="208"/>
  <c r="AC1643" i="208"/>
  <c r="Y1643" i="208"/>
  <c r="AC1631" i="208"/>
  <c r="Y1631" i="208"/>
  <c r="AC1619" i="208"/>
  <c r="Y1619" i="208"/>
  <c r="AC1607" i="208"/>
  <c r="Y1607" i="208"/>
  <c r="AC1595" i="208"/>
  <c r="Y1595" i="208"/>
  <c r="AC1583" i="208"/>
  <c r="Y1583" i="208"/>
  <c r="AC1571" i="208"/>
  <c r="Y1571" i="208"/>
  <c r="AC1559" i="208"/>
  <c r="Y1559" i="208"/>
  <c r="AC1547" i="208"/>
  <c r="Y1547" i="208"/>
  <c r="AC1535" i="208"/>
  <c r="Y1535" i="208"/>
  <c r="AC1523" i="208"/>
  <c r="Y1523" i="208"/>
  <c r="AC1511" i="208"/>
  <c r="Y1511" i="208"/>
  <c r="AC1499" i="208"/>
  <c r="Y1499" i="208"/>
  <c r="AC1487" i="208"/>
  <c r="Y1487" i="208"/>
  <c r="AC1475" i="208"/>
  <c r="Y1475" i="208"/>
  <c r="AC1463" i="208"/>
  <c r="Y1463" i="208"/>
  <c r="AC1451" i="208"/>
  <c r="Y1451" i="208"/>
  <c r="AC1439" i="208"/>
  <c r="Y1439" i="208"/>
  <c r="AC1427" i="208"/>
  <c r="Y1427" i="208"/>
  <c r="AC1415" i="208"/>
  <c r="Y1415" i="208"/>
  <c r="AC1403" i="208"/>
  <c r="Y1403" i="208"/>
  <c r="AC1391" i="208"/>
  <c r="Y1391" i="208"/>
  <c r="AC1379" i="208"/>
  <c r="Y1379" i="208"/>
  <c r="AC1367" i="208"/>
  <c r="Y1367" i="208"/>
  <c r="AC1355" i="208"/>
  <c r="Y1355" i="208"/>
  <c r="AC1343" i="208"/>
  <c r="Y1343" i="208"/>
  <c r="AC1331" i="208"/>
  <c r="Y1331" i="208"/>
  <c r="AC1319" i="208"/>
  <c r="Y1319" i="208"/>
  <c r="AC1307" i="208"/>
  <c r="Y1307" i="208"/>
  <c r="AC1295" i="208"/>
  <c r="Y1295" i="208"/>
  <c r="AC1283" i="208"/>
  <c r="Y1283" i="208"/>
  <c r="AC1271" i="208"/>
  <c r="Y1271" i="208"/>
  <c r="AC1259" i="208"/>
  <c r="Y1259" i="208"/>
  <c r="AC1247" i="208"/>
  <c r="Y1247" i="208"/>
  <c r="AC1235" i="208"/>
  <c r="Y1235" i="208"/>
  <c r="AC1223" i="208"/>
  <c r="Y1223" i="208"/>
  <c r="AC1211" i="208"/>
  <c r="Y1211" i="208"/>
  <c r="AC1199" i="208"/>
  <c r="Y1199" i="208"/>
  <c r="AC1187" i="208"/>
  <c r="Y1187" i="208"/>
  <c r="AC1175" i="208"/>
  <c r="Y1175" i="208"/>
  <c r="AC1163" i="208"/>
  <c r="Y1163" i="208"/>
  <c r="AC1151" i="208"/>
  <c r="Y1151" i="208"/>
  <c r="AC1139" i="208"/>
  <c r="Y1139" i="208"/>
  <c r="AC1127" i="208"/>
  <c r="Y1127" i="208"/>
  <c r="AC1115" i="208"/>
  <c r="Y1115" i="208"/>
  <c r="AC1103" i="208"/>
  <c r="Y1103" i="208"/>
  <c r="AC1091" i="208"/>
  <c r="Y1091" i="208"/>
  <c r="AC1079" i="208"/>
  <c r="Y1079" i="208"/>
  <c r="AC1067" i="208"/>
  <c r="Y1067" i="208"/>
  <c r="AC1055" i="208"/>
  <c r="Y1055" i="208"/>
  <c r="AC1043" i="208"/>
  <c r="Y1043" i="208"/>
  <c r="AC1031" i="208"/>
  <c r="Y1031" i="208"/>
  <c r="AC1019" i="208"/>
  <c r="Y1019" i="208"/>
  <c r="AC1007" i="208"/>
  <c r="Y1007" i="208"/>
  <c r="AC995" i="208"/>
  <c r="Y995" i="208"/>
  <c r="AC983" i="208"/>
  <c r="Y983" i="208"/>
  <c r="AC971" i="208"/>
  <c r="Y971" i="208"/>
  <c r="AC959" i="208"/>
  <c r="Y959" i="208"/>
  <c r="AC947" i="208"/>
  <c r="Y947" i="208"/>
  <c r="AC935" i="208"/>
  <c r="Y935" i="208"/>
  <c r="AC923" i="208"/>
  <c r="Y923" i="208"/>
  <c r="AC911" i="208"/>
  <c r="Y911" i="208"/>
  <c r="AC899" i="208"/>
  <c r="Y899" i="208"/>
  <c r="AC887" i="208"/>
  <c r="Y887" i="208"/>
  <c r="AC875" i="208"/>
  <c r="Y875" i="208"/>
  <c r="AC863" i="208"/>
  <c r="Y863" i="208"/>
  <c r="AC851" i="208"/>
  <c r="Y851" i="208"/>
  <c r="AC839" i="208"/>
  <c r="Y839" i="208"/>
  <c r="AC827" i="208"/>
  <c r="Y827" i="208"/>
  <c r="AC815" i="208"/>
  <c r="Y815" i="208"/>
  <c r="AC803" i="208"/>
  <c r="Y803" i="208"/>
  <c r="AC791" i="208"/>
  <c r="Y791" i="208"/>
  <c r="AC779" i="208"/>
  <c r="Y779" i="208"/>
  <c r="AC767" i="208"/>
  <c r="Y767" i="208"/>
  <c r="AC755" i="208"/>
  <c r="Y755" i="208"/>
  <c r="AC743" i="208"/>
  <c r="Y743" i="208"/>
  <c r="AC731" i="208"/>
  <c r="Y731" i="208"/>
  <c r="AC719" i="208"/>
  <c r="Y719" i="208"/>
  <c r="AC707" i="208"/>
  <c r="Y707" i="208"/>
  <c r="AC695" i="208"/>
  <c r="Y695" i="208"/>
  <c r="AC683" i="208"/>
  <c r="Y683" i="208"/>
  <c r="AC671" i="208"/>
  <c r="Y671" i="208"/>
  <c r="AC659" i="208"/>
  <c r="Y659" i="208"/>
  <c r="AC647" i="208"/>
  <c r="Y647" i="208"/>
  <c r="AC635" i="208"/>
  <c r="Y635" i="208"/>
  <c r="AC623" i="208"/>
  <c r="Y623" i="208"/>
  <c r="AC611" i="208"/>
  <c r="Y611" i="208"/>
  <c r="AC599" i="208"/>
  <c r="Y599" i="208"/>
  <c r="AC587" i="208"/>
  <c r="Y587" i="208"/>
  <c r="AC575" i="208"/>
  <c r="Y575" i="208"/>
  <c r="AC563" i="208"/>
  <c r="Y563" i="208"/>
  <c r="AC551" i="208"/>
  <c r="Y551" i="208"/>
  <c r="AC539" i="208"/>
  <c r="Y539" i="208"/>
  <c r="AC527" i="208"/>
  <c r="Y527" i="208"/>
  <c r="AC515" i="208"/>
  <c r="Y515" i="208"/>
  <c r="AC503" i="208"/>
  <c r="Y503" i="208"/>
  <c r="AC491" i="208"/>
  <c r="Y491" i="208"/>
  <c r="AC479" i="208"/>
  <c r="Y479" i="208"/>
  <c r="AC467" i="208"/>
  <c r="Y467" i="208"/>
  <c r="AC455" i="208"/>
  <c r="Y455" i="208"/>
  <c r="AC443" i="208"/>
  <c r="Y443" i="208"/>
  <c r="AC431" i="208"/>
  <c r="Y431" i="208"/>
  <c r="AC419" i="208"/>
  <c r="Y419" i="208"/>
  <c r="AC407" i="208"/>
  <c r="Y407" i="208"/>
  <c r="AC395" i="208"/>
  <c r="Y395" i="208"/>
  <c r="AC383" i="208"/>
  <c r="Y383" i="208"/>
  <c r="AC371" i="208"/>
  <c r="Y371" i="208"/>
  <c r="AC359" i="208"/>
  <c r="Y359" i="208"/>
  <c r="AC347" i="208"/>
  <c r="Y347" i="208"/>
  <c r="AC335" i="208"/>
  <c r="Y335" i="208"/>
  <c r="AC323" i="208"/>
  <c r="Y323" i="208"/>
  <c r="AC311" i="208"/>
  <c r="Y311" i="208"/>
  <c r="AC910" i="208"/>
  <c r="Y910" i="208"/>
  <c r="AC898" i="208"/>
  <c r="Y898" i="208"/>
  <c r="AC886" i="208"/>
  <c r="Y886" i="208"/>
  <c r="AC874" i="208"/>
  <c r="Y874" i="208"/>
  <c r="AC862" i="208"/>
  <c r="Y862" i="208"/>
  <c r="AC850" i="208"/>
  <c r="Y850" i="208"/>
  <c r="AC838" i="208"/>
  <c r="Y838" i="208"/>
  <c r="AC826" i="208"/>
  <c r="Y826" i="208"/>
  <c r="AC814" i="208"/>
  <c r="Y814" i="208"/>
  <c r="AC802" i="208"/>
  <c r="Y802" i="208"/>
  <c r="AC790" i="208"/>
  <c r="Y790" i="208"/>
  <c r="AC778" i="208"/>
  <c r="Y778" i="208"/>
  <c r="AC766" i="208"/>
  <c r="Y766" i="208"/>
  <c r="AC754" i="208"/>
  <c r="Y754" i="208"/>
  <c r="AC742" i="208"/>
  <c r="Y742" i="208"/>
  <c r="AC730" i="208"/>
  <c r="Y730" i="208"/>
  <c r="AC718" i="208"/>
  <c r="Y718" i="208"/>
  <c r="AC706" i="208"/>
  <c r="Y706" i="208"/>
  <c r="AC694" i="208"/>
  <c r="Y694" i="208"/>
  <c r="AC682" i="208"/>
  <c r="Y682" i="208"/>
  <c r="AC670" i="208"/>
  <c r="Y670" i="208"/>
  <c r="AC658" i="208"/>
  <c r="Y658" i="208"/>
  <c r="AC646" i="208"/>
  <c r="Y646" i="208"/>
  <c r="AC634" i="208"/>
  <c r="Y634" i="208"/>
  <c r="AC622" i="208"/>
  <c r="Y622" i="208"/>
  <c r="AC610" i="208"/>
  <c r="Y610" i="208"/>
  <c r="AC598" i="208"/>
  <c r="Y598" i="208"/>
  <c r="AC586" i="208"/>
  <c r="Y586" i="208"/>
  <c r="AC574" i="208"/>
  <c r="Y574" i="208"/>
  <c r="AC562" i="208"/>
  <c r="Y562" i="208"/>
  <c r="AC550" i="208"/>
  <c r="Y550" i="208"/>
  <c r="AC538" i="208"/>
  <c r="Y538" i="208"/>
  <c r="AC526" i="208"/>
  <c r="Y526" i="208"/>
  <c r="AC514" i="208"/>
  <c r="Y514" i="208"/>
  <c r="AC502" i="208"/>
  <c r="Y502" i="208"/>
  <c r="AC490" i="208"/>
  <c r="Y490" i="208"/>
  <c r="AC478" i="208"/>
  <c r="Y478" i="208"/>
  <c r="AC466" i="208"/>
  <c r="Y466" i="208"/>
  <c r="AC454" i="208"/>
  <c r="Y454" i="208"/>
  <c r="AC442" i="208"/>
  <c r="Y442" i="208"/>
  <c r="AC430" i="208"/>
  <c r="Y430" i="208"/>
  <c r="AC418" i="208"/>
  <c r="Y418" i="208"/>
  <c r="AC406" i="208"/>
  <c r="Y406" i="208"/>
  <c r="AC394" i="208"/>
  <c r="Y394" i="208"/>
  <c r="AC382" i="208"/>
  <c r="Y382" i="208"/>
  <c r="AC370" i="208"/>
  <c r="Y370" i="208"/>
  <c r="AC358" i="208"/>
  <c r="Y358" i="208"/>
  <c r="AC346" i="208"/>
  <c r="Y346" i="208"/>
  <c r="AC334" i="208"/>
  <c r="Y334" i="208"/>
  <c r="AC322" i="208"/>
  <c r="Y322" i="208"/>
  <c r="AC310" i="208"/>
  <c r="Y310" i="208"/>
  <c r="AC2997" i="208"/>
  <c r="Y2997" i="208"/>
  <c r="AC2985" i="208"/>
  <c r="Y2985" i="208"/>
  <c r="AC2973" i="208"/>
  <c r="Y2973" i="208"/>
  <c r="AC2961" i="208"/>
  <c r="Y2961" i="208"/>
  <c r="AC2949" i="208"/>
  <c r="Y2949" i="208"/>
  <c r="AC2937" i="208"/>
  <c r="Y2937" i="208"/>
  <c r="AC2925" i="208"/>
  <c r="Y2925" i="208"/>
  <c r="AC2913" i="208"/>
  <c r="Y2913" i="208"/>
  <c r="AC2901" i="208"/>
  <c r="Y2901" i="208"/>
  <c r="AC2889" i="208"/>
  <c r="Y2889" i="208"/>
  <c r="AC2877" i="208"/>
  <c r="Y2877" i="208"/>
  <c r="AC2865" i="208"/>
  <c r="Y2865" i="208"/>
  <c r="AC2853" i="208"/>
  <c r="Y2853" i="208"/>
  <c r="AC2841" i="208"/>
  <c r="Y2841" i="208"/>
  <c r="AC2829" i="208"/>
  <c r="Y2829" i="208"/>
  <c r="AC2817" i="208"/>
  <c r="Y2817" i="208"/>
  <c r="AC2805" i="208"/>
  <c r="Y2805" i="208"/>
  <c r="AC2793" i="208"/>
  <c r="Y2793" i="208"/>
  <c r="AC2781" i="208"/>
  <c r="Y2781" i="208"/>
  <c r="AC2769" i="208"/>
  <c r="Y2769" i="208"/>
  <c r="AC2757" i="208"/>
  <c r="Y2757" i="208"/>
  <c r="AC2745" i="208"/>
  <c r="Y2745" i="208"/>
  <c r="AC2733" i="208"/>
  <c r="Y2733" i="208"/>
  <c r="AC2721" i="208"/>
  <c r="Y2721" i="208"/>
  <c r="AC2709" i="208"/>
  <c r="Y2709" i="208"/>
  <c r="AC2697" i="208"/>
  <c r="Y2697" i="208"/>
  <c r="AC2685" i="208"/>
  <c r="Y2685" i="208"/>
  <c r="AC2673" i="208"/>
  <c r="Y2673" i="208"/>
  <c r="AC2661" i="208"/>
  <c r="Y2661" i="208"/>
  <c r="AC2649" i="208"/>
  <c r="Y2649" i="208"/>
  <c r="AC2637" i="208"/>
  <c r="Y2637" i="208"/>
  <c r="AC2625" i="208"/>
  <c r="Y2625" i="208"/>
  <c r="AC2613" i="208"/>
  <c r="Y2613" i="208"/>
  <c r="AC2601" i="208"/>
  <c r="Y2601" i="208"/>
  <c r="AC2589" i="208"/>
  <c r="Y2589" i="208"/>
  <c r="AC2577" i="208"/>
  <c r="Y2577" i="208"/>
  <c r="AC2565" i="208"/>
  <c r="Y2565" i="208"/>
  <c r="AC2553" i="208"/>
  <c r="Y2553" i="208"/>
  <c r="AC2541" i="208"/>
  <c r="Y2541" i="208"/>
  <c r="AC2529" i="208"/>
  <c r="Y2529" i="208"/>
  <c r="AC2517" i="208"/>
  <c r="Y2517" i="208"/>
  <c r="AC2505" i="208"/>
  <c r="Y2505" i="208"/>
  <c r="AC2493" i="208"/>
  <c r="Y2493" i="208"/>
  <c r="AC2481" i="208"/>
  <c r="Y2481" i="208"/>
  <c r="AC2469" i="208"/>
  <c r="Y2469" i="208"/>
  <c r="AC2457" i="208"/>
  <c r="Y2457" i="208"/>
  <c r="AC2445" i="208"/>
  <c r="Y2445" i="208"/>
  <c r="AC2433" i="208"/>
  <c r="Y2433" i="208"/>
  <c r="AC2421" i="208"/>
  <c r="Y2421" i="208"/>
  <c r="AC2409" i="208"/>
  <c r="Y2409" i="208"/>
  <c r="AC2397" i="208"/>
  <c r="Y2397" i="208"/>
  <c r="AC2385" i="208"/>
  <c r="Y2385" i="208"/>
  <c r="AC2373" i="208"/>
  <c r="Y2373" i="208"/>
  <c r="AC2361" i="208"/>
  <c r="Y2361" i="208"/>
  <c r="AC2349" i="208"/>
  <c r="Y2349" i="208"/>
  <c r="AC2337" i="208"/>
  <c r="Y2337" i="208"/>
  <c r="AC2325" i="208"/>
  <c r="Y2325" i="208"/>
  <c r="AC2313" i="208"/>
  <c r="Y2313" i="208"/>
  <c r="AC2301" i="208"/>
  <c r="Y2301" i="208"/>
  <c r="AC2289" i="208"/>
  <c r="Y2289" i="208"/>
  <c r="AC2277" i="208"/>
  <c r="Y2277" i="208"/>
  <c r="AC2265" i="208"/>
  <c r="Y2265" i="208"/>
  <c r="AC2253" i="208"/>
  <c r="Y2253" i="208"/>
  <c r="AC2241" i="208"/>
  <c r="Y2241" i="208"/>
  <c r="AC2229" i="208"/>
  <c r="Y2229" i="208"/>
  <c r="AC2217" i="208"/>
  <c r="Y2217" i="208"/>
  <c r="AC2205" i="208"/>
  <c r="Y2205" i="208"/>
  <c r="AC2193" i="208"/>
  <c r="Y2193" i="208"/>
  <c r="AC2181" i="208"/>
  <c r="Y2181" i="208"/>
  <c r="AC2169" i="208"/>
  <c r="Y2169" i="208"/>
  <c r="AC2157" i="208"/>
  <c r="Y2157" i="208"/>
  <c r="AC2145" i="208"/>
  <c r="Y2145" i="208"/>
  <c r="AC2133" i="208"/>
  <c r="Y2133" i="208"/>
  <c r="AC2121" i="208"/>
  <c r="Y2121" i="208"/>
  <c r="AC2109" i="208"/>
  <c r="Y2109" i="208"/>
  <c r="AC2097" i="208"/>
  <c r="Y2097" i="208"/>
  <c r="AC2085" i="208"/>
  <c r="Y2085" i="208"/>
  <c r="AC2073" i="208"/>
  <c r="Y2073" i="208"/>
  <c r="AC2061" i="208"/>
  <c r="Y2061" i="208"/>
  <c r="AC2049" i="208"/>
  <c r="Y2049" i="208"/>
  <c r="AC2037" i="208"/>
  <c r="Y2037" i="208"/>
  <c r="AC2025" i="208"/>
  <c r="Y2025" i="208"/>
  <c r="AC2013" i="208"/>
  <c r="Y2013" i="208"/>
  <c r="AC2001" i="208"/>
  <c r="Y2001" i="208"/>
  <c r="AC1989" i="208"/>
  <c r="Y1989" i="208"/>
  <c r="AC1977" i="208"/>
  <c r="Y1977" i="208"/>
  <c r="AC1965" i="208"/>
  <c r="Y1965" i="208"/>
  <c r="AC1953" i="208"/>
  <c r="Y1953" i="208"/>
  <c r="AC1941" i="208"/>
  <c r="Y1941" i="208"/>
  <c r="AC1929" i="208"/>
  <c r="Y1929" i="208"/>
  <c r="AC1917" i="208"/>
  <c r="Y1917" i="208"/>
  <c r="AC1905" i="208"/>
  <c r="Y1905" i="208"/>
  <c r="AC1893" i="208"/>
  <c r="Y1893" i="208"/>
  <c r="AC1881" i="208"/>
  <c r="Y1881" i="208"/>
  <c r="AC1869" i="208"/>
  <c r="Y1869" i="208"/>
  <c r="AC1857" i="208"/>
  <c r="Y1857" i="208"/>
  <c r="AC1845" i="208"/>
  <c r="Y1845" i="208"/>
  <c r="AC1833" i="208"/>
  <c r="Y1833" i="208"/>
  <c r="AC1821" i="208"/>
  <c r="Y1821" i="208"/>
  <c r="AC1809" i="208"/>
  <c r="Y1809" i="208"/>
  <c r="AC1797" i="208"/>
  <c r="Y1797" i="208"/>
  <c r="AC1785" i="208"/>
  <c r="Y1785" i="208"/>
  <c r="AC1773" i="208"/>
  <c r="Y1773" i="208"/>
  <c r="AC1761" i="208"/>
  <c r="Y1761" i="208"/>
  <c r="AC1749" i="208"/>
  <c r="Y1749" i="208"/>
  <c r="AC1737" i="208"/>
  <c r="Y1737" i="208"/>
  <c r="AC1725" i="208"/>
  <c r="Y1725" i="208"/>
  <c r="AC1713" i="208"/>
  <c r="Y1713" i="208"/>
  <c r="AC1701" i="208"/>
  <c r="Y1701" i="208"/>
  <c r="AC1689" i="208"/>
  <c r="Y1689" i="208"/>
  <c r="AC1677" i="208"/>
  <c r="Y1677" i="208"/>
  <c r="AC1665" i="208"/>
  <c r="Y1665" i="208"/>
  <c r="AC1653" i="208"/>
  <c r="Y1653" i="208"/>
  <c r="AC1641" i="208"/>
  <c r="Y1641" i="208"/>
  <c r="AC1629" i="208"/>
  <c r="Y1629" i="208"/>
  <c r="AC1617" i="208"/>
  <c r="Y1617" i="208"/>
  <c r="AC1605" i="208"/>
  <c r="Y1605" i="208"/>
  <c r="AC1593" i="208"/>
  <c r="Y1593" i="208"/>
  <c r="AC1581" i="208"/>
  <c r="Y1581" i="208"/>
  <c r="AC1569" i="208"/>
  <c r="Y1569" i="208"/>
  <c r="AC1557" i="208"/>
  <c r="Y1557" i="208"/>
  <c r="AC1545" i="208"/>
  <c r="Y1545" i="208"/>
  <c r="AC1533" i="208"/>
  <c r="Y1533" i="208"/>
  <c r="AC1521" i="208"/>
  <c r="Y1521" i="208"/>
  <c r="AC1509" i="208"/>
  <c r="Y1509" i="208"/>
  <c r="AC1497" i="208"/>
  <c r="Y1497" i="208"/>
  <c r="AC1485" i="208"/>
  <c r="Y1485" i="208"/>
  <c r="AC1473" i="208"/>
  <c r="Y1473" i="208"/>
  <c r="AC1461" i="208"/>
  <c r="Y1461" i="208"/>
  <c r="AC1449" i="208"/>
  <c r="Y1449" i="208"/>
  <c r="AC1437" i="208"/>
  <c r="Y1437" i="208"/>
  <c r="AC1425" i="208"/>
  <c r="Y1425" i="208"/>
  <c r="AC1413" i="208"/>
  <c r="Y1413" i="208"/>
  <c r="AC1401" i="208"/>
  <c r="Y1401" i="208"/>
  <c r="AC1389" i="208"/>
  <c r="Y1389" i="208"/>
  <c r="AC1377" i="208"/>
  <c r="Y1377" i="208"/>
  <c r="AC1365" i="208"/>
  <c r="Y1365" i="208"/>
  <c r="AC1353" i="208"/>
  <c r="Y1353" i="208"/>
  <c r="AC1341" i="208"/>
  <c r="Y1341" i="208"/>
  <c r="AC1329" i="208"/>
  <c r="Y1329" i="208"/>
  <c r="AC1317" i="208"/>
  <c r="Y1317" i="208"/>
  <c r="AC1305" i="208"/>
  <c r="Y1305" i="208"/>
  <c r="AC1293" i="208"/>
  <c r="Y1293" i="208"/>
  <c r="AC1281" i="208"/>
  <c r="Y1281" i="208"/>
  <c r="AC1269" i="208"/>
  <c r="Y1269" i="208"/>
  <c r="AC1257" i="208"/>
  <c r="Y1257" i="208"/>
  <c r="AC1245" i="208"/>
  <c r="Y1245" i="208"/>
  <c r="AC1233" i="208"/>
  <c r="Y1233" i="208"/>
  <c r="AC1221" i="208"/>
  <c r="Y1221" i="208"/>
  <c r="AC1209" i="208"/>
  <c r="Y1209" i="208"/>
  <c r="AC1197" i="208"/>
  <c r="Y1197" i="208"/>
  <c r="AC1185" i="208"/>
  <c r="Y1185" i="208"/>
  <c r="AC1173" i="208"/>
  <c r="Y1173" i="208"/>
  <c r="AC1161" i="208"/>
  <c r="Y1161" i="208"/>
  <c r="AC1149" i="208"/>
  <c r="Y1149" i="208"/>
  <c r="AC1137" i="208"/>
  <c r="Y1137" i="208"/>
  <c r="AC1125" i="208"/>
  <c r="Y1125" i="208"/>
  <c r="AC1113" i="208"/>
  <c r="Y1113" i="208"/>
  <c r="AC1101" i="208"/>
  <c r="Y1101" i="208"/>
  <c r="AC1089" i="208"/>
  <c r="Y1089" i="208"/>
  <c r="AC1077" i="208"/>
  <c r="Y1077" i="208"/>
  <c r="AC1065" i="208"/>
  <c r="Y1065" i="208"/>
  <c r="AC1053" i="208"/>
  <c r="Y1053" i="208"/>
  <c r="AC1041" i="208"/>
  <c r="Y1041" i="208"/>
  <c r="AC1029" i="208"/>
  <c r="Y1029" i="208"/>
  <c r="AC1017" i="208"/>
  <c r="Y1017" i="208"/>
  <c r="AC1005" i="208"/>
  <c r="Y1005" i="208"/>
  <c r="AC993" i="208"/>
  <c r="Y993" i="208"/>
  <c r="AC981" i="208"/>
  <c r="Y981" i="208"/>
  <c r="AC969" i="208"/>
  <c r="Y969" i="208"/>
  <c r="AC957" i="208"/>
  <c r="Y957" i="208"/>
  <c r="AC945" i="208"/>
  <c r="Y945" i="208"/>
  <c r="AC933" i="208"/>
  <c r="Y933" i="208"/>
  <c r="AC921" i="208"/>
  <c r="Y921" i="208"/>
  <c r="AC909" i="208"/>
  <c r="Y909" i="208"/>
  <c r="AC897" i="208"/>
  <c r="Y897" i="208"/>
  <c r="AC885" i="208"/>
  <c r="Y885" i="208"/>
  <c r="AC873" i="208"/>
  <c r="Y873" i="208"/>
  <c r="AC861" i="208"/>
  <c r="Y861" i="208"/>
  <c r="AC849" i="208"/>
  <c r="Y849" i="208"/>
  <c r="AC837" i="208"/>
  <c r="Y837" i="208"/>
  <c r="AC825" i="208"/>
  <c r="Y825" i="208"/>
  <c r="AC813" i="208"/>
  <c r="Y813" i="208"/>
  <c r="AC801" i="208"/>
  <c r="Y801" i="208"/>
  <c r="AC789" i="208"/>
  <c r="Y789" i="208"/>
  <c r="AC777" i="208"/>
  <c r="Y777" i="208"/>
  <c r="AC765" i="208"/>
  <c r="Y765" i="208"/>
  <c r="AC753" i="208"/>
  <c r="Y753" i="208"/>
  <c r="AC741" i="208"/>
  <c r="Y741" i="208"/>
  <c r="AC729" i="208"/>
  <c r="Y729" i="208"/>
  <c r="AC717" i="208"/>
  <c r="Y717" i="208"/>
  <c r="AC705" i="208"/>
  <c r="Y705" i="208"/>
  <c r="AC693" i="208"/>
  <c r="Y693" i="208"/>
  <c r="AC681" i="208"/>
  <c r="Y681" i="208"/>
  <c r="AC669" i="208"/>
  <c r="Y669" i="208"/>
  <c r="AC657" i="208"/>
  <c r="Y657" i="208"/>
  <c r="AC645" i="208"/>
  <c r="Y645" i="208"/>
  <c r="AC633" i="208"/>
  <c r="Y633" i="208"/>
  <c r="AC621" i="208"/>
  <c r="Y621" i="208"/>
  <c r="AC609" i="208"/>
  <c r="Y609" i="208"/>
  <c r="AC597" i="208"/>
  <c r="Y597" i="208"/>
  <c r="AC585" i="208"/>
  <c r="Y585" i="208"/>
  <c r="AC573" i="208"/>
  <c r="Y573" i="208"/>
  <c r="AC561" i="208"/>
  <c r="Y561" i="208"/>
  <c r="AC549" i="208"/>
  <c r="Y549" i="208"/>
  <c r="AC537" i="208"/>
  <c r="Y537" i="208"/>
  <c r="AC525" i="208"/>
  <c r="Y525" i="208"/>
  <c r="AC513" i="208"/>
  <c r="Y513" i="208"/>
  <c r="AC501" i="208"/>
  <c r="Y501" i="208"/>
  <c r="AC489" i="208"/>
  <c r="Y489" i="208"/>
  <c r="AC477" i="208"/>
  <c r="Y477" i="208"/>
  <c r="AC465" i="208"/>
  <c r="Y465" i="208"/>
  <c r="AC453" i="208"/>
  <c r="Y453" i="208"/>
  <c r="AC441" i="208"/>
  <c r="Y441" i="208"/>
  <c r="AC429" i="208"/>
  <c r="Y429" i="208"/>
  <c r="AC417" i="208"/>
  <c r="Y417" i="208"/>
  <c r="AC405" i="208"/>
  <c r="Y405" i="208"/>
  <c r="AC393" i="208"/>
  <c r="Y393" i="208"/>
  <c r="AC381" i="208"/>
  <c r="Y381" i="208"/>
  <c r="AC369" i="208"/>
  <c r="Y369" i="208"/>
  <c r="AC357" i="208"/>
  <c r="Y357" i="208"/>
  <c r="AC345" i="208"/>
  <c r="Y345" i="208"/>
  <c r="AC333" i="208"/>
  <c r="Y333" i="208"/>
  <c r="AC321" i="208"/>
  <c r="Y321" i="208"/>
  <c r="AC309" i="208"/>
  <c r="Y309" i="208"/>
  <c r="AC2996" i="208"/>
  <c r="Y2996" i="208"/>
  <c r="AC2984" i="208"/>
  <c r="Y2984" i="208"/>
  <c r="AC2972" i="208"/>
  <c r="Y2972" i="208"/>
  <c r="AC2960" i="208"/>
  <c r="Y2960" i="208"/>
  <c r="AC2948" i="208"/>
  <c r="Y2948" i="208"/>
  <c r="AC2936" i="208"/>
  <c r="Y2936" i="208"/>
  <c r="AC2924" i="208"/>
  <c r="Y2924" i="208"/>
  <c r="AC2912" i="208"/>
  <c r="Y2912" i="208"/>
  <c r="AC2900" i="208"/>
  <c r="Y2900" i="208"/>
  <c r="AC2888" i="208"/>
  <c r="Y2888" i="208"/>
  <c r="AC2876" i="208"/>
  <c r="Y2876" i="208"/>
  <c r="AC2864" i="208"/>
  <c r="Y2864" i="208"/>
  <c r="AC2852" i="208"/>
  <c r="Y2852" i="208"/>
  <c r="AC2840" i="208"/>
  <c r="Y2840" i="208"/>
  <c r="AC2828" i="208"/>
  <c r="Y2828" i="208"/>
  <c r="AC2816" i="208"/>
  <c r="Y2816" i="208"/>
  <c r="AC2804" i="208"/>
  <c r="Y2804" i="208"/>
  <c r="AC2792" i="208"/>
  <c r="Y2792" i="208"/>
  <c r="AC2780" i="208"/>
  <c r="Y2780" i="208"/>
  <c r="AC2768" i="208"/>
  <c r="Y2768" i="208"/>
  <c r="AC2756" i="208"/>
  <c r="Y2756" i="208"/>
  <c r="AC2744" i="208"/>
  <c r="Y2744" i="208"/>
  <c r="AC2732" i="208"/>
  <c r="Y2732" i="208"/>
  <c r="AC2720" i="208"/>
  <c r="Y2720" i="208"/>
  <c r="AC2708" i="208"/>
  <c r="Y2708" i="208"/>
  <c r="AC2696" i="208"/>
  <c r="Y2696" i="208"/>
  <c r="AC2684" i="208"/>
  <c r="Y2684" i="208"/>
  <c r="AC2672" i="208"/>
  <c r="Y2672" i="208"/>
  <c r="AC2660" i="208"/>
  <c r="Y2660" i="208"/>
  <c r="AC2648" i="208"/>
  <c r="Y2648" i="208"/>
  <c r="AC2636" i="208"/>
  <c r="Y2636" i="208"/>
  <c r="AC2624" i="208"/>
  <c r="Y2624" i="208"/>
  <c r="AC2612" i="208"/>
  <c r="Y2612" i="208"/>
  <c r="AC2600" i="208"/>
  <c r="Y2600" i="208"/>
  <c r="AC2588" i="208"/>
  <c r="Y2588" i="208"/>
  <c r="AC2576" i="208"/>
  <c r="Y2576" i="208"/>
  <c r="AC2564" i="208"/>
  <c r="Y2564" i="208"/>
  <c r="AC2552" i="208"/>
  <c r="Y2552" i="208"/>
  <c r="AC2540" i="208"/>
  <c r="Y2540" i="208"/>
  <c r="AC2528" i="208"/>
  <c r="Y2528" i="208"/>
  <c r="AC2516" i="208"/>
  <c r="Y2516" i="208"/>
  <c r="AC2504" i="208"/>
  <c r="Y2504" i="208"/>
  <c r="AC2492" i="208"/>
  <c r="Y2492" i="208"/>
  <c r="AC2480" i="208"/>
  <c r="Y2480" i="208"/>
  <c r="AC2468" i="208"/>
  <c r="Y2468" i="208"/>
  <c r="AC2456" i="208"/>
  <c r="Y2456" i="208"/>
  <c r="AC2444" i="208"/>
  <c r="Y2444" i="208"/>
  <c r="AC2432" i="208"/>
  <c r="Y2432" i="208"/>
  <c r="AC2420" i="208"/>
  <c r="Y2420" i="208"/>
  <c r="AC2408" i="208"/>
  <c r="Y2408" i="208"/>
  <c r="AC2396" i="208"/>
  <c r="Y2396" i="208"/>
  <c r="AC2384" i="208"/>
  <c r="Y2384" i="208"/>
  <c r="AC2372" i="208"/>
  <c r="Y2372" i="208"/>
  <c r="AC2360" i="208"/>
  <c r="Y2360" i="208"/>
  <c r="AC2348" i="208"/>
  <c r="Y2348" i="208"/>
  <c r="AC2336" i="208"/>
  <c r="Y2336" i="208"/>
  <c r="AC2324" i="208"/>
  <c r="Y2324" i="208"/>
  <c r="AC2312" i="208"/>
  <c r="Y2312" i="208"/>
  <c r="AC2300" i="208"/>
  <c r="Y2300" i="208"/>
  <c r="AC2288" i="208"/>
  <c r="Y2288" i="208"/>
  <c r="AC2276" i="208"/>
  <c r="Y2276" i="208"/>
  <c r="AC2264" i="208"/>
  <c r="Y2264" i="208"/>
  <c r="AC2252" i="208"/>
  <c r="Y2252" i="208"/>
  <c r="AC2240" i="208"/>
  <c r="Y2240" i="208"/>
  <c r="AC2228" i="208"/>
  <c r="Y2228" i="208"/>
  <c r="AC2216" i="208"/>
  <c r="Y2216" i="208"/>
  <c r="AC2204" i="208"/>
  <c r="Y2204" i="208"/>
  <c r="AC2192" i="208"/>
  <c r="Y2192" i="208"/>
  <c r="AC2180" i="208"/>
  <c r="Y2180" i="208"/>
  <c r="AC2168" i="208"/>
  <c r="Y2168" i="208"/>
  <c r="AC2156" i="208"/>
  <c r="Y2156" i="208"/>
  <c r="AC2144" i="208"/>
  <c r="Y2144" i="208"/>
  <c r="AC2132" i="208"/>
  <c r="Y2132" i="208"/>
  <c r="AC2120" i="208"/>
  <c r="Y2120" i="208"/>
  <c r="AC2108" i="208"/>
  <c r="Y2108" i="208"/>
  <c r="AC2096" i="208"/>
  <c r="Y2096" i="208"/>
  <c r="AC2084" i="208"/>
  <c r="Y2084" i="208"/>
  <c r="AC2072" i="208"/>
  <c r="Y2072" i="208"/>
  <c r="AC2060" i="208"/>
  <c r="Y2060" i="208"/>
  <c r="AC2048" i="208"/>
  <c r="Y2048" i="208"/>
  <c r="AC2036" i="208"/>
  <c r="Y2036" i="208"/>
  <c r="AC2024" i="208"/>
  <c r="Y2024" i="208"/>
  <c r="AC2012" i="208"/>
  <c r="Y2012" i="208"/>
  <c r="AC2000" i="208"/>
  <c r="Y2000" i="208"/>
  <c r="AC1988" i="208"/>
  <c r="Y1988" i="208"/>
  <c r="AC1976" i="208"/>
  <c r="Y1976" i="208"/>
  <c r="AC1964" i="208"/>
  <c r="Y1964" i="208"/>
  <c r="AC1952" i="208"/>
  <c r="Y1952" i="208"/>
  <c r="AC1940" i="208"/>
  <c r="Y1940" i="208"/>
  <c r="AC1928" i="208"/>
  <c r="Y1928" i="208"/>
  <c r="AC1916" i="208"/>
  <c r="Y1916" i="208"/>
  <c r="AC1904" i="208"/>
  <c r="Y1904" i="208"/>
  <c r="AC1892" i="208"/>
  <c r="Y1892" i="208"/>
  <c r="AC1880" i="208"/>
  <c r="Y1880" i="208"/>
  <c r="AC1868" i="208"/>
  <c r="Y1868" i="208"/>
  <c r="AC1856" i="208"/>
  <c r="Y1856" i="208"/>
  <c r="AC1844" i="208"/>
  <c r="Y1844" i="208"/>
  <c r="AC1832" i="208"/>
  <c r="Y1832" i="208"/>
  <c r="AC1820" i="208"/>
  <c r="Y1820" i="208"/>
  <c r="AC1808" i="208"/>
  <c r="Y1808" i="208"/>
  <c r="AC1796" i="208"/>
  <c r="Y1796" i="208"/>
  <c r="AC1784" i="208"/>
  <c r="Y1784" i="208"/>
  <c r="AC1772" i="208"/>
  <c r="Y1772" i="208"/>
  <c r="AC1760" i="208"/>
  <c r="Y1760" i="208"/>
  <c r="AC1748" i="208"/>
  <c r="Y1748" i="208"/>
  <c r="AC1736" i="208"/>
  <c r="Y1736" i="208"/>
  <c r="AC1724" i="208"/>
  <c r="Y1724" i="208"/>
  <c r="AC1712" i="208"/>
  <c r="Y1712" i="208"/>
  <c r="AC1700" i="208"/>
  <c r="Y1700" i="208"/>
  <c r="AC1688" i="208"/>
  <c r="Y1688" i="208"/>
  <c r="AC1676" i="208"/>
  <c r="Y1676" i="208"/>
  <c r="AC1664" i="208"/>
  <c r="Y1664" i="208"/>
  <c r="AC1652" i="208"/>
  <c r="Y1652" i="208"/>
  <c r="AC1640" i="208"/>
  <c r="Y1640" i="208"/>
  <c r="AC1628" i="208"/>
  <c r="Y1628" i="208"/>
  <c r="AC1616" i="208"/>
  <c r="Y1616" i="208"/>
  <c r="AC1604" i="208"/>
  <c r="Y1604" i="208"/>
  <c r="AC1592" i="208"/>
  <c r="Y1592" i="208"/>
  <c r="AC1580" i="208"/>
  <c r="Y1580" i="208"/>
  <c r="AC1568" i="208"/>
  <c r="Y1568" i="208"/>
  <c r="AC1556" i="208"/>
  <c r="Y1556" i="208"/>
  <c r="AC1544" i="208"/>
  <c r="Y1544" i="208"/>
  <c r="AC1532" i="208"/>
  <c r="Y1532" i="208"/>
  <c r="AC1520" i="208"/>
  <c r="Y1520" i="208"/>
  <c r="AC1508" i="208"/>
  <c r="Y1508" i="208"/>
  <c r="AC1496" i="208"/>
  <c r="Y1496" i="208"/>
  <c r="AC1484" i="208"/>
  <c r="Y1484" i="208"/>
  <c r="AC1472" i="208"/>
  <c r="Y1472" i="208"/>
  <c r="AC1460" i="208"/>
  <c r="Y1460" i="208"/>
  <c r="AC1448" i="208"/>
  <c r="Y1448" i="208"/>
  <c r="AC1436" i="208"/>
  <c r="Y1436" i="208"/>
  <c r="AC1424" i="208"/>
  <c r="Y1424" i="208"/>
  <c r="AC1412" i="208"/>
  <c r="Y1412" i="208"/>
  <c r="AC1400" i="208"/>
  <c r="Y1400" i="208"/>
  <c r="AC1388" i="208"/>
  <c r="Y1388" i="208"/>
  <c r="AC1376" i="208"/>
  <c r="Y1376" i="208"/>
  <c r="AC1364" i="208"/>
  <c r="Y1364" i="208"/>
  <c r="AC1352" i="208"/>
  <c r="Y1352" i="208"/>
  <c r="AC1340" i="208"/>
  <c r="Y1340" i="208"/>
  <c r="AC1328" i="208"/>
  <c r="Y1328" i="208"/>
  <c r="AC1316" i="208"/>
  <c r="Y1316" i="208"/>
  <c r="AC1304" i="208"/>
  <c r="Y1304" i="208"/>
  <c r="AC1292" i="208"/>
  <c r="Y1292" i="208"/>
  <c r="AC1280" i="208"/>
  <c r="Y1280" i="208"/>
  <c r="AC1268" i="208"/>
  <c r="Y1268" i="208"/>
  <c r="AC1256" i="208"/>
  <c r="Y1256" i="208"/>
  <c r="AC1244" i="208"/>
  <c r="Y1244" i="208"/>
  <c r="AC1232" i="208"/>
  <c r="Y1232" i="208"/>
  <c r="AC1220" i="208"/>
  <c r="Y1220" i="208"/>
  <c r="AC1208" i="208"/>
  <c r="Y1208" i="208"/>
  <c r="AC1196" i="208"/>
  <c r="Y1196" i="208"/>
  <c r="AC1184" i="208"/>
  <c r="Y1184" i="208"/>
  <c r="AC1172" i="208"/>
  <c r="Y1172" i="208"/>
  <c r="AC1160" i="208"/>
  <c r="Y1160" i="208"/>
  <c r="AC1148" i="208"/>
  <c r="Y1148" i="208"/>
  <c r="AC1136" i="208"/>
  <c r="Y1136" i="208"/>
  <c r="AC1124" i="208"/>
  <c r="Y1124" i="208"/>
  <c r="AC1112" i="208"/>
  <c r="Y1112" i="208"/>
  <c r="AC1100" i="208"/>
  <c r="Y1100" i="208"/>
  <c r="AC1088" i="208"/>
  <c r="Y1088" i="208"/>
  <c r="AC1076" i="208"/>
  <c r="Y1076" i="208"/>
  <c r="AC1064" i="208"/>
  <c r="Y1064" i="208"/>
  <c r="AC1052" i="208"/>
  <c r="Y1052" i="208"/>
  <c r="AC1040" i="208"/>
  <c r="Y1040" i="208"/>
  <c r="AC1028" i="208"/>
  <c r="Y1028" i="208"/>
  <c r="AC1016" i="208"/>
  <c r="Y1016" i="208"/>
  <c r="AC1004" i="208"/>
  <c r="Y1004" i="208"/>
  <c r="AC992" i="208"/>
  <c r="Y992" i="208"/>
  <c r="AC980" i="208"/>
  <c r="Y980" i="208"/>
  <c r="AC968" i="208"/>
  <c r="Y968" i="208"/>
  <c r="AC956" i="208"/>
  <c r="Y956" i="208"/>
  <c r="AC944" i="208"/>
  <c r="Y944" i="208"/>
  <c r="AC932" i="208"/>
  <c r="Y932" i="208"/>
  <c r="AC920" i="208"/>
  <c r="Y920" i="208"/>
  <c r="AC908" i="208"/>
  <c r="Y908" i="208"/>
  <c r="AC896" i="208"/>
  <c r="Y896" i="208"/>
  <c r="AC884" i="208"/>
  <c r="Y884" i="208"/>
  <c r="AC872" i="208"/>
  <c r="Y872" i="208"/>
  <c r="AC860" i="208"/>
  <c r="Y860" i="208"/>
  <c r="AC848" i="208"/>
  <c r="Y848" i="208"/>
  <c r="AC836" i="208"/>
  <c r="Y836" i="208"/>
  <c r="AC824" i="208"/>
  <c r="Y824" i="208"/>
  <c r="AC812" i="208"/>
  <c r="Y812" i="208"/>
  <c r="AC800" i="208"/>
  <c r="Y800" i="208"/>
  <c r="AC788" i="208"/>
  <c r="Y788" i="208"/>
  <c r="AC776" i="208"/>
  <c r="Y776" i="208"/>
  <c r="AC764" i="208"/>
  <c r="Y764" i="208"/>
  <c r="AC752" i="208"/>
  <c r="Y752" i="208"/>
  <c r="AC740" i="208"/>
  <c r="Y740" i="208"/>
  <c r="AC728" i="208"/>
  <c r="Y728" i="208"/>
  <c r="AC716" i="208"/>
  <c r="Y716" i="208"/>
  <c r="AC704" i="208"/>
  <c r="Y704" i="208"/>
  <c r="AC692" i="208"/>
  <c r="Y692" i="208"/>
  <c r="AC680" i="208"/>
  <c r="Y680" i="208"/>
  <c r="AC668" i="208"/>
  <c r="Y668" i="208"/>
  <c r="AC656" i="208"/>
  <c r="Y656" i="208"/>
  <c r="AC644" i="208"/>
  <c r="Y644" i="208"/>
  <c r="AC632" i="208"/>
  <c r="Y632" i="208"/>
  <c r="AC620" i="208"/>
  <c r="Y620" i="208"/>
  <c r="AC608" i="208"/>
  <c r="Y608" i="208"/>
  <c r="AC596" i="208"/>
  <c r="Y596" i="208"/>
  <c r="AC584" i="208"/>
  <c r="Y584" i="208"/>
  <c r="AC572" i="208"/>
  <c r="Y572" i="208"/>
  <c r="AC560" i="208"/>
  <c r="Y560" i="208"/>
  <c r="AC548" i="208"/>
  <c r="Y548" i="208"/>
  <c r="AC536" i="208"/>
  <c r="Y536" i="208"/>
  <c r="AC524" i="208"/>
  <c r="Y524" i="208"/>
  <c r="AC512" i="208"/>
  <c r="Y512" i="208"/>
  <c r="AC500" i="208"/>
  <c r="Y500" i="208"/>
  <c r="AC488" i="208"/>
  <c r="Y488" i="208"/>
  <c r="AC476" i="208"/>
  <c r="Y476" i="208"/>
  <c r="AC464" i="208"/>
  <c r="Y464" i="208"/>
  <c r="AC452" i="208"/>
  <c r="Y452" i="208"/>
  <c r="AC440" i="208"/>
  <c r="Y440" i="208"/>
  <c r="AC428" i="208"/>
  <c r="Y428" i="208"/>
  <c r="AC416" i="208"/>
  <c r="Y416" i="208"/>
  <c r="AC404" i="208"/>
  <c r="Y404" i="208"/>
  <c r="AC392" i="208"/>
  <c r="Y392" i="208"/>
  <c r="AC380" i="208"/>
  <c r="Y380" i="208"/>
  <c r="AC368" i="208"/>
  <c r="Y368" i="208"/>
  <c r="AC356" i="208"/>
  <c r="Y356" i="208"/>
  <c r="AC344" i="208"/>
  <c r="Y344" i="208"/>
  <c r="AC332" i="208"/>
  <c r="Y332" i="208"/>
  <c r="AC320" i="208"/>
  <c r="Y320" i="208"/>
  <c r="AC308" i="208"/>
  <c r="Y308" i="208"/>
  <c r="AC2995" i="208"/>
  <c r="Y2995" i="208"/>
  <c r="AC2983" i="208"/>
  <c r="Y2983" i="208"/>
  <c r="AC2971" i="208"/>
  <c r="Y2971" i="208"/>
  <c r="AC2959" i="208"/>
  <c r="Y2959" i="208"/>
  <c r="AC2947" i="208"/>
  <c r="Y2947" i="208"/>
  <c r="AC2935" i="208"/>
  <c r="Y2935" i="208"/>
  <c r="AC2923" i="208"/>
  <c r="Y2923" i="208"/>
  <c r="AC2911" i="208"/>
  <c r="Y2911" i="208"/>
  <c r="AC2899" i="208"/>
  <c r="Y2899" i="208"/>
  <c r="AC2887" i="208"/>
  <c r="Y2887" i="208"/>
  <c r="AC2875" i="208"/>
  <c r="Y2875" i="208"/>
  <c r="AC2863" i="208"/>
  <c r="Y2863" i="208"/>
  <c r="AC2851" i="208"/>
  <c r="Y2851" i="208"/>
  <c r="AC2839" i="208"/>
  <c r="Y2839" i="208"/>
  <c r="AC2827" i="208"/>
  <c r="Y2827" i="208"/>
  <c r="AC2815" i="208"/>
  <c r="Y2815" i="208"/>
  <c r="AC2803" i="208"/>
  <c r="Y2803" i="208"/>
  <c r="AC2791" i="208"/>
  <c r="Y2791" i="208"/>
  <c r="AC2779" i="208"/>
  <c r="Y2779" i="208"/>
  <c r="AC2767" i="208"/>
  <c r="Y2767" i="208"/>
  <c r="AC2755" i="208"/>
  <c r="Y2755" i="208"/>
  <c r="AC2743" i="208"/>
  <c r="Y2743" i="208"/>
  <c r="AC2731" i="208"/>
  <c r="Y2731" i="208"/>
  <c r="AC2719" i="208"/>
  <c r="Y2719" i="208"/>
  <c r="AC2707" i="208"/>
  <c r="Y2707" i="208"/>
  <c r="AC2695" i="208"/>
  <c r="Y2695" i="208"/>
  <c r="AC2683" i="208"/>
  <c r="Y2683" i="208"/>
  <c r="AC2671" i="208"/>
  <c r="Y2671" i="208"/>
  <c r="AC2659" i="208"/>
  <c r="Y2659" i="208"/>
  <c r="AC2647" i="208"/>
  <c r="Y2647" i="208"/>
  <c r="AC2635" i="208"/>
  <c r="Y2635" i="208"/>
  <c r="AC2623" i="208"/>
  <c r="Y2623" i="208"/>
  <c r="AC2611" i="208"/>
  <c r="Y2611" i="208"/>
  <c r="AC2599" i="208"/>
  <c r="Y2599" i="208"/>
  <c r="AC2587" i="208"/>
  <c r="Y2587" i="208"/>
  <c r="AC2575" i="208"/>
  <c r="Y2575" i="208"/>
  <c r="AC2563" i="208"/>
  <c r="Y2563" i="208"/>
  <c r="AC2551" i="208"/>
  <c r="Y2551" i="208"/>
  <c r="AC2539" i="208"/>
  <c r="Y2539" i="208"/>
  <c r="AC2527" i="208"/>
  <c r="Y2527" i="208"/>
  <c r="AC2515" i="208"/>
  <c r="Y2515" i="208"/>
  <c r="AC2503" i="208"/>
  <c r="Y2503" i="208"/>
  <c r="AC2491" i="208"/>
  <c r="Y2491" i="208"/>
  <c r="AC2479" i="208"/>
  <c r="Y2479" i="208"/>
  <c r="AC2467" i="208"/>
  <c r="Y2467" i="208"/>
  <c r="AC2455" i="208"/>
  <c r="Y2455" i="208"/>
  <c r="AC2443" i="208"/>
  <c r="Y2443" i="208"/>
  <c r="AC2431" i="208"/>
  <c r="Y2431" i="208"/>
  <c r="AC2419" i="208"/>
  <c r="Y2419" i="208"/>
  <c r="AC2407" i="208"/>
  <c r="Y2407" i="208"/>
  <c r="AC2395" i="208"/>
  <c r="Y2395" i="208"/>
  <c r="AC2383" i="208"/>
  <c r="Y2383" i="208"/>
  <c r="AC2371" i="208"/>
  <c r="Y2371" i="208"/>
  <c r="AC2359" i="208"/>
  <c r="Y2359" i="208"/>
  <c r="AC2347" i="208"/>
  <c r="Y2347" i="208"/>
  <c r="AC2335" i="208"/>
  <c r="Y2335" i="208"/>
  <c r="AC2323" i="208"/>
  <c r="Y2323" i="208"/>
  <c r="AC2311" i="208"/>
  <c r="Y2311" i="208"/>
  <c r="AC2299" i="208"/>
  <c r="Y2299" i="208"/>
  <c r="AC2287" i="208"/>
  <c r="Y2287" i="208"/>
  <c r="AC2275" i="208"/>
  <c r="Y2275" i="208"/>
  <c r="AC2263" i="208"/>
  <c r="Y2263" i="208"/>
  <c r="AC2251" i="208"/>
  <c r="Y2251" i="208"/>
  <c r="AC2239" i="208"/>
  <c r="Y2239" i="208"/>
  <c r="AC2227" i="208"/>
  <c r="Y2227" i="208"/>
  <c r="AC2215" i="208"/>
  <c r="Y2215" i="208"/>
  <c r="AC2203" i="208"/>
  <c r="Y2203" i="208"/>
  <c r="AC2191" i="208"/>
  <c r="Y2191" i="208"/>
  <c r="AC2179" i="208"/>
  <c r="Y2179" i="208"/>
  <c r="AC2167" i="208"/>
  <c r="Y2167" i="208"/>
  <c r="AC2155" i="208"/>
  <c r="Y2155" i="208"/>
  <c r="AC2143" i="208"/>
  <c r="Y2143" i="208"/>
  <c r="AC2131" i="208"/>
  <c r="Y2131" i="208"/>
  <c r="AC2119" i="208"/>
  <c r="Y2119" i="208"/>
  <c r="AC2107" i="208"/>
  <c r="Y2107" i="208"/>
  <c r="AC2095" i="208"/>
  <c r="Y2095" i="208"/>
  <c r="AC2083" i="208"/>
  <c r="Y2083" i="208"/>
  <c r="AC2071" i="208"/>
  <c r="Y2071" i="208"/>
  <c r="AC2059" i="208"/>
  <c r="Y2059" i="208"/>
  <c r="AC2047" i="208"/>
  <c r="Y2047" i="208"/>
  <c r="AC2035" i="208"/>
  <c r="Y2035" i="208"/>
  <c r="AC2023" i="208"/>
  <c r="Y2023" i="208"/>
  <c r="AC2011" i="208"/>
  <c r="Y2011" i="208"/>
  <c r="AC1999" i="208"/>
  <c r="Y1999" i="208"/>
  <c r="AC1987" i="208"/>
  <c r="Y1987" i="208"/>
  <c r="AC1975" i="208"/>
  <c r="Y1975" i="208"/>
  <c r="AC1963" i="208"/>
  <c r="Y1963" i="208"/>
  <c r="AC1951" i="208"/>
  <c r="Y1951" i="208"/>
  <c r="AC1939" i="208"/>
  <c r="Y1939" i="208"/>
  <c r="AC1927" i="208"/>
  <c r="Y1927" i="208"/>
  <c r="AC1915" i="208"/>
  <c r="Y1915" i="208"/>
  <c r="AC1903" i="208"/>
  <c r="Y1903" i="208"/>
  <c r="AC1891" i="208"/>
  <c r="Y1891" i="208"/>
  <c r="AC1879" i="208"/>
  <c r="Y1879" i="208"/>
  <c r="AC1867" i="208"/>
  <c r="Y1867" i="208"/>
  <c r="AC1855" i="208"/>
  <c r="Y1855" i="208"/>
  <c r="AC1843" i="208"/>
  <c r="Y1843" i="208"/>
  <c r="AC1831" i="208"/>
  <c r="Y1831" i="208"/>
  <c r="AC1819" i="208"/>
  <c r="Y1819" i="208"/>
  <c r="AC1807" i="208"/>
  <c r="Y1807" i="208"/>
  <c r="AC1795" i="208"/>
  <c r="Y1795" i="208"/>
  <c r="AC1783" i="208"/>
  <c r="Y1783" i="208"/>
  <c r="AC1771" i="208"/>
  <c r="Y1771" i="208"/>
  <c r="AC1759" i="208"/>
  <c r="Y1759" i="208"/>
  <c r="AC1747" i="208"/>
  <c r="Y1747" i="208"/>
  <c r="AC1735" i="208"/>
  <c r="Y1735" i="208"/>
  <c r="AC1723" i="208"/>
  <c r="Y1723" i="208"/>
  <c r="AC1711" i="208"/>
  <c r="Y1711" i="208"/>
  <c r="AC1699" i="208"/>
  <c r="Y1699" i="208"/>
  <c r="AC1687" i="208"/>
  <c r="Y1687" i="208"/>
  <c r="AC1675" i="208"/>
  <c r="Y1675" i="208"/>
  <c r="AC1663" i="208"/>
  <c r="Y1663" i="208"/>
  <c r="AC1651" i="208"/>
  <c r="Y1651" i="208"/>
  <c r="AC1639" i="208"/>
  <c r="Y1639" i="208"/>
  <c r="AC1627" i="208"/>
  <c r="Y1627" i="208"/>
  <c r="AC1615" i="208"/>
  <c r="Y1615" i="208"/>
  <c r="AC1603" i="208"/>
  <c r="Y1603" i="208"/>
  <c r="AC1591" i="208"/>
  <c r="Y1591" i="208"/>
  <c r="AC1579" i="208"/>
  <c r="Y1579" i="208"/>
  <c r="AC1567" i="208"/>
  <c r="Y1567" i="208"/>
  <c r="AC1555" i="208"/>
  <c r="Y1555" i="208"/>
  <c r="AC1543" i="208"/>
  <c r="Y1543" i="208"/>
  <c r="AC1531" i="208"/>
  <c r="Y1531" i="208"/>
  <c r="AC1519" i="208"/>
  <c r="Y1519" i="208"/>
  <c r="AC1507" i="208"/>
  <c r="Y1507" i="208"/>
  <c r="AC1495" i="208"/>
  <c r="Y1495" i="208"/>
  <c r="AC1483" i="208"/>
  <c r="Y1483" i="208"/>
  <c r="AC1471" i="208"/>
  <c r="Y1471" i="208"/>
  <c r="AC1459" i="208"/>
  <c r="Y1459" i="208"/>
  <c r="AC1447" i="208"/>
  <c r="Y1447" i="208"/>
  <c r="AC1435" i="208"/>
  <c r="Y1435" i="208"/>
  <c r="AC1423" i="208"/>
  <c r="Y1423" i="208"/>
  <c r="AC1411" i="208"/>
  <c r="Y1411" i="208"/>
  <c r="AC1399" i="208"/>
  <c r="Y1399" i="208"/>
  <c r="AC1387" i="208"/>
  <c r="Y1387" i="208"/>
  <c r="AC1375" i="208"/>
  <c r="Y1375" i="208"/>
  <c r="AC1363" i="208"/>
  <c r="Y1363" i="208"/>
  <c r="AC1351" i="208"/>
  <c r="Y1351" i="208"/>
  <c r="AC1339" i="208"/>
  <c r="Y1339" i="208"/>
  <c r="AC1327" i="208"/>
  <c r="Y1327" i="208"/>
  <c r="AC1315" i="208"/>
  <c r="Y1315" i="208"/>
  <c r="AC1303" i="208"/>
  <c r="Y1303" i="208"/>
  <c r="AC1291" i="208"/>
  <c r="Y1291" i="208"/>
  <c r="AC1279" i="208"/>
  <c r="Y1279" i="208"/>
  <c r="AC1267" i="208"/>
  <c r="Y1267" i="208"/>
  <c r="AC1255" i="208"/>
  <c r="Y1255" i="208"/>
  <c r="AC1243" i="208"/>
  <c r="Y1243" i="208"/>
  <c r="AC1231" i="208"/>
  <c r="Y1231" i="208"/>
  <c r="AC1219" i="208"/>
  <c r="Y1219" i="208"/>
  <c r="AC1207" i="208"/>
  <c r="Y1207" i="208"/>
  <c r="AC1195" i="208"/>
  <c r="Y1195" i="208"/>
  <c r="AC1183" i="208"/>
  <c r="Y1183" i="208"/>
  <c r="AC1171" i="208"/>
  <c r="Y1171" i="208"/>
  <c r="AC1159" i="208"/>
  <c r="Y1159" i="208"/>
  <c r="AC1147" i="208"/>
  <c r="Y1147" i="208"/>
  <c r="AC1135" i="208"/>
  <c r="Y1135" i="208"/>
  <c r="AC1123" i="208"/>
  <c r="Y1123" i="208"/>
  <c r="AC1111" i="208"/>
  <c r="Y1111" i="208"/>
  <c r="AC1099" i="208"/>
  <c r="Y1099" i="208"/>
  <c r="AC1087" i="208"/>
  <c r="Y1087" i="208"/>
  <c r="AC1075" i="208"/>
  <c r="Y1075" i="208"/>
  <c r="AC1063" i="208"/>
  <c r="Y1063" i="208"/>
  <c r="AC1051" i="208"/>
  <c r="Y1051" i="208"/>
  <c r="AC1039" i="208"/>
  <c r="Y1039" i="208"/>
  <c r="AC1027" i="208"/>
  <c r="Y1027" i="208"/>
  <c r="AC1015" i="208"/>
  <c r="Y1015" i="208"/>
  <c r="AC1003" i="208"/>
  <c r="Y1003" i="208"/>
  <c r="AC991" i="208"/>
  <c r="Y991" i="208"/>
  <c r="AC979" i="208"/>
  <c r="Y979" i="208"/>
  <c r="AC967" i="208"/>
  <c r="Y967" i="208"/>
  <c r="AC955" i="208"/>
  <c r="Y955" i="208"/>
  <c r="AC943" i="208"/>
  <c r="Y943" i="208"/>
  <c r="AC931" i="208"/>
  <c r="Y931" i="208"/>
  <c r="AC919" i="208"/>
  <c r="Y919" i="208"/>
  <c r="AC907" i="208"/>
  <c r="Y907" i="208"/>
  <c r="AC895" i="208"/>
  <c r="Y895" i="208"/>
  <c r="AC883" i="208"/>
  <c r="Y883" i="208"/>
  <c r="AC871" i="208"/>
  <c r="Y871" i="208"/>
  <c r="AC859" i="208"/>
  <c r="Y859" i="208"/>
  <c r="AC847" i="208"/>
  <c r="Y847" i="208"/>
  <c r="AC835" i="208"/>
  <c r="Y835" i="208"/>
  <c r="AC823" i="208"/>
  <c r="Y823" i="208"/>
  <c r="AC811" i="208"/>
  <c r="Y811" i="208"/>
  <c r="AC799" i="208"/>
  <c r="Y799" i="208"/>
  <c r="AC787" i="208"/>
  <c r="Y787" i="208"/>
  <c r="AC775" i="208"/>
  <c r="Y775" i="208"/>
  <c r="AC763" i="208"/>
  <c r="Y763" i="208"/>
  <c r="AC751" i="208"/>
  <c r="Y751" i="208"/>
  <c r="AC739" i="208"/>
  <c r="Y739" i="208"/>
  <c r="AC727" i="208"/>
  <c r="Y727" i="208"/>
  <c r="AC715" i="208"/>
  <c r="Y715" i="208"/>
  <c r="AC703" i="208"/>
  <c r="Y703" i="208"/>
  <c r="AC691" i="208"/>
  <c r="Y691" i="208"/>
  <c r="AC679" i="208"/>
  <c r="Y679" i="208"/>
  <c r="AC667" i="208"/>
  <c r="Y667" i="208"/>
  <c r="AC655" i="208"/>
  <c r="Y655" i="208"/>
  <c r="AC643" i="208"/>
  <c r="Y643" i="208"/>
  <c r="AC631" i="208"/>
  <c r="Y631" i="208"/>
  <c r="AC619" i="208"/>
  <c r="Y619" i="208"/>
  <c r="AC607" i="208"/>
  <c r="Y607" i="208"/>
  <c r="AC595" i="208"/>
  <c r="Y595" i="208"/>
  <c r="AC583" i="208"/>
  <c r="Y583" i="208"/>
  <c r="AC571" i="208"/>
  <c r="Y571" i="208"/>
  <c r="AC559" i="208"/>
  <c r="Y559" i="208"/>
  <c r="AC547" i="208"/>
  <c r="Y547" i="208"/>
  <c r="AC535" i="208"/>
  <c r="Y535" i="208"/>
  <c r="AC523" i="208"/>
  <c r="Y523" i="208"/>
  <c r="AC511" i="208"/>
  <c r="Y511" i="208"/>
  <c r="AC499" i="208"/>
  <c r="Y499" i="208"/>
  <c r="AC487" i="208"/>
  <c r="Y487" i="208"/>
  <c r="AC475" i="208"/>
  <c r="Y475" i="208"/>
  <c r="AC463" i="208"/>
  <c r="Y463" i="208"/>
  <c r="AC451" i="208"/>
  <c r="Y451" i="208"/>
  <c r="AC439" i="208"/>
  <c r="Y439" i="208"/>
  <c r="AC427" i="208"/>
  <c r="Y427" i="208"/>
  <c r="AC415" i="208"/>
  <c r="Y415" i="208"/>
  <c r="AC403" i="208"/>
  <c r="Y403" i="208"/>
  <c r="AC391" i="208"/>
  <c r="Y391" i="208"/>
  <c r="AC379" i="208"/>
  <c r="Y379" i="208"/>
  <c r="AC367" i="208"/>
  <c r="Y367" i="208"/>
  <c r="AC355" i="208"/>
  <c r="Y355" i="208"/>
  <c r="AC343" i="208"/>
  <c r="Y343" i="208"/>
  <c r="AC331" i="208"/>
  <c r="Y331" i="208"/>
  <c r="AC319" i="208"/>
  <c r="Y319" i="208"/>
  <c r="AC307" i="208"/>
  <c r="Y307" i="208"/>
  <c r="X155" i="208"/>
  <c r="X152" i="208"/>
  <c r="X149" i="208"/>
  <c r="X143" i="208"/>
  <c r="X140" i="208"/>
  <c r="X137" i="208"/>
  <c r="X131" i="208"/>
  <c r="X128" i="208"/>
  <c r="X125" i="208"/>
  <c r="X119" i="208"/>
  <c r="X116" i="208"/>
  <c r="X113" i="208"/>
  <c r="X107" i="208"/>
  <c r="X104" i="208"/>
  <c r="X101" i="208"/>
  <c r="X95" i="208"/>
  <c r="X92" i="208"/>
  <c r="X89" i="208"/>
  <c r="X83" i="208"/>
  <c r="X80" i="208"/>
  <c r="X77" i="208"/>
  <c r="X71" i="208"/>
  <c r="X68" i="208"/>
  <c r="X65" i="208"/>
  <c r="X59" i="208"/>
  <c r="X56" i="208"/>
  <c r="X53" i="208"/>
  <c r="X47" i="208"/>
  <c r="X44" i="208"/>
  <c r="X41" i="208"/>
  <c r="X35" i="208"/>
  <c r="X32" i="208"/>
  <c r="X29" i="208"/>
  <c r="X23" i="208"/>
  <c r="X20" i="208"/>
  <c r="X17" i="208"/>
  <c r="X11" i="208"/>
  <c r="X8" i="208"/>
  <c r="X5" i="208"/>
  <c r="AC2994" i="208"/>
  <c r="Y2994" i="208"/>
  <c r="AC2982" i="208"/>
  <c r="Y2982" i="208"/>
  <c r="AC2970" i="208"/>
  <c r="Y2970" i="208"/>
  <c r="AC2958" i="208"/>
  <c r="Y2958" i="208"/>
  <c r="AC2946" i="208"/>
  <c r="Y2946" i="208"/>
  <c r="AC2934" i="208"/>
  <c r="Y2934" i="208"/>
  <c r="AC2922" i="208"/>
  <c r="Y2922" i="208"/>
  <c r="AC2910" i="208"/>
  <c r="Y2910" i="208"/>
  <c r="AC2898" i="208"/>
  <c r="Y2898" i="208"/>
  <c r="AC2886" i="208"/>
  <c r="Y2886" i="208"/>
  <c r="AC2874" i="208"/>
  <c r="Y2874" i="208"/>
  <c r="AC2862" i="208"/>
  <c r="Y2862" i="208"/>
  <c r="AC2850" i="208"/>
  <c r="Y2850" i="208"/>
  <c r="AC2838" i="208"/>
  <c r="Y2838" i="208"/>
  <c r="AC2826" i="208"/>
  <c r="Y2826" i="208"/>
  <c r="AC2814" i="208"/>
  <c r="Y2814" i="208"/>
  <c r="AC2802" i="208"/>
  <c r="Y2802" i="208"/>
  <c r="AC2790" i="208"/>
  <c r="Y2790" i="208"/>
  <c r="AC2778" i="208"/>
  <c r="Y2778" i="208"/>
  <c r="AC2766" i="208"/>
  <c r="Y2766" i="208"/>
  <c r="AC2754" i="208"/>
  <c r="Y2754" i="208"/>
  <c r="AC2742" i="208"/>
  <c r="Y2742" i="208"/>
  <c r="AC2730" i="208"/>
  <c r="Y2730" i="208"/>
  <c r="AC2718" i="208"/>
  <c r="Y2718" i="208"/>
  <c r="AC2706" i="208"/>
  <c r="Y2706" i="208"/>
  <c r="AC2694" i="208"/>
  <c r="Y2694" i="208"/>
  <c r="AC2682" i="208"/>
  <c r="Y2682" i="208"/>
  <c r="AC2670" i="208"/>
  <c r="Y2670" i="208"/>
  <c r="AC2658" i="208"/>
  <c r="Y2658" i="208"/>
  <c r="AC2646" i="208"/>
  <c r="Y2646" i="208"/>
  <c r="AC2634" i="208"/>
  <c r="Y2634" i="208"/>
  <c r="AC2622" i="208"/>
  <c r="Y2622" i="208"/>
  <c r="AC2610" i="208"/>
  <c r="Y2610" i="208"/>
  <c r="AC2598" i="208"/>
  <c r="Y2598" i="208"/>
  <c r="AC2586" i="208"/>
  <c r="Y2586" i="208"/>
  <c r="AC2574" i="208"/>
  <c r="Y2574" i="208"/>
  <c r="AC2562" i="208"/>
  <c r="Y2562" i="208"/>
  <c r="AC2550" i="208"/>
  <c r="Y2550" i="208"/>
  <c r="AC2538" i="208"/>
  <c r="Y2538" i="208"/>
  <c r="AC2526" i="208"/>
  <c r="Y2526" i="208"/>
  <c r="AC2514" i="208"/>
  <c r="Y2514" i="208"/>
  <c r="AC2502" i="208"/>
  <c r="Y2502" i="208"/>
  <c r="AC2490" i="208"/>
  <c r="Y2490" i="208"/>
  <c r="AC2478" i="208"/>
  <c r="Y2478" i="208"/>
  <c r="AC2466" i="208"/>
  <c r="Y2466" i="208"/>
  <c r="AC2454" i="208"/>
  <c r="Y2454" i="208"/>
  <c r="AC2442" i="208"/>
  <c r="Y2442" i="208"/>
  <c r="AC2430" i="208"/>
  <c r="Y2430" i="208"/>
  <c r="AC2418" i="208"/>
  <c r="Y2418" i="208"/>
  <c r="AC2406" i="208"/>
  <c r="Y2406" i="208"/>
  <c r="AC2394" i="208"/>
  <c r="Y2394" i="208"/>
  <c r="AC2382" i="208"/>
  <c r="Y2382" i="208"/>
  <c r="AC2370" i="208"/>
  <c r="Y2370" i="208"/>
  <c r="AC2358" i="208"/>
  <c r="Y2358" i="208"/>
  <c r="AC2346" i="208"/>
  <c r="Y2346" i="208"/>
  <c r="AC2334" i="208"/>
  <c r="Y2334" i="208"/>
  <c r="AC2322" i="208"/>
  <c r="Y2322" i="208"/>
  <c r="AC2310" i="208"/>
  <c r="Y2310" i="208"/>
  <c r="AC2298" i="208"/>
  <c r="Y2298" i="208"/>
  <c r="AC2286" i="208"/>
  <c r="Y2286" i="208"/>
  <c r="AC2274" i="208"/>
  <c r="Y2274" i="208"/>
  <c r="AC2262" i="208"/>
  <c r="Y2262" i="208"/>
  <c r="AC2250" i="208"/>
  <c r="Y2250" i="208"/>
  <c r="AC2238" i="208"/>
  <c r="Y2238" i="208"/>
  <c r="AC2226" i="208"/>
  <c r="Y2226" i="208"/>
  <c r="AC2214" i="208"/>
  <c r="Y2214" i="208"/>
  <c r="AC2202" i="208"/>
  <c r="Y2202" i="208"/>
  <c r="AC2190" i="208"/>
  <c r="Y2190" i="208"/>
  <c r="AC2178" i="208"/>
  <c r="Y2178" i="208"/>
  <c r="AC2166" i="208"/>
  <c r="Y2166" i="208"/>
  <c r="AC2154" i="208"/>
  <c r="Y2154" i="208"/>
  <c r="AC2142" i="208"/>
  <c r="Y2142" i="208"/>
  <c r="AC2130" i="208"/>
  <c r="Y2130" i="208"/>
  <c r="AC2118" i="208"/>
  <c r="Y2118" i="208"/>
  <c r="AC2106" i="208"/>
  <c r="Y2106" i="208"/>
  <c r="AC2094" i="208"/>
  <c r="Y2094" i="208"/>
  <c r="AC2082" i="208"/>
  <c r="Y2082" i="208"/>
  <c r="AC2070" i="208"/>
  <c r="Y2070" i="208"/>
  <c r="AC2058" i="208"/>
  <c r="Y2058" i="208"/>
  <c r="AC2046" i="208"/>
  <c r="Y2046" i="208"/>
  <c r="AC2034" i="208"/>
  <c r="Y2034" i="208"/>
  <c r="AC2022" i="208"/>
  <c r="Y2022" i="208"/>
  <c r="AC2010" i="208"/>
  <c r="Y2010" i="208"/>
  <c r="AC1998" i="208"/>
  <c r="Y1998" i="208"/>
  <c r="AC1986" i="208"/>
  <c r="Y1986" i="208"/>
  <c r="AC1974" i="208"/>
  <c r="Y1974" i="208"/>
  <c r="AC1962" i="208"/>
  <c r="Y1962" i="208"/>
  <c r="AC1950" i="208"/>
  <c r="Y1950" i="208"/>
  <c r="AC1938" i="208"/>
  <c r="Y1938" i="208"/>
  <c r="AC1926" i="208"/>
  <c r="Y1926" i="208"/>
  <c r="AC1914" i="208"/>
  <c r="Y1914" i="208"/>
  <c r="AC1902" i="208"/>
  <c r="Y1902" i="208"/>
  <c r="AC1890" i="208"/>
  <c r="Y1890" i="208"/>
  <c r="AC1878" i="208"/>
  <c r="Y1878" i="208"/>
  <c r="AC1866" i="208"/>
  <c r="Y1866" i="208"/>
  <c r="AC1854" i="208"/>
  <c r="Y1854" i="208"/>
  <c r="AC1842" i="208"/>
  <c r="Y1842" i="208"/>
  <c r="AC1830" i="208"/>
  <c r="Y1830" i="208"/>
  <c r="AC1818" i="208"/>
  <c r="Y1818" i="208"/>
  <c r="AC1806" i="208"/>
  <c r="Y1806" i="208"/>
  <c r="AC1794" i="208"/>
  <c r="Y1794" i="208"/>
  <c r="AC1782" i="208"/>
  <c r="Y1782" i="208"/>
  <c r="AC1770" i="208"/>
  <c r="Y1770" i="208"/>
  <c r="AC1758" i="208"/>
  <c r="Y1758" i="208"/>
  <c r="AC1746" i="208"/>
  <c r="Y1746" i="208"/>
  <c r="AC1734" i="208"/>
  <c r="Y1734" i="208"/>
  <c r="AC1722" i="208"/>
  <c r="Y1722" i="208"/>
  <c r="AC1710" i="208"/>
  <c r="Y1710" i="208"/>
  <c r="AC1698" i="208"/>
  <c r="Y1698" i="208"/>
  <c r="AC1686" i="208"/>
  <c r="Y1686" i="208"/>
  <c r="AC1674" i="208"/>
  <c r="Y1674" i="208"/>
  <c r="AC1662" i="208"/>
  <c r="Y1662" i="208"/>
  <c r="AC1650" i="208"/>
  <c r="Y1650" i="208"/>
  <c r="AC1638" i="208"/>
  <c r="Y1638" i="208"/>
  <c r="AC1626" i="208"/>
  <c r="Y1626" i="208"/>
  <c r="AC1614" i="208"/>
  <c r="Y1614" i="208"/>
  <c r="AC1602" i="208"/>
  <c r="Y1602" i="208"/>
  <c r="AC1590" i="208"/>
  <c r="Y1590" i="208"/>
  <c r="AC1578" i="208"/>
  <c r="Y1578" i="208"/>
  <c r="AC1566" i="208"/>
  <c r="Y1566" i="208"/>
  <c r="AC1554" i="208"/>
  <c r="Y1554" i="208"/>
  <c r="AC1542" i="208"/>
  <c r="Y1542" i="208"/>
  <c r="AC1530" i="208"/>
  <c r="Y1530" i="208"/>
  <c r="AC1518" i="208"/>
  <c r="Y1518" i="208"/>
  <c r="AC1506" i="208"/>
  <c r="Y1506" i="208"/>
  <c r="AC1494" i="208"/>
  <c r="Y1494" i="208"/>
  <c r="AC1482" i="208"/>
  <c r="Y1482" i="208"/>
  <c r="AC1470" i="208"/>
  <c r="Y1470" i="208"/>
  <c r="AC1458" i="208"/>
  <c r="Y1458" i="208"/>
  <c r="AC1446" i="208"/>
  <c r="Y1446" i="208"/>
  <c r="AC1434" i="208"/>
  <c r="Y1434" i="208"/>
  <c r="AC1422" i="208"/>
  <c r="Y1422" i="208"/>
  <c r="AC1410" i="208"/>
  <c r="Y1410" i="208"/>
  <c r="AC1398" i="208"/>
  <c r="Y1398" i="208"/>
  <c r="AC1386" i="208"/>
  <c r="Y1386" i="208"/>
  <c r="AC1374" i="208"/>
  <c r="Y1374" i="208"/>
  <c r="AC1362" i="208"/>
  <c r="Y1362" i="208"/>
  <c r="AC1350" i="208"/>
  <c r="Y1350" i="208"/>
  <c r="AC1338" i="208"/>
  <c r="Y1338" i="208"/>
  <c r="AC1326" i="208"/>
  <c r="Y1326" i="208"/>
  <c r="AC1314" i="208"/>
  <c r="Y1314" i="208"/>
  <c r="AC1302" i="208"/>
  <c r="Y1302" i="208"/>
  <c r="AC1290" i="208"/>
  <c r="Y1290" i="208"/>
  <c r="AC1278" i="208"/>
  <c r="Y1278" i="208"/>
  <c r="AC1266" i="208"/>
  <c r="Y1266" i="208"/>
  <c r="AC1254" i="208"/>
  <c r="Y1254" i="208"/>
  <c r="AC1242" i="208"/>
  <c r="Y1242" i="208"/>
  <c r="AC1230" i="208"/>
  <c r="Y1230" i="208"/>
  <c r="AC1218" i="208"/>
  <c r="Y1218" i="208"/>
  <c r="AC1206" i="208"/>
  <c r="Y1206" i="208"/>
  <c r="AC1194" i="208"/>
  <c r="Y1194" i="208"/>
  <c r="AC1182" i="208"/>
  <c r="Y1182" i="208"/>
  <c r="AC1170" i="208"/>
  <c r="Y1170" i="208"/>
  <c r="AC1158" i="208"/>
  <c r="Y1158" i="208"/>
  <c r="AC1146" i="208"/>
  <c r="Y1146" i="208"/>
  <c r="AC1134" i="208"/>
  <c r="Y1134" i="208"/>
  <c r="AC1122" i="208"/>
  <c r="Y1122" i="208"/>
  <c r="AC1110" i="208"/>
  <c r="Y1110" i="208"/>
  <c r="AC1098" i="208"/>
  <c r="Y1098" i="208"/>
  <c r="AC1086" i="208"/>
  <c r="Y1086" i="208"/>
  <c r="AC1074" i="208"/>
  <c r="Y1074" i="208"/>
  <c r="AC1062" i="208"/>
  <c r="Y1062" i="208"/>
  <c r="AC1050" i="208"/>
  <c r="Y1050" i="208"/>
  <c r="AC1038" i="208"/>
  <c r="Y1038" i="208"/>
  <c r="AC1026" i="208"/>
  <c r="Y1026" i="208"/>
  <c r="AC1014" i="208"/>
  <c r="Y1014" i="208"/>
  <c r="AC1002" i="208"/>
  <c r="Y1002" i="208"/>
  <c r="AC990" i="208"/>
  <c r="Y990" i="208"/>
  <c r="AC978" i="208"/>
  <c r="Y978" i="208"/>
  <c r="AC966" i="208"/>
  <c r="Y966" i="208"/>
  <c r="AC954" i="208"/>
  <c r="Y954" i="208"/>
  <c r="AC942" i="208"/>
  <c r="Y942" i="208"/>
  <c r="AC930" i="208"/>
  <c r="Y930" i="208"/>
  <c r="AC918" i="208"/>
  <c r="Y918" i="208"/>
  <c r="AC906" i="208"/>
  <c r="Y906" i="208"/>
  <c r="AC894" i="208"/>
  <c r="Y894" i="208"/>
  <c r="AC882" i="208"/>
  <c r="Y882" i="208"/>
  <c r="AC870" i="208"/>
  <c r="Y870" i="208"/>
  <c r="AC858" i="208"/>
  <c r="Y858" i="208"/>
  <c r="AC846" i="208"/>
  <c r="Y846" i="208"/>
  <c r="AC834" i="208"/>
  <c r="Y834" i="208"/>
  <c r="AC822" i="208"/>
  <c r="Y822" i="208"/>
  <c r="AC810" i="208"/>
  <c r="Y810" i="208"/>
  <c r="AC798" i="208"/>
  <c r="Y798" i="208"/>
  <c r="AC786" i="208"/>
  <c r="Y786" i="208"/>
  <c r="AC774" i="208"/>
  <c r="Y774" i="208"/>
  <c r="AC762" i="208"/>
  <c r="Y762" i="208"/>
  <c r="AC750" i="208"/>
  <c r="Y750" i="208"/>
  <c r="AC738" i="208"/>
  <c r="Y738" i="208"/>
  <c r="AC726" i="208"/>
  <c r="Y726" i="208"/>
  <c r="AC714" i="208"/>
  <c r="Y714" i="208"/>
  <c r="AC702" i="208"/>
  <c r="Y702" i="208"/>
  <c r="AC690" i="208"/>
  <c r="Y690" i="208"/>
  <c r="AC678" i="208"/>
  <c r="Y678" i="208"/>
  <c r="AC666" i="208"/>
  <c r="Y666" i="208"/>
  <c r="AC654" i="208"/>
  <c r="Y654" i="208"/>
  <c r="AC642" i="208"/>
  <c r="Y642" i="208"/>
  <c r="AC630" i="208"/>
  <c r="Y630" i="208"/>
  <c r="AC618" i="208"/>
  <c r="Y618" i="208"/>
  <c r="AC606" i="208"/>
  <c r="Y606" i="208"/>
  <c r="AC594" i="208"/>
  <c r="Y594" i="208"/>
  <c r="AC582" i="208"/>
  <c r="Y582" i="208"/>
  <c r="AC570" i="208"/>
  <c r="Y570" i="208"/>
  <c r="AC558" i="208"/>
  <c r="Y558" i="208"/>
  <c r="AC546" i="208"/>
  <c r="Y546" i="208"/>
  <c r="AC534" i="208"/>
  <c r="Y534" i="208"/>
  <c r="AC522" i="208"/>
  <c r="Y522" i="208"/>
  <c r="AC510" i="208"/>
  <c r="Y510" i="208"/>
  <c r="AC498" i="208"/>
  <c r="Y498" i="208"/>
  <c r="AC486" i="208"/>
  <c r="Y486" i="208"/>
  <c r="AC474" i="208"/>
  <c r="Y474" i="208"/>
  <c r="AC462" i="208"/>
  <c r="Y462" i="208"/>
  <c r="AC450" i="208"/>
  <c r="Y450" i="208"/>
  <c r="AC438" i="208"/>
  <c r="Y438" i="208"/>
  <c r="AC426" i="208"/>
  <c r="Y426" i="208"/>
  <c r="AC414" i="208"/>
  <c r="Y414" i="208"/>
  <c r="AC402" i="208"/>
  <c r="Y402" i="208"/>
  <c r="AC390" i="208"/>
  <c r="Y390" i="208"/>
  <c r="AC378" i="208"/>
  <c r="Y378" i="208"/>
  <c r="AC366" i="208"/>
  <c r="Y366" i="208"/>
  <c r="AC354" i="208"/>
  <c r="Y354" i="208"/>
  <c r="AC342" i="208"/>
  <c r="Y342" i="208"/>
  <c r="AC330" i="208"/>
  <c r="Y330" i="208"/>
  <c r="AC318" i="208"/>
  <c r="Y318" i="208"/>
  <c r="AC306" i="208"/>
  <c r="Y306" i="208"/>
  <c r="AC2993" i="208"/>
  <c r="Y2993" i="208"/>
  <c r="AC2981" i="208"/>
  <c r="Y2981" i="208"/>
  <c r="AC2969" i="208"/>
  <c r="Y2969" i="208"/>
  <c r="AC2957" i="208"/>
  <c r="Y2957" i="208"/>
  <c r="AC2945" i="208"/>
  <c r="Y2945" i="208"/>
  <c r="AC2933" i="208"/>
  <c r="Y2933" i="208"/>
  <c r="AC2921" i="208"/>
  <c r="Y2921" i="208"/>
  <c r="AC2909" i="208"/>
  <c r="Y2909" i="208"/>
  <c r="AC2897" i="208"/>
  <c r="Y2897" i="208"/>
  <c r="AC2885" i="208"/>
  <c r="Y2885" i="208"/>
  <c r="AC2873" i="208"/>
  <c r="Y2873" i="208"/>
  <c r="AC2861" i="208"/>
  <c r="Y2861" i="208"/>
  <c r="AC2849" i="208"/>
  <c r="Y2849" i="208"/>
  <c r="AC2837" i="208"/>
  <c r="Y2837" i="208"/>
  <c r="AC2825" i="208"/>
  <c r="Y2825" i="208"/>
  <c r="AC2813" i="208"/>
  <c r="Y2813" i="208"/>
  <c r="AC2801" i="208"/>
  <c r="Y2801" i="208"/>
  <c r="AC2789" i="208"/>
  <c r="Y2789" i="208"/>
  <c r="AC2777" i="208"/>
  <c r="Y2777" i="208"/>
  <c r="AC2765" i="208"/>
  <c r="Y2765" i="208"/>
  <c r="AC2753" i="208"/>
  <c r="Y2753" i="208"/>
  <c r="AC2741" i="208"/>
  <c r="Y2741" i="208"/>
  <c r="AC2729" i="208"/>
  <c r="Y2729" i="208"/>
  <c r="AC2717" i="208"/>
  <c r="Y2717" i="208"/>
  <c r="AC2705" i="208"/>
  <c r="Y2705" i="208"/>
  <c r="AC2693" i="208"/>
  <c r="Y2693" i="208"/>
  <c r="AC2681" i="208"/>
  <c r="Y2681" i="208"/>
  <c r="AC2669" i="208"/>
  <c r="Y2669" i="208"/>
  <c r="AC2657" i="208"/>
  <c r="Y2657" i="208"/>
  <c r="AC2645" i="208"/>
  <c r="Y2645" i="208"/>
  <c r="AC2633" i="208"/>
  <c r="Y2633" i="208"/>
  <c r="AC2621" i="208"/>
  <c r="Y2621" i="208"/>
  <c r="AC2609" i="208"/>
  <c r="Y2609" i="208"/>
  <c r="AC2597" i="208"/>
  <c r="Y2597" i="208"/>
  <c r="AC2585" i="208"/>
  <c r="Y2585" i="208"/>
  <c r="AC2573" i="208"/>
  <c r="Y2573" i="208"/>
  <c r="AC2561" i="208"/>
  <c r="Y2561" i="208"/>
  <c r="AC2549" i="208"/>
  <c r="Y2549" i="208"/>
  <c r="AC2537" i="208"/>
  <c r="Y2537" i="208"/>
  <c r="AC2525" i="208"/>
  <c r="Y2525" i="208"/>
  <c r="AC2513" i="208"/>
  <c r="Y2513" i="208"/>
  <c r="AC2501" i="208"/>
  <c r="Y2501" i="208"/>
  <c r="AC2489" i="208"/>
  <c r="Y2489" i="208"/>
  <c r="AC2477" i="208"/>
  <c r="Y2477" i="208"/>
  <c r="AC2465" i="208"/>
  <c r="Y2465" i="208"/>
  <c r="AC2453" i="208"/>
  <c r="Y2453" i="208"/>
  <c r="AC2441" i="208"/>
  <c r="Y2441" i="208"/>
  <c r="AC2429" i="208"/>
  <c r="Y2429" i="208"/>
  <c r="AC2417" i="208"/>
  <c r="Y2417" i="208"/>
  <c r="AC2405" i="208"/>
  <c r="Y2405" i="208"/>
  <c r="AC2393" i="208"/>
  <c r="Y2393" i="208"/>
  <c r="AC2381" i="208"/>
  <c r="Y2381" i="208"/>
  <c r="AC2369" i="208"/>
  <c r="Y2369" i="208"/>
  <c r="AC2357" i="208"/>
  <c r="Y2357" i="208"/>
  <c r="AC2345" i="208"/>
  <c r="Y2345" i="208"/>
  <c r="AC2333" i="208"/>
  <c r="Y2333" i="208"/>
  <c r="AC2321" i="208"/>
  <c r="Y2321" i="208"/>
  <c r="AC2309" i="208"/>
  <c r="Y2309" i="208"/>
  <c r="AC2297" i="208"/>
  <c r="Y2297" i="208"/>
  <c r="AC2285" i="208"/>
  <c r="Y2285" i="208"/>
  <c r="AC2273" i="208"/>
  <c r="Y2273" i="208"/>
  <c r="AC2261" i="208"/>
  <c r="Y2261" i="208"/>
  <c r="AC2249" i="208"/>
  <c r="Y2249" i="208"/>
  <c r="AC2237" i="208"/>
  <c r="Y2237" i="208"/>
  <c r="AC2225" i="208"/>
  <c r="Y2225" i="208"/>
  <c r="AC2213" i="208"/>
  <c r="Y2213" i="208"/>
  <c r="AC2201" i="208"/>
  <c r="Y2201" i="208"/>
  <c r="AC2189" i="208"/>
  <c r="Y2189" i="208"/>
  <c r="AC2177" i="208"/>
  <c r="Y2177" i="208"/>
  <c r="AC2165" i="208"/>
  <c r="Y2165" i="208"/>
  <c r="AC2153" i="208"/>
  <c r="Y2153" i="208"/>
  <c r="AC2141" i="208"/>
  <c r="Y2141" i="208"/>
  <c r="AC2129" i="208"/>
  <c r="Y2129" i="208"/>
  <c r="AC2117" i="208"/>
  <c r="Y2117" i="208"/>
  <c r="AC2105" i="208"/>
  <c r="Y2105" i="208"/>
  <c r="AC2093" i="208"/>
  <c r="Y2093" i="208"/>
  <c r="AC2081" i="208"/>
  <c r="Y2081" i="208"/>
  <c r="AC2069" i="208"/>
  <c r="Y2069" i="208"/>
  <c r="AC2057" i="208"/>
  <c r="Y2057" i="208"/>
  <c r="AC2045" i="208"/>
  <c r="Y2045" i="208"/>
  <c r="AC2033" i="208"/>
  <c r="Y2033" i="208"/>
  <c r="AC2021" i="208"/>
  <c r="Y2021" i="208"/>
  <c r="AC2009" i="208"/>
  <c r="Y2009" i="208"/>
  <c r="AC1997" i="208"/>
  <c r="Y1997" i="208"/>
  <c r="AC1985" i="208"/>
  <c r="Y1985" i="208"/>
  <c r="AC1973" i="208"/>
  <c r="Y1973" i="208"/>
  <c r="AC1961" i="208"/>
  <c r="Y1961" i="208"/>
  <c r="AC1949" i="208"/>
  <c r="Y1949" i="208"/>
  <c r="AC1937" i="208"/>
  <c r="Y1937" i="208"/>
  <c r="AC1925" i="208"/>
  <c r="Y1925" i="208"/>
  <c r="AC1913" i="208"/>
  <c r="Y1913" i="208"/>
  <c r="AC1901" i="208"/>
  <c r="Y1901" i="208"/>
  <c r="AC1889" i="208"/>
  <c r="Y1889" i="208"/>
  <c r="AC1877" i="208"/>
  <c r="Y1877" i="208"/>
  <c r="AC1865" i="208"/>
  <c r="Y1865" i="208"/>
  <c r="AC1853" i="208"/>
  <c r="Y1853" i="208"/>
  <c r="AC1841" i="208"/>
  <c r="Y1841" i="208"/>
  <c r="AC1829" i="208"/>
  <c r="Y1829" i="208"/>
  <c r="AC1817" i="208"/>
  <c r="Y1817" i="208"/>
  <c r="AC1805" i="208"/>
  <c r="Y1805" i="208"/>
  <c r="AC1793" i="208"/>
  <c r="Y1793" i="208"/>
  <c r="AC1781" i="208"/>
  <c r="Y1781" i="208"/>
  <c r="AC1769" i="208"/>
  <c r="Y1769" i="208"/>
  <c r="AC1757" i="208"/>
  <c r="Y1757" i="208"/>
  <c r="AC1745" i="208"/>
  <c r="Y1745" i="208"/>
  <c r="AC1733" i="208"/>
  <c r="Y1733" i="208"/>
  <c r="AC1721" i="208"/>
  <c r="Y1721" i="208"/>
  <c r="AC1709" i="208"/>
  <c r="Y1709" i="208"/>
  <c r="AC1697" i="208"/>
  <c r="Y1697" i="208"/>
  <c r="AC1685" i="208"/>
  <c r="Y1685" i="208"/>
  <c r="AC1673" i="208"/>
  <c r="Y1673" i="208"/>
  <c r="AC1661" i="208"/>
  <c r="Y1661" i="208"/>
  <c r="AC1649" i="208"/>
  <c r="Y1649" i="208"/>
  <c r="AC1637" i="208"/>
  <c r="Y1637" i="208"/>
  <c r="AC1625" i="208"/>
  <c r="Y1625" i="208"/>
  <c r="AC1613" i="208"/>
  <c r="Y1613" i="208"/>
  <c r="AC1601" i="208"/>
  <c r="Y1601" i="208"/>
  <c r="AC1589" i="208"/>
  <c r="Y1589" i="208"/>
  <c r="AC1577" i="208"/>
  <c r="Y1577" i="208"/>
  <c r="AC1565" i="208"/>
  <c r="Y1565" i="208"/>
  <c r="AC1553" i="208"/>
  <c r="Y1553" i="208"/>
  <c r="AC1541" i="208"/>
  <c r="Y1541" i="208"/>
  <c r="AC1529" i="208"/>
  <c r="Y1529" i="208"/>
  <c r="AC1517" i="208"/>
  <c r="Y1517" i="208"/>
  <c r="AC1505" i="208"/>
  <c r="Y1505" i="208"/>
  <c r="AC1493" i="208"/>
  <c r="Y1493" i="208"/>
  <c r="AC1481" i="208"/>
  <c r="Y1481" i="208"/>
  <c r="AC1469" i="208"/>
  <c r="Y1469" i="208"/>
  <c r="AC1457" i="208"/>
  <c r="Y1457" i="208"/>
  <c r="AC1445" i="208"/>
  <c r="Y1445" i="208"/>
  <c r="AC1433" i="208"/>
  <c r="Y1433" i="208"/>
  <c r="AC1421" i="208"/>
  <c r="Y1421" i="208"/>
  <c r="AC1409" i="208"/>
  <c r="Y1409" i="208"/>
  <c r="AC1397" i="208"/>
  <c r="Y1397" i="208"/>
  <c r="AC1385" i="208"/>
  <c r="Y1385" i="208"/>
  <c r="AC1373" i="208"/>
  <c r="Y1373" i="208"/>
  <c r="AC1361" i="208"/>
  <c r="Y1361" i="208"/>
  <c r="AC1349" i="208"/>
  <c r="Y1349" i="208"/>
  <c r="AC1337" i="208"/>
  <c r="Y1337" i="208"/>
  <c r="AC1325" i="208"/>
  <c r="Y1325" i="208"/>
  <c r="AC1313" i="208"/>
  <c r="Y1313" i="208"/>
  <c r="AC1301" i="208"/>
  <c r="Y1301" i="208"/>
  <c r="AC1289" i="208"/>
  <c r="Y1289" i="208"/>
  <c r="AC1277" i="208"/>
  <c r="Y1277" i="208"/>
  <c r="AC1265" i="208"/>
  <c r="Y1265" i="208"/>
  <c r="AC1253" i="208"/>
  <c r="Y1253" i="208"/>
  <c r="AC1241" i="208"/>
  <c r="Y1241" i="208"/>
  <c r="AC1229" i="208"/>
  <c r="Y1229" i="208"/>
  <c r="AC1217" i="208"/>
  <c r="Y1217" i="208"/>
  <c r="AC1205" i="208"/>
  <c r="Y1205" i="208"/>
  <c r="AC1193" i="208"/>
  <c r="Y1193" i="208"/>
  <c r="AC1181" i="208"/>
  <c r="Y1181" i="208"/>
  <c r="AC1169" i="208"/>
  <c r="Y1169" i="208"/>
  <c r="AC1157" i="208"/>
  <c r="Y1157" i="208"/>
  <c r="AC1145" i="208"/>
  <c r="Y1145" i="208"/>
  <c r="AC1133" i="208"/>
  <c r="Y1133" i="208"/>
  <c r="AC1121" i="208"/>
  <c r="Y1121" i="208"/>
  <c r="AC1109" i="208"/>
  <c r="Y1109" i="208"/>
  <c r="AC1097" i="208"/>
  <c r="Y1097" i="208"/>
  <c r="AC1085" i="208"/>
  <c r="Y1085" i="208"/>
  <c r="AC1073" i="208"/>
  <c r="Y1073" i="208"/>
  <c r="AC1061" i="208"/>
  <c r="Y1061" i="208"/>
  <c r="AC1049" i="208"/>
  <c r="Y1049" i="208"/>
  <c r="AC1037" i="208"/>
  <c r="Y1037" i="208"/>
  <c r="AC1025" i="208"/>
  <c r="Y1025" i="208"/>
  <c r="AC1013" i="208"/>
  <c r="Y1013" i="208"/>
  <c r="AC1001" i="208"/>
  <c r="Y1001" i="208"/>
  <c r="AC989" i="208"/>
  <c r="Y989" i="208"/>
  <c r="AC977" i="208"/>
  <c r="Y977" i="208"/>
  <c r="AC965" i="208"/>
  <c r="Y965" i="208"/>
  <c r="AC953" i="208"/>
  <c r="Y953" i="208"/>
  <c r="AC941" i="208"/>
  <c r="Y941" i="208"/>
  <c r="AC929" i="208"/>
  <c r="Y929" i="208"/>
  <c r="AC917" i="208"/>
  <c r="Y917" i="208"/>
  <c r="AC905" i="208"/>
  <c r="Y905" i="208"/>
  <c r="AC893" i="208"/>
  <c r="Y893" i="208"/>
  <c r="AC881" i="208"/>
  <c r="Y881" i="208"/>
  <c r="AC869" i="208"/>
  <c r="Y869" i="208"/>
  <c r="AC857" i="208"/>
  <c r="Y857" i="208"/>
  <c r="AC845" i="208"/>
  <c r="Y845" i="208"/>
  <c r="AC833" i="208"/>
  <c r="Y833" i="208"/>
  <c r="AC821" i="208"/>
  <c r="Y821" i="208"/>
  <c r="AC809" i="208"/>
  <c r="Y809" i="208"/>
  <c r="AC797" i="208"/>
  <c r="Y797" i="208"/>
  <c r="AC785" i="208"/>
  <c r="Y785" i="208"/>
  <c r="AC773" i="208"/>
  <c r="Y773" i="208"/>
  <c r="AC761" i="208"/>
  <c r="Y761" i="208"/>
  <c r="AC749" i="208"/>
  <c r="Y749" i="208"/>
  <c r="AC737" i="208"/>
  <c r="Y737" i="208"/>
  <c r="AC725" i="208"/>
  <c r="Y725" i="208"/>
  <c r="AC713" i="208"/>
  <c r="Y713" i="208"/>
  <c r="AC701" i="208"/>
  <c r="Y701" i="208"/>
  <c r="AC689" i="208"/>
  <c r="Y689" i="208"/>
  <c r="AC677" i="208"/>
  <c r="Y677" i="208"/>
  <c r="AC665" i="208"/>
  <c r="Y665" i="208"/>
  <c r="AC653" i="208"/>
  <c r="Y653" i="208"/>
  <c r="AC641" i="208"/>
  <c r="Y641" i="208"/>
  <c r="AC629" i="208"/>
  <c r="Y629" i="208"/>
  <c r="AC617" i="208"/>
  <c r="Y617" i="208"/>
  <c r="AC605" i="208"/>
  <c r="Y605" i="208"/>
  <c r="AC593" i="208"/>
  <c r="Y593" i="208"/>
  <c r="AC581" i="208"/>
  <c r="Y581" i="208"/>
  <c r="AC569" i="208"/>
  <c r="Y569" i="208"/>
  <c r="AC557" i="208"/>
  <c r="Y557" i="208"/>
  <c r="AC545" i="208"/>
  <c r="Y545" i="208"/>
  <c r="AC533" i="208"/>
  <c r="Y533" i="208"/>
  <c r="AC521" i="208"/>
  <c r="Y521" i="208"/>
  <c r="AC509" i="208"/>
  <c r="Y509" i="208"/>
  <c r="AC497" i="208"/>
  <c r="Y497" i="208"/>
  <c r="AC485" i="208"/>
  <c r="Y485" i="208"/>
  <c r="AC473" i="208"/>
  <c r="Y473" i="208"/>
  <c r="AC461" i="208"/>
  <c r="Y461" i="208"/>
  <c r="AC449" i="208"/>
  <c r="Y449" i="208"/>
  <c r="AC437" i="208"/>
  <c r="Y437" i="208"/>
  <c r="AC425" i="208"/>
  <c r="Y425" i="208"/>
  <c r="AC413" i="208"/>
  <c r="Y413" i="208"/>
  <c r="AC401" i="208"/>
  <c r="Y401" i="208"/>
  <c r="AC389" i="208"/>
  <c r="Y389" i="208"/>
  <c r="AC377" i="208"/>
  <c r="Y377" i="208"/>
  <c r="AC365" i="208"/>
  <c r="Y365" i="208"/>
  <c r="AC353" i="208"/>
  <c r="Y353" i="208"/>
  <c r="AC341" i="208"/>
  <c r="Y341" i="208"/>
  <c r="AC329" i="208"/>
  <c r="Y329" i="208"/>
  <c r="AC317" i="208"/>
  <c r="Y317" i="208"/>
  <c r="AC305" i="208"/>
  <c r="Y305" i="208"/>
  <c r="AC2992" i="208"/>
  <c r="Y2992" i="208"/>
  <c r="AC2980" i="208"/>
  <c r="Y2980" i="208"/>
  <c r="AC2968" i="208"/>
  <c r="Y2968" i="208"/>
  <c r="AC2956" i="208"/>
  <c r="Y2956" i="208"/>
  <c r="AC2944" i="208"/>
  <c r="Y2944" i="208"/>
  <c r="AC2932" i="208"/>
  <c r="Y2932" i="208"/>
  <c r="AC2920" i="208"/>
  <c r="Y2920" i="208"/>
  <c r="AC2908" i="208"/>
  <c r="Y2908" i="208"/>
  <c r="AC2896" i="208"/>
  <c r="Y2896" i="208"/>
  <c r="AC2884" i="208"/>
  <c r="Y2884" i="208"/>
  <c r="AC2872" i="208"/>
  <c r="Y2872" i="208"/>
  <c r="AC2860" i="208"/>
  <c r="Y2860" i="208"/>
  <c r="AC2848" i="208"/>
  <c r="Y2848" i="208"/>
  <c r="AC2836" i="208"/>
  <c r="Y2836" i="208"/>
  <c r="AC2824" i="208"/>
  <c r="Y2824" i="208"/>
  <c r="AC2812" i="208"/>
  <c r="Y2812" i="208"/>
  <c r="AC2800" i="208"/>
  <c r="Y2800" i="208"/>
  <c r="AC2788" i="208"/>
  <c r="Y2788" i="208"/>
  <c r="AC2776" i="208"/>
  <c r="Y2776" i="208"/>
  <c r="AC2764" i="208"/>
  <c r="Y2764" i="208"/>
  <c r="AC2752" i="208"/>
  <c r="Y2752" i="208"/>
  <c r="AC2740" i="208"/>
  <c r="Y2740" i="208"/>
  <c r="AC2728" i="208"/>
  <c r="Y2728" i="208"/>
  <c r="AC2716" i="208"/>
  <c r="Y2716" i="208"/>
  <c r="AC2704" i="208"/>
  <c r="Y2704" i="208"/>
  <c r="AC2692" i="208"/>
  <c r="Y2692" i="208"/>
  <c r="AC2680" i="208"/>
  <c r="Y2680" i="208"/>
  <c r="AC2668" i="208"/>
  <c r="Y2668" i="208"/>
  <c r="AC2656" i="208"/>
  <c r="Y2656" i="208"/>
  <c r="AC2644" i="208"/>
  <c r="Y2644" i="208"/>
  <c r="AC2632" i="208"/>
  <c r="Y2632" i="208"/>
  <c r="AC2620" i="208"/>
  <c r="Y2620" i="208"/>
  <c r="AC2608" i="208"/>
  <c r="Y2608" i="208"/>
  <c r="AC2596" i="208"/>
  <c r="Y2596" i="208"/>
  <c r="AC2584" i="208"/>
  <c r="Y2584" i="208"/>
  <c r="AC2572" i="208"/>
  <c r="Y2572" i="208"/>
  <c r="AC2560" i="208"/>
  <c r="Y2560" i="208"/>
  <c r="AC2548" i="208"/>
  <c r="Y2548" i="208"/>
  <c r="AC2536" i="208"/>
  <c r="Y2536" i="208"/>
  <c r="AC2524" i="208"/>
  <c r="Y2524" i="208"/>
  <c r="AC2512" i="208"/>
  <c r="Y2512" i="208"/>
  <c r="AC2500" i="208"/>
  <c r="Y2500" i="208"/>
  <c r="AC2488" i="208"/>
  <c r="Y2488" i="208"/>
  <c r="AC2476" i="208"/>
  <c r="Y2476" i="208"/>
  <c r="AC2464" i="208"/>
  <c r="Y2464" i="208"/>
  <c r="AC2452" i="208"/>
  <c r="Y2452" i="208"/>
  <c r="AC2440" i="208"/>
  <c r="Y2440" i="208"/>
  <c r="AC2428" i="208"/>
  <c r="Y2428" i="208"/>
  <c r="AC2416" i="208"/>
  <c r="Y2416" i="208"/>
  <c r="AC2404" i="208"/>
  <c r="Y2404" i="208"/>
  <c r="AC2392" i="208"/>
  <c r="Y2392" i="208"/>
  <c r="AC2380" i="208"/>
  <c r="Y2380" i="208"/>
  <c r="AC2368" i="208"/>
  <c r="Y2368" i="208"/>
  <c r="AC2356" i="208"/>
  <c r="Y2356" i="208"/>
  <c r="AC2344" i="208"/>
  <c r="Y2344" i="208"/>
  <c r="AC2332" i="208"/>
  <c r="Y2332" i="208"/>
  <c r="AC2320" i="208"/>
  <c r="Y2320" i="208"/>
  <c r="AC2308" i="208"/>
  <c r="Y2308" i="208"/>
  <c r="AC2296" i="208"/>
  <c r="Y2296" i="208"/>
  <c r="AC2284" i="208"/>
  <c r="Y2284" i="208"/>
  <c r="AC2272" i="208"/>
  <c r="Y2272" i="208"/>
  <c r="AC2260" i="208"/>
  <c r="Y2260" i="208"/>
  <c r="AC2248" i="208"/>
  <c r="Y2248" i="208"/>
  <c r="AC2236" i="208"/>
  <c r="Y2236" i="208"/>
  <c r="AC2224" i="208"/>
  <c r="Y2224" i="208"/>
  <c r="AC2212" i="208"/>
  <c r="Y2212" i="208"/>
  <c r="AC2200" i="208"/>
  <c r="Y2200" i="208"/>
  <c r="AC2188" i="208"/>
  <c r="Y2188" i="208"/>
  <c r="AC2176" i="208"/>
  <c r="Y2176" i="208"/>
  <c r="AC2164" i="208"/>
  <c r="Y2164" i="208"/>
  <c r="AC2152" i="208"/>
  <c r="Y2152" i="208"/>
  <c r="AC2140" i="208"/>
  <c r="Y2140" i="208"/>
  <c r="AC2128" i="208"/>
  <c r="Y2128" i="208"/>
  <c r="AC2116" i="208"/>
  <c r="Y2116" i="208"/>
  <c r="AC2104" i="208"/>
  <c r="Y2104" i="208"/>
  <c r="AC2092" i="208"/>
  <c r="Y2092" i="208"/>
  <c r="AC2080" i="208"/>
  <c r="Y2080" i="208"/>
  <c r="AC2068" i="208"/>
  <c r="Y2068" i="208"/>
  <c r="AC2056" i="208"/>
  <c r="Y2056" i="208"/>
  <c r="AC2044" i="208"/>
  <c r="Y2044" i="208"/>
  <c r="AC2032" i="208"/>
  <c r="Y2032" i="208"/>
  <c r="AC2020" i="208"/>
  <c r="Y2020" i="208"/>
  <c r="AC2008" i="208"/>
  <c r="Y2008" i="208"/>
  <c r="AC1996" i="208"/>
  <c r="Y1996" i="208"/>
  <c r="AC1984" i="208"/>
  <c r="Y1984" i="208"/>
  <c r="AC1972" i="208"/>
  <c r="Y1972" i="208"/>
  <c r="AC1960" i="208"/>
  <c r="Y1960" i="208"/>
  <c r="AC1948" i="208"/>
  <c r="Y1948" i="208"/>
  <c r="AC1936" i="208"/>
  <c r="Y1936" i="208"/>
  <c r="AC1924" i="208"/>
  <c r="Y1924" i="208"/>
  <c r="AC1912" i="208"/>
  <c r="Y1912" i="208"/>
  <c r="AC1900" i="208"/>
  <c r="Y1900" i="208"/>
  <c r="AC1888" i="208"/>
  <c r="Y1888" i="208"/>
  <c r="AC1876" i="208"/>
  <c r="Y1876" i="208"/>
  <c r="AC1864" i="208"/>
  <c r="Y1864" i="208"/>
  <c r="AC1852" i="208"/>
  <c r="Y1852" i="208"/>
  <c r="AC1840" i="208"/>
  <c r="Y1840" i="208"/>
  <c r="AC1828" i="208"/>
  <c r="Y1828" i="208"/>
  <c r="AC1816" i="208"/>
  <c r="Y1816" i="208"/>
  <c r="AC1804" i="208"/>
  <c r="Y1804" i="208"/>
  <c r="AC1792" i="208"/>
  <c r="Y1792" i="208"/>
  <c r="AC1780" i="208"/>
  <c r="Y1780" i="208"/>
  <c r="AC1768" i="208"/>
  <c r="Y1768" i="208"/>
  <c r="AC1756" i="208"/>
  <c r="Y1756" i="208"/>
  <c r="AC1744" i="208"/>
  <c r="Y1744" i="208"/>
  <c r="AC1732" i="208"/>
  <c r="Y1732" i="208"/>
  <c r="AC1720" i="208"/>
  <c r="Y1720" i="208"/>
  <c r="AC1708" i="208"/>
  <c r="Y1708" i="208"/>
  <c r="AC1696" i="208"/>
  <c r="Y1696" i="208"/>
  <c r="AC1684" i="208"/>
  <c r="Y1684" i="208"/>
  <c r="AC1672" i="208"/>
  <c r="Y1672" i="208"/>
  <c r="AC1660" i="208"/>
  <c r="Y1660" i="208"/>
  <c r="AC1648" i="208"/>
  <c r="Y1648" i="208"/>
  <c r="AC1636" i="208"/>
  <c r="Y1636" i="208"/>
  <c r="AC1624" i="208"/>
  <c r="Y1624" i="208"/>
  <c r="AC1612" i="208"/>
  <c r="Y1612" i="208"/>
  <c r="AC1600" i="208"/>
  <c r="Y1600" i="208"/>
  <c r="AC1588" i="208"/>
  <c r="Y1588" i="208"/>
  <c r="AC1576" i="208"/>
  <c r="Y1576" i="208"/>
  <c r="AC1564" i="208"/>
  <c r="Y1564" i="208"/>
  <c r="AC1552" i="208"/>
  <c r="Y1552" i="208"/>
  <c r="AC1540" i="208"/>
  <c r="Y1540" i="208"/>
  <c r="AC1528" i="208"/>
  <c r="Y1528" i="208"/>
  <c r="AC1516" i="208"/>
  <c r="Y1516" i="208"/>
  <c r="AC1504" i="208"/>
  <c r="Y1504" i="208"/>
  <c r="AC1492" i="208"/>
  <c r="Y1492" i="208"/>
  <c r="AC1480" i="208"/>
  <c r="Y1480" i="208"/>
  <c r="AC1468" i="208"/>
  <c r="Y1468" i="208"/>
  <c r="AC1456" i="208"/>
  <c r="Y1456" i="208"/>
  <c r="AC1444" i="208"/>
  <c r="Y1444" i="208"/>
  <c r="AC1432" i="208"/>
  <c r="Y1432" i="208"/>
  <c r="AC1420" i="208"/>
  <c r="Y1420" i="208"/>
  <c r="AC1408" i="208"/>
  <c r="Y1408" i="208"/>
  <c r="AC1396" i="208"/>
  <c r="Y1396" i="208"/>
  <c r="AC1384" i="208"/>
  <c r="Y1384" i="208"/>
  <c r="AC1372" i="208"/>
  <c r="Y1372" i="208"/>
  <c r="AC1360" i="208"/>
  <c r="Y1360" i="208"/>
  <c r="AC1348" i="208"/>
  <c r="Y1348" i="208"/>
  <c r="AC1336" i="208"/>
  <c r="Y1336" i="208"/>
  <c r="AC1324" i="208"/>
  <c r="Y1324" i="208"/>
  <c r="AC1312" i="208"/>
  <c r="Y1312" i="208"/>
  <c r="AC1300" i="208"/>
  <c r="Y1300" i="208"/>
  <c r="AC1288" i="208"/>
  <c r="Y1288" i="208"/>
  <c r="AC1276" i="208"/>
  <c r="Y1276" i="208"/>
  <c r="AC1264" i="208"/>
  <c r="Y1264" i="208"/>
  <c r="AC1252" i="208"/>
  <c r="Y1252" i="208"/>
  <c r="AC1240" i="208"/>
  <c r="Y1240" i="208"/>
  <c r="AC1228" i="208"/>
  <c r="Y1228" i="208"/>
  <c r="AC1216" i="208"/>
  <c r="Y1216" i="208"/>
  <c r="AC1204" i="208"/>
  <c r="Y1204" i="208"/>
  <c r="AC1192" i="208"/>
  <c r="Y1192" i="208"/>
  <c r="AC1180" i="208"/>
  <c r="Y1180" i="208"/>
  <c r="AC1168" i="208"/>
  <c r="Y1168" i="208"/>
  <c r="AC1156" i="208"/>
  <c r="Y1156" i="208"/>
  <c r="AC1144" i="208"/>
  <c r="Y1144" i="208"/>
  <c r="AC1132" i="208"/>
  <c r="Y1132" i="208"/>
  <c r="AC1120" i="208"/>
  <c r="Y1120" i="208"/>
  <c r="AC1108" i="208"/>
  <c r="Y1108" i="208"/>
  <c r="AC1096" i="208"/>
  <c r="Y1096" i="208"/>
  <c r="AC1084" i="208"/>
  <c r="Y1084" i="208"/>
  <c r="AC1072" i="208"/>
  <c r="Y1072" i="208"/>
  <c r="AC1060" i="208"/>
  <c r="Y1060" i="208"/>
  <c r="AC1048" i="208"/>
  <c r="Y1048" i="208"/>
  <c r="AC1036" i="208"/>
  <c r="Y1036" i="208"/>
  <c r="AC1024" i="208"/>
  <c r="Y1024" i="208"/>
  <c r="AC1012" i="208"/>
  <c r="Y1012" i="208"/>
  <c r="AC1000" i="208"/>
  <c r="Y1000" i="208"/>
  <c r="AC988" i="208"/>
  <c r="Y988" i="208"/>
  <c r="AC976" i="208"/>
  <c r="Y976" i="208"/>
  <c r="AC964" i="208"/>
  <c r="Y964" i="208"/>
  <c r="AC952" i="208"/>
  <c r="Y952" i="208"/>
  <c r="AC940" i="208"/>
  <c r="Y940" i="208"/>
  <c r="AC928" i="208"/>
  <c r="Y928" i="208"/>
  <c r="AC916" i="208"/>
  <c r="Y916" i="208"/>
  <c r="AC904" i="208"/>
  <c r="Y904" i="208"/>
  <c r="AC892" i="208"/>
  <c r="Y892" i="208"/>
  <c r="AC880" i="208"/>
  <c r="Y880" i="208"/>
  <c r="AC868" i="208"/>
  <c r="Y868" i="208"/>
  <c r="AC856" i="208"/>
  <c r="Y856" i="208"/>
  <c r="AC844" i="208"/>
  <c r="Y844" i="208"/>
  <c r="AC832" i="208"/>
  <c r="Y832" i="208"/>
  <c r="AC820" i="208"/>
  <c r="Y820" i="208"/>
  <c r="AC808" i="208"/>
  <c r="Y808" i="208"/>
  <c r="AC796" i="208"/>
  <c r="Y796" i="208"/>
  <c r="AC784" i="208"/>
  <c r="Y784" i="208"/>
  <c r="AC772" i="208"/>
  <c r="Y772" i="208"/>
  <c r="AC760" i="208"/>
  <c r="Y760" i="208"/>
  <c r="AC748" i="208"/>
  <c r="Y748" i="208"/>
  <c r="AC736" i="208"/>
  <c r="Y736" i="208"/>
  <c r="AC724" i="208"/>
  <c r="Y724" i="208"/>
  <c r="AC712" i="208"/>
  <c r="Y712" i="208"/>
  <c r="AC700" i="208"/>
  <c r="Y700" i="208"/>
  <c r="AC688" i="208"/>
  <c r="Y688" i="208"/>
  <c r="AC676" i="208"/>
  <c r="Y676" i="208"/>
  <c r="AC664" i="208"/>
  <c r="Y664" i="208"/>
  <c r="AC652" i="208"/>
  <c r="Y652" i="208"/>
  <c r="AC640" i="208"/>
  <c r="Y640" i="208"/>
  <c r="AC628" i="208"/>
  <c r="Y628" i="208"/>
  <c r="AC616" i="208"/>
  <c r="Y616" i="208"/>
  <c r="AC604" i="208"/>
  <c r="Y604" i="208"/>
  <c r="AC592" i="208"/>
  <c r="Y592" i="208"/>
  <c r="AC580" i="208"/>
  <c r="Y580" i="208"/>
  <c r="AC568" i="208"/>
  <c r="Y568" i="208"/>
  <c r="AC556" i="208"/>
  <c r="Y556" i="208"/>
  <c r="AC544" i="208"/>
  <c r="Y544" i="208"/>
  <c r="AC532" i="208"/>
  <c r="Y532" i="208"/>
  <c r="AC520" i="208"/>
  <c r="Y520" i="208"/>
  <c r="AC508" i="208"/>
  <c r="Y508" i="208"/>
  <c r="AC496" i="208"/>
  <c r="Y496" i="208"/>
  <c r="AC484" i="208"/>
  <c r="Y484" i="208"/>
  <c r="AC472" i="208"/>
  <c r="Y472" i="208"/>
  <c r="AC460" i="208"/>
  <c r="Y460" i="208"/>
  <c r="AC448" i="208"/>
  <c r="Y448" i="208"/>
  <c r="AC436" i="208"/>
  <c r="Y436" i="208"/>
  <c r="AC424" i="208"/>
  <c r="Y424" i="208"/>
  <c r="AC412" i="208"/>
  <c r="Y412" i="208"/>
  <c r="AC400" i="208"/>
  <c r="Y400" i="208"/>
  <c r="AC388" i="208"/>
  <c r="Y388" i="208"/>
  <c r="AC376" i="208"/>
  <c r="Y376" i="208"/>
  <c r="AC364" i="208"/>
  <c r="Y364" i="208"/>
  <c r="AC352" i="208"/>
  <c r="Y352" i="208"/>
  <c r="AC340" i="208"/>
  <c r="Y340" i="208"/>
  <c r="AC328" i="208"/>
  <c r="Y328" i="208"/>
  <c r="AC316" i="208"/>
  <c r="Y316" i="208"/>
  <c r="AC304" i="208"/>
  <c r="Y304" i="208"/>
  <c r="AC301" i="208"/>
  <c r="AD301" i="208"/>
  <c r="G299" i="208"/>
  <c r="Y299" i="208"/>
  <c r="AC298" i="208"/>
  <c r="AD298" i="208"/>
  <c r="X298" i="208"/>
  <c r="G296" i="208"/>
  <c r="Y296" i="208"/>
  <c r="AC295" i="208"/>
  <c r="AD295" i="208"/>
  <c r="X295" i="208"/>
  <c r="G293" i="208"/>
  <c r="Y293" i="208"/>
  <c r="AD292" i="208"/>
  <c r="AC292" i="208"/>
  <c r="X292" i="208"/>
  <c r="G290" i="208"/>
  <c r="Y290" i="208"/>
  <c r="AC289" i="208"/>
  <c r="AD289" i="208"/>
  <c r="G287" i="208"/>
  <c r="AF287" i="208" s="1"/>
  <c r="Y287" i="208"/>
  <c r="AC286" i="208"/>
  <c r="AD286" i="208"/>
  <c r="X286" i="208"/>
  <c r="G284" i="208"/>
  <c r="Y284" i="208"/>
  <c r="AC283" i="208"/>
  <c r="AD283" i="208"/>
  <c r="X283" i="208"/>
  <c r="G281" i="208"/>
  <c r="Y281" i="208"/>
  <c r="AD280" i="208"/>
  <c r="AC280" i="208"/>
  <c r="X280" i="208"/>
  <c r="G278" i="208"/>
  <c r="Y278" i="208"/>
  <c r="AC277" i="208"/>
  <c r="AD277" i="208"/>
  <c r="G275" i="208"/>
  <c r="AF275" i="208" s="1"/>
  <c r="Y275" i="208"/>
  <c r="AC274" i="208"/>
  <c r="AD274" i="208"/>
  <c r="X274" i="208"/>
  <c r="G272" i="208"/>
  <c r="Y272" i="208"/>
  <c r="X2" i="208"/>
  <c r="G300" i="208"/>
  <c r="Y300" i="208"/>
  <c r="AC299" i="208"/>
  <c r="AD299" i="208"/>
  <c r="X299" i="208"/>
  <c r="G297" i="208"/>
  <c r="V297" i="208" s="1"/>
  <c r="Y297" i="208"/>
  <c r="AC296" i="208"/>
  <c r="AD296" i="208"/>
  <c r="X296" i="208"/>
  <c r="G294" i="208"/>
  <c r="Y294" i="208"/>
  <c r="AC293" i="208"/>
  <c r="AD293" i="208"/>
  <c r="X293" i="208"/>
  <c r="G291" i="208"/>
  <c r="Y291" i="208"/>
  <c r="AD290" i="208"/>
  <c r="AC290" i="208"/>
  <c r="X290" i="208"/>
  <c r="G288" i="208"/>
  <c r="Y288" i="208"/>
  <c r="AC287" i="208"/>
  <c r="AD287" i="208"/>
  <c r="X287" i="208"/>
  <c r="G285" i="208"/>
  <c r="Y285" i="208"/>
  <c r="AC284" i="208"/>
  <c r="AD284" i="208"/>
  <c r="X284" i="208"/>
  <c r="G282" i="208"/>
  <c r="Y282" i="208"/>
  <c r="AC281" i="208"/>
  <c r="AD281" i="208"/>
  <c r="X281" i="208"/>
  <c r="G279" i="208"/>
  <c r="Y279" i="208"/>
  <c r="AD278" i="208"/>
  <c r="AC278" i="208"/>
  <c r="X278" i="208"/>
  <c r="G276" i="208"/>
  <c r="AF276" i="208" s="1"/>
  <c r="Y276" i="208"/>
  <c r="AC275" i="208"/>
  <c r="AD275" i="208"/>
  <c r="X275" i="208"/>
  <c r="G273" i="208"/>
  <c r="Y273" i="208"/>
  <c r="AC272" i="208"/>
  <c r="AD272" i="208"/>
  <c r="X272" i="208"/>
  <c r="X301" i="208"/>
  <c r="G301" i="208"/>
  <c r="Y301" i="208"/>
  <c r="AC300" i="208"/>
  <c r="AD300" i="208"/>
  <c r="X300" i="208"/>
  <c r="G298" i="208"/>
  <c r="Y298" i="208"/>
  <c r="AC297" i="208"/>
  <c r="AD297" i="208"/>
  <c r="X297" i="208"/>
  <c r="G295" i="208"/>
  <c r="Y295" i="208"/>
  <c r="AC294" i="208"/>
  <c r="AD294" i="208"/>
  <c r="X294" i="208"/>
  <c r="G292" i="208"/>
  <c r="Y292" i="208"/>
  <c r="AD291" i="208"/>
  <c r="AC291" i="208"/>
  <c r="X291" i="208"/>
  <c r="G289" i="208"/>
  <c r="Y289" i="208"/>
  <c r="AC288" i="208"/>
  <c r="AD288" i="208"/>
  <c r="X288" i="208"/>
  <c r="G286" i="208"/>
  <c r="Y286" i="208"/>
  <c r="AC285" i="208"/>
  <c r="AD285" i="208"/>
  <c r="X285" i="208"/>
  <c r="G283" i="208"/>
  <c r="Y283" i="208"/>
  <c r="AC282" i="208"/>
  <c r="AD282" i="208"/>
  <c r="X282" i="208"/>
  <c r="G280" i="208"/>
  <c r="Y280" i="208"/>
  <c r="AD279" i="208"/>
  <c r="AC279" i="208"/>
  <c r="X279" i="208"/>
  <c r="G277" i="208"/>
  <c r="Y277" i="208"/>
  <c r="AC276" i="208"/>
  <c r="AD276" i="208"/>
  <c r="X276" i="208"/>
  <c r="X289" i="208"/>
  <c r="G274" i="208"/>
  <c r="Y274" i="208"/>
  <c r="AC273" i="208"/>
  <c r="AD273" i="208"/>
  <c r="G271" i="208"/>
  <c r="Y271" i="208"/>
  <c r="AC270" i="208"/>
  <c r="AD270" i="208"/>
  <c r="G268" i="208"/>
  <c r="Y268" i="208"/>
  <c r="AD267" i="208"/>
  <c r="AC267" i="208"/>
  <c r="G265" i="208"/>
  <c r="Y265" i="208"/>
  <c r="AC264" i="208"/>
  <c r="AD264" i="208"/>
  <c r="G262" i="208"/>
  <c r="V262" i="208" s="1"/>
  <c r="Y262" i="208"/>
  <c r="AC261" i="208"/>
  <c r="AD261" i="208"/>
  <c r="G259" i="208"/>
  <c r="Y259" i="208"/>
  <c r="AC258" i="208"/>
  <c r="AD258" i="208"/>
  <c r="G256" i="208"/>
  <c r="Y256" i="208"/>
  <c r="AD255" i="208"/>
  <c r="AC255" i="208"/>
  <c r="G253" i="208"/>
  <c r="Y253" i="208"/>
  <c r="AC252" i="208"/>
  <c r="AD252" i="208"/>
  <c r="G250" i="208"/>
  <c r="Y250" i="208"/>
  <c r="AC249" i="208"/>
  <c r="AD249" i="208"/>
  <c r="G247" i="208"/>
  <c r="Y247" i="208"/>
  <c r="AC246" i="208"/>
  <c r="AD246" i="208"/>
  <c r="G244" i="208"/>
  <c r="F244" i="208" s="1"/>
  <c r="T244" i="208" s="1"/>
  <c r="Y244" i="208"/>
  <c r="AD243" i="208"/>
  <c r="AC243" i="208"/>
  <c r="G241" i="208"/>
  <c r="Y241" i="208"/>
  <c r="AC240" i="208"/>
  <c r="AD240" i="208"/>
  <c r="G238" i="208"/>
  <c r="Y238" i="208"/>
  <c r="AC237" i="208"/>
  <c r="AD237" i="208"/>
  <c r="G235" i="208"/>
  <c r="Y235" i="208"/>
  <c r="AC234" i="208"/>
  <c r="AD234" i="208"/>
  <c r="G232" i="208"/>
  <c r="Y232" i="208"/>
  <c r="AD231" i="208"/>
  <c r="AC231" i="208"/>
  <c r="G229" i="208"/>
  <c r="Y229" i="208"/>
  <c r="AC228" i="208"/>
  <c r="AD228" i="208"/>
  <c r="G226" i="208"/>
  <c r="Y226" i="208"/>
  <c r="AC225" i="208"/>
  <c r="AD225" i="208"/>
  <c r="G223" i="208"/>
  <c r="Y223" i="208"/>
  <c r="AC222" i="208"/>
  <c r="AD222" i="208"/>
  <c r="G220" i="208"/>
  <c r="Y220" i="208"/>
  <c r="AD219" i="208"/>
  <c r="AC219" i="208"/>
  <c r="G217" i="208"/>
  <c r="V217" i="208" s="1"/>
  <c r="Y217" i="208"/>
  <c r="AC216" i="208"/>
  <c r="AD216" i="208"/>
  <c r="G214" i="208"/>
  <c r="Y214" i="208"/>
  <c r="AC213" i="208"/>
  <c r="AD213" i="208"/>
  <c r="G211" i="208"/>
  <c r="AE211" i="208" s="1"/>
  <c r="Y211" i="208"/>
  <c r="AC210" i="208"/>
  <c r="AD210" i="208"/>
  <c r="G208" i="208"/>
  <c r="Y208" i="208"/>
  <c r="AD207" i="208"/>
  <c r="AC207" i="208"/>
  <c r="G205" i="208"/>
  <c r="Y205" i="208"/>
  <c r="AC204" i="208"/>
  <c r="AD204" i="208"/>
  <c r="G202" i="208"/>
  <c r="Y202" i="208"/>
  <c r="AC201" i="208"/>
  <c r="AD201" i="208"/>
  <c r="G199" i="208"/>
  <c r="AF199" i="208" s="1"/>
  <c r="Y199" i="208"/>
  <c r="AC198" i="208"/>
  <c r="AD198" i="208"/>
  <c r="G196" i="208"/>
  <c r="Y196" i="208"/>
  <c r="AD195" i="208"/>
  <c r="AC195" i="208"/>
  <c r="G193" i="208"/>
  <c r="Y193" i="208"/>
  <c r="AC192" i="208"/>
  <c r="AD192" i="208"/>
  <c r="G190" i="208"/>
  <c r="V190" i="208" s="1"/>
  <c r="Y190" i="208"/>
  <c r="AC189" i="208"/>
  <c r="AD189" i="208"/>
  <c r="G187" i="208"/>
  <c r="Y187" i="208"/>
  <c r="AC186" i="208"/>
  <c r="AD186" i="208"/>
  <c r="G184" i="208"/>
  <c r="Y184" i="208"/>
  <c r="AD183" i="208"/>
  <c r="AC183" i="208"/>
  <c r="G181" i="208"/>
  <c r="Y181" i="208"/>
  <c r="AC180" i="208"/>
  <c r="AD180" i="208"/>
  <c r="G178" i="208"/>
  <c r="Y178" i="208"/>
  <c r="AC177" i="208"/>
  <c r="AD177" i="208"/>
  <c r="G175" i="208"/>
  <c r="AF175" i="208" s="1"/>
  <c r="Y175" i="208"/>
  <c r="AC174" i="208"/>
  <c r="AD174" i="208"/>
  <c r="G172" i="208"/>
  <c r="Y172" i="208"/>
  <c r="AD171" i="208"/>
  <c r="AC171" i="208"/>
  <c r="G169" i="208"/>
  <c r="Y169" i="208"/>
  <c r="AC168" i="208"/>
  <c r="AD168" i="208"/>
  <c r="G166" i="208"/>
  <c r="Y166" i="208"/>
  <c r="AC165" i="208"/>
  <c r="AD165" i="208"/>
  <c r="G163" i="208"/>
  <c r="Y163" i="208"/>
  <c r="AC162" i="208"/>
  <c r="AD162" i="208"/>
  <c r="G160" i="208"/>
  <c r="Y160" i="208"/>
  <c r="AD159" i="208"/>
  <c r="AC159" i="208"/>
  <c r="G157" i="208"/>
  <c r="Y157" i="208"/>
  <c r="AC156" i="208"/>
  <c r="AD156" i="208"/>
  <c r="G154" i="208"/>
  <c r="Y154" i="208"/>
  <c r="AC153" i="208"/>
  <c r="AD153" i="208"/>
  <c r="G151" i="208"/>
  <c r="Y151" i="208"/>
  <c r="AC150" i="208"/>
  <c r="AD150" i="208"/>
  <c r="G148" i="208"/>
  <c r="Y148" i="208"/>
  <c r="AD147" i="208"/>
  <c r="AC147" i="208"/>
  <c r="G145" i="208"/>
  <c r="V145" i="208" s="1"/>
  <c r="Y145" i="208"/>
  <c r="AC144" i="208"/>
  <c r="AD144" i="208"/>
  <c r="G142" i="208"/>
  <c r="Y142" i="208"/>
  <c r="AC141" i="208"/>
  <c r="AD141" i="208"/>
  <c r="G139" i="208"/>
  <c r="Y139" i="208"/>
  <c r="AC138" i="208"/>
  <c r="AD138" i="208"/>
  <c r="G136" i="208"/>
  <c r="Y136" i="208"/>
  <c r="AD135" i="208"/>
  <c r="AC135" i="208"/>
  <c r="G133" i="208"/>
  <c r="Y133" i="208"/>
  <c r="AC132" i="208"/>
  <c r="AD132" i="208"/>
  <c r="G130" i="208"/>
  <c r="Y130" i="208"/>
  <c r="AC129" i="208"/>
  <c r="AD129" i="208"/>
  <c r="G127" i="208"/>
  <c r="Y127" i="208"/>
  <c r="AC126" i="208"/>
  <c r="AD126" i="208"/>
  <c r="G124" i="208"/>
  <c r="Y124" i="208"/>
  <c r="AD123" i="208"/>
  <c r="AC123" i="208"/>
  <c r="G121" i="208"/>
  <c r="Y121" i="208"/>
  <c r="AC120" i="208"/>
  <c r="AD120" i="208"/>
  <c r="G118" i="208"/>
  <c r="V118" i="208" s="1"/>
  <c r="Y118" i="208"/>
  <c r="AC117" i="208"/>
  <c r="AD117" i="208"/>
  <c r="G115" i="208"/>
  <c r="Y115" i="208"/>
  <c r="AC114" i="208"/>
  <c r="AD114" i="208"/>
  <c r="G112" i="208"/>
  <c r="Y112" i="208"/>
  <c r="AD111" i="208"/>
  <c r="AC111" i="208"/>
  <c r="G109" i="208"/>
  <c r="Y109" i="208"/>
  <c r="AD108" i="208"/>
  <c r="AC108" i="208"/>
  <c r="G106" i="208"/>
  <c r="Y106" i="208"/>
  <c r="AC105" i="208"/>
  <c r="AD105" i="208"/>
  <c r="G103" i="208"/>
  <c r="Y103" i="208"/>
  <c r="AC102" i="208"/>
  <c r="AD102" i="208"/>
  <c r="G100" i="208"/>
  <c r="F100" i="208" s="1"/>
  <c r="T100" i="208" s="1"/>
  <c r="Y100" i="208"/>
  <c r="AD99" i="208"/>
  <c r="AC99" i="208"/>
  <c r="G97" i="208"/>
  <c r="Y97" i="208"/>
  <c r="AD96" i="208"/>
  <c r="AC96" i="208"/>
  <c r="G94" i="208"/>
  <c r="Y94" i="208"/>
  <c r="AC93" i="208"/>
  <c r="AD93" i="208"/>
  <c r="G91" i="208"/>
  <c r="Y91" i="208"/>
  <c r="AC90" i="208"/>
  <c r="AD90" i="208"/>
  <c r="G88" i="208"/>
  <c r="Y88" i="208"/>
  <c r="AD87" i="208"/>
  <c r="AC87" i="208"/>
  <c r="G85" i="208"/>
  <c r="Y85" i="208"/>
  <c r="AD84" i="208"/>
  <c r="AC84" i="208"/>
  <c r="G82" i="208"/>
  <c r="Y82" i="208"/>
  <c r="AC81" i="208"/>
  <c r="AD81" i="208"/>
  <c r="G79" i="208"/>
  <c r="AE79" i="208" s="1"/>
  <c r="Y79" i="208"/>
  <c r="AC78" i="208"/>
  <c r="AD78" i="208"/>
  <c r="G76" i="208"/>
  <c r="Y76" i="208"/>
  <c r="AD75" i="208"/>
  <c r="AC75" i="208"/>
  <c r="G73" i="208"/>
  <c r="V73" i="208" s="1"/>
  <c r="Y73" i="208"/>
  <c r="AD72" i="208"/>
  <c r="AC72" i="208"/>
  <c r="G70" i="208"/>
  <c r="Y70" i="208"/>
  <c r="AC69" i="208"/>
  <c r="AD69" i="208"/>
  <c r="G67" i="208"/>
  <c r="AF67" i="208" s="1"/>
  <c r="Y67" i="208"/>
  <c r="AC66" i="208"/>
  <c r="AD66" i="208"/>
  <c r="G64" i="208"/>
  <c r="Y64" i="208"/>
  <c r="AD63" i="208"/>
  <c r="AC63" i="208"/>
  <c r="G61" i="208"/>
  <c r="Y61" i="208"/>
  <c r="AC60" i="208"/>
  <c r="AD60" i="208"/>
  <c r="G58" i="208"/>
  <c r="Y58" i="208"/>
  <c r="AC57" i="208"/>
  <c r="AD57" i="208"/>
  <c r="G55" i="208"/>
  <c r="Y55" i="208"/>
  <c r="AC54" i="208"/>
  <c r="AD54" i="208"/>
  <c r="G52" i="208"/>
  <c r="Y52" i="208"/>
  <c r="AD51" i="208"/>
  <c r="AC51" i="208"/>
  <c r="G49" i="208"/>
  <c r="Y49" i="208"/>
  <c r="AC48" i="208"/>
  <c r="AD48" i="208"/>
  <c r="G46" i="208"/>
  <c r="V46" i="208" s="1"/>
  <c r="Y46" i="208"/>
  <c r="AC45" i="208"/>
  <c r="AD45" i="208"/>
  <c r="G43" i="208"/>
  <c r="Y43" i="208"/>
  <c r="AC42" i="208"/>
  <c r="AD42" i="208"/>
  <c r="G40" i="208"/>
  <c r="Y40" i="208"/>
  <c r="AD39" i="208"/>
  <c r="AC39" i="208"/>
  <c r="G37" i="208"/>
  <c r="Y37" i="208"/>
  <c r="AD36" i="208"/>
  <c r="AC36" i="208"/>
  <c r="G34" i="208"/>
  <c r="Y34" i="208"/>
  <c r="AC33" i="208"/>
  <c r="AD33" i="208"/>
  <c r="G31" i="208"/>
  <c r="Y31" i="208"/>
  <c r="AC30" i="208"/>
  <c r="AD30" i="208"/>
  <c r="G28" i="208"/>
  <c r="F28" i="208" s="1"/>
  <c r="T28" i="208" s="1"/>
  <c r="Y28" i="208"/>
  <c r="AD27" i="208"/>
  <c r="AC27" i="208"/>
  <c r="G25" i="208"/>
  <c r="Y25" i="208"/>
  <c r="AD24" i="208"/>
  <c r="AC24" i="208"/>
  <c r="G22" i="208"/>
  <c r="Y22" i="208"/>
  <c r="AC21" i="208"/>
  <c r="AD21" i="208"/>
  <c r="G19" i="208"/>
  <c r="Y19" i="208"/>
  <c r="AC18" i="208"/>
  <c r="AD18" i="208"/>
  <c r="G16" i="208"/>
  <c r="Y16" i="208"/>
  <c r="AD15" i="208"/>
  <c r="AC15" i="208"/>
  <c r="G13" i="208"/>
  <c r="Y13" i="208"/>
  <c r="AD12" i="208"/>
  <c r="AC12" i="208"/>
  <c r="G10" i="208"/>
  <c r="Y10" i="208"/>
  <c r="AC9" i="208"/>
  <c r="AD9" i="208"/>
  <c r="G7" i="208"/>
  <c r="Y7" i="208"/>
  <c r="AC6" i="208"/>
  <c r="AD6" i="208"/>
  <c r="G4" i="208"/>
  <c r="Y4" i="208"/>
  <c r="AD3" i="208"/>
  <c r="AC3" i="208"/>
  <c r="X264" i="208"/>
  <c r="X252" i="208"/>
  <c r="X240" i="208"/>
  <c r="X228" i="208"/>
  <c r="X216" i="208"/>
  <c r="X204" i="208"/>
  <c r="X192" i="208"/>
  <c r="X180" i="208"/>
  <c r="X168" i="208"/>
  <c r="X156" i="208"/>
  <c r="X144" i="208"/>
  <c r="X132" i="208"/>
  <c r="X120" i="208"/>
  <c r="X108" i="208"/>
  <c r="X96" i="208"/>
  <c r="X84" i="208"/>
  <c r="X72" i="208"/>
  <c r="X60" i="208"/>
  <c r="X48" i="208"/>
  <c r="X36" i="208"/>
  <c r="X24" i="208"/>
  <c r="X12" i="208"/>
  <c r="X273" i="208"/>
  <c r="X261" i="208"/>
  <c r="X249" i="208"/>
  <c r="X237" i="208"/>
  <c r="X225" i="208"/>
  <c r="X213" i="208"/>
  <c r="X201" i="208"/>
  <c r="X189" i="208"/>
  <c r="X177" i="208"/>
  <c r="X165" i="208"/>
  <c r="X153" i="208"/>
  <c r="X141" i="208"/>
  <c r="X129" i="208"/>
  <c r="X117" i="208"/>
  <c r="X105" i="208"/>
  <c r="X93" i="208"/>
  <c r="X81" i="208"/>
  <c r="X69" i="208"/>
  <c r="X57" i="208"/>
  <c r="X45" i="208"/>
  <c r="X33" i="208"/>
  <c r="X21" i="208"/>
  <c r="X9" i="208"/>
  <c r="AC271" i="208"/>
  <c r="AD271" i="208"/>
  <c r="G269" i="208"/>
  <c r="Y269" i="208"/>
  <c r="AD268" i="208"/>
  <c r="AC268" i="208"/>
  <c r="G266" i="208"/>
  <c r="Y266" i="208"/>
  <c r="AC265" i="208"/>
  <c r="AD265" i="208"/>
  <c r="G263" i="208"/>
  <c r="Y263" i="208"/>
  <c r="AC262" i="208"/>
  <c r="AD262" i="208"/>
  <c r="G260" i="208"/>
  <c r="Y260" i="208"/>
  <c r="AC259" i="208"/>
  <c r="AD259" i="208"/>
  <c r="G257" i="208"/>
  <c r="Y257" i="208"/>
  <c r="AD256" i="208"/>
  <c r="AC256" i="208"/>
  <c r="G254" i="208"/>
  <c r="Y254" i="208"/>
  <c r="AC253" i="208"/>
  <c r="AD253" i="208"/>
  <c r="G251" i="208"/>
  <c r="Y251" i="208"/>
  <c r="AC250" i="208"/>
  <c r="AD250" i="208"/>
  <c r="G248" i="208"/>
  <c r="Y248" i="208"/>
  <c r="AC247" i="208"/>
  <c r="AD247" i="208"/>
  <c r="G245" i="208"/>
  <c r="Y245" i="208"/>
  <c r="AD244" i="208"/>
  <c r="AC244" i="208"/>
  <c r="G242" i="208"/>
  <c r="Y242" i="208"/>
  <c r="AC241" i="208"/>
  <c r="AD241" i="208"/>
  <c r="G239" i="208"/>
  <c r="Y239" i="208"/>
  <c r="AC238" i="208"/>
  <c r="AD238" i="208"/>
  <c r="G236" i="208"/>
  <c r="Y236" i="208"/>
  <c r="AC235" i="208"/>
  <c r="AD235" i="208"/>
  <c r="G233" i="208"/>
  <c r="Y233" i="208"/>
  <c r="AD232" i="208"/>
  <c r="AC232" i="208"/>
  <c r="G230" i="208"/>
  <c r="Y230" i="208"/>
  <c r="AC229" i="208"/>
  <c r="AD229" i="208"/>
  <c r="G227" i="208"/>
  <c r="Y227" i="208"/>
  <c r="AC226" i="208"/>
  <c r="AD226" i="208"/>
  <c r="G224" i="208"/>
  <c r="Y224" i="208"/>
  <c r="AC223" i="208"/>
  <c r="AD223" i="208"/>
  <c r="G221" i="208"/>
  <c r="Y221" i="208"/>
  <c r="AD220" i="208"/>
  <c r="AC220" i="208"/>
  <c r="G218" i="208"/>
  <c r="Y218" i="208"/>
  <c r="AC217" i="208"/>
  <c r="AD217" i="208"/>
  <c r="G215" i="208"/>
  <c r="Y215" i="208"/>
  <c r="AC214" i="208"/>
  <c r="AD214" i="208"/>
  <c r="G212" i="208"/>
  <c r="Y212" i="208"/>
  <c r="AC211" i="208"/>
  <c r="AD211" i="208"/>
  <c r="G209" i="208"/>
  <c r="Y209" i="208"/>
  <c r="AD208" i="208"/>
  <c r="AC208" i="208"/>
  <c r="G206" i="208"/>
  <c r="Y206" i="208"/>
  <c r="AC205" i="208"/>
  <c r="AD205" i="208"/>
  <c r="G203" i="208"/>
  <c r="Y203" i="208"/>
  <c r="AC202" i="208"/>
  <c r="AD202" i="208"/>
  <c r="G200" i="208"/>
  <c r="Y200" i="208"/>
  <c r="AC199" i="208"/>
  <c r="AD199" i="208"/>
  <c r="G197" i="208"/>
  <c r="Y197" i="208"/>
  <c r="AD196" i="208"/>
  <c r="AC196" i="208"/>
  <c r="G194" i="208"/>
  <c r="AE194" i="208" s="1"/>
  <c r="Y194" i="208"/>
  <c r="AC193" i="208"/>
  <c r="AD193" i="208"/>
  <c r="G191" i="208"/>
  <c r="Y191" i="208"/>
  <c r="AC190" i="208"/>
  <c r="AD190" i="208"/>
  <c r="G188" i="208"/>
  <c r="Y188" i="208"/>
  <c r="AC187" i="208"/>
  <c r="AD187" i="208"/>
  <c r="G185" i="208"/>
  <c r="Y185" i="208"/>
  <c r="AD184" i="208"/>
  <c r="AC184" i="208"/>
  <c r="G182" i="208"/>
  <c r="Y182" i="208"/>
  <c r="AC181" i="208"/>
  <c r="AD181" i="208"/>
  <c r="G179" i="208"/>
  <c r="Y179" i="208"/>
  <c r="AC178" i="208"/>
  <c r="AD178" i="208"/>
  <c r="G176" i="208"/>
  <c r="Y176" i="208"/>
  <c r="AC175" i="208"/>
  <c r="AD175" i="208"/>
  <c r="G173" i="208"/>
  <c r="Y173" i="208"/>
  <c r="AD172" i="208"/>
  <c r="AC172" i="208"/>
  <c r="G170" i="208"/>
  <c r="Y170" i="208"/>
  <c r="AC169" i="208"/>
  <c r="AD169" i="208"/>
  <c r="G167" i="208"/>
  <c r="Y167" i="208"/>
  <c r="AC166" i="208"/>
  <c r="AD166" i="208"/>
  <c r="G164" i="208"/>
  <c r="Y164" i="208"/>
  <c r="AC163" i="208"/>
  <c r="AD163" i="208"/>
  <c r="G161" i="208"/>
  <c r="Y161" i="208"/>
  <c r="AD160" i="208"/>
  <c r="AC160" i="208"/>
  <c r="G158" i="208"/>
  <c r="Y158" i="208"/>
  <c r="AC157" i="208"/>
  <c r="AD157" i="208"/>
  <c r="G155" i="208"/>
  <c r="Y155" i="208"/>
  <c r="AC154" i="208"/>
  <c r="AD154" i="208"/>
  <c r="G152" i="208"/>
  <c r="Y152" i="208"/>
  <c r="AC151" i="208"/>
  <c r="AD151" i="208"/>
  <c r="G149" i="208"/>
  <c r="Y149" i="208"/>
  <c r="AD148" i="208"/>
  <c r="AC148" i="208"/>
  <c r="G146" i="208"/>
  <c r="Y146" i="208"/>
  <c r="AC145" i="208"/>
  <c r="AD145" i="208"/>
  <c r="G143" i="208"/>
  <c r="Y143" i="208"/>
  <c r="AC142" i="208"/>
  <c r="AD142" i="208"/>
  <c r="G140" i="208"/>
  <c r="Y140" i="208"/>
  <c r="AC139" i="208"/>
  <c r="AD139" i="208"/>
  <c r="G137" i="208"/>
  <c r="Y137" i="208"/>
  <c r="AD136" i="208"/>
  <c r="AC136" i="208"/>
  <c r="G134" i="208"/>
  <c r="Y134" i="208"/>
  <c r="AC133" i="208"/>
  <c r="AD133" i="208"/>
  <c r="G131" i="208"/>
  <c r="Y131" i="208"/>
  <c r="AC130" i="208"/>
  <c r="AD130" i="208"/>
  <c r="G128" i="208"/>
  <c r="Y128" i="208"/>
  <c r="AC127" i="208"/>
  <c r="AD127" i="208"/>
  <c r="G125" i="208"/>
  <c r="Y125" i="208"/>
  <c r="AD124" i="208"/>
  <c r="AC124" i="208"/>
  <c r="G122" i="208"/>
  <c r="Y122" i="208"/>
  <c r="AC121" i="208"/>
  <c r="AD121" i="208"/>
  <c r="G119" i="208"/>
  <c r="Y119" i="208"/>
  <c r="AC118" i="208"/>
  <c r="AD118" i="208"/>
  <c r="G116" i="208"/>
  <c r="Y116" i="208"/>
  <c r="AC115" i="208"/>
  <c r="AD115" i="208"/>
  <c r="G113" i="208"/>
  <c r="Y113" i="208"/>
  <c r="AD112" i="208"/>
  <c r="AC112" i="208"/>
  <c r="G110" i="208"/>
  <c r="Y110" i="208"/>
  <c r="AC109" i="208"/>
  <c r="AD109" i="208"/>
  <c r="G107" i="208"/>
  <c r="Y107" i="208"/>
  <c r="AC106" i="208"/>
  <c r="AD106" i="208"/>
  <c r="G104" i="208"/>
  <c r="Y104" i="208"/>
  <c r="AC103" i="208"/>
  <c r="AD103" i="208"/>
  <c r="G101" i="208"/>
  <c r="Y101" i="208"/>
  <c r="AD100" i="208"/>
  <c r="AC100" i="208"/>
  <c r="G98" i="208"/>
  <c r="Y98" i="208"/>
  <c r="AC97" i="208"/>
  <c r="AD97" i="208"/>
  <c r="G95" i="208"/>
  <c r="Y95" i="208"/>
  <c r="AC94" i="208"/>
  <c r="AD94" i="208"/>
  <c r="G92" i="208"/>
  <c r="Y92" i="208"/>
  <c r="AC91" i="208"/>
  <c r="AD91" i="208"/>
  <c r="G89" i="208"/>
  <c r="Y89" i="208"/>
  <c r="AD88" i="208"/>
  <c r="AC88" i="208"/>
  <c r="G86" i="208"/>
  <c r="Y86" i="208"/>
  <c r="AC85" i="208"/>
  <c r="AD85" i="208"/>
  <c r="G83" i="208"/>
  <c r="Y83" i="208"/>
  <c r="AC82" i="208"/>
  <c r="AD82" i="208"/>
  <c r="G80" i="208"/>
  <c r="Y80" i="208"/>
  <c r="AC79" i="208"/>
  <c r="AD79" i="208"/>
  <c r="G77" i="208"/>
  <c r="Y77" i="208"/>
  <c r="AD76" i="208"/>
  <c r="AC76" i="208"/>
  <c r="G74" i="208"/>
  <c r="Y74" i="208"/>
  <c r="AC73" i="208"/>
  <c r="AD73" i="208"/>
  <c r="G71" i="208"/>
  <c r="Y71" i="208"/>
  <c r="AC70" i="208"/>
  <c r="AD70" i="208"/>
  <c r="G68" i="208"/>
  <c r="Y68" i="208"/>
  <c r="AC67" i="208"/>
  <c r="AD67" i="208"/>
  <c r="G65" i="208"/>
  <c r="Y65" i="208"/>
  <c r="AD64" i="208"/>
  <c r="AC64" i="208"/>
  <c r="G62" i="208"/>
  <c r="Y62" i="208"/>
  <c r="AC61" i="208"/>
  <c r="AD61" i="208"/>
  <c r="G59" i="208"/>
  <c r="AF59" i="208" s="1"/>
  <c r="Y59" i="208"/>
  <c r="AC58" i="208"/>
  <c r="AD58" i="208"/>
  <c r="G56" i="208"/>
  <c r="Y56" i="208"/>
  <c r="AC55" i="208"/>
  <c r="AD55" i="208"/>
  <c r="G53" i="208"/>
  <c r="Y53" i="208"/>
  <c r="AD52" i="208"/>
  <c r="AC52" i="208"/>
  <c r="G50" i="208"/>
  <c r="Y50" i="208"/>
  <c r="AC49" i="208"/>
  <c r="AD49" i="208"/>
  <c r="G47" i="208"/>
  <c r="Y47" i="208"/>
  <c r="AC46" i="208"/>
  <c r="AD46" i="208"/>
  <c r="G44" i="208"/>
  <c r="Y44" i="208"/>
  <c r="AC43" i="208"/>
  <c r="AD43" i="208"/>
  <c r="G41" i="208"/>
  <c r="Y41" i="208"/>
  <c r="AD40" i="208"/>
  <c r="AC40" i="208"/>
  <c r="G38" i="208"/>
  <c r="Y38" i="208"/>
  <c r="AC37" i="208"/>
  <c r="AD37" i="208"/>
  <c r="G35" i="208"/>
  <c r="Y35" i="208"/>
  <c r="AC34" i="208"/>
  <c r="AD34" i="208"/>
  <c r="G32" i="208"/>
  <c r="Y32" i="208"/>
  <c r="AC31" i="208"/>
  <c r="AD31" i="208"/>
  <c r="G29" i="208"/>
  <c r="Y29" i="208"/>
  <c r="AD28" i="208"/>
  <c r="AC28" i="208"/>
  <c r="G26" i="208"/>
  <c r="Y26" i="208"/>
  <c r="AC25" i="208"/>
  <c r="AD25" i="208"/>
  <c r="G23" i="208"/>
  <c r="Y23" i="208"/>
  <c r="AC22" i="208"/>
  <c r="AD22" i="208"/>
  <c r="G20" i="208"/>
  <c r="Y20" i="208"/>
  <c r="AC19" i="208"/>
  <c r="AD19" i="208"/>
  <c r="G17" i="208"/>
  <c r="Y17" i="208"/>
  <c r="AD16" i="208"/>
  <c r="AC16" i="208"/>
  <c r="G14" i="208"/>
  <c r="Y14" i="208"/>
  <c r="AC13" i="208"/>
  <c r="AD13" i="208"/>
  <c r="G11" i="208"/>
  <c r="Y11" i="208"/>
  <c r="AC10" i="208"/>
  <c r="AD10" i="208"/>
  <c r="G8" i="208"/>
  <c r="Y8" i="208"/>
  <c r="AC7" i="208"/>
  <c r="AD7" i="208"/>
  <c r="G5" i="208"/>
  <c r="Y5" i="208"/>
  <c r="AD4" i="208"/>
  <c r="AC4" i="208"/>
  <c r="X271" i="208"/>
  <c r="X259" i="208"/>
  <c r="X247" i="208"/>
  <c r="X235" i="208"/>
  <c r="X223" i="208"/>
  <c r="X211" i="208"/>
  <c r="X199" i="208"/>
  <c r="X187" i="208"/>
  <c r="X175" i="208"/>
  <c r="X163" i="208"/>
  <c r="X151" i="208"/>
  <c r="X139" i="208"/>
  <c r="X127" i="208"/>
  <c r="X115" i="208"/>
  <c r="X103" i="208"/>
  <c r="X91" i="208"/>
  <c r="X79" i="208"/>
  <c r="X67" i="208"/>
  <c r="X55" i="208"/>
  <c r="X43" i="208"/>
  <c r="X31" i="208"/>
  <c r="X19" i="208"/>
  <c r="X7" i="208"/>
  <c r="X270" i="208"/>
  <c r="X258" i="208"/>
  <c r="X246" i="208"/>
  <c r="X234" i="208"/>
  <c r="X222" i="208"/>
  <c r="X210" i="208"/>
  <c r="X198" i="208"/>
  <c r="X186" i="208"/>
  <c r="X174" i="208"/>
  <c r="X162" i="208"/>
  <c r="X150" i="208"/>
  <c r="X138" i="208"/>
  <c r="X126" i="208"/>
  <c r="X114" i="208"/>
  <c r="X102" i="208"/>
  <c r="X90" i="208"/>
  <c r="X78" i="208"/>
  <c r="X66" i="208"/>
  <c r="X54" i="208"/>
  <c r="X42" i="208"/>
  <c r="X30" i="208"/>
  <c r="X18" i="208"/>
  <c r="X6" i="208"/>
  <c r="G270" i="208"/>
  <c r="Y270" i="208"/>
  <c r="AC269" i="208"/>
  <c r="AD269" i="208"/>
  <c r="G267" i="208"/>
  <c r="Y267" i="208"/>
  <c r="AD266" i="208"/>
  <c r="AC266" i="208"/>
  <c r="G264" i="208"/>
  <c r="Y264" i="208"/>
  <c r="AC263" i="208"/>
  <c r="AD263" i="208"/>
  <c r="G261" i="208"/>
  <c r="Y261" i="208"/>
  <c r="AC260" i="208"/>
  <c r="AD260" i="208"/>
  <c r="G258" i="208"/>
  <c r="Y258" i="208"/>
  <c r="AC257" i="208"/>
  <c r="AD257" i="208"/>
  <c r="G255" i="208"/>
  <c r="Y255" i="208"/>
  <c r="AC254" i="208"/>
  <c r="AD254" i="208"/>
  <c r="G252" i="208"/>
  <c r="Y252" i="208"/>
  <c r="AC251" i="208"/>
  <c r="AD251" i="208"/>
  <c r="G249" i="208"/>
  <c r="Y249" i="208"/>
  <c r="AC248" i="208"/>
  <c r="AD248" i="208"/>
  <c r="G246" i="208"/>
  <c r="Y246" i="208"/>
  <c r="AC245" i="208"/>
  <c r="AD245" i="208"/>
  <c r="G243" i="208"/>
  <c r="Y243" i="208"/>
  <c r="AC242" i="208"/>
  <c r="AD242" i="208"/>
  <c r="G240" i="208"/>
  <c r="Y240" i="208"/>
  <c r="AC239" i="208"/>
  <c r="AD239" i="208"/>
  <c r="G237" i="208"/>
  <c r="Y237" i="208"/>
  <c r="AC236" i="208"/>
  <c r="AD236" i="208"/>
  <c r="G234" i="208"/>
  <c r="Y234" i="208"/>
  <c r="AC233" i="208"/>
  <c r="AD233" i="208"/>
  <c r="G231" i="208"/>
  <c r="Y231" i="208"/>
  <c r="AC230" i="208"/>
  <c r="AD230" i="208"/>
  <c r="G228" i="208"/>
  <c r="Y228" i="208"/>
  <c r="AC227" i="208"/>
  <c r="AD227" i="208"/>
  <c r="G225" i="208"/>
  <c r="Y225" i="208"/>
  <c r="AC224" i="208"/>
  <c r="AD224" i="208"/>
  <c r="G222" i="208"/>
  <c r="Y222" i="208"/>
  <c r="AC221" i="208"/>
  <c r="AD221" i="208"/>
  <c r="G219" i="208"/>
  <c r="Y219" i="208"/>
  <c r="AC218" i="208"/>
  <c r="AD218" i="208"/>
  <c r="G216" i="208"/>
  <c r="Y216" i="208"/>
  <c r="AC215" i="208"/>
  <c r="AD215" i="208"/>
  <c r="G213" i="208"/>
  <c r="Y213" i="208"/>
  <c r="AC212" i="208"/>
  <c r="AD212" i="208"/>
  <c r="G210" i="208"/>
  <c r="Y210" i="208"/>
  <c r="AC209" i="208"/>
  <c r="AD209" i="208"/>
  <c r="G207" i="208"/>
  <c r="Y207" i="208"/>
  <c r="AC206" i="208"/>
  <c r="AD206" i="208"/>
  <c r="G204" i="208"/>
  <c r="Y204" i="208"/>
  <c r="AC203" i="208"/>
  <c r="AD203" i="208"/>
  <c r="G201" i="208"/>
  <c r="Y201" i="208"/>
  <c r="AC200" i="208"/>
  <c r="AD200" i="208"/>
  <c r="G198" i="208"/>
  <c r="Y198" i="208"/>
  <c r="AC197" i="208"/>
  <c r="AD197" i="208"/>
  <c r="G195" i="208"/>
  <c r="Y195" i="208"/>
  <c r="AC194" i="208"/>
  <c r="AD194" i="208"/>
  <c r="G192" i="208"/>
  <c r="AF192" i="208" s="1"/>
  <c r="Y192" i="208"/>
  <c r="AC191" i="208"/>
  <c r="AD191" i="208"/>
  <c r="G189" i="208"/>
  <c r="Y189" i="208"/>
  <c r="AC188" i="208"/>
  <c r="AD188" i="208"/>
  <c r="G186" i="208"/>
  <c r="Y186" i="208"/>
  <c r="AC185" i="208"/>
  <c r="AD185" i="208"/>
  <c r="G183" i="208"/>
  <c r="Y183" i="208"/>
  <c r="AC182" i="208"/>
  <c r="AD182" i="208"/>
  <c r="G180" i="208"/>
  <c r="Y180" i="208"/>
  <c r="AC179" i="208"/>
  <c r="AD179" i="208"/>
  <c r="G177" i="208"/>
  <c r="Y177" i="208"/>
  <c r="AC176" i="208"/>
  <c r="AD176" i="208"/>
  <c r="G174" i="208"/>
  <c r="Y174" i="208"/>
  <c r="AC173" i="208"/>
  <c r="AD173" i="208"/>
  <c r="G171" i="208"/>
  <c r="Y171" i="208"/>
  <c r="AC170" i="208"/>
  <c r="AD170" i="208"/>
  <c r="G168" i="208"/>
  <c r="Y168" i="208"/>
  <c r="AC167" i="208"/>
  <c r="AD167" i="208"/>
  <c r="G165" i="208"/>
  <c r="Y165" i="208"/>
  <c r="AC164" i="208"/>
  <c r="AD164" i="208"/>
  <c r="G162" i="208"/>
  <c r="Y162" i="208"/>
  <c r="AC161" i="208"/>
  <c r="AD161" i="208"/>
  <c r="G159" i="208"/>
  <c r="Y159" i="208"/>
  <c r="AC158" i="208"/>
  <c r="AD158" i="208"/>
  <c r="G156" i="208"/>
  <c r="Y156" i="208"/>
  <c r="AC155" i="208"/>
  <c r="AD155" i="208"/>
  <c r="G153" i="208"/>
  <c r="Y153" i="208"/>
  <c r="AC152" i="208"/>
  <c r="AD152" i="208"/>
  <c r="G150" i="208"/>
  <c r="Y150" i="208"/>
  <c r="AC149" i="208"/>
  <c r="AD149" i="208"/>
  <c r="G147" i="208"/>
  <c r="Y147" i="208"/>
  <c r="AC146" i="208"/>
  <c r="AD146" i="208"/>
  <c r="G144" i="208"/>
  <c r="Y144" i="208"/>
  <c r="AC143" i="208"/>
  <c r="AD143" i="208"/>
  <c r="G141" i="208"/>
  <c r="Y141" i="208"/>
  <c r="AC140" i="208"/>
  <c r="AD140" i="208"/>
  <c r="G138" i="208"/>
  <c r="Y138" i="208"/>
  <c r="AC137" i="208"/>
  <c r="AD137" i="208"/>
  <c r="G135" i="208"/>
  <c r="Y135" i="208"/>
  <c r="AC134" i="208"/>
  <c r="AD134" i="208"/>
  <c r="G132" i="208"/>
  <c r="Y132" i="208"/>
  <c r="AC131" i="208"/>
  <c r="AD131" i="208"/>
  <c r="G129" i="208"/>
  <c r="Y129" i="208"/>
  <c r="AC128" i="208"/>
  <c r="AD128" i="208"/>
  <c r="G126" i="208"/>
  <c r="Y126" i="208"/>
  <c r="AC125" i="208"/>
  <c r="AD125" i="208"/>
  <c r="G123" i="208"/>
  <c r="Y123" i="208"/>
  <c r="AC122" i="208"/>
  <c r="AD122" i="208"/>
  <c r="G120" i="208"/>
  <c r="AF120" i="208" s="1"/>
  <c r="Y120" i="208"/>
  <c r="AC119" i="208"/>
  <c r="AD119" i="208"/>
  <c r="G117" i="208"/>
  <c r="Y117" i="208"/>
  <c r="AC116" i="208"/>
  <c r="AD116" i="208"/>
  <c r="G114" i="208"/>
  <c r="Y114" i="208"/>
  <c r="AC113" i="208"/>
  <c r="AD113" i="208"/>
  <c r="G111" i="208"/>
  <c r="Y111" i="208"/>
  <c r="AC110" i="208"/>
  <c r="AD110" i="208"/>
  <c r="G108" i="208"/>
  <c r="Y108" i="208"/>
  <c r="AC107" i="208"/>
  <c r="AD107" i="208"/>
  <c r="G105" i="208"/>
  <c r="Y105" i="208"/>
  <c r="AC104" i="208"/>
  <c r="AD104" i="208"/>
  <c r="G102" i="208"/>
  <c r="Y102" i="208"/>
  <c r="AC101" i="208"/>
  <c r="AD101" i="208"/>
  <c r="G99" i="208"/>
  <c r="Y99" i="208"/>
  <c r="AD98" i="208"/>
  <c r="AC98" i="208"/>
  <c r="G96" i="208"/>
  <c r="Y96" i="208"/>
  <c r="AC95" i="208"/>
  <c r="AD95" i="208"/>
  <c r="G93" i="208"/>
  <c r="Y93" i="208"/>
  <c r="AC92" i="208"/>
  <c r="AD92" i="208"/>
  <c r="G90" i="208"/>
  <c r="Y90" i="208"/>
  <c r="AC89" i="208"/>
  <c r="AD89" i="208"/>
  <c r="G87" i="208"/>
  <c r="Y87" i="208"/>
  <c r="AC86" i="208"/>
  <c r="AD86" i="208"/>
  <c r="G84" i="208"/>
  <c r="Y84" i="208"/>
  <c r="AC83" i="208"/>
  <c r="AD83" i="208"/>
  <c r="G81" i="208"/>
  <c r="Y81" i="208"/>
  <c r="AC80" i="208"/>
  <c r="AD80" i="208"/>
  <c r="G78" i="208"/>
  <c r="Y78" i="208"/>
  <c r="AC77" i="208"/>
  <c r="AD77" i="208"/>
  <c r="G75" i="208"/>
  <c r="Y75" i="208"/>
  <c r="AC74" i="208"/>
  <c r="AD74" i="208"/>
  <c r="G72" i="208"/>
  <c r="Y72" i="208"/>
  <c r="AC71" i="208"/>
  <c r="AD71" i="208"/>
  <c r="G69" i="208"/>
  <c r="Y69" i="208"/>
  <c r="AC68" i="208"/>
  <c r="AD68" i="208"/>
  <c r="G66" i="208"/>
  <c r="Y66" i="208"/>
  <c r="AC65" i="208"/>
  <c r="AD65" i="208"/>
  <c r="G63" i="208"/>
  <c r="Y63" i="208"/>
  <c r="AC62" i="208"/>
  <c r="AD62" i="208"/>
  <c r="G60" i="208"/>
  <c r="Y60" i="208"/>
  <c r="AC59" i="208"/>
  <c r="AD59" i="208"/>
  <c r="G57" i="208"/>
  <c r="Y57" i="208"/>
  <c r="AC56" i="208"/>
  <c r="AD56" i="208"/>
  <c r="G54" i="208"/>
  <c r="Y54" i="208"/>
  <c r="AC53" i="208"/>
  <c r="AD53" i="208"/>
  <c r="G51" i="208"/>
  <c r="Y51" i="208"/>
  <c r="AC50" i="208"/>
  <c r="AD50" i="208"/>
  <c r="G48" i="208"/>
  <c r="Y48" i="208"/>
  <c r="AC47" i="208"/>
  <c r="AD47" i="208"/>
  <c r="G45" i="208"/>
  <c r="Y45" i="208"/>
  <c r="AC44" i="208"/>
  <c r="AD44" i="208"/>
  <c r="G42" i="208"/>
  <c r="Y42" i="208"/>
  <c r="AC41" i="208"/>
  <c r="AD41" i="208"/>
  <c r="G39" i="208"/>
  <c r="Y39" i="208"/>
  <c r="AC38" i="208"/>
  <c r="AD38" i="208"/>
  <c r="G36" i="208"/>
  <c r="Y36" i="208"/>
  <c r="AC35" i="208"/>
  <c r="AD35" i="208"/>
  <c r="G33" i="208"/>
  <c r="Y33" i="208"/>
  <c r="AC32" i="208"/>
  <c r="AD32" i="208"/>
  <c r="G30" i="208"/>
  <c r="Y30" i="208"/>
  <c r="AC29" i="208"/>
  <c r="AD29" i="208"/>
  <c r="G27" i="208"/>
  <c r="Y27" i="208"/>
  <c r="AC26" i="208"/>
  <c r="AD26" i="208"/>
  <c r="G24" i="208"/>
  <c r="Y24" i="208"/>
  <c r="AC23" i="208"/>
  <c r="AD23" i="208"/>
  <c r="G21" i="208"/>
  <c r="Y21" i="208"/>
  <c r="AC20" i="208"/>
  <c r="AD20" i="208"/>
  <c r="G18" i="208"/>
  <c r="Y18" i="208"/>
  <c r="AC17" i="208"/>
  <c r="AD17" i="208"/>
  <c r="G15" i="208"/>
  <c r="Y15" i="208"/>
  <c r="AC14" i="208"/>
  <c r="AD14" i="208"/>
  <c r="G12" i="208"/>
  <c r="Y12" i="208"/>
  <c r="AC11" i="208"/>
  <c r="AD11" i="208"/>
  <c r="G9" i="208"/>
  <c r="Y9" i="208"/>
  <c r="AC8" i="208"/>
  <c r="AD8" i="208"/>
  <c r="G6" i="208"/>
  <c r="Y6" i="208"/>
  <c r="AC5" i="208"/>
  <c r="AD5" i="208"/>
  <c r="G3" i="208"/>
  <c r="Y3" i="208"/>
  <c r="X268" i="208"/>
  <c r="X256" i="208"/>
  <c r="X244" i="208"/>
  <c r="X232" i="208"/>
  <c r="X220" i="208"/>
  <c r="X208" i="208"/>
  <c r="X196" i="208"/>
  <c r="X184" i="208"/>
  <c r="X172" i="208"/>
  <c r="X160" i="208"/>
  <c r="X148" i="208"/>
  <c r="X136" i="208"/>
  <c r="X124" i="208"/>
  <c r="X112" i="208"/>
  <c r="X100" i="208"/>
  <c r="X88" i="208"/>
  <c r="X76" i="208"/>
  <c r="X64" i="208"/>
  <c r="X52" i="208"/>
  <c r="X40" i="208"/>
  <c r="X28" i="208"/>
  <c r="X16" i="208"/>
  <c r="X4" i="208"/>
  <c r="X267" i="208"/>
  <c r="X255" i="208"/>
  <c r="X243" i="208"/>
  <c r="X231" i="208"/>
  <c r="X219" i="208"/>
  <c r="X207" i="208"/>
  <c r="X195" i="208"/>
  <c r="X183" i="208"/>
  <c r="X171" i="208"/>
  <c r="X159" i="208"/>
  <c r="X147" i="208"/>
  <c r="X135" i="208"/>
  <c r="X123" i="208"/>
  <c r="X111" i="208"/>
  <c r="X99" i="208"/>
  <c r="X87" i="208"/>
  <c r="X75" i="208"/>
  <c r="X63" i="208"/>
  <c r="X51" i="208"/>
  <c r="X39" i="208"/>
  <c r="X27" i="208"/>
  <c r="X15" i="208"/>
  <c r="X3" i="208"/>
  <c r="X266" i="208"/>
  <c r="X254" i="208"/>
  <c r="X242" i="208"/>
  <c r="X230" i="208"/>
  <c r="X218" i="208"/>
  <c r="X206" i="208"/>
  <c r="X194" i="208"/>
  <c r="X182" i="208"/>
  <c r="X170" i="208"/>
  <c r="X158" i="208"/>
  <c r="X146" i="208"/>
  <c r="X134" i="208"/>
  <c r="X122" i="208"/>
  <c r="X110" i="208"/>
  <c r="X98" i="208"/>
  <c r="X86" i="208"/>
  <c r="X74" i="208"/>
  <c r="X62" i="208"/>
  <c r="X50" i="208"/>
  <c r="X38" i="208"/>
  <c r="X26" i="208"/>
  <c r="X14" i="208"/>
  <c r="AF2975" i="208"/>
  <c r="AE2975" i="208"/>
  <c r="AF2951" i="208"/>
  <c r="AE2951" i="208"/>
  <c r="AF2930" i="208"/>
  <c r="AE2930" i="208"/>
  <c r="AF2912" i="208"/>
  <c r="AE2912" i="208"/>
  <c r="AF2846" i="208"/>
  <c r="AE2846" i="208"/>
  <c r="AF2825" i="208"/>
  <c r="AE2825" i="208"/>
  <c r="AF2810" i="208"/>
  <c r="AE2810" i="208"/>
  <c r="AF2768" i="208"/>
  <c r="AE2768" i="208"/>
  <c r="AF2747" i="208"/>
  <c r="AE2747" i="208"/>
  <c r="AF2660" i="208"/>
  <c r="AE2660" i="208"/>
  <c r="AF2633" i="208"/>
  <c r="AE2633" i="208"/>
  <c r="AF2603" i="208"/>
  <c r="AE2603" i="208"/>
  <c r="AF2588" i="208"/>
  <c r="AE2588" i="208"/>
  <c r="AF2567" i="208"/>
  <c r="AE2567" i="208"/>
  <c r="AF2519" i="208"/>
  <c r="AE2519" i="208"/>
  <c r="AF2474" i="208"/>
  <c r="AE2474" i="208"/>
  <c r="AF2459" i="208"/>
  <c r="AE2459" i="208"/>
  <c r="AF2432" i="208"/>
  <c r="AE2432" i="208"/>
  <c r="AF2414" i="208"/>
  <c r="AE2414" i="208"/>
  <c r="AF2369" i="208"/>
  <c r="AE2369" i="208"/>
  <c r="AF2351" i="208"/>
  <c r="AE2351" i="208"/>
  <c r="AF2333" i="208"/>
  <c r="AE2333" i="208"/>
  <c r="AF2300" i="208"/>
  <c r="AE2300" i="208"/>
  <c r="AF2282" i="208"/>
  <c r="AE2282" i="208"/>
  <c r="AF2231" i="208"/>
  <c r="AE2231" i="208"/>
  <c r="AF2195" i="208"/>
  <c r="AE2195" i="208"/>
  <c r="AE2153" i="208"/>
  <c r="AF2141" i="208"/>
  <c r="AF2132" i="208"/>
  <c r="AE2132" i="208"/>
  <c r="AF2117" i="208"/>
  <c r="AE2117" i="208"/>
  <c r="AF2105" i="208"/>
  <c r="AE2105" i="208"/>
  <c r="AF2084" i="208"/>
  <c r="AE2084" i="208"/>
  <c r="AF2069" i="208"/>
  <c r="AE2069" i="208"/>
  <c r="AF2060" i="208"/>
  <c r="AE2060" i="208"/>
  <c r="AF2051" i="208"/>
  <c r="AE2051" i="208"/>
  <c r="AF2042" i="208"/>
  <c r="AE2042" i="208"/>
  <c r="AF2015" i="208"/>
  <c r="AE2015" i="208"/>
  <c r="AF1994" i="208"/>
  <c r="AE1994" i="208"/>
  <c r="AF1964" i="208"/>
  <c r="AE1964" i="208"/>
  <c r="AF1940" i="208"/>
  <c r="AE1940" i="208"/>
  <c r="AE1913" i="208"/>
  <c r="AF1913" i="208"/>
  <c r="AF1883" i="208"/>
  <c r="AE1883" i="208"/>
  <c r="AF1871" i="208"/>
  <c r="AE1871" i="208"/>
  <c r="AF1850" i="208"/>
  <c r="AE1850" i="208"/>
  <c r="AF1817" i="208"/>
  <c r="AE1817" i="208"/>
  <c r="AF1799" i="208"/>
  <c r="AE1799" i="208"/>
  <c r="AF1793" i="208"/>
  <c r="AE1793" i="208"/>
  <c r="AF1772" i="208"/>
  <c r="AE1772" i="208"/>
  <c r="AF1763" i="208"/>
  <c r="AE1763" i="208"/>
  <c r="AF1757" i="208"/>
  <c r="AE1757" i="208"/>
  <c r="AF1733" i="208"/>
  <c r="AE1733" i="208"/>
  <c r="AF1724" i="208"/>
  <c r="AE1724" i="208"/>
  <c r="AF1715" i="208"/>
  <c r="AE1715" i="208"/>
  <c r="AF1658" i="208"/>
  <c r="AE1658" i="208"/>
  <c r="AF1634" i="208"/>
  <c r="AE1634" i="208"/>
  <c r="AF1619" i="208"/>
  <c r="AE1619" i="208"/>
  <c r="AF1610" i="208"/>
  <c r="AE1610" i="208"/>
  <c r="AF1580" i="208"/>
  <c r="AE1580" i="208"/>
  <c r="AF1550" i="208"/>
  <c r="AE1550" i="208"/>
  <c r="AF1541" i="208"/>
  <c r="AE1541" i="208"/>
  <c r="AF1529" i="208"/>
  <c r="AE1529" i="208"/>
  <c r="AF1511" i="208"/>
  <c r="AE1511" i="208"/>
  <c r="AF1484" i="208"/>
  <c r="AE1484" i="208"/>
  <c r="AF1475" i="208"/>
  <c r="AE1475" i="208"/>
  <c r="AF1466" i="208"/>
  <c r="AE1466" i="208"/>
  <c r="AF1451" i="208"/>
  <c r="AE1451" i="208"/>
  <c r="AF1439" i="208"/>
  <c r="AE1439" i="208"/>
  <c r="AF1418" i="208"/>
  <c r="AE1418" i="208"/>
  <c r="AF1385" i="208"/>
  <c r="AE1385" i="208"/>
  <c r="AF1361" i="208"/>
  <c r="AE1361" i="208"/>
  <c r="AF1337" i="208"/>
  <c r="AE1337" i="208"/>
  <c r="AF1328" i="208"/>
  <c r="AE1328" i="208"/>
  <c r="AF1304" i="208"/>
  <c r="AE1304" i="208"/>
  <c r="AF1295" i="208"/>
  <c r="AE1295" i="208"/>
  <c r="AF1277" i="208"/>
  <c r="AF1268" i="208"/>
  <c r="AE1268" i="208"/>
  <c r="AF1262" i="208"/>
  <c r="AE1262" i="208"/>
  <c r="AF1241" i="208"/>
  <c r="AE1241" i="208"/>
  <c r="AF1223" i="208"/>
  <c r="AE1223" i="208"/>
  <c r="AF1205" i="208"/>
  <c r="AE1205" i="208"/>
  <c r="AF1199" i="208"/>
  <c r="AE1199" i="208"/>
  <c r="AF1160" i="208"/>
  <c r="AE1160" i="208"/>
  <c r="AF1151" i="208"/>
  <c r="AE1151" i="208"/>
  <c r="AF1136" i="208"/>
  <c r="AE1136" i="208"/>
  <c r="AF1109" i="208"/>
  <c r="AE1109" i="208"/>
  <c r="AF1097" i="208"/>
  <c r="AE1097" i="208"/>
  <c r="AF1073" i="208"/>
  <c r="AE1073" i="208"/>
  <c r="AF1061" i="208"/>
  <c r="AE1061" i="208"/>
  <c r="AF1052" i="208"/>
  <c r="AE1052" i="208"/>
  <c r="AF1034" i="208"/>
  <c r="AE1034" i="208"/>
  <c r="AF1019" i="208"/>
  <c r="AE1019" i="208"/>
  <c r="AF1010" i="208"/>
  <c r="AE1010" i="208"/>
  <c r="AF956" i="208"/>
  <c r="AE956" i="208"/>
  <c r="AF935" i="208"/>
  <c r="AE935" i="208"/>
  <c r="AF929" i="208"/>
  <c r="AE929" i="208"/>
  <c r="AF917" i="208"/>
  <c r="AE917" i="208"/>
  <c r="AF896" i="208"/>
  <c r="AE896" i="208"/>
  <c r="AF890" i="208"/>
  <c r="AE890" i="208"/>
  <c r="AF872" i="208"/>
  <c r="AE872" i="208"/>
  <c r="AF863" i="208"/>
  <c r="AE863" i="208"/>
  <c r="AE857" i="208"/>
  <c r="AF851" i="208"/>
  <c r="AE851" i="208"/>
  <c r="AF839" i="208"/>
  <c r="AE839" i="208"/>
  <c r="AF812" i="208"/>
  <c r="AE812" i="208"/>
  <c r="AF791" i="208"/>
  <c r="AE791" i="208"/>
  <c r="AF773" i="208"/>
  <c r="AE773" i="208"/>
  <c r="AF761" i="208"/>
  <c r="AE761" i="208"/>
  <c r="AF752" i="208"/>
  <c r="AE752" i="208"/>
  <c r="AF722" i="208"/>
  <c r="AF692" i="208"/>
  <c r="AE692" i="208"/>
  <c r="AF662" i="208"/>
  <c r="AE662" i="208"/>
  <c r="AF647" i="208"/>
  <c r="AE647" i="208"/>
  <c r="AF605" i="208"/>
  <c r="AE605" i="208"/>
  <c r="AF584" i="208"/>
  <c r="AE584" i="208"/>
  <c r="AF575" i="208"/>
  <c r="AE575" i="208"/>
  <c r="AF563" i="208"/>
  <c r="AE563" i="208"/>
  <c r="AF551" i="208"/>
  <c r="AE551" i="208"/>
  <c r="AF518" i="208"/>
  <c r="AE518" i="208"/>
  <c r="AF500" i="208"/>
  <c r="AE500" i="208"/>
  <c r="AF467" i="208"/>
  <c r="AE467" i="208"/>
  <c r="AF440" i="208"/>
  <c r="AE440" i="208"/>
  <c r="AF428" i="208"/>
  <c r="AE428" i="208"/>
  <c r="AF416" i="208"/>
  <c r="AE416" i="208"/>
  <c r="AF377" i="208"/>
  <c r="AE377" i="208"/>
  <c r="AF356" i="208"/>
  <c r="AE356" i="208"/>
  <c r="AF350" i="208"/>
  <c r="AE350" i="208"/>
  <c r="AF341" i="208"/>
  <c r="AE341" i="208"/>
  <c r="AF317" i="208"/>
  <c r="AE317" i="208"/>
  <c r="AF2945" i="208"/>
  <c r="AE2945" i="208"/>
  <c r="AF2915" i="208"/>
  <c r="AE2915" i="208"/>
  <c r="AF2867" i="208"/>
  <c r="AE2867" i="208"/>
  <c r="AF2837" i="208"/>
  <c r="AE2837" i="208"/>
  <c r="AF2801" i="208"/>
  <c r="AE2801" i="208"/>
  <c r="AF2732" i="208"/>
  <c r="AE2732" i="208"/>
  <c r="AF2711" i="208"/>
  <c r="AE2711" i="208"/>
  <c r="AF2678" i="208"/>
  <c r="AE2678" i="208"/>
  <c r="AF2639" i="208"/>
  <c r="AE2639" i="208"/>
  <c r="AE2594" i="208"/>
  <c r="AF2480" i="208"/>
  <c r="AE2480" i="208"/>
  <c r="AF2447" i="208"/>
  <c r="AE2447" i="208"/>
  <c r="AF2420" i="208"/>
  <c r="AE2420" i="208"/>
  <c r="AF2396" i="208"/>
  <c r="AE2396" i="208"/>
  <c r="AF2246" i="208"/>
  <c r="AE2246" i="208"/>
  <c r="AF2186" i="208"/>
  <c r="AE2186" i="208"/>
  <c r="AF2165" i="208"/>
  <c r="AE2165" i="208"/>
  <c r="AF2135" i="208"/>
  <c r="AE2135" i="208"/>
  <c r="AF2108" i="208"/>
  <c r="AE2108" i="208"/>
  <c r="AE2099" i="208"/>
  <c r="AF2090" i="208"/>
  <c r="AE2090" i="208"/>
  <c r="AF2078" i="208"/>
  <c r="AE2078" i="208"/>
  <c r="AF2057" i="208"/>
  <c r="AE2057" i="208"/>
  <c r="AF2045" i="208"/>
  <c r="AE2045" i="208"/>
  <c r="AF2024" i="208"/>
  <c r="AE2024" i="208"/>
  <c r="AF2012" i="208"/>
  <c r="AE2012" i="208"/>
  <c r="AF2000" i="208"/>
  <c r="AE2000" i="208"/>
  <c r="AF1988" i="208"/>
  <c r="AE1988" i="208"/>
  <c r="AE1961" i="208"/>
  <c r="AF1961" i="208"/>
  <c r="AF1943" i="208"/>
  <c r="AE1943" i="208"/>
  <c r="AF1919" i="208"/>
  <c r="AE1919" i="208"/>
  <c r="AF1907" i="208"/>
  <c r="AE1907" i="208"/>
  <c r="AF1898" i="208"/>
  <c r="AE1898" i="208"/>
  <c r="AF1880" i="208"/>
  <c r="AE1880" i="208"/>
  <c r="AF1859" i="208"/>
  <c r="AE1859" i="208"/>
  <c r="AF1847" i="208"/>
  <c r="AE1847" i="208"/>
  <c r="AE1811" i="208"/>
  <c r="AF1796" i="208"/>
  <c r="AE1796" i="208"/>
  <c r="AF1775" i="208"/>
  <c r="AE1775" i="208"/>
  <c r="AF1769" i="208"/>
  <c r="AE1769" i="208"/>
  <c r="AF1736" i="208"/>
  <c r="AE1736" i="208"/>
  <c r="AF1706" i="208"/>
  <c r="AE1706" i="208"/>
  <c r="AF1694" i="208"/>
  <c r="AE1694" i="208"/>
  <c r="AF1676" i="208"/>
  <c r="AE1676" i="208"/>
  <c r="AF1631" i="208"/>
  <c r="AE1631" i="208"/>
  <c r="AF1613" i="208"/>
  <c r="AE1613" i="208"/>
  <c r="AF1589" i="208"/>
  <c r="AE1589" i="208"/>
  <c r="AF1559" i="208"/>
  <c r="AE1559" i="208"/>
  <c r="AF1526" i="208"/>
  <c r="AE1526" i="208"/>
  <c r="AF1502" i="208"/>
  <c r="AE1502" i="208"/>
  <c r="AF1493" i="208"/>
  <c r="AE1493" i="208"/>
  <c r="AF1469" i="208"/>
  <c r="AE1469" i="208"/>
  <c r="AF1445" i="208"/>
  <c r="AE1445" i="208"/>
  <c r="AF1436" i="208"/>
  <c r="AE1436" i="208"/>
  <c r="AF1424" i="208"/>
  <c r="AE1424" i="208"/>
  <c r="AF1397" i="208"/>
  <c r="AE1397" i="208"/>
  <c r="AF1370" i="208"/>
  <c r="AE1370" i="208"/>
  <c r="AF1358" i="208"/>
  <c r="AE1358" i="208"/>
  <c r="AF1346" i="208"/>
  <c r="AE1346" i="208"/>
  <c r="AF1325" i="208"/>
  <c r="AE1325" i="208"/>
  <c r="AF1280" i="208"/>
  <c r="AE1280" i="208"/>
  <c r="AF1244" i="208"/>
  <c r="AE1244" i="208"/>
  <c r="AF1220" i="208"/>
  <c r="AE1220" i="208"/>
  <c r="AF1196" i="208"/>
  <c r="AE1196" i="208"/>
  <c r="AF1187" i="208"/>
  <c r="AE1187" i="208"/>
  <c r="AF1178" i="208"/>
  <c r="AE1178" i="208"/>
  <c r="AF1130" i="208"/>
  <c r="AE1130" i="208"/>
  <c r="AE1106" i="208"/>
  <c r="AF1082" i="208"/>
  <c r="AE1082" i="208"/>
  <c r="AF1055" i="208"/>
  <c r="AE1055" i="208"/>
  <c r="AF1043" i="208"/>
  <c r="AE1043" i="208"/>
  <c r="AF1016" i="208"/>
  <c r="AE1016" i="208"/>
  <c r="AF1004" i="208"/>
  <c r="AE1004" i="208"/>
  <c r="AF992" i="208"/>
  <c r="AE992" i="208"/>
  <c r="AF974" i="208"/>
  <c r="AE974" i="208"/>
  <c r="AF950" i="208"/>
  <c r="AE950" i="208"/>
  <c r="AF932" i="208"/>
  <c r="AE932" i="208"/>
  <c r="AF914" i="208"/>
  <c r="AE914" i="208"/>
  <c r="AF905" i="208"/>
  <c r="AE905" i="208"/>
  <c r="AF869" i="208"/>
  <c r="AE869" i="208"/>
  <c r="AF749" i="208"/>
  <c r="AE749" i="208"/>
  <c r="AF731" i="208"/>
  <c r="AE731" i="208"/>
  <c r="AF716" i="208"/>
  <c r="AE716" i="208"/>
  <c r="AF704" i="208"/>
  <c r="AE704" i="208"/>
  <c r="AF665" i="208"/>
  <c r="AE665" i="208"/>
  <c r="AF644" i="208"/>
  <c r="AE644" i="208"/>
  <c r="AF638" i="208"/>
  <c r="AE638" i="208"/>
  <c r="AF629" i="208"/>
  <c r="AE629" i="208"/>
  <c r="AF542" i="208"/>
  <c r="AE542" i="208"/>
  <c r="AF503" i="208"/>
  <c r="AE503" i="208"/>
  <c r="AF485" i="208"/>
  <c r="AE485" i="208"/>
  <c r="AF461" i="208"/>
  <c r="AE461" i="208"/>
  <c r="AF443" i="208"/>
  <c r="AE443" i="208"/>
  <c r="AF431" i="208"/>
  <c r="AE431" i="208"/>
  <c r="AF374" i="208"/>
  <c r="AE374" i="208"/>
  <c r="AF338" i="208"/>
  <c r="AE338" i="208"/>
  <c r="AF329" i="208"/>
  <c r="AE329" i="208"/>
  <c r="AF323" i="208"/>
  <c r="AE323" i="208"/>
  <c r="AF2786" i="208"/>
  <c r="AE2786" i="208"/>
  <c r="AF2738" i="208"/>
  <c r="AF2624" i="208"/>
  <c r="AE2624" i="208"/>
  <c r="AF2393" i="208"/>
  <c r="AE2393" i="208"/>
  <c r="AF2354" i="208"/>
  <c r="AE2354" i="208"/>
  <c r="AF2312" i="208"/>
  <c r="AE2312" i="208"/>
  <c r="AF2276" i="208"/>
  <c r="AE2276" i="208"/>
  <c r="AF2249" i="208"/>
  <c r="AE2249" i="208"/>
  <c r="AF2225" i="208"/>
  <c r="AE2225" i="208"/>
  <c r="AF2189" i="208"/>
  <c r="AE2189" i="208"/>
  <c r="AF2171" i="208"/>
  <c r="AE2171" i="208"/>
  <c r="AF2156" i="208"/>
  <c r="AE2156" i="208"/>
  <c r="AF2147" i="208"/>
  <c r="AE2147" i="208"/>
  <c r="AF2111" i="208"/>
  <c r="AE2111" i="208"/>
  <c r="AF2081" i="208"/>
  <c r="AE2081" i="208"/>
  <c r="AF2066" i="208"/>
  <c r="AE2066" i="208"/>
  <c r="AF2021" i="208"/>
  <c r="AE2021" i="208"/>
  <c r="AF1991" i="208"/>
  <c r="AE1991" i="208"/>
  <c r="AF1973" i="208"/>
  <c r="AE1973" i="208"/>
  <c r="AF1958" i="208"/>
  <c r="AE1958" i="208"/>
  <c r="AF1946" i="208"/>
  <c r="AE1946" i="208"/>
  <c r="AF1934" i="208"/>
  <c r="AE1934" i="208"/>
  <c r="AF1925" i="208"/>
  <c r="AE1925" i="208"/>
  <c r="AF1901" i="208"/>
  <c r="AE1901" i="208"/>
  <c r="AF1877" i="208"/>
  <c r="AE1877" i="208"/>
  <c r="AF1838" i="208"/>
  <c r="AE1838" i="208"/>
  <c r="AF1823" i="208"/>
  <c r="AE1823" i="208"/>
  <c r="AF1790" i="208"/>
  <c r="AE1790" i="208"/>
  <c r="AF1778" i="208"/>
  <c r="AE1778" i="208"/>
  <c r="AF1760" i="208"/>
  <c r="AE1760" i="208"/>
  <c r="AF1739" i="208"/>
  <c r="AE1739" i="208"/>
  <c r="AF1730" i="208"/>
  <c r="AE1730" i="208"/>
  <c r="AF1700" i="208"/>
  <c r="AE1700" i="208"/>
  <c r="AF1679" i="208"/>
  <c r="AE1679" i="208"/>
  <c r="AF1652" i="208"/>
  <c r="AE1652" i="208"/>
  <c r="AF1637" i="208"/>
  <c r="AE1637" i="208"/>
  <c r="AF1628" i="208"/>
  <c r="AE1628" i="208"/>
  <c r="AF1595" i="208"/>
  <c r="AE1595" i="208"/>
  <c r="AF1568" i="208"/>
  <c r="AE1568" i="208"/>
  <c r="AF1532" i="208"/>
  <c r="AE1532" i="208"/>
  <c r="AF1514" i="208"/>
  <c r="AE1514" i="208"/>
  <c r="AF1505" i="208"/>
  <c r="AE1505" i="208"/>
  <c r="AF1490" i="208"/>
  <c r="AE1490" i="208"/>
  <c r="AF1481" i="208"/>
  <c r="AE1481" i="208"/>
  <c r="AF1415" i="208"/>
  <c r="AE1415" i="208"/>
  <c r="AF1406" i="208"/>
  <c r="AE1406" i="208"/>
  <c r="AF1391" i="208"/>
  <c r="AE1391" i="208"/>
  <c r="AF1382" i="208"/>
  <c r="AE1382" i="208"/>
  <c r="AF1364" i="208"/>
  <c r="AE1364" i="208"/>
  <c r="AF1343" i="208"/>
  <c r="AE1343" i="208"/>
  <c r="AF1322" i="208"/>
  <c r="AE1322" i="208"/>
  <c r="AE1310" i="208"/>
  <c r="AF1301" i="208"/>
  <c r="AE1301" i="208"/>
  <c r="AF1271" i="208"/>
  <c r="AE1271" i="208"/>
  <c r="AF1253" i="208"/>
  <c r="AE1253" i="208"/>
  <c r="AF1238" i="208"/>
  <c r="AE1238" i="208"/>
  <c r="AE1232" i="208"/>
  <c r="AF1214" i="208"/>
  <c r="AE1214" i="208"/>
  <c r="AF1193" i="208"/>
  <c r="AE1193" i="208"/>
  <c r="AF1181" i="208"/>
  <c r="AE1181" i="208"/>
  <c r="AF1157" i="208"/>
  <c r="AE1157" i="208"/>
  <c r="AF1148" i="208"/>
  <c r="AE1148" i="208"/>
  <c r="AF1133" i="208"/>
  <c r="AF1124" i="208"/>
  <c r="AE1124" i="208"/>
  <c r="AF1103" i="208"/>
  <c r="AE1103" i="208"/>
  <c r="AF1094" i="208"/>
  <c r="AE1094" i="208"/>
  <c r="AF1079" i="208"/>
  <c r="AE1079" i="208"/>
  <c r="AF1070" i="208"/>
  <c r="AE1070" i="208"/>
  <c r="AF1058" i="208"/>
  <c r="AE1058" i="208"/>
  <c r="AF1037" i="208"/>
  <c r="AE1037" i="208"/>
  <c r="AF1007" i="208"/>
  <c r="AE1007" i="208"/>
  <c r="AF995" i="208"/>
  <c r="AE995" i="208"/>
  <c r="AF983" i="208"/>
  <c r="AE983" i="208"/>
  <c r="AF806" i="208"/>
  <c r="AE806" i="208"/>
  <c r="AF800" i="208"/>
  <c r="AF785" i="208"/>
  <c r="AE785" i="208"/>
  <c r="AF770" i="208"/>
  <c r="AE770" i="208"/>
  <c r="AF755" i="208"/>
  <c r="AE755" i="208"/>
  <c r="AF728" i="208"/>
  <c r="AE728" i="208"/>
  <c r="AF719" i="208"/>
  <c r="AE719" i="208"/>
  <c r="AF713" i="208"/>
  <c r="AF707" i="208"/>
  <c r="AE707" i="208"/>
  <c r="AF695" i="208"/>
  <c r="AE695" i="208"/>
  <c r="AF650" i="208"/>
  <c r="AE650" i="208"/>
  <c r="AF641" i="208"/>
  <c r="AE641" i="208"/>
  <c r="AF626" i="208"/>
  <c r="AE626" i="208"/>
  <c r="AF611" i="208"/>
  <c r="AE611" i="208"/>
  <c r="AF587" i="208"/>
  <c r="AE587" i="208"/>
  <c r="AF572" i="208"/>
  <c r="AE572" i="208"/>
  <c r="AF557" i="208"/>
  <c r="AF548" i="208"/>
  <c r="AE548" i="208"/>
  <c r="AF527" i="208"/>
  <c r="AF497" i="208"/>
  <c r="AE497" i="208"/>
  <c r="AF473" i="208"/>
  <c r="AE473" i="208"/>
  <c r="AF464" i="208"/>
  <c r="AE464" i="208"/>
  <c r="AF413" i="208"/>
  <c r="AF404" i="208"/>
  <c r="AE404" i="208"/>
  <c r="AF359" i="208"/>
  <c r="AE359" i="208"/>
  <c r="AF2966" i="208"/>
  <c r="AE2966" i="208"/>
  <c r="AF2933" i="208"/>
  <c r="AE2933" i="208"/>
  <c r="AF2906" i="208"/>
  <c r="AE2906" i="208"/>
  <c r="AF2888" i="208"/>
  <c r="AE2888" i="208"/>
  <c r="AF2864" i="208"/>
  <c r="AE2864" i="208"/>
  <c r="AF2828" i="208"/>
  <c r="AE2828" i="208"/>
  <c r="AF2804" i="208"/>
  <c r="AE2804" i="208"/>
  <c r="AF2789" i="208"/>
  <c r="AE2789" i="208"/>
  <c r="AF2741" i="208"/>
  <c r="AE2741" i="208"/>
  <c r="AF2723" i="208"/>
  <c r="AE2723" i="208"/>
  <c r="AF2702" i="208"/>
  <c r="AE2702" i="208"/>
  <c r="AF2681" i="208"/>
  <c r="AE2681" i="208"/>
  <c r="AF2666" i="208"/>
  <c r="AE2666" i="208"/>
  <c r="AF2642" i="208"/>
  <c r="AE2642" i="208"/>
  <c r="AF2618" i="208"/>
  <c r="AE2618" i="208"/>
  <c r="AF2600" i="208"/>
  <c r="AE2600" i="208"/>
  <c r="AF2570" i="208"/>
  <c r="AE2570" i="208"/>
  <c r="AF2543" i="208"/>
  <c r="AE2543" i="208"/>
  <c r="AF2510" i="208"/>
  <c r="AE2510" i="208"/>
  <c r="AF2495" i="208"/>
  <c r="AE2495" i="208"/>
  <c r="AF2456" i="208"/>
  <c r="AE2456" i="208"/>
  <c r="AF2435" i="208"/>
  <c r="AE2435" i="208"/>
  <c r="AF2375" i="208"/>
  <c r="AE2375" i="208"/>
  <c r="AF2336" i="208"/>
  <c r="AE2336" i="208"/>
  <c r="AF2315" i="208"/>
  <c r="AE2315" i="208"/>
  <c r="AF2297" i="208"/>
  <c r="AF2252" i="208"/>
  <c r="AE2252" i="208"/>
  <c r="AF2234" i="208"/>
  <c r="AE2234" i="208"/>
  <c r="AF2204" i="208"/>
  <c r="AE2204" i="208"/>
  <c r="AF2192" i="208"/>
  <c r="AE2192" i="208"/>
  <c r="AF2168" i="208"/>
  <c r="AE2168" i="208"/>
  <c r="AF2159" i="208"/>
  <c r="AE2159" i="208"/>
  <c r="AF2144" i="208"/>
  <c r="AE2144" i="208"/>
  <c r="AF2138" i="208"/>
  <c r="AE2138" i="208"/>
  <c r="AF2102" i="208"/>
  <c r="AE2102" i="208"/>
  <c r="AF2087" i="208"/>
  <c r="AE2087" i="208"/>
  <c r="AF2063" i="208"/>
  <c r="AE2063" i="208"/>
  <c r="AF2048" i="208"/>
  <c r="AE2048" i="208"/>
  <c r="AE2018" i="208"/>
  <c r="AF2003" i="208"/>
  <c r="AE2003" i="208"/>
  <c r="AF1982" i="208"/>
  <c r="AE1982" i="208"/>
  <c r="AF1967" i="208"/>
  <c r="AE1967" i="208"/>
  <c r="AF1937" i="208"/>
  <c r="AE1937" i="208"/>
  <c r="AF1916" i="208"/>
  <c r="AE1916" i="208"/>
  <c r="AF1904" i="208"/>
  <c r="AE1904" i="208"/>
  <c r="AF1868" i="208"/>
  <c r="AE1868" i="208"/>
  <c r="AF1856" i="208"/>
  <c r="AE1856" i="208"/>
  <c r="AF1844" i="208"/>
  <c r="AE1844" i="208"/>
  <c r="AF1829" i="208"/>
  <c r="AE1829" i="208"/>
  <c r="AF1820" i="208"/>
  <c r="AE1820" i="208"/>
  <c r="AF1814" i="208"/>
  <c r="AE1814" i="208"/>
  <c r="AF1802" i="208"/>
  <c r="AE1802" i="208"/>
  <c r="AF1781" i="208"/>
  <c r="AE1781" i="208"/>
  <c r="AF1754" i="208"/>
  <c r="AE1754" i="208"/>
  <c r="AF1727" i="208"/>
  <c r="AE1727" i="208"/>
  <c r="AF1712" i="208"/>
  <c r="AE1712" i="208"/>
  <c r="AF1703" i="208"/>
  <c r="AE1703" i="208"/>
  <c r="AF1685" i="208"/>
  <c r="AE1685" i="208"/>
  <c r="AF1673" i="208"/>
  <c r="AE1673" i="208"/>
  <c r="AF1655" i="208"/>
  <c r="AE1655" i="208"/>
  <c r="AF1649" i="208"/>
  <c r="AE1649" i="208"/>
  <c r="AF1625" i="208"/>
  <c r="AE1625" i="208"/>
  <c r="AF1616" i="208"/>
  <c r="AE1616" i="208"/>
  <c r="AF1583" i="208"/>
  <c r="AE1583" i="208"/>
  <c r="AF1571" i="208"/>
  <c r="AE1571" i="208"/>
  <c r="AF1562" i="208"/>
  <c r="AE1562" i="208"/>
  <c r="AF1535" i="208"/>
  <c r="AE1535" i="208"/>
  <c r="AF1508" i="208"/>
  <c r="AE1508" i="208"/>
  <c r="AF1487" i="208"/>
  <c r="AE1487" i="208"/>
  <c r="AF1472" i="208"/>
  <c r="AE1472" i="208"/>
  <c r="AF1448" i="208"/>
  <c r="AE1448" i="208"/>
  <c r="AF1442" i="208"/>
  <c r="AE1442" i="208"/>
  <c r="AF1427" i="208"/>
  <c r="AE1427" i="208"/>
  <c r="AF1412" i="208"/>
  <c r="AE1412" i="208"/>
  <c r="AF1388" i="208"/>
  <c r="AE1388" i="208"/>
  <c r="AF1367" i="208"/>
  <c r="AE1367" i="208"/>
  <c r="AF1349" i="208"/>
  <c r="AE1349" i="208"/>
  <c r="AF1340" i="208"/>
  <c r="AE1340" i="208"/>
  <c r="AF1331" i="208"/>
  <c r="AE1331" i="208"/>
  <c r="AF1307" i="208"/>
  <c r="AE1307" i="208"/>
  <c r="AF1292" i="208"/>
  <c r="AE1292" i="208"/>
  <c r="AF1283" i="208"/>
  <c r="AE1283" i="208"/>
  <c r="AF1274" i="208"/>
  <c r="AE1274" i="208"/>
  <c r="AF1247" i="208"/>
  <c r="AE1247" i="208"/>
  <c r="AF1226" i="208"/>
  <c r="AE1226" i="208"/>
  <c r="AF1217" i="208"/>
  <c r="AE1217" i="208"/>
  <c r="AF1202" i="208"/>
  <c r="AE1202" i="208"/>
  <c r="AF1184" i="208"/>
  <c r="AE1184" i="208"/>
  <c r="AF1163" i="208"/>
  <c r="AE1163" i="208"/>
  <c r="AF1139" i="208"/>
  <c r="AE1139" i="208"/>
  <c r="AF1127" i="208"/>
  <c r="AE1127" i="208"/>
  <c r="AF1118" i="208"/>
  <c r="AE1118" i="208"/>
  <c r="AF1100" i="208"/>
  <c r="AE1100" i="208"/>
  <c r="AF1076" i="208"/>
  <c r="AE1076" i="208"/>
  <c r="AF1049" i="208"/>
  <c r="AE1049" i="208"/>
  <c r="AF1040" i="208"/>
  <c r="AE1040" i="208"/>
  <c r="AF1013" i="208"/>
  <c r="AE1013" i="208"/>
  <c r="AF980" i="208"/>
  <c r="AE980" i="208"/>
  <c r="AF959" i="208"/>
  <c r="AE959" i="208"/>
  <c r="AF953" i="208"/>
  <c r="AE953" i="208"/>
  <c r="AF938" i="208"/>
  <c r="AE938" i="208"/>
  <c r="AF926" i="208"/>
  <c r="AE926" i="208"/>
  <c r="AF899" i="208"/>
  <c r="AE899" i="208"/>
  <c r="AF893" i="208"/>
  <c r="AE893" i="208"/>
  <c r="AF875" i="208"/>
  <c r="AE875" i="208"/>
  <c r="AF860" i="208"/>
  <c r="AE860" i="208"/>
  <c r="AF848" i="208"/>
  <c r="AE848" i="208"/>
  <c r="AF836" i="208"/>
  <c r="AE836" i="208"/>
  <c r="AF830" i="208"/>
  <c r="AE830" i="208"/>
  <c r="AF815" i="208"/>
  <c r="AE815" i="208"/>
  <c r="AF809" i="208"/>
  <c r="AE809" i="208"/>
  <c r="AF794" i="208"/>
  <c r="AE794" i="208"/>
  <c r="AF788" i="208"/>
  <c r="AE788" i="208"/>
  <c r="AF782" i="208"/>
  <c r="AE782" i="208"/>
  <c r="AF746" i="208"/>
  <c r="AE746" i="208"/>
  <c r="AF725" i="208"/>
  <c r="AE725" i="208"/>
  <c r="AF617" i="208"/>
  <c r="AE617" i="208"/>
  <c r="AF608" i="208"/>
  <c r="AE608" i="208"/>
  <c r="AF581" i="208"/>
  <c r="AE581" i="208"/>
  <c r="AF560" i="208"/>
  <c r="AE560" i="208"/>
  <c r="AF521" i="208"/>
  <c r="AE521" i="208"/>
  <c r="AF506" i="208"/>
  <c r="AE506" i="208"/>
  <c r="AF494" i="208"/>
  <c r="AE494" i="208"/>
  <c r="AF482" i="208"/>
  <c r="AE482" i="208"/>
  <c r="AF458" i="208"/>
  <c r="AE458" i="208"/>
  <c r="AF419" i="208"/>
  <c r="AE419" i="208"/>
  <c r="AF407" i="208"/>
  <c r="AE407" i="208"/>
  <c r="AF398" i="208"/>
  <c r="AE398" i="208"/>
  <c r="AF362" i="208"/>
  <c r="AE362" i="208"/>
  <c r="AF353" i="208"/>
  <c r="AE353" i="208"/>
  <c r="AF320" i="208"/>
  <c r="AE320" i="208"/>
  <c r="AF2942" i="208"/>
  <c r="AE2942" i="208"/>
  <c r="AF2798" i="208"/>
  <c r="AE2798" i="208"/>
  <c r="AF2765" i="208"/>
  <c r="AE2765" i="208"/>
  <c r="AF2255" i="208"/>
  <c r="AE2255" i="208"/>
  <c r="AF2027" i="208"/>
  <c r="AE2027" i="208"/>
  <c r="AF2997" i="208"/>
  <c r="AE2997" i="208"/>
  <c r="AF2982" i="208"/>
  <c r="AE2982" i="208"/>
  <c r="AF2973" i="208"/>
  <c r="AE2973" i="208"/>
  <c r="AE2964" i="208"/>
  <c r="AF2919" i="208"/>
  <c r="AE2919" i="208"/>
  <c r="AF2898" i="208"/>
  <c r="AE2898" i="208"/>
  <c r="AF2883" i="208"/>
  <c r="AE2883" i="208"/>
  <c r="AF2856" i="208"/>
  <c r="AE2856" i="208"/>
  <c r="AF2835" i="208"/>
  <c r="AE2835" i="208"/>
  <c r="AF2811" i="208"/>
  <c r="AE2811" i="208"/>
  <c r="AF2802" i="208"/>
  <c r="AE2802" i="208"/>
  <c r="AF2793" i="208"/>
  <c r="AE2793" i="208"/>
  <c r="AF2775" i="208"/>
  <c r="AE2775" i="208"/>
  <c r="AF2754" i="208"/>
  <c r="AE2754" i="208"/>
  <c r="AF2742" i="208"/>
  <c r="AE2742" i="208"/>
  <c r="AF2733" i="208"/>
  <c r="AE2733" i="208"/>
  <c r="AF2715" i="208"/>
  <c r="AE2715" i="208"/>
  <c r="AF2706" i="208"/>
  <c r="AE2706" i="208"/>
  <c r="AF2697" i="208"/>
  <c r="AE2697" i="208"/>
  <c r="AF2682" i="208"/>
  <c r="AE2682" i="208"/>
  <c r="AF2673" i="208"/>
  <c r="AE2673" i="208"/>
  <c r="AF2640" i="208"/>
  <c r="AE2640" i="208"/>
  <c r="AE2610" i="208"/>
  <c r="AF2610" i="208"/>
  <c r="AF2604" i="208"/>
  <c r="AE2604" i="208"/>
  <c r="AF2589" i="208"/>
  <c r="AE2589" i="208"/>
  <c r="AF2583" i="208"/>
  <c r="AE2583" i="208"/>
  <c r="AF2565" i="208"/>
  <c r="AE2565" i="208"/>
  <c r="AF2550" i="208"/>
  <c r="AE2550" i="208"/>
  <c r="AF2541" i="208"/>
  <c r="AE2541" i="208"/>
  <c r="AF2520" i="208"/>
  <c r="AF2511" i="208"/>
  <c r="AE2511" i="208"/>
  <c r="AF2484" i="208"/>
  <c r="AE2484" i="208"/>
  <c r="AF2448" i="208"/>
  <c r="AE2448" i="208"/>
  <c r="AF2430" i="208"/>
  <c r="AE2430" i="208"/>
  <c r="AF2421" i="208"/>
  <c r="AE2421" i="208"/>
  <c r="AF2400" i="208"/>
  <c r="AE2400" i="208"/>
  <c r="AF2391" i="208"/>
  <c r="AE2391" i="208"/>
  <c r="AF2367" i="208"/>
  <c r="AE2367" i="208"/>
  <c r="AF2346" i="208"/>
  <c r="AE2346" i="208"/>
  <c r="AF2304" i="208"/>
  <c r="AE2304" i="208"/>
  <c r="AF2295" i="208"/>
  <c r="AE2295" i="208"/>
  <c r="AF2286" i="208"/>
  <c r="AE2286" i="208"/>
  <c r="AF2262" i="208"/>
  <c r="AE2262" i="208"/>
  <c r="AF2253" i="208"/>
  <c r="AE2253" i="208"/>
  <c r="AF2241" i="208"/>
  <c r="AE2241" i="208"/>
  <c r="AF2232" i="208"/>
  <c r="AE2232" i="208"/>
  <c r="AF2217" i="208"/>
  <c r="AE2217" i="208"/>
  <c r="AF2208" i="208"/>
  <c r="AE2208" i="208"/>
  <c r="AF2199" i="208"/>
  <c r="AE2199" i="208"/>
  <c r="AF2178" i="208"/>
  <c r="AE2178" i="208"/>
  <c r="AF2169" i="208"/>
  <c r="AE2169" i="208"/>
  <c r="AF2157" i="208"/>
  <c r="AE2157" i="208"/>
  <c r="AF2133" i="208"/>
  <c r="AE2133" i="208"/>
  <c r="AF2112" i="208"/>
  <c r="AE2112" i="208"/>
  <c r="AF2016" i="208"/>
  <c r="AE2016" i="208"/>
  <c r="AF1743" i="208"/>
  <c r="AE1743" i="208"/>
  <c r="AF1737" i="208"/>
  <c r="AE1737" i="208"/>
  <c r="AF1728" i="208"/>
  <c r="AE1728" i="208"/>
  <c r="AF1725" i="208"/>
  <c r="AE1725" i="208"/>
  <c r="AF1719" i="208"/>
  <c r="AE1719" i="208"/>
  <c r="AF1710" i="208"/>
  <c r="AE1710" i="208"/>
  <c r="AF1707" i="208"/>
  <c r="AE1707" i="208"/>
  <c r="AF1704" i="208"/>
  <c r="AE1704" i="208"/>
  <c r="AF1701" i="208"/>
  <c r="AE1701" i="208"/>
  <c r="AF1695" i="208"/>
  <c r="AE1695" i="208"/>
  <c r="AF1689" i="208"/>
  <c r="AE1689" i="208"/>
  <c r="AF1686" i="208"/>
  <c r="AE1686" i="208"/>
  <c r="AF1683" i="208"/>
  <c r="AE1683" i="208"/>
  <c r="AF1680" i="208"/>
  <c r="AE1680" i="208"/>
  <c r="AF1677" i="208"/>
  <c r="AE1677" i="208"/>
  <c r="AE1674" i="208"/>
  <c r="AF1674" i="208"/>
  <c r="AF1671" i="208"/>
  <c r="AE1671" i="208"/>
  <c r="AF1665" i="208"/>
  <c r="AE1665" i="208"/>
  <c r="AF1659" i="208"/>
  <c r="AE1659" i="208"/>
  <c r="AF1650" i="208"/>
  <c r="AE1650" i="208"/>
  <c r="AF1641" i="208"/>
  <c r="AE1641" i="208"/>
  <c r="AF1632" i="208"/>
  <c r="AE1632" i="208"/>
  <c r="AF1626" i="208"/>
  <c r="AE1626" i="208"/>
  <c r="AF1620" i="208"/>
  <c r="AE1620" i="208"/>
  <c r="AF1617" i="208"/>
  <c r="AE1617" i="208"/>
  <c r="AE1602" i="208"/>
  <c r="AF1602" i="208"/>
  <c r="AF1596" i="208"/>
  <c r="AE1596" i="208"/>
  <c r="AF1593" i="208"/>
  <c r="AE1593" i="208"/>
  <c r="AE1590" i="208"/>
  <c r="AF1590" i="208"/>
  <c r="AF1587" i="208"/>
  <c r="AE1587" i="208"/>
  <c r="AF1584" i="208"/>
  <c r="AE1584" i="208"/>
  <c r="AF1581" i="208"/>
  <c r="AE1581" i="208"/>
  <c r="AF1575" i="208"/>
  <c r="AE1575" i="208"/>
  <c r="AF1572" i="208"/>
  <c r="AE1572" i="208"/>
  <c r="AF1566" i="208"/>
  <c r="AE1566" i="208"/>
  <c r="AF1563" i="208"/>
  <c r="AE1563" i="208"/>
  <c r="AF1560" i="208"/>
  <c r="AE1560" i="208"/>
  <c r="AF1557" i="208"/>
  <c r="AE1557" i="208"/>
  <c r="AF1554" i="208"/>
  <c r="AE1554" i="208"/>
  <c r="AF1551" i="208"/>
  <c r="AE1551" i="208"/>
  <c r="AF1545" i="208"/>
  <c r="AE1545" i="208"/>
  <c r="AF1542" i="208"/>
  <c r="AE1542" i="208"/>
  <c r="AF2909" i="208"/>
  <c r="AE2909" i="208"/>
  <c r="AF2891" i="208"/>
  <c r="AE2891" i="208"/>
  <c r="AF2855" i="208"/>
  <c r="AE2855" i="208"/>
  <c r="AF2822" i="208"/>
  <c r="AE2822" i="208"/>
  <c r="AF2807" i="208"/>
  <c r="AE2807" i="208"/>
  <c r="AF2762" i="208"/>
  <c r="AE2762" i="208"/>
  <c r="AF2735" i="208"/>
  <c r="AE2735" i="208"/>
  <c r="AF2714" i="208"/>
  <c r="AE2714" i="208"/>
  <c r="AF2693" i="208"/>
  <c r="AE2693" i="208"/>
  <c r="AF2657" i="208"/>
  <c r="AE2657" i="208"/>
  <c r="AF2645" i="208"/>
  <c r="AE2645" i="208"/>
  <c r="AF2591" i="208"/>
  <c r="AE2591" i="208"/>
  <c r="AF2573" i="208"/>
  <c r="AE2573" i="208"/>
  <c r="AF2513" i="208"/>
  <c r="AE2513" i="208"/>
  <c r="AF2492" i="208"/>
  <c r="AE2492" i="208"/>
  <c r="AF2477" i="208"/>
  <c r="AE2477" i="208"/>
  <c r="AF2444" i="208"/>
  <c r="AE2444" i="208"/>
  <c r="AF2399" i="208"/>
  <c r="AE2399" i="208"/>
  <c r="AF2378" i="208"/>
  <c r="AE2378" i="208"/>
  <c r="AF2366" i="208"/>
  <c r="AE2366" i="208"/>
  <c r="AF2357" i="208"/>
  <c r="AE2357" i="208"/>
  <c r="AF2306" i="208"/>
  <c r="AE2306" i="208"/>
  <c r="AF2291" i="208"/>
  <c r="AE2291" i="208"/>
  <c r="AF2261" i="208"/>
  <c r="AE2261" i="208"/>
  <c r="AF2222" i="208"/>
  <c r="AE2222" i="208"/>
  <c r="AF2207" i="208"/>
  <c r="AE2207" i="208"/>
  <c r="AF1592" i="208"/>
  <c r="AE1592" i="208"/>
  <c r="AE671" i="208"/>
  <c r="AF2976" i="208"/>
  <c r="AE2976" i="208"/>
  <c r="AF2946" i="208"/>
  <c r="AE2946" i="208"/>
  <c r="AF2937" i="208"/>
  <c r="AE2937" i="208"/>
  <c r="AF2913" i="208"/>
  <c r="AE2913" i="208"/>
  <c r="AF2889" i="208"/>
  <c r="AE2889" i="208"/>
  <c r="AF2880" i="208"/>
  <c r="AE2880" i="208"/>
  <c r="AF2871" i="208"/>
  <c r="AE2871" i="208"/>
  <c r="AF2862" i="208"/>
  <c r="AE2862" i="208"/>
  <c r="AF2853" i="208"/>
  <c r="AE2853" i="208"/>
  <c r="AF2838" i="208"/>
  <c r="AE2838" i="208"/>
  <c r="AF2808" i="208"/>
  <c r="AE2808" i="208"/>
  <c r="AF2727" i="208"/>
  <c r="AE2727" i="208"/>
  <c r="AF2718" i="208"/>
  <c r="AE2718" i="208"/>
  <c r="AF2712" i="208"/>
  <c r="AE2712" i="208"/>
  <c r="AF2691" i="208"/>
  <c r="AE2691" i="208"/>
  <c r="AF2688" i="208"/>
  <c r="AE2688" i="208"/>
  <c r="AF2667" i="208"/>
  <c r="AF2658" i="208"/>
  <c r="AE2658" i="208"/>
  <c r="AF2649" i="208"/>
  <c r="AE2649" i="208"/>
  <c r="AF2634" i="208"/>
  <c r="AE2634" i="208"/>
  <c r="AF2625" i="208"/>
  <c r="AE2625" i="208"/>
  <c r="AF2619" i="208"/>
  <c r="AE2619" i="208"/>
  <c r="AF2601" i="208"/>
  <c r="AE2601" i="208"/>
  <c r="AF2595" i="208"/>
  <c r="AE2595" i="208"/>
  <c r="AF2580" i="208"/>
  <c r="AE2580" i="208"/>
  <c r="AF2574" i="208"/>
  <c r="AE2574" i="208"/>
  <c r="AF2568" i="208"/>
  <c r="AE2568" i="208"/>
  <c r="AF2553" i="208"/>
  <c r="AE2553" i="208"/>
  <c r="AF2523" i="208"/>
  <c r="AE2523" i="208"/>
  <c r="AF2514" i="208"/>
  <c r="AE2514" i="208"/>
  <c r="AF2505" i="208"/>
  <c r="AE2505" i="208"/>
  <c r="AF2490" i="208"/>
  <c r="AE2490" i="208"/>
  <c r="AF2481" i="208"/>
  <c r="AE2481" i="208"/>
  <c r="AE2466" i="208"/>
  <c r="AF2466" i="208"/>
  <c r="AF2457" i="208"/>
  <c r="AE2457" i="208"/>
  <c r="AF2445" i="208"/>
  <c r="AE2445" i="208"/>
  <c r="AF2403" i="208"/>
  <c r="AE2403" i="208"/>
  <c r="AF2394" i="208"/>
  <c r="AE2394" i="208"/>
  <c r="AF2349" i="208"/>
  <c r="AF2331" i="208"/>
  <c r="AE2331" i="208"/>
  <c r="AF2277" i="208"/>
  <c r="AE2277" i="208"/>
  <c r="AF2247" i="208"/>
  <c r="AE2247" i="208"/>
  <c r="AF2235" i="208"/>
  <c r="AE2235" i="208"/>
  <c r="AF2223" i="208"/>
  <c r="AE2223" i="208"/>
  <c r="AF2202" i="208"/>
  <c r="AE2202" i="208"/>
  <c r="AF2193" i="208"/>
  <c r="AE2193" i="208"/>
  <c r="AF2166" i="208"/>
  <c r="AE2166" i="208"/>
  <c r="AF2136" i="208"/>
  <c r="AE2136" i="208"/>
  <c r="AF2127" i="208"/>
  <c r="AE2127" i="208"/>
  <c r="AF2118" i="208"/>
  <c r="AE2118" i="208"/>
  <c r="AF2109" i="208"/>
  <c r="AE2109" i="208"/>
  <c r="AF2082" i="208"/>
  <c r="AE2082" i="208"/>
  <c r="AF2073" i="208"/>
  <c r="AE2073" i="208"/>
  <c r="AF2067" i="208"/>
  <c r="AE2067" i="208"/>
  <c r="AF2055" i="208"/>
  <c r="AE2055" i="208"/>
  <c r="AF2034" i="208"/>
  <c r="AE2034" i="208"/>
  <c r="AF2025" i="208"/>
  <c r="AE2025" i="208"/>
  <c r="AF2013" i="208"/>
  <c r="AE2013" i="208"/>
  <c r="AF2004" i="208"/>
  <c r="AE2004" i="208"/>
  <c r="AF1995" i="208"/>
  <c r="AE1995" i="208"/>
  <c r="AF1986" i="208"/>
  <c r="AE1986" i="208"/>
  <c r="AF1974" i="208"/>
  <c r="AE1974" i="208"/>
  <c r="AF1965" i="208"/>
  <c r="AE1965" i="208"/>
  <c r="AF1959" i="208"/>
  <c r="AE1959" i="208"/>
  <c r="AF1953" i="208"/>
  <c r="AE1953" i="208"/>
  <c r="AF1944" i="208"/>
  <c r="AE1944" i="208"/>
  <c r="AF1938" i="208"/>
  <c r="AE1938" i="208"/>
  <c r="AF1929" i="208"/>
  <c r="AE1929" i="208"/>
  <c r="AF1914" i="208"/>
  <c r="AE1914" i="208"/>
  <c r="AF1905" i="208"/>
  <c r="AE1905" i="208"/>
  <c r="AF1887" i="208"/>
  <c r="AE1887" i="208"/>
  <c r="AF1881" i="208"/>
  <c r="AE1881" i="208"/>
  <c r="AF1860" i="208"/>
  <c r="AE1860" i="208"/>
  <c r="AF1854" i="208"/>
  <c r="AE1854" i="208"/>
  <c r="AF1848" i="208"/>
  <c r="AE1848" i="208"/>
  <c r="AF1833" i="208"/>
  <c r="AE1833" i="208"/>
  <c r="AF1827" i="208"/>
  <c r="AE1827" i="208"/>
  <c r="AF1821" i="208"/>
  <c r="AE1821" i="208"/>
  <c r="AF1815" i="208"/>
  <c r="AF1794" i="208"/>
  <c r="AE1794" i="208"/>
  <c r="AF1770" i="208"/>
  <c r="AE1770" i="208"/>
  <c r="AF1767" i="208"/>
  <c r="AE1767" i="208"/>
  <c r="AF1761" i="208"/>
  <c r="AE1761" i="208"/>
  <c r="AF1755" i="208"/>
  <c r="AE1755" i="208"/>
  <c r="AF1740" i="208"/>
  <c r="AE1740" i="208"/>
  <c r="AF1734" i="208"/>
  <c r="AE1734" i="208"/>
  <c r="AF2924" i="208"/>
  <c r="AE2924" i="208"/>
  <c r="AF2885" i="208"/>
  <c r="AE2885" i="208"/>
  <c r="AF2852" i="208"/>
  <c r="AE2852" i="208"/>
  <c r="AF2777" i="208"/>
  <c r="AE2777" i="208"/>
  <c r="AF2687" i="208"/>
  <c r="AE2687" i="208"/>
  <c r="AF2663" i="208"/>
  <c r="AE2663" i="208"/>
  <c r="AF2621" i="208"/>
  <c r="AE2621" i="208"/>
  <c r="AF2576" i="208"/>
  <c r="AE2576" i="208"/>
  <c r="AF2537" i="208"/>
  <c r="AE2537" i="208"/>
  <c r="AF2522" i="208"/>
  <c r="AE2522" i="208"/>
  <c r="AF2483" i="208"/>
  <c r="AE2483" i="208"/>
  <c r="AF2450" i="208"/>
  <c r="AE2450" i="208"/>
  <c r="AF2423" i="208"/>
  <c r="AE2423" i="208"/>
  <c r="AF2348" i="208"/>
  <c r="AE2348" i="208"/>
  <c r="AF2330" i="208"/>
  <c r="AE2330" i="208"/>
  <c r="AF2279" i="208"/>
  <c r="AE2279" i="208"/>
  <c r="AF2270" i="208"/>
  <c r="AE2270" i="208"/>
  <c r="AF2210" i="208"/>
  <c r="AE2210" i="208"/>
  <c r="AF2126" i="208"/>
  <c r="AE2126" i="208"/>
  <c r="AF1922" i="208"/>
  <c r="AE1922" i="208"/>
  <c r="AF1556" i="208"/>
  <c r="AE1556" i="208"/>
  <c r="AF3000" i="208"/>
  <c r="AE3000" i="208"/>
  <c r="AF2991" i="208"/>
  <c r="AE2991" i="208"/>
  <c r="AF2985" i="208"/>
  <c r="AE2985" i="208"/>
  <c r="AF2955" i="208"/>
  <c r="AE2955" i="208"/>
  <c r="AF2931" i="208"/>
  <c r="AE2931" i="208"/>
  <c r="AF2922" i="208"/>
  <c r="AE2922" i="208"/>
  <c r="AF2907" i="208"/>
  <c r="AE2907" i="208"/>
  <c r="AF2892" i="208"/>
  <c r="AE2892" i="208"/>
  <c r="AF2877" i="208"/>
  <c r="AE2877" i="208"/>
  <c r="AF2850" i="208"/>
  <c r="AE2850" i="208"/>
  <c r="AF2829" i="208"/>
  <c r="AE2829" i="208"/>
  <c r="AF2817" i="208"/>
  <c r="AE2817" i="208"/>
  <c r="AF2784" i="208"/>
  <c r="AE2784" i="208"/>
  <c r="AF2772" i="208"/>
  <c r="AE2772" i="208"/>
  <c r="AF2751" i="208"/>
  <c r="AE2751" i="208"/>
  <c r="AF2739" i="208"/>
  <c r="AE2739" i="208"/>
  <c r="AF2703" i="208"/>
  <c r="AE2703" i="208"/>
  <c r="AF2694" i="208"/>
  <c r="AE2694" i="208"/>
  <c r="AF2628" i="208"/>
  <c r="AE2628" i="208"/>
  <c r="AF2607" i="208"/>
  <c r="AE2607" i="208"/>
  <c r="AF2598" i="208"/>
  <c r="AE2598" i="208"/>
  <c r="AF2592" i="208"/>
  <c r="AE2592" i="208"/>
  <c r="AF2562" i="208"/>
  <c r="AE2562" i="208"/>
  <c r="AF2544" i="208"/>
  <c r="AE2544" i="208"/>
  <c r="AF2535" i="208"/>
  <c r="AE2535" i="208"/>
  <c r="AF2529" i="208"/>
  <c r="AE2529" i="208"/>
  <c r="AF2496" i="208"/>
  <c r="AE2496" i="208"/>
  <c r="AF2487" i="208"/>
  <c r="AE2487" i="208"/>
  <c r="AF2475" i="208"/>
  <c r="AE2475" i="208"/>
  <c r="AF2463" i="208"/>
  <c r="AE2463" i="208"/>
  <c r="AF2454" i="208"/>
  <c r="AE2454" i="208"/>
  <c r="AE2436" i="208"/>
  <c r="AF2436" i="208"/>
  <c r="AF2427" i="208"/>
  <c r="AE2427" i="208"/>
  <c r="AF2418" i="208"/>
  <c r="AE2418" i="208"/>
  <c r="AF2409" i="208"/>
  <c r="AE2409" i="208"/>
  <c r="AF2385" i="208"/>
  <c r="AE2385" i="208"/>
  <c r="AF2340" i="208"/>
  <c r="AE2340" i="208"/>
  <c r="AF2316" i="208"/>
  <c r="AE2316" i="208"/>
  <c r="AF2310" i="208"/>
  <c r="AE2310" i="208"/>
  <c r="AF2274" i="208"/>
  <c r="AE2274" i="208"/>
  <c r="AF2256" i="208"/>
  <c r="AE2256" i="208"/>
  <c r="AF2250" i="208"/>
  <c r="AE2250" i="208"/>
  <c r="AF2211" i="208"/>
  <c r="AE2211" i="208"/>
  <c r="AF2160" i="208"/>
  <c r="AE2160" i="208"/>
  <c r="AF2139" i="208"/>
  <c r="AE2139" i="208"/>
  <c r="AF2130" i="208"/>
  <c r="AE2130" i="208"/>
  <c r="AF2121" i="208"/>
  <c r="AE2121" i="208"/>
  <c r="AF2106" i="208"/>
  <c r="AE2106" i="208"/>
  <c r="AF2097" i="208"/>
  <c r="AE2097" i="208"/>
  <c r="AF2079" i="208"/>
  <c r="AE2079" i="208"/>
  <c r="AF2064" i="208"/>
  <c r="AE2064" i="208"/>
  <c r="AF2058" i="208"/>
  <c r="AE2058" i="208"/>
  <c r="AF2049" i="208"/>
  <c r="AE2049" i="208"/>
  <c r="AF2043" i="208"/>
  <c r="AE2043" i="208"/>
  <c r="AF2028" i="208"/>
  <c r="AE2028" i="208"/>
  <c r="AF2022" i="208"/>
  <c r="AE2022" i="208"/>
  <c r="AF1998" i="208"/>
  <c r="AE1998" i="208"/>
  <c r="AF1992" i="208"/>
  <c r="AE1992" i="208"/>
  <c r="AF1983" i="208"/>
  <c r="AE1983" i="208"/>
  <c r="AF1971" i="208"/>
  <c r="AE1971" i="208"/>
  <c r="AF1962" i="208"/>
  <c r="AE1962" i="208"/>
  <c r="AF1845" i="208"/>
  <c r="AE1845" i="208"/>
  <c r="AF2996" i="208"/>
  <c r="AE2996" i="208"/>
  <c r="AF2981" i="208"/>
  <c r="AE2981" i="208"/>
  <c r="AF2948" i="208"/>
  <c r="AE2948" i="208"/>
  <c r="AF2927" i="208"/>
  <c r="AE2927" i="208"/>
  <c r="AF2771" i="208"/>
  <c r="AE2771" i="208"/>
  <c r="AF2720" i="208"/>
  <c r="AE2720" i="208"/>
  <c r="AF1646" i="208"/>
  <c r="AE1646" i="208"/>
  <c r="AF305" i="208"/>
  <c r="AE305" i="208"/>
  <c r="AF2994" i="208"/>
  <c r="AE2994" i="208"/>
  <c r="AF2979" i="208"/>
  <c r="AE2979" i="208"/>
  <c r="AF2970" i="208"/>
  <c r="AE2970" i="208"/>
  <c r="AF2961" i="208"/>
  <c r="AE2961" i="208"/>
  <c r="AF2943" i="208"/>
  <c r="AE2943" i="208"/>
  <c r="AF2928" i="208"/>
  <c r="AE2928" i="208"/>
  <c r="AF2916" i="208"/>
  <c r="AE2916" i="208"/>
  <c r="AF2886" i="208"/>
  <c r="AE2886" i="208"/>
  <c r="AF2868" i="208"/>
  <c r="AE2868" i="208"/>
  <c r="AF2841" i="208"/>
  <c r="AE2841" i="208"/>
  <c r="AF2832" i="208"/>
  <c r="AE2832" i="208"/>
  <c r="AF2826" i="208"/>
  <c r="AE2826" i="208"/>
  <c r="AF2799" i="208"/>
  <c r="AE2799" i="208"/>
  <c r="AF2787" i="208"/>
  <c r="AE2787" i="208"/>
  <c r="AF2778" i="208"/>
  <c r="AE2778" i="208"/>
  <c r="AF2769" i="208"/>
  <c r="AE2769" i="208"/>
  <c r="AF2763" i="208"/>
  <c r="AE2763" i="208"/>
  <c r="AF2748" i="208"/>
  <c r="AE2748" i="208"/>
  <c r="AF2745" i="208"/>
  <c r="AE2745" i="208"/>
  <c r="AF2736" i="208"/>
  <c r="AE2736" i="208"/>
  <c r="AF2724" i="208"/>
  <c r="AE2724" i="208"/>
  <c r="AF2709" i="208"/>
  <c r="AE2709" i="208"/>
  <c r="AF2685" i="208"/>
  <c r="AE2685" i="208"/>
  <c r="AF2538" i="208"/>
  <c r="AE2538" i="208"/>
  <c r="AF2499" i="208"/>
  <c r="AE2499" i="208"/>
  <c r="AF2460" i="208"/>
  <c r="AE2460" i="208"/>
  <c r="AF2451" i="208"/>
  <c r="AE2451" i="208"/>
  <c r="AF2424" i="208"/>
  <c r="AE2424" i="208"/>
  <c r="AF2415" i="208"/>
  <c r="AE2415" i="208"/>
  <c r="AF2406" i="208"/>
  <c r="AE2406" i="208"/>
  <c r="AF2397" i="208"/>
  <c r="AE2397" i="208"/>
  <c r="AF2379" i="208"/>
  <c r="AE2379" i="208"/>
  <c r="AF2370" i="208"/>
  <c r="AE2370" i="208"/>
  <c r="AF2361" i="208"/>
  <c r="AE2361" i="208"/>
  <c r="AF2352" i="208"/>
  <c r="AE2352" i="208"/>
  <c r="AF2343" i="208"/>
  <c r="AE2343" i="208"/>
  <c r="AF2337" i="208"/>
  <c r="AE2337" i="208"/>
  <c r="AF2322" i="208"/>
  <c r="AE2322" i="208"/>
  <c r="AF2313" i="208"/>
  <c r="AE2313" i="208"/>
  <c r="AF2301" i="208"/>
  <c r="AE2301" i="208"/>
  <c r="AE2292" i="208"/>
  <c r="AF2292" i="208"/>
  <c r="AF2280" i="208"/>
  <c r="AE2280" i="208"/>
  <c r="AF2265" i="208"/>
  <c r="AE2265" i="208"/>
  <c r="AF2244" i="208"/>
  <c r="AF2226" i="208"/>
  <c r="AE2226" i="208"/>
  <c r="AF2196" i="208"/>
  <c r="AE2196" i="208"/>
  <c r="AF2172" i="208"/>
  <c r="AE2172" i="208"/>
  <c r="AF2163" i="208"/>
  <c r="AE2163" i="208"/>
  <c r="AF2148" i="208"/>
  <c r="AE2148" i="208"/>
  <c r="AF2142" i="208"/>
  <c r="AE2142" i="208"/>
  <c r="AF2115" i="208"/>
  <c r="AE2115" i="208"/>
  <c r="AF2052" i="208"/>
  <c r="AE2052" i="208"/>
  <c r="AF2031" i="208"/>
  <c r="AE2031" i="208"/>
  <c r="AF2019" i="208"/>
  <c r="AE2019" i="208"/>
  <c r="AF1989" i="208"/>
  <c r="AE1989" i="208"/>
  <c r="AF1977" i="208"/>
  <c r="AE1977" i="208"/>
  <c r="AF1968" i="208"/>
  <c r="AE1968" i="208"/>
  <c r="AF1947" i="208"/>
  <c r="AF1935" i="208"/>
  <c r="AE1935" i="208"/>
  <c r="AF1920" i="208"/>
  <c r="AE1920" i="208"/>
  <c r="AF1911" i="208"/>
  <c r="AE1911" i="208"/>
  <c r="AF1908" i="208"/>
  <c r="AE1908" i="208"/>
  <c r="AF1890" i="208"/>
  <c r="AE1890" i="208"/>
  <c r="AF1884" i="208"/>
  <c r="AE1884" i="208"/>
  <c r="AF1878" i="208"/>
  <c r="AE1878" i="208"/>
  <c r="AF1872" i="208"/>
  <c r="AE1872" i="208"/>
  <c r="AF1869" i="208"/>
  <c r="AE1869" i="208"/>
  <c r="AF1863" i="208"/>
  <c r="AE1863" i="208"/>
  <c r="AF1851" i="208"/>
  <c r="AE1851" i="208"/>
  <c r="AF1842" i="208"/>
  <c r="AE1842" i="208"/>
  <c r="AF1830" i="208"/>
  <c r="AE1830" i="208"/>
  <c r="AF1824" i="208"/>
  <c r="AE1824" i="208"/>
  <c r="AF1818" i="208"/>
  <c r="AE1818" i="208"/>
  <c r="AF1809" i="208"/>
  <c r="AE1809" i="208"/>
  <c r="AF1803" i="208"/>
  <c r="AE1803" i="208"/>
  <c r="AF1785" i="208"/>
  <c r="AE1785" i="208"/>
  <c r="AF1776" i="208"/>
  <c r="AE1776" i="208"/>
  <c r="AF1773" i="208"/>
  <c r="AF1764" i="208"/>
  <c r="AE1764" i="208"/>
  <c r="AF1746" i="208"/>
  <c r="AE1746" i="208"/>
  <c r="AF1731" i="208"/>
  <c r="AE1731" i="208"/>
  <c r="AF1716" i="208"/>
  <c r="AE1716" i="208"/>
  <c r="AF1698" i="208"/>
  <c r="AE1698" i="208"/>
  <c r="AF2627" i="208"/>
  <c r="AE2627" i="208"/>
  <c r="AF1670" i="208"/>
  <c r="AE1670" i="208"/>
  <c r="AF2995" i="208"/>
  <c r="AE2995" i="208"/>
  <c r="AF2974" i="208"/>
  <c r="AE2974" i="208"/>
  <c r="AF2935" i="208"/>
  <c r="AE2935" i="208"/>
  <c r="AF2920" i="208"/>
  <c r="AF2893" i="208"/>
  <c r="AE2893" i="208"/>
  <c r="AF2887" i="208"/>
  <c r="AE2887" i="208"/>
  <c r="AF2869" i="208"/>
  <c r="AE2869" i="208"/>
  <c r="AF2851" i="208"/>
  <c r="AE2851" i="208"/>
  <c r="AF2839" i="208"/>
  <c r="AE2839" i="208"/>
  <c r="AF2833" i="208"/>
  <c r="AE2833" i="208"/>
  <c r="AF2812" i="208"/>
  <c r="AE2812" i="208"/>
  <c r="AF2788" i="208"/>
  <c r="AE2788" i="208"/>
  <c r="AF2782" i="208"/>
  <c r="AE2782" i="208"/>
  <c r="AF2767" i="208"/>
  <c r="AE2767" i="208"/>
  <c r="AF2746" i="208"/>
  <c r="AE2746" i="208"/>
  <c r="AF2737" i="208"/>
  <c r="AE2737" i="208"/>
  <c r="AF2728" i="208"/>
  <c r="AE2728" i="208"/>
  <c r="AF2713" i="208"/>
  <c r="AE2713" i="208"/>
  <c r="AF2707" i="208"/>
  <c r="AE2707" i="208"/>
  <c r="AF2689" i="208"/>
  <c r="AE2689" i="208"/>
  <c r="AF2686" i="208"/>
  <c r="AE2686" i="208"/>
  <c r="AF2680" i="208"/>
  <c r="AE2680" i="208"/>
  <c r="AF2671" i="208"/>
  <c r="AE2671" i="208"/>
  <c r="AF2665" i="208"/>
  <c r="AE2665" i="208"/>
  <c r="AF2644" i="208"/>
  <c r="AE2644" i="208"/>
  <c r="AF2638" i="208"/>
  <c r="AE2638" i="208"/>
  <c r="AF2626" i="208"/>
  <c r="AE2626" i="208"/>
  <c r="AF2620" i="208"/>
  <c r="AE2620" i="208"/>
  <c r="AF2596" i="208"/>
  <c r="AE2596" i="208"/>
  <c r="AF2584" i="208"/>
  <c r="AE2584" i="208"/>
  <c r="AF2569" i="208"/>
  <c r="AE2569" i="208"/>
  <c r="AF2563" i="208"/>
  <c r="AE2563" i="208"/>
  <c r="AF2548" i="208"/>
  <c r="AE2548" i="208"/>
  <c r="AF2542" i="208"/>
  <c r="AF2527" i="208"/>
  <c r="AE2527" i="208"/>
  <c r="AF2521" i="208"/>
  <c r="AE2521" i="208"/>
  <c r="AF2503" i="208"/>
  <c r="AE2503" i="208"/>
  <c r="AF2497" i="208"/>
  <c r="AE2497" i="208"/>
  <c r="AF2485" i="208"/>
  <c r="AE2485" i="208"/>
  <c r="AF2476" i="208"/>
  <c r="AE2476" i="208"/>
  <c r="AF2458" i="208"/>
  <c r="AE2458" i="208"/>
  <c r="AF2446" i="208"/>
  <c r="AE2446" i="208"/>
  <c r="AF2440" i="208"/>
  <c r="AE2440" i="208"/>
  <c r="AF2434" i="208"/>
  <c r="AE2434" i="208"/>
  <c r="AF2422" i="208"/>
  <c r="AE2422" i="208"/>
  <c r="AF2407" i="208"/>
  <c r="AE2407" i="208"/>
  <c r="AF2395" i="208"/>
  <c r="AE2395" i="208"/>
  <c r="AF2383" i="208"/>
  <c r="AE2383" i="208"/>
  <c r="AF2356" i="208"/>
  <c r="AE2356" i="208"/>
  <c r="AF2341" i="208"/>
  <c r="AE2341" i="208"/>
  <c r="AF2308" i="208"/>
  <c r="AE2308" i="208"/>
  <c r="AF2293" i="208"/>
  <c r="AE2293" i="208"/>
  <c r="AF2281" i="208"/>
  <c r="AE2281" i="208"/>
  <c r="AF2260" i="208"/>
  <c r="AE2260" i="208"/>
  <c r="AF2251" i="208"/>
  <c r="AE2251" i="208"/>
  <c r="AF2215" i="208"/>
  <c r="AE2215" i="208"/>
  <c r="AF2206" i="208"/>
  <c r="AE2206" i="208"/>
  <c r="AE2200" i="208"/>
  <c r="AF2170" i="208"/>
  <c r="AE2170" i="208"/>
  <c r="AF2161" i="208"/>
  <c r="AE2161" i="208"/>
  <c r="AF2152" i="208"/>
  <c r="AE2152" i="208"/>
  <c r="AF2146" i="208"/>
  <c r="AE2146" i="208"/>
  <c r="AF2131" i="208"/>
  <c r="AE2131" i="208"/>
  <c r="AF2113" i="208"/>
  <c r="AE2113" i="208"/>
  <c r="AE2086" i="208"/>
  <c r="AF2068" i="208"/>
  <c r="AE2068" i="208"/>
  <c r="AF2047" i="208"/>
  <c r="AE2047" i="208"/>
  <c r="AF2029" i="208"/>
  <c r="AE2029" i="208"/>
  <c r="AF2023" i="208"/>
  <c r="AE2023" i="208"/>
  <c r="AE2011" i="208"/>
  <c r="AF2011" i="208"/>
  <c r="AF1990" i="208"/>
  <c r="AE1990" i="208"/>
  <c r="AF1969" i="208"/>
  <c r="AE1969" i="208"/>
  <c r="AF1945" i="208"/>
  <c r="AE1945" i="208"/>
  <c r="AF1924" i="208"/>
  <c r="AE1924" i="208"/>
  <c r="AF1900" i="208"/>
  <c r="AE1900" i="208"/>
  <c r="AF1885" i="208"/>
  <c r="AE1885" i="208"/>
  <c r="AF1858" i="208"/>
  <c r="AE1858" i="208"/>
  <c r="AF1816" i="208"/>
  <c r="AE1816" i="208"/>
  <c r="AF1807" i="208"/>
  <c r="AE1807" i="208"/>
  <c r="AF1759" i="208"/>
  <c r="AE1759" i="208"/>
  <c r="AF1699" i="208"/>
  <c r="AE1699" i="208"/>
  <c r="AF1684" i="208"/>
  <c r="AE1684" i="208"/>
  <c r="AF1675" i="208"/>
  <c r="AE1675" i="208"/>
  <c r="AF1657" i="208"/>
  <c r="AE1657" i="208"/>
  <c r="AF1630" i="208"/>
  <c r="AE1630" i="208"/>
  <c r="AF1621" i="208"/>
  <c r="AE1621" i="208"/>
  <c r="AF1615" i="208"/>
  <c r="AE1615" i="208"/>
  <c r="AF1591" i="208"/>
  <c r="AE1591" i="208"/>
  <c r="AF1585" i="208"/>
  <c r="AE1585" i="208"/>
  <c r="AF1579" i="208"/>
  <c r="AE1579" i="208"/>
  <c r="AF1573" i="208"/>
  <c r="AE1573" i="208"/>
  <c r="AF1561" i="208"/>
  <c r="AE1561" i="208"/>
  <c r="AF1558" i="208"/>
  <c r="AE1558" i="208"/>
  <c r="AF1552" i="208"/>
  <c r="AE1552" i="208"/>
  <c r="AF1543" i="208"/>
  <c r="AE1543" i="208"/>
  <c r="AF2990" i="208"/>
  <c r="AE2990" i="208"/>
  <c r="AF2972" i="208"/>
  <c r="AE2972" i="208"/>
  <c r="AF2876" i="208"/>
  <c r="AE2876" i="208"/>
  <c r="AF2858" i="208"/>
  <c r="AE2858" i="208"/>
  <c r="AF2831" i="208"/>
  <c r="AE2831" i="208"/>
  <c r="AF2780" i="208"/>
  <c r="AE2780" i="208"/>
  <c r="AF2684" i="208"/>
  <c r="AE2684" i="208"/>
  <c r="AF2654" i="208"/>
  <c r="AE2654" i="208"/>
  <c r="AF2597" i="208"/>
  <c r="AE2597" i="208"/>
  <c r="AF2564" i="208"/>
  <c r="AE2564" i="208"/>
  <c r="AF2549" i="208"/>
  <c r="AE2549" i="208"/>
  <c r="AF2534" i="208"/>
  <c r="AE2534" i="208"/>
  <c r="AF2516" i="208"/>
  <c r="AE2516" i="208"/>
  <c r="AF2501" i="208"/>
  <c r="AE2501" i="208"/>
  <c r="AF2489" i="208"/>
  <c r="AE2489" i="208"/>
  <c r="AF2426" i="208"/>
  <c r="AE2426" i="208"/>
  <c r="AF2405" i="208"/>
  <c r="AE2405" i="208"/>
  <c r="AF2390" i="208"/>
  <c r="AE2390" i="208"/>
  <c r="AF2372" i="208"/>
  <c r="AE2372" i="208"/>
  <c r="AF2339" i="208"/>
  <c r="AE2339" i="208"/>
  <c r="AF2309" i="208"/>
  <c r="AE2309" i="208"/>
  <c r="AE2285" i="208"/>
  <c r="AF2162" i="208"/>
  <c r="AE2162" i="208"/>
  <c r="AF2998" i="208"/>
  <c r="AE2998" i="208"/>
  <c r="AF2983" i="208"/>
  <c r="AE2983" i="208"/>
  <c r="AF2977" i="208"/>
  <c r="AE2977" i="208"/>
  <c r="AF2971" i="208"/>
  <c r="AE2971" i="208"/>
  <c r="AF2956" i="208"/>
  <c r="AE2956" i="208"/>
  <c r="AF2932" i="208"/>
  <c r="AE2932" i="208"/>
  <c r="AF2926" i="208"/>
  <c r="AE2926" i="208"/>
  <c r="AF2917" i="208"/>
  <c r="AE2917" i="208"/>
  <c r="AF2911" i="208"/>
  <c r="AE2911" i="208"/>
  <c r="AF2890" i="208"/>
  <c r="AE2890" i="208"/>
  <c r="AF2881" i="208"/>
  <c r="AE2881" i="208"/>
  <c r="AF2875" i="208"/>
  <c r="AE2875" i="208"/>
  <c r="AF2854" i="208"/>
  <c r="AE2854" i="208"/>
  <c r="AF2830" i="208"/>
  <c r="AE2830" i="208"/>
  <c r="AF2824" i="208"/>
  <c r="AE2824" i="208"/>
  <c r="AF2815" i="208"/>
  <c r="AE2815" i="208"/>
  <c r="AF2791" i="208"/>
  <c r="AE2791" i="208"/>
  <c r="AF2773" i="208"/>
  <c r="AE2773" i="208"/>
  <c r="AF2740" i="208"/>
  <c r="AE2740" i="208"/>
  <c r="AF2731" i="208"/>
  <c r="AE2731" i="208"/>
  <c r="AF2725" i="208"/>
  <c r="AE2725" i="208"/>
  <c r="AF2722" i="208"/>
  <c r="AE2722" i="208"/>
  <c r="AF2710" i="208"/>
  <c r="AE2710" i="208"/>
  <c r="AF2704" i="208"/>
  <c r="AE2704" i="208"/>
  <c r="AF2695" i="208"/>
  <c r="AE2695" i="208"/>
  <c r="AF2692" i="208"/>
  <c r="AE2692" i="208"/>
  <c r="AF2683" i="208"/>
  <c r="AE2683" i="208"/>
  <c r="AF2668" i="208"/>
  <c r="AE2668" i="208"/>
  <c r="AF2662" i="208"/>
  <c r="AF2647" i="208"/>
  <c r="AE2647" i="208"/>
  <c r="AF2641" i="208"/>
  <c r="AE2641" i="208"/>
  <c r="AF2629" i="208"/>
  <c r="AE2629" i="208"/>
  <c r="AF2623" i="208"/>
  <c r="AE2623" i="208"/>
  <c r="AF2602" i="208"/>
  <c r="AE2602" i="208"/>
  <c r="AF2593" i="208"/>
  <c r="AE2593" i="208"/>
  <c r="AF2587" i="208"/>
  <c r="AE2587" i="208"/>
  <c r="AF2578" i="208"/>
  <c r="AE2578" i="208"/>
  <c r="AF2452" i="208"/>
  <c r="AE2452" i="208"/>
  <c r="AF2443" i="208"/>
  <c r="AE2443" i="208"/>
  <c r="AF2425" i="208"/>
  <c r="AE2425" i="208"/>
  <c r="AF2416" i="208"/>
  <c r="AE2416" i="208"/>
  <c r="AF2398" i="208"/>
  <c r="AF2392" i="208"/>
  <c r="AE2392" i="208"/>
  <c r="AF2377" i="208"/>
  <c r="AE2377" i="208"/>
  <c r="AF2350" i="208"/>
  <c r="AE2350" i="208"/>
  <c r="AF2335" i="208"/>
  <c r="AE2335" i="208"/>
  <c r="AF2317" i="208"/>
  <c r="AE2317" i="208"/>
  <c r="AF2311" i="208"/>
  <c r="AE2311" i="208"/>
  <c r="AF2302" i="208"/>
  <c r="AE2302" i="208"/>
  <c r="AF2296" i="208"/>
  <c r="AE2296" i="208"/>
  <c r="AF2278" i="208"/>
  <c r="AE2278" i="208"/>
  <c r="AF2272" i="208"/>
  <c r="AE2272" i="208"/>
  <c r="AF2263" i="208"/>
  <c r="AE2263" i="208"/>
  <c r="AF2257" i="208"/>
  <c r="AE2257" i="208"/>
  <c r="AF2248" i="208"/>
  <c r="AE2248" i="208"/>
  <c r="AF2239" i="208"/>
  <c r="AE2239" i="208"/>
  <c r="AF2233" i="208"/>
  <c r="AE2233" i="208"/>
  <c r="AF2209" i="208"/>
  <c r="AE2209" i="208"/>
  <c r="AF2197" i="208"/>
  <c r="AE2197" i="208"/>
  <c r="AF2191" i="208"/>
  <c r="AE2191" i="208"/>
  <c r="AF2173" i="208"/>
  <c r="AE2173" i="208"/>
  <c r="AF2164" i="208"/>
  <c r="AE2164" i="208"/>
  <c r="AF2155" i="208"/>
  <c r="AE2155" i="208"/>
  <c r="AF2137" i="208"/>
  <c r="AE2137" i="208"/>
  <c r="AF2119" i="208"/>
  <c r="AE2119" i="208"/>
  <c r="AF2110" i="208"/>
  <c r="AE2110" i="208"/>
  <c r="AF2104" i="208"/>
  <c r="AE2104" i="208"/>
  <c r="AF2095" i="208"/>
  <c r="AE2095" i="208"/>
  <c r="AF2089" i="208"/>
  <c r="AE2089" i="208"/>
  <c r="AF2071" i="208"/>
  <c r="AE2071" i="208"/>
  <c r="AF2065" i="208"/>
  <c r="AE2065" i="208"/>
  <c r="AF2050" i="208"/>
  <c r="AE2050" i="208"/>
  <c r="AF2044" i="208"/>
  <c r="AE2044" i="208"/>
  <c r="AF2026" i="208"/>
  <c r="AE2026" i="208"/>
  <c r="AF2017" i="208"/>
  <c r="AE2017" i="208"/>
  <c r="AF2008" i="208"/>
  <c r="AE2008" i="208"/>
  <c r="AF2002" i="208"/>
  <c r="AE2002" i="208"/>
  <c r="AF1993" i="208"/>
  <c r="AE1993" i="208"/>
  <c r="AF1984" i="208"/>
  <c r="AE1984" i="208"/>
  <c r="AF1972" i="208"/>
  <c r="AE1972" i="208"/>
  <c r="AE1963" i="208"/>
  <c r="AF1963" i="208"/>
  <c r="AF1951" i="208"/>
  <c r="AE1951" i="208"/>
  <c r="AF1927" i="208"/>
  <c r="AE1927" i="208"/>
  <c r="AF1921" i="208"/>
  <c r="AE1921" i="208"/>
  <c r="AF1906" i="208"/>
  <c r="AE1906" i="208"/>
  <c r="AF1879" i="208"/>
  <c r="AE1879" i="208"/>
  <c r="AF1873" i="208"/>
  <c r="AE1873" i="208"/>
  <c r="AF1870" i="208"/>
  <c r="AE1870" i="208"/>
  <c r="AF1864" i="208"/>
  <c r="AE1864" i="208"/>
  <c r="AF1846" i="208"/>
  <c r="AE1846" i="208"/>
  <c r="AF1843" i="208"/>
  <c r="AE1843" i="208"/>
  <c r="AF1828" i="208"/>
  <c r="AE1828" i="208"/>
  <c r="AF1819" i="208"/>
  <c r="AE1819" i="208"/>
  <c r="AF1804" i="208"/>
  <c r="AE1804" i="208"/>
  <c r="AE1798" i="208"/>
  <c r="AF1780" i="208"/>
  <c r="AE1780" i="208"/>
  <c r="AF1777" i="208"/>
  <c r="AE1777" i="208"/>
  <c r="AF1774" i="208"/>
  <c r="AE1774" i="208"/>
  <c r="AF1765" i="208"/>
  <c r="AE1765" i="208"/>
  <c r="AF1756" i="208"/>
  <c r="AE1756" i="208"/>
  <c r="AF1741" i="208"/>
  <c r="AE1741" i="208"/>
  <c r="AF1738" i="208"/>
  <c r="AE1738" i="208"/>
  <c r="AF1735" i="208"/>
  <c r="AE1735" i="208"/>
  <c r="AF1732" i="208"/>
  <c r="AE1732" i="208"/>
  <c r="AF1729" i="208"/>
  <c r="AE1729" i="208"/>
  <c r="AF1726" i="208"/>
  <c r="AE1726" i="208"/>
  <c r="AF1723" i="208"/>
  <c r="AE1723" i="208"/>
  <c r="AF1720" i="208"/>
  <c r="AE1720" i="208"/>
  <c r="AF1714" i="208"/>
  <c r="AE1714" i="208"/>
  <c r="AF1705" i="208"/>
  <c r="AE1705" i="208"/>
  <c r="AF1696" i="208"/>
  <c r="AE1696" i="208"/>
  <c r="AF1678" i="208"/>
  <c r="AE1678" i="208"/>
  <c r="AF1672" i="208"/>
  <c r="AE1672" i="208"/>
  <c r="AF1660" i="208"/>
  <c r="AE1660" i="208"/>
  <c r="AF1639" i="208"/>
  <c r="AE1639" i="208"/>
  <c r="AF1627" i="208"/>
  <c r="AF1576" i="208"/>
  <c r="AE1576" i="208"/>
  <c r="AF2999" i="208"/>
  <c r="AE2999" i="208"/>
  <c r="AF2969" i="208"/>
  <c r="AE2969" i="208"/>
  <c r="AF2954" i="208"/>
  <c r="AE2954" i="208"/>
  <c r="AF2921" i="208"/>
  <c r="AE2921" i="208"/>
  <c r="AF2879" i="208"/>
  <c r="AE2879" i="208"/>
  <c r="AF2861" i="208"/>
  <c r="AE2861" i="208"/>
  <c r="AF2783" i="208"/>
  <c r="AE2783" i="208"/>
  <c r="AF2744" i="208"/>
  <c r="AE2744" i="208"/>
  <c r="AF2708" i="208"/>
  <c r="AE2708" i="208"/>
  <c r="AE2636" i="208"/>
  <c r="AF2636" i="208"/>
  <c r="AF2579" i="208"/>
  <c r="AE2579" i="208"/>
  <c r="AF2558" i="208"/>
  <c r="AE2558" i="208"/>
  <c r="AF2540" i="208"/>
  <c r="AE2540" i="208"/>
  <c r="AF2498" i="208"/>
  <c r="AE2498" i="208"/>
  <c r="AF2453" i="208"/>
  <c r="AE2453" i="208"/>
  <c r="AF2384" i="208"/>
  <c r="AF2345" i="208"/>
  <c r="AE2345" i="208"/>
  <c r="AF2303" i="208"/>
  <c r="AE2303" i="208"/>
  <c r="AF2288" i="208"/>
  <c r="AE2288" i="208"/>
  <c r="AF2228" i="208"/>
  <c r="AE2228" i="208"/>
  <c r="AF2213" i="208"/>
  <c r="AE2213" i="208"/>
  <c r="AF2201" i="208"/>
  <c r="AE2201" i="208"/>
  <c r="AF686" i="208"/>
  <c r="AE686" i="208"/>
  <c r="AF303" i="208"/>
  <c r="AE303" i="208"/>
  <c r="AF2992" i="208"/>
  <c r="AE2992" i="208"/>
  <c r="AF2980" i="208"/>
  <c r="AE2980" i="208"/>
  <c r="AF2968" i="208"/>
  <c r="AE2968" i="208"/>
  <c r="AF2959" i="208"/>
  <c r="AE2959" i="208"/>
  <c r="AF2953" i="208"/>
  <c r="AE2953" i="208"/>
  <c r="AF2929" i="208"/>
  <c r="AE2929" i="208"/>
  <c r="AF2914" i="208"/>
  <c r="AE2914" i="208"/>
  <c r="AF2908" i="208"/>
  <c r="AE2908" i="208"/>
  <c r="AF2884" i="208"/>
  <c r="AE2884" i="208"/>
  <c r="AF2878" i="208"/>
  <c r="AE2878" i="208"/>
  <c r="AF2872" i="208"/>
  <c r="AE2872" i="208"/>
  <c r="AF2866" i="208"/>
  <c r="AE2866" i="208"/>
  <c r="AF2857" i="208"/>
  <c r="AE2857" i="208"/>
  <c r="AF2848" i="208"/>
  <c r="AE2848" i="208"/>
  <c r="AF2836" i="208"/>
  <c r="AE2836" i="208"/>
  <c r="AF2827" i="208"/>
  <c r="AE2827" i="208"/>
  <c r="AF2809" i="208"/>
  <c r="AE2809" i="208"/>
  <c r="AF2785" i="208"/>
  <c r="AE2785" i="208"/>
  <c r="AF2770" i="208"/>
  <c r="AE2770" i="208"/>
  <c r="AF2764" i="208"/>
  <c r="AE2764" i="208"/>
  <c r="AF2749" i="208"/>
  <c r="AE2749" i="208"/>
  <c r="AF2743" i="208"/>
  <c r="AE2743" i="208"/>
  <c r="AF2734" i="208"/>
  <c r="AE2734" i="208"/>
  <c r="AF2605" i="208"/>
  <c r="AE2605" i="208"/>
  <c r="AF2599" i="208"/>
  <c r="AE2599" i="208"/>
  <c r="AF2590" i="208"/>
  <c r="AE2590" i="208"/>
  <c r="AF2581" i="208"/>
  <c r="AE2581" i="208"/>
  <c r="AF2566" i="208"/>
  <c r="AE2566" i="208"/>
  <c r="AF2560" i="208"/>
  <c r="AE2560" i="208"/>
  <c r="AF2551" i="208"/>
  <c r="AE2551" i="208"/>
  <c r="AF2545" i="208"/>
  <c r="AE2545" i="208"/>
  <c r="AF2539" i="208"/>
  <c r="AE2539" i="208"/>
  <c r="AF2536" i="208"/>
  <c r="AE2536" i="208"/>
  <c r="AF2524" i="208"/>
  <c r="AE2524" i="208"/>
  <c r="AF2500" i="208"/>
  <c r="AE2500" i="208"/>
  <c r="AF2494" i="208"/>
  <c r="AE2494" i="208"/>
  <c r="AF2488" i="208"/>
  <c r="AF2482" i="208"/>
  <c r="AE2482" i="208"/>
  <c r="AF2479" i="208"/>
  <c r="AE2479" i="208"/>
  <c r="AF2461" i="208"/>
  <c r="AE2461" i="208"/>
  <c r="AF2455" i="208"/>
  <c r="AE2455" i="208"/>
  <c r="AF2449" i="208"/>
  <c r="AE2449" i="208"/>
  <c r="AF2437" i="208"/>
  <c r="AE2437" i="208"/>
  <c r="AF2419" i="208"/>
  <c r="AE2419" i="208"/>
  <c r="AF2404" i="208"/>
  <c r="AE2404" i="208"/>
  <c r="AF2401" i="208"/>
  <c r="AE2401" i="208"/>
  <c r="AF2380" i="208"/>
  <c r="AE2380" i="208"/>
  <c r="AE2374" i="208"/>
  <c r="AF2359" i="208"/>
  <c r="AE2359" i="208"/>
  <c r="AF2353" i="208"/>
  <c r="AE2353" i="208"/>
  <c r="AF2338" i="208"/>
  <c r="AE2338" i="208"/>
  <c r="AF2332" i="208"/>
  <c r="AE2332" i="208"/>
  <c r="AF2314" i="208"/>
  <c r="AE2314" i="208"/>
  <c r="AF2305" i="208"/>
  <c r="AE2305" i="208"/>
  <c r="AF2299" i="208"/>
  <c r="AE2299" i="208"/>
  <c r="AF2290" i="208"/>
  <c r="AE2290" i="208"/>
  <c r="AF2275" i="208"/>
  <c r="AE2275" i="208"/>
  <c r="AF2254" i="208"/>
  <c r="AE2254" i="208"/>
  <c r="AE2245" i="208"/>
  <c r="AF2236" i="208"/>
  <c r="AE2236" i="208"/>
  <c r="AE2230" i="208"/>
  <c r="AF2212" i="208"/>
  <c r="AE2212" i="208"/>
  <c r="AF2194" i="208"/>
  <c r="AE2194" i="208"/>
  <c r="AF2188" i="208"/>
  <c r="AE2188" i="208"/>
  <c r="AF2167" i="208"/>
  <c r="AE2167" i="208"/>
  <c r="AF2158" i="208"/>
  <c r="AE2158" i="208"/>
  <c r="AF2149" i="208"/>
  <c r="AE2149" i="208"/>
  <c r="AF2134" i="208"/>
  <c r="AE2134" i="208"/>
  <c r="AF2128" i="208"/>
  <c r="AE2128" i="208"/>
  <c r="AF2116" i="208"/>
  <c r="AE2116" i="208"/>
  <c r="AF2107" i="208"/>
  <c r="AE2107" i="208"/>
  <c r="AF2092" i="208"/>
  <c r="AE2092" i="208"/>
  <c r="AF2062" i="208"/>
  <c r="AE2062" i="208"/>
  <c r="AF2053" i="208"/>
  <c r="AE2053" i="208"/>
  <c r="AF2020" i="208"/>
  <c r="AE2020" i="208"/>
  <c r="AF2014" i="208"/>
  <c r="AE2014" i="208"/>
  <c r="AF2005" i="208"/>
  <c r="AE2005" i="208"/>
  <c r="AF1987" i="208"/>
  <c r="AE1987" i="208"/>
  <c r="AF1975" i="208"/>
  <c r="AE1975" i="208"/>
  <c r="AF1966" i="208"/>
  <c r="AE1966" i="208"/>
  <c r="AF1960" i="208"/>
  <c r="AE1960" i="208"/>
  <c r="AF1948" i="208"/>
  <c r="AE1948" i="208"/>
  <c r="AF1918" i="208"/>
  <c r="AE1918" i="208"/>
  <c r="AF1909" i="208"/>
  <c r="AE1909" i="208"/>
  <c r="AF1903" i="208"/>
  <c r="AE1903" i="208"/>
  <c r="AF1894" i="208"/>
  <c r="AF1882" i="208"/>
  <c r="AE1882" i="208"/>
  <c r="AF1876" i="208"/>
  <c r="AE1876" i="208"/>
  <c r="AE1867" i="208"/>
  <c r="AF1867" i="208"/>
  <c r="AF1861" i="208"/>
  <c r="AE1861" i="208"/>
  <c r="AF1849" i="208"/>
  <c r="AE1849" i="208"/>
  <c r="AF1840" i="208"/>
  <c r="AE1840" i="208"/>
  <c r="AF1831" i="208"/>
  <c r="AE1831" i="208"/>
  <c r="AF1825" i="208"/>
  <c r="AE1825" i="208"/>
  <c r="AF1822" i="208"/>
  <c r="AE1822" i="208"/>
  <c r="AF1801" i="208"/>
  <c r="AE1801" i="208"/>
  <c r="AF1783" i="208"/>
  <c r="AE1783" i="208"/>
  <c r="AF1762" i="208"/>
  <c r="AE1762" i="208"/>
  <c r="AF1717" i="208"/>
  <c r="AE1717" i="208"/>
  <c r="AF1702" i="208"/>
  <c r="AE1702" i="208"/>
  <c r="AF1687" i="208"/>
  <c r="AE1687" i="208"/>
  <c r="AF1681" i="208"/>
  <c r="AE1681" i="208"/>
  <c r="AF1663" i="208"/>
  <c r="AE1663" i="208"/>
  <c r="AF1654" i="208"/>
  <c r="AE1654" i="208"/>
  <c r="AF1636" i="208"/>
  <c r="AE1636" i="208"/>
  <c r="AF1633" i="208"/>
  <c r="AE1633" i="208"/>
  <c r="AF1618" i="208"/>
  <c r="AE1618" i="208"/>
  <c r="AF1612" i="208"/>
  <c r="AE1612" i="208"/>
  <c r="AF1597" i="208"/>
  <c r="AE1597" i="208"/>
  <c r="AF1594" i="208"/>
  <c r="AE1594" i="208"/>
  <c r="AF1588" i="208"/>
  <c r="AE1588" i="208"/>
  <c r="AF1582" i="208"/>
  <c r="AE1582" i="208"/>
  <c r="AF1570" i="208"/>
  <c r="AE1570" i="208"/>
  <c r="AF1555" i="208"/>
  <c r="AE1555" i="208"/>
  <c r="AF1540" i="208"/>
  <c r="AE1540" i="208"/>
  <c r="AF1288" i="208"/>
  <c r="AE1288" i="208"/>
  <c r="AF1539" i="208"/>
  <c r="AE1539" i="208"/>
  <c r="AF1536" i="208"/>
  <c r="AE1536" i="208"/>
  <c r="AF1533" i="208"/>
  <c r="AE1533" i="208"/>
  <c r="AE1530" i="208"/>
  <c r="AF1530" i="208"/>
  <c r="AE1524" i="208"/>
  <c r="AF1521" i="208"/>
  <c r="AE1521" i="208"/>
  <c r="AF1515" i="208"/>
  <c r="AE1515" i="208"/>
  <c r="AF1512" i="208"/>
  <c r="AE1512" i="208"/>
  <c r="AF1506" i="208"/>
  <c r="AE1506" i="208"/>
  <c r="AF1503" i="208"/>
  <c r="AE1503" i="208"/>
  <c r="AF1497" i="208"/>
  <c r="AE1497" i="208"/>
  <c r="AF1491" i="208"/>
  <c r="AE1491" i="208"/>
  <c r="AF1488" i="208"/>
  <c r="AE1488" i="208"/>
  <c r="AF1482" i="208"/>
  <c r="AE1482" i="208"/>
  <c r="AF1479" i="208"/>
  <c r="AE1479" i="208"/>
  <c r="AF1476" i="208"/>
  <c r="AE1476" i="208"/>
  <c r="AF1473" i="208"/>
  <c r="AE1473" i="208"/>
  <c r="AE1458" i="208"/>
  <c r="AF1458" i="208"/>
  <c r="AF1455" i="208"/>
  <c r="AE1455" i="208"/>
  <c r="AF1452" i="208"/>
  <c r="AE1452" i="208"/>
  <c r="AF1449" i="208"/>
  <c r="AE1449" i="208"/>
  <c r="AE1446" i="208"/>
  <c r="AF1446" i="208"/>
  <c r="AF1443" i="208"/>
  <c r="AE1443" i="208"/>
  <c r="AF1440" i="208"/>
  <c r="AE1440" i="208"/>
  <c r="AF1437" i="208"/>
  <c r="AE1437" i="208"/>
  <c r="AF1431" i="208"/>
  <c r="AE1431" i="208"/>
  <c r="AF1428" i="208"/>
  <c r="AE1428" i="208"/>
  <c r="AF1422" i="208"/>
  <c r="AE1422" i="208"/>
  <c r="AF1419" i="208"/>
  <c r="AE1419" i="208"/>
  <c r="AF1416" i="208"/>
  <c r="AE1416" i="208"/>
  <c r="AF1413" i="208"/>
  <c r="AE1413" i="208"/>
  <c r="AF1410" i="208"/>
  <c r="AE1410" i="208"/>
  <c r="AF1407" i="208"/>
  <c r="AE1407" i="208"/>
  <c r="AF1401" i="208"/>
  <c r="AE1401" i="208"/>
  <c r="AF1398" i="208"/>
  <c r="AE1398" i="208"/>
  <c r="AF1395" i="208"/>
  <c r="AE1395" i="208"/>
  <c r="AF1392" i="208"/>
  <c r="AE1392" i="208"/>
  <c r="AF1389" i="208"/>
  <c r="AE1389" i="208"/>
  <c r="AE1386" i="208"/>
  <c r="AF1386" i="208"/>
  <c r="AF1377" i="208"/>
  <c r="AE1377" i="208"/>
  <c r="AF1368" i="208"/>
  <c r="AE1368" i="208"/>
  <c r="AF1362" i="208"/>
  <c r="AE1362" i="208"/>
  <c r="AF1353" i="208"/>
  <c r="AE1353" i="208"/>
  <c r="AF1347" i="208"/>
  <c r="AE1347" i="208"/>
  <c r="AF1344" i="208"/>
  <c r="AE1344" i="208"/>
  <c r="AF1338" i="208"/>
  <c r="AE1338" i="208"/>
  <c r="AF1335" i="208"/>
  <c r="AE1335" i="208"/>
  <c r="AF1332" i="208"/>
  <c r="AE1332" i="208"/>
  <c r="AF1329" i="208"/>
  <c r="AE1329" i="208"/>
  <c r="AF1323" i="208"/>
  <c r="AE1323" i="208"/>
  <c r="AF1314" i="208"/>
  <c r="AE1314" i="208"/>
  <c r="AF1311" i="208"/>
  <c r="AE1311" i="208"/>
  <c r="AF1308" i="208"/>
  <c r="AE1308" i="208"/>
  <c r="AF1305" i="208"/>
  <c r="AE1305" i="208"/>
  <c r="AF1302" i="208"/>
  <c r="AE1302" i="208"/>
  <c r="AF1299" i="208"/>
  <c r="AE1299" i="208"/>
  <c r="AF1296" i="208"/>
  <c r="AE1296" i="208"/>
  <c r="AF1293" i="208"/>
  <c r="AE1293" i="208"/>
  <c r="AF1284" i="208"/>
  <c r="AE1284" i="208"/>
  <c r="AF1281" i="208"/>
  <c r="AF1278" i="208"/>
  <c r="AE1278" i="208"/>
  <c r="AF1275" i="208"/>
  <c r="AE1275" i="208"/>
  <c r="AF1272" i="208"/>
  <c r="AE1272" i="208"/>
  <c r="AF1269" i="208"/>
  <c r="AE1269" i="208"/>
  <c r="AF1266" i="208"/>
  <c r="AE1266" i="208"/>
  <c r="AF1263" i="208"/>
  <c r="AE1263" i="208"/>
  <c r="AF1257" i="208"/>
  <c r="AE1257" i="208"/>
  <c r="AF1254" i="208"/>
  <c r="AE1254" i="208"/>
  <c r="AF1251" i="208"/>
  <c r="AE1251" i="208"/>
  <c r="AF1248" i="208"/>
  <c r="AE1248" i="208"/>
  <c r="AF1245" i="208"/>
  <c r="AE1245" i="208"/>
  <c r="AE1242" i="208"/>
  <c r="AF1242" i="208"/>
  <c r="AF1239" i="208"/>
  <c r="AE1239" i="208"/>
  <c r="AF1233" i="208"/>
  <c r="AE1233" i="208"/>
  <c r="AF1224" i="208"/>
  <c r="AE1224" i="208"/>
  <c r="AF1218" i="208"/>
  <c r="AE1218" i="208"/>
  <c r="AF1209" i="208"/>
  <c r="AE1209" i="208"/>
  <c r="AF1203" i="208"/>
  <c r="AE1203" i="208"/>
  <c r="AF1200" i="208"/>
  <c r="AE1200" i="208"/>
  <c r="AF1194" i="208"/>
  <c r="AE1194" i="208"/>
  <c r="AF1188" i="208"/>
  <c r="AE1188" i="208"/>
  <c r="AF1185" i="208"/>
  <c r="AE1185" i="208"/>
  <c r="AE1170" i="208"/>
  <c r="AF1170" i="208"/>
  <c r="AF1164" i="208"/>
  <c r="AE1164" i="208"/>
  <c r="AF1161" i="208"/>
  <c r="AE1161" i="208"/>
  <c r="AE1158" i="208"/>
  <c r="AF1158" i="208"/>
  <c r="AF1155" i="208"/>
  <c r="AE1155" i="208"/>
  <c r="AF1152" i="208"/>
  <c r="AE1152" i="208"/>
  <c r="AF1149" i="208"/>
  <c r="AE1149" i="208"/>
  <c r="AF1143" i="208"/>
  <c r="AE1143" i="208"/>
  <c r="AF1140" i="208"/>
  <c r="AE1140" i="208"/>
  <c r="AF1134" i="208"/>
  <c r="AE1134" i="208"/>
  <c r="AF1131" i="208"/>
  <c r="AE1131" i="208"/>
  <c r="AF1128" i="208"/>
  <c r="AE1128" i="208"/>
  <c r="AF1125" i="208"/>
  <c r="AE1125" i="208"/>
  <c r="AF1122" i="208"/>
  <c r="AE1122" i="208"/>
  <c r="AF1119" i="208"/>
  <c r="AE1119" i="208"/>
  <c r="AF1113" i="208"/>
  <c r="AE1113" i="208"/>
  <c r="AF1110" i="208"/>
  <c r="AE1110" i="208"/>
  <c r="AF1104" i="208"/>
  <c r="AE1104" i="208"/>
  <c r="AF1101" i="208"/>
  <c r="AE1101" i="208"/>
  <c r="AE1098" i="208"/>
  <c r="AF1098" i="208"/>
  <c r="AF1089" i="208"/>
  <c r="AE1089" i="208"/>
  <c r="AF1083" i="208"/>
  <c r="AE1083" i="208"/>
  <c r="AF1080" i="208"/>
  <c r="AE1080" i="208"/>
  <c r="AF1074" i="208"/>
  <c r="AE1074" i="208"/>
  <c r="AF1065" i="208"/>
  <c r="AE1065" i="208"/>
  <c r="AF1056" i="208"/>
  <c r="AE1056" i="208"/>
  <c r="AF1050" i="208"/>
  <c r="AE1050" i="208"/>
  <c r="AF1047" i="208"/>
  <c r="AE1047" i="208"/>
  <c r="AF1044" i="208"/>
  <c r="AE1044" i="208"/>
  <c r="AF1041" i="208"/>
  <c r="AE1041" i="208"/>
  <c r="AF1035" i="208"/>
  <c r="AE1035" i="208"/>
  <c r="AF1020" i="208"/>
  <c r="AE1020" i="208"/>
  <c r="AE1014" i="208"/>
  <c r="AF1014" i="208"/>
  <c r="AF1011" i="208"/>
  <c r="AE1011" i="208"/>
  <c r="AF1008" i="208"/>
  <c r="AE1008" i="208"/>
  <c r="AF1005" i="208"/>
  <c r="AE1005" i="208"/>
  <c r="AF999" i="208"/>
  <c r="AE999" i="208"/>
  <c r="AF996" i="208"/>
  <c r="AE996" i="208"/>
  <c r="AF990" i="208"/>
  <c r="AE990" i="208"/>
  <c r="AF987" i="208"/>
  <c r="AE987" i="208"/>
  <c r="AF984" i="208"/>
  <c r="AE984" i="208"/>
  <c r="AF981" i="208"/>
  <c r="AE981" i="208"/>
  <c r="AF978" i="208"/>
  <c r="AE978" i="208"/>
  <c r="AF969" i="208"/>
  <c r="AE969" i="208"/>
  <c r="AF966" i="208"/>
  <c r="AE966" i="208"/>
  <c r="AF960" i="208"/>
  <c r="AE960" i="208"/>
  <c r="AF957" i="208"/>
  <c r="AE957" i="208"/>
  <c r="AF954" i="208"/>
  <c r="AE954" i="208"/>
  <c r="AF945" i="208"/>
  <c r="AE945" i="208"/>
  <c r="AF939" i="208"/>
  <c r="AE939" i="208"/>
  <c r="AF936" i="208"/>
  <c r="AE936" i="208"/>
  <c r="AF930" i="208"/>
  <c r="AE930" i="208"/>
  <c r="AF927" i="208"/>
  <c r="AE927" i="208"/>
  <c r="AF921" i="208"/>
  <c r="AE921" i="208"/>
  <c r="AF915" i="208"/>
  <c r="AE915" i="208"/>
  <c r="AF906" i="208"/>
  <c r="AE906" i="208"/>
  <c r="AF900" i="208"/>
  <c r="AE900" i="208"/>
  <c r="AF897" i="208"/>
  <c r="AE897" i="208"/>
  <c r="AF891" i="208"/>
  <c r="AE891" i="208"/>
  <c r="AF876" i="208"/>
  <c r="AE876" i="208"/>
  <c r="AF870" i="208"/>
  <c r="AE870" i="208"/>
  <c r="AF867" i="208"/>
  <c r="AE867" i="208"/>
  <c r="AF864" i="208"/>
  <c r="AE864" i="208"/>
  <c r="AF861" i="208"/>
  <c r="AE861" i="208"/>
  <c r="AF852" i="208"/>
  <c r="AE852" i="208"/>
  <c r="AF846" i="208"/>
  <c r="AE846" i="208"/>
  <c r="AF843" i="208"/>
  <c r="AF840" i="208"/>
  <c r="AE840" i="208"/>
  <c r="AF837" i="208"/>
  <c r="AE837" i="208"/>
  <c r="AF834" i="208"/>
  <c r="AE834" i="208"/>
  <c r="AF831" i="208"/>
  <c r="AE831" i="208"/>
  <c r="AF825" i="208"/>
  <c r="AE825" i="208"/>
  <c r="AF822" i="208"/>
  <c r="AE822" i="208"/>
  <c r="AF819" i="208"/>
  <c r="AE819" i="208"/>
  <c r="AF816" i="208"/>
  <c r="AE816" i="208"/>
  <c r="AF813" i="208"/>
  <c r="AE813" i="208"/>
  <c r="AF810" i="208"/>
  <c r="AE810" i="208"/>
  <c r="AF807" i="208"/>
  <c r="AE807" i="208"/>
  <c r="AF804" i="208"/>
  <c r="AF801" i="208"/>
  <c r="AE801" i="208"/>
  <c r="AF795" i="208"/>
  <c r="AE795" i="208"/>
  <c r="AF792" i="208"/>
  <c r="AE792" i="208"/>
  <c r="AF786" i="208"/>
  <c r="AE786" i="208"/>
  <c r="AF777" i="208"/>
  <c r="AE777" i="208"/>
  <c r="AF774" i="208"/>
  <c r="AF762" i="208"/>
  <c r="AE762" i="208"/>
  <c r="AF756" i="208"/>
  <c r="AE756" i="208"/>
  <c r="AF753" i="208"/>
  <c r="AE753" i="208"/>
  <c r="AF747" i="208"/>
  <c r="AE747" i="208"/>
  <c r="AF735" i="208"/>
  <c r="AE735" i="208"/>
  <c r="AF732" i="208"/>
  <c r="AE732" i="208"/>
  <c r="AF726" i="208"/>
  <c r="AE726" i="208"/>
  <c r="AF723" i="208"/>
  <c r="AE723" i="208"/>
  <c r="AF720" i="208"/>
  <c r="AE720" i="208"/>
  <c r="AF717" i="208"/>
  <c r="AE717" i="208"/>
  <c r="AF708" i="208"/>
  <c r="AE708" i="208"/>
  <c r="AF702" i="208"/>
  <c r="AE702" i="208"/>
  <c r="AF696" i="208"/>
  <c r="AE696" i="208"/>
  <c r="AF693" i="208"/>
  <c r="AE693" i="208"/>
  <c r="AF690" i="208"/>
  <c r="AE690" i="208"/>
  <c r="AF681" i="208"/>
  <c r="AE681" i="208"/>
  <c r="AF678" i="208"/>
  <c r="AE678" i="208"/>
  <c r="AF675" i="208"/>
  <c r="AE675" i="208"/>
  <c r="AE672" i="208"/>
  <c r="AF669" i="208"/>
  <c r="AE669" i="208"/>
  <c r="AF666" i="208"/>
  <c r="AE666" i="208"/>
  <c r="AF657" i="208"/>
  <c r="AE657" i="208"/>
  <c r="AF651" i="208"/>
  <c r="AE651" i="208"/>
  <c r="AF648" i="208"/>
  <c r="AE648" i="208"/>
  <c r="AE642" i="208"/>
  <c r="AF633" i="208"/>
  <c r="AF627" i="208"/>
  <c r="AE627" i="208"/>
  <c r="AE624" i="208"/>
  <c r="AF618" i="208"/>
  <c r="AE618" i="208"/>
  <c r="AF615" i="208"/>
  <c r="AE615" i="208"/>
  <c r="AF612" i="208"/>
  <c r="AE612" i="208"/>
  <c r="AF609" i="208"/>
  <c r="AE609" i="208"/>
  <c r="AF603" i="208"/>
  <c r="AE603" i="208"/>
  <c r="AF591" i="208"/>
  <c r="AE591" i="208"/>
  <c r="AF588" i="208"/>
  <c r="AE588" i="208"/>
  <c r="AF582" i="208"/>
  <c r="AE582" i="208"/>
  <c r="AF576" i="208"/>
  <c r="AE576" i="208"/>
  <c r="AF573" i="208"/>
  <c r="AE573" i="208"/>
  <c r="AF564" i="208"/>
  <c r="AE564" i="208"/>
  <c r="AF558" i="208"/>
  <c r="AE558" i="208"/>
  <c r="AF555" i="208"/>
  <c r="AE555" i="208"/>
  <c r="AF552" i="208"/>
  <c r="AE552" i="208"/>
  <c r="AF549" i="208"/>
  <c r="AE549" i="208"/>
  <c r="AF546" i="208"/>
  <c r="AE546" i="208"/>
  <c r="AF543" i="208"/>
  <c r="AE543" i="208"/>
  <c r="AF537" i="208"/>
  <c r="AE537" i="208"/>
  <c r="AF534" i="208"/>
  <c r="AE534" i="208"/>
  <c r="AF531" i="208"/>
  <c r="AE531" i="208"/>
  <c r="AF525" i="208"/>
  <c r="AE525" i="208"/>
  <c r="AF522" i="208"/>
  <c r="AE522" i="208"/>
  <c r="AF513" i="208"/>
  <c r="AE513" i="208"/>
  <c r="AF507" i="208"/>
  <c r="AE507" i="208"/>
  <c r="AF504" i="208"/>
  <c r="AE504" i="208"/>
  <c r="AF495" i="208"/>
  <c r="AE495" i="208"/>
  <c r="AF483" i="208"/>
  <c r="AE483" i="208"/>
  <c r="AF474" i="208"/>
  <c r="AE474" i="208"/>
  <c r="AF471" i="208"/>
  <c r="AE471" i="208"/>
  <c r="AF468" i="208"/>
  <c r="AE468" i="208"/>
  <c r="AF465" i="208"/>
  <c r="AE465" i="208"/>
  <c r="AF447" i="208"/>
  <c r="AE447" i="208"/>
  <c r="AF444" i="208"/>
  <c r="AE444" i="208"/>
  <c r="AF441" i="208"/>
  <c r="AF438" i="208"/>
  <c r="AE438" i="208"/>
  <c r="AF435" i="208"/>
  <c r="AE435" i="208"/>
  <c r="AF432" i="208"/>
  <c r="AE432" i="208"/>
  <c r="AF429" i="208"/>
  <c r="AE429" i="208"/>
  <c r="AF420" i="208"/>
  <c r="AE420" i="208"/>
  <c r="AF414" i="208"/>
  <c r="AE414" i="208"/>
  <c r="AF411" i="208"/>
  <c r="AE411" i="208"/>
  <c r="AF408" i="208"/>
  <c r="AE408" i="208"/>
  <c r="AF405" i="208"/>
  <c r="AE405" i="208"/>
  <c r="AF402" i="208"/>
  <c r="AE402" i="208"/>
  <c r="AF393" i="208"/>
  <c r="AE393" i="208"/>
  <c r="AF390" i="208"/>
  <c r="AE390" i="208"/>
  <c r="AF381" i="208"/>
  <c r="AE381" i="208"/>
  <c r="AF378" i="208"/>
  <c r="AE378" i="208"/>
  <c r="AF375" i="208"/>
  <c r="AE375" i="208"/>
  <c r="AF369" i="208"/>
  <c r="AE369" i="208"/>
  <c r="AF363" i="208"/>
  <c r="AE363" i="208"/>
  <c r="AF360" i="208"/>
  <c r="AE360" i="208"/>
  <c r="AF354" i="208"/>
  <c r="AE354" i="208"/>
  <c r="AF339" i="208"/>
  <c r="AE339" i="208"/>
  <c r="AF330" i="208"/>
  <c r="AE330" i="208"/>
  <c r="AF324" i="208"/>
  <c r="AE324" i="208"/>
  <c r="AF321" i="208"/>
  <c r="AE321" i="208"/>
  <c r="AF315" i="208"/>
  <c r="AE315" i="208"/>
  <c r="AF312" i="208"/>
  <c r="AF293" i="208"/>
  <c r="AE293" i="208"/>
  <c r="AF278" i="208"/>
  <c r="AE278" i="208"/>
  <c r="AE275" i="208"/>
  <c r="AF263" i="208"/>
  <c r="AE263" i="208"/>
  <c r="AF254" i="208"/>
  <c r="AE254" i="208"/>
  <c r="AF245" i="208"/>
  <c r="AE245" i="208"/>
  <c r="AF236" i="208"/>
  <c r="AE236" i="208"/>
  <c r="AF227" i="208"/>
  <c r="AE227" i="208"/>
  <c r="AF218" i="208"/>
  <c r="AE218" i="208"/>
  <c r="AF209" i="208"/>
  <c r="AE209" i="208"/>
  <c r="AF200" i="208"/>
  <c r="AE200" i="208"/>
  <c r="AF191" i="208"/>
  <c r="AE191" i="208"/>
  <c r="AF164" i="208"/>
  <c r="AE164" i="208"/>
  <c r="AF137" i="208"/>
  <c r="AE137" i="208"/>
  <c r="AE110" i="208"/>
  <c r="AF1537" i="208"/>
  <c r="AE1537" i="208"/>
  <c r="AF1534" i="208"/>
  <c r="AE1534" i="208"/>
  <c r="AF1531" i="208"/>
  <c r="AE1531" i="208"/>
  <c r="AF1528" i="208"/>
  <c r="AE1528" i="208"/>
  <c r="AF1519" i="208"/>
  <c r="AE1519" i="208"/>
  <c r="AF1516" i="208"/>
  <c r="AE1516" i="208"/>
  <c r="AF1513" i="208"/>
  <c r="AE1513" i="208"/>
  <c r="AF1510" i="208"/>
  <c r="AE1510" i="208"/>
  <c r="AF1495" i="208"/>
  <c r="AE1495" i="208"/>
  <c r="AF1492" i="208"/>
  <c r="AE1492" i="208"/>
  <c r="AF1489" i="208"/>
  <c r="AE1489" i="208"/>
  <c r="AF1486" i="208"/>
  <c r="AE1486" i="208"/>
  <c r="AF1477" i="208"/>
  <c r="AE1477" i="208"/>
  <c r="AF1474" i="208"/>
  <c r="AE1474" i="208"/>
  <c r="AF1471" i="208"/>
  <c r="AE1471" i="208"/>
  <c r="AF1468" i="208"/>
  <c r="AE1468" i="208"/>
  <c r="AF1453" i="208"/>
  <c r="AE1453" i="208"/>
  <c r="AF1450" i="208"/>
  <c r="AE1450" i="208"/>
  <c r="AF1447" i="208"/>
  <c r="AE1447" i="208"/>
  <c r="AF1444" i="208"/>
  <c r="AE1444" i="208"/>
  <c r="AF1441" i="208"/>
  <c r="AE1441" i="208"/>
  <c r="AF1438" i="208"/>
  <c r="AE1438" i="208"/>
  <c r="AF1435" i="208"/>
  <c r="AE1435" i="208"/>
  <c r="AF1432" i="208"/>
  <c r="AE1432" i="208"/>
  <c r="AF1429" i="208"/>
  <c r="AE1429" i="208"/>
  <c r="AF1426" i="208"/>
  <c r="AE1426" i="208"/>
  <c r="AF1417" i="208"/>
  <c r="AE1417" i="208"/>
  <c r="AF1414" i="208"/>
  <c r="AE1414" i="208"/>
  <c r="AF1411" i="208"/>
  <c r="AE1411" i="208"/>
  <c r="AF1408" i="208"/>
  <c r="AE1408" i="208"/>
  <c r="AF1399" i="208"/>
  <c r="AE1399" i="208"/>
  <c r="AF1396" i="208"/>
  <c r="AE1396" i="208"/>
  <c r="AF1393" i="208"/>
  <c r="AE1393" i="208"/>
  <c r="AF1390" i="208"/>
  <c r="AE1390" i="208"/>
  <c r="AF1387" i="208"/>
  <c r="AE1387" i="208"/>
  <c r="AF1384" i="208"/>
  <c r="AE1384" i="208"/>
  <c r="AF1375" i="208"/>
  <c r="AE1375" i="208"/>
  <c r="AF1372" i="208"/>
  <c r="AE1372" i="208"/>
  <c r="AF1369" i="208"/>
  <c r="AE1369" i="208"/>
  <c r="AF1366" i="208"/>
  <c r="AE1366" i="208"/>
  <c r="AF1351" i="208"/>
  <c r="AE1351" i="208"/>
  <c r="AF1348" i="208"/>
  <c r="AE1348" i="208"/>
  <c r="AF1345" i="208"/>
  <c r="AE1345" i="208"/>
  <c r="AF1342" i="208"/>
  <c r="AE1342" i="208"/>
  <c r="AF1333" i="208"/>
  <c r="AE1333" i="208"/>
  <c r="AF1330" i="208"/>
  <c r="AE1330" i="208"/>
  <c r="AF1327" i="208"/>
  <c r="AE1327" i="208"/>
  <c r="AF1324" i="208"/>
  <c r="AE1324" i="208"/>
  <c r="AF1318" i="208"/>
  <c r="AF1309" i="208"/>
  <c r="AE1309" i="208"/>
  <c r="AF1306" i="208"/>
  <c r="AE1306" i="208"/>
  <c r="AF1303" i="208"/>
  <c r="AE1303" i="208"/>
  <c r="AF1300" i="208"/>
  <c r="AE1300" i="208"/>
  <c r="AF1297" i="208"/>
  <c r="AE1297" i="208"/>
  <c r="AF1294" i="208"/>
  <c r="AE1294" i="208"/>
  <c r="AF1291" i="208"/>
  <c r="AE1291" i="208"/>
  <c r="AF1285" i="208"/>
  <c r="AE1285" i="208"/>
  <c r="AF1282" i="208"/>
  <c r="AE1282" i="208"/>
  <c r="AF1273" i="208"/>
  <c r="AE1273" i="208"/>
  <c r="AF1270" i="208"/>
  <c r="AE1270" i="208"/>
  <c r="AF1267" i="208"/>
  <c r="AE1267" i="208"/>
  <c r="AF1264" i="208"/>
  <c r="AE1264" i="208"/>
  <c r="AF1255" i="208"/>
  <c r="AE1255" i="208"/>
  <c r="AF1252" i="208"/>
  <c r="AE1252" i="208"/>
  <c r="AF1249" i="208"/>
  <c r="AE1249" i="208"/>
  <c r="AF1246" i="208"/>
  <c r="AE1246" i="208"/>
  <c r="AF1243" i="208"/>
  <c r="AE1243" i="208"/>
  <c r="AF1240" i="208"/>
  <c r="AE1240" i="208"/>
  <c r="AF1231" i="208"/>
  <c r="AE1231" i="208"/>
  <c r="AF1228" i="208"/>
  <c r="AE1228" i="208"/>
  <c r="AF1225" i="208"/>
  <c r="AE1225" i="208"/>
  <c r="AF1222" i="208"/>
  <c r="AE1222" i="208"/>
  <c r="AF1207" i="208"/>
  <c r="AE1207" i="208"/>
  <c r="AF1204" i="208"/>
  <c r="AE1204" i="208"/>
  <c r="AF1201" i="208"/>
  <c r="AE1201" i="208"/>
  <c r="AF1198" i="208"/>
  <c r="AE1198" i="208"/>
  <c r="AF1195" i="208"/>
  <c r="AF1189" i="208"/>
  <c r="AE1189" i="208"/>
  <c r="AF1186" i="208"/>
  <c r="AE1186" i="208"/>
  <c r="AF1183" i="208"/>
  <c r="AE1183" i="208"/>
  <c r="AF1180" i="208"/>
  <c r="AE1180" i="208"/>
  <c r="AF1177" i="208"/>
  <c r="AF1165" i="208"/>
  <c r="AE1165" i="208"/>
  <c r="AF1162" i="208"/>
  <c r="AE1162" i="208"/>
  <c r="AF1159" i="208"/>
  <c r="AE1159" i="208"/>
  <c r="AF1156" i="208"/>
  <c r="AE1156" i="208"/>
  <c r="AF1153" i="208"/>
  <c r="AE1153" i="208"/>
  <c r="AF1150" i="208"/>
  <c r="AE1150" i="208"/>
  <c r="AF1147" i="208"/>
  <c r="AE1147" i="208"/>
  <c r="AF1144" i="208"/>
  <c r="AE1144" i="208"/>
  <c r="AF1141" i="208"/>
  <c r="AE1141" i="208"/>
  <c r="AF1138" i="208"/>
  <c r="AE1138" i="208"/>
  <c r="AF1129" i="208"/>
  <c r="AE1129" i="208"/>
  <c r="AF1126" i="208"/>
  <c r="AE1126" i="208"/>
  <c r="AF1123" i="208"/>
  <c r="AE1123" i="208"/>
  <c r="AF1120" i="208"/>
  <c r="AE1120" i="208"/>
  <c r="AF1111" i="208"/>
  <c r="AE1111" i="208"/>
  <c r="AF1108" i="208"/>
  <c r="AE1108" i="208"/>
  <c r="AF1105" i="208"/>
  <c r="AE1105" i="208"/>
  <c r="AF1102" i="208"/>
  <c r="AE1102" i="208"/>
  <c r="AF1099" i="208"/>
  <c r="AE1099" i="208"/>
  <c r="AF1096" i="208"/>
  <c r="AE1096" i="208"/>
  <c r="AF1087" i="208"/>
  <c r="AE1087" i="208"/>
  <c r="AF1084" i="208"/>
  <c r="AE1084" i="208"/>
  <c r="AF1081" i="208"/>
  <c r="AE1081" i="208"/>
  <c r="AF1078" i="208"/>
  <c r="AE1078" i="208"/>
  <c r="AF1063" i="208"/>
  <c r="AE1063" i="208"/>
  <c r="AF1060" i="208"/>
  <c r="AE1060" i="208"/>
  <c r="AF1057" i="208"/>
  <c r="AE1057" i="208"/>
  <c r="AF1054" i="208"/>
  <c r="AE1054" i="208"/>
  <c r="AF1045" i="208"/>
  <c r="AE1045" i="208"/>
  <c r="AF1042" i="208"/>
  <c r="AE1042" i="208"/>
  <c r="AF1039" i="208"/>
  <c r="AE1039" i="208"/>
  <c r="AF1036" i="208"/>
  <c r="AE1036" i="208"/>
  <c r="AF1021" i="208"/>
  <c r="AE1021" i="208"/>
  <c r="AF1018" i="208"/>
  <c r="AE1018" i="208"/>
  <c r="AE1015" i="208"/>
  <c r="AF1009" i="208"/>
  <c r="AE1009" i="208"/>
  <c r="AF1006" i="208"/>
  <c r="AE1006" i="208"/>
  <c r="AF1003" i="208"/>
  <c r="AE1003" i="208"/>
  <c r="AF1000" i="208"/>
  <c r="AE1000" i="208"/>
  <c r="AF997" i="208"/>
  <c r="AE997" i="208"/>
  <c r="AF994" i="208"/>
  <c r="AE994" i="208"/>
  <c r="AF985" i="208"/>
  <c r="AE985" i="208"/>
  <c r="AF982" i="208"/>
  <c r="AE982" i="208"/>
  <c r="AF979" i="208"/>
  <c r="AE979" i="208"/>
  <c r="AF976" i="208"/>
  <c r="AE976" i="208"/>
  <c r="AF967" i="208"/>
  <c r="AE967" i="208"/>
  <c r="AF964" i="208"/>
  <c r="AE964" i="208"/>
  <c r="AF961" i="208"/>
  <c r="AE961" i="208"/>
  <c r="AF958" i="208"/>
  <c r="AE958" i="208"/>
  <c r="AF955" i="208"/>
  <c r="AE955" i="208"/>
  <c r="AF952" i="208"/>
  <c r="AE952" i="208"/>
  <c r="AF943" i="208"/>
  <c r="AE943" i="208"/>
  <c r="AF940" i="208"/>
  <c r="AE940" i="208"/>
  <c r="AF937" i="208"/>
  <c r="AE937" i="208"/>
  <c r="AF934" i="208"/>
  <c r="AE934" i="208"/>
  <c r="AF919" i="208"/>
  <c r="AE919" i="208"/>
  <c r="AF916" i="208"/>
  <c r="AE916" i="208"/>
  <c r="AF901" i="208"/>
  <c r="AE901" i="208"/>
  <c r="AF898" i="208"/>
  <c r="AE898" i="208"/>
  <c r="AF895" i="208"/>
  <c r="AE895" i="208"/>
  <c r="AF892" i="208"/>
  <c r="AE892" i="208"/>
  <c r="AF877" i="208"/>
  <c r="AE877" i="208"/>
  <c r="AF874" i="208"/>
  <c r="AE874" i="208"/>
  <c r="AF865" i="208"/>
  <c r="AE865" i="208"/>
  <c r="AF862" i="208"/>
  <c r="AE862" i="208"/>
  <c r="AF859" i="208"/>
  <c r="AE859" i="208"/>
  <c r="AF856" i="208"/>
  <c r="AE856" i="208"/>
  <c r="AF853" i="208"/>
  <c r="AE853" i="208"/>
  <c r="AF850" i="208"/>
  <c r="AE850" i="208"/>
  <c r="AF841" i="208"/>
  <c r="AE841" i="208"/>
  <c r="AF838" i="208"/>
  <c r="AE838" i="208"/>
  <c r="AF835" i="208"/>
  <c r="AE835" i="208"/>
  <c r="AF832" i="208"/>
  <c r="AE832" i="208"/>
  <c r="AF823" i="208"/>
  <c r="AE823" i="208"/>
  <c r="AF820" i="208"/>
  <c r="AE820" i="208"/>
  <c r="AF817" i="208"/>
  <c r="AE817" i="208"/>
  <c r="AF814" i="208"/>
  <c r="AE814" i="208"/>
  <c r="AF811" i="208"/>
  <c r="AE811" i="208"/>
  <c r="AF808" i="208"/>
  <c r="AE808" i="208"/>
  <c r="AF799" i="208"/>
  <c r="AE799" i="208"/>
  <c r="AF796" i="208"/>
  <c r="AE796" i="208"/>
  <c r="AF793" i="208"/>
  <c r="AE793" i="208"/>
  <c r="AF790" i="208"/>
  <c r="AE790" i="208"/>
  <c r="AF775" i="208"/>
  <c r="AE775" i="208"/>
  <c r="AF772" i="208"/>
  <c r="AE772" i="208"/>
  <c r="AF760" i="208"/>
  <c r="AF757" i="208"/>
  <c r="AE757" i="208"/>
  <c r="AF754" i="208"/>
  <c r="AE754" i="208"/>
  <c r="AF751" i="208"/>
  <c r="AE751" i="208"/>
  <c r="AF748" i="208"/>
  <c r="AE748" i="208"/>
  <c r="AF733" i="208"/>
  <c r="AE733" i="208"/>
  <c r="AF730" i="208"/>
  <c r="AE730" i="208"/>
  <c r="AF721" i="208"/>
  <c r="AE721" i="208"/>
  <c r="AF718" i="208"/>
  <c r="AE718" i="208"/>
  <c r="AF715" i="208"/>
  <c r="AE715" i="208"/>
  <c r="AF712" i="208"/>
  <c r="AE712" i="208"/>
  <c r="AF709" i="208"/>
  <c r="AE709" i="208"/>
  <c r="AF706" i="208"/>
  <c r="AE706" i="208"/>
  <c r="AF697" i="208"/>
  <c r="AE697" i="208"/>
  <c r="AF694" i="208"/>
  <c r="AE694" i="208"/>
  <c r="AF691" i="208"/>
  <c r="AE691" i="208"/>
  <c r="AF688" i="208"/>
  <c r="AE688" i="208"/>
  <c r="AF679" i="208"/>
  <c r="AE679" i="208"/>
  <c r="AF676" i="208"/>
  <c r="AE676" i="208"/>
  <c r="AF667" i="208"/>
  <c r="AE667" i="208"/>
  <c r="AF664" i="208"/>
  <c r="AE664" i="208"/>
  <c r="AF655" i="208"/>
  <c r="AE655" i="208"/>
  <c r="AF652" i="208"/>
  <c r="AE652" i="208"/>
  <c r="AF649" i="208"/>
  <c r="AE649" i="208"/>
  <c r="AF646" i="208"/>
  <c r="AE646" i="208"/>
  <c r="AF625" i="208"/>
  <c r="AF613" i="208"/>
  <c r="AE613" i="208"/>
  <c r="AF610" i="208"/>
  <c r="AE610" i="208"/>
  <c r="AF607" i="208"/>
  <c r="AE607" i="208"/>
  <c r="AF604" i="208"/>
  <c r="AE604" i="208"/>
  <c r="AF589" i="208"/>
  <c r="AE589" i="208"/>
  <c r="AF586" i="208"/>
  <c r="AE586" i="208"/>
  <c r="AE583" i="208"/>
  <c r="AF577" i="208"/>
  <c r="AE577" i="208"/>
  <c r="AF574" i="208"/>
  <c r="AE574" i="208"/>
  <c r="AF571" i="208"/>
  <c r="AE571" i="208"/>
  <c r="AF568" i="208"/>
  <c r="AE568" i="208"/>
  <c r="AF565" i="208"/>
  <c r="AE565" i="208"/>
  <c r="AF562" i="208"/>
  <c r="AE562" i="208"/>
  <c r="AF553" i="208"/>
  <c r="AE553" i="208"/>
  <c r="AF550" i="208"/>
  <c r="AE550" i="208"/>
  <c r="AF547" i="208"/>
  <c r="AE547" i="208"/>
  <c r="AF544" i="208"/>
  <c r="AE544" i="208"/>
  <c r="AF535" i="208"/>
  <c r="AE535" i="208"/>
  <c r="AF532" i="208"/>
  <c r="AE532" i="208"/>
  <c r="AF529" i="208"/>
  <c r="AF523" i="208"/>
  <c r="AE523" i="208"/>
  <c r="AF520" i="208"/>
  <c r="AE520" i="208"/>
  <c r="AF511" i="208"/>
  <c r="AE511" i="208"/>
  <c r="AF508" i="208"/>
  <c r="AE508" i="208"/>
  <c r="AF505" i="208"/>
  <c r="AE505" i="208"/>
  <c r="AF502" i="208"/>
  <c r="AE502" i="208"/>
  <c r="AF469" i="208"/>
  <c r="AE469" i="208"/>
  <c r="AF466" i="208"/>
  <c r="AE466" i="208"/>
  <c r="AF463" i="208"/>
  <c r="AE463" i="208"/>
  <c r="AF460" i="208"/>
  <c r="AE460" i="208"/>
  <c r="AF445" i="208"/>
  <c r="AE445" i="208"/>
  <c r="AF442" i="208"/>
  <c r="AE442" i="208"/>
  <c r="AF433" i="208"/>
  <c r="AE433" i="208"/>
  <c r="AF430" i="208"/>
  <c r="AE430" i="208"/>
  <c r="AF427" i="208"/>
  <c r="AE427" i="208"/>
  <c r="AF424" i="208"/>
  <c r="AE424" i="208"/>
  <c r="AF421" i="208"/>
  <c r="AE421" i="208"/>
  <c r="AF418" i="208"/>
  <c r="AE418" i="208"/>
  <c r="AF409" i="208"/>
  <c r="AE409" i="208"/>
  <c r="AF406" i="208"/>
  <c r="AE406" i="208"/>
  <c r="AF403" i="208"/>
  <c r="AE403" i="208"/>
  <c r="AF400" i="208"/>
  <c r="AE400" i="208"/>
  <c r="AF391" i="208"/>
  <c r="AE391" i="208"/>
  <c r="AF388" i="208"/>
  <c r="AE388" i="208"/>
  <c r="AE382" i="208"/>
  <c r="AF379" i="208"/>
  <c r="AE379" i="208"/>
  <c r="AF376" i="208"/>
  <c r="AE376" i="208"/>
  <c r="AF367" i="208"/>
  <c r="AE367" i="208"/>
  <c r="AF364" i="208"/>
  <c r="AE364" i="208"/>
  <c r="AF361" i="208"/>
  <c r="AE361" i="208"/>
  <c r="AF358" i="208"/>
  <c r="AE358" i="208"/>
  <c r="AF343" i="208"/>
  <c r="AF325" i="208"/>
  <c r="AE325" i="208"/>
  <c r="AF322" i="208"/>
  <c r="AE322" i="208"/>
  <c r="AF319" i="208"/>
  <c r="AE319" i="208"/>
  <c r="AF316" i="208"/>
  <c r="AE316" i="208"/>
  <c r="AF300" i="208"/>
  <c r="AE300" i="208"/>
  <c r="AF288" i="208"/>
  <c r="AF285" i="208"/>
  <c r="AE285" i="208"/>
  <c r="F303" i="208"/>
  <c r="T303" i="208" s="1"/>
  <c r="AB303" i="208"/>
  <c r="AA303" i="208"/>
  <c r="F2992" i="208"/>
  <c r="T2992" i="208" s="1"/>
  <c r="AB2992" i="208"/>
  <c r="AA2992" i="208"/>
  <c r="F2977" i="208"/>
  <c r="T2977" i="208" s="1"/>
  <c r="AB2977" i="208"/>
  <c r="AA2977" i="208"/>
  <c r="F2956" i="208"/>
  <c r="T2956" i="208" s="1"/>
  <c r="AB2956" i="208"/>
  <c r="AA2956" i="208"/>
  <c r="F2950" i="208"/>
  <c r="T2950" i="208" s="1"/>
  <c r="AB2950" i="208"/>
  <c r="AA2950" i="208"/>
  <c r="F2926" i="208"/>
  <c r="T2926" i="208" s="1"/>
  <c r="AB2926" i="208"/>
  <c r="AA2926" i="208"/>
  <c r="F2914" i="208"/>
  <c r="T2914" i="208" s="1"/>
  <c r="AB2914" i="208"/>
  <c r="AA2914" i="208"/>
  <c r="F2890" i="208"/>
  <c r="T2890" i="208" s="1"/>
  <c r="AB2890" i="208"/>
  <c r="AA2890" i="208"/>
  <c r="F2884" i="208"/>
  <c r="T2884" i="208" s="1"/>
  <c r="AB2884" i="208"/>
  <c r="AA2884" i="208"/>
  <c r="F2869" i="208"/>
  <c r="T2869" i="208" s="1"/>
  <c r="AB2869" i="208"/>
  <c r="AA2869" i="208"/>
  <c r="AA2863" i="208"/>
  <c r="F2851" i="208"/>
  <c r="T2851" i="208" s="1"/>
  <c r="AB2851" i="208"/>
  <c r="AA2851" i="208"/>
  <c r="F2836" i="208"/>
  <c r="T2836" i="208" s="1"/>
  <c r="AB2836" i="208"/>
  <c r="AA2836" i="208"/>
  <c r="F2827" i="208"/>
  <c r="T2827" i="208" s="1"/>
  <c r="AB2827" i="208"/>
  <c r="AA2827" i="208"/>
  <c r="F2791" i="208"/>
  <c r="T2791" i="208" s="1"/>
  <c r="AB2791" i="208"/>
  <c r="AA2791" i="208"/>
  <c r="F2767" i="208"/>
  <c r="T2767" i="208" s="1"/>
  <c r="AB2767" i="208"/>
  <c r="AA2767" i="208"/>
  <c r="F2740" i="208"/>
  <c r="T2740" i="208" s="1"/>
  <c r="AB2740" i="208"/>
  <c r="AA2740" i="208"/>
  <c r="F2731" i="208"/>
  <c r="T2731" i="208" s="1"/>
  <c r="AB2731" i="208"/>
  <c r="AA2731" i="208"/>
  <c r="F2725" i="208"/>
  <c r="T2725" i="208" s="1"/>
  <c r="AB2725" i="208"/>
  <c r="AA2725" i="208"/>
  <c r="F2710" i="208"/>
  <c r="T2710" i="208" s="1"/>
  <c r="AB2710" i="208"/>
  <c r="AA2710" i="208"/>
  <c r="F2695" i="208"/>
  <c r="T2695" i="208" s="1"/>
  <c r="AB2695" i="208"/>
  <c r="AA2695" i="208"/>
  <c r="F2686" i="208"/>
  <c r="T2686" i="208" s="1"/>
  <c r="AB2686" i="208"/>
  <c r="AA2686" i="208"/>
  <c r="F2680" i="208"/>
  <c r="T2680" i="208" s="1"/>
  <c r="AB2680" i="208"/>
  <c r="AA2680" i="208"/>
  <c r="F2668" i="208"/>
  <c r="T2668" i="208" s="1"/>
  <c r="AB2668" i="208"/>
  <c r="AA2668" i="208"/>
  <c r="F2638" i="208"/>
  <c r="T2638" i="208" s="1"/>
  <c r="AB2638" i="208"/>
  <c r="AA2638" i="208"/>
  <c r="F2626" i="208"/>
  <c r="T2626" i="208" s="1"/>
  <c r="AB2626" i="208"/>
  <c r="AA2626" i="208"/>
  <c r="F2596" i="208"/>
  <c r="T2596" i="208" s="1"/>
  <c r="AB2596" i="208"/>
  <c r="AA2596" i="208"/>
  <c r="F2581" i="208"/>
  <c r="T2581" i="208" s="1"/>
  <c r="AB2581" i="208"/>
  <c r="AA2581" i="208"/>
  <c r="F2572" i="208"/>
  <c r="T2572" i="208" s="1"/>
  <c r="F2566" i="208"/>
  <c r="T2566" i="208" s="1"/>
  <c r="AB2566" i="208"/>
  <c r="AA2566" i="208"/>
  <c r="F2539" i="208"/>
  <c r="T2539" i="208" s="1"/>
  <c r="AB2539" i="208"/>
  <c r="AA2539" i="208"/>
  <c r="F2527" i="208"/>
  <c r="T2527" i="208" s="1"/>
  <c r="AB2527" i="208"/>
  <c r="AA2527" i="208"/>
  <c r="F2503" i="208"/>
  <c r="T2503" i="208" s="1"/>
  <c r="AB2503" i="208"/>
  <c r="AA2503" i="208"/>
  <c r="AA2488" i="208"/>
  <c r="F2476" i="208"/>
  <c r="T2476" i="208" s="1"/>
  <c r="AB2476" i="208"/>
  <c r="AA2476" i="208"/>
  <c r="F2455" i="208"/>
  <c r="T2455" i="208" s="1"/>
  <c r="AB2455" i="208"/>
  <c r="AA2455" i="208"/>
  <c r="F2434" i="208"/>
  <c r="T2434" i="208" s="1"/>
  <c r="AB2434" i="208"/>
  <c r="AA2434" i="208"/>
  <c r="F2425" i="208"/>
  <c r="T2425" i="208" s="1"/>
  <c r="AB2425" i="208"/>
  <c r="AA2425" i="208"/>
  <c r="F2416" i="208"/>
  <c r="T2416" i="208" s="1"/>
  <c r="AB2416" i="208"/>
  <c r="AA2416" i="208"/>
  <c r="F2404" i="208"/>
  <c r="T2404" i="208" s="1"/>
  <c r="AB2404" i="208"/>
  <c r="AA2404" i="208"/>
  <c r="F2395" i="208"/>
  <c r="T2395" i="208" s="1"/>
  <c r="AB2395" i="208"/>
  <c r="AA2395" i="208"/>
  <c r="F2374" i="208"/>
  <c r="T2374" i="208" s="1"/>
  <c r="AB2374" i="208"/>
  <c r="AA2374" i="208"/>
  <c r="F2359" i="208"/>
  <c r="T2359" i="208" s="1"/>
  <c r="AB2359" i="208"/>
  <c r="AA2359" i="208"/>
  <c r="F2311" i="208"/>
  <c r="T2311" i="208" s="1"/>
  <c r="AB2311" i="208"/>
  <c r="AA2311" i="208"/>
  <c r="F2302" i="208"/>
  <c r="T2302" i="208" s="1"/>
  <c r="AB2302" i="208"/>
  <c r="AA2302" i="208"/>
  <c r="F2293" i="208"/>
  <c r="T2293" i="208" s="1"/>
  <c r="AB2293" i="208"/>
  <c r="AA2293" i="208"/>
  <c r="F2281" i="208"/>
  <c r="T2281" i="208" s="1"/>
  <c r="AA2281" i="208"/>
  <c r="AB2281" i="208"/>
  <c r="F2257" i="208"/>
  <c r="T2257" i="208" s="1"/>
  <c r="AB2257" i="208"/>
  <c r="AA2257" i="208"/>
  <c r="AA2242" i="208"/>
  <c r="F2230" i="208"/>
  <c r="T2230" i="208" s="1"/>
  <c r="AB2230" i="208"/>
  <c r="AA2230" i="208"/>
  <c r="AB2185" i="208"/>
  <c r="F2170" i="208"/>
  <c r="T2170" i="208" s="1"/>
  <c r="AB2170" i="208"/>
  <c r="AA2170" i="208"/>
  <c r="F2155" i="208"/>
  <c r="T2155" i="208" s="1"/>
  <c r="AB2155" i="208"/>
  <c r="AA2155" i="208"/>
  <c r="F2146" i="208"/>
  <c r="T2146" i="208" s="1"/>
  <c r="AB2146" i="208"/>
  <c r="AA2146" i="208"/>
  <c r="F2137" i="208"/>
  <c r="T2137" i="208" s="1"/>
  <c r="AB2137" i="208"/>
  <c r="AA2137" i="208"/>
  <c r="F2107" i="208"/>
  <c r="T2107" i="208" s="1"/>
  <c r="AB2107" i="208"/>
  <c r="AA2107" i="208"/>
  <c r="F2092" i="208"/>
  <c r="T2092" i="208" s="1"/>
  <c r="AB2092" i="208"/>
  <c r="AA2092" i="208"/>
  <c r="F2071" i="208"/>
  <c r="T2071" i="208" s="1"/>
  <c r="AB2071" i="208"/>
  <c r="AA2071" i="208"/>
  <c r="F2053" i="208"/>
  <c r="T2053" i="208" s="1"/>
  <c r="AB2053" i="208"/>
  <c r="AA2053" i="208"/>
  <c r="F2029" i="208"/>
  <c r="T2029" i="208" s="1"/>
  <c r="AB2029" i="208"/>
  <c r="AA2029" i="208"/>
  <c r="F2017" i="208"/>
  <c r="T2017" i="208" s="1"/>
  <c r="AB2017" i="208"/>
  <c r="AA2017" i="208"/>
  <c r="F2005" i="208"/>
  <c r="T2005" i="208" s="1"/>
  <c r="AB2005" i="208"/>
  <c r="AA2005" i="208"/>
  <c r="F1972" i="208"/>
  <c r="T1972" i="208" s="1"/>
  <c r="AB1972" i="208"/>
  <c r="AA1972" i="208"/>
  <c r="AB1954" i="208"/>
  <c r="F1921" i="208"/>
  <c r="T1921" i="208" s="1"/>
  <c r="AB1921" i="208"/>
  <c r="AA1921" i="208"/>
  <c r="F1906" i="208"/>
  <c r="T1906" i="208" s="1"/>
  <c r="AB1906" i="208"/>
  <c r="AA1906" i="208"/>
  <c r="F1870" i="208"/>
  <c r="T1870" i="208" s="1"/>
  <c r="AB1870" i="208"/>
  <c r="AA1870" i="208"/>
  <c r="F1858" i="208"/>
  <c r="T1858" i="208" s="1"/>
  <c r="AB1858" i="208"/>
  <c r="AA1858" i="208"/>
  <c r="F1849" i="208"/>
  <c r="T1849" i="208" s="1"/>
  <c r="AB1849" i="208"/>
  <c r="AA1849" i="208"/>
  <c r="F1828" i="208"/>
  <c r="T1828" i="208" s="1"/>
  <c r="AB1828" i="208"/>
  <c r="AA1828" i="208"/>
  <c r="F1801" i="208"/>
  <c r="T1801" i="208" s="1"/>
  <c r="AB1801" i="208"/>
  <c r="AA1801" i="208"/>
  <c r="F1777" i="208"/>
  <c r="T1777" i="208" s="1"/>
  <c r="AB1777" i="208"/>
  <c r="AA1777" i="208"/>
  <c r="F1759" i="208"/>
  <c r="T1759" i="208" s="1"/>
  <c r="AB1759" i="208"/>
  <c r="AA1759" i="208"/>
  <c r="F1741" i="208"/>
  <c r="T1741" i="208" s="1"/>
  <c r="AB1741" i="208"/>
  <c r="AA1741" i="208"/>
  <c r="F1732" i="208"/>
  <c r="T1732" i="208" s="1"/>
  <c r="AB1732" i="208"/>
  <c r="AA1732" i="208"/>
  <c r="F1723" i="208"/>
  <c r="T1723" i="208" s="1"/>
  <c r="AB1723" i="208"/>
  <c r="AA1723" i="208"/>
  <c r="F1720" i="208"/>
  <c r="T1720" i="208" s="1"/>
  <c r="AB1720" i="208"/>
  <c r="AA1720" i="208"/>
  <c r="F1696" i="208"/>
  <c r="T1696" i="208" s="1"/>
  <c r="AB1696" i="208"/>
  <c r="AA1696" i="208"/>
  <c r="F1684" i="208"/>
  <c r="T1684" i="208" s="1"/>
  <c r="AB1684" i="208"/>
  <c r="AA1684" i="208"/>
  <c r="F1675" i="208"/>
  <c r="T1675" i="208" s="1"/>
  <c r="AB1675" i="208"/>
  <c r="AA1675" i="208"/>
  <c r="F1663" i="208"/>
  <c r="T1663" i="208" s="1"/>
  <c r="AB1663" i="208"/>
  <c r="AA1663" i="208"/>
  <c r="F1657" i="208"/>
  <c r="T1657" i="208" s="1"/>
  <c r="AB1657" i="208"/>
  <c r="AA1657" i="208"/>
  <c r="F1639" i="208"/>
  <c r="T1639" i="208" s="1"/>
  <c r="AB1639" i="208"/>
  <c r="AA1639" i="208"/>
  <c r="F1633" i="208"/>
  <c r="T1633" i="208" s="1"/>
  <c r="AB1633" i="208"/>
  <c r="AA1633" i="208"/>
  <c r="F1621" i="208"/>
  <c r="T1621" i="208" s="1"/>
  <c r="AB1621" i="208"/>
  <c r="AA1621" i="208"/>
  <c r="F1615" i="208"/>
  <c r="T1615" i="208" s="1"/>
  <c r="AB1615" i="208"/>
  <c r="AA1615" i="208"/>
  <c r="F1594" i="208"/>
  <c r="T1594" i="208" s="1"/>
  <c r="AB1594" i="208"/>
  <c r="AA1594" i="208"/>
  <c r="F1588" i="208"/>
  <c r="T1588" i="208" s="1"/>
  <c r="AB1588" i="208"/>
  <c r="AA1588" i="208"/>
  <c r="F1582" i="208"/>
  <c r="T1582" i="208" s="1"/>
  <c r="AB1582" i="208"/>
  <c r="AA1582" i="208"/>
  <c r="F1576" i="208"/>
  <c r="T1576" i="208" s="1"/>
  <c r="AB1576" i="208"/>
  <c r="AA1576" i="208"/>
  <c r="F1573" i="208"/>
  <c r="T1573" i="208" s="1"/>
  <c r="AB1573" i="208"/>
  <c r="AA1573" i="208"/>
  <c r="F1561" i="208"/>
  <c r="T1561" i="208" s="1"/>
  <c r="AB1561" i="208"/>
  <c r="AA1561" i="208"/>
  <c r="F1555" i="208"/>
  <c r="T1555" i="208" s="1"/>
  <c r="AB1555" i="208"/>
  <c r="AA1555" i="208"/>
  <c r="F1543" i="208"/>
  <c r="T1543" i="208" s="1"/>
  <c r="AB1543" i="208"/>
  <c r="AA1543" i="208"/>
  <c r="V2981" i="208"/>
  <c r="AB2981" i="208"/>
  <c r="AA2981" i="208"/>
  <c r="V2972" i="208"/>
  <c r="AB2972" i="208"/>
  <c r="AA2972" i="208"/>
  <c r="V2948" i="208"/>
  <c r="AB2948" i="208"/>
  <c r="AA2948" i="208"/>
  <c r="V2933" i="208"/>
  <c r="AB2933" i="208"/>
  <c r="AA2933" i="208"/>
  <c r="V2909" i="208"/>
  <c r="AB2909" i="208"/>
  <c r="AA2909" i="208"/>
  <c r="V2888" i="208"/>
  <c r="AB2888" i="208"/>
  <c r="AA2888" i="208"/>
  <c r="V2858" i="208"/>
  <c r="AB2858" i="208"/>
  <c r="AA2858" i="208"/>
  <c r="V2837" i="208"/>
  <c r="AB2837" i="208"/>
  <c r="AA2837" i="208"/>
  <c r="AB2816" i="208"/>
  <c r="V2807" i="208"/>
  <c r="AB2807" i="208"/>
  <c r="AA2807" i="208"/>
  <c r="V2783" i="208"/>
  <c r="AB2783" i="208"/>
  <c r="AA2783" i="208"/>
  <c r="V2762" i="208"/>
  <c r="AB2762" i="208"/>
  <c r="AA2762" i="208"/>
  <c r="V2744" i="208"/>
  <c r="AB2744" i="208"/>
  <c r="AA2744" i="208"/>
  <c r="V2714" i="208"/>
  <c r="AB2714" i="208"/>
  <c r="AA2714" i="208"/>
  <c r="V2693" i="208"/>
  <c r="AB2693" i="208"/>
  <c r="AA2693" i="208"/>
  <c r="V2678" i="208"/>
  <c r="AB2678" i="208"/>
  <c r="AA2678" i="208"/>
  <c r="V2666" i="208"/>
  <c r="AB2666" i="208"/>
  <c r="AA2666" i="208"/>
  <c r="V2657" i="208"/>
  <c r="AB2657" i="208"/>
  <c r="AA2657" i="208"/>
  <c r="V2636" i="208"/>
  <c r="AB2636" i="208"/>
  <c r="AA2636" i="208"/>
  <c r="V2627" i="208"/>
  <c r="AB2627" i="208"/>
  <c r="AA2627" i="208"/>
  <c r="V2603" i="208"/>
  <c r="AB2603" i="208"/>
  <c r="AA2603" i="208"/>
  <c r="V2591" i="208"/>
  <c r="AB2591" i="208"/>
  <c r="AA2591" i="208"/>
  <c r="V2579" i="208"/>
  <c r="AB2579" i="208"/>
  <c r="AA2579" i="208"/>
  <c r="V2564" i="208"/>
  <c r="AB2564" i="208"/>
  <c r="AA2564" i="208"/>
  <c r="V2558" i="208"/>
  <c r="AB2558" i="208"/>
  <c r="AA2558" i="208"/>
  <c r="V2537" i="208"/>
  <c r="AB2537" i="208"/>
  <c r="AA2537" i="208"/>
  <c r="V2516" i="208"/>
  <c r="AB2516" i="208"/>
  <c r="AA2516" i="208"/>
  <c r="V2498" i="208"/>
  <c r="AB2498" i="208"/>
  <c r="AA2498" i="208"/>
  <c r="V2489" i="208"/>
  <c r="AB2489" i="208"/>
  <c r="AA2489" i="208"/>
  <c r="V2483" i="208"/>
  <c r="AB2483" i="208"/>
  <c r="AA2483" i="208"/>
  <c r="V2447" i="208"/>
  <c r="AB2447" i="208"/>
  <c r="AA2447" i="208"/>
  <c r="AB2423" i="208"/>
  <c r="AA2423" i="208"/>
  <c r="V2414" i="208"/>
  <c r="AB2414" i="208"/>
  <c r="AA2414" i="208"/>
  <c r="V2312" i="208"/>
  <c r="AB2312" i="208"/>
  <c r="AA2312" i="208"/>
  <c r="AB2213" i="208"/>
  <c r="AA2213" i="208"/>
  <c r="AB2201" i="208"/>
  <c r="AA2201" i="208"/>
  <c r="AB2189" i="208"/>
  <c r="AA2189" i="208"/>
  <c r="AB2168" i="208"/>
  <c r="AA2168" i="208"/>
  <c r="AB2141" i="208"/>
  <c r="AA2141" i="208"/>
  <c r="AB2132" i="208"/>
  <c r="AA2132" i="208"/>
  <c r="AB2117" i="208"/>
  <c r="AA2117" i="208"/>
  <c r="AB2108" i="208"/>
  <c r="AA2108" i="208"/>
  <c r="AB2081" i="208"/>
  <c r="AA2081" i="208"/>
  <c r="AB2069" i="208"/>
  <c r="AA2069" i="208"/>
  <c r="AB2057" i="208"/>
  <c r="AA2057" i="208"/>
  <c r="AB2048" i="208"/>
  <c r="AA2048" i="208"/>
  <c r="AA2030" i="208"/>
  <c r="AB2015" i="208"/>
  <c r="AA2015" i="208"/>
  <c r="AB2003" i="208"/>
  <c r="AA2003" i="208"/>
  <c r="AB1997" i="208"/>
  <c r="AA1997" i="208"/>
  <c r="AB1991" i="208"/>
  <c r="AA1991" i="208"/>
  <c r="AB1964" i="208"/>
  <c r="AA1964" i="208"/>
  <c r="AB1958" i="208"/>
  <c r="AA1958" i="208"/>
  <c r="AB1946" i="208"/>
  <c r="AA1946" i="208"/>
  <c r="AB1940" i="208"/>
  <c r="AA1940" i="208"/>
  <c r="AB1934" i="208"/>
  <c r="AA1934" i="208"/>
  <c r="AB1922" i="208"/>
  <c r="AA1922" i="208"/>
  <c r="AB1913" i="208"/>
  <c r="AA1913" i="208"/>
  <c r="AB1907" i="208"/>
  <c r="AA1907" i="208"/>
  <c r="AB1898" i="208"/>
  <c r="AA1898" i="208"/>
  <c r="AB1871" i="208"/>
  <c r="AA1871" i="208"/>
  <c r="AB1859" i="208"/>
  <c r="AA1859" i="208"/>
  <c r="AB1850" i="208"/>
  <c r="AA1850" i="208"/>
  <c r="AB1844" i="208"/>
  <c r="AA1844" i="208"/>
  <c r="AB1823" i="208"/>
  <c r="AA1823" i="208"/>
  <c r="AB1802" i="208"/>
  <c r="AA1802" i="208"/>
  <c r="AB1793" i="208"/>
  <c r="AA1793" i="208"/>
  <c r="AB1775" i="208"/>
  <c r="AA1775" i="208"/>
  <c r="AB1763" i="208"/>
  <c r="AA1763" i="208"/>
  <c r="AB1757" i="208"/>
  <c r="AA1757" i="208"/>
  <c r="AB1733" i="208"/>
  <c r="AA1733" i="208"/>
  <c r="AB1727" i="208"/>
  <c r="AA1727" i="208"/>
  <c r="AB1715" i="208"/>
  <c r="AA1715" i="208"/>
  <c r="AB1712" i="208"/>
  <c r="AA1712" i="208"/>
  <c r="AB1700" i="208"/>
  <c r="AA1700" i="208"/>
  <c r="AB1694" i="208"/>
  <c r="AA1694" i="208"/>
  <c r="AB1679" i="208"/>
  <c r="AA1679" i="208"/>
  <c r="AB1673" i="208"/>
  <c r="AA1673" i="208"/>
  <c r="AB1658" i="208"/>
  <c r="AA1658" i="208"/>
  <c r="AB1652" i="208"/>
  <c r="AA1652" i="208"/>
  <c r="AB1646" i="208"/>
  <c r="AA1646" i="208"/>
  <c r="AB1631" i="208"/>
  <c r="AA1631" i="208"/>
  <c r="AB1625" i="208"/>
  <c r="AA1625" i="208"/>
  <c r="AB1616" i="208"/>
  <c r="AA1616" i="208"/>
  <c r="AB1568" i="208"/>
  <c r="AA1568" i="208"/>
  <c r="V2996" i="208"/>
  <c r="AB2996" i="208"/>
  <c r="AA2996" i="208"/>
  <c r="V2951" i="208"/>
  <c r="AB2951" i="208"/>
  <c r="AA2951" i="208"/>
  <c r="V2942" i="208"/>
  <c r="AB2942" i="208"/>
  <c r="AA2942" i="208"/>
  <c r="V2915" i="208"/>
  <c r="AB2915" i="208"/>
  <c r="AA2915" i="208"/>
  <c r="V2906" i="208"/>
  <c r="AB2906" i="208"/>
  <c r="AA2906" i="208"/>
  <c r="V2891" i="208"/>
  <c r="AB2891" i="208"/>
  <c r="AA2891" i="208"/>
  <c r="V2882" i="208"/>
  <c r="AB2882" i="208"/>
  <c r="AA2882" i="208"/>
  <c r="V2867" i="208"/>
  <c r="AB2867" i="208"/>
  <c r="AA2867" i="208"/>
  <c r="V2855" i="208"/>
  <c r="AB2855" i="208"/>
  <c r="AA2855" i="208"/>
  <c r="V2831" i="208"/>
  <c r="AB2831" i="208"/>
  <c r="AA2831" i="208"/>
  <c r="V2825" i="208"/>
  <c r="AB2825" i="208"/>
  <c r="AA2825" i="208"/>
  <c r="V2804" i="208"/>
  <c r="AB2804" i="208"/>
  <c r="AA2804" i="208"/>
  <c r="V2789" i="208"/>
  <c r="AB2789" i="208"/>
  <c r="AA2789" i="208"/>
  <c r="V2768" i="208"/>
  <c r="AB2768" i="208"/>
  <c r="AA2768" i="208"/>
  <c r="AB2759" i="208"/>
  <c r="V2747" i="208"/>
  <c r="AB2747" i="208"/>
  <c r="AA2747" i="208"/>
  <c r="V2732" i="208"/>
  <c r="AB2732" i="208"/>
  <c r="AA2732" i="208"/>
  <c r="V2723" i="208"/>
  <c r="AB2723" i="208"/>
  <c r="AA2723" i="208"/>
  <c r="V2702" i="208"/>
  <c r="AB2702" i="208"/>
  <c r="AA2702" i="208"/>
  <c r="V2681" i="208"/>
  <c r="AB2681" i="208"/>
  <c r="AA2681" i="208"/>
  <c r="V2645" i="208"/>
  <c r="AB2645" i="208"/>
  <c r="AA2645" i="208"/>
  <c r="V2624" i="208"/>
  <c r="AB2624" i="208"/>
  <c r="AA2624" i="208"/>
  <c r="V2612" i="208"/>
  <c r="V2600" i="208"/>
  <c r="AB2600" i="208"/>
  <c r="AA2600" i="208"/>
  <c r="V2588" i="208"/>
  <c r="AB2588" i="208"/>
  <c r="AA2588" i="208"/>
  <c r="V2576" i="208"/>
  <c r="AB2576" i="208"/>
  <c r="AA2576" i="208"/>
  <c r="V2567" i="208"/>
  <c r="AB2567" i="208"/>
  <c r="AA2567" i="208"/>
  <c r="V2543" i="208"/>
  <c r="AB2543" i="208"/>
  <c r="AA2543" i="208"/>
  <c r="V2534" i="208"/>
  <c r="AB2534" i="208"/>
  <c r="AA2534" i="208"/>
  <c r="V2519" i="208"/>
  <c r="AB2519" i="208"/>
  <c r="AA2519" i="208"/>
  <c r="V2501" i="208"/>
  <c r="AB2501" i="208"/>
  <c r="AA2501" i="208"/>
  <c r="V2480" i="208"/>
  <c r="AB2480" i="208"/>
  <c r="AA2480" i="208"/>
  <c r="V2459" i="208"/>
  <c r="AB2459" i="208"/>
  <c r="AA2459" i="208"/>
  <c r="V2405" i="208"/>
  <c r="AB2405" i="208"/>
  <c r="AA2405" i="208"/>
  <c r="V2390" i="208"/>
  <c r="AB2390" i="208"/>
  <c r="AA2390" i="208"/>
  <c r="V2354" i="208"/>
  <c r="AB2354" i="208"/>
  <c r="AA2354" i="208"/>
  <c r="AB2339" i="208"/>
  <c r="AA2339" i="208"/>
  <c r="V2324" i="208"/>
  <c r="AB2315" i="208"/>
  <c r="AA2315" i="208"/>
  <c r="AB2306" i="208"/>
  <c r="AA2306" i="208"/>
  <c r="AB2285" i="208"/>
  <c r="AA2285" i="208"/>
  <c r="AB2270" i="208"/>
  <c r="AA2270" i="208"/>
  <c r="AB2261" i="208"/>
  <c r="AA2261" i="208"/>
  <c r="AB2252" i="208"/>
  <c r="AA2252" i="208"/>
  <c r="AB2246" i="208"/>
  <c r="AA2246" i="208"/>
  <c r="AA2234" i="208"/>
  <c r="AB2234" i="208"/>
  <c r="AB2222" i="208"/>
  <c r="AA2222" i="208"/>
  <c r="AB2165" i="208"/>
  <c r="AA2165" i="208"/>
  <c r="AB2090" i="208"/>
  <c r="AA2090" i="208"/>
  <c r="AB1541" i="208"/>
  <c r="AA1541" i="208"/>
  <c r="V2990" i="208"/>
  <c r="AB2990" i="208"/>
  <c r="AA2990" i="208"/>
  <c r="V2969" i="208"/>
  <c r="AB2969" i="208"/>
  <c r="AA2969" i="208"/>
  <c r="V2960" i="208"/>
  <c r="V2945" i="208"/>
  <c r="AB2945" i="208"/>
  <c r="AA2945" i="208"/>
  <c r="V2927" i="208"/>
  <c r="AB2927" i="208"/>
  <c r="AA2927" i="208"/>
  <c r="V2921" i="208"/>
  <c r="AB2921" i="208"/>
  <c r="AA2921" i="208"/>
  <c r="V2894" i="208"/>
  <c r="V2879" i="208"/>
  <c r="AB2879" i="208"/>
  <c r="AA2879" i="208"/>
  <c r="V2861" i="208"/>
  <c r="AB2861" i="208"/>
  <c r="AA2861" i="208"/>
  <c r="V2852" i="208"/>
  <c r="AB2852" i="208"/>
  <c r="AA2852" i="208"/>
  <c r="V2828" i="208"/>
  <c r="AB2828" i="208"/>
  <c r="AA2828" i="208"/>
  <c r="V2798" i="208"/>
  <c r="AB2798" i="208"/>
  <c r="AA2798" i="208"/>
  <c r="V2780" i="208"/>
  <c r="AB2780" i="208"/>
  <c r="AA2780" i="208"/>
  <c r="V2771" i="208"/>
  <c r="AB2771" i="208"/>
  <c r="AA2771" i="208"/>
  <c r="AB2756" i="208"/>
  <c r="V2738" i="208"/>
  <c r="AB2738" i="208"/>
  <c r="AA2738" i="208"/>
  <c r="V2720" i="208"/>
  <c r="AB2720" i="208"/>
  <c r="AA2720" i="208"/>
  <c r="V2711" i="208"/>
  <c r="AB2711" i="208"/>
  <c r="AA2711" i="208"/>
  <c r="V2684" i="208"/>
  <c r="AB2684" i="208"/>
  <c r="AA2684" i="208"/>
  <c r="V2660" i="208"/>
  <c r="AB2660" i="208"/>
  <c r="AA2660" i="208"/>
  <c r="V2654" i="208"/>
  <c r="AB2654" i="208"/>
  <c r="AA2654" i="208"/>
  <c r="V2642" i="208"/>
  <c r="AB2642" i="208"/>
  <c r="AA2642" i="208"/>
  <c r="V2618" i="208"/>
  <c r="AB2618" i="208"/>
  <c r="AA2618" i="208"/>
  <c r="V2594" i="208"/>
  <c r="AB2594" i="208"/>
  <c r="AA2594" i="208"/>
  <c r="V2573" i="208"/>
  <c r="AB2573" i="208"/>
  <c r="AA2573" i="208"/>
  <c r="V2522" i="208"/>
  <c r="AB2522" i="208"/>
  <c r="AA2522" i="208"/>
  <c r="V2513" i="208"/>
  <c r="AB2513" i="208"/>
  <c r="AA2513" i="208"/>
  <c r="V2492" i="208"/>
  <c r="AB2492" i="208"/>
  <c r="AA2492" i="208"/>
  <c r="V2474" i="208"/>
  <c r="AB2474" i="208"/>
  <c r="AA2474" i="208"/>
  <c r="V2456" i="208"/>
  <c r="AB2456" i="208"/>
  <c r="AA2456" i="208"/>
  <c r="V2450" i="208"/>
  <c r="AB2450" i="208"/>
  <c r="AA2450" i="208"/>
  <c r="V2432" i="208"/>
  <c r="AB2432" i="208"/>
  <c r="AA2432" i="208"/>
  <c r="V2429" i="208"/>
  <c r="AB2429" i="208"/>
  <c r="AA2429" i="208"/>
  <c r="V2396" i="208"/>
  <c r="AB2396" i="208"/>
  <c r="AA2396" i="208"/>
  <c r="AB2375" i="208"/>
  <c r="AA2375" i="208"/>
  <c r="V2369" i="208"/>
  <c r="AB2369" i="208"/>
  <c r="AA2369" i="208"/>
  <c r="V2357" i="208"/>
  <c r="AB2357" i="208"/>
  <c r="AA2357" i="208"/>
  <c r="AB2351" i="208"/>
  <c r="AA2351" i="208"/>
  <c r="V2345" i="208"/>
  <c r="AB2345" i="208"/>
  <c r="AA2345" i="208"/>
  <c r="V2333" i="208"/>
  <c r="AB2333" i="208"/>
  <c r="AA2333" i="208"/>
  <c r="AB2303" i="208"/>
  <c r="AA2303" i="208"/>
  <c r="V2297" i="208"/>
  <c r="AB2288" i="208"/>
  <c r="AA2288" i="208"/>
  <c r="AB2279" i="208"/>
  <c r="AA2279" i="208"/>
  <c r="AB2255" i="208"/>
  <c r="AA2255" i="208"/>
  <c r="AB2225" i="208"/>
  <c r="AA2225" i="208"/>
  <c r="AB2210" i="208"/>
  <c r="AA2210" i="208"/>
  <c r="AB2204" i="208"/>
  <c r="AA2204" i="208"/>
  <c r="AB2192" i="208"/>
  <c r="AA2192" i="208"/>
  <c r="AB2186" i="208"/>
  <c r="AA2186" i="208"/>
  <c r="AB2171" i="208"/>
  <c r="AA2171" i="208"/>
  <c r="AB2162" i="208"/>
  <c r="AA2162" i="208"/>
  <c r="AB2156" i="208"/>
  <c r="AA2156" i="208"/>
  <c r="AB2144" i="208"/>
  <c r="AA2144" i="208"/>
  <c r="AB2135" i="208"/>
  <c r="AA2135" i="208"/>
  <c r="AB2111" i="208"/>
  <c r="AA2111" i="208"/>
  <c r="AB2102" i="208"/>
  <c r="AA2102" i="208"/>
  <c r="AB2084" i="208"/>
  <c r="AA2084" i="208"/>
  <c r="AB2078" i="208"/>
  <c r="AA2078" i="208"/>
  <c r="AB2066" i="208"/>
  <c r="AA2066" i="208"/>
  <c r="AB2060" i="208"/>
  <c r="AA2060" i="208"/>
  <c r="AB2051" i="208"/>
  <c r="AA2051" i="208"/>
  <c r="AA2042" i="208"/>
  <c r="AB2042" i="208"/>
  <c r="AA2036" i="208"/>
  <c r="AB2024" i="208"/>
  <c r="AA2024" i="208"/>
  <c r="AB2018" i="208"/>
  <c r="AA2018" i="208"/>
  <c r="AB2012" i="208"/>
  <c r="AA2012" i="208"/>
  <c r="AB2000" i="208"/>
  <c r="AA2000" i="208"/>
  <c r="AA1994" i="208"/>
  <c r="AB1994" i="208"/>
  <c r="AB1988" i="208"/>
  <c r="AA1988" i="208"/>
  <c r="AB1982" i="208"/>
  <c r="AA1982" i="208"/>
  <c r="AB1973" i="208"/>
  <c r="AA1973" i="208"/>
  <c r="AB1967" i="208"/>
  <c r="AA1967" i="208"/>
  <c r="AB1961" i="208"/>
  <c r="AA1961" i="208"/>
  <c r="AB1943" i="208"/>
  <c r="AA1943" i="208"/>
  <c r="AB1937" i="208"/>
  <c r="AA1937" i="208"/>
  <c r="AB1925" i="208"/>
  <c r="AA1925" i="208"/>
  <c r="AB1919" i="208"/>
  <c r="AA1919" i="208"/>
  <c r="AB1916" i="208"/>
  <c r="AA1916" i="208"/>
  <c r="AB1901" i="208"/>
  <c r="AA1901" i="208"/>
  <c r="AB1883" i="208"/>
  <c r="AA1883" i="208"/>
  <c r="AB1877" i="208"/>
  <c r="AA1877" i="208"/>
  <c r="AB1868" i="208"/>
  <c r="AA1868" i="208"/>
  <c r="AB1853" i="208"/>
  <c r="AA1853" i="208"/>
  <c r="AB1817" i="208"/>
  <c r="AA1817" i="208"/>
  <c r="AB1799" i="208"/>
  <c r="AA1799" i="208"/>
  <c r="AB1790" i="208"/>
  <c r="AA1790" i="208"/>
  <c r="AB1781" i="208"/>
  <c r="AA1781" i="208"/>
  <c r="AB1772" i="208"/>
  <c r="AA1772" i="208"/>
  <c r="AB1754" i="208"/>
  <c r="AA1754" i="208"/>
  <c r="AA1748" i="208"/>
  <c r="AB1739" i="208"/>
  <c r="AA1739" i="208"/>
  <c r="AB1730" i="208"/>
  <c r="AA1730" i="208"/>
  <c r="AB1706" i="208"/>
  <c r="AA1706" i="208"/>
  <c r="AB1637" i="208"/>
  <c r="AA1637" i="208"/>
  <c r="V2999" i="208"/>
  <c r="AB2999" i="208"/>
  <c r="AA2999" i="208"/>
  <c r="V2975" i="208"/>
  <c r="AB2975" i="208"/>
  <c r="AA2975" i="208"/>
  <c r="V2966" i="208"/>
  <c r="AB2966" i="208"/>
  <c r="AA2966" i="208"/>
  <c r="V2954" i="208"/>
  <c r="AB2954" i="208"/>
  <c r="AA2954" i="208"/>
  <c r="V2930" i="208"/>
  <c r="AB2930" i="208"/>
  <c r="AA2930" i="208"/>
  <c r="V2924" i="208"/>
  <c r="AB2924" i="208"/>
  <c r="AA2924" i="208"/>
  <c r="V2912" i="208"/>
  <c r="AB2912" i="208"/>
  <c r="AA2912" i="208"/>
  <c r="V2885" i="208"/>
  <c r="AB2885" i="208"/>
  <c r="AA2885" i="208"/>
  <c r="V2876" i="208"/>
  <c r="AB2876" i="208"/>
  <c r="AA2876" i="208"/>
  <c r="V2864" i="208"/>
  <c r="AB2864" i="208"/>
  <c r="AA2864" i="208"/>
  <c r="V2846" i="208"/>
  <c r="AB2846" i="208"/>
  <c r="AA2846" i="208"/>
  <c r="V2822" i="208"/>
  <c r="AB2822" i="208"/>
  <c r="AA2822" i="208"/>
  <c r="V2810" i="208"/>
  <c r="AB2810" i="208"/>
  <c r="AA2810" i="208"/>
  <c r="V2801" i="208"/>
  <c r="AB2801" i="208"/>
  <c r="AA2801" i="208"/>
  <c r="V2786" i="208"/>
  <c r="AB2786" i="208"/>
  <c r="AA2786" i="208"/>
  <c r="V2777" i="208"/>
  <c r="AB2777" i="208"/>
  <c r="AA2777" i="208"/>
  <c r="V2765" i="208"/>
  <c r="AB2765" i="208"/>
  <c r="AA2765" i="208"/>
  <c r="AA2750" i="208"/>
  <c r="V2741" i="208"/>
  <c r="AB2741" i="208"/>
  <c r="AA2741" i="208"/>
  <c r="V2735" i="208"/>
  <c r="AB2735" i="208"/>
  <c r="AA2735" i="208"/>
  <c r="V2717" i="208"/>
  <c r="AB2717" i="208"/>
  <c r="AA2717" i="208"/>
  <c r="V2708" i="208"/>
  <c r="AB2708" i="208"/>
  <c r="AA2708" i="208"/>
  <c r="V2687" i="208"/>
  <c r="AB2687" i="208"/>
  <c r="AA2687" i="208"/>
  <c r="V2663" i="208"/>
  <c r="AB2663" i="208"/>
  <c r="AA2663" i="208"/>
  <c r="V2639" i="208"/>
  <c r="AB2639" i="208"/>
  <c r="AA2639" i="208"/>
  <c r="V2633" i="208"/>
  <c r="AB2633" i="208"/>
  <c r="AA2633" i="208"/>
  <c r="V2621" i="208"/>
  <c r="AB2621" i="208"/>
  <c r="AA2621" i="208"/>
  <c r="V2597" i="208"/>
  <c r="AB2597" i="208"/>
  <c r="AA2597" i="208"/>
  <c r="V2570" i="208"/>
  <c r="AB2570" i="208"/>
  <c r="AA2570" i="208"/>
  <c r="V2549" i="208"/>
  <c r="AB2549" i="208"/>
  <c r="AA2549" i="208"/>
  <c r="V2540" i="208"/>
  <c r="AB2540" i="208"/>
  <c r="AA2540" i="208"/>
  <c r="V2510" i="208"/>
  <c r="AB2510" i="208"/>
  <c r="AA2510" i="208"/>
  <c r="V2495" i="208"/>
  <c r="AB2495" i="208"/>
  <c r="AA2495" i="208"/>
  <c r="V2477" i="208"/>
  <c r="AB2477" i="208"/>
  <c r="AA2477" i="208"/>
  <c r="V2453" i="208"/>
  <c r="AB2453" i="208"/>
  <c r="AA2453" i="208"/>
  <c r="V2444" i="208"/>
  <c r="AB2444" i="208"/>
  <c r="AA2444" i="208"/>
  <c r="V2435" i="208"/>
  <c r="AB2435" i="208"/>
  <c r="AA2435" i="208"/>
  <c r="V2426" i="208"/>
  <c r="AA2426" i="208"/>
  <c r="AB2426" i="208"/>
  <c r="V2420" i="208"/>
  <c r="AB2420" i="208"/>
  <c r="AA2420" i="208"/>
  <c r="AB2399" i="208"/>
  <c r="AA2399" i="208"/>
  <c r="V2393" i="208"/>
  <c r="AB2393" i="208"/>
  <c r="AA2393" i="208"/>
  <c r="V2378" i="208"/>
  <c r="AB2378" i="208"/>
  <c r="AA2378" i="208"/>
  <c r="V2372" i="208"/>
  <c r="AB2372" i="208"/>
  <c r="AA2372" i="208"/>
  <c r="V2366" i="208"/>
  <c r="AB2366" i="208"/>
  <c r="AA2366" i="208"/>
  <c r="V2348" i="208"/>
  <c r="AB2348" i="208"/>
  <c r="AA2348" i="208"/>
  <c r="V2336" i="208"/>
  <c r="AB2336" i="208"/>
  <c r="AA2336" i="208"/>
  <c r="AB2330" i="208"/>
  <c r="AA2330" i="208"/>
  <c r="V2309" i="208"/>
  <c r="AB2309" i="208"/>
  <c r="AA2309" i="208"/>
  <c r="V2300" i="208"/>
  <c r="AB2300" i="208"/>
  <c r="AA2300" i="208"/>
  <c r="AB2291" i="208"/>
  <c r="AA2291" i="208"/>
  <c r="AB2282" i="208"/>
  <c r="AA2282" i="208"/>
  <c r="AB2276" i="208"/>
  <c r="AA2276" i="208"/>
  <c r="AB2249" i="208"/>
  <c r="AA2249" i="208"/>
  <c r="AB2231" i="208"/>
  <c r="AA2231" i="208"/>
  <c r="AB2228" i="208"/>
  <c r="AA2228" i="208"/>
  <c r="AB2207" i="208"/>
  <c r="AA2207" i="208"/>
  <c r="AB2195" i="208"/>
  <c r="AA2195" i="208"/>
  <c r="AA2174" i="208"/>
  <c r="AB2159" i="208"/>
  <c r="AA2159" i="208"/>
  <c r="AB2147" i="208"/>
  <c r="AA2147" i="208"/>
  <c r="AB2138" i="208"/>
  <c r="AA2138" i="208"/>
  <c r="AB2126" i="208"/>
  <c r="AA2126" i="208"/>
  <c r="AB2105" i="208"/>
  <c r="AA2105" i="208"/>
  <c r="AB2087" i="208"/>
  <c r="AA2087" i="208"/>
  <c r="AB2063" i="208"/>
  <c r="AA2063" i="208"/>
  <c r="AB2045" i="208"/>
  <c r="AA2045" i="208"/>
  <c r="AB2027" i="208"/>
  <c r="AA2027" i="208"/>
  <c r="AB2021" i="208"/>
  <c r="AA2021" i="208"/>
  <c r="AB1904" i="208"/>
  <c r="AA1904" i="208"/>
  <c r="AB1880" i="208"/>
  <c r="AA1880" i="208"/>
  <c r="AB1874" i="208"/>
  <c r="AA1874" i="208"/>
  <c r="AB1856" i="208"/>
  <c r="AA1856" i="208"/>
  <c r="AB1847" i="208"/>
  <c r="AA1847" i="208"/>
  <c r="AA1838" i="208"/>
  <c r="AB1838" i="208"/>
  <c r="AB1829" i="208"/>
  <c r="AA1829" i="208"/>
  <c r="AB1820" i="208"/>
  <c r="AA1820" i="208"/>
  <c r="AB1814" i="208"/>
  <c r="AA1814" i="208"/>
  <c r="AB1796" i="208"/>
  <c r="AA1796" i="208"/>
  <c r="AB1778" i="208"/>
  <c r="AA1778" i="208"/>
  <c r="AB1769" i="208"/>
  <c r="AA1769" i="208"/>
  <c r="AB1760" i="208"/>
  <c r="AA1760" i="208"/>
  <c r="AB1736" i="208"/>
  <c r="AA1736" i="208"/>
  <c r="AB1724" i="208"/>
  <c r="AA1724" i="208"/>
  <c r="AA1721" i="208"/>
  <c r="AB1709" i="208"/>
  <c r="AA1709" i="208"/>
  <c r="AB1703" i="208"/>
  <c r="AA1703" i="208"/>
  <c r="AB1685" i="208"/>
  <c r="AA1685" i="208"/>
  <c r="AB1676" i="208"/>
  <c r="AA1676" i="208"/>
  <c r="AB1670" i="208"/>
  <c r="AA1670" i="208"/>
  <c r="AA1664" i="208"/>
  <c r="AB1655" i="208"/>
  <c r="AA1655" i="208"/>
  <c r="AB1649" i="208"/>
  <c r="AA1649" i="208"/>
  <c r="AB1634" i="208"/>
  <c r="AA1634" i="208"/>
  <c r="AB1628" i="208"/>
  <c r="AA1628" i="208"/>
  <c r="AB1619" i="208"/>
  <c r="AA1619" i="208"/>
  <c r="AB1613" i="208"/>
  <c r="AA1613" i="208"/>
  <c r="AB1610" i="208"/>
  <c r="AA1610" i="208"/>
  <c r="AB1595" i="208"/>
  <c r="AA1595" i="208"/>
  <c r="AB1592" i="208"/>
  <c r="AA1592" i="208"/>
  <c r="AB1589" i="208"/>
  <c r="AA1589" i="208"/>
  <c r="AB1586" i="208"/>
  <c r="AA1586" i="208"/>
  <c r="AB1583" i="208"/>
  <c r="AA1583" i="208"/>
  <c r="AB1580" i="208"/>
  <c r="AA1580" i="208"/>
  <c r="AB1571" i="208"/>
  <c r="AA1571" i="208"/>
  <c r="AB1565" i="208"/>
  <c r="AA1565" i="208"/>
  <c r="AB1562" i="208"/>
  <c r="AA1562" i="208"/>
  <c r="AB1559" i="208"/>
  <c r="AA1559" i="208"/>
  <c r="AB1556" i="208"/>
  <c r="AA1556" i="208"/>
  <c r="AB1550" i="208"/>
  <c r="AA1550" i="208"/>
  <c r="V2994" i="208"/>
  <c r="AB2994" i="208"/>
  <c r="AA2994" i="208"/>
  <c r="V2985" i="208"/>
  <c r="AB2985" i="208"/>
  <c r="AA2985" i="208"/>
  <c r="V2976" i="208"/>
  <c r="AB2976" i="208"/>
  <c r="AA2976" i="208"/>
  <c r="V2961" i="208"/>
  <c r="AB2961" i="208"/>
  <c r="AA2961" i="208"/>
  <c r="V2952" i="208"/>
  <c r="AB2952" i="208"/>
  <c r="AA2952" i="208"/>
  <c r="V2931" i="208"/>
  <c r="AB2931" i="208"/>
  <c r="AA2931" i="208"/>
  <c r="V2922" i="208"/>
  <c r="AB2922" i="208"/>
  <c r="AA2922" i="208"/>
  <c r="V2907" i="208"/>
  <c r="AB2907" i="208"/>
  <c r="AA2907" i="208"/>
  <c r="V2898" i="208"/>
  <c r="AB2898" i="208"/>
  <c r="AA2898" i="208"/>
  <c r="V2883" i="208"/>
  <c r="AB2883" i="208"/>
  <c r="AA2883" i="208"/>
  <c r="V2862" i="208"/>
  <c r="AB2862" i="208"/>
  <c r="AA2862" i="208"/>
  <c r="V2856" i="208"/>
  <c r="AA2856" i="208"/>
  <c r="AB2856" i="208"/>
  <c r="V2841" i="208"/>
  <c r="AB2841" i="208"/>
  <c r="AA2841" i="208"/>
  <c r="V2826" i="208"/>
  <c r="AB2826" i="208"/>
  <c r="AA2826" i="208"/>
  <c r="V2772" i="208"/>
  <c r="AB2772" i="208"/>
  <c r="AA2772" i="208"/>
  <c r="V2748" i="208"/>
  <c r="AB2748" i="208"/>
  <c r="AA2748" i="208"/>
  <c r="V2736" i="208"/>
  <c r="AB2736" i="208"/>
  <c r="AA2736" i="208"/>
  <c r="V2724" i="208"/>
  <c r="AB2724" i="208"/>
  <c r="AA2724" i="208"/>
  <c r="V2715" i="208"/>
  <c r="AB2715" i="208"/>
  <c r="AA2715" i="208"/>
  <c r="V2706" i="208"/>
  <c r="AB2706" i="208"/>
  <c r="AA2706" i="208"/>
  <c r="V2685" i="208"/>
  <c r="AB2685" i="208"/>
  <c r="AA2685" i="208"/>
  <c r="V2649" i="208"/>
  <c r="AB2649" i="208"/>
  <c r="AA2649" i="208"/>
  <c r="V2640" i="208"/>
  <c r="AB2640" i="208"/>
  <c r="AA2640" i="208"/>
  <c r="AA2637" i="208"/>
  <c r="V2607" i="208"/>
  <c r="AB2607" i="208"/>
  <c r="AA2607" i="208"/>
  <c r="V2598" i="208"/>
  <c r="AB2598" i="208"/>
  <c r="AA2598" i="208"/>
  <c r="V2589" i="208"/>
  <c r="AB2589" i="208"/>
  <c r="AA2589" i="208"/>
  <c r="V2580" i="208"/>
  <c r="AB2580" i="208"/>
  <c r="AA2580" i="208"/>
  <c r="V2562" i="208"/>
  <c r="AB2562" i="208"/>
  <c r="AA2562" i="208"/>
  <c r="V2553" i="208"/>
  <c r="AB2553" i="208"/>
  <c r="AA2553" i="208"/>
  <c r="V2535" i="208"/>
  <c r="AB2535" i="208"/>
  <c r="AA2535" i="208"/>
  <c r="V2511" i="208"/>
  <c r="AB2511" i="208"/>
  <c r="AA2511" i="208"/>
  <c r="V2505" i="208"/>
  <c r="AB2505" i="208"/>
  <c r="AA2505" i="208"/>
  <c r="V2496" i="208"/>
  <c r="AB2496" i="208"/>
  <c r="AA2496" i="208"/>
  <c r="V2487" i="208"/>
  <c r="AB2487" i="208"/>
  <c r="AA2487" i="208"/>
  <c r="V2472" i="208"/>
  <c r="V2463" i="208"/>
  <c r="AB2463" i="208"/>
  <c r="AA2463" i="208"/>
  <c r="V2448" i="208"/>
  <c r="AB2448" i="208"/>
  <c r="AA2448" i="208"/>
  <c r="V2424" i="208"/>
  <c r="AB2424" i="208"/>
  <c r="AA2424" i="208"/>
  <c r="V2418" i="208"/>
  <c r="AB2418" i="208"/>
  <c r="AA2418" i="208"/>
  <c r="AB2409" i="208"/>
  <c r="AA2409" i="208"/>
  <c r="V2400" i="208"/>
  <c r="AB2400" i="208"/>
  <c r="AA2400" i="208"/>
  <c r="V2394" i="208"/>
  <c r="AB2394" i="208"/>
  <c r="AA2394" i="208"/>
  <c r="AB2385" i="208"/>
  <c r="AA2385" i="208"/>
  <c r="V2376" i="208"/>
  <c r="AB2376" i="208"/>
  <c r="AA2376" i="208"/>
  <c r="V2367" i="208"/>
  <c r="AB2367" i="208"/>
  <c r="AA2367" i="208"/>
  <c r="V2343" i="208"/>
  <c r="AB2343" i="208"/>
  <c r="AA2343" i="208"/>
  <c r="AB2331" i="208"/>
  <c r="AA2331" i="208"/>
  <c r="V2316" i="208"/>
  <c r="AB2316" i="208"/>
  <c r="AA2316" i="208"/>
  <c r="V2292" i="208"/>
  <c r="AB2292" i="208"/>
  <c r="AA2292" i="208"/>
  <c r="V2280" i="208"/>
  <c r="AB2280" i="208"/>
  <c r="AA2280" i="208"/>
  <c r="AB2262" i="208"/>
  <c r="AA2262" i="208"/>
  <c r="AB2250" i="208"/>
  <c r="AA2250" i="208"/>
  <c r="AB2241" i="208"/>
  <c r="AA2241" i="208"/>
  <c r="AB2235" i="208"/>
  <c r="AA2235" i="208"/>
  <c r="AB2226" i="208"/>
  <c r="AA2226" i="208"/>
  <c r="AA2205" i="208"/>
  <c r="AB2199" i="208"/>
  <c r="AA2199" i="208"/>
  <c r="AB2169" i="208"/>
  <c r="AA2169" i="208"/>
  <c r="AB2160" i="208"/>
  <c r="AA2160" i="208"/>
  <c r="AB2142" i="208"/>
  <c r="AA2142" i="208"/>
  <c r="AB2133" i="208"/>
  <c r="AA2133" i="208"/>
  <c r="AB2127" i="208"/>
  <c r="AA2127" i="208"/>
  <c r="AB2118" i="208"/>
  <c r="AA2118" i="208"/>
  <c r="AB2112" i="208"/>
  <c r="AA2112" i="208"/>
  <c r="AB2079" i="208"/>
  <c r="AA2079" i="208"/>
  <c r="AA2070" i="208"/>
  <c r="AB2064" i="208"/>
  <c r="AA2064" i="208"/>
  <c r="AB2052" i="208"/>
  <c r="AA2052" i="208"/>
  <c r="AB2028" i="208"/>
  <c r="AA2028" i="208"/>
  <c r="AB2019" i="208"/>
  <c r="AA2019" i="208"/>
  <c r="AB1989" i="208"/>
  <c r="AA1989" i="208"/>
  <c r="AB1983" i="208"/>
  <c r="AA1983" i="208"/>
  <c r="AB1974" i="208"/>
  <c r="AA1974" i="208"/>
  <c r="AB1965" i="208"/>
  <c r="AA1965" i="208"/>
  <c r="AB1908" i="208"/>
  <c r="AA1908" i="208"/>
  <c r="AB1887" i="208"/>
  <c r="AA1887" i="208"/>
  <c r="AB1878" i="208"/>
  <c r="AA1878" i="208"/>
  <c r="AB1869" i="208"/>
  <c r="AA1869" i="208"/>
  <c r="AB1848" i="208"/>
  <c r="AA1848" i="208"/>
  <c r="AB1830" i="208"/>
  <c r="AA1830" i="208"/>
  <c r="AB1824" i="208"/>
  <c r="AA1824" i="208"/>
  <c r="AB1809" i="208"/>
  <c r="AA1809" i="208"/>
  <c r="AB1803" i="208"/>
  <c r="AA1803" i="208"/>
  <c r="AB1770" i="208"/>
  <c r="AA1770" i="208"/>
  <c r="AB1761" i="208"/>
  <c r="AA1761" i="208"/>
  <c r="AB1755" i="208"/>
  <c r="AA1755" i="208"/>
  <c r="AB1743" i="208"/>
  <c r="AA1743" i="208"/>
  <c r="AB1734" i="208"/>
  <c r="AA1734" i="208"/>
  <c r="AB1728" i="208"/>
  <c r="AA1728" i="208"/>
  <c r="AB1719" i="208"/>
  <c r="AA1719" i="208"/>
  <c r="AB1704" i="208"/>
  <c r="AA1704" i="208"/>
  <c r="AB1674" i="208"/>
  <c r="AA1674" i="208"/>
  <c r="AB1602" i="208"/>
  <c r="AA1602" i="208"/>
  <c r="AB1596" i="208"/>
  <c r="AA1596" i="208"/>
  <c r="AB1590" i="208"/>
  <c r="AA1590" i="208"/>
  <c r="AB1587" i="208"/>
  <c r="AA1587" i="208"/>
  <c r="AB1584" i="208"/>
  <c r="AA1584" i="208"/>
  <c r="AB1581" i="208"/>
  <c r="AA1581" i="208"/>
  <c r="AB1575" i="208"/>
  <c r="AA1575" i="208"/>
  <c r="AB1572" i="208"/>
  <c r="AA1572" i="208"/>
  <c r="AB1566" i="208"/>
  <c r="AA1566" i="208"/>
  <c r="F1563" i="208"/>
  <c r="T1563" i="208" s="1"/>
  <c r="AB1563" i="208"/>
  <c r="AA1563" i="208"/>
  <c r="AB1560" i="208"/>
  <c r="AA1560" i="208"/>
  <c r="AB305" i="208"/>
  <c r="AA305" i="208"/>
  <c r="V2979" i="208"/>
  <c r="AB2979" i="208"/>
  <c r="AA2979" i="208"/>
  <c r="V2955" i="208"/>
  <c r="AB2955" i="208"/>
  <c r="AA2955" i="208"/>
  <c r="V2946" i="208"/>
  <c r="AB2946" i="208"/>
  <c r="AA2946" i="208"/>
  <c r="V2937" i="208"/>
  <c r="AB2937" i="208"/>
  <c r="AA2937" i="208"/>
  <c r="V2916" i="208"/>
  <c r="AB2916" i="208"/>
  <c r="AA2916" i="208"/>
  <c r="V2886" i="208"/>
  <c r="AB2886" i="208"/>
  <c r="AA2886" i="208"/>
  <c r="V2850" i="208"/>
  <c r="AB2850" i="208"/>
  <c r="AA2850" i="208"/>
  <c r="V2832" i="208"/>
  <c r="AB2832" i="208"/>
  <c r="AA2832" i="208"/>
  <c r="V2802" i="208"/>
  <c r="AB2802" i="208"/>
  <c r="AA2802" i="208"/>
  <c r="V2778" i="208"/>
  <c r="AB2778" i="208"/>
  <c r="AA2778" i="208"/>
  <c r="V2751" i="208"/>
  <c r="AB2751" i="208"/>
  <c r="AA2751" i="208"/>
  <c r="V2739" i="208"/>
  <c r="AB2739" i="208"/>
  <c r="AA2739" i="208"/>
  <c r="V2712" i="208"/>
  <c r="AA2712" i="208"/>
  <c r="AB2712" i="208"/>
  <c r="V2691" i="208"/>
  <c r="AB2691" i="208"/>
  <c r="AA2691" i="208"/>
  <c r="V2682" i="208"/>
  <c r="AB2682" i="208"/>
  <c r="AA2682" i="208"/>
  <c r="V2673" i="208"/>
  <c r="AB2673" i="208"/>
  <c r="AA2673" i="208"/>
  <c r="V2625" i="208"/>
  <c r="AB2625" i="208"/>
  <c r="AA2625" i="208"/>
  <c r="V2604" i="208"/>
  <c r="AB2604" i="208"/>
  <c r="AA2604" i="208"/>
  <c r="V2595" i="208"/>
  <c r="AB2595" i="208"/>
  <c r="AA2595" i="208"/>
  <c r="V2583" i="208"/>
  <c r="AB2583" i="208"/>
  <c r="AA2583" i="208"/>
  <c r="V2574" i="208"/>
  <c r="AB2574" i="208"/>
  <c r="AA2574" i="208"/>
  <c r="V2565" i="208"/>
  <c r="AB2565" i="208"/>
  <c r="AA2565" i="208"/>
  <c r="AA2559" i="208"/>
  <c r="V2550" i="208"/>
  <c r="AB2550" i="208"/>
  <c r="AA2550" i="208"/>
  <c r="V2541" i="208"/>
  <c r="AB2541" i="208"/>
  <c r="AA2541" i="208"/>
  <c r="V2523" i="208"/>
  <c r="AB2523" i="208"/>
  <c r="AA2523" i="208"/>
  <c r="V2514" i="208"/>
  <c r="AB2514" i="208"/>
  <c r="AA2514" i="208"/>
  <c r="V2499" i="208"/>
  <c r="AB2499" i="208"/>
  <c r="AA2499" i="208"/>
  <c r="V2481" i="208"/>
  <c r="AB2481" i="208"/>
  <c r="AA2481" i="208"/>
  <c r="V2475" i="208"/>
  <c r="AB2475" i="208"/>
  <c r="AA2475" i="208"/>
  <c r="V2460" i="208"/>
  <c r="AB2460" i="208"/>
  <c r="AA2460" i="208"/>
  <c r="V2454" i="208"/>
  <c r="AB2454" i="208"/>
  <c r="AA2454" i="208"/>
  <c r="V2445" i="208"/>
  <c r="AB2445" i="208"/>
  <c r="AA2445" i="208"/>
  <c r="V2436" i="208"/>
  <c r="AB2436" i="208"/>
  <c r="AA2436" i="208"/>
  <c r="V2430" i="208"/>
  <c r="AB2430" i="208"/>
  <c r="AA2430" i="208"/>
  <c r="AB2421" i="208"/>
  <c r="AA2421" i="208"/>
  <c r="V2403" i="208"/>
  <c r="AB2403" i="208"/>
  <c r="AA2403" i="208"/>
  <c r="AB2397" i="208"/>
  <c r="AA2397" i="208"/>
  <c r="V2391" i="208"/>
  <c r="AB2391" i="208"/>
  <c r="AA2391" i="208"/>
  <c r="V2346" i="208"/>
  <c r="AB2346" i="208"/>
  <c r="AA2346" i="208"/>
  <c r="AB2337" i="208"/>
  <c r="AA2337" i="208"/>
  <c r="AB2322" i="208"/>
  <c r="AA2322" i="208"/>
  <c r="AB2310" i="208"/>
  <c r="AA2310" i="208"/>
  <c r="AB2295" i="208"/>
  <c r="AA2295" i="208"/>
  <c r="AB2286" i="208"/>
  <c r="AA2286" i="208"/>
  <c r="AB2277" i="208"/>
  <c r="AA2277" i="208"/>
  <c r="AB2253" i="208"/>
  <c r="AA2253" i="208"/>
  <c r="AB2223" i="208"/>
  <c r="AA2223" i="208"/>
  <c r="AB2214" i="208"/>
  <c r="AB2202" i="208"/>
  <c r="AA2202" i="208"/>
  <c r="AB2196" i="208"/>
  <c r="AA2196" i="208"/>
  <c r="AB2178" i="208"/>
  <c r="AA2178" i="208"/>
  <c r="AB2172" i="208"/>
  <c r="AA2172" i="208"/>
  <c r="AB2166" i="208"/>
  <c r="AA2166" i="208"/>
  <c r="AB2157" i="208"/>
  <c r="AA2157" i="208"/>
  <c r="AB2139" i="208"/>
  <c r="AA2139" i="208"/>
  <c r="AB2130" i="208"/>
  <c r="AA2130" i="208"/>
  <c r="AB2115" i="208"/>
  <c r="AA2115" i="208"/>
  <c r="AB2106" i="208"/>
  <c r="AA2106" i="208"/>
  <c r="AB2097" i="208"/>
  <c r="AA2097" i="208"/>
  <c r="AB2088" i="208"/>
  <c r="AA2088" i="208"/>
  <c r="AB2082" i="208"/>
  <c r="AA2082" i="208"/>
  <c r="AB2073" i="208"/>
  <c r="AA2073" i="208"/>
  <c r="AB2067" i="208"/>
  <c r="AA2067" i="208"/>
  <c r="AB2049" i="208"/>
  <c r="AA2049" i="208"/>
  <c r="AB2031" i="208"/>
  <c r="AA2031" i="208"/>
  <c r="AB2025" i="208"/>
  <c r="AA2025" i="208"/>
  <c r="AB2016" i="208"/>
  <c r="AA2016" i="208"/>
  <c r="AB1998" i="208"/>
  <c r="AA1998" i="208"/>
  <c r="AB1992" i="208"/>
  <c r="AA1992" i="208"/>
  <c r="AB1986" i="208"/>
  <c r="AA1986" i="208"/>
  <c r="AB1977" i="208"/>
  <c r="AA1977" i="208"/>
  <c r="AB1968" i="208"/>
  <c r="AA1968" i="208"/>
  <c r="AB1962" i="208"/>
  <c r="AA1962" i="208"/>
  <c r="AB1953" i="208"/>
  <c r="AA1953" i="208"/>
  <c r="AB1944" i="208"/>
  <c r="AA1944" i="208"/>
  <c r="AB1938" i="208"/>
  <c r="AA1938" i="208"/>
  <c r="AB1929" i="208"/>
  <c r="AA1929" i="208"/>
  <c r="AB1914" i="208"/>
  <c r="AA1914" i="208"/>
  <c r="AB1881" i="208"/>
  <c r="AA1881" i="208"/>
  <c r="AB1860" i="208"/>
  <c r="AA1860" i="208"/>
  <c r="AB1851" i="208"/>
  <c r="AA1851" i="208"/>
  <c r="AB1842" i="208"/>
  <c r="AA1842" i="208"/>
  <c r="AB1827" i="208"/>
  <c r="AA1827" i="208"/>
  <c r="AB1818" i="208"/>
  <c r="AA1818" i="208"/>
  <c r="AB1794" i="208"/>
  <c r="AA1794" i="208"/>
  <c r="AB1785" i="208"/>
  <c r="AA1785" i="208"/>
  <c r="AB1776" i="208"/>
  <c r="AA1776" i="208"/>
  <c r="AB1767" i="208"/>
  <c r="AA1767" i="208"/>
  <c r="AB1737" i="208"/>
  <c r="AA1737" i="208"/>
  <c r="AB1725" i="208"/>
  <c r="AA1725" i="208"/>
  <c r="AB1716" i="208"/>
  <c r="AA1716" i="208"/>
  <c r="AB1710" i="208"/>
  <c r="AA1710" i="208"/>
  <c r="AB1701" i="208"/>
  <c r="AA1701" i="208"/>
  <c r="AB1695" i="208"/>
  <c r="AA1695" i="208"/>
  <c r="AB1689" i="208"/>
  <c r="AA1689" i="208"/>
  <c r="AB1686" i="208"/>
  <c r="AA1686" i="208"/>
  <c r="AB1680" i="208"/>
  <c r="AA1680" i="208"/>
  <c r="AB1656" i="208"/>
  <c r="AA1656" i="208"/>
  <c r="AB1650" i="208"/>
  <c r="AA1650" i="208"/>
  <c r="AB1626" i="208"/>
  <c r="AA1626" i="208"/>
  <c r="AB1617" i="208"/>
  <c r="AA1617" i="208"/>
  <c r="AB1593" i="208"/>
  <c r="AA1593" i="208"/>
  <c r="AB1557" i="208"/>
  <c r="AA1557" i="208"/>
  <c r="V3000" i="208"/>
  <c r="AB3000" i="208"/>
  <c r="AA3000" i="208"/>
  <c r="V2991" i="208"/>
  <c r="AB2991" i="208"/>
  <c r="AA2991" i="208"/>
  <c r="V2973" i="208"/>
  <c r="AB2973" i="208"/>
  <c r="AA2973" i="208"/>
  <c r="AB2964" i="208"/>
  <c r="V2928" i="208"/>
  <c r="AB2928" i="208"/>
  <c r="AA2928" i="208"/>
  <c r="V2913" i="208"/>
  <c r="AB2913" i="208"/>
  <c r="AA2913" i="208"/>
  <c r="V2889" i="208"/>
  <c r="AB2889" i="208"/>
  <c r="AA2889" i="208"/>
  <c r="V2880" i="208"/>
  <c r="AB2880" i="208"/>
  <c r="AA2880" i="208"/>
  <c r="V2871" i="208"/>
  <c r="AB2871" i="208"/>
  <c r="AA2871" i="208"/>
  <c r="V2853" i="208"/>
  <c r="AB2853" i="208"/>
  <c r="AA2853" i="208"/>
  <c r="V2835" i="208"/>
  <c r="AB2835" i="208"/>
  <c r="AA2835" i="208"/>
  <c r="V2817" i="208"/>
  <c r="AB2817" i="208"/>
  <c r="AA2817" i="208"/>
  <c r="V2808" i="208"/>
  <c r="AB2808" i="208"/>
  <c r="AA2808" i="208"/>
  <c r="V2793" i="208"/>
  <c r="AB2793" i="208"/>
  <c r="AA2793" i="208"/>
  <c r="V2784" i="208"/>
  <c r="AB2784" i="208"/>
  <c r="AA2784" i="208"/>
  <c r="V2775" i="208"/>
  <c r="AB2775" i="208"/>
  <c r="AA2775" i="208"/>
  <c r="V2763" i="208"/>
  <c r="AB2763" i="208"/>
  <c r="AA2763" i="208"/>
  <c r="V2754" i="208"/>
  <c r="AB2754" i="208"/>
  <c r="AA2754" i="208"/>
  <c r="V2742" i="208"/>
  <c r="AB2742" i="208"/>
  <c r="AA2742" i="208"/>
  <c r="V2727" i="208"/>
  <c r="AB2727" i="208"/>
  <c r="AA2727" i="208"/>
  <c r="V2709" i="208"/>
  <c r="AB2709" i="208"/>
  <c r="AA2709" i="208"/>
  <c r="V2697" i="208"/>
  <c r="AB2697" i="208"/>
  <c r="AA2697" i="208"/>
  <c r="V2688" i="208"/>
  <c r="AB2688" i="208"/>
  <c r="AA2688" i="208"/>
  <c r="V2664" i="208"/>
  <c r="AB2664" i="208"/>
  <c r="AA2664" i="208"/>
  <c r="V2658" i="208"/>
  <c r="AB2658" i="208"/>
  <c r="AA2658" i="208"/>
  <c r="V2628" i="208"/>
  <c r="AB2628" i="208"/>
  <c r="AA2628" i="208"/>
  <c r="V2619" i="208"/>
  <c r="AB2619" i="208"/>
  <c r="AA2619" i="208"/>
  <c r="V2610" i="208"/>
  <c r="AB2610" i="208"/>
  <c r="AA2610" i="208"/>
  <c r="V2592" i="208"/>
  <c r="AB2592" i="208"/>
  <c r="AA2592" i="208"/>
  <c r="V2529" i="208"/>
  <c r="AB2529" i="208"/>
  <c r="AA2529" i="208"/>
  <c r="V2304" i="208"/>
  <c r="AB2304" i="208"/>
  <c r="AA2304" i="208"/>
  <c r="AB2274" i="208"/>
  <c r="AA2274" i="208"/>
  <c r="V2256" i="208"/>
  <c r="AB2256" i="208"/>
  <c r="AA2256" i="208"/>
  <c r="AB2232" i="208"/>
  <c r="AA2232" i="208"/>
  <c r="AB2217" i="208"/>
  <c r="AA2217" i="208"/>
  <c r="AB2208" i="208"/>
  <c r="AA2208" i="208"/>
  <c r="AB2193" i="208"/>
  <c r="AA2193" i="208"/>
  <c r="AB2163" i="208"/>
  <c r="AA2163" i="208"/>
  <c r="AB2148" i="208"/>
  <c r="AA2148" i="208"/>
  <c r="AB2136" i="208"/>
  <c r="AA2136" i="208"/>
  <c r="AB2121" i="208"/>
  <c r="AA2121" i="208"/>
  <c r="AB2109" i="208"/>
  <c r="AA2109" i="208"/>
  <c r="AB2058" i="208"/>
  <c r="AA2058" i="208"/>
  <c r="AB1890" i="208"/>
  <c r="AA1890" i="208"/>
  <c r="AB1632" i="208"/>
  <c r="AA1632" i="208"/>
  <c r="V2997" i="208"/>
  <c r="AB2997" i="208"/>
  <c r="AA2997" i="208"/>
  <c r="V2982" i="208"/>
  <c r="AB2982" i="208"/>
  <c r="AA2982" i="208"/>
  <c r="V2970" i="208"/>
  <c r="AB2970" i="208"/>
  <c r="AA2970" i="208"/>
  <c r="V2943" i="208"/>
  <c r="AB2943" i="208"/>
  <c r="AA2943" i="208"/>
  <c r="V2919" i="208"/>
  <c r="AB2919" i="208"/>
  <c r="AA2919" i="208"/>
  <c r="V2892" i="208"/>
  <c r="AB2892" i="208"/>
  <c r="AA2892" i="208"/>
  <c r="V2877" i="208"/>
  <c r="AB2877" i="208"/>
  <c r="AA2877" i="208"/>
  <c r="V2868" i="208"/>
  <c r="AB2868" i="208"/>
  <c r="AA2868" i="208"/>
  <c r="V2838" i="208"/>
  <c r="AB2838" i="208"/>
  <c r="AA2838" i="208"/>
  <c r="V2829" i="208"/>
  <c r="AB2829" i="208"/>
  <c r="AA2829" i="208"/>
  <c r="V2811" i="208"/>
  <c r="AB2811" i="208"/>
  <c r="AA2811" i="208"/>
  <c r="V2799" i="208"/>
  <c r="AB2799" i="208"/>
  <c r="AA2799" i="208"/>
  <c r="V2787" i="208"/>
  <c r="AB2787" i="208"/>
  <c r="AA2787" i="208"/>
  <c r="V2769" i="208"/>
  <c r="AB2769" i="208"/>
  <c r="AA2769" i="208"/>
  <c r="V2745" i="208"/>
  <c r="AB2745" i="208"/>
  <c r="AA2745" i="208"/>
  <c r="V2733" i="208"/>
  <c r="AB2733" i="208"/>
  <c r="AA2733" i="208"/>
  <c r="V2718" i="208"/>
  <c r="AB2718" i="208"/>
  <c r="AA2718" i="208"/>
  <c r="V2703" i="208"/>
  <c r="AB2703" i="208"/>
  <c r="AA2703" i="208"/>
  <c r="V2694" i="208"/>
  <c r="AB2694" i="208"/>
  <c r="AA2694" i="208"/>
  <c r="V2667" i="208"/>
  <c r="V2655" i="208"/>
  <c r="AB2655" i="208"/>
  <c r="AA2655" i="208"/>
  <c r="V2634" i="208"/>
  <c r="AB2634" i="208"/>
  <c r="AA2634" i="208"/>
  <c r="V2601" i="208"/>
  <c r="AB2601" i="208"/>
  <c r="AA2601" i="208"/>
  <c r="AA2586" i="208"/>
  <c r="V2568" i="208"/>
  <c r="AB2568" i="208"/>
  <c r="AA2568" i="208"/>
  <c r="V2544" i="208"/>
  <c r="AB2544" i="208"/>
  <c r="AA2544" i="208"/>
  <c r="V2538" i="208"/>
  <c r="AB2538" i="208"/>
  <c r="AA2538" i="208"/>
  <c r="V2520" i="208"/>
  <c r="AA2520" i="208"/>
  <c r="AB2520" i="208"/>
  <c r="V2490" i="208"/>
  <c r="AB2490" i="208"/>
  <c r="AA2490" i="208"/>
  <c r="V2484" i="208"/>
  <c r="AB2484" i="208"/>
  <c r="AA2484" i="208"/>
  <c r="V2466" i="208"/>
  <c r="AB2466" i="208"/>
  <c r="AA2466" i="208"/>
  <c r="V2457" i="208"/>
  <c r="AB2457" i="208"/>
  <c r="AA2457" i="208"/>
  <c r="V2451" i="208"/>
  <c r="AB2451" i="208"/>
  <c r="AA2451" i="208"/>
  <c r="V2439" i="208"/>
  <c r="AB2439" i="208"/>
  <c r="AA2439" i="208"/>
  <c r="V2427" i="208"/>
  <c r="AB2427" i="208"/>
  <c r="AA2427" i="208"/>
  <c r="V2415" i="208"/>
  <c r="AB2415" i="208"/>
  <c r="AA2415" i="208"/>
  <c r="V2406" i="208"/>
  <c r="AB2406" i="208"/>
  <c r="AA2406" i="208"/>
  <c r="V2379" i="208"/>
  <c r="AB2379" i="208"/>
  <c r="AA2379" i="208"/>
  <c r="V2370" i="208"/>
  <c r="AB2370" i="208"/>
  <c r="AA2370" i="208"/>
  <c r="AB2361" i="208"/>
  <c r="AA2361" i="208"/>
  <c r="V2352" i="208"/>
  <c r="AB2352" i="208"/>
  <c r="AA2352" i="208"/>
  <c r="V2340" i="208"/>
  <c r="AB2340" i="208"/>
  <c r="AA2340" i="208"/>
  <c r="AB2313" i="208"/>
  <c r="AA2313" i="208"/>
  <c r="AB2301" i="208"/>
  <c r="AA2301" i="208"/>
  <c r="AB2265" i="208"/>
  <c r="AA2265" i="208"/>
  <c r="AB2247" i="208"/>
  <c r="AA2247" i="208"/>
  <c r="AB2211" i="208"/>
  <c r="AA2211" i="208"/>
  <c r="AB2055" i="208"/>
  <c r="AA2055" i="208"/>
  <c r="AB2043" i="208"/>
  <c r="AA2043" i="208"/>
  <c r="AB2034" i="208"/>
  <c r="AA2034" i="208"/>
  <c r="AB2022" i="208"/>
  <c r="AA2022" i="208"/>
  <c r="AB2013" i="208"/>
  <c r="AA2013" i="208"/>
  <c r="AA2004" i="208"/>
  <c r="AB2004" i="208"/>
  <c r="AB1995" i="208"/>
  <c r="AA1995" i="208"/>
  <c r="AB1971" i="208"/>
  <c r="AA1971" i="208"/>
  <c r="AB1959" i="208"/>
  <c r="AA1959" i="208"/>
  <c r="AB1935" i="208"/>
  <c r="AA1935" i="208"/>
  <c r="AB1920" i="208"/>
  <c r="AA1920" i="208"/>
  <c r="AB1911" i="208"/>
  <c r="AA1911" i="208"/>
  <c r="AB1905" i="208"/>
  <c r="AA1905" i="208"/>
  <c r="AB1884" i="208"/>
  <c r="AA1884" i="208"/>
  <c r="AB1872" i="208"/>
  <c r="AA1872" i="208"/>
  <c r="AB1863" i="208"/>
  <c r="AA1863" i="208"/>
  <c r="AB1854" i="208"/>
  <c r="AA1854" i="208"/>
  <c r="AB1845" i="208"/>
  <c r="AA1845" i="208"/>
  <c r="AB1833" i="208"/>
  <c r="AA1833" i="208"/>
  <c r="AB1821" i="208"/>
  <c r="AA1821" i="208"/>
  <c r="AB1800" i="208"/>
  <c r="AA1800" i="208"/>
  <c r="AB1764" i="208"/>
  <c r="AA1764" i="208"/>
  <c r="AB1746" i="208"/>
  <c r="AA1746" i="208"/>
  <c r="AB1740" i="208"/>
  <c r="AA1740" i="208"/>
  <c r="AB1731" i="208"/>
  <c r="AA1731" i="208"/>
  <c r="AB1707" i="208"/>
  <c r="AA1707" i="208"/>
  <c r="AB1698" i="208"/>
  <c r="AA1698" i="208"/>
  <c r="AB1683" i="208"/>
  <c r="AA1683" i="208"/>
  <c r="AB1677" i="208"/>
  <c r="AA1677" i="208"/>
  <c r="AB1671" i="208"/>
  <c r="AA1671" i="208"/>
  <c r="AB1665" i="208"/>
  <c r="AA1665" i="208"/>
  <c r="AB1659" i="208"/>
  <c r="AA1659" i="208"/>
  <c r="AB1641" i="208"/>
  <c r="AA1641" i="208"/>
  <c r="AB1620" i="208"/>
  <c r="AA1620" i="208"/>
  <c r="F2998" i="208"/>
  <c r="T2998" i="208" s="1"/>
  <c r="AB2998" i="208"/>
  <c r="AA2998" i="208"/>
  <c r="F2983" i="208"/>
  <c r="T2983" i="208" s="1"/>
  <c r="AB2983" i="208"/>
  <c r="AA2983" i="208"/>
  <c r="F2974" i="208"/>
  <c r="T2974" i="208" s="1"/>
  <c r="AB2974" i="208"/>
  <c r="AA2974" i="208"/>
  <c r="AB2962" i="208"/>
  <c r="F2953" i="208"/>
  <c r="T2953" i="208" s="1"/>
  <c r="AB2953" i="208"/>
  <c r="AA2953" i="208"/>
  <c r="F2929" i="208"/>
  <c r="T2929" i="208" s="1"/>
  <c r="AB2929" i="208"/>
  <c r="AA2929" i="208"/>
  <c r="F2917" i="208"/>
  <c r="T2917" i="208" s="1"/>
  <c r="AB2917" i="208"/>
  <c r="AA2917" i="208"/>
  <c r="F2887" i="208"/>
  <c r="T2887" i="208" s="1"/>
  <c r="AB2887" i="208"/>
  <c r="AA2887" i="208"/>
  <c r="F2878" i="208"/>
  <c r="T2878" i="208" s="1"/>
  <c r="AB2878" i="208"/>
  <c r="AA2878" i="208"/>
  <c r="F2872" i="208"/>
  <c r="T2872" i="208" s="1"/>
  <c r="AB2872" i="208"/>
  <c r="AA2872" i="208"/>
  <c r="F2809" i="208"/>
  <c r="T2809" i="208" s="1"/>
  <c r="AB2809" i="208"/>
  <c r="AA2809" i="208"/>
  <c r="F2788" i="208"/>
  <c r="T2788" i="208" s="1"/>
  <c r="AB2788" i="208"/>
  <c r="AA2788" i="208"/>
  <c r="F2734" i="208"/>
  <c r="T2734" i="208" s="1"/>
  <c r="AB2734" i="208"/>
  <c r="AA2734" i="208"/>
  <c r="F2707" i="208"/>
  <c r="T2707" i="208" s="1"/>
  <c r="AB2707" i="208"/>
  <c r="AA2707" i="208"/>
  <c r="F2665" i="208"/>
  <c r="T2665" i="208" s="1"/>
  <c r="AB2665" i="208"/>
  <c r="AA2665" i="208"/>
  <c r="F2644" i="208"/>
  <c r="T2644" i="208" s="1"/>
  <c r="AB2644" i="208"/>
  <c r="AA2644" i="208"/>
  <c r="AB2635" i="208"/>
  <c r="F2623" i="208"/>
  <c r="T2623" i="208" s="1"/>
  <c r="AB2623" i="208"/>
  <c r="AA2623" i="208"/>
  <c r="F2602" i="208"/>
  <c r="T2602" i="208" s="1"/>
  <c r="AB2602" i="208"/>
  <c r="AA2602" i="208"/>
  <c r="F2587" i="208"/>
  <c r="T2587" i="208" s="1"/>
  <c r="AB2587" i="208"/>
  <c r="AA2587" i="208"/>
  <c r="F2578" i="208"/>
  <c r="T2578" i="208" s="1"/>
  <c r="AB2578" i="208"/>
  <c r="AA2578" i="208"/>
  <c r="F2545" i="208"/>
  <c r="T2545" i="208" s="1"/>
  <c r="AB2545" i="208"/>
  <c r="AA2545" i="208"/>
  <c r="F2521" i="208"/>
  <c r="T2521" i="208" s="1"/>
  <c r="AA2521" i="208"/>
  <c r="AB2521" i="208"/>
  <c r="F2497" i="208"/>
  <c r="T2497" i="208" s="1"/>
  <c r="AB2497" i="208"/>
  <c r="AA2497" i="208"/>
  <c r="F2485" i="208"/>
  <c r="T2485" i="208" s="1"/>
  <c r="AB2485" i="208"/>
  <c r="AA2485" i="208"/>
  <c r="F2473" i="208"/>
  <c r="T2473" i="208" s="1"/>
  <c r="F2461" i="208"/>
  <c r="T2461" i="208" s="1"/>
  <c r="AA2461" i="208"/>
  <c r="AB2461" i="208"/>
  <c r="F2449" i="208"/>
  <c r="T2449" i="208" s="1"/>
  <c r="AB2449" i="208"/>
  <c r="AA2449" i="208"/>
  <c r="F2437" i="208"/>
  <c r="T2437" i="208" s="1"/>
  <c r="AB2437" i="208"/>
  <c r="AA2437" i="208"/>
  <c r="F2422" i="208"/>
  <c r="T2422" i="208" s="1"/>
  <c r="AB2422" i="208"/>
  <c r="AA2422" i="208"/>
  <c r="F2398" i="208"/>
  <c r="T2398" i="208" s="1"/>
  <c r="AB2398" i="208"/>
  <c r="AA2398" i="208"/>
  <c r="F2380" i="208"/>
  <c r="T2380" i="208" s="1"/>
  <c r="AB2380" i="208"/>
  <c r="AA2380" i="208"/>
  <c r="F2350" i="208"/>
  <c r="T2350" i="208" s="1"/>
  <c r="AB2350" i="208"/>
  <c r="AA2350" i="208"/>
  <c r="F2341" i="208"/>
  <c r="T2341" i="208" s="1"/>
  <c r="AB2341" i="208"/>
  <c r="AA2341" i="208"/>
  <c r="F2332" i="208"/>
  <c r="T2332" i="208" s="1"/>
  <c r="AB2332" i="208"/>
  <c r="AA2332" i="208"/>
  <c r="F2305" i="208"/>
  <c r="T2305" i="208" s="1"/>
  <c r="AB2305" i="208"/>
  <c r="AA2305" i="208"/>
  <c r="F2290" i="208"/>
  <c r="T2290" i="208" s="1"/>
  <c r="AB2290" i="208"/>
  <c r="AA2290" i="208"/>
  <c r="F2278" i="208"/>
  <c r="T2278" i="208" s="1"/>
  <c r="AB2278" i="208"/>
  <c r="AA2278" i="208"/>
  <c r="F2263" i="208"/>
  <c r="T2263" i="208" s="1"/>
  <c r="AB2263" i="208"/>
  <c r="AA2263" i="208"/>
  <c r="F2248" i="208"/>
  <c r="T2248" i="208" s="1"/>
  <c r="AB2248" i="208"/>
  <c r="AA2248" i="208"/>
  <c r="F2233" i="208"/>
  <c r="T2233" i="208" s="1"/>
  <c r="AB2233" i="208"/>
  <c r="AA2233" i="208"/>
  <c r="F2212" i="208"/>
  <c r="T2212" i="208" s="1"/>
  <c r="AB2212" i="208"/>
  <c r="AA2212" i="208"/>
  <c r="F2191" i="208"/>
  <c r="T2191" i="208" s="1"/>
  <c r="AB2191" i="208"/>
  <c r="AA2191" i="208"/>
  <c r="F2167" i="208"/>
  <c r="T2167" i="208" s="1"/>
  <c r="AB2167" i="208"/>
  <c r="AA2167" i="208"/>
  <c r="F2158" i="208"/>
  <c r="T2158" i="208" s="1"/>
  <c r="AB2158" i="208"/>
  <c r="AA2158" i="208"/>
  <c r="F2134" i="208"/>
  <c r="T2134" i="208" s="1"/>
  <c r="AB2134" i="208"/>
  <c r="AA2134" i="208"/>
  <c r="F2116" i="208"/>
  <c r="T2116" i="208" s="1"/>
  <c r="AB2116" i="208"/>
  <c r="AA2116" i="208"/>
  <c r="F2104" i="208"/>
  <c r="T2104" i="208" s="1"/>
  <c r="AB2104" i="208"/>
  <c r="AA2104" i="208"/>
  <c r="F2095" i="208"/>
  <c r="T2095" i="208" s="1"/>
  <c r="AB2095" i="208"/>
  <c r="AA2095" i="208"/>
  <c r="F2068" i="208"/>
  <c r="T2068" i="208" s="1"/>
  <c r="AB2068" i="208"/>
  <c r="AA2068" i="208"/>
  <c r="F2056" i="208"/>
  <c r="T2056" i="208" s="1"/>
  <c r="F2047" i="208"/>
  <c r="T2047" i="208" s="1"/>
  <c r="AB2047" i="208"/>
  <c r="AA2047" i="208"/>
  <c r="F2020" i="208"/>
  <c r="T2020" i="208" s="1"/>
  <c r="AB2020" i="208"/>
  <c r="AA2020" i="208"/>
  <c r="F2008" i="208"/>
  <c r="T2008" i="208" s="1"/>
  <c r="AB2008" i="208"/>
  <c r="AA2008" i="208"/>
  <c r="F1993" i="208"/>
  <c r="T1993" i="208" s="1"/>
  <c r="AA1993" i="208"/>
  <c r="AB1993" i="208"/>
  <c r="F1984" i="208"/>
  <c r="T1984" i="208" s="1"/>
  <c r="AB1984" i="208"/>
  <c r="AA1984" i="208"/>
  <c r="F1963" i="208"/>
  <c r="T1963" i="208" s="1"/>
  <c r="AB1963" i="208"/>
  <c r="AA1963" i="208"/>
  <c r="F1951" i="208"/>
  <c r="T1951" i="208" s="1"/>
  <c r="AB1951" i="208"/>
  <c r="AA1951" i="208"/>
  <c r="F1942" i="208"/>
  <c r="T1942" i="208" s="1"/>
  <c r="AB1942" i="208"/>
  <c r="AA1942" i="208"/>
  <c r="F1927" i="208"/>
  <c r="T1927" i="208" s="1"/>
  <c r="AB1927" i="208"/>
  <c r="AA1927" i="208"/>
  <c r="F1900" i="208"/>
  <c r="T1900" i="208" s="1"/>
  <c r="AB1900" i="208"/>
  <c r="AA1900" i="208"/>
  <c r="F1879" i="208"/>
  <c r="T1879" i="208" s="1"/>
  <c r="AB1879" i="208"/>
  <c r="AA1879" i="208"/>
  <c r="F1864" i="208"/>
  <c r="T1864" i="208" s="1"/>
  <c r="AB1864" i="208"/>
  <c r="AA1864" i="208"/>
  <c r="F1840" i="208"/>
  <c r="T1840" i="208" s="1"/>
  <c r="AB1840" i="208"/>
  <c r="AA1840" i="208"/>
  <c r="F1825" i="208"/>
  <c r="T1825" i="208" s="1"/>
  <c r="AB1825" i="208"/>
  <c r="AA1825" i="208"/>
  <c r="F1816" i="208"/>
  <c r="T1816" i="208" s="1"/>
  <c r="AB1816" i="208"/>
  <c r="AA1816" i="208"/>
  <c r="F1783" i="208"/>
  <c r="T1783" i="208" s="1"/>
  <c r="AB1783" i="208"/>
  <c r="AA1783" i="208"/>
  <c r="F1765" i="208"/>
  <c r="T1765" i="208" s="1"/>
  <c r="AB1765" i="208"/>
  <c r="AA1765" i="208"/>
  <c r="F1735" i="208"/>
  <c r="T1735" i="208" s="1"/>
  <c r="AB1735" i="208"/>
  <c r="AA1735" i="208"/>
  <c r="F1729" i="208"/>
  <c r="T1729" i="208" s="1"/>
  <c r="AB1729" i="208"/>
  <c r="AA1729" i="208"/>
  <c r="F1714" i="208"/>
  <c r="T1714" i="208" s="1"/>
  <c r="AB1714" i="208"/>
  <c r="AA1714" i="208"/>
  <c r="F1702" i="208"/>
  <c r="T1702" i="208" s="1"/>
  <c r="AB1702" i="208"/>
  <c r="AA1702" i="208"/>
  <c r="F1678" i="208"/>
  <c r="T1678" i="208" s="1"/>
  <c r="AB1678" i="208"/>
  <c r="AA1678" i="208"/>
  <c r="F1672" i="208"/>
  <c r="T1672" i="208" s="1"/>
  <c r="AB1672" i="208"/>
  <c r="AA1672" i="208"/>
  <c r="F1660" i="208"/>
  <c r="T1660" i="208" s="1"/>
  <c r="AB1660" i="208"/>
  <c r="AA1660" i="208"/>
  <c r="F1654" i="208"/>
  <c r="T1654" i="208" s="1"/>
  <c r="AB1654" i="208"/>
  <c r="AA1654" i="208"/>
  <c r="F1636" i="208"/>
  <c r="T1636" i="208" s="1"/>
  <c r="AB1636" i="208"/>
  <c r="AA1636" i="208"/>
  <c r="F1630" i="208"/>
  <c r="T1630" i="208" s="1"/>
  <c r="AB1630" i="208"/>
  <c r="AA1630" i="208"/>
  <c r="F1618" i="208"/>
  <c r="T1618" i="208" s="1"/>
  <c r="AB1618" i="208"/>
  <c r="AA1618" i="208"/>
  <c r="F1612" i="208"/>
  <c r="T1612" i="208" s="1"/>
  <c r="AB1612" i="208"/>
  <c r="AA1612" i="208"/>
  <c r="F1597" i="208"/>
  <c r="T1597" i="208" s="1"/>
  <c r="AB1597" i="208"/>
  <c r="AA1597" i="208"/>
  <c r="F1591" i="208"/>
  <c r="T1591" i="208" s="1"/>
  <c r="AB1591" i="208"/>
  <c r="AA1591" i="208"/>
  <c r="F1585" i="208"/>
  <c r="T1585" i="208" s="1"/>
  <c r="AB1585" i="208"/>
  <c r="AA1585" i="208"/>
  <c r="F1579" i="208"/>
  <c r="T1579" i="208" s="1"/>
  <c r="AB1579" i="208"/>
  <c r="AA1579" i="208"/>
  <c r="F1570" i="208"/>
  <c r="T1570" i="208" s="1"/>
  <c r="AB1570" i="208"/>
  <c r="AA1570" i="208"/>
  <c r="F1558" i="208"/>
  <c r="T1558" i="208" s="1"/>
  <c r="AB1558" i="208"/>
  <c r="AA1558" i="208"/>
  <c r="F1552" i="208"/>
  <c r="T1552" i="208" s="1"/>
  <c r="AB1552" i="208"/>
  <c r="AA1552" i="208"/>
  <c r="F1540" i="208"/>
  <c r="T1540" i="208" s="1"/>
  <c r="AB1540" i="208"/>
  <c r="AA1540" i="208"/>
  <c r="F1534" i="208"/>
  <c r="T1534" i="208" s="1"/>
  <c r="AB1534" i="208"/>
  <c r="AA1534" i="208"/>
  <c r="F1531" i="208"/>
  <c r="T1531" i="208" s="1"/>
  <c r="AB1531" i="208"/>
  <c r="AA1531" i="208"/>
  <c r="F1528" i="208"/>
  <c r="T1528" i="208" s="1"/>
  <c r="AB1528" i="208"/>
  <c r="AA1528" i="208"/>
  <c r="F1519" i="208"/>
  <c r="T1519" i="208" s="1"/>
  <c r="AB1519" i="208"/>
  <c r="AA1519" i="208"/>
  <c r="F1516" i="208"/>
  <c r="T1516" i="208" s="1"/>
  <c r="AB1516" i="208"/>
  <c r="AA1516" i="208"/>
  <c r="F1513" i="208"/>
  <c r="T1513" i="208" s="1"/>
  <c r="AB1513" i="208"/>
  <c r="AA1513" i="208"/>
  <c r="F1510" i="208"/>
  <c r="T1510" i="208" s="1"/>
  <c r="AB1510" i="208"/>
  <c r="AA1510" i="208"/>
  <c r="F1495" i="208"/>
  <c r="T1495" i="208" s="1"/>
  <c r="AB1495" i="208"/>
  <c r="AA1495" i="208"/>
  <c r="F1492" i="208"/>
  <c r="T1492" i="208" s="1"/>
  <c r="AA1492" i="208"/>
  <c r="AB1492" i="208"/>
  <c r="F1489" i="208"/>
  <c r="T1489" i="208" s="1"/>
  <c r="AB1489" i="208"/>
  <c r="AA1489" i="208"/>
  <c r="F1486" i="208"/>
  <c r="T1486" i="208" s="1"/>
  <c r="AB1486" i="208"/>
  <c r="AA1486" i="208"/>
  <c r="F2995" i="208"/>
  <c r="T2995" i="208" s="1"/>
  <c r="AB2995" i="208"/>
  <c r="AA2995" i="208"/>
  <c r="F2968" i="208"/>
  <c r="T2968" i="208" s="1"/>
  <c r="AB2968" i="208"/>
  <c r="AA2968" i="208"/>
  <c r="F2959" i="208"/>
  <c r="T2959" i="208" s="1"/>
  <c r="AB2959" i="208"/>
  <c r="AA2959" i="208"/>
  <c r="F2935" i="208"/>
  <c r="T2935" i="208" s="1"/>
  <c r="AB2935" i="208"/>
  <c r="AA2935" i="208"/>
  <c r="F2911" i="208"/>
  <c r="T2911" i="208" s="1"/>
  <c r="AB2911" i="208"/>
  <c r="AA2911" i="208"/>
  <c r="AB2902" i="208"/>
  <c r="F2893" i="208"/>
  <c r="T2893" i="208" s="1"/>
  <c r="AB2893" i="208"/>
  <c r="AA2893" i="208"/>
  <c r="F2881" i="208"/>
  <c r="T2881" i="208" s="1"/>
  <c r="AB2881" i="208"/>
  <c r="AA2881" i="208"/>
  <c r="F2875" i="208"/>
  <c r="T2875" i="208" s="1"/>
  <c r="AB2875" i="208"/>
  <c r="AA2875" i="208"/>
  <c r="F2866" i="208"/>
  <c r="T2866" i="208" s="1"/>
  <c r="AB2866" i="208"/>
  <c r="AA2866" i="208"/>
  <c r="F2854" i="208"/>
  <c r="T2854" i="208" s="1"/>
  <c r="AB2854" i="208"/>
  <c r="AA2854" i="208"/>
  <c r="F2839" i="208"/>
  <c r="T2839" i="208" s="1"/>
  <c r="AB2839" i="208"/>
  <c r="AA2839" i="208"/>
  <c r="F2833" i="208"/>
  <c r="T2833" i="208" s="1"/>
  <c r="AB2833" i="208"/>
  <c r="AA2833" i="208"/>
  <c r="F2815" i="208"/>
  <c r="T2815" i="208" s="1"/>
  <c r="AB2815" i="208"/>
  <c r="AA2815" i="208"/>
  <c r="F2806" i="208"/>
  <c r="T2806" i="208" s="1"/>
  <c r="AB2806" i="208"/>
  <c r="AA2806" i="208"/>
  <c r="F2782" i="208"/>
  <c r="T2782" i="208" s="1"/>
  <c r="AB2782" i="208"/>
  <c r="AA2782" i="208"/>
  <c r="F2773" i="208"/>
  <c r="T2773" i="208" s="1"/>
  <c r="AB2773" i="208"/>
  <c r="AA2773" i="208"/>
  <c r="F2764" i="208"/>
  <c r="T2764" i="208" s="1"/>
  <c r="AB2764" i="208"/>
  <c r="AA2764" i="208"/>
  <c r="F2749" i="208"/>
  <c r="T2749" i="208" s="1"/>
  <c r="AB2749" i="208"/>
  <c r="AA2749" i="208"/>
  <c r="F2743" i="208"/>
  <c r="T2743" i="208" s="1"/>
  <c r="AB2743" i="208"/>
  <c r="AA2743" i="208"/>
  <c r="F2728" i="208"/>
  <c r="T2728" i="208" s="1"/>
  <c r="AB2728" i="208"/>
  <c r="AA2728" i="208"/>
  <c r="AA2716" i="208"/>
  <c r="F2692" i="208"/>
  <c r="T2692" i="208" s="1"/>
  <c r="AB2692" i="208"/>
  <c r="AA2692" i="208"/>
  <c r="F2662" i="208"/>
  <c r="T2662" i="208" s="1"/>
  <c r="AB2662" i="208"/>
  <c r="AA2662" i="208"/>
  <c r="F2641" i="208"/>
  <c r="T2641" i="208" s="1"/>
  <c r="AB2641" i="208"/>
  <c r="AA2641" i="208"/>
  <c r="F2629" i="208"/>
  <c r="T2629" i="208" s="1"/>
  <c r="AB2629" i="208"/>
  <c r="AA2629" i="208"/>
  <c r="F2593" i="208"/>
  <c r="T2593" i="208" s="1"/>
  <c r="AB2593" i="208"/>
  <c r="AA2593" i="208"/>
  <c r="F2584" i="208"/>
  <c r="T2584" i="208" s="1"/>
  <c r="AB2584" i="208"/>
  <c r="AA2584" i="208"/>
  <c r="F2560" i="208"/>
  <c r="T2560" i="208" s="1"/>
  <c r="AB2560" i="208"/>
  <c r="AA2560" i="208"/>
  <c r="F2551" i="208"/>
  <c r="T2551" i="208" s="1"/>
  <c r="AB2551" i="208"/>
  <c r="AA2551" i="208"/>
  <c r="F2542" i="208"/>
  <c r="T2542" i="208" s="1"/>
  <c r="AB2542" i="208"/>
  <c r="AA2542" i="208"/>
  <c r="F2500" i="208"/>
  <c r="T2500" i="208" s="1"/>
  <c r="AB2500" i="208"/>
  <c r="AA2500" i="208"/>
  <c r="AB2491" i="208"/>
  <c r="F2482" i="208"/>
  <c r="T2482" i="208" s="1"/>
  <c r="AB2482" i="208"/>
  <c r="AA2482" i="208"/>
  <c r="F2452" i="208"/>
  <c r="T2452" i="208" s="1"/>
  <c r="AB2452" i="208"/>
  <c r="AA2452" i="208"/>
  <c r="F2443" i="208"/>
  <c r="T2443" i="208" s="1"/>
  <c r="AB2443" i="208"/>
  <c r="AA2443" i="208"/>
  <c r="F2419" i="208"/>
  <c r="T2419" i="208" s="1"/>
  <c r="AB2419" i="208"/>
  <c r="AA2419" i="208"/>
  <c r="F2407" i="208"/>
  <c r="T2407" i="208" s="1"/>
  <c r="AB2407" i="208"/>
  <c r="AA2407" i="208"/>
  <c r="F2392" i="208"/>
  <c r="T2392" i="208" s="1"/>
  <c r="AB2392" i="208"/>
  <c r="AA2392" i="208"/>
  <c r="F2383" i="208"/>
  <c r="T2383" i="208" s="1"/>
  <c r="AB2383" i="208"/>
  <c r="AA2383" i="208"/>
  <c r="F2356" i="208"/>
  <c r="T2356" i="208" s="1"/>
  <c r="AB2356" i="208"/>
  <c r="AA2356" i="208"/>
  <c r="F2338" i="208"/>
  <c r="T2338" i="208" s="1"/>
  <c r="AB2338" i="208"/>
  <c r="AA2338" i="208"/>
  <c r="F2314" i="208"/>
  <c r="T2314" i="208" s="1"/>
  <c r="AB2314" i="208"/>
  <c r="AA2314" i="208"/>
  <c r="F2299" i="208"/>
  <c r="T2299" i="208" s="1"/>
  <c r="AB2299" i="208"/>
  <c r="AA2299" i="208"/>
  <c r="F2275" i="208"/>
  <c r="T2275" i="208" s="1"/>
  <c r="AB2275" i="208"/>
  <c r="AA2275" i="208"/>
  <c r="F2260" i="208"/>
  <c r="T2260" i="208" s="1"/>
  <c r="AB2260" i="208"/>
  <c r="AA2260" i="208"/>
  <c r="F2251" i="208"/>
  <c r="T2251" i="208" s="1"/>
  <c r="AB2251" i="208"/>
  <c r="AA2251" i="208"/>
  <c r="F2239" i="208"/>
  <c r="T2239" i="208" s="1"/>
  <c r="AB2239" i="208"/>
  <c r="AA2239" i="208"/>
  <c r="F2215" i="208"/>
  <c r="T2215" i="208" s="1"/>
  <c r="AB2215" i="208"/>
  <c r="AA2215" i="208"/>
  <c r="F2206" i="208"/>
  <c r="T2206" i="208" s="1"/>
  <c r="AB2206" i="208"/>
  <c r="AA2206" i="208"/>
  <c r="F2194" i="208"/>
  <c r="T2194" i="208" s="1"/>
  <c r="AB2194" i="208"/>
  <c r="AA2194" i="208"/>
  <c r="F2164" i="208"/>
  <c r="T2164" i="208" s="1"/>
  <c r="AB2164" i="208"/>
  <c r="AA2164" i="208"/>
  <c r="F2152" i="208"/>
  <c r="T2152" i="208" s="1"/>
  <c r="AB2152" i="208"/>
  <c r="AA2152" i="208"/>
  <c r="F2131" i="208"/>
  <c r="T2131" i="208" s="1"/>
  <c r="AB2131" i="208"/>
  <c r="AA2131" i="208"/>
  <c r="F2113" i="208"/>
  <c r="T2113" i="208" s="1"/>
  <c r="AB2113" i="208"/>
  <c r="AA2113" i="208"/>
  <c r="AB2101" i="208"/>
  <c r="F2089" i="208"/>
  <c r="T2089" i="208" s="1"/>
  <c r="AA2089" i="208"/>
  <c r="AB2089" i="208"/>
  <c r="F2065" i="208"/>
  <c r="T2065" i="208" s="1"/>
  <c r="AB2065" i="208"/>
  <c r="AA2065" i="208"/>
  <c r="F2044" i="208"/>
  <c r="T2044" i="208" s="1"/>
  <c r="AB2044" i="208"/>
  <c r="AA2044" i="208"/>
  <c r="F2023" i="208"/>
  <c r="T2023" i="208" s="1"/>
  <c r="AB2023" i="208"/>
  <c r="AA2023" i="208"/>
  <c r="F2014" i="208"/>
  <c r="T2014" i="208" s="1"/>
  <c r="AB2014" i="208"/>
  <c r="AA2014" i="208"/>
  <c r="F1999" i="208"/>
  <c r="T1999" i="208" s="1"/>
  <c r="F1990" i="208"/>
  <c r="T1990" i="208" s="1"/>
  <c r="AB1990" i="208"/>
  <c r="AA1990" i="208"/>
  <c r="F1975" i="208"/>
  <c r="T1975" i="208" s="1"/>
  <c r="AB1975" i="208"/>
  <c r="AA1975" i="208"/>
  <c r="F1966" i="208"/>
  <c r="T1966" i="208" s="1"/>
  <c r="AB1966" i="208"/>
  <c r="AA1966" i="208"/>
  <c r="F1945" i="208"/>
  <c r="T1945" i="208" s="1"/>
  <c r="AB1945" i="208"/>
  <c r="AA1945" i="208"/>
  <c r="F1918" i="208"/>
  <c r="T1918" i="208" s="1"/>
  <c r="AB1918" i="208"/>
  <c r="AA1918" i="208"/>
  <c r="F1909" i="208"/>
  <c r="T1909" i="208" s="1"/>
  <c r="AB1909" i="208"/>
  <c r="AA1909" i="208"/>
  <c r="F1903" i="208"/>
  <c r="T1903" i="208" s="1"/>
  <c r="AB1903" i="208"/>
  <c r="AA1903" i="208"/>
  <c r="F1882" i="208"/>
  <c r="T1882" i="208" s="1"/>
  <c r="AB1882" i="208"/>
  <c r="AA1882" i="208"/>
  <c r="F1876" i="208"/>
  <c r="T1876" i="208" s="1"/>
  <c r="AB1876" i="208"/>
  <c r="AA1876" i="208"/>
  <c r="F1867" i="208"/>
  <c r="T1867" i="208" s="1"/>
  <c r="AB1867" i="208"/>
  <c r="AA1867" i="208"/>
  <c r="F1846" i="208"/>
  <c r="T1846" i="208" s="1"/>
  <c r="AB1846" i="208"/>
  <c r="AA1846" i="208"/>
  <c r="F1822" i="208"/>
  <c r="T1822" i="208" s="1"/>
  <c r="AB1822" i="208"/>
  <c r="AA1822" i="208"/>
  <c r="F1807" i="208"/>
  <c r="T1807" i="208" s="1"/>
  <c r="AB1807" i="208"/>
  <c r="AA1807" i="208"/>
  <c r="F1798" i="208"/>
  <c r="T1798" i="208" s="1"/>
  <c r="AB1798" i="208"/>
  <c r="AA1798" i="208"/>
  <c r="F1762" i="208"/>
  <c r="T1762" i="208" s="1"/>
  <c r="AB1762" i="208"/>
  <c r="AA1762" i="208"/>
  <c r="F1537" i="208"/>
  <c r="T1537" i="208" s="1"/>
  <c r="AB1537" i="208"/>
  <c r="AA1537" i="208"/>
  <c r="F2980" i="208"/>
  <c r="T2980" i="208" s="1"/>
  <c r="AB2980" i="208"/>
  <c r="AA2980" i="208"/>
  <c r="F2971" i="208"/>
  <c r="T2971" i="208" s="1"/>
  <c r="AB2971" i="208"/>
  <c r="AA2971" i="208"/>
  <c r="F2932" i="208"/>
  <c r="T2932" i="208" s="1"/>
  <c r="AB2932" i="208"/>
  <c r="AA2932" i="208"/>
  <c r="F2923" i="208"/>
  <c r="T2923" i="208" s="1"/>
  <c r="F2908" i="208"/>
  <c r="T2908" i="208" s="1"/>
  <c r="AB2908" i="208"/>
  <c r="AA2908" i="208"/>
  <c r="F2857" i="208"/>
  <c r="T2857" i="208" s="1"/>
  <c r="AB2857" i="208"/>
  <c r="AA2857" i="208"/>
  <c r="F2848" i="208"/>
  <c r="T2848" i="208" s="1"/>
  <c r="AB2848" i="208"/>
  <c r="AA2848" i="208"/>
  <c r="F2830" i="208"/>
  <c r="T2830" i="208" s="1"/>
  <c r="AB2830" i="208"/>
  <c r="AA2830" i="208"/>
  <c r="F2824" i="208"/>
  <c r="T2824" i="208" s="1"/>
  <c r="AB2824" i="208"/>
  <c r="AA2824" i="208"/>
  <c r="F2812" i="208"/>
  <c r="T2812" i="208" s="1"/>
  <c r="AB2812" i="208"/>
  <c r="AA2812" i="208"/>
  <c r="F2785" i="208"/>
  <c r="T2785" i="208" s="1"/>
  <c r="AB2785" i="208"/>
  <c r="AA2785" i="208"/>
  <c r="F2770" i="208"/>
  <c r="T2770" i="208" s="1"/>
  <c r="AB2770" i="208"/>
  <c r="AA2770" i="208"/>
  <c r="F2746" i="208"/>
  <c r="T2746" i="208" s="1"/>
  <c r="AB2746" i="208"/>
  <c r="AA2746" i="208"/>
  <c r="F2737" i="208"/>
  <c r="T2737" i="208" s="1"/>
  <c r="AB2737" i="208"/>
  <c r="AA2737" i="208"/>
  <c r="F2722" i="208"/>
  <c r="T2722" i="208" s="1"/>
  <c r="AB2722" i="208"/>
  <c r="AA2722" i="208"/>
  <c r="F2713" i="208"/>
  <c r="T2713" i="208" s="1"/>
  <c r="AB2713" i="208"/>
  <c r="AA2713" i="208"/>
  <c r="F2704" i="208"/>
  <c r="T2704" i="208" s="1"/>
  <c r="AB2704" i="208"/>
  <c r="AA2704" i="208"/>
  <c r="F2689" i="208"/>
  <c r="T2689" i="208" s="1"/>
  <c r="AB2689" i="208"/>
  <c r="AA2689" i="208"/>
  <c r="F2683" i="208"/>
  <c r="T2683" i="208" s="1"/>
  <c r="AB2683" i="208"/>
  <c r="AA2683" i="208"/>
  <c r="F2671" i="208"/>
  <c r="T2671" i="208" s="1"/>
  <c r="AB2671" i="208"/>
  <c r="AA2671" i="208"/>
  <c r="F2647" i="208"/>
  <c r="T2647" i="208" s="1"/>
  <c r="AB2647" i="208"/>
  <c r="AA2647" i="208"/>
  <c r="F2620" i="208"/>
  <c r="T2620" i="208" s="1"/>
  <c r="AB2620" i="208"/>
  <c r="AA2620" i="208"/>
  <c r="F2605" i="208"/>
  <c r="T2605" i="208" s="1"/>
  <c r="AB2605" i="208"/>
  <c r="AA2605" i="208"/>
  <c r="F2599" i="208"/>
  <c r="T2599" i="208" s="1"/>
  <c r="AB2599" i="208"/>
  <c r="AA2599" i="208"/>
  <c r="F2590" i="208"/>
  <c r="T2590" i="208" s="1"/>
  <c r="AB2590" i="208"/>
  <c r="AA2590" i="208"/>
  <c r="F2569" i="208"/>
  <c r="T2569" i="208" s="1"/>
  <c r="AB2569" i="208"/>
  <c r="AA2569" i="208"/>
  <c r="F2563" i="208"/>
  <c r="T2563" i="208" s="1"/>
  <c r="AB2563" i="208"/>
  <c r="AA2563" i="208"/>
  <c r="F2548" i="208"/>
  <c r="T2548" i="208" s="1"/>
  <c r="AB2548" i="208"/>
  <c r="AA2548" i="208"/>
  <c r="F2536" i="208"/>
  <c r="T2536" i="208" s="1"/>
  <c r="AB2536" i="208"/>
  <c r="AA2536" i="208"/>
  <c r="F2524" i="208"/>
  <c r="T2524" i="208" s="1"/>
  <c r="AB2524" i="208"/>
  <c r="AA2524" i="208"/>
  <c r="F2518" i="208"/>
  <c r="T2518" i="208" s="1"/>
  <c r="AB2518" i="208"/>
  <c r="AA2518" i="208"/>
  <c r="F2494" i="208"/>
  <c r="T2494" i="208" s="1"/>
  <c r="AB2494" i="208"/>
  <c r="AA2494" i="208"/>
  <c r="F2479" i="208"/>
  <c r="T2479" i="208" s="1"/>
  <c r="AB2479" i="208"/>
  <c r="AA2479" i="208"/>
  <c r="F2458" i="208"/>
  <c r="T2458" i="208" s="1"/>
  <c r="AB2458" i="208"/>
  <c r="AA2458" i="208"/>
  <c r="F2446" i="208"/>
  <c r="T2446" i="208" s="1"/>
  <c r="AB2446" i="208"/>
  <c r="AA2446" i="208"/>
  <c r="F2440" i="208"/>
  <c r="T2440" i="208" s="1"/>
  <c r="AB2440" i="208"/>
  <c r="AA2440" i="208"/>
  <c r="F2401" i="208"/>
  <c r="T2401" i="208" s="1"/>
  <c r="AB2401" i="208"/>
  <c r="AA2401" i="208"/>
  <c r="F2377" i="208"/>
  <c r="T2377" i="208" s="1"/>
  <c r="AB2377" i="208"/>
  <c r="AA2377" i="208"/>
  <c r="F2353" i="208"/>
  <c r="T2353" i="208" s="1"/>
  <c r="AB2353" i="208"/>
  <c r="AA2353" i="208"/>
  <c r="F2335" i="208"/>
  <c r="T2335" i="208" s="1"/>
  <c r="AB2335" i="208"/>
  <c r="AA2335" i="208"/>
  <c r="F2317" i="208"/>
  <c r="T2317" i="208" s="1"/>
  <c r="AB2317" i="208"/>
  <c r="AA2317" i="208"/>
  <c r="F2308" i="208"/>
  <c r="T2308" i="208" s="1"/>
  <c r="AB2308" i="208"/>
  <c r="AA2308" i="208"/>
  <c r="F2296" i="208"/>
  <c r="T2296" i="208" s="1"/>
  <c r="AB2296" i="208"/>
  <c r="AA2296" i="208"/>
  <c r="F2272" i="208"/>
  <c r="T2272" i="208" s="1"/>
  <c r="AB2272" i="208"/>
  <c r="AA2272" i="208"/>
  <c r="F2254" i="208"/>
  <c r="T2254" i="208" s="1"/>
  <c r="AB2254" i="208"/>
  <c r="AA2254" i="208"/>
  <c r="F2245" i="208"/>
  <c r="T2245" i="208" s="1"/>
  <c r="F2236" i="208"/>
  <c r="T2236" i="208" s="1"/>
  <c r="AB2236" i="208"/>
  <c r="AA2236" i="208"/>
  <c r="F2209" i="208"/>
  <c r="T2209" i="208" s="1"/>
  <c r="AB2209" i="208"/>
  <c r="AA2209" i="208"/>
  <c r="F2197" i="208"/>
  <c r="T2197" i="208" s="1"/>
  <c r="AB2197" i="208"/>
  <c r="AA2197" i="208"/>
  <c r="F2188" i="208"/>
  <c r="T2188" i="208" s="1"/>
  <c r="AB2188" i="208"/>
  <c r="AA2188" i="208"/>
  <c r="F2173" i="208"/>
  <c r="T2173" i="208" s="1"/>
  <c r="AB2173" i="208"/>
  <c r="AA2173" i="208"/>
  <c r="F2161" i="208"/>
  <c r="T2161" i="208" s="1"/>
  <c r="AB2161" i="208"/>
  <c r="AA2161" i="208"/>
  <c r="F2149" i="208"/>
  <c r="T2149" i="208" s="1"/>
  <c r="AB2149" i="208"/>
  <c r="AA2149" i="208"/>
  <c r="F2128" i="208"/>
  <c r="T2128" i="208" s="1"/>
  <c r="AB2128" i="208"/>
  <c r="AA2128" i="208"/>
  <c r="F2119" i="208"/>
  <c r="T2119" i="208" s="1"/>
  <c r="AB2119" i="208"/>
  <c r="AA2119" i="208"/>
  <c r="F2110" i="208"/>
  <c r="T2110" i="208" s="1"/>
  <c r="AB2110" i="208"/>
  <c r="AA2110" i="208"/>
  <c r="F2086" i="208"/>
  <c r="T2086" i="208" s="1"/>
  <c r="AB2086" i="208"/>
  <c r="AA2086" i="208"/>
  <c r="F2062" i="208"/>
  <c r="T2062" i="208" s="1"/>
  <c r="AB2062" i="208"/>
  <c r="AA2062" i="208"/>
  <c r="F2050" i="208"/>
  <c r="T2050" i="208" s="1"/>
  <c r="AB2050" i="208"/>
  <c r="AA2050" i="208"/>
  <c r="F2026" i="208"/>
  <c r="T2026" i="208" s="1"/>
  <c r="AB2026" i="208"/>
  <c r="AA2026" i="208"/>
  <c r="F2011" i="208"/>
  <c r="T2011" i="208" s="1"/>
  <c r="AB2011" i="208"/>
  <c r="AA2011" i="208"/>
  <c r="F2002" i="208"/>
  <c r="T2002" i="208" s="1"/>
  <c r="AB2002" i="208"/>
  <c r="AA2002" i="208"/>
  <c r="F1987" i="208"/>
  <c r="T1987" i="208" s="1"/>
  <c r="AB1987" i="208"/>
  <c r="AA1987" i="208"/>
  <c r="F1969" i="208"/>
  <c r="T1969" i="208" s="1"/>
  <c r="AB1969" i="208"/>
  <c r="AA1969" i="208"/>
  <c r="F1960" i="208"/>
  <c r="T1960" i="208" s="1"/>
  <c r="AB1960" i="208"/>
  <c r="AA1960" i="208"/>
  <c r="F1948" i="208"/>
  <c r="T1948" i="208" s="1"/>
  <c r="AB1948" i="208"/>
  <c r="AA1948" i="208"/>
  <c r="F1924" i="208"/>
  <c r="T1924" i="208" s="1"/>
  <c r="AB1924" i="208"/>
  <c r="AA1924" i="208"/>
  <c r="F1885" i="208"/>
  <c r="T1885" i="208" s="1"/>
  <c r="AB1885" i="208"/>
  <c r="AA1885" i="208"/>
  <c r="F1873" i="208"/>
  <c r="T1873" i="208" s="1"/>
  <c r="AB1873" i="208"/>
  <c r="AA1873" i="208"/>
  <c r="F1861" i="208"/>
  <c r="T1861" i="208" s="1"/>
  <c r="AB1861" i="208"/>
  <c r="AA1861" i="208"/>
  <c r="F1843" i="208"/>
  <c r="T1843" i="208" s="1"/>
  <c r="AB1843" i="208"/>
  <c r="AA1843" i="208"/>
  <c r="F1831" i="208"/>
  <c r="T1831" i="208" s="1"/>
  <c r="AB1831" i="208"/>
  <c r="AA1831" i="208"/>
  <c r="F1819" i="208"/>
  <c r="T1819" i="208" s="1"/>
  <c r="AB1819" i="208"/>
  <c r="AA1819" i="208"/>
  <c r="F1804" i="208"/>
  <c r="T1804" i="208" s="1"/>
  <c r="AB1804" i="208"/>
  <c r="AA1804" i="208"/>
  <c r="F1780" i="208"/>
  <c r="T1780" i="208" s="1"/>
  <c r="AB1780" i="208"/>
  <c r="AA1780" i="208"/>
  <c r="F1774" i="208"/>
  <c r="T1774" i="208" s="1"/>
  <c r="AB1774" i="208"/>
  <c r="AA1774" i="208"/>
  <c r="F1756" i="208"/>
  <c r="T1756" i="208" s="1"/>
  <c r="AB1756" i="208"/>
  <c r="AA1756" i="208"/>
  <c r="F1738" i="208"/>
  <c r="T1738" i="208" s="1"/>
  <c r="AB1738" i="208"/>
  <c r="AA1738" i="208"/>
  <c r="F1726" i="208"/>
  <c r="T1726" i="208" s="1"/>
  <c r="AB1726" i="208"/>
  <c r="AA1726" i="208"/>
  <c r="F1717" i="208"/>
  <c r="T1717" i="208" s="1"/>
  <c r="AB1717" i="208"/>
  <c r="AA1717" i="208"/>
  <c r="F1705" i="208"/>
  <c r="T1705" i="208" s="1"/>
  <c r="AB1705" i="208"/>
  <c r="AA1705" i="208"/>
  <c r="F1699" i="208"/>
  <c r="T1699" i="208" s="1"/>
  <c r="AB1699" i="208"/>
  <c r="AA1699" i="208"/>
  <c r="F1687" i="208"/>
  <c r="T1687" i="208" s="1"/>
  <c r="AB1687" i="208"/>
  <c r="AA1687" i="208"/>
  <c r="F1681" i="208"/>
  <c r="T1681" i="208" s="1"/>
  <c r="AB1681" i="208"/>
  <c r="AA1681" i="208"/>
  <c r="F1165" i="208"/>
  <c r="T1165" i="208" s="1"/>
  <c r="AB1165" i="208"/>
  <c r="AA1165" i="208"/>
  <c r="AA1538" i="208"/>
  <c r="AB1535" i="208"/>
  <c r="AA1535" i="208"/>
  <c r="AB1532" i="208"/>
  <c r="AA1532" i="208"/>
  <c r="AB1529" i="208"/>
  <c r="AA1529" i="208"/>
  <c r="AB1526" i="208"/>
  <c r="AA1526" i="208"/>
  <c r="AB1514" i="208"/>
  <c r="AA1514" i="208"/>
  <c r="AB1511" i="208"/>
  <c r="AA1511" i="208"/>
  <c r="AB1508" i="208"/>
  <c r="AA1508" i="208"/>
  <c r="AB1505" i="208"/>
  <c r="AA1505" i="208"/>
  <c r="AB1502" i="208"/>
  <c r="AA1502" i="208"/>
  <c r="AB1493" i="208"/>
  <c r="AA1493" i="208"/>
  <c r="AB1490" i="208"/>
  <c r="AA1490" i="208"/>
  <c r="AB1487" i="208"/>
  <c r="AA1487" i="208"/>
  <c r="AB1484" i="208"/>
  <c r="AA1484" i="208"/>
  <c r="AB1481" i="208"/>
  <c r="AA1481" i="208"/>
  <c r="AB1475" i="208"/>
  <c r="AA1475" i="208"/>
  <c r="AB1472" i="208"/>
  <c r="AA1472" i="208"/>
  <c r="AB1469" i="208"/>
  <c r="AA1469" i="208"/>
  <c r="AB1466" i="208"/>
  <c r="AA1466" i="208"/>
  <c r="AB1451" i="208"/>
  <c r="AA1451" i="208"/>
  <c r="AB1448" i="208"/>
  <c r="AA1448" i="208"/>
  <c r="AB1445" i="208"/>
  <c r="AA1445" i="208"/>
  <c r="AB1442" i="208"/>
  <c r="AA1442" i="208"/>
  <c r="AB1439" i="208"/>
  <c r="AA1439" i="208"/>
  <c r="AB1436" i="208"/>
  <c r="AA1436" i="208"/>
  <c r="AB1427" i="208"/>
  <c r="AA1427" i="208"/>
  <c r="AB1424" i="208"/>
  <c r="AA1424" i="208"/>
  <c r="AB1421" i="208"/>
  <c r="AA1421" i="208"/>
  <c r="AB1418" i="208"/>
  <c r="AA1418" i="208"/>
  <c r="AB1415" i="208"/>
  <c r="AA1415" i="208"/>
  <c r="AB1412" i="208"/>
  <c r="AA1412" i="208"/>
  <c r="AB1406" i="208"/>
  <c r="AA1406" i="208"/>
  <c r="AB1397" i="208"/>
  <c r="AA1397" i="208"/>
  <c r="AB1391" i="208"/>
  <c r="AA1391" i="208"/>
  <c r="AB1388" i="208"/>
  <c r="AA1388" i="208"/>
  <c r="AB1385" i="208"/>
  <c r="AA1385" i="208"/>
  <c r="AB1382" i="208"/>
  <c r="AA1382" i="208"/>
  <c r="AB1370" i="208"/>
  <c r="AA1370" i="208"/>
  <c r="AB1367" i="208"/>
  <c r="AA1367" i="208"/>
  <c r="AB1364" i="208"/>
  <c r="AA1364" i="208"/>
  <c r="AB1361" i="208"/>
  <c r="AA1361" i="208"/>
  <c r="AB1358" i="208"/>
  <c r="AA1358" i="208"/>
  <c r="AA1349" i="208"/>
  <c r="AB1349" i="208"/>
  <c r="AB1346" i="208"/>
  <c r="AA1346" i="208"/>
  <c r="AB1343" i="208"/>
  <c r="AA1343" i="208"/>
  <c r="AB1340" i="208"/>
  <c r="AA1340" i="208"/>
  <c r="AB1337" i="208"/>
  <c r="AA1337" i="208"/>
  <c r="AB1331" i="208"/>
  <c r="AA1331" i="208"/>
  <c r="AB1328" i="208"/>
  <c r="AA1328" i="208"/>
  <c r="AB1325" i="208"/>
  <c r="AA1325" i="208"/>
  <c r="AB1322" i="208"/>
  <c r="AA1322" i="208"/>
  <c r="AB1307" i="208"/>
  <c r="AA1307" i="208"/>
  <c r="AB1304" i="208"/>
  <c r="AA1304" i="208"/>
  <c r="AB1301" i="208"/>
  <c r="AA1301" i="208"/>
  <c r="AB1298" i="208"/>
  <c r="AA1298" i="208"/>
  <c r="AB1295" i="208"/>
  <c r="AA1295" i="208"/>
  <c r="AB1292" i="208"/>
  <c r="AA1292" i="208"/>
  <c r="AB1283" i="208"/>
  <c r="AA1283" i="208"/>
  <c r="AB1280" i="208"/>
  <c r="AA1280" i="208"/>
  <c r="AB1277" i="208"/>
  <c r="AA1277" i="208"/>
  <c r="AB1274" i="208"/>
  <c r="AA1274" i="208"/>
  <c r="AB1271" i="208"/>
  <c r="AA1271" i="208"/>
  <c r="AB1268" i="208"/>
  <c r="AA1268" i="208"/>
  <c r="AB1262" i="208"/>
  <c r="AA1262" i="208"/>
  <c r="AB1253" i="208"/>
  <c r="AA1253" i="208"/>
  <c r="AB1247" i="208"/>
  <c r="AA1247" i="208"/>
  <c r="AB1244" i="208"/>
  <c r="AA1244" i="208"/>
  <c r="AB1241" i="208"/>
  <c r="AA1241" i="208"/>
  <c r="AB1238" i="208"/>
  <c r="AA1238" i="208"/>
  <c r="AB1226" i="208"/>
  <c r="AA1226" i="208"/>
  <c r="AB1223" i="208"/>
  <c r="AA1223" i="208"/>
  <c r="AB1217" i="208"/>
  <c r="AA1217" i="208"/>
  <c r="AB1214" i="208"/>
  <c r="AA1214" i="208"/>
  <c r="AB1205" i="208"/>
  <c r="AA1205" i="208"/>
  <c r="AB1202" i="208"/>
  <c r="AA1202" i="208"/>
  <c r="AB1199" i="208"/>
  <c r="AA1199" i="208"/>
  <c r="AB1196" i="208"/>
  <c r="AA1196" i="208"/>
  <c r="AB1193" i="208"/>
  <c r="AA1193" i="208"/>
  <c r="AB1187" i="208"/>
  <c r="AA1187" i="208"/>
  <c r="AB1184" i="208"/>
  <c r="AA1184" i="208"/>
  <c r="AB1181" i="208"/>
  <c r="AA1181" i="208"/>
  <c r="AB1178" i="208"/>
  <c r="AA1178" i="208"/>
  <c r="AA1172" i="208"/>
  <c r="AB1163" i="208"/>
  <c r="AA1163" i="208"/>
  <c r="AB1160" i="208"/>
  <c r="AA1160" i="208"/>
  <c r="AB1157" i="208"/>
  <c r="AA1157" i="208"/>
  <c r="AB1154" i="208"/>
  <c r="AA1154" i="208"/>
  <c r="AB1151" i="208"/>
  <c r="AA1151" i="208"/>
  <c r="AB1148" i="208"/>
  <c r="AA1148" i="208"/>
  <c r="AB1139" i="208"/>
  <c r="AA1139" i="208"/>
  <c r="AB1136" i="208"/>
  <c r="AA1136" i="208"/>
  <c r="AB1133" i="208"/>
  <c r="AA1133" i="208"/>
  <c r="AB1130" i="208"/>
  <c r="AA1130" i="208"/>
  <c r="AB1127" i="208"/>
  <c r="AA1127" i="208"/>
  <c r="AB1124" i="208"/>
  <c r="AA1124" i="208"/>
  <c r="AB1118" i="208"/>
  <c r="AA1118" i="208"/>
  <c r="AB1109" i="208"/>
  <c r="AA1109" i="208"/>
  <c r="AB1103" i="208"/>
  <c r="AA1103" i="208"/>
  <c r="AB1100" i="208"/>
  <c r="AA1100" i="208"/>
  <c r="AB1097" i="208"/>
  <c r="AA1097" i="208"/>
  <c r="AB1094" i="208"/>
  <c r="AA1094" i="208"/>
  <c r="AA1085" i="208"/>
  <c r="AB1082" i="208"/>
  <c r="AA1082" i="208"/>
  <c r="AB1079" i="208"/>
  <c r="AA1079" i="208"/>
  <c r="AB1076" i="208"/>
  <c r="AA1076" i="208"/>
  <c r="AB1073" i="208"/>
  <c r="AA1073" i="208"/>
  <c r="AB1070" i="208"/>
  <c r="AA1070" i="208"/>
  <c r="AB1061" i="208"/>
  <c r="AA1061" i="208"/>
  <c r="AB1058" i="208"/>
  <c r="AA1058" i="208"/>
  <c r="AB1055" i="208"/>
  <c r="AA1055" i="208"/>
  <c r="AB1052" i="208"/>
  <c r="AA1052" i="208"/>
  <c r="AB1049" i="208"/>
  <c r="AA1049" i="208"/>
  <c r="AB1043" i="208"/>
  <c r="AA1043" i="208"/>
  <c r="AB1040" i="208"/>
  <c r="AA1040" i="208"/>
  <c r="AB1037" i="208"/>
  <c r="AA1037" i="208"/>
  <c r="AB1034" i="208"/>
  <c r="AA1034" i="208"/>
  <c r="AB1019" i="208"/>
  <c r="AA1019" i="208"/>
  <c r="AB1016" i="208"/>
  <c r="AA1016" i="208"/>
  <c r="AB1013" i="208"/>
  <c r="AA1013" i="208"/>
  <c r="AB1010" i="208"/>
  <c r="AA1010" i="208"/>
  <c r="AB1007" i="208"/>
  <c r="AA1007" i="208"/>
  <c r="AB1004" i="208"/>
  <c r="AA1004" i="208"/>
  <c r="AB995" i="208"/>
  <c r="AA995" i="208"/>
  <c r="AB992" i="208"/>
  <c r="AA992" i="208"/>
  <c r="AB989" i="208"/>
  <c r="AA989" i="208"/>
  <c r="AB986" i="208"/>
  <c r="AB983" i="208"/>
  <c r="AA983" i="208"/>
  <c r="AB980" i="208"/>
  <c r="AA980" i="208"/>
  <c r="AB974" i="208"/>
  <c r="AA974" i="208"/>
  <c r="AB959" i="208"/>
  <c r="AA959" i="208"/>
  <c r="AB956" i="208"/>
  <c r="AA956" i="208"/>
  <c r="AB953" i="208"/>
  <c r="AA953" i="208"/>
  <c r="AB950" i="208"/>
  <c r="AA950" i="208"/>
  <c r="AB938" i="208"/>
  <c r="AA938" i="208"/>
  <c r="AB935" i="208"/>
  <c r="AA935" i="208"/>
  <c r="AB932" i="208"/>
  <c r="AA932" i="208"/>
  <c r="AB929" i="208"/>
  <c r="AA929" i="208"/>
  <c r="AB926" i="208"/>
  <c r="AA926" i="208"/>
  <c r="AB917" i="208"/>
  <c r="AA917" i="208"/>
  <c r="AB914" i="208"/>
  <c r="AA914" i="208"/>
  <c r="AB905" i="208"/>
  <c r="AA905" i="208"/>
  <c r="AB899" i="208"/>
  <c r="AA899" i="208"/>
  <c r="AB896" i="208"/>
  <c r="AA896" i="208"/>
  <c r="AB893" i="208"/>
  <c r="AA893" i="208"/>
  <c r="AB890" i="208"/>
  <c r="AA890" i="208"/>
  <c r="AB875" i="208"/>
  <c r="AA875" i="208"/>
  <c r="AB872" i="208"/>
  <c r="AA872" i="208"/>
  <c r="AB869" i="208"/>
  <c r="AA869" i="208"/>
  <c r="AB866" i="208"/>
  <c r="AA866" i="208"/>
  <c r="AB863" i="208"/>
  <c r="AA863" i="208"/>
  <c r="AB860" i="208"/>
  <c r="AA860" i="208"/>
  <c r="AB851" i="208"/>
  <c r="AA851" i="208"/>
  <c r="AB848" i="208"/>
  <c r="AA848" i="208"/>
  <c r="AB845" i="208"/>
  <c r="AA845" i="208"/>
  <c r="AB839" i="208"/>
  <c r="AA839" i="208"/>
  <c r="AB836" i="208"/>
  <c r="AA836" i="208"/>
  <c r="AB830" i="208"/>
  <c r="AA830" i="208"/>
  <c r="AB815" i="208"/>
  <c r="AA815" i="208"/>
  <c r="AB812" i="208"/>
  <c r="AA812" i="208"/>
  <c r="AB809" i="208"/>
  <c r="AA809" i="208"/>
  <c r="AB806" i="208"/>
  <c r="AA806" i="208"/>
  <c r="AB794" i="208"/>
  <c r="AA794" i="208"/>
  <c r="AB791" i="208"/>
  <c r="AA791" i="208"/>
  <c r="AB788" i="208"/>
  <c r="AA788" i="208"/>
  <c r="AB785" i="208"/>
  <c r="AA785" i="208"/>
  <c r="AB782" i="208"/>
  <c r="AA782" i="208"/>
  <c r="AB773" i="208"/>
  <c r="AA773" i="208"/>
  <c r="AB770" i="208"/>
  <c r="AA770" i="208"/>
  <c r="AB767" i="208"/>
  <c r="AB761" i="208"/>
  <c r="AA761" i="208"/>
  <c r="AB755" i="208"/>
  <c r="AA755" i="208"/>
  <c r="AB752" i="208"/>
  <c r="AA752" i="208"/>
  <c r="V749" i="208"/>
  <c r="AB749" i="208"/>
  <c r="AA749" i="208"/>
  <c r="AB746" i="208"/>
  <c r="AA746" i="208"/>
  <c r="AB731" i="208"/>
  <c r="AA731" i="208"/>
  <c r="AB728" i="208"/>
  <c r="AA728" i="208"/>
  <c r="AB725" i="208"/>
  <c r="AA725" i="208"/>
  <c r="AB722" i="208"/>
  <c r="AA722" i="208"/>
  <c r="V719" i="208"/>
  <c r="AB719" i="208"/>
  <c r="AA719" i="208"/>
  <c r="AB716" i="208"/>
  <c r="AA716" i="208"/>
  <c r="AB707" i="208"/>
  <c r="AA707" i="208"/>
  <c r="V704" i="208"/>
  <c r="AB704" i="208"/>
  <c r="AA704" i="208"/>
  <c r="AB701" i="208"/>
  <c r="AA701" i="208"/>
  <c r="AB695" i="208"/>
  <c r="AA695" i="208"/>
  <c r="AB692" i="208"/>
  <c r="AA692" i="208"/>
  <c r="V686" i="208"/>
  <c r="AB686" i="208"/>
  <c r="AA686" i="208"/>
  <c r="AB671" i="208"/>
  <c r="AB665" i="208"/>
  <c r="AA665" i="208"/>
  <c r="AB662" i="208"/>
  <c r="AA662" i="208"/>
  <c r="AB650" i="208"/>
  <c r="AA650" i="208"/>
  <c r="AB647" i="208"/>
  <c r="AA647" i="208"/>
  <c r="AB644" i="208"/>
  <c r="AA644" i="208"/>
  <c r="AB641" i="208"/>
  <c r="AA641" i="208"/>
  <c r="AB638" i="208"/>
  <c r="AA638" i="208"/>
  <c r="AB629" i="208"/>
  <c r="AA629" i="208"/>
  <c r="AB626" i="208"/>
  <c r="AA626" i="208"/>
  <c r="AB623" i="208"/>
  <c r="AB617" i="208"/>
  <c r="AA617" i="208"/>
  <c r="AB611" i="208"/>
  <c r="AA611" i="208"/>
  <c r="AB608" i="208"/>
  <c r="AA608" i="208"/>
  <c r="AB605" i="208"/>
  <c r="AA605" i="208"/>
  <c r="AB587" i="208"/>
  <c r="AA587" i="208"/>
  <c r="AB584" i="208"/>
  <c r="AA584" i="208"/>
  <c r="AB578" i="208"/>
  <c r="AA578" i="208"/>
  <c r="AB575" i="208"/>
  <c r="AA575" i="208"/>
  <c r="AB572" i="208"/>
  <c r="AA572" i="208"/>
  <c r="AB563" i="208"/>
  <c r="AA563" i="208"/>
  <c r="AB560" i="208"/>
  <c r="AA560" i="208"/>
  <c r="AB557" i="208"/>
  <c r="AA557" i="208"/>
  <c r="AB551" i="208"/>
  <c r="AA551" i="208"/>
  <c r="AB548" i="208"/>
  <c r="AA548" i="208"/>
  <c r="AB542" i="208"/>
  <c r="AA542" i="208"/>
  <c r="AB527" i="208"/>
  <c r="AA527" i="208"/>
  <c r="AB521" i="208"/>
  <c r="AA521" i="208"/>
  <c r="AB518" i="208"/>
  <c r="AA518" i="208"/>
  <c r="AB506" i="208"/>
  <c r="AA506" i="208"/>
  <c r="AB503" i="208"/>
  <c r="AA503" i="208"/>
  <c r="AB500" i="208"/>
  <c r="AA500" i="208"/>
  <c r="AB497" i="208"/>
  <c r="AA497" i="208"/>
  <c r="AB494" i="208"/>
  <c r="AA494" i="208"/>
  <c r="AB485" i="208"/>
  <c r="AA485" i="208"/>
  <c r="AB482" i="208"/>
  <c r="AA482" i="208"/>
  <c r="AB476" i="208"/>
  <c r="AB473" i="208"/>
  <c r="AA473" i="208"/>
  <c r="AB467" i="208"/>
  <c r="AA467" i="208"/>
  <c r="AB464" i="208"/>
  <c r="AA464" i="208"/>
  <c r="AB461" i="208"/>
  <c r="AA461" i="208"/>
  <c r="AB443" i="208"/>
  <c r="AA443" i="208"/>
  <c r="AB440" i="208"/>
  <c r="AA440" i="208"/>
  <c r="AB434" i="208"/>
  <c r="AA434" i="208"/>
  <c r="AB431" i="208"/>
  <c r="AA431" i="208"/>
  <c r="AB428" i="208"/>
  <c r="AA428" i="208"/>
  <c r="AB419" i="208"/>
  <c r="AA419" i="208"/>
  <c r="AB416" i="208"/>
  <c r="AA416" i="208"/>
  <c r="AB413" i="208"/>
  <c r="AA413" i="208"/>
  <c r="AB407" i="208"/>
  <c r="AA407" i="208"/>
  <c r="AB404" i="208"/>
  <c r="AA404" i="208"/>
  <c r="AB398" i="208"/>
  <c r="AA398" i="208"/>
  <c r="AA389" i="208"/>
  <c r="AB383" i="208"/>
  <c r="AA383" i="208"/>
  <c r="AB377" i="208"/>
  <c r="AA377" i="208"/>
  <c r="AB374" i="208"/>
  <c r="AA374" i="208"/>
  <c r="AB362" i="208"/>
  <c r="AA362" i="208"/>
  <c r="AB359" i="208"/>
  <c r="AA359" i="208"/>
  <c r="AB356" i="208"/>
  <c r="AA356" i="208"/>
  <c r="AB353" i="208"/>
  <c r="AA353" i="208"/>
  <c r="AB350" i="208"/>
  <c r="AA350" i="208"/>
  <c r="AB341" i="208"/>
  <c r="AA341" i="208"/>
  <c r="AB338" i="208"/>
  <c r="AA338" i="208"/>
  <c r="AB329" i="208"/>
  <c r="AA329" i="208"/>
  <c r="AB323" i="208"/>
  <c r="AA323" i="208"/>
  <c r="AB320" i="208"/>
  <c r="AA320" i="208"/>
  <c r="AB317" i="208"/>
  <c r="AA317" i="208"/>
  <c r="AB295" i="208"/>
  <c r="AA295" i="208"/>
  <c r="AB292" i="208"/>
  <c r="AA292" i="208"/>
  <c r="AB274" i="208"/>
  <c r="AA274" i="208"/>
  <c r="AB265" i="208"/>
  <c r="AA265" i="208"/>
  <c r="AB256" i="208"/>
  <c r="AA256" i="208"/>
  <c r="AB247" i="208"/>
  <c r="AA247" i="208"/>
  <c r="AB238" i="208"/>
  <c r="AA238" i="208"/>
  <c r="AB229" i="208"/>
  <c r="AA229" i="208"/>
  <c r="AB220" i="208"/>
  <c r="AA220" i="208"/>
  <c r="AB211" i="208"/>
  <c r="AA211" i="208"/>
  <c r="AB202" i="208"/>
  <c r="AA202" i="208"/>
  <c r="AB193" i="208"/>
  <c r="AA193" i="208"/>
  <c r="AB184" i="208"/>
  <c r="AA184" i="208"/>
  <c r="AB175" i="208"/>
  <c r="AA175" i="208"/>
  <c r="AB166" i="208"/>
  <c r="AA166" i="208"/>
  <c r="AB157" i="208"/>
  <c r="AA157" i="208"/>
  <c r="AB148" i="208"/>
  <c r="AA148" i="208"/>
  <c r="AB139" i="208"/>
  <c r="AA139" i="208"/>
  <c r="AB130" i="208"/>
  <c r="AA130" i="208"/>
  <c r="AB121" i="208"/>
  <c r="AA121" i="208"/>
  <c r="AB112" i="208"/>
  <c r="AA112" i="208"/>
  <c r="AB103" i="208"/>
  <c r="AA103" i="208"/>
  <c r="AB94" i="208"/>
  <c r="AA94" i="208"/>
  <c r="AB85" i="208"/>
  <c r="AA85" i="208"/>
  <c r="AB76" i="208"/>
  <c r="AA76" i="208"/>
  <c r="AB67" i="208"/>
  <c r="AA67" i="208"/>
  <c r="AB58" i="208"/>
  <c r="AA58" i="208"/>
  <c r="AB49" i="208"/>
  <c r="AA49" i="208"/>
  <c r="AB40" i="208"/>
  <c r="AA40" i="208"/>
  <c r="AB31" i="208"/>
  <c r="AA31" i="208"/>
  <c r="AB22" i="208"/>
  <c r="AA22" i="208"/>
  <c r="AB13" i="208"/>
  <c r="AA13" i="208"/>
  <c r="AB4" i="208"/>
  <c r="AA4" i="208"/>
  <c r="AB1220" i="208"/>
  <c r="AA1220" i="208"/>
  <c r="AB1554" i="208"/>
  <c r="AA1554" i="208"/>
  <c r="AB1551" i="208"/>
  <c r="AA1551" i="208"/>
  <c r="AB1545" i="208"/>
  <c r="AA1545" i="208"/>
  <c r="F1542" i="208"/>
  <c r="T1542" i="208" s="1"/>
  <c r="AB1542" i="208"/>
  <c r="AA1542" i="208"/>
  <c r="AB1539" i="208"/>
  <c r="AA1539" i="208"/>
  <c r="F1536" i="208"/>
  <c r="T1536" i="208" s="1"/>
  <c r="AB1536" i="208"/>
  <c r="AA1536" i="208"/>
  <c r="F1533" i="208"/>
  <c r="T1533" i="208" s="1"/>
  <c r="AB1533" i="208"/>
  <c r="AA1533" i="208"/>
  <c r="F1530" i="208"/>
  <c r="T1530" i="208" s="1"/>
  <c r="AB1530" i="208"/>
  <c r="AA1530" i="208"/>
  <c r="F1521" i="208"/>
  <c r="T1521" i="208" s="1"/>
  <c r="AB1521" i="208"/>
  <c r="AA1521" i="208"/>
  <c r="F1515" i="208"/>
  <c r="T1515" i="208" s="1"/>
  <c r="AB1515" i="208"/>
  <c r="AA1515" i="208"/>
  <c r="F1512" i="208"/>
  <c r="T1512" i="208" s="1"/>
  <c r="AB1512" i="208"/>
  <c r="AA1512" i="208"/>
  <c r="F1506" i="208"/>
  <c r="T1506" i="208" s="1"/>
  <c r="AB1506" i="208"/>
  <c r="AA1506" i="208"/>
  <c r="F1503" i="208"/>
  <c r="T1503" i="208" s="1"/>
  <c r="AB1503" i="208"/>
  <c r="AA1503" i="208"/>
  <c r="F1497" i="208"/>
  <c r="T1497" i="208" s="1"/>
  <c r="AB1497" i="208"/>
  <c r="AA1497" i="208"/>
  <c r="AA1494" i="208"/>
  <c r="F1491" i="208"/>
  <c r="T1491" i="208" s="1"/>
  <c r="AB1491" i="208"/>
  <c r="AA1491" i="208"/>
  <c r="F1488" i="208"/>
  <c r="T1488" i="208" s="1"/>
  <c r="AB1488" i="208"/>
  <c r="AA1488" i="208"/>
  <c r="F1482" i="208"/>
  <c r="T1482" i="208" s="1"/>
  <c r="AB1482" i="208"/>
  <c r="AA1482" i="208"/>
  <c r="F1479" i="208"/>
  <c r="T1479" i="208" s="1"/>
  <c r="AB1479" i="208"/>
  <c r="AA1479" i="208"/>
  <c r="F1476" i="208"/>
  <c r="T1476" i="208" s="1"/>
  <c r="AB1476" i="208"/>
  <c r="AA1476" i="208"/>
  <c r="F1473" i="208"/>
  <c r="T1473" i="208" s="1"/>
  <c r="AB1473" i="208"/>
  <c r="AA1473" i="208"/>
  <c r="AA1467" i="208"/>
  <c r="F1464" i="208"/>
  <c r="T1464" i="208" s="1"/>
  <c r="F1458" i="208"/>
  <c r="T1458" i="208" s="1"/>
  <c r="AB1458" i="208"/>
  <c r="AA1458" i="208"/>
  <c r="F1455" i="208"/>
  <c r="T1455" i="208" s="1"/>
  <c r="AB1455" i="208"/>
  <c r="AA1455" i="208"/>
  <c r="F1452" i="208"/>
  <c r="T1452" i="208" s="1"/>
  <c r="AB1452" i="208"/>
  <c r="AA1452" i="208"/>
  <c r="F1449" i="208"/>
  <c r="T1449" i="208" s="1"/>
  <c r="AB1449" i="208"/>
  <c r="AA1449" i="208"/>
  <c r="F1446" i="208"/>
  <c r="T1446" i="208" s="1"/>
  <c r="AB1446" i="208"/>
  <c r="AA1446" i="208"/>
  <c r="F1443" i="208"/>
  <c r="T1443" i="208" s="1"/>
  <c r="AB1443" i="208"/>
  <c r="AA1443" i="208"/>
  <c r="F1440" i="208"/>
  <c r="T1440" i="208" s="1"/>
  <c r="AB1440" i="208"/>
  <c r="AA1440" i="208"/>
  <c r="F1437" i="208"/>
  <c r="T1437" i="208" s="1"/>
  <c r="AB1437" i="208"/>
  <c r="AA1437" i="208"/>
  <c r="F1431" i="208"/>
  <c r="T1431" i="208" s="1"/>
  <c r="AB1431" i="208"/>
  <c r="AA1431" i="208"/>
  <c r="F1428" i="208"/>
  <c r="T1428" i="208" s="1"/>
  <c r="AB1428" i="208"/>
  <c r="AA1428" i="208"/>
  <c r="F1425" i="208"/>
  <c r="T1425" i="208" s="1"/>
  <c r="F1422" i="208"/>
  <c r="T1422" i="208" s="1"/>
  <c r="AB1422" i="208"/>
  <c r="AA1422" i="208"/>
  <c r="F1419" i="208"/>
  <c r="T1419" i="208" s="1"/>
  <c r="AB1419" i="208"/>
  <c r="AA1419" i="208"/>
  <c r="F1416" i="208"/>
  <c r="T1416" i="208" s="1"/>
  <c r="AB1416" i="208"/>
  <c r="AA1416" i="208"/>
  <c r="F1413" i="208"/>
  <c r="T1413" i="208" s="1"/>
  <c r="AB1413" i="208"/>
  <c r="AA1413" i="208"/>
  <c r="F1410" i="208"/>
  <c r="T1410" i="208" s="1"/>
  <c r="AB1410" i="208"/>
  <c r="AA1410" i="208"/>
  <c r="F1407" i="208"/>
  <c r="T1407" i="208" s="1"/>
  <c r="AB1407" i="208"/>
  <c r="AA1407" i="208"/>
  <c r="F1401" i="208"/>
  <c r="T1401" i="208" s="1"/>
  <c r="AB1401" i="208"/>
  <c r="AA1401" i="208"/>
  <c r="F1398" i="208"/>
  <c r="T1398" i="208" s="1"/>
  <c r="AB1398" i="208"/>
  <c r="AA1398" i="208"/>
  <c r="F1395" i="208"/>
  <c r="T1395" i="208" s="1"/>
  <c r="AB1395" i="208"/>
  <c r="AA1395" i="208"/>
  <c r="F1392" i="208"/>
  <c r="T1392" i="208" s="1"/>
  <c r="AB1392" i="208"/>
  <c r="AA1392" i="208"/>
  <c r="F1389" i="208"/>
  <c r="T1389" i="208" s="1"/>
  <c r="AB1389" i="208"/>
  <c r="AA1389" i="208"/>
  <c r="F1386" i="208"/>
  <c r="T1386" i="208" s="1"/>
  <c r="AB1386" i="208"/>
  <c r="AA1386" i="208"/>
  <c r="F1377" i="208"/>
  <c r="T1377" i="208" s="1"/>
  <c r="AB1377" i="208"/>
  <c r="AA1377" i="208"/>
  <c r="F1368" i="208"/>
  <c r="T1368" i="208" s="1"/>
  <c r="AB1368" i="208"/>
  <c r="AA1368" i="208"/>
  <c r="F1362" i="208"/>
  <c r="T1362" i="208" s="1"/>
  <c r="AB1362" i="208"/>
  <c r="AA1362" i="208"/>
  <c r="F1353" i="208"/>
  <c r="T1353" i="208" s="1"/>
  <c r="AB1353" i="208"/>
  <c r="AA1353" i="208"/>
  <c r="F1350" i="208"/>
  <c r="T1350" i="208" s="1"/>
  <c r="F1347" i="208"/>
  <c r="T1347" i="208" s="1"/>
  <c r="AB1347" i="208"/>
  <c r="AA1347" i="208"/>
  <c r="F1344" i="208"/>
  <c r="T1344" i="208" s="1"/>
  <c r="AB1344" i="208"/>
  <c r="AA1344" i="208"/>
  <c r="F1338" i="208"/>
  <c r="T1338" i="208" s="1"/>
  <c r="AB1338" i="208"/>
  <c r="AA1338" i="208"/>
  <c r="F1335" i="208"/>
  <c r="T1335" i="208" s="1"/>
  <c r="AB1335" i="208"/>
  <c r="AA1335" i="208"/>
  <c r="F1332" i="208"/>
  <c r="T1332" i="208" s="1"/>
  <c r="AB1332" i="208"/>
  <c r="AA1332" i="208"/>
  <c r="F1329" i="208"/>
  <c r="T1329" i="208" s="1"/>
  <c r="AB1329" i="208"/>
  <c r="AA1329" i="208"/>
  <c r="F1323" i="208"/>
  <c r="T1323" i="208" s="1"/>
  <c r="AB1323" i="208"/>
  <c r="AA1323" i="208"/>
  <c r="F1314" i="208"/>
  <c r="T1314" i="208" s="1"/>
  <c r="AB1314" i="208"/>
  <c r="AA1314" i="208"/>
  <c r="F1311" i="208"/>
  <c r="T1311" i="208" s="1"/>
  <c r="AB1311" i="208"/>
  <c r="AA1311" i="208"/>
  <c r="F1308" i="208"/>
  <c r="T1308" i="208" s="1"/>
  <c r="AB1308" i="208"/>
  <c r="AA1308" i="208"/>
  <c r="F1305" i="208"/>
  <c r="T1305" i="208" s="1"/>
  <c r="AB1305" i="208"/>
  <c r="AA1305" i="208"/>
  <c r="F1302" i="208"/>
  <c r="T1302" i="208" s="1"/>
  <c r="AB1302" i="208"/>
  <c r="AA1302" i="208"/>
  <c r="F1299" i="208"/>
  <c r="T1299" i="208" s="1"/>
  <c r="AB1299" i="208"/>
  <c r="AA1299" i="208"/>
  <c r="F1296" i="208"/>
  <c r="T1296" i="208" s="1"/>
  <c r="AB1296" i="208"/>
  <c r="AA1296" i="208"/>
  <c r="F1293" i="208"/>
  <c r="T1293" i="208" s="1"/>
  <c r="AB1293" i="208"/>
  <c r="AA1293" i="208"/>
  <c r="F1290" i="208"/>
  <c r="T1290" i="208" s="1"/>
  <c r="F1284" i="208"/>
  <c r="T1284" i="208" s="1"/>
  <c r="AB1284" i="208"/>
  <c r="AA1284" i="208"/>
  <c r="F1278" i="208"/>
  <c r="T1278" i="208" s="1"/>
  <c r="AB1278" i="208"/>
  <c r="AA1278" i="208"/>
  <c r="F1275" i="208"/>
  <c r="T1275" i="208" s="1"/>
  <c r="AB1275" i="208"/>
  <c r="AA1275" i="208"/>
  <c r="F1272" i="208"/>
  <c r="T1272" i="208" s="1"/>
  <c r="AB1272" i="208"/>
  <c r="AA1272" i="208"/>
  <c r="F1269" i="208"/>
  <c r="T1269" i="208" s="1"/>
  <c r="AB1269" i="208"/>
  <c r="AA1269" i="208"/>
  <c r="F1266" i="208"/>
  <c r="T1266" i="208" s="1"/>
  <c r="AB1266" i="208"/>
  <c r="AA1266" i="208"/>
  <c r="F1263" i="208"/>
  <c r="T1263" i="208" s="1"/>
  <c r="AB1263" i="208"/>
  <c r="AA1263" i="208"/>
  <c r="F1257" i="208"/>
  <c r="T1257" i="208" s="1"/>
  <c r="AB1257" i="208"/>
  <c r="AA1257" i="208"/>
  <c r="F1254" i="208"/>
  <c r="T1254" i="208" s="1"/>
  <c r="AB1254" i="208"/>
  <c r="AA1254" i="208"/>
  <c r="F1251" i="208"/>
  <c r="T1251" i="208" s="1"/>
  <c r="AB1251" i="208"/>
  <c r="AA1251" i="208"/>
  <c r="F1248" i="208"/>
  <c r="T1248" i="208" s="1"/>
  <c r="AB1248" i="208"/>
  <c r="AA1248" i="208"/>
  <c r="F1245" i="208"/>
  <c r="T1245" i="208" s="1"/>
  <c r="AB1245" i="208"/>
  <c r="AA1245" i="208"/>
  <c r="F1242" i="208"/>
  <c r="T1242" i="208" s="1"/>
  <c r="AB1242" i="208"/>
  <c r="AA1242" i="208"/>
  <c r="F1239" i="208"/>
  <c r="T1239" i="208" s="1"/>
  <c r="AA1239" i="208"/>
  <c r="AB1239" i="208"/>
  <c r="F1233" i="208"/>
  <c r="T1233" i="208" s="1"/>
  <c r="AB1233" i="208"/>
  <c r="AA1233" i="208"/>
  <c r="F1227" i="208"/>
  <c r="T1227" i="208" s="1"/>
  <c r="AB1227" i="208"/>
  <c r="AA1227" i="208"/>
  <c r="F1224" i="208"/>
  <c r="T1224" i="208" s="1"/>
  <c r="AB1224" i="208"/>
  <c r="AA1224" i="208"/>
  <c r="F1218" i="208"/>
  <c r="T1218" i="208" s="1"/>
  <c r="AB1218" i="208"/>
  <c r="AA1218" i="208"/>
  <c r="F1209" i="208"/>
  <c r="T1209" i="208" s="1"/>
  <c r="AB1209" i="208"/>
  <c r="AA1209" i="208"/>
  <c r="F1203" i="208"/>
  <c r="T1203" i="208" s="1"/>
  <c r="AB1203" i="208"/>
  <c r="AA1203" i="208"/>
  <c r="F1200" i="208"/>
  <c r="T1200" i="208" s="1"/>
  <c r="AB1200" i="208"/>
  <c r="AA1200" i="208"/>
  <c r="F1194" i="208"/>
  <c r="T1194" i="208" s="1"/>
  <c r="AB1194" i="208"/>
  <c r="AA1194" i="208"/>
  <c r="F1188" i="208"/>
  <c r="T1188" i="208" s="1"/>
  <c r="AB1188" i="208"/>
  <c r="AA1188" i="208"/>
  <c r="F1185" i="208"/>
  <c r="T1185" i="208" s="1"/>
  <c r="AB1185" i="208"/>
  <c r="AA1185" i="208"/>
  <c r="F1170" i="208"/>
  <c r="T1170" i="208" s="1"/>
  <c r="AB1170" i="208"/>
  <c r="AA1170" i="208"/>
  <c r="F1164" i="208"/>
  <c r="T1164" i="208" s="1"/>
  <c r="AB1164" i="208"/>
  <c r="AA1164" i="208"/>
  <c r="F1161" i="208"/>
  <c r="T1161" i="208" s="1"/>
  <c r="AB1161" i="208"/>
  <c r="AA1161" i="208"/>
  <c r="F1158" i="208"/>
  <c r="T1158" i="208" s="1"/>
  <c r="AB1158" i="208"/>
  <c r="AA1158" i="208"/>
  <c r="F1155" i="208"/>
  <c r="T1155" i="208" s="1"/>
  <c r="AB1155" i="208"/>
  <c r="AA1155" i="208"/>
  <c r="F1152" i="208"/>
  <c r="T1152" i="208" s="1"/>
  <c r="AB1152" i="208"/>
  <c r="AA1152" i="208"/>
  <c r="F1149" i="208"/>
  <c r="T1149" i="208" s="1"/>
  <c r="AB1149" i="208"/>
  <c r="AA1149" i="208"/>
  <c r="F1143" i="208"/>
  <c r="T1143" i="208" s="1"/>
  <c r="AB1143" i="208"/>
  <c r="AA1143" i="208"/>
  <c r="F1140" i="208"/>
  <c r="T1140" i="208" s="1"/>
  <c r="AB1140" i="208"/>
  <c r="AA1140" i="208"/>
  <c r="F1134" i="208"/>
  <c r="T1134" i="208" s="1"/>
  <c r="AB1134" i="208"/>
  <c r="AA1134" i="208"/>
  <c r="F1131" i="208"/>
  <c r="T1131" i="208" s="1"/>
  <c r="AB1131" i="208"/>
  <c r="AA1131" i="208"/>
  <c r="F1128" i="208"/>
  <c r="T1128" i="208" s="1"/>
  <c r="AB1128" i="208"/>
  <c r="AA1128" i="208"/>
  <c r="F1125" i="208"/>
  <c r="T1125" i="208" s="1"/>
  <c r="AB1125" i="208"/>
  <c r="AA1125" i="208"/>
  <c r="F1122" i="208"/>
  <c r="T1122" i="208" s="1"/>
  <c r="AB1122" i="208"/>
  <c r="AA1122" i="208"/>
  <c r="AB1119" i="208"/>
  <c r="AA1119" i="208"/>
  <c r="F1113" i="208"/>
  <c r="T1113" i="208" s="1"/>
  <c r="AB1113" i="208"/>
  <c r="AA1113" i="208"/>
  <c r="F1110" i="208"/>
  <c r="T1110" i="208" s="1"/>
  <c r="AB1110" i="208"/>
  <c r="AA1110" i="208"/>
  <c r="F1104" i="208"/>
  <c r="T1104" i="208" s="1"/>
  <c r="AB1104" i="208"/>
  <c r="AA1104" i="208"/>
  <c r="F1101" i="208"/>
  <c r="T1101" i="208" s="1"/>
  <c r="AB1101" i="208"/>
  <c r="AA1101" i="208"/>
  <c r="F1098" i="208"/>
  <c r="T1098" i="208" s="1"/>
  <c r="AB1098" i="208"/>
  <c r="AA1098" i="208"/>
  <c r="F1089" i="208"/>
  <c r="T1089" i="208" s="1"/>
  <c r="AB1089" i="208"/>
  <c r="AA1089" i="208"/>
  <c r="F1083" i="208"/>
  <c r="T1083" i="208" s="1"/>
  <c r="AB1083" i="208"/>
  <c r="AA1083" i="208"/>
  <c r="F1080" i="208"/>
  <c r="T1080" i="208" s="1"/>
  <c r="AB1080" i="208"/>
  <c r="AA1080" i="208"/>
  <c r="F1074" i="208"/>
  <c r="T1074" i="208" s="1"/>
  <c r="AB1074" i="208"/>
  <c r="AA1074" i="208"/>
  <c r="F1065" i="208"/>
  <c r="T1065" i="208" s="1"/>
  <c r="AB1065" i="208"/>
  <c r="AA1065" i="208"/>
  <c r="F1062" i="208"/>
  <c r="T1062" i="208" s="1"/>
  <c r="F1056" i="208"/>
  <c r="T1056" i="208" s="1"/>
  <c r="AB1056" i="208"/>
  <c r="AA1056" i="208"/>
  <c r="F1050" i="208"/>
  <c r="T1050" i="208" s="1"/>
  <c r="AB1050" i="208"/>
  <c r="AA1050" i="208"/>
  <c r="F1047" i="208"/>
  <c r="T1047" i="208" s="1"/>
  <c r="AB1047" i="208"/>
  <c r="AA1047" i="208"/>
  <c r="F1044" i="208"/>
  <c r="T1044" i="208" s="1"/>
  <c r="AB1044" i="208"/>
  <c r="AA1044" i="208"/>
  <c r="F1041" i="208"/>
  <c r="T1041" i="208" s="1"/>
  <c r="AB1041" i="208"/>
  <c r="AA1041" i="208"/>
  <c r="F1035" i="208"/>
  <c r="T1035" i="208" s="1"/>
  <c r="AB1035" i="208"/>
  <c r="AA1035" i="208"/>
  <c r="F1023" i="208"/>
  <c r="T1023" i="208" s="1"/>
  <c r="F1020" i="208"/>
  <c r="T1020" i="208" s="1"/>
  <c r="AB1020" i="208"/>
  <c r="AA1020" i="208"/>
  <c r="AB1017" i="208"/>
  <c r="F1014" i="208"/>
  <c r="T1014" i="208" s="1"/>
  <c r="AB1014" i="208"/>
  <c r="AA1014" i="208"/>
  <c r="F1011" i="208"/>
  <c r="T1011" i="208" s="1"/>
  <c r="AB1011" i="208"/>
  <c r="AA1011" i="208"/>
  <c r="F1008" i="208"/>
  <c r="T1008" i="208" s="1"/>
  <c r="AB1008" i="208"/>
  <c r="AA1008" i="208"/>
  <c r="F1005" i="208"/>
  <c r="T1005" i="208" s="1"/>
  <c r="AB1005" i="208"/>
  <c r="AA1005" i="208"/>
  <c r="F999" i="208"/>
  <c r="T999" i="208" s="1"/>
  <c r="AB999" i="208"/>
  <c r="AA999" i="208"/>
  <c r="F996" i="208"/>
  <c r="T996" i="208" s="1"/>
  <c r="AB996" i="208"/>
  <c r="AA996" i="208"/>
  <c r="F990" i="208"/>
  <c r="T990" i="208" s="1"/>
  <c r="AB990" i="208"/>
  <c r="AA990" i="208"/>
  <c r="F987" i="208"/>
  <c r="T987" i="208" s="1"/>
  <c r="AB987" i="208"/>
  <c r="AA987" i="208"/>
  <c r="F984" i="208"/>
  <c r="T984" i="208" s="1"/>
  <c r="AB984" i="208"/>
  <c r="AA984" i="208"/>
  <c r="F981" i="208"/>
  <c r="T981" i="208" s="1"/>
  <c r="AB981" i="208"/>
  <c r="AA981" i="208"/>
  <c r="F978" i="208"/>
  <c r="T978" i="208" s="1"/>
  <c r="AB978" i="208"/>
  <c r="AA978" i="208"/>
  <c r="F969" i="208"/>
  <c r="T969" i="208" s="1"/>
  <c r="AB969" i="208"/>
  <c r="AA969" i="208"/>
  <c r="F966" i="208"/>
  <c r="T966" i="208" s="1"/>
  <c r="AB966" i="208"/>
  <c r="AA966" i="208"/>
  <c r="F960" i="208"/>
  <c r="T960" i="208" s="1"/>
  <c r="AB960" i="208"/>
  <c r="AA960" i="208"/>
  <c r="F957" i="208"/>
  <c r="T957" i="208" s="1"/>
  <c r="AB957" i="208"/>
  <c r="AA957" i="208"/>
  <c r="F954" i="208"/>
  <c r="T954" i="208" s="1"/>
  <c r="AB954" i="208"/>
  <c r="AA954" i="208"/>
  <c r="AB951" i="208"/>
  <c r="F945" i="208"/>
  <c r="T945" i="208" s="1"/>
  <c r="AB945" i="208"/>
  <c r="AA945" i="208"/>
  <c r="F939" i="208"/>
  <c r="T939" i="208" s="1"/>
  <c r="AB939" i="208"/>
  <c r="AA939" i="208"/>
  <c r="F936" i="208"/>
  <c r="T936" i="208" s="1"/>
  <c r="AB936" i="208"/>
  <c r="AA936" i="208"/>
  <c r="F930" i="208"/>
  <c r="T930" i="208" s="1"/>
  <c r="AB930" i="208"/>
  <c r="AA930" i="208"/>
  <c r="F927" i="208"/>
  <c r="T927" i="208" s="1"/>
  <c r="AB927" i="208"/>
  <c r="AA927" i="208"/>
  <c r="F921" i="208"/>
  <c r="T921" i="208" s="1"/>
  <c r="AB921" i="208"/>
  <c r="AA921" i="208"/>
  <c r="F915" i="208"/>
  <c r="T915" i="208" s="1"/>
  <c r="AB915" i="208"/>
  <c r="AA915" i="208"/>
  <c r="AB909" i="208"/>
  <c r="F906" i="208"/>
  <c r="T906" i="208" s="1"/>
  <c r="AB906" i="208"/>
  <c r="AA906" i="208"/>
  <c r="F900" i="208"/>
  <c r="T900" i="208" s="1"/>
  <c r="AB900" i="208"/>
  <c r="AA900" i="208"/>
  <c r="F897" i="208"/>
  <c r="T897" i="208" s="1"/>
  <c r="AB897" i="208"/>
  <c r="AA897" i="208"/>
  <c r="F891" i="208"/>
  <c r="T891" i="208" s="1"/>
  <c r="AB891" i="208"/>
  <c r="AA891" i="208"/>
  <c r="F876" i="208"/>
  <c r="T876" i="208" s="1"/>
  <c r="AB876" i="208"/>
  <c r="AA876" i="208"/>
  <c r="AB873" i="208"/>
  <c r="F870" i="208"/>
  <c r="T870" i="208" s="1"/>
  <c r="AB870" i="208"/>
  <c r="AA870" i="208"/>
  <c r="F867" i="208"/>
  <c r="T867" i="208" s="1"/>
  <c r="AB867" i="208"/>
  <c r="AA867" i="208"/>
  <c r="F864" i="208"/>
  <c r="T864" i="208" s="1"/>
  <c r="AB864" i="208"/>
  <c r="AA864" i="208"/>
  <c r="F861" i="208"/>
  <c r="T861" i="208" s="1"/>
  <c r="AB861" i="208"/>
  <c r="AA861" i="208"/>
  <c r="F852" i="208"/>
  <c r="T852" i="208" s="1"/>
  <c r="AB852" i="208"/>
  <c r="AA852" i="208"/>
  <c r="F846" i="208"/>
  <c r="T846" i="208" s="1"/>
  <c r="AB846" i="208"/>
  <c r="AA846" i="208"/>
  <c r="F840" i="208"/>
  <c r="T840" i="208" s="1"/>
  <c r="AB840" i="208"/>
  <c r="AA840" i="208"/>
  <c r="F837" i="208"/>
  <c r="T837" i="208" s="1"/>
  <c r="AB837" i="208"/>
  <c r="AA837" i="208"/>
  <c r="F834" i="208"/>
  <c r="T834" i="208" s="1"/>
  <c r="AB834" i="208"/>
  <c r="AA834" i="208"/>
  <c r="F831" i="208"/>
  <c r="T831" i="208" s="1"/>
  <c r="AB831" i="208"/>
  <c r="AA831" i="208"/>
  <c r="F825" i="208"/>
  <c r="T825" i="208" s="1"/>
  <c r="AB825" i="208"/>
  <c r="AA825" i="208"/>
  <c r="F822" i="208"/>
  <c r="T822" i="208" s="1"/>
  <c r="AB822" i="208"/>
  <c r="AA822" i="208"/>
  <c r="F819" i="208"/>
  <c r="T819" i="208" s="1"/>
  <c r="AB819" i="208"/>
  <c r="AA819" i="208"/>
  <c r="F816" i="208"/>
  <c r="T816" i="208" s="1"/>
  <c r="AB816" i="208"/>
  <c r="AA816" i="208"/>
  <c r="F813" i="208"/>
  <c r="T813" i="208" s="1"/>
  <c r="AB813" i="208"/>
  <c r="AA813" i="208"/>
  <c r="F810" i="208"/>
  <c r="T810" i="208" s="1"/>
  <c r="AB810" i="208"/>
  <c r="AA810" i="208"/>
  <c r="F807" i="208"/>
  <c r="T807" i="208" s="1"/>
  <c r="AB807" i="208"/>
  <c r="AA807" i="208"/>
  <c r="F801" i="208"/>
  <c r="T801" i="208" s="1"/>
  <c r="AB801" i="208"/>
  <c r="AA801" i="208"/>
  <c r="F795" i="208"/>
  <c r="T795" i="208" s="1"/>
  <c r="AB795" i="208"/>
  <c r="AA795" i="208"/>
  <c r="F792" i="208"/>
  <c r="T792" i="208" s="1"/>
  <c r="AB792" i="208"/>
  <c r="AA792" i="208"/>
  <c r="F786" i="208"/>
  <c r="T786" i="208" s="1"/>
  <c r="AB786" i="208"/>
  <c r="AA786" i="208"/>
  <c r="F777" i="208"/>
  <c r="T777" i="208" s="1"/>
  <c r="AB777" i="208"/>
  <c r="AA777" i="208"/>
  <c r="F774" i="208"/>
  <c r="T774" i="208" s="1"/>
  <c r="F762" i="208"/>
  <c r="T762" i="208" s="1"/>
  <c r="AB762" i="208"/>
  <c r="AA762" i="208"/>
  <c r="F756" i="208"/>
  <c r="T756" i="208" s="1"/>
  <c r="AB756" i="208"/>
  <c r="AA756" i="208"/>
  <c r="F753" i="208"/>
  <c r="T753" i="208" s="1"/>
  <c r="AB753" i="208"/>
  <c r="AA753" i="208"/>
  <c r="F747" i="208"/>
  <c r="T747" i="208" s="1"/>
  <c r="AB747" i="208"/>
  <c r="AA747" i="208"/>
  <c r="F735" i="208"/>
  <c r="T735" i="208" s="1"/>
  <c r="AB735" i="208"/>
  <c r="AA735" i="208"/>
  <c r="F732" i="208"/>
  <c r="T732" i="208" s="1"/>
  <c r="AB732" i="208"/>
  <c r="AA732" i="208"/>
  <c r="F726" i="208"/>
  <c r="T726" i="208" s="1"/>
  <c r="AB726" i="208"/>
  <c r="AA726" i="208"/>
  <c r="F723" i="208"/>
  <c r="T723" i="208" s="1"/>
  <c r="AB723" i="208"/>
  <c r="AA723" i="208"/>
  <c r="F720" i="208"/>
  <c r="T720" i="208" s="1"/>
  <c r="AB720" i="208"/>
  <c r="AA720" i="208"/>
  <c r="F717" i="208"/>
  <c r="T717" i="208" s="1"/>
  <c r="AB717" i="208"/>
  <c r="AA717" i="208"/>
  <c r="F708" i="208"/>
  <c r="T708" i="208" s="1"/>
  <c r="AB708" i="208"/>
  <c r="AA708" i="208"/>
  <c r="F702" i="208"/>
  <c r="T702" i="208" s="1"/>
  <c r="AB702" i="208"/>
  <c r="AA702" i="208"/>
  <c r="F696" i="208"/>
  <c r="T696" i="208" s="1"/>
  <c r="AB696" i="208"/>
  <c r="AA696" i="208"/>
  <c r="F693" i="208"/>
  <c r="T693" i="208" s="1"/>
  <c r="AB693" i="208"/>
  <c r="AA693" i="208"/>
  <c r="F690" i="208"/>
  <c r="T690" i="208" s="1"/>
  <c r="AB690" i="208"/>
  <c r="AA690" i="208"/>
  <c r="F681" i="208"/>
  <c r="T681" i="208" s="1"/>
  <c r="AB681" i="208"/>
  <c r="AA681" i="208"/>
  <c r="F678" i="208"/>
  <c r="T678" i="208" s="1"/>
  <c r="AB678" i="208"/>
  <c r="AA678" i="208"/>
  <c r="F675" i="208"/>
  <c r="T675" i="208" s="1"/>
  <c r="AB675" i="208"/>
  <c r="AA675" i="208"/>
  <c r="F669" i="208"/>
  <c r="T669" i="208" s="1"/>
  <c r="AB669" i="208"/>
  <c r="AA669" i="208"/>
  <c r="F666" i="208"/>
  <c r="T666" i="208" s="1"/>
  <c r="AB666" i="208"/>
  <c r="AA666" i="208"/>
  <c r="F657" i="208"/>
  <c r="T657" i="208" s="1"/>
  <c r="AB657" i="208"/>
  <c r="AA657" i="208"/>
  <c r="F651" i="208"/>
  <c r="T651" i="208" s="1"/>
  <c r="AB651" i="208"/>
  <c r="AA651" i="208"/>
  <c r="F648" i="208"/>
  <c r="T648" i="208" s="1"/>
  <c r="AB648" i="208"/>
  <c r="AA648" i="208"/>
  <c r="F633" i="208"/>
  <c r="T633" i="208" s="1"/>
  <c r="AB633" i="208"/>
  <c r="F627" i="208"/>
  <c r="T627" i="208" s="1"/>
  <c r="AB627" i="208"/>
  <c r="AA627" i="208"/>
  <c r="F618" i="208"/>
  <c r="T618" i="208" s="1"/>
  <c r="AB618" i="208"/>
  <c r="AA618" i="208"/>
  <c r="F615" i="208"/>
  <c r="T615" i="208" s="1"/>
  <c r="AB615" i="208"/>
  <c r="AA615" i="208"/>
  <c r="F612" i="208"/>
  <c r="T612" i="208" s="1"/>
  <c r="AB612" i="208"/>
  <c r="AA612" i="208"/>
  <c r="F609" i="208"/>
  <c r="T609" i="208" s="1"/>
  <c r="AB609" i="208"/>
  <c r="AA609" i="208"/>
  <c r="F603" i="208"/>
  <c r="T603" i="208" s="1"/>
  <c r="AB603" i="208"/>
  <c r="AA603" i="208"/>
  <c r="F591" i="208"/>
  <c r="T591" i="208" s="1"/>
  <c r="AB591" i="208"/>
  <c r="AA591" i="208"/>
  <c r="F588" i="208"/>
  <c r="T588" i="208" s="1"/>
  <c r="AB588" i="208"/>
  <c r="AA588" i="208"/>
  <c r="F582" i="208"/>
  <c r="T582" i="208" s="1"/>
  <c r="AB582" i="208"/>
  <c r="AA582" i="208"/>
  <c r="F576" i="208"/>
  <c r="T576" i="208" s="1"/>
  <c r="AB576" i="208"/>
  <c r="AA576" i="208"/>
  <c r="F573" i="208"/>
  <c r="T573" i="208" s="1"/>
  <c r="AB573" i="208"/>
  <c r="AA573" i="208"/>
  <c r="F564" i="208"/>
  <c r="T564" i="208" s="1"/>
  <c r="AB564" i="208"/>
  <c r="AA564" i="208"/>
  <c r="F558" i="208"/>
  <c r="T558" i="208" s="1"/>
  <c r="AB558" i="208"/>
  <c r="AA558" i="208"/>
  <c r="F555" i="208"/>
  <c r="T555" i="208" s="1"/>
  <c r="AB555" i="208"/>
  <c r="AA555" i="208"/>
  <c r="F552" i="208"/>
  <c r="T552" i="208" s="1"/>
  <c r="AB552" i="208"/>
  <c r="AA552" i="208"/>
  <c r="F549" i="208"/>
  <c r="T549" i="208" s="1"/>
  <c r="AB549" i="208"/>
  <c r="AA549" i="208"/>
  <c r="F546" i="208"/>
  <c r="T546" i="208" s="1"/>
  <c r="AB546" i="208"/>
  <c r="AA546" i="208"/>
  <c r="F543" i="208"/>
  <c r="T543" i="208" s="1"/>
  <c r="AB543" i="208"/>
  <c r="AA543" i="208"/>
  <c r="F537" i="208"/>
  <c r="T537" i="208" s="1"/>
  <c r="AB537" i="208"/>
  <c r="AA537" i="208"/>
  <c r="F534" i="208"/>
  <c r="T534" i="208" s="1"/>
  <c r="AB534" i="208"/>
  <c r="AA534" i="208"/>
  <c r="F531" i="208"/>
  <c r="T531" i="208" s="1"/>
  <c r="AB531" i="208"/>
  <c r="AA531" i="208"/>
  <c r="F525" i="208"/>
  <c r="T525" i="208" s="1"/>
  <c r="AB525" i="208"/>
  <c r="AA525" i="208"/>
  <c r="F522" i="208"/>
  <c r="T522" i="208" s="1"/>
  <c r="AB522" i="208"/>
  <c r="AA522" i="208"/>
  <c r="F513" i="208"/>
  <c r="T513" i="208" s="1"/>
  <c r="AB513" i="208"/>
  <c r="AA513" i="208"/>
  <c r="F507" i="208"/>
  <c r="T507" i="208" s="1"/>
  <c r="AB507" i="208"/>
  <c r="AA507" i="208"/>
  <c r="F504" i="208"/>
  <c r="T504" i="208" s="1"/>
  <c r="AB504" i="208"/>
  <c r="AA504" i="208"/>
  <c r="F498" i="208"/>
  <c r="T498" i="208" s="1"/>
  <c r="F495" i="208"/>
  <c r="T495" i="208" s="1"/>
  <c r="AB495" i="208"/>
  <c r="AA495" i="208"/>
  <c r="F483" i="208"/>
  <c r="T483" i="208" s="1"/>
  <c r="AB483" i="208"/>
  <c r="AA483" i="208"/>
  <c r="F474" i="208"/>
  <c r="T474" i="208" s="1"/>
  <c r="AB474" i="208"/>
  <c r="AA474" i="208"/>
  <c r="F471" i="208"/>
  <c r="T471" i="208" s="1"/>
  <c r="AB471" i="208"/>
  <c r="AA471" i="208"/>
  <c r="F468" i="208"/>
  <c r="T468" i="208" s="1"/>
  <c r="AB468" i="208"/>
  <c r="AA468" i="208"/>
  <c r="F465" i="208"/>
  <c r="T465" i="208" s="1"/>
  <c r="AB465" i="208"/>
  <c r="AA465" i="208"/>
  <c r="AB450" i="208"/>
  <c r="AB447" i="208"/>
  <c r="AA447" i="208"/>
  <c r="AB444" i="208"/>
  <c r="AA444" i="208"/>
  <c r="AB438" i="208"/>
  <c r="AA438" i="208"/>
  <c r="AB435" i="208"/>
  <c r="AA435" i="208"/>
  <c r="AB432" i="208"/>
  <c r="AA432" i="208"/>
  <c r="AB429" i="208"/>
  <c r="AA429" i="208"/>
  <c r="AB420" i="208"/>
  <c r="AA420" i="208"/>
  <c r="AB414" i="208"/>
  <c r="AA414" i="208"/>
  <c r="AB411" i="208"/>
  <c r="AA411" i="208"/>
  <c r="AB408" i="208"/>
  <c r="AA408" i="208"/>
  <c r="AB405" i="208"/>
  <c r="AA405" i="208"/>
  <c r="AB402" i="208"/>
  <c r="AA402" i="208"/>
  <c r="AB393" i="208"/>
  <c r="AA393" i="208"/>
  <c r="AB390" i="208"/>
  <c r="AA390" i="208"/>
  <c r="AB381" i="208"/>
  <c r="AA381" i="208"/>
  <c r="AB378" i="208"/>
  <c r="AA378" i="208"/>
  <c r="AB375" i="208"/>
  <c r="AA375" i="208"/>
  <c r="AB369" i="208"/>
  <c r="AA369" i="208"/>
  <c r="AB363" i="208"/>
  <c r="AA363" i="208"/>
  <c r="AB360" i="208"/>
  <c r="AA360" i="208"/>
  <c r="AB354" i="208"/>
  <c r="AA354" i="208"/>
  <c r="AB339" i="208"/>
  <c r="AA339" i="208"/>
  <c r="AB330" i="208"/>
  <c r="AA330" i="208"/>
  <c r="V324" i="208"/>
  <c r="AB324" i="208"/>
  <c r="AA324" i="208"/>
  <c r="AB321" i="208"/>
  <c r="AA321" i="208"/>
  <c r="AB315" i="208"/>
  <c r="AA315" i="208"/>
  <c r="AB293" i="208"/>
  <c r="AA293" i="208"/>
  <c r="AB278" i="208"/>
  <c r="AA278" i="208"/>
  <c r="AB275" i="208"/>
  <c r="AB263" i="208"/>
  <c r="AA263" i="208"/>
  <c r="AA260" i="208"/>
  <c r="V254" i="208"/>
  <c r="AB254" i="208"/>
  <c r="AA254" i="208"/>
  <c r="AB248" i="208"/>
  <c r="AB245" i="208"/>
  <c r="AA245" i="208"/>
  <c r="AB236" i="208"/>
  <c r="AA236" i="208"/>
  <c r="AA233" i="208"/>
  <c r="AB230" i="208"/>
  <c r="AB227" i="208"/>
  <c r="AA227" i="208"/>
  <c r="V218" i="208"/>
  <c r="AB218" i="208"/>
  <c r="AA218" i="208"/>
  <c r="AA212" i="208"/>
  <c r="AB209" i="208"/>
  <c r="AA209" i="208"/>
  <c r="AA206" i="208"/>
  <c r="AB200" i="208"/>
  <c r="AA200" i="208"/>
  <c r="AB191" i="208"/>
  <c r="AA191" i="208"/>
  <c r="AB185" i="208"/>
  <c r="V182" i="208"/>
  <c r="AB182" i="208"/>
  <c r="AA182" i="208"/>
  <c r="AB173" i="208"/>
  <c r="AA173" i="208"/>
  <c r="AB170" i="208"/>
  <c r="AB167" i="208"/>
  <c r="AB164" i="208"/>
  <c r="AA164" i="208"/>
  <c r="AB155" i="208"/>
  <c r="AA155" i="208"/>
  <c r="AB146" i="208"/>
  <c r="AA146" i="208"/>
  <c r="AA140" i="208"/>
  <c r="AB137" i="208"/>
  <c r="AA137" i="208"/>
  <c r="AB134" i="208"/>
  <c r="AB128" i="208"/>
  <c r="AA128" i="208"/>
  <c r="AB119" i="208"/>
  <c r="AA119" i="208"/>
  <c r="AB110" i="208"/>
  <c r="AA110" i="208"/>
  <c r="AB101" i="208"/>
  <c r="AA101" i="208"/>
  <c r="AB98" i="208"/>
  <c r="AB95" i="208"/>
  <c r="AB92" i="208"/>
  <c r="AA92" i="208"/>
  <c r="AB83" i="208"/>
  <c r="AA83" i="208"/>
  <c r="AB74" i="208"/>
  <c r="AA74" i="208"/>
  <c r="AA68" i="208"/>
  <c r="AB65" i="208"/>
  <c r="AA65" i="208"/>
  <c r="AB62" i="208"/>
  <c r="AB56" i="208"/>
  <c r="AA56" i="208"/>
  <c r="AB47" i="208"/>
  <c r="AA47" i="208"/>
  <c r="AB38" i="208"/>
  <c r="AA38" i="208"/>
  <c r="AB29" i="208"/>
  <c r="AA29" i="208"/>
  <c r="AB23" i="208"/>
  <c r="AB20" i="208"/>
  <c r="AA20" i="208"/>
  <c r="F11" i="208"/>
  <c r="T11" i="208" s="1"/>
  <c r="AB11" i="208"/>
  <c r="AA11" i="208"/>
  <c r="F1477" i="208"/>
  <c r="T1477" i="208" s="1"/>
  <c r="AB1477" i="208"/>
  <c r="AA1477" i="208"/>
  <c r="F1474" i="208"/>
  <c r="T1474" i="208" s="1"/>
  <c r="AB1474" i="208"/>
  <c r="AA1474" i="208"/>
  <c r="F1471" i="208"/>
  <c r="T1471" i="208" s="1"/>
  <c r="AB1471" i="208"/>
  <c r="AA1471" i="208"/>
  <c r="F1468" i="208"/>
  <c r="T1468" i="208" s="1"/>
  <c r="AB1468" i="208"/>
  <c r="AA1468" i="208"/>
  <c r="F1453" i="208"/>
  <c r="T1453" i="208" s="1"/>
  <c r="AB1453" i="208"/>
  <c r="AA1453" i="208"/>
  <c r="F1450" i="208"/>
  <c r="T1450" i="208" s="1"/>
  <c r="AB1450" i="208"/>
  <c r="AA1450" i="208"/>
  <c r="F1447" i="208"/>
  <c r="T1447" i="208" s="1"/>
  <c r="AB1447" i="208"/>
  <c r="AA1447" i="208"/>
  <c r="F1444" i="208"/>
  <c r="T1444" i="208" s="1"/>
  <c r="AB1444" i="208"/>
  <c r="AA1444" i="208"/>
  <c r="F1441" i="208"/>
  <c r="T1441" i="208" s="1"/>
  <c r="AB1441" i="208"/>
  <c r="AA1441" i="208"/>
  <c r="F1438" i="208"/>
  <c r="T1438" i="208" s="1"/>
  <c r="AB1438" i="208"/>
  <c r="AA1438" i="208"/>
  <c r="F1435" i="208"/>
  <c r="T1435" i="208" s="1"/>
  <c r="AB1435" i="208"/>
  <c r="AA1435" i="208"/>
  <c r="F1432" i="208"/>
  <c r="T1432" i="208" s="1"/>
  <c r="AB1432" i="208"/>
  <c r="AA1432" i="208"/>
  <c r="F1429" i="208"/>
  <c r="T1429" i="208" s="1"/>
  <c r="AB1429" i="208"/>
  <c r="AA1429" i="208"/>
  <c r="F1426" i="208"/>
  <c r="T1426" i="208" s="1"/>
  <c r="AB1426" i="208"/>
  <c r="AA1426" i="208"/>
  <c r="F1417" i="208"/>
  <c r="T1417" i="208" s="1"/>
  <c r="AB1417" i="208"/>
  <c r="AA1417" i="208"/>
  <c r="F1414" i="208"/>
  <c r="T1414" i="208" s="1"/>
  <c r="AB1414" i="208"/>
  <c r="AA1414" i="208"/>
  <c r="F1411" i="208"/>
  <c r="T1411" i="208" s="1"/>
  <c r="AB1411" i="208"/>
  <c r="AA1411" i="208"/>
  <c r="F1408" i="208"/>
  <c r="T1408" i="208" s="1"/>
  <c r="AB1408" i="208"/>
  <c r="AA1408" i="208"/>
  <c r="F1399" i="208"/>
  <c r="T1399" i="208" s="1"/>
  <c r="AB1399" i="208"/>
  <c r="AA1399" i="208"/>
  <c r="F1396" i="208"/>
  <c r="T1396" i="208" s="1"/>
  <c r="AB1396" i="208"/>
  <c r="AA1396" i="208"/>
  <c r="F1393" i="208"/>
  <c r="T1393" i="208" s="1"/>
  <c r="AB1393" i="208"/>
  <c r="AA1393" i="208"/>
  <c r="F1390" i="208"/>
  <c r="T1390" i="208" s="1"/>
  <c r="AB1390" i="208"/>
  <c r="AA1390" i="208"/>
  <c r="F1387" i="208"/>
  <c r="T1387" i="208" s="1"/>
  <c r="AB1387" i="208"/>
  <c r="AA1387" i="208"/>
  <c r="F1384" i="208"/>
  <c r="T1384" i="208" s="1"/>
  <c r="AB1384" i="208"/>
  <c r="AA1384" i="208"/>
  <c r="AB1378" i="208"/>
  <c r="F1375" i="208"/>
  <c r="T1375" i="208" s="1"/>
  <c r="AB1375" i="208"/>
  <c r="AA1375" i="208"/>
  <c r="F1372" i="208"/>
  <c r="T1372" i="208" s="1"/>
  <c r="AB1372" i="208"/>
  <c r="AA1372" i="208"/>
  <c r="F1369" i="208"/>
  <c r="T1369" i="208" s="1"/>
  <c r="AB1369" i="208"/>
  <c r="AA1369" i="208"/>
  <c r="F1366" i="208"/>
  <c r="T1366" i="208" s="1"/>
  <c r="AB1366" i="208"/>
  <c r="AA1366" i="208"/>
  <c r="F1351" i="208"/>
  <c r="T1351" i="208" s="1"/>
  <c r="AB1351" i="208"/>
  <c r="AA1351" i="208"/>
  <c r="F1348" i="208"/>
  <c r="T1348" i="208" s="1"/>
  <c r="AA1348" i="208"/>
  <c r="AB1348" i="208"/>
  <c r="F1345" i="208"/>
  <c r="T1345" i="208" s="1"/>
  <c r="AB1345" i="208"/>
  <c r="AA1345" i="208"/>
  <c r="F1342" i="208"/>
  <c r="T1342" i="208" s="1"/>
  <c r="AB1342" i="208"/>
  <c r="AA1342" i="208"/>
  <c r="F1333" i="208"/>
  <c r="T1333" i="208" s="1"/>
  <c r="AB1333" i="208"/>
  <c r="AA1333" i="208"/>
  <c r="F1330" i="208"/>
  <c r="T1330" i="208" s="1"/>
  <c r="AB1330" i="208"/>
  <c r="AA1330" i="208"/>
  <c r="F1327" i="208"/>
  <c r="T1327" i="208" s="1"/>
  <c r="AB1327" i="208"/>
  <c r="AA1327" i="208"/>
  <c r="F1324" i="208"/>
  <c r="T1324" i="208" s="1"/>
  <c r="AB1324" i="208"/>
  <c r="AA1324" i="208"/>
  <c r="F1309" i="208"/>
  <c r="T1309" i="208" s="1"/>
  <c r="AB1309" i="208"/>
  <c r="AA1309" i="208"/>
  <c r="F1306" i="208"/>
  <c r="T1306" i="208" s="1"/>
  <c r="AB1306" i="208"/>
  <c r="AA1306" i="208"/>
  <c r="F1303" i="208"/>
  <c r="T1303" i="208" s="1"/>
  <c r="AB1303" i="208"/>
  <c r="AA1303" i="208"/>
  <c r="F1300" i="208"/>
  <c r="T1300" i="208" s="1"/>
  <c r="AB1300" i="208"/>
  <c r="AA1300" i="208"/>
  <c r="F1297" i="208"/>
  <c r="T1297" i="208" s="1"/>
  <c r="AB1297" i="208"/>
  <c r="AA1297" i="208"/>
  <c r="F1294" i="208"/>
  <c r="T1294" i="208" s="1"/>
  <c r="AB1294" i="208"/>
  <c r="AA1294" i="208"/>
  <c r="F1291" i="208"/>
  <c r="T1291" i="208" s="1"/>
  <c r="AB1291" i="208"/>
  <c r="AA1291" i="208"/>
  <c r="F1288" i="208"/>
  <c r="T1288" i="208" s="1"/>
  <c r="AB1288" i="208"/>
  <c r="AA1288" i="208"/>
  <c r="F1285" i="208"/>
  <c r="T1285" i="208" s="1"/>
  <c r="AB1285" i="208"/>
  <c r="AA1285" i="208"/>
  <c r="F1282" i="208"/>
  <c r="T1282" i="208" s="1"/>
  <c r="AB1282" i="208"/>
  <c r="AA1282" i="208"/>
  <c r="F1273" i="208"/>
  <c r="T1273" i="208" s="1"/>
  <c r="AB1273" i="208"/>
  <c r="AA1273" i="208"/>
  <c r="F1270" i="208"/>
  <c r="T1270" i="208" s="1"/>
  <c r="AB1270" i="208"/>
  <c r="AA1270" i="208"/>
  <c r="F1267" i="208"/>
  <c r="T1267" i="208" s="1"/>
  <c r="AB1267" i="208"/>
  <c r="AA1267" i="208"/>
  <c r="F1264" i="208"/>
  <c r="T1264" i="208" s="1"/>
  <c r="AB1264" i="208"/>
  <c r="AA1264" i="208"/>
  <c r="F1255" i="208"/>
  <c r="T1255" i="208" s="1"/>
  <c r="AB1255" i="208"/>
  <c r="AA1255" i="208"/>
  <c r="F1252" i="208"/>
  <c r="T1252" i="208" s="1"/>
  <c r="AB1252" i="208"/>
  <c r="AA1252" i="208"/>
  <c r="F1249" i="208"/>
  <c r="T1249" i="208" s="1"/>
  <c r="AB1249" i="208"/>
  <c r="AA1249" i="208"/>
  <c r="F1246" i="208"/>
  <c r="T1246" i="208" s="1"/>
  <c r="AB1246" i="208"/>
  <c r="AA1246" i="208"/>
  <c r="F1243" i="208"/>
  <c r="T1243" i="208" s="1"/>
  <c r="AB1243" i="208"/>
  <c r="AA1243" i="208"/>
  <c r="F1240" i="208"/>
  <c r="T1240" i="208" s="1"/>
  <c r="AB1240" i="208"/>
  <c r="AA1240" i="208"/>
  <c r="AB1234" i="208"/>
  <c r="F1231" i="208"/>
  <c r="T1231" i="208" s="1"/>
  <c r="AB1231" i="208"/>
  <c r="AA1231" i="208"/>
  <c r="F1228" i="208"/>
  <c r="T1228" i="208" s="1"/>
  <c r="AB1228" i="208"/>
  <c r="AA1228" i="208"/>
  <c r="F1225" i="208"/>
  <c r="T1225" i="208" s="1"/>
  <c r="AB1225" i="208"/>
  <c r="AA1225" i="208"/>
  <c r="F1222" i="208"/>
  <c r="T1222" i="208" s="1"/>
  <c r="AB1222" i="208"/>
  <c r="AA1222" i="208"/>
  <c r="F1207" i="208"/>
  <c r="T1207" i="208" s="1"/>
  <c r="AB1207" i="208"/>
  <c r="AA1207" i="208"/>
  <c r="F1204" i="208"/>
  <c r="T1204" i="208" s="1"/>
  <c r="AB1204" i="208"/>
  <c r="AA1204" i="208"/>
  <c r="F1201" i="208"/>
  <c r="T1201" i="208" s="1"/>
  <c r="AB1201" i="208"/>
  <c r="AA1201" i="208"/>
  <c r="F1198" i="208"/>
  <c r="T1198" i="208" s="1"/>
  <c r="AB1198" i="208"/>
  <c r="AA1198" i="208"/>
  <c r="F1189" i="208"/>
  <c r="T1189" i="208" s="1"/>
  <c r="AB1189" i="208"/>
  <c r="AA1189" i="208"/>
  <c r="F1186" i="208"/>
  <c r="T1186" i="208" s="1"/>
  <c r="AB1186" i="208"/>
  <c r="AA1186" i="208"/>
  <c r="F1183" i="208"/>
  <c r="T1183" i="208" s="1"/>
  <c r="AB1183" i="208"/>
  <c r="AA1183" i="208"/>
  <c r="F1180" i="208"/>
  <c r="T1180" i="208" s="1"/>
  <c r="AB1180" i="208"/>
  <c r="AA1180" i="208"/>
  <c r="F1162" i="208"/>
  <c r="T1162" i="208" s="1"/>
  <c r="AB1162" i="208"/>
  <c r="AA1162" i="208"/>
  <c r="F1159" i="208"/>
  <c r="T1159" i="208" s="1"/>
  <c r="AB1159" i="208"/>
  <c r="AA1159" i="208"/>
  <c r="F1156" i="208"/>
  <c r="T1156" i="208" s="1"/>
  <c r="AB1156" i="208"/>
  <c r="AA1156" i="208"/>
  <c r="F1153" i="208"/>
  <c r="T1153" i="208" s="1"/>
  <c r="AB1153" i="208"/>
  <c r="AA1153" i="208"/>
  <c r="F1150" i="208"/>
  <c r="T1150" i="208" s="1"/>
  <c r="AB1150" i="208"/>
  <c r="AA1150" i="208"/>
  <c r="F1147" i="208"/>
  <c r="T1147" i="208" s="1"/>
  <c r="AB1147" i="208"/>
  <c r="AA1147" i="208"/>
  <c r="F1144" i="208"/>
  <c r="T1144" i="208" s="1"/>
  <c r="AB1144" i="208"/>
  <c r="AA1144" i="208"/>
  <c r="F1141" i="208"/>
  <c r="T1141" i="208" s="1"/>
  <c r="AB1141" i="208"/>
  <c r="AA1141" i="208"/>
  <c r="F1138" i="208"/>
  <c r="T1138" i="208" s="1"/>
  <c r="AB1138" i="208"/>
  <c r="AA1138" i="208"/>
  <c r="F1129" i="208"/>
  <c r="T1129" i="208" s="1"/>
  <c r="AB1129" i="208"/>
  <c r="AA1129" i="208"/>
  <c r="F1126" i="208"/>
  <c r="T1126" i="208" s="1"/>
  <c r="AB1126" i="208"/>
  <c r="AA1126" i="208"/>
  <c r="F1123" i="208"/>
  <c r="T1123" i="208" s="1"/>
  <c r="AB1123" i="208"/>
  <c r="AA1123" i="208"/>
  <c r="F1120" i="208"/>
  <c r="T1120" i="208" s="1"/>
  <c r="AB1120" i="208"/>
  <c r="AA1120" i="208"/>
  <c r="F1111" i="208"/>
  <c r="T1111" i="208" s="1"/>
  <c r="AB1111" i="208"/>
  <c r="AA1111" i="208"/>
  <c r="F1108" i="208"/>
  <c r="T1108" i="208" s="1"/>
  <c r="AB1108" i="208"/>
  <c r="AA1108" i="208"/>
  <c r="F1105" i="208"/>
  <c r="T1105" i="208" s="1"/>
  <c r="AB1105" i="208"/>
  <c r="AA1105" i="208"/>
  <c r="F1102" i="208"/>
  <c r="T1102" i="208" s="1"/>
  <c r="AB1102" i="208"/>
  <c r="AA1102" i="208"/>
  <c r="F1099" i="208"/>
  <c r="T1099" i="208" s="1"/>
  <c r="AB1099" i="208"/>
  <c r="AA1099" i="208"/>
  <c r="F1096" i="208"/>
  <c r="T1096" i="208" s="1"/>
  <c r="AB1096" i="208"/>
  <c r="AA1096" i="208"/>
  <c r="F1087" i="208"/>
  <c r="T1087" i="208" s="1"/>
  <c r="AB1087" i="208"/>
  <c r="AA1087" i="208"/>
  <c r="F1084" i="208"/>
  <c r="T1084" i="208" s="1"/>
  <c r="AB1084" i="208"/>
  <c r="AA1084" i="208"/>
  <c r="F1081" i="208"/>
  <c r="T1081" i="208" s="1"/>
  <c r="AB1081" i="208"/>
  <c r="AA1081" i="208"/>
  <c r="F1078" i="208"/>
  <c r="T1078" i="208" s="1"/>
  <c r="AB1078" i="208"/>
  <c r="AA1078" i="208"/>
  <c r="F1063" i="208"/>
  <c r="T1063" i="208" s="1"/>
  <c r="AB1063" i="208"/>
  <c r="AA1063" i="208"/>
  <c r="F1060" i="208"/>
  <c r="T1060" i="208" s="1"/>
  <c r="AB1060" i="208"/>
  <c r="AA1060" i="208"/>
  <c r="F1057" i="208"/>
  <c r="T1057" i="208" s="1"/>
  <c r="AB1057" i="208"/>
  <c r="AA1057" i="208"/>
  <c r="F1054" i="208"/>
  <c r="T1054" i="208" s="1"/>
  <c r="AB1054" i="208"/>
  <c r="AA1054" i="208"/>
  <c r="AB1051" i="208"/>
  <c r="F1045" i="208"/>
  <c r="T1045" i="208" s="1"/>
  <c r="AB1045" i="208"/>
  <c r="AA1045" i="208"/>
  <c r="F1042" i="208"/>
  <c r="T1042" i="208" s="1"/>
  <c r="AB1042" i="208"/>
  <c r="AA1042" i="208"/>
  <c r="F1039" i="208"/>
  <c r="T1039" i="208" s="1"/>
  <c r="AB1039" i="208"/>
  <c r="AA1039" i="208"/>
  <c r="F1036" i="208"/>
  <c r="T1036" i="208" s="1"/>
  <c r="AB1036" i="208"/>
  <c r="AA1036" i="208"/>
  <c r="F1021" i="208"/>
  <c r="T1021" i="208" s="1"/>
  <c r="AB1021" i="208"/>
  <c r="AA1021" i="208"/>
  <c r="F1018" i="208"/>
  <c r="T1018" i="208" s="1"/>
  <c r="AB1018" i="208"/>
  <c r="AA1018" i="208"/>
  <c r="AA1012" i="208"/>
  <c r="F1009" i="208"/>
  <c r="T1009" i="208" s="1"/>
  <c r="AB1009" i="208"/>
  <c r="AA1009" i="208"/>
  <c r="F1006" i="208"/>
  <c r="T1006" i="208" s="1"/>
  <c r="AB1006" i="208"/>
  <c r="AA1006" i="208"/>
  <c r="F1003" i="208"/>
  <c r="T1003" i="208" s="1"/>
  <c r="AB1003" i="208"/>
  <c r="AA1003" i="208"/>
  <c r="F1000" i="208"/>
  <c r="T1000" i="208" s="1"/>
  <c r="AB1000" i="208"/>
  <c r="AA1000" i="208"/>
  <c r="F997" i="208"/>
  <c r="T997" i="208" s="1"/>
  <c r="AB997" i="208"/>
  <c r="AA997" i="208"/>
  <c r="F994" i="208"/>
  <c r="T994" i="208" s="1"/>
  <c r="AB994" i="208"/>
  <c r="AA994" i="208"/>
  <c r="F985" i="208"/>
  <c r="T985" i="208" s="1"/>
  <c r="AB985" i="208"/>
  <c r="AA985" i="208"/>
  <c r="F982" i="208"/>
  <c r="T982" i="208" s="1"/>
  <c r="AB982" i="208"/>
  <c r="AA982" i="208"/>
  <c r="F979" i="208"/>
  <c r="T979" i="208" s="1"/>
  <c r="AB979" i="208"/>
  <c r="AA979" i="208"/>
  <c r="F976" i="208"/>
  <c r="T976" i="208" s="1"/>
  <c r="AB976" i="208"/>
  <c r="AA976" i="208"/>
  <c r="F967" i="208"/>
  <c r="T967" i="208" s="1"/>
  <c r="AB967" i="208"/>
  <c r="AA967" i="208"/>
  <c r="F964" i="208"/>
  <c r="T964" i="208" s="1"/>
  <c r="AB964" i="208"/>
  <c r="AA964" i="208"/>
  <c r="F961" i="208"/>
  <c r="T961" i="208" s="1"/>
  <c r="AB961" i="208"/>
  <c r="AA961" i="208"/>
  <c r="F958" i="208"/>
  <c r="T958" i="208" s="1"/>
  <c r="AB958" i="208"/>
  <c r="AA958" i="208"/>
  <c r="F955" i="208"/>
  <c r="T955" i="208" s="1"/>
  <c r="AB955" i="208"/>
  <c r="AA955" i="208"/>
  <c r="F952" i="208"/>
  <c r="T952" i="208" s="1"/>
  <c r="AB952" i="208"/>
  <c r="AA952" i="208"/>
  <c r="F949" i="208"/>
  <c r="T949" i="208" s="1"/>
  <c r="F943" i="208"/>
  <c r="T943" i="208" s="1"/>
  <c r="AB943" i="208"/>
  <c r="AA943" i="208"/>
  <c r="F940" i="208"/>
  <c r="T940" i="208" s="1"/>
  <c r="AB940" i="208"/>
  <c r="AA940" i="208"/>
  <c r="F937" i="208"/>
  <c r="T937" i="208" s="1"/>
  <c r="AB937" i="208"/>
  <c r="AA937" i="208"/>
  <c r="F934" i="208"/>
  <c r="T934" i="208" s="1"/>
  <c r="AB934" i="208"/>
  <c r="AA934" i="208"/>
  <c r="F919" i="208"/>
  <c r="T919" i="208" s="1"/>
  <c r="AB919" i="208"/>
  <c r="AA919" i="208"/>
  <c r="F916" i="208"/>
  <c r="T916" i="208" s="1"/>
  <c r="AB916" i="208"/>
  <c r="AA916" i="208"/>
  <c r="AA910" i="208"/>
  <c r="F901" i="208"/>
  <c r="T901" i="208" s="1"/>
  <c r="AB901" i="208"/>
  <c r="AA901" i="208"/>
  <c r="F898" i="208"/>
  <c r="T898" i="208" s="1"/>
  <c r="AB898" i="208"/>
  <c r="AA898" i="208"/>
  <c r="F895" i="208"/>
  <c r="T895" i="208" s="1"/>
  <c r="AB895" i="208"/>
  <c r="AA895" i="208"/>
  <c r="F892" i="208"/>
  <c r="T892" i="208" s="1"/>
  <c r="AB892" i="208"/>
  <c r="AA892" i="208"/>
  <c r="F877" i="208"/>
  <c r="T877" i="208" s="1"/>
  <c r="AB877" i="208"/>
  <c r="AA877" i="208"/>
  <c r="F874" i="208"/>
  <c r="T874" i="208" s="1"/>
  <c r="AB874" i="208"/>
  <c r="AA874" i="208"/>
  <c r="AA868" i="208"/>
  <c r="F865" i="208"/>
  <c r="T865" i="208" s="1"/>
  <c r="AB865" i="208"/>
  <c r="AA865" i="208"/>
  <c r="F862" i="208"/>
  <c r="T862" i="208" s="1"/>
  <c r="AB862" i="208"/>
  <c r="AA862" i="208"/>
  <c r="F859" i="208"/>
  <c r="T859" i="208" s="1"/>
  <c r="AB859" i="208"/>
  <c r="AA859" i="208"/>
  <c r="F856" i="208"/>
  <c r="T856" i="208" s="1"/>
  <c r="AB856" i="208"/>
  <c r="AA856" i="208"/>
  <c r="F853" i="208"/>
  <c r="T853" i="208" s="1"/>
  <c r="AB853" i="208"/>
  <c r="AA853" i="208"/>
  <c r="F850" i="208"/>
  <c r="T850" i="208" s="1"/>
  <c r="AB850" i="208"/>
  <c r="AA850" i="208"/>
  <c r="AB847" i="208"/>
  <c r="F841" i="208"/>
  <c r="T841" i="208" s="1"/>
  <c r="AB841" i="208"/>
  <c r="AA841" i="208"/>
  <c r="F838" i="208"/>
  <c r="T838" i="208" s="1"/>
  <c r="AB838" i="208"/>
  <c r="AA838" i="208"/>
  <c r="F835" i="208"/>
  <c r="T835" i="208" s="1"/>
  <c r="AB835" i="208"/>
  <c r="AA835" i="208"/>
  <c r="F832" i="208"/>
  <c r="T832" i="208" s="1"/>
  <c r="AB832" i="208"/>
  <c r="AA832" i="208"/>
  <c r="F823" i="208"/>
  <c r="T823" i="208" s="1"/>
  <c r="AB823" i="208"/>
  <c r="AA823" i="208"/>
  <c r="F820" i="208"/>
  <c r="T820" i="208" s="1"/>
  <c r="AB820" i="208"/>
  <c r="AA820" i="208"/>
  <c r="F817" i="208"/>
  <c r="T817" i="208" s="1"/>
  <c r="AB817" i="208"/>
  <c r="AA817" i="208"/>
  <c r="F814" i="208"/>
  <c r="T814" i="208" s="1"/>
  <c r="AB814" i="208"/>
  <c r="AA814" i="208"/>
  <c r="F811" i="208"/>
  <c r="T811" i="208" s="1"/>
  <c r="AB811" i="208"/>
  <c r="AA811" i="208"/>
  <c r="F808" i="208"/>
  <c r="T808" i="208" s="1"/>
  <c r="AB808" i="208"/>
  <c r="AA808" i="208"/>
  <c r="F799" i="208"/>
  <c r="T799" i="208" s="1"/>
  <c r="AB799" i="208"/>
  <c r="AA799" i="208"/>
  <c r="F796" i="208"/>
  <c r="T796" i="208" s="1"/>
  <c r="AB796" i="208"/>
  <c r="AA796" i="208"/>
  <c r="F793" i="208"/>
  <c r="T793" i="208" s="1"/>
  <c r="AB793" i="208"/>
  <c r="AA793" i="208"/>
  <c r="F790" i="208"/>
  <c r="T790" i="208" s="1"/>
  <c r="AB790" i="208"/>
  <c r="AA790" i="208"/>
  <c r="F775" i="208"/>
  <c r="T775" i="208" s="1"/>
  <c r="AB775" i="208"/>
  <c r="AA775" i="208"/>
  <c r="F772" i="208"/>
  <c r="T772" i="208" s="1"/>
  <c r="AB772" i="208"/>
  <c r="AA772" i="208"/>
  <c r="AA766" i="208"/>
  <c r="F757" i="208"/>
  <c r="T757" i="208" s="1"/>
  <c r="AB757" i="208"/>
  <c r="AA757" i="208"/>
  <c r="F754" i="208"/>
  <c r="T754" i="208" s="1"/>
  <c r="AB754" i="208"/>
  <c r="AA754" i="208"/>
  <c r="F751" i="208"/>
  <c r="T751" i="208" s="1"/>
  <c r="AB751" i="208"/>
  <c r="AA751" i="208"/>
  <c r="F748" i="208"/>
  <c r="T748" i="208" s="1"/>
  <c r="AB748" i="208"/>
  <c r="AA748" i="208"/>
  <c r="F733" i="208"/>
  <c r="T733" i="208" s="1"/>
  <c r="AB733" i="208"/>
  <c r="AA733" i="208"/>
  <c r="F730" i="208"/>
  <c r="T730" i="208" s="1"/>
  <c r="AB730" i="208"/>
  <c r="AA730" i="208"/>
  <c r="AA724" i="208"/>
  <c r="F721" i="208"/>
  <c r="T721" i="208" s="1"/>
  <c r="AB721" i="208"/>
  <c r="AA721" i="208"/>
  <c r="F718" i="208"/>
  <c r="T718" i="208" s="1"/>
  <c r="AB718" i="208"/>
  <c r="AA718" i="208"/>
  <c r="F715" i="208"/>
  <c r="T715" i="208" s="1"/>
  <c r="AB715" i="208"/>
  <c r="AA715" i="208"/>
  <c r="F712" i="208"/>
  <c r="T712" i="208" s="1"/>
  <c r="AB712" i="208"/>
  <c r="AA712" i="208"/>
  <c r="F709" i="208"/>
  <c r="T709" i="208" s="1"/>
  <c r="AB709" i="208"/>
  <c r="AA709" i="208"/>
  <c r="F706" i="208"/>
  <c r="T706" i="208" s="1"/>
  <c r="AB706" i="208"/>
  <c r="AA706" i="208"/>
  <c r="F697" i="208"/>
  <c r="T697" i="208" s="1"/>
  <c r="AB697" i="208"/>
  <c r="AA697" i="208"/>
  <c r="F694" i="208"/>
  <c r="T694" i="208" s="1"/>
  <c r="AB694" i="208"/>
  <c r="AA694" i="208"/>
  <c r="F691" i="208"/>
  <c r="T691" i="208" s="1"/>
  <c r="AB691" i="208"/>
  <c r="AA691" i="208"/>
  <c r="F688" i="208"/>
  <c r="T688" i="208" s="1"/>
  <c r="AB688" i="208"/>
  <c r="AA688" i="208"/>
  <c r="F679" i="208"/>
  <c r="T679" i="208" s="1"/>
  <c r="AB679" i="208"/>
  <c r="AA679" i="208"/>
  <c r="F676" i="208"/>
  <c r="T676" i="208" s="1"/>
  <c r="AB676" i="208"/>
  <c r="AA676" i="208"/>
  <c r="F667" i="208"/>
  <c r="T667" i="208" s="1"/>
  <c r="AB667" i="208"/>
  <c r="AA667" i="208"/>
  <c r="F664" i="208"/>
  <c r="T664" i="208" s="1"/>
  <c r="AB664" i="208"/>
  <c r="AA664" i="208"/>
  <c r="F655" i="208"/>
  <c r="T655" i="208" s="1"/>
  <c r="AB655" i="208"/>
  <c r="AA655" i="208"/>
  <c r="F652" i="208"/>
  <c r="T652" i="208" s="1"/>
  <c r="AB652" i="208"/>
  <c r="AA652" i="208"/>
  <c r="F649" i="208"/>
  <c r="T649" i="208" s="1"/>
  <c r="AB649" i="208"/>
  <c r="AA649" i="208"/>
  <c r="F646" i="208"/>
  <c r="T646" i="208" s="1"/>
  <c r="AB646" i="208"/>
  <c r="AA646" i="208"/>
  <c r="AA622" i="208"/>
  <c r="F613" i="208"/>
  <c r="T613" i="208" s="1"/>
  <c r="AB613" i="208"/>
  <c r="AA613" i="208"/>
  <c r="F610" i="208"/>
  <c r="T610" i="208" s="1"/>
  <c r="AB610" i="208"/>
  <c r="AA610" i="208"/>
  <c r="F607" i="208"/>
  <c r="T607" i="208" s="1"/>
  <c r="AB607" i="208"/>
  <c r="AA607" i="208"/>
  <c r="F604" i="208"/>
  <c r="T604" i="208" s="1"/>
  <c r="AB604" i="208"/>
  <c r="AA604" i="208"/>
  <c r="F589" i="208"/>
  <c r="T589" i="208" s="1"/>
  <c r="AA589" i="208"/>
  <c r="AB589" i="208"/>
  <c r="F586" i="208"/>
  <c r="T586" i="208" s="1"/>
  <c r="AB586" i="208"/>
  <c r="AA586" i="208"/>
  <c r="AA580" i="208"/>
  <c r="F577" i="208"/>
  <c r="T577" i="208" s="1"/>
  <c r="AB577" i="208"/>
  <c r="AA577" i="208"/>
  <c r="F574" i="208"/>
  <c r="T574" i="208" s="1"/>
  <c r="AB574" i="208"/>
  <c r="AA574" i="208"/>
  <c r="F571" i="208"/>
  <c r="T571" i="208" s="1"/>
  <c r="AB571" i="208"/>
  <c r="AA571" i="208"/>
  <c r="F568" i="208"/>
  <c r="T568" i="208" s="1"/>
  <c r="AB568" i="208"/>
  <c r="AA568" i="208"/>
  <c r="F565" i="208"/>
  <c r="T565" i="208" s="1"/>
  <c r="AB565" i="208"/>
  <c r="AA565" i="208"/>
  <c r="F562" i="208"/>
  <c r="T562" i="208" s="1"/>
  <c r="AB562" i="208"/>
  <c r="AA562" i="208"/>
  <c r="F553" i="208"/>
  <c r="T553" i="208" s="1"/>
  <c r="AB553" i="208"/>
  <c r="AA553" i="208"/>
  <c r="F550" i="208"/>
  <c r="T550" i="208" s="1"/>
  <c r="AB550" i="208"/>
  <c r="AA550" i="208"/>
  <c r="F547" i="208"/>
  <c r="T547" i="208" s="1"/>
  <c r="AB547" i="208"/>
  <c r="AA547" i="208"/>
  <c r="F544" i="208"/>
  <c r="T544" i="208" s="1"/>
  <c r="AB544" i="208"/>
  <c r="AA544" i="208"/>
  <c r="F535" i="208"/>
  <c r="T535" i="208" s="1"/>
  <c r="AB535" i="208"/>
  <c r="AA535" i="208"/>
  <c r="F532" i="208"/>
  <c r="T532" i="208" s="1"/>
  <c r="AB532" i="208"/>
  <c r="AA532" i="208"/>
  <c r="F523" i="208"/>
  <c r="T523" i="208" s="1"/>
  <c r="AB523" i="208"/>
  <c r="AA523" i="208"/>
  <c r="F520" i="208"/>
  <c r="T520" i="208" s="1"/>
  <c r="AB520" i="208"/>
  <c r="AA520" i="208"/>
  <c r="F511" i="208"/>
  <c r="T511" i="208" s="1"/>
  <c r="AB511" i="208"/>
  <c r="AA511" i="208"/>
  <c r="F508" i="208"/>
  <c r="T508" i="208" s="1"/>
  <c r="AB508" i="208"/>
  <c r="AA508" i="208"/>
  <c r="F505" i="208"/>
  <c r="T505" i="208" s="1"/>
  <c r="AB505" i="208"/>
  <c r="AA505" i="208"/>
  <c r="F502" i="208"/>
  <c r="T502" i="208" s="1"/>
  <c r="AB502" i="208"/>
  <c r="AA502" i="208"/>
  <c r="AA484" i="208"/>
  <c r="AA478" i="208"/>
  <c r="F469" i="208"/>
  <c r="T469" i="208" s="1"/>
  <c r="AB469" i="208"/>
  <c r="AA469" i="208"/>
  <c r="F466" i="208"/>
  <c r="T466" i="208" s="1"/>
  <c r="AB466" i="208"/>
  <c r="AA466" i="208"/>
  <c r="F463" i="208"/>
  <c r="T463" i="208" s="1"/>
  <c r="AB463" i="208"/>
  <c r="AA463" i="208"/>
  <c r="F460" i="208"/>
  <c r="T460" i="208" s="1"/>
  <c r="AB460" i="208"/>
  <c r="AA460" i="208"/>
  <c r="F445" i="208"/>
  <c r="T445" i="208" s="1"/>
  <c r="AB445" i="208"/>
  <c r="AA445" i="208"/>
  <c r="F442" i="208"/>
  <c r="T442" i="208" s="1"/>
  <c r="AB442" i="208"/>
  <c r="AA442" i="208"/>
  <c r="AA436" i="208"/>
  <c r="F433" i="208"/>
  <c r="T433" i="208" s="1"/>
  <c r="AB433" i="208"/>
  <c r="AA433" i="208"/>
  <c r="F430" i="208"/>
  <c r="T430" i="208" s="1"/>
  <c r="AB430" i="208"/>
  <c r="AA430" i="208"/>
  <c r="F427" i="208"/>
  <c r="T427" i="208" s="1"/>
  <c r="AB427" i="208"/>
  <c r="AA427" i="208"/>
  <c r="F424" i="208"/>
  <c r="T424" i="208" s="1"/>
  <c r="AB424" i="208"/>
  <c r="AA424" i="208"/>
  <c r="F421" i="208"/>
  <c r="T421" i="208" s="1"/>
  <c r="AB421" i="208"/>
  <c r="AA421" i="208"/>
  <c r="F418" i="208"/>
  <c r="T418" i="208" s="1"/>
  <c r="AB418" i="208"/>
  <c r="AA418" i="208"/>
  <c r="F409" i="208"/>
  <c r="T409" i="208" s="1"/>
  <c r="AB409" i="208"/>
  <c r="AA409" i="208"/>
  <c r="F406" i="208"/>
  <c r="T406" i="208" s="1"/>
  <c r="AB406" i="208"/>
  <c r="AA406" i="208"/>
  <c r="F403" i="208"/>
  <c r="T403" i="208" s="1"/>
  <c r="AB403" i="208"/>
  <c r="AA403" i="208"/>
  <c r="F400" i="208"/>
  <c r="T400" i="208" s="1"/>
  <c r="AB400" i="208"/>
  <c r="AA400" i="208"/>
  <c r="F391" i="208"/>
  <c r="T391" i="208" s="1"/>
  <c r="AB391" i="208"/>
  <c r="AA391" i="208"/>
  <c r="F388" i="208"/>
  <c r="T388" i="208" s="1"/>
  <c r="AB388" i="208"/>
  <c r="AA388" i="208"/>
  <c r="AA385" i="208"/>
  <c r="F382" i="208"/>
  <c r="T382" i="208" s="1"/>
  <c r="F379" i="208"/>
  <c r="T379" i="208" s="1"/>
  <c r="AB379" i="208"/>
  <c r="AA379" i="208"/>
  <c r="F376" i="208"/>
  <c r="T376" i="208" s="1"/>
  <c r="AB376" i="208"/>
  <c r="AA376" i="208"/>
  <c r="F367" i="208"/>
  <c r="T367" i="208" s="1"/>
  <c r="AB367" i="208"/>
  <c r="AA367" i="208"/>
  <c r="F364" i="208"/>
  <c r="T364" i="208" s="1"/>
  <c r="AB364" i="208"/>
  <c r="AA364" i="208"/>
  <c r="F361" i="208"/>
  <c r="T361" i="208" s="1"/>
  <c r="AB361" i="208"/>
  <c r="AA361" i="208"/>
  <c r="F358" i="208"/>
  <c r="T358" i="208" s="1"/>
  <c r="AB358" i="208"/>
  <c r="AA358" i="208"/>
  <c r="AB343" i="208"/>
  <c r="AA343" i="208"/>
  <c r="AA334" i="208"/>
  <c r="F325" i="208"/>
  <c r="T325" i="208" s="1"/>
  <c r="AB325" i="208"/>
  <c r="AA325" i="208"/>
  <c r="F322" i="208"/>
  <c r="T322" i="208" s="1"/>
  <c r="AB322" i="208"/>
  <c r="AA322" i="208"/>
  <c r="F319" i="208"/>
  <c r="T319" i="208" s="1"/>
  <c r="AB319" i="208"/>
  <c r="AA319" i="208"/>
  <c r="F316" i="208"/>
  <c r="T316" i="208" s="1"/>
  <c r="AB316" i="208"/>
  <c r="AA316" i="208"/>
  <c r="F300" i="208"/>
  <c r="T300" i="208" s="1"/>
  <c r="AB300" i="208"/>
  <c r="AA300" i="208"/>
  <c r="F288" i="208"/>
  <c r="T288" i="208" s="1"/>
  <c r="AB288" i="208"/>
  <c r="AA288" i="208"/>
  <c r="F285" i="208"/>
  <c r="T285" i="208" s="1"/>
  <c r="AB285" i="208"/>
  <c r="AA285" i="208"/>
  <c r="F282" i="208"/>
  <c r="T282" i="208" s="1"/>
  <c r="AB282" i="208"/>
  <c r="AA282" i="208"/>
  <c r="F276" i="208"/>
  <c r="T276" i="208" s="1"/>
  <c r="AB276" i="208"/>
  <c r="AA276" i="208"/>
  <c r="F264" i="208"/>
  <c r="T264" i="208" s="1"/>
  <c r="AB264" i="208"/>
  <c r="AA264" i="208"/>
  <c r="F255" i="208"/>
  <c r="T255" i="208" s="1"/>
  <c r="AB255" i="208"/>
  <c r="AA255" i="208"/>
  <c r="F246" i="208"/>
  <c r="T246" i="208" s="1"/>
  <c r="AB246" i="208"/>
  <c r="AA246" i="208"/>
  <c r="F237" i="208"/>
  <c r="T237" i="208" s="1"/>
  <c r="AB237" i="208"/>
  <c r="AA237" i="208"/>
  <c r="F228" i="208"/>
  <c r="T228" i="208" s="1"/>
  <c r="AB228" i="208"/>
  <c r="AA228" i="208"/>
  <c r="F219" i="208"/>
  <c r="T219" i="208" s="1"/>
  <c r="AB219" i="208"/>
  <c r="AA219" i="208"/>
  <c r="F210" i="208"/>
  <c r="T210" i="208" s="1"/>
  <c r="AB210" i="208"/>
  <c r="AA210" i="208"/>
  <c r="F201" i="208"/>
  <c r="T201" i="208" s="1"/>
  <c r="AB201" i="208"/>
  <c r="AA201" i="208"/>
  <c r="F192" i="208"/>
  <c r="T192" i="208" s="1"/>
  <c r="AB192" i="208"/>
  <c r="AA192" i="208"/>
  <c r="F183" i="208"/>
  <c r="T183" i="208" s="1"/>
  <c r="AB183" i="208"/>
  <c r="AA183" i="208"/>
  <c r="F174" i="208"/>
  <c r="T174" i="208" s="1"/>
  <c r="AB174" i="208"/>
  <c r="AA174" i="208"/>
  <c r="F165" i="208"/>
  <c r="T165" i="208" s="1"/>
  <c r="AB165" i="208"/>
  <c r="AA165" i="208"/>
  <c r="F156" i="208"/>
  <c r="T156" i="208" s="1"/>
  <c r="AB156" i="208"/>
  <c r="AA156" i="208"/>
  <c r="F147" i="208"/>
  <c r="T147" i="208" s="1"/>
  <c r="AB147" i="208"/>
  <c r="AA147" i="208"/>
  <c r="F138" i="208"/>
  <c r="T138" i="208" s="1"/>
  <c r="AB138" i="208"/>
  <c r="AA138" i="208"/>
  <c r="F129" i="208"/>
  <c r="T129" i="208" s="1"/>
  <c r="AB129" i="208"/>
  <c r="AA129" i="208"/>
  <c r="F120" i="208"/>
  <c r="T120" i="208" s="1"/>
  <c r="AB120" i="208"/>
  <c r="AA120" i="208"/>
  <c r="F111" i="208"/>
  <c r="T111" i="208" s="1"/>
  <c r="AB111" i="208"/>
  <c r="AA111" i="208"/>
  <c r="F102" i="208"/>
  <c r="T102" i="208" s="1"/>
  <c r="AB102" i="208"/>
  <c r="AA102" i="208"/>
  <c r="F93" i="208"/>
  <c r="T93" i="208" s="1"/>
  <c r="AB93" i="208"/>
  <c r="AA93" i="208"/>
  <c r="F84" i="208"/>
  <c r="T84" i="208" s="1"/>
  <c r="AB84" i="208"/>
  <c r="AA84" i="208"/>
  <c r="F75" i="208"/>
  <c r="T75" i="208" s="1"/>
  <c r="AB75" i="208"/>
  <c r="AA75" i="208"/>
  <c r="F66" i="208"/>
  <c r="T66" i="208" s="1"/>
  <c r="AB66" i="208"/>
  <c r="AA66" i="208"/>
  <c r="F57" i="208"/>
  <c r="T57" i="208" s="1"/>
  <c r="AB57" i="208"/>
  <c r="AA57" i="208"/>
  <c r="F48" i="208"/>
  <c r="T48" i="208" s="1"/>
  <c r="AB48" i="208"/>
  <c r="AA48" i="208"/>
  <c r="F39" i="208"/>
  <c r="T39" i="208" s="1"/>
  <c r="AB39" i="208"/>
  <c r="AA39" i="208"/>
  <c r="F30" i="208"/>
  <c r="T30" i="208" s="1"/>
  <c r="AB30" i="208"/>
  <c r="AA30" i="208"/>
  <c r="F21" i="208"/>
  <c r="T21" i="208" s="1"/>
  <c r="AB21" i="208"/>
  <c r="AA21" i="208"/>
  <c r="AB12" i="208"/>
  <c r="AA3" i="208"/>
  <c r="G2" i="208"/>
  <c r="Z2" i="208"/>
  <c r="Y2" i="208"/>
  <c r="AC2" i="208"/>
  <c r="AD2" i="208"/>
  <c r="F324" i="208"/>
  <c r="T324" i="208" s="1"/>
  <c r="V2423" i="208"/>
  <c r="F2423" i="208"/>
  <c r="T2423" i="208" s="1"/>
  <c r="V2351" i="208"/>
  <c r="F2351" i="208"/>
  <c r="T2351" i="208" s="1"/>
  <c r="V2330" i="208"/>
  <c r="F2330" i="208"/>
  <c r="T2330" i="208" s="1"/>
  <c r="V2288" i="208"/>
  <c r="F2288" i="208"/>
  <c r="T2288" i="208" s="1"/>
  <c r="V2276" i="208"/>
  <c r="F2276" i="208"/>
  <c r="T2276" i="208" s="1"/>
  <c r="V2270" i="208"/>
  <c r="F2270" i="208"/>
  <c r="T2270" i="208" s="1"/>
  <c r="V2261" i="208"/>
  <c r="F2261" i="208"/>
  <c r="T2261" i="208" s="1"/>
  <c r="V2252" i="208"/>
  <c r="F2252" i="208"/>
  <c r="T2252" i="208" s="1"/>
  <c r="V2234" i="208"/>
  <c r="F2234" i="208"/>
  <c r="T2234" i="208" s="1"/>
  <c r="V2225" i="208"/>
  <c r="F2225" i="208"/>
  <c r="T2225" i="208" s="1"/>
  <c r="V2210" i="208"/>
  <c r="F2210" i="208"/>
  <c r="T2210" i="208" s="1"/>
  <c r="V2201" i="208"/>
  <c r="F2201" i="208"/>
  <c r="T2201" i="208" s="1"/>
  <c r="V2192" i="208"/>
  <c r="F2192" i="208"/>
  <c r="T2192" i="208" s="1"/>
  <c r="V2168" i="208"/>
  <c r="F2168" i="208"/>
  <c r="T2168" i="208" s="1"/>
  <c r="V2156" i="208"/>
  <c r="F2156" i="208"/>
  <c r="T2156" i="208" s="1"/>
  <c r="V2138" i="208"/>
  <c r="F2138" i="208"/>
  <c r="T2138" i="208" s="1"/>
  <c r="V2132" i="208"/>
  <c r="F2132" i="208"/>
  <c r="T2132" i="208" s="1"/>
  <c r="V2126" i="208"/>
  <c r="F2126" i="208"/>
  <c r="T2126" i="208" s="1"/>
  <c r="V2117" i="208"/>
  <c r="F2117" i="208"/>
  <c r="T2117" i="208" s="1"/>
  <c r="V2108" i="208"/>
  <c r="F2108" i="208"/>
  <c r="T2108" i="208" s="1"/>
  <c r="V2102" i="208"/>
  <c r="F2102" i="208"/>
  <c r="T2102" i="208" s="1"/>
  <c r="V2090" i="208"/>
  <c r="F2090" i="208"/>
  <c r="T2090" i="208" s="1"/>
  <c r="V2081" i="208"/>
  <c r="F2081" i="208"/>
  <c r="T2081" i="208" s="1"/>
  <c r="V2069" i="208"/>
  <c r="F2069" i="208"/>
  <c r="T2069" i="208" s="1"/>
  <c r="V2057" i="208"/>
  <c r="F2057" i="208"/>
  <c r="T2057" i="208" s="1"/>
  <c r="F3000" i="208"/>
  <c r="T3000" i="208" s="1"/>
  <c r="F2976" i="208"/>
  <c r="T2976" i="208" s="1"/>
  <c r="F2952" i="208"/>
  <c r="T2952" i="208" s="1"/>
  <c r="F2928" i="208"/>
  <c r="T2928" i="208" s="1"/>
  <c r="F2868" i="208"/>
  <c r="T2868" i="208" s="1"/>
  <c r="F2832" i="208"/>
  <c r="T2832" i="208" s="1"/>
  <c r="F2808" i="208"/>
  <c r="T2808" i="208" s="1"/>
  <c r="F2784" i="208"/>
  <c r="T2784" i="208" s="1"/>
  <c r="F2736" i="208"/>
  <c r="T2736" i="208" s="1"/>
  <c r="F2712" i="208"/>
  <c r="T2712" i="208" s="1"/>
  <c r="F2688" i="208"/>
  <c r="T2688" i="208" s="1"/>
  <c r="F2664" i="208"/>
  <c r="T2664" i="208" s="1"/>
  <c r="F2640" i="208"/>
  <c r="T2640" i="208" s="1"/>
  <c r="F2592" i="208"/>
  <c r="T2592" i="208" s="1"/>
  <c r="F2568" i="208"/>
  <c r="T2568" i="208" s="1"/>
  <c r="F2544" i="208"/>
  <c r="T2544" i="208" s="1"/>
  <c r="F2520" i="208"/>
  <c r="T2520" i="208" s="1"/>
  <c r="F2496" i="208"/>
  <c r="T2496" i="208" s="1"/>
  <c r="F2448" i="208"/>
  <c r="T2448" i="208" s="1"/>
  <c r="F2999" i="208"/>
  <c r="T2999" i="208" s="1"/>
  <c r="F2975" i="208"/>
  <c r="T2975" i="208" s="1"/>
  <c r="F2951" i="208"/>
  <c r="T2951" i="208" s="1"/>
  <c r="F2927" i="208"/>
  <c r="T2927" i="208" s="1"/>
  <c r="F2915" i="208"/>
  <c r="T2915" i="208" s="1"/>
  <c r="F2903" i="208"/>
  <c r="T2903" i="208" s="1"/>
  <c r="F2891" i="208"/>
  <c r="T2891" i="208" s="1"/>
  <c r="F2879" i="208"/>
  <c r="T2879" i="208" s="1"/>
  <c r="F2867" i="208"/>
  <c r="T2867" i="208" s="1"/>
  <c r="F2855" i="208"/>
  <c r="T2855" i="208" s="1"/>
  <c r="F2831" i="208"/>
  <c r="T2831" i="208" s="1"/>
  <c r="F2807" i="208"/>
  <c r="T2807" i="208" s="1"/>
  <c r="F2783" i="208"/>
  <c r="T2783" i="208" s="1"/>
  <c r="F2771" i="208"/>
  <c r="T2771" i="208" s="1"/>
  <c r="F2747" i="208"/>
  <c r="T2747" i="208" s="1"/>
  <c r="F2735" i="208"/>
  <c r="T2735" i="208" s="1"/>
  <c r="F2723" i="208"/>
  <c r="T2723" i="208" s="1"/>
  <c r="F2711" i="208"/>
  <c r="T2711" i="208" s="1"/>
  <c r="F2687" i="208"/>
  <c r="T2687" i="208" s="1"/>
  <c r="F2663" i="208"/>
  <c r="T2663" i="208" s="1"/>
  <c r="F2639" i="208"/>
  <c r="T2639" i="208" s="1"/>
  <c r="F2627" i="208"/>
  <c r="T2627" i="208" s="1"/>
  <c r="F2603" i="208"/>
  <c r="T2603" i="208" s="1"/>
  <c r="F2591" i="208"/>
  <c r="T2591" i="208" s="1"/>
  <c r="F2579" i="208"/>
  <c r="T2579" i="208" s="1"/>
  <c r="F2567" i="208"/>
  <c r="T2567" i="208" s="1"/>
  <c r="F2543" i="208"/>
  <c r="T2543" i="208" s="1"/>
  <c r="F2531" i="208"/>
  <c r="T2531" i="208" s="1"/>
  <c r="F2519" i="208"/>
  <c r="T2519" i="208" s="1"/>
  <c r="F2495" i="208"/>
  <c r="T2495" i="208" s="1"/>
  <c r="F2483" i="208"/>
  <c r="T2483" i="208" s="1"/>
  <c r="F2459" i="208"/>
  <c r="T2459" i="208" s="1"/>
  <c r="F2447" i="208"/>
  <c r="T2447" i="208" s="1"/>
  <c r="F2435" i="208"/>
  <c r="T2435" i="208" s="1"/>
  <c r="F2420" i="208"/>
  <c r="T2420" i="208" s="1"/>
  <c r="F2406" i="208"/>
  <c r="T2406" i="208" s="1"/>
  <c r="F2378" i="208"/>
  <c r="T2378" i="208" s="1"/>
  <c r="F2348" i="208"/>
  <c r="T2348" i="208" s="1"/>
  <c r="F2300" i="208"/>
  <c r="T2300" i="208" s="1"/>
  <c r="F2256" i="208"/>
  <c r="T2256" i="208" s="1"/>
  <c r="V2399" i="208"/>
  <c r="F2399" i="208"/>
  <c r="T2399" i="208" s="1"/>
  <c r="V2339" i="208"/>
  <c r="F2339" i="208"/>
  <c r="T2339" i="208" s="1"/>
  <c r="V2306" i="208"/>
  <c r="F2306" i="208"/>
  <c r="T2306" i="208" s="1"/>
  <c r="V2303" i="208"/>
  <c r="F2303" i="208"/>
  <c r="T2303" i="208" s="1"/>
  <c r="V2291" i="208"/>
  <c r="F2291" i="208"/>
  <c r="T2291" i="208" s="1"/>
  <c r="V2285" i="208"/>
  <c r="F2285" i="208"/>
  <c r="T2285" i="208" s="1"/>
  <c r="V2279" i="208"/>
  <c r="F2279" i="208"/>
  <c r="T2279" i="208" s="1"/>
  <c r="V2249" i="208"/>
  <c r="F2249" i="208"/>
  <c r="T2249" i="208" s="1"/>
  <c r="V2228" i="208"/>
  <c r="F2228" i="208"/>
  <c r="T2228" i="208" s="1"/>
  <c r="V2222" i="208"/>
  <c r="F2222" i="208"/>
  <c r="T2222" i="208" s="1"/>
  <c r="V2207" i="208"/>
  <c r="F2207" i="208"/>
  <c r="T2207" i="208" s="1"/>
  <c r="V2189" i="208"/>
  <c r="F2189" i="208"/>
  <c r="T2189" i="208" s="1"/>
  <c r="V2171" i="208"/>
  <c r="F2171" i="208"/>
  <c r="T2171" i="208" s="1"/>
  <c r="V2162" i="208"/>
  <c r="F2162" i="208"/>
  <c r="T2162" i="208" s="1"/>
  <c r="V2144" i="208"/>
  <c r="F2144" i="208"/>
  <c r="T2144" i="208" s="1"/>
  <c r="V2135" i="208"/>
  <c r="F2135" i="208"/>
  <c r="T2135" i="208" s="1"/>
  <c r="V1856" i="208"/>
  <c r="F1856" i="208"/>
  <c r="T1856" i="208" s="1"/>
  <c r="F2916" i="208"/>
  <c r="T2916" i="208" s="1"/>
  <c r="F2892" i="208"/>
  <c r="T2892" i="208" s="1"/>
  <c r="F2880" i="208"/>
  <c r="T2880" i="208" s="1"/>
  <c r="F2856" i="208"/>
  <c r="T2856" i="208" s="1"/>
  <c r="F2772" i="208"/>
  <c r="T2772" i="208" s="1"/>
  <c r="F2748" i="208"/>
  <c r="T2748" i="208" s="1"/>
  <c r="F2724" i="208"/>
  <c r="T2724" i="208" s="1"/>
  <c r="F2676" i="208"/>
  <c r="T2676" i="208" s="1"/>
  <c r="F2628" i="208"/>
  <c r="T2628" i="208" s="1"/>
  <c r="F2604" i="208"/>
  <c r="T2604" i="208" s="1"/>
  <c r="F2580" i="208"/>
  <c r="T2580" i="208" s="1"/>
  <c r="F2484" i="208"/>
  <c r="T2484" i="208" s="1"/>
  <c r="F2460" i="208"/>
  <c r="T2460" i="208" s="1"/>
  <c r="F2436" i="208"/>
  <c r="T2436" i="208" s="1"/>
  <c r="F2393" i="208"/>
  <c r="T2393" i="208" s="1"/>
  <c r="F2379" i="208"/>
  <c r="T2379" i="208" s="1"/>
  <c r="F2333" i="208"/>
  <c r="T2333" i="208" s="1"/>
  <c r="F2405" i="208"/>
  <c r="T2405" i="208" s="1"/>
  <c r="F2391" i="208"/>
  <c r="T2391" i="208" s="1"/>
  <c r="F254" i="208"/>
  <c r="T254" i="208" s="1"/>
  <c r="V2421" i="208"/>
  <c r="F2421" i="208"/>
  <c r="T2421" i="208" s="1"/>
  <c r="V2310" i="208"/>
  <c r="F2310" i="208"/>
  <c r="T2310" i="208" s="1"/>
  <c r="V2277" i="208"/>
  <c r="F2277" i="208"/>
  <c r="T2277" i="208" s="1"/>
  <c r="V2265" i="208"/>
  <c r="F2265" i="208"/>
  <c r="T2265" i="208" s="1"/>
  <c r="V2253" i="208"/>
  <c r="F2253" i="208"/>
  <c r="T2253" i="208" s="1"/>
  <c r="V2241" i="208"/>
  <c r="F2241" i="208"/>
  <c r="T2241" i="208" s="1"/>
  <c r="V2232" i="208"/>
  <c r="F2232" i="208"/>
  <c r="T2232" i="208" s="1"/>
  <c r="V2199" i="208"/>
  <c r="F2199" i="208"/>
  <c r="T2199" i="208" s="1"/>
  <c r="V2193" i="208"/>
  <c r="F2193" i="208"/>
  <c r="T2193" i="208" s="1"/>
  <c r="V2172" i="208"/>
  <c r="F2172" i="208"/>
  <c r="T2172" i="208" s="1"/>
  <c r="V2160" i="208"/>
  <c r="F2160" i="208"/>
  <c r="T2160" i="208" s="1"/>
  <c r="V2142" i="208"/>
  <c r="F2142" i="208"/>
  <c r="T2142" i="208" s="1"/>
  <c r="V2133" i="208"/>
  <c r="F2133" i="208"/>
  <c r="T2133" i="208" s="1"/>
  <c r="V2118" i="208"/>
  <c r="F2118" i="208"/>
  <c r="T2118" i="208" s="1"/>
  <c r="V2109" i="208"/>
  <c r="F2109" i="208"/>
  <c r="T2109" i="208" s="1"/>
  <c r="V2052" i="208"/>
  <c r="F2052" i="208"/>
  <c r="T2052" i="208" s="1"/>
  <c r="V2025" i="208"/>
  <c r="F2025" i="208"/>
  <c r="T2025" i="208" s="1"/>
  <c r="V1998" i="208"/>
  <c r="F1998" i="208"/>
  <c r="T1998" i="208" s="1"/>
  <c r="V1986" i="208"/>
  <c r="F1986" i="208"/>
  <c r="T1986" i="208" s="1"/>
  <c r="V1974" i="208"/>
  <c r="F1974" i="208"/>
  <c r="T1974" i="208" s="1"/>
  <c r="V1962" i="208"/>
  <c r="F1962" i="208"/>
  <c r="T1962" i="208" s="1"/>
  <c r="V1938" i="208"/>
  <c r="F1938" i="208"/>
  <c r="T1938" i="208" s="1"/>
  <c r="V1914" i="208"/>
  <c r="F1914" i="208"/>
  <c r="T1914" i="208" s="1"/>
  <c r="V1890" i="208"/>
  <c r="F1890" i="208"/>
  <c r="T1890" i="208" s="1"/>
  <c r="V1881" i="208"/>
  <c r="F1881" i="208"/>
  <c r="T1881" i="208" s="1"/>
  <c r="V1863" i="208"/>
  <c r="F1863" i="208"/>
  <c r="T1863" i="208" s="1"/>
  <c r="V1848" i="208"/>
  <c r="F1848" i="208"/>
  <c r="T1848" i="208" s="1"/>
  <c r="V1827" i="208"/>
  <c r="F1827" i="208"/>
  <c r="T1827" i="208" s="1"/>
  <c r="V1818" i="208"/>
  <c r="F1818" i="208"/>
  <c r="T1818" i="208" s="1"/>
  <c r="V1809" i="208"/>
  <c r="F1809" i="208"/>
  <c r="T1809" i="208" s="1"/>
  <c r="V1800" i="208"/>
  <c r="F1800" i="208"/>
  <c r="T1800" i="208" s="1"/>
  <c r="V1761" i="208"/>
  <c r="F1761" i="208"/>
  <c r="T1761" i="208" s="1"/>
  <c r="V1743" i="208"/>
  <c r="F1743" i="208"/>
  <c r="T1743" i="208" s="1"/>
  <c r="V1737" i="208"/>
  <c r="F1737" i="208"/>
  <c r="T1737" i="208" s="1"/>
  <c r="V1728" i="208"/>
  <c r="F1728" i="208"/>
  <c r="T1728" i="208" s="1"/>
  <c r="V1716" i="208"/>
  <c r="F1716" i="208"/>
  <c r="T1716" i="208" s="1"/>
  <c r="V1710" i="208"/>
  <c r="F1710" i="208"/>
  <c r="T1710" i="208" s="1"/>
  <c r="V1698" i="208"/>
  <c r="F1698" i="208"/>
  <c r="T1698" i="208" s="1"/>
  <c r="V1689" i="208"/>
  <c r="F1689" i="208"/>
  <c r="T1689" i="208" s="1"/>
  <c r="V1680" i="208"/>
  <c r="F1680" i="208"/>
  <c r="T1680" i="208" s="1"/>
  <c r="V1671" i="208"/>
  <c r="F1671" i="208"/>
  <c r="T1671" i="208" s="1"/>
  <c r="V1626" i="208"/>
  <c r="F1626" i="208"/>
  <c r="T1626" i="208" s="1"/>
  <c r="V1617" i="208"/>
  <c r="F1617" i="208"/>
  <c r="T1617" i="208" s="1"/>
  <c r="V1602" i="208"/>
  <c r="F1602" i="208"/>
  <c r="T1602" i="208" s="1"/>
  <c r="V1590" i="208"/>
  <c r="F1590" i="208"/>
  <c r="T1590" i="208" s="1"/>
  <c r="V1584" i="208"/>
  <c r="F1584" i="208"/>
  <c r="T1584" i="208" s="1"/>
  <c r="V1575" i="208"/>
  <c r="F1575" i="208"/>
  <c r="T1575" i="208" s="1"/>
  <c r="V447" i="208"/>
  <c r="F447" i="208"/>
  <c r="T447" i="208" s="1"/>
  <c r="V444" i="208"/>
  <c r="F444" i="208"/>
  <c r="T444" i="208" s="1"/>
  <c r="V438" i="208"/>
  <c r="F438" i="208"/>
  <c r="T438" i="208" s="1"/>
  <c r="V435" i="208"/>
  <c r="F435" i="208"/>
  <c r="T435" i="208" s="1"/>
  <c r="V432" i="208"/>
  <c r="F432" i="208"/>
  <c r="T432" i="208" s="1"/>
  <c r="V429" i="208"/>
  <c r="F429" i="208"/>
  <c r="T429" i="208" s="1"/>
  <c r="V420" i="208"/>
  <c r="F420" i="208"/>
  <c r="T420" i="208" s="1"/>
  <c r="V414" i="208"/>
  <c r="F414" i="208"/>
  <c r="T414" i="208" s="1"/>
  <c r="V411" i="208"/>
  <c r="F411" i="208"/>
  <c r="T411" i="208" s="1"/>
  <c r="V408" i="208"/>
  <c r="F408" i="208"/>
  <c r="T408" i="208" s="1"/>
  <c r="V405" i="208"/>
  <c r="F405" i="208"/>
  <c r="T405" i="208" s="1"/>
  <c r="V402" i="208"/>
  <c r="F402" i="208"/>
  <c r="T402" i="208" s="1"/>
  <c r="F399" i="208"/>
  <c r="T399" i="208" s="1"/>
  <c r="V393" i="208"/>
  <c r="F393" i="208"/>
  <c r="T393" i="208" s="1"/>
  <c r="V390" i="208"/>
  <c r="F390" i="208"/>
  <c r="T390" i="208" s="1"/>
  <c r="V381" i="208"/>
  <c r="F381" i="208"/>
  <c r="T381" i="208" s="1"/>
  <c r="V378" i="208"/>
  <c r="F378" i="208"/>
  <c r="T378" i="208" s="1"/>
  <c r="V375" i="208"/>
  <c r="F375" i="208"/>
  <c r="T375" i="208" s="1"/>
  <c r="V372" i="208"/>
  <c r="V369" i="208"/>
  <c r="F369" i="208"/>
  <c r="T369" i="208" s="1"/>
  <c r="V363" i="208"/>
  <c r="F363" i="208"/>
  <c r="T363" i="208" s="1"/>
  <c r="V360" i="208"/>
  <c r="F360" i="208"/>
  <c r="T360" i="208" s="1"/>
  <c r="V339" i="208"/>
  <c r="F339" i="208"/>
  <c r="T339" i="208" s="1"/>
  <c r="V330" i="208"/>
  <c r="F330" i="208"/>
  <c r="T330" i="208" s="1"/>
  <c r="V321" i="208"/>
  <c r="F321" i="208"/>
  <c r="T321" i="208" s="1"/>
  <c r="V315" i="208"/>
  <c r="F315" i="208"/>
  <c r="T315" i="208" s="1"/>
  <c r="V293" i="208"/>
  <c r="F293" i="208"/>
  <c r="T293" i="208" s="1"/>
  <c r="V278" i="208"/>
  <c r="F278" i="208"/>
  <c r="T278" i="208" s="1"/>
  <c r="V275" i="208"/>
  <c r="F275" i="208"/>
  <c r="T275" i="208" s="1"/>
  <c r="F272" i="208"/>
  <c r="T272" i="208" s="1"/>
  <c r="V269" i="208"/>
  <c r="F269" i="208"/>
  <c r="T269" i="208" s="1"/>
  <c r="V266" i="208"/>
  <c r="F266" i="208"/>
  <c r="T266" i="208" s="1"/>
  <c r="V263" i="208"/>
  <c r="F263" i="208"/>
  <c r="T263" i="208" s="1"/>
  <c r="V260" i="208"/>
  <c r="F260" i="208"/>
  <c r="T260" i="208" s="1"/>
  <c r="V257" i="208"/>
  <c r="F257" i="208"/>
  <c r="T257" i="208" s="1"/>
  <c r="V251" i="208"/>
  <c r="F251" i="208"/>
  <c r="T251" i="208" s="1"/>
  <c r="V248" i="208"/>
  <c r="F248" i="208"/>
  <c r="T248" i="208" s="1"/>
  <c r="V245" i="208"/>
  <c r="F245" i="208"/>
  <c r="T245" i="208" s="1"/>
  <c r="V242" i="208"/>
  <c r="F242" i="208"/>
  <c r="T242" i="208" s="1"/>
  <c r="V239" i="208"/>
  <c r="F239" i="208"/>
  <c r="T239" i="208" s="1"/>
  <c r="V236" i="208"/>
  <c r="F236" i="208"/>
  <c r="T236" i="208" s="1"/>
  <c r="V233" i="208"/>
  <c r="F233" i="208"/>
  <c r="T233" i="208" s="1"/>
  <c r="V230" i="208"/>
  <c r="F230" i="208"/>
  <c r="T230" i="208" s="1"/>
  <c r="V227" i="208"/>
  <c r="F227" i="208"/>
  <c r="T227" i="208" s="1"/>
  <c r="V224" i="208"/>
  <c r="F224" i="208"/>
  <c r="T224" i="208" s="1"/>
  <c r="V221" i="208"/>
  <c r="F221" i="208"/>
  <c r="T221" i="208" s="1"/>
  <c r="V215" i="208"/>
  <c r="F215" i="208"/>
  <c r="T215" i="208" s="1"/>
  <c r="V212" i="208"/>
  <c r="F212" i="208"/>
  <c r="T212" i="208" s="1"/>
  <c r="V209" i="208"/>
  <c r="F209" i="208"/>
  <c r="T209" i="208" s="1"/>
  <c r="V206" i="208"/>
  <c r="F206" i="208"/>
  <c r="T206" i="208" s="1"/>
  <c r="V203" i="208"/>
  <c r="F203" i="208"/>
  <c r="T203" i="208" s="1"/>
  <c r="V200" i="208"/>
  <c r="F200" i="208"/>
  <c r="T200" i="208" s="1"/>
  <c r="V197" i="208"/>
  <c r="F197" i="208"/>
  <c r="T197" i="208" s="1"/>
  <c r="V194" i="208"/>
  <c r="F194" i="208"/>
  <c r="T194" i="208" s="1"/>
  <c r="V191" i="208"/>
  <c r="F191" i="208"/>
  <c r="T191" i="208" s="1"/>
  <c r="V188" i="208"/>
  <c r="F188" i="208"/>
  <c r="T188" i="208" s="1"/>
  <c r="V185" i="208"/>
  <c r="F185" i="208"/>
  <c r="T185" i="208" s="1"/>
  <c r="V179" i="208"/>
  <c r="F179" i="208"/>
  <c r="T179" i="208" s="1"/>
  <c r="V176" i="208"/>
  <c r="F176" i="208"/>
  <c r="T176" i="208" s="1"/>
  <c r="V173" i="208"/>
  <c r="F173" i="208"/>
  <c r="T173" i="208" s="1"/>
  <c r="V170" i="208"/>
  <c r="F170" i="208"/>
  <c r="T170" i="208" s="1"/>
  <c r="V167" i="208"/>
  <c r="F167" i="208"/>
  <c r="T167" i="208" s="1"/>
  <c r="V164" i="208"/>
  <c r="F164" i="208"/>
  <c r="T164" i="208" s="1"/>
  <c r="V161" i="208"/>
  <c r="F161" i="208"/>
  <c r="T161" i="208" s="1"/>
  <c r="V158" i="208"/>
  <c r="F158" i="208"/>
  <c r="T158" i="208" s="1"/>
  <c r="V155" i="208"/>
  <c r="F155" i="208"/>
  <c r="T155" i="208" s="1"/>
  <c r="V152" i="208"/>
  <c r="F152" i="208"/>
  <c r="T152" i="208" s="1"/>
  <c r="V149" i="208"/>
  <c r="F149" i="208"/>
  <c r="T149" i="208" s="1"/>
  <c r="V146" i="208"/>
  <c r="F146" i="208"/>
  <c r="T146" i="208" s="1"/>
  <c r="V143" i="208"/>
  <c r="F143" i="208"/>
  <c r="T143" i="208" s="1"/>
  <c r="V140" i="208"/>
  <c r="F140" i="208"/>
  <c r="T140" i="208" s="1"/>
  <c r="V137" i="208"/>
  <c r="F137" i="208"/>
  <c r="T137" i="208" s="1"/>
  <c r="V134" i="208"/>
  <c r="F134" i="208"/>
  <c r="T134" i="208" s="1"/>
  <c r="V131" i="208"/>
  <c r="F131" i="208"/>
  <c r="T131" i="208" s="1"/>
  <c r="V128" i="208"/>
  <c r="F128" i="208"/>
  <c r="T128" i="208" s="1"/>
  <c r="V125" i="208"/>
  <c r="F125" i="208"/>
  <c r="T125" i="208" s="1"/>
  <c r="V122" i="208"/>
  <c r="F122" i="208"/>
  <c r="T122" i="208" s="1"/>
  <c r="V119" i="208"/>
  <c r="F119" i="208"/>
  <c r="T119" i="208" s="1"/>
  <c r="V116" i="208"/>
  <c r="F116" i="208"/>
  <c r="T116" i="208" s="1"/>
  <c r="V113" i="208"/>
  <c r="F113" i="208"/>
  <c r="T113" i="208" s="1"/>
  <c r="V110" i="208"/>
  <c r="F110" i="208"/>
  <c r="T110" i="208" s="1"/>
  <c r="V107" i="208"/>
  <c r="F107" i="208"/>
  <c r="T107" i="208" s="1"/>
  <c r="V104" i="208"/>
  <c r="F104" i="208"/>
  <c r="T104" i="208" s="1"/>
  <c r="V101" i="208"/>
  <c r="F101" i="208"/>
  <c r="T101" i="208" s="1"/>
  <c r="V98" i="208"/>
  <c r="F98" i="208"/>
  <c r="T98" i="208" s="1"/>
  <c r="V95" i="208"/>
  <c r="F95" i="208"/>
  <c r="T95" i="208" s="1"/>
  <c r="V92" i="208"/>
  <c r="F92" i="208"/>
  <c r="T92" i="208" s="1"/>
  <c r="V89" i="208"/>
  <c r="F89" i="208"/>
  <c r="T89" i="208" s="1"/>
  <c r="V86" i="208"/>
  <c r="F86" i="208"/>
  <c r="T86" i="208" s="1"/>
  <c r="V83" i="208"/>
  <c r="F83" i="208"/>
  <c r="T83" i="208" s="1"/>
  <c r="V80" i="208"/>
  <c r="F80" i="208"/>
  <c r="T80" i="208" s="1"/>
  <c r="V77" i="208"/>
  <c r="F77" i="208"/>
  <c r="T77" i="208" s="1"/>
  <c r="V74" i="208"/>
  <c r="F74" i="208"/>
  <c r="T74" i="208" s="1"/>
  <c r="V71" i="208"/>
  <c r="F71" i="208"/>
  <c r="T71" i="208" s="1"/>
  <c r="V68" i="208"/>
  <c r="F68" i="208"/>
  <c r="T68" i="208" s="1"/>
  <c r="V65" i="208"/>
  <c r="F65" i="208"/>
  <c r="T65" i="208" s="1"/>
  <c r="V62" i="208"/>
  <c r="F62" i="208"/>
  <c r="T62" i="208" s="1"/>
  <c r="V59" i="208"/>
  <c r="F59" i="208"/>
  <c r="T59" i="208" s="1"/>
  <c r="V56" i="208"/>
  <c r="F56" i="208"/>
  <c r="T56" i="208" s="1"/>
  <c r="F53" i="208"/>
  <c r="T53" i="208" s="1"/>
  <c r="V50" i="208"/>
  <c r="F50" i="208"/>
  <c r="T50" i="208" s="1"/>
  <c r="V47" i="208"/>
  <c r="F47" i="208"/>
  <c r="T47" i="208" s="1"/>
  <c r="V44" i="208"/>
  <c r="F44" i="208"/>
  <c r="T44" i="208" s="1"/>
  <c r="V41" i="208"/>
  <c r="F41" i="208"/>
  <c r="T41" i="208" s="1"/>
  <c r="V38" i="208"/>
  <c r="F38" i="208"/>
  <c r="T38" i="208" s="1"/>
  <c r="F35" i="208"/>
  <c r="T35" i="208" s="1"/>
  <c r="V32" i="208"/>
  <c r="F32" i="208"/>
  <c r="T32" i="208" s="1"/>
  <c r="V29" i="208"/>
  <c r="F29" i="208"/>
  <c r="T29" i="208" s="1"/>
  <c r="V26" i="208"/>
  <c r="F26" i="208"/>
  <c r="T26" i="208" s="1"/>
  <c r="V23" i="208"/>
  <c r="F23" i="208"/>
  <c r="T23" i="208" s="1"/>
  <c r="V20" i="208"/>
  <c r="F20" i="208"/>
  <c r="T20" i="208" s="1"/>
  <c r="F17" i="208"/>
  <c r="T17" i="208" s="1"/>
  <c r="F2997" i="208"/>
  <c r="T2997" i="208" s="1"/>
  <c r="F2985" i="208"/>
  <c r="T2985" i="208" s="1"/>
  <c r="F2973" i="208"/>
  <c r="T2973" i="208" s="1"/>
  <c r="F2961" i="208"/>
  <c r="T2961" i="208" s="1"/>
  <c r="F2937" i="208"/>
  <c r="T2937" i="208" s="1"/>
  <c r="F2913" i="208"/>
  <c r="T2913" i="208" s="1"/>
  <c r="F2889" i="208"/>
  <c r="T2889" i="208" s="1"/>
  <c r="F2877" i="208"/>
  <c r="T2877" i="208" s="1"/>
  <c r="F2853" i="208"/>
  <c r="T2853" i="208" s="1"/>
  <c r="F2841" i="208"/>
  <c r="T2841" i="208" s="1"/>
  <c r="F2829" i="208"/>
  <c r="T2829" i="208" s="1"/>
  <c r="F2817" i="208"/>
  <c r="T2817" i="208" s="1"/>
  <c r="F2793" i="208"/>
  <c r="T2793" i="208" s="1"/>
  <c r="F2781" i="208"/>
  <c r="T2781" i="208" s="1"/>
  <c r="F2769" i="208"/>
  <c r="T2769" i="208" s="1"/>
  <c r="F2745" i="208"/>
  <c r="T2745" i="208" s="1"/>
  <c r="F2733" i="208"/>
  <c r="T2733" i="208" s="1"/>
  <c r="F2709" i="208"/>
  <c r="T2709" i="208" s="1"/>
  <c r="F2697" i="208"/>
  <c r="T2697" i="208" s="1"/>
  <c r="F2685" i="208"/>
  <c r="T2685" i="208" s="1"/>
  <c r="F2673" i="208"/>
  <c r="T2673" i="208" s="1"/>
  <c r="F2649" i="208"/>
  <c r="T2649" i="208" s="1"/>
  <c r="F2625" i="208"/>
  <c r="T2625" i="208" s="1"/>
  <c r="F2601" i="208"/>
  <c r="T2601" i="208" s="1"/>
  <c r="F2589" i="208"/>
  <c r="T2589" i="208" s="1"/>
  <c r="F2565" i="208"/>
  <c r="T2565" i="208" s="1"/>
  <c r="F2553" i="208"/>
  <c r="T2553" i="208" s="1"/>
  <c r="F2541" i="208"/>
  <c r="T2541" i="208" s="1"/>
  <c r="F2529" i="208"/>
  <c r="T2529" i="208" s="1"/>
  <c r="F2505" i="208"/>
  <c r="T2505" i="208" s="1"/>
  <c r="F2481" i="208"/>
  <c r="T2481" i="208" s="1"/>
  <c r="F2457" i="208"/>
  <c r="T2457" i="208" s="1"/>
  <c r="F2445" i="208"/>
  <c r="T2445" i="208" s="1"/>
  <c r="F2432" i="208"/>
  <c r="T2432" i="208" s="1"/>
  <c r="F2418" i="208"/>
  <c r="T2418" i="208" s="1"/>
  <c r="F2390" i="208"/>
  <c r="T2390" i="208" s="1"/>
  <c r="F2376" i="208"/>
  <c r="T2376" i="208" s="1"/>
  <c r="F2346" i="208"/>
  <c r="T2346" i="208" s="1"/>
  <c r="F218" i="208"/>
  <c r="T218" i="208" s="1"/>
  <c r="V2409" i="208"/>
  <c r="F2409" i="208"/>
  <c r="T2409" i="208" s="1"/>
  <c r="V2397" i="208"/>
  <c r="F2397" i="208"/>
  <c r="T2397" i="208" s="1"/>
  <c r="V2337" i="208"/>
  <c r="F2337" i="208"/>
  <c r="T2337" i="208" s="1"/>
  <c r="F2319" i="208"/>
  <c r="T2319" i="208" s="1"/>
  <c r="V2301" i="208"/>
  <c r="F2301" i="208"/>
  <c r="T2301" i="208" s="1"/>
  <c r="V2274" i="208"/>
  <c r="F2274" i="208"/>
  <c r="T2274" i="208" s="1"/>
  <c r="V2262" i="208"/>
  <c r="F2262" i="208"/>
  <c r="T2262" i="208" s="1"/>
  <c r="V2250" i="208"/>
  <c r="F2250" i="208"/>
  <c r="T2250" i="208" s="1"/>
  <c r="V2223" i="208"/>
  <c r="F2223" i="208"/>
  <c r="T2223" i="208" s="1"/>
  <c r="V2217" i="208"/>
  <c r="F2217" i="208"/>
  <c r="T2217" i="208" s="1"/>
  <c r="V2208" i="208"/>
  <c r="F2208" i="208"/>
  <c r="T2208" i="208" s="1"/>
  <c r="V2196" i="208"/>
  <c r="F2196" i="208"/>
  <c r="T2196" i="208" s="1"/>
  <c r="F2154" i="208"/>
  <c r="T2154" i="208" s="1"/>
  <c r="V2136" i="208"/>
  <c r="F2136" i="208"/>
  <c r="T2136" i="208" s="1"/>
  <c r="V2121" i="208"/>
  <c r="F2121" i="208"/>
  <c r="T2121" i="208" s="1"/>
  <c r="V2112" i="208"/>
  <c r="F2112" i="208"/>
  <c r="T2112" i="208" s="1"/>
  <c r="F2100" i="208"/>
  <c r="T2100" i="208" s="1"/>
  <c r="V2088" i="208"/>
  <c r="F2088" i="208"/>
  <c r="T2088" i="208" s="1"/>
  <c r="V2067" i="208"/>
  <c r="F2067" i="208"/>
  <c r="T2067" i="208" s="1"/>
  <c r="V2031" i="208"/>
  <c r="F2031" i="208"/>
  <c r="T2031" i="208" s="1"/>
  <c r="V2019" i="208"/>
  <c r="F2019" i="208"/>
  <c r="T2019" i="208" s="1"/>
  <c r="V2013" i="208"/>
  <c r="F2013" i="208"/>
  <c r="T2013" i="208" s="1"/>
  <c r="V1989" i="208"/>
  <c r="F1989" i="208"/>
  <c r="T1989" i="208" s="1"/>
  <c r="V1977" i="208"/>
  <c r="F1977" i="208"/>
  <c r="T1977" i="208" s="1"/>
  <c r="V1965" i="208"/>
  <c r="F1965" i="208"/>
  <c r="T1965" i="208" s="1"/>
  <c r="V1953" i="208"/>
  <c r="F1953" i="208"/>
  <c r="T1953" i="208" s="1"/>
  <c r="V1920" i="208"/>
  <c r="F1920" i="208"/>
  <c r="T1920" i="208" s="1"/>
  <c r="V1905" i="208"/>
  <c r="F1905" i="208"/>
  <c r="T1905" i="208" s="1"/>
  <c r="V1878" i="208"/>
  <c r="F1878" i="208"/>
  <c r="T1878" i="208" s="1"/>
  <c r="V1854" i="208"/>
  <c r="F1854" i="208"/>
  <c r="T1854" i="208" s="1"/>
  <c r="V1845" i="208"/>
  <c r="F1845" i="208"/>
  <c r="T1845" i="208" s="1"/>
  <c r="V1830" i="208"/>
  <c r="F1830" i="208"/>
  <c r="T1830" i="208" s="1"/>
  <c r="V1821" i="208"/>
  <c r="F1821" i="208"/>
  <c r="T1821" i="208" s="1"/>
  <c r="F1812" i="208"/>
  <c r="T1812" i="208" s="1"/>
  <c r="V1665" i="208"/>
  <c r="F1665" i="208"/>
  <c r="T1665" i="208" s="1"/>
  <c r="F2996" i="208"/>
  <c r="T2996" i="208" s="1"/>
  <c r="F2972" i="208"/>
  <c r="T2972" i="208" s="1"/>
  <c r="F2948" i="208"/>
  <c r="T2948" i="208" s="1"/>
  <c r="F2924" i="208"/>
  <c r="T2924" i="208" s="1"/>
  <c r="F2912" i="208"/>
  <c r="T2912" i="208" s="1"/>
  <c r="F2888" i="208"/>
  <c r="T2888" i="208" s="1"/>
  <c r="F2876" i="208"/>
  <c r="T2876" i="208" s="1"/>
  <c r="F2864" i="208"/>
  <c r="T2864" i="208" s="1"/>
  <c r="F2852" i="208"/>
  <c r="T2852" i="208" s="1"/>
  <c r="F2828" i="208"/>
  <c r="T2828" i="208" s="1"/>
  <c r="F2804" i="208"/>
  <c r="T2804" i="208" s="1"/>
  <c r="F2780" i="208"/>
  <c r="T2780" i="208" s="1"/>
  <c r="F2768" i="208"/>
  <c r="T2768" i="208" s="1"/>
  <c r="F2744" i="208"/>
  <c r="T2744" i="208" s="1"/>
  <c r="F2732" i="208"/>
  <c r="T2732" i="208" s="1"/>
  <c r="F2720" i="208"/>
  <c r="T2720" i="208" s="1"/>
  <c r="F2708" i="208"/>
  <c r="T2708" i="208" s="1"/>
  <c r="F2684" i="208"/>
  <c r="T2684" i="208" s="1"/>
  <c r="F2660" i="208"/>
  <c r="T2660" i="208" s="1"/>
  <c r="F2636" i="208"/>
  <c r="T2636" i="208" s="1"/>
  <c r="F2624" i="208"/>
  <c r="T2624" i="208" s="1"/>
  <c r="F2600" i="208"/>
  <c r="T2600" i="208" s="1"/>
  <c r="F2588" i="208"/>
  <c r="T2588" i="208" s="1"/>
  <c r="F2576" i="208"/>
  <c r="T2576" i="208" s="1"/>
  <c r="F2564" i="208"/>
  <c r="T2564" i="208" s="1"/>
  <c r="F2540" i="208"/>
  <c r="T2540" i="208" s="1"/>
  <c r="F2516" i="208"/>
  <c r="T2516" i="208" s="1"/>
  <c r="F2492" i="208"/>
  <c r="T2492" i="208" s="1"/>
  <c r="F2480" i="208"/>
  <c r="T2480" i="208" s="1"/>
  <c r="F2456" i="208"/>
  <c r="T2456" i="208" s="1"/>
  <c r="F2444" i="208"/>
  <c r="T2444" i="208" s="1"/>
  <c r="F2403" i="208"/>
  <c r="T2403" i="208" s="1"/>
  <c r="F2345" i="208"/>
  <c r="T2345" i="208" s="1"/>
  <c r="F2292" i="208"/>
  <c r="T2292" i="208" s="1"/>
  <c r="F182" i="208"/>
  <c r="T182" i="208" s="1"/>
  <c r="V2433" i="208"/>
  <c r="V2331" i="208"/>
  <c r="F2331" i="208"/>
  <c r="T2331" i="208" s="1"/>
  <c r="V2322" i="208"/>
  <c r="F2322" i="208"/>
  <c r="T2322" i="208" s="1"/>
  <c r="V2247" i="208"/>
  <c r="F2247" i="208"/>
  <c r="T2247" i="208" s="1"/>
  <c r="V2235" i="208"/>
  <c r="F2235" i="208"/>
  <c r="T2235" i="208" s="1"/>
  <c r="V2226" i="208"/>
  <c r="F2226" i="208"/>
  <c r="T2226" i="208" s="1"/>
  <c r="V2211" i="208"/>
  <c r="F2211" i="208"/>
  <c r="T2211" i="208" s="1"/>
  <c r="V2202" i="208"/>
  <c r="F2202" i="208"/>
  <c r="T2202" i="208" s="1"/>
  <c r="V2178" i="208"/>
  <c r="F2178" i="208"/>
  <c r="T2178" i="208" s="1"/>
  <c r="V2169" i="208"/>
  <c r="F2169" i="208"/>
  <c r="T2169" i="208" s="1"/>
  <c r="V2163" i="208"/>
  <c r="F2163" i="208"/>
  <c r="T2163" i="208" s="1"/>
  <c r="V2130" i="208"/>
  <c r="F2130" i="208"/>
  <c r="T2130" i="208" s="1"/>
  <c r="V2106" i="208"/>
  <c r="F2106" i="208"/>
  <c r="T2106" i="208" s="1"/>
  <c r="V2097" i="208"/>
  <c r="F2097" i="208"/>
  <c r="T2097" i="208" s="1"/>
  <c r="V2082" i="208"/>
  <c r="F2082" i="208"/>
  <c r="T2082" i="208" s="1"/>
  <c r="V2073" i="208"/>
  <c r="F2073" i="208"/>
  <c r="T2073" i="208" s="1"/>
  <c r="V2064" i="208"/>
  <c r="F2064" i="208"/>
  <c r="T2064" i="208" s="1"/>
  <c r="V2055" i="208"/>
  <c r="F2055" i="208"/>
  <c r="T2055" i="208" s="1"/>
  <c r="V2043" i="208"/>
  <c r="F2043" i="208"/>
  <c r="T2043" i="208" s="1"/>
  <c r="V2034" i="208"/>
  <c r="F2034" i="208"/>
  <c r="T2034" i="208" s="1"/>
  <c r="V2022" i="208"/>
  <c r="F2022" i="208"/>
  <c r="T2022" i="208" s="1"/>
  <c r="V2016" i="208"/>
  <c r="F2016" i="208"/>
  <c r="T2016" i="208" s="1"/>
  <c r="V1992" i="208"/>
  <c r="F1992" i="208"/>
  <c r="T1992" i="208" s="1"/>
  <c r="V1983" i="208"/>
  <c r="F1983" i="208"/>
  <c r="T1983" i="208" s="1"/>
  <c r="V1971" i="208"/>
  <c r="F1971" i="208"/>
  <c r="T1971" i="208" s="1"/>
  <c r="V1959" i="208"/>
  <c r="F1959" i="208"/>
  <c r="T1959" i="208" s="1"/>
  <c r="V1944" i="208"/>
  <c r="F1944" i="208"/>
  <c r="T1944" i="208" s="1"/>
  <c r="V1911" i="208"/>
  <c r="F1911" i="208"/>
  <c r="T1911" i="208" s="1"/>
  <c r="V1887" i="208"/>
  <c r="F1887" i="208"/>
  <c r="T1887" i="208" s="1"/>
  <c r="V1872" i="208"/>
  <c r="F1872" i="208"/>
  <c r="T1872" i="208" s="1"/>
  <c r="V1860" i="208"/>
  <c r="F1860" i="208"/>
  <c r="T1860" i="208" s="1"/>
  <c r="V1851" i="208"/>
  <c r="F1851" i="208"/>
  <c r="T1851" i="208" s="1"/>
  <c r="F1815" i="208"/>
  <c r="T1815" i="208" s="1"/>
  <c r="V1770" i="208"/>
  <c r="F1770" i="208"/>
  <c r="T1770" i="208" s="1"/>
  <c r="V1764" i="208"/>
  <c r="F1764" i="208"/>
  <c r="T1764" i="208" s="1"/>
  <c r="V1746" i="208"/>
  <c r="F1746" i="208"/>
  <c r="T1746" i="208" s="1"/>
  <c r="V1731" i="208"/>
  <c r="F1731" i="208"/>
  <c r="T1731" i="208" s="1"/>
  <c r="V1725" i="208"/>
  <c r="F1725" i="208"/>
  <c r="T1725" i="208" s="1"/>
  <c r="V1719" i="208"/>
  <c r="F1719" i="208"/>
  <c r="T1719" i="208" s="1"/>
  <c r="V1707" i="208"/>
  <c r="F1707" i="208"/>
  <c r="T1707" i="208" s="1"/>
  <c r="V1701" i="208"/>
  <c r="F1701" i="208"/>
  <c r="T1701" i="208" s="1"/>
  <c r="V1683" i="208"/>
  <c r="F1683" i="208"/>
  <c r="T1683" i="208" s="1"/>
  <c r="V1674" i="208"/>
  <c r="F1674" i="208"/>
  <c r="T1674" i="208" s="1"/>
  <c r="V1659" i="208"/>
  <c r="F1659" i="208"/>
  <c r="T1659" i="208" s="1"/>
  <c r="V1620" i="208"/>
  <c r="F1620" i="208"/>
  <c r="T1620" i="208" s="1"/>
  <c r="V1596" i="208"/>
  <c r="F1596" i="208"/>
  <c r="T1596" i="208" s="1"/>
  <c r="V1587" i="208"/>
  <c r="F1587" i="208"/>
  <c r="T1587" i="208" s="1"/>
  <c r="V1572" i="208"/>
  <c r="F1572" i="208"/>
  <c r="T1572" i="208" s="1"/>
  <c r="V1566" i="208"/>
  <c r="F1566" i="208"/>
  <c r="T1566" i="208" s="1"/>
  <c r="V1560" i="208"/>
  <c r="F1560" i="208"/>
  <c r="T1560" i="208" s="1"/>
  <c r="V1551" i="208"/>
  <c r="F1551" i="208"/>
  <c r="T1551" i="208" s="1"/>
  <c r="V1119" i="208"/>
  <c r="F1119" i="208"/>
  <c r="T1119" i="208" s="1"/>
  <c r="F2430" i="208"/>
  <c r="T2430" i="208" s="1"/>
  <c r="F2372" i="208"/>
  <c r="T2372" i="208" s="1"/>
  <c r="F2358" i="208"/>
  <c r="T2358" i="208" s="1"/>
  <c r="V2385" i="208"/>
  <c r="F2385" i="208"/>
  <c r="T2385" i="208" s="1"/>
  <c r="V2361" i="208"/>
  <c r="F2361" i="208"/>
  <c r="T2361" i="208" s="1"/>
  <c r="V2313" i="208"/>
  <c r="F2313" i="208"/>
  <c r="T2313" i="208" s="1"/>
  <c r="V2295" i="208"/>
  <c r="F2295" i="208"/>
  <c r="T2295" i="208" s="1"/>
  <c r="V2286" i="208"/>
  <c r="F2286" i="208"/>
  <c r="T2286" i="208" s="1"/>
  <c r="V2166" i="208"/>
  <c r="F2166" i="208"/>
  <c r="T2166" i="208" s="1"/>
  <c r="V2157" i="208"/>
  <c r="F2157" i="208"/>
  <c r="T2157" i="208" s="1"/>
  <c r="V2148" i="208"/>
  <c r="F2148" i="208"/>
  <c r="T2148" i="208" s="1"/>
  <c r="V2139" i="208"/>
  <c r="F2139" i="208"/>
  <c r="T2139" i="208" s="1"/>
  <c r="V2127" i="208"/>
  <c r="F2127" i="208"/>
  <c r="T2127" i="208" s="1"/>
  <c r="V2115" i="208"/>
  <c r="F2115" i="208"/>
  <c r="T2115" i="208" s="1"/>
  <c r="V2079" i="208"/>
  <c r="F2079" i="208"/>
  <c r="T2079" i="208" s="1"/>
  <c r="V2058" i="208"/>
  <c r="F2058" i="208"/>
  <c r="T2058" i="208" s="1"/>
  <c r="V2049" i="208"/>
  <c r="F2049" i="208"/>
  <c r="T2049" i="208" s="1"/>
  <c r="V2028" i="208"/>
  <c r="F2028" i="208"/>
  <c r="T2028" i="208" s="1"/>
  <c r="V2004" i="208"/>
  <c r="F2004" i="208"/>
  <c r="T2004" i="208" s="1"/>
  <c r="V1995" i="208"/>
  <c r="F1995" i="208"/>
  <c r="T1995" i="208" s="1"/>
  <c r="V1968" i="208"/>
  <c r="F1968" i="208"/>
  <c r="T1968" i="208" s="1"/>
  <c r="V1947" i="208"/>
  <c r="V1935" i="208"/>
  <c r="F1935" i="208"/>
  <c r="T1935" i="208" s="1"/>
  <c r="V1929" i="208"/>
  <c r="F1929" i="208"/>
  <c r="T1929" i="208" s="1"/>
  <c r="V1908" i="208"/>
  <c r="F1908" i="208"/>
  <c r="T1908" i="208" s="1"/>
  <c r="V1884" i="208"/>
  <c r="F1884" i="208"/>
  <c r="T1884" i="208" s="1"/>
  <c r="V1869" i="208"/>
  <c r="F1869" i="208"/>
  <c r="T1869" i="208" s="1"/>
  <c r="V1842" i="208"/>
  <c r="F1842" i="208"/>
  <c r="T1842" i="208" s="1"/>
  <c r="V1833" i="208"/>
  <c r="F1833" i="208"/>
  <c r="T1833" i="208" s="1"/>
  <c r="V1824" i="208"/>
  <c r="F1824" i="208"/>
  <c r="T1824" i="208" s="1"/>
  <c r="V1803" i="208"/>
  <c r="F1803" i="208"/>
  <c r="T1803" i="208" s="1"/>
  <c r="V1794" i="208"/>
  <c r="F1794" i="208"/>
  <c r="T1794" i="208" s="1"/>
  <c r="V1785" i="208"/>
  <c r="F1785" i="208"/>
  <c r="T1785" i="208" s="1"/>
  <c r="V1776" i="208"/>
  <c r="F1776" i="208"/>
  <c r="T1776" i="208" s="1"/>
  <c r="V1767" i="208"/>
  <c r="F1767" i="208"/>
  <c r="T1767" i="208" s="1"/>
  <c r="V1755" i="208"/>
  <c r="F1755" i="208"/>
  <c r="T1755" i="208" s="1"/>
  <c r="V1740" i="208"/>
  <c r="F1740" i="208"/>
  <c r="T1740" i="208" s="1"/>
  <c r="V1734" i="208"/>
  <c r="F1734" i="208"/>
  <c r="T1734" i="208" s="1"/>
  <c r="V1713" i="208"/>
  <c r="V1704" i="208"/>
  <c r="F1704" i="208"/>
  <c r="T1704" i="208" s="1"/>
  <c r="V1695" i="208"/>
  <c r="F1695" i="208"/>
  <c r="T1695" i="208" s="1"/>
  <c r="V1686" i="208"/>
  <c r="F1686" i="208"/>
  <c r="T1686" i="208" s="1"/>
  <c r="V1677" i="208"/>
  <c r="F1677" i="208"/>
  <c r="T1677" i="208" s="1"/>
  <c r="V1656" i="208"/>
  <c r="F1656" i="208"/>
  <c r="T1656" i="208" s="1"/>
  <c r="V1650" i="208"/>
  <c r="F1650" i="208"/>
  <c r="T1650" i="208" s="1"/>
  <c r="V1641" i="208"/>
  <c r="F1641" i="208"/>
  <c r="T1641" i="208" s="1"/>
  <c r="V1632" i="208"/>
  <c r="F1632" i="208"/>
  <c r="T1632" i="208" s="1"/>
  <c r="V1593" i="208"/>
  <c r="F1593" i="208"/>
  <c r="T1593" i="208" s="1"/>
  <c r="V1581" i="208"/>
  <c r="F1581" i="208"/>
  <c r="T1581" i="208" s="1"/>
  <c r="V1557" i="208"/>
  <c r="F1557" i="208"/>
  <c r="T1557" i="208" s="1"/>
  <c r="V1554" i="208"/>
  <c r="F1554" i="208"/>
  <c r="T1554" i="208" s="1"/>
  <c r="V1545" i="208"/>
  <c r="F1545" i="208"/>
  <c r="T1545" i="208" s="1"/>
  <c r="V1539" i="208"/>
  <c r="F1539" i="208"/>
  <c r="T1539" i="208" s="1"/>
  <c r="F2994" i="208"/>
  <c r="T2994" i="208" s="1"/>
  <c r="F2982" i="208"/>
  <c r="T2982" i="208" s="1"/>
  <c r="F2970" i="208"/>
  <c r="T2970" i="208" s="1"/>
  <c r="F2946" i="208"/>
  <c r="T2946" i="208" s="1"/>
  <c r="F2922" i="208"/>
  <c r="T2922" i="208" s="1"/>
  <c r="F2898" i="208"/>
  <c r="T2898" i="208" s="1"/>
  <c r="F2886" i="208"/>
  <c r="T2886" i="208" s="1"/>
  <c r="F2862" i="208"/>
  <c r="T2862" i="208" s="1"/>
  <c r="F2850" i="208"/>
  <c r="T2850" i="208" s="1"/>
  <c r="F2838" i="208"/>
  <c r="T2838" i="208" s="1"/>
  <c r="F2826" i="208"/>
  <c r="T2826" i="208" s="1"/>
  <c r="F2802" i="208"/>
  <c r="T2802" i="208" s="1"/>
  <c r="F2778" i="208"/>
  <c r="T2778" i="208" s="1"/>
  <c r="F2754" i="208"/>
  <c r="T2754" i="208" s="1"/>
  <c r="F2742" i="208"/>
  <c r="T2742" i="208" s="1"/>
  <c r="F2718" i="208"/>
  <c r="T2718" i="208" s="1"/>
  <c r="F2706" i="208"/>
  <c r="T2706" i="208" s="1"/>
  <c r="F2694" i="208"/>
  <c r="T2694" i="208" s="1"/>
  <c r="F2682" i="208"/>
  <c r="T2682" i="208" s="1"/>
  <c r="F2658" i="208"/>
  <c r="T2658" i="208" s="1"/>
  <c r="F2634" i="208"/>
  <c r="T2634" i="208" s="1"/>
  <c r="F2610" i="208"/>
  <c r="T2610" i="208" s="1"/>
  <c r="F2598" i="208"/>
  <c r="T2598" i="208" s="1"/>
  <c r="F2574" i="208"/>
  <c r="T2574" i="208" s="1"/>
  <c r="F2562" i="208"/>
  <c r="T2562" i="208" s="1"/>
  <c r="F2550" i="208"/>
  <c r="T2550" i="208" s="1"/>
  <c r="F2538" i="208"/>
  <c r="T2538" i="208" s="1"/>
  <c r="F2514" i="208"/>
  <c r="T2514" i="208" s="1"/>
  <c r="F2490" i="208"/>
  <c r="T2490" i="208" s="1"/>
  <c r="F2466" i="208"/>
  <c r="T2466" i="208" s="1"/>
  <c r="F2454" i="208"/>
  <c r="T2454" i="208" s="1"/>
  <c r="F2429" i="208"/>
  <c r="T2429" i="208" s="1"/>
  <c r="F2415" i="208"/>
  <c r="T2415" i="208" s="1"/>
  <c r="F2357" i="208"/>
  <c r="T2357" i="208" s="1"/>
  <c r="F2343" i="208"/>
  <c r="T2343" i="208" s="1"/>
  <c r="F2316" i="208"/>
  <c r="T2316" i="208" s="1"/>
  <c r="V305" i="208"/>
  <c r="F305" i="208"/>
  <c r="T305" i="208" s="1"/>
  <c r="F2981" i="208"/>
  <c r="T2981" i="208" s="1"/>
  <c r="F2969" i="208"/>
  <c r="T2969" i="208" s="1"/>
  <c r="F2945" i="208"/>
  <c r="T2945" i="208" s="1"/>
  <c r="F2933" i="208"/>
  <c r="T2933" i="208" s="1"/>
  <c r="F2921" i="208"/>
  <c r="T2921" i="208" s="1"/>
  <c r="F2909" i="208"/>
  <c r="T2909" i="208" s="1"/>
  <c r="F2885" i="208"/>
  <c r="T2885" i="208" s="1"/>
  <c r="F2861" i="208"/>
  <c r="T2861" i="208" s="1"/>
  <c r="F2837" i="208"/>
  <c r="T2837" i="208" s="1"/>
  <c r="F2825" i="208"/>
  <c r="T2825" i="208" s="1"/>
  <c r="F2813" i="208"/>
  <c r="T2813" i="208" s="1"/>
  <c r="F2801" i="208"/>
  <c r="T2801" i="208" s="1"/>
  <c r="F2789" i="208"/>
  <c r="T2789" i="208" s="1"/>
  <c r="F2777" i="208"/>
  <c r="T2777" i="208" s="1"/>
  <c r="F2765" i="208"/>
  <c r="T2765" i="208" s="1"/>
  <c r="F2741" i="208"/>
  <c r="T2741" i="208" s="1"/>
  <c r="F2717" i="208"/>
  <c r="T2717" i="208" s="1"/>
  <c r="F2693" i="208"/>
  <c r="T2693" i="208" s="1"/>
  <c r="F2681" i="208"/>
  <c r="T2681" i="208" s="1"/>
  <c r="F2657" i="208"/>
  <c r="T2657" i="208" s="1"/>
  <c r="F2645" i="208"/>
  <c r="T2645" i="208" s="1"/>
  <c r="F2633" i="208"/>
  <c r="T2633" i="208" s="1"/>
  <c r="F2621" i="208"/>
  <c r="T2621" i="208" s="1"/>
  <c r="F2597" i="208"/>
  <c r="T2597" i="208" s="1"/>
  <c r="F2573" i="208"/>
  <c r="T2573" i="208" s="1"/>
  <c r="F2549" i="208"/>
  <c r="T2549" i="208" s="1"/>
  <c r="F2537" i="208"/>
  <c r="T2537" i="208" s="1"/>
  <c r="F2513" i="208"/>
  <c r="T2513" i="208" s="1"/>
  <c r="F2501" i="208"/>
  <c r="T2501" i="208" s="1"/>
  <c r="F2489" i="208"/>
  <c r="T2489" i="208" s="1"/>
  <c r="F2477" i="208"/>
  <c r="T2477" i="208" s="1"/>
  <c r="F2453" i="208"/>
  <c r="T2453" i="208" s="1"/>
  <c r="F2414" i="208"/>
  <c r="T2414" i="208" s="1"/>
  <c r="F2400" i="208"/>
  <c r="T2400" i="208" s="1"/>
  <c r="F2370" i="208"/>
  <c r="T2370" i="208" s="1"/>
  <c r="F2280" i="208"/>
  <c r="T2280" i="208" s="1"/>
  <c r="F749" i="208"/>
  <c r="T749" i="208" s="1"/>
  <c r="F2427" i="208"/>
  <c r="T2427" i="208" s="1"/>
  <c r="F2369" i="208"/>
  <c r="T2369" i="208" s="1"/>
  <c r="F2340" i="208"/>
  <c r="T2340" i="208" s="1"/>
  <c r="F2312" i="208"/>
  <c r="T2312" i="208" s="1"/>
  <c r="F2991" i="208"/>
  <c r="T2991" i="208" s="1"/>
  <c r="F2979" i="208"/>
  <c r="T2979" i="208" s="1"/>
  <c r="F2955" i="208"/>
  <c r="T2955" i="208" s="1"/>
  <c r="F2943" i="208"/>
  <c r="T2943" i="208" s="1"/>
  <c r="F2931" i="208"/>
  <c r="T2931" i="208" s="1"/>
  <c r="F2919" i="208"/>
  <c r="T2919" i="208" s="1"/>
  <c r="F2907" i="208"/>
  <c r="T2907" i="208" s="1"/>
  <c r="F2883" i="208"/>
  <c r="T2883" i="208" s="1"/>
  <c r="F2871" i="208"/>
  <c r="T2871" i="208" s="1"/>
  <c r="F2835" i="208"/>
  <c r="T2835" i="208" s="1"/>
  <c r="F2811" i="208"/>
  <c r="T2811" i="208" s="1"/>
  <c r="F2799" i="208"/>
  <c r="T2799" i="208" s="1"/>
  <c r="F2787" i="208"/>
  <c r="T2787" i="208" s="1"/>
  <c r="F2775" i="208"/>
  <c r="T2775" i="208" s="1"/>
  <c r="F2763" i="208"/>
  <c r="T2763" i="208" s="1"/>
  <c r="F2751" i="208"/>
  <c r="T2751" i="208" s="1"/>
  <c r="F2739" i="208"/>
  <c r="T2739" i="208" s="1"/>
  <c r="F2727" i="208"/>
  <c r="T2727" i="208" s="1"/>
  <c r="F2715" i="208"/>
  <c r="T2715" i="208" s="1"/>
  <c r="F2703" i="208"/>
  <c r="T2703" i="208" s="1"/>
  <c r="F2691" i="208"/>
  <c r="T2691" i="208" s="1"/>
  <c r="F2667" i="208"/>
  <c r="T2667" i="208" s="1"/>
  <c r="F2655" i="208"/>
  <c r="T2655" i="208" s="1"/>
  <c r="F2619" i="208"/>
  <c r="T2619" i="208" s="1"/>
  <c r="F2607" i="208"/>
  <c r="T2607" i="208" s="1"/>
  <c r="F2595" i="208"/>
  <c r="T2595" i="208" s="1"/>
  <c r="F2583" i="208"/>
  <c r="T2583" i="208" s="1"/>
  <c r="F2547" i="208"/>
  <c r="T2547" i="208" s="1"/>
  <c r="F2535" i="208"/>
  <c r="T2535" i="208" s="1"/>
  <c r="F2523" i="208"/>
  <c r="T2523" i="208" s="1"/>
  <c r="F2511" i="208"/>
  <c r="T2511" i="208" s="1"/>
  <c r="F2499" i="208"/>
  <c r="T2499" i="208" s="1"/>
  <c r="F2487" i="208"/>
  <c r="T2487" i="208" s="1"/>
  <c r="F2475" i="208"/>
  <c r="T2475" i="208" s="1"/>
  <c r="F2463" i="208"/>
  <c r="T2463" i="208" s="1"/>
  <c r="F2451" i="208"/>
  <c r="T2451" i="208" s="1"/>
  <c r="F2439" i="208"/>
  <c r="T2439" i="208" s="1"/>
  <c r="F2426" i="208"/>
  <c r="T2426" i="208" s="1"/>
  <c r="F2396" i="208"/>
  <c r="T2396" i="208" s="1"/>
  <c r="F2354" i="208"/>
  <c r="T2354" i="208" s="1"/>
  <c r="F719" i="208"/>
  <c r="T719" i="208" s="1"/>
  <c r="F2990" i="208"/>
  <c r="T2990" i="208" s="1"/>
  <c r="F2966" i="208"/>
  <c r="T2966" i="208" s="1"/>
  <c r="F2954" i="208"/>
  <c r="T2954" i="208" s="1"/>
  <c r="F2942" i="208"/>
  <c r="T2942" i="208" s="1"/>
  <c r="F2930" i="208"/>
  <c r="T2930" i="208" s="1"/>
  <c r="F2906" i="208"/>
  <c r="T2906" i="208" s="1"/>
  <c r="F2882" i="208"/>
  <c r="T2882" i="208" s="1"/>
  <c r="F2858" i="208"/>
  <c r="T2858" i="208" s="1"/>
  <c r="F2846" i="208"/>
  <c r="T2846" i="208" s="1"/>
  <c r="F2822" i="208"/>
  <c r="T2822" i="208" s="1"/>
  <c r="F2810" i="208"/>
  <c r="T2810" i="208" s="1"/>
  <c r="F2798" i="208"/>
  <c r="T2798" i="208" s="1"/>
  <c r="F2786" i="208"/>
  <c r="T2786" i="208" s="1"/>
  <c r="F2762" i="208"/>
  <c r="T2762" i="208" s="1"/>
  <c r="F2738" i="208"/>
  <c r="T2738" i="208" s="1"/>
  <c r="F2714" i="208"/>
  <c r="T2714" i="208" s="1"/>
  <c r="F2702" i="208"/>
  <c r="T2702" i="208" s="1"/>
  <c r="F2678" i="208"/>
  <c r="T2678" i="208" s="1"/>
  <c r="F2666" i="208"/>
  <c r="T2666" i="208" s="1"/>
  <c r="F2654" i="208"/>
  <c r="T2654" i="208" s="1"/>
  <c r="F2642" i="208"/>
  <c r="T2642" i="208" s="1"/>
  <c r="F2618" i="208"/>
  <c r="T2618" i="208" s="1"/>
  <c r="F2594" i="208"/>
  <c r="T2594" i="208" s="1"/>
  <c r="F2570" i="208"/>
  <c r="T2570" i="208" s="1"/>
  <c r="F2558" i="208"/>
  <c r="T2558" i="208" s="1"/>
  <c r="F2534" i="208"/>
  <c r="T2534" i="208" s="1"/>
  <c r="F2522" i="208"/>
  <c r="T2522" i="208" s="1"/>
  <c r="F2510" i="208"/>
  <c r="T2510" i="208" s="1"/>
  <c r="F2498" i="208"/>
  <c r="T2498" i="208" s="1"/>
  <c r="F2474" i="208"/>
  <c r="T2474" i="208" s="1"/>
  <c r="F2450" i="208"/>
  <c r="T2450" i="208" s="1"/>
  <c r="F2367" i="208"/>
  <c r="T2367" i="208" s="1"/>
  <c r="F2336" i="208"/>
  <c r="T2336" i="208" s="1"/>
  <c r="F2309" i="208"/>
  <c r="T2309" i="208" s="1"/>
  <c r="F704" i="208"/>
  <c r="T704" i="208" s="1"/>
  <c r="F383" i="208"/>
  <c r="T383" i="208" s="1"/>
  <c r="V2375" i="208"/>
  <c r="F2375" i="208"/>
  <c r="T2375" i="208" s="1"/>
  <c r="V2315" i="208"/>
  <c r="F2315" i="208"/>
  <c r="T2315" i="208" s="1"/>
  <c r="V2282" i="208"/>
  <c r="F2282" i="208"/>
  <c r="T2282" i="208" s="1"/>
  <c r="V2255" i="208"/>
  <c r="F2255" i="208"/>
  <c r="T2255" i="208" s="1"/>
  <c r="V2246" i="208"/>
  <c r="F2246" i="208"/>
  <c r="T2246" i="208" s="1"/>
  <c r="V2231" i="208"/>
  <c r="F2231" i="208"/>
  <c r="T2231" i="208" s="1"/>
  <c r="V2213" i="208"/>
  <c r="F2213" i="208"/>
  <c r="T2213" i="208" s="1"/>
  <c r="V2204" i="208"/>
  <c r="F2204" i="208"/>
  <c r="T2204" i="208" s="1"/>
  <c r="V2195" i="208"/>
  <c r="F2195" i="208"/>
  <c r="T2195" i="208" s="1"/>
  <c r="V2186" i="208"/>
  <c r="F2186" i="208"/>
  <c r="T2186" i="208" s="1"/>
  <c r="V2165" i="208"/>
  <c r="F2165" i="208"/>
  <c r="T2165" i="208" s="1"/>
  <c r="V2159" i="208"/>
  <c r="F2159" i="208"/>
  <c r="T2159" i="208" s="1"/>
  <c r="V2147" i="208"/>
  <c r="F2147" i="208"/>
  <c r="T2147" i="208" s="1"/>
  <c r="V2141" i="208"/>
  <c r="F2141" i="208"/>
  <c r="T2141" i="208" s="1"/>
  <c r="V2111" i="208"/>
  <c r="F2111" i="208"/>
  <c r="T2111" i="208" s="1"/>
  <c r="V2105" i="208"/>
  <c r="F2105" i="208"/>
  <c r="T2105" i="208" s="1"/>
  <c r="V2087" i="208"/>
  <c r="F2087" i="208"/>
  <c r="T2087" i="208" s="1"/>
  <c r="V2084" i="208"/>
  <c r="F2084" i="208"/>
  <c r="T2084" i="208" s="1"/>
  <c r="V2078" i="208"/>
  <c r="F2078" i="208"/>
  <c r="T2078" i="208" s="1"/>
  <c r="V2066" i="208"/>
  <c r="F2066" i="208"/>
  <c r="T2066" i="208" s="1"/>
  <c r="V2063" i="208"/>
  <c r="F2063" i="208"/>
  <c r="T2063" i="208" s="1"/>
  <c r="V2060" i="208"/>
  <c r="F2060" i="208"/>
  <c r="T2060" i="208" s="1"/>
  <c r="V2051" i="208"/>
  <c r="F2051" i="208"/>
  <c r="T2051" i="208" s="1"/>
  <c r="V2048" i="208"/>
  <c r="F2048" i="208"/>
  <c r="T2048" i="208" s="1"/>
  <c r="V2045" i="208"/>
  <c r="F2045" i="208"/>
  <c r="T2045" i="208" s="1"/>
  <c r="V2042" i="208"/>
  <c r="F2042" i="208"/>
  <c r="T2042" i="208" s="1"/>
  <c r="V2030" i="208"/>
  <c r="V2027" i="208"/>
  <c r="F2027" i="208"/>
  <c r="T2027" i="208" s="1"/>
  <c r="V2024" i="208"/>
  <c r="F2024" i="208"/>
  <c r="T2024" i="208" s="1"/>
  <c r="V2021" i="208"/>
  <c r="F2021" i="208"/>
  <c r="T2021" i="208" s="1"/>
  <c r="V2018" i="208"/>
  <c r="F2018" i="208"/>
  <c r="T2018" i="208" s="1"/>
  <c r="V2015" i="208"/>
  <c r="F2015" i="208"/>
  <c r="T2015" i="208" s="1"/>
  <c r="V2012" i="208"/>
  <c r="F2012" i="208"/>
  <c r="T2012" i="208" s="1"/>
  <c r="V2003" i="208"/>
  <c r="F2003" i="208"/>
  <c r="T2003" i="208" s="1"/>
  <c r="V2000" i="208"/>
  <c r="F2000" i="208"/>
  <c r="T2000" i="208" s="1"/>
  <c r="V1997" i="208"/>
  <c r="F1997" i="208"/>
  <c r="T1997" i="208" s="1"/>
  <c r="V1994" i="208"/>
  <c r="F1994" i="208"/>
  <c r="T1994" i="208" s="1"/>
  <c r="V1991" i="208"/>
  <c r="F1991" i="208"/>
  <c r="T1991" i="208" s="1"/>
  <c r="V1988" i="208"/>
  <c r="F1988" i="208"/>
  <c r="T1988" i="208" s="1"/>
  <c r="V1982" i="208"/>
  <c r="F1982" i="208"/>
  <c r="T1982" i="208" s="1"/>
  <c r="V1973" i="208"/>
  <c r="F1973" i="208"/>
  <c r="T1973" i="208" s="1"/>
  <c r="V1967" i="208"/>
  <c r="F1967" i="208"/>
  <c r="T1967" i="208" s="1"/>
  <c r="V1964" i="208"/>
  <c r="F1964" i="208"/>
  <c r="T1964" i="208" s="1"/>
  <c r="V1961" i="208"/>
  <c r="F1961" i="208"/>
  <c r="T1961" i="208" s="1"/>
  <c r="V1958" i="208"/>
  <c r="F1958" i="208"/>
  <c r="T1958" i="208" s="1"/>
  <c r="V1946" i="208"/>
  <c r="F1946" i="208"/>
  <c r="T1946" i="208" s="1"/>
  <c r="V1943" i="208"/>
  <c r="F1943" i="208"/>
  <c r="T1943" i="208" s="1"/>
  <c r="V1940" i="208"/>
  <c r="F1940" i="208"/>
  <c r="T1940" i="208" s="1"/>
  <c r="V1937" i="208"/>
  <c r="F1937" i="208"/>
  <c r="T1937" i="208" s="1"/>
  <c r="V1934" i="208"/>
  <c r="F1934" i="208"/>
  <c r="T1934" i="208" s="1"/>
  <c r="V1925" i="208"/>
  <c r="F1925" i="208"/>
  <c r="T1925" i="208" s="1"/>
  <c r="V1922" i="208"/>
  <c r="F1922" i="208"/>
  <c r="T1922" i="208" s="1"/>
  <c r="V1919" i="208"/>
  <c r="F1919" i="208"/>
  <c r="T1919" i="208" s="1"/>
  <c r="V1916" i="208"/>
  <c r="F1916" i="208"/>
  <c r="T1916" i="208" s="1"/>
  <c r="V1913" i="208"/>
  <c r="F1913" i="208"/>
  <c r="T1913" i="208" s="1"/>
  <c r="V1907" i="208"/>
  <c r="F1907" i="208"/>
  <c r="T1907" i="208" s="1"/>
  <c r="V1904" i="208"/>
  <c r="F1904" i="208"/>
  <c r="T1904" i="208" s="1"/>
  <c r="V1901" i="208"/>
  <c r="F1901" i="208"/>
  <c r="T1901" i="208" s="1"/>
  <c r="V1898" i="208"/>
  <c r="F1898" i="208"/>
  <c r="T1898" i="208" s="1"/>
  <c r="F1892" i="208"/>
  <c r="T1892" i="208" s="1"/>
  <c r="V1883" i="208"/>
  <c r="F1883" i="208"/>
  <c r="T1883" i="208" s="1"/>
  <c r="V1880" i="208"/>
  <c r="F1880" i="208"/>
  <c r="T1880" i="208" s="1"/>
  <c r="V1877" i="208"/>
  <c r="F1877" i="208"/>
  <c r="T1877" i="208" s="1"/>
  <c r="V1874" i="208"/>
  <c r="F1874" i="208"/>
  <c r="T1874" i="208" s="1"/>
  <c r="V1871" i="208"/>
  <c r="F1871" i="208"/>
  <c r="T1871" i="208" s="1"/>
  <c r="V1868" i="208"/>
  <c r="F1868" i="208"/>
  <c r="T1868" i="208" s="1"/>
  <c r="V1859" i="208"/>
  <c r="F1859" i="208"/>
  <c r="T1859" i="208" s="1"/>
  <c r="V1853" i="208"/>
  <c r="F1853" i="208"/>
  <c r="T1853" i="208" s="1"/>
  <c r="V1850" i="208"/>
  <c r="F1850" i="208"/>
  <c r="T1850" i="208" s="1"/>
  <c r="V1847" i="208"/>
  <c r="F1847" i="208"/>
  <c r="T1847" i="208" s="1"/>
  <c r="V1844" i="208"/>
  <c r="F1844" i="208"/>
  <c r="T1844" i="208" s="1"/>
  <c r="V1838" i="208"/>
  <c r="F1838" i="208"/>
  <c r="T1838" i="208" s="1"/>
  <c r="V1829" i="208"/>
  <c r="F1829" i="208"/>
  <c r="T1829" i="208" s="1"/>
  <c r="V1823" i="208"/>
  <c r="F1823" i="208"/>
  <c r="T1823" i="208" s="1"/>
  <c r="V1820" i="208"/>
  <c r="F1820" i="208"/>
  <c r="T1820" i="208" s="1"/>
  <c r="V1817" i="208"/>
  <c r="F1817" i="208"/>
  <c r="T1817" i="208" s="1"/>
  <c r="V1814" i="208"/>
  <c r="F1814" i="208"/>
  <c r="T1814" i="208" s="1"/>
  <c r="V1802" i="208"/>
  <c r="F1802" i="208"/>
  <c r="T1802" i="208" s="1"/>
  <c r="V1799" i="208"/>
  <c r="F1799" i="208"/>
  <c r="T1799" i="208" s="1"/>
  <c r="V1796" i="208"/>
  <c r="F1796" i="208"/>
  <c r="T1796" i="208" s="1"/>
  <c r="V1793" i="208"/>
  <c r="F1793" i="208"/>
  <c r="T1793" i="208" s="1"/>
  <c r="V1790" i="208"/>
  <c r="F1790" i="208"/>
  <c r="T1790" i="208" s="1"/>
  <c r="V1781" i="208"/>
  <c r="F1781" i="208"/>
  <c r="T1781" i="208" s="1"/>
  <c r="V1778" i="208"/>
  <c r="F1778" i="208"/>
  <c r="T1778" i="208" s="1"/>
  <c r="V1775" i="208"/>
  <c r="F1775" i="208"/>
  <c r="T1775" i="208" s="1"/>
  <c r="V1772" i="208"/>
  <c r="F1772" i="208"/>
  <c r="T1772" i="208" s="1"/>
  <c r="V1769" i="208"/>
  <c r="F1769" i="208"/>
  <c r="T1769" i="208" s="1"/>
  <c r="V1763" i="208"/>
  <c r="F1763" i="208"/>
  <c r="T1763" i="208" s="1"/>
  <c r="V1760" i="208"/>
  <c r="F1760" i="208"/>
  <c r="T1760" i="208" s="1"/>
  <c r="V1757" i="208"/>
  <c r="F1757" i="208"/>
  <c r="T1757" i="208" s="1"/>
  <c r="V1754" i="208"/>
  <c r="F1754" i="208"/>
  <c r="T1754" i="208" s="1"/>
  <c r="F1742" i="208"/>
  <c r="T1742" i="208" s="1"/>
  <c r="V1739" i="208"/>
  <c r="F1739" i="208"/>
  <c r="T1739" i="208" s="1"/>
  <c r="V1736" i="208"/>
  <c r="F1736" i="208"/>
  <c r="T1736" i="208" s="1"/>
  <c r="V1733" i="208"/>
  <c r="F1733" i="208"/>
  <c r="T1733" i="208" s="1"/>
  <c r="V1730" i="208"/>
  <c r="F1730" i="208"/>
  <c r="T1730" i="208" s="1"/>
  <c r="V1727" i="208"/>
  <c r="F1727" i="208"/>
  <c r="T1727" i="208" s="1"/>
  <c r="V1724" i="208"/>
  <c r="F1724" i="208"/>
  <c r="T1724" i="208" s="1"/>
  <c r="V1715" i="208"/>
  <c r="F1715" i="208"/>
  <c r="T1715" i="208" s="1"/>
  <c r="V1712" i="208"/>
  <c r="F1712" i="208"/>
  <c r="T1712" i="208" s="1"/>
  <c r="V1709" i="208"/>
  <c r="F1709" i="208"/>
  <c r="T1709" i="208" s="1"/>
  <c r="V1706" i="208"/>
  <c r="F1706" i="208"/>
  <c r="T1706" i="208" s="1"/>
  <c r="V1703" i="208"/>
  <c r="F1703" i="208"/>
  <c r="T1703" i="208" s="1"/>
  <c r="V1700" i="208"/>
  <c r="F1700" i="208"/>
  <c r="T1700" i="208" s="1"/>
  <c r="V1694" i="208"/>
  <c r="F1694" i="208"/>
  <c r="T1694" i="208" s="1"/>
  <c r="V1685" i="208"/>
  <c r="F1685" i="208"/>
  <c r="T1685" i="208" s="1"/>
  <c r="V1679" i="208"/>
  <c r="F1679" i="208"/>
  <c r="T1679" i="208" s="1"/>
  <c r="V1676" i="208"/>
  <c r="F1676" i="208"/>
  <c r="T1676" i="208" s="1"/>
  <c r="V1673" i="208"/>
  <c r="F1673" i="208"/>
  <c r="T1673" i="208" s="1"/>
  <c r="V1670" i="208"/>
  <c r="F1670" i="208"/>
  <c r="T1670" i="208" s="1"/>
  <c r="V1658" i="208"/>
  <c r="F1658" i="208"/>
  <c r="T1658" i="208" s="1"/>
  <c r="V1655" i="208"/>
  <c r="F1655" i="208"/>
  <c r="T1655" i="208" s="1"/>
  <c r="V1652" i="208"/>
  <c r="F1652" i="208"/>
  <c r="T1652" i="208" s="1"/>
  <c r="V1649" i="208"/>
  <c r="F1649" i="208"/>
  <c r="T1649" i="208" s="1"/>
  <c r="V1646" i="208"/>
  <c r="F1646" i="208"/>
  <c r="T1646" i="208" s="1"/>
  <c r="V1637" i="208"/>
  <c r="F1637" i="208"/>
  <c r="T1637" i="208" s="1"/>
  <c r="V1634" i="208"/>
  <c r="F1634" i="208"/>
  <c r="T1634" i="208" s="1"/>
  <c r="V1631" i="208"/>
  <c r="F1631" i="208"/>
  <c r="T1631" i="208" s="1"/>
  <c r="V1628" i="208"/>
  <c r="F1628" i="208"/>
  <c r="T1628" i="208" s="1"/>
  <c r="V1625" i="208"/>
  <c r="F1625" i="208"/>
  <c r="T1625" i="208" s="1"/>
  <c r="V1619" i="208"/>
  <c r="F1619" i="208"/>
  <c r="T1619" i="208" s="1"/>
  <c r="V1616" i="208"/>
  <c r="F1616" i="208"/>
  <c r="T1616" i="208" s="1"/>
  <c r="V1613" i="208"/>
  <c r="F1613" i="208"/>
  <c r="T1613" i="208" s="1"/>
  <c r="V1610" i="208"/>
  <c r="F1610" i="208"/>
  <c r="T1610" i="208" s="1"/>
  <c r="F1607" i="208"/>
  <c r="T1607" i="208" s="1"/>
  <c r="V1598" i="208"/>
  <c r="V1595" i="208"/>
  <c r="F1595" i="208"/>
  <c r="T1595" i="208" s="1"/>
  <c r="V1592" i="208"/>
  <c r="F1592" i="208"/>
  <c r="T1592" i="208" s="1"/>
  <c r="V1589" i="208"/>
  <c r="F1589" i="208"/>
  <c r="T1589" i="208" s="1"/>
  <c r="V1586" i="208"/>
  <c r="F1586" i="208"/>
  <c r="T1586" i="208" s="1"/>
  <c r="V1583" i="208"/>
  <c r="F1583" i="208"/>
  <c r="T1583" i="208" s="1"/>
  <c r="V1580" i="208"/>
  <c r="F1580" i="208"/>
  <c r="T1580" i="208" s="1"/>
  <c r="V1571" i="208"/>
  <c r="F1571" i="208"/>
  <c r="T1571" i="208" s="1"/>
  <c r="V1568" i="208"/>
  <c r="F1568" i="208"/>
  <c r="T1568" i="208" s="1"/>
  <c r="V1565" i="208"/>
  <c r="F1565" i="208"/>
  <c r="T1565" i="208" s="1"/>
  <c r="V1562" i="208"/>
  <c r="F1562" i="208"/>
  <c r="T1562" i="208" s="1"/>
  <c r="V1559" i="208"/>
  <c r="F1559" i="208"/>
  <c r="T1559" i="208" s="1"/>
  <c r="V1556" i="208"/>
  <c r="F1556" i="208"/>
  <c r="T1556" i="208" s="1"/>
  <c r="V1550" i="208"/>
  <c r="F1550" i="208"/>
  <c r="T1550" i="208" s="1"/>
  <c r="V1541" i="208"/>
  <c r="F1541" i="208"/>
  <c r="T1541" i="208" s="1"/>
  <c r="F1538" i="208"/>
  <c r="T1538" i="208" s="1"/>
  <c r="V1535" i="208"/>
  <c r="F1535" i="208"/>
  <c r="T1535" i="208" s="1"/>
  <c r="V1532" i="208"/>
  <c r="F1532" i="208"/>
  <c r="T1532" i="208" s="1"/>
  <c r="V1529" i="208"/>
  <c r="F1529" i="208"/>
  <c r="T1529" i="208" s="1"/>
  <c r="V1526" i="208"/>
  <c r="F1526" i="208"/>
  <c r="T1526" i="208" s="1"/>
  <c r="V1514" i="208"/>
  <c r="F1514" i="208"/>
  <c r="T1514" i="208" s="1"/>
  <c r="V1511" i="208"/>
  <c r="F1511" i="208"/>
  <c r="T1511" i="208" s="1"/>
  <c r="V1508" i="208"/>
  <c r="F1508" i="208"/>
  <c r="T1508" i="208" s="1"/>
  <c r="V1505" i="208"/>
  <c r="F1505" i="208"/>
  <c r="T1505" i="208" s="1"/>
  <c r="V1502" i="208"/>
  <c r="F1502" i="208"/>
  <c r="T1502" i="208" s="1"/>
  <c r="V1493" i="208"/>
  <c r="F1493" i="208"/>
  <c r="T1493" i="208" s="1"/>
  <c r="V1490" i="208"/>
  <c r="F1490" i="208"/>
  <c r="T1490" i="208" s="1"/>
  <c r="V1487" i="208"/>
  <c r="F1487" i="208"/>
  <c r="T1487" i="208" s="1"/>
  <c r="V1484" i="208"/>
  <c r="F1484" i="208"/>
  <c r="T1484" i="208" s="1"/>
  <c r="V1481" i="208"/>
  <c r="F1481" i="208"/>
  <c r="T1481" i="208" s="1"/>
  <c r="V1475" i="208"/>
  <c r="F1475" i="208"/>
  <c r="T1475" i="208" s="1"/>
  <c r="V1472" i="208"/>
  <c r="F1472" i="208"/>
  <c r="T1472" i="208" s="1"/>
  <c r="V1469" i="208"/>
  <c r="F1469" i="208"/>
  <c r="T1469" i="208" s="1"/>
  <c r="V1466" i="208"/>
  <c r="F1466" i="208"/>
  <c r="T1466" i="208" s="1"/>
  <c r="V1451" i="208"/>
  <c r="F1451" i="208"/>
  <c r="T1451" i="208" s="1"/>
  <c r="V1448" i="208"/>
  <c r="F1448" i="208"/>
  <c r="T1448" i="208" s="1"/>
  <c r="V1445" i="208"/>
  <c r="F1445" i="208"/>
  <c r="T1445" i="208" s="1"/>
  <c r="V1442" i="208"/>
  <c r="F1442" i="208"/>
  <c r="T1442" i="208" s="1"/>
  <c r="V1439" i="208"/>
  <c r="F1439" i="208"/>
  <c r="T1439" i="208" s="1"/>
  <c r="V1436" i="208"/>
  <c r="F1436" i="208"/>
  <c r="T1436" i="208" s="1"/>
  <c r="V1427" i="208"/>
  <c r="F1427" i="208"/>
  <c r="T1427" i="208" s="1"/>
  <c r="V1424" i="208"/>
  <c r="F1424" i="208"/>
  <c r="T1424" i="208" s="1"/>
  <c r="V1421" i="208"/>
  <c r="F1421" i="208"/>
  <c r="T1421" i="208" s="1"/>
  <c r="V1418" i="208"/>
  <c r="F1418" i="208"/>
  <c r="T1418" i="208" s="1"/>
  <c r="V1415" i="208"/>
  <c r="F1415" i="208"/>
  <c r="T1415" i="208" s="1"/>
  <c r="V1412" i="208"/>
  <c r="F1412" i="208"/>
  <c r="T1412" i="208" s="1"/>
  <c r="V1406" i="208"/>
  <c r="F1406" i="208"/>
  <c r="T1406" i="208" s="1"/>
  <c r="V1397" i="208"/>
  <c r="F1397" i="208"/>
  <c r="T1397" i="208" s="1"/>
  <c r="V1391" i="208"/>
  <c r="F1391" i="208"/>
  <c r="T1391" i="208" s="1"/>
  <c r="V1388" i="208"/>
  <c r="F1388" i="208"/>
  <c r="T1388" i="208" s="1"/>
  <c r="V1385" i="208"/>
  <c r="F1385" i="208"/>
  <c r="T1385" i="208" s="1"/>
  <c r="V1382" i="208"/>
  <c r="F1382" i="208"/>
  <c r="T1382" i="208" s="1"/>
  <c r="V1370" i="208"/>
  <c r="F1370" i="208"/>
  <c r="T1370" i="208" s="1"/>
  <c r="V1367" i="208"/>
  <c r="F1367" i="208"/>
  <c r="T1367" i="208" s="1"/>
  <c r="V1364" i="208"/>
  <c r="F1364" i="208"/>
  <c r="T1364" i="208" s="1"/>
  <c r="V1361" i="208"/>
  <c r="F1361" i="208"/>
  <c r="T1361" i="208" s="1"/>
  <c r="V1358" i="208"/>
  <c r="F1358" i="208"/>
  <c r="T1358" i="208" s="1"/>
  <c r="V1349" i="208"/>
  <c r="F1349" i="208"/>
  <c r="T1349" i="208" s="1"/>
  <c r="V1346" i="208"/>
  <c r="F1346" i="208"/>
  <c r="T1346" i="208" s="1"/>
  <c r="V1343" i="208"/>
  <c r="F1343" i="208"/>
  <c r="T1343" i="208" s="1"/>
  <c r="V1340" i="208"/>
  <c r="F1340" i="208"/>
  <c r="T1340" i="208" s="1"/>
  <c r="V1337" i="208"/>
  <c r="F1337" i="208"/>
  <c r="T1337" i="208" s="1"/>
  <c r="V1331" i="208"/>
  <c r="F1331" i="208"/>
  <c r="T1331" i="208" s="1"/>
  <c r="V1328" i="208"/>
  <c r="F1328" i="208"/>
  <c r="T1328" i="208" s="1"/>
  <c r="V1325" i="208"/>
  <c r="F1325" i="208"/>
  <c r="T1325" i="208" s="1"/>
  <c r="V1322" i="208"/>
  <c r="F1322" i="208"/>
  <c r="T1322" i="208" s="1"/>
  <c r="V1307" i="208"/>
  <c r="F1307" i="208"/>
  <c r="T1307" i="208" s="1"/>
  <c r="V1304" i="208"/>
  <c r="F1304" i="208"/>
  <c r="T1304" i="208" s="1"/>
  <c r="V1301" i="208"/>
  <c r="F1301" i="208"/>
  <c r="T1301" i="208" s="1"/>
  <c r="V1298" i="208"/>
  <c r="F1298" i="208"/>
  <c r="T1298" i="208" s="1"/>
  <c r="V1295" i="208"/>
  <c r="F1295" i="208"/>
  <c r="T1295" i="208" s="1"/>
  <c r="V1292" i="208"/>
  <c r="F1292" i="208"/>
  <c r="T1292" i="208" s="1"/>
  <c r="V1283" i="208"/>
  <c r="F1283" i="208"/>
  <c r="T1283" i="208" s="1"/>
  <c r="V1280" i="208"/>
  <c r="F1280" i="208"/>
  <c r="T1280" i="208" s="1"/>
  <c r="V1277" i="208"/>
  <c r="F1277" i="208"/>
  <c r="T1277" i="208" s="1"/>
  <c r="V1274" i="208"/>
  <c r="F1274" i="208"/>
  <c r="T1274" i="208" s="1"/>
  <c r="V1271" i="208"/>
  <c r="F1271" i="208"/>
  <c r="T1271" i="208" s="1"/>
  <c r="V1268" i="208"/>
  <c r="F1268" i="208"/>
  <c r="T1268" i="208" s="1"/>
  <c r="V1262" i="208"/>
  <c r="F1262" i="208"/>
  <c r="T1262" i="208" s="1"/>
  <c r="V1253" i="208"/>
  <c r="F1253" i="208"/>
  <c r="T1253" i="208" s="1"/>
  <c r="V1247" i="208"/>
  <c r="F1247" i="208"/>
  <c r="T1247" i="208" s="1"/>
  <c r="V1244" i="208"/>
  <c r="F1244" i="208"/>
  <c r="T1244" i="208" s="1"/>
  <c r="V1241" i="208"/>
  <c r="F1241" i="208"/>
  <c r="T1241" i="208" s="1"/>
  <c r="V1238" i="208"/>
  <c r="F1238" i="208"/>
  <c r="T1238" i="208" s="1"/>
  <c r="V1226" i="208"/>
  <c r="F1226" i="208"/>
  <c r="T1226" i="208" s="1"/>
  <c r="V1223" i="208"/>
  <c r="F1223" i="208"/>
  <c r="T1223" i="208" s="1"/>
  <c r="V1220" i="208"/>
  <c r="F1220" i="208"/>
  <c r="T1220" i="208" s="1"/>
  <c r="V1217" i="208"/>
  <c r="F1217" i="208"/>
  <c r="T1217" i="208" s="1"/>
  <c r="V1214" i="208"/>
  <c r="F1214" i="208"/>
  <c r="T1214" i="208" s="1"/>
  <c r="V1205" i="208"/>
  <c r="F1205" i="208"/>
  <c r="T1205" i="208" s="1"/>
  <c r="V1202" i="208"/>
  <c r="F1202" i="208"/>
  <c r="T1202" i="208" s="1"/>
  <c r="V1199" i="208"/>
  <c r="F1199" i="208"/>
  <c r="T1199" i="208" s="1"/>
  <c r="V1196" i="208"/>
  <c r="F1196" i="208"/>
  <c r="T1196" i="208" s="1"/>
  <c r="V1193" i="208"/>
  <c r="F1193" i="208"/>
  <c r="T1193" i="208" s="1"/>
  <c r="V1187" i="208"/>
  <c r="F1187" i="208"/>
  <c r="T1187" i="208" s="1"/>
  <c r="V1184" i="208"/>
  <c r="F1184" i="208"/>
  <c r="T1184" i="208" s="1"/>
  <c r="V1181" i="208"/>
  <c r="F1181" i="208"/>
  <c r="T1181" i="208" s="1"/>
  <c r="V1178" i="208"/>
  <c r="F1178" i="208"/>
  <c r="T1178" i="208" s="1"/>
  <c r="F1175" i="208"/>
  <c r="T1175" i="208" s="1"/>
  <c r="V1163" i="208"/>
  <c r="F1163" i="208"/>
  <c r="T1163" i="208" s="1"/>
  <c r="V1160" i="208"/>
  <c r="F1160" i="208"/>
  <c r="T1160" i="208" s="1"/>
  <c r="V1157" i="208"/>
  <c r="F1157" i="208"/>
  <c r="T1157" i="208" s="1"/>
  <c r="V1154" i="208"/>
  <c r="F1154" i="208"/>
  <c r="T1154" i="208" s="1"/>
  <c r="V1151" i="208"/>
  <c r="F1151" i="208"/>
  <c r="T1151" i="208" s="1"/>
  <c r="V1148" i="208"/>
  <c r="F1148" i="208"/>
  <c r="T1148" i="208" s="1"/>
  <c r="V1139" i="208"/>
  <c r="F1139" i="208"/>
  <c r="T1139" i="208" s="1"/>
  <c r="V1136" i="208"/>
  <c r="F1136" i="208"/>
  <c r="T1136" i="208" s="1"/>
  <c r="V1133" i="208"/>
  <c r="F1133" i="208"/>
  <c r="T1133" i="208" s="1"/>
  <c r="V1130" i="208"/>
  <c r="F1130" i="208"/>
  <c r="T1130" i="208" s="1"/>
  <c r="V1127" i="208"/>
  <c r="F1127" i="208"/>
  <c r="T1127" i="208" s="1"/>
  <c r="V1124" i="208"/>
  <c r="F1124" i="208"/>
  <c r="T1124" i="208" s="1"/>
  <c r="V1118" i="208"/>
  <c r="F1118" i="208"/>
  <c r="T1118" i="208" s="1"/>
  <c r="V1109" i="208"/>
  <c r="F1109" i="208"/>
  <c r="T1109" i="208" s="1"/>
  <c r="F1106" i="208"/>
  <c r="T1106" i="208" s="1"/>
  <c r="V1103" i="208"/>
  <c r="F1103" i="208"/>
  <c r="T1103" i="208" s="1"/>
  <c r="V1100" i="208"/>
  <c r="F1100" i="208"/>
  <c r="T1100" i="208" s="1"/>
  <c r="V1097" i="208"/>
  <c r="F1097" i="208"/>
  <c r="T1097" i="208" s="1"/>
  <c r="V1094" i="208"/>
  <c r="F1094" i="208"/>
  <c r="T1094" i="208" s="1"/>
  <c r="V1082" i="208"/>
  <c r="F1082" i="208"/>
  <c r="T1082" i="208" s="1"/>
  <c r="V1079" i="208"/>
  <c r="F1079" i="208"/>
  <c r="T1079" i="208" s="1"/>
  <c r="V1076" i="208"/>
  <c r="F1076" i="208"/>
  <c r="T1076" i="208" s="1"/>
  <c r="V1073" i="208"/>
  <c r="F1073" i="208"/>
  <c r="T1073" i="208" s="1"/>
  <c r="V1070" i="208"/>
  <c r="F1070" i="208"/>
  <c r="T1070" i="208" s="1"/>
  <c r="V1061" i="208"/>
  <c r="F1061" i="208"/>
  <c r="T1061" i="208" s="1"/>
  <c r="V1058" i="208"/>
  <c r="F1058" i="208"/>
  <c r="T1058" i="208" s="1"/>
  <c r="V1055" i="208"/>
  <c r="F1055" i="208"/>
  <c r="T1055" i="208" s="1"/>
  <c r="V1052" i="208"/>
  <c r="F1052" i="208"/>
  <c r="T1052" i="208" s="1"/>
  <c r="V1049" i="208"/>
  <c r="F1049" i="208"/>
  <c r="T1049" i="208" s="1"/>
  <c r="V1043" i="208"/>
  <c r="F1043" i="208"/>
  <c r="T1043" i="208" s="1"/>
  <c r="V1040" i="208"/>
  <c r="F1040" i="208"/>
  <c r="T1040" i="208" s="1"/>
  <c r="V1037" i="208"/>
  <c r="F1037" i="208"/>
  <c r="T1037" i="208" s="1"/>
  <c r="V1034" i="208"/>
  <c r="F1034" i="208"/>
  <c r="T1034" i="208" s="1"/>
  <c r="V1019" i="208"/>
  <c r="F1019" i="208"/>
  <c r="T1019" i="208" s="1"/>
  <c r="V1016" i="208"/>
  <c r="F1016" i="208"/>
  <c r="T1016" i="208" s="1"/>
  <c r="V1013" i="208"/>
  <c r="F1013" i="208"/>
  <c r="T1013" i="208" s="1"/>
  <c r="V1010" i="208"/>
  <c r="F1010" i="208"/>
  <c r="T1010" i="208" s="1"/>
  <c r="V1007" i="208"/>
  <c r="F1007" i="208"/>
  <c r="T1007" i="208" s="1"/>
  <c r="V1004" i="208"/>
  <c r="F1004" i="208"/>
  <c r="T1004" i="208" s="1"/>
  <c r="V995" i="208"/>
  <c r="F995" i="208"/>
  <c r="T995" i="208" s="1"/>
  <c r="V992" i="208"/>
  <c r="F992" i="208"/>
  <c r="T992" i="208" s="1"/>
  <c r="V989" i="208"/>
  <c r="F989" i="208"/>
  <c r="T989" i="208" s="1"/>
  <c r="V983" i="208"/>
  <c r="F983" i="208"/>
  <c r="T983" i="208" s="1"/>
  <c r="V980" i="208"/>
  <c r="F980" i="208"/>
  <c r="T980" i="208" s="1"/>
  <c r="V974" i="208"/>
  <c r="F974" i="208"/>
  <c r="T974" i="208" s="1"/>
  <c r="F965" i="208"/>
  <c r="T965" i="208" s="1"/>
  <c r="V959" i="208"/>
  <c r="F959" i="208"/>
  <c r="T959" i="208" s="1"/>
  <c r="V956" i="208"/>
  <c r="F956" i="208"/>
  <c r="T956" i="208" s="1"/>
  <c r="V953" i="208"/>
  <c r="F953" i="208"/>
  <c r="T953" i="208" s="1"/>
  <c r="V950" i="208"/>
  <c r="F950" i="208"/>
  <c r="T950" i="208" s="1"/>
  <c r="V938" i="208"/>
  <c r="F938" i="208"/>
  <c r="T938" i="208" s="1"/>
  <c r="V935" i="208"/>
  <c r="F935" i="208"/>
  <c r="T935" i="208" s="1"/>
  <c r="V932" i="208"/>
  <c r="F932" i="208"/>
  <c r="T932" i="208" s="1"/>
  <c r="V929" i="208"/>
  <c r="F929" i="208"/>
  <c r="T929" i="208" s="1"/>
  <c r="V926" i="208"/>
  <c r="F926" i="208"/>
  <c r="T926" i="208" s="1"/>
  <c r="V917" i="208"/>
  <c r="F917" i="208"/>
  <c r="T917" i="208" s="1"/>
  <c r="V914" i="208"/>
  <c r="F914" i="208"/>
  <c r="T914" i="208" s="1"/>
  <c r="V905" i="208"/>
  <c r="F905" i="208"/>
  <c r="T905" i="208" s="1"/>
  <c r="V899" i="208"/>
  <c r="F899" i="208"/>
  <c r="T899" i="208" s="1"/>
  <c r="V896" i="208"/>
  <c r="F896" i="208"/>
  <c r="T896" i="208" s="1"/>
  <c r="V893" i="208"/>
  <c r="F893" i="208"/>
  <c r="T893" i="208" s="1"/>
  <c r="V890" i="208"/>
  <c r="F890" i="208"/>
  <c r="T890" i="208" s="1"/>
  <c r="V875" i="208"/>
  <c r="F875" i="208"/>
  <c r="T875" i="208" s="1"/>
  <c r="V872" i="208"/>
  <c r="F872" i="208"/>
  <c r="T872" i="208" s="1"/>
  <c r="V869" i="208"/>
  <c r="F869" i="208"/>
  <c r="T869" i="208" s="1"/>
  <c r="V866" i="208"/>
  <c r="F866" i="208"/>
  <c r="T866" i="208" s="1"/>
  <c r="V863" i="208"/>
  <c r="F863" i="208"/>
  <c r="T863" i="208" s="1"/>
  <c r="V860" i="208"/>
  <c r="F860" i="208"/>
  <c r="T860" i="208" s="1"/>
  <c r="V851" i="208"/>
  <c r="F851" i="208"/>
  <c r="T851" i="208" s="1"/>
  <c r="V848" i="208"/>
  <c r="F848" i="208"/>
  <c r="T848" i="208" s="1"/>
  <c r="V845" i="208"/>
  <c r="F845" i="208"/>
  <c r="T845" i="208" s="1"/>
  <c r="F842" i="208"/>
  <c r="T842" i="208" s="1"/>
  <c r="V839" i="208"/>
  <c r="F839" i="208"/>
  <c r="T839" i="208" s="1"/>
  <c r="V836" i="208"/>
  <c r="F836" i="208"/>
  <c r="T836" i="208" s="1"/>
  <c r="V830" i="208"/>
  <c r="F830" i="208"/>
  <c r="T830" i="208" s="1"/>
  <c r="V815" i="208"/>
  <c r="F815" i="208"/>
  <c r="T815" i="208" s="1"/>
  <c r="V812" i="208"/>
  <c r="F812" i="208"/>
  <c r="T812" i="208" s="1"/>
  <c r="V809" i="208"/>
  <c r="F809" i="208"/>
  <c r="T809" i="208" s="1"/>
  <c r="V806" i="208"/>
  <c r="F806" i="208"/>
  <c r="T806" i="208" s="1"/>
  <c r="F800" i="208"/>
  <c r="T800" i="208" s="1"/>
  <c r="V794" i="208"/>
  <c r="F794" i="208"/>
  <c r="T794" i="208" s="1"/>
  <c r="V791" i="208"/>
  <c r="F791" i="208"/>
  <c r="T791" i="208" s="1"/>
  <c r="V788" i="208"/>
  <c r="F788" i="208"/>
  <c r="T788" i="208" s="1"/>
  <c r="V785" i="208"/>
  <c r="F785" i="208"/>
  <c r="T785" i="208" s="1"/>
  <c r="V782" i="208"/>
  <c r="F782" i="208"/>
  <c r="T782" i="208" s="1"/>
  <c r="V773" i="208"/>
  <c r="F773" i="208"/>
  <c r="T773" i="208" s="1"/>
  <c r="V770" i="208"/>
  <c r="F770" i="208"/>
  <c r="T770" i="208" s="1"/>
  <c r="V761" i="208"/>
  <c r="F761" i="208"/>
  <c r="T761" i="208" s="1"/>
  <c r="V755" i="208"/>
  <c r="F755" i="208"/>
  <c r="T755" i="208" s="1"/>
  <c r="V752" i="208"/>
  <c r="F752" i="208"/>
  <c r="T752" i="208" s="1"/>
  <c r="V746" i="208"/>
  <c r="F746" i="208"/>
  <c r="T746" i="208" s="1"/>
  <c r="F734" i="208"/>
  <c r="T734" i="208" s="1"/>
  <c r="V731" i="208"/>
  <c r="F731" i="208"/>
  <c r="T731" i="208" s="1"/>
  <c r="V728" i="208"/>
  <c r="F728" i="208"/>
  <c r="T728" i="208" s="1"/>
  <c r="V725" i="208"/>
  <c r="F725" i="208"/>
  <c r="T725" i="208" s="1"/>
  <c r="V722" i="208"/>
  <c r="F722" i="208"/>
  <c r="T722" i="208" s="1"/>
  <c r="V716" i="208"/>
  <c r="F716" i="208"/>
  <c r="T716" i="208" s="1"/>
  <c r="F713" i="208"/>
  <c r="T713" i="208" s="1"/>
  <c r="V707" i="208"/>
  <c r="F707" i="208"/>
  <c r="T707" i="208" s="1"/>
  <c r="V701" i="208"/>
  <c r="F701" i="208"/>
  <c r="T701" i="208" s="1"/>
  <c r="V695" i="208"/>
  <c r="F695" i="208"/>
  <c r="T695" i="208" s="1"/>
  <c r="V692" i="208"/>
  <c r="F692" i="208"/>
  <c r="T692" i="208" s="1"/>
  <c r="V665" i="208"/>
  <c r="F665" i="208"/>
  <c r="T665" i="208" s="1"/>
  <c r="V662" i="208"/>
  <c r="F662" i="208"/>
  <c r="T662" i="208" s="1"/>
  <c r="V650" i="208"/>
  <c r="F650" i="208"/>
  <c r="T650" i="208" s="1"/>
  <c r="V647" i="208"/>
  <c r="F647" i="208"/>
  <c r="T647" i="208" s="1"/>
  <c r="V644" i="208"/>
  <c r="F644" i="208"/>
  <c r="T644" i="208" s="1"/>
  <c r="V641" i="208"/>
  <c r="F641" i="208"/>
  <c r="T641" i="208" s="1"/>
  <c r="V638" i="208"/>
  <c r="F638" i="208"/>
  <c r="T638" i="208" s="1"/>
  <c r="V629" i="208"/>
  <c r="F629" i="208"/>
  <c r="T629" i="208" s="1"/>
  <c r="V626" i="208"/>
  <c r="F626" i="208"/>
  <c r="T626" i="208" s="1"/>
  <c r="V617" i="208"/>
  <c r="F617" i="208"/>
  <c r="T617" i="208" s="1"/>
  <c r="V611" i="208"/>
  <c r="F611" i="208"/>
  <c r="T611" i="208" s="1"/>
  <c r="V608" i="208"/>
  <c r="F608" i="208"/>
  <c r="T608" i="208" s="1"/>
  <c r="V605" i="208"/>
  <c r="F605" i="208"/>
  <c r="T605" i="208" s="1"/>
  <c r="F602" i="208"/>
  <c r="T602" i="208" s="1"/>
  <c r="V587" i="208"/>
  <c r="F587" i="208"/>
  <c r="T587" i="208" s="1"/>
  <c r="V584" i="208"/>
  <c r="F584" i="208"/>
  <c r="T584" i="208" s="1"/>
  <c r="V578" i="208"/>
  <c r="F578" i="208"/>
  <c r="T578" i="208" s="1"/>
  <c r="V575" i="208"/>
  <c r="F575" i="208"/>
  <c r="T575" i="208" s="1"/>
  <c r="V572" i="208"/>
  <c r="F572" i="208"/>
  <c r="T572" i="208" s="1"/>
  <c r="F569" i="208"/>
  <c r="T569" i="208" s="1"/>
  <c r="V563" i="208"/>
  <c r="F563" i="208"/>
  <c r="T563" i="208" s="1"/>
  <c r="V560" i="208"/>
  <c r="F560" i="208"/>
  <c r="T560" i="208" s="1"/>
  <c r="V557" i="208"/>
  <c r="F557" i="208"/>
  <c r="T557" i="208" s="1"/>
  <c r="V551" i="208"/>
  <c r="F551" i="208"/>
  <c r="T551" i="208" s="1"/>
  <c r="V548" i="208"/>
  <c r="F548" i="208"/>
  <c r="T548" i="208" s="1"/>
  <c r="V542" i="208"/>
  <c r="F542" i="208"/>
  <c r="T542" i="208" s="1"/>
  <c r="V521" i="208"/>
  <c r="F521" i="208"/>
  <c r="T521" i="208" s="1"/>
  <c r="V518" i="208"/>
  <c r="F518" i="208"/>
  <c r="T518" i="208" s="1"/>
  <c r="V506" i="208"/>
  <c r="F506" i="208"/>
  <c r="T506" i="208" s="1"/>
  <c r="V503" i="208"/>
  <c r="F503" i="208"/>
  <c r="T503" i="208" s="1"/>
  <c r="V500" i="208"/>
  <c r="F500" i="208"/>
  <c r="T500" i="208" s="1"/>
  <c r="V497" i="208"/>
  <c r="F497" i="208"/>
  <c r="T497" i="208" s="1"/>
  <c r="V494" i="208"/>
  <c r="F494" i="208"/>
  <c r="T494" i="208" s="1"/>
  <c r="V485" i="208"/>
  <c r="F485" i="208"/>
  <c r="T485" i="208" s="1"/>
  <c r="V482" i="208"/>
  <c r="F482" i="208"/>
  <c r="T482" i="208" s="1"/>
  <c r="V473" i="208"/>
  <c r="F473" i="208"/>
  <c r="T473" i="208" s="1"/>
  <c r="V467" i="208"/>
  <c r="F467" i="208"/>
  <c r="T467" i="208" s="1"/>
  <c r="V464" i="208"/>
  <c r="F464" i="208"/>
  <c r="T464" i="208" s="1"/>
  <c r="V461" i="208"/>
  <c r="F461" i="208"/>
  <c r="T461" i="208" s="1"/>
  <c r="V443" i="208"/>
  <c r="F443" i="208"/>
  <c r="T443" i="208" s="1"/>
  <c r="V440" i="208"/>
  <c r="F440" i="208"/>
  <c r="T440" i="208" s="1"/>
  <c r="V437" i="208"/>
  <c r="V434" i="208"/>
  <c r="F434" i="208"/>
  <c r="T434" i="208" s="1"/>
  <c r="V431" i="208"/>
  <c r="F431" i="208"/>
  <c r="T431" i="208" s="1"/>
  <c r="V428" i="208"/>
  <c r="F428" i="208"/>
  <c r="T428" i="208" s="1"/>
  <c r="V419" i="208"/>
  <c r="F419" i="208"/>
  <c r="T419" i="208" s="1"/>
  <c r="V416" i="208"/>
  <c r="F416" i="208"/>
  <c r="T416" i="208" s="1"/>
  <c r="V413" i="208"/>
  <c r="F413" i="208"/>
  <c r="T413" i="208" s="1"/>
  <c r="V407" i="208"/>
  <c r="F407" i="208"/>
  <c r="T407" i="208" s="1"/>
  <c r="V404" i="208"/>
  <c r="F404" i="208"/>
  <c r="T404" i="208" s="1"/>
  <c r="V398" i="208"/>
  <c r="F398" i="208"/>
  <c r="T398" i="208" s="1"/>
  <c r="V377" i="208"/>
  <c r="F377" i="208"/>
  <c r="T377" i="208" s="1"/>
  <c r="V374" i="208"/>
  <c r="F374" i="208"/>
  <c r="T374" i="208" s="1"/>
  <c r="V362" i="208"/>
  <c r="F362" i="208"/>
  <c r="T362" i="208" s="1"/>
  <c r="V359" i="208"/>
  <c r="F359" i="208"/>
  <c r="T359" i="208" s="1"/>
  <c r="V356" i="208"/>
  <c r="F356" i="208"/>
  <c r="T356" i="208" s="1"/>
  <c r="V353" i="208"/>
  <c r="F353" i="208"/>
  <c r="T353" i="208" s="1"/>
  <c r="V350" i="208"/>
  <c r="F350" i="208"/>
  <c r="T350" i="208" s="1"/>
  <c r="V341" i="208"/>
  <c r="F341" i="208"/>
  <c r="T341" i="208" s="1"/>
  <c r="V338" i="208"/>
  <c r="F338" i="208"/>
  <c r="T338" i="208" s="1"/>
  <c r="F335" i="208"/>
  <c r="T335" i="208" s="1"/>
  <c r="V329" i="208"/>
  <c r="F329" i="208"/>
  <c r="T329" i="208" s="1"/>
  <c r="V323" i="208"/>
  <c r="F323" i="208"/>
  <c r="T323" i="208" s="1"/>
  <c r="V320" i="208"/>
  <c r="F320" i="208"/>
  <c r="T320" i="208" s="1"/>
  <c r="V317" i="208"/>
  <c r="F317" i="208"/>
  <c r="T317" i="208" s="1"/>
  <c r="V298" i="208"/>
  <c r="F298" i="208"/>
  <c r="T298" i="208" s="1"/>
  <c r="V295" i="208"/>
  <c r="F295" i="208"/>
  <c r="T295" i="208" s="1"/>
  <c r="V292" i="208"/>
  <c r="F292" i="208"/>
  <c r="T292" i="208" s="1"/>
  <c r="V289" i="208"/>
  <c r="V286" i="208"/>
  <c r="F286" i="208"/>
  <c r="T286" i="208" s="1"/>
  <c r="V283" i="208"/>
  <c r="V274" i="208"/>
  <c r="F274" i="208"/>
  <c r="T274" i="208" s="1"/>
  <c r="V265" i="208"/>
  <c r="F265" i="208"/>
  <c r="T265" i="208" s="1"/>
  <c r="V259" i="208"/>
  <c r="V256" i="208"/>
  <c r="F256" i="208"/>
  <c r="T256" i="208" s="1"/>
  <c r="V247" i="208"/>
  <c r="F247" i="208"/>
  <c r="T247" i="208" s="1"/>
  <c r="V241" i="208"/>
  <c r="V238" i="208"/>
  <c r="F238" i="208"/>
  <c r="T238" i="208" s="1"/>
  <c r="V229" i="208"/>
  <c r="F229" i="208"/>
  <c r="T229" i="208" s="1"/>
  <c r="V223" i="208"/>
  <c r="V220" i="208"/>
  <c r="F220" i="208"/>
  <c r="T220" i="208" s="1"/>
  <c r="V211" i="208"/>
  <c r="F211" i="208"/>
  <c r="T211" i="208" s="1"/>
  <c r="V205" i="208"/>
  <c r="V202" i="208"/>
  <c r="F202" i="208"/>
  <c r="T202" i="208" s="1"/>
  <c r="V193" i="208"/>
  <c r="F193" i="208"/>
  <c r="T193" i="208" s="1"/>
  <c r="V187" i="208"/>
  <c r="V184" i="208"/>
  <c r="F184" i="208"/>
  <c r="T184" i="208" s="1"/>
  <c r="V175" i="208"/>
  <c r="F175" i="208"/>
  <c r="T175" i="208" s="1"/>
  <c r="F172" i="208"/>
  <c r="T172" i="208" s="1"/>
  <c r="V169" i="208"/>
  <c r="V166" i="208"/>
  <c r="F166" i="208"/>
  <c r="T166" i="208" s="1"/>
  <c r="V157" i="208"/>
  <c r="F157" i="208"/>
  <c r="T157" i="208" s="1"/>
  <c r="V151" i="208"/>
  <c r="V148" i="208"/>
  <c r="F148" i="208"/>
  <c r="T148" i="208" s="1"/>
  <c r="V139" i="208"/>
  <c r="F139" i="208"/>
  <c r="T139" i="208" s="1"/>
  <c r="V133" i="208"/>
  <c r="V130" i="208"/>
  <c r="F130" i="208"/>
  <c r="T130" i="208" s="1"/>
  <c r="V121" i="208"/>
  <c r="F121" i="208"/>
  <c r="T121" i="208" s="1"/>
  <c r="V115" i="208"/>
  <c r="V112" i="208"/>
  <c r="F112" i="208"/>
  <c r="T112" i="208" s="1"/>
  <c r="V103" i="208"/>
  <c r="F103" i="208"/>
  <c r="T103" i="208" s="1"/>
  <c r="V97" i="208"/>
  <c r="V94" i="208"/>
  <c r="F94" i="208"/>
  <c r="T94" i="208" s="1"/>
  <c r="V85" i="208"/>
  <c r="F85" i="208"/>
  <c r="T85" i="208" s="1"/>
  <c r="V79" i="208"/>
  <c r="V76" i="208"/>
  <c r="F76" i="208"/>
  <c r="T76" i="208" s="1"/>
  <c r="V67" i="208"/>
  <c r="F67" i="208"/>
  <c r="T67" i="208" s="1"/>
  <c r="V61" i="208"/>
  <c r="V58" i="208"/>
  <c r="F58" i="208"/>
  <c r="T58" i="208" s="1"/>
  <c r="V49" i="208"/>
  <c r="F49" i="208"/>
  <c r="T49" i="208" s="1"/>
  <c r="V43" i="208"/>
  <c r="V40" i="208"/>
  <c r="F40" i="208"/>
  <c r="T40" i="208" s="1"/>
  <c r="V31" i="208"/>
  <c r="F31" i="208"/>
  <c r="T31" i="208" s="1"/>
  <c r="V25" i="208"/>
  <c r="V22" i="208"/>
  <c r="F22" i="208"/>
  <c r="T22" i="208" s="1"/>
  <c r="V13" i="208"/>
  <c r="F13" i="208"/>
  <c r="T13" i="208" s="1"/>
  <c r="V7" i="208"/>
  <c r="V4" i="208"/>
  <c r="F4" i="208"/>
  <c r="T4" i="208" s="1"/>
  <c r="F2424" i="208"/>
  <c r="T2424" i="208" s="1"/>
  <c r="F2394" i="208"/>
  <c r="T2394" i="208" s="1"/>
  <c r="F2366" i="208"/>
  <c r="T2366" i="208" s="1"/>
  <c r="F2352" i="208"/>
  <c r="T2352" i="208" s="1"/>
  <c r="F2304" i="208"/>
  <c r="T2304" i="208" s="1"/>
  <c r="F686" i="208"/>
  <c r="T686" i="208" s="1"/>
  <c r="V2995" i="208"/>
  <c r="V2983" i="208"/>
  <c r="V2971" i="208"/>
  <c r="V2959" i="208"/>
  <c r="V2950" i="208"/>
  <c r="V2935" i="208"/>
  <c r="V2926" i="208"/>
  <c r="V2911" i="208"/>
  <c r="V2890" i="208"/>
  <c r="V2881" i="208"/>
  <c r="V2866" i="208"/>
  <c r="V2857" i="208"/>
  <c r="V2848" i="208"/>
  <c r="V2839" i="208"/>
  <c r="V2827" i="208"/>
  <c r="V2785" i="208"/>
  <c r="V2740" i="208"/>
  <c r="V2731" i="208"/>
  <c r="V2713" i="208"/>
  <c r="V2695" i="208"/>
  <c r="V2998" i="208"/>
  <c r="V2980" i="208"/>
  <c r="V2968" i="208"/>
  <c r="V2917" i="208"/>
  <c r="V2908" i="208"/>
  <c r="V2875" i="208"/>
  <c r="V2812" i="208"/>
  <c r="V2779" i="208"/>
  <c r="V2770" i="208"/>
  <c r="V2749" i="208"/>
  <c r="V2734" i="208"/>
  <c r="V2722" i="208"/>
  <c r="V2710" i="208"/>
  <c r="V2689" i="208"/>
  <c r="V2680" i="208"/>
  <c r="V2671" i="208"/>
  <c r="V2665" i="208"/>
  <c r="V2662" i="208"/>
  <c r="V2647" i="208"/>
  <c r="V2644" i="208"/>
  <c r="V2626" i="208"/>
  <c r="V2605" i="208"/>
  <c r="V2602" i="208"/>
  <c r="V2599" i="208"/>
  <c r="V2596" i="208"/>
  <c r="V2593" i="208"/>
  <c r="V2590" i="208"/>
  <c r="V2587" i="208"/>
  <c r="V2581" i="208"/>
  <c r="V2563" i="208"/>
  <c r="V2551" i="208"/>
  <c r="V2545" i="208"/>
  <c r="V2539" i="208"/>
  <c r="V2527" i="208"/>
  <c r="V2992" i="208"/>
  <c r="V2974" i="208"/>
  <c r="V2956" i="208"/>
  <c r="V2932" i="208"/>
  <c r="V2914" i="208"/>
  <c r="V2893" i="208"/>
  <c r="V2884" i="208"/>
  <c r="V2872" i="208"/>
  <c r="V2851" i="208"/>
  <c r="V2833" i="208"/>
  <c r="V2824" i="208"/>
  <c r="V2809" i="208"/>
  <c r="V2791" i="208"/>
  <c r="V2782" i="208"/>
  <c r="V2773" i="208"/>
  <c r="V2764" i="208"/>
  <c r="V2743" i="208"/>
  <c r="V2725" i="208"/>
  <c r="V2707" i="208"/>
  <c r="V2686" i="208"/>
  <c r="V2668" i="208"/>
  <c r="V2641" i="208"/>
  <c r="V2638" i="208"/>
  <c r="V2629" i="208"/>
  <c r="V2623" i="208"/>
  <c r="V2584" i="208"/>
  <c r="V2578" i="208"/>
  <c r="V2569" i="208"/>
  <c r="V2566" i="208"/>
  <c r="V2560" i="208"/>
  <c r="V2548" i="208"/>
  <c r="V2542" i="208"/>
  <c r="V2536" i="208"/>
  <c r="V2524" i="208"/>
  <c r="V303" i="208"/>
  <c r="V2977" i="208"/>
  <c r="V2953" i="208"/>
  <c r="V2929" i="208"/>
  <c r="V2887" i="208"/>
  <c r="V2878" i="208"/>
  <c r="V2869" i="208"/>
  <c r="V2854" i="208"/>
  <c r="V2842" i="208"/>
  <c r="V2836" i="208"/>
  <c r="V2830" i="208"/>
  <c r="V2815" i="208"/>
  <c r="V2806" i="208"/>
  <c r="V2788" i="208"/>
  <c r="V2767" i="208"/>
  <c r="V2746" i="208"/>
  <c r="V2737" i="208"/>
  <c r="V2728" i="208"/>
  <c r="V2704" i="208"/>
  <c r="V2692" i="208"/>
  <c r="V2683" i="208"/>
  <c r="V2620" i="208"/>
  <c r="V2521" i="208"/>
  <c r="V1563" i="208"/>
  <c r="V2497" i="208"/>
  <c r="V2482" i="208"/>
  <c r="V2461" i="208"/>
  <c r="V2452" i="208"/>
  <c r="V2443" i="208"/>
  <c r="V2434" i="208"/>
  <c r="V2419" i="208"/>
  <c r="V2398" i="208"/>
  <c r="V2392" i="208"/>
  <c r="V2380" i="208"/>
  <c r="V2374" i="208"/>
  <c r="V2356" i="208"/>
  <c r="V2332" i="208"/>
  <c r="V2308" i="208"/>
  <c r="V2299" i="208"/>
  <c r="V2278" i="208"/>
  <c r="V2236" i="208"/>
  <c r="V2212" i="208"/>
  <c r="V2191" i="208"/>
  <c r="V2170" i="208"/>
  <c r="V2149" i="208"/>
  <c r="V2137" i="208"/>
  <c r="V2113" i="208"/>
  <c r="V2092" i="208"/>
  <c r="V2068" i="208"/>
  <c r="V2053" i="208"/>
  <c r="V2044" i="208"/>
  <c r="V2023" i="208"/>
  <c r="V2011" i="208"/>
  <c r="V2002" i="208"/>
  <c r="V1975" i="208"/>
  <c r="V1966" i="208"/>
  <c r="V1948" i="208"/>
  <c r="V1927" i="208"/>
  <c r="V1915" i="208"/>
  <c r="V1906" i="208"/>
  <c r="V1873" i="208"/>
  <c r="V1864" i="208"/>
  <c r="V1849" i="208"/>
  <c r="V1831" i="208"/>
  <c r="V1819" i="208"/>
  <c r="V1804" i="208"/>
  <c r="V1780" i="208"/>
  <c r="V1732" i="208"/>
  <c r="V1702" i="208"/>
  <c r="V1684" i="208"/>
  <c r="V1675" i="208"/>
  <c r="V1663" i="208"/>
  <c r="V2518" i="208"/>
  <c r="V2500" i="208"/>
  <c r="V2479" i="208"/>
  <c r="V2449" i="208"/>
  <c r="V2440" i="208"/>
  <c r="V2425" i="208"/>
  <c r="V2404" i="208"/>
  <c r="V2395" i="208"/>
  <c r="V2353" i="208"/>
  <c r="V2338" i="208"/>
  <c r="V2314" i="208"/>
  <c r="V2305" i="208"/>
  <c r="V2290" i="208"/>
  <c r="V2260" i="208"/>
  <c r="V2251" i="208"/>
  <c r="V2239" i="208"/>
  <c r="V2230" i="208"/>
  <c r="V2215" i="208"/>
  <c r="V2206" i="208"/>
  <c r="V2197" i="208"/>
  <c r="V2188" i="208"/>
  <c r="V2161" i="208"/>
  <c r="V2152" i="208"/>
  <c r="V2128" i="208"/>
  <c r="V2119" i="208"/>
  <c r="V2110" i="208"/>
  <c r="V2089" i="208"/>
  <c r="V2065" i="208"/>
  <c r="V2026" i="208"/>
  <c r="V2017" i="208"/>
  <c r="V1987" i="208"/>
  <c r="V1969" i="208"/>
  <c r="V1945" i="208"/>
  <c r="V1921" i="208"/>
  <c r="V1903" i="208"/>
  <c r="V1882" i="208"/>
  <c r="V1861" i="208"/>
  <c r="V1798" i="208"/>
  <c r="V1783" i="208"/>
  <c r="V1774" i="208"/>
  <c r="V1759" i="208"/>
  <c r="V1738" i="208"/>
  <c r="V1729" i="208"/>
  <c r="V1720" i="208"/>
  <c r="V1681" i="208"/>
  <c r="V1672" i="208"/>
  <c r="V1654" i="208"/>
  <c r="V1639" i="208"/>
  <c r="V1633" i="208"/>
  <c r="V1630" i="208"/>
  <c r="V1618" i="208"/>
  <c r="V1612" i="208"/>
  <c r="V1597" i="208"/>
  <c r="V1591" i="208"/>
  <c r="V1582" i="208"/>
  <c r="V1579" i="208"/>
  <c r="V1558" i="208"/>
  <c r="V2494" i="208"/>
  <c r="V2485" i="208"/>
  <c r="V2476" i="208"/>
  <c r="V2455" i="208"/>
  <c r="V2437" i="208"/>
  <c r="V2422" i="208"/>
  <c r="V2407" i="208"/>
  <c r="V2401" i="208"/>
  <c r="V2377" i="208"/>
  <c r="V2359" i="208"/>
  <c r="V2350" i="208"/>
  <c r="V2341" i="208"/>
  <c r="V2335" i="208"/>
  <c r="V2317" i="208"/>
  <c r="V2302" i="208"/>
  <c r="V2293" i="208"/>
  <c r="V2275" i="208"/>
  <c r="V2263" i="208"/>
  <c r="V2254" i="208"/>
  <c r="V2194" i="208"/>
  <c r="V2167" i="208"/>
  <c r="V2158" i="208"/>
  <c r="V2146" i="208"/>
  <c r="V2134" i="208"/>
  <c r="V2116" i="208"/>
  <c r="V2104" i="208"/>
  <c r="V2095" i="208"/>
  <c r="V2086" i="208"/>
  <c r="V2062" i="208"/>
  <c r="V2047" i="208"/>
  <c r="V2038" i="208"/>
  <c r="V2029" i="208"/>
  <c r="V2020" i="208"/>
  <c r="V2008" i="208"/>
  <c r="V1990" i="208"/>
  <c r="V1963" i="208"/>
  <c r="V1951" i="208"/>
  <c r="V1918" i="208"/>
  <c r="V1909" i="208"/>
  <c r="V1900" i="208"/>
  <c r="V1885" i="208"/>
  <c r="V1876" i="208"/>
  <c r="V1870" i="208"/>
  <c r="V1843" i="208"/>
  <c r="V1825" i="208"/>
  <c r="V1816" i="208"/>
  <c r="V1762" i="208"/>
  <c r="V1735" i="208"/>
  <c r="V1723" i="208"/>
  <c r="V1714" i="208"/>
  <c r="V1699" i="208"/>
  <c r="V1687" i="208"/>
  <c r="V1660" i="208"/>
  <c r="V1657" i="208"/>
  <c r="V1636" i="208"/>
  <c r="V1621" i="208"/>
  <c r="V1615" i="208"/>
  <c r="V1594" i="208"/>
  <c r="V1588" i="208"/>
  <c r="V1585" i="208"/>
  <c r="V1576" i="208"/>
  <c r="V1573" i="208"/>
  <c r="V1570" i="208"/>
  <c r="V2503" i="208"/>
  <c r="V2458" i="208"/>
  <c r="V2446" i="208"/>
  <c r="V2416" i="208"/>
  <c r="V2383" i="208"/>
  <c r="V2311" i="208"/>
  <c r="V2296" i="208"/>
  <c r="V2281" i="208"/>
  <c r="V2272" i="208"/>
  <c r="V2257" i="208"/>
  <c r="V2248" i="208"/>
  <c r="V2233" i="208"/>
  <c r="V2209" i="208"/>
  <c r="V2173" i="208"/>
  <c r="V2164" i="208"/>
  <c r="V2155" i="208"/>
  <c r="V2131" i="208"/>
  <c r="V2107" i="208"/>
  <c r="V2071" i="208"/>
  <c r="V2050" i="208"/>
  <c r="V2014" i="208"/>
  <c r="V2005" i="208"/>
  <c r="V1993" i="208"/>
  <c r="V1984" i="208"/>
  <c r="V1972" i="208"/>
  <c r="V1960" i="208"/>
  <c r="V1942" i="208"/>
  <c r="V1924" i="208"/>
  <c r="V1879" i="208"/>
  <c r="V1867" i="208"/>
  <c r="V1858" i="208"/>
  <c r="V1846" i="208"/>
  <c r="V1840" i="208"/>
  <c r="V1828" i="208"/>
  <c r="V1822" i="208"/>
  <c r="V1807" i="208"/>
  <c r="V1801" i="208"/>
  <c r="V1777" i="208"/>
  <c r="V1765" i="208"/>
  <c r="V1756" i="208"/>
  <c r="V1741" i="208"/>
  <c r="V1726" i="208"/>
  <c r="V1717" i="208"/>
  <c r="V1705" i="208"/>
  <c r="V1696" i="208"/>
  <c r="V1678" i="208"/>
  <c r="V1561" i="208"/>
  <c r="V1530" i="208"/>
  <c r="V1524" i="208"/>
  <c r="V1512" i="208"/>
  <c r="V1503" i="208"/>
  <c r="V1482" i="208"/>
  <c r="V1473" i="208"/>
  <c r="V1452" i="208"/>
  <c r="V1446" i="208"/>
  <c r="V1437" i="208"/>
  <c r="V1419" i="208"/>
  <c r="V1407" i="208"/>
  <c r="V1401" i="208"/>
  <c r="V1392" i="208"/>
  <c r="V1386" i="208"/>
  <c r="V1362" i="208"/>
  <c r="V1353" i="208"/>
  <c r="V1344" i="208"/>
  <c r="V1338" i="208"/>
  <c r="V1323" i="208"/>
  <c r="V1284" i="208"/>
  <c r="V1278" i="208"/>
  <c r="V1266" i="208"/>
  <c r="V1248" i="208"/>
  <c r="V1242" i="208"/>
  <c r="V1224" i="208"/>
  <c r="V1200" i="208"/>
  <c r="V1185" i="208"/>
  <c r="V1170" i="208"/>
  <c r="V1161" i="208"/>
  <c r="V1152" i="208"/>
  <c r="V1146" i="208"/>
  <c r="V1134" i="208"/>
  <c r="V1128" i="208"/>
  <c r="V1113" i="208"/>
  <c r="V1101" i="208"/>
  <c r="V1092" i="208"/>
  <c r="V1083" i="208"/>
  <c r="V1050" i="208"/>
  <c r="V1041" i="208"/>
  <c r="V1026" i="208"/>
  <c r="V1020" i="208"/>
  <c r="V1014" i="208"/>
  <c r="V996" i="208"/>
  <c r="V984" i="208"/>
  <c r="V963" i="208"/>
  <c r="V960" i="208"/>
  <c r="V945" i="208"/>
  <c r="V939" i="208"/>
  <c r="V936" i="208"/>
  <c r="V930" i="208"/>
  <c r="V927" i="208"/>
  <c r="V921" i="208"/>
  <c r="V915" i="208"/>
  <c r="V906" i="208"/>
  <c r="V900" i="208"/>
  <c r="V897" i="208"/>
  <c r="V891" i="208"/>
  <c r="V876" i="208"/>
  <c r="V870" i="208"/>
  <c r="V867" i="208"/>
  <c r="V864" i="208"/>
  <c r="V861" i="208"/>
  <c r="V852" i="208"/>
  <c r="V846" i="208"/>
  <c r="V840" i="208"/>
  <c r="V837" i="208"/>
  <c r="V834" i="208"/>
  <c r="V831" i="208"/>
  <c r="V825" i="208"/>
  <c r="V822" i="208"/>
  <c r="V819" i="208"/>
  <c r="V816" i="208"/>
  <c r="V813" i="208"/>
  <c r="V810" i="208"/>
  <c r="V807" i="208"/>
  <c r="V801" i="208"/>
  <c r="V795" i="208"/>
  <c r="V792" i="208"/>
  <c r="V786" i="208"/>
  <c r="V777" i="208"/>
  <c r="V762" i="208"/>
  <c r="V756" i="208"/>
  <c r="V753" i="208"/>
  <c r="V747" i="208"/>
  <c r="V735" i="208"/>
  <c r="V732" i="208"/>
  <c r="V726" i="208"/>
  <c r="V723" i="208"/>
  <c r="V720" i="208"/>
  <c r="V717" i="208"/>
  <c r="V708" i="208"/>
  <c r="V1533" i="208"/>
  <c r="V1521" i="208"/>
  <c r="V1515" i="208"/>
  <c r="V1506" i="208"/>
  <c r="V1497" i="208"/>
  <c r="V1488" i="208"/>
  <c r="V1476" i="208"/>
  <c r="V1458" i="208"/>
  <c r="V1449" i="208"/>
  <c r="V1440" i="208"/>
  <c r="V1428" i="208"/>
  <c r="V1416" i="208"/>
  <c r="V1410" i="208"/>
  <c r="V1398" i="208"/>
  <c r="V1389" i="208"/>
  <c r="V1368" i="208"/>
  <c r="V1332" i="208"/>
  <c r="V1311" i="208"/>
  <c r="V1305" i="208"/>
  <c r="V1299" i="208"/>
  <c r="V1296" i="208"/>
  <c r="V1272" i="208"/>
  <c r="V1263" i="208"/>
  <c r="V1254" i="208"/>
  <c r="V1245" i="208"/>
  <c r="V1227" i="208"/>
  <c r="V1203" i="208"/>
  <c r="V1197" i="208"/>
  <c r="V1164" i="208"/>
  <c r="V1155" i="208"/>
  <c r="V1143" i="208"/>
  <c r="V1131" i="208"/>
  <c r="V1122" i="208"/>
  <c r="V1110" i="208"/>
  <c r="V1104" i="208"/>
  <c r="V1098" i="208"/>
  <c r="V1080" i="208"/>
  <c r="V1056" i="208"/>
  <c r="V1047" i="208"/>
  <c r="V1035" i="208"/>
  <c r="V1011" i="208"/>
  <c r="V1005" i="208"/>
  <c r="V987" i="208"/>
  <c r="V978" i="208"/>
  <c r="V966" i="208"/>
  <c r="V954" i="208"/>
  <c r="V1542" i="208"/>
  <c r="V1536" i="208"/>
  <c r="V1491" i="208"/>
  <c r="V1479" i="208"/>
  <c r="V1455" i="208"/>
  <c r="V1443" i="208"/>
  <c r="V1431" i="208"/>
  <c r="V1422" i="208"/>
  <c r="V1413" i="208"/>
  <c r="V1395" i="208"/>
  <c r="V1377" i="208"/>
  <c r="V1347" i="208"/>
  <c r="V1335" i="208"/>
  <c r="V1329" i="208"/>
  <c r="V1314" i="208"/>
  <c r="V1308" i="208"/>
  <c r="V1302" i="208"/>
  <c r="V1293" i="208"/>
  <c r="V1275" i="208"/>
  <c r="V1269" i="208"/>
  <c r="V1257" i="208"/>
  <c r="V1251" i="208"/>
  <c r="V1239" i="208"/>
  <c r="V1233" i="208"/>
  <c r="V1218" i="208"/>
  <c r="V1209" i="208"/>
  <c r="V1194" i="208"/>
  <c r="V1188" i="208"/>
  <c r="V1158" i="208"/>
  <c r="V1149" i="208"/>
  <c r="V1140" i="208"/>
  <c r="V1125" i="208"/>
  <c r="V1089" i="208"/>
  <c r="V1074" i="208"/>
  <c r="V1065" i="208"/>
  <c r="V1053" i="208"/>
  <c r="V1044" i="208"/>
  <c r="V1008" i="208"/>
  <c r="V999" i="208"/>
  <c r="V990" i="208"/>
  <c r="V981" i="208"/>
  <c r="V969" i="208"/>
  <c r="V957" i="208"/>
  <c r="V1474" i="208"/>
  <c r="V1450" i="208"/>
  <c r="V1432" i="208"/>
  <c r="V1411" i="208"/>
  <c r="V1399" i="208"/>
  <c r="V1390" i="208"/>
  <c r="V1384" i="208"/>
  <c r="V1372" i="208"/>
  <c r="V1300" i="208"/>
  <c r="V1294" i="208"/>
  <c r="V1285" i="208"/>
  <c r="V1273" i="208"/>
  <c r="V1267" i="208"/>
  <c r="V1252" i="208"/>
  <c r="V1246" i="208"/>
  <c r="V1231" i="208"/>
  <c r="V1222" i="208"/>
  <c r="V1207" i="208"/>
  <c r="V1201" i="208"/>
  <c r="V1186" i="208"/>
  <c r="V1180" i="208"/>
  <c r="V1165" i="208"/>
  <c r="V1162" i="208"/>
  <c r="V1156" i="208"/>
  <c r="V1147" i="208"/>
  <c r="V1144" i="208"/>
  <c r="V1129" i="208"/>
  <c r="V1123" i="208"/>
  <c r="V1111" i="208"/>
  <c r="V1096" i="208"/>
  <c r="V1087" i="208"/>
  <c r="V1078" i="208"/>
  <c r="V1057" i="208"/>
  <c r="V1042" i="208"/>
  <c r="V1006" i="208"/>
  <c r="V982" i="208"/>
  <c r="V895" i="208"/>
  <c r="V892" i="208"/>
  <c r="V877" i="208"/>
  <c r="V874" i="208"/>
  <c r="V865" i="208"/>
  <c r="V862" i="208"/>
  <c r="V859" i="208"/>
  <c r="V856" i="208"/>
  <c r="V853" i="208"/>
  <c r="V850" i="208"/>
  <c r="V841" i="208"/>
  <c r="V838" i="208"/>
  <c r="V835" i="208"/>
  <c r="V832" i="208"/>
  <c r="V823" i="208"/>
  <c r="V820" i="208"/>
  <c r="V817" i="208"/>
  <c r="V814" i="208"/>
  <c r="V811" i="208"/>
  <c r="V808" i="208"/>
  <c r="V799" i="208"/>
  <c r="V796" i="208"/>
  <c r="V790" i="208"/>
  <c r="V775" i="208"/>
  <c r="V772" i="208"/>
  <c r="V757" i="208"/>
  <c r="V754" i="208"/>
  <c r="V751" i="208"/>
  <c r="V748" i="208"/>
  <c r="V733" i="208"/>
  <c r="V730" i="208"/>
  <c r="V721" i="208"/>
  <c r="V718" i="208"/>
  <c r="V715" i="208"/>
  <c r="V712" i="208"/>
  <c r="V709" i="208"/>
  <c r="V706" i="208"/>
  <c r="V697" i="208"/>
  <c r="V694" i="208"/>
  <c r="V691" i="208"/>
  <c r="V688" i="208"/>
  <c r="V1540" i="208"/>
  <c r="V1519" i="208"/>
  <c r="V1510" i="208"/>
  <c r="V1492" i="208"/>
  <c r="V1477" i="208"/>
  <c r="V1447" i="208"/>
  <c r="V1438" i="208"/>
  <c r="V1426" i="208"/>
  <c r="V1408" i="208"/>
  <c r="V1255" i="208"/>
  <c r="V1240" i="208"/>
  <c r="V1228" i="208"/>
  <c r="V1204" i="208"/>
  <c r="V1198" i="208"/>
  <c r="V1189" i="208"/>
  <c r="V1183" i="208"/>
  <c r="V1159" i="208"/>
  <c r="V1108" i="208"/>
  <c r="V1102" i="208"/>
  <c r="V1084" i="208"/>
  <c r="V1063" i="208"/>
  <c r="V1054" i="208"/>
  <c r="V1036" i="208"/>
  <c r="V1018" i="208"/>
  <c r="V1009" i="208"/>
  <c r="V1000" i="208"/>
  <c r="V994" i="208"/>
  <c r="V985" i="208"/>
  <c r="V967" i="208"/>
  <c r="V958" i="208"/>
  <c r="V955" i="208"/>
  <c r="V943" i="208"/>
  <c r="V937" i="208"/>
  <c r="V934" i="208"/>
  <c r="V916" i="208"/>
  <c r="V910" i="208"/>
  <c r="V904" i="208"/>
  <c r="V898" i="208"/>
  <c r="V1552" i="208"/>
  <c r="V1534" i="208"/>
  <c r="V1528" i="208"/>
  <c r="V1513" i="208"/>
  <c r="V1486" i="208"/>
  <c r="V1468" i="208"/>
  <c r="V1441" i="208"/>
  <c r="V1417" i="208"/>
  <c r="V1393" i="208"/>
  <c r="V1387" i="208"/>
  <c r="V1366" i="208"/>
  <c r="V1351" i="208"/>
  <c r="V1345" i="208"/>
  <c r="V1342" i="208"/>
  <c r="V1330" i="208"/>
  <c r="V1327" i="208"/>
  <c r="V1324" i="208"/>
  <c r="V1309" i="208"/>
  <c r="V1306" i="208"/>
  <c r="V1303" i="208"/>
  <c r="V1297" i="208"/>
  <c r="V1288" i="208"/>
  <c r="V1282" i="208"/>
  <c r="V1276" i="208"/>
  <c r="V1270" i="208"/>
  <c r="V1264" i="208"/>
  <c r="V1249" i="208"/>
  <c r="V1243" i="208"/>
  <c r="V1225" i="208"/>
  <c r="V1153" i="208"/>
  <c r="V1150" i="208"/>
  <c r="V1141" i="208"/>
  <c r="V1138" i="208"/>
  <c r="V1132" i="208"/>
  <c r="V1126" i="208"/>
  <c r="V1120" i="208"/>
  <c r="V1114" i="208"/>
  <c r="V1105" i="208"/>
  <c r="V1099" i="208"/>
  <c r="V1081" i="208"/>
  <c r="V1060" i="208"/>
  <c r="V1045" i="208"/>
  <c r="V1039" i="208"/>
  <c r="V1021" i="208"/>
  <c r="V1003" i="208"/>
  <c r="V997" i="208"/>
  <c r="V979" i="208"/>
  <c r="V976" i="208"/>
  <c r="V964" i="208"/>
  <c r="V961" i="208"/>
  <c r="V952" i="208"/>
  <c r="V946" i="208"/>
  <c r="V940" i="208"/>
  <c r="V919" i="208"/>
  <c r="V901" i="208"/>
  <c r="V793" i="208"/>
  <c r="V1555" i="208"/>
  <c r="V1543" i="208"/>
  <c r="V1537" i="208"/>
  <c r="V1531" i="208"/>
  <c r="V1516" i="208"/>
  <c r="V1495" i="208"/>
  <c r="V1489" i="208"/>
  <c r="V1471" i="208"/>
  <c r="V1453" i="208"/>
  <c r="V1444" i="208"/>
  <c r="V1435" i="208"/>
  <c r="V1429" i="208"/>
  <c r="V1414" i="208"/>
  <c r="V1396" i="208"/>
  <c r="V1375" i="208"/>
  <c r="V1369" i="208"/>
  <c r="V1348" i="208"/>
  <c r="V1333" i="208"/>
  <c r="V1291" i="208"/>
  <c r="V702" i="208"/>
  <c r="V696" i="208"/>
  <c r="V693" i="208"/>
  <c r="V690" i="208"/>
  <c r="V681" i="208"/>
  <c r="V678" i="208"/>
  <c r="V675" i="208"/>
  <c r="V672" i="208"/>
  <c r="V669" i="208"/>
  <c r="V666" i="208"/>
  <c r="V657" i="208"/>
  <c r="V651" i="208"/>
  <c r="V648" i="208"/>
  <c r="V627" i="208"/>
  <c r="V618" i="208"/>
  <c r="V615" i="208"/>
  <c r="V612" i="208"/>
  <c r="V609" i="208"/>
  <c r="V603" i="208"/>
  <c r="V591" i="208"/>
  <c r="V588" i="208"/>
  <c r="V582" i="208"/>
  <c r="V576" i="208"/>
  <c r="V573" i="208"/>
  <c r="V564" i="208"/>
  <c r="V558" i="208"/>
  <c r="V555" i="208"/>
  <c r="V552" i="208"/>
  <c r="V549" i="208"/>
  <c r="V546" i="208"/>
  <c r="V543" i="208"/>
  <c r="V537" i="208"/>
  <c r="V534" i="208"/>
  <c r="V531" i="208"/>
  <c r="V525" i="208"/>
  <c r="V522" i="208"/>
  <c r="V513" i="208"/>
  <c r="V507" i="208"/>
  <c r="V504" i="208"/>
  <c r="V495" i="208"/>
  <c r="V489" i="208"/>
  <c r="V483" i="208"/>
  <c r="V474" i="208"/>
  <c r="V471" i="208"/>
  <c r="V468" i="208"/>
  <c r="V465" i="208"/>
  <c r="V679" i="208"/>
  <c r="V676" i="208"/>
  <c r="V667" i="208"/>
  <c r="V664" i="208"/>
  <c r="V655" i="208"/>
  <c r="V652" i="208"/>
  <c r="V649" i="208"/>
  <c r="V646" i="208"/>
  <c r="V640" i="208"/>
  <c r="V613" i="208"/>
  <c r="V610" i="208"/>
  <c r="V607" i="208"/>
  <c r="V604" i="208"/>
  <c r="V589" i="208"/>
  <c r="V586" i="208"/>
  <c r="V577" i="208"/>
  <c r="V574" i="208"/>
  <c r="V571" i="208"/>
  <c r="V568" i="208"/>
  <c r="V565" i="208"/>
  <c r="V562" i="208"/>
  <c r="V553" i="208"/>
  <c r="V550" i="208"/>
  <c r="V547" i="208"/>
  <c r="V544" i="208"/>
  <c r="V535" i="208"/>
  <c r="V532" i="208"/>
  <c r="V523" i="208"/>
  <c r="V520" i="208"/>
  <c r="V511" i="208"/>
  <c r="V508" i="208"/>
  <c r="V505" i="208"/>
  <c r="V502" i="208"/>
  <c r="V469" i="208"/>
  <c r="V466" i="208"/>
  <c r="V463" i="208"/>
  <c r="V460" i="208"/>
  <c r="V445" i="208"/>
  <c r="V442" i="208"/>
  <c r="V433" i="208"/>
  <c r="V430" i="208"/>
  <c r="V427" i="208"/>
  <c r="V424" i="208"/>
  <c r="V421" i="208"/>
  <c r="V418" i="208"/>
  <c r="V409" i="208"/>
  <c r="V406" i="208"/>
  <c r="V403" i="208"/>
  <c r="V400" i="208"/>
  <c r="V391" i="208"/>
  <c r="V388" i="208"/>
  <c r="V379" i="208"/>
  <c r="V376" i="208"/>
  <c r="V367" i="208"/>
  <c r="V364" i="208"/>
  <c r="V361" i="208"/>
  <c r="V358" i="208"/>
  <c r="V325" i="208"/>
  <c r="V322" i="208"/>
  <c r="V319" i="208"/>
  <c r="V316" i="208"/>
  <c r="V300" i="208"/>
  <c r="V288" i="208"/>
  <c r="V285" i="208"/>
  <c r="V282" i="208"/>
  <c r="V276" i="208"/>
  <c r="V273" i="208"/>
  <c r="V264" i="208"/>
  <c r="V11" i="208"/>
  <c r="V8" i="208"/>
  <c r="V5" i="208"/>
  <c r="V255" i="208"/>
  <c r="V246" i="208"/>
  <c r="V237" i="208"/>
  <c r="V228" i="208"/>
  <c r="V219" i="208"/>
  <c r="V210" i="208"/>
  <c r="V201" i="208"/>
  <c r="V192" i="208"/>
  <c r="V183" i="208"/>
  <c r="V174" i="208"/>
  <c r="V165" i="208"/>
  <c r="V156" i="208"/>
  <c r="V147" i="208"/>
  <c r="V138" i="208"/>
  <c r="V129" i="208"/>
  <c r="V120" i="208"/>
  <c r="V111" i="208"/>
  <c r="V102" i="208"/>
  <c r="V93" i="208"/>
  <c r="V84" i="208"/>
  <c r="V75" i="208"/>
  <c r="V66" i="208"/>
  <c r="V57" i="208"/>
  <c r="V48" i="208"/>
  <c r="V39" i="208"/>
  <c r="V30" i="208"/>
  <c r="V21" i="208"/>
  <c r="V12" i="208"/>
  <c r="C6" i="204"/>
  <c r="C7" i="204"/>
  <c r="C8" i="204"/>
  <c r="C9" i="204"/>
  <c r="C10" i="204"/>
  <c r="C11" i="204"/>
  <c r="O452" i="46" s="1"/>
  <c r="B452" i="46" s="1"/>
  <c r="C12" i="204"/>
  <c r="O513" i="46" s="1"/>
  <c r="B513" i="46" s="1"/>
  <c r="C13" i="204"/>
  <c r="O574" i="46" s="1"/>
  <c r="B574" i="46" s="1"/>
  <c r="C14" i="204"/>
  <c r="O635" i="46" s="1"/>
  <c r="B635" i="46" s="1"/>
  <c r="C15" i="204"/>
  <c r="O696" i="46" s="1"/>
  <c r="B696" i="46" s="1"/>
  <c r="C16" i="204"/>
  <c r="O757" i="46" s="1"/>
  <c r="B757" i="46" s="1"/>
  <c r="C17" i="204"/>
  <c r="O818" i="46" s="1"/>
  <c r="B818" i="46" s="1"/>
  <c r="C18" i="204"/>
  <c r="O879" i="46" s="1"/>
  <c r="B879" i="46" s="1"/>
  <c r="C19" i="204"/>
  <c r="O940" i="46" s="1"/>
  <c r="B940" i="46" s="1"/>
  <c r="C20" i="204"/>
  <c r="O1001" i="46" s="1"/>
  <c r="B1001" i="46" s="1"/>
  <c r="C21" i="204"/>
  <c r="O1062" i="46" s="1"/>
  <c r="B1062" i="46" s="1"/>
  <c r="C22" i="204"/>
  <c r="O1123" i="46" s="1"/>
  <c r="B1123" i="46" s="1"/>
  <c r="C23" i="204"/>
  <c r="C24" i="204"/>
  <c r="C25" i="204"/>
  <c r="C26" i="204"/>
  <c r="C27" i="204"/>
  <c r="C28" i="204"/>
  <c r="C29" i="204"/>
  <c r="C30" i="204"/>
  <c r="C31" i="204"/>
  <c r="C32" i="204"/>
  <c r="C33" i="204"/>
  <c r="C34" i="204"/>
  <c r="C35" i="204"/>
  <c r="C36" i="204"/>
  <c r="C37" i="204"/>
  <c r="C38" i="204"/>
  <c r="C39" i="204"/>
  <c r="C40" i="204"/>
  <c r="C41" i="204"/>
  <c r="C42" i="204"/>
  <c r="C43" i="204"/>
  <c r="C44" i="204"/>
  <c r="C45" i="204"/>
  <c r="C46" i="204"/>
  <c r="C47" i="204"/>
  <c r="C48" i="204"/>
  <c r="C49" i="204"/>
  <c r="C50" i="204"/>
  <c r="C51" i="204"/>
  <c r="C52" i="204"/>
  <c r="C53" i="204"/>
  <c r="C54" i="204"/>
  <c r="C55" i="204"/>
  <c r="C5" i="204"/>
  <c r="G19" i="215" l="1"/>
  <c r="I36" i="215"/>
  <c r="G27" i="215"/>
  <c r="G12" i="215"/>
  <c r="I14" i="215"/>
  <c r="H12" i="215"/>
  <c r="G31" i="215"/>
  <c r="H19" i="215"/>
  <c r="G17" i="215"/>
  <c r="H44" i="215"/>
  <c r="I21" i="215"/>
  <c r="I19" i="215"/>
  <c r="I44" i="215"/>
  <c r="G24" i="215"/>
  <c r="H24" i="215"/>
  <c r="I12" i="215"/>
  <c r="I26" i="215"/>
  <c r="H17" i="215"/>
  <c r="H26" i="215"/>
  <c r="H31" i="215"/>
  <c r="I31" i="215"/>
  <c r="I33" i="215"/>
  <c r="G36" i="215"/>
  <c r="H36" i="215"/>
  <c r="G22" i="215"/>
  <c r="H14" i="215"/>
  <c r="G44" i="215"/>
  <c r="I24" i="215"/>
  <c r="G42" i="215"/>
  <c r="G15" i="215"/>
  <c r="I17" i="215"/>
  <c r="H15" i="215"/>
  <c r="G20" i="215"/>
  <c r="I22" i="215"/>
  <c r="H27" i="215"/>
  <c r="G32" i="215"/>
  <c r="I42" i="215"/>
  <c r="G23" i="215"/>
  <c r="H35" i="215"/>
  <c r="G21" i="215"/>
  <c r="I43" i="215"/>
  <c r="I14" i="214"/>
  <c r="G43" i="215"/>
  <c r="I23" i="215"/>
  <c r="G35" i="215"/>
  <c r="H28" i="215"/>
  <c r="H33" i="214"/>
  <c r="H22" i="215"/>
  <c r="G14" i="215"/>
  <c r="I37" i="214"/>
  <c r="H15" i="214"/>
  <c r="G13" i="215"/>
  <c r="G33" i="215"/>
  <c r="I16" i="215"/>
  <c r="G27" i="214"/>
  <c r="G35" i="214"/>
  <c r="I15" i="215"/>
  <c r="H13" i="215"/>
  <c r="I35" i="215"/>
  <c r="H21" i="215"/>
  <c r="I15" i="214"/>
  <c r="H20" i="215"/>
  <c r="H12" i="214"/>
  <c r="H19" i="214"/>
  <c r="G18" i="215"/>
  <c r="G16" i="215"/>
  <c r="H43" i="215"/>
  <c r="G26" i="215"/>
  <c r="H32" i="214"/>
  <c r="H42" i="215"/>
  <c r="I27" i="215"/>
  <c r="I20" i="215"/>
  <c r="I18" i="215"/>
  <c r="I28" i="215"/>
  <c r="I37" i="215"/>
  <c r="H32" i="215"/>
  <c r="I13" i="215"/>
  <c r="H23" i="215"/>
  <c r="H33" i="215"/>
  <c r="G22" i="214"/>
  <c r="I19" i="214"/>
  <c r="I32" i="215"/>
  <c r="H18" i="215"/>
  <c r="H16" i="215"/>
  <c r="I32" i="214"/>
  <c r="G12" i="214"/>
  <c r="G43" i="214"/>
  <c r="G37" i="215"/>
  <c r="H37" i="215"/>
  <c r="G28" i="215"/>
  <c r="G20" i="214"/>
  <c r="I24" i="214"/>
  <c r="H23" i="214"/>
  <c r="I26" i="214"/>
  <c r="H37" i="214"/>
  <c r="H21" i="214"/>
  <c r="G26" i="214"/>
  <c r="I36" i="214"/>
  <c r="G32" i="214"/>
  <c r="G24" i="214"/>
  <c r="H16" i="214"/>
  <c r="H31" i="214"/>
  <c r="H42" i="214"/>
  <c r="H24" i="214"/>
  <c r="G37" i="214"/>
  <c r="I31" i="214"/>
  <c r="I13" i="214"/>
  <c r="G44" i="214"/>
  <c r="H18" i="214"/>
  <c r="H26" i="214"/>
  <c r="H20" i="214"/>
  <c r="H36" i="214"/>
  <c r="I42" i="214"/>
  <c r="G19" i="214"/>
  <c r="I21" i="214"/>
  <c r="G31" i="214"/>
  <c r="I16" i="214"/>
  <c r="G42" i="214"/>
  <c r="I18" i="214"/>
  <c r="I44" i="214"/>
  <c r="I28" i="214"/>
  <c r="H35" i="214"/>
  <c r="H22" i="214"/>
  <c r="H14" i="214"/>
  <c r="G14" i="214"/>
  <c r="G16" i="214"/>
  <c r="G28" i="214"/>
  <c r="H44" i="214"/>
  <c r="G21" i="214"/>
  <c r="I23" i="214"/>
  <c r="G33" i="214"/>
  <c r="I33" i="214"/>
  <c r="G17" i="214"/>
  <c r="G36" i="214"/>
  <c r="I22" i="214"/>
  <c r="H28" i="214"/>
  <c r="I17" i="214"/>
  <c r="G13" i="214"/>
  <c r="G15" i="214"/>
  <c r="H43" i="214"/>
  <c r="G23" i="214"/>
  <c r="I35" i="214"/>
  <c r="I34" i="214" s="1"/>
  <c r="I20" i="214"/>
  <c r="G18" i="214"/>
  <c r="I27" i="214"/>
  <c r="H17" i="214"/>
  <c r="H13" i="214"/>
  <c r="I43" i="214"/>
  <c r="I12" i="214"/>
  <c r="H27" i="214"/>
  <c r="H168" i="214"/>
  <c r="G263" i="215"/>
  <c r="I146" i="215"/>
  <c r="G95" i="215"/>
  <c r="H146" i="215"/>
  <c r="G324" i="215"/>
  <c r="I98" i="215"/>
  <c r="H212" i="215"/>
  <c r="I88" i="215"/>
  <c r="H94" i="215"/>
  <c r="G76" i="215"/>
  <c r="G150" i="215"/>
  <c r="I323" i="215"/>
  <c r="H76" i="215"/>
  <c r="G390" i="215"/>
  <c r="I221" i="215"/>
  <c r="H95" i="215"/>
  <c r="I322" i="215"/>
  <c r="H385" i="215"/>
  <c r="G84" i="215"/>
  <c r="I81" i="215"/>
  <c r="I166" i="215"/>
  <c r="H106" i="215"/>
  <c r="I78" i="215"/>
  <c r="I84" i="215"/>
  <c r="H199" i="215"/>
  <c r="I142" i="215"/>
  <c r="H265" i="215"/>
  <c r="I262" i="215"/>
  <c r="H98" i="215"/>
  <c r="H203" i="215"/>
  <c r="H274" i="215"/>
  <c r="I198" i="215"/>
  <c r="G166" i="215"/>
  <c r="G203" i="215"/>
  <c r="I105" i="215"/>
  <c r="I76" i="215"/>
  <c r="G151" i="215"/>
  <c r="G98" i="215"/>
  <c r="I207" i="215"/>
  <c r="G221" i="215"/>
  <c r="G79" i="215"/>
  <c r="G74" i="215"/>
  <c r="I90" i="215"/>
  <c r="H81" i="215"/>
  <c r="H105" i="215"/>
  <c r="H228" i="215"/>
  <c r="G85" i="215"/>
  <c r="I167" i="215"/>
  <c r="H343" i="215"/>
  <c r="G138" i="215"/>
  <c r="G88" i="215"/>
  <c r="H137" i="215"/>
  <c r="G142" i="215"/>
  <c r="I275" i="215"/>
  <c r="H151" i="215"/>
  <c r="H327" i="215"/>
  <c r="I143" i="215"/>
  <c r="G532" i="215"/>
  <c r="G478" i="215"/>
  <c r="G527" i="215"/>
  <c r="I639" i="215"/>
  <c r="I585" i="215"/>
  <c r="G644" i="215"/>
  <c r="G590" i="215"/>
  <c r="H531" i="215"/>
  <c r="H465" i="215"/>
  <c r="I533" i="215"/>
  <c r="G641" i="215"/>
  <c r="I577" i="215"/>
  <c r="I523" i="215"/>
  <c r="I457" i="215"/>
  <c r="G582" i="215"/>
  <c r="G528" i="215"/>
  <c r="H469" i="215"/>
  <c r="G655" i="215"/>
  <c r="I591" i="215"/>
  <c r="G457" i="215"/>
  <c r="I416" i="215"/>
  <c r="H524" i="215"/>
  <c r="I466" i="215"/>
  <c r="H330" i="215"/>
  <c r="I398" i="215"/>
  <c r="G222" i="215"/>
  <c r="I285" i="215"/>
  <c r="G591" i="215"/>
  <c r="H640" i="215"/>
  <c r="G400" i="215"/>
  <c r="I336" i="215"/>
  <c r="I228" i="215"/>
  <c r="I451" i="215"/>
  <c r="H392" i="215"/>
  <c r="G265" i="215"/>
  <c r="G399" i="215"/>
  <c r="G414" i="215"/>
  <c r="H393" i="215"/>
  <c r="I527" i="215"/>
  <c r="I155" i="215"/>
  <c r="H147" i="215"/>
  <c r="G279" i="215"/>
  <c r="G652" i="215"/>
  <c r="H593" i="215"/>
  <c r="H527" i="215"/>
  <c r="G581" i="215"/>
  <c r="I656" i="215"/>
  <c r="I602" i="215"/>
  <c r="G637" i="215"/>
  <c r="H585" i="215"/>
  <c r="G524" i="215"/>
  <c r="I460" i="215"/>
  <c r="G663" i="215"/>
  <c r="G531" i="215"/>
  <c r="I467" i="215"/>
  <c r="H653" i="215"/>
  <c r="I594" i="215"/>
  <c r="I540" i="215"/>
  <c r="G575" i="215"/>
  <c r="G455" i="215"/>
  <c r="H643" i="215"/>
  <c r="H523" i="215"/>
  <c r="G462" i="215"/>
  <c r="G589" i="215"/>
  <c r="G523" i="215"/>
  <c r="I664" i="215"/>
  <c r="G461" i="215"/>
  <c r="H384" i="215"/>
  <c r="I325" i="215"/>
  <c r="H264" i="215"/>
  <c r="H478" i="215"/>
  <c r="G396" i="215"/>
  <c r="G342" i="215"/>
  <c r="H283" i="215"/>
  <c r="H415" i="215"/>
  <c r="G283" i="215"/>
  <c r="I219" i="215"/>
  <c r="I531" i="215"/>
  <c r="G334" i="215"/>
  <c r="I387" i="215"/>
  <c r="H326" i="215"/>
  <c r="H394" i="215"/>
  <c r="I408" i="215"/>
  <c r="I388" i="215"/>
  <c r="I461" i="215"/>
  <c r="H159" i="215"/>
  <c r="G207" i="215"/>
  <c r="I151" i="215"/>
  <c r="H291" i="215"/>
  <c r="H647" i="215"/>
  <c r="G586" i="215"/>
  <c r="I522" i="215"/>
  <c r="G647" i="215"/>
  <c r="H522" i="215"/>
  <c r="H521" i="215" s="1"/>
  <c r="G600" i="215"/>
  <c r="H578" i="215"/>
  <c r="H639" i="215"/>
  <c r="I580" i="215"/>
  <c r="G458" i="215"/>
  <c r="G465" i="215"/>
  <c r="I648" i="215"/>
  <c r="G538" i="215"/>
  <c r="H636" i="215"/>
  <c r="H516" i="215"/>
  <c r="I638" i="215"/>
  <c r="H577" i="215"/>
  <c r="I518" i="215"/>
  <c r="G643" i="215"/>
  <c r="H518" i="215"/>
  <c r="H452" i="215"/>
  <c r="G662" i="215"/>
  <c r="G579" i="215"/>
  <c r="G323" i="215"/>
  <c r="H337" i="215"/>
  <c r="G276" i="215"/>
  <c r="I647" i="215"/>
  <c r="G217" i="215"/>
  <c r="G517" i="215"/>
  <c r="I515" i="215"/>
  <c r="H395" i="215"/>
  <c r="G280" i="215"/>
  <c r="H221" i="215"/>
  <c r="G385" i="215"/>
  <c r="H260" i="215"/>
  <c r="I389" i="215"/>
  <c r="G290" i="215"/>
  <c r="I329" i="215"/>
  <c r="G228" i="215"/>
  <c r="H74" i="215"/>
  <c r="I642" i="215"/>
  <c r="G520" i="215"/>
  <c r="G466" i="215"/>
  <c r="H642" i="215"/>
  <c r="H576" i="215"/>
  <c r="I517" i="215"/>
  <c r="H595" i="215"/>
  <c r="H632" i="215"/>
  <c r="I573" i="215"/>
  <c r="I634" i="215"/>
  <c r="G578" i="215"/>
  <c r="H519" i="215"/>
  <c r="I653" i="215"/>
  <c r="G519" i="215"/>
  <c r="G646" i="215"/>
  <c r="H533" i="215"/>
  <c r="H570" i="215"/>
  <c r="I511" i="215"/>
  <c r="H450" i="215"/>
  <c r="G636" i="215"/>
  <c r="I572" i="215"/>
  <c r="G516" i="215"/>
  <c r="H457" i="215"/>
  <c r="H584" i="215"/>
  <c r="I513" i="215"/>
  <c r="I447" i="215"/>
  <c r="H657" i="215"/>
  <c r="I539" i="215"/>
  <c r="G404" i="215"/>
  <c r="H574" i="215"/>
  <c r="H466" i="215"/>
  <c r="H391" i="215"/>
  <c r="I332" i="215"/>
  <c r="I405" i="215"/>
  <c r="G271" i="215"/>
  <c r="I390" i="215"/>
  <c r="H329" i="215"/>
  <c r="H275" i="215"/>
  <c r="G394" i="215"/>
  <c r="I79" i="215"/>
  <c r="G168" i="215"/>
  <c r="H328" i="215"/>
  <c r="G640" i="215"/>
  <c r="H581" i="215"/>
  <c r="H461" i="215"/>
  <c r="I637" i="215"/>
  <c r="I571" i="215"/>
  <c r="G515" i="215"/>
  <c r="I644" i="215"/>
  <c r="I590" i="215"/>
  <c r="H529" i="215"/>
  <c r="G571" i="215"/>
  <c r="G632" i="215"/>
  <c r="I514" i="215"/>
  <c r="H453" i="215"/>
  <c r="G651" i="215"/>
  <c r="G585" i="215"/>
  <c r="H460" i="215"/>
  <c r="I582" i="215"/>
  <c r="I528" i="215"/>
  <c r="H467" i="215"/>
  <c r="G509" i="215"/>
  <c r="G570" i="215"/>
  <c r="I452" i="215"/>
  <c r="H638" i="215"/>
  <c r="I579" i="215"/>
  <c r="G511" i="215"/>
  <c r="I652" i="215"/>
  <c r="H591" i="215"/>
  <c r="I532" i="215"/>
  <c r="H399" i="215"/>
  <c r="I229" i="215"/>
  <c r="I454" i="215"/>
  <c r="I386" i="215"/>
  <c r="G330" i="215"/>
  <c r="H271" i="215"/>
  <c r="I519" i="215"/>
  <c r="G403" i="215"/>
  <c r="G337" i="215"/>
  <c r="I593" i="215"/>
  <c r="G476" i="215"/>
  <c r="I470" i="215"/>
  <c r="G388" i="215"/>
  <c r="I270" i="215"/>
  <c r="H586" i="215"/>
  <c r="I291" i="215"/>
  <c r="G274" i="215"/>
  <c r="H82" i="215"/>
  <c r="I404" i="215"/>
  <c r="I576" i="215"/>
  <c r="H515" i="215"/>
  <c r="I456" i="215"/>
  <c r="G635" i="215"/>
  <c r="G642" i="215"/>
  <c r="I524" i="215"/>
  <c r="I663" i="215"/>
  <c r="H573" i="215"/>
  <c r="G512" i="215"/>
  <c r="H580" i="215"/>
  <c r="H514" i="215"/>
  <c r="I455" i="215"/>
  <c r="H641" i="215"/>
  <c r="G580" i="215"/>
  <c r="I462" i="215"/>
  <c r="I601" i="215"/>
  <c r="H511" i="215"/>
  <c r="G450" i="215"/>
  <c r="I633" i="215"/>
  <c r="G577" i="215"/>
  <c r="I586" i="215"/>
  <c r="I394" i="215"/>
  <c r="H508" i="215"/>
  <c r="H408" i="215"/>
  <c r="H354" i="215"/>
  <c r="I449" i="215"/>
  <c r="G384" i="215"/>
  <c r="I266" i="215"/>
  <c r="H332" i="215"/>
  <c r="H266" i="215"/>
  <c r="I453" i="215"/>
  <c r="I324" i="215"/>
  <c r="G268" i="215"/>
  <c r="I384" i="215"/>
  <c r="I269" i="215"/>
  <c r="H346" i="215"/>
  <c r="G212" i="215"/>
  <c r="H99" i="215"/>
  <c r="H79" i="215"/>
  <c r="H200" i="215"/>
  <c r="I85" i="215"/>
  <c r="I200" i="215"/>
  <c r="H635" i="215"/>
  <c r="G574" i="215"/>
  <c r="I510" i="215"/>
  <c r="G454" i="215"/>
  <c r="H510" i="215"/>
  <c r="I578" i="215"/>
  <c r="G522" i="215"/>
  <c r="I448" i="215"/>
  <c r="H646" i="215"/>
  <c r="I575" i="215"/>
  <c r="I509" i="215"/>
  <c r="G453" i="215"/>
  <c r="I636" i="215"/>
  <c r="I516" i="215"/>
  <c r="G460" i="215"/>
  <c r="I640" i="215"/>
  <c r="G584" i="215"/>
  <c r="G392" i="215"/>
  <c r="I403" i="215"/>
  <c r="I283" i="215"/>
  <c r="H222" i="215"/>
  <c r="H325" i="215"/>
  <c r="G264" i="215"/>
  <c r="H471" i="215"/>
  <c r="H398" i="215"/>
  <c r="I327" i="215"/>
  <c r="I261" i="215"/>
  <c r="H532" i="215"/>
  <c r="I465" i="215"/>
  <c r="H448" i="215"/>
  <c r="G322" i="215"/>
  <c r="G633" i="215"/>
  <c r="I345" i="215"/>
  <c r="H284" i="215"/>
  <c r="H230" i="215"/>
  <c r="H347" i="215"/>
  <c r="I265" i="215"/>
  <c r="I346" i="215"/>
  <c r="G529" i="215"/>
  <c r="I342" i="215"/>
  <c r="G393" i="215"/>
  <c r="I148" i="215"/>
  <c r="G82" i="215"/>
  <c r="G204" i="215"/>
  <c r="G508" i="215"/>
  <c r="H637" i="215"/>
  <c r="G576" i="215"/>
  <c r="H656" i="215"/>
  <c r="H602" i="215"/>
  <c r="H663" i="215"/>
  <c r="G446" i="215"/>
  <c r="I641" i="215"/>
  <c r="G573" i="215"/>
  <c r="G634" i="215"/>
  <c r="H575" i="215"/>
  <c r="G514" i="215"/>
  <c r="I655" i="215"/>
  <c r="H594" i="215"/>
  <c r="H540" i="215"/>
  <c r="H601" i="215"/>
  <c r="H572" i="215"/>
  <c r="G638" i="215"/>
  <c r="I520" i="215"/>
  <c r="G347" i="215"/>
  <c r="G281" i="215"/>
  <c r="I217" i="215"/>
  <c r="I393" i="215"/>
  <c r="G325" i="215"/>
  <c r="H263" i="215"/>
  <c r="I581" i="215"/>
  <c r="G409" i="215"/>
  <c r="G343" i="215"/>
  <c r="I279" i="215"/>
  <c r="H261" i="215"/>
  <c r="G338" i="215"/>
  <c r="H388" i="215"/>
  <c r="G285" i="215"/>
  <c r="H207" i="215"/>
  <c r="G146" i="215"/>
  <c r="H85" i="215"/>
  <c r="G208" i="215"/>
  <c r="I99" i="215"/>
  <c r="I208" i="215"/>
  <c r="H449" i="215"/>
  <c r="I632" i="215"/>
  <c r="H517" i="215"/>
  <c r="I651" i="215"/>
  <c r="G639" i="215"/>
  <c r="I570" i="215"/>
  <c r="H455" i="215"/>
  <c r="G653" i="215"/>
  <c r="I589" i="215"/>
  <c r="I469" i="215"/>
  <c r="I662" i="215"/>
  <c r="I661" i="215" s="1"/>
  <c r="H476" i="215"/>
  <c r="G415" i="215"/>
  <c r="H579" i="215"/>
  <c r="G518" i="215"/>
  <c r="H451" i="215"/>
  <c r="H387" i="215"/>
  <c r="I415" i="215"/>
  <c r="H454" i="215"/>
  <c r="G391" i="215"/>
  <c r="I477" i="215"/>
  <c r="H353" i="215"/>
  <c r="H447" i="215"/>
  <c r="I334" i="215"/>
  <c r="I338" i="215"/>
  <c r="H446" i="215"/>
  <c r="H281" i="215"/>
  <c r="I202" i="215"/>
  <c r="I82" i="215"/>
  <c r="G99" i="215"/>
  <c r="I212" i="215"/>
  <c r="H600" i="215"/>
  <c r="G539" i="215"/>
  <c r="H571" i="215"/>
  <c r="I512" i="215"/>
  <c r="G595" i="215"/>
  <c r="G656" i="215"/>
  <c r="G602" i="215"/>
  <c r="H477" i="215"/>
  <c r="H509" i="215"/>
  <c r="I450" i="215"/>
  <c r="G533" i="215"/>
  <c r="G467" i="215"/>
  <c r="G594" i="215"/>
  <c r="G540" i="215"/>
  <c r="I471" i="215"/>
  <c r="H633" i="215"/>
  <c r="I574" i="215"/>
  <c r="I446" i="215"/>
  <c r="G657" i="215"/>
  <c r="H652" i="215"/>
  <c r="H396" i="215"/>
  <c r="H342" i="215"/>
  <c r="H276" i="215"/>
  <c r="G449" i="215"/>
  <c r="G471" i="215"/>
  <c r="I414" i="215"/>
  <c r="H512" i="215"/>
  <c r="H404" i="215"/>
  <c r="H338" i="215"/>
  <c r="H334" i="215"/>
  <c r="I268" i="215"/>
  <c r="G200" i="215"/>
  <c r="H141" i="215"/>
  <c r="G80" i="215"/>
  <c r="G407" i="215"/>
  <c r="I222" i="215"/>
  <c r="G664" i="215"/>
  <c r="H539" i="215"/>
  <c r="I595" i="215"/>
  <c r="G510" i="215"/>
  <c r="H651" i="215"/>
  <c r="I538" i="215"/>
  <c r="I537" i="215" s="1"/>
  <c r="H634" i="215"/>
  <c r="G448" i="215"/>
  <c r="H648" i="215"/>
  <c r="H655" i="215"/>
  <c r="H654" i="215" s="1"/>
  <c r="H589" i="215"/>
  <c r="I476" i="215"/>
  <c r="H662" i="215"/>
  <c r="G601" i="215"/>
  <c r="G469" i="215"/>
  <c r="G572" i="215"/>
  <c r="H513" i="215"/>
  <c r="I391" i="215"/>
  <c r="I337" i="215"/>
  <c r="I271" i="215"/>
  <c r="G408" i="215"/>
  <c r="G354" i="215"/>
  <c r="H229" i="215"/>
  <c r="H386" i="215"/>
  <c r="G346" i="215"/>
  <c r="I399" i="215"/>
  <c r="I333" i="215"/>
  <c r="H272" i="215"/>
  <c r="H414" i="215"/>
  <c r="I326" i="215"/>
  <c r="I330" i="215"/>
  <c r="I136" i="215"/>
  <c r="G139" i="215"/>
  <c r="H139" i="215"/>
  <c r="I600" i="215"/>
  <c r="I599" i="215" s="1"/>
  <c r="G593" i="215"/>
  <c r="I529" i="215"/>
  <c r="H644" i="215"/>
  <c r="H590" i="215"/>
  <c r="I646" i="215"/>
  <c r="I645" i="215" s="1"/>
  <c r="G470" i="215"/>
  <c r="H538" i="215"/>
  <c r="G477" i="215"/>
  <c r="I643" i="215"/>
  <c r="H582" i="215"/>
  <c r="H528" i="215"/>
  <c r="H462" i="215"/>
  <c r="G648" i="215"/>
  <c r="I584" i="215"/>
  <c r="I583" i="215" s="1"/>
  <c r="I657" i="215"/>
  <c r="I508" i="215"/>
  <c r="I478" i="215"/>
  <c r="G389" i="215"/>
  <c r="G269" i="215"/>
  <c r="H520" i="215"/>
  <c r="H403" i="215"/>
  <c r="I290" i="215"/>
  <c r="H290" i="215"/>
  <c r="G229" i="215"/>
  <c r="H407" i="215"/>
  <c r="H341" i="215"/>
  <c r="G292" i="215"/>
  <c r="G331" i="215"/>
  <c r="I267" i="215"/>
  <c r="H322" i="215"/>
  <c r="G447" i="215"/>
  <c r="G326" i="215"/>
  <c r="G398" i="215"/>
  <c r="G397" i="215" s="1"/>
  <c r="I354" i="215"/>
  <c r="I260" i="215"/>
  <c r="H75" i="215"/>
  <c r="H389" i="215"/>
  <c r="I458" i="215"/>
  <c r="I280" i="215"/>
  <c r="G387" i="215"/>
  <c r="H138" i="215"/>
  <c r="H152" i="215"/>
  <c r="G395" i="215"/>
  <c r="H208" i="215"/>
  <c r="H142" i="215"/>
  <c r="H88" i="215"/>
  <c r="H267" i="215"/>
  <c r="H213" i="215"/>
  <c r="I205" i="215"/>
  <c r="H104" i="215"/>
  <c r="H103" i="215" s="1"/>
  <c r="G78" i="215"/>
  <c r="H161" i="215"/>
  <c r="G137" i="215"/>
  <c r="G86" i="214"/>
  <c r="G527" i="214"/>
  <c r="G461" i="214"/>
  <c r="G600" i="214"/>
  <c r="H639" i="214"/>
  <c r="I580" i="214"/>
  <c r="G458" i="214"/>
  <c r="H538" i="214"/>
  <c r="G477" i="214"/>
  <c r="G634" i="214"/>
  <c r="H575" i="214"/>
  <c r="I655" i="214"/>
  <c r="H594" i="214"/>
  <c r="H540" i="214"/>
  <c r="H511" i="214"/>
  <c r="G450" i="214"/>
  <c r="H584" i="214"/>
  <c r="I513" i="214"/>
  <c r="I447" i="214"/>
  <c r="I106" i="215"/>
  <c r="I396" i="215"/>
  <c r="G386" i="215"/>
  <c r="H206" i="215"/>
  <c r="I147" i="215"/>
  <c r="G405" i="215"/>
  <c r="H390" i="215"/>
  <c r="I203" i="215"/>
  <c r="I137" i="215"/>
  <c r="I83" i="215"/>
  <c r="G144" i="215"/>
  <c r="G218" i="215"/>
  <c r="G210" i="215"/>
  <c r="H352" i="215"/>
  <c r="I141" i="215"/>
  <c r="G262" i="215"/>
  <c r="H218" i="214"/>
  <c r="G98" i="214"/>
  <c r="G581" i="214"/>
  <c r="H456" i="214"/>
  <c r="H595" i="214"/>
  <c r="I634" i="214"/>
  <c r="G578" i="214"/>
  <c r="H519" i="214"/>
  <c r="I533" i="214"/>
  <c r="I570" i="214"/>
  <c r="G653" i="214"/>
  <c r="I589" i="214"/>
  <c r="I469" i="214"/>
  <c r="H638" i="214"/>
  <c r="I579" i="214"/>
  <c r="G511" i="214"/>
  <c r="G104" i="215"/>
  <c r="I272" i="215"/>
  <c r="I353" i="215"/>
  <c r="H167" i="215"/>
  <c r="I263" i="215"/>
  <c r="H279" i="215"/>
  <c r="G145" i="215"/>
  <c r="H400" i="215"/>
  <c r="I385" i="215"/>
  <c r="G291" i="215"/>
  <c r="G201" i="215"/>
  <c r="G81" i="215"/>
  <c r="G156" i="215"/>
  <c r="I347" i="215"/>
  <c r="H148" i="215"/>
  <c r="H218" i="215"/>
  <c r="H214" i="215"/>
  <c r="H145" i="215"/>
  <c r="H285" i="215"/>
  <c r="G265" i="214"/>
  <c r="G79" i="214"/>
  <c r="H140" i="214"/>
  <c r="I139" i="214"/>
  <c r="G664" i="214"/>
  <c r="H539" i="214"/>
  <c r="G647" i="214"/>
  <c r="H522" i="214"/>
  <c r="I451" i="214"/>
  <c r="I644" i="214"/>
  <c r="I590" i="214"/>
  <c r="H529" i="214"/>
  <c r="I470" i="214"/>
  <c r="I416" i="214"/>
  <c r="G632" i="214"/>
  <c r="I514" i="214"/>
  <c r="H453" i="214"/>
  <c r="G663" i="214"/>
  <c r="G531" i="214"/>
  <c r="I467" i="214"/>
  <c r="G533" i="214"/>
  <c r="G467" i="214"/>
  <c r="H601" i="214"/>
  <c r="I633" i="214"/>
  <c r="G577" i="214"/>
  <c r="I407" i="215"/>
  <c r="I94" i="215"/>
  <c r="H268" i="215"/>
  <c r="H345" i="215"/>
  <c r="H344" i="215" s="1"/>
  <c r="G353" i="215"/>
  <c r="G167" i="215"/>
  <c r="G275" i="215"/>
  <c r="I201" i="215"/>
  <c r="I395" i="215"/>
  <c r="H160" i="215"/>
  <c r="G152" i="215"/>
  <c r="G270" i="215"/>
  <c r="G90" i="215"/>
  <c r="G198" i="215"/>
  <c r="H336" i="215"/>
  <c r="I93" i="214"/>
  <c r="I600" i="214"/>
  <c r="H642" i="214"/>
  <c r="H576" i="214"/>
  <c r="I517" i="214"/>
  <c r="G449" i="214"/>
  <c r="G642" i="214"/>
  <c r="I524" i="214"/>
  <c r="H573" i="214"/>
  <c r="G512" i="214"/>
  <c r="I448" i="214"/>
  <c r="G465" i="214"/>
  <c r="H648" i="214"/>
  <c r="I662" i="214"/>
  <c r="I264" i="215"/>
  <c r="G341" i="215"/>
  <c r="G340" i="215" s="1"/>
  <c r="H223" i="215"/>
  <c r="G160" i="215"/>
  <c r="G106" i="215"/>
  <c r="G345" i="215"/>
  <c r="G344" i="215" s="1"/>
  <c r="I352" i="215"/>
  <c r="G267" i="215"/>
  <c r="G199" i="215"/>
  <c r="H140" i="215"/>
  <c r="I274" i="215"/>
  <c r="I74" i="215"/>
  <c r="H168" i="215"/>
  <c r="H409" i="215"/>
  <c r="H156" i="215"/>
  <c r="H269" i="215"/>
  <c r="H136" i="215"/>
  <c r="G332" i="215"/>
  <c r="I93" i="215"/>
  <c r="H202" i="215"/>
  <c r="G156" i="214"/>
  <c r="G532" i="214"/>
  <c r="G478" i="214"/>
  <c r="I637" i="214"/>
  <c r="I571" i="214"/>
  <c r="G515" i="214"/>
  <c r="I578" i="214"/>
  <c r="G522" i="214"/>
  <c r="G446" i="214"/>
  <c r="I653" i="214"/>
  <c r="G519" i="214"/>
  <c r="I643" i="214"/>
  <c r="H582" i="214"/>
  <c r="H528" i="214"/>
  <c r="H462" i="214"/>
  <c r="G594" i="214"/>
  <c r="G540" i="214"/>
  <c r="H415" i="214"/>
  <c r="H572" i="214"/>
  <c r="G572" i="214"/>
  <c r="G260" i="215"/>
  <c r="G333" i="215"/>
  <c r="H155" i="215"/>
  <c r="I157" i="215"/>
  <c r="G352" i="215"/>
  <c r="H270" i="215"/>
  <c r="G77" i="215"/>
  <c r="I281" i="215"/>
  <c r="G140" i="215"/>
  <c r="G75" i="215"/>
  <c r="I140" i="215"/>
  <c r="H97" i="215"/>
  <c r="H96" i="215" s="1"/>
  <c r="G206" i="215"/>
  <c r="H78" i="215"/>
  <c r="H105" i="214"/>
  <c r="H97" i="214"/>
  <c r="I144" i="214"/>
  <c r="G652" i="214"/>
  <c r="H593" i="214"/>
  <c r="H527" i="214"/>
  <c r="G635" i="214"/>
  <c r="H637" i="214"/>
  <c r="G576" i="214"/>
  <c r="I458" i="214"/>
  <c r="H663" i="214"/>
  <c r="G651" i="214"/>
  <c r="G585" i="214"/>
  <c r="H460" i="214"/>
  <c r="G641" i="214"/>
  <c r="I577" i="214"/>
  <c r="I523" i="214"/>
  <c r="I457" i="214"/>
  <c r="H655" i="214"/>
  <c r="H589" i="214"/>
  <c r="I476" i="214"/>
  <c r="H476" i="214"/>
  <c r="H217" i="215"/>
  <c r="I341" i="215"/>
  <c r="G214" i="215"/>
  <c r="I150" i="215"/>
  <c r="I328" i="215"/>
  <c r="G223" i="215"/>
  <c r="G155" i="215"/>
  <c r="G336" i="215"/>
  <c r="G335" i="215" s="1"/>
  <c r="G266" i="215"/>
  <c r="H166" i="215"/>
  <c r="G105" i="215"/>
  <c r="H77" i="215"/>
  <c r="I168" i="215"/>
  <c r="I331" i="215"/>
  <c r="H144" i="215"/>
  <c r="I80" i="215"/>
  <c r="I144" i="215"/>
  <c r="H210" i="215"/>
  <c r="H90" i="215"/>
  <c r="H93" i="214"/>
  <c r="H86" i="214"/>
  <c r="H647" i="214"/>
  <c r="G586" i="214"/>
  <c r="I522" i="214"/>
  <c r="H510" i="214"/>
  <c r="I632" i="214"/>
  <c r="H517" i="214"/>
  <c r="G456" i="214"/>
  <c r="H580" i="214"/>
  <c r="H514" i="214"/>
  <c r="I455" i="214"/>
  <c r="H653" i="214"/>
  <c r="I594" i="214"/>
  <c r="I540" i="214"/>
  <c r="G575" i="214"/>
  <c r="G455" i="214"/>
  <c r="G648" i="214"/>
  <c r="I584" i="214"/>
  <c r="I471" i="214"/>
  <c r="I214" i="215"/>
  <c r="H664" i="215"/>
  <c r="I292" i="215"/>
  <c r="G148" i="215"/>
  <c r="G94" i="215"/>
  <c r="H324" i="215"/>
  <c r="G209" i="215"/>
  <c r="G89" i="215"/>
  <c r="G452" i="215"/>
  <c r="G328" i="215"/>
  <c r="G451" i="215"/>
  <c r="I343" i="215"/>
  <c r="H262" i="215"/>
  <c r="I161" i="215"/>
  <c r="G86" i="215"/>
  <c r="I77" i="215"/>
  <c r="I152" i="215"/>
  <c r="H83" i="215"/>
  <c r="I104" i="215"/>
  <c r="I103" i="215" s="1"/>
  <c r="H198" i="215"/>
  <c r="G210" i="214"/>
  <c r="I201" i="214"/>
  <c r="H136" i="214"/>
  <c r="I76" i="214"/>
  <c r="I642" i="214"/>
  <c r="G520" i="214"/>
  <c r="G466" i="214"/>
  <c r="H571" i="214"/>
  <c r="I512" i="214"/>
  <c r="G656" i="214"/>
  <c r="G602" i="214"/>
  <c r="H477" i="214"/>
  <c r="H646" i="214"/>
  <c r="I575" i="214"/>
  <c r="I509" i="214"/>
  <c r="G453" i="214"/>
  <c r="I648" i="214"/>
  <c r="G538" i="214"/>
  <c r="H636" i="214"/>
  <c r="H516" i="214"/>
  <c r="G582" i="214"/>
  <c r="G528" i="214"/>
  <c r="H469" i="214"/>
  <c r="H662" i="214"/>
  <c r="G601" i="214"/>
  <c r="G469" i="214"/>
  <c r="I664" i="214"/>
  <c r="H333" i="215"/>
  <c r="G513" i="215"/>
  <c r="I284" i="215"/>
  <c r="H209" i="215"/>
  <c r="I635" i="215"/>
  <c r="H150" i="215"/>
  <c r="H84" i="215"/>
  <c r="I230" i="215"/>
  <c r="H470" i="215"/>
  <c r="G159" i="215"/>
  <c r="G205" i="215"/>
  <c r="H89" i="215"/>
  <c r="H80" i="215"/>
  <c r="I156" i="215"/>
  <c r="I86" i="215"/>
  <c r="G161" i="215"/>
  <c r="H219" i="215"/>
  <c r="I97" i="215"/>
  <c r="I96" i="215" s="1"/>
  <c r="G161" i="214"/>
  <c r="G640" i="214"/>
  <c r="H581" i="214"/>
  <c r="H461" i="214"/>
  <c r="G510" i="214"/>
  <c r="H451" i="214"/>
  <c r="H651" i="214"/>
  <c r="I538" i="214"/>
  <c r="I641" i="214"/>
  <c r="G573" i="214"/>
  <c r="G646" i="214"/>
  <c r="G645" i="214" s="1"/>
  <c r="H533" i="214"/>
  <c r="H570" i="214"/>
  <c r="I511" i="214"/>
  <c r="H450" i="214"/>
  <c r="H643" i="214"/>
  <c r="H523" i="214"/>
  <c r="G462" i="214"/>
  <c r="I657" i="214"/>
  <c r="G662" i="214"/>
  <c r="G661" i="214" s="1"/>
  <c r="I160" i="215"/>
  <c r="G329" i="215"/>
  <c r="H458" i="215"/>
  <c r="H280" i="215"/>
  <c r="I204" i="215"/>
  <c r="H143" i="215"/>
  <c r="H456" i="215"/>
  <c r="H204" i="215"/>
  <c r="I145" i="215"/>
  <c r="G456" i="215"/>
  <c r="I159" i="215"/>
  <c r="G416" i="215"/>
  <c r="H331" i="215"/>
  <c r="I95" i="215"/>
  <c r="I223" i="215"/>
  <c r="G83" i="215"/>
  <c r="H93" i="215"/>
  <c r="H92" i="215" s="1"/>
  <c r="G141" i="215"/>
  <c r="I206" i="215"/>
  <c r="H94" i="214"/>
  <c r="H223" i="214"/>
  <c r="I143" i="214"/>
  <c r="I576" i="214"/>
  <c r="H515" i="214"/>
  <c r="H600" i="214"/>
  <c r="G539" i="214"/>
  <c r="I446" i="214"/>
  <c r="I646" i="214"/>
  <c r="G470" i="214"/>
  <c r="G416" i="214"/>
  <c r="G639" i="214"/>
  <c r="H448" i="214"/>
  <c r="I582" i="214"/>
  <c r="G509" i="214"/>
  <c r="I638" i="214"/>
  <c r="H577" i="214"/>
  <c r="I518" i="214"/>
  <c r="G655" i="214"/>
  <c r="I591" i="214"/>
  <c r="G457" i="214"/>
  <c r="H657" i="214"/>
  <c r="I392" i="215"/>
  <c r="I276" i="215"/>
  <c r="G202" i="215"/>
  <c r="I138" i="215"/>
  <c r="H292" i="215"/>
  <c r="I199" i="215"/>
  <c r="G143" i="215"/>
  <c r="H405" i="215"/>
  <c r="G219" i="215"/>
  <c r="G157" i="215"/>
  <c r="I409" i="215"/>
  <c r="G327" i="215"/>
  <c r="I218" i="215"/>
  <c r="G147" i="215"/>
  <c r="G93" i="215"/>
  <c r="G92" i="215" s="1"/>
  <c r="G230" i="215"/>
  <c r="H205" i="215"/>
  <c r="H86" i="215"/>
  <c r="G97" i="215"/>
  <c r="G96" i="215" s="1"/>
  <c r="G261" i="215"/>
  <c r="I210" i="215"/>
  <c r="H635" i="214"/>
  <c r="G574" i="214"/>
  <c r="I510" i="214"/>
  <c r="I595" i="214"/>
  <c r="G644" i="214"/>
  <c r="G590" i="214"/>
  <c r="H531" i="214"/>
  <c r="H465" i="214"/>
  <c r="H641" i="214"/>
  <c r="G580" i="214"/>
  <c r="I601" i="214"/>
  <c r="G636" i="214"/>
  <c r="I572" i="214"/>
  <c r="G516" i="214"/>
  <c r="H457" i="214"/>
  <c r="G589" i="214"/>
  <c r="G523" i="214"/>
  <c r="I652" i="214"/>
  <c r="G272" i="215"/>
  <c r="G136" i="215"/>
  <c r="G284" i="215"/>
  <c r="I400" i="215"/>
  <c r="I213" i="215"/>
  <c r="H416" i="215"/>
  <c r="H323" i="215"/>
  <c r="G213" i="215"/>
  <c r="I139" i="215"/>
  <c r="I209" i="215"/>
  <c r="I89" i="215"/>
  <c r="H201" i="215"/>
  <c r="I75" i="215"/>
  <c r="H157" i="215"/>
  <c r="H82" i="214"/>
  <c r="G508" i="214"/>
  <c r="G593" i="214"/>
  <c r="I529" i="214"/>
  <c r="I656" i="214"/>
  <c r="I602" i="214"/>
  <c r="H585" i="214"/>
  <c r="G524" i="214"/>
  <c r="I460" i="214"/>
  <c r="H634" i="214"/>
  <c r="I636" i="214"/>
  <c r="G570" i="214"/>
  <c r="I452" i="214"/>
  <c r="G643" i="214"/>
  <c r="H518" i="214"/>
  <c r="H452" i="214"/>
  <c r="I586" i="214"/>
  <c r="I640" i="214"/>
  <c r="I385" i="214"/>
  <c r="G329" i="214"/>
  <c r="H387" i="214"/>
  <c r="G326" i="214"/>
  <c r="I262" i="214"/>
  <c r="G633" i="214"/>
  <c r="G333" i="214"/>
  <c r="I585" i="214"/>
  <c r="I330" i="214"/>
  <c r="G274" i="214"/>
  <c r="G347" i="214"/>
  <c r="G281" i="214"/>
  <c r="G408" i="214"/>
  <c r="G354" i="214"/>
  <c r="I449" i="214"/>
  <c r="H290" i="214"/>
  <c r="G229" i="214"/>
  <c r="I390" i="214"/>
  <c r="I399" i="214"/>
  <c r="I222" i="214"/>
  <c r="G85" i="214"/>
  <c r="H75" i="214"/>
  <c r="I267" i="214"/>
  <c r="I280" i="214"/>
  <c r="G136" i="214"/>
  <c r="G280" i="214"/>
  <c r="G138" i="214"/>
  <c r="G147" i="214"/>
  <c r="H284" i="214"/>
  <c r="H160" i="214"/>
  <c r="H280" i="214"/>
  <c r="H139" i="214"/>
  <c r="G155" i="214"/>
  <c r="I85" i="214"/>
  <c r="H138" i="214"/>
  <c r="G199" i="214"/>
  <c r="H219" i="214"/>
  <c r="G207" i="214"/>
  <c r="I88" i="214"/>
  <c r="G638" i="214"/>
  <c r="H454" i="214"/>
  <c r="G414" i="214"/>
  <c r="H470" i="214"/>
  <c r="G260" i="214"/>
  <c r="G399" i="214"/>
  <c r="H274" i="214"/>
  <c r="G571" i="214"/>
  <c r="H389" i="214"/>
  <c r="G328" i="214"/>
  <c r="H524" i="214"/>
  <c r="H403" i="214"/>
  <c r="I290" i="214"/>
  <c r="G657" i="214"/>
  <c r="I285" i="214"/>
  <c r="G388" i="214"/>
  <c r="G385" i="214"/>
  <c r="G217" i="214"/>
  <c r="G151" i="214"/>
  <c r="H228" i="214"/>
  <c r="H260" i="214"/>
  <c r="G266" i="214"/>
  <c r="H77" i="214"/>
  <c r="G213" i="214"/>
  <c r="H88" i="214"/>
  <c r="H156" i="214"/>
  <c r="I208" i="214"/>
  <c r="H151" i="214"/>
  <c r="H85" i="214"/>
  <c r="G203" i="214"/>
  <c r="H633" i="214"/>
  <c r="I532" i="214"/>
  <c r="I478" i="214"/>
  <c r="G447" i="214"/>
  <c r="H324" i="214"/>
  <c r="I651" i="214"/>
  <c r="I650" i="214" s="1"/>
  <c r="H409" i="214"/>
  <c r="H394" i="214"/>
  <c r="H328" i="214"/>
  <c r="I269" i="214"/>
  <c r="I384" i="214"/>
  <c r="H269" i="214"/>
  <c r="H396" i="214"/>
  <c r="H342" i="214"/>
  <c r="H276" i="214"/>
  <c r="I398" i="214"/>
  <c r="G415" i="214"/>
  <c r="G283" i="214"/>
  <c r="H656" i="214"/>
  <c r="G331" i="214"/>
  <c r="H338" i="214"/>
  <c r="H146" i="214"/>
  <c r="H80" i="214"/>
  <c r="H167" i="214"/>
  <c r="I324" i="214"/>
  <c r="H208" i="214"/>
  <c r="H142" i="214"/>
  <c r="I83" i="214"/>
  <c r="G152" i="214"/>
  <c r="H217" i="214"/>
  <c r="H216" i="214" s="1"/>
  <c r="H204" i="214"/>
  <c r="H78" i="214"/>
  <c r="I81" i="214"/>
  <c r="I198" i="214"/>
  <c r="H81" i="214"/>
  <c r="I157" i="214"/>
  <c r="G476" i="214"/>
  <c r="G475" i="214" s="1"/>
  <c r="H652" i="214"/>
  <c r="G637" i="214"/>
  <c r="I404" i="214"/>
  <c r="H343" i="214"/>
  <c r="I284" i="214"/>
  <c r="I230" i="214"/>
  <c r="H586" i="214"/>
  <c r="I389" i="214"/>
  <c r="I323" i="214"/>
  <c r="G267" i="214"/>
  <c r="I515" i="214"/>
  <c r="H323" i="214"/>
  <c r="I264" i="214"/>
  <c r="I477" i="214"/>
  <c r="I391" i="214"/>
  <c r="I337" i="214"/>
  <c r="I271" i="214"/>
  <c r="G396" i="214"/>
  <c r="G342" i="214"/>
  <c r="H283" i="214"/>
  <c r="H405" i="214"/>
  <c r="I346" i="214"/>
  <c r="I329" i="214"/>
  <c r="H329" i="214"/>
  <c r="H212" i="214"/>
  <c r="I141" i="214"/>
  <c r="I75" i="214"/>
  <c r="H222" i="214"/>
  <c r="H664" i="214"/>
  <c r="I461" i="214"/>
  <c r="H640" i="214"/>
  <c r="I203" i="214"/>
  <c r="I137" i="214"/>
  <c r="G81" i="214"/>
  <c r="G222" i="214"/>
  <c r="G144" i="214"/>
  <c r="I200" i="214"/>
  <c r="I322" i="214"/>
  <c r="G78" i="214"/>
  <c r="I77" i="214"/>
  <c r="G334" i="214"/>
  <c r="G145" i="214"/>
  <c r="H591" i="214"/>
  <c r="H471" i="214"/>
  <c r="H590" i="214"/>
  <c r="I338" i="214"/>
  <c r="I663" i="214"/>
  <c r="H291" i="214"/>
  <c r="I516" i="214"/>
  <c r="G387" i="214"/>
  <c r="H478" i="214"/>
  <c r="G262" i="214"/>
  <c r="H458" i="214"/>
  <c r="G389" i="214"/>
  <c r="G269" i="214"/>
  <c r="G514" i="214"/>
  <c r="H337" i="214"/>
  <c r="G276" i="214"/>
  <c r="I581" i="214"/>
  <c r="I405" i="214"/>
  <c r="G271" i="214"/>
  <c r="G595" i="214"/>
  <c r="I400" i="214"/>
  <c r="H455" i="214"/>
  <c r="H322" i="214"/>
  <c r="G322" i="214"/>
  <c r="I207" i="214"/>
  <c r="G139" i="214"/>
  <c r="I219" i="214"/>
  <c r="I160" i="214"/>
  <c r="I106" i="214"/>
  <c r="H508" i="214"/>
  <c r="G160" i="214"/>
  <c r="G405" i="214"/>
  <c r="G201" i="214"/>
  <c r="I217" i="214"/>
  <c r="I199" i="214"/>
  <c r="I74" i="214"/>
  <c r="G166" i="214"/>
  <c r="I166" i="214"/>
  <c r="H74" i="214"/>
  <c r="I145" i="214"/>
  <c r="I291" i="214"/>
  <c r="G141" i="214"/>
  <c r="G584" i="214"/>
  <c r="G583" i="214" s="1"/>
  <c r="I520" i="214"/>
  <c r="I466" i="214"/>
  <c r="H414" i="214"/>
  <c r="G353" i="214"/>
  <c r="I528" i="214"/>
  <c r="I392" i="214"/>
  <c r="G336" i="214"/>
  <c r="I352" i="214"/>
  <c r="H262" i="214"/>
  <c r="G451" i="214"/>
  <c r="H330" i="214"/>
  <c r="H391" i="214"/>
  <c r="I332" i="214"/>
  <c r="G403" i="214"/>
  <c r="G337" i="214"/>
  <c r="G398" i="214"/>
  <c r="G448" i="214"/>
  <c r="H353" i="214"/>
  <c r="G292" i="214"/>
  <c r="G205" i="214"/>
  <c r="I336" i="214"/>
  <c r="I214" i="214"/>
  <c r="G104" i="214"/>
  <c r="G471" i="214"/>
  <c r="G219" i="214"/>
  <c r="H155" i="214"/>
  <c r="G106" i="214"/>
  <c r="I221" i="214"/>
  <c r="H292" i="214"/>
  <c r="H76" i="214"/>
  <c r="H213" i="214"/>
  <c r="G221" i="214"/>
  <c r="H150" i="214"/>
  <c r="H137" i="214"/>
  <c r="G137" i="214"/>
  <c r="G518" i="214"/>
  <c r="G591" i="214"/>
  <c r="I409" i="214"/>
  <c r="H509" i="214"/>
  <c r="G390" i="214"/>
  <c r="I272" i="214"/>
  <c r="G284" i="214"/>
  <c r="G230" i="214"/>
  <c r="G460" i="214"/>
  <c r="G459" i="214" s="1"/>
  <c r="H384" i="214"/>
  <c r="I325" i="214"/>
  <c r="H264" i="214"/>
  <c r="H467" i="214"/>
  <c r="I386" i="214"/>
  <c r="G330" i="214"/>
  <c r="H271" i="214"/>
  <c r="H532" i="214"/>
  <c r="H332" i="214"/>
  <c r="H266" i="214"/>
  <c r="I531" i="214"/>
  <c r="I334" i="214"/>
  <c r="I414" i="214"/>
  <c r="I270" i="214"/>
  <c r="G290" i="214"/>
  <c r="G212" i="214"/>
  <c r="H99" i="214"/>
  <c r="I395" i="214"/>
  <c r="G409" i="214"/>
  <c r="G214" i="214"/>
  <c r="H392" i="214"/>
  <c r="H157" i="214"/>
  <c r="G285" i="214"/>
  <c r="G209" i="214"/>
  <c r="G393" i="214"/>
  <c r="G168" i="214"/>
  <c r="I212" i="214"/>
  <c r="G89" i="214"/>
  <c r="I146" i="214"/>
  <c r="I210" i="214"/>
  <c r="H579" i="214"/>
  <c r="I454" i="214"/>
  <c r="G407" i="214"/>
  <c r="I343" i="214"/>
  <c r="H331" i="214"/>
  <c r="G270" i="214"/>
  <c r="H602" i="214"/>
  <c r="G404" i="214"/>
  <c r="H345" i="214"/>
  <c r="H279" i="214"/>
  <c r="I408" i="214"/>
  <c r="I354" i="214"/>
  <c r="G323" i="214"/>
  <c r="G384" i="214"/>
  <c r="I266" i="214"/>
  <c r="H398" i="214"/>
  <c r="I327" i="214"/>
  <c r="I261" i="214"/>
  <c r="H512" i="214"/>
  <c r="H393" i="214"/>
  <c r="I639" i="214"/>
  <c r="G346" i="214"/>
  <c r="H263" i="214"/>
  <c r="I275" i="214"/>
  <c r="H200" i="214"/>
  <c r="I148" i="214"/>
  <c r="I94" i="214"/>
  <c r="I150" i="214"/>
  <c r="G343" i="214"/>
  <c r="I152" i="214"/>
  <c r="I593" i="214"/>
  <c r="H205" i="214"/>
  <c r="I159" i="214"/>
  <c r="G208" i="214"/>
  <c r="G167" i="214"/>
  <c r="I635" i="214"/>
  <c r="G142" i="214"/>
  <c r="H95" i="214"/>
  <c r="H206" i="214"/>
  <c r="I574" i="214"/>
  <c r="H513" i="214"/>
  <c r="G452" i="214"/>
  <c r="G341" i="214"/>
  <c r="G275" i="214"/>
  <c r="H385" i="214"/>
  <c r="I326" i="214"/>
  <c r="I573" i="214"/>
  <c r="H399" i="214"/>
  <c r="G338" i="214"/>
  <c r="I274" i="214"/>
  <c r="H352" i="214"/>
  <c r="G291" i="214"/>
  <c r="G352" i="214"/>
  <c r="I450" i="214"/>
  <c r="H325" i="214"/>
  <c r="G264" i="214"/>
  <c r="G513" i="214"/>
  <c r="I393" i="214"/>
  <c r="G325" i="214"/>
  <c r="I388" i="214"/>
  <c r="H407" i="214"/>
  <c r="I268" i="214"/>
  <c r="H268" i="214"/>
  <c r="H104" i="214"/>
  <c r="H207" i="214"/>
  <c r="G146" i="214"/>
  <c r="H346" i="214"/>
  <c r="I345" i="214"/>
  <c r="H209" i="214"/>
  <c r="G148" i="214"/>
  <c r="G94" i="214"/>
  <c r="I333" i="214"/>
  <c r="I206" i="214"/>
  <c r="G150" i="214"/>
  <c r="I263" i="214"/>
  <c r="H166" i="214"/>
  <c r="G105" i="214"/>
  <c r="I155" i="214"/>
  <c r="I78" i="214"/>
  <c r="I341" i="214"/>
  <c r="H341" i="214"/>
  <c r="H202" i="214"/>
  <c r="I508" i="214"/>
  <c r="G529" i="214"/>
  <c r="G395" i="214"/>
  <c r="H270" i="214"/>
  <c r="I462" i="214"/>
  <c r="G324" i="214"/>
  <c r="H265" i="214"/>
  <c r="I394" i="214"/>
  <c r="G272" i="214"/>
  <c r="G218" i="214"/>
  <c r="H416" i="214"/>
  <c r="I347" i="214"/>
  <c r="H347" i="214"/>
  <c r="G391" i="214"/>
  <c r="I465" i="214"/>
  <c r="I464" i="214" s="1"/>
  <c r="G386" i="214"/>
  <c r="G400" i="214"/>
  <c r="I539" i="214"/>
  <c r="G579" i="214"/>
  <c r="H261" i="214"/>
  <c r="G261" i="214"/>
  <c r="I99" i="214"/>
  <c r="H275" i="214"/>
  <c r="I202" i="214"/>
  <c r="I82" i="214"/>
  <c r="H327" i="214"/>
  <c r="H334" i="214"/>
  <c r="I204" i="214"/>
  <c r="H89" i="214"/>
  <c r="H326" i="214"/>
  <c r="G204" i="214"/>
  <c r="I161" i="214"/>
  <c r="I279" i="214"/>
  <c r="I151" i="214"/>
  <c r="I167" i="214"/>
  <c r="G88" i="214"/>
  <c r="H272" i="214"/>
  <c r="H84" i="214"/>
  <c r="H198" i="214"/>
  <c r="I98" i="214"/>
  <c r="H447" i="214"/>
  <c r="I519" i="214"/>
  <c r="H336" i="214"/>
  <c r="I265" i="214"/>
  <c r="G454" i="214"/>
  <c r="I260" i="214"/>
  <c r="G392" i="214"/>
  <c r="H333" i="214"/>
  <c r="G345" i="214"/>
  <c r="G344" i="214" s="1"/>
  <c r="I281" i="214"/>
  <c r="I396" i="214"/>
  <c r="I342" i="214"/>
  <c r="H281" i="214"/>
  <c r="H408" i="214"/>
  <c r="H354" i="214"/>
  <c r="I415" i="214"/>
  <c r="H466" i="214"/>
  <c r="I456" i="214"/>
  <c r="H578" i="214"/>
  <c r="H446" i="214"/>
  <c r="H574" i="214"/>
  <c r="G97" i="214"/>
  <c r="G268" i="214"/>
  <c r="G200" i="214"/>
  <c r="H141" i="214"/>
  <c r="G80" i="214"/>
  <c r="G327" i="214"/>
  <c r="G202" i="214"/>
  <c r="H143" i="214"/>
  <c r="I84" i="214"/>
  <c r="H145" i="214"/>
  <c r="H388" i="214"/>
  <c r="I229" i="214"/>
  <c r="G159" i="214"/>
  <c r="G158" i="214" s="1"/>
  <c r="I95" i="214"/>
  <c r="I453" i="214"/>
  <c r="H221" i="214"/>
  <c r="H147" i="214"/>
  <c r="I142" i="214"/>
  <c r="I292" i="214"/>
  <c r="G74" i="214"/>
  <c r="H106" i="214"/>
  <c r="G77" i="214"/>
  <c r="H390" i="214"/>
  <c r="I331" i="214"/>
  <c r="G263" i="214"/>
  <c r="G517" i="214"/>
  <c r="I328" i="214"/>
  <c r="H267" i="214"/>
  <c r="I647" i="214"/>
  <c r="G279" i="214"/>
  <c r="G278" i="214" s="1"/>
  <c r="H632" i="214"/>
  <c r="G394" i="214"/>
  <c r="I276" i="214"/>
  <c r="I403" i="214"/>
  <c r="I402" i="214" s="1"/>
  <c r="I283" i="214"/>
  <c r="H644" i="214"/>
  <c r="H386" i="214"/>
  <c r="H449" i="214"/>
  <c r="H520" i="214"/>
  <c r="H395" i="214"/>
  <c r="I387" i="214"/>
  <c r="I527" i="214"/>
  <c r="I228" i="214"/>
  <c r="I136" i="214"/>
  <c r="I138" i="214"/>
  <c r="G82" i="214"/>
  <c r="H199" i="214"/>
  <c r="I140" i="214"/>
  <c r="I353" i="214"/>
  <c r="G93" i="214"/>
  <c r="H404" i="214"/>
  <c r="I168" i="214"/>
  <c r="H400" i="214"/>
  <c r="G143" i="214"/>
  <c r="H159" i="214"/>
  <c r="H203" i="214"/>
  <c r="H230" i="214"/>
  <c r="G99" i="214"/>
  <c r="H214" i="214"/>
  <c r="I86" i="214"/>
  <c r="G75" i="214"/>
  <c r="G95" i="214"/>
  <c r="H210" i="214"/>
  <c r="I80" i="214"/>
  <c r="I213" i="214"/>
  <c r="G83" i="214"/>
  <c r="I147" i="214"/>
  <c r="G84" i="214"/>
  <c r="G198" i="214"/>
  <c r="G332" i="214"/>
  <c r="I209" i="214"/>
  <c r="H79" i="214"/>
  <c r="I89" i="214"/>
  <c r="I104" i="214"/>
  <c r="I205" i="214"/>
  <c r="H161" i="214"/>
  <c r="H201" i="214"/>
  <c r="I90" i="214"/>
  <c r="G228" i="214"/>
  <c r="H83" i="214"/>
  <c r="I218" i="214"/>
  <c r="I407" i="214"/>
  <c r="I79" i="214"/>
  <c r="G206" i="214"/>
  <c r="I156" i="214"/>
  <c r="G76" i="214"/>
  <c r="G157" i="214"/>
  <c r="H285" i="214"/>
  <c r="H152" i="214"/>
  <c r="G90" i="214"/>
  <c r="I105" i="214"/>
  <c r="H148" i="214"/>
  <c r="I97" i="214"/>
  <c r="H229" i="214"/>
  <c r="I223" i="214"/>
  <c r="H98" i="214"/>
  <c r="G223" i="214"/>
  <c r="G140" i="214"/>
  <c r="H90" i="214"/>
  <c r="H144" i="214"/>
  <c r="E32" i="215"/>
  <c r="F32" i="215" s="1"/>
  <c r="E17" i="215"/>
  <c r="F17" i="215" s="1"/>
  <c r="E42" i="215"/>
  <c r="E15" i="215"/>
  <c r="F15" i="215" s="1"/>
  <c r="E22" i="215"/>
  <c r="F22" i="215" s="1"/>
  <c r="E27" i="215"/>
  <c r="F27" i="215" s="1"/>
  <c r="E20" i="215"/>
  <c r="F20" i="215" s="1"/>
  <c r="E44" i="215"/>
  <c r="F44" i="215" s="1"/>
  <c r="E13" i="215"/>
  <c r="F13" i="215" s="1"/>
  <c r="E37" i="215"/>
  <c r="F37" i="215" s="1"/>
  <c r="E18" i="215"/>
  <c r="F18" i="215" s="1"/>
  <c r="E43" i="215"/>
  <c r="F43" i="215" s="1"/>
  <c r="E31" i="214"/>
  <c r="E33" i="215"/>
  <c r="F33" i="215" s="1"/>
  <c r="E23" i="214"/>
  <c r="F23" i="214" s="1"/>
  <c r="E12" i="215"/>
  <c r="E31" i="215"/>
  <c r="E44" i="214"/>
  <c r="F44" i="214" s="1"/>
  <c r="E16" i="215"/>
  <c r="F16" i="215" s="1"/>
  <c r="E14" i="215"/>
  <c r="F14" i="215" s="1"/>
  <c r="E24" i="215"/>
  <c r="F24" i="215" s="1"/>
  <c r="E23" i="215"/>
  <c r="F23" i="215" s="1"/>
  <c r="E28" i="215"/>
  <c r="F28" i="215" s="1"/>
  <c r="E35" i="215"/>
  <c r="E26" i="215"/>
  <c r="E36" i="215"/>
  <c r="F36" i="215" s="1"/>
  <c r="E15" i="214"/>
  <c r="F15" i="214" s="1"/>
  <c r="E21" i="215"/>
  <c r="F21" i="215" s="1"/>
  <c r="E19" i="215"/>
  <c r="F19" i="215" s="1"/>
  <c r="E43" i="214"/>
  <c r="F43" i="214" s="1"/>
  <c r="E42" i="214"/>
  <c r="E35" i="214"/>
  <c r="E19" i="214"/>
  <c r="F19" i="214" s="1"/>
  <c r="E12" i="214"/>
  <c r="F12" i="214" s="1"/>
  <c r="E21" i="214"/>
  <c r="F21" i="214" s="1"/>
  <c r="E22" i="214"/>
  <c r="F22" i="214" s="1"/>
  <c r="E27" i="214"/>
  <c r="F27" i="214" s="1"/>
  <c r="E24" i="214"/>
  <c r="F24" i="214" s="1"/>
  <c r="E17" i="214"/>
  <c r="F17" i="214" s="1"/>
  <c r="E37" i="214"/>
  <c r="F37" i="214" s="1"/>
  <c r="E20" i="214"/>
  <c r="F20" i="214" s="1"/>
  <c r="E32" i="214"/>
  <c r="F32" i="214" s="1"/>
  <c r="E26" i="214"/>
  <c r="E14" i="214"/>
  <c r="F14" i="214" s="1"/>
  <c r="E28" i="214"/>
  <c r="F28" i="214" s="1"/>
  <c r="E13" i="214"/>
  <c r="F13" i="214" s="1"/>
  <c r="E18" i="214"/>
  <c r="F18" i="214" s="1"/>
  <c r="E33" i="214"/>
  <c r="F33" i="214" s="1"/>
  <c r="E16" i="214"/>
  <c r="F16" i="214" s="1"/>
  <c r="E36" i="214"/>
  <c r="F36" i="214" s="1"/>
  <c r="F12" i="215"/>
  <c r="F31" i="215"/>
  <c r="E451" i="215"/>
  <c r="E98" i="215"/>
  <c r="E138" i="215"/>
  <c r="F138" i="215" s="1"/>
  <c r="E204" i="215"/>
  <c r="E142" i="215"/>
  <c r="F142" i="215" s="1"/>
  <c r="E74" i="215"/>
  <c r="E151" i="215"/>
  <c r="F151" i="215" s="1"/>
  <c r="E159" i="215"/>
  <c r="E106" i="215"/>
  <c r="F106" i="215" s="1"/>
  <c r="E79" i="215"/>
  <c r="F79" i="215" s="1"/>
  <c r="E82" i="215"/>
  <c r="F82" i="215" s="1"/>
  <c r="E85" i="215"/>
  <c r="F85" i="215" s="1"/>
  <c r="E139" i="215"/>
  <c r="F139" i="215" s="1"/>
  <c r="E150" i="215"/>
  <c r="E88" i="215"/>
  <c r="E147" i="215"/>
  <c r="F147" i="215" s="1"/>
  <c r="E95" i="215"/>
  <c r="F95" i="215" s="1"/>
  <c r="E208" i="215"/>
  <c r="F208" i="215" s="1"/>
  <c r="E327" i="215"/>
  <c r="E77" i="215"/>
  <c r="F77" i="215" s="1"/>
  <c r="E228" i="215"/>
  <c r="E657" i="215"/>
  <c r="F657" i="215" s="1"/>
  <c r="E591" i="215"/>
  <c r="F591" i="215" s="1"/>
  <c r="E664" i="215"/>
  <c r="F664" i="215" s="1"/>
  <c r="E656" i="215"/>
  <c r="F656" i="215" s="1"/>
  <c r="E602" i="215"/>
  <c r="F602" i="215" s="1"/>
  <c r="E646" i="215"/>
  <c r="E387" i="215"/>
  <c r="F387" i="215" s="1"/>
  <c r="E267" i="215"/>
  <c r="F267" i="215" s="1"/>
  <c r="E290" i="215"/>
  <c r="E329" i="215"/>
  <c r="F329" i="215" s="1"/>
  <c r="E342" i="215"/>
  <c r="F342" i="215" s="1"/>
  <c r="E400" i="215"/>
  <c r="F400" i="215" s="1"/>
  <c r="E476" i="215"/>
  <c r="E581" i="215"/>
  <c r="F581" i="215" s="1"/>
  <c r="E642" i="215"/>
  <c r="F642" i="215" s="1"/>
  <c r="E639" i="215"/>
  <c r="F639" i="215" s="1"/>
  <c r="E519" i="215"/>
  <c r="F519" i="215" s="1"/>
  <c r="E580" i="215"/>
  <c r="F580" i="215" s="1"/>
  <c r="E653" i="215"/>
  <c r="F653" i="215" s="1"/>
  <c r="E455" i="215"/>
  <c r="F455" i="215" s="1"/>
  <c r="E414" i="215"/>
  <c r="E589" i="215"/>
  <c r="E398" i="215"/>
  <c r="E447" i="215"/>
  <c r="F447" i="215" s="1"/>
  <c r="E263" i="215"/>
  <c r="F263" i="215" s="1"/>
  <c r="E334" i="215"/>
  <c r="F334" i="215" s="1"/>
  <c r="E229" i="215"/>
  <c r="F229" i="215" s="1"/>
  <c r="E579" i="215"/>
  <c r="F579" i="215" s="1"/>
  <c r="E652" i="215"/>
  <c r="F652" i="215" s="1"/>
  <c r="E635" i="215"/>
  <c r="F635" i="215" s="1"/>
  <c r="E522" i="215"/>
  <c r="E595" i="215"/>
  <c r="F595" i="215" s="1"/>
  <c r="E529" i="215"/>
  <c r="F529" i="215" s="1"/>
  <c r="E590" i="215"/>
  <c r="F590" i="215" s="1"/>
  <c r="E573" i="215"/>
  <c r="F573" i="215" s="1"/>
  <c r="E453" i="215"/>
  <c r="F453" i="215" s="1"/>
  <c r="E460" i="215"/>
  <c r="E655" i="215"/>
  <c r="E450" i="215"/>
  <c r="F450" i="215" s="1"/>
  <c r="E394" i="215"/>
  <c r="F394" i="215" s="1"/>
  <c r="E347" i="215"/>
  <c r="F347" i="215" s="1"/>
  <c r="E281" i="215"/>
  <c r="F281" i="215" s="1"/>
  <c r="E332" i="215"/>
  <c r="F332" i="215" s="1"/>
  <c r="E404" i="215"/>
  <c r="F404" i="215" s="1"/>
  <c r="E384" i="215"/>
  <c r="E168" i="215"/>
  <c r="F168" i="215" s="1"/>
  <c r="E221" i="215"/>
  <c r="E160" i="215"/>
  <c r="F160" i="215" s="1"/>
  <c r="E584" i="215"/>
  <c r="F584" i="215" s="1"/>
  <c r="E532" i="215"/>
  <c r="F532" i="215" s="1"/>
  <c r="E456" i="215"/>
  <c r="F456" i="215" s="1"/>
  <c r="E470" i="215"/>
  <c r="F470" i="215" s="1"/>
  <c r="E416" i="215"/>
  <c r="F416" i="215" s="1"/>
  <c r="E641" i="215"/>
  <c r="F641" i="215" s="1"/>
  <c r="E594" i="215"/>
  <c r="F594" i="215" s="1"/>
  <c r="E540" i="215"/>
  <c r="F540" i="215" s="1"/>
  <c r="E274" i="215"/>
  <c r="F274" i="215" s="1"/>
  <c r="F273" i="215" s="1"/>
  <c r="E385" i="215"/>
  <c r="F385" i="215" s="1"/>
  <c r="E518" i="215"/>
  <c r="F518" i="215" s="1"/>
  <c r="E576" i="215"/>
  <c r="F576" i="215" s="1"/>
  <c r="E517" i="215"/>
  <c r="F517" i="215" s="1"/>
  <c r="E644" i="215"/>
  <c r="F644" i="215" s="1"/>
  <c r="E634" i="215"/>
  <c r="F634" i="215" s="1"/>
  <c r="E514" i="215"/>
  <c r="F514" i="215" s="1"/>
  <c r="E523" i="215"/>
  <c r="F523" i="215" s="1"/>
  <c r="E269" i="215"/>
  <c r="F269" i="215" s="1"/>
  <c r="F327" i="215"/>
  <c r="E638" i="215"/>
  <c r="F638" i="215" s="1"/>
  <c r="E513" i="215"/>
  <c r="F513" i="215" s="1"/>
  <c r="E586" i="215"/>
  <c r="F586" i="215" s="1"/>
  <c r="F451" i="215"/>
  <c r="E524" i="215"/>
  <c r="F524" i="215" s="1"/>
  <c r="E509" i="215"/>
  <c r="F509" i="215" s="1"/>
  <c r="E648" i="215"/>
  <c r="F648" i="215" s="1"/>
  <c r="E528" i="215"/>
  <c r="F528" i="215" s="1"/>
  <c r="E511" i="215"/>
  <c r="F511" i="215" s="1"/>
  <c r="E291" i="215"/>
  <c r="F291" i="215" s="1"/>
  <c r="E328" i="215"/>
  <c r="F328" i="215" s="1"/>
  <c r="E478" i="215"/>
  <c r="F478" i="215" s="1"/>
  <c r="E471" i="215"/>
  <c r="F471" i="215" s="1"/>
  <c r="E386" i="215"/>
  <c r="F386" i="215" s="1"/>
  <c r="E353" i="215"/>
  <c r="F353" i="215" s="1"/>
  <c r="E270" i="215"/>
  <c r="F270" i="215" s="1"/>
  <c r="E403" i="215"/>
  <c r="E633" i="215"/>
  <c r="F633" i="215" s="1"/>
  <c r="E640" i="215"/>
  <c r="F640" i="215" s="1"/>
  <c r="E510" i="215"/>
  <c r="F510" i="215" s="1"/>
  <c r="E578" i="215"/>
  <c r="F578" i="215" s="1"/>
  <c r="E663" i="215"/>
  <c r="F663" i="215" s="1"/>
  <c r="E448" i="215"/>
  <c r="F448" i="215" s="1"/>
  <c r="E575" i="215"/>
  <c r="F575" i="215" s="1"/>
  <c r="E266" i="215"/>
  <c r="F266" i="215" s="1"/>
  <c r="E210" i="215"/>
  <c r="F210" i="215" s="1"/>
  <c r="E89" i="215"/>
  <c r="F89" i="215" s="1"/>
  <c r="E205" i="215"/>
  <c r="F205" i="215" s="1"/>
  <c r="E572" i="215"/>
  <c r="F572" i="215" s="1"/>
  <c r="E452" i="215"/>
  <c r="F452" i="215" s="1"/>
  <c r="E520" i="215"/>
  <c r="F520" i="215" s="1"/>
  <c r="E458" i="215"/>
  <c r="F458" i="215" s="1"/>
  <c r="E477" i="215"/>
  <c r="F477" i="215" s="1"/>
  <c r="E582" i="215"/>
  <c r="F582" i="215" s="1"/>
  <c r="E457" i="215"/>
  <c r="F457" i="215" s="1"/>
  <c r="E390" i="215"/>
  <c r="F390" i="215" s="1"/>
  <c r="E262" i="215"/>
  <c r="F262" i="215" s="1"/>
  <c r="E461" i="215"/>
  <c r="F461" i="215" s="1"/>
  <c r="E454" i="215"/>
  <c r="F454" i="215" s="1"/>
  <c r="E343" i="215"/>
  <c r="F343" i="215" s="1"/>
  <c r="E462" i="215"/>
  <c r="F462" i="215" s="1"/>
  <c r="E90" i="215"/>
  <c r="F90" i="215" s="1"/>
  <c r="E574" i="215"/>
  <c r="F574" i="215" s="1"/>
  <c r="E571" i="215"/>
  <c r="F571" i="215" s="1"/>
  <c r="E632" i="215"/>
  <c r="E512" i="215"/>
  <c r="F512" i="215" s="1"/>
  <c r="E636" i="215"/>
  <c r="F636" i="215" s="1"/>
  <c r="E399" i="215"/>
  <c r="F399" i="215" s="1"/>
  <c r="E345" i="215"/>
  <c r="E279" i="215"/>
  <c r="E323" i="215"/>
  <c r="F323" i="215" s="1"/>
  <c r="E449" i="215"/>
  <c r="F449" i="215" s="1"/>
  <c r="E527" i="215"/>
  <c r="E407" i="215"/>
  <c r="E341" i="215"/>
  <c r="E330" i="215"/>
  <c r="F330" i="215" s="1"/>
  <c r="E144" i="215"/>
  <c r="F144" i="215" s="1"/>
  <c r="E213" i="215"/>
  <c r="F213" i="215" s="1"/>
  <c r="E637" i="215"/>
  <c r="F637" i="215" s="1"/>
  <c r="E651" i="215"/>
  <c r="E516" i="215"/>
  <c r="F516" i="215" s="1"/>
  <c r="E389" i="215"/>
  <c r="F389" i="215" s="1"/>
  <c r="E275" i="215"/>
  <c r="F275" i="215" s="1"/>
  <c r="E331" i="215"/>
  <c r="F331" i="215" s="1"/>
  <c r="E322" i="215"/>
  <c r="E218" i="215"/>
  <c r="F218" i="215" s="1"/>
  <c r="E647" i="215"/>
  <c r="F647" i="215" s="1"/>
  <c r="E593" i="215"/>
  <c r="E600" i="215"/>
  <c r="E585" i="215"/>
  <c r="F585" i="215" s="1"/>
  <c r="E531" i="215"/>
  <c r="E465" i="215"/>
  <c r="E538" i="215"/>
  <c r="E577" i="215"/>
  <c r="F577" i="215" s="1"/>
  <c r="E601" i="215"/>
  <c r="F601" i="215" s="1"/>
  <c r="E466" i="215"/>
  <c r="F466" i="215" s="1"/>
  <c r="E469" i="215"/>
  <c r="E408" i="215"/>
  <c r="F408" i="215" s="1"/>
  <c r="E265" i="215"/>
  <c r="F265" i="215" s="1"/>
  <c r="E198" i="215"/>
  <c r="E78" i="215"/>
  <c r="F78" i="215" s="1"/>
  <c r="E230" i="215"/>
  <c r="F230" i="215" s="1"/>
  <c r="E662" i="215"/>
  <c r="E508" i="215"/>
  <c r="E446" i="215"/>
  <c r="E533" i="215"/>
  <c r="F533" i="215" s="1"/>
  <c r="E467" i="215"/>
  <c r="F467" i="215" s="1"/>
  <c r="E570" i="215"/>
  <c r="E539" i="215"/>
  <c r="F539" i="215" s="1"/>
  <c r="E333" i="215"/>
  <c r="F333" i="215" s="1"/>
  <c r="E352" i="215"/>
  <c r="E643" i="215"/>
  <c r="F643" i="215" s="1"/>
  <c r="E415" i="215"/>
  <c r="F415" i="215" s="1"/>
  <c r="E395" i="215"/>
  <c r="F395" i="215" s="1"/>
  <c r="E409" i="215"/>
  <c r="F409" i="215" s="1"/>
  <c r="E264" i="215"/>
  <c r="F264" i="215" s="1"/>
  <c r="E276" i="215"/>
  <c r="F276" i="215" s="1"/>
  <c r="E396" i="215"/>
  <c r="F396" i="215" s="1"/>
  <c r="E209" i="215"/>
  <c r="F209" i="215" s="1"/>
  <c r="E148" i="215"/>
  <c r="F148" i="215" s="1"/>
  <c r="E140" i="215"/>
  <c r="F140" i="215" s="1"/>
  <c r="E97" i="215"/>
  <c r="F97" i="215" s="1"/>
  <c r="F96" i="215" s="1"/>
  <c r="E206" i="215"/>
  <c r="F206" i="215" s="1"/>
  <c r="E336" i="215"/>
  <c r="E97" i="214"/>
  <c r="E84" i="214"/>
  <c r="F84" i="214" s="1"/>
  <c r="E657" i="214"/>
  <c r="F657" i="214" s="1"/>
  <c r="E591" i="214"/>
  <c r="F591" i="214" s="1"/>
  <c r="E652" i="214"/>
  <c r="F652" i="214" s="1"/>
  <c r="E522" i="214"/>
  <c r="E477" i="214"/>
  <c r="F477" i="214" s="1"/>
  <c r="E641" i="214"/>
  <c r="F641" i="214" s="1"/>
  <c r="E393" i="215"/>
  <c r="F393" i="215" s="1"/>
  <c r="E268" i="215"/>
  <c r="F268" i="215" s="1"/>
  <c r="E284" i="215"/>
  <c r="F284" i="215" s="1"/>
  <c r="E152" i="215"/>
  <c r="F152" i="215" s="1"/>
  <c r="E280" i="215"/>
  <c r="F280" i="215" s="1"/>
  <c r="E214" i="215"/>
  <c r="F214" i="215" s="1"/>
  <c r="E81" i="215"/>
  <c r="F81" i="215" s="1"/>
  <c r="E166" i="215"/>
  <c r="E532" i="214"/>
  <c r="F532" i="214" s="1"/>
  <c r="E478" i="214"/>
  <c r="F478" i="214" s="1"/>
  <c r="E456" i="214"/>
  <c r="F456" i="214" s="1"/>
  <c r="E632" i="214"/>
  <c r="E448" i="214"/>
  <c r="F448" i="214" s="1"/>
  <c r="E392" i="215"/>
  <c r="F392" i="215" s="1"/>
  <c r="F204" i="215"/>
  <c r="E84" i="215"/>
  <c r="F84" i="215" s="1"/>
  <c r="E579" i="214"/>
  <c r="F579" i="214" s="1"/>
  <c r="E576" i="214"/>
  <c r="F576" i="214" s="1"/>
  <c r="E651" i="214"/>
  <c r="E509" i="214"/>
  <c r="F509" i="214" s="1"/>
  <c r="E636" i="214"/>
  <c r="F636" i="214" s="1"/>
  <c r="E260" i="215"/>
  <c r="E143" i="215"/>
  <c r="F143" i="215" s="1"/>
  <c r="E283" i="215"/>
  <c r="E199" i="215"/>
  <c r="F199" i="215" s="1"/>
  <c r="E219" i="215"/>
  <c r="F219" i="215" s="1"/>
  <c r="E662" i="214"/>
  <c r="E586" i="214"/>
  <c r="F586" i="214" s="1"/>
  <c r="E466" i="214"/>
  <c r="F466" i="214" s="1"/>
  <c r="E595" i="214"/>
  <c r="F595" i="214" s="1"/>
  <c r="E529" i="214"/>
  <c r="F529" i="214" s="1"/>
  <c r="E585" i="214"/>
  <c r="F585" i="214" s="1"/>
  <c r="E531" i="214"/>
  <c r="E465" i="214"/>
  <c r="E575" i="214"/>
  <c r="F575" i="214" s="1"/>
  <c r="E326" i="215"/>
  <c r="F326" i="215" s="1"/>
  <c r="E354" i="215"/>
  <c r="F354" i="215" s="1"/>
  <c r="E391" i="215"/>
  <c r="F391" i="215" s="1"/>
  <c r="E137" i="215"/>
  <c r="F137" i="215" s="1"/>
  <c r="E76" i="215"/>
  <c r="F76" i="215" s="1"/>
  <c r="E447" i="214"/>
  <c r="F447" i="214" s="1"/>
  <c r="E640" i="214"/>
  <c r="F640" i="214" s="1"/>
  <c r="E510" i="214"/>
  <c r="F510" i="214" s="1"/>
  <c r="E346" i="215"/>
  <c r="F346" i="215" s="1"/>
  <c r="E217" i="215"/>
  <c r="E104" i="215"/>
  <c r="E337" i="215"/>
  <c r="F337" i="215" s="1"/>
  <c r="E99" i="215"/>
  <c r="F99" i="215" s="1"/>
  <c r="E75" i="215"/>
  <c r="F75" i="215" s="1"/>
  <c r="E161" i="215"/>
  <c r="F161" i="215" s="1"/>
  <c r="E476" i="214"/>
  <c r="E513" i="214"/>
  <c r="F513" i="214" s="1"/>
  <c r="E520" i="214"/>
  <c r="F520" i="214" s="1"/>
  <c r="E517" i="214"/>
  <c r="F517" i="214" s="1"/>
  <c r="E656" i="214"/>
  <c r="F656" i="214" s="1"/>
  <c r="E602" i="214"/>
  <c r="F602" i="214" s="1"/>
  <c r="E538" i="214"/>
  <c r="E325" i="215"/>
  <c r="F325" i="215" s="1"/>
  <c r="E80" i="215"/>
  <c r="F80" i="215" s="1"/>
  <c r="E261" i="215"/>
  <c r="F261" i="215" s="1"/>
  <c r="E152" i="214"/>
  <c r="F152" i="214" s="1"/>
  <c r="E633" i="214"/>
  <c r="F633" i="214" s="1"/>
  <c r="E574" i="214"/>
  <c r="F574" i="214" s="1"/>
  <c r="E639" i="214"/>
  <c r="F639" i="214" s="1"/>
  <c r="E519" i="214"/>
  <c r="F519" i="214" s="1"/>
  <c r="E338" i="215"/>
  <c r="F338" i="215" s="1"/>
  <c r="E212" i="215"/>
  <c r="E83" i="215"/>
  <c r="F83" i="215" s="1"/>
  <c r="E201" i="215"/>
  <c r="F201" i="215" s="1"/>
  <c r="E271" i="215"/>
  <c r="F271" i="215" s="1"/>
  <c r="E94" i="215"/>
  <c r="F94" i="215" s="1"/>
  <c r="E584" i="214"/>
  <c r="E454" i="214"/>
  <c r="F454" i="214" s="1"/>
  <c r="E590" i="214"/>
  <c r="F590" i="214" s="1"/>
  <c r="E573" i="214"/>
  <c r="F573" i="214" s="1"/>
  <c r="E453" i="214"/>
  <c r="F453" i="214" s="1"/>
  <c r="E646" i="214"/>
  <c r="E146" i="215"/>
  <c r="F146" i="215" s="1"/>
  <c r="E207" i="215"/>
  <c r="F207" i="215" s="1"/>
  <c r="E324" i="215"/>
  <c r="F324" i="215" s="1"/>
  <c r="E167" i="215"/>
  <c r="F167" i="215" s="1"/>
  <c r="F98" i="215"/>
  <c r="E86" i="215"/>
  <c r="F86" i="215" s="1"/>
  <c r="E203" i="215"/>
  <c r="F203" i="215" s="1"/>
  <c r="E415" i="214"/>
  <c r="F415" i="214" s="1"/>
  <c r="E518" i="214"/>
  <c r="F518" i="214" s="1"/>
  <c r="E600" i="214"/>
  <c r="E451" i="214"/>
  <c r="F451" i="214" s="1"/>
  <c r="E580" i="214"/>
  <c r="F580" i="214" s="1"/>
  <c r="E533" i="214"/>
  <c r="F533" i="214" s="1"/>
  <c r="E467" i="214"/>
  <c r="F467" i="214" s="1"/>
  <c r="E223" i="215"/>
  <c r="F223" i="215" s="1"/>
  <c r="E222" i="215"/>
  <c r="F222" i="215" s="1"/>
  <c r="E157" i="215"/>
  <c r="F157" i="215" s="1"/>
  <c r="E93" i="215"/>
  <c r="E105" i="215"/>
  <c r="F105" i="215" s="1"/>
  <c r="E206" i="214"/>
  <c r="F206" i="214" s="1"/>
  <c r="E638" i="214"/>
  <c r="F638" i="214" s="1"/>
  <c r="E508" i="214"/>
  <c r="E571" i="214"/>
  <c r="F571" i="214" s="1"/>
  <c r="E644" i="214"/>
  <c r="F644" i="214" s="1"/>
  <c r="E460" i="214"/>
  <c r="E594" i="214"/>
  <c r="F594" i="214" s="1"/>
  <c r="E156" i="215"/>
  <c r="F156" i="215" s="1"/>
  <c r="E471" i="214"/>
  <c r="F471" i="214" s="1"/>
  <c r="E664" i="214"/>
  <c r="F664" i="214" s="1"/>
  <c r="E637" i="214"/>
  <c r="F637" i="214" s="1"/>
  <c r="E653" i="214"/>
  <c r="F653" i="214" s="1"/>
  <c r="E455" i="214"/>
  <c r="F455" i="214" s="1"/>
  <c r="E515" i="215"/>
  <c r="F515" i="215" s="1"/>
  <c r="E285" i="215"/>
  <c r="F285" i="215" s="1"/>
  <c r="E388" i="215"/>
  <c r="F388" i="215" s="1"/>
  <c r="E200" i="215"/>
  <c r="F200" i="215" s="1"/>
  <c r="E141" i="215"/>
  <c r="F141" i="215" s="1"/>
  <c r="E292" i="215"/>
  <c r="F292" i="215" s="1"/>
  <c r="E155" i="215"/>
  <c r="E405" i="215"/>
  <c r="F405" i="215" s="1"/>
  <c r="E145" i="215"/>
  <c r="F145" i="215" s="1"/>
  <c r="E136" i="215"/>
  <c r="E202" i="215"/>
  <c r="F202" i="215" s="1"/>
  <c r="E272" i="215"/>
  <c r="F272" i="215" s="1"/>
  <c r="E572" i="214"/>
  <c r="F572" i="214" s="1"/>
  <c r="E642" i="214"/>
  <c r="F642" i="214" s="1"/>
  <c r="E578" i="214"/>
  <c r="F578" i="214" s="1"/>
  <c r="E663" i="214"/>
  <c r="F663" i="214" s="1"/>
  <c r="E634" i="214"/>
  <c r="F634" i="214" s="1"/>
  <c r="E514" i="214"/>
  <c r="F514" i="214" s="1"/>
  <c r="E648" i="214"/>
  <c r="F648" i="214" s="1"/>
  <c r="E261" i="214"/>
  <c r="F261" i="214" s="1"/>
  <c r="E392" i="214"/>
  <c r="F392" i="214" s="1"/>
  <c r="E511" i="214"/>
  <c r="F511" i="214" s="1"/>
  <c r="E353" i="214"/>
  <c r="F353" i="214" s="1"/>
  <c r="E80" i="214"/>
  <c r="F80" i="214" s="1"/>
  <c r="E341" i="214"/>
  <c r="E213" i="214"/>
  <c r="F213" i="214" s="1"/>
  <c r="E89" i="214"/>
  <c r="F89" i="214" s="1"/>
  <c r="E540" i="214"/>
  <c r="F540" i="214" s="1"/>
  <c r="E327" i="214"/>
  <c r="F327" i="214" s="1"/>
  <c r="E324" i="214"/>
  <c r="F324" i="214" s="1"/>
  <c r="E331" i="214"/>
  <c r="F331" i="214" s="1"/>
  <c r="E272" i="214"/>
  <c r="F272" i="214" s="1"/>
  <c r="E399" i="214"/>
  <c r="F399" i="214" s="1"/>
  <c r="E345" i="214"/>
  <c r="E279" i="214"/>
  <c r="F279" i="214" s="1"/>
  <c r="E352" i="214"/>
  <c r="E83" i="214"/>
  <c r="F83" i="214" s="1"/>
  <c r="E266" i="214"/>
  <c r="F266" i="214" s="1"/>
  <c r="E136" i="214"/>
  <c r="E332" i="214"/>
  <c r="F332" i="214" s="1"/>
  <c r="E145" i="214"/>
  <c r="F145" i="214" s="1"/>
  <c r="E263" i="214"/>
  <c r="F263" i="214" s="1"/>
  <c r="E222" i="214"/>
  <c r="F222" i="214" s="1"/>
  <c r="E82" i="214"/>
  <c r="F82" i="214" s="1"/>
  <c r="E207" i="214"/>
  <c r="F207" i="214" s="1"/>
  <c r="E85" i="214"/>
  <c r="F85" i="214" s="1"/>
  <c r="E346" i="214"/>
  <c r="F346" i="214" s="1"/>
  <c r="E292" i="214"/>
  <c r="F292" i="214" s="1"/>
  <c r="E461" i="214"/>
  <c r="F461" i="214" s="1"/>
  <c r="E601" i="214"/>
  <c r="F601" i="214" s="1"/>
  <c r="E326" i="214"/>
  <c r="F326" i="214" s="1"/>
  <c r="E515" i="214"/>
  <c r="F515" i="214" s="1"/>
  <c r="E643" i="214"/>
  <c r="F643" i="214" s="1"/>
  <c r="E408" i="214"/>
  <c r="F408" i="214" s="1"/>
  <c r="E354" i="214"/>
  <c r="F354" i="214" s="1"/>
  <c r="E386" i="214"/>
  <c r="F386" i="214" s="1"/>
  <c r="E337" i="214"/>
  <c r="F337" i="214" s="1"/>
  <c r="E655" i="214"/>
  <c r="E143" i="214"/>
  <c r="F143" i="214" s="1"/>
  <c r="E221" i="214"/>
  <c r="E167" i="214"/>
  <c r="F167" i="214" s="1"/>
  <c r="E528" i="214"/>
  <c r="F528" i="214" s="1"/>
  <c r="E446" i="214"/>
  <c r="E524" i="214"/>
  <c r="F524" i="214" s="1"/>
  <c r="E347" i="214"/>
  <c r="F347" i="214" s="1"/>
  <c r="E281" i="214"/>
  <c r="F281" i="214" s="1"/>
  <c r="E168" i="214"/>
  <c r="F168" i="214" s="1"/>
  <c r="E209" i="214"/>
  <c r="F209" i="214" s="1"/>
  <c r="E139" i="214"/>
  <c r="F139" i="214" s="1"/>
  <c r="E75" i="214"/>
  <c r="F75" i="214" s="1"/>
  <c r="E204" i="214"/>
  <c r="F204" i="214" s="1"/>
  <c r="E400" i="214"/>
  <c r="F400" i="214" s="1"/>
  <c r="E280" i="214"/>
  <c r="F280" i="214" s="1"/>
  <c r="E265" i="214"/>
  <c r="F265" i="214" s="1"/>
  <c r="E333" i="214"/>
  <c r="F333" i="214" s="1"/>
  <c r="E394" i="214"/>
  <c r="F394" i="214" s="1"/>
  <c r="E342" i="214"/>
  <c r="F342" i="214" s="1"/>
  <c r="E79" i="214"/>
  <c r="F79" i="214" s="1"/>
  <c r="E140" i="214"/>
  <c r="F140" i="214" s="1"/>
  <c r="E205" i="214"/>
  <c r="F205" i="214" s="1"/>
  <c r="E159" i="214"/>
  <c r="F159" i="214" s="1"/>
  <c r="F158" i="214" s="1"/>
  <c r="E414" i="214"/>
  <c r="E470" i="214"/>
  <c r="F470" i="214" s="1"/>
  <c r="E385" i="214"/>
  <c r="F385" i="214" s="1"/>
  <c r="E469" i="214"/>
  <c r="E260" i="214"/>
  <c r="F260" i="214" s="1"/>
  <c r="E387" i="214"/>
  <c r="F387" i="214" s="1"/>
  <c r="E267" i="214"/>
  <c r="F267" i="214" s="1"/>
  <c r="E274" i="214"/>
  <c r="F274" i="214" s="1"/>
  <c r="F273" i="214" s="1"/>
  <c r="E269" i="214"/>
  <c r="F269" i="214" s="1"/>
  <c r="E581" i="214"/>
  <c r="F581" i="214" s="1"/>
  <c r="E137" i="214"/>
  <c r="F137" i="214" s="1"/>
  <c r="E156" i="214"/>
  <c r="F156" i="214" s="1"/>
  <c r="E512" i="214"/>
  <c r="F512" i="214" s="1"/>
  <c r="E407" i="214"/>
  <c r="F407" i="214" s="1"/>
  <c r="E160" i="214"/>
  <c r="F160" i="214" s="1"/>
  <c r="E391" i="214"/>
  <c r="F391" i="214" s="1"/>
  <c r="E199" i="214"/>
  <c r="F199" i="214" s="1"/>
  <c r="E201" i="214"/>
  <c r="F201" i="214" s="1"/>
  <c r="E150" i="214"/>
  <c r="E230" i="214"/>
  <c r="F230" i="214" s="1"/>
  <c r="E582" i="214"/>
  <c r="F582" i="214" s="1"/>
  <c r="E462" i="214"/>
  <c r="F462" i="214" s="1"/>
  <c r="E285" i="214"/>
  <c r="F285" i="214" s="1"/>
  <c r="E334" i="214"/>
  <c r="F334" i="214" s="1"/>
  <c r="E635" i="214"/>
  <c r="F635" i="214" s="1"/>
  <c r="E452" i="214"/>
  <c r="F452" i="214" s="1"/>
  <c r="E396" i="214"/>
  <c r="F396" i="214" s="1"/>
  <c r="E283" i="214"/>
  <c r="F283" i="214" s="1"/>
  <c r="F282" i="214" s="1"/>
  <c r="E203" i="214"/>
  <c r="F203" i="214" s="1"/>
  <c r="E329" i="214"/>
  <c r="F329" i="214" s="1"/>
  <c r="E104" i="214"/>
  <c r="E219" i="214"/>
  <c r="F219" i="214" s="1"/>
  <c r="E142" i="214"/>
  <c r="F142" i="214" s="1"/>
  <c r="E516" i="214"/>
  <c r="F516" i="214" s="1"/>
  <c r="E577" i="214"/>
  <c r="F577" i="214" s="1"/>
  <c r="E388" i="214"/>
  <c r="F388" i="214" s="1"/>
  <c r="E228" i="214"/>
  <c r="E458" i="214"/>
  <c r="F458" i="214" s="1"/>
  <c r="E328" i="214"/>
  <c r="F328" i="214" s="1"/>
  <c r="E523" i="214"/>
  <c r="F523" i="214" s="1"/>
  <c r="E276" i="214"/>
  <c r="F276" i="214" s="1"/>
  <c r="E210" i="214"/>
  <c r="F210" i="214" s="1"/>
  <c r="E395" i="214"/>
  <c r="F395" i="214" s="1"/>
  <c r="E212" i="214"/>
  <c r="E214" i="214"/>
  <c r="F214" i="214" s="1"/>
  <c r="E271" i="214"/>
  <c r="F271" i="214" s="1"/>
  <c r="E325" i="214"/>
  <c r="F325" i="214" s="1"/>
  <c r="E86" i="214"/>
  <c r="F86" i="214" s="1"/>
  <c r="E138" i="214"/>
  <c r="F138" i="214" s="1"/>
  <c r="E405" i="214"/>
  <c r="F405" i="214" s="1"/>
  <c r="E268" i="214"/>
  <c r="F268" i="214" s="1"/>
  <c r="E404" i="214"/>
  <c r="F404" i="214" s="1"/>
  <c r="E416" i="214"/>
  <c r="F416" i="214" s="1"/>
  <c r="E589" i="214"/>
  <c r="F589" i="214" s="1"/>
  <c r="E290" i="214"/>
  <c r="F290" i="214" s="1"/>
  <c r="E90" i="214"/>
  <c r="F90" i="214" s="1"/>
  <c r="E449" i="214"/>
  <c r="F449" i="214" s="1"/>
  <c r="E99" i="214"/>
  <c r="F99" i="214" s="1"/>
  <c r="E106" i="214"/>
  <c r="F106" i="214" s="1"/>
  <c r="E570" i="214"/>
  <c r="E450" i="214"/>
  <c r="F450" i="214" s="1"/>
  <c r="E539" i="214"/>
  <c r="F539" i="214" s="1"/>
  <c r="E336" i="214"/>
  <c r="E223" i="214"/>
  <c r="F223" i="214" s="1"/>
  <c r="E284" i="214"/>
  <c r="F284" i="214" s="1"/>
  <c r="E262" i="214"/>
  <c r="F262" i="214" s="1"/>
  <c r="E323" i="214"/>
  <c r="F323" i="214" s="1"/>
  <c r="E593" i="214"/>
  <c r="F593" i="214" s="1"/>
  <c r="E144" i="214"/>
  <c r="F144" i="214" s="1"/>
  <c r="E146" i="214"/>
  <c r="F146" i="214" s="1"/>
  <c r="E148" i="214"/>
  <c r="F148" i="214" s="1"/>
  <c r="E403" i="214"/>
  <c r="E155" i="214"/>
  <c r="E393" i="214"/>
  <c r="F393" i="214" s="1"/>
  <c r="E322" i="214"/>
  <c r="E527" i="214"/>
  <c r="F527" i="214" s="1"/>
  <c r="E270" i="214"/>
  <c r="F270" i="214" s="1"/>
  <c r="E647" i="214"/>
  <c r="F647" i="214" s="1"/>
  <c r="E291" i="214"/>
  <c r="F291" i="214" s="1"/>
  <c r="E389" i="214"/>
  <c r="F389" i="214" s="1"/>
  <c r="E384" i="214"/>
  <c r="F384" i="214" s="1"/>
  <c r="E398" i="214"/>
  <c r="F398" i="214" s="1"/>
  <c r="E202" i="214"/>
  <c r="F202" i="214" s="1"/>
  <c r="E151" i="214"/>
  <c r="F151" i="214" s="1"/>
  <c r="E208" i="214"/>
  <c r="F208" i="214" s="1"/>
  <c r="E390" i="214"/>
  <c r="F390" i="214" s="1"/>
  <c r="E409" i="214"/>
  <c r="F409" i="214" s="1"/>
  <c r="E343" i="214"/>
  <c r="F343" i="214" s="1"/>
  <c r="E338" i="214"/>
  <c r="F338" i="214" s="1"/>
  <c r="E457" i="214"/>
  <c r="F457" i="214" s="1"/>
  <c r="E229" i="214"/>
  <c r="F229" i="214" s="1"/>
  <c r="E161" i="214"/>
  <c r="F161" i="214" s="1"/>
  <c r="E95" i="214"/>
  <c r="F95" i="214" s="1"/>
  <c r="E198" i="214"/>
  <c r="E78" i="214"/>
  <c r="F78" i="214" s="1"/>
  <c r="E275" i="214"/>
  <c r="F275" i="214" s="1"/>
  <c r="E200" i="214"/>
  <c r="F200" i="214" s="1"/>
  <c r="E157" i="214"/>
  <c r="F157" i="214" s="1"/>
  <c r="E217" i="214"/>
  <c r="E93" i="214"/>
  <c r="F93" i="214" s="1"/>
  <c r="E147" i="214"/>
  <c r="F147" i="214" s="1"/>
  <c r="E218" i="214"/>
  <c r="F218" i="214" s="1"/>
  <c r="E81" i="214"/>
  <c r="F81" i="214" s="1"/>
  <c r="E166" i="214"/>
  <c r="E98" i="214"/>
  <c r="F98" i="214" s="1"/>
  <c r="E77" i="214"/>
  <c r="F77" i="214" s="1"/>
  <c r="E74" i="214"/>
  <c r="F465" i="214"/>
  <c r="E94" i="214"/>
  <c r="F94" i="214" s="1"/>
  <c r="E141" i="214"/>
  <c r="F141" i="214" s="1"/>
  <c r="E330" i="214"/>
  <c r="F330" i="214" s="1"/>
  <c r="E105" i="214"/>
  <c r="F105" i="214" s="1"/>
  <c r="E88" i="214"/>
  <c r="E76" i="214"/>
  <c r="F76" i="214" s="1"/>
  <c r="E264" i="214"/>
  <c r="F264" i="214" s="1"/>
  <c r="F166" i="215"/>
  <c r="F165" i="215" s="1"/>
  <c r="F341" i="215"/>
  <c r="F340" i="215" s="1"/>
  <c r="F655" i="215"/>
  <c r="F570" i="215"/>
  <c r="F538" i="215"/>
  <c r="F537" i="215" s="1"/>
  <c r="F136" i="215"/>
  <c r="F155" i="214"/>
  <c r="F646" i="215"/>
  <c r="F645" i="215" s="1"/>
  <c r="F527" i="215"/>
  <c r="F655" i="214"/>
  <c r="F589" i="215"/>
  <c r="F588" i="215" s="1"/>
  <c r="F166" i="214"/>
  <c r="F336" i="215"/>
  <c r="F260" i="215"/>
  <c r="F259" i="215" s="1"/>
  <c r="O391" i="46"/>
  <c r="B391" i="46" s="1"/>
  <c r="O330" i="46"/>
  <c r="B330" i="46" s="1"/>
  <c r="N4" i="215"/>
  <c r="O269" i="46"/>
  <c r="B269" i="46" s="1"/>
  <c r="N4" i="214"/>
  <c r="O208" i="46"/>
  <c r="B208" i="46" s="1"/>
  <c r="N4" i="213"/>
  <c r="V529" i="208"/>
  <c r="F437" i="208"/>
  <c r="T437" i="208" s="1"/>
  <c r="V524" i="208"/>
  <c r="F340" i="208"/>
  <c r="T340" i="208" s="1"/>
  <c r="AB382" i="208"/>
  <c r="AB472" i="208"/>
  <c r="AB345" i="208"/>
  <c r="AB399" i="208"/>
  <c r="AB498" i="208"/>
  <c r="AA633" i="208"/>
  <c r="AB380" i="208"/>
  <c r="AB437" i="208"/>
  <c r="AB524" i="208"/>
  <c r="AB581" i="208"/>
  <c r="AA671" i="208"/>
  <c r="AE343" i="208"/>
  <c r="AE529" i="208"/>
  <c r="AF673" i="208"/>
  <c r="AF345" i="208"/>
  <c r="AF489" i="208"/>
  <c r="AE633" i="208"/>
  <c r="AF437" i="208"/>
  <c r="AF314" i="208"/>
  <c r="AE527" i="208"/>
  <c r="I22" i="213"/>
  <c r="G22" i="213"/>
  <c r="H13" i="213"/>
  <c r="G16" i="213"/>
  <c r="H16" i="213"/>
  <c r="H14" i="213"/>
  <c r="I14" i="213"/>
  <c r="H22" i="213"/>
  <c r="G15" i="213"/>
  <c r="I24" i="213"/>
  <c r="I27" i="213"/>
  <c r="I18" i="213"/>
  <c r="G26" i="213"/>
  <c r="H19" i="213"/>
  <c r="I17" i="213"/>
  <c r="H32" i="213"/>
  <c r="G18" i="213"/>
  <c r="G35" i="213"/>
  <c r="H23" i="213"/>
  <c r="G21" i="213"/>
  <c r="I28" i="213"/>
  <c r="G19" i="213"/>
  <c r="H27" i="213"/>
  <c r="I20" i="213"/>
  <c r="I37" i="213"/>
  <c r="I23" i="213"/>
  <c r="H33" i="213"/>
  <c r="I21" i="213"/>
  <c r="G24" i="213"/>
  <c r="I36" i="213"/>
  <c r="G37" i="213"/>
  <c r="H42" i="213"/>
  <c r="G28" i="213"/>
  <c r="H28" i="213"/>
  <c r="H26" i="213"/>
  <c r="I26" i="213"/>
  <c r="G20" i="213"/>
  <c r="I32" i="213"/>
  <c r="H35" i="213"/>
  <c r="H31" i="213"/>
  <c r="G32" i="213"/>
  <c r="H37" i="213"/>
  <c r="G33" i="213"/>
  <c r="G31" i="213"/>
  <c r="G36" i="213"/>
  <c r="H44" i="213"/>
  <c r="G42" i="213"/>
  <c r="I13" i="213"/>
  <c r="I42" i="213"/>
  <c r="I35" i="213"/>
  <c r="I34" i="213" s="1"/>
  <c r="I33" i="213"/>
  <c r="G27" i="213"/>
  <c r="G44" i="213"/>
  <c r="G13" i="213"/>
  <c r="I44" i="213"/>
  <c r="H43" i="213"/>
  <c r="H20" i="213"/>
  <c r="G23" i="213"/>
  <c r="H21" i="213"/>
  <c r="G12" i="213"/>
  <c r="H24" i="213"/>
  <c r="G43" i="213"/>
  <c r="H36" i="213"/>
  <c r="I15" i="213"/>
  <c r="G14" i="213"/>
  <c r="I43" i="213"/>
  <c r="I16" i="213"/>
  <c r="H12" i="213"/>
  <c r="H15" i="213"/>
  <c r="I12" i="213"/>
  <c r="H18" i="213"/>
  <c r="H17" i="213"/>
  <c r="I19" i="213"/>
  <c r="G17" i="213"/>
  <c r="I31" i="213"/>
  <c r="I144" i="213"/>
  <c r="H292" i="213"/>
  <c r="H77" i="213"/>
  <c r="H466" i="213"/>
  <c r="I80" i="213"/>
  <c r="G393" i="213"/>
  <c r="H230" i="213"/>
  <c r="G80" i="213"/>
  <c r="G145" i="213"/>
  <c r="I276" i="213"/>
  <c r="G85" i="213"/>
  <c r="H207" i="213"/>
  <c r="H78" i="213"/>
  <c r="I142" i="213"/>
  <c r="H97" i="213"/>
  <c r="H264" i="213"/>
  <c r="G156" i="213"/>
  <c r="I265" i="213"/>
  <c r="G664" i="213"/>
  <c r="H539" i="213"/>
  <c r="I637" i="213"/>
  <c r="G461" i="213"/>
  <c r="I656" i="213"/>
  <c r="I512" i="213"/>
  <c r="G456" i="213"/>
  <c r="I663" i="213"/>
  <c r="H663" i="213"/>
  <c r="I653" i="213"/>
  <c r="G531" i="213"/>
  <c r="I467" i="213"/>
  <c r="I570" i="213"/>
  <c r="I655" i="213"/>
  <c r="G210" i="213"/>
  <c r="G157" i="213"/>
  <c r="H83" i="213"/>
  <c r="H205" i="213"/>
  <c r="G75" i="213"/>
  <c r="G285" i="213"/>
  <c r="I88" i="213"/>
  <c r="I81" i="213"/>
  <c r="H105" i="213"/>
  <c r="G200" i="213"/>
  <c r="G76" i="213"/>
  <c r="H147" i="213"/>
  <c r="I280" i="213"/>
  <c r="H86" i="213"/>
  <c r="I160" i="213"/>
  <c r="I600" i="213"/>
  <c r="G635" i="213"/>
  <c r="H576" i="213"/>
  <c r="H522" i="213"/>
  <c r="H456" i="213"/>
  <c r="I602" i="213"/>
  <c r="G510" i="213"/>
  <c r="G651" i="213"/>
  <c r="G465" i="213"/>
  <c r="H509" i="213"/>
  <c r="H455" i="213"/>
  <c r="G653" i="213"/>
  <c r="H594" i="213"/>
  <c r="I292" i="213"/>
  <c r="G391" i="213"/>
  <c r="I90" i="213"/>
  <c r="G261" i="213"/>
  <c r="H263" i="213"/>
  <c r="H85" i="213"/>
  <c r="G203" i="213"/>
  <c r="I78" i="213"/>
  <c r="G151" i="213"/>
  <c r="I271" i="213"/>
  <c r="G79" i="213"/>
  <c r="I151" i="213"/>
  <c r="G90" i="213"/>
  <c r="H168" i="213"/>
  <c r="G325" i="213"/>
  <c r="G532" i="213"/>
  <c r="G478" i="213"/>
  <c r="I571" i="213"/>
  <c r="I517" i="213"/>
  <c r="G600" i="213"/>
  <c r="H451" i="213"/>
  <c r="H656" i="213"/>
  <c r="H602" i="213"/>
  <c r="I477" i="213"/>
  <c r="G656" i="213"/>
  <c r="G602" i="213"/>
  <c r="H477" i="213"/>
  <c r="G519" i="213"/>
  <c r="I450" i="213"/>
  <c r="I589" i="213"/>
  <c r="G570" i="213"/>
  <c r="H141" i="213"/>
  <c r="I214" i="213"/>
  <c r="H213" i="213"/>
  <c r="I84" i="213"/>
  <c r="H268" i="213"/>
  <c r="G88" i="213"/>
  <c r="H198" i="213"/>
  <c r="I331" i="213"/>
  <c r="I104" i="213"/>
  <c r="G269" i="213"/>
  <c r="I207" i="213"/>
  <c r="G82" i="213"/>
  <c r="G280" i="213"/>
  <c r="I322" i="213"/>
  <c r="I93" i="213"/>
  <c r="G652" i="213"/>
  <c r="H593" i="213"/>
  <c r="H527" i="213"/>
  <c r="G515" i="213"/>
  <c r="I451" i="213"/>
  <c r="H595" i="213"/>
  <c r="I446" i="213"/>
  <c r="I651" i="213"/>
  <c r="H651" i="213"/>
  <c r="I538" i="213"/>
  <c r="H646" i="213"/>
  <c r="G585" i="213"/>
  <c r="H460" i="213"/>
  <c r="G448" i="213"/>
  <c r="H648" i="213"/>
  <c r="G533" i="213"/>
  <c r="I469" i="213"/>
  <c r="I452" i="213"/>
  <c r="H327" i="213"/>
  <c r="H99" i="213"/>
  <c r="H98" i="213"/>
  <c r="I217" i="213"/>
  <c r="H276" i="213"/>
  <c r="I342" i="213"/>
  <c r="I285" i="213"/>
  <c r="I85" i="213"/>
  <c r="H332" i="213"/>
  <c r="H212" i="213"/>
  <c r="G86" i="213"/>
  <c r="I159" i="213"/>
  <c r="H334" i="213"/>
  <c r="H647" i="213"/>
  <c r="G586" i="213"/>
  <c r="I522" i="213"/>
  <c r="G449" i="213"/>
  <c r="I644" i="213"/>
  <c r="G595" i="213"/>
  <c r="I531" i="213"/>
  <c r="H470" i="213"/>
  <c r="I646" i="213"/>
  <c r="G470" i="213"/>
  <c r="G416" i="213"/>
  <c r="H580" i="213"/>
  <c r="H514" i="213"/>
  <c r="I455" i="213"/>
  <c r="H653" i="213"/>
  <c r="G467" i="213"/>
  <c r="H511" i="213"/>
  <c r="G450" i="213"/>
  <c r="I205" i="213"/>
  <c r="H80" i="213"/>
  <c r="H478" i="213"/>
  <c r="I223" i="213"/>
  <c r="I407" i="213"/>
  <c r="H95" i="213"/>
  <c r="G198" i="213"/>
  <c r="H104" i="213"/>
  <c r="H206" i="213"/>
  <c r="H532" i="213"/>
  <c r="I263" i="213"/>
  <c r="H89" i="213"/>
  <c r="I384" i="213"/>
  <c r="G139" i="213"/>
  <c r="G221" i="213"/>
  <c r="G168" i="213"/>
  <c r="I106" i="213"/>
  <c r="I200" i="213"/>
  <c r="H389" i="213"/>
  <c r="I642" i="213"/>
  <c r="G520" i="213"/>
  <c r="G466" i="213"/>
  <c r="H510" i="213"/>
  <c r="G642" i="213"/>
  <c r="I590" i="213"/>
  <c r="G529" i="213"/>
  <c r="I465" i="213"/>
  <c r="G644" i="213"/>
  <c r="G590" i="213"/>
  <c r="H531" i="213"/>
  <c r="H465" i="213"/>
  <c r="I641" i="213"/>
  <c r="I575" i="213"/>
  <c r="I509" i="213"/>
  <c r="G453" i="213"/>
  <c r="I648" i="213"/>
  <c r="I594" i="213"/>
  <c r="I540" i="213"/>
  <c r="I643" i="213"/>
  <c r="H582" i="213"/>
  <c r="H528" i="213"/>
  <c r="H601" i="213"/>
  <c r="G577" i="213"/>
  <c r="G400" i="213"/>
  <c r="G346" i="213"/>
  <c r="G268" i="213"/>
  <c r="I74" i="213"/>
  <c r="I136" i="213"/>
  <c r="I202" i="213"/>
  <c r="I210" i="213"/>
  <c r="I343" i="213"/>
  <c r="G271" i="213"/>
  <c r="H400" i="213"/>
  <c r="H93" i="213"/>
  <c r="I208" i="213"/>
  <c r="H405" i="213"/>
  <c r="G640" i="213"/>
  <c r="H581" i="213"/>
  <c r="H461" i="213"/>
  <c r="H600" i="213"/>
  <c r="H529" i="213"/>
  <c r="H644" i="213"/>
  <c r="H590" i="213"/>
  <c r="H585" i="213"/>
  <c r="G524" i="213"/>
  <c r="I460" i="213"/>
  <c r="G639" i="213"/>
  <c r="G573" i="213"/>
  <c r="G646" i="213"/>
  <c r="G538" i="213"/>
  <c r="G641" i="213"/>
  <c r="I577" i="213"/>
  <c r="I523" i="213"/>
  <c r="H462" i="213"/>
  <c r="I662" i="213"/>
  <c r="I213" i="213"/>
  <c r="H140" i="213"/>
  <c r="G140" i="213"/>
  <c r="G104" i="213"/>
  <c r="G206" i="213"/>
  <c r="G328" i="213"/>
  <c r="H137" i="213"/>
  <c r="H146" i="213"/>
  <c r="I354" i="213"/>
  <c r="G332" i="213"/>
  <c r="G97" i="213"/>
  <c r="H447" i="213"/>
  <c r="H151" i="213"/>
  <c r="H280" i="213"/>
  <c r="I97" i="213"/>
  <c r="H200" i="213"/>
  <c r="G405" i="213"/>
  <c r="I576" i="213"/>
  <c r="H515" i="213"/>
  <c r="I456" i="213"/>
  <c r="I595" i="213"/>
  <c r="G539" i="213"/>
  <c r="H637" i="213"/>
  <c r="I578" i="213"/>
  <c r="I470" i="213"/>
  <c r="I639" i="213"/>
  <c r="I585" i="213"/>
  <c r="H524" i="213"/>
  <c r="H639" i="213"/>
  <c r="I580" i="213"/>
  <c r="G458" i="213"/>
  <c r="H448" i="213"/>
  <c r="H533" i="213"/>
  <c r="G575" i="213"/>
  <c r="I457" i="213"/>
  <c r="H161" i="213"/>
  <c r="H144" i="213"/>
  <c r="I275" i="213"/>
  <c r="H210" i="213"/>
  <c r="I166" i="213"/>
  <c r="G142" i="213"/>
  <c r="G199" i="213"/>
  <c r="I105" i="213"/>
  <c r="G208" i="213"/>
  <c r="G217" i="213"/>
  <c r="H635" i="213"/>
  <c r="G574" i="213"/>
  <c r="I510" i="213"/>
  <c r="G454" i="213"/>
  <c r="G593" i="213"/>
  <c r="I632" i="213"/>
  <c r="G576" i="213"/>
  <c r="I524" i="213"/>
  <c r="I416" i="213"/>
  <c r="G637" i="213"/>
  <c r="I519" i="213"/>
  <c r="H458" i="213"/>
  <c r="I634" i="213"/>
  <c r="G578" i="213"/>
  <c r="H519" i="213"/>
  <c r="H634" i="213"/>
  <c r="H641" i="213"/>
  <c r="I582" i="213"/>
  <c r="I528" i="213"/>
  <c r="H636" i="213"/>
  <c r="H516" i="213"/>
  <c r="G455" i="213"/>
  <c r="H655" i="213"/>
  <c r="H589" i="213"/>
  <c r="G95" i="213"/>
  <c r="H201" i="213"/>
  <c r="I141" i="213"/>
  <c r="G589" i="213"/>
  <c r="G166" i="213"/>
  <c r="I268" i="213"/>
  <c r="H81" i="213"/>
  <c r="I198" i="213"/>
  <c r="I75" i="213"/>
  <c r="H662" i="213"/>
  <c r="G212" i="213"/>
  <c r="H139" i="213"/>
  <c r="H76" i="213"/>
  <c r="G581" i="213"/>
  <c r="G527" i="213"/>
  <c r="H517" i="213"/>
  <c r="I458" i="213"/>
  <c r="G571" i="213"/>
  <c r="H512" i="213"/>
  <c r="G446" i="213"/>
  <c r="I533" i="213"/>
  <c r="H575" i="213"/>
  <c r="G514" i="213"/>
  <c r="G460" i="213"/>
  <c r="I601" i="213"/>
  <c r="G509" i="213"/>
  <c r="H643" i="213"/>
  <c r="G528" i="213"/>
  <c r="I201" i="213"/>
  <c r="H75" i="213"/>
  <c r="H632" i="213"/>
  <c r="G512" i="213"/>
  <c r="I638" i="213"/>
  <c r="H523" i="213"/>
  <c r="I390" i="213"/>
  <c r="I471" i="213"/>
  <c r="I640" i="213"/>
  <c r="G324" i="213"/>
  <c r="H265" i="213"/>
  <c r="I291" i="213"/>
  <c r="G469" i="213"/>
  <c r="G326" i="213"/>
  <c r="H267" i="213"/>
  <c r="H657" i="213"/>
  <c r="H352" i="213"/>
  <c r="I513" i="213"/>
  <c r="G342" i="213"/>
  <c r="H275" i="213"/>
  <c r="I143" i="213"/>
  <c r="I89" i="213"/>
  <c r="H388" i="213"/>
  <c r="I204" i="213"/>
  <c r="H143" i="213"/>
  <c r="G94" i="213"/>
  <c r="G274" i="213"/>
  <c r="I79" i="213"/>
  <c r="I261" i="213"/>
  <c r="H199" i="213"/>
  <c r="I203" i="213"/>
  <c r="G93" i="213"/>
  <c r="H281" i="213"/>
  <c r="H142" i="213"/>
  <c r="G83" i="213"/>
  <c r="I77" i="213"/>
  <c r="H74" i="213"/>
  <c r="G78" i="213"/>
  <c r="I139" i="213"/>
  <c r="H578" i="213"/>
  <c r="H453" i="213"/>
  <c r="I636" i="213"/>
  <c r="H570" i="213"/>
  <c r="G636" i="213"/>
  <c r="I518" i="213"/>
  <c r="H454" i="213"/>
  <c r="G388" i="213"/>
  <c r="H329" i="213"/>
  <c r="I453" i="213"/>
  <c r="I260" i="213"/>
  <c r="H584" i="213"/>
  <c r="I262" i="213"/>
  <c r="I347" i="213"/>
  <c r="H262" i="213"/>
  <c r="H591" i="213"/>
  <c r="I664" i="213"/>
  <c r="H391" i="213"/>
  <c r="H337" i="213"/>
  <c r="H283" i="213"/>
  <c r="H202" i="213"/>
  <c r="G141" i="213"/>
  <c r="H266" i="213"/>
  <c r="G202" i="213"/>
  <c r="I270" i="213"/>
  <c r="H138" i="213"/>
  <c r="G77" i="213"/>
  <c r="G352" i="213"/>
  <c r="H145" i="213"/>
  <c r="I400" i="213"/>
  <c r="H269" i="213"/>
  <c r="G201" i="213"/>
  <c r="I168" i="213"/>
  <c r="G327" i="213"/>
  <c r="H152" i="213"/>
  <c r="I447" i="213"/>
  <c r="I147" i="213"/>
  <c r="H449" i="213"/>
  <c r="I573" i="213"/>
  <c r="I448" i="213"/>
  <c r="G634" i="213"/>
  <c r="G594" i="213"/>
  <c r="G516" i="213"/>
  <c r="G447" i="213"/>
  <c r="H446" i="213"/>
  <c r="H586" i="213"/>
  <c r="H414" i="213"/>
  <c r="G409" i="213"/>
  <c r="I345" i="213"/>
  <c r="H284" i="213"/>
  <c r="I657" i="213"/>
  <c r="G260" i="213"/>
  <c r="G638" i="213"/>
  <c r="G345" i="213"/>
  <c r="G291" i="213"/>
  <c r="G601" i="213"/>
  <c r="H408" i="213"/>
  <c r="H354" i="213"/>
  <c r="G476" i="213"/>
  <c r="I332" i="213"/>
  <c r="I652" i="213"/>
  <c r="H82" i="213"/>
  <c r="I353" i="213"/>
  <c r="G262" i="213"/>
  <c r="I138" i="213"/>
  <c r="G353" i="213"/>
  <c r="G266" i="213"/>
  <c r="I635" i="213"/>
  <c r="I346" i="213"/>
  <c r="H393" i="213"/>
  <c r="H633" i="213"/>
  <c r="I327" i="213"/>
  <c r="H88" i="213"/>
  <c r="H90" i="213"/>
  <c r="I140" i="213"/>
  <c r="I86" i="213"/>
  <c r="H664" i="213"/>
  <c r="I156" i="213"/>
  <c r="I396" i="213"/>
  <c r="G647" i="213"/>
  <c r="G517" i="213"/>
  <c r="G663" i="213"/>
  <c r="G580" i="213"/>
  <c r="H540" i="213"/>
  <c r="I584" i="213"/>
  <c r="I324" i="213"/>
  <c r="H409" i="213"/>
  <c r="G343" i="213"/>
  <c r="I279" i="213"/>
  <c r="H638" i="213"/>
  <c r="I593" i="213"/>
  <c r="I591" i="213"/>
  <c r="G572" i="213"/>
  <c r="I403" i="213"/>
  <c r="I466" i="213"/>
  <c r="I386" i="213"/>
  <c r="G330" i="213"/>
  <c r="G276" i="213"/>
  <c r="I388" i="213"/>
  <c r="G263" i="213"/>
  <c r="H136" i="213"/>
  <c r="G643" i="213"/>
  <c r="H347" i="213"/>
  <c r="G136" i="213"/>
  <c r="H579" i="213"/>
  <c r="G341" i="213"/>
  <c r="G386" i="213"/>
  <c r="H322" i="213"/>
  <c r="I137" i="213"/>
  <c r="I283" i="213"/>
  <c r="G398" i="213"/>
  <c r="H203" i="213"/>
  <c r="H642" i="213"/>
  <c r="H571" i="213"/>
  <c r="G582" i="213"/>
  <c r="G322" i="213"/>
  <c r="I414" i="213"/>
  <c r="H404" i="213"/>
  <c r="H291" i="213"/>
  <c r="H574" i="213"/>
  <c r="G399" i="213"/>
  <c r="H572" i="213"/>
  <c r="G347" i="213"/>
  <c r="G384" i="213"/>
  <c r="I167" i="213"/>
  <c r="G511" i="213"/>
  <c r="I341" i="213"/>
  <c r="G167" i="213"/>
  <c r="G579" i="213"/>
  <c r="I329" i="213"/>
  <c r="G138" i="213"/>
  <c r="G84" i="213"/>
  <c r="H346" i="213"/>
  <c r="I532" i="213"/>
  <c r="H228" i="213"/>
  <c r="I83" i="213"/>
  <c r="G98" i="213"/>
  <c r="G337" i="213"/>
  <c r="H221" i="213"/>
  <c r="G161" i="213"/>
  <c r="G292" i="213"/>
  <c r="G662" i="213"/>
  <c r="G522" i="213"/>
  <c r="I511" i="213"/>
  <c r="H577" i="213"/>
  <c r="H652" i="213"/>
  <c r="I409" i="213"/>
  <c r="I404" i="213"/>
  <c r="H343" i="213"/>
  <c r="G518" i="213"/>
  <c r="I399" i="213"/>
  <c r="H338" i="213"/>
  <c r="G584" i="213"/>
  <c r="I352" i="213"/>
  <c r="H394" i="213"/>
  <c r="G333" i="213"/>
  <c r="I281" i="213"/>
  <c r="I449" i="213"/>
  <c r="H325" i="213"/>
  <c r="H271" i="213"/>
  <c r="I579" i="213"/>
  <c r="H336" i="213"/>
  <c r="H167" i="213"/>
  <c r="G229" i="213"/>
  <c r="H323" i="213"/>
  <c r="I334" i="213"/>
  <c r="G81" i="213"/>
  <c r="G205" i="213"/>
  <c r="H79" i="213"/>
  <c r="I218" i="213"/>
  <c r="G146" i="213"/>
  <c r="I516" i="213"/>
  <c r="I572" i="213"/>
  <c r="I476" i="213"/>
  <c r="H353" i="213"/>
  <c r="G407" i="213"/>
  <c r="H518" i="213"/>
  <c r="I338" i="213"/>
  <c r="I284" i="213"/>
  <c r="I230" i="213"/>
  <c r="I508" i="213"/>
  <c r="I333" i="213"/>
  <c r="H272" i="213"/>
  <c r="I574" i="213"/>
  <c r="G404" i="213"/>
  <c r="G284" i="213"/>
  <c r="G279" i="213"/>
  <c r="H396" i="213"/>
  <c r="H342" i="213"/>
  <c r="I415" i="213"/>
  <c r="I266" i="213"/>
  <c r="I222" i="213"/>
  <c r="H160" i="213"/>
  <c r="I229" i="213"/>
  <c r="H324" i="213"/>
  <c r="G222" i="213"/>
  <c r="I157" i="213"/>
  <c r="H415" i="213"/>
  <c r="G329" i="213"/>
  <c r="H166" i="213"/>
  <c r="I212" i="213"/>
  <c r="G632" i="213"/>
  <c r="H467" i="213"/>
  <c r="G633" i="213"/>
  <c r="H407" i="213"/>
  <c r="I586" i="213"/>
  <c r="I392" i="213"/>
  <c r="G336" i="213"/>
  <c r="G228" i="213"/>
  <c r="H392" i="213"/>
  <c r="G331" i="213"/>
  <c r="I267" i="213"/>
  <c r="H399" i="213"/>
  <c r="H345" i="213"/>
  <c r="H279" i="213"/>
  <c r="G230" i="213"/>
  <c r="I389" i="213"/>
  <c r="H328" i="213"/>
  <c r="I515" i="213"/>
  <c r="I391" i="213"/>
  <c r="I337" i="213"/>
  <c r="G591" i="213"/>
  <c r="G264" i="213"/>
  <c r="G403" i="213"/>
  <c r="I219" i="213"/>
  <c r="I155" i="213"/>
  <c r="H106" i="213"/>
  <c r="G513" i="213"/>
  <c r="H222" i="213"/>
  <c r="G160" i="213"/>
  <c r="G219" i="213"/>
  <c r="G155" i="213"/>
  <c r="H285" i="213"/>
  <c r="H218" i="213"/>
  <c r="I161" i="213"/>
  <c r="I146" i="213"/>
  <c r="I82" i="213"/>
  <c r="I221" i="213"/>
  <c r="I529" i="213"/>
  <c r="H538" i="213"/>
  <c r="I462" i="213"/>
  <c r="H450" i="213"/>
  <c r="G540" i="213"/>
  <c r="H469" i="213"/>
  <c r="H341" i="213"/>
  <c r="G395" i="213"/>
  <c r="G390" i="213"/>
  <c r="H223" i="213"/>
  <c r="G471" i="213"/>
  <c r="G265" i="213"/>
  <c r="I527" i="213"/>
  <c r="I526" i="213" s="1"/>
  <c r="I394" i="213"/>
  <c r="G338" i="213"/>
  <c r="I478" i="213"/>
  <c r="G387" i="213"/>
  <c r="H274" i="213"/>
  <c r="H476" i="213"/>
  <c r="G389" i="213"/>
  <c r="I581" i="213"/>
  <c r="G408" i="213"/>
  <c r="I330" i="213"/>
  <c r="H219" i="213"/>
  <c r="H155" i="213"/>
  <c r="G106" i="213"/>
  <c r="I408" i="213"/>
  <c r="G209" i="213"/>
  <c r="H157" i="213"/>
  <c r="I633" i="213"/>
  <c r="G281" i="213"/>
  <c r="G159" i="213"/>
  <c r="G105" i="213"/>
  <c r="G144" i="213"/>
  <c r="H261" i="213"/>
  <c r="G414" i="213"/>
  <c r="G462" i="213"/>
  <c r="I539" i="213"/>
  <c r="H471" i="213"/>
  <c r="H331" i="213"/>
  <c r="I272" i="213"/>
  <c r="I461" i="213"/>
  <c r="I387" i="213"/>
  <c r="H326" i="213"/>
  <c r="G392" i="213"/>
  <c r="I274" i="213"/>
  <c r="G451" i="213"/>
  <c r="I323" i="213"/>
  <c r="H330" i="213"/>
  <c r="H403" i="213"/>
  <c r="G354" i="213"/>
  <c r="H214" i="213"/>
  <c r="G99" i="213"/>
  <c r="G214" i="213"/>
  <c r="I150" i="213"/>
  <c r="I99" i="213"/>
  <c r="H159" i="213"/>
  <c r="H573" i="213"/>
  <c r="G477" i="213"/>
  <c r="G648" i="213"/>
  <c r="H395" i="213"/>
  <c r="I336" i="213"/>
  <c r="H520" i="213"/>
  <c r="H390" i="213"/>
  <c r="H385" i="213"/>
  <c r="G270" i="213"/>
  <c r="G452" i="213"/>
  <c r="G385" i="213"/>
  <c r="H260" i="213"/>
  <c r="H508" i="213"/>
  <c r="H333" i="213"/>
  <c r="G272" i="213"/>
  <c r="G218" i="213"/>
  <c r="I269" i="213"/>
  <c r="G657" i="213"/>
  <c r="G655" i="213"/>
  <c r="G457" i="213"/>
  <c r="H384" i="213"/>
  <c r="I325" i="213"/>
  <c r="G137" i="213"/>
  <c r="H398" i="213"/>
  <c r="G508" i="213"/>
  <c r="I514" i="213"/>
  <c r="H457" i="213"/>
  <c r="I520" i="213"/>
  <c r="G334" i="213"/>
  <c r="H452" i="213"/>
  <c r="I326" i="213"/>
  <c r="H640" i="213"/>
  <c r="H387" i="213"/>
  <c r="I328" i="213"/>
  <c r="H416" i="213"/>
  <c r="G267" i="213"/>
  <c r="I647" i="213"/>
  <c r="G323" i="213"/>
  <c r="G523" i="213"/>
  <c r="G396" i="213"/>
  <c r="I290" i="213"/>
  <c r="H229" i="213"/>
  <c r="H513" i="213"/>
  <c r="G283" i="213"/>
  <c r="G207" i="213"/>
  <c r="H94" i="213"/>
  <c r="I395" i="213"/>
  <c r="G275" i="213"/>
  <c r="H209" i="213"/>
  <c r="I199" i="213"/>
  <c r="G143" i="213"/>
  <c r="H84" i="213"/>
  <c r="H270" i="213"/>
  <c r="G150" i="213"/>
  <c r="I98" i="213"/>
  <c r="G415" i="213"/>
  <c r="G290" i="213"/>
  <c r="I264" i="213"/>
  <c r="G147" i="213"/>
  <c r="I95" i="213"/>
  <c r="I76" i="213"/>
  <c r="H156" i="213"/>
  <c r="I206" i="213"/>
  <c r="I228" i="213"/>
  <c r="G394" i="213"/>
  <c r="G204" i="213"/>
  <c r="G213" i="213"/>
  <c r="G74" i="213"/>
  <c r="H204" i="213"/>
  <c r="I152" i="213"/>
  <c r="H208" i="213"/>
  <c r="I94" i="213"/>
  <c r="H150" i="213"/>
  <c r="I393" i="213"/>
  <c r="I209" i="213"/>
  <c r="I145" i="213"/>
  <c r="H217" i="213"/>
  <c r="H148" i="213"/>
  <c r="I148" i="213"/>
  <c r="I405" i="213"/>
  <c r="H290" i="213"/>
  <c r="G89" i="213"/>
  <c r="I454" i="213"/>
  <c r="G152" i="213"/>
  <c r="I385" i="213"/>
  <c r="H386" i="213"/>
  <c r="I398" i="213"/>
  <c r="G148" i="213"/>
  <c r="G223" i="213"/>
  <c r="V373" i="208"/>
  <c r="V484" i="208"/>
  <c r="V498" i="208"/>
  <c r="V602" i="208"/>
  <c r="F527" i="208"/>
  <c r="T527" i="208" s="1"/>
  <c r="V399" i="208"/>
  <c r="F343" i="208"/>
  <c r="T343" i="208" s="1"/>
  <c r="AB385" i="208"/>
  <c r="AB484" i="208"/>
  <c r="AA526" i="208"/>
  <c r="V354" i="208"/>
  <c r="AA642" i="208"/>
  <c r="V383" i="208"/>
  <c r="AF382" i="208"/>
  <c r="AE384" i="208"/>
  <c r="AE498" i="208"/>
  <c r="AE528" i="208"/>
  <c r="AF642" i="208"/>
  <c r="AF672" i="208"/>
  <c r="AF671" i="208"/>
  <c r="AE380" i="208"/>
  <c r="AE602" i="208"/>
  <c r="V487" i="208"/>
  <c r="V670" i="208"/>
  <c r="F380" i="208"/>
  <c r="T380" i="208" s="1"/>
  <c r="F370" i="208"/>
  <c r="T370" i="208" s="1"/>
  <c r="F385" i="208"/>
  <c r="T385" i="208" s="1"/>
  <c r="F484" i="208"/>
  <c r="T484" i="208" s="1"/>
  <c r="AB526" i="208"/>
  <c r="AB642" i="208"/>
  <c r="AA569" i="208"/>
  <c r="AE385" i="208"/>
  <c r="AE628" i="208"/>
  <c r="AF658" i="208"/>
  <c r="AF384" i="208"/>
  <c r="AF498" i="208"/>
  <c r="AF528" i="208"/>
  <c r="AF380" i="208"/>
  <c r="AF602" i="208"/>
  <c r="V673" i="208"/>
  <c r="V380" i="208"/>
  <c r="F345" i="208"/>
  <c r="T345" i="208" s="1"/>
  <c r="AA487" i="208"/>
  <c r="F526" i="208"/>
  <c r="T526" i="208" s="1"/>
  <c r="AA628" i="208"/>
  <c r="AA670" i="208"/>
  <c r="AA384" i="208"/>
  <c r="AA489" i="208"/>
  <c r="F642" i="208"/>
  <c r="T642" i="208" s="1"/>
  <c r="AA458" i="208"/>
  <c r="AA602" i="208"/>
  <c r="AF385" i="208"/>
  <c r="AF628" i="208"/>
  <c r="AE668" i="208"/>
  <c r="AF659" i="208"/>
  <c r="V382" i="208"/>
  <c r="F446" i="208"/>
  <c r="T446" i="208" s="1"/>
  <c r="F668" i="208"/>
  <c r="T668" i="208" s="1"/>
  <c r="V345" i="208"/>
  <c r="AB487" i="208"/>
  <c r="AA529" i="208"/>
  <c r="AB628" i="208"/>
  <c r="AB670" i="208"/>
  <c r="AB384" i="208"/>
  <c r="AB489" i="208"/>
  <c r="AA528" i="208"/>
  <c r="AB458" i="208"/>
  <c r="AB512" i="208"/>
  <c r="AE484" i="208"/>
  <c r="AE631" i="208"/>
  <c r="AF668" i="208"/>
  <c r="V628" i="208"/>
  <c r="F458" i="208"/>
  <c r="T458" i="208" s="1"/>
  <c r="V668" i="208"/>
  <c r="F487" i="208"/>
  <c r="T487" i="208" s="1"/>
  <c r="AB529" i="208"/>
  <c r="F670" i="208"/>
  <c r="T670" i="208" s="1"/>
  <c r="F489" i="208"/>
  <c r="T489" i="208" s="1"/>
  <c r="AB528" i="208"/>
  <c r="AA314" i="208"/>
  <c r="AF631" i="208"/>
  <c r="AE383" i="208"/>
  <c r="AE524" i="208"/>
  <c r="V631" i="208"/>
  <c r="F581" i="208"/>
  <c r="T581" i="208" s="1"/>
  <c r="F671" i="208"/>
  <c r="T671" i="208" s="1"/>
  <c r="F384" i="208"/>
  <c r="T384" i="208" s="1"/>
  <c r="AA331" i="208"/>
  <c r="AA514" i="208"/>
  <c r="AA631" i="208"/>
  <c r="AA673" i="208"/>
  <c r="F528" i="208"/>
  <c r="T528" i="208" s="1"/>
  <c r="AB314" i="208"/>
  <c r="AE487" i="208"/>
  <c r="AE477" i="208"/>
  <c r="AF524" i="208"/>
  <c r="V340" i="208"/>
  <c r="V581" i="208"/>
  <c r="AB631" i="208"/>
  <c r="AB673" i="208"/>
  <c r="AA672" i="208"/>
  <c r="AF331" i="208"/>
  <c r="AE670" i="208"/>
  <c r="AE399" i="208"/>
  <c r="F314" i="208"/>
  <c r="T314" i="208" s="1"/>
  <c r="AA340" i="208"/>
  <c r="F673" i="208"/>
  <c r="T673" i="208" s="1"/>
  <c r="AB342" i="208"/>
  <c r="AA372" i="208"/>
  <c r="AB672" i="208"/>
  <c r="AA668" i="208"/>
  <c r="AE340" i="208"/>
  <c r="AE526" i="208"/>
  <c r="AF399" i="208"/>
  <c r="E23" i="213"/>
  <c r="F23" i="213" s="1"/>
  <c r="E24" i="213"/>
  <c r="F24" i="213" s="1"/>
  <c r="E16" i="213"/>
  <c r="F16" i="213" s="1"/>
  <c r="E33" i="213"/>
  <c r="F33" i="213" s="1"/>
  <c r="E19" i="213"/>
  <c r="F19" i="213" s="1"/>
  <c r="E17" i="213"/>
  <c r="F17" i="213" s="1"/>
  <c r="E22" i="213"/>
  <c r="F22" i="213" s="1"/>
  <c r="E13" i="213"/>
  <c r="F13" i="213" s="1"/>
  <c r="E42" i="213"/>
  <c r="F42" i="213" s="1"/>
  <c r="E32" i="213"/>
  <c r="F32" i="213" s="1"/>
  <c r="E35" i="213"/>
  <c r="E26" i="213"/>
  <c r="E37" i="213"/>
  <c r="F37" i="213" s="1"/>
  <c r="E28" i="213"/>
  <c r="F28" i="213" s="1"/>
  <c r="E36" i="213"/>
  <c r="F36" i="213" s="1"/>
  <c r="E44" i="213"/>
  <c r="F44" i="213" s="1"/>
  <c r="E31" i="213"/>
  <c r="E18" i="213"/>
  <c r="F18" i="213" s="1"/>
  <c r="E12" i="213"/>
  <c r="E20" i="213"/>
  <c r="F20" i="213" s="1"/>
  <c r="E14" i="213"/>
  <c r="F14" i="213" s="1"/>
  <c r="E43" i="213"/>
  <c r="E27" i="213"/>
  <c r="F27" i="213" s="1"/>
  <c r="E15" i="213"/>
  <c r="F15" i="213" s="1"/>
  <c r="E21" i="213"/>
  <c r="F21" i="213" s="1"/>
  <c r="E206" i="213"/>
  <c r="F206" i="213" s="1"/>
  <c r="E523" i="213"/>
  <c r="F523" i="213" s="1"/>
  <c r="E218" i="213"/>
  <c r="F218" i="213" s="1"/>
  <c r="E276" i="213"/>
  <c r="F276" i="213" s="1"/>
  <c r="E167" i="213"/>
  <c r="F167" i="213" s="1"/>
  <c r="E221" i="213"/>
  <c r="E74" i="213"/>
  <c r="E144" i="213"/>
  <c r="F144" i="213" s="1"/>
  <c r="E80" i="213"/>
  <c r="F80" i="213" s="1"/>
  <c r="E579" i="213"/>
  <c r="F579" i="213" s="1"/>
  <c r="E512" i="213"/>
  <c r="F512" i="213" s="1"/>
  <c r="E458" i="213"/>
  <c r="F458" i="213" s="1"/>
  <c r="E261" i="213"/>
  <c r="F261" i="213" s="1"/>
  <c r="E327" i="213"/>
  <c r="F327" i="213" s="1"/>
  <c r="E78" i="213"/>
  <c r="F78" i="213" s="1"/>
  <c r="E76" i="213"/>
  <c r="F76" i="213" s="1"/>
  <c r="E147" i="213"/>
  <c r="F147" i="213" s="1"/>
  <c r="E264" i="213"/>
  <c r="F264" i="213" s="1"/>
  <c r="E281" i="213"/>
  <c r="F281" i="213" s="1"/>
  <c r="E662" i="213"/>
  <c r="E652" i="213"/>
  <c r="F652" i="213" s="1"/>
  <c r="E454" i="213"/>
  <c r="F454" i="213" s="1"/>
  <c r="E595" i="213"/>
  <c r="F595" i="213" s="1"/>
  <c r="E529" i="213"/>
  <c r="F529" i="213" s="1"/>
  <c r="E75" i="213"/>
  <c r="F75" i="213" s="1"/>
  <c r="E210" i="213"/>
  <c r="F210" i="213" s="1"/>
  <c r="E338" i="213"/>
  <c r="F338" i="213" s="1"/>
  <c r="E81" i="213"/>
  <c r="F81" i="213" s="1"/>
  <c r="E204" i="213"/>
  <c r="F204" i="213" s="1"/>
  <c r="E633" i="213"/>
  <c r="F633" i="213" s="1"/>
  <c r="E508" i="213"/>
  <c r="E539" i="213"/>
  <c r="F539" i="213" s="1"/>
  <c r="E651" i="213"/>
  <c r="E477" i="213"/>
  <c r="F477" i="213" s="1"/>
  <c r="E634" i="213"/>
  <c r="F634" i="213" s="1"/>
  <c r="E95" i="213"/>
  <c r="F95" i="213" s="1"/>
  <c r="E89" i="213"/>
  <c r="F89" i="213" s="1"/>
  <c r="E155" i="213"/>
  <c r="E83" i="213"/>
  <c r="F83" i="213" s="1"/>
  <c r="E476" i="213"/>
  <c r="E600" i="213"/>
  <c r="E517" i="213"/>
  <c r="F517" i="213" s="1"/>
  <c r="E656" i="213"/>
  <c r="F656" i="213" s="1"/>
  <c r="E602" i="213"/>
  <c r="F602" i="213" s="1"/>
  <c r="E514" i="213"/>
  <c r="F514" i="213" s="1"/>
  <c r="E570" i="213"/>
  <c r="E203" i="213"/>
  <c r="F203" i="213" s="1"/>
  <c r="E98" i="213"/>
  <c r="F98" i="213" s="1"/>
  <c r="E513" i="213"/>
  <c r="F513" i="213" s="1"/>
  <c r="E446" i="213"/>
  <c r="E585" i="213"/>
  <c r="F585" i="213" s="1"/>
  <c r="E531" i="213"/>
  <c r="E166" i="213"/>
  <c r="E198" i="213"/>
  <c r="E105" i="213"/>
  <c r="F105" i="213" s="1"/>
  <c r="E168" i="213"/>
  <c r="F168" i="213" s="1"/>
  <c r="E584" i="213"/>
  <c r="E447" i="213"/>
  <c r="F447" i="213" s="1"/>
  <c r="E532" i="213"/>
  <c r="F532" i="213" s="1"/>
  <c r="E647" i="213"/>
  <c r="F647" i="213" s="1"/>
  <c r="E593" i="213"/>
  <c r="E465" i="213"/>
  <c r="E448" i="213"/>
  <c r="F448" i="213" s="1"/>
  <c r="E88" i="213"/>
  <c r="E229" i="213"/>
  <c r="F229" i="213" s="1"/>
  <c r="E655" i="213"/>
  <c r="E138" i="213"/>
  <c r="F138" i="213" s="1"/>
  <c r="E93" i="213"/>
  <c r="E143" i="213"/>
  <c r="F143" i="213" s="1"/>
  <c r="E272" i="213"/>
  <c r="F272" i="213" s="1"/>
  <c r="E389" i="213"/>
  <c r="F389" i="213" s="1"/>
  <c r="E518" i="213"/>
  <c r="F518" i="213" s="1"/>
  <c r="E640" i="213"/>
  <c r="F640" i="213" s="1"/>
  <c r="E586" i="213"/>
  <c r="F586" i="213" s="1"/>
  <c r="E478" i="213"/>
  <c r="F478" i="213" s="1"/>
  <c r="E527" i="213"/>
  <c r="E642" i="213"/>
  <c r="F642" i="213" s="1"/>
  <c r="E451" i="213"/>
  <c r="F451" i="213" s="1"/>
  <c r="E590" i="213"/>
  <c r="F590" i="213" s="1"/>
  <c r="E285" i="213"/>
  <c r="F285" i="213" s="1"/>
  <c r="E260" i="213"/>
  <c r="E213" i="213"/>
  <c r="F213" i="213" s="1"/>
  <c r="E638" i="213"/>
  <c r="F638" i="213" s="1"/>
  <c r="E657" i="213"/>
  <c r="F657" i="213" s="1"/>
  <c r="E461" i="213"/>
  <c r="F461" i="213" s="1"/>
  <c r="E522" i="213"/>
  <c r="E637" i="213"/>
  <c r="F637" i="213" s="1"/>
  <c r="E571" i="213"/>
  <c r="F571" i="213" s="1"/>
  <c r="E644" i="213"/>
  <c r="F644" i="213" s="1"/>
  <c r="E639" i="213"/>
  <c r="F639" i="213" s="1"/>
  <c r="E519" i="213"/>
  <c r="F519" i="213" s="1"/>
  <c r="E84" i="213"/>
  <c r="F84" i="213" s="1"/>
  <c r="E142" i="213"/>
  <c r="F142" i="213" s="1"/>
  <c r="E384" i="213"/>
  <c r="E156" i="213"/>
  <c r="F156" i="213" s="1"/>
  <c r="E466" i="213"/>
  <c r="F466" i="213" s="1"/>
  <c r="E581" i="213"/>
  <c r="F581" i="213" s="1"/>
  <c r="E456" i="213"/>
  <c r="F456" i="213" s="1"/>
  <c r="E470" i="213"/>
  <c r="F470" i="213" s="1"/>
  <c r="E573" i="213"/>
  <c r="F573" i="213" s="1"/>
  <c r="E77" i="213"/>
  <c r="F77" i="213" s="1"/>
  <c r="E90" i="213"/>
  <c r="F90" i="213" s="1"/>
  <c r="E152" i="213"/>
  <c r="F152" i="213" s="1"/>
  <c r="E664" i="213"/>
  <c r="F664" i="213" s="1"/>
  <c r="E510" i="213"/>
  <c r="F510" i="213" s="1"/>
  <c r="E632" i="213"/>
  <c r="E663" i="213"/>
  <c r="F663" i="213" s="1"/>
  <c r="E580" i="213"/>
  <c r="F580" i="213" s="1"/>
  <c r="E332" i="213"/>
  <c r="F332" i="213" s="1"/>
  <c r="E265" i="213"/>
  <c r="F265" i="213" s="1"/>
  <c r="E416" i="213"/>
  <c r="F416" i="213" s="1"/>
  <c r="E394" i="213"/>
  <c r="F394" i="213" s="1"/>
  <c r="E205" i="213"/>
  <c r="F205" i="213" s="1"/>
  <c r="E271" i="213"/>
  <c r="F271" i="213" s="1"/>
  <c r="E141" i="213"/>
  <c r="F141" i="213" s="1"/>
  <c r="E148" i="213"/>
  <c r="F148" i="213" s="1"/>
  <c r="E94" i="213"/>
  <c r="F94" i="213" s="1"/>
  <c r="E408" i="213"/>
  <c r="F408" i="213" s="1"/>
  <c r="E145" i="213"/>
  <c r="F145" i="213" s="1"/>
  <c r="E161" i="213"/>
  <c r="F161" i="213" s="1"/>
  <c r="E284" i="213"/>
  <c r="F284" i="213" s="1"/>
  <c r="E219" i="213"/>
  <c r="F219" i="213" s="1"/>
  <c r="E404" i="213"/>
  <c r="F404" i="213" s="1"/>
  <c r="E452" i="213"/>
  <c r="F452" i="213" s="1"/>
  <c r="E322" i="213"/>
  <c r="E353" i="213"/>
  <c r="F353" i="213" s="1"/>
  <c r="E324" i="213"/>
  <c r="F324" i="213" s="1"/>
  <c r="E648" i="213"/>
  <c r="F648" i="213" s="1"/>
  <c r="E409" i="213"/>
  <c r="F409" i="213" s="1"/>
  <c r="E653" i="213"/>
  <c r="F653" i="213" s="1"/>
  <c r="E85" i="213"/>
  <c r="F85" i="213" s="1"/>
  <c r="E386" i="213"/>
  <c r="F386" i="213" s="1"/>
  <c r="E575" i="213"/>
  <c r="F575" i="213" s="1"/>
  <c r="E582" i="213"/>
  <c r="F582" i="213" s="1"/>
  <c r="E396" i="213"/>
  <c r="F396" i="213" s="1"/>
  <c r="E267" i="213"/>
  <c r="F267" i="213" s="1"/>
  <c r="E139" i="213"/>
  <c r="F139" i="213" s="1"/>
  <c r="E200" i="213"/>
  <c r="F200" i="213" s="1"/>
  <c r="E199" i="213"/>
  <c r="F199" i="213" s="1"/>
  <c r="E222" i="213"/>
  <c r="F222" i="213" s="1"/>
  <c r="E574" i="213"/>
  <c r="F574" i="213" s="1"/>
  <c r="E577" i="213"/>
  <c r="F577" i="213" s="1"/>
  <c r="E407" i="213"/>
  <c r="E343" i="213"/>
  <c r="F343" i="213" s="1"/>
  <c r="E636" i="213"/>
  <c r="F636" i="213" s="1"/>
  <c r="E347" i="213"/>
  <c r="F347" i="213" s="1"/>
  <c r="E515" i="213"/>
  <c r="F515" i="213" s="1"/>
  <c r="E578" i="213"/>
  <c r="F578" i="213" s="1"/>
  <c r="E346" i="213"/>
  <c r="F346" i="213" s="1"/>
  <c r="E528" i="213"/>
  <c r="F528" i="213" s="1"/>
  <c r="E341" i="213"/>
  <c r="E594" i="213"/>
  <c r="F594" i="213" s="1"/>
  <c r="E414" i="213"/>
  <c r="E328" i="213"/>
  <c r="F328" i="213" s="1"/>
  <c r="E274" i="213"/>
  <c r="E342" i="213"/>
  <c r="F342" i="213" s="1"/>
  <c r="E201" i="213"/>
  <c r="F201" i="213" s="1"/>
  <c r="E79" i="213"/>
  <c r="F79" i="213" s="1"/>
  <c r="E208" i="213"/>
  <c r="F208" i="213" s="1"/>
  <c r="E591" i="213"/>
  <c r="F591" i="213" s="1"/>
  <c r="E524" i="213"/>
  <c r="F524" i="213" s="1"/>
  <c r="E415" i="213"/>
  <c r="F415" i="213" s="1"/>
  <c r="E292" i="213"/>
  <c r="F292" i="213" s="1"/>
  <c r="E275" i="213"/>
  <c r="F275" i="213" s="1"/>
  <c r="E399" i="213"/>
  <c r="F399" i="213" s="1"/>
  <c r="E345" i="213"/>
  <c r="E354" i="213"/>
  <c r="F354" i="213" s="1"/>
  <c r="E230" i="213"/>
  <c r="F230" i="213" s="1"/>
  <c r="E457" i="213"/>
  <c r="F457" i="213" s="1"/>
  <c r="E330" i="213"/>
  <c r="F330" i="213" s="1"/>
  <c r="E455" i="213"/>
  <c r="F455" i="213" s="1"/>
  <c r="E136" i="213"/>
  <c r="E82" i="213"/>
  <c r="F82" i="213" s="1"/>
  <c r="E290" i="213"/>
  <c r="E520" i="213"/>
  <c r="F520" i="213" s="1"/>
  <c r="E643" i="213"/>
  <c r="F643" i="213" s="1"/>
  <c r="E641" i="213"/>
  <c r="F641" i="213" s="1"/>
  <c r="E400" i="213"/>
  <c r="F400" i="213" s="1"/>
  <c r="E395" i="213"/>
  <c r="F395" i="213" s="1"/>
  <c r="E331" i="213"/>
  <c r="F331" i="213" s="1"/>
  <c r="E601" i="213"/>
  <c r="F601" i="213" s="1"/>
  <c r="E325" i="213"/>
  <c r="F325" i="213" s="1"/>
  <c r="E150" i="213"/>
  <c r="E453" i="213"/>
  <c r="F453" i="213" s="1"/>
  <c r="E405" i="213"/>
  <c r="F405" i="213" s="1"/>
  <c r="E509" i="213"/>
  <c r="F509" i="213" s="1"/>
  <c r="E280" i="213"/>
  <c r="F280" i="213" s="1"/>
  <c r="E223" i="213"/>
  <c r="F223" i="213" s="1"/>
  <c r="E516" i="213"/>
  <c r="F516" i="213" s="1"/>
  <c r="E337" i="213"/>
  <c r="F337" i="213" s="1"/>
  <c r="E99" i="213"/>
  <c r="F99" i="213" s="1"/>
  <c r="E214" i="213"/>
  <c r="F214" i="213" s="1"/>
  <c r="E160" i="213"/>
  <c r="F160" i="213" s="1"/>
  <c r="E323" i="213"/>
  <c r="F323" i="213" s="1"/>
  <c r="E449" i="213"/>
  <c r="F449" i="213" s="1"/>
  <c r="E334" i="213"/>
  <c r="F334" i="213" s="1"/>
  <c r="E329" i="213"/>
  <c r="F329" i="213" s="1"/>
  <c r="E228" i="213"/>
  <c r="E333" i="213"/>
  <c r="F333" i="213" s="1"/>
  <c r="E262" i="213"/>
  <c r="F262" i="213" s="1"/>
  <c r="E217" i="213"/>
  <c r="E392" i="213"/>
  <c r="F392" i="213" s="1"/>
  <c r="E159" i="213"/>
  <c r="E86" i="213"/>
  <c r="F86" i="213" s="1"/>
  <c r="E572" i="213"/>
  <c r="F572" i="213" s="1"/>
  <c r="E471" i="213"/>
  <c r="F471" i="213" s="1"/>
  <c r="E576" i="213"/>
  <c r="F576" i="213" s="1"/>
  <c r="E538" i="213"/>
  <c r="E398" i="213"/>
  <c r="E393" i="213"/>
  <c r="F393" i="213" s="1"/>
  <c r="E388" i="213"/>
  <c r="F388" i="213" s="1"/>
  <c r="E263" i="213"/>
  <c r="F263" i="213" s="1"/>
  <c r="E336" i="213"/>
  <c r="E385" i="213"/>
  <c r="F385" i="213" s="1"/>
  <c r="E467" i="213"/>
  <c r="F467" i="213" s="1"/>
  <c r="E387" i="213"/>
  <c r="F387" i="213" s="1"/>
  <c r="E589" i="213"/>
  <c r="E151" i="213"/>
  <c r="F151" i="213" s="1"/>
  <c r="E104" i="213"/>
  <c r="E291" i="213"/>
  <c r="F291" i="213" s="1"/>
  <c r="E207" i="213"/>
  <c r="F207" i="213" s="1"/>
  <c r="E460" i="213"/>
  <c r="E540" i="213"/>
  <c r="F540" i="213" s="1"/>
  <c r="E462" i="213"/>
  <c r="F462" i="213" s="1"/>
  <c r="E390" i="213"/>
  <c r="F390" i="213" s="1"/>
  <c r="E533" i="213"/>
  <c r="F533" i="213" s="1"/>
  <c r="E137" i="213"/>
  <c r="F137" i="213" s="1"/>
  <c r="E635" i="213"/>
  <c r="F635" i="213" s="1"/>
  <c r="E646" i="213"/>
  <c r="E511" i="213"/>
  <c r="F511" i="213" s="1"/>
  <c r="E268" i="213"/>
  <c r="F268" i="213" s="1"/>
  <c r="E270" i="213"/>
  <c r="F270" i="213" s="1"/>
  <c r="E450" i="213"/>
  <c r="F450" i="213" s="1"/>
  <c r="E146" i="213"/>
  <c r="F146" i="213" s="1"/>
  <c r="E283" i="213"/>
  <c r="E202" i="213"/>
  <c r="F202" i="213" s="1"/>
  <c r="E266" i="213"/>
  <c r="F266" i="213" s="1"/>
  <c r="E352" i="213"/>
  <c r="E269" i="213"/>
  <c r="F269" i="213" s="1"/>
  <c r="E157" i="213"/>
  <c r="F157" i="213" s="1"/>
  <c r="E106" i="213"/>
  <c r="F106" i="213" s="1"/>
  <c r="E140" i="213"/>
  <c r="F140" i="213" s="1"/>
  <c r="E391" i="213"/>
  <c r="F391" i="213" s="1"/>
  <c r="E469" i="213"/>
  <c r="E97" i="213"/>
  <c r="E403" i="213"/>
  <c r="E279" i="213"/>
  <c r="E209" i="213"/>
  <c r="F209" i="213" s="1"/>
  <c r="E212" i="213"/>
  <c r="E326" i="213"/>
  <c r="F326" i="213" s="1"/>
  <c r="V475" i="208"/>
  <c r="AE371" i="208"/>
  <c r="V526" i="208"/>
  <c r="V314" i="208"/>
  <c r="F368" i="208"/>
  <c r="T368" i="208" s="1"/>
  <c r="F524" i="208"/>
  <c r="T524" i="208" s="1"/>
  <c r="AB340" i="208"/>
  <c r="AA345" i="208"/>
  <c r="F516" i="208"/>
  <c r="T516" i="208" s="1"/>
  <c r="AA437" i="208"/>
  <c r="V1336" i="208"/>
  <c r="V370" i="208"/>
  <c r="V472" i="208"/>
  <c r="V1051" i="208"/>
  <c r="V1378" i="208"/>
  <c r="V1485" i="208"/>
  <c r="V879" i="208"/>
  <c r="V1206" i="208"/>
  <c r="V2056" i="208"/>
  <c r="V2920" i="208"/>
  <c r="V2635" i="208"/>
  <c r="V425" i="208"/>
  <c r="V1310" i="208"/>
  <c r="V1454" i="208"/>
  <c r="F1598" i="208"/>
  <c r="T1598" i="208" s="1"/>
  <c r="V1721" i="208"/>
  <c r="V1886" i="208"/>
  <c r="F2030" i="208"/>
  <c r="T2030" i="208" s="1"/>
  <c r="F2750" i="208"/>
  <c r="T2750" i="208" s="1"/>
  <c r="F2934" i="208"/>
  <c r="T2934" i="208" s="1"/>
  <c r="F1947" i="208"/>
  <c r="T1947" i="208" s="1"/>
  <c r="V1638" i="208"/>
  <c r="V1782" i="208"/>
  <c r="F372" i="208"/>
  <c r="T372" i="208" s="1"/>
  <c r="V2096" i="208"/>
  <c r="F328" i="208"/>
  <c r="T328" i="208" s="1"/>
  <c r="AB370" i="208"/>
  <c r="AA472" i="208"/>
  <c r="F907" i="208"/>
  <c r="T907" i="208" s="1"/>
  <c r="AB949" i="208"/>
  <c r="AA1051" i="208"/>
  <c r="AA1234" i="208"/>
  <c r="AA1378" i="208"/>
  <c r="AA342" i="208"/>
  <c r="AB387" i="208"/>
  <c r="AB516" i="208"/>
  <c r="AB774" i="208"/>
  <c r="AA909" i="208"/>
  <c r="AB1023" i="208"/>
  <c r="AB1062" i="208"/>
  <c r="F1236" i="208"/>
  <c r="T1236" i="208" s="1"/>
  <c r="AB1350" i="208"/>
  <c r="F1524" i="208"/>
  <c r="T1524" i="208" s="1"/>
  <c r="AA512" i="208"/>
  <c r="AB734" i="208"/>
  <c r="AB1166" i="208"/>
  <c r="AB2245" i="208"/>
  <c r="AB2923" i="208"/>
  <c r="AA2101" i="208"/>
  <c r="AA2491" i="208"/>
  <c r="AB2056" i="208"/>
  <c r="AA2635" i="208"/>
  <c r="AA2962" i="208"/>
  <c r="V2502" i="208"/>
  <c r="AB2667" i="208"/>
  <c r="AA2964" i="208"/>
  <c r="AA2214" i="208"/>
  <c r="V2646" i="208"/>
  <c r="V2790" i="208"/>
  <c r="V2571" i="208"/>
  <c r="V2676" i="208"/>
  <c r="V2781" i="208"/>
  <c r="AB2096" i="208"/>
  <c r="AB2240" i="208"/>
  <c r="AB2297" i="208"/>
  <c r="V2384" i="208"/>
  <c r="V2585" i="208"/>
  <c r="AB2894" i="208"/>
  <c r="AB2960" i="208"/>
  <c r="AB2099" i="208"/>
  <c r="AA2816" i="208"/>
  <c r="AA1954" i="208"/>
  <c r="AE331" i="208"/>
  <c r="AE658" i="208"/>
  <c r="AE760" i="208"/>
  <c r="AF1051" i="208"/>
  <c r="AE1195" i="208"/>
  <c r="AF1339" i="208"/>
  <c r="AF1483" i="208"/>
  <c r="AE774" i="208"/>
  <c r="AE804" i="208"/>
  <c r="AE843" i="208"/>
  <c r="AF1350" i="208"/>
  <c r="AF1494" i="208"/>
  <c r="AE2488" i="208"/>
  <c r="AE2384" i="208"/>
  <c r="AE1627" i="208"/>
  <c r="AF1912" i="208"/>
  <c r="AF2344" i="208"/>
  <c r="AF2101" i="208"/>
  <c r="AE2920" i="208"/>
  <c r="AE1773" i="208"/>
  <c r="AE1947" i="208"/>
  <c r="AE2244" i="208"/>
  <c r="AE1815" i="208"/>
  <c r="AE2349" i="208"/>
  <c r="AE2667" i="208"/>
  <c r="AF2820" i="208"/>
  <c r="AF425" i="208"/>
  <c r="AF944" i="208"/>
  <c r="AF1235" i="208"/>
  <c r="AF1520" i="208"/>
  <c r="AF1955" i="208"/>
  <c r="AE2297" i="208"/>
  <c r="AE713" i="208"/>
  <c r="AE800" i="208"/>
  <c r="AE659" i="208"/>
  <c r="V516" i="208"/>
  <c r="V1192" i="208"/>
  <c r="V1062" i="208"/>
  <c r="V1341" i="208"/>
  <c r="V948" i="208"/>
  <c r="V1771" i="208"/>
  <c r="V2344" i="208"/>
  <c r="V2776" i="208"/>
  <c r="F73" i="208"/>
  <c r="T73" i="208" s="1"/>
  <c r="V368" i="208"/>
  <c r="V446" i="208"/>
  <c r="V569" i="208"/>
  <c r="V713" i="208"/>
  <c r="V734" i="208"/>
  <c r="V800" i="208"/>
  <c r="F857" i="208"/>
  <c r="T857" i="208" s="1"/>
  <c r="V1742" i="208"/>
  <c r="F2847" i="208"/>
  <c r="T2847" i="208" s="1"/>
  <c r="F1956" i="208"/>
  <c r="T1956" i="208" s="1"/>
  <c r="V1815" i="208"/>
  <c r="F2672" i="208"/>
  <c r="T2672" i="208" s="1"/>
  <c r="V1812" i="208"/>
  <c r="V2100" i="208"/>
  <c r="F342" i="208"/>
  <c r="T342" i="208" s="1"/>
  <c r="F1773" i="208"/>
  <c r="T1773" i="208" s="1"/>
  <c r="F2061" i="208"/>
  <c r="T2061" i="208" s="1"/>
  <c r="AB331" i="208"/>
  <c r="AA373" i="208"/>
  <c r="F472" i="208"/>
  <c r="T472" i="208" s="1"/>
  <c r="AB514" i="208"/>
  <c r="AA616" i="208"/>
  <c r="F1051" i="208"/>
  <c r="T1051" i="208" s="1"/>
  <c r="F1234" i="208"/>
  <c r="T1234" i="208" s="1"/>
  <c r="F1378" i="208"/>
  <c r="T1378" i="208" s="1"/>
  <c r="AB372" i="208"/>
  <c r="AA486" i="208"/>
  <c r="AA519" i="208"/>
  <c r="AA621" i="208"/>
  <c r="AA660" i="208"/>
  <c r="AA855" i="208"/>
  <c r="F909" i="208"/>
  <c r="T909" i="208" s="1"/>
  <c r="AA1341" i="208"/>
  <c r="AA1380" i="208"/>
  <c r="AB1467" i="208"/>
  <c r="AB1494" i="208"/>
  <c r="AA515" i="208"/>
  <c r="AB569" i="208"/>
  <c r="AA1915" i="208"/>
  <c r="AA2098" i="208"/>
  <c r="AA2386" i="208"/>
  <c r="F2101" i="208"/>
  <c r="T2101" i="208" s="1"/>
  <c r="F2491" i="208"/>
  <c r="T2491" i="208" s="1"/>
  <c r="AA1624" i="208"/>
  <c r="AA2203" i="208"/>
  <c r="AA2389" i="208"/>
  <c r="F2635" i="208"/>
  <c r="T2635" i="208" s="1"/>
  <c r="F2962" i="208"/>
  <c r="T2962" i="208" s="1"/>
  <c r="AA1773" i="208"/>
  <c r="AA2847" i="208"/>
  <c r="V2964" i="208"/>
  <c r="AB2559" i="208"/>
  <c r="AB2070" i="208"/>
  <c r="AB2205" i="208"/>
  <c r="AB2637" i="208"/>
  <c r="AB1664" i="208"/>
  <c r="AB1721" i="208"/>
  <c r="AB2174" i="208"/>
  <c r="AB2750" i="208"/>
  <c r="AA1808" i="208"/>
  <c r="AB2030" i="208"/>
  <c r="V2816" i="208"/>
  <c r="F1954" i="208"/>
  <c r="T1954" i="208" s="1"/>
  <c r="AB2242" i="208"/>
  <c r="AB2488" i="208"/>
  <c r="AA2818" i="208"/>
  <c r="AE370" i="208"/>
  <c r="AE472" i="208"/>
  <c r="AE661" i="208"/>
  <c r="AE763" i="208"/>
  <c r="AF477" i="208"/>
  <c r="AE630" i="208"/>
  <c r="AE660" i="208"/>
  <c r="AE1062" i="208"/>
  <c r="AF1524" i="208"/>
  <c r="AF2245" i="208"/>
  <c r="AE1768" i="208"/>
  <c r="AE2729" i="208"/>
  <c r="AF2200" i="208"/>
  <c r="AE2776" i="208"/>
  <c r="AE1812" i="208"/>
  <c r="AE1956" i="208"/>
  <c r="AE2388" i="208"/>
  <c r="AE2790" i="208"/>
  <c r="AE2441" i="208"/>
  <c r="AE2462" i="208"/>
  <c r="AE1629" i="208"/>
  <c r="AE2358" i="208"/>
  <c r="AF2964" i="208"/>
  <c r="AF371" i="208"/>
  <c r="AF1232" i="208"/>
  <c r="AF1310" i="208"/>
  <c r="AE569" i="208"/>
  <c r="AE1091" i="208"/>
  <c r="AF1811" i="208"/>
  <c r="AF2099" i="208"/>
  <c r="AF857" i="208"/>
  <c r="AE1523" i="208"/>
  <c r="AF2153" i="208"/>
  <c r="V519" i="208"/>
  <c r="V621" i="208"/>
  <c r="V1381" i="208"/>
  <c r="V1522" i="208"/>
  <c r="V1093" i="208"/>
  <c r="V949" i="208"/>
  <c r="V1071" i="208"/>
  <c r="V1350" i="208"/>
  <c r="V804" i="208"/>
  <c r="V843" i="208"/>
  <c r="V1627" i="208"/>
  <c r="V1810" i="208"/>
  <c r="V2101" i="208"/>
  <c r="V1768" i="208"/>
  <c r="V2962" i="208"/>
  <c r="V2923" i="208"/>
  <c r="V2821" i="208"/>
  <c r="F145" i="208"/>
  <c r="T145" i="208" s="1"/>
  <c r="F371" i="208"/>
  <c r="T371" i="208" s="1"/>
  <c r="F512" i="208"/>
  <c r="T512" i="208" s="1"/>
  <c r="F590" i="208"/>
  <c r="T590" i="208" s="1"/>
  <c r="F803" i="208"/>
  <c r="T803" i="208" s="1"/>
  <c r="V857" i="208"/>
  <c r="F1088" i="208"/>
  <c r="T1088" i="208" s="1"/>
  <c r="F2606" i="208"/>
  <c r="T2606" i="208" s="1"/>
  <c r="F2873" i="208"/>
  <c r="T2873" i="208" s="1"/>
  <c r="F2790" i="208"/>
  <c r="T2790" i="208" s="1"/>
  <c r="F1668" i="208"/>
  <c r="T1668" i="208" s="1"/>
  <c r="V1956" i="208"/>
  <c r="F2388" i="208"/>
  <c r="T2388" i="208" s="1"/>
  <c r="V342" i="208"/>
  <c r="V1773" i="208"/>
  <c r="V2061" i="208"/>
  <c r="F331" i="208"/>
  <c r="T331" i="208" s="1"/>
  <c r="AB373" i="208"/>
  <c r="AA475" i="208"/>
  <c r="F514" i="208"/>
  <c r="T514" i="208" s="1"/>
  <c r="AB616" i="208"/>
  <c r="AA658" i="208"/>
  <c r="AA1090" i="208"/>
  <c r="AA1237" i="208"/>
  <c r="AA1381" i="208"/>
  <c r="AB486" i="208"/>
  <c r="AB519" i="208"/>
  <c r="AB621" i="208"/>
  <c r="AB660" i="208"/>
  <c r="AB855" i="208"/>
  <c r="AA948" i="208"/>
  <c r="AB1341" i="208"/>
  <c r="AB1380" i="208"/>
  <c r="F1467" i="208"/>
  <c r="T1467" i="208" s="1"/>
  <c r="F1494" i="208"/>
  <c r="T1494" i="208" s="1"/>
  <c r="AB515" i="208"/>
  <c r="AA590" i="208"/>
  <c r="AA800" i="208"/>
  <c r="AA857" i="208"/>
  <c r="AB1915" i="208"/>
  <c r="AB2098" i="208"/>
  <c r="AB2386" i="208"/>
  <c r="AB1624" i="208"/>
  <c r="AB2203" i="208"/>
  <c r="AB2389" i="208"/>
  <c r="AA2821" i="208"/>
  <c r="AB2847" i="208"/>
  <c r="V2559" i="208"/>
  <c r="AA1917" i="208"/>
  <c r="AA2349" i="208"/>
  <c r="V2637" i="208"/>
  <c r="V2750" i="208"/>
  <c r="AB1808" i="208"/>
  <c r="AA2243" i="208"/>
  <c r="AA1667" i="208"/>
  <c r="AA1627" i="208"/>
  <c r="AA1813" i="208"/>
  <c r="F2242" i="208"/>
  <c r="T2242" i="208" s="1"/>
  <c r="F2488" i="208"/>
  <c r="T2488" i="208" s="1"/>
  <c r="AB2818" i="208"/>
  <c r="AF370" i="208"/>
  <c r="AF661" i="208"/>
  <c r="AF763" i="208"/>
  <c r="AF630" i="208"/>
  <c r="AF660" i="208"/>
  <c r="AF1062" i="208"/>
  <c r="AF1768" i="208"/>
  <c r="AE1813" i="208"/>
  <c r="AE2674" i="208"/>
  <c r="AE2779" i="208"/>
  <c r="AF2729" i="208"/>
  <c r="AF2776" i="208"/>
  <c r="AF1812" i="208"/>
  <c r="AF1956" i="208"/>
  <c r="AF2388" i="208"/>
  <c r="AF2790" i="208"/>
  <c r="AF2441" i="208"/>
  <c r="AF2462" i="208"/>
  <c r="AF1629" i="208"/>
  <c r="AF2358" i="208"/>
  <c r="AE2781" i="208"/>
  <c r="AE2847" i="208"/>
  <c r="AE446" i="208"/>
  <c r="AE734" i="208"/>
  <c r="AE1721" i="208"/>
  <c r="AE1886" i="208"/>
  <c r="AF1865" i="208"/>
  <c r="AE2096" i="208"/>
  <c r="AE2585" i="208"/>
  <c r="AF1091" i="208"/>
  <c r="AF1523" i="208"/>
  <c r="AE2174" i="208"/>
  <c r="V328" i="208"/>
  <c r="V1237" i="208"/>
  <c r="V1048" i="208"/>
  <c r="V1525" i="208"/>
  <c r="V1236" i="208"/>
  <c r="V2200" i="208"/>
  <c r="V1666" i="208"/>
  <c r="V1957" i="208"/>
  <c r="V2818" i="208"/>
  <c r="F217" i="208"/>
  <c r="T217" i="208" s="1"/>
  <c r="V371" i="208"/>
  <c r="V512" i="208"/>
  <c r="V590" i="208"/>
  <c r="V803" i="208"/>
  <c r="F878" i="208"/>
  <c r="T878" i="208" s="1"/>
  <c r="V1088" i="208"/>
  <c r="V1668" i="208"/>
  <c r="F2637" i="208"/>
  <c r="T2637" i="208" s="1"/>
  <c r="F1791" i="208"/>
  <c r="T1791" i="208" s="1"/>
  <c r="F2070" i="208"/>
  <c r="T2070" i="208" s="1"/>
  <c r="F373" i="208"/>
  <c r="T373" i="208" s="1"/>
  <c r="AB475" i="208"/>
  <c r="AA517" i="208"/>
  <c r="F616" i="208"/>
  <c r="T616" i="208" s="1"/>
  <c r="AB658" i="208"/>
  <c r="AA760" i="208"/>
  <c r="AB1090" i="208"/>
  <c r="AB1237" i="208"/>
  <c r="AB1381" i="208"/>
  <c r="F486" i="208"/>
  <c r="T486" i="208" s="1"/>
  <c r="F519" i="208"/>
  <c r="T519" i="208" s="1"/>
  <c r="F621" i="208"/>
  <c r="T621" i="208" s="1"/>
  <c r="F660" i="208"/>
  <c r="T660" i="208" s="1"/>
  <c r="F855" i="208"/>
  <c r="T855" i="208" s="1"/>
  <c r="AB948" i="208"/>
  <c r="AA1206" i="208"/>
  <c r="F1341" i="208"/>
  <c r="T1341" i="208" s="1"/>
  <c r="F1380" i="208"/>
  <c r="T1380" i="208" s="1"/>
  <c r="AA1485" i="208"/>
  <c r="AB590" i="208"/>
  <c r="AA1232" i="208"/>
  <c r="AA1376" i="208"/>
  <c r="AA1520" i="208"/>
  <c r="F1915" i="208"/>
  <c r="T1915" i="208" s="1"/>
  <c r="F2098" i="208"/>
  <c r="T2098" i="208" s="1"/>
  <c r="F2386" i="208"/>
  <c r="T2386" i="208" s="1"/>
  <c r="F1624" i="208"/>
  <c r="T1624" i="208" s="1"/>
  <c r="F2203" i="208"/>
  <c r="T2203" i="208" s="1"/>
  <c r="F2389" i="208"/>
  <c r="T2389" i="208" s="1"/>
  <c r="AB2821" i="208"/>
  <c r="AA1791" i="208"/>
  <c r="AA2388" i="208"/>
  <c r="V2847" i="208"/>
  <c r="AA1668" i="208"/>
  <c r="AA2061" i="208"/>
  <c r="AA2493" i="208"/>
  <c r="AA2532" i="208"/>
  <c r="AA2925" i="208"/>
  <c r="AA2967" i="208"/>
  <c r="AB1917" i="208"/>
  <c r="AB2349" i="208"/>
  <c r="AA2462" i="208"/>
  <c r="AA2606" i="208"/>
  <c r="AA1955" i="208"/>
  <c r="AB2243" i="208"/>
  <c r="AA2318" i="208"/>
  <c r="AA2531" i="208"/>
  <c r="AA2675" i="208"/>
  <c r="AA2729" i="208"/>
  <c r="AB1667" i="208"/>
  <c r="AB1627" i="208"/>
  <c r="AB1813" i="208"/>
  <c r="F2818" i="208"/>
  <c r="T2818" i="208" s="1"/>
  <c r="AE373" i="208"/>
  <c r="AE475" i="208"/>
  <c r="AE802" i="208"/>
  <c r="AE904" i="208"/>
  <c r="AE909" i="208"/>
  <c r="AE1092" i="208"/>
  <c r="AE1197" i="208"/>
  <c r="AE2389" i="208"/>
  <c r="AE1771" i="208"/>
  <c r="AF1813" i="208"/>
  <c r="AF2674" i="208"/>
  <c r="AF2779" i="208"/>
  <c r="AE1954" i="208"/>
  <c r="AE2965" i="208"/>
  <c r="AE1782" i="208"/>
  <c r="AE2061" i="208"/>
  <c r="AE2070" i="208"/>
  <c r="AE2571" i="208"/>
  <c r="AE2925" i="208"/>
  <c r="AE2606" i="208"/>
  <c r="AE1599" i="208"/>
  <c r="AE1668" i="208"/>
  <c r="AF2781" i="208"/>
  <c r="AF446" i="208"/>
  <c r="AF734" i="208"/>
  <c r="AF1721" i="208"/>
  <c r="AF1886" i="208"/>
  <c r="AE2531" i="208"/>
  <c r="AE656" i="208"/>
  <c r="AE947" i="208"/>
  <c r="AE1865" i="208"/>
  <c r="AF2096" i="208"/>
  <c r="AF2585" i="208"/>
  <c r="AE590" i="208"/>
  <c r="AE2960" i="208"/>
  <c r="AF2174" i="208"/>
  <c r="V658" i="208"/>
  <c r="V477" i="208"/>
  <c r="V630" i="208"/>
  <c r="V1234" i="208"/>
  <c r="V802" i="208"/>
  <c r="V1380" i="208"/>
  <c r="V909" i="208"/>
  <c r="F46" i="208"/>
  <c r="T46" i="208" s="1"/>
  <c r="F515" i="208"/>
  <c r="T515" i="208" s="1"/>
  <c r="F656" i="208"/>
  <c r="T656" i="208" s="1"/>
  <c r="V878" i="208"/>
  <c r="F1091" i="208"/>
  <c r="T1091" i="208" s="1"/>
  <c r="F1232" i="208"/>
  <c r="T1232" i="208" s="1"/>
  <c r="F1376" i="208"/>
  <c r="T1376" i="208" s="1"/>
  <c r="F1520" i="208"/>
  <c r="T1520" i="208" s="1"/>
  <c r="F2729" i="208"/>
  <c r="T2729" i="208" s="1"/>
  <c r="F1599" i="208"/>
  <c r="T1599" i="208" s="1"/>
  <c r="F2528" i="208"/>
  <c r="T2528" i="208" s="1"/>
  <c r="F1926" i="208"/>
  <c r="T1926" i="208" s="1"/>
  <c r="V1791" i="208"/>
  <c r="V2070" i="208"/>
  <c r="F2820" i="208"/>
  <c r="T2820" i="208" s="1"/>
  <c r="F2153" i="208"/>
  <c r="T2153" i="208" s="1"/>
  <c r="F2963" i="208"/>
  <c r="T2963" i="208" s="1"/>
  <c r="F2174" i="208"/>
  <c r="T2174" i="208" s="1"/>
  <c r="F2243" i="208"/>
  <c r="T2243" i="208" s="1"/>
  <c r="F475" i="208"/>
  <c r="T475" i="208" s="1"/>
  <c r="AB517" i="208"/>
  <c r="AA619" i="208"/>
  <c r="AB760" i="208"/>
  <c r="AA802" i="208"/>
  <c r="F1090" i="208"/>
  <c r="T1090" i="208" s="1"/>
  <c r="F1237" i="208"/>
  <c r="T1237" i="208" s="1"/>
  <c r="F1381" i="208"/>
  <c r="T1381" i="208" s="1"/>
  <c r="AA804" i="208"/>
  <c r="AA843" i="208"/>
  <c r="F948" i="208"/>
  <c r="T948" i="208" s="1"/>
  <c r="AA1053" i="208"/>
  <c r="AA1071" i="208"/>
  <c r="AB1206" i="208"/>
  <c r="AB1485" i="208"/>
  <c r="AA368" i="208"/>
  <c r="AA803" i="208"/>
  <c r="AA878" i="208"/>
  <c r="AA1088" i="208"/>
  <c r="AB1232" i="208"/>
  <c r="AB1376" i="208"/>
  <c r="AB1520" i="208"/>
  <c r="AA2632" i="208"/>
  <c r="AA2965" i="208"/>
  <c r="AA2920" i="208"/>
  <c r="AA1666" i="208"/>
  <c r="AA1912" i="208"/>
  <c r="F2821" i="208"/>
  <c r="T2821" i="208" s="1"/>
  <c r="AB1791" i="208"/>
  <c r="AB2388" i="208"/>
  <c r="AA2820" i="208"/>
  <c r="AA2934" i="208"/>
  <c r="AB1668" i="208"/>
  <c r="AB2061" i="208"/>
  <c r="AB2493" i="208"/>
  <c r="AB2532" i="208"/>
  <c r="AB2925" i="208"/>
  <c r="AB2967" i="208"/>
  <c r="AA1926" i="208"/>
  <c r="AA2100" i="208"/>
  <c r="AA2151" i="208"/>
  <c r="AA2358" i="208"/>
  <c r="AB2462" i="208"/>
  <c r="AB2606" i="208"/>
  <c r="AB1955" i="208"/>
  <c r="AB2318" i="208"/>
  <c r="AB2531" i="208"/>
  <c r="AB2675" i="208"/>
  <c r="AB2729" i="208"/>
  <c r="F1813" i="208"/>
  <c r="T1813" i="208" s="1"/>
  <c r="AF802" i="208"/>
  <c r="AF904" i="208"/>
  <c r="AE1090" i="208"/>
  <c r="AE1378" i="208"/>
  <c r="AE1522" i="208"/>
  <c r="AE486" i="208"/>
  <c r="AF1092" i="208"/>
  <c r="AF1197" i="208"/>
  <c r="AE1341" i="208"/>
  <c r="AE1485" i="208"/>
  <c r="AE1669" i="208"/>
  <c r="AF2389" i="208"/>
  <c r="AF1771" i="208"/>
  <c r="AE2056" i="208"/>
  <c r="AE2386" i="208"/>
  <c r="AE2677" i="208"/>
  <c r="AF1954" i="208"/>
  <c r="AE2533" i="208"/>
  <c r="AF2965" i="208"/>
  <c r="AF1782" i="208"/>
  <c r="AF2571" i="208"/>
  <c r="AF2925" i="208"/>
  <c r="AF2606" i="208"/>
  <c r="AF1599" i="208"/>
  <c r="AE2559" i="208"/>
  <c r="AF2531" i="208"/>
  <c r="AF656" i="208"/>
  <c r="AF947" i="208"/>
  <c r="AE1433" i="208"/>
  <c r="AE1952" i="208"/>
  <c r="AF2960" i="208"/>
  <c r="AE803" i="208"/>
  <c r="V661" i="208"/>
  <c r="V1480" i="208"/>
  <c r="V805" i="208"/>
  <c r="V855" i="208"/>
  <c r="V2491" i="208"/>
  <c r="V2677" i="208"/>
  <c r="V2965" i="208"/>
  <c r="F118" i="208"/>
  <c r="T118" i="208" s="1"/>
  <c r="V515" i="208"/>
  <c r="V656" i="208"/>
  <c r="F944" i="208"/>
  <c r="T944" i="208" s="1"/>
  <c r="V1091" i="208"/>
  <c r="V1376" i="208"/>
  <c r="V1520" i="208"/>
  <c r="F1952" i="208"/>
  <c r="T1952" i="208" s="1"/>
  <c r="F2318" i="208"/>
  <c r="T2318" i="208" s="1"/>
  <c r="F2462" i="208"/>
  <c r="T2462" i="208" s="1"/>
  <c r="F2559" i="208"/>
  <c r="T2559" i="208" s="1"/>
  <c r="F2646" i="208"/>
  <c r="T2646" i="208" s="1"/>
  <c r="V1599" i="208"/>
  <c r="F1917" i="208"/>
  <c r="T1917" i="208" s="1"/>
  <c r="F2205" i="208"/>
  <c r="T2205" i="208" s="1"/>
  <c r="F2349" i="208"/>
  <c r="T2349" i="208" s="1"/>
  <c r="V1926" i="208"/>
  <c r="V2153" i="208"/>
  <c r="V2243" i="208"/>
  <c r="F517" i="208"/>
  <c r="T517" i="208" s="1"/>
  <c r="AB619" i="208"/>
  <c r="AA661" i="208"/>
  <c r="F760" i="208"/>
  <c r="T760" i="208" s="1"/>
  <c r="AB802" i="208"/>
  <c r="AA1093" i="208"/>
  <c r="AA1192" i="208"/>
  <c r="AA1336" i="208"/>
  <c r="AA1480" i="208"/>
  <c r="AB804" i="208"/>
  <c r="AB843" i="208"/>
  <c r="AA918" i="208"/>
  <c r="AB1053" i="208"/>
  <c r="AB1071" i="208"/>
  <c r="F1206" i="208"/>
  <c r="T1206" i="208" s="1"/>
  <c r="F1485" i="208"/>
  <c r="T1485" i="208" s="1"/>
  <c r="AB368" i="208"/>
  <c r="AA656" i="208"/>
  <c r="AB803" i="208"/>
  <c r="AB878" i="208"/>
  <c r="AB1088" i="208"/>
  <c r="AA1235" i="208"/>
  <c r="AA1379" i="208"/>
  <c r="AA1523" i="208"/>
  <c r="AB2632" i="208"/>
  <c r="AB2965" i="208"/>
  <c r="AA2530" i="208"/>
  <c r="AB2920" i="208"/>
  <c r="AB1666" i="208"/>
  <c r="AB1912" i="208"/>
  <c r="AA2533" i="208"/>
  <c r="AA2776" i="208"/>
  <c r="AB2820" i="208"/>
  <c r="AB2934" i="208"/>
  <c r="V2493" i="208"/>
  <c r="V2532" i="208"/>
  <c r="V2925" i="208"/>
  <c r="V2967" i="208"/>
  <c r="AB1926" i="208"/>
  <c r="AB2100" i="208"/>
  <c r="AB2151" i="208"/>
  <c r="AB2358" i="208"/>
  <c r="V2675" i="208"/>
  <c r="AA2528" i="208"/>
  <c r="AA1525" i="208"/>
  <c r="AA1768" i="208"/>
  <c r="AA2059" i="208"/>
  <c r="AE514" i="208"/>
  <c r="AE805" i="208"/>
  <c r="AE907" i="208"/>
  <c r="AF1090" i="208"/>
  <c r="AE1234" i="208"/>
  <c r="AF1522" i="208"/>
  <c r="AE333" i="208"/>
  <c r="AF486" i="208"/>
  <c r="AE855" i="208"/>
  <c r="AE879" i="208"/>
  <c r="AE1071" i="208"/>
  <c r="AF1669" i="208"/>
  <c r="AE2203" i="208"/>
  <c r="AE2923" i="208"/>
  <c r="AE1666" i="208"/>
  <c r="AF2056" i="208"/>
  <c r="AF2386" i="208"/>
  <c r="AE2635" i="208"/>
  <c r="AF2677" i="208"/>
  <c r="AE2059" i="208"/>
  <c r="AF2533" i="208"/>
  <c r="AE2205" i="208"/>
  <c r="AE2894" i="208"/>
  <c r="AE2151" i="208"/>
  <c r="AE2318" i="208"/>
  <c r="AE2963" i="208"/>
  <c r="AE2637" i="208"/>
  <c r="AE2750" i="208"/>
  <c r="AE1638" i="208"/>
  <c r="AE2493" i="208"/>
  <c r="AF1433" i="208"/>
  <c r="AE1022" i="208"/>
  <c r="AF1952" i="208"/>
  <c r="V1287" i="208"/>
  <c r="V918" i="208"/>
  <c r="V1669" i="208"/>
  <c r="V2203" i="208"/>
  <c r="V2530" i="208"/>
  <c r="F190" i="208"/>
  <c r="T190" i="208" s="1"/>
  <c r="F659" i="208"/>
  <c r="T659" i="208" s="1"/>
  <c r="V944" i="208"/>
  <c r="F1001" i="208"/>
  <c r="T1001" i="208" s="1"/>
  <c r="F1235" i="208"/>
  <c r="T1235" i="208" s="1"/>
  <c r="F1379" i="208"/>
  <c r="T1379" i="208" s="1"/>
  <c r="F1523" i="208"/>
  <c r="T1523" i="208" s="1"/>
  <c r="F1664" i="208"/>
  <c r="T1664" i="208" s="1"/>
  <c r="F1808" i="208"/>
  <c r="T1808" i="208" s="1"/>
  <c r="V1952" i="208"/>
  <c r="V2318" i="208"/>
  <c r="F2571" i="208"/>
  <c r="T2571" i="208" s="1"/>
  <c r="V1917" i="208"/>
  <c r="V2205" i="208"/>
  <c r="F2493" i="208"/>
  <c r="T2493" i="208" s="1"/>
  <c r="F2240" i="208"/>
  <c r="T2240" i="208" s="1"/>
  <c r="F2819" i="208"/>
  <c r="T2819" i="208" s="1"/>
  <c r="F619" i="208"/>
  <c r="T619" i="208" s="1"/>
  <c r="AB661" i="208"/>
  <c r="AA763" i="208"/>
  <c r="AA904" i="208"/>
  <c r="AB1093" i="208"/>
  <c r="AB1192" i="208"/>
  <c r="AB1336" i="208"/>
  <c r="AB1480" i="208"/>
  <c r="AB918" i="208"/>
  <c r="F1053" i="208"/>
  <c r="T1053" i="208" s="1"/>
  <c r="F1071" i="208"/>
  <c r="T1071" i="208" s="1"/>
  <c r="AA1197" i="208"/>
  <c r="AA1287" i="208"/>
  <c r="AA371" i="208"/>
  <c r="AA425" i="208"/>
  <c r="AA944" i="208"/>
  <c r="AA1091" i="208"/>
  <c r="AB1235" i="208"/>
  <c r="AB1379" i="208"/>
  <c r="AB1523" i="208"/>
  <c r="F2632" i="208"/>
  <c r="T2632" i="208" s="1"/>
  <c r="AB2530" i="208"/>
  <c r="F1666" i="208"/>
  <c r="T1666" i="208" s="1"/>
  <c r="F1912" i="208"/>
  <c r="T1912" i="208" s="1"/>
  <c r="AB2533" i="208"/>
  <c r="AB2776" i="208"/>
  <c r="V2820" i="208"/>
  <c r="V2934" i="208"/>
  <c r="AA1782" i="208"/>
  <c r="AB1956" i="208"/>
  <c r="AA1577" i="208"/>
  <c r="AA1742" i="208"/>
  <c r="AA2672" i="208"/>
  <c r="AA2963" i="208"/>
  <c r="AA1811" i="208"/>
  <c r="AB2528" i="208"/>
  <c r="AB1525" i="208"/>
  <c r="AB1768" i="208"/>
  <c r="AB2059" i="208"/>
  <c r="AA2200" i="208"/>
  <c r="AA2344" i="208"/>
  <c r="AF514" i="208"/>
  <c r="AE616" i="208"/>
  <c r="AF805" i="208"/>
  <c r="AF907" i="208"/>
  <c r="AE1093" i="208"/>
  <c r="AE1381" i="208"/>
  <c r="AE1525" i="208"/>
  <c r="AF333" i="208"/>
  <c r="AE516" i="208"/>
  <c r="AF879" i="208"/>
  <c r="AE1467" i="208"/>
  <c r="AE1624" i="208"/>
  <c r="AE2347" i="208"/>
  <c r="AF2923" i="208"/>
  <c r="AE1957" i="208"/>
  <c r="AE2962" i="208"/>
  <c r="AF2059" i="208"/>
  <c r="AE2242" i="208"/>
  <c r="AE2491" i="208"/>
  <c r="AF2894" i="208"/>
  <c r="AF2151" i="208"/>
  <c r="AF2963" i="208"/>
  <c r="AF1638" i="208"/>
  <c r="AE2646" i="208"/>
  <c r="AE1001" i="208"/>
  <c r="AE1742" i="208"/>
  <c r="AF2009" i="208"/>
  <c r="AE1454" i="208"/>
  <c r="AF1022" i="208"/>
  <c r="AE1145" i="208"/>
  <c r="AE1379" i="208"/>
  <c r="AE878" i="208"/>
  <c r="AE2675" i="208"/>
  <c r="V616" i="208"/>
  <c r="V765" i="208"/>
  <c r="V2059" i="208"/>
  <c r="V2242" i="208"/>
  <c r="V2533" i="208"/>
  <c r="F262" i="208"/>
  <c r="T262" i="208" s="1"/>
  <c r="V659" i="208"/>
  <c r="F947" i="208"/>
  <c r="T947" i="208" s="1"/>
  <c r="V1001" i="208"/>
  <c r="F1145" i="208"/>
  <c r="T1145" i="208" s="1"/>
  <c r="V1235" i="208"/>
  <c r="V1379" i="208"/>
  <c r="V1664" i="208"/>
  <c r="V1808" i="208"/>
  <c r="F1955" i="208"/>
  <c r="T1955" i="208" s="1"/>
  <c r="F2384" i="208"/>
  <c r="T2384" i="208" s="1"/>
  <c r="F2585" i="208"/>
  <c r="T2585" i="208" s="1"/>
  <c r="F2214" i="208"/>
  <c r="T2214" i="208" s="1"/>
  <c r="F2960" i="208"/>
  <c r="T2960" i="208" s="1"/>
  <c r="V2240" i="208"/>
  <c r="AB763" i="208"/>
  <c r="AA805" i="208"/>
  <c r="AB904" i="208"/>
  <c r="AA946" i="208"/>
  <c r="F1093" i="208"/>
  <c r="T1093" i="208" s="1"/>
  <c r="F1192" i="208"/>
  <c r="T1192" i="208" s="1"/>
  <c r="F1336" i="208"/>
  <c r="T1336" i="208" s="1"/>
  <c r="F1480" i="208"/>
  <c r="T1480" i="208" s="1"/>
  <c r="AA333" i="208"/>
  <c r="AA477" i="208"/>
  <c r="AA630" i="208"/>
  <c r="AA765" i="208"/>
  <c r="F918" i="208"/>
  <c r="T918" i="208" s="1"/>
  <c r="AA1092" i="208"/>
  <c r="AB1197" i="208"/>
  <c r="AB1287" i="208"/>
  <c r="AB425" i="208"/>
  <c r="AA659" i="208"/>
  <c r="AA713" i="208"/>
  <c r="AB944" i="208"/>
  <c r="AA1001" i="208"/>
  <c r="AA1289" i="208"/>
  <c r="AA1433" i="208"/>
  <c r="AA1669" i="208"/>
  <c r="AA1771" i="208"/>
  <c r="AA1957" i="208"/>
  <c r="F2530" i="208"/>
  <c r="T2530" i="208" s="1"/>
  <c r="AA1522" i="208"/>
  <c r="AA1810" i="208"/>
  <c r="AA1815" i="208"/>
  <c r="AA1947" i="208"/>
  <c r="AA2244" i="208"/>
  <c r="AA1629" i="208"/>
  <c r="AA1812" i="208"/>
  <c r="AB1782" i="208"/>
  <c r="AB1577" i="208"/>
  <c r="AB1742" i="208"/>
  <c r="AB2672" i="208"/>
  <c r="AA1865" i="208"/>
  <c r="AA2819" i="208"/>
  <c r="AA2441" i="208"/>
  <c r="AB2963" i="208"/>
  <c r="AB1811" i="208"/>
  <c r="AA2387" i="208"/>
  <c r="V2528" i="208"/>
  <c r="F1525" i="208"/>
  <c r="T1525" i="208" s="1"/>
  <c r="AB2200" i="208"/>
  <c r="AB2344" i="208"/>
  <c r="AA2779" i="208"/>
  <c r="AE517" i="208"/>
  <c r="AE946" i="208"/>
  <c r="AE1237" i="208"/>
  <c r="AE387" i="208"/>
  <c r="AF516" i="208"/>
  <c r="AE918" i="208"/>
  <c r="AE1236" i="208"/>
  <c r="AF1467" i="208"/>
  <c r="AF1624" i="208"/>
  <c r="AF2347" i="208"/>
  <c r="AE2530" i="208"/>
  <c r="AE2818" i="208"/>
  <c r="AE2816" i="208"/>
  <c r="AF1957" i="208"/>
  <c r="AE1791" i="208"/>
  <c r="AE1926" i="208"/>
  <c r="AE2214" i="208"/>
  <c r="AE2676" i="208"/>
  <c r="AE1287" i="208"/>
  <c r="AE2240" i="208"/>
  <c r="AE2502" i="208"/>
  <c r="AF2646" i="208"/>
  <c r="AF1001" i="208"/>
  <c r="AE2009" i="208"/>
  <c r="AF1454" i="208"/>
  <c r="AE515" i="208"/>
  <c r="AF1145" i="208"/>
  <c r="AE1376" i="208"/>
  <c r="AE1667" i="208"/>
  <c r="AF2675" i="208"/>
  <c r="V517" i="208"/>
  <c r="V619" i="208"/>
  <c r="V1195" i="208"/>
  <c r="V1339" i="208"/>
  <c r="V774" i="208"/>
  <c r="V2347" i="208"/>
  <c r="V2245" i="208"/>
  <c r="V947" i="208"/>
  <c r="F1022" i="208"/>
  <c r="T1022" i="208" s="1"/>
  <c r="V1145" i="208"/>
  <c r="F1289" i="208"/>
  <c r="T1289" i="208" s="1"/>
  <c r="F1433" i="208"/>
  <c r="T1433" i="208" s="1"/>
  <c r="F1667" i="208"/>
  <c r="T1667" i="208" s="1"/>
  <c r="F1811" i="208"/>
  <c r="T1811" i="208" s="1"/>
  <c r="F1865" i="208"/>
  <c r="T1865" i="208" s="1"/>
  <c r="V1955" i="208"/>
  <c r="F2894" i="208"/>
  <c r="T2894" i="208" s="1"/>
  <c r="F2502" i="208"/>
  <c r="T2502" i="208" s="1"/>
  <c r="V2214" i="208"/>
  <c r="F1629" i="208"/>
  <c r="T1629" i="208" s="1"/>
  <c r="F2151" i="208"/>
  <c r="T2151" i="208" s="1"/>
  <c r="F2532" i="208"/>
  <c r="T2532" i="208" s="1"/>
  <c r="F763" i="208"/>
  <c r="T763" i="208" s="1"/>
  <c r="AB805" i="208"/>
  <c r="AB946" i="208"/>
  <c r="AA1048" i="208"/>
  <c r="AA1195" i="208"/>
  <c r="AA1339" i="208"/>
  <c r="AA1483" i="208"/>
  <c r="AB333" i="208"/>
  <c r="AB477" i="208"/>
  <c r="AB630" i="208"/>
  <c r="AB765" i="208"/>
  <c r="AA879" i="208"/>
  <c r="AB1092" i="208"/>
  <c r="F1287" i="208"/>
  <c r="T1287" i="208" s="1"/>
  <c r="AA446" i="208"/>
  <c r="AA947" i="208"/>
  <c r="AA1145" i="208"/>
  <c r="AB1289" i="208"/>
  <c r="AB1433" i="208"/>
  <c r="AB1669" i="208"/>
  <c r="AB1771" i="208"/>
  <c r="AB1957" i="208"/>
  <c r="AA2347" i="208"/>
  <c r="AA2674" i="208"/>
  <c r="AB1522" i="208"/>
  <c r="AB1810" i="208"/>
  <c r="AA2677" i="208"/>
  <c r="AB2244" i="208"/>
  <c r="AB1629" i="208"/>
  <c r="AA1599" i="208"/>
  <c r="AA1598" i="208"/>
  <c r="AA1886" i="208"/>
  <c r="AA2153" i="208"/>
  <c r="V2672" i="208"/>
  <c r="AB1865" i="208"/>
  <c r="AB2819" i="208"/>
  <c r="AB2441" i="208"/>
  <c r="AA1952" i="208"/>
  <c r="AA2009" i="208"/>
  <c r="AB2387" i="208"/>
  <c r="AA2873" i="208"/>
  <c r="F2344" i="208"/>
  <c r="T2344" i="208" s="1"/>
  <c r="AB2779" i="208"/>
  <c r="AE619" i="208"/>
  <c r="AF946" i="208"/>
  <c r="AE1048" i="208"/>
  <c r="AE1336" i="208"/>
  <c r="AE1480" i="208"/>
  <c r="AF387" i="208"/>
  <c r="AE519" i="208"/>
  <c r="AE621" i="208"/>
  <c r="AF1236" i="208"/>
  <c r="AE1380" i="208"/>
  <c r="AE1810" i="208"/>
  <c r="AF2816" i="208"/>
  <c r="AF2676" i="208"/>
  <c r="AF2240" i="208"/>
  <c r="AF2502" i="208"/>
  <c r="AE1598" i="208"/>
  <c r="AE512" i="208"/>
  <c r="AE1289" i="208"/>
  <c r="AE1577" i="208"/>
  <c r="AE1808" i="208"/>
  <c r="AE1166" i="208"/>
  <c r="AE1664" i="208"/>
  <c r="AE1088" i="208"/>
  <c r="AF1667" i="208"/>
  <c r="AE2243" i="208"/>
  <c r="AE2387" i="208"/>
  <c r="V907" i="208"/>
  <c r="V1023" i="208"/>
  <c r="V1494" i="208"/>
  <c r="V1912" i="208"/>
  <c r="V2098" i="208"/>
  <c r="V2674" i="208"/>
  <c r="V1022" i="208"/>
  <c r="F1166" i="208"/>
  <c r="T1166" i="208" s="1"/>
  <c r="V1289" i="208"/>
  <c r="F1577" i="208"/>
  <c r="T1577" i="208" s="1"/>
  <c r="F2009" i="208"/>
  <c r="T2009" i="208" s="1"/>
  <c r="F2099" i="208"/>
  <c r="T2099" i="208" s="1"/>
  <c r="F2387" i="208"/>
  <c r="T2387" i="208" s="1"/>
  <c r="F2967" i="208"/>
  <c r="T2967" i="208" s="1"/>
  <c r="F2244" i="208"/>
  <c r="T2244" i="208" s="1"/>
  <c r="F2297" i="208"/>
  <c r="T2297" i="208" s="1"/>
  <c r="F333" i="208"/>
  <c r="T333" i="208" s="1"/>
  <c r="F387" i="208"/>
  <c r="T387" i="208" s="1"/>
  <c r="AA328" i="208"/>
  <c r="AA907" i="208"/>
  <c r="AB1048" i="208"/>
  <c r="AB1195" i="208"/>
  <c r="AB1339" i="208"/>
  <c r="AB1483" i="208"/>
  <c r="F765" i="208"/>
  <c r="T765" i="208" s="1"/>
  <c r="AB879" i="208"/>
  <c r="AA1236" i="208"/>
  <c r="AA1524" i="208"/>
  <c r="AA1022" i="208"/>
  <c r="AA1310" i="208"/>
  <c r="AA1454" i="208"/>
  <c r="AB2347" i="208"/>
  <c r="AB2674" i="208"/>
  <c r="F1810" i="208"/>
  <c r="T1810" i="208" s="1"/>
  <c r="AB2677" i="208"/>
  <c r="AA2502" i="208"/>
  <c r="AA1638" i="208"/>
  <c r="AA2646" i="208"/>
  <c r="AA2790" i="208"/>
  <c r="AA2571" i="208"/>
  <c r="AA2676" i="208"/>
  <c r="AA2781" i="208"/>
  <c r="AB1598" i="208"/>
  <c r="AB1886" i="208"/>
  <c r="AA2384" i="208"/>
  <c r="AA2585" i="208"/>
  <c r="V2819" i="208"/>
  <c r="V2441" i="208"/>
  <c r="AB2009" i="208"/>
  <c r="AB2873" i="208"/>
  <c r="AE328" i="208"/>
  <c r="AE949" i="208"/>
  <c r="AF1048" i="208"/>
  <c r="AE1192" i="208"/>
  <c r="AE342" i="208"/>
  <c r="AE372" i="208"/>
  <c r="AE765" i="208"/>
  <c r="AE948" i="208"/>
  <c r="AE1023" i="208"/>
  <c r="AE1053" i="208"/>
  <c r="AE1206" i="208"/>
  <c r="AE2098" i="208"/>
  <c r="AF1915" i="208"/>
  <c r="AE2632" i="208"/>
  <c r="AE2821" i="208"/>
  <c r="AE2934" i="208"/>
  <c r="AE2967" i="208"/>
  <c r="AE2819" i="208"/>
  <c r="AE1917" i="208"/>
  <c r="AE2100" i="208"/>
  <c r="AE2532" i="208"/>
  <c r="AE2528" i="208"/>
  <c r="AE2672" i="208"/>
  <c r="AE2030" i="208"/>
  <c r="AE368" i="208"/>
  <c r="AF1577" i="208"/>
  <c r="AE2873" i="208"/>
  <c r="AF1166" i="208"/>
  <c r="AF2387" i="208"/>
  <c r="V1483" i="208"/>
  <c r="V2632" i="208"/>
  <c r="F425" i="208"/>
  <c r="T425" i="208" s="1"/>
  <c r="V1166" i="208"/>
  <c r="F1310" i="208"/>
  <c r="T1310" i="208" s="1"/>
  <c r="F1454" i="208"/>
  <c r="T1454" i="208" s="1"/>
  <c r="V2099" i="208"/>
  <c r="F1638" i="208"/>
  <c r="T1638" i="208" s="1"/>
  <c r="V387" i="208"/>
  <c r="F2096" i="208"/>
  <c r="T2096" i="208" s="1"/>
  <c r="AB328" i="208"/>
  <c r="AA949" i="208"/>
  <c r="F1339" i="208"/>
  <c r="T1339" i="208" s="1"/>
  <c r="F1483" i="208"/>
  <c r="T1483" i="208" s="1"/>
  <c r="AA1023" i="208"/>
  <c r="AA1350" i="208"/>
  <c r="V2873" i="208"/>
  <c r="AB417" i="208"/>
  <c r="V1033" i="208"/>
  <c r="F313" i="208"/>
  <c r="T313" i="208" s="1"/>
  <c r="F455" i="208"/>
  <c r="T455" i="208" s="1"/>
  <c r="F988" i="208"/>
  <c r="T988" i="208" s="1"/>
  <c r="AA386" i="208"/>
  <c r="V993" i="208"/>
  <c r="V1002" i="208"/>
  <c r="AA457" i="208"/>
  <c r="AB599" i="208"/>
  <c r="F653" i="208"/>
  <c r="T653" i="208" s="1"/>
  <c r="V417" i="208"/>
  <c r="AF559" i="208"/>
  <c r="AA302" i="208"/>
  <c r="AB598" i="208"/>
  <c r="AF456" i="208"/>
  <c r="F993" i="208"/>
  <c r="T993" i="208" s="1"/>
  <c r="AF886" i="208"/>
  <c r="V308" i="208"/>
  <c r="AA509" i="208"/>
  <c r="V567" i="208"/>
  <c r="V1420" i="208"/>
  <c r="V2182" i="208"/>
  <c r="V2905" i="208"/>
  <c r="F311" i="208"/>
  <c r="T311" i="208" s="1"/>
  <c r="V455" i="208"/>
  <c r="V653" i="208"/>
  <c r="F884" i="208"/>
  <c r="T884" i="208" s="1"/>
  <c r="V1106" i="208"/>
  <c r="V1175" i="208"/>
  <c r="V1538" i="208"/>
  <c r="V1607" i="208"/>
  <c r="V1892" i="208"/>
  <c r="F2690" i="208"/>
  <c r="T2690" i="208" s="1"/>
  <c r="F1611" i="208"/>
  <c r="T1611" i="208" s="1"/>
  <c r="F1722" i="208"/>
  <c r="T1722" i="208" s="1"/>
  <c r="F1857" i="208"/>
  <c r="T1857" i="208" s="1"/>
  <c r="F1923" i="208"/>
  <c r="T1923" i="208" s="1"/>
  <c r="F2007" i="208"/>
  <c r="T2007" i="208" s="1"/>
  <c r="F2900" i="208"/>
  <c r="T2900" i="208" s="1"/>
  <c r="V2154" i="208"/>
  <c r="F2577" i="208"/>
  <c r="T2577" i="208" s="1"/>
  <c r="F327" i="208"/>
  <c r="T327" i="208" s="1"/>
  <c r="F2904" i="208"/>
  <c r="T2904" i="208" s="1"/>
  <c r="AB302" i="208"/>
  <c r="AB457" i="208"/>
  <c r="F598" i="208"/>
  <c r="T598" i="208" s="1"/>
  <c r="AA742" i="208"/>
  <c r="F847" i="208"/>
  <c r="T847" i="208" s="1"/>
  <c r="AA991" i="208"/>
  <c r="AA312" i="208"/>
  <c r="AA1281" i="208"/>
  <c r="AA1320" i="208"/>
  <c r="AB386" i="208"/>
  <c r="AB509" i="208"/>
  <c r="AA740" i="208"/>
  <c r="AB1085" i="208"/>
  <c r="AB1172" i="208"/>
  <c r="AB2140" i="208"/>
  <c r="AA2470" i="208"/>
  <c r="AB2575" i="208"/>
  <c r="AB2716" i="208"/>
  <c r="AB2860" i="208"/>
  <c r="AB2586" i="208"/>
  <c r="AB1722" i="208"/>
  <c r="AB1608" i="208"/>
  <c r="AB2036" i="208"/>
  <c r="V2759" i="208"/>
  <c r="F2185" i="208"/>
  <c r="T2185" i="208" s="1"/>
  <c r="AB2758" i="208"/>
  <c r="F2863" i="208"/>
  <c r="T2863" i="208" s="1"/>
  <c r="AE310" i="208"/>
  <c r="AF889" i="208"/>
  <c r="AF1321" i="208"/>
  <c r="AF705" i="208"/>
  <c r="AF888" i="208"/>
  <c r="AE2326" i="208"/>
  <c r="AE2758" i="208"/>
  <c r="AF2904" i="208"/>
  <c r="AF1028" i="208"/>
  <c r="V1567" i="208"/>
  <c r="V884" i="208"/>
  <c r="F1028" i="208"/>
  <c r="T1028" i="208" s="1"/>
  <c r="F1373" i="208"/>
  <c r="T1373" i="208" s="1"/>
  <c r="F1460" i="208"/>
  <c r="T1460" i="208" s="1"/>
  <c r="F1805" i="208"/>
  <c r="T1805" i="208" s="1"/>
  <c r="F1895" i="208"/>
  <c r="T1895" i="208" s="1"/>
  <c r="F302" i="208"/>
  <c r="T302" i="208" s="1"/>
  <c r="F2669" i="208"/>
  <c r="T2669" i="208" s="1"/>
  <c r="F2874" i="208"/>
  <c r="T2874" i="208" s="1"/>
  <c r="V1611" i="208"/>
  <c r="V1857" i="208"/>
  <c r="V2007" i="208"/>
  <c r="F2001" i="208"/>
  <c r="T2001" i="208" s="1"/>
  <c r="F2175" i="208"/>
  <c r="T2175" i="208" s="1"/>
  <c r="V327" i="208"/>
  <c r="F2114" i="208"/>
  <c r="T2114" i="208" s="1"/>
  <c r="F2183" i="208"/>
  <c r="T2183" i="208" s="1"/>
  <c r="AA412" i="208"/>
  <c r="F457" i="208"/>
  <c r="T457" i="208" s="1"/>
  <c r="AA601" i="208"/>
  <c r="AB742" i="208"/>
  <c r="AB991" i="208"/>
  <c r="AA1174" i="208"/>
  <c r="AA1276" i="208"/>
  <c r="AA1318" i="208"/>
  <c r="AA1420" i="208"/>
  <c r="AA1462" i="208"/>
  <c r="AB312" i="208"/>
  <c r="AA567" i="208"/>
  <c r="AA579" i="208"/>
  <c r="AA600" i="208"/>
  <c r="AA711" i="208"/>
  <c r="AA744" i="208"/>
  <c r="AB1281" i="208"/>
  <c r="AB1320" i="208"/>
  <c r="AA653" i="208"/>
  <c r="AB740" i="208"/>
  <c r="AA1106" i="208"/>
  <c r="AA1175" i="208"/>
  <c r="AA1373" i="208"/>
  <c r="AA1460" i="208"/>
  <c r="AA1852" i="208"/>
  <c r="AA1894" i="208"/>
  <c r="AA2284" i="208"/>
  <c r="AA2326" i="208"/>
  <c r="F2140" i="208"/>
  <c r="T2140" i="208" s="1"/>
  <c r="AB2470" i="208"/>
  <c r="F2716" i="208"/>
  <c r="T2716" i="208" s="1"/>
  <c r="AA1713" i="208"/>
  <c r="V2586" i="208"/>
  <c r="AA2145" i="208"/>
  <c r="AA2355" i="208"/>
  <c r="V2823" i="208"/>
  <c r="AA2093" i="208"/>
  <c r="F2758" i="208"/>
  <c r="T2758" i="208" s="1"/>
  <c r="AF310" i="208"/>
  <c r="AF991" i="208"/>
  <c r="AF1135" i="208"/>
  <c r="AF1462" i="208"/>
  <c r="AF1137" i="208"/>
  <c r="AE2183" i="208"/>
  <c r="AF2289" i="208"/>
  <c r="AE1970" i="208"/>
  <c r="AE941" i="208"/>
  <c r="AF1394" i="208"/>
  <c r="F509" i="208"/>
  <c r="T509" i="208" s="1"/>
  <c r="F530" i="208"/>
  <c r="T530" i="208" s="1"/>
  <c r="F674" i="208"/>
  <c r="T674" i="208" s="1"/>
  <c r="F740" i="208"/>
  <c r="T740" i="208" s="1"/>
  <c r="V530" i="208"/>
  <c r="V674" i="208"/>
  <c r="V740" i="208"/>
  <c r="F887" i="208"/>
  <c r="T887" i="208" s="1"/>
  <c r="V1028" i="208"/>
  <c r="V1373" i="208"/>
  <c r="V1460" i="208"/>
  <c r="V1805" i="208"/>
  <c r="F2546" i="208"/>
  <c r="T2546" i="208" s="1"/>
  <c r="F1623" i="208"/>
  <c r="T1623" i="208" s="1"/>
  <c r="F1752" i="208"/>
  <c r="T1752" i="208" s="1"/>
  <c r="V2001" i="208"/>
  <c r="V2175" i="208"/>
  <c r="F423" i="208"/>
  <c r="T423" i="208" s="1"/>
  <c r="F2010" i="208"/>
  <c r="T2010" i="208" s="1"/>
  <c r="V2114" i="208"/>
  <c r="AB412" i="208"/>
  <c r="AB601" i="208"/>
  <c r="F742" i="208"/>
  <c r="T742" i="208" s="1"/>
  <c r="AA886" i="208"/>
  <c r="F991" i="208"/>
  <c r="T991" i="208" s="1"/>
  <c r="AB1174" i="208"/>
  <c r="AB1276" i="208"/>
  <c r="AB1318" i="208"/>
  <c r="AB1420" i="208"/>
  <c r="AB1462" i="208"/>
  <c r="AA423" i="208"/>
  <c r="AB567" i="208"/>
  <c r="AB579" i="208"/>
  <c r="AB600" i="208"/>
  <c r="AB711" i="208"/>
  <c r="AB744" i="208"/>
  <c r="AA888" i="208"/>
  <c r="F1281" i="208"/>
  <c r="T1281" i="208" s="1"/>
  <c r="F1320" i="208"/>
  <c r="T1320" i="208" s="1"/>
  <c r="AA530" i="208"/>
  <c r="AA743" i="208"/>
  <c r="AA884" i="208"/>
  <c r="AB1373" i="208"/>
  <c r="AB1460" i="208"/>
  <c r="AB1852" i="208"/>
  <c r="AB1894" i="208"/>
  <c r="AB2284" i="208"/>
  <c r="AB2326" i="208"/>
  <c r="F2470" i="208"/>
  <c r="T2470" i="208" s="1"/>
  <c r="AB1713" i="208"/>
  <c r="AA2154" i="208"/>
  <c r="AB2040" i="208"/>
  <c r="AB2145" i="208"/>
  <c r="AB2355" i="208"/>
  <c r="AA2298" i="208"/>
  <c r="AB1607" i="208"/>
  <c r="AF313" i="208"/>
  <c r="AE742" i="208"/>
  <c r="AF1465" i="208"/>
  <c r="AF579" i="208"/>
  <c r="AF993" i="208"/>
  <c r="AF1290" i="208"/>
  <c r="AF1855" i="208"/>
  <c r="AF2001" i="208"/>
  <c r="AF2586" i="208"/>
  <c r="AF1866" i="208"/>
  <c r="AF2874" i="208"/>
  <c r="AE1031" i="208"/>
  <c r="AE1229" i="208"/>
  <c r="V886" i="208"/>
  <c r="V1290" i="208"/>
  <c r="V744" i="208"/>
  <c r="V888" i="208"/>
  <c r="V2041" i="208"/>
  <c r="V2431" i="208"/>
  <c r="V1711" i="208"/>
  <c r="F365" i="208"/>
  <c r="T365" i="208" s="1"/>
  <c r="F386" i="208"/>
  <c r="T386" i="208" s="1"/>
  <c r="F743" i="208"/>
  <c r="T743" i="208" s="1"/>
  <c r="F797" i="208"/>
  <c r="T797" i="208" s="1"/>
  <c r="V887" i="208"/>
  <c r="F1031" i="208"/>
  <c r="T1031" i="208" s="1"/>
  <c r="F1394" i="208"/>
  <c r="T1394" i="208" s="1"/>
  <c r="F1463" i="208"/>
  <c r="T1463" i="208" s="1"/>
  <c r="F1826" i="208"/>
  <c r="T1826" i="208" s="1"/>
  <c r="F2525" i="208"/>
  <c r="T2525" i="208" s="1"/>
  <c r="F2730" i="208"/>
  <c r="T2730" i="208" s="1"/>
  <c r="V1623" i="208"/>
  <c r="F2184" i="208"/>
  <c r="T2184" i="208" s="1"/>
  <c r="V423" i="208"/>
  <c r="V2010" i="208"/>
  <c r="F2258" i="208"/>
  <c r="T2258" i="208" s="1"/>
  <c r="F412" i="208"/>
  <c r="T412" i="208" s="1"/>
  <c r="AA556" i="208"/>
  <c r="F601" i="208"/>
  <c r="T601" i="208" s="1"/>
  <c r="AA745" i="208"/>
  <c r="AB886" i="208"/>
  <c r="F1174" i="208"/>
  <c r="T1174" i="208" s="1"/>
  <c r="F1318" i="208"/>
  <c r="T1318" i="208" s="1"/>
  <c r="F1462" i="208"/>
  <c r="T1462" i="208" s="1"/>
  <c r="AB423" i="208"/>
  <c r="F567" i="208"/>
  <c r="T567" i="208" s="1"/>
  <c r="F579" i="208"/>
  <c r="T579" i="208" s="1"/>
  <c r="F600" i="208"/>
  <c r="T600" i="208" s="1"/>
  <c r="F711" i="208"/>
  <c r="T711" i="208" s="1"/>
  <c r="F744" i="208"/>
  <c r="T744" i="208" s="1"/>
  <c r="AB888" i="208"/>
  <c r="AA975" i="208"/>
  <c r="AA1146" i="208"/>
  <c r="AA1176" i="208"/>
  <c r="AA674" i="208"/>
  <c r="AB743" i="208"/>
  <c r="AA1028" i="208"/>
  <c r="AA1394" i="208"/>
  <c r="AA1463" i="208"/>
  <c r="F1852" i="208"/>
  <c r="T1852" i="208" s="1"/>
  <c r="F1894" i="208"/>
  <c r="T1894" i="208" s="1"/>
  <c r="F2284" i="208"/>
  <c r="T2284" i="208" s="1"/>
  <c r="F2326" i="208"/>
  <c r="T2326" i="208" s="1"/>
  <c r="AB1564" i="208"/>
  <c r="AA2577" i="208"/>
  <c r="AB2298" i="208"/>
  <c r="AA2834" i="208"/>
  <c r="AB2039" i="208"/>
  <c r="AF415" i="208"/>
  <c r="AF742" i="208"/>
  <c r="AF687" i="208"/>
  <c r="AF711" i="208"/>
  <c r="AF975" i="208"/>
  <c r="AE2284" i="208"/>
  <c r="AE2237" i="208"/>
  <c r="AE2813" i="208"/>
  <c r="AF2007" i="208"/>
  <c r="AF2721" i="208"/>
  <c r="V311" i="208"/>
  <c r="V1174" i="208"/>
  <c r="V1320" i="208"/>
  <c r="V1137" i="208"/>
  <c r="V889" i="208"/>
  <c r="V1095" i="208"/>
  <c r="V2470" i="208"/>
  <c r="V2617" i="208"/>
  <c r="V365" i="208"/>
  <c r="V743" i="208"/>
  <c r="V797" i="208"/>
  <c r="F941" i="208"/>
  <c r="T941" i="208" s="1"/>
  <c r="V1031" i="208"/>
  <c r="V1394" i="208"/>
  <c r="V1463" i="208"/>
  <c r="F2612" i="208"/>
  <c r="T2612" i="208" s="1"/>
  <c r="V2184" i="208"/>
  <c r="F426" i="208"/>
  <c r="T426" i="208" s="1"/>
  <c r="F1608" i="208"/>
  <c r="T1608" i="208" s="1"/>
  <c r="F2289" i="208"/>
  <c r="T2289" i="208" s="1"/>
  <c r="V2258" i="208"/>
  <c r="AA415" i="208"/>
  <c r="AB556" i="208"/>
  <c r="AB745" i="208"/>
  <c r="F886" i="208"/>
  <c r="T886" i="208" s="1"/>
  <c r="AA1030" i="208"/>
  <c r="AA1132" i="208"/>
  <c r="AA1177" i="208"/>
  <c r="AA1279" i="208"/>
  <c r="AA1321" i="208"/>
  <c r="AA1423" i="208"/>
  <c r="AA1465" i="208"/>
  <c r="AA426" i="208"/>
  <c r="AA570" i="208"/>
  <c r="AA687" i="208"/>
  <c r="AA714" i="208"/>
  <c r="AA858" i="208"/>
  <c r="AB975" i="208"/>
  <c r="AA1032" i="208"/>
  <c r="AA1095" i="208"/>
  <c r="AA1107" i="208"/>
  <c r="AB1146" i="208"/>
  <c r="AB1176" i="208"/>
  <c r="AA308" i="208"/>
  <c r="AA887" i="208"/>
  <c r="AB1463" i="208"/>
  <c r="AA2329" i="208"/>
  <c r="AB2431" i="208"/>
  <c r="AA2175" i="208"/>
  <c r="AB2307" i="208"/>
  <c r="AB2433" i="208"/>
  <c r="AB1682" i="208"/>
  <c r="AA2402" i="208"/>
  <c r="AF745" i="208"/>
  <c r="AF1279" i="208"/>
  <c r="AF1434" i="208"/>
  <c r="AF1999" i="208"/>
  <c r="AE1750" i="208"/>
  <c r="AF2730" i="208"/>
  <c r="AF1949" i="208"/>
  <c r="V1279" i="208"/>
  <c r="V1464" i="208"/>
  <c r="V1609" i="208"/>
  <c r="V687" i="208"/>
  <c r="V745" i="208"/>
  <c r="V844" i="208"/>
  <c r="V1107" i="208"/>
  <c r="V705" i="208"/>
  <c r="V849" i="208"/>
  <c r="F818" i="208"/>
  <c r="T818" i="208" s="1"/>
  <c r="V941" i="208"/>
  <c r="F1229" i="208"/>
  <c r="T1229" i="208" s="1"/>
  <c r="F1316" i="208"/>
  <c r="T1316" i="208" s="1"/>
  <c r="F1661" i="208"/>
  <c r="T1661" i="208" s="1"/>
  <c r="F1748" i="208"/>
  <c r="T1748" i="208" s="1"/>
  <c r="V426" i="208"/>
  <c r="V2289" i="208"/>
  <c r="F2471" i="208"/>
  <c r="T2471" i="208" s="1"/>
  <c r="AB415" i="208"/>
  <c r="F556" i="208"/>
  <c r="T556" i="208" s="1"/>
  <c r="AA700" i="208"/>
  <c r="AA889" i="208"/>
  <c r="AB1030" i="208"/>
  <c r="AB1132" i="208"/>
  <c r="AB1177" i="208"/>
  <c r="AB1279" i="208"/>
  <c r="AB1321" i="208"/>
  <c r="AB1423" i="208"/>
  <c r="AB1465" i="208"/>
  <c r="AB570" i="208"/>
  <c r="AB687" i="208"/>
  <c r="AB714" i="208"/>
  <c r="AB858" i="208"/>
  <c r="F975" i="208"/>
  <c r="T975" i="208" s="1"/>
  <c r="AB1032" i="208"/>
  <c r="AB1095" i="208"/>
  <c r="AB1107" i="208"/>
  <c r="F1176" i="208"/>
  <c r="T1176" i="208" s="1"/>
  <c r="AB308" i="208"/>
  <c r="AA1031" i="208"/>
  <c r="AA1229" i="208"/>
  <c r="AA1316" i="208"/>
  <c r="AB2329" i="208"/>
  <c r="AB2143" i="208"/>
  <c r="AB2760" i="208"/>
  <c r="AA2091" i="208"/>
  <c r="AA2327" i="208"/>
  <c r="AA2471" i="208"/>
  <c r="AE598" i="208"/>
  <c r="AF847" i="208"/>
  <c r="AF1711" i="208"/>
  <c r="AF2823" i="208"/>
  <c r="AE452" i="208"/>
  <c r="V570" i="208"/>
  <c r="V1177" i="208"/>
  <c r="V847" i="208"/>
  <c r="V1606" i="208"/>
  <c r="V1316" i="208"/>
  <c r="F312" i="208"/>
  <c r="T312" i="208" s="1"/>
  <c r="F1569" i="208"/>
  <c r="T1569" i="208" s="1"/>
  <c r="F2040" i="208"/>
  <c r="T2040" i="208" s="1"/>
  <c r="F2298" i="208"/>
  <c r="T2298" i="208" s="1"/>
  <c r="AA310" i="208"/>
  <c r="F415" i="208"/>
  <c r="T415" i="208" s="1"/>
  <c r="AA559" i="208"/>
  <c r="AB700" i="208"/>
  <c r="AB889" i="208"/>
  <c r="F1030" i="208"/>
  <c r="T1030" i="208" s="1"/>
  <c r="F1321" i="208"/>
  <c r="T1321" i="208" s="1"/>
  <c r="F1423" i="208"/>
  <c r="T1423" i="208" s="1"/>
  <c r="F1465" i="208"/>
  <c r="T1465" i="208" s="1"/>
  <c r="F714" i="208"/>
  <c r="T714" i="208" s="1"/>
  <c r="F858" i="208"/>
  <c r="T858" i="208" s="1"/>
  <c r="AA1002" i="208"/>
  <c r="F1032" i="208"/>
  <c r="T1032" i="208" s="1"/>
  <c r="F1107" i="208"/>
  <c r="T1107" i="208" s="1"/>
  <c r="AA1137" i="208"/>
  <c r="AA1434" i="208"/>
  <c r="AA311" i="208"/>
  <c r="AA452" i="208"/>
  <c r="AA797" i="208"/>
  <c r="AA941" i="208"/>
  <c r="AB1229" i="208"/>
  <c r="F2329" i="208"/>
  <c r="T2329" i="208" s="1"/>
  <c r="AA2719" i="208"/>
  <c r="AB2180" i="208"/>
  <c r="AA2669" i="208"/>
  <c r="AA1711" i="208"/>
  <c r="AF598" i="208"/>
  <c r="AE327" i="208"/>
  <c r="AF417" i="208"/>
  <c r="AF561" i="208"/>
  <c r="AE2669" i="208"/>
  <c r="V1434" i="208"/>
  <c r="V818" i="208"/>
  <c r="F962" i="208"/>
  <c r="T962" i="208" s="1"/>
  <c r="V703" i="208"/>
  <c r="F596" i="208"/>
  <c r="T596" i="208" s="1"/>
  <c r="V962" i="208"/>
  <c r="F1250" i="208"/>
  <c r="T1250" i="208" s="1"/>
  <c r="F1319" i="208"/>
  <c r="T1319" i="208" s="1"/>
  <c r="F1682" i="208"/>
  <c r="T1682" i="208" s="1"/>
  <c r="F1751" i="208"/>
  <c r="T1751" i="208" s="1"/>
  <c r="F1949" i="208"/>
  <c r="T1949" i="208" s="1"/>
  <c r="F2036" i="208"/>
  <c r="T2036" i="208" s="1"/>
  <c r="F2093" i="208"/>
  <c r="T2093" i="208" s="1"/>
  <c r="F1866" i="208"/>
  <c r="T1866" i="208" s="1"/>
  <c r="V1569" i="208"/>
  <c r="F2760" i="208"/>
  <c r="T2760" i="208" s="1"/>
  <c r="AB310" i="208"/>
  <c r="AB559" i="208"/>
  <c r="F700" i="208"/>
  <c r="T700" i="208" s="1"/>
  <c r="AA844" i="208"/>
  <c r="AA1033" i="208"/>
  <c r="AA1135" i="208"/>
  <c r="AA456" i="208"/>
  <c r="AA561" i="208"/>
  <c r="AA705" i="208"/>
  <c r="AA849" i="208"/>
  <c r="AB1002" i="208"/>
  <c r="AB1137" i="208"/>
  <c r="AB1434" i="208"/>
  <c r="AB452" i="208"/>
  <c r="AA1250" i="208"/>
  <c r="AA1319" i="208"/>
  <c r="AA2038" i="208"/>
  <c r="AA2428" i="208"/>
  <c r="AB2617" i="208"/>
  <c r="AB1606" i="208"/>
  <c r="AB2719" i="208"/>
  <c r="V2328" i="208"/>
  <c r="V2721" i="208"/>
  <c r="AA2001" i="208"/>
  <c r="AA2978" i="208"/>
  <c r="AB1567" i="208"/>
  <c r="AF601" i="208"/>
  <c r="AF1030" i="208"/>
  <c r="AF327" i="208"/>
  <c r="AF849" i="208"/>
  <c r="AF1032" i="208"/>
  <c r="AE2473" i="208"/>
  <c r="AF2355" i="208"/>
  <c r="AF455" i="208"/>
  <c r="V2572" i="208"/>
  <c r="V310" i="208"/>
  <c r="V313" i="208"/>
  <c r="V457" i="208"/>
  <c r="V600" i="208"/>
  <c r="V988" i="208"/>
  <c r="V1135" i="208"/>
  <c r="V1999" i="208"/>
  <c r="V2719" i="208"/>
  <c r="V2863" i="208"/>
  <c r="V596" i="208"/>
  <c r="V1250" i="208"/>
  <c r="V1319" i="208"/>
  <c r="V1751" i="208"/>
  <c r="F2978" i="208"/>
  <c r="T2978" i="208" s="1"/>
  <c r="F2091" i="208"/>
  <c r="T2091" i="208" s="1"/>
  <c r="F1578" i="208"/>
  <c r="T1578" i="208" s="1"/>
  <c r="F1896" i="208"/>
  <c r="T1896" i="208" s="1"/>
  <c r="F2865" i="208"/>
  <c r="T2865" i="208" s="1"/>
  <c r="AA454" i="208"/>
  <c r="F559" i="208"/>
  <c r="T559" i="208" s="1"/>
  <c r="AA703" i="208"/>
  <c r="AB844" i="208"/>
  <c r="AB1033" i="208"/>
  <c r="AB1135" i="208"/>
  <c r="AB456" i="208"/>
  <c r="AB561" i="208"/>
  <c r="AB705" i="208"/>
  <c r="AB849" i="208"/>
  <c r="AA365" i="208"/>
  <c r="AA455" i="208"/>
  <c r="AA596" i="208"/>
  <c r="AA818" i="208"/>
  <c r="AA962" i="208"/>
  <c r="AB2038" i="208"/>
  <c r="AB2428" i="208"/>
  <c r="AA2182" i="208"/>
  <c r="AB2287" i="208"/>
  <c r="AB1896" i="208"/>
  <c r="AA2730" i="208"/>
  <c r="V2525" i="208"/>
  <c r="F1567" i="208"/>
  <c r="T1567" i="208" s="1"/>
  <c r="AE454" i="208"/>
  <c r="AF1033" i="208"/>
  <c r="AF1176" i="208"/>
  <c r="AF818" i="208"/>
  <c r="V456" i="208"/>
  <c r="V2428" i="208"/>
  <c r="V2287" i="208"/>
  <c r="V454" i="208"/>
  <c r="V598" i="208"/>
  <c r="F452" i="208"/>
  <c r="T452" i="208" s="1"/>
  <c r="F599" i="208"/>
  <c r="T599" i="208" s="1"/>
  <c r="F1085" i="208"/>
  <c r="T1085" i="208" s="1"/>
  <c r="F1172" i="208"/>
  <c r="T1172" i="208" s="1"/>
  <c r="F1517" i="208"/>
  <c r="T1517" i="208" s="1"/>
  <c r="F1604" i="208"/>
  <c r="T1604" i="208" s="1"/>
  <c r="F1970" i="208"/>
  <c r="T1970" i="208" s="1"/>
  <c r="F2039" i="208"/>
  <c r="T2039" i="208" s="1"/>
  <c r="F2237" i="208"/>
  <c r="T2237" i="208" s="1"/>
  <c r="F2145" i="208"/>
  <c r="T2145" i="208" s="1"/>
  <c r="F2307" i="208"/>
  <c r="T2307" i="208" s="1"/>
  <c r="F2180" i="208"/>
  <c r="T2180" i="208" s="1"/>
  <c r="F2327" i="208"/>
  <c r="T2327" i="208" s="1"/>
  <c r="AA313" i="208"/>
  <c r="AB454" i="208"/>
  <c r="AB703" i="208"/>
  <c r="AA988" i="208"/>
  <c r="AA327" i="208"/>
  <c r="F561" i="208"/>
  <c r="T561" i="208" s="1"/>
  <c r="AA993" i="208"/>
  <c r="AA1290" i="208"/>
  <c r="AA1425" i="208"/>
  <c r="AA1464" i="208"/>
  <c r="AB962" i="208"/>
  <c r="AA1517" i="208"/>
  <c r="F2428" i="208"/>
  <c r="T2428" i="208" s="1"/>
  <c r="AB2182" i="208"/>
  <c r="AA2473" i="208"/>
  <c r="AF454" i="208"/>
  <c r="AF703" i="208"/>
  <c r="AF1464" i="208"/>
  <c r="AE2182" i="208"/>
  <c r="AF2145" i="208"/>
  <c r="V1425" i="208"/>
  <c r="V2473" i="208"/>
  <c r="V599" i="208"/>
  <c r="V1517" i="208"/>
  <c r="V1604" i="208"/>
  <c r="F2433" i="208"/>
  <c r="T2433" i="208" s="1"/>
  <c r="F417" i="208"/>
  <c r="T417" i="208" s="1"/>
  <c r="AA599" i="208"/>
  <c r="V583" i="208"/>
  <c r="V625" i="208"/>
  <c r="V868" i="208"/>
  <c r="V1012" i="208"/>
  <c r="V1017" i="208"/>
  <c r="V759" i="208"/>
  <c r="V882" i="208"/>
  <c r="F332" i="208"/>
  <c r="T332" i="208" s="1"/>
  <c r="F533" i="208"/>
  <c r="T533" i="208" s="1"/>
  <c r="F698" i="208"/>
  <c r="T698" i="208" s="1"/>
  <c r="F554" i="208"/>
  <c r="T554" i="208" s="1"/>
  <c r="V304" i="208"/>
  <c r="AB351" i="208"/>
  <c r="F480" i="208"/>
  <c r="T480" i="208" s="1"/>
  <c r="F663" i="208"/>
  <c r="T663" i="208" s="1"/>
  <c r="F729" i="208"/>
  <c r="T729" i="208" s="1"/>
  <c r="F759" i="208"/>
  <c r="T759" i="208" s="1"/>
  <c r="F882" i="208"/>
  <c r="T882" i="208" s="1"/>
  <c r="F1026" i="208"/>
  <c r="T1026" i="208" s="1"/>
  <c r="V410" i="208"/>
  <c r="AA533" i="208"/>
  <c r="AB620" i="208"/>
  <c r="AB764" i="208"/>
  <c r="AE580" i="208"/>
  <c r="AF622" i="208"/>
  <c r="AE1012" i="208"/>
  <c r="AE306" i="208"/>
  <c r="AF351" i="208"/>
  <c r="AF594" i="208"/>
  <c r="AE759" i="208"/>
  <c r="AE783" i="208"/>
  <c r="AF1026" i="208"/>
  <c r="AE764" i="208"/>
  <c r="AE821" i="208"/>
  <c r="AE304" i="208"/>
  <c r="AE911" i="208"/>
  <c r="V871" i="208"/>
  <c r="V332" i="208"/>
  <c r="V533" i="208"/>
  <c r="V698" i="208"/>
  <c r="AA450" i="208"/>
  <c r="AA873" i="208"/>
  <c r="AA951" i="208"/>
  <c r="AA1017" i="208"/>
  <c r="AA476" i="208"/>
  <c r="AB533" i="208"/>
  <c r="AA623" i="208"/>
  <c r="AA767" i="208"/>
  <c r="AA986" i="208"/>
  <c r="AF580" i="208"/>
  <c r="AE625" i="208"/>
  <c r="AF1012" i="208"/>
  <c r="AF306" i="208"/>
  <c r="AE441" i="208"/>
  <c r="AF759" i="208"/>
  <c r="AF783" i="208"/>
  <c r="AE1026" i="208"/>
  <c r="AF764" i="208"/>
  <c r="AF821" i="208"/>
  <c r="AF304" i="208"/>
  <c r="AF911" i="208"/>
  <c r="V334" i="208"/>
  <c r="V663" i="208"/>
  <c r="V768" i="208"/>
  <c r="V335" i="208"/>
  <c r="V842" i="208"/>
  <c r="V965" i="208"/>
  <c r="AB334" i="208"/>
  <c r="AB436" i="208"/>
  <c r="AB478" i="208"/>
  <c r="AB580" i="208"/>
  <c r="AB622" i="208"/>
  <c r="AB724" i="208"/>
  <c r="AB766" i="208"/>
  <c r="AB868" i="208"/>
  <c r="AB910" i="208"/>
  <c r="AB1012" i="208"/>
  <c r="AA336" i="208"/>
  <c r="F450" i="208"/>
  <c r="T450" i="208" s="1"/>
  <c r="F873" i="208"/>
  <c r="T873" i="208" s="1"/>
  <c r="F951" i="208"/>
  <c r="T951" i="208" s="1"/>
  <c r="F1017" i="208"/>
  <c r="T1017" i="208" s="1"/>
  <c r="AA332" i="208"/>
  <c r="AB389" i="208"/>
  <c r="AA479" i="208"/>
  <c r="AE334" i="208"/>
  <c r="AF583" i="208"/>
  <c r="AE766" i="208"/>
  <c r="AF1015" i="208"/>
  <c r="AE336" i="208"/>
  <c r="AF624" i="208"/>
  <c r="AE738" i="208"/>
  <c r="AE873" i="208"/>
  <c r="AE476" i="208"/>
  <c r="AE554" i="208"/>
  <c r="AE479" i="208"/>
  <c r="V450" i="208"/>
  <c r="V729" i="208"/>
  <c r="F476" i="208"/>
  <c r="T476" i="208" s="1"/>
  <c r="F908" i="208"/>
  <c r="T908" i="208" s="1"/>
  <c r="F351" i="208"/>
  <c r="T351" i="208" s="1"/>
  <c r="F334" i="208"/>
  <c r="T334" i="208" s="1"/>
  <c r="F436" i="208"/>
  <c r="T436" i="208" s="1"/>
  <c r="F478" i="208"/>
  <c r="T478" i="208" s="1"/>
  <c r="F580" i="208"/>
  <c r="T580" i="208" s="1"/>
  <c r="F622" i="208"/>
  <c r="T622" i="208" s="1"/>
  <c r="F724" i="208"/>
  <c r="T724" i="208" s="1"/>
  <c r="F766" i="208"/>
  <c r="T766" i="208" s="1"/>
  <c r="F868" i="208"/>
  <c r="T868" i="208" s="1"/>
  <c r="F910" i="208"/>
  <c r="T910" i="208" s="1"/>
  <c r="AB336" i="208"/>
  <c r="AA594" i="208"/>
  <c r="AA624" i="208"/>
  <c r="AA639" i="208"/>
  <c r="AA783" i="208"/>
  <c r="AB332" i="208"/>
  <c r="AB479" i="208"/>
  <c r="AE724" i="208"/>
  <c r="AF766" i="208"/>
  <c r="AF336" i="208"/>
  <c r="AF738" i="208"/>
  <c r="AF873" i="208"/>
  <c r="AE335" i="208"/>
  <c r="AF476" i="208"/>
  <c r="AF554" i="208"/>
  <c r="AF479" i="208"/>
  <c r="V624" i="208"/>
  <c r="V913" i="208"/>
  <c r="V1015" i="208"/>
  <c r="V951" i="208"/>
  <c r="V908" i="208"/>
  <c r="V351" i="208"/>
  <c r="AA337" i="208"/>
  <c r="AA439" i="208"/>
  <c r="AA481" i="208"/>
  <c r="AA583" i="208"/>
  <c r="AA625" i="208"/>
  <c r="AA727" i="208"/>
  <c r="AA769" i="208"/>
  <c r="AA871" i="208"/>
  <c r="AA913" i="208"/>
  <c r="AA1015" i="208"/>
  <c r="AB594" i="208"/>
  <c r="AB624" i="208"/>
  <c r="AB639" i="208"/>
  <c r="AB783" i="208"/>
  <c r="AA335" i="208"/>
  <c r="AA842" i="208"/>
  <c r="AA965" i="208"/>
  <c r="AE337" i="208"/>
  <c r="AF724" i="208"/>
  <c r="AE769" i="208"/>
  <c r="AE585" i="208"/>
  <c r="AF335" i="208"/>
  <c r="AE965" i="208"/>
  <c r="V337" i="208"/>
  <c r="V585" i="208"/>
  <c r="V783" i="208"/>
  <c r="F479" i="208"/>
  <c r="T479" i="208" s="1"/>
  <c r="F677" i="208"/>
  <c r="T677" i="208" s="1"/>
  <c r="F821" i="208"/>
  <c r="T821" i="208" s="1"/>
  <c r="F911" i="208"/>
  <c r="T911" i="208" s="1"/>
  <c r="F441" i="208"/>
  <c r="T441" i="208" s="1"/>
  <c r="F306" i="208"/>
  <c r="T306" i="208" s="1"/>
  <c r="AB337" i="208"/>
  <c r="AB439" i="208"/>
  <c r="AB481" i="208"/>
  <c r="AB583" i="208"/>
  <c r="AB625" i="208"/>
  <c r="AB727" i="208"/>
  <c r="AB769" i="208"/>
  <c r="AB871" i="208"/>
  <c r="AB913" i="208"/>
  <c r="AB1015" i="208"/>
  <c r="AA441" i="208"/>
  <c r="F594" i="208"/>
  <c r="T594" i="208" s="1"/>
  <c r="F639" i="208"/>
  <c r="T639" i="208" s="1"/>
  <c r="AA698" i="208"/>
  <c r="AB842" i="208"/>
  <c r="AB965" i="208"/>
  <c r="AF337" i="208"/>
  <c r="AE727" i="208"/>
  <c r="AF769" i="208"/>
  <c r="AF585" i="208"/>
  <c r="AE768" i="208"/>
  <c r="AE951" i="208"/>
  <c r="AE1017" i="208"/>
  <c r="AE533" i="208"/>
  <c r="AE842" i="208"/>
  <c r="AE908" i="208"/>
  <c r="AE410" i="208"/>
  <c r="V436" i="208"/>
  <c r="V478" i="208"/>
  <c r="V738" i="208"/>
  <c r="V912" i="208"/>
  <c r="V677" i="208"/>
  <c r="V821" i="208"/>
  <c r="V911" i="208"/>
  <c r="F410" i="208"/>
  <c r="T410" i="208" s="1"/>
  <c r="V306" i="208"/>
  <c r="F439" i="208"/>
  <c r="T439" i="208" s="1"/>
  <c r="F481" i="208"/>
  <c r="T481" i="208" s="1"/>
  <c r="F727" i="208"/>
  <c r="T727" i="208" s="1"/>
  <c r="F769" i="208"/>
  <c r="T769" i="208" s="1"/>
  <c r="F871" i="208"/>
  <c r="T871" i="208" s="1"/>
  <c r="F913" i="208"/>
  <c r="T913" i="208" s="1"/>
  <c r="AB441" i="208"/>
  <c r="AA585" i="208"/>
  <c r="AA738" i="208"/>
  <c r="AA768" i="208"/>
  <c r="AA912" i="208"/>
  <c r="AB698" i="208"/>
  <c r="AA908" i="208"/>
  <c r="AE478" i="208"/>
  <c r="AF727" i="208"/>
  <c r="AE910" i="208"/>
  <c r="AE450" i="208"/>
  <c r="AF768" i="208"/>
  <c r="AF908" i="208"/>
  <c r="AF410" i="208"/>
  <c r="AE623" i="208"/>
  <c r="V439" i="208"/>
  <c r="V481" i="208"/>
  <c r="F389" i="208"/>
  <c r="T389" i="208" s="1"/>
  <c r="F620" i="208"/>
  <c r="T620" i="208" s="1"/>
  <c r="F764" i="208"/>
  <c r="T764" i="208" s="1"/>
  <c r="F336" i="208"/>
  <c r="T336" i="208" s="1"/>
  <c r="AB585" i="208"/>
  <c r="AB738" i="208"/>
  <c r="AB768" i="208"/>
  <c r="AB912" i="208"/>
  <c r="AA554" i="208"/>
  <c r="AE436" i="208"/>
  <c r="AE868" i="208"/>
  <c r="AE480" i="208"/>
  <c r="AE986" i="208"/>
  <c r="AE698" i="208"/>
  <c r="AE332" i="208"/>
  <c r="AF623" i="208"/>
  <c r="V594" i="208"/>
  <c r="V639" i="208"/>
  <c r="V389" i="208"/>
  <c r="V620" i="208"/>
  <c r="V764" i="208"/>
  <c r="F912" i="208"/>
  <c r="T912" i="208" s="1"/>
  <c r="AB554" i="208"/>
  <c r="AA677" i="208"/>
  <c r="AA821" i="208"/>
  <c r="AA911" i="208"/>
  <c r="AA304" i="208"/>
  <c r="AE481" i="208"/>
  <c r="AE913" i="208"/>
  <c r="AF480" i="208"/>
  <c r="AE729" i="208"/>
  <c r="AE882" i="208"/>
  <c r="AF986" i="208"/>
  <c r="AE767" i="208"/>
  <c r="F623" i="208"/>
  <c r="T623" i="208" s="1"/>
  <c r="F767" i="208"/>
  <c r="T767" i="208" s="1"/>
  <c r="F986" i="208"/>
  <c r="T986" i="208" s="1"/>
  <c r="AA306" i="208"/>
  <c r="AA480" i="208"/>
  <c r="AA663" i="208"/>
  <c r="AA729" i="208"/>
  <c r="AA759" i="208"/>
  <c r="AA882" i="208"/>
  <c r="AA1026" i="208"/>
  <c r="AA410" i="208"/>
  <c r="AB677" i="208"/>
  <c r="AB304" i="208"/>
  <c r="AE439" i="208"/>
  <c r="AE871" i="208"/>
  <c r="AE639" i="208"/>
  <c r="AE663" i="208"/>
  <c r="AF729" i="208"/>
  <c r="AF882" i="208"/>
  <c r="AE912" i="208"/>
  <c r="AE389" i="208"/>
  <c r="AE620" i="208"/>
  <c r="AE677" i="208"/>
  <c r="AF767" i="208"/>
  <c r="V622" i="208"/>
  <c r="V480" i="208"/>
  <c r="AA351" i="208"/>
  <c r="AB663" i="208"/>
  <c r="AA620" i="208"/>
  <c r="E595" i="33"/>
  <c r="F595" i="33" s="1"/>
  <c r="E446" i="33"/>
  <c r="F446" i="33" s="1"/>
  <c r="E573" i="33"/>
  <c r="F573" i="33" s="1"/>
  <c r="E515" i="33"/>
  <c r="F515" i="33" s="1"/>
  <c r="E572" i="33"/>
  <c r="F572" i="33" s="1"/>
  <c r="E262" i="33"/>
  <c r="F262" i="33" s="1"/>
  <c r="E462" i="33"/>
  <c r="F462" i="33" s="1"/>
  <c r="E276" i="33"/>
  <c r="F276" i="33" s="1"/>
  <c r="E533" i="33"/>
  <c r="F533" i="33" s="1"/>
  <c r="E395" i="33"/>
  <c r="F395" i="33" s="1"/>
  <c r="E447" i="33"/>
  <c r="F447" i="33" s="1"/>
  <c r="E602" i="33"/>
  <c r="F602" i="33" s="1"/>
  <c r="E570" i="33"/>
  <c r="F570" i="33" s="1"/>
  <c r="E633" i="33"/>
  <c r="F633" i="33" s="1"/>
  <c r="E477" i="33"/>
  <c r="F477" i="33" s="1"/>
  <c r="E353" i="33"/>
  <c r="F353" i="33" s="1"/>
  <c r="E199" i="33"/>
  <c r="F199" i="33" s="1"/>
  <c r="E274" i="33"/>
  <c r="F274" i="33" s="1"/>
  <c r="E140" i="33"/>
  <c r="F140" i="33" s="1"/>
  <c r="E213" i="33"/>
  <c r="F213" i="33" s="1"/>
  <c r="E152" i="33"/>
  <c r="F152" i="33" s="1"/>
  <c r="E453" i="33"/>
  <c r="F453" i="33" s="1"/>
  <c r="E508" i="33"/>
  <c r="F508" i="33" s="1"/>
  <c r="E663" i="33"/>
  <c r="F663" i="33" s="1"/>
  <c r="E646" i="33"/>
  <c r="E579" i="33"/>
  <c r="F579" i="33" s="1"/>
  <c r="E655" i="33"/>
  <c r="F655" i="33" s="1"/>
  <c r="E354" i="33"/>
  <c r="F354" i="33" s="1"/>
  <c r="E662" i="33"/>
  <c r="F662" i="33" s="1"/>
  <c r="E323" i="33"/>
  <c r="F323" i="33" s="1"/>
  <c r="E267" i="33"/>
  <c r="F267" i="33" s="1"/>
  <c r="E204" i="33"/>
  <c r="F204" i="33" s="1"/>
  <c r="E600" i="33"/>
  <c r="F600" i="33" s="1"/>
  <c r="E522" i="33"/>
  <c r="F522" i="33" s="1"/>
  <c r="E652" i="33"/>
  <c r="F652" i="33" s="1"/>
  <c r="E648" i="33"/>
  <c r="F648" i="33" s="1"/>
  <c r="E396" i="33"/>
  <c r="F396" i="33" s="1"/>
  <c r="E291" i="33"/>
  <c r="F291" i="33" s="1"/>
  <c r="E264" i="33"/>
  <c r="F264" i="33" s="1"/>
  <c r="E201" i="33"/>
  <c r="F201" i="33" s="1"/>
  <c r="E137" i="33"/>
  <c r="F137" i="33" s="1"/>
  <c r="E455" i="33"/>
  <c r="F455" i="33" s="1"/>
  <c r="E341" i="33"/>
  <c r="F341" i="33" s="1"/>
  <c r="E528" i="33"/>
  <c r="F528" i="33" s="1"/>
  <c r="E415" i="33"/>
  <c r="F415" i="33" s="1"/>
  <c r="E467" i="33"/>
  <c r="F467" i="33" s="1"/>
  <c r="E538" i="33"/>
  <c r="F538" i="33" s="1"/>
  <c r="E393" i="33"/>
  <c r="F393" i="33" s="1"/>
  <c r="E342" i="33"/>
  <c r="F342" i="33" s="1"/>
  <c r="E156" i="33"/>
  <c r="F156" i="33" s="1"/>
  <c r="E635" i="33"/>
  <c r="F635" i="33" s="1"/>
  <c r="E478" i="33"/>
  <c r="F478" i="33" s="1"/>
  <c r="E327" i="33"/>
  <c r="F327" i="33" s="1"/>
  <c r="E647" i="33"/>
  <c r="F647" i="33" s="1"/>
  <c r="E322" i="33"/>
  <c r="F322" i="33" s="1"/>
  <c r="E209" i="33"/>
  <c r="F209" i="33" s="1"/>
  <c r="E532" i="33"/>
  <c r="F532" i="33" s="1"/>
  <c r="E476" i="33"/>
  <c r="F476" i="33" s="1"/>
  <c r="E637" i="33"/>
  <c r="F637" i="33" s="1"/>
  <c r="E571" i="33"/>
  <c r="F571" i="33" s="1"/>
  <c r="E642" i="33"/>
  <c r="F642" i="33" s="1"/>
  <c r="E585" i="33"/>
  <c r="F585" i="33" s="1"/>
  <c r="E591" i="33"/>
  <c r="F591" i="33" s="1"/>
  <c r="E657" i="33"/>
  <c r="F657" i="33" s="1"/>
  <c r="E601" i="33"/>
  <c r="F601" i="33" s="1"/>
  <c r="E460" i="33"/>
  <c r="E390" i="33"/>
  <c r="F390" i="33" s="1"/>
  <c r="E336" i="33"/>
  <c r="F336" i="33" s="1"/>
  <c r="E653" i="33"/>
  <c r="F653" i="33" s="1"/>
  <c r="E338" i="33"/>
  <c r="F338" i="33" s="1"/>
  <c r="E223" i="33"/>
  <c r="F223" i="33" s="1"/>
  <c r="E529" i="33"/>
  <c r="F529" i="33" s="1"/>
  <c r="E589" i="33"/>
  <c r="F589" i="33" s="1"/>
  <c r="E331" i="33"/>
  <c r="F331" i="33" s="1"/>
  <c r="E531" i="33"/>
  <c r="E641" i="33"/>
  <c r="F641" i="33" s="1"/>
  <c r="E471" i="33"/>
  <c r="F471" i="33" s="1"/>
  <c r="E345" i="33"/>
  <c r="F345" i="33" s="1"/>
  <c r="E150" i="33"/>
  <c r="F150" i="33" s="1"/>
  <c r="E398" i="33"/>
  <c r="F398" i="33" s="1"/>
  <c r="E143" i="33"/>
  <c r="F143" i="33" s="1"/>
  <c r="E632" i="33"/>
  <c r="F632" i="33" s="1"/>
  <c r="E580" i="33"/>
  <c r="F580" i="33" s="1"/>
  <c r="E513" i="33"/>
  <c r="F513" i="33" s="1"/>
  <c r="E576" i="33"/>
  <c r="F576" i="33" s="1"/>
  <c r="E518" i="33"/>
  <c r="F518" i="33" s="1"/>
  <c r="E461" i="33"/>
  <c r="F461" i="33" s="1"/>
  <c r="E404" i="33"/>
  <c r="F404" i="33" s="1"/>
  <c r="E333" i="33"/>
  <c r="F333" i="33" s="1"/>
  <c r="E651" i="33"/>
  <c r="F651" i="33" s="1"/>
  <c r="E594" i="33"/>
  <c r="F594" i="33" s="1"/>
  <c r="E470" i="33"/>
  <c r="F470" i="33" s="1"/>
  <c r="E509" i="33"/>
  <c r="F509" i="33" s="1"/>
  <c r="E451" i="33"/>
  <c r="F451" i="33" s="1"/>
  <c r="E586" i="33"/>
  <c r="F586" i="33" s="1"/>
  <c r="E523" i="33"/>
  <c r="F523" i="33" s="1"/>
  <c r="E146" i="33"/>
  <c r="F146" i="33" s="1"/>
  <c r="E392" i="33"/>
  <c r="F392" i="33" s="1"/>
  <c r="E230" i="33"/>
  <c r="F230" i="33" s="1"/>
  <c r="E454" i="33"/>
  <c r="F454" i="33" s="1"/>
  <c r="E270" i="33"/>
  <c r="F270" i="33" s="1"/>
  <c r="E217" i="33"/>
  <c r="F217" i="33" s="1"/>
  <c r="E198" i="33"/>
  <c r="F198" i="33" s="1"/>
  <c r="E283" i="33"/>
  <c r="F283" i="33" s="1"/>
  <c r="E582" i="33"/>
  <c r="F582" i="33" s="1"/>
  <c r="E634" i="33"/>
  <c r="F634" i="33" s="1"/>
  <c r="E510" i="33"/>
  <c r="F510" i="33" s="1"/>
  <c r="E457" i="33"/>
  <c r="F457" i="33" s="1"/>
  <c r="E639" i="33"/>
  <c r="F639" i="33" s="1"/>
  <c r="E581" i="33"/>
  <c r="F581" i="33" s="1"/>
  <c r="E524" i="33"/>
  <c r="F524" i="33" s="1"/>
  <c r="E407" i="33"/>
  <c r="E387" i="33"/>
  <c r="F387" i="33" s="1"/>
  <c r="E329" i="33"/>
  <c r="F329" i="33" s="1"/>
  <c r="E202" i="33"/>
  <c r="F202" i="33" s="1"/>
  <c r="E332" i="33"/>
  <c r="F332" i="33" s="1"/>
  <c r="E517" i="33"/>
  <c r="F517" i="33" s="1"/>
  <c r="E325" i="33"/>
  <c r="F325" i="33" s="1"/>
  <c r="E449" i="33"/>
  <c r="F449" i="33" s="1"/>
  <c r="E520" i="33"/>
  <c r="F520" i="33" s="1"/>
  <c r="E210" i="33"/>
  <c r="F210" i="33" s="1"/>
  <c r="E145" i="33"/>
  <c r="F145" i="33" s="1"/>
  <c r="E261" i="33"/>
  <c r="F261" i="33" s="1"/>
  <c r="E408" i="33"/>
  <c r="F408" i="33" s="1"/>
  <c r="E575" i="33"/>
  <c r="F575" i="33" s="1"/>
  <c r="E450" i="33"/>
  <c r="F450" i="33" s="1"/>
  <c r="E141" i="33"/>
  <c r="F141" i="33" s="1"/>
  <c r="E221" i="33"/>
  <c r="F221" i="33" s="1"/>
  <c r="E465" i="33"/>
  <c r="F465" i="33" s="1"/>
  <c r="E512" i="33"/>
  <c r="F512" i="33" s="1"/>
  <c r="E346" i="33"/>
  <c r="F346" i="33" s="1"/>
  <c r="E388" i="33"/>
  <c r="F388" i="33" s="1"/>
  <c r="E326" i="33"/>
  <c r="F326" i="33" s="1"/>
  <c r="E161" i="33"/>
  <c r="F161" i="33" s="1"/>
  <c r="E389" i="33"/>
  <c r="F389" i="33" s="1"/>
  <c r="E275" i="33"/>
  <c r="F275" i="33" s="1"/>
  <c r="E405" i="33"/>
  <c r="F405" i="33" s="1"/>
  <c r="E268" i="33"/>
  <c r="F268" i="33" s="1"/>
  <c r="E638" i="33"/>
  <c r="F638" i="33" s="1"/>
  <c r="E207" i="33"/>
  <c r="F207" i="33" s="1"/>
  <c r="E280" i="33"/>
  <c r="F280" i="33" s="1"/>
  <c r="E160" i="33"/>
  <c r="F160" i="33" s="1"/>
  <c r="E640" i="33"/>
  <c r="F640" i="33" s="1"/>
  <c r="E448" i="33"/>
  <c r="F448" i="33" s="1"/>
  <c r="E540" i="33"/>
  <c r="F540" i="33" s="1"/>
  <c r="E229" i="33"/>
  <c r="F229" i="33" s="1"/>
  <c r="E385" i="33"/>
  <c r="F385" i="33" s="1"/>
  <c r="E222" i="33"/>
  <c r="F222" i="33" s="1"/>
  <c r="E157" i="33"/>
  <c r="F157" i="33" s="1"/>
  <c r="E593" i="33"/>
  <c r="E208" i="33"/>
  <c r="F208" i="33" s="1"/>
  <c r="E265" i="33"/>
  <c r="F265" i="33" s="1"/>
  <c r="E218" i="33"/>
  <c r="F218" i="33" s="1"/>
  <c r="E514" i="33"/>
  <c r="F514" i="33" s="1"/>
  <c r="E386" i="33"/>
  <c r="F386" i="33" s="1"/>
  <c r="E644" i="33"/>
  <c r="F644" i="33" s="1"/>
  <c r="E279" i="33"/>
  <c r="E285" i="33"/>
  <c r="F285" i="33" s="1"/>
  <c r="E144" i="33"/>
  <c r="F144" i="33" s="1"/>
  <c r="E577" i="33"/>
  <c r="F577" i="33" s="1"/>
  <c r="E574" i="33"/>
  <c r="F574" i="33" s="1"/>
  <c r="E452" i="33"/>
  <c r="F452" i="33" s="1"/>
  <c r="E155" i="33"/>
  <c r="E409" i="33"/>
  <c r="F409" i="33" s="1"/>
  <c r="E219" i="33"/>
  <c r="F219" i="33" s="1"/>
  <c r="E151" i="33"/>
  <c r="F151" i="33" s="1"/>
  <c r="E664" i="33"/>
  <c r="F664" i="33" s="1"/>
  <c r="E403" i="33"/>
  <c r="E167" i="33"/>
  <c r="F167" i="33" s="1"/>
  <c r="E328" i="33"/>
  <c r="F328" i="33" s="1"/>
  <c r="E148" i="33"/>
  <c r="F148" i="33" s="1"/>
  <c r="E290" i="33"/>
  <c r="E466" i="33"/>
  <c r="F466" i="33" s="1"/>
  <c r="E212" i="33"/>
  <c r="F212" i="33" s="1"/>
  <c r="E590" i="33"/>
  <c r="F590" i="33" s="1"/>
  <c r="E147" i="33"/>
  <c r="F147" i="33" s="1"/>
  <c r="E414" i="33"/>
  <c r="F414" i="33" s="1"/>
  <c r="E260" i="33"/>
  <c r="E399" i="33"/>
  <c r="F399" i="33" s="1"/>
  <c r="E400" i="33"/>
  <c r="F400" i="33" s="1"/>
  <c r="E168" i="33"/>
  <c r="F168" i="33" s="1"/>
  <c r="E394" i="33"/>
  <c r="F394" i="33" s="1"/>
  <c r="E636" i="33"/>
  <c r="F636" i="33" s="1"/>
  <c r="E284" i="33"/>
  <c r="F284" i="33" s="1"/>
  <c r="E337" i="33"/>
  <c r="F337" i="33" s="1"/>
  <c r="E272" i="33"/>
  <c r="F272" i="33" s="1"/>
  <c r="E458" i="33"/>
  <c r="F458" i="33" s="1"/>
  <c r="E347" i="33"/>
  <c r="F347" i="33" s="1"/>
  <c r="E269" i="33"/>
  <c r="F269" i="33" s="1"/>
  <c r="E136" i="33"/>
  <c r="E228" i="33"/>
  <c r="E324" i="33"/>
  <c r="F324" i="33" s="1"/>
  <c r="E456" i="33"/>
  <c r="F456" i="33" s="1"/>
  <c r="E352" i="33"/>
  <c r="E516" i="33"/>
  <c r="F516" i="33" s="1"/>
  <c r="E539" i="33"/>
  <c r="F539" i="33" s="1"/>
  <c r="E391" i="33"/>
  <c r="F391" i="33" s="1"/>
  <c r="E584" i="33"/>
  <c r="E519" i="33"/>
  <c r="F519" i="33" s="1"/>
  <c r="E159" i="33"/>
  <c r="E266" i="33"/>
  <c r="F266" i="33" s="1"/>
  <c r="E203" i="33"/>
  <c r="F203" i="33" s="1"/>
  <c r="E527" i="33"/>
  <c r="E271" i="33"/>
  <c r="F271" i="33" s="1"/>
  <c r="E656" i="33"/>
  <c r="F656" i="33" s="1"/>
  <c r="E330" i="33"/>
  <c r="F330" i="33" s="1"/>
  <c r="E281" i="33"/>
  <c r="F281" i="33" s="1"/>
  <c r="E334" i="33"/>
  <c r="F334" i="33" s="1"/>
  <c r="E469" i="33"/>
  <c r="E166" i="33"/>
  <c r="E206" i="33"/>
  <c r="F206" i="33" s="1"/>
  <c r="E142" i="33"/>
  <c r="F142" i="33" s="1"/>
  <c r="E416" i="33"/>
  <c r="F416" i="33" s="1"/>
  <c r="E263" i="33"/>
  <c r="F263" i="33" s="1"/>
  <c r="E200" i="33"/>
  <c r="F200" i="33" s="1"/>
  <c r="E384" i="33"/>
  <c r="F384" i="33" s="1"/>
  <c r="E511" i="33"/>
  <c r="F511" i="33" s="1"/>
  <c r="E205" i="33"/>
  <c r="F205" i="33" s="1"/>
  <c r="E214" i="33"/>
  <c r="F214" i="33" s="1"/>
  <c r="E578" i="33"/>
  <c r="F578" i="33" s="1"/>
  <c r="E643" i="33"/>
  <c r="F643" i="33" s="1"/>
  <c r="E138" i="33"/>
  <c r="F138" i="33" s="1"/>
  <c r="E343" i="33"/>
  <c r="F343" i="33" s="1"/>
  <c r="E139" i="33"/>
  <c r="F139" i="33" s="1"/>
  <c r="E292" i="33"/>
  <c r="F292" i="33" s="1"/>
  <c r="H571" i="33"/>
  <c r="I513" i="33"/>
  <c r="G637" i="33"/>
  <c r="G571" i="33"/>
  <c r="H513" i="33"/>
  <c r="I449" i="33"/>
  <c r="G471" i="33"/>
  <c r="G446" i="33"/>
  <c r="H385" i="33"/>
  <c r="G570" i="33"/>
  <c r="I635" i="33"/>
  <c r="H580" i="33"/>
  <c r="G517" i="33"/>
  <c r="G456" i="33"/>
  <c r="H409" i="33"/>
  <c r="G632" i="33"/>
  <c r="H508" i="33"/>
  <c r="H213" i="33"/>
  <c r="G572" i="33"/>
  <c r="I337" i="33"/>
  <c r="I276" i="33"/>
  <c r="H204" i="33"/>
  <c r="G204" i="33"/>
  <c r="I142" i="33"/>
  <c r="G276" i="33"/>
  <c r="G219" i="33"/>
  <c r="G155" i="33"/>
  <c r="I136" i="33"/>
  <c r="H460" i="33"/>
  <c r="I347" i="33"/>
  <c r="I212" i="33"/>
  <c r="I151" i="33"/>
  <c r="H646" i="33"/>
  <c r="H266" i="33"/>
  <c r="I200" i="33"/>
  <c r="H292" i="33"/>
  <c r="I510" i="33"/>
  <c r="H634" i="33"/>
  <c r="H510" i="33"/>
  <c r="G655" i="33"/>
  <c r="H591" i="33"/>
  <c r="I531" i="33"/>
  <c r="H467" i="33"/>
  <c r="H415" i="33"/>
  <c r="G662" i="33"/>
  <c r="I664" i="33"/>
  <c r="I577" i="33"/>
  <c r="I514" i="33"/>
  <c r="I453" i="33"/>
  <c r="G540" i="33"/>
  <c r="I405" i="33"/>
  <c r="G635" i="33"/>
  <c r="G404" i="33"/>
  <c r="H414" i="33"/>
  <c r="I454" i="33"/>
  <c r="H332" i="33"/>
  <c r="I201" i="33"/>
  <c r="H632" i="33"/>
  <c r="H396" i="33"/>
  <c r="H201" i="33"/>
  <c r="G477" i="33"/>
  <c r="H272" i="33"/>
  <c r="H656" i="33"/>
  <c r="I602" i="33"/>
  <c r="G461" i="33"/>
  <c r="G408" i="33"/>
  <c r="I594" i="33"/>
  <c r="I651" i="33"/>
  <c r="H594" i="33"/>
  <c r="H601" i="33"/>
  <c r="G538" i="33"/>
  <c r="I414" i="33"/>
  <c r="G657" i="33"/>
  <c r="I572" i="33"/>
  <c r="H448" i="33"/>
  <c r="I529" i="33"/>
  <c r="I469" i="33"/>
  <c r="H399" i="33"/>
  <c r="I345" i="33"/>
  <c r="H476" i="33"/>
  <c r="G586" i="33"/>
  <c r="G392" i="33"/>
  <c r="G230" i="33"/>
  <c r="H267" i="33"/>
  <c r="H519" i="33"/>
  <c r="I386" i="33"/>
  <c r="G337" i="33"/>
  <c r="I206" i="33"/>
  <c r="G145" i="33"/>
  <c r="I333" i="33"/>
  <c r="G331" i="33"/>
  <c r="I266" i="33"/>
  <c r="H139" i="33"/>
  <c r="G539" i="33"/>
  <c r="H602" i="33"/>
  <c r="G642" i="33"/>
  <c r="G576" i="33"/>
  <c r="H457" i="33"/>
  <c r="H404" i="33"/>
  <c r="I343" i="33"/>
  <c r="G591" i="33"/>
  <c r="H531" i="33"/>
  <c r="G531" i="33"/>
  <c r="I477" i="33"/>
  <c r="H657" i="33"/>
  <c r="I533" i="33"/>
  <c r="H470" i="33"/>
  <c r="I353" i="33"/>
  <c r="I653" i="33"/>
  <c r="G601" i="33"/>
  <c r="I540" i="33"/>
  <c r="I656" i="33"/>
  <c r="I593" i="33"/>
  <c r="H523" i="33"/>
  <c r="G466" i="33"/>
  <c r="H342" i="33"/>
  <c r="H663" i="33"/>
  <c r="G600" i="33"/>
  <c r="I539" i="33"/>
  <c r="G405" i="33"/>
  <c r="G345" i="33"/>
  <c r="G523" i="33"/>
  <c r="H387" i="33"/>
  <c r="G223" i="33"/>
  <c r="I159" i="33"/>
  <c r="I652" i="33"/>
  <c r="H264" i="33"/>
  <c r="I166" i="33"/>
  <c r="I283" i="33"/>
  <c r="I229" i="33"/>
  <c r="G453" i="33"/>
  <c r="H331" i="33"/>
  <c r="G201" i="33"/>
  <c r="H142" i="33"/>
  <c r="H284" i="33"/>
  <c r="G409" i="33"/>
  <c r="H326" i="33"/>
  <c r="I263" i="33"/>
  <c r="I655" i="33"/>
  <c r="G595" i="33"/>
  <c r="I662" i="33"/>
  <c r="H478" i="33"/>
  <c r="I639" i="33"/>
  <c r="I573" i="33"/>
  <c r="G518" i="33"/>
  <c r="I400" i="33"/>
  <c r="G648" i="33"/>
  <c r="G528" i="33"/>
  <c r="I644" i="33"/>
  <c r="I584" i="33"/>
  <c r="I346" i="33"/>
  <c r="H651" i="33"/>
  <c r="G594" i="33"/>
  <c r="I527" i="33"/>
  <c r="H407" i="33"/>
  <c r="H346" i="33"/>
  <c r="G651" i="33"/>
  <c r="G653" i="33"/>
  <c r="G590" i="33"/>
  <c r="I519" i="33"/>
  <c r="I462" i="33"/>
  <c r="H338" i="33"/>
  <c r="G656" i="33"/>
  <c r="I595" i="33"/>
  <c r="G469" i="33"/>
  <c r="I508" i="33"/>
  <c r="G217" i="33"/>
  <c r="I155" i="33"/>
  <c r="I261" i="33"/>
  <c r="H159" i="33"/>
  <c r="G280" i="33"/>
  <c r="G447" i="33"/>
  <c r="G261" i="33"/>
  <c r="H198" i="33"/>
  <c r="I139" i="33"/>
  <c r="G198" i="33"/>
  <c r="H652" i="33"/>
  <c r="G589" i="33"/>
  <c r="G532" i="33"/>
  <c r="I591" i="33"/>
  <c r="I415" i="33"/>
  <c r="I515" i="33"/>
  <c r="G452" i="33"/>
  <c r="G398" i="33"/>
  <c r="H333" i="33"/>
  <c r="I524" i="33"/>
  <c r="I641" i="33"/>
  <c r="G581" i="33"/>
  <c r="H524" i="33"/>
  <c r="I470" i="33"/>
  <c r="G343" i="33"/>
  <c r="I647" i="33"/>
  <c r="G524" i="33"/>
  <c r="I403" i="33"/>
  <c r="H647" i="33"/>
  <c r="I590" i="33"/>
  <c r="H533" i="33"/>
  <c r="I643" i="33"/>
  <c r="H586" i="33"/>
  <c r="H514" i="33"/>
  <c r="G593" i="33"/>
  <c r="I532" i="33"/>
  <c r="I465" i="33"/>
  <c r="H395" i="33"/>
  <c r="I280" i="33"/>
  <c r="I213" i="33"/>
  <c r="I152" i="33"/>
  <c r="H152" i="33"/>
  <c r="I585" i="33"/>
  <c r="H403" i="33"/>
  <c r="I148" i="33"/>
  <c r="H469" i="33"/>
  <c r="H276" i="33"/>
  <c r="H166" i="33"/>
  <c r="G322" i="33"/>
  <c r="G222" i="33"/>
  <c r="H600" i="33"/>
  <c r="I395" i="33"/>
  <c r="I168" i="33"/>
  <c r="H585" i="33"/>
  <c r="H655" i="33"/>
  <c r="I528" i="33"/>
  <c r="H471" i="33"/>
  <c r="H408" i="33"/>
  <c r="G634" i="33"/>
  <c r="G513" i="33"/>
  <c r="H449" i="33"/>
  <c r="H394" i="33"/>
  <c r="H639" i="33"/>
  <c r="H581" i="33"/>
  <c r="H515" i="33"/>
  <c r="G639" i="33"/>
  <c r="H578" i="33"/>
  <c r="I520" i="33"/>
  <c r="I407" i="33"/>
  <c r="H644" i="33"/>
  <c r="H520" i="33"/>
  <c r="I460" i="33"/>
  <c r="I396" i="33"/>
  <c r="H336" i="33"/>
  <c r="G644" i="33"/>
  <c r="H653" i="33"/>
  <c r="H540" i="33"/>
  <c r="G414" i="33"/>
  <c r="G580" i="33"/>
  <c r="I511" i="33"/>
  <c r="H453" i="33"/>
  <c r="G387" i="33"/>
  <c r="G332" i="33"/>
  <c r="I589" i="33"/>
  <c r="G529" i="33"/>
  <c r="G462" i="33"/>
  <c r="H392" i="33"/>
  <c r="H334" i="33"/>
  <c r="G207" i="33"/>
  <c r="I145" i="33"/>
  <c r="I522" i="33"/>
  <c r="I461" i="33"/>
  <c r="H343" i="33"/>
  <c r="I272" i="33"/>
  <c r="H219" i="33"/>
  <c r="I203" i="33"/>
  <c r="H390" i="33"/>
  <c r="G646" i="33"/>
  <c r="G582" i="33"/>
  <c r="G652" i="33"/>
  <c r="G585" i="33"/>
  <c r="I467" i="33"/>
  <c r="I404" i="33"/>
  <c r="G510" i="33"/>
  <c r="I446" i="33"/>
  <c r="H391" i="33"/>
  <c r="G325" i="33"/>
  <c r="I636" i="33"/>
  <c r="I578" i="33"/>
  <c r="H636" i="33"/>
  <c r="I336" i="33"/>
  <c r="H641" i="33"/>
  <c r="H584" i="33"/>
  <c r="I517" i="33"/>
  <c r="I456" i="33"/>
  <c r="I393" i="33"/>
  <c r="G641" i="33"/>
  <c r="G584" i="33"/>
  <c r="H527" i="33"/>
  <c r="G533" i="33"/>
  <c r="I409" i="33"/>
  <c r="G638" i="33"/>
  <c r="H577" i="33"/>
  <c r="I384" i="33"/>
  <c r="H329" i="33"/>
  <c r="I646" i="33"/>
  <c r="H458" i="33"/>
  <c r="H389" i="33"/>
  <c r="I331" i="33"/>
  <c r="H462" i="33"/>
  <c r="G338" i="33"/>
  <c r="G274" i="33"/>
  <c r="I204" i="33"/>
  <c r="G140" i="33"/>
  <c r="G508" i="33"/>
  <c r="I290" i="33"/>
  <c r="H137" i="33"/>
  <c r="H337" i="33"/>
  <c r="G159" i="33"/>
  <c r="H582" i="33"/>
  <c r="G396" i="33"/>
  <c r="G290" i="33"/>
  <c r="G386" i="33"/>
  <c r="I147" i="33"/>
  <c r="G476" i="33"/>
  <c r="G354" i="33"/>
  <c r="I642" i="33"/>
  <c r="G579" i="33"/>
  <c r="H522" i="33"/>
  <c r="I648" i="33"/>
  <c r="G522" i="33"/>
  <c r="H461" i="33"/>
  <c r="H388" i="33"/>
  <c r="H322" i="33"/>
  <c r="H573" i="33"/>
  <c r="I633" i="33"/>
  <c r="G573" i="33"/>
  <c r="G515" i="33"/>
  <c r="G400" i="33"/>
  <c r="H330" i="33"/>
  <c r="H512" i="33"/>
  <c r="G454" i="33"/>
  <c r="I390" i="33"/>
  <c r="G330" i="33"/>
  <c r="I638" i="33"/>
  <c r="I580" i="33"/>
  <c r="G647" i="33"/>
  <c r="H590" i="33"/>
  <c r="G527" i="33"/>
  <c r="H466" i="33"/>
  <c r="H635" i="33"/>
  <c r="H572" i="33"/>
  <c r="G448" i="33"/>
  <c r="I326" i="33"/>
  <c r="G643" i="33"/>
  <c r="I582" i="33"/>
  <c r="G519" i="33"/>
  <c r="I455" i="33"/>
  <c r="G455" i="33"/>
  <c r="I332" i="33"/>
  <c r="H270" i="33"/>
  <c r="G143" i="33"/>
  <c r="G105" i="33"/>
  <c r="H447" i="33"/>
  <c r="G267" i="33"/>
  <c r="G213" i="33"/>
  <c r="H155" i="33"/>
  <c r="G391" i="33"/>
  <c r="H229" i="33"/>
  <c r="G166" i="33"/>
  <c r="I285" i="33"/>
  <c r="G229" i="33"/>
  <c r="H161" i="33"/>
  <c r="G139" i="33"/>
  <c r="G467" i="33"/>
  <c r="H347" i="33"/>
  <c r="H279" i="33"/>
  <c r="H637" i="33"/>
  <c r="I634" i="33"/>
  <c r="G574" i="33"/>
  <c r="G516" i="33"/>
  <c r="I576" i="33"/>
  <c r="H452" i="33"/>
  <c r="G478" i="33"/>
  <c r="H575" i="33"/>
  <c r="I447" i="33"/>
  <c r="G323" i="33"/>
  <c r="G137" i="33"/>
  <c r="H261" i="33"/>
  <c r="H269" i="33"/>
  <c r="G342" i="33"/>
  <c r="G458" i="33"/>
  <c r="I330" i="33"/>
  <c r="H200" i="33"/>
  <c r="G200" i="33"/>
  <c r="H595" i="33"/>
  <c r="H325" i="33"/>
  <c r="I399" i="33"/>
  <c r="G465" i="33"/>
  <c r="G352" i="33"/>
  <c r="G281" i="33"/>
  <c r="H221" i="33"/>
  <c r="H160" i="33"/>
  <c r="H156" i="33"/>
  <c r="G291" i="33"/>
  <c r="G146" i="33"/>
  <c r="H538" i="33"/>
  <c r="H664" i="33"/>
  <c r="H416" i="33"/>
  <c r="I210" i="33"/>
  <c r="I323" i="33"/>
  <c r="I518" i="33"/>
  <c r="H642" i="33"/>
  <c r="I570" i="33"/>
  <c r="I512" i="33"/>
  <c r="G636" i="33"/>
  <c r="G520" i="33"/>
  <c r="H640" i="33"/>
  <c r="G384" i="33"/>
  <c r="I267" i="33"/>
  <c r="I478" i="33"/>
  <c r="I209" i="33"/>
  <c r="H283" i="33"/>
  <c r="H516" i="33"/>
  <c r="I663" i="33"/>
  <c r="H144" i="33"/>
  <c r="H532" i="33"/>
  <c r="I394" i="33"/>
  <c r="G292" i="33"/>
  <c r="I228" i="33"/>
  <c r="H529" i="33"/>
  <c r="H228" i="33"/>
  <c r="G640" i="33"/>
  <c r="G450" i="33"/>
  <c r="H214" i="33"/>
  <c r="G393" i="33"/>
  <c r="I223" i="33"/>
  <c r="H328" i="33"/>
  <c r="G509" i="33"/>
  <c r="H589" i="33"/>
  <c r="H230" i="33"/>
  <c r="H662" i="33"/>
  <c r="I509" i="33"/>
  <c r="H633" i="33"/>
  <c r="G385" i="33"/>
  <c r="H517" i="33"/>
  <c r="G460" i="33"/>
  <c r="I264" i="33"/>
  <c r="G470" i="33"/>
  <c r="I476" i="33"/>
  <c r="G209" i="33"/>
  <c r="H648" i="33"/>
  <c r="I538" i="33"/>
  <c r="G451" i="33"/>
  <c r="H352" i="33"/>
  <c r="I198" i="33"/>
  <c r="I269" i="33"/>
  <c r="H446" i="33"/>
  <c r="H206" i="33"/>
  <c r="I458" i="33"/>
  <c r="I408" i="33"/>
  <c r="H168" i="33"/>
  <c r="I281" i="33"/>
  <c r="G147" i="33"/>
  <c r="I221" i="33"/>
  <c r="G329" i="33"/>
  <c r="H268" i="33"/>
  <c r="I146" i="33"/>
  <c r="I140" i="33"/>
  <c r="G150" i="33"/>
  <c r="G202" i="33"/>
  <c r="I392" i="33"/>
  <c r="G333" i="33"/>
  <c r="H146" i="33"/>
  <c r="I167" i="33"/>
  <c r="G394" i="33"/>
  <c r="H384" i="33"/>
  <c r="G271" i="33"/>
  <c r="G449" i="33"/>
  <c r="H576" i="33"/>
  <c r="G602" i="33"/>
  <c r="H454" i="33"/>
  <c r="G578" i="33"/>
  <c r="H327" i="33"/>
  <c r="G403" i="33"/>
  <c r="I579" i="33"/>
  <c r="G326" i="33"/>
  <c r="G152" i="33"/>
  <c r="I157" i="33"/>
  <c r="I452" i="33"/>
  <c r="G577" i="33"/>
  <c r="H400" i="33"/>
  <c r="G285" i="33"/>
  <c r="H218" i="33"/>
  <c r="I141" i="33"/>
  <c r="G218" i="33"/>
  <c r="H574" i="33"/>
  <c r="G415" i="33"/>
  <c r="H324" i="33"/>
  <c r="H265" i="33"/>
  <c r="G205" i="33"/>
  <c r="I637" i="33"/>
  <c r="I270" i="33"/>
  <c r="I338" i="33"/>
  <c r="I571" i="33"/>
  <c r="H203" i="33"/>
  <c r="G407" i="33"/>
  <c r="I284" i="33"/>
  <c r="H579" i="33"/>
  <c r="H274" i="33"/>
  <c r="H223" i="33"/>
  <c r="H262" i="33"/>
  <c r="I575" i="33"/>
  <c r="I324" i="33"/>
  <c r="H638" i="33"/>
  <c r="I574" i="33"/>
  <c r="H323" i="33"/>
  <c r="H148" i="33"/>
  <c r="I222" i="33"/>
  <c r="I354" i="33"/>
  <c r="I292" i="33"/>
  <c r="I389" i="33"/>
  <c r="G279" i="33"/>
  <c r="I218" i="33"/>
  <c r="G157" i="33"/>
  <c r="G275" i="33"/>
  <c r="G136" i="33"/>
  <c r="H465" i="33"/>
  <c r="I352" i="33"/>
  <c r="H281" i="33"/>
  <c r="I214" i="33"/>
  <c r="H405" i="33"/>
  <c r="I262" i="33"/>
  <c r="I202" i="33"/>
  <c r="G141" i="33"/>
  <c r="I471" i="33"/>
  <c r="G214" i="33"/>
  <c r="G265" i="33"/>
  <c r="G284" i="33"/>
  <c r="I143" i="33"/>
  <c r="H145" i="33"/>
  <c r="G161" i="33"/>
  <c r="G336" i="33"/>
  <c r="I581" i="33"/>
  <c r="H354" i="33"/>
  <c r="I657" i="33"/>
  <c r="G664" i="33"/>
  <c r="I391" i="33"/>
  <c r="I93" i="33"/>
  <c r="H209" i="33"/>
  <c r="I342" i="33"/>
  <c r="H212" i="33"/>
  <c r="G514" i="33"/>
  <c r="H275" i="33"/>
  <c r="G151" i="33"/>
  <c r="I328" i="33"/>
  <c r="G353" i="33"/>
  <c r="I271" i="33"/>
  <c r="G457" i="33"/>
  <c r="G346" i="33"/>
  <c r="H271" i="33"/>
  <c r="G208" i="33"/>
  <c r="G399" i="33"/>
  <c r="I199" i="33"/>
  <c r="H138" i="33"/>
  <c r="I274" i="33"/>
  <c r="G221" i="33"/>
  <c r="G262" i="33"/>
  <c r="H217" i="33"/>
  <c r="G138" i="33"/>
  <c r="I207" i="33"/>
  <c r="I217" i="33"/>
  <c r="G199" i="33"/>
  <c r="H136" i="33"/>
  <c r="G160" i="33"/>
  <c r="I398" i="33"/>
  <c r="I160" i="33"/>
  <c r="H345" i="33"/>
  <c r="G210" i="33"/>
  <c r="H518" i="33"/>
  <c r="H509" i="33"/>
  <c r="I586" i="33"/>
  <c r="I632" i="33"/>
  <c r="I516" i="33"/>
  <c r="I448" i="33"/>
  <c r="H140" i="33"/>
  <c r="G327" i="33"/>
  <c r="H539" i="33"/>
  <c r="I161" i="33"/>
  <c r="G142" i="33"/>
  <c r="G395" i="33"/>
  <c r="H285" i="33"/>
  <c r="G206" i="33"/>
  <c r="H353" i="33"/>
  <c r="G212" i="33"/>
  <c r="H147" i="33"/>
  <c r="G268" i="33"/>
  <c r="H208" i="33"/>
  <c r="H291" i="33"/>
  <c r="I450" i="33"/>
  <c r="G341" i="33"/>
  <c r="I268" i="33"/>
  <c r="H205" i="33"/>
  <c r="G144" i="33"/>
  <c r="H511" i="33"/>
  <c r="H393" i="33"/>
  <c r="H202" i="33"/>
  <c r="H167" i="33"/>
  <c r="I230" i="33"/>
  <c r="H570" i="33"/>
  <c r="H386" i="33"/>
  <c r="H151" i="33"/>
  <c r="G416" i="33"/>
  <c r="G324" i="33"/>
  <c r="I325" i="33"/>
  <c r="H643" i="33"/>
  <c r="G633" i="33"/>
  <c r="G511" i="33"/>
  <c r="I137" i="33"/>
  <c r="H280" i="33"/>
  <c r="I322" i="33"/>
  <c r="G283" i="33"/>
  <c r="H157" i="33"/>
  <c r="G390" i="33"/>
  <c r="I275" i="33"/>
  <c r="G347" i="33"/>
  <c r="G266" i="33"/>
  <c r="I208" i="33"/>
  <c r="I144" i="33"/>
  <c r="H451" i="33"/>
  <c r="H341" i="33"/>
  <c r="I205" i="33"/>
  <c r="G334" i="33"/>
  <c r="I265" i="33"/>
  <c r="H141" i="33"/>
  <c r="I388" i="33"/>
  <c r="I291" i="33"/>
  <c r="H207" i="33"/>
  <c r="H143" i="33"/>
  <c r="H199" i="33"/>
  <c r="H150" i="33"/>
  <c r="H210" i="33"/>
  <c r="I451" i="33"/>
  <c r="I523" i="33"/>
  <c r="G328" i="33"/>
  <c r="I219" i="33"/>
  <c r="G272" i="33"/>
  <c r="H263" i="33"/>
  <c r="I260" i="33"/>
  <c r="G260" i="33"/>
  <c r="H222" i="33"/>
  <c r="H456" i="33"/>
  <c r="I156" i="33"/>
  <c r="I416" i="33"/>
  <c r="G389" i="33"/>
  <c r="G512" i="33"/>
  <c r="H528" i="33"/>
  <c r="I601" i="33"/>
  <c r="H477" i="33"/>
  <c r="G575" i="33"/>
  <c r="I600" i="33"/>
  <c r="H398" i="33"/>
  <c r="G270" i="33"/>
  <c r="H290" i="33"/>
  <c r="G148" i="33"/>
  <c r="I279" i="33"/>
  <c r="G388" i="33"/>
  <c r="I385" i="33"/>
  <c r="G269" i="33"/>
  <c r="I341" i="33"/>
  <c r="G263" i="33"/>
  <c r="G663" i="33"/>
  <c r="I334" i="33"/>
  <c r="H260" i="33"/>
  <c r="G203" i="33"/>
  <c r="I640" i="33"/>
  <c r="I329" i="33"/>
  <c r="I138" i="33"/>
  <c r="G228" i="33"/>
  <c r="G156" i="33"/>
  <c r="H455" i="33"/>
  <c r="I457" i="33"/>
  <c r="I327" i="33"/>
  <c r="H450" i="33"/>
  <c r="G264" i="33"/>
  <c r="I466" i="33"/>
  <c r="H593" i="33"/>
  <c r="G167" i="33"/>
  <c r="G168" i="33"/>
  <c r="I150" i="33"/>
  <c r="I387" i="33"/>
  <c r="F1976" i="208"/>
  <c r="T1976" i="208" s="1"/>
  <c r="F1839" i="208"/>
  <c r="T1839" i="208" s="1"/>
  <c r="AA789" i="208"/>
  <c r="AF1227" i="208"/>
  <c r="F1779" i="208"/>
  <c r="T1779" i="208" s="1"/>
  <c r="F2984" i="208"/>
  <c r="T2984" i="208" s="1"/>
  <c r="F1662" i="208"/>
  <c r="T1662" i="208" s="1"/>
  <c r="AA1365" i="208"/>
  <c r="F1403" i="208"/>
  <c r="T1403" i="208" s="1"/>
  <c r="F683" i="208"/>
  <c r="T683" i="208" s="1"/>
  <c r="F1169" i="208"/>
  <c r="T1169" i="208" s="1"/>
  <c r="AA501" i="208"/>
  <c r="AE1086" i="208"/>
  <c r="V828" i="208"/>
  <c r="AA654" i="208"/>
  <c r="F2486" i="208"/>
  <c r="T2486" i="208" s="1"/>
  <c r="V2701" i="208"/>
  <c r="F1601" i="208"/>
  <c r="T1601" i="208" s="1"/>
  <c r="F2054" i="208"/>
  <c r="T2054" i="208" s="1"/>
  <c r="AA366" i="208"/>
  <c r="V787" i="208"/>
  <c r="V826" i="208"/>
  <c r="V1221" i="208"/>
  <c r="F1261" i="208"/>
  <c r="T1261" i="208" s="1"/>
  <c r="AA539" i="208"/>
  <c r="AB2814" i="208"/>
  <c r="F1875" i="208"/>
  <c r="T1875" i="208" s="1"/>
  <c r="F2085" i="208"/>
  <c r="T2085" i="208" s="1"/>
  <c r="F1405" i="208"/>
  <c r="T1405" i="208" s="1"/>
  <c r="E2982" i="29"/>
  <c r="F2982" i="29" s="1"/>
  <c r="E2932" i="29"/>
  <c r="F2932" i="29" s="1"/>
  <c r="E2914" i="29"/>
  <c r="F2914" i="29" s="1"/>
  <c r="E2909" i="29"/>
  <c r="F2909" i="29" s="1"/>
  <c r="E2869" i="29"/>
  <c r="F2869" i="29" s="1"/>
  <c r="E2866" i="29"/>
  <c r="E2862" i="29"/>
  <c r="F2862" i="29" s="1"/>
  <c r="E2858" i="29"/>
  <c r="F2858" i="29" s="1"/>
  <c r="E2855" i="29"/>
  <c r="F2855" i="29" s="1"/>
  <c r="E2852" i="29"/>
  <c r="E2829" i="29"/>
  <c r="F2829" i="29" s="1"/>
  <c r="E2825" i="29"/>
  <c r="F2825" i="29" s="1"/>
  <c r="E2822" i="29"/>
  <c r="F2822" i="29" s="1"/>
  <c r="E2818" i="29"/>
  <c r="F2818" i="29" s="1"/>
  <c r="E2771" i="29"/>
  <c r="F2771" i="29" s="1"/>
  <c r="E2746" i="29"/>
  <c r="F2746" i="29" s="1"/>
  <c r="E2697" i="29"/>
  <c r="F2697" i="29" s="1"/>
  <c r="E2684" i="29"/>
  <c r="F2684" i="29" s="1"/>
  <c r="E104" i="33"/>
  <c r="E99" i="33"/>
  <c r="F99" i="33" s="1"/>
  <c r="E85" i="33"/>
  <c r="F85" i="33" s="1"/>
  <c r="E2979" i="29"/>
  <c r="F2979" i="29" s="1"/>
  <c r="E2976" i="29"/>
  <c r="E2972" i="29"/>
  <c r="F2972" i="29" s="1"/>
  <c r="E2968" i="29"/>
  <c r="F2968" i="29" s="1"/>
  <c r="E2965" i="29"/>
  <c r="F2965" i="29" s="1"/>
  <c r="E2961" i="29"/>
  <c r="F2961" i="29" s="1"/>
  <c r="E2929" i="29"/>
  <c r="F2929" i="29" s="1"/>
  <c r="E2906" i="29"/>
  <c r="F2906" i="29" s="1"/>
  <c r="E2902" i="29"/>
  <c r="F2902" i="29" s="1"/>
  <c r="E2899" i="29"/>
  <c r="E2895" i="29"/>
  <c r="F2895" i="29" s="1"/>
  <c r="E2891" i="29"/>
  <c r="F2891" i="29" s="1"/>
  <c r="E2888" i="29"/>
  <c r="F2888" i="29" s="1"/>
  <c r="E2885" i="29"/>
  <c r="F2885" i="29" s="1"/>
  <c r="E2792" i="29"/>
  <c r="F2792" i="29" s="1"/>
  <c r="E2766" i="29"/>
  <c r="F2766" i="29" s="1"/>
  <c r="E2763" i="29"/>
  <c r="E2743" i="29"/>
  <c r="F2743" i="29" s="1"/>
  <c r="E2724" i="29"/>
  <c r="F2724" i="29" s="1"/>
  <c r="E2720" i="29"/>
  <c r="F2720" i="29" s="1"/>
  <c r="E2716" i="29"/>
  <c r="F2716" i="29" s="1"/>
  <c r="E2694" i="29"/>
  <c r="F2694" i="29" s="1"/>
  <c r="E95" i="33"/>
  <c r="F95" i="33" s="1"/>
  <c r="E88" i="33"/>
  <c r="E82" i="33"/>
  <c r="F82" i="33" s="1"/>
  <c r="E79" i="33"/>
  <c r="F79" i="33" s="1"/>
  <c r="E76" i="33"/>
  <c r="F76" i="33" s="1"/>
  <c r="E2925" i="29"/>
  <c r="F2925" i="29" s="1"/>
  <c r="E2921" i="29"/>
  <c r="E2806" i="29"/>
  <c r="E2789" i="29"/>
  <c r="F2789" i="29" s="1"/>
  <c r="E2759" i="29"/>
  <c r="F2759" i="29" s="1"/>
  <c r="E2755" i="29"/>
  <c r="F2755" i="29" s="1"/>
  <c r="E2740" i="29"/>
  <c r="F2740" i="29" s="1"/>
  <c r="E2737" i="29"/>
  <c r="F2737" i="29" s="1"/>
  <c r="E2733" i="29"/>
  <c r="F2733" i="29" s="1"/>
  <c r="E2713" i="29"/>
  <c r="F2713" i="29" s="1"/>
  <c r="E2710" i="29"/>
  <c r="E2917" i="29"/>
  <c r="F2917" i="29" s="1"/>
  <c r="E2882" i="29"/>
  <c r="F2882" i="29" s="1"/>
  <c r="E2879" i="29"/>
  <c r="E2875" i="29"/>
  <c r="F2875" i="29" s="1"/>
  <c r="E2838" i="29"/>
  <c r="F2838" i="29" s="1"/>
  <c r="E2835" i="29"/>
  <c r="F2835" i="29" s="1"/>
  <c r="E2831" i="29"/>
  <c r="F2831" i="29" s="1"/>
  <c r="E2786" i="29"/>
  <c r="F2786" i="29" s="1"/>
  <c r="E2782" i="29"/>
  <c r="E2777" i="29"/>
  <c r="F2777" i="29" s="1"/>
  <c r="E2752" i="29"/>
  <c r="F2752" i="29" s="1"/>
  <c r="E2981" i="29"/>
  <c r="F2981" i="29" s="1"/>
  <c r="E2934" i="29"/>
  <c r="F2934" i="29" s="1"/>
  <c r="E2913" i="29"/>
  <c r="F2913" i="29" s="1"/>
  <c r="E2872" i="29"/>
  <c r="F2872" i="29" s="1"/>
  <c r="E2868" i="29"/>
  <c r="F2868" i="29" s="1"/>
  <c r="E2864" i="29"/>
  <c r="F2864" i="29" s="1"/>
  <c r="E2861" i="29"/>
  <c r="F2861" i="29" s="1"/>
  <c r="E2857" i="29"/>
  <c r="F2857" i="29" s="1"/>
  <c r="E2854" i="29"/>
  <c r="F2854" i="29" s="1"/>
  <c r="E2828" i="29"/>
  <c r="E2824" i="29"/>
  <c r="F2824" i="29" s="1"/>
  <c r="E2821" i="29"/>
  <c r="E2774" i="29"/>
  <c r="F2774" i="29" s="1"/>
  <c r="E2770" i="29"/>
  <c r="E2748" i="29"/>
  <c r="F2748" i="29" s="1"/>
  <c r="E2745" i="29"/>
  <c r="F2745" i="29" s="1"/>
  <c r="E2726" i="29"/>
  <c r="F2726" i="29" s="1"/>
  <c r="E106" i="33"/>
  <c r="F106" i="33" s="1"/>
  <c r="E98" i="33"/>
  <c r="F98" i="33" s="1"/>
  <c r="E74" i="33"/>
  <c r="E84" i="33"/>
  <c r="F84" i="33" s="1"/>
  <c r="E2978" i="29"/>
  <c r="F2978" i="29" s="1"/>
  <c r="E2974" i="29"/>
  <c r="F2974" i="29" s="1"/>
  <c r="E2971" i="29"/>
  <c r="F2971" i="29" s="1"/>
  <c r="E2967" i="29"/>
  <c r="F2967" i="29" s="1"/>
  <c r="E2964" i="29"/>
  <c r="F2964" i="29" s="1"/>
  <c r="E2960" i="29"/>
  <c r="F2960" i="29" s="1"/>
  <c r="E2931" i="29"/>
  <c r="F2931" i="29" s="1"/>
  <c r="E2908" i="29"/>
  <c r="F2908" i="29" s="1"/>
  <c r="E2905" i="29"/>
  <c r="F2905" i="29" s="1"/>
  <c r="E2901" i="29"/>
  <c r="F2901" i="29" s="1"/>
  <c r="E2897" i="29"/>
  <c r="F2897" i="29" s="1"/>
  <c r="E2894" i="29"/>
  <c r="F2894" i="29" s="1"/>
  <c r="E2890" i="29"/>
  <c r="F2890" i="29" s="1"/>
  <c r="E2887" i="29"/>
  <c r="F2887" i="29" s="1"/>
  <c r="E2817" i="29"/>
  <c r="F2817" i="29" s="1"/>
  <c r="E94" i="33"/>
  <c r="F94" i="33" s="1"/>
  <c r="E90" i="33"/>
  <c r="F90" i="33" s="1"/>
  <c r="E81" i="33"/>
  <c r="F81" i="33" s="1"/>
  <c r="E78" i="33"/>
  <c r="F78" i="33" s="1"/>
  <c r="E75" i="33"/>
  <c r="F75" i="33" s="1"/>
  <c r="E2948" i="29"/>
  <c r="F2948" i="29" s="1"/>
  <c r="E2928" i="29"/>
  <c r="E2924" i="29"/>
  <c r="E2884" i="29"/>
  <c r="F2884" i="29" s="1"/>
  <c r="E2840" i="29"/>
  <c r="F2840" i="29" s="1"/>
  <c r="E2788" i="29"/>
  <c r="F2788" i="29" s="1"/>
  <c r="E2758" i="29"/>
  <c r="F2758" i="29" s="1"/>
  <c r="E2739" i="29"/>
  <c r="F2739" i="29" s="1"/>
  <c r="E2735" i="29"/>
  <c r="F2735" i="29" s="1"/>
  <c r="E2732" i="29"/>
  <c r="F2732" i="29" s="1"/>
  <c r="E2919" i="29"/>
  <c r="F2919" i="29" s="1"/>
  <c r="E2916" i="29"/>
  <c r="E2881" i="29"/>
  <c r="F2881" i="29" s="1"/>
  <c r="E2877" i="29"/>
  <c r="F2877" i="29" s="1"/>
  <c r="E2874" i="29"/>
  <c r="F2874" i="29" s="1"/>
  <c r="E2837" i="29"/>
  <c r="F2837" i="29" s="1"/>
  <c r="E2834" i="29"/>
  <c r="F2834" i="29" s="1"/>
  <c r="E2830" i="29"/>
  <c r="F2830" i="29" s="1"/>
  <c r="E2784" i="29"/>
  <c r="F2784" i="29" s="1"/>
  <c r="E2780" i="29"/>
  <c r="F2780" i="29" s="1"/>
  <c r="E2776" i="29"/>
  <c r="F2776" i="29" s="1"/>
  <c r="E2754" i="29"/>
  <c r="F2754" i="29" s="1"/>
  <c r="E2751" i="29"/>
  <c r="F2751" i="29" s="1"/>
  <c r="E2728" i="29"/>
  <c r="F2728" i="29" s="1"/>
  <c r="E2933" i="29"/>
  <c r="F2933" i="29" s="1"/>
  <c r="E2912" i="29"/>
  <c r="E2870" i="29"/>
  <c r="F2870" i="29" s="1"/>
  <c r="E2867" i="29"/>
  <c r="F2867" i="29" s="1"/>
  <c r="E2863" i="29"/>
  <c r="F2863" i="29" s="1"/>
  <c r="E2860" i="29"/>
  <c r="E2856" i="29"/>
  <c r="F2856" i="29" s="1"/>
  <c r="E2853" i="29"/>
  <c r="F2853" i="29" s="1"/>
  <c r="E2826" i="29"/>
  <c r="F2826" i="29" s="1"/>
  <c r="E2823" i="29"/>
  <c r="F2823" i="29" s="1"/>
  <c r="E2819" i="29"/>
  <c r="F2819" i="29" s="1"/>
  <c r="E2772" i="29"/>
  <c r="F2772" i="29" s="1"/>
  <c r="E2747" i="29"/>
  <c r="F2747" i="29" s="1"/>
  <c r="E2744" i="29"/>
  <c r="F2744" i="29" s="1"/>
  <c r="E2725" i="29"/>
  <c r="F2725" i="29" s="1"/>
  <c r="E2698" i="29"/>
  <c r="F2698" i="29" s="1"/>
  <c r="E105" i="33"/>
  <c r="F105" i="33" s="1"/>
  <c r="E86" i="33"/>
  <c r="F86" i="33" s="1"/>
  <c r="E83" i="33"/>
  <c r="F83" i="33" s="1"/>
  <c r="E2980" i="29"/>
  <c r="F2980" i="29" s="1"/>
  <c r="E2977" i="29"/>
  <c r="F2977" i="29" s="1"/>
  <c r="E2973" i="29"/>
  <c r="F2973" i="29" s="1"/>
  <c r="E2970" i="29"/>
  <c r="F2970" i="29" s="1"/>
  <c r="E2966" i="29"/>
  <c r="F2966" i="29" s="1"/>
  <c r="E2963" i="29"/>
  <c r="E2930" i="29"/>
  <c r="F2930" i="29" s="1"/>
  <c r="E2907" i="29"/>
  <c r="F2907" i="29" s="1"/>
  <c r="E2903" i="29"/>
  <c r="F2903" i="29" s="1"/>
  <c r="E2900" i="29"/>
  <c r="F2900" i="29" s="1"/>
  <c r="E2896" i="29"/>
  <c r="F2896" i="29" s="1"/>
  <c r="E2893" i="29"/>
  <c r="E2889" i="29"/>
  <c r="F2889" i="29" s="1"/>
  <c r="E2886" i="29"/>
  <c r="F2886" i="29" s="1"/>
  <c r="E2767" i="29"/>
  <c r="F2767" i="29" s="1"/>
  <c r="E2764" i="29"/>
  <c r="F2764" i="29" s="1"/>
  <c r="E97" i="33"/>
  <c r="E93" i="33"/>
  <c r="E89" i="33"/>
  <c r="F89" i="33" s="1"/>
  <c r="E80" i="33"/>
  <c r="F80" i="33" s="1"/>
  <c r="E77" i="33"/>
  <c r="F77" i="33" s="1"/>
  <c r="E2959" i="29"/>
  <c r="E2926" i="29"/>
  <c r="F2926" i="29" s="1"/>
  <c r="E2922" i="29"/>
  <c r="F2922" i="29" s="1"/>
  <c r="E2839" i="29"/>
  <c r="F2839" i="29" s="1"/>
  <c r="E2790" i="29"/>
  <c r="F2790" i="29" s="1"/>
  <c r="E2787" i="29"/>
  <c r="F2787" i="29" s="1"/>
  <c r="E2760" i="29"/>
  <c r="F2760" i="29" s="1"/>
  <c r="E2757" i="29"/>
  <c r="E2741" i="29"/>
  <c r="F2741" i="29" s="1"/>
  <c r="E2738" i="29"/>
  <c r="F2738" i="29" s="1"/>
  <c r="E2734" i="29"/>
  <c r="F2734" i="29" s="1"/>
  <c r="E2714" i="29"/>
  <c r="F2714" i="29" s="1"/>
  <c r="E2711" i="29"/>
  <c r="F2711" i="29" s="1"/>
  <c r="E2688" i="29"/>
  <c r="F2688" i="29" s="1"/>
  <c r="E2883" i="29"/>
  <c r="F2883" i="29" s="1"/>
  <c r="E2779" i="29"/>
  <c r="E2715" i="29"/>
  <c r="F2715" i="29" s="1"/>
  <c r="E2693" i="29"/>
  <c r="F2693" i="29" s="1"/>
  <c r="E2680" i="29"/>
  <c r="F2680" i="29" s="1"/>
  <c r="E2664" i="29"/>
  <c r="E2647" i="29"/>
  <c r="F2647" i="29" s="1"/>
  <c r="E2644" i="29"/>
  <c r="E2640" i="29"/>
  <c r="E2597" i="29"/>
  <c r="F2597" i="29" s="1"/>
  <c r="E2593" i="29"/>
  <c r="F2593" i="29" s="1"/>
  <c r="E2590" i="29"/>
  <c r="F2590" i="29" s="1"/>
  <c r="E2586" i="29"/>
  <c r="F2586" i="29" s="1"/>
  <c r="E2583" i="29"/>
  <c r="F2583" i="29" s="1"/>
  <c r="E2579" i="29"/>
  <c r="F2579" i="29" s="1"/>
  <c r="E2556" i="29"/>
  <c r="F2556" i="29" s="1"/>
  <c r="E2553" i="29"/>
  <c r="F2553" i="29" s="1"/>
  <c r="E2550" i="29"/>
  <c r="E2506" i="29"/>
  <c r="F2506" i="29" s="1"/>
  <c r="E2503" i="29"/>
  <c r="F2503" i="29" s="1"/>
  <c r="E2483" i="29"/>
  <c r="F2483" i="29" s="1"/>
  <c r="E2480" i="29"/>
  <c r="F2480" i="29" s="1"/>
  <c r="E2460" i="29"/>
  <c r="F2460" i="29" s="1"/>
  <c r="E2457" i="29"/>
  <c r="F2457" i="29" s="1"/>
  <c r="E2441" i="29"/>
  <c r="F2441" i="29" s="1"/>
  <c r="E2880" i="29"/>
  <c r="F2880" i="29" s="1"/>
  <c r="E2836" i="29"/>
  <c r="F2836" i="29" s="1"/>
  <c r="E2742" i="29"/>
  <c r="F2742" i="29" s="1"/>
  <c r="E2687" i="29"/>
  <c r="F2687" i="29" s="1"/>
  <c r="E2683" i="29"/>
  <c r="F2683" i="29" s="1"/>
  <c r="E2576" i="29"/>
  <c r="F2576" i="29" s="1"/>
  <c r="E2572" i="29"/>
  <c r="F2572" i="29" s="1"/>
  <c r="E2546" i="29"/>
  <c r="F2546" i="29" s="1"/>
  <c r="E2542" i="29"/>
  <c r="F2542" i="29" s="1"/>
  <c r="E2539" i="29"/>
  <c r="F2539" i="29" s="1"/>
  <c r="E2499" i="29"/>
  <c r="F2499" i="29" s="1"/>
  <c r="E2476" i="29"/>
  <c r="F2476" i="29" s="1"/>
  <c r="E2473" i="29"/>
  <c r="E2454" i="29"/>
  <c r="F2454" i="29" s="1"/>
  <c r="E2450" i="29"/>
  <c r="F2450" i="29" s="1"/>
  <c r="E2918" i="29"/>
  <c r="F2918" i="29" s="1"/>
  <c r="E2876" i="29"/>
  <c r="F2876" i="29" s="1"/>
  <c r="E2832" i="29"/>
  <c r="F2832" i="29" s="1"/>
  <c r="E2775" i="29"/>
  <c r="F2775" i="29" s="1"/>
  <c r="E2753" i="29"/>
  <c r="F2753" i="29" s="1"/>
  <c r="E2722" i="29"/>
  <c r="F2722" i="29" s="1"/>
  <c r="E2635" i="29"/>
  <c r="F2635" i="29" s="1"/>
  <c r="E2632" i="29"/>
  <c r="E2628" i="29"/>
  <c r="E2623" i="29"/>
  <c r="F2623" i="29" s="1"/>
  <c r="E2619" i="29"/>
  <c r="F2619" i="29" s="1"/>
  <c r="E2616" i="29"/>
  <c r="F2616" i="29" s="1"/>
  <c r="E2612" i="29"/>
  <c r="F2612" i="29" s="1"/>
  <c r="E2569" i="29"/>
  <c r="F2569" i="29" s="1"/>
  <c r="E2535" i="29"/>
  <c r="F2535" i="29" s="1"/>
  <c r="E2495" i="29"/>
  <c r="E2491" i="29"/>
  <c r="E2469" i="29"/>
  <c r="F2469" i="29" s="1"/>
  <c r="E2465" i="29"/>
  <c r="F2465" i="29" s="1"/>
  <c r="E2447" i="29"/>
  <c r="F2447" i="29" s="1"/>
  <c r="E2873" i="29"/>
  <c r="F2873" i="29" s="1"/>
  <c r="E2731" i="29"/>
  <c r="F2731" i="29" s="1"/>
  <c r="E2692" i="29"/>
  <c r="E2649" i="29"/>
  <c r="F2649" i="29" s="1"/>
  <c r="E2609" i="29"/>
  <c r="E2605" i="29"/>
  <c r="F2605" i="29" s="1"/>
  <c r="E2602" i="29"/>
  <c r="F2602" i="29" s="1"/>
  <c r="E2487" i="29"/>
  <c r="F2487" i="29" s="1"/>
  <c r="E2462" i="29"/>
  <c r="F2462" i="29" s="1"/>
  <c r="E2443" i="29"/>
  <c r="F2443" i="29" s="1"/>
  <c r="E2434" i="29"/>
  <c r="F2434" i="29" s="1"/>
  <c r="E2414" i="29"/>
  <c r="F2414" i="29" s="1"/>
  <c r="E2411" i="29"/>
  <c r="F2411" i="29" s="1"/>
  <c r="E2408" i="29"/>
  <c r="E2404" i="29"/>
  <c r="F2404" i="29" s="1"/>
  <c r="E2749" i="29"/>
  <c r="F2749" i="29" s="1"/>
  <c r="E2730" i="29"/>
  <c r="E2721" i="29"/>
  <c r="F2721" i="29" s="1"/>
  <c r="E2679" i="29"/>
  <c r="E2675" i="29"/>
  <c r="F2675" i="29" s="1"/>
  <c r="E2646" i="29"/>
  <c r="F2646" i="29" s="1"/>
  <c r="E2642" i="29"/>
  <c r="F2642" i="29" s="1"/>
  <c r="E2638" i="29"/>
  <c r="F2638" i="29" s="1"/>
  <c r="E2599" i="29"/>
  <c r="F2599" i="29" s="1"/>
  <c r="E2596" i="29"/>
  <c r="F2596" i="29" s="1"/>
  <c r="E2592" i="29"/>
  <c r="F2592" i="29" s="1"/>
  <c r="E2589" i="29"/>
  <c r="F2589" i="29" s="1"/>
  <c r="E2585" i="29"/>
  <c r="F2585" i="29" s="1"/>
  <c r="E2582" i="29"/>
  <c r="E2578" i="29"/>
  <c r="F2578" i="29" s="1"/>
  <c r="E2555" i="29"/>
  <c r="F2555" i="29" s="1"/>
  <c r="E2552" i="29"/>
  <c r="F2552" i="29" s="1"/>
  <c r="E2508" i="29"/>
  <c r="F2508" i="29" s="1"/>
  <c r="E2505" i="29"/>
  <c r="F2505" i="29" s="1"/>
  <c r="E2502" i="29"/>
  <c r="F2502" i="29" s="1"/>
  <c r="E2482" i="29"/>
  <c r="F2482" i="29" s="1"/>
  <c r="E2479" i="29"/>
  <c r="F2479" i="29" s="1"/>
  <c r="E2459" i="29"/>
  <c r="F2459" i="29" s="1"/>
  <c r="E2430" i="29"/>
  <c r="F2430" i="29" s="1"/>
  <c r="E2791" i="29"/>
  <c r="F2791" i="29" s="1"/>
  <c r="E2690" i="29"/>
  <c r="F2690" i="29" s="1"/>
  <c r="E2682" i="29"/>
  <c r="F2682" i="29" s="1"/>
  <c r="E2574" i="29"/>
  <c r="F2574" i="29" s="1"/>
  <c r="E2548" i="29"/>
  <c r="F2548" i="29" s="1"/>
  <c r="E2545" i="29"/>
  <c r="F2545" i="29" s="1"/>
  <c r="E2541" i="29"/>
  <c r="F2541" i="29" s="1"/>
  <c r="E2538" i="29"/>
  <c r="F2538" i="29" s="1"/>
  <c r="E2475" i="29"/>
  <c r="F2475" i="29" s="1"/>
  <c r="E2471" i="29"/>
  <c r="F2471" i="29" s="1"/>
  <c r="E2456" i="29"/>
  <c r="F2456" i="29" s="1"/>
  <c r="E2453" i="29"/>
  <c r="F2453" i="29" s="1"/>
  <c r="E2449" i="29"/>
  <c r="F2449" i="29" s="1"/>
  <c r="E2440" i="29"/>
  <c r="E2436" i="29"/>
  <c r="F2436" i="29" s="1"/>
  <c r="E2427" i="29"/>
  <c r="F2427" i="29" s="1"/>
  <c r="E2393" i="29"/>
  <c r="F2393" i="29" s="1"/>
  <c r="E2712" i="29"/>
  <c r="F2712" i="29" s="1"/>
  <c r="E2696" i="29"/>
  <c r="F2696" i="29" s="1"/>
  <c r="E2686" i="29"/>
  <c r="F2686" i="29" s="1"/>
  <c r="E2634" i="29"/>
  <c r="F2634" i="29" s="1"/>
  <c r="E2630" i="29"/>
  <c r="F2630" i="29" s="1"/>
  <c r="E2625" i="29"/>
  <c r="F2625" i="29" s="1"/>
  <c r="E2622" i="29"/>
  <c r="F2622" i="29" s="1"/>
  <c r="E2618" i="29"/>
  <c r="F2618" i="29" s="1"/>
  <c r="E2615" i="29"/>
  <c r="E2571" i="29"/>
  <c r="F2571" i="29" s="1"/>
  <c r="E2568" i="29"/>
  <c r="F2568" i="29" s="1"/>
  <c r="E2534" i="29"/>
  <c r="F2534" i="29" s="1"/>
  <c r="E2522" i="29"/>
  <c r="F2522" i="29" s="1"/>
  <c r="E2498" i="29"/>
  <c r="E2493" i="29"/>
  <c r="F2493" i="29" s="1"/>
  <c r="E2490" i="29"/>
  <c r="F2490" i="29" s="1"/>
  <c r="E2468" i="29"/>
  <c r="F2468" i="29" s="1"/>
  <c r="E2464" i="29"/>
  <c r="F2464" i="29" s="1"/>
  <c r="E2765" i="29"/>
  <c r="F2765" i="29" s="1"/>
  <c r="E2727" i="29"/>
  <c r="F2727" i="29" s="1"/>
  <c r="E2719" i="29"/>
  <c r="F2719" i="29" s="1"/>
  <c r="E2648" i="29"/>
  <c r="F2648" i="29" s="1"/>
  <c r="E2611" i="29"/>
  <c r="F2611" i="29" s="1"/>
  <c r="E2607" i="29"/>
  <c r="F2607" i="29" s="1"/>
  <c r="E2604" i="29"/>
  <c r="F2604" i="29" s="1"/>
  <c r="E2601" i="29"/>
  <c r="F2601" i="29" s="1"/>
  <c r="E2486" i="29"/>
  <c r="F2486" i="29" s="1"/>
  <c r="E2461" i="29"/>
  <c r="F2461" i="29" s="1"/>
  <c r="E2446" i="29"/>
  <c r="F2446" i="29" s="1"/>
  <c r="E2432" i="29"/>
  <c r="F2432" i="29" s="1"/>
  <c r="E2413" i="29"/>
  <c r="F2413" i="29" s="1"/>
  <c r="E2410" i="29"/>
  <c r="F2410" i="29" s="1"/>
  <c r="E2406" i="29"/>
  <c r="F2406" i="29" s="1"/>
  <c r="E2403" i="29"/>
  <c r="F2403" i="29" s="1"/>
  <c r="E2677" i="29"/>
  <c r="F2677" i="29" s="1"/>
  <c r="E2645" i="29"/>
  <c r="F2645" i="29" s="1"/>
  <c r="E2641" i="29"/>
  <c r="F2641" i="29" s="1"/>
  <c r="E2598" i="29"/>
  <c r="F2598" i="29" s="1"/>
  <c r="E2595" i="29"/>
  <c r="E2591" i="29"/>
  <c r="F2591" i="29" s="1"/>
  <c r="E2588" i="29"/>
  <c r="F2588" i="29" s="1"/>
  <c r="E2584" i="29"/>
  <c r="F2584" i="29" s="1"/>
  <c r="E2580" i="29"/>
  <c r="F2580" i="29" s="1"/>
  <c r="E2554" i="29"/>
  <c r="F2554" i="29" s="1"/>
  <c r="E2551" i="29"/>
  <c r="F2551" i="29" s="1"/>
  <c r="E2507" i="29"/>
  <c r="F2507" i="29" s="1"/>
  <c r="E2504" i="29"/>
  <c r="F2504" i="29" s="1"/>
  <c r="E2481" i="29"/>
  <c r="F2481" i="29" s="1"/>
  <c r="E2477" i="29"/>
  <c r="F2477" i="29" s="1"/>
  <c r="E2458" i="29"/>
  <c r="F2458" i="29" s="1"/>
  <c r="E2442" i="29"/>
  <c r="F2442" i="29" s="1"/>
  <c r="E2429" i="29"/>
  <c r="F2429" i="29" s="1"/>
  <c r="E2761" i="29"/>
  <c r="F2761" i="29" s="1"/>
  <c r="E2718" i="29"/>
  <c r="E2695" i="29"/>
  <c r="F2695" i="29" s="1"/>
  <c r="E2689" i="29"/>
  <c r="F2689" i="29" s="1"/>
  <c r="E2681" i="29"/>
  <c r="F2681" i="29" s="1"/>
  <c r="E2637" i="29"/>
  <c r="F2637" i="29" s="1"/>
  <c r="E2577" i="29"/>
  <c r="F2577" i="29" s="1"/>
  <c r="E2573" i="29"/>
  <c r="F2573" i="29" s="1"/>
  <c r="E2547" i="29"/>
  <c r="F2547" i="29" s="1"/>
  <c r="E2544" i="29"/>
  <c r="E2540" i="29"/>
  <c r="F2540" i="29" s="1"/>
  <c r="E2500" i="29"/>
  <c r="F2500" i="29" s="1"/>
  <c r="E2474" i="29"/>
  <c r="F2474" i="29" s="1"/>
  <c r="E2455" i="29"/>
  <c r="F2455" i="29" s="1"/>
  <c r="E2451" i="29"/>
  <c r="F2451" i="29" s="1"/>
  <c r="E2448" i="29"/>
  <c r="F2448" i="29" s="1"/>
  <c r="E2438" i="29"/>
  <c r="F2438" i="29" s="1"/>
  <c r="E2783" i="29"/>
  <c r="F2783" i="29" s="1"/>
  <c r="E2650" i="29"/>
  <c r="F2650" i="29" s="1"/>
  <c r="E2633" i="29"/>
  <c r="F2633" i="29" s="1"/>
  <c r="E2629" i="29"/>
  <c r="F2629" i="29" s="1"/>
  <c r="E2624" i="29"/>
  <c r="F2624" i="29" s="1"/>
  <c r="E2621" i="29"/>
  <c r="F2621" i="29" s="1"/>
  <c r="E2617" i="29"/>
  <c r="F2617" i="29" s="1"/>
  <c r="E2613" i="29"/>
  <c r="F2613" i="29" s="1"/>
  <c r="E2570" i="29"/>
  <c r="F2570" i="29" s="1"/>
  <c r="E2537" i="29"/>
  <c r="F2537" i="29" s="1"/>
  <c r="E2533" i="29"/>
  <c r="E2496" i="29"/>
  <c r="F2496" i="29" s="1"/>
  <c r="E2492" i="29"/>
  <c r="F2492" i="29" s="1"/>
  <c r="E2470" i="29"/>
  <c r="F2470" i="29" s="1"/>
  <c r="E2467" i="29"/>
  <c r="E2463" i="29"/>
  <c r="F2463" i="29" s="1"/>
  <c r="E2435" i="29"/>
  <c r="F2435" i="29" s="1"/>
  <c r="E2610" i="29"/>
  <c r="F2610" i="29" s="1"/>
  <c r="E2488" i="29"/>
  <c r="F2488" i="29" s="1"/>
  <c r="E2397" i="29"/>
  <c r="F2397" i="29" s="1"/>
  <c r="E2364" i="29"/>
  <c r="F2364" i="29" s="1"/>
  <c r="E2341" i="29"/>
  <c r="F2341" i="29" s="1"/>
  <c r="E2338" i="29"/>
  <c r="F2338" i="29" s="1"/>
  <c r="E2334" i="29"/>
  <c r="F2334" i="29" s="1"/>
  <c r="E2331" i="29"/>
  <c r="E2301" i="29"/>
  <c r="F2301" i="29" s="1"/>
  <c r="E2251" i="29"/>
  <c r="F2251" i="29" s="1"/>
  <c r="E2222" i="29"/>
  <c r="F2222" i="29" s="1"/>
  <c r="E2197" i="29"/>
  <c r="F2197" i="29" s="1"/>
  <c r="E2193" i="29"/>
  <c r="F2193" i="29" s="1"/>
  <c r="E2190" i="29"/>
  <c r="F2190" i="29" s="1"/>
  <c r="E2171" i="29"/>
  <c r="F2171" i="29" s="1"/>
  <c r="E2147" i="29"/>
  <c r="F2147" i="29" s="1"/>
  <c r="E2128" i="29"/>
  <c r="F2128" i="29" s="1"/>
  <c r="E2125" i="29"/>
  <c r="F2125" i="29" s="1"/>
  <c r="E2121" i="29"/>
  <c r="F2121" i="29" s="1"/>
  <c r="E2118" i="29"/>
  <c r="E2606" i="29"/>
  <c r="F2606" i="29" s="1"/>
  <c r="E2444" i="29"/>
  <c r="F2444" i="29" s="1"/>
  <c r="E2298" i="29"/>
  <c r="E2294" i="29"/>
  <c r="F2294" i="29" s="1"/>
  <c r="E2290" i="29"/>
  <c r="F2290" i="29" s="1"/>
  <c r="E2271" i="29"/>
  <c r="F2271" i="29" s="1"/>
  <c r="E2268" i="29"/>
  <c r="F2268" i="29" s="1"/>
  <c r="E2264" i="29"/>
  <c r="F2264" i="29" s="1"/>
  <c r="E2219" i="29"/>
  <c r="F2219" i="29" s="1"/>
  <c r="E2208" i="29"/>
  <c r="F2208" i="29" s="1"/>
  <c r="E2186" i="29"/>
  <c r="F2186" i="29" s="1"/>
  <c r="E2167" i="29"/>
  <c r="F2167" i="29" s="1"/>
  <c r="E2164" i="29"/>
  <c r="F2164" i="29" s="1"/>
  <c r="E2144" i="29"/>
  <c r="F2144" i="29" s="1"/>
  <c r="E2603" i="29"/>
  <c r="F2603" i="29" s="1"/>
  <c r="E2412" i="29"/>
  <c r="F2412" i="29" s="1"/>
  <c r="E2400" i="29"/>
  <c r="F2400" i="29" s="1"/>
  <c r="E2361" i="29"/>
  <c r="F2361" i="29" s="1"/>
  <c r="E2357" i="29"/>
  <c r="F2357" i="29" s="1"/>
  <c r="E2353" i="29"/>
  <c r="E2327" i="29"/>
  <c r="F2327" i="29" s="1"/>
  <c r="E2215" i="29"/>
  <c r="F2215" i="29" s="1"/>
  <c r="E2211" i="29"/>
  <c r="E2204" i="29"/>
  <c r="F2204" i="29" s="1"/>
  <c r="E2114" i="29"/>
  <c r="F2114" i="29" s="1"/>
  <c r="E2111" i="29"/>
  <c r="E2676" i="29"/>
  <c r="F2676" i="29" s="1"/>
  <c r="E2600" i="29"/>
  <c r="F2600" i="29" s="1"/>
  <c r="E2405" i="29"/>
  <c r="F2405" i="29" s="1"/>
  <c r="E2396" i="29"/>
  <c r="F2396" i="29" s="1"/>
  <c r="E2392" i="29"/>
  <c r="F2392" i="29" s="1"/>
  <c r="E2349" i="29"/>
  <c r="F2349" i="29" s="1"/>
  <c r="E2345" i="29"/>
  <c r="F2345" i="29" s="1"/>
  <c r="E2323" i="29"/>
  <c r="F2323" i="29" s="1"/>
  <c r="E2320" i="29"/>
  <c r="F2320" i="29" s="1"/>
  <c r="E2317" i="29"/>
  <c r="F2317" i="29" s="1"/>
  <c r="E2314" i="29"/>
  <c r="F2314" i="29" s="1"/>
  <c r="E2311" i="29"/>
  <c r="E2307" i="29"/>
  <c r="F2307" i="29" s="1"/>
  <c r="E2304" i="29"/>
  <c r="E2287" i="29"/>
  <c r="F2287" i="29" s="1"/>
  <c r="E2284" i="29"/>
  <c r="E2261" i="29"/>
  <c r="F2261" i="29" s="1"/>
  <c r="E2257" i="29"/>
  <c r="F2257" i="29" s="1"/>
  <c r="E2254" i="29"/>
  <c r="F2254" i="29" s="1"/>
  <c r="E2199" i="29"/>
  <c r="F2199" i="29" s="1"/>
  <c r="E2183" i="29"/>
  <c r="F2183" i="29" s="1"/>
  <c r="E2179" i="29"/>
  <c r="F2179" i="29" s="1"/>
  <c r="E2176" i="29"/>
  <c r="F2176" i="29" s="1"/>
  <c r="E2160" i="29"/>
  <c r="F2160" i="29" s="1"/>
  <c r="E2157" i="29"/>
  <c r="F2157" i="29" s="1"/>
  <c r="E2153" i="29"/>
  <c r="F2153" i="29" s="1"/>
  <c r="E2150" i="29"/>
  <c r="F2150" i="29" s="1"/>
  <c r="E2130" i="29"/>
  <c r="F2130" i="29" s="1"/>
  <c r="E2428" i="29"/>
  <c r="F2428" i="29" s="1"/>
  <c r="E2399" i="29"/>
  <c r="F2399" i="29" s="1"/>
  <c r="E2366" i="29"/>
  <c r="F2366" i="29" s="1"/>
  <c r="E2340" i="29"/>
  <c r="F2340" i="29" s="1"/>
  <c r="E2337" i="29"/>
  <c r="F2337" i="29" s="1"/>
  <c r="E2333" i="29"/>
  <c r="F2333" i="29" s="1"/>
  <c r="E2329" i="29"/>
  <c r="F2329" i="29" s="1"/>
  <c r="E2224" i="29"/>
  <c r="F2224" i="29" s="1"/>
  <c r="E2221" i="29"/>
  <c r="F2221" i="29" s="1"/>
  <c r="E2196" i="29"/>
  <c r="F2196" i="29" s="1"/>
  <c r="E2192" i="29"/>
  <c r="F2192" i="29" s="1"/>
  <c r="E2189" i="29"/>
  <c r="E2173" i="29"/>
  <c r="F2173" i="29" s="1"/>
  <c r="E2127" i="29"/>
  <c r="F2127" i="29" s="1"/>
  <c r="E2124" i="29"/>
  <c r="F2124" i="29" s="1"/>
  <c r="E2120" i="29"/>
  <c r="F2120" i="29" s="1"/>
  <c r="E2437" i="29"/>
  <c r="F2437" i="29" s="1"/>
  <c r="E2363" i="29"/>
  <c r="F2363" i="29" s="1"/>
  <c r="E2300" i="29"/>
  <c r="F2300" i="29" s="1"/>
  <c r="E2296" i="29"/>
  <c r="F2296" i="29" s="1"/>
  <c r="E2293" i="29"/>
  <c r="F2293" i="29" s="1"/>
  <c r="E2270" i="29"/>
  <c r="F2270" i="29" s="1"/>
  <c r="E2267" i="29"/>
  <c r="F2267" i="29" s="1"/>
  <c r="E2250" i="29"/>
  <c r="F2250" i="29" s="1"/>
  <c r="E2238" i="29"/>
  <c r="F2238" i="29" s="1"/>
  <c r="E2207" i="29"/>
  <c r="F2207" i="29" s="1"/>
  <c r="E2170" i="29"/>
  <c r="F2170" i="29" s="1"/>
  <c r="E2166" i="29"/>
  <c r="F2166" i="29" s="1"/>
  <c r="E2163" i="29"/>
  <c r="F2163" i="29" s="1"/>
  <c r="E2426" i="29"/>
  <c r="E2380" i="29"/>
  <c r="E2360" i="29"/>
  <c r="E2356" i="29"/>
  <c r="E2326" i="29"/>
  <c r="F2326" i="29" s="1"/>
  <c r="E2289" i="29"/>
  <c r="F2289" i="29" s="1"/>
  <c r="E2263" i="29"/>
  <c r="F2263" i="29" s="1"/>
  <c r="E2218" i="29"/>
  <c r="E2214" i="29"/>
  <c r="E2203" i="29"/>
  <c r="F2203" i="29" s="1"/>
  <c r="E2185" i="29"/>
  <c r="F2185" i="29" s="1"/>
  <c r="E2113" i="29"/>
  <c r="F2113" i="29" s="1"/>
  <c r="E2395" i="29"/>
  <c r="E2351" i="29"/>
  <c r="F2351" i="29" s="1"/>
  <c r="E2348" i="29"/>
  <c r="F2348" i="29" s="1"/>
  <c r="E2344" i="29"/>
  <c r="E2322" i="29"/>
  <c r="F2322" i="29" s="1"/>
  <c r="E2319" i="29"/>
  <c r="F2319" i="29" s="1"/>
  <c r="E2409" i="29"/>
  <c r="F2409" i="29" s="1"/>
  <c r="E2398" i="29"/>
  <c r="F2398" i="29" s="1"/>
  <c r="E2391" i="29"/>
  <c r="F2391" i="29" s="1"/>
  <c r="E2365" i="29"/>
  <c r="F2365" i="29" s="1"/>
  <c r="E2339" i="29"/>
  <c r="F2339" i="29" s="1"/>
  <c r="E2335" i="29"/>
  <c r="F2335" i="29" s="1"/>
  <c r="E2332" i="29"/>
  <c r="F2332" i="29" s="1"/>
  <c r="E2223" i="29"/>
  <c r="F2223" i="29" s="1"/>
  <c r="E2209" i="29"/>
  <c r="F2209" i="29" s="1"/>
  <c r="E2195" i="29"/>
  <c r="F2195" i="29" s="1"/>
  <c r="E2191" i="29"/>
  <c r="F2191" i="29" s="1"/>
  <c r="E2172" i="29"/>
  <c r="F2172" i="29" s="1"/>
  <c r="E2148" i="29"/>
  <c r="F2148" i="29" s="1"/>
  <c r="E2126" i="29"/>
  <c r="F2126" i="29" s="1"/>
  <c r="E2122" i="29"/>
  <c r="F2122" i="29" s="1"/>
  <c r="E2119" i="29"/>
  <c r="F2119" i="29" s="1"/>
  <c r="E2080" i="29"/>
  <c r="F2080" i="29" s="1"/>
  <c r="E2362" i="29"/>
  <c r="F2362" i="29" s="1"/>
  <c r="E2328" i="29"/>
  <c r="F2328" i="29" s="1"/>
  <c r="E2299" i="29"/>
  <c r="F2299" i="29" s="1"/>
  <c r="E2295" i="29"/>
  <c r="F2295" i="29" s="1"/>
  <c r="E2292" i="29"/>
  <c r="F2292" i="29" s="1"/>
  <c r="E2272" i="29"/>
  <c r="F2272" i="29" s="1"/>
  <c r="E2269" i="29"/>
  <c r="F2269" i="29" s="1"/>
  <c r="E2266" i="29"/>
  <c r="F2266" i="29" s="1"/>
  <c r="E2249" i="29"/>
  <c r="F2249" i="29" s="1"/>
  <c r="E2220" i="29"/>
  <c r="F2220" i="29" s="1"/>
  <c r="E2206" i="29"/>
  <c r="E2187" i="29"/>
  <c r="F2187" i="29" s="1"/>
  <c r="E2169" i="29"/>
  <c r="F2169" i="29" s="1"/>
  <c r="E2165" i="29"/>
  <c r="F2165" i="29" s="1"/>
  <c r="E2162" i="29"/>
  <c r="F2162" i="29" s="1"/>
  <c r="E2358" i="29"/>
  <c r="F2358" i="29" s="1"/>
  <c r="E2354" i="29"/>
  <c r="F2354" i="29" s="1"/>
  <c r="E2325" i="29"/>
  <c r="F2325" i="29" s="1"/>
  <c r="E2216" i="29"/>
  <c r="F2216" i="29" s="1"/>
  <c r="E2212" i="29"/>
  <c r="F2212" i="29" s="1"/>
  <c r="E2202" i="29"/>
  <c r="E2431" i="29"/>
  <c r="F2431" i="29" s="1"/>
  <c r="E2402" i="29"/>
  <c r="F2402" i="29" s="1"/>
  <c r="E2350" i="29"/>
  <c r="F2350" i="29" s="1"/>
  <c r="E2346" i="29"/>
  <c r="F2346" i="29" s="1"/>
  <c r="E2321" i="29"/>
  <c r="F2321" i="29" s="1"/>
  <c r="E2318" i="29"/>
  <c r="F2318" i="29" s="1"/>
  <c r="E2315" i="29"/>
  <c r="F2315" i="29" s="1"/>
  <c r="E2312" i="29"/>
  <c r="F2312" i="29" s="1"/>
  <c r="E2308" i="29"/>
  <c r="F2308" i="29" s="1"/>
  <c r="E2305" i="29"/>
  <c r="F2305" i="29" s="1"/>
  <c r="E2288" i="29"/>
  <c r="F2288" i="29" s="1"/>
  <c r="E2285" i="29"/>
  <c r="F2285" i="29" s="1"/>
  <c r="E2313" i="29"/>
  <c r="F2313" i="29" s="1"/>
  <c r="E2198" i="29"/>
  <c r="F2198" i="29" s="1"/>
  <c r="E2178" i="29"/>
  <c r="F2178" i="29" s="1"/>
  <c r="E2159" i="29"/>
  <c r="F2159" i="29" s="1"/>
  <c r="E2112" i="29"/>
  <c r="F2112" i="29" s="1"/>
  <c r="E2074" i="29"/>
  <c r="F2074" i="29" s="1"/>
  <c r="E2070" i="29"/>
  <c r="F2070" i="29" s="1"/>
  <c r="E2044" i="29"/>
  <c r="F2044" i="29" s="1"/>
  <c r="E2025" i="29"/>
  <c r="F2025" i="29" s="1"/>
  <c r="E2022" i="29"/>
  <c r="F2022" i="29" s="1"/>
  <c r="E2018" i="29"/>
  <c r="F2018" i="29" s="1"/>
  <c r="E2002" i="29"/>
  <c r="F2002" i="29" s="1"/>
  <c r="E1983" i="29"/>
  <c r="F1983" i="29" s="1"/>
  <c r="E1979" i="29"/>
  <c r="F1979" i="29" s="1"/>
  <c r="E1976" i="29"/>
  <c r="F1976" i="29" s="1"/>
  <c r="E1940" i="29"/>
  <c r="F1940" i="29" s="1"/>
  <c r="E1937" i="29"/>
  <c r="F1937" i="29" s="1"/>
  <c r="E1934" i="29"/>
  <c r="E1930" i="29"/>
  <c r="E1867" i="29"/>
  <c r="F1867" i="29" s="1"/>
  <c r="E1835" i="29"/>
  <c r="F1835" i="29" s="1"/>
  <c r="E1831" i="29"/>
  <c r="F1831" i="29" s="1"/>
  <c r="E2309" i="29"/>
  <c r="F2309" i="29" s="1"/>
  <c r="E2177" i="29"/>
  <c r="F2177" i="29" s="1"/>
  <c r="E2146" i="29"/>
  <c r="F2146" i="29" s="1"/>
  <c r="E2096" i="29"/>
  <c r="F2096" i="29" s="1"/>
  <c r="E2066" i="29"/>
  <c r="F2066" i="29" s="1"/>
  <c r="E2041" i="29"/>
  <c r="F2041" i="29" s="1"/>
  <c r="E2037" i="29"/>
  <c r="F2037" i="29" s="1"/>
  <c r="E2034" i="29"/>
  <c r="F2034" i="29" s="1"/>
  <c r="E2015" i="29"/>
  <c r="F2015" i="29" s="1"/>
  <c r="E1972" i="29"/>
  <c r="F1972" i="29" s="1"/>
  <c r="E1954" i="29"/>
  <c r="E1925" i="29"/>
  <c r="F1925" i="29" s="1"/>
  <c r="E1922" i="29"/>
  <c r="F1922" i="29" s="1"/>
  <c r="E1918" i="29"/>
  <c r="E1900" i="29"/>
  <c r="F1900" i="29" s="1"/>
  <c r="E1896" i="29"/>
  <c r="F1896" i="29" s="1"/>
  <c r="E1893" i="29"/>
  <c r="F1893" i="29" s="1"/>
  <c r="E1890" i="29"/>
  <c r="F1890" i="29" s="1"/>
  <c r="E1887" i="29"/>
  <c r="F1887" i="29" s="1"/>
  <c r="E1844" i="29"/>
  <c r="F1844" i="29" s="1"/>
  <c r="E1828" i="29"/>
  <c r="F1828" i="29" s="1"/>
  <c r="E1824" i="29"/>
  <c r="F1824" i="29" s="1"/>
  <c r="E2306" i="29"/>
  <c r="F2306" i="29" s="1"/>
  <c r="E2175" i="29"/>
  <c r="F2175" i="29" s="1"/>
  <c r="E2158" i="29"/>
  <c r="F2158" i="29" s="1"/>
  <c r="E2062" i="29"/>
  <c r="F2062" i="29" s="1"/>
  <c r="E2057" i="29"/>
  <c r="F2057" i="29" s="1"/>
  <c r="E2011" i="29"/>
  <c r="F2011" i="29" s="1"/>
  <c r="E2008" i="29"/>
  <c r="F2008" i="29" s="1"/>
  <c r="E1969" i="29"/>
  <c r="E1965" i="29"/>
  <c r="F1965" i="29" s="1"/>
  <c r="E1913" i="29"/>
  <c r="F1913" i="29" s="1"/>
  <c r="E1883" i="29"/>
  <c r="F1883" i="29" s="1"/>
  <c r="E1880" i="29"/>
  <c r="F1880" i="29" s="1"/>
  <c r="E1863" i="29"/>
  <c r="F1863" i="29" s="1"/>
  <c r="E1860" i="29"/>
  <c r="F1860" i="29" s="1"/>
  <c r="E1841" i="29"/>
  <c r="F1841" i="29" s="1"/>
  <c r="E2302" i="29"/>
  <c r="F2302" i="29" s="1"/>
  <c r="E2262" i="29"/>
  <c r="F2262" i="29" s="1"/>
  <c r="E2174" i="29"/>
  <c r="F2174" i="29" s="1"/>
  <c r="E2156" i="29"/>
  <c r="E2145" i="29"/>
  <c r="F2145" i="29" s="1"/>
  <c r="E2077" i="29"/>
  <c r="F2077" i="29" s="1"/>
  <c r="E2054" i="29"/>
  <c r="F2054" i="29" s="1"/>
  <c r="E2050" i="29"/>
  <c r="F2050" i="29" s="1"/>
  <c r="E2047" i="29"/>
  <c r="F2047" i="29" s="1"/>
  <c r="E2031" i="29"/>
  <c r="F2031" i="29" s="1"/>
  <c r="E2028" i="29"/>
  <c r="F2028" i="29" s="1"/>
  <c r="E1988" i="29"/>
  <c r="F1988" i="29" s="1"/>
  <c r="E1909" i="29"/>
  <c r="F1909" i="29" s="1"/>
  <c r="E1906" i="29"/>
  <c r="F1906" i="29" s="1"/>
  <c r="E1876" i="29"/>
  <c r="F1876" i="29" s="1"/>
  <c r="E1873" i="29"/>
  <c r="F1873" i="29" s="1"/>
  <c r="E1837" i="29"/>
  <c r="F1837" i="29" s="1"/>
  <c r="E2260" i="29"/>
  <c r="E2116" i="29"/>
  <c r="F2116" i="29" s="1"/>
  <c r="E2109" i="29"/>
  <c r="F2109" i="29" s="1"/>
  <c r="E2073" i="29"/>
  <c r="E2069" i="29"/>
  <c r="E2024" i="29"/>
  <c r="F2024" i="29" s="1"/>
  <c r="E2021" i="29"/>
  <c r="F2021" i="29" s="1"/>
  <c r="E2017" i="29"/>
  <c r="F2017" i="29" s="1"/>
  <c r="E2004" i="29"/>
  <c r="F2004" i="29" s="1"/>
  <c r="E2001" i="29"/>
  <c r="F2001" i="29" s="1"/>
  <c r="E1985" i="29"/>
  <c r="F1985" i="29" s="1"/>
  <c r="E1982" i="29"/>
  <c r="E1978" i="29"/>
  <c r="F1978" i="29" s="1"/>
  <c r="E1974" i="29"/>
  <c r="F1974" i="29" s="1"/>
  <c r="E1939" i="29"/>
  <c r="F1939" i="29" s="1"/>
  <c r="E1936" i="29"/>
  <c r="F1936" i="29" s="1"/>
  <c r="E1932" i="29"/>
  <c r="F1932" i="29" s="1"/>
  <c r="E1928" i="29"/>
  <c r="F1928" i="29" s="1"/>
  <c r="E1902" i="29"/>
  <c r="F1902" i="29" s="1"/>
  <c r="E1869" i="29"/>
  <c r="F1869" i="29" s="1"/>
  <c r="E1866" i="29"/>
  <c r="E1846" i="29"/>
  <c r="F1846" i="29" s="1"/>
  <c r="E1834" i="29"/>
  <c r="E1830" i="29"/>
  <c r="F1830" i="29" s="1"/>
  <c r="E2258" i="29"/>
  <c r="F2258" i="29" s="1"/>
  <c r="E2154" i="29"/>
  <c r="F2154" i="29" s="1"/>
  <c r="E2143" i="29"/>
  <c r="F2143" i="29" s="1"/>
  <c r="E2065" i="29"/>
  <c r="F2065" i="29" s="1"/>
  <c r="E2043" i="29"/>
  <c r="F2043" i="29" s="1"/>
  <c r="E2039" i="29"/>
  <c r="F2039" i="29" s="1"/>
  <c r="E2036" i="29"/>
  <c r="F2036" i="29" s="1"/>
  <c r="E2033" i="29"/>
  <c r="F2033" i="29" s="1"/>
  <c r="E2014" i="29"/>
  <c r="E1924" i="29"/>
  <c r="F1924" i="29" s="1"/>
  <c r="E1920" i="29"/>
  <c r="F1920" i="29" s="1"/>
  <c r="E1915" i="29"/>
  <c r="F1915" i="29" s="1"/>
  <c r="E1899" i="29"/>
  <c r="F1899" i="29" s="1"/>
  <c r="E1895" i="29"/>
  <c r="F1895" i="29" s="1"/>
  <c r="E1892" i="29"/>
  <c r="F1892" i="29" s="1"/>
  <c r="E1889" i="29"/>
  <c r="F1889" i="29" s="1"/>
  <c r="E1827" i="29"/>
  <c r="E2256" i="29"/>
  <c r="F2256" i="29" s="1"/>
  <c r="E2152" i="29"/>
  <c r="F2152" i="29" s="1"/>
  <c r="E2061" i="29"/>
  <c r="F2061" i="29" s="1"/>
  <c r="E2056" i="29"/>
  <c r="F2056" i="29" s="1"/>
  <c r="E2010" i="29"/>
  <c r="F2010" i="29" s="1"/>
  <c r="E1971" i="29"/>
  <c r="F1971" i="29" s="1"/>
  <c r="E1967" i="29"/>
  <c r="F1967" i="29" s="1"/>
  <c r="E1912" i="29"/>
  <c r="F1912" i="29" s="1"/>
  <c r="E1886" i="29"/>
  <c r="F1886" i="29" s="1"/>
  <c r="E1882" i="29"/>
  <c r="F1882" i="29" s="1"/>
  <c r="E1879" i="29"/>
  <c r="F1879" i="29" s="1"/>
  <c r="E1862" i="29"/>
  <c r="F1862" i="29" s="1"/>
  <c r="E2255" i="29"/>
  <c r="F2255" i="29" s="1"/>
  <c r="E2142" i="29"/>
  <c r="E2115" i="29"/>
  <c r="F2115" i="29" s="1"/>
  <c r="E2108" i="29"/>
  <c r="E2079" i="29"/>
  <c r="F2079" i="29" s="1"/>
  <c r="E2053" i="29"/>
  <c r="F2053" i="29" s="1"/>
  <c r="E2049" i="29"/>
  <c r="F2049" i="29" s="1"/>
  <c r="E2045" i="29"/>
  <c r="F2045" i="29" s="1"/>
  <c r="E2030" i="29"/>
  <c r="F2030" i="29" s="1"/>
  <c r="E2006" i="29"/>
  <c r="F2006" i="29" s="1"/>
  <c r="E1987" i="29"/>
  <c r="F1987" i="29" s="1"/>
  <c r="E1908" i="29"/>
  <c r="F1908" i="29" s="1"/>
  <c r="E1905" i="29"/>
  <c r="E1875" i="29"/>
  <c r="F1875" i="29" s="1"/>
  <c r="E1872" i="29"/>
  <c r="E1836" i="29"/>
  <c r="F1836" i="29" s="1"/>
  <c r="E2286" i="29"/>
  <c r="F2286" i="29" s="1"/>
  <c r="E2253" i="29"/>
  <c r="E2151" i="29"/>
  <c r="F2151" i="29" s="1"/>
  <c r="E2107" i="29"/>
  <c r="F2107" i="29" s="1"/>
  <c r="E2082" i="29"/>
  <c r="F2082" i="29" s="1"/>
  <c r="E2076" i="29"/>
  <c r="F2076" i="29" s="1"/>
  <c r="E2072" i="29"/>
  <c r="F2072" i="29" s="1"/>
  <c r="E2067" i="29"/>
  <c r="F2067" i="29" s="1"/>
  <c r="E2027" i="29"/>
  <c r="E2023" i="29"/>
  <c r="F2023" i="29" s="1"/>
  <c r="E2020" i="29"/>
  <c r="E2016" i="29"/>
  <c r="F2016" i="29" s="1"/>
  <c r="E2003" i="29"/>
  <c r="F2003" i="29" s="1"/>
  <c r="E1984" i="29"/>
  <c r="F1984" i="29" s="1"/>
  <c r="E1980" i="29"/>
  <c r="F1980" i="29" s="1"/>
  <c r="E1977" i="29"/>
  <c r="F1977" i="29" s="1"/>
  <c r="E1938" i="29"/>
  <c r="F1938" i="29" s="1"/>
  <c r="E1935" i="29"/>
  <c r="F1935" i="29" s="1"/>
  <c r="E1931" i="29"/>
  <c r="F1931" i="29" s="1"/>
  <c r="E1927" i="29"/>
  <c r="F1927" i="29" s="1"/>
  <c r="E1901" i="29"/>
  <c r="F1901" i="29" s="1"/>
  <c r="E1868" i="29"/>
  <c r="F1868" i="29" s="1"/>
  <c r="E1845" i="29"/>
  <c r="F1845" i="29" s="1"/>
  <c r="E1832" i="29"/>
  <c r="F1832" i="29" s="1"/>
  <c r="E2184" i="29"/>
  <c r="F2184" i="29" s="1"/>
  <c r="E2042" i="29"/>
  <c r="F2042" i="29" s="1"/>
  <c r="E2038" i="29"/>
  <c r="F2038" i="29" s="1"/>
  <c r="E2035" i="29"/>
  <c r="F2035" i="29" s="1"/>
  <c r="E2000" i="29"/>
  <c r="F2000" i="29" s="1"/>
  <c r="E1973" i="29"/>
  <c r="F1973" i="29" s="1"/>
  <c r="E1923" i="29"/>
  <c r="F1923" i="29" s="1"/>
  <c r="E1919" i="29"/>
  <c r="F1919" i="29" s="1"/>
  <c r="E1914" i="29"/>
  <c r="F1914" i="29" s="1"/>
  <c r="E1897" i="29"/>
  <c r="F1897" i="29" s="1"/>
  <c r="E1894" i="29"/>
  <c r="F1894" i="29" s="1"/>
  <c r="E1891" i="29"/>
  <c r="F1891" i="29" s="1"/>
  <c r="E1888" i="29"/>
  <c r="F1888" i="29" s="1"/>
  <c r="E1864" i="29"/>
  <c r="F1864" i="29" s="1"/>
  <c r="E1829" i="29"/>
  <c r="F1829" i="29" s="1"/>
  <c r="E1825" i="29"/>
  <c r="E1796" i="29"/>
  <c r="F1796" i="29" s="1"/>
  <c r="E1793" i="29"/>
  <c r="F1793" i="29" s="1"/>
  <c r="E2181" i="29"/>
  <c r="F2181" i="29" s="1"/>
  <c r="E2064" i="29"/>
  <c r="E2060" i="29"/>
  <c r="E2032" i="29"/>
  <c r="F2032" i="29" s="1"/>
  <c r="E2012" i="29"/>
  <c r="F2012" i="29" s="1"/>
  <c r="E2009" i="29"/>
  <c r="F2009" i="29" s="1"/>
  <c r="E1970" i="29"/>
  <c r="F1970" i="29" s="1"/>
  <c r="E1966" i="29"/>
  <c r="F1966" i="29" s="1"/>
  <c r="E1885" i="29"/>
  <c r="F1885" i="29" s="1"/>
  <c r="E1881" i="29"/>
  <c r="F1881" i="29" s="1"/>
  <c r="E1878" i="29"/>
  <c r="F1878" i="29" s="1"/>
  <c r="E1861" i="29"/>
  <c r="F1861" i="29" s="1"/>
  <c r="E1858" i="29"/>
  <c r="E1842" i="29"/>
  <c r="F1842" i="29" s="1"/>
  <c r="E2180" i="29"/>
  <c r="F2180" i="29" s="1"/>
  <c r="E2051" i="29"/>
  <c r="F2051" i="29" s="1"/>
  <c r="E1797" i="29"/>
  <c r="F1797" i="29" s="1"/>
  <c r="E1770" i="29"/>
  <c r="F1770" i="29" s="1"/>
  <c r="E1750" i="29"/>
  <c r="F1750" i="29" s="1"/>
  <c r="E1731" i="29"/>
  <c r="F1731" i="29" s="1"/>
  <c r="E1656" i="29"/>
  <c r="F1656" i="29" s="1"/>
  <c r="E1635" i="29"/>
  <c r="F1635" i="29" s="1"/>
  <c r="E1613" i="29"/>
  <c r="F1613" i="29" s="1"/>
  <c r="E1602" i="29"/>
  <c r="F1602" i="29" s="1"/>
  <c r="E1598" i="29"/>
  <c r="F1598" i="29" s="1"/>
  <c r="E1595" i="29"/>
  <c r="F1595" i="29" s="1"/>
  <c r="E1578" i="29"/>
  <c r="F1578" i="29" s="1"/>
  <c r="E1562" i="29"/>
  <c r="F1562" i="29" s="1"/>
  <c r="E1539" i="29"/>
  <c r="F1539" i="29" s="1"/>
  <c r="E1502" i="29"/>
  <c r="F1502" i="29" s="1"/>
  <c r="E1498" i="29"/>
  <c r="F1498" i="29" s="1"/>
  <c r="E2048" i="29"/>
  <c r="F2048" i="29" s="1"/>
  <c r="E1792" i="29"/>
  <c r="E1766" i="29"/>
  <c r="F1766" i="29" s="1"/>
  <c r="E1747" i="29"/>
  <c r="F1747" i="29" s="1"/>
  <c r="E1727" i="29"/>
  <c r="F1727" i="29" s="1"/>
  <c r="E1724" i="29"/>
  <c r="E1685" i="29"/>
  <c r="E1681" i="29"/>
  <c r="E1670" i="29"/>
  <c r="F1670" i="29" s="1"/>
  <c r="E1653" i="29"/>
  <c r="F1653" i="29" s="1"/>
  <c r="E1630" i="29"/>
  <c r="F1630" i="29" s="1"/>
  <c r="E1610" i="29"/>
  <c r="F1610" i="29" s="1"/>
  <c r="E1607" i="29"/>
  <c r="F1607" i="29" s="1"/>
  <c r="E1591" i="29"/>
  <c r="F1591" i="29" s="1"/>
  <c r="E1575" i="29"/>
  <c r="F1575" i="29" s="1"/>
  <c r="E1559" i="29"/>
  <c r="F1559" i="29" s="1"/>
  <c r="E1556" i="29"/>
  <c r="F1556" i="29" s="1"/>
  <c r="E1552" i="29"/>
  <c r="F1552" i="29" s="1"/>
  <c r="E2005" i="29"/>
  <c r="F2005" i="29" s="1"/>
  <c r="E1786" i="29"/>
  <c r="F1786" i="29" s="1"/>
  <c r="E1781" i="29"/>
  <c r="F1781" i="29" s="1"/>
  <c r="E1763" i="29"/>
  <c r="F1763" i="29" s="1"/>
  <c r="E1759" i="29"/>
  <c r="F1759" i="29" s="1"/>
  <c r="E1744" i="29"/>
  <c r="F1744" i="29" s="1"/>
  <c r="E1740" i="29"/>
  <c r="F1740" i="29" s="1"/>
  <c r="E1737" i="29"/>
  <c r="F1737" i="29" s="1"/>
  <c r="E1720" i="29"/>
  <c r="F1720" i="29" s="1"/>
  <c r="E1704" i="29"/>
  <c r="F1704" i="29" s="1"/>
  <c r="E1701" i="29"/>
  <c r="F1701" i="29" s="1"/>
  <c r="E1698" i="29"/>
  <c r="F1698" i="29" s="1"/>
  <c r="E1627" i="29"/>
  <c r="F1627" i="29" s="1"/>
  <c r="E1623" i="29"/>
  <c r="F1623" i="29" s="1"/>
  <c r="E1604" i="29"/>
  <c r="F1604" i="29" s="1"/>
  <c r="E1588" i="29"/>
  <c r="F1588" i="29" s="1"/>
  <c r="E1843" i="29"/>
  <c r="F1843" i="29" s="1"/>
  <c r="E1777" i="29"/>
  <c r="F1777" i="29" s="1"/>
  <c r="E1755" i="29"/>
  <c r="F1755" i="29" s="1"/>
  <c r="E1752" i="29"/>
  <c r="F1752" i="29" s="1"/>
  <c r="E1733" i="29"/>
  <c r="F1733" i="29" s="1"/>
  <c r="E1717" i="29"/>
  <c r="F1717" i="29" s="1"/>
  <c r="E1694" i="29"/>
  <c r="F1694" i="29" s="1"/>
  <c r="E1690" i="29"/>
  <c r="F1690" i="29" s="1"/>
  <c r="E1650" i="29"/>
  <c r="F1650" i="29" s="1"/>
  <c r="E1646" i="29"/>
  <c r="E1641" i="29"/>
  <c r="F1641" i="29" s="1"/>
  <c r="E1619" i="29"/>
  <c r="F1619" i="29" s="1"/>
  <c r="E1616" i="29"/>
  <c r="F1616" i="29" s="1"/>
  <c r="E1584" i="29"/>
  <c r="F1584" i="29" s="1"/>
  <c r="E2081" i="29"/>
  <c r="F2081" i="29" s="1"/>
  <c r="E1785" i="29"/>
  <c r="E1772" i="29"/>
  <c r="F1772" i="29" s="1"/>
  <c r="E1769" i="29"/>
  <c r="E1749" i="29"/>
  <c r="F1749" i="29" s="1"/>
  <c r="E1687" i="29"/>
  <c r="F1687" i="29" s="1"/>
  <c r="E1655" i="29"/>
  <c r="F1655" i="29" s="1"/>
  <c r="E1638" i="29"/>
  <c r="E1634" i="29"/>
  <c r="E1601" i="29"/>
  <c r="F1601" i="29" s="1"/>
  <c r="E1597" i="29"/>
  <c r="F1597" i="29" s="1"/>
  <c r="E1594" i="29"/>
  <c r="E1577" i="29"/>
  <c r="F1577" i="29" s="1"/>
  <c r="E1561" i="29"/>
  <c r="F1561" i="29" s="1"/>
  <c r="E2129" i="29"/>
  <c r="F2129" i="29" s="1"/>
  <c r="E2078" i="29"/>
  <c r="F2078" i="29" s="1"/>
  <c r="E1874" i="29"/>
  <c r="F1874" i="29" s="1"/>
  <c r="E1840" i="29"/>
  <c r="E1795" i="29"/>
  <c r="F1795" i="29" s="1"/>
  <c r="E1790" i="29"/>
  <c r="F1790" i="29" s="1"/>
  <c r="E1765" i="29"/>
  <c r="F1765" i="29" s="1"/>
  <c r="E1746" i="29"/>
  <c r="F1746" i="29" s="1"/>
  <c r="E1730" i="29"/>
  <c r="F1730" i="29" s="1"/>
  <c r="E1726" i="29"/>
  <c r="F1726" i="29" s="1"/>
  <c r="E1722" i="29"/>
  <c r="F1722" i="29" s="1"/>
  <c r="E1683" i="29"/>
  <c r="F1683" i="29" s="1"/>
  <c r="E1652" i="29"/>
  <c r="F1652" i="29" s="1"/>
  <c r="E1629" i="29"/>
  <c r="F1629" i="29" s="1"/>
  <c r="E1612" i="29"/>
  <c r="F1612" i="29" s="1"/>
  <c r="E1609" i="29"/>
  <c r="F1609" i="29" s="1"/>
  <c r="E1590" i="29"/>
  <c r="F1590" i="29" s="1"/>
  <c r="E1558" i="29"/>
  <c r="F1558" i="29" s="1"/>
  <c r="E1986" i="29"/>
  <c r="F1986" i="29" s="1"/>
  <c r="E1911" i="29"/>
  <c r="E1870" i="29"/>
  <c r="F1870" i="29" s="1"/>
  <c r="E1838" i="29"/>
  <c r="F1838" i="29" s="1"/>
  <c r="E1823" i="29"/>
  <c r="E1761" i="29"/>
  <c r="F1761" i="29" s="1"/>
  <c r="E1758" i="29"/>
  <c r="F1758" i="29" s="1"/>
  <c r="E1743" i="29"/>
  <c r="F1743" i="29" s="1"/>
  <c r="E1739" i="29"/>
  <c r="F1739" i="29" s="1"/>
  <c r="E1703" i="29"/>
  <c r="F1703" i="29" s="1"/>
  <c r="E1700" i="29"/>
  <c r="F1700" i="29" s="1"/>
  <c r="E1625" i="29"/>
  <c r="F1625" i="29" s="1"/>
  <c r="E1606" i="29"/>
  <c r="F1606" i="29" s="1"/>
  <c r="E1574" i="29"/>
  <c r="F1574" i="29" s="1"/>
  <c r="E2029" i="29"/>
  <c r="F2029" i="29" s="1"/>
  <c r="E1907" i="29"/>
  <c r="F1907" i="29" s="1"/>
  <c r="E1812" i="29"/>
  <c r="F1812" i="29" s="1"/>
  <c r="E1789" i="29"/>
  <c r="F1789" i="29" s="1"/>
  <c r="E1783" i="29"/>
  <c r="F1783" i="29" s="1"/>
  <c r="E1780" i="29"/>
  <c r="F1780" i="29" s="1"/>
  <c r="E1776" i="29"/>
  <c r="E1754" i="29"/>
  <c r="F1754" i="29" s="1"/>
  <c r="E1736" i="29"/>
  <c r="F1736" i="29" s="1"/>
  <c r="E1732" i="29"/>
  <c r="F1732" i="29" s="1"/>
  <c r="E1719" i="29"/>
  <c r="F1719" i="29" s="1"/>
  <c r="E1716" i="29"/>
  <c r="E1696" i="29"/>
  <c r="F1696" i="29" s="1"/>
  <c r="E1693" i="29"/>
  <c r="F1693" i="29" s="1"/>
  <c r="E1689" i="29"/>
  <c r="F1689" i="29" s="1"/>
  <c r="E1648" i="29"/>
  <c r="F1648" i="29" s="1"/>
  <c r="E1644" i="29"/>
  <c r="F1644" i="29" s="1"/>
  <c r="E1640" i="29"/>
  <c r="F1640" i="29" s="1"/>
  <c r="E1622" i="29"/>
  <c r="F1622" i="29" s="1"/>
  <c r="E1618" i="29"/>
  <c r="F1618" i="29" s="1"/>
  <c r="E1603" i="29"/>
  <c r="F1603" i="29" s="1"/>
  <c r="E1586" i="29"/>
  <c r="F1586" i="29" s="1"/>
  <c r="E1583" i="29"/>
  <c r="F1583" i="29" s="1"/>
  <c r="E1579" i="29"/>
  <c r="F1579" i="29" s="1"/>
  <c r="E1903" i="29"/>
  <c r="F1903" i="29" s="1"/>
  <c r="E1771" i="29"/>
  <c r="F1771" i="29" s="1"/>
  <c r="E1767" i="29"/>
  <c r="F1767" i="29" s="1"/>
  <c r="E1751" i="29"/>
  <c r="F1751" i="29" s="1"/>
  <c r="E1686" i="29"/>
  <c r="F1686" i="29" s="1"/>
  <c r="E1636" i="29"/>
  <c r="F1636" i="29" s="1"/>
  <c r="E1631" i="29"/>
  <c r="F1631" i="29" s="1"/>
  <c r="E1615" i="29"/>
  <c r="E1599" i="29"/>
  <c r="F1599" i="29" s="1"/>
  <c r="E1596" i="29"/>
  <c r="F1596" i="29" s="1"/>
  <c r="E1592" i="29"/>
  <c r="F1592" i="29" s="1"/>
  <c r="E1504" i="29"/>
  <c r="F1504" i="29" s="1"/>
  <c r="E1499" i="29"/>
  <c r="F1499" i="29" s="1"/>
  <c r="E1496" i="29"/>
  <c r="E1798" i="29"/>
  <c r="F1798" i="29" s="1"/>
  <c r="E1794" i="29"/>
  <c r="F1794" i="29" s="1"/>
  <c r="E1764" i="29"/>
  <c r="F1764" i="29" s="1"/>
  <c r="E1748" i="29"/>
  <c r="F1748" i="29" s="1"/>
  <c r="E1745" i="29"/>
  <c r="F1745" i="29" s="1"/>
  <c r="E1728" i="29"/>
  <c r="F1728" i="29" s="1"/>
  <c r="E1725" i="29"/>
  <c r="F1725" i="29" s="1"/>
  <c r="E1721" i="29"/>
  <c r="F1721" i="29" s="1"/>
  <c r="E1682" i="29"/>
  <c r="F1682" i="29" s="1"/>
  <c r="E1654" i="29"/>
  <c r="F1654" i="29" s="1"/>
  <c r="E1611" i="29"/>
  <c r="F1611" i="29" s="1"/>
  <c r="E1608" i="29"/>
  <c r="F1608" i="29" s="1"/>
  <c r="E1589" i="29"/>
  <c r="F1589" i="29" s="1"/>
  <c r="E1576" i="29"/>
  <c r="F1576" i="29" s="1"/>
  <c r="E1560" i="29"/>
  <c r="F1560" i="29" s="1"/>
  <c r="E1557" i="29"/>
  <c r="F1557" i="29" s="1"/>
  <c r="E1553" i="29"/>
  <c r="F1553" i="29" s="1"/>
  <c r="E1528" i="29"/>
  <c r="F1528" i="29" s="1"/>
  <c r="E1859" i="29"/>
  <c r="F1859" i="29" s="1"/>
  <c r="E1788" i="29"/>
  <c r="F1788" i="29" s="1"/>
  <c r="E1760" i="29"/>
  <c r="F1760" i="29" s="1"/>
  <c r="E1757" i="29"/>
  <c r="E1741" i="29"/>
  <c r="F1741" i="29" s="1"/>
  <c r="E1738" i="29"/>
  <c r="F1738" i="29" s="1"/>
  <c r="E1702" i="29"/>
  <c r="F1702" i="29" s="1"/>
  <c r="E1699" i="29"/>
  <c r="F1699" i="29" s="1"/>
  <c r="E1651" i="29"/>
  <c r="E1628" i="29"/>
  <c r="F1628" i="29" s="1"/>
  <c r="E1624" i="29"/>
  <c r="F1624" i="29" s="1"/>
  <c r="E1605" i="29"/>
  <c r="F1605" i="29" s="1"/>
  <c r="E1550" i="29"/>
  <c r="E1547" i="29"/>
  <c r="F1547" i="29" s="1"/>
  <c r="E1454" i="29"/>
  <c r="F1454" i="29" s="1"/>
  <c r="E1420" i="29"/>
  <c r="F1420" i="29" s="1"/>
  <c r="E1417" i="29"/>
  <c r="F1417" i="29" s="1"/>
  <c r="E1414" i="29"/>
  <c r="E1333" i="29"/>
  <c r="F1333" i="29" s="1"/>
  <c r="E1301" i="29"/>
  <c r="F1301" i="29" s="1"/>
  <c r="E1298" i="29"/>
  <c r="F1298" i="29" s="1"/>
  <c r="E1275" i="29"/>
  <c r="F1275" i="29" s="1"/>
  <c r="E1272" i="29"/>
  <c r="F1272" i="29" s="1"/>
  <c r="E1229" i="29"/>
  <c r="F1229" i="29" s="1"/>
  <c r="E1554" i="29"/>
  <c r="F1554" i="29" s="1"/>
  <c r="E1546" i="29"/>
  <c r="F1546" i="29" s="1"/>
  <c r="E1497" i="29"/>
  <c r="F1497" i="29" s="1"/>
  <c r="E1483" i="29"/>
  <c r="F1483" i="29" s="1"/>
  <c r="E1480" i="29"/>
  <c r="F1480" i="29" s="1"/>
  <c r="E1476" i="29"/>
  <c r="F1476" i="29" s="1"/>
  <c r="E1473" i="29"/>
  <c r="F1473" i="29" s="1"/>
  <c r="E1469" i="29"/>
  <c r="F1469" i="29" s="1"/>
  <c r="E1466" i="29"/>
  <c r="F1466" i="29" s="1"/>
  <c r="E1450" i="29"/>
  <c r="F1450" i="29" s="1"/>
  <c r="E1447" i="29"/>
  <c r="E1410" i="29"/>
  <c r="F1410" i="29" s="1"/>
  <c r="E1406" i="29"/>
  <c r="F1406" i="29" s="1"/>
  <c r="E1357" i="29"/>
  <c r="F1357" i="29" s="1"/>
  <c r="E1354" i="29"/>
  <c r="E1321" i="29"/>
  <c r="F1321" i="29" s="1"/>
  <c r="E1318" i="29"/>
  <c r="F1318" i="29" s="1"/>
  <c r="E1314" i="29"/>
  <c r="F1314" i="29" s="1"/>
  <c r="E1311" i="29"/>
  <c r="F1311" i="29" s="1"/>
  <c r="E1307" i="29"/>
  <c r="F1307" i="29" s="1"/>
  <c r="E1294" i="29"/>
  <c r="F1294" i="29" s="1"/>
  <c r="E1291" i="29"/>
  <c r="F1291" i="29" s="1"/>
  <c r="E1268" i="29"/>
  <c r="F1268" i="29" s="1"/>
  <c r="E1647" i="29"/>
  <c r="F1647" i="29" s="1"/>
  <c r="E1545" i="29"/>
  <c r="F1545" i="29" s="1"/>
  <c r="E1511" i="29"/>
  <c r="F1511" i="29" s="1"/>
  <c r="E1492" i="29"/>
  <c r="E1487" i="29"/>
  <c r="F1487" i="29" s="1"/>
  <c r="E1443" i="29"/>
  <c r="F1443" i="29" s="1"/>
  <c r="E1440" i="29"/>
  <c r="F1440" i="29" s="1"/>
  <c r="E1436" i="29"/>
  <c r="F1436" i="29" s="1"/>
  <c r="E1433" i="29"/>
  <c r="F1433" i="29" s="1"/>
  <c r="E1403" i="29"/>
  <c r="F1403" i="29" s="1"/>
  <c r="E1399" i="29"/>
  <c r="F1399" i="29" s="1"/>
  <c r="E1350" i="29"/>
  <c r="E1339" i="29"/>
  <c r="F1339" i="29" s="1"/>
  <c r="E1329" i="29"/>
  <c r="F1329" i="29" s="1"/>
  <c r="E1264" i="29"/>
  <c r="F1264" i="29" s="1"/>
  <c r="E1261" i="29"/>
  <c r="F1261" i="29" s="1"/>
  <c r="E1257" i="29"/>
  <c r="F1257" i="29" s="1"/>
  <c r="E1718" i="29"/>
  <c r="F1718" i="29" s="1"/>
  <c r="E1643" i="29"/>
  <c r="E1463" i="29"/>
  <c r="F1463" i="29" s="1"/>
  <c r="E1460" i="29"/>
  <c r="F1460" i="29" s="1"/>
  <c r="E1371" i="29"/>
  <c r="F1371" i="29" s="1"/>
  <c r="E1368" i="29"/>
  <c r="F1368" i="29" s="1"/>
  <c r="E1364" i="29"/>
  <c r="F1364" i="29" s="1"/>
  <c r="E1360" i="29"/>
  <c r="F1360" i="29" s="1"/>
  <c r="E1345" i="29"/>
  <c r="F1345" i="29" s="1"/>
  <c r="E1326" i="29"/>
  <c r="F1326" i="29" s="1"/>
  <c r="E1304" i="29"/>
  <c r="F1304" i="29" s="1"/>
  <c r="E1277" i="29"/>
  <c r="F1277" i="29" s="1"/>
  <c r="E1753" i="29"/>
  <c r="F1753" i="29" s="1"/>
  <c r="E1639" i="29"/>
  <c r="F1639" i="29" s="1"/>
  <c r="E1510" i="29"/>
  <c r="F1510" i="29" s="1"/>
  <c r="E1456" i="29"/>
  <c r="F1456" i="29" s="1"/>
  <c r="E1453" i="29"/>
  <c r="F1453" i="29" s="1"/>
  <c r="E1419" i="29"/>
  <c r="F1419" i="29" s="1"/>
  <c r="E1416" i="29"/>
  <c r="F1416" i="29" s="1"/>
  <c r="E1335" i="29"/>
  <c r="F1335" i="29" s="1"/>
  <c r="E1332" i="29"/>
  <c r="F1332" i="29" s="1"/>
  <c r="E1323" i="29"/>
  <c r="F1323" i="29" s="1"/>
  <c r="E1300" i="29"/>
  <c r="F1300" i="29" s="1"/>
  <c r="E1274" i="29"/>
  <c r="F1274" i="29" s="1"/>
  <c r="E1270" i="29"/>
  <c r="F1270" i="29" s="1"/>
  <c r="E2055" i="29"/>
  <c r="F2055" i="29" s="1"/>
  <c r="E1544" i="29"/>
  <c r="F1544" i="29" s="1"/>
  <c r="E1509" i="29"/>
  <c r="F1509" i="29" s="1"/>
  <c r="E1482" i="29"/>
  <c r="F1482" i="29" s="1"/>
  <c r="E1479" i="29"/>
  <c r="E1475" i="29"/>
  <c r="F1475" i="29" s="1"/>
  <c r="E1471" i="29"/>
  <c r="F1471" i="29" s="1"/>
  <c r="E1468" i="29"/>
  <c r="F1468" i="29" s="1"/>
  <c r="E1465" i="29"/>
  <c r="F1465" i="29" s="1"/>
  <c r="E1449" i="29"/>
  <c r="F1449" i="29" s="1"/>
  <c r="E1446" i="29"/>
  <c r="E1412" i="29"/>
  <c r="F1412" i="29" s="1"/>
  <c r="E1409" i="29"/>
  <c r="F1409" i="29" s="1"/>
  <c r="E1405" i="29"/>
  <c r="F1405" i="29" s="1"/>
  <c r="E1356" i="29"/>
  <c r="F1356" i="29" s="1"/>
  <c r="E1341" i="29"/>
  <c r="F1341" i="29" s="1"/>
  <c r="E1320" i="29"/>
  <c r="F1320" i="29" s="1"/>
  <c r="E1317" i="29"/>
  <c r="E1313" i="29"/>
  <c r="F1313" i="29" s="1"/>
  <c r="E1310" i="29"/>
  <c r="F1310" i="29" s="1"/>
  <c r="E1306" i="29"/>
  <c r="F1306" i="29" s="1"/>
  <c r="E1296" i="29"/>
  <c r="F1296" i="29" s="1"/>
  <c r="E1293" i="29"/>
  <c r="F1293" i="29" s="1"/>
  <c r="E1290" i="29"/>
  <c r="E1228" i="29"/>
  <c r="F1228" i="29" s="1"/>
  <c r="E1225" i="29"/>
  <c r="F1225" i="29" s="1"/>
  <c r="E1551" i="29"/>
  <c r="F1551" i="29" s="1"/>
  <c r="E1543" i="29"/>
  <c r="E1501" i="29"/>
  <c r="E1489" i="29"/>
  <c r="F1489" i="29" s="1"/>
  <c r="E1486" i="29"/>
  <c r="F1486" i="29" s="1"/>
  <c r="E1442" i="29"/>
  <c r="F1442" i="29" s="1"/>
  <c r="E1438" i="29"/>
  <c r="F1438" i="29" s="1"/>
  <c r="E1435" i="29"/>
  <c r="F1435" i="29" s="1"/>
  <c r="E1432" i="29"/>
  <c r="E1402" i="29"/>
  <c r="F1402" i="29" s="1"/>
  <c r="E1398" i="29"/>
  <c r="F1398" i="29" s="1"/>
  <c r="E1352" i="29"/>
  <c r="F1352" i="29" s="1"/>
  <c r="E1338" i="29"/>
  <c r="F1338" i="29" s="1"/>
  <c r="E1267" i="29"/>
  <c r="F1267" i="29" s="1"/>
  <c r="E1263" i="29"/>
  <c r="F1263" i="29" s="1"/>
  <c r="E1260" i="29"/>
  <c r="F1260" i="29" s="1"/>
  <c r="E1256" i="29"/>
  <c r="F1256" i="29" s="1"/>
  <c r="E1221" i="29"/>
  <c r="F1221" i="29" s="1"/>
  <c r="E1217" i="29"/>
  <c r="E1213" i="29"/>
  <c r="F1213" i="29" s="1"/>
  <c r="E1541" i="29"/>
  <c r="F1541" i="29" s="1"/>
  <c r="E1494" i="29"/>
  <c r="F1494" i="29" s="1"/>
  <c r="E1462" i="29"/>
  <c r="F1462" i="29" s="1"/>
  <c r="E1459" i="29"/>
  <c r="F1459" i="29" s="1"/>
  <c r="E1370" i="29"/>
  <c r="F1370" i="29" s="1"/>
  <c r="E1367" i="29"/>
  <c r="F1367" i="29" s="1"/>
  <c r="E1363" i="29"/>
  <c r="F1363" i="29" s="1"/>
  <c r="E1347" i="29"/>
  <c r="F1347" i="29" s="1"/>
  <c r="E1344" i="29"/>
  <c r="F1344" i="29" s="1"/>
  <c r="E1328" i="29"/>
  <c r="F1328" i="29" s="1"/>
  <c r="E1325" i="29"/>
  <c r="F1325" i="29" s="1"/>
  <c r="E1302" i="29"/>
  <c r="F1302" i="29" s="1"/>
  <c r="E1782" i="29"/>
  <c r="F1782" i="29" s="1"/>
  <c r="E1585" i="29"/>
  <c r="F1585" i="29" s="1"/>
  <c r="E1514" i="29"/>
  <c r="F1514" i="29" s="1"/>
  <c r="E1508" i="29"/>
  <c r="E1455" i="29"/>
  <c r="F1455" i="29" s="1"/>
  <c r="E1452" i="29"/>
  <c r="F1452" i="29" s="1"/>
  <c r="E1418" i="29"/>
  <c r="F1418" i="29" s="1"/>
  <c r="E1415" i="29"/>
  <c r="F1415" i="29" s="1"/>
  <c r="E1359" i="29"/>
  <c r="F1359" i="29" s="1"/>
  <c r="E1334" i="29"/>
  <c r="F1334" i="29" s="1"/>
  <c r="E1331" i="29"/>
  <c r="E1322" i="29"/>
  <c r="F1322" i="29" s="1"/>
  <c r="E1299" i="29"/>
  <c r="F1299" i="29" s="1"/>
  <c r="E1276" i="29"/>
  <c r="F1276" i="29" s="1"/>
  <c r="E1273" i="29"/>
  <c r="F1273" i="29" s="1"/>
  <c r="E1269" i="29"/>
  <c r="F1269" i="29" s="1"/>
  <c r="E1230" i="29"/>
  <c r="F1230" i="29" s="1"/>
  <c r="E1778" i="29"/>
  <c r="F1778" i="29" s="1"/>
  <c r="E1695" i="29"/>
  <c r="F1695" i="29" s="1"/>
  <c r="E1621" i="29"/>
  <c r="E1582" i="29"/>
  <c r="E1548" i="29"/>
  <c r="F1548" i="29" s="1"/>
  <c r="E1481" i="29"/>
  <c r="F1481" i="29" s="1"/>
  <c r="E1477" i="29"/>
  <c r="F1477" i="29" s="1"/>
  <c r="E1474" i="29"/>
  <c r="F1474" i="29" s="1"/>
  <c r="E1470" i="29"/>
  <c r="F1470" i="29" s="1"/>
  <c r="E1467" i="29"/>
  <c r="F1467" i="29" s="1"/>
  <c r="E1448" i="29"/>
  <c r="F1448" i="29" s="1"/>
  <c r="E1411" i="29"/>
  <c r="F1411" i="29" s="1"/>
  <c r="E1408" i="29"/>
  <c r="F1408" i="29" s="1"/>
  <c r="E1404" i="29"/>
  <c r="F1404" i="29" s="1"/>
  <c r="E1355" i="29"/>
  <c r="F1355" i="29" s="1"/>
  <c r="E1319" i="29"/>
  <c r="F1319" i="29" s="1"/>
  <c r="E1315" i="29"/>
  <c r="F1315" i="29" s="1"/>
  <c r="E1312" i="29"/>
  <c r="F1312" i="29" s="1"/>
  <c r="E1308" i="29"/>
  <c r="F1308" i="29" s="1"/>
  <c r="E1295" i="29"/>
  <c r="F1295" i="29" s="1"/>
  <c r="E1292" i="29"/>
  <c r="F1292" i="29" s="1"/>
  <c r="E1244" i="29"/>
  <c r="E1227" i="29"/>
  <c r="F1227" i="29" s="1"/>
  <c r="E1773" i="29"/>
  <c r="F1773" i="29" s="1"/>
  <c r="E1734" i="29"/>
  <c r="F1734" i="29" s="1"/>
  <c r="E1692" i="29"/>
  <c r="E1617" i="29"/>
  <c r="F1617" i="29" s="1"/>
  <c r="E1580" i="29"/>
  <c r="F1580" i="29" s="1"/>
  <c r="E1540" i="29"/>
  <c r="F1540" i="29" s="1"/>
  <c r="E1513" i="29"/>
  <c r="F1513" i="29" s="1"/>
  <c r="E1506" i="29"/>
  <c r="F1506" i="29" s="1"/>
  <c r="E1493" i="29"/>
  <c r="F1493" i="29" s="1"/>
  <c r="E1485" i="29"/>
  <c r="E1464" i="29"/>
  <c r="F1464" i="29" s="1"/>
  <c r="E1444" i="29"/>
  <c r="F1444" i="29" s="1"/>
  <c r="E1441" i="29"/>
  <c r="F1441" i="29" s="1"/>
  <c r="E1437" i="29"/>
  <c r="F1437" i="29" s="1"/>
  <c r="E1434" i="29"/>
  <c r="F1434" i="29" s="1"/>
  <c r="E1401" i="29"/>
  <c r="E1397" i="29"/>
  <c r="E1386" i="29"/>
  <c r="F1386" i="29" s="1"/>
  <c r="E1372" i="29"/>
  <c r="F1372" i="29" s="1"/>
  <c r="E1351" i="29"/>
  <c r="F1351" i="29" s="1"/>
  <c r="E1340" i="29"/>
  <c r="F1340" i="29" s="1"/>
  <c r="E1337" i="29"/>
  <c r="E1305" i="29"/>
  <c r="F1305" i="29" s="1"/>
  <c r="E1266" i="29"/>
  <c r="F1266" i="29" s="1"/>
  <c r="E1688" i="29"/>
  <c r="F1688" i="29" s="1"/>
  <c r="E1259" i="29"/>
  <c r="E1224" i="29"/>
  <c r="E1185" i="29"/>
  <c r="F1185" i="29" s="1"/>
  <c r="E1182" i="29"/>
  <c r="F1182" i="29" s="1"/>
  <c r="E1179" i="29"/>
  <c r="F1179" i="29" s="1"/>
  <c r="E1152" i="29"/>
  <c r="F1152" i="29" s="1"/>
  <c r="E1149" i="29"/>
  <c r="F1149" i="29" s="1"/>
  <c r="E1133" i="29"/>
  <c r="F1133" i="29" s="1"/>
  <c r="E1130" i="29"/>
  <c r="E1126" i="29"/>
  <c r="F1126" i="29" s="1"/>
  <c r="E1122" i="29"/>
  <c r="F1122" i="29" s="1"/>
  <c r="E1119" i="29"/>
  <c r="F1119" i="29" s="1"/>
  <c r="E1113" i="29"/>
  <c r="F1113" i="29" s="1"/>
  <c r="E1073" i="29"/>
  <c r="F1073" i="29" s="1"/>
  <c r="E1070" i="29"/>
  <c r="E1066" i="29"/>
  <c r="E1048" i="29"/>
  <c r="F1048" i="29" s="1"/>
  <c r="E1044" i="29"/>
  <c r="F1044" i="29" s="1"/>
  <c r="E1041" i="29"/>
  <c r="F1041" i="29" s="1"/>
  <c r="E1038" i="29"/>
  <c r="F1038" i="29" s="1"/>
  <c r="E1015" i="29"/>
  <c r="F1015" i="29" s="1"/>
  <c r="E1204" i="29"/>
  <c r="F1204" i="29" s="1"/>
  <c r="E1196" i="29"/>
  <c r="F1196" i="29" s="1"/>
  <c r="E1192" i="29"/>
  <c r="F1192" i="29" s="1"/>
  <c r="E1189" i="29"/>
  <c r="F1189" i="29" s="1"/>
  <c r="E1176" i="29"/>
  <c r="F1176" i="29" s="1"/>
  <c r="E1172" i="29"/>
  <c r="F1172" i="29" s="1"/>
  <c r="E1169" i="29"/>
  <c r="F1169" i="29" s="1"/>
  <c r="E1087" i="29"/>
  <c r="F1087" i="29" s="1"/>
  <c r="E1035" i="29"/>
  <c r="F1035" i="29" s="1"/>
  <c r="E1031" i="29"/>
  <c r="F1031" i="29" s="1"/>
  <c r="E1028" i="29"/>
  <c r="F1028" i="29" s="1"/>
  <c r="E1011" i="29"/>
  <c r="F1011" i="29" s="1"/>
  <c r="E992" i="29"/>
  <c r="F992" i="29" s="1"/>
  <c r="E972" i="29"/>
  <c r="F972" i="29" s="1"/>
  <c r="E944" i="29"/>
  <c r="F944" i="29" s="1"/>
  <c r="E941" i="29"/>
  <c r="F941" i="29" s="1"/>
  <c r="E937" i="29"/>
  <c r="F937" i="29" s="1"/>
  <c r="E914" i="29"/>
  <c r="F914" i="29" s="1"/>
  <c r="E1488" i="29"/>
  <c r="F1488" i="29" s="1"/>
  <c r="E1255" i="29"/>
  <c r="E1215" i="29"/>
  <c r="F1215" i="29" s="1"/>
  <c r="E1210" i="29"/>
  <c r="F1210" i="29" s="1"/>
  <c r="E1165" i="29"/>
  <c r="E1162" i="29"/>
  <c r="E1158" i="29"/>
  <c r="F1158" i="29" s="1"/>
  <c r="E1115" i="29"/>
  <c r="F1115" i="29" s="1"/>
  <c r="E1084" i="29"/>
  <c r="F1084" i="29" s="1"/>
  <c r="E1080" i="29"/>
  <c r="F1080" i="29" s="1"/>
  <c r="E1061" i="29"/>
  <c r="F1061" i="29" s="1"/>
  <c r="E1057" i="29"/>
  <c r="F1057" i="29" s="1"/>
  <c r="E1054" i="29"/>
  <c r="F1054" i="29" s="1"/>
  <c r="E1024" i="29"/>
  <c r="F1024" i="29" s="1"/>
  <c r="E1008" i="29"/>
  <c r="F1008" i="29" s="1"/>
  <c r="E989" i="29"/>
  <c r="F989" i="29" s="1"/>
  <c r="E985" i="29"/>
  <c r="F985" i="29" s="1"/>
  <c r="E1369" i="29"/>
  <c r="F1369" i="29" s="1"/>
  <c r="E1327" i="29"/>
  <c r="F1327" i="29" s="1"/>
  <c r="E1222" i="29"/>
  <c r="F1222" i="29" s="1"/>
  <c r="E1199" i="29"/>
  <c r="F1199" i="29" s="1"/>
  <c r="E1154" i="29"/>
  <c r="F1154" i="29" s="1"/>
  <c r="E1135" i="29"/>
  <c r="F1135" i="29" s="1"/>
  <c r="E1050" i="29"/>
  <c r="F1050" i="29" s="1"/>
  <c r="E1021" i="29"/>
  <c r="F1021" i="29" s="1"/>
  <c r="E982" i="29"/>
  <c r="E925" i="29"/>
  <c r="F925" i="29" s="1"/>
  <c r="E1366" i="29"/>
  <c r="E1324" i="29"/>
  <c r="F1324" i="29" s="1"/>
  <c r="E1209" i="29"/>
  <c r="F1209" i="29" s="1"/>
  <c r="E1187" i="29"/>
  <c r="F1187" i="29" s="1"/>
  <c r="E1184" i="29"/>
  <c r="F1184" i="29" s="1"/>
  <c r="E1181" i="29"/>
  <c r="F1181" i="29" s="1"/>
  <c r="E1178" i="29"/>
  <c r="F1178" i="29" s="1"/>
  <c r="E1151" i="29"/>
  <c r="F1151" i="29" s="1"/>
  <c r="E1132" i="29"/>
  <c r="F1132" i="29" s="1"/>
  <c r="E1128" i="29"/>
  <c r="F1128" i="29" s="1"/>
  <c r="E1125" i="29"/>
  <c r="F1125" i="29" s="1"/>
  <c r="E1121" i="29"/>
  <c r="F1121" i="29" s="1"/>
  <c r="E1076" i="29"/>
  <c r="F1076" i="29" s="1"/>
  <c r="E1072" i="29"/>
  <c r="F1072" i="29" s="1"/>
  <c r="E1068" i="29"/>
  <c r="F1068" i="29" s="1"/>
  <c r="E1047" i="29"/>
  <c r="F1047" i="29" s="1"/>
  <c r="E1043" i="29"/>
  <c r="F1043" i="29" s="1"/>
  <c r="E1040" i="29"/>
  <c r="F1040" i="29" s="1"/>
  <c r="E1037" i="29"/>
  <c r="F1037" i="29" s="1"/>
  <c r="E1017" i="29"/>
  <c r="F1017" i="29" s="1"/>
  <c r="E994" i="29"/>
  <c r="F994" i="29" s="1"/>
  <c r="E978" i="29"/>
  <c r="F978" i="29" s="1"/>
  <c r="E975" i="29"/>
  <c r="E960" i="29"/>
  <c r="F960" i="29" s="1"/>
  <c r="E946" i="29"/>
  <c r="F946" i="29" s="1"/>
  <c r="E920" i="29"/>
  <c r="F920" i="29" s="1"/>
  <c r="E1362" i="29"/>
  <c r="E1278" i="29"/>
  <c r="F1278" i="29" s="1"/>
  <c r="E1214" i="29"/>
  <c r="F1214" i="29" s="1"/>
  <c r="E1203" i="29"/>
  <c r="F1203" i="29" s="1"/>
  <c r="E1195" i="29"/>
  <c r="E1191" i="29"/>
  <c r="F1191" i="29" s="1"/>
  <c r="E1175" i="29"/>
  <c r="F1175" i="29" s="1"/>
  <c r="E1171" i="29"/>
  <c r="F1171" i="29" s="1"/>
  <c r="E1148" i="29"/>
  <c r="E1118" i="29"/>
  <c r="F1118" i="29" s="1"/>
  <c r="E1086" i="29"/>
  <c r="F1086" i="29" s="1"/>
  <c r="E1063" i="29"/>
  <c r="F1063" i="29" s="1"/>
  <c r="E1034" i="29"/>
  <c r="F1034" i="29" s="1"/>
  <c r="E1030" i="29"/>
  <c r="F1030" i="29" s="1"/>
  <c r="E1027" i="29"/>
  <c r="F1027" i="29" s="1"/>
  <c r="E1014" i="29"/>
  <c r="F1014" i="29" s="1"/>
  <c r="E991" i="29"/>
  <c r="F991" i="29" s="1"/>
  <c r="E943" i="29"/>
  <c r="F943" i="29" s="1"/>
  <c r="E940" i="29"/>
  <c r="E1168" i="29"/>
  <c r="E1164" i="29"/>
  <c r="F1164" i="29" s="1"/>
  <c r="E1160" i="29"/>
  <c r="F1160" i="29" s="1"/>
  <c r="E1157" i="29"/>
  <c r="F1157" i="29" s="1"/>
  <c r="E1083" i="29"/>
  <c r="F1083" i="29" s="1"/>
  <c r="E1079" i="29"/>
  <c r="F1079" i="29" s="1"/>
  <c r="E1060" i="29"/>
  <c r="F1060" i="29" s="1"/>
  <c r="E1056" i="29"/>
  <c r="F1056" i="29" s="1"/>
  <c r="E1010" i="29"/>
  <c r="F1010" i="29" s="1"/>
  <c r="E1007" i="29"/>
  <c r="F1007" i="29" s="1"/>
  <c r="E988" i="29"/>
  <c r="F988" i="29" s="1"/>
  <c r="E984" i="29"/>
  <c r="F984" i="29" s="1"/>
  <c r="E971" i="29"/>
  <c r="F971" i="29" s="1"/>
  <c r="E936" i="29"/>
  <c r="F936" i="29" s="1"/>
  <c r="E931" i="29"/>
  <c r="F931" i="29" s="1"/>
  <c r="E928" i="29"/>
  <c r="E909" i="29"/>
  <c r="F909" i="29" s="1"/>
  <c r="E1220" i="29"/>
  <c r="E1198" i="29"/>
  <c r="F1198" i="29" s="1"/>
  <c r="E1153" i="29"/>
  <c r="F1153" i="29" s="1"/>
  <c r="E1114" i="29"/>
  <c r="F1114" i="29" s="1"/>
  <c r="E1053" i="29"/>
  <c r="F1053" i="29" s="1"/>
  <c r="E1023" i="29"/>
  <c r="F1023" i="29" s="1"/>
  <c r="E1020" i="29"/>
  <c r="E924" i="29"/>
  <c r="F924" i="29" s="1"/>
  <c r="E1208" i="29"/>
  <c r="F1208" i="29" s="1"/>
  <c r="E1193" i="29"/>
  <c r="F1193" i="29" s="1"/>
  <c r="E1186" i="29"/>
  <c r="F1186" i="29" s="1"/>
  <c r="E1183" i="29"/>
  <c r="F1183" i="29" s="1"/>
  <c r="E1180" i="29"/>
  <c r="F1180" i="29" s="1"/>
  <c r="E1177" i="29"/>
  <c r="F1177" i="29" s="1"/>
  <c r="E1150" i="29"/>
  <c r="F1150" i="29" s="1"/>
  <c r="E1134" i="29"/>
  <c r="F1134" i="29" s="1"/>
  <c r="E1131" i="29"/>
  <c r="F1131" i="29" s="1"/>
  <c r="E1127" i="29"/>
  <c r="E1124" i="29"/>
  <c r="E1120" i="29"/>
  <c r="F1120" i="29" s="1"/>
  <c r="E1075" i="29"/>
  <c r="E1071" i="29"/>
  <c r="F1071" i="29" s="1"/>
  <c r="E1067" i="29"/>
  <c r="F1067" i="29" s="1"/>
  <c r="E1049" i="29"/>
  <c r="F1049" i="29" s="1"/>
  <c r="E1045" i="29"/>
  <c r="F1045" i="29" s="1"/>
  <c r="E1042" i="29"/>
  <c r="F1042" i="29" s="1"/>
  <c r="E1039" i="29"/>
  <c r="F1039" i="29" s="1"/>
  <c r="E1036" i="29"/>
  <c r="F1036" i="29" s="1"/>
  <c r="E1016" i="29"/>
  <c r="F1016" i="29" s="1"/>
  <c r="E993" i="29"/>
  <c r="F993" i="29" s="1"/>
  <c r="E980" i="29"/>
  <c r="F980" i="29" s="1"/>
  <c r="E977" i="29"/>
  <c r="F977" i="29" s="1"/>
  <c r="E973" i="29"/>
  <c r="F973" i="29" s="1"/>
  <c r="E945" i="29"/>
  <c r="F945" i="29" s="1"/>
  <c r="E1512" i="29"/>
  <c r="F1512" i="29" s="1"/>
  <c r="E1461" i="29"/>
  <c r="F1461" i="29" s="1"/>
  <c r="E1343" i="29"/>
  <c r="E1262" i="29"/>
  <c r="F1262" i="29" s="1"/>
  <c r="E1226" i="29"/>
  <c r="F1226" i="29" s="1"/>
  <c r="E1218" i="29"/>
  <c r="F1218" i="29" s="1"/>
  <c r="E1166" i="29"/>
  <c r="F1166" i="29" s="1"/>
  <c r="E1163" i="29"/>
  <c r="F1163" i="29" s="1"/>
  <c r="E1159" i="29"/>
  <c r="F1159" i="29" s="1"/>
  <c r="E1156" i="29"/>
  <c r="F1156" i="29" s="1"/>
  <c r="E1117" i="29"/>
  <c r="F1117" i="29" s="1"/>
  <c r="E1102" i="29"/>
  <c r="F1102" i="29" s="1"/>
  <c r="E1085" i="29"/>
  <c r="F1085" i="29" s="1"/>
  <c r="E1082" i="29"/>
  <c r="E1062" i="29"/>
  <c r="F1062" i="29" s="1"/>
  <c r="E1059" i="29"/>
  <c r="F1059" i="29" s="1"/>
  <c r="E1055" i="29"/>
  <c r="F1055" i="29" s="1"/>
  <c r="E1026" i="29"/>
  <c r="F1026" i="29" s="1"/>
  <c r="E1009" i="29"/>
  <c r="F1009" i="29" s="1"/>
  <c r="E1006" i="29"/>
  <c r="E986" i="29"/>
  <c r="F986" i="29" s="1"/>
  <c r="E2316" i="29"/>
  <c r="F2316" i="29" s="1"/>
  <c r="E1505" i="29"/>
  <c r="F1505" i="29" s="1"/>
  <c r="E1457" i="29"/>
  <c r="F1457" i="29" s="1"/>
  <c r="E1212" i="29"/>
  <c r="F1212" i="29" s="1"/>
  <c r="E1205" i="29"/>
  <c r="F1205" i="29" s="1"/>
  <c r="E1201" i="29"/>
  <c r="E1136" i="29"/>
  <c r="F1136" i="29" s="1"/>
  <c r="E1078" i="29"/>
  <c r="E1051" i="29"/>
  <c r="F1051" i="29" s="1"/>
  <c r="E1022" i="29"/>
  <c r="F1022" i="29" s="1"/>
  <c r="E1018" i="29"/>
  <c r="F1018" i="29" s="1"/>
  <c r="E983" i="29"/>
  <c r="F983" i="29" s="1"/>
  <c r="E926" i="29"/>
  <c r="F926" i="29" s="1"/>
  <c r="E921" i="29"/>
  <c r="F921" i="29" s="1"/>
  <c r="E908" i="29"/>
  <c r="F908" i="29" s="1"/>
  <c r="E905" i="29"/>
  <c r="E938" i="29"/>
  <c r="F938" i="29" s="1"/>
  <c r="E913" i="29"/>
  <c r="F913" i="29" s="1"/>
  <c r="E881" i="29"/>
  <c r="F881" i="29" s="1"/>
  <c r="E851" i="29"/>
  <c r="F851" i="29" s="1"/>
  <c r="E848" i="29"/>
  <c r="F848" i="29" s="1"/>
  <c r="E844" i="29"/>
  <c r="F844" i="29" s="1"/>
  <c r="E799" i="29"/>
  <c r="F799" i="29" s="1"/>
  <c r="E772" i="29"/>
  <c r="F772" i="29" s="1"/>
  <c r="E769" i="29"/>
  <c r="E753" i="29"/>
  <c r="F753" i="29" s="1"/>
  <c r="E740" i="29"/>
  <c r="F740" i="29" s="1"/>
  <c r="E727" i="29"/>
  <c r="F727" i="29" s="1"/>
  <c r="E708" i="29"/>
  <c r="F708" i="29" s="1"/>
  <c r="E705" i="29"/>
  <c r="F705" i="29" s="1"/>
  <c r="E662" i="29"/>
  <c r="F662" i="29" s="1"/>
  <c r="E1088" i="29"/>
  <c r="F1088" i="29" s="1"/>
  <c r="E841" i="29"/>
  <c r="F841" i="29" s="1"/>
  <c r="E837" i="29"/>
  <c r="F837" i="29" s="1"/>
  <c r="E795" i="29"/>
  <c r="F795" i="29" s="1"/>
  <c r="E791" i="29"/>
  <c r="E787" i="29"/>
  <c r="F787" i="29" s="1"/>
  <c r="E783" i="29"/>
  <c r="F783" i="29" s="1"/>
  <c r="E724" i="29"/>
  <c r="F724" i="29" s="1"/>
  <c r="E701" i="29"/>
  <c r="F701" i="29" s="1"/>
  <c r="E698" i="29"/>
  <c r="E676" i="29"/>
  <c r="F676" i="29" s="1"/>
  <c r="E659" i="29"/>
  <c r="F659" i="29" s="1"/>
  <c r="E645" i="29"/>
  <c r="F645" i="29" s="1"/>
  <c r="E630" i="29"/>
  <c r="F630" i="29" s="1"/>
  <c r="E627" i="29"/>
  <c r="E623" i="29"/>
  <c r="F623" i="29" s="1"/>
  <c r="E1202" i="29"/>
  <c r="F1202" i="29" s="1"/>
  <c r="E917" i="29"/>
  <c r="E903" i="29"/>
  <c r="F903" i="29" s="1"/>
  <c r="E900" i="29"/>
  <c r="F900" i="29" s="1"/>
  <c r="E897" i="29"/>
  <c r="F897" i="29" s="1"/>
  <c r="E894" i="29"/>
  <c r="F894" i="29" s="1"/>
  <c r="E878" i="29"/>
  <c r="E874" i="29"/>
  <c r="F874" i="29" s="1"/>
  <c r="E870" i="29"/>
  <c r="F870" i="29" s="1"/>
  <c r="E867" i="29"/>
  <c r="F867" i="29" s="1"/>
  <c r="E864" i="29"/>
  <c r="F864" i="29" s="1"/>
  <c r="E834" i="29"/>
  <c r="F834" i="29" s="1"/>
  <c r="E804" i="29"/>
  <c r="F804" i="29" s="1"/>
  <c r="E778" i="29"/>
  <c r="F778" i="29" s="1"/>
  <c r="E765" i="29"/>
  <c r="F765" i="29" s="1"/>
  <c r="E750" i="29"/>
  <c r="F750" i="29" s="1"/>
  <c r="E746" i="29"/>
  <c r="F746" i="29" s="1"/>
  <c r="E737" i="29"/>
  <c r="F737" i="29" s="1"/>
  <c r="E733" i="29"/>
  <c r="F733" i="29" s="1"/>
  <c r="E730" i="29"/>
  <c r="F730" i="29" s="1"/>
  <c r="E694" i="29"/>
  <c r="F694" i="29" s="1"/>
  <c r="E691" i="29"/>
  <c r="E687" i="29"/>
  <c r="E656" i="29"/>
  <c r="F656" i="29" s="1"/>
  <c r="E641" i="29"/>
  <c r="F641" i="29" s="1"/>
  <c r="E636" i="29"/>
  <c r="F636" i="29" s="1"/>
  <c r="E1197" i="29"/>
  <c r="F1197" i="29" s="1"/>
  <c r="E891" i="29"/>
  <c r="F891" i="29" s="1"/>
  <c r="E887" i="29"/>
  <c r="F887" i="29" s="1"/>
  <c r="E830" i="29"/>
  <c r="F830" i="29" s="1"/>
  <c r="E801" i="29"/>
  <c r="F801" i="29" s="1"/>
  <c r="E761" i="29"/>
  <c r="F761" i="29" s="1"/>
  <c r="E758" i="29"/>
  <c r="F758" i="29" s="1"/>
  <c r="E743" i="29"/>
  <c r="F743" i="29" s="1"/>
  <c r="E710" i="29"/>
  <c r="F710" i="29" s="1"/>
  <c r="E652" i="29"/>
  <c r="E633" i="29"/>
  <c r="F633" i="29" s="1"/>
  <c r="E934" i="29"/>
  <c r="F934" i="29" s="1"/>
  <c r="E912" i="29"/>
  <c r="F912" i="29" s="1"/>
  <c r="E907" i="29"/>
  <c r="F907" i="29" s="1"/>
  <c r="E884" i="29"/>
  <c r="F884" i="29" s="1"/>
  <c r="E850" i="29"/>
  <c r="F850" i="29" s="1"/>
  <c r="E847" i="29"/>
  <c r="F847" i="29" s="1"/>
  <c r="E843" i="29"/>
  <c r="F843" i="29" s="1"/>
  <c r="E818" i="29"/>
  <c r="F818" i="29" s="1"/>
  <c r="E798" i="29"/>
  <c r="E775" i="29"/>
  <c r="F775" i="29" s="1"/>
  <c r="E771" i="29"/>
  <c r="F771" i="29" s="1"/>
  <c r="E755" i="29"/>
  <c r="F755" i="29" s="1"/>
  <c r="E752" i="29"/>
  <c r="F752" i="29" s="1"/>
  <c r="E739" i="29"/>
  <c r="F739" i="29" s="1"/>
  <c r="E707" i="29"/>
  <c r="F707" i="29" s="1"/>
  <c r="E704" i="29"/>
  <c r="E661" i="29"/>
  <c r="F661" i="29" s="1"/>
  <c r="E647" i="29"/>
  <c r="F647" i="29" s="1"/>
  <c r="E1190" i="29"/>
  <c r="F1190" i="29" s="1"/>
  <c r="E1033" i="29"/>
  <c r="E990" i="29"/>
  <c r="F990" i="29" s="1"/>
  <c r="E915" i="29"/>
  <c r="F915" i="29" s="1"/>
  <c r="E880" i="29"/>
  <c r="F880" i="29" s="1"/>
  <c r="E840" i="29"/>
  <c r="E836" i="29"/>
  <c r="F836" i="29" s="1"/>
  <c r="E794" i="29"/>
  <c r="E789" i="29"/>
  <c r="F789" i="29" s="1"/>
  <c r="E786" i="29"/>
  <c r="E782" i="29"/>
  <c r="E767" i="29"/>
  <c r="F767" i="29" s="1"/>
  <c r="E726" i="29"/>
  <c r="F726" i="29" s="1"/>
  <c r="E723" i="29"/>
  <c r="F723" i="29" s="1"/>
  <c r="E700" i="29"/>
  <c r="F700" i="29" s="1"/>
  <c r="E644" i="29"/>
  <c r="F644" i="29" s="1"/>
  <c r="E629" i="29"/>
  <c r="F629" i="29" s="1"/>
  <c r="E625" i="29"/>
  <c r="F625" i="29" s="1"/>
  <c r="E622" i="29"/>
  <c r="F622" i="29" s="1"/>
  <c r="E613" i="29"/>
  <c r="F613" i="29" s="1"/>
  <c r="E1029" i="29"/>
  <c r="F1029" i="29" s="1"/>
  <c r="E933" i="29"/>
  <c r="E911" i="29"/>
  <c r="E902" i="29"/>
  <c r="F902" i="29" s="1"/>
  <c r="E899" i="29"/>
  <c r="F899" i="29" s="1"/>
  <c r="E896" i="29"/>
  <c r="F896" i="29" s="1"/>
  <c r="E893" i="29"/>
  <c r="F893" i="29" s="1"/>
  <c r="E876" i="29"/>
  <c r="F876" i="29" s="1"/>
  <c r="E873" i="29"/>
  <c r="F873" i="29" s="1"/>
  <c r="E869" i="29"/>
  <c r="F869" i="29" s="1"/>
  <c r="E866" i="29"/>
  <c r="F866" i="29" s="1"/>
  <c r="E833" i="29"/>
  <c r="E764" i="29"/>
  <c r="F764" i="29" s="1"/>
  <c r="E749" i="29"/>
  <c r="E745" i="29"/>
  <c r="F745" i="29" s="1"/>
  <c r="E736" i="29"/>
  <c r="E732" i="29"/>
  <c r="F732" i="29" s="1"/>
  <c r="E696" i="29"/>
  <c r="F696" i="29" s="1"/>
  <c r="E693" i="29"/>
  <c r="F693" i="29" s="1"/>
  <c r="E689" i="29"/>
  <c r="F689" i="29" s="1"/>
  <c r="E658" i="29"/>
  <c r="F658" i="29" s="1"/>
  <c r="E640" i="29"/>
  <c r="E635" i="29"/>
  <c r="F635" i="29" s="1"/>
  <c r="E906" i="29"/>
  <c r="F906" i="29" s="1"/>
  <c r="E889" i="29"/>
  <c r="F889" i="29" s="1"/>
  <c r="E886" i="29"/>
  <c r="F886" i="29" s="1"/>
  <c r="E829" i="29"/>
  <c r="F829" i="29" s="1"/>
  <c r="E803" i="29"/>
  <c r="F803" i="29" s="1"/>
  <c r="E800" i="29"/>
  <c r="F800" i="29" s="1"/>
  <c r="E777" i="29"/>
  <c r="F777" i="29" s="1"/>
  <c r="E760" i="29"/>
  <c r="F760" i="29" s="1"/>
  <c r="E757" i="29"/>
  <c r="F757" i="29" s="1"/>
  <c r="E742" i="29"/>
  <c r="F742" i="29" s="1"/>
  <c r="E728" i="29"/>
  <c r="F728" i="29" s="1"/>
  <c r="E709" i="29"/>
  <c r="F709" i="29" s="1"/>
  <c r="E654" i="29"/>
  <c r="F654" i="29" s="1"/>
  <c r="E650" i="29"/>
  <c r="F650" i="29" s="1"/>
  <c r="E930" i="29"/>
  <c r="F930" i="29" s="1"/>
  <c r="E919" i="29"/>
  <c r="F919" i="29" s="1"/>
  <c r="E882" i="29"/>
  <c r="F882" i="29" s="1"/>
  <c r="E852" i="29"/>
  <c r="F852" i="29" s="1"/>
  <c r="E849" i="29"/>
  <c r="F849" i="29" s="1"/>
  <c r="E846" i="29"/>
  <c r="F846" i="29" s="1"/>
  <c r="E842" i="29"/>
  <c r="F842" i="29" s="1"/>
  <c r="E773" i="29"/>
  <c r="F773" i="29" s="1"/>
  <c r="E770" i="29"/>
  <c r="F770" i="29" s="1"/>
  <c r="E754" i="29"/>
  <c r="F754" i="29" s="1"/>
  <c r="E706" i="29"/>
  <c r="F706" i="29" s="1"/>
  <c r="E660" i="29"/>
  <c r="F660" i="29" s="1"/>
  <c r="E631" i="29"/>
  <c r="F631" i="29" s="1"/>
  <c r="E618" i="29"/>
  <c r="F618" i="29" s="1"/>
  <c r="E615" i="29"/>
  <c r="F615" i="29" s="1"/>
  <c r="E979" i="29"/>
  <c r="F979" i="29" s="1"/>
  <c r="E942" i="29"/>
  <c r="F942" i="29" s="1"/>
  <c r="E901" i="29"/>
  <c r="F901" i="29" s="1"/>
  <c r="E879" i="29"/>
  <c r="F879" i="29" s="1"/>
  <c r="E838" i="29"/>
  <c r="F838" i="29" s="1"/>
  <c r="E796" i="29"/>
  <c r="F796" i="29" s="1"/>
  <c r="E792" i="29"/>
  <c r="F792" i="29" s="1"/>
  <c r="E788" i="29"/>
  <c r="F788" i="29" s="1"/>
  <c r="E784" i="29"/>
  <c r="F784" i="29" s="1"/>
  <c r="E766" i="29"/>
  <c r="F766" i="29" s="1"/>
  <c r="E751" i="29"/>
  <c r="F751" i="29" s="1"/>
  <c r="E738" i="29"/>
  <c r="F738" i="29" s="1"/>
  <c r="E725" i="29"/>
  <c r="F725" i="29" s="1"/>
  <c r="E722" i="29"/>
  <c r="E702" i="29"/>
  <c r="F702" i="29" s="1"/>
  <c r="E699" i="29"/>
  <c r="F699" i="29" s="1"/>
  <c r="E1173" i="29"/>
  <c r="F1173" i="29" s="1"/>
  <c r="E929" i="29"/>
  <c r="F929" i="29" s="1"/>
  <c r="E898" i="29"/>
  <c r="F898" i="29" s="1"/>
  <c r="E895" i="29"/>
  <c r="F895" i="29" s="1"/>
  <c r="E875" i="29"/>
  <c r="F875" i="29" s="1"/>
  <c r="E872" i="29"/>
  <c r="E868" i="29"/>
  <c r="F868" i="29" s="1"/>
  <c r="E865" i="29"/>
  <c r="F865" i="29" s="1"/>
  <c r="E835" i="29"/>
  <c r="F835" i="29" s="1"/>
  <c r="E831" i="29"/>
  <c r="F831" i="29" s="1"/>
  <c r="E779" i="29"/>
  <c r="F779" i="29" s="1"/>
  <c r="E747" i="29"/>
  <c r="F747" i="29" s="1"/>
  <c r="E744" i="29"/>
  <c r="F744" i="29" s="1"/>
  <c r="E734" i="29"/>
  <c r="F734" i="29" s="1"/>
  <c r="E731" i="29"/>
  <c r="F731" i="29" s="1"/>
  <c r="E695" i="29"/>
  <c r="F695" i="29" s="1"/>
  <c r="E692" i="29"/>
  <c r="F692" i="29" s="1"/>
  <c r="E688" i="29"/>
  <c r="F688" i="29" s="1"/>
  <c r="E657" i="29"/>
  <c r="F657" i="29" s="1"/>
  <c r="E642" i="29"/>
  <c r="F642" i="29" s="1"/>
  <c r="E637" i="29"/>
  <c r="F637" i="29" s="1"/>
  <c r="E634" i="29"/>
  <c r="F634" i="29" s="1"/>
  <c r="E621" i="29"/>
  <c r="F621" i="29" s="1"/>
  <c r="E892" i="29"/>
  <c r="F892" i="29" s="1"/>
  <c r="E653" i="29"/>
  <c r="F653" i="29" s="1"/>
  <c r="E619" i="29"/>
  <c r="F619" i="29" s="1"/>
  <c r="E611" i="29"/>
  <c r="F611" i="29" s="1"/>
  <c r="E608" i="29"/>
  <c r="F608" i="29" s="1"/>
  <c r="E597" i="29"/>
  <c r="F597" i="29" s="1"/>
  <c r="E594" i="29"/>
  <c r="F594" i="29" s="1"/>
  <c r="E590" i="29"/>
  <c r="F590" i="29" s="1"/>
  <c r="E586" i="29"/>
  <c r="F586" i="29" s="1"/>
  <c r="E583" i="29"/>
  <c r="F583" i="29" s="1"/>
  <c r="E564" i="29"/>
  <c r="F564" i="29" s="1"/>
  <c r="E547" i="29"/>
  <c r="F547" i="29" s="1"/>
  <c r="E488" i="29"/>
  <c r="F488" i="29" s="1"/>
  <c r="E485" i="29"/>
  <c r="E481" i="29"/>
  <c r="F481" i="29" s="1"/>
  <c r="E477" i="29"/>
  <c r="F477" i="29" s="1"/>
  <c r="E466" i="29"/>
  <c r="F466" i="29" s="1"/>
  <c r="E410" i="29"/>
  <c r="F410" i="29" s="1"/>
  <c r="E407" i="29"/>
  <c r="E403" i="29"/>
  <c r="E375" i="29"/>
  <c r="F375" i="29" s="1"/>
  <c r="E361" i="29"/>
  <c r="F361" i="29" s="1"/>
  <c r="E357" i="29"/>
  <c r="F357" i="29" s="1"/>
  <c r="E335" i="29"/>
  <c r="F335" i="29" s="1"/>
  <c r="E332" i="29"/>
  <c r="F332" i="29" s="1"/>
  <c r="E329" i="29"/>
  <c r="F329" i="29" s="1"/>
  <c r="E302" i="29"/>
  <c r="F302" i="29" s="1"/>
  <c r="E888" i="29"/>
  <c r="F888" i="29" s="1"/>
  <c r="E649" i="29"/>
  <c r="E624" i="29"/>
  <c r="F624" i="29" s="1"/>
  <c r="E580" i="29"/>
  <c r="E560" i="29"/>
  <c r="F560" i="29" s="1"/>
  <c r="E557" i="29"/>
  <c r="F557" i="29" s="1"/>
  <c r="E518" i="29"/>
  <c r="F518" i="29" s="1"/>
  <c r="E515" i="29"/>
  <c r="F515" i="29" s="1"/>
  <c r="E511" i="29"/>
  <c r="F511" i="29" s="1"/>
  <c r="E462" i="29"/>
  <c r="F462" i="29" s="1"/>
  <c r="E459" i="29"/>
  <c r="F459" i="29" s="1"/>
  <c r="E449" i="29"/>
  <c r="F449" i="29" s="1"/>
  <c r="E426" i="29"/>
  <c r="F426" i="29" s="1"/>
  <c r="E423" i="29"/>
  <c r="F423" i="29" s="1"/>
  <c r="E420" i="29"/>
  <c r="E416" i="29"/>
  <c r="F416" i="29" s="1"/>
  <c r="E352" i="29"/>
  <c r="F352" i="29" s="1"/>
  <c r="E885" i="29"/>
  <c r="F885" i="29" s="1"/>
  <c r="E763" i="29"/>
  <c r="E646" i="29"/>
  <c r="F646" i="29" s="1"/>
  <c r="E614" i="29"/>
  <c r="F614" i="29" s="1"/>
  <c r="E553" i="29"/>
  <c r="F553" i="29" s="1"/>
  <c r="E507" i="29"/>
  <c r="E503" i="29"/>
  <c r="F503" i="29" s="1"/>
  <c r="E499" i="29"/>
  <c r="F499" i="29" s="1"/>
  <c r="E474" i="29"/>
  <c r="F474" i="29" s="1"/>
  <c r="E471" i="29"/>
  <c r="F471" i="29" s="1"/>
  <c r="E455" i="29"/>
  <c r="F455" i="29" s="1"/>
  <c r="E446" i="29"/>
  <c r="F446" i="29" s="1"/>
  <c r="E442" i="29"/>
  <c r="F442" i="29" s="1"/>
  <c r="E439" i="29"/>
  <c r="F439" i="29" s="1"/>
  <c r="E349" i="29"/>
  <c r="F349" i="29" s="1"/>
  <c r="E345" i="29"/>
  <c r="F345" i="29" s="1"/>
  <c r="E326" i="29"/>
  <c r="F326" i="29" s="1"/>
  <c r="E323" i="29"/>
  <c r="F323" i="29" s="1"/>
  <c r="E319" i="29"/>
  <c r="F319" i="29" s="1"/>
  <c r="E802" i="29"/>
  <c r="F802" i="29" s="1"/>
  <c r="E759" i="29"/>
  <c r="F759" i="29" s="1"/>
  <c r="E603" i="29"/>
  <c r="F603" i="29" s="1"/>
  <c r="E600" i="29"/>
  <c r="F600" i="29" s="1"/>
  <c r="E550" i="29"/>
  <c r="F550" i="29" s="1"/>
  <c r="E494" i="29"/>
  <c r="F494" i="29" s="1"/>
  <c r="E491" i="29"/>
  <c r="F491" i="29" s="1"/>
  <c r="E468" i="29"/>
  <c r="F468" i="29" s="1"/>
  <c r="E377" i="29"/>
  <c r="F377" i="29" s="1"/>
  <c r="E372" i="29"/>
  <c r="F372" i="29" s="1"/>
  <c r="E368" i="29"/>
  <c r="E363" i="29"/>
  <c r="F363" i="29" s="1"/>
  <c r="E341" i="29"/>
  <c r="F341" i="29" s="1"/>
  <c r="E338" i="29"/>
  <c r="F338" i="29" s="1"/>
  <c r="E1012" i="29"/>
  <c r="F1012" i="29" s="1"/>
  <c r="E756" i="29"/>
  <c r="F756" i="29" s="1"/>
  <c r="E610" i="29"/>
  <c r="F610" i="29" s="1"/>
  <c r="E607" i="29"/>
  <c r="F607" i="29" s="1"/>
  <c r="E596" i="29"/>
  <c r="F596" i="29" s="1"/>
  <c r="E592" i="29"/>
  <c r="F592" i="29" s="1"/>
  <c r="E589" i="29"/>
  <c r="F589" i="29" s="1"/>
  <c r="E585" i="29"/>
  <c r="F585" i="29" s="1"/>
  <c r="E566" i="29"/>
  <c r="F566" i="29" s="1"/>
  <c r="E563" i="29"/>
  <c r="F563" i="29" s="1"/>
  <c r="E546" i="29"/>
  <c r="F546" i="29" s="1"/>
  <c r="E487" i="29"/>
  <c r="F487" i="29" s="1"/>
  <c r="E483" i="29"/>
  <c r="F483" i="29" s="1"/>
  <c r="E480" i="29"/>
  <c r="F480" i="29" s="1"/>
  <c r="E465" i="29"/>
  <c r="F465" i="29" s="1"/>
  <c r="E452" i="29"/>
  <c r="E412" i="29"/>
  <c r="F412" i="29" s="1"/>
  <c r="E409" i="29"/>
  <c r="F409" i="29" s="1"/>
  <c r="E405" i="29"/>
  <c r="F405" i="29" s="1"/>
  <c r="E360" i="29"/>
  <c r="F360" i="29" s="1"/>
  <c r="E356" i="29"/>
  <c r="E334" i="29"/>
  <c r="F334" i="29" s="1"/>
  <c r="E331" i="29"/>
  <c r="F331" i="29" s="1"/>
  <c r="E328" i="29"/>
  <c r="F328" i="29" s="1"/>
  <c r="E1170" i="29"/>
  <c r="F1170" i="29" s="1"/>
  <c r="E918" i="29"/>
  <c r="F918" i="29" s="1"/>
  <c r="E617" i="29"/>
  <c r="F617" i="29" s="1"/>
  <c r="E582" i="29"/>
  <c r="F582" i="29" s="1"/>
  <c r="E559" i="29"/>
  <c r="F559" i="29" s="1"/>
  <c r="E556" i="29"/>
  <c r="E520" i="29"/>
  <c r="F520" i="29" s="1"/>
  <c r="E517" i="29"/>
  <c r="F517" i="29" s="1"/>
  <c r="E514" i="29"/>
  <c r="E476" i="29"/>
  <c r="F476" i="29" s="1"/>
  <c r="E461" i="29"/>
  <c r="F461" i="29" s="1"/>
  <c r="E448" i="29"/>
  <c r="F448" i="29" s="1"/>
  <c r="E425" i="29"/>
  <c r="F425" i="29" s="1"/>
  <c r="E422" i="29"/>
  <c r="F422" i="29" s="1"/>
  <c r="E418" i="29"/>
  <c r="F418" i="29" s="1"/>
  <c r="E374" i="29"/>
  <c r="F374" i="29" s="1"/>
  <c r="E351" i="29"/>
  <c r="F351" i="29" s="1"/>
  <c r="E301" i="29"/>
  <c r="F301" i="29" s="1"/>
  <c r="E628" i="29"/>
  <c r="F628" i="29" s="1"/>
  <c r="E552" i="29"/>
  <c r="F552" i="29" s="1"/>
  <c r="E534" i="29"/>
  <c r="F534" i="29" s="1"/>
  <c r="E510" i="29"/>
  <c r="E505" i="29"/>
  <c r="F505" i="29" s="1"/>
  <c r="E502" i="29"/>
  <c r="E498" i="29"/>
  <c r="F498" i="29" s="1"/>
  <c r="E473" i="29"/>
  <c r="F473" i="29" s="1"/>
  <c r="E458" i="29"/>
  <c r="F458" i="29" s="1"/>
  <c r="E444" i="29"/>
  <c r="F444" i="29" s="1"/>
  <c r="E441" i="29"/>
  <c r="F441" i="29" s="1"/>
  <c r="E415" i="29"/>
  <c r="F415" i="29" s="1"/>
  <c r="E347" i="29"/>
  <c r="F347" i="29" s="1"/>
  <c r="E344" i="29"/>
  <c r="F344" i="29" s="1"/>
  <c r="E325" i="29"/>
  <c r="F325" i="29" s="1"/>
  <c r="E321" i="29"/>
  <c r="F321" i="29" s="1"/>
  <c r="E318" i="29"/>
  <c r="F318" i="29" s="1"/>
  <c r="E314" i="29"/>
  <c r="F314" i="29" s="1"/>
  <c r="E1346" i="29"/>
  <c r="F1346" i="29" s="1"/>
  <c r="E976" i="29"/>
  <c r="F976" i="29" s="1"/>
  <c r="E609" i="29"/>
  <c r="F609" i="29" s="1"/>
  <c r="E605" i="29"/>
  <c r="F605" i="29" s="1"/>
  <c r="E602" i="29"/>
  <c r="F602" i="29" s="1"/>
  <c r="E598" i="29"/>
  <c r="F598" i="29" s="1"/>
  <c r="E568" i="29"/>
  <c r="F568" i="29" s="1"/>
  <c r="E493" i="29"/>
  <c r="F493" i="29" s="1"/>
  <c r="E489" i="29"/>
  <c r="F489" i="29" s="1"/>
  <c r="E470" i="29"/>
  <c r="F470" i="29" s="1"/>
  <c r="E467" i="29"/>
  <c r="F467" i="29" s="1"/>
  <c r="E454" i="29"/>
  <c r="F454" i="29" s="1"/>
  <c r="E438" i="29"/>
  <c r="F438" i="29" s="1"/>
  <c r="E376" i="29"/>
  <c r="F376" i="29" s="1"/>
  <c r="E370" i="29"/>
  <c r="F370" i="29" s="1"/>
  <c r="E366" i="29"/>
  <c r="F366" i="29" s="1"/>
  <c r="E340" i="29"/>
  <c r="F340" i="29" s="1"/>
  <c r="E595" i="29"/>
  <c r="F595" i="29" s="1"/>
  <c r="E591" i="29"/>
  <c r="F591" i="29" s="1"/>
  <c r="E588" i="29"/>
  <c r="F588" i="29" s="1"/>
  <c r="E584" i="29"/>
  <c r="F584" i="29" s="1"/>
  <c r="E565" i="29"/>
  <c r="F565" i="29" s="1"/>
  <c r="E549" i="29"/>
  <c r="F549" i="29" s="1"/>
  <c r="E545" i="29"/>
  <c r="F545" i="29" s="1"/>
  <c r="E486" i="29"/>
  <c r="F486" i="29" s="1"/>
  <c r="E482" i="29"/>
  <c r="F482" i="29" s="1"/>
  <c r="E479" i="29"/>
  <c r="F479" i="29" s="1"/>
  <c r="E463" i="29"/>
  <c r="F463" i="29" s="1"/>
  <c r="E411" i="29"/>
  <c r="F411" i="29" s="1"/>
  <c r="E408" i="29"/>
  <c r="F408" i="29" s="1"/>
  <c r="E404" i="29"/>
  <c r="F404" i="29" s="1"/>
  <c r="E362" i="29"/>
  <c r="F362" i="29" s="1"/>
  <c r="E358" i="29"/>
  <c r="F358" i="29" s="1"/>
  <c r="E616" i="29"/>
  <c r="F616" i="29" s="1"/>
  <c r="E612" i="29"/>
  <c r="F612" i="29" s="1"/>
  <c r="E581" i="29"/>
  <c r="F581" i="29" s="1"/>
  <c r="E562" i="29"/>
  <c r="E558" i="29"/>
  <c r="F558" i="29" s="1"/>
  <c r="E554" i="29"/>
  <c r="F554" i="29" s="1"/>
  <c r="E519" i="29"/>
  <c r="F519" i="29" s="1"/>
  <c r="E516" i="29"/>
  <c r="F516" i="29" s="1"/>
  <c r="E512" i="29"/>
  <c r="F512" i="29" s="1"/>
  <c r="E475" i="29"/>
  <c r="F475" i="29" s="1"/>
  <c r="E460" i="29"/>
  <c r="F460" i="29" s="1"/>
  <c r="E450" i="29"/>
  <c r="F450" i="29" s="1"/>
  <c r="E447" i="29"/>
  <c r="F447" i="29" s="1"/>
  <c r="E424" i="29"/>
  <c r="F424" i="29" s="1"/>
  <c r="E421" i="29"/>
  <c r="F421" i="29" s="1"/>
  <c r="E417" i="29"/>
  <c r="F417" i="29" s="1"/>
  <c r="E353" i="29"/>
  <c r="F353" i="29" s="1"/>
  <c r="E350" i="29"/>
  <c r="F350" i="29" s="1"/>
  <c r="E327" i="29"/>
  <c r="F327" i="29" s="1"/>
  <c r="E776" i="29"/>
  <c r="F776" i="29" s="1"/>
  <c r="E604" i="29"/>
  <c r="F604" i="29" s="1"/>
  <c r="E504" i="29"/>
  <c r="F504" i="29" s="1"/>
  <c r="E443" i="29"/>
  <c r="F443" i="29" s="1"/>
  <c r="E316" i="29"/>
  <c r="F316" i="29" s="1"/>
  <c r="E306" i="29"/>
  <c r="F306" i="29" s="1"/>
  <c r="E299" i="29"/>
  <c r="F299" i="29" s="1"/>
  <c r="E282" i="29"/>
  <c r="F282" i="29" s="1"/>
  <c r="E270" i="29"/>
  <c r="F270" i="29" s="1"/>
  <c r="E216" i="29"/>
  <c r="F216" i="29" s="1"/>
  <c r="E211" i="29"/>
  <c r="F211" i="29" s="1"/>
  <c r="E208" i="29"/>
  <c r="F208" i="29" s="1"/>
  <c r="E204" i="29"/>
  <c r="F204" i="29" s="1"/>
  <c r="E197" i="29"/>
  <c r="F197" i="29" s="1"/>
  <c r="E190" i="29"/>
  <c r="F190" i="29" s="1"/>
  <c r="E187" i="29"/>
  <c r="F187" i="29" s="1"/>
  <c r="E170" i="29"/>
  <c r="F170" i="29" s="1"/>
  <c r="E189" i="29"/>
  <c r="F189" i="29" s="1"/>
  <c r="E601" i="29"/>
  <c r="F601" i="29" s="1"/>
  <c r="E567" i="29"/>
  <c r="F567" i="29" s="1"/>
  <c r="E274" i="29"/>
  <c r="F274" i="29" s="1"/>
  <c r="E201" i="29"/>
  <c r="F201" i="29" s="1"/>
  <c r="E193" i="29"/>
  <c r="F193" i="29" s="1"/>
  <c r="E179" i="29"/>
  <c r="F179" i="29" s="1"/>
  <c r="E500" i="29"/>
  <c r="F500" i="29" s="1"/>
  <c r="E440" i="29"/>
  <c r="F440" i="29" s="1"/>
  <c r="E373" i="29"/>
  <c r="E339" i="29"/>
  <c r="F339" i="29" s="1"/>
  <c r="E320" i="29"/>
  <c r="F320" i="29" s="1"/>
  <c r="E310" i="29"/>
  <c r="E278" i="29"/>
  <c r="F278" i="29" s="1"/>
  <c r="E163" i="29"/>
  <c r="F163" i="29" s="1"/>
  <c r="E159" i="29"/>
  <c r="F159" i="29" s="1"/>
  <c r="E156" i="29"/>
  <c r="F156" i="29" s="1"/>
  <c r="E414" i="29"/>
  <c r="F414" i="29" s="1"/>
  <c r="E337" i="29"/>
  <c r="E305" i="29"/>
  <c r="F305" i="29" s="1"/>
  <c r="E298" i="29"/>
  <c r="F298" i="29" s="1"/>
  <c r="E281" i="29"/>
  <c r="F281" i="29" s="1"/>
  <c r="E266" i="29"/>
  <c r="F266" i="29" s="1"/>
  <c r="E262" i="29"/>
  <c r="F262" i="29" s="1"/>
  <c r="E234" i="29"/>
  <c r="F234" i="29" s="1"/>
  <c r="E231" i="29"/>
  <c r="F231" i="29" s="1"/>
  <c r="E227" i="29"/>
  <c r="F227" i="29" s="1"/>
  <c r="E223" i="29"/>
  <c r="F223" i="29" s="1"/>
  <c r="E219" i="29"/>
  <c r="F219" i="29" s="1"/>
  <c r="E186" i="29"/>
  <c r="F186" i="29" s="1"/>
  <c r="E495" i="29"/>
  <c r="F495" i="29" s="1"/>
  <c r="E456" i="29"/>
  <c r="F456" i="29" s="1"/>
  <c r="E284" i="29"/>
  <c r="F284" i="29" s="1"/>
  <c r="E269" i="29"/>
  <c r="F269" i="29" s="1"/>
  <c r="E215" i="29"/>
  <c r="F215" i="29" s="1"/>
  <c r="E210" i="29"/>
  <c r="F210" i="29" s="1"/>
  <c r="E207" i="29"/>
  <c r="F207" i="29" s="1"/>
  <c r="E203" i="29"/>
  <c r="F203" i="29" s="1"/>
  <c r="E169" i="29"/>
  <c r="F169" i="29" s="1"/>
  <c r="E392" i="29"/>
  <c r="F392" i="29" s="1"/>
  <c r="E369" i="29"/>
  <c r="F369" i="29" s="1"/>
  <c r="E313" i="29"/>
  <c r="F313" i="29" s="1"/>
  <c r="E308" i="29"/>
  <c r="F308" i="29" s="1"/>
  <c r="E273" i="29"/>
  <c r="F273" i="29" s="1"/>
  <c r="E472" i="29"/>
  <c r="F472" i="29" s="1"/>
  <c r="E333" i="29"/>
  <c r="F333" i="29" s="1"/>
  <c r="E304" i="29"/>
  <c r="F304" i="29" s="1"/>
  <c r="E276" i="29"/>
  <c r="F276" i="29" s="1"/>
  <c r="E165" i="29"/>
  <c r="F165" i="29" s="1"/>
  <c r="E162" i="29"/>
  <c r="F162" i="29" s="1"/>
  <c r="E158" i="29"/>
  <c r="F158" i="29" s="1"/>
  <c r="E155" i="29"/>
  <c r="F155" i="29" s="1"/>
  <c r="E232" i="29"/>
  <c r="F232" i="29" s="1"/>
  <c r="E166" i="29"/>
  <c r="F166" i="29" s="1"/>
  <c r="E199" i="29"/>
  <c r="F199" i="29" s="1"/>
  <c r="E492" i="29"/>
  <c r="F492" i="29" s="1"/>
  <c r="E453" i="29"/>
  <c r="F453" i="29" s="1"/>
  <c r="E365" i="29"/>
  <c r="E346" i="29"/>
  <c r="F346" i="29" s="1"/>
  <c r="E297" i="29"/>
  <c r="F297" i="29" s="1"/>
  <c r="E280" i="29"/>
  <c r="F280" i="29" s="1"/>
  <c r="E265" i="29"/>
  <c r="F265" i="29" s="1"/>
  <c r="E261" i="29"/>
  <c r="F261" i="29" s="1"/>
  <c r="E236" i="29"/>
  <c r="F236" i="29" s="1"/>
  <c r="E233" i="29"/>
  <c r="F233" i="29" s="1"/>
  <c r="E230" i="29"/>
  <c r="F230" i="29" s="1"/>
  <c r="E226" i="29"/>
  <c r="F226" i="29" s="1"/>
  <c r="E221" i="29"/>
  <c r="F221" i="29" s="1"/>
  <c r="E218" i="29"/>
  <c r="F218" i="29" s="1"/>
  <c r="E224" i="29"/>
  <c r="F224" i="29" s="1"/>
  <c r="E174" i="29"/>
  <c r="F174" i="29" s="1"/>
  <c r="E312" i="29"/>
  <c r="F312" i="29" s="1"/>
  <c r="E307" i="29"/>
  <c r="F307" i="29" s="1"/>
  <c r="E300" i="29"/>
  <c r="F300" i="29" s="1"/>
  <c r="E283" i="29"/>
  <c r="F283" i="29" s="1"/>
  <c r="E268" i="29"/>
  <c r="F268" i="29" s="1"/>
  <c r="E214" i="29"/>
  <c r="F214" i="29" s="1"/>
  <c r="E209" i="29"/>
  <c r="F209" i="29" s="1"/>
  <c r="E250" i="29"/>
  <c r="F250" i="29" s="1"/>
  <c r="E177" i="29"/>
  <c r="F177" i="29" s="1"/>
  <c r="E192" i="29"/>
  <c r="F192" i="29" s="1"/>
  <c r="E172" i="29"/>
  <c r="F172" i="29" s="1"/>
  <c r="E469" i="29"/>
  <c r="F469" i="29" s="1"/>
  <c r="E324" i="29"/>
  <c r="F324" i="29" s="1"/>
  <c r="E317" i="29"/>
  <c r="F317" i="29" s="1"/>
  <c r="E272" i="29"/>
  <c r="F272" i="29" s="1"/>
  <c r="E205" i="29"/>
  <c r="F205" i="29" s="1"/>
  <c r="E202" i="29"/>
  <c r="F202" i="29" s="1"/>
  <c r="E198" i="29"/>
  <c r="F198" i="29" s="1"/>
  <c r="E195" i="29"/>
  <c r="F195" i="29" s="1"/>
  <c r="E191" i="29"/>
  <c r="F191" i="29" s="1"/>
  <c r="E188" i="29"/>
  <c r="F188" i="29" s="1"/>
  <c r="E185" i="29"/>
  <c r="F185" i="29" s="1"/>
  <c r="E182" i="29"/>
  <c r="F182" i="29" s="1"/>
  <c r="E178" i="29"/>
  <c r="F178" i="29" s="1"/>
  <c r="E175" i="29"/>
  <c r="F175" i="29" s="1"/>
  <c r="E171" i="29"/>
  <c r="F171" i="29" s="1"/>
  <c r="E168" i="29"/>
  <c r="F168" i="29" s="1"/>
  <c r="E235" i="29"/>
  <c r="F235" i="29" s="1"/>
  <c r="E220" i="29"/>
  <c r="F220" i="29" s="1"/>
  <c r="E181" i="29"/>
  <c r="F181" i="29" s="1"/>
  <c r="E176" i="29"/>
  <c r="F176" i="29" s="1"/>
  <c r="E551" i="29"/>
  <c r="F551" i="29" s="1"/>
  <c r="E508" i="29"/>
  <c r="F508" i="29" s="1"/>
  <c r="E378" i="29"/>
  <c r="F378" i="29" s="1"/>
  <c r="E343" i="29"/>
  <c r="E330" i="29"/>
  <c r="F330" i="29" s="1"/>
  <c r="E275" i="29"/>
  <c r="F275" i="29" s="1"/>
  <c r="E164" i="29"/>
  <c r="F164" i="29" s="1"/>
  <c r="E160" i="29"/>
  <c r="F160" i="29" s="1"/>
  <c r="E157" i="29"/>
  <c r="F157" i="29" s="1"/>
  <c r="E154" i="29"/>
  <c r="F154" i="29" s="1"/>
  <c r="E228" i="29"/>
  <c r="F228" i="29" s="1"/>
  <c r="E196" i="29"/>
  <c r="F196" i="29" s="1"/>
  <c r="E311" i="29"/>
  <c r="F311" i="29" s="1"/>
  <c r="E296" i="29"/>
  <c r="E279" i="29"/>
  <c r="F279" i="29" s="1"/>
  <c r="E267" i="29"/>
  <c r="F267" i="29" s="1"/>
  <c r="E263" i="29"/>
  <c r="F263" i="29" s="1"/>
  <c r="E184" i="29"/>
  <c r="F184" i="29" s="1"/>
  <c r="E183" i="29"/>
  <c r="F183" i="29" s="1"/>
  <c r="F1432" i="29"/>
  <c r="F2879" i="29"/>
  <c r="F2380" i="29"/>
  <c r="F2664" i="29"/>
  <c r="F1130" i="29"/>
  <c r="F1757" i="29"/>
  <c r="F1165" i="29"/>
  <c r="F2491" i="29"/>
  <c r="F1447" i="29"/>
  <c r="F1127" i="29"/>
  <c r="F2550" i="29"/>
  <c r="F2073" i="29"/>
  <c r="F2071" i="29" s="1"/>
  <c r="F2108" i="29"/>
  <c r="F2106" i="29" s="1"/>
  <c r="F2806" i="29"/>
  <c r="F1825" i="29"/>
  <c r="F2467" i="29"/>
  <c r="G104" i="33"/>
  <c r="G99" i="33"/>
  <c r="H95" i="33"/>
  <c r="H88" i="33"/>
  <c r="G85" i="33"/>
  <c r="G82" i="33"/>
  <c r="H79" i="33"/>
  <c r="H76" i="33"/>
  <c r="G2979" i="29"/>
  <c r="G2976" i="29"/>
  <c r="G2972" i="29"/>
  <c r="G2968" i="29"/>
  <c r="G2965" i="29"/>
  <c r="G2961" i="29"/>
  <c r="G2929" i="29"/>
  <c r="H2925" i="29"/>
  <c r="H2921" i="29"/>
  <c r="I2917" i="29"/>
  <c r="G2906" i="29"/>
  <c r="G2902" i="29"/>
  <c r="G2899" i="29"/>
  <c r="G2895" i="29"/>
  <c r="G2891" i="29"/>
  <c r="G2888" i="29"/>
  <c r="G2885" i="29"/>
  <c r="I2882" i="29"/>
  <c r="I2879" i="29"/>
  <c r="I2875" i="29"/>
  <c r="I2872" i="29"/>
  <c r="H2838" i="29"/>
  <c r="I2835" i="29"/>
  <c r="I2831" i="29"/>
  <c r="H2806" i="29"/>
  <c r="G2792" i="29"/>
  <c r="H2789" i="29"/>
  <c r="H2786" i="29"/>
  <c r="I2782" i="29"/>
  <c r="I2777" i="29"/>
  <c r="I2774" i="29"/>
  <c r="G2766" i="29"/>
  <c r="G2763" i="29"/>
  <c r="H2759" i="29"/>
  <c r="H2755" i="29"/>
  <c r="I2752" i="29"/>
  <c r="I2748" i="29"/>
  <c r="H2740" i="29"/>
  <c r="H2737" i="29"/>
  <c r="H2733" i="29"/>
  <c r="I2730" i="29"/>
  <c r="I2726" i="29"/>
  <c r="G2720" i="29"/>
  <c r="G2716" i="29"/>
  <c r="H2713" i="29"/>
  <c r="H2710" i="29"/>
  <c r="G2694" i="29"/>
  <c r="H2690" i="29"/>
  <c r="H2687" i="29"/>
  <c r="G95" i="33"/>
  <c r="G88" i="33"/>
  <c r="G79" i="33"/>
  <c r="G76" i="33"/>
  <c r="I2981" i="29"/>
  <c r="I2934" i="29"/>
  <c r="I2931" i="29"/>
  <c r="G2925" i="29"/>
  <c r="G2921" i="29"/>
  <c r="H2917" i="29"/>
  <c r="I2913" i="29"/>
  <c r="I2908" i="29"/>
  <c r="H2882" i="29"/>
  <c r="H2879" i="29"/>
  <c r="H2875" i="29"/>
  <c r="H2872" i="29"/>
  <c r="I2868" i="29"/>
  <c r="I2864" i="29"/>
  <c r="I2861" i="29"/>
  <c r="I2857" i="29"/>
  <c r="I2854" i="29"/>
  <c r="G2838" i="29"/>
  <c r="H2835" i="29"/>
  <c r="H2831" i="29"/>
  <c r="I2828" i="29"/>
  <c r="I2824" i="29"/>
  <c r="I2821" i="29"/>
  <c r="I2817" i="29"/>
  <c r="G2806" i="29"/>
  <c r="G2789" i="29"/>
  <c r="G2786" i="29"/>
  <c r="H2782" i="29"/>
  <c r="H2777" i="29"/>
  <c r="H2774" i="29"/>
  <c r="I2770" i="29"/>
  <c r="G2759" i="29"/>
  <c r="G2755" i="29"/>
  <c r="H2752" i="29"/>
  <c r="H2748" i="29"/>
  <c r="I2745" i="29"/>
  <c r="G2740" i="29"/>
  <c r="G2737" i="29"/>
  <c r="G2733" i="29"/>
  <c r="H2730" i="29"/>
  <c r="H2726" i="29"/>
  <c r="G2713" i="29"/>
  <c r="G2710" i="29"/>
  <c r="I2696" i="29"/>
  <c r="G2690" i="29"/>
  <c r="G2687" i="29"/>
  <c r="I2683" i="29"/>
  <c r="I2680" i="29"/>
  <c r="I2676" i="29"/>
  <c r="I106" i="33"/>
  <c r="I98" i="33"/>
  <c r="I84" i="33"/>
  <c r="H2981" i="29"/>
  <c r="I2978" i="29"/>
  <c r="I2974" i="29"/>
  <c r="I2971" i="29"/>
  <c r="I2967" i="29"/>
  <c r="I2964" i="29"/>
  <c r="I2960" i="29"/>
  <c r="H2934" i="29"/>
  <c r="H2931" i="29"/>
  <c r="I2928" i="29"/>
  <c r="G2917" i="29"/>
  <c r="H2913" i="29"/>
  <c r="H2908" i="29"/>
  <c r="I2905" i="29"/>
  <c r="I2901" i="29"/>
  <c r="I2897" i="29"/>
  <c r="I2894" i="29"/>
  <c r="I2890" i="29"/>
  <c r="I2887" i="29"/>
  <c r="I2884" i="29"/>
  <c r="G2882" i="29"/>
  <c r="G2879" i="29"/>
  <c r="G2875" i="29"/>
  <c r="G2872" i="29"/>
  <c r="H2868" i="29"/>
  <c r="H2864" i="29"/>
  <c r="H2861" i="29"/>
  <c r="H2857" i="29"/>
  <c r="H2854" i="29"/>
  <c r="G2835" i="29"/>
  <c r="G2831" i="29"/>
  <c r="H2828" i="29"/>
  <c r="H2824" i="29"/>
  <c r="H2821" i="29"/>
  <c r="H2817" i="29"/>
  <c r="I2791" i="29"/>
  <c r="G2782" i="29"/>
  <c r="G2777" i="29"/>
  <c r="G2774" i="29"/>
  <c r="H2770" i="29"/>
  <c r="I2765" i="29"/>
  <c r="I2761" i="29"/>
  <c r="G2752" i="29"/>
  <c r="G2748" i="29"/>
  <c r="H2745" i="29"/>
  <c r="I2742" i="29"/>
  <c r="G2730" i="29"/>
  <c r="G2726" i="29"/>
  <c r="I2722" i="29"/>
  <c r="I2719" i="29"/>
  <c r="I2715" i="29"/>
  <c r="H2696" i="29"/>
  <c r="I2693" i="29"/>
  <c r="H106" i="33"/>
  <c r="H98" i="33"/>
  <c r="I94" i="33"/>
  <c r="I90" i="33"/>
  <c r="H84" i="33"/>
  <c r="I81" i="33"/>
  <c r="I78" i="33"/>
  <c r="I75" i="33"/>
  <c r="G2981" i="29"/>
  <c r="H2978" i="29"/>
  <c r="H2974" i="29"/>
  <c r="H2971" i="29"/>
  <c r="H2967" i="29"/>
  <c r="H2964" i="29"/>
  <c r="H2960" i="29"/>
  <c r="I2948" i="29"/>
  <c r="G2934" i="29"/>
  <c r="G2931" i="29"/>
  <c r="H2928" i="29"/>
  <c r="I2924" i="29"/>
  <c r="I2919" i="29"/>
  <c r="G2913" i="29"/>
  <c r="G2908" i="29"/>
  <c r="H2905" i="29"/>
  <c r="H2901" i="29"/>
  <c r="H2897" i="29"/>
  <c r="H2894" i="29"/>
  <c r="H2890" i="29"/>
  <c r="H2887" i="29"/>
  <c r="H2884" i="29"/>
  <c r="G2868" i="29"/>
  <c r="G2864" i="29"/>
  <c r="G2861" i="29"/>
  <c r="G2857" i="29"/>
  <c r="G2854" i="29"/>
  <c r="I2840" i="29"/>
  <c r="G2828" i="29"/>
  <c r="G2824" i="29"/>
  <c r="G2821" i="29"/>
  <c r="G2817" i="29"/>
  <c r="H2791" i="29"/>
  <c r="I2788" i="29"/>
  <c r="G2770" i="29"/>
  <c r="H2765" i="29"/>
  <c r="H2761" i="29"/>
  <c r="I2758" i="29"/>
  <c r="I2754" i="29"/>
  <c r="G106" i="33"/>
  <c r="G98" i="33"/>
  <c r="H94" i="33"/>
  <c r="H90" i="33"/>
  <c r="G84" i="33"/>
  <c r="H81" i="33"/>
  <c r="H78" i="33"/>
  <c r="H75" i="33"/>
  <c r="G2978" i="29"/>
  <c r="G2974" i="29"/>
  <c r="G2971" i="29"/>
  <c r="G2967" i="29"/>
  <c r="G2964" i="29"/>
  <c r="G2960" i="29"/>
  <c r="H2948" i="29"/>
  <c r="G2928" i="29"/>
  <c r="H2924" i="29"/>
  <c r="H2919" i="29"/>
  <c r="I2916" i="29"/>
  <c r="G2905" i="29"/>
  <c r="G2901" i="29"/>
  <c r="G2897" i="29"/>
  <c r="G2894" i="29"/>
  <c r="G2890" i="29"/>
  <c r="G2887" i="29"/>
  <c r="G2884" i="29"/>
  <c r="I2881" i="29"/>
  <c r="I2877" i="29"/>
  <c r="I2874" i="29"/>
  <c r="H2840" i="29"/>
  <c r="I2837" i="29"/>
  <c r="I2834" i="29"/>
  <c r="I2830" i="29"/>
  <c r="G2791" i="29"/>
  <c r="H2788" i="29"/>
  <c r="I2784" i="29"/>
  <c r="I2780" i="29"/>
  <c r="I2776" i="29"/>
  <c r="G2765" i="29"/>
  <c r="G2761" i="29"/>
  <c r="H2758" i="29"/>
  <c r="H2754" i="29"/>
  <c r="I2751" i="29"/>
  <c r="G2742" i="29"/>
  <c r="H2739" i="29"/>
  <c r="H2735" i="29"/>
  <c r="H2732" i="29"/>
  <c r="I2728" i="29"/>
  <c r="G2722" i="29"/>
  <c r="G2719" i="29"/>
  <c r="G2715" i="29"/>
  <c r="H2712" i="29"/>
  <c r="G2693" i="29"/>
  <c r="G94" i="33"/>
  <c r="G90" i="33"/>
  <c r="G81" i="33"/>
  <c r="G78" i="33"/>
  <c r="G75" i="33"/>
  <c r="I2980" i="29"/>
  <c r="G2948" i="29"/>
  <c r="I2933" i="29"/>
  <c r="G2924" i="29"/>
  <c r="G2919" i="29"/>
  <c r="H2916" i="29"/>
  <c r="I2912" i="29"/>
  <c r="H2881" i="29"/>
  <c r="H2877" i="29"/>
  <c r="H2874" i="29"/>
  <c r="I2870" i="29"/>
  <c r="I2867" i="29"/>
  <c r="I2863" i="29"/>
  <c r="I2860" i="29"/>
  <c r="I2856" i="29"/>
  <c r="I2853" i="29"/>
  <c r="G2840" i="29"/>
  <c r="H2837" i="29"/>
  <c r="H2834" i="29"/>
  <c r="H2830" i="29"/>
  <c r="I2826" i="29"/>
  <c r="I2823" i="29"/>
  <c r="I2819" i="29"/>
  <c r="I105" i="33"/>
  <c r="I97" i="33"/>
  <c r="I86" i="33"/>
  <c r="I83" i="33"/>
  <c r="H2980" i="29"/>
  <c r="I2977" i="29"/>
  <c r="I2973" i="29"/>
  <c r="I2970" i="29"/>
  <c r="I2966" i="29"/>
  <c r="I2963" i="29"/>
  <c r="I2959" i="29"/>
  <c r="H2933" i="29"/>
  <c r="I2930" i="29"/>
  <c r="G2916" i="29"/>
  <c r="H2912" i="29"/>
  <c r="I2907" i="29"/>
  <c r="I2903" i="29"/>
  <c r="I2900" i="29"/>
  <c r="I2896" i="29"/>
  <c r="I2893" i="29"/>
  <c r="I2889" i="29"/>
  <c r="I2886" i="29"/>
  <c r="G2881" i="29"/>
  <c r="G2877" i="29"/>
  <c r="G2874" i="29"/>
  <c r="H2870" i="29"/>
  <c r="H2867" i="29"/>
  <c r="H2863" i="29"/>
  <c r="H2860" i="29"/>
  <c r="H2856" i="29"/>
  <c r="H2853" i="29"/>
  <c r="G2837" i="29"/>
  <c r="G2834" i="29"/>
  <c r="G2830" i="29"/>
  <c r="H2826" i="29"/>
  <c r="H2823" i="29"/>
  <c r="H2819" i="29"/>
  <c r="I2790" i="29"/>
  <c r="G2784" i="29"/>
  <c r="G2780" i="29"/>
  <c r="G2776" i="29"/>
  <c r="H2772" i="29"/>
  <c r="I2767" i="29"/>
  <c r="I2764" i="29"/>
  <c r="I2760" i="29"/>
  <c r="G2751" i="29"/>
  <c r="H2747" i="29"/>
  <c r="H2744" i="29"/>
  <c r="I2741" i="29"/>
  <c r="G2728" i="29"/>
  <c r="H2725" i="29"/>
  <c r="I2721" i="29"/>
  <c r="I2718" i="29"/>
  <c r="I2714" i="29"/>
  <c r="H105" i="33"/>
  <c r="H97" i="33"/>
  <c r="I89" i="33"/>
  <c r="H86" i="33"/>
  <c r="H83" i="33"/>
  <c r="I80" i="33"/>
  <c r="I77" i="33"/>
  <c r="I74" i="33"/>
  <c r="G2980" i="29"/>
  <c r="H2977" i="29"/>
  <c r="H2973" i="29"/>
  <c r="H2970" i="29"/>
  <c r="H2966" i="29"/>
  <c r="H2963" i="29"/>
  <c r="H2959" i="29"/>
  <c r="G2933" i="29"/>
  <c r="H2930" i="29"/>
  <c r="I2926" i="29"/>
  <c r="I2922" i="29"/>
  <c r="G2912" i="29"/>
  <c r="H2907" i="29"/>
  <c r="H2903" i="29"/>
  <c r="H2900" i="29"/>
  <c r="H2896" i="29"/>
  <c r="H2893" i="29"/>
  <c r="H2889" i="29"/>
  <c r="H2886" i="29"/>
  <c r="I2883" i="29"/>
  <c r="G2870" i="29"/>
  <c r="G2867" i="29"/>
  <c r="G2863" i="29"/>
  <c r="G2860" i="29"/>
  <c r="G2856" i="29"/>
  <c r="G2853" i="29"/>
  <c r="I2839" i="29"/>
  <c r="G2826" i="29"/>
  <c r="G2823" i="29"/>
  <c r="G2819" i="29"/>
  <c r="H2790" i="29"/>
  <c r="I2787" i="29"/>
  <c r="G2772" i="29"/>
  <c r="H2767" i="29"/>
  <c r="H2764" i="29"/>
  <c r="H2760" i="29"/>
  <c r="I2757" i="29"/>
  <c r="G2747" i="29"/>
  <c r="G2744" i="29"/>
  <c r="H2741" i="29"/>
  <c r="I2738" i="29"/>
  <c r="I2734" i="29"/>
  <c r="I2731" i="29"/>
  <c r="G97" i="33"/>
  <c r="H93" i="33"/>
  <c r="H89" i="33"/>
  <c r="G86" i="33"/>
  <c r="G83" i="33"/>
  <c r="H80" i="33"/>
  <c r="H77" i="33"/>
  <c r="H74" i="33"/>
  <c r="G2977" i="29"/>
  <c r="G2973" i="29"/>
  <c r="G2970" i="29"/>
  <c r="G2966" i="29"/>
  <c r="G2963" i="29"/>
  <c r="G2959" i="29"/>
  <c r="G2930" i="29"/>
  <c r="H2926" i="29"/>
  <c r="H2922" i="29"/>
  <c r="I2918" i="29"/>
  <c r="I2914" i="29"/>
  <c r="G2907" i="29"/>
  <c r="G2903" i="29"/>
  <c r="G2900" i="29"/>
  <c r="G2896" i="29"/>
  <c r="G2893" i="29"/>
  <c r="G2889" i="29"/>
  <c r="G2886" i="29"/>
  <c r="H2883" i="29"/>
  <c r="I2880" i="29"/>
  <c r="I2876" i="29"/>
  <c r="I2873" i="29"/>
  <c r="H2839" i="29"/>
  <c r="I2836" i="29"/>
  <c r="I2832" i="29"/>
  <c r="I2829" i="29"/>
  <c r="G2790" i="29"/>
  <c r="H2787" i="29"/>
  <c r="I2783" i="29"/>
  <c r="I2779" i="29"/>
  <c r="I2775" i="29"/>
  <c r="G2767" i="29"/>
  <c r="G2764" i="29"/>
  <c r="G2760" i="29"/>
  <c r="H2757" i="29"/>
  <c r="I2753" i="29"/>
  <c r="I2749" i="29"/>
  <c r="G2741" i="29"/>
  <c r="H2738" i="29"/>
  <c r="H2734" i="29"/>
  <c r="H2731" i="29"/>
  <c r="I2727" i="29"/>
  <c r="G2721" i="29"/>
  <c r="G2718" i="29"/>
  <c r="G2714" i="29"/>
  <c r="H2711" i="29"/>
  <c r="G2695" i="29"/>
  <c r="G2692" i="29"/>
  <c r="H2688" i="29"/>
  <c r="G93" i="33"/>
  <c r="G89" i="33"/>
  <c r="G80" i="33"/>
  <c r="G77" i="33"/>
  <c r="G74" i="33"/>
  <c r="I2982" i="29"/>
  <c r="I2932" i="29"/>
  <c r="G2926" i="29"/>
  <c r="G2922" i="29"/>
  <c r="H2918" i="29"/>
  <c r="H2914" i="29"/>
  <c r="I2909" i="29"/>
  <c r="G2883" i="29"/>
  <c r="H2880" i="29"/>
  <c r="H2876" i="29"/>
  <c r="H2873" i="29"/>
  <c r="I2869" i="29"/>
  <c r="I2866" i="29"/>
  <c r="I2862" i="29"/>
  <c r="I2858" i="29"/>
  <c r="I2855" i="29"/>
  <c r="I2852" i="29"/>
  <c r="G2839" i="29"/>
  <c r="H2836" i="29"/>
  <c r="H2832" i="29"/>
  <c r="H2829" i="29"/>
  <c r="I2825" i="29"/>
  <c r="I2822" i="29"/>
  <c r="I2818" i="29"/>
  <c r="G2787" i="29"/>
  <c r="H2783" i="29"/>
  <c r="H2779" i="29"/>
  <c r="H2775" i="29"/>
  <c r="I2771" i="29"/>
  <c r="G2757" i="29"/>
  <c r="H2753" i="29"/>
  <c r="H2749" i="29"/>
  <c r="I104" i="33"/>
  <c r="I99" i="33"/>
  <c r="I85" i="33"/>
  <c r="I82" i="33"/>
  <c r="H2982" i="29"/>
  <c r="I2979" i="29"/>
  <c r="I2976" i="29"/>
  <c r="I2972" i="29"/>
  <c r="I2968" i="29"/>
  <c r="I2965" i="29"/>
  <c r="I2961" i="29"/>
  <c r="H2932" i="29"/>
  <c r="I2929" i="29"/>
  <c r="G2918" i="29"/>
  <c r="G2914" i="29"/>
  <c r="H2909" i="29"/>
  <c r="I2906" i="29"/>
  <c r="I2902" i="29"/>
  <c r="I2899" i="29"/>
  <c r="I2895" i="29"/>
  <c r="I2891" i="29"/>
  <c r="I2888" i="29"/>
  <c r="I2885" i="29"/>
  <c r="G2880" i="29"/>
  <c r="G2876" i="29"/>
  <c r="G2873" i="29"/>
  <c r="H2869" i="29"/>
  <c r="H2866" i="29"/>
  <c r="H2862" i="29"/>
  <c r="H2858" i="29"/>
  <c r="H2855" i="29"/>
  <c r="H2852" i="29"/>
  <c r="G2836" i="29"/>
  <c r="G2832" i="29"/>
  <c r="G2829" i="29"/>
  <c r="H2825" i="29"/>
  <c r="H2822" i="29"/>
  <c r="H2818" i="29"/>
  <c r="I2792" i="29"/>
  <c r="G2783" i="29"/>
  <c r="G2779" i="29"/>
  <c r="G2775" i="29"/>
  <c r="H2771" i="29"/>
  <c r="I2766" i="29"/>
  <c r="I2763" i="29"/>
  <c r="G2753" i="29"/>
  <c r="G2749" i="29"/>
  <c r="H2746" i="29"/>
  <c r="H2743" i="29"/>
  <c r="G2727" i="29"/>
  <c r="H2724" i="29"/>
  <c r="I2720" i="29"/>
  <c r="I2716" i="29"/>
  <c r="H2697" i="29"/>
  <c r="I2694" i="29"/>
  <c r="H2961" i="29"/>
  <c r="I2925" i="29"/>
  <c r="I2838" i="29"/>
  <c r="I2755" i="29"/>
  <c r="H2742" i="29"/>
  <c r="I2732" i="29"/>
  <c r="G2724" i="29"/>
  <c r="I2698" i="29"/>
  <c r="I2687" i="29"/>
  <c r="G2683" i="29"/>
  <c r="I2675" i="29"/>
  <c r="H2649" i="29"/>
  <c r="G2635" i="29"/>
  <c r="H2632" i="29"/>
  <c r="H2628" i="29"/>
  <c r="H2623" i="29"/>
  <c r="H2619" i="29"/>
  <c r="H2616" i="29"/>
  <c r="H2612" i="29"/>
  <c r="I2609" i="29"/>
  <c r="I2605" i="29"/>
  <c r="I2602" i="29"/>
  <c r="I2599" i="29"/>
  <c r="G2576" i="29"/>
  <c r="G2572" i="29"/>
  <c r="H2569" i="29"/>
  <c r="G2546" i="29"/>
  <c r="G2542" i="29"/>
  <c r="G2539" i="29"/>
  <c r="H2535" i="29"/>
  <c r="G2499" i="29"/>
  <c r="H2495" i="29"/>
  <c r="H2491" i="29"/>
  <c r="I2487" i="29"/>
  <c r="G2473" i="29"/>
  <c r="H2469" i="29"/>
  <c r="H2465" i="29"/>
  <c r="H2462" i="29"/>
  <c r="G2454" i="29"/>
  <c r="G2450" i="29"/>
  <c r="G2447" i="29"/>
  <c r="I2443" i="29"/>
  <c r="G2437" i="29"/>
  <c r="H2434" i="29"/>
  <c r="I2430" i="29"/>
  <c r="I2921" i="29"/>
  <c r="H2776" i="29"/>
  <c r="G2754" i="29"/>
  <c r="G2732" i="29"/>
  <c r="H2722" i="29"/>
  <c r="H2714" i="29"/>
  <c r="H2698" i="29"/>
  <c r="I2692" i="29"/>
  <c r="I2679" i="29"/>
  <c r="H2675" i="29"/>
  <c r="G2649" i="29"/>
  <c r="I2646" i="29"/>
  <c r="I2642" i="29"/>
  <c r="I2638" i="29"/>
  <c r="G2632" i="29"/>
  <c r="G2628" i="29"/>
  <c r="G2623" i="29"/>
  <c r="G2619" i="29"/>
  <c r="G2616" i="29"/>
  <c r="G2612" i="29"/>
  <c r="H2609" i="29"/>
  <c r="H2605" i="29"/>
  <c r="H2602" i="29"/>
  <c r="H2599" i="29"/>
  <c r="I2596" i="29"/>
  <c r="I2592" i="29"/>
  <c r="I2589" i="29"/>
  <c r="I2585" i="29"/>
  <c r="I2582" i="29"/>
  <c r="I2578" i="29"/>
  <c r="G2569" i="29"/>
  <c r="I2555" i="29"/>
  <c r="I2552" i="29"/>
  <c r="G2535" i="29"/>
  <c r="I2508" i="29"/>
  <c r="I2505" i="29"/>
  <c r="I2502" i="29"/>
  <c r="G2495" i="29"/>
  <c r="G2491" i="29"/>
  <c r="H2487" i="29"/>
  <c r="I2482" i="29"/>
  <c r="I2479" i="29"/>
  <c r="G2469" i="29"/>
  <c r="G2465" i="29"/>
  <c r="G2462" i="29"/>
  <c r="I2459" i="29"/>
  <c r="I2456" i="29"/>
  <c r="H2443" i="29"/>
  <c r="H104" i="33"/>
  <c r="G2731" i="29"/>
  <c r="G2698" i="29"/>
  <c r="H2692" i="29"/>
  <c r="I2686" i="29"/>
  <c r="I2682" i="29"/>
  <c r="H2679" i="29"/>
  <c r="G2675" i="29"/>
  <c r="H2646" i="29"/>
  <c r="H2642" i="29"/>
  <c r="H2638" i="29"/>
  <c r="G2609" i="29"/>
  <c r="G2605" i="29"/>
  <c r="G2602" i="29"/>
  <c r="G2599" i="29"/>
  <c r="H2596" i="29"/>
  <c r="H2592" i="29"/>
  <c r="H2589" i="29"/>
  <c r="H2585" i="29"/>
  <c r="H2582" i="29"/>
  <c r="H2578" i="29"/>
  <c r="I2574" i="29"/>
  <c r="I2571" i="29"/>
  <c r="H2555" i="29"/>
  <c r="H2552" i="29"/>
  <c r="I2548" i="29"/>
  <c r="I2545" i="29"/>
  <c r="I2541" i="29"/>
  <c r="I2538" i="29"/>
  <c r="H2508" i="29"/>
  <c r="H2505" i="29"/>
  <c r="H2502" i="29"/>
  <c r="I2498" i="29"/>
  <c r="G2487" i="29"/>
  <c r="H2482" i="29"/>
  <c r="H2479" i="29"/>
  <c r="I2475" i="29"/>
  <c r="I2471" i="29"/>
  <c r="H2459" i="29"/>
  <c r="H2456" i="29"/>
  <c r="I2453" i="29"/>
  <c r="I2449" i="29"/>
  <c r="G2443" i="29"/>
  <c r="H2440" i="29"/>
  <c r="H99" i="33"/>
  <c r="I2772" i="29"/>
  <c r="H2751" i="29"/>
  <c r="I2740" i="29"/>
  <c r="H2721" i="29"/>
  <c r="I2713" i="29"/>
  <c r="I2697" i="29"/>
  <c r="H2686" i="29"/>
  <c r="H2682" i="29"/>
  <c r="G2679" i="29"/>
  <c r="G2646" i="29"/>
  <c r="G2642" i="29"/>
  <c r="G2638" i="29"/>
  <c r="I2634" i="29"/>
  <c r="I2630" i="29"/>
  <c r="I2625" i="29"/>
  <c r="I2622" i="29"/>
  <c r="I2618" i="29"/>
  <c r="I2615" i="29"/>
  <c r="I2611" i="29"/>
  <c r="G2596" i="29"/>
  <c r="G2592" i="29"/>
  <c r="G2589" i="29"/>
  <c r="G2585" i="29"/>
  <c r="G2582" i="29"/>
  <c r="G2578" i="29"/>
  <c r="H2574" i="29"/>
  <c r="H2571" i="29"/>
  <c r="I2568" i="29"/>
  <c r="G2555" i="29"/>
  <c r="G2552" i="29"/>
  <c r="H2548" i="29"/>
  <c r="H2545" i="29"/>
  <c r="H2541" i="29"/>
  <c r="H2538" i="29"/>
  <c r="I2534" i="29"/>
  <c r="I2522" i="29"/>
  <c r="G2508" i="29"/>
  <c r="G2505" i="29"/>
  <c r="G2502" i="29"/>
  <c r="H2498" i="29"/>
  <c r="I2493" i="29"/>
  <c r="I2490" i="29"/>
  <c r="G2482" i="29"/>
  <c r="G2479" i="29"/>
  <c r="H2475" i="29"/>
  <c r="H2471" i="29"/>
  <c r="I2468" i="29"/>
  <c r="I2464" i="29"/>
  <c r="G2459" i="29"/>
  <c r="G2456" i="29"/>
  <c r="H2453" i="29"/>
  <c r="H2449" i="29"/>
  <c r="I2446" i="29"/>
  <c r="G2440" i="29"/>
  <c r="H2436" i="29"/>
  <c r="H2427" i="29"/>
  <c r="G2400" i="29"/>
  <c r="I95" i="33"/>
  <c r="G2909" i="29"/>
  <c r="G2869" i="29"/>
  <c r="G2825" i="29"/>
  <c r="H2792" i="29"/>
  <c r="G2771" i="29"/>
  <c r="I2739" i="29"/>
  <c r="I2712" i="29"/>
  <c r="G2697" i="29"/>
  <c r="I2690" i="29"/>
  <c r="G2686" i="29"/>
  <c r="G2682" i="29"/>
  <c r="I2648" i="29"/>
  <c r="H2634" i="29"/>
  <c r="H2630" i="29"/>
  <c r="H2625" i="29"/>
  <c r="H2622" i="29"/>
  <c r="H2618" i="29"/>
  <c r="H2615" i="29"/>
  <c r="H2611" i="29"/>
  <c r="I2607" i="29"/>
  <c r="I2604" i="29"/>
  <c r="I2601" i="29"/>
  <c r="G2574" i="29"/>
  <c r="G2571" i="29"/>
  <c r="H2568" i="29"/>
  <c r="G2548" i="29"/>
  <c r="G2545" i="29"/>
  <c r="G2541" i="29"/>
  <c r="G2538" i="29"/>
  <c r="H2534" i="29"/>
  <c r="H2522" i="29"/>
  <c r="G2498" i="29"/>
  <c r="H2493" i="29"/>
  <c r="H2490" i="29"/>
  <c r="I2486" i="29"/>
  <c r="G2475" i="29"/>
  <c r="G2471" i="29"/>
  <c r="H2468" i="29"/>
  <c r="H2464" i="29"/>
  <c r="I2461" i="29"/>
  <c r="G2453" i="29"/>
  <c r="G2449" i="29"/>
  <c r="H2446" i="29"/>
  <c r="I2442" i="29"/>
  <c r="G2436" i="29"/>
  <c r="I2432" i="29"/>
  <c r="G2427" i="29"/>
  <c r="I2413" i="29"/>
  <c r="I2410" i="29"/>
  <c r="I2406" i="29"/>
  <c r="I2403" i="29"/>
  <c r="H2906" i="29"/>
  <c r="G2866" i="29"/>
  <c r="G2822" i="29"/>
  <c r="I2747" i="29"/>
  <c r="G2739" i="29"/>
  <c r="H2728" i="29"/>
  <c r="H2720" i="29"/>
  <c r="G2712" i="29"/>
  <c r="G2696" i="29"/>
  <c r="I2677" i="29"/>
  <c r="H2648" i="29"/>
  <c r="I2645" i="29"/>
  <c r="I2641" i="29"/>
  <c r="I2637" i="29"/>
  <c r="G2634" i="29"/>
  <c r="G2630" i="29"/>
  <c r="G2625" i="29"/>
  <c r="G2622" i="29"/>
  <c r="G2618" i="29"/>
  <c r="G2615" i="29"/>
  <c r="G2611" i="29"/>
  <c r="H2607" i="29"/>
  <c r="H2604" i="29"/>
  <c r="H2601" i="29"/>
  <c r="I2598" i="29"/>
  <c r="I2595" i="29"/>
  <c r="I2591" i="29"/>
  <c r="I2588" i="29"/>
  <c r="I2584" i="29"/>
  <c r="I2580" i="29"/>
  <c r="I2577" i="29"/>
  <c r="G2568" i="29"/>
  <c r="I2554" i="29"/>
  <c r="I2551" i="29"/>
  <c r="G2534" i="29"/>
  <c r="G2522" i="29"/>
  <c r="I2507" i="29"/>
  <c r="I2504" i="29"/>
  <c r="I2500" i="29"/>
  <c r="G2493" i="29"/>
  <c r="G2490" i="29"/>
  <c r="H2486" i="29"/>
  <c r="I2481" i="29"/>
  <c r="I2477" i="29"/>
  <c r="G2468" i="29"/>
  <c r="G2464" i="29"/>
  <c r="H2461" i="29"/>
  <c r="I2458" i="29"/>
  <c r="G2446" i="29"/>
  <c r="H2442" i="29"/>
  <c r="H2432" i="29"/>
  <c r="I2429" i="29"/>
  <c r="H2413" i="29"/>
  <c r="H2410" i="29"/>
  <c r="H2406" i="29"/>
  <c r="H2403" i="29"/>
  <c r="I2399" i="29"/>
  <c r="I2396" i="29"/>
  <c r="I88" i="33"/>
  <c r="G2982" i="29"/>
  <c r="H2902" i="29"/>
  <c r="G2862" i="29"/>
  <c r="G2818" i="29"/>
  <c r="I2789" i="29"/>
  <c r="H2766" i="29"/>
  <c r="I2746" i="29"/>
  <c r="G2738" i="29"/>
  <c r="H2727" i="29"/>
  <c r="H2719" i="29"/>
  <c r="I2689" i="29"/>
  <c r="I2681" i="29"/>
  <c r="H2677" i="29"/>
  <c r="G2648" i="29"/>
  <c r="H2645" i="29"/>
  <c r="H2641" i="29"/>
  <c r="H2637" i="29"/>
  <c r="G2607" i="29"/>
  <c r="G2604" i="29"/>
  <c r="G2601" i="29"/>
  <c r="H2598" i="29"/>
  <c r="H2595" i="29"/>
  <c r="H2591" i="29"/>
  <c r="H2588" i="29"/>
  <c r="H2584" i="29"/>
  <c r="H2580" i="29"/>
  <c r="H2577" i="29"/>
  <c r="I2573" i="29"/>
  <c r="H2554" i="29"/>
  <c r="H2551" i="29"/>
  <c r="I2547" i="29"/>
  <c r="I2544" i="29"/>
  <c r="I2540" i="29"/>
  <c r="I2537" i="29"/>
  <c r="H2507" i="29"/>
  <c r="H2504" i="29"/>
  <c r="H2500" i="29"/>
  <c r="G2486" i="29"/>
  <c r="H2481" i="29"/>
  <c r="H2477" i="29"/>
  <c r="I2474" i="29"/>
  <c r="I2470" i="29"/>
  <c r="G2461" i="29"/>
  <c r="H2458" i="29"/>
  <c r="I2455" i="29"/>
  <c r="I2451" i="29"/>
  <c r="I2448" i="29"/>
  <c r="G2442" i="29"/>
  <c r="I2438" i="29"/>
  <c r="I2435" i="29"/>
  <c r="G2432" i="29"/>
  <c r="H2429" i="29"/>
  <c r="I2426" i="29"/>
  <c r="G2413" i="29"/>
  <c r="G2410" i="29"/>
  <c r="H85" i="33"/>
  <c r="H2979" i="29"/>
  <c r="H2899" i="29"/>
  <c r="G2858" i="29"/>
  <c r="G2788" i="29"/>
  <c r="G2746" i="29"/>
  <c r="I2737" i="29"/>
  <c r="I2711" i="29"/>
  <c r="I2695" i="29"/>
  <c r="H2689" i="29"/>
  <c r="I2684" i="29"/>
  <c r="H2681" i="29"/>
  <c r="G2677" i="29"/>
  <c r="I2650" i="29"/>
  <c r="G2645" i="29"/>
  <c r="G2641" i="29"/>
  <c r="G2637" i="29"/>
  <c r="G2636" i="29" s="1"/>
  <c r="I2633" i="29"/>
  <c r="I2629" i="29"/>
  <c r="I2624" i="29"/>
  <c r="I2621" i="29"/>
  <c r="I2617" i="29"/>
  <c r="I2613" i="29"/>
  <c r="G2598" i="29"/>
  <c r="G2595" i="29"/>
  <c r="G2591" i="29"/>
  <c r="G2588" i="29"/>
  <c r="G2584" i="29"/>
  <c r="G2580" i="29"/>
  <c r="G2577" i="29"/>
  <c r="H2573" i="29"/>
  <c r="I2570" i="29"/>
  <c r="G2554" i="29"/>
  <c r="G2551" i="29"/>
  <c r="H2547" i="29"/>
  <c r="H2544" i="29"/>
  <c r="H2540" i="29"/>
  <c r="H2537" i="29"/>
  <c r="I2533" i="29"/>
  <c r="G2507" i="29"/>
  <c r="G2504" i="29"/>
  <c r="G2500" i="29"/>
  <c r="I2496" i="29"/>
  <c r="I2492" i="29"/>
  <c r="I2488" i="29"/>
  <c r="G2481" i="29"/>
  <c r="G2477" i="29"/>
  <c r="H2474" i="29"/>
  <c r="H2470" i="29"/>
  <c r="I2467" i="29"/>
  <c r="I2463" i="29"/>
  <c r="G2458" i="29"/>
  <c r="H2455" i="29"/>
  <c r="H2451" i="29"/>
  <c r="H2448" i="29"/>
  <c r="H2438" i="29"/>
  <c r="H2435" i="29"/>
  <c r="G2429" i="29"/>
  <c r="H2426" i="29"/>
  <c r="G2399" i="29"/>
  <c r="H82" i="33"/>
  <c r="H2976" i="29"/>
  <c r="H2895" i="29"/>
  <c r="G2855" i="29"/>
  <c r="I2786" i="29"/>
  <c r="H2763" i="29"/>
  <c r="G2745" i="29"/>
  <c r="I2735" i="29"/>
  <c r="H2718" i="29"/>
  <c r="G2711" i="29"/>
  <c r="H2695" i="29"/>
  <c r="G2689" i="29"/>
  <c r="H2684" i="29"/>
  <c r="G2681" i="29"/>
  <c r="H2650" i="29"/>
  <c r="I2647" i="29"/>
  <c r="H2633" i="29"/>
  <c r="H2629" i="29"/>
  <c r="H2624" i="29"/>
  <c r="H2621" i="29"/>
  <c r="H2617" i="29"/>
  <c r="H2613" i="29"/>
  <c r="I2610" i="29"/>
  <c r="I2606" i="29"/>
  <c r="I2603" i="29"/>
  <c r="I2600" i="29"/>
  <c r="G2573" i="29"/>
  <c r="H2570" i="29"/>
  <c r="G2547" i="29"/>
  <c r="G2544" i="29"/>
  <c r="G2540" i="29"/>
  <c r="G2537" i="29"/>
  <c r="H2533" i="29"/>
  <c r="H2496" i="29"/>
  <c r="H2492" i="29"/>
  <c r="H2488" i="29"/>
  <c r="I2483" i="29"/>
  <c r="G2474" i="29"/>
  <c r="G2470" i="29"/>
  <c r="H2467" i="29"/>
  <c r="H2463" i="29"/>
  <c r="I2460" i="29"/>
  <c r="G2455" i="29"/>
  <c r="G2451" i="29"/>
  <c r="G2448" i="29"/>
  <c r="I2444" i="29"/>
  <c r="G2438" i="29"/>
  <c r="G2435" i="29"/>
  <c r="I2431" i="29"/>
  <c r="G2426" i="29"/>
  <c r="I79" i="33"/>
  <c r="H2972" i="29"/>
  <c r="H2891" i="29"/>
  <c r="G2852" i="29"/>
  <c r="H2784" i="29"/>
  <c r="I2744" i="29"/>
  <c r="G2735" i="29"/>
  <c r="I2725" i="29"/>
  <c r="I2710" i="29"/>
  <c r="G2684" i="29"/>
  <c r="H2676" i="29"/>
  <c r="I2664" i="29"/>
  <c r="G2650" i="29"/>
  <c r="H2647" i="29"/>
  <c r="I2644" i="29"/>
  <c r="I2640" i="29"/>
  <c r="G2633" i="29"/>
  <c r="G2629" i="29"/>
  <c r="G2624" i="29"/>
  <c r="G2621" i="29"/>
  <c r="G2617" i="29"/>
  <c r="G2613" i="29"/>
  <c r="H2610" i="29"/>
  <c r="H2606" i="29"/>
  <c r="H2603" i="29"/>
  <c r="H2600" i="29"/>
  <c r="I2597" i="29"/>
  <c r="I2593" i="29"/>
  <c r="I2590" i="29"/>
  <c r="I2586" i="29"/>
  <c r="I2583" i="29"/>
  <c r="I2579" i="29"/>
  <c r="G2570" i="29"/>
  <c r="I2556" i="29"/>
  <c r="I2553" i="29"/>
  <c r="I2550" i="29"/>
  <c r="G2533" i="29"/>
  <c r="I2506" i="29"/>
  <c r="I2503" i="29"/>
  <c r="G2496" i="29"/>
  <c r="G2492" i="29"/>
  <c r="G2488" i="29"/>
  <c r="H2483" i="29"/>
  <c r="I2480" i="29"/>
  <c r="I2476" i="29"/>
  <c r="G2467" i="29"/>
  <c r="G2463" i="29"/>
  <c r="H2460" i="29"/>
  <c r="I2457" i="29"/>
  <c r="H2444" i="29"/>
  <c r="I2441" i="29"/>
  <c r="I76" i="33"/>
  <c r="H2968" i="29"/>
  <c r="G2932" i="29"/>
  <c r="H2888" i="29"/>
  <c r="I2759" i="29"/>
  <c r="I2743" i="29"/>
  <c r="G2734" i="29"/>
  <c r="G2725" i="29"/>
  <c r="H2716" i="29"/>
  <c r="H2694" i="29"/>
  <c r="I2688" i="29"/>
  <c r="H2680" i="29"/>
  <c r="G2676" i="29"/>
  <c r="H2664" i="29"/>
  <c r="G2647" i="29"/>
  <c r="H2644" i="29"/>
  <c r="H2640" i="29"/>
  <c r="I2635" i="29"/>
  <c r="G2610" i="29"/>
  <c r="G2606" i="29"/>
  <c r="G2603" i="29"/>
  <c r="G2600" i="29"/>
  <c r="H2597" i="29"/>
  <c r="H2593" i="29"/>
  <c r="H2590" i="29"/>
  <c r="H2586" i="29"/>
  <c r="H2583" i="29"/>
  <c r="H2579" i="29"/>
  <c r="I2576" i="29"/>
  <c r="I2572" i="29"/>
  <c r="H2556" i="29"/>
  <c r="H2553" i="29"/>
  <c r="H2550" i="29"/>
  <c r="I2546" i="29"/>
  <c r="I2542" i="29"/>
  <c r="I2539" i="29"/>
  <c r="H2506" i="29"/>
  <c r="H2503" i="29"/>
  <c r="I2499" i="29"/>
  <c r="G2483" i="29"/>
  <c r="H2480" i="29"/>
  <c r="H2476" i="29"/>
  <c r="I2473" i="29"/>
  <c r="G2460" i="29"/>
  <c r="H2457" i="29"/>
  <c r="I2454" i="29"/>
  <c r="I2450" i="29"/>
  <c r="I2447" i="29"/>
  <c r="G2444" i="29"/>
  <c r="H2441" i="29"/>
  <c r="I2437" i="29"/>
  <c r="G2431" i="29"/>
  <c r="H2428" i="29"/>
  <c r="G2412" i="29"/>
  <c r="G2409" i="29"/>
  <c r="G2405" i="29"/>
  <c r="G2402" i="29"/>
  <c r="I2806" i="29"/>
  <c r="G2688" i="29"/>
  <c r="I2569" i="29"/>
  <c r="H2447" i="29"/>
  <c r="H2430" i="29"/>
  <c r="I2412" i="29"/>
  <c r="G2406" i="29"/>
  <c r="I2400" i="29"/>
  <c r="I2392" i="29"/>
  <c r="G2361" i="29"/>
  <c r="H2357" i="29"/>
  <c r="H2353" i="29"/>
  <c r="I2349" i="29"/>
  <c r="I2345" i="29"/>
  <c r="G2327" i="29"/>
  <c r="I2323" i="29"/>
  <c r="I2320" i="29"/>
  <c r="I2317" i="29"/>
  <c r="I2314" i="29"/>
  <c r="I2311" i="29"/>
  <c r="I2307" i="29"/>
  <c r="I2304" i="29"/>
  <c r="G2298" i="29"/>
  <c r="G2294" i="29"/>
  <c r="G2290" i="29"/>
  <c r="I2287" i="29"/>
  <c r="I2284" i="29"/>
  <c r="G2271" i="29"/>
  <c r="G2268" i="29"/>
  <c r="G2264" i="29"/>
  <c r="I2261" i="29"/>
  <c r="I2257" i="29"/>
  <c r="I2254" i="29"/>
  <c r="G2219" i="29"/>
  <c r="H2215" i="29"/>
  <c r="H2211" i="29"/>
  <c r="H2204" i="29"/>
  <c r="I2199" i="29"/>
  <c r="G2186" i="29"/>
  <c r="I2183" i="29"/>
  <c r="I2179" i="29"/>
  <c r="I2176" i="29"/>
  <c r="I2173" i="29"/>
  <c r="G2167" i="29"/>
  <c r="G2164" i="29"/>
  <c r="H2160" i="29"/>
  <c r="I2157" i="29"/>
  <c r="I2153" i="29"/>
  <c r="I2150" i="29"/>
  <c r="G2144" i="29"/>
  <c r="I2130" i="29"/>
  <c r="H2114" i="29"/>
  <c r="H2111" i="29"/>
  <c r="I2107" i="29"/>
  <c r="H2683" i="29"/>
  <c r="I2649" i="29"/>
  <c r="G2430" i="29"/>
  <c r="H2412" i="29"/>
  <c r="I2405" i="29"/>
  <c r="H2400" i="29"/>
  <c r="H2396" i="29"/>
  <c r="H2392" i="29"/>
  <c r="I2366" i="29"/>
  <c r="I2363" i="29"/>
  <c r="G2357" i="29"/>
  <c r="G2353" i="29"/>
  <c r="H2349" i="29"/>
  <c r="H2345" i="29"/>
  <c r="I2340" i="29"/>
  <c r="I2337" i="29"/>
  <c r="I2333" i="29"/>
  <c r="I2329" i="29"/>
  <c r="H2323" i="29"/>
  <c r="H2320" i="29"/>
  <c r="H2317" i="29"/>
  <c r="H2314" i="29"/>
  <c r="H2311" i="29"/>
  <c r="H2307" i="29"/>
  <c r="H2304" i="29"/>
  <c r="I2300" i="29"/>
  <c r="H2287" i="29"/>
  <c r="H2284" i="29"/>
  <c r="H2261" i="29"/>
  <c r="H2257" i="29"/>
  <c r="H2254" i="29"/>
  <c r="I2250" i="29"/>
  <c r="I2224" i="29"/>
  <c r="I2221" i="29"/>
  <c r="G2215" i="29"/>
  <c r="G2211" i="29"/>
  <c r="G2204" i="29"/>
  <c r="H2199" i="29"/>
  <c r="I2196" i="29"/>
  <c r="I2192" i="29"/>
  <c r="I2189" i="29"/>
  <c r="H2183" i="29"/>
  <c r="H2179" i="29"/>
  <c r="H2176" i="29"/>
  <c r="H2173" i="29"/>
  <c r="I2170" i="29"/>
  <c r="G2160" i="29"/>
  <c r="H2157" i="29"/>
  <c r="H2153" i="29"/>
  <c r="H2150" i="29"/>
  <c r="I2146" i="29"/>
  <c r="H2130" i="29"/>
  <c r="I2127" i="29"/>
  <c r="I2124" i="29"/>
  <c r="I2120" i="29"/>
  <c r="I2116" i="29"/>
  <c r="G2114" i="29"/>
  <c r="G2111" i="29"/>
  <c r="H2107" i="29"/>
  <c r="G2680" i="29"/>
  <c r="G2480" i="29"/>
  <c r="G2441" i="29"/>
  <c r="I2428" i="29"/>
  <c r="H2405" i="29"/>
  <c r="G2396" i="29"/>
  <c r="G2392" i="29"/>
  <c r="H2366" i="29"/>
  <c r="H2363" i="29"/>
  <c r="G2349" i="29"/>
  <c r="G2345" i="29"/>
  <c r="H2340" i="29"/>
  <c r="H2337" i="29"/>
  <c r="H2333" i="29"/>
  <c r="H2329" i="29"/>
  <c r="G2323" i="29"/>
  <c r="G2320" i="29"/>
  <c r="G2317" i="29"/>
  <c r="G2314" i="29"/>
  <c r="G2311" i="29"/>
  <c r="G2307" i="29"/>
  <c r="G2304" i="29"/>
  <c r="H2300" i="29"/>
  <c r="I2296" i="29"/>
  <c r="I2293" i="29"/>
  <c r="I2289" i="29"/>
  <c r="G2287" i="29"/>
  <c r="G2284" i="29"/>
  <c r="I2270" i="29"/>
  <c r="I2267" i="29"/>
  <c r="I2263" i="29"/>
  <c r="G2261" i="29"/>
  <c r="G2257" i="29"/>
  <c r="G2254" i="29"/>
  <c r="H2250" i="29"/>
  <c r="I2238" i="29"/>
  <c r="H2224" i="29"/>
  <c r="H2221" i="29"/>
  <c r="I2218" i="29"/>
  <c r="I2207" i="29"/>
  <c r="G2199" i="29"/>
  <c r="H2196" i="29"/>
  <c r="H2192" i="29"/>
  <c r="H2189" i="29"/>
  <c r="I2185" i="29"/>
  <c r="G2183" i="29"/>
  <c r="G2179" i="29"/>
  <c r="G2176" i="29"/>
  <c r="G2173" i="29"/>
  <c r="H2170" i="29"/>
  <c r="I2166" i="29"/>
  <c r="I2163" i="29"/>
  <c r="G2157" i="29"/>
  <c r="G2153" i="29"/>
  <c r="G2150" i="29"/>
  <c r="H2146" i="29"/>
  <c r="I2143" i="29"/>
  <c r="G2130" i="29"/>
  <c r="H2127" i="29"/>
  <c r="H2124" i="29"/>
  <c r="H2120" i="29"/>
  <c r="H2116" i="29"/>
  <c r="G2107" i="29"/>
  <c r="H2081" i="29"/>
  <c r="H2780" i="29"/>
  <c r="G2644" i="29"/>
  <c r="G2556" i="29"/>
  <c r="G2476" i="29"/>
  <c r="I2440" i="29"/>
  <c r="G2428" i="29"/>
  <c r="I2411" i="29"/>
  <c r="H2399" i="29"/>
  <c r="I2380" i="29"/>
  <c r="G2366" i="29"/>
  <c r="G2363" i="29"/>
  <c r="I2360" i="29"/>
  <c r="I2356" i="29"/>
  <c r="I2351" i="29"/>
  <c r="G2340" i="29"/>
  <c r="G2337" i="29"/>
  <c r="G2333" i="29"/>
  <c r="G2329" i="29"/>
  <c r="I2326" i="29"/>
  <c r="G2300" i="29"/>
  <c r="H2296" i="29"/>
  <c r="H2293" i="29"/>
  <c r="H2289" i="29"/>
  <c r="H2270" i="29"/>
  <c r="H2267" i="29"/>
  <c r="H2263" i="29"/>
  <c r="G2250" i="29"/>
  <c r="H2238" i="29"/>
  <c r="G2224" i="29"/>
  <c r="G2221" i="29"/>
  <c r="H2218" i="29"/>
  <c r="I2214" i="29"/>
  <c r="H2207" i="29"/>
  <c r="I2203" i="29"/>
  <c r="G2196" i="29"/>
  <c r="G2192" i="29"/>
  <c r="G2189" i="29"/>
  <c r="H2185" i="29"/>
  <c r="G2170" i="29"/>
  <c r="H2166" i="29"/>
  <c r="H2163" i="29"/>
  <c r="G2146" i="29"/>
  <c r="H2143" i="29"/>
  <c r="G2127" i="29"/>
  <c r="G2124" i="29"/>
  <c r="G2120" i="29"/>
  <c r="G2116" i="29"/>
  <c r="I2113" i="29"/>
  <c r="H2929" i="29"/>
  <c r="G2758" i="29"/>
  <c r="G2640" i="29"/>
  <c r="G2597" i="29"/>
  <c r="G2553" i="29"/>
  <c r="H2473" i="29"/>
  <c r="H2437" i="29"/>
  <c r="H2411" i="29"/>
  <c r="I2404" i="29"/>
  <c r="I2395" i="29"/>
  <c r="I2391" i="29"/>
  <c r="H2380" i="29"/>
  <c r="H2360" i="29"/>
  <c r="H2356" i="29"/>
  <c r="H2351" i="29"/>
  <c r="I2348" i="29"/>
  <c r="I2344" i="29"/>
  <c r="H2326" i="29"/>
  <c r="I2322" i="29"/>
  <c r="I2319" i="29"/>
  <c r="I2316" i="29"/>
  <c r="I2313" i="29"/>
  <c r="I2309" i="29"/>
  <c r="I2306" i="29"/>
  <c r="I2302" i="29"/>
  <c r="G2296" i="29"/>
  <c r="G2293" i="29"/>
  <c r="G2289" i="29"/>
  <c r="I2286" i="29"/>
  <c r="G2270" i="29"/>
  <c r="G2267" i="29"/>
  <c r="G2263" i="29"/>
  <c r="I2260" i="29"/>
  <c r="I2256" i="29"/>
  <c r="I2253" i="29"/>
  <c r="G2238" i="29"/>
  <c r="G2218" i="29"/>
  <c r="H2214" i="29"/>
  <c r="I2209" i="29"/>
  <c r="G2207" i="29"/>
  <c r="H2203" i="29"/>
  <c r="I2198" i="29"/>
  <c r="G2185" i="29"/>
  <c r="I2181" i="29"/>
  <c r="I2178" i="29"/>
  <c r="I2175" i="29"/>
  <c r="G2166" i="29"/>
  <c r="G2163" i="29"/>
  <c r="I2159" i="29"/>
  <c r="I2156" i="29"/>
  <c r="I2152" i="29"/>
  <c r="I2148" i="29"/>
  <c r="G2143" i="29"/>
  <c r="I2129" i="29"/>
  <c r="H2113" i="29"/>
  <c r="I2109" i="29"/>
  <c r="H2885" i="29"/>
  <c r="G2743" i="29"/>
  <c r="H2635" i="29"/>
  <c r="G2593" i="29"/>
  <c r="G2550" i="29"/>
  <c r="I2469" i="29"/>
  <c r="I2427" i="29"/>
  <c r="G2411" i="29"/>
  <c r="H2404" i="29"/>
  <c r="I2398" i="29"/>
  <c r="H2395" i="29"/>
  <c r="H2391" i="29"/>
  <c r="G2380" i="29"/>
  <c r="I2365" i="29"/>
  <c r="G2360" i="29"/>
  <c r="G2356" i="29"/>
  <c r="G2351" i="29"/>
  <c r="H2348" i="29"/>
  <c r="H2344" i="29"/>
  <c r="I2339" i="29"/>
  <c r="I2335" i="29"/>
  <c r="I2332" i="29"/>
  <c r="I2328" i="29"/>
  <c r="G2326" i="29"/>
  <c r="H2322" i="29"/>
  <c r="H2319" i="29"/>
  <c r="H2316" i="29"/>
  <c r="H2313" i="29"/>
  <c r="H2309" i="29"/>
  <c r="H2306" i="29"/>
  <c r="H2302" i="29"/>
  <c r="H2286" i="29"/>
  <c r="H2260" i="29"/>
  <c r="H2256" i="29"/>
  <c r="H2253" i="29"/>
  <c r="I2223" i="29"/>
  <c r="I2220" i="29"/>
  <c r="G2214" i="29"/>
  <c r="H2209" i="29"/>
  <c r="G2203" i="29"/>
  <c r="H2198" i="29"/>
  <c r="I2195" i="29"/>
  <c r="I2191" i="29"/>
  <c r="H2181" i="29"/>
  <c r="H2178" i="29"/>
  <c r="H2175" i="29"/>
  <c r="I2172" i="29"/>
  <c r="H2159" i="29"/>
  <c r="H2156" i="29"/>
  <c r="H2152" i="29"/>
  <c r="I2733" i="29"/>
  <c r="I2632" i="29"/>
  <c r="G2590" i="29"/>
  <c r="H2546" i="29"/>
  <c r="I2465" i="29"/>
  <c r="I2436" i="29"/>
  <c r="I2409" i="29"/>
  <c r="G2404" i="29"/>
  <c r="H2398" i="29"/>
  <c r="G2395" i="29"/>
  <c r="G2391" i="29"/>
  <c r="H2365" i="29"/>
  <c r="I2362" i="29"/>
  <c r="G2348" i="29"/>
  <c r="G2344" i="29"/>
  <c r="H2339" i="29"/>
  <c r="H2335" i="29"/>
  <c r="H2332" i="29"/>
  <c r="H2328" i="29"/>
  <c r="G2322" i="29"/>
  <c r="G2319" i="29"/>
  <c r="G2316" i="29"/>
  <c r="G2313" i="29"/>
  <c r="G2309" i="29"/>
  <c r="G2306" i="29"/>
  <c r="G2302" i="29"/>
  <c r="I2299" i="29"/>
  <c r="I2295" i="29"/>
  <c r="I2292" i="29"/>
  <c r="G2286" i="29"/>
  <c r="I2272" i="29"/>
  <c r="I2269" i="29"/>
  <c r="I2266" i="29"/>
  <c r="G2260" i="29"/>
  <c r="G2256" i="29"/>
  <c r="G2253" i="29"/>
  <c r="I2249" i="29"/>
  <c r="H2223" i="29"/>
  <c r="H2220" i="29"/>
  <c r="G2209" i="29"/>
  <c r="I2206" i="29"/>
  <c r="G2198" i="29"/>
  <c r="H2195" i="29"/>
  <c r="H2191" i="29"/>
  <c r="I2187" i="29"/>
  <c r="G2181" i="29"/>
  <c r="G2178" i="29"/>
  <c r="G2175" i="29"/>
  <c r="H2172" i="29"/>
  <c r="I2169" i="29"/>
  <c r="I2165" i="29"/>
  <c r="I2162" i="29"/>
  <c r="G2159" i="29"/>
  <c r="G2156" i="29"/>
  <c r="G2152" i="29"/>
  <c r="G2148" i="29"/>
  <c r="I2145" i="29"/>
  <c r="I2142" i="29"/>
  <c r="G2129" i="29"/>
  <c r="H2126" i="29"/>
  <c r="H2122" i="29"/>
  <c r="H2119" i="29"/>
  <c r="I2115" i="29"/>
  <c r="G2109" i="29"/>
  <c r="I2724" i="29"/>
  <c r="I2628" i="29"/>
  <c r="G2586" i="29"/>
  <c r="H2542" i="29"/>
  <c r="G2506" i="29"/>
  <c r="I2462" i="29"/>
  <c r="I2434" i="29"/>
  <c r="H2409" i="29"/>
  <c r="G2403" i="29"/>
  <c r="G2398" i="29"/>
  <c r="G2365" i="29"/>
  <c r="H2362" i="29"/>
  <c r="I2358" i="29"/>
  <c r="I2354" i="29"/>
  <c r="G2339" i="29"/>
  <c r="G2335" i="29"/>
  <c r="G2332" i="29"/>
  <c r="G2328" i="29"/>
  <c r="I2325" i="29"/>
  <c r="H2715" i="29"/>
  <c r="I2623" i="29"/>
  <c r="G2583" i="29"/>
  <c r="H2539" i="29"/>
  <c r="G2503" i="29"/>
  <c r="G2434" i="29"/>
  <c r="I2402" i="29"/>
  <c r="G2362" i="29"/>
  <c r="H2358" i="29"/>
  <c r="H2354" i="29"/>
  <c r="I2350" i="29"/>
  <c r="I2346" i="29"/>
  <c r="H2325" i="29"/>
  <c r="I2321" i="29"/>
  <c r="I2318" i="29"/>
  <c r="I2315" i="29"/>
  <c r="I2312" i="29"/>
  <c r="I2308" i="29"/>
  <c r="I2305" i="29"/>
  <c r="I2301" i="29"/>
  <c r="G2299" i="29"/>
  <c r="G2295" i="29"/>
  <c r="G2292" i="29"/>
  <c r="H2288" i="29"/>
  <c r="I2285" i="29"/>
  <c r="G2272" i="29"/>
  <c r="G2269" i="29"/>
  <c r="G2266" i="29"/>
  <c r="H2262" i="29"/>
  <c r="I2258" i="29"/>
  <c r="I2255" i="29"/>
  <c r="I2251" i="29"/>
  <c r="G2249" i="29"/>
  <c r="H2216" i="29"/>
  <c r="H2212" i="29"/>
  <c r="G2206" i="29"/>
  <c r="H2202" i="29"/>
  <c r="I2197" i="29"/>
  <c r="G2187" i="29"/>
  <c r="H2184" i="29"/>
  <c r="I2180" i="29"/>
  <c r="I2177" i="29"/>
  <c r="I2174" i="29"/>
  <c r="G2169" i="29"/>
  <c r="G2165" i="29"/>
  <c r="G2162" i="29"/>
  <c r="I2158" i="29"/>
  <c r="I2154" i="29"/>
  <c r="I2151" i="29"/>
  <c r="G2145" i="29"/>
  <c r="G2142" i="29"/>
  <c r="I2128" i="29"/>
  <c r="G2115" i="29"/>
  <c r="H2112" i="29"/>
  <c r="I2108" i="29"/>
  <c r="H2965" i="29"/>
  <c r="G2664" i="29"/>
  <c r="I2619" i="29"/>
  <c r="G2579" i="29"/>
  <c r="I2535" i="29"/>
  <c r="H2499" i="29"/>
  <c r="G2457" i="29"/>
  <c r="I2414" i="29"/>
  <c r="I2408" i="29"/>
  <c r="H2402" i="29"/>
  <c r="I2397" i="29"/>
  <c r="I2393" i="29"/>
  <c r="I2364" i="29"/>
  <c r="G2358" i="29"/>
  <c r="G2354" i="29"/>
  <c r="H2350" i="29"/>
  <c r="H2346" i="29"/>
  <c r="I2341" i="29"/>
  <c r="I2338" i="29"/>
  <c r="I2334" i="29"/>
  <c r="I2331" i="29"/>
  <c r="G2325" i="29"/>
  <c r="H2321" i="29"/>
  <c r="H2318" i="29"/>
  <c r="H2315" i="29"/>
  <c r="H2312" i="29"/>
  <c r="H2308" i="29"/>
  <c r="H2305" i="29"/>
  <c r="H2301" i="29"/>
  <c r="G2288" i="29"/>
  <c r="H2285" i="29"/>
  <c r="G2262" i="29"/>
  <c r="H2258" i="29"/>
  <c r="H2255" i="29"/>
  <c r="H2251" i="29"/>
  <c r="I2222" i="29"/>
  <c r="G2216" i="29"/>
  <c r="G2212" i="29"/>
  <c r="I2208" i="29"/>
  <c r="G2202" i="29"/>
  <c r="H2197" i="29"/>
  <c r="I2193" i="29"/>
  <c r="I2190" i="29"/>
  <c r="G2184" i="29"/>
  <c r="H2180" i="29"/>
  <c r="H2177" i="29"/>
  <c r="H2174" i="29"/>
  <c r="I2171" i="29"/>
  <c r="I2616" i="29"/>
  <c r="H2576" i="29"/>
  <c r="I2495" i="29"/>
  <c r="H2454" i="29"/>
  <c r="H2431" i="29"/>
  <c r="H2414" i="29"/>
  <c r="H2408" i="29"/>
  <c r="H2397" i="29"/>
  <c r="H2393" i="29"/>
  <c r="H2364" i="29"/>
  <c r="I2361" i="29"/>
  <c r="G2350" i="29"/>
  <c r="G2346" i="29"/>
  <c r="H2341" i="29"/>
  <c r="H2338" i="29"/>
  <c r="H2334" i="29"/>
  <c r="H2331" i="29"/>
  <c r="I2327" i="29"/>
  <c r="G2321" i="29"/>
  <c r="G2318" i="29"/>
  <c r="G2315" i="29"/>
  <c r="G2312" i="29"/>
  <c r="G2308" i="29"/>
  <c r="G2305" i="29"/>
  <c r="G2301" i="29"/>
  <c r="I2298" i="29"/>
  <c r="I2294" i="29"/>
  <c r="I2290" i="29"/>
  <c r="G2285" i="29"/>
  <c r="I2271" i="29"/>
  <c r="I2268" i="29"/>
  <c r="I2264" i="29"/>
  <c r="G2258" i="29"/>
  <c r="G2255" i="29"/>
  <c r="G2251" i="29"/>
  <c r="H2222" i="29"/>
  <c r="I2219" i="29"/>
  <c r="H2208" i="29"/>
  <c r="G2197" i="29"/>
  <c r="H2193" i="29"/>
  <c r="H2190" i="29"/>
  <c r="I2186" i="29"/>
  <c r="G2180" i="29"/>
  <c r="G2177" i="29"/>
  <c r="G2174" i="29"/>
  <c r="H2171" i="29"/>
  <c r="I2167" i="29"/>
  <c r="I2164" i="29"/>
  <c r="G2158" i="29"/>
  <c r="G2154" i="29"/>
  <c r="G2151" i="29"/>
  <c r="H2147" i="29"/>
  <c r="I2144" i="29"/>
  <c r="G2128" i="29"/>
  <c r="H2125" i="29"/>
  <c r="H2693" i="29"/>
  <c r="I2612" i="29"/>
  <c r="H2572" i="29"/>
  <c r="I2491" i="29"/>
  <c r="H2450" i="29"/>
  <c r="G2414" i="29"/>
  <c r="G2408" i="29"/>
  <c r="G2397" i="29"/>
  <c r="G2393" i="29"/>
  <c r="G2364" i="29"/>
  <c r="H2361" i="29"/>
  <c r="I2357" i="29"/>
  <c r="I2353" i="29"/>
  <c r="G2341" i="29"/>
  <c r="G2338" i="29"/>
  <c r="G2334" i="29"/>
  <c r="G2331" i="29"/>
  <c r="H2327" i="29"/>
  <c r="H2298" i="29"/>
  <c r="H2294" i="29"/>
  <c r="H2290" i="29"/>
  <c r="H2271" i="29"/>
  <c r="H2268" i="29"/>
  <c r="H2264" i="29"/>
  <c r="H2269" i="29"/>
  <c r="G2220" i="29"/>
  <c r="G2147" i="29"/>
  <c r="H2128" i="29"/>
  <c r="G2119" i="29"/>
  <c r="G2096" i="29"/>
  <c r="I2080" i="29"/>
  <c r="I2077" i="29"/>
  <c r="H2062" i="29"/>
  <c r="H2057" i="29"/>
  <c r="I2054" i="29"/>
  <c r="I2050" i="29"/>
  <c r="I2047" i="29"/>
  <c r="G2041" i="29"/>
  <c r="G2037" i="29"/>
  <c r="G2034" i="29"/>
  <c r="H2031" i="29"/>
  <c r="I2028" i="29"/>
  <c r="H2011" i="29"/>
  <c r="H2008" i="29"/>
  <c r="I2004" i="29"/>
  <c r="I1988" i="29"/>
  <c r="I1985" i="29"/>
  <c r="G1972" i="29"/>
  <c r="H1969" i="29"/>
  <c r="H1965" i="29"/>
  <c r="G1922" i="29"/>
  <c r="G1918" i="29"/>
  <c r="G1913" i="29"/>
  <c r="I1909" i="29"/>
  <c r="I1906" i="29"/>
  <c r="I1902" i="29"/>
  <c r="G1896" i="29"/>
  <c r="G1893" i="29"/>
  <c r="G1890" i="29"/>
  <c r="G1887" i="29"/>
  <c r="H1883" i="29"/>
  <c r="H1880" i="29"/>
  <c r="I1876" i="29"/>
  <c r="I1873" i="29"/>
  <c r="I1869" i="29"/>
  <c r="G1863" i="29"/>
  <c r="H1860" i="29"/>
  <c r="H1841" i="29"/>
  <c r="I1837" i="29"/>
  <c r="G1828" i="29"/>
  <c r="G1824" i="29"/>
  <c r="H2266" i="29"/>
  <c r="H2219" i="29"/>
  <c r="H2158" i="29"/>
  <c r="I2118" i="29"/>
  <c r="I2111" i="29"/>
  <c r="H2080" i="29"/>
  <c r="H2077" i="29"/>
  <c r="I2073" i="29"/>
  <c r="I2069" i="29"/>
  <c r="G2062" i="29"/>
  <c r="G2057" i="29"/>
  <c r="H2054" i="29"/>
  <c r="H2050" i="29"/>
  <c r="H2047" i="29"/>
  <c r="I2043" i="29"/>
  <c r="G2031" i="29"/>
  <c r="H2028" i="29"/>
  <c r="I2024" i="29"/>
  <c r="I2021" i="29"/>
  <c r="I2017" i="29"/>
  <c r="G2011" i="29"/>
  <c r="G2008" i="29"/>
  <c r="H2004" i="29"/>
  <c r="I2001" i="29"/>
  <c r="H1988" i="29"/>
  <c r="H1985" i="29"/>
  <c r="I1982" i="29"/>
  <c r="I1978" i="29"/>
  <c r="I1974" i="29"/>
  <c r="G1969" i="29"/>
  <c r="G1965" i="29"/>
  <c r="I1939" i="29"/>
  <c r="I1936" i="29"/>
  <c r="I1932" i="29"/>
  <c r="I1928" i="29"/>
  <c r="H1909" i="29"/>
  <c r="H1906" i="29"/>
  <c r="H1902" i="29"/>
  <c r="G1883" i="29"/>
  <c r="G1880" i="29"/>
  <c r="H1876" i="29"/>
  <c r="H1873" i="29"/>
  <c r="H1869" i="29"/>
  <c r="I1866" i="29"/>
  <c r="G1860" i="29"/>
  <c r="I1846" i="29"/>
  <c r="G1841" i="29"/>
  <c r="H1837" i="29"/>
  <c r="I1834" i="29"/>
  <c r="I1830" i="29"/>
  <c r="I2262" i="29"/>
  <c r="I2216" i="29"/>
  <c r="G2195" i="29"/>
  <c r="H2145" i="29"/>
  <c r="I2126" i="29"/>
  <c r="H2118" i="29"/>
  <c r="G2080" i="29"/>
  <c r="G2077" i="29"/>
  <c r="H2073" i="29"/>
  <c r="H2069" i="29"/>
  <c r="I2065" i="29"/>
  <c r="G2054" i="29"/>
  <c r="G2050" i="29"/>
  <c r="G2047" i="29"/>
  <c r="H2043" i="29"/>
  <c r="I2039" i="29"/>
  <c r="I2036" i="29"/>
  <c r="I2033" i="29"/>
  <c r="G2028" i="29"/>
  <c r="H2024" i="29"/>
  <c r="H2021" i="29"/>
  <c r="H2017" i="29"/>
  <c r="I2014" i="29"/>
  <c r="G2004" i="29"/>
  <c r="H2001" i="29"/>
  <c r="G1988" i="29"/>
  <c r="G1985" i="29"/>
  <c r="H1982" i="29"/>
  <c r="H1978" i="29"/>
  <c r="H1974" i="29"/>
  <c r="I1971" i="29"/>
  <c r="H1939" i="29"/>
  <c r="H1936" i="29"/>
  <c r="H1932" i="29"/>
  <c r="H1928" i="29"/>
  <c r="I1924" i="29"/>
  <c r="I1920" i="29"/>
  <c r="I1915" i="29"/>
  <c r="G1909" i="29"/>
  <c r="G1906" i="29"/>
  <c r="G1902" i="29"/>
  <c r="I1899" i="29"/>
  <c r="I1895" i="29"/>
  <c r="I1892" i="29"/>
  <c r="I1889" i="29"/>
  <c r="I1886" i="29"/>
  <c r="G1876" i="29"/>
  <c r="G1873" i="29"/>
  <c r="G1869" i="29"/>
  <c r="H1866" i="29"/>
  <c r="H1846" i="29"/>
  <c r="I1843" i="29"/>
  <c r="G1837" i="29"/>
  <c r="H1834" i="29"/>
  <c r="I2215" i="29"/>
  <c r="G2193" i="29"/>
  <c r="G2126" i="29"/>
  <c r="G2118" i="29"/>
  <c r="H2109" i="29"/>
  <c r="I2079" i="29"/>
  <c r="G2073" i="29"/>
  <c r="G2069" i="29"/>
  <c r="H2065" i="29"/>
  <c r="I2061" i="29"/>
  <c r="I2056" i="29"/>
  <c r="G2043" i="29"/>
  <c r="H2039" i="29"/>
  <c r="H2036" i="29"/>
  <c r="H2033" i="29"/>
  <c r="G2024" i="29"/>
  <c r="G2021" i="29"/>
  <c r="G2017" i="29"/>
  <c r="H2014" i="29"/>
  <c r="I2010" i="29"/>
  <c r="G2001" i="29"/>
  <c r="G1982" i="29"/>
  <c r="G1978" i="29"/>
  <c r="G1974" i="29"/>
  <c r="H1971" i="29"/>
  <c r="I1967" i="29"/>
  <c r="G1939" i="29"/>
  <c r="G1936" i="29"/>
  <c r="G1932" i="29"/>
  <c r="G1928" i="29"/>
  <c r="H1924" i="29"/>
  <c r="H1920" i="29"/>
  <c r="H1915" i="29"/>
  <c r="I1912" i="29"/>
  <c r="H1899" i="29"/>
  <c r="H1895" i="29"/>
  <c r="H1892" i="29"/>
  <c r="H1889" i="29"/>
  <c r="H1886" i="29"/>
  <c r="I1882" i="29"/>
  <c r="I1879" i="29"/>
  <c r="G1866" i="29"/>
  <c r="I1862" i="29"/>
  <c r="I1859" i="29"/>
  <c r="G1846" i="29"/>
  <c r="H1843" i="29"/>
  <c r="I1840" i="29"/>
  <c r="G1834" i="29"/>
  <c r="G1830" i="29"/>
  <c r="H1827" i="29"/>
  <c r="H1823" i="29"/>
  <c r="G1797" i="29"/>
  <c r="H2299" i="29"/>
  <c r="I2212" i="29"/>
  <c r="G2191" i="29"/>
  <c r="G2172" i="29"/>
  <c r="H2154" i="29"/>
  <c r="H2144" i="29"/>
  <c r="I2125" i="29"/>
  <c r="H2079" i="29"/>
  <c r="I2076" i="29"/>
  <c r="G2065" i="29"/>
  <c r="H2061" i="29"/>
  <c r="H2056" i="29"/>
  <c r="I2053" i="29"/>
  <c r="I2049" i="29"/>
  <c r="I2045" i="29"/>
  <c r="G2039" i="29"/>
  <c r="G2036" i="29"/>
  <c r="G2033" i="29"/>
  <c r="I2030" i="29"/>
  <c r="I2027" i="29"/>
  <c r="G2014" i="29"/>
  <c r="H2010" i="29"/>
  <c r="I2006" i="29"/>
  <c r="I1987" i="29"/>
  <c r="G1971" i="29"/>
  <c r="H1967" i="29"/>
  <c r="G1924" i="29"/>
  <c r="G1920" i="29"/>
  <c r="G1915" i="29"/>
  <c r="H1912" i="29"/>
  <c r="I1908" i="29"/>
  <c r="I1905" i="29"/>
  <c r="G1899" i="29"/>
  <c r="G1895" i="29"/>
  <c r="G1892" i="29"/>
  <c r="G1889" i="29"/>
  <c r="G1886" i="29"/>
  <c r="H1882" i="29"/>
  <c r="H1879" i="29"/>
  <c r="I1875" i="29"/>
  <c r="I1872" i="29"/>
  <c r="H1862" i="29"/>
  <c r="H1859" i="29"/>
  <c r="G1843" i="29"/>
  <c r="H1840" i="29"/>
  <c r="I1836" i="29"/>
  <c r="G1827" i="29"/>
  <c r="G1823" i="29"/>
  <c r="H2295" i="29"/>
  <c r="I2211" i="29"/>
  <c r="I2210" i="29" s="1"/>
  <c r="G2190" i="29"/>
  <c r="G2171" i="29"/>
  <c r="G2125" i="29"/>
  <c r="H2115" i="29"/>
  <c r="H2108" i="29"/>
  <c r="I2082" i="29"/>
  <c r="G2079" i="29"/>
  <c r="H2076" i="29"/>
  <c r="I2072" i="29"/>
  <c r="I2067" i="29"/>
  <c r="G2061" i="29"/>
  <c r="G2056" i="29"/>
  <c r="H2053" i="29"/>
  <c r="H2049" i="29"/>
  <c r="H2045" i="29"/>
  <c r="H2030" i="29"/>
  <c r="H2027" i="29"/>
  <c r="I2023" i="29"/>
  <c r="I2020" i="29"/>
  <c r="I2016" i="29"/>
  <c r="G2010" i="29"/>
  <c r="H2006" i="29"/>
  <c r="I2003" i="29"/>
  <c r="I2000" i="29"/>
  <c r="H1987" i="29"/>
  <c r="I1984" i="29"/>
  <c r="I1980" i="29"/>
  <c r="I1977" i="29"/>
  <c r="I1973" i="29"/>
  <c r="G1967" i="29"/>
  <c r="I1938" i="29"/>
  <c r="I1935" i="29"/>
  <c r="I1931" i="29"/>
  <c r="I1927" i="29"/>
  <c r="G1912" i="29"/>
  <c r="H1908" i="29"/>
  <c r="H1905" i="29"/>
  <c r="I1901" i="29"/>
  <c r="G1882" i="29"/>
  <c r="G1879" i="29"/>
  <c r="H1875" i="29"/>
  <c r="H1872" i="29"/>
  <c r="I1868" i="29"/>
  <c r="G1862" i="29"/>
  <c r="G1859" i="29"/>
  <c r="I1845" i="29"/>
  <c r="G1840" i="29"/>
  <c r="H1836" i="29"/>
  <c r="I1832" i="29"/>
  <c r="I1829" i="29"/>
  <c r="H2292" i="29"/>
  <c r="H2187" i="29"/>
  <c r="H2169" i="29"/>
  <c r="H2142" i="29"/>
  <c r="I2122" i="29"/>
  <c r="G2108" i="29"/>
  <c r="H2082" i="29"/>
  <c r="G2076" i="29"/>
  <c r="H2072" i="29"/>
  <c r="H2067" i="29"/>
  <c r="I2064" i="29"/>
  <c r="G2053" i="29"/>
  <c r="G2049" i="29"/>
  <c r="G2045" i="29"/>
  <c r="I2042" i="29"/>
  <c r="I2038" i="29"/>
  <c r="I2035" i="29"/>
  <c r="I2032" i="29"/>
  <c r="G2030" i="29"/>
  <c r="G2027" i="29"/>
  <c r="H2023" i="29"/>
  <c r="H2020" i="29"/>
  <c r="H2016" i="29"/>
  <c r="G2006" i="29"/>
  <c r="H2003" i="29"/>
  <c r="H2000" i="29"/>
  <c r="G1987" i="29"/>
  <c r="H1984" i="29"/>
  <c r="H1980" i="29"/>
  <c r="H1977" i="29"/>
  <c r="H1973" i="29"/>
  <c r="H1938" i="29"/>
  <c r="H1935" i="29"/>
  <c r="H1931" i="29"/>
  <c r="H1927" i="29"/>
  <c r="I1923" i="29"/>
  <c r="I1919" i="29"/>
  <c r="I1914" i="29"/>
  <c r="G1908" i="29"/>
  <c r="G1905" i="29"/>
  <c r="H1901" i="29"/>
  <c r="I1897" i="29"/>
  <c r="I1894" i="29"/>
  <c r="I1891" i="29"/>
  <c r="I1888" i="29"/>
  <c r="G1875" i="29"/>
  <c r="G1872" i="29"/>
  <c r="H1868" i="29"/>
  <c r="I1864" i="29"/>
  <c r="I2288" i="29"/>
  <c r="G2208" i="29"/>
  <c r="H2186" i="29"/>
  <c r="H2167" i="29"/>
  <c r="H2151" i="29"/>
  <c r="G2122" i="29"/>
  <c r="G2082" i="29"/>
  <c r="G2072" i="29"/>
  <c r="G2067" i="29"/>
  <c r="H2064" i="29"/>
  <c r="I2060" i="29"/>
  <c r="I2055" i="29"/>
  <c r="H2042" i="29"/>
  <c r="H2038" i="29"/>
  <c r="H2035" i="29"/>
  <c r="H2032" i="29"/>
  <c r="G2023" i="29"/>
  <c r="G2020" i="29"/>
  <c r="G2016" i="29"/>
  <c r="I2012" i="29"/>
  <c r="I2009" i="29"/>
  <c r="G2003" i="29"/>
  <c r="G2000" i="29"/>
  <c r="G1984" i="29"/>
  <c r="G1980" i="29"/>
  <c r="G1977" i="29"/>
  <c r="G1973" i="29"/>
  <c r="I1970" i="29"/>
  <c r="I1966" i="29"/>
  <c r="G1938" i="29"/>
  <c r="G1935" i="29"/>
  <c r="G1931" i="29"/>
  <c r="G1927" i="29"/>
  <c r="G1926" i="29" s="1"/>
  <c r="H1923" i="29"/>
  <c r="H1919" i="29"/>
  <c r="H1914" i="29"/>
  <c r="I1911" i="29"/>
  <c r="G1901" i="29"/>
  <c r="H1897" i="29"/>
  <c r="H1894" i="29"/>
  <c r="H1891" i="29"/>
  <c r="H1888" i="29"/>
  <c r="I1885" i="29"/>
  <c r="I1881" i="29"/>
  <c r="I1878" i="29"/>
  <c r="G1868" i="29"/>
  <c r="H1864" i="29"/>
  <c r="I1861" i="29"/>
  <c r="I1858" i="29"/>
  <c r="G1845" i="29"/>
  <c r="I1842" i="29"/>
  <c r="G1832" i="29"/>
  <c r="G1829" i="29"/>
  <c r="H1825" i="29"/>
  <c r="G1796" i="29"/>
  <c r="H1793" i="29"/>
  <c r="H1789" i="29"/>
  <c r="H1785" i="29"/>
  <c r="H2206" i="29"/>
  <c r="I2184" i="29"/>
  <c r="H2165" i="29"/>
  <c r="I2121" i="29"/>
  <c r="I2114" i="29"/>
  <c r="I2078" i="29"/>
  <c r="G2064" i="29"/>
  <c r="H2060" i="29"/>
  <c r="H2055" i="29"/>
  <c r="I2051" i="29"/>
  <c r="I2048" i="29"/>
  <c r="I2044" i="29"/>
  <c r="G2042" i="29"/>
  <c r="G2038" i="29"/>
  <c r="G2035" i="29"/>
  <c r="G2032" i="29"/>
  <c r="I2029" i="29"/>
  <c r="H2012" i="29"/>
  <c r="H2009" i="29"/>
  <c r="I2005" i="29"/>
  <c r="I1986" i="29"/>
  <c r="H1970" i="29"/>
  <c r="H1966" i="29"/>
  <c r="G1923" i="29"/>
  <c r="G1919" i="29"/>
  <c r="G1914" i="29"/>
  <c r="H1911" i="29"/>
  <c r="I1907" i="29"/>
  <c r="I1903" i="29"/>
  <c r="G1897" i="29"/>
  <c r="G1894" i="29"/>
  <c r="G1891" i="29"/>
  <c r="G1888" i="29"/>
  <c r="H1885" i="29"/>
  <c r="H1881" i="29"/>
  <c r="H1878" i="29"/>
  <c r="I1874" i="29"/>
  <c r="I1870" i="29"/>
  <c r="G1864" i="29"/>
  <c r="H1861" i="29"/>
  <c r="H1858" i="29"/>
  <c r="H1842" i="29"/>
  <c r="I1838" i="29"/>
  <c r="I1835" i="29"/>
  <c r="G1825" i="29"/>
  <c r="G1793" i="29"/>
  <c r="G1789" i="29"/>
  <c r="G1785" i="29"/>
  <c r="G1781" i="29"/>
  <c r="I2204" i="29"/>
  <c r="H2164" i="29"/>
  <c r="H2148" i="29"/>
  <c r="H2121" i="29"/>
  <c r="G2113" i="29"/>
  <c r="I2081" i="29"/>
  <c r="H2078" i="29"/>
  <c r="I2074" i="29"/>
  <c r="I2070" i="29"/>
  <c r="I2066" i="29"/>
  <c r="G2060" i="29"/>
  <c r="G2055" i="29"/>
  <c r="H2051" i="29"/>
  <c r="H2048" i="29"/>
  <c r="H2044" i="29"/>
  <c r="H2029" i="29"/>
  <c r="I2025" i="29"/>
  <c r="I2022" i="29"/>
  <c r="I2018" i="29"/>
  <c r="I2015" i="29"/>
  <c r="G2012" i="29"/>
  <c r="G2009" i="29"/>
  <c r="H2005" i="29"/>
  <c r="I2002" i="29"/>
  <c r="H1986" i="29"/>
  <c r="I1983" i="29"/>
  <c r="I1979" i="29"/>
  <c r="I1976" i="29"/>
  <c r="G1970" i="29"/>
  <c r="G1966" i="29"/>
  <c r="I1954" i="29"/>
  <c r="I1940" i="29"/>
  <c r="I1937" i="29"/>
  <c r="I1934" i="29"/>
  <c r="I1930" i="29"/>
  <c r="I1925" i="29"/>
  <c r="G1911" i="29"/>
  <c r="H1907" i="29"/>
  <c r="H1903" i="29"/>
  <c r="I1900" i="29"/>
  <c r="G1885" i="29"/>
  <c r="G1881" i="29"/>
  <c r="G1878" i="29"/>
  <c r="H1874" i="29"/>
  <c r="H1870" i="29"/>
  <c r="I1867" i="29"/>
  <c r="G1861" i="29"/>
  <c r="G1858" i="29"/>
  <c r="I1844" i="29"/>
  <c r="G1842" i="29"/>
  <c r="H1838" i="29"/>
  <c r="H1835" i="29"/>
  <c r="I1831" i="29"/>
  <c r="I1798" i="29"/>
  <c r="H2249" i="29"/>
  <c r="G2223" i="29"/>
  <c r="I2202" i="29"/>
  <c r="H2162" i="29"/>
  <c r="H2129" i="29"/>
  <c r="G2121" i="29"/>
  <c r="I2112" i="29"/>
  <c r="I2096" i="29"/>
  <c r="G2081" i="29"/>
  <c r="G2078" i="29"/>
  <c r="H2074" i="29"/>
  <c r="H2070" i="29"/>
  <c r="H2066" i="29"/>
  <c r="G2051" i="29"/>
  <c r="G2048" i="29"/>
  <c r="G2044" i="29"/>
  <c r="I2041" i="29"/>
  <c r="I2037" i="29"/>
  <c r="I2034" i="29"/>
  <c r="G2029" i="29"/>
  <c r="H2025" i="29"/>
  <c r="H2022" i="29"/>
  <c r="H2018" i="29"/>
  <c r="H2015" i="29"/>
  <c r="G2005" i="29"/>
  <c r="H2002" i="29"/>
  <c r="G1986" i="29"/>
  <c r="H1983" i="29"/>
  <c r="H1979" i="29"/>
  <c r="H1976" i="29"/>
  <c r="I1972" i="29"/>
  <c r="H1954" i="29"/>
  <c r="H1940" i="29"/>
  <c r="H1937" i="29"/>
  <c r="H1934" i="29"/>
  <c r="H1930" i="29"/>
  <c r="H1925" i="29"/>
  <c r="I1922" i="29"/>
  <c r="I1918" i="29"/>
  <c r="I1913" i="29"/>
  <c r="G1907" i="29"/>
  <c r="G1903" i="29"/>
  <c r="H1900" i="29"/>
  <c r="I1896" i="29"/>
  <c r="I1893" i="29"/>
  <c r="I1890" i="29"/>
  <c r="I1887" i="29"/>
  <c r="G1874" i="29"/>
  <c r="G1870" i="29"/>
  <c r="H1867" i="29"/>
  <c r="I1863" i="29"/>
  <c r="H1844" i="29"/>
  <c r="G1838" i="29"/>
  <c r="G1835" i="29"/>
  <c r="H1831" i="29"/>
  <c r="I1828" i="29"/>
  <c r="I1824" i="29"/>
  <c r="I1812" i="29"/>
  <c r="H1798" i="29"/>
  <c r="I1795" i="29"/>
  <c r="I1792" i="29"/>
  <c r="I1788" i="29"/>
  <c r="I1783" i="29"/>
  <c r="H2096" i="29"/>
  <c r="I2011" i="29"/>
  <c r="I1965" i="29"/>
  <c r="G1934" i="29"/>
  <c r="H1890" i="29"/>
  <c r="H1829" i="29"/>
  <c r="G1792" i="29"/>
  <c r="H1786" i="29"/>
  <c r="I1781" i="29"/>
  <c r="I1777" i="29"/>
  <c r="I1772" i="29"/>
  <c r="G1763" i="29"/>
  <c r="H1759" i="29"/>
  <c r="H1755" i="29"/>
  <c r="I1752" i="29"/>
  <c r="G1747" i="29"/>
  <c r="G1744" i="29"/>
  <c r="H1740" i="29"/>
  <c r="H1737" i="29"/>
  <c r="I1733" i="29"/>
  <c r="G1727" i="29"/>
  <c r="G1724" i="29"/>
  <c r="G1720" i="29"/>
  <c r="I1717" i="29"/>
  <c r="H1704" i="29"/>
  <c r="H1701" i="29"/>
  <c r="H1698" i="29"/>
  <c r="I1694" i="29"/>
  <c r="I1690" i="29"/>
  <c r="I1687" i="29"/>
  <c r="G1681" i="29"/>
  <c r="G1653" i="29"/>
  <c r="H1650" i="29"/>
  <c r="I1646" i="29"/>
  <c r="I1641" i="29"/>
  <c r="I1638" i="29"/>
  <c r="H1627" i="29"/>
  <c r="H1623" i="29"/>
  <c r="I1619" i="29"/>
  <c r="I1616" i="29"/>
  <c r="G1610" i="29"/>
  <c r="G1607" i="29"/>
  <c r="H1604" i="29"/>
  <c r="G1588" i="29"/>
  <c r="I1584" i="29"/>
  <c r="I1580" i="29"/>
  <c r="G1575" i="29"/>
  <c r="G1559" i="29"/>
  <c r="G1556" i="29"/>
  <c r="G1552" i="29"/>
  <c r="H1548" i="29"/>
  <c r="I1545" i="29"/>
  <c r="I1541" i="29"/>
  <c r="I1512" i="29"/>
  <c r="I1509" i="29"/>
  <c r="I1505" i="29"/>
  <c r="I2160" i="29"/>
  <c r="I2008" i="29"/>
  <c r="G1930" i="29"/>
  <c r="H1887" i="29"/>
  <c r="H1845" i="29"/>
  <c r="H1828" i="29"/>
  <c r="I1796" i="29"/>
  <c r="G1786" i="29"/>
  <c r="H1781" i="29"/>
  <c r="H1777" i="29"/>
  <c r="H1772" i="29"/>
  <c r="I1769" i="29"/>
  <c r="G1759" i="29"/>
  <c r="G1755" i="29"/>
  <c r="H1752" i="29"/>
  <c r="I1749" i="29"/>
  <c r="G1740" i="29"/>
  <c r="G1737" i="29"/>
  <c r="H1733" i="29"/>
  <c r="I1730" i="29"/>
  <c r="H1717" i="29"/>
  <c r="G1704" i="29"/>
  <c r="G1701" i="29"/>
  <c r="G1698" i="29"/>
  <c r="H1694" i="29"/>
  <c r="H1690" i="29"/>
  <c r="H1687" i="29"/>
  <c r="I1655" i="29"/>
  <c r="G1650" i="29"/>
  <c r="H1646" i="29"/>
  <c r="H1641" i="29"/>
  <c r="H1638" i="29"/>
  <c r="I1634" i="29"/>
  <c r="G1627" i="29"/>
  <c r="G1623" i="29"/>
  <c r="H1619" i="29"/>
  <c r="H1616" i="29"/>
  <c r="I1612" i="29"/>
  <c r="G1604" i="29"/>
  <c r="I1601" i="29"/>
  <c r="I1597" i="29"/>
  <c r="I1594" i="29"/>
  <c r="H1584" i="29"/>
  <c r="H1580" i="29"/>
  <c r="I1577" i="29"/>
  <c r="I1561" i="29"/>
  <c r="G1548" i="29"/>
  <c r="H1545" i="29"/>
  <c r="H1541" i="29"/>
  <c r="H1512" i="29"/>
  <c r="H1509" i="29"/>
  <c r="H1505" i="29"/>
  <c r="I1501" i="29"/>
  <c r="I1497" i="29"/>
  <c r="I1493" i="29"/>
  <c r="H2272" i="29"/>
  <c r="I2147" i="29"/>
  <c r="G1925" i="29"/>
  <c r="I1883" i="29"/>
  <c r="G1844" i="29"/>
  <c r="I1827" i="29"/>
  <c r="H1796" i="29"/>
  <c r="I1790" i="29"/>
  <c r="G1777" i="29"/>
  <c r="G1772" i="29"/>
  <c r="H1769" i="29"/>
  <c r="I1765" i="29"/>
  <c r="G1752" i="29"/>
  <c r="H1749" i="29"/>
  <c r="I1746" i="29"/>
  <c r="G1733" i="29"/>
  <c r="H1730" i="29"/>
  <c r="I1726" i="29"/>
  <c r="I1722" i="29"/>
  <c r="G1717" i="29"/>
  <c r="G1694" i="29"/>
  <c r="G1690" i="29"/>
  <c r="G1687" i="29"/>
  <c r="I1683" i="29"/>
  <c r="H1655" i="29"/>
  <c r="I1652" i="29"/>
  <c r="G1646" i="29"/>
  <c r="G1641" i="29"/>
  <c r="G1638" i="29"/>
  <c r="H1634" i="29"/>
  <c r="I1629" i="29"/>
  <c r="G1619" i="29"/>
  <c r="G1616" i="29"/>
  <c r="H1612" i="29"/>
  <c r="I1609" i="29"/>
  <c r="I1606" i="29"/>
  <c r="H1601" i="29"/>
  <c r="H1597" i="29"/>
  <c r="H1594" i="29"/>
  <c r="I1590" i="29"/>
  <c r="G1584" i="29"/>
  <c r="G1580" i="29"/>
  <c r="H1577" i="29"/>
  <c r="I1574" i="29"/>
  <c r="H1561" i="29"/>
  <c r="I1558" i="29"/>
  <c r="I1554" i="29"/>
  <c r="I1551" i="29"/>
  <c r="G1545" i="29"/>
  <c r="G1541" i="29"/>
  <c r="G1512" i="29"/>
  <c r="G1509" i="29"/>
  <c r="G1505" i="29"/>
  <c r="H1501" i="29"/>
  <c r="H1497" i="29"/>
  <c r="H2041" i="29"/>
  <c r="G2002" i="29"/>
  <c r="H1922" i="29"/>
  <c r="I1880" i="29"/>
  <c r="I1825" i="29"/>
  <c r="H1795" i="29"/>
  <c r="H1790" i="29"/>
  <c r="I1785" i="29"/>
  <c r="I1780" i="29"/>
  <c r="G1769" i="29"/>
  <c r="H1765" i="29"/>
  <c r="I1761" i="29"/>
  <c r="I1758" i="29"/>
  <c r="G1749" i="29"/>
  <c r="H1746" i="29"/>
  <c r="I1743" i="29"/>
  <c r="I1739" i="29"/>
  <c r="I1736" i="29"/>
  <c r="G1730" i="29"/>
  <c r="H1726" i="29"/>
  <c r="H1722" i="29"/>
  <c r="I1719" i="29"/>
  <c r="I1703" i="29"/>
  <c r="I1700" i="29"/>
  <c r="H1683" i="29"/>
  <c r="G1655" i="29"/>
  <c r="H1652" i="29"/>
  <c r="G1634" i="29"/>
  <c r="H1629" i="29"/>
  <c r="I1625" i="29"/>
  <c r="I1622" i="29"/>
  <c r="G1612" i="29"/>
  <c r="H1609" i="29"/>
  <c r="H1606" i="29"/>
  <c r="I1603" i="29"/>
  <c r="G1601" i="29"/>
  <c r="G1597" i="29"/>
  <c r="G1594" i="29"/>
  <c r="H1590" i="29"/>
  <c r="I1586" i="29"/>
  <c r="H2037" i="29"/>
  <c r="H1918" i="29"/>
  <c r="I1841" i="29"/>
  <c r="H1824" i="29"/>
  <c r="G1795" i="29"/>
  <c r="G1790" i="29"/>
  <c r="H1780" i="29"/>
  <c r="I1776" i="29"/>
  <c r="G1765" i="29"/>
  <c r="H1761" i="29"/>
  <c r="H1758" i="29"/>
  <c r="I1754" i="29"/>
  <c r="I1751" i="29"/>
  <c r="G1746" i="29"/>
  <c r="H1743" i="29"/>
  <c r="H1739" i="29"/>
  <c r="H1736" i="29"/>
  <c r="I1732" i="29"/>
  <c r="G1726" i="29"/>
  <c r="G1722" i="29"/>
  <c r="H1719" i="29"/>
  <c r="I1716" i="29"/>
  <c r="H1703" i="29"/>
  <c r="H1700" i="29"/>
  <c r="I1696" i="29"/>
  <c r="I1693" i="29"/>
  <c r="I1689" i="29"/>
  <c r="G1683" i="29"/>
  <c r="G1652" i="29"/>
  <c r="I1648" i="29"/>
  <c r="I1644" i="29"/>
  <c r="I1640" i="29"/>
  <c r="G1629" i="29"/>
  <c r="H1625" i="29"/>
  <c r="H1622" i="29"/>
  <c r="I1618" i="29"/>
  <c r="I1615" i="29"/>
  <c r="G1609" i="29"/>
  <c r="G1606" i="29"/>
  <c r="H1603" i="29"/>
  <c r="G1590" i="29"/>
  <c r="H1586" i="29"/>
  <c r="I1583" i="29"/>
  <c r="I1579" i="29"/>
  <c r="G1574" i="29"/>
  <c r="G1558" i="29"/>
  <c r="G1554" i="29"/>
  <c r="G1551" i="29"/>
  <c r="I1547" i="29"/>
  <c r="I1544" i="29"/>
  <c r="I1540" i="29"/>
  <c r="I1514" i="29"/>
  <c r="I1511" i="29"/>
  <c r="I1508" i="29"/>
  <c r="I1504" i="29"/>
  <c r="H2034" i="29"/>
  <c r="H1913" i="29"/>
  <c r="I1823" i="29"/>
  <c r="H1812" i="29"/>
  <c r="H1783" i="29"/>
  <c r="G1780" i="29"/>
  <c r="H1776" i="29"/>
  <c r="I1771" i="29"/>
  <c r="I1767" i="29"/>
  <c r="G1761" i="29"/>
  <c r="G1758" i="29"/>
  <c r="H1754" i="29"/>
  <c r="H1751" i="29"/>
  <c r="I1748" i="29"/>
  <c r="G1743" i="29"/>
  <c r="G1739" i="29"/>
  <c r="G1736" i="29"/>
  <c r="H1732" i="29"/>
  <c r="G1719" i="29"/>
  <c r="H1716" i="29"/>
  <c r="G1703" i="29"/>
  <c r="G1700" i="29"/>
  <c r="H1696" i="29"/>
  <c r="H1693" i="29"/>
  <c r="H1689" i="29"/>
  <c r="I1686" i="29"/>
  <c r="I1654" i="29"/>
  <c r="H1648" i="29"/>
  <c r="H1644" i="29"/>
  <c r="H1640" i="29"/>
  <c r="I1636" i="29"/>
  <c r="I1631" i="29"/>
  <c r="G1625" i="29"/>
  <c r="G1622" i="29"/>
  <c r="H1618" i="29"/>
  <c r="H1615" i="29"/>
  <c r="G1603" i="29"/>
  <c r="I1599" i="29"/>
  <c r="I1596" i="29"/>
  <c r="I1592" i="29"/>
  <c r="G1586" i="29"/>
  <c r="H1583" i="29"/>
  <c r="H1579" i="29"/>
  <c r="I1576" i="29"/>
  <c r="I1560" i="29"/>
  <c r="I2119" i="29"/>
  <c r="G2074" i="29"/>
  <c r="I2031" i="29"/>
  <c r="G1954" i="29"/>
  <c r="G1812" i="29"/>
  <c r="I1794" i="29"/>
  <c r="I1789" i="29"/>
  <c r="G1783" i="29"/>
  <c r="G1776" i="29"/>
  <c r="H1771" i="29"/>
  <c r="H1767" i="29"/>
  <c r="I1764" i="29"/>
  <c r="G1754" i="29"/>
  <c r="G1751" i="29"/>
  <c r="H1748" i="29"/>
  <c r="I1745" i="29"/>
  <c r="G1732" i="29"/>
  <c r="I1728" i="29"/>
  <c r="I1725" i="29"/>
  <c r="I1721" i="29"/>
  <c r="G1716" i="29"/>
  <c r="G1696" i="29"/>
  <c r="G1693" i="29"/>
  <c r="G1689" i="29"/>
  <c r="H1686" i="29"/>
  <c r="I1682" i="29"/>
  <c r="H1654" i="29"/>
  <c r="I1651" i="29"/>
  <c r="G1648" i="29"/>
  <c r="G1644" i="29"/>
  <c r="G1640" i="29"/>
  <c r="H1636" i="29"/>
  <c r="H1631" i="29"/>
  <c r="I1628" i="29"/>
  <c r="G1618" i="29"/>
  <c r="G1615" i="29"/>
  <c r="I1611" i="29"/>
  <c r="I1608" i="29"/>
  <c r="H1599" i="29"/>
  <c r="H1596" i="29"/>
  <c r="H1592" i="29"/>
  <c r="I1589" i="29"/>
  <c r="G1583" i="29"/>
  <c r="G1579" i="29"/>
  <c r="H1576" i="29"/>
  <c r="G2112" i="29"/>
  <c r="G2070" i="29"/>
  <c r="G1983" i="29"/>
  <c r="G1867" i="29"/>
  <c r="G1836" i="29"/>
  <c r="H1794" i="29"/>
  <c r="G1771" i="29"/>
  <c r="G1767" i="29"/>
  <c r="H1764" i="29"/>
  <c r="I1760" i="29"/>
  <c r="I1757" i="29"/>
  <c r="G1748" i="29"/>
  <c r="H1745" i="29"/>
  <c r="I1741" i="29"/>
  <c r="I1738" i="29"/>
  <c r="H1728" i="29"/>
  <c r="H1725" i="29"/>
  <c r="H1721" i="29"/>
  <c r="I1702" i="29"/>
  <c r="I1699" i="29"/>
  <c r="G1686" i="29"/>
  <c r="H1682" i="29"/>
  <c r="G1654" i="29"/>
  <c r="H1651" i="29"/>
  <c r="G1636" i="29"/>
  <c r="G1631" i="29"/>
  <c r="H1628" i="29"/>
  <c r="I1624" i="29"/>
  <c r="H1611" i="29"/>
  <c r="H1608" i="29"/>
  <c r="I1605" i="29"/>
  <c r="G1599" i="29"/>
  <c r="G1596" i="29"/>
  <c r="G1592" i="29"/>
  <c r="H1589" i="29"/>
  <c r="G1576" i="29"/>
  <c r="G1560" i="29"/>
  <c r="H1557" i="29"/>
  <c r="H1553" i="29"/>
  <c r="G2066" i="29"/>
  <c r="G2025" i="29"/>
  <c r="G1979" i="29"/>
  <c r="H1863" i="29"/>
  <c r="G1798" i="29"/>
  <c r="G1794" i="29"/>
  <c r="H1788" i="29"/>
  <c r="I1782" i="29"/>
  <c r="I1778" i="29"/>
  <c r="I1773" i="29"/>
  <c r="G1764" i="29"/>
  <c r="H1760" i="29"/>
  <c r="H1757" i="29"/>
  <c r="I1753" i="29"/>
  <c r="G1745" i="29"/>
  <c r="H1741" i="29"/>
  <c r="H1738" i="29"/>
  <c r="I1734" i="29"/>
  <c r="I1731" i="29"/>
  <c r="G1728" i="29"/>
  <c r="G1725" i="29"/>
  <c r="G1721" i="29"/>
  <c r="I1718" i="29"/>
  <c r="H1702" i="29"/>
  <c r="H1699" i="29"/>
  <c r="I1695" i="29"/>
  <c r="I1692" i="29"/>
  <c r="I1688" i="29"/>
  <c r="G1682" i="29"/>
  <c r="G1651" i="29"/>
  <c r="I1647" i="29"/>
  <c r="I1643" i="29"/>
  <c r="I1639" i="29"/>
  <c r="G1628" i="29"/>
  <c r="H1624" i="29"/>
  <c r="I1621" i="29"/>
  <c r="I1617" i="29"/>
  <c r="G1611" i="29"/>
  <c r="G1608" i="29"/>
  <c r="H1605" i="29"/>
  <c r="I1602" i="29"/>
  <c r="G1589" i="29"/>
  <c r="I1585" i="29"/>
  <c r="I1582" i="29"/>
  <c r="I1578" i="29"/>
  <c r="G1557" i="29"/>
  <c r="G1553" i="29"/>
  <c r="H1550" i="29"/>
  <c r="I1546" i="29"/>
  <c r="I1543" i="29"/>
  <c r="I1539" i="29"/>
  <c r="G1528" i="29"/>
  <c r="I1513" i="29"/>
  <c r="I1510" i="29"/>
  <c r="I1506" i="29"/>
  <c r="H1487" i="29"/>
  <c r="H1483" i="29"/>
  <c r="H1480" i="29"/>
  <c r="I2062" i="29"/>
  <c r="G2022" i="29"/>
  <c r="G1976" i="29"/>
  <c r="G1900" i="29"/>
  <c r="I1860" i="29"/>
  <c r="H1832" i="29"/>
  <c r="G1788" i="29"/>
  <c r="H1782" i="29"/>
  <c r="H1778" i="29"/>
  <c r="H1773" i="29"/>
  <c r="I1770" i="29"/>
  <c r="I1766" i="29"/>
  <c r="G1760" i="29"/>
  <c r="G1757" i="29"/>
  <c r="H1753" i="29"/>
  <c r="I1750" i="29"/>
  <c r="G1741" i="29"/>
  <c r="G1738" i="29"/>
  <c r="H1734" i="29"/>
  <c r="H1731" i="29"/>
  <c r="H1718" i="29"/>
  <c r="G1702" i="29"/>
  <c r="G1699" i="29"/>
  <c r="H1695" i="29"/>
  <c r="H1692" i="29"/>
  <c r="H1688" i="29"/>
  <c r="I1685" i="29"/>
  <c r="I1670" i="29"/>
  <c r="I1656" i="29"/>
  <c r="H1647" i="29"/>
  <c r="H1643" i="29"/>
  <c r="H1639" i="29"/>
  <c r="I1635" i="29"/>
  <c r="I1630" i="29"/>
  <c r="G1624" i="29"/>
  <c r="H1621" i="29"/>
  <c r="H1617" i="29"/>
  <c r="I1613" i="29"/>
  <c r="G1605" i="29"/>
  <c r="H1602" i="29"/>
  <c r="I1598" i="29"/>
  <c r="I1595" i="29"/>
  <c r="I1591" i="29"/>
  <c r="H1585" i="29"/>
  <c r="H1582" i="29"/>
  <c r="H1578" i="29"/>
  <c r="I1562" i="29"/>
  <c r="G1550" i="29"/>
  <c r="H1546" i="29"/>
  <c r="H1543" i="29"/>
  <c r="H1539" i="29"/>
  <c r="G2222" i="29"/>
  <c r="I2057" i="29"/>
  <c r="G2018" i="29"/>
  <c r="H1972" i="29"/>
  <c r="G1940" i="29"/>
  <c r="H1896" i="29"/>
  <c r="G1831" i="29"/>
  <c r="I1797" i="29"/>
  <c r="I1793" i="29"/>
  <c r="G1782" i="29"/>
  <c r="G1778" i="29"/>
  <c r="G1773" i="29"/>
  <c r="H1770" i="29"/>
  <c r="H1766" i="29"/>
  <c r="I1763" i="29"/>
  <c r="G1753" i="29"/>
  <c r="H1750" i="29"/>
  <c r="I1747" i="29"/>
  <c r="I1744" i="29"/>
  <c r="G1734" i="29"/>
  <c r="G1731" i="29"/>
  <c r="I1727" i="29"/>
  <c r="I1724" i="29"/>
  <c r="I1720" i="29"/>
  <c r="G1718" i="29"/>
  <c r="G1695" i="29"/>
  <c r="G1692" i="29"/>
  <c r="G1688" i="29"/>
  <c r="H1685" i="29"/>
  <c r="I1681" i="29"/>
  <c r="H1670" i="29"/>
  <c r="H1656" i="29"/>
  <c r="I1653" i="29"/>
  <c r="G1647" i="29"/>
  <c r="G1643" i="29"/>
  <c r="G1639" i="29"/>
  <c r="H1635" i="29"/>
  <c r="H1630" i="29"/>
  <c r="G1621" i="29"/>
  <c r="G1617" i="29"/>
  <c r="H1613" i="29"/>
  <c r="I1610" i="29"/>
  <c r="I1607" i="29"/>
  <c r="G1602" i="29"/>
  <c r="H1598" i="29"/>
  <c r="H1595" i="29"/>
  <c r="H1591" i="29"/>
  <c r="I1588" i="29"/>
  <c r="G1585" i="29"/>
  <c r="G1582" i="29"/>
  <c r="G1578" i="29"/>
  <c r="I1575" i="29"/>
  <c r="H1562" i="29"/>
  <c r="I1559" i="29"/>
  <c r="I1556" i="29"/>
  <c r="I1552" i="29"/>
  <c r="G1546" i="29"/>
  <c r="G1543" i="29"/>
  <c r="G1539" i="29"/>
  <c r="G1513" i="29"/>
  <c r="G1510" i="29"/>
  <c r="G1506" i="29"/>
  <c r="H1502" i="29"/>
  <c r="H1498" i="29"/>
  <c r="H1494" i="29"/>
  <c r="G1766" i="29"/>
  <c r="H1727" i="29"/>
  <c r="G1685" i="29"/>
  <c r="H1653" i="29"/>
  <c r="H1610" i="29"/>
  <c r="G1577" i="29"/>
  <c r="H1554" i="29"/>
  <c r="H1511" i="29"/>
  <c r="H1504" i="29"/>
  <c r="G1497" i="29"/>
  <c r="H1492" i="29"/>
  <c r="I1487" i="29"/>
  <c r="G1483" i="29"/>
  <c r="G1476" i="29"/>
  <c r="G1473" i="29"/>
  <c r="G1469" i="29"/>
  <c r="G1466" i="29"/>
  <c r="H1463" i="29"/>
  <c r="I1460" i="29"/>
  <c r="I1456" i="29"/>
  <c r="G1450" i="29"/>
  <c r="G1447" i="29"/>
  <c r="H1443" i="29"/>
  <c r="H1440" i="29"/>
  <c r="H1436" i="29"/>
  <c r="H1433" i="29"/>
  <c r="G1410" i="29"/>
  <c r="G1406" i="29"/>
  <c r="G1403" i="29"/>
  <c r="H1399" i="29"/>
  <c r="H1371" i="29"/>
  <c r="I1368" i="29"/>
  <c r="I1364" i="29"/>
  <c r="I1360" i="29"/>
  <c r="G1354" i="29"/>
  <c r="H1350" i="29"/>
  <c r="I1345" i="29"/>
  <c r="H1339" i="29"/>
  <c r="I1335" i="29"/>
  <c r="G1329" i="29"/>
  <c r="I1326" i="29"/>
  <c r="I1323" i="29"/>
  <c r="G1318" i="29"/>
  <c r="G1314" i="29"/>
  <c r="G1311" i="29"/>
  <c r="G1307" i="29"/>
  <c r="H1304" i="29"/>
  <c r="G1294" i="29"/>
  <c r="G1291" i="29"/>
  <c r="I1277" i="29"/>
  <c r="H1264" i="29"/>
  <c r="H1261" i="29"/>
  <c r="H1257" i="29"/>
  <c r="G1226" i="29"/>
  <c r="H1222" i="29"/>
  <c r="H1218" i="29"/>
  <c r="H1214" i="29"/>
  <c r="I1210" i="29"/>
  <c r="I1205" i="29"/>
  <c r="H1763" i="29"/>
  <c r="H1724" i="29"/>
  <c r="H1681" i="29"/>
  <c r="I1650" i="29"/>
  <c r="H1607" i="29"/>
  <c r="H1575" i="29"/>
  <c r="G1511" i="29"/>
  <c r="G1504" i="29"/>
  <c r="G1492" i="29"/>
  <c r="G1487" i="29"/>
  <c r="G1463" i="29"/>
  <c r="H1460" i="29"/>
  <c r="H1456" i="29"/>
  <c r="I1453" i="29"/>
  <c r="G1443" i="29"/>
  <c r="G1440" i="29"/>
  <c r="G1436" i="29"/>
  <c r="G1433" i="29"/>
  <c r="I1419" i="29"/>
  <c r="I1416" i="29"/>
  <c r="G1399" i="29"/>
  <c r="G1371" i="29"/>
  <c r="H1368" i="29"/>
  <c r="H1364" i="29"/>
  <c r="H1360" i="29"/>
  <c r="G1350" i="29"/>
  <c r="H1345" i="29"/>
  <c r="I1341" i="29"/>
  <c r="G1339" i="29"/>
  <c r="H1335" i="29"/>
  <c r="I1332" i="29"/>
  <c r="H1326" i="29"/>
  <c r="H1323" i="29"/>
  <c r="G1304" i="29"/>
  <c r="I1300" i="29"/>
  <c r="H1277" i="29"/>
  <c r="I1274" i="29"/>
  <c r="I1270" i="29"/>
  <c r="G1264" i="29"/>
  <c r="G1261" i="29"/>
  <c r="G1257" i="29"/>
  <c r="I1759" i="29"/>
  <c r="H1720" i="29"/>
  <c r="I1604" i="29"/>
  <c r="H1574" i="29"/>
  <c r="I1553" i="29"/>
  <c r="I1496" i="29"/>
  <c r="I1482" i="29"/>
  <c r="I1479" i="29"/>
  <c r="I1475" i="29"/>
  <c r="I1471" i="29"/>
  <c r="I1468" i="29"/>
  <c r="I1465" i="29"/>
  <c r="G1460" i="29"/>
  <c r="G1456" i="29"/>
  <c r="H1453" i="29"/>
  <c r="I1449" i="29"/>
  <c r="I1446" i="29"/>
  <c r="H1419" i="29"/>
  <c r="H1416" i="29"/>
  <c r="I1412" i="29"/>
  <c r="I1409" i="29"/>
  <c r="I1405" i="29"/>
  <c r="G1368" i="29"/>
  <c r="G1364" i="29"/>
  <c r="G1360" i="29"/>
  <c r="I1356" i="29"/>
  <c r="I1352" i="29"/>
  <c r="G1345" i="29"/>
  <c r="H1341" i="29"/>
  <c r="G1335" i="29"/>
  <c r="H1332" i="29"/>
  <c r="G1326" i="29"/>
  <c r="G1323" i="29"/>
  <c r="I1320" i="29"/>
  <c r="I1317" i="29"/>
  <c r="I1313" i="29"/>
  <c r="I1310" i="29"/>
  <c r="I1306" i="29"/>
  <c r="H1300" i="29"/>
  <c r="I1296" i="29"/>
  <c r="I1293" i="29"/>
  <c r="I1290" i="29"/>
  <c r="G1277" i="29"/>
  <c r="H1274" i="29"/>
  <c r="H1270" i="29"/>
  <c r="I1267" i="29"/>
  <c r="H1228" i="29"/>
  <c r="I1225" i="29"/>
  <c r="I1755" i="29"/>
  <c r="H1552" i="29"/>
  <c r="H1544" i="29"/>
  <c r="H1510" i="29"/>
  <c r="I1502" i="29"/>
  <c r="H1496" i="29"/>
  <c r="I1489" i="29"/>
  <c r="I1486" i="29"/>
  <c r="H1482" i="29"/>
  <c r="H1479" i="29"/>
  <c r="H1475" i="29"/>
  <c r="H1471" i="29"/>
  <c r="H1468" i="29"/>
  <c r="H1465" i="29"/>
  <c r="G1453" i="29"/>
  <c r="H1449" i="29"/>
  <c r="H1446" i="29"/>
  <c r="I1442" i="29"/>
  <c r="I1438" i="29"/>
  <c r="I1435" i="29"/>
  <c r="I1432" i="29"/>
  <c r="G1419" i="29"/>
  <c r="G1416" i="29"/>
  <c r="H1412" i="29"/>
  <c r="H1409" i="29"/>
  <c r="H1405" i="29"/>
  <c r="I1402" i="29"/>
  <c r="I1398" i="29"/>
  <c r="H1356" i="29"/>
  <c r="H1352" i="29"/>
  <c r="I1347" i="29"/>
  <c r="G1341" i="29"/>
  <c r="I1338" i="29"/>
  <c r="G1332" i="29"/>
  <c r="I1328" i="29"/>
  <c r="H1320" i="29"/>
  <c r="H1317" i="29"/>
  <c r="H1313" i="29"/>
  <c r="H1310" i="29"/>
  <c r="H1306" i="29"/>
  <c r="G1300" i="29"/>
  <c r="H1296" i="29"/>
  <c r="H1293" i="29"/>
  <c r="H1290" i="29"/>
  <c r="G1274" i="29"/>
  <c r="G1270" i="29"/>
  <c r="H1267" i="29"/>
  <c r="I1263" i="29"/>
  <c r="I1260" i="29"/>
  <c r="I1256" i="29"/>
  <c r="G1228" i="29"/>
  <c r="H1225" i="29"/>
  <c r="I1221" i="29"/>
  <c r="I1217" i="29"/>
  <c r="G1937" i="29"/>
  <c r="G1598" i="29"/>
  <c r="H1551" i="29"/>
  <c r="G1544" i="29"/>
  <c r="G1502" i="29"/>
  <c r="G1496" i="29"/>
  <c r="H1489" i="29"/>
  <c r="H1486" i="29"/>
  <c r="G1482" i="29"/>
  <c r="G1479" i="29"/>
  <c r="G1475" i="29"/>
  <c r="G1471" i="29"/>
  <c r="G1468" i="29"/>
  <c r="G1465" i="29"/>
  <c r="I1462" i="29"/>
  <c r="I1459" i="29"/>
  <c r="G1449" i="29"/>
  <c r="G1446" i="29"/>
  <c r="H1442" i="29"/>
  <c r="H1438" i="29"/>
  <c r="H1435" i="29"/>
  <c r="H1432" i="29"/>
  <c r="G1412" i="29"/>
  <c r="G1409" i="29"/>
  <c r="G1405" i="29"/>
  <c r="H1402" i="29"/>
  <c r="H1398" i="29"/>
  <c r="I1370" i="29"/>
  <c r="I1367" i="29"/>
  <c r="I1363" i="29"/>
  <c r="I1359" i="29"/>
  <c r="G1356" i="29"/>
  <c r="G1352" i="29"/>
  <c r="H1347" i="29"/>
  <c r="I1344" i="29"/>
  <c r="H1338" i="29"/>
  <c r="H1328" i="29"/>
  <c r="I1325" i="29"/>
  <c r="G1320" i="29"/>
  <c r="G1317" i="29"/>
  <c r="G1313" i="29"/>
  <c r="G1310" i="29"/>
  <c r="G1306" i="29"/>
  <c r="I1302" i="29"/>
  <c r="G1296" i="29"/>
  <c r="G1293" i="29"/>
  <c r="G1290" i="29"/>
  <c r="I1276" i="29"/>
  <c r="G1267" i="29"/>
  <c r="H1263" i="29"/>
  <c r="H1260" i="29"/>
  <c r="H1256" i="29"/>
  <c r="G1225" i="29"/>
  <c r="H1221" i="29"/>
  <c r="H1217" i="29"/>
  <c r="H1213" i="29"/>
  <c r="I1209" i="29"/>
  <c r="I1204" i="29"/>
  <c r="I1201" i="29"/>
  <c r="I1197" i="29"/>
  <c r="G1191" i="29"/>
  <c r="H1187" i="29"/>
  <c r="H1893" i="29"/>
  <c r="H1797" i="29"/>
  <c r="G1750" i="29"/>
  <c r="G1635" i="29"/>
  <c r="G1595" i="29"/>
  <c r="G1562" i="29"/>
  <c r="G1501" i="29"/>
  <c r="I1494" i="29"/>
  <c r="G1489" i="29"/>
  <c r="G1486" i="29"/>
  <c r="H1462" i="29"/>
  <c r="H1459" i="29"/>
  <c r="I1455" i="29"/>
  <c r="I1452" i="29"/>
  <c r="G1442" i="29"/>
  <c r="G1438" i="29"/>
  <c r="G1435" i="29"/>
  <c r="G1432" i="29"/>
  <c r="I1418" i="29"/>
  <c r="I1415" i="29"/>
  <c r="G1402" i="29"/>
  <c r="G1398" i="29"/>
  <c r="H1370" i="29"/>
  <c r="H1367" i="29"/>
  <c r="H1363" i="29"/>
  <c r="H1359" i="29"/>
  <c r="G1347" i="29"/>
  <c r="H1344" i="29"/>
  <c r="G1338" i="29"/>
  <c r="I1334" i="29"/>
  <c r="I1331" i="29"/>
  <c r="G1328" i="29"/>
  <c r="H1325" i="29"/>
  <c r="I1322" i="29"/>
  <c r="H1302" i="29"/>
  <c r="I1299" i="29"/>
  <c r="H1276" i="29"/>
  <c r="I1273" i="29"/>
  <c r="I1269" i="29"/>
  <c r="G1263" i="29"/>
  <c r="G1260" i="29"/>
  <c r="G1256" i="29"/>
  <c r="I1244" i="29"/>
  <c r="I1230" i="29"/>
  <c r="G1221" i="29"/>
  <c r="G1217" i="29"/>
  <c r="G1213" i="29"/>
  <c r="G2015" i="29"/>
  <c r="H1792" i="29"/>
  <c r="H1747" i="29"/>
  <c r="I1704" i="29"/>
  <c r="G1630" i="29"/>
  <c r="G1591" i="29"/>
  <c r="G1561" i="29"/>
  <c r="H1514" i="29"/>
  <c r="H1508" i="29"/>
  <c r="G1494" i="29"/>
  <c r="I1481" i="29"/>
  <c r="I1477" i="29"/>
  <c r="I1474" i="29"/>
  <c r="I1470" i="29"/>
  <c r="I1467" i="29"/>
  <c r="I1464" i="29"/>
  <c r="G1462" i="29"/>
  <c r="G1459" i="29"/>
  <c r="H1455" i="29"/>
  <c r="H1452" i="29"/>
  <c r="I1448" i="29"/>
  <c r="I1444" i="29"/>
  <c r="H1418" i="29"/>
  <c r="H1415" i="29"/>
  <c r="I1411" i="29"/>
  <c r="I1408" i="29"/>
  <c r="I1404" i="29"/>
  <c r="G1370" i="29"/>
  <c r="G1367" i="29"/>
  <c r="G1363" i="29"/>
  <c r="G1359" i="29"/>
  <c r="I1355" i="29"/>
  <c r="G1344" i="29"/>
  <c r="I1340" i="29"/>
  <c r="H1334" i="29"/>
  <c r="H1331" i="29"/>
  <c r="G1325" i="29"/>
  <c r="H1322" i="29"/>
  <c r="I1319" i="29"/>
  <c r="I1315" i="29"/>
  <c r="I1312" i="29"/>
  <c r="I1308" i="29"/>
  <c r="I1305" i="29"/>
  <c r="G1302" i="29"/>
  <c r="H1299" i="29"/>
  <c r="I1295" i="29"/>
  <c r="I1292" i="29"/>
  <c r="G1276" i="29"/>
  <c r="H1273" i="29"/>
  <c r="H1269" i="29"/>
  <c r="H1244" i="29"/>
  <c r="H1230" i="29"/>
  <c r="I1227" i="29"/>
  <c r="I1224" i="29"/>
  <c r="G1209" i="29"/>
  <c r="G1204" i="29"/>
  <c r="G1201" i="29"/>
  <c r="G1197" i="29"/>
  <c r="H1193" i="29"/>
  <c r="I1786" i="29"/>
  <c r="H1744" i="29"/>
  <c r="I1701" i="29"/>
  <c r="G1670" i="29"/>
  <c r="I1627" i="29"/>
  <c r="H1588" i="29"/>
  <c r="H1560" i="29"/>
  <c r="I1550" i="29"/>
  <c r="G1514" i="29"/>
  <c r="G1508" i="29"/>
  <c r="I1499" i="29"/>
  <c r="I1488" i="29"/>
  <c r="I1485" i="29"/>
  <c r="H1481" i="29"/>
  <c r="H1477" i="29"/>
  <c r="H1474" i="29"/>
  <c r="H1470" i="29"/>
  <c r="H1467" i="29"/>
  <c r="H1464" i="29"/>
  <c r="G1455" i="29"/>
  <c r="G1452" i="29"/>
  <c r="H1448" i="29"/>
  <c r="H1444" i="29"/>
  <c r="I1441" i="29"/>
  <c r="I1437" i="29"/>
  <c r="I1434" i="29"/>
  <c r="G1418" i="29"/>
  <c r="G1415" i="29"/>
  <c r="H1411" i="29"/>
  <c r="H1408" i="29"/>
  <c r="H1404" i="29"/>
  <c r="I1401" i="29"/>
  <c r="I1397" i="29"/>
  <c r="I1386" i="29"/>
  <c r="I1372" i="29"/>
  <c r="H1355" i="29"/>
  <c r="I1351" i="29"/>
  <c r="H1340" i="29"/>
  <c r="I1337" i="29"/>
  <c r="G1334" i="29"/>
  <c r="G1331" i="29"/>
  <c r="G1322" i="29"/>
  <c r="H1319" i="29"/>
  <c r="H1315" i="29"/>
  <c r="H1312" i="29"/>
  <c r="H1308" i="29"/>
  <c r="H1305" i="29"/>
  <c r="G1299" i="29"/>
  <c r="H1295" i="29"/>
  <c r="H1292" i="29"/>
  <c r="G1273" i="29"/>
  <c r="G1269" i="29"/>
  <c r="I1266" i="29"/>
  <c r="I1262" i="29"/>
  <c r="I1259" i="29"/>
  <c r="I1255" i="29"/>
  <c r="G1244" i="29"/>
  <c r="G1230" i="29"/>
  <c r="H1830" i="29"/>
  <c r="I1740" i="29"/>
  <c r="I1698" i="29"/>
  <c r="I1623" i="29"/>
  <c r="H1559" i="29"/>
  <c r="I1548" i="29"/>
  <c r="H1540" i="29"/>
  <c r="I1528" i="29"/>
  <c r="H1499" i="29"/>
  <c r="H1493" i="29"/>
  <c r="H1488" i="29"/>
  <c r="H1485" i="29"/>
  <c r="G1481" i="29"/>
  <c r="G1477" i="29"/>
  <c r="G1474" i="29"/>
  <c r="G1470" i="29"/>
  <c r="G1467" i="29"/>
  <c r="G1464" i="29"/>
  <c r="I1461" i="29"/>
  <c r="I1457" i="29"/>
  <c r="G1448" i="29"/>
  <c r="G1444" i="29"/>
  <c r="H1441" i="29"/>
  <c r="H1437" i="29"/>
  <c r="H1434" i="29"/>
  <c r="G1411" i="29"/>
  <c r="G1408" i="29"/>
  <c r="G1404" i="29"/>
  <c r="H1401" i="29"/>
  <c r="H1397" i="29"/>
  <c r="H1386" i="29"/>
  <c r="H1372" i="29"/>
  <c r="I1369" i="29"/>
  <c r="I1366" i="29"/>
  <c r="I1362" i="29"/>
  <c r="G1355" i="29"/>
  <c r="H1351" i="29"/>
  <c r="I1346" i="29"/>
  <c r="I1343" i="29"/>
  <c r="G1340" i="29"/>
  <c r="H1337" i="29"/>
  <c r="I1327" i="29"/>
  <c r="I1324" i="29"/>
  <c r="G1319" i="29"/>
  <c r="G1315" i="29"/>
  <c r="G1312" i="29"/>
  <c r="G1308" i="29"/>
  <c r="G1305" i="29"/>
  <c r="I1301" i="29"/>
  <c r="G1295" i="29"/>
  <c r="G1292" i="29"/>
  <c r="I1278" i="29"/>
  <c r="H1266" i="29"/>
  <c r="H1262" i="29"/>
  <c r="H1259" i="29"/>
  <c r="H1255" i="29"/>
  <c r="G1227" i="29"/>
  <c r="G1224" i="29"/>
  <c r="I1969" i="29"/>
  <c r="I1737" i="29"/>
  <c r="H1558" i="29"/>
  <c r="G1540" i="29"/>
  <c r="H1528" i="29"/>
  <c r="H1513" i="29"/>
  <c r="H1506" i="29"/>
  <c r="G1499" i="29"/>
  <c r="G1493" i="29"/>
  <c r="G1488" i="29"/>
  <c r="G1485" i="29"/>
  <c r="H1461" i="29"/>
  <c r="H1457" i="29"/>
  <c r="I1454" i="29"/>
  <c r="G1441" i="29"/>
  <c r="G1437" i="29"/>
  <c r="G1434" i="29"/>
  <c r="I1420" i="29"/>
  <c r="I1417" i="29"/>
  <c r="I1414" i="29"/>
  <c r="G1401" i="29"/>
  <c r="G1397" i="29"/>
  <c r="G1386" i="29"/>
  <c r="G1372" i="29"/>
  <c r="H1369" i="29"/>
  <c r="H1366" i="29"/>
  <c r="H1362" i="29"/>
  <c r="I1357" i="29"/>
  <c r="G1351" i="29"/>
  <c r="H1346" i="29"/>
  <c r="H1343" i="29"/>
  <c r="G1337" i="29"/>
  <c r="I1333" i="29"/>
  <c r="H1327" i="29"/>
  <c r="H1324" i="29"/>
  <c r="I1321" i="29"/>
  <c r="H1301" i="29"/>
  <c r="I1298" i="29"/>
  <c r="H1278" i="29"/>
  <c r="I1275" i="29"/>
  <c r="I1272" i="29"/>
  <c r="I1268" i="29"/>
  <c r="G1266" i="29"/>
  <c r="G1262" i="29"/>
  <c r="G1259" i="29"/>
  <c r="G1255" i="29"/>
  <c r="I1229" i="29"/>
  <c r="I1557" i="29"/>
  <c r="H1547" i="29"/>
  <c r="I1498" i="29"/>
  <c r="I1480" i="29"/>
  <c r="I1476" i="29"/>
  <c r="I1473" i="29"/>
  <c r="I1469" i="29"/>
  <c r="I1466" i="29"/>
  <c r="G1461" i="29"/>
  <c r="G1457" i="29"/>
  <c r="H1454" i="29"/>
  <c r="I1450" i="29"/>
  <c r="I1447" i="29"/>
  <c r="H1420" i="29"/>
  <c r="H1417" i="29"/>
  <c r="H1414" i="29"/>
  <c r="I1410" i="29"/>
  <c r="I1406" i="29"/>
  <c r="I1403" i="29"/>
  <c r="G1369" i="29"/>
  <c r="G1366" i="29"/>
  <c r="G1362" i="29"/>
  <c r="H1357" i="29"/>
  <c r="I1354" i="29"/>
  <c r="G1346" i="29"/>
  <c r="G1343" i="29"/>
  <c r="H1333" i="29"/>
  <c r="I1329" i="29"/>
  <c r="G1327" i="29"/>
  <c r="G1324" i="29"/>
  <c r="H1321" i="29"/>
  <c r="I1318" i="29"/>
  <c r="I1314" i="29"/>
  <c r="I1311" i="29"/>
  <c r="I1307" i="29"/>
  <c r="G1301" i="29"/>
  <c r="H1298" i="29"/>
  <c r="I1294" i="29"/>
  <c r="I1291" i="29"/>
  <c r="G1278" i="29"/>
  <c r="H1275" i="29"/>
  <c r="H1272" i="29"/>
  <c r="H1268" i="29"/>
  <c r="H1556" i="29"/>
  <c r="G1498" i="29"/>
  <c r="G1454" i="29"/>
  <c r="H1410" i="29"/>
  <c r="G1298" i="29"/>
  <c r="H1215" i="29"/>
  <c r="H1210" i="29"/>
  <c r="H1204" i="29"/>
  <c r="I1199" i="29"/>
  <c r="G1196" i="29"/>
  <c r="G1189" i="29"/>
  <c r="G1172" i="29"/>
  <c r="G1169" i="29"/>
  <c r="H1165" i="29"/>
  <c r="H1162" i="29"/>
  <c r="H1158" i="29"/>
  <c r="I1154" i="29"/>
  <c r="I1135" i="29"/>
  <c r="H1115" i="29"/>
  <c r="G1087" i="29"/>
  <c r="H1084" i="29"/>
  <c r="H1080" i="29"/>
  <c r="H1061" i="29"/>
  <c r="H1057" i="29"/>
  <c r="H1054" i="29"/>
  <c r="I1050" i="29"/>
  <c r="G1031" i="29"/>
  <c r="G1028" i="29"/>
  <c r="H1024" i="29"/>
  <c r="I1021" i="29"/>
  <c r="I1017" i="29"/>
  <c r="G1011" i="29"/>
  <c r="H1008" i="29"/>
  <c r="G989" i="29"/>
  <c r="H985" i="29"/>
  <c r="I982" i="29"/>
  <c r="G1547" i="29"/>
  <c r="I1492" i="29"/>
  <c r="H1450" i="29"/>
  <c r="H1406" i="29"/>
  <c r="G1333" i="29"/>
  <c r="H1294" i="29"/>
  <c r="I1257" i="29"/>
  <c r="I1222" i="29"/>
  <c r="G1215" i="29"/>
  <c r="G1210" i="29"/>
  <c r="H1199" i="29"/>
  <c r="I1184" i="29"/>
  <c r="I1181" i="29"/>
  <c r="I1178" i="29"/>
  <c r="G1165" i="29"/>
  <c r="G1162" i="29"/>
  <c r="G1158" i="29"/>
  <c r="H1154" i="29"/>
  <c r="I1151" i="29"/>
  <c r="I1148" i="29"/>
  <c r="H1135" i="29"/>
  <c r="I1132" i="29"/>
  <c r="I1128" i="29"/>
  <c r="I1125" i="29"/>
  <c r="I1121" i="29"/>
  <c r="I1118" i="29"/>
  <c r="G1115" i="29"/>
  <c r="G1084" i="29"/>
  <c r="G1080" i="29"/>
  <c r="I1076" i="29"/>
  <c r="I1072" i="29"/>
  <c r="I1068" i="29"/>
  <c r="I1063" i="29"/>
  <c r="G1061" i="29"/>
  <c r="G1057" i="29"/>
  <c r="G1054" i="29"/>
  <c r="H1050" i="29"/>
  <c r="I1047" i="29"/>
  <c r="I1043" i="29"/>
  <c r="I1040" i="29"/>
  <c r="I1037" i="29"/>
  <c r="G1024" i="29"/>
  <c r="H1021" i="29"/>
  <c r="H1017" i="29"/>
  <c r="I1014" i="29"/>
  <c r="G1008" i="29"/>
  <c r="I994" i="29"/>
  <c r="G985" i="29"/>
  <c r="H982" i="29"/>
  <c r="I978" i="29"/>
  <c r="I975" i="29"/>
  <c r="I960" i="29"/>
  <c r="I946" i="29"/>
  <c r="G933" i="29"/>
  <c r="G929" i="29"/>
  <c r="H925" i="29"/>
  <c r="H920" i="29"/>
  <c r="I917" i="29"/>
  <c r="G911" i="29"/>
  <c r="H907" i="29"/>
  <c r="H1447" i="29"/>
  <c r="H1403" i="29"/>
  <c r="I1371" i="29"/>
  <c r="H1329" i="29"/>
  <c r="H1291" i="29"/>
  <c r="G1222" i="29"/>
  <c r="I1203" i="29"/>
  <c r="G1199" i="29"/>
  <c r="I1195" i="29"/>
  <c r="I1191" i="29"/>
  <c r="I1187" i="29"/>
  <c r="H1184" i="29"/>
  <c r="H1181" i="29"/>
  <c r="H1178" i="29"/>
  <c r="I1175" i="29"/>
  <c r="I1171" i="29"/>
  <c r="I1168" i="29"/>
  <c r="G1154" i="29"/>
  <c r="H1151" i="29"/>
  <c r="H1148" i="29"/>
  <c r="G1135" i="29"/>
  <c r="H1132" i="29"/>
  <c r="H1128" i="29"/>
  <c r="H1125" i="29"/>
  <c r="H1121" i="29"/>
  <c r="H1118" i="29"/>
  <c r="I1086" i="29"/>
  <c r="H1076" i="29"/>
  <c r="H1072" i="29"/>
  <c r="H1068" i="29"/>
  <c r="H1063" i="29"/>
  <c r="G1050" i="29"/>
  <c r="H1047" i="29"/>
  <c r="H1043" i="29"/>
  <c r="H1040" i="29"/>
  <c r="H1037" i="29"/>
  <c r="I1034" i="29"/>
  <c r="I1030" i="29"/>
  <c r="I1027" i="29"/>
  <c r="G1021" i="29"/>
  <c r="G1017" i="29"/>
  <c r="H1014" i="29"/>
  <c r="I1010" i="29"/>
  <c r="H994" i="29"/>
  <c r="I991" i="29"/>
  <c r="G982" i="29"/>
  <c r="H978" i="29"/>
  <c r="H975" i="29"/>
  <c r="I971" i="29"/>
  <c r="H960" i="29"/>
  <c r="H946" i="29"/>
  <c r="I943" i="29"/>
  <c r="I940" i="29"/>
  <c r="I936" i="29"/>
  <c r="I1483" i="29"/>
  <c r="I1443" i="29"/>
  <c r="I1399" i="29"/>
  <c r="I1214" i="29"/>
  <c r="H1209" i="29"/>
  <c r="H1203" i="29"/>
  <c r="H1195" i="29"/>
  <c r="H1191" i="29"/>
  <c r="G1187" i="29"/>
  <c r="G1184" i="29"/>
  <c r="G1181" i="29"/>
  <c r="G1178" i="29"/>
  <c r="H1175" i="29"/>
  <c r="H1171" i="29"/>
  <c r="H1168" i="29"/>
  <c r="I1164" i="29"/>
  <c r="I1160" i="29"/>
  <c r="I1157" i="29"/>
  <c r="G1151" i="29"/>
  <c r="G1148" i="29"/>
  <c r="G1132" i="29"/>
  <c r="G1128" i="29"/>
  <c r="G1125" i="29"/>
  <c r="G1121" i="29"/>
  <c r="G1118" i="29"/>
  <c r="I1114" i="29"/>
  <c r="H1086" i="29"/>
  <c r="I1083" i="29"/>
  <c r="I1079" i="29"/>
  <c r="G1076" i="29"/>
  <c r="G1072" i="29"/>
  <c r="G1068" i="29"/>
  <c r="G1063" i="29"/>
  <c r="I1060" i="29"/>
  <c r="I1056" i="29"/>
  <c r="I1053" i="29"/>
  <c r="G1047" i="29"/>
  <c r="G1043" i="29"/>
  <c r="G1040" i="29"/>
  <c r="G1037" i="29"/>
  <c r="H1034" i="29"/>
  <c r="H1030" i="29"/>
  <c r="H1027" i="29"/>
  <c r="I1023" i="29"/>
  <c r="G1014" i="29"/>
  <c r="H1010" i="29"/>
  <c r="I1007" i="29"/>
  <c r="G994" i="29"/>
  <c r="H991" i="29"/>
  <c r="I988" i="29"/>
  <c r="I984" i="29"/>
  <c r="G978" i="29"/>
  <c r="G975" i="29"/>
  <c r="H971" i="29"/>
  <c r="G960" i="29"/>
  <c r="G946" i="29"/>
  <c r="H943" i="29"/>
  <c r="H940" i="29"/>
  <c r="H936" i="29"/>
  <c r="I931" i="29"/>
  <c r="I928" i="29"/>
  <c r="G1480" i="29"/>
  <c r="I1440" i="29"/>
  <c r="H1229" i="29"/>
  <c r="I1220" i="29"/>
  <c r="G1214" i="29"/>
  <c r="G1203" i="29"/>
  <c r="I1198" i="29"/>
  <c r="G1195" i="29"/>
  <c r="G1175" i="29"/>
  <c r="G1171" i="29"/>
  <c r="G1168" i="29"/>
  <c r="H1164" i="29"/>
  <c r="H1160" i="29"/>
  <c r="H1157" i="29"/>
  <c r="I1153" i="29"/>
  <c r="I1134" i="29"/>
  <c r="H1114" i="29"/>
  <c r="G1086" i="29"/>
  <c r="H1083" i="29"/>
  <c r="H1079" i="29"/>
  <c r="H1060" i="29"/>
  <c r="H1056" i="29"/>
  <c r="H1053" i="29"/>
  <c r="I1049" i="29"/>
  <c r="G1034" i="29"/>
  <c r="G1030" i="29"/>
  <c r="G1027" i="29"/>
  <c r="H1023" i="29"/>
  <c r="I1020" i="29"/>
  <c r="G1010" i="29"/>
  <c r="H1007" i="29"/>
  <c r="G991" i="29"/>
  <c r="H988" i="29"/>
  <c r="H984" i="29"/>
  <c r="I980" i="29"/>
  <c r="G971" i="29"/>
  <c r="G943" i="29"/>
  <c r="G940" i="29"/>
  <c r="G936" i="29"/>
  <c r="H931" i="29"/>
  <c r="H928" i="29"/>
  <c r="I924" i="29"/>
  <c r="H1476" i="29"/>
  <c r="I1436" i="29"/>
  <c r="G1321" i="29"/>
  <c r="G1229" i="29"/>
  <c r="H1220" i="29"/>
  <c r="I1208" i="29"/>
  <c r="H1198" i="29"/>
  <c r="I1186" i="29"/>
  <c r="I1183" i="29"/>
  <c r="I1180" i="29"/>
  <c r="I1177" i="29"/>
  <c r="G1164" i="29"/>
  <c r="G1160" i="29"/>
  <c r="G1157" i="29"/>
  <c r="H1153" i="29"/>
  <c r="I1150" i="29"/>
  <c r="H1134" i="29"/>
  <c r="I1131" i="29"/>
  <c r="I1127" i="29"/>
  <c r="I1124" i="29"/>
  <c r="I1120" i="29"/>
  <c r="G1114" i="29"/>
  <c r="G1083" i="29"/>
  <c r="G1079" i="29"/>
  <c r="I1075" i="29"/>
  <c r="I1071" i="29"/>
  <c r="I1067" i="29"/>
  <c r="G1060" i="29"/>
  <c r="G1056" i="29"/>
  <c r="G1053" i="29"/>
  <c r="H1049" i="29"/>
  <c r="I1045" i="29"/>
  <c r="I1042" i="29"/>
  <c r="I1039" i="29"/>
  <c r="I1036" i="29"/>
  <c r="G1023" i="29"/>
  <c r="H1020" i="29"/>
  <c r="I1016" i="29"/>
  <c r="G1007" i="29"/>
  <c r="I993" i="29"/>
  <c r="G988" i="29"/>
  <c r="G984" i="29"/>
  <c r="H980" i="29"/>
  <c r="I977" i="29"/>
  <c r="I973" i="29"/>
  <c r="I945" i="29"/>
  <c r="G931" i="29"/>
  <c r="G928" i="29"/>
  <c r="H924" i="29"/>
  <c r="I919" i="29"/>
  <c r="H1473" i="29"/>
  <c r="I1433" i="29"/>
  <c r="G1357" i="29"/>
  <c r="H1318" i="29"/>
  <c r="G1275" i="29"/>
  <c r="I1228" i="29"/>
  <c r="G1220" i="29"/>
  <c r="I1213" i="29"/>
  <c r="H1208" i="29"/>
  <c r="I1202" i="29"/>
  <c r="G1198" i="29"/>
  <c r="I1193" i="29"/>
  <c r="I1190" i="29"/>
  <c r="H1186" i="29"/>
  <c r="H1183" i="29"/>
  <c r="H1180" i="29"/>
  <c r="H1177" i="29"/>
  <c r="I1173" i="29"/>
  <c r="I1170" i="29"/>
  <c r="G1153" i="29"/>
  <c r="H1150" i="29"/>
  <c r="G1134" i="29"/>
  <c r="H1131" i="29"/>
  <c r="H1127" i="29"/>
  <c r="H1124" i="29"/>
  <c r="H1120" i="29"/>
  <c r="I1117" i="29"/>
  <c r="I1088" i="29"/>
  <c r="I1085" i="29"/>
  <c r="H1075" i="29"/>
  <c r="H1071" i="29"/>
  <c r="H1067" i="29"/>
  <c r="I1062" i="29"/>
  <c r="G1049" i="29"/>
  <c r="H1045" i="29"/>
  <c r="H1042" i="29"/>
  <c r="H1039" i="29"/>
  <c r="H1036" i="29"/>
  <c r="I1033" i="29"/>
  <c r="I1029" i="29"/>
  <c r="I1026" i="29"/>
  <c r="G1020" i="29"/>
  <c r="H1016" i="29"/>
  <c r="I1012" i="29"/>
  <c r="H993" i="29"/>
  <c r="I990" i="29"/>
  <c r="G980" i="29"/>
  <c r="H977" i="29"/>
  <c r="H973" i="29"/>
  <c r="H945" i="29"/>
  <c r="I942" i="29"/>
  <c r="I938" i="29"/>
  <c r="G924" i="29"/>
  <c r="H919" i="29"/>
  <c r="H915" i="29"/>
  <c r="I912" i="29"/>
  <c r="G906" i="29"/>
  <c r="G902" i="29"/>
  <c r="G1656" i="29"/>
  <c r="H1469" i="29"/>
  <c r="H1354" i="29"/>
  <c r="H1314" i="29"/>
  <c r="G1272" i="29"/>
  <c r="H1227" i="29"/>
  <c r="I1212" i="29"/>
  <c r="G1208" i="29"/>
  <c r="H1202" i="29"/>
  <c r="G1193" i="29"/>
  <c r="H1190" i="29"/>
  <c r="G1186" i="29"/>
  <c r="G1183" i="29"/>
  <c r="G1180" i="29"/>
  <c r="G1177" i="29"/>
  <c r="H1173" i="29"/>
  <c r="H1170" i="29"/>
  <c r="I1166" i="29"/>
  <c r="I1163" i="29"/>
  <c r="I1159" i="29"/>
  <c r="I1156" i="29"/>
  <c r="G1150" i="29"/>
  <c r="G1131" i="29"/>
  <c r="G1127" i="29"/>
  <c r="G1124" i="29"/>
  <c r="G1120" i="29"/>
  <c r="H1117" i="29"/>
  <c r="I1102" i="29"/>
  <c r="H1088" i="29"/>
  <c r="H1085" i="29"/>
  <c r="I1082" i="29"/>
  <c r="I1078" i="29"/>
  <c r="G1075" i="29"/>
  <c r="G1071" i="29"/>
  <c r="G1067" i="29"/>
  <c r="H1062" i="29"/>
  <c r="I1059" i="29"/>
  <c r="I1055" i="29"/>
  <c r="G1045" i="29"/>
  <c r="G1042" i="29"/>
  <c r="G1039" i="29"/>
  <c r="G1036" i="29"/>
  <c r="H1033" i="29"/>
  <c r="H1029" i="29"/>
  <c r="H1026" i="29"/>
  <c r="G1016" i="29"/>
  <c r="H1012" i="29"/>
  <c r="I1009" i="29"/>
  <c r="I1006" i="29"/>
  <c r="G993" i="29"/>
  <c r="H990" i="29"/>
  <c r="I986" i="29"/>
  <c r="I983" i="29"/>
  <c r="G977" i="29"/>
  <c r="G973" i="29"/>
  <c r="G945" i="29"/>
  <c r="H942" i="29"/>
  <c r="H938" i="29"/>
  <c r="I934" i="29"/>
  <c r="I930" i="29"/>
  <c r="I926" i="29"/>
  <c r="G919" i="29"/>
  <c r="G1770" i="29"/>
  <c r="G1613" i="29"/>
  <c r="H1466" i="29"/>
  <c r="I1350" i="29"/>
  <c r="H1311" i="29"/>
  <c r="G1268" i="29"/>
  <c r="I1226" i="29"/>
  <c r="I1218" i="29"/>
  <c r="H1212" i="29"/>
  <c r="G1202" i="29"/>
  <c r="H1197" i="29"/>
  <c r="G1190" i="29"/>
  <c r="G1173" i="29"/>
  <c r="G1170" i="29"/>
  <c r="H1166" i="29"/>
  <c r="H1163" i="29"/>
  <c r="H1159" i="29"/>
  <c r="H1156" i="29"/>
  <c r="I1152" i="29"/>
  <c r="I1136" i="29"/>
  <c r="G1117" i="29"/>
  <c r="I1113" i="29"/>
  <c r="H1102" i="29"/>
  <c r="G1088" i="29"/>
  <c r="G1085" i="29"/>
  <c r="H1082" i="29"/>
  <c r="H1078" i="29"/>
  <c r="G1062" i="29"/>
  <c r="H1059" i="29"/>
  <c r="H1055" i="29"/>
  <c r="I1051" i="29"/>
  <c r="G1033" i="29"/>
  <c r="G1029" i="29"/>
  <c r="G1026" i="29"/>
  <c r="I1022" i="29"/>
  <c r="I1018" i="29"/>
  <c r="G1012" i="29"/>
  <c r="H1009" i="29"/>
  <c r="H1006" i="29"/>
  <c r="G990" i="29"/>
  <c r="H986" i="29"/>
  <c r="H983" i="29"/>
  <c r="G942" i="29"/>
  <c r="G938" i="29"/>
  <c r="H934" i="29"/>
  <c r="H930" i="29"/>
  <c r="H926" i="29"/>
  <c r="I921" i="29"/>
  <c r="G1417" i="29"/>
  <c r="I1304" i="29"/>
  <c r="G1205" i="29"/>
  <c r="H1201" i="29"/>
  <c r="I1196" i="29"/>
  <c r="H1192" i="29"/>
  <c r="I1189" i="29"/>
  <c r="H1185" i="29"/>
  <c r="H1182" i="29"/>
  <c r="H1179" i="29"/>
  <c r="H1176" i="29"/>
  <c r="I1172" i="29"/>
  <c r="I1169" i="29"/>
  <c r="G1152" i="29"/>
  <c r="H1149" i="29"/>
  <c r="G1136" i="29"/>
  <c r="H1133" i="29"/>
  <c r="H1130" i="29"/>
  <c r="H1126" i="29"/>
  <c r="H1122" i="29"/>
  <c r="H1119" i="29"/>
  <c r="G1113" i="29"/>
  <c r="I1087" i="29"/>
  <c r="H1073" i="29"/>
  <c r="H1070" i="29"/>
  <c r="H1066" i="29"/>
  <c r="G1051" i="29"/>
  <c r="H1048" i="29"/>
  <c r="H1044" i="29"/>
  <c r="H1041" i="29"/>
  <c r="H1038" i="29"/>
  <c r="H1035" i="29"/>
  <c r="I1031" i="29"/>
  <c r="I1028" i="29"/>
  <c r="G1022" i="29"/>
  <c r="G1018" i="29"/>
  <c r="H1015" i="29"/>
  <c r="I1011" i="29"/>
  <c r="H992" i="29"/>
  <c r="I989" i="29"/>
  <c r="H979" i="29"/>
  <c r="H976" i="29"/>
  <c r="H972" i="29"/>
  <c r="G1414" i="29"/>
  <c r="I1339" i="29"/>
  <c r="I1261" i="29"/>
  <c r="H1224" i="29"/>
  <c r="I1215" i="29"/>
  <c r="H1196" i="29"/>
  <c r="G1192" i="29"/>
  <c r="H1189" i="29"/>
  <c r="G1185" i="29"/>
  <c r="G1182" i="29"/>
  <c r="G1179" i="29"/>
  <c r="G1176" i="29"/>
  <c r="H1172" i="29"/>
  <c r="H1169" i="29"/>
  <c r="I1165" i="29"/>
  <c r="I1162" i="29"/>
  <c r="I1158" i="29"/>
  <c r="G1149" i="29"/>
  <c r="G1133" i="29"/>
  <c r="G1130" i="29"/>
  <c r="G1126" i="29"/>
  <c r="G1122" i="29"/>
  <c r="G1119" i="29"/>
  <c r="I1115" i="29"/>
  <c r="H1087" i="29"/>
  <c r="I1084" i="29"/>
  <c r="I1080" i="29"/>
  <c r="G1073" i="29"/>
  <c r="G1070" i="29"/>
  <c r="G1066" i="29"/>
  <c r="I1061" i="29"/>
  <c r="I1057" i="29"/>
  <c r="I1054" i="29"/>
  <c r="G1048" i="29"/>
  <c r="G1044" i="29"/>
  <c r="G1041" i="29"/>
  <c r="G1038" i="29"/>
  <c r="G1035" i="29"/>
  <c r="H1031" i="29"/>
  <c r="H1028" i="29"/>
  <c r="I1024" i="29"/>
  <c r="G1015" i="29"/>
  <c r="H1011" i="29"/>
  <c r="I1008" i="29"/>
  <c r="G992" i="29"/>
  <c r="H989" i="29"/>
  <c r="I985" i="29"/>
  <c r="G979" i="29"/>
  <c r="G976" i="29"/>
  <c r="G972" i="29"/>
  <c r="G944" i="29"/>
  <c r="H941" i="29"/>
  <c r="H937" i="29"/>
  <c r="I933" i="29"/>
  <c r="I929" i="29"/>
  <c r="G918" i="29"/>
  <c r="G914" i="29"/>
  <c r="I911" i="29"/>
  <c r="G901" i="29"/>
  <c r="H1307" i="29"/>
  <c r="G1212" i="29"/>
  <c r="G1166" i="29"/>
  <c r="I1122" i="29"/>
  <c r="I1048" i="29"/>
  <c r="G1009" i="29"/>
  <c r="I972" i="29"/>
  <c r="H917" i="29"/>
  <c r="G908" i="29"/>
  <c r="H903" i="29"/>
  <c r="G900" i="29"/>
  <c r="H897" i="29"/>
  <c r="H894" i="29"/>
  <c r="I891" i="29"/>
  <c r="I887" i="29"/>
  <c r="I884" i="29"/>
  <c r="G878" i="29"/>
  <c r="H874" i="29"/>
  <c r="H870" i="29"/>
  <c r="H867" i="29"/>
  <c r="H864" i="29"/>
  <c r="G837" i="29"/>
  <c r="H834" i="29"/>
  <c r="H830" i="29"/>
  <c r="H804" i="29"/>
  <c r="I801" i="29"/>
  <c r="G795" i="29"/>
  <c r="G791" i="29"/>
  <c r="G787" i="29"/>
  <c r="G783" i="29"/>
  <c r="H778" i="29"/>
  <c r="I775" i="29"/>
  <c r="G765" i="29"/>
  <c r="I761" i="29"/>
  <c r="I758" i="29"/>
  <c r="I755" i="29"/>
  <c r="G750" i="29"/>
  <c r="H746" i="29"/>
  <c r="H743" i="29"/>
  <c r="G737" i="29"/>
  <c r="H733" i="29"/>
  <c r="H730" i="29"/>
  <c r="G724" i="29"/>
  <c r="I710" i="29"/>
  <c r="G701" i="29"/>
  <c r="G698" i="29"/>
  <c r="H694" i="29"/>
  <c r="H691" i="29"/>
  <c r="H687" i="29"/>
  <c r="H656" i="29"/>
  <c r="I652" i="29"/>
  <c r="I647" i="29"/>
  <c r="G645" i="29"/>
  <c r="H641" i="29"/>
  <c r="H636" i="29"/>
  <c r="H633" i="29"/>
  <c r="I1463" i="29"/>
  <c r="H1205" i="29"/>
  <c r="G1163" i="29"/>
  <c r="I1119" i="29"/>
  <c r="I1044" i="29"/>
  <c r="G1006" i="29"/>
  <c r="I937" i="29"/>
  <c r="I925" i="29"/>
  <c r="G917" i="29"/>
  <c r="H912" i="29"/>
  <c r="G903" i="29"/>
  <c r="G897" i="29"/>
  <c r="G894" i="29"/>
  <c r="H891" i="29"/>
  <c r="H887" i="29"/>
  <c r="H884" i="29"/>
  <c r="I880" i="29"/>
  <c r="G874" i="29"/>
  <c r="G870" i="29"/>
  <c r="G867" i="29"/>
  <c r="G864" i="29"/>
  <c r="I850" i="29"/>
  <c r="I847" i="29"/>
  <c r="I843" i="29"/>
  <c r="G834" i="29"/>
  <c r="G830" i="29"/>
  <c r="I818" i="29"/>
  <c r="G804" i="29"/>
  <c r="H801" i="29"/>
  <c r="I798" i="29"/>
  <c r="G778" i="29"/>
  <c r="H775" i="29"/>
  <c r="I771" i="29"/>
  <c r="I767" i="29"/>
  <c r="H761" i="29"/>
  <c r="H758" i="29"/>
  <c r="H755" i="29"/>
  <c r="I752" i="29"/>
  <c r="G746" i="29"/>
  <c r="G743" i="29"/>
  <c r="I739" i="29"/>
  <c r="G733" i="29"/>
  <c r="G730" i="29"/>
  <c r="I726" i="29"/>
  <c r="H710" i="29"/>
  <c r="I707" i="29"/>
  <c r="I704" i="29"/>
  <c r="G694" i="29"/>
  <c r="G691" i="29"/>
  <c r="G687" i="29"/>
  <c r="I661" i="29"/>
  <c r="G656" i="29"/>
  <c r="H652" i="29"/>
  <c r="H647" i="29"/>
  <c r="G641" i="29"/>
  <c r="G636" i="29"/>
  <c r="G633" i="29"/>
  <c r="G619" i="29"/>
  <c r="G1159" i="29"/>
  <c r="I1041" i="29"/>
  <c r="G937" i="29"/>
  <c r="G925" i="29"/>
  <c r="G912" i="29"/>
  <c r="I907" i="29"/>
  <c r="G891" i="29"/>
  <c r="G887" i="29"/>
  <c r="G884" i="29"/>
  <c r="H880" i="29"/>
  <c r="H850" i="29"/>
  <c r="H847" i="29"/>
  <c r="H843" i="29"/>
  <c r="I840" i="29"/>
  <c r="I836" i="29"/>
  <c r="H818" i="29"/>
  <c r="G801" i="29"/>
  <c r="H798" i="29"/>
  <c r="I794" i="29"/>
  <c r="I789" i="29"/>
  <c r="I786" i="29"/>
  <c r="I782" i="29"/>
  <c r="G775" i="29"/>
  <c r="H771" i="29"/>
  <c r="H767" i="29"/>
  <c r="G761" i="29"/>
  <c r="G758" i="29"/>
  <c r="G755" i="29"/>
  <c r="H752" i="29"/>
  <c r="H739" i="29"/>
  <c r="H726" i="29"/>
  <c r="I723" i="29"/>
  <c r="G710" i="29"/>
  <c r="H707" i="29"/>
  <c r="H704" i="29"/>
  <c r="I700" i="29"/>
  <c r="I696" i="29"/>
  <c r="H661" i="29"/>
  <c r="I658" i="29"/>
  <c r="G652" i="29"/>
  <c r="G647" i="29"/>
  <c r="I644" i="29"/>
  <c r="I1264" i="29"/>
  <c r="G1156" i="29"/>
  <c r="H1113" i="29"/>
  <c r="G1082" i="29"/>
  <c r="I1038" i="29"/>
  <c r="G934" i="29"/>
  <c r="H921" i="29"/>
  <c r="I915" i="29"/>
  <c r="G907" i="29"/>
  <c r="I902" i="29"/>
  <c r="I899" i="29"/>
  <c r="I896" i="29"/>
  <c r="I893" i="29"/>
  <c r="G880" i="29"/>
  <c r="I876" i="29"/>
  <c r="I873" i="29"/>
  <c r="I869" i="29"/>
  <c r="I866" i="29"/>
  <c r="G850" i="29"/>
  <c r="G847" i="29"/>
  <c r="G843" i="29"/>
  <c r="H840" i="29"/>
  <c r="H836" i="29"/>
  <c r="I833" i="29"/>
  <c r="G818" i="29"/>
  <c r="I803" i="29"/>
  <c r="G798" i="29"/>
  <c r="H794" i="29"/>
  <c r="H789" i="29"/>
  <c r="H786" i="29"/>
  <c r="H782" i="29"/>
  <c r="I777" i="29"/>
  <c r="G771" i="29"/>
  <c r="G767" i="29"/>
  <c r="I764" i="29"/>
  <c r="G752" i="29"/>
  <c r="I749" i="29"/>
  <c r="I745" i="29"/>
  <c r="G739" i="29"/>
  <c r="I736" i="29"/>
  <c r="I732" i="29"/>
  <c r="I728" i="29"/>
  <c r="G726" i="29"/>
  <c r="H723" i="29"/>
  <c r="G707" i="29"/>
  <c r="G704" i="29"/>
  <c r="H700" i="29"/>
  <c r="H696" i="29"/>
  <c r="I693" i="29"/>
  <c r="I689" i="29"/>
  <c r="G661" i="29"/>
  <c r="H658" i="29"/>
  <c r="I654" i="29"/>
  <c r="H644" i="29"/>
  <c r="I640" i="29"/>
  <c r="I635" i="29"/>
  <c r="G1420" i="29"/>
  <c r="I1192" i="29"/>
  <c r="H1152" i="29"/>
  <c r="G1078" i="29"/>
  <c r="I1035" i="29"/>
  <c r="I992" i="29"/>
  <c r="G921" i="29"/>
  <c r="G915" i="29"/>
  <c r="H902" i="29"/>
  <c r="H899" i="29"/>
  <c r="H896" i="29"/>
  <c r="H893" i="29"/>
  <c r="I889" i="29"/>
  <c r="I886" i="29"/>
  <c r="H876" i="29"/>
  <c r="H873" i="29"/>
  <c r="H869" i="29"/>
  <c r="H866" i="29"/>
  <c r="G840" i="29"/>
  <c r="G836" i="29"/>
  <c r="H833" i="29"/>
  <c r="I829" i="29"/>
  <c r="H803" i="29"/>
  <c r="I800" i="29"/>
  <c r="G794" i="29"/>
  <c r="G789" i="29"/>
  <c r="G786" i="29"/>
  <c r="G782" i="29"/>
  <c r="H777" i="29"/>
  <c r="H764" i="29"/>
  <c r="I760" i="29"/>
  <c r="I757" i="29"/>
  <c r="H749" i="29"/>
  <c r="H745" i="29"/>
  <c r="I742" i="29"/>
  <c r="H736" i="29"/>
  <c r="H732" i="29"/>
  <c r="H728" i="29"/>
  <c r="G723" i="29"/>
  <c r="I709" i="29"/>
  <c r="G700" i="29"/>
  <c r="G696" i="29"/>
  <c r="H693" i="29"/>
  <c r="H689" i="29"/>
  <c r="G658" i="29"/>
  <c r="H654" i="29"/>
  <c r="I650" i="29"/>
  <c r="G644" i="29"/>
  <c r="H640" i="29"/>
  <c r="H635" i="29"/>
  <c r="I631" i="29"/>
  <c r="G629" i="29"/>
  <c r="G625" i="29"/>
  <c r="G622" i="29"/>
  <c r="I618" i="29"/>
  <c r="I1149" i="29"/>
  <c r="I1073" i="29"/>
  <c r="H933" i="29"/>
  <c r="I920" i="29"/>
  <c r="H911" i="29"/>
  <c r="I906" i="29"/>
  <c r="G899" i="29"/>
  <c r="G896" i="29"/>
  <c r="G893" i="29"/>
  <c r="H889" i="29"/>
  <c r="H886" i="29"/>
  <c r="I882" i="29"/>
  <c r="G876" i="29"/>
  <c r="G873" i="29"/>
  <c r="G869" i="29"/>
  <c r="G866" i="29"/>
  <c r="I852" i="29"/>
  <c r="I849" i="29"/>
  <c r="I846" i="29"/>
  <c r="I842" i="29"/>
  <c r="G833" i="29"/>
  <c r="H829" i="29"/>
  <c r="G803" i="29"/>
  <c r="H800" i="29"/>
  <c r="G777" i="29"/>
  <c r="I773" i="29"/>
  <c r="I770" i="29"/>
  <c r="G764" i="29"/>
  <c r="H760" i="29"/>
  <c r="H757" i="29"/>
  <c r="I754" i="29"/>
  <c r="I751" i="29"/>
  <c r="G749" i="29"/>
  <c r="G745" i="29"/>
  <c r="H742" i="29"/>
  <c r="I738" i="29"/>
  <c r="G736" i="29"/>
  <c r="G732" i="29"/>
  <c r="G728" i="29"/>
  <c r="H709" i="29"/>
  <c r="I706" i="29"/>
  <c r="G693" i="29"/>
  <c r="G689" i="29"/>
  <c r="I660" i="29"/>
  <c r="G654" i="29"/>
  <c r="H650" i="29"/>
  <c r="I646" i="29"/>
  <c r="G640" i="29"/>
  <c r="G635" i="29"/>
  <c r="H631" i="29"/>
  <c r="H618" i="29"/>
  <c r="I615" i="29"/>
  <c r="I1185" i="29"/>
  <c r="I1070" i="29"/>
  <c r="G986" i="29"/>
  <c r="I944" i="29"/>
  <c r="G920" i="29"/>
  <c r="I914" i="29"/>
  <c r="H906" i="29"/>
  <c r="G889" i="29"/>
  <c r="G886" i="29"/>
  <c r="H882" i="29"/>
  <c r="I879" i="29"/>
  <c r="H852" i="29"/>
  <c r="H849" i="29"/>
  <c r="H846" i="29"/>
  <c r="H842" i="29"/>
  <c r="I838" i="29"/>
  <c r="I835" i="29"/>
  <c r="G829" i="29"/>
  <c r="G800" i="29"/>
  <c r="I796" i="29"/>
  <c r="I792" i="29"/>
  <c r="I788" i="29"/>
  <c r="I784" i="29"/>
  <c r="I779" i="29"/>
  <c r="H773" i="29"/>
  <c r="H770" i="29"/>
  <c r="I766" i="29"/>
  <c r="G760" i="29"/>
  <c r="G757" i="29"/>
  <c r="H754" i="29"/>
  <c r="H751" i="29"/>
  <c r="G742" i="29"/>
  <c r="H738" i="29"/>
  <c r="I725" i="29"/>
  <c r="I722" i="29"/>
  <c r="G709" i="29"/>
  <c r="H706" i="29"/>
  <c r="I702" i="29"/>
  <c r="I699" i="29"/>
  <c r="H660" i="29"/>
  <c r="G650" i="29"/>
  <c r="H646" i="29"/>
  <c r="G631" i="29"/>
  <c r="I1182" i="29"/>
  <c r="I1066" i="29"/>
  <c r="G983" i="29"/>
  <c r="H944" i="29"/>
  <c r="G930" i="29"/>
  <c r="H914" i="29"/>
  <c r="I909" i="29"/>
  <c r="I901" i="29"/>
  <c r="I898" i="29"/>
  <c r="I895" i="29"/>
  <c r="I892" i="29"/>
  <c r="G882" i="29"/>
  <c r="H879" i="29"/>
  <c r="I875" i="29"/>
  <c r="I872" i="29"/>
  <c r="I868" i="29"/>
  <c r="I865" i="29"/>
  <c r="G852" i="29"/>
  <c r="G849" i="29"/>
  <c r="G846" i="29"/>
  <c r="G842" i="29"/>
  <c r="H838" i="29"/>
  <c r="H835" i="29"/>
  <c r="I831" i="29"/>
  <c r="H796" i="29"/>
  <c r="H792" i="29"/>
  <c r="H788" i="29"/>
  <c r="H784" i="29"/>
  <c r="H779" i="29"/>
  <c r="G773" i="29"/>
  <c r="G770" i="29"/>
  <c r="H766" i="29"/>
  <c r="I763" i="29"/>
  <c r="G754" i="29"/>
  <c r="G751" i="29"/>
  <c r="I747" i="29"/>
  <c r="I744" i="29"/>
  <c r="G738" i="29"/>
  <c r="I734" i="29"/>
  <c r="I731" i="29"/>
  <c r="H725" i="29"/>
  <c r="H722" i="29"/>
  <c r="G706" i="29"/>
  <c r="H702" i="29"/>
  <c r="H699" i="29"/>
  <c r="I695" i="29"/>
  <c r="I692" i="29"/>
  <c r="I688" i="29"/>
  <c r="G660" i="29"/>
  <c r="I657" i="29"/>
  <c r="G646" i="29"/>
  <c r="I642" i="29"/>
  <c r="I637" i="29"/>
  <c r="I634" i="29"/>
  <c r="I1179" i="29"/>
  <c r="H1136" i="29"/>
  <c r="H1022" i="29"/>
  <c r="I979" i="29"/>
  <c r="H909" i="29"/>
  <c r="I905" i="29"/>
  <c r="H901" i="29"/>
  <c r="H898" i="29"/>
  <c r="H895" i="29"/>
  <c r="H892" i="29"/>
  <c r="I888" i="29"/>
  <c r="I885" i="29"/>
  <c r="G879" i="29"/>
  <c r="H875" i="29"/>
  <c r="H872" i="29"/>
  <c r="H868" i="29"/>
  <c r="H865" i="29"/>
  <c r="G838" i="29"/>
  <c r="G835" i="29"/>
  <c r="H831" i="29"/>
  <c r="I802" i="29"/>
  <c r="I799" i="29"/>
  <c r="G796" i="29"/>
  <c r="G792" i="29"/>
  <c r="G788" i="29"/>
  <c r="G784" i="29"/>
  <c r="G779" i="29"/>
  <c r="I776" i="29"/>
  <c r="G766" i="29"/>
  <c r="H763" i="29"/>
  <c r="I759" i="29"/>
  <c r="I756" i="29"/>
  <c r="H747" i="29"/>
  <c r="H744" i="29"/>
  <c r="I740" i="29"/>
  <c r="H734" i="29"/>
  <c r="H731" i="29"/>
  <c r="I727" i="29"/>
  <c r="G725" i="29"/>
  <c r="G722" i="29"/>
  <c r="I708" i="29"/>
  <c r="G702" i="29"/>
  <c r="G699" i="29"/>
  <c r="H695" i="29"/>
  <c r="H692" i="29"/>
  <c r="H688" i="29"/>
  <c r="H657" i="29"/>
  <c r="I653" i="29"/>
  <c r="I649" i="29"/>
  <c r="H642" i="29"/>
  <c r="H637" i="29"/>
  <c r="H634" i="29"/>
  <c r="G628" i="29"/>
  <c r="G624" i="29"/>
  <c r="G621" i="29"/>
  <c r="G612" i="29"/>
  <c r="H609" i="29"/>
  <c r="I605" i="29"/>
  <c r="I1176" i="29"/>
  <c r="I1133" i="29"/>
  <c r="G1102" i="29"/>
  <c r="G1059" i="29"/>
  <c r="H1018" i="29"/>
  <c r="H929" i="29"/>
  <c r="I918" i="29"/>
  <c r="I913" i="29"/>
  <c r="G909" i="29"/>
  <c r="H905" i="29"/>
  <c r="G898" i="29"/>
  <c r="G895" i="29"/>
  <c r="G892" i="29"/>
  <c r="H888" i="29"/>
  <c r="H885" i="29"/>
  <c r="I881" i="29"/>
  <c r="G875" i="29"/>
  <c r="G872" i="29"/>
  <c r="G868" i="29"/>
  <c r="G865" i="29"/>
  <c r="I851" i="29"/>
  <c r="I848" i="29"/>
  <c r="I844" i="29"/>
  <c r="I841" i="29"/>
  <c r="G831" i="29"/>
  <c r="H802" i="29"/>
  <c r="H799" i="29"/>
  <c r="H776" i="29"/>
  <c r="I772" i="29"/>
  <c r="I769" i="29"/>
  <c r="G763" i="29"/>
  <c r="H759" i="29"/>
  <c r="H756" i="29"/>
  <c r="I753" i="29"/>
  <c r="G747" i="29"/>
  <c r="G744" i="29"/>
  <c r="H740" i="29"/>
  <c r="G734" i="29"/>
  <c r="G731" i="29"/>
  <c r="H727" i="29"/>
  <c r="H708" i="29"/>
  <c r="I705" i="29"/>
  <c r="G695" i="29"/>
  <c r="G692" i="29"/>
  <c r="G688" i="29"/>
  <c r="I676" i="29"/>
  <c r="I662" i="29"/>
  <c r="I659" i="29"/>
  <c r="G657" i="29"/>
  <c r="H653" i="29"/>
  <c r="H649" i="29"/>
  <c r="H1226" i="29"/>
  <c r="I1130" i="29"/>
  <c r="G1055" i="29"/>
  <c r="I1015" i="29"/>
  <c r="I976" i="29"/>
  <c r="I941" i="29"/>
  <c r="H918" i="29"/>
  <c r="H913" i="29"/>
  <c r="I908" i="29"/>
  <c r="G905" i="29"/>
  <c r="I900" i="29"/>
  <c r="G888" i="29"/>
  <c r="G885" i="29"/>
  <c r="H881" i="29"/>
  <c r="I878" i="29"/>
  <c r="H851" i="29"/>
  <c r="H848" i="29"/>
  <c r="H844" i="29"/>
  <c r="H841" i="29"/>
  <c r="I837" i="29"/>
  <c r="G802" i="29"/>
  <c r="G799" i="29"/>
  <c r="I795" i="29"/>
  <c r="I791" i="29"/>
  <c r="I787" i="29"/>
  <c r="I783" i="29"/>
  <c r="G776" i="29"/>
  <c r="H772" i="29"/>
  <c r="H769" i="29"/>
  <c r="I765" i="29"/>
  <c r="G759" i="29"/>
  <c r="G756" i="29"/>
  <c r="H753" i="29"/>
  <c r="I750" i="29"/>
  <c r="G740" i="29"/>
  <c r="I737" i="29"/>
  <c r="G727" i="29"/>
  <c r="I724" i="29"/>
  <c r="G708" i="29"/>
  <c r="H705" i="29"/>
  <c r="I701" i="29"/>
  <c r="I698" i="29"/>
  <c r="H676" i="29"/>
  <c r="H662" i="29"/>
  <c r="H659" i="29"/>
  <c r="G653" i="29"/>
  <c r="G649" i="29"/>
  <c r="I645" i="29"/>
  <c r="H630" i="29"/>
  <c r="I627" i="29"/>
  <c r="I623" i="29"/>
  <c r="H617" i="29"/>
  <c r="H614" i="29"/>
  <c r="I611" i="29"/>
  <c r="G848" i="29"/>
  <c r="G769" i="29"/>
  <c r="I730" i="29"/>
  <c r="I630" i="29"/>
  <c r="H624" i="29"/>
  <c r="I614" i="29"/>
  <c r="I603" i="29"/>
  <c r="I600" i="29"/>
  <c r="G580" i="29"/>
  <c r="I566" i="29"/>
  <c r="G560" i="29"/>
  <c r="G557" i="29"/>
  <c r="G553" i="29"/>
  <c r="H550" i="29"/>
  <c r="G518" i="29"/>
  <c r="G515" i="29"/>
  <c r="G511" i="29"/>
  <c r="H507" i="29"/>
  <c r="H503" i="29"/>
  <c r="H499" i="29"/>
  <c r="H494" i="29"/>
  <c r="I491" i="29"/>
  <c r="G474" i="29"/>
  <c r="H471" i="29"/>
  <c r="I468" i="29"/>
  <c r="G459" i="29"/>
  <c r="H455" i="29"/>
  <c r="I452" i="29"/>
  <c r="G449" i="29"/>
  <c r="G446" i="29"/>
  <c r="H442" i="29"/>
  <c r="H439" i="29"/>
  <c r="G426" i="29"/>
  <c r="G423" i="29"/>
  <c r="G420" i="29"/>
  <c r="G416" i="29"/>
  <c r="I412" i="29"/>
  <c r="H377" i="29"/>
  <c r="H372" i="29"/>
  <c r="I368" i="29"/>
  <c r="I363" i="29"/>
  <c r="G352" i="29"/>
  <c r="G349" i="29"/>
  <c r="H345" i="29"/>
  <c r="I341" i="29"/>
  <c r="I338" i="29"/>
  <c r="G326" i="29"/>
  <c r="H323" i="29"/>
  <c r="H319" i="29"/>
  <c r="H316" i="29"/>
  <c r="H312" i="29"/>
  <c r="H308" i="29"/>
  <c r="H305" i="29"/>
  <c r="G844" i="29"/>
  <c r="H765" i="29"/>
  <c r="G630" i="29"/>
  <c r="G618" i="29"/>
  <c r="G614" i="29"/>
  <c r="I610" i="29"/>
  <c r="I607" i="29"/>
  <c r="H603" i="29"/>
  <c r="H600" i="29"/>
  <c r="I596" i="29"/>
  <c r="I592" i="29"/>
  <c r="I589" i="29"/>
  <c r="I585" i="29"/>
  <c r="I582" i="29"/>
  <c r="H566" i="29"/>
  <c r="I563" i="29"/>
  <c r="G550" i="29"/>
  <c r="I546" i="29"/>
  <c r="G507" i="29"/>
  <c r="G503" i="29"/>
  <c r="G499" i="29"/>
  <c r="G494" i="29"/>
  <c r="H491" i="29"/>
  <c r="I487" i="29"/>
  <c r="I483" i="29"/>
  <c r="I480" i="29"/>
  <c r="I476" i="29"/>
  <c r="G471" i="29"/>
  <c r="H468" i="29"/>
  <c r="I465" i="29"/>
  <c r="G455" i="29"/>
  <c r="H452" i="29"/>
  <c r="G442" i="29"/>
  <c r="G439" i="29"/>
  <c r="H412" i="29"/>
  <c r="I409" i="29"/>
  <c r="I405" i="29"/>
  <c r="G377" i="29"/>
  <c r="I374" i="29"/>
  <c r="G372" i="29"/>
  <c r="H368" i="29"/>
  <c r="H363" i="29"/>
  <c r="I360" i="29"/>
  <c r="I356" i="29"/>
  <c r="G345" i="29"/>
  <c r="H341" i="29"/>
  <c r="H338" i="29"/>
  <c r="I334" i="29"/>
  <c r="G841" i="29"/>
  <c r="I804" i="29"/>
  <c r="H724" i="29"/>
  <c r="I629" i="29"/>
  <c r="H623" i="29"/>
  <c r="H610" i="29"/>
  <c r="H607" i="29"/>
  <c r="G603" i="29"/>
  <c r="G600" i="29"/>
  <c r="H596" i="29"/>
  <c r="H592" i="29"/>
  <c r="H589" i="29"/>
  <c r="H585" i="29"/>
  <c r="H582" i="29"/>
  <c r="G566" i="29"/>
  <c r="H563" i="29"/>
  <c r="I559" i="29"/>
  <c r="I556" i="29"/>
  <c r="H546" i="29"/>
  <c r="I534" i="29"/>
  <c r="I520" i="29"/>
  <c r="I517" i="29"/>
  <c r="I514" i="29"/>
  <c r="I510" i="29"/>
  <c r="G491" i="29"/>
  <c r="H487" i="29"/>
  <c r="H483" i="29"/>
  <c r="H480" i="29"/>
  <c r="H476" i="29"/>
  <c r="G468" i="29"/>
  <c r="H465" i="29"/>
  <c r="I461" i="29"/>
  <c r="I458" i="29"/>
  <c r="G452" i="29"/>
  <c r="I448" i="29"/>
  <c r="I425" i="29"/>
  <c r="I422" i="29"/>
  <c r="I418" i="29"/>
  <c r="I415" i="29"/>
  <c r="G412" i="29"/>
  <c r="H409" i="29"/>
  <c r="H405" i="29"/>
  <c r="H374" i="29"/>
  <c r="G368" i="29"/>
  <c r="G363" i="29"/>
  <c r="H360" i="29"/>
  <c r="H356" i="29"/>
  <c r="I351" i="29"/>
  <c r="G341" i="29"/>
  <c r="G338" i="29"/>
  <c r="H334" i="29"/>
  <c r="H331" i="29"/>
  <c r="H328" i="29"/>
  <c r="H1051" i="29"/>
  <c r="G941" i="29"/>
  <c r="G881" i="29"/>
  <c r="H837" i="29"/>
  <c r="H645" i="29"/>
  <c r="H629" i="29"/>
  <c r="G623" i="29"/>
  <c r="I617" i="29"/>
  <c r="I613" i="29"/>
  <c r="G610" i="29"/>
  <c r="G607" i="29"/>
  <c r="G596" i="29"/>
  <c r="G592" i="29"/>
  <c r="G589" i="29"/>
  <c r="G585" i="29"/>
  <c r="G582" i="29"/>
  <c r="G563" i="29"/>
  <c r="H559" i="29"/>
  <c r="H556" i="29"/>
  <c r="I552" i="29"/>
  <c r="G546" i="29"/>
  <c r="H534" i="29"/>
  <c r="H520" i="29"/>
  <c r="H517" i="29"/>
  <c r="H514" i="29"/>
  <c r="H510" i="29"/>
  <c r="I505" i="29"/>
  <c r="I502" i="29"/>
  <c r="I498" i="29"/>
  <c r="G487" i="29"/>
  <c r="G483" i="29"/>
  <c r="G480" i="29"/>
  <c r="G476" i="29"/>
  <c r="I473" i="29"/>
  <c r="I470" i="29"/>
  <c r="G465" i="29"/>
  <c r="H461" i="29"/>
  <c r="H458" i="29"/>
  <c r="I454" i="29"/>
  <c r="H448" i="29"/>
  <c r="I444" i="29"/>
  <c r="I441" i="29"/>
  <c r="I438" i="29"/>
  <c r="H425" i="29"/>
  <c r="H422" i="29"/>
  <c r="H418" i="29"/>
  <c r="H415" i="29"/>
  <c r="G409" i="29"/>
  <c r="G405" i="29"/>
  <c r="G374" i="29"/>
  <c r="G360" i="29"/>
  <c r="G356" i="29"/>
  <c r="H351" i="29"/>
  <c r="I347" i="29"/>
  <c r="I344" i="29"/>
  <c r="G334" i="29"/>
  <c r="G331" i="29"/>
  <c r="G1218" i="29"/>
  <c r="G926" i="29"/>
  <c r="H878" i="29"/>
  <c r="I834" i="29"/>
  <c r="G642" i="29"/>
  <c r="I628" i="29"/>
  <c r="I622" i="29"/>
  <c r="G617" i="29"/>
  <c r="H613" i="29"/>
  <c r="I602" i="29"/>
  <c r="I598" i="29"/>
  <c r="I568" i="29"/>
  <c r="G559" i="29"/>
  <c r="G556" i="29"/>
  <c r="H552" i="29"/>
  <c r="I549" i="29"/>
  <c r="G534" i="29"/>
  <c r="G520" i="29"/>
  <c r="G517" i="29"/>
  <c r="G514" i="29"/>
  <c r="G510" i="29"/>
  <c r="H505" i="29"/>
  <c r="H502" i="29"/>
  <c r="H498" i="29"/>
  <c r="I493" i="29"/>
  <c r="I489" i="29"/>
  <c r="H473" i="29"/>
  <c r="H470" i="29"/>
  <c r="I467" i="29"/>
  <c r="G461" i="29"/>
  <c r="G458" i="29"/>
  <c r="H454" i="29"/>
  <c r="G448" i="29"/>
  <c r="H444" i="29"/>
  <c r="H441" i="29"/>
  <c r="H438" i="29"/>
  <c r="G425" i="29"/>
  <c r="G422" i="29"/>
  <c r="G418" i="29"/>
  <c r="G415" i="29"/>
  <c r="I376" i="29"/>
  <c r="I370" i="29"/>
  <c r="I366" i="29"/>
  <c r="I362" i="29"/>
  <c r="G351" i="29"/>
  <c r="H347" i="29"/>
  <c r="H344" i="29"/>
  <c r="I340" i="29"/>
  <c r="I337" i="29"/>
  <c r="H325" i="29"/>
  <c r="H321" i="29"/>
  <c r="I874" i="29"/>
  <c r="I830" i="29"/>
  <c r="H795" i="29"/>
  <c r="G753" i="29"/>
  <c r="G676" i="29"/>
  <c r="I641" i="29"/>
  <c r="H628" i="29"/>
  <c r="H622" i="29"/>
  <c r="G613" i="29"/>
  <c r="I609" i="29"/>
  <c r="H605" i="29"/>
  <c r="H602" i="29"/>
  <c r="H598" i="29"/>
  <c r="I595" i="29"/>
  <c r="I591" i="29"/>
  <c r="I588" i="29"/>
  <c r="I584" i="29"/>
  <c r="H568" i="29"/>
  <c r="I565" i="29"/>
  <c r="I562" i="29"/>
  <c r="G552" i="29"/>
  <c r="H549" i="29"/>
  <c r="I545" i="29"/>
  <c r="G505" i="29"/>
  <c r="G502" i="29"/>
  <c r="G498" i="29"/>
  <c r="H493" i="29"/>
  <c r="H489" i="29"/>
  <c r="I486" i="29"/>
  <c r="I482" i="29"/>
  <c r="I479" i="29"/>
  <c r="G473" i="29"/>
  <c r="G470" i="29"/>
  <c r="H467" i="29"/>
  <c r="I463" i="29"/>
  <c r="G454" i="29"/>
  <c r="I450" i="29"/>
  <c r="G444" i="29"/>
  <c r="G441" i="29"/>
  <c r="G438" i="29"/>
  <c r="I411" i="29"/>
  <c r="I408" i="29"/>
  <c r="I404" i="29"/>
  <c r="H376" i="29"/>
  <c r="H370" i="29"/>
  <c r="H366" i="29"/>
  <c r="H362" i="29"/>
  <c r="I358" i="29"/>
  <c r="G347" i="29"/>
  <c r="G344" i="29"/>
  <c r="H340" i="29"/>
  <c r="H337" i="29"/>
  <c r="I333" i="29"/>
  <c r="I330" i="29"/>
  <c r="I327" i="29"/>
  <c r="G325" i="29"/>
  <c r="G321" i="29"/>
  <c r="G318" i="29"/>
  <c r="G314" i="29"/>
  <c r="G311" i="29"/>
  <c r="G307" i="29"/>
  <c r="G304" i="29"/>
  <c r="G298" i="29"/>
  <c r="I284" i="29"/>
  <c r="I281" i="29"/>
  <c r="I278" i="29"/>
  <c r="I274" i="29"/>
  <c r="I270" i="29"/>
  <c r="I267" i="29"/>
  <c r="G913" i="29"/>
  <c r="I870" i="29"/>
  <c r="H791" i="29"/>
  <c r="H750" i="29"/>
  <c r="G705" i="29"/>
  <c r="G637" i="29"/>
  <c r="I621" i="29"/>
  <c r="I616" i="29"/>
  <c r="G609" i="29"/>
  <c r="G605" i="29"/>
  <c r="G602" i="29"/>
  <c r="G598" i="29"/>
  <c r="H595" i="29"/>
  <c r="H591" i="29"/>
  <c r="H588" i="29"/>
  <c r="H584" i="29"/>
  <c r="I581" i="29"/>
  <c r="G568" i="29"/>
  <c r="H565" i="29"/>
  <c r="H562" i="29"/>
  <c r="I558" i="29"/>
  <c r="I554" i="29"/>
  <c r="G549" i="29"/>
  <c r="H545" i="29"/>
  <c r="I519" i="29"/>
  <c r="I516" i="29"/>
  <c r="I512" i="29"/>
  <c r="G493" i="29"/>
  <c r="G489" i="29"/>
  <c r="H486" i="29"/>
  <c r="H482" i="29"/>
  <c r="H479" i="29"/>
  <c r="I475" i="29"/>
  <c r="G467" i="29"/>
  <c r="H463" i="29"/>
  <c r="I460" i="29"/>
  <c r="H450" i="29"/>
  <c r="I447" i="29"/>
  <c r="I424" i="29"/>
  <c r="I421" i="29"/>
  <c r="I417" i="29"/>
  <c r="H411" i="29"/>
  <c r="H408" i="29"/>
  <c r="H404" i="29"/>
  <c r="G376" i="29"/>
  <c r="I373" i="29"/>
  <c r="G370" i="29"/>
  <c r="G366" i="29"/>
  <c r="G362" i="29"/>
  <c r="H358" i="29"/>
  <c r="I353" i="29"/>
  <c r="I350" i="29"/>
  <c r="G340" i="29"/>
  <c r="G337" i="29"/>
  <c r="H333" i="29"/>
  <c r="H330" i="29"/>
  <c r="H327" i="29"/>
  <c r="H908" i="29"/>
  <c r="I867" i="29"/>
  <c r="H787" i="29"/>
  <c r="I746" i="29"/>
  <c r="H701" i="29"/>
  <c r="I636" i="29"/>
  <c r="H627" i="29"/>
  <c r="H621" i="29"/>
  <c r="H616" i="29"/>
  <c r="I612" i="29"/>
  <c r="G595" i="29"/>
  <c r="G591" i="29"/>
  <c r="G588" i="29"/>
  <c r="G584" i="29"/>
  <c r="H581" i="29"/>
  <c r="G565" i="29"/>
  <c r="G562" i="29"/>
  <c r="H558" i="29"/>
  <c r="H554" i="29"/>
  <c r="I551" i="29"/>
  <c r="G545" i="29"/>
  <c r="H519" i="29"/>
  <c r="H516" i="29"/>
  <c r="H512" i="29"/>
  <c r="I508" i="29"/>
  <c r="I504" i="29"/>
  <c r="I500" i="29"/>
  <c r="I495" i="29"/>
  <c r="G486" i="29"/>
  <c r="G482" i="29"/>
  <c r="G479" i="29"/>
  <c r="H475" i="29"/>
  <c r="I472" i="29"/>
  <c r="G463" i="29"/>
  <c r="H460" i="29"/>
  <c r="I456" i="29"/>
  <c r="G450" i="29"/>
  <c r="H447" i="29"/>
  <c r="I443" i="29"/>
  <c r="I440" i="29"/>
  <c r="H424" i="29"/>
  <c r="H421" i="29"/>
  <c r="H417" i="29"/>
  <c r="I414" i="29"/>
  <c r="G411" i="29"/>
  <c r="G408" i="29"/>
  <c r="G404" i="29"/>
  <c r="I392" i="29"/>
  <c r="I378" i="29"/>
  <c r="H373" i="29"/>
  <c r="G358" i="29"/>
  <c r="H353" i="29"/>
  <c r="H350" i="29"/>
  <c r="I346" i="29"/>
  <c r="I343" i="29"/>
  <c r="G333" i="29"/>
  <c r="G330" i="29"/>
  <c r="G327" i="29"/>
  <c r="I324" i="29"/>
  <c r="I320" i="29"/>
  <c r="I1126" i="29"/>
  <c r="I903" i="29"/>
  <c r="I864" i="29"/>
  <c r="H783" i="29"/>
  <c r="I743" i="29"/>
  <c r="H698" i="29"/>
  <c r="G634" i="29"/>
  <c r="G627" i="29"/>
  <c r="G616" i="29"/>
  <c r="H612" i="29"/>
  <c r="I608" i="29"/>
  <c r="I604" i="29"/>
  <c r="I601" i="29"/>
  <c r="I597" i="29"/>
  <c r="G581" i="29"/>
  <c r="I567" i="29"/>
  <c r="G558" i="29"/>
  <c r="G554" i="29"/>
  <c r="H551" i="29"/>
  <c r="G519" i="29"/>
  <c r="G516" i="29"/>
  <c r="G512" i="29"/>
  <c r="H508" i="29"/>
  <c r="H504" i="29"/>
  <c r="H500" i="29"/>
  <c r="H495" i="29"/>
  <c r="I492" i="29"/>
  <c r="I488" i="29"/>
  <c r="G475" i="29"/>
  <c r="H472" i="29"/>
  <c r="I469" i="29"/>
  <c r="I466" i="29"/>
  <c r="G460" i="29"/>
  <c r="H456" i="29"/>
  <c r="I453" i="29"/>
  <c r="G447" i="29"/>
  <c r="H443" i="29"/>
  <c r="H440" i="29"/>
  <c r="G424" i="29"/>
  <c r="G421" i="29"/>
  <c r="G417" i="29"/>
  <c r="H414" i="29"/>
  <c r="H392" i="29"/>
  <c r="H378" i="29"/>
  <c r="I375" i="29"/>
  <c r="G373" i="29"/>
  <c r="I369" i="29"/>
  <c r="I365" i="29"/>
  <c r="H900" i="29"/>
  <c r="I778" i="29"/>
  <c r="I694" i="29"/>
  <c r="G662" i="29"/>
  <c r="I633" i="29"/>
  <c r="I625" i="29"/>
  <c r="I619" i="29"/>
  <c r="H608" i="29"/>
  <c r="H604" i="29"/>
  <c r="H601" i="29"/>
  <c r="H597" i="29"/>
  <c r="I594" i="29"/>
  <c r="I590" i="29"/>
  <c r="I586" i="29"/>
  <c r="I583" i="29"/>
  <c r="H567" i="29"/>
  <c r="I564" i="29"/>
  <c r="G551" i="29"/>
  <c r="I547" i="29"/>
  <c r="G508" i="29"/>
  <c r="G504" i="29"/>
  <c r="G500" i="29"/>
  <c r="G495" i="29"/>
  <c r="H492" i="29"/>
  <c r="H488" i="29"/>
  <c r="I485" i="29"/>
  <c r="I481" i="29"/>
  <c r="I477" i="29"/>
  <c r="G472" i="29"/>
  <c r="H469" i="29"/>
  <c r="H466" i="29"/>
  <c r="I462" i="29"/>
  <c r="G456" i="29"/>
  <c r="H453" i="29"/>
  <c r="G443" i="29"/>
  <c r="G440" i="29"/>
  <c r="G414" i="29"/>
  <c r="I410" i="29"/>
  <c r="I407" i="29"/>
  <c r="I403" i="29"/>
  <c r="G392" i="29"/>
  <c r="G378" i="29"/>
  <c r="H375" i="29"/>
  <c r="H369" i="29"/>
  <c r="H365" i="29"/>
  <c r="I361" i="29"/>
  <c r="I357" i="29"/>
  <c r="G346" i="29"/>
  <c r="G343" i="29"/>
  <c r="H339" i="29"/>
  <c r="I335" i="29"/>
  <c r="I332" i="29"/>
  <c r="I329" i="29"/>
  <c r="G324" i="29"/>
  <c r="G320" i="29"/>
  <c r="G317" i="29"/>
  <c r="G313" i="29"/>
  <c r="G310" i="29"/>
  <c r="I897" i="29"/>
  <c r="H737" i="29"/>
  <c r="I691" i="29"/>
  <c r="G659" i="29"/>
  <c r="H625" i="29"/>
  <c r="H619" i="29"/>
  <c r="H615" i="29"/>
  <c r="H611" i="29"/>
  <c r="G608" i="29"/>
  <c r="G604" i="29"/>
  <c r="G601" i="29"/>
  <c r="G597" i="29"/>
  <c r="H594" i="29"/>
  <c r="H590" i="29"/>
  <c r="H586" i="29"/>
  <c r="G567" i="29"/>
  <c r="H547" i="29"/>
  <c r="H481" i="29"/>
  <c r="H462" i="29"/>
  <c r="I416" i="29"/>
  <c r="G375" i="29"/>
  <c r="G353" i="29"/>
  <c r="I339" i="29"/>
  <c r="G329" i="29"/>
  <c r="I321" i="29"/>
  <c r="I310" i="29"/>
  <c r="I301" i="29"/>
  <c r="H278" i="29"/>
  <c r="G274" i="29"/>
  <c r="I266" i="29"/>
  <c r="I262" i="29"/>
  <c r="I234" i="29"/>
  <c r="I231" i="29"/>
  <c r="I227" i="29"/>
  <c r="I223" i="29"/>
  <c r="I219" i="29"/>
  <c r="G204" i="29"/>
  <c r="G201" i="29"/>
  <c r="G197" i="29"/>
  <c r="G193" i="29"/>
  <c r="G190" i="29"/>
  <c r="G187" i="29"/>
  <c r="G184" i="29"/>
  <c r="G181" i="29"/>
  <c r="G177" i="29"/>
  <c r="G174" i="29"/>
  <c r="G170" i="29"/>
  <c r="G166" i="29"/>
  <c r="H163" i="29"/>
  <c r="H159" i="29"/>
  <c r="H156" i="29"/>
  <c r="I210" i="29"/>
  <c r="I207" i="29"/>
  <c r="G547" i="29"/>
  <c r="I503" i="29"/>
  <c r="G481" i="29"/>
  <c r="G462" i="29"/>
  <c r="I442" i="29"/>
  <c r="H416" i="29"/>
  <c r="I352" i="29"/>
  <c r="G339" i="29"/>
  <c r="I328" i="29"/>
  <c r="H320" i="29"/>
  <c r="I314" i="29"/>
  <c r="H310" i="29"/>
  <c r="I305" i="29"/>
  <c r="H301" i="29"/>
  <c r="I298" i="29"/>
  <c r="H281" i="29"/>
  <c r="G278" i="29"/>
  <c r="I269" i="29"/>
  <c r="H266" i="29"/>
  <c r="H262" i="29"/>
  <c r="H234" i="29"/>
  <c r="H231" i="29"/>
  <c r="H227" i="29"/>
  <c r="H223" i="29"/>
  <c r="H219" i="29"/>
  <c r="I215" i="29"/>
  <c r="G159" i="29"/>
  <c r="H564" i="29"/>
  <c r="H477" i="29"/>
  <c r="I459" i="29"/>
  <c r="H352" i="29"/>
  <c r="G328" i="29"/>
  <c r="H314" i="29"/>
  <c r="G305" i="29"/>
  <c r="G301" i="29"/>
  <c r="H298" i="29"/>
  <c r="H284" i="29"/>
  <c r="G281" i="29"/>
  <c r="I273" i="29"/>
  <c r="H269" i="29"/>
  <c r="G266" i="29"/>
  <c r="G262" i="29"/>
  <c r="G234" i="29"/>
  <c r="G231" i="29"/>
  <c r="G227" i="29"/>
  <c r="G223" i="29"/>
  <c r="G219" i="29"/>
  <c r="H215" i="29"/>
  <c r="H210" i="29"/>
  <c r="H207" i="29"/>
  <c r="I203" i="29"/>
  <c r="I199" i="29"/>
  <c r="I196" i="29"/>
  <c r="I192" i="29"/>
  <c r="I189" i="29"/>
  <c r="I186" i="29"/>
  <c r="I183" i="29"/>
  <c r="I179" i="29"/>
  <c r="I176" i="29"/>
  <c r="I172" i="29"/>
  <c r="I169" i="29"/>
  <c r="I165" i="29"/>
  <c r="I158" i="29"/>
  <c r="H261" i="29"/>
  <c r="H236" i="29"/>
  <c r="H230" i="29"/>
  <c r="H221" i="29"/>
  <c r="I209" i="29"/>
  <c r="G594" i="29"/>
  <c r="G564" i="29"/>
  <c r="I499" i="29"/>
  <c r="G477" i="29"/>
  <c r="H459" i="29"/>
  <c r="I439" i="29"/>
  <c r="I372" i="29"/>
  <c r="G350" i="29"/>
  <c r="I319" i="29"/>
  <c r="I313" i="29"/>
  <c r="I308" i="29"/>
  <c r="G284" i="29"/>
  <c r="I276" i="29"/>
  <c r="H273" i="29"/>
  <c r="G269" i="29"/>
  <c r="G215" i="29"/>
  <c r="G210" i="29"/>
  <c r="G207" i="29"/>
  <c r="H203" i="29"/>
  <c r="H199" i="29"/>
  <c r="H196" i="29"/>
  <c r="H192" i="29"/>
  <c r="H189" i="29"/>
  <c r="H186" i="29"/>
  <c r="H183" i="29"/>
  <c r="H179" i="29"/>
  <c r="H176" i="29"/>
  <c r="H172" i="29"/>
  <c r="H169" i="29"/>
  <c r="H165" i="29"/>
  <c r="I162" i="29"/>
  <c r="I155" i="29"/>
  <c r="H218" i="29"/>
  <c r="I205" i="29"/>
  <c r="G155" i="29"/>
  <c r="G590" i="29"/>
  <c r="I560" i="29"/>
  <c r="I518" i="29"/>
  <c r="I474" i="29"/>
  <c r="H410" i="29"/>
  <c r="G369" i="29"/>
  <c r="I349" i="29"/>
  <c r="H335" i="29"/>
  <c r="I326" i="29"/>
  <c r="G319" i="29"/>
  <c r="H313" i="29"/>
  <c r="G308" i="29"/>
  <c r="I304" i="29"/>
  <c r="I300" i="29"/>
  <c r="I297" i="29"/>
  <c r="I280" i="29"/>
  <c r="H276" i="29"/>
  <c r="G273" i="29"/>
  <c r="I265" i="29"/>
  <c r="I261" i="29"/>
  <c r="I236" i="29"/>
  <c r="I233" i="29"/>
  <c r="I230" i="29"/>
  <c r="I226" i="29"/>
  <c r="I221" i="29"/>
  <c r="I218" i="29"/>
  <c r="G203" i="29"/>
  <c r="G199" i="29"/>
  <c r="G196" i="29"/>
  <c r="G192" i="29"/>
  <c r="G189" i="29"/>
  <c r="G186" i="29"/>
  <c r="G183" i="29"/>
  <c r="G179" i="29"/>
  <c r="G176" i="29"/>
  <c r="G172" i="29"/>
  <c r="G169" i="29"/>
  <c r="G165" i="29"/>
  <c r="H162" i="29"/>
  <c r="H158" i="29"/>
  <c r="H155" i="29"/>
  <c r="I268" i="29"/>
  <c r="H265" i="29"/>
  <c r="H233" i="29"/>
  <c r="H226" i="29"/>
  <c r="I214" i="29"/>
  <c r="I656" i="29"/>
  <c r="G586" i="29"/>
  <c r="H560" i="29"/>
  <c r="H518" i="29"/>
  <c r="I494" i="29"/>
  <c r="H474" i="29"/>
  <c r="I455" i="29"/>
  <c r="G410" i="29"/>
  <c r="H349" i="29"/>
  <c r="G335" i="29"/>
  <c r="H326" i="29"/>
  <c r="I318" i="29"/>
  <c r="H304" i="29"/>
  <c r="H300" i="29"/>
  <c r="H297" i="29"/>
  <c r="I283" i="29"/>
  <c r="H280" i="29"/>
  <c r="G276" i="29"/>
  <c r="G772" i="29"/>
  <c r="H583" i="29"/>
  <c r="I557" i="29"/>
  <c r="I515" i="29"/>
  <c r="G492" i="29"/>
  <c r="G453" i="29"/>
  <c r="I426" i="29"/>
  <c r="H407" i="29"/>
  <c r="G365" i="29"/>
  <c r="H346" i="29"/>
  <c r="H318" i="29"/>
  <c r="I312" i="29"/>
  <c r="I307" i="29"/>
  <c r="G300" i="29"/>
  <c r="G297" i="29"/>
  <c r="H283" i="29"/>
  <c r="G280" i="29"/>
  <c r="I272" i="29"/>
  <c r="H268" i="29"/>
  <c r="G265" i="29"/>
  <c r="G261" i="29"/>
  <c r="G236" i="29"/>
  <c r="G233" i="29"/>
  <c r="G230" i="29"/>
  <c r="G226" i="29"/>
  <c r="G221" i="29"/>
  <c r="G218" i="29"/>
  <c r="H214" i="29"/>
  <c r="H209" i="29"/>
  <c r="H205" i="29"/>
  <c r="I202" i="29"/>
  <c r="I198" i="29"/>
  <c r="I195" i="29"/>
  <c r="I191" i="29"/>
  <c r="I188" i="29"/>
  <c r="I185" i="29"/>
  <c r="I182" i="29"/>
  <c r="I178" i="29"/>
  <c r="I175" i="29"/>
  <c r="I171" i="29"/>
  <c r="I168" i="29"/>
  <c r="H178" i="29"/>
  <c r="H171" i="29"/>
  <c r="H168" i="29"/>
  <c r="I160" i="29"/>
  <c r="I154" i="29"/>
  <c r="I156" i="29"/>
  <c r="G162" i="29"/>
  <c r="I894" i="29"/>
  <c r="I733" i="29"/>
  <c r="I624" i="29"/>
  <c r="G583" i="29"/>
  <c r="H557" i="29"/>
  <c r="H515" i="29"/>
  <c r="I471" i="29"/>
  <c r="H426" i="29"/>
  <c r="G407" i="29"/>
  <c r="H332" i="29"/>
  <c r="I325" i="29"/>
  <c r="I317" i="29"/>
  <c r="G312" i="29"/>
  <c r="H307" i="29"/>
  <c r="G283" i="29"/>
  <c r="I275" i="29"/>
  <c r="H272" i="29"/>
  <c r="G268" i="29"/>
  <c r="G214" i="29"/>
  <c r="G209" i="29"/>
  <c r="G205" i="29"/>
  <c r="H202" i="29"/>
  <c r="H198" i="29"/>
  <c r="H195" i="29"/>
  <c r="H191" i="29"/>
  <c r="H188" i="29"/>
  <c r="H185" i="29"/>
  <c r="H182" i="29"/>
  <c r="H175" i="29"/>
  <c r="I164" i="29"/>
  <c r="I157" i="29"/>
  <c r="G208" i="29"/>
  <c r="H193" i="29"/>
  <c r="H177" i="29"/>
  <c r="H166" i="29"/>
  <c r="I580" i="29"/>
  <c r="I553" i="29"/>
  <c r="I511" i="29"/>
  <c r="G488" i="29"/>
  <c r="G469" i="29"/>
  <c r="I449" i="29"/>
  <c r="I423" i="29"/>
  <c r="H403" i="29"/>
  <c r="H361" i="29"/>
  <c r="I345" i="29"/>
  <c r="G332" i="29"/>
  <c r="H324" i="29"/>
  <c r="H317" i="29"/>
  <c r="I302" i="29"/>
  <c r="I296" i="29"/>
  <c r="I279" i="29"/>
  <c r="H275" i="29"/>
  <c r="G272" i="29"/>
  <c r="I263" i="29"/>
  <c r="I250" i="29"/>
  <c r="I235" i="29"/>
  <c r="I232" i="29"/>
  <c r="I228" i="29"/>
  <c r="I224" i="29"/>
  <c r="I220" i="29"/>
  <c r="I216" i="29"/>
  <c r="G202" i="29"/>
  <c r="G198" i="29"/>
  <c r="G195" i="29"/>
  <c r="G191" i="29"/>
  <c r="G188" i="29"/>
  <c r="G185" i="29"/>
  <c r="G182" i="29"/>
  <c r="G178" i="29"/>
  <c r="G175" i="29"/>
  <c r="G171" i="29"/>
  <c r="G168" i="29"/>
  <c r="H164" i="29"/>
  <c r="H160" i="29"/>
  <c r="H157" i="29"/>
  <c r="H154" i="29"/>
  <c r="H181" i="29"/>
  <c r="I163" i="29"/>
  <c r="G615" i="29"/>
  <c r="H580" i="29"/>
  <c r="H553" i="29"/>
  <c r="H511" i="29"/>
  <c r="H449" i="29"/>
  <c r="H423" i="29"/>
  <c r="G403" i="29"/>
  <c r="G361" i="29"/>
  <c r="H343" i="29"/>
  <c r="I331" i="29"/>
  <c r="I311" i="29"/>
  <c r="I306" i="29"/>
  <c r="H302" i="29"/>
  <c r="I299" i="29"/>
  <c r="H296" i="29"/>
  <c r="I282" i="29"/>
  <c r="H279" i="29"/>
  <c r="G275" i="29"/>
  <c r="H267" i="29"/>
  <c r="H263" i="29"/>
  <c r="H250" i="29"/>
  <c r="H235" i="29"/>
  <c r="H232" i="29"/>
  <c r="H228" i="29"/>
  <c r="H224" i="29"/>
  <c r="H220" i="29"/>
  <c r="H216" i="29"/>
  <c r="I211" i="29"/>
  <c r="I208" i="29"/>
  <c r="G164" i="29"/>
  <c r="G160" i="29"/>
  <c r="G157" i="29"/>
  <c r="G154" i="29"/>
  <c r="H201" i="29"/>
  <c r="H190" i="29"/>
  <c r="H174" i="29"/>
  <c r="I159" i="29"/>
  <c r="G156" i="29"/>
  <c r="G851" i="29"/>
  <c r="I687" i="29"/>
  <c r="G611" i="29"/>
  <c r="H485" i="29"/>
  <c r="G466" i="29"/>
  <c r="I446" i="29"/>
  <c r="I420" i="29"/>
  <c r="H357" i="29"/>
  <c r="I323" i="29"/>
  <c r="I316" i="29"/>
  <c r="H311" i="29"/>
  <c r="H306" i="29"/>
  <c r="G302" i="29"/>
  <c r="H299" i="29"/>
  <c r="G296" i="29"/>
  <c r="H282" i="29"/>
  <c r="G279" i="29"/>
  <c r="H270" i="29"/>
  <c r="G267" i="29"/>
  <c r="G263" i="29"/>
  <c r="G250" i="29"/>
  <c r="G235" i="29"/>
  <c r="G232" i="29"/>
  <c r="G228" i="29"/>
  <c r="G224" i="29"/>
  <c r="G220" i="29"/>
  <c r="G216" i="29"/>
  <c r="H211" i="29"/>
  <c r="H208" i="29"/>
  <c r="I204" i="29"/>
  <c r="I201" i="29"/>
  <c r="I197" i="29"/>
  <c r="I193" i="29"/>
  <c r="I190" i="29"/>
  <c r="I187" i="29"/>
  <c r="I184" i="29"/>
  <c r="I181" i="29"/>
  <c r="I177" i="29"/>
  <c r="I174" i="29"/>
  <c r="I170" i="29"/>
  <c r="I166" i="29"/>
  <c r="G211" i="29"/>
  <c r="H197" i="29"/>
  <c r="H184" i="29"/>
  <c r="G158" i="29"/>
  <c r="I550" i="29"/>
  <c r="I507" i="29"/>
  <c r="G485" i="29"/>
  <c r="H446" i="29"/>
  <c r="H420" i="29"/>
  <c r="I377" i="29"/>
  <c r="G357" i="29"/>
  <c r="H329" i="29"/>
  <c r="G323" i="29"/>
  <c r="G316" i="29"/>
  <c r="G306" i="29"/>
  <c r="G299" i="29"/>
  <c r="G282" i="29"/>
  <c r="H274" i="29"/>
  <c r="G270" i="29"/>
  <c r="H204" i="29"/>
  <c r="H187" i="29"/>
  <c r="H170" i="29"/>
  <c r="G163" i="29"/>
  <c r="AF682" i="208"/>
  <c r="AE682" i="208"/>
  <c r="AF1114" i="208"/>
  <c r="AE1114" i="208"/>
  <c r="F1834" i="208"/>
  <c r="T1834" i="208" s="1"/>
  <c r="AB1834" i="208"/>
  <c r="AA1834" i="208"/>
  <c r="AF1834" i="208"/>
  <c r="AE1834" i="208"/>
  <c r="F2554" i="208"/>
  <c r="T2554" i="208" s="1"/>
  <c r="AB2554" i="208"/>
  <c r="AA2554" i="208"/>
  <c r="AF2554" i="208"/>
  <c r="AE2554" i="208"/>
  <c r="AB881" i="208"/>
  <c r="AA881" i="208"/>
  <c r="AF881" i="208"/>
  <c r="AE881" i="208"/>
  <c r="AB1889" i="208"/>
  <c r="AA1889" i="208"/>
  <c r="AF1889" i="208"/>
  <c r="AE1889" i="208"/>
  <c r="V2609" i="208"/>
  <c r="AB2609" i="208"/>
  <c r="AA2609" i="208"/>
  <c r="AF2609" i="208"/>
  <c r="AE2609" i="208"/>
  <c r="AE1404" i="208"/>
  <c r="AB1404" i="208"/>
  <c r="AA1404" i="208"/>
  <c r="AF2268" i="208"/>
  <c r="AE2268" i="208"/>
  <c r="V2268" i="208"/>
  <c r="AB2268" i="208"/>
  <c r="AA2268" i="208"/>
  <c r="V2844" i="208"/>
  <c r="AB2844" i="208"/>
  <c r="AA2844" i="208"/>
  <c r="AF2844" i="208"/>
  <c r="AE2844" i="208"/>
  <c r="AF499" i="208"/>
  <c r="AE499" i="208"/>
  <c r="AF1363" i="208"/>
  <c r="AE1363" i="208"/>
  <c r="AF2227" i="208"/>
  <c r="AE2227" i="208"/>
  <c r="F2227" i="208"/>
  <c r="T2227" i="208" s="1"/>
  <c r="F2803" i="208"/>
  <c r="T2803" i="208" s="1"/>
  <c r="AB2803" i="208"/>
  <c r="AA2803" i="208"/>
  <c r="AF2803" i="208"/>
  <c r="AA614" i="208"/>
  <c r="AF614" i="208"/>
  <c r="AE1478" i="208"/>
  <c r="AB1478" i="208"/>
  <c r="AF2198" i="208"/>
  <c r="AE2198" i="208"/>
  <c r="AA2198" i="208"/>
  <c r="AF933" i="208"/>
  <c r="AE933" i="208"/>
  <c r="F933" i="208"/>
  <c r="T933" i="208" s="1"/>
  <c r="AA933" i="208"/>
  <c r="AB1797" i="208"/>
  <c r="AA1797" i="208"/>
  <c r="AF1797" i="208"/>
  <c r="AE1797" i="208"/>
  <c r="AF2805" i="208"/>
  <c r="AE2805" i="208"/>
  <c r="V2805" i="208"/>
  <c r="AB2805" i="208"/>
  <c r="AA2805" i="208"/>
  <c r="F1504" i="208"/>
  <c r="T1504" i="208" s="1"/>
  <c r="AB1504" i="208"/>
  <c r="AA1504" i="208"/>
  <c r="AF1504" i="208"/>
  <c r="AE1504" i="208"/>
  <c r="F2224" i="208"/>
  <c r="T2224" i="208" s="1"/>
  <c r="AB2224" i="208"/>
  <c r="AA2224" i="208"/>
  <c r="AF2224" i="208"/>
  <c r="AE2224" i="208"/>
  <c r="AF1179" i="208"/>
  <c r="AE1179" i="208"/>
  <c r="AB1179" i="208"/>
  <c r="AB971" i="208"/>
  <c r="AF971" i="208"/>
  <c r="AA971" i="208"/>
  <c r="AE971" i="208"/>
  <c r="AA1835" i="208"/>
  <c r="AF1835" i="208"/>
  <c r="V2555" i="208"/>
  <c r="AB2555" i="208"/>
  <c r="AA2555" i="208"/>
  <c r="AF2555" i="208"/>
  <c r="AE2555" i="208"/>
  <c r="AF510" i="208"/>
  <c r="AE510" i="208"/>
  <c r="AB1230" i="208"/>
  <c r="AA1230" i="208"/>
  <c r="AE1230" i="208"/>
  <c r="AF1230" i="208"/>
  <c r="AF1950" i="208"/>
  <c r="AE1950" i="208"/>
  <c r="AB1950" i="208"/>
  <c r="AA1950" i="208"/>
  <c r="V2670" i="208"/>
  <c r="AB2670" i="208"/>
  <c r="AA2670" i="208"/>
  <c r="AF2670" i="208"/>
  <c r="AF541" i="208"/>
  <c r="AE541" i="208"/>
  <c r="AF973" i="208"/>
  <c r="AE973" i="208"/>
  <c r="AF1693" i="208"/>
  <c r="AE1693" i="208"/>
  <c r="F1693" i="208"/>
  <c r="T1693" i="208" s="1"/>
  <c r="AB1693" i="208"/>
  <c r="AA1693" i="208"/>
  <c r="F2413" i="208"/>
  <c r="T2413" i="208" s="1"/>
  <c r="AB2413" i="208"/>
  <c r="AA2413" i="208"/>
  <c r="AF2413" i="208"/>
  <c r="AE2413" i="208"/>
  <c r="AF2989" i="208"/>
  <c r="F2989" i="208"/>
  <c r="T2989" i="208" s="1"/>
  <c r="AE2989" i="208"/>
  <c r="AB2989" i="208"/>
  <c r="AA2989" i="208"/>
  <c r="AB1112" i="208"/>
  <c r="AF1112" i="208"/>
  <c r="AE1112" i="208"/>
  <c r="V643" i="208"/>
  <c r="V645" i="208"/>
  <c r="V1072" i="208"/>
  <c r="V1216" i="208"/>
  <c r="V829" i="208"/>
  <c r="V1363" i="208"/>
  <c r="V2227" i="208"/>
  <c r="V2986" i="208"/>
  <c r="V683" i="208"/>
  <c r="V971" i="208"/>
  <c r="V1835" i="208"/>
  <c r="V2054" i="208"/>
  <c r="F1647" i="208"/>
  <c r="T1647" i="208" s="1"/>
  <c r="F1836" i="208"/>
  <c r="T1836" i="208" s="1"/>
  <c r="F2124" i="208"/>
  <c r="T2124" i="208" s="1"/>
  <c r="F2661" i="208"/>
  <c r="T2661" i="208" s="1"/>
  <c r="V1662" i="208"/>
  <c r="V2085" i="208"/>
  <c r="AA397" i="208"/>
  <c r="AA541" i="208"/>
  <c r="AA685" i="208"/>
  <c r="AA829" i="208"/>
  <c r="AA973" i="208"/>
  <c r="AA1117" i="208"/>
  <c r="AA1216" i="208"/>
  <c r="AA1360" i="208"/>
  <c r="AB501" i="208"/>
  <c r="AB654" i="208"/>
  <c r="AB789" i="208"/>
  <c r="AB1086" i="208"/>
  <c r="F1179" i="208"/>
  <c r="T1179" i="208" s="1"/>
  <c r="AB395" i="208"/>
  <c r="AB824" i="208"/>
  <c r="AB2227" i="208"/>
  <c r="AB2264" i="208"/>
  <c r="AF928" i="208"/>
  <c r="AE798" i="208"/>
  <c r="AE2803" i="208"/>
  <c r="AE1835" i="208"/>
  <c r="AF1546" i="208"/>
  <c r="AE1546" i="208"/>
  <c r="AB1546" i="208"/>
  <c r="AA1546" i="208"/>
  <c r="AB2698" i="208"/>
  <c r="AA2698" i="208"/>
  <c r="AF2698" i="208"/>
  <c r="AE2698" i="208"/>
  <c r="AF1025" i="208"/>
  <c r="AE1025" i="208"/>
  <c r="AB1025" i="208"/>
  <c r="AB2033" i="208"/>
  <c r="AF2033" i="208"/>
  <c r="AA2033" i="208"/>
  <c r="AE2033" i="208"/>
  <c r="AF396" i="208"/>
  <c r="AE396" i="208"/>
  <c r="AE1692" i="208"/>
  <c r="AB1692" i="208"/>
  <c r="AA1692" i="208"/>
  <c r="V2988" i="208"/>
  <c r="AB2988" i="208"/>
  <c r="AF2988" i="208"/>
  <c r="AA1507" i="208"/>
  <c r="AF1507" i="208"/>
  <c r="AE1507" i="208"/>
  <c r="F1507" i="208"/>
  <c r="T1507" i="208" s="1"/>
  <c r="AF470" i="208"/>
  <c r="AB470" i="208"/>
  <c r="AE470" i="208"/>
  <c r="AA470" i="208"/>
  <c r="V2774" i="208"/>
  <c r="AB2774" i="208"/>
  <c r="AA2774" i="208"/>
  <c r="AF2774" i="208"/>
  <c r="AF2517" i="208"/>
  <c r="AE2517" i="208"/>
  <c r="V2517" i="208"/>
  <c r="AB2517" i="208"/>
  <c r="AA2517" i="208"/>
  <c r="AF539" i="208"/>
  <c r="AE539" i="208"/>
  <c r="V682" i="208"/>
  <c r="V684" i="208"/>
  <c r="V1507" i="208"/>
  <c r="V1405" i="208"/>
  <c r="V973" i="208"/>
  <c r="V1116" i="208"/>
  <c r="V798" i="208"/>
  <c r="V1179" i="208"/>
  <c r="F737" i="208"/>
  <c r="T737" i="208" s="1"/>
  <c r="F758" i="208"/>
  <c r="T758" i="208" s="1"/>
  <c r="F1112" i="208"/>
  <c r="T1112" i="208" s="1"/>
  <c r="F1190" i="208"/>
  <c r="T1190" i="208" s="1"/>
  <c r="F1544" i="208"/>
  <c r="T1544" i="208" s="1"/>
  <c r="F1622" i="208"/>
  <c r="T1622" i="208" s="1"/>
  <c r="F1979" i="208"/>
  <c r="T1979" i="208" s="1"/>
  <c r="F2264" i="208"/>
  <c r="T2264" i="208" s="1"/>
  <c r="F2958" i="208"/>
  <c r="T2958" i="208" s="1"/>
  <c r="F2229" i="208"/>
  <c r="T2229" i="208" s="1"/>
  <c r="F2517" i="208"/>
  <c r="T2517" i="208" s="1"/>
  <c r="F1950" i="208"/>
  <c r="T1950" i="208" s="1"/>
  <c r="F2094" i="208"/>
  <c r="T2094" i="208" s="1"/>
  <c r="F2198" i="208"/>
  <c r="T2198" i="208" s="1"/>
  <c r="AB397" i="208"/>
  <c r="AB541" i="208"/>
  <c r="AB685" i="208"/>
  <c r="AB829" i="208"/>
  <c r="AB973" i="208"/>
  <c r="AB1117" i="208"/>
  <c r="AB1216" i="208"/>
  <c r="AB1360" i="208"/>
  <c r="F501" i="208"/>
  <c r="T501" i="208" s="1"/>
  <c r="F654" i="208"/>
  <c r="T654" i="208" s="1"/>
  <c r="F1230" i="208"/>
  <c r="T1230" i="208" s="1"/>
  <c r="AB2659" i="208"/>
  <c r="AF2122" i="208"/>
  <c r="AF2661" i="208"/>
  <c r="AE2670" i="208"/>
  <c r="AF2842" i="208"/>
  <c r="AE2842" i="208"/>
  <c r="F2842" i="208"/>
  <c r="T2842" i="208" s="1"/>
  <c r="AB2842" i="208"/>
  <c r="AF2840" i="208"/>
  <c r="AE2840" i="208"/>
  <c r="V2840" i="208"/>
  <c r="AB2840" i="208"/>
  <c r="V1077" i="208"/>
  <c r="V1795" i="208"/>
  <c r="V758" i="208"/>
  <c r="V1112" i="208"/>
  <c r="V1190" i="208"/>
  <c r="V1950" i="208"/>
  <c r="V2198" i="208"/>
  <c r="F541" i="208"/>
  <c r="T541" i="208" s="1"/>
  <c r="F973" i="208"/>
  <c r="T973" i="208" s="1"/>
  <c r="AA540" i="208"/>
  <c r="AA828" i="208"/>
  <c r="F1509" i="208"/>
  <c r="T1509" i="208" s="1"/>
  <c r="AA2840" i="208"/>
  <c r="AF640" i="208"/>
  <c r="AF1509" i="208"/>
  <c r="AF538" i="208"/>
  <c r="AE538" i="208"/>
  <c r="AF1402" i="208"/>
  <c r="AE1402" i="208"/>
  <c r="F2266" i="208"/>
  <c r="T2266" i="208" s="1"/>
  <c r="AB2266" i="208"/>
  <c r="AA2266" i="208"/>
  <c r="AF2266" i="208"/>
  <c r="AE2266" i="208"/>
  <c r="AB1313" i="208"/>
  <c r="AF1313" i="208"/>
  <c r="V2321" i="208"/>
  <c r="AF2321" i="208"/>
  <c r="AB2321" i="208"/>
  <c r="AE2321" i="208"/>
  <c r="AA2321" i="208"/>
  <c r="F1548" i="208"/>
  <c r="T1548" i="208" s="1"/>
  <c r="AB1548" i="208"/>
  <c r="AA1548" i="208"/>
  <c r="AF1548" i="208"/>
  <c r="AE1548" i="208"/>
  <c r="V2700" i="208"/>
  <c r="AB2700" i="208"/>
  <c r="AF2700" i="208"/>
  <c r="AE2700" i="208"/>
  <c r="AF2083" i="208"/>
  <c r="AE2083" i="208"/>
  <c r="F2083" i="208"/>
  <c r="T2083" i="208" s="1"/>
  <c r="AB2083" i="208"/>
  <c r="AA2083" i="208"/>
  <c r="AF2947" i="208"/>
  <c r="AE2947" i="208"/>
  <c r="F2947" i="208"/>
  <c r="T2947" i="208" s="1"/>
  <c r="AA2947" i="208"/>
  <c r="AB1046" i="208"/>
  <c r="AA1046" i="208"/>
  <c r="AF1046" i="208"/>
  <c r="AF1910" i="208"/>
  <c r="AE1910" i="208"/>
  <c r="AB1910" i="208"/>
  <c r="AA1910" i="208"/>
  <c r="AF2630" i="208"/>
  <c r="AE2630" i="208"/>
  <c r="V2630" i="208"/>
  <c r="AB2630" i="208"/>
  <c r="AA2630" i="208"/>
  <c r="AF645" i="208"/>
  <c r="AE645" i="208"/>
  <c r="F1365" i="208"/>
  <c r="T1365" i="208" s="1"/>
  <c r="AF1365" i="208"/>
  <c r="AB1365" i="208"/>
  <c r="AE1365" i="208"/>
  <c r="AB2229" i="208"/>
  <c r="AA2229" i="208"/>
  <c r="AF2229" i="208"/>
  <c r="AA1059" i="208"/>
  <c r="AF1059" i="208"/>
  <c r="AE1059" i="208"/>
  <c r="AF1360" i="208"/>
  <c r="AE1360" i="208"/>
  <c r="AF2080" i="208"/>
  <c r="AE2080" i="208"/>
  <c r="F2080" i="208"/>
  <c r="T2080" i="208" s="1"/>
  <c r="AB2080" i="208"/>
  <c r="AA2080" i="208"/>
  <c r="AF2800" i="208"/>
  <c r="AE2800" i="208"/>
  <c r="F2800" i="208"/>
  <c r="T2800" i="208" s="1"/>
  <c r="AB2800" i="208"/>
  <c r="AA2800" i="208"/>
  <c r="AF827" i="208"/>
  <c r="AE827" i="208"/>
  <c r="AB827" i="208"/>
  <c r="AB1691" i="208"/>
  <c r="AA1691" i="208"/>
  <c r="AF1691" i="208"/>
  <c r="AE1691" i="208"/>
  <c r="AF2411" i="208"/>
  <c r="AE2411" i="208"/>
  <c r="AB2411" i="208"/>
  <c r="F1374" i="208"/>
  <c r="T1374" i="208" s="1"/>
  <c r="AB1374" i="208"/>
  <c r="AE1374" i="208"/>
  <c r="AF1374" i="208"/>
  <c r="AF1806" i="208"/>
  <c r="AE1806" i="208"/>
  <c r="AA1806" i="208"/>
  <c r="AF2526" i="208"/>
  <c r="F2526" i="208"/>
  <c r="T2526" i="208" s="1"/>
  <c r="AE2526" i="208"/>
  <c r="AA2526" i="208"/>
  <c r="AF397" i="208"/>
  <c r="AE397" i="208"/>
  <c r="AF1117" i="208"/>
  <c r="AE1117" i="208"/>
  <c r="AF2269" i="208"/>
  <c r="AE2269" i="208"/>
  <c r="AB2269" i="208"/>
  <c r="AA2269" i="208"/>
  <c r="AB392" i="208"/>
  <c r="AA392" i="208"/>
  <c r="AF392" i="208"/>
  <c r="AE392" i="208"/>
  <c r="V1402" i="208"/>
  <c r="V496" i="208"/>
  <c r="V2698" i="208"/>
  <c r="F593" i="208"/>
  <c r="T593" i="208" s="1"/>
  <c r="F881" i="208"/>
  <c r="T881" i="208" s="1"/>
  <c r="F1313" i="208"/>
  <c r="T1313" i="208" s="1"/>
  <c r="F1547" i="208"/>
  <c r="T1547" i="208" s="1"/>
  <c r="F1745" i="208"/>
  <c r="T1745" i="208" s="1"/>
  <c r="F2268" i="208"/>
  <c r="T2268" i="208" s="1"/>
  <c r="F2670" i="208"/>
  <c r="T2670" i="208" s="1"/>
  <c r="F357" i="208"/>
  <c r="T357" i="208" s="1"/>
  <c r="F2267" i="208"/>
  <c r="T2267" i="208" s="1"/>
  <c r="F2844" i="208"/>
  <c r="T2844" i="208" s="1"/>
  <c r="AA352" i="208"/>
  <c r="AA496" i="208"/>
  <c r="AA640" i="208"/>
  <c r="AA784" i="208"/>
  <c r="AA928" i="208"/>
  <c r="AA1072" i="208"/>
  <c r="AA1219" i="208"/>
  <c r="AA1363" i="208"/>
  <c r="AB540" i="208"/>
  <c r="AB645" i="208"/>
  <c r="AB828" i="208"/>
  <c r="AB1059" i="208"/>
  <c r="AA1374" i="208"/>
  <c r="F1546" i="208"/>
  <c r="T1546" i="208" s="1"/>
  <c r="AE684" i="208"/>
  <c r="AF1404" i="208"/>
  <c r="AF394" i="208"/>
  <c r="AE394" i="208"/>
  <c r="AF970" i="208"/>
  <c r="AE970" i="208"/>
  <c r="F1690" i="208"/>
  <c r="T1690" i="208" s="1"/>
  <c r="AB1690" i="208"/>
  <c r="AA1690" i="208"/>
  <c r="AF1690" i="208"/>
  <c r="AE1690" i="208"/>
  <c r="AF2410" i="208"/>
  <c r="AE2410" i="208"/>
  <c r="F2410" i="208"/>
  <c r="T2410" i="208" s="1"/>
  <c r="AB2410" i="208"/>
  <c r="AA2410" i="208"/>
  <c r="AF449" i="208"/>
  <c r="AE449" i="208"/>
  <c r="AB449" i="208"/>
  <c r="AA449" i="208"/>
  <c r="AF1601" i="208"/>
  <c r="AE1601" i="208"/>
  <c r="AB1601" i="208"/>
  <c r="AA1601" i="208"/>
  <c r="AF2465" i="208"/>
  <c r="AE2465" i="208"/>
  <c r="V2465" i="208"/>
  <c r="AB2465" i="208"/>
  <c r="AA2465" i="208"/>
  <c r="AF1215" i="208"/>
  <c r="AE1215" i="208"/>
  <c r="F1215" i="208"/>
  <c r="T1215" i="208" s="1"/>
  <c r="AB1215" i="208"/>
  <c r="AF972" i="208"/>
  <c r="AE972" i="208"/>
  <c r="F972" i="208"/>
  <c r="T972" i="208" s="1"/>
  <c r="AA972" i="208"/>
  <c r="AF1836" i="208"/>
  <c r="AE1836" i="208"/>
  <c r="AB1836" i="208"/>
  <c r="AA1836" i="208"/>
  <c r="AE2412" i="208"/>
  <c r="V2412" i="208"/>
  <c r="AB2412" i="208"/>
  <c r="AA2412" i="208"/>
  <c r="AF931" i="208"/>
  <c r="AE931" i="208"/>
  <c r="AF1651" i="208"/>
  <c r="AE1651" i="208"/>
  <c r="F1651" i="208"/>
  <c r="T1651" i="208" s="1"/>
  <c r="AB1651" i="208"/>
  <c r="AB2515" i="208"/>
  <c r="AA2515" i="208"/>
  <c r="AF2515" i="208"/>
  <c r="AE2515" i="208"/>
  <c r="AF1647" i="208"/>
  <c r="AB1647" i="208"/>
  <c r="AE1647" i="208"/>
  <c r="AF1190" i="208"/>
  <c r="AE1190" i="208"/>
  <c r="AB1190" i="208"/>
  <c r="AF1766" i="208"/>
  <c r="AB1766" i="208"/>
  <c r="AE1766" i="208"/>
  <c r="AA1766" i="208"/>
  <c r="V2342" i="208"/>
  <c r="AB2342" i="208"/>
  <c r="AA2342" i="208"/>
  <c r="AF2342" i="208"/>
  <c r="AE2918" i="208"/>
  <c r="AB2918" i="208"/>
  <c r="AA2918" i="208"/>
  <c r="AF789" i="208"/>
  <c r="AE789" i="208"/>
  <c r="AE1653" i="208"/>
  <c r="AB1653" i="208"/>
  <c r="AA1653" i="208"/>
  <c r="AB2373" i="208"/>
  <c r="AF2373" i="208"/>
  <c r="AE2373" i="208"/>
  <c r="AE2271" i="208"/>
  <c r="AA2271" i="208"/>
  <c r="AB1648" i="208"/>
  <c r="AF1648" i="208"/>
  <c r="AA1648" i="208"/>
  <c r="AE1648" i="208"/>
  <c r="AF2368" i="208"/>
  <c r="AE2368" i="208"/>
  <c r="F2368" i="208"/>
  <c r="T2368" i="208" s="1"/>
  <c r="AB2368" i="208"/>
  <c r="AA2368" i="208"/>
  <c r="AB2283" i="208"/>
  <c r="AF2283" i="208"/>
  <c r="AA2283" i="208"/>
  <c r="AE2283" i="208"/>
  <c r="AB1115" i="208"/>
  <c r="AA1115" i="208"/>
  <c r="AF1115" i="208"/>
  <c r="AE1115" i="208"/>
  <c r="AF1979" i="208"/>
  <c r="AB1979" i="208"/>
  <c r="AE1979" i="208"/>
  <c r="AA1979" i="208"/>
  <c r="V2843" i="208"/>
  <c r="AB2843" i="208"/>
  <c r="AA2843" i="208"/>
  <c r="AF2843" i="208"/>
  <c r="AE2843" i="208"/>
  <c r="AF654" i="208"/>
  <c r="AE654" i="208"/>
  <c r="F1518" i="208"/>
  <c r="T1518" i="208" s="1"/>
  <c r="AB1518" i="208"/>
  <c r="AE1518" i="208"/>
  <c r="AF1518" i="208"/>
  <c r="AB2094" i="208"/>
  <c r="AA2094" i="208"/>
  <c r="AF2094" i="208"/>
  <c r="AE2094" i="208"/>
  <c r="V2814" i="208"/>
  <c r="AA2814" i="208"/>
  <c r="AF2814" i="208"/>
  <c r="AE2814" i="208"/>
  <c r="AF685" i="208"/>
  <c r="AE685" i="208"/>
  <c r="AF1261" i="208"/>
  <c r="AE1261" i="208"/>
  <c r="AF1837" i="208"/>
  <c r="AE1837" i="208"/>
  <c r="F1837" i="208"/>
  <c r="T1837" i="208" s="1"/>
  <c r="AB1837" i="208"/>
  <c r="AF2557" i="208"/>
  <c r="AE2557" i="208"/>
  <c r="F2557" i="208"/>
  <c r="T2557" i="208" s="1"/>
  <c r="AB2557" i="208"/>
  <c r="AA2557" i="208"/>
  <c r="AB1635" i="208"/>
  <c r="AA1635" i="208"/>
  <c r="AF1635" i="208"/>
  <c r="AE1635" i="208"/>
  <c r="AB536" i="208"/>
  <c r="AA536" i="208"/>
  <c r="AF536" i="208"/>
  <c r="AE536" i="208"/>
  <c r="AF968" i="208"/>
  <c r="AE968" i="208"/>
  <c r="AB968" i="208"/>
  <c r="AA968" i="208"/>
  <c r="AF1400" i="208"/>
  <c r="AE1400" i="208"/>
  <c r="AB1400" i="208"/>
  <c r="AB1832" i="208"/>
  <c r="AA1832" i="208"/>
  <c r="AF1832" i="208"/>
  <c r="AE1832" i="208"/>
  <c r="V881" i="208"/>
  <c r="V1313" i="208"/>
  <c r="F2342" i="208"/>
  <c r="T2342" i="208" s="1"/>
  <c r="F2373" i="208"/>
  <c r="T2373" i="208" s="1"/>
  <c r="F2238" i="208"/>
  <c r="T2238" i="208" s="1"/>
  <c r="V357" i="208"/>
  <c r="F2988" i="208"/>
  <c r="T2988" i="208" s="1"/>
  <c r="AB352" i="208"/>
  <c r="AB496" i="208"/>
  <c r="AB640" i="208"/>
  <c r="AB784" i="208"/>
  <c r="AB928" i="208"/>
  <c r="AB1072" i="208"/>
  <c r="AB1219" i="208"/>
  <c r="AB1363" i="208"/>
  <c r="F540" i="208"/>
  <c r="T540" i="208" s="1"/>
  <c r="F645" i="208"/>
  <c r="T645" i="208" s="1"/>
  <c r="F1059" i="208"/>
  <c r="T1059" i="208" s="1"/>
  <c r="F1404" i="208"/>
  <c r="T1404" i="208" s="1"/>
  <c r="AB1259" i="208"/>
  <c r="AA1651" i="208"/>
  <c r="F2515" i="208"/>
  <c r="T2515" i="208" s="1"/>
  <c r="AF352" i="208"/>
  <c r="AE1075" i="208"/>
  <c r="AF357" i="208"/>
  <c r="AF1478" i="208"/>
  <c r="AF2408" i="208"/>
  <c r="AE2408" i="208"/>
  <c r="V2408" i="208"/>
  <c r="AB2408" i="208"/>
  <c r="V1117" i="208"/>
  <c r="V685" i="208"/>
  <c r="V1404" i="208"/>
  <c r="V1215" i="208"/>
  <c r="V2947" i="208"/>
  <c r="V2803" i="208"/>
  <c r="F326" i="208"/>
  <c r="T326" i="208" s="1"/>
  <c r="F470" i="208"/>
  <c r="T470" i="208" s="1"/>
  <c r="F614" i="208"/>
  <c r="T614" i="208" s="1"/>
  <c r="F824" i="208"/>
  <c r="T824" i="208" s="1"/>
  <c r="F902" i="208"/>
  <c r="T902" i="208" s="1"/>
  <c r="F1256" i="208"/>
  <c r="T1256" i="208" s="1"/>
  <c r="F1334" i="208"/>
  <c r="T1334" i="208" s="1"/>
  <c r="F1688" i="208"/>
  <c r="T1688" i="208" s="1"/>
  <c r="F1766" i="208"/>
  <c r="T1766" i="208" s="1"/>
  <c r="F1889" i="208"/>
  <c r="T1889" i="208" s="1"/>
  <c r="F1980" i="208"/>
  <c r="T1980" i="208" s="1"/>
  <c r="F2271" i="208"/>
  <c r="T2271" i="208" s="1"/>
  <c r="V2373" i="208"/>
  <c r="F396" i="208"/>
  <c r="T396" i="208" s="1"/>
  <c r="F2283" i="208"/>
  <c r="T2283" i="208" s="1"/>
  <c r="F352" i="208"/>
  <c r="T352" i="208" s="1"/>
  <c r="F496" i="208"/>
  <c r="T496" i="208" s="1"/>
  <c r="F640" i="208"/>
  <c r="T640" i="208" s="1"/>
  <c r="F784" i="208"/>
  <c r="T784" i="208" s="1"/>
  <c r="F928" i="208"/>
  <c r="T928" i="208" s="1"/>
  <c r="F1219" i="208"/>
  <c r="T1219" i="208" s="1"/>
  <c r="F1363" i="208"/>
  <c r="T1363" i="208" s="1"/>
  <c r="AA357" i="208"/>
  <c r="AA684" i="208"/>
  <c r="AA1025" i="208"/>
  <c r="AA2842" i="208"/>
  <c r="AA2988" i="208"/>
  <c r="AF2918" i="208"/>
  <c r="AE2774" i="208"/>
  <c r="AE2696" i="208"/>
  <c r="V2696" i="208"/>
  <c r="AB2696" i="208"/>
  <c r="V1258" i="208"/>
  <c r="V1115" i="208"/>
  <c r="V541" i="208"/>
  <c r="V510" i="208"/>
  <c r="V1075" i="208"/>
  <c r="V928" i="208"/>
  <c r="V933" i="208"/>
  <c r="V1834" i="208"/>
  <c r="V1690" i="208"/>
  <c r="V2083" i="208"/>
  <c r="V2266" i="208"/>
  <c r="F2408" i="208"/>
  <c r="T2408" i="208" s="1"/>
  <c r="V470" i="208"/>
  <c r="V614" i="208"/>
  <c r="V1766" i="208"/>
  <c r="V1889" i="208"/>
  <c r="V2271" i="208"/>
  <c r="F1797" i="208"/>
  <c r="T1797" i="208" s="1"/>
  <c r="F1941" i="208"/>
  <c r="T1941" i="208" s="1"/>
  <c r="V396" i="208"/>
  <c r="V2283" i="208"/>
  <c r="F2700" i="208"/>
  <c r="T2700" i="208" s="1"/>
  <c r="AA499" i="208"/>
  <c r="AA643" i="208"/>
  <c r="AA787" i="208"/>
  <c r="AA931" i="208"/>
  <c r="AA1075" i="208"/>
  <c r="AA1258" i="208"/>
  <c r="AA1402" i="208"/>
  <c r="AB357" i="208"/>
  <c r="AB684" i="208"/>
  <c r="AB942" i="208"/>
  <c r="F1648" i="208"/>
  <c r="T1648" i="208" s="1"/>
  <c r="AB593" i="208"/>
  <c r="AF593" i="208"/>
  <c r="AA593" i="208"/>
  <c r="AE593" i="208"/>
  <c r="AB1745" i="208"/>
  <c r="AA1745" i="208"/>
  <c r="AF1745" i="208"/>
  <c r="AB2753" i="208"/>
  <c r="AA2753" i="208"/>
  <c r="AF2753" i="208"/>
  <c r="AE2753" i="208"/>
  <c r="AF828" i="208"/>
  <c r="AE828" i="208"/>
  <c r="AF1980" i="208"/>
  <c r="AE1980" i="208"/>
  <c r="AB1980" i="208"/>
  <c r="AA1980" i="208"/>
  <c r="AF355" i="208"/>
  <c r="AE355" i="208"/>
  <c r="AA1939" i="208"/>
  <c r="AF1939" i="208"/>
  <c r="AE1939" i="208"/>
  <c r="F1939" i="208"/>
  <c r="T1939" i="208" s="1"/>
  <c r="AA902" i="208"/>
  <c r="AF902" i="208"/>
  <c r="AE902" i="208"/>
  <c r="AF1547" i="208"/>
  <c r="AE1547" i="208"/>
  <c r="AB1547" i="208"/>
  <c r="AA1547" i="208"/>
  <c r="AB1976" i="208"/>
  <c r="AA1976" i="208"/>
  <c r="AF1976" i="208"/>
  <c r="AE1976" i="208"/>
  <c r="V449" i="208"/>
  <c r="V352" i="208"/>
  <c r="V1548" i="208"/>
  <c r="V1230" i="208"/>
  <c r="V1651" i="208"/>
  <c r="V2410" i="208"/>
  <c r="F392" i="208"/>
  <c r="T392" i="208" s="1"/>
  <c r="F536" i="208"/>
  <c r="T536" i="208" s="1"/>
  <c r="F827" i="208"/>
  <c r="T827" i="208" s="1"/>
  <c r="F1025" i="208"/>
  <c r="T1025" i="208" s="1"/>
  <c r="F1259" i="208"/>
  <c r="T1259" i="208" s="1"/>
  <c r="F1691" i="208"/>
  <c r="T1691" i="208" s="1"/>
  <c r="F1910" i="208"/>
  <c r="T1910" i="208" s="1"/>
  <c r="F2177" i="208"/>
  <c r="T2177" i="208" s="1"/>
  <c r="V1797" i="208"/>
  <c r="F2840" i="208"/>
  <c r="T2840" i="208" s="1"/>
  <c r="F1635" i="208"/>
  <c r="T1635" i="208" s="1"/>
  <c r="AB355" i="208"/>
  <c r="AB499" i="208"/>
  <c r="AB643" i="208"/>
  <c r="AB787" i="208"/>
  <c r="AB931" i="208"/>
  <c r="AB1075" i="208"/>
  <c r="AB1258" i="208"/>
  <c r="AB1402" i="208"/>
  <c r="AA396" i="208"/>
  <c r="F684" i="208"/>
  <c r="T684" i="208" s="1"/>
  <c r="F942" i="208"/>
  <c r="T942" i="208" s="1"/>
  <c r="AA2373" i="208"/>
  <c r="AA2408" i="208"/>
  <c r="AB1835" i="208"/>
  <c r="V2918" i="208"/>
  <c r="AB1939" i="208"/>
  <c r="AF784" i="208"/>
  <c r="AE942" i="208"/>
  <c r="AF2123" i="208"/>
  <c r="AE1313" i="208"/>
  <c r="AE1046" i="208"/>
  <c r="AF826" i="208"/>
  <c r="AE826" i="208"/>
  <c r="F1978" i="208"/>
  <c r="T1978" i="208" s="1"/>
  <c r="AB1978" i="208"/>
  <c r="AA1978" i="208"/>
  <c r="AF1978" i="208"/>
  <c r="AE1978" i="208"/>
  <c r="AB1875" i="208"/>
  <c r="AA1875" i="208"/>
  <c r="AF1875" i="208"/>
  <c r="AE1875" i="208"/>
  <c r="AF1457" i="208"/>
  <c r="AA1457" i="208"/>
  <c r="AE1457" i="208"/>
  <c r="AF2897" i="208"/>
  <c r="AE2897" i="208"/>
  <c r="V2897" i="208"/>
  <c r="AB2897" i="208"/>
  <c r="AA2897" i="208"/>
  <c r="AB1116" i="208"/>
  <c r="AF1116" i="208"/>
  <c r="AA1116" i="208"/>
  <c r="AE1116" i="208"/>
  <c r="AF2556" i="208"/>
  <c r="AE2556" i="208"/>
  <c r="V2556" i="208"/>
  <c r="AB2556" i="208"/>
  <c r="AA2556" i="208"/>
  <c r="F2371" i="208"/>
  <c r="T2371" i="208" s="1"/>
  <c r="AB2371" i="208"/>
  <c r="AA2371" i="208"/>
  <c r="AF2371" i="208"/>
  <c r="AE2371" i="208"/>
  <c r="AA326" i="208"/>
  <c r="AF326" i="208"/>
  <c r="AE326" i="208"/>
  <c r="AB1334" i="208"/>
  <c r="AA1334" i="208"/>
  <c r="AF1334" i="208"/>
  <c r="AE1334" i="208"/>
  <c r="AE2054" i="208"/>
  <c r="AB2054" i="208"/>
  <c r="AA2054" i="208"/>
  <c r="AB1191" i="208"/>
  <c r="AA1191" i="208"/>
  <c r="AF1191" i="208"/>
  <c r="AE1191" i="208"/>
  <c r="AF1077" i="208"/>
  <c r="AE1077" i="208"/>
  <c r="F1077" i="208"/>
  <c r="T1077" i="208" s="1"/>
  <c r="AA1077" i="208"/>
  <c r="AF1941" i="208"/>
  <c r="AB1941" i="208"/>
  <c r="AE1941" i="208"/>
  <c r="AA1941" i="208"/>
  <c r="AE2661" i="208"/>
  <c r="V2661" i="208"/>
  <c r="AA2661" i="208"/>
  <c r="AF2895" i="208"/>
  <c r="AE2895" i="208"/>
  <c r="V2895" i="208"/>
  <c r="AB2895" i="208"/>
  <c r="AF1072" i="208"/>
  <c r="AE1072" i="208"/>
  <c r="AF1792" i="208"/>
  <c r="AE1792" i="208"/>
  <c r="F1792" i="208"/>
  <c r="T1792" i="208" s="1"/>
  <c r="AB1792" i="208"/>
  <c r="AA1792" i="208"/>
  <c r="AF2512" i="208"/>
  <c r="AE2512" i="208"/>
  <c r="F2512" i="208"/>
  <c r="T2512" i="208" s="1"/>
  <c r="AB2512" i="208"/>
  <c r="AA2512" i="208"/>
  <c r="AF2944" i="208"/>
  <c r="AE2944" i="208"/>
  <c r="AB2944" i="208"/>
  <c r="AA2944" i="208"/>
  <c r="AB683" i="208"/>
  <c r="AA683" i="208"/>
  <c r="AF683" i="208"/>
  <c r="AF1403" i="208"/>
  <c r="AE1403" i="208"/>
  <c r="AB1403" i="208"/>
  <c r="AA1403" i="208"/>
  <c r="AA2267" i="208"/>
  <c r="AF2267" i="208"/>
  <c r="AE2267" i="208"/>
  <c r="V2987" i="208"/>
  <c r="AB2987" i="208"/>
  <c r="AA2987" i="208"/>
  <c r="AF2987" i="208"/>
  <c r="AE2987" i="208"/>
  <c r="AF1086" i="208"/>
  <c r="AA1086" i="208"/>
  <c r="AF2238" i="208"/>
  <c r="AE2238" i="208"/>
  <c r="AB2238" i="208"/>
  <c r="AA2238" i="208"/>
  <c r="AA1839" i="208"/>
  <c r="AF1839" i="208"/>
  <c r="AB1839" i="208"/>
  <c r="AE1839" i="208"/>
  <c r="F1981" i="208"/>
  <c r="T1981" i="208" s="1"/>
  <c r="AB1981" i="208"/>
  <c r="AF1981" i="208"/>
  <c r="AA1981" i="208"/>
  <c r="AE1981" i="208"/>
  <c r="F2701" i="208"/>
  <c r="T2701" i="208" s="1"/>
  <c r="AB2701" i="208"/>
  <c r="AF2701" i="208"/>
  <c r="AA2701" i="208"/>
  <c r="V2631" i="208"/>
  <c r="AB2631" i="208"/>
  <c r="AA2631" i="208"/>
  <c r="AF2631" i="208"/>
  <c r="AE2631" i="208"/>
  <c r="AA824" i="208"/>
  <c r="AF824" i="208"/>
  <c r="AE824" i="208"/>
  <c r="AB1256" i="208"/>
  <c r="AF1256" i="208"/>
  <c r="AA1256" i="208"/>
  <c r="AE1256" i="208"/>
  <c r="AF1544" i="208"/>
  <c r="AE1544" i="208"/>
  <c r="AB1544" i="208"/>
  <c r="AA1544" i="208"/>
  <c r="AF1688" i="208"/>
  <c r="AB1688" i="208"/>
  <c r="AE1688" i="208"/>
  <c r="AA1688" i="208"/>
  <c r="AF2552" i="208"/>
  <c r="V2552" i="208"/>
  <c r="AE2552" i="208"/>
  <c r="AB2552" i="208"/>
  <c r="AA2552" i="208"/>
  <c r="V499" i="208"/>
  <c r="V2515" i="208"/>
  <c r="V2557" i="208"/>
  <c r="V538" i="208"/>
  <c r="V355" i="208"/>
  <c r="V1219" i="208"/>
  <c r="V1360" i="208"/>
  <c r="V1504" i="208"/>
  <c r="V1191" i="208"/>
  <c r="V2944" i="208"/>
  <c r="V2554" i="208"/>
  <c r="V2989" i="208"/>
  <c r="V392" i="208"/>
  <c r="V536" i="208"/>
  <c r="V827" i="208"/>
  <c r="V1025" i="208"/>
  <c r="V1457" i="208"/>
  <c r="V1691" i="208"/>
  <c r="V1910" i="208"/>
  <c r="F2918" i="208"/>
  <c r="T2918" i="208" s="1"/>
  <c r="F2412" i="208"/>
  <c r="T2412" i="208" s="1"/>
  <c r="F2897" i="208"/>
  <c r="T2897" i="208" s="1"/>
  <c r="F2321" i="208"/>
  <c r="T2321" i="208" s="1"/>
  <c r="F1692" i="208"/>
  <c r="T1692" i="208" s="1"/>
  <c r="F1806" i="208"/>
  <c r="T1806" i="208" s="1"/>
  <c r="F2696" i="208"/>
  <c r="T2696" i="208" s="1"/>
  <c r="V1635" i="208"/>
  <c r="F2987" i="208"/>
  <c r="T2987" i="208" s="1"/>
  <c r="F2411" i="208"/>
  <c r="T2411" i="208" s="1"/>
  <c r="F355" i="208"/>
  <c r="T355" i="208" s="1"/>
  <c r="F499" i="208"/>
  <c r="T499" i="208" s="1"/>
  <c r="F931" i="208"/>
  <c r="T931" i="208" s="1"/>
  <c r="F1075" i="208"/>
  <c r="T1075" i="208" s="1"/>
  <c r="F1402" i="208"/>
  <c r="T1402" i="208" s="1"/>
  <c r="AB396" i="208"/>
  <c r="AA510" i="208"/>
  <c r="AA798" i="208"/>
  <c r="AB972" i="208"/>
  <c r="AB326" i="208"/>
  <c r="AB614" i="208"/>
  <c r="AB902" i="208"/>
  <c r="AA1112" i="208"/>
  <c r="AB1806" i="208"/>
  <c r="AB2267" i="208"/>
  <c r="AF1219" i="208"/>
  <c r="AE540" i="208"/>
  <c r="AE2229" i="208"/>
  <c r="AF2271" i="208"/>
  <c r="AE614" i="208"/>
  <c r="AB737" i="208"/>
  <c r="AA737" i="208"/>
  <c r="AF737" i="208"/>
  <c r="AE737" i="208"/>
  <c r="AF643" i="208"/>
  <c r="AE643" i="208"/>
  <c r="AE1509" i="208"/>
  <c r="AB1509" i="208"/>
  <c r="AA1509" i="208"/>
  <c r="AF366" i="208"/>
  <c r="AE366" i="208"/>
  <c r="AA2264" i="208"/>
  <c r="AF2264" i="208"/>
  <c r="AE2264" i="208"/>
  <c r="V540" i="208"/>
  <c r="V1374" i="208"/>
  <c r="V394" i="208"/>
  <c r="V2413" i="208"/>
  <c r="F539" i="208"/>
  <c r="T539" i="208" s="1"/>
  <c r="F968" i="208"/>
  <c r="T968" i="208" s="1"/>
  <c r="F1046" i="208"/>
  <c r="T1046" i="208" s="1"/>
  <c r="F1400" i="208"/>
  <c r="T1400" i="208" s="1"/>
  <c r="F1478" i="208"/>
  <c r="T1478" i="208" s="1"/>
  <c r="F1832" i="208"/>
  <c r="T1832" i="208" s="1"/>
  <c r="F2033" i="208"/>
  <c r="T2033" i="208" s="1"/>
  <c r="F2774" i="208"/>
  <c r="T2774" i="208" s="1"/>
  <c r="F2895" i="208"/>
  <c r="T2895" i="208" s="1"/>
  <c r="F2753" i="208"/>
  <c r="T2753" i="208" s="1"/>
  <c r="V1692" i="208"/>
  <c r="V1806" i="208"/>
  <c r="F2552" i="208"/>
  <c r="T2552" i="208" s="1"/>
  <c r="F366" i="208"/>
  <c r="T366" i="208" s="1"/>
  <c r="F1653" i="208"/>
  <c r="T1653" i="208" s="1"/>
  <c r="F2843" i="208"/>
  <c r="T2843" i="208" s="1"/>
  <c r="V2411" i="208"/>
  <c r="AA394" i="208"/>
  <c r="AA538" i="208"/>
  <c r="AA682" i="208"/>
  <c r="AA826" i="208"/>
  <c r="AA970" i="208"/>
  <c r="AA1114" i="208"/>
  <c r="AA1261" i="208"/>
  <c r="AA1405" i="208"/>
  <c r="AB510" i="208"/>
  <c r="AB798" i="208"/>
  <c r="AA1518" i="208"/>
  <c r="AB1457" i="208"/>
  <c r="AB2947" i="208"/>
  <c r="AA2700" i="208"/>
  <c r="AB2526" i="208"/>
  <c r="AB2198" i="208"/>
  <c r="AF496" i="208"/>
  <c r="AE2342" i="208"/>
  <c r="AF1692" i="208"/>
  <c r="AF1258" i="208"/>
  <c r="AE1258" i="208"/>
  <c r="AE2122" i="208"/>
  <c r="F2122" i="208"/>
  <c r="T2122" i="208" s="1"/>
  <c r="AB2122" i="208"/>
  <c r="AA2122" i="208"/>
  <c r="AB2986" i="208"/>
  <c r="AA2986" i="208"/>
  <c r="AF2986" i="208"/>
  <c r="AE2986" i="208"/>
  <c r="AF1169" i="208"/>
  <c r="AE1169" i="208"/>
  <c r="AB1169" i="208"/>
  <c r="AA1169" i="208"/>
  <c r="AF2177" i="208"/>
  <c r="AE2177" i="208"/>
  <c r="AB2177" i="208"/>
  <c r="AA2177" i="208"/>
  <c r="F1260" i="208"/>
  <c r="T1260" i="208" s="1"/>
  <c r="AF1260" i="208"/>
  <c r="AB1260" i="208"/>
  <c r="AE1260" i="208"/>
  <c r="AA1260" i="208"/>
  <c r="AF2124" i="208"/>
  <c r="AB2124" i="208"/>
  <c r="AE2124" i="208"/>
  <c r="AA2124" i="208"/>
  <c r="AF1779" i="208"/>
  <c r="AE1779" i="208"/>
  <c r="AB1779" i="208"/>
  <c r="AA1779" i="208"/>
  <c r="AF787" i="208"/>
  <c r="AE787" i="208"/>
  <c r="AE1795" i="208"/>
  <c r="F1795" i="208"/>
  <c r="T1795" i="208" s="1"/>
  <c r="AB1795" i="208"/>
  <c r="AA1795" i="208"/>
  <c r="F2659" i="208"/>
  <c r="T2659" i="208" s="1"/>
  <c r="AA2659" i="208"/>
  <c r="AF2659" i="208"/>
  <c r="AE2659" i="208"/>
  <c r="AF758" i="208"/>
  <c r="AE758" i="208"/>
  <c r="AB758" i="208"/>
  <c r="AB1622" i="208"/>
  <c r="AA1622" i="208"/>
  <c r="AF1622" i="208"/>
  <c r="AE1622" i="208"/>
  <c r="AF2486" i="208"/>
  <c r="AE2486" i="208"/>
  <c r="V2486" i="208"/>
  <c r="AB2486" i="208"/>
  <c r="AF501" i="208"/>
  <c r="AE501" i="208"/>
  <c r="AF1221" i="208"/>
  <c r="F1221" i="208"/>
  <c r="T1221" i="208" s="1"/>
  <c r="AE1221" i="208"/>
  <c r="AB1221" i="208"/>
  <c r="AE2085" i="208"/>
  <c r="AA2085" i="208"/>
  <c r="AF2949" i="208"/>
  <c r="V2949" i="208"/>
  <c r="AE2949" i="208"/>
  <c r="AB2949" i="208"/>
  <c r="AA2949" i="208"/>
  <c r="AF1216" i="208"/>
  <c r="AE1216" i="208"/>
  <c r="AF1936" i="208"/>
  <c r="AE1936" i="208"/>
  <c r="F1936" i="208"/>
  <c r="T1936" i="208" s="1"/>
  <c r="AB1936" i="208"/>
  <c r="AA1936" i="208"/>
  <c r="AF2656" i="208"/>
  <c r="AE2656" i="208"/>
  <c r="F2656" i="208"/>
  <c r="T2656" i="208" s="1"/>
  <c r="AB2656" i="208"/>
  <c r="AA2656" i="208"/>
  <c r="AF395" i="208"/>
  <c r="AA395" i="208"/>
  <c r="AE395" i="208"/>
  <c r="AA1259" i="208"/>
  <c r="AF1259" i="208"/>
  <c r="AE1259" i="208"/>
  <c r="AE2123" i="208"/>
  <c r="AB2123" i="208"/>
  <c r="AA2123" i="208"/>
  <c r="AE2699" i="208"/>
  <c r="V2699" i="208"/>
  <c r="AB2699" i="208"/>
  <c r="AA2699" i="208"/>
  <c r="AB2259" i="208"/>
  <c r="AF2259" i="208"/>
  <c r="AA2259" i="208"/>
  <c r="AE2259" i="208"/>
  <c r="AA942" i="208"/>
  <c r="AF942" i="208"/>
  <c r="AE1662" i="208"/>
  <c r="AF1662" i="208"/>
  <c r="AB1662" i="208"/>
  <c r="V2382" i="208"/>
  <c r="AB2382" i="208"/>
  <c r="AA2382" i="208"/>
  <c r="AF2382" i="208"/>
  <c r="AE2382" i="208"/>
  <c r="AB2958" i="208"/>
  <c r="AA2958" i="208"/>
  <c r="AF2958" i="208"/>
  <c r="AE2958" i="208"/>
  <c r="AF829" i="208"/>
  <c r="AE829" i="208"/>
  <c r="AF1549" i="208"/>
  <c r="AE1549" i="208"/>
  <c r="F1549" i="208"/>
  <c r="T1549" i="208" s="1"/>
  <c r="AB1549" i="208"/>
  <c r="AA1549" i="208"/>
  <c r="AF2125" i="208"/>
  <c r="AE2125" i="208"/>
  <c r="F2125" i="208"/>
  <c r="T2125" i="208" s="1"/>
  <c r="AB2125" i="208"/>
  <c r="AA2125" i="208"/>
  <c r="AB2845" i="208"/>
  <c r="AA2845" i="208"/>
  <c r="AF2845" i="208"/>
  <c r="AE2845" i="208"/>
  <c r="AF680" i="208"/>
  <c r="AE680" i="208"/>
  <c r="AB680" i="208"/>
  <c r="AA680" i="208"/>
  <c r="AF2120" i="208"/>
  <c r="AE2120" i="208"/>
  <c r="AB2120" i="208"/>
  <c r="AA2120" i="208"/>
  <c r="V1549" i="208"/>
  <c r="V1518" i="208"/>
  <c r="V397" i="208"/>
  <c r="V784" i="208"/>
  <c r="V970" i="208"/>
  <c r="V1086" i="208"/>
  <c r="V789" i="208"/>
  <c r="V1260" i="208"/>
  <c r="V2269" i="208"/>
  <c r="V1837" i="208"/>
  <c r="V395" i="208"/>
  <c r="V539" i="208"/>
  <c r="V680" i="208"/>
  <c r="V968" i="208"/>
  <c r="V1046" i="208"/>
  <c r="V1400" i="208"/>
  <c r="V1478" i="208"/>
  <c r="V1832" i="208"/>
  <c r="V2033" i="208"/>
  <c r="V2120" i="208"/>
  <c r="F2630" i="208"/>
  <c r="T2630" i="208" s="1"/>
  <c r="F2609" i="208"/>
  <c r="T2609" i="208" s="1"/>
  <c r="F2259" i="208"/>
  <c r="T2259" i="208" s="1"/>
  <c r="F2949" i="208"/>
  <c r="T2949" i="208" s="1"/>
  <c r="V366" i="208"/>
  <c r="V1653" i="208"/>
  <c r="V2123" i="208"/>
  <c r="F2699" i="208"/>
  <c r="T2699" i="208" s="1"/>
  <c r="AB394" i="208"/>
  <c r="AB538" i="208"/>
  <c r="AB682" i="208"/>
  <c r="AB826" i="208"/>
  <c r="AB970" i="208"/>
  <c r="AB1114" i="208"/>
  <c r="AB1261" i="208"/>
  <c r="AB1405" i="208"/>
  <c r="F510" i="208"/>
  <c r="T510" i="208" s="1"/>
  <c r="F798" i="208"/>
  <c r="T798" i="208" s="1"/>
  <c r="AA1478" i="208"/>
  <c r="F2845" i="208"/>
  <c r="T2845" i="208" s="1"/>
  <c r="AA1647" i="208"/>
  <c r="AA2696" i="208"/>
  <c r="AE1405" i="208"/>
  <c r="AF2085" i="208"/>
  <c r="AE2988" i="208"/>
  <c r="AE1745" i="208"/>
  <c r="AE2984" i="208"/>
  <c r="AF2984" i="208"/>
  <c r="AA2984" i="208"/>
  <c r="AB2984" i="208"/>
  <c r="AE276" i="208"/>
  <c r="P277" i="208"/>
  <c r="AJ277" i="208"/>
  <c r="AI277" i="208"/>
  <c r="P281" i="208"/>
  <c r="AJ281" i="208"/>
  <c r="AI281" i="208"/>
  <c r="P296" i="208"/>
  <c r="AJ296" i="208"/>
  <c r="AI296" i="208"/>
  <c r="P346" i="208"/>
  <c r="AJ346" i="208"/>
  <c r="AI346" i="208"/>
  <c r="AJ490" i="208"/>
  <c r="AI490" i="208"/>
  <c r="P634" i="208"/>
  <c r="AJ634" i="208"/>
  <c r="AI634" i="208"/>
  <c r="AJ778" i="208"/>
  <c r="AI778" i="208"/>
  <c r="P922" i="208"/>
  <c r="AJ922" i="208"/>
  <c r="AI922" i="208"/>
  <c r="P1066" i="208"/>
  <c r="AJ1066" i="208"/>
  <c r="AI1066" i="208"/>
  <c r="P1210" i="208"/>
  <c r="AJ1210" i="208"/>
  <c r="AI1210" i="208"/>
  <c r="P1354" i="208"/>
  <c r="AJ1354" i="208"/>
  <c r="AI1354" i="208"/>
  <c r="P1498" i="208"/>
  <c r="AJ1498" i="208"/>
  <c r="AI1498" i="208"/>
  <c r="P1642" i="208"/>
  <c r="AJ1642" i="208"/>
  <c r="AI1642" i="208"/>
  <c r="P1786" i="208"/>
  <c r="AJ1786" i="208"/>
  <c r="AI1786" i="208"/>
  <c r="P1930" i="208"/>
  <c r="AJ1930" i="208"/>
  <c r="AI1930" i="208"/>
  <c r="P2074" i="208"/>
  <c r="AJ2074" i="208"/>
  <c r="AI2074" i="208"/>
  <c r="P2218" i="208"/>
  <c r="AI2218" i="208"/>
  <c r="AJ2218" i="208"/>
  <c r="P2362" i="208"/>
  <c r="AJ2362" i="208"/>
  <c r="AI2362" i="208"/>
  <c r="P2506" i="208"/>
  <c r="AJ2506" i="208"/>
  <c r="AI2506" i="208"/>
  <c r="P2650" i="208"/>
  <c r="AJ2650" i="208"/>
  <c r="AI2650" i="208"/>
  <c r="P2794" i="208"/>
  <c r="AJ2794" i="208"/>
  <c r="AI2794" i="208"/>
  <c r="P2938" i="208"/>
  <c r="AJ2938" i="208"/>
  <c r="AI2938" i="208"/>
  <c r="P903" i="208"/>
  <c r="AJ903" i="208"/>
  <c r="AI903" i="208"/>
  <c r="P401" i="208"/>
  <c r="AJ401" i="208"/>
  <c r="AI401" i="208"/>
  <c r="P545" i="208"/>
  <c r="AJ545" i="208"/>
  <c r="AI545" i="208"/>
  <c r="P689" i="208"/>
  <c r="AJ689" i="208"/>
  <c r="AI689" i="208"/>
  <c r="AJ833" i="208"/>
  <c r="AI833" i="208"/>
  <c r="P977" i="208"/>
  <c r="AJ977" i="208"/>
  <c r="AI977" i="208"/>
  <c r="P1121" i="208"/>
  <c r="AJ1121" i="208"/>
  <c r="AI1121" i="208"/>
  <c r="P1265" i="208"/>
  <c r="AJ1265" i="208"/>
  <c r="AI1265" i="208"/>
  <c r="P1409" i="208"/>
  <c r="AJ1409" i="208"/>
  <c r="AI1409" i="208"/>
  <c r="P1553" i="208"/>
  <c r="AJ1553" i="208"/>
  <c r="AI1553" i="208"/>
  <c r="P1697" i="208"/>
  <c r="AJ1697" i="208"/>
  <c r="AI1697" i="208"/>
  <c r="P1841" i="208"/>
  <c r="AJ1841" i="208"/>
  <c r="AI1841" i="208"/>
  <c r="P1985" i="208"/>
  <c r="AJ1985" i="208"/>
  <c r="AI1985" i="208"/>
  <c r="P2129" i="208"/>
  <c r="AJ2129" i="208"/>
  <c r="AI2129" i="208"/>
  <c r="P2273" i="208"/>
  <c r="AJ2273" i="208"/>
  <c r="AI2273" i="208"/>
  <c r="P2417" i="208"/>
  <c r="AJ2417" i="208"/>
  <c r="AI2417" i="208"/>
  <c r="P2561" i="208"/>
  <c r="AJ2561" i="208"/>
  <c r="AI2561" i="208"/>
  <c r="P2705" i="208"/>
  <c r="AJ2705" i="208"/>
  <c r="AI2705" i="208"/>
  <c r="P2849" i="208"/>
  <c r="AJ2849" i="208"/>
  <c r="AI2849" i="208"/>
  <c r="P2993" i="208"/>
  <c r="AJ2993" i="208"/>
  <c r="AI2993" i="208"/>
  <c r="P348" i="208"/>
  <c r="AJ348" i="208"/>
  <c r="AI348" i="208"/>
  <c r="P492" i="208"/>
  <c r="AJ492" i="208"/>
  <c r="AI492" i="208"/>
  <c r="P636" i="208"/>
  <c r="AJ636" i="208"/>
  <c r="AI636" i="208"/>
  <c r="P780" i="208"/>
  <c r="AJ780" i="208"/>
  <c r="AI780" i="208"/>
  <c r="P924" i="208"/>
  <c r="AJ924" i="208"/>
  <c r="AI924" i="208"/>
  <c r="P1068" i="208"/>
  <c r="AJ1068" i="208"/>
  <c r="AI1068" i="208"/>
  <c r="P1212" i="208"/>
  <c r="AJ1212" i="208"/>
  <c r="AI1212" i="208"/>
  <c r="P1356" i="208"/>
  <c r="AJ1356" i="208"/>
  <c r="AI1356" i="208"/>
  <c r="P1500" i="208"/>
  <c r="AJ1500" i="208"/>
  <c r="AI1500" i="208"/>
  <c r="P1644" i="208"/>
  <c r="AJ1644" i="208"/>
  <c r="AI1644" i="208"/>
  <c r="P1788" i="208"/>
  <c r="AJ1788" i="208"/>
  <c r="AI1788" i="208"/>
  <c r="P1932" i="208"/>
  <c r="AJ1932" i="208"/>
  <c r="AI1932" i="208"/>
  <c r="P2076" i="208"/>
  <c r="AJ2076" i="208"/>
  <c r="AI2076" i="208"/>
  <c r="P2220" i="208"/>
  <c r="AJ2220" i="208"/>
  <c r="AI2220" i="208"/>
  <c r="P2364" i="208"/>
  <c r="AJ2364" i="208"/>
  <c r="AI2364" i="208"/>
  <c r="P2508" i="208"/>
  <c r="AJ2508" i="208"/>
  <c r="AI2508" i="208"/>
  <c r="P2652" i="208"/>
  <c r="AJ2652" i="208"/>
  <c r="AI2652" i="208"/>
  <c r="P2796" i="208"/>
  <c r="AJ2796" i="208"/>
  <c r="AI2796" i="208"/>
  <c r="P2940" i="208"/>
  <c r="AJ2940" i="208"/>
  <c r="AI2940" i="208"/>
  <c r="P1371" i="208"/>
  <c r="AJ1371" i="208"/>
  <c r="AI1371" i="208"/>
  <c r="P2643" i="208"/>
  <c r="AJ2643" i="208"/>
  <c r="AI2643" i="208"/>
  <c r="AJ307" i="208"/>
  <c r="AI307" i="208"/>
  <c r="P451" i="208"/>
  <c r="AJ451" i="208"/>
  <c r="AI451" i="208"/>
  <c r="P595" i="208"/>
  <c r="AJ595" i="208"/>
  <c r="AI595" i="208"/>
  <c r="AJ739" i="208"/>
  <c r="AI739" i="208"/>
  <c r="P883" i="208"/>
  <c r="AJ883" i="208"/>
  <c r="AI883" i="208"/>
  <c r="P1027" i="208"/>
  <c r="AJ1027" i="208"/>
  <c r="AI1027" i="208"/>
  <c r="P1171" i="208"/>
  <c r="AJ1171" i="208"/>
  <c r="AI1171" i="208"/>
  <c r="P1315" i="208"/>
  <c r="AJ1315" i="208"/>
  <c r="AI1315" i="208"/>
  <c r="P1459" i="208"/>
  <c r="AJ1459" i="208"/>
  <c r="AI1459" i="208"/>
  <c r="P1603" i="208"/>
  <c r="AJ1603" i="208"/>
  <c r="AI1603" i="208"/>
  <c r="P1747" i="208"/>
  <c r="AJ1747" i="208"/>
  <c r="AI1747" i="208"/>
  <c r="P1891" i="208"/>
  <c r="AJ1891" i="208"/>
  <c r="AI1891" i="208"/>
  <c r="P2035" i="208"/>
  <c r="AJ2035" i="208"/>
  <c r="AI2035" i="208"/>
  <c r="P2179" i="208"/>
  <c r="AJ2179" i="208"/>
  <c r="AI2179" i="208"/>
  <c r="P2323" i="208"/>
  <c r="AJ2323" i="208"/>
  <c r="AI2323" i="208"/>
  <c r="P2467" i="208"/>
  <c r="AJ2467" i="208"/>
  <c r="AI2467" i="208"/>
  <c r="P2611" i="208"/>
  <c r="AJ2611" i="208"/>
  <c r="AI2611" i="208"/>
  <c r="P2755" i="208"/>
  <c r="AJ2755" i="208"/>
  <c r="AI2755" i="208"/>
  <c r="P2899" i="208"/>
  <c r="AJ2899" i="208"/>
  <c r="AI2899" i="208"/>
  <c r="P1167" i="208"/>
  <c r="AJ1167" i="208"/>
  <c r="AI1167" i="208"/>
  <c r="AJ422" i="208"/>
  <c r="AI422" i="208"/>
  <c r="AJ566" i="208"/>
  <c r="AI566" i="208"/>
  <c r="P710" i="208"/>
  <c r="AJ710" i="208"/>
  <c r="AI710" i="208"/>
  <c r="P854" i="208"/>
  <c r="AJ854" i="208"/>
  <c r="AI854" i="208"/>
  <c r="P998" i="208"/>
  <c r="AJ998" i="208"/>
  <c r="AI998" i="208"/>
  <c r="P1142" i="208"/>
  <c r="AJ1142" i="208"/>
  <c r="AI1142" i="208"/>
  <c r="P1286" i="208"/>
  <c r="AJ1286" i="208"/>
  <c r="AI1286" i="208"/>
  <c r="P1430" i="208"/>
  <c r="AJ1430" i="208"/>
  <c r="AI1430" i="208"/>
  <c r="P1574" i="208"/>
  <c r="AJ1574" i="208"/>
  <c r="AI1574" i="208"/>
  <c r="P1718" i="208"/>
  <c r="AJ1718" i="208"/>
  <c r="AI1718" i="208"/>
  <c r="P1862" i="208"/>
  <c r="AJ1862" i="208"/>
  <c r="AI1862" i="208"/>
  <c r="P2006" i="208"/>
  <c r="AJ2006" i="208"/>
  <c r="AI2006" i="208"/>
  <c r="P2150" i="208"/>
  <c r="AJ2150" i="208"/>
  <c r="AI2150" i="208"/>
  <c r="P2294" i="208"/>
  <c r="AJ2294" i="208"/>
  <c r="AI2294" i="208"/>
  <c r="P2438" i="208"/>
  <c r="AJ2438" i="208"/>
  <c r="AI2438" i="208"/>
  <c r="P2582" i="208"/>
  <c r="AJ2582" i="208"/>
  <c r="AI2582" i="208"/>
  <c r="P2726" i="208"/>
  <c r="AJ2726" i="208"/>
  <c r="AI2726" i="208"/>
  <c r="P2870" i="208"/>
  <c r="AJ2870" i="208"/>
  <c r="AI2870" i="208"/>
  <c r="P459" i="208"/>
  <c r="AJ459" i="208"/>
  <c r="AI459" i="208"/>
  <c r="P2859" i="208"/>
  <c r="AJ2859" i="208"/>
  <c r="AI2859" i="208"/>
  <c r="AJ309" i="208"/>
  <c r="AI309" i="208"/>
  <c r="P453" i="208"/>
  <c r="AJ453" i="208"/>
  <c r="AI453" i="208"/>
  <c r="P597" i="208"/>
  <c r="AJ597" i="208"/>
  <c r="AI597" i="208"/>
  <c r="P741" i="208"/>
  <c r="AJ741" i="208"/>
  <c r="AI741" i="208"/>
  <c r="P885" i="208"/>
  <c r="AJ885" i="208"/>
  <c r="AI885" i="208"/>
  <c r="P1029" i="208"/>
  <c r="AJ1029" i="208"/>
  <c r="AI1029" i="208"/>
  <c r="P1173" i="208"/>
  <c r="AJ1173" i="208"/>
  <c r="AI1173" i="208"/>
  <c r="P1317" i="208"/>
  <c r="AJ1317" i="208"/>
  <c r="AI1317" i="208"/>
  <c r="P1461" i="208"/>
  <c r="AJ1461" i="208"/>
  <c r="AI1461" i="208"/>
  <c r="P1605" i="208"/>
  <c r="AJ1605" i="208"/>
  <c r="AI1605" i="208"/>
  <c r="P1749" i="208"/>
  <c r="AJ1749" i="208"/>
  <c r="AI1749" i="208"/>
  <c r="P1893" i="208"/>
  <c r="AJ1893" i="208"/>
  <c r="AI1893" i="208"/>
  <c r="P2037" i="208"/>
  <c r="AJ2037" i="208"/>
  <c r="AI2037" i="208"/>
  <c r="P2181" i="208"/>
  <c r="AJ2181" i="208"/>
  <c r="AI2181" i="208"/>
  <c r="P2325" i="208"/>
  <c r="AJ2325" i="208"/>
  <c r="AI2325" i="208"/>
  <c r="P2469" i="208"/>
  <c r="AJ2469" i="208"/>
  <c r="AI2469" i="208"/>
  <c r="P2613" i="208"/>
  <c r="AJ2613" i="208"/>
  <c r="AI2613" i="208"/>
  <c r="P2757" i="208"/>
  <c r="AJ2757" i="208"/>
  <c r="AI2757" i="208"/>
  <c r="P2901" i="208"/>
  <c r="AJ2901" i="208"/>
  <c r="AI2901" i="208"/>
  <c r="P699" i="208"/>
  <c r="AJ699" i="208"/>
  <c r="AI699" i="208"/>
  <c r="P1899" i="208"/>
  <c r="AJ1899" i="208"/>
  <c r="AI1899" i="208"/>
  <c r="P2679" i="208"/>
  <c r="AJ2679" i="208"/>
  <c r="AI2679" i="208"/>
  <c r="P448" i="208"/>
  <c r="AJ448" i="208"/>
  <c r="AI448" i="208"/>
  <c r="P592" i="208"/>
  <c r="AJ592" i="208"/>
  <c r="AI592" i="208"/>
  <c r="AJ736" i="208"/>
  <c r="AI736" i="208"/>
  <c r="AJ880" i="208"/>
  <c r="AI880" i="208"/>
  <c r="P1024" i="208"/>
  <c r="AJ1024" i="208"/>
  <c r="AI1024" i="208"/>
  <c r="P1168" i="208"/>
  <c r="AJ1168" i="208"/>
  <c r="AI1168" i="208"/>
  <c r="P1312" i="208"/>
  <c r="AJ1312" i="208"/>
  <c r="AI1312" i="208"/>
  <c r="P1456" i="208"/>
  <c r="AJ1456" i="208"/>
  <c r="AI1456" i="208"/>
  <c r="P1600" i="208"/>
  <c r="AI1600" i="208"/>
  <c r="AJ1600" i="208"/>
  <c r="P1744" i="208"/>
  <c r="AJ1744" i="208"/>
  <c r="AI1744" i="208"/>
  <c r="P1888" i="208"/>
  <c r="AJ1888" i="208"/>
  <c r="AI1888" i="208"/>
  <c r="P2032" i="208"/>
  <c r="AJ2032" i="208"/>
  <c r="AI2032" i="208"/>
  <c r="P2176" i="208"/>
  <c r="AJ2176" i="208"/>
  <c r="AI2176" i="208"/>
  <c r="P2320" i="208"/>
  <c r="AJ2320" i="208"/>
  <c r="AI2320" i="208"/>
  <c r="P2464" i="208"/>
  <c r="AJ2464" i="208"/>
  <c r="AI2464" i="208"/>
  <c r="P2608" i="208"/>
  <c r="AJ2608" i="208"/>
  <c r="AI2608" i="208"/>
  <c r="P2752" i="208"/>
  <c r="AJ2752" i="208"/>
  <c r="AI2752" i="208"/>
  <c r="P2896" i="208"/>
  <c r="AJ2896" i="208"/>
  <c r="AI2896" i="208"/>
  <c r="P771" i="208"/>
  <c r="AJ771" i="208"/>
  <c r="AI771" i="208"/>
  <c r="P2103" i="208"/>
  <c r="AJ2103" i="208"/>
  <c r="AI2103" i="208"/>
  <c r="P347" i="208"/>
  <c r="AJ347" i="208"/>
  <c r="AI347" i="208"/>
  <c r="AJ491" i="208"/>
  <c r="AI491" i="208"/>
  <c r="P635" i="208"/>
  <c r="AJ635" i="208"/>
  <c r="AI635" i="208"/>
  <c r="P779" i="208"/>
  <c r="AJ779" i="208"/>
  <c r="AI779" i="208"/>
  <c r="P923" i="208"/>
  <c r="AJ923" i="208"/>
  <c r="AI923" i="208"/>
  <c r="P1067" i="208"/>
  <c r="AJ1067" i="208"/>
  <c r="AI1067" i="208"/>
  <c r="P1211" i="208"/>
  <c r="AJ1211" i="208"/>
  <c r="AI1211" i="208"/>
  <c r="P1355" i="208"/>
  <c r="AJ1355" i="208"/>
  <c r="AI1355" i="208"/>
  <c r="P1499" i="208"/>
  <c r="AJ1499" i="208"/>
  <c r="AI1499" i="208"/>
  <c r="P1643" i="208"/>
  <c r="AJ1643" i="208"/>
  <c r="AI1643" i="208"/>
  <c r="P1787" i="208"/>
  <c r="AJ1787" i="208"/>
  <c r="AI1787" i="208"/>
  <c r="P1931" i="208"/>
  <c r="AJ1931" i="208"/>
  <c r="AI1931" i="208"/>
  <c r="P2075" i="208"/>
  <c r="AJ2075" i="208"/>
  <c r="AI2075" i="208"/>
  <c r="P2219" i="208"/>
  <c r="AJ2219" i="208"/>
  <c r="AI2219" i="208"/>
  <c r="P2363" i="208"/>
  <c r="AJ2363" i="208"/>
  <c r="AI2363" i="208"/>
  <c r="P2507" i="208"/>
  <c r="AJ2507" i="208"/>
  <c r="AI2507" i="208"/>
  <c r="P2651" i="208"/>
  <c r="AJ2651" i="208"/>
  <c r="AI2651" i="208"/>
  <c r="P2795" i="208"/>
  <c r="AJ2795" i="208"/>
  <c r="AI2795" i="208"/>
  <c r="P2939" i="208"/>
  <c r="AJ2939" i="208"/>
  <c r="AI2939" i="208"/>
  <c r="P1527" i="208"/>
  <c r="AJ1527" i="208"/>
  <c r="AI1527" i="208"/>
  <c r="P318" i="208"/>
  <c r="AJ318" i="208"/>
  <c r="AI318" i="208"/>
  <c r="P462" i="208"/>
  <c r="AJ462" i="208"/>
  <c r="AI462" i="208"/>
  <c r="AJ606" i="208"/>
  <c r="AI606" i="208"/>
  <c r="P750" i="208"/>
  <c r="AJ750" i="208"/>
  <c r="AI750" i="208"/>
  <c r="P894" i="208"/>
  <c r="AJ894" i="208"/>
  <c r="AI894" i="208"/>
  <c r="P1038" i="208"/>
  <c r="AJ1038" i="208"/>
  <c r="AI1038" i="208"/>
  <c r="P1182" i="208"/>
  <c r="AJ1182" i="208"/>
  <c r="AI1182" i="208"/>
  <c r="P1326" i="208"/>
  <c r="AJ1326" i="208"/>
  <c r="AI1326" i="208"/>
  <c r="P1470" i="208"/>
  <c r="AJ1470" i="208"/>
  <c r="AI1470" i="208"/>
  <c r="P1614" i="208"/>
  <c r="AJ1614" i="208"/>
  <c r="AI1614" i="208"/>
  <c r="P1758" i="208"/>
  <c r="AJ1758" i="208"/>
  <c r="AI1758" i="208"/>
  <c r="P1902" i="208"/>
  <c r="AJ1902" i="208"/>
  <c r="AI1902" i="208"/>
  <c r="P2046" i="208"/>
  <c r="AJ2046" i="208"/>
  <c r="AI2046" i="208"/>
  <c r="P2190" i="208"/>
  <c r="AJ2190" i="208"/>
  <c r="AI2190" i="208"/>
  <c r="P2334" i="208"/>
  <c r="AJ2334" i="208"/>
  <c r="AI2334" i="208"/>
  <c r="P2478" i="208"/>
  <c r="AJ2478" i="208"/>
  <c r="AI2478" i="208"/>
  <c r="P2622" i="208"/>
  <c r="AJ2622" i="208"/>
  <c r="AI2622" i="208"/>
  <c r="P2766" i="208"/>
  <c r="AJ2766" i="208"/>
  <c r="AI2766" i="208"/>
  <c r="P2910" i="208"/>
  <c r="AJ2910" i="208"/>
  <c r="AI2910" i="208"/>
  <c r="P1359" i="208"/>
  <c r="AJ1359" i="208"/>
  <c r="AI1359" i="208"/>
  <c r="P349" i="208"/>
  <c r="AJ349" i="208"/>
  <c r="AI349" i="208"/>
  <c r="P493" i="208"/>
  <c r="AJ493" i="208"/>
  <c r="AI493" i="208"/>
  <c r="P637" i="208"/>
  <c r="AJ637" i="208"/>
  <c r="AI637" i="208"/>
  <c r="F781" i="208"/>
  <c r="T781" i="208" s="1"/>
  <c r="AJ781" i="208"/>
  <c r="AI781" i="208"/>
  <c r="P925" i="208"/>
  <c r="AJ925" i="208"/>
  <c r="AI925" i="208"/>
  <c r="P1069" i="208"/>
  <c r="AJ1069" i="208"/>
  <c r="AI1069" i="208"/>
  <c r="P1213" i="208"/>
  <c r="AJ1213" i="208"/>
  <c r="AI1213" i="208"/>
  <c r="P1357" i="208"/>
  <c r="AJ1357" i="208"/>
  <c r="AI1357" i="208"/>
  <c r="P1501" i="208"/>
  <c r="AJ1501" i="208"/>
  <c r="AI1501" i="208"/>
  <c r="P1645" i="208"/>
  <c r="AJ1645" i="208"/>
  <c r="AI1645" i="208"/>
  <c r="P1789" i="208"/>
  <c r="AJ1789" i="208"/>
  <c r="AI1789" i="208"/>
  <c r="P1933" i="208"/>
  <c r="AJ1933" i="208"/>
  <c r="AI1933" i="208"/>
  <c r="P2077" i="208"/>
  <c r="AJ2077" i="208"/>
  <c r="AI2077" i="208"/>
  <c r="P2221" i="208"/>
  <c r="AJ2221" i="208"/>
  <c r="AI2221" i="208"/>
  <c r="P2365" i="208"/>
  <c r="AJ2365" i="208"/>
  <c r="AI2365" i="208"/>
  <c r="P2509" i="208"/>
  <c r="AJ2509" i="208"/>
  <c r="AI2509" i="208"/>
  <c r="P2653" i="208"/>
  <c r="AJ2653" i="208"/>
  <c r="AI2653" i="208"/>
  <c r="P2797" i="208"/>
  <c r="AJ2797" i="208"/>
  <c r="AI2797" i="208"/>
  <c r="P2941" i="208"/>
  <c r="AJ2941" i="208"/>
  <c r="AI2941" i="208"/>
  <c r="P1383" i="208"/>
  <c r="AJ1383" i="208"/>
  <c r="AI1383" i="208"/>
  <c r="P2187" i="208"/>
  <c r="AJ2187" i="208"/>
  <c r="AI2187" i="208"/>
  <c r="P344" i="208"/>
  <c r="AJ344" i="208"/>
  <c r="AI344" i="208"/>
  <c r="V488" i="208"/>
  <c r="AJ488" i="208"/>
  <c r="AI488" i="208"/>
  <c r="P632" i="208"/>
  <c r="AJ632" i="208"/>
  <c r="AI632" i="208"/>
  <c r="V776" i="208"/>
  <c r="AJ776" i="208"/>
  <c r="AI776" i="208"/>
  <c r="P920" i="208"/>
  <c r="AJ920" i="208"/>
  <c r="AI920" i="208"/>
  <c r="P1064" i="208"/>
  <c r="AJ1064" i="208"/>
  <c r="AI1064" i="208"/>
  <c r="P1208" i="208"/>
  <c r="AJ1208" i="208"/>
  <c r="AI1208" i="208"/>
  <c r="P1352" i="208"/>
  <c r="AJ1352" i="208"/>
  <c r="AI1352" i="208"/>
  <c r="P1496" i="208"/>
  <c r="AJ1496" i="208"/>
  <c r="AI1496" i="208"/>
  <c r="P1640" i="208"/>
  <c r="AJ1640" i="208"/>
  <c r="AI1640" i="208"/>
  <c r="P1784" i="208"/>
  <c r="AJ1784" i="208"/>
  <c r="AI1784" i="208"/>
  <c r="P1928" i="208"/>
  <c r="AJ1928" i="208"/>
  <c r="AI1928" i="208"/>
  <c r="P2072" i="208"/>
  <c r="AJ2072" i="208"/>
  <c r="AI2072" i="208"/>
  <c r="P2216" i="208"/>
  <c r="AJ2216" i="208"/>
  <c r="AI2216" i="208"/>
  <c r="P2360" i="208"/>
  <c r="AJ2360" i="208"/>
  <c r="AI2360" i="208"/>
  <c r="P2504" i="208"/>
  <c r="AJ2504" i="208"/>
  <c r="AI2504" i="208"/>
  <c r="P2648" i="208"/>
  <c r="AJ2648" i="208"/>
  <c r="AI2648" i="208"/>
  <c r="P2792" i="208"/>
  <c r="AJ2792" i="208"/>
  <c r="AI2792" i="208"/>
  <c r="P2936" i="208"/>
  <c r="AJ2936" i="208"/>
  <c r="AI2936" i="208"/>
  <c r="P963" i="208"/>
  <c r="AJ963" i="208"/>
  <c r="AI963" i="208"/>
  <c r="P2439" i="208"/>
  <c r="AJ2439" i="208"/>
  <c r="AI2439" i="208"/>
  <c r="P363" i="208"/>
  <c r="AJ363" i="208"/>
  <c r="AI363" i="208"/>
  <c r="H17" i="29"/>
  <c r="I14" i="29"/>
  <c r="G14" i="29"/>
  <c r="H16" i="29"/>
  <c r="I13" i="29"/>
  <c r="G15" i="29"/>
  <c r="I17" i="29"/>
  <c r="I16" i="29"/>
  <c r="G16" i="29"/>
  <c r="I15" i="29"/>
  <c r="H15" i="29"/>
  <c r="H14" i="29"/>
  <c r="I18" i="29"/>
  <c r="H13" i="29"/>
  <c r="H18" i="29"/>
  <c r="G13" i="29"/>
  <c r="G18" i="29"/>
  <c r="G17" i="29"/>
  <c r="F3" i="208"/>
  <c r="T3" i="208" s="1"/>
  <c r="AJ3" i="208"/>
  <c r="AI3" i="208"/>
  <c r="AA12" i="208"/>
  <c r="AJ12" i="208"/>
  <c r="AI12" i="208"/>
  <c r="P21" i="208"/>
  <c r="AJ21" i="208"/>
  <c r="AI21" i="208"/>
  <c r="AJ30" i="208"/>
  <c r="AI30" i="208"/>
  <c r="P39" i="208"/>
  <c r="AJ39" i="208"/>
  <c r="AI39" i="208"/>
  <c r="P48" i="208"/>
  <c r="AJ48" i="208"/>
  <c r="AI48" i="208"/>
  <c r="AJ57" i="208"/>
  <c r="AI57" i="208"/>
  <c r="AJ66" i="208"/>
  <c r="AI66" i="208"/>
  <c r="AJ75" i="208"/>
  <c r="AI75" i="208"/>
  <c r="AJ84" i="208"/>
  <c r="AI84" i="208"/>
  <c r="AJ93" i="208"/>
  <c r="AI93" i="208"/>
  <c r="P102" i="208"/>
  <c r="AJ102" i="208"/>
  <c r="AI102" i="208"/>
  <c r="P111" i="208"/>
  <c r="AJ111" i="208"/>
  <c r="AI111" i="208"/>
  <c r="P120" i="208"/>
  <c r="AJ120" i="208"/>
  <c r="AI120" i="208"/>
  <c r="AE129" i="208"/>
  <c r="AJ129" i="208"/>
  <c r="AI129" i="208"/>
  <c r="AE138" i="208"/>
  <c r="AJ138" i="208"/>
  <c r="AI138" i="208"/>
  <c r="AJ147" i="208"/>
  <c r="AI147" i="208"/>
  <c r="AJ156" i="208"/>
  <c r="AI156" i="208"/>
  <c r="AJ165" i="208"/>
  <c r="AI165" i="208"/>
  <c r="AJ174" i="208"/>
  <c r="AI174" i="208"/>
  <c r="AJ183" i="208"/>
  <c r="AI183" i="208"/>
  <c r="P192" i="208"/>
  <c r="AJ192" i="208"/>
  <c r="AI192" i="208"/>
  <c r="P201" i="208"/>
  <c r="AJ201" i="208"/>
  <c r="AI201" i="208"/>
  <c r="AJ210" i="208"/>
  <c r="AI210" i="208"/>
  <c r="P219" i="208"/>
  <c r="AJ219" i="208"/>
  <c r="AI219" i="208"/>
  <c r="AJ228" i="208"/>
  <c r="AI228" i="208"/>
  <c r="AJ237" i="208"/>
  <c r="AI237" i="208"/>
  <c r="AJ246" i="208"/>
  <c r="AI246" i="208"/>
  <c r="AJ255" i="208"/>
  <c r="AI255" i="208"/>
  <c r="AJ264" i="208"/>
  <c r="AI264" i="208"/>
  <c r="P292" i="208"/>
  <c r="AJ292" i="208"/>
  <c r="AI292" i="208"/>
  <c r="AJ282" i="208"/>
  <c r="AI282" i="208"/>
  <c r="AJ358" i="208"/>
  <c r="AI358" i="208"/>
  <c r="P502" i="208"/>
  <c r="AJ502" i="208"/>
  <c r="AI502" i="208"/>
  <c r="AJ646" i="208"/>
  <c r="AI646" i="208"/>
  <c r="AJ790" i="208"/>
  <c r="AI790" i="208"/>
  <c r="P934" i="208"/>
  <c r="AJ934" i="208"/>
  <c r="AI934" i="208"/>
  <c r="P1078" i="208"/>
  <c r="AJ1078" i="208"/>
  <c r="AI1078" i="208"/>
  <c r="P1222" i="208"/>
  <c r="AJ1222" i="208"/>
  <c r="AI1222" i="208"/>
  <c r="P1366" i="208"/>
  <c r="AJ1366" i="208"/>
  <c r="AI1366" i="208"/>
  <c r="P1510" i="208"/>
  <c r="AJ1510" i="208"/>
  <c r="AI1510" i="208"/>
  <c r="P1654" i="208"/>
  <c r="AJ1654" i="208"/>
  <c r="AI1654" i="208"/>
  <c r="P1798" i="208"/>
  <c r="AJ1798" i="208"/>
  <c r="AI1798" i="208"/>
  <c r="P1942" i="208"/>
  <c r="AJ1942" i="208"/>
  <c r="AI1942" i="208"/>
  <c r="P2086" i="208"/>
  <c r="AJ2086" i="208"/>
  <c r="AI2086" i="208"/>
  <c r="P2230" i="208"/>
  <c r="AJ2230" i="208"/>
  <c r="AI2230" i="208"/>
  <c r="P2374" i="208"/>
  <c r="AJ2374" i="208"/>
  <c r="AI2374" i="208"/>
  <c r="P2518" i="208"/>
  <c r="AJ2518" i="208"/>
  <c r="AI2518" i="208"/>
  <c r="P2662" i="208"/>
  <c r="AJ2662" i="208"/>
  <c r="AI2662" i="208"/>
  <c r="P2806" i="208"/>
  <c r="AJ2806" i="208"/>
  <c r="AI2806" i="208"/>
  <c r="P2950" i="208"/>
  <c r="AJ2950" i="208"/>
  <c r="AI2950" i="208"/>
  <c r="P915" i="208"/>
  <c r="AJ915" i="208"/>
  <c r="AI915" i="208"/>
  <c r="AJ413" i="208"/>
  <c r="AI413" i="208"/>
  <c r="AJ557" i="208"/>
  <c r="AI557" i="208"/>
  <c r="P701" i="208"/>
  <c r="AJ701" i="208"/>
  <c r="AI701" i="208"/>
  <c r="P845" i="208"/>
  <c r="AJ845" i="208"/>
  <c r="AI845" i="208"/>
  <c r="P989" i="208"/>
  <c r="AJ989" i="208"/>
  <c r="AI989" i="208"/>
  <c r="P1133" i="208"/>
  <c r="AJ1133" i="208"/>
  <c r="AI1133" i="208"/>
  <c r="P1277" i="208"/>
  <c r="AJ1277" i="208"/>
  <c r="AI1277" i="208"/>
  <c r="P1421" i="208"/>
  <c r="AJ1421" i="208"/>
  <c r="AI1421" i="208"/>
  <c r="P1565" i="208"/>
  <c r="AJ1565" i="208"/>
  <c r="AI1565" i="208"/>
  <c r="P1709" i="208"/>
  <c r="AJ1709" i="208"/>
  <c r="AI1709" i="208"/>
  <c r="P1853" i="208"/>
  <c r="AJ1853" i="208"/>
  <c r="AI1853" i="208"/>
  <c r="P1997" i="208"/>
  <c r="AJ1997" i="208"/>
  <c r="AI1997" i="208"/>
  <c r="P2141" i="208"/>
  <c r="AJ2141" i="208"/>
  <c r="AI2141" i="208"/>
  <c r="P2285" i="208"/>
  <c r="AJ2285" i="208"/>
  <c r="AI2285" i="208"/>
  <c r="P2429" i="208"/>
  <c r="AJ2429" i="208"/>
  <c r="AI2429" i="208"/>
  <c r="P2573" i="208"/>
  <c r="AJ2573" i="208"/>
  <c r="AI2573" i="208"/>
  <c r="P2717" i="208"/>
  <c r="AJ2717" i="208"/>
  <c r="AI2717" i="208"/>
  <c r="P2861" i="208"/>
  <c r="AJ2861" i="208"/>
  <c r="AI2861" i="208"/>
  <c r="P747" i="208"/>
  <c r="AJ747" i="208"/>
  <c r="AI747" i="208"/>
  <c r="P360" i="208"/>
  <c r="AJ360" i="208"/>
  <c r="AI360" i="208"/>
  <c r="P504" i="208"/>
  <c r="AJ504" i="208"/>
  <c r="AI504" i="208"/>
  <c r="P648" i="208"/>
  <c r="AJ648" i="208"/>
  <c r="AI648" i="208"/>
  <c r="P792" i="208"/>
  <c r="AJ792" i="208"/>
  <c r="AI792" i="208"/>
  <c r="P936" i="208"/>
  <c r="AJ936" i="208"/>
  <c r="AI936" i="208"/>
  <c r="P1080" i="208"/>
  <c r="AJ1080" i="208"/>
  <c r="AI1080" i="208"/>
  <c r="P1224" i="208"/>
  <c r="AJ1224" i="208"/>
  <c r="AI1224" i="208"/>
  <c r="P1368" i="208"/>
  <c r="AJ1368" i="208"/>
  <c r="AI1368" i="208"/>
  <c r="P1512" i="208"/>
  <c r="AJ1512" i="208"/>
  <c r="AI1512" i="208"/>
  <c r="P1656" i="208"/>
  <c r="AJ1656" i="208"/>
  <c r="AI1656" i="208"/>
  <c r="P1800" i="208"/>
  <c r="AJ1800" i="208"/>
  <c r="AI1800" i="208"/>
  <c r="P1944" i="208"/>
  <c r="AJ1944" i="208"/>
  <c r="AI1944" i="208"/>
  <c r="P2088" i="208"/>
  <c r="AJ2088" i="208"/>
  <c r="AI2088" i="208"/>
  <c r="P2232" i="208"/>
  <c r="AJ2232" i="208"/>
  <c r="AI2232" i="208"/>
  <c r="P2376" i="208"/>
  <c r="AJ2376" i="208"/>
  <c r="AI2376" i="208"/>
  <c r="P2520" i="208"/>
  <c r="AJ2520" i="208"/>
  <c r="AI2520" i="208"/>
  <c r="P2664" i="208"/>
  <c r="AJ2664" i="208"/>
  <c r="AI2664" i="208"/>
  <c r="P2808" i="208"/>
  <c r="AJ2808" i="208"/>
  <c r="AI2808" i="208"/>
  <c r="P2952" i="208"/>
  <c r="AJ2952" i="208"/>
  <c r="AI2952" i="208"/>
  <c r="P1539" i="208"/>
  <c r="AJ1539" i="208"/>
  <c r="AI1539" i="208"/>
  <c r="P2655" i="208"/>
  <c r="AJ2655" i="208"/>
  <c r="AI2655" i="208"/>
  <c r="P319" i="208"/>
  <c r="AJ319" i="208"/>
  <c r="AI319" i="208"/>
  <c r="AJ463" i="208"/>
  <c r="AI463" i="208"/>
  <c r="AJ607" i="208"/>
  <c r="AI607" i="208"/>
  <c r="P751" i="208"/>
  <c r="AJ751" i="208"/>
  <c r="AI751" i="208"/>
  <c r="P895" i="208"/>
  <c r="AJ895" i="208"/>
  <c r="AI895" i="208"/>
  <c r="P1039" i="208"/>
  <c r="AJ1039" i="208"/>
  <c r="AI1039" i="208"/>
  <c r="P1183" i="208"/>
  <c r="AJ1183" i="208"/>
  <c r="AI1183" i="208"/>
  <c r="P1327" i="208"/>
  <c r="AJ1327" i="208"/>
  <c r="AI1327" i="208"/>
  <c r="P1471" i="208"/>
  <c r="AJ1471" i="208"/>
  <c r="AI1471" i="208"/>
  <c r="P1615" i="208"/>
  <c r="AJ1615" i="208"/>
  <c r="AI1615" i="208"/>
  <c r="P1759" i="208"/>
  <c r="AJ1759" i="208"/>
  <c r="AI1759" i="208"/>
  <c r="P1903" i="208"/>
  <c r="AJ1903" i="208"/>
  <c r="AI1903" i="208"/>
  <c r="P2047" i="208"/>
  <c r="AJ2047" i="208"/>
  <c r="AI2047" i="208"/>
  <c r="P2191" i="208"/>
  <c r="AJ2191" i="208"/>
  <c r="AI2191" i="208"/>
  <c r="P2335" i="208"/>
  <c r="AJ2335" i="208"/>
  <c r="AI2335" i="208"/>
  <c r="P2479" i="208"/>
  <c r="AJ2479" i="208"/>
  <c r="AI2479" i="208"/>
  <c r="P2623" i="208"/>
  <c r="AJ2623" i="208"/>
  <c r="AI2623" i="208"/>
  <c r="P2767" i="208"/>
  <c r="AJ2767" i="208"/>
  <c r="AI2767" i="208"/>
  <c r="P2911" i="208"/>
  <c r="AJ2911" i="208"/>
  <c r="AI2911" i="208"/>
  <c r="P1263" i="208"/>
  <c r="AJ1263" i="208"/>
  <c r="AI1263" i="208"/>
  <c r="P434" i="208"/>
  <c r="AJ434" i="208"/>
  <c r="AI434" i="208"/>
  <c r="P578" i="208"/>
  <c r="AI578" i="208"/>
  <c r="AJ578" i="208"/>
  <c r="P722" i="208"/>
  <c r="AJ722" i="208"/>
  <c r="AI722" i="208"/>
  <c r="AJ866" i="208"/>
  <c r="AI866" i="208"/>
  <c r="P1010" i="208"/>
  <c r="AJ1010" i="208"/>
  <c r="AI1010" i="208"/>
  <c r="P1154" i="208"/>
  <c r="AJ1154" i="208"/>
  <c r="AI1154" i="208"/>
  <c r="P1298" i="208"/>
  <c r="AJ1298" i="208"/>
  <c r="AI1298" i="208"/>
  <c r="P1442" i="208"/>
  <c r="AJ1442" i="208"/>
  <c r="AI1442" i="208"/>
  <c r="P1586" i="208"/>
  <c r="AJ1586" i="208"/>
  <c r="AI1586" i="208"/>
  <c r="P1730" i="208"/>
  <c r="AJ1730" i="208"/>
  <c r="AI1730" i="208"/>
  <c r="P1874" i="208"/>
  <c r="AJ1874" i="208"/>
  <c r="AI1874" i="208"/>
  <c r="P2018" i="208"/>
  <c r="AJ2018" i="208"/>
  <c r="AI2018" i="208"/>
  <c r="P2162" i="208"/>
  <c r="AJ2162" i="208"/>
  <c r="AI2162" i="208"/>
  <c r="P2306" i="208"/>
  <c r="AJ2306" i="208"/>
  <c r="AI2306" i="208"/>
  <c r="P2450" i="208"/>
  <c r="AJ2450" i="208"/>
  <c r="AI2450" i="208"/>
  <c r="P2594" i="208"/>
  <c r="AJ2594" i="208"/>
  <c r="AI2594" i="208"/>
  <c r="P2738" i="208"/>
  <c r="AJ2738" i="208"/>
  <c r="AI2738" i="208"/>
  <c r="P2882" i="208"/>
  <c r="AJ2882" i="208"/>
  <c r="AI2882" i="208"/>
  <c r="P471" i="208"/>
  <c r="AJ471" i="208"/>
  <c r="AI471" i="208"/>
  <c r="P2955" i="208"/>
  <c r="AJ2955" i="208"/>
  <c r="AI2955" i="208"/>
  <c r="P321" i="208"/>
  <c r="AJ321" i="208"/>
  <c r="AI321" i="208"/>
  <c r="P465" i="208"/>
  <c r="AJ465" i="208"/>
  <c r="AI465" i="208"/>
  <c r="AJ609" i="208"/>
  <c r="AI609" i="208"/>
  <c r="P753" i="208"/>
  <c r="AJ753" i="208"/>
  <c r="AI753" i="208"/>
  <c r="P897" i="208"/>
  <c r="AJ897" i="208"/>
  <c r="AI897" i="208"/>
  <c r="P1041" i="208"/>
  <c r="AJ1041" i="208"/>
  <c r="AI1041" i="208"/>
  <c r="P1185" i="208"/>
  <c r="AJ1185" i="208"/>
  <c r="AI1185" i="208"/>
  <c r="P1329" i="208"/>
  <c r="AJ1329" i="208"/>
  <c r="AI1329" i="208"/>
  <c r="P1473" i="208"/>
  <c r="AJ1473" i="208"/>
  <c r="AI1473" i="208"/>
  <c r="P1617" i="208"/>
  <c r="AJ1617" i="208"/>
  <c r="AI1617" i="208"/>
  <c r="P1761" i="208"/>
  <c r="AJ1761" i="208"/>
  <c r="AI1761" i="208"/>
  <c r="P1905" i="208"/>
  <c r="AJ1905" i="208"/>
  <c r="AI1905" i="208"/>
  <c r="P2049" i="208"/>
  <c r="AJ2049" i="208"/>
  <c r="AI2049" i="208"/>
  <c r="P2193" i="208"/>
  <c r="AJ2193" i="208"/>
  <c r="AI2193" i="208"/>
  <c r="P2337" i="208"/>
  <c r="AJ2337" i="208"/>
  <c r="AI2337" i="208"/>
  <c r="P2481" i="208"/>
  <c r="AJ2481" i="208"/>
  <c r="AI2481" i="208"/>
  <c r="P2625" i="208"/>
  <c r="AJ2625" i="208"/>
  <c r="AI2625" i="208"/>
  <c r="P2769" i="208"/>
  <c r="AJ2769" i="208"/>
  <c r="AI2769" i="208"/>
  <c r="P2913" i="208"/>
  <c r="AJ2913" i="208"/>
  <c r="AI2913" i="208"/>
  <c r="P795" i="208"/>
  <c r="AJ795" i="208"/>
  <c r="AI795" i="208"/>
  <c r="P1911" i="208"/>
  <c r="AJ1911" i="208"/>
  <c r="AI1911" i="208"/>
  <c r="P2763" i="208"/>
  <c r="AJ2763" i="208"/>
  <c r="AI2763" i="208"/>
  <c r="AJ316" i="208"/>
  <c r="AI316" i="208"/>
  <c r="AJ460" i="208"/>
  <c r="AI460" i="208"/>
  <c r="AI604" i="208"/>
  <c r="AJ604" i="208"/>
  <c r="P748" i="208"/>
  <c r="AJ748" i="208"/>
  <c r="AI748" i="208"/>
  <c r="P892" i="208"/>
  <c r="AJ892" i="208"/>
  <c r="AI892" i="208"/>
  <c r="P1036" i="208"/>
  <c r="AJ1036" i="208"/>
  <c r="AI1036" i="208"/>
  <c r="P1180" i="208"/>
  <c r="AJ1180" i="208"/>
  <c r="AI1180" i="208"/>
  <c r="P1324" i="208"/>
  <c r="AI1324" i="208"/>
  <c r="AJ1324" i="208"/>
  <c r="P1468" i="208"/>
  <c r="AJ1468" i="208"/>
  <c r="AI1468" i="208"/>
  <c r="P1612" i="208"/>
  <c r="AJ1612" i="208"/>
  <c r="AI1612" i="208"/>
  <c r="P1756" i="208"/>
  <c r="AJ1756" i="208"/>
  <c r="AI1756" i="208"/>
  <c r="P1900" i="208"/>
  <c r="AJ1900" i="208"/>
  <c r="AI1900" i="208"/>
  <c r="P2044" i="208"/>
  <c r="AJ2044" i="208"/>
  <c r="AI2044" i="208"/>
  <c r="P2188" i="208"/>
  <c r="AJ2188" i="208"/>
  <c r="AI2188" i="208"/>
  <c r="P2332" i="208"/>
  <c r="AJ2332" i="208"/>
  <c r="AI2332" i="208"/>
  <c r="P2476" i="208"/>
  <c r="AJ2476" i="208"/>
  <c r="AI2476" i="208"/>
  <c r="P2620" i="208"/>
  <c r="AJ2620" i="208"/>
  <c r="AI2620" i="208"/>
  <c r="P2764" i="208"/>
  <c r="AJ2764" i="208"/>
  <c r="AI2764" i="208"/>
  <c r="P2908" i="208"/>
  <c r="AJ2908" i="208"/>
  <c r="AI2908" i="208"/>
  <c r="P831" i="208"/>
  <c r="AJ831" i="208"/>
  <c r="AI831" i="208"/>
  <c r="P2115" i="208"/>
  <c r="AJ2115" i="208"/>
  <c r="AI2115" i="208"/>
  <c r="P359" i="208"/>
  <c r="AJ359" i="208"/>
  <c r="AI359" i="208"/>
  <c r="P503" i="208"/>
  <c r="AJ503" i="208"/>
  <c r="AI503" i="208"/>
  <c r="AJ647" i="208"/>
  <c r="AI647" i="208"/>
  <c r="P791" i="208"/>
  <c r="AJ791" i="208"/>
  <c r="AI791" i="208"/>
  <c r="P935" i="208"/>
  <c r="AJ935" i="208"/>
  <c r="AI935" i="208"/>
  <c r="P1079" i="208"/>
  <c r="AJ1079" i="208"/>
  <c r="AI1079" i="208"/>
  <c r="P1223" i="208"/>
  <c r="AJ1223" i="208"/>
  <c r="AI1223" i="208"/>
  <c r="P1367" i="208"/>
  <c r="AJ1367" i="208"/>
  <c r="AI1367" i="208"/>
  <c r="P1511" i="208"/>
  <c r="AJ1511" i="208"/>
  <c r="AI1511" i="208"/>
  <c r="P1655" i="208"/>
  <c r="AJ1655" i="208"/>
  <c r="AI1655" i="208"/>
  <c r="P1799" i="208"/>
  <c r="AJ1799" i="208"/>
  <c r="AI1799" i="208"/>
  <c r="P1943" i="208"/>
  <c r="AJ1943" i="208"/>
  <c r="AI1943" i="208"/>
  <c r="P2087" i="208"/>
  <c r="AJ2087" i="208"/>
  <c r="AI2087" i="208"/>
  <c r="P2231" i="208"/>
  <c r="AJ2231" i="208"/>
  <c r="AI2231" i="208"/>
  <c r="P2375" i="208"/>
  <c r="AJ2375" i="208"/>
  <c r="AI2375" i="208"/>
  <c r="P2519" i="208"/>
  <c r="AJ2519" i="208"/>
  <c r="AI2519" i="208"/>
  <c r="P2663" i="208"/>
  <c r="AJ2663" i="208"/>
  <c r="AI2663" i="208"/>
  <c r="P2807" i="208"/>
  <c r="AJ2807" i="208"/>
  <c r="AI2807" i="208"/>
  <c r="P2951" i="208"/>
  <c r="AJ2951" i="208"/>
  <c r="AI2951" i="208"/>
  <c r="P1767" i="208"/>
  <c r="AJ1767" i="208"/>
  <c r="AI1767" i="208"/>
  <c r="P330" i="208"/>
  <c r="AJ330" i="208"/>
  <c r="AI330" i="208"/>
  <c r="P474" i="208"/>
  <c r="AJ474" i="208"/>
  <c r="AI474" i="208"/>
  <c r="P618" i="208"/>
  <c r="AJ618" i="208"/>
  <c r="AI618" i="208"/>
  <c r="P762" i="208"/>
  <c r="AJ762" i="208"/>
  <c r="AI762" i="208"/>
  <c r="P906" i="208"/>
  <c r="AJ906" i="208"/>
  <c r="AI906" i="208"/>
  <c r="P1050" i="208"/>
  <c r="AJ1050" i="208"/>
  <c r="AI1050" i="208"/>
  <c r="P1194" i="208"/>
  <c r="AJ1194" i="208"/>
  <c r="AI1194" i="208"/>
  <c r="P1338" i="208"/>
  <c r="AJ1338" i="208"/>
  <c r="AI1338" i="208"/>
  <c r="P1482" i="208"/>
  <c r="AJ1482" i="208"/>
  <c r="AI1482" i="208"/>
  <c r="P1626" i="208"/>
  <c r="AJ1626" i="208"/>
  <c r="AI1626" i="208"/>
  <c r="P1770" i="208"/>
  <c r="AJ1770" i="208"/>
  <c r="AI1770" i="208"/>
  <c r="P1914" i="208"/>
  <c r="AJ1914" i="208"/>
  <c r="AI1914" i="208"/>
  <c r="P2058" i="208"/>
  <c r="AJ2058" i="208"/>
  <c r="AI2058" i="208"/>
  <c r="P2202" i="208"/>
  <c r="AJ2202" i="208"/>
  <c r="AI2202" i="208"/>
  <c r="P2346" i="208"/>
  <c r="AJ2346" i="208"/>
  <c r="AI2346" i="208"/>
  <c r="P2490" i="208"/>
  <c r="AJ2490" i="208"/>
  <c r="AI2490" i="208"/>
  <c r="P2634" i="208"/>
  <c r="AJ2634" i="208"/>
  <c r="AI2634" i="208"/>
  <c r="P2778" i="208"/>
  <c r="AJ2778" i="208"/>
  <c r="AI2778" i="208"/>
  <c r="P2922" i="208"/>
  <c r="AJ2922" i="208"/>
  <c r="AI2922" i="208"/>
  <c r="P1443" i="208"/>
  <c r="AJ1443" i="208"/>
  <c r="AI1443" i="208"/>
  <c r="P361" i="208"/>
  <c r="AJ361" i="208"/>
  <c r="AI361" i="208"/>
  <c r="P505" i="208"/>
  <c r="AJ505" i="208"/>
  <c r="AI505" i="208"/>
  <c r="P649" i="208"/>
  <c r="AJ649" i="208"/>
  <c r="AI649" i="208"/>
  <c r="P793" i="208"/>
  <c r="AJ793" i="208"/>
  <c r="AI793" i="208"/>
  <c r="P937" i="208"/>
  <c r="AJ937" i="208"/>
  <c r="AI937" i="208"/>
  <c r="P1081" i="208"/>
  <c r="AJ1081" i="208"/>
  <c r="AI1081" i="208"/>
  <c r="P1225" i="208"/>
  <c r="AJ1225" i="208"/>
  <c r="AI1225" i="208"/>
  <c r="P1369" i="208"/>
  <c r="AJ1369" i="208"/>
  <c r="AI1369" i="208"/>
  <c r="P1513" i="208"/>
  <c r="AJ1513" i="208"/>
  <c r="AI1513" i="208"/>
  <c r="P1657" i="208"/>
  <c r="AJ1657" i="208"/>
  <c r="AI1657" i="208"/>
  <c r="P1801" i="208"/>
  <c r="AJ1801" i="208"/>
  <c r="AI1801" i="208"/>
  <c r="P1945" i="208"/>
  <c r="AJ1945" i="208"/>
  <c r="AI1945" i="208"/>
  <c r="P2089" i="208"/>
  <c r="AJ2089" i="208"/>
  <c r="AI2089" i="208"/>
  <c r="P2233" i="208"/>
  <c r="AJ2233" i="208"/>
  <c r="AI2233" i="208"/>
  <c r="P2377" i="208"/>
  <c r="AJ2377" i="208"/>
  <c r="AI2377" i="208"/>
  <c r="P2521" i="208"/>
  <c r="AJ2521" i="208"/>
  <c r="AI2521" i="208"/>
  <c r="P2665" i="208"/>
  <c r="AJ2665" i="208"/>
  <c r="AI2665" i="208"/>
  <c r="P2809" i="208"/>
  <c r="AJ2809" i="208"/>
  <c r="AI2809" i="208"/>
  <c r="P2953" i="208"/>
  <c r="AJ2953" i="208"/>
  <c r="AI2953" i="208"/>
  <c r="P1419" i="208"/>
  <c r="AJ1419" i="208"/>
  <c r="AI1419" i="208"/>
  <c r="P2523" i="208"/>
  <c r="AJ2523" i="208"/>
  <c r="AI2523" i="208"/>
  <c r="P356" i="208"/>
  <c r="AJ356" i="208"/>
  <c r="AI356" i="208"/>
  <c r="P500" i="208"/>
  <c r="AJ500" i="208"/>
  <c r="AI500" i="208"/>
  <c r="P644" i="208"/>
  <c r="AJ644" i="208"/>
  <c r="AI644" i="208"/>
  <c r="AJ788" i="208"/>
  <c r="AI788" i="208"/>
  <c r="P932" i="208"/>
  <c r="AJ932" i="208"/>
  <c r="AI932" i="208"/>
  <c r="P1076" i="208"/>
  <c r="AJ1076" i="208"/>
  <c r="AI1076" i="208"/>
  <c r="P1220" i="208"/>
  <c r="AJ1220" i="208"/>
  <c r="AI1220" i="208"/>
  <c r="P1364" i="208"/>
  <c r="AJ1364" i="208"/>
  <c r="AI1364" i="208"/>
  <c r="P1508" i="208"/>
  <c r="AJ1508" i="208"/>
  <c r="AI1508" i="208"/>
  <c r="P1652" i="208"/>
  <c r="AJ1652" i="208"/>
  <c r="AI1652" i="208"/>
  <c r="P1796" i="208"/>
  <c r="AJ1796" i="208"/>
  <c r="AI1796" i="208"/>
  <c r="P1940" i="208"/>
  <c r="AI1940" i="208"/>
  <c r="AJ1940" i="208"/>
  <c r="P2084" i="208"/>
  <c r="AJ2084" i="208"/>
  <c r="AI2084" i="208"/>
  <c r="P2228" i="208"/>
  <c r="AJ2228" i="208"/>
  <c r="AI2228" i="208"/>
  <c r="P2372" i="208"/>
  <c r="AJ2372" i="208"/>
  <c r="AI2372" i="208"/>
  <c r="P2516" i="208"/>
  <c r="AJ2516" i="208"/>
  <c r="AI2516" i="208"/>
  <c r="P2660" i="208"/>
  <c r="AJ2660" i="208"/>
  <c r="AI2660" i="208"/>
  <c r="P2804" i="208"/>
  <c r="AJ2804" i="208"/>
  <c r="AI2804" i="208"/>
  <c r="P2948" i="208"/>
  <c r="AJ2948" i="208"/>
  <c r="AI2948" i="208"/>
  <c r="P987" i="208"/>
  <c r="AJ987" i="208"/>
  <c r="AI987" i="208"/>
  <c r="P2475" i="208"/>
  <c r="AJ2475" i="208"/>
  <c r="AI2475" i="208"/>
  <c r="P375" i="208"/>
  <c r="AJ375" i="208"/>
  <c r="AI375" i="208"/>
  <c r="P2" i="208"/>
  <c r="AJ2" i="208"/>
  <c r="AI2" i="208"/>
  <c r="P10" i="208"/>
  <c r="AJ10" i="208"/>
  <c r="AI10" i="208"/>
  <c r="P19" i="208"/>
  <c r="AJ19" i="208"/>
  <c r="AI19" i="208"/>
  <c r="P28" i="208"/>
  <c r="AJ28" i="208"/>
  <c r="AI28" i="208"/>
  <c r="P37" i="208"/>
  <c r="AJ37" i="208"/>
  <c r="AI37" i="208"/>
  <c r="P46" i="208"/>
  <c r="AJ46" i="208"/>
  <c r="AI46" i="208"/>
  <c r="P55" i="208"/>
  <c r="AJ55" i="208"/>
  <c r="AI55" i="208"/>
  <c r="P64" i="208"/>
  <c r="AJ64" i="208"/>
  <c r="AI64" i="208"/>
  <c r="P73" i="208"/>
  <c r="AJ73" i="208"/>
  <c r="AI73" i="208"/>
  <c r="P82" i="208"/>
  <c r="AJ82" i="208"/>
  <c r="AI82" i="208"/>
  <c r="P91" i="208"/>
  <c r="AJ91" i="208"/>
  <c r="AI91" i="208"/>
  <c r="P100" i="208"/>
  <c r="AJ100" i="208"/>
  <c r="AI100" i="208"/>
  <c r="P109" i="208"/>
  <c r="AJ109" i="208"/>
  <c r="AI109" i="208"/>
  <c r="P118" i="208"/>
  <c r="AJ118" i="208"/>
  <c r="AI118" i="208"/>
  <c r="P127" i="208"/>
  <c r="AJ127" i="208"/>
  <c r="AI127" i="208"/>
  <c r="P136" i="208"/>
  <c r="AI136" i="208"/>
  <c r="AJ136" i="208"/>
  <c r="P145" i="208"/>
  <c r="AJ145" i="208"/>
  <c r="AI145" i="208"/>
  <c r="P154" i="208"/>
  <c r="AJ154" i="208"/>
  <c r="AI154" i="208"/>
  <c r="P163" i="208"/>
  <c r="AJ163" i="208"/>
  <c r="AI163" i="208"/>
  <c r="P172" i="208"/>
  <c r="AJ172" i="208"/>
  <c r="AI172" i="208"/>
  <c r="P181" i="208"/>
  <c r="AJ181" i="208"/>
  <c r="AI181" i="208"/>
  <c r="P190" i="208"/>
  <c r="AJ190" i="208"/>
  <c r="AI190" i="208"/>
  <c r="P199" i="208"/>
  <c r="AJ199" i="208"/>
  <c r="AI199" i="208"/>
  <c r="P208" i="208"/>
  <c r="AJ208" i="208"/>
  <c r="AI208" i="208"/>
  <c r="P217" i="208"/>
  <c r="AJ217" i="208"/>
  <c r="AI217" i="208"/>
  <c r="P226" i="208"/>
  <c r="AJ226" i="208"/>
  <c r="AI226" i="208"/>
  <c r="P235" i="208"/>
  <c r="AJ235" i="208"/>
  <c r="AI235" i="208"/>
  <c r="P244" i="208"/>
  <c r="AJ244" i="208"/>
  <c r="AI244" i="208"/>
  <c r="P253" i="208"/>
  <c r="AJ253" i="208"/>
  <c r="AI253" i="208"/>
  <c r="P262" i="208"/>
  <c r="AJ262" i="208"/>
  <c r="AI262" i="208"/>
  <c r="P271" i="208"/>
  <c r="AJ271" i="208"/>
  <c r="AI271" i="208"/>
  <c r="P297" i="208"/>
  <c r="AJ297" i="208"/>
  <c r="AI297" i="208"/>
  <c r="P290" i="208"/>
  <c r="AJ290" i="208"/>
  <c r="AI290" i="208"/>
  <c r="P370" i="208"/>
  <c r="AJ370" i="208"/>
  <c r="AI370" i="208"/>
  <c r="P514" i="208"/>
  <c r="AJ514" i="208"/>
  <c r="AI514" i="208"/>
  <c r="P658" i="208"/>
  <c r="AJ658" i="208"/>
  <c r="AI658" i="208"/>
  <c r="AJ802" i="208"/>
  <c r="AI802" i="208"/>
  <c r="P946" i="208"/>
  <c r="AJ946" i="208"/>
  <c r="AI946" i="208"/>
  <c r="P1090" i="208"/>
  <c r="AJ1090" i="208"/>
  <c r="AI1090" i="208"/>
  <c r="P1234" i="208"/>
  <c r="AJ1234" i="208"/>
  <c r="AI1234" i="208"/>
  <c r="P1378" i="208"/>
  <c r="AJ1378" i="208"/>
  <c r="AI1378" i="208"/>
  <c r="P1522" i="208"/>
  <c r="AJ1522" i="208"/>
  <c r="AI1522" i="208"/>
  <c r="P1666" i="208"/>
  <c r="AJ1666" i="208"/>
  <c r="AI1666" i="208"/>
  <c r="P1810" i="208"/>
  <c r="AJ1810" i="208"/>
  <c r="AI1810" i="208"/>
  <c r="P1954" i="208"/>
  <c r="AJ1954" i="208"/>
  <c r="AI1954" i="208"/>
  <c r="P2098" i="208"/>
  <c r="AJ2098" i="208"/>
  <c r="AI2098" i="208"/>
  <c r="P2242" i="208"/>
  <c r="AJ2242" i="208"/>
  <c r="AI2242" i="208"/>
  <c r="P2386" i="208"/>
  <c r="AJ2386" i="208"/>
  <c r="AI2386" i="208"/>
  <c r="P2530" i="208"/>
  <c r="AJ2530" i="208"/>
  <c r="AI2530" i="208"/>
  <c r="P2674" i="208"/>
  <c r="AJ2674" i="208"/>
  <c r="AI2674" i="208"/>
  <c r="P2818" i="208"/>
  <c r="AJ2818" i="208"/>
  <c r="AI2818" i="208"/>
  <c r="P2962" i="208"/>
  <c r="AJ2962" i="208"/>
  <c r="AI2962" i="208"/>
  <c r="P1023" i="208"/>
  <c r="AJ1023" i="208"/>
  <c r="AI1023" i="208"/>
  <c r="AJ425" i="208"/>
  <c r="AI425" i="208"/>
  <c r="AJ569" i="208"/>
  <c r="AI569" i="208"/>
  <c r="AJ713" i="208"/>
  <c r="AI713" i="208"/>
  <c r="P857" i="208"/>
  <c r="AJ857" i="208"/>
  <c r="AI857" i="208"/>
  <c r="P1001" i="208"/>
  <c r="AJ1001" i="208"/>
  <c r="AI1001" i="208"/>
  <c r="P1145" i="208"/>
  <c r="AJ1145" i="208"/>
  <c r="AI1145" i="208"/>
  <c r="P1289" i="208"/>
  <c r="AJ1289" i="208"/>
  <c r="AI1289" i="208"/>
  <c r="P1433" i="208"/>
  <c r="AJ1433" i="208"/>
  <c r="AI1433" i="208"/>
  <c r="P1577" i="208"/>
  <c r="AJ1577" i="208"/>
  <c r="AI1577" i="208"/>
  <c r="P1721" i="208"/>
  <c r="AJ1721" i="208"/>
  <c r="AI1721" i="208"/>
  <c r="P1865" i="208"/>
  <c r="AJ1865" i="208"/>
  <c r="AI1865" i="208"/>
  <c r="P2009" i="208"/>
  <c r="AJ2009" i="208"/>
  <c r="AI2009" i="208"/>
  <c r="P2153" i="208"/>
  <c r="AJ2153" i="208"/>
  <c r="AI2153" i="208"/>
  <c r="P2297" i="208"/>
  <c r="AJ2297" i="208"/>
  <c r="AI2297" i="208"/>
  <c r="P2441" i="208"/>
  <c r="AJ2441" i="208"/>
  <c r="AI2441" i="208"/>
  <c r="P2585" i="208"/>
  <c r="AJ2585" i="208"/>
  <c r="AI2585" i="208"/>
  <c r="P2729" i="208"/>
  <c r="AJ2729" i="208"/>
  <c r="AI2729" i="208"/>
  <c r="P2873" i="208"/>
  <c r="AJ2873" i="208"/>
  <c r="AI2873" i="208"/>
  <c r="AJ879" i="208"/>
  <c r="AI879" i="208"/>
  <c r="P372" i="208"/>
  <c r="AJ372" i="208"/>
  <c r="AI372" i="208"/>
  <c r="P516" i="208"/>
  <c r="AJ516" i="208"/>
  <c r="AI516" i="208"/>
  <c r="P660" i="208"/>
  <c r="AJ660" i="208"/>
  <c r="AI660" i="208"/>
  <c r="AJ804" i="208"/>
  <c r="AI804" i="208"/>
  <c r="P948" i="208"/>
  <c r="AJ948" i="208"/>
  <c r="AI948" i="208"/>
  <c r="P1092" i="208"/>
  <c r="AJ1092" i="208"/>
  <c r="AI1092" i="208"/>
  <c r="P1236" i="208"/>
  <c r="AJ1236" i="208"/>
  <c r="AI1236" i="208"/>
  <c r="P1380" i="208"/>
  <c r="AJ1380" i="208"/>
  <c r="AI1380" i="208"/>
  <c r="P1524" i="208"/>
  <c r="AJ1524" i="208"/>
  <c r="AI1524" i="208"/>
  <c r="P1668" i="208"/>
  <c r="AJ1668" i="208"/>
  <c r="AI1668" i="208"/>
  <c r="P1812" i="208"/>
  <c r="AJ1812" i="208"/>
  <c r="AI1812" i="208"/>
  <c r="P1956" i="208"/>
  <c r="AJ1956" i="208"/>
  <c r="AI1956" i="208"/>
  <c r="P2100" i="208"/>
  <c r="AJ2100" i="208"/>
  <c r="AI2100" i="208"/>
  <c r="P2244" i="208"/>
  <c r="AJ2244" i="208"/>
  <c r="AI2244" i="208"/>
  <c r="P2388" i="208"/>
  <c r="AJ2388" i="208"/>
  <c r="AI2388" i="208"/>
  <c r="P2532" i="208"/>
  <c r="AJ2532" i="208"/>
  <c r="AI2532" i="208"/>
  <c r="P2676" i="208"/>
  <c r="AJ2676" i="208"/>
  <c r="AI2676" i="208"/>
  <c r="P2820" i="208"/>
  <c r="AJ2820" i="208"/>
  <c r="AI2820" i="208"/>
  <c r="P2964" i="208"/>
  <c r="AJ2964" i="208"/>
  <c r="AI2964" i="208"/>
  <c r="P1599" i="208"/>
  <c r="AJ1599" i="208"/>
  <c r="AI1599" i="208"/>
  <c r="P2667" i="208"/>
  <c r="AJ2667" i="208"/>
  <c r="AI2667" i="208"/>
  <c r="AJ331" i="208"/>
  <c r="AI331" i="208"/>
  <c r="P475" i="208"/>
  <c r="AJ475" i="208"/>
  <c r="AI475" i="208"/>
  <c r="AJ619" i="208"/>
  <c r="AI619" i="208"/>
  <c r="P763" i="208"/>
  <c r="AJ763" i="208"/>
  <c r="AI763" i="208"/>
  <c r="P907" i="208"/>
  <c r="AJ907" i="208"/>
  <c r="AI907" i="208"/>
  <c r="P1051" i="208"/>
  <c r="AJ1051" i="208"/>
  <c r="AI1051" i="208"/>
  <c r="P1195" i="208"/>
  <c r="AJ1195" i="208"/>
  <c r="AI1195" i="208"/>
  <c r="P1339" i="208"/>
  <c r="AJ1339" i="208"/>
  <c r="AI1339" i="208"/>
  <c r="P1483" i="208"/>
  <c r="AJ1483" i="208"/>
  <c r="AI1483" i="208"/>
  <c r="P1627" i="208"/>
  <c r="AJ1627" i="208"/>
  <c r="AI1627" i="208"/>
  <c r="P1771" i="208"/>
  <c r="AJ1771" i="208"/>
  <c r="AI1771" i="208"/>
  <c r="P1915" i="208"/>
  <c r="AJ1915" i="208"/>
  <c r="AI1915" i="208"/>
  <c r="P2059" i="208"/>
  <c r="AJ2059" i="208"/>
  <c r="AI2059" i="208"/>
  <c r="P2203" i="208"/>
  <c r="AJ2203" i="208"/>
  <c r="AI2203" i="208"/>
  <c r="P2347" i="208"/>
  <c r="AJ2347" i="208"/>
  <c r="AI2347" i="208"/>
  <c r="P2491" i="208"/>
  <c r="AJ2491" i="208"/>
  <c r="AI2491" i="208"/>
  <c r="P2635" i="208"/>
  <c r="AJ2635" i="208"/>
  <c r="AI2635" i="208"/>
  <c r="P2779" i="208"/>
  <c r="AJ2779" i="208"/>
  <c r="AI2779" i="208"/>
  <c r="P2923" i="208"/>
  <c r="AJ2923" i="208"/>
  <c r="AI2923" i="208"/>
  <c r="P1287" i="208"/>
  <c r="AJ1287" i="208"/>
  <c r="AI1287" i="208"/>
  <c r="P446" i="208"/>
  <c r="AJ446" i="208"/>
  <c r="AI446" i="208"/>
  <c r="AJ590" i="208"/>
  <c r="AI590" i="208"/>
  <c r="AJ734" i="208"/>
  <c r="AI734" i="208"/>
  <c r="P878" i="208"/>
  <c r="AJ878" i="208"/>
  <c r="AI878" i="208"/>
  <c r="P1022" i="208"/>
  <c r="AJ1022" i="208"/>
  <c r="AI1022" i="208"/>
  <c r="P1166" i="208"/>
  <c r="AJ1166" i="208"/>
  <c r="AI1166" i="208"/>
  <c r="P1310" i="208"/>
  <c r="AJ1310" i="208"/>
  <c r="AI1310" i="208"/>
  <c r="P1454" i="208"/>
  <c r="AJ1454" i="208"/>
  <c r="AI1454" i="208"/>
  <c r="P1598" i="208"/>
  <c r="AJ1598" i="208"/>
  <c r="AI1598" i="208"/>
  <c r="P1742" i="208"/>
  <c r="AJ1742" i="208"/>
  <c r="AI1742" i="208"/>
  <c r="P1886" i="208"/>
  <c r="AJ1886" i="208"/>
  <c r="AI1886" i="208"/>
  <c r="P2030" i="208"/>
  <c r="AJ2030" i="208"/>
  <c r="AI2030" i="208"/>
  <c r="P2174" i="208"/>
  <c r="AJ2174" i="208"/>
  <c r="AI2174" i="208"/>
  <c r="P2318" i="208"/>
  <c r="AJ2318" i="208"/>
  <c r="AI2318" i="208"/>
  <c r="P2462" i="208"/>
  <c r="AJ2462" i="208"/>
  <c r="AI2462" i="208"/>
  <c r="P2606" i="208"/>
  <c r="AJ2606" i="208"/>
  <c r="AI2606" i="208"/>
  <c r="P2750" i="208"/>
  <c r="AJ2750" i="208"/>
  <c r="AI2750" i="208"/>
  <c r="P2894" i="208"/>
  <c r="AJ2894" i="208"/>
  <c r="AI2894" i="208"/>
  <c r="AJ519" i="208"/>
  <c r="AI519" i="208"/>
  <c r="P2967" i="208"/>
  <c r="AJ2967" i="208"/>
  <c r="AI2967" i="208"/>
  <c r="P333" i="208"/>
  <c r="AJ333" i="208"/>
  <c r="AI333" i="208"/>
  <c r="P477" i="208"/>
  <c r="AJ477" i="208"/>
  <c r="AI477" i="208"/>
  <c r="P621" i="208"/>
  <c r="AJ621" i="208"/>
  <c r="AI621" i="208"/>
  <c r="AJ765" i="208"/>
  <c r="AI765" i="208"/>
  <c r="P909" i="208"/>
  <c r="AJ909" i="208"/>
  <c r="AI909" i="208"/>
  <c r="P1053" i="208"/>
  <c r="AJ1053" i="208"/>
  <c r="AI1053" i="208"/>
  <c r="P1197" i="208"/>
  <c r="AJ1197" i="208"/>
  <c r="AI1197" i="208"/>
  <c r="P1341" i="208"/>
  <c r="AJ1341" i="208"/>
  <c r="AI1341" i="208"/>
  <c r="P1485" i="208"/>
  <c r="AJ1485" i="208"/>
  <c r="AI1485" i="208"/>
  <c r="P1629" i="208"/>
  <c r="AJ1629" i="208"/>
  <c r="AI1629" i="208"/>
  <c r="P1773" i="208"/>
  <c r="AJ1773" i="208"/>
  <c r="AI1773" i="208"/>
  <c r="P1917" i="208"/>
  <c r="AJ1917" i="208"/>
  <c r="AI1917" i="208"/>
  <c r="P2061" i="208"/>
  <c r="AJ2061" i="208"/>
  <c r="AI2061" i="208"/>
  <c r="P2205" i="208"/>
  <c r="AJ2205" i="208"/>
  <c r="AI2205" i="208"/>
  <c r="P2349" i="208"/>
  <c r="AJ2349" i="208"/>
  <c r="AI2349" i="208"/>
  <c r="P2493" i="208"/>
  <c r="AJ2493" i="208"/>
  <c r="AI2493" i="208"/>
  <c r="P2637" i="208"/>
  <c r="AJ2637" i="208"/>
  <c r="AI2637" i="208"/>
  <c r="P2781" i="208"/>
  <c r="AJ2781" i="208"/>
  <c r="AI2781" i="208"/>
  <c r="P2925" i="208"/>
  <c r="AJ2925" i="208"/>
  <c r="AI2925" i="208"/>
  <c r="AJ855" i="208"/>
  <c r="AI855" i="208"/>
  <c r="P1947" i="208"/>
  <c r="AJ1947" i="208"/>
  <c r="AI1947" i="208"/>
  <c r="P2847" i="208"/>
  <c r="AJ2847" i="208"/>
  <c r="AI2847" i="208"/>
  <c r="P328" i="208"/>
  <c r="AJ328" i="208"/>
  <c r="AI328" i="208"/>
  <c r="P472" i="208"/>
  <c r="AJ472" i="208"/>
  <c r="AI472" i="208"/>
  <c r="P616" i="208"/>
  <c r="AJ616" i="208"/>
  <c r="AI616" i="208"/>
  <c r="AJ760" i="208"/>
  <c r="AI760" i="208"/>
  <c r="P904" i="208"/>
  <c r="AJ904" i="208"/>
  <c r="AI904" i="208"/>
  <c r="P1048" i="208"/>
  <c r="AJ1048" i="208"/>
  <c r="AI1048" i="208"/>
  <c r="P1192" i="208"/>
  <c r="AJ1192" i="208"/>
  <c r="AI1192" i="208"/>
  <c r="P1336" i="208"/>
  <c r="AJ1336" i="208"/>
  <c r="AI1336" i="208"/>
  <c r="P1480" i="208"/>
  <c r="AJ1480" i="208"/>
  <c r="AI1480" i="208"/>
  <c r="P1624" i="208"/>
  <c r="AJ1624" i="208"/>
  <c r="AI1624" i="208"/>
  <c r="P1768" i="208"/>
  <c r="AJ1768" i="208"/>
  <c r="AI1768" i="208"/>
  <c r="P1912" i="208"/>
  <c r="AJ1912" i="208"/>
  <c r="AI1912" i="208"/>
  <c r="P2056" i="208"/>
  <c r="AJ2056" i="208"/>
  <c r="AI2056" i="208"/>
  <c r="P2200" i="208"/>
  <c r="AJ2200" i="208"/>
  <c r="AI2200" i="208"/>
  <c r="P2344" i="208"/>
  <c r="AJ2344" i="208"/>
  <c r="AI2344" i="208"/>
  <c r="P2488" i="208"/>
  <c r="AJ2488" i="208"/>
  <c r="AI2488" i="208"/>
  <c r="P2632" i="208"/>
  <c r="AJ2632" i="208"/>
  <c r="AI2632" i="208"/>
  <c r="P2776" i="208"/>
  <c r="AI2776" i="208"/>
  <c r="AJ2776" i="208"/>
  <c r="P2920" i="208"/>
  <c r="AJ2920" i="208"/>
  <c r="AI2920" i="208"/>
  <c r="AJ843" i="208"/>
  <c r="AI843" i="208"/>
  <c r="P2151" i="208"/>
  <c r="AJ2151" i="208"/>
  <c r="AI2151" i="208"/>
  <c r="P371" i="208"/>
  <c r="AJ371" i="208"/>
  <c r="AI371" i="208"/>
  <c r="P515" i="208"/>
  <c r="AJ515" i="208"/>
  <c r="AI515" i="208"/>
  <c r="AJ659" i="208"/>
  <c r="AI659" i="208"/>
  <c r="AJ803" i="208"/>
  <c r="AI803" i="208"/>
  <c r="P947" i="208"/>
  <c r="AJ947" i="208"/>
  <c r="AI947" i="208"/>
  <c r="P1091" i="208"/>
  <c r="AJ1091" i="208"/>
  <c r="AI1091" i="208"/>
  <c r="P1235" i="208"/>
  <c r="AJ1235" i="208"/>
  <c r="AI1235" i="208"/>
  <c r="P1379" i="208"/>
  <c r="AJ1379" i="208"/>
  <c r="AI1379" i="208"/>
  <c r="P1523" i="208"/>
  <c r="AJ1523" i="208"/>
  <c r="AI1523" i="208"/>
  <c r="P1667" i="208"/>
  <c r="AJ1667" i="208"/>
  <c r="AI1667" i="208"/>
  <c r="P1811" i="208"/>
  <c r="AJ1811" i="208"/>
  <c r="AI1811" i="208"/>
  <c r="P1955" i="208"/>
  <c r="AJ1955" i="208"/>
  <c r="AI1955" i="208"/>
  <c r="P2099" i="208"/>
  <c r="AJ2099" i="208"/>
  <c r="AI2099" i="208"/>
  <c r="P2243" i="208"/>
  <c r="AJ2243" i="208"/>
  <c r="AI2243" i="208"/>
  <c r="P2387" i="208"/>
  <c r="AJ2387" i="208"/>
  <c r="AI2387" i="208"/>
  <c r="P2531" i="208"/>
  <c r="AJ2531" i="208"/>
  <c r="AI2531" i="208"/>
  <c r="P2675" i="208"/>
  <c r="AJ2675" i="208"/>
  <c r="AI2675" i="208"/>
  <c r="P2819" i="208"/>
  <c r="AJ2819" i="208"/>
  <c r="AI2819" i="208"/>
  <c r="P2963" i="208"/>
  <c r="AJ2963" i="208"/>
  <c r="AI2963" i="208"/>
  <c r="P1815" i="208"/>
  <c r="AJ1815" i="208"/>
  <c r="AI1815" i="208"/>
  <c r="P342" i="208"/>
  <c r="AJ342" i="208"/>
  <c r="AI342" i="208"/>
  <c r="P486" i="208"/>
  <c r="AJ486" i="208"/>
  <c r="AI486" i="208"/>
  <c r="P630" i="208"/>
  <c r="AJ630" i="208"/>
  <c r="AI630" i="208"/>
  <c r="AJ774" i="208"/>
  <c r="AI774" i="208"/>
  <c r="P918" i="208"/>
  <c r="AJ918" i="208"/>
  <c r="AI918" i="208"/>
  <c r="P1062" i="208"/>
  <c r="AJ1062" i="208"/>
  <c r="AI1062" i="208"/>
  <c r="P1206" i="208"/>
  <c r="AJ1206" i="208"/>
  <c r="AI1206" i="208"/>
  <c r="P1350" i="208"/>
  <c r="AJ1350" i="208"/>
  <c r="AI1350" i="208"/>
  <c r="P1494" i="208"/>
  <c r="AJ1494" i="208"/>
  <c r="AI1494" i="208"/>
  <c r="P1638" i="208"/>
  <c r="AJ1638" i="208"/>
  <c r="AI1638" i="208"/>
  <c r="P1782" i="208"/>
  <c r="AJ1782" i="208"/>
  <c r="AI1782" i="208"/>
  <c r="P1926" i="208"/>
  <c r="AJ1926" i="208"/>
  <c r="AI1926" i="208"/>
  <c r="P2070" i="208"/>
  <c r="AJ2070" i="208"/>
  <c r="AI2070" i="208"/>
  <c r="P2214" i="208"/>
  <c r="AJ2214" i="208"/>
  <c r="AI2214" i="208"/>
  <c r="P2358" i="208"/>
  <c r="AJ2358" i="208"/>
  <c r="AI2358" i="208"/>
  <c r="P2502" i="208"/>
  <c r="AJ2502" i="208"/>
  <c r="AI2502" i="208"/>
  <c r="P2646" i="208"/>
  <c r="AJ2646" i="208"/>
  <c r="AI2646" i="208"/>
  <c r="P2790" i="208"/>
  <c r="AJ2790" i="208"/>
  <c r="AI2790" i="208"/>
  <c r="P2934" i="208"/>
  <c r="AJ2934" i="208"/>
  <c r="AI2934" i="208"/>
  <c r="P1791" i="208"/>
  <c r="AJ1791" i="208"/>
  <c r="AI1791" i="208"/>
  <c r="P373" i="208"/>
  <c r="AJ373" i="208"/>
  <c r="AI373" i="208"/>
  <c r="P517" i="208"/>
  <c r="AJ517" i="208"/>
  <c r="AI517" i="208"/>
  <c r="P661" i="208"/>
  <c r="AJ661" i="208"/>
  <c r="AI661" i="208"/>
  <c r="AJ805" i="208"/>
  <c r="AI805" i="208"/>
  <c r="P949" i="208"/>
  <c r="AJ949" i="208"/>
  <c r="AI949" i="208"/>
  <c r="P1093" i="208"/>
  <c r="AJ1093" i="208"/>
  <c r="AI1093" i="208"/>
  <c r="P1237" i="208"/>
  <c r="AJ1237" i="208"/>
  <c r="AI1237" i="208"/>
  <c r="P1381" i="208"/>
  <c r="AJ1381" i="208"/>
  <c r="AI1381" i="208"/>
  <c r="P1525" i="208"/>
  <c r="AJ1525" i="208"/>
  <c r="AI1525" i="208"/>
  <c r="P1669" i="208"/>
  <c r="AJ1669" i="208"/>
  <c r="AI1669" i="208"/>
  <c r="P1813" i="208"/>
  <c r="AJ1813" i="208"/>
  <c r="AI1813" i="208"/>
  <c r="P1957" i="208"/>
  <c r="AJ1957" i="208"/>
  <c r="AI1957" i="208"/>
  <c r="P2101" i="208"/>
  <c r="AJ2101" i="208"/>
  <c r="AI2101" i="208"/>
  <c r="P2245" i="208"/>
  <c r="AJ2245" i="208"/>
  <c r="AI2245" i="208"/>
  <c r="P2389" i="208"/>
  <c r="AJ2389" i="208"/>
  <c r="AI2389" i="208"/>
  <c r="P2533" i="208"/>
  <c r="AJ2533" i="208"/>
  <c r="AI2533" i="208"/>
  <c r="P2677" i="208"/>
  <c r="AJ2677" i="208"/>
  <c r="AI2677" i="208"/>
  <c r="P2821" i="208"/>
  <c r="AJ2821" i="208"/>
  <c r="AI2821" i="208"/>
  <c r="P2965" i="208"/>
  <c r="AJ2965" i="208"/>
  <c r="AI2965" i="208"/>
  <c r="P1467" i="208"/>
  <c r="AI1467" i="208"/>
  <c r="AJ1467" i="208"/>
  <c r="P2559" i="208"/>
  <c r="AJ2559" i="208"/>
  <c r="AI2559" i="208"/>
  <c r="P368" i="208"/>
  <c r="AJ368" i="208"/>
  <c r="AI368" i="208"/>
  <c r="P512" i="208"/>
  <c r="AJ512" i="208"/>
  <c r="AI512" i="208"/>
  <c r="P656" i="208"/>
  <c r="AJ656" i="208"/>
  <c r="AI656" i="208"/>
  <c r="AJ800" i="208"/>
  <c r="AI800" i="208"/>
  <c r="P944" i="208"/>
  <c r="AJ944" i="208"/>
  <c r="AI944" i="208"/>
  <c r="P1088" i="208"/>
  <c r="AJ1088" i="208"/>
  <c r="AI1088" i="208"/>
  <c r="P1232" i="208"/>
  <c r="AJ1232" i="208"/>
  <c r="AI1232" i="208"/>
  <c r="P1376" i="208"/>
  <c r="AJ1376" i="208"/>
  <c r="AI1376" i="208"/>
  <c r="P1520" i="208"/>
  <c r="AJ1520" i="208"/>
  <c r="AI1520" i="208"/>
  <c r="P1664" i="208"/>
  <c r="AJ1664" i="208"/>
  <c r="AI1664" i="208"/>
  <c r="P1808" i="208"/>
  <c r="AJ1808" i="208"/>
  <c r="AI1808" i="208"/>
  <c r="P1952" i="208"/>
  <c r="AJ1952" i="208"/>
  <c r="AI1952" i="208"/>
  <c r="P2096" i="208"/>
  <c r="AJ2096" i="208"/>
  <c r="AI2096" i="208"/>
  <c r="P2240" i="208"/>
  <c r="AJ2240" i="208"/>
  <c r="AI2240" i="208"/>
  <c r="P2384" i="208"/>
  <c r="AJ2384" i="208"/>
  <c r="AI2384" i="208"/>
  <c r="P2528" i="208"/>
  <c r="AJ2528" i="208"/>
  <c r="AI2528" i="208"/>
  <c r="P2672" i="208"/>
  <c r="AJ2672" i="208"/>
  <c r="AI2672" i="208"/>
  <c r="P2816" i="208"/>
  <c r="AJ2816" i="208"/>
  <c r="AI2816" i="208"/>
  <c r="P2960" i="208"/>
  <c r="AJ2960" i="208"/>
  <c r="AI2960" i="208"/>
  <c r="P1071" i="208"/>
  <c r="AJ1071" i="208"/>
  <c r="AI1071" i="208"/>
  <c r="P2571" i="208"/>
  <c r="AJ2571" i="208"/>
  <c r="AI2571" i="208"/>
  <c r="P387" i="208"/>
  <c r="AJ387" i="208"/>
  <c r="AI387" i="208"/>
  <c r="P8" i="208"/>
  <c r="AJ8" i="208"/>
  <c r="AI8" i="208"/>
  <c r="P17" i="208"/>
  <c r="AJ17" i="208"/>
  <c r="AI17" i="208"/>
  <c r="P26" i="208"/>
  <c r="AJ26" i="208"/>
  <c r="AI26" i="208"/>
  <c r="P35" i="208"/>
  <c r="AJ35" i="208"/>
  <c r="AI35" i="208"/>
  <c r="P44" i="208"/>
  <c r="AJ44" i="208"/>
  <c r="AI44" i="208"/>
  <c r="P53" i="208"/>
  <c r="AJ53" i="208"/>
  <c r="AI53" i="208"/>
  <c r="P62" i="208"/>
  <c r="AJ62" i="208"/>
  <c r="AI62" i="208"/>
  <c r="P71" i="208"/>
  <c r="AJ71" i="208"/>
  <c r="AI71" i="208"/>
  <c r="P80" i="208"/>
  <c r="AJ80" i="208"/>
  <c r="AI80" i="208"/>
  <c r="P89" i="208"/>
  <c r="AJ89" i="208"/>
  <c r="AI89" i="208"/>
  <c r="P98" i="208"/>
  <c r="AJ98" i="208"/>
  <c r="AI98" i="208"/>
  <c r="P107" i="208"/>
  <c r="AJ107" i="208"/>
  <c r="AI107" i="208"/>
  <c r="P116" i="208"/>
  <c r="AJ116" i="208"/>
  <c r="AI116" i="208"/>
  <c r="P125" i="208"/>
  <c r="AJ125" i="208"/>
  <c r="AI125" i="208"/>
  <c r="P134" i="208"/>
  <c r="AJ134" i="208"/>
  <c r="AI134" i="208"/>
  <c r="P143" i="208"/>
  <c r="AJ143" i="208"/>
  <c r="AI143" i="208"/>
  <c r="P152" i="208"/>
  <c r="AJ152" i="208"/>
  <c r="AI152" i="208"/>
  <c r="P161" i="208"/>
  <c r="AJ161" i="208"/>
  <c r="AI161" i="208"/>
  <c r="P170" i="208"/>
  <c r="AJ170" i="208"/>
  <c r="AI170" i="208"/>
  <c r="P179" i="208"/>
  <c r="AJ179" i="208"/>
  <c r="AI179" i="208"/>
  <c r="P188" i="208"/>
  <c r="AJ188" i="208"/>
  <c r="AI188" i="208"/>
  <c r="P197" i="208"/>
  <c r="AJ197" i="208"/>
  <c r="AI197" i="208"/>
  <c r="P206" i="208"/>
  <c r="AJ206" i="208"/>
  <c r="AI206" i="208"/>
  <c r="P215" i="208"/>
  <c r="AJ215" i="208"/>
  <c r="AI215" i="208"/>
  <c r="P224" i="208"/>
  <c r="AJ224" i="208"/>
  <c r="AI224" i="208"/>
  <c r="P233" i="208"/>
  <c r="AJ233" i="208"/>
  <c r="AI233" i="208"/>
  <c r="P242" i="208"/>
  <c r="AJ242" i="208"/>
  <c r="AI242" i="208"/>
  <c r="P251" i="208"/>
  <c r="AJ251" i="208"/>
  <c r="AI251" i="208"/>
  <c r="P260" i="208"/>
  <c r="AJ260" i="208"/>
  <c r="AI260" i="208"/>
  <c r="P269" i="208"/>
  <c r="AJ269" i="208"/>
  <c r="AI269" i="208"/>
  <c r="P286" i="208"/>
  <c r="AJ286" i="208"/>
  <c r="AI286" i="208"/>
  <c r="P276" i="208"/>
  <c r="AJ276" i="208"/>
  <c r="AI276" i="208"/>
  <c r="P275" i="208"/>
  <c r="AJ275" i="208"/>
  <c r="AI275" i="208"/>
  <c r="P382" i="208"/>
  <c r="AJ382" i="208"/>
  <c r="AI382" i="208"/>
  <c r="P526" i="208"/>
  <c r="AJ526" i="208"/>
  <c r="AI526" i="208"/>
  <c r="AI670" i="208"/>
  <c r="AJ670" i="208"/>
  <c r="P814" i="208"/>
  <c r="AJ814" i="208"/>
  <c r="AI814" i="208"/>
  <c r="P958" i="208"/>
  <c r="AJ958" i="208"/>
  <c r="AI958" i="208"/>
  <c r="P1102" i="208"/>
  <c r="AJ1102" i="208"/>
  <c r="AI1102" i="208"/>
  <c r="P1246" i="208"/>
  <c r="AJ1246" i="208"/>
  <c r="AI1246" i="208"/>
  <c r="P1390" i="208"/>
  <c r="AJ1390" i="208"/>
  <c r="AI1390" i="208"/>
  <c r="P1534" i="208"/>
  <c r="AJ1534" i="208"/>
  <c r="AI1534" i="208"/>
  <c r="P1678" i="208"/>
  <c r="AJ1678" i="208"/>
  <c r="AI1678" i="208"/>
  <c r="P1822" i="208"/>
  <c r="AJ1822" i="208"/>
  <c r="AI1822" i="208"/>
  <c r="P1966" i="208"/>
  <c r="AJ1966" i="208"/>
  <c r="AI1966" i="208"/>
  <c r="P2110" i="208"/>
  <c r="AJ2110" i="208"/>
  <c r="AI2110" i="208"/>
  <c r="P2254" i="208"/>
  <c r="AJ2254" i="208"/>
  <c r="AI2254" i="208"/>
  <c r="P2398" i="208"/>
  <c r="AJ2398" i="208"/>
  <c r="AI2398" i="208"/>
  <c r="P2542" i="208"/>
  <c r="AJ2542" i="208"/>
  <c r="AI2542" i="208"/>
  <c r="P2686" i="208"/>
  <c r="AJ2686" i="208"/>
  <c r="AI2686" i="208"/>
  <c r="P2830" i="208"/>
  <c r="AJ2830" i="208"/>
  <c r="AI2830" i="208"/>
  <c r="P2974" i="208"/>
  <c r="AJ2974" i="208"/>
  <c r="AI2974" i="208"/>
  <c r="P1203" i="208"/>
  <c r="AJ1203" i="208"/>
  <c r="AI1203" i="208"/>
  <c r="P437" i="208"/>
  <c r="AJ437" i="208"/>
  <c r="AI437" i="208"/>
  <c r="P581" i="208"/>
  <c r="AJ581" i="208"/>
  <c r="AI581" i="208"/>
  <c r="P725" i="208"/>
  <c r="AJ725" i="208"/>
  <c r="AI725" i="208"/>
  <c r="AJ869" i="208"/>
  <c r="AI869" i="208"/>
  <c r="P1013" i="208"/>
  <c r="AJ1013" i="208"/>
  <c r="AI1013" i="208"/>
  <c r="P1157" i="208"/>
  <c r="AJ1157" i="208"/>
  <c r="AI1157" i="208"/>
  <c r="P1301" i="208"/>
  <c r="AJ1301" i="208"/>
  <c r="AI1301" i="208"/>
  <c r="P1445" i="208"/>
  <c r="AJ1445" i="208"/>
  <c r="AI1445" i="208"/>
  <c r="P1589" i="208"/>
  <c r="AJ1589" i="208"/>
  <c r="AI1589" i="208"/>
  <c r="P1733" i="208"/>
  <c r="AJ1733" i="208"/>
  <c r="AI1733" i="208"/>
  <c r="P1877" i="208"/>
  <c r="AJ1877" i="208"/>
  <c r="AI1877" i="208"/>
  <c r="P2021" i="208"/>
  <c r="AJ2021" i="208"/>
  <c r="AI2021" i="208"/>
  <c r="P2165" i="208"/>
  <c r="AJ2165" i="208"/>
  <c r="AI2165" i="208"/>
  <c r="P2309" i="208"/>
  <c r="AJ2309" i="208"/>
  <c r="AI2309" i="208"/>
  <c r="P2453" i="208"/>
  <c r="AJ2453" i="208"/>
  <c r="AI2453" i="208"/>
  <c r="P2597" i="208"/>
  <c r="AJ2597" i="208"/>
  <c r="AI2597" i="208"/>
  <c r="P2741" i="208"/>
  <c r="AJ2741" i="208"/>
  <c r="AI2741" i="208"/>
  <c r="P2885" i="208"/>
  <c r="AJ2885" i="208"/>
  <c r="AI2885" i="208"/>
  <c r="P1047" i="208"/>
  <c r="AJ1047" i="208"/>
  <c r="AI1047" i="208"/>
  <c r="AJ384" i="208"/>
  <c r="AI384" i="208"/>
  <c r="P528" i="208"/>
  <c r="AJ528" i="208"/>
  <c r="AI528" i="208"/>
  <c r="AJ672" i="208"/>
  <c r="AI672" i="208"/>
  <c r="P816" i="208"/>
  <c r="AJ816" i="208"/>
  <c r="AI816" i="208"/>
  <c r="P960" i="208"/>
  <c r="AJ960" i="208"/>
  <c r="AI960" i="208"/>
  <c r="P1104" i="208"/>
  <c r="AJ1104" i="208"/>
  <c r="AI1104" i="208"/>
  <c r="P1248" i="208"/>
  <c r="AJ1248" i="208"/>
  <c r="AI1248" i="208"/>
  <c r="P1392" i="208"/>
  <c r="AJ1392" i="208"/>
  <c r="AI1392" i="208"/>
  <c r="P1536" i="208"/>
  <c r="AJ1536" i="208"/>
  <c r="AI1536" i="208"/>
  <c r="P1680" i="208"/>
  <c r="AJ1680" i="208"/>
  <c r="AI1680" i="208"/>
  <c r="P1824" i="208"/>
  <c r="AJ1824" i="208"/>
  <c r="AI1824" i="208"/>
  <c r="P1968" i="208"/>
  <c r="AJ1968" i="208"/>
  <c r="AI1968" i="208"/>
  <c r="P2112" i="208"/>
  <c r="AJ2112" i="208"/>
  <c r="AI2112" i="208"/>
  <c r="P2256" i="208"/>
  <c r="AJ2256" i="208"/>
  <c r="AI2256" i="208"/>
  <c r="P2400" i="208"/>
  <c r="AJ2400" i="208"/>
  <c r="AI2400" i="208"/>
  <c r="P2544" i="208"/>
  <c r="AJ2544" i="208"/>
  <c r="AI2544" i="208"/>
  <c r="P2688" i="208"/>
  <c r="AJ2688" i="208"/>
  <c r="AI2688" i="208"/>
  <c r="P2832" i="208"/>
  <c r="AJ2832" i="208"/>
  <c r="AI2832" i="208"/>
  <c r="P2976" i="208"/>
  <c r="AJ2976" i="208"/>
  <c r="AI2976" i="208"/>
  <c r="P1755" i="208"/>
  <c r="AJ1755" i="208"/>
  <c r="AI1755" i="208"/>
  <c r="P343" i="208"/>
  <c r="AJ343" i="208"/>
  <c r="AI343" i="208"/>
  <c r="P487" i="208"/>
  <c r="AJ487" i="208"/>
  <c r="AI487" i="208"/>
  <c r="P631" i="208"/>
  <c r="AJ631" i="208"/>
  <c r="AI631" i="208"/>
  <c r="AJ775" i="208"/>
  <c r="AI775" i="208"/>
  <c r="P919" i="208"/>
  <c r="AJ919" i="208"/>
  <c r="AI919" i="208"/>
  <c r="P1063" i="208"/>
  <c r="AJ1063" i="208"/>
  <c r="AI1063" i="208"/>
  <c r="P1207" i="208"/>
  <c r="AJ1207" i="208"/>
  <c r="AI1207" i="208"/>
  <c r="P1351" i="208"/>
  <c r="AJ1351" i="208"/>
  <c r="AI1351" i="208"/>
  <c r="P1495" i="208"/>
  <c r="AJ1495" i="208"/>
  <c r="AI1495" i="208"/>
  <c r="P1639" i="208"/>
  <c r="AJ1639" i="208"/>
  <c r="AI1639" i="208"/>
  <c r="P1783" i="208"/>
  <c r="AJ1783" i="208"/>
  <c r="AI1783" i="208"/>
  <c r="P1927" i="208"/>
  <c r="AJ1927" i="208"/>
  <c r="AI1927" i="208"/>
  <c r="P2071" i="208"/>
  <c r="AJ2071" i="208"/>
  <c r="AI2071" i="208"/>
  <c r="P2215" i="208"/>
  <c r="AJ2215" i="208"/>
  <c r="AI2215" i="208"/>
  <c r="P2359" i="208"/>
  <c r="AJ2359" i="208"/>
  <c r="AI2359" i="208"/>
  <c r="P2503" i="208"/>
  <c r="AJ2503" i="208"/>
  <c r="AI2503" i="208"/>
  <c r="P2647" i="208"/>
  <c r="AJ2647" i="208"/>
  <c r="AI2647" i="208"/>
  <c r="P2791" i="208"/>
  <c r="AJ2791" i="208"/>
  <c r="AI2791" i="208"/>
  <c r="P2935" i="208"/>
  <c r="AJ2935" i="208"/>
  <c r="AI2935" i="208"/>
  <c r="P1587" i="208"/>
  <c r="AJ1587" i="208"/>
  <c r="AI1587" i="208"/>
  <c r="AJ314" i="208"/>
  <c r="AI314" i="208"/>
  <c r="P458" i="208"/>
  <c r="AJ458" i="208"/>
  <c r="AI458" i="208"/>
  <c r="AJ602" i="208"/>
  <c r="AI602" i="208"/>
  <c r="AJ746" i="208"/>
  <c r="AI746" i="208"/>
  <c r="P890" i="208"/>
  <c r="AJ890" i="208"/>
  <c r="AI890" i="208"/>
  <c r="P1034" i="208"/>
  <c r="AJ1034" i="208"/>
  <c r="AI1034" i="208"/>
  <c r="P1178" i="208"/>
  <c r="AJ1178" i="208"/>
  <c r="AI1178" i="208"/>
  <c r="P1322" i="208"/>
  <c r="AJ1322" i="208"/>
  <c r="AI1322" i="208"/>
  <c r="P1466" i="208"/>
  <c r="AJ1466" i="208"/>
  <c r="AI1466" i="208"/>
  <c r="P1610" i="208"/>
  <c r="AJ1610" i="208"/>
  <c r="AI1610" i="208"/>
  <c r="P1754" i="208"/>
  <c r="AJ1754" i="208"/>
  <c r="AI1754" i="208"/>
  <c r="P1898" i="208"/>
  <c r="AJ1898" i="208"/>
  <c r="AI1898" i="208"/>
  <c r="P2042" i="208"/>
  <c r="AJ2042" i="208"/>
  <c r="AI2042" i="208"/>
  <c r="P2186" i="208"/>
  <c r="AJ2186" i="208"/>
  <c r="AI2186" i="208"/>
  <c r="P2330" i="208"/>
  <c r="AJ2330" i="208"/>
  <c r="AI2330" i="208"/>
  <c r="P2474" i="208"/>
  <c r="AJ2474" i="208"/>
  <c r="AI2474" i="208"/>
  <c r="P2618" i="208"/>
  <c r="AJ2618" i="208"/>
  <c r="AI2618" i="208"/>
  <c r="P2762" i="208"/>
  <c r="AJ2762" i="208"/>
  <c r="AI2762" i="208"/>
  <c r="P2906" i="208"/>
  <c r="AJ2906" i="208"/>
  <c r="AI2906" i="208"/>
  <c r="P1011" i="208"/>
  <c r="AJ1011" i="208"/>
  <c r="AI1011" i="208"/>
  <c r="P345" i="208"/>
  <c r="AJ345" i="208"/>
  <c r="AI345" i="208"/>
  <c r="AJ489" i="208"/>
  <c r="AI489" i="208"/>
  <c r="P633" i="208"/>
  <c r="AJ633" i="208"/>
  <c r="AI633" i="208"/>
  <c r="AJ777" i="208"/>
  <c r="AI777" i="208"/>
  <c r="P921" i="208"/>
  <c r="AJ921" i="208"/>
  <c r="AI921" i="208"/>
  <c r="P1065" i="208"/>
  <c r="AJ1065" i="208"/>
  <c r="AI1065" i="208"/>
  <c r="P1209" i="208"/>
  <c r="AJ1209" i="208"/>
  <c r="AI1209" i="208"/>
  <c r="P1353" i="208"/>
  <c r="AJ1353" i="208"/>
  <c r="AI1353" i="208"/>
  <c r="P1497" i="208"/>
  <c r="AJ1497" i="208"/>
  <c r="AI1497" i="208"/>
  <c r="P1641" i="208"/>
  <c r="AJ1641" i="208"/>
  <c r="AI1641" i="208"/>
  <c r="P1785" i="208"/>
  <c r="AJ1785" i="208"/>
  <c r="AI1785" i="208"/>
  <c r="P1929" i="208"/>
  <c r="AJ1929" i="208"/>
  <c r="AI1929" i="208"/>
  <c r="P2073" i="208"/>
  <c r="AJ2073" i="208"/>
  <c r="AI2073" i="208"/>
  <c r="P2217" i="208"/>
  <c r="AJ2217" i="208"/>
  <c r="AI2217" i="208"/>
  <c r="P2361" i="208"/>
  <c r="AJ2361" i="208"/>
  <c r="AI2361" i="208"/>
  <c r="P2505" i="208"/>
  <c r="AJ2505" i="208"/>
  <c r="AI2505" i="208"/>
  <c r="P2649" i="208"/>
  <c r="AJ2649" i="208"/>
  <c r="AI2649" i="208"/>
  <c r="P2793" i="208"/>
  <c r="AJ2793" i="208"/>
  <c r="AI2793" i="208"/>
  <c r="P2937" i="208"/>
  <c r="AJ2937" i="208"/>
  <c r="AI2937" i="208"/>
  <c r="P891" i="208"/>
  <c r="AJ891" i="208"/>
  <c r="AI891" i="208"/>
  <c r="P1983" i="208"/>
  <c r="AJ1983" i="208"/>
  <c r="AI1983" i="208"/>
  <c r="P2883" i="208"/>
  <c r="AJ2883" i="208"/>
  <c r="AI2883" i="208"/>
  <c r="P340" i="208"/>
  <c r="AJ340" i="208"/>
  <c r="AI340" i="208"/>
  <c r="P484" i="208"/>
  <c r="AJ484" i="208"/>
  <c r="AI484" i="208"/>
  <c r="P628" i="208"/>
  <c r="AJ628" i="208"/>
  <c r="AI628" i="208"/>
  <c r="P772" i="208"/>
  <c r="AJ772" i="208"/>
  <c r="AI772" i="208"/>
  <c r="P916" i="208"/>
  <c r="AJ916" i="208"/>
  <c r="AI916" i="208"/>
  <c r="P1060" i="208"/>
  <c r="AJ1060" i="208"/>
  <c r="AI1060" i="208"/>
  <c r="P1204" i="208"/>
  <c r="AJ1204" i="208"/>
  <c r="AI1204" i="208"/>
  <c r="P1348" i="208"/>
  <c r="AI1348" i="208"/>
  <c r="AJ1348" i="208"/>
  <c r="P1492" i="208"/>
  <c r="AJ1492" i="208"/>
  <c r="AI1492" i="208"/>
  <c r="P1636" i="208"/>
  <c r="AJ1636" i="208"/>
  <c r="AI1636" i="208"/>
  <c r="P1780" i="208"/>
  <c r="AJ1780" i="208"/>
  <c r="AI1780" i="208"/>
  <c r="P1924" i="208"/>
  <c r="AJ1924" i="208"/>
  <c r="AI1924" i="208"/>
  <c r="P2068" i="208"/>
  <c r="AJ2068" i="208"/>
  <c r="AI2068" i="208"/>
  <c r="P2212" i="208"/>
  <c r="AJ2212" i="208"/>
  <c r="AI2212" i="208"/>
  <c r="P2356" i="208"/>
  <c r="AJ2356" i="208"/>
  <c r="AI2356" i="208"/>
  <c r="P2500" i="208"/>
  <c r="AJ2500" i="208"/>
  <c r="AI2500" i="208"/>
  <c r="P2644" i="208"/>
  <c r="AJ2644" i="208"/>
  <c r="AI2644" i="208"/>
  <c r="P2788" i="208"/>
  <c r="AJ2788" i="208"/>
  <c r="AI2788" i="208"/>
  <c r="P2932" i="208"/>
  <c r="AJ2932" i="208"/>
  <c r="AI2932" i="208"/>
  <c r="P1035" i="208"/>
  <c r="AJ1035" i="208"/>
  <c r="AI1035" i="208"/>
  <c r="P2223" i="208"/>
  <c r="AJ2223" i="208"/>
  <c r="AI2223" i="208"/>
  <c r="P383" i="208"/>
  <c r="AJ383" i="208"/>
  <c r="AI383" i="208"/>
  <c r="P527" i="208"/>
  <c r="AJ527" i="208"/>
  <c r="AI527" i="208"/>
  <c r="AJ671" i="208"/>
  <c r="AI671" i="208"/>
  <c r="P815" i="208"/>
  <c r="AJ815" i="208"/>
  <c r="AI815" i="208"/>
  <c r="P959" i="208"/>
  <c r="AJ959" i="208"/>
  <c r="AI959" i="208"/>
  <c r="P1103" i="208"/>
  <c r="AJ1103" i="208"/>
  <c r="AI1103" i="208"/>
  <c r="P1247" i="208"/>
  <c r="AJ1247" i="208"/>
  <c r="AI1247" i="208"/>
  <c r="P1391" i="208"/>
  <c r="AJ1391" i="208"/>
  <c r="AI1391" i="208"/>
  <c r="P1535" i="208"/>
  <c r="AJ1535" i="208"/>
  <c r="AI1535" i="208"/>
  <c r="P1679" i="208"/>
  <c r="AJ1679" i="208"/>
  <c r="AI1679" i="208"/>
  <c r="P1823" i="208"/>
  <c r="AJ1823" i="208"/>
  <c r="AI1823" i="208"/>
  <c r="P1967" i="208"/>
  <c r="AJ1967" i="208"/>
  <c r="AI1967" i="208"/>
  <c r="P2111" i="208"/>
  <c r="AJ2111" i="208"/>
  <c r="AI2111" i="208"/>
  <c r="P2255" i="208"/>
  <c r="AJ2255" i="208"/>
  <c r="AI2255" i="208"/>
  <c r="P2399" i="208"/>
  <c r="AJ2399" i="208"/>
  <c r="AI2399" i="208"/>
  <c r="P2543" i="208"/>
  <c r="AJ2543" i="208"/>
  <c r="AI2543" i="208"/>
  <c r="P2687" i="208"/>
  <c r="AJ2687" i="208"/>
  <c r="AI2687" i="208"/>
  <c r="P2831" i="208"/>
  <c r="AJ2831" i="208"/>
  <c r="AI2831" i="208"/>
  <c r="P2975" i="208"/>
  <c r="AJ2975" i="208"/>
  <c r="AI2975" i="208"/>
  <c r="P2199" i="208"/>
  <c r="AJ2199" i="208"/>
  <c r="AI2199" i="208"/>
  <c r="P354" i="208"/>
  <c r="AJ354" i="208"/>
  <c r="AI354" i="208"/>
  <c r="AJ498" i="208"/>
  <c r="AI498" i="208"/>
  <c r="P642" i="208"/>
  <c r="AJ642" i="208"/>
  <c r="AI642" i="208"/>
  <c r="P786" i="208"/>
  <c r="AJ786" i="208"/>
  <c r="AI786" i="208"/>
  <c r="P930" i="208"/>
  <c r="AJ930" i="208"/>
  <c r="AI930" i="208"/>
  <c r="P1074" i="208"/>
  <c r="AJ1074" i="208"/>
  <c r="AI1074" i="208"/>
  <c r="P1218" i="208"/>
  <c r="AJ1218" i="208"/>
  <c r="AI1218" i="208"/>
  <c r="P1362" i="208"/>
  <c r="AJ1362" i="208"/>
  <c r="AI1362" i="208"/>
  <c r="P1506" i="208"/>
  <c r="AJ1506" i="208"/>
  <c r="AI1506" i="208"/>
  <c r="P1650" i="208"/>
  <c r="AJ1650" i="208"/>
  <c r="AI1650" i="208"/>
  <c r="P1794" i="208"/>
  <c r="AJ1794" i="208"/>
  <c r="AI1794" i="208"/>
  <c r="P1938" i="208"/>
  <c r="AJ1938" i="208"/>
  <c r="AI1938" i="208"/>
  <c r="P2082" i="208"/>
  <c r="AJ2082" i="208"/>
  <c r="AI2082" i="208"/>
  <c r="P2226" i="208"/>
  <c r="AJ2226" i="208"/>
  <c r="AI2226" i="208"/>
  <c r="P2370" i="208"/>
  <c r="AJ2370" i="208"/>
  <c r="AI2370" i="208"/>
  <c r="P2514" i="208"/>
  <c r="AJ2514" i="208"/>
  <c r="AI2514" i="208"/>
  <c r="P2658" i="208"/>
  <c r="AJ2658" i="208"/>
  <c r="AI2658" i="208"/>
  <c r="P2802" i="208"/>
  <c r="AJ2802" i="208"/>
  <c r="AI2802" i="208"/>
  <c r="P2946" i="208"/>
  <c r="AJ2946" i="208"/>
  <c r="AI2946" i="208"/>
  <c r="P1803" i="208"/>
  <c r="AJ1803" i="208"/>
  <c r="AI1803" i="208"/>
  <c r="P385" i="208"/>
  <c r="AJ385" i="208"/>
  <c r="AI385" i="208"/>
  <c r="P529" i="208"/>
  <c r="AJ529" i="208"/>
  <c r="AI529" i="208"/>
  <c r="AJ673" i="208"/>
  <c r="AI673" i="208"/>
  <c r="P817" i="208"/>
  <c r="AJ817" i="208"/>
  <c r="AI817" i="208"/>
  <c r="P961" i="208"/>
  <c r="AJ961" i="208"/>
  <c r="AI961" i="208"/>
  <c r="P1105" i="208"/>
  <c r="AJ1105" i="208"/>
  <c r="AI1105" i="208"/>
  <c r="P1249" i="208"/>
  <c r="AJ1249" i="208"/>
  <c r="AI1249" i="208"/>
  <c r="P1393" i="208"/>
  <c r="AJ1393" i="208"/>
  <c r="AI1393" i="208"/>
  <c r="P1537" i="208"/>
  <c r="AJ1537" i="208"/>
  <c r="AI1537" i="208"/>
  <c r="P1681" i="208"/>
  <c r="AJ1681" i="208"/>
  <c r="AI1681" i="208"/>
  <c r="P1825" i="208"/>
  <c r="AJ1825" i="208"/>
  <c r="AI1825" i="208"/>
  <c r="P1969" i="208"/>
  <c r="AJ1969" i="208"/>
  <c r="AI1969" i="208"/>
  <c r="P2113" i="208"/>
  <c r="AJ2113" i="208"/>
  <c r="AI2113" i="208"/>
  <c r="P2257" i="208"/>
  <c r="AJ2257" i="208"/>
  <c r="AI2257" i="208"/>
  <c r="P2401" i="208"/>
  <c r="AJ2401" i="208"/>
  <c r="AI2401" i="208"/>
  <c r="P2545" i="208"/>
  <c r="AJ2545" i="208"/>
  <c r="AI2545" i="208"/>
  <c r="P2689" i="208"/>
  <c r="AJ2689" i="208"/>
  <c r="AI2689" i="208"/>
  <c r="P2833" i="208"/>
  <c r="AJ2833" i="208"/>
  <c r="AI2833" i="208"/>
  <c r="P2977" i="208"/>
  <c r="AJ2977" i="208"/>
  <c r="AI2977" i="208"/>
  <c r="P1563" i="208"/>
  <c r="AJ1563" i="208"/>
  <c r="AI1563" i="208"/>
  <c r="P2595" i="208"/>
  <c r="AJ2595" i="208"/>
  <c r="AI2595" i="208"/>
  <c r="P380" i="208"/>
  <c r="AJ380" i="208"/>
  <c r="AI380" i="208"/>
  <c r="P524" i="208"/>
  <c r="AJ524" i="208"/>
  <c r="AI524" i="208"/>
  <c r="AJ668" i="208"/>
  <c r="AI668" i="208"/>
  <c r="P812" i="208"/>
  <c r="AJ812" i="208"/>
  <c r="AI812" i="208"/>
  <c r="P956" i="208"/>
  <c r="AJ956" i="208"/>
  <c r="AI956" i="208"/>
  <c r="P1100" i="208"/>
  <c r="AJ1100" i="208"/>
  <c r="AI1100" i="208"/>
  <c r="P1244" i="208"/>
  <c r="AJ1244" i="208"/>
  <c r="AI1244" i="208"/>
  <c r="P1388" i="208"/>
  <c r="AJ1388" i="208"/>
  <c r="AI1388" i="208"/>
  <c r="P1532" i="208"/>
  <c r="AJ1532" i="208"/>
  <c r="AI1532" i="208"/>
  <c r="P1676" i="208"/>
  <c r="AJ1676" i="208"/>
  <c r="AI1676" i="208"/>
  <c r="P1820" i="208"/>
  <c r="AJ1820" i="208"/>
  <c r="AI1820" i="208"/>
  <c r="P1964" i="208"/>
  <c r="AJ1964" i="208"/>
  <c r="AI1964" i="208"/>
  <c r="P2108" i="208"/>
  <c r="AJ2108" i="208"/>
  <c r="AI2108" i="208"/>
  <c r="P2252" i="208"/>
  <c r="AJ2252" i="208"/>
  <c r="AI2252" i="208"/>
  <c r="P2396" i="208"/>
  <c r="AJ2396" i="208"/>
  <c r="AI2396" i="208"/>
  <c r="P2540" i="208"/>
  <c r="AJ2540" i="208"/>
  <c r="AI2540" i="208"/>
  <c r="P2684" i="208"/>
  <c r="AJ2684" i="208"/>
  <c r="AI2684" i="208"/>
  <c r="P2828" i="208"/>
  <c r="AJ2828" i="208"/>
  <c r="AI2828" i="208"/>
  <c r="P2972" i="208"/>
  <c r="AJ2972" i="208"/>
  <c r="AI2972" i="208"/>
  <c r="P1143" i="208"/>
  <c r="AJ1143" i="208"/>
  <c r="AI1143" i="208"/>
  <c r="P2715" i="208"/>
  <c r="AJ2715" i="208"/>
  <c r="AI2715" i="208"/>
  <c r="P399" i="208"/>
  <c r="AJ399" i="208"/>
  <c r="AI399" i="208"/>
  <c r="P301" i="208"/>
  <c r="AJ301" i="208"/>
  <c r="AI301" i="208"/>
  <c r="P291" i="208"/>
  <c r="AJ291" i="208"/>
  <c r="AI291" i="208"/>
  <c r="P394" i="208"/>
  <c r="AJ394" i="208"/>
  <c r="AI394" i="208"/>
  <c r="AJ538" i="208"/>
  <c r="AI538" i="208"/>
  <c r="AJ682" i="208"/>
  <c r="AI682" i="208"/>
  <c r="P826" i="208"/>
  <c r="AJ826" i="208"/>
  <c r="AI826" i="208"/>
  <c r="P970" i="208"/>
  <c r="AJ970" i="208"/>
  <c r="AI970" i="208"/>
  <c r="P1114" i="208"/>
  <c r="AJ1114" i="208"/>
  <c r="AI1114" i="208"/>
  <c r="P1258" i="208"/>
  <c r="AJ1258" i="208"/>
  <c r="AI1258" i="208"/>
  <c r="P1402" i="208"/>
  <c r="AJ1402" i="208"/>
  <c r="AI1402" i="208"/>
  <c r="P1546" i="208"/>
  <c r="AJ1546" i="208"/>
  <c r="AI1546" i="208"/>
  <c r="P1690" i="208"/>
  <c r="AJ1690" i="208"/>
  <c r="AI1690" i="208"/>
  <c r="P1834" i="208"/>
  <c r="AJ1834" i="208"/>
  <c r="AI1834" i="208"/>
  <c r="P1978" i="208"/>
  <c r="AJ1978" i="208"/>
  <c r="AI1978" i="208"/>
  <c r="P2122" i="208"/>
  <c r="AJ2122" i="208"/>
  <c r="AI2122" i="208"/>
  <c r="P2266" i="208"/>
  <c r="AJ2266" i="208"/>
  <c r="AI2266" i="208"/>
  <c r="P2410" i="208"/>
  <c r="AJ2410" i="208"/>
  <c r="AI2410" i="208"/>
  <c r="P2554" i="208"/>
  <c r="AJ2554" i="208"/>
  <c r="AI2554" i="208"/>
  <c r="P2698" i="208"/>
  <c r="AJ2698" i="208"/>
  <c r="AI2698" i="208"/>
  <c r="P2842" i="208"/>
  <c r="AJ2842" i="208"/>
  <c r="AI2842" i="208"/>
  <c r="P2986" i="208"/>
  <c r="AJ2986" i="208"/>
  <c r="AI2986" i="208"/>
  <c r="P1875" i="208"/>
  <c r="AJ1875" i="208"/>
  <c r="AI1875" i="208"/>
  <c r="P449" i="208"/>
  <c r="AJ449" i="208"/>
  <c r="AI449" i="208"/>
  <c r="P593" i="208"/>
  <c r="AJ593" i="208"/>
  <c r="AI593" i="208"/>
  <c r="AJ737" i="208"/>
  <c r="AI737" i="208"/>
  <c r="P881" i="208"/>
  <c r="AJ881" i="208"/>
  <c r="AI881" i="208"/>
  <c r="P1025" i="208"/>
  <c r="AJ1025" i="208"/>
  <c r="AI1025" i="208"/>
  <c r="P1169" i="208"/>
  <c r="AJ1169" i="208"/>
  <c r="AI1169" i="208"/>
  <c r="P1313" i="208"/>
  <c r="AJ1313" i="208"/>
  <c r="AI1313" i="208"/>
  <c r="P1457" i="208"/>
  <c r="AJ1457" i="208"/>
  <c r="AI1457" i="208"/>
  <c r="P1601" i="208"/>
  <c r="AJ1601" i="208"/>
  <c r="AI1601" i="208"/>
  <c r="P1745" i="208"/>
  <c r="AJ1745" i="208"/>
  <c r="AI1745" i="208"/>
  <c r="P1889" i="208"/>
  <c r="AJ1889" i="208"/>
  <c r="AI1889" i="208"/>
  <c r="P2033" i="208"/>
  <c r="AJ2033" i="208"/>
  <c r="AI2033" i="208"/>
  <c r="P2177" i="208"/>
  <c r="AJ2177" i="208"/>
  <c r="AI2177" i="208"/>
  <c r="P2321" i="208"/>
  <c r="AJ2321" i="208"/>
  <c r="AI2321" i="208"/>
  <c r="P2465" i="208"/>
  <c r="AJ2465" i="208"/>
  <c r="AI2465" i="208"/>
  <c r="P2609" i="208"/>
  <c r="AJ2609" i="208"/>
  <c r="AI2609" i="208"/>
  <c r="P2753" i="208"/>
  <c r="AI2753" i="208"/>
  <c r="AJ2753" i="208"/>
  <c r="P2897" i="208"/>
  <c r="AJ2897" i="208"/>
  <c r="AI2897" i="208"/>
  <c r="P1215" i="208"/>
  <c r="AJ1215" i="208"/>
  <c r="AI1215" i="208"/>
  <c r="P396" i="208"/>
  <c r="AJ396" i="208"/>
  <c r="AI396" i="208"/>
  <c r="P540" i="208"/>
  <c r="AJ540" i="208"/>
  <c r="AI540" i="208"/>
  <c r="P684" i="208"/>
  <c r="AJ684" i="208"/>
  <c r="AI684" i="208"/>
  <c r="AJ828" i="208"/>
  <c r="AI828" i="208"/>
  <c r="P972" i="208"/>
  <c r="AJ972" i="208"/>
  <c r="AI972" i="208"/>
  <c r="P1116" i="208"/>
  <c r="AJ1116" i="208"/>
  <c r="AI1116" i="208"/>
  <c r="P1260" i="208"/>
  <c r="AJ1260" i="208"/>
  <c r="AI1260" i="208"/>
  <c r="P1404" i="208"/>
  <c r="AJ1404" i="208"/>
  <c r="AI1404" i="208"/>
  <c r="P1548" i="208"/>
  <c r="AJ1548" i="208"/>
  <c r="AI1548" i="208"/>
  <c r="P1692" i="208"/>
  <c r="AJ1692" i="208"/>
  <c r="AI1692" i="208"/>
  <c r="P1836" i="208"/>
  <c r="AJ1836" i="208"/>
  <c r="AI1836" i="208"/>
  <c r="P1980" i="208"/>
  <c r="AJ1980" i="208"/>
  <c r="AI1980" i="208"/>
  <c r="P2124" i="208"/>
  <c r="AJ2124" i="208"/>
  <c r="AI2124" i="208"/>
  <c r="P2268" i="208"/>
  <c r="AJ2268" i="208"/>
  <c r="AI2268" i="208"/>
  <c r="P2412" i="208"/>
  <c r="AJ2412" i="208"/>
  <c r="AI2412" i="208"/>
  <c r="P2556" i="208"/>
  <c r="AJ2556" i="208"/>
  <c r="AI2556" i="208"/>
  <c r="P2700" i="208"/>
  <c r="AJ2700" i="208"/>
  <c r="AI2700" i="208"/>
  <c r="P2844" i="208"/>
  <c r="AJ2844" i="208"/>
  <c r="AI2844" i="208"/>
  <c r="P2988" i="208"/>
  <c r="AJ2988" i="208"/>
  <c r="AI2988" i="208"/>
  <c r="P1779" i="208"/>
  <c r="AJ1779" i="208"/>
  <c r="AI1779" i="208"/>
  <c r="P355" i="208"/>
  <c r="AJ355" i="208"/>
  <c r="AI355" i="208"/>
  <c r="AJ499" i="208"/>
  <c r="AI499" i="208"/>
  <c r="P643" i="208"/>
  <c r="AJ643" i="208"/>
  <c r="AI643" i="208"/>
  <c r="AJ787" i="208"/>
  <c r="AI787" i="208"/>
  <c r="P931" i="208"/>
  <c r="AJ931" i="208"/>
  <c r="AI931" i="208"/>
  <c r="P1075" i="208"/>
  <c r="AJ1075" i="208"/>
  <c r="AI1075" i="208"/>
  <c r="P1219" i="208"/>
  <c r="AJ1219" i="208"/>
  <c r="AI1219" i="208"/>
  <c r="P1363" i="208"/>
  <c r="AJ1363" i="208"/>
  <c r="AI1363" i="208"/>
  <c r="P1507" i="208"/>
  <c r="AJ1507" i="208"/>
  <c r="AI1507" i="208"/>
  <c r="P1651" i="208"/>
  <c r="AJ1651" i="208"/>
  <c r="AI1651" i="208"/>
  <c r="P1795" i="208"/>
  <c r="AJ1795" i="208"/>
  <c r="AI1795" i="208"/>
  <c r="P1939" i="208"/>
  <c r="AJ1939" i="208"/>
  <c r="AI1939" i="208"/>
  <c r="P2083" i="208"/>
  <c r="AJ2083" i="208"/>
  <c r="AI2083" i="208"/>
  <c r="P2227" i="208"/>
  <c r="AJ2227" i="208"/>
  <c r="AI2227" i="208"/>
  <c r="P2371" i="208"/>
  <c r="AJ2371" i="208"/>
  <c r="AI2371" i="208"/>
  <c r="P2515" i="208"/>
  <c r="AJ2515" i="208"/>
  <c r="AI2515" i="208"/>
  <c r="P2659" i="208"/>
  <c r="AJ2659" i="208"/>
  <c r="AI2659" i="208"/>
  <c r="P2803" i="208"/>
  <c r="AJ2803" i="208"/>
  <c r="AI2803" i="208"/>
  <c r="P2947" i="208"/>
  <c r="AJ2947" i="208"/>
  <c r="AI2947" i="208"/>
  <c r="P1647" i="208"/>
  <c r="AJ1647" i="208"/>
  <c r="AI1647" i="208"/>
  <c r="P326" i="208"/>
  <c r="AI326" i="208"/>
  <c r="AJ326" i="208"/>
  <c r="AJ470" i="208"/>
  <c r="AI470" i="208"/>
  <c r="AJ614" i="208"/>
  <c r="AI614" i="208"/>
  <c r="P758" i="208"/>
  <c r="AJ758" i="208"/>
  <c r="AI758" i="208"/>
  <c r="P902" i="208"/>
  <c r="AJ902" i="208"/>
  <c r="AI902" i="208"/>
  <c r="P1046" i="208"/>
  <c r="AJ1046" i="208"/>
  <c r="AI1046" i="208"/>
  <c r="P1190" i="208"/>
  <c r="AJ1190" i="208"/>
  <c r="AI1190" i="208"/>
  <c r="P1334" i="208"/>
  <c r="AJ1334" i="208"/>
  <c r="AI1334" i="208"/>
  <c r="P1478" i="208"/>
  <c r="AJ1478" i="208"/>
  <c r="AI1478" i="208"/>
  <c r="P1622" i="208"/>
  <c r="AJ1622" i="208"/>
  <c r="AI1622" i="208"/>
  <c r="P1766" i="208"/>
  <c r="AJ1766" i="208"/>
  <c r="AI1766" i="208"/>
  <c r="P1910" i="208"/>
  <c r="AJ1910" i="208"/>
  <c r="AI1910" i="208"/>
  <c r="P2054" i="208"/>
  <c r="AJ2054" i="208"/>
  <c r="AI2054" i="208"/>
  <c r="P2198" i="208"/>
  <c r="AJ2198" i="208"/>
  <c r="AI2198" i="208"/>
  <c r="P2342" i="208"/>
  <c r="AJ2342" i="208"/>
  <c r="AI2342" i="208"/>
  <c r="P2486" i="208"/>
  <c r="AJ2486" i="208"/>
  <c r="AI2486" i="208"/>
  <c r="P2630" i="208"/>
  <c r="AJ2630" i="208"/>
  <c r="AI2630" i="208"/>
  <c r="P2774" i="208"/>
  <c r="AJ2774" i="208"/>
  <c r="AI2774" i="208"/>
  <c r="P2918" i="208"/>
  <c r="AJ2918" i="208"/>
  <c r="AI2918" i="208"/>
  <c r="P1191" i="208"/>
  <c r="AJ1191" i="208"/>
  <c r="AI1191" i="208"/>
  <c r="AJ357" i="208"/>
  <c r="AI357" i="208"/>
  <c r="P501" i="208"/>
  <c r="AJ501" i="208"/>
  <c r="AI501" i="208"/>
  <c r="P645" i="208"/>
  <c r="AJ645" i="208"/>
  <c r="AI645" i="208"/>
  <c r="P789" i="208"/>
  <c r="AJ789" i="208"/>
  <c r="AI789" i="208"/>
  <c r="P933" i="208"/>
  <c r="AJ933" i="208"/>
  <c r="AI933" i="208"/>
  <c r="P1077" i="208"/>
  <c r="AJ1077" i="208"/>
  <c r="AI1077" i="208"/>
  <c r="P1221" i="208"/>
  <c r="AJ1221" i="208"/>
  <c r="AI1221" i="208"/>
  <c r="P1365" i="208"/>
  <c r="AJ1365" i="208"/>
  <c r="AI1365" i="208"/>
  <c r="P1509" i="208"/>
  <c r="AJ1509" i="208"/>
  <c r="AI1509" i="208"/>
  <c r="P1653" i="208"/>
  <c r="AJ1653" i="208"/>
  <c r="AI1653" i="208"/>
  <c r="P1797" i="208"/>
  <c r="AJ1797" i="208"/>
  <c r="AI1797" i="208"/>
  <c r="P1941" i="208"/>
  <c r="AJ1941" i="208"/>
  <c r="AI1941" i="208"/>
  <c r="P2085" i="208"/>
  <c r="AJ2085" i="208"/>
  <c r="AI2085" i="208"/>
  <c r="P2229" i="208"/>
  <c r="AJ2229" i="208"/>
  <c r="AI2229" i="208"/>
  <c r="P2373" i="208"/>
  <c r="AJ2373" i="208"/>
  <c r="AI2373" i="208"/>
  <c r="P2517" i="208"/>
  <c r="AJ2517" i="208"/>
  <c r="AI2517" i="208"/>
  <c r="P2661" i="208"/>
  <c r="AJ2661" i="208"/>
  <c r="AI2661" i="208"/>
  <c r="P2805" i="208"/>
  <c r="AJ2805" i="208"/>
  <c r="AI2805" i="208"/>
  <c r="P2949" i="208"/>
  <c r="AJ2949" i="208"/>
  <c r="AI2949" i="208"/>
  <c r="P1059" i="208"/>
  <c r="AJ1059" i="208"/>
  <c r="AI1059" i="208"/>
  <c r="P2271" i="208"/>
  <c r="AJ2271" i="208"/>
  <c r="AI2271" i="208"/>
  <c r="P2895" i="208"/>
  <c r="AJ2895" i="208"/>
  <c r="AI2895" i="208"/>
  <c r="P352" i="208"/>
  <c r="AJ352" i="208"/>
  <c r="AI352" i="208"/>
  <c r="AJ496" i="208"/>
  <c r="AI496" i="208"/>
  <c r="AJ640" i="208"/>
  <c r="AI640" i="208"/>
  <c r="AJ784" i="208"/>
  <c r="AI784" i="208"/>
  <c r="P928" i="208"/>
  <c r="AJ928" i="208"/>
  <c r="AI928" i="208"/>
  <c r="P1072" i="208"/>
  <c r="AJ1072" i="208"/>
  <c r="AI1072" i="208"/>
  <c r="P1216" i="208"/>
  <c r="AJ1216" i="208"/>
  <c r="AI1216" i="208"/>
  <c r="P1360" i="208"/>
  <c r="AJ1360" i="208"/>
  <c r="AI1360" i="208"/>
  <c r="P1504" i="208"/>
  <c r="AJ1504" i="208"/>
  <c r="AI1504" i="208"/>
  <c r="P1648" i="208"/>
  <c r="AJ1648" i="208"/>
  <c r="AI1648" i="208"/>
  <c r="P1792" i="208"/>
  <c r="AJ1792" i="208"/>
  <c r="AI1792" i="208"/>
  <c r="P1936" i="208"/>
  <c r="AJ1936" i="208"/>
  <c r="AI1936" i="208"/>
  <c r="P2080" i="208"/>
  <c r="AJ2080" i="208"/>
  <c r="AI2080" i="208"/>
  <c r="P2224" i="208"/>
  <c r="AJ2224" i="208"/>
  <c r="AI2224" i="208"/>
  <c r="P2368" i="208"/>
  <c r="AI2368" i="208"/>
  <c r="AJ2368" i="208"/>
  <c r="P2512" i="208"/>
  <c r="AJ2512" i="208"/>
  <c r="AI2512" i="208"/>
  <c r="P2656" i="208"/>
  <c r="AJ2656" i="208"/>
  <c r="AI2656" i="208"/>
  <c r="P2800" i="208"/>
  <c r="AJ2800" i="208"/>
  <c r="AI2800" i="208"/>
  <c r="P2944" i="208"/>
  <c r="AJ2944" i="208"/>
  <c r="AI2944" i="208"/>
  <c r="P1179" i="208"/>
  <c r="AJ1179" i="208"/>
  <c r="AI1179" i="208"/>
  <c r="P2283" i="208"/>
  <c r="AJ2283" i="208"/>
  <c r="AI2283" i="208"/>
  <c r="P395" i="208"/>
  <c r="AJ395" i="208"/>
  <c r="AI395" i="208"/>
  <c r="AJ539" i="208"/>
  <c r="AI539" i="208"/>
  <c r="P683" i="208"/>
  <c r="AJ683" i="208"/>
  <c r="AI683" i="208"/>
  <c r="AJ827" i="208"/>
  <c r="AI827" i="208"/>
  <c r="P971" i="208"/>
  <c r="AJ971" i="208"/>
  <c r="AI971" i="208"/>
  <c r="P1115" i="208"/>
  <c r="AJ1115" i="208"/>
  <c r="AI1115" i="208"/>
  <c r="P1259" i="208"/>
  <c r="AJ1259" i="208"/>
  <c r="AI1259" i="208"/>
  <c r="P1403" i="208"/>
  <c r="AJ1403" i="208"/>
  <c r="AI1403" i="208"/>
  <c r="P1547" i="208"/>
  <c r="AJ1547" i="208"/>
  <c r="AI1547" i="208"/>
  <c r="P1691" i="208"/>
  <c r="AJ1691" i="208"/>
  <c r="AI1691" i="208"/>
  <c r="P1835" i="208"/>
  <c r="AJ1835" i="208"/>
  <c r="AI1835" i="208"/>
  <c r="P1979" i="208"/>
  <c r="AJ1979" i="208"/>
  <c r="AI1979" i="208"/>
  <c r="P2123" i="208"/>
  <c r="AJ2123" i="208"/>
  <c r="AI2123" i="208"/>
  <c r="P2267" i="208"/>
  <c r="AJ2267" i="208"/>
  <c r="AI2267" i="208"/>
  <c r="P2411" i="208"/>
  <c r="AJ2411" i="208"/>
  <c r="AI2411" i="208"/>
  <c r="P2555" i="208"/>
  <c r="AJ2555" i="208"/>
  <c r="AI2555" i="208"/>
  <c r="P2699" i="208"/>
  <c r="AJ2699" i="208"/>
  <c r="AI2699" i="208"/>
  <c r="P2843" i="208"/>
  <c r="AJ2843" i="208"/>
  <c r="AI2843" i="208"/>
  <c r="P2987" i="208"/>
  <c r="AJ2987" i="208"/>
  <c r="AI2987" i="208"/>
  <c r="P2259" i="208"/>
  <c r="AJ2259" i="208"/>
  <c r="AI2259" i="208"/>
  <c r="P366" i="208"/>
  <c r="AJ366" i="208"/>
  <c r="AI366" i="208"/>
  <c r="P510" i="208"/>
  <c r="AJ510" i="208"/>
  <c r="AI510" i="208"/>
  <c r="P654" i="208"/>
  <c r="AJ654" i="208"/>
  <c r="AI654" i="208"/>
  <c r="AJ798" i="208"/>
  <c r="AI798" i="208"/>
  <c r="P942" i="208"/>
  <c r="AJ942" i="208"/>
  <c r="AI942" i="208"/>
  <c r="P1086" i="208"/>
  <c r="AJ1086" i="208"/>
  <c r="AI1086" i="208"/>
  <c r="P1230" i="208"/>
  <c r="AJ1230" i="208"/>
  <c r="AI1230" i="208"/>
  <c r="P1374" i="208"/>
  <c r="AJ1374" i="208"/>
  <c r="AI1374" i="208"/>
  <c r="P1518" i="208"/>
  <c r="AJ1518" i="208"/>
  <c r="AI1518" i="208"/>
  <c r="P1662" i="208"/>
  <c r="AJ1662" i="208"/>
  <c r="AI1662" i="208"/>
  <c r="P1806" i="208"/>
  <c r="AJ1806" i="208"/>
  <c r="AI1806" i="208"/>
  <c r="P1950" i="208"/>
  <c r="AJ1950" i="208"/>
  <c r="AI1950" i="208"/>
  <c r="P2094" i="208"/>
  <c r="AJ2094" i="208"/>
  <c r="AI2094" i="208"/>
  <c r="P2238" i="208"/>
  <c r="AJ2238" i="208"/>
  <c r="AI2238" i="208"/>
  <c r="P2382" i="208"/>
  <c r="AJ2382" i="208"/>
  <c r="AI2382" i="208"/>
  <c r="P2526" i="208"/>
  <c r="AJ2526" i="208"/>
  <c r="AI2526" i="208"/>
  <c r="P2670" i="208"/>
  <c r="AJ2670" i="208"/>
  <c r="AI2670" i="208"/>
  <c r="P2814" i="208"/>
  <c r="AJ2814" i="208"/>
  <c r="AI2814" i="208"/>
  <c r="P2958" i="208"/>
  <c r="AJ2958" i="208"/>
  <c r="AI2958" i="208"/>
  <c r="P1839" i="208"/>
  <c r="AJ1839" i="208"/>
  <c r="AI1839" i="208"/>
  <c r="P397" i="208"/>
  <c r="AJ397" i="208"/>
  <c r="AI397" i="208"/>
  <c r="P541" i="208"/>
  <c r="AJ541" i="208"/>
  <c r="AI541" i="208"/>
  <c r="P685" i="208"/>
  <c r="AJ685" i="208"/>
  <c r="AI685" i="208"/>
  <c r="P829" i="208"/>
  <c r="AJ829" i="208"/>
  <c r="AI829" i="208"/>
  <c r="P973" i="208"/>
  <c r="AJ973" i="208"/>
  <c r="AI973" i="208"/>
  <c r="P1117" i="208"/>
  <c r="AJ1117" i="208"/>
  <c r="AI1117" i="208"/>
  <c r="P1261" i="208"/>
  <c r="AJ1261" i="208"/>
  <c r="AI1261" i="208"/>
  <c r="P1405" i="208"/>
  <c r="AJ1405" i="208"/>
  <c r="AI1405" i="208"/>
  <c r="P1549" i="208"/>
  <c r="AJ1549" i="208"/>
  <c r="AI1549" i="208"/>
  <c r="P1693" i="208"/>
  <c r="AJ1693" i="208"/>
  <c r="AI1693" i="208"/>
  <c r="P1837" i="208"/>
  <c r="AJ1837" i="208"/>
  <c r="AI1837" i="208"/>
  <c r="P1981" i="208"/>
  <c r="AJ1981" i="208"/>
  <c r="AI1981" i="208"/>
  <c r="P2125" i="208"/>
  <c r="AJ2125" i="208"/>
  <c r="AI2125" i="208"/>
  <c r="P2269" i="208"/>
  <c r="AJ2269" i="208"/>
  <c r="AI2269" i="208"/>
  <c r="P2413" i="208"/>
  <c r="AJ2413" i="208"/>
  <c r="AI2413" i="208"/>
  <c r="P2557" i="208"/>
  <c r="AJ2557" i="208"/>
  <c r="AI2557" i="208"/>
  <c r="P2701" i="208"/>
  <c r="AJ2701" i="208"/>
  <c r="AI2701" i="208"/>
  <c r="P2845" i="208"/>
  <c r="AJ2845" i="208"/>
  <c r="AI2845" i="208"/>
  <c r="P2989" i="208"/>
  <c r="AJ2989" i="208"/>
  <c r="AI2989" i="208"/>
  <c r="P1635" i="208"/>
  <c r="AJ1635" i="208"/>
  <c r="AI1635" i="208"/>
  <c r="P2631" i="208"/>
  <c r="AJ2631" i="208"/>
  <c r="AI2631" i="208"/>
  <c r="P392" i="208"/>
  <c r="AJ392" i="208"/>
  <c r="AI392" i="208"/>
  <c r="P536" i="208"/>
  <c r="AJ536" i="208"/>
  <c r="AI536" i="208"/>
  <c r="P680" i="208"/>
  <c r="AJ680" i="208"/>
  <c r="AI680" i="208"/>
  <c r="P824" i="208"/>
  <c r="AJ824" i="208"/>
  <c r="AI824" i="208"/>
  <c r="P968" i="208"/>
  <c r="AJ968" i="208"/>
  <c r="AI968" i="208"/>
  <c r="P1112" i="208"/>
  <c r="AJ1112" i="208"/>
  <c r="AI1112" i="208"/>
  <c r="P1256" i="208"/>
  <c r="AJ1256" i="208"/>
  <c r="AI1256" i="208"/>
  <c r="P1400" i="208"/>
  <c r="AJ1400" i="208"/>
  <c r="AI1400" i="208"/>
  <c r="P1544" i="208"/>
  <c r="AJ1544" i="208"/>
  <c r="AI1544" i="208"/>
  <c r="P1688" i="208"/>
  <c r="AJ1688" i="208"/>
  <c r="AI1688" i="208"/>
  <c r="P1832" i="208"/>
  <c r="AJ1832" i="208"/>
  <c r="AI1832" i="208"/>
  <c r="P1976" i="208"/>
  <c r="AJ1976" i="208"/>
  <c r="AI1976" i="208"/>
  <c r="P2120" i="208"/>
  <c r="AJ2120" i="208"/>
  <c r="AI2120" i="208"/>
  <c r="P2264" i="208"/>
  <c r="AJ2264" i="208"/>
  <c r="AI2264" i="208"/>
  <c r="P2408" i="208"/>
  <c r="AJ2408" i="208"/>
  <c r="AI2408" i="208"/>
  <c r="P2552" i="208"/>
  <c r="AJ2552" i="208"/>
  <c r="AI2552" i="208"/>
  <c r="P2696" i="208"/>
  <c r="AJ2696" i="208"/>
  <c r="AI2696" i="208"/>
  <c r="P2840" i="208"/>
  <c r="AJ2840" i="208"/>
  <c r="AI2840" i="208"/>
  <c r="P2984" i="208"/>
  <c r="AJ2984" i="208"/>
  <c r="AI2984" i="208"/>
  <c r="P1227" i="208"/>
  <c r="AJ1227" i="208"/>
  <c r="AI1227" i="208"/>
  <c r="P2787" i="208"/>
  <c r="AJ2787" i="208"/>
  <c r="AI2787" i="208"/>
  <c r="AJ6" i="208"/>
  <c r="AI6" i="208"/>
  <c r="P15" i="208"/>
  <c r="AJ15" i="208"/>
  <c r="AI15" i="208"/>
  <c r="AJ24" i="208"/>
  <c r="AI24" i="208"/>
  <c r="P33" i="208"/>
  <c r="AJ33" i="208"/>
  <c r="AI33" i="208"/>
  <c r="AJ42" i="208"/>
  <c r="AI42" i="208"/>
  <c r="P51" i="208"/>
  <c r="AJ51" i="208"/>
  <c r="AI51" i="208"/>
  <c r="AJ60" i="208"/>
  <c r="AI60" i="208"/>
  <c r="P69" i="208"/>
  <c r="AJ69" i="208"/>
  <c r="AI69" i="208"/>
  <c r="AJ78" i="208"/>
  <c r="AI78" i="208"/>
  <c r="P87" i="208"/>
  <c r="AJ87" i="208"/>
  <c r="AI87" i="208"/>
  <c r="AJ96" i="208"/>
  <c r="AI96" i="208"/>
  <c r="P105" i="208"/>
  <c r="AJ105" i="208"/>
  <c r="AI105" i="208"/>
  <c r="AJ114" i="208"/>
  <c r="AI114" i="208"/>
  <c r="P123" i="208"/>
  <c r="AJ123" i="208"/>
  <c r="AI123" i="208"/>
  <c r="AJ132" i="208"/>
  <c r="AI132" i="208"/>
  <c r="P141" i="208"/>
  <c r="AJ141" i="208"/>
  <c r="AI141" i="208"/>
  <c r="AJ150" i="208"/>
  <c r="AI150" i="208"/>
  <c r="P159" i="208"/>
  <c r="AJ159" i="208"/>
  <c r="AI159" i="208"/>
  <c r="AJ168" i="208"/>
  <c r="AI168" i="208"/>
  <c r="P177" i="208"/>
  <c r="AJ177" i="208"/>
  <c r="AI177" i="208"/>
  <c r="AJ186" i="208"/>
  <c r="AI186" i="208"/>
  <c r="P195" i="208"/>
  <c r="AJ195" i="208"/>
  <c r="AI195" i="208"/>
  <c r="AJ204" i="208"/>
  <c r="AI204" i="208"/>
  <c r="P213" i="208"/>
  <c r="AJ213" i="208"/>
  <c r="AI213" i="208"/>
  <c r="AJ222" i="208"/>
  <c r="AI222" i="208"/>
  <c r="P231" i="208"/>
  <c r="AJ231" i="208"/>
  <c r="AI231" i="208"/>
  <c r="AJ240" i="208"/>
  <c r="AI240" i="208"/>
  <c r="P249" i="208"/>
  <c r="AJ249" i="208"/>
  <c r="AI249" i="208"/>
  <c r="AJ258" i="208"/>
  <c r="AI258" i="208"/>
  <c r="P267" i="208"/>
  <c r="AJ267" i="208"/>
  <c r="AI267" i="208"/>
  <c r="AJ280" i="208"/>
  <c r="AI280" i="208"/>
  <c r="P284" i="208"/>
  <c r="AJ284" i="208"/>
  <c r="AI284" i="208"/>
  <c r="AJ299" i="208"/>
  <c r="AI299" i="208"/>
  <c r="P406" i="208"/>
  <c r="AJ406" i="208"/>
  <c r="AI406" i="208"/>
  <c r="AJ550" i="208"/>
  <c r="AI550" i="208"/>
  <c r="P694" i="208"/>
  <c r="AJ694" i="208"/>
  <c r="AI694" i="208"/>
  <c r="P838" i="208"/>
  <c r="AJ838" i="208"/>
  <c r="AI838" i="208"/>
  <c r="P982" i="208"/>
  <c r="AJ982" i="208"/>
  <c r="AI982" i="208"/>
  <c r="P1126" i="208"/>
  <c r="AJ1126" i="208"/>
  <c r="AI1126" i="208"/>
  <c r="P1270" i="208"/>
  <c r="AJ1270" i="208"/>
  <c r="AI1270" i="208"/>
  <c r="P1414" i="208"/>
  <c r="AJ1414" i="208"/>
  <c r="AI1414" i="208"/>
  <c r="P1558" i="208"/>
  <c r="AJ1558" i="208"/>
  <c r="AI1558" i="208"/>
  <c r="P1702" i="208"/>
  <c r="AJ1702" i="208"/>
  <c r="AI1702" i="208"/>
  <c r="P1846" i="208"/>
  <c r="AJ1846" i="208"/>
  <c r="AI1846" i="208"/>
  <c r="P1990" i="208"/>
  <c r="AJ1990" i="208"/>
  <c r="AI1990" i="208"/>
  <c r="P2134" i="208"/>
  <c r="AJ2134" i="208"/>
  <c r="AI2134" i="208"/>
  <c r="P2278" i="208"/>
  <c r="AJ2278" i="208"/>
  <c r="AI2278" i="208"/>
  <c r="P2422" i="208"/>
  <c r="AJ2422" i="208"/>
  <c r="AI2422" i="208"/>
  <c r="P2566" i="208"/>
  <c r="AJ2566" i="208"/>
  <c r="AI2566" i="208"/>
  <c r="P2710" i="208"/>
  <c r="AJ2710" i="208"/>
  <c r="AI2710" i="208"/>
  <c r="P2854" i="208"/>
  <c r="AJ2854" i="208"/>
  <c r="AI2854" i="208"/>
  <c r="P2998" i="208"/>
  <c r="AJ2998" i="208"/>
  <c r="AI2998" i="208"/>
  <c r="P1935" i="208"/>
  <c r="AJ1935" i="208"/>
  <c r="AI1935" i="208"/>
  <c r="AI317" i="208"/>
  <c r="AJ317" i="208"/>
  <c r="P461" i="208"/>
  <c r="AJ461" i="208"/>
  <c r="AI461" i="208"/>
  <c r="AJ605" i="208"/>
  <c r="AI605" i="208"/>
  <c r="P749" i="208"/>
  <c r="AJ749" i="208"/>
  <c r="AI749" i="208"/>
  <c r="P893" i="208"/>
  <c r="AJ893" i="208"/>
  <c r="AI893" i="208"/>
  <c r="P1037" i="208"/>
  <c r="AJ1037" i="208"/>
  <c r="AI1037" i="208"/>
  <c r="P1181" i="208"/>
  <c r="AJ1181" i="208"/>
  <c r="AI1181" i="208"/>
  <c r="P1325" i="208"/>
  <c r="AJ1325" i="208"/>
  <c r="AI1325" i="208"/>
  <c r="P1469" i="208"/>
  <c r="AJ1469" i="208"/>
  <c r="AI1469" i="208"/>
  <c r="P1613" i="208"/>
  <c r="AJ1613" i="208"/>
  <c r="AI1613" i="208"/>
  <c r="P1757" i="208"/>
  <c r="AJ1757" i="208"/>
  <c r="AI1757" i="208"/>
  <c r="P1901" i="208"/>
  <c r="AJ1901" i="208"/>
  <c r="AI1901" i="208"/>
  <c r="P2045" i="208"/>
  <c r="AJ2045" i="208"/>
  <c r="AI2045" i="208"/>
  <c r="P2189" i="208"/>
  <c r="AJ2189" i="208"/>
  <c r="AI2189" i="208"/>
  <c r="P2333" i="208"/>
  <c r="AJ2333" i="208"/>
  <c r="AI2333" i="208"/>
  <c r="P2477" i="208"/>
  <c r="AJ2477" i="208"/>
  <c r="AI2477" i="208"/>
  <c r="P2621" i="208"/>
  <c r="AJ2621" i="208"/>
  <c r="AI2621" i="208"/>
  <c r="P2765" i="208"/>
  <c r="AJ2765" i="208"/>
  <c r="AI2765" i="208"/>
  <c r="P2909" i="208"/>
  <c r="AJ2909" i="208"/>
  <c r="AI2909" i="208"/>
  <c r="P1455" i="208"/>
  <c r="AJ1455" i="208"/>
  <c r="AI1455" i="208"/>
  <c r="P408" i="208"/>
  <c r="AJ408" i="208"/>
  <c r="AI408" i="208"/>
  <c r="AJ552" i="208"/>
  <c r="AI552" i="208"/>
  <c r="P696" i="208"/>
  <c r="AJ696" i="208"/>
  <c r="AI696" i="208"/>
  <c r="P840" i="208"/>
  <c r="AJ840" i="208"/>
  <c r="AI840" i="208"/>
  <c r="P984" i="208"/>
  <c r="AJ984" i="208"/>
  <c r="AI984" i="208"/>
  <c r="P1128" i="208"/>
  <c r="AJ1128" i="208"/>
  <c r="AI1128" i="208"/>
  <c r="P1272" i="208"/>
  <c r="AJ1272" i="208"/>
  <c r="AI1272" i="208"/>
  <c r="P1416" i="208"/>
  <c r="AJ1416" i="208"/>
  <c r="AI1416" i="208"/>
  <c r="P1560" i="208"/>
  <c r="AJ1560" i="208"/>
  <c r="AI1560" i="208"/>
  <c r="P1704" i="208"/>
  <c r="AJ1704" i="208"/>
  <c r="AI1704" i="208"/>
  <c r="P1848" i="208"/>
  <c r="AJ1848" i="208"/>
  <c r="AI1848" i="208"/>
  <c r="P1992" i="208"/>
  <c r="AJ1992" i="208"/>
  <c r="AI1992" i="208"/>
  <c r="P2136" i="208"/>
  <c r="AJ2136" i="208"/>
  <c r="AI2136" i="208"/>
  <c r="P2280" i="208"/>
  <c r="AJ2280" i="208"/>
  <c r="AI2280" i="208"/>
  <c r="P2424" i="208"/>
  <c r="AJ2424" i="208"/>
  <c r="AI2424" i="208"/>
  <c r="P2568" i="208"/>
  <c r="AJ2568" i="208"/>
  <c r="AI2568" i="208"/>
  <c r="P2712" i="208"/>
  <c r="AJ2712" i="208"/>
  <c r="AI2712" i="208"/>
  <c r="P2856" i="208"/>
  <c r="AJ2856" i="208"/>
  <c r="AI2856" i="208"/>
  <c r="P3000" i="208"/>
  <c r="AJ3000" i="208"/>
  <c r="AI3000" i="208"/>
  <c r="P1863" i="208"/>
  <c r="AJ1863" i="208"/>
  <c r="AI1863" i="208"/>
  <c r="P367" i="208"/>
  <c r="AJ367" i="208"/>
  <c r="AI367" i="208"/>
  <c r="P511" i="208"/>
  <c r="AJ511" i="208"/>
  <c r="AI511" i="208"/>
  <c r="P655" i="208"/>
  <c r="AJ655" i="208"/>
  <c r="AI655" i="208"/>
  <c r="AJ799" i="208"/>
  <c r="AI799" i="208"/>
  <c r="P943" i="208"/>
  <c r="AJ943" i="208"/>
  <c r="AI943" i="208"/>
  <c r="P1087" i="208"/>
  <c r="AJ1087" i="208"/>
  <c r="AI1087" i="208"/>
  <c r="P1231" i="208"/>
  <c r="AJ1231" i="208"/>
  <c r="AI1231" i="208"/>
  <c r="P1375" i="208"/>
  <c r="AJ1375" i="208"/>
  <c r="AI1375" i="208"/>
  <c r="P1519" i="208"/>
  <c r="AJ1519" i="208"/>
  <c r="AI1519" i="208"/>
  <c r="P1663" i="208"/>
  <c r="AJ1663" i="208"/>
  <c r="AI1663" i="208"/>
  <c r="P1807" i="208"/>
  <c r="AJ1807" i="208"/>
  <c r="AI1807" i="208"/>
  <c r="P1951" i="208"/>
  <c r="AJ1951" i="208"/>
  <c r="AI1951" i="208"/>
  <c r="P2095" i="208"/>
  <c r="AJ2095" i="208"/>
  <c r="AI2095" i="208"/>
  <c r="P2239" i="208"/>
  <c r="AJ2239" i="208"/>
  <c r="AI2239" i="208"/>
  <c r="P2383" i="208"/>
  <c r="AJ2383" i="208"/>
  <c r="AI2383" i="208"/>
  <c r="P2527" i="208"/>
  <c r="AJ2527" i="208"/>
  <c r="AI2527" i="208"/>
  <c r="P2671" i="208"/>
  <c r="AJ2671" i="208"/>
  <c r="AI2671" i="208"/>
  <c r="P2815" i="208"/>
  <c r="AJ2815" i="208"/>
  <c r="AI2815" i="208"/>
  <c r="P2959" i="208"/>
  <c r="AJ2959" i="208"/>
  <c r="AI2959" i="208"/>
  <c r="P1659" i="208"/>
  <c r="AJ1659" i="208"/>
  <c r="AI1659" i="208"/>
  <c r="P338" i="208"/>
  <c r="AJ338" i="208"/>
  <c r="AI338" i="208"/>
  <c r="AJ482" i="208"/>
  <c r="AI482" i="208"/>
  <c r="P626" i="208"/>
  <c r="AJ626" i="208"/>
  <c r="AI626" i="208"/>
  <c r="P770" i="208"/>
  <c r="AJ770" i="208"/>
  <c r="AI770" i="208"/>
  <c r="P914" i="208"/>
  <c r="AJ914" i="208"/>
  <c r="AI914" i="208"/>
  <c r="P1058" i="208"/>
  <c r="AJ1058" i="208"/>
  <c r="AI1058" i="208"/>
  <c r="P1202" i="208"/>
  <c r="AJ1202" i="208"/>
  <c r="AI1202" i="208"/>
  <c r="P1346" i="208"/>
  <c r="AJ1346" i="208"/>
  <c r="AI1346" i="208"/>
  <c r="P1490" i="208"/>
  <c r="AJ1490" i="208"/>
  <c r="AI1490" i="208"/>
  <c r="P1634" i="208"/>
  <c r="AJ1634" i="208"/>
  <c r="AI1634" i="208"/>
  <c r="P1778" i="208"/>
  <c r="AJ1778" i="208"/>
  <c r="AI1778" i="208"/>
  <c r="P1922" i="208"/>
  <c r="AJ1922" i="208"/>
  <c r="AI1922" i="208"/>
  <c r="P2066" i="208"/>
  <c r="AJ2066" i="208"/>
  <c r="AI2066" i="208"/>
  <c r="P2210" i="208"/>
  <c r="AJ2210" i="208"/>
  <c r="AI2210" i="208"/>
  <c r="P2354" i="208"/>
  <c r="AJ2354" i="208"/>
  <c r="AI2354" i="208"/>
  <c r="P2498" i="208"/>
  <c r="AJ2498" i="208"/>
  <c r="AI2498" i="208"/>
  <c r="P2642" i="208"/>
  <c r="AJ2642" i="208"/>
  <c r="AI2642" i="208"/>
  <c r="P2786" i="208"/>
  <c r="AJ2786" i="208"/>
  <c r="AI2786" i="208"/>
  <c r="P2930" i="208"/>
  <c r="AJ2930" i="208"/>
  <c r="AI2930" i="208"/>
  <c r="P1299" i="208"/>
  <c r="AJ1299" i="208"/>
  <c r="AI1299" i="208"/>
  <c r="P369" i="208"/>
  <c r="AJ369" i="208"/>
  <c r="AI369" i="208"/>
  <c r="P513" i="208"/>
  <c r="AJ513" i="208"/>
  <c r="AI513" i="208"/>
  <c r="P657" i="208"/>
  <c r="AJ657" i="208"/>
  <c r="AI657" i="208"/>
  <c r="AJ801" i="208"/>
  <c r="AI801" i="208"/>
  <c r="P945" i="208"/>
  <c r="AJ945" i="208"/>
  <c r="AI945" i="208"/>
  <c r="P1089" i="208"/>
  <c r="AJ1089" i="208"/>
  <c r="AI1089" i="208"/>
  <c r="P1233" i="208"/>
  <c r="AJ1233" i="208"/>
  <c r="AI1233" i="208"/>
  <c r="P1377" i="208"/>
  <c r="AJ1377" i="208"/>
  <c r="AI1377" i="208"/>
  <c r="P1521" i="208"/>
  <c r="AJ1521" i="208"/>
  <c r="AI1521" i="208"/>
  <c r="P1665" i="208"/>
  <c r="AJ1665" i="208"/>
  <c r="AI1665" i="208"/>
  <c r="P1809" i="208"/>
  <c r="AJ1809" i="208"/>
  <c r="AI1809" i="208"/>
  <c r="P1953" i="208"/>
  <c r="AJ1953" i="208"/>
  <c r="AI1953" i="208"/>
  <c r="P2097" i="208"/>
  <c r="AJ2097" i="208"/>
  <c r="AI2097" i="208"/>
  <c r="P2241" i="208"/>
  <c r="AJ2241" i="208"/>
  <c r="AI2241" i="208"/>
  <c r="P2385" i="208"/>
  <c r="AJ2385" i="208"/>
  <c r="AI2385" i="208"/>
  <c r="P2529" i="208"/>
  <c r="AJ2529" i="208"/>
  <c r="AI2529" i="208"/>
  <c r="P2673" i="208"/>
  <c r="AJ2673" i="208"/>
  <c r="AI2673" i="208"/>
  <c r="P2817" i="208"/>
  <c r="AJ2817" i="208"/>
  <c r="AI2817" i="208"/>
  <c r="P2961" i="208"/>
  <c r="AJ2961" i="208"/>
  <c r="AI2961" i="208"/>
  <c r="P1335" i="208"/>
  <c r="AJ1335" i="208"/>
  <c r="AI1335" i="208"/>
  <c r="P2331" i="208"/>
  <c r="AJ2331" i="208"/>
  <c r="AI2331" i="208"/>
  <c r="P364" i="208"/>
  <c r="AJ364" i="208"/>
  <c r="AI364" i="208"/>
  <c r="P508" i="208"/>
  <c r="AJ508" i="208"/>
  <c r="AI508" i="208"/>
  <c r="P652" i="208"/>
  <c r="AJ652" i="208"/>
  <c r="AI652" i="208"/>
  <c r="P796" i="208"/>
  <c r="AJ796" i="208"/>
  <c r="AI796" i="208"/>
  <c r="P940" i="208"/>
  <c r="AJ940" i="208"/>
  <c r="AI940" i="208"/>
  <c r="P1084" i="208"/>
  <c r="AJ1084" i="208"/>
  <c r="AI1084" i="208"/>
  <c r="P1228" i="208"/>
  <c r="AJ1228" i="208"/>
  <c r="AI1228" i="208"/>
  <c r="P1372" i="208"/>
  <c r="AJ1372" i="208"/>
  <c r="AI1372" i="208"/>
  <c r="P1516" i="208"/>
  <c r="AJ1516" i="208"/>
  <c r="AI1516" i="208"/>
  <c r="P1660" i="208"/>
  <c r="AJ1660" i="208"/>
  <c r="AI1660" i="208"/>
  <c r="P1804" i="208"/>
  <c r="AJ1804" i="208"/>
  <c r="AI1804" i="208"/>
  <c r="P1948" i="208"/>
  <c r="AJ1948" i="208"/>
  <c r="AI1948" i="208"/>
  <c r="P2092" i="208"/>
  <c r="AJ2092" i="208"/>
  <c r="AI2092" i="208"/>
  <c r="P2236" i="208"/>
  <c r="AJ2236" i="208"/>
  <c r="AI2236" i="208"/>
  <c r="P2380" i="208"/>
  <c r="AJ2380" i="208"/>
  <c r="AI2380" i="208"/>
  <c r="P2524" i="208"/>
  <c r="AJ2524" i="208"/>
  <c r="AI2524" i="208"/>
  <c r="P2668" i="208"/>
  <c r="AJ2668" i="208"/>
  <c r="AI2668" i="208"/>
  <c r="P2812" i="208"/>
  <c r="AJ2812" i="208"/>
  <c r="AI2812" i="208"/>
  <c r="P2956" i="208"/>
  <c r="AJ2956" i="208"/>
  <c r="AI2956" i="208"/>
  <c r="P1239" i="208"/>
  <c r="AJ1239" i="208"/>
  <c r="AI1239" i="208"/>
  <c r="P2703" i="208"/>
  <c r="AJ2703" i="208"/>
  <c r="AI2703" i="208"/>
  <c r="P407" i="208"/>
  <c r="AJ407" i="208"/>
  <c r="AI407" i="208"/>
  <c r="AJ551" i="208"/>
  <c r="AI551" i="208"/>
  <c r="P695" i="208"/>
  <c r="AJ695" i="208"/>
  <c r="AI695" i="208"/>
  <c r="P839" i="208"/>
  <c r="AJ839" i="208"/>
  <c r="AI839" i="208"/>
  <c r="P983" i="208"/>
  <c r="AJ983" i="208"/>
  <c r="AI983" i="208"/>
  <c r="P1127" i="208"/>
  <c r="AJ1127" i="208"/>
  <c r="AI1127" i="208"/>
  <c r="P1271" i="208"/>
  <c r="AJ1271" i="208"/>
  <c r="AI1271" i="208"/>
  <c r="P1415" i="208"/>
  <c r="AJ1415" i="208"/>
  <c r="AI1415" i="208"/>
  <c r="P1559" i="208"/>
  <c r="AJ1559" i="208"/>
  <c r="AI1559" i="208"/>
  <c r="P1703" i="208"/>
  <c r="AJ1703" i="208"/>
  <c r="AI1703" i="208"/>
  <c r="P1847" i="208"/>
  <c r="AJ1847" i="208"/>
  <c r="AI1847" i="208"/>
  <c r="P1991" i="208"/>
  <c r="AI1991" i="208"/>
  <c r="AJ1991" i="208"/>
  <c r="P2135" i="208"/>
  <c r="AJ2135" i="208"/>
  <c r="AI2135" i="208"/>
  <c r="P2279" i="208"/>
  <c r="AJ2279" i="208"/>
  <c r="AI2279" i="208"/>
  <c r="P2423" i="208"/>
  <c r="AJ2423" i="208"/>
  <c r="AI2423" i="208"/>
  <c r="P2567" i="208"/>
  <c r="AJ2567" i="208"/>
  <c r="AI2567" i="208"/>
  <c r="P2711" i="208"/>
  <c r="AJ2711" i="208"/>
  <c r="AI2711" i="208"/>
  <c r="P2855" i="208"/>
  <c r="AJ2855" i="208"/>
  <c r="AI2855" i="208"/>
  <c r="P2999" i="208"/>
  <c r="AJ2999" i="208"/>
  <c r="AI2999" i="208"/>
  <c r="P2415" i="208"/>
  <c r="AJ2415" i="208"/>
  <c r="AI2415" i="208"/>
  <c r="P378" i="208"/>
  <c r="AJ378" i="208"/>
  <c r="AI378" i="208"/>
  <c r="P522" i="208"/>
  <c r="AJ522" i="208"/>
  <c r="AI522" i="208"/>
  <c r="AJ666" i="208"/>
  <c r="AI666" i="208"/>
  <c r="P810" i="208"/>
  <c r="AJ810" i="208"/>
  <c r="AI810" i="208"/>
  <c r="P954" i="208"/>
  <c r="AJ954" i="208"/>
  <c r="AI954" i="208"/>
  <c r="P1098" i="208"/>
  <c r="AJ1098" i="208"/>
  <c r="AI1098" i="208"/>
  <c r="P1242" i="208"/>
  <c r="AJ1242" i="208"/>
  <c r="AI1242" i="208"/>
  <c r="P1386" i="208"/>
  <c r="AJ1386" i="208"/>
  <c r="AI1386" i="208"/>
  <c r="P1530" i="208"/>
  <c r="AJ1530" i="208"/>
  <c r="AI1530" i="208"/>
  <c r="P1674" i="208"/>
  <c r="AJ1674" i="208"/>
  <c r="AI1674" i="208"/>
  <c r="P1818" i="208"/>
  <c r="AJ1818" i="208"/>
  <c r="AI1818" i="208"/>
  <c r="P1962" i="208"/>
  <c r="AJ1962" i="208"/>
  <c r="AI1962" i="208"/>
  <c r="P2106" i="208"/>
  <c r="AJ2106" i="208"/>
  <c r="AI2106" i="208"/>
  <c r="P2250" i="208"/>
  <c r="AJ2250" i="208"/>
  <c r="AI2250" i="208"/>
  <c r="P2394" i="208"/>
  <c r="AJ2394" i="208"/>
  <c r="AI2394" i="208"/>
  <c r="P2538" i="208"/>
  <c r="AJ2538" i="208"/>
  <c r="AI2538" i="208"/>
  <c r="P2682" i="208"/>
  <c r="AJ2682" i="208"/>
  <c r="AI2682" i="208"/>
  <c r="P2826" i="208"/>
  <c r="AJ2826" i="208"/>
  <c r="AI2826" i="208"/>
  <c r="P2970" i="208"/>
  <c r="AJ2970" i="208"/>
  <c r="AI2970" i="208"/>
  <c r="P1971" i="208"/>
  <c r="AJ1971" i="208"/>
  <c r="AI1971" i="208"/>
  <c r="P409" i="208"/>
  <c r="AJ409" i="208"/>
  <c r="AI409" i="208"/>
  <c r="AJ553" i="208"/>
  <c r="AI553" i="208"/>
  <c r="P697" i="208"/>
  <c r="AJ697" i="208"/>
  <c r="AI697" i="208"/>
  <c r="AJ841" i="208"/>
  <c r="AI841" i="208"/>
  <c r="P985" i="208"/>
  <c r="AJ985" i="208"/>
  <c r="AI985" i="208"/>
  <c r="P1129" i="208"/>
  <c r="AJ1129" i="208"/>
  <c r="AI1129" i="208"/>
  <c r="P1273" i="208"/>
  <c r="AJ1273" i="208"/>
  <c r="AI1273" i="208"/>
  <c r="P1417" i="208"/>
  <c r="AJ1417" i="208"/>
  <c r="AI1417" i="208"/>
  <c r="P1561" i="208"/>
  <c r="AJ1561" i="208"/>
  <c r="AI1561" i="208"/>
  <c r="P1705" i="208"/>
  <c r="AJ1705" i="208"/>
  <c r="AI1705" i="208"/>
  <c r="P1849" i="208"/>
  <c r="AJ1849" i="208"/>
  <c r="AI1849" i="208"/>
  <c r="P1993" i="208"/>
  <c r="AJ1993" i="208"/>
  <c r="AI1993" i="208"/>
  <c r="P2137" i="208"/>
  <c r="AJ2137" i="208"/>
  <c r="AI2137" i="208"/>
  <c r="P2281" i="208"/>
  <c r="AJ2281" i="208"/>
  <c r="AI2281" i="208"/>
  <c r="P2425" i="208"/>
  <c r="AJ2425" i="208"/>
  <c r="AI2425" i="208"/>
  <c r="P2569" i="208"/>
  <c r="AJ2569" i="208"/>
  <c r="AI2569" i="208"/>
  <c r="P2713" i="208"/>
  <c r="AJ2713" i="208"/>
  <c r="AI2713" i="208"/>
  <c r="P2857" i="208"/>
  <c r="AJ2857" i="208"/>
  <c r="AI2857" i="208"/>
  <c r="AJ303" i="208"/>
  <c r="AI303" i="208"/>
  <c r="P1707" i="208"/>
  <c r="AI1707" i="208"/>
  <c r="AJ1707" i="208"/>
  <c r="P2727" i="208"/>
  <c r="AJ2727" i="208"/>
  <c r="AI2727" i="208"/>
  <c r="P404" i="208"/>
  <c r="AJ404" i="208"/>
  <c r="AI404" i="208"/>
  <c r="AJ548" i="208"/>
  <c r="AI548" i="208"/>
  <c r="P692" i="208"/>
  <c r="AJ692" i="208"/>
  <c r="AI692" i="208"/>
  <c r="AJ836" i="208"/>
  <c r="AI836" i="208"/>
  <c r="P980" i="208"/>
  <c r="AJ980" i="208"/>
  <c r="AI980" i="208"/>
  <c r="P1124" i="208"/>
  <c r="AJ1124" i="208"/>
  <c r="AI1124" i="208"/>
  <c r="P1268" i="208"/>
  <c r="AJ1268" i="208"/>
  <c r="AI1268" i="208"/>
  <c r="P1412" i="208"/>
  <c r="AJ1412" i="208"/>
  <c r="AI1412" i="208"/>
  <c r="P1556" i="208"/>
  <c r="AJ1556" i="208"/>
  <c r="AI1556" i="208"/>
  <c r="P1700" i="208"/>
  <c r="AJ1700" i="208"/>
  <c r="AI1700" i="208"/>
  <c r="P1844" i="208"/>
  <c r="AJ1844" i="208"/>
  <c r="AI1844" i="208"/>
  <c r="P1988" i="208"/>
  <c r="AJ1988" i="208"/>
  <c r="AI1988" i="208"/>
  <c r="P2132" i="208"/>
  <c r="AJ2132" i="208"/>
  <c r="AI2132" i="208"/>
  <c r="P2276" i="208"/>
  <c r="AJ2276" i="208"/>
  <c r="AI2276" i="208"/>
  <c r="P2420" i="208"/>
  <c r="AJ2420" i="208"/>
  <c r="AI2420" i="208"/>
  <c r="P2564" i="208"/>
  <c r="AJ2564" i="208"/>
  <c r="AI2564" i="208"/>
  <c r="P2708" i="208"/>
  <c r="AJ2708" i="208"/>
  <c r="AI2708" i="208"/>
  <c r="P2852" i="208"/>
  <c r="AJ2852" i="208"/>
  <c r="AI2852" i="208"/>
  <c r="P2996" i="208"/>
  <c r="AJ2996" i="208"/>
  <c r="AI2996" i="208"/>
  <c r="P1251" i="208"/>
  <c r="AJ1251" i="208"/>
  <c r="AI1251" i="208"/>
  <c r="P2811" i="208"/>
  <c r="AJ2811" i="208"/>
  <c r="AI2811" i="208"/>
  <c r="AJ4" i="208"/>
  <c r="AI4" i="208"/>
  <c r="P13" i="208"/>
  <c r="AJ13" i="208"/>
  <c r="AI13" i="208"/>
  <c r="AJ22" i="208"/>
  <c r="AI22" i="208"/>
  <c r="AJ31" i="208"/>
  <c r="AI31" i="208"/>
  <c r="AJ40" i="208"/>
  <c r="AI40" i="208"/>
  <c r="AJ49" i="208"/>
  <c r="AI49" i="208"/>
  <c r="AJ58" i="208"/>
  <c r="AI58" i="208"/>
  <c r="P67" i="208"/>
  <c r="AJ67" i="208"/>
  <c r="AI67" i="208"/>
  <c r="P76" i="208"/>
  <c r="AJ76" i="208"/>
  <c r="AI76" i="208"/>
  <c r="P85" i="208"/>
  <c r="AJ85" i="208"/>
  <c r="AI85" i="208"/>
  <c r="P94" i="208"/>
  <c r="AJ94" i="208"/>
  <c r="AI94" i="208"/>
  <c r="P103" i="208"/>
  <c r="AJ103" i="208"/>
  <c r="AI103" i="208"/>
  <c r="AJ112" i="208"/>
  <c r="AI112" i="208"/>
  <c r="AJ121" i="208"/>
  <c r="AI121" i="208"/>
  <c r="AJ130" i="208"/>
  <c r="AI130" i="208"/>
  <c r="AJ139" i="208"/>
  <c r="AI139" i="208"/>
  <c r="P148" i="208"/>
  <c r="AJ148" i="208"/>
  <c r="AI148" i="208"/>
  <c r="P157" i="208"/>
  <c r="AJ157" i="208"/>
  <c r="AI157" i="208"/>
  <c r="AJ166" i="208"/>
  <c r="AI166" i="208"/>
  <c r="P175" i="208"/>
  <c r="AJ175" i="208"/>
  <c r="AI175" i="208"/>
  <c r="AJ184" i="208"/>
  <c r="AI184" i="208"/>
  <c r="AJ193" i="208"/>
  <c r="AI193" i="208"/>
  <c r="AJ202" i="208"/>
  <c r="AI202" i="208"/>
  <c r="P211" i="208"/>
  <c r="AJ211" i="208"/>
  <c r="AI211" i="208"/>
  <c r="AJ220" i="208"/>
  <c r="AI220" i="208"/>
  <c r="AJ229" i="208"/>
  <c r="AI229" i="208"/>
  <c r="AJ238" i="208"/>
  <c r="AI238" i="208"/>
  <c r="AJ247" i="208"/>
  <c r="AI247" i="208"/>
  <c r="P256" i="208"/>
  <c r="AJ256" i="208"/>
  <c r="AI256" i="208"/>
  <c r="P265" i="208"/>
  <c r="AJ265" i="208"/>
  <c r="AI265" i="208"/>
  <c r="P274" i="208"/>
  <c r="AJ274" i="208"/>
  <c r="AI274" i="208"/>
  <c r="AJ295" i="208"/>
  <c r="AI295" i="208"/>
  <c r="P285" i="208"/>
  <c r="AJ285" i="208"/>
  <c r="AI285" i="208"/>
  <c r="AJ418" i="208"/>
  <c r="AI418" i="208"/>
  <c r="P562" i="208"/>
  <c r="AJ562" i="208"/>
  <c r="AI562" i="208"/>
  <c r="P706" i="208"/>
  <c r="AJ706" i="208"/>
  <c r="AI706" i="208"/>
  <c r="P850" i="208"/>
  <c r="AJ850" i="208"/>
  <c r="AI850" i="208"/>
  <c r="P994" i="208"/>
  <c r="AJ994" i="208"/>
  <c r="AI994" i="208"/>
  <c r="P1138" i="208"/>
  <c r="AJ1138" i="208"/>
  <c r="AI1138" i="208"/>
  <c r="P1282" i="208"/>
  <c r="AJ1282" i="208"/>
  <c r="AI1282" i="208"/>
  <c r="P1426" i="208"/>
  <c r="AJ1426" i="208"/>
  <c r="AI1426" i="208"/>
  <c r="P1570" i="208"/>
  <c r="AJ1570" i="208"/>
  <c r="AI1570" i="208"/>
  <c r="P1714" i="208"/>
  <c r="AJ1714" i="208"/>
  <c r="AI1714" i="208"/>
  <c r="P1858" i="208"/>
  <c r="AJ1858" i="208"/>
  <c r="AI1858" i="208"/>
  <c r="P2002" i="208"/>
  <c r="AJ2002" i="208"/>
  <c r="AI2002" i="208"/>
  <c r="P2146" i="208"/>
  <c r="AJ2146" i="208"/>
  <c r="AI2146" i="208"/>
  <c r="P2290" i="208"/>
  <c r="AJ2290" i="208"/>
  <c r="AI2290" i="208"/>
  <c r="P2434" i="208"/>
  <c r="AJ2434" i="208"/>
  <c r="AI2434" i="208"/>
  <c r="P2578" i="208"/>
  <c r="AJ2578" i="208"/>
  <c r="AI2578" i="208"/>
  <c r="P2722" i="208"/>
  <c r="AJ2722" i="208"/>
  <c r="AI2722" i="208"/>
  <c r="P2866" i="208"/>
  <c r="AJ2866" i="208"/>
  <c r="AI2866" i="208"/>
  <c r="P435" i="208"/>
  <c r="AJ435" i="208"/>
  <c r="AI435" i="208"/>
  <c r="P2127" i="208"/>
  <c r="AJ2127" i="208"/>
  <c r="AI2127" i="208"/>
  <c r="P329" i="208"/>
  <c r="AJ329" i="208"/>
  <c r="AI329" i="208"/>
  <c r="P473" i="208"/>
  <c r="AJ473" i="208"/>
  <c r="AI473" i="208"/>
  <c r="P617" i="208"/>
  <c r="AJ617" i="208"/>
  <c r="AI617" i="208"/>
  <c r="AJ761" i="208"/>
  <c r="AI761" i="208"/>
  <c r="P905" i="208"/>
  <c r="AJ905" i="208"/>
  <c r="AI905" i="208"/>
  <c r="P1049" i="208"/>
  <c r="AJ1049" i="208"/>
  <c r="AI1049" i="208"/>
  <c r="P1193" i="208"/>
  <c r="AJ1193" i="208"/>
  <c r="AI1193" i="208"/>
  <c r="P1337" i="208"/>
  <c r="AJ1337" i="208"/>
  <c r="AI1337" i="208"/>
  <c r="P1481" i="208"/>
  <c r="AJ1481" i="208"/>
  <c r="AI1481" i="208"/>
  <c r="P1625" i="208"/>
  <c r="AJ1625" i="208"/>
  <c r="AI1625" i="208"/>
  <c r="P1769" i="208"/>
  <c r="AJ1769" i="208"/>
  <c r="AI1769" i="208"/>
  <c r="P1913" i="208"/>
  <c r="AJ1913" i="208"/>
  <c r="AI1913" i="208"/>
  <c r="P2057" i="208"/>
  <c r="AJ2057" i="208"/>
  <c r="AI2057" i="208"/>
  <c r="P2201" i="208"/>
  <c r="AJ2201" i="208"/>
  <c r="AI2201" i="208"/>
  <c r="P2345" i="208"/>
  <c r="AJ2345" i="208"/>
  <c r="AI2345" i="208"/>
  <c r="P2489" i="208"/>
  <c r="AJ2489" i="208"/>
  <c r="AI2489" i="208"/>
  <c r="P2633" i="208"/>
  <c r="AJ2633" i="208"/>
  <c r="AI2633" i="208"/>
  <c r="P2777" i="208"/>
  <c r="AI2777" i="208"/>
  <c r="AJ2777" i="208"/>
  <c r="P2921" i="208"/>
  <c r="AJ2921" i="208"/>
  <c r="AI2921" i="208"/>
  <c r="P1491" i="208"/>
  <c r="AI1491" i="208"/>
  <c r="AJ1491" i="208"/>
  <c r="AJ420" i="208"/>
  <c r="AI420" i="208"/>
  <c r="P564" i="208"/>
  <c r="AJ564" i="208"/>
  <c r="AI564" i="208"/>
  <c r="P708" i="208"/>
  <c r="AJ708" i="208"/>
  <c r="AI708" i="208"/>
  <c r="P852" i="208"/>
  <c r="AJ852" i="208"/>
  <c r="AI852" i="208"/>
  <c r="P996" i="208"/>
  <c r="AJ996" i="208"/>
  <c r="AI996" i="208"/>
  <c r="P1140" i="208"/>
  <c r="AJ1140" i="208"/>
  <c r="AI1140" i="208"/>
  <c r="P1284" i="208"/>
  <c r="AJ1284" i="208"/>
  <c r="AI1284" i="208"/>
  <c r="P1428" i="208"/>
  <c r="AJ1428" i="208"/>
  <c r="AI1428" i="208"/>
  <c r="P1572" i="208"/>
  <c r="AJ1572" i="208"/>
  <c r="AI1572" i="208"/>
  <c r="P1716" i="208"/>
  <c r="AJ1716" i="208"/>
  <c r="AI1716" i="208"/>
  <c r="P1860" i="208"/>
  <c r="AJ1860" i="208"/>
  <c r="AI1860" i="208"/>
  <c r="P2004" i="208"/>
  <c r="AJ2004" i="208"/>
  <c r="AI2004" i="208"/>
  <c r="P2148" i="208"/>
  <c r="AJ2148" i="208"/>
  <c r="AI2148" i="208"/>
  <c r="P2292" i="208"/>
  <c r="AJ2292" i="208"/>
  <c r="AI2292" i="208"/>
  <c r="P2436" i="208"/>
  <c r="AJ2436" i="208"/>
  <c r="AI2436" i="208"/>
  <c r="P2580" i="208"/>
  <c r="AJ2580" i="208"/>
  <c r="AI2580" i="208"/>
  <c r="P2724" i="208"/>
  <c r="AJ2724" i="208"/>
  <c r="AI2724" i="208"/>
  <c r="P2868" i="208"/>
  <c r="AJ2868" i="208"/>
  <c r="AI2868" i="208"/>
  <c r="AJ495" i="208"/>
  <c r="AI495" i="208"/>
  <c r="P2139" i="208"/>
  <c r="AJ2139" i="208"/>
  <c r="AI2139" i="208"/>
  <c r="P379" i="208"/>
  <c r="AJ379" i="208"/>
  <c r="AI379" i="208"/>
  <c r="P523" i="208"/>
  <c r="AJ523" i="208"/>
  <c r="AI523" i="208"/>
  <c r="AJ667" i="208"/>
  <c r="AI667" i="208"/>
  <c r="P811" i="208"/>
  <c r="AJ811" i="208"/>
  <c r="AI811" i="208"/>
  <c r="P955" i="208"/>
  <c r="AJ955" i="208"/>
  <c r="AI955" i="208"/>
  <c r="P1099" i="208"/>
  <c r="AJ1099" i="208"/>
  <c r="AI1099" i="208"/>
  <c r="P1243" i="208"/>
  <c r="AJ1243" i="208"/>
  <c r="AI1243" i="208"/>
  <c r="P1387" i="208"/>
  <c r="AJ1387" i="208"/>
  <c r="AI1387" i="208"/>
  <c r="P1531" i="208"/>
  <c r="AJ1531" i="208"/>
  <c r="AI1531" i="208"/>
  <c r="P1675" i="208"/>
  <c r="AJ1675" i="208"/>
  <c r="AI1675" i="208"/>
  <c r="P1819" i="208"/>
  <c r="AJ1819" i="208"/>
  <c r="AI1819" i="208"/>
  <c r="P1963" i="208"/>
  <c r="AJ1963" i="208"/>
  <c r="AI1963" i="208"/>
  <c r="P2107" i="208"/>
  <c r="AJ2107" i="208"/>
  <c r="AI2107" i="208"/>
  <c r="P2251" i="208"/>
  <c r="AJ2251" i="208"/>
  <c r="AI2251" i="208"/>
  <c r="P2395" i="208"/>
  <c r="AJ2395" i="208"/>
  <c r="AI2395" i="208"/>
  <c r="P2539" i="208"/>
  <c r="AJ2539" i="208"/>
  <c r="AI2539" i="208"/>
  <c r="P2683" i="208"/>
  <c r="AJ2683" i="208"/>
  <c r="AI2683" i="208"/>
  <c r="P2827" i="208"/>
  <c r="AJ2827" i="208"/>
  <c r="AI2827" i="208"/>
  <c r="P2971" i="208"/>
  <c r="AJ2971" i="208"/>
  <c r="AI2971" i="208"/>
  <c r="P1671" i="208"/>
  <c r="AJ1671" i="208"/>
  <c r="AI1671" i="208"/>
  <c r="P350" i="208"/>
  <c r="AJ350" i="208"/>
  <c r="AI350" i="208"/>
  <c r="AJ494" i="208"/>
  <c r="AI494" i="208"/>
  <c r="AJ638" i="208"/>
  <c r="AI638" i="208"/>
  <c r="AJ782" i="208"/>
  <c r="AI782" i="208"/>
  <c r="P926" i="208"/>
  <c r="AJ926" i="208"/>
  <c r="AI926" i="208"/>
  <c r="P1070" i="208"/>
  <c r="AJ1070" i="208"/>
  <c r="AI1070" i="208"/>
  <c r="P1214" i="208"/>
  <c r="AJ1214" i="208"/>
  <c r="AI1214" i="208"/>
  <c r="P1358" i="208"/>
  <c r="AJ1358" i="208"/>
  <c r="AI1358" i="208"/>
  <c r="P1502" i="208"/>
  <c r="AJ1502" i="208"/>
  <c r="AI1502" i="208"/>
  <c r="P1646" i="208"/>
  <c r="AJ1646" i="208"/>
  <c r="AI1646" i="208"/>
  <c r="P1790" i="208"/>
  <c r="AJ1790" i="208"/>
  <c r="AI1790" i="208"/>
  <c r="P1934" i="208"/>
  <c r="AJ1934" i="208"/>
  <c r="AI1934" i="208"/>
  <c r="P2078" i="208"/>
  <c r="AJ2078" i="208"/>
  <c r="AI2078" i="208"/>
  <c r="P2222" i="208"/>
  <c r="AJ2222" i="208"/>
  <c r="AI2222" i="208"/>
  <c r="P2366" i="208"/>
  <c r="AJ2366" i="208"/>
  <c r="AI2366" i="208"/>
  <c r="P2510" i="208"/>
  <c r="AJ2510" i="208"/>
  <c r="AI2510" i="208"/>
  <c r="P2654" i="208"/>
  <c r="AJ2654" i="208"/>
  <c r="AI2654" i="208"/>
  <c r="P2798" i="208"/>
  <c r="AJ2798" i="208"/>
  <c r="AI2798" i="208"/>
  <c r="P2942" i="208"/>
  <c r="AJ2942" i="208"/>
  <c r="AI2942" i="208"/>
  <c r="P1479" i="208"/>
  <c r="AJ1479" i="208"/>
  <c r="AI1479" i="208"/>
  <c r="P381" i="208"/>
  <c r="AJ381" i="208"/>
  <c r="AI381" i="208"/>
  <c r="P525" i="208"/>
  <c r="AJ525" i="208"/>
  <c r="AI525" i="208"/>
  <c r="AJ669" i="208"/>
  <c r="AI669" i="208"/>
  <c r="P813" i="208"/>
  <c r="AJ813" i="208"/>
  <c r="AI813" i="208"/>
  <c r="P957" i="208"/>
  <c r="AJ957" i="208"/>
  <c r="AI957" i="208"/>
  <c r="P1101" i="208"/>
  <c r="AJ1101" i="208"/>
  <c r="AI1101" i="208"/>
  <c r="P1245" i="208"/>
  <c r="AJ1245" i="208"/>
  <c r="AI1245" i="208"/>
  <c r="P1389" i="208"/>
  <c r="AJ1389" i="208"/>
  <c r="AI1389" i="208"/>
  <c r="P1533" i="208"/>
  <c r="AJ1533" i="208"/>
  <c r="AI1533" i="208"/>
  <c r="P1677" i="208"/>
  <c r="AJ1677" i="208"/>
  <c r="AI1677" i="208"/>
  <c r="P1821" i="208"/>
  <c r="AJ1821" i="208"/>
  <c r="AI1821" i="208"/>
  <c r="P1965" i="208"/>
  <c r="AJ1965" i="208"/>
  <c r="AI1965" i="208"/>
  <c r="P2109" i="208"/>
  <c r="AJ2109" i="208"/>
  <c r="AI2109" i="208"/>
  <c r="P2253" i="208"/>
  <c r="AJ2253" i="208"/>
  <c r="AI2253" i="208"/>
  <c r="P2397" i="208"/>
  <c r="AJ2397" i="208"/>
  <c r="AI2397" i="208"/>
  <c r="P2541" i="208"/>
  <c r="AJ2541" i="208"/>
  <c r="AI2541" i="208"/>
  <c r="P2685" i="208"/>
  <c r="AJ2685" i="208"/>
  <c r="AI2685" i="208"/>
  <c r="P2829" i="208"/>
  <c r="AJ2829" i="208"/>
  <c r="AI2829" i="208"/>
  <c r="P2973" i="208"/>
  <c r="AJ2973" i="208"/>
  <c r="AI2973" i="208"/>
  <c r="P1347" i="208"/>
  <c r="AJ1347" i="208"/>
  <c r="AI1347" i="208"/>
  <c r="P2367" i="208"/>
  <c r="AJ2367" i="208"/>
  <c r="AI2367" i="208"/>
  <c r="P376" i="208"/>
  <c r="AJ376" i="208"/>
  <c r="AI376" i="208"/>
  <c r="P520" i="208"/>
  <c r="AJ520" i="208"/>
  <c r="AI520" i="208"/>
  <c r="P664" i="208"/>
  <c r="AJ664" i="208"/>
  <c r="AI664" i="208"/>
  <c r="P808" i="208"/>
  <c r="AJ808" i="208"/>
  <c r="AI808" i="208"/>
  <c r="P952" i="208"/>
  <c r="AJ952" i="208"/>
  <c r="AI952" i="208"/>
  <c r="P1096" i="208"/>
  <c r="AJ1096" i="208"/>
  <c r="AI1096" i="208"/>
  <c r="P1240" i="208"/>
  <c r="AJ1240" i="208"/>
  <c r="AI1240" i="208"/>
  <c r="P1384" i="208"/>
  <c r="AJ1384" i="208"/>
  <c r="AI1384" i="208"/>
  <c r="P1528" i="208"/>
  <c r="AJ1528" i="208"/>
  <c r="AI1528" i="208"/>
  <c r="P1672" i="208"/>
  <c r="AJ1672" i="208"/>
  <c r="AI1672" i="208"/>
  <c r="P1816" i="208"/>
  <c r="AJ1816" i="208"/>
  <c r="AI1816" i="208"/>
  <c r="P1960" i="208"/>
  <c r="AJ1960" i="208"/>
  <c r="AI1960" i="208"/>
  <c r="P2104" i="208"/>
  <c r="AJ2104" i="208"/>
  <c r="AI2104" i="208"/>
  <c r="P2248" i="208"/>
  <c r="AJ2248" i="208"/>
  <c r="AI2248" i="208"/>
  <c r="P2392" i="208"/>
  <c r="AJ2392" i="208"/>
  <c r="AI2392" i="208"/>
  <c r="P2536" i="208"/>
  <c r="AJ2536" i="208"/>
  <c r="AI2536" i="208"/>
  <c r="P2680" i="208"/>
  <c r="AJ2680" i="208"/>
  <c r="AI2680" i="208"/>
  <c r="P2824" i="208"/>
  <c r="AJ2824" i="208"/>
  <c r="AI2824" i="208"/>
  <c r="P2968" i="208"/>
  <c r="AJ2968" i="208"/>
  <c r="AI2968" i="208"/>
  <c r="P1395" i="208"/>
  <c r="AJ1395" i="208"/>
  <c r="AI1395" i="208"/>
  <c r="P2907" i="208"/>
  <c r="AJ2907" i="208"/>
  <c r="AI2907" i="208"/>
  <c r="AJ419" i="208"/>
  <c r="AI419" i="208"/>
  <c r="P563" i="208"/>
  <c r="AJ563" i="208"/>
  <c r="AI563" i="208"/>
  <c r="P707" i="208"/>
  <c r="AJ707" i="208"/>
  <c r="AI707" i="208"/>
  <c r="P851" i="208"/>
  <c r="AJ851" i="208"/>
  <c r="AI851" i="208"/>
  <c r="P995" i="208"/>
  <c r="AJ995" i="208"/>
  <c r="AI995" i="208"/>
  <c r="P1139" i="208"/>
  <c r="AJ1139" i="208"/>
  <c r="AI1139" i="208"/>
  <c r="P1283" i="208"/>
  <c r="AJ1283" i="208"/>
  <c r="AI1283" i="208"/>
  <c r="P1427" i="208"/>
  <c r="AJ1427" i="208"/>
  <c r="AI1427" i="208"/>
  <c r="P1571" i="208"/>
  <c r="AJ1571" i="208"/>
  <c r="AI1571" i="208"/>
  <c r="P1715" i="208"/>
  <c r="AJ1715" i="208"/>
  <c r="AI1715" i="208"/>
  <c r="P1859" i="208"/>
  <c r="AJ1859" i="208"/>
  <c r="AI1859" i="208"/>
  <c r="P2003" i="208"/>
  <c r="AJ2003" i="208"/>
  <c r="AI2003" i="208"/>
  <c r="P2147" i="208"/>
  <c r="AJ2147" i="208"/>
  <c r="AI2147" i="208"/>
  <c r="P2291" i="208"/>
  <c r="AJ2291" i="208"/>
  <c r="AI2291" i="208"/>
  <c r="P2435" i="208"/>
  <c r="AJ2435" i="208"/>
  <c r="AI2435" i="208"/>
  <c r="P2579" i="208"/>
  <c r="AJ2579" i="208"/>
  <c r="AI2579" i="208"/>
  <c r="P2723" i="208"/>
  <c r="AJ2723" i="208"/>
  <c r="AI2723" i="208"/>
  <c r="P2867" i="208"/>
  <c r="AJ2867" i="208"/>
  <c r="AI2867" i="208"/>
  <c r="AJ411" i="208"/>
  <c r="AI411" i="208"/>
  <c r="P2463" i="208"/>
  <c r="AJ2463" i="208"/>
  <c r="AI2463" i="208"/>
  <c r="P390" i="208"/>
  <c r="AJ390" i="208"/>
  <c r="AI390" i="208"/>
  <c r="P534" i="208"/>
  <c r="AJ534" i="208"/>
  <c r="AI534" i="208"/>
  <c r="P678" i="208"/>
  <c r="AJ678" i="208"/>
  <c r="AI678" i="208"/>
  <c r="AJ822" i="208"/>
  <c r="AI822" i="208"/>
  <c r="P966" i="208"/>
  <c r="AJ966" i="208"/>
  <c r="AI966" i="208"/>
  <c r="P1110" i="208"/>
  <c r="AJ1110" i="208"/>
  <c r="AI1110" i="208"/>
  <c r="P1254" i="208"/>
  <c r="AJ1254" i="208"/>
  <c r="AI1254" i="208"/>
  <c r="P1398" i="208"/>
  <c r="AJ1398" i="208"/>
  <c r="AI1398" i="208"/>
  <c r="P1542" i="208"/>
  <c r="AJ1542" i="208"/>
  <c r="AI1542" i="208"/>
  <c r="P1686" i="208"/>
  <c r="AJ1686" i="208"/>
  <c r="AI1686" i="208"/>
  <c r="P1830" i="208"/>
  <c r="AJ1830" i="208"/>
  <c r="AI1830" i="208"/>
  <c r="P1974" i="208"/>
  <c r="AJ1974" i="208"/>
  <c r="AI1974" i="208"/>
  <c r="P2118" i="208"/>
  <c r="AJ2118" i="208"/>
  <c r="AI2118" i="208"/>
  <c r="P2262" i="208"/>
  <c r="AJ2262" i="208"/>
  <c r="AI2262" i="208"/>
  <c r="P2406" i="208"/>
  <c r="AJ2406" i="208"/>
  <c r="AI2406" i="208"/>
  <c r="P2550" i="208"/>
  <c r="AJ2550" i="208"/>
  <c r="AI2550" i="208"/>
  <c r="P2694" i="208"/>
  <c r="AJ2694" i="208"/>
  <c r="AI2694" i="208"/>
  <c r="P2838" i="208"/>
  <c r="AJ2838" i="208"/>
  <c r="AI2838" i="208"/>
  <c r="P2982" i="208"/>
  <c r="AJ2982" i="208"/>
  <c r="AI2982" i="208"/>
  <c r="P2043" i="208"/>
  <c r="AJ2043" i="208"/>
  <c r="AI2043" i="208"/>
  <c r="AJ421" i="208"/>
  <c r="AI421" i="208"/>
  <c r="P565" i="208"/>
  <c r="AJ565" i="208"/>
  <c r="AI565" i="208"/>
  <c r="P709" i="208"/>
  <c r="AJ709" i="208"/>
  <c r="AI709" i="208"/>
  <c r="P853" i="208"/>
  <c r="AJ853" i="208"/>
  <c r="AI853" i="208"/>
  <c r="P997" i="208"/>
  <c r="AJ997" i="208"/>
  <c r="AI997" i="208"/>
  <c r="P1141" i="208"/>
  <c r="AJ1141" i="208"/>
  <c r="AI1141" i="208"/>
  <c r="P1285" i="208"/>
  <c r="AJ1285" i="208"/>
  <c r="AI1285" i="208"/>
  <c r="P1429" i="208"/>
  <c r="AJ1429" i="208"/>
  <c r="AI1429" i="208"/>
  <c r="P1573" i="208"/>
  <c r="AJ1573" i="208"/>
  <c r="AI1573" i="208"/>
  <c r="P1717" i="208"/>
  <c r="AJ1717" i="208"/>
  <c r="AI1717" i="208"/>
  <c r="P1861" i="208"/>
  <c r="AJ1861" i="208"/>
  <c r="AI1861" i="208"/>
  <c r="P2005" i="208"/>
  <c r="AJ2005" i="208"/>
  <c r="AI2005" i="208"/>
  <c r="P2149" i="208"/>
  <c r="AJ2149" i="208"/>
  <c r="AI2149" i="208"/>
  <c r="P2293" i="208"/>
  <c r="AJ2293" i="208"/>
  <c r="AI2293" i="208"/>
  <c r="P2437" i="208"/>
  <c r="AJ2437" i="208"/>
  <c r="AI2437" i="208"/>
  <c r="P2581" i="208"/>
  <c r="AJ2581" i="208"/>
  <c r="AI2581" i="208"/>
  <c r="P2725" i="208"/>
  <c r="AJ2725" i="208"/>
  <c r="AI2725" i="208"/>
  <c r="P2869" i="208"/>
  <c r="AJ2869" i="208"/>
  <c r="AI2869" i="208"/>
  <c r="AJ735" i="208"/>
  <c r="AI735" i="208"/>
  <c r="P1719" i="208"/>
  <c r="AJ1719" i="208"/>
  <c r="AI1719" i="208"/>
  <c r="P2739" i="208"/>
  <c r="AJ2739" i="208"/>
  <c r="AI2739" i="208"/>
  <c r="AJ416" i="208"/>
  <c r="AI416" i="208"/>
  <c r="P560" i="208"/>
  <c r="AJ560" i="208"/>
  <c r="AI560" i="208"/>
  <c r="AJ704" i="208"/>
  <c r="AI704" i="208"/>
  <c r="P848" i="208"/>
  <c r="AJ848" i="208"/>
  <c r="AI848" i="208"/>
  <c r="P992" i="208"/>
  <c r="AJ992" i="208"/>
  <c r="AI992" i="208"/>
  <c r="P1136" i="208"/>
  <c r="AJ1136" i="208"/>
  <c r="AI1136" i="208"/>
  <c r="P1280" i="208"/>
  <c r="AJ1280" i="208"/>
  <c r="AI1280" i="208"/>
  <c r="P1424" i="208"/>
  <c r="AJ1424" i="208"/>
  <c r="AI1424" i="208"/>
  <c r="P1568" i="208"/>
  <c r="AJ1568" i="208"/>
  <c r="AI1568" i="208"/>
  <c r="P1712" i="208"/>
  <c r="AJ1712" i="208"/>
  <c r="AI1712" i="208"/>
  <c r="P1856" i="208"/>
  <c r="AJ1856" i="208"/>
  <c r="AI1856" i="208"/>
  <c r="P2000" i="208"/>
  <c r="AJ2000" i="208"/>
  <c r="AI2000" i="208"/>
  <c r="P2144" i="208"/>
  <c r="AJ2144" i="208"/>
  <c r="AI2144" i="208"/>
  <c r="P2288" i="208"/>
  <c r="AJ2288" i="208"/>
  <c r="AI2288" i="208"/>
  <c r="P2432" i="208"/>
  <c r="AJ2432" i="208"/>
  <c r="AI2432" i="208"/>
  <c r="P2576" i="208"/>
  <c r="AJ2576" i="208"/>
  <c r="AI2576" i="208"/>
  <c r="P2720" i="208"/>
  <c r="AJ2720" i="208"/>
  <c r="AI2720" i="208"/>
  <c r="P2864" i="208"/>
  <c r="AJ2864" i="208"/>
  <c r="AI2864" i="208"/>
  <c r="P531" i="208"/>
  <c r="AJ531" i="208"/>
  <c r="AI531" i="208"/>
  <c r="P1275" i="208"/>
  <c r="AJ1275" i="208"/>
  <c r="AI1275" i="208"/>
  <c r="P2835" i="208"/>
  <c r="AJ2835" i="208"/>
  <c r="AI2835" i="208"/>
  <c r="P11" i="208"/>
  <c r="AJ11" i="208"/>
  <c r="AI11" i="208"/>
  <c r="P20" i="208"/>
  <c r="AJ20" i="208"/>
  <c r="AI20" i="208"/>
  <c r="P29" i="208"/>
  <c r="AJ29" i="208"/>
  <c r="AI29" i="208"/>
  <c r="P38" i="208"/>
  <c r="AJ38" i="208"/>
  <c r="AI38" i="208"/>
  <c r="P47" i="208"/>
  <c r="AJ47" i="208"/>
  <c r="AI47" i="208"/>
  <c r="P56" i="208"/>
  <c r="AJ56" i="208"/>
  <c r="AI56" i="208"/>
  <c r="P65" i="208"/>
  <c r="AJ65" i="208"/>
  <c r="AI65" i="208"/>
  <c r="P74" i="208"/>
  <c r="AJ74" i="208"/>
  <c r="AI74" i="208"/>
  <c r="P83" i="208"/>
  <c r="AJ83" i="208"/>
  <c r="AI83" i="208"/>
  <c r="P92" i="208"/>
  <c r="AJ92" i="208"/>
  <c r="AI92" i="208"/>
  <c r="P101" i="208"/>
  <c r="AJ101" i="208"/>
  <c r="AI101" i="208"/>
  <c r="P110" i="208"/>
  <c r="AJ110" i="208"/>
  <c r="AI110" i="208"/>
  <c r="P119" i="208"/>
  <c r="AJ119" i="208"/>
  <c r="AI119" i="208"/>
  <c r="P128" i="208"/>
  <c r="AJ128" i="208"/>
  <c r="AI128" i="208"/>
  <c r="P137" i="208"/>
  <c r="AJ137" i="208"/>
  <c r="AI137" i="208"/>
  <c r="P146" i="208"/>
  <c r="AJ146" i="208"/>
  <c r="AI146" i="208"/>
  <c r="P155" i="208"/>
  <c r="AJ155" i="208"/>
  <c r="AI155" i="208"/>
  <c r="P164" i="208"/>
  <c r="AJ164" i="208"/>
  <c r="AI164" i="208"/>
  <c r="P173" i="208"/>
  <c r="AJ173" i="208"/>
  <c r="AI173" i="208"/>
  <c r="P182" i="208"/>
  <c r="AJ182" i="208"/>
  <c r="AI182" i="208"/>
  <c r="P191" i="208"/>
  <c r="AJ191" i="208"/>
  <c r="AI191" i="208"/>
  <c r="P200" i="208"/>
  <c r="AJ200" i="208"/>
  <c r="AI200" i="208"/>
  <c r="P209" i="208"/>
  <c r="AJ209" i="208"/>
  <c r="AI209" i="208"/>
  <c r="P218" i="208"/>
  <c r="AJ218" i="208"/>
  <c r="AI218" i="208"/>
  <c r="P227" i="208"/>
  <c r="AJ227" i="208"/>
  <c r="AI227" i="208"/>
  <c r="P236" i="208"/>
  <c r="AJ236" i="208"/>
  <c r="AI236" i="208"/>
  <c r="P245" i="208"/>
  <c r="AJ245" i="208"/>
  <c r="AI245" i="208"/>
  <c r="P254" i="208"/>
  <c r="AJ254" i="208"/>
  <c r="AI254" i="208"/>
  <c r="P263" i="208"/>
  <c r="AJ263" i="208"/>
  <c r="AI263" i="208"/>
  <c r="P300" i="208"/>
  <c r="AJ300" i="208"/>
  <c r="AI300" i="208"/>
  <c r="P278" i="208"/>
  <c r="AJ278" i="208"/>
  <c r="AI278" i="208"/>
  <c r="P293" i="208"/>
  <c r="AJ293" i="208"/>
  <c r="AI293" i="208"/>
  <c r="P430" i="208"/>
  <c r="AJ430" i="208"/>
  <c r="AI430" i="208"/>
  <c r="AJ574" i="208"/>
  <c r="AI574" i="208"/>
  <c r="P718" i="208"/>
  <c r="AJ718" i="208"/>
  <c r="AI718" i="208"/>
  <c r="AJ862" i="208"/>
  <c r="AI862" i="208"/>
  <c r="P1006" i="208"/>
  <c r="AJ1006" i="208"/>
  <c r="AI1006" i="208"/>
  <c r="P1150" i="208"/>
  <c r="AJ1150" i="208"/>
  <c r="AI1150" i="208"/>
  <c r="P1294" i="208"/>
  <c r="AJ1294" i="208"/>
  <c r="AI1294" i="208"/>
  <c r="P1438" i="208"/>
  <c r="AJ1438" i="208"/>
  <c r="AI1438" i="208"/>
  <c r="P1582" i="208"/>
  <c r="AJ1582" i="208"/>
  <c r="AI1582" i="208"/>
  <c r="P1726" i="208"/>
  <c r="AJ1726" i="208"/>
  <c r="AI1726" i="208"/>
  <c r="P1870" i="208"/>
  <c r="AJ1870" i="208"/>
  <c r="AI1870" i="208"/>
  <c r="P2014" i="208"/>
  <c r="AJ2014" i="208"/>
  <c r="AI2014" i="208"/>
  <c r="P2158" i="208"/>
  <c r="AJ2158" i="208"/>
  <c r="AI2158" i="208"/>
  <c r="P2302" i="208"/>
  <c r="AJ2302" i="208"/>
  <c r="AI2302" i="208"/>
  <c r="P2446" i="208"/>
  <c r="AJ2446" i="208"/>
  <c r="AI2446" i="208"/>
  <c r="P2590" i="208"/>
  <c r="AJ2590" i="208"/>
  <c r="AI2590" i="208"/>
  <c r="P2734" i="208"/>
  <c r="AJ2734" i="208"/>
  <c r="AI2734" i="208"/>
  <c r="P2878" i="208"/>
  <c r="AJ2878" i="208"/>
  <c r="AI2878" i="208"/>
  <c r="P447" i="208"/>
  <c r="AJ447" i="208"/>
  <c r="AI447" i="208"/>
  <c r="P2163" i="208"/>
  <c r="AJ2163" i="208"/>
  <c r="AI2163" i="208"/>
  <c r="P341" i="208"/>
  <c r="AJ341" i="208"/>
  <c r="AI341" i="208"/>
  <c r="P485" i="208"/>
  <c r="AJ485" i="208"/>
  <c r="AI485" i="208"/>
  <c r="P629" i="208"/>
  <c r="AJ629" i="208"/>
  <c r="AI629" i="208"/>
  <c r="P773" i="208"/>
  <c r="AJ773" i="208"/>
  <c r="AI773" i="208"/>
  <c r="P917" i="208"/>
  <c r="AJ917" i="208"/>
  <c r="AI917" i="208"/>
  <c r="P1061" i="208"/>
  <c r="AJ1061" i="208"/>
  <c r="AI1061" i="208"/>
  <c r="P1205" i="208"/>
  <c r="AJ1205" i="208"/>
  <c r="AI1205" i="208"/>
  <c r="P1349" i="208"/>
  <c r="AJ1349" i="208"/>
  <c r="AI1349" i="208"/>
  <c r="P1493" i="208"/>
  <c r="AJ1493" i="208"/>
  <c r="AI1493" i="208"/>
  <c r="P1637" i="208"/>
  <c r="AJ1637" i="208"/>
  <c r="AI1637" i="208"/>
  <c r="P1781" i="208"/>
  <c r="AJ1781" i="208"/>
  <c r="AI1781" i="208"/>
  <c r="P1925" i="208"/>
  <c r="AJ1925" i="208"/>
  <c r="AI1925" i="208"/>
  <c r="P2069" i="208"/>
  <c r="AJ2069" i="208"/>
  <c r="AI2069" i="208"/>
  <c r="P2213" i="208"/>
  <c r="AJ2213" i="208"/>
  <c r="AI2213" i="208"/>
  <c r="P2357" i="208"/>
  <c r="AJ2357" i="208"/>
  <c r="AI2357" i="208"/>
  <c r="P2501" i="208"/>
  <c r="AJ2501" i="208"/>
  <c r="AI2501" i="208"/>
  <c r="P2645" i="208"/>
  <c r="AJ2645" i="208"/>
  <c r="AI2645" i="208"/>
  <c r="P2789" i="208"/>
  <c r="AJ2789" i="208"/>
  <c r="AI2789" i="208"/>
  <c r="P2933" i="208"/>
  <c r="AJ2933" i="208"/>
  <c r="AI2933" i="208"/>
  <c r="P1503" i="208"/>
  <c r="AJ1503" i="208"/>
  <c r="AI1503" i="208"/>
  <c r="P432" i="208"/>
  <c r="AJ432" i="208"/>
  <c r="AI432" i="208"/>
  <c r="AJ576" i="208"/>
  <c r="AI576" i="208"/>
  <c r="P720" i="208"/>
  <c r="AJ720" i="208"/>
  <c r="AI720" i="208"/>
  <c r="P864" i="208"/>
  <c r="AJ864" i="208"/>
  <c r="AI864" i="208"/>
  <c r="P1008" i="208"/>
  <c r="AJ1008" i="208"/>
  <c r="AI1008" i="208"/>
  <c r="P1152" i="208"/>
  <c r="AJ1152" i="208"/>
  <c r="AI1152" i="208"/>
  <c r="P1296" i="208"/>
  <c r="AJ1296" i="208"/>
  <c r="AI1296" i="208"/>
  <c r="P1440" i="208"/>
  <c r="AJ1440" i="208"/>
  <c r="AI1440" i="208"/>
  <c r="P1584" i="208"/>
  <c r="AJ1584" i="208"/>
  <c r="AI1584" i="208"/>
  <c r="P1728" i="208"/>
  <c r="AJ1728" i="208"/>
  <c r="AI1728" i="208"/>
  <c r="P1872" i="208"/>
  <c r="AJ1872" i="208"/>
  <c r="AI1872" i="208"/>
  <c r="P2016" i="208"/>
  <c r="AJ2016" i="208"/>
  <c r="AI2016" i="208"/>
  <c r="P2160" i="208"/>
  <c r="AJ2160" i="208"/>
  <c r="AI2160" i="208"/>
  <c r="P2304" i="208"/>
  <c r="AJ2304" i="208"/>
  <c r="AI2304" i="208"/>
  <c r="P2448" i="208"/>
  <c r="AJ2448" i="208"/>
  <c r="AI2448" i="208"/>
  <c r="P2592" i="208"/>
  <c r="AJ2592" i="208"/>
  <c r="AI2592" i="208"/>
  <c r="P2736" i="208"/>
  <c r="AJ2736" i="208"/>
  <c r="AI2736" i="208"/>
  <c r="P2880" i="208"/>
  <c r="AJ2880" i="208"/>
  <c r="AI2880" i="208"/>
  <c r="AJ507" i="208"/>
  <c r="AI507" i="208"/>
  <c r="P2235" i="208"/>
  <c r="AJ2235" i="208"/>
  <c r="AI2235" i="208"/>
  <c r="P391" i="208"/>
  <c r="AJ391" i="208"/>
  <c r="AI391" i="208"/>
  <c r="P535" i="208"/>
  <c r="AJ535" i="208"/>
  <c r="AI535" i="208"/>
  <c r="P679" i="208"/>
  <c r="AJ679" i="208"/>
  <c r="AI679" i="208"/>
  <c r="AJ823" i="208"/>
  <c r="AI823" i="208"/>
  <c r="P967" i="208"/>
  <c r="AJ967" i="208"/>
  <c r="AI967" i="208"/>
  <c r="P1111" i="208"/>
  <c r="AJ1111" i="208"/>
  <c r="AI1111" i="208"/>
  <c r="P1255" i="208"/>
  <c r="AJ1255" i="208"/>
  <c r="AI1255" i="208"/>
  <c r="P1399" i="208"/>
  <c r="AJ1399" i="208"/>
  <c r="AI1399" i="208"/>
  <c r="P1543" i="208"/>
  <c r="AJ1543" i="208"/>
  <c r="AI1543" i="208"/>
  <c r="P1687" i="208"/>
  <c r="AJ1687" i="208"/>
  <c r="AI1687" i="208"/>
  <c r="P1831" i="208"/>
  <c r="AJ1831" i="208"/>
  <c r="AI1831" i="208"/>
  <c r="P1975" i="208"/>
  <c r="AJ1975" i="208"/>
  <c r="AI1975" i="208"/>
  <c r="P2119" i="208"/>
  <c r="AJ2119" i="208"/>
  <c r="AI2119" i="208"/>
  <c r="P2263" i="208"/>
  <c r="AJ2263" i="208"/>
  <c r="AI2263" i="208"/>
  <c r="P2407" i="208"/>
  <c r="AJ2407" i="208"/>
  <c r="AI2407" i="208"/>
  <c r="P2551" i="208"/>
  <c r="AJ2551" i="208"/>
  <c r="AI2551" i="208"/>
  <c r="P2695" i="208"/>
  <c r="AJ2695" i="208"/>
  <c r="AI2695" i="208"/>
  <c r="P2839" i="208"/>
  <c r="AJ2839" i="208"/>
  <c r="AI2839" i="208"/>
  <c r="P2983" i="208"/>
  <c r="AJ2983" i="208"/>
  <c r="AI2983" i="208"/>
  <c r="P1695" i="208"/>
  <c r="AJ1695" i="208"/>
  <c r="AI1695" i="208"/>
  <c r="P362" i="208"/>
  <c r="AJ362" i="208"/>
  <c r="AI362" i="208"/>
  <c r="AI506" i="208"/>
  <c r="AJ506" i="208"/>
  <c r="P650" i="208"/>
  <c r="AJ650" i="208"/>
  <c r="AI650" i="208"/>
  <c r="P794" i="208"/>
  <c r="AJ794" i="208"/>
  <c r="AI794" i="208"/>
  <c r="P938" i="208"/>
  <c r="AJ938" i="208"/>
  <c r="AI938" i="208"/>
  <c r="P1082" i="208"/>
  <c r="AJ1082" i="208"/>
  <c r="AI1082" i="208"/>
  <c r="P1226" i="208"/>
  <c r="AJ1226" i="208"/>
  <c r="AI1226" i="208"/>
  <c r="P1370" i="208"/>
  <c r="AJ1370" i="208"/>
  <c r="AI1370" i="208"/>
  <c r="P1514" i="208"/>
  <c r="AJ1514" i="208"/>
  <c r="AI1514" i="208"/>
  <c r="P1658" i="208"/>
  <c r="AJ1658" i="208"/>
  <c r="AI1658" i="208"/>
  <c r="P1802" i="208"/>
  <c r="AJ1802" i="208"/>
  <c r="AI1802" i="208"/>
  <c r="P1946" i="208"/>
  <c r="AJ1946" i="208"/>
  <c r="AI1946" i="208"/>
  <c r="P2090" i="208"/>
  <c r="AJ2090" i="208"/>
  <c r="AI2090" i="208"/>
  <c r="P2234" i="208"/>
  <c r="AJ2234" i="208"/>
  <c r="AI2234" i="208"/>
  <c r="P2378" i="208"/>
  <c r="AJ2378" i="208"/>
  <c r="AI2378" i="208"/>
  <c r="P2522" i="208"/>
  <c r="AJ2522" i="208"/>
  <c r="AI2522" i="208"/>
  <c r="P2666" i="208"/>
  <c r="AJ2666" i="208"/>
  <c r="AI2666" i="208"/>
  <c r="P2810" i="208"/>
  <c r="AJ2810" i="208"/>
  <c r="AI2810" i="208"/>
  <c r="P2954" i="208"/>
  <c r="AJ2954" i="208"/>
  <c r="AI2954" i="208"/>
  <c r="P1575" i="208"/>
  <c r="AJ1575" i="208"/>
  <c r="AI1575" i="208"/>
  <c r="P393" i="208"/>
  <c r="AJ393" i="208"/>
  <c r="AI393" i="208"/>
  <c r="P537" i="208"/>
  <c r="AJ537" i="208"/>
  <c r="AI537" i="208"/>
  <c r="P681" i="208"/>
  <c r="AJ681" i="208"/>
  <c r="AI681" i="208"/>
  <c r="P825" i="208"/>
  <c r="AJ825" i="208"/>
  <c r="AI825" i="208"/>
  <c r="P969" i="208"/>
  <c r="AJ969" i="208"/>
  <c r="AI969" i="208"/>
  <c r="P1113" i="208"/>
  <c r="AJ1113" i="208"/>
  <c r="AI1113" i="208"/>
  <c r="P1257" i="208"/>
  <c r="AJ1257" i="208"/>
  <c r="AI1257" i="208"/>
  <c r="P1401" i="208"/>
  <c r="AJ1401" i="208"/>
  <c r="AI1401" i="208"/>
  <c r="P1545" i="208"/>
  <c r="AJ1545" i="208"/>
  <c r="AI1545" i="208"/>
  <c r="P1689" i="208"/>
  <c r="AJ1689" i="208"/>
  <c r="AI1689" i="208"/>
  <c r="P1833" i="208"/>
  <c r="AJ1833" i="208"/>
  <c r="AI1833" i="208"/>
  <c r="P1977" i="208"/>
  <c r="AJ1977" i="208"/>
  <c r="AI1977" i="208"/>
  <c r="P2121" i="208"/>
  <c r="AJ2121" i="208"/>
  <c r="AI2121" i="208"/>
  <c r="P2265" i="208"/>
  <c r="AJ2265" i="208"/>
  <c r="AI2265" i="208"/>
  <c r="P2409" i="208"/>
  <c r="AJ2409" i="208"/>
  <c r="AI2409" i="208"/>
  <c r="P2553" i="208"/>
  <c r="AJ2553" i="208"/>
  <c r="AI2553" i="208"/>
  <c r="P2697" i="208"/>
  <c r="AJ2697" i="208"/>
  <c r="AI2697" i="208"/>
  <c r="P2841" i="208"/>
  <c r="AJ2841" i="208"/>
  <c r="AI2841" i="208"/>
  <c r="P2985" i="208"/>
  <c r="AJ2985" i="208"/>
  <c r="AI2985" i="208"/>
  <c r="P1407" i="208"/>
  <c r="AJ1407" i="208"/>
  <c r="AI1407" i="208"/>
  <c r="P2391" i="208"/>
  <c r="AJ2391" i="208"/>
  <c r="AI2391" i="208"/>
  <c r="P388" i="208"/>
  <c r="AJ388" i="208"/>
  <c r="AI388" i="208"/>
  <c r="P532" i="208"/>
  <c r="AJ532" i="208"/>
  <c r="AI532" i="208"/>
  <c r="AJ676" i="208"/>
  <c r="AI676" i="208"/>
  <c r="AJ820" i="208"/>
  <c r="AI820" i="208"/>
  <c r="P964" i="208"/>
  <c r="AJ964" i="208"/>
  <c r="AI964" i="208"/>
  <c r="P1108" i="208"/>
  <c r="AJ1108" i="208"/>
  <c r="AI1108" i="208"/>
  <c r="P1252" i="208"/>
  <c r="AJ1252" i="208"/>
  <c r="AI1252" i="208"/>
  <c r="P1396" i="208"/>
  <c r="AJ1396" i="208"/>
  <c r="AI1396" i="208"/>
  <c r="P1540" i="208"/>
  <c r="AJ1540" i="208"/>
  <c r="AI1540" i="208"/>
  <c r="P1684" i="208"/>
  <c r="AJ1684" i="208"/>
  <c r="AI1684" i="208"/>
  <c r="P1828" i="208"/>
  <c r="AJ1828" i="208"/>
  <c r="AI1828" i="208"/>
  <c r="P1972" i="208"/>
  <c r="AJ1972" i="208"/>
  <c r="AI1972" i="208"/>
  <c r="P2116" i="208"/>
  <c r="AJ2116" i="208"/>
  <c r="AI2116" i="208"/>
  <c r="P2260" i="208"/>
  <c r="AJ2260" i="208"/>
  <c r="AI2260" i="208"/>
  <c r="P2404" i="208"/>
  <c r="AJ2404" i="208"/>
  <c r="AI2404" i="208"/>
  <c r="P2548" i="208"/>
  <c r="AJ2548" i="208"/>
  <c r="AI2548" i="208"/>
  <c r="P2692" i="208"/>
  <c r="AJ2692" i="208"/>
  <c r="AI2692" i="208"/>
  <c r="P2836" i="208"/>
  <c r="AJ2836" i="208"/>
  <c r="AI2836" i="208"/>
  <c r="P2980" i="208"/>
  <c r="AJ2980" i="208"/>
  <c r="AI2980" i="208"/>
  <c r="P1515" i="208"/>
  <c r="AJ1515" i="208"/>
  <c r="AI1515" i="208"/>
  <c r="P2919" i="208"/>
  <c r="AJ2919" i="208"/>
  <c r="AI2919" i="208"/>
  <c r="P431" i="208"/>
  <c r="AJ431" i="208"/>
  <c r="AI431" i="208"/>
  <c r="P575" i="208"/>
  <c r="AJ575" i="208"/>
  <c r="AI575" i="208"/>
  <c r="P719" i="208"/>
  <c r="AJ719" i="208"/>
  <c r="AI719" i="208"/>
  <c r="P863" i="208"/>
  <c r="AJ863" i="208"/>
  <c r="AI863" i="208"/>
  <c r="P1007" i="208"/>
  <c r="AJ1007" i="208"/>
  <c r="AI1007" i="208"/>
  <c r="P1151" i="208"/>
  <c r="AJ1151" i="208"/>
  <c r="AI1151" i="208"/>
  <c r="P1295" i="208"/>
  <c r="AJ1295" i="208"/>
  <c r="AI1295" i="208"/>
  <c r="P1439" i="208"/>
  <c r="AJ1439" i="208"/>
  <c r="AI1439" i="208"/>
  <c r="P1583" i="208"/>
  <c r="AJ1583" i="208"/>
  <c r="AI1583" i="208"/>
  <c r="P1727" i="208"/>
  <c r="AJ1727" i="208"/>
  <c r="AI1727" i="208"/>
  <c r="P1871" i="208"/>
  <c r="AJ1871" i="208"/>
  <c r="AI1871" i="208"/>
  <c r="P2015" i="208"/>
  <c r="AJ2015" i="208"/>
  <c r="AI2015" i="208"/>
  <c r="P2159" i="208"/>
  <c r="AJ2159" i="208"/>
  <c r="AI2159" i="208"/>
  <c r="P2303" i="208"/>
  <c r="AJ2303" i="208"/>
  <c r="AI2303" i="208"/>
  <c r="P2447" i="208"/>
  <c r="AJ2447" i="208"/>
  <c r="AI2447" i="208"/>
  <c r="P2591" i="208"/>
  <c r="AJ2591" i="208"/>
  <c r="AI2591" i="208"/>
  <c r="P2735" i="208"/>
  <c r="AJ2735" i="208"/>
  <c r="AI2735" i="208"/>
  <c r="P2879" i="208"/>
  <c r="AJ2879" i="208"/>
  <c r="AI2879" i="208"/>
  <c r="AJ615" i="208"/>
  <c r="AI615" i="208"/>
  <c r="P2775" i="208"/>
  <c r="AJ2775" i="208"/>
  <c r="AI2775" i="208"/>
  <c r="P402" i="208"/>
  <c r="AJ402" i="208"/>
  <c r="AI402" i="208"/>
  <c r="P546" i="208"/>
  <c r="AJ546" i="208"/>
  <c r="AI546" i="208"/>
  <c r="AJ690" i="208"/>
  <c r="AI690" i="208"/>
  <c r="AJ834" i="208"/>
  <c r="AI834" i="208"/>
  <c r="P978" i="208"/>
  <c r="AJ978" i="208"/>
  <c r="AI978" i="208"/>
  <c r="P1122" i="208"/>
  <c r="AJ1122" i="208"/>
  <c r="AI1122" i="208"/>
  <c r="P1266" i="208"/>
  <c r="AJ1266" i="208"/>
  <c r="AI1266" i="208"/>
  <c r="P1410" i="208"/>
  <c r="AJ1410" i="208"/>
  <c r="AI1410" i="208"/>
  <c r="P1554" i="208"/>
  <c r="AJ1554" i="208"/>
  <c r="AI1554" i="208"/>
  <c r="P1698" i="208"/>
  <c r="AJ1698" i="208"/>
  <c r="AI1698" i="208"/>
  <c r="P1842" i="208"/>
  <c r="AJ1842" i="208"/>
  <c r="AI1842" i="208"/>
  <c r="P1986" i="208"/>
  <c r="AJ1986" i="208"/>
  <c r="AI1986" i="208"/>
  <c r="P2130" i="208"/>
  <c r="AJ2130" i="208"/>
  <c r="AI2130" i="208"/>
  <c r="P2274" i="208"/>
  <c r="AJ2274" i="208"/>
  <c r="AI2274" i="208"/>
  <c r="P2418" i="208"/>
  <c r="AJ2418" i="208"/>
  <c r="AI2418" i="208"/>
  <c r="P2562" i="208"/>
  <c r="AJ2562" i="208"/>
  <c r="AI2562" i="208"/>
  <c r="P2706" i="208"/>
  <c r="AJ2706" i="208"/>
  <c r="AI2706" i="208"/>
  <c r="P2850" i="208"/>
  <c r="AJ2850" i="208"/>
  <c r="AI2850" i="208"/>
  <c r="P2994" i="208"/>
  <c r="AJ2994" i="208"/>
  <c r="AI2994" i="208"/>
  <c r="P2583" i="208"/>
  <c r="AJ2583" i="208"/>
  <c r="AI2583" i="208"/>
  <c r="P433" i="208"/>
  <c r="AJ433" i="208"/>
  <c r="AI433" i="208"/>
  <c r="AJ577" i="208"/>
  <c r="AI577" i="208"/>
  <c r="P721" i="208"/>
  <c r="AJ721" i="208"/>
  <c r="AI721" i="208"/>
  <c r="P865" i="208"/>
  <c r="AJ865" i="208"/>
  <c r="AI865" i="208"/>
  <c r="P1009" i="208"/>
  <c r="AJ1009" i="208"/>
  <c r="AI1009" i="208"/>
  <c r="P1153" i="208"/>
  <c r="AJ1153" i="208"/>
  <c r="AI1153" i="208"/>
  <c r="P1297" i="208"/>
  <c r="AJ1297" i="208"/>
  <c r="AI1297" i="208"/>
  <c r="P1441" i="208"/>
  <c r="AJ1441" i="208"/>
  <c r="AI1441" i="208"/>
  <c r="P1585" i="208"/>
  <c r="AJ1585" i="208"/>
  <c r="AI1585" i="208"/>
  <c r="P1729" i="208"/>
  <c r="AJ1729" i="208"/>
  <c r="AI1729" i="208"/>
  <c r="P1873" i="208"/>
  <c r="AJ1873" i="208"/>
  <c r="AI1873" i="208"/>
  <c r="P2017" i="208"/>
  <c r="AJ2017" i="208"/>
  <c r="AI2017" i="208"/>
  <c r="P2161" i="208"/>
  <c r="AJ2161" i="208"/>
  <c r="AI2161" i="208"/>
  <c r="P2305" i="208"/>
  <c r="AJ2305" i="208"/>
  <c r="AI2305" i="208"/>
  <c r="P2449" i="208"/>
  <c r="AJ2449" i="208"/>
  <c r="AI2449" i="208"/>
  <c r="P2593" i="208"/>
  <c r="AJ2593" i="208"/>
  <c r="AI2593" i="208"/>
  <c r="P2737" i="208"/>
  <c r="AJ2737" i="208"/>
  <c r="AI2737" i="208"/>
  <c r="P2881" i="208"/>
  <c r="AJ2881" i="208"/>
  <c r="AI2881" i="208"/>
  <c r="AJ867" i="208"/>
  <c r="AI867" i="208"/>
  <c r="P1827" i="208"/>
  <c r="AJ1827" i="208"/>
  <c r="AI1827" i="208"/>
  <c r="P2871" i="208"/>
  <c r="AJ2871" i="208"/>
  <c r="AI2871" i="208"/>
  <c r="AJ428" i="208"/>
  <c r="AI428" i="208"/>
  <c r="P572" i="208"/>
  <c r="AJ572" i="208"/>
  <c r="AI572" i="208"/>
  <c r="AJ716" i="208"/>
  <c r="AI716" i="208"/>
  <c r="P860" i="208"/>
  <c r="AJ860" i="208"/>
  <c r="AI860" i="208"/>
  <c r="P1004" i="208"/>
  <c r="AJ1004" i="208"/>
  <c r="AI1004" i="208"/>
  <c r="P1148" i="208"/>
  <c r="AJ1148" i="208"/>
  <c r="AI1148" i="208"/>
  <c r="P1292" i="208"/>
  <c r="AJ1292" i="208"/>
  <c r="AI1292" i="208"/>
  <c r="P1436" i="208"/>
  <c r="AJ1436" i="208"/>
  <c r="AI1436" i="208"/>
  <c r="P1580" i="208"/>
  <c r="AJ1580" i="208"/>
  <c r="AI1580" i="208"/>
  <c r="P1724" i="208"/>
  <c r="AJ1724" i="208"/>
  <c r="AI1724" i="208"/>
  <c r="P1868" i="208"/>
  <c r="AJ1868" i="208"/>
  <c r="AI1868" i="208"/>
  <c r="P2012" i="208"/>
  <c r="AJ2012" i="208"/>
  <c r="AI2012" i="208"/>
  <c r="P2156" i="208"/>
  <c r="AJ2156" i="208"/>
  <c r="AI2156" i="208"/>
  <c r="P2300" i="208"/>
  <c r="AJ2300" i="208"/>
  <c r="AI2300" i="208"/>
  <c r="P2444" i="208"/>
  <c r="AJ2444" i="208"/>
  <c r="AI2444" i="208"/>
  <c r="P2588" i="208"/>
  <c r="AJ2588" i="208"/>
  <c r="AI2588" i="208"/>
  <c r="P2732" i="208"/>
  <c r="AJ2732" i="208"/>
  <c r="AI2732" i="208"/>
  <c r="P2876" i="208"/>
  <c r="AJ2876" i="208"/>
  <c r="AI2876" i="208"/>
  <c r="P543" i="208"/>
  <c r="AJ543" i="208"/>
  <c r="AI543" i="208"/>
  <c r="P1683" i="208"/>
  <c r="AJ1683" i="208"/>
  <c r="AI1683" i="208"/>
  <c r="P2943" i="208"/>
  <c r="AJ2943" i="208"/>
  <c r="AI2943" i="208"/>
  <c r="P289" i="208"/>
  <c r="AJ289" i="208"/>
  <c r="AI289" i="208"/>
  <c r="P279" i="208"/>
  <c r="AJ279" i="208"/>
  <c r="AI279" i="208"/>
  <c r="P442" i="208"/>
  <c r="AJ442" i="208"/>
  <c r="AI442" i="208"/>
  <c r="P586" i="208"/>
  <c r="AJ586" i="208"/>
  <c r="AI586" i="208"/>
  <c r="P730" i="208"/>
  <c r="AJ730" i="208"/>
  <c r="AI730" i="208"/>
  <c r="P874" i="208"/>
  <c r="AJ874" i="208"/>
  <c r="AI874" i="208"/>
  <c r="P1018" i="208"/>
  <c r="AJ1018" i="208"/>
  <c r="AI1018" i="208"/>
  <c r="P1162" i="208"/>
  <c r="AJ1162" i="208"/>
  <c r="AI1162" i="208"/>
  <c r="P1306" i="208"/>
  <c r="AJ1306" i="208"/>
  <c r="AI1306" i="208"/>
  <c r="P1450" i="208"/>
  <c r="AJ1450" i="208"/>
  <c r="AI1450" i="208"/>
  <c r="P1594" i="208"/>
  <c r="AJ1594" i="208"/>
  <c r="AI1594" i="208"/>
  <c r="P1738" i="208"/>
  <c r="AJ1738" i="208"/>
  <c r="AI1738" i="208"/>
  <c r="P1882" i="208"/>
  <c r="AJ1882" i="208"/>
  <c r="AI1882" i="208"/>
  <c r="P2026" i="208"/>
  <c r="AJ2026" i="208"/>
  <c r="AI2026" i="208"/>
  <c r="P2170" i="208"/>
  <c r="AJ2170" i="208"/>
  <c r="AI2170" i="208"/>
  <c r="P2314" i="208"/>
  <c r="AJ2314" i="208"/>
  <c r="AI2314" i="208"/>
  <c r="P2458" i="208"/>
  <c r="AJ2458" i="208"/>
  <c r="AI2458" i="208"/>
  <c r="P2602" i="208"/>
  <c r="AJ2602" i="208"/>
  <c r="AI2602" i="208"/>
  <c r="P2746" i="208"/>
  <c r="AJ2746" i="208"/>
  <c r="AI2746" i="208"/>
  <c r="P2890" i="208"/>
  <c r="AJ2890" i="208"/>
  <c r="AI2890" i="208"/>
  <c r="AJ483" i="208"/>
  <c r="AI483" i="208"/>
  <c r="P2211" i="208"/>
  <c r="AJ2211" i="208"/>
  <c r="AI2211" i="208"/>
  <c r="P353" i="208"/>
  <c r="AJ353" i="208"/>
  <c r="AI353" i="208"/>
  <c r="P497" i="208"/>
  <c r="AJ497" i="208"/>
  <c r="AI497" i="208"/>
  <c r="P641" i="208"/>
  <c r="AJ641" i="208"/>
  <c r="AI641" i="208"/>
  <c r="P785" i="208"/>
  <c r="AJ785" i="208"/>
  <c r="AI785" i="208"/>
  <c r="P929" i="208"/>
  <c r="AJ929" i="208"/>
  <c r="AI929" i="208"/>
  <c r="P1073" i="208"/>
  <c r="AJ1073" i="208"/>
  <c r="AI1073" i="208"/>
  <c r="P1217" i="208"/>
  <c r="AJ1217" i="208"/>
  <c r="AI1217" i="208"/>
  <c r="P1361" i="208"/>
  <c r="AJ1361" i="208"/>
  <c r="AI1361" i="208"/>
  <c r="P1505" i="208"/>
  <c r="AJ1505" i="208"/>
  <c r="AI1505" i="208"/>
  <c r="P1649" i="208"/>
  <c r="AJ1649" i="208"/>
  <c r="AI1649" i="208"/>
  <c r="P1793" i="208"/>
  <c r="AJ1793" i="208"/>
  <c r="AI1793" i="208"/>
  <c r="P1937" i="208"/>
  <c r="AJ1937" i="208"/>
  <c r="AI1937" i="208"/>
  <c r="P2081" i="208"/>
  <c r="AJ2081" i="208"/>
  <c r="AI2081" i="208"/>
  <c r="P2225" i="208"/>
  <c r="AJ2225" i="208"/>
  <c r="AI2225" i="208"/>
  <c r="P2369" i="208"/>
  <c r="AJ2369" i="208"/>
  <c r="AI2369" i="208"/>
  <c r="P2513" i="208"/>
  <c r="AJ2513" i="208"/>
  <c r="AI2513" i="208"/>
  <c r="P2657" i="208"/>
  <c r="AJ2657" i="208"/>
  <c r="AI2657" i="208"/>
  <c r="P2801" i="208"/>
  <c r="AJ2801" i="208"/>
  <c r="AI2801" i="208"/>
  <c r="P2945" i="208"/>
  <c r="AJ2945" i="208"/>
  <c r="AI2945" i="208"/>
  <c r="P1551" i="208"/>
  <c r="AJ1551" i="208"/>
  <c r="AI1551" i="208"/>
  <c r="AJ444" i="208"/>
  <c r="AI444" i="208"/>
  <c r="AJ588" i="208"/>
  <c r="AI588" i="208"/>
  <c r="AJ732" i="208"/>
  <c r="AI732" i="208"/>
  <c r="P876" i="208"/>
  <c r="AJ876" i="208"/>
  <c r="AI876" i="208"/>
  <c r="P1020" i="208"/>
  <c r="AJ1020" i="208"/>
  <c r="AI1020" i="208"/>
  <c r="P1164" i="208"/>
  <c r="AJ1164" i="208"/>
  <c r="AI1164" i="208"/>
  <c r="P1308" i="208"/>
  <c r="AJ1308" i="208"/>
  <c r="AI1308" i="208"/>
  <c r="P1452" i="208"/>
  <c r="AJ1452" i="208"/>
  <c r="AI1452" i="208"/>
  <c r="P1596" i="208"/>
  <c r="AJ1596" i="208"/>
  <c r="AI1596" i="208"/>
  <c r="P1740" i="208"/>
  <c r="AJ1740" i="208"/>
  <c r="AI1740" i="208"/>
  <c r="P1884" i="208"/>
  <c r="AJ1884" i="208"/>
  <c r="AI1884" i="208"/>
  <c r="P2028" i="208"/>
  <c r="AJ2028" i="208"/>
  <c r="AI2028" i="208"/>
  <c r="P2172" i="208"/>
  <c r="AJ2172" i="208"/>
  <c r="AI2172" i="208"/>
  <c r="P2316" i="208"/>
  <c r="AJ2316" i="208"/>
  <c r="AI2316" i="208"/>
  <c r="P2460" i="208"/>
  <c r="AJ2460" i="208"/>
  <c r="AI2460" i="208"/>
  <c r="P2604" i="208"/>
  <c r="AJ2604" i="208"/>
  <c r="AI2604" i="208"/>
  <c r="P2748" i="208"/>
  <c r="AJ2748" i="208"/>
  <c r="AI2748" i="208"/>
  <c r="P2892" i="208"/>
  <c r="AJ2892" i="208"/>
  <c r="AI2892" i="208"/>
  <c r="AJ591" i="208"/>
  <c r="AI591" i="208"/>
  <c r="P2247" i="208"/>
  <c r="AJ2247" i="208"/>
  <c r="AI2247" i="208"/>
  <c r="P403" i="208"/>
  <c r="AJ403" i="208"/>
  <c r="AI403" i="208"/>
  <c r="P547" i="208"/>
  <c r="AJ547" i="208"/>
  <c r="AI547" i="208"/>
  <c r="AJ691" i="208"/>
  <c r="AI691" i="208"/>
  <c r="AJ835" i="208"/>
  <c r="AI835" i="208"/>
  <c r="P979" i="208"/>
  <c r="AJ979" i="208"/>
  <c r="AI979" i="208"/>
  <c r="P1123" i="208"/>
  <c r="AJ1123" i="208"/>
  <c r="AI1123" i="208"/>
  <c r="P1267" i="208"/>
  <c r="AJ1267" i="208"/>
  <c r="AI1267" i="208"/>
  <c r="P1411" i="208"/>
  <c r="AJ1411" i="208"/>
  <c r="AI1411" i="208"/>
  <c r="P1555" i="208"/>
  <c r="AJ1555" i="208"/>
  <c r="AI1555" i="208"/>
  <c r="P1699" i="208"/>
  <c r="AJ1699" i="208"/>
  <c r="AI1699" i="208"/>
  <c r="P1843" i="208"/>
  <c r="AJ1843" i="208"/>
  <c r="AI1843" i="208"/>
  <c r="P1987" i="208"/>
  <c r="AJ1987" i="208"/>
  <c r="AI1987" i="208"/>
  <c r="P2131" i="208"/>
  <c r="AJ2131" i="208"/>
  <c r="AI2131" i="208"/>
  <c r="P2275" i="208"/>
  <c r="AJ2275" i="208"/>
  <c r="AI2275" i="208"/>
  <c r="P2419" i="208"/>
  <c r="AJ2419" i="208"/>
  <c r="AI2419" i="208"/>
  <c r="P2563" i="208"/>
  <c r="AJ2563" i="208"/>
  <c r="AI2563" i="208"/>
  <c r="P2707" i="208"/>
  <c r="AJ2707" i="208"/>
  <c r="AI2707" i="208"/>
  <c r="P2851" i="208"/>
  <c r="AJ2851" i="208"/>
  <c r="AI2851" i="208"/>
  <c r="P2995" i="208"/>
  <c r="AJ2995" i="208"/>
  <c r="AI2995" i="208"/>
  <c r="P1959" i="208"/>
  <c r="AJ1959" i="208"/>
  <c r="AI1959" i="208"/>
  <c r="P374" i="208"/>
  <c r="AJ374" i="208"/>
  <c r="AI374" i="208"/>
  <c r="AJ518" i="208"/>
  <c r="AI518" i="208"/>
  <c r="AJ662" i="208"/>
  <c r="AI662" i="208"/>
  <c r="AJ806" i="208"/>
  <c r="AI806" i="208"/>
  <c r="P950" i="208"/>
  <c r="AJ950" i="208"/>
  <c r="AI950" i="208"/>
  <c r="P1094" i="208"/>
  <c r="AJ1094" i="208"/>
  <c r="AI1094" i="208"/>
  <c r="P1238" i="208"/>
  <c r="AJ1238" i="208"/>
  <c r="AI1238" i="208"/>
  <c r="P1382" i="208"/>
  <c r="AJ1382" i="208"/>
  <c r="AI1382" i="208"/>
  <c r="P1526" i="208"/>
  <c r="AJ1526" i="208"/>
  <c r="AI1526" i="208"/>
  <c r="P1670" i="208"/>
  <c r="AJ1670" i="208"/>
  <c r="AI1670" i="208"/>
  <c r="P1814" i="208"/>
  <c r="AJ1814" i="208"/>
  <c r="AI1814" i="208"/>
  <c r="P1958" i="208"/>
  <c r="AJ1958" i="208"/>
  <c r="AI1958" i="208"/>
  <c r="P2102" i="208"/>
  <c r="AJ2102" i="208"/>
  <c r="AI2102" i="208"/>
  <c r="P2246" i="208"/>
  <c r="AJ2246" i="208"/>
  <c r="AI2246" i="208"/>
  <c r="P2390" i="208"/>
  <c r="AJ2390" i="208"/>
  <c r="AI2390" i="208"/>
  <c r="P2534" i="208"/>
  <c r="AJ2534" i="208"/>
  <c r="AI2534" i="208"/>
  <c r="P2678" i="208"/>
  <c r="AJ2678" i="208"/>
  <c r="AI2678" i="208"/>
  <c r="P2822" i="208"/>
  <c r="AJ2822" i="208"/>
  <c r="AI2822" i="208"/>
  <c r="P2966" i="208"/>
  <c r="AJ2966" i="208"/>
  <c r="AI2966" i="208"/>
  <c r="P1887" i="208"/>
  <c r="AJ1887" i="208"/>
  <c r="AI1887" i="208"/>
  <c r="P405" i="208"/>
  <c r="AJ405" i="208"/>
  <c r="AI405" i="208"/>
  <c r="AJ549" i="208"/>
  <c r="AI549" i="208"/>
  <c r="P693" i="208"/>
  <c r="AJ693" i="208"/>
  <c r="AI693" i="208"/>
  <c r="AJ837" i="208"/>
  <c r="AI837" i="208"/>
  <c r="P981" i="208"/>
  <c r="AJ981" i="208"/>
  <c r="AI981" i="208"/>
  <c r="P1125" i="208"/>
  <c r="AJ1125" i="208"/>
  <c r="AI1125" i="208"/>
  <c r="P1269" i="208"/>
  <c r="AJ1269" i="208"/>
  <c r="AI1269" i="208"/>
  <c r="P1413" i="208"/>
  <c r="AJ1413" i="208"/>
  <c r="AI1413" i="208"/>
  <c r="P1557" i="208"/>
  <c r="AJ1557" i="208"/>
  <c r="AI1557" i="208"/>
  <c r="P1701" i="208"/>
  <c r="AJ1701" i="208"/>
  <c r="AI1701" i="208"/>
  <c r="P1845" i="208"/>
  <c r="AJ1845" i="208"/>
  <c r="AI1845" i="208"/>
  <c r="P1989" i="208"/>
  <c r="AJ1989" i="208"/>
  <c r="AI1989" i="208"/>
  <c r="P2133" i="208"/>
  <c r="AJ2133" i="208"/>
  <c r="AI2133" i="208"/>
  <c r="P2277" i="208"/>
  <c r="AJ2277" i="208"/>
  <c r="AI2277" i="208"/>
  <c r="P2421" i="208"/>
  <c r="AJ2421" i="208"/>
  <c r="AI2421" i="208"/>
  <c r="P2565" i="208"/>
  <c r="AJ2565" i="208"/>
  <c r="AI2565" i="208"/>
  <c r="P2709" i="208"/>
  <c r="AJ2709" i="208"/>
  <c r="AI2709" i="208"/>
  <c r="P2853" i="208"/>
  <c r="AJ2853" i="208"/>
  <c r="AI2853" i="208"/>
  <c r="P2997" i="208"/>
  <c r="AJ2997" i="208"/>
  <c r="AI2997" i="208"/>
  <c r="P1431" i="208"/>
  <c r="AJ1431" i="208"/>
  <c r="AI1431" i="208"/>
  <c r="P2535" i="208"/>
  <c r="AJ2535" i="208"/>
  <c r="AI2535" i="208"/>
  <c r="P400" i="208"/>
  <c r="AJ400" i="208"/>
  <c r="AI400" i="208"/>
  <c r="P544" i="208"/>
  <c r="AJ544" i="208"/>
  <c r="AI544" i="208"/>
  <c r="P688" i="208"/>
  <c r="AJ688" i="208"/>
  <c r="AI688" i="208"/>
  <c r="AJ832" i="208"/>
  <c r="AI832" i="208"/>
  <c r="P976" i="208"/>
  <c r="AJ976" i="208"/>
  <c r="AI976" i="208"/>
  <c r="P1120" i="208"/>
  <c r="AJ1120" i="208"/>
  <c r="AI1120" i="208"/>
  <c r="P1264" i="208"/>
  <c r="AJ1264" i="208"/>
  <c r="AI1264" i="208"/>
  <c r="P1408" i="208"/>
  <c r="AJ1408" i="208"/>
  <c r="AI1408" i="208"/>
  <c r="P1552" i="208"/>
  <c r="AJ1552" i="208"/>
  <c r="AI1552" i="208"/>
  <c r="P1696" i="208"/>
  <c r="AJ1696" i="208"/>
  <c r="AI1696" i="208"/>
  <c r="P1840" i="208"/>
  <c r="AJ1840" i="208"/>
  <c r="AI1840" i="208"/>
  <c r="P1984" i="208"/>
  <c r="AJ1984" i="208"/>
  <c r="AI1984" i="208"/>
  <c r="P2128" i="208"/>
  <c r="AJ2128" i="208"/>
  <c r="AI2128" i="208"/>
  <c r="P2272" i="208"/>
  <c r="AJ2272" i="208"/>
  <c r="AI2272" i="208"/>
  <c r="P2416" i="208"/>
  <c r="AI2416" i="208"/>
  <c r="AJ2416" i="208"/>
  <c r="P2560" i="208"/>
  <c r="AJ2560" i="208"/>
  <c r="AI2560" i="208"/>
  <c r="P2704" i="208"/>
  <c r="AI2704" i="208"/>
  <c r="AJ2704" i="208"/>
  <c r="P2848" i="208"/>
  <c r="AJ2848" i="208"/>
  <c r="AI2848" i="208"/>
  <c r="P2992" i="208"/>
  <c r="AJ2992" i="208"/>
  <c r="AI2992" i="208"/>
  <c r="P1995" i="208"/>
  <c r="AJ1995" i="208"/>
  <c r="AI1995" i="208"/>
  <c r="P2991" i="208"/>
  <c r="AJ2991" i="208"/>
  <c r="AI2991" i="208"/>
  <c r="AJ443" i="208"/>
  <c r="AI443" i="208"/>
  <c r="AJ587" i="208"/>
  <c r="AI587" i="208"/>
  <c r="P731" i="208"/>
  <c r="AJ731" i="208"/>
  <c r="AI731" i="208"/>
  <c r="P875" i="208"/>
  <c r="AJ875" i="208"/>
  <c r="AI875" i="208"/>
  <c r="P1019" i="208"/>
  <c r="AJ1019" i="208"/>
  <c r="AI1019" i="208"/>
  <c r="P1163" i="208"/>
  <c r="AJ1163" i="208"/>
  <c r="AI1163" i="208"/>
  <c r="P1307" i="208"/>
  <c r="AJ1307" i="208"/>
  <c r="AI1307" i="208"/>
  <c r="P1451" i="208"/>
  <c r="AJ1451" i="208"/>
  <c r="AI1451" i="208"/>
  <c r="P1595" i="208"/>
  <c r="AJ1595" i="208"/>
  <c r="AI1595" i="208"/>
  <c r="P1739" i="208"/>
  <c r="AJ1739" i="208"/>
  <c r="AI1739" i="208"/>
  <c r="P1883" i="208"/>
  <c r="AJ1883" i="208"/>
  <c r="AI1883" i="208"/>
  <c r="P2027" i="208"/>
  <c r="AI2027" i="208"/>
  <c r="AJ2027" i="208"/>
  <c r="P2171" i="208"/>
  <c r="AJ2171" i="208"/>
  <c r="AI2171" i="208"/>
  <c r="P2315" i="208"/>
  <c r="AJ2315" i="208"/>
  <c r="AI2315" i="208"/>
  <c r="P2459" i="208"/>
  <c r="AJ2459" i="208"/>
  <c r="AI2459" i="208"/>
  <c r="P2603" i="208"/>
  <c r="AJ2603" i="208"/>
  <c r="AI2603" i="208"/>
  <c r="P2747" i="208"/>
  <c r="AJ2747" i="208"/>
  <c r="AI2747" i="208"/>
  <c r="P2891" i="208"/>
  <c r="AJ2891" i="208"/>
  <c r="AI2891" i="208"/>
  <c r="P651" i="208"/>
  <c r="AJ651" i="208"/>
  <c r="AI651" i="208"/>
  <c r="P2799" i="208"/>
  <c r="AJ2799" i="208"/>
  <c r="AI2799" i="208"/>
  <c r="AJ414" i="208"/>
  <c r="AI414" i="208"/>
  <c r="P558" i="208"/>
  <c r="AJ558" i="208"/>
  <c r="AI558" i="208"/>
  <c r="P702" i="208"/>
  <c r="AJ702" i="208"/>
  <c r="AI702" i="208"/>
  <c r="P846" i="208"/>
  <c r="AJ846" i="208"/>
  <c r="AI846" i="208"/>
  <c r="P990" i="208"/>
  <c r="AJ990" i="208"/>
  <c r="AI990" i="208"/>
  <c r="P1134" i="208"/>
  <c r="AJ1134" i="208"/>
  <c r="AI1134" i="208"/>
  <c r="P1278" i="208"/>
  <c r="AJ1278" i="208"/>
  <c r="AI1278" i="208"/>
  <c r="P1422" i="208"/>
  <c r="AJ1422" i="208"/>
  <c r="AI1422" i="208"/>
  <c r="P1566" i="208"/>
  <c r="AJ1566" i="208"/>
  <c r="AI1566" i="208"/>
  <c r="P1710" i="208"/>
  <c r="AJ1710" i="208"/>
  <c r="AI1710" i="208"/>
  <c r="P1854" i="208"/>
  <c r="AJ1854" i="208"/>
  <c r="AI1854" i="208"/>
  <c r="P1998" i="208"/>
  <c r="AJ1998" i="208"/>
  <c r="AI1998" i="208"/>
  <c r="P2142" i="208"/>
  <c r="AJ2142" i="208"/>
  <c r="AI2142" i="208"/>
  <c r="P2286" i="208"/>
  <c r="AJ2286" i="208"/>
  <c r="AI2286" i="208"/>
  <c r="P2430" i="208"/>
  <c r="AJ2430" i="208"/>
  <c r="AI2430" i="208"/>
  <c r="P2574" i="208"/>
  <c r="AJ2574" i="208"/>
  <c r="AI2574" i="208"/>
  <c r="P2718" i="208"/>
  <c r="AJ2718" i="208"/>
  <c r="AI2718" i="208"/>
  <c r="P2862" i="208"/>
  <c r="AJ2862" i="208"/>
  <c r="AI2862" i="208"/>
  <c r="P927" i="208"/>
  <c r="AJ927" i="208"/>
  <c r="AI927" i="208"/>
  <c r="P2979" i="208"/>
  <c r="AJ2979" i="208"/>
  <c r="AI2979" i="208"/>
  <c r="P445" i="208"/>
  <c r="AJ445" i="208"/>
  <c r="AI445" i="208"/>
  <c r="P589" i="208"/>
  <c r="AJ589" i="208"/>
  <c r="AI589" i="208"/>
  <c r="AJ733" i="208"/>
  <c r="AI733" i="208"/>
  <c r="P877" i="208"/>
  <c r="AJ877" i="208"/>
  <c r="AI877" i="208"/>
  <c r="P1021" i="208"/>
  <c r="AJ1021" i="208"/>
  <c r="AI1021" i="208"/>
  <c r="P1165" i="208"/>
  <c r="AJ1165" i="208"/>
  <c r="AI1165" i="208"/>
  <c r="P1309" i="208"/>
  <c r="AJ1309" i="208"/>
  <c r="AI1309" i="208"/>
  <c r="P1453" i="208"/>
  <c r="AJ1453" i="208"/>
  <c r="AI1453" i="208"/>
  <c r="P1597" i="208"/>
  <c r="AJ1597" i="208"/>
  <c r="AI1597" i="208"/>
  <c r="P1741" i="208"/>
  <c r="AJ1741" i="208"/>
  <c r="AI1741" i="208"/>
  <c r="P1885" i="208"/>
  <c r="AJ1885" i="208"/>
  <c r="AI1885" i="208"/>
  <c r="P2029" i="208"/>
  <c r="AJ2029" i="208"/>
  <c r="AI2029" i="208"/>
  <c r="P2173" i="208"/>
  <c r="AJ2173" i="208"/>
  <c r="AI2173" i="208"/>
  <c r="P2317" i="208"/>
  <c r="AJ2317" i="208"/>
  <c r="AI2317" i="208"/>
  <c r="P2461" i="208"/>
  <c r="AJ2461" i="208"/>
  <c r="AI2461" i="208"/>
  <c r="P2605" i="208"/>
  <c r="AJ2605" i="208"/>
  <c r="AI2605" i="208"/>
  <c r="P2749" i="208"/>
  <c r="AJ2749" i="208"/>
  <c r="AI2749" i="208"/>
  <c r="P2893" i="208"/>
  <c r="AJ2893" i="208"/>
  <c r="AI2893" i="208"/>
  <c r="P939" i="208"/>
  <c r="AJ939" i="208"/>
  <c r="AI939" i="208"/>
  <c r="P1851" i="208"/>
  <c r="AJ1851" i="208"/>
  <c r="AI1851" i="208"/>
  <c r="P2931" i="208"/>
  <c r="AJ2931" i="208"/>
  <c r="AI2931" i="208"/>
  <c r="P440" i="208"/>
  <c r="AJ440" i="208"/>
  <c r="AI440" i="208"/>
  <c r="P584" i="208"/>
  <c r="AJ584" i="208"/>
  <c r="AI584" i="208"/>
  <c r="P728" i="208"/>
  <c r="AJ728" i="208"/>
  <c r="AI728" i="208"/>
  <c r="P872" i="208"/>
  <c r="AJ872" i="208"/>
  <c r="AI872" i="208"/>
  <c r="P1016" i="208"/>
  <c r="AJ1016" i="208"/>
  <c r="AI1016" i="208"/>
  <c r="P1160" i="208"/>
  <c r="AJ1160" i="208"/>
  <c r="AI1160" i="208"/>
  <c r="P1304" i="208"/>
  <c r="AJ1304" i="208"/>
  <c r="AI1304" i="208"/>
  <c r="P1448" i="208"/>
  <c r="AJ1448" i="208"/>
  <c r="AI1448" i="208"/>
  <c r="P1592" i="208"/>
  <c r="AJ1592" i="208"/>
  <c r="AI1592" i="208"/>
  <c r="P1736" i="208"/>
  <c r="AJ1736" i="208"/>
  <c r="AI1736" i="208"/>
  <c r="P1880" i="208"/>
  <c r="AJ1880" i="208"/>
  <c r="AI1880" i="208"/>
  <c r="P2024" i="208"/>
  <c r="AJ2024" i="208"/>
  <c r="AI2024" i="208"/>
  <c r="P2168" i="208"/>
  <c r="AJ2168" i="208"/>
  <c r="AI2168" i="208"/>
  <c r="P2312" i="208"/>
  <c r="AJ2312" i="208"/>
  <c r="AI2312" i="208"/>
  <c r="P2456" i="208"/>
  <c r="AJ2456" i="208"/>
  <c r="AI2456" i="208"/>
  <c r="P2600" i="208"/>
  <c r="AJ2600" i="208"/>
  <c r="AI2600" i="208"/>
  <c r="P2744" i="208"/>
  <c r="AJ2744" i="208"/>
  <c r="AI2744" i="208"/>
  <c r="P2888" i="208"/>
  <c r="AJ2888" i="208"/>
  <c r="AI2888" i="208"/>
  <c r="P555" i="208"/>
  <c r="AJ555" i="208"/>
  <c r="AI555" i="208"/>
  <c r="P2055" i="208"/>
  <c r="AJ2055" i="208"/>
  <c r="AI2055" i="208"/>
  <c r="AJ315" i="208"/>
  <c r="AI315" i="208"/>
  <c r="P9" i="208"/>
  <c r="AJ9" i="208"/>
  <c r="AI9" i="208"/>
  <c r="P18" i="208"/>
  <c r="AJ18" i="208"/>
  <c r="AI18" i="208"/>
  <c r="P27" i="208"/>
  <c r="AJ27" i="208"/>
  <c r="AI27" i="208"/>
  <c r="P36" i="208"/>
  <c r="AJ36" i="208"/>
  <c r="AI36" i="208"/>
  <c r="P45" i="208"/>
  <c r="AJ45" i="208"/>
  <c r="AI45" i="208"/>
  <c r="P54" i="208"/>
  <c r="AJ54" i="208"/>
  <c r="AI54" i="208"/>
  <c r="P63" i="208"/>
  <c r="AJ63" i="208"/>
  <c r="AI63" i="208"/>
  <c r="P72" i="208"/>
  <c r="AJ72" i="208"/>
  <c r="AI72" i="208"/>
  <c r="P81" i="208"/>
  <c r="AJ81" i="208"/>
  <c r="AI81" i="208"/>
  <c r="P90" i="208"/>
  <c r="AJ90" i="208"/>
  <c r="AI90" i="208"/>
  <c r="P99" i="208"/>
  <c r="AJ99" i="208"/>
  <c r="AI99" i="208"/>
  <c r="P108" i="208"/>
  <c r="AJ108" i="208"/>
  <c r="AI108" i="208"/>
  <c r="P117" i="208"/>
  <c r="AJ117" i="208"/>
  <c r="AI117" i="208"/>
  <c r="P126" i="208"/>
  <c r="AJ126" i="208"/>
  <c r="AI126" i="208"/>
  <c r="P135" i="208"/>
  <c r="AJ135" i="208"/>
  <c r="AI135" i="208"/>
  <c r="P144" i="208"/>
  <c r="AJ144" i="208"/>
  <c r="AI144" i="208"/>
  <c r="P153" i="208"/>
  <c r="AJ153" i="208"/>
  <c r="AI153" i="208"/>
  <c r="P162" i="208"/>
  <c r="AJ162" i="208"/>
  <c r="AI162" i="208"/>
  <c r="P171" i="208"/>
  <c r="AJ171" i="208"/>
  <c r="AI171" i="208"/>
  <c r="P180" i="208"/>
  <c r="AJ180" i="208"/>
  <c r="AI180" i="208"/>
  <c r="P189" i="208"/>
  <c r="AJ189" i="208"/>
  <c r="AI189" i="208"/>
  <c r="P198" i="208"/>
  <c r="AJ198" i="208"/>
  <c r="AI198" i="208"/>
  <c r="P207" i="208"/>
  <c r="AJ207" i="208"/>
  <c r="AI207" i="208"/>
  <c r="P216" i="208"/>
  <c r="AJ216" i="208"/>
  <c r="AI216" i="208"/>
  <c r="P225" i="208"/>
  <c r="AJ225" i="208"/>
  <c r="AI225" i="208"/>
  <c r="P234" i="208"/>
  <c r="AJ234" i="208"/>
  <c r="AI234" i="208"/>
  <c r="P243" i="208"/>
  <c r="AJ243" i="208"/>
  <c r="AI243" i="208"/>
  <c r="P252" i="208"/>
  <c r="AJ252" i="208"/>
  <c r="AI252" i="208"/>
  <c r="P261" i="208"/>
  <c r="AJ261" i="208"/>
  <c r="AI261" i="208"/>
  <c r="P270" i="208"/>
  <c r="AJ270" i="208"/>
  <c r="AI270" i="208"/>
  <c r="P294" i="208"/>
  <c r="AJ294" i="208"/>
  <c r="AI294" i="208"/>
  <c r="AJ310" i="208"/>
  <c r="AI310" i="208"/>
  <c r="P454" i="208"/>
  <c r="AJ454" i="208"/>
  <c r="AI454" i="208"/>
  <c r="AJ598" i="208"/>
  <c r="AI598" i="208"/>
  <c r="AJ742" i="208"/>
  <c r="AI742" i="208"/>
  <c r="P886" i="208"/>
  <c r="AJ886" i="208"/>
  <c r="AI886" i="208"/>
  <c r="AJ1030" i="208"/>
  <c r="AI1030" i="208"/>
  <c r="AJ1174" i="208"/>
  <c r="AI1174" i="208"/>
  <c r="AJ1318" i="208"/>
  <c r="AI1318" i="208"/>
  <c r="AJ1462" i="208"/>
  <c r="AI1462" i="208"/>
  <c r="AJ1606" i="208"/>
  <c r="AI1606" i="208"/>
  <c r="AJ1750" i="208"/>
  <c r="AI1750" i="208"/>
  <c r="AJ1894" i="208"/>
  <c r="AI1894" i="208"/>
  <c r="AJ2038" i="208"/>
  <c r="AI2038" i="208"/>
  <c r="AJ2182" i="208"/>
  <c r="AI2182" i="208"/>
  <c r="AJ2326" i="208"/>
  <c r="AI2326" i="208"/>
  <c r="AJ2470" i="208"/>
  <c r="AI2470" i="208"/>
  <c r="AJ2614" i="208"/>
  <c r="AI2614" i="208"/>
  <c r="AJ2758" i="208"/>
  <c r="AI2758" i="208"/>
  <c r="AJ2902" i="208"/>
  <c r="AI2902" i="208"/>
  <c r="AJ579" i="208"/>
  <c r="AI579" i="208"/>
  <c r="AJ2355" i="208"/>
  <c r="AI2355" i="208"/>
  <c r="AJ365" i="208"/>
  <c r="AI365" i="208"/>
  <c r="AJ509" i="208"/>
  <c r="AI509" i="208"/>
  <c r="AJ653" i="208"/>
  <c r="AI653" i="208"/>
  <c r="AJ797" i="208"/>
  <c r="AI797" i="208"/>
  <c r="AJ941" i="208"/>
  <c r="AI941" i="208"/>
  <c r="AJ1085" i="208"/>
  <c r="AI1085" i="208"/>
  <c r="AJ1229" i="208"/>
  <c r="AI1229" i="208"/>
  <c r="AJ1373" i="208"/>
  <c r="AI1373" i="208"/>
  <c r="AJ1517" i="208"/>
  <c r="AI1517" i="208"/>
  <c r="AJ1661" i="208"/>
  <c r="AI1661" i="208"/>
  <c r="AJ1805" i="208"/>
  <c r="AI1805" i="208"/>
  <c r="AJ1949" i="208"/>
  <c r="AI1949" i="208"/>
  <c r="AJ2093" i="208"/>
  <c r="AI2093" i="208"/>
  <c r="AJ2237" i="208"/>
  <c r="AI2237" i="208"/>
  <c r="AJ2381" i="208"/>
  <c r="AI2381" i="208"/>
  <c r="AJ2525" i="208"/>
  <c r="AI2525" i="208"/>
  <c r="AJ2669" i="208"/>
  <c r="AI2669" i="208"/>
  <c r="AJ2813" i="208"/>
  <c r="AI2813" i="208"/>
  <c r="AJ2957" i="208"/>
  <c r="AI2957" i="208"/>
  <c r="AJ1611" i="208"/>
  <c r="AI1611" i="208"/>
  <c r="AJ312" i="208"/>
  <c r="AI312" i="208"/>
  <c r="AJ456" i="208"/>
  <c r="AI456" i="208"/>
  <c r="AJ600" i="208"/>
  <c r="AI600" i="208"/>
  <c r="AJ744" i="208"/>
  <c r="AI744" i="208"/>
  <c r="AJ888" i="208"/>
  <c r="AI888" i="208"/>
  <c r="AJ1032" i="208"/>
  <c r="AI1032" i="208"/>
  <c r="AJ1176" i="208"/>
  <c r="AI1176" i="208"/>
  <c r="AJ1320" i="208"/>
  <c r="AI1320" i="208"/>
  <c r="AJ1464" i="208"/>
  <c r="AI1464" i="208"/>
  <c r="AJ1608" i="208"/>
  <c r="AI1608" i="208"/>
  <c r="AJ1752" i="208"/>
  <c r="AI1752" i="208"/>
  <c r="AJ1896" i="208"/>
  <c r="AI1896" i="208"/>
  <c r="AJ2040" i="208"/>
  <c r="AI2040" i="208"/>
  <c r="AJ2184" i="208"/>
  <c r="AI2184" i="208"/>
  <c r="AJ2328" i="208"/>
  <c r="AI2328" i="208"/>
  <c r="AJ2472" i="208"/>
  <c r="AI2472" i="208"/>
  <c r="AJ2616" i="208"/>
  <c r="AI2616" i="208"/>
  <c r="AJ2760" i="208"/>
  <c r="AI2760" i="208"/>
  <c r="AJ2904" i="208"/>
  <c r="AI2904" i="208"/>
  <c r="AJ1095" i="208"/>
  <c r="AI1095" i="208"/>
  <c r="AJ2307" i="208"/>
  <c r="AI2307" i="208"/>
  <c r="AJ415" i="208"/>
  <c r="AI415" i="208"/>
  <c r="AJ559" i="208"/>
  <c r="AI559" i="208"/>
  <c r="AJ703" i="208"/>
  <c r="AI703" i="208"/>
  <c r="AJ847" i="208"/>
  <c r="AI847" i="208"/>
  <c r="AJ991" i="208"/>
  <c r="AI991" i="208"/>
  <c r="AJ1135" i="208"/>
  <c r="AI1135" i="208"/>
  <c r="AJ1279" i="208"/>
  <c r="AI1279" i="208"/>
  <c r="AJ1423" i="208"/>
  <c r="AI1423" i="208"/>
  <c r="AJ1567" i="208"/>
  <c r="AI1567" i="208"/>
  <c r="AJ1711" i="208"/>
  <c r="AI1711" i="208"/>
  <c r="AJ1855" i="208"/>
  <c r="AI1855" i="208"/>
  <c r="AJ1999" i="208"/>
  <c r="AI1999" i="208"/>
  <c r="AJ2143" i="208"/>
  <c r="AI2143" i="208"/>
  <c r="AJ2287" i="208"/>
  <c r="AI2287" i="208"/>
  <c r="AJ2431" i="208"/>
  <c r="AI2431" i="208"/>
  <c r="AJ2575" i="208"/>
  <c r="AI2575" i="208"/>
  <c r="AJ2719" i="208"/>
  <c r="AI2719" i="208"/>
  <c r="AJ2863" i="208"/>
  <c r="AI2863" i="208"/>
  <c r="AJ711" i="208"/>
  <c r="AI711" i="208"/>
  <c r="AJ2091" i="208"/>
  <c r="AI2091" i="208"/>
  <c r="AJ386" i="208"/>
  <c r="AI386" i="208"/>
  <c r="AJ530" i="208"/>
  <c r="AI530" i="208"/>
  <c r="AJ674" i="208"/>
  <c r="AI674" i="208"/>
  <c r="AJ818" i="208"/>
  <c r="AI818" i="208"/>
  <c r="AJ962" i="208"/>
  <c r="AI962" i="208"/>
  <c r="AJ1106" i="208"/>
  <c r="AI1106" i="208"/>
  <c r="AJ1250" i="208"/>
  <c r="AI1250" i="208"/>
  <c r="AJ1394" i="208"/>
  <c r="AI1394" i="208"/>
  <c r="AJ1538" i="208"/>
  <c r="AI1538" i="208"/>
  <c r="AJ1682" i="208"/>
  <c r="AI1682" i="208"/>
  <c r="AJ1826" i="208"/>
  <c r="AI1826" i="208"/>
  <c r="AJ1970" i="208"/>
  <c r="AI1970" i="208"/>
  <c r="AJ2114" i="208"/>
  <c r="AI2114" i="208"/>
  <c r="AJ2258" i="208"/>
  <c r="AI2258" i="208"/>
  <c r="AJ2402" i="208"/>
  <c r="AI2402" i="208"/>
  <c r="AJ2546" i="208"/>
  <c r="AI2546" i="208"/>
  <c r="AJ2690" i="208"/>
  <c r="AI2690" i="208"/>
  <c r="AJ2834" i="208"/>
  <c r="AI2834" i="208"/>
  <c r="AJ2978" i="208"/>
  <c r="AI2978" i="208"/>
  <c r="AJ2319" i="208"/>
  <c r="AI2319" i="208"/>
  <c r="AJ417" i="208"/>
  <c r="AI417" i="208"/>
  <c r="AJ561" i="208"/>
  <c r="AI561" i="208"/>
  <c r="AJ705" i="208"/>
  <c r="AI705" i="208"/>
  <c r="AJ849" i="208"/>
  <c r="AI849" i="208"/>
  <c r="AJ993" i="208"/>
  <c r="AI993" i="208"/>
  <c r="AJ1137" i="208"/>
  <c r="AI1137" i="208"/>
  <c r="AJ1281" i="208"/>
  <c r="AI1281" i="208"/>
  <c r="AJ1425" i="208"/>
  <c r="AI1425" i="208"/>
  <c r="AJ1569" i="208"/>
  <c r="AI1569" i="208"/>
  <c r="AJ1713" i="208"/>
  <c r="AI1713" i="208"/>
  <c r="AJ1857" i="208"/>
  <c r="AI1857" i="208"/>
  <c r="AJ2001" i="208"/>
  <c r="AI2001" i="208"/>
  <c r="AJ2145" i="208"/>
  <c r="AI2145" i="208"/>
  <c r="AJ2289" i="208"/>
  <c r="AI2289" i="208"/>
  <c r="AJ2433" i="208"/>
  <c r="AI2433" i="208"/>
  <c r="AJ2577" i="208"/>
  <c r="AI2577" i="208"/>
  <c r="AJ2721" i="208"/>
  <c r="AI2721" i="208"/>
  <c r="AJ2865" i="208"/>
  <c r="AI2865" i="208"/>
  <c r="AJ302" i="208"/>
  <c r="AI302" i="208"/>
  <c r="AJ1623" i="208"/>
  <c r="AI1623" i="208"/>
  <c r="AJ2547" i="208"/>
  <c r="AI2547" i="208"/>
  <c r="AJ412" i="208"/>
  <c r="AI412" i="208"/>
  <c r="AJ556" i="208"/>
  <c r="AI556" i="208"/>
  <c r="AJ700" i="208"/>
  <c r="AI700" i="208"/>
  <c r="AJ844" i="208"/>
  <c r="AI844" i="208"/>
  <c r="AJ988" i="208"/>
  <c r="AI988" i="208"/>
  <c r="AJ1132" i="208"/>
  <c r="AI1132" i="208"/>
  <c r="AJ1276" i="208"/>
  <c r="AI1276" i="208"/>
  <c r="AJ1420" i="208"/>
  <c r="AI1420" i="208"/>
  <c r="AJ1564" i="208"/>
  <c r="AI1564" i="208"/>
  <c r="AJ1708" i="208"/>
  <c r="AI1708" i="208"/>
  <c r="AJ1852" i="208"/>
  <c r="AI1852" i="208"/>
  <c r="AJ1996" i="208"/>
  <c r="AI1996" i="208"/>
  <c r="AJ2140" i="208"/>
  <c r="AI2140" i="208"/>
  <c r="AJ2284" i="208"/>
  <c r="AI2284" i="208"/>
  <c r="AJ2428" i="208"/>
  <c r="AI2428" i="208"/>
  <c r="AJ2572" i="208"/>
  <c r="AI2572" i="208"/>
  <c r="AJ2716" i="208"/>
  <c r="AI2716" i="208"/>
  <c r="AJ2860" i="208"/>
  <c r="AI2860" i="208"/>
  <c r="AJ423" i="208"/>
  <c r="AI423" i="208"/>
  <c r="AJ2007" i="208"/>
  <c r="AI2007" i="208"/>
  <c r="AJ311" i="208"/>
  <c r="AI311" i="208"/>
  <c r="AJ455" i="208"/>
  <c r="AI455" i="208"/>
  <c r="AJ599" i="208"/>
  <c r="AI599" i="208"/>
  <c r="AJ743" i="208"/>
  <c r="AI743" i="208"/>
  <c r="AJ887" i="208"/>
  <c r="AI887" i="208"/>
  <c r="AJ1031" i="208"/>
  <c r="AI1031" i="208"/>
  <c r="AJ1175" i="208"/>
  <c r="AI1175" i="208"/>
  <c r="AJ1319" i="208"/>
  <c r="AI1319" i="208"/>
  <c r="AJ1463" i="208"/>
  <c r="AI1463" i="208"/>
  <c r="AJ1607" i="208"/>
  <c r="AI1607" i="208"/>
  <c r="AJ1751" i="208"/>
  <c r="AI1751" i="208"/>
  <c r="AJ1895" i="208"/>
  <c r="AI1895" i="208"/>
  <c r="AJ2039" i="208"/>
  <c r="AI2039" i="208"/>
  <c r="AJ2183" i="208"/>
  <c r="AI2183" i="208"/>
  <c r="AJ2327" i="208"/>
  <c r="AI2327" i="208"/>
  <c r="AJ2471" i="208"/>
  <c r="AI2471" i="208"/>
  <c r="AJ2615" i="208"/>
  <c r="AI2615" i="208"/>
  <c r="AJ2759" i="208"/>
  <c r="AI2759" i="208"/>
  <c r="AJ2903" i="208"/>
  <c r="AI2903" i="208"/>
  <c r="AJ687" i="208"/>
  <c r="AI687" i="208"/>
  <c r="AJ2823" i="208"/>
  <c r="AI2823" i="208"/>
  <c r="AJ426" i="208"/>
  <c r="AI426" i="208"/>
  <c r="AJ570" i="208"/>
  <c r="AI570" i="208"/>
  <c r="AJ714" i="208"/>
  <c r="AI714" i="208"/>
  <c r="AJ858" i="208"/>
  <c r="AI858" i="208"/>
  <c r="AJ1002" i="208"/>
  <c r="AI1002" i="208"/>
  <c r="AJ1146" i="208"/>
  <c r="AI1146" i="208"/>
  <c r="AJ1290" i="208"/>
  <c r="AI1290" i="208"/>
  <c r="AJ1434" i="208"/>
  <c r="AI1434" i="208"/>
  <c r="AJ1578" i="208"/>
  <c r="AI1578" i="208"/>
  <c r="AJ1722" i="208"/>
  <c r="AI1722" i="208"/>
  <c r="AJ1866" i="208"/>
  <c r="AI1866" i="208"/>
  <c r="AJ2010" i="208"/>
  <c r="AI2010" i="208"/>
  <c r="AJ2154" i="208"/>
  <c r="AI2154" i="208"/>
  <c r="AJ2298" i="208"/>
  <c r="AI2298" i="208"/>
  <c r="AJ2442" i="208"/>
  <c r="AI2442" i="208"/>
  <c r="AJ2586" i="208"/>
  <c r="AI2586" i="208"/>
  <c r="AJ2730" i="208"/>
  <c r="AI2730" i="208"/>
  <c r="AJ2874" i="208"/>
  <c r="AI2874" i="208"/>
  <c r="AJ1107" i="208"/>
  <c r="AI1107" i="208"/>
  <c r="AJ313" i="208"/>
  <c r="AI313" i="208"/>
  <c r="AJ457" i="208"/>
  <c r="AI457" i="208"/>
  <c r="AJ601" i="208"/>
  <c r="AI601" i="208"/>
  <c r="AJ745" i="208"/>
  <c r="AI745" i="208"/>
  <c r="AJ889" i="208"/>
  <c r="AI889" i="208"/>
  <c r="AJ1033" i="208"/>
  <c r="AI1033" i="208"/>
  <c r="AJ1177" i="208"/>
  <c r="AI1177" i="208"/>
  <c r="AJ1321" i="208"/>
  <c r="AI1321" i="208"/>
  <c r="AJ1465" i="208"/>
  <c r="AI1465" i="208"/>
  <c r="AJ1609" i="208"/>
  <c r="AI1609" i="208"/>
  <c r="AJ1753" i="208"/>
  <c r="AI1753" i="208"/>
  <c r="AJ1897" i="208"/>
  <c r="AI1897" i="208"/>
  <c r="AJ2041" i="208"/>
  <c r="AI2041" i="208"/>
  <c r="AJ2185" i="208"/>
  <c r="AI2185" i="208"/>
  <c r="AJ2329" i="208"/>
  <c r="AI2329" i="208"/>
  <c r="AJ2473" i="208"/>
  <c r="AI2473" i="208"/>
  <c r="AJ2617" i="208"/>
  <c r="AI2617" i="208"/>
  <c r="AJ2761" i="208"/>
  <c r="AI2761" i="208"/>
  <c r="AJ2905" i="208"/>
  <c r="AI2905" i="208"/>
  <c r="AJ975" i="208"/>
  <c r="AI975" i="208"/>
  <c r="AJ1923" i="208"/>
  <c r="AI1923" i="208"/>
  <c r="AJ308" i="208"/>
  <c r="AI308" i="208"/>
  <c r="AJ452" i="208"/>
  <c r="AI452" i="208"/>
  <c r="AJ596" i="208"/>
  <c r="AI596" i="208"/>
  <c r="AJ740" i="208"/>
  <c r="AI740" i="208"/>
  <c r="AJ884" i="208"/>
  <c r="AI884" i="208"/>
  <c r="AJ1028" i="208"/>
  <c r="AI1028" i="208"/>
  <c r="AJ1172" i="208"/>
  <c r="AI1172" i="208"/>
  <c r="AJ1316" i="208"/>
  <c r="AI1316" i="208"/>
  <c r="AJ1460" i="208"/>
  <c r="AI1460" i="208"/>
  <c r="AJ1604" i="208"/>
  <c r="AI1604" i="208"/>
  <c r="AJ1748" i="208"/>
  <c r="AI1748" i="208"/>
  <c r="AJ1892" i="208"/>
  <c r="AI1892" i="208"/>
  <c r="AJ2036" i="208"/>
  <c r="AI2036" i="208"/>
  <c r="AJ2180" i="208"/>
  <c r="AI2180" i="208"/>
  <c r="AJ2324" i="208"/>
  <c r="AI2324" i="208"/>
  <c r="AJ2468" i="208"/>
  <c r="AI2468" i="208"/>
  <c r="AJ2612" i="208"/>
  <c r="AI2612" i="208"/>
  <c r="AJ2756" i="208"/>
  <c r="AI2756" i="208"/>
  <c r="AJ2900" i="208"/>
  <c r="AI2900" i="208"/>
  <c r="AJ567" i="208"/>
  <c r="AI567" i="208"/>
  <c r="P2175" i="208"/>
  <c r="AJ2175" i="208"/>
  <c r="AI2175" i="208"/>
  <c r="P327" i="208"/>
  <c r="AJ327" i="208"/>
  <c r="AI327" i="208"/>
  <c r="H140" i="29"/>
  <c r="I137" i="29"/>
  <c r="G127" i="29"/>
  <c r="I124" i="29"/>
  <c r="H108" i="29"/>
  <c r="G90" i="29"/>
  <c r="H86" i="29"/>
  <c r="H76" i="29"/>
  <c r="I72" i="29"/>
  <c r="G65" i="29"/>
  <c r="H61" i="29"/>
  <c r="I57" i="29"/>
  <c r="H51" i="29"/>
  <c r="I48" i="29"/>
  <c r="G43" i="29"/>
  <c r="H40" i="29"/>
  <c r="I36" i="29"/>
  <c r="G30" i="29"/>
  <c r="H27" i="29"/>
  <c r="G21" i="29"/>
  <c r="I142" i="29"/>
  <c r="G140" i="29"/>
  <c r="H137" i="29"/>
  <c r="I133" i="29"/>
  <c r="I130" i="29"/>
  <c r="H124" i="29"/>
  <c r="G108" i="29"/>
  <c r="I92" i="29"/>
  <c r="G86" i="29"/>
  <c r="I82" i="29"/>
  <c r="G76" i="29"/>
  <c r="H72" i="29"/>
  <c r="I67" i="29"/>
  <c r="H142" i="29"/>
  <c r="G137" i="29"/>
  <c r="H133" i="29"/>
  <c r="H130" i="29"/>
  <c r="G124" i="29"/>
  <c r="I120" i="29"/>
  <c r="H92" i="29"/>
  <c r="I89" i="29"/>
  <c r="H82" i="29"/>
  <c r="I78" i="29"/>
  <c r="G72" i="29"/>
  <c r="H67" i="29"/>
  <c r="I63" i="29"/>
  <c r="G57" i="29"/>
  <c r="H54" i="29"/>
  <c r="G48" i="29"/>
  <c r="H45" i="29"/>
  <c r="I42" i="29"/>
  <c r="G36" i="29"/>
  <c r="I33" i="29"/>
  <c r="H23" i="29"/>
  <c r="I20" i="29"/>
  <c r="G142" i="29"/>
  <c r="I139" i="29"/>
  <c r="G133" i="29"/>
  <c r="G130" i="29"/>
  <c r="I126" i="29"/>
  <c r="H120" i="29"/>
  <c r="G92" i="29"/>
  <c r="H89" i="29"/>
  <c r="I85" i="29"/>
  <c r="G82" i="29"/>
  <c r="H78" i="29"/>
  <c r="I74" i="29"/>
  <c r="G67" i="29"/>
  <c r="H63" i="29"/>
  <c r="G54" i="29"/>
  <c r="I50" i="29"/>
  <c r="G45" i="29"/>
  <c r="H42" i="29"/>
  <c r="H33" i="29"/>
  <c r="I29" i="29"/>
  <c r="H139" i="29"/>
  <c r="I136" i="29"/>
  <c r="H126" i="29"/>
  <c r="I123" i="29"/>
  <c r="G120" i="29"/>
  <c r="I94" i="29"/>
  <c r="G89" i="29"/>
  <c r="H85" i="29"/>
  <c r="G78" i="29"/>
  <c r="H74" i="29"/>
  <c r="I69" i="29"/>
  <c r="G63" i="29"/>
  <c r="I60" i="29"/>
  <c r="H50" i="29"/>
  <c r="I47" i="29"/>
  <c r="G42" i="29"/>
  <c r="I39" i="29"/>
  <c r="G33" i="29"/>
  <c r="H29" i="29"/>
  <c r="I26" i="29"/>
  <c r="G20" i="29"/>
  <c r="G139" i="29"/>
  <c r="H136" i="29"/>
  <c r="I132" i="29"/>
  <c r="I128" i="29"/>
  <c r="G126" i="29"/>
  <c r="H123" i="29"/>
  <c r="H94" i="29"/>
  <c r="G85" i="29"/>
  <c r="I81" i="29"/>
  <c r="G74" i="29"/>
  <c r="H69" i="29"/>
  <c r="H60" i="29"/>
  <c r="I56" i="29"/>
  <c r="G50" i="29"/>
  <c r="H47" i="29"/>
  <c r="I44" i="29"/>
  <c r="H39" i="29"/>
  <c r="I35" i="29"/>
  <c r="G29" i="29"/>
  <c r="H26" i="29"/>
  <c r="I22" i="29"/>
  <c r="G141" i="29"/>
  <c r="I138" i="29"/>
  <c r="H125" i="29"/>
  <c r="G119" i="29"/>
  <c r="G91" i="29"/>
  <c r="H88" i="29"/>
  <c r="I84" i="29"/>
  <c r="G77" i="29"/>
  <c r="H73" i="29"/>
  <c r="I68" i="29"/>
  <c r="G66" i="29"/>
  <c r="H62" i="29"/>
  <c r="I59" i="29"/>
  <c r="G53" i="29"/>
  <c r="H49" i="29"/>
  <c r="G41" i="29"/>
  <c r="I37" i="29"/>
  <c r="G32" i="29"/>
  <c r="H28" i="29"/>
  <c r="H138" i="29"/>
  <c r="I134" i="29"/>
  <c r="I131" i="29"/>
  <c r="G125" i="29"/>
  <c r="I121" i="29"/>
  <c r="I93" i="29"/>
  <c r="G88" i="29"/>
  <c r="H84" i="29"/>
  <c r="I79" i="29"/>
  <c r="G73" i="29"/>
  <c r="H68" i="29"/>
  <c r="G62" i="29"/>
  <c r="H59" i="29"/>
  <c r="I55" i="29"/>
  <c r="G49" i="29"/>
  <c r="I46" i="29"/>
  <c r="H37" i="29"/>
  <c r="I34" i="29"/>
  <c r="G138" i="29"/>
  <c r="H134" i="29"/>
  <c r="H131" i="29"/>
  <c r="I127" i="29"/>
  <c r="H121" i="29"/>
  <c r="H93" i="29"/>
  <c r="I90" i="29"/>
  <c r="G84" i="29"/>
  <c r="H79" i="29"/>
  <c r="G68" i="29"/>
  <c r="I65" i="29"/>
  <c r="G59" i="29"/>
  <c r="H55" i="29"/>
  <c r="H46" i="29"/>
  <c r="I43" i="29"/>
  <c r="G37" i="29"/>
  <c r="H34" i="29"/>
  <c r="I30" i="29"/>
  <c r="H24" i="29"/>
  <c r="I21" i="29"/>
  <c r="G12" i="29"/>
  <c r="I140" i="29"/>
  <c r="G134" i="29"/>
  <c r="G131" i="29"/>
  <c r="H127" i="29"/>
  <c r="G121" i="29"/>
  <c r="I108" i="29"/>
  <c r="G93" i="29"/>
  <c r="H90" i="29"/>
  <c r="I86" i="29"/>
  <c r="G79" i="29"/>
  <c r="I76" i="29"/>
  <c r="H65" i="29"/>
  <c r="I61" i="29"/>
  <c r="G55" i="29"/>
  <c r="I51" i="29"/>
  <c r="G46" i="29"/>
  <c r="H43" i="29"/>
  <c r="I40" i="29"/>
  <c r="G34" i="29"/>
  <c r="H30" i="29"/>
  <c r="I27" i="29"/>
  <c r="G24" i="29"/>
  <c r="H21" i="29"/>
  <c r="I125" i="29"/>
  <c r="H77" i="29"/>
  <c r="H57" i="29"/>
  <c r="I45" i="29"/>
  <c r="I23" i="29"/>
  <c r="H12" i="29"/>
  <c r="I141" i="29"/>
  <c r="G123" i="29"/>
  <c r="G94" i="29"/>
  <c r="H56" i="29"/>
  <c r="H44" i="29"/>
  <c r="I32" i="29"/>
  <c r="G23" i="29"/>
  <c r="H141" i="29"/>
  <c r="I73" i="29"/>
  <c r="G56" i="29"/>
  <c r="G44" i="29"/>
  <c r="H32" i="29"/>
  <c r="H22" i="29"/>
  <c r="I119" i="29"/>
  <c r="I91" i="29"/>
  <c r="G69" i="29"/>
  <c r="I54" i="29"/>
  <c r="G22" i="29"/>
  <c r="H119" i="29"/>
  <c r="H91" i="29"/>
  <c r="I53" i="29"/>
  <c r="I41" i="29"/>
  <c r="G136" i="29"/>
  <c r="I66" i="29"/>
  <c r="H53" i="29"/>
  <c r="H41" i="29"/>
  <c r="I28" i="29"/>
  <c r="I88" i="29"/>
  <c r="H66" i="29"/>
  <c r="G51" i="29"/>
  <c r="G40" i="29"/>
  <c r="G28" i="29"/>
  <c r="H20" i="29"/>
  <c r="G132" i="29"/>
  <c r="I62" i="29"/>
  <c r="I49" i="29"/>
  <c r="H128" i="29"/>
  <c r="H81" i="29"/>
  <c r="G61" i="29"/>
  <c r="H48" i="29"/>
  <c r="H36" i="29"/>
  <c r="G26" i="29"/>
  <c r="I12" i="29"/>
  <c r="G39" i="29"/>
  <c r="H35" i="29"/>
  <c r="G35" i="29"/>
  <c r="G27" i="29"/>
  <c r="G81" i="29"/>
  <c r="I77" i="29"/>
  <c r="I24" i="29"/>
  <c r="G128" i="29"/>
  <c r="G47" i="29"/>
  <c r="H132" i="29"/>
  <c r="G60" i="29"/>
  <c r="P7" i="208"/>
  <c r="AJ7" i="208"/>
  <c r="AI7" i="208"/>
  <c r="P16" i="208"/>
  <c r="AJ16" i="208"/>
  <c r="AI16" i="208"/>
  <c r="P25" i="208"/>
  <c r="AJ25" i="208"/>
  <c r="AI25" i="208"/>
  <c r="P34" i="208"/>
  <c r="AJ34" i="208"/>
  <c r="AI34" i="208"/>
  <c r="P43" i="208"/>
  <c r="AJ43" i="208"/>
  <c r="AI43" i="208"/>
  <c r="P52" i="208"/>
  <c r="AJ52" i="208"/>
  <c r="AI52" i="208"/>
  <c r="P61" i="208"/>
  <c r="AJ61" i="208"/>
  <c r="AI61" i="208"/>
  <c r="P70" i="208"/>
  <c r="AJ70" i="208"/>
  <c r="AI70" i="208"/>
  <c r="P79" i="208"/>
  <c r="AJ79" i="208"/>
  <c r="AI79" i="208"/>
  <c r="P88" i="208"/>
  <c r="AJ88" i="208"/>
  <c r="AI88" i="208"/>
  <c r="P97" i="208"/>
  <c r="AJ97" i="208"/>
  <c r="AI97" i="208"/>
  <c r="P106" i="208"/>
  <c r="AJ106" i="208"/>
  <c r="AI106" i="208"/>
  <c r="P115" i="208"/>
  <c r="AJ115" i="208"/>
  <c r="AI115" i="208"/>
  <c r="P124" i="208"/>
  <c r="AJ124" i="208"/>
  <c r="AI124" i="208"/>
  <c r="P133" i="208"/>
  <c r="AJ133" i="208"/>
  <c r="AI133" i="208"/>
  <c r="P142" i="208"/>
  <c r="AJ142" i="208"/>
  <c r="AI142" i="208"/>
  <c r="P151" i="208"/>
  <c r="AJ151" i="208"/>
  <c r="AI151" i="208"/>
  <c r="P160" i="208"/>
  <c r="AJ160" i="208"/>
  <c r="AI160" i="208"/>
  <c r="P169" i="208"/>
  <c r="AJ169" i="208"/>
  <c r="AI169" i="208"/>
  <c r="P178" i="208"/>
  <c r="AJ178" i="208"/>
  <c r="AI178" i="208"/>
  <c r="P187" i="208"/>
  <c r="AJ187" i="208"/>
  <c r="AI187" i="208"/>
  <c r="P196" i="208"/>
  <c r="AJ196" i="208"/>
  <c r="AI196" i="208"/>
  <c r="P205" i="208"/>
  <c r="AJ205" i="208"/>
  <c r="AI205" i="208"/>
  <c r="P214" i="208"/>
  <c r="AJ214" i="208"/>
  <c r="AI214" i="208"/>
  <c r="P223" i="208"/>
  <c r="AJ223" i="208"/>
  <c r="AI223" i="208"/>
  <c r="P232" i="208"/>
  <c r="AJ232" i="208"/>
  <c r="AI232" i="208"/>
  <c r="P241" i="208"/>
  <c r="AJ241" i="208"/>
  <c r="AI241" i="208"/>
  <c r="P250" i="208"/>
  <c r="AJ250" i="208"/>
  <c r="AI250" i="208"/>
  <c r="P259" i="208"/>
  <c r="AJ259" i="208"/>
  <c r="AI259" i="208"/>
  <c r="P268" i="208"/>
  <c r="AJ268" i="208"/>
  <c r="AI268" i="208"/>
  <c r="P283" i="208"/>
  <c r="AJ283" i="208"/>
  <c r="AI283" i="208"/>
  <c r="P273" i="208"/>
  <c r="AJ273" i="208"/>
  <c r="AI273" i="208"/>
  <c r="P272" i="208"/>
  <c r="AJ272" i="208"/>
  <c r="AI272" i="208"/>
  <c r="P287" i="208"/>
  <c r="AJ287" i="208"/>
  <c r="AI287" i="208"/>
  <c r="P322" i="208"/>
  <c r="AJ322" i="208"/>
  <c r="AI322" i="208"/>
  <c r="P466" i="208"/>
  <c r="AJ466" i="208"/>
  <c r="AI466" i="208"/>
  <c r="AJ610" i="208"/>
  <c r="AI610" i="208"/>
  <c r="P754" i="208"/>
  <c r="AJ754" i="208"/>
  <c r="AI754" i="208"/>
  <c r="AJ898" i="208"/>
  <c r="AI898" i="208"/>
  <c r="P1042" i="208"/>
  <c r="AJ1042" i="208"/>
  <c r="AI1042" i="208"/>
  <c r="P1186" i="208"/>
  <c r="AJ1186" i="208"/>
  <c r="AI1186" i="208"/>
  <c r="P1330" i="208"/>
  <c r="AJ1330" i="208"/>
  <c r="AI1330" i="208"/>
  <c r="P1474" i="208"/>
  <c r="AJ1474" i="208"/>
  <c r="AI1474" i="208"/>
  <c r="P1618" i="208"/>
  <c r="AJ1618" i="208"/>
  <c r="AI1618" i="208"/>
  <c r="P1762" i="208"/>
  <c r="AJ1762" i="208"/>
  <c r="AI1762" i="208"/>
  <c r="P1906" i="208"/>
  <c r="AJ1906" i="208"/>
  <c r="AI1906" i="208"/>
  <c r="P2050" i="208"/>
  <c r="AJ2050" i="208"/>
  <c r="AI2050" i="208"/>
  <c r="P2194" i="208"/>
  <c r="AJ2194" i="208"/>
  <c r="AI2194" i="208"/>
  <c r="P2338" i="208"/>
  <c r="AJ2338" i="208"/>
  <c r="AI2338" i="208"/>
  <c r="P2482" i="208"/>
  <c r="AJ2482" i="208"/>
  <c r="AI2482" i="208"/>
  <c r="P2626" i="208"/>
  <c r="AJ2626" i="208"/>
  <c r="AI2626" i="208"/>
  <c r="P2770" i="208"/>
  <c r="AJ2770" i="208"/>
  <c r="AI2770" i="208"/>
  <c r="P2914" i="208"/>
  <c r="AJ2914" i="208"/>
  <c r="AI2914" i="208"/>
  <c r="AJ723" i="208"/>
  <c r="AI723" i="208"/>
  <c r="P2451" i="208"/>
  <c r="AJ2451" i="208"/>
  <c r="AI2451" i="208"/>
  <c r="P377" i="208"/>
  <c r="AJ377" i="208"/>
  <c r="AI377" i="208"/>
  <c r="P521" i="208"/>
  <c r="AJ521" i="208"/>
  <c r="AI521" i="208"/>
  <c r="AJ665" i="208"/>
  <c r="AI665" i="208"/>
  <c r="P809" i="208"/>
  <c r="AJ809" i="208"/>
  <c r="AI809" i="208"/>
  <c r="P953" i="208"/>
  <c r="AJ953" i="208"/>
  <c r="AI953" i="208"/>
  <c r="P1097" i="208"/>
  <c r="AJ1097" i="208"/>
  <c r="AI1097" i="208"/>
  <c r="P1241" i="208"/>
  <c r="AJ1241" i="208"/>
  <c r="AI1241" i="208"/>
  <c r="P1385" i="208"/>
  <c r="AJ1385" i="208"/>
  <c r="AI1385" i="208"/>
  <c r="P1529" i="208"/>
  <c r="AJ1529" i="208"/>
  <c r="AI1529" i="208"/>
  <c r="P1673" i="208"/>
  <c r="AJ1673" i="208"/>
  <c r="AI1673" i="208"/>
  <c r="P1817" i="208"/>
  <c r="AJ1817" i="208"/>
  <c r="AI1817" i="208"/>
  <c r="P1961" i="208"/>
  <c r="AJ1961" i="208"/>
  <c r="AI1961" i="208"/>
  <c r="P2105" i="208"/>
  <c r="AJ2105" i="208"/>
  <c r="AI2105" i="208"/>
  <c r="P2249" i="208"/>
  <c r="AJ2249" i="208"/>
  <c r="AI2249" i="208"/>
  <c r="P2393" i="208"/>
  <c r="AJ2393" i="208"/>
  <c r="AI2393" i="208"/>
  <c r="P2537" i="208"/>
  <c r="AJ2537" i="208"/>
  <c r="AI2537" i="208"/>
  <c r="P2681" i="208"/>
  <c r="AJ2681" i="208"/>
  <c r="AI2681" i="208"/>
  <c r="P2825" i="208"/>
  <c r="AJ2825" i="208"/>
  <c r="AI2825" i="208"/>
  <c r="P2969" i="208"/>
  <c r="AJ2969" i="208"/>
  <c r="AI2969" i="208"/>
  <c r="P2343" i="208"/>
  <c r="AJ2343" i="208"/>
  <c r="AI2343" i="208"/>
  <c r="P324" i="208"/>
  <c r="AJ324" i="208"/>
  <c r="AI324" i="208"/>
  <c r="P468" i="208"/>
  <c r="AJ468" i="208"/>
  <c r="AI468" i="208"/>
  <c r="P612" i="208"/>
  <c r="AJ612" i="208"/>
  <c r="AI612" i="208"/>
  <c r="P756" i="208"/>
  <c r="AJ756" i="208"/>
  <c r="AI756" i="208"/>
  <c r="P900" i="208"/>
  <c r="AJ900" i="208"/>
  <c r="AI900" i="208"/>
  <c r="P1044" i="208"/>
  <c r="AJ1044" i="208"/>
  <c r="AI1044" i="208"/>
  <c r="P1188" i="208"/>
  <c r="AJ1188" i="208"/>
  <c r="AI1188" i="208"/>
  <c r="P1332" i="208"/>
  <c r="AJ1332" i="208"/>
  <c r="AI1332" i="208"/>
  <c r="P1476" i="208"/>
  <c r="AJ1476" i="208"/>
  <c r="AI1476" i="208"/>
  <c r="P1620" i="208"/>
  <c r="AJ1620" i="208"/>
  <c r="AI1620" i="208"/>
  <c r="P1764" i="208"/>
  <c r="AJ1764" i="208"/>
  <c r="AI1764" i="208"/>
  <c r="P1908" i="208"/>
  <c r="AJ1908" i="208"/>
  <c r="AI1908" i="208"/>
  <c r="P2052" i="208"/>
  <c r="AJ2052" i="208"/>
  <c r="AI2052" i="208"/>
  <c r="P2196" i="208"/>
  <c r="AJ2196" i="208"/>
  <c r="AI2196" i="208"/>
  <c r="P2340" i="208"/>
  <c r="AJ2340" i="208"/>
  <c r="AI2340" i="208"/>
  <c r="P2484" i="208"/>
  <c r="AJ2484" i="208"/>
  <c r="AI2484" i="208"/>
  <c r="P2628" i="208"/>
  <c r="AJ2628" i="208"/>
  <c r="AI2628" i="208"/>
  <c r="P2772" i="208"/>
  <c r="AJ2772" i="208"/>
  <c r="AI2772" i="208"/>
  <c r="P2916" i="208"/>
  <c r="AJ2916" i="208"/>
  <c r="AI2916" i="208"/>
  <c r="P1119" i="208"/>
  <c r="AJ1119" i="208"/>
  <c r="AI1119" i="208"/>
  <c r="P2487" i="208"/>
  <c r="AJ2487" i="208"/>
  <c r="AI2487" i="208"/>
  <c r="AJ427" i="208"/>
  <c r="AI427" i="208"/>
  <c r="P571" i="208"/>
  <c r="AJ571" i="208"/>
  <c r="AI571" i="208"/>
  <c r="P715" i="208"/>
  <c r="AJ715" i="208"/>
  <c r="AI715" i="208"/>
  <c r="P859" i="208"/>
  <c r="AJ859" i="208"/>
  <c r="AI859" i="208"/>
  <c r="P1003" i="208"/>
  <c r="AJ1003" i="208"/>
  <c r="AI1003" i="208"/>
  <c r="P1147" i="208"/>
  <c r="AJ1147" i="208"/>
  <c r="AI1147" i="208"/>
  <c r="P1291" i="208"/>
  <c r="AJ1291" i="208"/>
  <c r="AI1291" i="208"/>
  <c r="P1435" i="208"/>
  <c r="AJ1435" i="208"/>
  <c r="AI1435" i="208"/>
  <c r="P1579" i="208"/>
  <c r="AJ1579" i="208"/>
  <c r="AI1579" i="208"/>
  <c r="P1723" i="208"/>
  <c r="AJ1723" i="208"/>
  <c r="AI1723" i="208"/>
  <c r="P1867" i="208"/>
  <c r="AJ1867" i="208"/>
  <c r="AI1867" i="208"/>
  <c r="P2011" i="208"/>
  <c r="AJ2011" i="208"/>
  <c r="AI2011" i="208"/>
  <c r="P2155" i="208"/>
  <c r="AJ2155" i="208"/>
  <c r="AI2155" i="208"/>
  <c r="P2299" i="208"/>
  <c r="AJ2299" i="208"/>
  <c r="AI2299" i="208"/>
  <c r="P2443" i="208"/>
  <c r="AJ2443" i="208"/>
  <c r="AI2443" i="208"/>
  <c r="P2587" i="208"/>
  <c r="AJ2587" i="208"/>
  <c r="AI2587" i="208"/>
  <c r="P2731" i="208"/>
  <c r="AJ2731" i="208"/>
  <c r="AI2731" i="208"/>
  <c r="P2875" i="208"/>
  <c r="AJ2875" i="208"/>
  <c r="AI2875" i="208"/>
  <c r="P807" i="208"/>
  <c r="AJ807" i="208"/>
  <c r="AI807" i="208"/>
  <c r="P2403" i="208"/>
  <c r="AJ2403" i="208"/>
  <c r="AI2403" i="208"/>
  <c r="AJ398" i="208"/>
  <c r="AI398" i="208"/>
  <c r="P542" i="208"/>
  <c r="AJ542" i="208"/>
  <c r="AI542" i="208"/>
  <c r="P686" i="208"/>
  <c r="AJ686" i="208"/>
  <c r="AI686" i="208"/>
  <c r="P830" i="208"/>
  <c r="AJ830" i="208"/>
  <c r="AI830" i="208"/>
  <c r="P974" i="208"/>
  <c r="AJ974" i="208"/>
  <c r="AI974" i="208"/>
  <c r="P1118" i="208"/>
  <c r="AJ1118" i="208"/>
  <c r="AI1118" i="208"/>
  <c r="P1262" i="208"/>
  <c r="AJ1262" i="208"/>
  <c r="AI1262" i="208"/>
  <c r="P1406" i="208"/>
  <c r="AJ1406" i="208"/>
  <c r="AI1406" i="208"/>
  <c r="P1550" i="208"/>
  <c r="AJ1550" i="208"/>
  <c r="AI1550" i="208"/>
  <c r="P1694" i="208"/>
  <c r="AJ1694" i="208"/>
  <c r="AI1694" i="208"/>
  <c r="P1838" i="208"/>
  <c r="AJ1838" i="208"/>
  <c r="AI1838" i="208"/>
  <c r="P1982" i="208"/>
  <c r="AJ1982" i="208"/>
  <c r="AI1982" i="208"/>
  <c r="P2126" i="208"/>
  <c r="AJ2126" i="208"/>
  <c r="AI2126" i="208"/>
  <c r="P2270" i="208"/>
  <c r="AJ2270" i="208"/>
  <c r="AI2270" i="208"/>
  <c r="P2414" i="208"/>
  <c r="AJ2414" i="208"/>
  <c r="AI2414" i="208"/>
  <c r="P2558" i="208"/>
  <c r="AJ2558" i="208"/>
  <c r="AI2558" i="208"/>
  <c r="P2702" i="208"/>
  <c r="AJ2702" i="208"/>
  <c r="AI2702" i="208"/>
  <c r="P2846" i="208"/>
  <c r="AJ2846" i="208"/>
  <c r="AI2846" i="208"/>
  <c r="P2990" i="208"/>
  <c r="AJ2990" i="208"/>
  <c r="AI2990" i="208"/>
  <c r="P2511" i="208"/>
  <c r="AJ2511" i="208"/>
  <c r="AI2511" i="208"/>
  <c r="P429" i="208"/>
  <c r="AJ429" i="208"/>
  <c r="AI429" i="208"/>
  <c r="P573" i="208"/>
  <c r="AJ573" i="208"/>
  <c r="AI573" i="208"/>
  <c r="AJ717" i="208"/>
  <c r="AI717" i="208"/>
  <c r="AJ861" i="208"/>
  <c r="AI861" i="208"/>
  <c r="P1005" i="208"/>
  <c r="AJ1005" i="208"/>
  <c r="AI1005" i="208"/>
  <c r="P1149" i="208"/>
  <c r="AJ1149" i="208"/>
  <c r="AI1149" i="208"/>
  <c r="P1293" i="208"/>
  <c r="AJ1293" i="208"/>
  <c r="AI1293" i="208"/>
  <c r="P1437" i="208"/>
  <c r="AJ1437" i="208"/>
  <c r="AI1437" i="208"/>
  <c r="P1581" i="208"/>
  <c r="AJ1581" i="208"/>
  <c r="AI1581" i="208"/>
  <c r="P1725" i="208"/>
  <c r="AJ1725" i="208"/>
  <c r="AI1725" i="208"/>
  <c r="P1869" i="208"/>
  <c r="AJ1869" i="208"/>
  <c r="AI1869" i="208"/>
  <c r="P2013" i="208"/>
  <c r="AJ2013" i="208"/>
  <c r="AI2013" i="208"/>
  <c r="P2157" i="208"/>
  <c r="AJ2157" i="208"/>
  <c r="AI2157" i="208"/>
  <c r="P2301" i="208"/>
  <c r="AJ2301" i="208"/>
  <c r="AI2301" i="208"/>
  <c r="P2445" i="208"/>
  <c r="AJ2445" i="208"/>
  <c r="AI2445" i="208"/>
  <c r="P2589" i="208"/>
  <c r="AJ2589" i="208"/>
  <c r="AI2589" i="208"/>
  <c r="P2733" i="208"/>
  <c r="AJ2733" i="208"/>
  <c r="AI2733" i="208"/>
  <c r="P2877" i="208"/>
  <c r="AJ2877" i="208"/>
  <c r="AI2877" i="208"/>
  <c r="P603" i="208"/>
  <c r="AJ603" i="208"/>
  <c r="AI603" i="208"/>
  <c r="P1731" i="208"/>
  <c r="AJ1731" i="208"/>
  <c r="AI1731" i="208"/>
  <c r="P2607" i="208"/>
  <c r="AJ2607" i="208"/>
  <c r="AI2607" i="208"/>
  <c r="AJ424" i="208"/>
  <c r="AI424" i="208"/>
  <c r="P568" i="208"/>
  <c r="AJ568" i="208"/>
  <c r="AI568" i="208"/>
  <c r="AJ712" i="208"/>
  <c r="AI712" i="208"/>
  <c r="AJ856" i="208"/>
  <c r="AI856" i="208"/>
  <c r="P1000" i="208"/>
  <c r="AJ1000" i="208"/>
  <c r="AI1000" i="208"/>
  <c r="P1144" i="208"/>
  <c r="AJ1144" i="208"/>
  <c r="AI1144" i="208"/>
  <c r="P1288" i="208"/>
  <c r="AJ1288" i="208"/>
  <c r="AI1288" i="208"/>
  <c r="P1432" i="208"/>
  <c r="AJ1432" i="208"/>
  <c r="AI1432" i="208"/>
  <c r="P1576" i="208"/>
  <c r="AJ1576" i="208"/>
  <c r="AI1576" i="208"/>
  <c r="P1720" i="208"/>
  <c r="AJ1720" i="208"/>
  <c r="AI1720" i="208"/>
  <c r="P1864" i="208"/>
  <c r="AJ1864" i="208"/>
  <c r="AI1864" i="208"/>
  <c r="P2008" i="208"/>
  <c r="AJ2008" i="208"/>
  <c r="AI2008" i="208"/>
  <c r="P2152" i="208"/>
  <c r="AJ2152" i="208"/>
  <c r="AI2152" i="208"/>
  <c r="P2296" i="208"/>
  <c r="AJ2296" i="208"/>
  <c r="AI2296" i="208"/>
  <c r="P2440" i="208"/>
  <c r="AJ2440" i="208"/>
  <c r="AI2440" i="208"/>
  <c r="P2584" i="208"/>
  <c r="AJ2584" i="208"/>
  <c r="AI2584" i="208"/>
  <c r="P2728" i="208"/>
  <c r="AJ2728" i="208"/>
  <c r="AI2728" i="208"/>
  <c r="P2872" i="208"/>
  <c r="AJ2872" i="208"/>
  <c r="AI2872" i="208"/>
  <c r="AJ675" i="208"/>
  <c r="AI675" i="208"/>
  <c r="P2067" i="208"/>
  <c r="AJ2067" i="208"/>
  <c r="AI2067" i="208"/>
  <c r="P323" i="208"/>
  <c r="AJ323" i="208"/>
  <c r="AI323" i="208"/>
  <c r="P467" i="208"/>
  <c r="AJ467" i="208"/>
  <c r="AI467" i="208"/>
  <c r="P611" i="208"/>
  <c r="AJ611" i="208"/>
  <c r="AI611" i="208"/>
  <c r="P755" i="208"/>
  <c r="AJ755" i="208"/>
  <c r="AI755" i="208"/>
  <c r="P899" i="208"/>
  <c r="AJ899" i="208"/>
  <c r="AI899" i="208"/>
  <c r="P1043" i="208"/>
  <c r="AJ1043" i="208"/>
  <c r="AI1043" i="208"/>
  <c r="P1187" i="208"/>
  <c r="AJ1187" i="208"/>
  <c r="AI1187" i="208"/>
  <c r="P1331" i="208"/>
  <c r="AJ1331" i="208"/>
  <c r="AI1331" i="208"/>
  <c r="P1475" i="208"/>
  <c r="AJ1475" i="208"/>
  <c r="AI1475" i="208"/>
  <c r="P1619" i="208"/>
  <c r="AJ1619" i="208"/>
  <c r="AI1619" i="208"/>
  <c r="P1763" i="208"/>
  <c r="AJ1763" i="208"/>
  <c r="AI1763" i="208"/>
  <c r="P1907" i="208"/>
  <c r="AJ1907" i="208"/>
  <c r="AI1907" i="208"/>
  <c r="P2051" i="208"/>
  <c r="AJ2051" i="208"/>
  <c r="AI2051" i="208"/>
  <c r="P2195" i="208"/>
  <c r="AJ2195" i="208"/>
  <c r="AI2195" i="208"/>
  <c r="P2339" i="208"/>
  <c r="AJ2339" i="208"/>
  <c r="AI2339" i="208"/>
  <c r="P2483" i="208"/>
  <c r="AJ2483" i="208"/>
  <c r="AI2483" i="208"/>
  <c r="P2627" i="208"/>
  <c r="AJ2627" i="208"/>
  <c r="AI2627" i="208"/>
  <c r="P2771" i="208"/>
  <c r="AJ2771" i="208"/>
  <c r="AI2771" i="208"/>
  <c r="P2915" i="208"/>
  <c r="AJ2915" i="208"/>
  <c r="AI2915" i="208"/>
  <c r="AJ819" i="208"/>
  <c r="AI819" i="208"/>
  <c r="AJ305" i="208"/>
  <c r="AI305" i="208"/>
  <c r="P438" i="208"/>
  <c r="AJ438" i="208"/>
  <c r="AI438" i="208"/>
  <c r="P582" i="208"/>
  <c r="AJ582" i="208"/>
  <c r="AI582" i="208"/>
  <c r="P726" i="208"/>
  <c r="AJ726" i="208"/>
  <c r="AI726" i="208"/>
  <c r="AJ870" i="208"/>
  <c r="AI870" i="208"/>
  <c r="P1014" i="208"/>
  <c r="AJ1014" i="208"/>
  <c r="AI1014" i="208"/>
  <c r="P1158" i="208"/>
  <c r="AJ1158" i="208"/>
  <c r="AI1158" i="208"/>
  <c r="P1302" i="208"/>
  <c r="AJ1302" i="208"/>
  <c r="AI1302" i="208"/>
  <c r="P1446" i="208"/>
  <c r="AJ1446" i="208"/>
  <c r="AI1446" i="208"/>
  <c r="P1590" i="208"/>
  <c r="AJ1590" i="208"/>
  <c r="AI1590" i="208"/>
  <c r="P1734" i="208"/>
  <c r="AJ1734" i="208"/>
  <c r="AI1734" i="208"/>
  <c r="P1878" i="208"/>
  <c r="AJ1878" i="208"/>
  <c r="AI1878" i="208"/>
  <c r="P2022" i="208"/>
  <c r="AJ2022" i="208"/>
  <c r="AI2022" i="208"/>
  <c r="P2166" i="208"/>
  <c r="AJ2166" i="208"/>
  <c r="AI2166" i="208"/>
  <c r="P2310" i="208"/>
  <c r="AJ2310" i="208"/>
  <c r="AI2310" i="208"/>
  <c r="P2454" i="208"/>
  <c r="AJ2454" i="208"/>
  <c r="AI2454" i="208"/>
  <c r="P2598" i="208"/>
  <c r="AJ2598" i="208"/>
  <c r="AI2598" i="208"/>
  <c r="P2742" i="208"/>
  <c r="AJ2742" i="208"/>
  <c r="AI2742" i="208"/>
  <c r="P2886" i="208"/>
  <c r="AJ2886" i="208"/>
  <c r="AI2886" i="208"/>
  <c r="P1155" i="208"/>
  <c r="AJ1155" i="208"/>
  <c r="AI1155" i="208"/>
  <c r="P325" i="208"/>
  <c r="AJ325" i="208"/>
  <c r="AI325" i="208"/>
  <c r="AJ469" i="208"/>
  <c r="AI469" i="208"/>
  <c r="AJ613" i="208"/>
  <c r="AI613" i="208"/>
  <c r="P757" i="208"/>
  <c r="AJ757" i="208"/>
  <c r="AI757" i="208"/>
  <c r="P901" i="208"/>
  <c r="AJ901" i="208"/>
  <c r="AI901" i="208"/>
  <c r="P1045" i="208"/>
  <c r="AJ1045" i="208"/>
  <c r="AI1045" i="208"/>
  <c r="P1189" i="208"/>
  <c r="AJ1189" i="208"/>
  <c r="AI1189" i="208"/>
  <c r="P1333" i="208"/>
  <c r="AJ1333" i="208"/>
  <c r="AI1333" i="208"/>
  <c r="P1477" i="208"/>
  <c r="AJ1477" i="208"/>
  <c r="AI1477" i="208"/>
  <c r="P1621" i="208"/>
  <c r="AI1621" i="208"/>
  <c r="AJ1621" i="208"/>
  <c r="P1765" i="208"/>
  <c r="AJ1765" i="208"/>
  <c r="AI1765" i="208"/>
  <c r="P1909" i="208"/>
  <c r="AJ1909" i="208"/>
  <c r="AI1909" i="208"/>
  <c r="P2053" i="208"/>
  <c r="AJ2053" i="208"/>
  <c r="AI2053" i="208"/>
  <c r="P2197" i="208"/>
  <c r="AJ2197" i="208"/>
  <c r="AI2197" i="208"/>
  <c r="P2341" i="208"/>
  <c r="AJ2341" i="208"/>
  <c r="AI2341" i="208"/>
  <c r="P2485" i="208"/>
  <c r="AJ2485" i="208"/>
  <c r="AI2485" i="208"/>
  <c r="P2629" i="208"/>
  <c r="AJ2629" i="208"/>
  <c r="AI2629" i="208"/>
  <c r="P2773" i="208"/>
  <c r="AJ2773" i="208"/>
  <c r="AI2773" i="208"/>
  <c r="P2917" i="208"/>
  <c r="AJ2917" i="208"/>
  <c r="AI2917" i="208"/>
  <c r="P999" i="208"/>
  <c r="AJ999" i="208"/>
  <c r="AI999" i="208"/>
  <c r="P2019" i="208"/>
  <c r="AJ2019" i="208"/>
  <c r="AI2019" i="208"/>
  <c r="P320" i="208"/>
  <c r="AJ320" i="208"/>
  <c r="AI320" i="208"/>
  <c r="AJ464" i="208"/>
  <c r="AI464" i="208"/>
  <c r="P608" i="208"/>
  <c r="AI608" i="208"/>
  <c r="AJ608" i="208"/>
  <c r="AJ752" i="208"/>
  <c r="AI752" i="208"/>
  <c r="P896" i="208"/>
  <c r="AJ896" i="208"/>
  <c r="AI896" i="208"/>
  <c r="P1040" i="208"/>
  <c r="AJ1040" i="208"/>
  <c r="AI1040" i="208"/>
  <c r="P1184" i="208"/>
  <c r="AJ1184" i="208"/>
  <c r="AI1184" i="208"/>
  <c r="P1328" i="208"/>
  <c r="AJ1328" i="208"/>
  <c r="AI1328" i="208"/>
  <c r="P1472" i="208"/>
  <c r="AJ1472" i="208"/>
  <c r="AI1472" i="208"/>
  <c r="P1616" i="208"/>
  <c r="AJ1616" i="208"/>
  <c r="AI1616" i="208"/>
  <c r="P1760" i="208"/>
  <c r="AJ1760" i="208"/>
  <c r="AI1760" i="208"/>
  <c r="P1904" i="208"/>
  <c r="AJ1904" i="208"/>
  <c r="AI1904" i="208"/>
  <c r="P2048" i="208"/>
  <c r="AJ2048" i="208"/>
  <c r="AI2048" i="208"/>
  <c r="P2192" i="208"/>
  <c r="AJ2192" i="208"/>
  <c r="AI2192" i="208"/>
  <c r="P2336" i="208"/>
  <c r="AJ2336" i="208"/>
  <c r="AI2336" i="208"/>
  <c r="P2480" i="208"/>
  <c r="AJ2480" i="208"/>
  <c r="AI2480" i="208"/>
  <c r="P2624" i="208"/>
  <c r="AJ2624" i="208"/>
  <c r="AI2624" i="208"/>
  <c r="P2768" i="208"/>
  <c r="AJ2768" i="208"/>
  <c r="AI2768" i="208"/>
  <c r="P2912" i="208"/>
  <c r="AJ2912" i="208"/>
  <c r="AI2912" i="208"/>
  <c r="P627" i="208"/>
  <c r="AJ627" i="208"/>
  <c r="AI627" i="208"/>
  <c r="P2295" i="208"/>
  <c r="AJ2295" i="208"/>
  <c r="AI2295" i="208"/>
  <c r="P339" i="208"/>
  <c r="AJ339" i="208"/>
  <c r="AI339" i="208"/>
  <c r="E134" i="29"/>
  <c r="F134" i="29" s="1"/>
  <c r="E131" i="29"/>
  <c r="F131" i="29" s="1"/>
  <c r="E93" i="29"/>
  <c r="F93" i="29" s="1"/>
  <c r="E84" i="29"/>
  <c r="F84" i="29" s="1"/>
  <c r="E68" i="29"/>
  <c r="F68" i="29" s="1"/>
  <c r="E55" i="29"/>
  <c r="F55" i="29" s="1"/>
  <c r="E46" i="29"/>
  <c r="F46" i="29" s="1"/>
  <c r="E24" i="29"/>
  <c r="F24" i="29" s="1"/>
  <c r="E121" i="29"/>
  <c r="F121" i="29" s="1"/>
  <c r="E90" i="29"/>
  <c r="F90" i="29" s="1"/>
  <c r="E79" i="29"/>
  <c r="F79" i="29" s="1"/>
  <c r="E65" i="29"/>
  <c r="F65" i="29" s="1"/>
  <c r="E140" i="29"/>
  <c r="F140" i="29" s="1"/>
  <c r="E127" i="29"/>
  <c r="F127" i="29" s="1"/>
  <c r="E86" i="29"/>
  <c r="F86" i="29" s="1"/>
  <c r="E76" i="29"/>
  <c r="F76" i="29" s="1"/>
  <c r="E51" i="29"/>
  <c r="F51" i="29" s="1"/>
  <c r="E30" i="29"/>
  <c r="F30" i="29" s="1"/>
  <c r="E17" i="29"/>
  <c r="F17" i="29" s="1"/>
  <c r="E137" i="29"/>
  <c r="F137" i="29" s="1"/>
  <c r="E124" i="29"/>
  <c r="F124" i="29" s="1"/>
  <c r="E108" i="29"/>
  <c r="F108" i="29" s="1"/>
  <c r="E72" i="29"/>
  <c r="F72" i="29" s="1"/>
  <c r="E61" i="29"/>
  <c r="F61" i="29" s="1"/>
  <c r="E48" i="29"/>
  <c r="F48" i="29" s="1"/>
  <c r="E40" i="29"/>
  <c r="F40" i="29" s="1"/>
  <c r="E133" i="29"/>
  <c r="F133" i="29" s="1"/>
  <c r="E130" i="29"/>
  <c r="F130" i="29" s="1"/>
  <c r="E82" i="29"/>
  <c r="F82" i="29" s="1"/>
  <c r="E57" i="29"/>
  <c r="F57" i="29" s="1"/>
  <c r="E45" i="29"/>
  <c r="F45" i="29" s="1"/>
  <c r="E36" i="29"/>
  <c r="F36" i="29" s="1"/>
  <c r="E23" i="29"/>
  <c r="F23" i="29" s="1"/>
  <c r="E142" i="29"/>
  <c r="F142" i="29" s="1"/>
  <c r="E120" i="29"/>
  <c r="F120" i="29" s="1"/>
  <c r="E92" i="29"/>
  <c r="F92" i="29" s="1"/>
  <c r="E78" i="29"/>
  <c r="F78" i="29" s="1"/>
  <c r="E67" i="29"/>
  <c r="F67" i="29" s="1"/>
  <c r="E54" i="29"/>
  <c r="F54" i="29" s="1"/>
  <c r="E42" i="29"/>
  <c r="F42" i="29" s="1"/>
  <c r="E33" i="29"/>
  <c r="F33" i="29" s="1"/>
  <c r="E136" i="29"/>
  <c r="F136" i="29" s="1"/>
  <c r="E132" i="29"/>
  <c r="F132" i="29" s="1"/>
  <c r="E123" i="29"/>
  <c r="F123" i="29" s="1"/>
  <c r="E94" i="29"/>
  <c r="F94" i="29" s="1"/>
  <c r="E81" i="29"/>
  <c r="F81" i="29" s="1"/>
  <c r="E56" i="29"/>
  <c r="F56" i="29" s="1"/>
  <c r="E47" i="29"/>
  <c r="F47" i="29" s="1"/>
  <c r="E35" i="29"/>
  <c r="F35" i="29" s="1"/>
  <c r="E26" i="29"/>
  <c r="F26" i="29" s="1"/>
  <c r="E128" i="29"/>
  <c r="F128" i="29" s="1"/>
  <c r="E119" i="29"/>
  <c r="F119" i="29" s="1"/>
  <c r="E91" i="29"/>
  <c r="F91" i="29" s="1"/>
  <c r="E66" i="29"/>
  <c r="F66" i="29" s="1"/>
  <c r="E44" i="29"/>
  <c r="F44" i="29" s="1"/>
  <c r="E32" i="29"/>
  <c r="F32" i="29" s="1"/>
  <c r="E141" i="29"/>
  <c r="F141" i="29" s="1"/>
  <c r="E88" i="29"/>
  <c r="F88" i="29" s="1"/>
  <c r="E77" i="29"/>
  <c r="F77" i="29" s="1"/>
  <c r="E62" i="29"/>
  <c r="F62" i="29" s="1"/>
  <c r="E53" i="29"/>
  <c r="F53" i="29" s="1"/>
  <c r="E41" i="29"/>
  <c r="F41" i="29" s="1"/>
  <c r="E28" i="29"/>
  <c r="F28" i="29" s="1"/>
  <c r="E18" i="29"/>
  <c r="F18" i="29" s="1"/>
  <c r="E138" i="29"/>
  <c r="F138" i="29" s="1"/>
  <c r="E125" i="29"/>
  <c r="F125" i="29" s="1"/>
  <c r="E73" i="29"/>
  <c r="F73" i="29" s="1"/>
  <c r="E59" i="29"/>
  <c r="F59" i="29" s="1"/>
  <c r="E49" i="29"/>
  <c r="F49" i="29" s="1"/>
  <c r="E37" i="29"/>
  <c r="F37" i="29" s="1"/>
  <c r="E15" i="29"/>
  <c r="F15" i="29" s="1"/>
  <c r="E12" i="29"/>
  <c r="F12" i="29" s="1"/>
  <c r="E34" i="29"/>
  <c r="F34" i="29" s="1"/>
  <c r="E74" i="29"/>
  <c r="F74" i="29" s="1"/>
  <c r="E43" i="29"/>
  <c r="F43" i="29" s="1"/>
  <c r="E16" i="29"/>
  <c r="F16" i="29" s="1"/>
  <c r="E139" i="29"/>
  <c r="F139" i="29" s="1"/>
  <c r="E69" i="29"/>
  <c r="F69" i="29" s="1"/>
  <c r="E29" i="29"/>
  <c r="F29" i="29" s="1"/>
  <c r="E22" i="29"/>
  <c r="F22" i="29" s="1"/>
  <c r="E89" i="29"/>
  <c r="F89" i="29" s="1"/>
  <c r="E21" i="29"/>
  <c r="F21" i="29" s="1"/>
  <c r="E85" i="29"/>
  <c r="F85" i="29" s="1"/>
  <c r="E39" i="29"/>
  <c r="F39" i="29" s="1"/>
  <c r="E27" i="29"/>
  <c r="F27" i="29" s="1"/>
  <c r="E63" i="29"/>
  <c r="F63" i="29" s="1"/>
  <c r="E20" i="29"/>
  <c r="F20" i="29" s="1"/>
  <c r="E50" i="29"/>
  <c r="F50" i="29" s="1"/>
  <c r="E14" i="29"/>
  <c r="F14" i="29" s="1"/>
  <c r="E13" i="29"/>
  <c r="F13" i="29" s="1"/>
  <c r="E126" i="29"/>
  <c r="F126" i="29" s="1"/>
  <c r="E60" i="29"/>
  <c r="F60" i="29" s="1"/>
  <c r="P5" i="208"/>
  <c r="AJ5" i="208"/>
  <c r="AI5" i="208"/>
  <c r="P14" i="208"/>
  <c r="AJ14" i="208"/>
  <c r="AI14" i="208"/>
  <c r="P23" i="208"/>
  <c r="AJ23" i="208"/>
  <c r="AI23" i="208"/>
  <c r="P32" i="208"/>
  <c r="AJ32" i="208"/>
  <c r="AI32" i="208"/>
  <c r="P41" i="208"/>
  <c r="AJ41" i="208"/>
  <c r="AI41" i="208"/>
  <c r="P50" i="208"/>
  <c r="AJ50" i="208"/>
  <c r="AI50" i="208"/>
  <c r="P59" i="208"/>
  <c r="AJ59" i="208"/>
  <c r="AI59" i="208"/>
  <c r="P68" i="208"/>
  <c r="AJ68" i="208"/>
  <c r="AI68" i="208"/>
  <c r="P77" i="208"/>
  <c r="AJ77" i="208"/>
  <c r="AI77" i="208"/>
  <c r="P86" i="208"/>
  <c r="AJ86" i="208"/>
  <c r="AI86" i="208"/>
  <c r="P95" i="208"/>
  <c r="AJ95" i="208"/>
  <c r="AI95" i="208"/>
  <c r="P104" i="208"/>
  <c r="AJ104" i="208"/>
  <c r="AI104" i="208"/>
  <c r="P113" i="208"/>
  <c r="AJ113" i="208"/>
  <c r="AI113" i="208"/>
  <c r="P122" i="208"/>
  <c r="AJ122" i="208"/>
  <c r="AI122" i="208"/>
  <c r="P131" i="208"/>
  <c r="AJ131" i="208"/>
  <c r="AI131" i="208"/>
  <c r="P140" i="208"/>
  <c r="AJ140" i="208"/>
  <c r="AI140" i="208"/>
  <c r="P149" i="208"/>
  <c r="AJ149" i="208"/>
  <c r="AI149" i="208"/>
  <c r="P158" i="208"/>
  <c r="AJ158" i="208"/>
  <c r="AI158" i="208"/>
  <c r="P167" i="208"/>
  <c r="AJ167" i="208"/>
  <c r="AI167" i="208"/>
  <c r="P176" i="208"/>
  <c r="AJ176" i="208"/>
  <c r="AI176" i="208"/>
  <c r="P185" i="208"/>
  <c r="AJ185" i="208"/>
  <c r="AI185" i="208"/>
  <c r="P194" i="208"/>
  <c r="AJ194" i="208"/>
  <c r="AI194" i="208"/>
  <c r="P203" i="208"/>
  <c r="AJ203" i="208"/>
  <c r="AI203" i="208"/>
  <c r="P212" i="208"/>
  <c r="AJ212" i="208"/>
  <c r="AI212" i="208"/>
  <c r="P221" i="208"/>
  <c r="AJ221" i="208"/>
  <c r="AI221" i="208"/>
  <c r="P230" i="208"/>
  <c r="AJ230" i="208"/>
  <c r="AI230" i="208"/>
  <c r="P239" i="208"/>
  <c r="AJ239" i="208"/>
  <c r="AI239" i="208"/>
  <c r="P248" i="208"/>
  <c r="AJ248" i="208"/>
  <c r="AI248" i="208"/>
  <c r="P257" i="208"/>
  <c r="AJ257" i="208"/>
  <c r="AI257" i="208"/>
  <c r="P266" i="208"/>
  <c r="AJ266" i="208"/>
  <c r="AI266" i="208"/>
  <c r="P298" i="208"/>
  <c r="AJ298" i="208"/>
  <c r="AI298" i="208"/>
  <c r="P288" i="208"/>
  <c r="AJ288" i="208"/>
  <c r="AI288" i="208"/>
  <c r="P334" i="208"/>
  <c r="AJ334" i="208"/>
  <c r="AI334" i="208"/>
  <c r="AJ478" i="208"/>
  <c r="AI478" i="208"/>
  <c r="P622" i="208"/>
  <c r="AJ622" i="208"/>
  <c r="AI622" i="208"/>
  <c r="AJ766" i="208"/>
  <c r="AI766" i="208"/>
  <c r="P910" i="208"/>
  <c r="AJ910" i="208"/>
  <c r="AI910" i="208"/>
  <c r="P1054" i="208"/>
  <c r="AJ1054" i="208"/>
  <c r="AI1054" i="208"/>
  <c r="P1198" i="208"/>
  <c r="AJ1198" i="208"/>
  <c r="AI1198" i="208"/>
  <c r="P1342" i="208"/>
  <c r="AJ1342" i="208"/>
  <c r="AI1342" i="208"/>
  <c r="P1486" i="208"/>
  <c r="AJ1486" i="208"/>
  <c r="AI1486" i="208"/>
  <c r="P1630" i="208"/>
  <c r="AJ1630" i="208"/>
  <c r="AI1630" i="208"/>
  <c r="P1774" i="208"/>
  <c r="AJ1774" i="208"/>
  <c r="AI1774" i="208"/>
  <c r="P1918" i="208"/>
  <c r="AJ1918" i="208"/>
  <c r="AI1918" i="208"/>
  <c r="P2062" i="208"/>
  <c r="AJ2062" i="208"/>
  <c r="AI2062" i="208"/>
  <c r="P2206" i="208"/>
  <c r="AJ2206" i="208"/>
  <c r="AI2206" i="208"/>
  <c r="P2350" i="208"/>
  <c r="AJ2350" i="208"/>
  <c r="AI2350" i="208"/>
  <c r="P2494" i="208"/>
  <c r="AJ2494" i="208"/>
  <c r="AI2494" i="208"/>
  <c r="P2638" i="208"/>
  <c r="AJ2638" i="208"/>
  <c r="AI2638" i="208"/>
  <c r="P2782" i="208"/>
  <c r="AJ2782" i="208"/>
  <c r="AI2782" i="208"/>
  <c r="P2926" i="208"/>
  <c r="AJ2926" i="208"/>
  <c r="AI2926" i="208"/>
  <c r="AJ783" i="208"/>
  <c r="AI783" i="208"/>
  <c r="P2751" i="208"/>
  <c r="AJ2751" i="208"/>
  <c r="AI2751" i="208"/>
  <c r="P389" i="208"/>
  <c r="AJ389" i="208"/>
  <c r="AI389" i="208"/>
  <c r="P533" i="208"/>
  <c r="AJ533" i="208"/>
  <c r="AI533" i="208"/>
  <c r="P677" i="208"/>
  <c r="AJ677" i="208"/>
  <c r="AI677" i="208"/>
  <c r="AJ821" i="208"/>
  <c r="AI821" i="208"/>
  <c r="P965" i="208"/>
  <c r="AJ965" i="208"/>
  <c r="AI965" i="208"/>
  <c r="P1109" i="208"/>
  <c r="AJ1109" i="208"/>
  <c r="AI1109" i="208"/>
  <c r="P1253" i="208"/>
  <c r="AJ1253" i="208"/>
  <c r="AI1253" i="208"/>
  <c r="P1397" i="208"/>
  <c r="AJ1397" i="208"/>
  <c r="AI1397" i="208"/>
  <c r="P1541" i="208"/>
  <c r="AJ1541" i="208"/>
  <c r="AI1541" i="208"/>
  <c r="P1685" i="208"/>
  <c r="AJ1685" i="208"/>
  <c r="AI1685" i="208"/>
  <c r="P1829" i="208"/>
  <c r="AJ1829" i="208"/>
  <c r="AI1829" i="208"/>
  <c r="P1973" i="208"/>
  <c r="AJ1973" i="208"/>
  <c r="AI1973" i="208"/>
  <c r="P2117" i="208"/>
  <c r="AJ2117" i="208"/>
  <c r="AI2117" i="208"/>
  <c r="P2261" i="208"/>
  <c r="AJ2261" i="208"/>
  <c r="AI2261" i="208"/>
  <c r="P2405" i="208"/>
  <c r="AJ2405" i="208"/>
  <c r="AI2405" i="208"/>
  <c r="P2549" i="208"/>
  <c r="AJ2549" i="208"/>
  <c r="AI2549" i="208"/>
  <c r="P2693" i="208"/>
  <c r="AJ2693" i="208"/>
  <c r="AI2693" i="208"/>
  <c r="P2837" i="208"/>
  <c r="AJ2837" i="208"/>
  <c r="AI2837" i="208"/>
  <c r="P2981" i="208"/>
  <c r="AJ2981" i="208"/>
  <c r="AI2981" i="208"/>
  <c r="P2427" i="208"/>
  <c r="AJ2427" i="208"/>
  <c r="AI2427" i="208"/>
  <c r="P336" i="208"/>
  <c r="AJ336" i="208"/>
  <c r="AI336" i="208"/>
  <c r="AJ480" i="208"/>
  <c r="AI480" i="208"/>
  <c r="AJ624" i="208"/>
  <c r="AI624" i="208"/>
  <c r="P768" i="208"/>
  <c r="AJ768" i="208"/>
  <c r="AI768" i="208"/>
  <c r="P912" i="208"/>
  <c r="AJ912" i="208"/>
  <c r="AI912" i="208"/>
  <c r="P1056" i="208"/>
  <c r="AJ1056" i="208"/>
  <c r="AI1056" i="208"/>
  <c r="P1200" i="208"/>
  <c r="AJ1200" i="208"/>
  <c r="AI1200" i="208"/>
  <c r="P1344" i="208"/>
  <c r="AJ1344" i="208"/>
  <c r="AI1344" i="208"/>
  <c r="P1488" i="208"/>
  <c r="AJ1488" i="208"/>
  <c r="AI1488" i="208"/>
  <c r="P1632" i="208"/>
  <c r="AJ1632" i="208"/>
  <c r="AI1632" i="208"/>
  <c r="P1776" i="208"/>
  <c r="AJ1776" i="208"/>
  <c r="AI1776" i="208"/>
  <c r="P1920" i="208"/>
  <c r="AJ1920" i="208"/>
  <c r="AI1920" i="208"/>
  <c r="P2064" i="208"/>
  <c r="AJ2064" i="208"/>
  <c r="AI2064" i="208"/>
  <c r="P2208" i="208"/>
  <c r="AJ2208" i="208"/>
  <c r="AI2208" i="208"/>
  <c r="P2352" i="208"/>
  <c r="AJ2352" i="208"/>
  <c r="AI2352" i="208"/>
  <c r="P2496" i="208"/>
  <c r="AJ2496" i="208"/>
  <c r="AI2496" i="208"/>
  <c r="P2640" i="208"/>
  <c r="AJ2640" i="208"/>
  <c r="AI2640" i="208"/>
  <c r="P2784" i="208"/>
  <c r="AJ2784" i="208"/>
  <c r="AI2784" i="208"/>
  <c r="P2928" i="208"/>
  <c r="AJ2928" i="208"/>
  <c r="AI2928" i="208"/>
  <c r="P1311" i="208"/>
  <c r="AJ1311" i="208"/>
  <c r="AI1311" i="208"/>
  <c r="P2499" i="208"/>
  <c r="AJ2499" i="208"/>
  <c r="AI2499" i="208"/>
  <c r="P439" i="208"/>
  <c r="AJ439" i="208"/>
  <c r="AI439" i="208"/>
  <c r="P583" i="208"/>
  <c r="AJ583" i="208"/>
  <c r="AI583" i="208"/>
  <c r="AJ727" i="208"/>
  <c r="AI727" i="208"/>
  <c r="P871" i="208"/>
  <c r="AJ871" i="208"/>
  <c r="AI871" i="208"/>
  <c r="P1015" i="208"/>
  <c r="AJ1015" i="208"/>
  <c r="AI1015" i="208"/>
  <c r="P1159" i="208"/>
  <c r="AJ1159" i="208"/>
  <c r="AI1159" i="208"/>
  <c r="P1303" i="208"/>
  <c r="AJ1303" i="208"/>
  <c r="AI1303" i="208"/>
  <c r="P1447" i="208"/>
  <c r="AJ1447" i="208"/>
  <c r="AI1447" i="208"/>
  <c r="P1591" i="208"/>
  <c r="AJ1591" i="208"/>
  <c r="AI1591" i="208"/>
  <c r="P1735" i="208"/>
  <c r="AJ1735" i="208"/>
  <c r="AI1735" i="208"/>
  <c r="P1879" i="208"/>
  <c r="AJ1879" i="208"/>
  <c r="AI1879" i="208"/>
  <c r="P2023" i="208"/>
  <c r="AJ2023" i="208"/>
  <c r="AI2023" i="208"/>
  <c r="P2167" i="208"/>
  <c r="AJ2167" i="208"/>
  <c r="AI2167" i="208"/>
  <c r="P2311" i="208"/>
  <c r="AJ2311" i="208"/>
  <c r="AI2311" i="208"/>
  <c r="P2455" i="208"/>
  <c r="AJ2455" i="208"/>
  <c r="AI2455" i="208"/>
  <c r="P2599" i="208"/>
  <c r="AJ2599" i="208"/>
  <c r="AI2599" i="208"/>
  <c r="P2743" i="208"/>
  <c r="AJ2743" i="208"/>
  <c r="AI2743" i="208"/>
  <c r="P2887" i="208"/>
  <c r="AJ2887" i="208"/>
  <c r="AI2887" i="208"/>
  <c r="P1083" i="208"/>
  <c r="AJ1083" i="208"/>
  <c r="AI1083" i="208"/>
  <c r="AJ410" i="208"/>
  <c r="AI410" i="208"/>
  <c r="P554" i="208"/>
  <c r="AJ554" i="208"/>
  <c r="AI554" i="208"/>
  <c r="P698" i="208"/>
  <c r="AJ698" i="208"/>
  <c r="AI698" i="208"/>
  <c r="AJ842" i="208"/>
  <c r="AI842" i="208"/>
  <c r="P986" i="208"/>
  <c r="AJ986" i="208"/>
  <c r="AI986" i="208"/>
  <c r="P1130" i="208"/>
  <c r="AJ1130" i="208"/>
  <c r="AI1130" i="208"/>
  <c r="P1274" i="208"/>
  <c r="AJ1274" i="208"/>
  <c r="AI1274" i="208"/>
  <c r="P1418" i="208"/>
  <c r="AJ1418" i="208"/>
  <c r="AI1418" i="208"/>
  <c r="P1562" i="208"/>
  <c r="AJ1562" i="208"/>
  <c r="AI1562" i="208"/>
  <c r="P1706" i="208"/>
  <c r="AJ1706" i="208"/>
  <c r="AI1706" i="208"/>
  <c r="P1850" i="208"/>
  <c r="AJ1850" i="208"/>
  <c r="AI1850" i="208"/>
  <c r="P1994" i="208"/>
  <c r="AJ1994" i="208"/>
  <c r="AI1994" i="208"/>
  <c r="P2138" i="208"/>
  <c r="AJ2138" i="208"/>
  <c r="AI2138" i="208"/>
  <c r="P2282" i="208"/>
  <c r="AJ2282" i="208"/>
  <c r="AI2282" i="208"/>
  <c r="P2426" i="208"/>
  <c r="AJ2426" i="208"/>
  <c r="AI2426" i="208"/>
  <c r="P2570" i="208"/>
  <c r="AJ2570" i="208"/>
  <c r="AI2570" i="208"/>
  <c r="P2714" i="208"/>
  <c r="AJ2714" i="208"/>
  <c r="AI2714" i="208"/>
  <c r="P2858" i="208"/>
  <c r="AJ2858" i="208"/>
  <c r="AI2858" i="208"/>
  <c r="AJ304" i="208"/>
  <c r="AI304" i="208"/>
  <c r="P2691" i="208"/>
  <c r="AJ2691" i="208"/>
  <c r="AI2691" i="208"/>
  <c r="P441" i="208"/>
  <c r="AJ441" i="208"/>
  <c r="AI441" i="208"/>
  <c r="P585" i="208"/>
  <c r="AJ585" i="208"/>
  <c r="AI585" i="208"/>
  <c r="P729" i="208"/>
  <c r="AJ729" i="208"/>
  <c r="AI729" i="208"/>
  <c r="P873" i="208"/>
  <c r="AJ873" i="208"/>
  <c r="AI873" i="208"/>
  <c r="P1017" i="208"/>
  <c r="AJ1017" i="208"/>
  <c r="AI1017" i="208"/>
  <c r="P1161" i="208"/>
  <c r="AJ1161" i="208"/>
  <c r="AI1161" i="208"/>
  <c r="P1305" i="208"/>
  <c r="AJ1305" i="208"/>
  <c r="AI1305" i="208"/>
  <c r="P1449" i="208"/>
  <c r="AJ1449" i="208"/>
  <c r="AI1449" i="208"/>
  <c r="P1593" i="208"/>
  <c r="AJ1593" i="208"/>
  <c r="AI1593" i="208"/>
  <c r="P1737" i="208"/>
  <c r="AJ1737" i="208"/>
  <c r="AI1737" i="208"/>
  <c r="P1881" i="208"/>
  <c r="AJ1881" i="208"/>
  <c r="AI1881" i="208"/>
  <c r="P2025" i="208"/>
  <c r="AJ2025" i="208"/>
  <c r="AI2025" i="208"/>
  <c r="P2169" i="208"/>
  <c r="AJ2169" i="208"/>
  <c r="AI2169" i="208"/>
  <c r="P2313" i="208"/>
  <c r="AJ2313" i="208"/>
  <c r="AI2313" i="208"/>
  <c r="P2457" i="208"/>
  <c r="AJ2457" i="208"/>
  <c r="AI2457" i="208"/>
  <c r="P2601" i="208"/>
  <c r="AJ2601" i="208"/>
  <c r="AI2601" i="208"/>
  <c r="P2745" i="208"/>
  <c r="AJ2745" i="208"/>
  <c r="AI2745" i="208"/>
  <c r="P2889" i="208"/>
  <c r="AJ2889" i="208"/>
  <c r="AI2889" i="208"/>
  <c r="P663" i="208"/>
  <c r="AJ663" i="208"/>
  <c r="AI663" i="208"/>
  <c r="P1743" i="208"/>
  <c r="AJ1743" i="208"/>
  <c r="AI1743" i="208"/>
  <c r="P2619" i="208"/>
  <c r="AJ2619" i="208"/>
  <c r="AI2619" i="208"/>
  <c r="P436" i="208"/>
  <c r="AJ436" i="208"/>
  <c r="AI436" i="208"/>
  <c r="P580" i="208"/>
  <c r="AJ580" i="208"/>
  <c r="AI580" i="208"/>
  <c r="AJ724" i="208"/>
  <c r="AI724" i="208"/>
  <c r="AJ868" i="208"/>
  <c r="AI868" i="208"/>
  <c r="P1012" i="208"/>
  <c r="AJ1012" i="208"/>
  <c r="AI1012" i="208"/>
  <c r="P1156" i="208"/>
  <c r="AJ1156" i="208"/>
  <c r="AI1156" i="208"/>
  <c r="P1300" i="208"/>
  <c r="AJ1300" i="208"/>
  <c r="AI1300" i="208"/>
  <c r="P1444" i="208"/>
  <c r="AJ1444" i="208"/>
  <c r="AI1444" i="208"/>
  <c r="P1588" i="208"/>
  <c r="AJ1588" i="208"/>
  <c r="AI1588" i="208"/>
  <c r="P1732" i="208"/>
  <c r="AJ1732" i="208"/>
  <c r="AI1732" i="208"/>
  <c r="P1876" i="208"/>
  <c r="AJ1876" i="208"/>
  <c r="AI1876" i="208"/>
  <c r="P2020" i="208"/>
  <c r="AJ2020" i="208"/>
  <c r="AI2020" i="208"/>
  <c r="P2164" i="208"/>
  <c r="AJ2164" i="208"/>
  <c r="AI2164" i="208"/>
  <c r="P2308" i="208"/>
  <c r="AJ2308" i="208"/>
  <c r="AI2308" i="208"/>
  <c r="P2452" i="208"/>
  <c r="AJ2452" i="208"/>
  <c r="AI2452" i="208"/>
  <c r="P2596" i="208"/>
  <c r="AJ2596" i="208"/>
  <c r="AI2596" i="208"/>
  <c r="P2740" i="208"/>
  <c r="AJ2740" i="208"/>
  <c r="AI2740" i="208"/>
  <c r="P2884" i="208"/>
  <c r="AJ2884" i="208"/>
  <c r="AI2884" i="208"/>
  <c r="P759" i="208"/>
  <c r="AJ759" i="208"/>
  <c r="AI759" i="208"/>
  <c r="P2079" i="208"/>
  <c r="AJ2079" i="208"/>
  <c r="AI2079" i="208"/>
  <c r="P335" i="208"/>
  <c r="AJ335" i="208"/>
  <c r="AI335" i="208"/>
  <c r="AJ479" i="208"/>
  <c r="AI479" i="208"/>
  <c r="AJ623" i="208"/>
  <c r="AI623" i="208"/>
  <c r="P767" i="208"/>
  <c r="AJ767" i="208"/>
  <c r="AI767" i="208"/>
  <c r="P911" i="208"/>
  <c r="AJ911" i="208"/>
  <c r="AI911" i="208"/>
  <c r="P1055" i="208"/>
  <c r="AJ1055" i="208"/>
  <c r="AI1055" i="208"/>
  <c r="P1199" i="208"/>
  <c r="AJ1199" i="208"/>
  <c r="AI1199" i="208"/>
  <c r="P1343" i="208"/>
  <c r="AJ1343" i="208"/>
  <c r="AI1343" i="208"/>
  <c r="P1487" i="208"/>
  <c r="AJ1487" i="208"/>
  <c r="AI1487" i="208"/>
  <c r="P1631" i="208"/>
  <c r="AJ1631" i="208"/>
  <c r="AI1631" i="208"/>
  <c r="P1775" i="208"/>
  <c r="AJ1775" i="208"/>
  <c r="AI1775" i="208"/>
  <c r="P1919" i="208"/>
  <c r="AJ1919" i="208"/>
  <c r="AI1919" i="208"/>
  <c r="P2063" i="208"/>
  <c r="AJ2063" i="208"/>
  <c r="AI2063" i="208"/>
  <c r="P2207" i="208"/>
  <c r="AJ2207" i="208"/>
  <c r="AI2207" i="208"/>
  <c r="P2351" i="208"/>
  <c r="AJ2351" i="208"/>
  <c r="AI2351" i="208"/>
  <c r="P2495" i="208"/>
  <c r="AJ2495" i="208"/>
  <c r="AI2495" i="208"/>
  <c r="P2639" i="208"/>
  <c r="AJ2639" i="208"/>
  <c r="AI2639" i="208"/>
  <c r="P2783" i="208"/>
  <c r="AJ2783" i="208"/>
  <c r="AI2783" i="208"/>
  <c r="P2927" i="208"/>
  <c r="AJ2927" i="208"/>
  <c r="AI2927" i="208"/>
  <c r="P951" i="208"/>
  <c r="AJ951" i="208"/>
  <c r="AI951" i="208"/>
  <c r="AJ306" i="208"/>
  <c r="AI306" i="208"/>
  <c r="P450" i="208"/>
  <c r="AJ450" i="208"/>
  <c r="AI450" i="208"/>
  <c r="P594" i="208"/>
  <c r="AJ594" i="208"/>
  <c r="AI594" i="208"/>
  <c r="AJ738" i="208"/>
  <c r="AI738" i="208"/>
  <c r="P882" i="208"/>
  <c r="AJ882" i="208"/>
  <c r="AI882" i="208"/>
  <c r="P1026" i="208"/>
  <c r="AJ1026" i="208"/>
  <c r="AI1026" i="208"/>
  <c r="P1170" i="208"/>
  <c r="AJ1170" i="208"/>
  <c r="AI1170" i="208"/>
  <c r="P1314" i="208"/>
  <c r="AJ1314" i="208"/>
  <c r="AI1314" i="208"/>
  <c r="P1458" i="208"/>
  <c r="AJ1458" i="208"/>
  <c r="AI1458" i="208"/>
  <c r="P1602" i="208"/>
  <c r="AJ1602" i="208"/>
  <c r="AI1602" i="208"/>
  <c r="P1746" i="208"/>
  <c r="AJ1746" i="208"/>
  <c r="AI1746" i="208"/>
  <c r="P1890" i="208"/>
  <c r="AJ1890" i="208"/>
  <c r="AI1890" i="208"/>
  <c r="P2034" i="208"/>
  <c r="AJ2034" i="208"/>
  <c r="AI2034" i="208"/>
  <c r="P2178" i="208"/>
  <c r="AJ2178" i="208"/>
  <c r="AI2178" i="208"/>
  <c r="P2322" i="208"/>
  <c r="AJ2322" i="208"/>
  <c r="AI2322" i="208"/>
  <c r="P2466" i="208"/>
  <c r="AJ2466" i="208"/>
  <c r="AI2466" i="208"/>
  <c r="P2610" i="208"/>
  <c r="AJ2610" i="208"/>
  <c r="AI2610" i="208"/>
  <c r="P2754" i="208"/>
  <c r="AJ2754" i="208"/>
  <c r="AI2754" i="208"/>
  <c r="P2898" i="208"/>
  <c r="AJ2898" i="208"/>
  <c r="AI2898" i="208"/>
  <c r="P1323" i="208"/>
  <c r="AJ1323" i="208"/>
  <c r="AI1323" i="208"/>
  <c r="P337" i="208"/>
  <c r="AJ337" i="208"/>
  <c r="AI337" i="208"/>
  <c r="AJ481" i="208"/>
  <c r="AI481" i="208"/>
  <c r="P625" i="208"/>
  <c r="AJ625" i="208"/>
  <c r="AI625" i="208"/>
  <c r="P769" i="208"/>
  <c r="AJ769" i="208"/>
  <c r="AI769" i="208"/>
  <c r="P913" i="208"/>
  <c r="AJ913" i="208"/>
  <c r="AI913" i="208"/>
  <c r="P1057" i="208"/>
  <c r="AJ1057" i="208"/>
  <c r="AI1057" i="208"/>
  <c r="P1201" i="208"/>
  <c r="AI1201" i="208"/>
  <c r="AJ1201" i="208"/>
  <c r="P1345" i="208"/>
  <c r="AJ1345" i="208"/>
  <c r="AI1345" i="208"/>
  <c r="P1489" i="208"/>
  <c r="AJ1489" i="208"/>
  <c r="AI1489" i="208"/>
  <c r="P1633" i="208"/>
  <c r="AJ1633" i="208"/>
  <c r="AI1633" i="208"/>
  <c r="P1777" i="208"/>
  <c r="AJ1777" i="208"/>
  <c r="AI1777" i="208"/>
  <c r="P1921" i="208"/>
  <c r="AJ1921" i="208"/>
  <c r="AI1921" i="208"/>
  <c r="P2065" i="208"/>
  <c r="AJ2065" i="208"/>
  <c r="AI2065" i="208"/>
  <c r="P2209" i="208"/>
  <c r="AJ2209" i="208"/>
  <c r="AI2209" i="208"/>
  <c r="P2353" i="208"/>
  <c r="AJ2353" i="208"/>
  <c r="AI2353" i="208"/>
  <c r="P2497" i="208"/>
  <c r="AJ2497" i="208"/>
  <c r="AI2497" i="208"/>
  <c r="P2641" i="208"/>
  <c r="AJ2641" i="208"/>
  <c r="AI2641" i="208"/>
  <c r="P2785" i="208"/>
  <c r="AJ2785" i="208"/>
  <c r="AI2785" i="208"/>
  <c r="P2929" i="208"/>
  <c r="AJ2929" i="208"/>
  <c r="AI2929" i="208"/>
  <c r="P1131" i="208"/>
  <c r="AJ1131" i="208"/>
  <c r="AI1131" i="208"/>
  <c r="P2031" i="208"/>
  <c r="AJ2031" i="208"/>
  <c r="AI2031" i="208"/>
  <c r="P332" i="208"/>
  <c r="AJ332" i="208"/>
  <c r="AI332" i="208"/>
  <c r="P476" i="208"/>
  <c r="AJ476" i="208"/>
  <c r="AI476" i="208"/>
  <c r="P620" i="208"/>
  <c r="AJ620" i="208"/>
  <c r="AI620" i="208"/>
  <c r="P764" i="208"/>
  <c r="AJ764" i="208"/>
  <c r="AI764" i="208"/>
  <c r="P908" i="208"/>
  <c r="AJ908" i="208"/>
  <c r="AI908" i="208"/>
  <c r="P1052" i="208"/>
  <c r="AJ1052" i="208"/>
  <c r="AI1052" i="208"/>
  <c r="P1196" i="208"/>
  <c r="AJ1196" i="208"/>
  <c r="AI1196" i="208"/>
  <c r="P1340" i="208"/>
  <c r="AJ1340" i="208"/>
  <c r="AI1340" i="208"/>
  <c r="P1484" i="208"/>
  <c r="AJ1484" i="208"/>
  <c r="AI1484" i="208"/>
  <c r="P1628" i="208"/>
  <c r="AJ1628" i="208"/>
  <c r="AI1628" i="208"/>
  <c r="P1772" i="208"/>
  <c r="AJ1772" i="208"/>
  <c r="AI1772" i="208"/>
  <c r="P1916" i="208"/>
  <c r="AJ1916" i="208"/>
  <c r="AI1916" i="208"/>
  <c r="P2060" i="208"/>
  <c r="AJ2060" i="208"/>
  <c r="AI2060" i="208"/>
  <c r="P2204" i="208"/>
  <c r="AJ2204" i="208"/>
  <c r="AI2204" i="208"/>
  <c r="P2348" i="208"/>
  <c r="AJ2348" i="208"/>
  <c r="AI2348" i="208"/>
  <c r="P2492" i="208"/>
  <c r="AJ2492" i="208"/>
  <c r="AI2492" i="208"/>
  <c r="P2636" i="208"/>
  <c r="AJ2636" i="208"/>
  <c r="AI2636" i="208"/>
  <c r="P2780" i="208"/>
  <c r="AJ2780" i="208"/>
  <c r="AI2780" i="208"/>
  <c r="P2924" i="208"/>
  <c r="AJ2924" i="208"/>
  <c r="AI2924" i="208"/>
  <c r="P639" i="208"/>
  <c r="AJ639" i="208"/>
  <c r="AI639" i="208"/>
  <c r="P2379" i="208"/>
  <c r="AJ2379" i="208"/>
  <c r="AI2379" i="208"/>
  <c r="P351" i="208"/>
  <c r="AJ351" i="208"/>
  <c r="AI351" i="208"/>
  <c r="F1208" i="208"/>
  <c r="T1208" i="208" s="1"/>
  <c r="V318" i="208"/>
  <c r="AF1470" i="208"/>
  <c r="V2941" i="208"/>
  <c r="V28" i="208"/>
  <c r="F55" i="208"/>
  <c r="T55" i="208" s="1"/>
  <c r="V100" i="208"/>
  <c r="F127" i="208"/>
  <c r="T127" i="208" s="1"/>
  <c r="V172" i="208"/>
  <c r="F199" i="208"/>
  <c r="T199" i="208" s="1"/>
  <c r="V244" i="208"/>
  <c r="F271" i="208"/>
  <c r="T271" i="208" s="1"/>
  <c r="AA275" i="208"/>
  <c r="AB1064" i="208"/>
  <c r="V2509" i="208"/>
  <c r="F920" i="208"/>
  <c r="T920" i="208" s="1"/>
  <c r="V55" i="208"/>
  <c r="V127" i="208"/>
  <c r="V199" i="208"/>
  <c r="V271" i="208"/>
  <c r="F1928" i="208"/>
  <c r="T1928" i="208" s="1"/>
  <c r="AB26" i="208"/>
  <c r="AB242" i="208"/>
  <c r="F2187" i="208"/>
  <c r="T2187" i="208" s="1"/>
  <c r="V1645" i="208"/>
  <c r="F1784" i="208"/>
  <c r="T1784" i="208" s="1"/>
  <c r="V920" i="208"/>
  <c r="AB1496" i="208"/>
  <c r="V1069" i="208"/>
  <c r="V2365" i="208"/>
  <c r="F10" i="208"/>
  <c r="T10" i="208" s="1"/>
  <c r="F82" i="208"/>
  <c r="T82" i="208" s="1"/>
  <c r="F154" i="208"/>
  <c r="T154" i="208" s="1"/>
  <c r="F226" i="208"/>
  <c r="T226" i="208" s="1"/>
  <c r="F344" i="208"/>
  <c r="T344" i="208" s="1"/>
  <c r="V1928" i="208"/>
  <c r="V17" i="208"/>
  <c r="V35" i="208"/>
  <c r="V53" i="208"/>
  <c r="AB297" i="208"/>
  <c r="AB215" i="208"/>
  <c r="AA750" i="208"/>
  <c r="AA286" i="208"/>
  <c r="V1603" i="208"/>
  <c r="V2221" i="208"/>
  <c r="V10" i="208"/>
  <c r="F37" i="208"/>
  <c r="T37" i="208" s="1"/>
  <c r="V82" i="208"/>
  <c r="F109" i="208"/>
  <c r="T109" i="208" s="1"/>
  <c r="V154" i="208"/>
  <c r="F181" i="208"/>
  <c r="T181" i="208" s="1"/>
  <c r="V226" i="208"/>
  <c r="F253" i="208"/>
  <c r="T253" i="208" s="1"/>
  <c r="V344" i="208"/>
  <c r="AB152" i="208"/>
  <c r="AB286" i="208"/>
  <c r="V1208" i="208"/>
  <c r="V1933" i="208"/>
  <c r="V1789" i="208"/>
  <c r="V37" i="208"/>
  <c r="V109" i="208"/>
  <c r="V181" i="208"/>
  <c r="V253" i="208"/>
  <c r="F488" i="208"/>
  <c r="T488" i="208" s="1"/>
  <c r="F776" i="208"/>
  <c r="T776" i="208" s="1"/>
  <c r="F1064" i="208"/>
  <c r="T1064" i="208" s="1"/>
  <c r="F1352" i="208"/>
  <c r="T1352" i="208" s="1"/>
  <c r="F1640" i="208"/>
  <c r="T1640" i="208" s="1"/>
  <c r="AB116" i="208"/>
  <c r="AA188" i="208"/>
  <c r="AA290" i="208"/>
  <c r="F699" i="208"/>
  <c r="T699" i="208" s="1"/>
  <c r="V781" i="208"/>
  <c r="V1182" i="208"/>
  <c r="V1357" i="208"/>
  <c r="V1213" i="208"/>
  <c r="V1383" i="208"/>
  <c r="F64" i="208"/>
  <c r="T64" i="208" s="1"/>
  <c r="F136" i="208"/>
  <c r="T136" i="208" s="1"/>
  <c r="F208" i="208"/>
  <c r="T208" i="208" s="1"/>
  <c r="V1064" i="208"/>
  <c r="V1352" i="208"/>
  <c r="V1640" i="208"/>
  <c r="AA1168" i="208"/>
  <c r="AB80" i="208"/>
  <c r="AA251" i="208"/>
  <c r="V1501" i="208"/>
  <c r="V1066" i="208"/>
  <c r="V1470" i="208"/>
  <c r="F19" i="208"/>
  <c r="T19" i="208" s="1"/>
  <c r="V64" i="208"/>
  <c r="F91" i="208"/>
  <c r="T91" i="208" s="1"/>
  <c r="V136" i="208"/>
  <c r="F163" i="208"/>
  <c r="T163" i="208" s="1"/>
  <c r="V208" i="208"/>
  <c r="F235" i="208"/>
  <c r="T235" i="208" s="1"/>
  <c r="F632" i="208"/>
  <c r="T632" i="208" s="1"/>
  <c r="AB592" i="208"/>
  <c r="AB1357" i="208"/>
  <c r="AB44" i="208"/>
  <c r="AB224" i="208"/>
  <c r="F1496" i="208"/>
  <c r="T1496" i="208" s="1"/>
  <c r="V1496" i="208"/>
  <c r="V1758" i="208"/>
  <c r="V2797" i="208"/>
  <c r="V19" i="208"/>
  <c r="V91" i="208"/>
  <c r="V163" i="208"/>
  <c r="V235" i="208"/>
  <c r="V632" i="208"/>
  <c r="AB197" i="208"/>
  <c r="P490" i="208"/>
  <c r="P778" i="208"/>
  <c r="P833" i="208"/>
  <c r="P307" i="208"/>
  <c r="P739" i="208"/>
  <c r="P422" i="208"/>
  <c r="P566" i="208"/>
  <c r="P309" i="208"/>
  <c r="P736" i="208"/>
  <c r="P880" i="208"/>
  <c r="P491" i="208"/>
  <c r="P606" i="208"/>
  <c r="P781" i="208"/>
  <c r="P488" i="208"/>
  <c r="P776" i="208"/>
  <c r="V2046" i="208"/>
  <c r="F307" i="208"/>
  <c r="T307" i="208" s="1"/>
  <c r="F963" i="208"/>
  <c r="T963" i="208" s="1"/>
  <c r="AB2651" i="208"/>
  <c r="P358" i="208"/>
  <c r="P646" i="208"/>
  <c r="P790" i="208"/>
  <c r="P413" i="208"/>
  <c r="P557" i="208"/>
  <c r="P463" i="208"/>
  <c r="P607" i="208"/>
  <c r="P866" i="208"/>
  <c r="P609" i="208"/>
  <c r="P316" i="208"/>
  <c r="P460" i="208"/>
  <c r="P604" i="208"/>
  <c r="P647" i="208"/>
  <c r="P788" i="208"/>
  <c r="P802" i="208"/>
  <c r="P425" i="208"/>
  <c r="P569" i="208"/>
  <c r="P713" i="208"/>
  <c r="P879" i="208"/>
  <c r="P804" i="208"/>
  <c r="P331" i="208"/>
  <c r="P619" i="208"/>
  <c r="P590" i="208"/>
  <c r="P734" i="208"/>
  <c r="P519" i="208"/>
  <c r="P765" i="208"/>
  <c r="P855" i="208"/>
  <c r="P760" i="208"/>
  <c r="P843" i="208"/>
  <c r="P659" i="208"/>
  <c r="P803" i="208"/>
  <c r="P774" i="208"/>
  <c r="P805" i="208"/>
  <c r="P800" i="208"/>
  <c r="P670" i="208"/>
  <c r="P869" i="208"/>
  <c r="P384" i="208"/>
  <c r="P672" i="208"/>
  <c r="P775" i="208"/>
  <c r="P314" i="208"/>
  <c r="P602" i="208"/>
  <c r="P746" i="208"/>
  <c r="P489" i="208"/>
  <c r="P777" i="208"/>
  <c r="P671" i="208"/>
  <c r="P498" i="208"/>
  <c r="P673" i="208"/>
  <c r="P668" i="208"/>
  <c r="F1430" i="208"/>
  <c r="T1430" i="208" s="1"/>
  <c r="F2363" i="208"/>
  <c r="T2363" i="208" s="1"/>
  <c r="AA1069" i="208"/>
  <c r="AA453" i="208"/>
  <c r="AB1173" i="208"/>
  <c r="V2582" i="208"/>
  <c r="P538" i="208"/>
  <c r="P682" i="208"/>
  <c r="P737" i="208"/>
  <c r="P828" i="208"/>
  <c r="P499" i="208"/>
  <c r="P787" i="208"/>
  <c r="P470" i="208"/>
  <c r="P614" i="208"/>
  <c r="P357" i="208"/>
  <c r="P496" i="208"/>
  <c r="P640" i="208"/>
  <c r="P784" i="208"/>
  <c r="P539" i="208"/>
  <c r="P827" i="208"/>
  <c r="P798" i="208"/>
  <c r="V1747" i="208"/>
  <c r="F1355" i="208"/>
  <c r="T1355" i="208" s="1"/>
  <c r="F1605" i="208"/>
  <c r="T1605" i="208" s="1"/>
  <c r="F2216" i="208"/>
  <c r="T2216" i="208" s="1"/>
  <c r="AA1359" i="208"/>
  <c r="AA1758" i="208"/>
  <c r="AE592" i="208"/>
  <c r="P550" i="208"/>
  <c r="P317" i="208"/>
  <c r="P605" i="208"/>
  <c r="P552" i="208"/>
  <c r="P799" i="208"/>
  <c r="P482" i="208"/>
  <c r="P801" i="208"/>
  <c r="P551" i="208"/>
  <c r="P666" i="208"/>
  <c r="P553" i="208"/>
  <c r="P841" i="208"/>
  <c r="P303" i="208"/>
  <c r="P548" i="208"/>
  <c r="P836" i="208"/>
  <c r="AA2509" i="208"/>
  <c r="AA2046" i="208"/>
  <c r="P418" i="208"/>
  <c r="P761" i="208"/>
  <c r="P420" i="208"/>
  <c r="P495" i="208"/>
  <c r="P667" i="208"/>
  <c r="P494" i="208"/>
  <c r="P638" i="208"/>
  <c r="P782" i="208"/>
  <c r="P669" i="208"/>
  <c r="P419" i="208"/>
  <c r="P411" i="208"/>
  <c r="P822" i="208"/>
  <c r="P421" i="208"/>
  <c r="P735" i="208"/>
  <c r="P416" i="208"/>
  <c r="P704" i="208"/>
  <c r="V2181" i="208"/>
  <c r="AB2849" i="208"/>
  <c r="P574" i="208"/>
  <c r="P862" i="208"/>
  <c r="P576" i="208"/>
  <c r="P507" i="208"/>
  <c r="P823" i="208"/>
  <c r="P506" i="208"/>
  <c r="P676" i="208"/>
  <c r="P820" i="208"/>
  <c r="P615" i="208"/>
  <c r="P690" i="208"/>
  <c r="P834" i="208"/>
  <c r="P577" i="208"/>
  <c r="P867" i="208"/>
  <c r="P428" i="208"/>
  <c r="P716" i="208"/>
  <c r="F422" i="208"/>
  <c r="T422" i="208" s="1"/>
  <c r="F2075" i="208"/>
  <c r="T2075" i="208" s="1"/>
  <c r="AA2077" i="208"/>
  <c r="P483" i="208"/>
  <c r="P444" i="208"/>
  <c r="P588" i="208"/>
  <c r="P732" i="208"/>
  <c r="P591" i="208"/>
  <c r="P691" i="208"/>
  <c r="P835" i="208"/>
  <c r="P518" i="208"/>
  <c r="P662" i="208"/>
  <c r="P806" i="208"/>
  <c r="P549" i="208"/>
  <c r="P837" i="208"/>
  <c r="P832" i="208"/>
  <c r="P443" i="208"/>
  <c r="P587" i="208"/>
  <c r="P414" i="208"/>
  <c r="P733" i="208"/>
  <c r="P315" i="208"/>
  <c r="V1461" i="208"/>
  <c r="AA1470" i="208"/>
  <c r="AA2504" i="208"/>
  <c r="AE2613" i="208"/>
  <c r="P310" i="208"/>
  <c r="P598" i="208"/>
  <c r="P742" i="208"/>
  <c r="AF302" i="208"/>
  <c r="AA920" i="208"/>
  <c r="AB1352" i="208"/>
  <c r="AE1501" i="208"/>
  <c r="AE2190" i="208"/>
  <c r="P610" i="208"/>
  <c r="P898" i="208"/>
  <c r="P723" i="208"/>
  <c r="P665" i="208"/>
  <c r="P427" i="208"/>
  <c r="P398" i="208"/>
  <c r="P717" i="208"/>
  <c r="P861" i="208"/>
  <c r="P424" i="208"/>
  <c r="P712" i="208"/>
  <c r="P856" i="208"/>
  <c r="P675" i="208"/>
  <c r="P819" i="208"/>
  <c r="P305" i="208"/>
  <c r="P870" i="208"/>
  <c r="P469" i="208"/>
  <c r="P613" i="208"/>
  <c r="P464" i="208"/>
  <c r="P752" i="208"/>
  <c r="V922" i="208"/>
  <c r="P478" i="208"/>
  <c r="P766" i="208"/>
  <c r="P783" i="208"/>
  <c r="P821" i="208"/>
  <c r="P480" i="208"/>
  <c r="P624" i="208"/>
  <c r="P727" i="208"/>
  <c r="P410" i="208"/>
  <c r="P842" i="208"/>
  <c r="P304" i="208"/>
  <c r="P724" i="208"/>
  <c r="P868" i="208"/>
  <c r="P479" i="208"/>
  <c r="P623" i="208"/>
  <c r="P306" i="208"/>
  <c r="P738" i="208"/>
  <c r="P481" i="208"/>
  <c r="AA10" i="208"/>
  <c r="AA37" i="208"/>
  <c r="AA64" i="208"/>
  <c r="AA91" i="208"/>
  <c r="AA118" i="208"/>
  <c r="AA145" i="208"/>
  <c r="AA172" i="208"/>
  <c r="AA199" i="208"/>
  <c r="AA226" i="208"/>
  <c r="AA253" i="208"/>
  <c r="AF297" i="208"/>
  <c r="AA297" i="208"/>
  <c r="AB10" i="208"/>
  <c r="AB37" i="208"/>
  <c r="AB64" i="208"/>
  <c r="AB91" i="208"/>
  <c r="AB118" i="208"/>
  <c r="AB145" i="208"/>
  <c r="AB172" i="208"/>
  <c r="AB199" i="208"/>
  <c r="AB226" i="208"/>
  <c r="AB253" i="208"/>
  <c r="F297" i="208"/>
  <c r="T297" i="208" s="1"/>
  <c r="AE290" i="208"/>
  <c r="F290" i="208"/>
  <c r="T290" i="208" s="1"/>
  <c r="AA19" i="208"/>
  <c r="AA46" i="208"/>
  <c r="AA73" i="208"/>
  <c r="AA100" i="208"/>
  <c r="AA127" i="208"/>
  <c r="AA154" i="208"/>
  <c r="AA181" i="208"/>
  <c r="AA208" i="208"/>
  <c r="AA235" i="208"/>
  <c r="AA262" i="208"/>
  <c r="AF290" i="208"/>
  <c r="AB19" i="208"/>
  <c r="AB46" i="208"/>
  <c r="AB73" i="208"/>
  <c r="AB100" i="208"/>
  <c r="AB127" i="208"/>
  <c r="AB154" i="208"/>
  <c r="AB181" i="208"/>
  <c r="AB208" i="208"/>
  <c r="AB235" i="208"/>
  <c r="AB262" i="208"/>
  <c r="AB290" i="208"/>
  <c r="AA28" i="208"/>
  <c r="AA55" i="208"/>
  <c r="AA82" i="208"/>
  <c r="AA109" i="208"/>
  <c r="AA136" i="208"/>
  <c r="AA163" i="208"/>
  <c r="AA190" i="208"/>
  <c r="AA217" i="208"/>
  <c r="AA244" i="208"/>
  <c r="AA271" i="208"/>
  <c r="V290" i="208"/>
  <c r="AB28" i="208"/>
  <c r="AB55" i="208"/>
  <c r="AB82" i="208"/>
  <c r="AB109" i="208"/>
  <c r="AB136" i="208"/>
  <c r="AB163" i="208"/>
  <c r="AB190" i="208"/>
  <c r="AB217" i="208"/>
  <c r="AB244" i="208"/>
  <c r="AB271" i="208"/>
  <c r="AE297" i="208"/>
  <c r="AA492" i="208"/>
  <c r="AA924" i="208"/>
  <c r="V2508" i="208"/>
  <c r="AB348" i="208"/>
  <c r="AF235" i="208"/>
  <c r="AF271" i="208"/>
  <c r="AE190" i="208"/>
  <c r="V1359" i="208"/>
  <c r="V1173" i="208"/>
  <c r="V1356" i="208"/>
  <c r="V750" i="208"/>
  <c r="V894" i="208"/>
  <c r="V1888" i="208"/>
  <c r="V2899" i="208"/>
  <c r="V401" i="208"/>
  <c r="V422" i="208"/>
  <c r="V1355" i="208"/>
  <c r="V1430" i="208"/>
  <c r="V2129" i="208"/>
  <c r="F1902" i="208"/>
  <c r="T1902" i="208" s="1"/>
  <c r="F2190" i="208"/>
  <c r="T2190" i="208" s="1"/>
  <c r="V1605" i="208"/>
  <c r="V2187" i="208"/>
  <c r="F2334" i="208"/>
  <c r="T2334" i="208" s="1"/>
  <c r="F2796" i="208"/>
  <c r="T2796" i="208" s="1"/>
  <c r="V2075" i="208"/>
  <c r="V2216" i="208"/>
  <c r="V2363" i="208"/>
  <c r="AA349" i="208"/>
  <c r="F592" i="208"/>
  <c r="T592" i="208" s="1"/>
  <c r="AA880" i="208"/>
  <c r="AB1069" i="208"/>
  <c r="AB1168" i="208"/>
  <c r="F1357" i="208"/>
  <c r="T1357" i="208" s="1"/>
  <c r="F453" i="208"/>
  <c r="T453" i="208" s="1"/>
  <c r="AB750" i="208"/>
  <c r="AA885" i="208"/>
  <c r="AA963" i="208"/>
  <c r="AB1212" i="208"/>
  <c r="AB1359" i="208"/>
  <c r="AB1470" i="208"/>
  <c r="AA1067" i="208"/>
  <c r="AA1499" i="208"/>
  <c r="AB2506" i="208"/>
  <c r="AB2077" i="208"/>
  <c r="AB2509" i="208"/>
  <c r="AB1501" i="208"/>
  <c r="AB1600" i="208"/>
  <c r="AA2653" i="208"/>
  <c r="AB1758" i="208"/>
  <c r="AA2187" i="208"/>
  <c r="AB2046" i="208"/>
  <c r="AB2504" i="208"/>
  <c r="AB2792" i="208"/>
  <c r="AE739" i="208"/>
  <c r="AF925" i="208"/>
  <c r="AE309" i="208"/>
  <c r="AF2651" i="208"/>
  <c r="AE2360" i="208"/>
  <c r="AE635" i="208"/>
  <c r="AE2792" i="208"/>
  <c r="V1902" i="208"/>
  <c r="V2190" i="208"/>
  <c r="F1614" i="208"/>
  <c r="T1614" i="208" s="1"/>
  <c r="F1644" i="208"/>
  <c r="T1644" i="208" s="1"/>
  <c r="F1749" i="208"/>
  <c r="T1749" i="208" s="1"/>
  <c r="V2334" i="208"/>
  <c r="F2508" i="208"/>
  <c r="T2508" i="208" s="1"/>
  <c r="F2507" i="208"/>
  <c r="T2507" i="208" s="1"/>
  <c r="F2651" i="208"/>
  <c r="T2651" i="208" s="1"/>
  <c r="F2795" i="208"/>
  <c r="T2795" i="208" s="1"/>
  <c r="F2939" i="208"/>
  <c r="T2939" i="208" s="1"/>
  <c r="AB349" i="208"/>
  <c r="F595" i="208"/>
  <c r="T595" i="208" s="1"/>
  <c r="AB880" i="208"/>
  <c r="F1069" i="208"/>
  <c r="T1069" i="208" s="1"/>
  <c r="F1168" i="208"/>
  <c r="T1168" i="208" s="1"/>
  <c r="AA1456" i="208"/>
  <c r="AA318" i="208"/>
  <c r="F750" i="208"/>
  <c r="T750" i="208" s="1"/>
  <c r="F885" i="208"/>
  <c r="T885" i="208" s="1"/>
  <c r="AB963" i="208"/>
  <c r="AA1038" i="208"/>
  <c r="F1359" i="208"/>
  <c r="T1359" i="208" s="1"/>
  <c r="F1470" i="208"/>
  <c r="T1470" i="208" s="1"/>
  <c r="AB1067" i="208"/>
  <c r="AA1352" i="208"/>
  <c r="AB1499" i="208"/>
  <c r="AA1789" i="208"/>
  <c r="AA1933" i="208"/>
  <c r="F2077" i="208"/>
  <c r="T2077" i="208" s="1"/>
  <c r="F2509" i="208"/>
  <c r="T2509" i="208" s="1"/>
  <c r="F1501" i="208"/>
  <c r="T1501" i="208" s="1"/>
  <c r="F1600" i="208"/>
  <c r="T1600" i="208" s="1"/>
  <c r="AA2611" i="208"/>
  <c r="AB2653" i="208"/>
  <c r="AB2896" i="208"/>
  <c r="AB2187" i="208"/>
  <c r="AA1605" i="208"/>
  <c r="V2504" i="208"/>
  <c r="AA2795" i="208"/>
  <c r="V2792" i="208"/>
  <c r="AF1210" i="208"/>
  <c r="AE632" i="208"/>
  <c r="AE491" i="208"/>
  <c r="F2417" i="208"/>
  <c r="T2417" i="208" s="1"/>
  <c r="F2076" i="208"/>
  <c r="T2076" i="208" s="1"/>
  <c r="AA637" i="208"/>
  <c r="F880" i="208"/>
  <c r="T880" i="208" s="1"/>
  <c r="F1171" i="208"/>
  <c r="T1171" i="208" s="1"/>
  <c r="AB1456" i="208"/>
  <c r="AB318" i="208"/>
  <c r="AA606" i="208"/>
  <c r="AB1038" i="208"/>
  <c r="AA1461" i="208"/>
  <c r="AB1789" i="208"/>
  <c r="AB1933" i="208"/>
  <c r="AA2320" i="208"/>
  <c r="F2611" i="208"/>
  <c r="T2611" i="208" s="1"/>
  <c r="F2653" i="208"/>
  <c r="T2653" i="208" s="1"/>
  <c r="V2613" i="208"/>
  <c r="AA2939" i="208"/>
  <c r="AA2507" i="208"/>
  <c r="AA1891" i="208"/>
  <c r="AE1024" i="208"/>
  <c r="AF1171" i="208"/>
  <c r="AF1213" i="208"/>
  <c r="AE1312" i="208"/>
  <c r="AF1371" i="208"/>
  <c r="AE2074" i="208"/>
  <c r="AF2469" i="208"/>
  <c r="V2611" i="208"/>
  <c r="F2438" i="208"/>
  <c r="T2438" i="208" s="1"/>
  <c r="V1744" i="208"/>
  <c r="V689" i="208"/>
  <c r="F2679" i="208"/>
  <c r="T2679" i="208" s="1"/>
  <c r="V1644" i="208"/>
  <c r="V453" i="208"/>
  <c r="V597" i="208"/>
  <c r="V1167" i="208"/>
  <c r="V903" i="208"/>
  <c r="V1371" i="208"/>
  <c r="V2938" i="208"/>
  <c r="V347" i="208"/>
  <c r="F1067" i="208"/>
  <c r="T1067" i="208" s="1"/>
  <c r="F1142" i="208"/>
  <c r="T1142" i="208" s="1"/>
  <c r="F1862" i="208"/>
  <c r="T1862" i="208" s="1"/>
  <c r="V2006" i="208"/>
  <c r="F1788" i="208"/>
  <c r="T1788" i="208" s="1"/>
  <c r="V2076" i="208"/>
  <c r="F2469" i="208"/>
  <c r="T2469" i="208" s="1"/>
  <c r="F2613" i="208"/>
  <c r="T2613" i="208" s="1"/>
  <c r="F2757" i="208"/>
  <c r="T2757" i="208" s="1"/>
  <c r="F2901" i="208"/>
  <c r="T2901" i="208" s="1"/>
  <c r="F2364" i="208"/>
  <c r="T2364" i="208" s="1"/>
  <c r="AA448" i="208"/>
  <c r="AB637" i="208"/>
  <c r="F883" i="208"/>
  <c r="T883" i="208" s="1"/>
  <c r="AA1213" i="208"/>
  <c r="F1456" i="208"/>
  <c r="T1456" i="208" s="1"/>
  <c r="AB606" i="208"/>
  <c r="AA741" i="208"/>
  <c r="F1038" i="208"/>
  <c r="T1038" i="208" s="1"/>
  <c r="AB1461" i="208"/>
  <c r="AB920" i="208"/>
  <c r="AA1355" i="208"/>
  <c r="AA1430" i="208"/>
  <c r="F1789" i="208"/>
  <c r="T1789" i="208" s="1"/>
  <c r="F1933" i="208"/>
  <c r="T1933" i="208" s="1"/>
  <c r="AA2035" i="208"/>
  <c r="F2320" i="208"/>
  <c r="T2320" i="208" s="1"/>
  <c r="AA2797" i="208"/>
  <c r="AA2622" i="208"/>
  <c r="AB2901" i="208"/>
  <c r="AA2648" i="208"/>
  <c r="AA2216" i="208"/>
  <c r="AA2650" i="208"/>
  <c r="AB2941" i="208"/>
  <c r="AE459" i="208"/>
  <c r="AE750" i="208"/>
  <c r="AE2075" i="208"/>
  <c r="AE347" i="208"/>
  <c r="V1027" i="208"/>
  <c r="F2582" i="208"/>
  <c r="T2582" i="208" s="1"/>
  <c r="V2362" i="208"/>
  <c r="V1931" i="208"/>
  <c r="F2006" i="208"/>
  <c r="T2006" i="208" s="1"/>
  <c r="V492" i="208"/>
  <c r="V636" i="208"/>
  <c r="V1459" i="208"/>
  <c r="V1500" i="208"/>
  <c r="V2506" i="208"/>
  <c r="F635" i="208"/>
  <c r="T635" i="208" s="1"/>
  <c r="V1067" i="208"/>
  <c r="V1142" i="208"/>
  <c r="V1784" i="208"/>
  <c r="V1862" i="208"/>
  <c r="F2622" i="208"/>
  <c r="T2622" i="208" s="1"/>
  <c r="F2766" i="208"/>
  <c r="T2766" i="208" s="1"/>
  <c r="F2910" i="208"/>
  <c r="T2910" i="208" s="1"/>
  <c r="V1788" i="208"/>
  <c r="V348" i="208"/>
  <c r="AB448" i="208"/>
  <c r="F637" i="208"/>
  <c r="T637" i="208" s="1"/>
  <c r="AA925" i="208"/>
  <c r="AB1213" i="208"/>
  <c r="F1459" i="208"/>
  <c r="T1459" i="208" s="1"/>
  <c r="AA459" i="208"/>
  <c r="F606" i="208"/>
  <c r="T606" i="208" s="1"/>
  <c r="F741" i="208"/>
  <c r="T741" i="208" s="1"/>
  <c r="AA1326" i="208"/>
  <c r="F1461" i="208"/>
  <c r="T1461" i="208" s="1"/>
  <c r="AA632" i="208"/>
  <c r="AA923" i="208"/>
  <c r="AB1355" i="208"/>
  <c r="AB2362" i="208"/>
  <c r="AA1744" i="208"/>
  <c r="F2035" i="208"/>
  <c r="T2035" i="208" s="1"/>
  <c r="AB2797" i="208"/>
  <c r="AA2334" i="208"/>
  <c r="AB2622" i="208"/>
  <c r="AB2648" i="208"/>
  <c r="AB2216" i="208"/>
  <c r="AA1928" i="208"/>
  <c r="AA1786" i="208"/>
  <c r="F2650" i="208"/>
  <c r="T2650" i="208" s="1"/>
  <c r="AE462" i="208"/>
  <c r="AE2150" i="208"/>
  <c r="AE998" i="208"/>
  <c r="F2870" i="208"/>
  <c r="T2870" i="208" s="1"/>
  <c r="V459" i="208"/>
  <c r="V1212" i="208"/>
  <c r="V2032" i="208"/>
  <c r="V1642" i="208"/>
  <c r="V2179" i="208"/>
  <c r="V2794" i="208"/>
  <c r="V635" i="208"/>
  <c r="F923" i="208"/>
  <c r="T923" i="208" s="1"/>
  <c r="F998" i="208"/>
  <c r="T998" i="208" s="1"/>
  <c r="F1787" i="208"/>
  <c r="T1787" i="208" s="1"/>
  <c r="F2859" i="208"/>
  <c r="T2859" i="208" s="1"/>
  <c r="F2478" i="208"/>
  <c r="T2478" i="208" s="1"/>
  <c r="V309" i="208"/>
  <c r="F1899" i="208"/>
  <c r="T1899" i="208" s="1"/>
  <c r="V2220" i="208"/>
  <c r="F448" i="208"/>
  <c r="T448" i="208" s="1"/>
  <c r="AA736" i="208"/>
  <c r="AB925" i="208"/>
  <c r="F1213" i="208"/>
  <c r="T1213" i="208" s="1"/>
  <c r="AA462" i="208"/>
  <c r="AA780" i="208"/>
  <c r="AB1326" i="208"/>
  <c r="AB1500" i="208"/>
  <c r="AA488" i="208"/>
  <c r="AB632" i="208"/>
  <c r="AB923" i="208"/>
  <c r="F2074" i="208"/>
  <c r="T2074" i="208" s="1"/>
  <c r="AB2467" i="208"/>
  <c r="AB1744" i="208"/>
  <c r="F2797" i="208"/>
  <c r="T2797" i="208" s="1"/>
  <c r="AB2334" i="208"/>
  <c r="V2622" i="208"/>
  <c r="AA2910" i="208"/>
  <c r="AB2757" i="208"/>
  <c r="AA1784" i="208"/>
  <c r="V2648" i="208"/>
  <c r="AA2936" i="208"/>
  <c r="AB2363" i="208"/>
  <c r="AB1928" i="208"/>
  <c r="AB2705" i="208"/>
  <c r="AF2221" i="208"/>
  <c r="AF2218" i="208"/>
  <c r="V606" i="208"/>
  <c r="V1354" i="208"/>
  <c r="V2320" i="208"/>
  <c r="V1786" i="208"/>
  <c r="V1891" i="208"/>
  <c r="V2035" i="208"/>
  <c r="V2176" i="208"/>
  <c r="V2755" i="208"/>
  <c r="V2608" i="208"/>
  <c r="F566" i="208"/>
  <c r="T566" i="208" s="1"/>
  <c r="V923" i="208"/>
  <c r="V998" i="208"/>
  <c r="V1787" i="208"/>
  <c r="F2072" i="208"/>
  <c r="T2072" i="208" s="1"/>
  <c r="F2561" i="208"/>
  <c r="T2561" i="208" s="1"/>
  <c r="F2705" i="208"/>
  <c r="T2705" i="208" s="1"/>
  <c r="F2849" i="208"/>
  <c r="T2849" i="208" s="1"/>
  <c r="F2993" i="208"/>
  <c r="T2993" i="208" s="1"/>
  <c r="F1893" i="208"/>
  <c r="T1893" i="208" s="1"/>
  <c r="V1899" i="208"/>
  <c r="F451" i="208"/>
  <c r="T451" i="208" s="1"/>
  <c r="AB736" i="208"/>
  <c r="F925" i="208"/>
  <c r="T925" i="208" s="1"/>
  <c r="AA1312" i="208"/>
  <c r="AB462" i="208"/>
  <c r="AA597" i="208"/>
  <c r="AA1029" i="208"/>
  <c r="AA1182" i="208"/>
  <c r="F1326" i="208"/>
  <c r="T1326" i="208" s="1"/>
  <c r="AA1527" i="208"/>
  <c r="AA344" i="208"/>
  <c r="AB488" i="208"/>
  <c r="AA635" i="208"/>
  <c r="AA776" i="208"/>
  <c r="AA1208" i="208"/>
  <c r="AA1286" i="208"/>
  <c r="AB2179" i="208"/>
  <c r="F1744" i="208"/>
  <c r="T1744" i="208" s="1"/>
  <c r="AB1888" i="208"/>
  <c r="AB2910" i="208"/>
  <c r="AA1902" i="208"/>
  <c r="AA2766" i="208"/>
  <c r="AB1784" i="208"/>
  <c r="AA2072" i="208"/>
  <c r="AB2936" i="208"/>
  <c r="AB2294" i="208"/>
  <c r="V2993" i="208"/>
  <c r="AA1645" i="208"/>
  <c r="AF1167" i="208"/>
  <c r="AE2849" i="208"/>
  <c r="AE1605" i="208"/>
  <c r="AE2910" i="208"/>
  <c r="V699" i="208"/>
  <c r="V1312" i="208"/>
  <c r="F710" i="208"/>
  <c r="T710" i="208" s="1"/>
  <c r="F1286" i="208"/>
  <c r="T1286" i="208" s="1"/>
  <c r="V1985" i="208"/>
  <c r="V710" i="208"/>
  <c r="V1286" i="208"/>
  <c r="V1614" i="208"/>
  <c r="V462" i="208"/>
  <c r="V448" i="208"/>
  <c r="V592" i="208"/>
  <c r="V880" i="208"/>
  <c r="V1024" i="208"/>
  <c r="V1527" i="208"/>
  <c r="V1029" i="208"/>
  <c r="V1317" i="208"/>
  <c r="V771" i="208"/>
  <c r="V2323" i="208"/>
  <c r="V545" i="208"/>
  <c r="V566" i="208"/>
  <c r="F779" i="208"/>
  <c r="T779" i="208" s="1"/>
  <c r="F854" i="208"/>
  <c r="T854" i="208" s="1"/>
  <c r="F1643" i="208"/>
  <c r="T1643" i="208" s="1"/>
  <c r="F1718" i="208"/>
  <c r="T1718" i="208" s="1"/>
  <c r="V2072" i="208"/>
  <c r="F2219" i="208"/>
  <c r="T2219" i="208" s="1"/>
  <c r="V2273" i="208"/>
  <c r="V1893" i="208"/>
  <c r="F2150" i="208"/>
  <c r="T2150" i="208" s="1"/>
  <c r="AA493" i="208"/>
  <c r="F736" i="208"/>
  <c r="T736" i="208" s="1"/>
  <c r="AA1024" i="208"/>
  <c r="AB1312" i="208"/>
  <c r="F462" i="208"/>
  <c r="T462" i="208" s="1"/>
  <c r="F597" i="208"/>
  <c r="T597" i="208" s="1"/>
  <c r="AA1068" i="208"/>
  <c r="AB1182" i="208"/>
  <c r="AA1317" i="208"/>
  <c r="AB1527" i="208"/>
  <c r="AB344" i="208"/>
  <c r="AA491" i="208"/>
  <c r="AB635" i="208"/>
  <c r="AA689" i="208"/>
  <c r="AB776" i="208"/>
  <c r="AB1208" i="208"/>
  <c r="F1747" i="208"/>
  <c r="T1747" i="208" s="1"/>
  <c r="V2910" i="208"/>
  <c r="AA1614" i="208"/>
  <c r="AB1902" i="208"/>
  <c r="AB2766" i="208"/>
  <c r="AA1899" i="208"/>
  <c r="AB2072" i="208"/>
  <c r="AB1931" i="208"/>
  <c r="V2936" i="208"/>
  <c r="F1645" i="208"/>
  <c r="T1645" i="208" s="1"/>
  <c r="AE2176" i="208"/>
  <c r="AE2622" i="208"/>
  <c r="AE1718" i="208"/>
  <c r="AE1499" i="208"/>
  <c r="V1211" i="208"/>
  <c r="F349" i="208"/>
  <c r="T349" i="208" s="1"/>
  <c r="V307" i="208"/>
  <c r="V451" i="208"/>
  <c r="V595" i="208"/>
  <c r="V1210" i="208"/>
  <c r="V736" i="208"/>
  <c r="V883" i="208"/>
  <c r="V1326" i="208"/>
  <c r="V1930" i="208"/>
  <c r="V2218" i="208"/>
  <c r="V2467" i="208"/>
  <c r="V2896" i="208"/>
  <c r="V779" i="208"/>
  <c r="V854" i="208"/>
  <c r="V1643" i="208"/>
  <c r="V1718" i="208"/>
  <c r="V2219" i="208"/>
  <c r="F2103" i="208"/>
  <c r="T2103" i="208" s="1"/>
  <c r="F2504" i="208"/>
  <c r="T2504" i="208" s="1"/>
  <c r="F2648" i="208"/>
  <c r="T2648" i="208" s="1"/>
  <c r="F2792" i="208"/>
  <c r="T2792" i="208" s="1"/>
  <c r="F2936" i="208"/>
  <c r="T2936" i="208" s="1"/>
  <c r="F2037" i="208"/>
  <c r="T2037" i="208" s="1"/>
  <c r="F2325" i="208"/>
  <c r="T2325" i="208" s="1"/>
  <c r="F2360" i="208"/>
  <c r="T2360" i="208" s="1"/>
  <c r="V2150" i="208"/>
  <c r="AB493" i="208"/>
  <c r="F739" i="208"/>
  <c r="T739" i="208" s="1"/>
  <c r="AB1024" i="208"/>
  <c r="F1312" i="208"/>
  <c r="T1312" i="208" s="1"/>
  <c r="AA636" i="208"/>
  <c r="AA771" i="208"/>
  <c r="AA894" i="208"/>
  <c r="F1182" i="208"/>
  <c r="T1182" i="208" s="1"/>
  <c r="AB1317" i="208"/>
  <c r="AB1383" i="208"/>
  <c r="F1527" i="208"/>
  <c r="T1527" i="208" s="1"/>
  <c r="AA347" i="208"/>
  <c r="AB491" i="208"/>
  <c r="AA545" i="208"/>
  <c r="AA779" i="208"/>
  <c r="AA1211" i="208"/>
  <c r="AB2938" i="208"/>
  <c r="AB2679" i="208"/>
  <c r="AB1614" i="208"/>
  <c r="V2766" i="208"/>
  <c r="AA2478" i="208"/>
  <c r="AB2075" i="208"/>
  <c r="AE854" i="208"/>
  <c r="AE401" i="208"/>
  <c r="AF1352" i="208"/>
  <c r="AE1430" i="208"/>
  <c r="V1168" i="208"/>
  <c r="V1315" i="208"/>
  <c r="V1171" i="208"/>
  <c r="V346" i="208"/>
  <c r="V490" i="208"/>
  <c r="V634" i="208"/>
  <c r="V1456" i="208"/>
  <c r="V739" i="208"/>
  <c r="V741" i="208"/>
  <c r="V885" i="208"/>
  <c r="V1068" i="208"/>
  <c r="V2074" i="208"/>
  <c r="V2464" i="208"/>
  <c r="V2650" i="208"/>
  <c r="F491" i="208"/>
  <c r="T491" i="208" s="1"/>
  <c r="F1499" i="208"/>
  <c r="T1499" i="208" s="1"/>
  <c r="F1574" i="208"/>
  <c r="T1574" i="208" s="1"/>
  <c r="V2103" i="208"/>
  <c r="V2037" i="208"/>
  <c r="V2325" i="208"/>
  <c r="F493" i="208"/>
  <c r="T493" i="208" s="1"/>
  <c r="AA781" i="208"/>
  <c r="F1024" i="208"/>
  <c r="T1024" i="208" s="1"/>
  <c r="F1315" i="208"/>
  <c r="T1315" i="208" s="1"/>
  <c r="AA699" i="208"/>
  <c r="AB771" i="208"/>
  <c r="AB894" i="208"/>
  <c r="F1317" i="208"/>
  <c r="T1317" i="208" s="1"/>
  <c r="AA1383" i="208"/>
  <c r="AB347" i="208"/>
  <c r="AA710" i="208"/>
  <c r="AB779" i="208"/>
  <c r="AB1211" i="208"/>
  <c r="AA2608" i="208"/>
  <c r="AA2190" i="208"/>
  <c r="AB2478" i="208"/>
  <c r="AA1697" i="208"/>
  <c r="AB1930" i="208"/>
  <c r="F2323" i="208"/>
  <c r="T2323" i="208" s="1"/>
  <c r="AE307" i="208"/>
  <c r="AF493" i="208"/>
  <c r="AE2795" i="208"/>
  <c r="AF1932" i="208"/>
  <c r="AF1788" i="208"/>
  <c r="AE779" i="208"/>
  <c r="F1211" i="208"/>
  <c r="T1211" i="208" s="1"/>
  <c r="F1931" i="208"/>
  <c r="T1931" i="208" s="1"/>
  <c r="F2726" i="208"/>
  <c r="T2726" i="208" s="1"/>
  <c r="V1038" i="208"/>
  <c r="F347" i="208"/>
  <c r="T347" i="208" s="1"/>
  <c r="V1749" i="208"/>
  <c r="V349" i="208"/>
  <c r="V493" i="208"/>
  <c r="V637" i="208"/>
  <c r="V1498" i="208"/>
  <c r="V778" i="208"/>
  <c r="V780" i="208"/>
  <c r="V924" i="208"/>
  <c r="V1600" i="208"/>
  <c r="V2752" i="208"/>
  <c r="V491" i="208"/>
  <c r="V1499" i="208"/>
  <c r="V1574" i="208"/>
  <c r="F1758" i="208"/>
  <c r="T1758" i="208" s="1"/>
  <c r="F2181" i="208"/>
  <c r="T2181" i="208" s="1"/>
  <c r="F2046" i="208"/>
  <c r="T2046" i="208" s="1"/>
  <c r="F318" i="208"/>
  <c r="T318" i="208" s="1"/>
  <c r="AA592" i="208"/>
  <c r="AB781" i="208"/>
  <c r="F1027" i="208"/>
  <c r="T1027" i="208" s="1"/>
  <c r="AA1357" i="208"/>
  <c r="AA348" i="208"/>
  <c r="AB699" i="208"/>
  <c r="F771" i="208"/>
  <c r="T771" i="208" s="1"/>
  <c r="F894" i="208"/>
  <c r="T894" i="208" s="1"/>
  <c r="AA1173" i="208"/>
  <c r="AB1356" i="208"/>
  <c r="F1383" i="208"/>
  <c r="T1383" i="208" s="1"/>
  <c r="AB422" i="208"/>
  <c r="AA1064" i="208"/>
  <c r="AA1496" i="208"/>
  <c r="AB2608" i="208"/>
  <c r="AA1893" i="208"/>
  <c r="V2940" i="208"/>
  <c r="AA1749" i="208"/>
  <c r="AB2190" i="208"/>
  <c r="V2478" i="208"/>
  <c r="AA2582" i="208"/>
  <c r="AE1029" i="208"/>
  <c r="AE1317" i="208"/>
  <c r="AF1930" i="208"/>
  <c r="AE2077" i="208"/>
  <c r="AF2365" i="208"/>
  <c r="AF286" i="208"/>
  <c r="AA422" i="208"/>
  <c r="AB545" i="208"/>
  <c r="AA2179" i="208"/>
  <c r="AA2362" i="208"/>
  <c r="AA2506" i="208"/>
  <c r="AB2035" i="208"/>
  <c r="AA1600" i="208"/>
  <c r="F1888" i="208"/>
  <c r="T1888" i="208" s="1"/>
  <c r="AB2320" i="208"/>
  <c r="AB2611" i="208"/>
  <c r="AA2938" i="208"/>
  <c r="AA2901" i="208"/>
  <c r="V2757" i="208"/>
  <c r="AB2582" i="208"/>
  <c r="AA2294" i="208"/>
  <c r="AA2363" i="208"/>
  <c r="AA2651" i="208"/>
  <c r="AA2705" i="208"/>
  <c r="AA2792" i="208"/>
  <c r="AA2849" i="208"/>
  <c r="F1930" i="208"/>
  <c r="T1930" i="208" s="1"/>
  <c r="AB2650" i="208"/>
  <c r="AF307" i="208"/>
  <c r="AE346" i="208"/>
  <c r="AF739" i="208"/>
  <c r="AE778" i="208"/>
  <c r="AE1213" i="208"/>
  <c r="AF1501" i="208"/>
  <c r="AF459" i="208"/>
  <c r="AF1029" i="208"/>
  <c r="AE1068" i="208"/>
  <c r="AE1167" i="208"/>
  <c r="AF1317" i="208"/>
  <c r="AE1356" i="208"/>
  <c r="AE1470" i="208"/>
  <c r="AF2176" i="208"/>
  <c r="AE2651" i="208"/>
  <c r="AE2323" i="208"/>
  <c r="AE2650" i="208"/>
  <c r="AF2075" i="208"/>
  <c r="AF2360" i="208"/>
  <c r="AF2795" i="208"/>
  <c r="AE2936" i="208"/>
  <c r="AE1642" i="208"/>
  <c r="AF2074" i="208"/>
  <c r="AE1899" i="208"/>
  <c r="AE2076" i="208"/>
  <c r="AE2478" i="208"/>
  <c r="AE2859" i="208"/>
  <c r="AF2849" i="208"/>
  <c r="AF2190" i="208"/>
  <c r="AE2726" i="208"/>
  <c r="AF2613" i="208"/>
  <c r="AF1605" i="208"/>
  <c r="AE1749" i="208"/>
  <c r="AE2334" i="208"/>
  <c r="AF2622" i="208"/>
  <c r="AF2910" i="208"/>
  <c r="AF347" i="208"/>
  <c r="AF854" i="208"/>
  <c r="AE488" i="208"/>
  <c r="AF632" i="208"/>
  <c r="AE1355" i="208"/>
  <c r="AF401" i="208"/>
  <c r="AF1718" i="208"/>
  <c r="AF2150" i="208"/>
  <c r="AF491" i="208"/>
  <c r="AF635" i="208"/>
  <c r="AF779" i="208"/>
  <c r="AE833" i="208"/>
  <c r="AF998" i="208"/>
  <c r="AE1286" i="208"/>
  <c r="AF1430" i="208"/>
  <c r="AF1499" i="208"/>
  <c r="AE1985" i="208"/>
  <c r="AF2792" i="208"/>
  <c r="AF346" i="208"/>
  <c r="AF778" i="208"/>
  <c r="AF1068" i="208"/>
  <c r="AF1356" i="208"/>
  <c r="AE1786" i="208"/>
  <c r="AF2323" i="208"/>
  <c r="AF2650" i="208"/>
  <c r="AF2936" i="208"/>
  <c r="AF1642" i="208"/>
  <c r="AF1899" i="208"/>
  <c r="AF2076" i="208"/>
  <c r="AF2478" i="208"/>
  <c r="AF2859" i="208"/>
  <c r="AE689" i="208"/>
  <c r="AE2870" i="208"/>
  <c r="AE2679" i="208"/>
  <c r="AE2766" i="208"/>
  <c r="AF2726" i="208"/>
  <c r="AF1749" i="208"/>
  <c r="AF2334" i="208"/>
  <c r="AE545" i="208"/>
  <c r="AE776" i="208"/>
  <c r="AE920" i="208"/>
  <c r="AE1208" i="208"/>
  <c r="AE1265" i="208"/>
  <c r="AE1553" i="208"/>
  <c r="AE2417" i="208"/>
  <c r="AF488" i="208"/>
  <c r="AF1355" i="208"/>
  <c r="AE1643" i="208"/>
  <c r="AF833" i="208"/>
  <c r="AE1142" i="208"/>
  <c r="AF1286" i="208"/>
  <c r="AF1985" i="208"/>
  <c r="AE2507" i="208"/>
  <c r="F689" i="208"/>
  <c r="T689" i="208" s="1"/>
  <c r="F2273" i="208"/>
  <c r="T2273" i="208" s="1"/>
  <c r="F309" i="208"/>
  <c r="T309" i="208" s="1"/>
  <c r="F348" i="208"/>
  <c r="T348" i="208" s="1"/>
  <c r="AA1171" i="208"/>
  <c r="AA1315" i="208"/>
  <c r="AA1459" i="208"/>
  <c r="AB453" i="208"/>
  <c r="AB597" i="208"/>
  <c r="AB741" i="208"/>
  <c r="AB885" i="208"/>
  <c r="AB1029" i="208"/>
  <c r="F1173" i="208"/>
  <c r="T1173" i="208" s="1"/>
  <c r="AA566" i="208"/>
  <c r="AB689" i="208"/>
  <c r="AA1265" i="208"/>
  <c r="AA1409" i="208"/>
  <c r="F2179" i="208"/>
  <c r="T2179" i="208" s="1"/>
  <c r="F2362" i="208"/>
  <c r="T2362" i="208" s="1"/>
  <c r="F2506" i="208"/>
  <c r="T2506" i="208" s="1"/>
  <c r="F2938" i="208"/>
  <c r="T2938" i="208" s="1"/>
  <c r="V2901" i="208"/>
  <c r="AB1749" i="208"/>
  <c r="AA1788" i="208"/>
  <c r="AB1899" i="208"/>
  <c r="AB1697" i="208"/>
  <c r="AA2273" i="208"/>
  <c r="AB2507" i="208"/>
  <c r="V2651" i="208"/>
  <c r="AA2150" i="208"/>
  <c r="V2705" i="208"/>
  <c r="V2849" i="208"/>
  <c r="AB1786" i="208"/>
  <c r="AB1891" i="208"/>
  <c r="AE349" i="208"/>
  <c r="AF592" i="208"/>
  <c r="AE781" i="208"/>
  <c r="AF1024" i="208"/>
  <c r="AF1312" i="208"/>
  <c r="AF309" i="208"/>
  <c r="AE348" i="208"/>
  <c r="AF462" i="208"/>
  <c r="AE597" i="208"/>
  <c r="AF750" i="208"/>
  <c r="AE1359" i="208"/>
  <c r="AE1527" i="208"/>
  <c r="AE1789" i="208"/>
  <c r="AF2077" i="208"/>
  <c r="AE2611" i="208"/>
  <c r="AF1786" i="208"/>
  <c r="AE2179" i="208"/>
  <c r="AE1758" i="208"/>
  <c r="AF689" i="208"/>
  <c r="AF2870" i="208"/>
  <c r="AF2679" i="208"/>
  <c r="AF2766" i="208"/>
  <c r="AE2901" i="208"/>
  <c r="AE2939" i="208"/>
  <c r="AE2325" i="208"/>
  <c r="AE1614" i="208"/>
  <c r="AF545" i="208"/>
  <c r="AF776" i="208"/>
  <c r="AF920" i="208"/>
  <c r="AF1208" i="208"/>
  <c r="AF1265" i="208"/>
  <c r="AF1553" i="208"/>
  <c r="AF2417" i="208"/>
  <c r="AE2129" i="208"/>
  <c r="AF1643" i="208"/>
  <c r="AF1142" i="208"/>
  <c r="AF2507" i="208"/>
  <c r="AB1171" i="208"/>
  <c r="AB1315" i="208"/>
  <c r="AB1459" i="208"/>
  <c r="F1029" i="208"/>
  <c r="T1029" i="208" s="1"/>
  <c r="AA1212" i="208"/>
  <c r="AA1356" i="208"/>
  <c r="AA1500" i="208"/>
  <c r="AB566" i="208"/>
  <c r="AB1265" i="208"/>
  <c r="AB1409" i="208"/>
  <c r="AA2467" i="208"/>
  <c r="AA2794" i="208"/>
  <c r="AA2896" i="208"/>
  <c r="AA2076" i="208"/>
  <c r="AA2679" i="208"/>
  <c r="AB1788" i="208"/>
  <c r="AA1862" i="208"/>
  <c r="AA2075" i="208"/>
  <c r="AA1718" i="208"/>
  <c r="AA1931" i="208"/>
  <c r="AA2006" i="208"/>
  <c r="AB2273" i="208"/>
  <c r="V2507" i="208"/>
  <c r="AB2150" i="208"/>
  <c r="AA2438" i="208"/>
  <c r="AB1645" i="208"/>
  <c r="F1786" i="208"/>
  <c r="T1786" i="208" s="1"/>
  <c r="F1891" i="208"/>
  <c r="T1891" i="208" s="1"/>
  <c r="AA2218" i="208"/>
  <c r="AA2941" i="208"/>
  <c r="AF349" i="208"/>
  <c r="AE595" i="208"/>
  <c r="AF781" i="208"/>
  <c r="AE1027" i="208"/>
  <c r="AE1066" i="208"/>
  <c r="AE1315" i="208"/>
  <c r="AE1354" i="208"/>
  <c r="AF348" i="208"/>
  <c r="AF597" i="208"/>
  <c r="AE636" i="208"/>
  <c r="AE771" i="208"/>
  <c r="AE903" i="208"/>
  <c r="AF1359" i="208"/>
  <c r="AF1527" i="208"/>
  <c r="AF1789" i="208"/>
  <c r="AF2611" i="208"/>
  <c r="AF2179" i="208"/>
  <c r="AE2797" i="208"/>
  <c r="AE2216" i="208"/>
  <c r="AE1600" i="208"/>
  <c r="AF1758" i="208"/>
  <c r="AE2220" i="208"/>
  <c r="AF2901" i="208"/>
  <c r="AF2939" i="208"/>
  <c r="AE1893" i="208"/>
  <c r="AF2325" i="208"/>
  <c r="AF1614" i="208"/>
  <c r="AE2940" i="208"/>
  <c r="AE1496" i="208"/>
  <c r="AE2072" i="208"/>
  <c r="AF2129" i="208"/>
  <c r="AE1574" i="208"/>
  <c r="AE1697" i="208"/>
  <c r="AE1841" i="208"/>
  <c r="AE1928" i="208"/>
  <c r="AA833" i="208"/>
  <c r="AA977" i="208"/>
  <c r="AA1121" i="208"/>
  <c r="AB2794" i="208"/>
  <c r="AB2076" i="208"/>
  <c r="AA2220" i="208"/>
  <c r="AA1553" i="208"/>
  <c r="AA1574" i="208"/>
  <c r="AB1862" i="208"/>
  <c r="AB1718" i="208"/>
  <c r="AA1841" i="208"/>
  <c r="AB2006" i="208"/>
  <c r="AB2438" i="208"/>
  <c r="AB2218" i="208"/>
  <c r="AF595" i="208"/>
  <c r="AE634" i="208"/>
  <c r="AF1027" i="208"/>
  <c r="AF1066" i="208"/>
  <c r="AF1315" i="208"/>
  <c r="AF1354" i="208"/>
  <c r="AF636" i="208"/>
  <c r="AF771" i="208"/>
  <c r="AE885" i="208"/>
  <c r="AF903" i="208"/>
  <c r="AE1038" i="208"/>
  <c r="AE1173" i="208"/>
  <c r="AE1326" i="208"/>
  <c r="AE1603" i="208"/>
  <c r="AE1888" i="208"/>
  <c r="AE1933" i="208"/>
  <c r="AE2035" i="208"/>
  <c r="AF2797" i="208"/>
  <c r="AF2216" i="208"/>
  <c r="AF1600" i="208"/>
  <c r="AE2320" i="208"/>
  <c r="AE2608" i="208"/>
  <c r="AE2653" i="208"/>
  <c r="AE2103" i="208"/>
  <c r="AE2757" i="208"/>
  <c r="AF2220" i="208"/>
  <c r="AE2504" i="208"/>
  <c r="AE2648" i="208"/>
  <c r="AF1893" i="208"/>
  <c r="AF2940" i="208"/>
  <c r="AF1496" i="208"/>
  <c r="AF2072" i="208"/>
  <c r="AE422" i="208"/>
  <c r="AE1211" i="208"/>
  <c r="AF1574" i="208"/>
  <c r="AF1697" i="208"/>
  <c r="AF1841" i="208"/>
  <c r="AF1928" i="208"/>
  <c r="AE2006" i="208"/>
  <c r="AA307" i="208"/>
  <c r="AA451" i="208"/>
  <c r="AA595" i="208"/>
  <c r="AA739" i="208"/>
  <c r="AA883" i="208"/>
  <c r="AA1027" i="208"/>
  <c r="AA1210" i="208"/>
  <c r="AA1354" i="208"/>
  <c r="AB492" i="208"/>
  <c r="AB636" i="208"/>
  <c r="AB780" i="208"/>
  <c r="AB924" i="208"/>
  <c r="AB1068" i="208"/>
  <c r="F1212" i="208"/>
  <c r="T1212" i="208" s="1"/>
  <c r="F1356" i="208"/>
  <c r="T1356" i="208" s="1"/>
  <c r="F1500" i="208"/>
  <c r="T1500" i="208" s="1"/>
  <c r="AB710" i="208"/>
  <c r="AB833" i="208"/>
  <c r="AB977" i="208"/>
  <c r="AB1121" i="208"/>
  <c r="AB1286" i="208"/>
  <c r="AB1430" i="208"/>
  <c r="F2467" i="208"/>
  <c r="T2467" i="208" s="1"/>
  <c r="F2794" i="208"/>
  <c r="T2794" i="208" s="1"/>
  <c r="F2896" i="208"/>
  <c r="T2896" i="208" s="1"/>
  <c r="AB1893" i="208"/>
  <c r="V2679" i="208"/>
  <c r="AB1605" i="208"/>
  <c r="AB2220" i="208"/>
  <c r="AB1553" i="208"/>
  <c r="AB1574" i="208"/>
  <c r="AA2561" i="208"/>
  <c r="AB2939" i="208"/>
  <c r="AB1841" i="208"/>
  <c r="AB2795" i="208"/>
  <c r="AA1985" i="208"/>
  <c r="AA2360" i="208"/>
  <c r="V2438" i="208"/>
  <c r="F2218" i="208"/>
  <c r="T2218" i="208" s="1"/>
  <c r="F2941" i="208"/>
  <c r="T2941" i="208" s="1"/>
  <c r="AE448" i="208"/>
  <c r="AF634" i="208"/>
  <c r="AE880" i="208"/>
  <c r="AE1069" i="208"/>
  <c r="AE1357" i="208"/>
  <c r="AF885" i="208"/>
  <c r="AE924" i="208"/>
  <c r="AF1038" i="208"/>
  <c r="AF1173" i="208"/>
  <c r="AE1212" i="208"/>
  <c r="AF1326" i="208"/>
  <c r="AF1603" i="208"/>
  <c r="AE1645" i="208"/>
  <c r="AE2467" i="208"/>
  <c r="AE2794" i="208"/>
  <c r="AE2941" i="208"/>
  <c r="AF1888" i="208"/>
  <c r="AF1933" i="208"/>
  <c r="AF2035" i="208"/>
  <c r="AE2705" i="208"/>
  <c r="AF2320" i="208"/>
  <c r="AF2608" i="208"/>
  <c r="AF2653" i="208"/>
  <c r="AF2103" i="208"/>
  <c r="AF2757" i="208"/>
  <c r="AE2037" i="208"/>
  <c r="AF2504" i="208"/>
  <c r="AF2648" i="208"/>
  <c r="AE1902" i="208"/>
  <c r="AE566" i="208"/>
  <c r="AE1064" i="208"/>
  <c r="AE1787" i="208"/>
  <c r="AE1931" i="208"/>
  <c r="AE2582" i="208"/>
  <c r="AE344" i="208"/>
  <c r="AF422" i="208"/>
  <c r="AF1211" i="208"/>
  <c r="AF2006" i="208"/>
  <c r="F545" i="208"/>
  <c r="T545" i="208" s="1"/>
  <c r="F1985" i="208"/>
  <c r="T1985" i="208" s="1"/>
  <c r="F2129" i="208"/>
  <c r="T2129" i="208" s="1"/>
  <c r="F2220" i="208"/>
  <c r="T2220" i="208" s="1"/>
  <c r="AB307" i="208"/>
  <c r="AB451" i="208"/>
  <c r="AB595" i="208"/>
  <c r="AB739" i="208"/>
  <c r="AB883" i="208"/>
  <c r="AB1027" i="208"/>
  <c r="AB1210" i="208"/>
  <c r="AB1354" i="208"/>
  <c r="F492" i="208"/>
  <c r="T492" i="208" s="1"/>
  <c r="F636" i="208"/>
  <c r="T636" i="208" s="1"/>
  <c r="F780" i="208"/>
  <c r="T780" i="208" s="1"/>
  <c r="F924" i="208"/>
  <c r="T924" i="208" s="1"/>
  <c r="F1068" i="208"/>
  <c r="T1068" i="208" s="1"/>
  <c r="AA1167" i="208"/>
  <c r="AA1371" i="208"/>
  <c r="AA854" i="208"/>
  <c r="AA998" i="208"/>
  <c r="AA1142" i="208"/>
  <c r="AA2755" i="208"/>
  <c r="AA2643" i="208"/>
  <c r="AA2103" i="208"/>
  <c r="AA2364" i="208"/>
  <c r="AA2469" i="208"/>
  <c r="AA2652" i="208"/>
  <c r="AB2561" i="208"/>
  <c r="V2939" i="208"/>
  <c r="V2795" i="208"/>
  <c r="AB1985" i="208"/>
  <c r="AB2360" i="208"/>
  <c r="AA2726" i="208"/>
  <c r="AA2221" i="208"/>
  <c r="AA2365" i="208"/>
  <c r="AA2464" i="208"/>
  <c r="AA2899" i="208"/>
  <c r="AF448" i="208"/>
  <c r="AE637" i="208"/>
  <c r="AF880" i="208"/>
  <c r="AF1069" i="208"/>
  <c r="AF1357" i="208"/>
  <c r="AE318" i="208"/>
  <c r="AF924" i="208"/>
  <c r="AF1212" i="208"/>
  <c r="AE1383" i="208"/>
  <c r="AF1645" i="208"/>
  <c r="AF2467" i="208"/>
  <c r="AE2506" i="208"/>
  <c r="AF2794" i="208"/>
  <c r="AF2941" i="208"/>
  <c r="AE1744" i="208"/>
  <c r="AE1891" i="208"/>
  <c r="AF2705" i="208"/>
  <c r="AE2464" i="208"/>
  <c r="AE2752" i="208"/>
  <c r="AE2187" i="208"/>
  <c r="AF2037" i="208"/>
  <c r="AF1902" i="208"/>
  <c r="AE2439" i="208"/>
  <c r="AF566" i="208"/>
  <c r="AF1064" i="208"/>
  <c r="AF1787" i="208"/>
  <c r="AF1931" i="208"/>
  <c r="AF2582" i="208"/>
  <c r="AF344" i="208"/>
  <c r="F1210" i="208"/>
  <c r="T1210" i="208" s="1"/>
  <c r="F1354" i="208"/>
  <c r="T1354" i="208" s="1"/>
  <c r="AA903" i="208"/>
  <c r="AB1167" i="208"/>
  <c r="AB1371" i="208"/>
  <c r="AB854" i="208"/>
  <c r="AB998" i="208"/>
  <c r="AB1142" i="208"/>
  <c r="AB2755" i="208"/>
  <c r="AA1642" i="208"/>
  <c r="AA2032" i="208"/>
  <c r="AB2643" i="208"/>
  <c r="AA2859" i="208"/>
  <c r="AB2103" i="208"/>
  <c r="AB2364" i="208"/>
  <c r="AB2469" i="208"/>
  <c r="AB2652" i="208"/>
  <c r="AA2325" i="208"/>
  <c r="AA2796" i="208"/>
  <c r="V2561" i="208"/>
  <c r="AA2870" i="208"/>
  <c r="AA1640" i="208"/>
  <c r="AA1787" i="208"/>
  <c r="V2360" i="208"/>
  <c r="AB2726" i="208"/>
  <c r="AA2176" i="208"/>
  <c r="AB2221" i="208"/>
  <c r="AB2365" i="208"/>
  <c r="AB2464" i="208"/>
  <c r="AB2899" i="208"/>
  <c r="AE451" i="208"/>
  <c r="AF637" i="208"/>
  <c r="AE883" i="208"/>
  <c r="AE1456" i="208"/>
  <c r="AF318" i="208"/>
  <c r="AE606" i="208"/>
  <c r="AE963" i="208"/>
  <c r="AF1383" i="208"/>
  <c r="AE1461" i="208"/>
  <c r="AE2032" i="208"/>
  <c r="AF2506" i="208"/>
  <c r="AE2899" i="208"/>
  <c r="AE2273" i="208"/>
  <c r="AE2438" i="208"/>
  <c r="AF1744" i="208"/>
  <c r="AF1891" i="208"/>
  <c r="AE2755" i="208"/>
  <c r="AE2938" i="208"/>
  <c r="AF2464" i="208"/>
  <c r="AF2752" i="208"/>
  <c r="AF2187" i="208"/>
  <c r="AE2643" i="208"/>
  <c r="AE2046" i="208"/>
  <c r="AE2993" i="208"/>
  <c r="AF2439" i="208"/>
  <c r="AE923" i="208"/>
  <c r="AE1067" i="208"/>
  <c r="AE1409" i="208"/>
  <c r="AE1784" i="208"/>
  <c r="AE1862" i="208"/>
  <c r="AE2219" i="208"/>
  <c r="F833" i="208"/>
  <c r="T833" i="208" s="1"/>
  <c r="F977" i="208"/>
  <c r="T977" i="208" s="1"/>
  <c r="F1121" i="208"/>
  <c r="T1121" i="208" s="1"/>
  <c r="F1265" i="208"/>
  <c r="T1265" i="208" s="1"/>
  <c r="F1409" i="208"/>
  <c r="T1409" i="208" s="1"/>
  <c r="F1553" i="208"/>
  <c r="T1553" i="208" s="1"/>
  <c r="F1697" i="208"/>
  <c r="T1697" i="208" s="1"/>
  <c r="F1841" i="208"/>
  <c r="T1841" i="208" s="1"/>
  <c r="F2643" i="208"/>
  <c r="T2643" i="208" s="1"/>
  <c r="F1932" i="208"/>
  <c r="T1932" i="208" s="1"/>
  <c r="AA346" i="208"/>
  <c r="AA490" i="208"/>
  <c r="AA634" i="208"/>
  <c r="AA778" i="208"/>
  <c r="AA922" i="208"/>
  <c r="AA1066" i="208"/>
  <c r="AB459" i="208"/>
  <c r="AB903" i="208"/>
  <c r="F1167" i="208"/>
  <c r="T1167" i="208" s="1"/>
  <c r="F1371" i="208"/>
  <c r="T1371" i="208" s="1"/>
  <c r="F2755" i="208"/>
  <c r="T2755" i="208" s="1"/>
  <c r="AA1498" i="208"/>
  <c r="AB1642" i="208"/>
  <c r="AB2032" i="208"/>
  <c r="AA2752" i="208"/>
  <c r="V2643" i="208"/>
  <c r="AB2859" i="208"/>
  <c r="V2364" i="208"/>
  <c r="V2469" i="208"/>
  <c r="V2652" i="208"/>
  <c r="AA2037" i="208"/>
  <c r="AA2181" i="208"/>
  <c r="AB2325" i="208"/>
  <c r="AB2796" i="208"/>
  <c r="AA2129" i="208"/>
  <c r="AB2870" i="208"/>
  <c r="AA2417" i="208"/>
  <c r="AB1640" i="208"/>
  <c r="AB1787" i="208"/>
  <c r="V2726" i="208"/>
  <c r="AA1603" i="208"/>
  <c r="AB2176" i="208"/>
  <c r="F2221" i="208"/>
  <c r="T2221" i="208" s="1"/>
  <c r="F2365" i="208"/>
  <c r="T2365" i="208" s="1"/>
  <c r="F2464" i="208"/>
  <c r="T2464" i="208" s="1"/>
  <c r="F2899" i="208"/>
  <c r="T2899" i="208" s="1"/>
  <c r="AF451" i="208"/>
  <c r="AE490" i="208"/>
  <c r="AF883" i="208"/>
  <c r="AE922" i="208"/>
  <c r="AE1168" i="208"/>
  <c r="AF1456" i="208"/>
  <c r="AE453" i="208"/>
  <c r="AF606" i="208"/>
  <c r="AE699" i="208"/>
  <c r="AE741" i="208"/>
  <c r="AF963" i="208"/>
  <c r="AF1461" i="208"/>
  <c r="AE1500" i="208"/>
  <c r="AF2032" i="208"/>
  <c r="AE2509" i="208"/>
  <c r="AF2899" i="208"/>
  <c r="AF2273" i="208"/>
  <c r="AF2438" i="208"/>
  <c r="AE1747" i="208"/>
  <c r="AE2362" i="208"/>
  <c r="AF2755" i="208"/>
  <c r="AF2938" i="208"/>
  <c r="AE2508" i="208"/>
  <c r="AF2643" i="208"/>
  <c r="AF2046" i="208"/>
  <c r="AE2364" i="208"/>
  <c r="AF2993" i="208"/>
  <c r="AE1644" i="208"/>
  <c r="AF923" i="208"/>
  <c r="AF1067" i="208"/>
  <c r="AF1409" i="208"/>
  <c r="AF1784" i="208"/>
  <c r="AF1862" i="208"/>
  <c r="AF2219" i="208"/>
  <c r="V833" i="208"/>
  <c r="V977" i="208"/>
  <c r="V1121" i="208"/>
  <c r="V1265" i="208"/>
  <c r="V1409" i="208"/>
  <c r="V1553" i="208"/>
  <c r="V1697" i="208"/>
  <c r="V1841" i="208"/>
  <c r="V1932" i="208"/>
  <c r="F2652" i="208"/>
  <c r="T2652" i="208" s="1"/>
  <c r="F2940" i="208"/>
  <c r="T2940" i="208" s="1"/>
  <c r="F2294" i="208"/>
  <c r="T2294" i="208" s="1"/>
  <c r="AB346" i="208"/>
  <c r="AB490" i="208"/>
  <c r="AB634" i="208"/>
  <c r="AB778" i="208"/>
  <c r="AB922" i="208"/>
  <c r="AB1066" i="208"/>
  <c r="AA309" i="208"/>
  <c r="F459" i="208"/>
  <c r="T459" i="208" s="1"/>
  <c r="F903" i="208"/>
  <c r="T903" i="208" s="1"/>
  <c r="AA401" i="208"/>
  <c r="AA1747" i="208"/>
  <c r="AA2074" i="208"/>
  <c r="AB1498" i="208"/>
  <c r="F1642" i="208"/>
  <c r="T1642" i="208" s="1"/>
  <c r="F2032" i="208"/>
  <c r="T2032" i="208" s="1"/>
  <c r="AB2752" i="208"/>
  <c r="AA2613" i="208"/>
  <c r="V2859" i="208"/>
  <c r="AA2940" i="208"/>
  <c r="AA1644" i="208"/>
  <c r="AA2508" i="208"/>
  <c r="AA1932" i="208"/>
  <c r="AB2037" i="208"/>
  <c r="AB2181" i="208"/>
  <c r="V2796" i="208"/>
  <c r="AA1643" i="208"/>
  <c r="AA2219" i="208"/>
  <c r="AB2129" i="208"/>
  <c r="V2870" i="208"/>
  <c r="AB2417" i="208"/>
  <c r="AA2993" i="208"/>
  <c r="AB1603" i="208"/>
  <c r="F2176" i="208"/>
  <c r="T2176" i="208" s="1"/>
  <c r="AA2323" i="208"/>
  <c r="AF490" i="208"/>
  <c r="AE736" i="208"/>
  <c r="AF922" i="208"/>
  <c r="AF1168" i="208"/>
  <c r="AE1459" i="208"/>
  <c r="AE1498" i="208"/>
  <c r="AF453" i="208"/>
  <c r="AE492" i="208"/>
  <c r="AF699" i="208"/>
  <c r="AF741" i="208"/>
  <c r="AE780" i="208"/>
  <c r="AE894" i="208"/>
  <c r="AE1182" i="208"/>
  <c r="AF1500" i="208"/>
  <c r="AF2509" i="208"/>
  <c r="AF1747" i="208"/>
  <c r="AF2362" i="208"/>
  <c r="AE2896" i="208"/>
  <c r="AE2181" i="208"/>
  <c r="AF2508" i="208"/>
  <c r="AE2652" i="208"/>
  <c r="AE2796" i="208"/>
  <c r="AF2364" i="208"/>
  <c r="AE2561" i="208"/>
  <c r="AF1644" i="208"/>
  <c r="AE2363" i="208"/>
  <c r="AE2294" i="208"/>
  <c r="AE710" i="208"/>
  <c r="AE977" i="208"/>
  <c r="AE1121" i="208"/>
  <c r="AE1640" i="208"/>
  <c r="F401" i="208"/>
  <c r="T401" i="208" s="1"/>
  <c r="V2294" i="208"/>
  <c r="F346" i="208"/>
  <c r="T346" i="208" s="1"/>
  <c r="F490" i="208"/>
  <c r="T490" i="208" s="1"/>
  <c r="F634" i="208"/>
  <c r="T634" i="208" s="1"/>
  <c r="F778" i="208"/>
  <c r="T778" i="208" s="1"/>
  <c r="F922" i="208"/>
  <c r="T922" i="208" s="1"/>
  <c r="F1066" i="208"/>
  <c r="T1066" i="208" s="1"/>
  <c r="AB309" i="208"/>
  <c r="AB401" i="208"/>
  <c r="AB1747" i="208"/>
  <c r="AB2074" i="208"/>
  <c r="F1498" i="208"/>
  <c r="T1498" i="208" s="1"/>
  <c r="AA1888" i="208"/>
  <c r="F2752" i="208"/>
  <c r="T2752" i="208" s="1"/>
  <c r="AB2613" i="208"/>
  <c r="AB2940" i="208"/>
  <c r="AB1644" i="208"/>
  <c r="AB2508" i="208"/>
  <c r="AB1932" i="208"/>
  <c r="AA2757" i="208"/>
  <c r="AB1643" i="208"/>
  <c r="AB2219" i="208"/>
  <c r="V2417" i="208"/>
  <c r="AB2993" i="208"/>
  <c r="F1603" i="208"/>
  <c r="T1603" i="208" s="1"/>
  <c r="AA1930" i="208"/>
  <c r="AB2323" i="208"/>
  <c r="AE493" i="208"/>
  <c r="AF736" i="208"/>
  <c r="AE925" i="208"/>
  <c r="AE1171" i="208"/>
  <c r="AE1210" i="208"/>
  <c r="AF1459" i="208"/>
  <c r="AF1498" i="208"/>
  <c r="AF492" i="208"/>
  <c r="AF780" i="208"/>
  <c r="AF894" i="208"/>
  <c r="AF1182" i="208"/>
  <c r="AE1371" i="208"/>
  <c r="AE1930" i="208"/>
  <c r="AE2221" i="208"/>
  <c r="AE2218" i="208"/>
  <c r="AF2896" i="208"/>
  <c r="AE2365" i="208"/>
  <c r="AE1932" i="208"/>
  <c r="AE2469" i="208"/>
  <c r="AF2181" i="208"/>
  <c r="AF2652" i="208"/>
  <c r="AF2796" i="208"/>
  <c r="AE1788" i="208"/>
  <c r="AF2561" i="208"/>
  <c r="AF2363" i="208"/>
  <c r="AF2294" i="208"/>
  <c r="AF710" i="208"/>
  <c r="AF977" i="208"/>
  <c r="AF1121" i="208"/>
  <c r="AE1352" i="208"/>
  <c r="AF1640" i="208"/>
  <c r="AE199" i="208"/>
  <c r="AE271" i="208"/>
  <c r="AF82" i="208"/>
  <c r="AE64" i="208"/>
  <c r="AE100" i="208"/>
  <c r="AF136" i="208"/>
  <c r="AE163" i="208"/>
  <c r="AE208" i="208"/>
  <c r="AF19" i="208"/>
  <c r="AF163" i="208"/>
  <c r="AE226" i="208"/>
  <c r="AE172" i="208"/>
  <c r="AE10" i="208"/>
  <c r="AE244" i="208"/>
  <c r="AF109" i="208"/>
  <c r="AF172" i="208"/>
  <c r="AF253" i="208"/>
  <c r="AE118" i="208"/>
  <c r="AE181" i="208"/>
  <c r="AE145" i="208"/>
  <c r="AF181" i="208"/>
  <c r="AF217" i="208"/>
  <c r="AE154" i="208"/>
  <c r="AF190" i="208"/>
  <c r="AE235" i="208"/>
  <c r="AF37" i="208"/>
  <c r="AF127" i="208"/>
  <c r="AE82" i="208"/>
  <c r="AE217" i="208"/>
  <c r="AE136" i="208"/>
  <c r="AE109" i="208"/>
  <c r="AF100" i="208"/>
  <c r="AF208" i="208"/>
  <c r="AF118" i="208"/>
  <c r="AF226" i="208"/>
  <c r="AF145" i="208"/>
  <c r="AF10" i="208"/>
  <c r="AF64" i="208"/>
  <c r="AF244" i="208"/>
  <c r="AF28" i="208"/>
  <c r="AF154" i="208"/>
  <c r="AE73" i="208"/>
  <c r="AE253" i="208"/>
  <c r="AF46" i="208"/>
  <c r="AF262" i="208"/>
  <c r="AE91" i="208"/>
  <c r="AF73" i="208"/>
  <c r="AE55" i="208"/>
  <c r="AE262" i="208"/>
  <c r="AE37" i="208"/>
  <c r="AF91" i="208"/>
  <c r="AE127" i="208"/>
  <c r="AF55" i="208"/>
  <c r="AE296" i="208"/>
  <c r="AE19" i="208"/>
  <c r="AE28" i="208"/>
  <c r="AE46" i="208"/>
  <c r="P1030" i="208"/>
  <c r="AE1030" i="208"/>
  <c r="P1174" i="208"/>
  <c r="AE1174" i="208"/>
  <c r="P1318" i="208"/>
  <c r="AE1318" i="208"/>
  <c r="P1462" i="208"/>
  <c r="AE1462" i="208"/>
  <c r="P1606" i="208"/>
  <c r="F1606" i="208"/>
  <c r="T1606" i="208" s="1"/>
  <c r="AA1606" i="208"/>
  <c r="AF1606" i="208"/>
  <c r="P1750" i="208"/>
  <c r="F1750" i="208"/>
  <c r="T1750" i="208" s="1"/>
  <c r="AB1750" i="208"/>
  <c r="AA1750" i="208"/>
  <c r="AF1750" i="208"/>
  <c r="P1894" i="208"/>
  <c r="AE1894" i="208"/>
  <c r="P2038" i="208"/>
  <c r="AF2038" i="208"/>
  <c r="P2182" i="208"/>
  <c r="AF2182" i="208"/>
  <c r="P2326" i="208"/>
  <c r="AF2326" i="208"/>
  <c r="P2470" i="208"/>
  <c r="AF2470" i="208"/>
  <c r="P2614" i="208"/>
  <c r="AF2614" i="208"/>
  <c r="F2614" i="208"/>
  <c r="T2614" i="208" s="1"/>
  <c r="AE2614" i="208"/>
  <c r="AB2614" i="208"/>
  <c r="AA2614" i="208"/>
  <c r="P2758" i="208"/>
  <c r="AA2758" i="208"/>
  <c r="AF2758" i="208"/>
  <c r="P2902" i="208"/>
  <c r="AF2902" i="208"/>
  <c r="F2902" i="208"/>
  <c r="T2902" i="208" s="1"/>
  <c r="AA2902" i="208"/>
  <c r="P579" i="208"/>
  <c r="AE579" i="208"/>
  <c r="P2355" i="208"/>
  <c r="AE2355" i="208"/>
  <c r="V2355" i="208"/>
  <c r="P365" i="208"/>
  <c r="AF365" i="208"/>
  <c r="AE365" i="208"/>
  <c r="P509" i="208"/>
  <c r="AF509" i="208"/>
  <c r="AE509" i="208"/>
  <c r="P653" i="208"/>
  <c r="AF653" i="208"/>
  <c r="AE653" i="208"/>
  <c r="P797" i="208"/>
  <c r="AF797" i="208"/>
  <c r="AE797" i="208"/>
  <c r="P941" i="208"/>
  <c r="AF941" i="208"/>
  <c r="P1085" i="208"/>
  <c r="AF1085" i="208"/>
  <c r="AE1085" i="208"/>
  <c r="P1229" i="208"/>
  <c r="AF1229" i="208"/>
  <c r="P1373" i="208"/>
  <c r="AF1373" i="208"/>
  <c r="P1517" i="208"/>
  <c r="AF1517" i="208"/>
  <c r="AE1517" i="208"/>
  <c r="P1661" i="208"/>
  <c r="AF1661" i="208"/>
  <c r="AE1661" i="208"/>
  <c r="AB1661" i="208"/>
  <c r="AA1661" i="208"/>
  <c r="P1805" i="208"/>
  <c r="AB1805" i="208"/>
  <c r="AF1805" i="208"/>
  <c r="AE1805" i="208"/>
  <c r="P1949" i="208"/>
  <c r="AB1949" i="208"/>
  <c r="AA1949" i="208"/>
  <c r="AE1949" i="208"/>
  <c r="P2093" i="208"/>
  <c r="AF2093" i="208"/>
  <c r="AE2093" i="208"/>
  <c r="AB2093" i="208"/>
  <c r="P2237" i="208"/>
  <c r="AB2237" i="208"/>
  <c r="AA2237" i="208"/>
  <c r="AF2237" i="208"/>
  <c r="P2381" i="208"/>
  <c r="V2381" i="208"/>
  <c r="AB2381" i="208"/>
  <c r="AA2381" i="208"/>
  <c r="AF2381" i="208"/>
  <c r="AE2381" i="208"/>
  <c r="P2525" i="208"/>
  <c r="AB2525" i="208"/>
  <c r="AA2525" i="208"/>
  <c r="AF2525" i="208"/>
  <c r="P2669" i="208"/>
  <c r="AF2669" i="208"/>
  <c r="AB2669" i="208"/>
  <c r="P2813" i="208"/>
  <c r="AF2813" i="208"/>
  <c r="V2813" i="208"/>
  <c r="AA2813" i="208"/>
  <c r="P2957" i="208"/>
  <c r="V2957" i="208"/>
  <c r="AB2957" i="208"/>
  <c r="AA2957" i="208"/>
  <c r="AE2957" i="208"/>
  <c r="AF2957" i="208"/>
  <c r="P1611" i="208"/>
  <c r="AE1611" i="208"/>
  <c r="AB1611" i="208"/>
  <c r="AA1611" i="208"/>
  <c r="P312" i="208"/>
  <c r="AE312" i="208"/>
  <c r="P456" i="208"/>
  <c r="AE456" i="208"/>
  <c r="P600" i="208"/>
  <c r="AE600" i="208"/>
  <c r="P744" i="208"/>
  <c r="AE744" i="208"/>
  <c r="P888" i="208"/>
  <c r="AE888" i="208"/>
  <c r="P1032" i="208"/>
  <c r="AE1032" i="208"/>
  <c r="P1176" i="208"/>
  <c r="AE1176" i="208"/>
  <c r="P1320" i="208"/>
  <c r="AE1320" i="208"/>
  <c r="P1464" i="208"/>
  <c r="AE1464" i="208"/>
  <c r="P1608" i="208"/>
  <c r="AF1608" i="208"/>
  <c r="AE1608" i="208"/>
  <c r="AA1608" i="208"/>
  <c r="P1752" i="208"/>
  <c r="AB1752" i="208"/>
  <c r="AA1752" i="208"/>
  <c r="AF1752" i="208"/>
  <c r="AE1752" i="208"/>
  <c r="P1896" i="208"/>
  <c r="AA1896" i="208"/>
  <c r="AF1896" i="208"/>
  <c r="AE1896" i="208"/>
  <c r="P2040" i="208"/>
  <c r="AA2040" i="208"/>
  <c r="AF2040" i="208"/>
  <c r="AE2040" i="208"/>
  <c r="P2184" i="208"/>
  <c r="AA2184" i="208"/>
  <c r="AF2184" i="208"/>
  <c r="AE2184" i="208"/>
  <c r="P2328" i="208"/>
  <c r="AF2328" i="208"/>
  <c r="AE2328" i="208"/>
  <c r="AB2328" i="208"/>
  <c r="AA2328" i="208"/>
  <c r="P2472" i="208"/>
  <c r="AF2472" i="208"/>
  <c r="AB2472" i="208"/>
  <c r="AE2472" i="208"/>
  <c r="AA2472" i="208"/>
  <c r="P2616" i="208"/>
  <c r="AF2616" i="208"/>
  <c r="V2616" i="208"/>
  <c r="AE2616" i="208"/>
  <c r="AB2616" i="208"/>
  <c r="AA2616" i="208"/>
  <c r="P2760" i="208"/>
  <c r="V2760" i="208"/>
  <c r="AE2760" i="208"/>
  <c r="AA2760" i="208"/>
  <c r="P2904" i="208"/>
  <c r="AE2904" i="208"/>
  <c r="V2904" i="208"/>
  <c r="AB2904" i="208"/>
  <c r="P1095" i="208"/>
  <c r="AF1095" i="208"/>
  <c r="AE1095" i="208"/>
  <c r="P2307" i="208"/>
  <c r="AF2307" i="208"/>
  <c r="AE2307" i="208"/>
  <c r="AA2307" i="208"/>
  <c r="P415" i="208"/>
  <c r="AE415" i="208"/>
  <c r="P559" i="208"/>
  <c r="AE559" i="208"/>
  <c r="P703" i="208"/>
  <c r="AE703" i="208"/>
  <c r="P847" i="208"/>
  <c r="AE847" i="208"/>
  <c r="P991" i="208"/>
  <c r="AE991" i="208"/>
  <c r="P1135" i="208"/>
  <c r="AE1135" i="208"/>
  <c r="P1279" i="208"/>
  <c r="AE1279" i="208"/>
  <c r="P1423" i="208"/>
  <c r="AF1423" i="208"/>
  <c r="AE1423" i="208"/>
  <c r="P1567" i="208"/>
  <c r="AA1567" i="208"/>
  <c r="AF1567" i="208"/>
  <c r="P1711" i="208"/>
  <c r="AB1711" i="208"/>
  <c r="AE1711" i="208"/>
  <c r="P1855" i="208"/>
  <c r="F1855" i="208"/>
  <c r="T1855" i="208" s="1"/>
  <c r="AB1855" i="208"/>
  <c r="AA1855" i="208"/>
  <c r="AE1855" i="208"/>
  <c r="P1999" i="208"/>
  <c r="AE1999" i="208"/>
  <c r="AA1999" i="208"/>
  <c r="P2143" i="208"/>
  <c r="AF2143" i="208"/>
  <c r="AE2143" i="208"/>
  <c r="F2143" i="208"/>
  <c r="T2143" i="208" s="1"/>
  <c r="AA2143" i="208"/>
  <c r="P2287" i="208"/>
  <c r="AF2287" i="208"/>
  <c r="AE2287" i="208"/>
  <c r="AA2287" i="208"/>
  <c r="P2431" i="208"/>
  <c r="AF2431" i="208"/>
  <c r="AE2431" i="208"/>
  <c r="AA2431" i="208"/>
  <c r="P2575" i="208"/>
  <c r="AF2575" i="208"/>
  <c r="AE2575" i="208"/>
  <c r="F2575" i="208"/>
  <c r="T2575" i="208" s="1"/>
  <c r="AA2575" i="208"/>
  <c r="P2719" i="208"/>
  <c r="AF2719" i="208"/>
  <c r="AE2719" i="208"/>
  <c r="P2863" i="208"/>
  <c r="AE2863" i="208"/>
  <c r="AB2863" i="208"/>
  <c r="P711" i="208"/>
  <c r="AE711" i="208"/>
  <c r="P2091" i="208"/>
  <c r="AB2091" i="208"/>
  <c r="AF2091" i="208"/>
  <c r="AE2091" i="208"/>
  <c r="P386" i="208"/>
  <c r="AF386" i="208"/>
  <c r="AE386" i="208"/>
  <c r="P530" i="208"/>
  <c r="AF530" i="208"/>
  <c r="AE530" i="208"/>
  <c r="P674" i="208"/>
  <c r="AF674" i="208"/>
  <c r="AE674" i="208"/>
  <c r="P818" i="208"/>
  <c r="AE818" i="208"/>
  <c r="P962" i="208"/>
  <c r="AE962" i="208"/>
  <c r="P1106" i="208"/>
  <c r="AF1106" i="208"/>
  <c r="P1250" i="208"/>
  <c r="AF1250" i="208"/>
  <c r="AE1250" i="208"/>
  <c r="P1394" i="208"/>
  <c r="AE1394" i="208"/>
  <c r="P1538" i="208"/>
  <c r="AF1538" i="208"/>
  <c r="AE1538" i="208"/>
  <c r="P1682" i="208"/>
  <c r="AA1682" i="208"/>
  <c r="AF1682" i="208"/>
  <c r="AE1682" i="208"/>
  <c r="P1826" i="208"/>
  <c r="AB1826" i="208"/>
  <c r="AA1826" i="208"/>
  <c r="AF1826" i="208"/>
  <c r="AE1826" i="208"/>
  <c r="P1970" i="208"/>
  <c r="AB1970" i="208"/>
  <c r="AA1970" i="208"/>
  <c r="AF1970" i="208"/>
  <c r="P2114" i="208"/>
  <c r="AB2114" i="208"/>
  <c r="AF2114" i="208"/>
  <c r="AE2114" i="208"/>
  <c r="P2258" i="208"/>
  <c r="AB2258" i="208"/>
  <c r="AA2258" i="208"/>
  <c r="AF2258" i="208"/>
  <c r="P2402" i="208"/>
  <c r="V2402" i="208"/>
  <c r="AB2402" i="208"/>
  <c r="AF2402" i="208"/>
  <c r="AE2402" i="208"/>
  <c r="P2546" i="208"/>
  <c r="V2546" i="208"/>
  <c r="AB2546" i="208"/>
  <c r="AA2546" i="208"/>
  <c r="AF2546" i="208"/>
  <c r="P2690" i="208"/>
  <c r="V2690" i="208"/>
  <c r="AB2690" i="208"/>
  <c r="AA2690" i="208"/>
  <c r="AF2690" i="208"/>
  <c r="P2834" i="208"/>
  <c r="V2834" i="208"/>
  <c r="AF2834" i="208"/>
  <c r="AB2834" i="208"/>
  <c r="AE2834" i="208"/>
  <c r="P2978" i="208"/>
  <c r="AF2978" i="208"/>
  <c r="AE2978" i="208"/>
  <c r="AB2978" i="208"/>
  <c r="P2319" i="208"/>
  <c r="AB2319" i="208"/>
  <c r="AA2319" i="208"/>
  <c r="AF2319" i="208"/>
  <c r="AE2319" i="208"/>
  <c r="P417" i="208"/>
  <c r="AE417" i="208"/>
  <c r="P561" i="208"/>
  <c r="AE561" i="208"/>
  <c r="P705" i="208"/>
  <c r="AE705" i="208"/>
  <c r="P849" i="208"/>
  <c r="AE849" i="208"/>
  <c r="P993" i="208"/>
  <c r="AE993" i="208"/>
  <c r="P1137" i="208"/>
  <c r="AE1137" i="208"/>
  <c r="P1281" i="208"/>
  <c r="AE1281" i="208"/>
  <c r="P1425" i="208"/>
  <c r="AF1425" i="208"/>
  <c r="AE1425" i="208"/>
  <c r="P1569" i="208"/>
  <c r="AF1569" i="208"/>
  <c r="AE1569" i="208"/>
  <c r="AB1569" i="208"/>
  <c r="P1713" i="208"/>
  <c r="AF1713" i="208"/>
  <c r="AE1713" i="208"/>
  <c r="P1857" i="208"/>
  <c r="AF1857" i="208"/>
  <c r="AE1857" i="208"/>
  <c r="AB1857" i="208"/>
  <c r="P2001" i="208"/>
  <c r="AE2001" i="208"/>
  <c r="P2145" i="208"/>
  <c r="AE2145" i="208"/>
  <c r="P2289" i="208"/>
  <c r="AE2289" i="208"/>
  <c r="AB2289" i="208"/>
  <c r="P2433" i="208"/>
  <c r="AA2433" i="208"/>
  <c r="AE2433" i="208"/>
  <c r="P2577" i="208"/>
  <c r="AB2577" i="208"/>
  <c r="AF2577" i="208"/>
  <c r="AE2577" i="208"/>
  <c r="P2721" i="208"/>
  <c r="AB2721" i="208"/>
  <c r="AA2721" i="208"/>
  <c r="AE2721" i="208"/>
  <c r="P2865" i="208"/>
  <c r="V2865" i="208"/>
  <c r="AF2865" i="208"/>
  <c r="AB2865" i="208"/>
  <c r="AE2865" i="208"/>
  <c r="P302" i="208"/>
  <c r="AE302" i="208"/>
  <c r="P1623" i="208"/>
  <c r="AA1623" i="208"/>
  <c r="AF1623" i="208"/>
  <c r="AE1623" i="208"/>
  <c r="P2547" i="208"/>
  <c r="AF2547" i="208"/>
  <c r="V2547" i="208"/>
  <c r="AE2547" i="208"/>
  <c r="AB2547" i="208"/>
  <c r="AA2547" i="208"/>
  <c r="P412" i="208"/>
  <c r="AF412" i="208"/>
  <c r="AE412" i="208"/>
  <c r="P556" i="208"/>
  <c r="AF556" i="208"/>
  <c r="AE556" i="208"/>
  <c r="P700" i="208"/>
  <c r="AF700" i="208"/>
  <c r="AE700" i="208"/>
  <c r="P844" i="208"/>
  <c r="AF844" i="208"/>
  <c r="AE844" i="208"/>
  <c r="P988" i="208"/>
  <c r="AF988" i="208"/>
  <c r="AE988" i="208"/>
  <c r="P1132" i="208"/>
  <c r="AF1132" i="208"/>
  <c r="AE1132" i="208"/>
  <c r="P1276" i="208"/>
  <c r="AF1276" i="208"/>
  <c r="AE1276" i="208"/>
  <c r="P1420" i="208"/>
  <c r="AF1420" i="208"/>
  <c r="AE1420" i="208"/>
  <c r="P1564" i="208"/>
  <c r="AF1564" i="208"/>
  <c r="AE1564" i="208"/>
  <c r="F1564" i="208"/>
  <c r="T1564" i="208" s="1"/>
  <c r="AA1564" i="208"/>
  <c r="P1708" i="208"/>
  <c r="AF1708" i="208"/>
  <c r="F1708" i="208"/>
  <c r="T1708" i="208" s="1"/>
  <c r="AE1708" i="208"/>
  <c r="AB1708" i="208"/>
  <c r="AA1708" i="208"/>
  <c r="P1852" i="208"/>
  <c r="AF1852" i="208"/>
  <c r="AE1852" i="208"/>
  <c r="P1996" i="208"/>
  <c r="F1996" i="208"/>
  <c r="T1996" i="208" s="1"/>
  <c r="AF1996" i="208"/>
  <c r="AB1996" i="208"/>
  <c r="AE1996" i="208"/>
  <c r="AA1996" i="208"/>
  <c r="P2140" i="208"/>
  <c r="AF2140" i="208"/>
  <c r="AE2140" i="208"/>
  <c r="AA2140" i="208"/>
  <c r="P2284" i="208"/>
  <c r="AF2284" i="208"/>
  <c r="P2428" i="208"/>
  <c r="AF2428" i="208"/>
  <c r="P2572" i="208"/>
  <c r="AA2572" i="208"/>
  <c r="AF2572" i="208"/>
  <c r="AE2572" i="208"/>
  <c r="P2716" i="208"/>
  <c r="AF2716" i="208"/>
  <c r="AE2716" i="208"/>
  <c r="P2860" i="208"/>
  <c r="AF2860" i="208"/>
  <c r="F2860" i="208"/>
  <c r="T2860" i="208" s="1"/>
  <c r="AE2860" i="208"/>
  <c r="AA2860" i="208"/>
  <c r="P423" i="208"/>
  <c r="AE423" i="208"/>
  <c r="P2007" i="208"/>
  <c r="AB2007" i="208"/>
  <c r="AE2007" i="208"/>
  <c r="P311" i="208"/>
  <c r="AF311" i="208"/>
  <c r="AE311" i="208"/>
  <c r="P455" i="208"/>
  <c r="AE455" i="208"/>
  <c r="P599" i="208"/>
  <c r="AF599" i="208"/>
  <c r="P743" i="208"/>
  <c r="AE743" i="208"/>
  <c r="P887" i="208"/>
  <c r="AF887" i="208"/>
  <c r="AE887" i="208"/>
  <c r="P1031" i="208"/>
  <c r="AF1031" i="208"/>
  <c r="P1175" i="208"/>
  <c r="AF1175" i="208"/>
  <c r="AE1175" i="208"/>
  <c r="P1319" i="208"/>
  <c r="AF1319" i="208"/>
  <c r="AE1319" i="208"/>
  <c r="P1463" i="208"/>
  <c r="AE1463" i="208"/>
  <c r="P1607" i="208"/>
  <c r="AE1607" i="208"/>
  <c r="AA1607" i="208"/>
  <c r="P1751" i="208"/>
  <c r="AB1751" i="208"/>
  <c r="AF1751" i="208"/>
  <c r="AE1751" i="208"/>
  <c r="P1895" i="208"/>
  <c r="AF1895" i="208"/>
  <c r="AE1895" i="208"/>
  <c r="AB1895" i="208"/>
  <c r="AA1895" i="208"/>
  <c r="P2039" i="208"/>
  <c r="AF2039" i="208"/>
  <c r="AE2039" i="208"/>
  <c r="AA2039" i="208"/>
  <c r="P2183" i="208"/>
  <c r="AB2183" i="208"/>
  <c r="AF2183" i="208"/>
  <c r="AA2183" i="208"/>
  <c r="P2327" i="208"/>
  <c r="AB2327" i="208"/>
  <c r="AF2327" i="208"/>
  <c r="AE2327" i="208"/>
  <c r="P2471" i="208"/>
  <c r="AF2471" i="208"/>
  <c r="AE2471" i="208"/>
  <c r="AB2471" i="208"/>
  <c r="P2615" i="208"/>
  <c r="V2615" i="208"/>
  <c r="AF2615" i="208"/>
  <c r="AB2615" i="208"/>
  <c r="AE2615" i="208"/>
  <c r="AA2615" i="208"/>
  <c r="P2759" i="208"/>
  <c r="AF2759" i="208"/>
  <c r="AA2759" i="208"/>
  <c r="AE2759" i="208"/>
  <c r="P2903" i="208"/>
  <c r="AF2903" i="208"/>
  <c r="AE2903" i="208"/>
  <c r="V2903" i="208"/>
  <c r="AA2903" i="208"/>
  <c r="P687" i="208"/>
  <c r="AE687" i="208"/>
  <c r="P2823" i="208"/>
  <c r="AE2823" i="208"/>
  <c r="AB2823" i="208"/>
  <c r="AA2823" i="208"/>
  <c r="P426" i="208"/>
  <c r="AF426" i="208"/>
  <c r="AE426" i="208"/>
  <c r="P570" i="208"/>
  <c r="AF570" i="208"/>
  <c r="AE570" i="208"/>
  <c r="P714" i="208"/>
  <c r="AF714" i="208"/>
  <c r="AE714" i="208"/>
  <c r="P858" i="208"/>
  <c r="AF858" i="208"/>
  <c r="AE858" i="208"/>
  <c r="P1002" i="208"/>
  <c r="AF1002" i="208"/>
  <c r="AE1002" i="208"/>
  <c r="P1146" i="208"/>
  <c r="AF1146" i="208"/>
  <c r="AE1146" i="208"/>
  <c r="P1290" i="208"/>
  <c r="AE1290" i="208"/>
  <c r="P1434" i="208"/>
  <c r="AE1434" i="208"/>
  <c r="P1578" i="208"/>
  <c r="AB1578" i="208"/>
  <c r="AA1578" i="208"/>
  <c r="AF1578" i="208"/>
  <c r="AE1578" i="208"/>
  <c r="P1722" i="208"/>
  <c r="AA1722" i="208"/>
  <c r="AF1722" i="208"/>
  <c r="AE1722" i="208"/>
  <c r="P1866" i="208"/>
  <c r="AB1866" i="208"/>
  <c r="AA1866" i="208"/>
  <c r="AE1866" i="208"/>
  <c r="P2010" i="208"/>
  <c r="AF2010" i="208"/>
  <c r="AE2010" i="208"/>
  <c r="AA2010" i="208"/>
  <c r="P2154" i="208"/>
  <c r="AB2154" i="208"/>
  <c r="AE2154" i="208"/>
  <c r="P2298" i="208"/>
  <c r="AF2298" i="208"/>
  <c r="AE2298" i="208"/>
  <c r="P2442" i="208"/>
  <c r="AF2442" i="208"/>
  <c r="V2442" i="208"/>
  <c r="AE2442" i="208"/>
  <c r="AB2442" i="208"/>
  <c r="AA2442" i="208"/>
  <c r="P2586" i="208"/>
  <c r="AE2586" i="208"/>
  <c r="P2730" i="208"/>
  <c r="AE2730" i="208"/>
  <c r="V2730" i="208"/>
  <c r="P2874" i="208"/>
  <c r="AE2874" i="208"/>
  <c r="AB2874" i="208"/>
  <c r="AA2874" i="208"/>
  <c r="P1107" i="208"/>
  <c r="AE1107" i="208"/>
  <c r="P313" i="208"/>
  <c r="AE313" i="208"/>
  <c r="P457" i="208"/>
  <c r="AE457" i="208"/>
  <c r="P601" i="208"/>
  <c r="AE601" i="208"/>
  <c r="P745" i="208"/>
  <c r="AE745" i="208"/>
  <c r="P889" i="208"/>
  <c r="AE889" i="208"/>
  <c r="P1033" i="208"/>
  <c r="AE1033" i="208"/>
  <c r="P1177" i="208"/>
  <c r="AE1177" i="208"/>
  <c r="P1321" i="208"/>
  <c r="AE1321" i="208"/>
  <c r="P1465" i="208"/>
  <c r="AE1465" i="208"/>
  <c r="P1609" i="208"/>
  <c r="AE1609" i="208"/>
  <c r="F1609" i="208"/>
  <c r="T1609" i="208" s="1"/>
  <c r="AB1609" i="208"/>
  <c r="AA1609" i="208"/>
  <c r="P1753" i="208"/>
  <c r="AF1753" i="208"/>
  <c r="F1753" i="208"/>
  <c r="T1753" i="208" s="1"/>
  <c r="AE1753" i="208"/>
  <c r="AB1753" i="208"/>
  <c r="AA1753" i="208"/>
  <c r="P1897" i="208"/>
  <c r="F1897" i="208"/>
  <c r="T1897" i="208" s="1"/>
  <c r="AF1897" i="208"/>
  <c r="AA1897" i="208"/>
  <c r="AE1897" i="208"/>
  <c r="AB1897" i="208"/>
  <c r="P2041" i="208"/>
  <c r="F2041" i="208"/>
  <c r="T2041" i="208" s="1"/>
  <c r="AB2041" i="208"/>
  <c r="AA2041" i="208"/>
  <c r="AF2041" i="208"/>
  <c r="P2185" i="208"/>
  <c r="AA2185" i="208"/>
  <c r="AF2185" i="208"/>
  <c r="AE2185" i="208"/>
  <c r="P2329" i="208"/>
  <c r="AF2329" i="208"/>
  <c r="AE2329" i="208"/>
  <c r="P2473" i="208"/>
  <c r="AF2473" i="208"/>
  <c r="P2617" i="208"/>
  <c r="AE2617" i="208"/>
  <c r="F2617" i="208"/>
  <c r="T2617" i="208" s="1"/>
  <c r="AA2617" i="208"/>
  <c r="P2761" i="208"/>
  <c r="F2761" i="208"/>
  <c r="T2761" i="208" s="1"/>
  <c r="AF2761" i="208"/>
  <c r="AB2761" i="208"/>
  <c r="AE2761" i="208"/>
  <c r="AA2761" i="208"/>
  <c r="P2905" i="208"/>
  <c r="AE2905" i="208"/>
  <c r="F2905" i="208"/>
  <c r="T2905" i="208" s="1"/>
  <c r="AB2905" i="208"/>
  <c r="AA2905" i="208"/>
  <c r="P975" i="208"/>
  <c r="AE975" i="208"/>
  <c r="P1923" i="208"/>
  <c r="AF1923" i="208"/>
  <c r="AE1923" i="208"/>
  <c r="AB1923" i="208"/>
  <c r="AA1923" i="208"/>
  <c r="P308" i="208"/>
  <c r="AF308" i="208"/>
  <c r="AE308" i="208"/>
  <c r="P452" i="208"/>
  <c r="AF452" i="208"/>
  <c r="P596" i="208"/>
  <c r="AF596" i="208"/>
  <c r="AE596" i="208"/>
  <c r="P740" i="208"/>
  <c r="AE740" i="208"/>
  <c r="P884" i="208"/>
  <c r="AF884" i="208"/>
  <c r="AE884" i="208"/>
  <c r="P1028" i="208"/>
  <c r="AE1028" i="208"/>
  <c r="P1172" i="208"/>
  <c r="AF1172" i="208"/>
  <c r="AE1172" i="208"/>
  <c r="P1316" i="208"/>
  <c r="AF1316" i="208"/>
  <c r="AE1316" i="208"/>
  <c r="P1460" i="208"/>
  <c r="AF1460" i="208"/>
  <c r="P1604" i="208"/>
  <c r="AA1604" i="208"/>
  <c r="AF1604" i="208"/>
  <c r="AE1604" i="208"/>
  <c r="P1748" i="208"/>
  <c r="AF1748" i="208"/>
  <c r="AE1748" i="208"/>
  <c r="AB1748" i="208"/>
  <c r="P1892" i="208"/>
  <c r="AF1892" i="208"/>
  <c r="AE1892" i="208"/>
  <c r="AB1892" i="208"/>
  <c r="P2036" i="208"/>
  <c r="AF2036" i="208"/>
  <c r="AE2036" i="208"/>
  <c r="P2180" i="208"/>
  <c r="AA2180" i="208"/>
  <c r="AF2180" i="208"/>
  <c r="AE2180" i="208"/>
  <c r="P2324" i="208"/>
  <c r="AB2324" i="208"/>
  <c r="AA2324" i="208"/>
  <c r="AF2324" i="208"/>
  <c r="AE2324" i="208"/>
  <c r="P2468" i="208"/>
  <c r="V2468" i="208"/>
  <c r="AB2468" i="208"/>
  <c r="AA2468" i="208"/>
  <c r="AF2468" i="208"/>
  <c r="AE2468" i="208"/>
  <c r="P2612" i="208"/>
  <c r="AF2612" i="208"/>
  <c r="AE2612" i="208"/>
  <c r="AB2612" i="208"/>
  <c r="P2756" i="208"/>
  <c r="AF2756" i="208"/>
  <c r="AE2756" i="208"/>
  <c r="V2756" i="208"/>
  <c r="AA2756" i="208"/>
  <c r="P2900" i="208"/>
  <c r="AF2900" i="208"/>
  <c r="AB2900" i="208"/>
  <c r="AE2900" i="208"/>
  <c r="AA2900" i="208"/>
  <c r="P567" i="208"/>
  <c r="AE567" i="208"/>
  <c r="AB3" i="208"/>
  <c r="AE192" i="208"/>
  <c r="P3" i="208"/>
  <c r="AF3" i="208"/>
  <c r="P12" i="208"/>
  <c r="AF12" i="208"/>
  <c r="P30" i="208"/>
  <c r="AF30" i="208"/>
  <c r="P57" i="208"/>
  <c r="AF57" i="208"/>
  <c r="P66" i="208"/>
  <c r="AF66" i="208"/>
  <c r="P75" i="208"/>
  <c r="AF75" i="208"/>
  <c r="AE75" i="208"/>
  <c r="P84" i="208"/>
  <c r="AF84" i="208"/>
  <c r="AE84" i="208"/>
  <c r="P93" i="208"/>
  <c r="AF93" i="208"/>
  <c r="P129" i="208"/>
  <c r="AF129" i="208"/>
  <c r="P138" i="208"/>
  <c r="AF138" i="208"/>
  <c r="P147" i="208"/>
  <c r="AF147" i="208"/>
  <c r="P156" i="208"/>
  <c r="AF156" i="208"/>
  <c r="P165" i="208"/>
  <c r="AF165" i="208"/>
  <c r="P174" i="208"/>
  <c r="AF174" i="208"/>
  <c r="P183" i="208"/>
  <c r="AF183" i="208"/>
  <c r="AE183" i="208"/>
  <c r="P210" i="208"/>
  <c r="AF210" i="208"/>
  <c r="P228" i="208"/>
  <c r="AF228" i="208"/>
  <c r="P237" i="208"/>
  <c r="AF237" i="208"/>
  <c r="AE237" i="208"/>
  <c r="P246" i="208"/>
  <c r="AF246" i="208"/>
  <c r="AE246" i="208"/>
  <c r="P255" i="208"/>
  <c r="AF255" i="208"/>
  <c r="P264" i="208"/>
  <c r="AF264" i="208"/>
  <c r="P282" i="208"/>
  <c r="AF282" i="208"/>
  <c r="F12" i="208"/>
  <c r="T12" i="208" s="1"/>
  <c r="AF201" i="208"/>
  <c r="AF219" i="208"/>
  <c r="AF292" i="208"/>
  <c r="AE21" i="208"/>
  <c r="AF21" i="208"/>
  <c r="AE30" i="208"/>
  <c r="AE282" i="208"/>
  <c r="V3" i="208"/>
  <c r="AF39" i="208"/>
  <c r="AF111" i="208"/>
  <c r="AE1277" i="208"/>
  <c r="AE2141" i="208"/>
  <c r="AF14" i="208"/>
  <c r="AF2374" i="208"/>
  <c r="AF1798" i="208"/>
  <c r="AE2662" i="208"/>
  <c r="AF2285" i="208"/>
  <c r="AF2086" i="208"/>
  <c r="AE2520" i="208"/>
  <c r="AE61" i="208"/>
  <c r="AF2018" i="208"/>
  <c r="AE413" i="208"/>
  <c r="AE557" i="208"/>
  <c r="AE1133" i="208"/>
  <c r="AE2738" i="208"/>
  <c r="AF2594" i="208"/>
  <c r="AF68" i="208"/>
  <c r="AF2230" i="208"/>
  <c r="AE2088" i="208"/>
  <c r="AE1800" i="208"/>
  <c r="AE2376" i="208"/>
  <c r="AE1656" i="208"/>
  <c r="AE151" i="208"/>
  <c r="AE1565" i="208"/>
  <c r="AE1709" i="208"/>
  <c r="AE248" i="208"/>
  <c r="AF2088" i="208"/>
  <c r="AF1800" i="208"/>
  <c r="AF2376" i="208"/>
  <c r="AF1656" i="208"/>
  <c r="AE1154" i="208"/>
  <c r="AF1565" i="208"/>
  <c r="AF1709" i="208"/>
  <c r="AE113" i="208"/>
  <c r="AE2806" i="208"/>
  <c r="AE2950" i="208"/>
  <c r="AE2175" i="208"/>
  <c r="AE2655" i="208"/>
  <c r="AE205" i="208"/>
  <c r="AF1154" i="208"/>
  <c r="AE434" i="208"/>
  <c r="AE1853" i="208"/>
  <c r="AE701" i="208"/>
  <c r="AE122" i="208"/>
  <c r="AF2806" i="208"/>
  <c r="AF2950" i="208"/>
  <c r="AF2175" i="208"/>
  <c r="AF2655" i="208"/>
  <c r="AE142" i="208"/>
  <c r="AE866" i="208"/>
  <c r="AE1421" i="208"/>
  <c r="AE1997" i="208"/>
  <c r="AF434" i="208"/>
  <c r="AF1853" i="208"/>
  <c r="AE578" i="208"/>
  <c r="AE1298" i="208"/>
  <c r="AE2882" i="208"/>
  <c r="AF701" i="208"/>
  <c r="AE1942" i="208"/>
  <c r="AE2952" i="208"/>
  <c r="AE2429" i="208"/>
  <c r="AE2664" i="208"/>
  <c r="AF866" i="208"/>
  <c r="AF1421" i="208"/>
  <c r="AF1997" i="208"/>
  <c r="AF578" i="208"/>
  <c r="AF1298" i="208"/>
  <c r="AF2882" i="208"/>
  <c r="AE845" i="208"/>
  <c r="AE989" i="208"/>
  <c r="AE1586" i="208"/>
  <c r="AE2717" i="208"/>
  <c r="AF1942" i="208"/>
  <c r="AE2518" i="208"/>
  <c r="AF2952" i="208"/>
  <c r="AF2429" i="208"/>
  <c r="AF2664" i="208"/>
  <c r="AE1874" i="208"/>
  <c r="AF845" i="208"/>
  <c r="AF989" i="208"/>
  <c r="AF1586" i="208"/>
  <c r="AF2717" i="208"/>
  <c r="AE158" i="208"/>
  <c r="AE221" i="208"/>
  <c r="AF2518" i="208"/>
  <c r="AF1874" i="208"/>
  <c r="AE722" i="208"/>
  <c r="AF298" i="208"/>
  <c r="AF5" i="208"/>
  <c r="V54" i="208"/>
  <c r="V108" i="208"/>
  <c r="V162" i="208"/>
  <c r="V216" i="208"/>
  <c r="AA23" i="208"/>
  <c r="AB68" i="208"/>
  <c r="AA95" i="208"/>
  <c r="AB140" i="208"/>
  <c r="AA167" i="208"/>
  <c r="AA230" i="208"/>
  <c r="AE288" i="208"/>
  <c r="AE14" i="208"/>
  <c r="AE68" i="208"/>
  <c r="AF113" i="208"/>
  <c r="AF158" i="208"/>
  <c r="AF194" i="208"/>
  <c r="AF221" i="208"/>
  <c r="AF248" i="208"/>
  <c r="V63" i="208"/>
  <c r="AA18" i="208"/>
  <c r="AA36" i="208"/>
  <c r="AA54" i="208"/>
  <c r="AA72" i="208"/>
  <c r="AA90" i="208"/>
  <c r="AA108" i="208"/>
  <c r="AA126" i="208"/>
  <c r="AA144" i="208"/>
  <c r="AA162" i="208"/>
  <c r="AA180" i="208"/>
  <c r="AA198" i="208"/>
  <c r="AA216" i="208"/>
  <c r="AA234" i="208"/>
  <c r="AA252" i="208"/>
  <c r="AA270" i="208"/>
  <c r="AA5" i="208"/>
  <c r="AA50" i="208"/>
  <c r="AA122" i="208"/>
  <c r="AB212" i="208"/>
  <c r="AE23" i="208"/>
  <c r="AE77" i="208"/>
  <c r="AF122" i="208"/>
  <c r="V9" i="208"/>
  <c r="V270" i="208"/>
  <c r="F14" i="208"/>
  <c r="T14" i="208" s="1"/>
  <c r="AB18" i="208"/>
  <c r="AB36" i="208"/>
  <c r="AB54" i="208"/>
  <c r="AB72" i="208"/>
  <c r="AB90" i="208"/>
  <c r="AB108" i="208"/>
  <c r="AB126" i="208"/>
  <c r="AB144" i="208"/>
  <c r="AB162" i="208"/>
  <c r="AB180" i="208"/>
  <c r="AB198" i="208"/>
  <c r="AB216" i="208"/>
  <c r="AB234" i="208"/>
  <c r="AB252" i="208"/>
  <c r="AB270" i="208"/>
  <c r="AB5" i="208"/>
  <c r="AB50" i="208"/>
  <c r="AA77" i="208"/>
  <c r="AB122" i="208"/>
  <c r="AA149" i="208"/>
  <c r="AA194" i="208"/>
  <c r="AF23" i="208"/>
  <c r="AF77" i="208"/>
  <c r="AE131" i="208"/>
  <c r="AE167" i="208"/>
  <c r="AE203" i="208"/>
  <c r="AE230" i="208"/>
  <c r="AE257" i="208"/>
  <c r="V261" i="208"/>
  <c r="V117" i="208"/>
  <c r="V225" i="208"/>
  <c r="V18" i="208"/>
  <c r="V72" i="208"/>
  <c r="V126" i="208"/>
  <c r="V180" i="208"/>
  <c r="V234" i="208"/>
  <c r="V14" i="208"/>
  <c r="F18" i="208"/>
  <c r="T18" i="208" s="1"/>
  <c r="F36" i="208"/>
  <c r="T36" i="208" s="1"/>
  <c r="F54" i="208"/>
  <c r="T54" i="208" s="1"/>
  <c r="F72" i="208"/>
  <c r="T72" i="208" s="1"/>
  <c r="F90" i="208"/>
  <c r="T90" i="208" s="1"/>
  <c r="F108" i="208"/>
  <c r="T108" i="208" s="1"/>
  <c r="F126" i="208"/>
  <c r="T126" i="208" s="1"/>
  <c r="F144" i="208"/>
  <c r="T144" i="208" s="1"/>
  <c r="F162" i="208"/>
  <c r="T162" i="208" s="1"/>
  <c r="F180" i="208"/>
  <c r="T180" i="208" s="1"/>
  <c r="F198" i="208"/>
  <c r="T198" i="208" s="1"/>
  <c r="F216" i="208"/>
  <c r="T216" i="208" s="1"/>
  <c r="F234" i="208"/>
  <c r="T234" i="208" s="1"/>
  <c r="F252" i="208"/>
  <c r="T252" i="208" s="1"/>
  <c r="F270" i="208"/>
  <c r="T270" i="208" s="1"/>
  <c r="F5" i="208"/>
  <c r="T5" i="208" s="1"/>
  <c r="AB77" i="208"/>
  <c r="AB149" i="208"/>
  <c r="AB194" i="208"/>
  <c r="AA257" i="208"/>
  <c r="AE32" i="208"/>
  <c r="AE86" i="208"/>
  <c r="AF131" i="208"/>
  <c r="AF167" i="208"/>
  <c r="AF203" i="208"/>
  <c r="AF230" i="208"/>
  <c r="AF257" i="208"/>
  <c r="AA294" i="208"/>
  <c r="AA32" i="208"/>
  <c r="AA104" i="208"/>
  <c r="AA176" i="208"/>
  <c r="AA239" i="208"/>
  <c r="AB257" i="208"/>
  <c r="AF32" i="208"/>
  <c r="AF86" i="208"/>
  <c r="AE176" i="208"/>
  <c r="V27" i="208"/>
  <c r="V81" i="208"/>
  <c r="V135" i="208"/>
  <c r="V189" i="208"/>
  <c r="V243" i="208"/>
  <c r="AB294" i="208"/>
  <c r="AB32" i="208"/>
  <c r="AA59" i="208"/>
  <c r="AB104" i="208"/>
  <c r="AA131" i="208"/>
  <c r="AB176" i="208"/>
  <c r="AB239" i="208"/>
  <c r="AE41" i="208"/>
  <c r="AE95" i="208"/>
  <c r="AF176" i="208"/>
  <c r="V171" i="208"/>
  <c r="F294" i="208"/>
  <c r="T294" i="208" s="1"/>
  <c r="AB59" i="208"/>
  <c r="AB131" i="208"/>
  <c r="AA221" i="208"/>
  <c r="AA298" i="208"/>
  <c r="AF41" i="208"/>
  <c r="AF95" i="208"/>
  <c r="AE140" i="208"/>
  <c r="AE185" i="208"/>
  <c r="AE212" i="208"/>
  <c r="AE239" i="208"/>
  <c r="AE266" i="208"/>
  <c r="V144" i="208"/>
  <c r="AA9" i="208"/>
  <c r="AA27" i="208"/>
  <c r="AA45" i="208"/>
  <c r="AA63" i="208"/>
  <c r="AA81" i="208"/>
  <c r="AA99" i="208"/>
  <c r="AA117" i="208"/>
  <c r="AA135" i="208"/>
  <c r="AA153" i="208"/>
  <c r="AA171" i="208"/>
  <c r="AA189" i="208"/>
  <c r="AA207" i="208"/>
  <c r="AA225" i="208"/>
  <c r="AA243" i="208"/>
  <c r="AA261" i="208"/>
  <c r="AA14" i="208"/>
  <c r="AA86" i="208"/>
  <c r="AA158" i="208"/>
  <c r="AA203" i="208"/>
  <c r="AB221" i="208"/>
  <c r="AB298" i="208"/>
  <c r="AE50" i="208"/>
  <c r="AE104" i="208"/>
  <c r="AF140" i="208"/>
  <c r="AF185" i="208"/>
  <c r="AF212" i="208"/>
  <c r="AF239" i="208"/>
  <c r="AF266" i="208"/>
  <c r="V36" i="208"/>
  <c r="V252" i="208"/>
  <c r="AB9" i="208"/>
  <c r="AB27" i="208"/>
  <c r="AB45" i="208"/>
  <c r="AB63" i="208"/>
  <c r="AB81" i="208"/>
  <c r="AB99" i="208"/>
  <c r="AB117" i="208"/>
  <c r="AB135" i="208"/>
  <c r="AB153" i="208"/>
  <c r="AB171" i="208"/>
  <c r="AB189" i="208"/>
  <c r="AB207" i="208"/>
  <c r="AB225" i="208"/>
  <c r="AB243" i="208"/>
  <c r="AB261" i="208"/>
  <c r="AB14" i="208"/>
  <c r="AB41" i="208"/>
  <c r="AB86" i="208"/>
  <c r="AA113" i="208"/>
  <c r="AB158" i="208"/>
  <c r="AB203" i="208"/>
  <c r="AA266" i="208"/>
  <c r="AF50" i="208"/>
  <c r="AF104" i="208"/>
  <c r="AE149" i="208"/>
  <c r="V90" i="208"/>
  <c r="V198" i="208"/>
  <c r="V294" i="208"/>
  <c r="V45" i="208"/>
  <c r="V99" i="208"/>
  <c r="V153" i="208"/>
  <c r="V207" i="208"/>
  <c r="F9" i="208"/>
  <c r="T9" i="208" s="1"/>
  <c r="F27" i="208"/>
  <c r="T27" i="208" s="1"/>
  <c r="F45" i="208"/>
  <c r="T45" i="208" s="1"/>
  <c r="F63" i="208"/>
  <c r="T63" i="208" s="1"/>
  <c r="F81" i="208"/>
  <c r="T81" i="208" s="1"/>
  <c r="F99" i="208"/>
  <c r="T99" i="208" s="1"/>
  <c r="F117" i="208"/>
  <c r="T117" i="208" s="1"/>
  <c r="F135" i="208"/>
  <c r="T135" i="208" s="1"/>
  <c r="F153" i="208"/>
  <c r="T153" i="208" s="1"/>
  <c r="F171" i="208"/>
  <c r="T171" i="208" s="1"/>
  <c r="F189" i="208"/>
  <c r="T189" i="208" s="1"/>
  <c r="F207" i="208"/>
  <c r="T207" i="208" s="1"/>
  <c r="F225" i="208"/>
  <c r="T225" i="208" s="1"/>
  <c r="F243" i="208"/>
  <c r="T243" i="208" s="1"/>
  <c r="F261" i="208"/>
  <c r="T261" i="208" s="1"/>
  <c r="AA41" i="208"/>
  <c r="AB113" i="208"/>
  <c r="AA185" i="208"/>
  <c r="AA248" i="208"/>
  <c r="AB266" i="208"/>
  <c r="AE5" i="208"/>
  <c r="AE59" i="208"/>
  <c r="AF149" i="208"/>
  <c r="F301" i="208"/>
  <c r="T301" i="208" s="1"/>
  <c r="V301" i="208"/>
  <c r="AA291" i="208"/>
  <c r="V291" i="208"/>
  <c r="AB291" i="208"/>
  <c r="AE301" i="208"/>
  <c r="F291" i="208"/>
  <c r="T291" i="208" s="1"/>
  <c r="AE291" i="208"/>
  <c r="AF291" i="208"/>
  <c r="AA301" i="208"/>
  <c r="AB301" i="208"/>
  <c r="V272" i="208"/>
  <c r="AA287" i="208"/>
  <c r="AA7" i="208"/>
  <c r="AA25" i="208"/>
  <c r="AA43" i="208"/>
  <c r="AA61" i="208"/>
  <c r="AA79" i="208"/>
  <c r="AA97" i="208"/>
  <c r="AA115" i="208"/>
  <c r="AA133" i="208"/>
  <c r="AA151" i="208"/>
  <c r="AA169" i="208"/>
  <c r="AA187" i="208"/>
  <c r="AA205" i="208"/>
  <c r="AA223" i="208"/>
  <c r="AA241" i="208"/>
  <c r="AA259" i="208"/>
  <c r="AA283" i="208"/>
  <c r="AF61" i="208"/>
  <c r="AF142" i="208"/>
  <c r="AF205" i="208"/>
  <c r="AF79" i="208"/>
  <c r="AE223" i="208"/>
  <c r="AF151" i="208"/>
  <c r="F7" i="208"/>
  <c r="T7" i="208" s="1"/>
  <c r="F25" i="208"/>
  <c r="F43" i="208"/>
  <c r="T43" i="208" s="1"/>
  <c r="F61" i="208"/>
  <c r="T61" i="208" s="1"/>
  <c r="F79" i="208"/>
  <c r="T79" i="208" s="1"/>
  <c r="F97" i="208"/>
  <c r="T97" i="208" s="1"/>
  <c r="F115" i="208"/>
  <c r="T115" i="208" s="1"/>
  <c r="F133" i="208"/>
  <c r="T133" i="208" s="1"/>
  <c r="F151" i="208"/>
  <c r="T151" i="208" s="1"/>
  <c r="F169" i="208"/>
  <c r="F187" i="208"/>
  <c r="T187" i="208" s="1"/>
  <c r="F205" i="208"/>
  <c r="T205" i="208" s="1"/>
  <c r="F223" i="208"/>
  <c r="T223" i="208" s="1"/>
  <c r="F241" i="208"/>
  <c r="F259" i="208"/>
  <c r="T259" i="208" s="1"/>
  <c r="F283" i="208"/>
  <c r="T283" i="208" s="1"/>
  <c r="AB287" i="208"/>
  <c r="AB7" i="208"/>
  <c r="AB25" i="208"/>
  <c r="AB43" i="208"/>
  <c r="AB61" i="208"/>
  <c r="AB79" i="208"/>
  <c r="AB97" i="208"/>
  <c r="AB115" i="208"/>
  <c r="AB133" i="208"/>
  <c r="AB151" i="208"/>
  <c r="AB169" i="208"/>
  <c r="AB187" i="208"/>
  <c r="AB205" i="208"/>
  <c r="AB223" i="208"/>
  <c r="AB241" i="208"/>
  <c r="AB259" i="208"/>
  <c r="AB283" i="208"/>
  <c r="AE16" i="208"/>
  <c r="AE70" i="208"/>
  <c r="AF223" i="208"/>
  <c r="AE88" i="208"/>
  <c r="AE160" i="208"/>
  <c r="AF16" i="208"/>
  <c r="AF70" i="208"/>
  <c r="AE241" i="208"/>
  <c r="AF88" i="208"/>
  <c r="AF160" i="208"/>
  <c r="AE39" i="208"/>
  <c r="AE93" i="208"/>
  <c r="AE147" i="208"/>
  <c r="AE201" i="208"/>
  <c r="AE255" i="208"/>
  <c r="AE2902" i="208"/>
  <c r="AE25" i="208"/>
  <c r="AF241" i="208"/>
  <c r="AE133" i="208"/>
  <c r="AE97" i="208"/>
  <c r="AE178" i="208"/>
  <c r="AF34" i="208"/>
  <c r="AE272" i="208"/>
  <c r="AF25" i="208"/>
  <c r="AE268" i="208"/>
  <c r="AF133" i="208"/>
  <c r="AE250" i="208"/>
  <c r="AF97" i="208"/>
  <c r="AF178" i="208"/>
  <c r="F287" i="208"/>
  <c r="T287" i="208" s="1"/>
  <c r="AE48" i="208"/>
  <c r="AE102" i="208"/>
  <c r="AE156" i="208"/>
  <c r="AE210" i="208"/>
  <c r="AE264" i="208"/>
  <c r="AF110" i="208"/>
  <c r="AF272" i="208"/>
  <c r="AE2038" i="208"/>
  <c r="AF268" i="208"/>
  <c r="AE169" i="208"/>
  <c r="AF250" i="208"/>
  <c r="AE106" i="208"/>
  <c r="AE196" i="208"/>
  <c r="AE283" i="208"/>
  <c r="AE232" i="208"/>
  <c r="V287" i="208"/>
  <c r="AA273" i="208"/>
  <c r="AA272" i="208"/>
  <c r="AA16" i="208"/>
  <c r="AA34" i="208"/>
  <c r="AA52" i="208"/>
  <c r="AA70" i="208"/>
  <c r="AA88" i="208"/>
  <c r="AA106" i="208"/>
  <c r="AA124" i="208"/>
  <c r="AA142" i="208"/>
  <c r="AA160" i="208"/>
  <c r="AA178" i="208"/>
  <c r="AA196" i="208"/>
  <c r="AA214" i="208"/>
  <c r="AA232" i="208"/>
  <c r="AA250" i="208"/>
  <c r="AA268" i="208"/>
  <c r="AF48" i="208"/>
  <c r="AF102" i="208"/>
  <c r="AF169" i="208"/>
  <c r="AE259" i="208"/>
  <c r="AF106" i="208"/>
  <c r="AF196" i="208"/>
  <c r="AF283" i="208"/>
  <c r="AF232" i="208"/>
  <c r="F16" i="208"/>
  <c r="T16" i="208" s="1"/>
  <c r="F34" i="208"/>
  <c r="F52" i="208"/>
  <c r="T52" i="208" s="1"/>
  <c r="F70" i="208"/>
  <c r="T70" i="208" s="1"/>
  <c r="F88" i="208"/>
  <c r="T88" i="208" s="1"/>
  <c r="F106" i="208"/>
  <c r="F124" i="208"/>
  <c r="T124" i="208" s="1"/>
  <c r="F142" i="208"/>
  <c r="T142" i="208" s="1"/>
  <c r="F160" i="208"/>
  <c r="T160" i="208" s="1"/>
  <c r="F178" i="208"/>
  <c r="T178" i="208" s="1"/>
  <c r="F196" i="208"/>
  <c r="T196" i="208" s="1"/>
  <c r="F214" i="208"/>
  <c r="T214" i="208" s="1"/>
  <c r="F232" i="208"/>
  <c r="T232" i="208" s="1"/>
  <c r="F250" i="208"/>
  <c r="F268" i="208"/>
  <c r="T268" i="208" s="1"/>
  <c r="AB273" i="208"/>
  <c r="AB272" i="208"/>
  <c r="AB16" i="208"/>
  <c r="AB34" i="208"/>
  <c r="AB52" i="208"/>
  <c r="AB70" i="208"/>
  <c r="AB88" i="208"/>
  <c r="AB106" i="208"/>
  <c r="AB124" i="208"/>
  <c r="AB142" i="208"/>
  <c r="AB160" i="208"/>
  <c r="AB178" i="208"/>
  <c r="AB196" i="208"/>
  <c r="AB214" i="208"/>
  <c r="AB232" i="208"/>
  <c r="AB250" i="208"/>
  <c r="AB268" i="208"/>
  <c r="AE3" i="208"/>
  <c r="AE57" i="208"/>
  <c r="AE111" i="208"/>
  <c r="AE165" i="208"/>
  <c r="AE219" i="208"/>
  <c r="AE273" i="208"/>
  <c r="AE43" i="208"/>
  <c r="AE115" i="208"/>
  <c r="AF259" i="208"/>
  <c r="V16" i="208"/>
  <c r="V52" i="208"/>
  <c r="V88" i="208"/>
  <c r="V124" i="208"/>
  <c r="V160" i="208"/>
  <c r="V196" i="208"/>
  <c r="V232" i="208"/>
  <c r="V268" i="208"/>
  <c r="F273" i="208"/>
  <c r="T273" i="208" s="1"/>
  <c r="AF273" i="208"/>
  <c r="AF43" i="208"/>
  <c r="AF115" i="208"/>
  <c r="AE187" i="208"/>
  <c r="V34" i="208"/>
  <c r="V70" i="208"/>
  <c r="V106" i="208"/>
  <c r="V142" i="208"/>
  <c r="V178" i="208"/>
  <c r="V214" i="208"/>
  <c r="V250" i="208"/>
  <c r="AE12" i="208"/>
  <c r="AE66" i="208"/>
  <c r="AE120" i="208"/>
  <c r="AE174" i="208"/>
  <c r="AE228" i="208"/>
  <c r="AE83" i="208"/>
  <c r="AE2398" i="208"/>
  <c r="AE2542" i="208"/>
  <c r="AE52" i="208"/>
  <c r="AE124" i="208"/>
  <c r="AF187" i="208"/>
  <c r="AE214" i="208"/>
  <c r="AE298" i="208"/>
  <c r="AE287" i="208"/>
  <c r="AF52" i="208"/>
  <c r="AF124" i="208"/>
  <c r="AE292" i="208"/>
  <c r="AF214" i="208"/>
  <c r="AF6" i="208"/>
  <c r="P6" i="208"/>
  <c r="AB24" i="208"/>
  <c r="P24" i="208"/>
  <c r="AF42" i="208"/>
  <c r="P42" i="208"/>
  <c r="AB60" i="208"/>
  <c r="P60" i="208"/>
  <c r="AF78" i="208"/>
  <c r="P78" i="208"/>
  <c r="AB96" i="208"/>
  <c r="P96" i="208"/>
  <c r="AF114" i="208"/>
  <c r="P114" i="208"/>
  <c r="AB132" i="208"/>
  <c r="P132" i="208"/>
  <c r="AF150" i="208"/>
  <c r="P150" i="208"/>
  <c r="AF168" i="208"/>
  <c r="P168" i="208"/>
  <c r="AF186" i="208"/>
  <c r="P186" i="208"/>
  <c r="AF204" i="208"/>
  <c r="P204" i="208"/>
  <c r="AF222" i="208"/>
  <c r="P222" i="208"/>
  <c r="AB240" i="208"/>
  <c r="P240" i="208"/>
  <c r="AF258" i="208"/>
  <c r="P258" i="208"/>
  <c r="AA280" i="208"/>
  <c r="P280" i="208"/>
  <c r="AF299" i="208"/>
  <c r="P299" i="208"/>
  <c r="AF4" i="208"/>
  <c r="P4" i="208"/>
  <c r="AF22" i="208"/>
  <c r="P22" i="208"/>
  <c r="AF31" i="208"/>
  <c r="P31" i="208"/>
  <c r="AF40" i="208"/>
  <c r="P40" i="208"/>
  <c r="AE49" i="208"/>
  <c r="P49" i="208"/>
  <c r="AF58" i="208"/>
  <c r="P58" i="208"/>
  <c r="AF112" i="208"/>
  <c r="P112" i="208"/>
  <c r="AE121" i="208"/>
  <c r="P121" i="208"/>
  <c r="AE130" i="208"/>
  <c r="P130" i="208"/>
  <c r="AF139" i="208"/>
  <c r="P139" i="208"/>
  <c r="AF166" i="208"/>
  <c r="P166" i="208"/>
  <c r="AF184" i="208"/>
  <c r="P184" i="208"/>
  <c r="AE193" i="208"/>
  <c r="P193" i="208"/>
  <c r="AF202" i="208"/>
  <c r="P202" i="208"/>
  <c r="AF220" i="208"/>
  <c r="P220" i="208"/>
  <c r="AF229" i="208"/>
  <c r="P229" i="208"/>
  <c r="AE238" i="208"/>
  <c r="P238" i="208"/>
  <c r="AF247" i="208"/>
  <c r="P247" i="208"/>
  <c r="AE295" i="208"/>
  <c r="P295" i="208"/>
  <c r="AE18" i="208"/>
  <c r="AE45" i="208"/>
  <c r="AE72" i="208"/>
  <c r="AE99" i="208"/>
  <c r="AE126" i="208"/>
  <c r="AE153" i="208"/>
  <c r="AE180" i="208"/>
  <c r="AE207" i="208"/>
  <c r="AE234" i="208"/>
  <c r="AE261" i="208"/>
  <c r="AF18" i="208"/>
  <c r="AF45" i="208"/>
  <c r="AF72" i="208"/>
  <c r="AF99" i="208"/>
  <c r="AF126" i="208"/>
  <c r="AF153" i="208"/>
  <c r="AF180" i="208"/>
  <c r="AF207" i="208"/>
  <c r="AF234" i="208"/>
  <c r="AF261" i="208"/>
  <c r="AE27" i="208"/>
  <c r="AE54" i="208"/>
  <c r="AE81" i="208"/>
  <c r="AE108" i="208"/>
  <c r="AE135" i="208"/>
  <c r="AE162" i="208"/>
  <c r="AE189" i="208"/>
  <c r="AE216" i="208"/>
  <c r="AE243" i="208"/>
  <c r="AE270" i="208"/>
  <c r="AF27" i="208"/>
  <c r="AF54" i="208"/>
  <c r="AF81" i="208"/>
  <c r="AF108" i="208"/>
  <c r="AF135" i="208"/>
  <c r="AF162" i="208"/>
  <c r="AF189" i="208"/>
  <c r="AF216" i="208"/>
  <c r="AF243" i="208"/>
  <c r="AF270" i="208"/>
  <c r="AE294" i="208"/>
  <c r="AF294" i="208"/>
  <c r="AE9" i="208"/>
  <c r="AE36" i="208"/>
  <c r="AE63" i="208"/>
  <c r="AE90" i="208"/>
  <c r="AE117" i="208"/>
  <c r="AE144" i="208"/>
  <c r="AE171" i="208"/>
  <c r="AE198" i="208"/>
  <c r="AE225" i="208"/>
  <c r="AE252" i="208"/>
  <c r="AF9" i="208"/>
  <c r="AF36" i="208"/>
  <c r="AF63" i="208"/>
  <c r="AF90" i="208"/>
  <c r="AF117" i="208"/>
  <c r="AF144" i="208"/>
  <c r="AF171" i="208"/>
  <c r="AF198" i="208"/>
  <c r="AF225" i="208"/>
  <c r="AF252" i="208"/>
  <c r="W314" i="208"/>
  <c r="N314" i="208"/>
  <c r="W368" i="208"/>
  <c r="N368" i="208"/>
  <c r="W428" i="208"/>
  <c r="N428" i="208"/>
  <c r="W500" i="208"/>
  <c r="N500" i="208"/>
  <c r="W1706" i="208"/>
  <c r="N1706" i="208"/>
  <c r="W4" i="208"/>
  <c r="N4" i="208"/>
  <c r="W22" i="208"/>
  <c r="N22" i="208"/>
  <c r="W40" i="208"/>
  <c r="N40" i="208"/>
  <c r="W58" i="208"/>
  <c r="N58" i="208"/>
  <c r="W76" i="208"/>
  <c r="N76" i="208"/>
  <c r="W94" i="208"/>
  <c r="N94" i="208"/>
  <c r="W112" i="208"/>
  <c r="N112" i="208"/>
  <c r="W130" i="208"/>
  <c r="N130" i="208"/>
  <c r="W148" i="208"/>
  <c r="N148" i="208"/>
  <c r="W166" i="208"/>
  <c r="N166" i="208"/>
  <c r="W184" i="208"/>
  <c r="N184" i="208"/>
  <c r="W202" i="208"/>
  <c r="N202" i="208"/>
  <c r="W220" i="208"/>
  <c r="N220" i="208"/>
  <c r="W238" i="208"/>
  <c r="N238" i="208"/>
  <c r="W256" i="208"/>
  <c r="N256" i="208"/>
  <c r="W274" i="208"/>
  <c r="N274" i="208"/>
  <c r="W2367" i="208"/>
  <c r="N2367" i="208"/>
  <c r="W2558" i="208"/>
  <c r="N2558" i="208"/>
  <c r="W2702" i="208"/>
  <c r="N2702" i="208"/>
  <c r="W2846" i="208"/>
  <c r="N2846" i="208"/>
  <c r="W2990" i="208"/>
  <c r="N2990" i="208"/>
  <c r="W2487" i="208"/>
  <c r="N2487" i="208"/>
  <c r="W2631" i="208"/>
  <c r="N2631" i="208"/>
  <c r="W2775" i="208"/>
  <c r="N2775" i="208"/>
  <c r="W2919" i="208"/>
  <c r="N2919" i="208"/>
  <c r="W2427" i="208"/>
  <c r="N2427" i="208"/>
  <c r="W2465" i="208"/>
  <c r="N2465" i="208"/>
  <c r="W2609" i="208"/>
  <c r="N2609" i="208"/>
  <c r="W2753" i="208"/>
  <c r="N2753" i="208"/>
  <c r="W2343" i="208"/>
  <c r="N2343" i="208"/>
  <c r="W2550" i="208"/>
  <c r="N2550" i="208"/>
  <c r="W2694" i="208"/>
  <c r="N2694" i="208"/>
  <c r="W2838" i="208"/>
  <c r="N2838" i="208"/>
  <c r="W2982" i="208"/>
  <c r="N2982" i="208"/>
  <c r="W1593" i="208"/>
  <c r="N1593" i="208"/>
  <c r="W1650" i="208"/>
  <c r="N1650" i="208"/>
  <c r="W1704" i="208"/>
  <c r="N1704" i="208"/>
  <c r="W1824" i="208"/>
  <c r="N1824" i="208"/>
  <c r="W1884" i="208"/>
  <c r="N1884" i="208"/>
  <c r="W1947" i="208"/>
  <c r="N1947" i="208"/>
  <c r="W2028" i="208"/>
  <c r="N2028" i="208"/>
  <c r="W2115" i="208"/>
  <c r="N2115" i="208"/>
  <c r="W2271" i="208"/>
  <c r="N2271" i="208"/>
  <c r="W2385" i="208"/>
  <c r="N2385" i="208"/>
  <c r="W554" i="208"/>
  <c r="N554" i="208"/>
  <c r="W2528" i="208"/>
  <c r="N2528" i="208"/>
  <c r="W2672" i="208"/>
  <c r="N2672" i="208"/>
  <c r="W2816" i="208"/>
  <c r="N2816" i="208"/>
  <c r="W2960" i="208"/>
  <c r="N2960" i="208"/>
  <c r="W1845" i="208"/>
  <c r="N1845" i="208"/>
  <c r="W1920" i="208"/>
  <c r="N1920" i="208"/>
  <c r="W1989" i="208"/>
  <c r="N1989" i="208"/>
  <c r="W2046" i="208"/>
  <c r="W2121" i="208"/>
  <c r="N2121" i="208"/>
  <c r="W2196" i="208"/>
  <c r="N2196" i="208"/>
  <c r="W2262" i="208"/>
  <c r="N2262" i="208"/>
  <c r="W2337" i="208"/>
  <c r="N2337" i="208"/>
  <c r="W2390" i="208"/>
  <c r="N2390" i="208"/>
  <c r="W2553" i="208"/>
  <c r="N2553" i="208"/>
  <c r="W2697" i="208"/>
  <c r="N2697" i="208"/>
  <c r="W2841" i="208"/>
  <c r="N2841" i="208"/>
  <c r="W2985" i="208"/>
  <c r="N2985" i="208"/>
  <c r="W29" i="208"/>
  <c r="N29" i="208"/>
  <c r="W47" i="208"/>
  <c r="N47" i="208"/>
  <c r="W65" i="208"/>
  <c r="N65" i="208"/>
  <c r="W83" i="208"/>
  <c r="N83" i="208"/>
  <c r="W101" i="208"/>
  <c r="N101" i="208"/>
  <c r="W119" i="208"/>
  <c r="N119" i="208"/>
  <c r="W137" i="208"/>
  <c r="N137" i="208"/>
  <c r="W155" i="208"/>
  <c r="N155" i="208"/>
  <c r="W173" i="208"/>
  <c r="N173" i="208"/>
  <c r="W194" i="208"/>
  <c r="N194" i="208"/>
  <c r="W212" i="208"/>
  <c r="N212" i="208"/>
  <c r="W233" i="208"/>
  <c r="N233" i="208"/>
  <c r="W251" i="208"/>
  <c r="N251" i="208"/>
  <c r="W272" i="208"/>
  <c r="N272" i="208"/>
  <c r="W330" i="208"/>
  <c r="N330" i="208"/>
  <c r="W369" i="208"/>
  <c r="N369" i="208"/>
  <c r="W405" i="208"/>
  <c r="N405" i="208"/>
  <c r="W423" i="208"/>
  <c r="N423" i="208"/>
  <c r="W444" i="208"/>
  <c r="N444" i="208"/>
  <c r="W1602" i="208"/>
  <c r="N1602" i="208"/>
  <c r="W1653" i="208"/>
  <c r="N1653" i="208"/>
  <c r="W1710" i="208"/>
  <c r="N1710" i="208"/>
  <c r="W1761" i="208"/>
  <c r="N1761" i="208"/>
  <c r="W1818" i="208"/>
  <c r="N1818" i="208"/>
  <c r="W1890" i="208"/>
  <c r="N1890" i="208"/>
  <c r="W1962" i="208"/>
  <c r="N1962" i="208"/>
  <c r="W2040" i="208"/>
  <c r="N2040" i="208"/>
  <c r="W2109" i="208"/>
  <c r="N2109" i="208"/>
  <c r="W2193" i="208"/>
  <c r="N2193" i="208"/>
  <c r="W2265" i="208"/>
  <c r="N2265" i="208"/>
  <c r="W2484" i="208"/>
  <c r="N2484" i="208"/>
  <c r="W770" i="208"/>
  <c r="N770" i="208"/>
  <c r="W323" i="208"/>
  <c r="N323" i="208"/>
  <c r="W341" i="208"/>
  <c r="N341" i="208"/>
  <c r="W359" i="208"/>
  <c r="N359" i="208"/>
  <c r="W377" i="208"/>
  <c r="N377" i="208"/>
  <c r="W398" i="208"/>
  <c r="N398" i="208"/>
  <c r="W419" i="208"/>
  <c r="N419" i="208"/>
  <c r="N437" i="208"/>
  <c r="W455" i="208"/>
  <c r="N455" i="208"/>
  <c r="W473" i="208"/>
  <c r="N473" i="208"/>
  <c r="W509" i="208"/>
  <c r="N509" i="208"/>
  <c r="W530" i="208"/>
  <c r="N530" i="208"/>
  <c r="W548" i="208"/>
  <c r="N548" i="208"/>
  <c r="W569" i="208"/>
  <c r="N569" i="208"/>
  <c r="W587" i="208"/>
  <c r="N587" i="208"/>
  <c r="W605" i="208"/>
  <c r="N605" i="208"/>
  <c r="W623" i="208"/>
  <c r="N623" i="208"/>
  <c r="W641" i="208"/>
  <c r="N641" i="208"/>
  <c r="W659" i="208"/>
  <c r="N659" i="208"/>
  <c r="W677" i="208"/>
  <c r="N677" i="208"/>
  <c r="W698" i="208"/>
  <c r="N698" i="208"/>
  <c r="W722" i="208"/>
  <c r="N722" i="208"/>
  <c r="W740" i="208"/>
  <c r="N740" i="208"/>
  <c r="W761" i="208"/>
  <c r="N761" i="208"/>
  <c r="W797" i="208"/>
  <c r="N797" i="208"/>
  <c r="W815" i="208"/>
  <c r="N815" i="208"/>
  <c r="W851" i="208"/>
  <c r="N851" i="208"/>
  <c r="W869" i="208"/>
  <c r="N869" i="208"/>
  <c r="W887" i="208"/>
  <c r="N887" i="208"/>
  <c r="W905" i="208"/>
  <c r="N905" i="208"/>
  <c r="W941" i="208"/>
  <c r="N941" i="208"/>
  <c r="W959" i="208"/>
  <c r="N959" i="208"/>
  <c r="W995" i="208"/>
  <c r="N995" i="208"/>
  <c r="W1013" i="208"/>
  <c r="N1013" i="208"/>
  <c r="W1031" i="208"/>
  <c r="N1031" i="208"/>
  <c r="W1049" i="208"/>
  <c r="N1049" i="208"/>
  <c r="W1085" i="208"/>
  <c r="N1085" i="208"/>
  <c r="W1103" i="208"/>
  <c r="N1103" i="208"/>
  <c r="W1139" i="208"/>
  <c r="N1139" i="208"/>
  <c r="W1157" i="208"/>
  <c r="N1157" i="208"/>
  <c r="W1175" i="208"/>
  <c r="N1175" i="208"/>
  <c r="W1193" i="208"/>
  <c r="N1193" i="208"/>
  <c r="W1229" i="208"/>
  <c r="N1229" i="208"/>
  <c r="W1247" i="208"/>
  <c r="N1247" i="208"/>
  <c r="W1283" i="208"/>
  <c r="N1283" i="208"/>
  <c r="W1301" i="208"/>
  <c r="N1301" i="208"/>
  <c r="W1319" i="208"/>
  <c r="N1319" i="208"/>
  <c r="W1337" i="208"/>
  <c r="N1337" i="208"/>
  <c r="W1373" i="208"/>
  <c r="N1373" i="208"/>
  <c r="W1391" i="208"/>
  <c r="N1391" i="208"/>
  <c r="W1427" i="208"/>
  <c r="N1427" i="208"/>
  <c r="W1445" i="208"/>
  <c r="N1445" i="208"/>
  <c r="W1463" i="208"/>
  <c r="N1463" i="208"/>
  <c r="W1481" i="208"/>
  <c r="N1481" i="208"/>
  <c r="W1517" i="208"/>
  <c r="N1517" i="208"/>
  <c r="W1535" i="208"/>
  <c r="N1535" i="208"/>
  <c r="W1571" i="208"/>
  <c r="N1571" i="208"/>
  <c r="W1589" i="208"/>
  <c r="N1589" i="208"/>
  <c r="W1607" i="208"/>
  <c r="N1607" i="208"/>
  <c r="W1625" i="208"/>
  <c r="N1625" i="208"/>
  <c r="W1661" i="208"/>
  <c r="N1661" i="208"/>
  <c r="W1679" i="208"/>
  <c r="N1679" i="208"/>
  <c r="W1715" i="208"/>
  <c r="N1715" i="208"/>
  <c r="W1733" i="208"/>
  <c r="N1733" i="208"/>
  <c r="W1751" i="208"/>
  <c r="N1751" i="208"/>
  <c r="W1769" i="208"/>
  <c r="N1769" i="208"/>
  <c r="W1805" i="208"/>
  <c r="N1805" i="208"/>
  <c r="W1823" i="208"/>
  <c r="N1823" i="208"/>
  <c r="W1880" i="208"/>
  <c r="N1880" i="208"/>
  <c r="W1898" i="208"/>
  <c r="N1898" i="208"/>
  <c r="W1916" i="208"/>
  <c r="N1916" i="208"/>
  <c r="W1934" i="208"/>
  <c r="N1934" i="208"/>
  <c r="W1952" i="208"/>
  <c r="N1952" i="208"/>
  <c r="W1970" i="208"/>
  <c r="N1970" i="208"/>
  <c r="W1988" i="208"/>
  <c r="N1988" i="208"/>
  <c r="W2024" i="208"/>
  <c r="N2024" i="208"/>
  <c r="W2042" i="208"/>
  <c r="N2042" i="208"/>
  <c r="W2063" i="208"/>
  <c r="N2063" i="208"/>
  <c r="W2093" i="208"/>
  <c r="N2093" i="208"/>
  <c r="W2141" i="208"/>
  <c r="N2141" i="208"/>
  <c r="W2195" i="208"/>
  <c r="N2195" i="208"/>
  <c r="W2246" i="208"/>
  <c r="N2246" i="208"/>
  <c r="W2318" i="208"/>
  <c r="N2318" i="208"/>
  <c r="W2381" i="208"/>
  <c r="N2381" i="208"/>
  <c r="W2570" i="208"/>
  <c r="N2570" i="208"/>
  <c r="W2714" i="208"/>
  <c r="N2714" i="208"/>
  <c r="W2858" i="208"/>
  <c r="N2858" i="208"/>
  <c r="W410" i="208"/>
  <c r="W2499" i="208"/>
  <c r="N2499" i="208"/>
  <c r="W2787" i="208"/>
  <c r="N2787" i="208"/>
  <c r="W2931" i="208"/>
  <c r="N2931" i="208"/>
  <c r="W302" i="208"/>
  <c r="N302" i="208"/>
  <c r="W2477" i="208"/>
  <c r="N2477" i="208"/>
  <c r="W2621" i="208"/>
  <c r="N2621" i="208"/>
  <c r="W2765" i="208"/>
  <c r="N2765" i="208"/>
  <c r="W2909" i="208"/>
  <c r="N2909" i="208"/>
  <c r="W2357" i="208"/>
  <c r="N2357" i="208"/>
  <c r="W2562" i="208"/>
  <c r="N2562" i="208"/>
  <c r="W2706" i="208"/>
  <c r="N2706" i="208"/>
  <c r="W2850" i="208"/>
  <c r="N2850" i="208"/>
  <c r="W2994" i="208"/>
  <c r="N2994" i="208"/>
  <c r="W1560" i="208"/>
  <c r="N1560" i="208"/>
  <c r="W1659" i="208"/>
  <c r="N1659" i="208"/>
  <c r="W1719" i="208"/>
  <c r="N1719" i="208"/>
  <c r="W1770" i="208"/>
  <c r="N1770" i="208"/>
  <c r="W1836" i="208"/>
  <c r="N1836" i="208"/>
  <c r="W1911" i="208"/>
  <c r="N1911" i="208"/>
  <c r="W1992" i="208"/>
  <c r="N1992" i="208"/>
  <c r="W2055" i="208"/>
  <c r="N2055" i="208"/>
  <c r="W2124" i="208"/>
  <c r="N2124" i="208"/>
  <c r="N2187" i="208"/>
  <c r="W2259" i="208"/>
  <c r="N2259" i="208"/>
  <c r="W2292" i="208"/>
  <c r="N2292" i="208"/>
  <c r="W2540" i="208"/>
  <c r="N2540" i="208"/>
  <c r="W2684" i="208"/>
  <c r="N2684" i="208"/>
  <c r="W2828" i="208"/>
  <c r="N2828" i="208"/>
  <c r="W2972" i="208"/>
  <c r="N2972" i="208"/>
  <c r="W2418" i="208"/>
  <c r="N2418" i="208"/>
  <c r="W2565" i="208"/>
  <c r="N2565" i="208"/>
  <c r="W2709" i="208"/>
  <c r="N2709" i="208"/>
  <c r="W2853" i="208"/>
  <c r="N2853" i="208"/>
  <c r="W2997" i="208"/>
  <c r="N2997" i="208"/>
  <c r="W2796" i="208"/>
  <c r="W2256" i="208"/>
  <c r="N2256" i="208"/>
  <c r="W2483" i="208"/>
  <c r="N2483" i="208"/>
  <c r="W2627" i="208"/>
  <c r="N2627" i="208"/>
  <c r="W2771" i="208"/>
  <c r="N2771" i="208"/>
  <c r="W2915" i="208"/>
  <c r="N2915" i="208"/>
  <c r="W2544" i="208"/>
  <c r="N2544" i="208"/>
  <c r="W2832" i="208"/>
  <c r="N2832" i="208"/>
  <c r="W2117" i="208"/>
  <c r="N2117" i="208"/>
  <c r="W2168" i="208"/>
  <c r="N2168" i="208"/>
  <c r="W2270" i="208"/>
  <c r="N2270" i="208"/>
  <c r="W2351" i="208"/>
  <c r="N2351" i="208"/>
  <c r="W896" i="208"/>
  <c r="N896" i="208"/>
  <c r="W2870" i="208"/>
  <c r="W719" i="208"/>
  <c r="N719" i="208"/>
  <c r="W2511" i="208"/>
  <c r="N2511" i="208"/>
  <c r="W2655" i="208"/>
  <c r="N2655" i="208"/>
  <c r="W2799" i="208"/>
  <c r="N2799" i="208"/>
  <c r="W2943" i="208"/>
  <c r="N2943" i="208"/>
  <c r="W2489" i="208"/>
  <c r="N2489" i="208"/>
  <c r="W2633" i="208"/>
  <c r="N2633" i="208"/>
  <c r="W2777" i="208"/>
  <c r="N2777" i="208"/>
  <c r="W2921" i="208"/>
  <c r="N2921" i="208"/>
  <c r="W2415" i="208"/>
  <c r="N2415" i="208"/>
  <c r="W2574" i="208"/>
  <c r="N2574" i="208"/>
  <c r="W2718" i="208"/>
  <c r="N2718" i="208"/>
  <c r="W2862" i="208"/>
  <c r="N2862" i="208"/>
  <c r="W1539" i="208"/>
  <c r="N1539" i="208"/>
  <c r="W1599" i="208"/>
  <c r="N1599" i="208"/>
  <c r="W1656" i="208"/>
  <c r="N1656" i="208"/>
  <c r="W1713" i="208"/>
  <c r="N1713" i="208"/>
  <c r="W1767" i="208"/>
  <c r="N1767" i="208"/>
  <c r="W1833" i="208"/>
  <c r="N1833" i="208"/>
  <c r="W1956" i="208"/>
  <c r="N1956" i="208"/>
  <c r="W2049" i="208"/>
  <c r="N2049" i="208"/>
  <c r="W2127" i="208"/>
  <c r="N2127" i="208"/>
  <c r="W2286" i="208"/>
  <c r="N2286" i="208"/>
  <c r="N527" i="208"/>
  <c r="W2345" i="208"/>
  <c r="N2345" i="208"/>
  <c r="W2696" i="208"/>
  <c r="N2696" i="208"/>
  <c r="W2840" i="208"/>
  <c r="N2840" i="208"/>
  <c r="W2984" i="208"/>
  <c r="N2984" i="208"/>
  <c r="W1854" i="208"/>
  <c r="N1854" i="208"/>
  <c r="W1926" i="208"/>
  <c r="N1926" i="208"/>
  <c r="W2001" i="208"/>
  <c r="N2001" i="208"/>
  <c r="W2067" i="208"/>
  <c r="N2067" i="208"/>
  <c r="W2136" i="208"/>
  <c r="N2136" i="208"/>
  <c r="W2208" i="208"/>
  <c r="N2208" i="208"/>
  <c r="W2274" i="208"/>
  <c r="N2274" i="208"/>
  <c r="W2397" i="208"/>
  <c r="N2397" i="208"/>
  <c r="W2432" i="208"/>
  <c r="N2432" i="208"/>
  <c r="W2577" i="208"/>
  <c r="N2577" i="208"/>
  <c r="W2721" i="208"/>
  <c r="N2721" i="208"/>
  <c r="W2865" i="208"/>
  <c r="N2865" i="208"/>
  <c r="W32" i="208"/>
  <c r="N32" i="208"/>
  <c r="W50" i="208"/>
  <c r="N50" i="208"/>
  <c r="W68" i="208"/>
  <c r="N68" i="208"/>
  <c r="W86" i="208"/>
  <c r="N86" i="208"/>
  <c r="W104" i="208"/>
  <c r="N104" i="208"/>
  <c r="W122" i="208"/>
  <c r="N122" i="208"/>
  <c r="W140" i="208"/>
  <c r="N140" i="208"/>
  <c r="W158" i="208"/>
  <c r="N158" i="208"/>
  <c r="W176" i="208"/>
  <c r="N176" i="208"/>
  <c r="W197" i="208"/>
  <c r="N197" i="208"/>
  <c r="W215" i="208"/>
  <c r="N215" i="208"/>
  <c r="W236" i="208"/>
  <c r="N236" i="208"/>
  <c r="W257" i="208"/>
  <c r="N257" i="208"/>
  <c r="W275" i="208"/>
  <c r="N275" i="208"/>
  <c r="W312" i="208"/>
  <c r="N312" i="208"/>
  <c r="W333" i="208"/>
  <c r="N333" i="208"/>
  <c r="W351" i="208"/>
  <c r="N351" i="208"/>
  <c r="W372" i="208"/>
  <c r="N372" i="208"/>
  <c r="W390" i="208"/>
  <c r="N390" i="208"/>
  <c r="W408" i="208"/>
  <c r="N408" i="208"/>
  <c r="W426" i="208"/>
  <c r="N426" i="208"/>
  <c r="W447" i="208"/>
  <c r="N447" i="208"/>
  <c r="W1608" i="208"/>
  <c r="N1608" i="208"/>
  <c r="W1662" i="208"/>
  <c r="N1662" i="208"/>
  <c r="W1716" i="208"/>
  <c r="N1716" i="208"/>
  <c r="W1773" i="208"/>
  <c r="N1773" i="208"/>
  <c r="W1827" i="208"/>
  <c r="N1827" i="208"/>
  <c r="W1974" i="208"/>
  <c r="N1974" i="208"/>
  <c r="W2052" i="208"/>
  <c r="N2052" i="208"/>
  <c r="W2118" i="208"/>
  <c r="N2118" i="208"/>
  <c r="W2199" i="208"/>
  <c r="N2199" i="208"/>
  <c r="W2277" i="208"/>
  <c r="N2277" i="208"/>
  <c r="W2421" i="208"/>
  <c r="N2421" i="208"/>
  <c r="W2532" i="208"/>
  <c r="N2532" i="208"/>
  <c r="W2820" i="208"/>
  <c r="N2820" i="208"/>
  <c r="W2123" i="208"/>
  <c r="N2123" i="208"/>
  <c r="W2183" i="208"/>
  <c r="N2183" i="208"/>
  <c r="W2240" i="208"/>
  <c r="N2240" i="208"/>
  <c r="W2291" i="208"/>
  <c r="N2291" i="208"/>
  <c r="W2300" i="208"/>
  <c r="N2300" i="208"/>
  <c r="W2495" i="208"/>
  <c r="N2495" i="208"/>
  <c r="W2639" i="208"/>
  <c r="N2639" i="208"/>
  <c r="W2783" i="208"/>
  <c r="N2783" i="208"/>
  <c r="W2927" i="208"/>
  <c r="N2927" i="208"/>
  <c r="W2568" i="208"/>
  <c r="N2568" i="208"/>
  <c r="W2844" i="208"/>
  <c r="N2844" i="208"/>
  <c r="W878" i="208"/>
  <c r="N878" i="208"/>
  <c r="W308" i="208"/>
  <c r="N308" i="208"/>
  <c r="W362" i="208"/>
  <c r="N362" i="208"/>
  <c r="N380" i="208"/>
  <c r="W440" i="208"/>
  <c r="N440" i="208"/>
  <c r="W458" i="208"/>
  <c r="W494" i="208"/>
  <c r="N494" i="208"/>
  <c r="W512" i="208"/>
  <c r="N512" i="208"/>
  <c r="W533" i="208"/>
  <c r="N533" i="208"/>
  <c r="W551" i="208"/>
  <c r="N551" i="208"/>
  <c r="W572" i="208"/>
  <c r="N572" i="208"/>
  <c r="W608" i="208"/>
  <c r="N608" i="208"/>
  <c r="W626" i="208"/>
  <c r="N626" i="208"/>
  <c r="W644" i="208"/>
  <c r="N644" i="208"/>
  <c r="W662" i="208"/>
  <c r="N662" i="208"/>
  <c r="W680" i="208"/>
  <c r="N680" i="208"/>
  <c r="W701" i="208"/>
  <c r="N701" i="208"/>
  <c r="W725" i="208"/>
  <c r="N725" i="208"/>
  <c r="W743" i="208"/>
  <c r="N743" i="208"/>
  <c r="W764" i="208"/>
  <c r="N764" i="208"/>
  <c r="W782" i="208"/>
  <c r="N782" i="208"/>
  <c r="W800" i="208"/>
  <c r="N800" i="208"/>
  <c r="W818" i="208"/>
  <c r="N818" i="208"/>
  <c r="W836" i="208"/>
  <c r="N836" i="208"/>
  <c r="W872" i="208"/>
  <c r="N872" i="208"/>
  <c r="W890" i="208"/>
  <c r="N890" i="208"/>
  <c r="W908" i="208"/>
  <c r="N908" i="208"/>
  <c r="W926" i="208"/>
  <c r="N926" i="208"/>
  <c r="W944" i="208"/>
  <c r="N944" i="208"/>
  <c r="W962" i="208"/>
  <c r="N962" i="208"/>
  <c r="W980" i="208"/>
  <c r="N980" i="208"/>
  <c r="W1016" i="208"/>
  <c r="N1016" i="208"/>
  <c r="W1034" i="208"/>
  <c r="N1034" i="208"/>
  <c r="W1052" i="208"/>
  <c r="N1052" i="208"/>
  <c r="W1070" i="208"/>
  <c r="N1070" i="208"/>
  <c r="W1088" i="208"/>
  <c r="N1088" i="208"/>
  <c r="W1106" i="208"/>
  <c r="N1106" i="208"/>
  <c r="W1124" i="208"/>
  <c r="N1124" i="208"/>
  <c r="W1160" i="208"/>
  <c r="N1160" i="208"/>
  <c r="W1178" i="208"/>
  <c r="N1178" i="208"/>
  <c r="W1196" i="208"/>
  <c r="N1196" i="208"/>
  <c r="W1214" i="208"/>
  <c r="N1214" i="208"/>
  <c r="W1232" i="208"/>
  <c r="N1232" i="208"/>
  <c r="W1250" i="208"/>
  <c r="N1250" i="208"/>
  <c r="W1268" i="208"/>
  <c r="N1268" i="208"/>
  <c r="W1304" i="208"/>
  <c r="N1304" i="208"/>
  <c r="W1322" i="208"/>
  <c r="N1322" i="208"/>
  <c r="W1340" i="208"/>
  <c r="N1340" i="208"/>
  <c r="W1358" i="208"/>
  <c r="N1358" i="208"/>
  <c r="W1376" i="208"/>
  <c r="N1376" i="208"/>
  <c r="W1394" i="208"/>
  <c r="N1394" i="208"/>
  <c r="W1412" i="208"/>
  <c r="N1412" i="208"/>
  <c r="W1448" i="208"/>
  <c r="N1448" i="208"/>
  <c r="W1466" i="208"/>
  <c r="N1466" i="208"/>
  <c r="W1484" i="208"/>
  <c r="N1484" i="208"/>
  <c r="W1502" i="208"/>
  <c r="N1502" i="208"/>
  <c r="W1520" i="208"/>
  <c r="N1520" i="208"/>
  <c r="W1538" i="208"/>
  <c r="N1538" i="208"/>
  <c r="W1556" i="208"/>
  <c r="N1556" i="208"/>
  <c r="W1592" i="208"/>
  <c r="N1592" i="208"/>
  <c r="W1610" i="208"/>
  <c r="N1610" i="208"/>
  <c r="W1628" i="208"/>
  <c r="N1628" i="208"/>
  <c r="W1646" i="208"/>
  <c r="N1646" i="208"/>
  <c r="W1664" i="208"/>
  <c r="N1664" i="208"/>
  <c r="W1682" i="208"/>
  <c r="N1682" i="208"/>
  <c r="W1700" i="208"/>
  <c r="N1700" i="208"/>
  <c r="W1736" i="208"/>
  <c r="N1736" i="208"/>
  <c r="W1754" i="208"/>
  <c r="N1754" i="208"/>
  <c r="W1772" i="208"/>
  <c r="N1772" i="208"/>
  <c r="W1790" i="208"/>
  <c r="N1790" i="208"/>
  <c r="W1808" i="208"/>
  <c r="N1808" i="208"/>
  <c r="W1826" i="208"/>
  <c r="N1826" i="208"/>
  <c r="W1844" i="208"/>
  <c r="N1844" i="208"/>
  <c r="W1865" i="208"/>
  <c r="N1865" i="208"/>
  <c r="W1883" i="208"/>
  <c r="N1883" i="208"/>
  <c r="W1901" i="208"/>
  <c r="N1901" i="208"/>
  <c r="W1919" i="208"/>
  <c r="N1919" i="208"/>
  <c r="W1937" i="208"/>
  <c r="N1937" i="208"/>
  <c r="W1955" i="208"/>
  <c r="N1955" i="208"/>
  <c r="W1973" i="208"/>
  <c r="N1973" i="208"/>
  <c r="W1991" i="208"/>
  <c r="N1991" i="208"/>
  <c r="W2009" i="208"/>
  <c r="N2009" i="208"/>
  <c r="W2027" i="208"/>
  <c r="N2027" i="208"/>
  <c r="W2045" i="208"/>
  <c r="N2045" i="208"/>
  <c r="W2066" i="208"/>
  <c r="N2066" i="208"/>
  <c r="W2099" i="208"/>
  <c r="N2099" i="208"/>
  <c r="W2147" i="208"/>
  <c r="N2147" i="208"/>
  <c r="W2204" i="208"/>
  <c r="N2204" i="208"/>
  <c r="W2255" i="208"/>
  <c r="N2255" i="208"/>
  <c r="W2375" i="208"/>
  <c r="N2375" i="208"/>
  <c r="W2450" i="208"/>
  <c r="N2450" i="208"/>
  <c r="W2594" i="208"/>
  <c r="N2594" i="208"/>
  <c r="W2738" i="208"/>
  <c r="N2738" i="208"/>
  <c r="W2882" i="208"/>
  <c r="N2882" i="208"/>
  <c r="W2354" i="208"/>
  <c r="N2354" i="208"/>
  <c r="W2523" i="208"/>
  <c r="N2523" i="208"/>
  <c r="W2667" i="208"/>
  <c r="N2667" i="208"/>
  <c r="W2811" i="208"/>
  <c r="N2811" i="208"/>
  <c r="W2955" i="208"/>
  <c r="N2955" i="208"/>
  <c r="W749" i="208"/>
  <c r="N749" i="208"/>
  <c r="W2501" i="208"/>
  <c r="N2501" i="208"/>
  <c r="W2645" i="208"/>
  <c r="N2645" i="208"/>
  <c r="W2789" i="208"/>
  <c r="N2789" i="208"/>
  <c r="W2933" i="208"/>
  <c r="N2933" i="208"/>
  <c r="W2429" i="208"/>
  <c r="N2429" i="208"/>
  <c r="W2586" i="208"/>
  <c r="N2586" i="208"/>
  <c r="W2730" i="208"/>
  <c r="N2730" i="208"/>
  <c r="W2874" i="208"/>
  <c r="N2874" i="208"/>
  <c r="W2321" i="208"/>
  <c r="N2321" i="208"/>
  <c r="W1566" i="208"/>
  <c r="N1566" i="208"/>
  <c r="W1674" i="208"/>
  <c r="N1674" i="208"/>
  <c r="W1725" i="208"/>
  <c r="N1725" i="208"/>
  <c r="W1782" i="208"/>
  <c r="N1782" i="208"/>
  <c r="W1851" i="208"/>
  <c r="N1851" i="208"/>
  <c r="W1923" i="208"/>
  <c r="N1923" i="208"/>
  <c r="W2007" i="208"/>
  <c r="N2007" i="208"/>
  <c r="W2064" i="208"/>
  <c r="N2064" i="208"/>
  <c r="W2130" i="208"/>
  <c r="N2130" i="208"/>
  <c r="W2202" i="208"/>
  <c r="N2202" i="208"/>
  <c r="W2322" i="208"/>
  <c r="N2322" i="208"/>
  <c r="W2403" i="208"/>
  <c r="N2403" i="208"/>
  <c r="W2564" i="208"/>
  <c r="N2564" i="208"/>
  <c r="W2708" i="208"/>
  <c r="N2708" i="208"/>
  <c r="W2852" i="208"/>
  <c r="N2852" i="208"/>
  <c r="W2996" i="208"/>
  <c r="N2996" i="208"/>
  <c r="W2445" i="208"/>
  <c r="N2445" i="208"/>
  <c r="W354" i="208"/>
  <c r="N354" i="208"/>
  <c r="N10" i="208"/>
  <c r="W28" i="208"/>
  <c r="N28" i="208"/>
  <c r="W46" i="208"/>
  <c r="N46" i="208"/>
  <c r="W64" i="208"/>
  <c r="W100" i="208"/>
  <c r="N100" i="208"/>
  <c r="W118" i="208"/>
  <c r="N118" i="208"/>
  <c r="W136" i="208"/>
  <c r="W154" i="208"/>
  <c r="W172" i="208"/>
  <c r="N172" i="208"/>
  <c r="W190" i="208"/>
  <c r="N190" i="208"/>
  <c r="W244" i="208"/>
  <c r="N244" i="208"/>
  <c r="W262" i="208"/>
  <c r="N262" i="208"/>
  <c r="W286" i="208"/>
  <c r="N286" i="208"/>
  <c r="W2462" i="208"/>
  <c r="N2462" i="208"/>
  <c r="W2606" i="208"/>
  <c r="N2606" i="208"/>
  <c r="W2750" i="208"/>
  <c r="N2750" i="208"/>
  <c r="W2894" i="208"/>
  <c r="N2894" i="208"/>
  <c r="W2382" i="208"/>
  <c r="N2382" i="208"/>
  <c r="W2535" i="208"/>
  <c r="N2535" i="208"/>
  <c r="W2823" i="208"/>
  <c r="N2823" i="208"/>
  <c r="W2967" i="208"/>
  <c r="N2967" i="208"/>
  <c r="W2280" i="208"/>
  <c r="N2280" i="208"/>
  <c r="W2513" i="208"/>
  <c r="N2513" i="208"/>
  <c r="W2657" i="208"/>
  <c r="N2657" i="208"/>
  <c r="W2801" i="208"/>
  <c r="N2801" i="208"/>
  <c r="W2945" i="208"/>
  <c r="N2945" i="208"/>
  <c r="W2442" i="208"/>
  <c r="N2442" i="208"/>
  <c r="W2598" i="208"/>
  <c r="N2598" i="208"/>
  <c r="W2742" i="208"/>
  <c r="N2742" i="208"/>
  <c r="W2886" i="208"/>
  <c r="N2886" i="208"/>
  <c r="W1545" i="208"/>
  <c r="N1545" i="208"/>
  <c r="W1611" i="208"/>
  <c r="N1611" i="208"/>
  <c r="W1668" i="208"/>
  <c r="N1668" i="208"/>
  <c r="W1722" i="208"/>
  <c r="N1722" i="208"/>
  <c r="W1776" i="208"/>
  <c r="N1776" i="208"/>
  <c r="W1842" i="208"/>
  <c r="N1842" i="208"/>
  <c r="W1908" i="208"/>
  <c r="N1908" i="208"/>
  <c r="W1968" i="208"/>
  <c r="N1968" i="208"/>
  <c r="W2058" i="208"/>
  <c r="N2058" i="208"/>
  <c r="W2139" i="208"/>
  <c r="N2139" i="208"/>
  <c r="W2205" i="208"/>
  <c r="N2205" i="208"/>
  <c r="W2295" i="208"/>
  <c r="N2295" i="208"/>
  <c r="W2358" i="208"/>
  <c r="N2358" i="208"/>
  <c r="W2576" i="208"/>
  <c r="N2576" i="208"/>
  <c r="W2720" i="208"/>
  <c r="N2720" i="208"/>
  <c r="W2864" i="208"/>
  <c r="N2864" i="208"/>
  <c r="W1665" i="208"/>
  <c r="N1665" i="208"/>
  <c r="W1866" i="208"/>
  <c r="N1866" i="208"/>
  <c r="W1941" i="208"/>
  <c r="N1941" i="208"/>
  <c r="W2013" i="208"/>
  <c r="N2013" i="208"/>
  <c r="W2145" i="208"/>
  <c r="N2145" i="208"/>
  <c r="W2217" i="208"/>
  <c r="N2217" i="208"/>
  <c r="W2301" i="208"/>
  <c r="N2301" i="208"/>
  <c r="W2409" i="208"/>
  <c r="N2409" i="208"/>
  <c r="W2457" i="208"/>
  <c r="N2457" i="208"/>
  <c r="W2601" i="208"/>
  <c r="N2601" i="208"/>
  <c r="W2745" i="208"/>
  <c r="N2745" i="208"/>
  <c r="W2889" i="208"/>
  <c r="N2889" i="208"/>
  <c r="W17" i="208"/>
  <c r="N17" i="208"/>
  <c r="W35" i="208"/>
  <c r="N35" i="208"/>
  <c r="W53" i="208"/>
  <c r="N53" i="208"/>
  <c r="W71" i="208"/>
  <c r="N71" i="208"/>
  <c r="W89" i="208"/>
  <c r="N89" i="208"/>
  <c r="W107" i="208"/>
  <c r="N107" i="208"/>
  <c r="W125" i="208"/>
  <c r="N125" i="208"/>
  <c r="W143" i="208"/>
  <c r="N143" i="208"/>
  <c r="W161" i="208"/>
  <c r="N161" i="208"/>
  <c r="W179" i="208"/>
  <c r="N179" i="208"/>
  <c r="W200" i="208"/>
  <c r="N200" i="208"/>
  <c r="W221" i="208"/>
  <c r="N221" i="208"/>
  <c r="W239" i="208"/>
  <c r="N239" i="208"/>
  <c r="W260" i="208"/>
  <c r="N260" i="208"/>
  <c r="W278" i="208"/>
  <c r="N278" i="208"/>
  <c r="W315" i="208"/>
  <c r="N315" i="208"/>
  <c r="W336" i="208"/>
  <c r="N336" i="208"/>
  <c r="W357" i="208"/>
  <c r="W375" i="208"/>
  <c r="N375" i="208"/>
  <c r="W393" i="208"/>
  <c r="N393" i="208"/>
  <c r="W411" i="208"/>
  <c r="N411" i="208"/>
  <c r="W429" i="208"/>
  <c r="N429" i="208"/>
  <c r="W1569" i="208"/>
  <c r="N1569" i="208"/>
  <c r="W1617" i="208"/>
  <c r="N1617" i="208"/>
  <c r="W1671" i="208"/>
  <c r="N1671" i="208"/>
  <c r="W842" i="208"/>
  <c r="N842" i="208"/>
  <c r="W686" i="208"/>
  <c r="N686" i="208"/>
  <c r="W311" i="208"/>
  <c r="W329" i="208"/>
  <c r="N329" i="208"/>
  <c r="W365" i="208"/>
  <c r="N365" i="208"/>
  <c r="W386" i="208"/>
  <c r="N386" i="208"/>
  <c r="W404" i="208"/>
  <c r="N404" i="208"/>
  <c r="W425" i="208"/>
  <c r="N425" i="208"/>
  <c r="W443" i="208"/>
  <c r="N443" i="208"/>
  <c r="W461" i="208"/>
  <c r="N461" i="208"/>
  <c r="W479" i="208"/>
  <c r="N479" i="208"/>
  <c r="W497" i="208"/>
  <c r="N497" i="208"/>
  <c r="W515" i="208"/>
  <c r="W557" i="208"/>
  <c r="N557" i="208"/>
  <c r="W575" i="208"/>
  <c r="N575" i="208"/>
  <c r="W593" i="208"/>
  <c r="N593" i="208"/>
  <c r="W611" i="208"/>
  <c r="N611" i="208"/>
  <c r="W629" i="208"/>
  <c r="N629" i="208"/>
  <c r="W647" i="208"/>
  <c r="N647" i="208"/>
  <c r="W665" i="208"/>
  <c r="N665" i="208"/>
  <c r="W683" i="208"/>
  <c r="N683" i="208"/>
  <c r="W707" i="208"/>
  <c r="N707" i="208"/>
  <c r="W728" i="208"/>
  <c r="N728" i="208"/>
  <c r="W746" i="208"/>
  <c r="N746" i="208"/>
  <c r="W767" i="208"/>
  <c r="N767" i="208"/>
  <c r="W785" i="208"/>
  <c r="N785" i="208"/>
  <c r="W803" i="208"/>
  <c r="N803" i="208"/>
  <c r="W821" i="208"/>
  <c r="N821" i="208"/>
  <c r="W839" i="208"/>
  <c r="N839" i="208"/>
  <c r="W857" i="208"/>
  <c r="N857" i="208"/>
  <c r="W875" i="208"/>
  <c r="N875" i="208"/>
  <c r="W893" i="208"/>
  <c r="N893" i="208"/>
  <c r="W911" i="208"/>
  <c r="N911" i="208"/>
  <c r="W929" i="208"/>
  <c r="N929" i="208"/>
  <c r="W947" i="208"/>
  <c r="N947" i="208"/>
  <c r="W965" i="208"/>
  <c r="N965" i="208"/>
  <c r="W983" i="208"/>
  <c r="N983" i="208"/>
  <c r="W1001" i="208"/>
  <c r="N1001" i="208"/>
  <c r="W1019" i="208"/>
  <c r="N1019" i="208"/>
  <c r="W1037" i="208"/>
  <c r="N1037" i="208"/>
  <c r="W1055" i="208"/>
  <c r="N1055" i="208"/>
  <c r="W1073" i="208"/>
  <c r="N1073" i="208"/>
  <c r="W1091" i="208"/>
  <c r="N1091" i="208"/>
  <c r="W1109" i="208"/>
  <c r="N1109" i="208"/>
  <c r="W1127" i="208"/>
  <c r="N1127" i="208"/>
  <c r="W1145" i="208"/>
  <c r="N1145" i="208"/>
  <c r="W1163" i="208"/>
  <c r="N1163" i="208"/>
  <c r="W1181" i="208"/>
  <c r="N1181" i="208"/>
  <c r="W1199" i="208"/>
  <c r="N1199" i="208"/>
  <c r="W1217" i="208"/>
  <c r="N1217" i="208"/>
  <c r="W1235" i="208"/>
  <c r="N1235" i="208"/>
  <c r="W1253" i="208"/>
  <c r="N1253" i="208"/>
  <c r="W1271" i="208"/>
  <c r="N1271" i="208"/>
  <c r="W1289" i="208"/>
  <c r="N1289" i="208"/>
  <c r="W1307" i="208"/>
  <c r="N1307" i="208"/>
  <c r="W1325" i="208"/>
  <c r="N1325" i="208"/>
  <c r="W1343" i="208"/>
  <c r="N1343" i="208"/>
  <c r="W1361" i="208"/>
  <c r="N1361" i="208"/>
  <c r="W1379" i="208"/>
  <c r="N1379" i="208"/>
  <c r="W1397" i="208"/>
  <c r="N1397" i="208"/>
  <c r="W1415" i="208"/>
  <c r="N1415" i="208"/>
  <c r="W1433" i="208"/>
  <c r="N1433" i="208"/>
  <c r="W1451" i="208"/>
  <c r="N1451" i="208"/>
  <c r="W1469" i="208"/>
  <c r="N1469" i="208"/>
  <c r="W1487" i="208"/>
  <c r="N1487" i="208"/>
  <c r="W1505" i="208"/>
  <c r="N1505" i="208"/>
  <c r="W1523" i="208"/>
  <c r="N1523" i="208"/>
  <c r="W1541" i="208"/>
  <c r="N1541" i="208"/>
  <c r="W1559" i="208"/>
  <c r="N1559" i="208"/>
  <c r="W1577" i="208"/>
  <c r="N1577" i="208"/>
  <c r="W1595" i="208"/>
  <c r="N1595" i="208"/>
  <c r="W1613" i="208"/>
  <c r="N1613" i="208"/>
  <c r="W1631" i="208"/>
  <c r="N1631" i="208"/>
  <c r="W1649" i="208"/>
  <c r="N1649" i="208"/>
  <c r="W1667" i="208"/>
  <c r="N1667" i="208"/>
  <c r="W1685" i="208"/>
  <c r="N1685" i="208"/>
  <c r="W1703" i="208"/>
  <c r="N1703" i="208"/>
  <c r="W1721" i="208"/>
  <c r="N1721" i="208"/>
  <c r="W1739" i="208"/>
  <c r="N1739" i="208"/>
  <c r="W1757" i="208"/>
  <c r="N1757" i="208"/>
  <c r="W1775" i="208"/>
  <c r="N1775" i="208"/>
  <c r="W1793" i="208"/>
  <c r="N1793" i="208"/>
  <c r="W1811" i="208"/>
  <c r="N1811" i="208"/>
  <c r="W1829" i="208"/>
  <c r="N1829" i="208"/>
  <c r="W1847" i="208"/>
  <c r="N1847" i="208"/>
  <c r="W1868" i="208"/>
  <c r="N1868" i="208"/>
  <c r="W1886" i="208"/>
  <c r="N1886" i="208"/>
  <c r="W1904" i="208"/>
  <c r="N1904" i="208"/>
  <c r="W1922" i="208"/>
  <c r="N1922" i="208"/>
  <c r="W1940" i="208"/>
  <c r="N1940" i="208"/>
  <c r="W1958" i="208"/>
  <c r="N1958" i="208"/>
  <c r="W1976" i="208"/>
  <c r="N1976" i="208"/>
  <c r="W1994" i="208"/>
  <c r="N1994" i="208"/>
  <c r="W2012" i="208"/>
  <c r="N2012" i="208"/>
  <c r="W2030" i="208"/>
  <c r="N2030" i="208"/>
  <c r="W2048" i="208"/>
  <c r="N2048" i="208"/>
  <c r="W2105" i="208"/>
  <c r="N2105" i="208"/>
  <c r="W2159" i="208"/>
  <c r="N2159" i="208"/>
  <c r="W2213" i="208"/>
  <c r="N2213" i="208"/>
  <c r="W2264" i="208"/>
  <c r="N2264" i="208"/>
  <c r="W2387" i="208"/>
  <c r="N2387" i="208"/>
  <c r="W2474" i="208"/>
  <c r="N2474" i="208"/>
  <c r="W2618" i="208"/>
  <c r="N2618" i="208"/>
  <c r="W2762" i="208"/>
  <c r="N2762" i="208"/>
  <c r="W2906" i="208"/>
  <c r="N2906" i="208"/>
  <c r="W2396" i="208"/>
  <c r="N2396" i="208"/>
  <c r="W2547" i="208"/>
  <c r="N2547" i="208"/>
  <c r="W2691" i="208"/>
  <c r="N2691" i="208"/>
  <c r="W2835" i="208"/>
  <c r="N2835" i="208"/>
  <c r="W2979" i="208"/>
  <c r="N2979" i="208"/>
  <c r="W2342" i="208"/>
  <c r="N2342" i="208"/>
  <c r="W2525" i="208"/>
  <c r="N2525" i="208"/>
  <c r="W2669" i="208"/>
  <c r="N2669" i="208"/>
  <c r="W2813" i="208"/>
  <c r="N2813" i="208"/>
  <c r="W2957" i="208"/>
  <c r="N2957" i="208"/>
  <c r="W2454" i="208"/>
  <c r="N2454" i="208"/>
  <c r="W2610" i="208"/>
  <c r="N2610" i="208"/>
  <c r="W2754" i="208"/>
  <c r="N2754" i="208"/>
  <c r="W2898" i="208"/>
  <c r="N2898" i="208"/>
  <c r="W2372" i="208"/>
  <c r="N2372" i="208"/>
  <c r="W1572" i="208"/>
  <c r="N1572" i="208"/>
  <c r="W1620" i="208"/>
  <c r="N1620" i="208"/>
  <c r="W1683" i="208"/>
  <c r="N1683" i="208"/>
  <c r="W1731" i="208"/>
  <c r="N1731" i="208"/>
  <c r="W1788" i="208"/>
  <c r="W1860" i="208"/>
  <c r="N1860" i="208"/>
  <c r="W1944" i="208"/>
  <c r="N1944" i="208"/>
  <c r="W2016" i="208"/>
  <c r="N2016" i="208"/>
  <c r="W2073" i="208"/>
  <c r="N2073" i="208"/>
  <c r="W2151" i="208"/>
  <c r="N2151" i="208"/>
  <c r="W2211" i="208"/>
  <c r="N2211" i="208"/>
  <c r="W2331" i="208"/>
  <c r="N2331" i="208"/>
  <c r="W2444" i="208"/>
  <c r="N2444" i="208"/>
  <c r="W2588" i="208"/>
  <c r="N2588" i="208"/>
  <c r="W2732" i="208"/>
  <c r="N2732" i="208"/>
  <c r="W2876" i="208"/>
  <c r="N2876" i="208"/>
  <c r="W2613" i="208"/>
  <c r="W2391" i="208"/>
  <c r="N2391" i="208"/>
  <c r="W2604" i="208"/>
  <c r="N2604" i="208"/>
  <c r="W914" i="208"/>
  <c r="N914" i="208"/>
  <c r="W2304" i="208"/>
  <c r="N2304" i="208"/>
  <c r="W13" i="208"/>
  <c r="N13" i="208"/>
  <c r="W31" i="208"/>
  <c r="N31" i="208"/>
  <c r="W49" i="208"/>
  <c r="N49" i="208"/>
  <c r="W67" i="208"/>
  <c r="N67" i="208"/>
  <c r="W85" i="208"/>
  <c r="N85" i="208"/>
  <c r="W103" i="208"/>
  <c r="N103" i="208"/>
  <c r="W121" i="208"/>
  <c r="N121" i="208"/>
  <c r="W139" i="208"/>
  <c r="N139" i="208"/>
  <c r="W157" i="208"/>
  <c r="N157" i="208"/>
  <c r="W175" i="208"/>
  <c r="N175" i="208"/>
  <c r="W193" i="208"/>
  <c r="N193" i="208"/>
  <c r="W211" i="208"/>
  <c r="N211" i="208"/>
  <c r="W229" i="208"/>
  <c r="N229" i="208"/>
  <c r="W247" i="208"/>
  <c r="N247" i="208"/>
  <c r="W265" i="208"/>
  <c r="N265" i="208"/>
  <c r="W2486" i="208"/>
  <c r="N2486" i="208"/>
  <c r="W2630" i="208"/>
  <c r="N2630" i="208"/>
  <c r="W2774" i="208"/>
  <c r="N2774" i="208"/>
  <c r="W2412" i="208"/>
  <c r="N2412" i="208"/>
  <c r="W2559" i="208"/>
  <c r="N2559" i="208"/>
  <c r="W2703" i="208"/>
  <c r="N2703" i="208"/>
  <c r="W2847" i="208"/>
  <c r="N2847" i="208"/>
  <c r="W2991" i="208"/>
  <c r="N2991" i="208"/>
  <c r="W2370" i="208"/>
  <c r="N2370" i="208"/>
  <c r="W2537" i="208"/>
  <c r="N2537" i="208"/>
  <c r="W2681" i="208"/>
  <c r="N2681" i="208"/>
  <c r="W2825" i="208"/>
  <c r="N2825" i="208"/>
  <c r="W2969" i="208"/>
  <c r="N2969" i="208"/>
  <c r="W2466" i="208"/>
  <c r="N2466" i="208"/>
  <c r="W2622" i="208"/>
  <c r="N2910" i="208"/>
  <c r="W1554" i="208"/>
  <c r="N1554" i="208"/>
  <c r="W1623" i="208"/>
  <c r="N1623" i="208"/>
  <c r="W1677" i="208"/>
  <c r="N1677" i="208"/>
  <c r="W1734" i="208"/>
  <c r="N1734" i="208"/>
  <c r="W1785" i="208"/>
  <c r="N1785" i="208"/>
  <c r="W1857" i="208"/>
  <c r="N1857" i="208"/>
  <c r="W1917" i="208"/>
  <c r="N1917" i="208"/>
  <c r="W1980" i="208"/>
  <c r="W2079" i="208"/>
  <c r="N2079" i="208"/>
  <c r="W2148" i="208"/>
  <c r="N2148" i="208"/>
  <c r="W2214" i="208"/>
  <c r="N2214" i="208"/>
  <c r="W2313" i="208"/>
  <c r="N2313" i="208"/>
  <c r="W2388" i="208"/>
  <c r="N2388" i="208"/>
  <c r="W2456" i="208"/>
  <c r="N2456" i="208"/>
  <c r="W2600" i="208"/>
  <c r="N2600" i="208"/>
  <c r="W2744" i="208"/>
  <c r="N2744" i="208"/>
  <c r="W2888" i="208"/>
  <c r="N2888" i="208"/>
  <c r="W1812" i="208"/>
  <c r="N1812" i="208"/>
  <c r="W1878" i="208"/>
  <c r="N1878" i="208"/>
  <c r="W1953" i="208"/>
  <c r="N1953" i="208"/>
  <c r="W2019" i="208"/>
  <c r="N2019" i="208"/>
  <c r="W2088" i="208"/>
  <c r="N2088" i="208"/>
  <c r="W2154" i="208"/>
  <c r="N2154" i="208"/>
  <c r="W2223" i="208"/>
  <c r="N2223" i="208"/>
  <c r="W2307" i="208"/>
  <c r="N2307" i="208"/>
  <c r="W218" i="208"/>
  <c r="N218" i="208"/>
  <c r="W2481" i="208"/>
  <c r="N2481" i="208"/>
  <c r="W2625" i="208"/>
  <c r="N2625" i="208"/>
  <c r="W2769" i="208"/>
  <c r="N2769" i="208"/>
  <c r="W2913" i="208"/>
  <c r="N2913" i="208"/>
  <c r="W20" i="208"/>
  <c r="N20" i="208"/>
  <c r="W38" i="208"/>
  <c r="N38" i="208"/>
  <c r="W56" i="208"/>
  <c r="N56" i="208"/>
  <c r="W74" i="208"/>
  <c r="N74" i="208"/>
  <c r="W92" i="208"/>
  <c r="N92" i="208"/>
  <c r="W110" i="208"/>
  <c r="N110" i="208"/>
  <c r="W128" i="208"/>
  <c r="N128" i="208"/>
  <c r="W146" i="208"/>
  <c r="N146" i="208"/>
  <c r="W164" i="208"/>
  <c r="N164" i="208"/>
  <c r="W185" i="208"/>
  <c r="N185" i="208"/>
  <c r="W203" i="208"/>
  <c r="N203" i="208"/>
  <c r="W224" i="208"/>
  <c r="N224" i="208"/>
  <c r="W242" i="208"/>
  <c r="N242" i="208"/>
  <c r="W263" i="208"/>
  <c r="N263" i="208"/>
  <c r="W339" i="208"/>
  <c r="N339" i="208"/>
  <c r="W360" i="208"/>
  <c r="N360" i="208"/>
  <c r="W378" i="208"/>
  <c r="N378" i="208"/>
  <c r="W414" i="208"/>
  <c r="N414" i="208"/>
  <c r="W432" i="208"/>
  <c r="N432" i="208"/>
  <c r="W1575" i="208"/>
  <c r="N1575" i="208"/>
  <c r="W1626" i="208"/>
  <c r="N1626" i="208"/>
  <c r="W1680" i="208"/>
  <c r="N1680" i="208"/>
  <c r="W1737" i="208"/>
  <c r="N1737" i="208"/>
  <c r="W1791" i="208"/>
  <c r="N1791" i="208"/>
  <c r="W1848" i="208"/>
  <c r="N1848" i="208"/>
  <c r="W1998" i="208"/>
  <c r="N1998" i="208"/>
  <c r="W332" i="208"/>
  <c r="N332" i="208"/>
  <c r="W389" i="208"/>
  <c r="N389" i="208"/>
  <c r="W446" i="208"/>
  <c r="N446" i="208"/>
  <c r="W464" i="208"/>
  <c r="N464" i="208"/>
  <c r="W482" i="208"/>
  <c r="N482" i="208"/>
  <c r="W518" i="208"/>
  <c r="N518" i="208"/>
  <c r="W578" i="208"/>
  <c r="N578" i="208"/>
  <c r="W668" i="208"/>
  <c r="N668" i="208"/>
  <c r="W731" i="208"/>
  <c r="N731" i="208"/>
  <c r="W752" i="208"/>
  <c r="N752" i="208"/>
  <c r="W788" i="208"/>
  <c r="N788" i="208"/>
  <c r="W806" i="208"/>
  <c r="N806" i="208"/>
  <c r="W860" i="208"/>
  <c r="N860" i="208"/>
  <c r="W932" i="208"/>
  <c r="N932" i="208"/>
  <c r="W950" i="208"/>
  <c r="N950" i="208"/>
  <c r="W968" i="208"/>
  <c r="N968" i="208"/>
  <c r="W986" i="208"/>
  <c r="N986" i="208"/>
  <c r="W1004" i="208"/>
  <c r="N1004" i="208"/>
  <c r="W1022" i="208"/>
  <c r="N1022" i="208"/>
  <c r="W1040" i="208"/>
  <c r="N1040" i="208"/>
  <c r="W1058" i="208"/>
  <c r="N1058" i="208"/>
  <c r="W1076" i="208"/>
  <c r="N1076" i="208"/>
  <c r="W1094" i="208"/>
  <c r="N1094" i="208"/>
  <c r="W1112" i="208"/>
  <c r="N1112" i="208"/>
  <c r="W1130" i="208"/>
  <c r="N1130" i="208"/>
  <c r="W1148" i="208"/>
  <c r="N1148" i="208"/>
  <c r="W1166" i="208"/>
  <c r="N1166" i="208"/>
  <c r="W1184" i="208"/>
  <c r="N1184" i="208"/>
  <c r="W1202" i="208"/>
  <c r="N1202" i="208"/>
  <c r="W1220" i="208"/>
  <c r="N1220" i="208"/>
  <c r="W1238" i="208"/>
  <c r="N1238" i="208"/>
  <c r="W1274" i="208"/>
  <c r="N1274" i="208"/>
  <c r="W1292" i="208"/>
  <c r="N1292" i="208"/>
  <c r="W1310" i="208"/>
  <c r="N1310" i="208"/>
  <c r="W1328" i="208"/>
  <c r="N1328" i="208"/>
  <c r="W1346" i="208"/>
  <c r="N1346" i="208"/>
  <c r="W1364" i="208"/>
  <c r="N1364" i="208"/>
  <c r="W1382" i="208"/>
  <c r="N1382" i="208"/>
  <c r="W1400" i="208"/>
  <c r="N1400" i="208"/>
  <c r="W1418" i="208"/>
  <c r="N1418" i="208"/>
  <c r="W1436" i="208"/>
  <c r="N1436" i="208"/>
  <c r="W1454" i="208"/>
  <c r="N1454" i="208"/>
  <c r="W1472" i="208"/>
  <c r="N1472" i="208"/>
  <c r="W1490" i="208"/>
  <c r="N1490" i="208"/>
  <c r="W1508" i="208"/>
  <c r="N1508" i="208"/>
  <c r="W1526" i="208"/>
  <c r="N1526" i="208"/>
  <c r="W1562" i="208"/>
  <c r="N1562" i="208"/>
  <c r="W1580" i="208"/>
  <c r="N1580" i="208"/>
  <c r="W1598" i="208"/>
  <c r="N1598" i="208"/>
  <c r="W1616" i="208"/>
  <c r="N1616" i="208"/>
  <c r="W1634" i="208"/>
  <c r="N1634" i="208"/>
  <c r="W1652" i="208"/>
  <c r="N1652" i="208"/>
  <c r="W1688" i="208"/>
  <c r="N1688" i="208"/>
  <c r="W1724" i="208"/>
  <c r="N1724" i="208"/>
  <c r="W1742" i="208"/>
  <c r="N1742" i="208"/>
  <c r="W1760" i="208"/>
  <c r="N1760" i="208"/>
  <c r="W1778" i="208"/>
  <c r="N1778" i="208"/>
  <c r="W1796" i="208"/>
  <c r="N1796" i="208"/>
  <c r="W1832" i="208"/>
  <c r="W1871" i="208"/>
  <c r="N1871" i="208"/>
  <c r="W1907" i="208"/>
  <c r="N1907" i="208"/>
  <c r="W1925" i="208"/>
  <c r="N1925" i="208"/>
  <c r="W1943" i="208"/>
  <c r="N1943" i="208"/>
  <c r="W1961" i="208"/>
  <c r="N1961" i="208"/>
  <c r="W1979" i="208"/>
  <c r="N1979" i="208"/>
  <c r="W1997" i="208"/>
  <c r="N1997" i="208"/>
  <c r="W2015" i="208"/>
  <c r="N2015" i="208"/>
  <c r="W2033" i="208"/>
  <c r="N2033" i="208"/>
  <c r="W2051" i="208"/>
  <c r="N2051" i="208"/>
  <c r="W2078" i="208"/>
  <c r="N2078" i="208"/>
  <c r="W2111" i="208"/>
  <c r="N2111" i="208"/>
  <c r="W2165" i="208"/>
  <c r="N2165" i="208"/>
  <c r="W2273" i="208"/>
  <c r="W383" i="208"/>
  <c r="N383" i="208"/>
  <c r="W2498" i="208"/>
  <c r="N2498" i="208"/>
  <c r="W2642" i="208"/>
  <c r="N2642" i="208"/>
  <c r="W2786" i="208"/>
  <c r="N2786" i="208"/>
  <c r="W2930" i="208"/>
  <c r="N2930" i="208"/>
  <c r="W2426" i="208"/>
  <c r="N2426" i="208"/>
  <c r="W2571" i="208"/>
  <c r="N2571" i="208"/>
  <c r="W2715" i="208"/>
  <c r="N2715" i="208"/>
  <c r="W2384" i="208"/>
  <c r="N2384" i="208"/>
  <c r="W2549" i="208"/>
  <c r="N2549" i="208"/>
  <c r="W2693" i="208"/>
  <c r="N2693" i="208"/>
  <c r="W2837" i="208"/>
  <c r="N2837" i="208"/>
  <c r="W2981" i="208"/>
  <c r="N2981" i="208"/>
  <c r="N2478" i="208"/>
  <c r="W2634" i="208"/>
  <c r="N2634" i="208"/>
  <c r="W2778" i="208"/>
  <c r="N2778" i="208"/>
  <c r="W2922" i="208"/>
  <c r="N2922" i="208"/>
  <c r="W2402" i="208"/>
  <c r="N2402" i="208"/>
  <c r="W1578" i="208"/>
  <c r="N1578" i="208"/>
  <c r="W1629" i="208"/>
  <c r="N1629" i="208"/>
  <c r="W1692" i="208"/>
  <c r="N1692" i="208"/>
  <c r="W1746" i="208"/>
  <c r="N1746" i="208"/>
  <c r="W1797" i="208"/>
  <c r="N1797" i="208"/>
  <c r="W1872" i="208"/>
  <c r="N1872" i="208"/>
  <c r="W1959" i="208"/>
  <c r="N1959" i="208"/>
  <c r="W2022" i="208"/>
  <c r="N2022" i="208"/>
  <c r="W2082" i="208"/>
  <c r="N2082" i="208"/>
  <c r="W2163" i="208"/>
  <c r="N2163" i="208"/>
  <c r="W2226" i="208"/>
  <c r="N2226" i="208"/>
  <c r="W2373" i="208"/>
  <c r="N2373" i="208"/>
  <c r="W2468" i="208"/>
  <c r="N2468" i="208"/>
  <c r="W2612" i="208"/>
  <c r="N2612" i="208"/>
  <c r="W2756" i="208"/>
  <c r="N2756" i="208"/>
  <c r="W2900" i="208"/>
  <c r="N2900" i="208"/>
  <c r="W2297" i="208"/>
  <c r="N2297" i="208"/>
  <c r="W2493" i="208"/>
  <c r="N2493" i="208"/>
  <c r="W2637" i="208"/>
  <c r="N2637" i="208"/>
  <c r="W2781" i="208"/>
  <c r="N2781" i="208"/>
  <c r="W2925" i="208"/>
  <c r="N2925" i="208"/>
  <c r="W2333" i="208"/>
  <c r="N2333" i="208"/>
  <c r="W2406" i="208"/>
  <c r="N2406" i="208"/>
  <c r="W2555" i="208"/>
  <c r="N2555" i="208"/>
  <c r="W2699" i="208"/>
  <c r="N2699" i="208"/>
  <c r="W2843" i="208"/>
  <c r="N2843" i="208"/>
  <c r="W2987" i="208"/>
  <c r="N2987" i="208"/>
  <c r="W2688" i="208"/>
  <c r="N2688" i="208"/>
  <c r="W2976" i="208"/>
  <c r="N2976" i="208"/>
  <c r="W2096" i="208"/>
  <c r="N2096" i="208"/>
  <c r="W2138" i="208"/>
  <c r="N2138" i="208"/>
  <c r="W2192" i="208"/>
  <c r="N2192" i="208"/>
  <c r="W2243" i="208"/>
  <c r="N2243" i="208"/>
  <c r="W2423" i="208"/>
  <c r="N2423" i="208"/>
  <c r="W456" i="208"/>
  <c r="N456" i="208"/>
  <c r="W468" i="208"/>
  <c r="N468" i="208"/>
  <c r="W480" i="208"/>
  <c r="N480" i="208"/>
  <c r="W504" i="208"/>
  <c r="N504" i="208"/>
  <c r="W528" i="208"/>
  <c r="N528" i="208"/>
  <c r="W552" i="208"/>
  <c r="N552" i="208"/>
  <c r="W564" i="208"/>
  <c r="N564" i="208"/>
  <c r="W576" i="208"/>
  <c r="N576" i="208"/>
  <c r="W588" i="208"/>
  <c r="N588" i="208"/>
  <c r="W600" i="208"/>
  <c r="N600" i="208"/>
  <c r="W612" i="208"/>
  <c r="N612" i="208"/>
  <c r="W624" i="208"/>
  <c r="N624" i="208"/>
  <c r="W648" i="208"/>
  <c r="N648" i="208"/>
  <c r="W660" i="208"/>
  <c r="N660" i="208"/>
  <c r="W672" i="208"/>
  <c r="N672" i="208"/>
  <c r="W696" i="208"/>
  <c r="N696" i="208"/>
  <c r="W708" i="208"/>
  <c r="N708" i="208"/>
  <c r="W720" i="208"/>
  <c r="N720" i="208"/>
  <c r="W732" i="208"/>
  <c r="N732" i="208"/>
  <c r="W744" i="208"/>
  <c r="N744" i="208"/>
  <c r="W756" i="208"/>
  <c r="N756" i="208"/>
  <c r="W768" i="208"/>
  <c r="N768" i="208"/>
  <c r="W792" i="208"/>
  <c r="N792" i="208"/>
  <c r="W804" i="208"/>
  <c r="N804" i="208"/>
  <c r="W816" i="208"/>
  <c r="N816" i="208"/>
  <c r="W828" i="208"/>
  <c r="N828" i="208"/>
  <c r="W840" i="208"/>
  <c r="N840" i="208"/>
  <c r="W852" i="208"/>
  <c r="N852" i="208"/>
  <c r="W864" i="208"/>
  <c r="N864" i="208"/>
  <c r="W876" i="208"/>
  <c r="N876" i="208"/>
  <c r="W888" i="208"/>
  <c r="N888" i="208"/>
  <c r="W900" i="208"/>
  <c r="N900" i="208"/>
  <c r="W912" i="208"/>
  <c r="N912" i="208"/>
  <c r="W936" i="208"/>
  <c r="N936" i="208"/>
  <c r="W948" i="208"/>
  <c r="N948" i="208"/>
  <c r="W960" i="208"/>
  <c r="N960" i="208"/>
  <c r="W972" i="208"/>
  <c r="N972" i="208"/>
  <c r="W984" i="208"/>
  <c r="N984" i="208"/>
  <c r="W996" i="208"/>
  <c r="N996" i="208"/>
  <c r="W1008" i="208"/>
  <c r="N1008" i="208"/>
  <c r="W1020" i="208"/>
  <c r="N1020" i="208"/>
  <c r="W1032" i="208"/>
  <c r="N1032" i="208"/>
  <c r="W1044" i="208"/>
  <c r="N1044" i="208"/>
  <c r="W1056" i="208"/>
  <c r="N1056" i="208"/>
  <c r="W1068" i="208"/>
  <c r="N1068" i="208"/>
  <c r="W1080" i="208"/>
  <c r="N1080" i="208"/>
  <c r="W1092" i="208"/>
  <c r="N1092" i="208"/>
  <c r="W1104" i="208"/>
  <c r="N1104" i="208"/>
  <c r="W1116" i="208"/>
  <c r="N1116" i="208"/>
  <c r="W407" i="208"/>
  <c r="N407" i="208"/>
  <c r="W650" i="208"/>
  <c r="N650" i="208"/>
  <c r="W1814" i="208"/>
  <c r="N1814" i="208"/>
  <c r="W2366" i="208"/>
  <c r="N2366" i="208"/>
  <c r="W704" i="208"/>
  <c r="N704" i="208"/>
  <c r="W2510" i="208"/>
  <c r="N2510" i="208"/>
  <c r="W2654" i="208"/>
  <c r="N2654" i="208"/>
  <c r="W2798" i="208"/>
  <c r="N2798" i="208"/>
  <c r="W2942" i="208"/>
  <c r="N2942" i="208"/>
  <c r="W2439" i="208"/>
  <c r="N2439" i="208"/>
  <c r="W2583" i="208"/>
  <c r="N2583" i="208"/>
  <c r="W2727" i="208"/>
  <c r="N2727" i="208"/>
  <c r="W2871" i="208"/>
  <c r="N2871" i="208"/>
  <c r="W2312" i="208"/>
  <c r="N2312" i="208"/>
  <c r="W2400" i="208"/>
  <c r="N2400" i="208"/>
  <c r="W2490" i="208"/>
  <c r="N2490" i="208"/>
  <c r="W2646" i="208"/>
  <c r="N2646" i="208"/>
  <c r="W2790" i="208"/>
  <c r="N2790" i="208"/>
  <c r="W2934" i="208"/>
  <c r="N2934" i="208"/>
  <c r="W1557" i="208"/>
  <c r="N1557" i="208"/>
  <c r="W1632" i="208"/>
  <c r="N1632" i="208"/>
  <c r="W1686" i="208"/>
  <c r="N1686" i="208"/>
  <c r="W1740" i="208"/>
  <c r="N1740" i="208"/>
  <c r="W1794" i="208"/>
  <c r="N1794" i="208"/>
  <c r="W1869" i="208"/>
  <c r="N1869" i="208"/>
  <c r="W1929" i="208"/>
  <c r="N1929" i="208"/>
  <c r="W1995" i="208"/>
  <c r="N1995" i="208"/>
  <c r="W2091" i="208"/>
  <c r="N2091" i="208"/>
  <c r="W2157" i="208"/>
  <c r="N2157" i="208"/>
  <c r="W2229" i="208"/>
  <c r="N2229" i="208"/>
  <c r="W2349" i="208"/>
  <c r="N2349" i="208"/>
  <c r="W2430" i="208"/>
  <c r="N2430" i="208"/>
  <c r="W2480" i="208"/>
  <c r="N2480" i="208"/>
  <c r="W2624" i="208"/>
  <c r="N2624" i="208"/>
  <c r="W2768" i="208"/>
  <c r="N2768" i="208"/>
  <c r="W2912" i="208"/>
  <c r="N2912" i="208"/>
  <c r="W1821" i="208"/>
  <c r="N1821" i="208"/>
  <c r="W1965" i="208"/>
  <c r="N1965" i="208"/>
  <c r="W2031" i="208"/>
  <c r="N2031" i="208"/>
  <c r="W2100" i="208"/>
  <c r="N2100" i="208"/>
  <c r="W2175" i="208"/>
  <c r="N2175" i="208"/>
  <c r="W2319" i="208"/>
  <c r="N2319" i="208"/>
  <c r="W2324" i="208"/>
  <c r="N2324" i="208"/>
  <c r="W2505" i="208"/>
  <c r="N2505" i="208"/>
  <c r="W2649" i="208"/>
  <c r="N2649" i="208"/>
  <c r="W2793" i="208"/>
  <c r="N2793" i="208"/>
  <c r="W2937" i="208"/>
  <c r="N2937" i="208"/>
  <c r="W23" i="208"/>
  <c r="N23" i="208"/>
  <c r="W41" i="208"/>
  <c r="N41" i="208"/>
  <c r="W59" i="208"/>
  <c r="N59" i="208"/>
  <c r="W77" i="208"/>
  <c r="N77" i="208"/>
  <c r="W95" i="208"/>
  <c r="N95" i="208"/>
  <c r="W113" i="208"/>
  <c r="N113" i="208"/>
  <c r="W131" i="208"/>
  <c r="N131" i="208"/>
  <c r="W149" i="208"/>
  <c r="N149" i="208"/>
  <c r="W167" i="208"/>
  <c r="N167" i="208"/>
  <c r="W188" i="208"/>
  <c r="N188" i="208"/>
  <c r="W206" i="208"/>
  <c r="N206" i="208"/>
  <c r="W227" i="208"/>
  <c r="N227" i="208"/>
  <c r="W245" i="208"/>
  <c r="N245" i="208"/>
  <c r="W266" i="208"/>
  <c r="N266" i="208"/>
  <c r="W293" i="208"/>
  <c r="N293" i="208"/>
  <c r="W321" i="208"/>
  <c r="N321" i="208"/>
  <c r="W363" i="208"/>
  <c r="N363" i="208"/>
  <c r="W381" i="208"/>
  <c r="N381" i="208"/>
  <c r="W399" i="208"/>
  <c r="N399" i="208"/>
  <c r="W417" i="208"/>
  <c r="N417" i="208"/>
  <c r="W435" i="208"/>
  <c r="N435" i="208"/>
  <c r="W1584" i="208"/>
  <c r="N1584" i="208"/>
  <c r="W1635" i="208"/>
  <c r="N1635" i="208"/>
  <c r="W1689" i="208"/>
  <c r="N1689" i="208"/>
  <c r="W1743" i="208"/>
  <c r="N1743" i="208"/>
  <c r="W1800" i="208"/>
  <c r="N1800" i="208"/>
  <c r="W1863" i="208"/>
  <c r="N1863" i="208"/>
  <c r="W1938" i="208"/>
  <c r="N1938" i="208"/>
  <c r="W2010" i="208"/>
  <c r="N2010" i="208"/>
  <c r="W2085" i="208"/>
  <c r="N2085" i="208"/>
  <c r="W2160" i="208"/>
  <c r="N2160" i="208"/>
  <c r="W2241" i="208"/>
  <c r="N2241" i="208"/>
  <c r="W2298" i="208"/>
  <c r="N2298" i="208"/>
  <c r="W2379" i="208"/>
  <c r="N2379" i="208"/>
  <c r="W2676" i="208"/>
  <c r="N2676" i="208"/>
  <c r="W2964" i="208"/>
  <c r="N2964" i="208"/>
  <c r="W2153" i="208"/>
  <c r="N2153" i="208"/>
  <c r="W2207" i="208"/>
  <c r="N2207" i="208"/>
  <c r="W2267" i="208"/>
  <c r="N2267" i="208"/>
  <c r="W2339" i="208"/>
  <c r="N2339" i="208"/>
  <c r="W2420" i="208"/>
  <c r="N2420" i="208"/>
  <c r="W2567" i="208"/>
  <c r="N2567" i="208"/>
  <c r="W2711" i="208"/>
  <c r="N2711" i="208"/>
  <c r="W2855" i="208"/>
  <c r="N2855" i="208"/>
  <c r="W2999" i="208"/>
  <c r="N2999" i="208"/>
  <c r="W2712" i="208"/>
  <c r="N2712" i="208"/>
  <c r="W3000" i="208"/>
  <c r="N3000" i="208"/>
  <c r="W2352" i="208"/>
  <c r="N2352" i="208"/>
  <c r="W350" i="208"/>
  <c r="N350" i="208"/>
  <c r="W1850" i="208"/>
  <c r="N1850" i="208"/>
  <c r="W2394" i="208"/>
  <c r="N2394" i="208"/>
  <c r="W295" i="208"/>
  <c r="N295" i="208"/>
  <c r="W317" i="208"/>
  <c r="N317" i="208"/>
  <c r="W335" i="208"/>
  <c r="N335" i="208"/>
  <c r="W353" i="208"/>
  <c r="N353" i="208"/>
  <c r="W371" i="208"/>
  <c r="N371" i="208"/>
  <c r="N392" i="208"/>
  <c r="W413" i="208"/>
  <c r="N413" i="208"/>
  <c r="W431" i="208"/>
  <c r="N431" i="208"/>
  <c r="W449" i="208"/>
  <c r="N449" i="208"/>
  <c r="W467" i="208"/>
  <c r="N467" i="208"/>
  <c r="W485" i="208"/>
  <c r="N485" i="208"/>
  <c r="W503" i="208"/>
  <c r="N503" i="208"/>
  <c r="W521" i="208"/>
  <c r="N521" i="208"/>
  <c r="W542" i="208"/>
  <c r="N542" i="208"/>
  <c r="W563" i="208"/>
  <c r="N563" i="208"/>
  <c r="N581" i="208"/>
  <c r="W599" i="208"/>
  <c r="N599" i="208"/>
  <c r="W617" i="208"/>
  <c r="N617" i="208"/>
  <c r="W653" i="208"/>
  <c r="N653" i="208"/>
  <c r="W671" i="208"/>
  <c r="N671" i="208"/>
  <c r="W692" i="208"/>
  <c r="N692" i="208"/>
  <c r="W713" i="208"/>
  <c r="N713" i="208"/>
  <c r="W734" i="208"/>
  <c r="N734" i="208"/>
  <c r="W755" i="208"/>
  <c r="N755" i="208"/>
  <c r="W773" i="208"/>
  <c r="N773" i="208"/>
  <c r="W791" i="208"/>
  <c r="N791" i="208"/>
  <c r="W809" i="208"/>
  <c r="N809" i="208"/>
  <c r="W827" i="208"/>
  <c r="N827" i="208"/>
  <c r="W845" i="208"/>
  <c r="N845" i="208"/>
  <c r="W863" i="208"/>
  <c r="N863" i="208"/>
  <c r="W899" i="208"/>
  <c r="N899" i="208"/>
  <c r="W917" i="208"/>
  <c r="N917" i="208"/>
  <c r="W935" i="208"/>
  <c r="N935" i="208"/>
  <c r="W953" i="208"/>
  <c r="N953" i="208"/>
  <c r="W971" i="208"/>
  <c r="N971" i="208"/>
  <c r="W989" i="208"/>
  <c r="N989" i="208"/>
  <c r="W1007" i="208"/>
  <c r="N1007" i="208"/>
  <c r="W1025" i="208"/>
  <c r="N1025" i="208"/>
  <c r="W1043" i="208"/>
  <c r="N1043" i="208"/>
  <c r="W1061" i="208"/>
  <c r="N1061" i="208"/>
  <c r="W1079" i="208"/>
  <c r="N1079" i="208"/>
  <c r="W1097" i="208"/>
  <c r="N1097" i="208"/>
  <c r="W1115" i="208"/>
  <c r="N1115" i="208"/>
  <c r="W1133" i="208"/>
  <c r="N1133" i="208"/>
  <c r="W1151" i="208"/>
  <c r="N1151" i="208"/>
  <c r="W1169" i="208"/>
  <c r="N1169" i="208"/>
  <c r="W1187" i="208"/>
  <c r="N1187" i="208"/>
  <c r="W1205" i="208"/>
  <c r="N1205" i="208"/>
  <c r="W1223" i="208"/>
  <c r="N1223" i="208"/>
  <c r="W1241" i="208"/>
  <c r="N1241" i="208"/>
  <c r="W1259" i="208"/>
  <c r="N1259" i="208"/>
  <c r="W1277" i="208"/>
  <c r="N1277" i="208"/>
  <c r="W1295" i="208"/>
  <c r="N1295" i="208"/>
  <c r="W1331" i="208"/>
  <c r="N1331" i="208"/>
  <c r="W1349" i="208"/>
  <c r="N1349" i="208"/>
  <c r="W1367" i="208"/>
  <c r="N1367" i="208"/>
  <c r="W1385" i="208"/>
  <c r="N1385" i="208"/>
  <c r="W1403" i="208"/>
  <c r="N1403" i="208"/>
  <c r="W1421" i="208"/>
  <c r="N1421" i="208"/>
  <c r="W1439" i="208"/>
  <c r="N1439" i="208"/>
  <c r="W1457" i="208"/>
  <c r="N1457" i="208"/>
  <c r="W1475" i="208"/>
  <c r="N1475" i="208"/>
  <c r="W1493" i="208"/>
  <c r="N1493" i="208"/>
  <c r="W1511" i="208"/>
  <c r="N1511" i="208"/>
  <c r="W1529" i="208"/>
  <c r="N1529" i="208"/>
  <c r="W1565" i="208"/>
  <c r="N1565" i="208"/>
  <c r="W1583" i="208"/>
  <c r="N1583" i="208"/>
  <c r="W1601" i="208"/>
  <c r="N1601" i="208"/>
  <c r="W1619" i="208"/>
  <c r="N1619" i="208"/>
  <c r="W1637" i="208"/>
  <c r="N1637" i="208"/>
  <c r="W1655" i="208"/>
  <c r="N1655" i="208"/>
  <c r="W1673" i="208"/>
  <c r="N1673" i="208"/>
  <c r="W1691" i="208"/>
  <c r="N1691" i="208"/>
  <c r="W1709" i="208"/>
  <c r="N1709" i="208"/>
  <c r="W1727" i="208"/>
  <c r="N1727" i="208"/>
  <c r="W1745" i="208"/>
  <c r="N1745" i="208"/>
  <c r="W1763" i="208"/>
  <c r="N1763" i="208"/>
  <c r="W1781" i="208"/>
  <c r="N1781" i="208"/>
  <c r="W1799" i="208"/>
  <c r="N1799" i="208"/>
  <c r="W1817" i="208"/>
  <c r="N1817" i="208"/>
  <c r="W1835" i="208"/>
  <c r="N1835" i="208"/>
  <c r="W1853" i="208"/>
  <c r="N1853" i="208"/>
  <c r="W1874" i="208"/>
  <c r="N1874" i="208"/>
  <c r="W1892" i="208"/>
  <c r="N1892" i="208"/>
  <c r="W1910" i="208"/>
  <c r="N1910" i="208"/>
  <c r="W1946" i="208"/>
  <c r="N1946" i="208"/>
  <c r="W1964" i="208"/>
  <c r="N1964" i="208"/>
  <c r="W1982" i="208"/>
  <c r="N1982" i="208"/>
  <c r="W2000" i="208"/>
  <c r="N2000" i="208"/>
  <c r="W2018" i="208"/>
  <c r="N2018" i="208"/>
  <c r="W2036" i="208"/>
  <c r="N2036" i="208"/>
  <c r="W2054" i="208"/>
  <c r="N2054" i="208"/>
  <c r="W2084" i="208"/>
  <c r="N2084" i="208"/>
  <c r="W2120" i="208"/>
  <c r="N2120" i="208"/>
  <c r="W2231" i="208"/>
  <c r="N2231" i="208"/>
  <c r="W2282" i="208"/>
  <c r="N2282" i="208"/>
  <c r="W2268" i="208"/>
  <c r="N2268" i="208"/>
  <c r="W2522" i="208"/>
  <c r="N2522" i="208"/>
  <c r="W2666" i="208"/>
  <c r="N2666" i="208"/>
  <c r="W2810" i="208"/>
  <c r="N2810" i="208"/>
  <c r="W2954" i="208"/>
  <c r="N2954" i="208"/>
  <c r="W2451" i="208"/>
  <c r="N2451" i="208"/>
  <c r="W2595" i="208"/>
  <c r="N2595" i="208"/>
  <c r="W2739" i="208"/>
  <c r="N2739" i="208"/>
  <c r="W2883" i="208"/>
  <c r="N2883" i="208"/>
  <c r="W2340" i="208"/>
  <c r="N2340" i="208"/>
  <c r="W2414" i="208"/>
  <c r="N2414" i="208"/>
  <c r="W2573" i="208"/>
  <c r="N2573" i="208"/>
  <c r="W2717" i="208"/>
  <c r="N2717" i="208"/>
  <c r="W2861" i="208"/>
  <c r="N2861" i="208"/>
  <c r="W305" i="208"/>
  <c r="N305" i="208"/>
  <c r="W2502" i="208"/>
  <c r="N2502" i="208"/>
  <c r="W2658" i="208"/>
  <c r="N2658" i="208"/>
  <c r="W2802" i="208"/>
  <c r="N2802" i="208"/>
  <c r="W2946" i="208"/>
  <c r="N2946" i="208"/>
  <c r="W1119" i="208"/>
  <c r="N1119" i="208"/>
  <c r="W1587" i="208"/>
  <c r="N1587" i="208"/>
  <c r="W1638" i="208"/>
  <c r="N1638" i="208"/>
  <c r="W1701" i="208"/>
  <c r="N1701" i="208"/>
  <c r="W1752" i="208"/>
  <c r="N1752" i="208"/>
  <c r="W1806" i="208"/>
  <c r="N1806" i="208"/>
  <c r="W1887" i="208"/>
  <c r="N1887" i="208"/>
  <c r="W1971" i="208"/>
  <c r="N1971" i="208"/>
  <c r="W2034" i="208"/>
  <c r="N2034" i="208"/>
  <c r="W2097" i="208"/>
  <c r="N2097" i="208"/>
  <c r="W2169" i="208"/>
  <c r="N2169" i="208"/>
  <c r="W2235" i="208"/>
  <c r="N2235" i="208"/>
  <c r="W2433" i="208"/>
  <c r="N2433" i="208"/>
  <c r="W2492" i="208"/>
  <c r="N2492" i="208"/>
  <c r="W2636" i="208"/>
  <c r="N2636" i="208"/>
  <c r="W2780" i="208"/>
  <c r="N2780" i="208"/>
  <c r="W2924" i="208"/>
  <c r="N2924" i="208"/>
  <c r="W2346" i="208"/>
  <c r="N2346" i="208"/>
  <c r="N596" i="208"/>
  <c r="W1889" i="208"/>
  <c r="N1889" i="208"/>
  <c r="W2408" i="208"/>
  <c r="N2408" i="208"/>
  <c r="W19" i="208"/>
  <c r="N19" i="208"/>
  <c r="N37" i="208"/>
  <c r="W73" i="208"/>
  <c r="N73" i="208"/>
  <c r="W127" i="208"/>
  <c r="N127" i="208"/>
  <c r="W145" i="208"/>
  <c r="N145" i="208"/>
  <c r="W163" i="208"/>
  <c r="N163" i="208"/>
  <c r="W181" i="208"/>
  <c r="N181" i="208"/>
  <c r="W199" i="208"/>
  <c r="N199" i="208"/>
  <c r="W217" i="208"/>
  <c r="N217" i="208"/>
  <c r="W235" i="208"/>
  <c r="N235" i="208"/>
  <c r="W253" i="208"/>
  <c r="W271" i="208"/>
  <c r="N271" i="208"/>
  <c r="W2309" i="208"/>
  <c r="N2309" i="208"/>
  <c r="W2534" i="208"/>
  <c r="N2534" i="208"/>
  <c r="W2678" i="208"/>
  <c r="N2678" i="208"/>
  <c r="W2822" i="208"/>
  <c r="N2822" i="208"/>
  <c r="W2966" i="208"/>
  <c r="N2966" i="208"/>
  <c r="W2463" i="208"/>
  <c r="N2463" i="208"/>
  <c r="W2607" i="208"/>
  <c r="N2607" i="208"/>
  <c r="W2751" i="208"/>
  <c r="N2751" i="208"/>
  <c r="W2895" i="208"/>
  <c r="N2895" i="208"/>
  <c r="W2355" i="208"/>
  <c r="N2355" i="208"/>
  <c r="W2441" i="208"/>
  <c r="N2441" i="208"/>
  <c r="W2585" i="208"/>
  <c r="N2585" i="208"/>
  <c r="W2729" i="208"/>
  <c r="N2729" i="208"/>
  <c r="W2873" i="208"/>
  <c r="N2873" i="208"/>
  <c r="W2514" i="208"/>
  <c r="N2514" i="208"/>
  <c r="W2670" i="208"/>
  <c r="N2670" i="208"/>
  <c r="W2814" i="208"/>
  <c r="N2814" i="208"/>
  <c r="W2958" i="208"/>
  <c r="N2958" i="208"/>
  <c r="W1581" i="208"/>
  <c r="N1581" i="208"/>
  <c r="W1641" i="208"/>
  <c r="N1641" i="208"/>
  <c r="W1695" i="208"/>
  <c r="N1695" i="208"/>
  <c r="W1755" i="208"/>
  <c r="N1755" i="208"/>
  <c r="W1803" i="208"/>
  <c r="N1803" i="208"/>
  <c r="W1875" i="208"/>
  <c r="N1875" i="208"/>
  <c r="W1935" i="208"/>
  <c r="N1935" i="208"/>
  <c r="W2004" i="208"/>
  <c r="N2004" i="208"/>
  <c r="N2103" i="208"/>
  <c r="W2166" i="208"/>
  <c r="N2166" i="208"/>
  <c r="W2244" i="208"/>
  <c r="N2244" i="208"/>
  <c r="W2361" i="208"/>
  <c r="N2361" i="208"/>
  <c r="N2648" i="208"/>
  <c r="W1830" i="208"/>
  <c r="N1830" i="208"/>
  <c r="W1905" i="208"/>
  <c r="N1905" i="208"/>
  <c r="W1977" i="208"/>
  <c r="N1977" i="208"/>
  <c r="W2112" i="208"/>
  <c r="N2112" i="208"/>
  <c r="W2184" i="208"/>
  <c r="N2184" i="208"/>
  <c r="W2250" i="208"/>
  <c r="N2250" i="208"/>
  <c r="W2360" i="208"/>
  <c r="W2529" i="208"/>
  <c r="N2529" i="208"/>
  <c r="W2673" i="208"/>
  <c r="N2673" i="208"/>
  <c r="W2817" i="208"/>
  <c r="N2817" i="208"/>
  <c r="W2961" i="208"/>
  <c r="N2961" i="208"/>
  <c r="W26" i="208"/>
  <c r="N26" i="208"/>
  <c r="W44" i="208"/>
  <c r="N44" i="208"/>
  <c r="W62" i="208"/>
  <c r="N62" i="208"/>
  <c r="W80" i="208"/>
  <c r="N80" i="208"/>
  <c r="W98" i="208"/>
  <c r="N98" i="208"/>
  <c r="W116" i="208"/>
  <c r="N116" i="208"/>
  <c r="W134" i="208"/>
  <c r="N134" i="208"/>
  <c r="W152" i="208"/>
  <c r="N152" i="208"/>
  <c r="W170" i="208"/>
  <c r="N170" i="208"/>
  <c r="W191" i="208"/>
  <c r="N191" i="208"/>
  <c r="W209" i="208"/>
  <c r="N209" i="208"/>
  <c r="W230" i="208"/>
  <c r="N230" i="208"/>
  <c r="W248" i="208"/>
  <c r="N248" i="208"/>
  <c r="W269" i="208"/>
  <c r="N269" i="208"/>
  <c r="W306" i="208"/>
  <c r="N306" i="208"/>
  <c r="W327" i="208"/>
  <c r="N327" i="208"/>
  <c r="W345" i="208"/>
  <c r="N345" i="208"/>
  <c r="W384" i="208"/>
  <c r="N384" i="208"/>
  <c r="W402" i="208"/>
  <c r="N402" i="208"/>
  <c r="W420" i="208"/>
  <c r="N420" i="208"/>
  <c r="W438" i="208"/>
  <c r="N438" i="208"/>
  <c r="W1590" i="208"/>
  <c r="N1590" i="208"/>
  <c r="N1644" i="208"/>
  <c r="W292" i="208"/>
  <c r="N292" i="208"/>
  <c r="W560" i="208"/>
  <c r="N560" i="208"/>
  <c r="W1670" i="208"/>
  <c r="N1670" i="208"/>
  <c r="W2424" i="208"/>
  <c r="N2424" i="208"/>
  <c r="W298" i="208"/>
  <c r="N298" i="208"/>
  <c r="W320" i="208"/>
  <c r="N320" i="208"/>
  <c r="W338" i="208"/>
  <c r="N338" i="208"/>
  <c r="W356" i="208"/>
  <c r="N356" i="208"/>
  <c r="W374" i="208"/>
  <c r="N374" i="208"/>
  <c r="W395" i="208"/>
  <c r="N395" i="208"/>
  <c r="W416" i="208"/>
  <c r="N416" i="208"/>
  <c r="W434" i="208"/>
  <c r="N434" i="208"/>
  <c r="W452" i="208"/>
  <c r="N452" i="208"/>
  <c r="N488" i="208"/>
  <c r="W506" i="208"/>
  <c r="N506" i="208"/>
  <c r="W584" i="208"/>
  <c r="N584" i="208"/>
  <c r="W602" i="208"/>
  <c r="N602" i="208"/>
  <c r="W620" i="208"/>
  <c r="N620" i="208"/>
  <c r="W638" i="208"/>
  <c r="N638" i="208"/>
  <c r="W656" i="208"/>
  <c r="N656" i="208"/>
  <c r="W674" i="208"/>
  <c r="N674" i="208"/>
  <c r="W695" i="208"/>
  <c r="N695" i="208"/>
  <c r="W716" i="208"/>
  <c r="N716" i="208"/>
  <c r="W737" i="208"/>
  <c r="N737" i="208"/>
  <c r="W758" i="208"/>
  <c r="N758" i="208"/>
  <c r="N776" i="208"/>
  <c r="W794" i="208"/>
  <c r="N794" i="208"/>
  <c r="W812" i="208"/>
  <c r="N812" i="208"/>
  <c r="W830" i="208"/>
  <c r="N830" i="208"/>
  <c r="W848" i="208"/>
  <c r="N848" i="208"/>
  <c r="W866" i="208"/>
  <c r="N866" i="208"/>
  <c r="W884" i="208"/>
  <c r="N884" i="208"/>
  <c r="W920" i="208"/>
  <c r="N920" i="208"/>
  <c r="W938" i="208"/>
  <c r="N938" i="208"/>
  <c r="W956" i="208"/>
  <c r="N956" i="208"/>
  <c r="W974" i="208"/>
  <c r="N974" i="208"/>
  <c r="W992" i="208"/>
  <c r="N992" i="208"/>
  <c r="W1010" i="208"/>
  <c r="N1010" i="208"/>
  <c r="W1028" i="208"/>
  <c r="N1028" i="208"/>
  <c r="W1046" i="208"/>
  <c r="N1046" i="208"/>
  <c r="W1082" i="208"/>
  <c r="N1082" i="208"/>
  <c r="W1100" i="208"/>
  <c r="N1100" i="208"/>
  <c r="W1118" i="208"/>
  <c r="N1118" i="208"/>
  <c r="W1136" i="208"/>
  <c r="N1136" i="208"/>
  <c r="W1154" i="208"/>
  <c r="N1154" i="208"/>
  <c r="W1172" i="208"/>
  <c r="N1172" i="208"/>
  <c r="W1190" i="208"/>
  <c r="N1190" i="208"/>
  <c r="N1208" i="208"/>
  <c r="W1226" i="208"/>
  <c r="N1226" i="208"/>
  <c r="W1244" i="208"/>
  <c r="N1244" i="208"/>
  <c r="W1262" i="208"/>
  <c r="N1262" i="208"/>
  <c r="W1280" i="208"/>
  <c r="N1280" i="208"/>
  <c r="W1298" i="208"/>
  <c r="N1298" i="208"/>
  <c r="W1316" i="208"/>
  <c r="N1316" i="208"/>
  <c r="W1334" i="208"/>
  <c r="N1334" i="208"/>
  <c r="W1352" i="208"/>
  <c r="N1352" i="208"/>
  <c r="W1370" i="208"/>
  <c r="N1370" i="208"/>
  <c r="W1388" i="208"/>
  <c r="N1388" i="208"/>
  <c r="W1406" i="208"/>
  <c r="N1406" i="208"/>
  <c r="W1424" i="208"/>
  <c r="N1424" i="208"/>
  <c r="W1442" i="208"/>
  <c r="N1442" i="208"/>
  <c r="W1460" i="208"/>
  <c r="N1460" i="208"/>
  <c r="W1478" i="208"/>
  <c r="N1478" i="208"/>
  <c r="W1514" i="208"/>
  <c r="N1514" i="208"/>
  <c r="W1532" i="208"/>
  <c r="N1532" i="208"/>
  <c r="W1550" i="208"/>
  <c r="N1550" i="208"/>
  <c r="W1568" i="208"/>
  <c r="N1568" i="208"/>
  <c r="W1586" i="208"/>
  <c r="N1586" i="208"/>
  <c r="W1604" i="208"/>
  <c r="N1604" i="208"/>
  <c r="W1658" i="208"/>
  <c r="N1658" i="208"/>
  <c r="W1676" i="208"/>
  <c r="N1676" i="208"/>
  <c r="W1694" i="208"/>
  <c r="N1694" i="208"/>
  <c r="W1712" i="208"/>
  <c r="N1712" i="208"/>
  <c r="W1730" i="208"/>
  <c r="N1730" i="208"/>
  <c r="W1748" i="208"/>
  <c r="N1748" i="208"/>
  <c r="W1766" i="208"/>
  <c r="N1766" i="208"/>
  <c r="W1784" i="208"/>
  <c r="W1802" i="208"/>
  <c r="N1802" i="208"/>
  <c r="W1820" i="208"/>
  <c r="N1820" i="208"/>
  <c r="W1838" i="208"/>
  <c r="N1838" i="208"/>
  <c r="W1859" i="208"/>
  <c r="N1859" i="208"/>
  <c r="W1877" i="208"/>
  <c r="N1877" i="208"/>
  <c r="W1895" i="208"/>
  <c r="N1895" i="208"/>
  <c r="W1913" i="208"/>
  <c r="N1913" i="208"/>
  <c r="N1931" i="208"/>
  <c r="W1949" i="208"/>
  <c r="N1949" i="208"/>
  <c r="W1967" i="208"/>
  <c r="N1967" i="208"/>
  <c r="W2003" i="208"/>
  <c r="N2003" i="208"/>
  <c r="W2021" i="208"/>
  <c r="N2021" i="208"/>
  <c r="W2039" i="208"/>
  <c r="N2039" i="208"/>
  <c r="W2060" i="208"/>
  <c r="N2060" i="208"/>
  <c r="W2087" i="208"/>
  <c r="N2087" i="208"/>
  <c r="W2186" i="208"/>
  <c r="N2186" i="208"/>
  <c r="W2237" i="208"/>
  <c r="N2237" i="208"/>
  <c r="W2315" i="208"/>
  <c r="N2315" i="208"/>
  <c r="W2336" i="208"/>
  <c r="N2336" i="208"/>
  <c r="W2546" i="208"/>
  <c r="N2546" i="208"/>
  <c r="W2690" i="208"/>
  <c r="N2690" i="208"/>
  <c r="W2834" i="208"/>
  <c r="N2834" i="208"/>
  <c r="W2978" i="208"/>
  <c r="N2978" i="208"/>
  <c r="W2475" i="208"/>
  <c r="N2475" i="208"/>
  <c r="W2619" i="208"/>
  <c r="N2619" i="208"/>
  <c r="W2763" i="208"/>
  <c r="N2763" i="208"/>
  <c r="W2907" i="208"/>
  <c r="N2907" i="208"/>
  <c r="W2369" i="208"/>
  <c r="N2369" i="208"/>
  <c r="W2453" i="208"/>
  <c r="N2453" i="208"/>
  <c r="W2597" i="208"/>
  <c r="N2597" i="208"/>
  <c r="W2741" i="208"/>
  <c r="N2741" i="208"/>
  <c r="W2885" i="208"/>
  <c r="N2885" i="208"/>
  <c r="W2316" i="208"/>
  <c r="N2316" i="208"/>
  <c r="W2538" i="208"/>
  <c r="N2538" i="208"/>
  <c r="W2682" i="208"/>
  <c r="N2682" i="208"/>
  <c r="W2826" i="208"/>
  <c r="N2826" i="208"/>
  <c r="W2970" i="208"/>
  <c r="N2970" i="208"/>
  <c r="W1551" i="208"/>
  <c r="N1551" i="208"/>
  <c r="W1596" i="208"/>
  <c r="N1596" i="208"/>
  <c r="W1647" i="208"/>
  <c r="N1647" i="208"/>
  <c r="W1707" i="208"/>
  <c r="N1707" i="208"/>
  <c r="W1764" i="208"/>
  <c r="N1764" i="208"/>
  <c r="W1815" i="208"/>
  <c r="N1815" i="208"/>
  <c r="W1896" i="208"/>
  <c r="N1896" i="208"/>
  <c r="W1983" i="208"/>
  <c r="N1983" i="208"/>
  <c r="W2043" i="208"/>
  <c r="N2043" i="208"/>
  <c r="W2106" i="208"/>
  <c r="N2106" i="208"/>
  <c r="W2178" i="208"/>
  <c r="N2178" i="208"/>
  <c r="W2247" i="208"/>
  <c r="N2247" i="208"/>
  <c r="W182" i="208"/>
  <c r="N182" i="208"/>
  <c r="W2516" i="208"/>
  <c r="N2516" i="208"/>
  <c r="W2660" i="208"/>
  <c r="N2660" i="208"/>
  <c r="W2804" i="208"/>
  <c r="N2804" i="208"/>
  <c r="W2948" i="208"/>
  <c r="N2948" i="208"/>
  <c r="W2376" i="208"/>
  <c r="N2376" i="208"/>
  <c r="W2541" i="208"/>
  <c r="N2541" i="208"/>
  <c r="W2685" i="208"/>
  <c r="N2685" i="208"/>
  <c r="W2829" i="208"/>
  <c r="N2829" i="208"/>
  <c r="W2973" i="208"/>
  <c r="N2973" i="208"/>
  <c r="W2772" i="208"/>
  <c r="N2772" i="208"/>
  <c r="W2114" i="208"/>
  <c r="N2114" i="208"/>
  <c r="W2171" i="208"/>
  <c r="N2171" i="208"/>
  <c r="W2228" i="208"/>
  <c r="N2228" i="208"/>
  <c r="W2285" i="208"/>
  <c r="N2285" i="208"/>
  <c r="W2471" i="208"/>
  <c r="N2471" i="208"/>
  <c r="W2615" i="208"/>
  <c r="N2615" i="208"/>
  <c r="W2759" i="208"/>
  <c r="N2759" i="208"/>
  <c r="W2903" i="208"/>
  <c r="N2903" i="208"/>
  <c r="W2520" i="208"/>
  <c r="N2520" i="208"/>
  <c r="W2808" i="208"/>
  <c r="N2808" i="208"/>
  <c r="N9" i="208"/>
  <c r="W189" i="208"/>
  <c r="W276" i="208"/>
  <c r="N276" i="208"/>
  <c r="W319" i="208"/>
  <c r="N319" i="208"/>
  <c r="W331" i="208"/>
  <c r="N331" i="208"/>
  <c r="W343" i="208"/>
  <c r="N343" i="208"/>
  <c r="W367" i="208"/>
  <c r="N367" i="208"/>
  <c r="W379" i="208"/>
  <c r="N379" i="208"/>
  <c r="W391" i="208"/>
  <c r="N391" i="208"/>
  <c r="W403" i="208"/>
  <c r="N403" i="208"/>
  <c r="W415" i="208"/>
  <c r="N415" i="208"/>
  <c r="W427" i="208"/>
  <c r="N427" i="208"/>
  <c r="W439" i="208"/>
  <c r="N439" i="208"/>
  <c r="W463" i="208"/>
  <c r="N463" i="208"/>
  <c r="W475" i="208"/>
  <c r="N475" i="208"/>
  <c r="W511" i="208"/>
  <c r="N511" i="208"/>
  <c r="W523" i="208"/>
  <c r="N523" i="208"/>
  <c r="W535" i="208"/>
  <c r="N535" i="208"/>
  <c r="W547" i="208"/>
  <c r="N547" i="208"/>
  <c r="W559" i="208"/>
  <c r="N559" i="208"/>
  <c r="W571" i="208"/>
  <c r="N571" i="208"/>
  <c r="W583" i="208"/>
  <c r="N583" i="208"/>
  <c r="W595" i="208"/>
  <c r="W607" i="208"/>
  <c r="N607" i="208"/>
  <c r="W619" i="208"/>
  <c r="N619" i="208"/>
  <c r="W631" i="208"/>
  <c r="N631" i="208"/>
  <c r="W643" i="208"/>
  <c r="N643" i="208"/>
  <c r="W655" i="208"/>
  <c r="N655" i="208"/>
  <c r="W667" i="208"/>
  <c r="N667" i="208"/>
  <c r="W679" i="208"/>
  <c r="N679" i="208"/>
  <c r="W691" i="208"/>
  <c r="N691" i="208"/>
  <c r="W703" i="208"/>
  <c r="N703" i="208"/>
  <c r="W715" i="208"/>
  <c r="N715" i="208"/>
  <c r="W727" i="208"/>
  <c r="N727" i="208"/>
  <c r="W751" i="208"/>
  <c r="N751" i="208"/>
  <c r="W763" i="208"/>
  <c r="N763" i="208"/>
  <c r="W775" i="208"/>
  <c r="N775" i="208"/>
  <c r="W787" i="208"/>
  <c r="N787" i="208"/>
  <c r="W799" i="208"/>
  <c r="N799" i="208"/>
  <c r="W811" i="208"/>
  <c r="N811" i="208"/>
  <c r="W823" i="208"/>
  <c r="N823" i="208"/>
  <c r="W835" i="208"/>
  <c r="N835" i="208"/>
  <c r="W847" i="208"/>
  <c r="N847" i="208"/>
  <c r="W859" i="208"/>
  <c r="N859" i="208"/>
  <c r="W871" i="208"/>
  <c r="N871" i="208"/>
  <c r="W883" i="208"/>
  <c r="N883" i="208"/>
  <c r="W895" i="208"/>
  <c r="N895" i="208"/>
  <c r="W907" i="208"/>
  <c r="N907" i="208"/>
  <c r="W919" i="208"/>
  <c r="N919" i="208"/>
  <c r="W943" i="208"/>
  <c r="N943" i="208"/>
  <c r="W955" i="208"/>
  <c r="N955" i="208"/>
  <c r="W967" i="208"/>
  <c r="N967" i="208"/>
  <c r="W979" i="208"/>
  <c r="N979" i="208"/>
  <c r="W991" i="208"/>
  <c r="N991" i="208"/>
  <c r="W1003" i="208"/>
  <c r="N1003" i="208"/>
  <c r="W1015" i="208"/>
  <c r="N1015" i="208"/>
  <c r="W1027" i="208"/>
  <c r="N1027" i="208"/>
  <c r="W1039" i="208"/>
  <c r="N1039" i="208"/>
  <c r="W1051" i="208"/>
  <c r="N1051" i="208"/>
  <c r="W1063" i="208"/>
  <c r="N1063" i="208"/>
  <c r="W1075" i="208"/>
  <c r="N1075" i="208"/>
  <c r="W1087" i="208"/>
  <c r="N1087" i="208"/>
  <c r="W1099" i="208"/>
  <c r="N1099" i="208"/>
  <c r="W1111" i="208"/>
  <c r="N1111" i="208"/>
  <c r="W1123" i="208"/>
  <c r="N1123" i="208"/>
  <c r="W1135" i="208"/>
  <c r="N1135" i="208"/>
  <c r="W1147" i="208"/>
  <c r="N1147" i="208"/>
  <c r="W1159" i="208"/>
  <c r="N1159" i="208"/>
  <c r="W1174" i="208"/>
  <c r="N1174" i="208"/>
  <c r="W1186" i="208"/>
  <c r="N1186" i="208"/>
  <c r="W1198" i="208"/>
  <c r="N1198" i="208"/>
  <c r="W1222" i="208"/>
  <c r="N1222" i="208"/>
  <c r="W1234" i="208"/>
  <c r="N1234" i="208"/>
  <c r="W1246" i="208"/>
  <c r="N1246" i="208"/>
  <c r="W1258" i="208"/>
  <c r="N1258" i="208"/>
  <c r="W1270" i="208"/>
  <c r="N1270" i="208"/>
  <c r="W1282" i="208"/>
  <c r="N1282" i="208"/>
  <c r="W1294" i="208"/>
  <c r="N1294" i="208"/>
  <c r="W1306" i="208"/>
  <c r="N1306" i="208"/>
  <c r="W1318" i="208"/>
  <c r="N1318" i="208"/>
  <c r="W1330" i="208"/>
  <c r="N1330" i="208"/>
  <c r="W1342" i="208"/>
  <c r="N1342" i="208"/>
  <c r="W1354" i="208"/>
  <c r="W1366" i="208"/>
  <c r="N1366" i="208"/>
  <c r="W1378" i="208"/>
  <c r="N1378" i="208"/>
  <c r="W1390" i="208"/>
  <c r="N1390" i="208"/>
  <c r="W1402" i="208"/>
  <c r="N1402" i="208"/>
  <c r="W1414" i="208"/>
  <c r="N1414" i="208"/>
  <c r="W1426" i="208"/>
  <c r="N1426" i="208"/>
  <c r="W1438" i="208"/>
  <c r="N1438" i="208"/>
  <c r="W1450" i="208"/>
  <c r="N1450" i="208"/>
  <c r="W1462" i="208"/>
  <c r="N1462" i="208"/>
  <c r="W1474" i="208"/>
  <c r="N1474" i="208"/>
  <c r="W5" i="208"/>
  <c r="W1122" i="208"/>
  <c r="N1122" i="208"/>
  <c r="W1134" i="208"/>
  <c r="N1134" i="208"/>
  <c r="W1146" i="208"/>
  <c r="N1146" i="208"/>
  <c r="W1158" i="208"/>
  <c r="N1158" i="208"/>
  <c r="W1170" i="208"/>
  <c r="N1170" i="208"/>
  <c r="W1194" i="208"/>
  <c r="N1194" i="208"/>
  <c r="W1206" i="208"/>
  <c r="N1206" i="208"/>
  <c r="W1218" i="208"/>
  <c r="N1218" i="208"/>
  <c r="W1230" i="208"/>
  <c r="N1230" i="208"/>
  <c r="W1242" i="208"/>
  <c r="N1242" i="208"/>
  <c r="W1254" i="208"/>
  <c r="N1254" i="208"/>
  <c r="W1266" i="208"/>
  <c r="N1266" i="208"/>
  <c r="W1278" i="208"/>
  <c r="N1278" i="208"/>
  <c r="W1290" i="208"/>
  <c r="N1290" i="208"/>
  <c r="W1302" i="208"/>
  <c r="N1302" i="208"/>
  <c r="W1314" i="208"/>
  <c r="N1314" i="208"/>
  <c r="W1338" i="208"/>
  <c r="N1338" i="208"/>
  <c r="W1350" i="208"/>
  <c r="N1350" i="208"/>
  <c r="W1362" i="208"/>
  <c r="N1362" i="208"/>
  <c r="W1374" i="208"/>
  <c r="N1374" i="208"/>
  <c r="W1386" i="208"/>
  <c r="N1386" i="208"/>
  <c r="W1398" i="208"/>
  <c r="N1398" i="208"/>
  <c r="W1410" i="208"/>
  <c r="N1410" i="208"/>
  <c r="W1422" i="208"/>
  <c r="N1422" i="208"/>
  <c r="W1434" i="208"/>
  <c r="N1434" i="208"/>
  <c r="W1446" i="208"/>
  <c r="N1446" i="208"/>
  <c r="W1458" i="208"/>
  <c r="N1458" i="208"/>
  <c r="W1482" i="208"/>
  <c r="N1482" i="208"/>
  <c r="W1494" i="208"/>
  <c r="N1494" i="208"/>
  <c r="W1506" i="208"/>
  <c r="N1506" i="208"/>
  <c r="W1530" i="208"/>
  <c r="N1530" i="208"/>
  <c r="W1687" i="208"/>
  <c r="N1687" i="208"/>
  <c r="W1726" i="208"/>
  <c r="N1726" i="208"/>
  <c r="W1774" i="208"/>
  <c r="N1774" i="208"/>
  <c r="W1819" i="208"/>
  <c r="N1819" i="208"/>
  <c r="W1861" i="208"/>
  <c r="N1861" i="208"/>
  <c r="W1915" i="208"/>
  <c r="N1915" i="208"/>
  <c r="W1960" i="208"/>
  <c r="N1960" i="208"/>
  <c r="W2002" i="208"/>
  <c r="N2002" i="208"/>
  <c r="W2050" i="208"/>
  <c r="N2050" i="208"/>
  <c r="W2098" i="208"/>
  <c r="N2098" i="208"/>
  <c r="W2149" i="208"/>
  <c r="N2149" i="208"/>
  <c r="W2188" i="208"/>
  <c r="N2188" i="208"/>
  <c r="W2236" i="208"/>
  <c r="N2236" i="208"/>
  <c r="W2284" i="208"/>
  <c r="N2284" i="208"/>
  <c r="W2326" i="208"/>
  <c r="N2326" i="208"/>
  <c r="W2377" i="208"/>
  <c r="N2377" i="208"/>
  <c r="W2428" i="208"/>
  <c r="N2428" i="208"/>
  <c r="N2467" i="208"/>
  <c r="W2518" i="208"/>
  <c r="N2518" i="208"/>
  <c r="W2563" i="208"/>
  <c r="N2563" i="208"/>
  <c r="W2605" i="208"/>
  <c r="N2605" i="208"/>
  <c r="W2659" i="208"/>
  <c r="N2659" i="208"/>
  <c r="W2704" i="208"/>
  <c r="N2704" i="208"/>
  <c r="W2746" i="208"/>
  <c r="N2746" i="208"/>
  <c r="W2794" i="208"/>
  <c r="N2794" i="208"/>
  <c r="W2842" i="208"/>
  <c r="N2842" i="208"/>
  <c r="W2923" i="208"/>
  <c r="N2923" i="208"/>
  <c r="W2971" i="208"/>
  <c r="N2971" i="208"/>
  <c r="W1798" i="208"/>
  <c r="N1798" i="208"/>
  <c r="W1846" i="208"/>
  <c r="N1846" i="208"/>
  <c r="W1903" i="208"/>
  <c r="N1903" i="208"/>
  <c r="W1945" i="208"/>
  <c r="N1945" i="208"/>
  <c r="W1990" i="208"/>
  <c r="N1990" i="208"/>
  <c r="W2035" i="208"/>
  <c r="N2035" i="208"/>
  <c r="W2089" i="208"/>
  <c r="N2089" i="208"/>
  <c r="W2131" i="208"/>
  <c r="N2131" i="208"/>
  <c r="W2182" i="208"/>
  <c r="N2182" i="208"/>
  <c r="W2224" i="208"/>
  <c r="N2224" i="208"/>
  <c r="W2275" i="208"/>
  <c r="N2275" i="208"/>
  <c r="W2329" i="208"/>
  <c r="N2329" i="208"/>
  <c r="W2371" i="208"/>
  <c r="N2371" i="208"/>
  <c r="W2419" i="208"/>
  <c r="N2419" i="208"/>
  <c r="W2470" i="208"/>
  <c r="N2470" i="208"/>
  <c r="N2509" i="208"/>
  <c r="W2560" i="208"/>
  <c r="N2560" i="208"/>
  <c r="W2608" i="208"/>
  <c r="N2608" i="208"/>
  <c r="W2662" i="208"/>
  <c r="N2662" i="208"/>
  <c r="W2716" i="208"/>
  <c r="N2716" i="208"/>
  <c r="W2764" i="208"/>
  <c r="N2764" i="208"/>
  <c r="W2806" i="208"/>
  <c r="N2806" i="208"/>
  <c r="W2854" i="208"/>
  <c r="N2854" i="208"/>
  <c r="W2893" i="208"/>
  <c r="N2893" i="208"/>
  <c r="W2935" i="208"/>
  <c r="N2935" i="208"/>
  <c r="W2989" i="208"/>
  <c r="N2989" i="208"/>
  <c r="W1492" i="208"/>
  <c r="N1492" i="208"/>
  <c r="W1504" i="208"/>
  <c r="N1504" i="208"/>
  <c r="W1516" i="208"/>
  <c r="N1516" i="208"/>
  <c r="W1531" i="208"/>
  <c r="N1531" i="208"/>
  <c r="W1552" i="208"/>
  <c r="N1552" i="208"/>
  <c r="W1579" i="208"/>
  <c r="N1579" i="208"/>
  <c r="W1624" i="208"/>
  <c r="N1624" i="208"/>
  <c r="W1648" i="208"/>
  <c r="W1672" i="208"/>
  <c r="N1672" i="208"/>
  <c r="W1714" i="208"/>
  <c r="N1714" i="208"/>
  <c r="W1765" i="208"/>
  <c r="N1765" i="208"/>
  <c r="W1816" i="208"/>
  <c r="N1816" i="208"/>
  <c r="W1864" i="208"/>
  <c r="N1864" i="208"/>
  <c r="W1912" i="208"/>
  <c r="N1912" i="208"/>
  <c r="W1963" i="208"/>
  <c r="N1963" i="208"/>
  <c r="W2020" i="208"/>
  <c r="N2020" i="208"/>
  <c r="W2068" i="208"/>
  <c r="N2068" i="208"/>
  <c r="W2116" i="208"/>
  <c r="N2116" i="208"/>
  <c r="W2167" i="208"/>
  <c r="N2167" i="208"/>
  <c r="W2233" i="208"/>
  <c r="N2233" i="208"/>
  <c r="W2278" i="208"/>
  <c r="N2278" i="208"/>
  <c r="W2332" i="208"/>
  <c r="N2332" i="208"/>
  <c r="W2380" i="208"/>
  <c r="N2380" i="208"/>
  <c r="W2422" i="208"/>
  <c r="N2422" i="208"/>
  <c r="W2473" i="208"/>
  <c r="N2473" i="208"/>
  <c r="W2521" i="208"/>
  <c r="N2521" i="208"/>
  <c r="W2578" i="208"/>
  <c r="N2578" i="208"/>
  <c r="W2623" i="208"/>
  <c r="N2623" i="208"/>
  <c r="W2665" i="208"/>
  <c r="N2665" i="208"/>
  <c r="W2719" i="208"/>
  <c r="N2719" i="208"/>
  <c r="W2776" i="208"/>
  <c r="N2776" i="208"/>
  <c r="W2821" i="208"/>
  <c r="N2821" i="208"/>
  <c r="W2878" i="208"/>
  <c r="N2878" i="208"/>
  <c r="W2917" i="208"/>
  <c r="N2917" i="208"/>
  <c r="W2962" i="208"/>
  <c r="N2962" i="208"/>
  <c r="N450" i="208"/>
  <c r="W474" i="208"/>
  <c r="N474" i="208"/>
  <c r="W486" i="208"/>
  <c r="N486" i="208"/>
  <c r="W498" i="208"/>
  <c r="N498" i="208"/>
  <c r="W522" i="208"/>
  <c r="N522" i="208"/>
  <c r="W534" i="208"/>
  <c r="N534" i="208"/>
  <c r="W546" i="208"/>
  <c r="N546" i="208"/>
  <c r="W558" i="208"/>
  <c r="N558" i="208"/>
  <c r="W570" i="208"/>
  <c r="N570" i="208"/>
  <c r="W582" i="208"/>
  <c r="N582" i="208"/>
  <c r="W594" i="208"/>
  <c r="N594" i="208"/>
  <c r="W618" i="208"/>
  <c r="N618" i="208"/>
  <c r="W630" i="208"/>
  <c r="N630" i="208"/>
  <c r="W642" i="208"/>
  <c r="N642" i="208"/>
  <c r="W654" i="208"/>
  <c r="N654" i="208"/>
  <c r="W666" i="208"/>
  <c r="N666" i="208"/>
  <c r="W678" i="208"/>
  <c r="N678" i="208"/>
  <c r="W690" i="208"/>
  <c r="N690" i="208"/>
  <c r="W702" i="208"/>
  <c r="N702" i="208"/>
  <c r="W714" i="208"/>
  <c r="N714" i="208"/>
  <c r="W726" i="208"/>
  <c r="N726" i="208"/>
  <c r="W738" i="208"/>
  <c r="N738" i="208"/>
  <c r="N750" i="208"/>
  <c r="W762" i="208"/>
  <c r="N762" i="208"/>
  <c r="W774" i="208"/>
  <c r="N774" i="208"/>
  <c r="W786" i="208"/>
  <c r="N786" i="208"/>
  <c r="W798" i="208"/>
  <c r="N798" i="208"/>
  <c r="W810" i="208"/>
  <c r="N810" i="208"/>
  <c r="W822" i="208"/>
  <c r="N822" i="208"/>
  <c r="W834" i="208"/>
  <c r="N834" i="208"/>
  <c r="W846" i="208"/>
  <c r="N846" i="208"/>
  <c r="W858" i="208"/>
  <c r="N858" i="208"/>
  <c r="W870" i="208"/>
  <c r="N870" i="208"/>
  <c r="W882" i="208"/>
  <c r="N882" i="208"/>
  <c r="W906" i="208"/>
  <c r="N906" i="208"/>
  <c r="W918" i="208"/>
  <c r="N918" i="208"/>
  <c r="W930" i="208"/>
  <c r="N930" i="208"/>
  <c r="W942" i="208"/>
  <c r="N942" i="208"/>
  <c r="W954" i="208"/>
  <c r="N954" i="208"/>
  <c r="W966" i="208"/>
  <c r="N966" i="208"/>
  <c r="W978" i="208"/>
  <c r="N978" i="208"/>
  <c r="W990" i="208"/>
  <c r="N990" i="208"/>
  <c r="W1002" i="208"/>
  <c r="N1002" i="208"/>
  <c r="W1014" i="208"/>
  <c r="N1014" i="208"/>
  <c r="W1026" i="208"/>
  <c r="N1026" i="208"/>
  <c r="W1050" i="208"/>
  <c r="N1050" i="208"/>
  <c r="W1062" i="208"/>
  <c r="N1062" i="208"/>
  <c r="W1074" i="208"/>
  <c r="N1074" i="208"/>
  <c r="W1086" i="208"/>
  <c r="N1086" i="208"/>
  <c r="W1098" i="208"/>
  <c r="N1098" i="208"/>
  <c r="W1110" i="208"/>
  <c r="N1110" i="208"/>
  <c r="W2526" i="208"/>
  <c r="N2526" i="208"/>
  <c r="W1549" i="208"/>
  <c r="N1549" i="208"/>
  <c r="W1573" i="208"/>
  <c r="N1573" i="208"/>
  <c r="W1594" i="208"/>
  <c r="N1594" i="208"/>
  <c r="W1621" i="208"/>
  <c r="N1621" i="208"/>
  <c r="W1645" i="208"/>
  <c r="N1645" i="208"/>
  <c r="W1675" i="208"/>
  <c r="N1675" i="208"/>
  <c r="W1711" i="208"/>
  <c r="N1711" i="208"/>
  <c r="W1741" i="208"/>
  <c r="N1741" i="208"/>
  <c r="W1777" i="208"/>
  <c r="N1777" i="208"/>
  <c r="W1828" i="208"/>
  <c r="N1828" i="208"/>
  <c r="W1870" i="208"/>
  <c r="N1870" i="208"/>
  <c r="W1921" i="208"/>
  <c r="N1921" i="208"/>
  <c r="W1972" i="208"/>
  <c r="N1972" i="208"/>
  <c r="W2017" i="208"/>
  <c r="N2017" i="208"/>
  <c r="W2059" i="208"/>
  <c r="N2059" i="208"/>
  <c r="W2107" i="208"/>
  <c r="N2107" i="208"/>
  <c r="W2155" i="208"/>
  <c r="N2155" i="208"/>
  <c r="W2200" i="208"/>
  <c r="N2200" i="208"/>
  <c r="W2242" i="208"/>
  <c r="N2242" i="208"/>
  <c r="W2293" i="208"/>
  <c r="N2293" i="208"/>
  <c r="W2344" i="208"/>
  <c r="N2344" i="208"/>
  <c r="W2395" i="208"/>
  <c r="N2395" i="208"/>
  <c r="W2434" i="208"/>
  <c r="N2434" i="208"/>
  <c r="W2488" i="208"/>
  <c r="N2488" i="208"/>
  <c r="W2539" i="208"/>
  <c r="N2539" i="208"/>
  <c r="W2581" i="208"/>
  <c r="N2581" i="208"/>
  <c r="W2638" i="208"/>
  <c r="N2638" i="208"/>
  <c r="W2680" i="208"/>
  <c r="N2680" i="208"/>
  <c r="W2725" i="208"/>
  <c r="N2725" i="208"/>
  <c r="W2767" i="208"/>
  <c r="N2767" i="208"/>
  <c r="W2818" i="208"/>
  <c r="N2818" i="208"/>
  <c r="W2863" i="208"/>
  <c r="N2863" i="208"/>
  <c r="W2899" i="208"/>
  <c r="N2899" i="208"/>
  <c r="W2950" i="208"/>
  <c r="N2950" i="208"/>
  <c r="W2992" i="208"/>
  <c r="N2992" i="208"/>
  <c r="W2589" i="208"/>
  <c r="N2589" i="208"/>
  <c r="W2733" i="208"/>
  <c r="N2733" i="208"/>
  <c r="W2877" i="208"/>
  <c r="N2877" i="208"/>
  <c r="W2556" i="208"/>
  <c r="N2556" i="208"/>
  <c r="W2856" i="208"/>
  <c r="N2856" i="208"/>
  <c r="W2328" i="208"/>
  <c r="N2328" i="208"/>
  <c r="W2507" i="208"/>
  <c r="N2507" i="208"/>
  <c r="W2939" i="208"/>
  <c r="N2939" i="208"/>
  <c r="W2592" i="208"/>
  <c r="N2592" i="208"/>
  <c r="W2868" i="208"/>
  <c r="N2868" i="208"/>
  <c r="W2081" i="208"/>
  <c r="N2081" i="208"/>
  <c r="W2126" i="208"/>
  <c r="N2126" i="208"/>
  <c r="W2174" i="208"/>
  <c r="N2174" i="208"/>
  <c r="W2225" i="208"/>
  <c r="N2225" i="208"/>
  <c r="W2276" i="208"/>
  <c r="N2276" i="208"/>
  <c r="W2363" i="208"/>
  <c r="N2363" i="208"/>
  <c r="W30" i="208"/>
  <c r="N30" i="208"/>
  <c r="W48" i="208"/>
  <c r="N48" i="208"/>
  <c r="W66" i="208"/>
  <c r="N66" i="208"/>
  <c r="W84" i="208"/>
  <c r="N84" i="208"/>
  <c r="W102" i="208"/>
  <c r="N102" i="208"/>
  <c r="W120" i="208"/>
  <c r="N120" i="208"/>
  <c r="W138" i="208"/>
  <c r="N138" i="208"/>
  <c r="W156" i="208"/>
  <c r="N156" i="208"/>
  <c r="W174" i="208"/>
  <c r="N174" i="208"/>
  <c r="W192" i="208"/>
  <c r="N192" i="208"/>
  <c r="W210" i="208"/>
  <c r="N210" i="208"/>
  <c r="W228" i="208"/>
  <c r="N228" i="208"/>
  <c r="W246" i="208"/>
  <c r="N246" i="208"/>
  <c r="W264" i="208"/>
  <c r="N264" i="208"/>
  <c r="W282" i="208"/>
  <c r="N282" i="208"/>
  <c r="W310" i="208"/>
  <c r="N310" i="208"/>
  <c r="W322" i="208"/>
  <c r="N322" i="208"/>
  <c r="W334" i="208"/>
  <c r="N334" i="208"/>
  <c r="W358" i="208"/>
  <c r="N358" i="208"/>
  <c r="W382" i="208"/>
  <c r="N382" i="208"/>
  <c r="W394" i="208"/>
  <c r="N394" i="208"/>
  <c r="W406" i="208"/>
  <c r="N406" i="208"/>
  <c r="W418" i="208"/>
  <c r="N418" i="208"/>
  <c r="W430" i="208"/>
  <c r="N430" i="208"/>
  <c r="W442" i="208"/>
  <c r="N442" i="208"/>
  <c r="W454" i="208"/>
  <c r="N454" i="208"/>
  <c r="W466" i="208"/>
  <c r="N466" i="208"/>
  <c r="W478" i="208"/>
  <c r="N478" i="208"/>
  <c r="W502" i="208"/>
  <c r="N502" i="208"/>
  <c r="W514" i="208"/>
  <c r="N514" i="208"/>
  <c r="W526" i="208"/>
  <c r="N526" i="208"/>
  <c r="W538" i="208"/>
  <c r="N538" i="208"/>
  <c r="W550" i="208"/>
  <c r="N550" i="208"/>
  <c r="W562" i="208"/>
  <c r="N562" i="208"/>
  <c r="W574" i="208"/>
  <c r="N574" i="208"/>
  <c r="W586" i="208"/>
  <c r="N586" i="208"/>
  <c r="W610" i="208"/>
  <c r="N610" i="208"/>
  <c r="W622" i="208"/>
  <c r="N622" i="208"/>
  <c r="W646" i="208"/>
  <c r="N646" i="208"/>
  <c r="W658" i="208"/>
  <c r="N658" i="208"/>
  <c r="W670" i="208"/>
  <c r="N670" i="208"/>
  <c r="W682" i="208"/>
  <c r="N682" i="208"/>
  <c r="W694" i="208"/>
  <c r="N694" i="208"/>
  <c r="W706" i="208"/>
  <c r="N706" i="208"/>
  <c r="W718" i="208"/>
  <c r="N718" i="208"/>
  <c r="W730" i="208"/>
  <c r="N730" i="208"/>
  <c r="W742" i="208"/>
  <c r="N742" i="208"/>
  <c r="W754" i="208"/>
  <c r="N754" i="208"/>
  <c r="W766" i="208"/>
  <c r="N766" i="208"/>
  <c r="W790" i="208"/>
  <c r="N790" i="208"/>
  <c r="W802" i="208"/>
  <c r="N802" i="208"/>
  <c r="W814" i="208"/>
  <c r="N814" i="208"/>
  <c r="W826" i="208"/>
  <c r="N826" i="208"/>
  <c r="W838" i="208"/>
  <c r="N838" i="208"/>
  <c r="W850" i="208"/>
  <c r="N850" i="208"/>
  <c r="W862" i="208"/>
  <c r="N862" i="208"/>
  <c r="W874" i="208"/>
  <c r="N874" i="208"/>
  <c r="W886" i="208"/>
  <c r="N886" i="208"/>
  <c r="W898" i="208"/>
  <c r="N898" i="208"/>
  <c r="W910" i="208"/>
  <c r="N910" i="208"/>
  <c r="N922" i="208"/>
  <c r="W934" i="208"/>
  <c r="N934" i="208"/>
  <c r="W946" i="208"/>
  <c r="N946" i="208"/>
  <c r="W958" i="208"/>
  <c r="N958" i="208"/>
  <c r="W970" i="208"/>
  <c r="N970" i="208"/>
  <c r="W982" i="208"/>
  <c r="N982" i="208"/>
  <c r="W994" i="208"/>
  <c r="N994" i="208"/>
  <c r="W1006" i="208"/>
  <c r="N1006" i="208"/>
  <c r="W1018" i="208"/>
  <c r="N1018" i="208"/>
  <c r="W1030" i="208"/>
  <c r="N1030" i="208"/>
  <c r="W1042" i="208"/>
  <c r="N1042" i="208"/>
  <c r="W1054" i="208"/>
  <c r="N1054" i="208"/>
  <c r="W1066" i="208"/>
  <c r="W1078" i="208"/>
  <c r="N1078" i="208"/>
  <c r="W1090" i="208"/>
  <c r="N1090" i="208"/>
  <c r="W1102" i="208"/>
  <c r="N1102" i="208"/>
  <c r="W1114" i="208"/>
  <c r="N1114" i="208"/>
  <c r="W1126" i="208"/>
  <c r="N1126" i="208"/>
  <c r="W1138" i="208"/>
  <c r="N1138" i="208"/>
  <c r="W1150" i="208"/>
  <c r="N1150" i="208"/>
  <c r="W1162" i="208"/>
  <c r="N1162" i="208"/>
  <c r="W1177" i="208"/>
  <c r="N1177" i="208"/>
  <c r="W1189" i="208"/>
  <c r="N1189" i="208"/>
  <c r="W1201" i="208"/>
  <c r="N1201" i="208"/>
  <c r="W1213" i="208"/>
  <c r="N1213" i="208"/>
  <c r="W1225" i="208"/>
  <c r="N1225" i="208"/>
  <c r="W1237" i="208"/>
  <c r="N1237" i="208"/>
  <c r="W1249" i="208"/>
  <c r="N1249" i="208"/>
  <c r="W1261" i="208"/>
  <c r="N1261" i="208"/>
  <c r="W1273" i="208"/>
  <c r="N1273" i="208"/>
  <c r="W1285" i="208"/>
  <c r="N1285" i="208"/>
  <c r="W1297" i="208"/>
  <c r="N1297" i="208"/>
  <c r="W1309" i="208"/>
  <c r="N1309" i="208"/>
  <c r="W1321" i="208"/>
  <c r="N1321" i="208"/>
  <c r="W1333" i="208"/>
  <c r="N1333" i="208"/>
  <c r="W1345" i="208"/>
  <c r="N1345" i="208"/>
  <c r="W1369" i="208"/>
  <c r="N1369" i="208"/>
  <c r="W1381" i="208"/>
  <c r="N1381" i="208"/>
  <c r="W1393" i="208"/>
  <c r="N1393" i="208"/>
  <c r="W1405" i="208"/>
  <c r="N1405" i="208"/>
  <c r="W1417" i="208"/>
  <c r="N1417" i="208"/>
  <c r="W1429" i="208"/>
  <c r="N1429" i="208"/>
  <c r="W1441" i="208"/>
  <c r="N1441" i="208"/>
  <c r="W1453" i="208"/>
  <c r="N1453" i="208"/>
  <c r="W1465" i="208"/>
  <c r="N1465" i="208"/>
  <c r="W1477" i="208"/>
  <c r="N1477" i="208"/>
  <c r="W11" i="208"/>
  <c r="N11" i="208"/>
  <c r="W1125" i="208"/>
  <c r="N1125" i="208"/>
  <c r="W1137" i="208"/>
  <c r="N1137" i="208"/>
  <c r="W1149" i="208"/>
  <c r="N1149" i="208"/>
  <c r="W1161" i="208"/>
  <c r="N1161" i="208"/>
  <c r="W1173" i="208"/>
  <c r="N1173" i="208"/>
  <c r="W1185" i="208"/>
  <c r="N1185" i="208"/>
  <c r="W1197" i="208"/>
  <c r="N1197" i="208"/>
  <c r="W1209" i="208"/>
  <c r="N1209" i="208"/>
  <c r="W1221" i="208"/>
  <c r="N1221" i="208"/>
  <c r="W1233" i="208"/>
  <c r="N1233" i="208"/>
  <c r="W1245" i="208"/>
  <c r="N1245" i="208"/>
  <c r="W1257" i="208"/>
  <c r="N1257" i="208"/>
  <c r="W1269" i="208"/>
  <c r="N1269" i="208"/>
  <c r="W1281" i="208"/>
  <c r="N1281" i="208"/>
  <c r="W1293" i="208"/>
  <c r="N1293" i="208"/>
  <c r="W1305" i="208"/>
  <c r="N1305" i="208"/>
  <c r="N1317" i="208"/>
  <c r="W1329" i="208"/>
  <c r="N1329" i="208"/>
  <c r="W1341" i="208"/>
  <c r="N1341" i="208"/>
  <c r="W1353" i="208"/>
  <c r="N1353" i="208"/>
  <c r="W1377" i="208"/>
  <c r="N1377" i="208"/>
  <c r="W1389" i="208"/>
  <c r="N1389" i="208"/>
  <c r="W1401" i="208"/>
  <c r="N1401" i="208"/>
  <c r="W1413" i="208"/>
  <c r="N1413" i="208"/>
  <c r="W1425" i="208"/>
  <c r="N1425" i="208"/>
  <c r="W1437" i="208"/>
  <c r="N1437" i="208"/>
  <c r="W1449" i="208"/>
  <c r="N1449" i="208"/>
  <c r="N1461" i="208"/>
  <c r="W1473" i="208"/>
  <c r="N1473" i="208"/>
  <c r="W1485" i="208"/>
  <c r="N1485" i="208"/>
  <c r="W1497" i="208"/>
  <c r="N1497" i="208"/>
  <c r="W1509" i="208"/>
  <c r="N1509" i="208"/>
  <c r="W1521" i="208"/>
  <c r="N1521" i="208"/>
  <c r="W1533" i="208"/>
  <c r="N1533" i="208"/>
  <c r="W1165" i="208"/>
  <c r="N1165" i="208"/>
  <c r="W1699" i="208"/>
  <c r="N1699" i="208"/>
  <c r="W1738" i="208"/>
  <c r="N1738" i="208"/>
  <c r="W1780" i="208"/>
  <c r="N1780" i="208"/>
  <c r="W1831" i="208"/>
  <c r="N1831" i="208"/>
  <c r="W1873" i="208"/>
  <c r="N1873" i="208"/>
  <c r="W1924" i="208"/>
  <c r="N1924" i="208"/>
  <c r="W1969" i="208"/>
  <c r="N1969" i="208"/>
  <c r="W2011" i="208"/>
  <c r="N2011" i="208"/>
  <c r="W2062" i="208"/>
  <c r="N2062" i="208"/>
  <c r="W2110" i="208"/>
  <c r="N2110" i="208"/>
  <c r="W2161" i="208"/>
  <c r="N2161" i="208"/>
  <c r="W2197" i="208"/>
  <c r="N2197" i="208"/>
  <c r="W2245" i="208"/>
  <c r="N2245" i="208"/>
  <c r="W2296" i="208"/>
  <c r="N2296" i="208"/>
  <c r="W2335" i="208"/>
  <c r="N2335" i="208"/>
  <c r="W2386" i="208"/>
  <c r="N2386" i="208"/>
  <c r="W2440" i="208"/>
  <c r="N2440" i="208"/>
  <c r="W2479" i="208"/>
  <c r="N2479" i="208"/>
  <c r="W2524" i="208"/>
  <c r="N2524" i="208"/>
  <c r="W2569" i="208"/>
  <c r="N2569" i="208"/>
  <c r="W2620" i="208"/>
  <c r="N2620" i="208"/>
  <c r="W2671" i="208"/>
  <c r="N2671" i="208"/>
  <c r="W2713" i="208"/>
  <c r="N2713" i="208"/>
  <c r="W2755" i="208"/>
  <c r="W2812" i="208"/>
  <c r="N2812" i="208"/>
  <c r="W2848" i="208"/>
  <c r="N2848" i="208"/>
  <c r="W2932" i="208"/>
  <c r="N2932" i="208"/>
  <c r="W2980" i="208"/>
  <c r="N2980" i="208"/>
  <c r="W1762" i="208"/>
  <c r="N1762" i="208"/>
  <c r="W1807" i="208"/>
  <c r="N1807" i="208"/>
  <c r="W1867" i="208"/>
  <c r="N1867" i="208"/>
  <c r="W1909" i="208"/>
  <c r="N1909" i="208"/>
  <c r="W1957" i="208"/>
  <c r="N1957" i="208"/>
  <c r="W1999" i="208"/>
  <c r="N1999" i="208"/>
  <c r="W2044" i="208"/>
  <c r="N2044" i="208"/>
  <c r="W2101" i="208"/>
  <c r="N2101" i="208"/>
  <c r="W2140" i="208"/>
  <c r="N2140" i="208"/>
  <c r="W2194" i="208"/>
  <c r="N2194" i="208"/>
  <c r="W2239" i="208"/>
  <c r="N2239" i="208"/>
  <c r="W2287" i="208"/>
  <c r="N2287" i="208"/>
  <c r="W2338" i="208"/>
  <c r="N2338" i="208"/>
  <c r="W2383" i="208"/>
  <c r="N2383" i="208"/>
  <c r="W2431" i="208"/>
  <c r="N2431" i="208"/>
  <c r="W2482" i="208"/>
  <c r="N2482" i="208"/>
  <c r="W2530" i="208"/>
  <c r="N2530" i="208"/>
  <c r="W2674" i="208"/>
  <c r="N2674" i="208"/>
  <c r="W2728" i="208"/>
  <c r="N2728" i="208"/>
  <c r="W2773" i="208"/>
  <c r="N2773" i="208"/>
  <c r="W2815" i="208"/>
  <c r="N2815" i="208"/>
  <c r="W2866" i="208"/>
  <c r="N2866" i="208"/>
  <c r="W2944" i="208"/>
  <c r="N2944" i="208"/>
  <c r="W2995" i="208"/>
  <c r="N2995" i="208"/>
  <c r="W1495" i="208"/>
  <c r="N1495" i="208"/>
  <c r="W1507" i="208"/>
  <c r="N1507" i="208"/>
  <c r="W1519" i="208"/>
  <c r="N1519" i="208"/>
  <c r="W1534" i="208"/>
  <c r="N1534" i="208"/>
  <c r="W1558" i="208"/>
  <c r="N1558" i="208"/>
  <c r="W1585" i="208"/>
  <c r="N1585" i="208"/>
  <c r="W1630" i="208"/>
  <c r="N1630" i="208"/>
  <c r="W1654" i="208"/>
  <c r="N1654" i="208"/>
  <c r="W1678" i="208"/>
  <c r="N1678" i="208"/>
  <c r="W1729" i="208"/>
  <c r="N1729" i="208"/>
  <c r="W1783" i="208"/>
  <c r="N1783" i="208"/>
  <c r="W1825" i="208"/>
  <c r="N1825" i="208"/>
  <c r="W1879" i="208"/>
  <c r="N1879" i="208"/>
  <c r="W1927" i="208"/>
  <c r="N1927" i="208"/>
  <c r="W1984" i="208"/>
  <c r="N1984" i="208"/>
  <c r="W2080" i="208"/>
  <c r="N2080" i="208"/>
  <c r="W2134" i="208"/>
  <c r="N2134" i="208"/>
  <c r="W2191" i="208"/>
  <c r="N2191" i="208"/>
  <c r="W2248" i="208"/>
  <c r="N2248" i="208"/>
  <c r="W2290" i="208"/>
  <c r="N2290" i="208"/>
  <c r="W2341" i="208"/>
  <c r="N2341" i="208"/>
  <c r="W2389" i="208"/>
  <c r="N2389" i="208"/>
  <c r="W2437" i="208"/>
  <c r="N2437" i="208"/>
  <c r="W2485" i="208"/>
  <c r="N2485" i="208"/>
  <c r="W2533" i="208"/>
  <c r="N2533" i="208"/>
  <c r="W2587" i="208"/>
  <c r="N2587" i="208"/>
  <c r="W2635" i="208"/>
  <c r="N2635" i="208"/>
  <c r="W2677" i="208"/>
  <c r="N2677" i="208"/>
  <c r="W2734" i="208"/>
  <c r="N2734" i="208"/>
  <c r="W2788" i="208"/>
  <c r="N2788" i="208"/>
  <c r="W2845" i="208"/>
  <c r="N2845" i="208"/>
  <c r="W2887" i="208"/>
  <c r="N2887" i="208"/>
  <c r="W2929" i="208"/>
  <c r="N2929" i="208"/>
  <c r="W2974" i="208"/>
  <c r="N2974" i="208"/>
  <c r="W1728" i="208"/>
  <c r="N1728" i="208"/>
  <c r="W1779" i="208"/>
  <c r="N1779" i="208"/>
  <c r="W1839" i="208"/>
  <c r="N1839" i="208"/>
  <c r="W1914" i="208"/>
  <c r="N1914" i="208"/>
  <c r="W1986" i="208"/>
  <c r="N1986" i="208"/>
  <c r="W2061" i="208"/>
  <c r="N2061" i="208"/>
  <c r="W2133" i="208"/>
  <c r="N2133" i="208"/>
  <c r="W2220" i="208"/>
  <c r="N2220" i="208"/>
  <c r="W2283" i="208"/>
  <c r="N2283" i="208"/>
  <c r="W254" i="208"/>
  <c r="N254" i="208"/>
  <c r="W2580" i="208"/>
  <c r="N2580" i="208"/>
  <c r="W2880" i="208"/>
  <c r="N2880" i="208"/>
  <c r="W2135" i="208"/>
  <c r="N2135" i="208"/>
  <c r="W2189" i="208"/>
  <c r="N2189" i="208"/>
  <c r="W2249" i="208"/>
  <c r="N2249" i="208"/>
  <c r="W2303" i="208"/>
  <c r="N2303" i="208"/>
  <c r="W2348" i="208"/>
  <c r="N2348" i="208"/>
  <c r="W2519" i="208"/>
  <c r="N2519" i="208"/>
  <c r="W2663" i="208"/>
  <c r="N2663" i="208"/>
  <c r="W2807" i="208"/>
  <c r="N2807" i="208"/>
  <c r="W2951" i="208"/>
  <c r="N2951" i="208"/>
  <c r="W2616" i="208"/>
  <c r="N2616" i="208"/>
  <c r="W2904" i="208"/>
  <c r="N2904" i="208"/>
  <c r="W465" i="208"/>
  <c r="N465" i="208"/>
  <c r="W477" i="208"/>
  <c r="N477" i="208"/>
  <c r="W489" i="208"/>
  <c r="N489" i="208"/>
  <c r="W513" i="208"/>
  <c r="N513" i="208"/>
  <c r="W525" i="208"/>
  <c r="N525" i="208"/>
  <c r="W537" i="208"/>
  <c r="N537" i="208"/>
  <c r="W549" i="208"/>
  <c r="N549" i="208"/>
  <c r="W573" i="208"/>
  <c r="N573" i="208"/>
  <c r="W585" i="208"/>
  <c r="N585" i="208"/>
  <c r="W609" i="208"/>
  <c r="N609" i="208"/>
  <c r="W621" i="208"/>
  <c r="N621" i="208"/>
  <c r="W633" i="208"/>
  <c r="N633" i="208"/>
  <c r="W657" i="208"/>
  <c r="N657" i="208"/>
  <c r="W669" i="208"/>
  <c r="N669" i="208"/>
  <c r="W681" i="208"/>
  <c r="N681" i="208"/>
  <c r="W693" i="208"/>
  <c r="N693" i="208"/>
  <c r="W705" i="208"/>
  <c r="N705" i="208"/>
  <c r="W717" i="208"/>
  <c r="N717" i="208"/>
  <c r="W729" i="208"/>
  <c r="N729" i="208"/>
  <c r="W741" i="208"/>
  <c r="N741" i="208"/>
  <c r="W753" i="208"/>
  <c r="N753" i="208"/>
  <c r="W765" i="208"/>
  <c r="N765" i="208"/>
  <c r="W777" i="208"/>
  <c r="N777" i="208"/>
  <c r="W789" i="208"/>
  <c r="N789" i="208"/>
  <c r="W801" i="208"/>
  <c r="N801" i="208"/>
  <c r="W813" i="208"/>
  <c r="N813" i="208"/>
  <c r="W825" i="208"/>
  <c r="N825" i="208"/>
  <c r="W837" i="208"/>
  <c r="N837" i="208"/>
  <c r="W849" i="208"/>
  <c r="N849" i="208"/>
  <c r="W861" i="208"/>
  <c r="N861" i="208"/>
  <c r="W873" i="208"/>
  <c r="N873" i="208"/>
  <c r="W885" i="208"/>
  <c r="N885" i="208"/>
  <c r="W897" i="208"/>
  <c r="N897" i="208"/>
  <c r="W909" i="208"/>
  <c r="N909" i="208"/>
  <c r="W921" i="208"/>
  <c r="N921" i="208"/>
  <c r="W933" i="208"/>
  <c r="N933" i="208"/>
  <c r="W945" i="208"/>
  <c r="N945" i="208"/>
  <c r="W957" i="208"/>
  <c r="N957" i="208"/>
  <c r="W969" i="208"/>
  <c r="N969" i="208"/>
  <c r="W981" i="208"/>
  <c r="N981" i="208"/>
  <c r="W993" i="208"/>
  <c r="N993" i="208"/>
  <c r="W1005" i="208"/>
  <c r="N1005" i="208"/>
  <c r="W1017" i="208"/>
  <c r="N1017" i="208"/>
  <c r="N1029" i="208"/>
  <c r="W1041" i="208"/>
  <c r="N1041" i="208"/>
  <c r="W1053" i="208"/>
  <c r="N1053" i="208"/>
  <c r="W1065" i="208"/>
  <c r="N1065" i="208"/>
  <c r="W1077" i="208"/>
  <c r="N1077" i="208"/>
  <c r="W1089" i="208"/>
  <c r="N1089" i="208"/>
  <c r="W1101" i="208"/>
  <c r="N1101" i="208"/>
  <c r="W1113" i="208"/>
  <c r="N1113" i="208"/>
  <c r="W1548" i="208"/>
  <c r="N1548" i="208"/>
  <c r="W2892" i="208"/>
  <c r="N2892" i="208"/>
  <c r="W2531" i="208"/>
  <c r="N2531" i="208"/>
  <c r="W2675" i="208"/>
  <c r="N2675" i="208"/>
  <c r="W2819" i="208"/>
  <c r="N2819" i="208"/>
  <c r="W2963" i="208"/>
  <c r="N2963" i="208"/>
  <c r="W2640" i="208"/>
  <c r="N2640" i="208"/>
  <c r="W2928" i="208"/>
  <c r="N2928" i="208"/>
  <c r="W2090" i="208"/>
  <c r="N2090" i="208"/>
  <c r="W2132" i="208"/>
  <c r="N2132" i="208"/>
  <c r="W2180" i="208"/>
  <c r="N2180" i="208"/>
  <c r="W2234" i="208"/>
  <c r="N2234" i="208"/>
  <c r="W2288" i="208"/>
  <c r="N2288" i="208"/>
  <c r="W2411" i="208"/>
  <c r="N2411" i="208"/>
  <c r="W1555" i="208"/>
  <c r="N1555" i="208"/>
  <c r="W1576" i="208"/>
  <c r="N1576" i="208"/>
  <c r="W1603" i="208"/>
  <c r="N1603" i="208"/>
  <c r="W1627" i="208"/>
  <c r="N1627" i="208"/>
  <c r="W1651" i="208"/>
  <c r="N1651" i="208"/>
  <c r="W1684" i="208"/>
  <c r="N1684" i="208"/>
  <c r="W1720" i="208"/>
  <c r="N1720" i="208"/>
  <c r="W1786" i="208"/>
  <c r="N1786" i="208"/>
  <c r="W1834" i="208"/>
  <c r="N1834" i="208"/>
  <c r="W1891" i="208"/>
  <c r="W1981" i="208"/>
  <c r="N1981" i="208"/>
  <c r="W2029" i="208"/>
  <c r="N2029" i="208"/>
  <c r="W2071" i="208"/>
  <c r="N2071" i="208"/>
  <c r="W2125" i="208"/>
  <c r="N2125" i="208"/>
  <c r="W2170" i="208"/>
  <c r="N2170" i="208"/>
  <c r="W2218" i="208"/>
  <c r="W2257" i="208"/>
  <c r="N2257" i="208"/>
  <c r="W2302" i="208"/>
  <c r="N2302" i="208"/>
  <c r="W2359" i="208"/>
  <c r="N2359" i="208"/>
  <c r="W2404" i="208"/>
  <c r="N2404" i="208"/>
  <c r="W2455" i="208"/>
  <c r="N2455" i="208"/>
  <c r="W2503" i="208"/>
  <c r="N2503" i="208"/>
  <c r="W2596" i="208"/>
  <c r="N2596" i="208"/>
  <c r="W2686" i="208"/>
  <c r="N2686" i="208"/>
  <c r="W2731" i="208"/>
  <c r="N2731" i="208"/>
  <c r="W2779" i="208"/>
  <c r="N2779" i="208"/>
  <c r="W2827" i="208"/>
  <c r="N2827" i="208"/>
  <c r="W2869" i="208"/>
  <c r="N2869" i="208"/>
  <c r="W2914" i="208"/>
  <c r="N2914" i="208"/>
  <c r="W2956" i="208"/>
  <c r="N2956" i="208"/>
  <c r="W303" i="208"/>
  <c r="N303" i="208"/>
  <c r="W2070" i="208"/>
  <c r="N2070" i="208"/>
  <c r="W2142" i="208"/>
  <c r="N2142" i="208"/>
  <c r="W2232" i="208"/>
  <c r="N2232" i="208"/>
  <c r="W2289" i="208"/>
  <c r="N2289" i="208"/>
  <c r="W2405" i="208"/>
  <c r="N2405" i="208"/>
  <c r="W2628" i="208"/>
  <c r="N2628" i="208"/>
  <c r="W2916" i="208"/>
  <c r="N2916" i="208"/>
  <c r="W2144" i="208"/>
  <c r="N2144" i="208"/>
  <c r="W2198" i="208"/>
  <c r="N2198" i="208"/>
  <c r="W2258" i="208"/>
  <c r="N2258" i="208"/>
  <c r="W2306" i="208"/>
  <c r="N2306" i="208"/>
  <c r="W2378" i="208"/>
  <c r="N2378" i="208"/>
  <c r="W2543" i="208"/>
  <c r="N2543" i="208"/>
  <c r="W2687" i="208"/>
  <c r="N2687" i="208"/>
  <c r="W2831" i="208"/>
  <c r="N2831" i="208"/>
  <c r="W2975" i="208"/>
  <c r="N2975" i="208"/>
  <c r="W2664" i="208"/>
  <c r="N2664" i="208"/>
  <c r="W2952" i="208"/>
  <c r="N2952" i="208"/>
  <c r="W108" i="208"/>
  <c r="N108" i="208"/>
  <c r="N144" i="208"/>
  <c r="W285" i="208"/>
  <c r="N285" i="208"/>
  <c r="W297" i="208"/>
  <c r="N297" i="208"/>
  <c r="W313" i="208"/>
  <c r="N313" i="208"/>
  <c r="W325" i="208"/>
  <c r="N325" i="208"/>
  <c r="W337" i="208"/>
  <c r="N337" i="208"/>
  <c r="W361" i="208"/>
  <c r="N361" i="208"/>
  <c r="W373" i="208"/>
  <c r="N385" i="208"/>
  <c r="W397" i="208"/>
  <c r="N397" i="208"/>
  <c r="W409" i="208"/>
  <c r="N409" i="208"/>
  <c r="W421" i="208"/>
  <c r="N421" i="208"/>
  <c r="W433" i="208"/>
  <c r="N433" i="208"/>
  <c r="W445" i="208"/>
  <c r="N445" i="208"/>
  <c r="W457" i="208"/>
  <c r="N457" i="208"/>
  <c r="W469" i="208"/>
  <c r="N469" i="208"/>
  <c r="W481" i="208"/>
  <c r="N481" i="208"/>
  <c r="W505" i="208"/>
  <c r="N505" i="208"/>
  <c r="W517" i="208"/>
  <c r="N517" i="208"/>
  <c r="W529" i="208"/>
  <c r="N529" i="208"/>
  <c r="W553" i="208"/>
  <c r="N553" i="208"/>
  <c r="W565" i="208"/>
  <c r="N565" i="208"/>
  <c r="W577" i="208"/>
  <c r="N577" i="208"/>
  <c r="W589" i="208"/>
  <c r="N589" i="208"/>
  <c r="W613" i="208"/>
  <c r="N613" i="208"/>
  <c r="W625" i="208"/>
  <c r="N625" i="208"/>
  <c r="W649" i="208"/>
  <c r="N649" i="208"/>
  <c r="W661" i="208"/>
  <c r="N661" i="208"/>
  <c r="W673" i="208"/>
  <c r="N673" i="208"/>
  <c r="W685" i="208"/>
  <c r="N685" i="208"/>
  <c r="W697" i="208"/>
  <c r="N697" i="208"/>
  <c r="W709" i="208"/>
  <c r="N709" i="208"/>
  <c r="W721" i="208"/>
  <c r="N721" i="208"/>
  <c r="W733" i="208"/>
  <c r="N733" i="208"/>
  <c r="W745" i="208"/>
  <c r="N745" i="208"/>
  <c r="W757" i="208"/>
  <c r="N757" i="208"/>
  <c r="W769" i="208"/>
  <c r="N769" i="208"/>
  <c r="W781" i="208"/>
  <c r="N781" i="208"/>
  <c r="W793" i="208"/>
  <c r="N793" i="208"/>
  <c r="W805" i="208"/>
  <c r="N805" i="208"/>
  <c r="W817" i="208"/>
  <c r="N817" i="208"/>
  <c r="W829" i="208"/>
  <c r="N829" i="208"/>
  <c r="W841" i="208"/>
  <c r="N841" i="208"/>
  <c r="W853" i="208"/>
  <c r="N853" i="208"/>
  <c r="W865" i="208"/>
  <c r="N865" i="208"/>
  <c r="W877" i="208"/>
  <c r="N877" i="208"/>
  <c r="W889" i="208"/>
  <c r="N889" i="208"/>
  <c r="W901" i="208"/>
  <c r="N901" i="208"/>
  <c r="W913" i="208"/>
  <c r="N913" i="208"/>
  <c r="N925" i="208"/>
  <c r="W937" i="208"/>
  <c r="N937" i="208"/>
  <c r="W949" i="208"/>
  <c r="N949" i="208"/>
  <c r="W961" i="208"/>
  <c r="N961" i="208"/>
  <c r="W973" i="208"/>
  <c r="N973" i="208"/>
  <c r="W985" i="208"/>
  <c r="N985" i="208"/>
  <c r="W997" i="208"/>
  <c r="N997" i="208"/>
  <c r="W1009" i="208"/>
  <c r="N1009" i="208"/>
  <c r="W1021" i="208"/>
  <c r="N1021" i="208"/>
  <c r="W1033" i="208"/>
  <c r="N1033" i="208"/>
  <c r="W1045" i="208"/>
  <c r="N1045" i="208"/>
  <c r="W1057" i="208"/>
  <c r="N1057" i="208"/>
  <c r="W1081" i="208"/>
  <c r="N1081" i="208"/>
  <c r="W1093" i="208"/>
  <c r="N1093" i="208"/>
  <c r="W1105" i="208"/>
  <c r="N1105" i="208"/>
  <c r="W1117" i="208"/>
  <c r="N1117" i="208"/>
  <c r="W1129" i="208"/>
  <c r="N1129" i="208"/>
  <c r="W1141" i="208"/>
  <c r="N1141" i="208"/>
  <c r="W1153" i="208"/>
  <c r="N1153" i="208"/>
  <c r="N1168" i="208"/>
  <c r="W1180" i="208"/>
  <c r="N1180" i="208"/>
  <c r="W1192" i="208"/>
  <c r="N1192" i="208"/>
  <c r="W1204" i="208"/>
  <c r="N1204" i="208"/>
  <c r="W1216" i="208"/>
  <c r="N1216" i="208"/>
  <c r="W1228" i="208"/>
  <c r="N1228" i="208"/>
  <c r="W1240" i="208"/>
  <c r="N1240" i="208"/>
  <c r="W1252" i="208"/>
  <c r="N1252" i="208"/>
  <c r="W1264" i="208"/>
  <c r="N1264" i="208"/>
  <c r="W1276" i="208"/>
  <c r="N1276" i="208"/>
  <c r="W1288" i="208"/>
  <c r="N1288" i="208"/>
  <c r="W1300" i="208"/>
  <c r="N1300" i="208"/>
  <c r="W1312" i="208"/>
  <c r="N1312" i="208"/>
  <c r="W1324" i="208"/>
  <c r="N1324" i="208"/>
  <c r="W1336" i="208"/>
  <c r="N1336" i="208"/>
  <c r="W1348" i="208"/>
  <c r="N1348" i="208"/>
  <c r="W1360" i="208"/>
  <c r="N1360" i="208"/>
  <c r="W1372" i="208"/>
  <c r="N1372" i="208"/>
  <c r="W1384" i="208"/>
  <c r="N1384" i="208"/>
  <c r="W1396" i="208"/>
  <c r="N1396" i="208"/>
  <c r="W1408" i="208"/>
  <c r="N1408" i="208"/>
  <c r="W1420" i="208"/>
  <c r="N1420" i="208"/>
  <c r="W1432" i="208"/>
  <c r="N1432" i="208"/>
  <c r="W1444" i="208"/>
  <c r="N1444" i="208"/>
  <c r="W1468" i="208"/>
  <c r="N1468" i="208"/>
  <c r="W1480" i="208"/>
  <c r="N1480" i="208"/>
  <c r="W1128" i="208"/>
  <c r="N1128" i="208"/>
  <c r="W1140" i="208"/>
  <c r="N1140" i="208"/>
  <c r="W1152" i="208"/>
  <c r="N1152" i="208"/>
  <c r="W1164" i="208"/>
  <c r="N1164" i="208"/>
  <c r="W1176" i="208"/>
  <c r="N1176" i="208"/>
  <c r="W1188" i="208"/>
  <c r="N1188" i="208"/>
  <c r="W1200" i="208"/>
  <c r="N1200" i="208"/>
  <c r="W1224" i="208"/>
  <c r="N1224" i="208"/>
  <c r="W1236" i="208"/>
  <c r="N1236" i="208"/>
  <c r="W1248" i="208"/>
  <c r="N1248" i="208"/>
  <c r="W1260" i="208"/>
  <c r="N1260" i="208"/>
  <c r="W1272" i="208"/>
  <c r="N1272" i="208"/>
  <c r="W1284" i="208"/>
  <c r="N1284" i="208"/>
  <c r="W1296" i="208"/>
  <c r="N1296" i="208"/>
  <c r="W1308" i="208"/>
  <c r="N1308" i="208"/>
  <c r="W1320" i="208"/>
  <c r="N1320" i="208"/>
  <c r="W1332" i="208"/>
  <c r="N1332" i="208"/>
  <c r="W1344" i="208"/>
  <c r="N1344" i="208"/>
  <c r="W1368" i="208"/>
  <c r="N1368" i="208"/>
  <c r="W1380" i="208"/>
  <c r="N1380" i="208"/>
  <c r="W1392" i="208"/>
  <c r="N1392" i="208"/>
  <c r="W1404" i="208"/>
  <c r="N1404" i="208"/>
  <c r="W1416" i="208"/>
  <c r="N1416" i="208"/>
  <c r="W1428" i="208"/>
  <c r="N1428" i="208"/>
  <c r="W1440" i="208"/>
  <c r="N1440" i="208"/>
  <c r="W1452" i="208"/>
  <c r="N1452" i="208"/>
  <c r="W1464" i="208"/>
  <c r="N1464" i="208"/>
  <c r="W1476" i="208"/>
  <c r="N1476" i="208"/>
  <c r="W1488" i="208"/>
  <c r="N1488" i="208"/>
  <c r="W1500" i="208"/>
  <c r="N1500" i="208"/>
  <c r="W1512" i="208"/>
  <c r="N1512" i="208"/>
  <c r="W1524" i="208"/>
  <c r="N1524" i="208"/>
  <c r="W1536" i="208"/>
  <c r="N1536" i="208"/>
  <c r="W1669" i="208"/>
  <c r="N1669" i="208"/>
  <c r="W1705" i="208"/>
  <c r="N1705" i="208"/>
  <c r="W1795" i="208"/>
  <c r="N1795" i="208"/>
  <c r="W1843" i="208"/>
  <c r="N1843" i="208"/>
  <c r="W1885" i="208"/>
  <c r="N1885" i="208"/>
  <c r="W1936" i="208"/>
  <c r="N1936" i="208"/>
  <c r="W1978" i="208"/>
  <c r="N1978" i="208"/>
  <c r="W2026" i="208"/>
  <c r="N2026" i="208"/>
  <c r="W2074" i="208"/>
  <c r="W2119" i="208"/>
  <c r="N2119" i="208"/>
  <c r="W2173" i="208"/>
  <c r="N2173" i="208"/>
  <c r="W2209" i="208"/>
  <c r="N2209" i="208"/>
  <c r="W2254" i="208"/>
  <c r="N2254" i="208"/>
  <c r="W2308" i="208"/>
  <c r="N2308" i="208"/>
  <c r="W2353" i="208"/>
  <c r="N2353" i="208"/>
  <c r="W2401" i="208"/>
  <c r="N2401" i="208"/>
  <c r="W2446" i="208"/>
  <c r="N2446" i="208"/>
  <c r="W2494" i="208"/>
  <c r="N2494" i="208"/>
  <c r="W2536" i="208"/>
  <c r="N2536" i="208"/>
  <c r="W2590" i="208"/>
  <c r="N2590" i="208"/>
  <c r="W2632" i="208"/>
  <c r="N2632" i="208"/>
  <c r="W2683" i="208"/>
  <c r="N2683" i="208"/>
  <c r="W2722" i="208"/>
  <c r="N2722" i="208"/>
  <c r="W2770" i="208"/>
  <c r="N2770" i="208"/>
  <c r="W2824" i="208"/>
  <c r="N2824" i="208"/>
  <c r="W2857" i="208"/>
  <c r="N2857" i="208"/>
  <c r="W2947" i="208"/>
  <c r="N2947" i="208"/>
  <c r="W1537" i="208"/>
  <c r="N1537" i="208"/>
  <c r="W1771" i="208"/>
  <c r="N1771" i="208"/>
  <c r="W1822" i="208"/>
  <c r="N1822" i="208"/>
  <c r="W1876" i="208"/>
  <c r="N1876" i="208"/>
  <c r="W1918" i="208"/>
  <c r="N1918" i="208"/>
  <c r="W1966" i="208"/>
  <c r="N1966" i="208"/>
  <c r="W2014" i="208"/>
  <c r="N2014" i="208"/>
  <c r="W2065" i="208"/>
  <c r="N2065" i="208"/>
  <c r="W2113" i="208"/>
  <c r="N2113" i="208"/>
  <c r="W2152" i="208"/>
  <c r="N2152" i="208"/>
  <c r="W2206" i="208"/>
  <c r="N2206" i="208"/>
  <c r="W2251" i="208"/>
  <c r="N2251" i="208"/>
  <c r="W2299" i="208"/>
  <c r="N2299" i="208"/>
  <c r="W2347" i="208"/>
  <c r="N2347" i="208"/>
  <c r="W2392" i="208"/>
  <c r="N2392" i="208"/>
  <c r="W2443" i="208"/>
  <c r="N2443" i="208"/>
  <c r="W2491" i="208"/>
  <c r="N2491" i="208"/>
  <c r="W2542" i="208"/>
  <c r="N2542" i="208"/>
  <c r="W2584" i="208"/>
  <c r="N2584" i="208"/>
  <c r="W2629" i="208"/>
  <c r="N2629" i="208"/>
  <c r="W2692" i="208"/>
  <c r="N2692" i="208"/>
  <c r="W2743" i="208"/>
  <c r="N2743" i="208"/>
  <c r="W2782" i="208"/>
  <c r="N2782" i="208"/>
  <c r="W2833" i="208"/>
  <c r="N2833" i="208"/>
  <c r="W2875" i="208"/>
  <c r="N2875" i="208"/>
  <c r="W2911" i="208"/>
  <c r="N2911" i="208"/>
  <c r="W2959" i="208"/>
  <c r="N2959" i="208"/>
  <c r="W1486" i="208"/>
  <c r="N1486" i="208"/>
  <c r="W1498" i="208"/>
  <c r="N1498" i="208"/>
  <c r="W1510" i="208"/>
  <c r="N1510" i="208"/>
  <c r="W1522" i="208"/>
  <c r="N1522" i="208"/>
  <c r="W1540" i="208"/>
  <c r="N1540" i="208"/>
  <c r="W1591" i="208"/>
  <c r="N1591" i="208"/>
  <c r="W1612" i="208"/>
  <c r="N1612" i="208"/>
  <c r="W1636" i="208"/>
  <c r="N1636" i="208"/>
  <c r="W1660" i="208"/>
  <c r="N1660" i="208"/>
  <c r="W1690" i="208"/>
  <c r="N1690" i="208"/>
  <c r="W1735" i="208"/>
  <c r="N1735" i="208"/>
  <c r="W1792" i="208"/>
  <c r="N1792" i="208"/>
  <c r="W1840" i="208"/>
  <c r="N1840" i="208"/>
  <c r="W1942" i="208"/>
  <c r="N1942" i="208"/>
  <c r="W1993" i="208"/>
  <c r="N1993" i="208"/>
  <c r="W2047" i="208"/>
  <c r="N2047" i="208"/>
  <c r="W2095" i="208"/>
  <c r="N2095" i="208"/>
  <c r="W2143" i="208"/>
  <c r="N2143" i="208"/>
  <c r="W2203" i="208"/>
  <c r="N2203" i="208"/>
  <c r="W2263" i="208"/>
  <c r="N2263" i="208"/>
  <c r="W2305" i="208"/>
  <c r="N2305" i="208"/>
  <c r="W2350" i="208"/>
  <c r="N2350" i="208"/>
  <c r="W2398" i="208"/>
  <c r="N2398" i="208"/>
  <c r="W2449" i="208"/>
  <c r="N2449" i="208"/>
  <c r="W2497" i="208"/>
  <c r="N2497" i="208"/>
  <c r="W2545" i="208"/>
  <c r="N2545" i="208"/>
  <c r="W2602" i="208"/>
  <c r="N2602" i="208"/>
  <c r="W2644" i="208"/>
  <c r="N2644" i="208"/>
  <c r="W2698" i="208"/>
  <c r="N2698" i="208"/>
  <c r="W2797" i="208"/>
  <c r="W2938" i="208"/>
  <c r="N2938" i="208"/>
  <c r="W2983" i="208"/>
  <c r="N2983" i="208"/>
  <c r="W1525" i="208"/>
  <c r="N1525" i="208"/>
  <c r="W1561" i="208"/>
  <c r="N1561" i="208"/>
  <c r="W1582" i="208"/>
  <c r="N1582" i="208"/>
  <c r="W1633" i="208"/>
  <c r="N1633" i="208"/>
  <c r="W1657" i="208"/>
  <c r="N1657" i="208"/>
  <c r="W1693" i="208"/>
  <c r="N1693" i="208"/>
  <c r="W1723" i="208"/>
  <c r="N1723" i="208"/>
  <c r="W1759" i="208"/>
  <c r="N1759" i="208"/>
  <c r="W1801" i="208"/>
  <c r="N1801" i="208"/>
  <c r="W1849" i="208"/>
  <c r="N1849" i="208"/>
  <c r="N1897" i="208"/>
  <c r="W1939" i="208"/>
  <c r="N1939" i="208"/>
  <c r="W1996" i="208"/>
  <c r="N1996" i="208"/>
  <c r="W2083" i="208"/>
  <c r="N2083" i="208"/>
  <c r="W2137" i="208"/>
  <c r="N2137" i="208"/>
  <c r="W2266" i="208"/>
  <c r="N2266" i="208"/>
  <c r="W2311" i="208"/>
  <c r="N2311" i="208"/>
  <c r="W2365" i="208"/>
  <c r="N2365" i="208"/>
  <c r="W2416" i="208"/>
  <c r="N2416" i="208"/>
  <c r="W2464" i="208"/>
  <c r="N2464" i="208"/>
  <c r="W2515" i="208"/>
  <c r="N2515" i="208"/>
  <c r="W2566" i="208"/>
  <c r="N2566" i="208"/>
  <c r="W2614" i="208"/>
  <c r="N2614" i="208"/>
  <c r="W2656" i="208"/>
  <c r="N2656" i="208"/>
  <c r="W2695" i="208"/>
  <c r="N2695" i="208"/>
  <c r="W2740" i="208"/>
  <c r="N2740" i="208"/>
  <c r="W2791" i="208"/>
  <c r="N2791" i="208"/>
  <c r="W2836" i="208"/>
  <c r="N2836" i="208"/>
  <c r="W2884" i="208"/>
  <c r="N2884" i="208"/>
  <c r="W2926" i="208"/>
  <c r="N2926" i="208"/>
  <c r="W2977" i="208"/>
  <c r="N2977" i="208"/>
  <c r="W2517" i="208"/>
  <c r="N2517" i="208"/>
  <c r="W2661" i="208"/>
  <c r="N2661" i="208"/>
  <c r="W2805" i="208"/>
  <c r="N2805" i="208"/>
  <c r="W2393" i="208"/>
  <c r="N2393" i="208"/>
  <c r="W2988" i="208"/>
  <c r="N2988" i="208"/>
  <c r="W2435" i="208"/>
  <c r="N2435" i="208"/>
  <c r="W2579" i="208"/>
  <c r="N2579" i="208"/>
  <c r="W2723" i="208"/>
  <c r="N2723" i="208"/>
  <c r="W2867" i="208"/>
  <c r="N2867" i="208"/>
  <c r="W2448" i="208"/>
  <c r="N2448" i="208"/>
  <c r="W2736" i="208"/>
  <c r="N2736" i="208"/>
  <c r="W2057" i="208"/>
  <c r="N2057" i="208"/>
  <c r="W2102" i="208"/>
  <c r="N2102" i="208"/>
  <c r="W2150" i="208"/>
  <c r="N2150" i="208"/>
  <c r="W2201" i="208"/>
  <c r="N2201" i="208"/>
  <c r="W2252" i="208"/>
  <c r="N2252" i="208"/>
  <c r="W2327" i="208"/>
  <c r="N2327" i="208"/>
  <c r="W304" i="208"/>
  <c r="N304" i="208"/>
  <c r="W3" i="208"/>
  <c r="N3" i="208"/>
  <c r="W21" i="208"/>
  <c r="N21" i="208"/>
  <c r="W39" i="208"/>
  <c r="N39" i="208"/>
  <c r="W57" i="208"/>
  <c r="N57" i="208"/>
  <c r="W75" i="208"/>
  <c r="N75" i="208"/>
  <c r="W93" i="208"/>
  <c r="N93" i="208"/>
  <c r="W111" i="208"/>
  <c r="N111" i="208"/>
  <c r="W129" i="208"/>
  <c r="N129" i="208"/>
  <c r="W147" i="208"/>
  <c r="N147" i="208"/>
  <c r="W165" i="208"/>
  <c r="N165" i="208"/>
  <c r="W183" i="208"/>
  <c r="N183" i="208"/>
  <c r="W201" i="208"/>
  <c r="N201" i="208"/>
  <c r="W219" i="208"/>
  <c r="N219" i="208"/>
  <c r="W237" i="208"/>
  <c r="N237" i="208"/>
  <c r="W255" i="208"/>
  <c r="N255" i="208"/>
  <c r="W288" i="208"/>
  <c r="N288" i="208"/>
  <c r="W300" i="208"/>
  <c r="N300" i="208"/>
  <c r="W316" i="208"/>
  <c r="N316" i="208"/>
  <c r="W328" i="208"/>
  <c r="N328" i="208"/>
  <c r="W340" i="208"/>
  <c r="N340" i="208"/>
  <c r="W364" i="208"/>
  <c r="N364" i="208"/>
  <c r="W376" i="208"/>
  <c r="N376" i="208"/>
  <c r="W388" i="208"/>
  <c r="N388" i="208"/>
  <c r="W400" i="208"/>
  <c r="N400" i="208"/>
  <c r="W412" i="208"/>
  <c r="N412" i="208"/>
  <c r="W424" i="208"/>
  <c r="N424" i="208"/>
  <c r="W460" i="208"/>
  <c r="N460" i="208"/>
  <c r="W472" i="208"/>
  <c r="N472" i="208"/>
  <c r="W484" i="208"/>
  <c r="N484" i="208"/>
  <c r="W508" i="208"/>
  <c r="N508" i="208"/>
  <c r="W520" i="208"/>
  <c r="N520" i="208"/>
  <c r="W532" i="208"/>
  <c r="N532" i="208"/>
  <c r="W544" i="208"/>
  <c r="N544" i="208"/>
  <c r="W568" i="208"/>
  <c r="N568" i="208"/>
  <c r="W580" i="208"/>
  <c r="N580" i="208"/>
  <c r="W604" i="208"/>
  <c r="N604" i="208"/>
  <c r="W616" i="208"/>
  <c r="N616" i="208"/>
  <c r="W628" i="208"/>
  <c r="N628" i="208"/>
  <c r="W652" i="208"/>
  <c r="N652" i="208"/>
  <c r="W664" i="208"/>
  <c r="N664" i="208"/>
  <c r="W676" i="208"/>
  <c r="N676" i="208"/>
  <c r="W688" i="208"/>
  <c r="N688" i="208"/>
  <c r="W700" i="208"/>
  <c r="N700" i="208"/>
  <c r="W712" i="208"/>
  <c r="N712" i="208"/>
  <c r="W724" i="208"/>
  <c r="N724" i="208"/>
  <c r="W748" i="208"/>
  <c r="N748" i="208"/>
  <c r="W760" i="208"/>
  <c r="N760" i="208"/>
  <c r="W772" i="208"/>
  <c r="N772" i="208"/>
  <c r="W784" i="208"/>
  <c r="N784" i="208"/>
  <c r="W796" i="208"/>
  <c r="N796" i="208"/>
  <c r="W808" i="208"/>
  <c r="N808" i="208"/>
  <c r="W820" i="208"/>
  <c r="N820" i="208"/>
  <c r="W832" i="208"/>
  <c r="N832" i="208"/>
  <c r="W844" i="208"/>
  <c r="N844" i="208"/>
  <c r="W856" i="208"/>
  <c r="N856" i="208"/>
  <c r="W868" i="208"/>
  <c r="N868" i="208"/>
  <c r="N880" i="208"/>
  <c r="W892" i="208"/>
  <c r="N892" i="208"/>
  <c r="W904" i="208"/>
  <c r="N904" i="208"/>
  <c r="W916" i="208"/>
  <c r="N916" i="208"/>
  <c r="W928" i="208"/>
  <c r="N928" i="208"/>
  <c r="W940" i="208"/>
  <c r="N940" i="208"/>
  <c r="W952" i="208"/>
  <c r="N952" i="208"/>
  <c r="W964" i="208"/>
  <c r="N964" i="208"/>
  <c r="W976" i="208"/>
  <c r="N976" i="208"/>
  <c r="W988" i="208"/>
  <c r="N988" i="208"/>
  <c r="W1000" i="208"/>
  <c r="N1000" i="208"/>
  <c r="W1012" i="208"/>
  <c r="N1012" i="208"/>
  <c r="W1036" i="208"/>
  <c r="N1036" i="208"/>
  <c r="W1048" i="208"/>
  <c r="N1048" i="208"/>
  <c r="W1060" i="208"/>
  <c r="N1060" i="208"/>
  <c r="W1072" i="208"/>
  <c r="N1072" i="208"/>
  <c r="W1084" i="208"/>
  <c r="N1084" i="208"/>
  <c r="W1096" i="208"/>
  <c r="N1096" i="208"/>
  <c r="W1108" i="208"/>
  <c r="N1108" i="208"/>
  <c r="W1120" i="208"/>
  <c r="N1120" i="208"/>
  <c r="W1132" i="208"/>
  <c r="N1132" i="208"/>
  <c r="W1144" i="208"/>
  <c r="N1144" i="208"/>
  <c r="W1156" i="208"/>
  <c r="N1156" i="208"/>
  <c r="W1171" i="208"/>
  <c r="N1171" i="208"/>
  <c r="W1183" i="208"/>
  <c r="N1183" i="208"/>
  <c r="W1195" i="208"/>
  <c r="N1195" i="208"/>
  <c r="W1207" i="208"/>
  <c r="N1207" i="208"/>
  <c r="W1219" i="208"/>
  <c r="N1219" i="208"/>
  <c r="W1231" i="208"/>
  <c r="N1231" i="208"/>
  <c r="W1243" i="208"/>
  <c r="N1243" i="208"/>
  <c r="W1255" i="208"/>
  <c r="N1255" i="208"/>
  <c r="W1267" i="208"/>
  <c r="N1267" i="208"/>
  <c r="W1279" i="208"/>
  <c r="N1279" i="208"/>
  <c r="W1291" i="208"/>
  <c r="N1291" i="208"/>
  <c r="W1303" i="208"/>
  <c r="N1303" i="208"/>
  <c r="W1315" i="208"/>
  <c r="N1315" i="208"/>
  <c r="W1327" i="208"/>
  <c r="N1327" i="208"/>
  <c r="W1339" i="208"/>
  <c r="N1339" i="208"/>
  <c r="W1351" i="208"/>
  <c r="N1351" i="208"/>
  <c r="W1363" i="208"/>
  <c r="N1363" i="208"/>
  <c r="W1375" i="208"/>
  <c r="N1375" i="208"/>
  <c r="W1387" i="208"/>
  <c r="N1387" i="208"/>
  <c r="W1399" i="208"/>
  <c r="N1399" i="208"/>
  <c r="W1411" i="208"/>
  <c r="N1411" i="208"/>
  <c r="W1423" i="208"/>
  <c r="N1423" i="208"/>
  <c r="W1435" i="208"/>
  <c r="N1435" i="208"/>
  <c r="W1447" i="208"/>
  <c r="N1447" i="208"/>
  <c r="W1471" i="208"/>
  <c r="N1471" i="208"/>
  <c r="W1483" i="208"/>
  <c r="N1483" i="208"/>
  <c r="W1131" i="208"/>
  <c r="N1131" i="208"/>
  <c r="W1143" i="208"/>
  <c r="N1143" i="208"/>
  <c r="W1155" i="208"/>
  <c r="N1155" i="208"/>
  <c r="N1167" i="208"/>
  <c r="W1179" i="208"/>
  <c r="N1179" i="208"/>
  <c r="W1191" i="208"/>
  <c r="N1191" i="208"/>
  <c r="W1203" i="208"/>
  <c r="N1203" i="208"/>
  <c r="W1215" i="208"/>
  <c r="N1215" i="208"/>
  <c r="W1227" i="208"/>
  <c r="N1227" i="208"/>
  <c r="W1239" i="208"/>
  <c r="N1239" i="208"/>
  <c r="W1251" i="208"/>
  <c r="N1251" i="208"/>
  <c r="W1263" i="208"/>
  <c r="N1263" i="208"/>
  <c r="W1275" i="208"/>
  <c r="N1275" i="208"/>
  <c r="W1287" i="208"/>
  <c r="N1287" i="208"/>
  <c r="W1299" i="208"/>
  <c r="N1299" i="208"/>
  <c r="W1311" i="208"/>
  <c r="N1311" i="208"/>
  <c r="W1323" i="208"/>
  <c r="N1323" i="208"/>
  <c r="W1335" i="208"/>
  <c r="N1335" i="208"/>
  <c r="W1347" i="208"/>
  <c r="N1347" i="208"/>
  <c r="W1359" i="208"/>
  <c r="N1359" i="208"/>
  <c r="W1371" i="208"/>
  <c r="N1371" i="208"/>
  <c r="W1383" i="208"/>
  <c r="N1383" i="208"/>
  <c r="W1395" i="208"/>
  <c r="N1395" i="208"/>
  <c r="W1407" i="208"/>
  <c r="N1407" i="208"/>
  <c r="W1419" i="208"/>
  <c r="N1419" i="208"/>
  <c r="W1431" i="208"/>
  <c r="N1431" i="208"/>
  <c r="W1443" i="208"/>
  <c r="N1443" i="208"/>
  <c r="W1455" i="208"/>
  <c r="N1455" i="208"/>
  <c r="W1467" i="208"/>
  <c r="N1467" i="208"/>
  <c r="W1479" i="208"/>
  <c r="N1479" i="208"/>
  <c r="W1491" i="208"/>
  <c r="N1491" i="208"/>
  <c r="W1503" i="208"/>
  <c r="N1503" i="208"/>
  <c r="W1515" i="208"/>
  <c r="N1515" i="208"/>
  <c r="W1527" i="208"/>
  <c r="N1527" i="208"/>
  <c r="W1681" i="208"/>
  <c r="N1681" i="208"/>
  <c r="W1717" i="208"/>
  <c r="N1717" i="208"/>
  <c r="W1756" i="208"/>
  <c r="N1756" i="208"/>
  <c r="W1804" i="208"/>
  <c r="N1804" i="208"/>
  <c r="W1852" i="208"/>
  <c r="N1852" i="208"/>
  <c r="W1894" i="208"/>
  <c r="N1894" i="208"/>
  <c r="W1948" i="208"/>
  <c r="N1948" i="208"/>
  <c r="W1987" i="208"/>
  <c r="N1987" i="208"/>
  <c r="W2038" i="208"/>
  <c r="N2038" i="208"/>
  <c r="W2086" i="208"/>
  <c r="N2086" i="208"/>
  <c r="W2128" i="208"/>
  <c r="N2128" i="208"/>
  <c r="N2179" i="208"/>
  <c r="W2227" i="208"/>
  <c r="N2227" i="208"/>
  <c r="W2272" i="208"/>
  <c r="N2272" i="208"/>
  <c r="W2317" i="208"/>
  <c r="N2317" i="208"/>
  <c r="W2362" i="208"/>
  <c r="N2362" i="208"/>
  <c r="W2413" i="208"/>
  <c r="N2413" i="208"/>
  <c r="W2458" i="208"/>
  <c r="N2458" i="208"/>
  <c r="N2506" i="208"/>
  <c r="W2548" i="208"/>
  <c r="N2548" i="208"/>
  <c r="W2599" i="208"/>
  <c r="N2599" i="208"/>
  <c r="W2647" i="208"/>
  <c r="N2647" i="208"/>
  <c r="W2689" i="208"/>
  <c r="N2689" i="208"/>
  <c r="W2737" i="208"/>
  <c r="N2737" i="208"/>
  <c r="W2785" i="208"/>
  <c r="N2785" i="208"/>
  <c r="W2830" i="208"/>
  <c r="N2830" i="208"/>
  <c r="W2908" i="208"/>
  <c r="N2908" i="208"/>
  <c r="W2965" i="208"/>
  <c r="N2965" i="208"/>
  <c r="W1789" i="208"/>
  <c r="N1789" i="208"/>
  <c r="W1837" i="208"/>
  <c r="N1837" i="208"/>
  <c r="W1882" i="208"/>
  <c r="N1882" i="208"/>
  <c r="W1975" i="208"/>
  <c r="N1975" i="208"/>
  <c r="W2023" i="208"/>
  <c r="N2023" i="208"/>
  <c r="W2077" i="208"/>
  <c r="N2077" i="208"/>
  <c r="W2122" i="208"/>
  <c r="N2122" i="208"/>
  <c r="W2164" i="208"/>
  <c r="N2164" i="208"/>
  <c r="W2215" i="208"/>
  <c r="N2215" i="208"/>
  <c r="W2260" i="208"/>
  <c r="N2260" i="208"/>
  <c r="W2314" i="208"/>
  <c r="N2314" i="208"/>
  <c r="W2356" i="208"/>
  <c r="N2356" i="208"/>
  <c r="W2407" i="208"/>
  <c r="N2407" i="208"/>
  <c r="W2452" i="208"/>
  <c r="N2452" i="208"/>
  <c r="W2500" i="208"/>
  <c r="N2500" i="208"/>
  <c r="W2551" i="208"/>
  <c r="N2551" i="208"/>
  <c r="W2593" i="208"/>
  <c r="N2593" i="208"/>
  <c r="W2641" i="208"/>
  <c r="N2641" i="208"/>
  <c r="W2701" i="208"/>
  <c r="N2701" i="208"/>
  <c r="W2749" i="208"/>
  <c r="N2749" i="208"/>
  <c r="W2800" i="208"/>
  <c r="N2800" i="208"/>
  <c r="W2839" i="208"/>
  <c r="N2839" i="208"/>
  <c r="W2881" i="208"/>
  <c r="N2881" i="208"/>
  <c r="W2920" i="208"/>
  <c r="N2920" i="208"/>
  <c r="W2968" i="208"/>
  <c r="N2968" i="208"/>
  <c r="W1489" i="208"/>
  <c r="N1489" i="208"/>
  <c r="W1501" i="208"/>
  <c r="N1501" i="208"/>
  <c r="W1513" i="208"/>
  <c r="N1513" i="208"/>
  <c r="W1528" i="208"/>
  <c r="N1528" i="208"/>
  <c r="W1546" i="208"/>
  <c r="N1546" i="208"/>
  <c r="W1570" i="208"/>
  <c r="N1570" i="208"/>
  <c r="W1597" i="208"/>
  <c r="N1597" i="208"/>
  <c r="W1618" i="208"/>
  <c r="N1618" i="208"/>
  <c r="W1642" i="208"/>
  <c r="N1642" i="208"/>
  <c r="W1666" i="208"/>
  <c r="N1666" i="208"/>
  <c r="W1702" i="208"/>
  <c r="N1702" i="208"/>
  <c r="W1810" i="208"/>
  <c r="N1810" i="208"/>
  <c r="W1900" i="208"/>
  <c r="N1900" i="208"/>
  <c r="W1951" i="208"/>
  <c r="N1951" i="208"/>
  <c r="W2008" i="208"/>
  <c r="N2008" i="208"/>
  <c r="W2056" i="208"/>
  <c r="N2056" i="208"/>
  <c r="W2104" i="208"/>
  <c r="N2104" i="208"/>
  <c r="W2158" i="208"/>
  <c r="N2158" i="208"/>
  <c r="W2212" i="208"/>
  <c r="N2212" i="208"/>
  <c r="W2269" i="208"/>
  <c r="N2269" i="208"/>
  <c r="W2368" i="208"/>
  <c r="N2368" i="208"/>
  <c r="W2410" i="208"/>
  <c r="N2410" i="208"/>
  <c r="W2461" i="208"/>
  <c r="N2461" i="208"/>
  <c r="W2557" i="208"/>
  <c r="N2557" i="208"/>
  <c r="W2653" i="208"/>
  <c r="N2653" i="208"/>
  <c r="W2707" i="208"/>
  <c r="N2707" i="208"/>
  <c r="W2761" i="208"/>
  <c r="W2809" i="208"/>
  <c r="N2809" i="208"/>
  <c r="W2872" i="208"/>
  <c r="N2872" i="208"/>
  <c r="W2953" i="208"/>
  <c r="N2953" i="208"/>
  <c r="W2998" i="208"/>
  <c r="N2998" i="208"/>
  <c r="W1698" i="208"/>
  <c r="N1698" i="208"/>
  <c r="W1749" i="208"/>
  <c r="N1749" i="208"/>
  <c r="W1809" i="208"/>
  <c r="N1809" i="208"/>
  <c r="W1881" i="208"/>
  <c r="N1881" i="208"/>
  <c r="W1950" i="208"/>
  <c r="N1950" i="208"/>
  <c r="W2025" i="208"/>
  <c r="N2025" i="208"/>
  <c r="W2094" i="208"/>
  <c r="N2094" i="208"/>
  <c r="W2172" i="208"/>
  <c r="N2172" i="208"/>
  <c r="W2253" i="208"/>
  <c r="N2253" i="208"/>
  <c r="W2310" i="208"/>
  <c r="N2310" i="208"/>
  <c r="W2436" i="208"/>
  <c r="N2436" i="208"/>
  <c r="W2724" i="208"/>
  <c r="N2724" i="208"/>
  <c r="W1856" i="208"/>
  <c r="N1856" i="208"/>
  <c r="W2162" i="208"/>
  <c r="N2162" i="208"/>
  <c r="W2222" i="208"/>
  <c r="N2222" i="208"/>
  <c r="W2279" i="208"/>
  <c r="N2279" i="208"/>
  <c r="W2399" i="208"/>
  <c r="N2399" i="208"/>
  <c r="W2447" i="208"/>
  <c r="N2447" i="208"/>
  <c r="W2591" i="208"/>
  <c r="N2591" i="208"/>
  <c r="W2735" i="208"/>
  <c r="N2735" i="208"/>
  <c r="W2879" i="208"/>
  <c r="N2879" i="208"/>
  <c r="W2472" i="208"/>
  <c r="N2472" i="208"/>
  <c r="W2760" i="208"/>
  <c r="N2760" i="208"/>
  <c r="W471" i="208"/>
  <c r="N471" i="208"/>
  <c r="W483" i="208"/>
  <c r="N483" i="208"/>
  <c r="W495" i="208"/>
  <c r="N495" i="208"/>
  <c r="W507" i="208"/>
  <c r="N507" i="208"/>
  <c r="W519" i="208"/>
  <c r="N519" i="208"/>
  <c r="W531" i="208"/>
  <c r="N531" i="208"/>
  <c r="W543" i="208"/>
  <c r="N543" i="208"/>
  <c r="W555" i="208"/>
  <c r="N555" i="208"/>
  <c r="W567" i="208"/>
  <c r="N567" i="208"/>
  <c r="W579" i="208"/>
  <c r="N579" i="208"/>
  <c r="W591" i="208"/>
  <c r="N591" i="208"/>
  <c r="W603" i="208"/>
  <c r="N603" i="208"/>
  <c r="W615" i="208"/>
  <c r="N615" i="208"/>
  <c r="W627" i="208"/>
  <c r="N627" i="208"/>
  <c r="W639" i="208"/>
  <c r="N639" i="208"/>
  <c r="W651" i="208"/>
  <c r="N651" i="208"/>
  <c r="W663" i="208"/>
  <c r="N663" i="208"/>
  <c r="W675" i="208"/>
  <c r="N675" i="208"/>
  <c r="W687" i="208"/>
  <c r="N687" i="208"/>
  <c r="W711" i="208"/>
  <c r="N711" i="208"/>
  <c r="W723" i="208"/>
  <c r="N723" i="208"/>
  <c r="W735" i="208"/>
  <c r="N735" i="208"/>
  <c r="W747" i="208"/>
  <c r="N747" i="208"/>
  <c r="W759" i="208"/>
  <c r="N759" i="208"/>
  <c r="W771" i="208"/>
  <c r="N771" i="208"/>
  <c r="W783" i="208"/>
  <c r="N783" i="208"/>
  <c r="W795" i="208"/>
  <c r="N795" i="208"/>
  <c r="W807" i="208"/>
  <c r="N807" i="208"/>
  <c r="W819" i="208"/>
  <c r="N819" i="208"/>
  <c r="W831" i="208"/>
  <c r="N831" i="208"/>
  <c r="W843" i="208"/>
  <c r="N843" i="208"/>
  <c r="W855" i="208"/>
  <c r="N855" i="208"/>
  <c r="W867" i="208"/>
  <c r="N867" i="208"/>
  <c r="W879" i="208"/>
  <c r="N879" i="208"/>
  <c r="W891" i="208"/>
  <c r="N891" i="208"/>
  <c r="W915" i="208"/>
  <c r="N915" i="208"/>
  <c r="W927" i="208"/>
  <c r="N927" i="208"/>
  <c r="W939" i="208"/>
  <c r="N939" i="208"/>
  <c r="W951" i="208"/>
  <c r="N951" i="208"/>
  <c r="W975" i="208"/>
  <c r="N975" i="208"/>
  <c r="W987" i="208"/>
  <c r="N987" i="208"/>
  <c r="W999" i="208"/>
  <c r="N999" i="208"/>
  <c r="W1011" i="208"/>
  <c r="N1011" i="208"/>
  <c r="W1023" i="208"/>
  <c r="N1023" i="208"/>
  <c r="W1035" i="208"/>
  <c r="N1035" i="208"/>
  <c r="W1047" i="208"/>
  <c r="N1047" i="208"/>
  <c r="W1059" i="208"/>
  <c r="N1059" i="208"/>
  <c r="W1071" i="208"/>
  <c r="N1071" i="208"/>
  <c r="W1083" i="208"/>
  <c r="N1083" i="208"/>
  <c r="W1095" i="208"/>
  <c r="N1095" i="208"/>
  <c r="W1107" i="208"/>
  <c r="N1107" i="208"/>
  <c r="W2460" i="208"/>
  <c r="N2460" i="208"/>
  <c r="W2748" i="208"/>
  <c r="N2748" i="208"/>
  <c r="W2459" i="208"/>
  <c r="N2459" i="208"/>
  <c r="W2603" i="208"/>
  <c r="N2603" i="208"/>
  <c r="W2747" i="208"/>
  <c r="N2747" i="208"/>
  <c r="W2891" i="208"/>
  <c r="N2891" i="208"/>
  <c r="W2496" i="208"/>
  <c r="N2496" i="208"/>
  <c r="W2784" i="208"/>
  <c r="N2784" i="208"/>
  <c r="W2069" i="208"/>
  <c r="N2069" i="208"/>
  <c r="W2108" i="208"/>
  <c r="N2108" i="208"/>
  <c r="W2156" i="208"/>
  <c r="N2156" i="208"/>
  <c r="W2210" i="208"/>
  <c r="N2210" i="208"/>
  <c r="W2261" i="208"/>
  <c r="N2261" i="208"/>
  <c r="W2330" i="208"/>
  <c r="N2330" i="208"/>
  <c r="W324" i="208"/>
  <c r="N324" i="208"/>
  <c r="W1542" i="208"/>
  <c r="N1542" i="208"/>
  <c r="W1563" i="208"/>
  <c r="N1563" i="208"/>
  <c r="W1543" i="208"/>
  <c r="N1543" i="208"/>
  <c r="W1567" i="208"/>
  <c r="N1567" i="208"/>
  <c r="W1588" i="208"/>
  <c r="N1588" i="208"/>
  <c r="W1615" i="208"/>
  <c r="N1615" i="208"/>
  <c r="W1639" i="208"/>
  <c r="N1639" i="208"/>
  <c r="W1663" i="208"/>
  <c r="N1663" i="208"/>
  <c r="W1696" i="208"/>
  <c r="N1696" i="208"/>
  <c r="W1732" i="208"/>
  <c r="N1732" i="208"/>
  <c r="W1768" i="208"/>
  <c r="N1768" i="208"/>
  <c r="W1813" i="208"/>
  <c r="N1813" i="208"/>
  <c r="W1858" i="208"/>
  <c r="N1858" i="208"/>
  <c r="W1906" i="208"/>
  <c r="N1906" i="208"/>
  <c r="W1954" i="208"/>
  <c r="N1954" i="208"/>
  <c r="W2005" i="208"/>
  <c r="N2005" i="208"/>
  <c r="W2053" i="208"/>
  <c r="N2053" i="208"/>
  <c r="W2092" i="208"/>
  <c r="N2092" i="208"/>
  <c r="W2146" i="208"/>
  <c r="N2146" i="208"/>
  <c r="W2185" i="208"/>
  <c r="N2185" i="208"/>
  <c r="W2230" i="208"/>
  <c r="N2230" i="208"/>
  <c r="W2281" i="208"/>
  <c r="N2281" i="208"/>
  <c r="W2323" i="208"/>
  <c r="N2323" i="208"/>
  <c r="W2374" i="208"/>
  <c r="N2374" i="208"/>
  <c r="W2425" i="208"/>
  <c r="N2425" i="208"/>
  <c r="W2476" i="208"/>
  <c r="N2476" i="208"/>
  <c r="W2527" i="208"/>
  <c r="N2527" i="208"/>
  <c r="W2572" i="208"/>
  <c r="N2572" i="208"/>
  <c r="W2626" i="208"/>
  <c r="N2626" i="208"/>
  <c r="W2668" i="208"/>
  <c r="N2668" i="208"/>
  <c r="W2710" i="208"/>
  <c r="N2710" i="208"/>
  <c r="W2758" i="208"/>
  <c r="N2758" i="208"/>
  <c r="W2803" i="208"/>
  <c r="N2803" i="208"/>
  <c r="W2851" i="208"/>
  <c r="N2851" i="208"/>
  <c r="W2890" i="208"/>
  <c r="N2890" i="208"/>
  <c r="W2941" i="208"/>
  <c r="N2941" i="208"/>
  <c r="W2986" i="208"/>
  <c r="N2986" i="208"/>
  <c r="AF83" i="208"/>
  <c r="AE56" i="208"/>
  <c r="AF56" i="208"/>
  <c r="AE29" i="208"/>
  <c r="AF29" i="208"/>
  <c r="O147" i="46"/>
  <c r="B147" i="46" s="1"/>
  <c r="N4" i="33"/>
  <c r="AB168" i="208"/>
  <c r="AB204" i="208"/>
  <c r="AF24" i="208"/>
  <c r="AF96" i="208"/>
  <c r="AF240" i="208"/>
  <c r="AE11" i="208"/>
  <c r="AE38" i="208"/>
  <c r="AE65" i="208"/>
  <c r="AE92" i="208"/>
  <c r="AE119" i="208"/>
  <c r="AE146" i="208"/>
  <c r="AE173" i="208"/>
  <c r="AF11" i="208"/>
  <c r="AF38" i="208"/>
  <c r="AF65" i="208"/>
  <c r="AF92" i="208"/>
  <c r="AF119" i="208"/>
  <c r="AF146" i="208"/>
  <c r="AF173" i="208"/>
  <c r="AF60" i="208"/>
  <c r="AF132" i="208"/>
  <c r="F2" i="208"/>
  <c r="T2" i="208" s="1"/>
  <c r="AE20" i="208"/>
  <c r="AE47" i="208"/>
  <c r="AE74" i="208"/>
  <c r="AE101" i="208"/>
  <c r="AE128" i="208"/>
  <c r="AE155" i="208"/>
  <c r="AE182" i="208"/>
  <c r="AF20" i="208"/>
  <c r="AF47" i="208"/>
  <c r="AF74" i="208"/>
  <c r="AF101" i="208"/>
  <c r="AF128" i="208"/>
  <c r="AF155" i="208"/>
  <c r="AF182" i="208"/>
  <c r="AF301" i="208"/>
  <c r="AF289" i="208"/>
  <c r="AF279" i="208"/>
  <c r="AE34" i="208"/>
  <c r="V277" i="208"/>
  <c r="AB281" i="208"/>
  <c r="V296" i="208"/>
  <c r="F8" i="208"/>
  <c r="T8" i="208" s="1"/>
  <c r="AF17" i="208"/>
  <c r="AA26" i="208"/>
  <c r="AF35" i="208"/>
  <c r="AA44" i="208"/>
  <c r="AF53" i="208"/>
  <c r="AA62" i="208"/>
  <c r="AF71" i="208"/>
  <c r="AA80" i="208"/>
  <c r="AF89" i="208"/>
  <c r="AA98" i="208"/>
  <c r="AF107" i="208"/>
  <c r="AA116" i="208"/>
  <c r="AF125" i="208"/>
  <c r="AA134" i="208"/>
  <c r="AF143" i="208"/>
  <c r="AA152" i="208"/>
  <c r="AF161" i="208"/>
  <c r="AA170" i="208"/>
  <c r="AF179" i="208"/>
  <c r="AF188" i="208"/>
  <c r="AF197" i="208"/>
  <c r="AF206" i="208"/>
  <c r="AF215" i="208"/>
  <c r="AF224" i="208"/>
  <c r="AF233" i="208"/>
  <c r="AF242" i="208"/>
  <c r="AF251" i="208"/>
  <c r="AF260" i="208"/>
  <c r="AF269" i="208"/>
  <c r="AE286" i="208"/>
  <c r="AE6" i="208"/>
  <c r="F15" i="208"/>
  <c r="T15" i="208" s="1"/>
  <c r="AE24" i="208"/>
  <c r="F33" i="208"/>
  <c r="T33" i="208" s="1"/>
  <c r="AE42" i="208"/>
  <c r="F51" i="208"/>
  <c r="T51" i="208" s="1"/>
  <c r="AE60" i="208"/>
  <c r="F69" i="208"/>
  <c r="T69" i="208" s="1"/>
  <c r="AE78" i="208"/>
  <c r="F87" i="208"/>
  <c r="T87" i="208" s="1"/>
  <c r="AE96" i="208"/>
  <c r="F105" i="208"/>
  <c r="T105" i="208" s="1"/>
  <c r="AE114" i="208"/>
  <c r="F123" i="208"/>
  <c r="T123" i="208" s="1"/>
  <c r="AE132" i="208"/>
  <c r="F141" i="208"/>
  <c r="T141" i="208" s="1"/>
  <c r="AE150" i="208"/>
  <c r="F159" i="208"/>
  <c r="T159" i="208" s="1"/>
  <c r="AE168" i="208"/>
  <c r="F177" i="208"/>
  <c r="T177" i="208" s="1"/>
  <c r="AE186" i="208"/>
  <c r="F195" i="208"/>
  <c r="T195" i="208" s="1"/>
  <c r="AE204" i="208"/>
  <c r="F213" i="208"/>
  <c r="T213" i="208" s="1"/>
  <c r="AE222" i="208"/>
  <c r="F231" i="208"/>
  <c r="T231" i="208" s="1"/>
  <c r="AE240" i="208"/>
  <c r="F249" i="208"/>
  <c r="T249" i="208" s="1"/>
  <c r="AE258" i="208"/>
  <c r="V267" i="208"/>
  <c r="V280" i="208"/>
  <c r="V284" i="208"/>
  <c r="AE299" i="208"/>
  <c r="AE7" i="208"/>
  <c r="AE4" i="208"/>
  <c r="AF13" i="208"/>
  <c r="AE22" i="208"/>
  <c r="AE31" i="208"/>
  <c r="AE40" i="208"/>
  <c r="AF49" i="208"/>
  <c r="AE58" i="208"/>
  <c r="AE67" i="208"/>
  <c r="AF76" i="208"/>
  <c r="AF85" i="208"/>
  <c r="AF94" i="208"/>
  <c r="AF103" i="208"/>
  <c r="AE112" i="208"/>
  <c r="AF121" i="208"/>
  <c r="AF130" i="208"/>
  <c r="AE139" i="208"/>
  <c r="AF148" i="208"/>
  <c r="AF157" i="208"/>
  <c r="AE166" i="208"/>
  <c r="AE175" i="208"/>
  <c r="AE184" i="208"/>
  <c r="AF193" i="208"/>
  <c r="AE202" i="208"/>
  <c r="AF211" i="208"/>
  <c r="AE220" i="208"/>
  <c r="AE229" i="208"/>
  <c r="AF238" i="208"/>
  <c r="AE247" i="208"/>
  <c r="AF256" i="208"/>
  <c r="AF265" i="208"/>
  <c r="AF274" i="208"/>
  <c r="AF295" i="208"/>
  <c r="AF7" i="208"/>
  <c r="AA277" i="208"/>
  <c r="AF296" i="208"/>
  <c r="AB277" i="208"/>
  <c r="F281" i="208"/>
  <c r="T281" i="208" s="1"/>
  <c r="V281" i="208"/>
  <c r="AE281" i="208"/>
  <c r="AF281" i="208"/>
  <c r="L22" i="16"/>
  <c r="AA296" i="208"/>
  <c r="AE277" i="208"/>
  <c r="AB296" i="208"/>
  <c r="AF277" i="208"/>
  <c r="F277" i="208"/>
  <c r="T277" i="208" s="1"/>
  <c r="F296" i="208"/>
  <c r="T296" i="208" s="1"/>
  <c r="AA281" i="208"/>
  <c r="V15" i="208"/>
  <c r="V51" i="208"/>
  <c r="V87" i="208"/>
  <c r="V123" i="208"/>
  <c r="V159" i="208"/>
  <c r="V195" i="208"/>
  <c r="V231" i="208"/>
  <c r="V258" i="208"/>
  <c r="F299" i="208"/>
  <c r="T299" i="208" s="1"/>
  <c r="F24" i="208"/>
  <c r="T24" i="208" s="1"/>
  <c r="F60" i="208"/>
  <c r="T60" i="208" s="1"/>
  <c r="F96" i="208"/>
  <c r="T96" i="208" s="1"/>
  <c r="F132" i="208"/>
  <c r="T132" i="208" s="1"/>
  <c r="F168" i="208"/>
  <c r="T168" i="208" s="1"/>
  <c r="F204" i="208"/>
  <c r="T204" i="208" s="1"/>
  <c r="F240" i="208"/>
  <c r="T240" i="208" s="1"/>
  <c r="AB280" i="208"/>
  <c r="AE284" i="208"/>
  <c r="V299" i="208"/>
  <c r="AA15" i="208"/>
  <c r="AA51" i="208"/>
  <c r="AA87" i="208"/>
  <c r="AA123" i="208"/>
  <c r="AA159" i="208"/>
  <c r="AA195" i="208"/>
  <c r="AA231" i="208"/>
  <c r="AA267" i="208"/>
  <c r="AF284" i="208"/>
  <c r="AB15" i="208"/>
  <c r="AB51" i="208"/>
  <c r="AB87" i="208"/>
  <c r="AB123" i="208"/>
  <c r="AB159" i="208"/>
  <c r="AB195" i="208"/>
  <c r="AB231" i="208"/>
  <c r="AB267" i="208"/>
  <c r="AA299" i="208"/>
  <c r="L99" i="16"/>
  <c r="AA284" i="208"/>
  <c r="AB299" i="208"/>
  <c r="F284" i="208"/>
  <c r="T284" i="208" s="1"/>
  <c r="L106" i="16"/>
  <c r="AB6" i="208"/>
  <c r="AA42" i="208"/>
  <c r="AA78" i="208"/>
  <c r="AA114" i="208"/>
  <c r="AB150" i="208"/>
  <c r="AA186" i="208"/>
  <c r="AA222" i="208"/>
  <c r="AA258" i="208"/>
  <c r="AB284" i="208"/>
  <c r="AE15" i="208"/>
  <c r="AE33" i="208"/>
  <c r="AE51" i="208"/>
  <c r="AE69" i="208"/>
  <c r="AE87" i="208"/>
  <c r="AE105" i="208"/>
  <c r="AE123" i="208"/>
  <c r="AE141" i="208"/>
  <c r="AE159" i="208"/>
  <c r="AE177" i="208"/>
  <c r="AE195" i="208"/>
  <c r="AE213" i="208"/>
  <c r="AE231" i="208"/>
  <c r="AE249" i="208"/>
  <c r="AE267" i="208"/>
  <c r="AE94" i="208"/>
  <c r="AE148" i="208"/>
  <c r="AE256" i="208"/>
  <c r="AE157" i="208"/>
  <c r="AE274" i="208"/>
  <c r="AE76" i="208"/>
  <c r="V132" i="208"/>
  <c r="AA6" i="208"/>
  <c r="AB42" i="208"/>
  <c r="AB78" i="208"/>
  <c r="AB114" i="208"/>
  <c r="AA150" i="208"/>
  <c r="AB186" i="208"/>
  <c r="AB222" i="208"/>
  <c r="AB258" i="208"/>
  <c r="AF15" i="208"/>
  <c r="AF33" i="208"/>
  <c r="AF51" i="208"/>
  <c r="AF69" i="208"/>
  <c r="AF87" i="208"/>
  <c r="AF105" i="208"/>
  <c r="AF123" i="208"/>
  <c r="AF141" i="208"/>
  <c r="AF159" i="208"/>
  <c r="AF177" i="208"/>
  <c r="AF195" i="208"/>
  <c r="AF213" i="208"/>
  <c r="AF231" i="208"/>
  <c r="AF249" i="208"/>
  <c r="AF267" i="208"/>
  <c r="V24" i="208"/>
  <c r="V204" i="208"/>
  <c r="F267" i="208"/>
  <c r="T267" i="208" s="1"/>
  <c r="F6" i="208"/>
  <c r="T6" i="208" s="1"/>
  <c r="F42" i="208"/>
  <c r="T42" i="208" s="1"/>
  <c r="F78" i="208"/>
  <c r="T78" i="208" s="1"/>
  <c r="F114" i="208"/>
  <c r="T114" i="208" s="1"/>
  <c r="F150" i="208"/>
  <c r="T150" i="208" s="1"/>
  <c r="F186" i="208"/>
  <c r="T186" i="208" s="1"/>
  <c r="F222" i="208"/>
  <c r="T222" i="208" s="1"/>
  <c r="F258" i="208"/>
  <c r="T258" i="208" s="1"/>
  <c r="AE13" i="208"/>
  <c r="AE265" i="208"/>
  <c r="AE85" i="208"/>
  <c r="V60" i="208"/>
  <c r="V33" i="208"/>
  <c r="V141" i="208"/>
  <c r="V249" i="208"/>
  <c r="AA33" i="208"/>
  <c r="AA69" i="208"/>
  <c r="AA105" i="208"/>
  <c r="AA141" i="208"/>
  <c r="AA177" i="208"/>
  <c r="AA213" i="208"/>
  <c r="AA249" i="208"/>
  <c r="V96" i="208"/>
  <c r="V69" i="208"/>
  <c r="V105" i="208"/>
  <c r="V177" i="208"/>
  <c r="V213" i="208"/>
  <c r="F280" i="208"/>
  <c r="T280" i="208" s="1"/>
  <c r="AB33" i="208"/>
  <c r="AB69" i="208"/>
  <c r="AB105" i="208"/>
  <c r="AB141" i="208"/>
  <c r="AB177" i="208"/>
  <c r="AB213" i="208"/>
  <c r="AB249" i="208"/>
  <c r="AE280" i="208"/>
  <c r="AE103" i="208"/>
  <c r="V168" i="208"/>
  <c r="V6" i="208"/>
  <c r="V114" i="208"/>
  <c r="V222" i="208"/>
  <c r="AF280" i="208"/>
  <c r="V240" i="208"/>
  <c r="V42" i="208"/>
  <c r="V78" i="208"/>
  <c r="V150" i="208"/>
  <c r="V186" i="208"/>
  <c r="AA24" i="208"/>
  <c r="AA60" i="208"/>
  <c r="AA96" i="208"/>
  <c r="AA132" i="208"/>
  <c r="AA168" i="208"/>
  <c r="AA204" i="208"/>
  <c r="AA240" i="208"/>
  <c r="L71" i="16"/>
  <c r="AB188" i="208"/>
  <c r="AB206" i="208"/>
  <c r="AA224" i="208"/>
  <c r="AA242" i="208"/>
  <c r="L78" i="16"/>
  <c r="AB260" i="208"/>
  <c r="L43" i="16"/>
  <c r="AE8" i="208"/>
  <c r="AE26" i="208"/>
  <c r="AE44" i="208"/>
  <c r="AE62" i="208"/>
  <c r="AE80" i="208"/>
  <c r="AE98" i="208"/>
  <c r="AE116" i="208"/>
  <c r="AE134" i="208"/>
  <c r="AE152" i="208"/>
  <c r="AE170" i="208"/>
  <c r="AE188" i="208"/>
  <c r="AE206" i="208"/>
  <c r="AE224" i="208"/>
  <c r="AE242" i="208"/>
  <c r="AE260" i="208"/>
  <c r="H830" i="46"/>
  <c r="K830" i="46" s="1"/>
  <c r="H858" i="46"/>
  <c r="K858" i="46" s="1"/>
  <c r="H348" i="46"/>
  <c r="K348" i="46" s="1"/>
  <c r="J348" i="46" s="1"/>
  <c r="H1092" i="46"/>
  <c r="K1092" i="46" s="1"/>
  <c r="H950" i="46"/>
  <c r="K950" i="46" s="1"/>
  <c r="H898" i="46"/>
  <c r="K898" i="46" s="1"/>
  <c r="H829" i="46"/>
  <c r="K829" i="46" s="1"/>
  <c r="H839" i="46"/>
  <c r="K839" i="46" s="1"/>
  <c r="H775" i="46"/>
  <c r="K775" i="46" s="1"/>
  <c r="H614" i="46"/>
  <c r="K614" i="46" s="1"/>
  <c r="H402" i="46"/>
  <c r="K402" i="46" s="1"/>
  <c r="J402" i="46" s="1"/>
  <c r="H341" i="46"/>
  <c r="K341" i="46" s="1"/>
  <c r="J341" i="46" s="1"/>
  <c r="H1144" i="46"/>
  <c r="K1144" i="46" s="1"/>
  <c r="H1090" i="46"/>
  <c r="H1042" i="46"/>
  <c r="K1042" i="46" s="1"/>
  <c r="H1035" i="46"/>
  <c r="K1035" i="46" s="1"/>
  <c r="H1040" i="46"/>
  <c r="H970" i="46"/>
  <c r="K970" i="46" s="1"/>
  <c r="H894" i="46"/>
  <c r="K894" i="46" s="1"/>
  <c r="H831" i="46"/>
  <c r="K831" i="46" s="1"/>
  <c r="H791" i="46"/>
  <c r="K791" i="46" s="1"/>
  <c r="H729" i="46"/>
  <c r="K729" i="46" s="1"/>
  <c r="H644" i="46"/>
  <c r="H526" i="46"/>
  <c r="K526" i="46" s="1"/>
  <c r="H547" i="46"/>
  <c r="K547" i="46" s="1"/>
  <c r="H552" i="46"/>
  <c r="H424" i="46"/>
  <c r="K424" i="46" s="1"/>
  <c r="J424" i="46" s="1"/>
  <c r="H401" i="46"/>
  <c r="K401" i="46" s="1"/>
  <c r="J401" i="46" s="1"/>
  <c r="H353" i="46"/>
  <c r="H350" i="46"/>
  <c r="K350" i="46" s="1"/>
  <c r="J350" i="46" s="1"/>
  <c r="H1078" i="46"/>
  <c r="K1078" i="46" s="1"/>
  <c r="H859" i="46"/>
  <c r="K859" i="46" s="1"/>
  <c r="H406" i="46"/>
  <c r="K406" i="46" s="1"/>
  <c r="J406" i="46" s="1"/>
  <c r="H1156" i="46"/>
  <c r="K1156" i="46" s="1"/>
  <c r="H1101" i="46"/>
  <c r="H1022" i="46"/>
  <c r="K1022" i="46" s="1"/>
  <c r="H781" i="46"/>
  <c r="K781" i="46" s="1"/>
  <c r="H603" i="46"/>
  <c r="K603" i="46" s="1"/>
  <c r="H534" i="46"/>
  <c r="K534" i="46" s="1"/>
  <c r="H414" i="46"/>
  <c r="H599" i="46"/>
  <c r="K599" i="46" s="1"/>
  <c r="H484" i="46"/>
  <c r="H430" i="46"/>
  <c r="H907" i="46"/>
  <c r="H892" i="46"/>
  <c r="K892" i="46" s="1"/>
  <c r="H769" i="46"/>
  <c r="K769" i="46" s="1"/>
  <c r="H1146" i="46"/>
  <c r="H1072" i="46"/>
  <c r="K1072" i="46" s="1"/>
  <c r="H951" i="46"/>
  <c r="K951" i="46" s="1"/>
  <c r="H785" i="46"/>
  <c r="H524" i="46"/>
  <c r="K524" i="46" s="1"/>
  <c r="H467" i="46"/>
  <c r="K467" i="46" s="1"/>
  <c r="H421" i="46"/>
  <c r="K421" i="46" s="1"/>
  <c r="J421" i="46" s="1"/>
  <c r="H342" i="46"/>
  <c r="K342" i="46" s="1"/>
  <c r="J342" i="46" s="1"/>
  <c r="H1153" i="46"/>
  <c r="K1153" i="46" s="1"/>
  <c r="H1010" i="46"/>
  <c r="H964" i="46"/>
  <c r="K964" i="46" s="1"/>
  <c r="H903" i="46"/>
  <c r="K903" i="46" s="1"/>
  <c r="H900" i="46"/>
  <c r="K900" i="46" s="1"/>
  <c r="H837" i="46"/>
  <c r="K837" i="46" s="1"/>
  <c r="H706" i="46"/>
  <c r="K706" i="46" s="1"/>
  <c r="H650" i="46"/>
  <c r="K650" i="46" s="1"/>
  <c r="H588" i="46"/>
  <c r="K588" i="46" s="1"/>
  <c r="H532" i="46"/>
  <c r="K532" i="46" s="1"/>
  <c r="H522" i="46"/>
  <c r="H407" i="46"/>
  <c r="K407" i="46" s="1"/>
  <c r="J407" i="46" s="1"/>
  <c r="H362" i="46"/>
  <c r="H359" i="46"/>
  <c r="K359" i="46" s="1"/>
  <c r="J359" i="46" s="1"/>
  <c r="H355" i="46"/>
  <c r="K355" i="46" s="1"/>
  <c r="J355" i="46" s="1"/>
  <c r="H1164" i="46"/>
  <c r="K1164" i="46" s="1"/>
  <c r="H956" i="46"/>
  <c r="K956" i="46" s="1"/>
  <c r="H768" i="46"/>
  <c r="K768" i="46" s="1"/>
  <c r="H585" i="46"/>
  <c r="K585" i="46" s="1"/>
  <c r="H469" i="46"/>
  <c r="K469" i="46" s="1"/>
  <c r="H773" i="46"/>
  <c r="K773" i="46" s="1"/>
  <c r="H665" i="46"/>
  <c r="K665" i="46" s="1"/>
  <c r="H472" i="46"/>
  <c r="K472" i="46" s="1"/>
  <c r="H537" i="46"/>
  <c r="K537" i="46" s="1"/>
  <c r="H481" i="46"/>
  <c r="H343" i="46"/>
  <c r="K343" i="46" s="1"/>
  <c r="J343" i="46" s="1"/>
  <c r="H789" i="46"/>
  <c r="H1077" i="46"/>
  <c r="K1077" i="46" s="1"/>
  <c r="H1163" i="46"/>
  <c r="K1163" i="46" s="1"/>
  <c r="H1086" i="46"/>
  <c r="K1086" i="46" s="1"/>
  <c r="H952" i="46"/>
  <c r="K952" i="46" s="1"/>
  <c r="H911" i="46"/>
  <c r="H832" i="46"/>
  <c r="K832" i="46" s="1"/>
  <c r="H850" i="46"/>
  <c r="H798" i="46"/>
  <c r="K798" i="46" s="1"/>
  <c r="H584" i="46"/>
  <c r="K584" i="46" s="1"/>
  <c r="H461" i="46"/>
  <c r="H480" i="46"/>
  <c r="K480" i="46" s="1"/>
  <c r="H403" i="46"/>
  <c r="K403" i="46" s="1"/>
  <c r="J403" i="46" s="1"/>
  <c r="H346" i="46"/>
  <c r="K346" i="46" s="1"/>
  <c r="J346" i="46" s="1"/>
  <c r="H1147" i="46"/>
  <c r="K1147" i="46" s="1"/>
  <c r="H1014" i="46"/>
  <c r="K1014" i="46" s="1"/>
  <c r="H1016" i="46"/>
  <c r="K1016" i="46" s="1"/>
  <c r="H973" i="46"/>
  <c r="K973" i="46" s="1"/>
  <c r="H909" i="46"/>
  <c r="K909" i="46" s="1"/>
  <c r="H767" i="46"/>
  <c r="K767" i="46" s="1"/>
  <c r="H712" i="46"/>
  <c r="K712" i="46" s="1"/>
  <c r="H656" i="46"/>
  <c r="K656" i="46" s="1"/>
  <c r="H615" i="46"/>
  <c r="K615" i="46" s="1"/>
  <c r="H594" i="46"/>
  <c r="K594" i="46" s="1"/>
  <c r="H541" i="46"/>
  <c r="H528" i="46"/>
  <c r="K528" i="46" s="1"/>
  <c r="H466" i="46"/>
  <c r="K466" i="46" s="1"/>
  <c r="H405" i="46"/>
  <c r="K405" i="46" s="1"/>
  <c r="J405" i="46" s="1"/>
  <c r="H371" i="46"/>
  <c r="H766" i="46"/>
  <c r="H1030" i="46"/>
  <c r="K1030" i="46" s="1"/>
  <c r="H1020" i="46"/>
  <c r="K1020" i="46" s="1"/>
  <c r="H912" i="46"/>
  <c r="K912" i="46" s="1"/>
  <c r="H846" i="46"/>
  <c r="H719" i="46"/>
  <c r="H613" i="46"/>
  <c r="H475" i="46"/>
  <c r="H411" i="46"/>
  <c r="K411" i="46" s="1"/>
  <c r="J411" i="46" s="1"/>
  <c r="H364" i="46"/>
  <c r="K364" i="46" s="1"/>
  <c r="J364" i="46" s="1"/>
  <c r="H423" i="46"/>
  <c r="H339" i="46"/>
  <c r="H1095" i="46"/>
  <c r="K1095" i="46" s="1"/>
  <c r="H1080" i="46"/>
  <c r="K1080" i="46" s="1"/>
  <c r="H592" i="46"/>
  <c r="K592" i="46" s="1"/>
  <c r="H1133" i="46"/>
  <c r="K1133" i="46" s="1"/>
  <c r="H1012" i="46"/>
  <c r="K1012" i="46" s="1"/>
  <c r="H902" i="46"/>
  <c r="H787" i="46"/>
  <c r="K787" i="46" s="1"/>
  <c r="H646" i="46"/>
  <c r="K646" i="46" s="1"/>
  <c r="H590" i="46"/>
  <c r="K590" i="46" s="1"/>
  <c r="H482" i="46"/>
  <c r="K482" i="46" s="1"/>
  <c r="H408" i="46"/>
  <c r="K408" i="46" s="1"/>
  <c r="J408" i="46" s="1"/>
  <c r="H1076" i="46"/>
  <c r="K1076" i="46" s="1"/>
  <c r="H1029" i="46"/>
  <c r="H1031" i="46"/>
  <c r="K1031" i="46" s="1"/>
  <c r="H963" i="46"/>
  <c r="H954" i="46"/>
  <c r="K954" i="46" s="1"/>
  <c r="H889" i="46"/>
  <c r="K889" i="46" s="1"/>
  <c r="H828" i="46"/>
  <c r="K828" i="46" s="1"/>
  <c r="H790" i="46"/>
  <c r="K790" i="46" s="1"/>
  <c r="H728" i="46"/>
  <c r="H721" i="46"/>
  <c r="K721" i="46" s="1"/>
  <c r="H659" i="46"/>
  <c r="K659" i="46" s="1"/>
  <c r="H587" i="46"/>
  <c r="K587" i="46" s="1"/>
  <c r="H543" i="46"/>
  <c r="K543" i="46" s="1"/>
  <c r="H420" i="46"/>
  <c r="K420" i="46" s="1"/>
  <c r="J420" i="46" s="1"/>
  <c r="H586" i="46"/>
  <c r="K586" i="46" s="1"/>
  <c r="H736" i="46"/>
  <c r="K736" i="46" s="1"/>
  <c r="H1102" i="46"/>
  <c r="K1102" i="46" s="1"/>
  <c r="H1135" i="46"/>
  <c r="K1135" i="46" s="1"/>
  <c r="H1015" i="46"/>
  <c r="K1015" i="46" s="1"/>
  <c r="H958" i="46"/>
  <c r="K958" i="46" s="1"/>
  <c r="H833" i="46"/>
  <c r="K833" i="46" s="1"/>
  <c r="H770" i="46"/>
  <c r="K770" i="46" s="1"/>
  <c r="H776" i="46"/>
  <c r="K776" i="46" s="1"/>
  <c r="H647" i="46"/>
  <c r="K647" i="46" s="1"/>
  <c r="H591" i="46"/>
  <c r="K591" i="46" s="1"/>
  <c r="H463" i="46"/>
  <c r="K463" i="46" s="1"/>
  <c r="H470" i="46"/>
  <c r="K470" i="46" s="1"/>
  <c r="H409" i="46"/>
  <c r="K409" i="46" s="1"/>
  <c r="J409" i="46" s="1"/>
  <c r="H1137" i="46"/>
  <c r="K1137" i="46" s="1"/>
  <c r="H1082" i="46"/>
  <c r="K1082" i="46" s="1"/>
  <c r="H1013" i="46"/>
  <c r="K1013" i="46" s="1"/>
  <c r="H972" i="46"/>
  <c r="H960" i="46"/>
  <c r="K960" i="46" s="1"/>
  <c r="H895" i="46"/>
  <c r="K895" i="46" s="1"/>
  <c r="H842" i="46"/>
  <c r="K842" i="46" s="1"/>
  <c r="H834" i="46"/>
  <c r="K834" i="46" s="1"/>
  <c r="H737" i="46"/>
  <c r="K737" i="46" s="1"/>
  <c r="H730" i="46"/>
  <c r="K730" i="46" s="1"/>
  <c r="H735" i="46"/>
  <c r="H668" i="46"/>
  <c r="K668" i="46" s="1"/>
  <c r="H593" i="46"/>
  <c r="K593" i="46" s="1"/>
  <c r="H608" i="46"/>
  <c r="K608" i="46" s="1"/>
  <c r="H546" i="46"/>
  <c r="K546" i="46" s="1"/>
  <c r="H493" i="46"/>
  <c r="K493" i="46" s="1"/>
  <c r="H477" i="46"/>
  <c r="K477" i="46" s="1"/>
  <c r="H432" i="46"/>
  <c r="K432" i="46" s="1"/>
  <c r="J432" i="46" s="1"/>
  <c r="H416" i="46"/>
  <c r="K416" i="46" s="1"/>
  <c r="J416" i="46" s="1"/>
  <c r="H349" i="46"/>
  <c r="K349" i="46" s="1"/>
  <c r="J349" i="46" s="1"/>
  <c r="H345" i="46"/>
  <c r="K345" i="46" s="1"/>
  <c r="J345" i="46" s="1"/>
  <c r="H486" i="46"/>
  <c r="K486" i="46" s="1"/>
  <c r="H425" i="46"/>
  <c r="K425" i="46" s="1"/>
  <c r="J425" i="46" s="1"/>
  <c r="H358" i="46"/>
  <c r="H709" i="46"/>
  <c r="K709" i="46" s="1"/>
  <c r="H649" i="46"/>
  <c r="K649" i="46" s="1"/>
  <c r="H602" i="46"/>
  <c r="H536" i="46"/>
  <c r="H462" i="46"/>
  <c r="K462" i="46" s="1"/>
  <c r="H360" i="46"/>
  <c r="K360" i="46" s="1"/>
  <c r="J360" i="46" s="1"/>
  <c r="H607" i="46"/>
  <c r="K607" i="46" s="1"/>
  <c r="H1079" i="46"/>
  <c r="K1079" i="46" s="1"/>
  <c r="H1134" i="46"/>
  <c r="K1134" i="46" s="1"/>
  <c r="H1083" i="46"/>
  <c r="K1083" i="46" s="1"/>
  <c r="H1018" i="46"/>
  <c r="K1018" i="46" s="1"/>
  <c r="H847" i="46"/>
  <c r="K847" i="46" s="1"/>
  <c r="H778" i="46"/>
  <c r="K778" i="46" s="1"/>
  <c r="H652" i="46"/>
  <c r="K652" i="46" s="1"/>
  <c r="H606" i="46"/>
  <c r="H471" i="46"/>
  <c r="K471" i="46" s="1"/>
  <c r="H412" i="46"/>
  <c r="K412" i="46" s="1"/>
  <c r="J412" i="46" s="1"/>
  <c r="H1143" i="46"/>
  <c r="K1143" i="46" s="1"/>
  <c r="H1019" i="46"/>
  <c r="K1019" i="46" s="1"/>
  <c r="H1025" i="46"/>
  <c r="K1025" i="46" s="1"/>
  <c r="H981" i="46"/>
  <c r="K981" i="46" s="1"/>
  <c r="H969" i="46"/>
  <c r="K969" i="46" s="1"/>
  <c r="H979" i="46"/>
  <c r="H893" i="46"/>
  <c r="K893" i="46" s="1"/>
  <c r="H851" i="46"/>
  <c r="K851" i="46" s="1"/>
  <c r="H705" i="46"/>
  <c r="H583" i="46"/>
  <c r="H351" i="46"/>
  <c r="K351" i="46" s="1"/>
  <c r="J351" i="46" s="1"/>
  <c r="H711" i="46"/>
  <c r="K711" i="46" s="1"/>
  <c r="H645" i="46"/>
  <c r="K645" i="46" s="1"/>
  <c r="H589" i="46"/>
  <c r="K589" i="46" s="1"/>
  <c r="H527" i="46"/>
  <c r="K527" i="46" s="1"/>
  <c r="H404" i="46"/>
  <c r="K404" i="46" s="1"/>
  <c r="J404" i="46" s="1"/>
  <c r="H714" i="46"/>
  <c r="K714" i="46" s="1"/>
  <c r="H415" i="46"/>
  <c r="K415" i="46" s="1"/>
  <c r="J415" i="46" s="1"/>
  <c r="H980" i="46"/>
  <c r="K980" i="46" s="1"/>
  <c r="H347" i="46"/>
  <c r="K347" i="46" s="1"/>
  <c r="J347" i="46" s="1"/>
  <c r="H957" i="46"/>
  <c r="K957" i="46" s="1"/>
  <c r="H1136" i="46"/>
  <c r="K1136" i="46" s="1"/>
  <c r="H1094" i="46"/>
  <c r="H1021" i="46"/>
  <c r="K1021" i="46" s="1"/>
  <c r="H891" i="46"/>
  <c r="K891" i="46" s="1"/>
  <c r="H890" i="46"/>
  <c r="K890" i="46" s="1"/>
  <c r="H835" i="46"/>
  <c r="K835" i="46" s="1"/>
  <c r="H772" i="46"/>
  <c r="K772" i="46" s="1"/>
  <c r="H725" i="46"/>
  <c r="K725" i="46" s="1"/>
  <c r="H667" i="46"/>
  <c r="H530" i="46"/>
  <c r="K530" i="46" s="1"/>
  <c r="H464" i="46"/>
  <c r="K464" i="46" s="1"/>
  <c r="H1142" i="46"/>
  <c r="K1142" i="46" s="1"/>
  <c r="H1152" i="46"/>
  <c r="K1152" i="46" s="1"/>
  <c r="H1162" i="46"/>
  <c r="H1091" i="46"/>
  <c r="K1091" i="46" s="1"/>
  <c r="H1034" i="46"/>
  <c r="K1034" i="46" s="1"/>
  <c r="H965" i="46"/>
  <c r="K965" i="46" s="1"/>
  <c r="H899" i="46"/>
  <c r="K899" i="46" s="1"/>
  <c r="H675" i="46"/>
  <c r="K675" i="46" s="1"/>
  <c r="H400" i="46"/>
  <c r="H1103" i="46"/>
  <c r="K1103" i="46" s="1"/>
  <c r="H1139" i="46"/>
  <c r="K1139" i="46" s="1"/>
  <c r="H919" i="46"/>
  <c r="K919" i="46" s="1"/>
  <c r="H848" i="46"/>
  <c r="K848" i="46" s="1"/>
  <c r="H707" i="46"/>
  <c r="K707" i="46" s="1"/>
  <c r="H653" i="46"/>
  <c r="K653" i="46" s="1"/>
  <c r="H531" i="46"/>
  <c r="K531" i="46" s="1"/>
  <c r="H491" i="46"/>
  <c r="H473" i="46"/>
  <c r="K473" i="46" s="1"/>
  <c r="H1148" i="46"/>
  <c r="K1148" i="46" s="1"/>
  <c r="H1011" i="46"/>
  <c r="K1011" i="46" s="1"/>
  <c r="H974" i="46"/>
  <c r="K974" i="46" s="1"/>
  <c r="H920" i="46"/>
  <c r="K920" i="46" s="1"/>
  <c r="H908" i="46"/>
  <c r="K908" i="46" s="1"/>
  <c r="H843" i="46"/>
  <c r="K843" i="46" s="1"/>
  <c r="H857" i="46"/>
  <c r="H771" i="46"/>
  <c r="K771" i="46" s="1"/>
  <c r="H796" i="46"/>
  <c r="H715" i="46"/>
  <c r="K715" i="46" s="1"/>
  <c r="H717" i="46"/>
  <c r="K717" i="46" s="1"/>
  <c r="H648" i="46"/>
  <c r="K648" i="46" s="1"/>
  <c r="H655" i="46"/>
  <c r="K655" i="46" s="1"/>
  <c r="H651" i="46"/>
  <c r="K651" i="46" s="1"/>
  <c r="H595" i="46"/>
  <c r="K595" i="46" s="1"/>
  <c r="H545" i="46"/>
  <c r="H533" i="46"/>
  <c r="K533" i="46" s="1"/>
  <c r="H523" i="46"/>
  <c r="K523" i="46" s="1"/>
  <c r="H468" i="46"/>
  <c r="K468" i="46" s="1"/>
  <c r="H410" i="46"/>
  <c r="K410" i="46" s="1"/>
  <c r="J410" i="46" s="1"/>
  <c r="H354" i="46"/>
  <c r="K354" i="46" s="1"/>
  <c r="J354" i="46" s="1"/>
  <c r="H724" i="46"/>
  <c r="H654" i="46"/>
  <c r="K654" i="46" s="1"/>
  <c r="H604" i="46"/>
  <c r="K604" i="46" s="1"/>
  <c r="H542" i="46"/>
  <c r="K542" i="46" s="1"/>
  <c r="H419" i="46"/>
  <c r="H525" i="46"/>
  <c r="K525" i="46" s="1"/>
  <c r="H340" i="46"/>
  <c r="K340" i="46" s="1"/>
  <c r="J340" i="46" s="1"/>
  <c r="H1096" i="46"/>
  <c r="K1096" i="46" s="1"/>
  <c r="H888" i="46"/>
  <c r="H720" i="46"/>
  <c r="K720" i="46" s="1"/>
  <c r="H674" i="46"/>
  <c r="H485" i="46"/>
  <c r="K485" i="46" s="1"/>
  <c r="H658" i="46"/>
  <c r="H780" i="46"/>
  <c r="H1140" i="46"/>
  <c r="K1140" i="46" s="1"/>
  <c r="H1071" i="46"/>
  <c r="H1041" i="46"/>
  <c r="K1041" i="46" s="1"/>
  <c r="H827" i="46"/>
  <c r="H836" i="46"/>
  <c r="K836" i="46" s="1"/>
  <c r="H774" i="46"/>
  <c r="K774" i="46" s="1"/>
  <c r="H710" i="46"/>
  <c r="K710" i="46" s="1"/>
  <c r="H369" i="46"/>
  <c r="K369" i="46" s="1"/>
  <c r="J369" i="46" s="1"/>
  <c r="H1151" i="46"/>
  <c r="H1157" i="46"/>
  <c r="K1157" i="46" s="1"/>
  <c r="H1075" i="46"/>
  <c r="K1075" i="46" s="1"/>
  <c r="H1017" i="46"/>
  <c r="K1017" i="46" s="1"/>
  <c r="H953" i="46"/>
  <c r="K953" i="46" s="1"/>
  <c r="H949" i="46"/>
  <c r="H904" i="46"/>
  <c r="K904" i="46" s="1"/>
  <c r="H918" i="46"/>
  <c r="H852" i="46"/>
  <c r="K852" i="46" s="1"/>
  <c r="H777" i="46"/>
  <c r="K777" i="46" s="1"/>
  <c r="H726" i="46"/>
  <c r="K726" i="46" s="1"/>
  <c r="H664" i="46"/>
  <c r="K664" i="46" s="1"/>
  <c r="H554" i="46"/>
  <c r="K554" i="46" s="1"/>
  <c r="H529" i="46"/>
  <c r="K529" i="46" s="1"/>
  <c r="H363" i="46"/>
  <c r="K363" i="46" s="1"/>
  <c r="J363" i="46" s="1"/>
  <c r="H716" i="46"/>
  <c r="K716" i="46" s="1"/>
  <c r="H1138" i="46"/>
  <c r="K1138" i="46" s="1"/>
  <c r="H1026" i="46"/>
  <c r="K1026" i="46" s="1"/>
  <c r="H961" i="46"/>
  <c r="K961" i="46" s="1"/>
  <c r="H782" i="46"/>
  <c r="K782" i="46" s="1"/>
  <c r="H669" i="46"/>
  <c r="K669" i="46" s="1"/>
  <c r="H676" i="46"/>
  <c r="K676" i="46" s="1"/>
  <c r="H1073" i="46"/>
  <c r="K1073" i="46" s="1"/>
  <c r="H1155" i="46"/>
  <c r="H1085" i="46"/>
  <c r="H896" i="46"/>
  <c r="K896" i="46" s="1"/>
  <c r="H841" i="46"/>
  <c r="H838" i="46"/>
  <c r="K838" i="46" s="1"/>
  <c r="H713" i="46"/>
  <c r="K713" i="46" s="1"/>
  <c r="H553" i="46"/>
  <c r="K553" i="46" s="1"/>
  <c r="H465" i="46"/>
  <c r="K465" i="46" s="1"/>
  <c r="H431" i="46"/>
  <c r="K431" i="46" s="1"/>
  <c r="J431" i="46" s="1"/>
  <c r="H370" i="46"/>
  <c r="K370" i="46" s="1"/>
  <c r="J370" i="46" s="1"/>
  <c r="H1132" i="46"/>
  <c r="H1081" i="46"/>
  <c r="K1081" i="46" s="1"/>
  <c r="H1087" i="46"/>
  <c r="K1087" i="46" s="1"/>
  <c r="H1024" i="46"/>
  <c r="H959" i="46"/>
  <c r="K959" i="46" s="1"/>
  <c r="H955" i="46"/>
  <c r="K955" i="46" s="1"/>
  <c r="H913" i="46"/>
  <c r="K913" i="46" s="1"/>
  <c r="H786" i="46"/>
  <c r="K786" i="46" s="1"/>
  <c r="H708" i="46"/>
  <c r="K708" i="46" s="1"/>
  <c r="H660" i="46"/>
  <c r="K660" i="46" s="1"/>
  <c r="H598" i="46"/>
  <c r="K598" i="46" s="1"/>
  <c r="H476" i="46"/>
  <c r="K476" i="46" s="1"/>
  <c r="H1074" i="46"/>
  <c r="K1074" i="46" s="1"/>
  <c r="H1141" i="46"/>
  <c r="K1141" i="46" s="1"/>
  <c r="H897" i="46"/>
  <c r="K897" i="46" s="1"/>
  <c r="H797" i="46"/>
  <c r="K797" i="46" s="1"/>
  <c r="H597" i="46"/>
  <c r="H492" i="46"/>
  <c r="K492" i="46" s="1"/>
  <c r="H1033" i="46"/>
  <c r="H968" i="46"/>
  <c r="H663" i="46"/>
  <c r="H538" i="46"/>
  <c r="K538" i="46" s="1"/>
  <c r="H344" i="46"/>
  <c r="K344" i="46" s="1"/>
  <c r="J344" i="46" s="1"/>
  <c r="H288" i="46"/>
  <c r="K288" i="46" s="1"/>
  <c r="J288" i="46" s="1"/>
  <c r="H290" i="46"/>
  <c r="K290" i="46" s="1"/>
  <c r="J290" i="46" s="1"/>
  <c r="H232" i="46"/>
  <c r="K232" i="46" s="1"/>
  <c r="J232" i="46" s="1"/>
  <c r="H248" i="46"/>
  <c r="K248" i="46" s="1"/>
  <c r="J248" i="46" s="1"/>
  <c r="H241" i="46"/>
  <c r="K241" i="46" s="1"/>
  <c r="J241" i="46" s="1"/>
  <c r="H227" i="46"/>
  <c r="K227" i="46" s="1"/>
  <c r="J227" i="46" s="1"/>
  <c r="H299" i="46"/>
  <c r="K299" i="46" s="1"/>
  <c r="J299" i="46" s="1"/>
  <c r="H226" i="46"/>
  <c r="K226" i="46" s="1"/>
  <c r="J226" i="46" s="1"/>
  <c r="H231" i="46"/>
  <c r="H293" i="46"/>
  <c r="K293" i="46" s="1"/>
  <c r="J293" i="46" s="1"/>
  <c r="H236" i="46"/>
  <c r="H222" i="46"/>
  <c r="K222" i="46" s="1"/>
  <c r="J222" i="46" s="1"/>
  <c r="H228" i="46"/>
  <c r="K228" i="46" s="1"/>
  <c r="J228" i="46" s="1"/>
  <c r="H285" i="46"/>
  <c r="K285" i="46" s="1"/>
  <c r="J285" i="46" s="1"/>
  <c r="H279" i="46"/>
  <c r="K279" i="46" s="1"/>
  <c r="J279" i="46" s="1"/>
  <c r="H309" i="46"/>
  <c r="K309" i="46" s="1"/>
  <c r="J309" i="46" s="1"/>
  <c r="H302" i="46"/>
  <c r="K302" i="46" s="1"/>
  <c r="J302" i="46" s="1"/>
  <c r="H221" i="46"/>
  <c r="K221" i="46" s="1"/>
  <c r="J221" i="46" s="1"/>
  <c r="H249" i="46"/>
  <c r="K249" i="46" s="1"/>
  <c r="J249" i="46" s="1"/>
  <c r="H237" i="46"/>
  <c r="K237" i="46" s="1"/>
  <c r="J237" i="46" s="1"/>
  <c r="H281" i="46"/>
  <c r="K281" i="46" s="1"/>
  <c r="J281" i="46" s="1"/>
  <c r="H283" i="46"/>
  <c r="K283" i="46" s="1"/>
  <c r="J283" i="46" s="1"/>
  <c r="H280" i="46"/>
  <c r="K280" i="46" s="1"/>
  <c r="J280" i="46" s="1"/>
  <c r="H297" i="46"/>
  <c r="H289" i="46"/>
  <c r="K289" i="46" s="1"/>
  <c r="J289" i="46" s="1"/>
  <c r="H224" i="46"/>
  <c r="K224" i="46" s="1"/>
  <c r="J224" i="46" s="1"/>
  <c r="H242" i="46"/>
  <c r="K242" i="46" s="1"/>
  <c r="J242" i="46" s="1"/>
  <c r="H282" i="46"/>
  <c r="K282" i="46" s="1"/>
  <c r="J282" i="46" s="1"/>
  <c r="H292" i="46"/>
  <c r="H298" i="46"/>
  <c r="K298" i="46" s="1"/>
  <c r="J298" i="46" s="1"/>
  <c r="H218" i="46"/>
  <c r="K218" i="46" s="1"/>
  <c r="J218" i="46" s="1"/>
  <c r="H217" i="46"/>
  <c r="H229" i="46"/>
  <c r="K229" i="46" s="1"/>
  <c r="J229" i="46" s="1"/>
  <c r="H233" i="46"/>
  <c r="K233" i="46" s="1"/>
  <c r="J233" i="46" s="1"/>
  <c r="H286" i="46"/>
  <c r="K286" i="46" s="1"/>
  <c r="J286" i="46" s="1"/>
  <c r="H301" i="46"/>
  <c r="H294" i="46"/>
  <c r="K294" i="46" s="1"/>
  <c r="J294" i="46" s="1"/>
  <c r="H247" i="46"/>
  <c r="H240" i="46"/>
  <c r="H223" i="46"/>
  <c r="K223" i="46" s="1"/>
  <c r="J223" i="46" s="1"/>
  <c r="H225" i="46"/>
  <c r="K225" i="46" s="1"/>
  <c r="J225" i="46" s="1"/>
  <c r="H310" i="46"/>
  <c r="K310" i="46" s="1"/>
  <c r="J310" i="46" s="1"/>
  <c r="H303" i="46"/>
  <c r="K303" i="46" s="1"/>
  <c r="J303" i="46" s="1"/>
  <c r="H308" i="46"/>
  <c r="H220" i="46"/>
  <c r="K220" i="46" s="1"/>
  <c r="J220" i="46" s="1"/>
  <c r="H287" i="46"/>
  <c r="K287" i="46" s="1"/>
  <c r="J287" i="46" s="1"/>
  <c r="H278" i="46"/>
  <c r="H219" i="46"/>
  <c r="K219" i="46" s="1"/>
  <c r="J219" i="46" s="1"/>
  <c r="H238" i="46"/>
  <c r="K238" i="46" s="1"/>
  <c r="J238" i="46" s="1"/>
  <c r="H284" i="46"/>
  <c r="K284" i="46" s="1"/>
  <c r="J284" i="46" s="1"/>
  <c r="H168" i="46"/>
  <c r="K168" i="46" s="1"/>
  <c r="J168" i="46" s="1"/>
  <c r="H181" i="46"/>
  <c r="K181" i="46" s="1"/>
  <c r="J181" i="46" s="1"/>
  <c r="H157" i="46"/>
  <c r="K157" i="46" s="1"/>
  <c r="J157" i="46" s="1"/>
  <c r="H158" i="46"/>
  <c r="K158" i="46" s="1"/>
  <c r="J158" i="46" s="1"/>
  <c r="H161" i="46"/>
  <c r="K161" i="46" s="1"/>
  <c r="J161" i="46" s="1"/>
  <c r="H170" i="46"/>
  <c r="K170" i="46" s="1"/>
  <c r="J170" i="46" s="1"/>
  <c r="H159" i="46"/>
  <c r="K159" i="46" s="1"/>
  <c r="J159" i="46" s="1"/>
  <c r="H171" i="46"/>
  <c r="K171" i="46" s="1"/>
  <c r="J171" i="46" s="1"/>
  <c r="H160" i="46"/>
  <c r="K160" i="46" s="1"/>
  <c r="J160" i="46" s="1"/>
  <c r="H186" i="46"/>
  <c r="K186" i="46" s="1"/>
  <c r="J186" i="46" s="1"/>
  <c r="H162" i="46"/>
  <c r="K162" i="46" s="1"/>
  <c r="J162" i="46" s="1"/>
  <c r="H187" i="46"/>
  <c r="K187" i="46" s="1"/>
  <c r="J187" i="46" s="1"/>
  <c r="H163" i="46"/>
  <c r="K163" i="46" s="1"/>
  <c r="J163" i="46" s="1"/>
  <c r="H156" i="46"/>
  <c r="H188" i="46"/>
  <c r="K188" i="46" s="1"/>
  <c r="J188" i="46" s="1"/>
  <c r="H164" i="46"/>
  <c r="K164" i="46" s="1"/>
  <c r="J164" i="46" s="1"/>
  <c r="H180" i="46"/>
  <c r="K180" i="46" s="1"/>
  <c r="J180" i="46" s="1"/>
  <c r="H172" i="46"/>
  <c r="K172" i="46" s="1"/>
  <c r="J172" i="46" s="1"/>
  <c r="H179" i="46"/>
  <c r="K179" i="46" s="1"/>
  <c r="J179" i="46" s="1"/>
  <c r="H175" i="46"/>
  <c r="H165" i="46"/>
  <c r="K165" i="46" s="1"/>
  <c r="J165" i="46" s="1"/>
  <c r="H177" i="46"/>
  <c r="K177" i="46" s="1"/>
  <c r="J177" i="46" s="1"/>
  <c r="H176" i="46"/>
  <c r="K176" i="46" s="1"/>
  <c r="J176" i="46" s="1"/>
  <c r="H166" i="46"/>
  <c r="K166" i="46" s="1"/>
  <c r="J166" i="46" s="1"/>
  <c r="H167" i="46"/>
  <c r="K167" i="46" s="1"/>
  <c r="J167" i="46" s="1"/>
  <c r="E35" i="33"/>
  <c r="E27" i="33"/>
  <c r="F27" i="33" s="1"/>
  <c r="E19" i="33"/>
  <c r="F19" i="33" s="1"/>
  <c r="E21" i="33"/>
  <c r="F21" i="33" s="1"/>
  <c r="E17" i="33"/>
  <c r="F17" i="33" s="1"/>
  <c r="E15" i="33"/>
  <c r="F15" i="33" s="1"/>
  <c r="E20" i="33"/>
  <c r="F20" i="33" s="1"/>
  <c r="E28" i="33"/>
  <c r="F28" i="33" s="1"/>
  <c r="E31" i="33"/>
  <c r="E22" i="33"/>
  <c r="F22" i="33" s="1"/>
  <c r="E26" i="33"/>
  <c r="F26" i="33" s="1"/>
  <c r="E33" i="33"/>
  <c r="F33" i="33" s="1"/>
  <c r="E18" i="33"/>
  <c r="F18" i="33" s="1"/>
  <c r="E23" i="33"/>
  <c r="F23" i="33" s="1"/>
  <c r="E42" i="33"/>
  <c r="E36" i="33"/>
  <c r="F36" i="33" s="1"/>
  <c r="E12" i="33"/>
  <c r="F12" i="33" s="1"/>
  <c r="E14" i="33"/>
  <c r="F14" i="33" s="1"/>
  <c r="E32" i="33"/>
  <c r="F32" i="33" s="1"/>
  <c r="E16" i="33"/>
  <c r="F16" i="33" s="1"/>
  <c r="E43" i="33"/>
  <c r="F43" i="33" s="1"/>
  <c r="E37" i="33"/>
  <c r="F37" i="33" s="1"/>
  <c r="E24" i="33"/>
  <c r="F24" i="33" s="1"/>
  <c r="E44" i="33"/>
  <c r="F44" i="33" s="1"/>
  <c r="E13" i="33"/>
  <c r="F13" i="33" s="1"/>
  <c r="L113" i="16"/>
  <c r="AA17" i="208"/>
  <c r="AA35" i="208"/>
  <c r="AA53" i="208"/>
  <c r="AA71" i="208"/>
  <c r="AA89" i="208"/>
  <c r="AA107" i="208"/>
  <c r="AA125" i="208"/>
  <c r="AA143" i="208"/>
  <c r="AA161" i="208"/>
  <c r="AA179" i="208"/>
  <c r="AF8" i="208"/>
  <c r="AF26" i="208"/>
  <c r="AF44" i="208"/>
  <c r="AF62" i="208"/>
  <c r="AF80" i="208"/>
  <c r="AF98" i="208"/>
  <c r="AF116" i="208"/>
  <c r="AF134" i="208"/>
  <c r="AF152" i="208"/>
  <c r="AF170" i="208"/>
  <c r="F289" i="208"/>
  <c r="T289" i="208" s="1"/>
  <c r="L85" i="16"/>
  <c r="AA279" i="208"/>
  <c r="AB17" i="208"/>
  <c r="AB35" i="208"/>
  <c r="AB53" i="208"/>
  <c r="AB71" i="208"/>
  <c r="AB89" i="208"/>
  <c r="AB107" i="208"/>
  <c r="AB125" i="208"/>
  <c r="AB143" i="208"/>
  <c r="AB161" i="208"/>
  <c r="AB179" i="208"/>
  <c r="AA197" i="208"/>
  <c r="AA215" i="208"/>
  <c r="AE279" i="208"/>
  <c r="AB279" i="208"/>
  <c r="L50" i="16"/>
  <c r="F279" i="208"/>
  <c r="T279" i="208" s="1"/>
  <c r="AB233" i="208"/>
  <c r="AB251" i="208"/>
  <c r="AA269" i="208"/>
  <c r="AA289" i="208"/>
  <c r="L120" i="16"/>
  <c r="L64" i="16"/>
  <c r="L92" i="16"/>
  <c r="AA8" i="208"/>
  <c r="AB269" i="208"/>
  <c r="AB289" i="208"/>
  <c r="V279" i="208"/>
  <c r="L29" i="16"/>
  <c r="L57" i="16"/>
  <c r="AB8" i="208"/>
  <c r="AE17" i="208"/>
  <c r="AE35" i="208"/>
  <c r="AE53" i="208"/>
  <c r="AE71" i="208"/>
  <c r="AE89" i="208"/>
  <c r="AE107" i="208"/>
  <c r="AE125" i="208"/>
  <c r="AE143" i="208"/>
  <c r="AE161" i="208"/>
  <c r="AE179" i="208"/>
  <c r="AE197" i="208"/>
  <c r="AE215" i="208"/>
  <c r="AE233" i="208"/>
  <c r="AE251" i="208"/>
  <c r="AE269" i="208"/>
  <c r="AE289" i="208"/>
  <c r="L36" i="16"/>
  <c r="I22" i="33"/>
  <c r="I14" i="33"/>
  <c r="I35" i="33"/>
  <c r="H37" i="33"/>
  <c r="I36" i="33"/>
  <c r="H24" i="33"/>
  <c r="G13" i="33"/>
  <c r="I15" i="33"/>
  <c r="H18" i="33"/>
  <c r="G32" i="33"/>
  <c r="H35" i="33"/>
  <c r="I31" i="33"/>
  <c r="H31" i="33"/>
  <c r="I23" i="33"/>
  <c r="G24" i="33"/>
  <c r="G14" i="33"/>
  <c r="I37" i="33"/>
  <c r="I24" i="33"/>
  <c r="G17" i="33"/>
  <c r="G26" i="33"/>
  <c r="H15" i="33"/>
  <c r="H19" i="33"/>
  <c r="G27" i="33"/>
  <c r="H44" i="33"/>
  <c r="H23" i="33"/>
  <c r="G36" i="33"/>
  <c r="H16" i="33"/>
  <c r="G21" i="33"/>
  <c r="I27" i="33"/>
  <c r="I42" i="33"/>
  <c r="G33" i="33"/>
  <c r="G42" i="33"/>
  <c r="H13" i="33"/>
  <c r="G15" i="33"/>
  <c r="I13" i="33"/>
  <c r="I28" i="33"/>
  <c r="G20" i="33"/>
  <c r="I17" i="33"/>
  <c r="H20" i="33"/>
  <c r="H43" i="33"/>
  <c r="H26" i="33"/>
  <c r="G44" i="33"/>
  <c r="I44" i="33"/>
  <c r="I12" i="33"/>
  <c r="H14" i="33"/>
  <c r="G35" i="33"/>
  <c r="H42" i="33"/>
  <c r="H33" i="33"/>
  <c r="G22" i="33"/>
  <c r="G16" i="33"/>
  <c r="I19" i="33"/>
  <c r="H32" i="33"/>
  <c r="H17" i="33"/>
  <c r="G23" i="33"/>
  <c r="H27" i="33"/>
  <c r="I16" i="33"/>
  <c r="H22" i="33"/>
  <c r="H36" i="33"/>
  <c r="H28" i="33"/>
  <c r="G18" i="33"/>
  <c r="G19" i="33"/>
  <c r="I18" i="33"/>
  <c r="I21" i="33"/>
  <c r="G12" i="33"/>
  <c r="H21" i="33"/>
  <c r="I43" i="33"/>
  <c r="G43" i="33"/>
  <c r="I33" i="33"/>
  <c r="I26" i="33"/>
  <c r="G28" i="33"/>
  <c r="I32" i="33"/>
  <c r="I20" i="33"/>
  <c r="G37" i="33"/>
  <c r="G31" i="33"/>
  <c r="H12" i="33"/>
  <c r="V2" i="208"/>
  <c r="AF2" i="208"/>
  <c r="AE2" i="208"/>
  <c r="E128" i="17"/>
  <c r="F128" i="17" s="1"/>
  <c r="E85" i="17"/>
  <c r="F85" i="17" s="1"/>
  <c r="E80" i="17"/>
  <c r="F80" i="17" s="1"/>
  <c r="E66" i="17"/>
  <c r="E56" i="17"/>
  <c r="F56" i="17" s="1"/>
  <c r="E87" i="17"/>
  <c r="F87" i="17" s="1"/>
  <c r="E73" i="17"/>
  <c r="E141" i="17"/>
  <c r="F141" i="17" s="1"/>
  <c r="E138" i="17"/>
  <c r="F138" i="17" s="1"/>
  <c r="E125" i="17"/>
  <c r="F125" i="17" s="1"/>
  <c r="E109" i="17"/>
  <c r="E94" i="17"/>
  <c r="F94" i="17" s="1"/>
  <c r="E79" i="17"/>
  <c r="F79" i="17" s="1"/>
  <c r="E137" i="17"/>
  <c r="F137" i="17" s="1"/>
  <c r="E75" i="17"/>
  <c r="F75" i="17" s="1"/>
  <c r="E121" i="17"/>
  <c r="F121" i="17" s="1"/>
  <c r="E91" i="17"/>
  <c r="F91" i="17" s="1"/>
  <c r="E77" i="17"/>
  <c r="E62" i="17"/>
  <c r="F62" i="17" s="1"/>
  <c r="E93" i="17"/>
  <c r="F93" i="17" s="1"/>
  <c r="E134" i="17"/>
  <c r="F134" i="17" s="1"/>
  <c r="E131" i="17"/>
  <c r="E83" i="17"/>
  <c r="F83" i="17" s="1"/>
  <c r="E68" i="17"/>
  <c r="F68" i="17" s="1"/>
  <c r="E64" i="17"/>
  <c r="F64" i="17" s="1"/>
  <c r="E58" i="17"/>
  <c r="F58" i="17" s="1"/>
  <c r="E55" i="17"/>
  <c r="F55" i="17" s="1"/>
  <c r="E124" i="17"/>
  <c r="E140" i="17"/>
  <c r="F140" i="17" s="1"/>
  <c r="E127" i="17"/>
  <c r="F127" i="17" s="1"/>
  <c r="E133" i="17"/>
  <c r="F133" i="17" s="1"/>
  <c r="E120" i="17"/>
  <c r="F120" i="17" s="1"/>
  <c r="E90" i="17"/>
  <c r="F90" i="17" s="1"/>
  <c r="E86" i="17"/>
  <c r="F86" i="17" s="1"/>
  <c r="E70" i="17"/>
  <c r="F70" i="17" s="1"/>
  <c r="E61" i="17"/>
  <c r="F61" i="17" s="1"/>
  <c r="E60" i="17"/>
  <c r="E142" i="17"/>
  <c r="F142" i="17" s="1"/>
  <c r="E129" i="17"/>
  <c r="F129" i="17" s="1"/>
  <c r="E95" i="17"/>
  <c r="F95" i="17" s="1"/>
  <c r="E82" i="17"/>
  <c r="E67" i="17"/>
  <c r="F67" i="17" s="1"/>
  <c r="E57" i="17"/>
  <c r="F57" i="17" s="1"/>
  <c r="E132" i="17"/>
  <c r="F132" i="17" s="1"/>
  <c r="E89" i="17"/>
  <c r="E139" i="17"/>
  <c r="F139" i="17" s="1"/>
  <c r="E126" i="17"/>
  <c r="F126" i="17" s="1"/>
  <c r="E78" i="17"/>
  <c r="F78" i="17" s="1"/>
  <c r="E63" i="17"/>
  <c r="F63" i="17" s="1"/>
  <c r="E54" i="17"/>
  <c r="F54" i="17" s="1"/>
  <c r="E69" i="17"/>
  <c r="F69" i="17" s="1"/>
  <c r="E136" i="17"/>
  <c r="E122" i="17"/>
  <c r="F122" i="17" s="1"/>
  <c r="E92" i="17"/>
  <c r="F92" i="17" s="1"/>
  <c r="E74" i="17"/>
  <c r="F74" i="17" s="1"/>
  <c r="E46" i="17"/>
  <c r="F46" i="17" s="1"/>
  <c r="E40" i="17"/>
  <c r="E33" i="17"/>
  <c r="F33" i="17" s="1"/>
  <c r="E49" i="17"/>
  <c r="F49" i="17" s="1"/>
  <c r="E43" i="17"/>
  <c r="F43" i="17" s="1"/>
  <c r="E36" i="17"/>
  <c r="F36" i="17" s="1"/>
  <c r="E52" i="17"/>
  <c r="F52" i="17" s="1"/>
  <c r="E50" i="17"/>
  <c r="F50" i="17" s="1"/>
  <c r="E29" i="17"/>
  <c r="F29" i="17" s="1"/>
  <c r="E44" i="17"/>
  <c r="F44" i="17" s="1"/>
  <c r="E51" i="17"/>
  <c r="F51" i="17" s="1"/>
  <c r="E48" i="17"/>
  <c r="F48" i="17" s="1"/>
  <c r="E45" i="17"/>
  <c r="F45" i="17" s="1"/>
  <c r="E42" i="17"/>
  <c r="F42" i="17" s="1"/>
  <c r="E38" i="17"/>
  <c r="F38" i="17" s="1"/>
  <c r="E35" i="17"/>
  <c r="F35" i="17" s="1"/>
  <c r="E31" i="17"/>
  <c r="F31" i="17" s="1"/>
  <c r="E37" i="17"/>
  <c r="F37" i="17" s="1"/>
  <c r="E30" i="17"/>
  <c r="F30" i="17" s="1"/>
  <c r="E41" i="17"/>
  <c r="F41" i="17" s="1"/>
  <c r="E28" i="17"/>
  <c r="F28" i="17" s="1"/>
  <c r="E34" i="17"/>
  <c r="F34" i="17" s="1"/>
  <c r="E47" i="17"/>
  <c r="F47" i="17" s="1"/>
  <c r="E27" i="17"/>
  <c r="F27" i="17" s="1"/>
  <c r="E18" i="17"/>
  <c r="F18" i="17" s="1"/>
  <c r="E17" i="17"/>
  <c r="F17" i="17" s="1"/>
  <c r="E16" i="17"/>
  <c r="F16" i="17" s="1"/>
  <c r="E23" i="17"/>
  <c r="F23" i="17" s="1"/>
  <c r="E15" i="17"/>
  <c r="F15" i="17" s="1"/>
  <c r="E19" i="17"/>
  <c r="F19" i="17" s="1"/>
  <c r="E14" i="17"/>
  <c r="F14" i="17" s="1"/>
  <c r="E13" i="17"/>
  <c r="F13" i="17" s="1"/>
  <c r="E25" i="17"/>
  <c r="F25" i="17" s="1"/>
  <c r="E24" i="17"/>
  <c r="F24" i="17" s="1"/>
  <c r="E22" i="17"/>
  <c r="F22" i="17" s="1"/>
  <c r="E21" i="17"/>
  <c r="F21" i="17" s="1"/>
  <c r="G138" i="17"/>
  <c r="H134" i="17"/>
  <c r="I131" i="17"/>
  <c r="G125" i="17"/>
  <c r="H121" i="17"/>
  <c r="H91" i="17"/>
  <c r="I87" i="17"/>
  <c r="G77" i="17"/>
  <c r="I73" i="17"/>
  <c r="I68" i="17"/>
  <c r="G62" i="17"/>
  <c r="I58" i="17"/>
  <c r="H58" i="17"/>
  <c r="I55" i="17"/>
  <c r="H93" i="17"/>
  <c r="G83" i="17"/>
  <c r="G79" i="17"/>
  <c r="G55" i="17"/>
  <c r="H86" i="17"/>
  <c r="G75" i="17"/>
  <c r="I63" i="17"/>
  <c r="I54" i="17"/>
  <c r="G133" i="17"/>
  <c r="I126" i="17"/>
  <c r="I122" i="17"/>
  <c r="H95" i="17"/>
  <c r="H82" i="17"/>
  <c r="I78" i="17"/>
  <c r="H67" i="17"/>
  <c r="H57" i="17"/>
  <c r="G134" i="17"/>
  <c r="H131" i="17"/>
  <c r="I127" i="17"/>
  <c r="G121" i="17"/>
  <c r="G91" i="17"/>
  <c r="H87" i="17"/>
  <c r="I83" i="17"/>
  <c r="I79" i="17"/>
  <c r="H73" i="17"/>
  <c r="H68" i="17"/>
  <c r="I64" i="17"/>
  <c r="I61" i="17"/>
  <c r="G90" i="17"/>
  <c r="I67" i="17"/>
  <c r="I57" i="17"/>
  <c r="I92" i="17"/>
  <c r="I140" i="17"/>
  <c r="I137" i="17"/>
  <c r="G131" i="17"/>
  <c r="H127" i="17"/>
  <c r="I124" i="17"/>
  <c r="I93" i="17"/>
  <c r="G87" i="17"/>
  <c r="H83" i="17"/>
  <c r="H79" i="17"/>
  <c r="G73" i="17"/>
  <c r="G68" i="17"/>
  <c r="H64" i="17"/>
  <c r="G58" i="17"/>
  <c r="H55" i="17"/>
  <c r="I90" i="17"/>
  <c r="I75" i="17"/>
  <c r="G64" i="17"/>
  <c r="G129" i="17"/>
  <c r="H63" i="17"/>
  <c r="H140" i="17"/>
  <c r="H137" i="17"/>
  <c r="G127" i="17"/>
  <c r="H124" i="17"/>
  <c r="I120" i="17"/>
  <c r="G140" i="17"/>
  <c r="G137" i="17"/>
  <c r="I133" i="17"/>
  <c r="I129" i="17"/>
  <c r="G124" i="17"/>
  <c r="H120" i="17"/>
  <c r="G93" i="17"/>
  <c r="H90" i="17"/>
  <c r="I86" i="17"/>
  <c r="H75" i="17"/>
  <c r="I70" i="17"/>
  <c r="H61" i="17"/>
  <c r="G120" i="17"/>
  <c r="I95" i="17"/>
  <c r="I82" i="17"/>
  <c r="H70" i="17"/>
  <c r="G61" i="17"/>
  <c r="I139" i="17"/>
  <c r="G86" i="17"/>
  <c r="G70" i="17"/>
  <c r="I142" i="17"/>
  <c r="H133" i="17"/>
  <c r="H129" i="17"/>
  <c r="H142" i="17"/>
  <c r="G142" i="17"/>
  <c r="H139" i="17"/>
  <c r="I136" i="17"/>
  <c r="H126" i="17"/>
  <c r="H122" i="17"/>
  <c r="G95" i="17"/>
  <c r="H92" i="17"/>
  <c r="G82" i="17"/>
  <c r="H78" i="17"/>
  <c r="I74" i="17"/>
  <c r="G67" i="17"/>
  <c r="G63" i="17"/>
  <c r="G57" i="17"/>
  <c r="G54" i="17"/>
  <c r="I134" i="17"/>
  <c r="G80" i="17"/>
  <c r="G139" i="17"/>
  <c r="H136" i="17"/>
  <c r="I132" i="17"/>
  <c r="G126" i="17"/>
  <c r="G122" i="17"/>
  <c r="G92" i="17"/>
  <c r="I89" i="17"/>
  <c r="I85" i="17"/>
  <c r="G78" i="17"/>
  <c r="H74" i="17"/>
  <c r="I69" i="17"/>
  <c r="I60" i="17"/>
  <c r="I141" i="17"/>
  <c r="G136" i="17"/>
  <c r="H132" i="17"/>
  <c r="I128" i="17"/>
  <c r="I109" i="17"/>
  <c r="I94" i="17"/>
  <c r="H89" i="17"/>
  <c r="H85" i="17"/>
  <c r="I80" i="17"/>
  <c r="G74" i="17"/>
  <c r="H69" i="17"/>
  <c r="I66" i="17"/>
  <c r="H60" i="17"/>
  <c r="I56" i="17"/>
  <c r="I121" i="17"/>
  <c r="G109" i="17"/>
  <c r="I91" i="17"/>
  <c r="H77" i="17"/>
  <c r="H62" i="17"/>
  <c r="H141" i="17"/>
  <c r="I138" i="17"/>
  <c r="G132" i="17"/>
  <c r="H128" i="17"/>
  <c r="I125" i="17"/>
  <c r="H109" i="17"/>
  <c r="H94" i="17"/>
  <c r="G89" i="17"/>
  <c r="G85" i="17"/>
  <c r="H80" i="17"/>
  <c r="I77" i="17"/>
  <c r="G69" i="17"/>
  <c r="H66" i="17"/>
  <c r="I62" i="17"/>
  <c r="G60" i="17"/>
  <c r="H56" i="17"/>
  <c r="G141" i="17"/>
  <c r="H138" i="17"/>
  <c r="G128" i="17"/>
  <c r="H125" i="17"/>
  <c r="G94" i="17"/>
  <c r="G66" i="17"/>
  <c r="G56" i="17"/>
  <c r="H54" i="17"/>
  <c r="I52" i="17"/>
  <c r="H52" i="17"/>
  <c r="H49" i="17"/>
  <c r="H46" i="17"/>
  <c r="H43" i="17"/>
  <c r="H40" i="17"/>
  <c r="H36" i="17"/>
  <c r="H33" i="17"/>
  <c r="I28" i="17"/>
  <c r="H28" i="17"/>
  <c r="I43" i="17"/>
  <c r="G52" i="17"/>
  <c r="G49" i="17"/>
  <c r="G46" i="17"/>
  <c r="G43" i="17"/>
  <c r="G40" i="17"/>
  <c r="G36" i="17"/>
  <c r="G33" i="17"/>
  <c r="G28" i="17"/>
  <c r="I51" i="17"/>
  <c r="I48" i="17"/>
  <c r="I45" i="17"/>
  <c r="I42" i="17"/>
  <c r="I38" i="17"/>
  <c r="I35" i="17"/>
  <c r="I31" i="17"/>
  <c r="I27" i="17"/>
  <c r="H35" i="17"/>
  <c r="H27" i="17"/>
  <c r="H29" i="17"/>
  <c r="G29" i="17"/>
  <c r="H51" i="17"/>
  <c r="H48" i="17"/>
  <c r="H45" i="17"/>
  <c r="H42" i="17"/>
  <c r="H38" i="17"/>
  <c r="H31" i="17"/>
  <c r="I49" i="17"/>
  <c r="G51" i="17"/>
  <c r="G48" i="17"/>
  <c r="G45" i="17"/>
  <c r="G42" i="17"/>
  <c r="G38" i="17"/>
  <c r="G35" i="17"/>
  <c r="G31" i="17"/>
  <c r="G27" i="17"/>
  <c r="I30" i="17"/>
  <c r="I46" i="17"/>
  <c r="I40" i="17"/>
  <c r="I50" i="17"/>
  <c r="I47" i="17"/>
  <c r="I44" i="17"/>
  <c r="I41" i="17"/>
  <c r="I37" i="17"/>
  <c r="I34" i="17"/>
  <c r="H30" i="17"/>
  <c r="I36" i="17"/>
  <c r="H50" i="17"/>
  <c r="H47" i="17"/>
  <c r="H44" i="17"/>
  <c r="H41" i="17"/>
  <c r="H37" i="17"/>
  <c r="H34" i="17"/>
  <c r="G30" i="17"/>
  <c r="I33" i="17"/>
  <c r="G50" i="17"/>
  <c r="G47" i="17"/>
  <c r="G44" i="17"/>
  <c r="G41" i="17"/>
  <c r="G37" i="17"/>
  <c r="G34" i="17"/>
  <c r="I29" i="17"/>
  <c r="I25" i="17"/>
  <c r="H25" i="17"/>
  <c r="H21" i="17"/>
  <c r="H16" i="17"/>
  <c r="I21" i="17"/>
  <c r="G25" i="17"/>
  <c r="G21" i="17"/>
  <c r="G16" i="17"/>
  <c r="I24" i="17"/>
  <c r="I19" i="17"/>
  <c r="I15" i="17"/>
  <c r="H24" i="17"/>
  <c r="H19" i="17"/>
  <c r="H15" i="17"/>
  <c r="G17" i="17"/>
  <c r="G24" i="17"/>
  <c r="G19" i="17"/>
  <c r="G15" i="17"/>
  <c r="G13" i="17"/>
  <c r="I23" i="17"/>
  <c r="I18" i="17"/>
  <c r="I14" i="17"/>
  <c r="H23" i="17"/>
  <c r="H18" i="17"/>
  <c r="H14" i="17"/>
  <c r="I16" i="17"/>
  <c r="G23" i="17"/>
  <c r="G18" i="17"/>
  <c r="G14" i="17"/>
  <c r="G22" i="17"/>
  <c r="I22" i="17"/>
  <c r="I17" i="17"/>
  <c r="I13" i="17"/>
  <c r="H22" i="17"/>
  <c r="H17" i="17"/>
  <c r="H13" i="17"/>
  <c r="AB2" i="208"/>
  <c r="AA2" i="208"/>
  <c r="H17" i="27"/>
  <c r="H18" i="27"/>
  <c r="H19" i="27"/>
  <c r="N541" i="208" l="1"/>
  <c r="E30" i="215"/>
  <c r="H340" i="215"/>
  <c r="F588" i="214"/>
  <c r="F30" i="215"/>
  <c r="H220" i="214"/>
  <c r="G340" i="214"/>
  <c r="I592" i="214"/>
  <c r="G406" i="214"/>
  <c r="I335" i="214"/>
  <c r="H645" i="214"/>
  <c r="H526" i="214"/>
  <c r="G41" i="214"/>
  <c r="F383" i="214"/>
  <c r="E211" i="215"/>
  <c r="E661" i="215"/>
  <c r="G227" i="214"/>
  <c r="I282" i="214"/>
  <c r="G149" i="214"/>
  <c r="I351" i="215"/>
  <c r="E402" i="214"/>
  <c r="E569" i="214"/>
  <c r="E468" i="214"/>
  <c r="I406" i="214"/>
  <c r="I526" i="214"/>
  <c r="H340" i="214"/>
  <c r="I530" i="214"/>
  <c r="N357" i="208"/>
  <c r="I96" i="214"/>
  <c r="E340" i="215"/>
  <c r="F11" i="215"/>
  <c r="I11" i="214"/>
  <c r="E216" i="215"/>
  <c r="N699" i="208"/>
  <c r="G197" i="214"/>
  <c r="G351" i="215"/>
  <c r="H650" i="215"/>
  <c r="W699" i="208"/>
  <c r="N592" i="208"/>
  <c r="G158" i="215"/>
  <c r="H158" i="214"/>
  <c r="I227" i="214"/>
  <c r="H445" i="214"/>
  <c r="G41" i="215"/>
  <c r="F289" i="214"/>
  <c r="E631" i="215"/>
  <c r="G25" i="215"/>
  <c r="F406" i="214"/>
  <c r="E220" i="214"/>
  <c r="E340" i="214"/>
  <c r="E165" i="215"/>
  <c r="E464" i="215"/>
  <c r="I259" i="214"/>
  <c r="I340" i="214"/>
  <c r="I344" i="214"/>
  <c r="G154" i="214"/>
  <c r="G592" i="214"/>
  <c r="H599" i="214"/>
  <c r="G537" i="214"/>
  <c r="H413" i="215"/>
  <c r="H475" i="215"/>
  <c r="H459" i="215"/>
  <c r="I335" i="215"/>
  <c r="F259" i="214"/>
  <c r="E650" i="214"/>
  <c r="E645" i="215"/>
  <c r="I278" i="214"/>
  <c r="I149" i="215"/>
  <c r="E282" i="214"/>
  <c r="G87" i="214"/>
  <c r="I351" i="214"/>
  <c r="G282" i="214"/>
  <c r="H197" i="215"/>
  <c r="H154" i="215"/>
  <c r="I654" i="215"/>
  <c r="H645" i="215"/>
  <c r="H583" i="215"/>
  <c r="I41" i="214"/>
  <c r="G25" i="214"/>
  <c r="W470" i="208"/>
  <c r="H66" i="46"/>
  <c r="W476" i="208"/>
  <c r="N448" i="208"/>
  <c r="W524" i="208"/>
  <c r="W581" i="208"/>
  <c r="W614" i="208"/>
  <c r="N458" i="208"/>
  <c r="H289" i="213"/>
  <c r="G154" i="213"/>
  <c r="F165" i="214"/>
  <c r="F651" i="214"/>
  <c r="F650" i="214" s="1"/>
  <c r="F654" i="215"/>
  <c r="E92" i="214"/>
  <c r="E526" i="214"/>
  <c r="E154" i="215"/>
  <c r="F583" i="215"/>
  <c r="F104" i="215"/>
  <c r="F103" i="215" s="1"/>
  <c r="E103" i="215"/>
  <c r="E464" i="214"/>
  <c r="E259" i="215"/>
  <c r="F522" i="214"/>
  <c r="F521" i="214" s="1"/>
  <c r="E521" i="214"/>
  <c r="F279" i="215"/>
  <c r="F278" i="215" s="1"/>
  <c r="E278" i="215"/>
  <c r="F662" i="215"/>
  <c r="F661" i="215" s="1"/>
  <c r="F398" i="215"/>
  <c r="F397" i="215" s="1"/>
  <c r="E397" i="215"/>
  <c r="F150" i="215"/>
  <c r="F149" i="215" s="1"/>
  <c r="E149" i="215"/>
  <c r="G96" i="214"/>
  <c r="H154" i="214"/>
  <c r="G402" i="214"/>
  <c r="I397" i="214"/>
  <c r="G135" i="214"/>
  <c r="H569" i="214"/>
  <c r="H654" i="214"/>
  <c r="G530" i="214"/>
  <c r="H583" i="214"/>
  <c r="H87" i="215"/>
  <c r="I289" i="215"/>
  <c r="I650" i="215"/>
  <c r="G445" i="215"/>
  <c r="G459" i="215"/>
  <c r="G599" i="215"/>
  <c r="G220" i="215"/>
  <c r="G34" i="215"/>
  <c r="W448" i="208"/>
  <c r="H56" i="215"/>
  <c r="H60" i="215"/>
  <c r="G60" i="215"/>
  <c r="G39" i="215"/>
  <c r="I29" i="215"/>
  <c r="G56" i="215"/>
  <c r="H39" i="215"/>
  <c r="H54" i="215"/>
  <c r="I63" i="215"/>
  <c r="I60" i="215"/>
  <c r="I54" i="215"/>
  <c r="G29" i="215"/>
  <c r="I38" i="215"/>
  <c r="I53" i="215"/>
  <c r="H29" i="215"/>
  <c r="G52" i="215"/>
  <c r="I39" i="215"/>
  <c r="H52" i="215"/>
  <c r="I52" i="215"/>
  <c r="H53" i="215"/>
  <c r="G55" i="215"/>
  <c r="I55" i="215"/>
  <c r="I58" i="215"/>
  <c r="G62" i="215"/>
  <c r="G58" i="215"/>
  <c r="G63" i="215"/>
  <c r="H63" i="215"/>
  <c r="H62" i="215"/>
  <c r="I56" i="215"/>
  <c r="H55" i="215"/>
  <c r="H56" i="214"/>
  <c r="G54" i="215"/>
  <c r="I62" i="215"/>
  <c r="G38" i="215"/>
  <c r="G53" i="215"/>
  <c r="H58" i="215"/>
  <c r="H38" i="215"/>
  <c r="G62" i="214"/>
  <c r="H53" i="214"/>
  <c r="G52" i="214"/>
  <c r="G39" i="214"/>
  <c r="H63" i="214"/>
  <c r="H60" i="214"/>
  <c r="I56" i="214"/>
  <c r="H29" i="214"/>
  <c r="G54" i="214"/>
  <c r="G63" i="214"/>
  <c r="I63" i="214"/>
  <c r="I29" i="214"/>
  <c r="H39" i="214"/>
  <c r="G58" i="214"/>
  <c r="G60" i="214"/>
  <c r="I58" i="214"/>
  <c r="H54" i="214"/>
  <c r="I55" i="214"/>
  <c r="G55" i="214"/>
  <c r="H62" i="214"/>
  <c r="I52" i="214"/>
  <c r="H52" i="214"/>
  <c r="G38" i="214"/>
  <c r="I60" i="214"/>
  <c r="I39" i="214"/>
  <c r="G56" i="214"/>
  <c r="G53" i="214"/>
  <c r="G29" i="214"/>
  <c r="H58" i="214"/>
  <c r="H55" i="214"/>
  <c r="I38" i="214"/>
  <c r="H38" i="214"/>
  <c r="I54" i="214"/>
  <c r="I62" i="214"/>
  <c r="I53" i="214"/>
  <c r="F592" i="214"/>
  <c r="F469" i="214"/>
  <c r="F468" i="214" s="1"/>
  <c r="F154" i="214"/>
  <c r="F217" i="214"/>
  <c r="F216" i="214" s="1"/>
  <c r="E216" i="214"/>
  <c r="F322" i="214"/>
  <c r="F321" i="214" s="1"/>
  <c r="E321" i="214"/>
  <c r="E259" i="214"/>
  <c r="F538" i="214"/>
  <c r="F537" i="214" s="1"/>
  <c r="E537" i="214"/>
  <c r="E530" i="214"/>
  <c r="E445" i="215"/>
  <c r="E537" i="215"/>
  <c r="F345" i="215"/>
  <c r="F344" i="215" s="1"/>
  <c r="E344" i="215"/>
  <c r="E273" i="215"/>
  <c r="F446" i="215"/>
  <c r="F445" i="215" s="1"/>
  <c r="E588" i="215"/>
  <c r="E11" i="215"/>
  <c r="F42" i="215"/>
  <c r="F41" i="215" s="1"/>
  <c r="E41" i="215"/>
  <c r="I507" i="214"/>
  <c r="I321" i="214"/>
  <c r="H259" i="214"/>
  <c r="I645" i="214"/>
  <c r="H149" i="215"/>
  <c r="H92" i="214"/>
  <c r="I73" i="215"/>
  <c r="I661" i="214"/>
  <c r="I599" i="214"/>
  <c r="G103" i="215"/>
  <c r="G599" i="214"/>
  <c r="H402" i="215"/>
  <c r="I135" i="215"/>
  <c r="I220" i="215"/>
  <c r="G30" i="214"/>
  <c r="G34" i="214"/>
  <c r="F336" i="214"/>
  <c r="F335" i="214" s="1"/>
  <c r="E335" i="214"/>
  <c r="E445" i="214"/>
  <c r="F136" i="214"/>
  <c r="F135" i="214" s="1"/>
  <c r="E135" i="214"/>
  <c r="F508" i="215"/>
  <c r="F507" i="215" s="1"/>
  <c r="E507" i="215"/>
  <c r="F651" i="215"/>
  <c r="F650" i="215" s="1"/>
  <c r="E650" i="215"/>
  <c r="F384" i="215"/>
  <c r="F383" i="215" s="1"/>
  <c r="E383" i="215"/>
  <c r="F414" i="215"/>
  <c r="F413" i="215" s="1"/>
  <c r="E413" i="215"/>
  <c r="F290" i="215"/>
  <c r="F289" i="215" s="1"/>
  <c r="E289" i="215"/>
  <c r="H278" i="214"/>
  <c r="G211" i="214"/>
  <c r="H211" i="214"/>
  <c r="H227" i="214"/>
  <c r="I445" i="214"/>
  <c r="G154" i="215"/>
  <c r="H592" i="214"/>
  <c r="I273" i="215"/>
  <c r="I92" i="214"/>
  <c r="H445" i="215"/>
  <c r="I631" i="215"/>
  <c r="I278" i="215"/>
  <c r="H397" i="215"/>
  <c r="H73" i="215"/>
  <c r="G216" i="215"/>
  <c r="H526" i="215"/>
  <c r="H464" i="215"/>
  <c r="I165" i="215"/>
  <c r="H41" i="214"/>
  <c r="G30" i="215"/>
  <c r="E154" i="214"/>
  <c r="F460" i="214"/>
  <c r="F459" i="214" s="1"/>
  <c r="E459" i="214"/>
  <c r="F531" i="215"/>
  <c r="F530" i="215" s="1"/>
  <c r="E530" i="215"/>
  <c r="I158" i="214"/>
  <c r="H344" i="214"/>
  <c r="I211" i="214"/>
  <c r="G289" i="214"/>
  <c r="G103" i="214"/>
  <c r="H507" i="214"/>
  <c r="H273" i="214"/>
  <c r="G273" i="214"/>
  <c r="G654" i="214"/>
  <c r="G464" i="214"/>
  <c r="H335" i="215"/>
  <c r="G526" i="214"/>
  <c r="H537" i="215"/>
  <c r="I445" i="215"/>
  <c r="G227" i="215"/>
  <c r="I521" i="215"/>
  <c r="H383" i="215"/>
  <c r="H592" i="215"/>
  <c r="I227" i="215"/>
  <c r="H530" i="215"/>
  <c r="G87" i="215"/>
  <c r="G165" i="215"/>
  <c r="H30" i="214"/>
  <c r="N470" i="208"/>
  <c r="N422" i="208"/>
  <c r="F221" i="214"/>
  <c r="F220" i="214" s="1"/>
  <c r="F341" i="214"/>
  <c r="F340" i="214" s="1"/>
  <c r="F135" i="215"/>
  <c r="F464" i="214"/>
  <c r="F531" i="214"/>
  <c r="F530" i="214" s="1"/>
  <c r="F228" i="214"/>
  <c r="F227" i="214" s="1"/>
  <c r="E227" i="214"/>
  <c r="E406" i="214"/>
  <c r="F522" i="215"/>
  <c r="F521" i="215" s="1"/>
  <c r="E521" i="215"/>
  <c r="F26" i="215"/>
  <c r="F25" i="215" s="1"/>
  <c r="E25" i="215"/>
  <c r="F31" i="214"/>
  <c r="F30" i="214" s="1"/>
  <c r="E30" i="214"/>
  <c r="G216" i="214"/>
  <c r="G197" i="215"/>
  <c r="G631" i="214"/>
  <c r="H321" i="215"/>
  <c r="I197" i="215"/>
  <c r="F414" i="214"/>
  <c r="F413" i="214" s="1"/>
  <c r="E413" i="214"/>
  <c r="F35" i="215"/>
  <c r="F34" i="215" s="1"/>
  <c r="E34" i="215"/>
  <c r="I135" i="214"/>
  <c r="G73" i="214"/>
  <c r="I413" i="214"/>
  <c r="H383" i="214"/>
  <c r="H149" i="214"/>
  <c r="I383" i="214"/>
  <c r="G259" i="214"/>
  <c r="G507" i="214"/>
  <c r="I537" i="214"/>
  <c r="H459" i="214"/>
  <c r="H96" i="214"/>
  <c r="I406" i="215"/>
  <c r="I468" i="214"/>
  <c r="I654" i="214"/>
  <c r="G475" i="215"/>
  <c r="G289" i="215"/>
  <c r="G537" i="215"/>
  <c r="I530" i="215"/>
  <c r="G530" i="215"/>
  <c r="G278" i="215"/>
  <c r="G654" i="215"/>
  <c r="H273" i="215"/>
  <c r="G149" i="215"/>
  <c r="I25" i="215"/>
  <c r="N311" i="208"/>
  <c r="W380" i="208"/>
  <c r="F335" i="215"/>
  <c r="F446" i="214"/>
  <c r="F445" i="214" s="1"/>
  <c r="F526" i="214"/>
  <c r="F569" i="215"/>
  <c r="F198" i="214"/>
  <c r="F197" i="214" s="1"/>
  <c r="E197" i="214"/>
  <c r="E397" i="214"/>
  <c r="E158" i="214"/>
  <c r="F352" i="214"/>
  <c r="F351" i="214" s="1"/>
  <c r="E351" i="214"/>
  <c r="E507" i="214"/>
  <c r="F600" i="214"/>
  <c r="F599" i="214" s="1"/>
  <c r="E599" i="214"/>
  <c r="E335" i="215"/>
  <c r="F198" i="215"/>
  <c r="F197" i="215" s="1"/>
  <c r="E197" i="215"/>
  <c r="F593" i="215"/>
  <c r="F592" i="215" s="1"/>
  <c r="E592" i="215"/>
  <c r="F228" i="215"/>
  <c r="F227" i="215" s="1"/>
  <c r="E227" i="215"/>
  <c r="H631" i="214"/>
  <c r="I154" i="214"/>
  <c r="G220" i="214"/>
  <c r="H73" i="214"/>
  <c r="I197" i="214"/>
  <c r="I158" i="215"/>
  <c r="H650" i="214"/>
  <c r="I92" i="215"/>
  <c r="I588" i="214"/>
  <c r="I507" i="215"/>
  <c r="G468" i="215"/>
  <c r="I468" i="215"/>
  <c r="G507" i="215"/>
  <c r="I344" i="215"/>
  <c r="G383" i="215"/>
  <c r="I592" i="215"/>
  <c r="G650" i="215"/>
  <c r="H631" i="215"/>
  <c r="H468" i="215"/>
  <c r="H11" i="214"/>
  <c r="H34" i="215"/>
  <c r="H11" i="215"/>
  <c r="N501" i="208"/>
  <c r="N342" i="208"/>
  <c r="I211" i="213"/>
  <c r="F212" i="215"/>
  <c r="F211" i="215" s="1"/>
  <c r="F654" i="214"/>
  <c r="F570" i="214"/>
  <c r="F569" i="214" s="1"/>
  <c r="F217" i="215"/>
  <c r="F216" i="215" s="1"/>
  <c r="E383" i="214"/>
  <c r="E654" i="214"/>
  <c r="E278" i="214"/>
  <c r="F476" i="214"/>
  <c r="F475" i="214" s="1"/>
  <c r="E475" i="214"/>
  <c r="F662" i="214"/>
  <c r="F661" i="214" s="1"/>
  <c r="E661" i="214"/>
  <c r="F352" i="215"/>
  <c r="F351" i="215" s="1"/>
  <c r="E351" i="215"/>
  <c r="E11" i="214"/>
  <c r="H335" i="214"/>
  <c r="G351" i="214"/>
  <c r="G335" i="214"/>
  <c r="I165" i="214"/>
  <c r="H282" i="214"/>
  <c r="G413" i="214"/>
  <c r="G569" i="214"/>
  <c r="G135" i="215"/>
  <c r="H464" i="214"/>
  <c r="H135" i="214"/>
  <c r="I583" i="214"/>
  <c r="I631" i="214"/>
  <c r="I340" i="215"/>
  <c r="G650" i="214"/>
  <c r="I413" i="215"/>
  <c r="I588" i="215"/>
  <c r="I282" i="215"/>
  <c r="H259" i="215"/>
  <c r="G464" i="215"/>
  <c r="G282" i="215"/>
  <c r="G588" i="215"/>
  <c r="I459" i="215"/>
  <c r="I154" i="215"/>
  <c r="H34" i="214"/>
  <c r="H25" i="214"/>
  <c r="G11" i="214"/>
  <c r="G40" i="214" s="1"/>
  <c r="G45" i="214" s="1"/>
  <c r="I30" i="215"/>
  <c r="F74" i="214"/>
  <c r="F73" i="214" s="1"/>
  <c r="E73" i="214"/>
  <c r="F97" i="214"/>
  <c r="F96" i="214" s="1"/>
  <c r="E96" i="214"/>
  <c r="N556" i="208"/>
  <c r="W541" i="208"/>
  <c r="W385" i="208"/>
  <c r="W501" i="208"/>
  <c r="N598" i="208"/>
  <c r="N370" i="208"/>
  <c r="N487" i="208"/>
  <c r="W392" i="208"/>
  <c r="W342" i="208"/>
  <c r="N396" i="208"/>
  <c r="W527" i="208"/>
  <c r="W437" i="208"/>
  <c r="E60" i="215"/>
  <c r="F60" i="215" s="1"/>
  <c r="E62" i="215"/>
  <c r="F62" i="215" s="1"/>
  <c r="E29" i="215"/>
  <c r="F29" i="215" s="1"/>
  <c r="E39" i="215"/>
  <c r="F39" i="215" s="1"/>
  <c r="E54" i="215"/>
  <c r="F54" i="215" s="1"/>
  <c r="E55" i="215"/>
  <c r="F55" i="215" s="1"/>
  <c r="E58" i="214"/>
  <c r="E58" i="215"/>
  <c r="E57" i="215" s="1"/>
  <c r="E38" i="215"/>
  <c r="F38" i="215" s="1"/>
  <c r="E53" i="215"/>
  <c r="F53" i="215" s="1"/>
  <c r="E63" i="215"/>
  <c r="F63" i="215" s="1"/>
  <c r="E63" i="214"/>
  <c r="F63" i="214" s="1"/>
  <c r="E52" i="215"/>
  <c r="E62" i="214"/>
  <c r="F62" i="214" s="1"/>
  <c r="E56" i="215"/>
  <c r="F56" i="215" s="1"/>
  <c r="E52" i="214"/>
  <c r="E29" i="214"/>
  <c r="F29" i="214" s="1"/>
  <c r="E60" i="214"/>
  <c r="F60" i="214" s="1"/>
  <c r="E56" i="214"/>
  <c r="F56" i="214" s="1"/>
  <c r="E38" i="214"/>
  <c r="F38" i="214" s="1"/>
  <c r="E53" i="214"/>
  <c r="F53" i="214" s="1"/>
  <c r="E39" i="214"/>
  <c r="F39" i="214" s="1"/>
  <c r="E54" i="214"/>
  <c r="F54" i="214" s="1"/>
  <c r="E55" i="214"/>
  <c r="F55" i="214" s="1"/>
  <c r="F52" i="214"/>
  <c r="I273" i="213"/>
  <c r="F155" i="215"/>
  <c r="F154" i="215" s="1"/>
  <c r="E165" i="214"/>
  <c r="F345" i="214"/>
  <c r="F344" i="214" s="1"/>
  <c r="E344" i="214"/>
  <c r="E96" i="215"/>
  <c r="F407" i="215"/>
  <c r="F406" i="215" s="1"/>
  <c r="E406" i="215"/>
  <c r="H165" i="214"/>
  <c r="H103" i="214"/>
  <c r="I149" i="214"/>
  <c r="H397" i="214"/>
  <c r="G165" i="214"/>
  <c r="H530" i="214"/>
  <c r="G468" i="214"/>
  <c r="H216" i="215"/>
  <c r="G259" i="215"/>
  <c r="G445" i="214"/>
  <c r="H135" i="215"/>
  <c r="H278" i="215"/>
  <c r="I569" i="214"/>
  <c r="H351" i="215"/>
  <c r="H661" i="215"/>
  <c r="H599" i="215"/>
  <c r="G321" i="215"/>
  <c r="I402" i="215"/>
  <c r="G521" i="215"/>
  <c r="G211" i="215"/>
  <c r="G402" i="215"/>
  <c r="G661" i="215"/>
  <c r="I526" i="215"/>
  <c r="G526" i="215"/>
  <c r="I41" i="215"/>
  <c r="H30" i="215"/>
  <c r="W556" i="208"/>
  <c r="N601" i="208"/>
  <c r="N373" i="208"/>
  <c r="N561" i="208"/>
  <c r="W598" i="208"/>
  <c r="W370" i="208"/>
  <c r="W487" i="208"/>
  <c r="N516" i="208"/>
  <c r="W396" i="208"/>
  <c r="N536" i="208"/>
  <c r="N326" i="208"/>
  <c r="F526" i="215"/>
  <c r="F508" i="214"/>
  <c r="F507" i="214" s="1"/>
  <c r="E592" i="214"/>
  <c r="F212" i="214"/>
  <c r="F211" i="214" s="1"/>
  <c r="E211" i="214"/>
  <c r="E135" i="215"/>
  <c r="F469" i="215"/>
  <c r="F468" i="215" s="1"/>
  <c r="E468" i="215"/>
  <c r="F322" i="215"/>
  <c r="F321" i="215" s="1"/>
  <c r="E321" i="215"/>
  <c r="E526" i="215"/>
  <c r="F403" i="215"/>
  <c r="F402" i="215" s="1"/>
  <c r="E402" i="215"/>
  <c r="E583" i="215"/>
  <c r="E654" i="215"/>
  <c r="F159" i="215"/>
  <c r="F158" i="215" s="1"/>
  <c r="E158" i="215"/>
  <c r="F74" i="215"/>
  <c r="F73" i="215" s="1"/>
  <c r="E73" i="215"/>
  <c r="F35" i="214"/>
  <c r="F34" i="214" s="1"/>
  <c r="E34" i="214"/>
  <c r="H351" i="214"/>
  <c r="I73" i="214"/>
  <c r="G321" i="214"/>
  <c r="H87" i="214"/>
  <c r="I289" i="214"/>
  <c r="H289" i="214"/>
  <c r="I521" i="214"/>
  <c r="H475" i="214"/>
  <c r="G521" i="214"/>
  <c r="H537" i="214"/>
  <c r="H406" i="215"/>
  <c r="G592" i="215"/>
  <c r="I475" i="215"/>
  <c r="I211" i="215"/>
  <c r="I216" i="215"/>
  <c r="G631" i="215"/>
  <c r="H569" i="215"/>
  <c r="H220" i="215"/>
  <c r="H158" i="215"/>
  <c r="H282" i="215"/>
  <c r="I87" i="215"/>
  <c r="H25" i="215"/>
  <c r="I11" i="215"/>
  <c r="F646" i="214"/>
  <c r="F645" i="214" s="1"/>
  <c r="E645" i="214"/>
  <c r="F600" i="215"/>
  <c r="F599" i="215" s="1"/>
  <c r="E599" i="215"/>
  <c r="W601" i="208"/>
  <c r="W561" i="208"/>
  <c r="N566" i="208"/>
  <c r="W516" i="208"/>
  <c r="N515" i="208"/>
  <c r="N590" i="208"/>
  <c r="N476" i="208"/>
  <c r="W326" i="208"/>
  <c r="E163" i="215"/>
  <c r="F163" i="215" s="1"/>
  <c r="E240" i="215"/>
  <c r="F240" i="215" s="1"/>
  <c r="E114" i="215"/>
  <c r="E248" i="215"/>
  <c r="E596" i="215"/>
  <c r="F596" i="215" s="1"/>
  <c r="E612" i="215"/>
  <c r="F612" i="215" s="1"/>
  <c r="E496" i="215"/>
  <c r="F496" i="215" s="1"/>
  <c r="E550" i="215"/>
  <c r="F550" i="215" s="1"/>
  <c r="E434" i="215"/>
  <c r="F434" i="215" s="1"/>
  <c r="E674" i="215"/>
  <c r="F674" i="215" s="1"/>
  <c r="E558" i="215"/>
  <c r="F558" i="215" s="1"/>
  <c r="E286" i="215"/>
  <c r="F286" i="215" s="1"/>
  <c r="E182" i="215"/>
  <c r="E184" i="215"/>
  <c r="E525" i="215"/>
  <c r="F525" i="215" s="1"/>
  <c r="E492" i="215"/>
  <c r="E430" i="215"/>
  <c r="E554" i="215"/>
  <c r="E224" i="215"/>
  <c r="F224" i="215" s="1"/>
  <c r="E303" i="215"/>
  <c r="F303" i="215" s="1"/>
  <c r="E587" i="215"/>
  <c r="F587" i="215" s="1"/>
  <c r="E473" i="215"/>
  <c r="F473" i="215" s="1"/>
  <c r="E116" i="215"/>
  <c r="F116" i="215" s="1"/>
  <c r="E463" i="215"/>
  <c r="F463" i="215" s="1"/>
  <c r="E426" i="215"/>
  <c r="F426" i="215" s="1"/>
  <c r="E239" i="215"/>
  <c r="F239" i="215" s="1"/>
  <c r="E215" i="215"/>
  <c r="E488" i="215"/>
  <c r="F488" i="215" s="1"/>
  <c r="E301" i="215"/>
  <c r="F301" i="215" s="1"/>
  <c r="E373" i="215"/>
  <c r="F373" i="215" s="1"/>
  <c r="E180" i="215"/>
  <c r="F180" i="215" s="1"/>
  <c r="E673" i="215"/>
  <c r="F673" i="215" s="1"/>
  <c r="E611" i="215"/>
  <c r="F611" i="215" s="1"/>
  <c r="E680" i="215"/>
  <c r="F680" i="215" s="1"/>
  <c r="E411" i="215"/>
  <c r="F411" i="215" s="1"/>
  <c r="E176" i="215"/>
  <c r="E649" i="215"/>
  <c r="F649" i="215" s="1"/>
  <c r="E225" i="215"/>
  <c r="F225" i="215" s="1"/>
  <c r="E401" i="215"/>
  <c r="F401" i="215" s="1"/>
  <c r="E549" i="215"/>
  <c r="F549" i="215" s="1"/>
  <c r="E424" i="215"/>
  <c r="E287" i="215"/>
  <c r="F287" i="215" s="1"/>
  <c r="E364" i="215"/>
  <c r="F364" i="215" s="1"/>
  <c r="E306" i="215"/>
  <c r="E659" i="215"/>
  <c r="F659" i="215" s="1"/>
  <c r="E556" i="215"/>
  <c r="F556" i="215" s="1"/>
  <c r="E597" i="215"/>
  <c r="F597" i="215" s="1"/>
  <c r="E494" i="215"/>
  <c r="F494" i="215" s="1"/>
  <c r="E497" i="215"/>
  <c r="F497" i="215" s="1"/>
  <c r="E427" i="215"/>
  <c r="F427" i="215" s="1"/>
  <c r="E618" i="215"/>
  <c r="F618" i="215" s="1"/>
  <c r="E621" i="215"/>
  <c r="F621" i="215" s="1"/>
  <c r="E551" i="215"/>
  <c r="F551" i="215" s="1"/>
  <c r="E614" i="215"/>
  <c r="F614" i="215" s="1"/>
  <c r="E672" i="215"/>
  <c r="E552" i="215"/>
  <c r="F552" i="215" s="1"/>
  <c r="E308" i="215"/>
  <c r="F308" i="215" s="1"/>
  <c r="E428" i="215"/>
  <c r="F428" i="215" s="1"/>
  <c r="E339" i="215"/>
  <c r="F339" i="215" s="1"/>
  <c r="E676" i="215"/>
  <c r="F676" i="215" s="1"/>
  <c r="E683" i="215"/>
  <c r="F683" i="215" s="1"/>
  <c r="E613" i="215"/>
  <c r="F613" i="215" s="1"/>
  <c r="E366" i="215"/>
  <c r="F366" i="215" s="1"/>
  <c r="E246" i="215"/>
  <c r="F246" i="215" s="1"/>
  <c r="E682" i="215"/>
  <c r="F682" i="215" s="1"/>
  <c r="E548" i="215"/>
  <c r="E559" i="215"/>
  <c r="F559" i="215" s="1"/>
  <c r="E489" i="215"/>
  <c r="F489" i="215" s="1"/>
  <c r="E620" i="215"/>
  <c r="F620" i="215" s="1"/>
  <c r="E658" i="215"/>
  <c r="F658" i="215" s="1"/>
  <c r="E486" i="215"/>
  <c r="E311" i="215"/>
  <c r="F311" i="215" s="1"/>
  <c r="E241" i="215"/>
  <c r="F241" i="215" s="1"/>
  <c r="E432" i="215"/>
  <c r="F432" i="215" s="1"/>
  <c r="E304" i="215"/>
  <c r="F304" i="215" s="1"/>
  <c r="E487" i="215"/>
  <c r="F487" i="215" s="1"/>
  <c r="E124" i="215"/>
  <c r="E610" i="215"/>
  <c r="E490" i="215"/>
  <c r="F490" i="215" s="1"/>
  <c r="E678" i="215"/>
  <c r="E677" i="215" s="1"/>
  <c r="E616" i="215"/>
  <c r="E615" i="215" s="1"/>
  <c r="E435" i="215"/>
  <c r="F435" i="215" s="1"/>
  <c r="E535" i="215"/>
  <c r="F535" i="215" s="1"/>
  <c r="E300" i="215"/>
  <c r="E425" i="215"/>
  <c r="F425" i="215" s="1"/>
  <c r="E410" i="215"/>
  <c r="F410" i="215" s="1"/>
  <c r="E534" i="215"/>
  <c r="F534" i="215" s="1"/>
  <c r="E675" i="215"/>
  <c r="F675" i="215" s="1"/>
  <c r="E472" i="215"/>
  <c r="F472" i="215" s="1"/>
  <c r="E238" i="215"/>
  <c r="E302" i="215"/>
  <c r="F302" i="215" s="1"/>
  <c r="E186" i="215"/>
  <c r="F186" i="215" s="1"/>
  <c r="E372" i="215"/>
  <c r="F372" i="215" s="1"/>
  <c r="E676" i="214"/>
  <c r="E675" i="214"/>
  <c r="F675" i="214" s="1"/>
  <c r="E277" i="215"/>
  <c r="F277" i="215" s="1"/>
  <c r="E362" i="215"/>
  <c r="E249" i="215"/>
  <c r="F249" i="215" s="1"/>
  <c r="E179" i="215"/>
  <c r="F179" i="215" s="1"/>
  <c r="F124" i="215"/>
  <c r="E525" i="214"/>
  <c r="F525" i="214" s="1"/>
  <c r="E426" i="214"/>
  <c r="F426" i="214" s="1"/>
  <c r="E494" i="214"/>
  <c r="F494" i="214" s="1"/>
  <c r="E363" i="215"/>
  <c r="F363" i="215" s="1"/>
  <c r="E244" i="215"/>
  <c r="E118" i="215"/>
  <c r="F118" i="215" s="1"/>
  <c r="E370" i="215"/>
  <c r="F370" i="215" s="1"/>
  <c r="E120" i="215"/>
  <c r="E610" i="214"/>
  <c r="E490" i="214"/>
  <c r="F490" i="214" s="1"/>
  <c r="E620" i="214"/>
  <c r="F620" i="214" s="1"/>
  <c r="E672" i="214"/>
  <c r="E552" i="214"/>
  <c r="F552" i="214" s="1"/>
  <c r="E365" i="215"/>
  <c r="F365" i="215" s="1"/>
  <c r="E368" i="215"/>
  <c r="E162" i="215"/>
  <c r="F162" i="215" s="1"/>
  <c r="E616" i="214"/>
  <c r="E497" i="214"/>
  <c r="F497" i="214" s="1"/>
  <c r="E187" i="215"/>
  <c r="F187" i="215" s="1"/>
  <c r="E117" i="215"/>
  <c r="F117" i="215" s="1"/>
  <c r="E178" i="215"/>
  <c r="F178" i="215" s="1"/>
  <c r="E596" i="214"/>
  <c r="F596" i="214" s="1"/>
  <c r="E556" i="214"/>
  <c r="F556" i="214" s="1"/>
  <c r="E463" i="214"/>
  <c r="F463" i="214" s="1"/>
  <c r="E658" i="214"/>
  <c r="F658" i="214" s="1"/>
  <c r="E486" i="214"/>
  <c r="F248" i="215"/>
  <c r="E349" i="215"/>
  <c r="F349" i="215" s="1"/>
  <c r="E435" i="214"/>
  <c r="F435" i="214" s="1"/>
  <c r="E614" i="214"/>
  <c r="F614" i="214" s="1"/>
  <c r="E550" i="214"/>
  <c r="F550" i="214" s="1"/>
  <c r="E683" i="214"/>
  <c r="F683" i="214" s="1"/>
  <c r="E613" i="214"/>
  <c r="F613" i="214" s="1"/>
  <c r="F184" i="215"/>
  <c r="E115" i="215"/>
  <c r="F115" i="215" s="1"/>
  <c r="E348" i="215"/>
  <c r="F348" i="215" s="1"/>
  <c r="E101" i="215"/>
  <c r="F101" i="215" s="1"/>
  <c r="E649" i="214"/>
  <c r="F649" i="214" s="1"/>
  <c r="E472" i="214"/>
  <c r="F472" i="214" s="1"/>
  <c r="E674" i="214"/>
  <c r="F674" i="214" s="1"/>
  <c r="E153" i="215"/>
  <c r="F153" i="215" s="1"/>
  <c r="E177" i="215"/>
  <c r="F177" i="215" s="1"/>
  <c r="F215" i="215"/>
  <c r="E101" i="214"/>
  <c r="E621" i="214"/>
  <c r="F621" i="214" s="1"/>
  <c r="E551" i="214"/>
  <c r="F551" i="214" s="1"/>
  <c r="E682" i="214"/>
  <c r="F682" i="214" s="1"/>
  <c r="E548" i="214"/>
  <c r="E428" i="214"/>
  <c r="F428" i="214" s="1"/>
  <c r="E310" i="215"/>
  <c r="F310" i="215" s="1"/>
  <c r="E242" i="215"/>
  <c r="F242" i="215" s="1"/>
  <c r="E153" i="214"/>
  <c r="E678" i="214"/>
  <c r="E100" i="215"/>
  <c r="F100" i="215" s="1"/>
  <c r="E534" i="214"/>
  <c r="F534" i="214" s="1"/>
  <c r="E611" i="214"/>
  <c r="F611" i="214" s="1"/>
  <c r="E125" i="215"/>
  <c r="F125" i="215" s="1"/>
  <c r="E287" i="214"/>
  <c r="F287" i="214" s="1"/>
  <c r="E612" i="214"/>
  <c r="F612" i="214" s="1"/>
  <c r="E496" i="214"/>
  <c r="F496" i="214" s="1"/>
  <c r="E559" i="214"/>
  <c r="F559" i="214" s="1"/>
  <c r="E489" i="214"/>
  <c r="F489" i="214" s="1"/>
  <c r="E425" i="214"/>
  <c r="F425" i="214" s="1"/>
  <c r="E91" i="215"/>
  <c r="F91" i="215" s="1"/>
  <c r="E122" i="215"/>
  <c r="F122" i="215" s="1"/>
  <c r="E618" i="214"/>
  <c r="F618" i="214" s="1"/>
  <c r="E492" i="214"/>
  <c r="E597" i="214"/>
  <c r="F597" i="214" s="1"/>
  <c r="E680" i="214"/>
  <c r="F680" i="214" s="1"/>
  <c r="E587" i="214"/>
  <c r="F587" i="214" s="1"/>
  <c r="E427" i="214"/>
  <c r="F427" i="214" s="1"/>
  <c r="E306" i="214"/>
  <c r="E277" i="214"/>
  <c r="F277" i="214" s="1"/>
  <c r="E535" i="214"/>
  <c r="F535" i="214" s="1"/>
  <c r="E300" i="214"/>
  <c r="E368" i="214"/>
  <c r="E186" i="214"/>
  <c r="F186" i="214" s="1"/>
  <c r="E91" i="214"/>
  <c r="F91" i="214" s="1"/>
  <c r="E488" i="214"/>
  <c r="F488" i="214" s="1"/>
  <c r="E370" i="214"/>
  <c r="F370" i="214" s="1"/>
  <c r="E424" i="214"/>
  <c r="E673" i="214"/>
  <c r="F673" i="214" s="1"/>
  <c r="E349" i="214"/>
  <c r="F349" i="214" s="1"/>
  <c r="E182" i="214"/>
  <c r="E179" i="214"/>
  <c r="F179" i="214" s="1"/>
  <c r="E162" i="214"/>
  <c r="F162" i="214" s="1"/>
  <c r="E240" i="214"/>
  <c r="F240" i="214" s="1"/>
  <c r="E286" i="214"/>
  <c r="F286" i="214" s="1"/>
  <c r="E215" i="214"/>
  <c r="F215" i="214" s="1"/>
  <c r="E246" i="214"/>
  <c r="F246" i="214" s="1"/>
  <c r="E124" i="214"/>
  <c r="F124" i="214" s="1"/>
  <c r="E487" i="214"/>
  <c r="F487" i="214" s="1"/>
  <c r="E365" i="214"/>
  <c r="F365" i="214" s="1"/>
  <c r="E116" i="214"/>
  <c r="F116" i="214" s="1"/>
  <c r="E118" i="214"/>
  <c r="F118" i="214" s="1"/>
  <c r="E163" i="214"/>
  <c r="F163" i="214" s="1"/>
  <c r="E362" i="214"/>
  <c r="E242" i="214"/>
  <c r="F242" i="214" s="1"/>
  <c r="E302" i="214"/>
  <c r="F302" i="214" s="1"/>
  <c r="E225" i="214"/>
  <c r="F225" i="214" s="1"/>
  <c r="E549" i="214"/>
  <c r="F549" i="214" s="1"/>
  <c r="E301" i="214"/>
  <c r="F301" i="214" s="1"/>
  <c r="E176" i="214"/>
  <c r="E184" i="214"/>
  <c r="F184" i="214" s="1"/>
  <c r="E348" i="214"/>
  <c r="F348" i="214" s="1"/>
  <c r="E373" i="214"/>
  <c r="F373" i="214" s="1"/>
  <c r="E303" i="214"/>
  <c r="F303" i="214" s="1"/>
  <c r="E364" i="214"/>
  <c r="F364" i="214" s="1"/>
  <c r="E248" i="214"/>
  <c r="F248" i="214" s="1"/>
  <c r="E401" i="214"/>
  <c r="F401" i="214" s="1"/>
  <c r="E125" i="214"/>
  <c r="F125" i="214" s="1"/>
  <c r="F153" i="214"/>
  <c r="E187" i="214"/>
  <c r="F187" i="214" s="1"/>
  <c r="E117" i="214"/>
  <c r="F117" i="214" s="1"/>
  <c r="E120" i="214"/>
  <c r="E122" i="214"/>
  <c r="F122" i="214" s="1"/>
  <c r="E432" i="214"/>
  <c r="F432" i="214" s="1"/>
  <c r="E244" i="214"/>
  <c r="E410" i="214"/>
  <c r="F410" i="214" s="1"/>
  <c r="E363" i="214"/>
  <c r="F363" i="214" s="1"/>
  <c r="E239" i="214"/>
  <c r="F239" i="214" s="1"/>
  <c r="E304" i="214"/>
  <c r="F304" i="214" s="1"/>
  <c r="E180" i="214"/>
  <c r="F180" i="214" s="1"/>
  <c r="E339" i="214"/>
  <c r="F339" i="214" s="1"/>
  <c r="F676" i="214"/>
  <c r="E411" i="214"/>
  <c r="F411" i="214" s="1"/>
  <c r="E430" i="214"/>
  <c r="F430" i="214" s="1"/>
  <c r="E308" i="214"/>
  <c r="F308" i="214" s="1"/>
  <c r="E238" i="214"/>
  <c r="E558" i="214"/>
  <c r="F558" i="214" s="1"/>
  <c r="E659" i="214"/>
  <c r="F659" i="214" s="1"/>
  <c r="E366" i="214"/>
  <c r="F366" i="214" s="1"/>
  <c r="E311" i="214"/>
  <c r="F311" i="214" s="1"/>
  <c r="E241" i="214"/>
  <c r="F241" i="214" s="1"/>
  <c r="E249" i="214"/>
  <c r="F249" i="214" s="1"/>
  <c r="E115" i="214"/>
  <c r="F115" i="214" s="1"/>
  <c r="E554" i="214"/>
  <c r="E473" i="214"/>
  <c r="F473" i="214" s="1"/>
  <c r="E434" i="214"/>
  <c r="F434" i="214" s="1"/>
  <c r="E310" i="214"/>
  <c r="F310" i="214" s="1"/>
  <c r="E372" i="214"/>
  <c r="F372" i="214" s="1"/>
  <c r="E224" i="214"/>
  <c r="F224" i="214" s="1"/>
  <c r="E100" i="214"/>
  <c r="F100" i="214" s="1"/>
  <c r="E178" i="214"/>
  <c r="F178" i="214" s="1"/>
  <c r="E177" i="214"/>
  <c r="F177" i="214" s="1"/>
  <c r="E114" i="214"/>
  <c r="F114" i="214" s="1"/>
  <c r="F101" i="214"/>
  <c r="F238" i="214"/>
  <c r="F424" i="215"/>
  <c r="F423" i="215" s="1"/>
  <c r="F492" i="215"/>
  <c r="F491" i="215" s="1"/>
  <c r="F114" i="215"/>
  <c r="F113" i="215" s="1"/>
  <c r="F238" i="215"/>
  <c r="F237" i="215" s="1"/>
  <c r="F368" i="215"/>
  <c r="F367" i="215" s="1"/>
  <c r="F424" i="214"/>
  <c r="F423" i="214" s="1"/>
  <c r="F672" i="215"/>
  <c r="F671" i="215" s="1"/>
  <c r="F300" i="214"/>
  <c r="F616" i="215"/>
  <c r="F615" i="215" s="1"/>
  <c r="F672" i="214"/>
  <c r="F486" i="215"/>
  <c r="F485" i="215" s="1"/>
  <c r="F120" i="215"/>
  <c r="F119" i="215" s="1"/>
  <c r="F492" i="214"/>
  <c r="F491" i="214" s="1"/>
  <c r="F554" i="215"/>
  <c r="F553" i="215" s="1"/>
  <c r="F678" i="215"/>
  <c r="F677" i="215" s="1"/>
  <c r="I30" i="213"/>
  <c r="F397" i="214"/>
  <c r="F92" i="214"/>
  <c r="F632" i="215"/>
  <c r="F631" i="215" s="1"/>
  <c r="F660" i="215" s="1"/>
  <c r="F665" i="215" s="1"/>
  <c r="F403" i="214"/>
  <c r="F402" i="214" s="1"/>
  <c r="E289" i="214"/>
  <c r="E273" i="214"/>
  <c r="F93" i="215"/>
  <c r="F92" i="215" s="1"/>
  <c r="E92" i="215"/>
  <c r="F584" i="214"/>
  <c r="F583" i="214" s="1"/>
  <c r="E583" i="214"/>
  <c r="F283" i="215"/>
  <c r="F282" i="215" s="1"/>
  <c r="E282" i="215"/>
  <c r="F632" i="214"/>
  <c r="F631" i="214" s="1"/>
  <c r="F660" i="214" s="1"/>
  <c r="F665" i="214" s="1"/>
  <c r="E631" i="214"/>
  <c r="E660" i="214" s="1"/>
  <c r="E665" i="214" s="1"/>
  <c r="E569" i="215"/>
  <c r="E598" i="215" s="1"/>
  <c r="E603" i="215" s="1"/>
  <c r="F460" i="215"/>
  <c r="F459" i="215" s="1"/>
  <c r="E459" i="215"/>
  <c r="F476" i="215"/>
  <c r="F475" i="215" s="1"/>
  <c r="E475" i="215"/>
  <c r="F11" i="214"/>
  <c r="F26" i="214"/>
  <c r="F25" i="214" s="1"/>
  <c r="E25" i="214"/>
  <c r="F42" i="214"/>
  <c r="F41" i="214" s="1"/>
  <c r="E41" i="214"/>
  <c r="I273" i="214"/>
  <c r="G383" i="214"/>
  <c r="I220" i="214"/>
  <c r="G397" i="214"/>
  <c r="H321" i="214"/>
  <c r="H402" i="214"/>
  <c r="I87" i="214"/>
  <c r="I459" i="214"/>
  <c r="H661" i="214"/>
  <c r="I475" i="214"/>
  <c r="H588" i="215"/>
  <c r="G406" i="215"/>
  <c r="I569" i="215"/>
  <c r="I464" i="215"/>
  <c r="G583" i="215"/>
  <c r="H507" i="215"/>
  <c r="G413" i="215"/>
  <c r="I397" i="215"/>
  <c r="H227" i="215"/>
  <c r="G73" i="215"/>
  <c r="H211" i="215"/>
  <c r="I34" i="215"/>
  <c r="G11" i="215"/>
  <c r="G40" i="215" s="1"/>
  <c r="G45" i="215" s="1"/>
  <c r="N524" i="208"/>
  <c r="N614" i="208"/>
  <c r="W590" i="208"/>
  <c r="H215" i="215"/>
  <c r="I303" i="215"/>
  <c r="H300" i="215"/>
  <c r="G287" i="215"/>
  <c r="G162" i="215"/>
  <c r="G163" i="215"/>
  <c r="H118" i="215"/>
  <c r="G179" i="215"/>
  <c r="I101" i="215"/>
  <c r="I178" i="215"/>
  <c r="G91" i="215"/>
  <c r="G114" i="215"/>
  <c r="I182" i="215"/>
  <c r="H277" i="215"/>
  <c r="I118" i="215"/>
  <c r="G304" i="215"/>
  <c r="H182" i="215"/>
  <c r="H163" i="215"/>
  <c r="I215" i="215"/>
  <c r="I122" i="215"/>
  <c r="H117" i="215"/>
  <c r="G248" i="215"/>
  <c r="I179" i="215"/>
  <c r="G339" i="215"/>
  <c r="G178" i="215"/>
  <c r="G122" i="215"/>
  <c r="H91" i="215"/>
  <c r="I240" i="215"/>
  <c r="H659" i="215"/>
  <c r="I550" i="215"/>
  <c r="H672" i="215"/>
  <c r="G611" i="215"/>
  <c r="H472" i="215"/>
  <c r="I488" i="215"/>
  <c r="I525" i="215"/>
  <c r="I612" i="215"/>
  <c r="H682" i="215"/>
  <c r="G490" i="215"/>
  <c r="H349" i="215"/>
  <c r="H425" i="215"/>
  <c r="G363" i="215"/>
  <c r="H224" i="215"/>
  <c r="I306" i="215"/>
  <c r="I311" i="215"/>
  <c r="H249" i="215"/>
  <c r="I649" i="215"/>
  <c r="G548" i="215"/>
  <c r="G597" i="215"/>
  <c r="G486" i="215"/>
  <c r="G610" i="215"/>
  <c r="I659" i="215"/>
  <c r="I492" i="215"/>
  <c r="I673" i="215"/>
  <c r="G349" i="215"/>
  <c r="H287" i="215"/>
  <c r="H306" i="215"/>
  <c r="G244" i="215"/>
  <c r="H473" i="215"/>
  <c r="G534" i="215"/>
  <c r="H489" i="215"/>
  <c r="H658" i="215"/>
  <c r="G472" i="215"/>
  <c r="H427" i="215"/>
  <c r="G596" i="215"/>
  <c r="H551" i="215"/>
  <c r="H411" i="215"/>
  <c r="H372" i="215"/>
  <c r="G241" i="215"/>
  <c r="H410" i="215"/>
  <c r="G435" i="215"/>
  <c r="G303" i="215"/>
  <c r="I302" i="215"/>
  <c r="I163" i="215"/>
  <c r="H308" i="215"/>
  <c r="H649" i="215"/>
  <c r="G675" i="215"/>
  <c r="I587" i="215"/>
  <c r="H587" i="215"/>
  <c r="G613" i="215"/>
  <c r="H368" i="215"/>
  <c r="G311" i="215"/>
  <c r="H550" i="215"/>
  <c r="I339" i="215"/>
  <c r="I487" i="215"/>
  <c r="H612" i="215"/>
  <c r="G430" i="215"/>
  <c r="G373" i="215"/>
  <c r="H248" i="215"/>
  <c r="H286" i="215"/>
  <c r="G286" i="215"/>
  <c r="H430" i="215"/>
  <c r="H620" i="215"/>
  <c r="G683" i="215"/>
  <c r="H558" i="215"/>
  <c r="I435" i="215"/>
  <c r="G525" i="215"/>
  <c r="I363" i="215"/>
  <c r="H302" i="215"/>
  <c r="I426" i="215"/>
  <c r="H364" i="215"/>
  <c r="H244" i="215"/>
  <c r="H373" i="215"/>
  <c r="G184" i="215"/>
  <c r="I559" i="215"/>
  <c r="H616" i="215"/>
  <c r="I680" i="215"/>
  <c r="G620" i="215"/>
  <c r="H674" i="215"/>
  <c r="H554" i="215"/>
  <c r="G497" i="215"/>
  <c r="I676" i="215"/>
  <c r="I618" i="215"/>
  <c r="G558" i="215"/>
  <c r="H432" i="215"/>
  <c r="I239" i="215"/>
  <c r="H153" i="215"/>
  <c r="G682" i="215"/>
  <c r="H556" i="215"/>
  <c r="I611" i="215"/>
  <c r="I672" i="215"/>
  <c r="G616" i="215"/>
  <c r="I549" i="215"/>
  <c r="H488" i="215"/>
  <c r="G674" i="215"/>
  <c r="I610" i="215"/>
  <c r="G554" i="215"/>
  <c r="I621" i="215"/>
  <c r="H525" i="215"/>
  <c r="G463" i="215"/>
  <c r="H492" i="215"/>
  <c r="I349" i="215"/>
  <c r="I428" i="215"/>
  <c r="G372" i="215"/>
  <c r="I370" i="215"/>
  <c r="I411" i="215"/>
  <c r="I301" i="215"/>
  <c r="G678" i="215"/>
  <c r="I489" i="215"/>
  <c r="I552" i="215"/>
  <c r="I494" i="215"/>
  <c r="I497" i="215"/>
  <c r="H683" i="215"/>
  <c r="I490" i="215"/>
  <c r="I432" i="215"/>
  <c r="H618" i="215"/>
  <c r="H490" i="215"/>
  <c r="H424" i="215"/>
  <c r="G473" i="215"/>
  <c r="G401" i="215"/>
  <c r="I425" i="215"/>
  <c r="G368" i="215"/>
  <c r="I249" i="215"/>
  <c r="G489" i="215"/>
  <c r="I362" i="215"/>
  <c r="G310" i="215"/>
  <c r="I225" i="215"/>
  <c r="I614" i="215"/>
  <c r="I556" i="215"/>
  <c r="G496" i="215"/>
  <c r="H614" i="215"/>
  <c r="H548" i="215"/>
  <c r="G487" i="215"/>
  <c r="I597" i="215"/>
  <c r="I658" i="215"/>
  <c r="H611" i="215"/>
  <c r="G550" i="215"/>
  <c r="I486" i="215"/>
  <c r="G434" i="215"/>
  <c r="H494" i="215"/>
  <c r="G680" i="215"/>
  <c r="I535" i="215"/>
  <c r="I596" i="215"/>
  <c r="H549" i="215"/>
  <c r="G488" i="215"/>
  <c r="I551" i="215"/>
  <c r="H678" i="215"/>
  <c r="G621" i="215"/>
  <c r="I304" i="215"/>
  <c r="I246" i="215"/>
  <c r="H246" i="215"/>
  <c r="I424" i="215"/>
  <c r="G306" i="215"/>
  <c r="G277" i="215"/>
  <c r="H241" i="215"/>
  <c r="I372" i="215"/>
  <c r="I114" i="215"/>
  <c r="H673" i="215"/>
  <c r="G612" i="215"/>
  <c r="I548" i="215"/>
  <c r="G492" i="215"/>
  <c r="I675" i="215"/>
  <c r="I620" i="215"/>
  <c r="G649" i="215"/>
  <c r="I683" i="215"/>
  <c r="I674" i="215"/>
  <c r="I558" i="215"/>
  <c r="G587" i="215"/>
  <c r="H676" i="215"/>
  <c r="H610" i="215"/>
  <c r="G549" i="215"/>
  <c r="I682" i="215"/>
  <c r="G551" i="215"/>
  <c r="I410" i="215"/>
  <c r="H363" i="215"/>
  <c r="G302" i="215"/>
  <c r="I238" i="215"/>
  <c r="I348" i="215"/>
  <c r="I242" i="215"/>
  <c r="G424" i="215"/>
  <c r="I430" i="215"/>
  <c r="I366" i="215"/>
  <c r="G301" i="215"/>
  <c r="H124" i="215"/>
  <c r="G673" i="215"/>
  <c r="H534" i="215"/>
  <c r="I616" i="215"/>
  <c r="I615" i="215" s="1"/>
  <c r="H559" i="215"/>
  <c r="I472" i="215"/>
  <c r="H680" i="215"/>
  <c r="H552" i="215"/>
  <c r="H486" i="215"/>
  <c r="G672" i="215"/>
  <c r="I554" i="215"/>
  <c r="H497" i="215"/>
  <c r="G535" i="215"/>
  <c r="I678" i="215"/>
  <c r="H621" i="215"/>
  <c r="G432" i="215"/>
  <c r="H304" i="215"/>
  <c r="H238" i="215"/>
  <c r="H301" i="215"/>
  <c r="G240" i="215"/>
  <c r="I463" i="215"/>
  <c r="H311" i="215"/>
  <c r="H362" i="215"/>
  <c r="H240" i="215"/>
  <c r="I534" i="215"/>
  <c r="H487" i="215"/>
  <c r="G659" i="215"/>
  <c r="H675" i="215"/>
  <c r="G614" i="215"/>
  <c r="G556" i="215"/>
  <c r="H597" i="215"/>
  <c r="I613" i="215"/>
  <c r="G658" i="215"/>
  <c r="H613" i="215"/>
  <c r="G552" i="215"/>
  <c r="G494" i="215"/>
  <c r="H535" i="215"/>
  <c r="H596" i="215"/>
  <c r="G676" i="215"/>
  <c r="G618" i="215"/>
  <c r="H426" i="215"/>
  <c r="I224" i="215"/>
  <c r="H428" i="215"/>
  <c r="I365" i="215"/>
  <c r="H463" i="215"/>
  <c r="I124" i="215"/>
  <c r="G118" i="215"/>
  <c r="G366" i="215"/>
  <c r="I184" i="215"/>
  <c r="G124" i="215"/>
  <c r="H184" i="215"/>
  <c r="H401" i="215"/>
  <c r="I287" i="215"/>
  <c r="G410" i="215"/>
  <c r="G308" i="215"/>
  <c r="G246" i="215"/>
  <c r="I614" i="214"/>
  <c r="I556" i="214"/>
  <c r="G496" i="214"/>
  <c r="G534" i="214"/>
  <c r="H489" i="214"/>
  <c r="G428" i="214"/>
  <c r="I613" i="214"/>
  <c r="H683" i="214"/>
  <c r="I676" i="214"/>
  <c r="I618" i="214"/>
  <c r="G558" i="214"/>
  <c r="I277" i="215"/>
  <c r="I176" i="215"/>
  <c r="G120" i="215"/>
  <c r="H370" i="215"/>
  <c r="H303" i="215"/>
  <c r="G100" i="215"/>
  <c r="G116" i="215"/>
  <c r="I100" i="214"/>
  <c r="H673" i="214"/>
  <c r="G612" i="214"/>
  <c r="I548" i="214"/>
  <c r="G492" i="214"/>
  <c r="I649" i="214"/>
  <c r="H649" i="214"/>
  <c r="H672" i="214"/>
  <c r="G611" i="214"/>
  <c r="H472" i="214"/>
  <c r="G680" i="214"/>
  <c r="I535" i="214"/>
  <c r="G674" i="214"/>
  <c r="I610" i="214"/>
  <c r="G554" i="214"/>
  <c r="I435" i="214"/>
  <c r="H366" i="215"/>
  <c r="H365" i="215"/>
  <c r="H176" i="215"/>
  <c r="I117" i="215"/>
  <c r="I125" i="215"/>
  <c r="G224" i="215"/>
  <c r="H120" i="215"/>
  <c r="I177" i="215"/>
  <c r="G597" i="214"/>
  <c r="I674" i="214"/>
  <c r="I558" i="214"/>
  <c r="G587" i="214"/>
  <c r="I490" i="214"/>
  <c r="I432" i="214"/>
  <c r="H432" i="214"/>
  <c r="G362" i="215"/>
  <c r="H239" i="215"/>
  <c r="I162" i="215"/>
  <c r="H115" i="215"/>
  <c r="G115" i="215"/>
  <c r="G370" i="215"/>
  <c r="I368" i="215"/>
  <c r="H122" i="215"/>
  <c r="G242" i="215"/>
  <c r="G125" i="215"/>
  <c r="H125" i="215"/>
  <c r="I186" i="214"/>
  <c r="I534" i="214"/>
  <c r="H487" i="214"/>
  <c r="I680" i="214"/>
  <c r="G620" i="214"/>
  <c r="H658" i="214"/>
  <c r="G672" i="214"/>
  <c r="I554" i="214"/>
  <c r="I596" i="214"/>
  <c r="H549" i="214"/>
  <c r="G488" i="214"/>
  <c r="I424" i="214"/>
  <c r="I621" i="214"/>
  <c r="I682" i="214"/>
  <c r="I248" i="215"/>
  <c r="H162" i="215"/>
  <c r="G101" i="215"/>
  <c r="G365" i="215"/>
  <c r="G364" i="215"/>
  <c r="G225" i="215"/>
  <c r="G425" i="215"/>
  <c r="I101" i="214"/>
  <c r="H659" i="214"/>
  <c r="H463" i="214"/>
  <c r="I672" i="214"/>
  <c r="G616" i="214"/>
  <c r="I587" i="214"/>
  <c r="G658" i="214"/>
  <c r="H613" i="214"/>
  <c r="G552" i="214"/>
  <c r="H618" i="214"/>
  <c r="H490" i="214"/>
  <c r="I678" i="214"/>
  <c r="H621" i="214"/>
  <c r="I310" i="215"/>
  <c r="G239" i="215"/>
  <c r="G559" i="215"/>
  <c r="H348" i="215"/>
  <c r="G187" i="215"/>
  <c r="G117" i="215"/>
  <c r="I364" i="215"/>
  <c r="H180" i="215"/>
  <c r="H114" i="215"/>
  <c r="G176" i="215"/>
  <c r="I244" i="215"/>
  <c r="G182" i="215"/>
  <c r="H177" i="214"/>
  <c r="I559" i="214"/>
  <c r="I552" i="214"/>
  <c r="I494" i="214"/>
  <c r="G434" i="214"/>
  <c r="I551" i="214"/>
  <c r="G676" i="214"/>
  <c r="G249" i="215"/>
  <c r="H101" i="215"/>
  <c r="I91" i="215"/>
  <c r="I473" i="215"/>
  <c r="H242" i="215"/>
  <c r="H496" i="215"/>
  <c r="G180" i="215"/>
  <c r="H187" i="215"/>
  <c r="G116" i="214"/>
  <c r="H473" i="214"/>
  <c r="H556" i="214"/>
  <c r="H428" i="214"/>
  <c r="I658" i="214"/>
  <c r="H611" i="214"/>
  <c r="G550" i="214"/>
  <c r="I486" i="214"/>
  <c r="G430" i="214"/>
  <c r="H535" i="214"/>
  <c r="H676" i="214"/>
  <c r="H610" i="214"/>
  <c r="G549" i="214"/>
  <c r="I612" i="214"/>
  <c r="G238" i="215"/>
  <c r="G237" i="215" s="1"/>
  <c r="H178" i="215"/>
  <c r="I496" i="215"/>
  <c r="H100" i="215"/>
  <c r="G348" i="215"/>
  <c r="G153" i="215"/>
  <c r="I489" i="214"/>
  <c r="I620" i="214"/>
  <c r="G535" i="214"/>
  <c r="G610" i="214"/>
  <c r="H179" i="215"/>
  <c r="H435" i="215"/>
  <c r="H434" i="215"/>
  <c r="H339" i="215"/>
  <c r="I180" i="215"/>
  <c r="I373" i="215"/>
  <c r="H116" i="215"/>
  <c r="G180" i="214"/>
  <c r="H120" i="214"/>
  <c r="H614" i="214"/>
  <c r="H548" i="214"/>
  <c r="G487" i="214"/>
  <c r="I616" i="214"/>
  <c r="H559" i="214"/>
  <c r="I472" i="214"/>
  <c r="H425" i="214"/>
  <c r="I497" i="214"/>
  <c r="H587" i="214"/>
  <c r="G613" i="214"/>
  <c r="H596" i="214"/>
  <c r="G596" i="214"/>
  <c r="I300" i="215"/>
  <c r="I299" i="215" s="1"/>
  <c r="G427" i="215"/>
  <c r="I308" i="215"/>
  <c r="I434" i="215"/>
  <c r="G186" i="215"/>
  <c r="G177" i="215"/>
  <c r="H177" i="215"/>
  <c r="I286" i="215"/>
  <c r="H225" i="215"/>
  <c r="I675" i="214"/>
  <c r="G473" i="214"/>
  <c r="H675" i="214"/>
  <c r="G614" i="214"/>
  <c r="G556" i="214"/>
  <c r="H597" i="214"/>
  <c r="H494" i="214"/>
  <c r="G683" i="214"/>
  <c r="H558" i="214"/>
  <c r="G427" i="214"/>
  <c r="I525" i="214"/>
  <c r="H310" i="215"/>
  <c r="G428" i="215"/>
  <c r="I427" i="215"/>
  <c r="G300" i="215"/>
  <c r="G299" i="215" s="1"/>
  <c r="G426" i="215"/>
  <c r="I115" i="215"/>
  <c r="H186" i="215"/>
  <c r="I186" i="215"/>
  <c r="I153" i="215"/>
  <c r="I116" i="215"/>
  <c r="G682" i="214"/>
  <c r="G673" i="214"/>
  <c r="H534" i="214"/>
  <c r="I550" i="214"/>
  <c r="I434" i="214"/>
  <c r="I683" i="214"/>
  <c r="I427" i="214"/>
  <c r="H674" i="214"/>
  <c r="H554" i="214"/>
  <c r="G497" i="214"/>
  <c r="I120" i="215"/>
  <c r="I119" i="215" s="1"/>
  <c r="I401" i="215"/>
  <c r="I187" i="215"/>
  <c r="G411" i="215"/>
  <c r="I241" i="215"/>
  <c r="I100" i="215"/>
  <c r="G215" i="215"/>
  <c r="G678" i="214"/>
  <c r="G659" i="214"/>
  <c r="I463" i="214"/>
  <c r="G548" i="214"/>
  <c r="I430" i="214"/>
  <c r="H680" i="214"/>
  <c r="H552" i="214"/>
  <c r="H486" i="214"/>
  <c r="G425" i="214"/>
  <c r="I549" i="214"/>
  <c r="H488" i="214"/>
  <c r="H551" i="214"/>
  <c r="G490" i="214"/>
  <c r="G432" i="214"/>
  <c r="G463" i="214"/>
  <c r="G362" i="214"/>
  <c r="I244" i="214"/>
  <c r="H492" i="214"/>
  <c r="I401" i="214"/>
  <c r="G401" i="214"/>
  <c r="H612" i="214"/>
  <c r="I673" i="214"/>
  <c r="I365" i="214"/>
  <c r="G365" i="214"/>
  <c r="I153" i="214"/>
  <c r="I240" i="214"/>
  <c r="I124" i="214"/>
  <c r="I184" i="214"/>
  <c r="H187" i="214"/>
  <c r="I215" i="214"/>
  <c r="H497" i="214"/>
  <c r="G224" i="214"/>
  <c r="I426" i="214"/>
  <c r="I373" i="214"/>
  <c r="H682" i="214"/>
  <c r="G348" i="214"/>
  <c r="H303" i="214"/>
  <c r="G242" i="214"/>
  <c r="H616" i="214"/>
  <c r="I597" i="214"/>
  <c r="G363" i="214"/>
  <c r="G410" i="214"/>
  <c r="H365" i="214"/>
  <c r="H496" i="214"/>
  <c r="G339" i="214"/>
  <c r="I120" i="214"/>
  <c r="I176" i="214"/>
  <c r="G124" i="214"/>
  <c r="G184" i="214"/>
  <c r="H124" i="214"/>
  <c r="G277" i="214"/>
  <c r="G215" i="214"/>
  <c r="G424" i="214"/>
  <c r="H370" i="214"/>
  <c r="I366" i="214"/>
  <c r="I308" i="214"/>
  <c r="G248" i="214"/>
  <c r="G525" i="214"/>
  <c r="H550" i="214"/>
  <c r="H349" i="214"/>
  <c r="G349" i="214"/>
  <c r="G486" i="214"/>
  <c r="G435" i="214"/>
  <c r="I225" i="214"/>
  <c r="H179" i="214"/>
  <c r="G118" i="214"/>
  <c r="H240" i="214"/>
  <c r="G246" i="214"/>
  <c r="G120" i="214"/>
  <c r="I178" i="214"/>
  <c r="G238" i="214"/>
  <c r="I115" i="214"/>
  <c r="I182" i="214"/>
  <c r="I187" i="214"/>
  <c r="G618" i="214"/>
  <c r="H434" i="214"/>
  <c r="I303" i="214"/>
  <c r="G364" i="214"/>
  <c r="I300" i="214"/>
  <c r="G244" i="214"/>
  <c r="I372" i="214"/>
  <c r="I611" i="214"/>
  <c r="H410" i="214"/>
  <c r="I473" i="214"/>
  <c r="I370" i="214"/>
  <c r="H310" i="214"/>
  <c r="I411" i="214"/>
  <c r="G240" i="214"/>
  <c r="I162" i="214"/>
  <c r="I239" i="214"/>
  <c r="G176" i="214"/>
  <c r="I310" i="214"/>
  <c r="H182" i="214"/>
  <c r="H178" i="214"/>
  <c r="G178" i="214"/>
  <c r="H525" i="214"/>
  <c r="H427" i="214"/>
  <c r="H362" i="214"/>
  <c r="G301" i="214"/>
  <c r="G426" i="214"/>
  <c r="I311" i="214"/>
  <c r="I368" i="214"/>
  <c r="H311" i="214"/>
  <c r="I339" i="214"/>
  <c r="I362" i="214"/>
  <c r="H364" i="214"/>
  <c r="H115" i="214"/>
  <c r="H426" i="214"/>
  <c r="H224" i="214"/>
  <c r="G162" i="214"/>
  <c r="G303" i="214"/>
  <c r="I125" i="214"/>
  <c r="H184" i="214"/>
  <c r="I301" i="214"/>
  <c r="G115" i="214"/>
  <c r="H620" i="214"/>
  <c r="G287" i="214"/>
  <c r="H277" i="214"/>
  <c r="G649" i="214"/>
  <c r="I286" i="214"/>
  <c r="H239" i="214"/>
  <c r="H308" i="214"/>
  <c r="G366" i="214"/>
  <c r="G308" i="214"/>
  <c r="G489" i="214"/>
  <c r="H339" i="214"/>
  <c r="H301" i="214"/>
  <c r="H122" i="214"/>
  <c r="G125" i="214"/>
  <c r="G100" i="214"/>
  <c r="H162" i="214"/>
  <c r="H348" i="214"/>
  <c r="H411" i="214"/>
  <c r="I241" i="214"/>
  <c r="I302" i="214"/>
  <c r="H430" i="214"/>
  <c r="H429" i="214" s="1"/>
  <c r="I348" i="214"/>
  <c r="H153" i="214"/>
  <c r="G373" i="214"/>
  <c r="G179" i="214"/>
  <c r="G114" i="214"/>
  <c r="I277" i="214"/>
  <c r="G494" i="214"/>
  <c r="H366" i="214"/>
  <c r="H300" i="214"/>
  <c r="G239" i="214"/>
  <c r="G300" i="214"/>
  <c r="H424" i="214"/>
  <c r="H372" i="214"/>
  <c r="G241" i="214"/>
  <c r="H118" i="214"/>
  <c r="I306" i="214"/>
  <c r="I305" i="214" s="1"/>
  <c r="H101" i="214"/>
  <c r="H180" i="214"/>
  <c r="H114" i="214"/>
  <c r="I117" i="214"/>
  <c r="I428" i="214"/>
  <c r="H117" i="214"/>
  <c r="I177" i="214"/>
  <c r="G559" i="214"/>
  <c r="G472" i="214"/>
  <c r="H225" i="214"/>
  <c r="I425" i="214"/>
  <c r="G225" i="214"/>
  <c r="G286" i="214"/>
  <c r="H241" i="214"/>
  <c r="H368" i="214"/>
  <c r="G311" i="214"/>
  <c r="G372" i="214"/>
  <c r="I249" i="214"/>
  <c r="I487" i="214"/>
  <c r="G621" i="214"/>
  <c r="H249" i="214"/>
  <c r="I179" i="214"/>
  <c r="G186" i="214"/>
  <c r="H163" i="214"/>
  <c r="I122" i="214"/>
  <c r="G122" i="214"/>
  <c r="I91" i="214"/>
  <c r="H373" i="214"/>
  <c r="H286" i="214"/>
  <c r="H401" i="214"/>
  <c r="I363" i="214"/>
  <c r="H302" i="214"/>
  <c r="G675" i="214"/>
  <c r="G368" i="214"/>
  <c r="I488" i="214"/>
  <c r="H246" i="214"/>
  <c r="G177" i="214"/>
  <c r="H100" i="214"/>
  <c r="I180" i="214"/>
  <c r="G249" i="214"/>
  <c r="I118" i="214"/>
  <c r="I114" i="214"/>
  <c r="I496" i="214"/>
  <c r="G370" i="214"/>
  <c r="H678" i="214"/>
  <c r="H677" i="214" s="1"/>
  <c r="G411" i="214"/>
  <c r="I659" i="214"/>
  <c r="I304" i="214"/>
  <c r="I246" i="214"/>
  <c r="H242" i="214"/>
  <c r="G163" i="214"/>
  <c r="H306" i="214"/>
  <c r="H305" i="214" s="1"/>
  <c r="G304" i="214"/>
  <c r="H176" i="214"/>
  <c r="H175" i="214" s="1"/>
  <c r="I163" i="214"/>
  <c r="I224" i="214"/>
  <c r="G187" i="214"/>
  <c r="I492" i="214"/>
  <c r="H435" i="214"/>
  <c r="I364" i="214"/>
  <c r="I248" i="214"/>
  <c r="G551" i="214"/>
  <c r="I349" i="214"/>
  <c r="I410" i="214"/>
  <c r="H363" i="214"/>
  <c r="G302" i="214"/>
  <c r="I238" i="214"/>
  <c r="H304" i="214"/>
  <c r="H238" i="214"/>
  <c r="H248" i="214"/>
  <c r="G306" i="214"/>
  <c r="H287" i="214"/>
  <c r="H215" i="214"/>
  <c r="G182" i="214"/>
  <c r="H91" i="214"/>
  <c r="G91" i="214"/>
  <c r="H125" i="214"/>
  <c r="I116" i="214"/>
  <c r="G101" i="214"/>
  <c r="G310" i="214"/>
  <c r="I287" i="214"/>
  <c r="I242" i="214"/>
  <c r="G153" i="214"/>
  <c r="H244" i="214"/>
  <c r="H186" i="214"/>
  <c r="H116" i="214"/>
  <c r="G117" i="214"/>
  <c r="F278" i="214"/>
  <c r="F465" i="215"/>
  <c r="F464" i="215" s="1"/>
  <c r="F88" i="214"/>
  <c r="F87" i="214" s="1"/>
  <c r="E87" i="214"/>
  <c r="E588" i="214"/>
  <c r="F104" i="214"/>
  <c r="F103" i="214" s="1"/>
  <c r="E103" i="214"/>
  <c r="F150" i="214"/>
  <c r="F149" i="214" s="1"/>
  <c r="E149" i="214"/>
  <c r="F221" i="215"/>
  <c r="F220" i="215" s="1"/>
  <c r="E220" i="215"/>
  <c r="F88" i="215"/>
  <c r="F87" i="215" s="1"/>
  <c r="E87" i="215"/>
  <c r="I103" i="214"/>
  <c r="G92" i="214"/>
  <c r="H197" i="214"/>
  <c r="H406" i="214"/>
  <c r="H413" i="214"/>
  <c r="I216" i="214"/>
  <c r="G588" i="214"/>
  <c r="H468" i="214"/>
  <c r="H165" i="215"/>
  <c r="H588" i="214"/>
  <c r="H521" i="214"/>
  <c r="I259" i="215"/>
  <c r="I288" i="215" s="1"/>
  <c r="I293" i="215" s="1"/>
  <c r="H289" i="215"/>
  <c r="I383" i="215"/>
  <c r="I412" i="215" s="1"/>
  <c r="I417" i="215" s="1"/>
  <c r="G273" i="215"/>
  <c r="G569" i="215"/>
  <c r="G598" i="215" s="1"/>
  <c r="G603" i="215" s="1"/>
  <c r="G645" i="215"/>
  <c r="I321" i="215"/>
  <c r="I350" i="215" s="1"/>
  <c r="I355" i="215" s="1"/>
  <c r="I30" i="214"/>
  <c r="I25" i="214"/>
  <c r="H41" i="215"/>
  <c r="I592" i="213"/>
  <c r="H30" i="213"/>
  <c r="H273" i="213"/>
  <c r="G282" i="213"/>
  <c r="B4" i="215"/>
  <c r="B562" i="215"/>
  <c r="B190" i="215"/>
  <c r="B376" i="215"/>
  <c r="B500" i="215"/>
  <c r="B438" i="215"/>
  <c r="B66" i="215"/>
  <c r="B252" i="215"/>
  <c r="B128" i="215"/>
  <c r="B624" i="215"/>
  <c r="B314" i="215"/>
  <c r="B66" i="214"/>
  <c r="B376" i="214"/>
  <c r="B438" i="214"/>
  <c r="B500" i="214"/>
  <c r="B562" i="214"/>
  <c r="B624" i="214"/>
  <c r="B314" i="214"/>
  <c r="B4" i="214"/>
  <c r="B252" i="214"/>
  <c r="B128" i="214"/>
  <c r="B190" i="214"/>
  <c r="I397" i="213"/>
  <c r="H599" i="213"/>
  <c r="I11" i="213"/>
  <c r="I282" i="213"/>
  <c r="G149" i="213"/>
  <c r="G650" i="213"/>
  <c r="I289" i="213"/>
  <c r="I220" i="213"/>
  <c r="I154" i="213"/>
  <c r="I351" i="213"/>
  <c r="G340" i="213"/>
  <c r="H149" i="213"/>
  <c r="H475" i="213"/>
  <c r="H406" i="213"/>
  <c r="I507" i="213"/>
  <c r="H87" i="213"/>
  <c r="I344" i="213"/>
  <c r="G445" i="213"/>
  <c r="I197" i="213"/>
  <c r="H103" i="213"/>
  <c r="H278" i="213"/>
  <c r="G165" i="213"/>
  <c r="H397" i="213"/>
  <c r="I340" i="213"/>
  <c r="H335" i="213"/>
  <c r="H340" i="213"/>
  <c r="G227" i="213"/>
  <c r="G289" i="213"/>
  <c r="B624" i="213"/>
  <c r="B562" i="213"/>
  <c r="B252" i="213"/>
  <c r="B376" i="213"/>
  <c r="B500" i="213"/>
  <c r="B438" i="213"/>
  <c r="B128" i="213"/>
  <c r="B314" i="213"/>
  <c r="B66" i="213"/>
  <c r="B190" i="213"/>
  <c r="B4" i="213"/>
  <c r="H351" i="213"/>
  <c r="G645" i="213"/>
  <c r="I537" i="213"/>
  <c r="G599" i="213"/>
  <c r="G464" i="213"/>
  <c r="I654" i="213"/>
  <c r="G41" i="213"/>
  <c r="H25" i="213"/>
  <c r="W366" i="208"/>
  <c r="F93" i="213"/>
  <c r="F92" i="213" s="1"/>
  <c r="E92" i="213"/>
  <c r="F662" i="213"/>
  <c r="F661" i="213" s="1"/>
  <c r="E661" i="213"/>
  <c r="G73" i="213"/>
  <c r="H227" i="213"/>
  <c r="G397" i="213"/>
  <c r="H661" i="213"/>
  <c r="G537" i="213"/>
  <c r="H645" i="213"/>
  <c r="I321" i="213"/>
  <c r="G11" i="213"/>
  <c r="I25" i="213"/>
  <c r="N410" i="208"/>
  <c r="H53" i="213"/>
  <c r="G63" i="213"/>
  <c r="H60" i="213"/>
  <c r="G39" i="213"/>
  <c r="H29" i="213"/>
  <c r="I62" i="213"/>
  <c r="I39" i="213"/>
  <c r="G38" i="213"/>
  <c r="G53" i="213"/>
  <c r="G54" i="213"/>
  <c r="H52" i="213"/>
  <c r="H58" i="213"/>
  <c r="I55" i="213"/>
  <c r="I56" i="213"/>
  <c r="I38" i="213"/>
  <c r="H62" i="213"/>
  <c r="H63" i="213"/>
  <c r="H54" i="213"/>
  <c r="I60" i="213"/>
  <c r="H38" i="213"/>
  <c r="G58" i="213"/>
  <c r="I54" i="213"/>
  <c r="I53" i="213"/>
  <c r="G55" i="213"/>
  <c r="G52" i="213"/>
  <c r="G29" i="213"/>
  <c r="I29" i="213"/>
  <c r="I52" i="213"/>
  <c r="H56" i="213"/>
  <c r="G60" i="213"/>
  <c r="I63" i="213"/>
  <c r="G56" i="213"/>
  <c r="H39" i="213"/>
  <c r="I58" i="213"/>
  <c r="H55" i="213"/>
  <c r="G62" i="213"/>
  <c r="E278" i="213"/>
  <c r="F279" i="213"/>
  <c r="F278" i="213" s="1"/>
  <c r="E282" i="213"/>
  <c r="F283" i="213"/>
  <c r="F282" i="213" s="1"/>
  <c r="F341" i="213"/>
  <c r="F340" i="213" s="1"/>
  <c r="E340" i="213"/>
  <c r="F508" i="213"/>
  <c r="F507" i="213" s="1"/>
  <c r="E507" i="213"/>
  <c r="E73" i="213"/>
  <c r="F74" i="213"/>
  <c r="F73" i="213" s="1"/>
  <c r="G654" i="213"/>
  <c r="I521" i="213"/>
  <c r="I216" i="213"/>
  <c r="E402" i="213"/>
  <c r="F403" i="213"/>
  <c r="F402" i="213" s="1"/>
  <c r="E459" i="213"/>
  <c r="F460" i="213"/>
  <c r="F459" i="213" s="1"/>
  <c r="E227" i="213"/>
  <c r="F228" i="213"/>
  <c r="F227" i="213" s="1"/>
  <c r="E289" i="213"/>
  <c r="F290" i="213"/>
  <c r="F289" i="213" s="1"/>
  <c r="F655" i="213"/>
  <c r="F654" i="213" s="1"/>
  <c r="E654" i="213"/>
  <c r="F198" i="213"/>
  <c r="F197" i="213" s="1"/>
  <c r="E197" i="213"/>
  <c r="F221" i="213"/>
  <c r="F220" i="213" s="1"/>
  <c r="E220" i="213"/>
  <c r="F12" i="213"/>
  <c r="F11" i="213" s="1"/>
  <c r="E11" i="213"/>
  <c r="I583" i="213"/>
  <c r="H650" i="213"/>
  <c r="G569" i="213"/>
  <c r="I569" i="213"/>
  <c r="N436" i="208"/>
  <c r="W450" i="208"/>
  <c r="N387" i="208"/>
  <c r="E351" i="33"/>
  <c r="F97" i="213"/>
  <c r="F96" i="213" s="1"/>
  <c r="E96" i="213"/>
  <c r="F398" i="213"/>
  <c r="F397" i="213" s="1"/>
  <c r="E397" i="213"/>
  <c r="F322" i="213"/>
  <c r="F321" i="213" s="1"/>
  <c r="E321" i="213"/>
  <c r="F166" i="213"/>
  <c r="F165" i="213" s="1"/>
  <c r="E165" i="213"/>
  <c r="F600" i="213"/>
  <c r="F599" i="213" s="1"/>
  <c r="E599" i="213"/>
  <c r="H216" i="213"/>
  <c r="I335" i="213"/>
  <c r="H402" i="213"/>
  <c r="H537" i="213"/>
  <c r="H321" i="213"/>
  <c r="H583" i="213"/>
  <c r="G273" i="213"/>
  <c r="H631" i="213"/>
  <c r="I165" i="213"/>
  <c r="G103" i="213"/>
  <c r="H464" i="213"/>
  <c r="G197" i="213"/>
  <c r="I650" i="213"/>
  <c r="I588" i="213"/>
  <c r="W436" i="208"/>
  <c r="W387" i="208"/>
  <c r="E468" i="213"/>
  <c r="F469" i="213"/>
  <c r="F468" i="213" s="1"/>
  <c r="F538" i="213"/>
  <c r="F537" i="213" s="1"/>
  <c r="E537" i="213"/>
  <c r="F136" i="213"/>
  <c r="F135" i="213" s="1"/>
  <c r="E135" i="213"/>
  <c r="F527" i="213"/>
  <c r="F526" i="213" s="1"/>
  <c r="E526" i="213"/>
  <c r="F88" i="213"/>
  <c r="F87" i="213" s="1"/>
  <c r="E87" i="213"/>
  <c r="F531" i="213"/>
  <c r="F530" i="213" s="1"/>
  <c r="E530" i="213"/>
  <c r="F476" i="213"/>
  <c r="F475" i="213" s="1"/>
  <c r="E475" i="213"/>
  <c r="E30" i="213"/>
  <c r="F31" i="213"/>
  <c r="F30" i="213" s="1"/>
  <c r="I227" i="213"/>
  <c r="H154" i="213"/>
  <c r="G521" i="213"/>
  <c r="G475" i="213"/>
  <c r="H413" i="213"/>
  <c r="I259" i="213"/>
  <c r="I631" i="213"/>
  <c r="I96" i="213"/>
  <c r="I459" i="213"/>
  <c r="H92" i="213"/>
  <c r="H530" i="213"/>
  <c r="I445" i="213"/>
  <c r="G530" i="213"/>
  <c r="H11" i="213"/>
  <c r="G30" i="213"/>
  <c r="H41" i="213"/>
  <c r="N441" i="208"/>
  <c r="F104" i="213"/>
  <c r="F103" i="213" s="1"/>
  <c r="E103" i="213"/>
  <c r="E149" i="213"/>
  <c r="F150" i="213"/>
  <c r="F149" i="213" s="1"/>
  <c r="G413" i="213"/>
  <c r="H344" i="213"/>
  <c r="G631" i="213"/>
  <c r="G661" i="213"/>
  <c r="I402" i="213"/>
  <c r="H73" i="213"/>
  <c r="G468" i="213"/>
  <c r="G592" i="213"/>
  <c r="I406" i="213"/>
  <c r="I158" i="213"/>
  <c r="I103" i="213"/>
  <c r="W441" i="208"/>
  <c r="E521" i="213"/>
  <c r="F522" i="213"/>
  <c r="F521" i="213" s="1"/>
  <c r="E464" i="213"/>
  <c r="F465" i="213"/>
  <c r="F464" i="213" s="1"/>
  <c r="F446" i="213"/>
  <c r="F445" i="213" s="1"/>
  <c r="E445" i="213"/>
  <c r="F155" i="213"/>
  <c r="F154" i="213" s="1"/>
  <c r="E154" i="213"/>
  <c r="G583" i="213"/>
  <c r="I413" i="213"/>
  <c r="H445" i="213"/>
  <c r="G588" i="213"/>
  <c r="I468" i="213"/>
  <c r="H521" i="213"/>
  <c r="I87" i="213"/>
  <c r="H96" i="213"/>
  <c r="G34" i="213"/>
  <c r="F646" i="213"/>
  <c r="F645" i="213" s="1"/>
  <c r="E645" i="213"/>
  <c r="F589" i="213"/>
  <c r="F588" i="213" s="1"/>
  <c r="E588" i="213"/>
  <c r="F593" i="213"/>
  <c r="F592" i="213" s="1"/>
  <c r="E592" i="213"/>
  <c r="G507" i="213"/>
  <c r="H507" i="213"/>
  <c r="G402" i="213"/>
  <c r="H165" i="213"/>
  <c r="G406" i="213"/>
  <c r="G321" i="213"/>
  <c r="G135" i="213"/>
  <c r="H282" i="213"/>
  <c r="G526" i="213"/>
  <c r="I661" i="213"/>
  <c r="I464" i="213"/>
  <c r="G220" i="213"/>
  <c r="I645" i="213"/>
  <c r="H211" i="213"/>
  <c r="H197" i="213"/>
  <c r="E63" i="213"/>
  <c r="F63" i="213" s="1"/>
  <c r="E56" i="213"/>
  <c r="F56" i="213" s="1"/>
  <c r="E52" i="213"/>
  <c r="E29" i="213"/>
  <c r="F29" i="213" s="1"/>
  <c r="E38" i="213"/>
  <c r="F38" i="213" s="1"/>
  <c r="E55" i="213"/>
  <c r="F55" i="213" s="1"/>
  <c r="E54" i="213"/>
  <c r="F54" i="213" s="1"/>
  <c r="E60" i="213"/>
  <c r="F60" i="213" s="1"/>
  <c r="E62" i="213"/>
  <c r="F62" i="213" s="1"/>
  <c r="E39" i="213"/>
  <c r="F39" i="213" s="1"/>
  <c r="E58" i="213"/>
  <c r="E53" i="213"/>
  <c r="F53" i="213" s="1"/>
  <c r="H259" i="213"/>
  <c r="H158" i="213"/>
  <c r="G278" i="213"/>
  <c r="H220" i="213"/>
  <c r="G96" i="213"/>
  <c r="H526" i="213"/>
  <c r="G87" i="213"/>
  <c r="F159" i="213"/>
  <c r="F158" i="213" s="1"/>
  <c r="E158" i="213"/>
  <c r="E273" i="213"/>
  <c r="F274" i="213"/>
  <c r="F273" i="213" s="1"/>
  <c r="F407" i="213"/>
  <c r="F406" i="213" s="1"/>
  <c r="E406" i="213"/>
  <c r="F26" i="213"/>
  <c r="F25" i="213" s="1"/>
  <c r="E25" i="213"/>
  <c r="G158" i="213"/>
  <c r="I475" i="213"/>
  <c r="G344" i="213"/>
  <c r="I383" i="213"/>
  <c r="I530" i="213"/>
  <c r="H592" i="213"/>
  <c r="I599" i="213"/>
  <c r="H34" i="213"/>
  <c r="E182" i="213"/>
  <c r="E610" i="213"/>
  <c r="E490" i="213"/>
  <c r="F490" i="213" s="1"/>
  <c r="E432" i="213"/>
  <c r="F432" i="213" s="1"/>
  <c r="E525" i="213"/>
  <c r="F525" i="213" s="1"/>
  <c r="E612" i="213"/>
  <c r="F612" i="213" s="1"/>
  <c r="E614" i="213"/>
  <c r="F614" i="213" s="1"/>
  <c r="E620" i="213"/>
  <c r="F620" i="213" s="1"/>
  <c r="E597" i="213"/>
  <c r="F597" i="213" s="1"/>
  <c r="E425" i="213"/>
  <c r="F425" i="213" s="1"/>
  <c r="E339" i="213"/>
  <c r="F339" i="213" s="1"/>
  <c r="E162" i="213"/>
  <c r="F162" i="213" s="1"/>
  <c r="E659" i="213"/>
  <c r="F659" i="213" s="1"/>
  <c r="E487" i="213"/>
  <c r="F487" i="213" s="1"/>
  <c r="E616" i="213"/>
  <c r="E114" i="213"/>
  <c r="E596" i="213"/>
  <c r="F596" i="213" s="1"/>
  <c r="E548" i="213"/>
  <c r="E428" i="213"/>
  <c r="F428" i="213" s="1"/>
  <c r="E649" i="213"/>
  <c r="F649" i="213" s="1"/>
  <c r="E463" i="213"/>
  <c r="F463" i="213" s="1"/>
  <c r="E680" i="213"/>
  <c r="F680" i="213" s="1"/>
  <c r="E178" i="213"/>
  <c r="F178" i="213" s="1"/>
  <c r="E349" i="213"/>
  <c r="F349" i="213" s="1"/>
  <c r="E424" i="213"/>
  <c r="E621" i="213"/>
  <c r="F621" i="213" s="1"/>
  <c r="E496" i="213"/>
  <c r="F496" i="213" s="1"/>
  <c r="E473" i="213"/>
  <c r="F473" i="213" s="1"/>
  <c r="E365" i="213"/>
  <c r="F365" i="213" s="1"/>
  <c r="E186" i="213"/>
  <c r="F186" i="213" s="1"/>
  <c r="E492" i="213"/>
  <c r="E534" i="213"/>
  <c r="F534" i="213" s="1"/>
  <c r="E550" i="213"/>
  <c r="F550" i="213" s="1"/>
  <c r="E115" i="213"/>
  <c r="F115" i="213" s="1"/>
  <c r="E122" i="213"/>
  <c r="F122" i="213" s="1"/>
  <c r="E551" i="213"/>
  <c r="F551" i="213" s="1"/>
  <c r="E434" i="213"/>
  <c r="F434" i="213" s="1"/>
  <c r="E672" i="213"/>
  <c r="E552" i="213"/>
  <c r="F552" i="213" s="1"/>
  <c r="E494" i="213"/>
  <c r="F494" i="213" s="1"/>
  <c r="E224" i="213"/>
  <c r="F224" i="213" s="1"/>
  <c r="E100" i="213"/>
  <c r="F100" i="213" s="1"/>
  <c r="E176" i="213"/>
  <c r="E435" i="213"/>
  <c r="F435" i="213" s="1"/>
  <c r="E430" i="213"/>
  <c r="E248" i="213"/>
  <c r="F248" i="213" s="1"/>
  <c r="E225" i="213"/>
  <c r="F225" i="213" s="1"/>
  <c r="E184" i="213"/>
  <c r="F184" i="213" s="1"/>
  <c r="E682" i="213"/>
  <c r="F682" i="213" s="1"/>
  <c r="E426" i="213"/>
  <c r="F426" i="213" s="1"/>
  <c r="E675" i="213"/>
  <c r="F675" i="213" s="1"/>
  <c r="E658" i="213"/>
  <c r="F658" i="213" s="1"/>
  <c r="E249" i="213"/>
  <c r="F249" i="213" s="1"/>
  <c r="E304" i="213"/>
  <c r="F304" i="213" s="1"/>
  <c r="E101" i="213"/>
  <c r="F101" i="213" s="1"/>
  <c r="E372" i="213"/>
  <c r="F372" i="213" s="1"/>
  <c r="E678" i="213"/>
  <c r="E559" i="213"/>
  <c r="F559" i="213" s="1"/>
  <c r="E489" i="213"/>
  <c r="F489" i="213" s="1"/>
  <c r="E116" i="213"/>
  <c r="F116" i="213" s="1"/>
  <c r="E311" i="213"/>
  <c r="F311" i="213" s="1"/>
  <c r="E180" i="213"/>
  <c r="F180" i="213" s="1"/>
  <c r="E246" i="213"/>
  <c r="F246" i="213" s="1"/>
  <c r="E673" i="213"/>
  <c r="F673" i="213" s="1"/>
  <c r="E556" i="213"/>
  <c r="F556" i="213" s="1"/>
  <c r="E215" i="213"/>
  <c r="F215" i="213" s="1"/>
  <c r="E611" i="213"/>
  <c r="F611" i="213" s="1"/>
  <c r="E303" i="213"/>
  <c r="F303" i="213" s="1"/>
  <c r="E286" i="213"/>
  <c r="F286" i="213" s="1"/>
  <c r="E91" i="213"/>
  <c r="F91" i="213" s="1"/>
  <c r="E287" i="213"/>
  <c r="F287" i="213" s="1"/>
  <c r="E370" i="213"/>
  <c r="F370" i="213" s="1"/>
  <c r="E613" i="213"/>
  <c r="F613" i="213" s="1"/>
  <c r="E411" i="213"/>
  <c r="F411" i="213" s="1"/>
  <c r="E488" i="213"/>
  <c r="F488" i="213" s="1"/>
  <c r="E674" i="213"/>
  <c r="F674" i="213" s="1"/>
  <c r="E363" i="213"/>
  <c r="F363" i="213" s="1"/>
  <c r="E683" i="213"/>
  <c r="F683" i="213" s="1"/>
  <c r="E310" i="213"/>
  <c r="F310" i="213" s="1"/>
  <c r="E179" i="213"/>
  <c r="F179" i="213" s="1"/>
  <c r="E241" i="213"/>
  <c r="F241" i="213" s="1"/>
  <c r="E244" i="213"/>
  <c r="E187" i="213"/>
  <c r="F187" i="213" s="1"/>
  <c r="E306" i="213"/>
  <c r="E177" i="213"/>
  <c r="F177" i="213" s="1"/>
  <c r="E427" i="213"/>
  <c r="F427" i="213" s="1"/>
  <c r="E362" i="213"/>
  <c r="E558" i="213"/>
  <c r="F558" i="213" s="1"/>
  <c r="E486" i="213"/>
  <c r="E240" i="213"/>
  <c r="F240" i="213" s="1"/>
  <c r="E242" i="213"/>
  <c r="F242" i="213" s="1"/>
  <c r="E549" i="213"/>
  <c r="F549" i="213" s="1"/>
  <c r="E535" i="213"/>
  <c r="F535" i="213" s="1"/>
  <c r="E163" i="213"/>
  <c r="F163" i="213" s="1"/>
  <c r="E238" i="213"/>
  <c r="E497" i="213"/>
  <c r="F497" i="213" s="1"/>
  <c r="E124" i="213"/>
  <c r="F124" i="213" s="1"/>
  <c r="E117" i="213"/>
  <c r="F117" i="213" s="1"/>
  <c r="E676" i="213"/>
  <c r="F676" i="213" s="1"/>
  <c r="E410" i="213"/>
  <c r="F410" i="213" s="1"/>
  <c r="E348" i="213"/>
  <c r="F348" i="213" s="1"/>
  <c r="E554" i="213"/>
  <c r="E118" i="213"/>
  <c r="F118" i="213" s="1"/>
  <c r="E618" i="213"/>
  <c r="F618" i="213" s="1"/>
  <c r="E472" i="213"/>
  <c r="F472" i="213" s="1"/>
  <c r="E277" i="213"/>
  <c r="F277" i="213" s="1"/>
  <c r="E366" i="213"/>
  <c r="F366" i="213" s="1"/>
  <c r="E308" i="213"/>
  <c r="F308" i="213" s="1"/>
  <c r="E120" i="213"/>
  <c r="E153" i="213"/>
  <c r="F153" i="213" s="1"/>
  <c r="E401" i="213"/>
  <c r="F401" i="213" s="1"/>
  <c r="E587" i="213"/>
  <c r="F587" i="213" s="1"/>
  <c r="E373" i="213"/>
  <c r="F373" i="213" s="1"/>
  <c r="E301" i="213"/>
  <c r="F301" i="213" s="1"/>
  <c r="E368" i="213"/>
  <c r="E300" i="213"/>
  <c r="E239" i="213"/>
  <c r="F239" i="213" s="1"/>
  <c r="E125" i="213"/>
  <c r="F125" i="213" s="1"/>
  <c r="E364" i="213"/>
  <c r="F364" i="213" s="1"/>
  <c r="E302" i="213"/>
  <c r="F302" i="213" s="1"/>
  <c r="F352" i="213"/>
  <c r="F351" i="213" s="1"/>
  <c r="E351" i="213"/>
  <c r="E344" i="213"/>
  <c r="F345" i="213"/>
  <c r="F344" i="213" s="1"/>
  <c r="F632" i="213"/>
  <c r="F631" i="213" s="1"/>
  <c r="E631" i="213"/>
  <c r="F384" i="213"/>
  <c r="F383" i="213" s="1"/>
  <c r="E383" i="213"/>
  <c r="F570" i="213"/>
  <c r="F569" i="213" s="1"/>
  <c r="E569" i="213"/>
  <c r="E34" i="213"/>
  <c r="F35" i="213"/>
  <c r="F34" i="213" s="1"/>
  <c r="I149" i="213"/>
  <c r="H135" i="213"/>
  <c r="I278" i="213"/>
  <c r="G92" i="213"/>
  <c r="G459" i="213"/>
  <c r="H588" i="213"/>
  <c r="G216" i="213"/>
  <c r="I135" i="213"/>
  <c r="H459" i="213"/>
  <c r="N366" i="208"/>
  <c r="W596" i="208"/>
  <c r="H153" i="213"/>
  <c r="H365" i="213"/>
  <c r="G186" i="213"/>
  <c r="G310" i="213"/>
  <c r="I240" i="213"/>
  <c r="G178" i="213"/>
  <c r="G556" i="213"/>
  <c r="H616" i="213"/>
  <c r="G559" i="213"/>
  <c r="G489" i="213"/>
  <c r="I552" i="213"/>
  <c r="I494" i="213"/>
  <c r="G434" i="213"/>
  <c r="G597" i="213"/>
  <c r="I674" i="213"/>
  <c r="I549" i="213"/>
  <c r="G497" i="213"/>
  <c r="H310" i="213"/>
  <c r="G249" i="213"/>
  <c r="H182" i="213"/>
  <c r="G215" i="213"/>
  <c r="H179" i="213"/>
  <c r="I534" i="213"/>
  <c r="H487" i="213"/>
  <c r="I428" i="213"/>
  <c r="I550" i="213"/>
  <c r="I611" i="213"/>
  <c r="H550" i="213"/>
  <c r="I658" i="213"/>
  <c r="H611" i="213"/>
  <c r="G550" i="213"/>
  <c r="I486" i="213"/>
  <c r="G430" i="213"/>
  <c r="G672" i="213"/>
  <c r="I558" i="213"/>
  <c r="H186" i="213"/>
  <c r="G365" i="213"/>
  <c r="G187" i="213"/>
  <c r="G304" i="213"/>
  <c r="G100" i="213"/>
  <c r="G308" i="213"/>
  <c r="H659" i="213"/>
  <c r="G426" i="213"/>
  <c r="H649" i="213"/>
  <c r="G548" i="213"/>
  <c r="I587" i="213"/>
  <c r="G658" i="213"/>
  <c r="H613" i="213"/>
  <c r="I554" i="213"/>
  <c r="H497" i="213"/>
  <c r="I535" i="213"/>
  <c r="H430" i="213"/>
  <c r="G349" i="213"/>
  <c r="G118" i="213"/>
  <c r="G180" i="213"/>
  <c r="I559" i="213"/>
  <c r="I597" i="213"/>
  <c r="I472" i="213"/>
  <c r="H425" i="213"/>
  <c r="G552" i="213"/>
  <c r="G494" i="213"/>
  <c r="G587" i="213"/>
  <c r="I676" i="213"/>
  <c r="I618" i="213"/>
  <c r="G558" i="213"/>
  <c r="H596" i="213"/>
  <c r="I177" i="213"/>
  <c r="G91" i="213"/>
  <c r="G182" i="213"/>
  <c r="I116" i="213"/>
  <c r="I100" i="213"/>
  <c r="H215" i="213"/>
  <c r="H163" i="213"/>
  <c r="I122" i="213"/>
  <c r="I372" i="213"/>
  <c r="H473" i="213"/>
  <c r="I675" i="213"/>
  <c r="H614" i="213"/>
  <c r="H556" i="213"/>
  <c r="G534" i="213"/>
  <c r="I434" i="213"/>
  <c r="G649" i="213"/>
  <c r="H597" i="213"/>
  <c r="I488" i="213"/>
  <c r="G674" i="213"/>
  <c r="I610" i="213"/>
  <c r="G554" i="213"/>
  <c r="H304" i="213"/>
  <c r="G673" i="213"/>
  <c r="H489" i="213"/>
  <c r="I430" i="213"/>
  <c r="I683" i="213"/>
  <c r="G486" i="213"/>
  <c r="G596" i="213"/>
  <c r="H240" i="213"/>
  <c r="I153" i="213"/>
  <c r="H428" i="213"/>
  <c r="H116" i="213"/>
  <c r="I179" i="213"/>
  <c r="G114" i="213"/>
  <c r="G659" i="213"/>
  <c r="H548" i="213"/>
  <c r="I489" i="213"/>
  <c r="G428" i="213"/>
  <c r="G463" i="213"/>
  <c r="H680" i="213"/>
  <c r="I497" i="213"/>
  <c r="I596" i="213"/>
  <c r="H125" i="213"/>
  <c r="G621" i="213"/>
  <c r="I118" i="213"/>
  <c r="G424" i="213"/>
  <c r="G487" i="213"/>
  <c r="H494" i="213"/>
  <c r="H587" i="213"/>
  <c r="G472" i="213"/>
  <c r="H427" i="213"/>
  <c r="H177" i="213"/>
  <c r="G116" i="213"/>
  <c r="I339" i="213"/>
  <c r="I242" i="213"/>
  <c r="H370" i="213"/>
  <c r="I124" i="213"/>
  <c r="G682" i="213"/>
  <c r="I649" i="213"/>
  <c r="H534" i="213"/>
  <c r="G473" i="213"/>
  <c r="H672" i="213"/>
  <c r="I427" i="213"/>
  <c r="G683" i="213"/>
  <c r="I186" i="213"/>
  <c r="G339" i="213"/>
  <c r="G177" i="213"/>
  <c r="G301" i="213"/>
  <c r="G224" i="213"/>
  <c r="G163" i="213"/>
  <c r="G122" i="213"/>
  <c r="H496" i="213"/>
  <c r="G238" i="213"/>
  <c r="H673" i="213"/>
  <c r="G612" i="213"/>
  <c r="I548" i="213"/>
  <c r="G492" i="213"/>
  <c r="I463" i="213"/>
  <c r="G614" i="213"/>
  <c r="H559" i="213"/>
  <c r="H620" i="213"/>
  <c r="I672" i="213"/>
  <c r="G616" i="213"/>
  <c r="G611" i="213"/>
  <c r="H472" i="213"/>
  <c r="G680" i="213"/>
  <c r="H554" i="213"/>
  <c r="G427" i="213"/>
  <c r="G496" i="213"/>
  <c r="H683" i="213"/>
  <c r="I432" i="213"/>
  <c r="I473" i="213"/>
  <c r="H432" i="213"/>
  <c r="G370" i="213"/>
  <c r="H364" i="213"/>
  <c r="H244" i="213"/>
  <c r="G411" i="213"/>
  <c r="I612" i="213"/>
  <c r="H368" i="213"/>
  <c r="G676" i="213"/>
  <c r="I224" i="213"/>
  <c r="I435" i="213"/>
  <c r="I187" i="213"/>
  <c r="H362" i="213"/>
  <c r="H339" i="213"/>
  <c r="I620" i="213"/>
  <c r="I424" i="213"/>
  <c r="H426" i="213"/>
  <c r="I364" i="213"/>
  <c r="I411" i="213"/>
  <c r="I239" i="213"/>
  <c r="H300" i="213"/>
  <c r="I363" i="213"/>
  <c r="G410" i="213"/>
  <c r="I368" i="213"/>
  <c r="H184" i="213"/>
  <c r="H187" i="213"/>
  <c r="H91" i="213"/>
  <c r="I249" i="213"/>
  <c r="I365" i="213"/>
  <c r="H178" i="213"/>
  <c r="I616" i="213"/>
  <c r="H558" i="213"/>
  <c r="G362" i="213"/>
  <c r="I248" i="213"/>
  <c r="I366" i="213"/>
  <c r="I308" i="213"/>
  <c r="G179" i="213"/>
  <c r="G610" i="213"/>
  <c r="G184" i="213"/>
  <c r="I180" i="213"/>
  <c r="G240" i="213"/>
  <c r="I182" i="213"/>
  <c r="G117" i="213"/>
  <c r="I490" i="213"/>
  <c r="I673" i="213"/>
  <c r="H434" i="213"/>
  <c r="I370" i="213"/>
  <c r="I426" i="213"/>
  <c r="G348" i="213"/>
  <c r="I244" i="213"/>
  <c r="G551" i="213"/>
  <c r="I425" i="213"/>
  <c r="G364" i="213"/>
  <c r="I300" i="213"/>
  <c r="G248" i="213"/>
  <c r="I401" i="213"/>
  <c r="H286" i="213"/>
  <c r="I349" i="213"/>
  <c r="H618" i="213"/>
  <c r="H246" i="213"/>
  <c r="I184" i="213"/>
  <c r="G246" i="213"/>
  <c r="H176" i="213"/>
  <c r="I117" i="213"/>
  <c r="I178" i="213"/>
  <c r="G125" i="213"/>
  <c r="H238" i="213"/>
  <c r="H658" i="213"/>
  <c r="G488" i="213"/>
  <c r="H551" i="213"/>
  <c r="H303" i="213"/>
  <c r="G242" i="213"/>
  <c r="G277" i="213"/>
  <c r="G244" i="213"/>
  <c r="I241" i="213"/>
  <c r="G401" i="213"/>
  <c r="H621" i="213"/>
  <c r="G363" i="213"/>
  <c r="H242" i="213"/>
  <c r="H124" i="213"/>
  <c r="H610" i="213"/>
  <c r="H241" i="213"/>
  <c r="I176" i="213"/>
  <c r="G124" i="213"/>
  <c r="G241" i="213"/>
  <c r="G115" i="213"/>
  <c r="I225" i="213"/>
  <c r="G176" i="213"/>
  <c r="I310" i="213"/>
  <c r="H180" i="213"/>
  <c r="I125" i="213"/>
  <c r="G678" i="213"/>
  <c r="I680" i="213"/>
  <c r="I362" i="213"/>
  <c r="I682" i="213"/>
  <c r="H411" i="213"/>
  <c r="I286" i="213"/>
  <c r="G535" i="213"/>
  <c r="G239" i="213"/>
  <c r="H612" i="213"/>
  <c r="G372" i="213"/>
  <c r="I487" i="213"/>
  <c r="H120" i="213"/>
  <c r="G120" i="213"/>
  <c r="H162" i="213"/>
  <c r="H301" i="213"/>
  <c r="H224" i="213"/>
  <c r="H122" i="213"/>
  <c r="I114" i="213"/>
  <c r="H118" i="213"/>
  <c r="I613" i="213"/>
  <c r="H488" i="213"/>
  <c r="H239" i="213"/>
  <c r="I525" i="213"/>
  <c r="G225" i="213"/>
  <c r="H525" i="213"/>
  <c r="G525" i="213"/>
  <c r="G368" i="213"/>
  <c r="H410" i="213"/>
  <c r="H348" i="213"/>
  <c r="I115" i="213"/>
  <c r="I162" i="213"/>
  <c r="G435" i="213"/>
  <c r="G101" i="213"/>
  <c r="H311" i="213"/>
  <c r="G162" i="213"/>
  <c r="I301" i="213"/>
  <c r="H463" i="213"/>
  <c r="H552" i="213"/>
  <c r="H549" i="213"/>
  <c r="I348" i="213"/>
  <c r="H492" i="213"/>
  <c r="G549" i="213"/>
  <c r="G490" i="213"/>
  <c r="I410" i="213"/>
  <c r="I302" i="213"/>
  <c r="H115" i="213"/>
  <c r="I306" i="213"/>
  <c r="H306" i="213"/>
  <c r="H114" i="213"/>
  <c r="H249" i="213"/>
  <c r="I614" i="213"/>
  <c r="G620" i="213"/>
  <c r="G618" i="213"/>
  <c r="I551" i="213"/>
  <c r="I492" i="213"/>
  <c r="H277" i="213"/>
  <c r="H363" i="213"/>
  <c r="I304" i="213"/>
  <c r="G153" i="213"/>
  <c r="I101" i="213"/>
  <c r="H435" i="213"/>
  <c r="H302" i="213"/>
  <c r="H117" i="213"/>
  <c r="G311" i="213"/>
  <c r="I215" i="213"/>
  <c r="I496" i="213"/>
  <c r="H486" i="213"/>
  <c r="H674" i="213"/>
  <c r="H225" i="213"/>
  <c r="H678" i="213"/>
  <c r="H676" i="213"/>
  <c r="G302" i="213"/>
  <c r="I246" i="213"/>
  <c r="I303" i="213"/>
  <c r="H287" i="213"/>
  <c r="H401" i="213"/>
  <c r="I120" i="213"/>
  <c r="I556" i="213"/>
  <c r="G675" i="213"/>
  <c r="H535" i="213"/>
  <c r="I659" i="213"/>
  <c r="G303" i="213"/>
  <c r="H424" i="213"/>
  <c r="I311" i="213"/>
  <c r="I163" i="213"/>
  <c r="H675" i="213"/>
  <c r="G425" i="213"/>
  <c r="G613" i="213"/>
  <c r="H682" i="213"/>
  <c r="H373" i="213"/>
  <c r="G432" i="213"/>
  <c r="G373" i="213"/>
  <c r="H248" i="213"/>
  <c r="H490" i="213"/>
  <c r="I678" i="213"/>
  <c r="H366" i="213"/>
  <c r="H308" i="213"/>
  <c r="I621" i="213"/>
  <c r="H372" i="213"/>
  <c r="H349" i="213"/>
  <c r="G366" i="213"/>
  <c r="H101" i="213"/>
  <c r="I277" i="213"/>
  <c r="I238" i="213"/>
  <c r="G287" i="213"/>
  <c r="G300" i="213"/>
  <c r="I287" i="213"/>
  <c r="G306" i="213"/>
  <c r="I91" i="213"/>
  <c r="H100" i="213"/>
  <c r="G286" i="213"/>
  <c r="I373" i="213"/>
  <c r="E211" i="213"/>
  <c r="F212" i="213"/>
  <c r="F211" i="213" s="1"/>
  <c r="E335" i="213"/>
  <c r="F336" i="213"/>
  <c r="F335" i="213" s="1"/>
  <c r="E216" i="213"/>
  <c r="F217" i="213"/>
  <c r="F216" i="213" s="1"/>
  <c r="E413" i="213"/>
  <c r="F414" i="213"/>
  <c r="F413" i="213" s="1"/>
  <c r="F260" i="213"/>
  <c r="F259" i="213" s="1"/>
  <c r="E259" i="213"/>
  <c r="E288" i="213" s="1"/>
  <c r="E583" i="213"/>
  <c r="F584" i="213"/>
  <c r="F583" i="213" s="1"/>
  <c r="F651" i="213"/>
  <c r="F650" i="213" s="1"/>
  <c r="E650" i="213"/>
  <c r="E41" i="213"/>
  <c r="F43" i="213"/>
  <c r="F41" i="213" s="1"/>
  <c r="H383" i="213"/>
  <c r="H468" i="213"/>
  <c r="G335" i="213"/>
  <c r="G383" i="213"/>
  <c r="G259" i="213"/>
  <c r="G351" i="213"/>
  <c r="H569" i="213"/>
  <c r="G211" i="213"/>
  <c r="H654" i="213"/>
  <c r="I73" i="213"/>
  <c r="I92" i="213"/>
  <c r="I41" i="213"/>
  <c r="G25" i="213"/>
  <c r="W2176" i="208"/>
  <c r="N2792" i="208"/>
  <c r="W2792" i="208"/>
  <c r="W1574" i="208"/>
  <c r="W1211" i="208"/>
  <c r="N903" i="208"/>
  <c r="W903" i="208"/>
  <c r="N1855" i="208"/>
  <c r="N2176" i="208"/>
  <c r="N490" i="208"/>
  <c r="N637" i="208"/>
  <c r="W637" i="208"/>
  <c r="W592" i="208"/>
  <c r="N606" i="208"/>
  <c r="N595" i="208"/>
  <c r="W488" i="208"/>
  <c r="W490" i="208"/>
  <c r="N492" i="208"/>
  <c r="W346" i="208"/>
  <c r="F2291" i="29"/>
  <c r="F1964" i="29"/>
  <c r="W880" i="208"/>
  <c r="N462" i="208"/>
  <c r="N545" i="208"/>
  <c r="W545" i="208"/>
  <c r="F1877" i="29"/>
  <c r="F1926" i="29"/>
  <c r="E596" i="33"/>
  <c r="F596" i="33" s="1"/>
  <c r="E649" i="33"/>
  <c r="F649" i="33" s="1"/>
  <c r="E535" i="33"/>
  <c r="F535" i="33" s="1"/>
  <c r="E401" i="33"/>
  <c r="F401" i="33" s="1"/>
  <c r="E287" i="33"/>
  <c r="F287" i="33" s="1"/>
  <c r="E534" i="33"/>
  <c r="F534" i="33" s="1"/>
  <c r="E286" i="33"/>
  <c r="F286" i="33" s="1"/>
  <c r="E587" i="33"/>
  <c r="F587" i="33" s="1"/>
  <c r="E473" i="33"/>
  <c r="F473" i="33" s="1"/>
  <c r="E339" i="33"/>
  <c r="F339" i="33" s="1"/>
  <c r="E225" i="33"/>
  <c r="F225" i="33" s="1"/>
  <c r="E472" i="33"/>
  <c r="F472" i="33" s="1"/>
  <c r="E224" i="33"/>
  <c r="F224" i="33" s="1"/>
  <c r="E659" i="33"/>
  <c r="F659" i="33" s="1"/>
  <c r="E525" i="33"/>
  <c r="F525" i="33" s="1"/>
  <c r="E411" i="33"/>
  <c r="F411" i="33" s="1"/>
  <c r="E277" i="33"/>
  <c r="F277" i="33" s="1"/>
  <c r="E658" i="33"/>
  <c r="F658" i="33" s="1"/>
  <c r="E410" i="33"/>
  <c r="F410" i="33" s="1"/>
  <c r="E348" i="33"/>
  <c r="F348" i="33" s="1"/>
  <c r="E597" i="33"/>
  <c r="F597" i="33" s="1"/>
  <c r="E463" i="33"/>
  <c r="F463" i="33" s="1"/>
  <c r="E349" i="33"/>
  <c r="F349" i="33" s="1"/>
  <c r="E215" i="33"/>
  <c r="F215" i="33" s="1"/>
  <c r="I659" i="33"/>
  <c r="G649" i="33"/>
  <c r="I658" i="33"/>
  <c r="I587" i="33"/>
  <c r="H659" i="33"/>
  <c r="H587" i="33"/>
  <c r="G472" i="33"/>
  <c r="H411" i="33"/>
  <c r="H339" i="33"/>
  <c r="G224" i="33"/>
  <c r="H658" i="33"/>
  <c r="I597" i="33"/>
  <c r="G587" i="33"/>
  <c r="H410" i="33"/>
  <c r="I349" i="33"/>
  <c r="G339" i="33"/>
  <c r="G659" i="33"/>
  <c r="I596" i="33"/>
  <c r="I525" i="33"/>
  <c r="G411" i="33"/>
  <c r="I348" i="33"/>
  <c r="I277" i="33"/>
  <c r="I411" i="33"/>
  <c r="G225" i="33"/>
  <c r="G658" i="33"/>
  <c r="H597" i="33"/>
  <c r="H525" i="33"/>
  <c r="G410" i="33"/>
  <c r="H349" i="33"/>
  <c r="H277" i="33"/>
  <c r="G401" i="33"/>
  <c r="H596" i="33"/>
  <c r="I535" i="33"/>
  <c r="G525" i="33"/>
  <c r="H348" i="33"/>
  <c r="I287" i="33"/>
  <c r="G277" i="33"/>
  <c r="I410" i="33"/>
  <c r="G597" i="33"/>
  <c r="I534" i="33"/>
  <c r="I463" i="33"/>
  <c r="G349" i="33"/>
  <c r="I286" i="33"/>
  <c r="I215" i="33"/>
  <c r="G473" i="33"/>
  <c r="G596" i="33"/>
  <c r="H535" i="33"/>
  <c r="H463" i="33"/>
  <c r="G348" i="33"/>
  <c r="H287" i="33"/>
  <c r="H215" i="33"/>
  <c r="H224" i="33"/>
  <c r="I339" i="33"/>
  <c r="H534" i="33"/>
  <c r="I473" i="33"/>
  <c r="G463" i="33"/>
  <c r="H286" i="33"/>
  <c r="I225" i="33"/>
  <c r="G215" i="33"/>
  <c r="I649" i="33"/>
  <c r="G535" i="33"/>
  <c r="I472" i="33"/>
  <c r="I401" i="33"/>
  <c r="G287" i="33"/>
  <c r="I224" i="33"/>
  <c r="H649" i="33"/>
  <c r="G534" i="33"/>
  <c r="H473" i="33"/>
  <c r="H401" i="33"/>
  <c r="G286" i="33"/>
  <c r="H225" i="33"/>
  <c r="H472" i="33"/>
  <c r="E101" i="33"/>
  <c r="F101" i="33" s="1"/>
  <c r="E100" i="33"/>
  <c r="F100" i="33" s="1"/>
  <c r="E153" i="33"/>
  <c r="F153" i="33" s="1"/>
  <c r="E91" i="33"/>
  <c r="F91" i="33" s="1"/>
  <c r="E163" i="33"/>
  <c r="F163" i="33" s="1"/>
  <c r="E162" i="33"/>
  <c r="F162" i="33" s="1"/>
  <c r="I163" i="33"/>
  <c r="G153" i="33"/>
  <c r="I162" i="33"/>
  <c r="H163" i="33"/>
  <c r="H162" i="33"/>
  <c r="I101" i="33"/>
  <c r="G163" i="33"/>
  <c r="I100" i="33"/>
  <c r="G162" i="33"/>
  <c r="I91" i="33"/>
  <c r="H101" i="33"/>
  <c r="H100" i="33"/>
  <c r="H91" i="33"/>
  <c r="G91" i="33"/>
  <c r="G101" i="33"/>
  <c r="I153" i="33"/>
  <c r="G100" i="33"/>
  <c r="H153" i="33"/>
  <c r="G464" i="33"/>
  <c r="E2059" i="29"/>
  <c r="F2265" i="29"/>
  <c r="G227" i="33"/>
  <c r="F1407" i="29"/>
  <c r="F2587" i="29"/>
  <c r="F2969" i="29"/>
  <c r="H592" i="33"/>
  <c r="H599" i="33"/>
  <c r="F2620" i="29"/>
  <c r="F1472" i="29"/>
  <c r="F2149" i="29"/>
  <c r="W1409" i="208"/>
  <c r="N1932" i="208"/>
  <c r="N1605" i="208"/>
  <c r="N2705" i="208"/>
  <c r="W1932" i="208"/>
  <c r="N2216" i="208"/>
  <c r="N2046" i="208"/>
  <c r="W309" i="208"/>
  <c r="W925" i="208"/>
  <c r="N355" i="208"/>
  <c r="W776" i="208"/>
  <c r="N923" i="208"/>
  <c r="W355" i="208"/>
  <c r="N824" i="208"/>
  <c r="N309" i="208"/>
  <c r="N881" i="208"/>
  <c r="W824" i="208"/>
  <c r="F2161" i="29"/>
  <c r="N736" i="208"/>
  <c r="N352" i="208"/>
  <c r="W881" i="208"/>
  <c r="W736" i="208"/>
  <c r="W352" i="208"/>
  <c r="W922" i="208"/>
  <c r="N540" i="208"/>
  <c r="W540" i="208"/>
  <c r="N1038" i="208"/>
  <c r="N894" i="208"/>
  <c r="W1038" i="208"/>
  <c r="W894" i="208"/>
  <c r="H344" i="33"/>
  <c r="I397" i="33"/>
  <c r="H464" i="33"/>
  <c r="I1349" i="29"/>
  <c r="F2123" i="29"/>
  <c r="F2336" i="29"/>
  <c r="H60" i="46"/>
  <c r="I537" i="33"/>
  <c r="H2975" i="29"/>
  <c r="H654" i="33"/>
  <c r="F2060" i="29"/>
  <c r="F2059" i="29" s="1"/>
  <c r="F1787" i="29"/>
  <c r="H1917" i="29"/>
  <c r="E583" i="33"/>
  <c r="G335" i="33"/>
  <c r="H340" i="33"/>
  <c r="G278" i="33"/>
  <c r="I149" i="33"/>
  <c r="F661" i="33"/>
  <c r="I2489" i="29"/>
  <c r="F1975" i="29"/>
  <c r="F1309" i="29"/>
  <c r="H521" i="33"/>
  <c r="F1538" i="29"/>
  <c r="F2007" i="29"/>
  <c r="I278" i="33"/>
  <c r="G402" i="33"/>
  <c r="E592" i="33"/>
  <c r="G2639" i="29"/>
  <c r="G220" i="33"/>
  <c r="G406" i="33"/>
  <c r="G459" i="33"/>
  <c r="F2549" i="29"/>
  <c r="I2631" i="29"/>
  <c r="F2501" i="29"/>
  <c r="G340" i="33"/>
  <c r="G526" i="33"/>
  <c r="F2489" i="29"/>
  <c r="I340" i="33"/>
  <c r="F521" i="33"/>
  <c r="F220" i="33"/>
  <c r="F464" i="33"/>
  <c r="I351" i="33"/>
  <c r="F2401" i="29"/>
  <c r="I2636" i="29"/>
  <c r="G1642" i="29"/>
  <c r="G1910" i="29"/>
  <c r="H932" i="29"/>
  <c r="I599" i="33"/>
  <c r="I259" i="33"/>
  <c r="H1358" i="29"/>
  <c r="H1926" i="29"/>
  <c r="I588" i="33"/>
  <c r="H790" i="29"/>
  <c r="G1077" i="29"/>
  <c r="F507" i="33"/>
  <c r="H569" i="33"/>
  <c r="F352" i="33"/>
  <c r="F351" i="33" s="1"/>
  <c r="E1077" i="29"/>
  <c r="I1787" i="29"/>
  <c r="H211" i="33"/>
  <c r="F216" i="33"/>
  <c r="F273" i="33"/>
  <c r="E468" i="33"/>
  <c r="H2068" i="29"/>
  <c r="G521" i="33"/>
  <c r="F593" i="29"/>
  <c r="H406" i="33"/>
  <c r="W2219" i="208"/>
  <c r="H588" i="33"/>
  <c r="I592" i="33"/>
  <c r="E402" i="33"/>
  <c r="E220" i="33"/>
  <c r="N318" i="208"/>
  <c r="H289" i="33"/>
  <c r="F335" i="33"/>
  <c r="F650" i="33"/>
  <c r="W2478" i="208"/>
  <c r="G1254" i="29"/>
  <c r="E2816" i="29"/>
  <c r="H397" i="33"/>
  <c r="E406" i="33"/>
  <c r="F599" i="33"/>
  <c r="N2993" i="208"/>
  <c r="W2910" i="208"/>
  <c r="N1142" i="208"/>
  <c r="N1499" i="208"/>
  <c r="W833" i="208"/>
  <c r="W2993" i="208"/>
  <c r="W1142" i="208"/>
  <c r="F569" i="33"/>
  <c r="F407" i="33"/>
  <c r="F406" i="33" s="1"/>
  <c r="E158" i="33"/>
  <c r="H149" i="33"/>
  <c r="F403" i="33"/>
  <c r="F402" i="33" s="1"/>
  <c r="I593" i="29"/>
  <c r="I932" i="29"/>
  <c r="G1396" i="29"/>
  <c r="I2723" i="29"/>
  <c r="F197" i="33"/>
  <c r="W492" i="208"/>
  <c r="N2757" i="208"/>
  <c r="H335" i="33"/>
  <c r="F413" i="33"/>
  <c r="E383" i="33"/>
  <c r="F282" i="33"/>
  <c r="W2757" i="208"/>
  <c r="N1574" i="208"/>
  <c r="G475" i="33"/>
  <c r="F445" i="33"/>
  <c r="I459" i="33"/>
  <c r="G588" i="33"/>
  <c r="F344" i="33"/>
  <c r="W2181" i="208"/>
  <c r="G1929" i="29"/>
  <c r="I2920" i="29"/>
  <c r="F1207" i="29"/>
  <c r="G645" i="33"/>
  <c r="G592" i="33"/>
  <c r="E588" i="33"/>
  <c r="G1207" i="29"/>
  <c r="I321" i="33"/>
  <c r="H383" i="33"/>
  <c r="I220" i="33"/>
  <c r="F383" i="33"/>
  <c r="N2219" i="208"/>
  <c r="N136" i="208"/>
  <c r="W10" i="208"/>
  <c r="N2190" i="208"/>
  <c r="W2187" i="208"/>
  <c r="F475" i="33"/>
  <c r="F537" i="33"/>
  <c r="W2190" i="208"/>
  <c r="N401" i="208"/>
  <c r="N1409" i="208"/>
  <c r="N2181" i="208"/>
  <c r="N1758" i="208"/>
  <c r="E611" i="33"/>
  <c r="F611" i="33" s="1"/>
  <c r="E554" i="33"/>
  <c r="F554" i="33" s="1"/>
  <c r="E621" i="33"/>
  <c r="F621" i="33" s="1"/>
  <c r="E486" i="33"/>
  <c r="F486" i="33" s="1"/>
  <c r="E368" i="33"/>
  <c r="F368" i="33" s="1"/>
  <c r="E179" i="33"/>
  <c r="F179" i="33" s="1"/>
  <c r="E310" i="33"/>
  <c r="F310" i="33" s="1"/>
  <c r="E490" i="33"/>
  <c r="F490" i="33" s="1"/>
  <c r="E678" i="33"/>
  <c r="F678" i="33" s="1"/>
  <c r="E559" i="33"/>
  <c r="F559" i="33" s="1"/>
  <c r="E494" i="33"/>
  <c r="F494" i="33" s="1"/>
  <c r="E558" i="33"/>
  <c r="F558" i="33" s="1"/>
  <c r="E434" i="33"/>
  <c r="F434" i="33" s="1"/>
  <c r="E370" i="33"/>
  <c r="F370" i="33" s="1"/>
  <c r="E676" i="33"/>
  <c r="F676" i="33" s="1"/>
  <c r="E620" i="33"/>
  <c r="F620" i="33" s="1"/>
  <c r="E246" i="33"/>
  <c r="F246" i="33" s="1"/>
  <c r="E682" i="33"/>
  <c r="F682" i="33" s="1"/>
  <c r="E551" i="33"/>
  <c r="F551" i="33" s="1"/>
  <c r="E487" i="33"/>
  <c r="F487" i="33" s="1"/>
  <c r="E363" i="33"/>
  <c r="F363" i="33" s="1"/>
  <c r="E497" i="33"/>
  <c r="F497" i="33" s="1"/>
  <c r="E612" i="33"/>
  <c r="F612" i="33" s="1"/>
  <c r="E549" i="33"/>
  <c r="F549" i="33" s="1"/>
  <c r="E176" i="33"/>
  <c r="F176" i="33" s="1"/>
  <c r="E239" i="33"/>
  <c r="F239" i="33" s="1"/>
  <c r="E427" i="33"/>
  <c r="F427" i="33" s="1"/>
  <c r="E424" i="33"/>
  <c r="F424" i="33" s="1"/>
  <c r="E673" i="33"/>
  <c r="F673" i="33" s="1"/>
  <c r="E610" i="33"/>
  <c r="F610" i="33" s="1"/>
  <c r="E489" i="33"/>
  <c r="F489" i="33" s="1"/>
  <c r="E306" i="33"/>
  <c r="F306" i="33" s="1"/>
  <c r="E672" i="33"/>
  <c r="F672" i="33" s="1"/>
  <c r="E492" i="33"/>
  <c r="F492" i="33" s="1"/>
  <c r="E186" i="33"/>
  <c r="F186" i="33" s="1"/>
  <c r="E372" i="33"/>
  <c r="F372" i="33" s="1"/>
  <c r="E300" i="33"/>
  <c r="F300" i="33" s="1"/>
  <c r="E242" i="33"/>
  <c r="F242" i="33" s="1"/>
  <c r="E182" i="33"/>
  <c r="F182" i="33" s="1"/>
  <c r="E302" i="33"/>
  <c r="F302" i="33" s="1"/>
  <c r="E178" i="33"/>
  <c r="F178" i="33" s="1"/>
  <c r="E614" i="33"/>
  <c r="F614" i="33" s="1"/>
  <c r="E373" i="33"/>
  <c r="F373" i="33" s="1"/>
  <c r="E244" i="33"/>
  <c r="F244" i="33" s="1"/>
  <c r="E180" i="33"/>
  <c r="F180" i="33" s="1"/>
  <c r="E435" i="33"/>
  <c r="F435" i="33" s="1"/>
  <c r="E675" i="33"/>
  <c r="F675" i="33" s="1"/>
  <c r="E238" i="33"/>
  <c r="E674" i="33"/>
  <c r="F674" i="33" s="1"/>
  <c r="E428" i="33"/>
  <c r="F428" i="33" s="1"/>
  <c r="E304" i="33"/>
  <c r="F304" i="33" s="1"/>
  <c r="E616" i="33"/>
  <c r="F616" i="33" s="1"/>
  <c r="E680" i="33"/>
  <c r="F680" i="33" s="1"/>
  <c r="E496" i="33"/>
  <c r="F496" i="33" s="1"/>
  <c r="E311" i="33"/>
  <c r="F311" i="33" s="1"/>
  <c r="E303" i="33"/>
  <c r="F303" i="33" s="1"/>
  <c r="E187" i="33"/>
  <c r="F187" i="33" s="1"/>
  <c r="E362" i="33"/>
  <c r="E432" i="33"/>
  <c r="F432" i="33" s="1"/>
  <c r="E364" i="33"/>
  <c r="F364" i="33" s="1"/>
  <c r="E241" i="33"/>
  <c r="F241" i="33" s="1"/>
  <c r="E556" i="33"/>
  <c r="F556" i="33" s="1"/>
  <c r="E430" i="33"/>
  <c r="E550" i="33"/>
  <c r="F550" i="33" s="1"/>
  <c r="E248" i="33"/>
  <c r="F248" i="33" s="1"/>
  <c r="E426" i="33"/>
  <c r="F426" i="33" s="1"/>
  <c r="E548" i="33"/>
  <c r="F548" i="33" s="1"/>
  <c r="E301" i="33"/>
  <c r="F301" i="33" s="1"/>
  <c r="E308" i="33"/>
  <c r="F308" i="33" s="1"/>
  <c r="E618" i="33"/>
  <c r="F618" i="33" s="1"/>
  <c r="E365" i="33"/>
  <c r="F365" i="33" s="1"/>
  <c r="E425" i="33"/>
  <c r="F425" i="33" s="1"/>
  <c r="E488" i="33"/>
  <c r="F488" i="33" s="1"/>
  <c r="E240" i="33"/>
  <c r="F240" i="33" s="1"/>
  <c r="E249" i="33"/>
  <c r="F249" i="33" s="1"/>
  <c r="E366" i="33"/>
  <c r="F366" i="33" s="1"/>
  <c r="E613" i="33"/>
  <c r="F613" i="33" s="1"/>
  <c r="E177" i="33"/>
  <c r="F177" i="33" s="1"/>
  <c r="E184" i="33"/>
  <c r="F184" i="33" s="1"/>
  <c r="E683" i="33"/>
  <c r="F683" i="33" s="1"/>
  <c r="E552" i="33"/>
  <c r="F552" i="33" s="1"/>
  <c r="I506" i="29"/>
  <c r="H1787" i="29"/>
  <c r="I2352" i="29"/>
  <c r="G282" i="33"/>
  <c r="H135" i="33"/>
  <c r="H661" i="33"/>
  <c r="I227" i="33"/>
  <c r="G165" i="33"/>
  <c r="H321" i="33"/>
  <c r="G289" i="33"/>
  <c r="G583" i="33"/>
  <c r="H468" i="33"/>
  <c r="G197" i="33"/>
  <c r="H650" i="33"/>
  <c r="I165" i="33"/>
  <c r="H475" i="33"/>
  <c r="I650" i="33"/>
  <c r="G445" i="33"/>
  <c r="F593" i="33"/>
  <c r="F592" i="33" s="1"/>
  <c r="F340" i="33"/>
  <c r="E413" i="33"/>
  <c r="F149" i="33"/>
  <c r="E631" i="33"/>
  <c r="E475" i="33"/>
  <c r="E521" i="33"/>
  <c r="E507" i="33"/>
  <c r="G682" i="33"/>
  <c r="I618" i="33"/>
  <c r="G424" i="33"/>
  <c r="G366" i="33"/>
  <c r="I673" i="33"/>
  <c r="G554" i="33"/>
  <c r="H673" i="33"/>
  <c r="H613" i="33"/>
  <c r="I497" i="33"/>
  <c r="G680" i="33"/>
  <c r="G621" i="33"/>
  <c r="H489" i="33"/>
  <c r="H373" i="33"/>
  <c r="I683" i="33"/>
  <c r="H675" i="33"/>
  <c r="G616" i="33"/>
  <c r="G549" i="33"/>
  <c r="G362" i="33"/>
  <c r="I682" i="33"/>
  <c r="I435" i="33"/>
  <c r="G675" i="33"/>
  <c r="H310" i="33"/>
  <c r="I249" i="33"/>
  <c r="H428" i="33"/>
  <c r="G614" i="33"/>
  <c r="G559" i="33"/>
  <c r="H363" i="33"/>
  <c r="H550" i="33"/>
  <c r="I610" i="33"/>
  <c r="G550" i="33"/>
  <c r="G434" i="33"/>
  <c r="I373" i="33"/>
  <c r="G673" i="33"/>
  <c r="G613" i="33"/>
  <c r="I486" i="33"/>
  <c r="I616" i="33"/>
  <c r="H683" i="33"/>
  <c r="I672" i="33"/>
  <c r="H612" i="33"/>
  <c r="H678" i="33"/>
  <c r="I559" i="33"/>
  <c r="G496" i="33"/>
  <c r="I427" i="33"/>
  <c r="H364" i="33"/>
  <c r="G306" i="33"/>
  <c r="H246" i="33"/>
  <c r="G176" i="33"/>
  <c r="H302" i="33"/>
  <c r="H674" i="33"/>
  <c r="H611" i="33"/>
  <c r="G551" i="33"/>
  <c r="H548" i="33"/>
  <c r="G611" i="33"/>
  <c r="G490" i="33"/>
  <c r="I430" i="33"/>
  <c r="G426" i="33"/>
  <c r="G610" i="33"/>
  <c r="I549" i="33"/>
  <c r="I675" i="33"/>
  <c r="H616" i="33"/>
  <c r="G672" i="33"/>
  <c r="G300" i="33"/>
  <c r="I674" i="33"/>
  <c r="G432" i="33"/>
  <c r="I178" i="33"/>
  <c r="H186" i="33"/>
  <c r="G430" i="33"/>
  <c r="G556" i="33"/>
  <c r="G674" i="33"/>
  <c r="G548" i="33"/>
  <c r="H487" i="33"/>
  <c r="I612" i="33"/>
  <c r="I556" i="33"/>
  <c r="H492" i="33"/>
  <c r="I432" i="33"/>
  <c r="I424" i="33"/>
  <c r="G310" i="33"/>
  <c r="H490" i="33"/>
  <c r="G373" i="33"/>
  <c r="G182" i="33"/>
  <c r="I306" i="33"/>
  <c r="H424" i="33"/>
  <c r="H552" i="33"/>
  <c r="G428" i="33"/>
  <c r="H362" i="33"/>
  <c r="H366" i="33"/>
  <c r="H178" i="33"/>
  <c r="G249" i="33"/>
  <c r="H549" i="33"/>
  <c r="G486" i="33"/>
  <c r="I425" i="33"/>
  <c r="I302" i="33"/>
  <c r="G246" i="33"/>
  <c r="H249" i="33"/>
  <c r="G186" i="33"/>
  <c r="I308" i="33"/>
  <c r="I244" i="33"/>
  <c r="G497" i="33"/>
  <c r="I558" i="33"/>
  <c r="G302" i="33"/>
  <c r="H241" i="33"/>
  <c r="I304" i="33"/>
  <c r="G241" i="33"/>
  <c r="I180" i="33"/>
  <c r="G618" i="33"/>
  <c r="H554" i="33"/>
  <c r="I238" i="33"/>
  <c r="G178" i="33"/>
  <c r="H238" i="33"/>
  <c r="I676" i="33"/>
  <c r="I550" i="33"/>
  <c r="H494" i="33"/>
  <c r="I434" i="33"/>
  <c r="I496" i="33"/>
  <c r="I372" i="33"/>
  <c r="I490" i="33"/>
  <c r="I366" i="33"/>
  <c r="G363" i="33"/>
  <c r="H559" i="33"/>
  <c r="I177" i="33"/>
  <c r="H372" i="33"/>
  <c r="I613" i="33"/>
  <c r="G558" i="33"/>
  <c r="G552" i="33"/>
  <c r="I311" i="33"/>
  <c r="H614" i="33"/>
  <c r="I248" i="33"/>
  <c r="G177" i="33"/>
  <c r="H311" i="33"/>
  <c r="G248" i="33"/>
  <c r="H179" i="33"/>
  <c r="G425" i="33"/>
  <c r="I428" i="33"/>
  <c r="I552" i="33"/>
  <c r="I241" i="33"/>
  <c r="H300" i="33"/>
  <c r="H430" i="33"/>
  <c r="G492" i="33"/>
  <c r="I300" i="33"/>
  <c r="G489" i="33"/>
  <c r="H244" i="33"/>
  <c r="G308" i="33"/>
  <c r="I240" i="33"/>
  <c r="G180" i="33"/>
  <c r="I426" i="33"/>
  <c r="H558" i="33"/>
  <c r="I488" i="33"/>
  <c r="G372" i="33"/>
  <c r="H672" i="33"/>
  <c r="H488" i="33"/>
  <c r="G304" i="33"/>
  <c r="H618" i="33"/>
  <c r="I489" i="33"/>
  <c r="H610" i="33"/>
  <c r="I365" i="33"/>
  <c r="I614" i="33"/>
  <c r="G239" i="33"/>
  <c r="H304" i="33"/>
  <c r="G238" i="33"/>
  <c r="G620" i="33"/>
  <c r="H301" i="33"/>
  <c r="I678" i="33"/>
  <c r="G370" i="33"/>
  <c r="H426" i="33"/>
  <c r="G303" i="33"/>
  <c r="G187" i="33"/>
  <c r="I176" i="33"/>
  <c r="G184" i="33"/>
  <c r="G612" i="33"/>
  <c r="H308" i="33"/>
  <c r="H680" i="33"/>
  <c r="H432" i="33"/>
  <c r="H365" i="33"/>
  <c r="I301" i="33"/>
  <c r="G435" i="33"/>
  <c r="I487" i="33"/>
  <c r="I370" i="33"/>
  <c r="I548" i="33"/>
  <c r="H434" i="33"/>
  <c r="I246" i="33"/>
  <c r="H370" i="33"/>
  <c r="G676" i="33"/>
  <c r="G683" i="33"/>
  <c r="H425" i="33"/>
  <c r="I182" i="33"/>
  <c r="I368" i="33"/>
  <c r="G364" i="33"/>
  <c r="H551" i="33"/>
  <c r="G311" i="33"/>
  <c r="I362" i="33"/>
  <c r="H242" i="33"/>
  <c r="I492" i="33"/>
  <c r="H239" i="33"/>
  <c r="G487" i="33"/>
  <c r="G365" i="33"/>
  <c r="H248" i="33"/>
  <c r="I186" i="33"/>
  <c r="G244" i="33"/>
  <c r="H240" i="33"/>
  <c r="G240" i="33"/>
  <c r="H177" i="33"/>
  <c r="I554" i="33"/>
  <c r="I620" i="33"/>
  <c r="I551" i="33"/>
  <c r="I611" i="33"/>
  <c r="I364" i="33"/>
  <c r="I303" i="33"/>
  <c r="I239" i="33"/>
  <c r="H556" i="33"/>
  <c r="H184" i="33"/>
  <c r="G678" i="33"/>
  <c r="I680" i="33"/>
  <c r="H621" i="33"/>
  <c r="H368" i="33"/>
  <c r="H496" i="33"/>
  <c r="I242" i="33"/>
  <c r="I187" i="33"/>
  <c r="H306" i="33"/>
  <c r="G368" i="33"/>
  <c r="G301" i="33"/>
  <c r="H435" i="33"/>
  <c r="H676" i="33"/>
  <c r="H497" i="33"/>
  <c r="H620" i="33"/>
  <c r="H180" i="33"/>
  <c r="H682" i="33"/>
  <c r="G427" i="33"/>
  <c r="G494" i="33"/>
  <c r="I179" i="33"/>
  <c r="G179" i="33"/>
  <c r="I621" i="33"/>
  <c r="I184" i="33"/>
  <c r="G242" i="33"/>
  <c r="I494" i="33"/>
  <c r="G488" i="33"/>
  <c r="H182" i="33"/>
  <c r="H427" i="33"/>
  <c r="H486" i="33"/>
  <c r="I310" i="33"/>
  <c r="H176" i="33"/>
  <c r="H187" i="33"/>
  <c r="H303" i="33"/>
  <c r="I363" i="33"/>
  <c r="H2494" i="29"/>
  <c r="I445" i="33"/>
  <c r="I406" i="33"/>
  <c r="I654" i="33"/>
  <c r="G530" i="33"/>
  <c r="I344" i="33"/>
  <c r="I211" i="33"/>
  <c r="F469" i="33"/>
  <c r="F468" i="33" s="1"/>
  <c r="F279" i="33"/>
  <c r="F278" i="33" s="1"/>
  <c r="E278" i="33"/>
  <c r="E599" i="33"/>
  <c r="G1211" i="29"/>
  <c r="E2958" i="29"/>
  <c r="I216" i="33"/>
  <c r="H402" i="33"/>
  <c r="H197" i="33"/>
  <c r="I583" i="33"/>
  <c r="H530" i="33"/>
  <c r="H413" i="33"/>
  <c r="I530" i="33"/>
  <c r="E282" i="33"/>
  <c r="E397" i="33"/>
  <c r="E335" i="33"/>
  <c r="H1500" i="29"/>
  <c r="G211" i="33"/>
  <c r="I631" i="33"/>
  <c r="H154" i="33"/>
  <c r="G158" i="33"/>
  <c r="I521" i="33"/>
  <c r="I158" i="33"/>
  <c r="I468" i="33"/>
  <c r="H459" i="33"/>
  <c r="H507" i="33"/>
  <c r="F584" i="33"/>
  <c r="F583" i="33" s="1"/>
  <c r="E197" i="33"/>
  <c r="E149" i="33"/>
  <c r="E321" i="33"/>
  <c r="E340" i="33"/>
  <c r="H273" i="33"/>
  <c r="I475" i="33"/>
  <c r="I569" i="33"/>
  <c r="H220" i="33"/>
  <c r="I645" i="33"/>
  <c r="G413" i="33"/>
  <c r="G397" i="33"/>
  <c r="G654" i="33"/>
  <c r="I135" i="33"/>
  <c r="G631" i="33"/>
  <c r="F321" i="33"/>
  <c r="F527" i="33"/>
  <c r="F526" i="33" s="1"/>
  <c r="E526" i="33"/>
  <c r="E211" i="33"/>
  <c r="E216" i="33"/>
  <c r="E650" i="33"/>
  <c r="E344" i="33"/>
  <c r="E459" i="33"/>
  <c r="W344" i="208"/>
  <c r="I2494" i="29"/>
  <c r="I2639" i="29"/>
  <c r="H216" i="33"/>
  <c r="H278" i="33"/>
  <c r="H583" i="33"/>
  <c r="I402" i="33"/>
  <c r="G154" i="33"/>
  <c r="F166" i="33"/>
  <c r="F165" i="33" s="1"/>
  <c r="E165" i="33"/>
  <c r="E464" i="33"/>
  <c r="E273" i="33"/>
  <c r="N2870" i="208"/>
  <c r="N1211" i="208"/>
  <c r="I2785" i="29"/>
  <c r="G351" i="33"/>
  <c r="I289" i="33"/>
  <c r="I383" i="33"/>
  <c r="H158" i="33"/>
  <c r="F228" i="33"/>
  <c r="F227" i="33" s="1"/>
  <c r="E227" i="33"/>
  <c r="F290" i="33"/>
  <c r="F289" i="33" s="1"/>
  <c r="E289" i="33"/>
  <c r="F155" i="33"/>
  <c r="F154" i="33" s="1"/>
  <c r="E154" i="33"/>
  <c r="F397" i="33"/>
  <c r="E661" i="33"/>
  <c r="H648" i="29"/>
  <c r="H282" i="33"/>
  <c r="G507" i="33"/>
  <c r="I335" i="33"/>
  <c r="G650" i="33"/>
  <c r="G344" i="33"/>
  <c r="F136" i="33"/>
  <c r="F135" i="33" s="1"/>
  <c r="E135" i="33"/>
  <c r="F531" i="33"/>
  <c r="F530" i="33" s="1"/>
  <c r="E530" i="33"/>
  <c r="I2627" i="29"/>
  <c r="H259" i="33"/>
  <c r="G259" i="33"/>
  <c r="I273" i="33"/>
  <c r="G149" i="33"/>
  <c r="H445" i="33"/>
  <c r="I154" i="33"/>
  <c r="I413" i="33"/>
  <c r="F159" i="33"/>
  <c r="F158" i="33" s="1"/>
  <c r="E654" i="33"/>
  <c r="H419" i="29"/>
  <c r="H1353" i="29"/>
  <c r="G321" i="33"/>
  <c r="I464" i="33"/>
  <c r="G216" i="33"/>
  <c r="G537" i="33"/>
  <c r="F588" i="33"/>
  <c r="N779" i="208"/>
  <c r="N348" i="208"/>
  <c r="G1361" i="29"/>
  <c r="I1649" i="29"/>
  <c r="I1964" i="29"/>
  <c r="G2643" i="29"/>
  <c r="I197" i="33"/>
  <c r="H227" i="33"/>
  <c r="G273" i="33"/>
  <c r="H165" i="33"/>
  <c r="I507" i="33"/>
  <c r="I526" i="33"/>
  <c r="G599" i="33"/>
  <c r="H631" i="33"/>
  <c r="G569" i="33"/>
  <c r="F211" i="33"/>
  <c r="F654" i="33"/>
  <c r="F646" i="33"/>
  <c r="F645" i="33" s="1"/>
  <c r="E645" i="33"/>
  <c r="E569" i="33"/>
  <c r="E445" i="33"/>
  <c r="W779" i="208"/>
  <c r="W348" i="208"/>
  <c r="G2059" i="29"/>
  <c r="G135" i="33"/>
  <c r="H351" i="33"/>
  <c r="G383" i="33"/>
  <c r="H537" i="33"/>
  <c r="H526" i="33"/>
  <c r="G468" i="33"/>
  <c r="I661" i="33"/>
  <c r="I282" i="33"/>
  <c r="G661" i="33"/>
  <c r="H645" i="33"/>
  <c r="F631" i="33"/>
  <c r="F260" i="33"/>
  <c r="F259" i="33" s="1"/>
  <c r="E259" i="33"/>
  <c r="F460" i="33"/>
  <c r="F459" i="33" s="1"/>
  <c r="E537" i="33"/>
  <c r="H1216" i="29"/>
  <c r="G2532" i="29"/>
  <c r="E1219" i="29"/>
  <c r="F1211" i="29"/>
  <c r="H2205" i="29"/>
  <c r="H2674" i="29"/>
  <c r="H364" i="29"/>
  <c r="H1112" i="29"/>
  <c r="I1219" i="29"/>
  <c r="H2532" i="29"/>
  <c r="G2958" i="29"/>
  <c r="I2433" i="29"/>
  <c r="G1358" i="29"/>
  <c r="F2248" i="29"/>
  <c r="I371" i="29"/>
  <c r="G2865" i="29"/>
  <c r="I790" i="29"/>
  <c r="I2439" i="29"/>
  <c r="F2833" i="29"/>
  <c r="F2674" i="29"/>
  <c r="F632" i="29"/>
  <c r="F935" i="29"/>
  <c r="E2265" i="29"/>
  <c r="B624" i="33"/>
  <c r="B128" i="33"/>
  <c r="B376" i="33"/>
  <c r="B252" i="33"/>
  <c r="B562" i="33"/>
  <c r="B500" i="33"/>
  <c r="B314" i="33"/>
  <c r="B438" i="33"/>
  <c r="B190" i="33"/>
  <c r="G1271" i="29"/>
  <c r="H1297" i="29"/>
  <c r="I2248" i="29"/>
  <c r="W1208" i="208"/>
  <c r="F1451" i="29"/>
  <c r="I686" i="29"/>
  <c r="H2291" i="29"/>
  <c r="F1555" i="29"/>
  <c r="N2320" i="208"/>
  <c r="N72" i="208"/>
  <c r="H593" i="29"/>
  <c r="G1400" i="29"/>
  <c r="G2324" i="29"/>
  <c r="H2756" i="29"/>
  <c r="E1787" i="29"/>
  <c r="W2320" i="208"/>
  <c r="F478" i="29"/>
  <c r="F1999" i="29"/>
  <c r="E2969" i="29"/>
  <c r="N1459" i="208"/>
  <c r="N1024" i="208"/>
  <c r="N2032" i="208"/>
  <c r="F497" i="29"/>
  <c r="E1910" i="29"/>
  <c r="W1459" i="208"/>
  <c r="W1024" i="208"/>
  <c r="N2896" i="208"/>
  <c r="W2032" i="208"/>
  <c r="N1265" i="208"/>
  <c r="F2485" i="29"/>
  <c r="F1921" i="29"/>
  <c r="F587" i="29"/>
  <c r="F845" i="29"/>
  <c r="E2248" i="29"/>
  <c r="W2896" i="208"/>
  <c r="N2860" i="208"/>
  <c r="H2620" i="29"/>
  <c r="H2865" i="29"/>
  <c r="F599" i="29"/>
  <c r="F1297" i="29"/>
  <c r="E2217" i="29"/>
  <c r="N1893" i="208"/>
  <c r="G315" i="29"/>
  <c r="F863" i="29"/>
  <c r="F620" i="29"/>
  <c r="N109" i="208"/>
  <c r="W109" i="208"/>
  <c r="E561" i="29"/>
  <c r="E2106" i="29"/>
  <c r="F490" i="29"/>
  <c r="G13" i="16"/>
  <c r="H13" i="16" s="1"/>
  <c r="N2075" i="208"/>
  <c r="G544" i="29"/>
  <c r="G359" i="29"/>
  <c r="G790" i="29"/>
  <c r="H1555" i="29"/>
  <c r="G1349" i="29"/>
  <c r="H1921" i="29"/>
  <c r="I1500" i="29"/>
  <c r="G1649" i="29"/>
  <c r="I1933" i="29"/>
  <c r="I1877" i="29"/>
  <c r="G2347" i="29"/>
  <c r="G2355" i="29"/>
  <c r="I2390" i="29"/>
  <c r="G2489" i="29"/>
  <c r="G2497" i="29"/>
  <c r="G2631" i="29"/>
  <c r="G2575" i="29"/>
  <c r="H2778" i="29"/>
  <c r="F1884" i="29"/>
  <c r="F2478" i="29"/>
  <c r="E2063" i="29"/>
  <c r="F2536" i="29"/>
  <c r="E2587" i="29"/>
  <c r="N225" i="208"/>
  <c r="N491" i="208"/>
  <c r="W2334" i="208"/>
  <c r="F2452" i="29"/>
  <c r="F315" i="29"/>
  <c r="F2816" i="29"/>
  <c r="E593" i="29"/>
  <c r="E509" i="29"/>
  <c r="E762" i="29"/>
  <c r="E1116" i="29"/>
  <c r="W491" i="208"/>
  <c r="G2075" i="29"/>
  <c r="F2390" i="29"/>
  <c r="F2575" i="29"/>
  <c r="F883" i="29"/>
  <c r="F741" i="29"/>
  <c r="F2723" i="29"/>
  <c r="E970" i="29"/>
  <c r="E1207" i="29"/>
  <c r="H877" i="29"/>
  <c r="H367" i="29"/>
  <c r="I490" i="29"/>
  <c r="I793" i="29"/>
  <c r="H1200" i="29"/>
  <c r="G981" i="29"/>
  <c r="G1216" i="29"/>
  <c r="I1216" i="29"/>
  <c r="H1495" i="29"/>
  <c r="I1495" i="29"/>
  <c r="I2071" i="29"/>
  <c r="G1826" i="29"/>
  <c r="H2155" i="29"/>
  <c r="G2210" i="29"/>
  <c r="G2352" i="29"/>
  <c r="I2620" i="29"/>
  <c r="H2773" i="29"/>
  <c r="F729" i="29"/>
  <c r="F2871" i="29"/>
  <c r="W9" i="208"/>
  <c r="N253" i="208"/>
  <c r="W2508" i="208"/>
  <c r="W1067" i="208"/>
  <c r="I419" i="29"/>
  <c r="I348" i="29"/>
  <c r="I544" i="29"/>
  <c r="G832" i="29"/>
  <c r="I1116" i="29"/>
  <c r="H1129" i="29"/>
  <c r="H1025" i="29"/>
  <c r="I1077" i="29"/>
  <c r="I1123" i="29"/>
  <c r="G939" i="29"/>
  <c r="F1188" i="29"/>
  <c r="F1129" i="29"/>
  <c r="E478" i="29"/>
  <c r="I2068" i="29"/>
  <c r="F2194" i="29"/>
  <c r="E371" i="29"/>
  <c r="E741" i="29"/>
  <c r="E1649" i="29"/>
  <c r="E2046" i="29"/>
  <c r="E1884" i="29"/>
  <c r="E2161" i="29"/>
  <c r="F2685" i="29"/>
  <c r="H497" i="29"/>
  <c r="F1503" i="29"/>
  <c r="F1358" i="29"/>
  <c r="F1697" i="29"/>
  <c r="F413" i="29"/>
  <c r="E1265" i="29"/>
  <c r="F1303" i="29"/>
  <c r="W144" i="208"/>
  <c r="N2273" i="208"/>
  <c r="W1902" i="208"/>
  <c r="W2216" i="208"/>
  <c r="H484" i="29"/>
  <c r="G548" i="29"/>
  <c r="I935" i="29"/>
  <c r="I1254" i="29"/>
  <c r="I1723" i="29"/>
  <c r="G1756" i="29"/>
  <c r="G1614" i="29"/>
  <c r="I1784" i="29"/>
  <c r="G1645" i="29"/>
  <c r="I2019" i="29"/>
  <c r="I2343" i="29"/>
  <c r="H2390" i="29"/>
  <c r="H2501" i="29"/>
  <c r="H2581" i="29"/>
  <c r="I2691" i="29"/>
  <c r="I2927" i="29"/>
  <c r="I2773" i="29"/>
  <c r="F1756" i="29"/>
  <c r="F1220" i="29"/>
  <c r="F1219" i="29" s="1"/>
  <c r="F1431" i="29"/>
  <c r="E445" i="29"/>
  <c r="E544" i="29"/>
  <c r="I1538" i="29"/>
  <c r="G1968" i="29"/>
  <c r="H2923" i="29"/>
  <c r="F1271" i="29"/>
  <c r="F544" i="29"/>
  <c r="F1058" i="29"/>
  <c r="E336" i="29"/>
  <c r="F2064" i="29"/>
  <c r="F2063" i="29" s="1"/>
  <c r="E2401" i="29"/>
  <c r="F2959" i="29"/>
  <c r="F2958" i="29" s="1"/>
  <c r="G593" i="29"/>
  <c r="I309" i="29"/>
  <c r="I364" i="29"/>
  <c r="G509" i="29"/>
  <c r="H355" i="29"/>
  <c r="G904" i="29"/>
  <c r="G655" i="29"/>
  <c r="I741" i="29"/>
  <c r="G1065" i="29"/>
  <c r="H1116" i="29"/>
  <c r="H1472" i="29"/>
  <c r="H1254" i="29"/>
  <c r="H1587" i="29"/>
  <c r="G1495" i="29"/>
  <c r="G1549" i="29"/>
  <c r="H1620" i="29"/>
  <c r="H1775" i="29"/>
  <c r="I1729" i="29"/>
  <c r="G1933" i="29"/>
  <c r="H2063" i="29"/>
  <c r="G2194" i="29"/>
  <c r="I2205" i="29"/>
  <c r="H2343" i="29"/>
  <c r="H2210" i="29"/>
  <c r="H2352" i="29"/>
  <c r="G2425" i="29"/>
  <c r="G2567" i="29"/>
  <c r="I2485" i="29"/>
  <c r="G2927" i="29"/>
  <c r="H2827" i="29"/>
  <c r="I2781" i="29"/>
  <c r="F1155" i="29"/>
  <c r="F1600" i="29"/>
  <c r="F655" i="29"/>
  <c r="H445" i="29"/>
  <c r="G406" i="29"/>
  <c r="I303" i="29"/>
  <c r="H561" i="29"/>
  <c r="G513" i="29"/>
  <c r="I497" i="29"/>
  <c r="G561" i="29"/>
  <c r="G451" i="29"/>
  <c r="H371" i="29"/>
  <c r="I729" i="29"/>
  <c r="I721" i="29"/>
  <c r="I768" i="29"/>
  <c r="H785" i="29"/>
  <c r="H729" i="29"/>
  <c r="G1069" i="29"/>
  <c r="G1194" i="29"/>
  <c r="I974" i="29"/>
  <c r="H1161" i="29"/>
  <c r="G1258" i="29"/>
  <c r="H1258" i="29"/>
  <c r="I1265" i="29"/>
  <c r="G1330" i="29"/>
  <c r="I1626" i="29"/>
  <c r="G1472" i="29"/>
  <c r="G1684" i="29"/>
  <c r="G1723" i="29"/>
  <c r="G1715" i="29"/>
  <c r="G1775" i="29"/>
  <c r="G1779" i="29"/>
  <c r="I1614" i="29"/>
  <c r="H1975" i="29"/>
  <c r="G1857" i="29"/>
  <c r="G1999" i="29"/>
  <c r="I2059" i="29"/>
  <c r="G2068" i="29"/>
  <c r="I2117" i="29"/>
  <c r="G2336" i="29"/>
  <c r="H2401" i="29"/>
  <c r="I2194" i="29"/>
  <c r="H2347" i="29"/>
  <c r="I2155" i="29"/>
  <c r="H2213" i="29"/>
  <c r="G2297" i="29"/>
  <c r="I2543" i="29"/>
  <c r="H2489" i="29"/>
  <c r="G2685" i="29"/>
  <c r="G2478" i="29"/>
  <c r="I2685" i="29"/>
  <c r="I2581" i="29"/>
  <c r="H2631" i="29"/>
  <c r="I2762" i="29"/>
  <c r="I2851" i="29"/>
  <c r="I2820" i="29"/>
  <c r="H2785" i="29"/>
  <c r="F2773" i="29"/>
  <c r="F348" i="29"/>
  <c r="E1211" i="29"/>
  <c r="B4" i="33"/>
  <c r="B66" i="33"/>
  <c r="G92" i="33"/>
  <c r="E96" i="33"/>
  <c r="G103" i="33"/>
  <c r="N2700" i="208"/>
  <c r="N2797" i="208"/>
  <c r="N1888" i="208"/>
  <c r="N2074" i="208"/>
  <c r="N1069" i="208"/>
  <c r="N493" i="208"/>
  <c r="N349" i="208"/>
  <c r="N198" i="208"/>
  <c r="W1461" i="208"/>
  <c r="W1317" i="208"/>
  <c r="W750" i="208"/>
  <c r="W606" i="208"/>
  <c r="W462" i="208"/>
  <c r="W2509" i="208"/>
  <c r="N1354" i="208"/>
  <c r="N902" i="208"/>
  <c r="N2177" i="208"/>
  <c r="N684" i="208"/>
  <c r="N1256" i="208"/>
  <c r="N1980" i="208"/>
  <c r="W998" i="208"/>
  <c r="W1499" i="208"/>
  <c r="W923" i="208"/>
  <c r="G484" i="29"/>
  <c r="H579" i="29"/>
  <c r="H359" i="29"/>
  <c r="G309" i="29"/>
  <c r="I620" i="29"/>
  <c r="H336" i="29"/>
  <c r="G437" i="29"/>
  <c r="G355" i="29"/>
  <c r="I501" i="29"/>
  <c r="G599" i="29"/>
  <c r="H599" i="29"/>
  <c r="H315" i="29"/>
  <c r="G768" i="29"/>
  <c r="I871" i="29"/>
  <c r="G871" i="29"/>
  <c r="H748" i="29"/>
  <c r="H832" i="29"/>
  <c r="H703" i="29"/>
  <c r="G774" i="29"/>
  <c r="G632" i="29"/>
  <c r="G863" i="29"/>
  <c r="G916" i="29"/>
  <c r="G877" i="29"/>
  <c r="I1161" i="29"/>
  <c r="H1223" i="29"/>
  <c r="W2700" i="208"/>
  <c r="W1888" i="208"/>
  <c r="W1069" i="208"/>
  <c r="W493" i="208"/>
  <c r="W349" i="208"/>
  <c r="W198" i="208"/>
  <c r="N2650" i="208"/>
  <c r="N597" i="208"/>
  <c r="N453" i="208"/>
  <c r="N1600" i="208"/>
  <c r="W902" i="208"/>
  <c r="N2936" i="208"/>
  <c r="W2177" i="208"/>
  <c r="W684" i="208"/>
  <c r="W1256" i="208"/>
  <c r="N1430" i="208"/>
  <c r="N1697" i="208"/>
  <c r="E117" i="33"/>
  <c r="F117" i="33" s="1"/>
  <c r="E122" i="33"/>
  <c r="F122" i="33" s="1"/>
  <c r="E114" i="33"/>
  <c r="E125" i="33"/>
  <c r="F125" i="33" s="1"/>
  <c r="E120" i="33"/>
  <c r="E116" i="33"/>
  <c r="F116" i="33" s="1"/>
  <c r="E124" i="33"/>
  <c r="F124" i="33" s="1"/>
  <c r="E118" i="33"/>
  <c r="F118" i="33" s="1"/>
  <c r="E115" i="33"/>
  <c r="F115" i="33" s="1"/>
  <c r="E2952" i="29"/>
  <c r="F2952" i="29" s="1"/>
  <c r="E2956" i="29"/>
  <c r="F2956" i="29" s="1"/>
  <c r="E2945" i="29"/>
  <c r="F2945" i="29" s="1"/>
  <c r="E2812" i="29"/>
  <c r="F2812" i="29" s="1"/>
  <c r="E2802" i="29"/>
  <c r="F2802" i="29" s="1"/>
  <c r="E2944" i="29"/>
  <c r="F2944" i="29" s="1"/>
  <c r="E2954" i="29"/>
  <c r="F2954" i="29" s="1"/>
  <c r="E2804" i="29"/>
  <c r="F2804" i="29" s="1"/>
  <c r="E2801" i="29"/>
  <c r="E2810" i="29"/>
  <c r="F2810" i="29" s="1"/>
  <c r="E2946" i="29"/>
  <c r="F2946" i="29" s="1"/>
  <c r="E2943" i="29"/>
  <c r="E2814" i="29"/>
  <c r="F2814" i="29" s="1"/>
  <c r="E2803" i="29"/>
  <c r="F2803" i="29" s="1"/>
  <c r="E2660" i="29"/>
  <c r="F2660" i="29" s="1"/>
  <c r="E2526" i="29"/>
  <c r="F2526" i="29" s="1"/>
  <c r="E2670" i="29"/>
  <c r="F2670" i="29" s="1"/>
  <c r="E2530" i="29"/>
  <c r="F2530" i="29" s="1"/>
  <c r="E2519" i="29"/>
  <c r="F2519" i="29" s="1"/>
  <c r="E2662" i="29"/>
  <c r="F2662" i="29" s="1"/>
  <c r="E2659" i="29"/>
  <c r="E2668" i="29"/>
  <c r="F2668" i="29" s="1"/>
  <c r="E2518" i="29"/>
  <c r="E2528" i="29"/>
  <c r="F2528" i="29" s="1"/>
  <c r="E2672" i="29"/>
  <c r="F2672" i="29" s="1"/>
  <c r="E2661" i="29"/>
  <c r="F2661" i="29" s="1"/>
  <c r="E2520" i="29"/>
  <c r="F2520" i="29" s="1"/>
  <c r="E2517" i="29"/>
  <c r="E2384" i="29"/>
  <c r="F2384" i="29" s="1"/>
  <c r="E2246" i="29"/>
  <c r="F2246" i="29" s="1"/>
  <c r="E2388" i="29"/>
  <c r="F2388" i="29" s="1"/>
  <c r="E2377" i="29"/>
  <c r="F2377" i="29" s="1"/>
  <c r="E2235" i="29"/>
  <c r="F2235" i="29" s="1"/>
  <c r="E2092" i="29"/>
  <c r="F2092" i="29" s="1"/>
  <c r="E2376" i="29"/>
  <c r="F2376" i="29" s="1"/>
  <c r="E2244" i="29"/>
  <c r="F2244" i="29" s="1"/>
  <c r="E2234" i="29"/>
  <c r="F2234" i="29" s="1"/>
  <c r="E2100" i="29"/>
  <c r="F2100" i="29" s="1"/>
  <c r="E2094" i="29"/>
  <c r="F2094" i="29" s="1"/>
  <c r="E2386" i="29"/>
  <c r="F2386" i="29" s="1"/>
  <c r="E2104" i="29"/>
  <c r="F2104" i="29" s="1"/>
  <c r="E2378" i="29"/>
  <c r="F2378" i="29" s="1"/>
  <c r="E2375" i="29"/>
  <c r="E2236" i="29"/>
  <c r="F2236" i="29" s="1"/>
  <c r="E2233" i="29"/>
  <c r="E2242" i="29"/>
  <c r="F2242" i="29" s="1"/>
  <c r="E2091" i="29"/>
  <c r="E1950" i="29"/>
  <c r="F1950" i="29" s="1"/>
  <c r="E2102" i="29"/>
  <c r="F2102" i="29" s="1"/>
  <c r="E1958" i="29"/>
  <c r="F1958" i="29" s="1"/>
  <c r="E1962" i="29"/>
  <c r="F1962" i="29" s="1"/>
  <c r="E1952" i="29"/>
  <c r="F1952" i="29" s="1"/>
  <c r="E1949" i="29"/>
  <c r="E2093" i="29"/>
  <c r="F2093" i="29" s="1"/>
  <c r="E1816" i="29"/>
  <c r="F1816" i="29" s="1"/>
  <c r="E1820" i="29"/>
  <c r="F1820" i="29" s="1"/>
  <c r="E1951" i="29"/>
  <c r="F1951" i="29" s="1"/>
  <c r="E1809" i="29"/>
  <c r="F1809" i="29" s="1"/>
  <c r="E1676" i="29"/>
  <c r="F1676" i="29" s="1"/>
  <c r="E1526" i="29"/>
  <c r="F1526" i="29" s="1"/>
  <c r="E1523" i="29"/>
  <c r="E1960" i="29"/>
  <c r="F1960" i="29" s="1"/>
  <c r="E1808" i="29"/>
  <c r="F1808" i="29" s="1"/>
  <c r="E1666" i="29"/>
  <c r="F1666" i="29" s="1"/>
  <c r="E1807" i="29"/>
  <c r="E1668" i="29"/>
  <c r="F1668" i="29" s="1"/>
  <c r="E1674" i="29"/>
  <c r="E1665" i="29"/>
  <c r="E1678" i="29"/>
  <c r="F1678" i="29" s="1"/>
  <c r="E1524" i="29"/>
  <c r="F1524" i="29" s="1"/>
  <c r="E1810" i="29"/>
  <c r="F1810" i="29" s="1"/>
  <c r="E1667" i="29"/>
  <c r="F1667" i="29" s="1"/>
  <c r="E1534" i="29"/>
  <c r="F1534" i="29" s="1"/>
  <c r="E1525" i="29"/>
  <c r="F1525" i="29" s="1"/>
  <c r="E1382" i="29"/>
  <c r="F1382" i="29" s="1"/>
  <c r="E1536" i="29"/>
  <c r="F1536" i="29" s="1"/>
  <c r="E1242" i="29"/>
  <c r="F1242" i="29" s="1"/>
  <c r="E1248" i="29"/>
  <c r="E1239" i="29"/>
  <c r="F1239" i="29" s="1"/>
  <c r="E1390" i="29"/>
  <c r="E1384" i="29"/>
  <c r="F1384" i="29" s="1"/>
  <c r="E1252" i="29"/>
  <c r="F1252" i="29" s="1"/>
  <c r="E1394" i="29"/>
  <c r="F1394" i="29" s="1"/>
  <c r="E1381" i="29"/>
  <c r="E1532" i="29"/>
  <c r="F1532" i="29" s="1"/>
  <c r="E1241" i="29"/>
  <c r="F1241" i="29" s="1"/>
  <c r="E1383" i="29"/>
  <c r="F1383" i="29" s="1"/>
  <c r="E1250" i="29"/>
  <c r="F1250" i="29" s="1"/>
  <c r="E1392" i="29"/>
  <c r="F1392" i="29" s="1"/>
  <c r="E1240" i="29"/>
  <c r="F1240" i="29" s="1"/>
  <c r="E1818" i="29"/>
  <c r="F1818" i="29" s="1"/>
  <c r="E957" i="29"/>
  <c r="F957" i="29" s="1"/>
  <c r="E1100" i="29"/>
  <c r="F1100" i="29" s="1"/>
  <c r="E1106" i="29"/>
  <c r="F1106" i="29" s="1"/>
  <c r="E1097" i="29"/>
  <c r="E1110" i="29"/>
  <c r="F1110" i="29" s="1"/>
  <c r="E966" i="29"/>
  <c r="F966" i="29" s="1"/>
  <c r="E956" i="29"/>
  <c r="F956" i="29" s="1"/>
  <c r="E1099" i="29"/>
  <c r="F1099" i="29" s="1"/>
  <c r="E958" i="29"/>
  <c r="F958" i="29" s="1"/>
  <c r="E1108" i="29"/>
  <c r="F1108" i="29" s="1"/>
  <c r="E1098" i="29"/>
  <c r="F1098" i="29" s="1"/>
  <c r="E826" i="29"/>
  <c r="F826" i="29" s="1"/>
  <c r="E815" i="29"/>
  <c r="F815" i="29" s="1"/>
  <c r="E682" i="29"/>
  <c r="F682" i="29" s="1"/>
  <c r="E672" i="29"/>
  <c r="F672" i="29" s="1"/>
  <c r="E955" i="29"/>
  <c r="E968" i="29"/>
  <c r="F968" i="29" s="1"/>
  <c r="E814" i="29"/>
  <c r="F814" i="29" s="1"/>
  <c r="E824" i="29"/>
  <c r="F824" i="29" s="1"/>
  <c r="E680" i="29"/>
  <c r="E674" i="29"/>
  <c r="F674" i="29" s="1"/>
  <c r="E671" i="29"/>
  <c r="E684" i="29"/>
  <c r="F684" i="29" s="1"/>
  <c r="E964" i="29"/>
  <c r="F964" i="29" s="1"/>
  <c r="E816" i="29"/>
  <c r="F816" i="29" s="1"/>
  <c r="E813" i="29"/>
  <c r="E822" i="29"/>
  <c r="F822" i="29" s="1"/>
  <c r="E673" i="29"/>
  <c r="F673" i="29" s="1"/>
  <c r="E542" i="29"/>
  <c r="F542" i="29" s="1"/>
  <c r="E388" i="29"/>
  <c r="F388" i="29" s="1"/>
  <c r="E531" i="29"/>
  <c r="F531" i="29" s="1"/>
  <c r="E396" i="29"/>
  <c r="F396" i="29" s="1"/>
  <c r="E390" i="29"/>
  <c r="F390" i="29" s="1"/>
  <c r="E387" i="29"/>
  <c r="E540" i="29"/>
  <c r="F540" i="29" s="1"/>
  <c r="E530" i="29"/>
  <c r="F530" i="29" s="1"/>
  <c r="E400" i="29"/>
  <c r="F400" i="29" s="1"/>
  <c r="E389" i="29"/>
  <c r="F389" i="29" s="1"/>
  <c r="E398" i="29"/>
  <c r="F398" i="29" s="1"/>
  <c r="E529" i="29"/>
  <c r="E256" i="29"/>
  <c r="F256" i="29" s="1"/>
  <c r="E248" i="29"/>
  <c r="F248" i="29" s="1"/>
  <c r="E245" i="29"/>
  <c r="F245" i="29" s="1"/>
  <c r="E538" i="29"/>
  <c r="F538" i="29" s="1"/>
  <c r="E254" i="29"/>
  <c r="F254" i="29" s="1"/>
  <c r="E247" i="29"/>
  <c r="F247" i="29" s="1"/>
  <c r="E246" i="29"/>
  <c r="F246" i="29" s="1"/>
  <c r="E532" i="29"/>
  <c r="F532" i="29" s="1"/>
  <c r="E258" i="29"/>
  <c r="F258" i="29" s="1"/>
  <c r="E1385" i="29"/>
  <c r="F1385" i="29" s="1"/>
  <c r="E249" i="29"/>
  <c r="F249" i="29" s="1"/>
  <c r="F2518" i="29"/>
  <c r="E1811" i="29"/>
  <c r="F1811" i="29" s="1"/>
  <c r="I249" i="29"/>
  <c r="H402" i="29"/>
  <c r="I464" i="29"/>
  <c r="I655" i="29"/>
  <c r="I457" i="29"/>
  <c r="G336" i="29"/>
  <c r="G367" i="29"/>
  <c r="I533" i="29"/>
  <c r="I355" i="29"/>
  <c r="H451" i="29"/>
  <c r="H675" i="29"/>
  <c r="I1065" i="29"/>
  <c r="G735" i="29"/>
  <c r="I735" i="29"/>
  <c r="H793" i="29"/>
  <c r="G1081" i="29"/>
  <c r="I781" i="29"/>
  <c r="H774" i="29"/>
  <c r="G1112" i="29"/>
  <c r="G1025" i="29"/>
  <c r="I1112" i="29"/>
  <c r="G927" i="29"/>
  <c r="I923" i="29"/>
  <c r="G959" i="29"/>
  <c r="I970" i="29"/>
  <c r="H981" i="29"/>
  <c r="G1265" i="29"/>
  <c r="H1342" i="29"/>
  <c r="H1265" i="29"/>
  <c r="H1400" i="29"/>
  <c r="I1336" i="29"/>
  <c r="I1407" i="29"/>
  <c r="H1791" i="29"/>
  <c r="I1431" i="29"/>
  <c r="H1723" i="29"/>
  <c r="I1680" i="29"/>
  <c r="H1581" i="29"/>
  <c r="G1555" i="29"/>
  <c r="H1626" i="29"/>
  <c r="H2095" i="29"/>
  <c r="H2161" i="29"/>
  <c r="I1999" i="29"/>
  <c r="G1865" i="29"/>
  <c r="H2046" i="29"/>
  <c r="H1968" i="29"/>
  <c r="I2046" i="29"/>
  <c r="G2141" i="29"/>
  <c r="I2168" i="29"/>
  <c r="G2237" i="29"/>
  <c r="H2379" i="29"/>
  <c r="H2265" i="29"/>
  <c r="I2359" i="29"/>
  <c r="I2709" i="29"/>
  <c r="H2425" i="29"/>
  <c r="I2614" i="29"/>
  <c r="I2898" i="29"/>
  <c r="I2975" i="29"/>
  <c r="I2756" i="29"/>
  <c r="H2904" i="29"/>
  <c r="I2827" i="29"/>
  <c r="G2975" i="29"/>
  <c r="N963" i="208"/>
  <c r="N459" i="208"/>
  <c r="N640" i="208"/>
  <c r="N496" i="208"/>
  <c r="N2752" i="208"/>
  <c r="N1747" i="208"/>
  <c r="N1356" i="208"/>
  <c r="N1212" i="208"/>
  <c r="W2650" i="208"/>
  <c r="W1029" i="208"/>
  <c r="W597" i="208"/>
  <c r="W453" i="208"/>
  <c r="W1600" i="208"/>
  <c r="N451" i="208"/>
  <c r="N307" i="208"/>
  <c r="N2129" i="208"/>
  <c r="N1985" i="208"/>
  <c r="N1640" i="208"/>
  <c r="W1644" i="208"/>
  <c r="W2936" i="208"/>
  <c r="N91" i="208"/>
  <c r="N1547" i="208"/>
  <c r="N2859" i="208"/>
  <c r="N1832" i="208"/>
  <c r="W1430" i="208"/>
  <c r="W1697" i="208"/>
  <c r="W1265" i="208"/>
  <c r="N2897" i="208"/>
  <c r="I125" i="33"/>
  <c r="I120" i="33"/>
  <c r="I116" i="33"/>
  <c r="H125" i="33"/>
  <c r="H120" i="33"/>
  <c r="H116" i="33"/>
  <c r="G125" i="33"/>
  <c r="G120" i="33"/>
  <c r="G116" i="33"/>
  <c r="I124" i="33"/>
  <c r="I118" i="33"/>
  <c r="I115" i="33"/>
  <c r="H124" i="33"/>
  <c r="H118" i="33"/>
  <c r="H115" i="33"/>
  <c r="G124" i="33"/>
  <c r="G118" i="33"/>
  <c r="G115" i="33"/>
  <c r="I122" i="33"/>
  <c r="I117" i="33"/>
  <c r="I114" i="33"/>
  <c r="H122" i="33"/>
  <c r="H117" i="33"/>
  <c r="H114" i="33"/>
  <c r="G122" i="33"/>
  <c r="G117" i="33"/>
  <c r="G114" i="33"/>
  <c r="H2956" i="29"/>
  <c r="H2945" i="29"/>
  <c r="I2812" i="29"/>
  <c r="I2802" i="29"/>
  <c r="G2956" i="29"/>
  <c r="G2945" i="29"/>
  <c r="H2812" i="29"/>
  <c r="H2802" i="29"/>
  <c r="G2812" i="29"/>
  <c r="G2802" i="29"/>
  <c r="I2944" i="29"/>
  <c r="I2805" i="29"/>
  <c r="I2954" i="29"/>
  <c r="H2944" i="29"/>
  <c r="I2804" i="29"/>
  <c r="I2801" i="29"/>
  <c r="H2954" i="29"/>
  <c r="G2944" i="29"/>
  <c r="I2810" i="29"/>
  <c r="H2804" i="29"/>
  <c r="G2954" i="29"/>
  <c r="I2814" i="29"/>
  <c r="H2810" i="29"/>
  <c r="G2804" i="29"/>
  <c r="G2801" i="29"/>
  <c r="I2946" i="29"/>
  <c r="I2943" i="29"/>
  <c r="H2814" i="29"/>
  <c r="G2810" i="29"/>
  <c r="H2946" i="29"/>
  <c r="H2943" i="29"/>
  <c r="G2814" i="29"/>
  <c r="I2803" i="29"/>
  <c r="I2952" i="29"/>
  <c r="G2946" i="29"/>
  <c r="G2943" i="29"/>
  <c r="H2803" i="29"/>
  <c r="H2952" i="29"/>
  <c r="G2803" i="29"/>
  <c r="G2670" i="29"/>
  <c r="H2530" i="29"/>
  <c r="H2519" i="29"/>
  <c r="I2956" i="29"/>
  <c r="H2801" i="29"/>
  <c r="I2662" i="29"/>
  <c r="I2659" i="29"/>
  <c r="G2530" i="29"/>
  <c r="G2519" i="29"/>
  <c r="H2662" i="29"/>
  <c r="H2659" i="29"/>
  <c r="I2668" i="29"/>
  <c r="G2662" i="29"/>
  <c r="G2659" i="29"/>
  <c r="I2518" i="29"/>
  <c r="G2952" i="29"/>
  <c r="H2668" i="29"/>
  <c r="I2528" i="29"/>
  <c r="H2518" i="29"/>
  <c r="I2672" i="29"/>
  <c r="G2668" i="29"/>
  <c r="I2661" i="29"/>
  <c r="H2528" i="29"/>
  <c r="G2518" i="29"/>
  <c r="H2672" i="29"/>
  <c r="H2661" i="29"/>
  <c r="G2528" i="29"/>
  <c r="I2945" i="29"/>
  <c r="G2672" i="29"/>
  <c r="G2661" i="29"/>
  <c r="I2520" i="29"/>
  <c r="I2517" i="29"/>
  <c r="H2520" i="29"/>
  <c r="H2517" i="29"/>
  <c r="I2660" i="29"/>
  <c r="I2526" i="29"/>
  <c r="G2520" i="29"/>
  <c r="G2517" i="29"/>
  <c r="I2670" i="29"/>
  <c r="H2660" i="29"/>
  <c r="H2526" i="29"/>
  <c r="G2388" i="29"/>
  <c r="H2377" i="29"/>
  <c r="G2246" i="29"/>
  <c r="H2235" i="29"/>
  <c r="G2526" i="29"/>
  <c r="G2377" i="29"/>
  <c r="G2235" i="29"/>
  <c r="G2095" i="29"/>
  <c r="I2376" i="29"/>
  <c r="I2244" i="29"/>
  <c r="I2234" i="29"/>
  <c r="I2519" i="29"/>
  <c r="I2386" i="29"/>
  <c r="H2376" i="29"/>
  <c r="H2244" i="29"/>
  <c r="H2234" i="29"/>
  <c r="H2100" i="29"/>
  <c r="H2670" i="29"/>
  <c r="H2386" i="29"/>
  <c r="G2376" i="29"/>
  <c r="G2244" i="29"/>
  <c r="G2234" i="29"/>
  <c r="G2386" i="29"/>
  <c r="I2237" i="29"/>
  <c r="H2104" i="29"/>
  <c r="I2378" i="29"/>
  <c r="I2375" i="29"/>
  <c r="H2378" i="29"/>
  <c r="H2375" i="29"/>
  <c r="I2242" i="29"/>
  <c r="H2236" i="29"/>
  <c r="H2233" i="29"/>
  <c r="H2093" i="29"/>
  <c r="I2384" i="29"/>
  <c r="G2378" i="29"/>
  <c r="G2375" i="29"/>
  <c r="H2242" i="29"/>
  <c r="G2236" i="29"/>
  <c r="G2233" i="29"/>
  <c r="G2660" i="29"/>
  <c r="I2530" i="29"/>
  <c r="I2388" i="29"/>
  <c r="H2384" i="29"/>
  <c r="I2246" i="29"/>
  <c r="G2242" i="29"/>
  <c r="H2388" i="29"/>
  <c r="G2384" i="29"/>
  <c r="I2377" i="29"/>
  <c r="I2102" i="29"/>
  <c r="H2091" i="29"/>
  <c r="H1950" i="29"/>
  <c r="H2102" i="29"/>
  <c r="G2091" i="29"/>
  <c r="I1958" i="29"/>
  <c r="G1950" i="29"/>
  <c r="G1818" i="29"/>
  <c r="G2102" i="29"/>
  <c r="I2094" i="29"/>
  <c r="H1958" i="29"/>
  <c r="I1953" i="29"/>
  <c r="H2094" i="29"/>
  <c r="I1962" i="29"/>
  <c r="G1958" i="29"/>
  <c r="I1952" i="29"/>
  <c r="I1949" i="29"/>
  <c r="I1810" i="29"/>
  <c r="I1807" i="29"/>
  <c r="G2094" i="29"/>
  <c r="H1962" i="29"/>
  <c r="H1952" i="29"/>
  <c r="H1949" i="29"/>
  <c r="I1816" i="29"/>
  <c r="H1810" i="29"/>
  <c r="I2236" i="29"/>
  <c r="I2100" i="29"/>
  <c r="I2093" i="29"/>
  <c r="G1962" i="29"/>
  <c r="G1952" i="29"/>
  <c r="G1949" i="29"/>
  <c r="I2235" i="29"/>
  <c r="G2100" i="29"/>
  <c r="G2093" i="29"/>
  <c r="I2233" i="29"/>
  <c r="I1951" i="29"/>
  <c r="H1820" i="29"/>
  <c r="I1809" i="29"/>
  <c r="I2092" i="29"/>
  <c r="I1960" i="29"/>
  <c r="H1951" i="29"/>
  <c r="G1820" i="29"/>
  <c r="H1809" i="29"/>
  <c r="I2104" i="29"/>
  <c r="H2092" i="29"/>
  <c r="H1960" i="29"/>
  <c r="G1951" i="29"/>
  <c r="G1809" i="29"/>
  <c r="G2104" i="29"/>
  <c r="G2092" i="29"/>
  <c r="G1960" i="29"/>
  <c r="H1808" i="29"/>
  <c r="H1666" i="29"/>
  <c r="I1532" i="29"/>
  <c r="G1526" i="29"/>
  <c r="G1523" i="29"/>
  <c r="I2091" i="29"/>
  <c r="H1816" i="29"/>
  <c r="G1808" i="29"/>
  <c r="G1666" i="29"/>
  <c r="H1532" i="29"/>
  <c r="G1816" i="29"/>
  <c r="I1674" i="29"/>
  <c r="I1668" i="29"/>
  <c r="I1536" i="29"/>
  <c r="G1532" i="29"/>
  <c r="I1525" i="29"/>
  <c r="H2246" i="29"/>
  <c r="H1807" i="29"/>
  <c r="I1678" i="29"/>
  <c r="H1674" i="29"/>
  <c r="H1668" i="29"/>
  <c r="I1665" i="29"/>
  <c r="G1807" i="29"/>
  <c r="H1678" i="29"/>
  <c r="G1674" i="29"/>
  <c r="G1668" i="29"/>
  <c r="H1665" i="29"/>
  <c r="G1536" i="29"/>
  <c r="G1525" i="29"/>
  <c r="G1678" i="29"/>
  <c r="G1665" i="29"/>
  <c r="I1667" i="29"/>
  <c r="I1950" i="29"/>
  <c r="I1820" i="29"/>
  <c r="H1667" i="29"/>
  <c r="H1811" i="29"/>
  <c r="G1667" i="29"/>
  <c r="H1534" i="29"/>
  <c r="G1524" i="29"/>
  <c r="I1818" i="29"/>
  <c r="G1810" i="29"/>
  <c r="I1676" i="29"/>
  <c r="G1534" i="29"/>
  <c r="H1818" i="29"/>
  <c r="H1676" i="29"/>
  <c r="I1526" i="29"/>
  <c r="I1523" i="29"/>
  <c r="H1536" i="29"/>
  <c r="I1394" i="29"/>
  <c r="H1390" i="29"/>
  <c r="I1384" i="29"/>
  <c r="I1252" i="29"/>
  <c r="G1248" i="29"/>
  <c r="G1242" i="29"/>
  <c r="G1239" i="29"/>
  <c r="I1524" i="29"/>
  <c r="H1394" i="29"/>
  <c r="G1390" i="29"/>
  <c r="H1384" i="29"/>
  <c r="I1381" i="29"/>
  <c r="H1252" i="29"/>
  <c r="I1808" i="29"/>
  <c r="H1524" i="29"/>
  <c r="G1394" i="29"/>
  <c r="G1384" i="29"/>
  <c r="H1381" i="29"/>
  <c r="G1252" i="29"/>
  <c r="I1241" i="29"/>
  <c r="G1676" i="29"/>
  <c r="I1534" i="29"/>
  <c r="H1523" i="29"/>
  <c r="G1381" i="29"/>
  <c r="H1241" i="29"/>
  <c r="I1383" i="29"/>
  <c r="G1241" i="29"/>
  <c r="H1383" i="29"/>
  <c r="I1250" i="29"/>
  <c r="I1392" i="29"/>
  <c r="G1383" i="29"/>
  <c r="H1250" i="29"/>
  <c r="I1240" i="29"/>
  <c r="H1392" i="29"/>
  <c r="G1250" i="29"/>
  <c r="H1240" i="29"/>
  <c r="I1666" i="29"/>
  <c r="G1392" i="29"/>
  <c r="G1240" i="29"/>
  <c r="I1382" i="29"/>
  <c r="H1526" i="29"/>
  <c r="H1382" i="29"/>
  <c r="I1239" i="29"/>
  <c r="I1106" i="29"/>
  <c r="H1100" i="29"/>
  <c r="H1097" i="29"/>
  <c r="H1239" i="29"/>
  <c r="H1106" i="29"/>
  <c r="G1100" i="29"/>
  <c r="G1097" i="29"/>
  <c r="I1110" i="29"/>
  <c r="G1106" i="29"/>
  <c r="I966" i="29"/>
  <c r="I956" i="29"/>
  <c r="H1110" i="29"/>
  <c r="I1099" i="29"/>
  <c r="H966" i="29"/>
  <c r="H956" i="29"/>
  <c r="G1110" i="29"/>
  <c r="H1099" i="29"/>
  <c r="G966" i="29"/>
  <c r="G956" i="29"/>
  <c r="G1099" i="29"/>
  <c r="I958" i="29"/>
  <c r="I1248" i="29"/>
  <c r="H958" i="29"/>
  <c r="I955" i="29"/>
  <c r="H1525" i="29"/>
  <c r="I1390" i="29"/>
  <c r="H1248" i="29"/>
  <c r="I1108" i="29"/>
  <c r="I1098" i="29"/>
  <c r="I964" i="29"/>
  <c r="G958" i="29"/>
  <c r="H955" i="29"/>
  <c r="H1108" i="29"/>
  <c r="H1098" i="29"/>
  <c r="I968" i="29"/>
  <c r="H964" i="29"/>
  <c r="G955" i="29"/>
  <c r="I1385" i="29"/>
  <c r="I1242" i="29"/>
  <c r="G1382" i="29"/>
  <c r="H1242" i="29"/>
  <c r="I1100" i="29"/>
  <c r="I1097" i="29"/>
  <c r="G957" i="29"/>
  <c r="H957" i="29"/>
  <c r="H672" i="29"/>
  <c r="I814" i="29"/>
  <c r="G672" i="29"/>
  <c r="H968" i="29"/>
  <c r="I824" i="29"/>
  <c r="H814" i="29"/>
  <c r="I680" i="29"/>
  <c r="I675" i="29"/>
  <c r="G968" i="29"/>
  <c r="H824" i="29"/>
  <c r="G814" i="29"/>
  <c r="I684" i="29"/>
  <c r="H680" i="29"/>
  <c r="I674" i="29"/>
  <c r="I671" i="29"/>
  <c r="G824" i="29"/>
  <c r="H684" i="29"/>
  <c r="G680" i="29"/>
  <c r="H674" i="29"/>
  <c r="H671" i="29"/>
  <c r="G1108" i="29"/>
  <c r="I816" i="29"/>
  <c r="I813" i="29"/>
  <c r="G684" i="29"/>
  <c r="G674" i="29"/>
  <c r="G671" i="29"/>
  <c r="H816" i="29"/>
  <c r="H813" i="29"/>
  <c r="G964" i="29"/>
  <c r="I822" i="29"/>
  <c r="G816" i="29"/>
  <c r="G813" i="29"/>
  <c r="I673" i="29"/>
  <c r="H822" i="29"/>
  <c r="H673" i="29"/>
  <c r="I826" i="29"/>
  <c r="G822" i="29"/>
  <c r="I815" i="29"/>
  <c r="I682" i="29"/>
  <c r="G673" i="29"/>
  <c r="G1098" i="29"/>
  <c r="H826" i="29"/>
  <c r="H815" i="29"/>
  <c r="H682" i="29"/>
  <c r="I957" i="29"/>
  <c r="H531" i="29"/>
  <c r="G391" i="29"/>
  <c r="G682" i="29"/>
  <c r="G531" i="29"/>
  <c r="I396" i="29"/>
  <c r="I390" i="29"/>
  <c r="I387" i="29"/>
  <c r="I540" i="29"/>
  <c r="I400" i="29"/>
  <c r="H396" i="29"/>
  <c r="H390" i="29"/>
  <c r="H387" i="29"/>
  <c r="H540" i="29"/>
  <c r="I530" i="29"/>
  <c r="H400" i="29"/>
  <c r="G396" i="29"/>
  <c r="G390" i="29"/>
  <c r="G387" i="29"/>
  <c r="G540" i="29"/>
  <c r="H530" i="29"/>
  <c r="G400" i="29"/>
  <c r="G530" i="29"/>
  <c r="I389" i="29"/>
  <c r="G826" i="29"/>
  <c r="I672" i="29"/>
  <c r="H389" i="29"/>
  <c r="I538" i="29"/>
  <c r="I532" i="29"/>
  <c r="I529" i="29"/>
  <c r="G389" i="29"/>
  <c r="H538" i="29"/>
  <c r="H532" i="29"/>
  <c r="H529" i="29"/>
  <c r="I398" i="29"/>
  <c r="I542" i="29"/>
  <c r="G538" i="29"/>
  <c r="G532" i="29"/>
  <c r="G529" i="29"/>
  <c r="H398" i="29"/>
  <c r="I388" i="29"/>
  <c r="I256" i="29"/>
  <c r="I248" i="29"/>
  <c r="I245" i="29"/>
  <c r="H256" i="29"/>
  <c r="H248" i="29"/>
  <c r="H245" i="29"/>
  <c r="H542" i="29"/>
  <c r="G256" i="29"/>
  <c r="G248" i="29"/>
  <c r="G245" i="29"/>
  <c r="H247" i="29"/>
  <c r="G815" i="29"/>
  <c r="G542" i="29"/>
  <c r="H254" i="29"/>
  <c r="I254" i="29"/>
  <c r="I247" i="29"/>
  <c r="H388" i="29"/>
  <c r="G254" i="29"/>
  <c r="G247" i="29"/>
  <c r="G388" i="29"/>
  <c r="I258" i="29"/>
  <c r="I246" i="29"/>
  <c r="H258" i="29"/>
  <c r="H246" i="29"/>
  <c r="G258" i="29"/>
  <c r="G246" i="29"/>
  <c r="I531" i="29"/>
  <c r="G398" i="29"/>
  <c r="I315" i="29"/>
  <c r="G626" i="29"/>
  <c r="I413" i="29"/>
  <c r="H620" i="29"/>
  <c r="G303" i="29"/>
  <c r="G497" i="29"/>
  <c r="I828" i="29"/>
  <c r="G533" i="29"/>
  <c r="H457" i="29"/>
  <c r="H509" i="29"/>
  <c r="H464" i="29"/>
  <c r="H606" i="29"/>
  <c r="I359" i="29"/>
  <c r="G506" i="29"/>
  <c r="I606" i="29"/>
  <c r="H322" i="29"/>
  <c r="I697" i="29"/>
  <c r="G620" i="29"/>
  <c r="G741" i="29"/>
  <c r="G639" i="29"/>
  <c r="G839" i="29"/>
  <c r="G797" i="29"/>
  <c r="I785" i="29"/>
  <c r="G883" i="29"/>
  <c r="G729" i="29"/>
  <c r="I651" i="29"/>
  <c r="G1116" i="29"/>
  <c r="H1211" i="29"/>
  <c r="W963" i="208"/>
  <c r="W459" i="208"/>
  <c r="N2611" i="208"/>
  <c r="W640" i="208"/>
  <c r="W496" i="208"/>
  <c r="W2752" i="208"/>
  <c r="W1747" i="208"/>
  <c r="W1356" i="208"/>
  <c r="N2902" i="208"/>
  <c r="N1365" i="208"/>
  <c r="N294" i="208"/>
  <c r="N510" i="208"/>
  <c r="N1470" i="208"/>
  <c r="N1326" i="208"/>
  <c r="N1182" i="208"/>
  <c r="W451" i="208"/>
  <c r="W307" i="208"/>
  <c r="W2129" i="208"/>
  <c r="W1985" i="208"/>
  <c r="W1640" i="208"/>
  <c r="W91" i="208"/>
  <c r="W1547" i="208"/>
  <c r="N2849" i="208"/>
  <c r="W2859" i="208"/>
  <c r="N2901" i="208"/>
  <c r="N2076" i="208"/>
  <c r="N208" i="208"/>
  <c r="N854" i="208"/>
  <c r="W2438" i="208"/>
  <c r="N1355" i="208"/>
  <c r="W2897" i="208"/>
  <c r="G249" i="29"/>
  <c r="I322" i="29"/>
  <c r="G457" i="29"/>
  <c r="H391" i="29"/>
  <c r="I342" i="29"/>
  <c r="G478" i="29"/>
  <c r="H626" i="29"/>
  <c r="G501" i="29"/>
  <c r="I548" i="29"/>
  <c r="G419" i="29"/>
  <c r="H768" i="29"/>
  <c r="H762" i="29"/>
  <c r="I904" i="29"/>
  <c r="H741" i="29"/>
  <c r="G1155" i="29"/>
  <c r="I797" i="29"/>
  <c r="G1005" i="29"/>
  <c r="H655" i="29"/>
  <c r="I890" i="29"/>
  <c r="H1167" i="29"/>
  <c r="G1413" i="29"/>
  <c r="G1032" i="29"/>
  <c r="G974" i="29"/>
  <c r="G910" i="29"/>
  <c r="G1188" i="29"/>
  <c r="H1271" i="29"/>
  <c r="I1472" i="29"/>
  <c r="I1271" i="29"/>
  <c r="H1527" i="29"/>
  <c r="W2611" i="208"/>
  <c r="N2949" i="208"/>
  <c r="W2902" i="208"/>
  <c r="W1365" i="208"/>
  <c r="W294" i="208"/>
  <c r="W510" i="208"/>
  <c r="W1470" i="208"/>
  <c r="W1326" i="208"/>
  <c r="W1182" i="208"/>
  <c r="N1622" i="208"/>
  <c r="N1313" i="208"/>
  <c r="W2849" i="208"/>
  <c r="N2940" i="208"/>
  <c r="N1544" i="208"/>
  <c r="N539" i="208"/>
  <c r="W2901" i="208"/>
  <c r="W2076" i="208"/>
  <c r="W208" i="208"/>
  <c r="W854" i="208"/>
  <c r="W1355" i="208"/>
  <c r="H413" i="29"/>
  <c r="H697" i="29"/>
  <c r="H587" i="29"/>
  <c r="G464" i="29"/>
  <c r="H406" i="29"/>
  <c r="I555" i="29"/>
  <c r="G762" i="29"/>
  <c r="G828" i="29"/>
  <c r="H828" i="29"/>
  <c r="I748" i="29"/>
  <c r="G817" i="29"/>
  <c r="G890" i="29"/>
  <c r="H651" i="29"/>
  <c r="H686" i="29"/>
  <c r="I1188" i="29"/>
  <c r="G1219" i="29"/>
  <c r="G935" i="29"/>
  <c r="I916" i="29"/>
  <c r="G987" i="29"/>
  <c r="G1538" i="29"/>
  <c r="I1439" i="29"/>
  <c r="I1289" i="29"/>
  <c r="G1620" i="29"/>
  <c r="G1691" i="29"/>
  <c r="I1762" i="29"/>
  <c r="G1527" i="29"/>
  <c r="G1953" i="29"/>
  <c r="I1775" i="29"/>
  <c r="G1600" i="29"/>
  <c r="I2007" i="29"/>
  <c r="I1645" i="29"/>
  <c r="I1791" i="29"/>
  <c r="H2248" i="29"/>
  <c r="G1877" i="29"/>
  <c r="G2019" i="29"/>
  <c r="H1822" i="29"/>
  <c r="H2330" i="29"/>
  <c r="G2205" i="29"/>
  <c r="I2324" i="29"/>
  <c r="G2390" i="29"/>
  <c r="W1167" i="208"/>
  <c r="W2949" i="208"/>
  <c r="N2554" i="208"/>
  <c r="N2364" i="208"/>
  <c r="N645" i="208"/>
  <c r="N2795" i="208"/>
  <c r="W1622" i="208"/>
  <c r="N2037" i="208"/>
  <c r="W1313" i="208"/>
  <c r="W2940" i="208"/>
  <c r="W1544" i="208"/>
  <c r="W539" i="208"/>
  <c r="N2918" i="208"/>
  <c r="N2072" i="208"/>
  <c r="N82" i="208"/>
  <c r="N2552" i="208"/>
  <c r="N1553" i="208"/>
  <c r="H249" i="29"/>
  <c r="H342" i="29"/>
  <c r="H348" i="29"/>
  <c r="I632" i="29"/>
  <c r="I445" i="29"/>
  <c r="G555" i="29"/>
  <c r="G606" i="29"/>
  <c r="H478" i="29"/>
  <c r="G371" i="29"/>
  <c r="G579" i="29"/>
  <c r="I877" i="29"/>
  <c r="G721" i="29"/>
  <c r="I774" i="29"/>
  <c r="G748" i="29"/>
  <c r="G781" i="29"/>
  <c r="I832" i="29"/>
  <c r="I643" i="29"/>
  <c r="H797" i="29"/>
  <c r="H883" i="29"/>
  <c r="H690" i="29"/>
  <c r="H1155" i="29"/>
  <c r="G1019" i="29"/>
  <c r="H1074" i="29"/>
  <c r="N1933" i="208"/>
  <c r="N1564" i="208"/>
  <c r="N90" i="208"/>
  <c r="W2554" i="208"/>
  <c r="W2364" i="208"/>
  <c r="W645" i="208"/>
  <c r="W2795" i="208"/>
  <c r="W2467" i="208"/>
  <c r="N499" i="208"/>
  <c r="N1496" i="208"/>
  <c r="N1064" i="208"/>
  <c r="W2037" i="208"/>
  <c r="W2648" i="208"/>
  <c r="N55" i="208"/>
  <c r="N635" i="208"/>
  <c r="N2238" i="208"/>
  <c r="N2561" i="208"/>
  <c r="N2652" i="208"/>
  <c r="W2918" i="208"/>
  <c r="W2072" i="208"/>
  <c r="W536" i="208"/>
  <c r="W82" i="208"/>
  <c r="W2552" i="208"/>
  <c r="N2643" i="208"/>
  <c r="W1553" i="208"/>
  <c r="G322" i="29"/>
  <c r="I295" i="29"/>
  <c r="I402" i="29"/>
  <c r="H548" i="29"/>
  <c r="I336" i="29"/>
  <c r="H533" i="29"/>
  <c r="I599" i="29"/>
  <c r="I626" i="29"/>
  <c r="I1129" i="29"/>
  <c r="H871" i="29"/>
  <c r="G785" i="29"/>
  <c r="I762" i="29"/>
  <c r="I817" i="29"/>
  <c r="I910" i="29"/>
  <c r="H1058" i="29"/>
  <c r="H1032" i="29"/>
  <c r="I1081" i="29"/>
  <c r="I1211" i="29"/>
  <c r="G923" i="29"/>
  <c r="I1025" i="29"/>
  <c r="H1194" i="29"/>
  <c r="I987" i="29"/>
  <c r="H1147" i="29"/>
  <c r="N2512" i="208"/>
  <c r="W1933" i="208"/>
  <c r="W1564" i="208"/>
  <c r="W90" i="208"/>
  <c r="N2218" i="208"/>
  <c r="N1930" i="208"/>
  <c r="N1357" i="208"/>
  <c r="N1066" i="208"/>
  <c r="N778" i="208"/>
  <c r="N634" i="208"/>
  <c r="N346" i="208"/>
  <c r="N2651" i="208"/>
  <c r="N1744" i="208"/>
  <c r="N1518" i="208"/>
  <c r="W499" i="208"/>
  <c r="N189" i="208"/>
  <c r="W1496" i="208"/>
  <c r="W1064" i="208"/>
  <c r="W55" i="208"/>
  <c r="W635" i="208"/>
  <c r="W2238" i="208"/>
  <c r="W2561" i="208"/>
  <c r="W2652" i="208"/>
  <c r="N2613" i="208"/>
  <c r="N1788" i="208"/>
  <c r="N2417" i="208"/>
  <c r="N64" i="208"/>
  <c r="N344" i="208"/>
  <c r="N2796" i="208"/>
  <c r="N1643" i="208"/>
  <c r="G402" i="29"/>
  <c r="H309" i="29"/>
  <c r="I406" i="29"/>
  <c r="I863" i="29"/>
  <c r="G364" i="29"/>
  <c r="H544" i="29"/>
  <c r="H437" i="29"/>
  <c r="G348" i="29"/>
  <c r="G1058" i="29"/>
  <c r="G845" i="29"/>
  <c r="G703" i="29"/>
  <c r="H839" i="29"/>
  <c r="G651" i="29"/>
  <c r="H817" i="29"/>
  <c r="G686" i="29"/>
  <c r="H890" i="29"/>
  <c r="G697" i="29"/>
  <c r="N998" i="208"/>
  <c r="W2512" i="208"/>
  <c r="N2221" i="208"/>
  <c r="W1930" i="208"/>
  <c r="W1357" i="208"/>
  <c r="W778" i="208"/>
  <c r="W634" i="208"/>
  <c r="W2651" i="208"/>
  <c r="W1744" i="208"/>
  <c r="W1518" i="208"/>
  <c r="N931" i="208"/>
  <c r="N1928" i="208"/>
  <c r="N780" i="208"/>
  <c r="N636" i="208"/>
  <c r="W2417" i="208"/>
  <c r="W1643" i="208"/>
  <c r="I579" i="29"/>
  <c r="I561" i="29"/>
  <c r="H501" i="29"/>
  <c r="G490" i="29"/>
  <c r="G445" i="29"/>
  <c r="H506" i="29"/>
  <c r="G1101" i="29"/>
  <c r="I648" i="29"/>
  <c r="H845" i="29"/>
  <c r="I1069" i="29"/>
  <c r="H639" i="29"/>
  <c r="G793" i="29"/>
  <c r="G690" i="29"/>
  <c r="H863" i="29"/>
  <c r="G1129" i="29"/>
  <c r="H1188" i="29"/>
  <c r="H1077" i="29"/>
  <c r="I1032" i="29"/>
  <c r="H1219" i="29"/>
  <c r="H1052" i="29"/>
  <c r="G1167" i="29"/>
  <c r="I1052" i="29"/>
  <c r="H1013" i="29"/>
  <c r="G932" i="29"/>
  <c r="G1223" i="29"/>
  <c r="I1365" i="29"/>
  <c r="I1549" i="29"/>
  <c r="G1431" i="29"/>
  <c r="G1353" i="29"/>
  <c r="H1542" i="29"/>
  <c r="H1549" i="29"/>
  <c r="I1620" i="29"/>
  <c r="H1593" i="29"/>
  <c r="G1626" i="29"/>
  <c r="I1975" i="29"/>
  <c r="H2168" i="29"/>
  <c r="H2026" i="29"/>
  <c r="I1839" i="29"/>
  <c r="H1898" i="29"/>
  <c r="G2168" i="29"/>
  <c r="H2194" i="29"/>
  <c r="H2259" i="29"/>
  <c r="H2466" i="29"/>
  <c r="H2567" i="29"/>
  <c r="H2439" i="29"/>
  <c r="G2674" i="29"/>
  <c r="H2962" i="29"/>
  <c r="I92" i="33"/>
  <c r="G2833" i="29"/>
  <c r="H2820" i="29"/>
  <c r="G2878" i="29"/>
  <c r="G2736" i="29"/>
  <c r="I2878" i="29"/>
  <c r="W2179" i="208"/>
  <c r="W318" i="208"/>
  <c r="W2506" i="208"/>
  <c r="W2221" i="208"/>
  <c r="N1456" i="208"/>
  <c r="W1168" i="208"/>
  <c r="N1891" i="208"/>
  <c r="N2755" i="208"/>
  <c r="N1648" i="208"/>
  <c r="W931" i="208"/>
  <c r="N171" i="208"/>
  <c r="N2360" i="208"/>
  <c r="W37" i="208"/>
  <c r="W1928" i="208"/>
  <c r="W780" i="208"/>
  <c r="W636" i="208"/>
  <c r="N154" i="208"/>
  <c r="N1902" i="208"/>
  <c r="N2508" i="208"/>
  <c r="N1067" i="208"/>
  <c r="N833" i="208"/>
  <c r="W1758" i="208"/>
  <c r="G295" i="29"/>
  <c r="I690" i="29"/>
  <c r="G342" i="29"/>
  <c r="G413" i="29"/>
  <c r="G587" i="29"/>
  <c r="I478" i="29"/>
  <c r="I437" i="29"/>
  <c r="H555" i="29"/>
  <c r="I509" i="29"/>
  <c r="I484" i="29"/>
  <c r="I587" i="29"/>
  <c r="H303" i="29"/>
  <c r="G648" i="29"/>
  <c r="I883" i="29"/>
  <c r="H721" i="29"/>
  <c r="H910" i="29"/>
  <c r="G643" i="29"/>
  <c r="H735" i="29"/>
  <c r="I839" i="29"/>
  <c r="H632" i="29"/>
  <c r="H916" i="29"/>
  <c r="H1005" i="29"/>
  <c r="H1065" i="29"/>
  <c r="I1303" i="29"/>
  <c r="H1081" i="29"/>
  <c r="I1101" i="29"/>
  <c r="H935" i="29"/>
  <c r="I939" i="29"/>
  <c r="G1297" i="29"/>
  <c r="I1353" i="29"/>
  <c r="G1385" i="29"/>
  <c r="G1484" i="29"/>
  <c r="I1258" i="29"/>
  <c r="I1223" i="29"/>
  <c r="G1458" i="29"/>
  <c r="I1358" i="29"/>
  <c r="H1316" i="29"/>
  <c r="I1309" i="29"/>
  <c r="G1542" i="29"/>
  <c r="H1691" i="29"/>
  <c r="H1715" i="29"/>
  <c r="H1742" i="29"/>
  <c r="G1729" i="29"/>
  <c r="I1633" i="29"/>
  <c r="H1953" i="29"/>
  <c r="I2095" i="29"/>
  <c r="H1910" i="29"/>
  <c r="I1857" i="29"/>
  <c r="H1999" i="29"/>
  <c r="I391" i="29"/>
  <c r="I513" i="29"/>
  <c r="H490" i="29"/>
  <c r="I367" i="29"/>
  <c r="I451" i="29"/>
  <c r="I639" i="29"/>
  <c r="H781" i="29"/>
  <c r="I703" i="29"/>
  <c r="I845" i="29"/>
  <c r="H1069" i="29"/>
  <c r="I1167" i="29"/>
  <c r="H1123" i="29"/>
  <c r="H987" i="29"/>
  <c r="G1174" i="29"/>
  <c r="H939" i="29"/>
  <c r="I959" i="29"/>
  <c r="G1161" i="29"/>
  <c r="I1527" i="29"/>
  <c r="H1407" i="29"/>
  <c r="G1309" i="29"/>
  <c r="G1445" i="29"/>
  <c r="H1600" i="29"/>
  <c r="H1637" i="29"/>
  <c r="I1871" i="29"/>
  <c r="I2110" i="29"/>
  <c r="G1917" i="29"/>
  <c r="G2149" i="29"/>
  <c r="I2123" i="29"/>
  <c r="H2182" i="29"/>
  <c r="G2401" i="29"/>
  <c r="H2549" i="29"/>
  <c r="I2549" i="29"/>
  <c r="I2663" i="29"/>
  <c r="I2466" i="29"/>
  <c r="H2536" i="29"/>
  <c r="G2614" i="29"/>
  <c r="G2678" i="29"/>
  <c r="I2478" i="29"/>
  <c r="G2756" i="29"/>
  <c r="G2691" i="29"/>
  <c r="H73" i="33"/>
  <c r="H2969" i="29"/>
  <c r="H2915" i="29"/>
  <c r="G2820" i="29"/>
  <c r="H295" i="29"/>
  <c r="H513" i="29"/>
  <c r="G675" i="29"/>
  <c r="H643" i="29"/>
  <c r="G1013" i="29"/>
  <c r="I1174" i="29"/>
  <c r="H1385" i="29"/>
  <c r="I1316" i="29"/>
  <c r="G1439" i="29"/>
  <c r="G2052" i="29"/>
  <c r="G2046" i="29"/>
  <c r="I2161" i="29"/>
  <c r="I2188" i="29"/>
  <c r="H2355" i="29"/>
  <c r="G2594" i="29"/>
  <c r="I2452" i="29"/>
  <c r="H2947" i="29"/>
  <c r="G970" i="29"/>
  <c r="I927" i="29"/>
  <c r="G1046" i="29"/>
  <c r="H1174" i="29"/>
  <c r="G1342" i="29"/>
  <c r="I1968" i="29"/>
  <c r="I1361" i="29"/>
  <c r="G1243" i="29"/>
  <c r="I1396" i="29"/>
  <c r="G1451" i="29"/>
  <c r="H1451" i="29"/>
  <c r="I1243" i="29"/>
  <c r="I1330" i="29"/>
  <c r="G1500" i="29"/>
  <c r="I1207" i="29"/>
  <c r="H1309" i="29"/>
  <c r="G1503" i="29"/>
  <c r="I1587" i="29"/>
  <c r="H1538" i="29"/>
  <c r="G1975" i="29"/>
  <c r="H1756" i="29"/>
  <c r="H1735" i="29"/>
  <c r="I1779" i="29"/>
  <c r="G1507" i="29"/>
  <c r="G1680" i="29"/>
  <c r="G1791" i="29"/>
  <c r="I1811" i="29"/>
  <c r="H2019" i="29"/>
  <c r="H1857" i="29"/>
  <c r="H1981" i="29"/>
  <c r="H2141" i="29"/>
  <c r="H1871" i="29"/>
  <c r="G1964" i="29"/>
  <c r="I1904" i="29"/>
  <c r="G1833" i="29"/>
  <c r="H1833" i="29"/>
  <c r="I1898" i="29"/>
  <c r="I2026" i="29"/>
  <c r="H2117" i="29"/>
  <c r="I1865" i="29"/>
  <c r="H2297" i="29"/>
  <c r="G2407" i="29"/>
  <c r="I2297" i="29"/>
  <c r="H2575" i="29"/>
  <c r="G2663" i="29"/>
  <c r="G2248" i="29"/>
  <c r="H2472" i="29"/>
  <c r="G2182" i="29"/>
  <c r="G2303" i="29"/>
  <c r="I2283" i="29"/>
  <c r="I2501" i="29"/>
  <c r="I2643" i="29"/>
  <c r="G2501" i="29"/>
  <c r="H2587" i="29"/>
  <c r="I87" i="33"/>
  <c r="H2627" i="29"/>
  <c r="I2521" i="29"/>
  <c r="G2581" i="29"/>
  <c r="H2608" i="29"/>
  <c r="I2678" i="29"/>
  <c r="I103" i="33"/>
  <c r="G2969" i="29"/>
  <c r="I2729" i="29"/>
  <c r="H2958" i="29"/>
  <c r="G2750" i="29"/>
  <c r="I2962" i="29"/>
  <c r="I2750" i="29"/>
  <c r="I2915" i="29"/>
  <c r="H2816" i="29"/>
  <c r="G2729" i="29"/>
  <c r="G2785" i="29"/>
  <c r="H87" i="33"/>
  <c r="F2736" i="29"/>
  <c r="F2636" i="29"/>
  <c r="F643" i="29"/>
  <c r="F2878" i="29"/>
  <c r="F310" i="29"/>
  <c r="F309" i="29" s="1"/>
  <c r="E309" i="29"/>
  <c r="E359" i="29"/>
  <c r="F649" i="29"/>
  <c r="F648" i="29" s="1"/>
  <c r="E648" i="29"/>
  <c r="E643" i="29"/>
  <c r="F840" i="29"/>
  <c r="F839" i="29" s="1"/>
  <c r="E839" i="29"/>
  <c r="E883" i="29"/>
  <c r="F687" i="29"/>
  <c r="F686" i="29" s="1"/>
  <c r="E686" i="29"/>
  <c r="E1052" i="29"/>
  <c r="E987" i="29"/>
  <c r="F1362" i="29"/>
  <c r="F1361" i="29" s="1"/>
  <c r="E1361" i="29"/>
  <c r="E1046" i="29"/>
  <c r="F1337" i="29"/>
  <c r="F1336" i="29" s="1"/>
  <c r="E1336" i="29"/>
  <c r="F1485" i="29"/>
  <c r="F1484" i="29" s="1"/>
  <c r="E1484" i="29"/>
  <c r="E1407" i="29"/>
  <c r="F1621" i="29"/>
  <c r="F1620" i="29" s="1"/>
  <c r="E1620" i="29"/>
  <c r="F1217" i="29"/>
  <c r="F1216" i="29" s="1"/>
  <c r="E1216" i="29"/>
  <c r="E1431" i="29"/>
  <c r="F1290" i="29"/>
  <c r="F1289" i="29" s="1"/>
  <c r="E1289" i="29"/>
  <c r="E1472" i="29"/>
  <c r="E1729" i="29"/>
  <c r="E1697" i="29"/>
  <c r="E1669" i="29"/>
  <c r="F1669" i="29" s="1"/>
  <c r="F2014" i="29"/>
  <c r="F2013" i="29" s="1"/>
  <c r="E2013" i="29"/>
  <c r="F1866" i="29"/>
  <c r="F1865" i="29" s="1"/>
  <c r="E1865" i="29"/>
  <c r="E1953" i="29"/>
  <c r="E1975" i="29"/>
  <c r="E2324" i="29"/>
  <c r="E2390" i="29"/>
  <c r="F2189" i="29"/>
  <c r="F2188" i="29" s="1"/>
  <c r="E2188" i="29"/>
  <c r="F2211" i="29"/>
  <c r="F2210" i="29" s="1"/>
  <c r="E2210" i="29"/>
  <c r="E2620" i="29"/>
  <c r="E2521" i="29"/>
  <c r="F2521" i="29" s="1"/>
  <c r="F2609" i="29"/>
  <c r="F2608" i="29" s="1"/>
  <c r="E2608" i="29"/>
  <c r="E2489" i="29"/>
  <c r="E2833" i="29"/>
  <c r="E2871" i="29"/>
  <c r="F88" i="33"/>
  <c r="F87" i="33" s="1"/>
  <c r="E87" i="33"/>
  <c r="F1762" i="29"/>
  <c r="F2324" i="29"/>
  <c r="F1265" i="29"/>
  <c r="F1742" i="29"/>
  <c r="E497" i="29"/>
  <c r="F556" i="29"/>
  <c r="F555" i="29" s="1"/>
  <c r="E555" i="29"/>
  <c r="E599" i="29"/>
  <c r="F872" i="29"/>
  <c r="F871" i="29" s="1"/>
  <c r="E871" i="29"/>
  <c r="F736" i="29"/>
  <c r="F735" i="29" s="1"/>
  <c r="E735" i="29"/>
  <c r="F774" i="29"/>
  <c r="F691" i="29"/>
  <c r="F690" i="29" s="1"/>
  <c r="E690" i="29"/>
  <c r="F1116" i="29"/>
  <c r="F1078" i="29"/>
  <c r="F1077" i="29" s="1"/>
  <c r="E1167" i="29"/>
  <c r="E1243" i="29"/>
  <c r="E1491" i="29"/>
  <c r="E1600" i="29"/>
  <c r="F1681" i="29"/>
  <c r="F1680" i="29" s="1"/>
  <c r="E1680" i="29"/>
  <c r="F1827" i="29"/>
  <c r="F1826" i="29" s="1"/>
  <c r="E1826" i="29"/>
  <c r="F2718" i="29"/>
  <c r="F2717" i="29" s="1"/>
  <c r="E2717" i="29"/>
  <c r="F2408" i="29"/>
  <c r="F2407" i="29" s="1"/>
  <c r="E2407" i="29"/>
  <c r="F2495" i="29"/>
  <c r="F2494" i="29" s="1"/>
  <c r="E2494" i="29"/>
  <c r="F2770" i="29"/>
  <c r="F2769" i="29" s="1"/>
  <c r="E2769" i="29"/>
  <c r="I1910" i="29"/>
  <c r="G1981" i="29"/>
  <c r="G1904" i="29"/>
  <c r="G2330" i="29"/>
  <c r="I2106" i="29"/>
  <c r="I2303" i="29"/>
  <c r="I2401" i="29"/>
  <c r="G2155" i="29"/>
  <c r="I2347" i="29"/>
  <c r="H2237" i="29"/>
  <c r="H2188" i="29"/>
  <c r="G2310" i="29"/>
  <c r="I2149" i="29"/>
  <c r="I2532" i="29"/>
  <c r="G2587" i="29"/>
  <c r="H2898" i="29"/>
  <c r="I2536" i="29"/>
  <c r="H2594" i="29"/>
  <c r="H2678" i="29"/>
  <c r="H2892" i="29"/>
  <c r="H96" i="33"/>
  <c r="I2892" i="29"/>
  <c r="I2969" i="29"/>
  <c r="H2833" i="29"/>
  <c r="I2911" i="29"/>
  <c r="G2816" i="29"/>
  <c r="I2947" i="29"/>
  <c r="G2805" i="29"/>
  <c r="F1729" i="29"/>
  <c r="F2040" i="29"/>
  <c r="F359" i="29"/>
  <c r="F373" i="29"/>
  <c r="F371" i="29" s="1"/>
  <c r="F502" i="29"/>
  <c r="F501" i="29" s="1"/>
  <c r="E501" i="29"/>
  <c r="E845" i="29"/>
  <c r="F1025" i="29"/>
  <c r="E863" i="29"/>
  <c r="F1082" i="29"/>
  <c r="F1081" i="29" s="1"/>
  <c r="E1081" i="29"/>
  <c r="F1343" i="29"/>
  <c r="F1342" i="29" s="1"/>
  <c r="E1342" i="29"/>
  <c r="F1446" i="29"/>
  <c r="F1445" i="29" s="1"/>
  <c r="E1445" i="29"/>
  <c r="F1735" i="29"/>
  <c r="F1573" i="29"/>
  <c r="E1684" i="29"/>
  <c r="E1538" i="29"/>
  <c r="F1685" i="29"/>
  <c r="F1684" i="29" s="1"/>
  <c r="F2253" i="29"/>
  <c r="F2252" i="29" s="1"/>
  <c r="E2252" i="29"/>
  <c r="F1969" i="29"/>
  <c r="F1968" i="29" s="1"/>
  <c r="E1968" i="29"/>
  <c r="E2291" i="29"/>
  <c r="F2214" i="29"/>
  <c r="F2213" i="29" s="1"/>
  <c r="E2213" i="29"/>
  <c r="E2347" i="29"/>
  <c r="E2466" i="29"/>
  <c r="E2567" i="29"/>
  <c r="E2478" i="29"/>
  <c r="F2779" i="29"/>
  <c r="F2778" i="29" s="1"/>
  <c r="E2778" i="29"/>
  <c r="F2963" i="29"/>
  <c r="F2962" i="29" s="1"/>
  <c r="E2962" i="29"/>
  <c r="F2912" i="29"/>
  <c r="F2911" i="29" s="1"/>
  <c r="E2911" i="29"/>
  <c r="E2773" i="29"/>
  <c r="F2899" i="29"/>
  <c r="F2898" i="29" s="1"/>
  <c r="E2898" i="29"/>
  <c r="F2852" i="29"/>
  <c r="F2851" i="29" s="1"/>
  <c r="E2851" i="29"/>
  <c r="F1013" i="29"/>
  <c r="F337" i="29"/>
  <c r="F336" i="29" s="1"/>
  <c r="F548" i="29"/>
  <c r="F368" i="29"/>
  <c r="F367" i="29" s="1"/>
  <c r="E367" i="29"/>
  <c r="F749" i="29"/>
  <c r="F748" i="29" s="1"/>
  <c r="E748" i="29"/>
  <c r="E729" i="29"/>
  <c r="F940" i="29"/>
  <c r="F939" i="29" s="1"/>
  <c r="E939" i="29"/>
  <c r="E1147" i="29"/>
  <c r="E959" i="29"/>
  <c r="F1066" i="29"/>
  <c r="F1065" i="29" s="1"/>
  <c r="E1065" i="29"/>
  <c r="E1451" i="29"/>
  <c r="F1350" i="29"/>
  <c r="F1349" i="29" s="1"/>
  <c r="E1349" i="29"/>
  <c r="F1354" i="29"/>
  <c r="F1353" i="29" s="1"/>
  <c r="E1353" i="29"/>
  <c r="F1634" i="29"/>
  <c r="F1633" i="29" s="1"/>
  <c r="E1633" i="29"/>
  <c r="E1555" i="29"/>
  <c r="E2052" i="29"/>
  <c r="E1926" i="29"/>
  <c r="F2156" i="29"/>
  <c r="F2155" i="29" s="1"/>
  <c r="E2155" i="29"/>
  <c r="E2007" i="29"/>
  <c r="E2194" i="29"/>
  <c r="F2353" i="29"/>
  <c r="F2352" i="29" s="1"/>
  <c r="E2352" i="29"/>
  <c r="F2118" i="29"/>
  <c r="F2117" i="29" s="1"/>
  <c r="E2117" i="29"/>
  <c r="F2692" i="29"/>
  <c r="F2691" i="29" s="1"/>
  <c r="E2691" i="29"/>
  <c r="F2785" i="29"/>
  <c r="F104" i="33"/>
  <c r="F103" i="33" s="1"/>
  <c r="E103" i="33"/>
  <c r="F2750" i="29"/>
  <c r="F923" i="29"/>
  <c r="F2904" i="29"/>
  <c r="F296" i="29"/>
  <c r="F295" i="29" s="1"/>
  <c r="E295" i="29"/>
  <c r="F911" i="29"/>
  <c r="F910" i="29" s="1"/>
  <c r="E910" i="29"/>
  <c r="F627" i="29"/>
  <c r="F626" i="29" s="1"/>
  <c r="E626" i="29"/>
  <c r="E1101" i="29"/>
  <c r="F1101" i="29" s="1"/>
  <c r="F1052" i="29"/>
  <c r="F1168" i="29"/>
  <c r="F1167" i="29" s="1"/>
  <c r="F975" i="29"/>
  <c r="F974" i="29" s="1"/>
  <c r="E974" i="29"/>
  <c r="E1112" i="29"/>
  <c r="E1188" i="29"/>
  <c r="F1070" i="29"/>
  <c r="F1069" i="29" s="1"/>
  <c r="E1069" i="29"/>
  <c r="F1244" i="29"/>
  <c r="E1309" i="29"/>
  <c r="F1414" i="29"/>
  <c r="F1413" i="29" s="1"/>
  <c r="E1413" i="29"/>
  <c r="E1614" i="29"/>
  <c r="F1716" i="29"/>
  <c r="F1715" i="29" s="1"/>
  <c r="E1715" i="29"/>
  <c r="E1742" i="29"/>
  <c r="E1637" i="29"/>
  <c r="F1638" i="29"/>
  <c r="F1637" i="29" s="1"/>
  <c r="F1724" i="29"/>
  <c r="F1723" i="29" s="1"/>
  <c r="E1723" i="29"/>
  <c r="F1911" i="29"/>
  <c r="F1910" i="29" s="1"/>
  <c r="E1999" i="29"/>
  <c r="F2075" i="29"/>
  <c r="E2149" i="29"/>
  <c r="F2284" i="29"/>
  <c r="F2283" i="29" s="1"/>
  <c r="E2283" i="29"/>
  <c r="F2331" i="29"/>
  <c r="F2330" i="29" s="1"/>
  <c r="E2330" i="29"/>
  <c r="E2636" i="29"/>
  <c r="F2924" i="29"/>
  <c r="F2923" i="29" s="1"/>
  <c r="E2923" i="29"/>
  <c r="F2821" i="29"/>
  <c r="F2820" i="29" s="1"/>
  <c r="E2820" i="29"/>
  <c r="H1101" i="29"/>
  <c r="I1005" i="29"/>
  <c r="I1058" i="29"/>
  <c r="G1123" i="29"/>
  <c r="H923" i="29"/>
  <c r="H1019" i="29"/>
  <c r="I1074" i="29"/>
  <c r="G1147" i="29"/>
  <c r="H959" i="29"/>
  <c r="I1046" i="29"/>
  <c r="I1491" i="29"/>
  <c r="G1365" i="29"/>
  <c r="G1336" i="29"/>
  <c r="I1413" i="29"/>
  <c r="H1396" i="29"/>
  <c r="G1669" i="29"/>
  <c r="H1243" i="29"/>
  <c r="I1451" i="29"/>
  <c r="G1316" i="29"/>
  <c r="I1458" i="29"/>
  <c r="H1478" i="29"/>
  <c r="H1680" i="29"/>
  <c r="H1336" i="29"/>
  <c r="I1555" i="29"/>
  <c r="H1669" i="29"/>
  <c r="I1581" i="29"/>
  <c r="I1642" i="29"/>
  <c r="H1642" i="29"/>
  <c r="G1735" i="29"/>
  <c r="H1697" i="29"/>
  <c r="G1633" i="29"/>
  <c r="I1742" i="29"/>
  <c r="H1768" i="29"/>
  <c r="I1593" i="29"/>
  <c r="H1645" i="29"/>
  <c r="I2040" i="29"/>
  <c r="I1929" i="29"/>
  <c r="G1784" i="29"/>
  <c r="H1877" i="29"/>
  <c r="H1784" i="29"/>
  <c r="G1871" i="29"/>
  <c r="I2063" i="29"/>
  <c r="H2052" i="29"/>
  <c r="G1921" i="29"/>
  <c r="H2013" i="29"/>
  <c r="I1981" i="29"/>
  <c r="H1964" i="29"/>
  <c r="G2040" i="29"/>
  <c r="I2330" i="29"/>
  <c r="I2407" i="29"/>
  <c r="G2265" i="29"/>
  <c r="G2343" i="29"/>
  <c r="G2549" i="29"/>
  <c r="G2217" i="29"/>
  <c r="H2359" i="29"/>
  <c r="G2188" i="29"/>
  <c r="I2355" i="29"/>
  <c r="H2283" i="29"/>
  <c r="I2336" i="29"/>
  <c r="I2472" i="29"/>
  <c r="G2466" i="29"/>
  <c r="G2433" i="29"/>
  <c r="H2543" i="29"/>
  <c r="H2485" i="29"/>
  <c r="H2685" i="29"/>
  <c r="H2691" i="29"/>
  <c r="G2627" i="29"/>
  <c r="H2851" i="29"/>
  <c r="H2859" i="29"/>
  <c r="G2923" i="29"/>
  <c r="G2827" i="29"/>
  <c r="H2878" i="29"/>
  <c r="G87" i="33"/>
  <c r="H2736" i="29"/>
  <c r="F2182" i="29"/>
  <c r="F343" i="29"/>
  <c r="F342" i="29" s="1"/>
  <c r="E342" i="29"/>
  <c r="E315" i="29"/>
  <c r="E533" i="29"/>
  <c r="F533" i="29" s="1"/>
  <c r="E451" i="29"/>
  <c r="F485" i="29"/>
  <c r="F484" i="29" s="1"/>
  <c r="E484" i="29"/>
  <c r="F640" i="29"/>
  <c r="F639" i="29" s="1"/>
  <c r="E639" i="29"/>
  <c r="F933" i="29"/>
  <c r="F932" i="29" s="1"/>
  <c r="E932" i="29"/>
  <c r="F1033" i="29"/>
  <c r="F1032" i="29" s="1"/>
  <c r="E1032" i="29"/>
  <c r="E774" i="29"/>
  <c r="E632" i="29"/>
  <c r="F791" i="29"/>
  <c r="F790" i="29" s="1"/>
  <c r="E790" i="29"/>
  <c r="F1397" i="29"/>
  <c r="F1396" i="29" s="1"/>
  <c r="E1396" i="29"/>
  <c r="F1508" i="29"/>
  <c r="F1507" i="29" s="1"/>
  <c r="E1507" i="29"/>
  <c r="E1573" i="29"/>
  <c r="F1840" i="29"/>
  <c r="F1839" i="29" s="1"/>
  <c r="E1839" i="29"/>
  <c r="E1964" i="29"/>
  <c r="F2020" i="29"/>
  <c r="F2019" i="29" s="1"/>
  <c r="E2019" i="29"/>
  <c r="F1872" i="29"/>
  <c r="F1871" i="29" s="1"/>
  <c r="E1871" i="29"/>
  <c r="F2069" i="29"/>
  <c r="F2068" i="29" s="1"/>
  <c r="E2068" i="29"/>
  <c r="E2040" i="29"/>
  <c r="F2218" i="29"/>
  <c r="F2217" i="29" s="1"/>
  <c r="F2544" i="29"/>
  <c r="F2543" i="29" s="1"/>
  <c r="E2543" i="29"/>
  <c r="F2615" i="29"/>
  <c r="F2614" i="29" s="1"/>
  <c r="E2614" i="29"/>
  <c r="E2439" i="29"/>
  <c r="E2433" i="29"/>
  <c r="F2916" i="29"/>
  <c r="F2915" i="29" s="1"/>
  <c r="E2915" i="29"/>
  <c r="E2927" i="29"/>
  <c r="E2878" i="29"/>
  <c r="E2805" i="29"/>
  <c r="F2805" i="29" s="1"/>
  <c r="E2723" i="29"/>
  <c r="F1626" i="29"/>
  <c r="F2052" i="29"/>
  <c r="E391" i="29"/>
  <c r="F391" i="29" s="1"/>
  <c r="F437" i="29"/>
  <c r="E464" i="29"/>
  <c r="E322" i="29"/>
  <c r="F798" i="29"/>
  <c r="F797" i="29" s="1"/>
  <c r="E797" i="29"/>
  <c r="E890" i="29"/>
  <c r="E877" i="29"/>
  <c r="F1075" i="29"/>
  <c r="F1074" i="29" s="1"/>
  <c r="E1074" i="29"/>
  <c r="E1174" i="29"/>
  <c r="F1162" i="29"/>
  <c r="F1161" i="29" s="1"/>
  <c r="E1161" i="29"/>
  <c r="F1401" i="29"/>
  <c r="F1400" i="29" s="1"/>
  <c r="E1400" i="29"/>
  <c r="F1501" i="29"/>
  <c r="F1500" i="29" s="1"/>
  <c r="E1500" i="29"/>
  <c r="F1317" i="29"/>
  <c r="F1316" i="29" s="1"/>
  <c r="E1316" i="29"/>
  <c r="E1303" i="29"/>
  <c r="F1646" i="29"/>
  <c r="F1645" i="29" s="1"/>
  <c r="E1645" i="29"/>
  <c r="F1587" i="29"/>
  <c r="E2071" i="29"/>
  <c r="E2168" i="29"/>
  <c r="F2344" i="29"/>
  <c r="F2343" i="29" s="1"/>
  <c r="E2343" i="29"/>
  <c r="E2237" i="29"/>
  <c r="F2237" i="29" s="1"/>
  <c r="F2304" i="29"/>
  <c r="F2303" i="29" s="1"/>
  <c r="E2303" i="29"/>
  <c r="F2595" i="29"/>
  <c r="F2594" i="29" s="1"/>
  <c r="E2594" i="29"/>
  <c r="F2445" i="29"/>
  <c r="E2575" i="29"/>
  <c r="E2750" i="29"/>
  <c r="E2947" i="29"/>
  <c r="F2947" i="29" s="1"/>
  <c r="F74" i="33"/>
  <c r="F73" i="33" s="1"/>
  <c r="E73" i="33"/>
  <c r="F2828" i="29"/>
  <c r="F2827" i="29" s="1"/>
  <c r="E2827" i="29"/>
  <c r="F2866" i="29"/>
  <c r="F2865" i="29" s="1"/>
  <c r="E2865" i="29"/>
  <c r="H1207" i="29"/>
  <c r="H927" i="29"/>
  <c r="I1019" i="29"/>
  <c r="H970" i="29"/>
  <c r="G1074" i="29"/>
  <c r="I1155" i="29"/>
  <c r="H974" i="29"/>
  <c r="H904" i="29"/>
  <c r="G1052" i="29"/>
  <c r="I981" i="29"/>
  <c r="I1400" i="29"/>
  <c r="H1289" i="29"/>
  <c r="H1762" i="29"/>
  <c r="H1439" i="29"/>
  <c r="H1684" i="29"/>
  <c r="G1742" i="29"/>
  <c r="I1822" i="29"/>
  <c r="I1715" i="29"/>
  <c r="G1593" i="29"/>
  <c r="I1600" i="29"/>
  <c r="I1637" i="29"/>
  <c r="G1762" i="29"/>
  <c r="I1917" i="29"/>
  <c r="I2201" i="29"/>
  <c r="H1884" i="29"/>
  <c r="G2071" i="29"/>
  <c r="H2071" i="29"/>
  <c r="G1839" i="29"/>
  <c r="I2052" i="29"/>
  <c r="I2013" i="29"/>
  <c r="I1833" i="29"/>
  <c r="H1904" i="29"/>
  <c r="H2123" i="29"/>
  <c r="H2407" i="29"/>
  <c r="G2359" i="29"/>
  <c r="I2252" i="29"/>
  <c r="G2106" i="29"/>
  <c r="I2217" i="29"/>
  <c r="G2283" i="29"/>
  <c r="G2439" i="29"/>
  <c r="H2149" i="29"/>
  <c r="I2310" i="29"/>
  <c r="H2478" i="29"/>
  <c r="I2575" i="29"/>
  <c r="H2639" i="29"/>
  <c r="G2620" i="29"/>
  <c r="I2425" i="29"/>
  <c r="H2636" i="29"/>
  <c r="I2587" i="29"/>
  <c r="H2445" i="29"/>
  <c r="H2521" i="29"/>
  <c r="I2445" i="29"/>
  <c r="G2494" i="29"/>
  <c r="G2472" i="29"/>
  <c r="I2674" i="29"/>
  <c r="G2859" i="29"/>
  <c r="G2911" i="29"/>
  <c r="I73" i="33"/>
  <c r="H2911" i="29"/>
  <c r="I2859" i="29"/>
  <c r="G2947" i="29"/>
  <c r="H2769" i="29"/>
  <c r="H2805" i="29"/>
  <c r="G2898" i="29"/>
  <c r="F987" i="29"/>
  <c r="F2567" i="29"/>
  <c r="F464" i="29"/>
  <c r="F828" i="29"/>
  <c r="E413" i="29"/>
  <c r="E548" i="29"/>
  <c r="E606" i="29"/>
  <c r="F452" i="29"/>
  <c r="F451" i="29" s="1"/>
  <c r="E620" i="29"/>
  <c r="F763" i="29"/>
  <c r="F762" i="29" s="1"/>
  <c r="F833" i="29"/>
  <c r="F832" i="29" s="1"/>
  <c r="E832" i="29"/>
  <c r="F782" i="29"/>
  <c r="F781" i="29" s="1"/>
  <c r="E781" i="29"/>
  <c r="E817" i="29"/>
  <c r="F817" i="29" s="1"/>
  <c r="F652" i="29"/>
  <c r="F651" i="29" s="1"/>
  <c r="E651" i="29"/>
  <c r="F1006" i="29"/>
  <c r="F1005" i="29" s="1"/>
  <c r="E1005" i="29"/>
  <c r="E923" i="29"/>
  <c r="F928" i="29"/>
  <c r="F927" i="29" s="1"/>
  <c r="E927" i="29"/>
  <c r="F1366" i="29"/>
  <c r="F1365" i="29" s="1"/>
  <c r="E1365" i="29"/>
  <c r="E1223" i="29"/>
  <c r="E1458" i="29"/>
  <c r="F1543" i="29"/>
  <c r="F1542" i="29" s="1"/>
  <c r="E1542" i="29"/>
  <c r="F1643" i="29"/>
  <c r="F1642" i="29" s="1"/>
  <c r="E1642" i="29"/>
  <c r="E1756" i="29"/>
  <c r="F1492" i="29"/>
  <c r="F1491" i="29" s="1"/>
  <c r="F1615" i="29"/>
  <c r="F1614" i="29" s="1"/>
  <c r="E1735" i="29"/>
  <c r="F1779" i="29"/>
  <c r="E1587" i="29"/>
  <c r="E2026" i="29"/>
  <c r="F1905" i="29"/>
  <c r="F1904" i="29" s="1"/>
  <c r="E1904" i="29"/>
  <c r="E1898" i="29"/>
  <c r="E2095" i="29"/>
  <c r="F2095" i="29" s="1"/>
  <c r="F1930" i="29"/>
  <c r="F1929" i="29" s="1"/>
  <c r="E1929" i="29"/>
  <c r="F2202" i="29"/>
  <c r="F2201" i="29" s="1"/>
  <c r="E2201" i="29"/>
  <c r="F2433" i="29"/>
  <c r="F2347" i="29"/>
  <c r="E2123" i="29"/>
  <c r="F2533" i="29"/>
  <c r="F2532" i="29" s="1"/>
  <c r="E2532" i="29"/>
  <c r="E2445" i="29"/>
  <c r="E2674" i="29"/>
  <c r="F2640" i="29"/>
  <c r="F2639" i="29" s="1"/>
  <c r="E2639" i="29"/>
  <c r="F2893" i="29"/>
  <c r="F2892" i="29" s="1"/>
  <c r="E2892" i="29"/>
  <c r="E2904" i="29"/>
  <c r="F2921" i="29"/>
  <c r="F2920" i="29" s="1"/>
  <c r="E2920" i="29"/>
  <c r="F2763" i="29"/>
  <c r="F2762" i="29" s="1"/>
  <c r="E2762" i="29"/>
  <c r="I1342" i="29"/>
  <c r="G1407" i="29"/>
  <c r="I1697" i="29"/>
  <c r="I1484" i="29"/>
  <c r="H1330" i="29"/>
  <c r="H1413" i="29"/>
  <c r="H1458" i="29"/>
  <c r="H1303" i="29"/>
  <c r="H1491" i="29"/>
  <c r="G1787" i="29"/>
  <c r="G1811" i="29"/>
  <c r="I1684" i="29"/>
  <c r="G1573" i="29"/>
  <c r="I1756" i="29"/>
  <c r="H2040" i="29"/>
  <c r="I1573" i="29"/>
  <c r="H1865" i="29"/>
  <c r="I1921" i="29"/>
  <c r="I1884" i="29"/>
  <c r="G2026" i="29"/>
  <c r="I1926" i="29"/>
  <c r="G1822" i="29"/>
  <c r="G2117" i="29"/>
  <c r="H2201" i="29"/>
  <c r="H2324" i="29"/>
  <c r="G2252" i="29"/>
  <c r="G2213" i="29"/>
  <c r="I2394" i="29"/>
  <c r="H2303" i="29"/>
  <c r="H2643" i="29"/>
  <c r="H2717" i="29"/>
  <c r="I2497" i="29"/>
  <c r="H2614" i="29"/>
  <c r="H2497" i="29"/>
  <c r="I2567" i="29"/>
  <c r="H103" i="33"/>
  <c r="G2778" i="29"/>
  <c r="I2865" i="29"/>
  <c r="G2717" i="29"/>
  <c r="G2915" i="29"/>
  <c r="I96" i="33"/>
  <c r="G2773" i="29"/>
  <c r="G2709" i="29"/>
  <c r="I2769" i="29"/>
  <c r="F2168" i="29"/>
  <c r="F606" i="29"/>
  <c r="F303" i="29"/>
  <c r="F1439" i="29"/>
  <c r="F1898" i="29"/>
  <c r="F562" i="29"/>
  <c r="F561" i="29" s="1"/>
  <c r="F510" i="29"/>
  <c r="F509" i="29" s="1"/>
  <c r="F420" i="29"/>
  <c r="F419" i="29" s="1"/>
  <c r="E419" i="29"/>
  <c r="F786" i="29"/>
  <c r="F785" i="29" s="1"/>
  <c r="E785" i="29"/>
  <c r="E675" i="29"/>
  <c r="F675" i="29" s="1"/>
  <c r="F1124" i="29"/>
  <c r="F1123" i="29" s="1"/>
  <c r="E1123" i="29"/>
  <c r="F1195" i="29"/>
  <c r="F1194" i="29" s="1"/>
  <c r="E1194" i="29"/>
  <c r="F1259" i="29"/>
  <c r="F1258" i="29" s="1"/>
  <c r="E1258" i="29"/>
  <c r="F1692" i="29"/>
  <c r="F1691" i="29" s="1"/>
  <c r="E1691" i="29"/>
  <c r="F1479" i="29"/>
  <c r="F1478" i="29" s="1"/>
  <c r="E1478" i="29"/>
  <c r="F1651" i="29"/>
  <c r="F1649" i="29" s="1"/>
  <c r="F1496" i="29"/>
  <c r="F1495" i="29" s="1"/>
  <c r="E1495" i="29"/>
  <c r="F1823" i="29"/>
  <c r="F1822" i="29" s="1"/>
  <c r="E1822" i="29"/>
  <c r="F2142" i="29"/>
  <c r="F2141" i="29" s="1"/>
  <c r="E2141" i="29"/>
  <c r="F1934" i="29"/>
  <c r="F1933" i="29" s="1"/>
  <c r="E1933" i="29"/>
  <c r="F2206" i="29"/>
  <c r="F2205" i="29" s="1"/>
  <c r="E2205" i="29"/>
  <c r="F2356" i="29"/>
  <c r="F2355" i="29" s="1"/>
  <c r="E2355" i="29"/>
  <c r="F2311" i="29"/>
  <c r="F2310" i="29" s="1"/>
  <c r="E2310" i="29"/>
  <c r="F2111" i="29"/>
  <c r="F2110" i="29" s="1"/>
  <c r="F2131" i="29" s="1"/>
  <c r="E2110" i="29"/>
  <c r="E2536" i="29"/>
  <c r="F2679" i="29"/>
  <c r="F2678" i="29" s="1"/>
  <c r="E2678" i="29"/>
  <c r="E2485" i="29"/>
  <c r="F2628" i="29"/>
  <c r="F2627" i="29" s="1"/>
  <c r="E2627" i="29"/>
  <c r="E2501" i="29"/>
  <c r="F2644" i="29"/>
  <c r="F2643" i="29" s="1"/>
  <c r="E2643" i="29"/>
  <c r="F2710" i="29"/>
  <c r="F2709" i="29" s="1"/>
  <c r="E2709" i="29"/>
  <c r="G2379" i="29"/>
  <c r="I2259" i="29"/>
  <c r="G2123" i="29"/>
  <c r="I2379" i="29"/>
  <c r="I2291" i="29"/>
  <c r="H2336" i="29"/>
  <c r="G2536" i="29"/>
  <c r="I2594" i="29"/>
  <c r="G2452" i="29"/>
  <c r="H2452" i="29"/>
  <c r="G2608" i="29"/>
  <c r="I2816" i="29"/>
  <c r="G73" i="33"/>
  <c r="I2778" i="29"/>
  <c r="H92" i="33"/>
  <c r="I2717" i="29"/>
  <c r="I2904" i="29"/>
  <c r="H2750" i="29"/>
  <c r="F2466" i="29"/>
  <c r="F970" i="29"/>
  <c r="F457" i="29"/>
  <c r="F322" i="29"/>
  <c r="F365" i="29"/>
  <c r="F364" i="29" s="1"/>
  <c r="E364" i="29"/>
  <c r="E303" i="29"/>
  <c r="E437" i="29"/>
  <c r="F514" i="29"/>
  <c r="F513" i="29" s="1"/>
  <c r="E513" i="29"/>
  <c r="E490" i="29"/>
  <c r="E348" i="29"/>
  <c r="F507" i="29"/>
  <c r="F506" i="29" s="1"/>
  <c r="E506" i="29"/>
  <c r="E828" i="29"/>
  <c r="F704" i="29"/>
  <c r="F703" i="29" s="1"/>
  <c r="E703" i="29"/>
  <c r="F698" i="29"/>
  <c r="F697" i="29" s="1"/>
  <c r="E697" i="29"/>
  <c r="F878" i="29"/>
  <c r="F877" i="29" s="1"/>
  <c r="E1025" i="29"/>
  <c r="F1020" i="29"/>
  <c r="F1019" i="29" s="1"/>
  <c r="E1019" i="29"/>
  <c r="E935" i="29"/>
  <c r="F982" i="29"/>
  <c r="F981" i="29" s="1"/>
  <c r="E981" i="29"/>
  <c r="E1013" i="29"/>
  <c r="E1439" i="29"/>
  <c r="E1271" i="29"/>
  <c r="F1769" i="29"/>
  <c r="F1768" i="29" s="1"/>
  <c r="E1768" i="29"/>
  <c r="E1762" i="29"/>
  <c r="F1982" i="29"/>
  <c r="F1981" i="29" s="1"/>
  <c r="E1981" i="29"/>
  <c r="F2260" i="29"/>
  <c r="F2259" i="29" s="1"/>
  <c r="E2259" i="29"/>
  <c r="F1918" i="29"/>
  <c r="F1917" i="29" s="1"/>
  <c r="E1917" i="29"/>
  <c r="F2360" i="29"/>
  <c r="F2359" i="29" s="1"/>
  <c r="E2359" i="29"/>
  <c r="E2336" i="29"/>
  <c r="F2298" i="29"/>
  <c r="F2297" i="29" s="1"/>
  <c r="E2297" i="29"/>
  <c r="F2632" i="29"/>
  <c r="F2631" i="29" s="1"/>
  <c r="E2631" i="29"/>
  <c r="F2928" i="29"/>
  <c r="F2927" i="29" s="1"/>
  <c r="H1046" i="29"/>
  <c r="I1194" i="29"/>
  <c r="I1013" i="29"/>
  <c r="I1478" i="29"/>
  <c r="H1361" i="29"/>
  <c r="H1349" i="29"/>
  <c r="I1200" i="29"/>
  <c r="G1289" i="29"/>
  <c r="H1445" i="29"/>
  <c r="I1445" i="29"/>
  <c r="G1303" i="29"/>
  <c r="H1503" i="29"/>
  <c r="G1581" i="29"/>
  <c r="I1691" i="29"/>
  <c r="H1614" i="29"/>
  <c r="I1503" i="29"/>
  <c r="H1779" i="29"/>
  <c r="H1633" i="29"/>
  <c r="I1826" i="29"/>
  <c r="H1649" i="29"/>
  <c r="H1929" i="29"/>
  <c r="G2063" i="29"/>
  <c r="H2075" i="29"/>
  <c r="H1826" i="29"/>
  <c r="G2007" i="29"/>
  <c r="H2059" i="29"/>
  <c r="G2201" i="29"/>
  <c r="G2291" i="29"/>
  <c r="I2141" i="29"/>
  <c r="G2259" i="29"/>
  <c r="G2394" i="29"/>
  <c r="I2213" i="29"/>
  <c r="H2106" i="29"/>
  <c r="H2310" i="29"/>
  <c r="H2110" i="29"/>
  <c r="H2663" i="29"/>
  <c r="I2736" i="29"/>
  <c r="G2485" i="29"/>
  <c r="G2445" i="29"/>
  <c r="H2433" i="29"/>
  <c r="I2608" i="29"/>
  <c r="H2723" i="29"/>
  <c r="H2871" i="29"/>
  <c r="G2962" i="29"/>
  <c r="G96" i="33"/>
  <c r="I2923" i="29"/>
  <c r="G2781" i="29"/>
  <c r="G2920" i="29"/>
  <c r="H2709" i="29"/>
  <c r="F890" i="29"/>
  <c r="F1174" i="29"/>
  <c r="F1112" i="29"/>
  <c r="F445" i="29"/>
  <c r="E457" i="29"/>
  <c r="F580" i="29"/>
  <c r="F579" i="29" s="1"/>
  <c r="E579" i="29"/>
  <c r="F403" i="29"/>
  <c r="F402" i="29" s="1"/>
  <c r="E402" i="29"/>
  <c r="F722" i="29"/>
  <c r="F721" i="29" s="1"/>
  <c r="E721" i="29"/>
  <c r="F794" i="29"/>
  <c r="F793" i="29" s="1"/>
  <c r="E793" i="29"/>
  <c r="F905" i="29"/>
  <c r="F904" i="29" s="1"/>
  <c r="E904" i="29"/>
  <c r="F1201" i="29"/>
  <c r="F1200" i="29" s="1"/>
  <c r="E1200" i="29"/>
  <c r="E1155" i="29"/>
  <c r="F1148" i="29"/>
  <c r="F1147" i="29" s="1"/>
  <c r="F1255" i="29"/>
  <c r="F1254" i="29" s="1"/>
  <c r="E1254" i="29"/>
  <c r="E1129" i="29"/>
  <c r="F1331" i="29"/>
  <c r="F1330" i="29" s="1"/>
  <c r="E1330" i="29"/>
  <c r="F1550" i="29"/>
  <c r="F1549" i="29" s="1"/>
  <c r="E1549" i="29"/>
  <c r="E1503" i="29"/>
  <c r="F1776" i="29"/>
  <c r="F1775" i="29" s="1"/>
  <c r="E1775" i="29"/>
  <c r="E1626" i="29"/>
  <c r="F1792" i="29"/>
  <c r="F1791" i="29" s="1"/>
  <c r="E1791" i="29"/>
  <c r="E2075" i="29"/>
  <c r="F1834" i="29"/>
  <c r="F1833" i="29" s="1"/>
  <c r="E1833" i="29"/>
  <c r="F2046" i="29"/>
  <c r="E1877" i="29"/>
  <c r="E1921" i="29"/>
  <c r="F2395" i="29"/>
  <c r="F2394" i="29" s="1"/>
  <c r="E2394" i="29"/>
  <c r="E2379" i="29"/>
  <c r="F2379" i="29" s="1"/>
  <c r="F2582" i="29"/>
  <c r="F2581" i="29" s="1"/>
  <c r="E2581" i="29"/>
  <c r="F2730" i="29"/>
  <c r="F2729" i="29" s="1"/>
  <c r="E2729" i="29"/>
  <c r="E2549" i="29"/>
  <c r="E2663" i="29"/>
  <c r="F2663" i="29" s="1"/>
  <c r="F97" i="33"/>
  <c r="F96" i="33" s="1"/>
  <c r="F2860" i="29"/>
  <c r="F2859" i="29" s="1"/>
  <c r="E2859" i="29"/>
  <c r="F2782" i="29"/>
  <c r="F2781" i="29" s="1"/>
  <c r="E2781" i="29"/>
  <c r="F2976" i="29"/>
  <c r="F2975" i="29" s="1"/>
  <c r="E2975" i="29"/>
  <c r="I1147" i="29"/>
  <c r="I1297" i="29"/>
  <c r="H1365" i="29"/>
  <c r="I1735" i="29"/>
  <c r="H1484" i="29"/>
  <c r="G1200" i="29"/>
  <c r="H1507" i="29"/>
  <c r="H1431" i="29"/>
  <c r="G1478" i="29"/>
  <c r="H1573" i="29"/>
  <c r="G1491" i="29"/>
  <c r="I1669" i="29"/>
  <c r="I1542" i="29"/>
  <c r="I1507" i="29"/>
  <c r="G1768" i="29"/>
  <c r="G1637" i="29"/>
  <c r="H1729" i="29"/>
  <c r="G1697" i="29"/>
  <c r="I1768" i="29"/>
  <c r="G1587" i="29"/>
  <c r="H1933" i="29"/>
  <c r="G1884" i="29"/>
  <c r="H1839" i="29"/>
  <c r="G1898" i="29"/>
  <c r="G2013" i="29"/>
  <c r="I2075" i="29"/>
  <c r="H2007" i="29"/>
  <c r="G2161" i="29"/>
  <c r="I2265" i="29"/>
  <c r="H2252" i="29"/>
  <c r="H2394" i="29"/>
  <c r="H2217" i="29"/>
  <c r="G2110" i="29"/>
  <c r="I2182" i="29"/>
  <c r="G2851" i="29"/>
  <c r="G2543" i="29"/>
  <c r="H2762" i="29"/>
  <c r="G2521" i="29"/>
  <c r="G2723" i="29"/>
  <c r="G2892" i="29"/>
  <c r="I2958" i="29"/>
  <c r="I2833" i="29"/>
  <c r="G2904" i="29"/>
  <c r="G2769" i="29"/>
  <c r="H2927" i="29"/>
  <c r="G2871" i="29"/>
  <c r="H2729" i="29"/>
  <c r="H2781" i="29"/>
  <c r="G2762" i="29"/>
  <c r="I2871" i="29"/>
  <c r="H2920" i="29"/>
  <c r="F1458" i="29"/>
  <c r="F959" i="29"/>
  <c r="F1046" i="29"/>
  <c r="E587" i="29"/>
  <c r="F356" i="29"/>
  <c r="F355" i="29" s="1"/>
  <c r="E355" i="29"/>
  <c r="F407" i="29"/>
  <c r="F406" i="29" s="1"/>
  <c r="E406" i="29"/>
  <c r="E655" i="29"/>
  <c r="F917" i="29"/>
  <c r="F916" i="29" s="1"/>
  <c r="E916" i="29"/>
  <c r="F769" i="29"/>
  <c r="F768" i="29" s="1"/>
  <c r="E768" i="29"/>
  <c r="E1058" i="29"/>
  <c r="F1224" i="29"/>
  <c r="F1223" i="29" s="1"/>
  <c r="F1582" i="29"/>
  <c r="F1581" i="29" s="1"/>
  <c r="E1581" i="29"/>
  <c r="E1358" i="29"/>
  <c r="E1297" i="29"/>
  <c r="E1527" i="29"/>
  <c r="F1527" i="29" s="1"/>
  <c r="E1779" i="29"/>
  <c r="F1594" i="29"/>
  <c r="F1593" i="29" s="1"/>
  <c r="E1593" i="29"/>
  <c r="F1785" i="29"/>
  <c r="F1784" i="29" s="1"/>
  <c r="E1784" i="29"/>
  <c r="F1858" i="29"/>
  <c r="F1857" i="29" s="1"/>
  <c r="E1857" i="29"/>
  <c r="F2027" i="29"/>
  <c r="F2026" i="29" s="1"/>
  <c r="F1954" i="29"/>
  <c r="F2426" i="29"/>
  <c r="F2425" i="29" s="1"/>
  <c r="E2425" i="29"/>
  <c r="E2182" i="29"/>
  <c r="E2452" i="29"/>
  <c r="E2497" i="29"/>
  <c r="E2685" i="29"/>
  <c r="F2498" i="29"/>
  <c r="F2497" i="29" s="1"/>
  <c r="F2440" i="29"/>
  <c r="F2439" i="29" s="1"/>
  <c r="F2473" i="29"/>
  <c r="F2472" i="29" s="1"/>
  <c r="E2472" i="29"/>
  <c r="F2757" i="29"/>
  <c r="F2756" i="29" s="1"/>
  <c r="E2756" i="29"/>
  <c r="F93" i="33"/>
  <c r="F92" i="33" s="1"/>
  <c r="E92" i="33"/>
  <c r="E2785" i="29"/>
  <c r="E2736" i="29"/>
  <c r="W1212" i="208"/>
  <c r="N290" i="208"/>
  <c r="W2679" i="208"/>
  <c r="W290" i="208"/>
  <c r="N1784" i="208"/>
  <c r="W739" i="208"/>
  <c r="N1614" i="208"/>
  <c r="W1456" i="208"/>
  <c r="N2726" i="208"/>
  <c r="N1841" i="208"/>
  <c r="N2334" i="208"/>
  <c r="W1841" i="208"/>
  <c r="N1718" i="208"/>
  <c r="W1605" i="208"/>
  <c r="W1718" i="208"/>
  <c r="N162" i="208"/>
  <c r="W2705" i="208"/>
  <c r="W2575" i="208"/>
  <c r="N1787" i="208"/>
  <c r="N2325" i="208"/>
  <c r="N2294" i="208"/>
  <c r="N226" i="208"/>
  <c r="W1787" i="208"/>
  <c r="W2325" i="208"/>
  <c r="W2294" i="208"/>
  <c r="W226" i="208"/>
  <c r="N924" i="208"/>
  <c r="W924" i="208"/>
  <c r="G62" i="16"/>
  <c r="H62" i="16" s="1"/>
  <c r="N117" i="208"/>
  <c r="N1753" i="208"/>
  <c r="W117" i="208"/>
  <c r="G18" i="16"/>
  <c r="H18" i="16" s="1"/>
  <c r="W1753" i="208"/>
  <c r="G102" i="16"/>
  <c r="H102" i="16" s="1"/>
  <c r="G105" i="16"/>
  <c r="H105" i="16" s="1"/>
  <c r="G89" i="16"/>
  <c r="H89" i="16" s="1"/>
  <c r="G84" i="16"/>
  <c r="H84" i="16" s="1"/>
  <c r="G42" i="16"/>
  <c r="H42" i="16" s="1"/>
  <c r="N252" i="208"/>
  <c r="N36" i="208"/>
  <c r="G101" i="16"/>
  <c r="H101" i="16" s="1"/>
  <c r="W252" i="208"/>
  <c r="W36" i="208"/>
  <c r="G35" i="16"/>
  <c r="H35" i="16" s="1"/>
  <c r="N2905" i="208"/>
  <c r="G98" i="16"/>
  <c r="H98" i="16" s="1"/>
  <c r="W2905" i="208"/>
  <c r="N2761" i="208"/>
  <c r="W1897" i="208"/>
  <c r="N207" i="208"/>
  <c r="N126" i="208"/>
  <c r="W207" i="208"/>
  <c r="W126" i="208"/>
  <c r="G75" i="16"/>
  <c r="H75" i="16" s="1"/>
  <c r="G122" i="16"/>
  <c r="H122" i="16" s="1"/>
  <c r="G20" i="16"/>
  <c r="H20" i="16" s="1"/>
  <c r="G95" i="16"/>
  <c r="H95" i="16" s="1"/>
  <c r="G53" i="16"/>
  <c r="H53" i="16" s="1"/>
  <c r="G25" i="16"/>
  <c r="H25" i="16" s="1"/>
  <c r="G123" i="16"/>
  <c r="H123" i="16" s="1"/>
  <c r="G32" i="16"/>
  <c r="H32" i="16" s="1"/>
  <c r="G88" i="16"/>
  <c r="H88" i="16" s="1"/>
  <c r="G51" i="16"/>
  <c r="H51" i="16" s="1"/>
  <c r="G39" i="16"/>
  <c r="H39" i="16" s="1"/>
  <c r="G63" i="16"/>
  <c r="H63" i="16" s="1"/>
  <c r="G80" i="16"/>
  <c r="H80" i="16" s="1"/>
  <c r="G11" i="16"/>
  <c r="H11" i="16" s="1"/>
  <c r="G107" i="16"/>
  <c r="G116" i="16"/>
  <c r="H116" i="16" s="1"/>
  <c r="G14" i="16"/>
  <c r="H14" i="16" s="1"/>
  <c r="G44" i="16"/>
  <c r="H44" i="16" s="1"/>
  <c r="G48" i="16"/>
  <c r="H48" i="16" s="1"/>
  <c r="G26" i="16"/>
  <c r="H26" i="16" s="1"/>
  <c r="G117" i="16"/>
  <c r="H117" i="16" s="1"/>
  <c r="G54" i="16"/>
  <c r="H54" i="16" s="1"/>
  <c r="G27" i="16"/>
  <c r="H27" i="16" s="1"/>
  <c r="G30" i="16"/>
  <c r="G38" i="16"/>
  <c r="H38" i="16" s="1"/>
  <c r="G65" i="16"/>
  <c r="G12" i="16"/>
  <c r="H12" i="16" s="1"/>
  <c r="G16" i="16"/>
  <c r="H16" i="16" s="1"/>
  <c r="G24" i="16"/>
  <c r="H24" i="16" s="1"/>
  <c r="G112" i="16"/>
  <c r="H112" i="16" s="1"/>
  <c r="G86" i="16"/>
  <c r="G94" i="16"/>
  <c r="H94" i="16" s="1"/>
  <c r="G23" i="16"/>
  <c r="H23" i="16" s="1"/>
  <c r="G126" i="16"/>
  <c r="H126" i="16" s="1"/>
  <c r="G69" i="16"/>
  <c r="H69" i="16" s="1"/>
  <c r="G66" i="16"/>
  <c r="H66" i="16" s="1"/>
  <c r="G28" i="16"/>
  <c r="H28" i="16" s="1"/>
  <c r="G59" i="16"/>
  <c r="H59" i="16" s="1"/>
  <c r="G49" i="16"/>
  <c r="H49" i="16" s="1"/>
  <c r="W63" i="208"/>
  <c r="W243" i="208"/>
  <c r="W1609" i="208"/>
  <c r="W171" i="208"/>
  <c r="N63" i="208"/>
  <c r="W1855" i="208"/>
  <c r="W2643" i="208"/>
  <c r="N180" i="208"/>
  <c r="W180" i="208"/>
  <c r="N261" i="208"/>
  <c r="N1708" i="208"/>
  <c r="W261" i="208"/>
  <c r="W1708" i="208"/>
  <c r="N45" i="208"/>
  <c r="N2438" i="208"/>
  <c r="W45" i="208"/>
  <c r="W1931" i="208"/>
  <c r="W1893" i="208"/>
  <c r="N710" i="208"/>
  <c r="W710" i="208"/>
  <c r="N632" i="208"/>
  <c r="N1862" i="208"/>
  <c r="N1606" i="208"/>
  <c r="W632" i="208"/>
  <c r="W1862" i="208"/>
  <c r="W1606" i="208"/>
  <c r="N81" i="208"/>
  <c r="N216" i="208"/>
  <c r="W81" i="208"/>
  <c r="W216" i="208"/>
  <c r="N12" i="208"/>
  <c r="W12" i="208"/>
  <c r="N14" i="208"/>
  <c r="N977" i="208"/>
  <c r="N2622" i="208"/>
  <c r="W977" i="208"/>
  <c r="N689" i="208"/>
  <c r="N243" i="208"/>
  <c r="W689" i="208"/>
  <c r="N1609" i="208"/>
  <c r="N2575" i="208"/>
  <c r="W566" i="208"/>
  <c r="W422" i="208"/>
  <c r="W162" i="208"/>
  <c r="W401" i="208"/>
  <c r="N27" i="208"/>
  <c r="N347" i="208"/>
  <c r="W27" i="208"/>
  <c r="W2103" i="208"/>
  <c r="W347" i="208"/>
  <c r="W225" i="208"/>
  <c r="W14" i="208"/>
  <c r="N234" i="208"/>
  <c r="W99" i="208"/>
  <c r="W234" i="208"/>
  <c r="N1899" i="208"/>
  <c r="W1899" i="208"/>
  <c r="N739" i="208"/>
  <c r="W1614" i="208"/>
  <c r="W2726" i="208"/>
  <c r="N2679" i="208"/>
  <c r="N2582" i="208"/>
  <c r="W291" i="208"/>
  <c r="W2582" i="208"/>
  <c r="N2041" i="208"/>
  <c r="W2041" i="208"/>
  <c r="N18" i="208"/>
  <c r="N1286" i="208"/>
  <c r="W18" i="208"/>
  <c r="N1210" i="208"/>
  <c r="W1286" i="208"/>
  <c r="W1210" i="208"/>
  <c r="N99" i="208"/>
  <c r="W2860" i="208"/>
  <c r="W72" i="208"/>
  <c r="N2504" i="208"/>
  <c r="N2766" i="208"/>
  <c r="N2006" i="208"/>
  <c r="W2504" i="208"/>
  <c r="W2766" i="208"/>
  <c r="W2006" i="208"/>
  <c r="N1121" i="208"/>
  <c r="N1750" i="208"/>
  <c r="N2617" i="208"/>
  <c r="W2075" i="208"/>
  <c r="W1121" i="208"/>
  <c r="W1750" i="208"/>
  <c r="W2617" i="208"/>
  <c r="N153" i="208"/>
  <c r="N2469" i="208"/>
  <c r="W153" i="208"/>
  <c r="W2469" i="208"/>
  <c r="N5" i="208"/>
  <c r="N273" i="208"/>
  <c r="N135" i="208"/>
  <c r="W135" i="208"/>
  <c r="E106" i="29"/>
  <c r="F106" i="29" s="1"/>
  <c r="E103" i="29"/>
  <c r="F103" i="29" s="1"/>
  <c r="E116" i="29"/>
  <c r="F116" i="29" s="1"/>
  <c r="E105" i="29"/>
  <c r="F105" i="29" s="1"/>
  <c r="E107" i="29"/>
  <c r="F107" i="29" s="1"/>
  <c r="E104" i="29"/>
  <c r="F104" i="29" s="1"/>
  <c r="E112" i="29"/>
  <c r="F112" i="29" s="1"/>
  <c r="E114" i="29"/>
  <c r="F114" i="29" s="1"/>
  <c r="G116" i="29"/>
  <c r="G103" i="29"/>
  <c r="I105" i="29"/>
  <c r="H105" i="29"/>
  <c r="I114" i="29"/>
  <c r="G105" i="29"/>
  <c r="H114" i="29"/>
  <c r="I107" i="29"/>
  <c r="G114" i="29"/>
  <c r="H107" i="29"/>
  <c r="I104" i="29"/>
  <c r="H112" i="29"/>
  <c r="G112" i="29"/>
  <c r="I106" i="29"/>
  <c r="I116" i="29"/>
  <c r="H106" i="29"/>
  <c r="I103" i="29"/>
  <c r="H116" i="29"/>
  <c r="G106" i="29"/>
  <c r="H103" i="29"/>
  <c r="I112" i="29"/>
  <c r="H104" i="29"/>
  <c r="G107" i="29"/>
  <c r="G104" i="29"/>
  <c r="N270" i="208"/>
  <c r="N54" i="208"/>
  <c r="W270" i="208"/>
  <c r="W54" i="208"/>
  <c r="N43" i="208"/>
  <c r="W124" i="208"/>
  <c r="W160" i="208"/>
  <c r="W97" i="208"/>
  <c r="N79" i="208"/>
  <c r="W79" i="208"/>
  <c r="W196" i="208"/>
  <c r="N291" i="208"/>
  <c r="N259" i="208"/>
  <c r="N133" i="208"/>
  <c r="W287" i="208"/>
  <c r="W214" i="208"/>
  <c r="N160" i="208"/>
  <c r="N124" i="208"/>
  <c r="I222" i="29"/>
  <c r="W133" i="208"/>
  <c r="G264" i="29"/>
  <c r="I200" i="29"/>
  <c r="G225" i="29"/>
  <c r="I260" i="29"/>
  <c r="W273" i="208"/>
  <c r="W16" i="208"/>
  <c r="W43" i="208"/>
  <c r="W259" i="208"/>
  <c r="N232" i="208"/>
  <c r="N287" i="208"/>
  <c r="W223" i="208"/>
  <c r="W232" i="208"/>
  <c r="W205" i="208"/>
  <c r="H173" i="29"/>
  <c r="W151" i="208"/>
  <c r="N196" i="208"/>
  <c r="G194" i="29"/>
  <c r="W268" i="208"/>
  <c r="N16" i="208"/>
  <c r="H180" i="29"/>
  <c r="I271" i="29"/>
  <c r="H260" i="29"/>
  <c r="N151" i="208"/>
  <c r="G217" i="29"/>
  <c r="N301" i="208"/>
  <c r="W88" i="208"/>
  <c r="N115" i="208"/>
  <c r="W301" i="208"/>
  <c r="G40" i="16"/>
  <c r="H40" i="16" s="1"/>
  <c r="N268" i="208"/>
  <c r="W70" i="208"/>
  <c r="W115" i="208"/>
  <c r="N70" i="208"/>
  <c r="N205" i="208"/>
  <c r="F213" i="29"/>
  <c r="E213" i="29"/>
  <c r="F264" i="29"/>
  <c r="E264" i="29"/>
  <c r="I264" i="29"/>
  <c r="I217" i="29"/>
  <c r="H161" i="29"/>
  <c r="F217" i="29"/>
  <c r="E217" i="29"/>
  <c r="F222" i="29"/>
  <c r="E222" i="29"/>
  <c r="G153" i="29"/>
  <c r="G229" i="29"/>
  <c r="G260" i="29"/>
  <c r="G206" i="29"/>
  <c r="I277" i="29"/>
  <c r="H217" i="29"/>
  <c r="N178" i="208"/>
  <c r="N52" i="208"/>
  <c r="N187" i="208"/>
  <c r="N61" i="208"/>
  <c r="F271" i="29"/>
  <c r="E271" i="29"/>
  <c r="G200" i="29"/>
  <c r="G173" i="29"/>
  <c r="I225" i="29"/>
  <c r="W178" i="208"/>
  <c r="W52" i="208"/>
  <c r="W187" i="208"/>
  <c r="W61" i="208"/>
  <c r="W106" i="208"/>
  <c r="T106" i="208"/>
  <c r="W241" i="208"/>
  <c r="T241" i="208"/>
  <c r="W25" i="208"/>
  <c r="T25" i="208"/>
  <c r="F225" i="29"/>
  <c r="E225" i="29"/>
  <c r="I173" i="29"/>
  <c r="G167" i="29"/>
  <c r="I229" i="29"/>
  <c r="I161" i="29"/>
  <c r="F229" i="29"/>
  <c r="E229" i="29"/>
  <c r="I167" i="29"/>
  <c r="I206" i="29"/>
  <c r="H206" i="29"/>
  <c r="F161" i="29"/>
  <c r="E161" i="29"/>
  <c r="E277" i="29"/>
  <c r="F277" i="29"/>
  <c r="F173" i="29"/>
  <c r="E173" i="29"/>
  <c r="I180" i="29"/>
  <c r="H229" i="29"/>
  <c r="G222" i="29"/>
  <c r="G180" i="29"/>
  <c r="N142" i="208"/>
  <c r="N283" i="208"/>
  <c r="N7" i="208"/>
  <c r="F200" i="29"/>
  <c r="E200" i="29"/>
  <c r="H153" i="29"/>
  <c r="H194" i="29"/>
  <c r="I194" i="29"/>
  <c r="H277" i="29"/>
  <c r="W142" i="208"/>
  <c r="W283" i="208"/>
  <c r="W7" i="208"/>
  <c r="W250" i="208"/>
  <c r="T250" i="208"/>
  <c r="W34" i="208"/>
  <c r="T34" i="208"/>
  <c r="W169" i="208"/>
  <c r="T169" i="208"/>
  <c r="H213" i="29"/>
  <c r="H167" i="29"/>
  <c r="H225" i="29"/>
  <c r="G161" i="29"/>
  <c r="H222" i="29"/>
  <c r="F194" i="29"/>
  <c r="E194" i="29"/>
  <c r="F206" i="29"/>
  <c r="E206" i="29"/>
  <c r="H264" i="29"/>
  <c r="G213" i="29"/>
  <c r="I153" i="29"/>
  <c r="N214" i="208"/>
  <c r="N88" i="208"/>
  <c r="N223" i="208"/>
  <c r="N97" i="208"/>
  <c r="F167" i="29"/>
  <c r="E167" i="29"/>
  <c r="F153" i="29"/>
  <c r="E153" i="29"/>
  <c r="G271" i="29"/>
  <c r="G277" i="29"/>
  <c r="E180" i="29"/>
  <c r="F180" i="29"/>
  <c r="F260" i="29"/>
  <c r="E260" i="29"/>
  <c r="H271" i="29"/>
  <c r="H200" i="29"/>
  <c r="I213" i="29"/>
  <c r="N34" i="208"/>
  <c r="N250" i="208"/>
  <c r="N169" i="208"/>
  <c r="N241" i="208"/>
  <c r="N25" i="208"/>
  <c r="N106" i="208"/>
  <c r="W289" i="208"/>
  <c r="N289" i="208"/>
  <c r="W222" i="208"/>
  <c r="N222" i="208"/>
  <c r="W24" i="208"/>
  <c r="N24" i="208"/>
  <c r="W277" i="208"/>
  <c r="N277" i="208"/>
  <c r="W186" i="208"/>
  <c r="N186" i="208"/>
  <c r="W299" i="208"/>
  <c r="N299" i="208"/>
  <c r="W150" i="208"/>
  <c r="N150" i="208"/>
  <c r="W213" i="208"/>
  <c r="N213" i="208"/>
  <c r="W159" i="208"/>
  <c r="N159" i="208"/>
  <c r="W105" i="208"/>
  <c r="N105" i="208"/>
  <c r="W51" i="208"/>
  <c r="N51" i="208"/>
  <c r="W8" i="208"/>
  <c r="N8" i="208"/>
  <c r="W280" i="208"/>
  <c r="N280" i="208"/>
  <c r="W114" i="208"/>
  <c r="N114" i="208"/>
  <c r="W78" i="208"/>
  <c r="N78" i="208"/>
  <c r="W42" i="208"/>
  <c r="N42" i="208"/>
  <c r="W284" i="208"/>
  <c r="N284" i="208"/>
  <c r="W2" i="208"/>
  <c r="N2" i="208"/>
  <c r="W279" i="208"/>
  <c r="N279" i="208"/>
  <c r="W6" i="208"/>
  <c r="N6" i="208"/>
  <c r="W240" i="208"/>
  <c r="N240" i="208"/>
  <c r="W249" i="208"/>
  <c r="N249" i="208"/>
  <c r="W195" i="208"/>
  <c r="N195" i="208"/>
  <c r="W141" i="208"/>
  <c r="N141" i="208"/>
  <c r="W87" i="208"/>
  <c r="N87" i="208"/>
  <c r="W33" i="208"/>
  <c r="N33" i="208"/>
  <c r="W267" i="208"/>
  <c r="N267" i="208"/>
  <c r="W204" i="208"/>
  <c r="N204" i="208"/>
  <c r="W168" i="208"/>
  <c r="N168" i="208"/>
  <c r="W132" i="208"/>
  <c r="N132" i="208"/>
  <c r="W281" i="208"/>
  <c r="N281" i="208"/>
  <c r="W96" i="208"/>
  <c r="N96" i="208"/>
  <c r="W231" i="208"/>
  <c r="N231" i="208"/>
  <c r="W177" i="208"/>
  <c r="N177" i="208"/>
  <c r="W123" i="208"/>
  <c r="N123" i="208"/>
  <c r="W69" i="208"/>
  <c r="N69" i="208"/>
  <c r="W15" i="208"/>
  <c r="N15" i="208"/>
  <c r="W258" i="208"/>
  <c r="N258" i="208"/>
  <c r="W60" i="208"/>
  <c r="N60" i="208"/>
  <c r="W296" i="208"/>
  <c r="N296" i="208"/>
  <c r="G111" i="16"/>
  <c r="H111" i="16" s="1"/>
  <c r="G115" i="16"/>
  <c r="H115" i="16" s="1"/>
  <c r="G91" i="16"/>
  <c r="H91" i="16" s="1"/>
  <c r="G46" i="16"/>
  <c r="H46" i="16" s="1"/>
  <c r="G68" i="16"/>
  <c r="H68" i="16" s="1"/>
  <c r="G109" i="16"/>
  <c r="H109" i="16" s="1"/>
  <c r="G52" i="16"/>
  <c r="H52" i="16" s="1"/>
  <c r="G60" i="16"/>
  <c r="H60" i="16" s="1"/>
  <c r="G82" i="16"/>
  <c r="H82" i="16" s="1"/>
  <c r="G31" i="16"/>
  <c r="H31" i="16" s="1"/>
  <c r="G114" i="16"/>
  <c r="G76" i="16"/>
  <c r="H76" i="16" s="1"/>
  <c r="G41" i="16"/>
  <c r="H41" i="16" s="1"/>
  <c r="G96" i="16"/>
  <c r="H96" i="16" s="1"/>
  <c r="G77" i="16"/>
  <c r="H77" i="16" s="1"/>
  <c r="G45" i="16"/>
  <c r="H45" i="16" s="1"/>
  <c r="G108" i="16"/>
  <c r="H108" i="16" s="1"/>
  <c r="G125" i="16"/>
  <c r="H125" i="16" s="1"/>
  <c r="G104" i="16"/>
  <c r="H104" i="16" s="1"/>
  <c r="H99" i="16" s="1"/>
  <c r="G110" i="16"/>
  <c r="H110" i="16" s="1"/>
  <c r="G37" i="16"/>
  <c r="H37" i="16" s="1"/>
  <c r="G58" i="16"/>
  <c r="H58" i="16" s="1"/>
  <c r="G33" i="16"/>
  <c r="H33" i="16" s="1"/>
  <c r="G73" i="16"/>
  <c r="H73" i="16" s="1"/>
  <c r="G79" i="16"/>
  <c r="H79" i="16" s="1"/>
  <c r="G100" i="16"/>
  <c r="H100" i="16" s="1"/>
  <c r="G93" i="16"/>
  <c r="H93" i="16" s="1"/>
  <c r="G70" i="16"/>
  <c r="H70" i="16" s="1"/>
  <c r="G83" i="16"/>
  <c r="H83" i="16" s="1"/>
  <c r="G34" i="16"/>
  <c r="H34" i="16" s="1"/>
  <c r="G119" i="16"/>
  <c r="H119" i="16" s="1"/>
  <c r="G55" i="16"/>
  <c r="H55" i="16" s="1"/>
  <c r="G61" i="16"/>
  <c r="H61" i="16" s="1"/>
  <c r="G67" i="16"/>
  <c r="H67" i="16" s="1"/>
  <c r="G90" i="16"/>
  <c r="H90" i="16" s="1"/>
  <c r="G121" i="16"/>
  <c r="H121" i="16" s="1"/>
  <c r="G97" i="16"/>
  <c r="H97" i="16" s="1"/>
  <c r="G103" i="16"/>
  <c r="H103" i="16" s="1"/>
  <c r="G87" i="16"/>
  <c r="H87" i="16" s="1"/>
  <c r="G56" i="16"/>
  <c r="H56" i="16" s="1"/>
  <c r="G124" i="16"/>
  <c r="H124" i="16" s="1"/>
  <c r="H120" i="16" s="1"/>
  <c r="G74" i="16"/>
  <c r="H74" i="16" s="1"/>
  <c r="G47" i="16"/>
  <c r="H47" i="16" s="1"/>
  <c r="H43" i="16" s="1"/>
  <c r="G72" i="16"/>
  <c r="H72" i="16" s="1"/>
  <c r="G81" i="16"/>
  <c r="H81" i="16" s="1"/>
  <c r="G30" i="33"/>
  <c r="G17" i="16"/>
  <c r="H17" i="16" s="1"/>
  <c r="H41" i="33"/>
  <c r="H34" i="33"/>
  <c r="K178" i="46"/>
  <c r="J178" i="46" s="1"/>
  <c r="G11" i="33"/>
  <c r="G118" i="16"/>
  <c r="H118" i="16" s="1"/>
  <c r="H11" i="33"/>
  <c r="K49" i="46"/>
  <c r="J49" i="46" s="1"/>
  <c r="H49" i="46"/>
  <c r="K90" i="46"/>
  <c r="J90" i="46" s="1"/>
  <c r="H90" i="46"/>
  <c r="G34" i="33"/>
  <c r="K278" i="46"/>
  <c r="H277" i="46"/>
  <c r="K236" i="46"/>
  <c r="H235" i="46"/>
  <c r="K419" i="46"/>
  <c r="H418" i="46"/>
  <c r="H338" i="46"/>
  <c r="K339" i="46"/>
  <c r="H368" i="46"/>
  <c r="K371" i="46"/>
  <c r="K69" i="46"/>
  <c r="J69" i="46" s="1"/>
  <c r="H69" i="46"/>
  <c r="K63" i="46"/>
  <c r="J63" i="46" s="1"/>
  <c r="H63" i="46"/>
  <c r="K175" i="46"/>
  <c r="H174" i="46"/>
  <c r="K663" i="46"/>
  <c r="K662" i="46" s="1"/>
  <c r="H662" i="46"/>
  <c r="H948" i="46"/>
  <c r="K949" i="46"/>
  <c r="K948" i="46" s="1"/>
  <c r="K1071" i="46"/>
  <c r="K1070" i="46" s="1"/>
  <c r="H1070" i="46"/>
  <c r="K423" i="46"/>
  <c r="H422" i="46"/>
  <c r="K67" i="46"/>
  <c r="J67" i="46" s="1"/>
  <c r="H67" i="46"/>
  <c r="I11" i="33"/>
  <c r="G41" i="33"/>
  <c r="K231" i="46"/>
  <c r="H230" i="46"/>
  <c r="K968" i="46"/>
  <c r="K967" i="46" s="1"/>
  <c r="H967" i="46"/>
  <c r="K1146" i="46"/>
  <c r="K1145" i="46" s="1"/>
  <c r="H1145" i="46"/>
  <c r="H1100" i="46"/>
  <c r="K1101" i="46"/>
  <c r="K1100" i="46" s="1"/>
  <c r="K644" i="46"/>
  <c r="K643" i="46" s="1"/>
  <c r="H643" i="46"/>
  <c r="K50" i="46"/>
  <c r="J50" i="46" s="1"/>
  <c r="H50" i="46"/>
  <c r="K68" i="46"/>
  <c r="J68" i="46" s="1"/>
  <c r="H68" i="46"/>
  <c r="F11" i="33"/>
  <c r="K169" i="46"/>
  <c r="J169" i="46" s="1"/>
  <c r="K308" i="46"/>
  <c r="H307" i="46"/>
  <c r="K217" i="46"/>
  <c r="H216" i="46"/>
  <c r="K1033" i="46"/>
  <c r="K1032" i="46" s="1"/>
  <c r="H1032" i="46"/>
  <c r="K780" i="46"/>
  <c r="K779" i="46" s="1"/>
  <c r="H779" i="46"/>
  <c r="K491" i="46"/>
  <c r="K490" i="46" s="1"/>
  <c r="H490" i="46"/>
  <c r="K48" i="46"/>
  <c r="J48" i="46" s="1"/>
  <c r="H48" i="46"/>
  <c r="K95" i="46"/>
  <c r="J95" i="46" s="1"/>
  <c r="H95" i="46"/>
  <c r="I41" i="33"/>
  <c r="K841" i="46"/>
  <c r="K840" i="46" s="1"/>
  <c r="H840" i="46"/>
  <c r="K658" i="46"/>
  <c r="K657" i="46" s="1"/>
  <c r="H657" i="46"/>
  <c r="K724" i="46"/>
  <c r="K723" i="46" s="1"/>
  <c r="H723" i="46"/>
  <c r="H727" i="46"/>
  <c r="K728" i="46"/>
  <c r="K727" i="46" s="1"/>
  <c r="K475" i="46"/>
  <c r="K474" i="46" s="1"/>
  <c r="H474" i="46"/>
  <c r="H540" i="46"/>
  <c r="K541" i="46"/>
  <c r="K540" i="46" s="1"/>
  <c r="K789" i="46"/>
  <c r="K788" i="46" s="1"/>
  <c r="H788" i="46"/>
  <c r="K46" i="46"/>
  <c r="J46" i="46" s="1"/>
  <c r="H46" i="46"/>
  <c r="F42" i="33"/>
  <c r="F41" i="33" s="1"/>
  <c r="E41" i="33"/>
  <c r="K597" i="46"/>
  <c r="K596" i="46" s="1"/>
  <c r="H596" i="46"/>
  <c r="H795" i="46"/>
  <c r="K796" i="46"/>
  <c r="K795" i="46" s="1"/>
  <c r="H1161" i="46"/>
  <c r="K1162" i="46"/>
  <c r="K1161" i="46" s="1"/>
  <c r="K1094" i="46"/>
  <c r="K1093" i="46" s="1"/>
  <c r="H1093" i="46"/>
  <c r="K536" i="46"/>
  <c r="K535" i="46" s="1"/>
  <c r="H535" i="46"/>
  <c r="K972" i="46"/>
  <c r="K971" i="46" s="1"/>
  <c r="H971" i="46"/>
  <c r="H612" i="46"/>
  <c r="K613" i="46"/>
  <c r="K612" i="46" s="1"/>
  <c r="H1009" i="46"/>
  <c r="K1010" i="46"/>
  <c r="K1009" i="46" s="1"/>
  <c r="K907" i="46"/>
  <c r="K906" i="46" s="1"/>
  <c r="H906" i="46"/>
  <c r="K92" i="46"/>
  <c r="J92" i="46" s="1"/>
  <c r="H92" i="46"/>
  <c r="K70" i="46"/>
  <c r="J70" i="46" s="1"/>
  <c r="H70" i="46"/>
  <c r="K292" i="46"/>
  <c r="H291" i="46"/>
  <c r="H1023" i="46"/>
  <c r="K1024" i="46"/>
  <c r="K1023" i="46" s="1"/>
  <c r="K1085" i="46"/>
  <c r="K1084" i="46" s="1"/>
  <c r="H1084" i="46"/>
  <c r="K1151" i="46"/>
  <c r="K1150" i="46" s="1"/>
  <c r="H1150" i="46"/>
  <c r="K674" i="46"/>
  <c r="K673" i="46" s="1"/>
  <c r="H673" i="46"/>
  <c r="H582" i="46"/>
  <c r="K583" i="46"/>
  <c r="K582" i="46" s="1"/>
  <c r="K606" i="46"/>
  <c r="K605" i="46" s="1"/>
  <c r="H605" i="46"/>
  <c r="K602" i="46"/>
  <c r="K601" i="46" s="1"/>
  <c r="H601" i="46"/>
  <c r="K902" i="46"/>
  <c r="K901" i="46" s="1"/>
  <c r="H901" i="46"/>
  <c r="K719" i="46"/>
  <c r="K718" i="46" s="1"/>
  <c r="H718" i="46"/>
  <c r="K461" i="46"/>
  <c r="K460" i="46" s="1"/>
  <c r="H460" i="46"/>
  <c r="H479" i="46"/>
  <c r="K481" i="46"/>
  <c r="K479" i="46" s="1"/>
  <c r="H361" i="46"/>
  <c r="K362" i="46"/>
  <c r="H429" i="46"/>
  <c r="K430" i="46"/>
  <c r="K51" i="46"/>
  <c r="J51" i="46" s="1"/>
  <c r="H51" i="46"/>
  <c r="I34" i="33"/>
  <c r="E34" i="33"/>
  <c r="F35" i="33"/>
  <c r="F34" i="33" s="1"/>
  <c r="K156" i="46"/>
  <c r="H155" i="46"/>
  <c r="K1155" i="46"/>
  <c r="K1154" i="46" s="1"/>
  <c r="H1154" i="46"/>
  <c r="K857" i="46"/>
  <c r="K856" i="46" s="1"/>
  <c r="H856" i="46"/>
  <c r="H704" i="46"/>
  <c r="K705" i="46"/>
  <c r="K704" i="46" s="1"/>
  <c r="K846" i="46"/>
  <c r="K845" i="46" s="1"/>
  <c r="H845" i="46"/>
  <c r="K484" i="46"/>
  <c r="K483" i="46" s="1"/>
  <c r="H483" i="46"/>
  <c r="K47" i="46"/>
  <c r="J47" i="46" s="1"/>
  <c r="H47" i="46"/>
  <c r="K64" i="46"/>
  <c r="J64" i="46" s="1"/>
  <c r="H64" i="46"/>
  <c r="K93" i="46"/>
  <c r="J93" i="46" s="1"/>
  <c r="H93" i="46"/>
  <c r="K240" i="46"/>
  <c r="H239" i="46"/>
  <c r="K888" i="46"/>
  <c r="K887" i="46" s="1"/>
  <c r="H887" i="46"/>
  <c r="K522" i="46"/>
  <c r="K521" i="46" s="1"/>
  <c r="H521" i="46"/>
  <c r="H352" i="46"/>
  <c r="K353" i="46"/>
  <c r="H1039" i="46"/>
  <c r="K1040" i="46"/>
  <c r="K1039" i="46" s="1"/>
  <c r="K61" i="46"/>
  <c r="J61" i="46" s="1"/>
  <c r="H61" i="46"/>
  <c r="H30" i="33"/>
  <c r="K247" i="46"/>
  <c r="H246" i="46"/>
  <c r="K1132" i="46"/>
  <c r="K1131" i="46" s="1"/>
  <c r="H1131" i="46"/>
  <c r="H357" i="46"/>
  <c r="K358" i="46"/>
  <c r="K963" i="46"/>
  <c r="K962" i="46" s="1"/>
  <c r="H962" i="46"/>
  <c r="K850" i="46"/>
  <c r="K849" i="46" s="1"/>
  <c r="H849" i="46"/>
  <c r="H413" i="46"/>
  <c r="K414" i="46"/>
  <c r="K89" i="46"/>
  <c r="J89" i="46" s="1"/>
  <c r="H89" i="46"/>
  <c r="K62" i="46"/>
  <c r="J62" i="46" s="1"/>
  <c r="H62" i="46"/>
  <c r="H502" i="46"/>
  <c r="K502" i="46" s="1"/>
  <c r="H568" i="46"/>
  <c r="H813" i="46"/>
  <c r="K813" i="46" s="1"/>
  <c r="H629" i="46"/>
  <c r="H385" i="46"/>
  <c r="H1174" i="46"/>
  <c r="K1174" i="46" s="1"/>
  <c r="H1120" i="46"/>
  <c r="K1120" i="46" s="1"/>
  <c r="H747" i="46"/>
  <c r="K747" i="46" s="1"/>
  <c r="H569" i="46"/>
  <c r="K569" i="46" s="1"/>
  <c r="H505" i="46"/>
  <c r="K505" i="46" s="1"/>
  <c r="H993" i="46"/>
  <c r="K993" i="46" s="1"/>
  <c r="H844" i="46"/>
  <c r="K844" i="46" s="1"/>
  <c r="H731" i="46"/>
  <c r="K731" i="46" s="1"/>
  <c r="H632" i="46"/>
  <c r="K632" i="46" s="1"/>
  <c r="H609" i="46"/>
  <c r="K609" i="46" s="1"/>
  <c r="H510" i="46"/>
  <c r="K510" i="46" s="1"/>
  <c r="H443" i="46"/>
  <c r="K443" i="46" s="1"/>
  <c r="J443" i="46" s="1"/>
  <c r="H692" i="46"/>
  <c r="K692" i="46" s="1"/>
  <c r="H478" i="46"/>
  <c r="K478" i="46" s="1"/>
  <c r="H1115" i="46"/>
  <c r="K1115" i="46" s="1"/>
  <c r="H998" i="46"/>
  <c r="K998" i="46" s="1"/>
  <c r="H746" i="46"/>
  <c r="K746" i="46" s="1"/>
  <c r="H387" i="46"/>
  <c r="K387" i="46" s="1"/>
  <c r="J387" i="46" s="1"/>
  <c r="H1178" i="46"/>
  <c r="K1178" i="46" s="1"/>
  <c r="H1111" i="46"/>
  <c r="H935" i="46"/>
  <c r="K935" i="46" s="1"/>
  <c r="H869" i="46"/>
  <c r="K869" i="46" s="1"/>
  <c r="H875" i="46"/>
  <c r="K875" i="46" s="1"/>
  <c r="H687" i="46"/>
  <c r="K687" i="46" s="1"/>
  <c r="H630" i="46"/>
  <c r="K630" i="46" s="1"/>
  <c r="H1058" i="46"/>
  <c r="H989" i="46"/>
  <c r="H748" i="46"/>
  <c r="K748" i="46" s="1"/>
  <c r="H754" i="46"/>
  <c r="K754" i="46" s="1"/>
  <c r="H626" i="46"/>
  <c r="K626" i="46" s="1"/>
  <c r="H624" i="46"/>
  <c r="K624" i="46" s="1"/>
  <c r="H449" i="46"/>
  <c r="K449" i="46" s="1"/>
  <c r="J449" i="46" s="1"/>
  <c r="H488" i="46"/>
  <c r="K488" i="46" s="1"/>
  <c r="H366" i="46"/>
  <c r="K366" i="46" s="1"/>
  <c r="J366" i="46" s="1"/>
  <c r="H928" i="46"/>
  <c r="H566" i="46"/>
  <c r="K566" i="46" s="1"/>
  <c r="H427" i="46"/>
  <c r="K427" i="46" s="1"/>
  <c r="J427" i="46" s="1"/>
  <c r="H684" i="46"/>
  <c r="H1117" i="46"/>
  <c r="H487" i="46"/>
  <c r="K487" i="46" s="1"/>
  <c r="H1088" i="46"/>
  <c r="K1088" i="46" s="1"/>
  <c r="H691" i="46"/>
  <c r="K691" i="46" s="1"/>
  <c r="H1172" i="46"/>
  <c r="H1098" i="46"/>
  <c r="K1098" i="46" s="1"/>
  <c r="H966" i="46"/>
  <c r="K966" i="46" s="1"/>
  <c r="H853" i="46"/>
  <c r="K853" i="46" s="1"/>
  <c r="H688" i="46"/>
  <c r="K688" i="46" s="1"/>
  <c r="H610" i="46"/>
  <c r="K610" i="46" s="1"/>
  <c r="H441" i="46"/>
  <c r="K441" i="46" s="1"/>
  <c r="J441" i="46" s="1"/>
  <c r="H1112" i="46"/>
  <c r="K1112" i="46" s="1"/>
  <c r="H914" i="46"/>
  <c r="K914" i="46" s="1"/>
  <c r="H810" i="46"/>
  <c r="K810" i="46" s="1"/>
  <c r="H1149" i="46"/>
  <c r="K1149" i="46" s="1"/>
  <c r="H975" i="46"/>
  <c r="K975" i="46" s="1"/>
  <c r="H631" i="46"/>
  <c r="K631" i="46" s="1"/>
  <c r="H564" i="46"/>
  <c r="K564" i="46" s="1"/>
  <c r="H934" i="46"/>
  <c r="H1056" i="46"/>
  <c r="K1056" i="46" s="1"/>
  <c r="H1119" i="46"/>
  <c r="K1119" i="46" s="1"/>
  <c r="H991" i="46"/>
  <c r="K991" i="46" s="1"/>
  <c r="H870" i="46"/>
  <c r="K870" i="46" s="1"/>
  <c r="H792" i="46"/>
  <c r="K792" i="46" s="1"/>
  <c r="H501" i="46"/>
  <c r="H1181" i="46"/>
  <c r="K1181" i="46" s="1"/>
  <c r="H1158" i="46"/>
  <c r="K1158" i="46" s="1"/>
  <c r="H990" i="46"/>
  <c r="K990" i="46" s="1"/>
  <c r="H871" i="46"/>
  <c r="K871" i="46" s="1"/>
  <c r="H732" i="46"/>
  <c r="K732" i="46" s="1"/>
  <c r="H873" i="46"/>
  <c r="H1180" i="46"/>
  <c r="K1180" i="46" s="1"/>
  <c r="H905" i="46"/>
  <c r="K905" i="46" s="1"/>
  <c r="H1179" i="46"/>
  <c r="H1173" i="46"/>
  <c r="K1173" i="46" s="1"/>
  <c r="H1054" i="46"/>
  <c r="K1054" i="46" s="1"/>
  <c r="H1050" i="46"/>
  <c r="H976" i="46"/>
  <c r="K976" i="46" s="1"/>
  <c r="H937" i="46"/>
  <c r="K937" i="46" s="1"/>
  <c r="H661" i="46"/>
  <c r="K661" i="46" s="1"/>
  <c r="H562" i="46"/>
  <c r="H548" i="46"/>
  <c r="K548" i="46" s="1"/>
  <c r="H722" i="46"/>
  <c r="K722" i="46" s="1"/>
  <c r="H549" i="46"/>
  <c r="K549" i="46" s="1"/>
  <c r="H995" i="46"/>
  <c r="K995" i="46" s="1"/>
  <c r="H752" i="46"/>
  <c r="K752" i="46" s="1"/>
  <c r="H1113" i="46"/>
  <c r="K1113" i="46" s="1"/>
  <c r="H992" i="46"/>
  <c r="K992" i="46" s="1"/>
  <c r="H930" i="46"/>
  <c r="K930" i="46" s="1"/>
  <c r="H783" i="46"/>
  <c r="K783" i="46" s="1"/>
  <c r="H503" i="46"/>
  <c r="K503" i="46" s="1"/>
  <c r="H1175" i="46"/>
  <c r="K1175" i="46" s="1"/>
  <c r="H1159" i="46"/>
  <c r="K1159" i="46" s="1"/>
  <c r="H1027" i="46"/>
  <c r="K1027" i="46" s="1"/>
  <c r="H868" i="46"/>
  <c r="K868" i="46" s="1"/>
  <c r="H815" i="46"/>
  <c r="K815" i="46" s="1"/>
  <c r="H807" i="46"/>
  <c r="K807" i="46" s="1"/>
  <c r="H753" i="46"/>
  <c r="H693" i="46"/>
  <c r="K693" i="46" s="1"/>
  <c r="H670" i="46"/>
  <c r="K670" i="46" s="1"/>
  <c r="H571" i="46"/>
  <c r="K571" i="46" s="1"/>
  <c r="H539" i="46"/>
  <c r="K539" i="46" s="1"/>
  <c r="H448" i="46"/>
  <c r="H381" i="46"/>
  <c r="K381" i="46" s="1"/>
  <c r="J381" i="46" s="1"/>
  <c r="H509" i="46"/>
  <c r="K509" i="46" s="1"/>
  <c r="H383" i="46"/>
  <c r="K383" i="46" s="1"/>
  <c r="J383" i="46" s="1"/>
  <c r="H600" i="46"/>
  <c r="K600" i="46" s="1"/>
  <c r="H751" i="46"/>
  <c r="K751" i="46" s="1"/>
  <c r="H507" i="46"/>
  <c r="H440" i="46"/>
  <c r="H1036" i="46"/>
  <c r="K1036" i="46" s="1"/>
  <c r="H929" i="46"/>
  <c r="K929" i="46" s="1"/>
  <c r="H876" i="46"/>
  <c r="K876" i="46" s="1"/>
  <c r="H854" i="46"/>
  <c r="K854" i="46" s="1"/>
  <c r="H793" i="46"/>
  <c r="K793" i="46" s="1"/>
  <c r="H812" i="46"/>
  <c r="H1118" i="46"/>
  <c r="K1118" i="46" s="1"/>
  <c r="H1052" i="46"/>
  <c r="K1052" i="46" s="1"/>
  <c r="H931" i="46"/>
  <c r="K931" i="46" s="1"/>
  <c r="H806" i="46"/>
  <c r="H442" i="46"/>
  <c r="K442" i="46" s="1"/>
  <c r="J442" i="46" s="1"/>
  <c r="H1053" i="46"/>
  <c r="K1053" i="46" s="1"/>
  <c r="H1059" i="46"/>
  <c r="K1059" i="46" s="1"/>
  <c r="H997" i="46"/>
  <c r="H915" i="46"/>
  <c r="K915" i="46" s="1"/>
  <c r="H386" i="46"/>
  <c r="K386" i="46" s="1"/>
  <c r="J386" i="46" s="1"/>
  <c r="H379" i="46"/>
  <c r="H685" i="46"/>
  <c r="K685" i="46" s="1"/>
  <c r="H382" i="46"/>
  <c r="K382" i="46" s="1"/>
  <c r="J382" i="46" s="1"/>
  <c r="H874" i="46"/>
  <c r="K874" i="46" s="1"/>
  <c r="H1037" i="46"/>
  <c r="K1037" i="46" s="1"/>
  <c r="H690" i="46"/>
  <c r="H1114" i="46"/>
  <c r="K1114" i="46" s="1"/>
  <c r="H932" i="46"/>
  <c r="K932" i="46" s="1"/>
  <c r="H686" i="46"/>
  <c r="K686" i="46" s="1"/>
  <c r="H565" i="46"/>
  <c r="K565" i="46" s="1"/>
  <c r="H504" i="46"/>
  <c r="K504" i="46" s="1"/>
  <c r="H508" i="46"/>
  <c r="K508" i="46" s="1"/>
  <c r="H627" i="46"/>
  <c r="K627" i="46" s="1"/>
  <c r="H417" i="46"/>
  <c r="K417" i="46" s="1"/>
  <c r="J417" i="46" s="1"/>
  <c r="H356" i="46"/>
  <c r="K356" i="46" s="1"/>
  <c r="J356" i="46" s="1"/>
  <c r="H447" i="46"/>
  <c r="K447" i="46" s="1"/>
  <c r="J447" i="46" s="1"/>
  <c r="H570" i="46"/>
  <c r="K570" i="46" s="1"/>
  <c r="H380" i="46"/>
  <c r="K380" i="46" s="1"/>
  <c r="J380" i="46" s="1"/>
  <c r="H446" i="46"/>
  <c r="K446" i="46" s="1"/>
  <c r="J446" i="46" s="1"/>
  <c r="H814" i="46"/>
  <c r="K814" i="46" s="1"/>
  <c r="H1057" i="46"/>
  <c r="K1057" i="46" s="1"/>
  <c r="H808" i="46"/>
  <c r="K808" i="46" s="1"/>
  <c r="H625" i="46"/>
  <c r="K625" i="46" s="1"/>
  <c r="H1051" i="46"/>
  <c r="K1051" i="46" s="1"/>
  <c r="H936" i="46"/>
  <c r="K936" i="46" s="1"/>
  <c r="H749" i="46"/>
  <c r="K749" i="46" s="1"/>
  <c r="H745" i="46"/>
  <c r="H671" i="46"/>
  <c r="K671" i="46" s="1"/>
  <c r="H623" i="46"/>
  <c r="H563" i="46"/>
  <c r="K563" i="46" s="1"/>
  <c r="H444" i="46"/>
  <c r="K444" i="46" s="1"/>
  <c r="J444" i="46" s="1"/>
  <c r="H426" i="46"/>
  <c r="K426" i="46" s="1"/>
  <c r="J426" i="46" s="1"/>
  <c r="H388" i="46"/>
  <c r="K388" i="46" s="1"/>
  <c r="J388" i="46" s="1"/>
  <c r="H365" i="46"/>
  <c r="K365" i="46" s="1"/>
  <c r="J365" i="46" s="1"/>
  <c r="H1097" i="46"/>
  <c r="K1097" i="46" s="1"/>
  <c r="H996" i="46"/>
  <c r="K996" i="46" s="1"/>
  <c r="H867" i="46"/>
  <c r="H1176" i="46"/>
  <c r="K1176" i="46" s="1"/>
  <c r="H809" i="46"/>
  <c r="K809" i="46" s="1"/>
  <c r="H324" i="46"/>
  <c r="H263" i="46"/>
  <c r="H322" i="46"/>
  <c r="K322" i="46" s="1"/>
  <c r="J322" i="46" s="1"/>
  <c r="H243" i="46"/>
  <c r="K243" i="46" s="1"/>
  <c r="J243" i="46" s="1"/>
  <c r="H261" i="46"/>
  <c r="K261" i="46" s="1"/>
  <c r="J261" i="46" s="1"/>
  <c r="H266" i="46"/>
  <c r="K266" i="46" s="1"/>
  <c r="J266" i="46" s="1"/>
  <c r="H318" i="46"/>
  <c r="H244" i="46"/>
  <c r="K244" i="46" s="1"/>
  <c r="J244" i="46" s="1"/>
  <c r="H295" i="46"/>
  <c r="K295" i="46" s="1"/>
  <c r="J295" i="46" s="1"/>
  <c r="H325" i="46"/>
  <c r="K325" i="46" s="1"/>
  <c r="J325" i="46" s="1"/>
  <c r="H327" i="46"/>
  <c r="K327" i="46" s="1"/>
  <c r="J327" i="46" s="1"/>
  <c r="H304" i="46"/>
  <c r="K304" i="46" s="1"/>
  <c r="J304" i="46" s="1"/>
  <c r="H234" i="46"/>
  <c r="K234" i="46" s="1"/>
  <c r="J234" i="46" s="1"/>
  <c r="H319" i="46"/>
  <c r="K319" i="46" s="1"/>
  <c r="J319" i="46" s="1"/>
  <c r="H265" i="46"/>
  <c r="K265" i="46" s="1"/>
  <c r="J265" i="46" s="1"/>
  <c r="H264" i="46"/>
  <c r="K264" i="46" s="1"/>
  <c r="J264" i="46" s="1"/>
  <c r="H258" i="46"/>
  <c r="K258" i="46" s="1"/>
  <c r="J258" i="46" s="1"/>
  <c r="H305" i="46"/>
  <c r="K305" i="46" s="1"/>
  <c r="J305" i="46" s="1"/>
  <c r="H320" i="46"/>
  <c r="K320" i="46" s="1"/>
  <c r="J320" i="46" s="1"/>
  <c r="H260" i="46"/>
  <c r="K260" i="46" s="1"/>
  <c r="J260" i="46" s="1"/>
  <c r="H259" i="46"/>
  <c r="K259" i="46" s="1"/>
  <c r="J259" i="46" s="1"/>
  <c r="H326" i="46"/>
  <c r="K326" i="46" s="1"/>
  <c r="J326" i="46" s="1"/>
  <c r="H257" i="46"/>
  <c r="H321" i="46"/>
  <c r="K321" i="46" s="1"/>
  <c r="J321" i="46" s="1"/>
  <c r="H197" i="46"/>
  <c r="K197" i="46" s="1"/>
  <c r="J197" i="46" s="1"/>
  <c r="H198" i="46"/>
  <c r="K198" i="46" s="1"/>
  <c r="J198" i="46" s="1"/>
  <c r="H199" i="46"/>
  <c r="K199" i="46" s="1"/>
  <c r="J199" i="46" s="1"/>
  <c r="H183" i="46"/>
  <c r="K183" i="46" s="1"/>
  <c r="J183" i="46" s="1"/>
  <c r="H203" i="46"/>
  <c r="K203" i="46" s="1"/>
  <c r="J203" i="46" s="1"/>
  <c r="H173" i="46"/>
  <c r="K173" i="46" s="1"/>
  <c r="J173" i="46" s="1"/>
  <c r="H204" i="46"/>
  <c r="K204" i="46" s="1"/>
  <c r="J204" i="46" s="1"/>
  <c r="H205" i="46"/>
  <c r="K205" i="46" s="1"/>
  <c r="J205" i="46" s="1"/>
  <c r="H202" i="46"/>
  <c r="H196" i="46"/>
  <c r="H200" i="46"/>
  <c r="K200" i="46" s="1"/>
  <c r="J200" i="46" s="1"/>
  <c r="H182" i="46"/>
  <c r="K182" i="46" s="1"/>
  <c r="J182" i="46" s="1"/>
  <c r="E56" i="33"/>
  <c r="F56" i="33" s="1"/>
  <c r="E29" i="33"/>
  <c r="F29" i="33" s="1"/>
  <c r="E38" i="33"/>
  <c r="F38" i="33" s="1"/>
  <c r="E54" i="33"/>
  <c r="F54" i="33" s="1"/>
  <c r="E52" i="33"/>
  <c r="F52" i="33" s="1"/>
  <c r="E62" i="33"/>
  <c r="F62" i="33" s="1"/>
  <c r="E53" i="33"/>
  <c r="F53" i="33" s="1"/>
  <c r="E58" i="33"/>
  <c r="E63" i="33"/>
  <c r="F63" i="33" s="1"/>
  <c r="E55" i="33"/>
  <c r="F55" i="33" s="1"/>
  <c r="E60" i="33"/>
  <c r="F60" i="33" s="1"/>
  <c r="E39" i="33"/>
  <c r="F39" i="33" s="1"/>
  <c r="I30" i="33"/>
  <c r="H544" i="46"/>
  <c r="K545" i="46"/>
  <c r="K544" i="46" s="1"/>
  <c r="K667" i="46"/>
  <c r="K666" i="46" s="1"/>
  <c r="H666" i="46"/>
  <c r="H978" i="46"/>
  <c r="K979" i="46"/>
  <c r="K978" i="46" s="1"/>
  <c r="K735" i="46"/>
  <c r="K734" i="46" s="1"/>
  <c r="H734" i="46"/>
  <c r="K52" i="46"/>
  <c r="J52" i="46" s="1"/>
  <c r="H52" i="46"/>
  <c r="K94" i="46"/>
  <c r="J94" i="46" s="1"/>
  <c r="H94" i="46"/>
  <c r="K91" i="46"/>
  <c r="J91" i="46" s="1"/>
  <c r="H91" i="46"/>
  <c r="G56" i="33"/>
  <c r="I58" i="33"/>
  <c r="H53" i="33"/>
  <c r="G54" i="33"/>
  <c r="H29" i="33"/>
  <c r="H62" i="33"/>
  <c r="I54" i="33"/>
  <c r="H60" i="33"/>
  <c r="I39" i="33"/>
  <c r="I62" i="33"/>
  <c r="H52" i="33"/>
  <c r="G29" i="33"/>
  <c r="G62" i="33"/>
  <c r="H56" i="33"/>
  <c r="H54" i="33"/>
  <c r="H38" i="33"/>
  <c r="G55" i="33"/>
  <c r="I29" i="33"/>
  <c r="H63" i="33"/>
  <c r="G63" i="33"/>
  <c r="G58" i="33"/>
  <c r="G52" i="33"/>
  <c r="G38" i="33"/>
  <c r="H58" i="33"/>
  <c r="I53" i="33"/>
  <c r="I55" i="33"/>
  <c r="G53" i="33"/>
  <c r="H55" i="33"/>
  <c r="I52" i="33"/>
  <c r="I63" i="33"/>
  <c r="I38" i="33"/>
  <c r="G60" i="33"/>
  <c r="H39" i="33"/>
  <c r="G39" i="33"/>
  <c r="I56" i="33"/>
  <c r="I60" i="33"/>
  <c r="E30" i="33"/>
  <c r="F31" i="33"/>
  <c r="F30" i="33" s="1"/>
  <c r="K185" i="46"/>
  <c r="J185" i="46" s="1"/>
  <c r="H300" i="46"/>
  <c r="K301" i="46"/>
  <c r="K297" i="46"/>
  <c r="H296" i="46"/>
  <c r="H917" i="46"/>
  <c r="K918" i="46"/>
  <c r="K917" i="46" s="1"/>
  <c r="K827" i="46"/>
  <c r="K826" i="46" s="1"/>
  <c r="H826" i="46"/>
  <c r="K400" i="46"/>
  <c r="H399" i="46"/>
  <c r="K1029" i="46"/>
  <c r="K1028" i="46" s="1"/>
  <c r="H1028" i="46"/>
  <c r="K766" i="46"/>
  <c r="K765" i="46" s="1"/>
  <c r="H765" i="46"/>
  <c r="K911" i="46"/>
  <c r="K910" i="46" s="1"/>
  <c r="H910" i="46"/>
  <c r="K785" i="46"/>
  <c r="K784" i="46" s="1"/>
  <c r="H784" i="46"/>
  <c r="H551" i="46"/>
  <c r="K552" i="46"/>
  <c r="K551" i="46" s="1"/>
  <c r="K1090" i="46"/>
  <c r="K1089" i="46" s="1"/>
  <c r="H1089" i="46"/>
  <c r="G64" i="29"/>
  <c r="I64" i="29"/>
  <c r="E64" i="29"/>
  <c r="H58" i="29"/>
  <c r="H64" i="29"/>
  <c r="G58" i="29"/>
  <c r="I58" i="29"/>
  <c r="E58" i="29"/>
  <c r="G11" i="29"/>
  <c r="H11" i="29"/>
  <c r="I11" i="29"/>
  <c r="G59" i="17"/>
  <c r="E76" i="17"/>
  <c r="I65" i="17"/>
  <c r="G108" i="17"/>
  <c r="H65" i="17"/>
  <c r="I108" i="17"/>
  <c r="H108" i="17"/>
  <c r="G105" i="17"/>
  <c r="I106" i="17"/>
  <c r="I115" i="17"/>
  <c r="H104" i="17"/>
  <c r="H115" i="17"/>
  <c r="I107" i="17"/>
  <c r="I104" i="17"/>
  <c r="G115" i="17"/>
  <c r="H107" i="17"/>
  <c r="G107" i="17"/>
  <c r="G104" i="17"/>
  <c r="I113" i="17"/>
  <c r="H113" i="17"/>
  <c r="G113" i="17"/>
  <c r="H106" i="17"/>
  <c r="I117" i="17"/>
  <c r="G106" i="17"/>
  <c r="H117" i="17"/>
  <c r="G117" i="17"/>
  <c r="I105" i="17"/>
  <c r="H105" i="17"/>
  <c r="F82" i="17"/>
  <c r="E81" i="17"/>
  <c r="F131" i="17"/>
  <c r="E130" i="17"/>
  <c r="F66" i="17"/>
  <c r="F65" i="17" s="1"/>
  <c r="I51" i="198" s="1"/>
  <c r="L51" i="198" s="1"/>
  <c r="E65" i="17"/>
  <c r="E51" i="198" s="1"/>
  <c r="I59" i="17"/>
  <c r="F40" i="17"/>
  <c r="E39" i="17"/>
  <c r="E48" i="198" s="1"/>
  <c r="F77" i="17"/>
  <c r="G65" i="17"/>
  <c r="E84" i="17"/>
  <c r="F60" i="17"/>
  <c r="F59" i="17" s="1"/>
  <c r="I50" i="198" s="1"/>
  <c r="L50" i="198" s="1"/>
  <c r="E59" i="17"/>
  <c r="E50" i="198" s="1"/>
  <c r="F124" i="17"/>
  <c r="E123" i="17"/>
  <c r="E108" i="17"/>
  <c r="E63" i="198" s="1"/>
  <c r="G19" i="16"/>
  <c r="G15" i="16" s="1"/>
  <c r="F109" i="17"/>
  <c r="H19" i="16" s="1"/>
  <c r="F89" i="17"/>
  <c r="E88" i="17"/>
  <c r="F11" i="29"/>
  <c r="F136" i="17"/>
  <c r="E135" i="17"/>
  <c r="F73" i="17"/>
  <c r="E72" i="17"/>
  <c r="E117" i="17"/>
  <c r="E105" i="17"/>
  <c r="D14" i="24"/>
  <c r="E14" i="24" s="1"/>
  <c r="D12" i="24"/>
  <c r="E12" i="24" s="1"/>
  <c r="E115" i="17"/>
  <c r="E107" i="17"/>
  <c r="E104" i="17"/>
  <c r="E113" i="17"/>
  <c r="E106" i="17"/>
  <c r="H59" i="17"/>
  <c r="E11" i="29"/>
  <c r="G38" i="29"/>
  <c r="E38" i="29"/>
  <c r="E19" i="29"/>
  <c r="I38" i="29"/>
  <c r="H38" i="29"/>
  <c r="G99" i="16"/>
  <c r="H30" i="16"/>
  <c r="H65" i="16"/>
  <c r="G64" i="16"/>
  <c r="H57" i="16"/>
  <c r="H86" i="16"/>
  <c r="H107" i="16"/>
  <c r="H226" i="214" l="1"/>
  <c r="H231" i="214" s="1"/>
  <c r="F113" i="214"/>
  <c r="E491" i="214"/>
  <c r="I491" i="214"/>
  <c r="I367" i="214"/>
  <c r="I553" i="215"/>
  <c r="F412" i="214"/>
  <c r="F417" i="214" s="1"/>
  <c r="I40" i="214"/>
  <c r="I45" i="214" s="1"/>
  <c r="H423" i="214"/>
  <c r="H485" i="214"/>
  <c r="H553" i="214"/>
  <c r="G609" i="214"/>
  <c r="G305" i="214"/>
  <c r="H677" i="215"/>
  <c r="E598" i="214"/>
  <c r="E603" i="214" s="1"/>
  <c r="F498" i="215"/>
  <c r="F684" i="215"/>
  <c r="F429" i="214"/>
  <c r="E485" i="215"/>
  <c r="E671" i="215"/>
  <c r="E684" i="215" s="1"/>
  <c r="F40" i="215"/>
  <c r="F45" i="215" s="1"/>
  <c r="G35" i="158" s="1"/>
  <c r="G57" i="215"/>
  <c r="H71" i="16"/>
  <c r="G367" i="214"/>
  <c r="H491" i="214"/>
  <c r="H361" i="215"/>
  <c r="H609" i="215"/>
  <c r="H226" i="215"/>
  <c r="H231" i="215" s="1"/>
  <c r="I288" i="214"/>
  <c r="I293" i="214" s="1"/>
  <c r="E51" i="215"/>
  <c r="G113" i="214"/>
  <c r="I181" i="214"/>
  <c r="G119" i="214"/>
  <c r="G677" i="214"/>
  <c r="I677" i="215"/>
  <c r="G429" i="215"/>
  <c r="E553" i="214"/>
  <c r="F288" i="214"/>
  <c r="F293" i="214" s="1"/>
  <c r="E677" i="214"/>
  <c r="H474" i="214"/>
  <c r="H479" i="214" s="1"/>
  <c r="G226" i="214"/>
  <c r="G231" i="214" s="1"/>
  <c r="H119" i="215"/>
  <c r="I609" i="215"/>
  <c r="H243" i="215"/>
  <c r="F237" i="214"/>
  <c r="E367" i="214"/>
  <c r="F288" i="215"/>
  <c r="F293" i="215" s="1"/>
  <c r="G43" i="16"/>
  <c r="H491" i="213"/>
  <c r="G181" i="214"/>
  <c r="I119" i="214"/>
  <c r="H113" i="215"/>
  <c r="H126" i="215" s="1"/>
  <c r="G671" i="214"/>
  <c r="G684" i="214" s="1"/>
  <c r="I485" i="215"/>
  <c r="G547" i="215"/>
  <c r="H299" i="215"/>
  <c r="I598" i="215"/>
  <c r="I603" i="215" s="1"/>
  <c r="G412" i="214"/>
  <c r="G417" i="214" s="1"/>
  <c r="E299" i="214"/>
  <c r="E367" i="215"/>
  <c r="F350" i="215"/>
  <c r="F355" i="215" s="1"/>
  <c r="I598" i="214"/>
  <c r="I603" i="214" s="1"/>
  <c r="E64" i="215"/>
  <c r="F35" i="158" s="1"/>
  <c r="I164" i="214"/>
  <c r="I169" i="214" s="1"/>
  <c r="I474" i="214"/>
  <c r="I479" i="214" s="1"/>
  <c r="E412" i="215"/>
  <c r="E417" i="215" s="1"/>
  <c r="G57" i="214"/>
  <c r="I361" i="214"/>
  <c r="I374" i="214" s="1"/>
  <c r="H181" i="214"/>
  <c r="G491" i="215"/>
  <c r="I361" i="215"/>
  <c r="H491" i="215"/>
  <c r="F671" i="214"/>
  <c r="E113" i="214"/>
  <c r="F486" i="214"/>
  <c r="F485" i="214" s="1"/>
  <c r="F498" i="214" s="1"/>
  <c r="E485" i="214"/>
  <c r="E498" i="214" s="1"/>
  <c r="E237" i="215"/>
  <c r="F610" i="215"/>
  <c r="F609" i="215" s="1"/>
  <c r="F622" i="215" s="1"/>
  <c r="E609" i="215"/>
  <c r="E622" i="215" s="1"/>
  <c r="F548" i="215"/>
  <c r="F547" i="215" s="1"/>
  <c r="F560" i="215" s="1"/>
  <c r="E547" i="215"/>
  <c r="E553" i="215"/>
  <c r="H598" i="215"/>
  <c r="H603" i="215" s="1"/>
  <c r="I660" i="214"/>
  <c r="I665" i="214" s="1"/>
  <c r="E40" i="214"/>
  <c r="E45" i="214" s="1"/>
  <c r="E34" i="158" s="1"/>
  <c r="F412" i="215"/>
  <c r="F417" i="215" s="1"/>
  <c r="G120" i="16"/>
  <c r="H598" i="213"/>
  <c r="H603" i="213" s="1"/>
  <c r="H243" i="214"/>
  <c r="G243" i="214"/>
  <c r="H498" i="214"/>
  <c r="I547" i="215"/>
  <c r="I560" i="215" s="1"/>
  <c r="H615" i="215"/>
  <c r="G243" i="215"/>
  <c r="G250" i="215" s="1"/>
  <c r="F362" i="214"/>
  <c r="F361" i="214" s="1"/>
  <c r="E361" i="214"/>
  <c r="E374" i="214" s="1"/>
  <c r="E423" i="215"/>
  <c r="F430" i="215"/>
  <c r="F429" i="215" s="1"/>
  <c r="E429" i="215"/>
  <c r="E436" i="215" s="1"/>
  <c r="G660" i="215"/>
  <c r="G665" i="215" s="1"/>
  <c r="H164" i="215"/>
  <c r="H169" i="215" s="1"/>
  <c r="H660" i="215"/>
  <c r="H665" i="215" s="1"/>
  <c r="E536" i="214"/>
  <c r="E541" i="214" s="1"/>
  <c r="I102" i="215"/>
  <c r="I107" i="215" s="1"/>
  <c r="E474" i="215"/>
  <c r="E479" i="215" s="1"/>
  <c r="H598" i="214"/>
  <c r="H603" i="214" s="1"/>
  <c r="E288" i="215"/>
  <c r="E293" i="215" s="1"/>
  <c r="G175" i="214"/>
  <c r="G188" i="214" s="1"/>
  <c r="I299" i="214"/>
  <c r="I312" i="214" s="1"/>
  <c r="H367" i="215"/>
  <c r="H374" i="215" s="1"/>
  <c r="H305" i="215"/>
  <c r="F299" i="214"/>
  <c r="F182" i="214"/>
  <c r="F181" i="214" s="1"/>
  <c r="E181" i="214"/>
  <c r="F306" i="214"/>
  <c r="F305" i="214" s="1"/>
  <c r="E305" i="214"/>
  <c r="F548" i="214"/>
  <c r="F547" i="214" s="1"/>
  <c r="E547" i="214"/>
  <c r="E560" i="214" s="1"/>
  <c r="E671" i="214"/>
  <c r="E684" i="214" s="1"/>
  <c r="E491" i="215"/>
  <c r="G350" i="214"/>
  <c r="G355" i="214" s="1"/>
  <c r="E164" i="215"/>
  <c r="E169" i="215" s="1"/>
  <c r="G474" i="214"/>
  <c r="G479" i="214" s="1"/>
  <c r="H164" i="214"/>
  <c r="H169" i="214" s="1"/>
  <c r="H40" i="215"/>
  <c r="H45" i="215" s="1"/>
  <c r="I226" i="214"/>
  <c r="I231" i="214" s="1"/>
  <c r="I226" i="215"/>
  <c r="I231" i="215" s="1"/>
  <c r="F164" i="215"/>
  <c r="F169" i="215" s="1"/>
  <c r="H102" i="215"/>
  <c r="H107" i="215" s="1"/>
  <c r="H57" i="215"/>
  <c r="G164" i="214"/>
  <c r="G169" i="214" s="1"/>
  <c r="G367" i="215"/>
  <c r="H429" i="215"/>
  <c r="I305" i="215"/>
  <c r="I312" i="215" s="1"/>
  <c r="H671" i="215"/>
  <c r="H684" i="215" s="1"/>
  <c r="F126" i="215"/>
  <c r="I102" i="214"/>
  <c r="I107" i="214" s="1"/>
  <c r="G288" i="215"/>
  <c r="G293" i="215" s="1"/>
  <c r="E660" i="215"/>
  <c r="E665" i="215" s="1"/>
  <c r="H102" i="214"/>
  <c r="H107" i="214" s="1"/>
  <c r="H350" i="215"/>
  <c r="H355" i="215" s="1"/>
  <c r="E536" i="215"/>
  <c r="E541" i="215" s="1"/>
  <c r="H51" i="214"/>
  <c r="I57" i="215"/>
  <c r="H237" i="214"/>
  <c r="H250" i="214" s="1"/>
  <c r="G423" i="214"/>
  <c r="I243" i="214"/>
  <c r="I429" i="214"/>
  <c r="I615" i="214"/>
  <c r="G615" i="214"/>
  <c r="G361" i="215"/>
  <c r="H671" i="214"/>
  <c r="H684" i="214" s="1"/>
  <c r="G119" i="215"/>
  <c r="G671" i="215"/>
  <c r="I429" i="215"/>
  <c r="I113" i="215"/>
  <c r="I126" i="215" s="1"/>
  <c r="G553" i="215"/>
  <c r="H181" i="215"/>
  <c r="I181" i="215"/>
  <c r="G102" i="215"/>
  <c r="G107" i="215" s="1"/>
  <c r="F554" i="214"/>
  <c r="F553" i="214" s="1"/>
  <c r="F244" i="214"/>
  <c r="F243" i="214" s="1"/>
  <c r="F250" i="214" s="1"/>
  <c r="E243" i="214"/>
  <c r="G164" i="215"/>
  <c r="G169" i="215" s="1"/>
  <c r="H40" i="214"/>
  <c r="H45" i="214" s="1"/>
  <c r="G412" i="215"/>
  <c r="G417" i="215" s="1"/>
  <c r="G536" i="214"/>
  <c r="G541" i="214" s="1"/>
  <c r="G660" i="214"/>
  <c r="G665" i="214" s="1"/>
  <c r="F536" i="215"/>
  <c r="F541" i="215" s="1"/>
  <c r="I51" i="214"/>
  <c r="H436" i="214"/>
  <c r="G361" i="214"/>
  <c r="G547" i="214"/>
  <c r="H609" i="214"/>
  <c r="I671" i="214"/>
  <c r="H175" i="215"/>
  <c r="I175" i="215"/>
  <c r="H485" i="215"/>
  <c r="G423" i="215"/>
  <c r="H547" i="215"/>
  <c r="G677" i="215"/>
  <c r="I622" i="215"/>
  <c r="F40" i="214"/>
  <c r="F45" i="214" s="1"/>
  <c r="G34" i="158" s="1"/>
  <c r="F678" i="214"/>
  <c r="F677" i="214" s="1"/>
  <c r="E237" i="214"/>
  <c r="E423" i="214"/>
  <c r="F610" i="214"/>
  <c r="F609" i="214" s="1"/>
  <c r="E609" i="214"/>
  <c r="F362" i="215"/>
  <c r="F361" i="215" s="1"/>
  <c r="F374" i="215" s="1"/>
  <c r="E361" i="215"/>
  <c r="F182" i="215"/>
  <c r="F181" i="215" s="1"/>
  <c r="E181" i="215"/>
  <c r="G598" i="214"/>
  <c r="G603" i="214" s="1"/>
  <c r="G288" i="214"/>
  <c r="G293" i="214" s="1"/>
  <c r="G226" i="215"/>
  <c r="G231" i="215" s="1"/>
  <c r="H536" i="214"/>
  <c r="H541" i="214" s="1"/>
  <c r="I660" i="215"/>
  <c r="I665" i="215" s="1"/>
  <c r="E164" i="214"/>
  <c r="E169" i="214" s="1"/>
  <c r="H288" i="214"/>
  <c r="H293" i="214" s="1"/>
  <c r="E288" i="214"/>
  <c r="E293" i="214" s="1"/>
  <c r="G57" i="16"/>
  <c r="I237" i="214"/>
  <c r="G299" i="214"/>
  <c r="G312" i="214" s="1"/>
  <c r="H615" i="214"/>
  <c r="H547" i="214"/>
  <c r="I423" i="214"/>
  <c r="I491" i="215"/>
  <c r="F368" i="214"/>
  <c r="F367" i="214" s="1"/>
  <c r="E119" i="215"/>
  <c r="F300" i="215"/>
  <c r="F299" i="215" s="1"/>
  <c r="E299" i="215"/>
  <c r="F176" i="215"/>
  <c r="F175" i="215" s="1"/>
  <c r="F188" i="215" s="1"/>
  <c r="E175" i="215"/>
  <c r="F58" i="214"/>
  <c r="F57" i="214" s="1"/>
  <c r="E57" i="214"/>
  <c r="E102" i="214"/>
  <c r="E107" i="214" s="1"/>
  <c r="H288" i="215"/>
  <c r="H293" i="215" s="1"/>
  <c r="E412" i="214"/>
  <c r="E417" i="214" s="1"/>
  <c r="G536" i="215"/>
  <c r="G541" i="215" s="1"/>
  <c r="H660" i="214"/>
  <c r="H665" i="214" s="1"/>
  <c r="E226" i="214"/>
  <c r="E231" i="214" s="1"/>
  <c r="I412" i="214"/>
  <c r="I417" i="214" s="1"/>
  <c r="H412" i="215"/>
  <c r="H417" i="215" s="1"/>
  <c r="H474" i="215"/>
  <c r="H479" i="215" s="1"/>
  <c r="F164" i="214"/>
  <c r="F169" i="214" s="1"/>
  <c r="I350" i="214"/>
  <c r="I355" i="214" s="1"/>
  <c r="E350" i="214"/>
  <c r="E355" i="214" s="1"/>
  <c r="G474" i="215"/>
  <c r="G479" i="215" s="1"/>
  <c r="H188" i="214"/>
  <c r="I113" i="214"/>
  <c r="I126" i="214" s="1"/>
  <c r="H361" i="214"/>
  <c r="G485" i="214"/>
  <c r="G491" i="214"/>
  <c r="H423" i="215"/>
  <c r="H436" i="215" s="1"/>
  <c r="G113" i="215"/>
  <c r="F436" i="214"/>
  <c r="F436" i="215"/>
  <c r="E429" i="214"/>
  <c r="F120" i="214"/>
  <c r="F119" i="214" s="1"/>
  <c r="F126" i="214" s="1"/>
  <c r="E119" i="214"/>
  <c r="F176" i="214"/>
  <c r="F175" i="214" s="1"/>
  <c r="F188" i="214" s="1"/>
  <c r="E175" i="214"/>
  <c r="E188" i="214" s="1"/>
  <c r="E113" i="215"/>
  <c r="E126" i="215" s="1"/>
  <c r="G350" i="215"/>
  <c r="G355" i="215" s="1"/>
  <c r="F52" i="215"/>
  <c r="F51" i="215" s="1"/>
  <c r="F102" i="214"/>
  <c r="F107" i="214" s="1"/>
  <c r="F226" i="214"/>
  <c r="F231" i="214" s="1"/>
  <c r="E474" i="214"/>
  <c r="E479" i="214" s="1"/>
  <c r="I164" i="215"/>
  <c r="I169" i="215" s="1"/>
  <c r="I536" i="214"/>
  <c r="I541" i="214" s="1"/>
  <c r="F350" i="214"/>
  <c r="F355" i="214" s="1"/>
  <c r="I51" i="215"/>
  <c r="I64" i="215" s="1"/>
  <c r="H299" i="214"/>
  <c r="H312" i="214" s="1"/>
  <c r="H119" i="214"/>
  <c r="G429" i="214"/>
  <c r="G181" i="215"/>
  <c r="I547" i="214"/>
  <c r="H237" i="215"/>
  <c r="I237" i="215"/>
  <c r="G305" i="215"/>
  <c r="G312" i="215" s="1"/>
  <c r="G609" i="215"/>
  <c r="H536" i="215"/>
  <c r="H541" i="215" s="1"/>
  <c r="H350" i="214"/>
  <c r="H355" i="214" s="1"/>
  <c r="F536" i="214"/>
  <c r="F541" i="214" s="1"/>
  <c r="F51" i="214"/>
  <c r="E51" i="214"/>
  <c r="E64" i="214" s="1"/>
  <c r="F34" i="158" s="1"/>
  <c r="F598" i="214"/>
  <c r="F603" i="214" s="1"/>
  <c r="E226" i="215"/>
  <c r="E231" i="215" s="1"/>
  <c r="F598" i="215"/>
  <c r="F603" i="215" s="1"/>
  <c r="H412" i="214"/>
  <c r="H417" i="214" s="1"/>
  <c r="F474" i="215"/>
  <c r="F479" i="215" s="1"/>
  <c r="H57" i="214"/>
  <c r="H51" i="215"/>
  <c r="H64" i="215" s="1"/>
  <c r="I485" i="214"/>
  <c r="I243" i="215"/>
  <c r="I677" i="214"/>
  <c r="G553" i="214"/>
  <c r="I423" i="215"/>
  <c r="G615" i="215"/>
  <c r="H553" i="215"/>
  <c r="G485" i="215"/>
  <c r="G498" i="215" s="1"/>
  <c r="F616" i="214"/>
  <c r="F615" i="214" s="1"/>
  <c r="E615" i="214"/>
  <c r="F244" i="215"/>
  <c r="F243" i="215" s="1"/>
  <c r="F250" i="215" s="1"/>
  <c r="E243" i="215"/>
  <c r="I40" i="215"/>
  <c r="I45" i="215" s="1"/>
  <c r="E102" i="215"/>
  <c r="E107" i="215" s="1"/>
  <c r="F58" i="215"/>
  <c r="F57" i="215" s="1"/>
  <c r="I536" i="215"/>
  <c r="I541" i="215" s="1"/>
  <c r="F226" i="215"/>
  <c r="F231" i="215" s="1"/>
  <c r="I474" i="215"/>
  <c r="I479" i="215" s="1"/>
  <c r="I57" i="214"/>
  <c r="H367" i="214"/>
  <c r="H113" i="214"/>
  <c r="H126" i="214" s="1"/>
  <c r="G237" i="214"/>
  <c r="G250" i="214" s="1"/>
  <c r="I175" i="214"/>
  <c r="I188" i="214" s="1"/>
  <c r="G175" i="215"/>
  <c r="I553" i="214"/>
  <c r="I367" i="215"/>
  <c r="I609" i="214"/>
  <c r="I622" i="214" s="1"/>
  <c r="I671" i="215"/>
  <c r="I684" i="215" s="1"/>
  <c r="F306" i="215"/>
  <c r="F305" i="215" s="1"/>
  <c r="E305" i="215"/>
  <c r="F102" i="215"/>
  <c r="F107" i="215" s="1"/>
  <c r="E350" i="215"/>
  <c r="E355" i="215" s="1"/>
  <c r="F474" i="214"/>
  <c r="F479" i="214" s="1"/>
  <c r="G102" i="214"/>
  <c r="G107" i="214" s="1"/>
  <c r="E40" i="215"/>
  <c r="E45" i="215" s="1"/>
  <c r="E35" i="158" s="1"/>
  <c r="G51" i="214"/>
  <c r="G51" i="215"/>
  <c r="G64" i="215" s="1"/>
  <c r="G50" i="16"/>
  <c r="K399" i="46"/>
  <c r="J399" i="46" s="1"/>
  <c r="J400" i="46"/>
  <c r="K352" i="46"/>
  <c r="J352" i="46" s="1"/>
  <c r="J353" i="46"/>
  <c r="K296" i="46"/>
  <c r="J296" i="46" s="1"/>
  <c r="J297" i="46"/>
  <c r="K357" i="46"/>
  <c r="J357" i="46" s="1"/>
  <c r="J358" i="46"/>
  <c r="K277" i="46"/>
  <c r="J277" i="46" s="1"/>
  <c r="J278" i="46"/>
  <c r="K300" i="46"/>
  <c r="J300" i="46" s="1"/>
  <c r="J301" i="46"/>
  <c r="K422" i="46"/>
  <c r="J422" i="46" s="1"/>
  <c r="J423" i="46"/>
  <c r="K368" i="46"/>
  <c r="J368" i="46" s="1"/>
  <c r="J371" i="46"/>
  <c r="I119" i="213"/>
  <c r="I226" i="213"/>
  <c r="I231" i="213" s="1"/>
  <c r="K307" i="46"/>
  <c r="J307" i="46" s="1"/>
  <c r="J308" i="46"/>
  <c r="K338" i="46"/>
  <c r="J338" i="46" s="1"/>
  <c r="J339" i="46"/>
  <c r="K413" i="46"/>
  <c r="J413" i="46" s="1"/>
  <c r="J414" i="46"/>
  <c r="K429" i="46"/>
  <c r="J429" i="46" s="1"/>
  <c r="J430" i="46"/>
  <c r="K361" i="46"/>
  <c r="J361" i="46" s="1"/>
  <c r="J362" i="46"/>
  <c r="K418" i="46"/>
  <c r="J418" i="46" s="1"/>
  <c r="J419" i="46"/>
  <c r="K291" i="46"/>
  <c r="J291" i="46" s="1"/>
  <c r="J292" i="46"/>
  <c r="I536" i="213"/>
  <c r="I541" i="213" s="1"/>
  <c r="I40" i="213"/>
  <c r="I45" i="213" s="1"/>
  <c r="I237" i="213"/>
  <c r="H423" i="213"/>
  <c r="H609" i="213"/>
  <c r="H305" i="213"/>
  <c r="I367" i="213"/>
  <c r="H175" i="213"/>
  <c r="I671" i="213"/>
  <c r="G423" i="213"/>
  <c r="G113" i="213"/>
  <c r="H485" i="213"/>
  <c r="H498" i="213" s="1"/>
  <c r="I491" i="213"/>
  <c r="G553" i="213"/>
  <c r="H288" i="213"/>
  <c r="H293" i="213" s="1"/>
  <c r="I361" i="213"/>
  <c r="H119" i="213"/>
  <c r="E226" i="213"/>
  <c r="E231" i="213" s="1"/>
  <c r="I677" i="213"/>
  <c r="G51" i="213"/>
  <c r="G474" i="213"/>
  <c r="G479" i="213" s="1"/>
  <c r="K239" i="46"/>
  <c r="J239" i="46" s="1"/>
  <c r="J240" i="46"/>
  <c r="G361" i="213"/>
  <c r="H299" i="213"/>
  <c r="I547" i="213"/>
  <c r="G671" i="213"/>
  <c r="F598" i="213"/>
  <c r="F603" i="213" s="1"/>
  <c r="E677" i="213"/>
  <c r="F678" i="213"/>
  <c r="F677" i="213" s="1"/>
  <c r="F430" i="213"/>
  <c r="F429" i="213" s="1"/>
  <c r="E429" i="213"/>
  <c r="I660" i="213"/>
  <c r="I665" i="213" s="1"/>
  <c r="F536" i="213"/>
  <c r="F541" i="213" s="1"/>
  <c r="G288" i="213"/>
  <c r="G293" i="213" s="1"/>
  <c r="F288" i="213"/>
  <c r="F293" i="213" s="1"/>
  <c r="H113" i="213"/>
  <c r="G119" i="213"/>
  <c r="G677" i="213"/>
  <c r="H367" i="213"/>
  <c r="H553" i="213"/>
  <c r="G485" i="213"/>
  <c r="G181" i="213"/>
  <c r="G547" i="213"/>
  <c r="G429" i="213"/>
  <c r="I164" i="213"/>
  <c r="I169" i="213" s="1"/>
  <c r="E412" i="213"/>
  <c r="E417" i="213" s="1"/>
  <c r="F300" i="213"/>
  <c r="F299" i="213" s="1"/>
  <c r="E299" i="213"/>
  <c r="I412" i="213"/>
  <c r="I417" i="213" s="1"/>
  <c r="I288" i="213"/>
  <c r="I293" i="213" s="1"/>
  <c r="F226" i="213"/>
  <c r="F231" i="213" s="1"/>
  <c r="K230" i="46"/>
  <c r="J230" i="46" s="1"/>
  <c r="J231" i="46"/>
  <c r="G412" i="213"/>
  <c r="G417" i="213" s="1"/>
  <c r="G305" i="213"/>
  <c r="H237" i="213"/>
  <c r="I615" i="213"/>
  <c r="H671" i="213"/>
  <c r="I485" i="213"/>
  <c r="H181" i="213"/>
  <c r="H615" i="213"/>
  <c r="F412" i="213"/>
  <c r="F417" i="213" s="1"/>
  <c r="F368" i="213"/>
  <c r="F367" i="213" s="1"/>
  <c r="E367" i="213"/>
  <c r="F176" i="213"/>
  <c r="F175" i="213" s="1"/>
  <c r="E175" i="213"/>
  <c r="F492" i="213"/>
  <c r="F491" i="213" s="1"/>
  <c r="E491" i="213"/>
  <c r="E40" i="213"/>
  <c r="E45" i="213" s="1"/>
  <c r="E33" i="158" s="1"/>
  <c r="G57" i="213"/>
  <c r="I305" i="213"/>
  <c r="I299" i="213"/>
  <c r="I181" i="213"/>
  <c r="G237" i="213"/>
  <c r="I429" i="213"/>
  <c r="E660" i="213"/>
  <c r="E665" i="213" s="1"/>
  <c r="F554" i="213"/>
  <c r="F553" i="213" s="1"/>
  <c r="E553" i="213"/>
  <c r="F548" i="213"/>
  <c r="F547" i="213" s="1"/>
  <c r="E547" i="213"/>
  <c r="F40" i="213"/>
  <c r="F45" i="213" s="1"/>
  <c r="G33" i="158" s="1"/>
  <c r="K174" i="46"/>
  <c r="J174" i="46" s="1"/>
  <c r="J175" i="46"/>
  <c r="K235" i="46"/>
  <c r="J235" i="46" s="1"/>
  <c r="J236" i="46"/>
  <c r="G299" i="213"/>
  <c r="H677" i="213"/>
  <c r="H243" i="213"/>
  <c r="H547" i="213"/>
  <c r="F660" i="213"/>
  <c r="F665" i="213" s="1"/>
  <c r="E485" i="213"/>
  <c r="F486" i="213"/>
  <c r="F485" i="213" s="1"/>
  <c r="G164" i="213"/>
  <c r="G169" i="213" s="1"/>
  <c r="E474" i="213"/>
  <c r="E479" i="213" s="1"/>
  <c r="H102" i="213"/>
  <c r="H107" i="213" s="1"/>
  <c r="G226" i="213"/>
  <c r="G231" i="213" s="1"/>
  <c r="I51" i="213"/>
  <c r="H412" i="213"/>
  <c r="H417" i="213" s="1"/>
  <c r="G175" i="213"/>
  <c r="I423" i="213"/>
  <c r="G615" i="213"/>
  <c r="F114" i="213"/>
  <c r="F113" i="213" s="1"/>
  <c r="E113" i="213"/>
  <c r="E51" i="213"/>
  <c r="F52" i="213"/>
  <c r="F51" i="213" s="1"/>
  <c r="G350" i="213"/>
  <c r="G355" i="213" s="1"/>
  <c r="F474" i="213"/>
  <c r="F479" i="213" s="1"/>
  <c r="H40" i="213"/>
  <c r="H45" i="213" s="1"/>
  <c r="H474" i="213"/>
  <c r="H479" i="213" s="1"/>
  <c r="H57" i="213"/>
  <c r="G102" i="213"/>
  <c r="G107" i="213" s="1"/>
  <c r="K155" i="46"/>
  <c r="J155" i="46" s="1"/>
  <c r="J156" i="46"/>
  <c r="E361" i="213"/>
  <c r="F362" i="213"/>
  <c r="F361" i="213" s="1"/>
  <c r="F616" i="213"/>
  <c r="F615" i="213" s="1"/>
  <c r="E615" i="213"/>
  <c r="G243" i="213"/>
  <c r="I243" i="213"/>
  <c r="G609" i="213"/>
  <c r="H429" i="213"/>
  <c r="H164" i="213"/>
  <c r="H169" i="213" s="1"/>
  <c r="F672" i="213"/>
  <c r="F671" i="213" s="1"/>
  <c r="E671" i="213"/>
  <c r="E684" i="213" s="1"/>
  <c r="F610" i="213"/>
  <c r="F609" i="213" s="1"/>
  <c r="E609" i="213"/>
  <c r="I102" i="213"/>
  <c r="I107" i="213" s="1"/>
  <c r="G660" i="213"/>
  <c r="G665" i="213" s="1"/>
  <c r="I474" i="213"/>
  <c r="I479" i="213" s="1"/>
  <c r="F164" i="213"/>
  <c r="F169" i="213" s="1"/>
  <c r="I598" i="213"/>
  <c r="I603" i="213" s="1"/>
  <c r="K216" i="46"/>
  <c r="J216" i="46" s="1"/>
  <c r="J217" i="46"/>
  <c r="I113" i="213"/>
  <c r="H361" i="213"/>
  <c r="I609" i="213"/>
  <c r="F120" i="213"/>
  <c r="F119" i="213" s="1"/>
  <c r="E119" i="213"/>
  <c r="F424" i="213"/>
  <c r="F423" i="213" s="1"/>
  <c r="F436" i="213" s="1"/>
  <c r="E423" i="213"/>
  <c r="E436" i="213" s="1"/>
  <c r="F182" i="213"/>
  <c r="F181" i="213" s="1"/>
  <c r="E181" i="213"/>
  <c r="H226" i="213"/>
  <c r="H231" i="213" s="1"/>
  <c r="H660" i="213"/>
  <c r="H665" i="213" s="1"/>
  <c r="E350" i="213"/>
  <c r="E355" i="213" s="1"/>
  <c r="G598" i="213"/>
  <c r="G603" i="213" s="1"/>
  <c r="I553" i="213"/>
  <c r="E305" i="213"/>
  <c r="F306" i="213"/>
  <c r="F305" i="213" s="1"/>
  <c r="E57" i="213"/>
  <c r="F58" i="213"/>
  <c r="F57" i="213" s="1"/>
  <c r="H536" i="213"/>
  <c r="H541" i="213" s="1"/>
  <c r="F350" i="213"/>
  <c r="F355" i="213" s="1"/>
  <c r="F102" i="213"/>
  <c r="F107" i="213" s="1"/>
  <c r="H51" i="213"/>
  <c r="I175" i="213"/>
  <c r="F238" i="213"/>
  <c r="F237" i="213" s="1"/>
  <c r="E237" i="213"/>
  <c r="G536" i="213"/>
  <c r="G541" i="213" s="1"/>
  <c r="E102" i="213"/>
  <c r="E107" i="213" s="1"/>
  <c r="I57" i="213"/>
  <c r="G40" i="213"/>
  <c r="G45" i="213" s="1"/>
  <c r="K246" i="46"/>
  <c r="J246" i="46" s="1"/>
  <c r="J247" i="46"/>
  <c r="G367" i="213"/>
  <c r="G491" i="213"/>
  <c r="E598" i="213"/>
  <c r="E603" i="213" s="1"/>
  <c r="E243" i="213"/>
  <c r="F244" i="213"/>
  <c r="F243" i="213" s="1"/>
  <c r="E164" i="213"/>
  <c r="E169" i="213" s="1"/>
  <c r="H350" i="213"/>
  <c r="H355" i="213" s="1"/>
  <c r="E293" i="213"/>
  <c r="E536" i="213"/>
  <c r="E541" i="213" s="1"/>
  <c r="I350" i="213"/>
  <c r="I355" i="213" s="1"/>
  <c r="I2651" i="29"/>
  <c r="G677" i="33"/>
  <c r="E598" i="33"/>
  <c r="E603" i="33" s="1"/>
  <c r="F412" i="33"/>
  <c r="F417" i="33" s="1"/>
  <c r="E412" i="33"/>
  <c r="E417" i="33" s="1"/>
  <c r="G2651" i="29"/>
  <c r="G598" i="33"/>
  <c r="G603" i="33" s="1"/>
  <c r="G1279" i="29"/>
  <c r="G569" i="29"/>
  <c r="F350" i="33"/>
  <c r="F355" i="33" s="1"/>
  <c r="E429" i="33"/>
  <c r="F1231" i="29"/>
  <c r="F226" i="33"/>
  <c r="F231" i="33" s="1"/>
  <c r="H485" i="33"/>
  <c r="F2951" i="29"/>
  <c r="F2241" i="29"/>
  <c r="G1089" i="29"/>
  <c r="H367" i="33"/>
  <c r="H609" i="33"/>
  <c r="H2367" i="29"/>
  <c r="F615" i="33"/>
  <c r="I2699" i="29"/>
  <c r="F430" i="33"/>
  <c r="F429" i="33" s="1"/>
  <c r="G491" i="33"/>
  <c r="F2525" i="29"/>
  <c r="H379" i="29"/>
  <c r="F367" i="33"/>
  <c r="F474" i="33"/>
  <c r="F479" i="33" s="1"/>
  <c r="E288" i="33"/>
  <c r="E293" i="33" s="1"/>
  <c r="I226" i="33"/>
  <c r="I231" i="33" s="1"/>
  <c r="F598" i="33"/>
  <c r="F603" i="33" s="1"/>
  <c r="I2983" i="29"/>
  <c r="F1531" i="29"/>
  <c r="F547" i="33"/>
  <c r="G1421" i="29"/>
  <c r="G412" i="33"/>
  <c r="G417" i="33" s="1"/>
  <c r="H660" i="33"/>
  <c r="H665" i="33" s="1"/>
  <c r="F485" i="33"/>
  <c r="I2509" i="29"/>
  <c r="F2099" i="29"/>
  <c r="F491" i="33"/>
  <c r="F175" i="33"/>
  <c r="H671" i="33"/>
  <c r="H361" i="33"/>
  <c r="F288" i="33"/>
  <c r="F293" i="33" s="1"/>
  <c r="H474" i="33"/>
  <c r="H479" i="33" s="1"/>
  <c r="I350" i="33"/>
  <c r="I355" i="33" s="1"/>
  <c r="H226" i="33"/>
  <c r="H231" i="33" s="1"/>
  <c r="G367" i="33"/>
  <c r="H1137" i="29"/>
  <c r="F660" i="33"/>
  <c r="F665" i="33" s="1"/>
  <c r="G536" i="33"/>
  <c r="G541" i="33" s="1"/>
  <c r="I412" i="33"/>
  <c r="I417" i="33" s="1"/>
  <c r="H598" i="33"/>
  <c r="H603" i="33" s="1"/>
  <c r="F536" i="33"/>
  <c r="F541" i="33" s="1"/>
  <c r="H412" i="33"/>
  <c r="H417" i="33" s="1"/>
  <c r="I288" i="33"/>
  <c r="I293" i="33" s="1"/>
  <c r="E853" i="29"/>
  <c r="I181" i="33"/>
  <c r="F677" i="33"/>
  <c r="G350" i="33"/>
  <c r="G355" i="33" s="1"/>
  <c r="I521" i="29"/>
  <c r="G954" i="29"/>
  <c r="H299" i="33"/>
  <c r="E361" i="33"/>
  <c r="F553" i="33"/>
  <c r="F2667" i="29"/>
  <c r="I553" i="33"/>
  <c r="I677" i="33"/>
  <c r="I361" i="33"/>
  <c r="F305" i="33"/>
  <c r="I598" i="33"/>
  <c r="I603" i="33" s="1"/>
  <c r="I1279" i="29"/>
  <c r="E474" i="33"/>
  <c r="E479" i="33" s="1"/>
  <c r="H423" i="33"/>
  <c r="H491" i="33"/>
  <c r="G361" i="33"/>
  <c r="G553" i="33"/>
  <c r="F164" i="33"/>
  <c r="F169" i="33" s="1"/>
  <c r="I671" i="33"/>
  <c r="H350" i="33"/>
  <c r="H355" i="33" s="1"/>
  <c r="F243" i="33"/>
  <c r="H2557" i="29"/>
  <c r="G485" i="33"/>
  <c r="G609" i="33"/>
  <c r="G615" i="33"/>
  <c r="F423" i="33"/>
  <c r="E491" i="33"/>
  <c r="I660" i="33"/>
  <c r="I665" i="33" s="1"/>
  <c r="I547" i="33"/>
  <c r="G237" i="33"/>
  <c r="H243" i="33"/>
  <c r="I305" i="33"/>
  <c r="I615" i="33"/>
  <c r="G423" i="33"/>
  <c r="F181" i="33"/>
  <c r="E547" i="33"/>
  <c r="E181" i="33"/>
  <c r="E671" i="33"/>
  <c r="E175" i="33"/>
  <c r="E367" i="33"/>
  <c r="G288" i="33"/>
  <c r="G293" i="33" s="1"/>
  <c r="H288" i="33"/>
  <c r="H293" i="33" s="1"/>
  <c r="E350" i="33"/>
  <c r="E355" i="33" s="1"/>
  <c r="I474" i="33"/>
  <c r="I479" i="33" s="1"/>
  <c r="H181" i="33"/>
  <c r="I243" i="33"/>
  <c r="G181" i="33"/>
  <c r="G175" i="33"/>
  <c r="I485" i="33"/>
  <c r="G474" i="33"/>
  <c r="G479" i="33" s="1"/>
  <c r="F238" i="33"/>
  <c r="F237" i="33" s="1"/>
  <c r="E237" i="33"/>
  <c r="E305" i="33"/>
  <c r="E485" i="33"/>
  <c r="E2983" i="29"/>
  <c r="G660" i="33"/>
  <c r="G665" i="33" s="1"/>
  <c r="H305" i="33"/>
  <c r="G243" i="33"/>
  <c r="H164" i="33"/>
  <c r="H169" i="33" s="1"/>
  <c r="I164" i="33"/>
  <c r="I169" i="33" s="1"/>
  <c r="E226" i="33"/>
  <c r="E231" i="33" s="1"/>
  <c r="I367" i="33"/>
  <c r="I175" i="33"/>
  <c r="I299" i="33"/>
  <c r="G299" i="33"/>
  <c r="G305" i="33"/>
  <c r="E299" i="33"/>
  <c r="E609" i="33"/>
  <c r="E553" i="33"/>
  <c r="H237" i="33"/>
  <c r="G547" i="33"/>
  <c r="I429" i="33"/>
  <c r="F671" i="33"/>
  <c r="G164" i="33"/>
  <c r="G169" i="33" s="1"/>
  <c r="H536" i="33"/>
  <c r="H541" i="33" s="1"/>
  <c r="H429" i="33"/>
  <c r="I423" i="33"/>
  <c r="G671" i="33"/>
  <c r="E536" i="33"/>
  <c r="E541" i="33" s="1"/>
  <c r="E243" i="33"/>
  <c r="E164" i="33"/>
  <c r="E169" i="33" s="1"/>
  <c r="G226" i="33"/>
  <c r="G231" i="33" s="1"/>
  <c r="E615" i="33"/>
  <c r="I237" i="33"/>
  <c r="H547" i="33"/>
  <c r="I609" i="33"/>
  <c r="F362" i="33"/>
  <c r="F361" i="33" s="1"/>
  <c r="E677" i="33"/>
  <c r="I536" i="33"/>
  <c r="I541" i="33" s="1"/>
  <c r="H175" i="33"/>
  <c r="I491" i="33"/>
  <c r="H553" i="33"/>
  <c r="G429" i="33"/>
  <c r="H615" i="33"/>
  <c r="H677" i="33"/>
  <c r="E660" i="33"/>
  <c r="E665" i="33" s="1"/>
  <c r="F299" i="33"/>
  <c r="F609" i="33"/>
  <c r="E423" i="33"/>
  <c r="F2841" i="29"/>
  <c r="I1632" i="29"/>
  <c r="I2841" i="29"/>
  <c r="G1847" i="29"/>
  <c r="F1815" i="29"/>
  <c r="I2367" i="29"/>
  <c r="G922" i="29"/>
  <c r="I1105" i="29"/>
  <c r="I2232" i="29"/>
  <c r="H2667" i="29"/>
  <c r="I1806" i="29"/>
  <c r="E2415" i="29"/>
  <c r="G2342" i="29"/>
  <c r="H2415" i="29"/>
  <c r="E2083" i="29"/>
  <c r="E1231" i="29"/>
  <c r="E1137" i="29"/>
  <c r="I1231" i="29"/>
  <c r="H1373" i="29"/>
  <c r="E2841" i="29"/>
  <c r="H1705" i="29"/>
  <c r="E995" i="29"/>
  <c r="G1231" i="29"/>
  <c r="F1105" i="29"/>
  <c r="G2083" i="29"/>
  <c r="H1279" i="29"/>
  <c r="F2383" i="29"/>
  <c r="G2058" i="29"/>
  <c r="I1563" i="29"/>
  <c r="F1563" i="29"/>
  <c r="I2083" i="29"/>
  <c r="G427" i="29"/>
  <c r="E379" i="29"/>
  <c r="F638" i="29"/>
  <c r="G2983" i="29"/>
  <c r="F2200" i="29"/>
  <c r="H521" i="29"/>
  <c r="G1515" i="29"/>
  <c r="F2557" i="29"/>
  <c r="H1632" i="29"/>
  <c r="F1243" i="29"/>
  <c r="F1238" i="29" s="1"/>
  <c r="I711" i="29"/>
  <c r="F2415" i="29"/>
  <c r="H1799" i="29"/>
  <c r="H1957" i="29"/>
  <c r="E1941" i="29"/>
  <c r="G2509" i="29"/>
  <c r="H1231" i="29"/>
  <c r="I569" i="29"/>
  <c r="I1247" i="29"/>
  <c r="H64" i="16"/>
  <c r="G2935" i="29"/>
  <c r="E1705" i="29"/>
  <c r="F1421" i="29"/>
  <c r="F2983" i="29"/>
  <c r="G2525" i="29"/>
  <c r="H2131" i="29"/>
  <c r="G2557" i="29"/>
  <c r="I1373" i="29"/>
  <c r="H1941" i="29"/>
  <c r="F2651" i="29"/>
  <c r="I2910" i="29"/>
  <c r="F711" i="29"/>
  <c r="H805" i="29"/>
  <c r="H679" i="29"/>
  <c r="G812" i="29"/>
  <c r="H670" i="29"/>
  <c r="H1105" i="29"/>
  <c r="G1380" i="29"/>
  <c r="I1380" i="29"/>
  <c r="I1673" i="29"/>
  <c r="I2099" i="29"/>
  <c r="G2232" i="29"/>
  <c r="I2516" i="29"/>
  <c r="E1531" i="29"/>
  <c r="E1563" i="29"/>
  <c r="G2415" i="29"/>
  <c r="I1847" i="29"/>
  <c r="E1657" i="29"/>
  <c r="E569" i="29"/>
  <c r="G995" i="29"/>
  <c r="I427" i="29"/>
  <c r="H711" i="29"/>
  <c r="H395" i="29"/>
  <c r="I679" i="29"/>
  <c r="G1815" i="29"/>
  <c r="H528" i="29"/>
  <c r="I821" i="29"/>
  <c r="G679" i="29"/>
  <c r="H1247" i="29"/>
  <c r="G1389" i="29"/>
  <c r="I2951" i="29"/>
  <c r="F821" i="29"/>
  <c r="E821" i="29"/>
  <c r="E922" i="29"/>
  <c r="F2699" i="29"/>
  <c r="F1989" i="29"/>
  <c r="G2626" i="29"/>
  <c r="G2652" i="29" s="1"/>
  <c r="I496" i="29"/>
  <c r="G963" i="29"/>
  <c r="H2809" i="29"/>
  <c r="F1490" i="29"/>
  <c r="F1941" i="29"/>
  <c r="F947" i="29"/>
  <c r="F569" i="29"/>
  <c r="F2273" i="29"/>
  <c r="I780" i="29"/>
  <c r="E1389" i="29"/>
  <c r="E1279" i="29"/>
  <c r="H2083" i="29"/>
  <c r="F1847" i="29"/>
  <c r="F2484" i="29"/>
  <c r="F1279" i="29"/>
  <c r="F427" i="29"/>
  <c r="G1916" i="29"/>
  <c r="G1774" i="29"/>
  <c r="H780" i="29"/>
  <c r="I2241" i="29"/>
  <c r="I1989" i="29"/>
  <c r="G1373" i="29"/>
  <c r="G521" i="29"/>
  <c r="H2383" i="29"/>
  <c r="I2793" i="29"/>
  <c r="F1953" i="29"/>
  <c r="H1089" i="29"/>
  <c r="E395" i="29"/>
  <c r="E679" i="29"/>
  <c r="F2083" i="29"/>
  <c r="E2225" i="29"/>
  <c r="H2793" i="29"/>
  <c r="G1799" i="29"/>
  <c r="H2983" i="29"/>
  <c r="H2951" i="29"/>
  <c r="I119" i="33"/>
  <c r="F2509" i="29"/>
  <c r="F2058" i="29"/>
  <c r="F521" i="29"/>
  <c r="F1705" i="29"/>
  <c r="E1916" i="29"/>
  <c r="I1206" i="29"/>
  <c r="F1206" i="29"/>
  <c r="E638" i="29"/>
  <c r="H2768" i="29"/>
  <c r="E2768" i="29"/>
  <c r="I2273" i="29"/>
  <c r="H1348" i="29"/>
  <c r="I2415" i="29"/>
  <c r="H1421" i="29"/>
  <c r="F1089" i="29"/>
  <c r="H2699" i="29"/>
  <c r="F2225" i="29"/>
  <c r="G805" i="29"/>
  <c r="H1096" i="29"/>
  <c r="I1664" i="29"/>
  <c r="H1531" i="29"/>
  <c r="H2241" i="29"/>
  <c r="I2658" i="29"/>
  <c r="I113" i="33"/>
  <c r="I126" i="33" s="1"/>
  <c r="I805" i="29"/>
  <c r="E528" i="29"/>
  <c r="F680" i="29"/>
  <c r="F679" i="29" s="1"/>
  <c r="E2383" i="29"/>
  <c r="F1916" i="29"/>
  <c r="F1942" i="29" s="1"/>
  <c r="H1515" i="29"/>
  <c r="F2768" i="29"/>
  <c r="F853" i="29"/>
  <c r="H2935" i="29"/>
  <c r="G2484" i="29"/>
  <c r="H354" i="29"/>
  <c r="G1941" i="29"/>
  <c r="H2058" i="29"/>
  <c r="H496" i="29"/>
  <c r="H1847" i="29"/>
  <c r="I922" i="29"/>
  <c r="H638" i="29"/>
  <c r="I1815" i="29"/>
  <c r="G2374" i="29"/>
  <c r="G119" i="33"/>
  <c r="E1957" i="29"/>
  <c r="F2517" i="29"/>
  <c r="F2516" i="29" s="1"/>
  <c r="E2516" i="29"/>
  <c r="E2525" i="29"/>
  <c r="F120" i="33"/>
  <c r="F119" i="33" s="1"/>
  <c r="E119" i="33"/>
  <c r="G2910" i="29"/>
  <c r="E1799" i="29"/>
  <c r="E1206" i="29"/>
  <c r="H2484" i="29"/>
  <c r="G1632" i="29"/>
  <c r="I102" i="33"/>
  <c r="I107" i="33" s="1"/>
  <c r="F1515" i="29"/>
  <c r="E521" i="29"/>
  <c r="I2342" i="29"/>
  <c r="I2131" i="29"/>
  <c r="I1916" i="29"/>
  <c r="G354" i="29"/>
  <c r="H1206" i="29"/>
  <c r="H537" i="29"/>
  <c r="I386" i="29"/>
  <c r="H812" i="29"/>
  <c r="H1673" i="29"/>
  <c r="H1948" i="29"/>
  <c r="G2383" i="29"/>
  <c r="H2800" i="29"/>
  <c r="H2374" i="29"/>
  <c r="F529" i="29"/>
  <c r="F528" i="29" s="1"/>
  <c r="E1238" i="29"/>
  <c r="F1523" i="29"/>
  <c r="F1522" i="29" s="1"/>
  <c r="E1522" i="29"/>
  <c r="F1957" i="29"/>
  <c r="E2099" i="29"/>
  <c r="F922" i="29"/>
  <c r="F948" i="29" s="1"/>
  <c r="F1799" i="29"/>
  <c r="I2626" i="29"/>
  <c r="H2225" i="29"/>
  <c r="E2557" i="29"/>
  <c r="E805" i="29"/>
  <c r="E2367" i="29"/>
  <c r="E1421" i="29"/>
  <c r="H1657" i="29"/>
  <c r="H1658" i="29" s="1"/>
  <c r="E2910" i="29"/>
  <c r="E2626" i="29"/>
  <c r="H2910" i="29"/>
  <c r="E1348" i="29"/>
  <c r="G1705" i="29"/>
  <c r="I663" i="29"/>
  <c r="G780" i="29"/>
  <c r="I1348" i="29"/>
  <c r="G386" i="29"/>
  <c r="I670" i="29"/>
  <c r="H963" i="29"/>
  <c r="I954" i="29"/>
  <c r="I1238" i="29"/>
  <c r="G1238" i="29"/>
  <c r="G1664" i="29"/>
  <c r="H1815" i="29"/>
  <c r="I2383" i="29"/>
  <c r="G2951" i="29"/>
  <c r="H2942" i="29"/>
  <c r="E1247" i="29"/>
  <c r="F114" i="33"/>
  <c r="F113" i="33" s="1"/>
  <c r="E113" i="33"/>
  <c r="F805" i="29"/>
  <c r="E102" i="33"/>
  <c r="E107" i="33" s="1"/>
  <c r="F2367" i="29"/>
  <c r="I1515" i="29"/>
  <c r="F2910" i="29"/>
  <c r="F1632" i="29"/>
  <c r="E711" i="29"/>
  <c r="F1348" i="29"/>
  <c r="I1064" i="29"/>
  <c r="G711" i="29"/>
  <c r="H2273" i="29"/>
  <c r="H853" i="29"/>
  <c r="I528" i="29"/>
  <c r="I395" i="29"/>
  <c r="G670" i="29"/>
  <c r="I1389" i="29"/>
  <c r="H1380" i="29"/>
  <c r="H1806" i="29"/>
  <c r="I2090" i="29"/>
  <c r="G2099" i="29"/>
  <c r="G2241" i="29"/>
  <c r="H2090" i="29"/>
  <c r="G2516" i="29"/>
  <c r="H119" i="33"/>
  <c r="I1705" i="29"/>
  <c r="I995" i="29"/>
  <c r="H427" i="29"/>
  <c r="F2809" i="29"/>
  <c r="F813" i="29"/>
  <c r="F812" i="29" s="1"/>
  <c r="E812" i="29"/>
  <c r="E954" i="29"/>
  <c r="F1390" i="29"/>
  <c r="F1389" i="29" s="1"/>
  <c r="G2793" i="29"/>
  <c r="H1490" i="29"/>
  <c r="F1137" i="29"/>
  <c r="I2225" i="29"/>
  <c r="E2651" i="29"/>
  <c r="F2626" i="29"/>
  <c r="F102" i="33"/>
  <c r="F107" i="33" s="1"/>
  <c r="E496" i="29"/>
  <c r="E354" i="29"/>
  <c r="E2131" i="29"/>
  <c r="F1657" i="29"/>
  <c r="G2841" i="29"/>
  <c r="I2557" i="29"/>
  <c r="H2841" i="29"/>
  <c r="G1490" i="29"/>
  <c r="G496" i="29"/>
  <c r="G638" i="29"/>
  <c r="G1563" i="29"/>
  <c r="G853" i="29"/>
  <c r="G663" i="29"/>
  <c r="G395" i="29"/>
  <c r="G821" i="29"/>
  <c r="G1247" i="29"/>
  <c r="G1522" i="29"/>
  <c r="H2232" i="29"/>
  <c r="G2658" i="29"/>
  <c r="G2200" i="29"/>
  <c r="I1089" i="29"/>
  <c r="F395" i="29"/>
  <c r="F1665" i="29"/>
  <c r="F1664" i="29" s="1"/>
  <c r="E1664" i="29"/>
  <c r="F2091" i="29"/>
  <c r="F2090" i="29" s="1"/>
  <c r="E2090" i="29"/>
  <c r="F2943" i="29"/>
  <c r="F2942" i="29" s="1"/>
  <c r="E2942" i="29"/>
  <c r="G379" i="29"/>
  <c r="I1941" i="29"/>
  <c r="I1774" i="29"/>
  <c r="F496" i="29"/>
  <c r="I1490" i="29"/>
  <c r="F354" i="29"/>
  <c r="I2935" i="29"/>
  <c r="G2273" i="29"/>
  <c r="I1657" i="29"/>
  <c r="G947" i="29"/>
  <c r="I853" i="29"/>
  <c r="I537" i="29"/>
  <c r="G1105" i="29"/>
  <c r="G1948" i="29"/>
  <c r="I2525" i="29"/>
  <c r="G2809" i="29"/>
  <c r="I2809" i="29"/>
  <c r="G113" i="33"/>
  <c r="I947" i="29"/>
  <c r="E963" i="29"/>
  <c r="F955" i="29"/>
  <c r="F954" i="29" s="1"/>
  <c r="E1673" i="29"/>
  <c r="E2241" i="29"/>
  <c r="E2484" i="29"/>
  <c r="E427" i="29"/>
  <c r="E2509" i="29"/>
  <c r="G2768" i="29"/>
  <c r="E663" i="29"/>
  <c r="G1657" i="29"/>
  <c r="G1206" i="29"/>
  <c r="G1989" i="29"/>
  <c r="I1421" i="29"/>
  <c r="H102" i="33"/>
  <c r="H107" i="33" s="1"/>
  <c r="G528" i="29"/>
  <c r="I812" i="29"/>
  <c r="H954" i="29"/>
  <c r="H1664" i="29"/>
  <c r="G1531" i="29"/>
  <c r="I1531" i="29"/>
  <c r="I1957" i="29"/>
  <c r="H2525" i="29"/>
  <c r="I2667" i="29"/>
  <c r="H1989" i="29"/>
  <c r="E537" i="29"/>
  <c r="E1096" i="29"/>
  <c r="F1248" i="29"/>
  <c r="F1247" i="29" s="1"/>
  <c r="F2233" i="29"/>
  <c r="F2232" i="29" s="1"/>
  <c r="E2232" i="29"/>
  <c r="E2667" i="29"/>
  <c r="E780" i="29"/>
  <c r="I2200" i="29"/>
  <c r="E2699" i="29"/>
  <c r="H995" i="29"/>
  <c r="F663" i="29"/>
  <c r="E1373" i="29"/>
  <c r="E2935" i="29"/>
  <c r="H2651" i="29"/>
  <c r="H1774" i="29"/>
  <c r="H922" i="29"/>
  <c r="H821" i="29"/>
  <c r="I1096" i="29"/>
  <c r="G1096" i="29"/>
  <c r="H1389" i="29"/>
  <c r="I1948" i="29"/>
  <c r="G2090" i="29"/>
  <c r="H2099" i="29"/>
  <c r="H2516" i="29"/>
  <c r="H2658" i="29"/>
  <c r="I2942" i="29"/>
  <c r="I1137" i="29"/>
  <c r="I379" i="29"/>
  <c r="F537" i="29"/>
  <c r="F387" i="29"/>
  <c r="F386" i="29" s="1"/>
  <c r="E386" i="29"/>
  <c r="F671" i="29"/>
  <c r="F670" i="29" s="1"/>
  <c r="E670" i="29"/>
  <c r="E1105" i="29"/>
  <c r="F1381" i="29"/>
  <c r="F1380" i="29" s="1"/>
  <c r="E1380" i="29"/>
  <c r="E1815" i="29"/>
  <c r="F2659" i="29"/>
  <c r="F2658" i="29" s="1"/>
  <c r="E2658" i="29"/>
  <c r="E2951" i="29"/>
  <c r="F780" i="29"/>
  <c r="E2200" i="29"/>
  <c r="E947" i="29"/>
  <c r="H1064" i="29"/>
  <c r="E1774" i="29"/>
  <c r="F1373" i="29"/>
  <c r="F2935" i="29"/>
  <c r="E1989" i="29"/>
  <c r="E2793" i="29"/>
  <c r="E2058" i="29"/>
  <c r="H2200" i="29"/>
  <c r="H1563" i="29"/>
  <c r="I638" i="29"/>
  <c r="H569" i="29"/>
  <c r="I1799" i="29"/>
  <c r="G1064" i="29"/>
  <c r="G537" i="29"/>
  <c r="H386" i="29"/>
  <c r="I963" i="29"/>
  <c r="G1673" i="29"/>
  <c r="G2667" i="29"/>
  <c r="I2800" i="29"/>
  <c r="H113" i="33"/>
  <c r="F1097" i="29"/>
  <c r="F1096" i="29" s="1"/>
  <c r="F1674" i="29"/>
  <c r="F1673" i="29" s="1"/>
  <c r="F2375" i="29"/>
  <c r="F2374" i="29" s="1"/>
  <c r="E2374" i="29"/>
  <c r="E2809" i="29"/>
  <c r="F379" i="29"/>
  <c r="G2225" i="29"/>
  <c r="E1064" i="29"/>
  <c r="H2509" i="29"/>
  <c r="G2367" i="29"/>
  <c r="H947" i="29"/>
  <c r="E2342" i="29"/>
  <c r="F1774" i="29"/>
  <c r="F2793" i="29"/>
  <c r="I2484" i="29"/>
  <c r="G1348" i="29"/>
  <c r="G1957" i="29"/>
  <c r="I2374" i="29"/>
  <c r="G2942" i="29"/>
  <c r="I2058" i="29"/>
  <c r="G1137" i="29"/>
  <c r="F1807" i="29"/>
  <c r="F1806" i="29" s="1"/>
  <c r="E1806" i="29"/>
  <c r="F1949" i="29"/>
  <c r="F1948" i="29" s="1"/>
  <c r="E1948" i="29"/>
  <c r="F2801" i="29"/>
  <c r="F2800" i="29" s="1"/>
  <c r="E2800" i="29"/>
  <c r="F995" i="29"/>
  <c r="G102" i="33"/>
  <c r="G107" i="33" s="1"/>
  <c r="E1847" i="29"/>
  <c r="F1064" i="29"/>
  <c r="G2131" i="29"/>
  <c r="F2342" i="29"/>
  <c r="E1632" i="29"/>
  <c r="E1089" i="29"/>
  <c r="E2273" i="29"/>
  <c r="E1515" i="29"/>
  <c r="E1490" i="29"/>
  <c r="H2342" i="29"/>
  <c r="H1916" i="29"/>
  <c r="G2699" i="29"/>
  <c r="H2626" i="29"/>
  <c r="H663" i="29"/>
  <c r="I354" i="29"/>
  <c r="H1238" i="29"/>
  <c r="H1522" i="29"/>
  <c r="I1522" i="29"/>
  <c r="G1806" i="29"/>
  <c r="G2800" i="29"/>
  <c r="I2768" i="29"/>
  <c r="F963" i="29"/>
  <c r="I285" i="29"/>
  <c r="G237" i="29"/>
  <c r="H244" i="29"/>
  <c r="H237" i="29"/>
  <c r="G113" i="16"/>
  <c r="I237" i="29"/>
  <c r="G29" i="16"/>
  <c r="H29" i="16"/>
  <c r="H114" i="16"/>
  <c r="H113" i="16" s="1"/>
  <c r="H85" i="16"/>
  <c r="H285" i="29"/>
  <c r="G85" i="16"/>
  <c r="H253" i="29"/>
  <c r="F212" i="29"/>
  <c r="F104" i="17"/>
  <c r="I59" i="198" s="1"/>
  <c r="L59" i="198" s="1"/>
  <c r="E59" i="198"/>
  <c r="E244" i="29"/>
  <c r="G244" i="29"/>
  <c r="F105" i="17"/>
  <c r="I60" i="198" s="1"/>
  <c r="L60" i="198" s="1"/>
  <c r="E60" i="198"/>
  <c r="E285" i="29"/>
  <c r="F285" i="29"/>
  <c r="F117" i="17"/>
  <c r="I66" i="198" s="1"/>
  <c r="L66" i="198" s="1"/>
  <c r="E66" i="198"/>
  <c r="I212" i="29"/>
  <c r="I244" i="29"/>
  <c r="G285" i="29"/>
  <c r="F106" i="17"/>
  <c r="I61" i="198" s="1"/>
  <c r="L61" i="198" s="1"/>
  <c r="E61" i="198"/>
  <c r="E237" i="29"/>
  <c r="G212" i="29"/>
  <c r="F237" i="29"/>
  <c r="E212" i="29"/>
  <c r="G253" i="29"/>
  <c r="F107" i="17"/>
  <c r="I62" i="198" s="1"/>
  <c r="L62" i="198" s="1"/>
  <c r="E62" i="198"/>
  <c r="H212" i="29"/>
  <c r="I253" i="29"/>
  <c r="F253" i="29"/>
  <c r="E253" i="29"/>
  <c r="F113" i="17"/>
  <c r="I64" i="198" s="1"/>
  <c r="E64" i="198"/>
  <c r="F115" i="17"/>
  <c r="I65" i="198" s="1"/>
  <c r="L65" i="198" s="1"/>
  <c r="E65" i="198"/>
  <c r="H92" i="16"/>
  <c r="H78" i="16"/>
  <c r="H36" i="16"/>
  <c r="G36" i="16"/>
  <c r="H106" i="16"/>
  <c r="H50" i="16"/>
  <c r="G92" i="16"/>
  <c r="G78" i="16"/>
  <c r="G71" i="16"/>
  <c r="G106" i="16"/>
  <c r="H65" i="46"/>
  <c r="I57" i="16"/>
  <c r="J57" i="16" s="1"/>
  <c r="K57" i="16" s="1"/>
  <c r="I50" i="16"/>
  <c r="J50" i="16" s="1"/>
  <c r="K50" i="16" s="1"/>
  <c r="I99" i="16"/>
  <c r="J99" i="16" s="1"/>
  <c r="K99" i="16" s="1"/>
  <c r="I92" i="16"/>
  <c r="J92" i="16" s="1"/>
  <c r="K92" i="16" s="1"/>
  <c r="I64" i="16"/>
  <c r="J64" i="16" s="1"/>
  <c r="K64" i="16" s="1"/>
  <c r="I29" i="16"/>
  <c r="J29" i="16" s="1"/>
  <c r="K29" i="16" s="1"/>
  <c r="I36" i="16"/>
  <c r="J36" i="16" s="1"/>
  <c r="K36" i="16" s="1"/>
  <c r="I106" i="16"/>
  <c r="J106" i="16" s="1"/>
  <c r="K106" i="16" s="1"/>
  <c r="I71" i="16"/>
  <c r="J71" i="16" s="1"/>
  <c r="K71" i="16" s="1"/>
  <c r="I10" i="16"/>
  <c r="I78" i="16"/>
  <c r="J78" i="16" s="1"/>
  <c r="K78" i="16" s="1"/>
  <c r="I43" i="16"/>
  <c r="J43" i="16" s="1"/>
  <c r="K43" i="16" s="1"/>
  <c r="I113" i="16"/>
  <c r="J113" i="16" s="1"/>
  <c r="K113" i="16" s="1"/>
  <c r="I22" i="16"/>
  <c r="J22" i="16" s="1"/>
  <c r="K22" i="16" s="1"/>
  <c r="I85" i="16"/>
  <c r="J85" i="16" s="1"/>
  <c r="K85" i="16" s="1"/>
  <c r="I120" i="16"/>
  <c r="J120" i="16" s="1"/>
  <c r="K120" i="16" s="1"/>
  <c r="H428" i="46"/>
  <c r="H433" i="46" s="1"/>
  <c r="F38" i="29"/>
  <c r="K428" i="46"/>
  <c r="H855" i="46"/>
  <c r="H860" i="46" s="1"/>
  <c r="F108" i="17"/>
  <c r="I63" i="198" s="1"/>
  <c r="L63" i="198" s="1"/>
  <c r="H57" i="33"/>
  <c r="H59" i="46"/>
  <c r="G57" i="33"/>
  <c r="K855" i="46"/>
  <c r="K860" i="46" s="1"/>
  <c r="H794" i="46"/>
  <c r="H799" i="46" s="1"/>
  <c r="K202" i="46"/>
  <c r="H201" i="46"/>
  <c r="K88" i="46"/>
  <c r="J88" i="46" s="1"/>
  <c r="K550" i="46"/>
  <c r="K555" i="46" s="1"/>
  <c r="K611" i="46"/>
  <c r="K616" i="46" s="1"/>
  <c r="K794" i="46"/>
  <c r="K799" i="46" s="1"/>
  <c r="I57" i="33"/>
  <c r="F58" i="33"/>
  <c r="F57" i="33" s="1"/>
  <c r="E57" i="33"/>
  <c r="K1050" i="46"/>
  <c r="K1049" i="46" s="1"/>
  <c r="H1049" i="46"/>
  <c r="K501" i="46"/>
  <c r="K500" i="46" s="1"/>
  <c r="H500" i="46"/>
  <c r="K1117" i="46"/>
  <c r="K1116" i="46" s="1"/>
  <c r="H1116" i="46"/>
  <c r="H988" i="46"/>
  <c r="K989" i="46"/>
  <c r="K988" i="46" s="1"/>
  <c r="H489" i="46"/>
  <c r="H494" i="46" s="1"/>
  <c r="K318" i="46"/>
  <c r="H317" i="46"/>
  <c r="H994" i="46"/>
  <c r="K997" i="46"/>
  <c r="K994" i="46" s="1"/>
  <c r="K684" i="46"/>
  <c r="K683" i="46" s="1"/>
  <c r="H683" i="46"/>
  <c r="H1055" i="46"/>
  <c r="K1058" i="46"/>
  <c r="K1055" i="46" s="1"/>
  <c r="H916" i="46"/>
  <c r="H921" i="46" s="1"/>
  <c r="K489" i="46"/>
  <c r="K494" i="46" s="1"/>
  <c r="H672" i="46"/>
  <c r="H677" i="46" s="1"/>
  <c r="F58" i="29"/>
  <c r="K60" i="46"/>
  <c r="K916" i="46"/>
  <c r="K921" i="46" s="1"/>
  <c r="K672" i="46"/>
  <c r="K677" i="46" s="1"/>
  <c r="K385" i="46"/>
  <c r="H384" i="46"/>
  <c r="H245" i="46"/>
  <c r="H250" i="46" s="1"/>
  <c r="H306" i="46"/>
  <c r="H311" i="46" s="1"/>
  <c r="K440" i="46"/>
  <c r="H439" i="46"/>
  <c r="H750" i="46"/>
  <c r="K753" i="46"/>
  <c r="K750" i="46" s="1"/>
  <c r="H1177" i="46"/>
  <c r="K1179" i="46"/>
  <c r="K1177" i="46" s="1"/>
  <c r="K507" i="46"/>
  <c r="K506" i="46" s="1"/>
  <c r="H506" i="46"/>
  <c r="H927" i="46"/>
  <c r="K928" i="46"/>
  <c r="K927" i="46" s="1"/>
  <c r="K629" i="46"/>
  <c r="K628" i="46" s="1"/>
  <c r="H628" i="46"/>
  <c r="K733" i="46"/>
  <c r="K738" i="46" s="1"/>
  <c r="K690" i="46"/>
  <c r="K689" i="46" s="1"/>
  <c r="H689" i="46"/>
  <c r="K806" i="46"/>
  <c r="K805" i="46" s="1"/>
  <c r="H805" i="46"/>
  <c r="H733" i="46"/>
  <c r="H738" i="46" s="1"/>
  <c r="K1038" i="46"/>
  <c r="K1043" i="46" s="1"/>
  <c r="H1099" i="46"/>
  <c r="H1104" i="46" s="1"/>
  <c r="K263" i="46"/>
  <c r="H262" i="46"/>
  <c r="K623" i="46"/>
  <c r="K622" i="46" s="1"/>
  <c r="H622" i="46"/>
  <c r="K873" i="46"/>
  <c r="K872" i="46" s="1"/>
  <c r="H872" i="46"/>
  <c r="K934" i="46"/>
  <c r="K933" i="46" s="1"/>
  <c r="H933" i="46"/>
  <c r="K568" i="46"/>
  <c r="K567" i="46" s="1"/>
  <c r="H567" i="46"/>
  <c r="H1038" i="46"/>
  <c r="H1043" i="46" s="1"/>
  <c r="K1099" i="46"/>
  <c r="K1104" i="46" s="1"/>
  <c r="K324" i="46"/>
  <c r="H323" i="46"/>
  <c r="K1111" i="46"/>
  <c r="K1110" i="46" s="1"/>
  <c r="H1110" i="46"/>
  <c r="H611" i="46"/>
  <c r="H616" i="46" s="1"/>
  <c r="K977" i="46"/>
  <c r="K982" i="46" s="1"/>
  <c r="F64" i="29"/>
  <c r="K66" i="46"/>
  <c r="H744" i="46"/>
  <c r="K745" i="46"/>
  <c r="K744" i="46" s="1"/>
  <c r="K562" i="46"/>
  <c r="K561" i="46" s="1"/>
  <c r="H561" i="46"/>
  <c r="K1172" i="46"/>
  <c r="K1171" i="46" s="1"/>
  <c r="H1171" i="46"/>
  <c r="H977" i="46"/>
  <c r="H982" i="46" s="1"/>
  <c r="K257" i="46"/>
  <c r="H256" i="46"/>
  <c r="H811" i="46"/>
  <c r="K812" i="46"/>
  <c r="K811" i="46" s="1"/>
  <c r="H1160" i="46"/>
  <c r="H1165" i="46" s="1"/>
  <c r="K367" i="46"/>
  <c r="H195" i="46"/>
  <c r="K196" i="46"/>
  <c r="K867" i="46"/>
  <c r="K866" i="46" s="1"/>
  <c r="H866" i="46"/>
  <c r="K379" i="46"/>
  <c r="H378" i="46"/>
  <c r="H445" i="46"/>
  <c r="K448" i="46"/>
  <c r="H88" i="46"/>
  <c r="K1160" i="46"/>
  <c r="K1165" i="46" s="1"/>
  <c r="H550" i="46"/>
  <c r="H555" i="46" s="1"/>
  <c r="H367" i="46"/>
  <c r="H372" i="46" s="1"/>
  <c r="H15" i="16"/>
  <c r="E103" i="17"/>
  <c r="E454" i="157"/>
  <c r="D454" i="157"/>
  <c r="E454" i="50"/>
  <c r="D454" i="50"/>
  <c r="I374" i="213" l="1"/>
  <c r="H622" i="215"/>
  <c r="E498" i="215"/>
  <c r="I498" i="214"/>
  <c r="I436" i="214"/>
  <c r="E374" i="215"/>
  <c r="H498" i="215"/>
  <c r="G622" i="214"/>
  <c r="I188" i="215"/>
  <c r="E436" i="214"/>
  <c r="I622" i="213"/>
  <c r="H312" i="213"/>
  <c r="H560" i="214"/>
  <c r="I250" i="215"/>
  <c r="G436" i="214"/>
  <c r="G126" i="214"/>
  <c r="I126" i="213"/>
  <c r="E374" i="213"/>
  <c r="G64" i="213"/>
  <c r="H250" i="215"/>
  <c r="G374" i="214"/>
  <c r="E560" i="215"/>
  <c r="H560" i="213"/>
  <c r="G436" i="213"/>
  <c r="G64" i="214"/>
  <c r="G188" i="215"/>
  <c r="F64" i="214"/>
  <c r="H34" i="158" s="1"/>
  <c r="I34" i="158" s="1"/>
  <c r="I560" i="214"/>
  <c r="H374" i="214"/>
  <c r="G436" i="215"/>
  <c r="E250" i="214"/>
  <c r="H64" i="214"/>
  <c r="G560" i="214"/>
  <c r="F560" i="214"/>
  <c r="H188" i="213"/>
  <c r="H312" i="215"/>
  <c r="I498" i="213"/>
  <c r="G498" i="214"/>
  <c r="E188" i="215"/>
  <c r="G560" i="215"/>
  <c r="G622" i="215"/>
  <c r="E312" i="215"/>
  <c r="E622" i="214"/>
  <c r="I64" i="214"/>
  <c r="G684" i="215"/>
  <c r="E250" i="215"/>
  <c r="I498" i="215"/>
  <c r="F374" i="213"/>
  <c r="F312" i="215"/>
  <c r="F622" i="214"/>
  <c r="H560" i="215"/>
  <c r="I374" i="215"/>
  <c r="F312" i="214"/>
  <c r="I250" i="214"/>
  <c r="G374" i="215"/>
  <c r="E126" i="214"/>
  <c r="F684" i="214"/>
  <c r="E312" i="214"/>
  <c r="H374" i="213"/>
  <c r="F684" i="213"/>
  <c r="G126" i="215"/>
  <c r="H188" i="215"/>
  <c r="I684" i="214"/>
  <c r="I436" i="215"/>
  <c r="F64" i="215"/>
  <c r="H35" i="158" s="1"/>
  <c r="I35" i="158" s="1"/>
  <c r="H622" i="214"/>
  <c r="F374" i="214"/>
  <c r="F2247" i="29"/>
  <c r="I250" i="213"/>
  <c r="H622" i="213"/>
  <c r="K439" i="46"/>
  <c r="J439" i="46" s="1"/>
  <c r="J440" i="46"/>
  <c r="K378" i="46"/>
  <c r="J378" i="46" s="1"/>
  <c r="J379" i="46"/>
  <c r="K433" i="46"/>
  <c r="J433" i="46" s="1"/>
  <c r="J428" i="46"/>
  <c r="K445" i="46"/>
  <c r="J445" i="46" s="1"/>
  <c r="J448" i="46"/>
  <c r="K306" i="46"/>
  <c r="K323" i="46"/>
  <c r="J323" i="46" s="1"/>
  <c r="J324" i="46"/>
  <c r="K384" i="46"/>
  <c r="J384" i="46" s="1"/>
  <c r="J385" i="46"/>
  <c r="K372" i="46"/>
  <c r="J372" i="46" s="1"/>
  <c r="J367" i="46"/>
  <c r="K317" i="46"/>
  <c r="J317" i="46" s="1"/>
  <c r="J318" i="46"/>
  <c r="H436" i="213"/>
  <c r="E622" i="213"/>
  <c r="K184" i="46"/>
  <c r="K189" i="46" s="1"/>
  <c r="J189" i="46" s="1"/>
  <c r="G126" i="213"/>
  <c r="G312" i="213"/>
  <c r="I188" i="213"/>
  <c r="H64" i="213"/>
  <c r="E188" i="213"/>
  <c r="G622" i="213"/>
  <c r="I436" i="213"/>
  <c r="K245" i="46"/>
  <c r="J245" i="46" s="1"/>
  <c r="H126" i="213"/>
  <c r="F622" i="213"/>
  <c r="I684" i="213"/>
  <c r="G560" i="213"/>
  <c r="K65" i="46"/>
  <c r="J65" i="46" s="1"/>
  <c r="J66" i="46"/>
  <c r="F126" i="213"/>
  <c r="K201" i="46"/>
  <c r="J201" i="46" s="1"/>
  <c r="J202" i="46"/>
  <c r="K256" i="46"/>
  <c r="J256" i="46" s="1"/>
  <c r="J257" i="46"/>
  <c r="F188" i="213"/>
  <c r="G498" i="213"/>
  <c r="I2652" i="29"/>
  <c r="G188" i="213"/>
  <c r="G250" i="213"/>
  <c r="I64" i="213"/>
  <c r="G684" i="213"/>
  <c r="K262" i="46"/>
  <c r="J262" i="46" s="1"/>
  <c r="J263" i="46"/>
  <c r="I312" i="213"/>
  <c r="I560" i="213"/>
  <c r="E312" i="213"/>
  <c r="F312" i="213"/>
  <c r="G374" i="213"/>
  <c r="F64" i="213"/>
  <c r="H33" i="158" s="1"/>
  <c r="H684" i="213"/>
  <c r="K59" i="46"/>
  <c r="J59" i="46" s="1"/>
  <c r="J60" i="46"/>
  <c r="F250" i="213"/>
  <c r="E250" i="213"/>
  <c r="E64" i="213"/>
  <c r="F33" i="158" s="1"/>
  <c r="F498" i="213"/>
  <c r="E560" i="213"/>
  <c r="K195" i="46"/>
  <c r="J195" i="46" s="1"/>
  <c r="J196" i="46"/>
  <c r="E126" i="213"/>
  <c r="F560" i="213"/>
  <c r="E498" i="213"/>
  <c r="H250" i="213"/>
  <c r="E436" i="33"/>
  <c r="G684" i="33"/>
  <c r="G1090" i="29"/>
  <c r="G1821" i="29"/>
  <c r="G1848" i="29" s="1"/>
  <c r="H1800" i="29"/>
  <c r="F2531" i="29"/>
  <c r="F2558" i="29" s="1"/>
  <c r="F1232" i="29"/>
  <c r="F1537" i="29"/>
  <c r="F1564" i="29" s="1"/>
  <c r="F1821" i="29"/>
  <c r="F1848" i="29" s="1"/>
  <c r="I2936" i="29"/>
  <c r="I1253" i="29"/>
  <c r="I1280" i="29" s="1"/>
  <c r="G2936" i="29"/>
  <c r="I2084" i="29"/>
  <c r="E1658" i="29"/>
  <c r="F2957" i="29"/>
  <c r="F2984" i="29" s="1"/>
  <c r="F2274" i="29"/>
  <c r="H2673" i="29"/>
  <c r="H2700" i="29" s="1"/>
  <c r="F664" i="29"/>
  <c r="F374" i="33"/>
  <c r="I2510" i="29"/>
  <c r="I2957" i="29"/>
  <c r="I2984" i="29" s="1"/>
  <c r="F2105" i="29"/>
  <c r="F2132" i="29" s="1"/>
  <c r="E380" i="29"/>
  <c r="F827" i="29"/>
  <c r="F854" i="29" s="1"/>
  <c r="F2084" i="29"/>
  <c r="I2389" i="29"/>
  <c r="I2416" i="29" s="1"/>
  <c r="E685" i="29"/>
  <c r="E712" i="29" s="1"/>
  <c r="F250" i="33"/>
  <c r="I827" i="29"/>
  <c r="I854" i="29" s="1"/>
  <c r="H685" i="29"/>
  <c r="H712" i="29" s="1"/>
  <c r="H1090" i="29"/>
  <c r="I2531" i="29"/>
  <c r="I2558" i="29" s="1"/>
  <c r="G1516" i="29"/>
  <c r="G2531" i="29"/>
  <c r="G2558" i="29" s="1"/>
  <c r="E2226" i="29"/>
  <c r="I1111" i="29"/>
  <c r="I1138" i="29" s="1"/>
  <c r="H1679" i="29"/>
  <c r="H1706" i="29" s="1"/>
  <c r="H1963" i="29"/>
  <c r="H1990" i="29" s="1"/>
  <c r="G948" i="29"/>
  <c r="G522" i="29"/>
  <c r="I685" i="29"/>
  <c r="I712" i="29" s="1"/>
  <c r="H2368" i="29"/>
  <c r="G2368" i="29"/>
  <c r="F2652" i="29"/>
  <c r="H522" i="29"/>
  <c r="H374" i="33"/>
  <c r="G1374" i="29"/>
  <c r="H684" i="33"/>
  <c r="F2673" i="29"/>
  <c r="F2700" i="29" s="1"/>
  <c r="H622" i="33"/>
  <c r="H312" i="33"/>
  <c r="I2794" i="29"/>
  <c r="F2389" i="29"/>
  <c r="F2416" i="29" s="1"/>
  <c r="G969" i="29"/>
  <c r="G996" i="29" s="1"/>
  <c r="G2247" i="29"/>
  <c r="G2274" i="29" s="1"/>
  <c r="I2247" i="29"/>
  <c r="I2274" i="29" s="1"/>
  <c r="H498" i="33"/>
  <c r="E2084" i="29"/>
  <c r="I522" i="29"/>
  <c r="F2815" i="29"/>
  <c r="F2842" i="29" s="1"/>
  <c r="H380" i="29"/>
  <c r="F1963" i="29"/>
  <c r="F1990" i="29" s="1"/>
  <c r="G806" i="29"/>
  <c r="G1800" i="29"/>
  <c r="F312" i="33"/>
  <c r="F1090" i="29"/>
  <c r="G1963" i="29"/>
  <c r="G1990" i="29" s="1"/>
  <c r="I1658" i="29"/>
  <c r="I560" i="33"/>
  <c r="F622" i="33"/>
  <c r="I374" i="33"/>
  <c r="G827" i="29"/>
  <c r="G854" i="29" s="1"/>
  <c r="H2084" i="29"/>
  <c r="H188" i="33"/>
  <c r="I684" i="33"/>
  <c r="E1232" i="29"/>
  <c r="E1800" i="29"/>
  <c r="E2652" i="29"/>
  <c r="E2389" i="29"/>
  <c r="E2416" i="29" s="1"/>
  <c r="E401" i="29"/>
  <c r="E428" i="29" s="1"/>
  <c r="I188" i="33"/>
  <c r="H1253" i="29"/>
  <c r="H1280" i="29" s="1"/>
  <c r="G560" i="33"/>
  <c r="G188" i="33"/>
  <c r="F436" i="33"/>
  <c r="F560" i="33"/>
  <c r="F188" i="33"/>
  <c r="G498" i="33"/>
  <c r="F498" i="33"/>
  <c r="G1232" i="29"/>
  <c r="E312" i="33"/>
  <c r="H2389" i="29"/>
  <c r="H2416" i="29" s="1"/>
  <c r="I622" i="33"/>
  <c r="F684" i="33"/>
  <c r="I312" i="33"/>
  <c r="E250" i="33"/>
  <c r="E374" i="33"/>
  <c r="I250" i="33"/>
  <c r="E684" i="33"/>
  <c r="I498" i="33"/>
  <c r="G374" i="33"/>
  <c r="I1395" i="29"/>
  <c r="I1422" i="29" s="1"/>
  <c r="E2105" i="29"/>
  <c r="E2132" i="29" s="1"/>
  <c r="I1821" i="29"/>
  <c r="I1848" i="29" s="1"/>
  <c r="E188" i="33"/>
  <c r="H250" i="33"/>
  <c r="E560" i="33"/>
  <c r="G622" i="33"/>
  <c r="F685" i="29"/>
  <c r="F712" i="29" s="1"/>
  <c r="F522" i="29"/>
  <c r="F543" i="29"/>
  <c r="F570" i="29" s="1"/>
  <c r="H1374" i="29"/>
  <c r="E622" i="33"/>
  <c r="G436" i="33"/>
  <c r="E948" i="29"/>
  <c r="I2368" i="29"/>
  <c r="I1374" i="29"/>
  <c r="G2510" i="29"/>
  <c r="H436" i="33"/>
  <c r="I436" i="33"/>
  <c r="F2368" i="29"/>
  <c r="I1679" i="29"/>
  <c r="I1706" i="29" s="1"/>
  <c r="G312" i="33"/>
  <c r="E498" i="33"/>
  <c r="H560" i="33"/>
  <c r="G250" i="33"/>
  <c r="F1111" i="29"/>
  <c r="F1138" i="29" s="1"/>
  <c r="H2247" i="29"/>
  <c r="H2274" i="29" s="1"/>
  <c r="H2957" i="29"/>
  <c r="H2984" i="29" s="1"/>
  <c r="F1516" i="29"/>
  <c r="H2794" i="29"/>
  <c r="G1537" i="29"/>
  <c r="G1564" i="29" s="1"/>
  <c r="E827" i="29"/>
  <c r="E854" i="29" s="1"/>
  <c r="I1232" i="29"/>
  <c r="E1395" i="29"/>
  <c r="E1422" i="29" s="1"/>
  <c r="H2105" i="29"/>
  <c r="H2132" i="29" s="1"/>
  <c r="F2510" i="29"/>
  <c r="E1942" i="29"/>
  <c r="E1537" i="29"/>
  <c r="E1564" i="29" s="1"/>
  <c r="H543" i="29"/>
  <c r="H570" i="29" s="1"/>
  <c r="F1679" i="29"/>
  <c r="F1706" i="29" s="1"/>
  <c r="E2368" i="29"/>
  <c r="E2957" i="29"/>
  <c r="E2984" i="29" s="1"/>
  <c r="F2226" i="29"/>
  <c r="G2084" i="29"/>
  <c r="G1111" i="29"/>
  <c r="G1138" i="29" s="1"/>
  <c r="I2226" i="29"/>
  <c r="G126" i="33"/>
  <c r="E969" i="29"/>
  <c r="E996" i="29" s="1"/>
  <c r="I2105" i="29"/>
  <c r="I2132" i="29" s="1"/>
  <c r="E1090" i="29"/>
  <c r="H1942" i="29"/>
  <c r="E1111" i="29"/>
  <c r="E1138" i="29" s="1"/>
  <c r="F969" i="29"/>
  <c r="F996" i="29" s="1"/>
  <c r="H401" i="29"/>
  <c r="H428" i="29" s="1"/>
  <c r="H2936" i="29"/>
  <c r="E1516" i="29"/>
  <c r="F1395" i="29"/>
  <c r="F1422" i="29" s="1"/>
  <c r="G685" i="29"/>
  <c r="G712" i="29" s="1"/>
  <c r="E1963" i="29"/>
  <c r="E1990" i="29" s="1"/>
  <c r="I1963" i="29"/>
  <c r="I1990" i="29" s="1"/>
  <c r="H1232" i="29"/>
  <c r="H1537" i="29"/>
  <c r="H1564" i="29" s="1"/>
  <c r="I664" i="29"/>
  <c r="I806" i="29"/>
  <c r="F401" i="29"/>
  <c r="F428" i="29" s="1"/>
  <c r="G1942" i="29"/>
  <c r="I380" i="29"/>
  <c r="H1516" i="29"/>
  <c r="H2815" i="29"/>
  <c r="H2842" i="29" s="1"/>
  <c r="I2815" i="29"/>
  <c r="I2842" i="29" s="1"/>
  <c r="G2957" i="29"/>
  <c r="G2984" i="29" s="1"/>
  <c r="F806" i="29"/>
  <c r="G401" i="29"/>
  <c r="G428" i="29" s="1"/>
  <c r="E806" i="29"/>
  <c r="I1090" i="29"/>
  <c r="E2531" i="29"/>
  <c r="E2558" i="29" s="1"/>
  <c r="G543" i="29"/>
  <c r="G570" i="29" s="1"/>
  <c r="G2815" i="29"/>
  <c r="G2842" i="29" s="1"/>
  <c r="H2531" i="29"/>
  <c r="H2558" i="29" s="1"/>
  <c r="H1111" i="29"/>
  <c r="H1138" i="29" s="1"/>
  <c r="I1537" i="29"/>
  <c r="I1564" i="29" s="1"/>
  <c r="G2105" i="29"/>
  <c r="G2132" i="29" s="1"/>
  <c r="E522" i="29"/>
  <c r="F380" i="29"/>
  <c r="H806" i="29"/>
  <c r="G1395" i="29"/>
  <c r="G1422" i="29" s="1"/>
  <c r="F126" i="33"/>
  <c r="H126" i="33"/>
  <c r="E1374" i="29"/>
  <c r="H1821" i="29"/>
  <c r="H1848" i="29" s="1"/>
  <c r="F1658" i="29"/>
  <c r="H2652" i="29"/>
  <c r="H1395" i="29"/>
  <c r="H1422" i="29" s="1"/>
  <c r="F2936" i="29"/>
  <c r="E1679" i="29"/>
  <c r="E1706" i="29" s="1"/>
  <c r="G1679" i="29"/>
  <c r="G1706" i="29" s="1"/>
  <c r="I2673" i="29"/>
  <c r="I2700" i="29" s="1"/>
  <c r="F1800" i="29"/>
  <c r="I1516" i="29"/>
  <c r="F1253" i="29"/>
  <c r="F1280" i="29" s="1"/>
  <c r="G1253" i="29"/>
  <c r="G1280" i="29" s="1"/>
  <c r="G2794" i="29"/>
  <c r="G664" i="29"/>
  <c r="I543" i="29"/>
  <c r="I570" i="29" s="1"/>
  <c r="E2936" i="29"/>
  <c r="H827" i="29"/>
  <c r="H854" i="29" s="1"/>
  <c r="G1658" i="29"/>
  <c r="H948" i="29"/>
  <c r="H2226" i="29"/>
  <c r="I1800" i="29"/>
  <c r="I969" i="29"/>
  <c r="I996" i="29" s="1"/>
  <c r="I401" i="29"/>
  <c r="I428" i="29" s="1"/>
  <c r="H2510" i="29"/>
  <c r="G2389" i="29"/>
  <c r="G2416" i="29" s="1"/>
  <c r="F2794" i="29"/>
  <c r="E2794" i="29"/>
  <c r="E2815" i="29"/>
  <c r="E2842" i="29" s="1"/>
  <c r="G2226" i="29"/>
  <c r="E2673" i="29"/>
  <c r="E2700" i="29" s="1"/>
  <c r="E2247" i="29"/>
  <c r="E2274" i="29" s="1"/>
  <c r="H969" i="29"/>
  <c r="H996" i="29" s="1"/>
  <c r="E2510" i="29"/>
  <c r="G2673" i="29"/>
  <c r="G2700" i="29" s="1"/>
  <c r="E126" i="33"/>
  <c r="E1253" i="29"/>
  <c r="E1280" i="29" s="1"/>
  <c r="H664" i="29"/>
  <c r="I948" i="29"/>
  <c r="E664" i="29"/>
  <c r="F1374" i="29"/>
  <c r="G380" i="29"/>
  <c r="E1821" i="29"/>
  <c r="E1848" i="29" s="1"/>
  <c r="I1942" i="29"/>
  <c r="E543" i="29"/>
  <c r="E570" i="29" s="1"/>
  <c r="H238" i="29"/>
  <c r="G238" i="29"/>
  <c r="H259" i="29"/>
  <c r="H286" i="29" s="1"/>
  <c r="F238" i="29"/>
  <c r="I238" i="29"/>
  <c r="G259" i="29"/>
  <c r="G286" i="29" s="1"/>
  <c r="E238" i="29"/>
  <c r="E259" i="29"/>
  <c r="E286" i="29" s="1"/>
  <c r="I259" i="29"/>
  <c r="I286" i="29" s="1"/>
  <c r="F244" i="29"/>
  <c r="F259" i="29" s="1"/>
  <c r="F286" i="29" s="1"/>
  <c r="L64" i="198"/>
  <c r="J10" i="16"/>
  <c r="H389" i="46"/>
  <c r="H206" i="46"/>
  <c r="K1121" i="46"/>
  <c r="H755" i="46"/>
  <c r="H267" i="46"/>
  <c r="H1121" i="46"/>
  <c r="K328" i="46"/>
  <c r="J328" i="46" s="1"/>
  <c r="H633" i="46"/>
  <c r="K1060" i="46"/>
  <c r="H1182" i="46"/>
  <c r="K999" i="46"/>
  <c r="K633" i="46"/>
  <c r="K938" i="46"/>
  <c r="H511" i="46"/>
  <c r="K816" i="46"/>
  <c r="K450" i="46"/>
  <c r="J450" i="46" s="1"/>
  <c r="H328" i="46"/>
  <c r="H877" i="46"/>
  <c r="H572" i="46"/>
  <c r="K1182" i="46"/>
  <c r="H450" i="46"/>
  <c r="H999" i="46"/>
  <c r="K755" i="46"/>
  <c r="K572" i="46"/>
  <c r="H938" i="46"/>
  <c r="H694" i="46"/>
  <c r="H816" i="46"/>
  <c r="K694" i="46"/>
  <c r="K511" i="46"/>
  <c r="H1060" i="46"/>
  <c r="K877" i="46"/>
  <c r="H11" i="27"/>
  <c r="H12" i="27"/>
  <c r="H13" i="27"/>
  <c r="H14" i="27"/>
  <c r="H15" i="27"/>
  <c r="H16" i="27"/>
  <c r="H11" i="26"/>
  <c r="H12" i="26"/>
  <c r="H13" i="26"/>
  <c r="H14" i="26"/>
  <c r="H15" i="26"/>
  <c r="H16" i="26"/>
  <c r="H17" i="26"/>
  <c r="H18" i="26"/>
  <c r="H19" i="26"/>
  <c r="D30" i="26"/>
  <c r="J184" i="46" l="1"/>
  <c r="K311" i="46"/>
  <c r="J311" i="46" s="1"/>
  <c r="J306" i="46"/>
  <c r="K389" i="46"/>
  <c r="J389" i="46" s="1"/>
  <c r="K250" i="46"/>
  <c r="J250" i="46" s="1"/>
  <c r="K267" i="46"/>
  <c r="J267" i="46" s="1"/>
  <c r="I33" i="158"/>
  <c r="K206" i="46"/>
  <c r="J206" i="46" s="1"/>
  <c r="E57" i="78"/>
  <c r="B4" i="158"/>
  <c r="G43" i="158"/>
  <c r="G21" i="27"/>
  <c r="G11" i="47"/>
  <c r="B2" i="199" l="1"/>
  <c r="B1" i="198"/>
  <c r="D24" i="28"/>
  <c r="F9" i="23"/>
  <c r="E9" i="23"/>
  <c r="D9" i="23"/>
  <c r="H10" i="24"/>
  <c r="G10" i="24"/>
  <c r="F10" i="24"/>
  <c r="G9" i="51"/>
  <c r="F9" i="51"/>
  <c r="D449" i="157"/>
  <c r="E9" i="157"/>
  <c r="D9" i="157"/>
  <c r="D449" i="50"/>
  <c r="E9" i="50"/>
  <c r="D9" i="50"/>
  <c r="J66" i="47" l="1"/>
  <c r="I66" i="47"/>
  <c r="H66" i="47"/>
  <c r="G66" i="47"/>
  <c r="F66" i="47"/>
  <c r="J55" i="47"/>
  <c r="I55" i="47"/>
  <c r="H55" i="47"/>
  <c r="G55" i="47"/>
  <c r="F55" i="47"/>
  <c r="J44" i="47"/>
  <c r="I44" i="47"/>
  <c r="H44" i="47"/>
  <c r="G44" i="47"/>
  <c r="F44" i="47"/>
  <c r="J33" i="47"/>
  <c r="I33" i="47"/>
  <c r="H33" i="47"/>
  <c r="G33" i="47"/>
  <c r="F33" i="47"/>
  <c r="J22" i="47"/>
  <c r="I22" i="47"/>
  <c r="H22" i="47"/>
  <c r="G22" i="47"/>
  <c r="F22" i="47"/>
  <c r="J11" i="47"/>
  <c r="I11" i="47"/>
  <c r="H11" i="47"/>
  <c r="G194" i="46"/>
  <c r="F194" i="46"/>
  <c r="E194" i="46"/>
  <c r="G154" i="46"/>
  <c r="F154" i="46"/>
  <c r="E154" i="46"/>
  <c r="G102" i="46"/>
  <c r="F102" i="46"/>
  <c r="E102" i="46"/>
  <c r="G11" i="46"/>
  <c r="F11" i="46"/>
  <c r="E11" i="46"/>
  <c r="B148" i="46"/>
  <c r="B5" i="46"/>
  <c r="B4" i="46"/>
  <c r="E195" i="46"/>
  <c r="F185" i="46"/>
  <c r="E185" i="46"/>
  <c r="G178" i="46"/>
  <c r="F178" i="46"/>
  <c r="E178" i="46"/>
  <c r="G174" i="46"/>
  <c r="F174" i="46"/>
  <c r="F169" i="46"/>
  <c r="F155" i="46"/>
  <c r="K116" i="46"/>
  <c r="J116" i="46" s="1"/>
  <c r="K114" i="46"/>
  <c r="J114" i="46" s="1"/>
  <c r="H116" i="46"/>
  <c r="H114" i="46"/>
  <c r="H111" i="46"/>
  <c r="H110" i="46"/>
  <c r="E130" i="46"/>
  <c r="F130" i="46"/>
  <c r="G130" i="46"/>
  <c r="E12" i="46"/>
  <c r="F12" i="46"/>
  <c r="G12" i="46"/>
  <c r="E21" i="24"/>
  <c r="F21" i="24"/>
  <c r="G21" i="24"/>
  <c r="H21" i="24"/>
  <c r="E24" i="24"/>
  <c r="F24" i="24"/>
  <c r="G24" i="24"/>
  <c r="H24" i="24"/>
  <c r="F17" i="24"/>
  <c r="F18" i="24" s="1"/>
  <c r="G17" i="24"/>
  <c r="G18" i="24" s="1"/>
  <c r="H17" i="24"/>
  <c r="H18" i="24" s="1"/>
  <c r="E10" i="24"/>
  <c r="D10" i="24"/>
  <c r="D24" i="24"/>
  <c r="D21" i="24"/>
  <c r="F184" i="46" l="1"/>
  <c r="F189" i="46" s="1"/>
  <c r="E184" i="46"/>
  <c r="E189" i="46" s="1"/>
  <c r="G184" i="46"/>
  <c r="G189" i="46" s="1"/>
  <c r="E206" i="46"/>
  <c r="F206" i="46"/>
  <c r="G206" i="46"/>
  <c r="H9" i="22"/>
  <c r="G9" i="22"/>
  <c r="E9" i="22"/>
  <c r="D9" i="22"/>
  <c r="H9" i="21"/>
  <c r="G9" i="21"/>
  <c r="E9" i="21"/>
  <c r="D9" i="21"/>
  <c r="F102" i="17"/>
  <c r="E102" i="17"/>
  <c r="F11" i="17"/>
  <c r="E11" i="17"/>
  <c r="E110" i="17"/>
  <c r="E111" i="17"/>
  <c r="E114" i="17"/>
  <c r="F114" i="17"/>
  <c r="E116" i="17"/>
  <c r="F116" i="17"/>
  <c r="F50" i="33"/>
  <c r="E50" i="33"/>
  <c r="F10" i="33"/>
  <c r="E10" i="33"/>
  <c r="K111" i="46"/>
  <c r="J111" i="46" s="1"/>
  <c r="K110" i="46"/>
  <c r="J110" i="46" s="1"/>
  <c r="F126" i="16"/>
  <c r="F125" i="16"/>
  <c r="F124" i="16"/>
  <c r="F123" i="16"/>
  <c r="F122" i="16"/>
  <c r="F121" i="16"/>
  <c r="E120" i="16"/>
  <c r="D120" i="16"/>
  <c r="F119" i="16"/>
  <c r="F118" i="16"/>
  <c r="F117" i="16"/>
  <c r="F116" i="16"/>
  <c r="F115" i="16"/>
  <c r="F114" i="16"/>
  <c r="E113" i="16"/>
  <c r="D113" i="16"/>
  <c r="F112" i="16"/>
  <c r="F111" i="16"/>
  <c r="F110" i="16"/>
  <c r="F109" i="16"/>
  <c r="F108" i="16"/>
  <c r="F107" i="16"/>
  <c r="E106" i="16"/>
  <c r="D106" i="16"/>
  <c r="F105" i="16"/>
  <c r="F104" i="16"/>
  <c r="F103" i="16"/>
  <c r="F102" i="16"/>
  <c r="F101" i="16"/>
  <c r="F100" i="16"/>
  <c r="E99" i="16"/>
  <c r="D99" i="16"/>
  <c r="F98" i="16"/>
  <c r="F97" i="16"/>
  <c r="F96" i="16"/>
  <c r="F95" i="16"/>
  <c r="F94" i="16"/>
  <c r="F93" i="16"/>
  <c r="E92" i="16"/>
  <c r="D92" i="16"/>
  <c r="F91" i="16"/>
  <c r="F90" i="16"/>
  <c r="F89" i="16"/>
  <c r="F88" i="16"/>
  <c r="F87" i="16"/>
  <c r="F86" i="16"/>
  <c r="E85" i="16"/>
  <c r="D85" i="16"/>
  <c r="F84" i="16"/>
  <c r="F83" i="16"/>
  <c r="F82" i="16"/>
  <c r="F81" i="16"/>
  <c r="F80" i="16"/>
  <c r="F79" i="16"/>
  <c r="E78" i="16"/>
  <c r="D78" i="16"/>
  <c r="F77" i="16"/>
  <c r="F76" i="16"/>
  <c r="F75" i="16"/>
  <c r="F74" i="16"/>
  <c r="F73" i="16"/>
  <c r="F72" i="16"/>
  <c r="E71" i="16"/>
  <c r="D71" i="16"/>
  <c r="F70" i="16"/>
  <c r="F69" i="16"/>
  <c r="F68" i="16"/>
  <c r="F67" i="16"/>
  <c r="F66" i="16"/>
  <c r="F65" i="16"/>
  <c r="E64" i="16"/>
  <c r="D64" i="16"/>
  <c r="F63" i="16"/>
  <c r="F62" i="16"/>
  <c r="F61" i="16"/>
  <c r="F60" i="16"/>
  <c r="F59" i="16"/>
  <c r="F58" i="16"/>
  <c r="E57" i="16"/>
  <c r="D57" i="16"/>
  <c r="F56" i="16"/>
  <c r="F55" i="16"/>
  <c r="F54" i="16"/>
  <c r="F53" i="16"/>
  <c r="F52" i="16"/>
  <c r="F51" i="16"/>
  <c r="E50" i="16"/>
  <c r="D50" i="16"/>
  <c r="F49" i="16"/>
  <c r="F48" i="16"/>
  <c r="F47" i="16"/>
  <c r="F46" i="16"/>
  <c r="F45" i="16"/>
  <c r="F44" i="16"/>
  <c r="E43" i="16"/>
  <c r="D43" i="16"/>
  <c r="F42" i="16"/>
  <c r="F41" i="16"/>
  <c r="F40" i="16"/>
  <c r="F39" i="16"/>
  <c r="F38" i="16"/>
  <c r="F37" i="16"/>
  <c r="E36" i="16"/>
  <c r="D36" i="16"/>
  <c r="F35" i="16"/>
  <c r="F32" i="16"/>
  <c r="F31" i="16"/>
  <c r="E29" i="16"/>
  <c r="D29" i="16"/>
  <c r="F28" i="16"/>
  <c r="F24" i="16"/>
  <c r="F23" i="16"/>
  <c r="D22" i="16"/>
  <c r="M21" i="16"/>
  <c r="E22" i="16"/>
  <c r="B65" i="199"/>
  <c r="B63" i="199"/>
  <c r="B61" i="199"/>
  <c r="B59" i="199"/>
  <c r="B57" i="199"/>
  <c r="F110" i="17" l="1"/>
  <c r="F111" i="17"/>
  <c r="B55" i="198"/>
  <c r="B41" i="198"/>
  <c r="I94" i="198"/>
  <c r="I80" i="198"/>
  <c r="G20" i="46" l="1"/>
  <c r="E56" i="78" l="1"/>
  <c r="E55" i="78"/>
  <c r="D21" i="198"/>
  <c r="G136" i="46" l="1"/>
  <c r="F136" i="46"/>
  <c r="E136" i="46"/>
  <c r="F144" i="46"/>
  <c r="G112" i="46"/>
  <c r="F112" i="46"/>
  <c r="E112" i="46"/>
  <c r="G103" i="46"/>
  <c r="F103" i="46"/>
  <c r="E103" i="46"/>
  <c r="G84" i="46"/>
  <c r="F84" i="46"/>
  <c r="E84" i="46"/>
  <c r="G81" i="46"/>
  <c r="F81" i="46"/>
  <c r="E81" i="46"/>
  <c r="G76" i="46"/>
  <c r="F76" i="46"/>
  <c r="E76" i="46"/>
  <c r="G53" i="46"/>
  <c r="F53" i="46"/>
  <c r="E53" i="46"/>
  <c r="G39" i="46"/>
  <c r="F39" i="46"/>
  <c r="E39" i="46"/>
  <c r="G32" i="46"/>
  <c r="F32" i="46"/>
  <c r="E32" i="46"/>
  <c r="F20" i="46"/>
  <c r="E20" i="46"/>
  <c r="E144" i="46" l="1"/>
  <c r="G144" i="46"/>
  <c r="E118" i="46"/>
  <c r="F118" i="46"/>
  <c r="F145" i="46" s="1"/>
  <c r="F1184" i="46" s="1"/>
  <c r="L147" i="198" s="1"/>
  <c r="G118" i="46"/>
  <c r="E96" i="46"/>
  <c r="F96" i="46"/>
  <c r="G96" i="46"/>
  <c r="E71" i="46"/>
  <c r="G71" i="46"/>
  <c r="G145" i="46" l="1"/>
  <c r="G1184" i="46" s="1"/>
  <c r="L148" i="198" s="1"/>
  <c r="E145" i="46"/>
  <c r="E1184" i="46" s="1"/>
  <c r="L146" i="198" s="1"/>
  <c r="G97" i="46"/>
  <c r="E97" i="46"/>
  <c r="I25" i="29" l="1"/>
  <c r="H19" i="29"/>
  <c r="I19" i="29"/>
  <c r="H25" i="29"/>
  <c r="B3" i="158"/>
  <c r="K128" i="46" l="1"/>
  <c r="J128" i="46" s="1"/>
  <c r="K115" i="46"/>
  <c r="J115" i="46" s="1"/>
  <c r="K107" i="46"/>
  <c r="J107" i="46" s="1"/>
  <c r="K106" i="46"/>
  <c r="J106" i="46" s="1"/>
  <c r="K117" i="46"/>
  <c r="J117" i="46" s="1"/>
  <c r="K31" i="46"/>
  <c r="J31" i="46" s="1"/>
  <c r="K42" i="46"/>
  <c r="J42" i="46" s="1"/>
  <c r="K133" i="46"/>
  <c r="J133" i="46" s="1"/>
  <c r="K56" i="46"/>
  <c r="J56" i="46" s="1"/>
  <c r="K23" i="46"/>
  <c r="J23" i="46" s="1"/>
  <c r="K44" i="46"/>
  <c r="J44" i="46" s="1"/>
  <c r="K41" i="46"/>
  <c r="J41" i="46" s="1"/>
  <c r="K83" i="46"/>
  <c r="J83" i="46" s="1"/>
  <c r="K38" i="46"/>
  <c r="J38" i="46" s="1"/>
  <c r="K25" i="46"/>
  <c r="J25" i="46" s="1"/>
  <c r="K43" i="46"/>
  <c r="J43" i="46" s="1"/>
  <c r="K29" i="46"/>
  <c r="J29" i="46" s="1"/>
  <c r="K45" i="46"/>
  <c r="J45" i="46" s="1"/>
  <c r="K82" i="46"/>
  <c r="J82" i="46" s="1"/>
  <c r="K55" i="46"/>
  <c r="J55" i="46" s="1"/>
  <c r="K108" i="46"/>
  <c r="J108" i="46" s="1"/>
  <c r="K81" i="46" l="1"/>
  <c r="J81" i="46" s="1"/>
  <c r="K131" i="46"/>
  <c r="J131" i="46" s="1"/>
  <c r="K86" i="46"/>
  <c r="J86" i="46" s="1"/>
  <c r="K141" i="46"/>
  <c r="J141" i="46" s="1"/>
  <c r="K78" i="46"/>
  <c r="J78" i="46" s="1"/>
  <c r="K77" i="46"/>
  <c r="J77" i="46" s="1"/>
  <c r="K15" i="46"/>
  <c r="J15" i="46" s="1"/>
  <c r="K87" i="46"/>
  <c r="J87" i="46" s="1"/>
  <c r="K140" i="46"/>
  <c r="J140" i="46" s="1"/>
  <c r="K18" i="46"/>
  <c r="J18" i="46" s="1"/>
  <c r="K85" i="46"/>
  <c r="J85" i="46" s="1"/>
  <c r="K80" i="46"/>
  <c r="J80" i="46" s="1"/>
  <c r="K58" i="46"/>
  <c r="J58" i="46" s="1"/>
  <c r="K34" i="46"/>
  <c r="J34" i="46" s="1"/>
  <c r="K143" i="46"/>
  <c r="J143" i="46" s="1"/>
  <c r="K33" i="46"/>
  <c r="J33" i="46" s="1"/>
  <c r="K35" i="46"/>
  <c r="J35" i="46" s="1"/>
  <c r="K134" i="46"/>
  <c r="J134" i="46" s="1"/>
  <c r="K139" i="46"/>
  <c r="J139" i="46" s="1"/>
  <c r="K135" i="46"/>
  <c r="J135" i="46" s="1"/>
  <c r="K79" i="46"/>
  <c r="J79" i="46" s="1"/>
  <c r="K57" i="46"/>
  <c r="J57" i="46" s="1"/>
  <c r="K17" i="46"/>
  <c r="J17" i="46" s="1"/>
  <c r="K126" i="46"/>
  <c r="J126" i="46" s="1"/>
  <c r="K142" i="46"/>
  <c r="J142" i="46" s="1"/>
  <c r="K129" i="46"/>
  <c r="J129" i="46" s="1"/>
  <c r="K138" i="46"/>
  <c r="J138" i="46" s="1"/>
  <c r="K36" i="46"/>
  <c r="J36" i="46" s="1"/>
  <c r="F135" i="29"/>
  <c r="K137" i="46"/>
  <c r="J137" i="46" s="1"/>
  <c r="K24" i="46"/>
  <c r="J24" i="46" s="1"/>
  <c r="K22" i="46"/>
  <c r="J22" i="46" s="1"/>
  <c r="K127" i="46"/>
  <c r="J127" i="46" s="1"/>
  <c r="K75" i="46"/>
  <c r="J75" i="46" s="1"/>
  <c r="K19" i="46"/>
  <c r="J19" i="46" s="1"/>
  <c r="K37" i="46"/>
  <c r="J37" i="46" s="1"/>
  <c r="K30" i="46"/>
  <c r="J30" i="46" s="1"/>
  <c r="K28" i="46"/>
  <c r="J28" i="46" s="1"/>
  <c r="K124" i="46"/>
  <c r="J124" i="46" s="1"/>
  <c r="K125" i="46"/>
  <c r="J125" i="46" s="1"/>
  <c r="K109" i="46"/>
  <c r="J109" i="46" s="1"/>
  <c r="K121" i="46"/>
  <c r="J121" i="46" s="1"/>
  <c r="K132" i="46"/>
  <c r="J132" i="46" s="1"/>
  <c r="K14" i="46"/>
  <c r="J14" i="46" s="1"/>
  <c r="K74" i="46"/>
  <c r="J74" i="46" s="1"/>
  <c r="K122" i="46"/>
  <c r="J122" i="46" s="1"/>
  <c r="F83" i="29"/>
  <c r="F80" i="29"/>
  <c r="F122" i="29"/>
  <c r="F87" i="29"/>
  <c r="F75" i="29"/>
  <c r="F129" i="29"/>
  <c r="G19" i="29"/>
  <c r="F31" i="29"/>
  <c r="K105" i="46"/>
  <c r="J105" i="46" s="1"/>
  <c r="K136" i="46" l="1"/>
  <c r="J136" i="46" s="1"/>
  <c r="K76" i="46"/>
  <c r="J76" i="46" s="1"/>
  <c r="K84" i="46"/>
  <c r="J84" i="46" s="1"/>
  <c r="K123" i="46"/>
  <c r="J123" i="46" s="1"/>
  <c r="H15" i="21"/>
  <c r="B51" i="199"/>
  <c r="B38" i="199"/>
  <c r="K32" i="46"/>
  <c r="J32" i="46" s="1"/>
  <c r="F88" i="17"/>
  <c r="F84" i="17"/>
  <c r="F76" i="17"/>
  <c r="K40" i="46"/>
  <c r="F111" i="29"/>
  <c r="K113" i="46"/>
  <c r="F123" i="17"/>
  <c r="F52" i="29"/>
  <c r="K54" i="46"/>
  <c r="F135" i="17"/>
  <c r="F19" i="29"/>
  <c r="K21" i="46"/>
  <c r="K130" i="46"/>
  <c r="J130" i="46" s="1"/>
  <c r="F25" i="33"/>
  <c r="K16" i="46"/>
  <c r="J16" i="46" s="1"/>
  <c r="F118" i="29"/>
  <c r="F143" i="29" s="1"/>
  <c r="K120" i="46"/>
  <c r="F119" i="17"/>
  <c r="F130" i="17"/>
  <c r="K13" i="46"/>
  <c r="J13" i="46" s="1"/>
  <c r="L21" i="16"/>
  <c r="G102" i="29"/>
  <c r="G25" i="29"/>
  <c r="G71" i="29"/>
  <c r="G13" i="23"/>
  <c r="H116" i="17"/>
  <c r="I116" i="17"/>
  <c r="G116" i="17"/>
  <c r="H114" i="17"/>
  <c r="I114" i="17"/>
  <c r="G114" i="17"/>
  <c r="H110" i="17"/>
  <c r="I110" i="17"/>
  <c r="H111" i="17"/>
  <c r="I111" i="17"/>
  <c r="G111" i="17"/>
  <c r="G110" i="17"/>
  <c r="D15" i="25"/>
  <c r="G33" i="52"/>
  <c r="F33" i="52"/>
  <c r="E33" i="52"/>
  <c r="B5" i="52"/>
  <c r="B4" i="52"/>
  <c r="F15" i="51"/>
  <c r="G15" i="51"/>
  <c r="B4" i="51"/>
  <c r="B5" i="51"/>
  <c r="B5" i="157"/>
  <c r="B4" i="157"/>
  <c r="B5" i="50"/>
  <c r="B4" i="50"/>
  <c r="B4" i="49"/>
  <c r="F14" i="48"/>
  <c r="F26" i="48" s="1"/>
  <c r="E14" i="48"/>
  <c r="E26" i="48" s="1"/>
  <c r="B4" i="48"/>
  <c r="H69" i="47"/>
  <c r="G71" i="47"/>
  <c r="I71" i="47"/>
  <c r="I67" i="47"/>
  <c r="J61" i="47"/>
  <c r="J71" i="47" s="1"/>
  <c r="I61" i="47"/>
  <c r="H61" i="47"/>
  <c r="H71" i="47" s="1"/>
  <c r="G61" i="47"/>
  <c r="F61" i="47"/>
  <c r="F71" i="47" s="1"/>
  <c r="K60" i="47"/>
  <c r="K59" i="47"/>
  <c r="K58" i="47"/>
  <c r="K57" i="47"/>
  <c r="K56" i="47"/>
  <c r="J50" i="47"/>
  <c r="J70" i="47" s="1"/>
  <c r="I50" i="47"/>
  <c r="I70" i="47" s="1"/>
  <c r="H50" i="47"/>
  <c r="H70" i="47" s="1"/>
  <c r="G50" i="47"/>
  <c r="G70" i="47" s="1"/>
  <c r="F50" i="47"/>
  <c r="F70" i="47" s="1"/>
  <c r="K49" i="47"/>
  <c r="K48" i="47"/>
  <c r="K47" i="47"/>
  <c r="K46" i="47"/>
  <c r="K45" i="47"/>
  <c r="J39" i="47"/>
  <c r="J69" i="47" s="1"/>
  <c r="I39" i="47"/>
  <c r="I69" i="47" s="1"/>
  <c r="H39" i="47"/>
  <c r="G39" i="47"/>
  <c r="G69" i="47" s="1"/>
  <c r="F39" i="47"/>
  <c r="F69" i="47" s="1"/>
  <c r="K38" i="47"/>
  <c r="K37" i="47"/>
  <c r="K36" i="47"/>
  <c r="K35" i="47"/>
  <c r="K34" i="47"/>
  <c r="J28" i="47"/>
  <c r="J68" i="47" s="1"/>
  <c r="I28" i="47"/>
  <c r="I68" i="47" s="1"/>
  <c r="H28" i="47"/>
  <c r="H68" i="47" s="1"/>
  <c r="G28" i="47"/>
  <c r="G68" i="47" s="1"/>
  <c r="F28" i="47"/>
  <c r="F68" i="47" s="1"/>
  <c r="F11" i="47"/>
  <c r="F17" i="47"/>
  <c r="F67" i="47" s="1"/>
  <c r="G17" i="47"/>
  <c r="G67" i="47" s="1"/>
  <c r="H17" i="47"/>
  <c r="H67" i="47" s="1"/>
  <c r="I17" i="47"/>
  <c r="J17" i="47"/>
  <c r="J67" i="47" s="1"/>
  <c r="B4" i="47"/>
  <c r="B4" i="45"/>
  <c r="D19" i="28"/>
  <c r="F359" i="28"/>
  <c r="E359" i="28"/>
  <c r="D359" i="28"/>
  <c r="G358" i="28"/>
  <c r="G357" i="28"/>
  <c r="G356" i="28"/>
  <c r="G355" i="28"/>
  <c r="F354" i="28"/>
  <c r="E354" i="28"/>
  <c r="D354" i="28"/>
  <c r="G353" i="28"/>
  <c r="G352" i="28"/>
  <c r="G351" i="28"/>
  <c r="G350" i="28"/>
  <c r="G349" i="28"/>
  <c r="G348" i="28"/>
  <c r="G354" i="28" s="1"/>
  <c r="F347" i="28"/>
  <c r="E347" i="28"/>
  <c r="D347" i="28"/>
  <c r="F342" i="28"/>
  <c r="E342" i="28"/>
  <c r="D342" i="28"/>
  <c r="G341" i="28"/>
  <c r="G340" i="28"/>
  <c r="G339" i="28"/>
  <c r="G338" i="28"/>
  <c r="F337" i="28"/>
  <c r="E337" i="28"/>
  <c r="D337" i="28"/>
  <c r="G336" i="28"/>
  <c r="G335" i="28"/>
  <c r="G334" i="28"/>
  <c r="G333" i="28"/>
  <c r="G332" i="28"/>
  <c r="G331" i="28"/>
  <c r="F330" i="28"/>
  <c r="E330" i="28"/>
  <c r="D330" i="28"/>
  <c r="F325" i="28"/>
  <c r="E325" i="28"/>
  <c r="D325" i="28"/>
  <c r="G324" i="28"/>
  <c r="G323" i="28"/>
  <c r="G322" i="28"/>
  <c r="G321" i="28"/>
  <c r="F320" i="28"/>
  <c r="E320" i="28"/>
  <c r="D320" i="28"/>
  <c r="G319" i="28"/>
  <c r="G318" i="28"/>
  <c r="G317" i="28"/>
  <c r="G316" i="28"/>
  <c r="G315" i="28"/>
  <c r="G314" i="28"/>
  <c r="F313" i="28"/>
  <c r="E313" i="28"/>
  <c r="D313" i="28"/>
  <c r="F308" i="28"/>
  <c r="E308" i="28"/>
  <c r="D308" i="28"/>
  <c r="G307" i="28"/>
  <c r="G306" i="28"/>
  <c r="G305" i="28"/>
  <c r="G304" i="28"/>
  <c r="G308" i="28" s="1"/>
  <c r="F303" i="28"/>
  <c r="E303" i="28"/>
  <c r="D303" i="28"/>
  <c r="G302" i="28"/>
  <c r="G301" i="28"/>
  <c r="G300" i="28"/>
  <c r="G299" i="28"/>
  <c r="G298" i="28"/>
  <c r="G297" i="28"/>
  <c r="G303" i="28" s="1"/>
  <c r="F296" i="28"/>
  <c r="E296" i="28"/>
  <c r="D296" i="28"/>
  <c r="F291" i="28"/>
  <c r="E291" i="28"/>
  <c r="D291" i="28"/>
  <c r="G290" i="28"/>
  <c r="G289" i="28"/>
  <c r="G288" i="28"/>
  <c r="G287" i="28"/>
  <c r="F286" i="28"/>
  <c r="E286" i="28"/>
  <c r="D286" i="28"/>
  <c r="G285" i="28"/>
  <c r="G284" i="28"/>
  <c r="G283" i="28"/>
  <c r="G282" i="28"/>
  <c r="G281" i="28"/>
  <c r="G280" i="28"/>
  <c r="F279" i="28"/>
  <c r="E279" i="28"/>
  <c r="D279" i="28"/>
  <c r="F274" i="28"/>
  <c r="E274" i="28"/>
  <c r="D274" i="28"/>
  <c r="G273" i="28"/>
  <c r="G272" i="28"/>
  <c r="G271" i="28"/>
  <c r="G270" i="28"/>
  <c r="F269" i="28"/>
  <c r="E269" i="28"/>
  <c r="D269" i="28"/>
  <c r="G268" i="28"/>
  <c r="G267" i="28"/>
  <c r="G266" i="28"/>
  <c r="G265" i="28"/>
  <c r="G264" i="28"/>
  <c r="G263" i="28"/>
  <c r="G269" i="28" s="1"/>
  <c r="F262" i="28"/>
  <c r="E262" i="28"/>
  <c r="D262" i="28"/>
  <c r="F257" i="28"/>
  <c r="E257" i="28"/>
  <c r="D257" i="28"/>
  <c r="G256" i="28"/>
  <c r="G255" i="28"/>
  <c r="G254" i="28"/>
  <c r="G253" i="28"/>
  <c r="G257" i="28" s="1"/>
  <c r="G252" i="28"/>
  <c r="F252" i="28"/>
  <c r="E252" i="28"/>
  <c r="D252" i="28"/>
  <c r="G251" i="28"/>
  <c r="G250" i="28"/>
  <c r="G249" i="28"/>
  <c r="G248" i="28"/>
  <c r="G247" i="28"/>
  <c r="G246" i="28"/>
  <c r="F245" i="28"/>
  <c r="E245" i="28"/>
  <c r="D245" i="28"/>
  <c r="F240" i="28"/>
  <c r="E240" i="28"/>
  <c r="D240" i="28"/>
  <c r="G239" i="28"/>
  <c r="G238" i="28"/>
  <c r="G237" i="28"/>
  <c r="G236" i="28"/>
  <c r="F235" i="28"/>
  <c r="E235" i="28"/>
  <c r="D235" i="28"/>
  <c r="G234" i="28"/>
  <c r="G233" i="28"/>
  <c r="G232" i="28"/>
  <c r="G231" i="28"/>
  <c r="G230" i="28"/>
  <c r="G229" i="28"/>
  <c r="F228" i="28"/>
  <c r="E228" i="28"/>
  <c r="D228" i="28"/>
  <c r="F223" i="28"/>
  <c r="E223" i="28"/>
  <c r="D223" i="28"/>
  <c r="G222" i="28"/>
  <c r="G221" i="28"/>
  <c r="G220" i="28"/>
  <c r="G219" i="28"/>
  <c r="F218" i="28"/>
  <c r="E218" i="28"/>
  <c r="D218" i="28"/>
  <c r="G217" i="28"/>
  <c r="G216" i="28"/>
  <c r="G215" i="28"/>
  <c r="G214" i="28"/>
  <c r="G213" i="28"/>
  <c r="G212" i="28"/>
  <c r="F211" i="28"/>
  <c r="E211" i="28"/>
  <c r="D211" i="28"/>
  <c r="F206" i="28"/>
  <c r="E206" i="28"/>
  <c r="D206" i="28"/>
  <c r="G205" i="28"/>
  <c r="G204" i="28"/>
  <c r="G203" i="28"/>
  <c r="G202" i="28"/>
  <c r="F201" i="28"/>
  <c r="E201" i="28"/>
  <c r="D201" i="28"/>
  <c r="G200" i="28"/>
  <c r="G199" i="28"/>
  <c r="G198" i="28"/>
  <c r="G197" i="28"/>
  <c r="G196" i="28"/>
  <c r="G195" i="28"/>
  <c r="F194" i="28"/>
  <c r="E194" i="28"/>
  <c r="D194" i="28"/>
  <c r="F189" i="28"/>
  <c r="E189" i="28"/>
  <c r="D189" i="28"/>
  <c r="G188" i="28"/>
  <c r="G187" i="28"/>
  <c r="G186" i="28"/>
  <c r="G185" i="28"/>
  <c r="F184" i="28"/>
  <c r="E184" i="28"/>
  <c r="D184" i="28"/>
  <c r="G183" i="28"/>
  <c r="G182" i="28"/>
  <c r="G181" i="28"/>
  <c r="G180" i="28"/>
  <c r="G179" i="28"/>
  <c r="G178" i="28"/>
  <c r="F177" i="28"/>
  <c r="E177" i="28"/>
  <c r="D177" i="28"/>
  <c r="F172" i="28"/>
  <c r="E172" i="28"/>
  <c r="D172" i="28"/>
  <c r="G171" i="28"/>
  <c r="G170" i="28"/>
  <c r="G169" i="28"/>
  <c r="G168" i="28"/>
  <c r="G167" i="28"/>
  <c r="F167" i="28"/>
  <c r="E167" i="28"/>
  <c r="D167" i="28"/>
  <c r="G166" i="28"/>
  <c r="G165" i="28"/>
  <c r="G164" i="28"/>
  <c r="G163" i="28"/>
  <c r="G162" i="28"/>
  <c r="G161" i="28"/>
  <c r="F160" i="28"/>
  <c r="E160" i="28"/>
  <c r="D160" i="28"/>
  <c r="F155" i="28"/>
  <c r="E155" i="28"/>
  <c r="D155" i="28"/>
  <c r="G154" i="28"/>
  <c r="G153" i="28"/>
  <c r="G152" i="28"/>
  <c r="G151" i="28"/>
  <c r="F150" i="28"/>
  <c r="E150" i="28"/>
  <c r="D150" i="28"/>
  <c r="G149" i="28"/>
  <c r="G148" i="28"/>
  <c r="G147" i="28"/>
  <c r="G150" i="28" s="1"/>
  <c r="G146" i="28"/>
  <c r="G145" i="28"/>
  <c r="G144" i="28"/>
  <c r="F143" i="28"/>
  <c r="E143" i="28"/>
  <c r="D143" i="28"/>
  <c r="F138" i="28"/>
  <c r="E138" i="28"/>
  <c r="D138" i="28"/>
  <c r="G137" i="28"/>
  <c r="G136" i="28"/>
  <c r="G135" i="28"/>
  <c r="G134" i="28"/>
  <c r="F133" i="28"/>
  <c r="E133" i="28"/>
  <c r="D133" i="28"/>
  <c r="G132" i="28"/>
  <c r="G131" i="28"/>
  <c r="G130" i="28"/>
  <c r="G129" i="28"/>
  <c r="G128" i="28"/>
  <c r="G127" i="28"/>
  <c r="F126" i="28"/>
  <c r="E126" i="28"/>
  <c r="D126" i="28"/>
  <c r="F121" i="28"/>
  <c r="E121" i="28"/>
  <c r="D121" i="28"/>
  <c r="G120" i="28"/>
  <c r="G119" i="28"/>
  <c r="G118" i="28"/>
  <c r="G117" i="28"/>
  <c r="F116" i="28"/>
  <c r="E116" i="28"/>
  <c r="D116" i="28"/>
  <c r="G115" i="28"/>
  <c r="G114" i="28"/>
  <c r="G113" i="28"/>
  <c r="G112" i="28"/>
  <c r="G111" i="28"/>
  <c r="G110" i="28"/>
  <c r="G116" i="28" s="1"/>
  <c r="F109" i="28"/>
  <c r="E109" i="28"/>
  <c r="D109" i="28"/>
  <c r="F104" i="28"/>
  <c r="E104" i="28"/>
  <c r="D104" i="28"/>
  <c r="G103" i="28"/>
  <c r="G102" i="28"/>
  <c r="G101" i="28"/>
  <c r="G100" i="28"/>
  <c r="F99" i="28"/>
  <c r="E99" i="28"/>
  <c r="D99" i="28"/>
  <c r="G98" i="28"/>
  <c r="G97" i="28"/>
  <c r="G96" i="28"/>
  <c r="G95" i="28"/>
  <c r="G94" i="28"/>
  <c r="G93" i="28"/>
  <c r="F92" i="28"/>
  <c r="E92" i="28"/>
  <c r="D92" i="28"/>
  <c r="F87" i="28"/>
  <c r="E87" i="28"/>
  <c r="D87" i="28"/>
  <c r="G86" i="28"/>
  <c r="G85" i="28"/>
  <c r="G84" i="28"/>
  <c r="G83" i="28"/>
  <c r="F82" i="28"/>
  <c r="E82" i="28"/>
  <c r="D82" i="28"/>
  <c r="G81" i="28"/>
  <c r="G80" i="28"/>
  <c r="G79" i="28"/>
  <c r="G78" i="28"/>
  <c r="G77" i="28"/>
  <c r="G76" i="28"/>
  <c r="G82" i="28" s="1"/>
  <c r="F75" i="28"/>
  <c r="E75" i="28"/>
  <c r="D75" i="28"/>
  <c r="F70" i="28"/>
  <c r="E70" i="28"/>
  <c r="D70" i="28"/>
  <c r="G69" i="28"/>
  <c r="G68" i="28"/>
  <c r="G67" i="28"/>
  <c r="G66" i="28"/>
  <c r="F65" i="28"/>
  <c r="E65" i="28"/>
  <c r="D65" i="28"/>
  <c r="G64" i="28"/>
  <c r="G63" i="28"/>
  <c r="G62" i="28"/>
  <c r="G61" i="28"/>
  <c r="G60" i="28"/>
  <c r="G59" i="28"/>
  <c r="F58" i="28"/>
  <c r="E58" i="28"/>
  <c r="D58" i="28"/>
  <c r="F53" i="28"/>
  <c r="E53" i="28"/>
  <c r="D53" i="28"/>
  <c r="G52" i="28"/>
  <c r="G51" i="28"/>
  <c r="G50" i="28"/>
  <c r="G49" i="28"/>
  <c r="F48" i="28"/>
  <c r="E48" i="28"/>
  <c r="D48" i="28"/>
  <c r="G47" i="28"/>
  <c r="G46" i="28"/>
  <c r="G45" i="28"/>
  <c r="G44" i="28"/>
  <c r="G43" i="28"/>
  <c r="G42" i="28"/>
  <c r="E41" i="28"/>
  <c r="D41" i="28"/>
  <c r="B5" i="25"/>
  <c r="E15" i="23"/>
  <c r="B5" i="22"/>
  <c r="B4" i="22"/>
  <c r="B5" i="21"/>
  <c r="B4" i="21"/>
  <c r="B5" i="17"/>
  <c r="B4" i="17"/>
  <c r="B5" i="16"/>
  <c r="E10" i="16"/>
  <c r="B4" i="16"/>
  <c r="B6" i="28"/>
  <c r="F24" i="28"/>
  <c r="B42" i="158"/>
  <c r="B41" i="158"/>
  <c r="B40" i="158"/>
  <c r="B39" i="158"/>
  <c r="B38" i="158"/>
  <c r="B37" i="158"/>
  <c r="B36" i="158"/>
  <c r="B32" i="158"/>
  <c r="B31" i="158"/>
  <c r="B30" i="158"/>
  <c r="D31" i="158"/>
  <c r="K39" i="46" l="1"/>
  <c r="J39" i="46" s="1"/>
  <c r="J40" i="46"/>
  <c r="K20" i="46"/>
  <c r="J20" i="46" s="1"/>
  <c r="J21" i="46"/>
  <c r="K53" i="46"/>
  <c r="J53" i="46" s="1"/>
  <c r="J54" i="46"/>
  <c r="K112" i="46"/>
  <c r="J112" i="46" s="1"/>
  <c r="J113" i="46"/>
  <c r="K119" i="46"/>
  <c r="J119" i="46" s="1"/>
  <c r="J120" i="46"/>
  <c r="G223" i="28"/>
  <c r="K69" i="47"/>
  <c r="G184" i="28"/>
  <c r="G48" i="28"/>
  <c r="G133" i="28"/>
  <c r="G172" i="28"/>
  <c r="G286" i="28"/>
  <c r="G337" i="28"/>
  <c r="G325" i="28"/>
  <c r="G65" i="28"/>
  <c r="G235" i="28"/>
  <c r="G274" i="28"/>
  <c r="G359" i="28"/>
  <c r="G201" i="28"/>
  <c r="K12" i="46"/>
  <c r="J12" i="46" s="1"/>
  <c r="F40" i="33"/>
  <c r="F45" i="33" s="1"/>
  <c r="G32" i="158" s="1"/>
  <c r="F143" i="17"/>
  <c r="H10" i="16"/>
  <c r="F102" i="29"/>
  <c r="F117" i="29" s="1"/>
  <c r="F144" i="29" s="1"/>
  <c r="K104" i="46"/>
  <c r="J104" i="46" s="1"/>
  <c r="H22" i="16"/>
  <c r="F12" i="17"/>
  <c r="F51" i="33"/>
  <c r="F71" i="29"/>
  <c r="F95" i="29" s="1"/>
  <c r="K73" i="46"/>
  <c r="F72" i="17"/>
  <c r="F25" i="29"/>
  <c r="F70" i="29" s="1"/>
  <c r="K27" i="46"/>
  <c r="F72" i="47"/>
  <c r="K67" i="47"/>
  <c r="G70" i="28"/>
  <c r="I72" i="47"/>
  <c r="G104" i="28"/>
  <c r="G155" i="28"/>
  <c r="G206" i="28"/>
  <c r="G320" i="28"/>
  <c r="G53" i="28"/>
  <c r="G218" i="28"/>
  <c r="G342" i="28"/>
  <c r="G240" i="28"/>
  <c r="G291" i="28"/>
  <c r="K68" i="47"/>
  <c r="K61" i="47"/>
  <c r="G138" i="28"/>
  <c r="G189" i="28"/>
  <c r="G87" i="28"/>
  <c r="G99" i="28"/>
  <c r="H72" i="47"/>
  <c r="G121" i="28"/>
  <c r="E17" i="24"/>
  <c r="E18" i="24" s="1"/>
  <c r="K71" i="47"/>
  <c r="J72" i="47"/>
  <c r="K50" i="47"/>
  <c r="K70" i="47"/>
  <c r="G72" i="47"/>
  <c r="K39" i="47"/>
  <c r="K72" i="46" l="1"/>
  <c r="J73" i="46"/>
  <c r="K26" i="46"/>
  <c r="J26" i="46" s="1"/>
  <c r="J27" i="46"/>
  <c r="K144" i="46"/>
  <c r="J144" i="46" s="1"/>
  <c r="S34" i="49"/>
  <c r="I67" i="198"/>
  <c r="K103" i="46"/>
  <c r="H21" i="16"/>
  <c r="B43" i="199"/>
  <c r="H17" i="21"/>
  <c r="F64" i="33"/>
  <c r="H32" i="158" s="1"/>
  <c r="K21" i="16"/>
  <c r="H20" i="158" s="1"/>
  <c r="F96" i="29"/>
  <c r="G31" i="158" s="1"/>
  <c r="H31" i="158"/>
  <c r="E10" i="21"/>
  <c r="J21" i="16"/>
  <c r="K72" i="47"/>
  <c r="K71" i="46" l="1"/>
  <c r="J71" i="46"/>
  <c r="K118" i="46"/>
  <c r="J103" i="46"/>
  <c r="K96" i="46"/>
  <c r="J96" i="46" s="1"/>
  <c r="J72" i="46"/>
  <c r="L67" i="198"/>
  <c r="I68" i="198"/>
  <c r="K31" i="158"/>
  <c r="G20" i="158"/>
  <c r="K145" i="46" l="1"/>
  <c r="J118" i="46"/>
  <c r="K97" i="46"/>
  <c r="J97" i="46" s="1"/>
  <c r="C3" i="28"/>
  <c r="H10" i="27"/>
  <c r="G26" i="28"/>
  <c r="K1184" i="46" l="1"/>
  <c r="L150" i="198" s="1"/>
  <c r="J145" i="46"/>
  <c r="G11" i="52"/>
  <c r="F11" i="52"/>
  <c r="E11" i="52"/>
  <c r="Q47" i="49"/>
  <c r="B5" i="49"/>
  <c r="K25" i="47"/>
  <c r="K26" i="47"/>
  <c r="K27" i="47"/>
  <c r="K24" i="47"/>
  <c r="K14" i="47"/>
  <c r="K15" i="47"/>
  <c r="K16" i="47"/>
  <c r="K13" i="47"/>
  <c r="D22" i="45"/>
  <c r="H16" i="45"/>
  <c r="B4" i="27"/>
  <c r="H9" i="27"/>
  <c r="G9" i="27"/>
  <c r="F9" i="27"/>
  <c r="H28" i="158"/>
  <c r="I28" i="158" s="1"/>
  <c r="H20" i="27"/>
  <c r="H27" i="158"/>
  <c r="I27" i="158" s="1"/>
  <c r="F9" i="26"/>
  <c r="H9" i="26"/>
  <c r="H20" i="26"/>
  <c r="F30" i="26"/>
  <c r="G9" i="26"/>
  <c r="H10" i="26"/>
  <c r="B4" i="26"/>
  <c r="B4" i="25"/>
  <c r="B4" i="24"/>
  <c r="D15" i="23"/>
  <c r="G11" i="23"/>
  <c r="G12" i="23"/>
  <c r="G14" i="23"/>
  <c r="B4" i="23"/>
  <c r="K23" i="47" l="1"/>
  <c r="K28" i="47" s="1"/>
  <c r="K12" i="47"/>
  <c r="K17" i="47" s="1"/>
  <c r="H21" i="27"/>
  <c r="H29" i="46" l="1"/>
  <c r="H23" i="46"/>
  <c r="H55" i="46"/>
  <c r="H43" i="46"/>
  <c r="H56" i="46"/>
  <c r="H45" i="46"/>
  <c r="H83" i="46"/>
  <c r="H31" i="46"/>
  <c r="H25" i="46"/>
  <c r="H41" i="46"/>
  <c r="H42" i="46"/>
  <c r="H133" i="46"/>
  <c r="H44" i="46"/>
  <c r="H38" i="46" l="1"/>
  <c r="H16" i="46"/>
  <c r="H77" i="46"/>
  <c r="E75" i="29"/>
  <c r="H34" i="46"/>
  <c r="H86" i="46"/>
  <c r="H129" i="46"/>
  <c r="H28" i="46"/>
  <c r="H78" i="46"/>
  <c r="H82" i="46"/>
  <c r="H81" i="46" s="1"/>
  <c r="E80" i="29"/>
  <c r="H178" i="46"/>
  <c r="H122" i="46"/>
  <c r="H120" i="46"/>
  <c r="E135" i="29"/>
  <c r="H138" i="46"/>
  <c r="H131" i="46"/>
  <c r="H80" i="46"/>
  <c r="H124" i="46"/>
  <c r="E122" i="29"/>
  <c r="H125" i="46"/>
  <c r="H105" i="46"/>
  <c r="H36" i="46"/>
  <c r="H27" i="46"/>
  <c r="E25" i="29"/>
  <c r="H17" i="46"/>
  <c r="H21" i="46"/>
  <c r="H14" i="46"/>
  <c r="H73" i="46"/>
  <c r="E71" i="29"/>
  <c r="E118" i="29"/>
  <c r="H121" i="46"/>
  <c r="H126" i="46"/>
  <c r="H22" i="46"/>
  <c r="H141" i="46"/>
  <c r="H57" i="46"/>
  <c r="H24" i="46"/>
  <c r="H13" i="46"/>
  <c r="H137" i="46"/>
  <c r="H33" i="46"/>
  <c r="H142" i="46"/>
  <c r="H58" i="46"/>
  <c r="H87" i="46"/>
  <c r="H143" i="46"/>
  <c r="E83" i="29"/>
  <c r="H85" i="46"/>
  <c r="H54" i="46"/>
  <c r="E52" i="29"/>
  <c r="H35" i="46"/>
  <c r="H185" i="46"/>
  <c r="H79" i="46"/>
  <c r="H37" i="46"/>
  <c r="H128" i="46"/>
  <c r="H75" i="46"/>
  <c r="H19" i="46"/>
  <c r="H134" i="46"/>
  <c r="H135" i="46"/>
  <c r="H139" i="46"/>
  <c r="H140" i="46"/>
  <c r="H30" i="46"/>
  <c r="H40" i="46"/>
  <c r="H127" i="46"/>
  <c r="H18" i="46"/>
  <c r="E87" i="29"/>
  <c r="E129" i="29"/>
  <c r="H132" i="46"/>
  <c r="H15" i="46"/>
  <c r="H74" i="46"/>
  <c r="H80" i="29"/>
  <c r="H75" i="29"/>
  <c r="H76" i="17"/>
  <c r="H87" i="29"/>
  <c r="G80" i="29"/>
  <c r="I80" i="29"/>
  <c r="H84" i="17"/>
  <c r="H83" i="29"/>
  <c r="I75" i="29"/>
  <c r="I76" i="17"/>
  <c r="I83" i="29"/>
  <c r="I84" i="17"/>
  <c r="G83" i="29"/>
  <c r="H71" i="29"/>
  <c r="H72" i="17"/>
  <c r="G87" i="29"/>
  <c r="G75" i="29"/>
  <c r="I71" i="29"/>
  <c r="I72" i="17"/>
  <c r="H52" i="29"/>
  <c r="I52" i="29"/>
  <c r="G52" i="29"/>
  <c r="H31" i="29"/>
  <c r="G31" i="29"/>
  <c r="I31" i="29"/>
  <c r="I25" i="33"/>
  <c r="H25" i="33"/>
  <c r="G25" i="33"/>
  <c r="I135" i="29"/>
  <c r="I135" i="17"/>
  <c r="I118" i="29"/>
  <c r="I119" i="17"/>
  <c r="I122" i="29"/>
  <c r="I123" i="17"/>
  <c r="H129" i="29"/>
  <c r="H130" i="17"/>
  <c r="I129" i="29"/>
  <c r="I130" i="17"/>
  <c r="H135" i="29"/>
  <c r="H135" i="17"/>
  <c r="G135" i="29"/>
  <c r="G129" i="29"/>
  <c r="G122" i="29"/>
  <c r="H118" i="29"/>
  <c r="H119" i="17"/>
  <c r="H122" i="29"/>
  <c r="H123" i="17"/>
  <c r="G118" i="29"/>
  <c r="H223" i="78"/>
  <c r="E143" i="29" l="1"/>
  <c r="H119" i="46"/>
  <c r="H53" i="46"/>
  <c r="H26" i="46"/>
  <c r="H12" i="46"/>
  <c r="H84" i="46"/>
  <c r="H20" i="46"/>
  <c r="H130" i="46"/>
  <c r="H76" i="46"/>
  <c r="H32" i="46"/>
  <c r="E31" i="29"/>
  <c r="B34" i="199"/>
  <c r="E96" i="17"/>
  <c r="E52" i="198" s="1"/>
  <c r="H72" i="46"/>
  <c r="E95" i="29"/>
  <c r="H109" i="46"/>
  <c r="G15" i="21"/>
  <c r="H113" i="46"/>
  <c r="H39" i="46"/>
  <c r="E25" i="33"/>
  <c r="H108" i="46"/>
  <c r="H169" i="46"/>
  <c r="H117" i="46"/>
  <c r="S27" i="49"/>
  <c r="H11" i="21"/>
  <c r="E119" i="17"/>
  <c r="H106" i="46"/>
  <c r="E12" i="17"/>
  <c r="H107" i="46"/>
  <c r="E11" i="33"/>
  <c r="F53" i="17"/>
  <c r="I49" i="198" s="1"/>
  <c r="L49" i="198" s="1"/>
  <c r="E53" i="17"/>
  <c r="F81" i="17"/>
  <c r="F96" i="17" s="1"/>
  <c r="I52" i="198" s="1"/>
  <c r="L52" i="198" s="1"/>
  <c r="F32" i="17"/>
  <c r="I47" i="198" s="1"/>
  <c r="L47" i="198" s="1"/>
  <c r="E20" i="17"/>
  <c r="D11" i="21" s="1"/>
  <c r="E26" i="17"/>
  <c r="H12" i="17"/>
  <c r="I12" i="17"/>
  <c r="G12" i="17"/>
  <c r="H88" i="17"/>
  <c r="I88" i="17"/>
  <c r="H95" i="29"/>
  <c r="G72" i="17"/>
  <c r="G76" i="17"/>
  <c r="G84" i="17"/>
  <c r="G95" i="29"/>
  <c r="I87" i="29"/>
  <c r="I95" i="29" s="1"/>
  <c r="G40" i="33"/>
  <c r="I143" i="17"/>
  <c r="I143" i="29"/>
  <c r="G135" i="17"/>
  <c r="H143" i="17"/>
  <c r="H143" i="29"/>
  <c r="G123" i="17"/>
  <c r="G130" i="17"/>
  <c r="G119" i="17"/>
  <c r="G143" i="29"/>
  <c r="I111" i="29"/>
  <c r="H111" i="29"/>
  <c r="H102" i="29"/>
  <c r="H81" i="17"/>
  <c r="I81" i="17"/>
  <c r="G53" i="17"/>
  <c r="G81" i="17"/>
  <c r="I26" i="17"/>
  <c r="I53" i="17"/>
  <c r="H53" i="17"/>
  <c r="H26" i="17"/>
  <c r="H20" i="17"/>
  <c r="G20" i="17"/>
  <c r="I20" i="17"/>
  <c r="I32" i="17"/>
  <c r="G32" i="17"/>
  <c r="H32" i="17"/>
  <c r="I51" i="33"/>
  <c r="D10" i="21" l="1"/>
  <c r="E45" i="198"/>
  <c r="D10" i="22"/>
  <c r="E46" i="198"/>
  <c r="D11" i="22"/>
  <c r="E49" i="198"/>
  <c r="H96" i="46"/>
  <c r="H71" i="46"/>
  <c r="I96" i="17"/>
  <c r="H96" i="17"/>
  <c r="E70" i="29"/>
  <c r="E96" i="29" s="1"/>
  <c r="E31" i="158" s="1"/>
  <c r="B42" i="199"/>
  <c r="E17" i="21"/>
  <c r="B35" i="199"/>
  <c r="B37" i="199"/>
  <c r="B36" i="199"/>
  <c r="H184" i="46"/>
  <c r="H189" i="46" s="1"/>
  <c r="G24" i="27"/>
  <c r="B41" i="199"/>
  <c r="D17" i="21"/>
  <c r="G33" i="26"/>
  <c r="B40" i="199"/>
  <c r="G12" i="21"/>
  <c r="G14" i="21"/>
  <c r="G11" i="21"/>
  <c r="S17" i="49"/>
  <c r="E13" i="21"/>
  <c r="H104" i="46"/>
  <c r="H103" i="46" s="1"/>
  <c r="E102" i="29"/>
  <c r="S33" i="49"/>
  <c r="H12" i="22"/>
  <c r="G13" i="21"/>
  <c r="G10" i="21"/>
  <c r="E111" i="29"/>
  <c r="H115" i="46"/>
  <c r="H112" i="46" s="1"/>
  <c r="S32" i="49"/>
  <c r="H11" i="22"/>
  <c r="S14" i="49"/>
  <c r="E14" i="21"/>
  <c r="G22" i="16"/>
  <c r="S28" i="49"/>
  <c r="H12" i="21"/>
  <c r="E51" i="33"/>
  <c r="S16" i="49"/>
  <c r="E11" i="22"/>
  <c r="S18" i="49"/>
  <c r="E12" i="22"/>
  <c r="E143" i="17"/>
  <c r="S31" i="49"/>
  <c r="H10" i="22"/>
  <c r="G10" i="22"/>
  <c r="S29" i="49"/>
  <c r="H13" i="21"/>
  <c r="S30" i="49"/>
  <c r="H14" i="21"/>
  <c r="D12" i="22"/>
  <c r="E40" i="33"/>
  <c r="E45" i="33" s="1"/>
  <c r="E32" i="158" s="1"/>
  <c r="G10" i="16"/>
  <c r="F39" i="17"/>
  <c r="I48" i="198" s="1"/>
  <c r="L48" i="198" s="1"/>
  <c r="F112" i="17"/>
  <c r="B39" i="199" s="1"/>
  <c r="D12" i="21"/>
  <c r="F26" i="17"/>
  <c r="I46" i="198" s="1"/>
  <c r="L46" i="198" s="1"/>
  <c r="E32" i="17"/>
  <c r="D13" i="21"/>
  <c r="F20" i="17"/>
  <c r="I45" i="198" s="1"/>
  <c r="G88" i="17"/>
  <c r="G96" i="17" s="1"/>
  <c r="H70" i="29"/>
  <c r="H96" i="29" s="1"/>
  <c r="I40" i="33"/>
  <c r="I45" i="33" s="1"/>
  <c r="H40" i="33"/>
  <c r="H45" i="33" s="1"/>
  <c r="I70" i="29"/>
  <c r="I96" i="29" s="1"/>
  <c r="G45" i="33"/>
  <c r="G143" i="17"/>
  <c r="I64" i="33"/>
  <c r="H117" i="29"/>
  <c r="H144" i="29" s="1"/>
  <c r="H112" i="17"/>
  <c r="I112" i="17"/>
  <c r="I39" i="17"/>
  <c r="G26" i="17"/>
  <c r="G17" i="21" l="1"/>
  <c r="E67" i="198"/>
  <c r="L45" i="198"/>
  <c r="I53" i="198"/>
  <c r="H35" i="198" s="1"/>
  <c r="D14" i="21"/>
  <c r="E47" i="198"/>
  <c r="F47" i="198" s="1"/>
  <c r="H118" i="46"/>
  <c r="M10" i="16"/>
  <c r="K10" i="16" s="1"/>
  <c r="S19" i="49"/>
  <c r="G21" i="16"/>
  <c r="H97" i="46"/>
  <c r="I21" i="16"/>
  <c r="F45" i="198"/>
  <c r="F62" i="198"/>
  <c r="F49" i="198"/>
  <c r="H65" i="198"/>
  <c r="H52" i="198"/>
  <c r="F51" i="198"/>
  <c r="H46" i="198"/>
  <c r="F66" i="198"/>
  <c r="F50" i="198"/>
  <c r="F63" i="198"/>
  <c r="H67" i="198"/>
  <c r="H14" i="22"/>
  <c r="H16" i="22" s="1"/>
  <c r="H23" i="158" s="1"/>
  <c r="S13" i="49"/>
  <c r="E10" i="22"/>
  <c r="E14" i="22" s="1"/>
  <c r="G12" i="22"/>
  <c r="S15" i="49"/>
  <c r="E12" i="21"/>
  <c r="F46" i="198"/>
  <c r="E11" i="21"/>
  <c r="S12" i="49"/>
  <c r="E117" i="29"/>
  <c r="E144" i="29" s="1"/>
  <c r="F31" i="158" s="1"/>
  <c r="G11" i="22"/>
  <c r="F65" i="198"/>
  <c r="H66" i="198"/>
  <c r="H51" i="198"/>
  <c r="E64" i="33"/>
  <c r="F32" i="158" s="1"/>
  <c r="E112" i="17"/>
  <c r="E71" i="17"/>
  <c r="F71" i="17"/>
  <c r="F97" i="17" s="1"/>
  <c r="H50" i="198"/>
  <c r="H63" i="198"/>
  <c r="F52" i="198"/>
  <c r="H45" i="198"/>
  <c r="H62" i="198"/>
  <c r="H49" i="198"/>
  <c r="H47" i="198"/>
  <c r="I71" i="17"/>
  <c r="I97" i="17" s="1"/>
  <c r="G70" i="29"/>
  <c r="H51" i="33"/>
  <c r="H64" i="33" s="1"/>
  <c r="H39" i="17"/>
  <c r="H71" i="17" s="1"/>
  <c r="H97" i="17" s="1"/>
  <c r="G39" i="17"/>
  <c r="G71" i="17" s="1"/>
  <c r="E68" i="198" l="1"/>
  <c r="F67" i="198"/>
  <c r="E20" i="158"/>
  <c r="F20" i="158"/>
  <c r="G21" i="158"/>
  <c r="E97" i="17"/>
  <c r="B33" i="199"/>
  <c r="E118" i="17"/>
  <c r="E144" i="17" s="1"/>
  <c r="B19" i="199"/>
  <c r="E452" i="50"/>
  <c r="E455" i="50" s="1"/>
  <c r="E16" i="21"/>
  <c r="E18" i="21" s="1"/>
  <c r="G22" i="158" s="1"/>
  <c r="F103" i="17"/>
  <c r="S26" i="49"/>
  <c r="H10" i="21"/>
  <c r="H16" i="21" s="1"/>
  <c r="H18" i="21" s="1"/>
  <c r="H17" i="22"/>
  <c r="E17" i="22"/>
  <c r="E16" i="22"/>
  <c r="G23" i="158" s="1"/>
  <c r="E53" i="198"/>
  <c r="G96" i="29"/>
  <c r="G111" i="29"/>
  <c r="H103" i="17"/>
  <c r="H118" i="17" s="1"/>
  <c r="H144" i="17" s="1"/>
  <c r="H147" i="17" s="1"/>
  <c r="G97" i="17"/>
  <c r="B28" i="198" l="1"/>
  <c r="B25" i="206"/>
  <c r="E59" i="78"/>
  <c r="H33" i="198"/>
  <c r="I20" i="158"/>
  <c r="E21" i="158"/>
  <c r="D452" i="50"/>
  <c r="D455" i="50" s="1"/>
  <c r="D452" i="157"/>
  <c r="D455" i="157" s="1"/>
  <c r="F21" i="158"/>
  <c r="H23" i="21"/>
  <c r="H22" i="158"/>
  <c r="E23" i="21"/>
  <c r="F118" i="17"/>
  <c r="F144" i="17" s="1"/>
  <c r="B32" i="199"/>
  <c r="E18" i="22"/>
  <c r="H18" i="22"/>
  <c r="E20" i="21"/>
  <c r="H20" i="21"/>
  <c r="E19" i="21"/>
  <c r="H19" i="21"/>
  <c r="F48" i="198"/>
  <c r="F53" i="198" s="1"/>
  <c r="I34" i="198" s="1"/>
  <c r="H48" i="198"/>
  <c r="H53" i="198" s="1"/>
  <c r="G53" i="198"/>
  <c r="H34" i="198" s="1"/>
  <c r="G112" i="17"/>
  <c r="I81" i="198" l="1"/>
  <c r="I82" i="198" s="1"/>
  <c r="B29" i="206"/>
  <c r="B37" i="198"/>
  <c r="I35" i="198"/>
  <c r="H21" i="158"/>
  <c r="F147" i="17"/>
  <c r="H64" i="198"/>
  <c r="B20" i="199"/>
  <c r="B21" i="199"/>
  <c r="E452" i="157"/>
  <c r="E455" i="157" s="1"/>
  <c r="F64" i="198"/>
  <c r="G14" i="22"/>
  <c r="F59" i="198" l="1"/>
  <c r="H59" i="198"/>
  <c r="F60" i="198" l="1"/>
  <c r="H60" i="198"/>
  <c r="F31" i="28" l="1"/>
  <c r="H43" i="158" l="1"/>
  <c r="G22" i="45"/>
  <c r="F22" i="45"/>
  <c r="E22" i="45"/>
  <c r="H21" i="45"/>
  <c r="H20" i="45"/>
  <c r="H19" i="45"/>
  <c r="H18" i="45"/>
  <c r="H17" i="45"/>
  <c r="F36" i="28"/>
  <c r="E36" i="28"/>
  <c r="D36" i="28"/>
  <c r="G35" i="28"/>
  <c r="G34" i="28"/>
  <c r="G33" i="28"/>
  <c r="G32" i="28"/>
  <c r="E31" i="28"/>
  <c r="D31" i="28"/>
  <c r="G30" i="28"/>
  <c r="G29" i="28"/>
  <c r="G28" i="28"/>
  <c r="G27" i="28"/>
  <c r="G25" i="28"/>
  <c r="F21" i="27"/>
  <c r="D21" i="27"/>
  <c r="F15" i="23"/>
  <c r="G10" i="23"/>
  <c r="G15" i="23" s="1"/>
  <c r="I43" i="158" l="1"/>
  <c r="G31" i="28"/>
  <c r="G36" i="28"/>
  <c r="H22" i="45"/>
  <c r="H123" i="46" l="1"/>
  <c r="H136" i="46"/>
  <c r="Q18" i="49"/>
  <c r="H30" i="26"/>
  <c r="H144" i="46" l="1"/>
  <c r="H145" i="46" s="1"/>
  <c r="H1184" i="46" s="1"/>
  <c r="L149" i="198" s="1"/>
  <c r="Q16" i="49"/>
  <c r="Q17" i="49"/>
  <c r="Q33" i="49" l="1"/>
  <c r="P33" i="49" s="1"/>
  <c r="Q32" i="49"/>
  <c r="P32" i="49" s="1"/>
  <c r="Q13" i="49"/>
  <c r="Q14" i="49" l="1"/>
  <c r="G14" i="49" s="1"/>
  <c r="M14" i="49" s="1"/>
  <c r="J29" i="49"/>
  <c r="H29" i="49"/>
  <c r="K29" i="49"/>
  <c r="Q29" i="49"/>
  <c r="L29" i="49"/>
  <c r="M29" i="49"/>
  <c r="N29" i="49"/>
  <c r="O29" i="49"/>
  <c r="E29" i="49"/>
  <c r="F29" i="49"/>
  <c r="G29" i="49"/>
  <c r="I29" i="49"/>
  <c r="H12" i="49"/>
  <c r="G12" i="49"/>
  <c r="F12" i="49"/>
  <c r="E12" i="49"/>
  <c r="Q12" i="49"/>
  <c r="L12" i="49"/>
  <c r="O12" i="49"/>
  <c r="M12" i="49"/>
  <c r="N12" i="49"/>
  <c r="I12" i="49"/>
  <c r="J12" i="49"/>
  <c r="K12" i="49"/>
  <c r="D14" i="22"/>
  <c r="D17" i="22" s="1"/>
  <c r="Q34" i="49"/>
  <c r="P34" i="49" s="1"/>
  <c r="D17" i="24"/>
  <c r="D18" i="24" s="1"/>
  <c r="G27" i="27"/>
  <c r="P29" i="49" l="1"/>
  <c r="P12" i="49"/>
  <c r="L30" i="49"/>
  <c r="M30" i="49"/>
  <c r="N30" i="49"/>
  <c r="O30" i="49"/>
  <c r="K30" i="49"/>
  <c r="E30" i="49"/>
  <c r="G30" i="49"/>
  <c r="F30" i="49"/>
  <c r="J30" i="49"/>
  <c r="Q30" i="49"/>
  <c r="H30" i="49"/>
  <c r="I30" i="49"/>
  <c r="Q19" i="49"/>
  <c r="E19" i="49"/>
  <c r="G17" i="22"/>
  <c r="D16" i="22"/>
  <c r="E23" i="158" s="1"/>
  <c r="G36" i="26"/>
  <c r="P30" i="49" l="1"/>
  <c r="I15" i="49"/>
  <c r="H15" i="49"/>
  <c r="J15" i="49"/>
  <c r="E15" i="49"/>
  <c r="Q15" i="49"/>
  <c r="K15" i="49"/>
  <c r="L15" i="49"/>
  <c r="M15" i="49"/>
  <c r="N15" i="49"/>
  <c r="G15" i="49"/>
  <c r="O15" i="49"/>
  <c r="F15" i="49"/>
  <c r="Q31" i="49"/>
  <c r="P31" i="49" s="1"/>
  <c r="G16" i="22" l="1"/>
  <c r="F23" i="158" s="1"/>
  <c r="D18" i="22" l="1"/>
  <c r="G18" i="22"/>
  <c r="F27" i="49" l="1"/>
  <c r="G27" i="49"/>
  <c r="H27" i="49"/>
  <c r="M27" i="49"/>
  <c r="I27" i="49"/>
  <c r="J27" i="49"/>
  <c r="Q27" i="49"/>
  <c r="K27" i="49"/>
  <c r="L27" i="49"/>
  <c r="E27" i="49"/>
  <c r="N27" i="49"/>
  <c r="O27" i="49"/>
  <c r="Q26" i="49"/>
  <c r="F26" i="49"/>
  <c r="G26" i="49"/>
  <c r="N26" i="49"/>
  <c r="H26" i="49"/>
  <c r="K26" i="49"/>
  <c r="I26" i="49"/>
  <c r="O26" i="49"/>
  <c r="J26" i="49"/>
  <c r="L26" i="49"/>
  <c r="E26" i="49"/>
  <c r="M26" i="49"/>
  <c r="P27" i="49" l="1"/>
  <c r="P26" i="49"/>
  <c r="N20" i="49"/>
  <c r="F20" i="49"/>
  <c r="K20" i="49"/>
  <c r="H20" i="49"/>
  <c r="O20" i="49"/>
  <c r="I20" i="49"/>
  <c r="E449" i="50"/>
  <c r="G40" i="158" s="1"/>
  <c r="L20" i="49"/>
  <c r="M20" i="49"/>
  <c r="J20" i="49"/>
  <c r="G20" i="49"/>
  <c r="J48" i="49" l="1"/>
  <c r="L48" i="49"/>
  <c r="E20" i="49"/>
  <c r="E48" i="49" s="1"/>
  <c r="F48" i="49"/>
  <c r="O48" i="49"/>
  <c r="N48" i="49"/>
  <c r="G48" i="49"/>
  <c r="M48" i="49"/>
  <c r="K48" i="49"/>
  <c r="I48" i="49"/>
  <c r="H48" i="49"/>
  <c r="D16" i="21" l="1"/>
  <c r="S20" i="49"/>
  <c r="D18" i="21" l="1"/>
  <c r="D23" i="21" l="1"/>
  <c r="E22" i="158"/>
  <c r="D24" i="21" l="1"/>
  <c r="G51" i="33" l="1"/>
  <c r="I102" i="29" l="1"/>
  <c r="I117" i="29" s="1"/>
  <c r="I144" i="29" s="1"/>
  <c r="I103" i="17"/>
  <c r="I118" i="17" s="1"/>
  <c r="I144" i="17" s="1"/>
  <c r="I147" i="17" s="1"/>
  <c r="G117" i="29"/>
  <c r="G103" i="17"/>
  <c r="G64" i="33"/>
  <c r="E449" i="157"/>
  <c r="H41" i="158" s="1"/>
  <c r="I40" i="158" s="1"/>
  <c r="I41" i="158" l="1"/>
  <c r="I32" i="158"/>
  <c r="G118" i="17"/>
  <c r="G144" i="29"/>
  <c r="F61" i="198" l="1"/>
  <c r="F68" i="198" s="1"/>
  <c r="H61" i="198"/>
  <c r="H68" i="198" s="1"/>
  <c r="I31" i="158"/>
  <c r="G144" i="17"/>
  <c r="G16" i="21"/>
  <c r="D19" i="21" s="1"/>
  <c r="I95" i="198" l="1"/>
  <c r="I96" i="198" s="1"/>
  <c r="G147" i="17"/>
  <c r="G19" i="21"/>
  <c r="G18" i="21"/>
  <c r="I36" i="158" l="1"/>
  <c r="G23" i="21"/>
  <c r="F22" i="158"/>
  <c r="I22" i="158"/>
  <c r="D20" i="21"/>
  <c r="I21" i="158"/>
  <c r="S35" i="49"/>
  <c r="S41" i="49" s="1"/>
  <c r="H28" i="49"/>
  <c r="H35" i="49" s="1"/>
  <c r="I28" i="49"/>
  <c r="I35" i="49" s="1"/>
  <c r="J28" i="49"/>
  <c r="J35" i="49" s="1"/>
  <c r="F28" i="49"/>
  <c r="F35" i="49" s="1"/>
  <c r="K28" i="49"/>
  <c r="K35" i="49" s="1"/>
  <c r="O28" i="49"/>
  <c r="O35" i="49" s="1"/>
  <c r="L28" i="49"/>
  <c r="L35" i="49" s="1"/>
  <c r="G28" i="49"/>
  <c r="G35" i="49" s="1"/>
  <c r="M28" i="49"/>
  <c r="M35" i="49" s="1"/>
  <c r="Q28" i="49"/>
  <c r="N28" i="49"/>
  <c r="N35" i="49" s="1"/>
  <c r="E28" i="49"/>
  <c r="E35" i="49" s="1"/>
  <c r="E147" i="17"/>
  <c r="G25" i="21"/>
  <c r="G20" i="21"/>
  <c r="P13" i="49"/>
  <c r="P15" i="49"/>
  <c r="P14" i="49"/>
  <c r="P19" i="49"/>
  <c r="P18" i="49"/>
  <c r="P17" i="49"/>
  <c r="P16" i="49"/>
  <c r="I23" i="158" l="1"/>
  <c r="G41" i="49"/>
  <c r="G49" i="49"/>
  <c r="F41" i="49"/>
  <c r="F49" i="49"/>
  <c r="N41" i="49"/>
  <c r="N49" i="49"/>
  <c r="J49" i="49"/>
  <c r="J41" i="49"/>
  <c r="I41" i="49"/>
  <c r="I49" i="49"/>
  <c r="M49" i="49"/>
  <c r="M41" i="49"/>
  <c r="H49" i="49"/>
  <c r="H41" i="49"/>
  <c r="P28" i="49"/>
  <c r="P35" i="49" s="1"/>
  <c r="P49" i="49" s="1"/>
  <c r="L41" i="49"/>
  <c r="L49" i="49"/>
  <c r="O49" i="49"/>
  <c r="O41" i="49"/>
  <c r="K41" i="49"/>
  <c r="K49" i="49"/>
  <c r="E49" i="49"/>
  <c r="E41" i="49"/>
  <c r="P20" i="49"/>
  <c r="Q20" i="49" l="1"/>
  <c r="G39" i="158" s="1"/>
  <c r="P48" i="49"/>
  <c r="Q48" i="49" s="1"/>
  <c r="Q35" i="49"/>
  <c r="H39" i="158" s="1"/>
  <c r="P41" i="49"/>
  <c r="Q49" i="49"/>
  <c r="E50" i="49"/>
  <c r="F47" i="49" s="1"/>
  <c r="F50" i="49" s="1"/>
  <c r="G47" i="49" s="1"/>
  <c r="G50" i="49" s="1"/>
  <c r="H47" i="49" s="1"/>
  <c r="H50" i="49" s="1"/>
  <c r="I47" i="49" s="1"/>
  <c r="I50" i="49" s="1"/>
  <c r="J47" i="49" s="1"/>
  <c r="J50" i="49" s="1"/>
  <c r="K47" i="49" s="1"/>
  <c r="K50" i="49" s="1"/>
  <c r="L47" i="49" s="1"/>
  <c r="L50" i="49" s="1"/>
  <c r="M47" i="49" s="1"/>
  <c r="M50" i="49" s="1"/>
  <c r="N47" i="49" s="1"/>
  <c r="N50" i="49" s="1"/>
  <c r="O47" i="49" s="1"/>
  <c r="O50" i="49" s="1"/>
  <c r="P47" i="49" s="1"/>
  <c r="I39" i="158" l="1"/>
  <c r="Q41" i="49"/>
  <c r="P50" i="49"/>
  <c r="Q50" i="49"/>
  <c r="F26" i="46"/>
  <c r="F71" i="46" s="1"/>
  <c r="F97" i="46" s="1"/>
</calcChain>
</file>

<file path=xl/sharedStrings.xml><?xml version="1.0" encoding="utf-8"?>
<sst xmlns="http://schemas.openxmlformats.org/spreadsheetml/2006/main" count="28783" uniqueCount="3190">
  <si>
    <t>Költségvetés mellékleteinek megtekintése:</t>
  </si>
  <si>
    <t>ugrás</t>
  </si>
  <si>
    <t>1. melléklet</t>
  </si>
  <si>
    <t>Az Önkormányzat címrendje</t>
  </si>
  <si>
    <t>K3</t>
  </si>
  <si>
    <t>2. melléklet</t>
  </si>
  <si>
    <t>K4</t>
  </si>
  <si>
    <t>3. melléklet</t>
  </si>
  <si>
    <t>K5</t>
  </si>
  <si>
    <t>4. melléklet</t>
  </si>
  <si>
    <t>K6</t>
  </si>
  <si>
    <t>5. melléklet</t>
  </si>
  <si>
    <t>K7</t>
  </si>
  <si>
    <t>6. melléklet</t>
  </si>
  <si>
    <t>Működési célú bevételek és kiadások</t>
  </si>
  <si>
    <t>K8</t>
  </si>
  <si>
    <t>7. melléklet</t>
  </si>
  <si>
    <t>Felhalmozási célú bevételek és kiadások</t>
  </si>
  <si>
    <t>K9</t>
  </si>
  <si>
    <t>8. melléklet</t>
  </si>
  <si>
    <t>Adósságot keletkeztető ügyletek</t>
  </si>
  <si>
    <t>B1</t>
  </si>
  <si>
    <t>9. melléklet</t>
  </si>
  <si>
    <t>Saját bevételek részletezése</t>
  </si>
  <si>
    <t>B2</t>
  </si>
  <si>
    <t>10. melléklet</t>
  </si>
  <si>
    <t>Adósságot keletkeztető fejlesztési célok</t>
  </si>
  <si>
    <t>B3</t>
  </si>
  <si>
    <t>11. melléklet</t>
  </si>
  <si>
    <t>Beruházási kiadások</t>
  </si>
  <si>
    <t>B4</t>
  </si>
  <si>
    <t>12. melléklet</t>
  </si>
  <si>
    <t>Felújítási kiadások</t>
  </si>
  <si>
    <t>B5</t>
  </si>
  <si>
    <t>13. melléklet</t>
  </si>
  <si>
    <t>EU-s támogatással megvalósuló projektek</t>
  </si>
  <si>
    <t>B6</t>
  </si>
  <si>
    <t>Adatszolgáltatás elismert tartozásról</t>
  </si>
  <si>
    <t>B7</t>
  </si>
  <si>
    <t>Összevont mérleg évenként</t>
  </si>
  <si>
    <t>B8</t>
  </si>
  <si>
    <t>Több éves kihatással járó döntések</t>
  </si>
  <si>
    <t>F</t>
  </si>
  <si>
    <t>Közvetett támogatások</t>
  </si>
  <si>
    <t>E</t>
  </si>
  <si>
    <t>Előirányzat felhasználási terv</t>
  </si>
  <si>
    <t>Rendelet</t>
  </si>
  <si>
    <t>Kormányzati funkciók egyenlege (bevételek)</t>
  </si>
  <si>
    <t>Kormányzati funkciók egyenlege (kiadások)</t>
  </si>
  <si>
    <t>Céljelleggel juttatott támogatások</t>
  </si>
  <si>
    <t>Kitekintő melléklet</t>
  </si>
  <si>
    <t>COFOG</t>
  </si>
  <si>
    <t>Megnevezés</t>
  </si>
  <si>
    <t>Kategória</t>
  </si>
  <si>
    <t>Szervezet neve</t>
  </si>
  <si>
    <t>Paraméter</t>
  </si>
  <si>
    <t>BK</t>
  </si>
  <si>
    <t>Fenntartó</t>
  </si>
  <si>
    <t>Költségvetési év</t>
  </si>
  <si>
    <t>0511011</t>
  </si>
  <si>
    <t>Intézmény-1</t>
  </si>
  <si>
    <t>0511021</t>
  </si>
  <si>
    <t>Intézmény-2</t>
  </si>
  <si>
    <t>011130</t>
  </si>
  <si>
    <t>0511031</t>
  </si>
  <si>
    <t>Intézmény-3</t>
  </si>
  <si>
    <t>0511041</t>
  </si>
  <si>
    <t>Intézmény-4</t>
  </si>
  <si>
    <t>0511051</t>
  </si>
  <si>
    <t>Intézmény-5</t>
  </si>
  <si>
    <t>0511061</t>
  </si>
  <si>
    <t>Intézmény-6</t>
  </si>
  <si>
    <t>0511071</t>
  </si>
  <si>
    <t>Intézmény-7</t>
  </si>
  <si>
    <t>0511081</t>
  </si>
  <si>
    <t>Intézmény-8</t>
  </si>
  <si>
    <t>0511091</t>
  </si>
  <si>
    <t>Intézmény-9</t>
  </si>
  <si>
    <t>0511101</t>
  </si>
  <si>
    <t>Intézmény-10</t>
  </si>
  <si>
    <t>0511111</t>
  </si>
  <si>
    <t>Intézmény-11</t>
  </si>
  <si>
    <t>0511121</t>
  </si>
  <si>
    <t>Intézmény-12</t>
  </si>
  <si>
    <t>0511131</t>
  </si>
  <si>
    <t>Intézmény-13</t>
  </si>
  <si>
    <t>051211</t>
  </si>
  <si>
    <t>Intézmény-14</t>
  </si>
  <si>
    <t>051221</t>
  </si>
  <si>
    <t>Intézmény-15</t>
  </si>
  <si>
    <t>051231</t>
  </si>
  <si>
    <t>Intézmény-16</t>
  </si>
  <si>
    <t>0521</t>
  </si>
  <si>
    <t>Intézmény-17</t>
  </si>
  <si>
    <t>053111</t>
  </si>
  <si>
    <t>Intézmény-18</t>
  </si>
  <si>
    <t>053121</t>
  </si>
  <si>
    <t>Intézmény-19</t>
  </si>
  <si>
    <t>053131</t>
  </si>
  <si>
    <t>Intézmény-20</t>
  </si>
  <si>
    <t>053211</t>
  </si>
  <si>
    <t>Intézmény-21</t>
  </si>
  <si>
    <t>053221</t>
  </si>
  <si>
    <t>Intézmény-22</t>
  </si>
  <si>
    <t>Intézmény-23</t>
  </si>
  <si>
    <t>053321</t>
  </si>
  <si>
    <t>Intézmény-24</t>
  </si>
  <si>
    <t>053331</t>
  </si>
  <si>
    <t>Intézmény-25</t>
  </si>
  <si>
    <t>053341</t>
  </si>
  <si>
    <t>Intézmény-26</t>
  </si>
  <si>
    <t>053351</t>
  </si>
  <si>
    <t>Intézmény-27</t>
  </si>
  <si>
    <t>053361</t>
  </si>
  <si>
    <t>Intézmény-28</t>
  </si>
  <si>
    <t>053371</t>
  </si>
  <si>
    <t>Intézmény-29</t>
  </si>
  <si>
    <t>053411</t>
  </si>
  <si>
    <t>Intézmény-30</t>
  </si>
  <si>
    <t>053421</t>
  </si>
  <si>
    <t>Intézmény-31</t>
  </si>
  <si>
    <t>053511</t>
  </si>
  <si>
    <t>Intézmény-32</t>
  </si>
  <si>
    <t>053521</t>
  </si>
  <si>
    <t>Intézmény-33</t>
  </si>
  <si>
    <t>053531</t>
  </si>
  <si>
    <t>Intézmény-34</t>
  </si>
  <si>
    <t>053541</t>
  </si>
  <si>
    <t>Intézmény-35</t>
  </si>
  <si>
    <t>053551</t>
  </si>
  <si>
    <t>Intézmény-36</t>
  </si>
  <si>
    <t>05411</t>
  </si>
  <si>
    <t>Intézmény-37</t>
  </si>
  <si>
    <t>05421</t>
  </si>
  <si>
    <t>Intézmény-38</t>
  </si>
  <si>
    <t>05431</t>
  </si>
  <si>
    <t>Intézmény-39</t>
  </si>
  <si>
    <t>05441</t>
  </si>
  <si>
    <t>Intézmény-40</t>
  </si>
  <si>
    <t>05451</t>
  </si>
  <si>
    <t>Intézmény-41</t>
  </si>
  <si>
    <t>05461</t>
  </si>
  <si>
    <t>Intézmény-42</t>
  </si>
  <si>
    <t>05471</t>
  </si>
  <si>
    <t>Intézmény-43</t>
  </si>
  <si>
    <t>Szociális hozzájárulási adó mértéke</t>
  </si>
  <si>
    <t>05481</t>
  </si>
  <si>
    <t>Intézmény-44</t>
  </si>
  <si>
    <t>Személyi jövedelemadó mértéke</t>
  </si>
  <si>
    <t>055011</t>
  </si>
  <si>
    <t>Intézmény-45</t>
  </si>
  <si>
    <t>Közalkalmazotti nyelvpótlék (középfokú)</t>
  </si>
  <si>
    <t>0550211</t>
  </si>
  <si>
    <t>Intézmény-46</t>
  </si>
  <si>
    <t>Költségvetési évet követő év:</t>
  </si>
  <si>
    <t>0550221</t>
  </si>
  <si>
    <t>Intézmény-47</t>
  </si>
  <si>
    <t>Költségvetési évet követő második év:</t>
  </si>
  <si>
    <t>2023.</t>
  </si>
  <si>
    <t>0550231</t>
  </si>
  <si>
    <t>Intézmény-48</t>
  </si>
  <si>
    <t>Költségvetési év előtti év utolsó napja</t>
  </si>
  <si>
    <t>055031</t>
  </si>
  <si>
    <t>Intézmény-49</t>
  </si>
  <si>
    <t>Költségvetési évet megelőző év:</t>
  </si>
  <si>
    <t>055041</t>
  </si>
  <si>
    <t>Intézmény-50</t>
  </si>
  <si>
    <t>Költségvetési évet megelőző második év:</t>
  </si>
  <si>
    <t>055051</t>
  </si>
  <si>
    <t>Költségvetési évet megelőző harmadik év:</t>
  </si>
  <si>
    <t>055061</t>
  </si>
  <si>
    <t>Költségvetési évet követő harmadik év:</t>
  </si>
  <si>
    <t>2024.</t>
  </si>
  <si>
    <t>055071</t>
  </si>
  <si>
    <t>Költségvetési évet követő negyedik év:</t>
  </si>
  <si>
    <t>2025.</t>
  </si>
  <si>
    <t>055081</t>
  </si>
  <si>
    <t>055091</t>
  </si>
  <si>
    <t>055101</t>
  </si>
  <si>
    <t>055111</t>
  </si>
  <si>
    <t>055121</t>
  </si>
  <si>
    <t>055131</t>
  </si>
  <si>
    <t>05611</t>
  </si>
  <si>
    <t>05621</t>
  </si>
  <si>
    <t>05631</t>
  </si>
  <si>
    <t>05641</t>
  </si>
  <si>
    <t>05651</t>
  </si>
  <si>
    <t>05661</t>
  </si>
  <si>
    <t>05671</t>
  </si>
  <si>
    <t>05711</t>
  </si>
  <si>
    <t>05721</t>
  </si>
  <si>
    <t>05731</t>
  </si>
  <si>
    <t>05741</t>
  </si>
  <si>
    <t>05811</t>
  </si>
  <si>
    <t>05821</t>
  </si>
  <si>
    <t>05831</t>
  </si>
  <si>
    <t>05841</t>
  </si>
  <si>
    <t>05851</t>
  </si>
  <si>
    <t>05861</t>
  </si>
  <si>
    <t>05871</t>
  </si>
  <si>
    <t>05881</t>
  </si>
  <si>
    <t>05891</t>
  </si>
  <si>
    <t>0591111</t>
  </si>
  <si>
    <t>0591121</t>
  </si>
  <si>
    <t>0591131</t>
  </si>
  <si>
    <t>0591211</t>
  </si>
  <si>
    <t>0591221</t>
  </si>
  <si>
    <t>0591231</t>
  </si>
  <si>
    <t>0591241</t>
  </si>
  <si>
    <t>0591251</t>
  </si>
  <si>
    <t>0591261</t>
  </si>
  <si>
    <t>059131</t>
  </si>
  <si>
    <t>059141</t>
  </si>
  <si>
    <t>059151</t>
  </si>
  <si>
    <t>059161</t>
  </si>
  <si>
    <t>059171</t>
  </si>
  <si>
    <t>059181</t>
  </si>
  <si>
    <t>0591911</t>
  </si>
  <si>
    <t>0591921</t>
  </si>
  <si>
    <t>059211</t>
  </si>
  <si>
    <t>059221</t>
  </si>
  <si>
    <t>059231</t>
  </si>
  <si>
    <t>059241</t>
  </si>
  <si>
    <t>059251</t>
  </si>
  <si>
    <t>05931</t>
  </si>
  <si>
    <t>05941</t>
  </si>
  <si>
    <t>091111</t>
  </si>
  <si>
    <t>091121</t>
  </si>
  <si>
    <t>0911311</t>
  </si>
  <si>
    <t>0911321</t>
  </si>
  <si>
    <t>091141</t>
  </si>
  <si>
    <t>091151</t>
  </si>
  <si>
    <t>091161</t>
  </si>
  <si>
    <t xml:space="preserve"> Elszámolásból származó bevételek előirányzata</t>
  </si>
  <si>
    <t>09121</t>
  </si>
  <si>
    <t>09131</t>
  </si>
  <si>
    <t>09141</t>
  </si>
  <si>
    <t>09151</t>
  </si>
  <si>
    <t>09161</t>
  </si>
  <si>
    <t>09211</t>
  </si>
  <si>
    <t>09221</t>
  </si>
  <si>
    <t>09231</t>
  </si>
  <si>
    <t>09241</t>
  </si>
  <si>
    <t>09251</t>
  </si>
  <si>
    <t>093111</t>
  </si>
  <si>
    <t>093121</t>
  </si>
  <si>
    <t>09321</t>
  </si>
  <si>
    <t>09331</t>
  </si>
  <si>
    <t>09341</t>
  </si>
  <si>
    <t xml:space="preserve"> Vagyoni típusú adók előirányzata</t>
  </si>
  <si>
    <t>093511</t>
  </si>
  <si>
    <t xml:space="preserve"> Értékesítési és forgalmi adók előirányzata</t>
  </si>
  <si>
    <t>093521</t>
  </si>
  <si>
    <t xml:space="preserve"> Fogyasztási adók előirányzata</t>
  </si>
  <si>
    <t>093531</t>
  </si>
  <si>
    <t>093541</t>
  </si>
  <si>
    <t xml:space="preserve"> Gépjárműadók előirányzata</t>
  </si>
  <si>
    <t>093551</t>
  </si>
  <si>
    <t xml:space="preserve"> Egyéb áruhasználati és szolgáltatási adók előirányzata</t>
  </si>
  <si>
    <t>09361</t>
  </si>
  <si>
    <t xml:space="preserve"> Egyéb közhatalmi bevételek előirányzata</t>
  </si>
  <si>
    <t>094011</t>
  </si>
  <si>
    <t>094021</t>
  </si>
  <si>
    <t>094031</t>
  </si>
  <si>
    <t>094041</t>
  </si>
  <si>
    <t>094051</t>
  </si>
  <si>
    <t>094061</t>
  </si>
  <si>
    <t>094071</t>
  </si>
  <si>
    <t>0940811</t>
  </si>
  <si>
    <t>0940821</t>
  </si>
  <si>
    <t>0940911</t>
  </si>
  <si>
    <t>0940921</t>
  </si>
  <si>
    <t>094101</t>
  </si>
  <si>
    <t>094111</t>
  </si>
  <si>
    <t>09511</t>
  </si>
  <si>
    <t>09521</t>
  </si>
  <si>
    <t>09531</t>
  </si>
  <si>
    <t>09541</t>
  </si>
  <si>
    <t>09551</t>
  </si>
  <si>
    <t>09611</t>
  </si>
  <si>
    <t>09621</t>
  </si>
  <si>
    <t>09631</t>
  </si>
  <si>
    <t>09641</t>
  </si>
  <si>
    <t>09651</t>
  </si>
  <si>
    <t>09711</t>
  </si>
  <si>
    <t>09721</t>
  </si>
  <si>
    <t>09731</t>
  </si>
  <si>
    <t>09741</t>
  </si>
  <si>
    <t>09751</t>
  </si>
  <si>
    <t>0981111</t>
  </si>
  <si>
    <t>0981121</t>
  </si>
  <si>
    <t>0981131</t>
  </si>
  <si>
    <t>0981211</t>
  </si>
  <si>
    <t>0981221</t>
  </si>
  <si>
    <t>0981231</t>
  </si>
  <si>
    <t>0981241</t>
  </si>
  <si>
    <t>0981311</t>
  </si>
  <si>
    <t>0981321</t>
  </si>
  <si>
    <t>098141</t>
  </si>
  <si>
    <t>098151</t>
  </si>
  <si>
    <t>098161</t>
  </si>
  <si>
    <t>098171</t>
  </si>
  <si>
    <t>098181</t>
  </si>
  <si>
    <t>0981911</t>
  </si>
  <si>
    <t>0981921</t>
  </si>
  <si>
    <t>098211</t>
  </si>
  <si>
    <t>066020</t>
  </si>
  <si>
    <t>098221</t>
  </si>
  <si>
    <t>098231</t>
  </si>
  <si>
    <t>098241</t>
  </si>
  <si>
    <t>098251</t>
  </si>
  <si>
    <t>09831</t>
  </si>
  <si>
    <t>09841</t>
  </si>
  <si>
    <t>082091</t>
  </si>
  <si>
    <t>091140</t>
  </si>
  <si>
    <t>K1</t>
  </si>
  <si>
    <t>Személyi juttatások összesen</t>
  </si>
  <si>
    <t>K2</t>
  </si>
  <si>
    <t>Járulékok összesen</t>
  </si>
  <si>
    <t>Dologi kiadások összesen</t>
  </si>
  <si>
    <t>Ellátási díjak összesen</t>
  </si>
  <si>
    <t>Egyéb működési célú kiadások</t>
  </si>
  <si>
    <t>Beruházások</t>
  </si>
  <si>
    <t>Felújítások</t>
  </si>
  <si>
    <t>Egyéb felhalmozási kiadások</t>
  </si>
  <si>
    <t>Finanszírozási kiadások</t>
  </si>
  <si>
    <t>Működési célú támogatások ÁH-n belülről</t>
  </si>
  <si>
    <t>Felhalmozási célú támogatások ÁH-n belülről</t>
  </si>
  <si>
    <t>Közhatalmi bevételek</t>
  </si>
  <si>
    <t>Működési bevételek</t>
  </si>
  <si>
    <t>Felhalmozási bevételek</t>
  </si>
  <si>
    <t>Működési célú átvett pénzeszközök</t>
  </si>
  <si>
    <t>Felhalmozási célú átvett pénzeszközök</t>
  </si>
  <si>
    <t>Finanszírozási bevételek</t>
  </si>
  <si>
    <t>Főkönyv</t>
  </si>
  <si>
    <t>Ellenőrzés</t>
  </si>
  <si>
    <t>Támogatott neve</t>
  </si>
  <si>
    <t>Adatok forintban</t>
  </si>
  <si>
    <t>Cím szám</t>
  </si>
  <si>
    <t>Alcím szám</t>
  </si>
  <si>
    <t>Alcím neve</t>
  </si>
  <si>
    <t>Saját bevétel</t>
  </si>
  <si>
    <t>Személyi  juttatások</t>
  </si>
  <si>
    <t>Munkaadókat terhelő járulékok</t>
  </si>
  <si>
    <t>Dologi  kiadások</t>
  </si>
  <si>
    <t>Ellátottak pénzbeli juttatásai</t>
  </si>
  <si>
    <t>Céltartalék</t>
  </si>
  <si>
    <t>Fenntartott költségvetési szervek</t>
  </si>
  <si>
    <t>Sor-
szám</t>
  </si>
  <si>
    <t>Bevételi jogcím</t>
  </si>
  <si>
    <t>A</t>
  </si>
  <si>
    <t>B</t>
  </si>
  <si>
    <t>1.</t>
  </si>
  <si>
    <t>1.1.</t>
  </si>
  <si>
    <t>1.2.</t>
  </si>
  <si>
    <t>1.3.</t>
  </si>
  <si>
    <t>1.4.</t>
  </si>
  <si>
    <t>1.6.</t>
  </si>
  <si>
    <t>2.</t>
  </si>
  <si>
    <t>2.1.</t>
  </si>
  <si>
    <t>2.2.</t>
  </si>
  <si>
    <t>2.3.</t>
  </si>
  <si>
    <t>2.4.</t>
  </si>
  <si>
    <t>2.5.</t>
  </si>
  <si>
    <t>3.</t>
  </si>
  <si>
    <t xml:space="preserve">4. </t>
  </si>
  <si>
    <t>4.1.</t>
  </si>
  <si>
    <t>4.2.</t>
  </si>
  <si>
    <t>4.3.</t>
  </si>
  <si>
    <t>4.4.</t>
  </si>
  <si>
    <t>4.5.</t>
  </si>
  <si>
    <t>4.6.</t>
  </si>
  <si>
    <t>5.</t>
  </si>
  <si>
    <t>5.1.</t>
  </si>
  <si>
    <t>5.2.</t>
  </si>
  <si>
    <t>5.3.</t>
  </si>
  <si>
    <t>5.4.</t>
  </si>
  <si>
    <t>5.5.</t>
  </si>
  <si>
    <t>5.6.</t>
  </si>
  <si>
    <t>6.</t>
  </si>
  <si>
    <t>6.1.</t>
  </si>
  <si>
    <t>6.2.</t>
  </si>
  <si>
    <t>6.3.</t>
  </si>
  <si>
    <t>6.4.</t>
  </si>
  <si>
    <t>6.5.</t>
  </si>
  <si>
    <t xml:space="preserve">7. </t>
  </si>
  <si>
    <t>7.1.</t>
  </si>
  <si>
    <t>7.2.</t>
  </si>
  <si>
    <t>7.3.</t>
  </si>
  <si>
    <t>7.4.</t>
  </si>
  <si>
    <t>8.</t>
  </si>
  <si>
    <t>KÖLTSÉGVETÉSI BEVÉTELEK ÖSSZESEN: (1+…+8)</t>
  </si>
  <si>
    <t xml:space="preserve">    16.</t>
  </si>
  <si>
    <t xml:space="preserve">    17.</t>
  </si>
  <si>
    <t>Kiadási jogcímek</t>
  </si>
  <si>
    <t>Munkaadókat terhelő járulékok és szociális hozzájárulási adó</t>
  </si>
  <si>
    <t>1.5</t>
  </si>
  <si>
    <t>Tartalékok</t>
  </si>
  <si>
    <t xml:space="preserve"> - az 1.18-ból: - Általános tartalék</t>
  </si>
  <si>
    <t xml:space="preserve">   - Céltartalék</t>
  </si>
  <si>
    <t>2.1.-ből EU-s forrásból megvalósuló beruházás</t>
  </si>
  <si>
    <t>2.3.-ból EU-s forrásból megvalósuló felújítás</t>
  </si>
  <si>
    <t>KÖLTSÉGVETÉSI KIADÁSOK ÖSSZESEN (1+2)</t>
  </si>
  <si>
    <t>4.</t>
  </si>
  <si>
    <t>Hitel-, kölcsöntörlesztés államháztartáson kívülre (4.1. + … + 4.3.)</t>
  </si>
  <si>
    <t>Hosszú lejáratú hitelek, kölcsönök törlesztése pénzügyi vállalkozásnak</t>
  </si>
  <si>
    <t>Likviditási célú hitelek, kölcsönök törlesztése pénzügyi vállalkozásnak</t>
  </si>
  <si>
    <t>Rövid lejáratú hitelek, kölcsönök törlesztése pénzügyi vállalkozásnak</t>
  </si>
  <si>
    <t>Belföldi értékpapírok kiadásai (5.1. + … + 5.6.)</t>
  </si>
  <si>
    <t>Forgatási célú belföldi értékpapírok vásárlása</t>
  </si>
  <si>
    <t>Befektetési célú belföldi értékpapírok vásárlása</t>
  </si>
  <si>
    <t>Kincstárjegyek beváltása</t>
  </si>
  <si>
    <t>Éven belüli lejáratú belföldi értékpapírok beváltása</t>
  </si>
  <si>
    <t>Belföldi kötvények beváltása</t>
  </si>
  <si>
    <t>Éven túli lejáratú belföldi értékpapírok beváltása</t>
  </si>
  <si>
    <t>Belföldi finanszírozás kiadásai (6.1. + … + 6.4.)</t>
  </si>
  <si>
    <t>Államháztartáson belüli megelőlegezések folyósítása</t>
  </si>
  <si>
    <t>Államháztartáson belüli megelőlegezések visszafizetése</t>
  </si>
  <si>
    <t>Pénzeszközök lekötött betétként elhelyezése</t>
  </si>
  <si>
    <t>Pénzügyi lízing kiadásai</t>
  </si>
  <si>
    <t>7.</t>
  </si>
  <si>
    <t>Külföldi finanszírozás kiadásai (7.1. + … + 7.5.)</t>
  </si>
  <si>
    <t>Forgatási célú külföldi értékpapírok vásárlása</t>
  </si>
  <si>
    <t>Befektetési célú külföldi értékpapírok vásárlása</t>
  </si>
  <si>
    <t>Külföldi értékpapírok beváltása</t>
  </si>
  <si>
    <t>Hitelek, kölcsönök törlesztése külföldi kormányoknak nemz. Szervezeteknek</t>
  </si>
  <si>
    <t>7.5.</t>
  </si>
  <si>
    <t>Hitelek, kölcsönök törlesztése külföldi pénzintézeteknek</t>
  </si>
  <si>
    <t>Adóssághoz nem kapcsolódó származékos ügyletek</t>
  </si>
  <si>
    <t>9.</t>
  </si>
  <si>
    <t>Váltókiadások</t>
  </si>
  <si>
    <t>10.</t>
  </si>
  <si>
    <t>FINANSZÍROZÁSI KIADÁSOK ÖSSZESEN: (4.+…+9.)</t>
  </si>
  <si>
    <t>11.</t>
  </si>
  <si>
    <t>KIADÁSOK ÖSSZESEN: (3.+10.)</t>
  </si>
  <si>
    <t>Önkormányzatok működési támogatásai</t>
  </si>
  <si>
    <t>Személyi juttatások</t>
  </si>
  <si>
    <t>Működési célú támogatások államháztartáson belülről</t>
  </si>
  <si>
    <t xml:space="preserve">Dologi kiadások </t>
  </si>
  <si>
    <t>Költségvetési bevételek összesen (1+…+6)</t>
  </si>
  <si>
    <t>Költségvetési kiadások összesen (1+...+6)</t>
  </si>
  <si>
    <t>Működési célú finan.bevételek összesen</t>
  </si>
  <si>
    <t>Működési célú finan.kiadások összesen</t>
  </si>
  <si>
    <t>BEVÉTEL ÖSSZESEN (7+8)</t>
  </si>
  <si>
    <t>KIADÁSOK ÖSSZESEN (7+8)</t>
  </si>
  <si>
    <t>Költségvetési hiány:</t>
  </si>
  <si>
    <t>Költségvetési többlet:</t>
  </si>
  <si>
    <t>Tervezési  hiány:</t>
  </si>
  <si>
    <t>Tervezési  többlet:</t>
  </si>
  <si>
    <t>Felhalmozási célú támogatások államháztartáson belülről</t>
  </si>
  <si>
    <t>Felhalmozási célú átvett pénzeszközök átvétele</t>
  </si>
  <si>
    <t>Felhalmozási célú finan.bevételek összesen</t>
  </si>
  <si>
    <t>Felhalmozási célú finan.kiadások össz.</t>
  </si>
  <si>
    <t>Tervezési hiány:</t>
  </si>
  <si>
    <t>Tervezési többlet:</t>
  </si>
  <si>
    <t>Sor-szám</t>
  </si>
  <si>
    <t>ÖSSZES KÖTELEZETTSÉG</t>
  </si>
  <si>
    <t>Bevételi jogcímek</t>
  </si>
  <si>
    <t>Önk.vagyon és az önkormányzatot megillető vagyoni értékű jog értékesítéséből és haszn.származó bevétel</t>
  </si>
  <si>
    <t>Helyi adók bevétele</t>
  </si>
  <si>
    <t>Osztalék, koncessziós díj és a hozambevétel</t>
  </si>
  <si>
    <t>Tárgyi eszköz és az im.jószág, részvény, részesedés, vállalat értékesítéséből vagy privatizációból származó bev.</t>
  </si>
  <si>
    <t>Bírság-, pótlék- és díjbevétel</t>
  </si>
  <si>
    <t>Kezesség-, illetve garanciavállalással kapcsolatos megtérülés</t>
  </si>
  <si>
    <t>Fejlesztési cél leírása</t>
  </si>
  <si>
    <t>Fejlesztés várható kiadása</t>
  </si>
  <si>
    <t>ADÓSSÁGOT KELETKEZTETŐ ÜGYLETEK VÁRHATÓ EGYÜTTES ÖSSZEGE</t>
  </si>
  <si>
    <t>Beruházás  megnevezése</t>
  </si>
  <si>
    <t>Teljes költség</t>
  </si>
  <si>
    <t>Kivitelezés kezdési és befejezési éve</t>
  </si>
  <si>
    <t>C</t>
  </si>
  <si>
    <t>D</t>
  </si>
  <si>
    <t>ÖSSZESEN:</t>
  </si>
  <si>
    <t>Felújítás  megnevezése</t>
  </si>
  <si>
    <t>Összesen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</si>
  <si>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</si>
  <si>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</si>
  <si>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</si>
  <si>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</si>
  <si>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</si>
  <si>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</si>
  <si>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</si>
  <si>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Személyi jellegű</t>
  </si>
  <si>
    <t>Beruházások, beszerzések</t>
  </si>
  <si>
    <t>Szolgáltatások igénybe vétele</t>
  </si>
  <si>
    <t>Adminisztratív költségek</t>
  </si>
  <si>
    <t>Összesen:</t>
  </si>
  <si>
    <t>Összes bevétel, kiadás (adatok forintban)</t>
  </si>
  <si>
    <t>Kiemelt előirányzat, előirányzat megnevezése</t>
  </si>
  <si>
    <r>
      <t xml:space="preserve">   Felhalmozási költségvetés kiadásai </t>
    </r>
    <r>
      <rPr>
        <sz val="10"/>
        <rFont val="Garamond"/>
        <family val="1"/>
        <charset val="238"/>
      </rPr>
      <t>(2.1.+2.3.+2.5.)</t>
    </r>
  </si>
  <si>
    <t>Hosszú lejáratú hitelek, kölcsönök törlesztése</t>
  </si>
  <si>
    <t>Rövid lejáratú hitelek, kölcsönök törlesztése</t>
  </si>
  <si>
    <t>Éven belüli lejáatú belföldi értékpapírok beváltása</t>
  </si>
  <si>
    <t>Központi, irányító szervi támogatás</t>
  </si>
  <si>
    <t>Hitelek, kölcsönök törlesztése külföldi kormányoknak nemz. szervezeteknek</t>
  </si>
  <si>
    <t>1.7.</t>
  </si>
  <si>
    <t>1.8.</t>
  </si>
  <si>
    <t>KIADÁSOK ÖSSZESEN: (1.+2.+3.)</t>
  </si>
  <si>
    <t xml:space="preserve">Tartozásállomány megnevezése </t>
  </si>
  <si>
    <t>30 nap 
alatti
állomány</t>
  </si>
  <si>
    <t>30-60 nap 
közötti 
állomány</t>
  </si>
  <si>
    <t>60 napon 
túli 
állomány</t>
  </si>
  <si>
    <t>Átütemezett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</si>
  <si>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</si>
  <si>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</si>
  <si>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</si>
  <si>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</si>
  <si>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</si>
  <si>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</si>
  <si>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Dátum:</t>
  </si>
  <si>
    <t>költségvetési szerv vezetője</t>
  </si>
  <si>
    <t>G</t>
  </si>
  <si>
    <t>H</t>
  </si>
  <si>
    <t>Közhatalmi bevételek (4.1.+4.2.+4.3.+4.4.)</t>
  </si>
  <si>
    <t>KÖLTSÉGVETÉSI ÉS FINANSZ.BEVÉTELEK ÖSSZESEN: (9+17)</t>
  </si>
  <si>
    <r>
      <t xml:space="preserve">   Működési költségvetés kiadásai </t>
    </r>
    <r>
      <rPr>
        <sz val="10"/>
        <rFont val="Garamond"/>
        <family val="1"/>
        <charset val="238"/>
      </rPr>
      <t>(1.1+…+1.5.+1.18.)</t>
    </r>
  </si>
  <si>
    <t xml:space="preserve">   Költségvetési szervek finanszírozása</t>
  </si>
  <si>
    <t>Kötelezettség jogcíme</t>
  </si>
  <si>
    <t>Beruházási kiadások beruházásonként</t>
  </si>
  <si>
    <t>Felújítási kiadások felújításonként</t>
  </si>
  <si>
    <t>Egyéb (Pl.: garancia és kezességvállalás, stb.)</t>
  </si>
  <si>
    <t>Ellátottak térítési díjának méltányosságból történő elengedése</t>
  </si>
  <si>
    <t>Ellátottak kártérítésének méltányosságból történő elengedése</t>
  </si>
  <si>
    <t>Lakosság részére lakásépítéshez nyújtott kölcsön elengedése</t>
  </si>
  <si>
    <t>Lakosság részére lakásfelújításhoz nyújtott kölcsön elengedése</t>
  </si>
  <si>
    <t>Helyi adóból biztosított kedvezmény, mentesség összesen</t>
  </si>
  <si>
    <t xml:space="preserve"> -ebből:              Építményadó</t>
  </si>
  <si>
    <t xml:space="preserve">Telekadó </t>
  </si>
  <si>
    <t xml:space="preserve">Magánszemélyek kommunális adója </t>
  </si>
  <si>
    <t xml:space="preserve">Idegenforgalmi adó tartózkodás után </t>
  </si>
  <si>
    <t xml:space="preserve">Idegenforgalmi adó épület után </t>
  </si>
  <si>
    <t xml:space="preserve">Iparűzési adó állandó jelleggel végzett iparűzési tevékenység után </t>
  </si>
  <si>
    <t>Gépjárműadóból biztosított kedvezmény, mentesség</t>
  </si>
  <si>
    <t>Helyiségek hasznosítása utáni kedvezmény, mentesség</t>
  </si>
  <si>
    <t>Eszközök hasznosítása utáni kedvezmény, mentesség</t>
  </si>
  <si>
    <t>Egyéb kedvezmény</t>
  </si>
  <si>
    <t>Egyéb kölcsön elengedése</t>
  </si>
  <si>
    <t>R.</t>
  </si>
  <si>
    <t>I.</t>
  </si>
  <si>
    <t>II.</t>
  </si>
  <si>
    <t>III.</t>
  </si>
  <si>
    <t>IV.</t>
  </si>
  <si>
    <t>V.</t>
  </si>
  <si>
    <t>VI.</t>
  </si>
  <si>
    <t>VII.</t>
  </si>
  <si>
    <t>VIII.</t>
  </si>
  <si>
    <t>IX.</t>
  </si>
  <si>
    <t>X.</t>
  </si>
  <si>
    <t>XI.</t>
  </si>
  <si>
    <t>XII.</t>
  </si>
  <si>
    <t>Felhalmozási célú támogatások ÁH-on belül</t>
  </si>
  <si>
    <t>Bevételek összesen:</t>
  </si>
  <si>
    <t>Munkaadókat terhelő járulékok és szha.</t>
  </si>
  <si>
    <t xml:space="preserve"> Egyéb működési célú kiadások</t>
  </si>
  <si>
    <t>Kiadások összesen:</t>
  </si>
  <si>
    <t>Nyitó pénzkészlet</t>
  </si>
  <si>
    <t xml:space="preserve"> + bevételek</t>
  </si>
  <si>
    <t xml:space="preserve"> - kiadások</t>
  </si>
  <si>
    <t>Záró pénzkészlet</t>
  </si>
  <si>
    <t>Jogcím</t>
  </si>
  <si>
    <t>Támogatott szervezet neve</t>
  </si>
  <si>
    <t>Támogatás célja</t>
  </si>
  <si>
    <t>Önkormányzat működési támogatásai</t>
  </si>
  <si>
    <t xml:space="preserve">Működési bevételek </t>
  </si>
  <si>
    <t xml:space="preserve">Működési célú átvett pénzeszközök </t>
  </si>
  <si>
    <t xml:space="preserve">Felhalmozási célú átvett pénzeszközök </t>
  </si>
  <si>
    <t xml:space="preserve">FINANSZÍROZÁSI BEVÉTELEK ÖSSZESEN: </t>
  </si>
  <si>
    <t>KÖLTSÉGVETÉSI ÉS FINAN.BEVÉTELEK ÖSSZESEN: (9+10)</t>
  </si>
  <si>
    <t xml:space="preserve">   Működési költségvetés kiadásai </t>
  </si>
  <si>
    <t xml:space="preserve">   Felhalmozási költségvetés kiadásai (2.1.+2.2.+2.3.)</t>
  </si>
  <si>
    <t>CÉLTARTALÉK</t>
  </si>
  <si>
    <t>FINANSZÍROZÁSI KIADÁSOK ÖSSZESEN:</t>
  </si>
  <si>
    <t>KIADÁSOK ÖSSZESEN: (3.+4.+5.)</t>
  </si>
  <si>
    <t>2026.</t>
  </si>
  <si>
    <t>Belföldi értékpapírok bevételei</t>
  </si>
  <si>
    <t>Maradvány igénybevétele</t>
  </si>
  <si>
    <t>Belföldi finanszírozás bevételei</t>
  </si>
  <si>
    <t>Külföldi finanszírozás bevételei</t>
  </si>
  <si>
    <t>Szociális hozzájárulási adó mértéke, július 1-jétől</t>
  </si>
  <si>
    <t>Januárban kapott bér utáni szociális hozzájárulási adó</t>
  </si>
  <si>
    <t>2022.</t>
  </si>
  <si>
    <t>2027.</t>
  </si>
  <si>
    <t>0533111</t>
  </si>
  <si>
    <t xml:space="preserve"> Villamosenergia szolgáltatás díja előirányzata</t>
  </si>
  <si>
    <t>0533121</t>
  </si>
  <si>
    <t xml:space="preserve"> Gázenergia szolgáltatás díja előirányzata</t>
  </si>
  <si>
    <t>0533131</t>
  </si>
  <si>
    <t xml:space="preserve"> Távhő- és melegvíz szolgáltatás díja előirányzata</t>
  </si>
  <si>
    <t>0533141</t>
  </si>
  <si>
    <t xml:space="preserve"> Víz- és csatorna szolgáltatás díja előirányzata</t>
  </si>
  <si>
    <t>Cím neve</t>
  </si>
  <si>
    <t>I</t>
  </si>
  <si>
    <t>FINANSZÍROZÁSI BEVÉTELEK ÖSSZESEN: (10. + … +15.)</t>
  </si>
  <si>
    <t>S.sz.</t>
  </si>
  <si>
    <t>BEVÉTEL ÖSSZESEN (5+6)</t>
  </si>
  <si>
    <t>KIADÁSOK ÖSSZESEN (5+6)</t>
  </si>
  <si>
    <t>Költségvetési bevételek összesen  (1+…+4):</t>
  </si>
  <si>
    <t>Költségvetési kiadások összesen  (1+…+4):</t>
  </si>
  <si>
    <t>Egyéb felhalmozási bevétel</t>
  </si>
  <si>
    <t>Adósságot keletkeztető ügyletekből és kezességvállalásokból fennálló kötelezettségek</t>
  </si>
  <si>
    <t>származó tárgyévi fizetési kötelezettség megállapításához</t>
  </si>
  <si>
    <t xml:space="preserve">Saját bevételek részletezése az adósságot keletkeztető ügyletekből </t>
  </si>
  <si>
    <t>SAJÁT BEVÉTELEK ÖSSZESEN</t>
  </si>
  <si>
    <t>Beruházási (felhalmozási) kiadások előirányzata beruházásonként</t>
  </si>
  <si>
    <t>Felújítási kiadások előirányzata felújításonként</t>
  </si>
  <si>
    <t>Európai Uniós támogatással megvalósuló projektek bevételei, kiadásai, hozzájárulások</t>
  </si>
  <si>
    <t>Hozzájárulás</t>
  </si>
  <si>
    <t>Adatszolgáltatás az elismert tartozásállományról</t>
  </si>
  <si>
    <t>Költségvetési szerv neve:</t>
  </si>
  <si>
    <t>Költségvetési szerv számlaszáma:</t>
  </si>
  <si>
    <t>Éves eredeti kiadási előirányzat:</t>
  </si>
  <si>
    <t>30 napon túli elismert tartozásállomány összesen:</t>
  </si>
  <si>
    <t>…............................................</t>
  </si>
  <si>
    <t>Többéves kihatással járó döntések számszerűsítése évenkénti bontásban és összesítve célok szerint</t>
  </si>
  <si>
    <t>Kötelezettség-vállalás éve</t>
  </si>
  <si>
    <t>Működési célú finanszírozási kiadások</t>
  </si>
  <si>
    <t>Felhalmozási célú finanszírozási kiadások</t>
  </si>
  <si>
    <t>Kötelezettségek darabszáma</t>
  </si>
  <si>
    <t>Kötelezettségvállalás célja</t>
  </si>
  <si>
    <t>Az önkormányzat által adott közvetett támogatások tervezése</t>
  </si>
  <si>
    <t>6</t>
  </si>
  <si>
    <t>7</t>
  </si>
  <si>
    <t>8</t>
  </si>
  <si>
    <t>9</t>
  </si>
  <si>
    <t>10</t>
  </si>
  <si>
    <t>11</t>
  </si>
  <si>
    <t>Kedvezmény nélkül elérhető tervezett bevétel</t>
  </si>
  <si>
    <t>Kedvezmények tervezett összege</t>
  </si>
  <si>
    <t>J</t>
  </si>
  <si>
    <t>K</t>
  </si>
  <si>
    <t>L</t>
  </si>
  <si>
    <t>M</t>
  </si>
  <si>
    <t>N</t>
  </si>
  <si>
    <t>O</t>
  </si>
  <si>
    <t>Bevételek és kiadások havi egyenlege</t>
  </si>
  <si>
    <t>1. Bevételi jogcímek</t>
  </si>
  <si>
    <t>2. Kiadási jogcímek</t>
  </si>
  <si>
    <t>1. Önkormányzaton kívüli EU-s projektekhez történő hozzájárulások</t>
  </si>
  <si>
    <t>2. EU-s projekt neve, azonosítója:</t>
  </si>
  <si>
    <t>3. EU-s projekt neve, azonosítója:</t>
  </si>
  <si>
    <t>4. EU-s projekt neve, azonosítója:</t>
  </si>
  <si>
    <t>5. EU-s projekt neve, azonosítója:</t>
  </si>
  <si>
    <t>6. EU-s projekt neve, azonosítója:</t>
  </si>
  <si>
    <t>7. EU-s projekt neve, azonosítója:</t>
  </si>
  <si>
    <t>8. EU-s projekt neve, azonosítója:</t>
  </si>
  <si>
    <t>9. EU-s projekt neve, azonosítója:</t>
  </si>
  <si>
    <t>10. EU-s projekt neve, azonosítója:</t>
  </si>
  <si>
    <t>11. EU-s projekt neve, azonosítója:</t>
  </si>
  <si>
    <t>12. EU-s projekt neve, azonosítója:</t>
  </si>
  <si>
    <t>13. EU-s projekt neve, azonosítója:</t>
  </si>
  <si>
    <t>14. EU-s projekt neve, azonosítója:</t>
  </si>
  <si>
    <t>15. EU-s projekt neve, azonosítója:</t>
  </si>
  <si>
    <t>16. EU-s projekt neve, azonosítója:</t>
  </si>
  <si>
    <t>17. EU-s projekt neve, azonosítója:</t>
  </si>
  <si>
    <t>18. EU-s projekt neve, azonosítója:</t>
  </si>
  <si>
    <t>19. EU-s projekt neve, azonosítója:</t>
  </si>
  <si>
    <t>20. EU-s projekt neve, azonosítója:</t>
  </si>
  <si>
    <t>21. EU-s projekt neve, azonosítója:</t>
  </si>
  <si>
    <t>1. Működési célú finanszírozási kiadások (hiteltörlesztés, értékpapír vásárlás, stb.)</t>
  </si>
  <si>
    <t>2. Felhalmozási célú finanszírozási kiadások (hiteltörlesztés, értékpapír vásárlás, stb.)</t>
  </si>
  <si>
    <t>3. Beruházási kiadások beruházásonként</t>
  </si>
  <si>
    <t>4. Felújítási kiadások felújításonként</t>
  </si>
  <si>
    <t>5. Egyéb (Pl.: garancia és kezességvállalás, stb.)</t>
  </si>
  <si>
    <t>6. Többéves kihatással járó döntésekből származó kötelezettségvállalások összesen</t>
  </si>
  <si>
    <t>3. Bevételek és kiadások havi tervezett egyenlegei</t>
  </si>
  <si>
    <t>4. Pénzkészlet várható havi egyenlegei</t>
  </si>
  <si>
    <t>Kötelező feladatok</t>
  </si>
  <si>
    <t>Önként vállalt feladatok</t>
  </si>
  <si>
    <t>Államigazgatási feladatok</t>
  </si>
  <si>
    <t>Önkormányzati támogatás</t>
  </si>
  <si>
    <t>Az Önkormányzat összevont mérlege</t>
  </si>
  <si>
    <t>PIR szám</t>
  </si>
  <si>
    <t>Vizsgálat 2.</t>
  </si>
  <si>
    <t>Eredeti előirányzat</t>
  </si>
  <si>
    <t>Rovat</t>
  </si>
  <si>
    <t>Bevételi előirányzatok</t>
  </si>
  <si>
    <t>Kiadási előirányzatok</t>
  </si>
  <si>
    <t>E L Ő T E R J E S Z T É S</t>
  </si>
  <si>
    <t>Előterjesztés iktatószáma:</t>
  </si>
  <si>
    <t>Tárgy:</t>
  </si>
  <si>
    <t>Előterjesztő:</t>
  </si>
  <si>
    <t>Készítette:</t>
  </si>
  <si>
    <t>Testületi ülés dátuma:</t>
  </si>
  <si>
    <t>Döntés fajtája:</t>
  </si>
  <si>
    <t>Minősített döntés indoklása:</t>
  </si>
  <si>
    <t>Döntéshozatal módja</t>
  </si>
  <si>
    <t>nyílt ülés - Mötv. 46. § (1) bekezdése alapján</t>
  </si>
  <si>
    <t>Zárt ülés indoklása:</t>
  </si>
  <si>
    <t>nem zárt ülés</t>
  </si>
  <si>
    <t>Bizottságok tárgyalják:</t>
  </si>
  <si>
    <t>Törvényességi észrevétel</t>
  </si>
  <si>
    <t>Cím</t>
  </si>
  <si>
    <t>Telefon</t>
  </si>
  <si>
    <t>E-mail</t>
  </si>
  <si>
    <t>minősített többség</t>
  </si>
  <si>
    <t>minősített döntés az Mötv. 50. §-a alapján</t>
  </si>
  <si>
    <t>Tisztelt Képviselő-testület!</t>
  </si>
  <si>
    <t>szöveg1</t>
  </si>
  <si>
    <t>1. §</t>
  </si>
  <si>
    <t>2. §</t>
  </si>
  <si>
    <t>2028.</t>
  </si>
  <si>
    <t>EEI bevétel</t>
  </si>
  <si>
    <t>EEI kiadás</t>
  </si>
  <si>
    <t>MEI bevétel</t>
  </si>
  <si>
    <t>MEI kiadás</t>
  </si>
  <si>
    <t>Költségvetéssel kapcsolatos információk:</t>
  </si>
  <si>
    <t>Előterjesztés</t>
  </si>
  <si>
    <t>Rendelet módosítás szerkesztése</t>
  </si>
  <si>
    <t>Eddig elfogadott változás összesen</t>
  </si>
  <si>
    <t>Tervezett változás</t>
  </si>
  <si>
    <t>1. Általános rész</t>
  </si>
  <si>
    <t>Bevételi előirányzat változások részletezése (döntés, határozat, utasítás, stb.)</t>
  </si>
  <si>
    <t>Változás a 2. pont alapján:</t>
  </si>
  <si>
    <t>Különbség ellenőrzése:</t>
  </si>
  <si>
    <t>Kiadási előirányzat változások részletezése (döntés, határozat, utasítás, stb.)</t>
  </si>
  <si>
    <t>meghatározott eredeti jogalkotói hatáskörében, az Alaptörvény 32. cikk (1) bekezdés f) pontjában</t>
  </si>
  <si>
    <t xml:space="preserve">meghatározott feladatkörében eljárva, az államháztartásról szóló 2011. évi CXCV. törvény </t>
  </si>
  <si>
    <t>rendelet 2. § (1) bekezdése helyébe a következő rendelkezés lép:</t>
  </si>
  <si>
    <t>d) 0 Ft - ebből működési (hiány, többlet)</t>
  </si>
  <si>
    <t>e) 0 Ft - felhalmozási (hiány, többlet)</t>
  </si>
  <si>
    <t>állapítja meg."</t>
  </si>
  <si>
    <t>rendelet 2. § (2) bekezdése helyébe a következő rendelkezés lép:</t>
  </si>
  <si>
    <t>főösszegén belül a kiemelt előirányzatokat</t>
  </si>
  <si>
    <t>jogcímenkénti megoszlásban állapítja meg."</t>
  </si>
  <si>
    <t>3. §</t>
  </si>
  <si>
    <t>rendelet 3. § (8) bekezdése helyébe a következő rendelkezés lép:</t>
  </si>
  <si>
    <t>4. §</t>
  </si>
  <si>
    <t>5. §</t>
  </si>
  <si>
    <t>Ez a rendelet a kihirdetését követő napon lép hatályba, és a kihirdetését követő második napon hatályát</t>
  </si>
  <si>
    <t>veszti.</t>
  </si>
  <si>
    <t>Kiadás - 
Eredeti előirányzat</t>
  </si>
  <si>
    <t>Kiadás - 
Módosított előirányzat</t>
  </si>
  <si>
    <t>Bevétel - 
Eredeti előirányzat</t>
  </si>
  <si>
    <t>Bevétel - 
Módosított előirányzat</t>
  </si>
  <si>
    <t>ÁHT-n belüli támogatás</t>
  </si>
  <si>
    <t xml:space="preserve"> Települési önkormányzatok egyes köznevelési feladatainak támogatása</t>
  </si>
  <si>
    <t xml:space="preserve"> Települési önkormányzatok gyermekétkeztetési feladatainak támogatása</t>
  </si>
  <si>
    <t xml:space="preserve"> Települési önkormányzatok kulturális feladatainak támogatása</t>
  </si>
  <si>
    <t xml:space="preserve"> Működési célú költségvetési támogatások és kiegészítő támogatások</t>
  </si>
  <si>
    <t>Adott évi saját bevétel 50%-a</t>
  </si>
  <si>
    <t>Hitel felvételből származó tőketartozás XII. 31-én</t>
  </si>
  <si>
    <t>Kötvény kibocsátásból származó tőketartozás</t>
  </si>
  <si>
    <t>Adósságot keletkeztető ügyletek összértéke</t>
  </si>
  <si>
    <t>Tőkefizetési kötelezettség</t>
  </si>
  <si>
    <t>Kamatfizetési kötelezettség</t>
  </si>
  <si>
    <t>Tárgyévi fizetési kötelezettség</t>
  </si>
  <si>
    <t>3. Bevételi jogcímek</t>
  </si>
  <si>
    <t>4. Kiadási jogcímek</t>
  </si>
  <si>
    <t>011110 - Államhatalmi szervek tevékenysége</t>
  </si>
  <si>
    <t>011120 - Kormányzati igazgatási tevékenység</t>
  </si>
  <si>
    <t>011130 - Önkormányzatok és önkormányzati hivatalok jogalkotó és általános igazgatási tevékenysége</t>
  </si>
  <si>
    <t>011140 - Országos és helyi nemzetiségi önkormányzatok igazgatási tevékenysége</t>
  </si>
  <si>
    <t>011210 - Az államháztartás igazgatása, ellenőrzése</t>
  </si>
  <si>
    <t>011220 - Adó-, vám- és jövedéki igazgatás</t>
  </si>
  <si>
    <t>011230 - Államadósság kezelése</t>
  </si>
  <si>
    <t>011310 - Külügyek igazgatása</t>
  </si>
  <si>
    <t>011320 - Nemzetközi szervezetekben való részvétel</t>
  </si>
  <si>
    <t>012110 - Gazdasági segítség nyújtása fejlődő és átmeneti gazdaságú országoknak</t>
  </si>
  <si>
    <t>012210 - Gazdasági segítség nyújtása nemzetközi szervezeteken keresztül</t>
  </si>
  <si>
    <t>013110 - A közszolgálat egyetemes humánerő-gazdálkodása</t>
  </si>
  <si>
    <t>013210 - Átfogó tervezési és statisztikai szolgáltatások</t>
  </si>
  <si>
    <t>013320 - Köztemető-fenntartás és -működtetés</t>
  </si>
  <si>
    <t>013330 - Pályázat- és támogatáskezelés, ellenőrzés</t>
  </si>
  <si>
    <t>013340 - Az állami vagyonnal való gazdálkodással kapcsolatos feladatok</t>
  </si>
  <si>
    <t>013350 - Az önkormányzati vagyonnal való gazdálkodással kapcsolatos feladatok</t>
  </si>
  <si>
    <t>013360 - Más szerv részére végzett pénzügyi-gazdálkodási, üzemeltetési, egyéb szolgáltatások</t>
  </si>
  <si>
    <t>013370 - Informatikai fejlesztések, szolgáltatások</t>
  </si>
  <si>
    <t>013390 - Egyéb kiegészítő szolgáltatások</t>
  </si>
  <si>
    <t>014010 - Általános K+F politika</t>
  </si>
  <si>
    <t>014020 - Biotechnológiai alapkutatás</t>
  </si>
  <si>
    <t>014030 - Természettudományi, műszaki alapkutatás</t>
  </si>
  <si>
    <t>014040 - Társadalomtudományi, humán alapkutatás</t>
  </si>
  <si>
    <t>015010 - Általános közszolgáltatásokkal kapcsolatos alkalmazott kutatás és fejlesztés</t>
  </si>
  <si>
    <t>016010 - Országgyűlési, önkormányzati és európai parlamenti képviselőválasztásokhoz kapcsolódó tevékenységek</t>
  </si>
  <si>
    <t>016020 - Országos és helyi népszavazással kapcsolatos tevékenységek</t>
  </si>
  <si>
    <t>016030 - Állampolgársági ügyek</t>
  </si>
  <si>
    <t>016040 - Nemzetpolitikai tevékenység igazgatása és támogatása</t>
  </si>
  <si>
    <t>016080 - Kiemelt állami és önkormányzati rendezvények</t>
  </si>
  <si>
    <t>017010 - Államadóssággal kapcsolatos tranzakciók</t>
  </si>
  <si>
    <t>018010 - Önkormányzatok elszámolásai a központi költségvetéssel</t>
  </si>
  <si>
    <t>018020 - Központi költségvetési befizetések</t>
  </si>
  <si>
    <t>018030 - Támogatási célú finanszírozási műveletek</t>
  </si>
  <si>
    <t>018040 - Elkülönített állami pénzalapok bevételei államháztartáson belülről</t>
  </si>
  <si>
    <t>018050 - Egészségbiztosítási alap bevételei államháztartáson belülről</t>
  </si>
  <si>
    <t>018060 - Nyugdíjbiztosítási alap bevételei államháztartáson belülről</t>
  </si>
  <si>
    <t>021020 - Védelmi képesség fenntartása, fejlesztése, honvédelmi felkészítés</t>
  </si>
  <si>
    <t>021030 - Katonai ügyészségi tevékenység</t>
  </si>
  <si>
    <t>021040 - Katonai nemzetbiztonsági tevékenység</t>
  </si>
  <si>
    <t>022010 - Polgári honvédelem ágazati feladatai, a lakosság felkészítése</t>
  </si>
  <si>
    <t>023010 - Nemzetközi katonai és rendészeti szerepvállalás béketámogató és válságkezelő műveletekben</t>
  </si>
  <si>
    <t>024010 - Védelmi tevékenységekkel kapcsolatos alkalmazott kutatás és fejlesztés</t>
  </si>
  <si>
    <t>025010 - Védelmi feladatok igazgatása és szabályozása</t>
  </si>
  <si>
    <t>025020 - Védelmi célú stratégiai tartalékok tárolása, kezelése</t>
  </si>
  <si>
    <t>025090 - Egyéb védelmi ügyek</t>
  </si>
  <si>
    <t>031010 - Közbiztonság, közrend igazgatása</t>
  </si>
  <si>
    <t>031020 - Menekültügy igazgatása</t>
  </si>
  <si>
    <t>031030 - Közterület rendjének fenntartása</t>
  </si>
  <si>
    <t>031041 - Vámrendészet</t>
  </si>
  <si>
    <t>031042 - Határrendészet, határvédelem</t>
  </si>
  <si>
    <t>031050 - Egyéb rendészeti, bűnüldözési tevékenységek</t>
  </si>
  <si>
    <t>031060 - Bűnmegelőzés</t>
  </si>
  <si>
    <t>031070 - Baleset-megelőzés</t>
  </si>
  <si>
    <t>031080 - Polgári nemzetbiztonsági tevékenység</t>
  </si>
  <si>
    <t>032010 - Tűz- és katasztrófavédelem igazgatása</t>
  </si>
  <si>
    <t>032020 - Tűz- és katasztrófavédelmi tevékenységek</t>
  </si>
  <si>
    <t>032040 - Nemzetközi katasztrófavédelmi segítségnyújtás</t>
  </si>
  <si>
    <t>032050 - Egészségügyi stratégiai tartalékok tárolása, kezelése</t>
  </si>
  <si>
    <t>032060 - Polgári védelmi stratégiai tartalékok tárolása, kezelése</t>
  </si>
  <si>
    <t>033010 - Igazságügy igazgatása</t>
  </si>
  <si>
    <t>033020 - Bírósági tevékenység</t>
  </si>
  <si>
    <t>033030 - Ügyészségi tevékenység</t>
  </si>
  <si>
    <t>034010 - Büntetés-végrehajtási tevékenység igazgatása</t>
  </si>
  <si>
    <t>034020 - Büntetés-végrehajtási tevékenységek</t>
  </si>
  <si>
    <t>034030 - Pártfogó felügyelői tevékenység</t>
  </si>
  <si>
    <t>035010 - Közrenddel és közbiztonsággal kapcsolatos alkalmazott kutatás és kísérleti fejlesztés</t>
  </si>
  <si>
    <t>036010 - Igazságügyi szakértői tevékenység</t>
  </si>
  <si>
    <t>036020 - Jogi segítségnyújtás, áldozatsegítés, kárenyhítés, kárpótlás</t>
  </si>
  <si>
    <t>041110 - Általános gazdasági és kereskedelmi ügyek igazgatása</t>
  </si>
  <si>
    <t>041120 - Földügy igazgatása</t>
  </si>
  <si>
    <t>041130 - Szellemi tulajdon és innováció igazgatása</t>
  </si>
  <si>
    <t>041140 - Területfejlesztés igazgatása</t>
  </si>
  <si>
    <t>041150 - Cégnyilvántartás</t>
  </si>
  <si>
    <t>041160 - Földmérés, térképészet</t>
  </si>
  <si>
    <t>041170 - Műszaki vizsgálat, elemzés</t>
  </si>
  <si>
    <t>041180 - Meteorológiai szolgáltatás</t>
  </si>
  <si>
    <t>041210 - Munkaügy igazgatása</t>
  </si>
  <si>
    <t>041220 - Munkavédelmi célú támogatások és közcélú információs rendszer működtetése</t>
  </si>
  <si>
    <t>041231 - Rövid időtartamú közfoglalkoztatás</t>
  </si>
  <si>
    <t>041232 - Start-munka program - Téli közfoglalkoztatás</t>
  </si>
  <si>
    <t>041233 - Hosszabb időtartamú közfoglalkoztatás</t>
  </si>
  <si>
    <t>041234 - Közfoglalkoztatás mobilitását szolgáló támogatás (közhasznú kölcsönző részére)</t>
  </si>
  <si>
    <t>041235 - Vállalkozás részére foglalkoztatást helyettesítő támogatásban részesülő személy foglalkoztatásához nyújtható támogatás</t>
  </si>
  <si>
    <t>041236 - Országos közfoglalkoztatási program</t>
  </si>
  <si>
    <t>041237 - Közfoglalkoztatási mintaprogram</t>
  </si>
  <si>
    <t>042110 - Mezőgazdaság igazgatása</t>
  </si>
  <si>
    <t>042120 - Mezőgazdasági támogatások</t>
  </si>
  <si>
    <t>042130 - Növénytermesztés, állattenyésztés és kapcsolódó szolgáltatások</t>
  </si>
  <si>
    <t>042140 - Génmegőrzés, fajtavédelem</t>
  </si>
  <si>
    <t>042150 - Mezőgazdasági öntözőrendszer építése, fenntartása, üzemeltetése</t>
  </si>
  <si>
    <t>042170 - Élelmiszerlánc-biztonság igazgatása</t>
  </si>
  <si>
    <t>042180 - Állat-egészségügy</t>
  </si>
  <si>
    <t>042210 - Erdőgazdálkodás igazgatása és támogatása</t>
  </si>
  <si>
    <t>042220 - Erdőgazdálkodás</t>
  </si>
  <si>
    <t>042310 - Vadgazdálkodás igazgatása és támogatása</t>
  </si>
  <si>
    <t>042320 - Vadgazdálkodás</t>
  </si>
  <si>
    <t>042350 - Halászat igazgatása és támogatása</t>
  </si>
  <si>
    <t>042360 - Halászat, haltenyésztés</t>
  </si>
  <si>
    <t>043110 - Szén- és egyéb ásványi fűtőanyagipar igazgatása és támogatása</t>
  </si>
  <si>
    <t>043210 - Kőolaj- és gázipar igazgatása és támogatása</t>
  </si>
  <si>
    <t>043310 - Nukleáris fűtőanyagipar igazgatása és támogatása</t>
  </si>
  <si>
    <t>043410 - Egyéb tüzelőanyag-ipar igazgatása és támogatása</t>
  </si>
  <si>
    <t>043510 - Villamosenergia-ipar igazgatása és támogatása</t>
  </si>
  <si>
    <t>043610 - Egyéb energiaipar igazgatása és támogatása</t>
  </si>
  <si>
    <t>044110 - Ásványianyag- (kivéve: szilárd ásványi fűtőanyag) bányászat igazgatása és támogatása</t>
  </si>
  <si>
    <t>044210 - Feldolgozóipar igazgatása és támogatása</t>
  </si>
  <si>
    <t>044310 - Építésügy igazgatása</t>
  </si>
  <si>
    <t>044320 - Építőipar támogatása</t>
  </si>
  <si>
    <t>045110 - Közúti közlekedés igazgatása és támogatása</t>
  </si>
  <si>
    <t>045120 - Út, autópálya építése</t>
  </si>
  <si>
    <t>045130 - Híd, alagút építése</t>
  </si>
  <si>
    <t>045140 - Városi és elővárosi közúti személyszállítás</t>
  </si>
  <si>
    <t>045150 - Egyéb szárazföldi személyszállítás</t>
  </si>
  <si>
    <t>045160 - Közutak, hidak, alagutak üzemeltetése, fenntartása</t>
  </si>
  <si>
    <t>045161 - Kerékpárutak üzemeltetése, fenntartása</t>
  </si>
  <si>
    <t>045170 - Parkoló, garázs üzemeltetése, fenntartása</t>
  </si>
  <si>
    <t>045180 - Közúti járművontatás</t>
  </si>
  <si>
    <t>045190 - Közúti közlekedési eszközök műszaki vizsgálata</t>
  </si>
  <si>
    <t>045210 - Vízi közlekedés igazgatása és támogatása</t>
  </si>
  <si>
    <t>045220 - Vízi létesítmény építése (kivéve: árvízvédelmi létesítmények)</t>
  </si>
  <si>
    <t>045230 - Komp- és révközlekedés</t>
  </si>
  <si>
    <t>045310 - Vasúti közlekedés igazgatása és támogatása</t>
  </si>
  <si>
    <t>045320 - Vasút építése</t>
  </si>
  <si>
    <t>045410 - Légi szállítás igazgatása és támogatása</t>
  </si>
  <si>
    <t>045510 - Csővezetékes és egyéb szállítás igazgatása és támogatása</t>
  </si>
  <si>
    <t>045530 - Csővezetékes szállítás</t>
  </si>
  <si>
    <t>046010 - Hírközlés és az információs társadalom fejlesztésének igazgatása és támogatása</t>
  </si>
  <si>
    <t>046020 - Vezetékes műsorelosztás, városi és kábeltelevíziós rendszerek</t>
  </si>
  <si>
    <t>046030 - Egyéb távközlés</t>
  </si>
  <si>
    <t>046040 - Hírügynökségi, információs szolgáltatás</t>
  </si>
  <si>
    <t>047110 - Kis- és nagykereskedelem igazgatása és támogatása</t>
  </si>
  <si>
    <t>047120 - Piac üzemeltetése</t>
  </si>
  <si>
    <t>047210 - Szálloda- és vendéglátóipar igazgatása és támogatása</t>
  </si>
  <si>
    <t>047310 - Turizmus igazgatása és támogatása</t>
  </si>
  <si>
    <t>047320 - Turizmusfejlesztési támogatások és tevékenységek</t>
  </si>
  <si>
    <t>047410 - Ár- és belvízvédelemmel összefüggő tevékenységek</t>
  </si>
  <si>
    <t>047450 - Szektorhoz nem köthető komplex gazdaságfejlesztési projektek támogatása</t>
  </si>
  <si>
    <t>047460 - Kis- és középvállalkozások működési és fejlesztési támogatásai</t>
  </si>
  <si>
    <t>047470 - Működőtőke-beruházások komplex támogatásai</t>
  </si>
  <si>
    <t>048010 - Gazdasági ügyekkel kapcsolatos alkalmazott kutatás és fejlesztés</t>
  </si>
  <si>
    <t>049010 - Máshova nem sorolt gazdasági ügyek</t>
  </si>
  <si>
    <t>049020 - K+F tevékenységekhez kapcsolódó innováció</t>
  </si>
  <si>
    <t>049030 - Kéményseprő-ipari tevékenység</t>
  </si>
  <si>
    <t>051010 - Hulladékgazdálkodás igazgatása</t>
  </si>
  <si>
    <t>051020 - Nem veszélyes (települési) hulladék összetevőinek válogatása, elkülönített begyűjtése, szállítása, átrakása</t>
  </si>
  <si>
    <t>051030 - Nem veszélyes (települési) hulladék vegyes (ömlesztett) begyűjtése, szállítása, átrakása</t>
  </si>
  <si>
    <t>051040 - Nem veszélyes hulladék kezelése, ártalmatlanítása</t>
  </si>
  <si>
    <t>051050 - Veszélyes hulladék begyűjtése, szállítása, átrakása</t>
  </si>
  <si>
    <t>051060 - Veszélyes hulladék kezelése, ártalmatlanítása</t>
  </si>
  <si>
    <t>051070 - Használt eszköz bontása</t>
  </si>
  <si>
    <t>051080 - Hulladék újrahasznosítása</t>
  </si>
  <si>
    <t>052010 - Szennyvízgazdálkodás igazgatása</t>
  </si>
  <si>
    <t>052020 - Szennyvíz gyűjtése, tisztítása, elhelyezése</t>
  </si>
  <si>
    <t>052030 - Szennyvíziszap kezelése, ártalmatlanítása</t>
  </si>
  <si>
    <t>052080 - Szennyvízcsatorna építése, fenntartása, üzemeltetése</t>
  </si>
  <si>
    <t>053010 - Környezetszennyezés csökkentésének igazgatása</t>
  </si>
  <si>
    <t>053020 - Szennyeződésmentesítési tevékenységek</t>
  </si>
  <si>
    <t>054010 - Természet- és tájvédelem igazgatása és támogatása</t>
  </si>
  <si>
    <t>054020 - Védett természeti területek és természeti értékek bemutatása, megőrzése és fenntartása</t>
  </si>
  <si>
    <t>055010 - Környezetvédelemmel kapcsolatos alkalmazott kutatás és fejlesztés</t>
  </si>
  <si>
    <t>056010 - Komplex környezetvédelmi programok támogatása</t>
  </si>
  <si>
    <t>061010 - Lakáspolitika igazgatása</t>
  </si>
  <si>
    <t>061020 - Lakóépület építése</t>
  </si>
  <si>
    <t>061030 - Lakáshoz jutást segítő támogatások</t>
  </si>
  <si>
    <t>061040 - Telepszerű lakókörnyezetek felszámolását célzó programok</t>
  </si>
  <si>
    <t>0620 T - elepülésfejlesztés</t>
  </si>
  <si>
    <t>062010 - Településfejlesztés igazgatása</t>
  </si>
  <si>
    <t>062020 - Településfejlesztési projektek és támogatásuk</t>
  </si>
  <si>
    <t>063010 - Vízügy igazgatása</t>
  </si>
  <si>
    <t>063020 - Víztermelés, -kezelés, -ellátás</t>
  </si>
  <si>
    <t>063070 - Vízrajzi mérés</t>
  </si>
  <si>
    <t>063080 - Vízellátással kapcsolatos közmű építése, fenntartása, üzemeltetése</t>
  </si>
  <si>
    <t>064010 - Közvilágítás</t>
  </si>
  <si>
    <t>065010 - Lakás- és közműellátással, településfejlesztéssel kapcsolatos alkalmazott kutatás és fejlesztés</t>
  </si>
  <si>
    <t>066010 - Zöldterület-kezelés</t>
  </si>
  <si>
    <t>066020 - Város-, községgazdálkodási egyéb szolgáltatások</t>
  </si>
  <si>
    <t>071110 - Gyógyszer-kiskereskedelem</t>
  </si>
  <si>
    <t>071120 - Gyógyszertámogatás finanszírozása</t>
  </si>
  <si>
    <t>071210 - Egyéb gyógyászati termék kiskereskedelme</t>
  </si>
  <si>
    <t>071220 - Egyéb gyógyászati termékek finanszírozása</t>
  </si>
  <si>
    <t>071310 - Gyógyászati segédeszközök és felszerelések kereskedelme</t>
  </si>
  <si>
    <t>071320 - Gyógyászati segédeszközök és felszerelések finanszírozása</t>
  </si>
  <si>
    <t>072111 - Háziorvosi alapellátás</t>
  </si>
  <si>
    <t>072112 - Háziorvosi ügyeleti ellátás</t>
  </si>
  <si>
    <t>072160 - Betegszállítás, valamint orvosi rendelvényű halottszállítás</t>
  </si>
  <si>
    <t>072190 - Általános orvosi szolgáltatások finanszírozása és támogatása</t>
  </si>
  <si>
    <t>072210 - Járóbetegek gyógyító szakellátása</t>
  </si>
  <si>
    <t>072220 - Járóbetegek rehabilitációs szakellátása</t>
  </si>
  <si>
    <t>072230 - Járóbetegek gyógyító gondozása</t>
  </si>
  <si>
    <t>072240 - Járóbetegek egynapos ellátása</t>
  </si>
  <si>
    <t>072290 - Járóbeteg-ellátás finanszírozása és támogatása</t>
  </si>
  <si>
    <t>072311 - Fogorvosi alapellátás</t>
  </si>
  <si>
    <t>072312 - Fogorvosi ügyeleti ellátás</t>
  </si>
  <si>
    <t>072313 - Fogorvosi szakellátás</t>
  </si>
  <si>
    <t>072390 - Fogorvosi ellátás finanszírozása és támogatása</t>
  </si>
  <si>
    <t>072410 - Otthoni (egészségügyi) szakápolás</t>
  </si>
  <si>
    <t>072420 - Egészségügyi laboratóriumi szolgáltatások</t>
  </si>
  <si>
    <t>072430 - Képalkotó diagnosztikai szolgáltatások</t>
  </si>
  <si>
    <t>072440 - Mentés</t>
  </si>
  <si>
    <t>072450 - Fizikoterápiás szolgáltatás</t>
  </si>
  <si>
    <t>072460 - Terápiás célú gyógyfürdő- és kapcsolódó szolgáltatások</t>
  </si>
  <si>
    <t>072470 - Természetgyógyászat</t>
  </si>
  <si>
    <t>072480 - Egyéb paramedikális szolgáltatások</t>
  </si>
  <si>
    <t>072490 - Paramedikális szolgáltatások finanszírozása, támogatása</t>
  </si>
  <si>
    <t>073110 - Fekvőbetegek aktív ellátása általános kórházakban</t>
  </si>
  <si>
    <t>073120 - Fekvőbetegek krónikus ellátása általános kórházakban</t>
  </si>
  <si>
    <t>073130 - Bentlakásos egészségügyi rehabilitációs ellátás általános kórházakban</t>
  </si>
  <si>
    <t>073160 - Egynapos sebészeti ellátás (egynapos beavatkozás)</t>
  </si>
  <si>
    <t>073190 - Fekvőbeteg-ellátás finanszírozása és támogatása</t>
  </si>
  <si>
    <t>073210 - Fekvőbetegek aktív ellátása szakkórházakban</t>
  </si>
  <si>
    <t>073220 - Fekvőbetegek krónikus ellátása szakkórházakban</t>
  </si>
  <si>
    <t>073230 - Bentlakásos egészségügyi rehabilitációs ellátás szakkórházakban</t>
  </si>
  <si>
    <t>073310 - Gyógyászati központok és szülőotthonok szolgáltatásai</t>
  </si>
  <si>
    <t>073410 - Egészségügyi ápolás bentlakással</t>
  </si>
  <si>
    <t>073420 - Bentlakásos hospice-ellátás</t>
  </si>
  <si>
    <t>074011 - Foglalkozás-egészségügyi alapellátás</t>
  </si>
  <si>
    <t>074012 - Foglalkozás-egészségügyi szakellátás</t>
  </si>
  <si>
    <t>074013 - Pálya- és munkaalkalmassági vizsgálatok</t>
  </si>
  <si>
    <t>074020 - Sportolók sportegészségügyi vizsgálata, felügyelete, ellenőrzése</t>
  </si>
  <si>
    <t>074031 - Család és nővédelmi egészségügyi gondozás</t>
  </si>
  <si>
    <t>074032 - Ifjúság-egészségügyi gondozás</t>
  </si>
  <si>
    <t>074040 - Fertőző megbetegedések megelőzése, járványügyi ellátás</t>
  </si>
  <si>
    <t>074051 - Nem fertőző megbetegedések megelőzése</t>
  </si>
  <si>
    <t>074052 - Kábítószer-megelőzés programjai, tevékenységei</t>
  </si>
  <si>
    <t>074053 - Szenvedélybetegségek (kivéve: kábítószer) megelőzésének programjai, tevékenységei</t>
  </si>
  <si>
    <t>074054 - Komplex egészségfejlesztő, prevenciós programok</t>
  </si>
  <si>
    <t>074060 - Vér-, szövet- és egyéb kapcsolódó szövetbank</t>
  </si>
  <si>
    <t>074090 - Közegészségügyi szolgáltatások finanszírozása és támogatása</t>
  </si>
  <si>
    <t>075010 - Egészségüggyel kapcsolatos alkalmazott kutatás és fejlesztés</t>
  </si>
  <si>
    <t>076010 - Egészségügy igazgatása</t>
  </si>
  <si>
    <t>076020 - Egészségbiztosítási szolgáltatások igazgatása</t>
  </si>
  <si>
    <t>076040 - Egészségügyi szakértői tevékenységek</t>
  </si>
  <si>
    <t>076050 - Orvos- és nővérszálló, hozzátartozói szállás fenntartása, üzemeltetése</t>
  </si>
  <si>
    <t>076061 - Környezet-egészségügyi feladatok</t>
  </si>
  <si>
    <t>076062 - Település-egészségügyi feladatok</t>
  </si>
  <si>
    <t>076063 - Sugár-egészségügyi feladatok</t>
  </si>
  <si>
    <t>076064 - Kémiaibiztonság-egészségügyi feladatok</t>
  </si>
  <si>
    <t>076070 - Élelmezés- és táplálkozás-egészségügyi felügyelet, ellenőrzés, tanácsadás</t>
  </si>
  <si>
    <t>076090 - Egyéb egészségügyi szolgáltatások finanszírozása és támogatása</t>
  </si>
  <si>
    <t>081010 - Sportügyek igazgatása</t>
  </si>
  <si>
    <t>081021 - Sportszövetségek és szabályozó testületek működésének támogatása</t>
  </si>
  <si>
    <t>081022 - Sportteljesítmények elismerése, járadékok, ösztöndíjak</t>
  </si>
  <si>
    <t>081023 - Doppingellenes tevékenység</t>
  </si>
  <si>
    <t>081030 - Sportlétesítmények, edzőtáborok működtetése és fejlesztése</t>
  </si>
  <si>
    <t>081041 - Versenysport- és utánpótlás-nevelési tevékenység és támogatása</t>
  </si>
  <si>
    <t>081042 - Fogyatékossággal élők versenysport tevékenysége és támogatása</t>
  </si>
  <si>
    <t>081043 - Iskolai, diáksport-tevékenység és támogatása</t>
  </si>
  <si>
    <t>081044 - Fogyatékossággal élők iskolai, diáksport-tevékenysége és támogatása</t>
  </si>
  <si>
    <t>081045 - Szabadidősport- (rekreációs sport-) tevékenység és támogatása</t>
  </si>
  <si>
    <t>081061 - Szabadidős park, fürdő és strandszolgáltatás</t>
  </si>
  <si>
    <t>081071 - Üdülői szálláshely-szolgáltatás és étkeztetés</t>
  </si>
  <si>
    <t>0820 K - ulturális szolgáltatások</t>
  </si>
  <si>
    <t>082010 - Kultúra igazgatása</t>
  </si>
  <si>
    <t>082020 - Színházak tevékenysége</t>
  </si>
  <si>
    <t>082030 - Művészeti tevékenységek (kivéve: színház)</t>
  </si>
  <si>
    <t>082041 - Nemzeti könyvtári feladatok</t>
  </si>
  <si>
    <t>082042 - Könyvtári állomány gyarapítása, nyilvántartása</t>
  </si>
  <si>
    <t>082043 - Könyvtári állomány feltárása, megőrzése, védelme</t>
  </si>
  <si>
    <t>082044 - Könyvtári szolgáltatások</t>
  </si>
  <si>
    <t>082051 - Levéltári állomány gyarapítása, kezelése és védelme</t>
  </si>
  <si>
    <t>082052 - Levéltári szolgáltatás, tudományos, publikációs és információközvetítő tevékenység</t>
  </si>
  <si>
    <t>082061 - Múzeumi gyűjteményi tevékenység</t>
  </si>
  <si>
    <t>082062 - Múzeumi tudományos feldolgozó és publikációs tevékenység</t>
  </si>
  <si>
    <t>082063 - Múzeumi kiállítási tevékenység</t>
  </si>
  <si>
    <t>082064 - Múzeumi közművelődési, közönségkapcsolati tevékenység</t>
  </si>
  <si>
    <t>082070 - Történelmi hely, építmény, egyéb látványosság működtetése és megóvása</t>
  </si>
  <si>
    <t>082080 - Növény- és állatkertek működtetése és megőrzése</t>
  </si>
  <si>
    <t>082091 - Közművelődés - közösségi és társadalmi részvétel fejlesztése</t>
  </si>
  <si>
    <t>082092 - Közművelődés - hagyományos közösségi kulturális értékek gondozása</t>
  </si>
  <si>
    <t>082093 - Közművelődés - egész életre kiterjedő tanulás, amatőr művészetek</t>
  </si>
  <si>
    <t>082094 - Közművelődés - kulturális alapú gazdaságfejlesztés</t>
  </si>
  <si>
    <t>083010 - Műsorszolgáltatási és kiadói ügyek igazgatása</t>
  </si>
  <si>
    <t>083020 - Könyvkiadás</t>
  </si>
  <si>
    <t>083030 - Egyéb kiadói tevékenység</t>
  </si>
  <si>
    <t>083040 - Rádióműsor szolgáltatása és támogatása</t>
  </si>
  <si>
    <t>083050 - Televízió-műsor szolgáltatása és támogatása</t>
  </si>
  <si>
    <t>083080 - Nemzetiségi médiatartalom-szolgáltatás és támogatása</t>
  </si>
  <si>
    <t>084010 - Társadalmi tevékenységekkel, esélyegyenlőséggel, érdekképviselettel, nemzetiségekkel, egyházakkal összefüggő feladatok igazgatása és szabályozása</t>
  </si>
  <si>
    <t>084020 - Nemzetiségi közfeladatok ellátása és támogatása</t>
  </si>
  <si>
    <t>084031 - Civil szervezetek működési támogatása</t>
  </si>
  <si>
    <t>084032 - Civil szervezetek programtámogatása</t>
  </si>
  <si>
    <t>084040 - Egyházak közösségi és hitéleti tevékenységének támogatása</t>
  </si>
  <si>
    <t>084050 - Politikai pártok tevékenységének támogatása</t>
  </si>
  <si>
    <t>084060 - Érdekképviseleti, szakszervezeti tevékenységek támogatása</t>
  </si>
  <si>
    <t>084070 - A fiatalok társadalmi integrációját segítő struktúra, szakmai szolgáltatások fejlesztése, működtetése</t>
  </si>
  <si>
    <t>085010 - Szabadidős tevékenységekkel, sporttal, kultúrával és vallással kapcsolatos alkalmazott kutatás és fejlesztés</t>
  </si>
  <si>
    <t>086010 - Határon túli magyarok egyéb támogatásai</t>
  </si>
  <si>
    <t>086020 - Helyi, térségi közösségi tér biztosítása, működtetése</t>
  </si>
  <si>
    <t>086030 - Nemzetközi kulturális együttműködés</t>
  </si>
  <si>
    <t>086090 - Egyéb szabadidős szolgáltatás</t>
  </si>
  <si>
    <t>091110 - Óvodai nevelés, ellátás szakmai feladatai</t>
  </si>
  <si>
    <t>091120 - Sajátos nevelési igényű gyermekek óvodai nevelésének, ellátásának szakmai feladatai</t>
  </si>
  <si>
    <t>091130 - Nemzetiségi óvodai nevelés, ellátás szakmai feladatai</t>
  </si>
  <si>
    <t>091140 - Óvodai nevelés, ellátás működtetési feladatai</t>
  </si>
  <si>
    <t>0912 I - skolai nevelés, oktatás az 1-4. évfolyamokon</t>
  </si>
  <si>
    <t>091211 - Köznevelési intézményben tanulók nappali rendszerű nevelésének, oktatásának szakmai feladatai 1-4. évfolyamon</t>
  </si>
  <si>
    <t>091212 - Sajátos nevelési igényű tanulók nappali rendszerű nevelésének, oktatásának szakmai feladatai 1-4. évfolyamon</t>
  </si>
  <si>
    <t>091213 - Nemzetiségi tanulók nappali rendszerű nevelésének, oktatásának szakmai feladatai 1-4. évfolyamon</t>
  </si>
  <si>
    <t>091220 - Köznevelési intézmény 1-4. évfolyamán tanulók nevelésével, oktatásával összefüggő működtetési feladatok</t>
  </si>
  <si>
    <t>091240 - Alapfokú művészetoktatás</t>
  </si>
  <si>
    <t>091250 - Alapfokú művészetoktatással összefüggő működtetési feladatok</t>
  </si>
  <si>
    <t>091260 - Felnőttoktatás 1-4. évfolyamon</t>
  </si>
  <si>
    <t>092111 - Köznevelési intézményben tanulók nappali rendszerű nevelésének, oktatásának szakmai feladatai 5-8. évfolyamon</t>
  </si>
  <si>
    <t>092112 - Sajátos nevelési igényű tanulók nappali rendszerű nevelésének, oktatásának szakmai feladatai 5-8. évfolyamon</t>
  </si>
  <si>
    <t>092113 - Nemzetiségi tanulók nappali rendszerű nevelésének, oktatásának szakmai feladatai 5-8. évfolyamon</t>
  </si>
  <si>
    <t>092120 - Köznevelési intézmény 5-8. évfolyamán tanulók nevelésével, oktatásával összefüggő működtetési feladatok</t>
  </si>
  <si>
    <t>092140 - Felnőttoktatás 5-8. évfolyamon</t>
  </si>
  <si>
    <t>092150 - Iskolarendszeren kívüli ISCED 2 szintű OKJ-s képzés</t>
  </si>
  <si>
    <t>092211 - Gimnáziumi oktatás, nevelés szakmai feladatai</t>
  </si>
  <si>
    <t>092212 - Sajátos nevelési igényű tanulók gimnáziumi nevelésének, oktatásának szakmai feladatai</t>
  </si>
  <si>
    <t>092213 - Nemzetiségi tanulók gimnáziumi oktatásának, nevelésének szakmai feladatai</t>
  </si>
  <si>
    <t>092221 - Közismereti és szakképesítés megszerzésére felkészítő szakmai elméleti oktatás szakmai feladatai a szakképző iskolákban</t>
  </si>
  <si>
    <t>092222 - Sajátos nevelési igényű tanulók közismereti és szakképesítés megszerzésére felkészítő szakmai elméleti oktatásának szakmai feladatai a szakképző iskolákban</t>
  </si>
  <si>
    <t>092223 - Nemzetiségi tanulók közismereti és szakképesítés megszerzésére felkészítő szakmai elméleti oktatás szakmai feladatai a szakképző iskolákban</t>
  </si>
  <si>
    <t>092231 - Szakképesítés megszerzésére felkészítő szakmai gyakorlati oktatás szakmai feladatai a szakképző iskolákban</t>
  </si>
  <si>
    <t>092232 - Sajátos nevelési igényű tanulók szakképesítés megszerzésére felkészítő szakmai gyakorlati oktatásának szakmai feladatai a szakképző iskolákban</t>
  </si>
  <si>
    <t>092260 - Gimnázium és szakképző iskola tanulóinak közismereti és szakmai elméleti oktatásával összefüggő működtetési feladatok</t>
  </si>
  <si>
    <t>092270 - Szakképző iskolai tanulók szakmai gyakorlati oktatásával összefüggő működtetési feladatok</t>
  </si>
  <si>
    <t>092290 - Iskolarendszeren kívüli ISCED 3 szintű OKJ-s képzés</t>
  </si>
  <si>
    <t>093010 - Felsőfokú végzettségi szintet nem biztosító képzések</t>
  </si>
  <si>
    <t>093020 - Iskolarendszeren kívüli ISCED 4 szintű OKJ-s képzés</t>
  </si>
  <si>
    <t>094110 - Felsőoktatási szakképzés</t>
  </si>
  <si>
    <t>094120 - Szakirányú továbbképzés</t>
  </si>
  <si>
    <t>094130 - Egészségügyi szakmai képzés</t>
  </si>
  <si>
    <t>094170 - Iskolarendszeren kívüli ISCED 5 szintű OKJ-s képzés</t>
  </si>
  <si>
    <t>094210 - Felsőfokú oktatás</t>
  </si>
  <si>
    <t>094250 - Tankönyv- és jegyzettámogatás</t>
  </si>
  <si>
    <t>094260 - Hallgatói és oktatói ösztöndíjak, egyéb juttatások</t>
  </si>
  <si>
    <t>094280 - Hallgatók lakhatásának biztosítása</t>
  </si>
  <si>
    <t>094290 - Iskolarendszeren kívüli ISCED 6 szintű OKJ-s képzés</t>
  </si>
  <si>
    <t>095010 - Határon túli magyarok oktatási támogatásai</t>
  </si>
  <si>
    <t>095020 - Iskolarendszeren kívüli egyéb oktatás, képzés</t>
  </si>
  <si>
    <t>095030 - Szakképzési és felnőttképzési támogatások</t>
  </si>
  <si>
    <t>095040 - Munkaerő-piaci felnőttképzéshez kapcsolódó szakmai szolgáltatások</t>
  </si>
  <si>
    <t>096015 - Gyermekétkeztetés köznevelési intézményben</t>
  </si>
  <si>
    <t>096025 - Munkahelyi étkeztetés köznevelési intézményben</t>
  </si>
  <si>
    <t>096030 - Köznevelési intézményben tanulók lakhatásának biztosítása</t>
  </si>
  <si>
    <t>096040 - Köznevelési intézményben tanulók kollégiumi, externátusi nevelése</t>
  </si>
  <si>
    <t>097010 - Oktatáshoz kapcsolódó alkalmazott kutatás és fejlesztés</t>
  </si>
  <si>
    <t>098010 - Oktatás igazgatása</t>
  </si>
  <si>
    <t>098021 - Pedagógiai szakszolgáltató tevékenység szakmai feladatai</t>
  </si>
  <si>
    <t>098022 - Pedagógiai szakszolgáltató tevékenység működtetési feladatai</t>
  </si>
  <si>
    <t>098031 - Pedagógiai szakmai szolgáltatások szakmai feladatai</t>
  </si>
  <si>
    <t>098032 - Pedagógiai szakmai szolgáltatások működtetési feladatai</t>
  </si>
  <si>
    <t>098040 - Nemzetközi oktatási együttműködés</t>
  </si>
  <si>
    <t>098051 - Utazó gyógypedagógusi, utazó konduktori tevékenység szakmai feladatai</t>
  </si>
  <si>
    <t>098052 - Utazó gyógypedagógusi, utazó konduktori tevékenység működtetési feladatai</t>
  </si>
  <si>
    <t>098061 - Fejlesztő nevelés-oktatás szakmai feladatai</t>
  </si>
  <si>
    <t>098062 - Fejlesztő nevelés-oktatás működtetési feladatai</t>
  </si>
  <si>
    <t>101110 - Bentlakásos, nem kórházi ellátás, ápolás</t>
  </si>
  <si>
    <t>101121 - Pszichiátriai betegek tartós bentlakásos ellátása</t>
  </si>
  <si>
    <t>101122 - Szenvedélybetegek tartós bentlakásos ellátása</t>
  </si>
  <si>
    <t>101123 - Pszichiátriai betegek rehabilitációs célú bentlakásos ellátása</t>
  </si>
  <si>
    <t>101124 - Szenvedélybetegek rehabilitációs célú bentlakásos ellátása</t>
  </si>
  <si>
    <t>101125 - Pszichiátriai betegek rehabilitációs lakóotthoni ellátása</t>
  </si>
  <si>
    <t>101126 - Szenvedélybetegek rehabilitációs lakóotthoni ellátása</t>
  </si>
  <si>
    <t>101131 - Pszichiátriai betegek átmeneti ellátása</t>
  </si>
  <si>
    <t>101132 - Szenvedélybetegek átmeneti ellátása</t>
  </si>
  <si>
    <t>101133 - Támogatott lakhatás pszichiátriai betegek részére</t>
  </si>
  <si>
    <t>101134 - Támogatott lakhatás szenvedélybetegek részére</t>
  </si>
  <si>
    <t>101141 - Pszichiátriai betegek nappali ellátása</t>
  </si>
  <si>
    <t>101142 - Szenvedélybetegek nappali ellátása</t>
  </si>
  <si>
    <t>101143 - Pszichiátriai betegek közösségi alapellátása</t>
  </si>
  <si>
    <t>101144 - Szenvedélybetegek közösségi alapellátása (kivéve: alacsonyküszöbű ellátás)</t>
  </si>
  <si>
    <t>101145 - Szenvedélybetegek alacsonyküszöbű ellátása</t>
  </si>
  <si>
    <t>101150 - Betegséggel kapcsolatos pénzbeli ellátások, támogatások</t>
  </si>
  <si>
    <t>101211 - Fogyatékossággal élők tartós bentlakásos ellátása</t>
  </si>
  <si>
    <t>101212 - Fogyatékossággal élők rehabilitációs célú bentlakásos ellátása</t>
  </si>
  <si>
    <t>101213 - Fogyatékossággal élők átmeneti ellátása</t>
  </si>
  <si>
    <t>101214 - Támogatott lakhatás fogyatékos személyek részére</t>
  </si>
  <si>
    <t>101215 - Fogyatékossággal élők ápoló-gondozó lakóotthoni ellátása</t>
  </si>
  <si>
    <t>101216 - Fogyatékossággal élők rehabilitációs célú lakóotthoni ellátása</t>
  </si>
  <si>
    <t>101221 - Fogyatékossággal élők nappali ellátása</t>
  </si>
  <si>
    <t>101222 - Támogató szolgáltatás fogyatékos személyek részére</t>
  </si>
  <si>
    <t>101231 - Fogyatékossággal összefüggő pénzbeli ellátások, támogatások</t>
  </si>
  <si>
    <t>101232 - Megváltozott munkaképességgel összefüggő pénzbeli ellátások, támogatások</t>
  </si>
  <si>
    <t>101240 - Megváltozott munkaképességű személyek foglalkoztatását elősegítő képzések, támogatások</t>
  </si>
  <si>
    <t>101270 - Fogyatékossággal élők társadalmi integrációját és életminőségét segítő programok, támogatások</t>
  </si>
  <si>
    <t>102010 - Nyugdíjbiztosítási szolgáltatások igazgatása</t>
  </si>
  <si>
    <t>102023 - Időskorúak tartós bentlakásos ellátása</t>
  </si>
  <si>
    <t>102024 - Demens betegek tartós bentlakásos ellátása</t>
  </si>
  <si>
    <t>102025 - Időskorúak átmeneti ellátása</t>
  </si>
  <si>
    <t>102026 - Demens betegek átmeneti ellátása</t>
  </si>
  <si>
    <t>102027 - Szakápolási központ</t>
  </si>
  <si>
    <t>102031 - Idősek nappali ellátása</t>
  </si>
  <si>
    <t>102032 - Demens betegek nappali ellátása</t>
  </si>
  <si>
    <t>102040 - Időskorral összefüggő pénzbeli ellátások</t>
  </si>
  <si>
    <t>102050 - Az időskorúak társadalmi integrációját célzó programok</t>
  </si>
  <si>
    <t>103010 - Elhunyt személyek hátramaradottainak pénzbeli ellátásai</t>
  </si>
  <si>
    <t>104011 - Gyermekvédelmi bentlakásos ellátások</t>
  </si>
  <si>
    <t>104012 - Gyermekek átmeneti ellátása</t>
  </si>
  <si>
    <t>104013 - Nevelőszülőnél elhelyezettek ellátása</t>
  </si>
  <si>
    <t>104020 - Javítóintézeti ellátás</t>
  </si>
  <si>
    <t>104030 - Gyermekek napközbeni ellátása családi bölcsőde, munkahelyi bölcsőde, napközbeni gyermekfelügyelet vagy alternatív napközbeni ellátás útján</t>
  </si>
  <si>
    <t>104031 - Gyermekek bölcsődében és mini bölcsődében történő ellátása</t>
  </si>
  <si>
    <t>104035 - Gyermekétkeztetés bölcsődében, fogyatékosok nappali intézményében</t>
  </si>
  <si>
    <t>104036 - Munkahelyi étkeztetés gyermekek napközbeni ellátását biztosító intézményben</t>
  </si>
  <si>
    <t>104037 - Intézményen kívüli gyermekétkeztetés</t>
  </si>
  <si>
    <t>104041 - Területi gyermekvédelmi szakszolgáltatás</t>
  </si>
  <si>
    <t>104042 - Család és gyermekjóléti szolgáltatások</t>
  </si>
  <si>
    <t>104043 - Család és gyermekjóléti központ</t>
  </si>
  <si>
    <t>104044 - Biztos Kezdet Gyerekház</t>
  </si>
  <si>
    <t>104051 - Gyermekvédelmi pénzbeli és természetbeni ellátások</t>
  </si>
  <si>
    <t>104052 - Családtámogatások</t>
  </si>
  <si>
    <t>104060 - A gyermekek, fiatalok és családok életminőségét javító programok</t>
  </si>
  <si>
    <t>104070 - A gyermeki jogok érvényre juttatásával összefüggő feladatok</t>
  </si>
  <si>
    <t>105010 - Munkanélküli aktív korúak ellátásai</t>
  </si>
  <si>
    <t>105020 - Foglalkoztatást elősegítő képzések és egyéb támogatások</t>
  </si>
  <si>
    <t>106010 - Lakóingatlan szociális célú bérbeadása, üzemeltetése</t>
  </si>
  <si>
    <t>106020 - Lakásfenntartással, lakhatással összefüggő ellátások</t>
  </si>
  <si>
    <t>107011 - Hajléktalanok tartós bentlakásos ellátása</t>
  </si>
  <si>
    <t>107012 - Hajléktalanok rehabilitációs célú bentlakásos ellátása</t>
  </si>
  <si>
    <t>107013 - Hajléktalanok átmeneti ellátása</t>
  </si>
  <si>
    <t>107015 - Hajléktalanok nappali ellátása</t>
  </si>
  <si>
    <t>107016 - Utcai szociális munka</t>
  </si>
  <si>
    <t>107020 - Családon belüli erőszak sértettjeinek bentlakásos ellátása</t>
  </si>
  <si>
    <t>107030 - Szociális foglalkoztatás, fejlesztő foglalkoztatás</t>
  </si>
  <si>
    <t>107050 - Szociális étkeztetés népkonyhán</t>
  </si>
  <si>
    <t>107051 - Szociális étkeztetés szociális konyhán</t>
  </si>
  <si>
    <t>107052 - Házi segítségnyújtás</t>
  </si>
  <si>
    <t>107053 - Jelzőrendszeres házi segítségnyújtás</t>
  </si>
  <si>
    <t>107055 - Falugondnoki, tanyagondnoki szolgáltatás</t>
  </si>
  <si>
    <t>107060 - Egyéb szociális pénzbeli és természetbeni ellátások, támogatások</t>
  </si>
  <si>
    <t>107070 - Menekültek, befogadottak, oltalmazottak ideiglenes ellátása és támogatása</t>
  </si>
  <si>
    <t>107080 - Esélyegyenlőség elősegítését célzó tevékenységek és programok</t>
  </si>
  <si>
    <t>107090 - Romák társadalmi integrációját elősegítő tevékenységek, programok</t>
  </si>
  <si>
    <t>108010 - Szociális biztonsággal kapcsolatos alkalmazott kutatás és fejlesztés</t>
  </si>
  <si>
    <t>109010 - Szociális szolgáltatások igazgatása</t>
  </si>
  <si>
    <t>109020 - Szociális szolgáltatások módszertani szakirányítása</t>
  </si>
  <si>
    <t>109030 - Természetes személyek adósságrendezésével kapcsolatos feladatok</t>
  </si>
  <si>
    <t>109070 - Nemzetközi humanitárius segítségnyújtás</t>
  </si>
  <si>
    <t>900010 - Központi költségvetés funkcióra nem sorolható bevételei államháztartáson kívülről</t>
  </si>
  <si>
    <t>900020 - Önkormányzatok funkcióra nem sorolható bevételei államháztartáson kívülről</t>
  </si>
  <si>
    <t>900030 - Elkülönített állami pénzalapok funkcióra nem sorolható bevételei államháztartáson kívülről</t>
  </si>
  <si>
    <t>900040 - Egészségbiztosítási Alap funkcióra nem sorolható bevételei államháztartáson kívülről</t>
  </si>
  <si>
    <t>900050 - Nyugdíjbiztosítási Alap funkcióra nem sorolható bevételei államháztartáson kívülről</t>
  </si>
  <si>
    <t>900060 - Forgatási és befektetési célú finanszírozási műveletek</t>
  </si>
  <si>
    <t>900090 - Vállalkozási tevékenységek kiadásai és bevételei</t>
  </si>
  <si>
    <t>Ellenőrzés:</t>
  </si>
  <si>
    <t>Kormányzati funkció megnevezése</t>
  </si>
  <si>
    <t>7. Bevételi jogcímek</t>
  </si>
  <si>
    <t>8. Kiadási jogcímek</t>
  </si>
  <si>
    <t>13. Bevételi jogcímek</t>
  </si>
  <si>
    <t>14. Kiadási jogcímek</t>
  </si>
  <si>
    <t>19. Bevételi jogcímek</t>
  </si>
  <si>
    <t>20. Kiadási jogcímek</t>
  </si>
  <si>
    <t>25. Bevételi jogcímek</t>
  </si>
  <si>
    <t>26. Kiadási jogcímek</t>
  </si>
  <si>
    <t>31. Bevételi jogcímek</t>
  </si>
  <si>
    <t>32. Kiadási jogcímek</t>
  </si>
  <si>
    <t>5. Bevételi jogcímek</t>
  </si>
  <si>
    <t>6. Kiadási jogcímek</t>
  </si>
  <si>
    <t>Előterjesztés szerkesztése</t>
  </si>
  <si>
    <t>felhasználni, átcsoportosítani."</t>
  </si>
  <si>
    <t>Kont. id</t>
  </si>
  <si>
    <t>Ut. rend.
sorszáma</t>
  </si>
  <si>
    <t>Ut. rend.
azonosító</t>
  </si>
  <si>
    <t>Köv./Köt.váll.
azonosító</t>
  </si>
  <si>
    <t>Bizonylat/számla
azonosító</t>
  </si>
  <si>
    <t>Alap/Áfa rendezés</t>
  </si>
  <si>
    <t>Partner neve</t>
  </si>
  <si>
    <t>Bizonylatnem</t>
  </si>
  <si>
    <t>Nyilvántartási Ellenszámla</t>
  </si>
  <si>
    <t>Kont.dátum</t>
  </si>
  <si>
    <t>Értéknap</t>
  </si>
  <si>
    <t>Bankkiv./ Pt.biz.</t>
  </si>
  <si>
    <t>Törzsszám</t>
  </si>
  <si>
    <t>Áfa kat.</t>
  </si>
  <si>
    <t>Visszaig. ÁFA</t>
  </si>
  <si>
    <t>Megjegyzés</t>
  </si>
  <si>
    <t>Azonosító</t>
  </si>
  <si>
    <t>Ksz. Mozgásnem</t>
  </si>
  <si>
    <t>Szakfeladat</t>
  </si>
  <si>
    <t>Ei.kód</t>
  </si>
  <si>
    <t>Részletező</t>
  </si>
  <si>
    <t>Költségnem</t>
  </si>
  <si>
    <t>Ksz. T/K</t>
  </si>
  <si>
    <t>Tételérték</t>
  </si>
  <si>
    <t>Nyilvántartási Számla</t>
  </si>
  <si>
    <t>Psz. kont. id</t>
  </si>
  <si>
    <t>Psz. Bizonylatnem</t>
  </si>
  <si>
    <t>Könyvviteli Ellenszámla</t>
  </si>
  <si>
    <t>Psz. Mozgásnem</t>
  </si>
  <si>
    <t>Psz. T/K</t>
  </si>
  <si>
    <t>Könyvviteli Főkönyv</t>
  </si>
  <si>
    <t>Ügyintéző</t>
  </si>
  <si>
    <t>Pü.ügyintéző</t>
  </si>
  <si>
    <t>Rovatrend</t>
  </si>
  <si>
    <t>Bizonylat vagy
ut. rend.
bizonylata</t>
  </si>
  <si>
    <t>Ut. rend./bizonylat
követelése vagy
kötelezettség-
vállalása</t>
  </si>
  <si>
    <t>(KÖT)</t>
  </si>
  <si>
    <t>K312</t>
  </si>
  <si>
    <t>K337</t>
  </si>
  <si>
    <t>K1101</t>
  </si>
  <si>
    <t>K1110</t>
  </si>
  <si>
    <t>K121</t>
  </si>
  <si>
    <t>K122</t>
  </si>
  <si>
    <t>K311</t>
  </si>
  <si>
    <t>K321</t>
  </si>
  <si>
    <t>K322</t>
  </si>
  <si>
    <t>K3311</t>
  </si>
  <si>
    <t>K332</t>
  </si>
  <si>
    <t>K334</t>
  </si>
  <si>
    <t>K355</t>
  </si>
  <si>
    <t>K915</t>
  </si>
  <si>
    <t>B1132</t>
  </si>
  <si>
    <t>B25</t>
  </si>
  <si>
    <t>K1106</t>
  </si>
  <si>
    <t>K1107</t>
  </si>
  <si>
    <t>K1109</t>
  </si>
  <si>
    <t>B34</t>
  </si>
  <si>
    <t>B351</t>
  </si>
  <si>
    <t>B405</t>
  </si>
  <si>
    <t>(ÖNV)</t>
  </si>
  <si>
    <t>K3312</t>
  </si>
  <si>
    <t>K333</t>
  </si>
  <si>
    <t>K336</t>
  </si>
  <si>
    <t>K341</t>
  </si>
  <si>
    <t>K335</t>
  </si>
  <si>
    <t>K351</t>
  </si>
  <si>
    <t>K64</t>
  </si>
  <si>
    <t>K67</t>
  </si>
  <si>
    <t>K48</t>
  </si>
  <si>
    <t>B403</t>
  </si>
  <si>
    <t>B406</t>
  </si>
  <si>
    <t>B8131</t>
  </si>
  <si>
    <t>B816</t>
  </si>
  <si>
    <t>K3314</t>
  </si>
  <si>
    <t>K506</t>
  </si>
  <si>
    <t>B16</t>
  </si>
  <si>
    <t>B402</t>
  </si>
  <si>
    <t>K1105</t>
  </si>
  <si>
    <t>K123</t>
  </si>
  <si>
    <t>K512</t>
  </si>
  <si>
    <t>K513</t>
  </si>
  <si>
    <t>K62</t>
  </si>
  <si>
    <t>K71</t>
  </si>
  <si>
    <t>K74</t>
  </si>
  <si>
    <t>K914</t>
  </si>
  <si>
    <t>B111</t>
  </si>
  <si>
    <t>B112</t>
  </si>
  <si>
    <t>B1131</t>
  </si>
  <si>
    <t>B114</t>
  </si>
  <si>
    <t>B355</t>
  </si>
  <si>
    <t>B36</t>
  </si>
  <si>
    <t>B52</t>
  </si>
  <si>
    <t>B4082</t>
  </si>
  <si>
    <t>B410</t>
  </si>
  <si>
    <t>B411</t>
  </si>
  <si>
    <t>K352</t>
  </si>
  <si>
    <t>K73</t>
  </si>
  <si>
    <t>K1113</t>
  </si>
  <si>
    <t>B814</t>
  </si>
  <si>
    <t>K353</t>
  </si>
  <si>
    <t>K1104</t>
  </si>
  <si>
    <t>K1103</t>
  </si>
  <si>
    <t>-</t>
  </si>
  <si>
    <t>B4081</t>
  </si>
  <si>
    <t>K1112</t>
  </si>
  <si>
    <t>B116</t>
  </si>
  <si>
    <t>B401</t>
  </si>
  <si>
    <t>B65</t>
  </si>
  <si>
    <t>K5021</t>
  </si>
  <si>
    <t>B115</t>
  </si>
  <si>
    <t>B8123</t>
  </si>
  <si>
    <t>SZK</t>
  </si>
  <si>
    <t xml:space="preserve"> 2024.12.31</t>
  </si>
  <si>
    <t>2029.</t>
  </si>
  <si>
    <t>.../2025. (...)</t>
  </si>
  <si>
    <t>Létszámgazdálkodás</t>
  </si>
  <si>
    <t>Tervezett előirányzatok rögzítése</t>
  </si>
  <si>
    <t>E1</t>
  </si>
  <si>
    <t>B/K</t>
  </si>
  <si>
    <t>E2</t>
  </si>
  <si>
    <t>E3</t>
  </si>
  <si>
    <t>B11</t>
  </si>
  <si>
    <t xml:space="preserve"> Helyi önkormányzatok működésének általános támogatása</t>
  </si>
  <si>
    <t xml:space="preserve"> Települési önkormányzatok egyes szociális és gyermekjóléti feladatainak támogatása</t>
  </si>
  <si>
    <t>E4</t>
  </si>
  <si>
    <t>B12-16</t>
  </si>
  <si>
    <t>B12</t>
  </si>
  <si>
    <t xml:space="preserve"> Elvonások és befizetések bevételei</t>
  </si>
  <si>
    <t>B13</t>
  </si>
  <si>
    <t xml:space="preserve"> Működési célú garancia- és kezességvállalásból származó megtérülések ÁH belülről</t>
  </si>
  <si>
    <t>B14</t>
  </si>
  <si>
    <t xml:space="preserve"> Működési célú visszatérítendő támogatások, kölcsönök visszatérülése ÁH belülről</t>
  </si>
  <si>
    <t>B15</t>
  </si>
  <si>
    <t xml:space="preserve"> Működési célú visszatérítendő támogatások, kölcsönök igénybevétele ÁH belülről</t>
  </si>
  <si>
    <t xml:space="preserve"> Egyéb működési célú támogatások bevételei ÁH belülről</t>
  </si>
  <si>
    <t>E5</t>
  </si>
  <si>
    <t>B21</t>
  </si>
  <si>
    <t xml:space="preserve"> Felhalmozási célú önkormányzati támogatások</t>
  </si>
  <si>
    <t>B22</t>
  </si>
  <si>
    <t xml:space="preserve"> Felhalmozási célú garancia- és kezességvállalásból származó megtérülések ÁH bel.</t>
  </si>
  <si>
    <t>B23</t>
  </si>
  <si>
    <t xml:space="preserve"> Felhalmozási célú visszatérítendő támogatások, kölcsönök visszatérülése ÁH bel.</t>
  </si>
  <si>
    <t>B24</t>
  </si>
  <si>
    <t xml:space="preserve"> Felhalmozási célú visszatérítendő támogatások, kölcsönök igénybevétele ÁH bel.</t>
  </si>
  <si>
    <t xml:space="preserve"> Egyéb felhalmozási célú támogatások bevételei ÁH belülről</t>
  </si>
  <si>
    <t>B31</t>
  </si>
  <si>
    <t xml:space="preserve"> Magánszemélyek jövedelemadói</t>
  </si>
  <si>
    <t xml:space="preserve"> Vagyoni típusú adók</t>
  </si>
  <si>
    <t xml:space="preserve"> Értékesítési és forgalmi adók</t>
  </si>
  <si>
    <t>B352</t>
  </si>
  <si>
    <t xml:space="preserve"> Fogyasztási adók</t>
  </si>
  <si>
    <t xml:space="preserve"> Egyéb áruhasználati és szolgáltatási adók</t>
  </si>
  <si>
    <t xml:space="preserve"> Egyéb közhatalmi bevételek</t>
  </si>
  <si>
    <t xml:space="preserve"> Készletértékesítés ellenértéke</t>
  </si>
  <si>
    <t xml:space="preserve"> Szolgáltatások ellenértéke</t>
  </si>
  <si>
    <t xml:space="preserve"> Közvetített szolgáltatások ellenértéke</t>
  </si>
  <si>
    <t>B404</t>
  </si>
  <si>
    <t xml:space="preserve"> Tulajdonosi bevételek</t>
  </si>
  <si>
    <t xml:space="preserve"> Ellátási díjak</t>
  </si>
  <si>
    <t xml:space="preserve"> Kiszámlázott általános forgalmi adó</t>
  </si>
  <si>
    <t>B407</t>
  </si>
  <si>
    <t xml:space="preserve"> Általános forgalmi adó visszatérítése</t>
  </si>
  <si>
    <t xml:space="preserve"> Befektetett pénzügyi eszközökből származó bevételek</t>
  </si>
  <si>
    <t xml:space="preserve"> Egyéb kapott (járó) kamatok és kamatjellegű bevételek</t>
  </si>
  <si>
    <t>B4091</t>
  </si>
  <si>
    <t xml:space="preserve"> Részesedésekből származó pénzügyi műveletek bevételei</t>
  </si>
  <si>
    <t>B4092</t>
  </si>
  <si>
    <t xml:space="preserve"> Más egyéb pénzügyi műveletek bevételei</t>
  </si>
  <si>
    <t xml:space="preserve"> Biztosító által fizetett kártérítés</t>
  </si>
  <si>
    <t xml:space="preserve"> Egyéb működési bevételek</t>
  </si>
  <si>
    <t>B51</t>
  </si>
  <si>
    <t xml:space="preserve"> Immateriális javak értékesítése</t>
  </si>
  <si>
    <t xml:space="preserve"> Ingatlanok értékesítése</t>
  </si>
  <si>
    <t>B53</t>
  </si>
  <si>
    <t xml:space="preserve"> Egyéb tárgyi eszközök értékesítése</t>
  </si>
  <si>
    <t>B54</t>
  </si>
  <si>
    <t xml:space="preserve"> Részesedések értékesítése</t>
  </si>
  <si>
    <t>B55</t>
  </si>
  <si>
    <t xml:space="preserve"> Részesedések megszűnéséhez kapcsolódó bevételek</t>
  </si>
  <si>
    <t>B61</t>
  </si>
  <si>
    <t xml:space="preserve"> Működési célú garancia- és kezességvállalásból származó megtérülések ÁH kívülről</t>
  </si>
  <si>
    <t>B62</t>
  </si>
  <si>
    <t xml:space="preserve"> Működési célú visszatérítendő támogatások, kölcsönök visszatérülése az EU</t>
  </si>
  <si>
    <t>B63</t>
  </si>
  <si>
    <t xml:space="preserve"> Működési célú visszatér.tám., kölcsönök visszatérülése korm. és más nemz.sz.</t>
  </si>
  <si>
    <t>B64</t>
  </si>
  <si>
    <t xml:space="preserve"> Működési célú visszatér.tám., kölcsönök visszatérülése államháztartáson kívülről</t>
  </si>
  <si>
    <t xml:space="preserve"> Egyéb működési célú átvett pénzeszközök előirányzata</t>
  </si>
  <si>
    <t>B71</t>
  </si>
  <si>
    <t xml:space="preserve"> Felhalm.célú garancia- és kezességvállalásból származó megtérülések ÁH kívülről</t>
  </si>
  <si>
    <t>B72</t>
  </si>
  <si>
    <t xml:space="preserve"> Felhalmozási célú visszatérítendő támogatások, kölcsönök visszatérülése az EU</t>
  </si>
  <si>
    <t>B73</t>
  </si>
  <si>
    <t xml:space="preserve"> Felhalm.célú visszatér.tám., kölcsönök visszatérülése korm.és más nemz.sz.</t>
  </si>
  <si>
    <t>B74</t>
  </si>
  <si>
    <t xml:space="preserve"> Felhalmozási célú visszatér.támogatások, kölcsönök visszatérülése ÁH kívülről</t>
  </si>
  <si>
    <t>B75</t>
  </si>
  <si>
    <t xml:space="preserve"> Egyéb felhalmozási célú átvett pénzeszközök előirányzata</t>
  </si>
  <si>
    <t>KÖLTSÉGVETÉSI BEVÉTELEK ÖSSZESEN:</t>
  </si>
  <si>
    <t>B811</t>
  </si>
  <si>
    <t>Hitel-, kölcsönfelvétel államháztartáson kívülről</t>
  </si>
  <si>
    <t>B8111</t>
  </si>
  <si>
    <t xml:space="preserve"> Hosszú lejáratú hitelek, kölcsönök felvétele pénzügyi vállalkozástól</t>
  </si>
  <si>
    <t>B8112</t>
  </si>
  <si>
    <t xml:space="preserve"> Likviditási célú hitelek, kölcsönök felvétele pénzügyi vállalkozástól</t>
  </si>
  <si>
    <t>B8113</t>
  </si>
  <si>
    <t xml:space="preserve"> Rövid lejáratú hitelek, kölcsönök felvétele pénzügyi vállalkozástól</t>
  </si>
  <si>
    <t>B812</t>
  </si>
  <si>
    <t>B8121</t>
  </si>
  <si>
    <t xml:space="preserve"> Forgatási célú belföldi értékpapírok beváltása, értékesítése</t>
  </si>
  <si>
    <t>B8122</t>
  </si>
  <si>
    <t xml:space="preserve"> Éven belüli lejáratú belföldi értékpapírok kibocsátása</t>
  </si>
  <si>
    <t xml:space="preserve"> Befektetési célú belföldi értékpapírok beváltása, értékesítése</t>
  </si>
  <si>
    <t>B8124</t>
  </si>
  <si>
    <t xml:space="preserve"> Éven túli lejáratú belföldi értékpapírok kibocsátása</t>
  </si>
  <si>
    <t>B813</t>
  </si>
  <si>
    <t xml:space="preserve"> Előző év költségvetési maradványának igénybevétele</t>
  </si>
  <si>
    <t>B8132</t>
  </si>
  <si>
    <t xml:space="preserve"> Előző év vállalkozási maradványának igénybevétele</t>
  </si>
  <si>
    <t xml:space="preserve"> Államháztartáson belüli megelőlegezések előirányzata</t>
  </si>
  <si>
    <t>B815</t>
  </si>
  <si>
    <t xml:space="preserve"> Államháztartáson belüli megelőlegezések törlesztése előirányzata</t>
  </si>
  <si>
    <t>B817</t>
  </si>
  <si>
    <t xml:space="preserve"> Lekötött bankbetétek megszüntetése előirányzata</t>
  </si>
  <si>
    <t>B82</t>
  </si>
  <si>
    <t>B821</t>
  </si>
  <si>
    <t xml:space="preserve"> Forgatási célú külföldi értékpapírok beváltása, értékesítése előirányzata</t>
  </si>
  <si>
    <t>B822</t>
  </si>
  <si>
    <t xml:space="preserve"> Befektetési célú külföldi értékpapírok beváltása, értékesítése előirányzata</t>
  </si>
  <si>
    <t>B823</t>
  </si>
  <si>
    <t xml:space="preserve"> Külföldi értékpapírok kibocsátása előirányzata</t>
  </si>
  <si>
    <t>B824</t>
  </si>
  <si>
    <t xml:space="preserve"> Hitelek, kölcsönök felvétele külföldi kormányoktól és nemzetközi szervezetektől</t>
  </si>
  <si>
    <t>B825</t>
  </si>
  <si>
    <t xml:space="preserve"> Hitelek, kölcsönök felvétele külföldi pénzintézetektől előirányzata</t>
  </si>
  <si>
    <t>B83</t>
  </si>
  <si>
    <t xml:space="preserve"> Adóssághoz nem kapcsolódó származékos ügyletek bevételei előirányzata</t>
  </si>
  <si>
    <t>B84</t>
  </si>
  <si>
    <t xml:space="preserve"> Váltóbevételek előirányzata</t>
  </si>
  <si>
    <t>FINANSZÍROZÁSI BEVÉTELEK ÖSSZESEN:</t>
  </si>
  <si>
    <t>KÖLTSÉGVETÉSI ÉS FINANSZÍROZÁSI BEVÉTELEK ÖSSZESEN: (1+2)</t>
  </si>
  <si>
    <t xml:space="preserve">   Működési költségvetés kiadásai</t>
  </si>
  <si>
    <t xml:space="preserve"> - Általános tartalék</t>
  </si>
  <si>
    <t xml:space="preserve"> - Céltartalék</t>
  </si>
  <si>
    <t xml:space="preserve">   Felhalmozási költségvetés kiadásai</t>
  </si>
  <si>
    <t>EU-s forrásból megvalósuló beruházás</t>
  </si>
  <si>
    <t>EU-s forrásból megvalósuló felújítás</t>
  </si>
  <si>
    <t>Hitel-, kölcsöntörlesztés államháztartáson kívülre</t>
  </si>
  <si>
    <t>K9111</t>
  </si>
  <si>
    <t xml:space="preserve"> Hosszú lejáratú hitelek, kölcsönök törlesztése pénzügyi vállalkozásnak</t>
  </si>
  <si>
    <t>K9112</t>
  </si>
  <si>
    <t xml:space="preserve"> Likviditási célú hitelek, kölcsönök törlesztése pénzügyi vállalkozásnak</t>
  </si>
  <si>
    <t>K9113</t>
  </si>
  <si>
    <t xml:space="preserve"> Rövid lejáratú hitelek, kölcsönök törlesztése pénzügyi vállalkozásnak</t>
  </si>
  <si>
    <t>Belföldi értékpapírok kiadásai</t>
  </si>
  <si>
    <t>K9121</t>
  </si>
  <si>
    <t xml:space="preserve"> Forgatási célú belföldi értékpapírok vásárlása</t>
  </si>
  <si>
    <t>K9122</t>
  </si>
  <si>
    <t xml:space="preserve"> Befektetési célú belföldi értékpapírok vásárlása</t>
  </si>
  <si>
    <t>K9123</t>
  </si>
  <si>
    <t xml:space="preserve"> Kincstárjegyek beváltása</t>
  </si>
  <si>
    <t>K9124</t>
  </si>
  <si>
    <t xml:space="preserve"> Éven belüli lejáratú belföldi értékpapírok beváltása</t>
  </si>
  <si>
    <t>K9125</t>
  </si>
  <si>
    <t xml:space="preserve"> Belföldi kötvények beváltása</t>
  </si>
  <si>
    <t>K9126</t>
  </si>
  <si>
    <t xml:space="preserve"> Éven túli lejáratú belföldi értékpapírok beváltása</t>
  </si>
  <si>
    <t>Belföldi finanszírozás kiadásai</t>
  </si>
  <si>
    <t>K913</t>
  </si>
  <si>
    <t xml:space="preserve"> Államháztartáson belüli megelőlegezések folyósítása előirányzata</t>
  </si>
  <si>
    <t xml:space="preserve"> Államháztartáson belüli megelőlegezések visszafizetése előirányzata</t>
  </si>
  <si>
    <t>K916</t>
  </si>
  <si>
    <t xml:space="preserve"> Pénzeszközök lekötött bankbetétként elhelyezése előirányzata</t>
  </si>
  <si>
    <t>K917</t>
  </si>
  <si>
    <t xml:space="preserve"> Pénzügyi lízing kiadásai előirányzata</t>
  </si>
  <si>
    <t>Külföldi finanszírozás kiadásai</t>
  </si>
  <si>
    <t>K921</t>
  </si>
  <si>
    <t xml:space="preserve"> Forgatási célú külföldi értékpapírok vásárlása</t>
  </si>
  <si>
    <t>K922</t>
  </si>
  <si>
    <t xml:space="preserve"> Befektetési célú külföldi értékpapírok vásárlása</t>
  </si>
  <si>
    <t>K923</t>
  </si>
  <si>
    <t xml:space="preserve"> Külföldi értékpapírok beváltása</t>
  </si>
  <si>
    <t>K924</t>
  </si>
  <si>
    <t xml:space="preserve"> Hitelek, kölcsönök törlesztése külföldi kormányoknak és nemzetközi szervezeteknek</t>
  </si>
  <si>
    <t>K925</t>
  </si>
  <si>
    <t xml:space="preserve"> Hitelek, kölcsönök törlesztése külföldi pénzintézeteknek</t>
  </si>
  <si>
    <t xml:space="preserve"> Adóssághoz nem kapcsolódó származékos ügyletek kiadásai</t>
  </si>
  <si>
    <t xml:space="preserve"> Váltókiadások</t>
  </si>
  <si>
    <t>E6</t>
  </si>
  <si>
    <t>E7</t>
  </si>
  <si>
    <t>Egyéb működési célú kiadások (tartalék nélkül)</t>
  </si>
  <si>
    <t>E8</t>
  </si>
  <si>
    <t>E9</t>
  </si>
  <si>
    <t>B814-817</t>
  </si>
  <si>
    <t>BEVÉTELEK ÖSSZESEN: (1+2)</t>
  </si>
  <si>
    <t>E10</t>
  </si>
  <si>
    <t>E11</t>
  </si>
  <si>
    <t>Költségvetési bevételek összesen</t>
  </si>
  <si>
    <t xml:space="preserve"> Központi, irányító szervi támogatás</t>
  </si>
  <si>
    <t>BEVÉTELEK ÖSSZESEN: (1.+2.)</t>
  </si>
  <si>
    <t>9. Bevételi jogcímek</t>
  </si>
  <si>
    <t>10. Kiadási jogcímek</t>
  </si>
  <si>
    <t>11. Bevételi jogcímek</t>
  </si>
  <si>
    <t>12. Kiadási jogcímek</t>
  </si>
  <si>
    <t>15. Bevételi jogcímek</t>
  </si>
  <si>
    <t>16. Kiadási jogcímek</t>
  </si>
  <si>
    <t>17. Bevételi jogcímek</t>
  </si>
  <si>
    <t>18. Kiadási jogcímek</t>
  </si>
  <si>
    <t>21. Bevételi jogcímek</t>
  </si>
  <si>
    <t>22. Kiadási jogcímek</t>
  </si>
  <si>
    <t>23. Bevételi jogcímek</t>
  </si>
  <si>
    <t>24. Kiadási jogcímek</t>
  </si>
  <si>
    <t>27. Bevételi jogcímek</t>
  </si>
  <si>
    <t>28. Kiadási jogcímek</t>
  </si>
  <si>
    <t>29. Bevételi jogcímek</t>
  </si>
  <si>
    <t>30. Kiadási jogcímek</t>
  </si>
  <si>
    <t>33. Bevételi jogcímek</t>
  </si>
  <si>
    <t>34. Kiadási jogcímek</t>
  </si>
  <si>
    <t>35. Bevételi jogcímek</t>
  </si>
  <si>
    <t>36. Kiadási jogcímek</t>
  </si>
  <si>
    <t>Rovat1</t>
  </si>
  <si>
    <t>Rovat2</t>
  </si>
  <si>
    <t>Összevont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</si>
  <si>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</si>
  <si>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</si>
  <si>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</si>
  <si>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</si>
  <si>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</si>
  <si>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</si>
  <si>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</si>
  <si>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</si>
  <si>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</si>
  <si>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091</t>
  </si>
  <si>
    <t>092</t>
  </si>
  <si>
    <t>093</t>
  </si>
  <si>
    <t>094</t>
  </si>
  <si>
    <t>095</t>
  </si>
  <si>
    <t>096</t>
  </si>
  <si>
    <t>097</t>
  </si>
  <si>
    <t>098</t>
  </si>
  <si>
    <t>Dologi kiadások</t>
  </si>
  <si>
    <t>Egyéb felhalmozási célú kiadások</t>
  </si>
  <si>
    <t>Feladat</t>
  </si>
  <si>
    <t>Feladat1</t>
  </si>
  <si>
    <t>Feladat2</t>
  </si>
  <si>
    <t>(ÁIG)</t>
  </si>
  <si>
    <t>1 - (KÖT)</t>
  </si>
  <si>
    <t>2 - (ÖNV)</t>
  </si>
  <si>
    <t>3 - (ÁIG)</t>
  </si>
  <si>
    <t>Szervezet</t>
  </si>
  <si>
    <t>PIR</t>
  </si>
  <si>
    <t>S.</t>
  </si>
  <si>
    <t>Bevétel, kiadás</t>
  </si>
  <si>
    <t>05</t>
  </si>
  <si>
    <t>09</t>
  </si>
  <si>
    <t>0</t>
  </si>
  <si>
    <t>Főkönyvi számla</t>
  </si>
  <si>
    <t>Összeg</t>
  </si>
  <si>
    <t>Oszlopcímkék</t>
  </si>
  <si>
    <t>Végösszeg</t>
  </si>
  <si>
    <t>CK</t>
  </si>
  <si>
    <t>FKK</t>
  </si>
  <si>
    <t>Előirányzat főkönyv</t>
  </si>
  <si>
    <t>011110</t>
  </si>
  <si>
    <t>Államhatalmi szervek tevékenysége</t>
  </si>
  <si>
    <t xml:space="preserve"> Törvény szerinti illetmények, munkabérek előirányzata</t>
  </si>
  <si>
    <t>011120</t>
  </si>
  <si>
    <t>Kormányzati igazgatási tevékenység</t>
  </si>
  <si>
    <t xml:space="preserve"> Normatív jutalmak előirányzata</t>
  </si>
  <si>
    <t>K1102</t>
  </si>
  <si>
    <t>Önkormányzatok és önkormányzati hivatalok jogalkotó és általános igazgatási tevékenysége</t>
  </si>
  <si>
    <t xml:space="preserve"> Céljuttatás, projektprémium előirányzata</t>
  </si>
  <si>
    <t>011140</t>
  </si>
  <si>
    <t>Országos és helyi nemzetiségi önkormányzatok igazgatási tevékenysége</t>
  </si>
  <si>
    <t xml:space="preserve"> Készenléti, ügyeleti, helyettesítési díj, túlóra, túlszolgálat előirányzata</t>
  </si>
  <si>
    <t>011210</t>
  </si>
  <si>
    <t>Az államháztartás igazgatása, ellenőrzése</t>
  </si>
  <si>
    <t xml:space="preserve"> Végkielégítés előirányzata</t>
  </si>
  <si>
    <t>011220</t>
  </si>
  <si>
    <t>Adó-, vám- és jövedéki igazgatás</t>
  </si>
  <si>
    <t xml:space="preserve"> Jubileumi jutalom előirányzata</t>
  </si>
  <si>
    <t>011230</t>
  </si>
  <si>
    <t>Államadósság kezelése</t>
  </si>
  <si>
    <t xml:space="preserve"> Béren kívüli juttatások előirányzata</t>
  </si>
  <si>
    <t>011310</t>
  </si>
  <si>
    <t>Külügyek igazgatása</t>
  </si>
  <si>
    <t xml:space="preserve"> Ruházati költségtérítés előirányzata</t>
  </si>
  <si>
    <t>K1108</t>
  </si>
  <si>
    <t>011320</t>
  </si>
  <si>
    <t>Nemzetközi szervezetekben való részvétel</t>
  </si>
  <si>
    <t xml:space="preserve"> Közlekedési költségtérítés előirányzata</t>
  </si>
  <si>
    <t>012110</t>
  </si>
  <si>
    <t>Gazdasági segítség nyújtása fejlődő és átmeneti gazdaságú országoknak</t>
  </si>
  <si>
    <t xml:space="preserve"> Egyéb költségtérítések előirányzata</t>
  </si>
  <si>
    <t>012210</t>
  </si>
  <si>
    <t>Gazdasági segítség nyújtása nemzetközi szervezeteken keresztül</t>
  </si>
  <si>
    <t xml:space="preserve"> Lakhatási támogatások előirányzata</t>
  </si>
  <si>
    <t>K1111</t>
  </si>
  <si>
    <t>013110</t>
  </si>
  <si>
    <t>A közszolgálat egyetemes humánerő-gazdálkodása</t>
  </si>
  <si>
    <t xml:space="preserve"> Szociális támogatások előirányzata</t>
  </si>
  <si>
    <t>013210</t>
  </si>
  <si>
    <t>Átfogó tervezési és statisztikai szolgáltatások</t>
  </si>
  <si>
    <t xml:space="preserve"> Foglalkoztatottak egyéb személyi juttatásai előirányzata</t>
  </si>
  <si>
    <t>013320</t>
  </si>
  <si>
    <t>Köztemető-fenntartás és -működtetés</t>
  </si>
  <si>
    <t xml:space="preserve"> Választott tisztségviselők juttatásai előirányzata</t>
  </si>
  <si>
    <t>013330</t>
  </si>
  <si>
    <t>Pályázat- és támogatáskezelés, ellenőrzés</t>
  </si>
  <si>
    <t xml:space="preserve"> Munkavégzésre irányuló egyéb jogviszonyban nem saját foglalkoztatottnak fizetett juttatások előirányzata</t>
  </si>
  <si>
    <t>013340</t>
  </si>
  <si>
    <t>Az állami vagyonnal való gazdálkodással kapcsolatos feladatok</t>
  </si>
  <si>
    <t xml:space="preserve"> Egyéb külső személyi juttatások előirányzata</t>
  </si>
  <si>
    <t>013350</t>
  </si>
  <si>
    <t>Az önkormányzati vagyonnal való gazdálkodással kapcsolatos feladatok</t>
  </si>
  <si>
    <t xml:space="preserve"> Munkaadókat terhelő járulékok és szociális hozzájárulási adó előirányzata</t>
  </si>
  <si>
    <t>013360</t>
  </si>
  <si>
    <t>Más szerv részére végzett pénzügyi-gazdálkodási, üzemeltetési, egyéb szolgáltatások</t>
  </si>
  <si>
    <t xml:space="preserve"> Szakmai anyagok beszerzése előirányzata</t>
  </si>
  <si>
    <t>013370</t>
  </si>
  <si>
    <t>Informatikai fejlesztések, szolgáltatások</t>
  </si>
  <si>
    <t xml:space="preserve"> Üzemeltetési anyagok beszerzése előirányzata</t>
  </si>
  <si>
    <t>013390</t>
  </si>
  <si>
    <t>Egyéb kiegészítő szolgáltatások</t>
  </si>
  <si>
    <t xml:space="preserve"> Árubeszerzés előirányzata</t>
  </si>
  <si>
    <t>K313</t>
  </si>
  <si>
    <t>014010</t>
  </si>
  <si>
    <t>Általános K+F politika</t>
  </si>
  <si>
    <t xml:space="preserve"> Informatikai szolgáltatások igénybevétele előirányzata</t>
  </si>
  <si>
    <t>014020</t>
  </si>
  <si>
    <t>Biotechnológiai alapkutatás</t>
  </si>
  <si>
    <t xml:space="preserve"> Egyéb kommunikációs szolgáltatások előirányzata</t>
  </si>
  <si>
    <t>014030</t>
  </si>
  <si>
    <t>Természettudományi, műszaki alapkutatás</t>
  </si>
  <si>
    <t>014040</t>
  </si>
  <si>
    <t>Társadalomtudományi, humán alapkutatás</t>
  </si>
  <si>
    <t>015010</t>
  </si>
  <si>
    <t>Általános közszolgáltatásokkal kapcsolatos alkalmazott kutatás és fejlesztés</t>
  </si>
  <si>
    <t>K3313</t>
  </si>
  <si>
    <t>016010</t>
  </si>
  <si>
    <t>Országgyűlési, önkormányzati és európai parlamenti képviselőválasztásokhoz kapcsolódó tevékenységek</t>
  </si>
  <si>
    <t>016020</t>
  </si>
  <si>
    <t>Országos és helyi népszavazással kapcsolatos tevékenységek</t>
  </si>
  <si>
    <t xml:space="preserve"> Vásárolt élelmezés előirányzata</t>
  </si>
  <si>
    <t>016030</t>
  </si>
  <si>
    <t>Állampolgársági ügyek</t>
  </si>
  <si>
    <t xml:space="preserve"> Bérleti és lízing díjak előirányzata</t>
  </si>
  <si>
    <t>016040</t>
  </si>
  <si>
    <t>Nemzetpolitikai tevékenység igazgatása és támogatása</t>
  </si>
  <si>
    <t xml:space="preserve"> Karbantartási, kisjavítási szolgáltatások előirányzata</t>
  </si>
  <si>
    <t>016080</t>
  </si>
  <si>
    <t>Kiemelt állami és önkormányzati rendezvények</t>
  </si>
  <si>
    <t xml:space="preserve"> Közvetített szolgáltatások előirányzata</t>
  </si>
  <si>
    <t>017010</t>
  </si>
  <si>
    <t>Államadóssággal kapcsolatos tranzakciók</t>
  </si>
  <si>
    <t xml:space="preserve"> Szakmai tevékenységet segítő szolgáltatások előirányzata</t>
  </si>
  <si>
    <t>018010</t>
  </si>
  <si>
    <t>Önkormányzatok elszámolásai a központi költségvetéssel</t>
  </si>
  <si>
    <t xml:space="preserve"> Egyéb szolgáltatások előirányzata</t>
  </si>
  <si>
    <t>018020</t>
  </si>
  <si>
    <t>Központi költségvetési befizetések</t>
  </si>
  <si>
    <t xml:space="preserve"> Kiküldetések kiadásai előirányzata</t>
  </si>
  <si>
    <t>018030</t>
  </si>
  <si>
    <t>Támogatási célú finanszírozási műveletek</t>
  </si>
  <si>
    <t xml:space="preserve"> Reklám- és propagandakiadások előirányzata</t>
  </si>
  <si>
    <t>K342</t>
  </si>
  <si>
    <t>018040</t>
  </si>
  <si>
    <t>Elkülönített állami pénzalapok bevételei államháztartáson belülről</t>
  </si>
  <si>
    <t xml:space="preserve"> Működési célú előzetesen felszámított általános forgalmi adó előirányzata</t>
  </si>
  <si>
    <t>018050</t>
  </si>
  <si>
    <t>Egészségbiztosítási alap bevételei államháztartáson belülről</t>
  </si>
  <si>
    <t xml:space="preserve"> Fizetendő általános forgalmi adó előirányzata</t>
  </si>
  <si>
    <t>018060</t>
  </si>
  <si>
    <t>Nyugdíjbiztosítási alap bevételei államháztartáson belülről</t>
  </si>
  <si>
    <t xml:space="preserve"> Kamatkiadások előirányzata</t>
  </si>
  <si>
    <t>021020</t>
  </si>
  <si>
    <t>Védelmi képesség fenntartása, fejlesztése, honvédelmi felkészítés</t>
  </si>
  <si>
    <t xml:space="preserve"> Egyéb pénzügyi műveletek kiadásai előirányzata</t>
  </si>
  <si>
    <t>K354</t>
  </si>
  <si>
    <t>021030</t>
  </si>
  <si>
    <t>Katonai ügyészségi tevékenység</t>
  </si>
  <si>
    <t xml:space="preserve"> Egyéb dologi kiadások előirányzata</t>
  </si>
  <si>
    <t>021040</t>
  </si>
  <si>
    <t>Katonai nemzetbiztonsági tevékenység</t>
  </si>
  <si>
    <t xml:space="preserve"> Társadalombiztosítási ellátások előirányzata</t>
  </si>
  <si>
    <t>K41</t>
  </si>
  <si>
    <t>022010</t>
  </si>
  <si>
    <t>Polgári honvédelem ágazati feladatai, a lakosság felkészítése</t>
  </si>
  <si>
    <t xml:space="preserve"> Családi támogatások előirányzata</t>
  </si>
  <si>
    <t>K42</t>
  </si>
  <si>
    <t>023010</t>
  </si>
  <si>
    <t>Nemzetközi katonai és rendészeti szerepvállalás béketámogató és válságkezelő műveletekben</t>
  </si>
  <si>
    <t xml:space="preserve"> Pénzbeli kárpótlások, kártérítések előirányzata</t>
  </si>
  <si>
    <t>K43</t>
  </si>
  <si>
    <t>024010</t>
  </si>
  <si>
    <t>Védelmi tevékenységekkel kapcsolatos alkalmazott kutatás és fejlesztés</t>
  </si>
  <si>
    <t xml:space="preserve"> Betegséggel kapcsolatos (nem társadalombiztosítási) ellátások előirányzata</t>
  </si>
  <si>
    <t>K44</t>
  </si>
  <si>
    <t>025010</t>
  </si>
  <si>
    <t>Védelmi és biztonsági feladatok igazgatása és szabályozása</t>
  </si>
  <si>
    <t xml:space="preserve"> Foglalkoztatással, munkanélküliséggel kapcsolatos ellátások előirányzata</t>
  </si>
  <si>
    <t>K45</t>
  </si>
  <si>
    <t>025020</t>
  </si>
  <si>
    <t>Védelmi célú stratégiai tartalékok tárolása, kezelése</t>
  </si>
  <si>
    <t xml:space="preserve"> Lakhatással kapcsolatos ellátások előirányzata</t>
  </si>
  <si>
    <t>K46</t>
  </si>
  <si>
    <t>025090</t>
  </si>
  <si>
    <t>Egyéb védelmi ügyek</t>
  </si>
  <si>
    <t xml:space="preserve"> Intézményi ellátottak pénzbeli juttatásai előirányzata</t>
  </si>
  <si>
    <t>K47</t>
  </si>
  <si>
    <t>031010</t>
  </si>
  <si>
    <t>Közbiztonság, közrend igazgatása</t>
  </si>
  <si>
    <t xml:space="preserve"> Egyéb nem intézményi ellátások előirányzata</t>
  </si>
  <si>
    <t>031020</t>
  </si>
  <si>
    <t>Menekültügy igazgatása</t>
  </si>
  <si>
    <t xml:space="preserve"> Nemzetközi kötelezettségek előirányzata</t>
  </si>
  <si>
    <t>K501</t>
  </si>
  <si>
    <t>031030</t>
  </si>
  <si>
    <t>Közterület rendjének fenntartása</t>
  </si>
  <si>
    <t xml:space="preserve"> A helyi önkormányzatok előző évi elszámolásából származó kiadások előirányzata</t>
  </si>
  <si>
    <t>031041</t>
  </si>
  <si>
    <t>Vámrendészet</t>
  </si>
  <si>
    <t xml:space="preserve"> A helyi önkormányzatok törvényi előíráson alapuló befizetései előirányzata</t>
  </si>
  <si>
    <t>K5022</t>
  </si>
  <si>
    <t>031042</t>
  </si>
  <si>
    <t>Határrendészet, határvédelem</t>
  </si>
  <si>
    <t xml:space="preserve"> Egyéb elvonások, befizetések előirányzata</t>
  </si>
  <si>
    <t>K5023</t>
  </si>
  <si>
    <t>031050</t>
  </si>
  <si>
    <t>Egyéb rendészeti, bűnüldözési tevékenységek</t>
  </si>
  <si>
    <t xml:space="preserve"> Működési célú garancia- és kezességvállalásból származó kifizetés államháztartáson belülre előirányzata</t>
  </si>
  <si>
    <t>K503</t>
  </si>
  <si>
    <t>031060</t>
  </si>
  <si>
    <t>Bűnmegelőzés</t>
  </si>
  <si>
    <t xml:space="preserve"> Működési célú visszatérítendő támogatások, kölcsönök nyújtása államháztartáson belülre előirányzata</t>
  </si>
  <si>
    <t>K504</t>
  </si>
  <si>
    <t>031070</t>
  </si>
  <si>
    <t>Baleset-megelőzés</t>
  </si>
  <si>
    <t xml:space="preserve"> Működési célú visszatérítendő támogatások, kölcsönök törlesztése államháztartáson belülre előirányzata</t>
  </si>
  <si>
    <t>K505</t>
  </si>
  <si>
    <t>031080</t>
  </si>
  <si>
    <t>Polgári nemzetbiztonsági tevékenység</t>
  </si>
  <si>
    <t xml:space="preserve"> Egyéb működési célú támogatások államháztartáson belülre előirányzata</t>
  </si>
  <si>
    <t>032010</t>
  </si>
  <si>
    <t>Tűz- és katasztrófavédelem igazgatása</t>
  </si>
  <si>
    <t xml:space="preserve"> Működési célú garancia- és kezességvállalásból származó kifizetés államháztartáson kívülre előirányzata</t>
  </si>
  <si>
    <t>K507</t>
  </si>
  <si>
    <t>032020</t>
  </si>
  <si>
    <t>Tűz- és katasztrófavédelmi tevékenységek</t>
  </si>
  <si>
    <t xml:space="preserve"> Működési célú visszatérítendő támogatások, kölcsönök nyújtása államháztartáson kívülre előirányzata</t>
  </si>
  <si>
    <t>K508</t>
  </si>
  <si>
    <t>032040</t>
  </si>
  <si>
    <t>Nemzetközi katasztrófavédelmi segítségnyújtás</t>
  </si>
  <si>
    <t xml:space="preserve"> Árkiegészítések, ártámogatások előirányzata</t>
  </si>
  <si>
    <t>K509</t>
  </si>
  <si>
    <t>032050</t>
  </si>
  <si>
    <t>Egészségügyi stratégiai tartalékok tárolása, kezelése</t>
  </si>
  <si>
    <t xml:space="preserve"> Kamattámogatások előirányzata</t>
  </si>
  <si>
    <t>K510</t>
  </si>
  <si>
    <t>032060</t>
  </si>
  <si>
    <t>Polgári védelmi stratégiai tartalékok tárolása, kezelése</t>
  </si>
  <si>
    <t xml:space="preserve"> Működési célú támogatások az Európai Uniónak előirányzata</t>
  </si>
  <si>
    <t>K511</t>
  </si>
  <si>
    <t>033010</t>
  </si>
  <si>
    <t>Igazságügy igazgatása</t>
  </si>
  <si>
    <t xml:space="preserve"> Egyéb működési célú támogatások államháztartáson kívülre előirányzata</t>
  </si>
  <si>
    <t>033020</t>
  </si>
  <si>
    <t>Bírósági tevékenység</t>
  </si>
  <si>
    <t xml:space="preserve"> Tartalékok előirányzata</t>
  </si>
  <si>
    <t>033030</t>
  </si>
  <si>
    <t>Ügyészségi tevékenység</t>
  </si>
  <si>
    <t xml:space="preserve"> Immateriális javak beszerzése, létesítése előirányzata</t>
  </si>
  <si>
    <t>K61</t>
  </si>
  <si>
    <t>034010</t>
  </si>
  <si>
    <t>Büntetés-végrehajtási tevékenység igazgatása</t>
  </si>
  <si>
    <t xml:space="preserve"> Ingatlanok beszerzése, létesítése előirányzata</t>
  </si>
  <si>
    <t>034020</t>
  </si>
  <si>
    <t>Büntetés-végrehajtási tevékenységek</t>
  </si>
  <si>
    <t xml:space="preserve"> Informatikai eszközök beszerzése, létesítése előirányzata</t>
  </si>
  <si>
    <t>K63</t>
  </si>
  <si>
    <t>034030</t>
  </si>
  <si>
    <t>Pártfogó felügyelői tevékenység</t>
  </si>
  <si>
    <t xml:space="preserve"> Egyéb tárgyi eszközök beszerzése, létesítése előirányzata</t>
  </si>
  <si>
    <t>035010</t>
  </si>
  <si>
    <t>Közrenddel és közbiztonsággal kapcsolatos alkalmazott kutatás és kísérleti fejlesztés</t>
  </si>
  <si>
    <t xml:space="preserve"> Részesedések beszerzése előirányzata</t>
  </si>
  <si>
    <t>K65</t>
  </si>
  <si>
    <t>036010</t>
  </si>
  <si>
    <t>Igazságügyi szakértői tevékenység</t>
  </si>
  <si>
    <t xml:space="preserve"> Meglévő részesedések növeléséhez kapcsolódó kiadások előirányzata</t>
  </si>
  <si>
    <t>K66</t>
  </si>
  <si>
    <t>036020</t>
  </si>
  <si>
    <t>Jogi segítségnyújtás, áldozatsegítés, kárenyhítés, kárpótlás</t>
  </si>
  <si>
    <t xml:space="preserve"> Beruházási célú előzetesen felszámított általános forgalmi adó előirányzata</t>
  </si>
  <si>
    <t>041110</t>
  </si>
  <si>
    <t>Általános gazdasági és kereskedelmi ügyek igazgatása</t>
  </si>
  <si>
    <t xml:space="preserve"> Ingatlanok felújítása előirányzata</t>
  </si>
  <si>
    <t>041120</t>
  </si>
  <si>
    <t>Földügy igazgatása</t>
  </si>
  <si>
    <t xml:space="preserve"> Informatikai eszközök felújítása előirányzata</t>
  </si>
  <si>
    <t>K72</t>
  </si>
  <si>
    <t>041130</t>
  </si>
  <si>
    <t>Szellemi tulajdon és innováció igazgatása</t>
  </si>
  <si>
    <t xml:space="preserve"> Egyéb tárgyi eszközök felújítása előirányzata</t>
  </si>
  <si>
    <t>041140</t>
  </si>
  <si>
    <t>Területfejlesztés igazgatása</t>
  </si>
  <si>
    <t xml:space="preserve"> Felújítási célú előzetesen felszámított általános forgalmi adó előirányzata</t>
  </si>
  <si>
    <t>041150</t>
  </si>
  <si>
    <t>Cégnyilvántartás</t>
  </si>
  <si>
    <t xml:space="preserve"> Felhalmozási célú garancia- és kezességvállalásból származó kifizetés államháztartáson belülre előirányzata</t>
  </si>
  <si>
    <t>K81</t>
  </si>
  <si>
    <t>041160</t>
  </si>
  <si>
    <t>Földmérés, térképészet</t>
  </si>
  <si>
    <t xml:space="preserve"> Felhalmozási célú visszatérítendő támogatások, kölcsönök nyújtása államháztartáson belülre előirányzata</t>
  </si>
  <si>
    <t>K82</t>
  </si>
  <si>
    <t>041170</t>
  </si>
  <si>
    <t>Műszaki vizsgálat, elemzés</t>
  </si>
  <si>
    <t xml:space="preserve"> Felhalmozási célú visszatérítendő támogatások, kölcsönök törlesztése államháztartáson belülre előirányzata</t>
  </si>
  <si>
    <t>K83</t>
  </si>
  <si>
    <t>041180</t>
  </si>
  <si>
    <t>Meteorológiai szolgáltatás</t>
  </si>
  <si>
    <t xml:space="preserve"> Egyéb felhalmozási célú támogatások államháztartáson belülre előirányzata</t>
  </si>
  <si>
    <t>K84</t>
  </si>
  <si>
    <t>041210</t>
  </si>
  <si>
    <t>Munkaügy igazgatása</t>
  </si>
  <si>
    <t xml:space="preserve"> Felhalmozási célú garancia- és kezességvállalásból származó kifizetés államháztartáson kívülre előirányzata</t>
  </si>
  <si>
    <t>K85</t>
  </si>
  <si>
    <t>041220</t>
  </si>
  <si>
    <t>Munkavédelmi célú támogatások és közcélú információs rendszer működtetése</t>
  </si>
  <si>
    <t xml:space="preserve"> Felhalmozási célú visszatérítendő támogatások, kölcsönök nyújtása államháztartáson kívülre előirányzata</t>
  </si>
  <si>
    <t>K86</t>
  </si>
  <si>
    <t>041232</t>
  </si>
  <si>
    <t>Start-munka program – Téli közfoglalkoztatás</t>
  </si>
  <si>
    <t xml:space="preserve"> Lakástámogatás előirányzata</t>
  </si>
  <si>
    <t>K87</t>
  </si>
  <si>
    <t>041233</t>
  </si>
  <si>
    <t>Hosszabb időtartamú közfoglalkoztatás</t>
  </si>
  <si>
    <t xml:space="preserve"> Felhalmozási célú támogatások az Európai Uniónak előirányzata</t>
  </si>
  <si>
    <t>K88</t>
  </si>
  <si>
    <t>041234</t>
  </si>
  <si>
    <t>Közfoglalkoztatás mobilitását szolgáló támogatás (közhasznú kölcsönző részére)</t>
  </si>
  <si>
    <t xml:space="preserve"> Egyéb felhalmozási célú támogatások államháztartáson kívülre előirányzata</t>
  </si>
  <si>
    <t>K89</t>
  </si>
  <si>
    <t>041235</t>
  </si>
  <si>
    <t>Vállalkozás részére foglalkoztatást helyettesítő támogatásban részesülő személy foglalkoztatásához nyújtható támogatás</t>
  </si>
  <si>
    <t xml:space="preserve"> Hosszú lejáratú hitelek, kölcsönök törlesztése pénzügyi vállalkozásnak előirányzata</t>
  </si>
  <si>
    <t>041236</t>
  </si>
  <si>
    <t>Országos közfoglalkoztatási program</t>
  </si>
  <si>
    <t xml:space="preserve"> Likviditási célú hitelek, kölcsönök törlesztése pénzügyi vállalkozásnak előirányzata</t>
  </si>
  <si>
    <t>041237</t>
  </si>
  <si>
    <t>Közfoglalkoztatási mintaprogram</t>
  </si>
  <si>
    <t xml:space="preserve"> Rövid lejáratú hitelek, kölcsönök törlesztése pénzügyi vállalkozásnak előirányzata</t>
  </si>
  <si>
    <t>042110</t>
  </si>
  <si>
    <t>Mezőgazdaság igazgatása</t>
  </si>
  <si>
    <t xml:space="preserve"> Forgatási célú belföldi értékpapírok vásárlása előirányzata</t>
  </si>
  <si>
    <t>042120</t>
  </si>
  <si>
    <t>Mezőgazdasági támogatások</t>
  </si>
  <si>
    <t xml:space="preserve"> Befektetési célú belföldi értékpapírok vásárlása előirányzata</t>
  </si>
  <si>
    <t>042130</t>
  </si>
  <si>
    <t>Növénytermesztés, állattenyésztés és kapcsolódó szolgáltatások</t>
  </si>
  <si>
    <t xml:space="preserve"> Kincstárjegyek beváltása előirányzata</t>
  </si>
  <si>
    <t>042140</t>
  </si>
  <si>
    <t>Génmegőrzés, fajtavédelem</t>
  </si>
  <si>
    <t xml:space="preserve"> Éven belüli lejáratú belföldi értékpapírok beváltása előirányzata</t>
  </si>
  <si>
    <t>042150</t>
  </si>
  <si>
    <t>Mezőgazdasági öntözőrendszer építése, fenntartása, üzemeltetése</t>
  </si>
  <si>
    <t xml:space="preserve"> Belföldi kötvények beváltása előirányzata</t>
  </si>
  <si>
    <t>042170</t>
  </si>
  <si>
    <t>Élelmiszerlánc-biztonság igazgatása</t>
  </si>
  <si>
    <t xml:space="preserve"> Éven túli lejáratú belföldi értékpapírok beváltása előirányzata</t>
  </si>
  <si>
    <t>042180</t>
  </si>
  <si>
    <t>Állat-egészségügy</t>
  </si>
  <si>
    <t>042210</t>
  </si>
  <si>
    <t>Erdőgazdálkodás igazgatása és támogatása</t>
  </si>
  <si>
    <t>042220</t>
  </si>
  <si>
    <t>Erdőgazdálkodás</t>
  </si>
  <si>
    <t xml:space="preserve"> Központi, irányító szervi támogatás folyósítása előirányzata</t>
  </si>
  <si>
    <t>042310</t>
  </si>
  <si>
    <t>Vadgazdálkodás igazgatása és támogatása</t>
  </si>
  <si>
    <t>042320</t>
  </si>
  <si>
    <t>Vadgazdálkodás</t>
  </si>
  <si>
    <t>042350</t>
  </si>
  <si>
    <t>Halászat igazgatása és támogatása</t>
  </si>
  <si>
    <t xml:space="preserve"> Központi költségvetés sajátos finanszírozási kiadásai előirányzata</t>
  </si>
  <si>
    <t>K918</t>
  </si>
  <si>
    <t>042360</t>
  </si>
  <si>
    <t>Halászat, haltenyésztés</t>
  </si>
  <si>
    <t xml:space="preserve"> Hosszú lejáratú tulajdonosi kölcsönök kiadásai előirányzata</t>
  </si>
  <si>
    <t>K9191</t>
  </si>
  <si>
    <t>043110</t>
  </si>
  <si>
    <t>Szén- és egyéb ásványi fűtőanyagipar igazgatása és támogatása</t>
  </si>
  <si>
    <t xml:space="preserve"> Rövid lejáratú tulajdonosi kölcsönök kiadásai előirányzata</t>
  </si>
  <si>
    <t>K9192</t>
  </si>
  <si>
    <t>043210</t>
  </si>
  <si>
    <t>Kőolaj- és gázipar igazgatása és támogatása</t>
  </si>
  <si>
    <t xml:space="preserve"> Forgatási célú külföldi értékpapírok vásárlása előirányzata</t>
  </si>
  <si>
    <t>043310</t>
  </si>
  <si>
    <t>Nukleáris fűtőanyagipar igazgatása és támogatása</t>
  </si>
  <si>
    <t xml:space="preserve"> Befektetési célú külföldi értékpapírok vásárlása előirányzata</t>
  </si>
  <si>
    <t>043410</t>
  </si>
  <si>
    <t>Egyéb tüzelőanyag-ipar igazgatása és támogatása</t>
  </si>
  <si>
    <t xml:space="preserve"> Külföldi értékpapírok beváltása előirányzata</t>
  </si>
  <si>
    <t>043510</t>
  </si>
  <si>
    <t>Villamosenergia-ipar igazgatása és támogatása</t>
  </si>
  <si>
    <t xml:space="preserve"> Hitelek, kölcsönök törlesztése külföldi kormányoknak és nemzetközi szervezeteknek előirányzata</t>
  </si>
  <si>
    <t>043610</t>
  </si>
  <si>
    <t>Egyéb energiaipar igazgatása és támogatása</t>
  </si>
  <si>
    <t xml:space="preserve"> Hitelek, kölcsönök törlesztése külföldi pénzintézeteknek előirányzata</t>
  </si>
  <si>
    <t>044110</t>
  </si>
  <si>
    <t>Ásványianyag- (kivéve: szilárd ásványi fűtőanyag) bányászat igazgatása és támogatása</t>
  </si>
  <si>
    <t xml:space="preserve"> Adóssághoz nem kapcsolódó származékos ügyletek kiadásai előirányzata</t>
  </si>
  <si>
    <t>K93</t>
  </si>
  <si>
    <t>044210</t>
  </si>
  <si>
    <t>Feldolgozóipar igazgatása és támogatása</t>
  </si>
  <si>
    <t xml:space="preserve"> Váltókiadások előirányzata</t>
  </si>
  <si>
    <t>K94</t>
  </si>
  <si>
    <t>044310</t>
  </si>
  <si>
    <t>Építésügy igazgatása</t>
  </si>
  <si>
    <t xml:space="preserve"> Helyi önkormányzatok működésének általános támogatása előirányzata</t>
  </si>
  <si>
    <t>044320</t>
  </si>
  <si>
    <t>Építőipar támogatása</t>
  </si>
  <si>
    <t xml:space="preserve"> Települési önkormányzatok egyes köznevelési feladatainak támogatása előirányzata</t>
  </si>
  <si>
    <t>045110</t>
  </si>
  <si>
    <t>Közúti közlekedés igazgatása és támogatása</t>
  </si>
  <si>
    <t xml:space="preserve"> Települési önkormányzatok egyes szociális és gyermekjóléti feladatainak támogatása előirányzata</t>
  </si>
  <si>
    <t>045120</t>
  </si>
  <si>
    <t>Út, autópálya építése</t>
  </si>
  <si>
    <t xml:space="preserve"> Települési önkormányzatok gyermekétkeztetési feladatainak támogatása előirányzata</t>
  </si>
  <si>
    <t>045130</t>
  </si>
  <si>
    <t>Híd, alagút építése</t>
  </si>
  <si>
    <t xml:space="preserve"> Települési önkormányzatok kulturális feladatainak támogatása előirányzata</t>
  </si>
  <si>
    <t>045140</t>
  </si>
  <si>
    <t>Városi és elővárosi közúti személyszállítás</t>
  </si>
  <si>
    <t xml:space="preserve"> Működési célú költségvetési támogatások és kiegészítő támogatások előirányzata</t>
  </si>
  <si>
    <t>045150</t>
  </si>
  <si>
    <t>Egyéb szárazföldi személyszállítás</t>
  </si>
  <si>
    <t>045160</t>
  </si>
  <si>
    <t>Közutak, hidak, alagutak üzemeltetése, fenntartása</t>
  </si>
  <si>
    <t xml:space="preserve"> Elvonások és befizetések bevételei előirányzata</t>
  </si>
  <si>
    <t>045161</t>
  </si>
  <si>
    <t>Kerékpárutak üzemeltetése, fenntartása</t>
  </si>
  <si>
    <t xml:space="preserve"> Működési célú garancia- és kezességvállalásból származó megtérülések államháztartáson belülről előirányzata</t>
  </si>
  <si>
    <t>045170</t>
  </si>
  <si>
    <t>Parkoló, garázs üzemeltetése, fenntartása</t>
  </si>
  <si>
    <t xml:space="preserve"> Működési célú visszatérítendő támogatások, kölcsönök visszatérülése államháztartáson belülről előirányzata</t>
  </si>
  <si>
    <t>045180</t>
  </si>
  <si>
    <t>Közúti járművontatás</t>
  </si>
  <si>
    <t xml:space="preserve"> Működési célú visszatérítendő támogatások, kölcsönök igénybevétele államháztartáson belülről előirányzata</t>
  </si>
  <si>
    <t>045190</t>
  </si>
  <si>
    <t>Közúti közlekedési eszközök műszaki vizsgálata</t>
  </si>
  <si>
    <t xml:space="preserve"> Egyéb működési célú támogatások bevételei államháztartáson belülről előirányzata</t>
  </si>
  <si>
    <t>045210</t>
  </si>
  <si>
    <t>Vízi közlekedés igazgatása és támogatása</t>
  </si>
  <si>
    <t xml:space="preserve"> Felhalmozási célú önkormányzati támogatások előirányzata</t>
  </si>
  <si>
    <t>045220</t>
  </si>
  <si>
    <t>Vízi létesítmény építése (kivéve: árvízvédelmi létesítmények)</t>
  </si>
  <si>
    <t xml:space="preserve"> Felhalmozási célú garancia- és kezességvállalásból származó megtérülések államháztartáson belülről előirányzata</t>
  </si>
  <si>
    <t>045230</t>
  </si>
  <si>
    <t>Komp- és révközlekedés</t>
  </si>
  <si>
    <t xml:space="preserve"> Felhalmozási célú visszatérítendő támogatások, kölcsönök visszatérülése államháztartáson belülről előirányzata</t>
  </si>
  <si>
    <t>045310</t>
  </si>
  <si>
    <t>Vasúti közlekedés igazgatása és támogatása</t>
  </si>
  <si>
    <t xml:space="preserve"> Felhalmozási célú visszatérítendő támogatások, kölcsönök igénybevétele államháztartáson belülről előirányzata</t>
  </si>
  <si>
    <t>045320</t>
  </si>
  <si>
    <t>Vasút építése</t>
  </si>
  <si>
    <t xml:space="preserve"> Egyéb felhalmozási célú támogatások bevételei államháztartáson belülről előirányzata</t>
  </si>
  <si>
    <t>045410</t>
  </si>
  <si>
    <t>Légi szállítás igazgatása és támogatása</t>
  </si>
  <si>
    <t xml:space="preserve"> Magánszemélyek jövedelemadói előirányzata</t>
  </si>
  <si>
    <t>B311</t>
  </si>
  <si>
    <t>045510</t>
  </si>
  <si>
    <t>Csővezetékes és egyéb szállítás igazgatása és támogatása</t>
  </si>
  <si>
    <t xml:space="preserve"> Társaságok jövedelemadói előirányzata</t>
  </si>
  <si>
    <t>B312</t>
  </si>
  <si>
    <t>045530</t>
  </si>
  <si>
    <t>Csővezetékes szállítás</t>
  </si>
  <si>
    <t xml:space="preserve"> Szociális hozzájárulási adó és járulékok előirányzata</t>
  </si>
  <si>
    <t>B32</t>
  </si>
  <si>
    <t>046010</t>
  </si>
  <si>
    <t>Hírközlés és az információs társadalom fejlesztésének igazgatása és támogatása</t>
  </si>
  <si>
    <t xml:space="preserve"> Bérhez és foglalkoztatáshoz kapcsolódó adók előirányzata</t>
  </si>
  <si>
    <t>B33</t>
  </si>
  <si>
    <t>046020</t>
  </si>
  <si>
    <t>Vezetékes műsorelosztás, városi és kábeltelevíziós rendszerek</t>
  </si>
  <si>
    <t>046030</t>
  </si>
  <si>
    <t>Egyéb távközlés</t>
  </si>
  <si>
    <t>046040</t>
  </si>
  <si>
    <t>Hírügynökségi, információs szolgáltatás</t>
  </si>
  <si>
    <t>047110</t>
  </si>
  <si>
    <t>Kis- és nagykereskedelem igazgatása és támogatása</t>
  </si>
  <si>
    <t xml:space="preserve"> Pénzügyi monopóliumok nyereségét terhelő adók előirányzata</t>
  </si>
  <si>
    <t>B353</t>
  </si>
  <si>
    <t>047120</t>
  </si>
  <si>
    <t>Piac üzemeltetése</t>
  </si>
  <si>
    <t>B354</t>
  </si>
  <si>
    <t>047210</t>
  </si>
  <si>
    <t>Szálloda- és vendéglátóipar igazgatása és támogatása</t>
  </si>
  <si>
    <t>047310</t>
  </si>
  <si>
    <t>Turizmus igazgatása és támogatása</t>
  </si>
  <si>
    <t>047320</t>
  </si>
  <si>
    <t>Turizmusfejlesztési támogatások és tevékenységek</t>
  </si>
  <si>
    <t xml:space="preserve"> Készletértékesítés ellenértéke előirányzata</t>
  </si>
  <si>
    <t>047410</t>
  </si>
  <si>
    <t>Ár- és belvízvédelemmel összefüggő tevékenységek</t>
  </si>
  <si>
    <t xml:space="preserve"> Szolgáltatások ellenértéke előirányzata</t>
  </si>
  <si>
    <t>047450</t>
  </si>
  <si>
    <t>Szektorhoz nem köthető komplex gazdaságfejlesztési projektek támogatása</t>
  </si>
  <si>
    <t xml:space="preserve"> Közvetített szolgáltatások ellenértéke előirányzata</t>
  </si>
  <si>
    <t>047460</t>
  </si>
  <si>
    <t>Kis- és középvállalkozások működési és fejlesztési támogatásai</t>
  </si>
  <si>
    <t xml:space="preserve"> Tulajdonosi bevételek előirányzata</t>
  </si>
  <si>
    <t>047470</t>
  </si>
  <si>
    <t>Működőtőke-beruházások komplex támogatásai</t>
  </si>
  <si>
    <t xml:space="preserve"> Ellátási díjak előirányzata</t>
  </si>
  <si>
    <t>048010</t>
  </si>
  <si>
    <t>Gazdasági ügyekkel kapcsolatos alkalmazott kutatás és fejlesztés</t>
  </si>
  <si>
    <t xml:space="preserve"> Kiszámlázott általános forgalmi adó előirányzata</t>
  </si>
  <si>
    <t>049010</t>
  </si>
  <si>
    <t>Máshova nem sorolt gazdasági ügyek</t>
  </si>
  <si>
    <t xml:space="preserve"> Általános forgalmi adó visszatérítése előirányzata</t>
  </si>
  <si>
    <t>049020</t>
  </si>
  <si>
    <t>K+F tevékenységekhez kapcsolódó innováció</t>
  </si>
  <si>
    <t xml:space="preserve"> Befektetett pénzügyi eszközökből származó bevételek előirányzata</t>
  </si>
  <si>
    <t>049030</t>
  </si>
  <si>
    <t>Kéményseprő-ipari tevékenység</t>
  </si>
  <si>
    <t xml:space="preserve"> Egyéb kapott (járó) kamatok és kamatjellegű bevételek előirányzata</t>
  </si>
  <si>
    <t>051010</t>
  </si>
  <si>
    <t>Hulladékgazdálkodás igazgatása</t>
  </si>
  <si>
    <t xml:space="preserve"> Részesedésekből származó pénzügyi műveletek bevételei előirányzata</t>
  </si>
  <si>
    <t>051020</t>
  </si>
  <si>
    <t>Nem veszélyes (települési) hulladék összetevőinek válogatása, elkülönített begyűjtése, szállítása, átrakása</t>
  </si>
  <si>
    <t xml:space="preserve"> Más egyéb pénzügyi műveletek bevételei előirányzata</t>
  </si>
  <si>
    <t>051030</t>
  </si>
  <si>
    <t>Nem veszélyes (települési) hulladék vegyes (ömlesztett) begyűjtése, szállítása, átrakása</t>
  </si>
  <si>
    <t xml:space="preserve"> Biztosító által fizetett kártérítés előirányzata</t>
  </si>
  <si>
    <t>051040</t>
  </si>
  <si>
    <t>Nem veszélyes hulladék kezelése, ártalmatlanítása</t>
  </si>
  <si>
    <t xml:space="preserve"> Egyéb működési bevételek előirányzata</t>
  </si>
  <si>
    <t>051050</t>
  </si>
  <si>
    <t>Veszélyes hulladék begyűjtése, szállítása, átrakása</t>
  </si>
  <si>
    <t xml:space="preserve"> Immateriális javak értékesítése előirányzata</t>
  </si>
  <si>
    <t>051060</t>
  </si>
  <si>
    <t>Veszélyes hulladék kezelése, ártalmatlanítása</t>
  </si>
  <si>
    <t xml:space="preserve"> Ingatlanok értékesítése előirányzata</t>
  </si>
  <si>
    <t>051070</t>
  </si>
  <si>
    <t>Használt eszköz bontása</t>
  </si>
  <si>
    <t xml:space="preserve"> Egyéb tárgyi eszközök értékesítése előirányzata</t>
  </si>
  <si>
    <t>051080</t>
  </si>
  <si>
    <t>Hulladék újrahasznosítása</t>
  </si>
  <si>
    <t xml:space="preserve"> Részesedések értékesítése előirányzata</t>
  </si>
  <si>
    <t>052010</t>
  </si>
  <si>
    <t>Szennyvízgazdálkodás igazgatása</t>
  </si>
  <si>
    <t xml:space="preserve"> Részesedések megszűnéséhez kapcsolódó bevételek előirányzata</t>
  </si>
  <si>
    <t>052020</t>
  </si>
  <si>
    <t>Szennyvíz gyűjtése, tisztítása, elhelyezése</t>
  </si>
  <si>
    <t xml:space="preserve"> Működési célú garancia- és kezességvállalásból származó megtérülések államháztartáson kívülről előirányzata</t>
  </si>
  <si>
    <t>052030</t>
  </si>
  <si>
    <t>Szennyvíziszap kezelése, ártalmatlanítása</t>
  </si>
  <si>
    <t xml:space="preserve"> Működési célú visszatérítendő támogatások, kölcsönök visszatérülése az Európai Uniótól előirányzata</t>
  </si>
  <si>
    <t>052080</t>
  </si>
  <si>
    <t>Szennyvízcsatorna építése, fenntartása, üzemeltetése</t>
  </si>
  <si>
    <t xml:space="preserve"> Működési célú visszatérítendő támogatások, kölcsönök visszatérülése kormányoktól és más nemzetközi szervezetektől előirányzata</t>
  </si>
  <si>
    <t>053010</t>
  </si>
  <si>
    <t>Környezetszennyezés csökkentésének igazgatása</t>
  </si>
  <si>
    <t xml:space="preserve"> Működési célú visszatérítendő támogatások, kölcsönök visszatérülése államháztartáson kívülről előirányzata</t>
  </si>
  <si>
    <t>053020</t>
  </si>
  <si>
    <t>Szennyeződésmentesítési tevékenységek</t>
  </si>
  <si>
    <t>054010</t>
  </si>
  <si>
    <t>Természet- és tájvédelem igazgatása és támogatása</t>
  </si>
  <si>
    <t xml:space="preserve"> Felhalmozási célú garancia- és kezességvállalásból származó megtérülések államháztartáson kívülről előirányzata</t>
  </si>
  <si>
    <t>054020</t>
  </si>
  <si>
    <t>Védett természeti területek és természeti értékek bemutatása, megőrzése és fenntartása</t>
  </si>
  <si>
    <t xml:space="preserve"> Felhalmozási célú visszatérítendő támogatások, kölcsönök visszatérülése az Európai Uniótól előirányzata</t>
  </si>
  <si>
    <t>055010</t>
  </si>
  <si>
    <t>Környezetvédelemmel kapcsolatos alkalmazott kutatás és fejlesztés</t>
  </si>
  <si>
    <t xml:space="preserve"> Felhalmozási célú visszatérítendő támogatások, kölcsönök visszatérülése kormányoktól és más nemzetközi szervezetektől előirányzata</t>
  </si>
  <si>
    <t>056010</t>
  </si>
  <si>
    <t>Komplex környezetvédelmi programok támogatása</t>
  </si>
  <si>
    <t xml:space="preserve"> Felhalmozási célú visszatérítendő támogatások, kölcsönök visszatérülése államháztartáson kívülről előirányzata</t>
  </si>
  <si>
    <t>061010</t>
  </si>
  <si>
    <t>Lakáspolitika igazgatása</t>
  </si>
  <si>
    <t>061020</t>
  </si>
  <si>
    <t>Lakóépület építése</t>
  </si>
  <si>
    <t xml:space="preserve"> Hosszú lejáratú hitelek, kölcsönök felvétele pénzügyi vállalkozástól előirányzata</t>
  </si>
  <si>
    <t>061030</t>
  </si>
  <si>
    <t>Lakáshoz jutást segítő támogatások</t>
  </si>
  <si>
    <t xml:space="preserve"> Likviditási célú hitelek, kölcsönök felvétele pénzügyi vállalkozástól előirányzata</t>
  </si>
  <si>
    <t>061040</t>
  </si>
  <si>
    <t>Telepszerű lakókörnyezetek felszámolását célzó programok</t>
  </si>
  <si>
    <t xml:space="preserve"> Rövid lejáratú hitelek, kölcsönök felvétele pénzügyi vállalkozástól előirányzata</t>
  </si>
  <si>
    <t>062010</t>
  </si>
  <si>
    <t>Településfejlesztés igazgatása</t>
  </si>
  <si>
    <t xml:space="preserve"> Forgatási célú belföldi értékpapírok beváltása, értékesítése előirányzata</t>
  </si>
  <si>
    <t>062020</t>
  </si>
  <si>
    <t>Településfejlesztési projektek és támogatásuk</t>
  </si>
  <si>
    <t xml:space="preserve"> Éven belüli lejáratú belföldi értékpapírok kibocsátása előirányzata</t>
  </si>
  <si>
    <t>063010</t>
  </si>
  <si>
    <t>Vízügy igazgatása</t>
  </si>
  <si>
    <t xml:space="preserve"> Befektetési célú belföldi értékpapírok beváltása, értékesítése előirányzata</t>
  </si>
  <si>
    <t>063020</t>
  </si>
  <si>
    <t>Víztermelés, -kezelés, -ellátás</t>
  </si>
  <si>
    <t xml:space="preserve"> Éven túli lejáratú belföldi értékpapírok kibocsátása előirányzata</t>
  </si>
  <si>
    <t>063070</t>
  </si>
  <si>
    <t>Vízrajzi mérés</t>
  </si>
  <si>
    <t xml:space="preserve"> Előző év költségvetési maradványának igénybevétele előirányzata</t>
  </si>
  <si>
    <t>063080</t>
  </si>
  <si>
    <t>Vízellátással kapcsolatos közmű építése, fenntartása, üzemeltetése</t>
  </si>
  <si>
    <t xml:space="preserve"> Előző év vállalkozási maradványának igénybevétele előirányzata</t>
  </si>
  <si>
    <t>064010</t>
  </si>
  <si>
    <t>Közvilágítás</t>
  </si>
  <si>
    <t>065010</t>
  </si>
  <si>
    <t>Lakás- és közműellátással, településfejlesztéssel kapcsolatos alkalmazott kutatás és fejlesztés</t>
  </si>
  <si>
    <t>066010</t>
  </si>
  <si>
    <t>Zöldterület-kezelés</t>
  </si>
  <si>
    <t xml:space="preserve"> Központi, irányító szervi támogatás előirányzata</t>
  </si>
  <si>
    <t>Város-, községgazdálkodási egyéb szolgáltatások</t>
  </si>
  <si>
    <t>071110</t>
  </si>
  <si>
    <t>Gyógyszer-kiskereskedelem</t>
  </si>
  <si>
    <t xml:space="preserve"> Központi költségvetés sajátos finanszírozási bevételei előirányzata</t>
  </si>
  <si>
    <t>B818</t>
  </si>
  <si>
    <t>071120</t>
  </si>
  <si>
    <t>Gyógyszertámogatás finanszírozása</t>
  </si>
  <si>
    <t xml:space="preserve"> Hosszú lejáratú tulajdonosi kölcsönök bevételei előirányzata</t>
  </si>
  <si>
    <t>B8191</t>
  </si>
  <si>
    <t>071210</t>
  </si>
  <si>
    <t>Egyéb gyógyászati termék kiskereskedelme</t>
  </si>
  <si>
    <t xml:space="preserve"> Rövid lejáratú tulajdonosi kölcsönök bevételei előirányzata</t>
  </si>
  <si>
    <t>B8192</t>
  </si>
  <si>
    <t>071220</t>
  </si>
  <si>
    <t>Egyéb gyógyászati termékek finanszírozása</t>
  </si>
  <si>
    <t>071310</t>
  </si>
  <si>
    <t>Gyógyászati segédeszközök és felszerelések kereskedelme</t>
  </si>
  <si>
    <t>071320</t>
  </si>
  <si>
    <t>Gyógyászati segédeszközök és felszerelések finanszírozása</t>
  </si>
  <si>
    <t>072111</t>
  </si>
  <si>
    <t>Háziorvosi alapellátás</t>
  </si>
  <si>
    <t xml:space="preserve"> Hitelek, kölcsönök felvétele külföldi kormányoktól és nemzetközi szervezetektől előirányzata</t>
  </si>
  <si>
    <t>072112</t>
  </si>
  <si>
    <t>Háziorvosi ügyeleti ellátás</t>
  </si>
  <si>
    <t>072160</t>
  </si>
  <si>
    <t>Betegszállítás, valamint orvosi rendelvényű halottszállítás</t>
  </si>
  <si>
    <t>072190</t>
  </si>
  <si>
    <t>Általános orvosi szolgáltatások finanszírozása és támogatása</t>
  </si>
  <si>
    <t>072210</t>
  </si>
  <si>
    <t>Járóbetegek gyógyító szakellátása</t>
  </si>
  <si>
    <t>072220</t>
  </si>
  <si>
    <t>Járóbetegek rehabilitációs szakellátása</t>
  </si>
  <si>
    <t>072230</t>
  </si>
  <si>
    <t>Járóbetegek gyógyító gondozása</t>
  </si>
  <si>
    <t>072240</t>
  </si>
  <si>
    <t>Járóbetegek egynapos ellátása</t>
  </si>
  <si>
    <t>072290</t>
  </si>
  <si>
    <t>Járóbeteg-ellátás finanszírozása és támogatása</t>
  </si>
  <si>
    <t>072311</t>
  </si>
  <si>
    <t>Fogorvosi alapellátás</t>
  </si>
  <si>
    <t>072312</t>
  </si>
  <si>
    <t>Fogorvosi ügyeleti ellátás</t>
  </si>
  <si>
    <t>072313</t>
  </si>
  <si>
    <t>Fogorvosi szakellátás</t>
  </si>
  <si>
    <t>072390</t>
  </si>
  <si>
    <t>Fogorvosi ellátás finanszírozása és támogatása</t>
  </si>
  <si>
    <t>072410</t>
  </si>
  <si>
    <t>Otthoni (egészségügyi) szakápolás</t>
  </si>
  <si>
    <t>072420</t>
  </si>
  <si>
    <t>Egészségügyi laboratóriumi szolgáltatások</t>
  </si>
  <si>
    <t>072430</t>
  </si>
  <si>
    <t>Képalkotó diagnosztikai szolgáltatások</t>
  </si>
  <si>
    <t>072440</t>
  </si>
  <si>
    <t>Mentés</t>
  </si>
  <si>
    <t>072450</t>
  </si>
  <si>
    <t>Fizikoterápiás szolgáltatás</t>
  </si>
  <si>
    <t>072460</t>
  </si>
  <si>
    <t>Terápiás célú gyógyfürdő- és kapcsolódó szolgáltatások</t>
  </si>
  <si>
    <t>072470</t>
  </si>
  <si>
    <t>Természetgyógyászat</t>
  </si>
  <si>
    <t>072480</t>
  </si>
  <si>
    <t>Egyéb paramedikális szolgáltatások</t>
  </si>
  <si>
    <t>072490</t>
  </si>
  <si>
    <t>Paramedikális szolgáltatások finanszírozása, támogatása</t>
  </si>
  <si>
    <t>073110</t>
  </si>
  <si>
    <t>Fekvőbetegek aktív ellátása általános kórházakban</t>
  </si>
  <si>
    <t>073120</t>
  </si>
  <si>
    <t>Fekvőbetegek krónikus ellátása általános kórházakban</t>
  </si>
  <si>
    <t>073130</t>
  </si>
  <si>
    <t>Bentlakásos egészségügyi rehabilitációs ellátás általános kórházakban</t>
  </si>
  <si>
    <t>073160</t>
  </si>
  <si>
    <t>Egynapos sebészeti ellátás (egynapos beavatkozás)</t>
  </si>
  <si>
    <t>073190</t>
  </si>
  <si>
    <t>Fekvőbeteg-ellátás finanszírozása és támogatása</t>
  </si>
  <si>
    <t>073210</t>
  </si>
  <si>
    <t>Fekvőbetegek aktív ellátása szakkórházakban</t>
  </si>
  <si>
    <t>073220</t>
  </si>
  <si>
    <t>Fekvőbetegek krónikus ellátása szakkórházakban</t>
  </si>
  <si>
    <t>073230</t>
  </si>
  <si>
    <t>Bentlakásos egészségügyi rehabilitációs ellátás szakkórházakban</t>
  </si>
  <si>
    <t>073310</t>
  </si>
  <si>
    <t>Gyógyászati központok és szülőotthonok szolgáltatásai</t>
  </si>
  <si>
    <t>073410</t>
  </si>
  <si>
    <t>Egészségügyi ápolás bentlakással</t>
  </si>
  <si>
    <t>073420</t>
  </si>
  <si>
    <t>Bentlakásos hospice-ellátás</t>
  </si>
  <si>
    <t>074011</t>
  </si>
  <si>
    <t>Foglalkozás-egészségügyi alapellátás</t>
  </si>
  <si>
    <t>074012</t>
  </si>
  <si>
    <t>Foglalkozás-egészségügyi szakellátás</t>
  </si>
  <si>
    <t>074013</t>
  </si>
  <si>
    <t>Pálya- és munkaalkalmassági vizsgálatok</t>
  </si>
  <si>
    <t>074020</t>
  </si>
  <si>
    <t>Sportolók sportegészségügyi vizsgálata, felügyelete, ellenőrzése</t>
  </si>
  <si>
    <t>074031</t>
  </si>
  <si>
    <t>Család és nővédelmi egészségügyi gondozás</t>
  </si>
  <si>
    <t>074032</t>
  </si>
  <si>
    <t>Ifjúság-egészségügyi gondozás</t>
  </si>
  <si>
    <t>074040</t>
  </si>
  <si>
    <t>Fertőző megbetegedések megelőzése, járványügyi ellátás</t>
  </si>
  <si>
    <t>074051</t>
  </si>
  <si>
    <t>Nem fertőző megbetegedések megelőzése</t>
  </si>
  <si>
    <t>074052</t>
  </si>
  <si>
    <t>Kábítószer-megelőzés programjai, tevékenységei</t>
  </si>
  <si>
    <t>074053</t>
  </si>
  <si>
    <t>Szenvedélybetegségek (kivéve: kábítószer) megelőzésének programjai, tevékenységei</t>
  </si>
  <si>
    <t>074054</t>
  </si>
  <si>
    <t>Komplex egészségfejlesztő, prevenciós programok</t>
  </si>
  <si>
    <t>074060</t>
  </si>
  <si>
    <t>Vér-, szövet- és egyéb kapcsolódó szövetbank</t>
  </si>
  <si>
    <t>074090</t>
  </si>
  <si>
    <t>Közegészségügyi szolgáltatások finanszírozása és támogatása</t>
  </si>
  <si>
    <t>075010</t>
  </si>
  <si>
    <t>Egészségüggyel kapcsolatos alkalmazott kutatás és fejlesztés</t>
  </si>
  <si>
    <t>076010</t>
  </si>
  <si>
    <t>Egészségügy igazgatása</t>
  </si>
  <si>
    <t>076020</t>
  </si>
  <si>
    <t>Egészségbiztosítási szolgáltatások igazgatása</t>
  </si>
  <si>
    <t>076040</t>
  </si>
  <si>
    <t>Egészségügyi szakértői tevékenységek</t>
  </si>
  <si>
    <t>076050</t>
  </si>
  <si>
    <t>Orvos- és nővérszálló, hozzátartozói szállás fenntartása, üzemeltetése</t>
  </si>
  <si>
    <t>076061</t>
  </si>
  <si>
    <t>Környezet-egészségügyi feladatok</t>
  </si>
  <si>
    <t>076062</t>
  </si>
  <si>
    <t>Település-egészségügyi feladatok</t>
  </si>
  <si>
    <t>076063</t>
  </si>
  <si>
    <t>Sugár-egészségügyi feladatok</t>
  </si>
  <si>
    <t>076064</t>
  </si>
  <si>
    <t>Kémiaibiztonság-egészségügyi feladatok</t>
  </si>
  <si>
    <t>076070</t>
  </si>
  <si>
    <t>Élelmezés- és táplálkozás-egészségügyi felügyelet, ellenőrzés, tanácsadás</t>
  </si>
  <si>
    <t>076090</t>
  </si>
  <si>
    <t>Egyéb egészségügyi szolgáltatások finanszírozása és támogatása</t>
  </si>
  <si>
    <t>081010</t>
  </si>
  <si>
    <t>Sportügyek igazgatása</t>
  </si>
  <si>
    <t>081021</t>
  </si>
  <si>
    <t>Sportszövetségek és szabályozó testületek működésének támogatása</t>
  </si>
  <si>
    <t>081022</t>
  </si>
  <si>
    <t>Sportteljesítmények elismerése, járadékok, ösztöndíjak</t>
  </si>
  <si>
    <t>081023</t>
  </si>
  <si>
    <t>Doppingellenes tevékenység</t>
  </si>
  <si>
    <t>081030</t>
  </si>
  <si>
    <t>Sportlétesítmények, edzőtáborok működtetése és fejlesztése</t>
  </si>
  <si>
    <t>081041</t>
  </si>
  <si>
    <t>Versenysport- és utánpótlás-nevelési tevékenység és támogatása</t>
  </si>
  <si>
    <t>081042</t>
  </si>
  <si>
    <t>Fogyatékossággal élők versenysport tevékenysége és támogatása</t>
  </si>
  <si>
    <t>081043</t>
  </si>
  <si>
    <t>Iskolai, diáksport-tevékenység és támogatása</t>
  </si>
  <si>
    <t>081044</t>
  </si>
  <si>
    <t>Fogyatékossággal élők iskolai, diáksport-tevékenysége és támogatása</t>
  </si>
  <si>
    <t>081045</t>
  </si>
  <si>
    <t>Szabadidősport- (rekreációs sport-) tevékenység és támogatása</t>
  </si>
  <si>
    <t>081061</t>
  </si>
  <si>
    <t>Szabadidős park, fürdő és strandszolgáltatás</t>
  </si>
  <si>
    <t>081071</t>
  </si>
  <si>
    <t>Üdülői szálláshely-szolgáltatás és étkeztetés</t>
  </si>
  <si>
    <t>082010</t>
  </si>
  <si>
    <t>Kultúra igazgatása</t>
  </si>
  <si>
    <t>082020</t>
  </si>
  <si>
    <t>Színházak tevékenysége</t>
  </si>
  <si>
    <t>082030</t>
  </si>
  <si>
    <t>Művészeti tevékenységek (kivéve: színház)</t>
  </si>
  <si>
    <t>082041</t>
  </si>
  <si>
    <t>Nemzeti könyvtári feladatok</t>
  </si>
  <si>
    <t>082042</t>
  </si>
  <si>
    <t>Könyvtári állomány gyarapítása, nyilvántartása</t>
  </si>
  <si>
    <t>082043</t>
  </si>
  <si>
    <t>Könyvtári állomány feltárása, megőrzése, védelme</t>
  </si>
  <si>
    <t>082044</t>
  </si>
  <si>
    <t>Könyvtári szolgáltatások</t>
  </si>
  <si>
    <t>082051</t>
  </si>
  <si>
    <t>Levéltári állomány gyarapítása, kezelése és védelme</t>
  </si>
  <si>
    <t>082052</t>
  </si>
  <si>
    <t>Levéltári szolgáltatás, tudományos, publikációs és információközvetítő tevékenység</t>
  </si>
  <si>
    <t>082061</t>
  </si>
  <si>
    <t>Múzeumi gyűjteményi tevékenység</t>
  </si>
  <si>
    <t>082062</t>
  </si>
  <si>
    <t>Múzeumi tudományos feldolgozó és publikációs tevékenység</t>
  </si>
  <si>
    <t>082063</t>
  </si>
  <si>
    <t>Múzeumi kiállítási tevékenység</t>
  </si>
  <si>
    <t>082064</t>
  </si>
  <si>
    <t>Múzeumi közművelődési, közönségkapcsolati tevékenység</t>
  </si>
  <si>
    <t>082070</t>
  </si>
  <si>
    <t>Történelmi hely, építmény, egyéb látványosság működtetése és megóvása</t>
  </si>
  <si>
    <t>082080</t>
  </si>
  <si>
    <t>Növény- és állatkertek működtetése és megőrzése</t>
  </si>
  <si>
    <t>Közművelődés – közösségi és társadalmi részvétel fejlesztése</t>
  </si>
  <si>
    <t>082092</t>
  </si>
  <si>
    <t>Közművelődés – hagyományos közösségi kulturális értékek gondozása</t>
  </si>
  <si>
    <t>082093</t>
  </si>
  <si>
    <t>Közművelődés – egész életre kiterjedő tanulás, amatőr művészetek</t>
  </si>
  <si>
    <t>082094</t>
  </si>
  <si>
    <t>Közművelődés – kulturális alapú gazdaságfejlesztés</t>
  </si>
  <si>
    <t>083010</t>
  </si>
  <si>
    <t>Műsorszolgáltatási és kiadói ügyek igazgatása</t>
  </si>
  <si>
    <t>083020</t>
  </si>
  <si>
    <t>Könyvkiadás</t>
  </si>
  <si>
    <t>083030</t>
  </si>
  <si>
    <t>Egyéb kiadói tevékenység</t>
  </si>
  <si>
    <t>083040</t>
  </si>
  <si>
    <t>Rádióműsor szolgáltatása és támogatása</t>
  </si>
  <si>
    <t>083050</t>
  </si>
  <si>
    <t>Televízió-műsor szolgáltatása és támogatása</t>
  </si>
  <si>
    <t>083080</t>
  </si>
  <si>
    <t>Nemzetiségi médiatartalom-szolgáltatás és támogatása</t>
  </si>
  <si>
    <t>084010</t>
  </si>
  <si>
    <t>Társadalmi tevékenységekkel, esélyegyenlőséggel, érdekképviselettel, nemzetiségekkel, egyházakkal összefüggő feladatok igazgatása és szabályozása</t>
  </si>
  <si>
    <t>084020</t>
  </si>
  <si>
    <t>Nemzetiségi közfeladatok ellátása és támogatása</t>
  </si>
  <si>
    <t>084031</t>
  </si>
  <si>
    <t>Civil szervezetek működési támogatása</t>
  </si>
  <si>
    <t>084032</t>
  </si>
  <si>
    <t>Civil szervezetek programtámogatása</t>
  </si>
  <si>
    <t>084040</t>
  </si>
  <si>
    <t>Egyházak közösségi és hitéleti tevékenységének támogatása</t>
  </si>
  <si>
    <t>084050</t>
  </si>
  <si>
    <t>Politikai pártok tevékenységének támogatása</t>
  </si>
  <si>
    <t>084060</t>
  </si>
  <si>
    <t>Érdekképviseleti, szakszervezeti tevékenységek támogatása</t>
  </si>
  <si>
    <t>084070</t>
  </si>
  <si>
    <t>A fiatalok társadalmi integrációját segítő struktúra, szakmai szolgáltatások fejlesztése, működtetése</t>
  </si>
  <si>
    <t>085010</t>
  </si>
  <si>
    <t>Szabadidős tevékenységekkel, sporttal, kultúrával és vallással kapcsolatos alkalmazott kutatás és fejlesztés</t>
  </si>
  <si>
    <t>086010</t>
  </si>
  <si>
    <t>Határon túli magyarok egyéb támogatásai</t>
  </si>
  <si>
    <t>086020</t>
  </si>
  <si>
    <t>Helyi, térségi közösségi tér biztosítása, működtetése</t>
  </si>
  <si>
    <t>086030</t>
  </si>
  <si>
    <t>Nemzetközi kulturális együttműködés</t>
  </si>
  <si>
    <t>086090</t>
  </si>
  <si>
    <t>Egyéb szabadidős szolgáltatás</t>
  </si>
  <si>
    <t>091110</t>
  </si>
  <si>
    <t>Óvodai nevelés, ellátás szakmai feladatai</t>
  </si>
  <si>
    <t>091120</t>
  </si>
  <si>
    <t>Sajátos nevelési igényű gyermekek óvodai nevelésének, ellátásának szakmai feladatai</t>
  </si>
  <si>
    <t>091130</t>
  </si>
  <si>
    <t>Nemzetiségi óvodai nevelés, ellátás szakmai feladatai</t>
  </si>
  <si>
    <t>Óvodai nevelés, ellátás működtetési feladatai</t>
  </si>
  <si>
    <t>091211</t>
  </si>
  <si>
    <t>Köznevelési intézményben tanulók nappali rendszerű nevelésének, oktatásának szakmai feladatai 1-4. évfolyamon</t>
  </si>
  <si>
    <t>091212</t>
  </si>
  <si>
    <t>Sajátos nevelési igényű tanulók nappali rendszerű nevelésének, oktatásának szakmai feladatai 1-4. évfolyamon</t>
  </si>
  <si>
    <t>091213</t>
  </si>
  <si>
    <t>Nemzetiségi tanulók nappali rendszerű nevelésének, oktatásának szakmai feladatai 1-4. évfolyamon</t>
  </si>
  <si>
    <t>091220</t>
  </si>
  <si>
    <t>Köznevelési intézmény 1-4. évfolyamán tanulók nevelésével, oktatásával összefüggő működtetési feladatok</t>
  </si>
  <si>
    <t>091240</t>
  </si>
  <si>
    <t>Alapfokú művészetoktatás</t>
  </si>
  <si>
    <t>091250</t>
  </si>
  <si>
    <t>Alapfokú művészetoktatással összefüggő működtetési feladatok</t>
  </si>
  <si>
    <t>091260</t>
  </si>
  <si>
    <t>Felnőttoktatás 1-4. évfolyamon</t>
  </si>
  <si>
    <t>092111</t>
  </si>
  <si>
    <t>Köznevelési intézményben tanulók nappali rendszerű nevelésének, oktatásának szakmai feladatai 5-8. évfolyamon</t>
  </si>
  <si>
    <t>092112</t>
  </si>
  <si>
    <t>Sajátos nevelési igényű tanulók nappali rendszerű nevelésének, oktatásának szakmai feladatai 5-8. évfolyamon</t>
  </si>
  <si>
    <t>092113</t>
  </si>
  <si>
    <t>Nemzetiségi tanulók nappali rendszerű nevelésének, oktatásának szakmai feladatai 5-8. évfolyamon</t>
  </si>
  <si>
    <t>092120</t>
  </si>
  <si>
    <t>Köznevelési intézmény 5-8. évfolyamán tanulók nevelésével, oktatásával összefüggő működtetési feladatok</t>
  </si>
  <si>
    <t>092140</t>
  </si>
  <si>
    <t>Felnőttoktatás 5-8. évfolyamon</t>
  </si>
  <si>
    <t>092150</t>
  </si>
  <si>
    <t>Iskolarendszeren kívüli ISCED 2 szintű OKJ-s képzés</t>
  </si>
  <si>
    <t>092211</t>
  </si>
  <si>
    <t>Gimnáziumi oktatás, nevelés szakmai feladatai</t>
  </si>
  <si>
    <t>092212</t>
  </si>
  <si>
    <t>Sajátos nevelési igényű tanulók gimnáziumi nevelésének, oktatásának szakmai feladatai</t>
  </si>
  <si>
    <t>092213</t>
  </si>
  <si>
    <t>Nemzetiségi tanulók gimnáziumi oktatásának, nevelésének szakmai feladatai</t>
  </si>
  <si>
    <t>092221</t>
  </si>
  <si>
    <t>Közismereti és szakképesítés megszerzésére felkészítő szakmai elméleti oktatás szakmai feladatai a szakképző iskolákban</t>
  </si>
  <si>
    <t>092222</t>
  </si>
  <si>
    <t>Sajátos nevelési igényű tanulók közismereti és szakképesítés megszerzésére felkészítő szakmai elméleti oktatásának szakmai feladatai a szakképző iskolákban</t>
  </si>
  <si>
    <t>092223</t>
  </si>
  <si>
    <t>Nemzetiségi tanulók közismereti és szakképesítés megszerzésére felkészítő szakmai elméleti oktatás szakmai feladatai a szakképző iskolákban</t>
  </si>
  <si>
    <t>092231</t>
  </si>
  <si>
    <t>Szakképesítés megszerzésére felkészítő szakmai gyakorlati oktatás szakmai feladatai a szakképző iskolákban</t>
  </si>
  <si>
    <t>092232</t>
  </si>
  <si>
    <t>Sajátos nevelési igényű tanulók szakképesítés megszerzésére felkészítő szakmai gyakorlati oktatásának szakmai feladatai a szakképző iskolákban</t>
  </si>
  <si>
    <t>092260</t>
  </si>
  <si>
    <t>Gimnázium és szakképző iskola tanulóinak közismereti és szakmai elméleti oktatásával összefüggő működtetési feladatok</t>
  </si>
  <si>
    <t>092270</t>
  </si>
  <si>
    <t>Szakképző iskolai tanulók szakmai gyakorlati oktatásával összefüggő működtetési feladatok</t>
  </si>
  <si>
    <t>092290</t>
  </si>
  <si>
    <t>Iskolarendszeren kívüli ISCED 3 szintű OKJ-s képzés</t>
  </si>
  <si>
    <t>093010</t>
  </si>
  <si>
    <t>Felsőfokú végzettségi szintet nem biztosító képzések</t>
  </si>
  <si>
    <t>093020</t>
  </si>
  <si>
    <t>Iskolarendszeren kívüli ISCED 4 szintű OKJ-s képzés</t>
  </si>
  <si>
    <t>094110</t>
  </si>
  <si>
    <t>Felsőoktatási szakképzés</t>
  </si>
  <si>
    <t>094120</t>
  </si>
  <si>
    <t>Szakirányú továbbképzés</t>
  </si>
  <si>
    <t>094130</t>
  </si>
  <si>
    <t>Egészségügyi szakmai képzés</t>
  </si>
  <si>
    <t>094170</t>
  </si>
  <si>
    <t>Iskolarendszeren kívüli ISCED 5 szintű OKJ-s képzés</t>
  </si>
  <si>
    <t>094210</t>
  </si>
  <si>
    <t>Felsőfokú oktatás</t>
  </si>
  <si>
    <t>094250</t>
  </si>
  <si>
    <t>Tankönyv- és jegyzettámogatás</t>
  </si>
  <si>
    <t>094260</t>
  </si>
  <si>
    <t>Hallgatói és oktatói ösztöndíjak, egyéb juttatások</t>
  </si>
  <si>
    <t>094280</t>
  </si>
  <si>
    <t>Hallgatók lakhatásának biztosítása</t>
  </si>
  <si>
    <t>094290</t>
  </si>
  <si>
    <t>Iskolarendszeren kívüli ISCED 6 szintű OKJ-s képzés</t>
  </si>
  <si>
    <t>095010</t>
  </si>
  <si>
    <t>Határon túli magyarok oktatási támogatásai</t>
  </si>
  <si>
    <t>095020</t>
  </si>
  <si>
    <t>Iskolarendszeren kívüli egyéb oktatás, képzés</t>
  </si>
  <si>
    <t>095030</t>
  </si>
  <si>
    <t>Szakképzési és felnőttképzési támogatások</t>
  </si>
  <si>
    <t>095040</t>
  </si>
  <si>
    <t>Munkaerő-piaci felnőttképzéshez kapcsolódó szakmai szolgáltatások</t>
  </si>
  <si>
    <t>096015</t>
  </si>
  <si>
    <t>Gyermekétkeztetés köznevelési intézményben</t>
  </si>
  <si>
    <t>096025</t>
  </si>
  <si>
    <t>Munkahelyi étkeztetés köznevelési intézményben</t>
  </si>
  <si>
    <t>096030</t>
  </si>
  <si>
    <t>Köznevelési intézményben tanulók lakhatásának biztosítása</t>
  </si>
  <si>
    <t>096040</t>
  </si>
  <si>
    <t>Köznevelési intézményben tanulók kollégiumi, externátusi nevelése</t>
  </si>
  <si>
    <t>097010</t>
  </si>
  <si>
    <t>Oktatáshoz kapcsolódó alkalmazott kutatás és fejlesztés</t>
  </si>
  <si>
    <t>098010</t>
  </si>
  <si>
    <t>Oktatás igazgatása</t>
  </si>
  <si>
    <t>098021</t>
  </si>
  <si>
    <t>Pedagógiai szakszolgáltató tevékenység szakmai feladatai</t>
  </si>
  <si>
    <t>098022</t>
  </si>
  <si>
    <t>Pedagógiai szakszolgáltató tevékenység működtetési feladatai</t>
  </si>
  <si>
    <t>098031</t>
  </si>
  <si>
    <t>Pedagógiai szakmai szolgáltatások szakmai feladatai</t>
  </si>
  <si>
    <t>098032</t>
  </si>
  <si>
    <t>Pedagógiai szakmai szolgáltatások működtetési feladatai</t>
  </si>
  <si>
    <t>098040</t>
  </si>
  <si>
    <t>Nemzetközi oktatási együttműködés</t>
  </si>
  <si>
    <t>098051</t>
  </si>
  <si>
    <t>Utazó gyógypedagógusi, utazó konduktori tevékenység szakmai feladatai</t>
  </si>
  <si>
    <t>098052</t>
  </si>
  <si>
    <t>Utazó gyógypedagógusi, utazó konduktori tevékenység működtetési feladatai</t>
  </si>
  <si>
    <t>098061</t>
  </si>
  <si>
    <t>Fejlesztő nevelés-oktatás szakmai feladatai</t>
  </si>
  <si>
    <t>098062</t>
  </si>
  <si>
    <t>Fejlesztő nevelés-oktatás működtetési feladatai</t>
  </si>
  <si>
    <t>Bentlakásos, nem kórházi ellátás, ápolás</t>
  </si>
  <si>
    <t>Pszichiátriai betegek tartós bentlakásos ellátása</t>
  </si>
  <si>
    <t>Szenvedélybetegek tartós bentlakásos ellátása</t>
  </si>
  <si>
    <t>Pszichiátriai betegek rehabilitációs célú bentlakásos ellátása</t>
  </si>
  <si>
    <t>Szenvedélybetegek rehabilitációs célú bentlakásos ellátása</t>
  </si>
  <si>
    <t>Pszichiátriai betegek rehabilitációs lakóotthoni ellátása</t>
  </si>
  <si>
    <t>Szenvedélybetegek rehabilitációs lakóotthoni ellátása</t>
  </si>
  <si>
    <t>Pszichiátriai betegek átmeneti ellátása</t>
  </si>
  <si>
    <t>Szenvedélybetegek átmeneti ellátása</t>
  </si>
  <si>
    <t>Támogatott lakhatás pszichiátriai betegek részére</t>
  </si>
  <si>
    <t>Támogatott lakhatás szenvedélybetegek részére</t>
  </si>
  <si>
    <t>Pszichiátriai betegek nappali ellátása</t>
  </si>
  <si>
    <t>Szenvedélybetegek nappali ellátása</t>
  </si>
  <si>
    <t>Pszichiátriai betegek közösségi alapellátása</t>
  </si>
  <si>
    <t>Szenvedélybetegek közösségi alapellátása (kivéve: alacsonyküszöbű ellátás)</t>
  </si>
  <si>
    <t>Szenvedélybetegek alacsonyküszöbű ellátása</t>
  </si>
  <si>
    <t>Betegséggel kapcsolatos pénzbeli ellátások, támogatások</t>
  </si>
  <si>
    <t>Fogyatékossággal élők tartós bentlakásos ellátása</t>
  </si>
  <si>
    <t>Fogyatékossággal élők rehabilitációs célú bentlakásos ellátása</t>
  </si>
  <si>
    <t>Fogyatékossággal élők átmeneti ellátása</t>
  </si>
  <si>
    <t>Támogatott lakhatás fogyatékos személyek részére</t>
  </si>
  <si>
    <t>Fogyatékossággal élők ápoló-gondozó lakóotthoni ellátása</t>
  </si>
  <si>
    <t>Fogyatékossággal élők rehabilitációs célú lakóotthoni ellátása</t>
  </si>
  <si>
    <t>Fogyatékossággal élők nappali ellátása</t>
  </si>
  <si>
    <t>Támogató szolgáltatás fogyatékos személyek részére</t>
  </si>
  <si>
    <t>Fogyatékossággal összefüggő pénzbeli ellátások, támogatások</t>
  </si>
  <si>
    <t>Megváltozott munkaképességgel összefüggő pénzbeli ellátások, támogatások</t>
  </si>
  <si>
    <t>Megváltozott munkaképességű személyek foglalkoztatását elősegítő képzések, támogatások</t>
  </si>
  <si>
    <t>Fogyatékossággal élők társadalmi integrációját és életminőségét segítő programok, támogatások</t>
  </si>
  <si>
    <t>Nyugdíjbiztosítási szolgáltatások igazgatása</t>
  </si>
  <si>
    <t>Időskorúak tartós bentlakásos ellátása</t>
  </si>
  <si>
    <t>Demens betegek tartós bentlakásos ellátása</t>
  </si>
  <si>
    <t>Időskorúak átmeneti ellátása</t>
  </si>
  <si>
    <t>Demens betegek átmeneti ellátása</t>
  </si>
  <si>
    <t>Szakápolási központ</t>
  </si>
  <si>
    <t>Idősek nappali ellátása</t>
  </si>
  <si>
    <t>Demens betegek nappali ellátása</t>
  </si>
  <si>
    <t>Időskorral összefüggő pénzbeli ellátások</t>
  </si>
  <si>
    <t>Az időskorúak társadalmi integrációját célzó programok</t>
  </si>
  <si>
    <t>Elhunyt személyek hátramaradottainak pénzbeli ellátásai</t>
  </si>
  <si>
    <t>Gyermekvédelmi bentlakásos ellátások</t>
  </si>
  <si>
    <t>Gyermekek átmeneti ellátása</t>
  </si>
  <si>
    <t>Nevelőszülőnél elhelyezettek ellátása</t>
  </si>
  <si>
    <t>Javítóintézeti ellátás</t>
  </si>
  <si>
    <t>Gyermekek napközbeni ellátása családi bölcsőde, munkahelyi bölcsőde, napközbeni gyermekfelügyelet vagy alternatív napközbeni ellátás útján</t>
  </si>
  <si>
    <t>Gyermekek bölcsődében és mini bölcsődében történő ellátása</t>
  </si>
  <si>
    <t>Gyermekétkeztetés bölcsődében, fogyatékosok nappali intézményében</t>
  </si>
  <si>
    <t>Munkahelyi étkeztetés gyermekek napközbeni ellátását biztosító intézményben</t>
  </si>
  <si>
    <t>Intézményen kívüli gyermekétkeztetés</t>
  </si>
  <si>
    <t>Területi gyermekvédelmi szakszolgáltatás</t>
  </si>
  <si>
    <t>Család és gyermekjóléti szolgáltatások</t>
  </si>
  <si>
    <t>Család és gyermekjóléti központ</t>
  </si>
  <si>
    <t>Biztos Kezdet Gyerekház</t>
  </si>
  <si>
    <t>Gyermekvédelmi pénzbeli és természetbeni ellátások</t>
  </si>
  <si>
    <t>Családtámogatások</t>
  </si>
  <si>
    <t>A gyermekek, fiatalok és családok életminőségét javító programok</t>
  </si>
  <si>
    <t>A gyermeki jogok érvényre juttatásával összefüggő feladatok</t>
  </si>
  <si>
    <t>Munkanélküli aktív korúak ellátásai</t>
  </si>
  <si>
    <t>Foglalkoztatást elősegítő képzések és egyéb támogatások</t>
  </si>
  <si>
    <t>Lakóingatlan szociális célú bérbeadása, üzemeltetése</t>
  </si>
  <si>
    <t>Lakásfenntartással, lakhatással összefüggő ellátások</t>
  </si>
  <si>
    <t>Hajléktalanok tartós bentlakásos ellátása</t>
  </si>
  <si>
    <t>Hajléktalanok rehabilitációs célú bentlakásos ellátása</t>
  </si>
  <si>
    <t>Hajléktalanok átmeneti ellátása</t>
  </si>
  <si>
    <t>Hajléktalanok nappali ellátása</t>
  </si>
  <si>
    <t>Utcai szociális munka</t>
  </si>
  <si>
    <t>Családon belüli erőszak sértettjeinek bentlakásos ellátása</t>
  </si>
  <si>
    <t>Szociális foglalkoztatás, fejlesztő foglalkoztatás</t>
  </si>
  <si>
    <t>Szociális étkeztetés népkonyhán</t>
  </si>
  <si>
    <t>Szociális étkeztetés szociális konyhán</t>
  </si>
  <si>
    <t>Házi segítségnyújtás</t>
  </si>
  <si>
    <t>Jelzőrendszeres házi segítségnyújtás</t>
  </si>
  <si>
    <t>Falugondnoki, tanyagondnoki szolgáltatás</t>
  </si>
  <si>
    <t>Egyéb szociális pénzbeli és természetbeni ellátások, támogatások</t>
  </si>
  <si>
    <t>Menekültek, befogadottak, oltalmazottak ideiglenes ellátása és támogatása</t>
  </si>
  <si>
    <t>Esélyegyenlőség elősegítését célzó tevékenységek és programok</t>
  </si>
  <si>
    <t>Romák társadalmi integrációját elősegítő tevékenységek, programok</t>
  </si>
  <si>
    <t>Szociális biztonsággal kapcsolatos alkalmazott kutatás és fejlesztés</t>
  </si>
  <si>
    <t>Szociális szolgáltatások igazgatása</t>
  </si>
  <si>
    <t>Szociális szolgáltatások módszertani szakirányítása</t>
  </si>
  <si>
    <t>Természetes személyek adósságrendezésével kapcsolatos feladatok</t>
  </si>
  <si>
    <t>Nemzetközi humanitárius segítségnyújtás</t>
  </si>
  <si>
    <t>Központi költségvetés funkcióra nem sorolható bevételei államháztartáson kívülről</t>
  </si>
  <si>
    <t>Önkormányzatok funkcióra nem sorolható bevételei államháztartáson kívülről</t>
  </si>
  <si>
    <t>Elkülönített állami pénzalapok funkcióra nem sorolható bevételei államháztartáson kívülről</t>
  </si>
  <si>
    <t>Egészségbiztosítási Alap funkcióra nem sorolható bevételei államháztartáson kívülről</t>
  </si>
  <si>
    <t>Nyugdíjbiztosítási Alap funkcióra nem sorolható bevételei államháztartáson kívülről</t>
  </si>
  <si>
    <t>Forgatási és befektetési célú finanszírozási műveletek</t>
  </si>
  <si>
    <t>Vállalkozási tevékenységek kiadásai és bevételei</t>
  </si>
  <si>
    <t>Előirányzati főkönyvi számlák rovatonként</t>
  </si>
  <si>
    <t>2 - Kiadás</t>
  </si>
  <si>
    <t>1 - Bevétel</t>
  </si>
  <si>
    <t>3 - egyik sem</t>
  </si>
  <si>
    <t>COFOG1</t>
  </si>
  <si>
    <t>Nincs COFOG</t>
  </si>
  <si>
    <t>Összevont megnevezés</t>
  </si>
  <si>
    <t>Módosított előirányzati főkönyvi számlák kormányzati funkcióként</t>
  </si>
  <si>
    <t>000000</t>
  </si>
  <si>
    <t>906mp</t>
  </si>
  <si>
    <t>Betöltött adatok</t>
  </si>
  <si>
    <t>60 és 61 napló bemásolása:</t>
  </si>
  <si>
    <t>Naplótételek</t>
  </si>
  <si>
    <t>Szervek száma</t>
  </si>
  <si>
    <t>Főkönyvi kivonat</t>
  </si>
  <si>
    <t>Részletezők</t>
  </si>
  <si>
    <t>Előirányzati főkönyvi számlák részletezőnként és rovatonként</t>
  </si>
  <si>
    <t>Indokolás</t>
  </si>
  <si>
    <t>Rendelet indokolásának szerkesztése</t>
  </si>
  <si>
    <t>Hajdú László e.v. | 2623 Kismaros, Kiskert utca 3. | Adószám: 60341468-1-33</t>
  </si>
  <si>
    <t>Megrendelés: info@onkormanyzatimegoldasok.hu</t>
  </si>
  <si>
    <t>Zvekanovics Éva e.v. | 2623 Kismaros, Kiskert utca 3. | Adószám: 90306934-1-33</t>
  </si>
  <si>
    <t>Előirányzat változás összege</t>
  </si>
  <si>
    <t>Mozgás-nem</t>
  </si>
  <si>
    <t>Módosított előirányzatok főkönyvi kivonata, rovatonként és tételesen</t>
  </si>
  <si>
    <t>Módosított előirányzatok főkönyvi kivonata, rovatonként és részletezőnként</t>
  </si>
  <si>
    <t>Módosított előirányzatok főkönyvi kivonata, rovatonként és kormányzati funkciónként</t>
  </si>
  <si>
    <t xml:space="preserve">                   Módosított előirányzatok főkönyvi kivonatai, rovatonként és tételesen</t>
  </si>
  <si>
    <t xml:space="preserve">                        Módosított előirányzatok főkönyvi kivonatai, részletezőnként</t>
  </si>
  <si>
    <t xml:space="preserve">                  Módosított előirányzatok főkönyvi kivonatai, kormányzati funkciónként</t>
  </si>
  <si>
    <t>Tervezés száma</t>
  </si>
  <si>
    <t xml:space="preserve">       PIR szám rögzítése</t>
  </si>
  <si>
    <t>1111 Település, Hivatal utca 10., Tel.: 27/111-111</t>
  </si>
  <si>
    <t>E-mail: jegyzo@telepules.hu</t>
  </si>
  <si>
    <t>2025. évi költségvetés módosítása</t>
  </si>
  <si>
    <t>…...............................................</t>
  </si>
  <si>
    <t>előterjesztő aláírása</t>
  </si>
  <si>
    <t>Összeg-abs</t>
  </si>
  <si>
    <t>Összeg / Összeg-abs</t>
  </si>
  <si>
    <t>gazdálkodásához szükséges keretösszeget, amellyel a kötelező, az államigazgatási és az önként vállalt feladatok zavartalan</t>
  </si>
  <si>
    <t>ellátását kívánta biztosítani.</t>
  </si>
  <si>
    <t>Előirányzat</t>
  </si>
  <si>
    <t>Módosítás</t>
  </si>
  <si>
    <t>Eddig elfogadott módosítások</t>
  </si>
  <si>
    <t>Előterjesztésben javasolt módosítások</t>
  </si>
  <si>
    <t>Az előirányzat változtatások a határozatok, előirányzat átcsoportosítások, az intézmények pótigényei, valamint a Magyar</t>
  </si>
  <si>
    <t>Államkincstár utasításai alapján történtek.</t>
  </si>
  <si>
    <t>2. Tervezett előirányzat változások indokolása</t>
  </si>
  <si>
    <t>3. számú táblázat - A bevételi előirányzat változásainak részletezése</t>
  </si>
  <si>
    <t>4. számú táblázat - A kiadási előirányzat változásainak részletezése</t>
  </si>
  <si>
    <t>Módosított előirányzat</t>
  </si>
  <si>
    <t>1. számú ábra - módosított előirányzatok bevételeinek arányai (adatok millió Ft-ban)</t>
  </si>
  <si>
    <t>2. számú ábra - módosított előirányzatok kiadásainak arányai (adatok millió Ft-ban)</t>
  </si>
  <si>
    <t>3. Tervezett előirányzatok arányai</t>
  </si>
  <si>
    <t>4. Hatásvizsgálat</t>
  </si>
  <si>
    <t>2022. évi teljesítés</t>
  </si>
  <si>
    <t>2023. évi teljesítés</t>
  </si>
  <si>
    <t>2024. évi teljesítés</t>
  </si>
  <si>
    <t>2025. évi eredeti előirányzat</t>
  </si>
  <si>
    <t>2025. évi módosított előirányzat</t>
  </si>
  <si>
    <t>3. számú ábra - előirányzatok évenkénti összehasonlítása (adatok millió Ft-ban)</t>
  </si>
  <si>
    <t>A jogalkotásról szóló 2010. évi CXXX. törvény (Jat.) 17. §-a alapján a költségvetési rendelet módosítására vonatkozó rendeletet</t>
  </si>
  <si>
    <t>előkészítő jegyző előzetes hatásvizsgálatot végzett, melyben felmérte a szabályozás várható következményeit.</t>
  </si>
  <si>
    <t>Társadalmi, gazdasági, hatások</t>
  </si>
  <si>
    <t>a településen élők helyzetének javítását (fejlesztések, intézmények átalakítása, stb.). A szociálisan rászoruló társadalmi rétegek</t>
  </si>
  <si>
    <t xml:space="preserve">támogatásában előrelépés történt (étkeztetés, stb). A rendeletben foglaltak végrehajtásának költségvetési hatását az előterjesztés </t>
  </si>
  <si>
    <t>részletesen tartalmazza.</t>
  </si>
  <si>
    <t>Környezeti és egészségügyi következmények</t>
  </si>
  <si>
    <t>biztosítva ezáltal a település lakosságának alapvető egészségügyi ellátását.</t>
  </si>
  <si>
    <t>Adminisztratív terheket befolyásoló hatások</t>
  </si>
  <si>
    <t xml:space="preserve">A költségvetési rendelet módosításáról szóló rendeletben foglalt pénzügyi,- számviteli és szociális előírások végrehajtása a szakmai, </t>
  </si>
  <si>
    <t>ügyintézési és adminisztratív feladatok végrehajtásában többletfeladatokat jelentettek a költségvetési szervek számára.</t>
  </si>
  <si>
    <t>A jogszabályok megalkotásának szükségessége, a jogalkotás elmaradásának várható következményei</t>
  </si>
  <si>
    <t xml:space="preserve">A költségvetési rendelet módosításáról szóló rendelet megalkotását szükségessé teszi az Mötv. és az Áht. előírásai, melynek </t>
  </si>
  <si>
    <t>elmaradása törvényességi mulasztásnak számít, ami támogatás megvonásával jár.</t>
  </si>
  <si>
    <t>A jogszabály alkalmazásához szükséges személyi, szervezeti, tárgyi és pénzügyi feltételek</t>
  </si>
  <si>
    <t>A költségvetési rendelet módosításáról szóló rendeletben rögzítettek végrehajtásához a személyi, tárgyi, szervezeti és</t>
  </si>
  <si>
    <t xml:space="preserve">pénzügyi feltételek rendelkezésre álltak. A rendelet-tervezet elkészítésénél figyelembe vettük a jogszabályszerkesztésről szóló </t>
  </si>
  <si>
    <t>61/2009. (XII.14.) IRM rendelet előírásait.</t>
  </si>
  <si>
    <t>A költségvetési rendelet módosításáról szóló rendeletben foglaltak végrehajtásával az Önkormányzat elősegítette</t>
  </si>
  <si>
    <t xml:space="preserve">Tárgyévben az Önkormányzat ellátta a kötelező feladatait, így megoldotta a háziorvosi ellátással kapcsolatos teendőit is – </t>
  </si>
  <si>
    <t>indokolása</t>
  </si>
  <si>
    <t xml:space="preserve">állapította meg a tárgyév gazdálkodásához szükséges keretösszeget, amellyel a kötelező, államigazgatási </t>
  </si>
  <si>
    <t>és az önként vállalt feladatok zavartalan ellátását kívánta biztosítani.</t>
  </si>
  <si>
    <t>költségvetési rendelet módosítást az alábbiak szerint indokolom:</t>
  </si>
  <si>
    <t>1. Általános indokolás</t>
  </si>
  <si>
    <t xml:space="preserve">Magyarország Alaptörvénye 32. cikk (2) bekezdése biztosítja. A rendelet megalkotásakor </t>
  </si>
  <si>
    <t xml:space="preserve">az Alaptörvény 32. cikk (1) bekezdés f. pontjában, valamint az államháztartásról szóló </t>
  </si>
  <si>
    <t>2011. évi CXCV. törvény 23. § (1) bekezdésében meghatározott feladatkörében jár el.</t>
  </si>
  <si>
    <t>A törvényi felhatalmazást kiegészíti az államháztartásról szóló törvény végrehajtásáról szóló</t>
  </si>
  <si>
    <t>368/2011. (XII.31.) Kormányrendelet, a III. fejezetében szabályozottak szerint.</t>
  </si>
  <si>
    <t xml:space="preserve">A jegyző a Magyarország 2025. évi központi költségvetéséről szóló 2024. évi (…) törvényben </t>
  </si>
  <si>
    <t xml:space="preserve">meghatározott pénzügyi-gazdasági feltételek figyelembevételével állította össze </t>
  </si>
  <si>
    <t>2. Részletes indokolás</t>
  </si>
  <si>
    <t>rendelet módosításával kapcsolatban a következőket határozza meg:</t>
  </si>
  <si>
    <t>a) bevételi és a kiadási főösszeget;</t>
  </si>
  <si>
    <t>b) a költségvetési egyenlegeket;</t>
  </si>
  <si>
    <t>c) a kiadási főösszegén belül a kiemelt előirányzatokat;</t>
  </si>
  <si>
    <t>d) a tartalék összegét és annak felhasználását;</t>
  </si>
  <si>
    <t>e) az eredeti költségvetésben módosuló mellékleteket;</t>
  </si>
  <si>
    <t>Az 1-4. §-hoz</t>
  </si>
  <si>
    <t>Az 5. §-hoz</t>
  </si>
  <si>
    <t>A rendelet hatálybalépését szabályozza.</t>
  </si>
  <si>
    <t>E12</t>
  </si>
  <si>
    <t>E13</t>
  </si>
  <si>
    <t>Részletezőkön nyilvántartott bevételek, kiadások (adatok forintban)</t>
  </si>
  <si>
    <t>E14</t>
  </si>
  <si>
    <t>E15</t>
  </si>
  <si>
    <t>Működési költségvetés kiadásai</t>
  </si>
  <si>
    <t>Felhalmozási költségvetés kiadásai</t>
  </si>
  <si>
    <t>Jelen rendelet száma [pl.: 12/2025. (XI.17.)]</t>
  </si>
  <si>
    <t>Info 01.</t>
  </si>
  <si>
    <t>Info 02.</t>
  </si>
  <si>
    <t>Eredeti költségvetés rendeletszáma [pl.: 1/2025. (II.17.)]</t>
  </si>
  <si>
    <t>Info 03.</t>
  </si>
  <si>
    <t>Legutolsó módosítás rendeletszáma [pl.: 10/2025. (IX.21.)]</t>
  </si>
  <si>
    <t>nincs szervezet</t>
  </si>
  <si>
    <t>a</t>
  </si>
  <si>
    <t>b</t>
  </si>
  <si>
    <t>c</t>
  </si>
  <si>
    <t>d</t>
  </si>
  <si>
    <t>14.  melléklet</t>
  </si>
  <si>
    <t>15. melléklet</t>
  </si>
  <si>
    <t>16. melléklet</t>
  </si>
  <si>
    <t>17. melléklet</t>
  </si>
  <si>
    <t>18. melléklet</t>
  </si>
  <si>
    <t>19. melléklet</t>
  </si>
  <si>
    <t>20. melléklet</t>
  </si>
  <si>
    <t>21. melléklet</t>
  </si>
  <si>
    <t>22. melléklet</t>
  </si>
  <si>
    <t>23. melléklet</t>
  </si>
  <si>
    <t>Előirányzat változás</t>
  </si>
  <si>
    <t>Bérrendszerek, jogviszonyok megnevezése</t>
  </si>
  <si>
    <t>Köztisztviselők, kormánytisztviselők</t>
  </si>
  <si>
    <t>Különleges jogállású szervek, Állami Számvevőszék tisztviselői</t>
  </si>
  <si>
    <t>Nemzeti Adó- és Vámhivatal állománya</t>
  </si>
  <si>
    <t>Egészségügyi szolgálati jogviszonyban foglalkoztatottak</t>
  </si>
  <si>
    <t>Közalkalmazottak</t>
  </si>
  <si>
    <t>Pedagógus életpálya alapján foglalkoztatottak</t>
  </si>
  <si>
    <t>Bírák, ügyészek, igazságügyi, ügyészségi alkalmazottak</t>
  </si>
  <si>
    <t>Rendvédelmi szervek hivatásos állományú tagjai</t>
  </si>
  <si>
    <t>Rendvédelmi alkalmazottak</t>
  </si>
  <si>
    <t>Magyar Honvédség hivatásos állományú katonái</t>
  </si>
  <si>
    <t>Honvédelmi alkalmazottak</t>
  </si>
  <si>
    <t>Munka Törvénykönyve hatálya alá tartozók</t>
  </si>
  <si>
    <t xml:space="preserve"> - ebből: közfoglalkoztatottak</t>
  </si>
  <si>
    <t>Választott tisztségviselők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</si>
  <si>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</si>
  <si>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</si>
  <si>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</si>
  <si>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</si>
  <si>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</si>
  <si>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</si>
  <si>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</si>
  <si>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</si>
  <si>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</si>
  <si>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</si>
  <si>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24. melléklet</t>
  </si>
  <si>
    <t>25. melléklet</t>
  </si>
  <si>
    <t>[1] A költségvetési rendelet módosításának célja a legutolsó módosítás óta bekövetkezett változások átvezetése a bevételi és a kiadási előirányzatokon.</t>
  </si>
  <si>
    <t>Nagymaros Város Önkormányzata</t>
  </si>
  <si>
    <t>Nagymarosi Polgármesteri Hivatal</t>
  </si>
  <si>
    <t>Nagymarosi Napköziotthonos Óvoda és Bölcsőde</t>
  </si>
  <si>
    <t>Gondozási Központ</t>
  </si>
  <si>
    <t>Nagymaros Városi Könyvtár és Művelődési Ház</t>
  </si>
  <si>
    <t>P731113</t>
  </si>
  <si>
    <t>P394031</t>
  </si>
  <si>
    <t>P654427</t>
  </si>
  <si>
    <t>P654449</t>
  </si>
  <si>
    <t>P654472</t>
  </si>
  <si>
    <t>2198352</t>
  </si>
  <si>
    <t/>
  </si>
  <si>
    <t>2025/EEI-654427/1</t>
  </si>
  <si>
    <t>alap</t>
  </si>
  <si>
    <t>001211</t>
  </si>
  <si>
    <t>2025-01-01</t>
  </si>
  <si>
    <t>654427</t>
  </si>
  <si>
    <t>eredeti ei</t>
  </si>
  <si>
    <t>1</t>
  </si>
  <si>
    <t>93100</t>
  </si>
  <si>
    <t>2207639</t>
  </si>
  <si>
    <t>2025/MEI-654449/4</t>
  </si>
  <si>
    <t>001121</t>
  </si>
  <si>
    <t>654449</t>
  </si>
  <si>
    <t>módosított ei</t>
  </si>
  <si>
    <t>15100</t>
  </si>
  <si>
    <t>T</t>
  </si>
  <si>
    <t>2207640</t>
  </si>
  <si>
    <t>2198332</t>
  </si>
  <si>
    <t>001111</t>
  </si>
  <si>
    <t>13100</t>
  </si>
  <si>
    <t>2198334</t>
  </si>
  <si>
    <t>2198336</t>
  </si>
  <si>
    <t>2198337</t>
  </si>
  <si>
    <t>2198338</t>
  </si>
  <si>
    <t>2198339</t>
  </si>
  <si>
    <t>2198340</t>
  </si>
  <si>
    <t>2198341</t>
  </si>
  <si>
    <t>2198342</t>
  </si>
  <si>
    <t>2198343</t>
  </si>
  <si>
    <t>2198344</t>
  </si>
  <si>
    <t>2198345</t>
  </si>
  <si>
    <t>2198346</t>
  </si>
  <si>
    <t>2198347</t>
  </si>
  <si>
    <t>2198348</t>
  </si>
  <si>
    <t>2198349</t>
  </si>
  <si>
    <t>2198350</t>
  </si>
  <si>
    <t>2198351</t>
  </si>
  <si>
    <t>2198353</t>
  </si>
  <si>
    <t>2198354</t>
  </si>
  <si>
    <t>2198357</t>
  </si>
  <si>
    <t>2198392</t>
  </si>
  <si>
    <t>2025/EEI-654449/2</t>
  </si>
  <si>
    <t>2213409</t>
  </si>
  <si>
    <t>2025/MEI-731113/19</t>
  </si>
  <si>
    <t>731113</t>
  </si>
  <si>
    <t>11100</t>
  </si>
  <si>
    <t>2213410</t>
  </si>
  <si>
    <t>2198525</t>
  </si>
  <si>
    <t>2025/EEI-731113/1</t>
  </si>
  <si>
    <t>2198526</t>
  </si>
  <si>
    <t>2198527</t>
  </si>
  <si>
    <t>2198528</t>
  </si>
  <si>
    <t>2198529</t>
  </si>
  <si>
    <t>2198530</t>
  </si>
  <si>
    <t>2198531</t>
  </si>
  <si>
    <t>2198532</t>
  </si>
  <si>
    <t>2198533</t>
  </si>
  <si>
    <t>2201571</t>
  </si>
  <si>
    <t>2025/MEI-654427/5</t>
  </si>
  <si>
    <t>2025-03-01</t>
  </si>
  <si>
    <t>2201572</t>
  </si>
  <si>
    <t>2201573</t>
  </si>
  <si>
    <t>2198534</t>
  </si>
  <si>
    <t>2198535</t>
  </si>
  <si>
    <t>2198536</t>
  </si>
  <si>
    <t>2198537</t>
  </si>
  <si>
    <t>2198538</t>
  </si>
  <si>
    <t>2198539</t>
  </si>
  <si>
    <t>2198540</t>
  </si>
  <si>
    <t>2198541</t>
  </si>
  <si>
    <t>2198542</t>
  </si>
  <si>
    <t>2198543</t>
  </si>
  <si>
    <t>2201594</t>
  </si>
  <si>
    <t>2025/MEI-654427/6</t>
  </si>
  <si>
    <t>2198545</t>
  </si>
  <si>
    <t>2201595</t>
  </si>
  <si>
    <t>2198546</t>
  </si>
  <si>
    <t>2198547</t>
  </si>
  <si>
    <t>2198548</t>
  </si>
  <si>
    <t>2198549</t>
  </si>
  <si>
    <t>2198550</t>
  </si>
  <si>
    <t>2198551</t>
  </si>
  <si>
    <t>2198552</t>
  </si>
  <si>
    <t>2025/MEI-654427/3</t>
  </si>
  <si>
    <t>2198553</t>
  </si>
  <si>
    <t>2198554</t>
  </si>
  <si>
    <t>2198555</t>
  </si>
  <si>
    <t>2198556</t>
  </si>
  <si>
    <t>2198557</t>
  </si>
  <si>
    <t>2198558</t>
  </si>
  <si>
    <t>2198559</t>
  </si>
  <si>
    <t>2198560</t>
  </si>
  <si>
    <t>2198561</t>
  </si>
  <si>
    <t>2198562</t>
  </si>
  <si>
    <t>2198563</t>
  </si>
  <si>
    <t>2198564</t>
  </si>
  <si>
    <t>91100</t>
  </si>
  <si>
    <t>2198565</t>
  </si>
  <si>
    <t>2198566</t>
  </si>
  <si>
    <t>2198567</t>
  </si>
  <si>
    <t>2198568</t>
  </si>
  <si>
    <t>2198569</t>
  </si>
  <si>
    <t>2198570</t>
  </si>
  <si>
    <t>2198571</t>
  </si>
  <si>
    <t>2198572</t>
  </si>
  <si>
    <t>2198573</t>
  </si>
  <si>
    <t>2198574</t>
  </si>
  <si>
    <t>2198575</t>
  </si>
  <si>
    <t>2198576</t>
  </si>
  <si>
    <t>2198577</t>
  </si>
  <si>
    <t>2198578</t>
  </si>
  <si>
    <t>2198579</t>
  </si>
  <si>
    <t>2198580</t>
  </si>
  <si>
    <t>2198581</t>
  </si>
  <si>
    <t>2198582</t>
  </si>
  <si>
    <t>2198583</t>
  </si>
  <si>
    <t>2198584</t>
  </si>
  <si>
    <t>2198585</t>
  </si>
  <si>
    <t>2198586</t>
  </si>
  <si>
    <t>2198587</t>
  </si>
  <si>
    <t>2198588</t>
  </si>
  <si>
    <t>2198589</t>
  </si>
  <si>
    <t>2198590</t>
  </si>
  <si>
    <t>2198641</t>
  </si>
  <si>
    <t>2025/MEI-654472/3</t>
  </si>
  <si>
    <t>654472</t>
  </si>
  <si>
    <t>14050</t>
  </si>
  <si>
    <t>2198644</t>
  </si>
  <si>
    <t>2198591</t>
  </si>
  <si>
    <t>2198642</t>
  </si>
  <si>
    <t>2198592</t>
  </si>
  <si>
    <t>2198643</t>
  </si>
  <si>
    <t>2198593</t>
  </si>
  <si>
    <t>2198594</t>
  </si>
  <si>
    <t>2198595</t>
  </si>
  <si>
    <t>2198596</t>
  </si>
  <si>
    <t>2198597</t>
  </si>
  <si>
    <t>2198598</t>
  </si>
  <si>
    <t>2198599</t>
  </si>
  <si>
    <t>2198649</t>
  </si>
  <si>
    <t>2025/MEI-654472/4</t>
  </si>
  <si>
    <t>2198600</t>
  </si>
  <si>
    <t>2198648</t>
  </si>
  <si>
    <t>2198601</t>
  </si>
  <si>
    <t>2251316</t>
  </si>
  <si>
    <t>2025/MEI-731113/51</t>
  </si>
  <si>
    <t>2025-06-01</t>
  </si>
  <si>
    <t>2198602</t>
  </si>
  <si>
    <t>2251317</t>
  </si>
  <si>
    <t>2198603</t>
  </si>
  <si>
    <t>95100</t>
  </si>
  <si>
    <t>2198604</t>
  </si>
  <si>
    <t>2198605</t>
  </si>
  <si>
    <t>2198606</t>
  </si>
  <si>
    <t>2198607</t>
  </si>
  <si>
    <t>2025/MEI-654449/1</t>
  </si>
  <si>
    <t>2198608</t>
  </si>
  <si>
    <t>2198708</t>
  </si>
  <si>
    <t>2025/MEI-731113/15</t>
  </si>
  <si>
    <t>2198709</t>
  </si>
  <si>
    <t>2198710</t>
  </si>
  <si>
    <t>2198713</t>
  </si>
  <si>
    <t>2025/MEI-731113/39</t>
  </si>
  <si>
    <t>2201950</t>
  </si>
  <si>
    <t>2025/MEI-654449/3</t>
  </si>
  <si>
    <t>2201951</t>
  </si>
  <si>
    <t>2213752</t>
  </si>
  <si>
    <t>2025/MEI-731113/20</t>
  </si>
  <si>
    <t>2025-04-01</t>
  </si>
  <si>
    <t>2251492</t>
  </si>
  <si>
    <t>2025/MEI-394031/7</t>
  </si>
  <si>
    <t>2025-05-01</t>
  </si>
  <si>
    <t>394031</t>
  </si>
  <si>
    <t>12100</t>
  </si>
  <si>
    <t>2213753</t>
  </si>
  <si>
    <t>2251493</t>
  </si>
  <si>
    <t>2208797</t>
  </si>
  <si>
    <t>2025/MEI-654472/6</t>
  </si>
  <si>
    <t>2208798</t>
  </si>
  <si>
    <t>2198924</t>
  </si>
  <si>
    <t>2025/MEI-654427/4</t>
  </si>
  <si>
    <t>2198925</t>
  </si>
  <si>
    <t>2202455</t>
  </si>
  <si>
    <t>2025/MEI-731113/18</t>
  </si>
  <si>
    <t>2261303</t>
  </si>
  <si>
    <t>2025/MEI-394031/11</t>
  </si>
  <si>
    <t>2199410</t>
  </si>
  <si>
    <t>2025/MEI-654449/2</t>
  </si>
  <si>
    <t>2199411</t>
  </si>
  <si>
    <t>2221280</t>
  </si>
  <si>
    <t>2025/MEI-731113/25</t>
  </si>
  <si>
    <t>2221281</t>
  </si>
  <si>
    <t>2221406</t>
  </si>
  <si>
    <t>2025/MEI-731113/40</t>
  </si>
  <si>
    <t>2221569</t>
  </si>
  <si>
    <t>2025/MEI-731113/28</t>
  </si>
  <si>
    <t>001221</t>
  </si>
  <si>
    <t>2025-04-24</t>
  </si>
  <si>
    <t>ei mód - támog.összeg csökkenése miatt</t>
  </si>
  <si>
    <t>2221570</t>
  </si>
  <si>
    <t>2198140</t>
  </si>
  <si>
    <t>2025/EEI-654472/1</t>
  </si>
  <si>
    <t>94050</t>
  </si>
  <si>
    <t>2198213</t>
  </si>
  <si>
    <t>2025/EEI-394031/1</t>
  </si>
  <si>
    <t>2198141</t>
  </si>
  <si>
    <t>2198214</t>
  </si>
  <si>
    <t>2198142</t>
  </si>
  <si>
    <t>2198215</t>
  </si>
  <si>
    <t>2198143</t>
  </si>
  <si>
    <t>2198216</t>
  </si>
  <si>
    <t>2198144</t>
  </si>
  <si>
    <t>2198217</t>
  </si>
  <si>
    <t>2198145</t>
  </si>
  <si>
    <t>2198218</t>
  </si>
  <si>
    <t>2198146</t>
  </si>
  <si>
    <t>2198219</t>
  </si>
  <si>
    <t>2198147</t>
  </si>
  <si>
    <t>2198220</t>
  </si>
  <si>
    <t>2198148</t>
  </si>
  <si>
    <t>2198221</t>
  </si>
  <si>
    <t>2198149</t>
  </si>
  <si>
    <t>2198222</t>
  </si>
  <si>
    <t>92100</t>
  </si>
  <si>
    <t>2198150</t>
  </si>
  <si>
    <t>2198223</t>
  </si>
  <si>
    <t>2198151</t>
  </si>
  <si>
    <t>2198224</t>
  </si>
  <si>
    <t>2198152</t>
  </si>
  <si>
    <t>2198153</t>
  </si>
  <si>
    <t>2198154</t>
  </si>
  <si>
    <t>2198155</t>
  </si>
  <si>
    <t>2198156</t>
  </si>
  <si>
    <t>2198157</t>
  </si>
  <si>
    <t>2198158</t>
  </si>
  <si>
    <t>2198159</t>
  </si>
  <si>
    <t>2198160</t>
  </si>
  <si>
    <t>2198161</t>
  </si>
  <si>
    <t>2198194</t>
  </si>
  <si>
    <t>2198195</t>
  </si>
  <si>
    <t>2198196</t>
  </si>
  <si>
    <t>2198197</t>
  </si>
  <si>
    <t>2198198</t>
  </si>
  <si>
    <t>2198199</t>
  </si>
  <si>
    <t>2198200</t>
  </si>
  <si>
    <t>2198201</t>
  </si>
  <si>
    <t>2198202</t>
  </si>
  <si>
    <t>2198203</t>
  </si>
  <si>
    <t>2198204</t>
  </si>
  <si>
    <t>2198205</t>
  </si>
  <si>
    <t>2198206</t>
  </si>
  <si>
    <t>2198207</t>
  </si>
  <si>
    <t>2198208</t>
  </si>
  <si>
    <t>2242365</t>
  </si>
  <si>
    <t>2198209</t>
  </si>
  <si>
    <t>2198210</t>
  </si>
  <si>
    <t>2198211</t>
  </si>
  <si>
    <t>2198212</t>
  </si>
  <si>
    <t>2242407</t>
  </si>
  <si>
    <t>2242408</t>
  </si>
  <si>
    <t>2025/MEI-731113/41</t>
  </si>
  <si>
    <t>2242409</t>
  </si>
  <si>
    <t>2025/MEI-731113/42</t>
  </si>
  <si>
    <t>2242410</t>
  </si>
  <si>
    <t>2025/MEI-731113/43</t>
  </si>
  <si>
    <t>2242412</t>
  </si>
  <si>
    <t>2025/MEI-731113/44</t>
  </si>
  <si>
    <t>2025-04-30</t>
  </si>
  <si>
    <t>2242413</t>
  </si>
  <si>
    <t>2206193</t>
  </si>
  <si>
    <t>2217916</t>
  </si>
  <si>
    <t>2025/MEI-731113/21</t>
  </si>
  <si>
    <t>2217917</t>
  </si>
  <si>
    <t>2217918</t>
  </si>
  <si>
    <t>2025/MEI-731113/22</t>
  </si>
  <si>
    <t>2217919</t>
  </si>
  <si>
    <t>2217979</t>
  </si>
  <si>
    <t>2025/MEI-731113/23</t>
  </si>
  <si>
    <t>2217980</t>
  </si>
  <si>
    <t>2218980</t>
  </si>
  <si>
    <t>2025/MEI-654427/7</t>
  </si>
  <si>
    <t>2218981</t>
  </si>
  <si>
    <t>2219070</t>
  </si>
  <si>
    <t>2025/MEI-731113/24</t>
  </si>
  <si>
    <t>2219072</t>
  </si>
  <si>
    <t>módosított ei - Forrás - külterületi utak</t>
  </si>
  <si>
    <t>2219074</t>
  </si>
  <si>
    <t>2219071</t>
  </si>
  <si>
    <t>2219073</t>
  </si>
  <si>
    <t>2242810</t>
  </si>
  <si>
    <t>2025/MEI-654427/12</t>
  </si>
  <si>
    <t>2242811</t>
  </si>
  <si>
    <t>2242812</t>
  </si>
  <si>
    <t>2242813</t>
  </si>
  <si>
    <t>2242814</t>
  </si>
  <si>
    <t>2221797</t>
  </si>
  <si>
    <t>2025/MEI-654427/8</t>
  </si>
  <si>
    <t>2221798</t>
  </si>
  <si>
    <t>2254204</t>
  </si>
  <si>
    <t>2025/MEI-654427/14</t>
  </si>
  <si>
    <t>2254205</t>
  </si>
  <si>
    <t>2222504</t>
  </si>
  <si>
    <t>2025/MEI-654427/9</t>
  </si>
  <si>
    <t>2222505</t>
  </si>
  <si>
    <t>2222506</t>
  </si>
  <si>
    <t>2243365</t>
  </si>
  <si>
    <t>2025/MEI-654449/7</t>
  </si>
  <si>
    <t>2243366</t>
  </si>
  <si>
    <t>2243367</t>
  </si>
  <si>
    <t>2252190</t>
  </si>
  <si>
    <t>2025/MEI-654427/13</t>
  </si>
  <si>
    <t>2252191</t>
  </si>
  <si>
    <t>2252355</t>
  </si>
  <si>
    <t>2025/MEI-654449/8</t>
  </si>
  <si>
    <t>2252356</t>
  </si>
  <si>
    <t>2249040</t>
  </si>
  <si>
    <t>2025/MEI-394031/6</t>
  </si>
  <si>
    <t>2249041</t>
  </si>
  <si>
    <t>2261628</t>
  </si>
  <si>
    <t>2025/MEI-731113/60</t>
  </si>
  <si>
    <t>2025-06-24</t>
  </si>
  <si>
    <t>2261629</t>
  </si>
  <si>
    <t>2225985</t>
  </si>
  <si>
    <t>2025/MEI-654449/5</t>
  </si>
  <si>
    <t>2225986</t>
  </si>
  <si>
    <t>2225987</t>
  </si>
  <si>
    <t>2226456</t>
  </si>
  <si>
    <t>2025/MEI-731113/29</t>
  </si>
  <si>
    <t>2226457</t>
  </si>
  <si>
    <t>2226798</t>
  </si>
  <si>
    <t>2025/MEI-731113/30</t>
  </si>
  <si>
    <t>2226799</t>
  </si>
  <si>
    <t>2244344</t>
  </si>
  <si>
    <t>2025/MEI-654472/7</t>
  </si>
  <si>
    <t>2244352</t>
  </si>
  <si>
    <t>2025/MEI-731113/45</t>
  </si>
  <si>
    <t>2244345</t>
  </si>
  <si>
    <t>2244353</t>
  </si>
  <si>
    <t>2244354</t>
  </si>
  <si>
    <t>2244355</t>
  </si>
  <si>
    <t>2249059</t>
  </si>
  <si>
    <t>2025/MEI-731113/48</t>
  </si>
  <si>
    <t>2261103</t>
  </si>
  <si>
    <t>2025/MEI-654472/8</t>
  </si>
  <si>
    <t>2249060</t>
  </si>
  <si>
    <t>2261104</t>
  </si>
  <si>
    <t>2244535</t>
  </si>
  <si>
    <t>2025/MEI-731113/46</t>
  </si>
  <si>
    <t>2244540</t>
  </si>
  <si>
    <t>2255183</t>
  </si>
  <si>
    <t>2025/MEI-654427/15</t>
  </si>
  <si>
    <t>2255184</t>
  </si>
  <si>
    <t>2249237</t>
  </si>
  <si>
    <t>2025/MEI-731113/49</t>
  </si>
  <si>
    <t>2249246</t>
  </si>
  <si>
    <t>2025/MEI-731113/50</t>
  </si>
  <si>
    <t>zöldterület</t>
  </si>
  <si>
    <t>2249238</t>
  </si>
  <si>
    <t>2249247</t>
  </si>
  <si>
    <t>2249239</t>
  </si>
  <si>
    <t>2249248</t>
  </si>
  <si>
    <t>2249240</t>
  </si>
  <si>
    <t>2255399</t>
  </si>
  <si>
    <t>2025/MEI-731113/52</t>
  </si>
  <si>
    <t>2255400</t>
  </si>
  <si>
    <t>2255409</t>
  </si>
  <si>
    <t>2025/MEI-731113/53</t>
  </si>
  <si>
    <t>2255410</t>
  </si>
  <si>
    <t>2255436</t>
  </si>
  <si>
    <t>2025/MEI-394031/8</t>
  </si>
  <si>
    <t>2255437</t>
  </si>
  <si>
    <t>2255425</t>
  </si>
  <si>
    <t>2025/MEI-731113/54</t>
  </si>
  <si>
    <t>2025-05-31</t>
  </si>
  <si>
    <t>2255426</t>
  </si>
  <si>
    <t>2245062</t>
  </si>
  <si>
    <t>2025/MEI-731113/47</t>
  </si>
  <si>
    <t>2245063</t>
  </si>
  <si>
    <t>2261147</t>
  </si>
  <si>
    <t>2025/MEI-731113/59</t>
  </si>
  <si>
    <t>2261148</t>
  </si>
  <si>
    <t>2255918</t>
  </si>
  <si>
    <t>2025/MEI-654427/16</t>
  </si>
  <si>
    <t>2255917</t>
  </si>
  <si>
    <t>2232555</t>
  </si>
  <si>
    <t>2025/MEI-731113/31</t>
  </si>
  <si>
    <t>2232556</t>
  </si>
  <si>
    <t>2253059</t>
  </si>
  <si>
    <t>2025/MEI-654449/9</t>
  </si>
  <si>
    <t>2253061</t>
  </si>
  <si>
    <t>2234190</t>
  </si>
  <si>
    <t>2025/MEI-731113/32</t>
  </si>
  <si>
    <t>2234191</t>
  </si>
  <si>
    <t>2234938</t>
  </si>
  <si>
    <t>2025/MEI-654427/10</t>
  </si>
  <si>
    <t>2234941</t>
  </si>
  <si>
    <t>2235480</t>
  </si>
  <si>
    <t>2025/MEI-731113/33</t>
  </si>
  <si>
    <t>2025-03-31</t>
  </si>
  <si>
    <t>2235481</t>
  </si>
  <si>
    <t>2235482</t>
  </si>
  <si>
    <t>2235484</t>
  </si>
  <si>
    <t>2025/MEI-731113/34</t>
  </si>
  <si>
    <t>2025-04-17</t>
  </si>
  <si>
    <t>2235485</t>
  </si>
  <si>
    <t>2235709</t>
  </si>
  <si>
    <t>2025/MEI-654449/6</t>
  </si>
  <si>
    <t>2235711</t>
  </si>
  <si>
    <t>2235847</t>
  </si>
  <si>
    <t>2025/MEI-731113/35</t>
  </si>
  <si>
    <t>2235848</t>
  </si>
  <si>
    <t>2256902</t>
  </si>
  <si>
    <t>2025/MEI-731113/56</t>
  </si>
  <si>
    <t>2256903</t>
  </si>
  <si>
    <t>2256887</t>
  </si>
  <si>
    <t>2025/MEI-731113/55</t>
  </si>
  <si>
    <t>2256888</t>
  </si>
  <si>
    <t>2256889</t>
  </si>
  <si>
    <t>2256890</t>
  </si>
  <si>
    <t>2237070</t>
  </si>
  <si>
    <t>2025/MEI-654427/11</t>
  </si>
  <si>
    <t>2237071</t>
  </si>
  <si>
    <t>2257005</t>
  </si>
  <si>
    <t>2025/MEI-394031/9</t>
  </si>
  <si>
    <t>2257006</t>
  </si>
  <si>
    <t>2259269</t>
  </si>
  <si>
    <t>2025/MEI-654427/17</t>
  </si>
  <si>
    <t>2259270</t>
  </si>
  <si>
    <t>2259271</t>
  </si>
  <si>
    <t>2259272</t>
  </si>
  <si>
    <t>2269574</t>
  </si>
  <si>
    <t>2025/MEI-731113/71</t>
  </si>
  <si>
    <t>2269575</t>
  </si>
  <si>
    <t>2237923</t>
  </si>
  <si>
    <t>2237926</t>
  </si>
  <si>
    <t>2259737</t>
  </si>
  <si>
    <t>2025/MEI-654449/10</t>
  </si>
  <si>
    <t>2259738</t>
  </si>
  <si>
    <t>2259739</t>
  </si>
  <si>
    <t>2268799</t>
  </si>
  <si>
    <t>2025/MEI-731113/69</t>
  </si>
  <si>
    <t>2025-06-30</t>
  </si>
  <si>
    <t>2268800</t>
  </si>
  <si>
    <t>2260466</t>
  </si>
  <si>
    <t>2025/MEI-731113/57</t>
  </si>
  <si>
    <t>2260467</t>
  </si>
  <si>
    <t>2266853</t>
  </si>
  <si>
    <t>2241074</t>
  </si>
  <si>
    <t>2260808</t>
  </si>
  <si>
    <t>2025/MEI-731113/58</t>
  </si>
  <si>
    <t>2260809</t>
  </si>
  <si>
    <t>2279415</t>
  </si>
  <si>
    <t>2025/MEI-731113/81</t>
  </si>
  <si>
    <t>2279416</t>
  </si>
  <si>
    <t>Államháztartáson belüli megelőlegezések (közfoglalkoztatotti program)</t>
  </si>
  <si>
    <t>Működési célú támogatások államháztartáson belülről (önkormányzat működése hivatali működés utólagos korrekció, még nem a béremelés-szociális és egészségügyi pótlékok)</t>
  </si>
  <si>
    <t>Felhalmozási célú támogatások államháztartáson belülről (külterületi út-még nem történt meg az elszámolás, eddigi tudásunk alapján ennyi, vis maior árvíz)</t>
  </si>
  <si>
    <t>Működési célú átvett pénzeszköz DMRV pályázati elszámolás visszafizetés- továbbutaltuki, nem a miénk)</t>
  </si>
  <si>
    <t>Személyi juttatások (megbízási szerződéses zöldterület karbantartás, reprezentáció )</t>
  </si>
  <si>
    <t>Munkaadókat terhelő járulékok (ld előző sor)</t>
  </si>
  <si>
    <t>Dologi kiadások (több belső sorok közötti átcsoportosítás, dologi kiadások -térképmásolat, tul lap másolatok, telekalakítás, hasonló hatósági díjak</t>
  </si>
  <si>
    <t>Előző évi elszámolásból eredő visszafizetési kötelezettség</t>
  </si>
  <si>
    <t>Tartalék</t>
  </si>
  <si>
    <t>2/2025. (II.25.)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</si>
</sst>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6" formatCode="#,##0\ &quot;Ft&quot;;[Red]\-#,##0\ &quot;Ft&quot;"/>
    <numFmt numFmtId="164" formatCode="_-* #,##0.00\ _F_t_-;\-* #,##0.00\ _F_t_-;_-* &quot;-&quot;??\ _F_t_-;_-@_-"/>
    <numFmt numFmtId="165" formatCode="#,###"/>
    <numFmt numFmtId="166" formatCode="#,##0_ ;\-#,##0\ "/>
    <numFmt numFmtId="167" formatCode="#,##0\ &quot;Ft&quot;"/>
    <numFmt numFmtId="168" formatCode="\+#,##0\ &quot;Ft&quot;;\-#,##0\ &quot;Ft&quot;"/>
    <numFmt numFmtId="169" formatCode="[$-40E]yyyy/\ mmmm\ d\.;@"/>
    <numFmt numFmtId="170" formatCode="0&quot; db&quot;"/>
    <numFmt numFmtId="171" formatCode="0.00&quot; fő&quot;"/>
    <numFmt numFmtId="172" formatCode="\+#,##0;\-#,##0"/>
  </numFmts>
  <fonts count="64" x14ac:knownFonts="1">
    <font>
      <sz val="12"/>
      <color theme="1"/>
      <name val="Garamond"/>
      <family val="1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Garamond"/>
      <family val="1"/>
      <charset val="238"/>
    </font>
    <font>
      <b/>
      <sz val="10"/>
      <color theme="1"/>
      <name val="Garamond"/>
      <family val="1"/>
      <charset val="238"/>
    </font>
    <font>
      <b/>
      <sz val="12"/>
      <color theme="1"/>
      <name val="Garamond"/>
      <family val="1"/>
      <charset val="238"/>
    </font>
    <font>
      <b/>
      <sz val="10"/>
      <name val="Garamond"/>
      <family val="1"/>
      <charset val="238"/>
    </font>
    <font>
      <sz val="12"/>
      <name val="Times New Roman CE"/>
      <charset val="238"/>
    </font>
    <font>
      <sz val="12"/>
      <name val="Garamond"/>
      <family val="1"/>
      <charset val="238"/>
    </font>
    <font>
      <i/>
      <sz val="12"/>
      <name val="Garamond"/>
      <family val="1"/>
      <charset val="238"/>
    </font>
    <font>
      <b/>
      <sz val="12"/>
      <name val="Garamond"/>
      <family val="1"/>
      <charset val="238"/>
    </font>
    <font>
      <sz val="10"/>
      <name val="Garamond"/>
      <family val="1"/>
      <charset val="238"/>
    </font>
    <font>
      <sz val="10"/>
      <name val="Times New Roman CE"/>
      <charset val="238"/>
    </font>
    <font>
      <i/>
      <sz val="10"/>
      <name val="Garamond"/>
      <family val="1"/>
      <charset val="238"/>
    </font>
    <font>
      <b/>
      <i/>
      <sz val="10"/>
      <name val="Garamond"/>
      <family val="1"/>
      <charset val="238"/>
    </font>
    <font>
      <sz val="9"/>
      <name val="Garamond"/>
      <family val="1"/>
      <charset val="238"/>
    </font>
    <font>
      <b/>
      <sz val="8"/>
      <name val="Garamond"/>
      <family val="1"/>
      <charset val="238"/>
    </font>
    <font>
      <sz val="8"/>
      <name val="Garamond"/>
      <family val="1"/>
      <charset val="238"/>
    </font>
    <font>
      <sz val="11"/>
      <name val="Garamond"/>
      <family val="1"/>
      <charset val="238"/>
    </font>
    <font>
      <u/>
      <sz val="12"/>
      <color indexed="12"/>
      <name val="Times New Roman CE"/>
      <charset val="238"/>
    </font>
    <font>
      <u/>
      <sz val="12"/>
      <color indexed="36"/>
      <name val="Times New Roman CE"/>
      <charset val="238"/>
    </font>
    <font>
      <sz val="12"/>
      <color theme="1"/>
      <name val="Garamond"/>
      <family val="1"/>
      <charset val="238"/>
    </font>
    <font>
      <sz val="12"/>
      <color theme="1"/>
      <name val="Times New Roman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name val="Times New Roman"/>
      <family val="2"/>
      <charset val="238"/>
    </font>
    <font>
      <u/>
      <sz val="12"/>
      <color theme="10"/>
      <name val="Garamond"/>
      <family val="1"/>
      <charset val="238"/>
    </font>
    <font>
      <b/>
      <i/>
      <sz val="12"/>
      <name val="Garamond"/>
      <family val="1"/>
      <charset val="238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16"/>
      <color rgb="FF002060"/>
      <name val="Garamond"/>
      <family val="1"/>
      <charset val="238"/>
    </font>
    <font>
      <b/>
      <sz val="16"/>
      <color theme="4" tint="0.79998168889431442"/>
      <name val="Calibri"/>
      <family val="2"/>
      <charset val="238"/>
      <scheme val="minor"/>
    </font>
    <font>
      <b/>
      <sz val="12"/>
      <color rgb="FF000000"/>
      <name val="Garamond"/>
      <family val="1"/>
      <charset val="238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8"/>
      <color theme="4" tint="0.79998168889431442"/>
      <name val="Calibri"/>
      <family val="2"/>
      <charset val="238"/>
      <scheme val="minor"/>
    </font>
    <font>
      <b/>
      <sz val="28"/>
      <color theme="2" tint="-0.249977111117893"/>
      <name val="Calibri"/>
      <family val="2"/>
      <charset val="238"/>
      <scheme val="minor"/>
    </font>
    <font>
      <b/>
      <sz val="14"/>
      <color theme="2" tint="-0.249977111117893"/>
      <name val="Calibri"/>
      <family val="2"/>
      <charset val="238"/>
      <scheme val="minor"/>
    </font>
    <font>
      <b/>
      <sz val="11"/>
      <color theme="2" tint="-9.9978637043366805E-2"/>
      <name val="Calibri"/>
      <family val="2"/>
      <charset val="238"/>
      <scheme val="minor"/>
    </font>
    <font>
      <b/>
      <sz val="11"/>
      <color theme="0" tint="-4.9989318521683403E-2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6"/>
      <name val="Garamond"/>
      <family val="1"/>
      <charset val="238"/>
    </font>
    <font>
      <b/>
      <sz val="16"/>
      <color theme="0" tint="-4.9989318521683403E-2"/>
      <name val="Calibri"/>
      <family val="2"/>
      <charset val="238"/>
      <scheme val="minor"/>
    </font>
    <font>
      <i/>
      <sz val="18"/>
      <color theme="0" tint="-4.9989318521683403E-2"/>
      <name val="Calibri"/>
      <family val="2"/>
      <charset val="238"/>
      <scheme val="minor"/>
    </font>
    <font>
      <b/>
      <sz val="10"/>
      <color theme="3" tint="0.79998168889431442"/>
      <name val="Calibri"/>
      <family val="2"/>
      <charset val="238"/>
      <scheme val="minor"/>
    </font>
    <font>
      <u/>
      <sz val="20"/>
      <color theme="10"/>
      <name val="Calibri"/>
      <family val="2"/>
      <charset val="238"/>
      <scheme val="minor"/>
    </font>
    <font>
      <b/>
      <sz val="10"/>
      <color theme="3" tint="-0.499984740745262"/>
      <name val="Calibri"/>
      <family val="2"/>
      <charset val="238"/>
      <scheme val="minor"/>
    </font>
    <font>
      <sz val="10"/>
      <color rgb="FF000000"/>
      <name val="Garamond"/>
      <family val="1"/>
      <charset val="238"/>
    </font>
    <font>
      <b/>
      <sz val="10"/>
      <color theme="0" tint="-4.9989318521683403E-2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0" tint="-4.9989318521683403E-2"/>
      <name val="Calibri"/>
      <family val="2"/>
      <charset val="238"/>
      <scheme val="minor"/>
    </font>
    <font>
      <sz val="12"/>
      <color theme="0" tint="-4.9989318521683403E-2"/>
      <name val="Calibri"/>
      <family val="2"/>
      <scheme val="minor"/>
    </font>
    <font>
      <sz val="12"/>
      <color rgb="FF0070C0"/>
      <name val="Calibri"/>
      <family val="2"/>
      <charset val="238"/>
      <scheme val="minor"/>
    </font>
    <font>
      <b/>
      <sz val="12"/>
      <color theme="3" tint="0.79998168889431442"/>
      <name val="Calibri"/>
      <family val="2"/>
      <charset val="238"/>
      <scheme val="minor"/>
    </font>
    <font>
      <b/>
      <sz val="19"/>
      <color theme="0"/>
      <name val="Calibri"/>
      <family val="2"/>
      <charset val="238"/>
      <scheme val="minor"/>
    </font>
    <font>
      <b/>
      <sz val="19"/>
      <color theme="0" tint="-4.9989318521683403E-2"/>
      <name val="Calibri"/>
      <family val="2"/>
      <charset val="238"/>
      <scheme val="minor"/>
    </font>
    <font>
      <sz val="19"/>
      <color theme="1"/>
      <name val="Calibri"/>
      <family val="2"/>
      <charset val="238"/>
      <scheme val="minor"/>
    </font>
    <font>
      <b/>
      <sz val="10"/>
      <color theme="0" tint="-0.34998626667073579"/>
      <name val="Garamond"/>
      <family val="1"/>
      <charset val="238"/>
    </font>
    <font>
      <sz val="10"/>
      <color theme="0" tint="-0.34998626667073579"/>
      <name val="Garamond"/>
      <family val="1"/>
      <charset val="238"/>
    </font>
    <font>
      <sz val="12"/>
      <color theme="0" tint="-0.34998626667073579"/>
      <name val="Garamond"/>
      <family val="1"/>
      <charset val="238"/>
    </font>
    <font>
      <sz val="11"/>
      <color rgb="FF0070C0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4F7F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17">
    <xf numFmtId="0" fontId="0" fillId="0" borderId="0"/>
    <xf numFmtId="0" fontId="6" fillId="0" borderId="0"/>
    <xf numFmtId="0" fontId="11" fillId="0" borderId="0"/>
    <xf numFmtId="164" fontId="11" fillId="0" borderId="0" applyFont="0" applyFill="0" applyBorder="0" applyAlignment="0" applyProtection="0"/>
    <xf numFmtId="0" fontId="6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1" fillId="0" borderId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0" fontId="26" fillId="0" borderId="0"/>
    <xf numFmtId="0" fontId="7" fillId="0" borderId="0"/>
    <xf numFmtId="0" fontId="27" fillId="0" borderId="0"/>
  </cellStyleXfs>
  <cellXfs count="556">
    <xf numFmtId="0" fontId="0" fillId="0" borderId="0" xfId="0"/>
    <xf numFmtId="0" fontId="10" fillId="2" borderId="0" xfId="2" applyFont="1" applyFill="1" applyProtection="1">
      <protection locked="0"/>
    </xf>
    <xf numFmtId="0" fontId="5" fillId="2" borderId="0" xfId="2" applyFont="1" applyFill="1" applyProtection="1">
      <protection locked="0"/>
    </xf>
    <xf numFmtId="0" fontId="7" fillId="2" borderId="0" xfId="4" applyFont="1" applyFill="1" applyProtection="1">
      <protection locked="0"/>
    </xf>
    <xf numFmtId="0" fontId="10" fillId="2" borderId="0" xfId="4" applyFont="1" applyFill="1" applyProtection="1">
      <protection locked="0"/>
    </xf>
    <xf numFmtId="0" fontId="10" fillId="2" borderId="0" xfId="4" applyFont="1" applyFill="1" applyAlignment="1" applyProtection="1">
      <alignment vertical="center"/>
      <protection locked="0"/>
    </xf>
    <xf numFmtId="3" fontId="10" fillId="2" borderId="0" xfId="4" applyNumberFormat="1" applyFont="1" applyFill="1" applyAlignment="1" applyProtection="1">
      <alignment vertical="center"/>
      <protection locked="0"/>
    </xf>
    <xf numFmtId="165" fontId="10" fillId="2" borderId="1" xfId="2" applyNumberFormat="1" applyFont="1" applyFill="1" applyBorder="1" applyAlignment="1" applyProtection="1">
      <alignment vertical="center" wrapText="1"/>
      <protection locked="0"/>
    </xf>
    <xf numFmtId="3" fontId="10" fillId="2" borderId="1" xfId="4" applyNumberFormat="1" applyFont="1" applyFill="1" applyBorder="1" applyAlignment="1" applyProtection="1">
      <alignment horizontal="right" vertical="center"/>
      <protection locked="0"/>
    </xf>
    <xf numFmtId="0" fontId="10" fillId="2" borderId="0" xfId="2" applyFont="1" applyFill="1" applyAlignment="1" applyProtection="1">
      <alignment horizontal="center"/>
      <protection locked="0"/>
    </xf>
    <xf numFmtId="0" fontId="7" fillId="2" borderId="0" xfId="1" applyFont="1" applyFill="1" applyProtection="1">
      <protection locked="0"/>
    </xf>
    <xf numFmtId="0" fontId="7" fillId="2" borderId="0" xfId="1" applyFont="1" applyFill="1" applyAlignment="1" applyProtection="1">
      <alignment horizontal="right" vertical="center" indent="1"/>
      <protection locked="0"/>
    </xf>
    <xf numFmtId="0" fontId="9" fillId="2" borderId="0" xfId="1" applyFont="1" applyFill="1" applyAlignment="1" applyProtection="1">
      <alignment horizontal="center" vertical="center" wrapText="1"/>
      <protection locked="0"/>
    </xf>
    <xf numFmtId="0" fontId="10" fillId="2" borderId="0" xfId="1" applyFont="1" applyFill="1" applyProtection="1">
      <protection locked="0"/>
    </xf>
    <xf numFmtId="0" fontId="7" fillId="4" borderId="0" xfId="1" applyFont="1" applyFill="1" applyAlignment="1" applyProtection="1">
      <alignment vertical="center"/>
      <protection locked="0"/>
    </xf>
    <xf numFmtId="0" fontId="7" fillId="4" borderId="0" xfId="1" applyFont="1" applyFill="1" applyAlignment="1" applyProtection="1">
      <alignment horizontal="right" vertical="center"/>
      <protection locked="0"/>
    </xf>
    <xf numFmtId="0" fontId="9" fillId="4" borderId="0" xfId="1" applyFont="1" applyFill="1" applyAlignment="1" applyProtection="1">
      <alignment horizontal="center" vertical="center" wrapText="1"/>
      <protection locked="0"/>
    </xf>
    <xf numFmtId="0" fontId="10" fillId="4" borderId="0" xfId="1" applyFont="1" applyFill="1" applyAlignment="1" applyProtection="1">
      <alignment vertical="center"/>
      <protection locked="0"/>
    </xf>
    <xf numFmtId="0" fontId="10" fillId="2" borderId="0" xfId="1" applyFont="1" applyFill="1" applyAlignment="1" applyProtection="1">
      <alignment vertical="center"/>
      <protection locked="0"/>
    </xf>
    <xf numFmtId="0" fontId="5" fillId="2" borderId="0" xfId="1" applyFont="1" applyFill="1" applyAlignment="1" applyProtection="1">
      <alignment horizontal="center" vertical="center" wrapText="1"/>
      <protection locked="0"/>
    </xf>
    <xf numFmtId="3" fontId="10" fillId="4" borderId="0" xfId="1" applyNumberFormat="1" applyFont="1" applyFill="1" applyAlignment="1" applyProtection="1">
      <alignment vertical="center"/>
      <protection locked="0"/>
    </xf>
    <xf numFmtId="3" fontId="10" fillId="2" borderId="0" xfId="1" applyNumberFormat="1" applyFont="1" applyFill="1" applyAlignment="1" applyProtection="1">
      <alignment horizontal="right" vertical="center" indent="1"/>
      <protection locked="0"/>
    </xf>
    <xf numFmtId="165" fontId="10" fillId="2" borderId="0" xfId="2" applyNumberFormat="1" applyFont="1" applyFill="1" applyAlignment="1" applyProtection="1">
      <alignment vertical="center" wrapText="1"/>
      <protection locked="0"/>
    </xf>
    <xf numFmtId="165" fontId="10" fillId="2" borderId="0" xfId="2" applyNumberFormat="1" applyFont="1" applyFill="1" applyAlignment="1" applyProtection="1">
      <alignment horizontal="center" vertical="center" wrapText="1"/>
      <protection locked="0"/>
    </xf>
    <xf numFmtId="165" fontId="16" fillId="2" borderId="0" xfId="2" applyNumberFormat="1" applyFont="1" applyFill="1" applyAlignment="1" applyProtection="1">
      <alignment vertical="center" wrapText="1"/>
      <protection locked="0"/>
    </xf>
    <xf numFmtId="165" fontId="16" fillId="2" borderId="0" xfId="2" applyNumberFormat="1" applyFont="1" applyFill="1" applyAlignment="1" applyProtection="1">
      <alignment horizontal="center" vertical="center" wrapText="1"/>
      <protection locked="0"/>
    </xf>
    <xf numFmtId="165" fontId="13" fillId="2" borderId="0" xfId="2" applyNumberFormat="1" applyFont="1" applyFill="1" applyAlignment="1" applyProtection="1">
      <alignment horizontal="right" vertical="center"/>
      <protection locked="0"/>
    </xf>
    <xf numFmtId="165" fontId="5" fillId="2" borderId="0" xfId="2" applyNumberFormat="1" applyFont="1" applyFill="1" applyAlignment="1" applyProtection="1">
      <alignment horizontal="center" vertical="center" wrapText="1"/>
      <protection locked="0"/>
    </xf>
    <xf numFmtId="165" fontId="5" fillId="2" borderId="0" xfId="1" applyNumberFormat="1" applyFont="1" applyFill="1" applyAlignment="1" applyProtection="1">
      <alignment horizontal="centerContinuous" vertical="center"/>
      <protection locked="0"/>
    </xf>
    <xf numFmtId="0" fontId="13" fillId="2" borderId="0" xfId="2" applyFont="1" applyFill="1" applyProtection="1">
      <protection locked="0"/>
    </xf>
    <xf numFmtId="0" fontId="5" fillId="2" borderId="0" xfId="1" applyFont="1" applyFill="1" applyProtection="1">
      <protection locked="0"/>
    </xf>
    <xf numFmtId="0" fontId="17" fillId="2" borderId="0" xfId="1" applyFont="1" applyFill="1" applyProtection="1">
      <protection locked="0"/>
    </xf>
    <xf numFmtId="165" fontId="5" fillId="2" borderId="0" xfId="2" applyNumberFormat="1" applyFont="1" applyFill="1" applyAlignment="1" applyProtection="1">
      <alignment vertical="center" wrapText="1"/>
      <protection locked="0"/>
    </xf>
    <xf numFmtId="0" fontId="10" fillId="2" borderId="0" xfId="2" applyFont="1" applyFill="1" applyAlignment="1" applyProtection="1">
      <alignment vertical="center"/>
      <protection locked="0"/>
    </xf>
    <xf numFmtId="0" fontId="10" fillId="2" borderId="0" xfId="2" applyFont="1" applyFill="1" applyAlignment="1" applyProtection="1">
      <alignment horizontal="center" vertical="center" wrapText="1"/>
      <protection locked="0"/>
    </xf>
    <xf numFmtId="0" fontId="10" fillId="2" borderId="0" xfId="2" applyFont="1" applyFill="1" applyAlignment="1" applyProtection="1">
      <alignment vertical="center" wrapText="1"/>
      <protection locked="0"/>
    </xf>
    <xf numFmtId="0" fontId="10" fillId="2" borderId="0" xfId="2" applyFont="1" applyFill="1" applyAlignment="1" applyProtection="1">
      <alignment horizontal="right" vertical="center" wrapText="1"/>
      <protection locked="0"/>
    </xf>
    <xf numFmtId="165" fontId="7" fillId="2" borderId="0" xfId="2" applyNumberFormat="1" applyFont="1" applyFill="1" applyAlignment="1" applyProtection="1">
      <alignment vertical="center" wrapText="1"/>
      <protection locked="0"/>
    </xf>
    <xf numFmtId="0" fontId="9" fillId="2" borderId="0" xfId="2" applyFont="1" applyFill="1" applyAlignment="1" applyProtection="1">
      <alignment vertical="center"/>
      <protection locked="0"/>
    </xf>
    <xf numFmtId="0" fontId="13" fillId="2" borderId="0" xfId="2" applyFont="1" applyFill="1" applyAlignment="1" applyProtection="1">
      <alignment horizontal="right" vertical="center"/>
      <protection locked="0"/>
    </xf>
    <xf numFmtId="0" fontId="5" fillId="2" borderId="0" xfId="2" applyFont="1" applyFill="1" applyAlignment="1" applyProtection="1">
      <alignment vertical="center"/>
      <protection locked="0"/>
    </xf>
    <xf numFmtId="0" fontId="5" fillId="2" borderId="0" xfId="2" applyFont="1" applyFill="1" applyAlignment="1" applyProtection="1">
      <alignment horizontal="center" vertical="center" wrapText="1"/>
      <protection locked="0"/>
    </xf>
    <xf numFmtId="0" fontId="12" fillId="2" borderId="0" xfId="2" applyFont="1" applyFill="1" applyAlignment="1" applyProtection="1">
      <alignment vertical="center" wrapText="1"/>
      <protection locked="0"/>
    </xf>
    <xf numFmtId="16" fontId="10" fillId="2" borderId="0" xfId="2" applyNumberFormat="1" applyFont="1" applyFill="1" applyAlignment="1" applyProtection="1">
      <alignment vertical="center" wrapText="1"/>
      <protection locked="0"/>
    </xf>
    <xf numFmtId="0" fontId="10" fillId="2" borderId="0" xfId="2" applyFont="1" applyFill="1" applyAlignment="1" applyProtection="1">
      <alignment horizontal="left" vertical="center" wrapText="1"/>
      <protection locked="0"/>
    </xf>
    <xf numFmtId="0" fontId="13" fillId="2" borderId="0" xfId="2" applyFont="1" applyFill="1" applyAlignment="1" applyProtection="1">
      <alignment horizontal="center"/>
      <protection locked="0"/>
    </xf>
    <xf numFmtId="3" fontId="10" fillId="2" borderId="0" xfId="1" applyNumberFormat="1" applyFont="1" applyFill="1" applyProtection="1">
      <protection locked="0"/>
    </xf>
    <xf numFmtId="0" fontId="5" fillId="2" borderId="0" xfId="1" applyFont="1" applyFill="1" applyAlignment="1" applyProtection="1">
      <alignment vertical="center" wrapText="1"/>
      <protection locked="0"/>
    </xf>
    <xf numFmtId="3" fontId="7" fillId="2" borderId="0" xfId="1" applyNumberFormat="1" applyFont="1" applyFill="1" applyProtection="1">
      <protection locked="0"/>
    </xf>
    <xf numFmtId="165" fontId="5" fillId="2" borderId="0" xfId="2" applyNumberFormat="1" applyFont="1" applyFill="1" applyAlignment="1" applyProtection="1">
      <alignment vertical="center"/>
      <protection locked="0"/>
    </xf>
    <xf numFmtId="165" fontId="12" fillId="2" borderId="0" xfId="2" applyNumberFormat="1" applyFont="1" applyFill="1" applyAlignment="1" applyProtection="1">
      <alignment vertical="center" wrapText="1"/>
      <protection locked="0"/>
    </xf>
    <xf numFmtId="0" fontId="13" fillId="2" borderId="0" xfId="2" applyFont="1" applyFill="1" applyAlignment="1" applyProtection="1">
      <alignment horizontal="right"/>
      <protection locked="0"/>
    </xf>
    <xf numFmtId="3" fontId="10" fillId="2" borderId="0" xfId="4" applyNumberFormat="1" applyFont="1" applyFill="1" applyAlignment="1" applyProtection="1">
      <alignment horizontal="right" vertical="center"/>
      <protection locked="0"/>
    </xf>
    <xf numFmtId="0" fontId="9" fillId="2" borderId="0" xfId="2" applyFont="1" applyFill="1" applyAlignment="1" applyProtection="1">
      <alignment horizontal="center" vertical="center" wrapText="1"/>
      <protection locked="0"/>
    </xf>
    <xf numFmtId="0" fontId="12" fillId="2" borderId="0" xfId="2" applyFont="1" applyFill="1" applyAlignment="1" applyProtection="1">
      <alignment horizontal="center" textRotation="180"/>
      <protection locked="0"/>
    </xf>
    <xf numFmtId="3" fontId="10" fillId="2" borderId="0" xfId="2" applyNumberFormat="1" applyFont="1" applyFill="1" applyAlignment="1" applyProtection="1">
      <alignment vertical="center"/>
      <protection locked="0"/>
    </xf>
    <xf numFmtId="0" fontId="5" fillId="2" borderId="0" xfId="2" applyFont="1" applyFill="1" applyAlignment="1" applyProtection="1">
      <alignment vertical="center" wrapText="1"/>
      <protection locked="0"/>
    </xf>
    <xf numFmtId="3" fontId="10" fillId="2" borderId="0" xfId="2" applyNumberFormat="1" applyFont="1" applyFill="1" applyProtection="1">
      <protection locked="0"/>
    </xf>
    <xf numFmtId="0" fontId="5" fillId="2" borderId="0" xfId="1" applyFont="1" applyFill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7" fillId="2" borderId="0" xfId="1" applyFont="1" applyFill="1" applyAlignment="1" applyProtection="1">
      <alignment vertical="top"/>
      <protection locked="0"/>
    </xf>
    <xf numFmtId="0" fontId="10" fillId="2" borderId="0" xfId="1" applyFont="1" applyFill="1" applyAlignment="1" applyProtection="1">
      <alignment vertical="top"/>
      <protection locked="0"/>
    </xf>
    <xf numFmtId="0" fontId="10" fillId="2" borderId="3" xfId="1" applyFont="1" applyFill="1" applyBorder="1" applyAlignment="1" applyProtection="1">
      <alignment vertical="center"/>
      <protection locked="0"/>
    </xf>
    <xf numFmtId="0" fontId="10" fillId="2" borderId="3" xfId="1" applyFont="1" applyFill="1" applyBorder="1" applyAlignment="1" applyProtection="1">
      <alignment horizontal="center" vertical="center" wrapText="1"/>
      <protection locked="0"/>
    </xf>
    <xf numFmtId="0" fontId="10" fillId="2" borderId="3" xfId="1" applyFont="1" applyFill="1" applyBorder="1" applyAlignment="1" applyProtection="1">
      <alignment horizontal="center" vertical="center"/>
      <protection locked="0"/>
    </xf>
    <xf numFmtId="3" fontId="5" fillId="2" borderId="5" xfId="1" applyNumberFormat="1" applyFont="1" applyFill="1" applyBorder="1" applyAlignment="1" applyProtection="1">
      <alignment vertical="center"/>
      <protection locked="0"/>
    </xf>
    <xf numFmtId="3" fontId="5" fillId="2" borderId="6" xfId="1" applyNumberFormat="1" applyFont="1" applyFill="1" applyBorder="1" applyAlignment="1" applyProtection="1">
      <alignment vertical="center"/>
      <protection locked="0"/>
    </xf>
    <xf numFmtId="0" fontId="10" fillId="2" borderId="7" xfId="1" applyFont="1" applyFill="1" applyBorder="1" applyAlignment="1" applyProtection="1">
      <alignment vertical="top"/>
      <protection locked="0"/>
    </xf>
    <xf numFmtId="0" fontId="10" fillId="2" borderId="7" xfId="1" applyFont="1" applyFill="1" applyBorder="1" applyAlignment="1" applyProtection="1">
      <alignment horizontal="center" vertical="center"/>
      <protection locked="0"/>
    </xf>
    <xf numFmtId="0" fontId="5" fillId="2" borderId="7" xfId="1" applyFont="1" applyFill="1" applyBorder="1" applyAlignment="1" applyProtection="1">
      <alignment horizontal="center" vertical="center" wrapText="1"/>
      <protection hidden="1"/>
    </xf>
    <xf numFmtId="0" fontId="10" fillId="2" borderId="7" xfId="1" applyFont="1" applyFill="1" applyBorder="1" applyAlignment="1" applyProtection="1">
      <alignment horizontal="center" vertical="top"/>
      <protection locked="0"/>
    </xf>
    <xf numFmtId="3" fontId="5" fillId="2" borderId="7" xfId="1" applyNumberFormat="1" applyFont="1" applyFill="1" applyBorder="1" applyAlignment="1" applyProtection="1">
      <alignment vertical="center" wrapText="1"/>
      <protection hidden="1"/>
    </xf>
    <xf numFmtId="3" fontId="10" fillId="2" borderId="7" xfId="1" applyNumberFormat="1" applyFont="1" applyFill="1" applyBorder="1" applyAlignment="1" applyProtection="1">
      <alignment vertical="center" wrapText="1"/>
      <protection hidden="1"/>
    </xf>
    <xf numFmtId="3" fontId="5" fillId="2" borderId="7" xfId="2" applyNumberFormat="1" applyFont="1" applyFill="1" applyBorder="1" applyAlignment="1" applyProtection="1">
      <alignment vertical="center" wrapText="1"/>
      <protection hidden="1"/>
    </xf>
    <xf numFmtId="3" fontId="5" fillId="2" borderId="7" xfId="2" quotePrefix="1" applyNumberFormat="1" applyFont="1" applyFill="1" applyBorder="1" applyAlignment="1" applyProtection="1">
      <alignment vertical="center" wrapText="1"/>
      <protection hidden="1"/>
    </xf>
    <xf numFmtId="0" fontId="9" fillId="2" borderId="0" xfId="1" applyFont="1" applyFill="1" applyAlignment="1" applyProtection="1">
      <alignment horizontal="center" vertical="center"/>
      <protection locked="0"/>
    </xf>
    <xf numFmtId="165" fontId="10" fillId="2" borderId="7" xfId="1" applyNumberFormat="1" applyFont="1" applyFill="1" applyBorder="1" applyAlignment="1" applyProtection="1">
      <alignment horizontal="center" vertical="center"/>
      <protection locked="0"/>
    </xf>
    <xf numFmtId="0" fontId="10" fillId="2" borderId="7" xfId="2" applyFont="1" applyFill="1" applyBorder="1" applyAlignment="1" applyProtection="1">
      <alignment horizontal="center" vertical="center"/>
      <protection locked="0"/>
    </xf>
    <xf numFmtId="0" fontId="5" fillId="2" borderId="7" xfId="1" applyFont="1" applyFill="1" applyBorder="1" applyAlignment="1" applyProtection="1">
      <alignment horizontal="center" vertical="center" wrapText="1"/>
      <protection locked="0"/>
    </xf>
    <xf numFmtId="0" fontId="5" fillId="2" borderId="7" xfId="1" applyFont="1" applyFill="1" applyBorder="1" applyAlignment="1" applyProtection="1">
      <alignment horizontal="left" vertical="center" wrapText="1" indent="1"/>
      <protection locked="0"/>
    </xf>
    <xf numFmtId="3" fontId="5" fillId="2" borderId="7" xfId="1" applyNumberFormat="1" applyFont="1" applyFill="1" applyBorder="1" applyAlignment="1" applyProtection="1">
      <alignment vertical="center" wrapText="1"/>
      <protection locked="0"/>
    </xf>
    <xf numFmtId="49" fontId="10" fillId="2" borderId="7" xfId="1" applyNumberFormat="1" applyFont="1" applyFill="1" applyBorder="1" applyAlignment="1" applyProtection="1">
      <alignment horizontal="left" vertical="center" wrapText="1" indent="1"/>
      <protection locked="0"/>
    </xf>
    <xf numFmtId="0" fontId="10" fillId="2" borderId="7" xfId="2" applyFont="1" applyFill="1" applyBorder="1" applyAlignment="1" applyProtection="1">
      <alignment horizontal="left" wrapText="1" indent="1"/>
      <protection locked="0"/>
    </xf>
    <xf numFmtId="3" fontId="10" fillId="2" borderId="7" xfId="1" applyNumberFormat="1" applyFont="1" applyFill="1" applyBorder="1" applyAlignment="1" applyProtection="1">
      <alignment vertical="center" wrapText="1"/>
      <protection locked="0"/>
    </xf>
    <xf numFmtId="0" fontId="10" fillId="2" borderId="7" xfId="2" applyFont="1" applyFill="1" applyBorder="1" applyAlignment="1" applyProtection="1">
      <alignment horizontal="left" vertical="center" wrapText="1" indent="1"/>
      <protection locked="0"/>
    </xf>
    <xf numFmtId="0" fontId="5" fillId="2" borderId="7" xfId="2" applyFont="1" applyFill="1" applyBorder="1" applyAlignment="1" applyProtection="1">
      <alignment horizontal="left" vertical="center" wrapText="1" indent="1"/>
      <protection locked="0"/>
    </xf>
    <xf numFmtId="0" fontId="5" fillId="2" borderId="7" xfId="1" applyFont="1" applyFill="1" applyBorder="1" applyAlignment="1" applyProtection="1">
      <alignment horizontal="left" vertical="center" wrapText="1"/>
      <protection locked="0"/>
    </xf>
    <xf numFmtId="0" fontId="5" fillId="2" borderId="7" xfId="2" applyFont="1" applyFill="1" applyBorder="1" applyAlignment="1" applyProtection="1">
      <alignment vertical="center" wrapText="1"/>
      <protection locked="0"/>
    </xf>
    <xf numFmtId="0" fontId="10" fillId="2" borderId="7" xfId="2" applyFont="1" applyFill="1" applyBorder="1" applyAlignment="1" applyProtection="1">
      <alignment vertical="center" wrapText="1"/>
      <protection locked="0"/>
    </xf>
    <xf numFmtId="0" fontId="10" fillId="2" borderId="7" xfId="2" applyFont="1" applyFill="1" applyBorder="1" applyAlignment="1" applyProtection="1">
      <alignment wrapText="1"/>
      <protection locked="0"/>
    </xf>
    <xf numFmtId="0" fontId="5" fillId="2" borderId="7" xfId="2" applyFont="1" applyFill="1" applyBorder="1" applyAlignment="1" applyProtection="1">
      <alignment wrapText="1"/>
      <protection locked="0"/>
    </xf>
    <xf numFmtId="165" fontId="5" fillId="2" borderId="0" xfId="1" applyNumberFormat="1" applyFont="1" applyFill="1" applyAlignment="1" applyProtection="1">
      <alignment horizontal="right" vertical="center" wrapText="1" indent="1"/>
      <protection locked="0"/>
    </xf>
    <xf numFmtId="0" fontId="5" fillId="2" borderId="7" xfId="1" applyFont="1" applyFill="1" applyBorder="1" applyAlignment="1" applyProtection="1">
      <alignment vertical="center" wrapText="1"/>
      <protection locked="0"/>
    </xf>
    <xf numFmtId="0" fontId="10" fillId="2" borderId="7" xfId="1" applyFont="1" applyFill="1" applyBorder="1" applyAlignment="1" applyProtection="1">
      <alignment horizontal="left" vertical="center" wrapText="1" indent="1"/>
      <protection locked="0"/>
    </xf>
    <xf numFmtId="0" fontId="10" fillId="2" borderId="7" xfId="1" applyFont="1" applyFill="1" applyBorder="1" applyAlignment="1" applyProtection="1">
      <alignment horizontal="left" vertical="center" wrapText="1" indent="7"/>
      <protection locked="0"/>
    </xf>
    <xf numFmtId="3" fontId="5" fillId="2" borderId="7" xfId="2" applyNumberFormat="1" applyFont="1" applyFill="1" applyBorder="1" applyAlignment="1" applyProtection="1">
      <alignment vertical="center" wrapText="1"/>
      <protection locked="0"/>
    </xf>
    <xf numFmtId="3" fontId="5" fillId="2" borderId="3" xfId="1" applyNumberFormat="1" applyFont="1" applyFill="1" applyBorder="1" applyAlignment="1" applyProtection="1">
      <alignment horizontal="right" vertical="center"/>
      <protection hidden="1"/>
    </xf>
    <xf numFmtId="3" fontId="5" fillId="2" borderId="4" xfId="1" applyNumberFormat="1" applyFont="1" applyFill="1" applyBorder="1" applyAlignment="1" applyProtection="1">
      <alignment vertical="center"/>
      <protection hidden="1"/>
    </xf>
    <xf numFmtId="3" fontId="10" fillId="2" borderId="3" xfId="1" applyNumberFormat="1" applyFont="1" applyFill="1" applyBorder="1" applyAlignment="1" applyProtection="1">
      <alignment horizontal="right" vertical="center"/>
      <protection hidden="1"/>
    </xf>
    <xf numFmtId="3" fontId="5" fillId="2" borderId="5" xfId="1" applyNumberFormat="1" applyFont="1" applyFill="1" applyBorder="1" applyAlignment="1" applyProtection="1">
      <alignment vertical="center"/>
      <protection hidden="1"/>
    </xf>
    <xf numFmtId="3" fontId="5" fillId="2" borderId="6" xfId="1" applyNumberFormat="1" applyFont="1" applyFill="1" applyBorder="1" applyAlignment="1" applyProtection="1">
      <alignment vertical="center"/>
      <protection hidden="1"/>
    </xf>
    <xf numFmtId="0" fontId="9" fillId="2" borderId="0" xfId="1" applyFont="1" applyFill="1" applyAlignment="1" applyProtection="1">
      <alignment vertical="center" wrapText="1"/>
      <protection locked="0"/>
    </xf>
    <xf numFmtId="0" fontId="25" fillId="2" borderId="0" xfId="2" applyFont="1" applyFill="1" applyAlignment="1" applyProtection="1">
      <alignment horizontal="right"/>
      <protection locked="0"/>
    </xf>
    <xf numFmtId="0" fontId="10" fillId="2" borderId="7" xfId="2" applyFont="1" applyFill="1" applyBorder="1" applyAlignment="1" applyProtection="1">
      <alignment horizontal="center"/>
      <protection locked="0"/>
    </xf>
    <xf numFmtId="0" fontId="10" fillId="2" borderId="7" xfId="1" applyFont="1" applyFill="1" applyBorder="1" applyAlignment="1" applyProtection="1">
      <alignment horizontal="center"/>
      <protection locked="0"/>
    </xf>
    <xf numFmtId="0" fontId="10" fillId="2" borderId="7" xfId="1" applyFont="1" applyFill="1" applyBorder="1" applyProtection="1">
      <protection locked="0"/>
    </xf>
    <xf numFmtId="0" fontId="11" fillId="2" borderId="0" xfId="2" applyFill="1" applyProtection="1">
      <protection locked="0"/>
    </xf>
    <xf numFmtId="165" fontId="5" fillId="2" borderId="7" xfId="2" applyNumberFormat="1" applyFont="1" applyFill="1" applyBorder="1" applyAlignment="1" applyProtection="1">
      <alignment horizontal="center" vertical="center" wrapText="1"/>
      <protection locked="0"/>
    </xf>
    <xf numFmtId="165" fontId="10" fillId="2" borderId="7" xfId="2" applyNumberFormat="1" applyFont="1" applyFill="1" applyBorder="1" applyAlignment="1" applyProtection="1">
      <alignment horizontal="center" vertical="center" wrapText="1"/>
      <protection locked="0"/>
    </xf>
    <xf numFmtId="165" fontId="10" fillId="2" borderId="7" xfId="2" applyNumberFormat="1" applyFont="1" applyFill="1" applyBorder="1" applyAlignment="1" applyProtection="1">
      <alignment horizontal="left" vertical="center" wrapText="1" indent="1"/>
      <protection locked="0"/>
    </xf>
    <xf numFmtId="3" fontId="10" fillId="2" borderId="7" xfId="2" applyNumberFormat="1" applyFont="1" applyFill="1" applyBorder="1" applyAlignment="1" applyProtection="1">
      <alignment vertical="center" wrapText="1"/>
      <protection locked="0"/>
    </xf>
    <xf numFmtId="165" fontId="5" fillId="2" borderId="7" xfId="2" applyNumberFormat="1" applyFont="1" applyFill="1" applyBorder="1" applyAlignment="1" applyProtection="1">
      <alignment horizontal="left" vertical="center" wrapText="1" indent="1"/>
      <protection locked="0"/>
    </xf>
    <xf numFmtId="165" fontId="10" fillId="2" borderId="7" xfId="2" applyNumberFormat="1" applyFont="1" applyFill="1" applyBorder="1" applyAlignment="1" applyProtection="1">
      <alignment vertical="center" wrapText="1"/>
      <protection locked="0"/>
    </xf>
    <xf numFmtId="165" fontId="5" fillId="2" borderId="7" xfId="2" applyNumberFormat="1" applyFont="1" applyFill="1" applyBorder="1" applyAlignment="1" applyProtection="1">
      <alignment vertical="center" wrapText="1"/>
      <protection locked="0"/>
    </xf>
    <xf numFmtId="165" fontId="10" fillId="2" borderId="7" xfId="2" applyNumberFormat="1" applyFont="1" applyFill="1" applyBorder="1" applyAlignment="1" applyProtection="1">
      <alignment horizontal="center" vertical="center"/>
      <protection locked="0"/>
    </xf>
    <xf numFmtId="165" fontId="10" fillId="2" borderId="7" xfId="2" applyNumberFormat="1" applyFont="1" applyFill="1" applyBorder="1" applyAlignment="1" applyProtection="1">
      <alignment horizontal="left" vertical="center" wrapText="1"/>
      <protection locked="0"/>
    </xf>
    <xf numFmtId="0" fontId="5" fillId="4" borderId="0" xfId="1" applyFont="1" applyFill="1" applyAlignment="1" applyProtection="1">
      <alignment horizontal="center" vertical="center" wrapText="1"/>
      <protection locked="0"/>
    </xf>
    <xf numFmtId="0" fontId="6" fillId="2" borderId="0" xfId="2" applyFont="1" applyFill="1" applyProtection="1">
      <protection locked="0"/>
    </xf>
    <xf numFmtId="165" fontId="7" fillId="2" borderId="0" xfId="2" applyNumberFormat="1" applyFont="1" applyFill="1" applyAlignment="1" applyProtection="1">
      <alignment horizontal="center" vertical="center" wrapText="1"/>
      <protection locked="0"/>
    </xf>
    <xf numFmtId="165" fontId="25" fillId="2" borderId="0" xfId="2" applyNumberFormat="1" applyFont="1" applyFill="1" applyAlignment="1" applyProtection="1">
      <alignment horizontal="right" vertical="center"/>
      <protection locked="0"/>
    </xf>
    <xf numFmtId="3" fontId="5" fillId="2" borderId="7" xfId="2" applyNumberFormat="1" applyFont="1" applyFill="1" applyBorder="1" applyAlignment="1" applyProtection="1">
      <alignment horizontal="right" vertical="center" wrapText="1"/>
      <protection locked="0"/>
    </xf>
    <xf numFmtId="3" fontId="5" fillId="2" borderId="7" xfId="2" applyNumberFormat="1" applyFont="1" applyFill="1" applyBorder="1" applyAlignment="1" applyProtection="1">
      <alignment horizontal="right" vertical="center" wrapText="1"/>
      <protection hidden="1"/>
    </xf>
    <xf numFmtId="0" fontId="10" fillId="2" borderId="7" xfId="1" applyFont="1" applyFill="1" applyBorder="1" applyAlignment="1" applyProtection="1">
      <alignment vertical="center"/>
      <protection locked="0"/>
    </xf>
    <xf numFmtId="166" fontId="10" fillId="2" borderId="7" xfId="3" applyNumberFormat="1" applyFont="1" applyFill="1" applyBorder="1" applyAlignment="1" applyProtection="1">
      <alignment horizontal="right" vertical="center"/>
      <protection locked="0"/>
    </xf>
    <xf numFmtId="0" fontId="5" fillId="2" borderId="7" xfId="1" applyFont="1" applyFill="1" applyBorder="1" applyAlignment="1" applyProtection="1">
      <alignment vertical="center"/>
      <protection locked="0"/>
    </xf>
    <xf numFmtId="166" fontId="5" fillId="2" borderId="7" xfId="1" applyNumberFormat="1" applyFont="1" applyFill="1" applyBorder="1" applyAlignment="1" applyProtection="1">
      <alignment horizontal="right" vertical="center"/>
      <protection locked="0"/>
    </xf>
    <xf numFmtId="0" fontId="10" fillId="2" borderId="7" xfId="1" applyFont="1" applyFill="1" applyBorder="1" applyAlignment="1" applyProtection="1">
      <alignment horizontal="center" vertical="center" wrapText="1"/>
      <protection locked="0"/>
    </xf>
    <xf numFmtId="0" fontId="8" fillId="2" borderId="0" xfId="1" applyFont="1" applyFill="1" applyAlignment="1" applyProtection="1">
      <alignment horizontal="center"/>
      <protection locked="0"/>
    </xf>
    <xf numFmtId="165" fontId="9" fillId="2" borderId="0" xfId="1" applyNumberFormat="1" applyFont="1" applyFill="1" applyAlignment="1" applyProtection="1">
      <alignment horizontal="centerContinuous" vertical="center"/>
      <protection locked="0"/>
    </xf>
    <xf numFmtId="0" fontId="25" fillId="2" borderId="0" xfId="2" applyFont="1" applyFill="1" applyProtection="1">
      <protection locked="0"/>
    </xf>
    <xf numFmtId="0" fontId="10" fillId="2" borderId="7" xfId="2" applyFont="1" applyFill="1" applyBorder="1" applyAlignment="1" applyProtection="1">
      <alignment horizontal="justify" vertical="center" wrapText="1"/>
      <protection locked="0"/>
    </xf>
    <xf numFmtId="3" fontId="10" fillId="2" borderId="7" xfId="3" applyNumberFormat="1" applyFont="1" applyFill="1" applyBorder="1" applyAlignment="1" applyProtection="1">
      <alignment horizontal="right" vertical="center"/>
      <protection locked="0"/>
    </xf>
    <xf numFmtId="166" fontId="5" fillId="2" borderId="7" xfId="3" applyNumberFormat="1" applyFont="1" applyFill="1" applyBorder="1" applyAlignment="1" applyProtection="1">
      <alignment horizontal="right" vertical="center"/>
      <protection locked="0"/>
    </xf>
    <xf numFmtId="3" fontId="10" fillId="2" borderId="7" xfId="2" applyNumberFormat="1" applyFont="1" applyFill="1" applyBorder="1" applyAlignment="1" applyProtection="1">
      <alignment horizontal="center" vertical="center" wrapText="1"/>
      <protection locked="0"/>
    </xf>
    <xf numFmtId="165" fontId="5" fillId="2" borderId="7" xfId="2" applyNumberFormat="1" applyFont="1" applyFill="1" applyBorder="1" applyAlignment="1" applyProtection="1">
      <alignment horizontal="left" vertical="center" wrapText="1"/>
      <protection locked="0"/>
    </xf>
    <xf numFmtId="165" fontId="10" fillId="2" borderId="7" xfId="2" applyNumberFormat="1" applyFont="1" applyFill="1" applyBorder="1" applyAlignment="1" applyProtection="1">
      <alignment horizontal="center" wrapText="1"/>
      <protection locked="0"/>
    </xf>
    <xf numFmtId="165" fontId="5" fillId="2" borderId="1" xfId="2" applyNumberFormat="1" applyFont="1" applyFill="1" applyBorder="1" applyAlignment="1" applyProtection="1">
      <alignment vertical="center" wrapText="1"/>
      <protection locked="0"/>
    </xf>
    <xf numFmtId="165" fontId="8" fillId="2" borderId="0" xfId="2" applyNumberFormat="1" applyFont="1" applyFill="1" applyAlignment="1" applyProtection="1">
      <alignment horizontal="center" vertical="center" wrapText="1"/>
      <protection locked="0"/>
    </xf>
    <xf numFmtId="0" fontId="7" fillId="2" borderId="0" xfId="2" applyFont="1" applyFill="1" applyAlignment="1" applyProtection="1">
      <alignment vertical="center"/>
      <protection locked="0"/>
    </xf>
    <xf numFmtId="0" fontId="7" fillId="2" borderId="0" xfId="2" applyFont="1" applyFill="1" applyProtection="1">
      <protection locked="0"/>
    </xf>
    <xf numFmtId="0" fontId="25" fillId="2" borderId="0" xfId="2" applyFont="1" applyFill="1" applyAlignment="1" applyProtection="1">
      <alignment horizontal="right" vertical="center"/>
      <protection locked="0"/>
    </xf>
    <xf numFmtId="0" fontId="10" fillId="2" borderId="7" xfId="2" applyFont="1" applyFill="1" applyBorder="1" applyAlignment="1" applyProtection="1">
      <alignment vertical="center"/>
      <protection locked="0"/>
    </xf>
    <xf numFmtId="0" fontId="5" fillId="2" borderId="7" xfId="2" applyFont="1" applyFill="1" applyBorder="1" applyAlignment="1" applyProtection="1">
      <alignment vertical="center"/>
      <protection locked="0"/>
    </xf>
    <xf numFmtId="0" fontId="5" fillId="2" borderId="7" xfId="2" applyFont="1" applyFill="1" applyBorder="1" applyAlignment="1" applyProtection="1">
      <alignment horizontal="center" vertical="center"/>
      <protection locked="0"/>
    </xf>
    <xf numFmtId="3" fontId="10" fillId="2" borderId="7" xfId="2" applyNumberFormat="1" applyFont="1" applyFill="1" applyBorder="1" applyAlignment="1" applyProtection="1">
      <alignment vertical="center"/>
      <protection locked="0"/>
    </xf>
    <xf numFmtId="3" fontId="12" fillId="2" borderId="7" xfId="2" quotePrefix="1" applyNumberFormat="1" applyFont="1" applyFill="1" applyBorder="1" applyAlignment="1" applyProtection="1">
      <alignment horizontal="left" vertical="center"/>
      <protection locked="0"/>
    </xf>
    <xf numFmtId="3" fontId="12" fillId="2" borderId="7" xfId="2" applyNumberFormat="1" applyFont="1" applyFill="1" applyBorder="1" applyAlignment="1" applyProtection="1">
      <alignment vertical="center"/>
      <protection locked="0"/>
    </xf>
    <xf numFmtId="49" fontId="5" fillId="2" borderId="7" xfId="2" applyNumberFormat="1" applyFont="1" applyFill="1" applyBorder="1" applyAlignment="1" applyProtection="1">
      <alignment vertical="center"/>
      <protection locked="0"/>
    </xf>
    <xf numFmtId="3" fontId="5" fillId="2" borderId="7" xfId="2" applyNumberFormat="1" applyFont="1" applyFill="1" applyBorder="1" applyAlignment="1" applyProtection="1">
      <alignment vertical="center"/>
      <protection locked="0"/>
    </xf>
    <xf numFmtId="49" fontId="5" fillId="2" borderId="8" xfId="2" applyNumberFormat="1" applyFont="1" applyFill="1" applyBorder="1" applyAlignment="1" applyProtection="1">
      <alignment vertical="center"/>
      <protection locked="0"/>
    </xf>
    <xf numFmtId="3" fontId="5" fillId="2" borderId="8" xfId="2" applyNumberFormat="1" applyFont="1" applyFill="1" applyBorder="1" applyAlignment="1" applyProtection="1">
      <alignment vertical="center"/>
      <protection locked="0"/>
    </xf>
    <xf numFmtId="49" fontId="10" fillId="2" borderId="7" xfId="2" applyNumberFormat="1" applyFont="1" applyFill="1" applyBorder="1" applyAlignment="1" applyProtection="1">
      <alignment vertical="center"/>
      <protection locked="0"/>
    </xf>
    <xf numFmtId="49" fontId="10" fillId="2" borderId="7" xfId="2" applyNumberFormat="1" applyFont="1" applyFill="1" applyBorder="1" applyAlignment="1" applyProtection="1">
      <alignment horizontal="left" vertical="center"/>
      <protection locked="0"/>
    </xf>
    <xf numFmtId="0" fontId="10" fillId="2" borderId="0" xfId="2" applyFont="1" applyFill="1" applyAlignment="1" applyProtection="1">
      <alignment horizontal="right" vertical="center"/>
      <protection locked="0"/>
    </xf>
    <xf numFmtId="0" fontId="5" fillId="2" borderId="7" xfId="2" applyFont="1" applyFill="1" applyBorder="1" applyAlignment="1" applyProtection="1">
      <alignment horizontal="center" vertical="center" wrapText="1"/>
      <protection locked="0"/>
    </xf>
    <xf numFmtId="0" fontId="9" fillId="2" borderId="0" xfId="2" applyFont="1" applyFill="1" applyProtection="1">
      <protection locked="0"/>
    </xf>
    <xf numFmtId="0" fontId="9" fillId="2" borderId="0" xfId="2" applyFont="1" applyFill="1" applyAlignment="1" applyProtection="1">
      <alignment horizontal="center" vertical="center"/>
      <protection locked="0"/>
    </xf>
    <xf numFmtId="49" fontId="10" fillId="2" borderId="7" xfId="1" applyNumberFormat="1" applyFont="1" applyFill="1" applyBorder="1" applyAlignment="1" applyProtection="1">
      <alignment horizontal="center" vertical="center" wrapText="1"/>
      <protection locked="0"/>
    </xf>
    <xf numFmtId="0" fontId="10" fillId="2" borderId="7" xfId="2" applyFont="1" applyFill="1" applyBorder="1" applyAlignment="1" applyProtection="1">
      <alignment horizontal="left" vertical="center" wrapText="1"/>
      <protection locked="0"/>
    </xf>
    <xf numFmtId="0" fontId="5" fillId="2" borderId="7" xfId="2" applyFont="1" applyFill="1" applyBorder="1" applyAlignment="1" applyProtection="1">
      <alignment horizontal="left" vertical="center" wrapText="1"/>
      <protection locked="0"/>
    </xf>
    <xf numFmtId="0" fontId="10" fillId="2" borderId="7" xfId="2" applyFont="1" applyFill="1" applyBorder="1" applyAlignment="1" applyProtection="1">
      <alignment horizontal="center" vertical="center" wrapText="1"/>
      <protection locked="0"/>
    </xf>
    <xf numFmtId="0" fontId="10" fillId="2" borderId="7" xfId="1" applyFont="1" applyFill="1" applyBorder="1" applyAlignment="1" applyProtection="1">
      <alignment horizontal="left" vertical="center" wrapText="1"/>
      <protection locked="0"/>
    </xf>
    <xf numFmtId="49" fontId="5" fillId="2" borderId="7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7" xfId="2" applyFont="1" applyFill="1" applyBorder="1" applyAlignment="1" applyProtection="1">
      <alignment horizontal="center" vertical="center" wrapText="1"/>
      <protection hidden="1"/>
    </xf>
    <xf numFmtId="49" fontId="10" fillId="2" borderId="7" xfId="2" applyNumberFormat="1" applyFont="1" applyFill="1" applyBorder="1" applyAlignment="1" applyProtection="1">
      <alignment horizontal="center" vertical="center" wrapText="1"/>
      <protection locked="0"/>
    </xf>
    <xf numFmtId="3" fontId="10" fillId="2" borderId="7" xfId="2" applyNumberFormat="1" applyFont="1" applyFill="1" applyBorder="1" applyAlignment="1" applyProtection="1">
      <alignment horizontal="right" vertical="center" wrapText="1"/>
      <protection locked="0"/>
    </xf>
    <xf numFmtId="3" fontId="10" fillId="2" borderId="7" xfId="2" applyNumberFormat="1" applyFont="1" applyFill="1" applyBorder="1" applyAlignment="1" applyProtection="1">
      <alignment horizontal="right" vertical="center" wrapText="1"/>
      <protection hidden="1"/>
    </xf>
    <xf numFmtId="0" fontId="10" fillId="2" borderId="0" xfId="2" applyFont="1" applyFill="1" applyAlignment="1" applyProtection="1">
      <alignment horizontal="center" vertical="center"/>
      <protection locked="0"/>
    </xf>
    <xf numFmtId="3" fontId="5" fillId="2" borderId="7" xfId="2" quotePrefix="1" applyNumberFormat="1" applyFont="1" applyFill="1" applyBorder="1" applyAlignment="1" applyProtection="1">
      <alignment vertical="center" wrapText="1"/>
      <protection locked="0"/>
    </xf>
    <xf numFmtId="165" fontId="25" fillId="2" borderId="0" xfId="2" applyNumberFormat="1" applyFont="1" applyFill="1" applyAlignment="1" applyProtection="1">
      <alignment horizontal="right"/>
      <protection locked="0"/>
    </xf>
    <xf numFmtId="165" fontId="10" fillId="2" borderId="7" xfId="2" applyNumberFormat="1" applyFont="1" applyFill="1" applyBorder="1" applyAlignment="1" applyProtection="1">
      <alignment horizontal="center"/>
      <protection locked="0"/>
    </xf>
    <xf numFmtId="0" fontId="7" fillId="2" borderId="0" xfId="2" applyFont="1" applyFill="1" applyAlignment="1" applyProtection="1">
      <alignment vertical="center" wrapText="1"/>
      <protection locked="0"/>
    </xf>
    <xf numFmtId="165" fontId="8" fillId="2" borderId="0" xfId="2" applyNumberFormat="1" applyFont="1" applyFill="1" applyAlignment="1" applyProtection="1">
      <alignment vertical="center" wrapText="1"/>
      <protection locked="0"/>
    </xf>
    <xf numFmtId="0" fontId="9" fillId="2" borderId="0" xfId="2" applyFont="1" applyFill="1" applyAlignment="1" applyProtection="1">
      <alignment horizontal="center" wrapText="1"/>
      <protection locked="0"/>
    </xf>
    <xf numFmtId="3" fontId="10" fillId="2" borderId="7" xfId="2" applyNumberFormat="1" applyFont="1" applyFill="1" applyBorder="1" applyAlignment="1" applyProtection="1">
      <alignment horizontal="right" vertical="center" wrapText="1" indent="1"/>
      <protection locked="0"/>
    </xf>
    <xf numFmtId="0" fontId="10" fillId="2" borderId="7" xfId="2" applyFont="1" applyFill="1" applyBorder="1" applyAlignment="1" applyProtection="1">
      <alignment horizontal="left" vertical="center" wrapText="1" indent="8"/>
      <protection locked="0"/>
    </xf>
    <xf numFmtId="0" fontId="10" fillId="2" borderId="7" xfId="2" applyFont="1" applyFill="1" applyBorder="1" applyAlignment="1" applyProtection="1">
      <alignment horizontal="center" wrapText="1"/>
      <protection locked="0"/>
    </xf>
    <xf numFmtId="49" fontId="5" fillId="2" borderId="7" xfId="2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4" applyFont="1" applyFill="1" applyBorder="1" applyAlignment="1" applyProtection="1">
      <alignment horizontal="center" vertical="center"/>
      <protection locked="0"/>
    </xf>
    <xf numFmtId="3" fontId="5" fillId="2" borderId="1" xfId="4" applyNumberFormat="1" applyFont="1" applyFill="1" applyBorder="1" applyAlignment="1" applyProtection="1">
      <alignment horizontal="right" vertical="center"/>
      <protection locked="0"/>
    </xf>
    <xf numFmtId="0" fontId="5" fillId="2" borderId="0" xfId="4" applyFont="1" applyFill="1" applyAlignment="1" applyProtection="1">
      <alignment vertical="center"/>
      <protection locked="0"/>
    </xf>
    <xf numFmtId="0" fontId="10" fillId="2" borderId="7" xfId="4" applyFont="1" applyFill="1" applyBorder="1" applyProtection="1">
      <protection locked="0"/>
    </xf>
    <xf numFmtId="0" fontId="5" fillId="2" borderId="7" xfId="4" applyFont="1" applyFill="1" applyBorder="1" applyAlignment="1" applyProtection="1">
      <alignment horizontal="center" vertical="center" wrapText="1"/>
      <protection locked="0"/>
    </xf>
    <xf numFmtId="0" fontId="5" fillId="2" borderId="7" xfId="4" applyFont="1" applyFill="1" applyBorder="1" applyAlignment="1" applyProtection="1">
      <alignment horizontal="center" vertical="center"/>
      <protection locked="0"/>
    </xf>
    <xf numFmtId="0" fontId="10" fillId="2" borderId="7" xfId="4" applyFont="1" applyFill="1" applyBorder="1" applyAlignment="1" applyProtection="1">
      <alignment horizontal="center" vertical="center"/>
      <protection locked="0"/>
    </xf>
    <xf numFmtId="0" fontId="10" fillId="2" borderId="7" xfId="4" applyFont="1" applyFill="1" applyBorder="1" applyAlignment="1" applyProtection="1">
      <alignment horizontal="left" vertical="center" wrapText="1"/>
      <protection locked="0"/>
    </xf>
    <xf numFmtId="0" fontId="10" fillId="2" borderId="7" xfId="4" applyFont="1" applyFill="1" applyBorder="1" applyAlignment="1" applyProtection="1">
      <alignment horizontal="left" vertical="center"/>
      <protection locked="0"/>
    </xf>
    <xf numFmtId="0" fontId="5" fillId="2" borderId="7" xfId="4" applyFont="1" applyFill="1" applyBorder="1" applyAlignment="1" applyProtection="1">
      <alignment horizontal="left" vertical="center"/>
      <protection locked="0"/>
    </xf>
    <xf numFmtId="3" fontId="5" fillId="2" borderId="7" xfId="4" applyNumberFormat="1" applyFont="1" applyFill="1" applyBorder="1" applyAlignment="1" applyProtection="1">
      <alignment horizontal="right" vertical="center"/>
      <protection locked="0"/>
    </xf>
    <xf numFmtId="0" fontId="10" fillId="2" borderId="7" xfId="4" applyFont="1" applyFill="1" applyBorder="1" applyAlignment="1" applyProtection="1">
      <alignment horizontal="center"/>
      <protection locked="0"/>
    </xf>
    <xf numFmtId="0" fontId="5" fillId="2" borderId="7" xfId="4" applyFont="1" applyFill="1" applyBorder="1" applyProtection="1">
      <protection locked="0"/>
    </xf>
    <xf numFmtId="167" fontId="5" fillId="2" borderId="0" xfId="2" applyNumberFormat="1" applyFont="1" applyFill="1" applyAlignment="1" applyProtection="1">
      <alignment vertical="center" wrapText="1"/>
      <protection locked="0"/>
    </xf>
    <xf numFmtId="167" fontId="5" fillId="2" borderId="1" xfId="2" applyNumberFormat="1" applyFont="1" applyFill="1" applyBorder="1" applyAlignment="1" applyProtection="1">
      <alignment vertical="center"/>
      <protection locked="0"/>
    </xf>
    <xf numFmtId="0" fontId="10" fillId="2" borderId="7" xfId="2" applyFont="1" applyFill="1" applyBorder="1" applyProtection="1">
      <protection locked="0"/>
    </xf>
    <xf numFmtId="3" fontId="10" fillId="2" borderId="7" xfId="2" applyNumberFormat="1" applyFont="1" applyFill="1" applyBorder="1" applyAlignment="1" applyProtection="1">
      <alignment horizontal="left" vertical="center" wrapText="1"/>
      <protection locked="0"/>
    </xf>
    <xf numFmtId="0" fontId="9" fillId="2" borderId="0" xfId="2" applyFont="1" applyFill="1" applyAlignment="1" applyProtection="1">
      <alignment horizontal="right"/>
      <protection locked="0"/>
    </xf>
    <xf numFmtId="165" fontId="10" fillId="2" borderId="7" xfId="2" applyNumberFormat="1" applyFont="1" applyFill="1" applyBorder="1" applyAlignment="1" applyProtection="1">
      <alignment horizontal="left" vertical="center" wrapText="1" indent="2"/>
      <protection locked="0"/>
    </xf>
    <xf numFmtId="0" fontId="14" fillId="2" borderId="7" xfId="2" applyFont="1" applyFill="1" applyBorder="1" applyAlignment="1" applyProtection="1">
      <alignment horizontal="center"/>
      <protection locked="0"/>
    </xf>
    <xf numFmtId="0" fontId="9" fillId="2" borderId="0" xfId="1" applyFont="1" applyFill="1" applyAlignment="1" applyProtection="1">
      <alignment horizontal="left" vertical="center" wrapText="1"/>
      <protection locked="0"/>
    </xf>
    <xf numFmtId="165" fontId="9" fillId="2" borderId="0" xfId="1" applyNumberFormat="1" applyFont="1" applyFill="1" applyAlignment="1" applyProtection="1">
      <alignment horizontal="left" vertical="center"/>
      <protection locked="0"/>
    </xf>
    <xf numFmtId="0" fontId="8" fillId="2" borderId="0" xfId="2" applyFont="1" applyFill="1" applyAlignment="1" applyProtection="1">
      <alignment horizontal="center" vertical="center"/>
      <protection locked="0"/>
    </xf>
    <xf numFmtId="0" fontId="9" fillId="2" borderId="0" xfId="1" applyFont="1" applyFill="1" applyAlignment="1" applyProtection="1">
      <alignment vertical="center"/>
      <protection locked="0"/>
    </xf>
    <xf numFmtId="0" fontId="9" fillId="2" borderId="0" xfId="1" applyFont="1" applyFill="1" applyAlignment="1" applyProtection="1">
      <alignment horizontal="left" vertical="center"/>
      <protection locked="0"/>
    </xf>
    <xf numFmtId="0" fontId="10" fillId="4" borderId="0" xfId="1" applyFont="1" applyFill="1" applyAlignment="1" applyProtection="1">
      <alignment horizontal="right" vertical="center"/>
      <protection locked="0"/>
    </xf>
    <xf numFmtId="0" fontId="10" fillId="4" borderId="3" xfId="1" applyFont="1" applyFill="1" applyBorder="1" applyAlignment="1" applyProtection="1">
      <alignment vertical="center"/>
      <protection locked="0"/>
    </xf>
    <xf numFmtId="0" fontId="10" fillId="4" borderId="3" xfId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2" fillId="0" borderId="7" xfId="14" applyFont="1" applyBorder="1" applyAlignment="1" applyProtection="1">
      <alignment horizontal="center" vertical="center"/>
      <protection locked="0"/>
    </xf>
    <xf numFmtId="0" fontId="2" fillId="0" borderId="7" xfId="14" applyFont="1" applyBorder="1" applyAlignment="1" applyProtection="1">
      <alignment horizontal="center"/>
      <protection locked="0"/>
    </xf>
    <xf numFmtId="0" fontId="3" fillId="0" borderId="7" xfId="14" applyFont="1" applyBorder="1" applyAlignment="1" applyProtection="1">
      <alignment horizontal="center" vertical="center"/>
      <protection locked="0"/>
    </xf>
    <xf numFmtId="0" fontId="3" fillId="0" borderId="7" xfId="14" applyFont="1" applyBorder="1" applyAlignment="1" applyProtection="1">
      <alignment horizontal="center" vertical="center" wrapText="1"/>
      <protection locked="0"/>
    </xf>
    <xf numFmtId="0" fontId="2" fillId="0" borderId="7" xfId="14" applyFont="1" applyBorder="1" applyProtection="1">
      <protection locked="0"/>
    </xf>
    <xf numFmtId="0" fontId="3" fillId="0" borderId="7" xfId="14" applyFont="1" applyBorder="1" applyAlignment="1" applyProtection="1">
      <alignment horizontal="center"/>
      <protection locked="0"/>
    </xf>
    <xf numFmtId="0" fontId="3" fillId="0" borderId="7" xfId="14" applyFont="1" applyBorder="1" applyProtection="1">
      <protection locked="0"/>
    </xf>
    <xf numFmtId="0" fontId="2" fillId="0" borderId="0" xfId="14" applyFont="1" applyAlignment="1" applyProtection="1">
      <alignment horizontal="center"/>
      <protection locked="0"/>
    </xf>
    <xf numFmtId="0" fontId="2" fillId="0" borderId="0" xfId="14" applyFont="1" applyProtection="1">
      <protection locked="0"/>
    </xf>
    <xf numFmtId="167" fontId="2" fillId="0" borderId="0" xfId="0" applyNumberFormat="1" applyFont="1" applyProtection="1"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169" fontId="0" fillId="0" borderId="0" xfId="0" applyNumberFormat="1" applyAlignment="1" applyProtection="1">
      <alignment horizontal="left"/>
      <protection locked="0"/>
    </xf>
    <xf numFmtId="0" fontId="29" fillId="6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7" fontId="10" fillId="2" borderId="7" xfId="2" applyNumberFormat="1" applyFont="1" applyFill="1" applyBorder="1" applyAlignment="1" applyProtection="1">
      <alignment vertical="center" wrapText="1"/>
      <protection locked="0"/>
    </xf>
    <xf numFmtId="0" fontId="31" fillId="5" borderId="0" xfId="13" applyFont="1" applyFill="1" applyProtection="1">
      <protection locked="0"/>
    </xf>
    <xf numFmtId="0" fontId="32" fillId="5" borderId="0" xfId="13" applyFont="1" applyFill="1" applyProtection="1">
      <protection locked="0"/>
    </xf>
    <xf numFmtId="0" fontId="31" fillId="5" borderId="0" xfId="13" applyFont="1" applyFill="1" applyAlignment="1" applyProtection="1">
      <alignment horizontal="center"/>
      <protection locked="0"/>
    </xf>
    <xf numFmtId="0" fontId="33" fillId="5" borderId="0" xfId="13" applyFont="1" applyFill="1" applyProtection="1">
      <protection locked="0"/>
    </xf>
    <xf numFmtId="0" fontId="31" fillId="5" borderId="0" xfId="13" applyFont="1" applyFill="1" applyAlignment="1" applyProtection="1">
      <alignment vertical="center"/>
      <protection locked="0"/>
    </xf>
    <xf numFmtId="0" fontId="1" fillId="0" borderId="0" xfId="13" applyFont="1" applyProtection="1">
      <protection locked="0"/>
    </xf>
    <xf numFmtId="2" fontId="1" fillId="0" borderId="0" xfId="13" applyNumberFormat="1" applyFont="1" applyProtection="1">
      <protection locked="0"/>
    </xf>
    <xf numFmtId="0" fontId="1" fillId="0" borderId="0" xfId="13" applyFont="1" applyAlignment="1" applyProtection="1">
      <alignment vertical="center"/>
      <protection locked="0"/>
    </xf>
    <xf numFmtId="3" fontId="1" fillId="0" borderId="0" xfId="13" applyNumberFormat="1" applyFont="1" applyAlignment="1" applyProtection="1">
      <alignment vertical="center"/>
      <protection locked="0"/>
    </xf>
    <xf numFmtId="167" fontId="1" fillId="0" borderId="0" xfId="13" applyNumberFormat="1" applyFont="1" applyProtection="1">
      <protection locked="0"/>
    </xf>
    <xf numFmtId="0" fontId="1" fillId="0" borderId="0" xfId="13" applyFont="1" applyAlignment="1" applyProtection="1">
      <alignment horizontal="center" vertical="center"/>
      <protection locked="0"/>
    </xf>
    <xf numFmtId="0" fontId="40" fillId="0" borderId="0" xfId="13" applyFont="1" applyAlignment="1" applyProtection="1">
      <alignment vertical="center"/>
      <protection locked="0"/>
    </xf>
    <xf numFmtId="0" fontId="1" fillId="5" borderId="0" xfId="13" applyFont="1" applyFill="1" applyAlignment="1" applyProtection="1">
      <alignment vertical="center"/>
      <protection locked="0"/>
    </xf>
    <xf numFmtId="0" fontId="39" fillId="0" borderId="10" xfId="10" applyFont="1" applyFill="1" applyBorder="1" applyAlignment="1" applyProtection="1">
      <alignment horizontal="center" vertical="center"/>
    </xf>
    <xf numFmtId="0" fontId="40" fillId="0" borderId="9" xfId="13" applyFont="1" applyBorder="1" applyAlignment="1" applyProtection="1">
      <alignment horizontal="center" vertical="center"/>
      <protection locked="0"/>
    </xf>
    <xf numFmtId="0" fontId="40" fillId="0" borderId="9" xfId="13" applyFont="1" applyBorder="1" applyAlignment="1" applyProtection="1">
      <alignment horizontal="left" vertical="center"/>
      <protection hidden="1"/>
    </xf>
    <xf numFmtId="0" fontId="1" fillId="0" borderId="9" xfId="13" applyFont="1" applyBorder="1" applyAlignment="1">
      <alignment horizontal="center" vertical="center"/>
    </xf>
    <xf numFmtId="0" fontId="1" fillId="0" borderId="11" xfId="13" applyFont="1" applyBorder="1" applyAlignment="1">
      <alignment horizontal="center" vertical="center"/>
    </xf>
    <xf numFmtId="0" fontId="38" fillId="7" borderId="9" xfId="13" applyFont="1" applyFill="1" applyBorder="1" applyAlignment="1">
      <alignment horizontal="center" vertical="center"/>
    </xf>
    <xf numFmtId="0" fontId="38" fillId="7" borderId="11" xfId="13" applyFont="1" applyFill="1" applyBorder="1" applyAlignment="1">
      <alignment horizontal="center" vertical="center"/>
    </xf>
    <xf numFmtId="0" fontId="41" fillId="7" borderId="9" xfId="13" applyFont="1" applyFill="1" applyBorder="1" applyAlignment="1">
      <alignment horizontal="center" vertical="center"/>
    </xf>
    <xf numFmtId="0" fontId="41" fillId="7" borderId="11" xfId="13" applyFont="1" applyFill="1" applyBorder="1" applyAlignment="1">
      <alignment horizontal="center" vertical="center"/>
    </xf>
    <xf numFmtId="0" fontId="38" fillId="7" borderId="9" xfId="13" applyFont="1" applyFill="1" applyBorder="1" applyAlignment="1" applyProtection="1">
      <alignment horizontal="center" vertical="center" wrapText="1"/>
      <protection locked="0"/>
    </xf>
    <xf numFmtId="0" fontId="38" fillId="7" borderId="11" xfId="13" applyFont="1" applyFill="1" applyBorder="1" applyAlignment="1" applyProtection="1">
      <alignment horizontal="center" vertical="center" wrapText="1"/>
      <protection locked="0"/>
    </xf>
    <xf numFmtId="0" fontId="42" fillId="3" borderId="7" xfId="0" applyFont="1" applyFill="1" applyBorder="1" applyAlignment="1" applyProtection="1">
      <alignment horizontal="center"/>
      <protection hidden="1"/>
    </xf>
    <xf numFmtId="0" fontId="42" fillId="3" borderId="7" xfId="0" applyFont="1" applyFill="1" applyBorder="1" applyProtection="1">
      <protection hidden="1"/>
    </xf>
    <xf numFmtId="0" fontId="4" fillId="0" borderId="0" xfId="0" applyFont="1" applyAlignment="1" applyProtection="1">
      <alignment horizontal="center"/>
      <protection locked="0"/>
    </xf>
    <xf numFmtId="0" fontId="3" fillId="0" borderId="0" xfId="14" applyFont="1" applyAlignment="1" applyProtection="1">
      <alignment horizontal="right"/>
      <protection locked="0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center"/>
      <protection hidden="1"/>
    </xf>
    <xf numFmtId="0" fontId="5" fillId="2" borderId="0" xfId="2" applyFont="1" applyFill="1" applyAlignment="1" applyProtection="1">
      <alignment horizontal="center" vertical="center"/>
      <protection locked="0"/>
    </xf>
    <xf numFmtId="49" fontId="5" fillId="2" borderId="7" xfId="1" applyNumberFormat="1" applyFont="1" applyFill="1" applyBorder="1" applyAlignment="1" applyProtection="1">
      <alignment horizontal="left" vertical="center" wrapText="1" indent="1"/>
      <protection locked="0"/>
    </xf>
    <xf numFmtId="0" fontId="5" fillId="2" borderId="7" xfId="1" applyFont="1" applyFill="1" applyBorder="1" applyProtection="1">
      <protection locked="0"/>
    </xf>
    <xf numFmtId="3" fontId="10" fillId="2" borderId="7" xfId="1" applyNumberFormat="1" applyFont="1" applyFill="1" applyBorder="1" applyProtection="1">
      <protection locked="0"/>
    </xf>
    <xf numFmtId="0" fontId="5" fillId="2" borderId="0" xfId="1" applyFont="1" applyFill="1" applyAlignment="1" applyProtection="1">
      <alignment horizontal="left" vertical="center"/>
      <protection locked="0"/>
    </xf>
    <xf numFmtId="0" fontId="5" fillId="2" borderId="1" xfId="2" applyFont="1" applyFill="1" applyBorder="1" applyAlignment="1" applyProtection="1">
      <alignment horizontal="right" vertical="center"/>
      <protection locked="0"/>
    </xf>
    <xf numFmtId="167" fontId="5" fillId="2" borderId="7" xfId="2" applyNumberFormat="1" applyFont="1" applyFill="1" applyBorder="1" applyAlignment="1" applyProtection="1">
      <alignment vertical="center" wrapText="1"/>
      <protection locked="0"/>
    </xf>
    <xf numFmtId="167" fontId="2" fillId="0" borderId="7" xfId="14" applyNumberFormat="1" applyFont="1" applyBorder="1" applyProtection="1">
      <protection locked="0"/>
    </xf>
    <xf numFmtId="168" fontId="2" fillId="0" borderId="7" xfId="14" applyNumberFormat="1" applyFont="1" applyBorder="1" applyProtection="1">
      <protection locked="0"/>
    </xf>
    <xf numFmtId="167" fontId="3" fillId="0" borderId="7" xfId="14" applyNumberFormat="1" applyFont="1" applyBorder="1" applyProtection="1">
      <protection locked="0"/>
    </xf>
    <xf numFmtId="168" fontId="3" fillId="0" borderId="7" xfId="14" applyNumberFormat="1" applyFont="1" applyBorder="1" applyProtection="1">
      <protection locked="0"/>
    </xf>
    <xf numFmtId="168" fontId="3" fillId="0" borderId="0" xfId="14" applyNumberFormat="1" applyFont="1" applyProtection="1">
      <protection locked="0"/>
    </xf>
    <xf numFmtId="0" fontId="8" fillId="2" borderId="0" xfId="1" applyFont="1" applyFill="1" applyAlignment="1" applyProtection="1">
      <alignment horizontal="right" vertical="center"/>
      <protection locked="0"/>
    </xf>
    <xf numFmtId="0" fontId="7" fillId="2" borderId="0" xfId="1" applyFont="1" applyFill="1" applyAlignment="1" applyProtection="1">
      <alignment horizontal="center" vertical="center" wrapText="1"/>
      <protection locked="0"/>
    </xf>
    <xf numFmtId="3" fontId="5" fillId="2" borderId="3" xfId="1" applyNumberFormat="1" applyFont="1" applyFill="1" applyBorder="1" applyAlignment="1" applyProtection="1">
      <alignment horizontal="right" vertical="center"/>
      <protection locked="0"/>
    </xf>
    <xf numFmtId="0" fontId="7" fillId="2" borderId="0" xfId="1" applyFont="1" applyFill="1" applyAlignment="1" applyProtection="1">
      <alignment horizontal="center" vertical="center"/>
      <protection locked="0"/>
    </xf>
    <xf numFmtId="3" fontId="5" fillId="2" borderId="7" xfId="3" applyNumberFormat="1" applyFont="1" applyFill="1" applyBorder="1" applyAlignment="1" applyProtection="1">
      <alignment horizontal="right" vertical="center"/>
      <protection locked="0"/>
    </xf>
    <xf numFmtId="3" fontId="5" fillId="2" borderId="7" xfId="1" applyNumberFormat="1" applyFont="1" applyFill="1" applyBorder="1" applyProtection="1">
      <protection locked="0"/>
    </xf>
    <xf numFmtId="14" fontId="5" fillId="2" borderId="7" xfId="2" applyNumberFormat="1" applyFont="1" applyFill="1" applyBorder="1" applyAlignment="1" applyProtection="1">
      <alignment horizontal="center" vertical="center" wrapText="1"/>
      <protection locked="0"/>
    </xf>
    <xf numFmtId="3" fontId="5" fillId="2" borderId="1" xfId="2" applyNumberFormat="1" applyFont="1" applyFill="1" applyBorder="1" applyAlignment="1" applyProtection="1">
      <alignment vertical="center" wrapText="1"/>
      <protection locked="0"/>
    </xf>
    <xf numFmtId="0" fontId="8" fillId="2" borderId="0" xfId="2" applyFont="1" applyFill="1" applyAlignment="1" applyProtection="1">
      <alignment horizontal="center"/>
      <protection locked="0"/>
    </xf>
    <xf numFmtId="0" fontId="8" fillId="2" borderId="0" xfId="4" applyFont="1" applyFill="1" applyProtection="1">
      <protection locked="0"/>
    </xf>
    <xf numFmtId="0" fontId="8" fillId="2" borderId="0" xfId="4" applyFont="1" applyFill="1" applyAlignment="1" applyProtection="1">
      <alignment horizontal="center"/>
      <protection locked="0"/>
    </xf>
    <xf numFmtId="0" fontId="9" fillId="2" borderId="0" xfId="4" applyFont="1" applyFill="1" applyAlignment="1" applyProtection="1">
      <alignment wrapText="1"/>
      <protection locked="0"/>
    </xf>
    <xf numFmtId="0" fontId="7" fillId="2" borderId="0" xfId="4" applyFont="1" applyFill="1" applyAlignment="1" applyProtection="1">
      <alignment wrapText="1"/>
      <protection locked="0"/>
    </xf>
    <xf numFmtId="3" fontId="10" fillId="2" borderId="7" xfId="4" applyNumberFormat="1" applyFont="1" applyFill="1" applyBorder="1" applyAlignment="1" applyProtection="1">
      <alignment horizontal="right" vertical="center"/>
      <protection locked="0"/>
    </xf>
    <xf numFmtId="0" fontId="5" fillId="2" borderId="3" xfId="1" applyFont="1" applyFill="1" applyBorder="1" applyAlignment="1" applyProtection="1">
      <alignment horizontal="center" vertical="center" wrapText="1"/>
      <protection hidden="1"/>
    </xf>
    <xf numFmtId="0" fontId="42" fillId="5" borderId="0" xfId="13" applyFont="1" applyFill="1" applyAlignment="1" applyProtection="1">
      <alignment vertical="center"/>
      <protection locked="0"/>
    </xf>
    <xf numFmtId="0" fontId="36" fillId="8" borderId="0" xfId="13" applyFont="1" applyFill="1" applyProtection="1">
      <protection locked="0"/>
    </xf>
    <xf numFmtId="3" fontId="10" fillId="0" borderId="7" xfId="1" applyNumberFormat="1" applyFont="1" applyBorder="1" applyAlignment="1" applyProtection="1">
      <alignment vertical="center" wrapText="1"/>
      <protection locked="0"/>
    </xf>
    <xf numFmtId="3" fontId="10" fillId="0" borderId="7" xfId="1" applyNumberFormat="1" applyFont="1" applyBorder="1" applyAlignment="1" applyProtection="1">
      <alignment vertical="center" wrapText="1"/>
      <protection locked="0" hidden="1"/>
    </xf>
    <xf numFmtId="168" fontId="2" fillId="0" borderId="11" xfId="14" applyNumberFormat="1" applyFont="1" applyBorder="1" applyProtection="1">
      <protection locked="0"/>
    </xf>
    <xf numFmtId="167" fontId="3" fillId="0" borderId="12" xfId="14" applyNumberFormat="1" applyFont="1" applyBorder="1" applyProtection="1">
      <protection locked="0"/>
    </xf>
    <xf numFmtId="6" fontId="49" fillId="0" borderId="7" xfId="0" applyNumberFormat="1" applyFont="1" applyBorder="1" applyAlignment="1">
      <alignment horizontal="right" vertical="center"/>
    </xf>
    <xf numFmtId="0" fontId="42" fillId="0" borderId="0" xfId="0" applyFont="1"/>
    <xf numFmtId="0" fontId="42" fillId="0" borderId="0" xfId="0" applyFont="1" applyAlignment="1">
      <alignment horizontal="center"/>
    </xf>
    <xf numFmtId="0" fontId="50" fillId="7" borderId="7" xfId="0" applyFont="1" applyFill="1" applyBorder="1" applyAlignment="1" applyProtection="1">
      <alignment horizontal="center" vertical="center"/>
      <protection hidden="1"/>
    </xf>
    <xf numFmtId="0" fontId="42" fillId="0" borderId="7" xfId="0" applyFont="1" applyBorder="1"/>
    <xf numFmtId="3" fontId="13" fillId="2" borderId="4" xfId="1" applyNumberFormat="1" applyFont="1" applyFill="1" applyBorder="1" applyAlignment="1" applyProtection="1">
      <alignment vertical="center"/>
      <protection locked="0"/>
    </xf>
    <xf numFmtId="0" fontId="5" fillId="2" borderId="3" xfId="1" applyFont="1" applyFill="1" applyBorder="1" applyAlignment="1" applyProtection="1">
      <alignment vertical="center"/>
      <protection hidden="1"/>
    </xf>
    <xf numFmtId="0" fontId="10" fillId="2" borderId="3" xfId="1" applyFont="1" applyFill="1" applyBorder="1" applyAlignment="1" applyProtection="1">
      <alignment horizontal="right" vertical="center"/>
      <protection hidden="1"/>
    </xf>
    <xf numFmtId="0" fontId="10" fillId="4" borderId="0" xfId="1" applyFont="1" applyFill="1" applyAlignment="1" applyProtection="1">
      <alignment vertical="center"/>
      <protection hidden="1"/>
    </xf>
    <xf numFmtId="0" fontId="10" fillId="4" borderId="3" xfId="1" applyFont="1" applyFill="1" applyBorder="1" applyAlignment="1" applyProtection="1">
      <alignment horizontal="right" vertical="center"/>
      <protection hidden="1"/>
    </xf>
    <xf numFmtId="0" fontId="5" fillId="2" borderId="3" xfId="1" applyFont="1" applyFill="1" applyBorder="1" applyAlignment="1" applyProtection="1">
      <alignment horizontal="left" vertical="center"/>
      <protection hidden="1"/>
    </xf>
    <xf numFmtId="0" fontId="10" fillId="2" borderId="3" xfId="1" applyFont="1" applyFill="1" applyBorder="1" applyAlignment="1" applyProtection="1">
      <alignment vertical="center"/>
      <protection hidden="1"/>
    </xf>
    <xf numFmtId="0" fontId="10" fillId="2" borderId="3" xfId="1" applyFont="1" applyFill="1" applyBorder="1" applyAlignment="1" applyProtection="1">
      <alignment horizontal="left" vertical="center"/>
      <protection hidden="1"/>
    </xf>
    <xf numFmtId="0" fontId="5" fillId="4" borderId="3" xfId="1" applyFont="1" applyFill="1" applyBorder="1" applyAlignment="1" applyProtection="1">
      <alignment horizontal="left" vertical="center"/>
      <protection hidden="1"/>
    </xf>
    <xf numFmtId="0" fontId="10" fillId="4" borderId="3" xfId="1" applyFont="1" applyFill="1" applyBorder="1" applyAlignment="1" applyProtection="1">
      <alignment horizontal="left" vertical="center"/>
      <protection hidden="1"/>
    </xf>
    <xf numFmtId="0" fontId="5" fillId="2" borderId="7" xfId="1" applyFont="1" applyFill="1" applyBorder="1" applyAlignment="1" applyProtection="1">
      <alignment horizontal="left" vertical="center" wrapText="1" indent="1"/>
      <protection hidden="1"/>
    </xf>
    <xf numFmtId="49" fontId="10" fillId="2" borderId="7" xfId="1" applyNumberFormat="1" applyFont="1" applyFill="1" applyBorder="1" applyAlignment="1" applyProtection="1">
      <alignment vertical="center" wrapText="1"/>
      <protection locked="0"/>
    </xf>
    <xf numFmtId="0" fontId="10" fillId="2" borderId="7" xfId="2" applyFont="1" applyFill="1" applyBorder="1" applyAlignment="1" applyProtection="1">
      <alignment horizontal="left" wrapText="1" indent="1"/>
      <protection hidden="1"/>
    </xf>
    <xf numFmtId="0" fontId="10" fillId="2" borderId="7" xfId="2" applyFont="1" applyFill="1" applyBorder="1" applyAlignment="1" applyProtection="1">
      <alignment horizontal="left" vertical="center" wrapText="1" indent="1"/>
      <protection hidden="1"/>
    </xf>
    <xf numFmtId="0" fontId="5" fillId="2" borderId="7" xfId="2" applyFont="1" applyFill="1" applyBorder="1" applyAlignment="1" applyProtection="1">
      <alignment horizontal="left" vertical="center" wrapText="1" indent="1"/>
      <protection hidden="1"/>
    </xf>
    <xf numFmtId="0" fontId="5" fillId="2" borderId="7" xfId="2" applyFont="1" applyFill="1" applyBorder="1" applyAlignment="1" applyProtection="1">
      <alignment horizontal="center" wrapText="1"/>
      <protection locked="0"/>
    </xf>
    <xf numFmtId="0" fontId="5" fillId="2" borderId="7" xfId="1" applyFont="1" applyFill="1" applyBorder="1" applyAlignment="1" applyProtection="1">
      <alignment vertical="center" wrapText="1"/>
      <protection hidden="1"/>
    </xf>
    <xf numFmtId="0" fontId="10" fillId="2" borderId="7" xfId="1" applyFont="1" applyFill="1" applyBorder="1" applyAlignment="1" applyProtection="1">
      <alignment horizontal="left" vertical="center" wrapText="1" indent="1"/>
      <protection hidden="1"/>
    </xf>
    <xf numFmtId="49" fontId="42" fillId="0" borderId="0" xfId="0" applyNumberFormat="1" applyFont="1"/>
    <xf numFmtId="49" fontId="42" fillId="0" borderId="7" xfId="0" applyNumberFormat="1" applyFont="1" applyBorder="1"/>
    <xf numFmtId="0" fontId="5" fillId="2" borderId="7" xfId="1" applyFont="1" applyFill="1" applyBorder="1" applyAlignment="1" applyProtection="1">
      <alignment horizontal="left" vertical="center" wrapText="1"/>
      <protection hidden="1"/>
    </xf>
    <xf numFmtId="0" fontId="5" fillId="2" borderId="7" xfId="2" applyFont="1" applyFill="1" applyBorder="1" applyAlignment="1" applyProtection="1">
      <alignment vertical="center" wrapText="1"/>
      <protection hidden="1"/>
    </xf>
    <xf numFmtId="49" fontId="10" fillId="2" borderId="7" xfId="1" applyNumberFormat="1" applyFont="1" applyFill="1" applyBorder="1" applyAlignment="1" applyProtection="1">
      <alignment horizontal="left" vertical="center" wrapText="1"/>
      <protection locked="0"/>
    </xf>
    <xf numFmtId="0" fontId="10" fillId="2" borderId="7" xfId="1" applyFont="1" applyFill="1" applyBorder="1" applyAlignment="1" applyProtection="1">
      <alignment vertical="center" wrapText="1"/>
      <protection locked="0"/>
    </xf>
    <xf numFmtId="0" fontId="9" fillId="2" borderId="13" xfId="2" applyFont="1" applyFill="1" applyBorder="1" applyAlignment="1" applyProtection="1">
      <alignment horizontal="center" vertical="center"/>
      <protection locked="0"/>
    </xf>
    <xf numFmtId="49" fontId="10" fillId="2" borderId="7" xfId="2" applyNumberFormat="1" applyFont="1" applyFill="1" applyBorder="1" applyAlignment="1" applyProtection="1">
      <alignment horizontal="left" vertical="center" wrapText="1"/>
      <protection locked="0"/>
    </xf>
    <xf numFmtId="0" fontId="9" fillId="2" borderId="0" xfId="2" applyFont="1" applyFill="1" applyAlignment="1" applyProtection="1">
      <alignment horizontal="center" vertical="center"/>
      <protection hidden="1"/>
    </xf>
    <xf numFmtId="0" fontId="9" fillId="2" borderId="0" xfId="2" applyFont="1" applyFill="1" applyAlignment="1" applyProtection="1">
      <alignment vertical="center"/>
      <protection hidden="1"/>
    </xf>
    <xf numFmtId="0" fontId="7" fillId="0" borderId="0" xfId="0" applyFont="1"/>
    <xf numFmtId="0" fontId="42" fillId="0" borderId="7" xfId="0" applyFont="1" applyBorder="1" applyAlignment="1">
      <alignment horizontal="center"/>
    </xf>
    <xf numFmtId="49" fontId="42" fillId="0" borderId="7" xfId="0" applyNumberFormat="1" applyFont="1" applyBorder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0" fontId="42" fillId="0" borderId="0" xfId="0" applyFont="1" applyAlignment="1" applyProtection="1">
      <alignment horizontal="center"/>
      <protection locked="0"/>
    </xf>
    <xf numFmtId="49" fontId="42" fillId="0" borderId="0" xfId="0" applyNumberFormat="1" applyFont="1" applyProtection="1">
      <protection locked="0"/>
    </xf>
    <xf numFmtId="0" fontId="42" fillId="0" borderId="0" xfId="0" applyFont="1" applyProtection="1">
      <protection locked="0"/>
    </xf>
    <xf numFmtId="0" fontId="50" fillId="7" borderId="7" xfId="0" applyFont="1" applyFill="1" applyBorder="1" applyAlignment="1" applyProtection="1">
      <alignment horizontal="center" vertical="center" wrapText="1"/>
      <protection locked="0"/>
    </xf>
    <xf numFmtId="49" fontId="50" fillId="7" borderId="7" xfId="0" applyNumberFormat="1" applyFont="1" applyFill="1" applyBorder="1" applyAlignment="1" applyProtection="1">
      <alignment horizontal="center" vertical="center" wrapText="1"/>
      <protection locked="0"/>
    </xf>
    <xf numFmtId="49" fontId="42" fillId="0" borderId="7" xfId="0" applyNumberFormat="1" applyFont="1" applyBorder="1" applyProtection="1">
      <protection locked="0"/>
    </xf>
    <xf numFmtId="0" fontId="42" fillId="0" borderId="7" xfId="0" applyFont="1" applyBorder="1" applyProtection="1">
      <protection locked="0"/>
    </xf>
    <xf numFmtId="0" fontId="42" fillId="3" borderId="7" xfId="0" applyFont="1" applyFill="1" applyBorder="1" applyAlignment="1" applyProtection="1">
      <alignment horizontal="left"/>
      <protection hidden="1"/>
    </xf>
    <xf numFmtId="49" fontId="42" fillId="0" borderId="0" xfId="0" applyNumberFormat="1" applyFont="1" applyAlignment="1" applyProtection="1">
      <alignment horizontal="center"/>
      <protection locked="0"/>
    </xf>
    <xf numFmtId="0" fontId="42" fillId="0" borderId="0" xfId="0" applyFont="1" applyAlignment="1">
      <alignment vertical="center" wrapText="1"/>
    </xf>
    <xf numFmtId="0" fontId="51" fillId="0" borderId="7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right"/>
    </xf>
    <xf numFmtId="10" fontId="42" fillId="0" borderId="7" xfId="0" applyNumberFormat="1" applyFont="1" applyBorder="1" applyAlignment="1">
      <alignment horizontal="center"/>
    </xf>
    <xf numFmtId="9" fontId="42" fillId="0" borderId="7" xfId="0" applyNumberFormat="1" applyFont="1" applyBorder="1" applyAlignment="1">
      <alignment horizontal="center"/>
    </xf>
    <xf numFmtId="14" fontId="42" fillId="0" borderId="7" xfId="0" applyNumberFormat="1" applyFont="1" applyBorder="1" applyAlignment="1">
      <alignment horizontal="center"/>
    </xf>
    <xf numFmtId="0" fontId="42" fillId="0" borderId="0" xfId="0" applyFont="1" applyAlignment="1">
      <alignment horizontal="right"/>
    </xf>
    <xf numFmtId="0" fontId="31" fillId="0" borderId="0" xfId="0" applyFont="1"/>
    <xf numFmtId="0" fontId="52" fillId="0" borderId="0" xfId="0" pivotButton="1" applyFont="1"/>
    <xf numFmtId="0" fontId="52" fillId="0" borderId="0" xfId="0" applyFont="1"/>
    <xf numFmtId="0" fontId="52" fillId="0" borderId="0" xfId="0" applyFont="1" applyAlignment="1">
      <alignment horizontal="left"/>
    </xf>
    <xf numFmtId="167" fontId="52" fillId="0" borderId="0" xfId="0" applyNumberFormat="1" applyFont="1"/>
    <xf numFmtId="0" fontId="52" fillId="0" borderId="0" xfId="0" pivotButton="1" applyFont="1" applyAlignment="1">
      <alignment horizontal="right"/>
    </xf>
    <xf numFmtId="0" fontId="53" fillId="9" borderId="0" xfId="0" applyFont="1" applyFill="1" applyAlignment="1">
      <alignment horizontal="right"/>
    </xf>
    <xf numFmtId="0" fontId="54" fillId="9" borderId="0" xfId="0" applyFont="1" applyFill="1"/>
    <xf numFmtId="0" fontId="54" fillId="9" borderId="0" xfId="0" applyFont="1" applyFill="1" applyAlignment="1">
      <alignment horizontal="right"/>
    </xf>
    <xf numFmtId="49" fontId="42" fillId="0" borderId="7" xfId="0" applyNumberFormat="1" applyFont="1" applyBorder="1" applyAlignment="1">
      <alignment horizontal="center"/>
    </xf>
    <xf numFmtId="170" fontId="1" fillId="0" borderId="9" xfId="13" applyNumberFormat="1" applyFont="1" applyBorder="1" applyAlignment="1">
      <alignment horizontal="center" vertical="center"/>
    </xf>
    <xf numFmtId="0" fontId="31" fillId="0" borderId="0" xfId="0" pivotButton="1" applyFont="1"/>
    <xf numFmtId="0" fontId="31" fillId="0" borderId="0" xfId="0" pivotButton="1" applyFont="1" applyAlignment="1">
      <alignment horizontal="right"/>
    </xf>
    <xf numFmtId="0" fontId="53" fillId="9" borderId="0" xfId="0" applyFont="1" applyFill="1"/>
    <xf numFmtId="0" fontId="55" fillId="10" borderId="0" xfId="0" applyFont="1" applyFill="1" applyAlignment="1">
      <alignment horizontal="left"/>
    </xf>
    <xf numFmtId="167" fontId="55" fillId="10" borderId="0" xfId="0" applyNumberFormat="1" applyFont="1" applyFill="1"/>
    <xf numFmtId="171" fontId="10" fillId="2" borderId="7" xfId="2" applyNumberFormat="1" applyFont="1" applyFill="1" applyBorder="1" applyAlignment="1" applyProtection="1">
      <alignment vertical="center"/>
      <protection locked="0"/>
    </xf>
    <xf numFmtId="0" fontId="42" fillId="0" borderId="7" xfId="0" applyFont="1" applyBorder="1" applyAlignment="1" applyProtection="1">
      <alignment horizontal="center"/>
      <protection locked="0"/>
    </xf>
    <xf numFmtId="168" fontId="42" fillId="0" borderId="7" xfId="0" applyNumberFormat="1" applyFont="1" applyBorder="1" applyProtection="1">
      <protection locked="0"/>
    </xf>
    <xf numFmtId="0" fontId="59" fillId="0" borderId="0" xfId="0" applyFont="1" applyProtection="1">
      <protection locked="0"/>
    </xf>
    <xf numFmtId="0" fontId="59" fillId="0" borderId="0" xfId="0" applyFont="1"/>
    <xf numFmtId="0" fontId="3" fillId="0" borderId="7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vertical="center"/>
      <protection locked="0"/>
    </xf>
    <xf numFmtId="167" fontId="2" fillId="0" borderId="7" xfId="0" applyNumberFormat="1" applyFont="1" applyBorder="1" applyAlignment="1" applyProtection="1">
      <alignment vertical="center"/>
      <protection locked="0"/>
    </xf>
    <xf numFmtId="168" fontId="2" fillId="0" borderId="7" xfId="0" applyNumberFormat="1" applyFont="1" applyBorder="1" applyAlignment="1" applyProtection="1">
      <alignment vertical="center"/>
      <protection locked="0"/>
    </xf>
    <xf numFmtId="0" fontId="60" fillId="0" borderId="0" xfId="14" applyFont="1" applyAlignment="1" applyProtection="1">
      <alignment horizontal="center" vertical="center"/>
      <protection hidden="1"/>
    </xf>
    <xf numFmtId="0" fontId="60" fillId="0" borderId="0" xfId="14" applyFont="1" applyAlignment="1" applyProtection="1">
      <alignment horizontal="center" vertical="center" wrapText="1"/>
      <protection hidden="1"/>
    </xf>
    <xf numFmtId="0" fontId="61" fillId="0" borderId="0" xfId="14" applyFont="1" applyAlignment="1" applyProtection="1">
      <alignment horizontal="center"/>
      <protection hidden="1"/>
    </xf>
    <xf numFmtId="3" fontId="61" fillId="0" borderId="0" xfId="14" applyNumberFormat="1" applyFont="1" applyProtection="1">
      <protection hidden="1"/>
    </xf>
    <xf numFmtId="3" fontId="7" fillId="2" borderId="0" xfId="1" applyNumberFormat="1" applyFont="1" applyFill="1" applyProtection="1">
      <protection hidden="1"/>
    </xf>
    <xf numFmtId="0" fontId="62" fillId="0" borderId="0" xfId="0" applyFont="1" applyProtection="1">
      <protection hidden="1"/>
    </xf>
    <xf numFmtId="3" fontId="62" fillId="0" borderId="0" xfId="0" applyNumberFormat="1" applyFont="1" applyProtection="1">
      <protection hidden="1"/>
    </xf>
    <xf numFmtId="0" fontId="20" fillId="0" borderId="0" xfId="0" applyFont="1" applyAlignment="1" applyProtection="1">
      <alignment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0" fillId="0" borderId="0" xfId="0" applyFont="1" applyAlignment="1" applyProtection="1">
      <alignment horizontal="justify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justify"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9" fillId="2" borderId="14" xfId="2" applyFont="1" applyFill="1" applyBorder="1" applyAlignment="1" applyProtection="1">
      <alignment horizontal="left" vertical="center"/>
      <protection locked="0"/>
    </xf>
    <xf numFmtId="0" fontId="39" fillId="0" borderId="15" xfId="10" applyFont="1" applyFill="1" applyBorder="1" applyAlignment="1" applyProtection="1">
      <alignment horizontal="center" vertical="center"/>
      <protection locked="0"/>
    </xf>
    <xf numFmtId="0" fontId="40" fillId="0" borderId="16" xfId="13" applyFont="1" applyBorder="1" applyAlignment="1" applyProtection="1">
      <alignment horizontal="center" vertical="center"/>
      <protection locked="0"/>
    </xf>
    <xf numFmtId="0" fontId="40" fillId="0" borderId="16" xfId="13" applyFont="1" applyBorder="1" applyAlignment="1" applyProtection="1">
      <alignment horizontal="left" vertical="center"/>
      <protection locked="0"/>
    </xf>
    <xf numFmtId="0" fontId="1" fillId="0" borderId="16" xfId="13" applyFont="1" applyBorder="1" applyAlignment="1" applyProtection="1">
      <alignment horizontal="center" vertical="center"/>
      <protection locked="0"/>
    </xf>
    <xf numFmtId="0" fontId="1" fillId="0" borderId="17" xfId="13" applyFont="1" applyBorder="1" applyAlignment="1" applyProtection="1">
      <alignment horizontal="center" vertical="center"/>
      <protection locked="0"/>
    </xf>
    <xf numFmtId="0" fontId="39" fillId="0" borderId="18" xfId="10" applyFont="1" applyFill="1" applyBorder="1" applyAlignment="1" applyProtection="1">
      <alignment horizontal="center" vertical="center"/>
      <protection locked="0"/>
    </xf>
    <xf numFmtId="0" fontId="40" fillId="0" borderId="0" xfId="13" applyFont="1" applyAlignment="1" applyProtection="1">
      <alignment horizontal="center" vertical="center"/>
      <protection locked="0"/>
    </xf>
    <xf numFmtId="0" fontId="40" fillId="0" borderId="0" xfId="13" applyFont="1" applyAlignment="1" applyProtection="1">
      <alignment horizontal="left" vertical="center"/>
      <protection locked="0"/>
    </xf>
    <xf numFmtId="0" fontId="1" fillId="0" borderId="19" xfId="13" applyFont="1" applyBorder="1" applyAlignment="1" applyProtection="1">
      <alignment horizontal="center" vertical="center"/>
      <protection locked="0"/>
    </xf>
    <xf numFmtId="0" fontId="40" fillId="0" borderId="0" xfId="13" applyFont="1" applyAlignment="1" applyProtection="1">
      <alignment horizontal="center" vertical="center" wrapText="1"/>
      <protection locked="0"/>
    </xf>
    <xf numFmtId="0" fontId="63" fillId="0" borderId="0" xfId="13" applyFont="1" applyAlignment="1" applyProtection="1">
      <alignment horizontal="left" vertical="center"/>
      <protection locked="0"/>
    </xf>
    <xf numFmtId="0" fontId="39" fillId="0" borderId="20" xfId="10" applyFont="1" applyFill="1" applyBorder="1" applyAlignment="1" applyProtection="1">
      <alignment horizontal="center" vertical="center"/>
      <protection locked="0"/>
    </xf>
    <xf numFmtId="0" fontId="40" fillId="0" borderId="21" xfId="13" applyFont="1" applyBorder="1" applyAlignment="1" applyProtection="1">
      <alignment horizontal="center" vertical="center" wrapText="1"/>
      <protection locked="0"/>
    </xf>
    <xf numFmtId="0" fontId="63" fillId="0" borderId="21" xfId="13" applyFont="1" applyBorder="1" applyAlignment="1" applyProtection="1">
      <alignment horizontal="left" vertical="center"/>
      <protection locked="0"/>
    </xf>
    <xf numFmtId="0" fontId="1" fillId="0" borderId="21" xfId="13" applyFont="1" applyBorder="1" applyAlignment="1" applyProtection="1">
      <alignment horizontal="center" vertical="center"/>
      <protection locked="0"/>
    </xf>
    <xf numFmtId="0" fontId="1" fillId="0" borderId="22" xfId="13" applyFont="1" applyBorder="1" applyAlignment="1" applyProtection="1">
      <alignment horizontal="center" vertical="center"/>
      <protection locked="0"/>
    </xf>
    <xf numFmtId="167" fontId="1" fillId="0" borderId="16" xfId="13" applyNumberFormat="1" applyFont="1" applyBorder="1" applyAlignment="1" applyProtection="1">
      <alignment horizontal="right" vertical="center"/>
      <protection hidden="1"/>
    </xf>
    <xf numFmtId="3" fontId="1" fillId="0" borderId="17" xfId="13" applyNumberFormat="1" applyFont="1" applyBorder="1" applyAlignment="1" applyProtection="1">
      <alignment horizontal="center" vertical="center"/>
      <protection hidden="1"/>
    </xf>
    <xf numFmtId="167" fontId="1" fillId="0" borderId="0" xfId="13" applyNumberFormat="1" applyFont="1" applyAlignment="1" applyProtection="1">
      <alignment horizontal="right" vertical="center"/>
      <protection hidden="1"/>
    </xf>
    <xf numFmtId="3" fontId="1" fillId="0" borderId="19" xfId="13" applyNumberFormat="1" applyFont="1" applyBorder="1" applyAlignment="1" applyProtection="1">
      <alignment horizontal="center" vertical="center"/>
      <protection hidden="1"/>
    </xf>
    <xf numFmtId="167" fontId="1" fillId="0" borderId="0" xfId="13" applyNumberFormat="1" applyFont="1" applyAlignment="1" applyProtection="1">
      <alignment horizontal="right" vertical="center"/>
      <protection locked="0"/>
    </xf>
    <xf numFmtId="3" fontId="1" fillId="0" borderId="19" xfId="13" applyNumberFormat="1" applyFont="1" applyBorder="1" applyAlignment="1" applyProtection="1">
      <alignment horizontal="center" vertical="center"/>
      <protection locked="0"/>
    </xf>
    <xf numFmtId="0" fontId="1" fillId="0" borderId="19" xfId="13" applyFont="1" applyBorder="1" applyAlignment="1" applyProtection="1">
      <alignment vertical="center"/>
      <protection locked="0"/>
    </xf>
    <xf numFmtId="0" fontId="39" fillId="3" borderId="18" xfId="10" applyFont="1" applyFill="1" applyBorder="1" applyAlignment="1" applyProtection="1">
      <alignment horizontal="center" vertical="center"/>
      <protection locked="0"/>
    </xf>
    <xf numFmtId="0" fontId="40" fillId="3" borderId="0" xfId="13" applyFont="1" applyFill="1" applyAlignment="1" applyProtection="1">
      <alignment horizontal="center" vertical="center"/>
      <protection locked="0"/>
    </xf>
    <xf numFmtId="0" fontId="40" fillId="3" borderId="0" xfId="13" applyFont="1" applyFill="1" applyAlignment="1" applyProtection="1">
      <alignment horizontal="left" vertical="center"/>
      <protection locked="0"/>
    </xf>
    <xf numFmtId="0" fontId="1" fillId="3" borderId="0" xfId="13" applyFont="1" applyFill="1" applyAlignment="1" applyProtection="1">
      <alignment horizontal="center" vertical="center"/>
      <protection locked="0"/>
    </xf>
    <xf numFmtId="0" fontId="1" fillId="3" borderId="19" xfId="13" applyFont="1" applyFill="1" applyBorder="1" applyAlignment="1" applyProtection="1">
      <alignment horizontal="center" vertical="center"/>
      <protection locked="0"/>
    </xf>
    <xf numFmtId="0" fontId="40" fillId="3" borderId="0" xfId="13" applyFont="1" applyFill="1" applyAlignment="1" applyProtection="1">
      <alignment horizontal="center" vertical="center" wrapText="1"/>
      <protection locked="0"/>
    </xf>
    <xf numFmtId="0" fontId="63" fillId="3" borderId="0" xfId="13" applyFont="1" applyFill="1" applyAlignment="1" applyProtection="1">
      <alignment horizontal="left" vertical="center"/>
      <protection locked="0"/>
    </xf>
    <xf numFmtId="167" fontId="1" fillId="3" borderId="0" xfId="13" applyNumberFormat="1" applyFont="1" applyFill="1" applyAlignment="1" applyProtection="1">
      <alignment horizontal="right" vertical="center"/>
      <protection hidden="1"/>
    </xf>
    <xf numFmtId="3" fontId="1" fillId="3" borderId="19" xfId="13" applyNumberFormat="1" applyFont="1" applyFill="1" applyBorder="1" applyAlignment="1" applyProtection="1">
      <alignment horizontal="center" vertical="center"/>
      <protection hidden="1"/>
    </xf>
    <xf numFmtId="167" fontId="1" fillId="3" borderId="0" xfId="13" applyNumberFormat="1" applyFont="1" applyFill="1" applyAlignment="1" applyProtection="1">
      <alignment horizontal="right" vertical="center"/>
      <protection locked="0"/>
    </xf>
    <xf numFmtId="3" fontId="1" fillId="3" borderId="19" xfId="13" applyNumberFormat="1" applyFont="1" applyFill="1" applyBorder="1" applyAlignment="1" applyProtection="1">
      <alignment horizontal="center" vertical="center"/>
      <protection locked="0"/>
    </xf>
    <xf numFmtId="0" fontId="40" fillId="3" borderId="0" xfId="13" applyFont="1" applyFill="1" applyAlignment="1" applyProtection="1">
      <alignment vertical="center"/>
      <protection locked="0"/>
    </xf>
    <xf numFmtId="0" fontId="1" fillId="3" borderId="19" xfId="13" applyFont="1" applyFill="1" applyBorder="1" applyAlignment="1" applyProtection="1">
      <alignment vertical="center"/>
      <protection locked="0"/>
    </xf>
    <xf numFmtId="0" fontId="39" fillId="3" borderId="20" xfId="10" applyFont="1" applyFill="1" applyBorder="1" applyAlignment="1" applyProtection="1">
      <alignment horizontal="center" vertical="center"/>
      <protection locked="0"/>
    </xf>
    <xf numFmtId="0" fontId="40" fillId="3" borderId="21" xfId="13" applyFont="1" applyFill="1" applyBorder="1" applyAlignment="1" applyProtection="1">
      <alignment horizontal="center" vertical="center"/>
      <protection locked="0"/>
    </xf>
    <xf numFmtId="0" fontId="40" fillId="3" borderId="21" xfId="13" applyFont="1" applyFill="1" applyBorder="1" applyAlignment="1" applyProtection="1">
      <alignment vertical="center"/>
      <protection locked="0"/>
    </xf>
    <xf numFmtId="167" fontId="1" fillId="3" borderId="21" xfId="13" applyNumberFormat="1" applyFont="1" applyFill="1" applyBorder="1" applyAlignment="1" applyProtection="1">
      <alignment horizontal="right" vertical="center"/>
      <protection locked="0"/>
    </xf>
    <xf numFmtId="167" fontId="1" fillId="3" borderId="21" xfId="13" applyNumberFormat="1" applyFont="1" applyFill="1" applyBorder="1" applyAlignment="1" applyProtection="1">
      <alignment horizontal="right" vertical="center"/>
      <protection hidden="1"/>
    </xf>
    <xf numFmtId="3" fontId="1" fillId="3" borderId="22" xfId="13" applyNumberFormat="1" applyFont="1" applyFill="1" applyBorder="1" applyAlignment="1" applyProtection="1">
      <alignment horizontal="center" vertical="center"/>
      <protection hidden="1"/>
    </xf>
    <xf numFmtId="0" fontId="40" fillId="0" borderId="21" xfId="13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3" fontId="25" fillId="2" borderId="0" xfId="2" applyNumberFormat="1" applyFont="1" applyFill="1" applyAlignment="1" applyProtection="1">
      <alignment horizontal="right" vertical="center"/>
      <protection locked="0"/>
    </xf>
    <xf numFmtId="167" fontId="5" fillId="2" borderId="1" xfId="2" applyNumberFormat="1" applyFont="1" applyFill="1" applyBorder="1" applyAlignment="1" applyProtection="1">
      <alignment horizontal="right" vertical="center"/>
      <protection locked="0"/>
    </xf>
    <xf numFmtId="3" fontId="5" fillId="11" borderId="7" xfId="4" applyNumberFormat="1" applyFont="1" applyFill="1" applyBorder="1" applyAlignment="1" applyProtection="1">
      <alignment horizontal="right" vertical="center"/>
      <protection locked="0"/>
    </xf>
    <xf numFmtId="172" fontId="5" fillId="2" borderId="7" xfId="1" applyNumberFormat="1" applyFont="1" applyFill="1" applyBorder="1" applyAlignment="1" applyProtection="1">
      <alignment vertical="center" wrapText="1"/>
      <protection hidden="1"/>
    </xf>
    <xf numFmtId="172" fontId="10" fillId="2" borderId="7" xfId="1" applyNumberFormat="1" applyFont="1" applyFill="1" applyBorder="1" applyAlignment="1" applyProtection="1">
      <alignment vertical="center" wrapText="1"/>
      <protection hidden="1"/>
    </xf>
    <xf numFmtId="172" fontId="5" fillId="2" borderId="7" xfId="1" applyNumberFormat="1" applyFont="1" applyFill="1" applyBorder="1" applyAlignment="1" applyProtection="1">
      <alignment vertical="center" wrapText="1"/>
      <protection locked="0"/>
    </xf>
    <xf numFmtId="172" fontId="5" fillId="2" borderId="7" xfId="2" applyNumberFormat="1" applyFont="1" applyFill="1" applyBorder="1" applyAlignment="1" applyProtection="1">
      <alignment vertical="center" wrapText="1"/>
      <protection hidden="1"/>
    </xf>
    <xf numFmtId="172" fontId="5" fillId="2" borderId="7" xfId="2" quotePrefix="1" applyNumberFormat="1" applyFont="1" applyFill="1" applyBorder="1" applyAlignment="1" applyProtection="1">
      <alignment vertical="center" wrapText="1"/>
      <protection hidden="1"/>
    </xf>
    <xf numFmtId="172" fontId="5" fillId="2" borderId="7" xfId="2" applyNumberFormat="1" applyFont="1" applyFill="1" applyBorder="1" applyAlignment="1" applyProtection="1">
      <alignment horizontal="right" vertical="center" wrapText="1"/>
      <protection hidden="1"/>
    </xf>
    <xf numFmtId="172" fontId="10" fillId="2" borderId="7" xfId="2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Alignment="1" applyProtection="1">
      <alignment vertical="center"/>
      <protection locked="0"/>
    </xf>
    <xf numFmtId="171" fontId="5" fillId="2" borderId="7" xfId="2" applyNumberFormat="1" applyFont="1" applyFill="1" applyBorder="1" applyAlignment="1" applyProtection="1">
      <alignment vertical="center"/>
      <protection locked="0"/>
    </xf>
    <xf numFmtId="0" fontId="5" fillId="2" borderId="7" xfId="2" applyFont="1" applyFill="1" applyBorder="1" applyAlignment="1">
      <alignment horizontal="center" vertical="center" wrapText="1"/>
    </xf>
    <xf numFmtId="0" fontId="0" fillId="0" borderId="0" xfId="0" applyAlignment="1" applyProtection="1">
      <alignment vertical="center" wrapText="1"/>
      <protection locked="0"/>
    </xf>
    <xf numFmtId="0" fontId="2" fillId="0" borderId="7" xfId="14" applyFont="1" applyBorder="1" applyAlignment="1" applyProtection="1">
      <alignment horizontal="center" wrapText="1"/>
      <protection locked="0"/>
    </xf>
    <xf numFmtId="168" fontId="2" fillId="0" borderId="7" xfId="14" applyNumberFormat="1" applyFon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31" fillId="0" borderId="0" xfId="0" applyFont="1" applyAlignment="1">
      <alignment horizontal="right" vertical="center"/>
    </xf>
    <xf numFmtId="0" fontId="46" fillId="8" borderId="0" xfId="13" applyFont="1" applyFill="1" applyAlignment="1" applyProtection="1">
      <alignment horizontal="center"/>
      <protection hidden="1"/>
    </xf>
    <xf numFmtId="0" fontId="46" fillId="8" borderId="0" xfId="13" applyFont="1" applyFill="1" applyAlignment="1" applyProtection="1">
      <alignment horizontal="center" vertical="top"/>
      <protection hidden="1"/>
    </xf>
    <xf numFmtId="0" fontId="47" fillId="8" borderId="0" xfId="10" applyFont="1" applyFill="1" applyBorder="1" applyAlignment="1" applyProtection="1">
      <alignment horizontal="center" vertical="center"/>
      <protection hidden="1"/>
    </xf>
    <xf numFmtId="0" fontId="48" fillId="8" borderId="0" xfId="13" applyFont="1" applyFill="1" applyAlignment="1" applyProtection="1">
      <alignment horizontal="center" vertical="center"/>
      <protection hidden="1"/>
    </xf>
    <xf numFmtId="0" fontId="34" fillId="8" borderId="2" xfId="13" applyFont="1" applyFill="1" applyBorder="1" applyAlignment="1" applyProtection="1">
      <alignment horizontal="center"/>
      <protection hidden="1"/>
    </xf>
    <xf numFmtId="0" fontId="34" fillId="8" borderId="0" xfId="13" applyFont="1" applyFill="1" applyAlignment="1" applyProtection="1">
      <alignment horizontal="center"/>
      <protection hidden="1"/>
    </xf>
    <xf numFmtId="0" fontId="35" fillId="8" borderId="2" xfId="13" applyFont="1" applyFill="1" applyBorder="1" applyAlignment="1" applyProtection="1">
      <alignment horizontal="center"/>
      <protection hidden="1"/>
    </xf>
    <xf numFmtId="0" fontId="35" fillId="8" borderId="0" xfId="13" applyFont="1" applyFill="1" applyAlignment="1" applyProtection="1">
      <alignment horizontal="center"/>
      <protection hidden="1"/>
    </xf>
    <xf numFmtId="0" fontId="45" fillId="8" borderId="0" xfId="13" applyFont="1" applyFill="1" applyAlignment="1" applyProtection="1">
      <alignment horizontal="center" vertical="center"/>
      <protection hidden="1"/>
    </xf>
    <xf numFmtId="0" fontId="37" fillId="7" borderId="10" xfId="13" applyFont="1" applyFill="1" applyBorder="1" applyAlignment="1" applyProtection="1">
      <alignment horizontal="left" vertical="center"/>
      <protection locked="0"/>
    </xf>
    <xf numFmtId="0" fontId="37" fillId="7" borderId="9" xfId="13" applyFont="1" applyFill="1" applyBorder="1" applyAlignment="1" applyProtection="1">
      <alignment horizontal="left" vertical="center"/>
      <protection locked="0"/>
    </xf>
    <xf numFmtId="0" fontId="56" fillId="8" borderId="0" xfId="13" applyFont="1" applyFill="1" applyAlignment="1" applyProtection="1">
      <alignment horizontal="center" vertical="center"/>
      <protection hidden="1"/>
    </xf>
    <xf numFmtId="0" fontId="57" fillId="8" borderId="10" xfId="0" applyFont="1" applyFill="1" applyBorder="1" applyAlignment="1" applyProtection="1">
      <alignment horizontal="left" vertical="center"/>
      <protection hidden="1"/>
    </xf>
    <xf numFmtId="0" fontId="57" fillId="8" borderId="9" xfId="0" applyFont="1" applyFill="1" applyBorder="1" applyAlignment="1" applyProtection="1">
      <alignment horizontal="left" vertical="center"/>
      <protection hidden="1"/>
    </xf>
    <xf numFmtId="0" fontId="57" fillId="8" borderId="11" xfId="0" applyFont="1" applyFill="1" applyBorder="1" applyAlignment="1" applyProtection="1">
      <alignment horizontal="left" vertical="center"/>
      <protection hidden="1"/>
    </xf>
    <xf numFmtId="0" fontId="57" fillId="8" borderId="0" xfId="0" applyFont="1" applyFill="1" applyAlignment="1" applyProtection="1">
      <alignment horizontal="center"/>
      <protection locked="0"/>
    </xf>
    <xf numFmtId="0" fontId="57" fillId="8" borderId="0" xfId="0" applyFont="1" applyFill="1" applyAlignment="1">
      <alignment horizontal="left" vertical="center"/>
    </xf>
    <xf numFmtId="0" fontId="58" fillId="8" borderId="0" xfId="0" applyFont="1" applyFill="1" applyAlignment="1">
      <alignment horizontal="left" vertical="center"/>
    </xf>
    <xf numFmtId="0" fontId="0" fillId="0" borderId="10" xfId="0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30" fillId="0" borderId="10" xfId="0" applyFont="1" applyBorder="1" applyAlignment="1" applyProtection="1">
      <alignment vertical="center" wrapText="1"/>
      <protection locked="0"/>
    </xf>
    <xf numFmtId="0" fontId="30" fillId="0" borderId="9" xfId="0" applyFont="1" applyBorder="1" applyAlignment="1" applyProtection="1">
      <alignment vertical="center" wrapText="1"/>
      <protection locked="0"/>
    </xf>
    <xf numFmtId="0" fontId="30" fillId="0" borderId="11" xfId="0" applyFont="1" applyBorder="1" applyAlignment="1" applyProtection="1">
      <alignment vertical="center" wrapText="1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4" fillId="0" borderId="0" xfId="0" applyFont="1" applyAlignment="1" applyProtection="1">
      <alignment horizontal="center"/>
      <protection locked="0"/>
    </xf>
    <xf numFmtId="0" fontId="2" fillId="0" borderId="10" xfId="14" applyFont="1" applyBorder="1" applyAlignment="1" applyProtection="1">
      <alignment horizontal="center" wrapText="1"/>
      <protection locked="0"/>
    </xf>
    <xf numFmtId="0" fontId="2" fillId="0" borderId="9" xfId="14" applyFont="1" applyBorder="1" applyAlignment="1" applyProtection="1">
      <alignment horizontal="center" wrapText="1"/>
      <protection locked="0"/>
    </xf>
    <xf numFmtId="0" fontId="2" fillId="0" borderId="11" xfId="14" applyFont="1" applyBorder="1" applyAlignment="1" applyProtection="1">
      <alignment horizontal="center" wrapText="1"/>
      <protection locked="0"/>
    </xf>
    <xf numFmtId="0" fontId="2" fillId="0" borderId="10" xfId="14" applyFont="1" applyBorder="1" applyAlignment="1" applyProtection="1">
      <alignment horizontal="center"/>
      <protection locked="0"/>
    </xf>
    <xf numFmtId="0" fontId="2" fillId="0" borderId="9" xfId="14" applyFont="1" applyBorder="1" applyAlignment="1" applyProtection="1">
      <alignment horizontal="center"/>
      <protection locked="0"/>
    </xf>
    <xf numFmtId="0" fontId="2" fillId="0" borderId="11" xfId="14" applyFont="1" applyBorder="1" applyAlignment="1" applyProtection="1">
      <alignment horizontal="center"/>
      <protection locked="0"/>
    </xf>
    <xf numFmtId="0" fontId="2" fillId="0" borderId="10" xfId="14" applyFont="1" applyBorder="1" applyAlignment="1" applyProtection="1">
      <alignment horizontal="center" vertical="center"/>
      <protection locked="0"/>
    </xf>
    <xf numFmtId="0" fontId="2" fillId="0" borderId="9" xfId="14" applyFont="1" applyBorder="1" applyAlignment="1" applyProtection="1">
      <alignment horizontal="center" vertical="center"/>
      <protection locked="0"/>
    </xf>
    <xf numFmtId="0" fontId="2" fillId="0" borderId="11" xfId="14" applyFont="1" applyBorder="1" applyAlignment="1" applyProtection="1">
      <alignment horizontal="center" vertical="center"/>
      <protection locked="0"/>
    </xf>
    <xf numFmtId="0" fontId="3" fillId="0" borderId="10" xfId="14" applyFont="1" applyBorder="1" applyAlignment="1" applyProtection="1">
      <alignment horizontal="center" vertical="center" wrapText="1"/>
      <protection locked="0"/>
    </xf>
    <xf numFmtId="0" fontId="3" fillId="0" borderId="9" xfId="14" applyFont="1" applyBorder="1" applyAlignment="1" applyProtection="1">
      <alignment horizontal="center" vertical="center" wrapText="1"/>
      <protection locked="0"/>
    </xf>
    <xf numFmtId="0" fontId="3" fillId="0" borderId="11" xfId="14" applyFont="1" applyBorder="1" applyAlignment="1" applyProtection="1">
      <alignment horizontal="center" vertical="center" wrapText="1"/>
      <protection locked="0"/>
    </xf>
    <xf numFmtId="0" fontId="43" fillId="0" borderId="0" xfId="0" applyFont="1" applyAlignment="1" applyProtection="1">
      <alignment horizontal="center" vertical="center"/>
      <protection hidden="1"/>
    </xf>
    <xf numFmtId="0" fontId="30" fillId="0" borderId="10" xfId="0" applyFont="1" applyBorder="1" applyAlignment="1" applyProtection="1">
      <alignment horizontal="left" vertical="center" wrapText="1"/>
      <protection locked="0"/>
    </xf>
    <xf numFmtId="0" fontId="30" fillId="0" borderId="9" xfId="0" applyFont="1" applyBorder="1" applyAlignment="1" applyProtection="1">
      <alignment horizontal="left" vertical="center" wrapText="1"/>
      <protection locked="0"/>
    </xf>
    <xf numFmtId="0" fontId="30" fillId="0" borderId="11" xfId="0" applyFont="1" applyBorder="1" applyAlignment="1" applyProtection="1">
      <alignment horizontal="left" vertical="center" wrapText="1"/>
      <protection locked="0"/>
    </xf>
    <xf numFmtId="0" fontId="44" fillId="8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0" xfId="0" applyBorder="1" applyAlignment="1" applyProtection="1">
      <alignment horizontal="left" vertical="center" wrapText="1"/>
      <protection locked="0"/>
    </xf>
    <xf numFmtId="0" fontId="0" fillId="0" borderId="9" xfId="0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left" vertical="center" wrapText="1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0" xfId="14" applyFont="1" applyBorder="1" applyAlignment="1" applyProtection="1">
      <alignment horizontal="right"/>
      <protection locked="0"/>
    </xf>
    <xf numFmtId="0" fontId="3" fillId="0" borderId="9" xfId="14" applyFont="1" applyBorder="1" applyAlignment="1" applyProtection="1">
      <alignment horizontal="right"/>
      <protection locked="0"/>
    </xf>
    <xf numFmtId="0" fontId="3" fillId="0" borderId="11" xfId="14" applyFont="1" applyBorder="1" applyAlignment="1" applyProtection="1">
      <alignment horizontal="right"/>
      <protection locked="0"/>
    </xf>
    <xf numFmtId="0" fontId="9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8" fillId="2" borderId="0" xfId="1" applyFont="1" applyFill="1" applyAlignment="1" applyProtection="1">
      <alignment horizontal="right" vertical="center"/>
      <protection locked="0"/>
    </xf>
    <xf numFmtId="0" fontId="9" fillId="2" borderId="0" xfId="1" applyFont="1" applyFill="1" applyAlignment="1" applyProtection="1">
      <alignment horizontal="center" vertical="center"/>
      <protection hidden="1"/>
    </xf>
    <xf numFmtId="0" fontId="10" fillId="2" borderId="0" xfId="1" applyFont="1" applyFill="1" applyAlignment="1" applyProtection="1">
      <alignment horizontal="center" vertical="center" wrapText="1"/>
      <protection locked="0"/>
    </xf>
    <xf numFmtId="165" fontId="13" fillId="2" borderId="0" xfId="1" applyNumberFormat="1" applyFont="1" applyFill="1" applyAlignment="1" applyProtection="1">
      <alignment horizontal="left"/>
      <protection locked="0"/>
    </xf>
    <xf numFmtId="0" fontId="8" fillId="2" borderId="0" xfId="1" applyFont="1" applyFill="1" applyAlignment="1" applyProtection="1">
      <alignment horizontal="right"/>
      <protection locked="0"/>
    </xf>
    <xf numFmtId="0" fontId="9" fillId="2" borderId="0" xfId="1" applyFont="1" applyFill="1" applyAlignment="1" applyProtection="1">
      <alignment horizontal="center"/>
      <protection hidden="1"/>
    </xf>
    <xf numFmtId="165" fontId="15" fillId="2" borderId="0" xfId="2" applyNumberFormat="1" applyFont="1" applyFill="1" applyAlignment="1" applyProtection="1">
      <alignment horizontal="center" vertical="center" wrapText="1"/>
      <protection locked="0"/>
    </xf>
    <xf numFmtId="165" fontId="8" fillId="2" borderId="0" xfId="2" applyNumberFormat="1" applyFont="1" applyFill="1" applyAlignment="1" applyProtection="1">
      <alignment horizontal="right" vertical="center" wrapText="1"/>
      <protection locked="0"/>
    </xf>
    <xf numFmtId="165" fontId="9" fillId="2" borderId="0" xfId="2" applyNumberFormat="1" applyFont="1" applyFill="1" applyAlignment="1" applyProtection="1">
      <alignment horizontal="center" vertical="center" wrapText="1"/>
      <protection hidden="1"/>
    </xf>
    <xf numFmtId="165" fontId="10" fillId="2" borderId="0" xfId="2" applyNumberFormat="1" applyFont="1" applyFill="1" applyAlignment="1" applyProtection="1">
      <alignment horizontal="center" vertical="center" wrapText="1"/>
      <protection locked="0"/>
    </xf>
    <xf numFmtId="165" fontId="12" fillId="2" borderId="0" xfId="2" applyNumberFormat="1" applyFont="1" applyFill="1" applyAlignment="1" applyProtection="1">
      <alignment horizontal="center" textRotation="180" wrapText="1"/>
      <protection locked="0"/>
    </xf>
    <xf numFmtId="0" fontId="13" fillId="2" borderId="0" xfId="2" applyFont="1" applyFill="1" applyAlignment="1" applyProtection="1">
      <alignment horizontal="right"/>
      <protection locked="0"/>
    </xf>
    <xf numFmtId="165" fontId="9" fillId="2" borderId="0" xfId="1" applyNumberFormat="1" applyFont="1" applyFill="1" applyAlignment="1" applyProtection="1">
      <alignment horizontal="center" vertical="center" wrapText="1"/>
      <protection hidden="1"/>
    </xf>
    <xf numFmtId="165" fontId="10" fillId="2" borderId="0" xfId="1" applyNumberFormat="1" applyFont="1" applyFill="1" applyAlignment="1" applyProtection="1">
      <alignment horizontal="center" vertical="center" wrapText="1"/>
      <protection locked="0"/>
    </xf>
    <xf numFmtId="0" fontId="10" fillId="2" borderId="0" xfId="1" applyFont="1" applyFill="1" applyAlignment="1" applyProtection="1">
      <alignment horizontal="center"/>
      <protection locked="0"/>
    </xf>
    <xf numFmtId="165" fontId="25" fillId="2" borderId="0" xfId="2" applyNumberFormat="1" applyFont="1" applyFill="1" applyAlignment="1" applyProtection="1">
      <alignment horizontal="right" wrapText="1"/>
      <protection locked="0"/>
    </xf>
    <xf numFmtId="0" fontId="7" fillId="2" borderId="0" xfId="2" applyFont="1" applyFill="1" applyAlignment="1" applyProtection="1">
      <alignment horizontal="left" vertical="center"/>
      <protection locked="0"/>
    </xf>
    <xf numFmtId="0" fontId="25" fillId="2" borderId="0" xfId="2" applyFont="1" applyFill="1" applyAlignment="1" applyProtection="1">
      <alignment horizontal="right" vertical="center"/>
      <protection locked="0"/>
    </xf>
    <xf numFmtId="0" fontId="8" fillId="2" borderId="0" xfId="2" applyFont="1" applyFill="1" applyAlignment="1" applyProtection="1">
      <alignment horizontal="right" vertical="center"/>
      <protection locked="0"/>
    </xf>
    <xf numFmtId="0" fontId="9" fillId="2" borderId="0" xfId="2" applyFont="1" applyFill="1" applyAlignment="1" applyProtection="1">
      <alignment horizontal="center" vertical="center"/>
      <protection hidden="1"/>
    </xf>
    <xf numFmtId="0" fontId="9" fillId="2" borderId="0" xfId="2" applyFont="1" applyFill="1" applyAlignment="1" applyProtection="1">
      <alignment horizontal="center" vertical="center" wrapText="1"/>
      <protection hidden="1"/>
    </xf>
    <xf numFmtId="0" fontId="10" fillId="2" borderId="0" xfId="2" applyFont="1" applyFill="1" applyAlignment="1" applyProtection="1">
      <alignment horizontal="center" vertical="center" wrapText="1"/>
      <protection locked="0"/>
    </xf>
    <xf numFmtId="0" fontId="5" fillId="2" borderId="0" xfId="2" applyFont="1" applyFill="1" applyAlignment="1" applyProtection="1">
      <alignment horizontal="center" vertical="center"/>
      <protection locked="0"/>
    </xf>
    <xf numFmtId="0" fontId="8" fillId="2" borderId="0" xfId="2" applyFont="1" applyFill="1" applyAlignment="1" applyProtection="1">
      <alignment horizontal="center" vertical="center"/>
      <protection locked="0"/>
    </xf>
    <xf numFmtId="0" fontId="10" fillId="2" borderId="0" xfId="2" applyFont="1" applyFill="1" applyAlignment="1" applyProtection="1">
      <alignment horizontal="right" vertical="center"/>
      <protection locked="0"/>
    </xf>
    <xf numFmtId="0" fontId="5" fillId="2" borderId="0" xfId="2" applyFont="1" applyFill="1" applyAlignment="1" applyProtection="1">
      <alignment horizontal="right" vertical="center"/>
      <protection locked="0"/>
    </xf>
    <xf numFmtId="0" fontId="8" fillId="2" borderId="0" xfId="2" applyFont="1" applyFill="1" applyAlignment="1" applyProtection="1">
      <alignment horizontal="right"/>
      <protection locked="0"/>
    </xf>
    <xf numFmtId="0" fontId="9" fillId="2" borderId="0" xfId="2" applyFont="1" applyFill="1" applyAlignment="1" applyProtection="1">
      <alignment horizontal="center"/>
      <protection hidden="1"/>
    </xf>
    <xf numFmtId="0" fontId="9" fillId="2" borderId="0" xfId="1" applyFont="1" applyFill="1" applyAlignment="1" applyProtection="1">
      <alignment horizontal="center" vertical="center" wrapText="1"/>
      <protection hidden="1"/>
    </xf>
    <xf numFmtId="0" fontId="10" fillId="2" borderId="0" xfId="1" applyFont="1" applyFill="1" applyAlignment="1" applyProtection="1">
      <alignment horizontal="center" vertical="center" wrapText="1"/>
      <protection hidden="1"/>
    </xf>
    <xf numFmtId="0" fontId="7" fillId="2" borderId="0" xfId="1" applyFont="1" applyFill="1" applyAlignment="1" applyProtection="1">
      <alignment horizontal="center"/>
      <protection locked="0"/>
    </xf>
    <xf numFmtId="0" fontId="9" fillId="2" borderId="0" xfId="1" applyFont="1" applyFill="1" applyAlignment="1" applyProtection="1">
      <alignment horizontal="left" vertical="center" wrapText="1"/>
      <protection locked="0"/>
    </xf>
    <xf numFmtId="165" fontId="7" fillId="2" borderId="0" xfId="2" applyNumberFormat="1" applyFont="1" applyFill="1" applyAlignment="1" applyProtection="1">
      <alignment horizontal="center" vertical="center" wrapText="1"/>
      <protection locked="0"/>
    </xf>
    <xf numFmtId="0" fontId="10" fillId="2" borderId="0" xfId="2" applyFont="1" applyFill="1" applyAlignment="1" applyProtection="1">
      <alignment horizontal="justify" vertical="center" wrapText="1"/>
      <protection locked="0"/>
    </xf>
    <xf numFmtId="0" fontId="8" fillId="2" borderId="0" xfId="2" applyFont="1" applyFill="1" applyAlignment="1" applyProtection="1">
      <alignment horizontal="right" vertical="center" wrapText="1"/>
      <protection locked="0"/>
    </xf>
    <xf numFmtId="0" fontId="7" fillId="2" borderId="0" xfId="2" applyFont="1" applyFill="1" applyAlignment="1" applyProtection="1">
      <alignment horizontal="center" vertical="center" wrapText="1"/>
      <protection locked="0"/>
    </xf>
    <xf numFmtId="0" fontId="9" fillId="2" borderId="0" xfId="2" applyFont="1" applyFill="1" applyAlignment="1" applyProtection="1">
      <alignment horizontal="center" wrapText="1"/>
      <protection hidden="1"/>
    </xf>
    <xf numFmtId="0" fontId="10" fillId="2" borderId="0" xfId="2" applyFont="1" applyFill="1" applyAlignment="1" applyProtection="1">
      <alignment horizontal="center" wrapText="1"/>
      <protection locked="0"/>
    </xf>
    <xf numFmtId="0" fontId="8" fillId="2" borderId="0" xfId="4" applyFont="1" applyFill="1" applyAlignment="1" applyProtection="1">
      <alignment horizontal="right"/>
      <protection locked="0"/>
    </xf>
    <xf numFmtId="0" fontId="7" fillId="2" borderId="0" xfId="4" applyFont="1" applyFill="1" applyAlignment="1" applyProtection="1">
      <alignment horizontal="center"/>
      <protection locked="0"/>
    </xf>
    <xf numFmtId="0" fontId="9" fillId="2" borderId="0" xfId="4" applyFont="1" applyFill="1" applyAlignment="1" applyProtection="1">
      <alignment horizontal="center"/>
      <protection hidden="1"/>
    </xf>
    <xf numFmtId="0" fontId="9" fillId="2" borderId="0" xfId="4" applyFont="1" applyFill="1" applyAlignment="1" applyProtection="1">
      <alignment horizontal="center" wrapText="1"/>
      <protection hidden="1"/>
    </xf>
    <xf numFmtId="0" fontId="10" fillId="2" borderId="0" xfId="4" applyFont="1" applyFill="1" applyAlignment="1" applyProtection="1">
      <alignment horizontal="center" wrapText="1"/>
      <protection locked="0"/>
    </xf>
    <xf numFmtId="0" fontId="10" fillId="2" borderId="0" xfId="2" applyFont="1" applyFill="1" applyAlignment="1" applyProtection="1">
      <alignment horizontal="center"/>
      <protection locked="0"/>
    </xf>
    <xf numFmtId="0" fontId="7" fillId="2" borderId="0" xfId="2" applyFont="1" applyFill="1" applyAlignment="1" applyProtection="1">
      <alignment horizontal="center"/>
      <protection locked="0"/>
    </xf>
    <xf numFmtId="0" fontId="25" fillId="2" borderId="0" xfId="2" applyFont="1" applyFill="1" applyAlignment="1" applyProtection="1">
      <alignment horizontal="right"/>
      <protection locked="0"/>
    </xf>
    <xf numFmtId="0" fontId="9" fillId="2" borderId="0" xfId="1" applyFont="1" applyFill="1" applyAlignment="1" applyProtection="1">
      <alignment horizontal="center" vertical="top" wrapText="1"/>
      <protection hidden="1"/>
    </xf>
    <xf numFmtId="0" fontId="10" fillId="2" borderId="0" xfId="1" applyFont="1" applyFill="1" applyAlignment="1" applyProtection="1">
      <alignment horizontal="center" vertical="top" wrapText="1"/>
      <protection locked="0"/>
    </xf>
    <xf numFmtId="0" fontId="9" fillId="2" borderId="0" xfId="2" applyFont="1" applyFill="1" applyAlignment="1">
      <alignment horizontal="center"/>
    </xf>
    <xf numFmtId="0" fontId="9" fillId="2" borderId="0" xfId="2" applyFont="1" applyFill="1" applyAlignment="1" applyProtection="1">
      <alignment horizontal="center" wrapText="1"/>
      <protection locked="0"/>
    </xf>
  </cellXfs>
  <cellStyles count="17">
    <cellStyle name="Ezres 2" xfId="3" xr:uid="{00000000-0005-0000-0000-000000000000}"/>
    <cellStyle name="Hiperhivatkozás" xfId="5" xr:uid="{00000000-0005-0000-0000-000001000000}"/>
    <cellStyle name="Hivatkozás" xfId="10" builtinId="8"/>
    <cellStyle name="Már látott hiperhivatkozás" xfId="6" xr:uid="{00000000-0005-0000-0000-000003000000}"/>
    <cellStyle name="Normál" xfId="0" builtinId="0" customBuiltin="1"/>
    <cellStyle name="Normál 2" xfId="2" xr:uid="{00000000-0005-0000-0000-000005000000}"/>
    <cellStyle name="Normál 2 2" xfId="13" xr:uid="{00000000-0005-0000-0000-000006000000}"/>
    <cellStyle name="Normál 3" xfId="7" xr:uid="{00000000-0005-0000-0000-000007000000}"/>
    <cellStyle name="Normál 3 2" xfId="14" xr:uid="{9D93FDA6-66D3-4414-965E-DFA531948D3A}"/>
    <cellStyle name="Normál 4" xfId="8" xr:uid="{00000000-0005-0000-0000-000008000000}"/>
    <cellStyle name="Normál 4 2" xfId="16" xr:uid="{3C68B78F-111C-4D43-A3FE-78736C42F890}"/>
    <cellStyle name="Normál 5" xfId="11" xr:uid="{00000000-0005-0000-0000-000009000000}"/>
    <cellStyle name="Normál 6" xfId="15" xr:uid="{D861A9A7-CE64-4902-99A0-7792820BD38C}"/>
    <cellStyle name="Normál_KVRENMUNKA" xfId="1" xr:uid="{00000000-0005-0000-0000-00000A000000}"/>
    <cellStyle name="Normál_SEGEDLETEK" xfId="4" xr:uid="{00000000-0005-0000-0000-00000B000000}"/>
    <cellStyle name="Százalék 2" xfId="9" xr:uid="{00000000-0005-0000-0000-00000E000000}"/>
    <cellStyle name="Százalék 3" xfId="12" xr:uid="{00000000-0005-0000-0000-00000F000000}"/>
  </cellStyles>
  <dxfs count="16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numFmt numFmtId="167" formatCode="#,##0\ &quot;Ft&quot;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numFmt numFmtId="167" formatCode="#,##0\ &quot;Ft&quot;"/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horizontal="right"/>
    </dxf>
    <dxf>
      <alignment horizontal="right"/>
    </dxf>
    <dxf>
      <numFmt numFmtId="167" formatCode="#,##0\ &quot;Ft&quot;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ont>
        <b val="0"/>
      </font>
    </dxf>
    <dxf>
      <font>
        <b val="0"/>
      </font>
    </dxf>
    <dxf>
      <font>
        <b val="0"/>
      </font>
    </dxf>
    <dxf>
      <alignment horizontal="right"/>
    </dxf>
    <dxf>
      <alignment horizontal="right"/>
    </dxf>
    <dxf>
      <font>
        <b val="0"/>
      </font>
    </dxf>
    <dxf>
      <font>
        <b val="0"/>
      </font>
    </dxf>
    <dxf>
      <font>
        <color rgb="FF0070C0"/>
      </font>
    </dxf>
    <dxf>
      <font>
        <color rgb="FF0070C0"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alignment horizontal="right"/>
    </dxf>
    <dxf>
      <font>
        <b/>
        <charset val="238"/>
      </font>
    </dxf>
    <dxf>
      <font>
        <color theme="0"/>
      </font>
    </dxf>
    <dxf>
      <fill>
        <patternFill patternType="solid">
          <bgColor theme="3" tint="-0.249977111117893"/>
        </patternFill>
      </fill>
    </dxf>
    <dxf>
      <fill>
        <patternFill>
          <bgColor auto="1"/>
        </patternFill>
      </fill>
    </dxf>
    <dxf>
      <alignment vertical="center"/>
    </dxf>
    <dxf>
      <alignment horizontal="right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color rgb="FF0070C0"/>
      </font>
    </dxf>
    <dxf>
      <font>
        <b/>
        <color theme="1"/>
      </font>
    </dxf>
    <dxf>
      <font>
        <b/>
        <color theme="1" tint="0.499984740745262"/>
      </font>
    </dxf>
    <dxf>
      <font>
        <b/>
        <color theme="1"/>
      </font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  <bottom style="thin">
          <color theme="0" tint="-0.34998626667073579"/>
        </bottom>
      </border>
    </dxf>
    <dxf>
      <font>
        <b/>
        <color theme="1"/>
      </font>
      <fill>
        <patternFill patternType="solid">
          <fgColor theme="0"/>
          <bgColor theme="0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color theme="1"/>
      </font>
      <border>
        <top style="thin">
          <color theme="1" tint="0.499984740745262"/>
        </top>
        <bottom style="thin">
          <color theme="1" tint="0.499984740745262"/>
        </bottom>
      </border>
    </dxf>
    <dxf>
      <font>
        <color theme="1"/>
      </font>
      <border>
        <horizontal style="thin">
          <color theme="0" tint="-0.14999847407452621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border>
        <top style="thin">
          <color theme="1" tint="0.499984740745262"/>
        </top>
        <bottom style="thin">
          <color theme="1" tint="0.499984740745262"/>
        </bottom>
      </border>
    </dxf>
    <dxf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color theme="1" tint="0.499984740745262"/>
      </font>
    </dxf>
    <dxf>
      <font>
        <b/>
        <color theme="1"/>
      </font>
    </dxf>
    <dxf>
      <font>
        <b/>
        <color theme="1" tint="0.499984740745262"/>
      </font>
    </dxf>
    <dxf>
      <font>
        <b/>
        <color theme="1"/>
      </font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  <bottom style="thin">
          <color theme="0" tint="-0.34998626667073579"/>
        </bottom>
      </border>
    </dxf>
    <dxf>
      <font>
        <b/>
        <color theme="1"/>
      </font>
      <fill>
        <patternFill patternType="solid">
          <fgColor theme="0"/>
          <bgColor theme="0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color theme="1"/>
      </font>
      <border>
        <top style="thin">
          <color theme="1" tint="0.499984740745262"/>
        </top>
        <bottom style="thin">
          <color theme="1" tint="0.499984740745262"/>
        </bottom>
      </border>
    </dxf>
    <dxf>
      <font>
        <color theme="1"/>
      </font>
      <border>
        <horizontal style="thin">
          <color theme="0" tint="-0.14999847407452621"/>
        </horizontal>
      </border>
    </dxf>
  </dxfs>
  <tableStyles count="3" defaultTableStyle="TableStyleMedium2" defaultPivotStyle="PivotStyleLight16">
    <tableStyle name="Cofog stílus" table="0" count="11" xr9:uid="{D7114C92-3E94-43CC-9505-395FF1E1278B}">
      <tableStyleElement type="wholeTable" dxfId="162"/>
      <tableStyleElement type="headerRow" dxfId="161"/>
      <tableStyleElement type="totalRow" dxfId="160"/>
      <tableStyleElement type="firstRowStripe" dxfId="159"/>
      <tableStyleElement type="firstColumnStripe" dxfId="158"/>
      <tableStyleElement type="firstSubtotalRow" dxfId="157"/>
      <tableStyleElement type="secondSubtotalRow" dxfId="156"/>
      <tableStyleElement type="firstRowSubheading" dxfId="155"/>
      <tableStyleElement type="secondRowSubheading" dxfId="154"/>
      <tableStyleElement type="pageFieldLabels" dxfId="153"/>
      <tableStyleElement type="pageFieldValues" dxfId="152"/>
    </tableStyle>
    <tableStyle name="MySqlDefault" pivot="0" table="0" count="2" xr9:uid="{00000000-0011-0000-FFFF-FFFF00000000}">
      <tableStyleElement type="wholeTable" dxfId="151"/>
      <tableStyleElement type="headerRow" dxfId="150"/>
    </tableStyle>
    <tableStyle name="PivotStyleLight1 2" table="0" count="9" xr9:uid="{4E11AFD5-4155-425D-8046-AF8B51160394}">
      <tableStyleElement type="wholeTable" dxfId="149"/>
      <tableStyleElement type="headerRow" dxfId="148"/>
      <tableStyleElement type="totalRow" dxfId="147"/>
      <tableStyleElement type="firstRowStripe" dxfId="146"/>
      <tableStyleElement type="firstColumnStripe" dxfId="145"/>
      <tableStyleElement type="firstSubtotalRow" dxfId="144"/>
      <tableStyleElement type="secondSubtotalRow" dxfId="143"/>
      <tableStyleElement type="firstRowSubheading" dxfId="142"/>
      <tableStyleElement type="secondRowSubheading" dxfId="141"/>
    </tableStyle>
  </tableStyles>
  <colors>
    <mruColors>
      <color rgb="FFFFFFCC"/>
      <color rgb="FF00CC99"/>
      <color rgb="FFE7EEF5"/>
      <color rgb="FFFFFF99"/>
      <color rgb="FFF9FBFD"/>
      <color rgb="FFBCCFE6"/>
      <color rgb="FFF4F7FA"/>
      <color rgb="FF00CC66"/>
      <color rgb="FF9999FF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50" Type="http://schemas.openxmlformats.org/officeDocument/2006/relationships/customXml" Target="../customXml/item6.xml"/><Relationship Id="rId55" Type="http://schemas.openxmlformats.org/officeDocument/2006/relationships/customXml" Target="../customXml/item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pivotCacheDefinition" Target="pivotCache/pivotCacheDefinition3.xml"/><Relationship Id="rId45" Type="http://schemas.openxmlformats.org/officeDocument/2006/relationships/customXml" Target="../customXml/item1.xml"/><Relationship Id="rId53" Type="http://schemas.openxmlformats.org/officeDocument/2006/relationships/customXml" Target="../customXml/item9.xml"/><Relationship Id="rId58" Type="http://schemas.openxmlformats.org/officeDocument/2006/relationships/customXml" Target="../customXml/item14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4.xml"/><Relationship Id="rId56" Type="http://schemas.openxmlformats.org/officeDocument/2006/relationships/customXml" Target="../customXml/item12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1.xml"/><Relationship Id="rId46" Type="http://schemas.openxmlformats.org/officeDocument/2006/relationships/customXml" Target="../customXml/item2.xml"/><Relationship Id="rId59" Type="http://schemas.openxmlformats.org/officeDocument/2006/relationships/customXml" Target="../customXml/item15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Relationship Id="rId54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5.xml"/><Relationship Id="rId57" Type="http://schemas.openxmlformats.org/officeDocument/2006/relationships/customXml" Target="../customXml/item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52" Type="http://schemas.openxmlformats.org/officeDocument/2006/relationships/customXml" Target="../customXml/item8.xml"/><Relationship Id="rId60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Előterjesztés!$L$44</c:f>
              <c:strCache>
                <c:ptCount val="1"/>
                <c:pt idx="0">
                  <c:v>Módosított előirányzat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8-43A8-BCB3-30C0B3F3DC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B8-43A8-BCB3-30C0B3F3DC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B8-43A8-BCB3-30C0B3F3DC7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AB8-43A8-BCB3-30C0B3F3DC7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AB8-43A8-BCB3-30C0B3F3DC7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AB8-43A8-BCB3-30C0B3F3DC7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AB8-43A8-BCB3-30C0B3F3DC7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AB8-43A8-BCB3-30C0B3F3DC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Előterjesztés!$K$45:$K$52</c:f>
              <c:strCache>
                <c:ptCount val="8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</c:strCache>
            </c:strRef>
          </c:cat>
          <c:val>
            <c:numRef>
              <c:f>Előterjesztés!$L$45:$L$52</c:f>
              <c:numCache>
                <c:formatCode>#,##0</c:formatCode>
                <c:ptCount val="8"/>
                <c:pt idx="0">
                  <c:v>807.17227700000001</c:v>
                </c:pt>
                <c:pt idx="1">
                  <c:v>74.340963000000002</c:v>
                </c:pt>
                <c:pt idx="2">
                  <c:v>341.8</c:v>
                </c:pt>
                <c:pt idx="3">
                  <c:v>189.18224000000001</c:v>
                </c:pt>
                <c:pt idx="4">
                  <c:v>0</c:v>
                </c:pt>
                <c:pt idx="5">
                  <c:v>1.2504</c:v>
                </c:pt>
                <c:pt idx="6">
                  <c:v>0</c:v>
                </c:pt>
                <c:pt idx="7">
                  <c:v>241.414872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0-4689-ACFA-5D19D2068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Garamond" panose="02020404030301010803" pitchFamily="18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Előterjesztés!$L$58</c:f>
              <c:strCache>
                <c:ptCount val="1"/>
                <c:pt idx="0">
                  <c:v>Módosított előirányzat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8E-41EE-99CA-F27DB8DB04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8E-41EE-99CA-F27DB8DB04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8E-41EE-99CA-F27DB8DB04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8E-41EE-99CA-F27DB8DB043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8E-41EE-99CA-F27DB8DB04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8E-41EE-99CA-F27DB8DB043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8E-41EE-99CA-F27DB8DB043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8E-41EE-99CA-F27DB8DB043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4D8-49EB-9BFF-69731B5208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Előterjesztés!$K$59:$K$67</c:f>
              <c:strCache>
                <c:ptCount val="9"/>
                <c:pt idx="0">
                  <c:v>K1</c:v>
                </c:pt>
                <c:pt idx="1">
                  <c:v>K2</c:v>
                </c:pt>
                <c:pt idx="2">
                  <c:v>K3</c:v>
                </c:pt>
                <c:pt idx="3">
                  <c:v>K4</c:v>
                </c:pt>
                <c:pt idx="4">
                  <c:v>K5</c:v>
                </c:pt>
                <c:pt idx="5">
                  <c:v>K6</c:v>
                </c:pt>
                <c:pt idx="6">
                  <c:v>K7</c:v>
                </c:pt>
                <c:pt idx="7">
                  <c:v>K8</c:v>
                </c:pt>
                <c:pt idx="8">
                  <c:v>K9</c:v>
                </c:pt>
              </c:strCache>
            </c:strRef>
          </c:cat>
          <c:val>
            <c:numRef>
              <c:f>Előterjesztés!$L$59:$L$67</c:f>
              <c:numCache>
                <c:formatCode>#,##0</c:formatCode>
                <c:ptCount val="9"/>
                <c:pt idx="0">
                  <c:v>674.89254600000004</c:v>
                </c:pt>
                <c:pt idx="1">
                  <c:v>84.827106000000001</c:v>
                </c:pt>
                <c:pt idx="2">
                  <c:v>544.15497600000003</c:v>
                </c:pt>
                <c:pt idx="3">
                  <c:v>8</c:v>
                </c:pt>
                <c:pt idx="4">
                  <c:v>135.14323099999999</c:v>
                </c:pt>
                <c:pt idx="5">
                  <c:v>134.080399</c:v>
                </c:pt>
                <c:pt idx="6">
                  <c:v>34.567118999999998</c:v>
                </c:pt>
                <c:pt idx="7">
                  <c:v>0</c:v>
                </c:pt>
                <c:pt idx="8">
                  <c:v>39.495375000000003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E8E-41EE-99CA-F27DB8DB0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Garamond" panose="02020404030301010803" pitchFamily="18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69-42AF-A8F8-6DA0E93CF3DD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69-42AF-A8F8-6DA0E93CF3D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69-42AF-A8F8-6DA0E93CF3DD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869-42AF-A8F8-6DA0E93CF3DD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9-42AF-A8F8-6DA0E93CF3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Előterjesztés!$K$146:$K$150</c:f>
              <c:strCache>
                <c:ptCount val="5"/>
                <c:pt idx="0">
                  <c:v>2022. évi teljesítés</c:v>
                </c:pt>
                <c:pt idx="1">
                  <c:v>2023. évi teljesítés</c:v>
                </c:pt>
                <c:pt idx="2">
                  <c:v>2024. évi teljesítés</c:v>
                </c:pt>
                <c:pt idx="3">
                  <c:v>2025. évi eredeti előirányzat</c:v>
                </c:pt>
                <c:pt idx="4">
                  <c:v>2025. évi módosított előirányzat</c:v>
                </c:pt>
              </c:strCache>
            </c:strRef>
          </c:cat>
          <c:val>
            <c:numRef>
              <c:f>Előterjesztés!$L$146:$L$150</c:f>
              <c:numCache>
                <c:formatCode>#,##0</c:formatCode>
                <c:ptCount val="5"/>
                <c:pt idx="0">
                  <c:v>1300.540362</c:v>
                </c:pt>
                <c:pt idx="1">
                  <c:v>1272.421693</c:v>
                </c:pt>
                <c:pt idx="2">
                  <c:v>1643.32826</c:v>
                </c:pt>
                <c:pt idx="3">
                  <c:v>1668.5305679999999</c:v>
                </c:pt>
                <c:pt idx="4">
                  <c:v>1655.160752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9-42AF-A8F8-6DA0E93CF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65154847"/>
        <c:axId val="1665138527"/>
      </c:barChart>
      <c:catAx>
        <c:axId val="1665154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hu-HU"/>
          </a:p>
        </c:txPr>
        <c:crossAx val="1665138527"/>
        <c:crosses val="autoZero"/>
        <c:auto val="1"/>
        <c:lblAlgn val="ctr"/>
        <c:lblOffset val="100"/>
        <c:noMultiLvlLbl val="0"/>
      </c:catAx>
      <c:valAx>
        <c:axId val="1665138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hu-HU"/>
          </a:p>
        </c:txPr>
        <c:crossAx val="1665154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Garamond" panose="02020404030301010803" pitchFamily="18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Relationship Id="rId4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ex!A1"/><Relationship Id="rId1" Type="http://schemas.openxmlformats.org/officeDocument/2006/relationships/image" Target="../media/image5.png"/><Relationship Id="rId4" Type="http://schemas.openxmlformats.org/officeDocument/2006/relationships/image" Target="../media/image3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695325</xdr:colOff>
      <xdr:row>1</xdr:row>
      <xdr:rowOff>171450</xdr:rowOff>
    </xdr:from>
    <xdr:to>
      <xdr:col>6</xdr:col>
      <xdr:colOff>838200</xdr:colOff>
      <xdr:row>1</xdr:row>
      <xdr:rowOff>609600</xdr:rowOff>
    </xdr:to>
    <xdr:sp macro="" textlink="">
      <xdr:nvSpPr>
        <xdr:cNvPr id="2" name="Téglalap 1">
          <a:extLst>
            <a:ext uri="{FF2B5EF4-FFF2-40B4-BE49-F238E27FC236}">
              <a16:creationId xmlns:a16="http://schemas.microsoft.com/office/drawing/2014/main" id="{9C094024-2D71-4197-AC8C-9DAB8A3FF7AD}"/>
            </a:ext>
          </a:extLst>
        </xdr:cNvPr>
        <xdr:cNvSpPr/>
      </xdr:nvSpPr>
      <xdr:spPr>
        <a:xfrm>
          <a:off x="2286000" y="228600"/>
          <a:ext cx="5753100" cy="438150"/>
        </a:xfrm>
        <a:prstGeom prst="rect">
          <a:avLst/>
        </a:prstGeom>
        <a:solidFill>
          <a:srgbClr val="7CBF3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2000" b="1">
              <a:latin typeface="Arial" panose="020B0604020202020204" pitchFamily="34" charset="0"/>
              <a:cs typeface="Arial" panose="020B0604020202020204" pitchFamily="34" charset="0"/>
            </a:rPr>
            <a:t>Önkormányzati Megoldások</a:t>
          </a:r>
        </a:p>
      </xdr:txBody>
    </xdr:sp>
    <xdr:clientData/>
  </xdr:twoCellAnchor>
  <xdr:twoCellAnchor editAs="oneCell">
    <xdr:from>
      <xdr:col>1</xdr:col>
      <xdr:colOff>0</xdr:colOff>
      <xdr:row>1</xdr:row>
      <xdr:rowOff>38100</xdr:rowOff>
    </xdr:from>
    <xdr:to>
      <xdr:col>2</xdr:col>
      <xdr:colOff>537335</xdr:colOff>
      <xdr:row>2</xdr:row>
      <xdr:rowOff>289071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E37E8D0C-82DA-4313-BDA3-2CC6671B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5250"/>
          <a:ext cx="1042160" cy="879621"/>
        </a:xfrm>
        <a:prstGeom prst="rect">
          <a:avLst/>
        </a:prstGeom>
      </xdr:spPr>
    </xdr:pic>
    <xdr:clientData/>
  </xdr:twoCellAnchor>
  <xdr:twoCellAnchor>
    <xdr:from>
      <xdr:col>3</xdr:col>
      <xdr:colOff>914400</xdr:colOff>
      <xdr:row>48</xdr:row>
      <xdr:rowOff>38100</xdr:rowOff>
    </xdr:from>
    <xdr:to>
      <xdr:col>6</xdr:col>
      <xdr:colOff>771525</xdr:colOff>
      <xdr:row>49</xdr:row>
      <xdr:rowOff>85725</xdr:rowOff>
    </xdr:to>
    <xdr:sp macro="" textlink="">
      <xdr:nvSpPr>
        <xdr:cNvPr id="4" name="Téglalap 3">
          <a:extLst>
            <a:ext uri="{FF2B5EF4-FFF2-40B4-BE49-F238E27FC236}">
              <a16:creationId xmlns:a16="http://schemas.microsoft.com/office/drawing/2014/main" id="{2F69FD95-CE48-4F07-8B14-4D183D5F1B6A}"/>
            </a:ext>
          </a:extLst>
        </xdr:cNvPr>
        <xdr:cNvSpPr/>
      </xdr:nvSpPr>
      <xdr:spPr>
        <a:xfrm>
          <a:off x="2505075" y="10077450"/>
          <a:ext cx="4857750" cy="381000"/>
        </a:xfrm>
        <a:prstGeom prst="rect">
          <a:avLst/>
        </a:prstGeom>
        <a:solidFill>
          <a:srgbClr val="7CBF3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2000" b="1">
              <a:latin typeface="Arial" panose="020B0604020202020204" pitchFamily="34" charset="0"/>
              <a:cs typeface="Arial" panose="020B0604020202020204" pitchFamily="34" charset="0"/>
            </a:rPr>
            <a:t>www.onkormanyzatimegoldasok.hu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66675</xdr:colOff>
      <xdr:row>0</xdr:row>
      <xdr:rowOff>9525</xdr:rowOff>
    </xdr:from>
    <xdr:to>
      <xdr:col>14</xdr:col>
      <xdr:colOff>318675</xdr:colOff>
      <xdr:row>1</xdr:row>
      <xdr:rowOff>185325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534400" y="9525"/>
          <a:ext cx="252000" cy="252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0</xdr:row>
      <xdr:rowOff>19050</xdr:rowOff>
    </xdr:from>
    <xdr:to>
      <xdr:col>10</xdr:col>
      <xdr:colOff>309150</xdr:colOff>
      <xdr:row>1</xdr:row>
      <xdr:rowOff>194850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48675" y="19050"/>
          <a:ext cx="252000" cy="25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28575</xdr:rowOff>
    </xdr:from>
    <xdr:to>
      <xdr:col>9</xdr:col>
      <xdr:colOff>328200</xdr:colOff>
      <xdr:row>2</xdr:row>
      <xdr:rowOff>4350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763000" y="28575"/>
          <a:ext cx="252000" cy="252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0</xdr:row>
      <xdr:rowOff>9525</xdr:rowOff>
    </xdr:from>
    <xdr:to>
      <xdr:col>9</xdr:col>
      <xdr:colOff>316770</xdr:colOff>
      <xdr:row>1</xdr:row>
      <xdr:rowOff>187230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753475" y="9525"/>
          <a:ext cx="252000" cy="252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0</xdr:rowOff>
    </xdr:from>
    <xdr:to>
      <xdr:col>8</xdr:col>
      <xdr:colOff>299625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505825" y="0"/>
          <a:ext cx="252000" cy="252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0</xdr:row>
      <xdr:rowOff>0</xdr:rowOff>
    </xdr:from>
    <xdr:to>
      <xdr:col>9</xdr:col>
      <xdr:colOff>290100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153650" y="0"/>
          <a:ext cx="252000" cy="252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0</xdr:rowOff>
    </xdr:from>
    <xdr:to>
      <xdr:col>5</xdr:col>
      <xdr:colOff>309150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610475" y="0"/>
          <a:ext cx="252000" cy="252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9525</xdr:rowOff>
    </xdr:from>
    <xdr:to>
      <xdr:col>9</xdr:col>
      <xdr:colOff>328200</xdr:colOff>
      <xdr:row>1</xdr:row>
      <xdr:rowOff>185325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58200" y="9525"/>
          <a:ext cx="252000" cy="252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0</xdr:row>
      <xdr:rowOff>0</xdr:rowOff>
    </xdr:from>
    <xdr:to>
      <xdr:col>9</xdr:col>
      <xdr:colOff>299625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486650" y="0"/>
          <a:ext cx="252000" cy="252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9525</xdr:rowOff>
    </xdr:from>
    <xdr:to>
      <xdr:col>8</xdr:col>
      <xdr:colOff>299625</xdr:colOff>
      <xdr:row>1</xdr:row>
      <xdr:rowOff>185325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172325" y="9525"/>
          <a:ext cx="252000" cy="25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0</xdr:row>
      <xdr:rowOff>38100</xdr:rowOff>
    </xdr:from>
    <xdr:to>
      <xdr:col>5</xdr:col>
      <xdr:colOff>280575</xdr:colOff>
      <xdr:row>1</xdr:row>
      <xdr:rowOff>232950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7307F3-7074-4A78-B745-650C4C52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095750" y="38100"/>
          <a:ext cx="252000" cy="252000"/>
        </a:xfrm>
        <a:prstGeom prst="rect">
          <a:avLst/>
        </a:prstGeom>
      </xdr:spPr>
    </xdr:pic>
    <xdr:clientData/>
  </xdr:twoCellAnchor>
  <xdr:twoCellAnchor>
    <xdr:from>
      <xdr:col>2</xdr:col>
      <xdr:colOff>2266950</xdr:colOff>
      <xdr:row>1</xdr:row>
      <xdr:rowOff>57150</xdr:rowOff>
    </xdr:from>
    <xdr:to>
      <xdr:col>3</xdr:col>
      <xdr:colOff>533401</xdr:colOff>
      <xdr:row>1</xdr:row>
      <xdr:rowOff>266700</xdr:rowOff>
    </xdr:to>
    <xdr:sp macro="" textlink="">
      <xdr:nvSpPr>
        <xdr:cNvPr id="3" name="Téglalap 2">
          <a:extLst>
            <a:ext uri="{FF2B5EF4-FFF2-40B4-BE49-F238E27FC236}">
              <a16:creationId xmlns:a16="http://schemas.microsoft.com/office/drawing/2014/main" id="{CD15AEB6-5DFA-493C-B0A9-219FE9EA11E5}"/>
            </a:ext>
          </a:extLst>
        </xdr:cNvPr>
        <xdr:cNvSpPr/>
      </xdr:nvSpPr>
      <xdr:spPr>
        <a:xfrm>
          <a:off x="2686050" y="114300"/>
          <a:ext cx="2362201" cy="209550"/>
        </a:xfrm>
        <a:prstGeom prst="rect">
          <a:avLst/>
        </a:prstGeom>
        <a:solidFill>
          <a:srgbClr val="7CBF3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000" b="1">
              <a:latin typeface="Arial" panose="020B0604020202020204" pitchFamily="34" charset="0"/>
              <a:cs typeface="Arial" panose="020B0604020202020204" pitchFamily="34" charset="0"/>
            </a:rPr>
            <a:t>Önkormányzati Megoldások</a:t>
          </a:r>
        </a:p>
      </xdr:txBody>
    </xdr:sp>
    <xdr:clientData/>
  </xdr:twoCellAnchor>
  <xdr:twoCellAnchor editAs="oneCell">
    <xdr:from>
      <xdr:col>1</xdr:col>
      <xdr:colOff>28575</xdr:colOff>
      <xdr:row>1</xdr:row>
      <xdr:rowOff>19050</xdr:rowOff>
    </xdr:from>
    <xdr:to>
      <xdr:col>2</xdr:col>
      <xdr:colOff>10437</xdr:colOff>
      <xdr:row>1</xdr:row>
      <xdr:rowOff>300718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1C53A764-24FA-49D1-AAA2-9F47DC996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334287" cy="28166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0</xdr:row>
      <xdr:rowOff>0</xdr:rowOff>
    </xdr:from>
    <xdr:to>
      <xdr:col>9</xdr:col>
      <xdr:colOff>309150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48675" y="0"/>
          <a:ext cx="252000" cy="252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</xdr:colOff>
      <xdr:row>0</xdr:row>
      <xdr:rowOff>0</xdr:rowOff>
    </xdr:from>
    <xdr:to>
      <xdr:col>11</xdr:col>
      <xdr:colOff>299625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429500" y="0"/>
          <a:ext cx="252000" cy="252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0</xdr:row>
      <xdr:rowOff>0</xdr:rowOff>
    </xdr:from>
    <xdr:to>
      <xdr:col>11</xdr:col>
      <xdr:colOff>204375</xdr:colOff>
      <xdr:row>1</xdr:row>
      <xdr:rowOff>175800</xdr:rowOff>
    </xdr:to>
    <xdr:pic>
      <xdr:nvPicPr>
        <xdr:cNvPr id="3" name="Ábra 2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953250" y="0"/>
          <a:ext cx="252000" cy="252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0</xdr:row>
      <xdr:rowOff>0</xdr:rowOff>
    </xdr:from>
    <xdr:to>
      <xdr:col>11</xdr:col>
      <xdr:colOff>204375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FEEA1-803F-4674-B19C-A38B44EC4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363200" y="0"/>
          <a:ext cx="252000" cy="252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0</xdr:row>
      <xdr:rowOff>0</xdr:rowOff>
    </xdr:from>
    <xdr:to>
      <xdr:col>11</xdr:col>
      <xdr:colOff>204375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DF2072-27D8-4415-B150-87157879B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363200" y="0"/>
          <a:ext cx="252000" cy="252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0</xdr:row>
      <xdr:rowOff>0</xdr:rowOff>
    </xdr:from>
    <xdr:to>
      <xdr:col>11</xdr:col>
      <xdr:colOff>204375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0E2714-689B-448B-9C52-BD94DE9A4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363200" y="0"/>
          <a:ext cx="252000" cy="252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</xdr:colOff>
      <xdr:row>0</xdr:row>
      <xdr:rowOff>0</xdr:rowOff>
    </xdr:from>
    <xdr:to>
      <xdr:col>12</xdr:col>
      <xdr:colOff>288195</xdr:colOff>
      <xdr:row>1</xdr:row>
      <xdr:rowOff>168180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86775" y="0"/>
          <a:ext cx="252000" cy="252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</xdr:colOff>
      <xdr:row>0</xdr:row>
      <xdr:rowOff>0</xdr:rowOff>
    </xdr:from>
    <xdr:to>
      <xdr:col>12</xdr:col>
      <xdr:colOff>280575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686925" y="0"/>
          <a:ext cx="252000" cy="252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7</xdr:col>
      <xdr:colOff>290100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239000" y="0"/>
          <a:ext cx="252000" cy="252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0</xdr:rowOff>
    </xdr:from>
    <xdr:to>
      <xdr:col>18</xdr:col>
      <xdr:colOff>299625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811250" y="0"/>
          <a:ext cx="252000" cy="25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</xdr:row>
      <xdr:rowOff>0</xdr:rowOff>
    </xdr:from>
    <xdr:to>
      <xdr:col>14</xdr:col>
      <xdr:colOff>252000</xdr:colOff>
      <xdr:row>1</xdr:row>
      <xdr:rowOff>252000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7C699C-A1CA-4844-A66F-CED6DADAA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467850" y="57150"/>
          <a:ext cx="252000" cy="252000"/>
        </a:xfrm>
        <a:prstGeom prst="rect">
          <a:avLst/>
        </a:prstGeom>
      </xdr:spPr>
    </xdr:pic>
    <xdr:clientData/>
  </xdr:twoCellAnchor>
  <xdr:twoCellAnchor>
    <xdr:from>
      <xdr:col>11</xdr:col>
      <xdr:colOff>142875</xdr:colOff>
      <xdr:row>1</xdr:row>
      <xdr:rowOff>57150</xdr:rowOff>
    </xdr:from>
    <xdr:to>
      <xdr:col>12</xdr:col>
      <xdr:colOff>1819276</xdr:colOff>
      <xdr:row>1</xdr:row>
      <xdr:rowOff>266700</xdr:rowOff>
    </xdr:to>
    <xdr:sp macro="" textlink="">
      <xdr:nvSpPr>
        <xdr:cNvPr id="3" name="Téglalap 2">
          <a:extLst>
            <a:ext uri="{FF2B5EF4-FFF2-40B4-BE49-F238E27FC236}">
              <a16:creationId xmlns:a16="http://schemas.microsoft.com/office/drawing/2014/main" id="{AB519BC6-25F2-4A9B-8D9B-C5E6EDBA8788}"/>
            </a:ext>
          </a:extLst>
        </xdr:cNvPr>
        <xdr:cNvSpPr/>
      </xdr:nvSpPr>
      <xdr:spPr>
        <a:xfrm>
          <a:off x="9277350" y="114300"/>
          <a:ext cx="2362201" cy="209550"/>
        </a:xfrm>
        <a:prstGeom prst="rect">
          <a:avLst/>
        </a:prstGeom>
        <a:solidFill>
          <a:srgbClr val="7CBF3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000" b="1">
              <a:latin typeface="Arial" panose="020B0604020202020204" pitchFamily="34" charset="0"/>
              <a:cs typeface="Arial" panose="020B0604020202020204" pitchFamily="34" charset="0"/>
            </a:rPr>
            <a:t>Önkormányzati Megoldások</a:t>
          </a:r>
        </a:p>
      </xdr:txBody>
    </xdr:sp>
    <xdr:clientData/>
  </xdr:twoCellAnchor>
  <xdr:twoCellAnchor editAs="oneCell">
    <xdr:from>
      <xdr:col>1</xdr:col>
      <xdr:colOff>24947</xdr:colOff>
      <xdr:row>1</xdr:row>
      <xdr:rowOff>22679</xdr:rowOff>
    </xdr:from>
    <xdr:to>
      <xdr:col>1</xdr:col>
      <xdr:colOff>359234</xdr:colOff>
      <xdr:row>1</xdr:row>
      <xdr:rowOff>304347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98E6FF7E-DEE7-FCC8-60E0-B2AB826FF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83" y="81643"/>
          <a:ext cx="334287" cy="28166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0</xdr:row>
      <xdr:rowOff>0</xdr:rowOff>
    </xdr:from>
    <xdr:to>
      <xdr:col>6</xdr:col>
      <xdr:colOff>299625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267700" y="0"/>
          <a:ext cx="252000" cy="252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0</xdr:row>
      <xdr:rowOff>0</xdr:rowOff>
    </xdr:from>
    <xdr:to>
      <xdr:col>6</xdr:col>
      <xdr:colOff>299625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C98168-5ACC-460B-BD84-E266305A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382000" y="0"/>
          <a:ext cx="252000" cy="252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28575</xdr:rowOff>
    </xdr:from>
    <xdr:to>
      <xdr:col>8</xdr:col>
      <xdr:colOff>299625</xdr:colOff>
      <xdr:row>2</xdr:row>
      <xdr:rowOff>4350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553325" y="28575"/>
          <a:ext cx="252000" cy="252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0</xdr:rowOff>
    </xdr:from>
    <xdr:to>
      <xdr:col>8</xdr:col>
      <xdr:colOff>299625</xdr:colOff>
      <xdr:row>1</xdr:row>
      <xdr:rowOff>175800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010525" y="0"/>
          <a:ext cx="252000" cy="252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0</xdr:row>
      <xdr:rowOff>38100</xdr:rowOff>
    </xdr:from>
    <xdr:to>
      <xdr:col>11</xdr:col>
      <xdr:colOff>271050</xdr:colOff>
      <xdr:row>2</xdr:row>
      <xdr:rowOff>32925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80C668-0C70-43A3-BA76-A08A550A8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20100" y="38100"/>
          <a:ext cx="252000" cy="25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1</xdr:row>
      <xdr:rowOff>0</xdr:rowOff>
    </xdr:from>
    <xdr:to>
      <xdr:col>7</xdr:col>
      <xdr:colOff>267875</xdr:colOff>
      <xdr:row>1</xdr:row>
      <xdr:rowOff>252000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D42A60-6EDD-42F8-9AB5-D0D304BCA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058525" y="57150"/>
          <a:ext cx="248825" cy="2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95250</xdr:rowOff>
    </xdr:from>
    <xdr:to>
      <xdr:col>1</xdr:col>
      <xdr:colOff>875849</xdr:colOff>
      <xdr:row>5</xdr:row>
      <xdr:rowOff>23283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BB5EF2DD-3751-4638-9B96-1DF2BF3F2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2400"/>
          <a:ext cx="828224" cy="699558"/>
        </a:xfrm>
        <a:prstGeom prst="rect">
          <a:avLst/>
        </a:prstGeom>
      </xdr:spPr>
    </xdr:pic>
    <xdr:clientData/>
  </xdr:twoCellAnchor>
  <xdr:twoCellAnchor>
    <xdr:from>
      <xdr:col>3</xdr:col>
      <xdr:colOff>1162050</xdr:colOff>
      <xdr:row>1</xdr:row>
      <xdr:rowOff>57150</xdr:rowOff>
    </xdr:from>
    <xdr:to>
      <xdr:col>5</xdr:col>
      <xdr:colOff>1143001</xdr:colOff>
      <xdr:row>1</xdr:row>
      <xdr:rowOff>266700</xdr:rowOff>
    </xdr:to>
    <xdr:sp macro="" textlink="">
      <xdr:nvSpPr>
        <xdr:cNvPr id="5" name="Téglalap 4">
          <a:extLst>
            <a:ext uri="{FF2B5EF4-FFF2-40B4-BE49-F238E27FC236}">
              <a16:creationId xmlns:a16="http://schemas.microsoft.com/office/drawing/2014/main" id="{F6C51A4F-BFB4-4137-A4A9-BA13AA1FC2F4}"/>
            </a:ext>
          </a:extLst>
        </xdr:cNvPr>
        <xdr:cNvSpPr/>
      </xdr:nvSpPr>
      <xdr:spPr>
        <a:xfrm>
          <a:off x="8562975" y="114300"/>
          <a:ext cx="2362201" cy="209550"/>
        </a:xfrm>
        <a:prstGeom prst="rect">
          <a:avLst/>
        </a:prstGeom>
        <a:solidFill>
          <a:srgbClr val="7CBF3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000" b="1">
              <a:latin typeface="Arial" panose="020B0604020202020204" pitchFamily="34" charset="0"/>
              <a:cs typeface="Arial" panose="020B0604020202020204" pitchFamily="34" charset="0"/>
            </a:rPr>
            <a:t>Önkormányzati Megoldások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95250</xdr:rowOff>
    </xdr:from>
    <xdr:to>
      <xdr:col>1</xdr:col>
      <xdr:colOff>875849</xdr:colOff>
      <xdr:row>5</xdr:row>
      <xdr:rowOff>23283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E6397DED-DC2D-4DD7-8D49-91E255D6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2400"/>
          <a:ext cx="828224" cy="699558"/>
        </a:xfrm>
        <a:prstGeom prst="rect">
          <a:avLst/>
        </a:prstGeom>
      </xdr:spPr>
    </xdr:pic>
    <xdr:clientData/>
  </xdr:twoCellAnchor>
  <xdr:twoCellAnchor>
    <xdr:from>
      <xdr:col>3</xdr:col>
      <xdr:colOff>1152525</xdr:colOff>
      <xdr:row>1</xdr:row>
      <xdr:rowOff>57150</xdr:rowOff>
    </xdr:from>
    <xdr:to>
      <xdr:col>5</xdr:col>
      <xdr:colOff>1133476</xdr:colOff>
      <xdr:row>1</xdr:row>
      <xdr:rowOff>266700</xdr:rowOff>
    </xdr:to>
    <xdr:sp macro="" textlink="">
      <xdr:nvSpPr>
        <xdr:cNvPr id="3" name="Téglalap 2">
          <a:extLst>
            <a:ext uri="{FF2B5EF4-FFF2-40B4-BE49-F238E27FC236}">
              <a16:creationId xmlns:a16="http://schemas.microsoft.com/office/drawing/2014/main" id="{E8696B0D-7864-41BF-BEED-E09735487D8D}"/>
            </a:ext>
          </a:extLst>
        </xdr:cNvPr>
        <xdr:cNvSpPr/>
      </xdr:nvSpPr>
      <xdr:spPr>
        <a:xfrm>
          <a:off x="8553450" y="114300"/>
          <a:ext cx="2362201" cy="209550"/>
        </a:xfrm>
        <a:prstGeom prst="rect">
          <a:avLst/>
        </a:prstGeom>
        <a:solidFill>
          <a:srgbClr val="7CBF3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000" b="1">
              <a:latin typeface="Arial" panose="020B0604020202020204" pitchFamily="34" charset="0"/>
              <a:cs typeface="Arial" panose="020B0604020202020204" pitchFamily="34" charset="0"/>
            </a:rPr>
            <a:t>Önkormányzati Megoldások</a:t>
          </a:r>
        </a:p>
      </xdr:txBody>
    </xdr:sp>
    <xdr:clientData/>
  </xdr:twoCellAnchor>
  <xdr:twoCellAnchor editAs="oneCell">
    <xdr:from>
      <xdr:col>7</xdr:col>
      <xdr:colOff>19050</xdr:colOff>
      <xdr:row>0</xdr:row>
      <xdr:rowOff>28575</xdr:rowOff>
    </xdr:from>
    <xdr:to>
      <xdr:col>7</xdr:col>
      <xdr:colOff>273648</xdr:colOff>
      <xdr:row>1</xdr:row>
      <xdr:rowOff>223425</xdr:rowOff>
    </xdr:to>
    <xdr:pic>
      <xdr:nvPicPr>
        <xdr:cNvPr id="4" name="Ábra 3" descr="Vízszintesen visszakanyarodó nyí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D75388-FD15-4DFB-A901-C19DC878B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1058525" y="28575"/>
          <a:ext cx="254598" cy="25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1</xdr:row>
      <xdr:rowOff>0</xdr:rowOff>
    </xdr:from>
    <xdr:to>
      <xdr:col>7</xdr:col>
      <xdr:colOff>273648</xdr:colOff>
      <xdr:row>1</xdr:row>
      <xdr:rowOff>252000</xdr:rowOff>
    </xdr:to>
    <xdr:pic>
      <xdr:nvPicPr>
        <xdr:cNvPr id="3" name="Ábra 2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9FCDBF-59F4-4172-9938-A27C24D04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058525" y="57150"/>
          <a:ext cx="254598" cy="2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95250</xdr:rowOff>
    </xdr:from>
    <xdr:to>
      <xdr:col>1</xdr:col>
      <xdr:colOff>875849</xdr:colOff>
      <xdr:row>5</xdr:row>
      <xdr:rowOff>23283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E0A4B4EF-8EDA-45C5-B31A-88A620D06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2400"/>
          <a:ext cx="828224" cy="699558"/>
        </a:xfrm>
        <a:prstGeom prst="rect">
          <a:avLst/>
        </a:prstGeom>
      </xdr:spPr>
    </xdr:pic>
    <xdr:clientData/>
  </xdr:twoCellAnchor>
  <xdr:twoCellAnchor>
    <xdr:from>
      <xdr:col>3</xdr:col>
      <xdr:colOff>1162050</xdr:colOff>
      <xdr:row>1</xdr:row>
      <xdr:rowOff>57150</xdr:rowOff>
    </xdr:from>
    <xdr:to>
      <xdr:col>5</xdr:col>
      <xdr:colOff>1143001</xdr:colOff>
      <xdr:row>1</xdr:row>
      <xdr:rowOff>266700</xdr:rowOff>
    </xdr:to>
    <xdr:sp macro="" textlink="">
      <xdr:nvSpPr>
        <xdr:cNvPr id="5" name="Téglalap 4">
          <a:extLst>
            <a:ext uri="{FF2B5EF4-FFF2-40B4-BE49-F238E27FC236}">
              <a16:creationId xmlns:a16="http://schemas.microsoft.com/office/drawing/2014/main" id="{C1561044-A03E-4583-A163-7E7B0E4DE881}"/>
            </a:ext>
          </a:extLst>
        </xdr:cNvPr>
        <xdr:cNvSpPr/>
      </xdr:nvSpPr>
      <xdr:spPr>
        <a:xfrm>
          <a:off x="8562975" y="114300"/>
          <a:ext cx="2362201" cy="209550"/>
        </a:xfrm>
        <a:prstGeom prst="rect">
          <a:avLst/>
        </a:prstGeom>
        <a:solidFill>
          <a:srgbClr val="7CBF33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000" b="1">
              <a:latin typeface="Arial" panose="020B0604020202020204" pitchFamily="34" charset="0"/>
              <a:cs typeface="Arial" panose="020B0604020202020204" pitchFamily="34" charset="0"/>
            </a:rPr>
            <a:t>Önkormányzati Megoldások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10</xdr:col>
      <xdr:colOff>244380</xdr:colOff>
      <xdr:row>0</xdr:row>
      <xdr:rowOff>244380</xdr:rowOff>
    </xdr:to>
    <xdr:pic>
      <xdr:nvPicPr>
        <xdr:cNvPr id="5" name="Ábra 4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5BB17D-7C61-4990-9F49-6D9F7F7DE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191500" y="0"/>
          <a:ext cx="252000" cy="25200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100</xdr:row>
      <xdr:rowOff>76199</xdr:rowOff>
    </xdr:from>
    <xdr:to>
      <xdr:col>8</xdr:col>
      <xdr:colOff>914400</xdr:colOff>
      <xdr:row>121</xdr:row>
      <xdr:rowOff>114299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325A20A-B71E-83BE-015D-1E629756AB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123</xdr:row>
      <xdr:rowOff>76200</xdr:rowOff>
    </xdr:from>
    <xdr:to>
      <xdr:col>8</xdr:col>
      <xdr:colOff>895350</xdr:colOff>
      <xdr:row>144</xdr:row>
      <xdr:rowOff>114300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6601F89-6BCE-4B8B-9337-93E4EA4A1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146</xdr:row>
      <xdr:rowOff>95250</xdr:rowOff>
    </xdr:from>
    <xdr:to>
      <xdr:col>8</xdr:col>
      <xdr:colOff>914400</xdr:colOff>
      <xdr:row>169</xdr:row>
      <xdr:rowOff>114300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D28A2CD-1280-1D27-14C7-CF71B98E4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0</xdr:row>
      <xdr:rowOff>19050</xdr:rowOff>
    </xdr:from>
    <xdr:to>
      <xdr:col>3</xdr:col>
      <xdr:colOff>261525</xdr:colOff>
      <xdr:row>1</xdr:row>
      <xdr:rowOff>71025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A4580C-597B-4FBE-8009-FD3D801C9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591300" y="19050"/>
          <a:ext cx="252000" cy="252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0</xdr:row>
      <xdr:rowOff>19050</xdr:rowOff>
    </xdr:from>
    <xdr:to>
      <xdr:col>3</xdr:col>
      <xdr:colOff>261525</xdr:colOff>
      <xdr:row>2</xdr:row>
      <xdr:rowOff>13875</xdr:rowOff>
    </xdr:to>
    <xdr:pic>
      <xdr:nvPicPr>
        <xdr:cNvPr id="2" name="Ábra 1" descr="Vízszintesen visszakanyarodó nyí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4A05B4-3596-4403-84AD-5023EB17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362700" y="19050"/>
          <a:ext cx="252000" cy="252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es Adrienn" refreshedDate="45896.50563900463" createdVersion="8" refreshedVersion="8" minRefreshableVersion="3" recordCount="2999" xr:uid="{DCDBFB03-BFCD-44C8-9360-17A4F0320431}">
  <cacheSource type="worksheet">
    <worksheetSource ref="M1:U3000" sheet="Adat"/>
  </cacheSource>
  <cacheFields count="9">
    <cacheField name="Szervezet" numFmtId="0">
      <sharedItems count="16">
        <s v="nincs szervezet"/>
        <s v="Nagymarosi Napköziotthonos Óvoda és Bölcsőde"/>
        <s v="Gondozási Központ"/>
        <s v="Nagymaros Város Önkormányzata"/>
        <s v="Nagymaros Városi Könyvtár és Művelődési Ház"/>
        <s v="Nagymarosi Polgármesteri Hivatal"/>
        <s v="Szokolya Község Önkormányzata" u="1"/>
        <s v="Szokolya Községi Börzsöny Gyöngye Óvoda és Bölcsőde" u="1"/>
        <s v="Minta Község Önkormányzata" u="1"/>
        <s v="Minta Közös Önkormányzati Hivatal" u="1"/>
        <s v="Minta Művelődési Ház" u="1"/>
        <s v="Minta Óvoda és Bölcsőde" u="1"/>
        <s v="Kismarosi Közös Önkormányzati Hivatal" u="1"/>
        <s v="Kismaros Község Önkormányzata" u="1"/>
        <s v="Művelődési Ház és IKSZT" u="1"/>
        <s v="Kismarosi Kis Morgó Óvoda és Bölcsőde" u="1"/>
      </sharedItems>
    </cacheField>
    <cacheField name="Bevétel, kiadás" numFmtId="0">
      <sharedItems count="3">
        <s v="3 - egyik sem"/>
        <s v="1 - Bevétel"/>
        <s v="2 - Kiadás"/>
      </sharedItems>
    </cacheField>
    <cacheField name="Feladat" numFmtId="0">
      <sharedItems count="4">
        <s v="nincs feladat"/>
        <s v="1 - (KÖT)"/>
        <s v="2 - (ÖNV)"/>
        <s v="3 - (ÁIG)" u="1"/>
      </sharedItems>
    </cacheField>
    <cacheField name="Rovat" numFmtId="0">
      <sharedItems count="17">
        <s v="nincs rovat"/>
        <s v="B4 - Működési bevételek"/>
        <s v="K3 - Dologi kiadások"/>
        <s v="K1 - Személyi juttatások"/>
        <s v="K2 - Munkaadókat terhelő járulékok és szociális hozzájárulási adó"/>
        <s v="B8 - Finanszírozási bevételek"/>
        <s v="K5 - Egyéb működési célú kiadások"/>
        <s v="K4 - Ellátottak pénzbeli juttatásai"/>
        <s v="K6 - Beruházások"/>
        <s v="K7 - Felújítások"/>
        <s v="K9 - Finanszírozási kiadások"/>
        <s v="B1 - Működési célú támogatások államháztartáson belülről"/>
        <s v="B2 - Felhalmozási célú támogatások államháztartáson belülről"/>
        <s v="B3 - Közhatalmi bevételek"/>
        <s v="B6 - Működési célú átvett pénzeszközök"/>
        <s v="K8 - Egyéb felhalmozási célú kiadások" u="1"/>
        <s v="B5 - Felhalmozási bevételek" u="1"/>
      </sharedItems>
    </cacheField>
    <cacheField name="Főkönyvi számla" numFmtId="0">
      <sharedItems count="84">
        <s v="nincs főkönyvi számla"/>
        <s v="094051 -  Ellátási díjak előirányzata"/>
        <s v="053221 -  Egyéb kommunikációs szolgáltatások előirányzata"/>
        <s v="053211 -  Informatikai szolgáltatások igénybevétele előirányzata"/>
        <s v="0511011 -  Törvény szerinti illetmények, munkabérek előirányzata"/>
        <s v="0511061 -  Jubileumi jutalom előirányzata"/>
        <s v="0511091 -  Közlekedési költségtérítés előirányzata"/>
        <s v="0511131 -  Foglalkoztatottak egyéb személyi juttatásai előirányzata"/>
        <s v="0521 -  Munkaadókat terhelő járulékok és szociális hozzájárulási adó előirányzata"/>
        <s v="053111 -  Szakmai anyagok beszerzése előirányzata"/>
        <s v="053121 -  Üzemeltetési anyagok beszerzése előirányzata"/>
        <s v="0533111 -  Villamosenergia szolgáltatás díja előirányzata"/>
        <s v="0533121 -  Gázenergia szolgáltatás díja előirányzata"/>
        <s v="0533141 -  Víz- és csatorna szolgáltatás díja előirányzata"/>
        <s v="053341 -  Karbantartási, kisjavítási szolgáltatások előirányzata"/>
        <s v="053361 -  Szakmai tevékenységet segítő szolgáltatások előirányzata"/>
        <s v="053371 -  Egyéb szolgáltatások előirányzata"/>
        <s v="053411 -  Kiküldetések kiadásai előirányzata"/>
        <s v="053511 -  Működési célú előzetesen felszámított általános forgalmi adó előirányzata"/>
        <s v="053551 -  Egyéb dologi kiadások előirányzata"/>
        <s v="0981311 -  Előző év költségvetési maradványának igénybevétele előirányzata"/>
        <s v="098161 -  Központi, irányító szervi támogatás előirányzata"/>
        <s v="0511071 -  Béren kívüli juttatások előirányzata"/>
        <s v="053531 -  Kamatkiadások előirányzata"/>
        <s v="0511041 -  Készenléti, ügyeleti, helyettesítési díj, túlóra, túlszolgálat előirányzata"/>
        <s v="051211 -  Választott tisztségviselők juttatásai előirányzata"/>
        <s v="051221 -  Munkavégzésre irányuló egyéb jogviszonyban nem saját foglalkoztatottnak fizetett juttatások előirányzata"/>
        <s v="053321 -  Vásárolt élelmezés előirányzata"/>
        <s v="053331 -  Bérleti és lízing díjak előirányzata"/>
        <s v="053351 -  Közvetített szolgáltatások előirányzata"/>
        <s v="053421 -  Reklám- és propagandakiadások előirányzata"/>
        <s v="055121 -  Egyéb működési célú támogatások államháztartáson kívülre előirányzata"/>
        <s v="05481 -  Egyéb nem intézményi ellátások előirányzata"/>
        <s v="0550211 -  A helyi önkormányzatok előző évi elszámolásából származó kiadások előirányzata"/>
        <s v="055061 -  Egyéb működési célú támogatások államháztartáson belülre előirányzata"/>
        <s v="055131 -  Tartalékok előirányzata"/>
        <s v="05641 -  Egyéb tárgyi eszközök beszerzése, létesítése előirányzata"/>
        <s v="05671 -  Beruházási célú előzetesen felszámított általános forgalmi adó előirányzata"/>
        <s v="05711 -  Ingatlanok felújítása előirányzata"/>
        <s v="05741 -  Felújítási célú előzetesen felszámított általános forgalmi adó előirányzata"/>
        <s v="0591111 -  Hosszú lejáratú hitelek, kölcsönök törlesztése pénzügyi vállalkozásnak előirányzata"/>
        <s v="059141 -  Államháztartáson belüli megelőlegezések visszafizetése előirányzata"/>
        <s v="059151 -  Központi, irányító szervi támogatás folyósítása előirányzata"/>
        <s v="059171 -  Pénzügyi lízing kiadásai előirányzata"/>
        <s v="091111 -  Helyi önkormányzatok működésének általános támogatása előirányzata"/>
        <s v="091121 -  Települési önkormányzatok egyes köznevelési feladatainak támogatása előirányzata"/>
        <s v="0911311 -  Települési önkormányzatok egyes szociális és gyermekjóléti feladatainak támogatása előirányzata"/>
        <s v="0911321 -  Települési önkormányzatok gyermekétkeztetési feladatainak támogatása előirányzata"/>
        <s v="091141 -  Települési önkormányzatok kulturális feladatainak támogatása előirányzata"/>
        <s v="09161 -  Egyéb működési célú támogatások bevételei államháztartáson belülről előirányzata"/>
        <s v="09211 -  Felhalmozási célú önkormányzati támogatások előirányzata"/>
        <s v="09341 -  Vagyoni típusú adók előirányzata"/>
        <s v="093511 -  Értékesítési és forgalmi adók előirányzata"/>
        <s v="093551 -  Egyéb áruhasználati és szolgáltatási adók előirányzata"/>
        <s v="09361 -  Egyéb közhatalmi bevételek előirányzata"/>
        <s v="094021 -  Szolgáltatások ellenértéke előirányzata"/>
        <s v="094031 -  Közvetített szolgáltatások ellenértéke előirányzata"/>
        <s v="094061 -  Kiszámlázott általános forgalmi adó előirányzata"/>
        <s v="094071 -  Általános forgalmi adó visszatérítése előirányzata"/>
        <s v="0511031 -  Céljuttatás, projektprémium előirányzata"/>
        <s v="053521 -  Fizetendő általános forgalmi adó előirányzata"/>
        <s v="051231 -  Egyéb külső személyi juttatások előirányzata"/>
        <s v="05631 -  Informatikai eszközök beszerzése, létesítése előirányzata"/>
        <s v="0511081 -  Ruházati költségtérítés előirányzata"/>
        <s v="0511101 -  Egyéb költségtérítések előirányzata"/>
        <s v="098141 -  Államháztartáson belüli megelőlegezések előirányzata"/>
        <s v="09651 -  Egyéb működési célú átvett pénzeszközök előirányzata"/>
        <s v="09251 -  Egyéb felhalmozási célú támogatások bevételei államháztartáson belülről előirányzata"/>
        <s v="091151 -  Működési célú költségvetési támogatások és kiegészítő támogatások előirányzata" u="1"/>
        <s v="05621 -  Ingatlanok beszerzése, létesítése előirányzata" u="1"/>
        <s v="05731 -  Egyéb tárgyi eszközök felújítása előirányzata" u="1"/>
        <s v="05891 -  Egyéb felhalmozási célú támogatások államháztartáson kívülre előirányzata" u="1"/>
        <s v="0940821 -  Egyéb kapott (járó) kamatok és kamatjellegű bevételek előirányzata" u="1"/>
        <s v="094101 -  Biztosító által fizetett kártérítés előirányzata" u="1"/>
        <s v="094111 -  Egyéb működési bevételek előirányzata" u="1"/>
        <s v="09531 -  Egyéb tárgyi eszközök értékesítése előirányzata" u="1"/>
        <s v="0550231 -  Egyéb elvonások, befizetések előirányzata" u="1"/>
        <s v="0511051 -  Végkielégítés előirányzata" u="1"/>
        <s v="09521 -  Ingatlanok értékesítése előirányzata" u="1"/>
        <s v="0940811 -  Befektetett pénzügyi eszközökből származó bevételek előirányzata" u="1"/>
        <s v="0511121 -  Szociális támogatások előirányzata" u="1"/>
        <s v="091161 -  Elszámolásból származó bevételek előirányzata" u="1"/>
        <s v="094011 -  Készletértékesítés ellenértéke előirányzata" u="1"/>
        <s v="0981231 -  Befektetési célú belföldi értékpapírok beváltása, értékesítése előirányzata" u="1"/>
      </sharedItems>
    </cacheField>
    <cacheField name="COFOG1" numFmtId="0">
      <sharedItems/>
    </cacheField>
    <cacheField name="Összeg" numFmtId="0">
      <sharedItems containsSemiMixedTypes="0" containsString="0" containsNumber="1" containsInteger="1" minValue="-312855343" maxValue="713571495"/>
    </cacheField>
    <cacheField name="Összeg-abs" numFmtId="0">
      <sharedItems containsSemiMixedTypes="0" containsString="0" containsNumber="1" containsInteger="1" minValue="-34529963" maxValue="713571495"/>
    </cacheField>
    <cacheField name="Megjegyzés" numFmtId="0">
      <sharedItems count="587">
        <s v="nincs megjegyzés"/>
        <s v="2025-01-01 - eredeti ei, 2025/EEI-654427/1"/>
        <s v="2025-01-01 - módosított ei, 2025/MEI-654449/4"/>
        <s v="2025-01-01 - eredeti ei, 2025/EEI-654449/2"/>
        <s v="2025-01-01 - módosított ei, 2025/MEI-731113/19"/>
        <s v="2025-01-01 - eredeti ei, 2025/EEI-731113/1"/>
        <s v="2025-03-01 - módosított ei, 2025/MEI-654427/5"/>
        <s v="2025-03-01 - módosított ei, 2025/MEI-654427/6"/>
        <s v="2025-01-01 - módosított ei, 2025/MEI-654427/3"/>
        <s v="2025-01-01 - módosított ei, 2025/MEI-654472/3"/>
        <s v="2025-01-01 - módosított ei, 2025/MEI-654472/4"/>
        <s v="2025-06-01 - módosított ei, 2025/MEI-731113/51"/>
        <s v="2025-01-01 - módosított ei, 2025/MEI-654449/1"/>
        <s v="2025-01-01 - módosított ei, 2025/MEI-731113/15"/>
        <s v="2025-01-01 - módosított ei, 2025/MEI-731113/39"/>
        <s v="2025-03-01 - módosított ei, 2025/MEI-654449/3"/>
        <s v="2025-04-01 - módosított ei, 2025/MEI-731113/20"/>
        <s v="2025-05-01 - módosított ei, 2025/MEI-394031/7"/>
        <s v="2025-01-01 - módosított ei, 2025/MEI-654472/6"/>
        <s v="2025-03-01 - módosított ei, 2025/MEI-654472/6"/>
        <s v="2025-03-01 - módosított ei, 2025/MEI-654427/4"/>
        <s v="2025-03-01 - módosított ei, 2025/MEI-731113/18"/>
        <s v="2025-06-01 - módosított ei, 2025/MEI-394031/11"/>
        <s v="2025-03-01 - módosított ei, 2025/MEI-654449/2"/>
        <s v="2025-04-01 - módosított ei, 2025/MEI-731113/25"/>
        <s v="2025-04-01 - módosított ei, 2025/MEI-731113/40"/>
        <s v="2025-04-24 - ei mód - támog.összeg csökkenése miatt, 2025/MEI-731113/28"/>
        <s v="2025-01-01 - eredeti ei, 2025/EEI-654472/1"/>
        <s v="2025-01-01 - eredeti ei, 2025/EEI-394031/1"/>
        <s v="2025-05-01 - módosított ei, 2025/MEI-731113/41"/>
        <s v="2025-05-01 - módosított ei, 2025/MEI-731113/42"/>
        <s v="2025-01-01 - módosított ei, 2025/MEI-731113/43"/>
        <s v="2025-04-30 - módosított ei, 2025/MEI-731113/44"/>
        <s v="2025-01-01 - módosított ei, 2025/MEI-731113/21"/>
        <s v="2025-01-01 - módosított ei, 2025/MEI-731113/22"/>
        <s v="2025-01-01 - módosított ei, 2025/MEI-731113/23"/>
        <s v="2025-04-01 - módosított ei, 2025/MEI-654427/7"/>
        <s v="2025-04-01 - módosított ei, 2025/MEI-731113/24"/>
        <s v="2025-04-01 - módosított ei - Forrás - külterületi utak, 2025/MEI-731113/24"/>
        <s v="2025-05-01 - módosított ei, 2025/MEI-654427/12"/>
        <s v="2025-04-01 - módosított ei, 2025/MEI-654427/8"/>
        <s v="2025-05-01 - módosított ei, 2025/MEI-654427/14"/>
        <s v="2025-04-01 - módosított ei, 2025/MEI-654427/9"/>
        <s v="2025-05-01 - módosított ei, 2025/MEI-654449/7"/>
        <s v="2025-06-01 - módosított ei, 2025/MEI-654427/13"/>
        <s v="2025-06-01 - módosított ei, 2025/MEI-654449/8"/>
        <s v="2025-05-01 - módosított ei, 2025/MEI-394031/6"/>
        <s v="2025-06-24 - módosított ei, 2025/MEI-731113/60"/>
        <s v="2025-04-01 - módosított ei, 2025/MEI-654449/5"/>
        <s v="2025-04-01 - módosított ei, 2025/MEI-731113/29"/>
        <s v="2025-04-01 - módosított ei, 2025/MEI-731113/30"/>
        <s v="2025-05-01 - módosított ei, 2025/MEI-654472/7"/>
        <s v="2025-05-01 - módosított ei, 2025/MEI-731113/45"/>
        <s v="2025-06-01 - módosított ei, 2025/MEI-731113/48"/>
        <s v="2025-06-01 - módosított ei, 2025/MEI-654472/8"/>
        <s v="2025-05-01 - módosított ei, 2025/MEI-731113/46"/>
        <s v="2025-06-01 - módosított ei, 2025/MEI-654427/15"/>
        <s v="2025-05-01 - módosított ei, 2025/MEI-731113/49"/>
        <s v="2025-05-01 - módosított ei, 2025/MEI-731113/50"/>
        <s v="2025-06-01 - módosított ei, 2025/MEI-731113/52"/>
        <s v="2025-05-01 - módosított ei, 2025/MEI-731113/53"/>
        <s v="2025-01-01 - módosított ei, 2025/MEI-394031/8"/>
        <s v="2025-05-31 - módosított ei, 2025/MEI-731113/54"/>
        <s v="2025-05-01 - módosított ei, 2025/MEI-731113/47"/>
        <s v="2025-06-01 - módosított ei, 2025/MEI-731113/59"/>
        <s v="2025-06-01 - módosított ei, 2025/MEI-654427/16"/>
        <s v="2025-05-01 - módosított ei, 2025/MEI-731113/31"/>
        <s v="2025-06-01 - módosított ei, 2025/MEI-654449/9"/>
        <s v="2025-03-01 - módosított ei, 2025/MEI-731113/32"/>
        <s v="2025-01-01 - módosított ei, 2025/MEI-654427/10"/>
        <s v="2025-03-31 - módosított ei, 2025/MEI-731113/33"/>
        <s v="2025-04-17 - módosított ei, 2025/MEI-731113/34"/>
        <s v="2025-05-01 - módosított ei, 2025/MEI-654449/6"/>
        <s v="2025-05-01 - módosított ei, 2025/MEI-731113/35"/>
        <s v="2025-06-01 - módosított ei, 2025/MEI-731113/56"/>
        <s v="2025-06-01 - módosított ei, 2025/MEI-731113/55"/>
        <s v="2025-05-01 - módosított ei, 2025/MEI-654427/11"/>
        <s v="2025-06-01 - módosított ei, 2025/MEI-394031/9"/>
        <s v="2025-06-01 - módosított ei, 2025/MEI-654427/17"/>
        <s v="2025-01-01 - módosított ei, 2025/MEI-731113/71"/>
        <s v="2025-06-01 - módosított ei, 2025/MEI-654449/10"/>
        <s v="2025-06-30 - módosított ei, 2025/MEI-731113/69"/>
        <s v="2025-06-01 - módosított ei, 2025/MEI-731113/57"/>
        <s v="2025-06-01 - módosított ei, 2025/MEI-731113/58"/>
        <s v="2025-01-01 - módosított ei, 2025/MEI-731113/81"/>
        <s v="2025-11-23 - Egyéb támogatás, BPM-ÁHI/2025/001" u="1"/>
        <s v="2025-11-23 - Bérleti díj növekedése, 2025/001. szerződés" u="1"/>
        <s v="2025-11-23 - Bérleti díj csökkenése, 2025/002. szerződés" u="1"/>
        <s v="2024-11-30 - előirányzat átcsoportosítása, 2024/MEI-441256/269" u="1"/>
        <s v="2024-01-01 - Eredeti előirányzat, 2024/EEI-441256/1" u="1"/>
        <s v="2024-01-01 - Előirányzat átcsoportosítás, 2024/MEI-441256/152" u="1"/>
        <s v="2024-06-30 - előirányzat átcsoportosítása, 2024/MEI-441256/123" u="1"/>
        <s v="2024-01-01 - Előirányzat átcsoportosítás, 2024/MEI-441256/32" u="1"/>
        <s v="2024-01-01 - előirányzat átcsoportosítás, 2024/MEI-441256/28" u="1"/>
        <s v="2024-01-01 - Előirányzat átcsoportosítás, 2024/MEI-441256/50" u="1"/>
        <s v="2024-11-04 - előirányzat átcsoportosítása, 2024/MEI-441256/264" u="1"/>
        <s v="2024-01-01 - előirányzat átcsoportosítása, 2024/MEI-441256/204" u="1"/>
        <s v="2024-01-01 - előirányzat átcsoportosítása, 2024/MEI-669007/64" u="1"/>
        <s v="2024-01-01 - előirányzat átcsoportosítása, 2024/MEI-441256/156" u="1"/>
        <s v="2024-01-01 - Eredeti előirányzat, 2024/EEI-669007/1" u="1"/>
        <s v="2024-01-01 - előirányzat átcsoportosítása, 2024/MEI-669007/59" u="1"/>
        <s v="2024-01-01 - előirányzat átcsoportosítása, 2024/MEI-669007/28" u="1"/>
        <s v="2024-01-01 - előirányzat átcsoportosítása, 2024/MEI-441256/64" u="1"/>
        <s v="2024-01-01 - előirányzat átcsoportosítása, 2024/MEI-669007/36" u="1"/>
        <s v="2024-01-01 - előirányzat átcsoportosítása, 2024/MEI-669007/41" u="1"/>
        <s v="2024-01-01 - előirányzat átcsoportosítása, 2024/MEI-669007/35" u="1"/>
        <s v="2024-01-01 - előirányzat átcsoportosítása, 2024/MEI-441256/120" u="1"/>
        <s v="2024-11-04 - előirányzat átcsoportosítása, 2024/MEI-669007/84" u="1"/>
        <s v="2024-01-01 - előirányzat átcsoportosítása, 2024/MEI-441256/108" u="1"/>
        <s v="2024-10-28 - előirányzat átcsoportosítása, 2024/MEI-441256/213" u="1"/>
        <s v="2024-01-01 - előirányzat átcsoportosítása, 2024/MEI-441256/179" u="1"/>
        <s v="2024-01-01 - előirányzat átcsoportosítás, 2024/MEI-669007/15" u="1"/>
        <s v="2024-01-01 - Előirányzat átcsoportosítás, 2024/MEI-441256/231" u="1"/>
        <s v="2024-11-30 - előirányzat átcsoportosítása, 2024/MEI-669007/84" u="1"/>
        <s v="2024-01-01 - Előirányzat átcsoportosítás, 2024/MEI-441256/205" u="1"/>
        <s v="2024-01-01 - előirányzat átcsoportosítása, 2024/MEI-669007/54" u="1"/>
        <s v="2024-01-01 - Előirányzat átcsoportosítás, 2024/MEI-669007/37" u="1"/>
        <s v="2024-01-01 - előirányzat átcsoportosítása, 2024/MEI-669007/55" u="1"/>
        <s v="2024-01-01 - előirányzat átcsoportosítása, 2024/MEI-441256/138" u="1"/>
        <s v="2024-01-01 - előirányzat átcsoportosítása, 2024/MEI-441256/141" u="1"/>
        <s v="2024-01-01 - Előirányzat átcsoportosítás, 2024/MEI-669007/52" u="1"/>
        <s v="2024-01-01 - előirányzat átcsoportosítása, 2024/MEI-441256/170" u="1"/>
        <s v="2024-11-30 - előirányzat átcsoportosítása, 2024/MEI-669007/85" u="1"/>
        <s v="2024-11-29 - előirányzat átcsoportosítása, 2024/MEI-441256/245" u="1"/>
        <s v="2024-11-14 - Előirányzat átcsoportosítás, 2024/MEI-441256/234" u="1"/>
        <s v="2024-11-28 - előirányzat átcsoportosítása, 2024/MEI-669007/69" u="1"/>
        <s v="2024-01-01 - előirányzat átcsoportosítása, 2024/MEI-441256/210" u="1"/>
        <s v="2024-01-01 - Előirányzat átcsoportosítás, 2024/MEI-669007/65" u="1"/>
        <s v="2024-01-01 - Előirányzat átcsoportosítás, 2024/MEI-441256/27" u="1"/>
        <s v="2024-01-01 - előirányzat átcsoportosítás, 2024/MEI-441256/46" u="1"/>
        <s v="2024-01-01 - előirányzat átcsoportosítás, 2024/MEI-441256/56" u="1"/>
        <s v="2024-01-01 - előirányzat átcsoportosítása, 2024/MEI-441256/172" u="1"/>
        <s v="2024-01-01 - előirányzat átcsoportosítása, 2024/MEI-441256/101" u="1"/>
        <s v="2024-01-01 - előirányzat átcsoportosítása, 2024/MEI-441256/107" u="1"/>
        <s v="2024-01-01 - előirányzat átcsoportosítása, 2024/MEI-441256/102" u="1"/>
        <s v="2024-01-01 - előirányzat átcsoportosítása, 2024/MEI-441256/103" u="1"/>
        <s v="2024-10-03 - előirányzat átcsoportosítása, 2024/MEI-441256/178" u="1"/>
        <s v="2024-01-17 - előirányzat átcsoportosítás, 2024/MEI-441256/41" u="1"/>
        <s v="2024-01-17 - előirányzat átcsoportosítás, 2024/MEI-441256/40" u="1"/>
        <s v="2024-01-01 - előirányzat átcsoportosítás, 2024/MEI-441256/31" u="1"/>
        <s v="2024-01-01 - Előirányzat átcsoportosítás, 2024/MEI-441256/39" u="1"/>
        <s v="2024-01-01 - előirányzat átcsoportosítás, 2024/MEI-669007/16" u="1"/>
        <s v="2024-01-01 - előirányzat átcsoportosítás, 2024/MEI-669007/20" u="1"/>
        <s v="2024-01-01 - előirányzat átcsoportosítás, 2024/MEI-669007/24" u="1"/>
        <s v="2024-01-01 - előirányzat átcsoportosítása, 2024/MEI-669007/38" u="1"/>
        <s v="2024-01-01 - előirányzat átcsoportosítása, 2024/MEI-669007/39" u="1"/>
        <s v="2024-01-01 - előirányzat átcsoportosítása, 2024/MEI-441256/161" u="1"/>
        <s v="2024-01-01 - előirányzat átcsoportosítása, 2024/MEI-441256/169" u="1"/>
        <s v="2024-06-01 - Előirányzat átcsoportosítás, 2024/MEI-441256/77" u="1"/>
        <s v="2024-01-01 - előirányzat átcsoportosítása, 2024/MEI-441256/95" u="1"/>
        <s v="2024-01-01 - előirányzat átcsoportosítása, 2024/MEI-441256/96" u="1"/>
        <s v="2024-01-01 - előirányzat átcsoportosítása, 2024/MEI-441256/97" u="1"/>
        <s v="2024-01-01 - előirányzat átcsoportosítása, 2024/MEI-441256/176" u="1"/>
        <s v="2024-01-01 - előirányzat átcsoportosítása, 2024/MEI-441256/98" u="1"/>
        <s v="2024-01-01 - előirányzat átcsoportosítása, 2024/MEI-441256/91" u="1"/>
        <s v="2024-01-01 - előirányzat átcsoportosítása, 2024/MEI-441256/74" u="1"/>
        <s v="2024-01-01 - Előirányzat átcsoportosítás, 2024/MEI-669007/45" u="1"/>
        <s v="2024-01-01 - előirányzat átcsoportosítása, 2024/MEI-441256/100" u="1"/>
        <s v="2024-01-01 - előirányzat átcsoportosítása, 2024/MEI-441256/167" u="1"/>
        <s v="2024-01-01 - előirányzat átcsoportosítása, 2024/MEI-441256/168" u="1"/>
        <s v="2024-01-01 - előirányzat átcsoportosítása, 2024/MEI-441256/99" u="1"/>
        <s v="2024-01-01 - előirányzat átcsoportosítása, 2024/MEI-441256/182" u="1"/>
        <s v="2024-10-29 - előirányzat átcsoportosítása, 2024/MEI-441256/201" u="1"/>
        <s v="2024-01-01 - előirányzat átcsoportosítása, 2024/MEI-441256/163" u="1"/>
        <s v="2024-07-08 - előirányzat átcsoportosítása, 2024/MEI-441256/126" u="1"/>
        <s v="2024-01-01 - Előirányzat átcsoportosítás, 2024/MEI-441256/192" u="1"/>
        <s v="2024-01-01 - előirányzat átcsoportosítása, 2024/MEI-441256/240" u="1"/>
        <s v="2024-01-01 - előirányzat átcsoportosítása, 2024/MEI-669007/67" u="1"/>
        <s v="2024-01-01 - előirányzat átcsoportosítása, 2024/MEI-441256/140" u="1"/>
        <s v="2024-01-01 - előirányzat átcsoportosítása, 2024/MEI-441256/83" u="1"/>
        <s v="2024-01-01 - előirányzat átcsoportosítása, 2024/MEI-441256/88" u="1"/>
        <s v="2024-01-01 - előirányzat átcsoportosítása, 2024/MEI-441256/85" u="1"/>
        <s v="2024-01-01 - előirányzat átcsoportosítása, 2024/MEI-441256/89" u="1"/>
        <s v="2024-01-01 - előirányzat átcsoportosítása, 2024/MEI-441256/70" u="1"/>
        <s v="2024-01-01 - előirányzat átcsoportosítása, 2024/MEI-441256/87" u="1"/>
        <s v="2024-01-01 - előirányzat átcsoportosítása, 2024/MEI-441256/90" u="1"/>
        <s v="2024-01-01 - előirányzat átcsoportosítása, 2024/MEI-441256/80" u="1"/>
        <s v="2024-01-01 - előirányzat átcsoportosítása, 2024/MEI-441256/92" u="1"/>
        <s v="2024-01-01 - előirányzat átcsoportosítása, 2024/MEI-441256/110" u="1"/>
        <s v="2024-01-01 - Előirányzat átcsoportosítás, 2024/MEI-441256/137" u="1"/>
        <s v="2024-01-01 - előirányzat átcsoportosítása, 2024/MEI-441256/142" u="1"/>
        <s v="2024-01-01 - előirányzat átcsoportosítása, 2024/MEI-441256/134" u="1"/>
        <s v="2024-01-01 - Előirányzat átcsoportosítás, 2024/MEI-669007/60" u="1"/>
        <s v="2024-11-29 - előirányzat átcsoportosítása, 2024/MEI-441256/246" u="1"/>
        <s v="2024-01-01 - előirányzat átcsoportosítása, 2024/MEI-441256/73" u="1"/>
        <s v="2024-01-01 - előirányzat átcsoportosítása, 2024/MEI-441256/211" u="1"/>
        <s v="2024-01-01 - előirányzat átcsoportosítása, 2024/MEI-669007/66" u="1"/>
        <s v="2024-01-01 - Előirányzat átcsoportosítás, 2024/MEI-441256/209" u="1"/>
        <s v="2024-01-01 - előirányzat átcsoportosítás, 2024/MEI-669007/22" u="1"/>
        <s v="2024-01-01 - előirányzat átcsoportosítása, 2024/MEI-669007/29" u="1"/>
        <s v="2024-01-01 - Előirányzat átcsoportosítás, 2024/MEI-669007/50" u="1"/>
        <s v="2024-01-01 - Előirányzat átcsoportosítás, 2024/MEI-669007/51" u="1"/>
        <s v="2024-01-01 - előirányzat átcsoportosítása, 2024/MEI-441256/135" u="1"/>
        <s v="2024-06-30 - Előirányzat átcsoportosítás, 2024/MEI-441256/125" u="1"/>
        <s v="2024-01-01 - előirányzat átcsoportosítása, 2024/MEI-669007/68" u="1"/>
        <s v="2024-01-01 - Előirányzat átcsoportosítás, 2024/MEI-441256/57" u="1"/>
        <s v="2024-01-01 - előirányzat átcsoportosítás, 2024/MEI-441256/58" u="1"/>
        <s v="2024-01-01 - előirányzat átcsoportosítása, 2024/MEI-669007/46" u="1"/>
        <s v="2024-01-01 - Előirányzat átcsoportosítás, 2024/MEI-441256/60" u="1"/>
        <s v="2024-01-01 - Előirányzat átcsoportosítás, 2024/MEI-441256/62" u="1"/>
        <s v="2024-01-01 - Előirányzat átcsoportosítás, 2024/MEI-669007/32" u="1"/>
        <s v="2024-01-01 - Előirányzat átcsoportosítás, 2024/MEI-669007/33" u="1"/>
        <s v="2024-01-01 - előirányzat átcsoportosítása, 2024/MEI-441256/81" u="1"/>
        <s v="2024-01-01 - előirányzat átcsoportosítása, 2024/MEI-441256/181" u="1"/>
        <s v="2024-01-01 - Előirányzat átcsoportosítás, 2024/MEI-441256/114" u="1"/>
        <s v="2024-01-01 - előirányzat átcsoportosítása, 2024/MEI-441256/229" u="1"/>
        <s v="2024-01-01 - előirányzat átcsoportosítása, 2024/MEI-441256/228" u="1"/>
        <s v="2024-10-25 - előirányzat átcsoportosítása, 2024/MEI-441256/220" u="1"/>
        <s v="2024-11-09 - előirányzat átcsoportosítása, 2024/MEI-441256/212" u="1"/>
        <s v="2024-03-01 - Előirányzat átcsoportosítás, 2024/MEI-441256/53" u="1"/>
        <s v="2024-01-01 - előirányzat átcsoportosítása, 2024/MEI-441256/187" u="1"/>
        <s v="2024-01-01 - előirányzat átcsoportosítása, 2024/MEI-441256/174" u="1"/>
        <s v="2024-01-01 - előirányzat átcsoportosítása, 2024/MEI-441256/188" u="1"/>
        <s v="2024-01-01 - Előirányzat átcsoportosítás, 2024/MEI-441256/33" u="1"/>
        <s v="2024-01-01 - Előirányzat átcsoportosítás, 2024/MEI-441256/34" u="1"/>
        <s v="2024-01-01 - Előirányzat átcsoportosítás, 2024/MEI-441256/109" u="1"/>
        <s v="2024-01-01 - előirányzat átcsoportosítása, 2024/MEI-441256/106" u="1"/>
        <s v="2024-01-01 - előirányzat átcsoportosítás, 2024/MEI-441256/63" u="1"/>
        <s v="2024-03-24 - előirányzat átcsoportosítás, 2024/MEI-669007/17" u="1"/>
        <s v="2024-01-01 - előirányzat átcsoportosítás, 2024/MEI-669007/18" u="1"/>
        <s v="2024-01-01 - előirányzat átcsoportosítása, 2024/MEI-441256/165" u="1"/>
        <s v="2024-01-01 - előirányzat átcsoportosítás, 2024/MEI-669007/23" u="1"/>
        <s v="2024-01-01 - előirányzat átcsoportosítása, 2024/MEI-441256/147" u="1"/>
        <s v="2024-01-01 - előirányzat átcsoportosítása, 2024/MEI-669007/40" u="1"/>
        <s v="2024-01-01 - előirányzat átcsoportosítása, 2024/MEI-441256/149" u="1"/>
        <s v="2024-01-01 - Előirányzat átcsoportosítás, 2024/MEI-441256/112" u="1"/>
        <s v="2024-01-01 - előirányzat átcsoportosítása, 2024/MEI-441256/186" u="1"/>
        <s v="2024-11-28 - előirányzat átcsoportosítása, 2024/MEI-441256/230" u="1"/>
        <s v="2024-01-01 - előirányzat átcsoportosítása, 2024/MEI-441256/105" u="1"/>
        <s v="2024-01-01 - előirányzat átcsoportosítás, 2024/MEI-441256/59" u="1"/>
        <s v="2024-01-01 - előirányzat átcsoportosítás, 2024/MEI-441256/54" u="1"/>
        <s v="2024-01-01 - előirányzat átcsoportosítás, 2024/MEI-441256/61" u="1"/>
        <s v="2024-06-01 - előirányzat átcsoportosítása, 2024/MEI-441256/93" u="1"/>
        <s v="2024-01-01 - előirányzat átcsoportosítása, 2024/MEI-441256/75" u="1"/>
        <s v="2024-01-01 - előirányzat átcsoportosítása, 2024/MEI-441256/76" u="1"/>
        <s v="2024-01-01 - előirányzat átcsoportosítása, 2024/MEI-441256/113" u="1"/>
        <s v="2024-10-10 - előirányzat átcsoportosítása, 2024/MEI-441256/194" u="1"/>
        <s v="2024-01-01 - előirányzat átcsoportosítása, 2024/MEI-441256/171" u="1"/>
        <s v="2024-11-08 - Előirányzat átcsoportosítás, 2024/MEI-441256/233" u="1"/>
        <s v="2024-06-24 - előirányzat átcsoportosítása, 2024/MEI-441256/225" u="1"/>
        <s v="2024-01-01 - előirányzat átcsoportosítása, 2024/MEI-669007/63" u="1"/>
        <s v="2024-11-07 - előirányzat átcsoportosítása, 2024/MEI-669007/62" u="1"/>
        <s v="2024-01-01 - előirányzat átcsoportosítás, 2024/MEI-441256/51" u="1"/>
        <s v="2024-01-01 - Előirányzat átcsoportosítás, 2024/MEI-441256/47" u="1"/>
        <s v="2024-01-01 - előirányzat átcsoportosítás, 2024/MEI-441256/52" u="1"/>
        <s v="2024-01-01 - előirányzat átcsoportosítása, 2024/MEI-441256/139" u="1"/>
        <s v="2024-01-01 - előirányzat átcsoportosítás, 2024/MEI-669007/19" u="1"/>
        <s v="2024-01-01 - előirányzat átcsoportosítás, 2024/MEI-669007/25" u="1"/>
        <s v="2024-01-01 - előirányzat átcsoportosítás, 2024/MEI-669007/27" u="1"/>
        <s v="2024-01-01 - előirányzat átcsoportosítása, 2024/MEI-441256/86" u="1"/>
        <s v="2024-11-05 - előirányzat átcsoportosítása, 2024/MEI-441256/201" u="1"/>
        <s v="2024-01-01 - előirányzat átcsoportosítása, 2024/MEI-441256/183" u="1"/>
        <s v="2024-01-01 - előirányzat átcsoportosítása, 2024/MEI-441256/155" u="1"/>
        <s v="2024-01-01 - előirányzat átcsoportosítása, 2024/MEI-441256/118" u="1"/>
        <s v="2024-01-01 - előirányzat átcsoportosítása, 2024/MEI-669007/57" u="1"/>
        <s v="2024-01-01 - előirányzat átcsoportosítása, 2024/MEI-669007/61" u="1"/>
        <s v="2024-11-26 - Előirányzat átcsoportosítás, 2024/MEI-441256/235" u="1"/>
        <s v="2024-11-28 - előirányzat átcsoportosítása, 2024/MEI-669007/70" u="1"/>
        <s v="2024-11-01 - Előirányzat átcsoportosítás, 2024/MEI-441256/219" u="1"/>
        <s v="2024-01-01 - előirányzat átcsoportosítása, 2024/MEI-441256/130" u="1"/>
        <s v="2024-01-01 - Előirányzat átcsoportosítás, 2024/MEI-441256/146" u="1"/>
        <s v="2024-01-01 - előirányzat átcsoportosítása, 2024/MEI-441256/65" u="1"/>
        <s v="2024-01-01 - előirányzat átcsoportosítása, 2024/MEI-441256/175" u="1"/>
        <s v="2024-01-01 - előirányzat átcsoportosítás, 2024/MEI-441256/29" u="1"/>
        <s v="2024-01-01 - előirányzat átcsoportosítás, 2024/MEI-441256/37" u="1"/>
        <s v="2024-01-01 - előirányzat átcsoportosítás, 2024/MEI-441256/38" u="1"/>
        <s v="2024-01-01 - előirányzat átcsoportosítása, 2024/MEI-669007/47" u="1"/>
        <s v="2024-01-01 - előirányzat átcsoportosítása, 2024/MEI-441256/131" u="1"/>
        <s v="2024-01-01 - előirányzat átcsoportosítása, 2024/MEI-441256/132" u="1"/>
        <s v="2024-10-25 - előirányzat átcsoportosítása, 2024/MEI-441256/224" u="1"/>
        <s v="2024-05-01 - Előirányzat átcsoportosítás, 2024/MEI-441256/78" u="1"/>
        <s v="2024-01-01 - előirányzat átcsoportosítása, 2024/MEI-441256/68" u="1"/>
        <s v="2024-01-01 - előirányzat átcsoportosítása, 2024/MEI-441256/69" u="1"/>
        <s v="2024-01-01 - előirányzat átcsoportosítása, 2024/MEI-441256/82" u="1"/>
        <s v="2024-07-08 - Előirányzat átcsoportosítás, 2024/MEI-669007/42" u="1"/>
        <s v="2024-01-01 - előirányzat átcsoportosítása, 2024/MEI-441256/199" u="1"/>
        <s v="2024-11-11 - előirányzat átcsoportosítása, 2024/MEI-441256/202" u="1"/>
        <s v="2024-01-01 - előirányzat átcsoportosítása, 2024/MEI-441256/180" u="1"/>
        <s v="2024-01-01 - előirányzat átcsoportosítása, 2024/MEI-441256/184" u="1"/>
        <s v="2024-11-11 - előirányzat átcsoportosítása, 2024/MEI-441256/201" u="1"/>
        <s v="2024-01-01 - előirányzat átcsoportosítása, 2024/MEI-441256/111" u="1"/>
        <s v="2024-01-01 - előirányzat átcsoportosítása, 2024/MEI-441256/160" u="1"/>
        <s v="2024-01-01 - előirányzat átcsoportosítása, 2024/MEI-441256/116" u="1"/>
        <s v="2024-01-01 - előirányzat átcsoportosítása, 2024/MEI-441256/177" u="1"/>
        <s v="2024-01-01 - előirányzat átcsoportosítása, 2024/MEI-669007/49" u="1"/>
        <s v="2024-01-01 - előirányzat átcsoportosítása, 2024/MEI-669007/56" u="1"/>
        <s v="2024-11-01 - Előirányzat átcsoportosítás, 2024/MEI-441256/221" u="1"/>
        <s v="2024-11-01 - Előirányzat átcsoportosítás, 2024/MEI-441256/217" u="1"/>
        <s v="2024-11-14 - előirányzat átcsoportosítása, 2024/MEI-441256/215" u="1"/>
        <s v="2024-11-05 - előirányzat átcsoportosítása, 2024/MEI-441256/214" u="1"/>
        <s v="2024-01-01 - előirányzat átcsoportosítás, 2024/MEI-441256/42" u="1"/>
        <s v="2024-01-01 - előirányzat átcsoportosítás, 2024/MEI-441256/55" u="1"/>
        <s v="2024-01-01 - előirányzat átcsoportosítás, 2024/MEI-669007/21" u="1"/>
        <s v="2024-01-01 - előirányzat átcsoportosítás, 2024/MEI-669007/26" u="1"/>
        <s v="2024-01-01 - Előirányzat átcsoportosítás, 2024/MEI-669007/44" u="1"/>
        <s v="2024-07-01 - előirányzat átcsoportosítása, 2024/MEI-441256/148" u="1"/>
        <s v="2024-01-01 - előirányzat átcsoportosítása, 2024/MEI-441256/84" u="1"/>
        <s v="2024-05-01 - előirányzat átcsoportosítása, 2024/MEI-441256/94" u="1"/>
        <s v="2024-01-01 - előirányzat átcsoportosítása, 2024/MEI-441256/67" u="1"/>
        <s v="2024-01-01 - előirányzat átcsoportosítása, 2024/MEI-669007/34" u="1"/>
        <s v="2024-01-01 - előirányzat átcsoportosítása, 2024/MEI-441256/133" u="1"/>
        <s v="2024-01-01 - előirányzat átcsoportosítása, 2024/MEI-441256/145" u="1"/>
        <s v="2024-08-22 - előirányzat átcsoportosítása, 2024/MEI-669007/48" u="1"/>
        <s v="2024-10-15 - előirányzat átcsoportosítása, 2024/MEI-441256/185" u="1"/>
        <s v="2024-06-30 - előirányzat átcsoportosítása, 2024/MEI-669007/43" u="1"/>
        <s v="2024-01-05 - előirányzat átcsoportosítás, 2024/MEI-441256/30" u="1"/>
        <s v="2024-01-01 - előirányzat átcsoportosítása, 2024/MEI-441256/166" u="1"/>
        <s v="2024-01-01 - előirányzat átcsoportosítása, 2024/MEI-441256/79" u="1"/>
        <s v="2024-01-01 - előirányzat átcsoportosítása, 2024/MEI-669007/31" u="1"/>
        <s v="2024-08-14 - előirányzat átcsoportosítása, 2024/MEI-441256/153" u="1"/>
        <s v="2024-01-01 - előirányzat átcsoportosítása, 2024/MEI-441256/189" u="1"/>
        <s v="2024-01-01 - Előirányzat átcsoportosítás, 2024/MEI-441256/193" u="1"/>
        <s v="2024-09-17 - előirányzat átcsoportosítása, 2024/MEI-441256/164" u="1"/>
        <s v="2024-01-01 - előirányzat átcsoportosítása, 2024/MEI-441256/173" u="1"/>
        <s v="2024-01-01 - előirányzat átcsoportosítása, 2024/MEI-441256/239" u="1"/>
        <s v="2024-11-28 - előirányzat átcsoportosítása, 2024/MEI-441256/226" u="1"/>
        <s v="2024-01-01 - előirányzat átcsoportosítás, 2024/MEI-441256/49" u="1"/>
        <s v="2024-01-01 - előirányzat átcsoportosítása, 2024/MEI-441256/159" u="1"/>
        <s v="2024-01-01 - előirányzat átcsoportosítása, 2024/MEI-441256/158" u="1"/>
        <s v="2024-01-01 - előirányzat átcsoportosítása, 2024/MEI-441256/115" u="1"/>
        <s v="2024-10-17 - előirányzat átcsoportosítása, 2024/MEI-441256/203" u="1"/>
        <s v="2024-01-01 - Előirányzat átcsoportosítás, 2024/MEI-441256/151" u="1"/>
        <s v="2024-01-01 - előirányzat átcsoportosítása, 2024/MEI-441256/157" u="1"/>
        <s v="2024-06-30 - előirányzat átcsoportosítása, 2024/MEI-441256/121" u="1"/>
        <s v="2024-05-29 - előirányzat átcsoportosítása, 2024/MEI-441256/124" u="1"/>
        <s v="2024-06-01 - átcsoportosítás, 2024/MEI-441256/128" u="1"/>
        <s v="2024-07-01 - Előirányzat átcsoportosítás, 2024/MEI-441256/129" u="1"/>
        <s v="2024-10-25 - Előirányzat átcsoportosítás, 2024/MEI-441256/222" u="1"/>
        <s v="2024-10-17 - előirányzat átcsoportosítása, 2024/MEI-441256/206" u="1"/>
        <s v="2024-01-01 - előirányzat átcsoportosítás, 2024/MEI-441256/45" u="1"/>
        <s v="2024-01-01 - előirányzat átcsoportosítása, 2024/MEI-441256/104" u="1"/>
        <s v="2024-01-01 - Előirányzat átcsoportosítás, 2024/MEI-441256/35" u="1"/>
        <s v="2024-04-01 - előirányzat átcsoportosítása, 2024/MEI-441256/71" u="1"/>
        <s v="2024-04-17 - előirányzat átcsoportosítása, 2024/MEI-441256/72" u="1"/>
        <s v="2024-07-18 - előirányzat átcsoportosítása, 2024/MEI-441256/150" u="1"/>
        <s v="2024-01-01 - előirányzat átcsoportosítása, 2024/MEI-441256/144" u="1"/>
        <s v="2024-01-01 - Előirányzat átcsoportosítás, 2024/MEI-441256/48" u="1"/>
        <s v="2024-01-16 - előirányzat átcsoportosítás, 2024/MEI-441256/36" u="1"/>
        <s v="2024-01-25 - előirányzat átcsoportosítás, 2024/MEI-441256/43" u="1"/>
        <s v="2024-01-01 - előirányzat átcsoportosítása, 2024/MEI-669007/30" u="1"/>
        <s v="2024-11-06 - előirányzat átcsoportosítása, 2024/MEI-441256/201" u="1"/>
        <s v="2024-10-09 - előirányzat átcsoportosítása, 2024/MEI-669007/58" u="1"/>
        <s v="2024-01-01 - előirányzat átcsoportosítása, 2024/MEI-441256/117" u="1"/>
        <s v="2024-08-30 - előirányzat átcsoportosítása, 2024/MEI-441256/162" u="1"/>
        <s v="2024-06-30 - előirányzat átcsoportosítása, 2024/MEI-441256/122" u="1"/>
        <s v="2024-10-29 - előirányzat átcsoportosítása, 2024/MEI-441256/208" u="1"/>
        <s v="2024-01-01 - előirányzat átcsoportosítása, 2024/MEI-669007/53" u="1"/>
        <s v="2024-09-30 - előirányzat átcsoportosítása, 2024/MEI-441256/198" u="1"/>
        <s v="2024-09-30 - előirányzat átcsoportosítása, 2024/MEI-441256/197" u="1"/>
        <s v="2024-01-01 - előirányzat átcsoportosítása, 2024/MEI-441256/119" u="1"/>
        <s v="2024-05-29 - előirányzat átcsoportosítása, 2024/MEI-441256/127" u="1"/>
        <s v="2024-01-01 - Előirányzat átcsoportosítás, 2024/MEI-441256/207" u="1"/>
        <s v="2024-01-01 - előirányzat átcsoportosítása, 2024/MEI-441256/66" u="1"/>
        <s v="2024-01-01 - előirányzat átcsoportosítása, 2024/MEI-441256/191" u="1"/>
        <s v="2024-11-23 - Egyéb támogatás, BPM-ÁHI/2025/001." u="1"/>
        <s v="2024-11-23 - Bérleti díj növekedése, 2025/001. szerződés" u="1"/>
        <s v="2024-11-23 - Bérleti díj csökkenése, 2025/002. szerződés" u="1"/>
        <s v="2024-01-02 - módosítás, 2024/MEI-441223/25" u="1"/>
        <s v="2024-01-01 - Eredeti előirányzat, 2024/EEI-441223/1" u="1"/>
        <s v="2024-01-01 - Eredeti előirányzat, 2024/EEI-830919/1" u="1"/>
        <s v="2024-01-01 - Eredeti előirányzat, 2024/EEI-668934/1" u="1"/>
        <s v="2024-01-02 - módosítás, 2024/MEI-441223/26" u="1"/>
        <s v="2024-01-01 - Eredeti előirányzat, 2024/EEI-765352/1" u="1"/>
        <s v="2024-07-01 - módosítás, 2024/MEI-441223/57" u="1"/>
        <s v="2024-01-02 - módosítás, 2024/MEI-441223/27" u="1"/>
        <s v="2024-06-09 - módosítás, 2024/MEI-830919/32" u="1"/>
        <s v="2024-01-02 - módosítás, 2024/MEI-668934/15" u="1"/>
        <s v="2024-01-02 - módosítás, 2024/MEI-668934/16" u="1"/>
        <s v="2024-01-01 - módosítás, 2024/MEI-668934/22" u="1"/>
        <s v="2024-01-01 - módosítás, 2024/MEI-830919/19" u="1"/>
        <s v="2024-01-01 - módosítás, 2024/MEI-765352/6" u="1"/>
        <s v="2024-01-02 - módosítás, 2024/MEI-441223/32" u="1"/>
        <s v="2024-01-01 - módosítás, 2024/MEI-668934/17" u="1"/>
        <s v="2024-03-12 - módosítás, 2024/MEI-441223/28" u="1"/>
        <s v="2024-01-01 - módosítás, 2024/MEI-765352/8" u="1"/>
        <s v="2024-08-01 - módosítás, 2024/MEI-668934/38" u="1"/>
        <s v="2024-08-01 - módosítás, 2024/MEI-441223/81" u="1"/>
        <s v="2024-03-01 - módosítás, 2024/MEI-668934/18" u="1"/>
        <s v="2024-03-01 - módosítás, 2024/MEI-668934/19" u="1"/>
        <s v="2024-09-01 - módosítás, 2024/MEI-668934/39" u="1"/>
        <s v="2024-01-01 - módosítás, 2024/MEI-441223/29" u="1"/>
        <s v="2024-04-01 - módosítás, 2024/MEI-441223/36" u="1"/>
        <s v="2024-01-01 - módosítás, 2024/MEI-441223/33" u="1"/>
        <s v="2024-01-01 - módosítás, 2024/MEI-668934/21" u="1"/>
        <s v="2024-01-01 - módosítás, 2024/MEI-668934/20" u="1"/>
        <s v="2024-01-02 - módosítás, 2024/MEI-441223/30" u="1"/>
        <s v="2024-04-01 - módosítás, 2024/MEI-441223/37" u="1"/>
        <s v="2024-06-01 - módosítás, 2024/MEI-668934/28" u="1"/>
        <s v="2024-01-02 - módosítás, 2024/MEI-441223/20" u="1"/>
        <s v="2024-01-02 - módosítás, 2024/MEI-441223/35" u="1"/>
        <s v="2024-04-26 - módosítás, 2024/MEI-441223/38" u="1"/>
        <s v="2024-01-02 - módosítás, 2024/MEI-830919/17" u="1"/>
        <s v="2024-01-02 - módosítás, 2024/MEI-765352/5" u="1"/>
        <s v="2024-01-01 - módosítás, 2024/MEI-441223/31" u="1"/>
        <s v="2024-01-01 - módosítás, 2024/MEI-830919/18" u="1"/>
        <s v="2024-06-17 - módosítás, 2024/MEI-830919/33" u="1"/>
        <s v="2024-04-15 - módosítás, 2024/MEI-830919/20" u="1"/>
        <s v="2024-01-02 - módosítás, 2024/MEI-668934/12" u="1"/>
        <s v="2024-04-01 - módosítás, 2024/MEI-441223/39" u="1"/>
        <s v="2024-01-01 - módosítás, 2024/MEI-668934/13" u="1"/>
        <s v="2024-04-01 - módosítás, 2024/MEI-830919/21" u="1"/>
        <s v="2024-01-02 - módosítás, 2024/MEI-668934/14" u="1"/>
        <s v="2024-01-02 - módosítás, 2024/MEI-765352/4" u="1"/>
        <s v="2024-01-02 - módosítás, 2024/MEI-830919/15" u="1"/>
        <s v="2024-01-02 - módosítás, 2024/MEI-668934/11" u="1"/>
        <s v="2024-04-01 - módosítás, 2024/MEI-441223/40" u="1"/>
        <s v="2024-04-01 - módosítás, 2024/MEI-668934/23" u="1"/>
        <s v="2024-10-01 - módosítás, 2024/MEI-441223/93" u="1"/>
        <s v="2024-04-01 - módosítás, 2024/MEI-668934/24" u="1"/>
        <s v="2024-06-30 - Előirányzat módosítás, 2024/MEI-668934/29" u="1"/>
        <s v="2024-01-01 - módosítás, 2024/MEI-441223/22" u="1"/>
        <s v="2024-01-02 - módosítás, 2024/MEI-441223/23" u="1"/>
        <s v="2024-01-02 - módosítás, 2024/MEI-441223/24" u="1"/>
        <s v="2024-01-01 - módosítás, 2024/MEI-765352/10" u="1"/>
        <s v="2024-04-01 - módosítás, 2024/MEI-668934/25" u="1"/>
        <s v="2024-01-01 - módosítás, 2024/MEI-765352/9" u="1"/>
        <s v="2024-08-01 - módosítás, 2024/MEI-830919/41" u="1"/>
        <s v="2024-01-02 - módosítás, 2024/MEI-830919/16" u="1"/>
        <s v="2024-09-11 - módosítás, 2024/MEI-441223/94" u="1"/>
        <s v="2024-01-02 - módosítás, 2024/MEI-441223/21" u="1"/>
        <s v="2024-04-01 - módosítás, 2024/MEI-830919/22" u="1"/>
        <s v="2024-04-01 - módosítás, 2024/MEI-830919/23" u="1"/>
        <s v="2024-06-01 - módosítás, 2024/MEI-441223/53" u="1"/>
        <s v="2024-01-01 - módosítás maradvány miatt, 2024/MEI-441223/34" u="1"/>
        <s v="2024-04-01 - módosítás, 2024/MEI-830919/24" u="1"/>
        <s v="2024-05-01 - módosítás, 2024/MEI-765352/11" u="1"/>
        <s v="2024-05-01 - módosítás, 2024/MEI-441223/41" u="1"/>
        <s v="2024-06-26 - módosítás, 2024/MEI-441223/51" u="1"/>
        <s v="2024-05-01 - módosítás, 2024/MEI-441223/44" u="1"/>
        <s v="2024-05-01 - módosítás, 2024/MEI-441223/42" u="1"/>
        <s v="2024-05-01 - módosítás, 2024/MEI-765352/12" u="1"/>
        <s v="2024-05-01 - módosítás, 2024/MEI-441223/43" u="1"/>
        <s v="2024-06-28 - módosítás, 2024/MEI-441223/54" u="1"/>
        <s v="2024-08-27 - módosítás, 2024/MEI-441223/73" u="1"/>
        <s v="2024-06-01 - módosítás, 2024/MEI-765352/13" u="1"/>
        <s v="2024-09-01 - módosítás, 2024/MEI-668934/42" u="1"/>
        <s v="2024-04-01 - módosítás, 2024/MEI-441223/45" u="1"/>
        <s v="2024-05-15 - módosítás választás, 2024/MEI-830919/25" u="1"/>
        <s v="2024-05-01 - módosítás, 2024/MEI-830919/26" u="1"/>
        <s v="2024-05-31 - módosítás 2023. évi elszámolás, 2024/MEI-441223/46" u="1"/>
        <s v="2024-05-31 - módositás IPA többletbevétel, 2024/MEI-441223/47" u="1"/>
        <s v="2024-05-31 - módosítás többlet adó, 2024/MEI-830919/28" u="1"/>
        <s v="2024-05-31 - módosítás, 2024/MEI-830919/28" u="1"/>
        <s v="2024-09-01 - módosítás, 2024/MEI-765352/28" u="1"/>
        <s v="2024-08-01 - módosítás, 2024/MEI-441223/78" u="1"/>
        <s v="2024-06-01 - módosítás, 2024/MEI-765352/15" u="1"/>
        <s v="2024-05-01 - módosítás, 2024/MEI-830919/29" u="1"/>
        <s v="2024-05-01 - módosítás, 2024/MEI-830919/30" u="1"/>
        <s v="2024-05-01 - módosítás, 2024/MEI-668934/26" u="1"/>
        <s v="2024-07-01 - módosítás, 2024/MEI-441223/59" u="1"/>
        <s v="2024-06-01 - módosítás, 2024/MEI-441223/52" u="1"/>
        <s v="2024-07-01 - módosítás, 2024/MEI-441223/58" u="1"/>
        <s v="2024-07-01 - módosítás, 2024/MEI-441223/60" u="1"/>
        <s v="2024-07-01 - módosítás, 2024/MEI-441223/61" u="1"/>
        <s v="2024-06-09 - módosítás, 2024/MEI-830919/31" u="1"/>
        <s v="2024-05-31 - módosítás, 2024/MEI-441223/48" u="1"/>
        <s v="2024-05-31 - módosítás májusi mutatószámfelmérés, 2024/MEI-441223/48" u="1"/>
        <s v="2024-06-01 - módosítás, 2024/MEI-668934/27" u="1"/>
        <s v="2024-06-30 - módosítás, 2024/MEI-441223/55" u="1"/>
        <s v="2024-06-30 - módosítás, 2024/MEI-441223/56" u="1"/>
        <s v="2024-06-20 - módosítás, 2024/MEI-441223/49" u="1"/>
        <s v="2024-09-01 - módosítás, 2024/MEI-830919/43" u="1"/>
        <s v="2024-06-12 - módosítás, 2024/MEI-765352/16" u="1"/>
        <s v="2024-06-30 - módosítás, 2024/MEI-765352/17" u="1"/>
        <s v="2024-06-01 - módosítás Szabó F., 2024/MEI-441223/50" u="1"/>
        <s v="2024-09-01 - módosítás, 2024/MEI-668934/41" u="1"/>
        <s v="2024-06-30 - Előirányzat átcsoportosítás, 2024/MEI-765352/18" u="1"/>
        <s v="2024-07-01 - módosítás, 2024/MEI-668934/30" u="1"/>
        <s v="2024-07-01 - módosítás, 2024/MEI-441223/62" u="1"/>
        <s v="2024-08-01 - módosítás, 2024/MEI-830919/42" u="1"/>
        <s v="2024-07-01 - módosítás, 2024/MEI-441223/63" u="1"/>
        <s v="2024-07-01 - módosítás, 2024/MEI-765352/19" u="1"/>
        <s v="2024-07-01 - módosítás, 2024/MEI-668934/32" u="1"/>
        <s v="2024-07-01 - módosítás, 2024/MEI-441223/64" u="1"/>
        <s v="2024-08-01 - módosítás, 2024/MEI-668934/33" u="1"/>
        <s v="2024-09-13 - módosítás árvizi védekezés, 2024/MEI-441223/84" u="1"/>
        <s v="2024-08-01 - módosítás, 2024/MEI-830919/34" u="1"/>
        <s v="2024-07-01 - módosítás, 2024/MEI-830919/35" u="1"/>
        <s v="2024-07-01 - módosítás, 2024/MEI-441223/65" u="1"/>
        <s v="2024-07-22 - módosítás, 2024/MEI-441223/66" u="1"/>
        <s v="2024-07-22 - módosítás, 2024/MEI-441223/67" u="1"/>
        <s v="2024-07-01 - módosítás, 2024/MEI-441223/68" u="1"/>
        <s v="2024-09-01 - módosítás, 2024/MEI-765352/29" u="1"/>
        <s v="2024-09-26 - módosítás, 2024/MEI-441223/95" u="1"/>
        <s v="2024-07-01 - módosítás, 2024/MEI-668934/34" u="1"/>
        <s v="2024-07-01 - módosítás, 2024/MEI-765352/20" u="1"/>
        <s v="2024-08-28 - módosítás, 2024/MEI-441223/74" u="1"/>
        <s v="2024-08-01 - módosítás, 2024/MEI-668934/35" u="1"/>
        <s v="2024-07-01 - Költségvetés módosítás, 2024/MEI-830919/36" u="1"/>
        <s v="2024-07-01 - módosítás, 2024/MEI-668934/36" u="1"/>
        <s v="2024-08-28 - módosítás, 2024/MEI-441223/76" u="1"/>
        <s v="2024-07-31 - módosítás, 2024/MEI-765352/21" u="1"/>
        <s v="2024-07-01 - Előirányzat módosítás, 2024/MEI-441223/69" u="1"/>
        <s v="2024-07-31 - módosítás, 2024/MEI-830919/37" u="1"/>
        <s v="2024-06-01 - módosítás, 2024/MEI-830919/38" u="1"/>
        <s v="2024-09-01 - módosítás, 2024/MEI-441223/83" u="1"/>
        <s v="2024-08-01 - módosítás, 2024/MEI-441223/77" u="1"/>
        <s v="2024-07-01 - módosítás, 2024/MEI-830919/39" u="1"/>
        <s v="2024-09-09 - módosítás, 2024/MEI-441223/96" u="1"/>
        <s v="2024-08-01 - módosítás, 2024/MEI-668934/37" u="1"/>
        <s v="2024-09-01 - módosítás, 2024/MEI-441223/97" u="1"/>
        <s v="2024-08-01 - módosítás, 2024/MEI-765352/24" u="1"/>
        <s v="2024-07-31 - módosítás, 2024/MEI-441223/70" u="1"/>
        <s v="2024-08-01 - módosítás, 2024/MEI-765352/25" u="1"/>
        <s v="2024-09-01 - módosítás, 2024/MEI-765352/26" u="1"/>
        <s v="2024-10-01 - módosítás, 2024/MEI-441223/101" u="1"/>
        <s v="2024-08-14 - módosítás, 2024/MEI-441223/82" u="1"/>
        <s v="2024-09-12 - módosítás, 2024/MEI-441223/85" u="1"/>
        <s v="2024-07-01 - módosítás, 2024/MEI-441223/71" u="1"/>
        <s v="2024-08-01 - módosítás, 2024/MEI-441223/80" u="1"/>
        <s v="2024-09-01 - módosítás, 2024/MEI-441223/86" u="1"/>
        <s v="2024-08-01 - módosítás, 2024/MEI-765352/27" u="1"/>
        <s v="2024-08-01 - módosítás, 2024/MEI-830919/40" u="1"/>
        <s v="2024-08-01 - módosítás, 2024/MEI-765352/22" u="1"/>
        <s v="2024-08-01 - módosítás, 2024/MEI-441223/72" u="1"/>
        <s v="2024-09-01 - módosítás, 2024/MEI-441223/98" u="1"/>
        <s v="2024-08-01 - módosítás, 2024/MEI-765352/23" u="1"/>
        <s v="2024-09-01 - módosítás, 2024/MEI-441223/87" u="1"/>
        <s v="2024-09-01 - módosítás, 2024/MEI-441223/88" u="1"/>
        <s v="2024-09-01 - módosítás, 2024/MEI-668934/40" u="1"/>
        <s v="2024-05-17 - módosítás, 2024/MEI-441223/99" u="1"/>
        <s v="2024-05-17 - módosítás fordított Áfa, 2024/MEI-441223/99" u="1"/>
        <s v="2024-09-01 - módosítás, 2024/MEI-830919/44" u="1"/>
        <s v="2024-09-30 - módosítás, 2024/MEI-830919/46" u="1"/>
        <s v="2024-09-30 - módosítás, 2024/MEI-765352/30" u="1"/>
        <s v="2024-09-13 - módosítás, 2024/MEI-441223/89" u="1"/>
        <s v="2024-09-01 - módosítás, 2024/MEI-441223/90" u="1"/>
        <s v="2024-09-01 - módosítás, 2024/MEI-441223/91" u="1"/>
        <s v="2024-09-01 - módosítás, 2024/MEI-441223/92" u="1"/>
        <s v="2024-10-01 - módosítás, 2024/MEI-830919/47" u="1"/>
        <s v="2024-09-01 - módosítás, 2024/MEI-830919/45" u="1"/>
        <s v="2024-10-01 - módosítás, 2024/MEI-441223/100" u="1"/>
        <s v="2024-10-01 - módosítás, 2024/MEI-830919/48" u="1"/>
        <s v="2024-10-01 - módosítás, 2024/MEI-830919/49" u="1"/>
        <s v="2024-10-01 - módosítás, 2024/MEI-668934/43" u="1"/>
        <s v="2024-10-01 - módosítás, 2024/MEI-668934/44" u="1"/>
        <s v="2024-10-30 - módosítás, 2024/MEI-441223/102" u="1"/>
        <s v="2024-11-23 - változás, xx" u="1"/>
        <s v="2024-11-23 - változás" u="1"/>
        <s v="2024-01-02 - módosítás" u="1"/>
        <s v="2024-01-01 - Eredeti előirányzat" u="1"/>
        <s v="2024-07-01 - módosítás" u="1"/>
        <s v="2024-06-09 - módosítás" u="1"/>
        <s v="2024-01-01 - módosítás" u="1"/>
        <s v="2024-03-12 - módosítás" u="1"/>
        <s v="2024-08-01 - módosítás" u="1"/>
        <s v="2024-03-01 - módosítás" u="1"/>
        <s v="2024-09-01 - módosítás" u="1"/>
        <s v="2024-04-01 - módosítás" u="1"/>
        <s v="2024-06-01 - módosítás" u="1"/>
        <s v="2024-04-26 - módosítás" u="1"/>
        <s v="2024-06-17 - módosítás" u="1"/>
        <s v="2024-04-15 - módosítás" u="1"/>
        <s v="2024-10-01 - módosítás" u="1"/>
        <s v="2024-06-30 - Előirányzat módosítás" u="1"/>
        <s v="2024-09-11 - módosítás" u="1"/>
        <s v="2024-01-01 - módosítás maradvány miatt" u="1"/>
        <s v="2024-05-01 - módosítás" u="1"/>
        <s v="2024-06-26 - módosítás" u="1"/>
        <s v="2024-06-28 - módosítás" u="1"/>
        <s v="2024-08-27 - módosítás" u="1"/>
        <s v="2024-05-15 - módosítás választás" u="1"/>
        <s v="2024-05-31 - módosítás 2023. évi elszámolás" u="1"/>
        <s v="2024-05-31 - módositás IPA többletbevétel" u="1"/>
        <s v="2024-05-31 - módosítás többlet adó" u="1"/>
        <s v="2024-05-31 - módosítás" u="1"/>
        <s v="2024-05-31 - módosítás májusi mutatószámfelmérés" u="1"/>
        <s v="2024-06-30 - módosítás" u="1"/>
        <s v="2024-06-20 - módosítás" u="1"/>
        <s v="2024-06-12 - módosítás" u="1"/>
        <s v="2024-06-01 - módosítás Szabó F." u="1"/>
        <s v="2024-06-30 - Előirányzat átcsoportosítás" u="1"/>
        <s v="2024-09-13 - módosítás árvizi védekezés" u="1"/>
        <s v="2024-07-22 - módosítás" u="1"/>
        <s v="2024-09-26 - módosítás" u="1"/>
        <s v="2024-08-28 - módosítás" u="1"/>
        <s v="2024-07-01 - Költségvetés módosítás" u="1"/>
        <s v="2024-07-31 - módosítás" u="1"/>
        <s v="2024-07-01 - Előirányzat módosítás" u="1"/>
        <s v="2024-09-09 - módosítás" u="1"/>
        <s v="2024-08-14 - módosítás" u="1"/>
        <s v="2024-09-12 - módosítás" u="1"/>
        <s v="2024-05-17 - módosítás" u="1"/>
        <s v="2024-05-17 - módosítás fordított Áfa" u="1"/>
        <s v="2024-09-30 - módosítás" u="1"/>
        <s v="2024-09-13 - módosítás" u="1"/>
        <s v="2024-10-30 - módosítá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es Adrienn" refreshedDate="45896.505644560188" createdVersion="8" refreshedVersion="8" minRefreshableVersion="3" recordCount="2999" xr:uid="{A2A0C2E5-8BA1-473B-A7FF-0B5AE1BFD6E3}">
  <cacheSource type="worksheet">
    <worksheetSource ref="L1:T3000" sheet="Adat"/>
  </cacheSource>
  <cacheFields count="9">
    <cacheField name="Részletező" numFmtId="0">
      <sharedItems containsMixedTypes="1" containsNumber="1" containsInteger="1" minValue="0" maxValue="11106" count="13">
        <n v="0"/>
        <s v="93100"/>
        <s v="15100"/>
        <s v="13100"/>
        <s v="11100"/>
        <s v="91100"/>
        <s v="14050"/>
        <s v="95100"/>
        <s v="12100"/>
        <s v="94050"/>
        <s v="92100"/>
        <n v="11106" u="1"/>
        <n v="11105" u="1"/>
      </sharedItems>
    </cacheField>
    <cacheField name="Szervezet" numFmtId="0">
      <sharedItems count="13">
        <s v="nincs szervezet"/>
        <s v="Nagymarosi Napköziotthonos Óvoda és Bölcsőde"/>
        <s v="Gondozási Központ"/>
        <s v="Nagymaros Város Önkormányzata"/>
        <s v="Nagymaros Városi Könyvtár és Művelődési Ház"/>
        <s v="Nagymarosi Polgármesteri Hivatal"/>
        <s v="Minta Község Önkormányzata" u="1"/>
        <s v="Szokolya Községi Börzsöny Gyöngye Óvoda és Bölcsőde" u="1"/>
        <s v="Szokolya Község Önkormányzata" u="1"/>
        <s v="Kismaros Község Önkormányzata" u="1"/>
        <s v="Kismarosi Közös Önkormányzati Hivatal" u="1"/>
        <s v="Művelődési Ház és IKSZT" u="1"/>
        <s v="Kismarosi Kis Morgó Óvoda és Bölcsőde" u="1"/>
      </sharedItems>
    </cacheField>
    <cacheField name="Bevétel, kiadás" numFmtId="0">
      <sharedItems count="3">
        <s v="3 - egyik sem"/>
        <s v="1 - Bevétel"/>
        <s v="2 - Kiadás"/>
      </sharedItems>
    </cacheField>
    <cacheField name="Feladat" numFmtId="0">
      <sharedItems count="4">
        <s v="nincs feladat"/>
        <s v="1 - (KÖT)"/>
        <s v="2 - (ÖNV)"/>
        <s v="3 - (ÁIG)" u="1"/>
      </sharedItems>
    </cacheField>
    <cacheField name="Rovat" numFmtId="0">
      <sharedItems count="17">
        <s v="nincs rovat"/>
        <s v="B4 - Működési bevételek"/>
        <s v="K3 - Dologi kiadások"/>
        <s v="K1 - Személyi juttatások"/>
        <s v="K2 - Munkaadókat terhelő járulékok és szociális hozzájárulási adó"/>
        <s v="B8 - Finanszírozási bevételek"/>
        <s v="K5 - Egyéb működési célú kiadások"/>
        <s v="K4 - Ellátottak pénzbeli juttatásai"/>
        <s v="K6 - Beruházások"/>
        <s v="K7 - Felújítások"/>
        <s v="K9 - Finanszírozási kiadások"/>
        <s v="B1 - Működési célú támogatások államháztartáson belülről"/>
        <s v="B2 - Felhalmozási célú támogatások államháztartáson belülről"/>
        <s v="B3 - Közhatalmi bevételek"/>
        <s v="B6 - Működési célú átvett pénzeszközök"/>
        <s v="K8 - Egyéb felhalmozási célú kiadások" u="1"/>
        <s v="B5 - Felhalmozási bevételek" u="1"/>
      </sharedItems>
    </cacheField>
    <cacheField name="Főkönyvi számla" numFmtId="0">
      <sharedItems count="84">
        <s v="nincs főkönyvi számla"/>
        <s v="094051 -  Ellátási díjak előirányzata"/>
        <s v="053221 -  Egyéb kommunikációs szolgáltatások előirányzata"/>
        <s v="053211 -  Informatikai szolgáltatások igénybevétele előirányzata"/>
        <s v="0511011 -  Törvény szerinti illetmények, munkabérek előirányzata"/>
        <s v="0511061 -  Jubileumi jutalom előirányzata"/>
        <s v="0511091 -  Közlekedési költségtérítés előirányzata"/>
        <s v="0511131 -  Foglalkoztatottak egyéb személyi juttatásai előirányzata"/>
        <s v="0521 -  Munkaadókat terhelő járulékok és szociális hozzájárulási adó előirányzata"/>
        <s v="053111 -  Szakmai anyagok beszerzése előirányzata"/>
        <s v="053121 -  Üzemeltetési anyagok beszerzése előirányzata"/>
        <s v="0533111 -  Villamosenergia szolgáltatás díja előirányzata"/>
        <s v="0533121 -  Gázenergia szolgáltatás díja előirányzata"/>
        <s v="0533141 -  Víz- és csatorna szolgáltatás díja előirányzata"/>
        <s v="053341 -  Karbantartási, kisjavítási szolgáltatások előirányzata"/>
        <s v="053361 -  Szakmai tevékenységet segítő szolgáltatások előirányzata"/>
        <s v="053371 -  Egyéb szolgáltatások előirányzata"/>
        <s v="053411 -  Kiküldetések kiadásai előirányzata"/>
        <s v="053511 -  Működési célú előzetesen felszámított általános forgalmi adó előirányzata"/>
        <s v="053551 -  Egyéb dologi kiadások előirányzata"/>
        <s v="0981311 -  Előző év költségvetési maradványának igénybevétele előirányzata"/>
        <s v="098161 -  Központi, irányító szervi támogatás előirányzata"/>
        <s v="0511071 -  Béren kívüli juttatások előirányzata"/>
        <s v="053531 -  Kamatkiadások előirányzata"/>
        <s v="0511041 -  Készenléti, ügyeleti, helyettesítési díj, túlóra, túlszolgálat előirányzata"/>
        <s v="051211 -  Választott tisztségviselők juttatásai előirányzata"/>
        <s v="051221 -  Munkavégzésre irányuló egyéb jogviszonyban nem saját foglalkoztatottnak fizetett juttatások előirányzata"/>
        <s v="053321 -  Vásárolt élelmezés előirányzata"/>
        <s v="053331 -  Bérleti és lízing díjak előirányzata"/>
        <s v="053351 -  Közvetített szolgáltatások előirányzata"/>
        <s v="053421 -  Reklám- és propagandakiadások előirányzata"/>
        <s v="055121 -  Egyéb működési célú támogatások államháztartáson kívülre előirányzata"/>
        <s v="05481 -  Egyéb nem intézményi ellátások előirányzata"/>
        <s v="0550211 -  A helyi önkormányzatok előző évi elszámolásából származó kiadások előirányzata"/>
        <s v="055061 -  Egyéb működési célú támogatások államháztartáson belülre előirányzata"/>
        <s v="055131 -  Tartalékok előirányzata"/>
        <s v="05641 -  Egyéb tárgyi eszközök beszerzése, létesítése előirányzata"/>
        <s v="05671 -  Beruházási célú előzetesen felszámított általános forgalmi adó előirányzata"/>
        <s v="05711 -  Ingatlanok felújítása előirányzata"/>
        <s v="05741 -  Felújítási célú előzetesen felszámított általános forgalmi adó előirányzata"/>
        <s v="0591111 -  Hosszú lejáratú hitelek, kölcsönök törlesztése pénzügyi vállalkozásnak előirányzata"/>
        <s v="059141 -  Államháztartáson belüli megelőlegezések visszafizetése előirányzata"/>
        <s v="059151 -  Központi, irányító szervi támogatás folyósítása előirányzata"/>
        <s v="059171 -  Pénzügyi lízing kiadásai előirányzata"/>
        <s v="091111 -  Helyi önkormányzatok működésének általános támogatása előirányzata"/>
        <s v="091121 -  Települési önkormányzatok egyes köznevelési feladatainak támogatása előirányzata"/>
        <s v="0911311 -  Települési önkormányzatok egyes szociális és gyermekjóléti feladatainak támogatása előirányzata"/>
        <s v="0911321 -  Települési önkormányzatok gyermekétkeztetési feladatainak támogatása előirányzata"/>
        <s v="091141 -  Települési önkormányzatok kulturális feladatainak támogatása előirányzata"/>
        <s v="09161 -  Egyéb működési célú támogatások bevételei államháztartáson belülről előirányzata"/>
        <s v="09211 -  Felhalmozási célú önkormányzati támogatások előirányzata"/>
        <s v="09341 -  Vagyoni típusú adók előirányzata"/>
        <s v="093511 -  Értékesítési és forgalmi adók előirányzata"/>
        <s v="093551 -  Egyéb áruhasználati és szolgáltatási adók előirányzata"/>
        <s v="09361 -  Egyéb közhatalmi bevételek előirányzata"/>
        <s v="094021 -  Szolgáltatások ellenértéke előirányzata"/>
        <s v="094031 -  Közvetített szolgáltatások ellenértéke előirányzata"/>
        <s v="094061 -  Kiszámlázott általános forgalmi adó előirányzata"/>
        <s v="094071 -  Általános forgalmi adó visszatérítése előirányzata"/>
        <s v="0511031 -  Céljuttatás, projektprémium előirányzata"/>
        <s v="053521 -  Fizetendő általános forgalmi adó előirányzata"/>
        <s v="051231 -  Egyéb külső személyi juttatások előirányzata"/>
        <s v="05631 -  Informatikai eszközök beszerzése, létesítése előirányzata"/>
        <s v="0511081 -  Ruházati költségtérítés előirányzata"/>
        <s v="0511101 -  Egyéb költségtérítések előirányzata"/>
        <s v="098141 -  Államháztartáson belüli megelőlegezések előirányzata"/>
        <s v="09651 -  Egyéb működési célú átvett pénzeszközök előirányzata"/>
        <s v="09251 -  Egyéb felhalmozási célú támogatások bevételei államháztartáson belülről előirányzata"/>
        <s v="05621 -  Ingatlanok beszerzése, létesítése előirányzata" u="1"/>
        <s v="05731 -  Egyéb tárgyi eszközök felújítása előirányzata" u="1"/>
        <s v="05891 -  Egyéb felhalmozási célú támogatások államháztartáson kívülre előirányzata" u="1"/>
        <s v="0940821 -  Egyéb kapott (járó) kamatok és kamatjellegű bevételek előirányzata" u="1"/>
        <s v="094101 -  Biztosító által fizetett kártérítés előirányzata" u="1"/>
        <s v="094111 -  Egyéb működési bevételek előirányzata" u="1"/>
        <s v="09531 -  Egyéb tárgyi eszközök értékesítése előirányzata" u="1"/>
        <s v="0550231 -  Egyéb elvonások, befizetések előirányzata" u="1"/>
        <s v="091151 -  Működési célú költségvetési támogatások és kiegészítő támogatások előirányzata" u="1"/>
        <s v="0940811 -  Befektetett pénzügyi eszközökből származó bevételek előirányzata" u="1"/>
        <s v="0511051 -  Végkielégítés előirányzata" u="1"/>
        <s v="09521 -  Ingatlanok értékesítése előirányzata" u="1"/>
        <s v="0511121 -  Szociális támogatások előirányzata" u="1"/>
        <s v="091161 -  Elszámolásból származó bevételek előirányzata" u="1"/>
        <s v="094011 -  Készletértékesítés ellenértéke előirányzata" u="1"/>
        <s v="0981231 -  Befektetési célú belföldi értékpapírok beváltása, értékesítése előirányzata" u="1"/>
      </sharedItems>
    </cacheField>
    <cacheField name="COFOG1" numFmtId="0">
      <sharedItems/>
    </cacheField>
    <cacheField name="Összeg" numFmtId="0">
      <sharedItems containsSemiMixedTypes="0" containsString="0" containsNumber="1" containsInteger="1" minValue="-312855343" maxValue="713571495"/>
    </cacheField>
    <cacheField name="Összeg-abs" numFmtId="0">
      <sharedItems containsSemiMixedTypes="0" containsString="0" containsNumber="1" containsInteger="1" minValue="-34529963" maxValue="7135714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es Adrienn" refreshedDate="45896.505648148152" createdVersion="8" refreshedVersion="8" minRefreshableVersion="3" recordCount="2999" xr:uid="{C8F85579-289C-4390-BC4D-0E1E5105C135}">
  <cacheSource type="worksheet">
    <worksheetSource ref="M1:T3000" sheet="Adat"/>
  </cacheSource>
  <cacheFields count="8">
    <cacheField name="Szervezet" numFmtId="0">
      <sharedItems count="12">
        <s v="nincs szervezet"/>
        <s v="Nagymarosi Napköziotthonos Óvoda és Bölcsőde"/>
        <s v="Gondozási Központ"/>
        <s v="Nagymaros Város Önkormányzata"/>
        <s v="Nagymaros Városi Könyvtár és Művelődési Ház"/>
        <s v="Nagymarosi Polgármesteri Hivatal"/>
        <s v="Minta Község Önkormányzata" u="1"/>
        <s v="Szokolya Községi Börzsöny Gyöngye Óvoda és Bölcsőde" u="1"/>
        <s v="Kismarosi Közös Önkormányzati Hivatal" u="1"/>
        <s v="Kismaros Község Önkormányzata" u="1"/>
        <s v="Művelődési Ház és IKSZT" u="1"/>
        <s v="Kismarosi Kis Morgó Óvoda és Bölcsőde" u="1"/>
      </sharedItems>
    </cacheField>
    <cacheField name="Bevétel, kiadás" numFmtId="0">
      <sharedItems count="3">
        <s v="3 - egyik sem"/>
        <s v="1 - Bevétel"/>
        <s v="2 - Kiadás"/>
      </sharedItems>
    </cacheField>
    <cacheField name="Feladat" numFmtId="0">
      <sharedItems count="4">
        <s v="nincs feladat"/>
        <s v="1 - (KÖT)"/>
        <s v="2 - (ÖNV)"/>
        <s v="3 - (ÁIG)" u="1"/>
      </sharedItems>
    </cacheField>
    <cacheField name="Rovat" numFmtId="0">
      <sharedItems count="17">
        <s v="nincs rovat"/>
        <s v="B4 - Működési bevételek"/>
        <s v="K3 - Dologi kiadások"/>
        <s v="K1 - Személyi juttatások"/>
        <s v="K2 - Munkaadókat terhelő járulékok és szociális hozzájárulási adó"/>
        <s v="B8 - Finanszírozási bevételek"/>
        <s v="K5 - Egyéb működési célú kiadások"/>
        <s v="K4 - Ellátottak pénzbeli juttatásai"/>
        <s v="K6 - Beruházások"/>
        <s v="K7 - Felújítások"/>
        <s v="K9 - Finanszírozási kiadások"/>
        <s v="B1 - Működési célú támogatások államháztartáson belülről"/>
        <s v="B2 - Felhalmozási célú támogatások államháztartáson belülről"/>
        <s v="B3 - Közhatalmi bevételek"/>
        <s v="B6 - Működési célú átvett pénzeszközök"/>
        <s v="K8 - Egyéb felhalmozási célú kiadások" u="1"/>
        <s v="B5 - Felhalmozási bevételek" u="1"/>
      </sharedItems>
    </cacheField>
    <cacheField name="Főkönyvi számla" numFmtId="0">
      <sharedItems count="84">
        <s v="nincs főkönyvi számla"/>
        <s v="094051 -  Ellátási díjak előirányzata"/>
        <s v="053221 -  Egyéb kommunikációs szolgáltatások előirányzata"/>
        <s v="053211 -  Informatikai szolgáltatások igénybevétele előirányzata"/>
        <s v="0511011 -  Törvény szerinti illetmények, munkabérek előirányzata"/>
        <s v="0511061 -  Jubileumi jutalom előirányzata"/>
        <s v="0511091 -  Közlekedési költségtérítés előirányzata"/>
        <s v="0511131 -  Foglalkoztatottak egyéb személyi juttatásai előirányzata"/>
        <s v="0521 -  Munkaadókat terhelő járulékok és szociális hozzájárulási adó előirányzata"/>
        <s v="053111 -  Szakmai anyagok beszerzése előirányzata"/>
        <s v="053121 -  Üzemeltetési anyagok beszerzése előirányzata"/>
        <s v="0533111 -  Villamosenergia szolgáltatás díja előirányzata"/>
        <s v="0533121 -  Gázenergia szolgáltatás díja előirányzata"/>
        <s v="0533141 -  Víz- és csatorna szolgáltatás díja előirányzata"/>
        <s v="053341 -  Karbantartási, kisjavítási szolgáltatások előirányzata"/>
        <s v="053361 -  Szakmai tevékenységet segítő szolgáltatások előirányzata"/>
        <s v="053371 -  Egyéb szolgáltatások előirányzata"/>
        <s v="053411 -  Kiküldetések kiadásai előirányzata"/>
        <s v="053511 -  Működési célú előzetesen felszámított általános forgalmi adó előirányzata"/>
        <s v="053551 -  Egyéb dologi kiadások előirányzata"/>
        <s v="0981311 -  Előző év költségvetési maradványának igénybevétele előirányzata"/>
        <s v="098161 -  Központi, irányító szervi támogatás előirányzata"/>
        <s v="0511071 -  Béren kívüli juttatások előirányzata"/>
        <s v="053531 -  Kamatkiadások előirányzata"/>
        <s v="0511041 -  Készenléti, ügyeleti, helyettesítési díj, túlóra, túlszolgálat előirányzata"/>
        <s v="051211 -  Választott tisztségviselők juttatásai előirányzata"/>
        <s v="051221 -  Munkavégzésre irányuló egyéb jogviszonyban nem saját foglalkoztatottnak fizetett juttatások előirányzata"/>
        <s v="053321 -  Vásárolt élelmezés előirányzata"/>
        <s v="053331 -  Bérleti és lízing díjak előirányzata"/>
        <s v="053351 -  Közvetített szolgáltatások előirányzata"/>
        <s v="053421 -  Reklám- és propagandakiadások előirányzata"/>
        <s v="055121 -  Egyéb működési célú támogatások államháztartáson kívülre előirányzata"/>
        <s v="05481 -  Egyéb nem intézményi ellátások előirányzata"/>
        <s v="0550211 -  A helyi önkormányzatok előző évi elszámolásából származó kiadások előirányzata"/>
        <s v="055061 -  Egyéb működési célú támogatások államháztartáson belülre előirányzata"/>
        <s v="055131 -  Tartalékok előirányzata"/>
        <s v="05641 -  Egyéb tárgyi eszközök beszerzése, létesítése előirányzata"/>
        <s v="05671 -  Beruházási célú előzetesen felszámított általános forgalmi adó előirányzata"/>
        <s v="05711 -  Ingatlanok felújítása előirányzata"/>
        <s v="05741 -  Felújítási célú előzetesen felszámított általános forgalmi adó előirányzata"/>
        <s v="0591111 -  Hosszú lejáratú hitelek, kölcsönök törlesztése pénzügyi vállalkozásnak előirányzata"/>
        <s v="059141 -  Államháztartáson belüli megelőlegezések visszafizetése előirányzata"/>
        <s v="059151 -  Központi, irányító szervi támogatás folyósítása előirányzata"/>
        <s v="059171 -  Pénzügyi lízing kiadásai előirányzata"/>
        <s v="091111 -  Helyi önkormányzatok működésének általános támogatása előirányzata"/>
        <s v="091121 -  Települési önkormányzatok egyes köznevelési feladatainak támogatása előirányzata"/>
        <s v="0911311 -  Települési önkormányzatok egyes szociális és gyermekjóléti feladatainak támogatása előirányzata"/>
        <s v="0911321 -  Települési önkormányzatok gyermekétkeztetési feladatainak támogatása előirányzata"/>
        <s v="091141 -  Települési önkormányzatok kulturális feladatainak támogatása előirányzata"/>
        <s v="09161 -  Egyéb működési célú támogatások bevételei államháztartáson belülről előirányzata"/>
        <s v="09211 -  Felhalmozási célú önkormányzati támogatások előirányzata"/>
        <s v="09341 -  Vagyoni típusú adók előirányzata"/>
        <s v="093511 -  Értékesítési és forgalmi adók előirányzata"/>
        <s v="093551 -  Egyéb áruhasználati és szolgáltatási adók előirányzata"/>
        <s v="09361 -  Egyéb közhatalmi bevételek előirányzata"/>
        <s v="094021 -  Szolgáltatások ellenértéke előirányzata"/>
        <s v="094031 -  Közvetített szolgáltatások ellenértéke előirányzata"/>
        <s v="094061 -  Kiszámlázott általános forgalmi adó előirányzata"/>
        <s v="094071 -  Általános forgalmi adó visszatérítése előirányzata"/>
        <s v="0511031 -  Céljuttatás, projektprémium előirányzata"/>
        <s v="053521 -  Fizetendő általános forgalmi adó előirányzata"/>
        <s v="051231 -  Egyéb külső személyi juttatások előirányzata"/>
        <s v="05631 -  Informatikai eszközök beszerzése, létesítése előirányzata"/>
        <s v="0511081 -  Ruházati költségtérítés előirányzata"/>
        <s v="0511101 -  Egyéb költségtérítések előirányzata"/>
        <s v="098141 -  Államháztartáson belüli megelőlegezések előirányzata"/>
        <s v="09651 -  Egyéb működési célú átvett pénzeszközök előirányzata"/>
        <s v="09251 -  Egyéb felhalmozási célú támogatások bevételei államháztartáson belülről előirányzata"/>
        <s v="05621 -  Ingatlanok beszerzése, létesítése előirányzata" u="1"/>
        <s v="05731 -  Egyéb tárgyi eszközök felújítása előirányzata" u="1"/>
        <s v="05891 -  Egyéb felhalmozási célú támogatások államháztartáson kívülre előirányzata" u="1"/>
        <s v="0940821 -  Egyéb kapott (járó) kamatok és kamatjellegű bevételek előirányzata" u="1"/>
        <s v="094101 -  Biztosító által fizetett kártérítés előirányzata" u="1"/>
        <s v="094111 -  Egyéb működési bevételek előirányzata" u="1"/>
        <s v="09531 -  Egyéb tárgyi eszközök értékesítése előirányzata" u="1"/>
        <s v="0550231 -  Egyéb elvonások, befizetések előirányzata" u="1"/>
        <s v="091151 -  Működési célú költségvetési támogatások és kiegészítő támogatások előirányzata" u="1"/>
        <s v="0940811 -  Befektetett pénzügyi eszközökből származó bevételek előirányzata" u="1"/>
        <s v="0511051 -  Végkielégítés előirányzata" u="1"/>
        <s v="09521 -  Ingatlanok értékesítése előirányzata" u="1"/>
        <s v="0511121 -  Szociális támogatások előirányzata" u="1"/>
        <s v="091161 -  Elszámolásból származó bevételek előirányzata" u="1"/>
        <s v="094011 -  Készletértékesítés ellenértéke előirányzata" u="1"/>
        <s v="0981231 -  Befektetési célú belföldi értékpapírok beváltása, értékesítése előirányzata" u="1"/>
      </sharedItems>
    </cacheField>
    <cacheField name="COFOG1" numFmtId="0">
      <sharedItems count="5">
        <s v="000000 - Nincs COFOG"/>
        <s v="066020 - Város-, községgazdálkodási egyéb szolgáltatások" u="1"/>
        <s v="011130 - Önkormányzatok és önkormányzati hivatalok jogalkotó és általános igazgatási tevékenysége" u="1"/>
        <s v="082091 - Közművelődés – közösségi és társadalmi részvétel fejlesztése" u="1"/>
        <s v="091140 - Óvodai nevelés, ellátás működtetési feladatai" u="1"/>
      </sharedItems>
    </cacheField>
    <cacheField name="Összeg" numFmtId="0">
      <sharedItems containsSemiMixedTypes="0" containsString="0" containsNumber="1" containsInteger="1" minValue="-312855343" maxValue="713571495"/>
    </cacheField>
    <cacheField name="Összeg-abs" numFmtId="0">
      <sharedItems containsSemiMixedTypes="0" containsString="0" containsNumber="1" containsInteger="1" minValue="-34529963" maxValue="7135714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9"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1"/>
    <x v="1"/>
    <x v="1"/>
    <x v="1"/>
    <x v="1"/>
    <s v="000000 - Nincs COFOG"/>
    <n v="-540000"/>
    <n v="540000"/>
    <x v="1"/>
  </r>
  <r>
    <x v="2"/>
    <x v="2"/>
    <x v="1"/>
    <x v="2"/>
    <x v="2"/>
    <s v="000000 - Nincs COFOG"/>
    <n v="22311"/>
    <n v="22311"/>
    <x v="2"/>
  </r>
  <r>
    <x v="2"/>
    <x v="2"/>
    <x v="1"/>
    <x v="2"/>
    <x v="3"/>
    <s v="000000 - Nincs COFOG"/>
    <n v="-22311"/>
    <n v="-22311"/>
    <x v="2"/>
  </r>
  <r>
    <x v="1"/>
    <x v="2"/>
    <x v="1"/>
    <x v="3"/>
    <x v="4"/>
    <s v="000000 - Nincs COFOG"/>
    <n v="253189388"/>
    <n v="253189388"/>
    <x v="1"/>
  </r>
  <r>
    <x v="1"/>
    <x v="2"/>
    <x v="1"/>
    <x v="3"/>
    <x v="5"/>
    <s v="000000 - Nincs COFOG"/>
    <n v="3580210"/>
    <n v="3580210"/>
    <x v="1"/>
  </r>
  <r>
    <x v="1"/>
    <x v="2"/>
    <x v="1"/>
    <x v="3"/>
    <x v="6"/>
    <s v="000000 - Nincs COFOG"/>
    <n v="660000"/>
    <n v="660000"/>
    <x v="1"/>
  </r>
  <r>
    <x v="1"/>
    <x v="2"/>
    <x v="1"/>
    <x v="3"/>
    <x v="7"/>
    <s v="000000 - Nincs COFOG"/>
    <n v="429000"/>
    <n v="429000"/>
    <x v="1"/>
  </r>
  <r>
    <x v="1"/>
    <x v="2"/>
    <x v="1"/>
    <x v="4"/>
    <x v="8"/>
    <s v="000000 - Nincs COFOG"/>
    <n v="34547629"/>
    <n v="34547629"/>
    <x v="1"/>
  </r>
  <r>
    <x v="1"/>
    <x v="2"/>
    <x v="1"/>
    <x v="2"/>
    <x v="9"/>
    <s v="000000 - Nincs COFOG"/>
    <n v="260000"/>
    <n v="260000"/>
    <x v="1"/>
  </r>
  <r>
    <x v="1"/>
    <x v="2"/>
    <x v="1"/>
    <x v="2"/>
    <x v="10"/>
    <s v="000000 - Nincs COFOG"/>
    <n v="2700000"/>
    <n v="2700000"/>
    <x v="1"/>
  </r>
  <r>
    <x v="1"/>
    <x v="2"/>
    <x v="1"/>
    <x v="2"/>
    <x v="3"/>
    <s v="000000 - Nincs COFOG"/>
    <n v="660000"/>
    <n v="660000"/>
    <x v="1"/>
  </r>
  <r>
    <x v="1"/>
    <x v="2"/>
    <x v="1"/>
    <x v="2"/>
    <x v="2"/>
    <s v="000000 - Nincs COFOG"/>
    <n v="300000"/>
    <n v="300000"/>
    <x v="1"/>
  </r>
  <r>
    <x v="1"/>
    <x v="2"/>
    <x v="1"/>
    <x v="2"/>
    <x v="11"/>
    <s v="000000 - Nincs COFOG"/>
    <n v="1500000"/>
    <n v="1500000"/>
    <x v="1"/>
  </r>
  <r>
    <x v="1"/>
    <x v="2"/>
    <x v="1"/>
    <x v="2"/>
    <x v="12"/>
    <s v="000000 - Nincs COFOG"/>
    <n v="3600000"/>
    <n v="3600000"/>
    <x v="1"/>
  </r>
  <r>
    <x v="1"/>
    <x v="2"/>
    <x v="1"/>
    <x v="2"/>
    <x v="13"/>
    <s v="000000 - Nincs COFOG"/>
    <n v="1560000"/>
    <n v="1560000"/>
    <x v="1"/>
  </r>
  <r>
    <x v="1"/>
    <x v="2"/>
    <x v="1"/>
    <x v="2"/>
    <x v="14"/>
    <s v="000000 - Nincs COFOG"/>
    <n v="500000"/>
    <n v="500000"/>
    <x v="1"/>
  </r>
  <r>
    <x v="1"/>
    <x v="2"/>
    <x v="1"/>
    <x v="2"/>
    <x v="15"/>
    <s v="000000 - Nincs COFOG"/>
    <n v="750000"/>
    <n v="750000"/>
    <x v="1"/>
  </r>
  <r>
    <x v="1"/>
    <x v="2"/>
    <x v="1"/>
    <x v="2"/>
    <x v="16"/>
    <s v="000000 - Nincs COFOG"/>
    <n v="2559200"/>
    <n v="2559200"/>
    <x v="1"/>
  </r>
  <r>
    <x v="1"/>
    <x v="2"/>
    <x v="1"/>
    <x v="2"/>
    <x v="17"/>
    <s v="000000 - Nincs COFOG"/>
    <n v="150000"/>
    <n v="150000"/>
    <x v="1"/>
  </r>
  <r>
    <x v="1"/>
    <x v="2"/>
    <x v="1"/>
    <x v="2"/>
    <x v="18"/>
    <s v="000000 - Nincs COFOG"/>
    <n v="3763584"/>
    <n v="3763584"/>
    <x v="1"/>
  </r>
  <r>
    <x v="1"/>
    <x v="2"/>
    <x v="1"/>
    <x v="2"/>
    <x v="19"/>
    <s v="000000 - Nincs COFOG"/>
    <n v="100000"/>
    <n v="100000"/>
    <x v="1"/>
  </r>
  <r>
    <x v="1"/>
    <x v="1"/>
    <x v="1"/>
    <x v="5"/>
    <x v="20"/>
    <s v="000000 - Nincs COFOG"/>
    <n v="-1583668"/>
    <n v="1583668"/>
    <x v="1"/>
  </r>
  <r>
    <x v="1"/>
    <x v="1"/>
    <x v="1"/>
    <x v="5"/>
    <x v="21"/>
    <s v="000000 - Nincs COFOG"/>
    <n v="-312855343"/>
    <n v="312855343"/>
    <x v="1"/>
  </r>
  <r>
    <x v="1"/>
    <x v="2"/>
    <x v="1"/>
    <x v="3"/>
    <x v="22"/>
    <s v="000000 - Nincs COFOG"/>
    <n v="4170000"/>
    <n v="4170000"/>
    <x v="1"/>
  </r>
  <r>
    <x v="2"/>
    <x v="2"/>
    <x v="2"/>
    <x v="3"/>
    <x v="4"/>
    <s v="000000 - Nincs COFOG"/>
    <n v="64708332"/>
    <n v="64708332"/>
    <x v="3"/>
  </r>
  <r>
    <x v="3"/>
    <x v="2"/>
    <x v="1"/>
    <x v="2"/>
    <x v="23"/>
    <s v="000000 - Nincs COFOG"/>
    <n v="1595"/>
    <n v="1595"/>
    <x v="4"/>
  </r>
  <r>
    <x v="3"/>
    <x v="2"/>
    <x v="1"/>
    <x v="2"/>
    <x v="19"/>
    <s v="000000 - Nincs COFOG"/>
    <n v="-1595"/>
    <n v="-1595"/>
    <x v="4"/>
  </r>
  <r>
    <x v="3"/>
    <x v="2"/>
    <x v="1"/>
    <x v="3"/>
    <x v="4"/>
    <s v="000000 - Nincs COFOG"/>
    <n v="44751560"/>
    <n v="44751560"/>
    <x v="5"/>
  </r>
  <r>
    <x v="3"/>
    <x v="2"/>
    <x v="1"/>
    <x v="3"/>
    <x v="24"/>
    <s v="000000 - Nincs COFOG"/>
    <n v="2400000"/>
    <n v="2400000"/>
    <x v="5"/>
  </r>
  <r>
    <x v="3"/>
    <x v="2"/>
    <x v="1"/>
    <x v="3"/>
    <x v="22"/>
    <s v="000000 - Nincs COFOG"/>
    <n v="810000"/>
    <n v="810000"/>
    <x v="5"/>
  </r>
  <r>
    <x v="3"/>
    <x v="2"/>
    <x v="1"/>
    <x v="3"/>
    <x v="7"/>
    <s v="000000 - Nincs COFOG"/>
    <n v="96000"/>
    <n v="96000"/>
    <x v="5"/>
  </r>
  <r>
    <x v="3"/>
    <x v="2"/>
    <x v="1"/>
    <x v="3"/>
    <x v="25"/>
    <s v="000000 - Nincs COFOG"/>
    <n v="52663378"/>
    <n v="52663378"/>
    <x v="5"/>
  </r>
  <r>
    <x v="3"/>
    <x v="2"/>
    <x v="1"/>
    <x v="3"/>
    <x v="26"/>
    <s v="000000 - Nincs COFOG"/>
    <n v="10032000"/>
    <n v="10032000"/>
    <x v="5"/>
  </r>
  <r>
    <x v="3"/>
    <x v="2"/>
    <x v="1"/>
    <x v="4"/>
    <x v="8"/>
    <s v="000000 - Nincs COFOG"/>
    <n v="12128222"/>
    <n v="12128222"/>
    <x v="5"/>
  </r>
  <r>
    <x v="3"/>
    <x v="2"/>
    <x v="1"/>
    <x v="2"/>
    <x v="10"/>
    <s v="000000 - Nincs COFOG"/>
    <n v="11468857"/>
    <n v="11468857"/>
    <x v="5"/>
  </r>
  <r>
    <x v="3"/>
    <x v="2"/>
    <x v="1"/>
    <x v="2"/>
    <x v="3"/>
    <s v="000000 - Nincs COFOG"/>
    <n v="9479508"/>
    <n v="9479508"/>
    <x v="5"/>
  </r>
  <r>
    <x v="1"/>
    <x v="2"/>
    <x v="1"/>
    <x v="3"/>
    <x v="24"/>
    <s v="000000 - Nincs COFOG"/>
    <n v="162783"/>
    <n v="162783"/>
    <x v="6"/>
  </r>
  <r>
    <x v="1"/>
    <x v="2"/>
    <x v="1"/>
    <x v="3"/>
    <x v="7"/>
    <s v="000000 - Nincs COFOG"/>
    <n v="101749"/>
    <n v="101749"/>
    <x v="6"/>
  </r>
  <r>
    <x v="1"/>
    <x v="2"/>
    <x v="1"/>
    <x v="3"/>
    <x v="4"/>
    <s v="000000 - Nincs COFOG"/>
    <n v="-264532"/>
    <n v="-264532"/>
    <x v="6"/>
  </r>
  <r>
    <x v="3"/>
    <x v="2"/>
    <x v="1"/>
    <x v="2"/>
    <x v="11"/>
    <s v="000000 - Nincs COFOG"/>
    <n v="40320000"/>
    <n v="40320000"/>
    <x v="5"/>
  </r>
  <r>
    <x v="3"/>
    <x v="2"/>
    <x v="1"/>
    <x v="2"/>
    <x v="12"/>
    <s v="000000 - Nincs COFOG"/>
    <n v="3600000"/>
    <n v="3600000"/>
    <x v="5"/>
  </r>
  <r>
    <x v="3"/>
    <x v="2"/>
    <x v="1"/>
    <x v="2"/>
    <x v="13"/>
    <s v="000000 - Nincs COFOG"/>
    <n v="9000000"/>
    <n v="9000000"/>
    <x v="5"/>
  </r>
  <r>
    <x v="3"/>
    <x v="2"/>
    <x v="1"/>
    <x v="2"/>
    <x v="27"/>
    <s v="000000 - Nincs COFOG"/>
    <n v="138916890"/>
    <n v="138916890"/>
    <x v="5"/>
  </r>
  <r>
    <x v="3"/>
    <x v="2"/>
    <x v="1"/>
    <x v="2"/>
    <x v="28"/>
    <s v="000000 - Nincs COFOG"/>
    <n v="300000"/>
    <n v="300000"/>
    <x v="5"/>
  </r>
  <r>
    <x v="3"/>
    <x v="2"/>
    <x v="1"/>
    <x v="2"/>
    <x v="14"/>
    <s v="000000 - Nincs COFOG"/>
    <n v="18558734"/>
    <n v="18558734"/>
    <x v="5"/>
  </r>
  <r>
    <x v="3"/>
    <x v="2"/>
    <x v="1"/>
    <x v="2"/>
    <x v="29"/>
    <s v="000000 - Nincs COFOG"/>
    <n v="15000000"/>
    <n v="15000000"/>
    <x v="5"/>
  </r>
  <r>
    <x v="3"/>
    <x v="2"/>
    <x v="1"/>
    <x v="2"/>
    <x v="15"/>
    <s v="000000 - Nincs COFOG"/>
    <n v="6471811"/>
    <n v="6471811"/>
    <x v="5"/>
  </r>
  <r>
    <x v="3"/>
    <x v="2"/>
    <x v="1"/>
    <x v="2"/>
    <x v="16"/>
    <s v="000000 - Nincs COFOG"/>
    <n v="73602962"/>
    <n v="73602962"/>
    <x v="5"/>
  </r>
  <r>
    <x v="3"/>
    <x v="2"/>
    <x v="1"/>
    <x v="2"/>
    <x v="30"/>
    <s v="000000 - Nincs COFOG"/>
    <n v="3696000"/>
    <n v="3696000"/>
    <x v="5"/>
  </r>
  <r>
    <x v="1"/>
    <x v="2"/>
    <x v="1"/>
    <x v="3"/>
    <x v="26"/>
    <s v="000000 - Nincs COFOG"/>
    <n v="20000"/>
    <n v="20000"/>
    <x v="7"/>
  </r>
  <r>
    <x v="3"/>
    <x v="2"/>
    <x v="1"/>
    <x v="2"/>
    <x v="19"/>
    <s v="000000 - Nincs COFOG"/>
    <n v="3347600"/>
    <n v="3347600"/>
    <x v="5"/>
  </r>
  <r>
    <x v="1"/>
    <x v="2"/>
    <x v="1"/>
    <x v="3"/>
    <x v="4"/>
    <s v="000000 - Nincs COFOG"/>
    <n v="-20000"/>
    <n v="-20000"/>
    <x v="7"/>
  </r>
  <r>
    <x v="3"/>
    <x v="2"/>
    <x v="1"/>
    <x v="6"/>
    <x v="31"/>
    <s v="000000 - Nincs COFOG"/>
    <n v="18402260"/>
    <n v="18402260"/>
    <x v="5"/>
  </r>
  <r>
    <x v="3"/>
    <x v="2"/>
    <x v="1"/>
    <x v="2"/>
    <x v="23"/>
    <s v="000000 - Nincs COFOG"/>
    <n v="455820"/>
    <n v="455820"/>
    <x v="5"/>
  </r>
  <r>
    <x v="3"/>
    <x v="2"/>
    <x v="1"/>
    <x v="2"/>
    <x v="18"/>
    <s v="000000 - Nincs COFOG"/>
    <n v="86436844"/>
    <n v="86436844"/>
    <x v="5"/>
  </r>
  <r>
    <x v="3"/>
    <x v="2"/>
    <x v="1"/>
    <x v="7"/>
    <x v="32"/>
    <s v="000000 - Nincs COFOG"/>
    <n v="8000000"/>
    <n v="8000000"/>
    <x v="5"/>
  </r>
  <r>
    <x v="3"/>
    <x v="2"/>
    <x v="1"/>
    <x v="6"/>
    <x v="33"/>
    <s v="000000 - Nincs COFOG"/>
    <n v="785800"/>
    <n v="785800"/>
    <x v="5"/>
  </r>
  <r>
    <x v="3"/>
    <x v="2"/>
    <x v="1"/>
    <x v="6"/>
    <x v="34"/>
    <s v="000000 - Nincs COFOG"/>
    <n v="32565419"/>
    <n v="32565419"/>
    <x v="5"/>
  </r>
  <r>
    <x v="1"/>
    <x v="2"/>
    <x v="1"/>
    <x v="3"/>
    <x v="24"/>
    <s v="000000 - Nincs COFOG"/>
    <n v="248456"/>
    <n v="248456"/>
    <x v="8"/>
  </r>
  <r>
    <x v="3"/>
    <x v="2"/>
    <x v="1"/>
    <x v="6"/>
    <x v="35"/>
    <s v="000000 - Nincs COFOG"/>
    <n v="100224060"/>
    <n v="100224060"/>
    <x v="5"/>
  </r>
  <r>
    <x v="1"/>
    <x v="2"/>
    <x v="1"/>
    <x v="3"/>
    <x v="26"/>
    <s v="000000 - Nincs COFOG"/>
    <n v="143160"/>
    <n v="143160"/>
    <x v="8"/>
  </r>
  <r>
    <x v="3"/>
    <x v="2"/>
    <x v="1"/>
    <x v="8"/>
    <x v="36"/>
    <s v="000000 - Nincs COFOG"/>
    <n v="99839684"/>
    <n v="99839684"/>
    <x v="5"/>
  </r>
  <r>
    <x v="1"/>
    <x v="2"/>
    <x v="1"/>
    <x v="3"/>
    <x v="4"/>
    <s v="000000 - Nincs COFOG"/>
    <n v="-391616"/>
    <n v="-391616"/>
    <x v="8"/>
  </r>
  <r>
    <x v="3"/>
    <x v="2"/>
    <x v="1"/>
    <x v="8"/>
    <x v="37"/>
    <s v="000000 - Nincs COFOG"/>
    <n v="26956715"/>
    <n v="26956715"/>
    <x v="5"/>
  </r>
  <r>
    <x v="3"/>
    <x v="2"/>
    <x v="1"/>
    <x v="9"/>
    <x v="38"/>
    <s v="000000 - Nincs COFOG"/>
    <n v="27218204"/>
    <n v="27218204"/>
    <x v="5"/>
  </r>
  <r>
    <x v="3"/>
    <x v="2"/>
    <x v="1"/>
    <x v="9"/>
    <x v="39"/>
    <s v="000000 - Nincs COFOG"/>
    <n v="7348915"/>
    <n v="7348915"/>
    <x v="5"/>
  </r>
  <r>
    <x v="3"/>
    <x v="2"/>
    <x v="1"/>
    <x v="10"/>
    <x v="40"/>
    <s v="000000 - Nincs COFOG"/>
    <n v="14729728"/>
    <n v="14729728"/>
    <x v="5"/>
  </r>
  <r>
    <x v="3"/>
    <x v="2"/>
    <x v="1"/>
    <x v="10"/>
    <x v="41"/>
    <s v="000000 - Nincs COFOG"/>
    <n v="23155891"/>
    <n v="23155891"/>
    <x v="5"/>
  </r>
  <r>
    <x v="3"/>
    <x v="2"/>
    <x v="1"/>
    <x v="10"/>
    <x v="42"/>
    <s v="000000 - Nincs COFOG"/>
    <n v="713571495"/>
    <n v="713571495"/>
    <x v="5"/>
  </r>
  <r>
    <x v="3"/>
    <x v="2"/>
    <x v="1"/>
    <x v="10"/>
    <x v="43"/>
    <s v="000000 - Nincs COFOG"/>
    <n v="1149792"/>
    <n v="1149792"/>
    <x v="5"/>
  </r>
  <r>
    <x v="3"/>
    <x v="1"/>
    <x v="1"/>
    <x v="11"/>
    <x v="44"/>
    <s v="000000 - Nincs COFOG"/>
    <n v="-250117687"/>
    <n v="250117687"/>
    <x v="5"/>
  </r>
  <r>
    <x v="3"/>
    <x v="1"/>
    <x v="1"/>
    <x v="11"/>
    <x v="45"/>
    <s v="000000 - Nincs COFOG"/>
    <n v="-273336590"/>
    <n v="273336590"/>
    <x v="5"/>
  </r>
  <r>
    <x v="3"/>
    <x v="1"/>
    <x v="1"/>
    <x v="11"/>
    <x v="46"/>
    <s v="000000 - Nincs COFOG"/>
    <n v="-98121389"/>
    <n v="98121389"/>
    <x v="5"/>
  </r>
  <r>
    <x v="3"/>
    <x v="1"/>
    <x v="1"/>
    <x v="11"/>
    <x v="47"/>
    <s v="000000 - Nincs COFOG"/>
    <n v="-147019091"/>
    <n v="147019091"/>
    <x v="5"/>
  </r>
  <r>
    <x v="3"/>
    <x v="1"/>
    <x v="1"/>
    <x v="11"/>
    <x v="48"/>
    <s v="000000 - Nincs COFOG"/>
    <n v="-14913617"/>
    <n v="14913617"/>
    <x v="5"/>
  </r>
  <r>
    <x v="3"/>
    <x v="1"/>
    <x v="1"/>
    <x v="11"/>
    <x v="49"/>
    <s v="000000 - Nincs COFOG"/>
    <n v="-8184480"/>
    <n v="8184480"/>
    <x v="5"/>
  </r>
  <r>
    <x v="3"/>
    <x v="1"/>
    <x v="1"/>
    <x v="12"/>
    <x v="50"/>
    <s v="000000 - Nincs COFOG"/>
    <n v="-104900566"/>
    <n v="104900566"/>
    <x v="5"/>
  </r>
  <r>
    <x v="3"/>
    <x v="1"/>
    <x v="1"/>
    <x v="13"/>
    <x v="51"/>
    <s v="000000 - Nincs COFOG"/>
    <n v="-175000000"/>
    <n v="175000000"/>
    <x v="5"/>
  </r>
  <r>
    <x v="3"/>
    <x v="1"/>
    <x v="1"/>
    <x v="13"/>
    <x v="52"/>
    <s v="000000 - Nincs COFOG"/>
    <n v="-150000000"/>
    <n v="150000000"/>
    <x v="5"/>
  </r>
  <r>
    <x v="3"/>
    <x v="1"/>
    <x v="1"/>
    <x v="13"/>
    <x v="53"/>
    <s v="000000 - Nincs COFOG"/>
    <n v="-12000000"/>
    <n v="12000000"/>
    <x v="5"/>
  </r>
  <r>
    <x v="3"/>
    <x v="1"/>
    <x v="1"/>
    <x v="13"/>
    <x v="54"/>
    <s v="000000 - Nincs COFOG"/>
    <n v="-4800000"/>
    <n v="4800000"/>
    <x v="5"/>
  </r>
  <r>
    <x v="3"/>
    <x v="1"/>
    <x v="1"/>
    <x v="1"/>
    <x v="55"/>
    <s v="000000 - Nincs COFOG"/>
    <n v="-68240000"/>
    <n v="68240000"/>
    <x v="5"/>
  </r>
  <r>
    <x v="3"/>
    <x v="1"/>
    <x v="1"/>
    <x v="1"/>
    <x v="56"/>
    <s v="000000 - Nincs COFOG"/>
    <n v="-15000000"/>
    <n v="15000000"/>
    <x v="5"/>
  </r>
  <r>
    <x v="2"/>
    <x v="2"/>
    <x v="2"/>
    <x v="3"/>
    <x v="5"/>
    <s v="000000 - Nincs COFOG"/>
    <n v="5382050"/>
    <n v="5382050"/>
    <x v="3"/>
  </r>
  <r>
    <x v="3"/>
    <x v="1"/>
    <x v="1"/>
    <x v="1"/>
    <x v="1"/>
    <s v="000000 - Nincs COFOG"/>
    <n v="-27840000"/>
    <n v="27840000"/>
    <x v="5"/>
  </r>
  <r>
    <x v="2"/>
    <x v="2"/>
    <x v="2"/>
    <x v="3"/>
    <x v="22"/>
    <s v="000000 - Nincs COFOG"/>
    <n v="1110000"/>
    <n v="1110000"/>
    <x v="3"/>
  </r>
  <r>
    <x v="3"/>
    <x v="1"/>
    <x v="1"/>
    <x v="1"/>
    <x v="57"/>
    <s v="000000 - Nincs COFOG"/>
    <n v="-17560800"/>
    <n v="17560800"/>
    <x v="5"/>
  </r>
  <r>
    <x v="3"/>
    <x v="1"/>
    <x v="1"/>
    <x v="1"/>
    <x v="58"/>
    <s v="000000 - Nincs COFOG"/>
    <n v="-15840000"/>
    <n v="15840000"/>
    <x v="5"/>
  </r>
  <r>
    <x v="2"/>
    <x v="2"/>
    <x v="2"/>
    <x v="3"/>
    <x v="6"/>
    <s v="000000 - Nincs COFOG"/>
    <n v="1740960"/>
    <n v="1740960"/>
    <x v="3"/>
  </r>
  <r>
    <x v="3"/>
    <x v="1"/>
    <x v="1"/>
    <x v="5"/>
    <x v="20"/>
    <s v="000000 - Nincs COFOG"/>
    <n v="-234609929"/>
    <n v="234609929"/>
    <x v="5"/>
  </r>
  <r>
    <x v="2"/>
    <x v="2"/>
    <x v="2"/>
    <x v="3"/>
    <x v="7"/>
    <s v="000000 - Nincs COFOG"/>
    <n v="114000"/>
    <n v="114000"/>
    <x v="3"/>
  </r>
  <r>
    <x v="2"/>
    <x v="2"/>
    <x v="2"/>
    <x v="3"/>
    <x v="26"/>
    <s v="000000 - Nincs COFOG"/>
    <n v="6000000"/>
    <n v="6000000"/>
    <x v="3"/>
  </r>
  <r>
    <x v="2"/>
    <x v="2"/>
    <x v="2"/>
    <x v="4"/>
    <x v="8"/>
    <s v="000000 - Nincs COFOG"/>
    <n v="10124551"/>
    <n v="10124551"/>
    <x v="3"/>
  </r>
  <r>
    <x v="2"/>
    <x v="2"/>
    <x v="2"/>
    <x v="2"/>
    <x v="9"/>
    <s v="000000 - Nincs COFOG"/>
    <n v="2520000"/>
    <n v="2520000"/>
    <x v="3"/>
  </r>
  <r>
    <x v="2"/>
    <x v="2"/>
    <x v="2"/>
    <x v="2"/>
    <x v="10"/>
    <s v="000000 - Nincs COFOG"/>
    <n v="3200000"/>
    <n v="3200000"/>
    <x v="3"/>
  </r>
  <r>
    <x v="2"/>
    <x v="2"/>
    <x v="2"/>
    <x v="2"/>
    <x v="3"/>
    <s v="000000 - Nincs COFOG"/>
    <n v="290480"/>
    <n v="290480"/>
    <x v="3"/>
  </r>
  <r>
    <x v="2"/>
    <x v="2"/>
    <x v="2"/>
    <x v="2"/>
    <x v="2"/>
    <s v="000000 - Nincs COFOG"/>
    <n v="405684"/>
    <n v="405684"/>
    <x v="3"/>
  </r>
  <r>
    <x v="4"/>
    <x v="2"/>
    <x v="1"/>
    <x v="3"/>
    <x v="59"/>
    <s v="000000 - Nincs COFOG"/>
    <n v="300924"/>
    <n v="300924"/>
    <x v="9"/>
  </r>
  <r>
    <x v="4"/>
    <x v="2"/>
    <x v="1"/>
    <x v="2"/>
    <x v="18"/>
    <s v="000000 - Nincs COFOG"/>
    <n v="-115000"/>
    <n v="-115000"/>
    <x v="9"/>
  </r>
  <r>
    <x v="2"/>
    <x v="2"/>
    <x v="2"/>
    <x v="2"/>
    <x v="11"/>
    <s v="000000 - Nincs COFOG"/>
    <n v="1320000"/>
    <n v="1320000"/>
    <x v="3"/>
  </r>
  <r>
    <x v="4"/>
    <x v="2"/>
    <x v="1"/>
    <x v="3"/>
    <x v="4"/>
    <s v="000000 - Nincs COFOG"/>
    <n v="-300924"/>
    <n v="-300924"/>
    <x v="9"/>
  </r>
  <r>
    <x v="2"/>
    <x v="2"/>
    <x v="2"/>
    <x v="2"/>
    <x v="12"/>
    <s v="000000 - Nincs COFOG"/>
    <n v="3600000"/>
    <n v="3600000"/>
    <x v="3"/>
  </r>
  <r>
    <x v="4"/>
    <x v="2"/>
    <x v="1"/>
    <x v="2"/>
    <x v="60"/>
    <s v="000000 - Nincs COFOG"/>
    <n v="115000"/>
    <n v="115000"/>
    <x v="9"/>
  </r>
  <r>
    <x v="2"/>
    <x v="2"/>
    <x v="2"/>
    <x v="2"/>
    <x v="13"/>
    <s v="000000 - Nincs COFOG"/>
    <n v="840000"/>
    <n v="840000"/>
    <x v="3"/>
  </r>
  <r>
    <x v="2"/>
    <x v="2"/>
    <x v="2"/>
    <x v="2"/>
    <x v="27"/>
    <s v="000000 - Nincs COFOG"/>
    <n v="12600000"/>
    <n v="12600000"/>
    <x v="3"/>
  </r>
  <r>
    <x v="2"/>
    <x v="2"/>
    <x v="2"/>
    <x v="2"/>
    <x v="14"/>
    <s v="000000 - Nincs COFOG"/>
    <n v="1963631"/>
    <n v="1963631"/>
    <x v="3"/>
  </r>
  <r>
    <x v="2"/>
    <x v="2"/>
    <x v="2"/>
    <x v="2"/>
    <x v="15"/>
    <s v="000000 - Nincs COFOG"/>
    <n v="1615600"/>
    <n v="1615600"/>
    <x v="3"/>
  </r>
  <r>
    <x v="2"/>
    <x v="2"/>
    <x v="2"/>
    <x v="2"/>
    <x v="16"/>
    <s v="000000 - Nincs COFOG"/>
    <n v="2266020"/>
    <n v="2266020"/>
    <x v="3"/>
  </r>
  <r>
    <x v="2"/>
    <x v="2"/>
    <x v="2"/>
    <x v="2"/>
    <x v="17"/>
    <s v="000000 - Nincs COFOG"/>
    <n v="240000"/>
    <n v="240000"/>
    <x v="3"/>
  </r>
  <r>
    <x v="2"/>
    <x v="2"/>
    <x v="2"/>
    <x v="2"/>
    <x v="18"/>
    <s v="000000 - Nincs COFOG"/>
    <n v="7908413"/>
    <n v="7908413"/>
    <x v="3"/>
  </r>
  <r>
    <x v="4"/>
    <x v="2"/>
    <x v="1"/>
    <x v="2"/>
    <x v="16"/>
    <s v="000000 - Nincs COFOG"/>
    <n v="-840000"/>
    <n v="-840000"/>
    <x v="10"/>
  </r>
  <r>
    <x v="2"/>
    <x v="2"/>
    <x v="2"/>
    <x v="2"/>
    <x v="19"/>
    <s v="000000 - Nincs COFOG"/>
    <n v="20000"/>
    <n v="20000"/>
    <x v="3"/>
  </r>
  <r>
    <x v="4"/>
    <x v="2"/>
    <x v="1"/>
    <x v="2"/>
    <x v="15"/>
    <s v="000000 - Nincs COFOG"/>
    <n v="840000"/>
    <n v="840000"/>
    <x v="10"/>
  </r>
  <r>
    <x v="2"/>
    <x v="2"/>
    <x v="2"/>
    <x v="8"/>
    <x v="36"/>
    <s v="000000 - Nincs COFOG"/>
    <n v="700000"/>
    <n v="700000"/>
    <x v="3"/>
  </r>
  <r>
    <x v="3"/>
    <x v="2"/>
    <x v="1"/>
    <x v="3"/>
    <x v="6"/>
    <s v="000000 - Nincs COFOG"/>
    <n v="30420"/>
    <n v="30420"/>
    <x v="11"/>
  </r>
  <r>
    <x v="2"/>
    <x v="2"/>
    <x v="2"/>
    <x v="8"/>
    <x v="37"/>
    <s v="000000 - Nincs COFOG"/>
    <n v="189000"/>
    <n v="189000"/>
    <x v="3"/>
  </r>
  <r>
    <x v="3"/>
    <x v="2"/>
    <x v="1"/>
    <x v="3"/>
    <x v="4"/>
    <s v="000000 - Nincs COFOG"/>
    <n v="-30420"/>
    <n v="-30420"/>
    <x v="11"/>
  </r>
  <r>
    <x v="2"/>
    <x v="1"/>
    <x v="2"/>
    <x v="1"/>
    <x v="1"/>
    <s v="000000 - Nincs COFOG"/>
    <n v="-34992000"/>
    <n v="34992000"/>
    <x v="3"/>
  </r>
  <r>
    <x v="2"/>
    <x v="1"/>
    <x v="2"/>
    <x v="1"/>
    <x v="57"/>
    <s v="000000 - Nincs COFOG"/>
    <n v="-2449440"/>
    <n v="2449440"/>
    <x v="3"/>
  </r>
  <r>
    <x v="2"/>
    <x v="1"/>
    <x v="2"/>
    <x v="5"/>
    <x v="20"/>
    <s v="000000 - Nincs COFOG"/>
    <n v="-2732096"/>
    <n v="2732096"/>
    <x v="3"/>
  </r>
  <r>
    <x v="2"/>
    <x v="1"/>
    <x v="2"/>
    <x v="5"/>
    <x v="21"/>
    <s v="000000 - Nincs COFOG"/>
    <n v="-88685185"/>
    <n v="88685185"/>
    <x v="3"/>
  </r>
  <r>
    <x v="2"/>
    <x v="2"/>
    <x v="2"/>
    <x v="3"/>
    <x v="7"/>
    <s v="000000 - Nincs COFOG"/>
    <n v="129160"/>
    <n v="129160"/>
    <x v="12"/>
  </r>
  <r>
    <x v="2"/>
    <x v="2"/>
    <x v="2"/>
    <x v="3"/>
    <x v="4"/>
    <s v="000000 - Nincs COFOG"/>
    <n v="-129160"/>
    <n v="-129160"/>
    <x v="12"/>
  </r>
  <r>
    <x v="3"/>
    <x v="2"/>
    <x v="1"/>
    <x v="2"/>
    <x v="2"/>
    <s v="000000 - Nincs COFOG"/>
    <n v="1000000"/>
    <n v="1000000"/>
    <x v="13"/>
  </r>
  <r>
    <x v="3"/>
    <x v="2"/>
    <x v="1"/>
    <x v="2"/>
    <x v="17"/>
    <s v="000000 - Nincs COFOG"/>
    <n v="900000"/>
    <n v="900000"/>
    <x v="13"/>
  </r>
  <r>
    <x v="3"/>
    <x v="2"/>
    <x v="1"/>
    <x v="2"/>
    <x v="16"/>
    <s v="000000 - Nincs COFOG"/>
    <n v="-1900000"/>
    <n v="-1900000"/>
    <x v="13"/>
  </r>
  <r>
    <x v="3"/>
    <x v="2"/>
    <x v="1"/>
    <x v="3"/>
    <x v="61"/>
    <s v="000000 - Nincs COFOG"/>
    <n v="83598"/>
    <n v="83598"/>
    <x v="14"/>
  </r>
  <r>
    <x v="2"/>
    <x v="2"/>
    <x v="2"/>
    <x v="3"/>
    <x v="7"/>
    <s v="000000 - Nincs COFOG"/>
    <n v="936"/>
    <n v="936"/>
    <x v="15"/>
  </r>
  <r>
    <x v="2"/>
    <x v="2"/>
    <x v="1"/>
    <x v="3"/>
    <x v="4"/>
    <s v="000000 - Nincs COFOG"/>
    <n v="-936"/>
    <n v="-936"/>
    <x v="15"/>
  </r>
  <r>
    <x v="3"/>
    <x v="2"/>
    <x v="1"/>
    <x v="3"/>
    <x v="59"/>
    <s v="000000 - Nincs COFOG"/>
    <n v="85000"/>
    <n v="85000"/>
    <x v="16"/>
  </r>
  <r>
    <x v="5"/>
    <x v="2"/>
    <x v="1"/>
    <x v="2"/>
    <x v="2"/>
    <s v="000000 - Nincs COFOG"/>
    <n v="916"/>
    <n v="916"/>
    <x v="17"/>
  </r>
  <r>
    <x v="3"/>
    <x v="2"/>
    <x v="1"/>
    <x v="3"/>
    <x v="4"/>
    <s v="000000 - Nincs COFOG"/>
    <n v="-85000"/>
    <n v="-85000"/>
    <x v="16"/>
  </r>
  <r>
    <x v="5"/>
    <x v="2"/>
    <x v="1"/>
    <x v="2"/>
    <x v="19"/>
    <s v="000000 - Nincs COFOG"/>
    <n v="-916"/>
    <n v="-916"/>
    <x v="17"/>
  </r>
  <r>
    <x v="4"/>
    <x v="2"/>
    <x v="1"/>
    <x v="2"/>
    <x v="2"/>
    <s v="000000 - Nincs COFOG"/>
    <n v="41912"/>
    <n v="41912"/>
    <x v="18"/>
  </r>
  <r>
    <x v="4"/>
    <x v="2"/>
    <x v="1"/>
    <x v="2"/>
    <x v="3"/>
    <s v="000000 - Nincs COFOG"/>
    <n v="-41912"/>
    <n v="-41912"/>
    <x v="19"/>
  </r>
  <r>
    <x v="1"/>
    <x v="2"/>
    <x v="1"/>
    <x v="3"/>
    <x v="7"/>
    <s v="000000 - Nincs COFOG"/>
    <n v="124616"/>
    <n v="124616"/>
    <x v="20"/>
  </r>
  <r>
    <x v="1"/>
    <x v="2"/>
    <x v="1"/>
    <x v="3"/>
    <x v="4"/>
    <s v="000000 - Nincs COFOG"/>
    <n v="-124616"/>
    <n v="-124616"/>
    <x v="20"/>
  </r>
  <r>
    <x v="3"/>
    <x v="2"/>
    <x v="1"/>
    <x v="3"/>
    <x v="59"/>
    <s v="000000 - Nincs COFOG"/>
    <n v="100000"/>
    <n v="100000"/>
    <x v="21"/>
  </r>
  <r>
    <x v="5"/>
    <x v="2"/>
    <x v="1"/>
    <x v="2"/>
    <x v="16"/>
    <s v="000000 - Nincs COFOG"/>
    <n v="-24900"/>
    <n v="-24900"/>
    <x v="22"/>
  </r>
  <r>
    <x v="2"/>
    <x v="2"/>
    <x v="2"/>
    <x v="3"/>
    <x v="7"/>
    <s v="000000 - Nincs COFOG"/>
    <n v="67989"/>
    <n v="67989"/>
    <x v="23"/>
  </r>
  <r>
    <x v="2"/>
    <x v="2"/>
    <x v="1"/>
    <x v="3"/>
    <x v="4"/>
    <s v="000000 - Nincs COFOG"/>
    <n v="-67989"/>
    <n v="-67989"/>
    <x v="23"/>
  </r>
  <r>
    <x v="3"/>
    <x v="2"/>
    <x v="1"/>
    <x v="2"/>
    <x v="19"/>
    <s v="000000 - Nincs COFOG"/>
    <n v="50000"/>
    <n v="50000"/>
    <x v="24"/>
  </r>
  <r>
    <x v="3"/>
    <x v="2"/>
    <x v="1"/>
    <x v="2"/>
    <x v="18"/>
    <s v="000000 - Nincs COFOG"/>
    <n v="-50000"/>
    <n v="-50000"/>
    <x v="24"/>
  </r>
  <r>
    <x v="3"/>
    <x v="2"/>
    <x v="1"/>
    <x v="3"/>
    <x v="61"/>
    <s v="000000 - Nincs COFOG"/>
    <n v="2331"/>
    <n v="2331"/>
    <x v="25"/>
  </r>
  <r>
    <x v="3"/>
    <x v="1"/>
    <x v="1"/>
    <x v="12"/>
    <x v="50"/>
    <s v="000000 - Nincs COFOG"/>
    <n v="30559603"/>
    <n v="-30559603"/>
    <x v="26"/>
  </r>
  <r>
    <x v="3"/>
    <x v="2"/>
    <x v="1"/>
    <x v="6"/>
    <x v="35"/>
    <s v="000000 - Nincs COFOG"/>
    <n v="-30559603"/>
    <n v="-30559603"/>
    <x v="26"/>
  </r>
  <r>
    <x v="4"/>
    <x v="1"/>
    <x v="1"/>
    <x v="1"/>
    <x v="55"/>
    <s v="000000 - Nincs COFOG"/>
    <n v="-5720000"/>
    <n v="5720000"/>
    <x v="27"/>
  </r>
  <r>
    <x v="5"/>
    <x v="2"/>
    <x v="1"/>
    <x v="2"/>
    <x v="14"/>
    <s v="000000 - Nincs COFOG"/>
    <n v="2962992"/>
    <n v="2962992"/>
    <x v="28"/>
  </r>
  <r>
    <x v="4"/>
    <x v="1"/>
    <x v="1"/>
    <x v="5"/>
    <x v="20"/>
    <s v="000000 - Nincs COFOG"/>
    <n v="-1611496"/>
    <n v="1611496"/>
    <x v="27"/>
  </r>
  <r>
    <x v="5"/>
    <x v="2"/>
    <x v="1"/>
    <x v="2"/>
    <x v="15"/>
    <s v="000000 - Nincs COFOG"/>
    <n v="4524000"/>
    <n v="4524000"/>
    <x v="28"/>
  </r>
  <r>
    <x v="4"/>
    <x v="1"/>
    <x v="1"/>
    <x v="5"/>
    <x v="21"/>
    <s v="000000 - Nincs COFOG"/>
    <n v="-56999040"/>
    <n v="56999040"/>
    <x v="27"/>
  </r>
  <r>
    <x v="5"/>
    <x v="2"/>
    <x v="1"/>
    <x v="2"/>
    <x v="16"/>
    <s v="000000 - Nincs COFOG"/>
    <n v="8887184"/>
    <n v="8887184"/>
    <x v="28"/>
  </r>
  <r>
    <x v="4"/>
    <x v="2"/>
    <x v="1"/>
    <x v="3"/>
    <x v="4"/>
    <s v="000000 - Nincs COFOG"/>
    <n v="27600000"/>
    <n v="27600000"/>
    <x v="27"/>
  </r>
  <r>
    <x v="5"/>
    <x v="2"/>
    <x v="1"/>
    <x v="2"/>
    <x v="17"/>
    <s v="000000 - Nincs COFOG"/>
    <n v="600000"/>
    <n v="600000"/>
    <x v="28"/>
  </r>
  <r>
    <x v="4"/>
    <x v="2"/>
    <x v="1"/>
    <x v="3"/>
    <x v="22"/>
    <s v="000000 - Nincs COFOG"/>
    <n v="570000"/>
    <n v="570000"/>
    <x v="27"/>
  </r>
  <r>
    <x v="5"/>
    <x v="2"/>
    <x v="1"/>
    <x v="2"/>
    <x v="18"/>
    <s v="000000 - Nincs COFOG"/>
    <n v="6224662"/>
    <n v="6224662"/>
    <x v="28"/>
  </r>
  <r>
    <x v="4"/>
    <x v="2"/>
    <x v="1"/>
    <x v="3"/>
    <x v="6"/>
    <s v="000000 - Nincs COFOG"/>
    <n v="97524"/>
    <n v="97524"/>
    <x v="27"/>
  </r>
  <r>
    <x v="5"/>
    <x v="2"/>
    <x v="1"/>
    <x v="2"/>
    <x v="19"/>
    <s v="000000 - Nincs COFOG"/>
    <n v="60000"/>
    <n v="60000"/>
    <x v="28"/>
  </r>
  <r>
    <x v="4"/>
    <x v="2"/>
    <x v="1"/>
    <x v="3"/>
    <x v="7"/>
    <s v="000000 - Nincs COFOG"/>
    <n v="60000"/>
    <n v="60000"/>
    <x v="27"/>
  </r>
  <r>
    <x v="5"/>
    <x v="2"/>
    <x v="1"/>
    <x v="8"/>
    <x v="62"/>
    <s v="000000 - Nincs COFOG"/>
    <n v="1968504"/>
    <n v="1968504"/>
    <x v="28"/>
  </r>
  <r>
    <x v="4"/>
    <x v="2"/>
    <x v="1"/>
    <x v="3"/>
    <x v="26"/>
    <s v="000000 - Nincs COFOG"/>
    <n v="840000"/>
    <n v="840000"/>
    <x v="27"/>
  </r>
  <r>
    <x v="5"/>
    <x v="2"/>
    <x v="1"/>
    <x v="8"/>
    <x v="36"/>
    <s v="000000 - Nincs COFOG"/>
    <n v="1574804"/>
    <n v="1574804"/>
    <x v="28"/>
  </r>
  <r>
    <x v="4"/>
    <x v="2"/>
    <x v="1"/>
    <x v="4"/>
    <x v="8"/>
    <s v="000000 - Nincs COFOG"/>
    <n v="3856800"/>
    <n v="3856800"/>
    <x v="27"/>
  </r>
  <r>
    <x v="5"/>
    <x v="2"/>
    <x v="1"/>
    <x v="8"/>
    <x v="37"/>
    <s v="000000 - Nincs COFOG"/>
    <n v="956692"/>
    <n v="956692"/>
    <x v="28"/>
  </r>
  <r>
    <x v="4"/>
    <x v="2"/>
    <x v="1"/>
    <x v="2"/>
    <x v="10"/>
    <s v="000000 - Nincs COFOG"/>
    <n v="620000"/>
    <n v="620000"/>
    <x v="27"/>
  </r>
  <r>
    <x v="5"/>
    <x v="1"/>
    <x v="1"/>
    <x v="1"/>
    <x v="55"/>
    <s v="000000 - Nincs COFOG"/>
    <n v="-1000000"/>
    <n v="1000000"/>
    <x v="28"/>
  </r>
  <r>
    <x v="4"/>
    <x v="2"/>
    <x v="1"/>
    <x v="2"/>
    <x v="3"/>
    <s v="000000 - Nincs COFOG"/>
    <n v="778920"/>
    <n v="778920"/>
    <x v="27"/>
  </r>
  <r>
    <x v="5"/>
    <x v="1"/>
    <x v="1"/>
    <x v="5"/>
    <x v="20"/>
    <s v="000000 - Nincs COFOG"/>
    <n v="-417719"/>
    <n v="417719"/>
    <x v="28"/>
  </r>
  <r>
    <x v="4"/>
    <x v="2"/>
    <x v="1"/>
    <x v="2"/>
    <x v="2"/>
    <s v="000000 - Nincs COFOG"/>
    <n v="216000"/>
    <n v="216000"/>
    <x v="27"/>
  </r>
  <r>
    <x v="5"/>
    <x v="1"/>
    <x v="1"/>
    <x v="5"/>
    <x v="21"/>
    <s v="000000 - Nincs COFOG"/>
    <n v="-255031927"/>
    <n v="255031927"/>
    <x v="28"/>
  </r>
  <r>
    <x v="4"/>
    <x v="2"/>
    <x v="1"/>
    <x v="2"/>
    <x v="11"/>
    <s v="000000 - Nincs COFOG"/>
    <n v="2040000"/>
    <n v="2040000"/>
    <x v="27"/>
  </r>
  <r>
    <x v="4"/>
    <x v="2"/>
    <x v="1"/>
    <x v="2"/>
    <x v="12"/>
    <s v="000000 - Nincs COFOG"/>
    <n v="3120000"/>
    <n v="3120000"/>
    <x v="27"/>
  </r>
  <r>
    <x v="4"/>
    <x v="2"/>
    <x v="1"/>
    <x v="2"/>
    <x v="13"/>
    <s v="000000 - Nincs COFOG"/>
    <n v="540000"/>
    <n v="540000"/>
    <x v="27"/>
  </r>
  <r>
    <x v="4"/>
    <x v="2"/>
    <x v="1"/>
    <x v="2"/>
    <x v="14"/>
    <s v="000000 - Nincs COFOG"/>
    <n v="1300000"/>
    <n v="1300000"/>
    <x v="27"/>
  </r>
  <r>
    <x v="4"/>
    <x v="2"/>
    <x v="1"/>
    <x v="2"/>
    <x v="16"/>
    <s v="000000 - Nincs COFOG"/>
    <n v="14417024"/>
    <n v="14417024"/>
    <x v="27"/>
  </r>
  <r>
    <x v="4"/>
    <x v="2"/>
    <x v="1"/>
    <x v="2"/>
    <x v="18"/>
    <s v="000000 - Nincs COFOG"/>
    <n v="6179268"/>
    <n v="6179268"/>
    <x v="27"/>
  </r>
  <r>
    <x v="4"/>
    <x v="2"/>
    <x v="1"/>
    <x v="2"/>
    <x v="19"/>
    <s v="000000 - Nincs COFOG"/>
    <n v="200000"/>
    <n v="200000"/>
    <x v="27"/>
  </r>
  <r>
    <x v="4"/>
    <x v="2"/>
    <x v="1"/>
    <x v="8"/>
    <x v="62"/>
    <s v="000000 - Nincs COFOG"/>
    <n v="500000"/>
    <n v="500000"/>
    <x v="27"/>
  </r>
  <r>
    <x v="4"/>
    <x v="2"/>
    <x v="1"/>
    <x v="8"/>
    <x v="36"/>
    <s v="000000 - Nincs COFOG"/>
    <n v="1200000"/>
    <n v="1200000"/>
    <x v="27"/>
  </r>
  <r>
    <x v="4"/>
    <x v="2"/>
    <x v="1"/>
    <x v="8"/>
    <x v="37"/>
    <s v="000000 - Nincs COFOG"/>
    <n v="195000"/>
    <n v="195000"/>
    <x v="27"/>
  </r>
  <r>
    <x v="5"/>
    <x v="2"/>
    <x v="1"/>
    <x v="3"/>
    <x v="4"/>
    <s v="000000 - Nincs COFOG"/>
    <n v="158368000"/>
    <n v="158368000"/>
    <x v="28"/>
  </r>
  <r>
    <x v="5"/>
    <x v="2"/>
    <x v="1"/>
    <x v="3"/>
    <x v="59"/>
    <s v="000000 - Nincs COFOG"/>
    <n v="6591880"/>
    <n v="6591880"/>
    <x v="28"/>
  </r>
  <r>
    <x v="5"/>
    <x v="2"/>
    <x v="1"/>
    <x v="3"/>
    <x v="24"/>
    <s v="000000 - Nincs COFOG"/>
    <n v="3600000"/>
    <n v="3600000"/>
    <x v="28"/>
  </r>
  <r>
    <x v="5"/>
    <x v="2"/>
    <x v="1"/>
    <x v="3"/>
    <x v="5"/>
    <s v="000000 - Nincs COFOG"/>
    <n v="2450000"/>
    <n v="2450000"/>
    <x v="28"/>
  </r>
  <r>
    <x v="5"/>
    <x v="2"/>
    <x v="1"/>
    <x v="3"/>
    <x v="22"/>
    <s v="000000 - Nincs COFOG"/>
    <n v="3715567"/>
    <n v="3715567"/>
    <x v="28"/>
  </r>
  <r>
    <x v="5"/>
    <x v="2"/>
    <x v="1"/>
    <x v="3"/>
    <x v="63"/>
    <s v="000000 - Nincs COFOG"/>
    <n v="205469"/>
    <n v="205469"/>
    <x v="28"/>
  </r>
  <r>
    <x v="5"/>
    <x v="2"/>
    <x v="1"/>
    <x v="3"/>
    <x v="6"/>
    <s v="000000 - Nincs COFOG"/>
    <n v="921524"/>
    <n v="921524"/>
    <x v="28"/>
  </r>
  <r>
    <x v="5"/>
    <x v="2"/>
    <x v="1"/>
    <x v="3"/>
    <x v="64"/>
    <s v="000000 - Nincs COFOG"/>
    <n v="3600000"/>
    <n v="3600000"/>
    <x v="28"/>
  </r>
  <r>
    <x v="5"/>
    <x v="2"/>
    <x v="1"/>
    <x v="3"/>
    <x v="7"/>
    <s v="000000 - Nincs COFOG"/>
    <n v="2629000"/>
    <n v="2629000"/>
    <x v="28"/>
  </r>
  <r>
    <x v="5"/>
    <x v="2"/>
    <x v="1"/>
    <x v="3"/>
    <x v="26"/>
    <s v="000000 - Nincs COFOG"/>
    <n v="9120000"/>
    <n v="9120000"/>
    <x v="28"/>
  </r>
  <r>
    <x v="5"/>
    <x v="2"/>
    <x v="1"/>
    <x v="4"/>
    <x v="8"/>
    <s v="000000 - Nincs COFOG"/>
    <n v="24062368"/>
    <n v="24062368"/>
    <x v="28"/>
  </r>
  <r>
    <x v="5"/>
    <x v="2"/>
    <x v="1"/>
    <x v="2"/>
    <x v="9"/>
    <s v="000000 - Nincs COFOG"/>
    <n v="100000"/>
    <n v="100000"/>
    <x v="28"/>
  </r>
  <r>
    <x v="5"/>
    <x v="2"/>
    <x v="1"/>
    <x v="2"/>
    <x v="10"/>
    <s v="000000 - Nincs COFOG"/>
    <n v="4280000"/>
    <n v="4280000"/>
    <x v="28"/>
  </r>
  <r>
    <x v="5"/>
    <x v="2"/>
    <x v="1"/>
    <x v="2"/>
    <x v="3"/>
    <s v="000000 - Nincs COFOG"/>
    <n v="3479000"/>
    <n v="3479000"/>
    <x v="28"/>
  </r>
  <r>
    <x v="5"/>
    <x v="2"/>
    <x v="1"/>
    <x v="2"/>
    <x v="2"/>
    <s v="000000 - Nincs COFOG"/>
    <n v="924000"/>
    <n v="924000"/>
    <x v="28"/>
  </r>
  <r>
    <x v="3"/>
    <x v="2"/>
    <x v="1"/>
    <x v="6"/>
    <x v="35"/>
    <s v="000000 - Nincs COFOG"/>
    <n v="-83598"/>
    <n v="-83598"/>
    <x v="14"/>
  </r>
  <r>
    <x v="5"/>
    <x v="2"/>
    <x v="1"/>
    <x v="2"/>
    <x v="11"/>
    <s v="000000 - Nincs COFOG"/>
    <n v="1620000"/>
    <n v="1620000"/>
    <x v="28"/>
  </r>
  <r>
    <x v="5"/>
    <x v="2"/>
    <x v="1"/>
    <x v="2"/>
    <x v="12"/>
    <s v="000000 - Nincs COFOG"/>
    <n v="2640000"/>
    <n v="2640000"/>
    <x v="28"/>
  </r>
  <r>
    <x v="5"/>
    <x v="2"/>
    <x v="1"/>
    <x v="2"/>
    <x v="13"/>
    <s v="000000 - Nincs COFOG"/>
    <n v="240000"/>
    <n v="240000"/>
    <x v="28"/>
  </r>
  <r>
    <x v="5"/>
    <x v="2"/>
    <x v="1"/>
    <x v="2"/>
    <x v="28"/>
    <s v="000000 - Nincs COFOG"/>
    <n v="144000"/>
    <n v="144000"/>
    <x v="28"/>
  </r>
  <r>
    <x v="3"/>
    <x v="2"/>
    <x v="1"/>
    <x v="6"/>
    <x v="35"/>
    <s v="000000 - Nincs COFOG"/>
    <n v="-2331"/>
    <n v="-2331"/>
    <x v="25"/>
  </r>
  <r>
    <x v="3"/>
    <x v="2"/>
    <x v="1"/>
    <x v="6"/>
    <x v="35"/>
    <s v="000000 - Nincs COFOG"/>
    <n v="-15000"/>
    <n v="-15000"/>
    <x v="29"/>
  </r>
  <r>
    <x v="3"/>
    <x v="2"/>
    <x v="1"/>
    <x v="6"/>
    <x v="35"/>
    <s v="000000 - Nincs COFOG"/>
    <n v="-9688"/>
    <n v="-9688"/>
    <x v="30"/>
  </r>
  <r>
    <x v="3"/>
    <x v="2"/>
    <x v="1"/>
    <x v="6"/>
    <x v="35"/>
    <s v="000000 - Nincs COFOG"/>
    <n v="-9947"/>
    <n v="-9947"/>
    <x v="31"/>
  </r>
  <r>
    <x v="3"/>
    <x v="2"/>
    <x v="1"/>
    <x v="6"/>
    <x v="35"/>
    <s v="000000 - Nincs COFOG"/>
    <n v="1771703"/>
    <n v="1771703"/>
    <x v="32"/>
  </r>
  <r>
    <x v="3"/>
    <x v="1"/>
    <x v="1"/>
    <x v="11"/>
    <x v="46"/>
    <s v="000000 - Nincs COFOG"/>
    <n v="-1771703"/>
    <n v="1771703"/>
    <x v="32"/>
  </r>
  <r>
    <x v="3"/>
    <x v="2"/>
    <x v="1"/>
    <x v="3"/>
    <x v="4"/>
    <s v="000000 - Nincs COFOG"/>
    <n v="-100000"/>
    <n v="-100000"/>
    <x v="21"/>
  </r>
  <r>
    <x v="3"/>
    <x v="1"/>
    <x v="1"/>
    <x v="5"/>
    <x v="65"/>
    <s v="000000 - Nincs COFOG"/>
    <n v="-315161"/>
    <n v="315161"/>
    <x v="33"/>
  </r>
  <r>
    <x v="3"/>
    <x v="2"/>
    <x v="1"/>
    <x v="10"/>
    <x v="41"/>
    <s v="000000 - Nincs COFOG"/>
    <n v="315161"/>
    <n v="315161"/>
    <x v="33"/>
  </r>
  <r>
    <x v="3"/>
    <x v="2"/>
    <x v="1"/>
    <x v="2"/>
    <x v="9"/>
    <s v="000000 - Nincs COFOG"/>
    <n v="3693"/>
    <n v="3693"/>
    <x v="34"/>
  </r>
  <r>
    <x v="3"/>
    <x v="2"/>
    <x v="1"/>
    <x v="2"/>
    <x v="10"/>
    <s v="000000 - Nincs COFOG"/>
    <n v="-3693"/>
    <n v="-3693"/>
    <x v="34"/>
  </r>
  <r>
    <x v="3"/>
    <x v="2"/>
    <x v="1"/>
    <x v="6"/>
    <x v="33"/>
    <s v="000000 - Nincs COFOG"/>
    <n v="2465484"/>
    <n v="2465484"/>
    <x v="35"/>
  </r>
  <r>
    <x v="3"/>
    <x v="2"/>
    <x v="1"/>
    <x v="6"/>
    <x v="35"/>
    <s v="000000 - Nincs COFOG"/>
    <n v="-2465484"/>
    <n v="-2465484"/>
    <x v="35"/>
  </r>
  <r>
    <x v="1"/>
    <x v="2"/>
    <x v="1"/>
    <x v="3"/>
    <x v="26"/>
    <s v="000000 - Nincs COFOG"/>
    <n v="112450"/>
    <n v="112450"/>
    <x v="36"/>
  </r>
  <r>
    <x v="1"/>
    <x v="2"/>
    <x v="1"/>
    <x v="3"/>
    <x v="4"/>
    <s v="000000 - Nincs COFOG"/>
    <n v="-112450"/>
    <n v="-112450"/>
    <x v="36"/>
  </r>
  <r>
    <x v="3"/>
    <x v="2"/>
    <x v="1"/>
    <x v="2"/>
    <x v="28"/>
    <s v="000000 - Nincs COFOG"/>
    <n v="40000"/>
    <n v="40000"/>
    <x v="37"/>
  </r>
  <r>
    <x v="3"/>
    <x v="2"/>
    <x v="1"/>
    <x v="2"/>
    <x v="15"/>
    <s v="000000 - Nincs COFOG"/>
    <n v="1980000"/>
    <n v="1980000"/>
    <x v="38"/>
  </r>
  <r>
    <x v="3"/>
    <x v="2"/>
    <x v="1"/>
    <x v="6"/>
    <x v="35"/>
    <s v="000000 - Nincs COFOG"/>
    <n v="-2514600"/>
    <n v="-2514600"/>
    <x v="38"/>
  </r>
  <r>
    <x v="3"/>
    <x v="2"/>
    <x v="1"/>
    <x v="2"/>
    <x v="16"/>
    <s v="000000 - Nincs COFOG"/>
    <n v="-40000"/>
    <n v="-40000"/>
    <x v="37"/>
  </r>
  <r>
    <x v="3"/>
    <x v="2"/>
    <x v="1"/>
    <x v="2"/>
    <x v="18"/>
    <s v="000000 - Nincs COFOG"/>
    <n v="534600"/>
    <n v="534600"/>
    <x v="38"/>
  </r>
  <r>
    <x v="1"/>
    <x v="2"/>
    <x v="1"/>
    <x v="3"/>
    <x v="24"/>
    <s v="000000 - Nincs COFOG"/>
    <n v="153188"/>
    <n v="153188"/>
    <x v="39"/>
  </r>
  <r>
    <x v="1"/>
    <x v="2"/>
    <x v="1"/>
    <x v="3"/>
    <x v="5"/>
    <s v="000000 - Nincs COFOG"/>
    <n v="35290"/>
    <n v="35290"/>
    <x v="39"/>
  </r>
  <r>
    <x v="1"/>
    <x v="2"/>
    <x v="1"/>
    <x v="3"/>
    <x v="7"/>
    <s v="000000 - Nincs COFOG"/>
    <n v="341467"/>
    <n v="341467"/>
    <x v="39"/>
  </r>
  <r>
    <x v="1"/>
    <x v="2"/>
    <x v="1"/>
    <x v="3"/>
    <x v="26"/>
    <s v="000000 - Nincs COFOG"/>
    <n v="392478"/>
    <n v="392478"/>
    <x v="39"/>
  </r>
  <r>
    <x v="1"/>
    <x v="2"/>
    <x v="1"/>
    <x v="3"/>
    <x v="4"/>
    <s v="000000 - Nincs COFOG"/>
    <n v="-922423"/>
    <n v="-922423"/>
    <x v="39"/>
  </r>
  <r>
    <x v="1"/>
    <x v="2"/>
    <x v="1"/>
    <x v="3"/>
    <x v="7"/>
    <s v="000000 - Nincs COFOG"/>
    <n v="82729"/>
    <n v="82729"/>
    <x v="40"/>
  </r>
  <r>
    <x v="1"/>
    <x v="2"/>
    <x v="1"/>
    <x v="3"/>
    <x v="4"/>
    <s v="000000 - Nincs COFOG"/>
    <n v="-82729"/>
    <n v="-82729"/>
    <x v="40"/>
  </r>
  <r>
    <x v="1"/>
    <x v="2"/>
    <x v="1"/>
    <x v="3"/>
    <x v="7"/>
    <s v="000000 - Nincs COFOG"/>
    <n v="459998"/>
    <n v="459998"/>
    <x v="41"/>
  </r>
  <r>
    <x v="1"/>
    <x v="2"/>
    <x v="1"/>
    <x v="3"/>
    <x v="4"/>
    <s v="000000 - Nincs COFOG"/>
    <n v="-459998"/>
    <n v="-459998"/>
    <x v="41"/>
  </r>
  <r>
    <x v="1"/>
    <x v="2"/>
    <x v="1"/>
    <x v="3"/>
    <x v="24"/>
    <s v="000000 - Nincs COFOG"/>
    <n v="155031"/>
    <n v="155031"/>
    <x v="42"/>
  </r>
  <r>
    <x v="1"/>
    <x v="2"/>
    <x v="1"/>
    <x v="3"/>
    <x v="7"/>
    <s v="000000 - Nincs COFOG"/>
    <n v="133829"/>
    <n v="133829"/>
    <x v="42"/>
  </r>
  <r>
    <x v="1"/>
    <x v="2"/>
    <x v="1"/>
    <x v="3"/>
    <x v="4"/>
    <s v="000000 - Nincs COFOG"/>
    <n v="-288860"/>
    <n v="-288860"/>
    <x v="42"/>
  </r>
  <r>
    <x v="2"/>
    <x v="2"/>
    <x v="2"/>
    <x v="3"/>
    <x v="24"/>
    <s v="000000 - Nincs COFOG"/>
    <n v="116304"/>
    <n v="116304"/>
    <x v="43"/>
  </r>
  <r>
    <x v="2"/>
    <x v="2"/>
    <x v="1"/>
    <x v="3"/>
    <x v="7"/>
    <s v="000000 - Nincs COFOG"/>
    <n v="143908"/>
    <n v="143908"/>
    <x v="43"/>
  </r>
  <r>
    <x v="2"/>
    <x v="2"/>
    <x v="1"/>
    <x v="3"/>
    <x v="4"/>
    <s v="000000 - Nincs COFOG"/>
    <n v="-260212"/>
    <n v="-260212"/>
    <x v="43"/>
  </r>
  <r>
    <x v="1"/>
    <x v="2"/>
    <x v="1"/>
    <x v="3"/>
    <x v="7"/>
    <s v="000000 - Nincs COFOG"/>
    <n v="29172"/>
    <n v="29172"/>
    <x v="44"/>
  </r>
  <r>
    <x v="1"/>
    <x v="2"/>
    <x v="1"/>
    <x v="3"/>
    <x v="4"/>
    <s v="000000 - Nincs COFOG"/>
    <n v="-29172"/>
    <n v="-29172"/>
    <x v="44"/>
  </r>
  <r>
    <x v="2"/>
    <x v="2"/>
    <x v="1"/>
    <x v="3"/>
    <x v="7"/>
    <s v="000000 - Nincs COFOG"/>
    <n v="58558"/>
    <n v="58558"/>
    <x v="45"/>
  </r>
  <r>
    <x v="2"/>
    <x v="2"/>
    <x v="1"/>
    <x v="3"/>
    <x v="4"/>
    <s v="000000 - Nincs COFOG"/>
    <n v="-58558"/>
    <n v="-58558"/>
    <x v="45"/>
  </r>
  <r>
    <x v="5"/>
    <x v="2"/>
    <x v="1"/>
    <x v="2"/>
    <x v="3"/>
    <s v="000000 - Nincs COFOG"/>
    <n v="17612"/>
    <n v="17612"/>
    <x v="46"/>
  </r>
  <r>
    <x v="5"/>
    <x v="2"/>
    <x v="1"/>
    <x v="2"/>
    <x v="2"/>
    <s v="000000 - Nincs COFOG"/>
    <n v="-17612"/>
    <n v="-17612"/>
    <x v="46"/>
  </r>
  <r>
    <x v="3"/>
    <x v="1"/>
    <x v="1"/>
    <x v="14"/>
    <x v="66"/>
    <s v="000000 - Nincs COFOG"/>
    <n v="-1250400"/>
    <n v="1250400"/>
    <x v="47"/>
  </r>
  <r>
    <x v="3"/>
    <x v="2"/>
    <x v="1"/>
    <x v="6"/>
    <x v="33"/>
    <s v="000000 - Nincs COFOG"/>
    <n v="1250400"/>
    <n v="1250400"/>
    <x v="47"/>
  </r>
  <r>
    <x v="2"/>
    <x v="2"/>
    <x v="2"/>
    <x v="3"/>
    <x v="24"/>
    <s v="000000 - Nincs COFOG"/>
    <n v="216497"/>
    <n v="216497"/>
    <x v="48"/>
  </r>
  <r>
    <x v="2"/>
    <x v="2"/>
    <x v="1"/>
    <x v="3"/>
    <x v="7"/>
    <s v="000000 - Nincs COFOG"/>
    <n v="294502"/>
    <n v="294502"/>
    <x v="48"/>
  </r>
  <r>
    <x v="2"/>
    <x v="2"/>
    <x v="1"/>
    <x v="3"/>
    <x v="4"/>
    <s v="000000 - Nincs COFOG"/>
    <n v="-510999"/>
    <n v="-510999"/>
    <x v="48"/>
  </r>
  <r>
    <x v="3"/>
    <x v="2"/>
    <x v="1"/>
    <x v="3"/>
    <x v="6"/>
    <s v="000000 - Nincs COFOG"/>
    <n v="36720"/>
    <n v="36720"/>
    <x v="49"/>
  </r>
  <r>
    <x v="3"/>
    <x v="2"/>
    <x v="1"/>
    <x v="3"/>
    <x v="4"/>
    <s v="000000 - Nincs COFOG"/>
    <n v="-36720"/>
    <n v="-36720"/>
    <x v="49"/>
  </r>
  <r>
    <x v="3"/>
    <x v="2"/>
    <x v="1"/>
    <x v="2"/>
    <x v="19"/>
    <s v="000000 - Nincs COFOG"/>
    <n v="70000"/>
    <n v="70000"/>
    <x v="50"/>
  </r>
  <r>
    <x v="3"/>
    <x v="2"/>
    <x v="1"/>
    <x v="6"/>
    <x v="35"/>
    <s v="000000 - Nincs COFOG"/>
    <n v="-70000"/>
    <n v="-70000"/>
    <x v="50"/>
  </r>
  <r>
    <x v="4"/>
    <x v="2"/>
    <x v="1"/>
    <x v="3"/>
    <x v="61"/>
    <s v="000000 - Nincs COFOG"/>
    <n v="1333"/>
    <n v="1333"/>
    <x v="51"/>
  </r>
  <r>
    <x v="3"/>
    <x v="2"/>
    <x v="1"/>
    <x v="3"/>
    <x v="59"/>
    <s v="000000 - Nincs COFOG"/>
    <n v="15000"/>
    <n v="15000"/>
    <x v="52"/>
  </r>
  <r>
    <x v="4"/>
    <x v="2"/>
    <x v="1"/>
    <x v="2"/>
    <x v="10"/>
    <s v="000000 - Nincs COFOG"/>
    <n v="-1333"/>
    <n v="-1333"/>
    <x v="51"/>
  </r>
  <r>
    <x v="3"/>
    <x v="2"/>
    <x v="1"/>
    <x v="3"/>
    <x v="6"/>
    <s v="000000 - Nincs COFOG"/>
    <n v="25650"/>
    <n v="25650"/>
    <x v="52"/>
  </r>
  <r>
    <x v="3"/>
    <x v="2"/>
    <x v="1"/>
    <x v="3"/>
    <x v="7"/>
    <s v="000000 - Nincs COFOG"/>
    <n v="20148"/>
    <n v="20148"/>
    <x v="52"/>
  </r>
  <r>
    <x v="3"/>
    <x v="2"/>
    <x v="1"/>
    <x v="3"/>
    <x v="4"/>
    <s v="000000 - Nincs COFOG"/>
    <n v="-60798"/>
    <n v="-60798"/>
    <x v="52"/>
  </r>
  <r>
    <x v="3"/>
    <x v="2"/>
    <x v="1"/>
    <x v="3"/>
    <x v="26"/>
    <s v="000000 - Nincs COFOG"/>
    <n v="403600"/>
    <n v="403600"/>
    <x v="53"/>
  </r>
  <r>
    <x v="4"/>
    <x v="2"/>
    <x v="1"/>
    <x v="2"/>
    <x v="10"/>
    <s v="000000 - Nincs COFOG"/>
    <n v="6324"/>
    <n v="6324"/>
    <x v="54"/>
  </r>
  <r>
    <x v="3"/>
    <x v="2"/>
    <x v="1"/>
    <x v="3"/>
    <x v="4"/>
    <s v="000000 - Nincs COFOG"/>
    <n v="-403600"/>
    <n v="-403600"/>
    <x v="53"/>
  </r>
  <r>
    <x v="4"/>
    <x v="2"/>
    <x v="1"/>
    <x v="2"/>
    <x v="18"/>
    <s v="000000 - Nincs COFOG"/>
    <n v="-6324"/>
    <n v="-6324"/>
    <x v="54"/>
  </r>
  <r>
    <x v="3"/>
    <x v="2"/>
    <x v="1"/>
    <x v="3"/>
    <x v="26"/>
    <s v="000000 - Nincs COFOG"/>
    <n v="62527"/>
    <n v="62527"/>
    <x v="55"/>
  </r>
  <r>
    <x v="3"/>
    <x v="2"/>
    <x v="1"/>
    <x v="3"/>
    <x v="4"/>
    <s v="000000 - Nincs COFOG"/>
    <n v="-62527"/>
    <n v="-62527"/>
    <x v="55"/>
  </r>
  <r>
    <x v="1"/>
    <x v="2"/>
    <x v="1"/>
    <x v="3"/>
    <x v="24"/>
    <s v="000000 - Nincs COFOG"/>
    <n v="85"/>
    <n v="85"/>
    <x v="56"/>
  </r>
  <r>
    <x v="1"/>
    <x v="2"/>
    <x v="1"/>
    <x v="3"/>
    <x v="4"/>
    <s v="000000 - Nincs COFOG"/>
    <n v="-85"/>
    <n v="-85"/>
    <x v="56"/>
  </r>
  <r>
    <x v="3"/>
    <x v="2"/>
    <x v="1"/>
    <x v="3"/>
    <x v="61"/>
    <s v="000000 - Nincs COFOG"/>
    <n v="42424"/>
    <n v="42424"/>
    <x v="57"/>
  </r>
  <r>
    <x v="3"/>
    <x v="2"/>
    <x v="1"/>
    <x v="3"/>
    <x v="26"/>
    <s v="000000 - Nincs COFOG"/>
    <n v="2262861"/>
    <n v="2262861"/>
    <x v="58"/>
  </r>
  <r>
    <x v="3"/>
    <x v="2"/>
    <x v="1"/>
    <x v="6"/>
    <x v="35"/>
    <s v="000000 - Nincs COFOG"/>
    <n v="-42424"/>
    <n v="-42424"/>
    <x v="57"/>
  </r>
  <r>
    <x v="3"/>
    <x v="2"/>
    <x v="1"/>
    <x v="4"/>
    <x v="8"/>
    <s v="000000 - Nincs COFOG"/>
    <n v="107536"/>
    <n v="107536"/>
    <x v="58"/>
  </r>
  <r>
    <x v="3"/>
    <x v="2"/>
    <x v="1"/>
    <x v="2"/>
    <x v="15"/>
    <s v="000000 - Nincs COFOG"/>
    <n v="188039"/>
    <n v="188039"/>
    <x v="57"/>
  </r>
  <r>
    <x v="3"/>
    <x v="2"/>
    <x v="1"/>
    <x v="2"/>
    <x v="16"/>
    <s v="000000 - Nincs COFOG"/>
    <n v="-2370397"/>
    <n v="-2370397"/>
    <x v="58"/>
  </r>
  <r>
    <x v="3"/>
    <x v="2"/>
    <x v="1"/>
    <x v="2"/>
    <x v="16"/>
    <s v="000000 - Nincs COFOG"/>
    <n v="-188039"/>
    <n v="-188039"/>
    <x v="57"/>
  </r>
  <r>
    <x v="3"/>
    <x v="2"/>
    <x v="1"/>
    <x v="3"/>
    <x v="61"/>
    <s v="000000 - Nincs COFOG"/>
    <n v="49842"/>
    <n v="49842"/>
    <x v="59"/>
  </r>
  <r>
    <x v="3"/>
    <x v="2"/>
    <x v="1"/>
    <x v="6"/>
    <x v="35"/>
    <s v="000000 - Nincs COFOG"/>
    <n v="-49842"/>
    <n v="-49842"/>
    <x v="59"/>
  </r>
  <r>
    <x v="3"/>
    <x v="2"/>
    <x v="1"/>
    <x v="2"/>
    <x v="9"/>
    <s v="000000 - Nincs COFOG"/>
    <n v="3543"/>
    <n v="3543"/>
    <x v="60"/>
  </r>
  <r>
    <x v="3"/>
    <x v="2"/>
    <x v="1"/>
    <x v="2"/>
    <x v="10"/>
    <s v="000000 - Nincs COFOG"/>
    <n v="-3543"/>
    <n v="-3543"/>
    <x v="60"/>
  </r>
  <r>
    <x v="5"/>
    <x v="2"/>
    <x v="1"/>
    <x v="2"/>
    <x v="19"/>
    <s v="000000 - Nincs COFOG"/>
    <n v="62400"/>
    <n v="62400"/>
    <x v="61"/>
  </r>
  <r>
    <x v="5"/>
    <x v="2"/>
    <x v="1"/>
    <x v="2"/>
    <x v="18"/>
    <s v="000000 - Nincs COFOG"/>
    <n v="-62400"/>
    <n v="-62400"/>
    <x v="61"/>
  </r>
  <r>
    <x v="3"/>
    <x v="1"/>
    <x v="1"/>
    <x v="11"/>
    <x v="46"/>
    <s v="000000 - Nincs COFOG"/>
    <n v="-1864016"/>
    <n v="1864016"/>
    <x v="62"/>
  </r>
  <r>
    <x v="3"/>
    <x v="2"/>
    <x v="1"/>
    <x v="6"/>
    <x v="35"/>
    <s v="000000 - Nincs COFOG"/>
    <n v="1864016"/>
    <n v="1864016"/>
    <x v="62"/>
  </r>
  <r>
    <x v="3"/>
    <x v="1"/>
    <x v="1"/>
    <x v="5"/>
    <x v="65"/>
    <s v="000000 - Nincs COFOG"/>
    <n v="-144803"/>
    <n v="144803"/>
    <x v="63"/>
  </r>
  <r>
    <x v="3"/>
    <x v="2"/>
    <x v="1"/>
    <x v="10"/>
    <x v="41"/>
    <s v="000000 - Nincs COFOG"/>
    <n v="144803"/>
    <n v="144803"/>
    <x v="63"/>
  </r>
  <r>
    <x v="3"/>
    <x v="2"/>
    <x v="1"/>
    <x v="3"/>
    <x v="61"/>
    <s v="000000 - Nincs COFOG"/>
    <n v="25984"/>
    <n v="25984"/>
    <x v="64"/>
  </r>
  <r>
    <x v="3"/>
    <x v="2"/>
    <x v="1"/>
    <x v="6"/>
    <x v="35"/>
    <s v="000000 - Nincs COFOG"/>
    <n v="-25984"/>
    <n v="-25984"/>
    <x v="64"/>
  </r>
  <r>
    <x v="1"/>
    <x v="2"/>
    <x v="1"/>
    <x v="3"/>
    <x v="4"/>
    <s v="000000 - Nincs COFOG"/>
    <n v="-274032"/>
    <n v="-274032"/>
    <x v="65"/>
  </r>
  <r>
    <x v="1"/>
    <x v="2"/>
    <x v="1"/>
    <x v="3"/>
    <x v="26"/>
    <s v="000000 - Nincs COFOG"/>
    <n v="274032"/>
    <n v="274032"/>
    <x v="65"/>
  </r>
  <r>
    <x v="3"/>
    <x v="2"/>
    <x v="1"/>
    <x v="2"/>
    <x v="28"/>
    <s v="000000 - Nincs COFOG"/>
    <n v="28729"/>
    <n v="28729"/>
    <x v="66"/>
  </r>
  <r>
    <x v="3"/>
    <x v="2"/>
    <x v="1"/>
    <x v="2"/>
    <x v="18"/>
    <s v="000000 - Nincs COFOG"/>
    <n v="-28729"/>
    <n v="-28729"/>
    <x v="66"/>
  </r>
  <r>
    <x v="2"/>
    <x v="2"/>
    <x v="2"/>
    <x v="3"/>
    <x v="61"/>
    <s v="000000 - Nincs COFOG"/>
    <n v="2582"/>
    <n v="2582"/>
    <x v="67"/>
  </r>
  <r>
    <x v="2"/>
    <x v="2"/>
    <x v="2"/>
    <x v="2"/>
    <x v="10"/>
    <s v="000000 - Nincs COFOG"/>
    <n v="-2582"/>
    <n v="-2582"/>
    <x v="67"/>
  </r>
  <r>
    <x v="3"/>
    <x v="2"/>
    <x v="1"/>
    <x v="2"/>
    <x v="19"/>
    <s v="000000 - Nincs COFOG"/>
    <n v="40000"/>
    <n v="40000"/>
    <x v="68"/>
  </r>
  <r>
    <x v="3"/>
    <x v="2"/>
    <x v="1"/>
    <x v="2"/>
    <x v="18"/>
    <s v="000000 - Nincs COFOG"/>
    <n v="-40000"/>
    <n v="-40000"/>
    <x v="68"/>
  </r>
  <r>
    <x v="1"/>
    <x v="2"/>
    <x v="1"/>
    <x v="3"/>
    <x v="7"/>
    <s v="000000 - Nincs COFOG"/>
    <n v="87191"/>
    <n v="87191"/>
    <x v="69"/>
  </r>
  <r>
    <x v="1"/>
    <x v="2"/>
    <x v="1"/>
    <x v="3"/>
    <x v="4"/>
    <s v="000000 - Nincs COFOG"/>
    <n v="-87191"/>
    <n v="-87191"/>
    <x v="69"/>
  </r>
  <r>
    <x v="3"/>
    <x v="1"/>
    <x v="1"/>
    <x v="11"/>
    <x v="44"/>
    <s v="000000 - Nincs COFOG"/>
    <n v="-6604345"/>
    <n v="6604345"/>
    <x v="70"/>
  </r>
  <r>
    <x v="3"/>
    <x v="1"/>
    <x v="1"/>
    <x v="11"/>
    <x v="46"/>
    <s v="000000 - Nincs COFOG"/>
    <n v="-3395608"/>
    <n v="3395608"/>
    <x v="70"/>
  </r>
  <r>
    <x v="3"/>
    <x v="2"/>
    <x v="1"/>
    <x v="6"/>
    <x v="35"/>
    <s v="000000 - Nincs COFOG"/>
    <n v="9999953"/>
    <n v="9999953"/>
    <x v="70"/>
  </r>
  <r>
    <x v="3"/>
    <x v="1"/>
    <x v="1"/>
    <x v="12"/>
    <x v="67"/>
    <s v="000000 - Nincs COFOG"/>
    <n v="-34529963"/>
    <n v="34529963"/>
    <x v="71"/>
  </r>
  <r>
    <x v="3"/>
    <x v="1"/>
    <x v="1"/>
    <x v="12"/>
    <x v="50"/>
    <s v="000000 - Nincs COFOG"/>
    <n v="34529963"/>
    <n v="-34529963"/>
    <x v="71"/>
  </r>
  <r>
    <x v="2"/>
    <x v="2"/>
    <x v="2"/>
    <x v="3"/>
    <x v="7"/>
    <s v="000000 - Nincs COFOG"/>
    <n v="4450"/>
    <n v="4450"/>
    <x v="72"/>
  </r>
  <r>
    <x v="2"/>
    <x v="2"/>
    <x v="2"/>
    <x v="3"/>
    <x v="4"/>
    <s v="000000 - Nincs COFOG"/>
    <n v="-4450"/>
    <n v="-4450"/>
    <x v="72"/>
  </r>
  <r>
    <x v="3"/>
    <x v="2"/>
    <x v="1"/>
    <x v="3"/>
    <x v="7"/>
    <s v="000000 - Nincs COFOG"/>
    <n v="18010"/>
    <n v="18010"/>
    <x v="73"/>
  </r>
  <r>
    <x v="3"/>
    <x v="2"/>
    <x v="1"/>
    <x v="3"/>
    <x v="4"/>
    <s v="000000 - Nincs COFOG"/>
    <n v="-18010"/>
    <n v="-18010"/>
    <x v="73"/>
  </r>
  <r>
    <x v="3"/>
    <x v="2"/>
    <x v="1"/>
    <x v="2"/>
    <x v="19"/>
    <s v="000000 - Nincs COFOG"/>
    <n v="5718"/>
    <n v="5718"/>
    <x v="74"/>
  </r>
  <r>
    <x v="3"/>
    <x v="2"/>
    <x v="1"/>
    <x v="2"/>
    <x v="16"/>
    <s v="000000 - Nincs COFOG"/>
    <n v="-5718"/>
    <n v="-5718"/>
    <x v="74"/>
  </r>
  <r>
    <x v="3"/>
    <x v="2"/>
    <x v="1"/>
    <x v="2"/>
    <x v="19"/>
    <s v="000000 - Nincs COFOG"/>
    <n v="97000"/>
    <n v="97000"/>
    <x v="75"/>
  </r>
  <r>
    <x v="3"/>
    <x v="2"/>
    <x v="1"/>
    <x v="2"/>
    <x v="16"/>
    <s v="000000 - Nincs COFOG"/>
    <n v="-97000"/>
    <n v="-97000"/>
    <x v="75"/>
  </r>
  <r>
    <x v="3"/>
    <x v="2"/>
    <x v="1"/>
    <x v="3"/>
    <x v="61"/>
    <s v="000000 - Nincs COFOG"/>
    <n v="181114"/>
    <n v="181114"/>
    <x v="75"/>
  </r>
  <r>
    <x v="3"/>
    <x v="2"/>
    <x v="1"/>
    <x v="6"/>
    <x v="35"/>
    <s v="000000 - Nincs COFOG"/>
    <n v="-181114"/>
    <n v="-181114"/>
    <x v="75"/>
  </r>
  <r>
    <x v="1"/>
    <x v="2"/>
    <x v="1"/>
    <x v="3"/>
    <x v="7"/>
    <s v="000000 - Nincs COFOG"/>
    <n v="87883"/>
    <n v="87883"/>
    <x v="76"/>
  </r>
  <r>
    <x v="1"/>
    <x v="2"/>
    <x v="1"/>
    <x v="3"/>
    <x v="4"/>
    <s v="000000 - Nincs COFOG"/>
    <n v="-87883"/>
    <n v="-87883"/>
    <x v="76"/>
  </r>
  <r>
    <x v="5"/>
    <x v="2"/>
    <x v="1"/>
    <x v="2"/>
    <x v="19"/>
    <s v="000000 - Nincs COFOG"/>
    <n v="5000"/>
    <n v="5000"/>
    <x v="77"/>
  </r>
  <r>
    <x v="5"/>
    <x v="2"/>
    <x v="1"/>
    <x v="2"/>
    <x v="18"/>
    <s v="000000 - Nincs COFOG"/>
    <n v="-5000"/>
    <n v="-5000"/>
    <x v="77"/>
  </r>
  <r>
    <x v="1"/>
    <x v="2"/>
    <x v="1"/>
    <x v="3"/>
    <x v="24"/>
    <s v="000000 - Nincs COFOG"/>
    <n v="270926"/>
    <n v="270926"/>
    <x v="78"/>
  </r>
  <r>
    <x v="1"/>
    <x v="2"/>
    <x v="1"/>
    <x v="3"/>
    <x v="7"/>
    <s v="000000 - Nincs COFOG"/>
    <n v="857017"/>
    <n v="857017"/>
    <x v="78"/>
  </r>
  <r>
    <x v="1"/>
    <x v="2"/>
    <x v="1"/>
    <x v="3"/>
    <x v="26"/>
    <s v="000000 - Nincs COFOG"/>
    <n v="92272"/>
    <n v="92272"/>
    <x v="78"/>
  </r>
  <r>
    <x v="1"/>
    <x v="2"/>
    <x v="1"/>
    <x v="3"/>
    <x v="4"/>
    <s v="000000 - Nincs COFOG"/>
    <n v="-1220215"/>
    <n v="-1220215"/>
    <x v="78"/>
  </r>
  <r>
    <x v="3"/>
    <x v="2"/>
    <x v="1"/>
    <x v="2"/>
    <x v="3"/>
    <s v="000000 - Nincs COFOG"/>
    <n v="1938010"/>
    <n v="1938010"/>
    <x v="79"/>
  </r>
  <r>
    <x v="3"/>
    <x v="2"/>
    <x v="1"/>
    <x v="2"/>
    <x v="16"/>
    <s v="000000 - Nincs COFOG"/>
    <n v="-1938010"/>
    <n v="-1938010"/>
    <x v="79"/>
  </r>
  <r>
    <x v="3"/>
    <x v="2"/>
    <x v="1"/>
    <x v="3"/>
    <x v="61"/>
    <s v="000000 - Nincs COFOG"/>
    <n v="15000"/>
    <n v="15000"/>
    <x v="29"/>
  </r>
  <r>
    <x v="3"/>
    <x v="2"/>
    <x v="1"/>
    <x v="3"/>
    <x v="61"/>
    <s v="000000 - Nincs COFOG"/>
    <n v="9688"/>
    <n v="9688"/>
    <x v="30"/>
  </r>
  <r>
    <x v="2"/>
    <x v="2"/>
    <x v="2"/>
    <x v="3"/>
    <x v="4"/>
    <s v="000000 - Nincs COFOG"/>
    <n v="-295298"/>
    <n v="-295298"/>
    <x v="80"/>
  </r>
  <r>
    <x v="2"/>
    <x v="2"/>
    <x v="1"/>
    <x v="3"/>
    <x v="24"/>
    <s v="000000 - Nincs COFOG"/>
    <n v="220525"/>
    <n v="220525"/>
    <x v="80"/>
  </r>
  <r>
    <x v="2"/>
    <x v="2"/>
    <x v="1"/>
    <x v="3"/>
    <x v="7"/>
    <s v="000000 - Nincs COFOG"/>
    <n v="74773"/>
    <n v="74773"/>
    <x v="80"/>
  </r>
  <r>
    <x v="3"/>
    <x v="1"/>
    <x v="1"/>
    <x v="11"/>
    <x v="46"/>
    <s v="000000 - Nincs COFOG"/>
    <n v="-1843751"/>
    <n v="1843751"/>
    <x v="81"/>
  </r>
  <r>
    <x v="3"/>
    <x v="2"/>
    <x v="1"/>
    <x v="6"/>
    <x v="35"/>
    <s v="000000 - Nincs COFOG"/>
    <n v="1843751"/>
    <n v="1843751"/>
    <x v="81"/>
  </r>
  <r>
    <x v="3"/>
    <x v="2"/>
    <x v="1"/>
    <x v="3"/>
    <x v="26"/>
    <s v="000000 - Nincs COFOG"/>
    <n v="857268"/>
    <n v="857268"/>
    <x v="82"/>
  </r>
  <r>
    <x v="3"/>
    <x v="2"/>
    <x v="1"/>
    <x v="3"/>
    <x v="4"/>
    <s v="000000 - Nincs COFOG"/>
    <n v="-857268"/>
    <n v="-857268"/>
    <x v="82"/>
  </r>
  <r>
    <x v="5"/>
    <x v="2"/>
    <x v="1"/>
    <x v="2"/>
    <x v="3"/>
    <s v="000000 - Nincs COFOG"/>
    <n v="24900"/>
    <n v="24900"/>
    <x v="22"/>
  </r>
  <r>
    <x v="3"/>
    <x v="2"/>
    <x v="1"/>
    <x v="3"/>
    <x v="61"/>
    <s v="000000 - Nincs COFOG"/>
    <n v="9947"/>
    <n v="9947"/>
    <x v="31"/>
  </r>
  <r>
    <x v="3"/>
    <x v="2"/>
    <x v="1"/>
    <x v="2"/>
    <x v="19"/>
    <s v="000000 - Nincs COFOG"/>
    <n v="10000"/>
    <n v="10000"/>
    <x v="83"/>
  </r>
  <r>
    <x v="3"/>
    <x v="2"/>
    <x v="1"/>
    <x v="2"/>
    <x v="18"/>
    <s v="000000 - Nincs COFOG"/>
    <n v="-10000"/>
    <n v="-10000"/>
    <x v="83"/>
  </r>
  <r>
    <x v="3"/>
    <x v="2"/>
    <x v="1"/>
    <x v="2"/>
    <x v="15"/>
    <s v="000000 - Nincs COFOG"/>
    <n v="3000000"/>
    <n v="3000000"/>
    <x v="84"/>
  </r>
  <r>
    <x v="3"/>
    <x v="2"/>
    <x v="1"/>
    <x v="2"/>
    <x v="16"/>
    <s v="000000 - Nincs COFOG"/>
    <n v="-3000000"/>
    <n v="-3000000"/>
    <x v="84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  <r>
    <x v="0"/>
    <x v="0"/>
    <x v="0"/>
    <x v="0"/>
    <x v="0"/>
    <s v="000000 - Nincs COFOG"/>
    <n v="0"/>
    <n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9"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1"/>
    <x v="1"/>
    <x v="1"/>
    <x v="1"/>
    <x v="1"/>
    <x v="1"/>
    <s v="000000 - Nincs COFOG"/>
    <n v="-540000"/>
    <n v="540000"/>
  </r>
  <r>
    <x v="2"/>
    <x v="2"/>
    <x v="2"/>
    <x v="1"/>
    <x v="2"/>
    <x v="2"/>
    <s v="000000 - Nincs COFOG"/>
    <n v="22311"/>
    <n v="22311"/>
  </r>
  <r>
    <x v="2"/>
    <x v="2"/>
    <x v="2"/>
    <x v="1"/>
    <x v="2"/>
    <x v="3"/>
    <s v="000000 - Nincs COFOG"/>
    <n v="-22311"/>
    <n v="-22311"/>
  </r>
  <r>
    <x v="3"/>
    <x v="1"/>
    <x v="2"/>
    <x v="1"/>
    <x v="3"/>
    <x v="4"/>
    <s v="000000 - Nincs COFOG"/>
    <n v="253189388"/>
    <n v="253189388"/>
  </r>
  <r>
    <x v="3"/>
    <x v="1"/>
    <x v="2"/>
    <x v="1"/>
    <x v="3"/>
    <x v="5"/>
    <s v="000000 - Nincs COFOG"/>
    <n v="3580210"/>
    <n v="3580210"/>
  </r>
  <r>
    <x v="3"/>
    <x v="1"/>
    <x v="2"/>
    <x v="1"/>
    <x v="3"/>
    <x v="6"/>
    <s v="000000 - Nincs COFOG"/>
    <n v="660000"/>
    <n v="660000"/>
  </r>
  <r>
    <x v="3"/>
    <x v="1"/>
    <x v="2"/>
    <x v="1"/>
    <x v="3"/>
    <x v="7"/>
    <s v="000000 - Nincs COFOG"/>
    <n v="429000"/>
    <n v="429000"/>
  </r>
  <r>
    <x v="3"/>
    <x v="1"/>
    <x v="2"/>
    <x v="1"/>
    <x v="4"/>
    <x v="8"/>
    <s v="000000 - Nincs COFOG"/>
    <n v="34547629"/>
    <n v="34547629"/>
  </r>
  <r>
    <x v="3"/>
    <x v="1"/>
    <x v="2"/>
    <x v="1"/>
    <x v="2"/>
    <x v="9"/>
    <s v="000000 - Nincs COFOG"/>
    <n v="260000"/>
    <n v="260000"/>
  </r>
  <r>
    <x v="3"/>
    <x v="1"/>
    <x v="2"/>
    <x v="1"/>
    <x v="2"/>
    <x v="10"/>
    <s v="000000 - Nincs COFOG"/>
    <n v="2700000"/>
    <n v="2700000"/>
  </r>
  <r>
    <x v="3"/>
    <x v="1"/>
    <x v="2"/>
    <x v="1"/>
    <x v="2"/>
    <x v="3"/>
    <s v="000000 - Nincs COFOG"/>
    <n v="660000"/>
    <n v="660000"/>
  </r>
  <r>
    <x v="3"/>
    <x v="1"/>
    <x v="2"/>
    <x v="1"/>
    <x v="2"/>
    <x v="2"/>
    <s v="000000 - Nincs COFOG"/>
    <n v="300000"/>
    <n v="300000"/>
  </r>
  <r>
    <x v="3"/>
    <x v="1"/>
    <x v="2"/>
    <x v="1"/>
    <x v="2"/>
    <x v="11"/>
    <s v="000000 - Nincs COFOG"/>
    <n v="1500000"/>
    <n v="1500000"/>
  </r>
  <r>
    <x v="3"/>
    <x v="1"/>
    <x v="2"/>
    <x v="1"/>
    <x v="2"/>
    <x v="12"/>
    <s v="000000 - Nincs COFOG"/>
    <n v="3600000"/>
    <n v="3600000"/>
  </r>
  <r>
    <x v="3"/>
    <x v="1"/>
    <x v="2"/>
    <x v="1"/>
    <x v="2"/>
    <x v="13"/>
    <s v="000000 - Nincs COFOG"/>
    <n v="1560000"/>
    <n v="1560000"/>
  </r>
  <r>
    <x v="3"/>
    <x v="1"/>
    <x v="2"/>
    <x v="1"/>
    <x v="2"/>
    <x v="14"/>
    <s v="000000 - Nincs COFOG"/>
    <n v="500000"/>
    <n v="500000"/>
  </r>
  <r>
    <x v="3"/>
    <x v="1"/>
    <x v="2"/>
    <x v="1"/>
    <x v="2"/>
    <x v="15"/>
    <s v="000000 - Nincs COFOG"/>
    <n v="750000"/>
    <n v="750000"/>
  </r>
  <r>
    <x v="3"/>
    <x v="1"/>
    <x v="2"/>
    <x v="1"/>
    <x v="2"/>
    <x v="16"/>
    <s v="000000 - Nincs COFOG"/>
    <n v="2559200"/>
    <n v="2559200"/>
  </r>
  <r>
    <x v="3"/>
    <x v="1"/>
    <x v="2"/>
    <x v="1"/>
    <x v="2"/>
    <x v="17"/>
    <s v="000000 - Nincs COFOG"/>
    <n v="150000"/>
    <n v="150000"/>
  </r>
  <r>
    <x v="3"/>
    <x v="1"/>
    <x v="2"/>
    <x v="1"/>
    <x v="2"/>
    <x v="18"/>
    <s v="000000 - Nincs COFOG"/>
    <n v="3763584"/>
    <n v="3763584"/>
  </r>
  <r>
    <x v="3"/>
    <x v="1"/>
    <x v="2"/>
    <x v="1"/>
    <x v="2"/>
    <x v="19"/>
    <s v="000000 - Nincs COFOG"/>
    <n v="100000"/>
    <n v="100000"/>
  </r>
  <r>
    <x v="1"/>
    <x v="1"/>
    <x v="1"/>
    <x v="1"/>
    <x v="5"/>
    <x v="20"/>
    <s v="000000 - Nincs COFOG"/>
    <n v="-1583668"/>
    <n v="1583668"/>
  </r>
  <r>
    <x v="1"/>
    <x v="1"/>
    <x v="1"/>
    <x v="1"/>
    <x v="5"/>
    <x v="21"/>
    <s v="000000 - Nincs COFOG"/>
    <n v="-312855343"/>
    <n v="312855343"/>
  </r>
  <r>
    <x v="3"/>
    <x v="1"/>
    <x v="2"/>
    <x v="1"/>
    <x v="3"/>
    <x v="22"/>
    <s v="000000 - Nincs COFOG"/>
    <n v="4170000"/>
    <n v="4170000"/>
  </r>
  <r>
    <x v="2"/>
    <x v="2"/>
    <x v="2"/>
    <x v="2"/>
    <x v="3"/>
    <x v="4"/>
    <s v="000000 - Nincs COFOG"/>
    <n v="64708332"/>
    <n v="64708332"/>
  </r>
  <r>
    <x v="4"/>
    <x v="3"/>
    <x v="2"/>
    <x v="1"/>
    <x v="2"/>
    <x v="23"/>
    <s v="000000 - Nincs COFOG"/>
    <n v="1595"/>
    <n v="1595"/>
  </r>
  <r>
    <x v="4"/>
    <x v="3"/>
    <x v="2"/>
    <x v="1"/>
    <x v="2"/>
    <x v="19"/>
    <s v="000000 - Nincs COFOG"/>
    <n v="-1595"/>
    <n v="-1595"/>
  </r>
  <r>
    <x v="4"/>
    <x v="3"/>
    <x v="2"/>
    <x v="1"/>
    <x v="3"/>
    <x v="4"/>
    <s v="000000 - Nincs COFOG"/>
    <n v="44751560"/>
    <n v="44751560"/>
  </r>
  <r>
    <x v="4"/>
    <x v="3"/>
    <x v="2"/>
    <x v="1"/>
    <x v="3"/>
    <x v="24"/>
    <s v="000000 - Nincs COFOG"/>
    <n v="2400000"/>
    <n v="2400000"/>
  </r>
  <r>
    <x v="4"/>
    <x v="3"/>
    <x v="2"/>
    <x v="1"/>
    <x v="3"/>
    <x v="22"/>
    <s v="000000 - Nincs COFOG"/>
    <n v="810000"/>
    <n v="810000"/>
  </r>
  <r>
    <x v="4"/>
    <x v="3"/>
    <x v="2"/>
    <x v="1"/>
    <x v="3"/>
    <x v="7"/>
    <s v="000000 - Nincs COFOG"/>
    <n v="96000"/>
    <n v="96000"/>
  </r>
  <r>
    <x v="4"/>
    <x v="3"/>
    <x v="2"/>
    <x v="1"/>
    <x v="3"/>
    <x v="25"/>
    <s v="000000 - Nincs COFOG"/>
    <n v="52663378"/>
    <n v="52663378"/>
  </r>
  <r>
    <x v="4"/>
    <x v="3"/>
    <x v="2"/>
    <x v="1"/>
    <x v="3"/>
    <x v="26"/>
    <s v="000000 - Nincs COFOG"/>
    <n v="10032000"/>
    <n v="10032000"/>
  </r>
  <r>
    <x v="4"/>
    <x v="3"/>
    <x v="2"/>
    <x v="1"/>
    <x v="4"/>
    <x v="8"/>
    <s v="000000 - Nincs COFOG"/>
    <n v="12128222"/>
    <n v="12128222"/>
  </r>
  <r>
    <x v="4"/>
    <x v="3"/>
    <x v="2"/>
    <x v="1"/>
    <x v="2"/>
    <x v="10"/>
    <s v="000000 - Nincs COFOG"/>
    <n v="11468857"/>
    <n v="11468857"/>
  </r>
  <r>
    <x v="4"/>
    <x v="3"/>
    <x v="2"/>
    <x v="1"/>
    <x v="2"/>
    <x v="3"/>
    <s v="000000 - Nincs COFOG"/>
    <n v="9479508"/>
    <n v="9479508"/>
  </r>
  <r>
    <x v="3"/>
    <x v="1"/>
    <x v="2"/>
    <x v="1"/>
    <x v="3"/>
    <x v="24"/>
    <s v="000000 - Nincs COFOG"/>
    <n v="162783"/>
    <n v="162783"/>
  </r>
  <r>
    <x v="3"/>
    <x v="1"/>
    <x v="2"/>
    <x v="1"/>
    <x v="3"/>
    <x v="7"/>
    <s v="000000 - Nincs COFOG"/>
    <n v="101749"/>
    <n v="101749"/>
  </r>
  <r>
    <x v="3"/>
    <x v="1"/>
    <x v="2"/>
    <x v="1"/>
    <x v="3"/>
    <x v="4"/>
    <s v="000000 - Nincs COFOG"/>
    <n v="-264532"/>
    <n v="-264532"/>
  </r>
  <r>
    <x v="4"/>
    <x v="3"/>
    <x v="2"/>
    <x v="1"/>
    <x v="2"/>
    <x v="11"/>
    <s v="000000 - Nincs COFOG"/>
    <n v="40320000"/>
    <n v="40320000"/>
  </r>
  <r>
    <x v="4"/>
    <x v="3"/>
    <x v="2"/>
    <x v="1"/>
    <x v="2"/>
    <x v="12"/>
    <s v="000000 - Nincs COFOG"/>
    <n v="3600000"/>
    <n v="3600000"/>
  </r>
  <r>
    <x v="4"/>
    <x v="3"/>
    <x v="2"/>
    <x v="1"/>
    <x v="2"/>
    <x v="13"/>
    <s v="000000 - Nincs COFOG"/>
    <n v="9000000"/>
    <n v="9000000"/>
  </r>
  <r>
    <x v="4"/>
    <x v="3"/>
    <x v="2"/>
    <x v="1"/>
    <x v="2"/>
    <x v="27"/>
    <s v="000000 - Nincs COFOG"/>
    <n v="138916890"/>
    <n v="138916890"/>
  </r>
  <r>
    <x v="4"/>
    <x v="3"/>
    <x v="2"/>
    <x v="1"/>
    <x v="2"/>
    <x v="28"/>
    <s v="000000 - Nincs COFOG"/>
    <n v="300000"/>
    <n v="300000"/>
  </r>
  <r>
    <x v="4"/>
    <x v="3"/>
    <x v="2"/>
    <x v="1"/>
    <x v="2"/>
    <x v="14"/>
    <s v="000000 - Nincs COFOG"/>
    <n v="18558734"/>
    <n v="18558734"/>
  </r>
  <r>
    <x v="4"/>
    <x v="3"/>
    <x v="2"/>
    <x v="1"/>
    <x v="2"/>
    <x v="29"/>
    <s v="000000 - Nincs COFOG"/>
    <n v="15000000"/>
    <n v="15000000"/>
  </r>
  <r>
    <x v="4"/>
    <x v="3"/>
    <x v="2"/>
    <x v="1"/>
    <x v="2"/>
    <x v="15"/>
    <s v="000000 - Nincs COFOG"/>
    <n v="6471811"/>
    <n v="6471811"/>
  </r>
  <r>
    <x v="4"/>
    <x v="3"/>
    <x v="2"/>
    <x v="1"/>
    <x v="2"/>
    <x v="16"/>
    <s v="000000 - Nincs COFOG"/>
    <n v="73602962"/>
    <n v="73602962"/>
  </r>
  <r>
    <x v="4"/>
    <x v="3"/>
    <x v="2"/>
    <x v="1"/>
    <x v="2"/>
    <x v="30"/>
    <s v="000000 - Nincs COFOG"/>
    <n v="3696000"/>
    <n v="3696000"/>
  </r>
  <r>
    <x v="3"/>
    <x v="1"/>
    <x v="2"/>
    <x v="1"/>
    <x v="3"/>
    <x v="26"/>
    <s v="000000 - Nincs COFOG"/>
    <n v="20000"/>
    <n v="20000"/>
  </r>
  <r>
    <x v="4"/>
    <x v="3"/>
    <x v="2"/>
    <x v="1"/>
    <x v="2"/>
    <x v="19"/>
    <s v="000000 - Nincs COFOG"/>
    <n v="3347600"/>
    <n v="3347600"/>
  </r>
  <r>
    <x v="3"/>
    <x v="1"/>
    <x v="2"/>
    <x v="1"/>
    <x v="3"/>
    <x v="4"/>
    <s v="000000 - Nincs COFOG"/>
    <n v="-20000"/>
    <n v="-20000"/>
  </r>
  <r>
    <x v="4"/>
    <x v="3"/>
    <x v="2"/>
    <x v="1"/>
    <x v="6"/>
    <x v="31"/>
    <s v="000000 - Nincs COFOG"/>
    <n v="18402260"/>
    <n v="18402260"/>
  </r>
  <r>
    <x v="4"/>
    <x v="3"/>
    <x v="2"/>
    <x v="1"/>
    <x v="2"/>
    <x v="23"/>
    <s v="000000 - Nincs COFOG"/>
    <n v="455820"/>
    <n v="455820"/>
  </r>
  <r>
    <x v="4"/>
    <x v="3"/>
    <x v="2"/>
    <x v="1"/>
    <x v="2"/>
    <x v="18"/>
    <s v="000000 - Nincs COFOG"/>
    <n v="86436844"/>
    <n v="86436844"/>
  </r>
  <r>
    <x v="4"/>
    <x v="3"/>
    <x v="2"/>
    <x v="1"/>
    <x v="7"/>
    <x v="32"/>
    <s v="000000 - Nincs COFOG"/>
    <n v="8000000"/>
    <n v="8000000"/>
  </r>
  <r>
    <x v="4"/>
    <x v="3"/>
    <x v="2"/>
    <x v="1"/>
    <x v="6"/>
    <x v="33"/>
    <s v="000000 - Nincs COFOG"/>
    <n v="785800"/>
    <n v="785800"/>
  </r>
  <r>
    <x v="4"/>
    <x v="3"/>
    <x v="2"/>
    <x v="1"/>
    <x v="6"/>
    <x v="34"/>
    <s v="000000 - Nincs COFOG"/>
    <n v="32565419"/>
    <n v="32565419"/>
  </r>
  <r>
    <x v="3"/>
    <x v="1"/>
    <x v="2"/>
    <x v="1"/>
    <x v="3"/>
    <x v="24"/>
    <s v="000000 - Nincs COFOG"/>
    <n v="248456"/>
    <n v="248456"/>
  </r>
  <r>
    <x v="4"/>
    <x v="3"/>
    <x v="2"/>
    <x v="1"/>
    <x v="6"/>
    <x v="35"/>
    <s v="000000 - Nincs COFOG"/>
    <n v="100224060"/>
    <n v="100224060"/>
  </r>
  <r>
    <x v="3"/>
    <x v="1"/>
    <x v="2"/>
    <x v="1"/>
    <x v="3"/>
    <x v="26"/>
    <s v="000000 - Nincs COFOG"/>
    <n v="143160"/>
    <n v="143160"/>
  </r>
  <r>
    <x v="4"/>
    <x v="3"/>
    <x v="2"/>
    <x v="1"/>
    <x v="8"/>
    <x v="36"/>
    <s v="000000 - Nincs COFOG"/>
    <n v="99839684"/>
    <n v="99839684"/>
  </r>
  <r>
    <x v="3"/>
    <x v="1"/>
    <x v="2"/>
    <x v="1"/>
    <x v="3"/>
    <x v="4"/>
    <s v="000000 - Nincs COFOG"/>
    <n v="-391616"/>
    <n v="-391616"/>
  </r>
  <r>
    <x v="4"/>
    <x v="3"/>
    <x v="2"/>
    <x v="1"/>
    <x v="8"/>
    <x v="37"/>
    <s v="000000 - Nincs COFOG"/>
    <n v="26956715"/>
    <n v="26956715"/>
  </r>
  <r>
    <x v="4"/>
    <x v="3"/>
    <x v="2"/>
    <x v="1"/>
    <x v="9"/>
    <x v="38"/>
    <s v="000000 - Nincs COFOG"/>
    <n v="27218204"/>
    <n v="27218204"/>
  </r>
  <r>
    <x v="4"/>
    <x v="3"/>
    <x v="2"/>
    <x v="1"/>
    <x v="9"/>
    <x v="39"/>
    <s v="000000 - Nincs COFOG"/>
    <n v="7348915"/>
    <n v="7348915"/>
  </r>
  <r>
    <x v="4"/>
    <x v="3"/>
    <x v="2"/>
    <x v="1"/>
    <x v="10"/>
    <x v="40"/>
    <s v="000000 - Nincs COFOG"/>
    <n v="14729728"/>
    <n v="14729728"/>
  </r>
  <r>
    <x v="4"/>
    <x v="3"/>
    <x v="2"/>
    <x v="1"/>
    <x v="10"/>
    <x v="41"/>
    <s v="000000 - Nincs COFOG"/>
    <n v="23155891"/>
    <n v="23155891"/>
  </r>
  <r>
    <x v="4"/>
    <x v="3"/>
    <x v="2"/>
    <x v="1"/>
    <x v="10"/>
    <x v="42"/>
    <s v="000000 - Nincs COFOG"/>
    <n v="713571495"/>
    <n v="713571495"/>
  </r>
  <r>
    <x v="4"/>
    <x v="3"/>
    <x v="2"/>
    <x v="1"/>
    <x v="10"/>
    <x v="43"/>
    <s v="000000 - Nincs COFOG"/>
    <n v="1149792"/>
    <n v="1149792"/>
  </r>
  <r>
    <x v="5"/>
    <x v="3"/>
    <x v="1"/>
    <x v="1"/>
    <x v="11"/>
    <x v="44"/>
    <s v="000000 - Nincs COFOG"/>
    <n v="-250117687"/>
    <n v="250117687"/>
  </r>
  <r>
    <x v="5"/>
    <x v="3"/>
    <x v="1"/>
    <x v="1"/>
    <x v="11"/>
    <x v="45"/>
    <s v="000000 - Nincs COFOG"/>
    <n v="-273336590"/>
    <n v="273336590"/>
  </r>
  <r>
    <x v="5"/>
    <x v="3"/>
    <x v="1"/>
    <x v="1"/>
    <x v="11"/>
    <x v="46"/>
    <s v="000000 - Nincs COFOG"/>
    <n v="-98121389"/>
    <n v="98121389"/>
  </r>
  <r>
    <x v="5"/>
    <x v="3"/>
    <x v="1"/>
    <x v="1"/>
    <x v="11"/>
    <x v="47"/>
    <s v="000000 - Nincs COFOG"/>
    <n v="-147019091"/>
    <n v="147019091"/>
  </r>
  <r>
    <x v="5"/>
    <x v="3"/>
    <x v="1"/>
    <x v="1"/>
    <x v="11"/>
    <x v="48"/>
    <s v="000000 - Nincs COFOG"/>
    <n v="-14913617"/>
    <n v="14913617"/>
  </r>
  <r>
    <x v="5"/>
    <x v="3"/>
    <x v="1"/>
    <x v="1"/>
    <x v="11"/>
    <x v="49"/>
    <s v="000000 - Nincs COFOG"/>
    <n v="-8184480"/>
    <n v="8184480"/>
  </r>
  <r>
    <x v="5"/>
    <x v="3"/>
    <x v="1"/>
    <x v="1"/>
    <x v="12"/>
    <x v="50"/>
    <s v="000000 - Nincs COFOG"/>
    <n v="-104900566"/>
    <n v="104900566"/>
  </r>
  <r>
    <x v="5"/>
    <x v="3"/>
    <x v="1"/>
    <x v="1"/>
    <x v="13"/>
    <x v="51"/>
    <s v="000000 - Nincs COFOG"/>
    <n v="-175000000"/>
    <n v="175000000"/>
  </r>
  <r>
    <x v="5"/>
    <x v="3"/>
    <x v="1"/>
    <x v="1"/>
    <x v="13"/>
    <x v="52"/>
    <s v="000000 - Nincs COFOG"/>
    <n v="-150000000"/>
    <n v="150000000"/>
  </r>
  <r>
    <x v="5"/>
    <x v="3"/>
    <x v="1"/>
    <x v="1"/>
    <x v="13"/>
    <x v="53"/>
    <s v="000000 - Nincs COFOG"/>
    <n v="-12000000"/>
    <n v="12000000"/>
  </r>
  <r>
    <x v="5"/>
    <x v="3"/>
    <x v="1"/>
    <x v="1"/>
    <x v="13"/>
    <x v="54"/>
    <s v="000000 - Nincs COFOG"/>
    <n v="-4800000"/>
    <n v="4800000"/>
  </r>
  <r>
    <x v="5"/>
    <x v="3"/>
    <x v="1"/>
    <x v="1"/>
    <x v="1"/>
    <x v="55"/>
    <s v="000000 - Nincs COFOG"/>
    <n v="-68240000"/>
    <n v="68240000"/>
  </r>
  <r>
    <x v="5"/>
    <x v="3"/>
    <x v="1"/>
    <x v="1"/>
    <x v="1"/>
    <x v="56"/>
    <s v="000000 - Nincs COFOG"/>
    <n v="-15000000"/>
    <n v="15000000"/>
  </r>
  <r>
    <x v="2"/>
    <x v="2"/>
    <x v="2"/>
    <x v="2"/>
    <x v="3"/>
    <x v="5"/>
    <s v="000000 - Nincs COFOG"/>
    <n v="5382050"/>
    <n v="5382050"/>
  </r>
  <r>
    <x v="5"/>
    <x v="3"/>
    <x v="1"/>
    <x v="1"/>
    <x v="1"/>
    <x v="1"/>
    <s v="000000 - Nincs COFOG"/>
    <n v="-27840000"/>
    <n v="27840000"/>
  </r>
  <r>
    <x v="2"/>
    <x v="2"/>
    <x v="2"/>
    <x v="2"/>
    <x v="3"/>
    <x v="22"/>
    <s v="000000 - Nincs COFOG"/>
    <n v="1110000"/>
    <n v="1110000"/>
  </r>
  <r>
    <x v="5"/>
    <x v="3"/>
    <x v="1"/>
    <x v="1"/>
    <x v="1"/>
    <x v="57"/>
    <s v="000000 - Nincs COFOG"/>
    <n v="-17560800"/>
    <n v="17560800"/>
  </r>
  <r>
    <x v="5"/>
    <x v="3"/>
    <x v="1"/>
    <x v="1"/>
    <x v="1"/>
    <x v="58"/>
    <s v="000000 - Nincs COFOG"/>
    <n v="-15840000"/>
    <n v="15840000"/>
  </r>
  <r>
    <x v="2"/>
    <x v="2"/>
    <x v="2"/>
    <x v="2"/>
    <x v="3"/>
    <x v="6"/>
    <s v="000000 - Nincs COFOG"/>
    <n v="1740960"/>
    <n v="1740960"/>
  </r>
  <r>
    <x v="5"/>
    <x v="3"/>
    <x v="1"/>
    <x v="1"/>
    <x v="5"/>
    <x v="20"/>
    <s v="000000 - Nincs COFOG"/>
    <n v="-234609929"/>
    <n v="234609929"/>
  </r>
  <r>
    <x v="2"/>
    <x v="2"/>
    <x v="2"/>
    <x v="2"/>
    <x v="3"/>
    <x v="7"/>
    <s v="000000 - Nincs COFOG"/>
    <n v="114000"/>
    <n v="114000"/>
  </r>
  <r>
    <x v="2"/>
    <x v="2"/>
    <x v="2"/>
    <x v="2"/>
    <x v="3"/>
    <x v="26"/>
    <s v="000000 - Nincs COFOG"/>
    <n v="6000000"/>
    <n v="6000000"/>
  </r>
  <r>
    <x v="2"/>
    <x v="2"/>
    <x v="2"/>
    <x v="2"/>
    <x v="4"/>
    <x v="8"/>
    <s v="000000 - Nincs COFOG"/>
    <n v="10124551"/>
    <n v="10124551"/>
  </r>
  <r>
    <x v="2"/>
    <x v="2"/>
    <x v="2"/>
    <x v="2"/>
    <x v="2"/>
    <x v="9"/>
    <s v="000000 - Nincs COFOG"/>
    <n v="2520000"/>
    <n v="2520000"/>
  </r>
  <r>
    <x v="2"/>
    <x v="2"/>
    <x v="2"/>
    <x v="2"/>
    <x v="2"/>
    <x v="10"/>
    <s v="000000 - Nincs COFOG"/>
    <n v="3200000"/>
    <n v="3200000"/>
  </r>
  <r>
    <x v="2"/>
    <x v="2"/>
    <x v="2"/>
    <x v="2"/>
    <x v="2"/>
    <x v="3"/>
    <s v="000000 - Nincs COFOG"/>
    <n v="290480"/>
    <n v="290480"/>
  </r>
  <r>
    <x v="2"/>
    <x v="2"/>
    <x v="2"/>
    <x v="2"/>
    <x v="2"/>
    <x v="2"/>
    <s v="000000 - Nincs COFOG"/>
    <n v="405684"/>
    <n v="405684"/>
  </r>
  <r>
    <x v="6"/>
    <x v="4"/>
    <x v="2"/>
    <x v="1"/>
    <x v="3"/>
    <x v="59"/>
    <s v="000000 - Nincs COFOG"/>
    <n v="300924"/>
    <n v="300924"/>
  </r>
  <r>
    <x v="6"/>
    <x v="4"/>
    <x v="2"/>
    <x v="1"/>
    <x v="2"/>
    <x v="18"/>
    <s v="000000 - Nincs COFOG"/>
    <n v="-115000"/>
    <n v="-115000"/>
  </r>
  <r>
    <x v="2"/>
    <x v="2"/>
    <x v="2"/>
    <x v="2"/>
    <x v="2"/>
    <x v="11"/>
    <s v="000000 - Nincs COFOG"/>
    <n v="1320000"/>
    <n v="1320000"/>
  </r>
  <r>
    <x v="6"/>
    <x v="4"/>
    <x v="2"/>
    <x v="1"/>
    <x v="3"/>
    <x v="4"/>
    <s v="000000 - Nincs COFOG"/>
    <n v="-300924"/>
    <n v="-300924"/>
  </r>
  <r>
    <x v="2"/>
    <x v="2"/>
    <x v="2"/>
    <x v="2"/>
    <x v="2"/>
    <x v="12"/>
    <s v="000000 - Nincs COFOG"/>
    <n v="3600000"/>
    <n v="3600000"/>
  </r>
  <r>
    <x v="6"/>
    <x v="4"/>
    <x v="2"/>
    <x v="1"/>
    <x v="2"/>
    <x v="60"/>
    <s v="000000 - Nincs COFOG"/>
    <n v="115000"/>
    <n v="115000"/>
  </r>
  <r>
    <x v="2"/>
    <x v="2"/>
    <x v="2"/>
    <x v="2"/>
    <x v="2"/>
    <x v="13"/>
    <s v="000000 - Nincs COFOG"/>
    <n v="840000"/>
    <n v="840000"/>
  </r>
  <r>
    <x v="2"/>
    <x v="2"/>
    <x v="2"/>
    <x v="2"/>
    <x v="2"/>
    <x v="27"/>
    <s v="000000 - Nincs COFOG"/>
    <n v="12600000"/>
    <n v="12600000"/>
  </r>
  <r>
    <x v="2"/>
    <x v="2"/>
    <x v="2"/>
    <x v="2"/>
    <x v="2"/>
    <x v="14"/>
    <s v="000000 - Nincs COFOG"/>
    <n v="1963631"/>
    <n v="1963631"/>
  </r>
  <r>
    <x v="2"/>
    <x v="2"/>
    <x v="2"/>
    <x v="2"/>
    <x v="2"/>
    <x v="15"/>
    <s v="000000 - Nincs COFOG"/>
    <n v="1615600"/>
    <n v="1615600"/>
  </r>
  <r>
    <x v="2"/>
    <x v="2"/>
    <x v="2"/>
    <x v="2"/>
    <x v="2"/>
    <x v="16"/>
    <s v="000000 - Nincs COFOG"/>
    <n v="2266020"/>
    <n v="2266020"/>
  </r>
  <r>
    <x v="2"/>
    <x v="2"/>
    <x v="2"/>
    <x v="2"/>
    <x v="2"/>
    <x v="17"/>
    <s v="000000 - Nincs COFOG"/>
    <n v="240000"/>
    <n v="240000"/>
  </r>
  <r>
    <x v="2"/>
    <x v="2"/>
    <x v="2"/>
    <x v="2"/>
    <x v="2"/>
    <x v="18"/>
    <s v="000000 - Nincs COFOG"/>
    <n v="7908413"/>
    <n v="7908413"/>
  </r>
  <r>
    <x v="6"/>
    <x v="4"/>
    <x v="2"/>
    <x v="1"/>
    <x v="2"/>
    <x v="16"/>
    <s v="000000 - Nincs COFOG"/>
    <n v="-840000"/>
    <n v="-840000"/>
  </r>
  <r>
    <x v="2"/>
    <x v="2"/>
    <x v="2"/>
    <x v="2"/>
    <x v="2"/>
    <x v="19"/>
    <s v="000000 - Nincs COFOG"/>
    <n v="20000"/>
    <n v="20000"/>
  </r>
  <r>
    <x v="6"/>
    <x v="4"/>
    <x v="2"/>
    <x v="1"/>
    <x v="2"/>
    <x v="15"/>
    <s v="000000 - Nincs COFOG"/>
    <n v="840000"/>
    <n v="840000"/>
  </r>
  <r>
    <x v="2"/>
    <x v="2"/>
    <x v="2"/>
    <x v="2"/>
    <x v="8"/>
    <x v="36"/>
    <s v="000000 - Nincs COFOG"/>
    <n v="700000"/>
    <n v="700000"/>
  </r>
  <r>
    <x v="4"/>
    <x v="3"/>
    <x v="2"/>
    <x v="1"/>
    <x v="3"/>
    <x v="6"/>
    <s v="000000 - Nincs COFOG"/>
    <n v="30420"/>
    <n v="30420"/>
  </r>
  <r>
    <x v="2"/>
    <x v="2"/>
    <x v="2"/>
    <x v="2"/>
    <x v="8"/>
    <x v="37"/>
    <s v="000000 - Nincs COFOG"/>
    <n v="189000"/>
    <n v="189000"/>
  </r>
  <r>
    <x v="4"/>
    <x v="3"/>
    <x v="2"/>
    <x v="1"/>
    <x v="3"/>
    <x v="4"/>
    <s v="000000 - Nincs COFOG"/>
    <n v="-30420"/>
    <n v="-30420"/>
  </r>
  <r>
    <x v="7"/>
    <x v="2"/>
    <x v="1"/>
    <x v="2"/>
    <x v="1"/>
    <x v="1"/>
    <s v="000000 - Nincs COFOG"/>
    <n v="-34992000"/>
    <n v="34992000"/>
  </r>
  <r>
    <x v="7"/>
    <x v="2"/>
    <x v="1"/>
    <x v="2"/>
    <x v="1"/>
    <x v="57"/>
    <s v="000000 - Nincs COFOG"/>
    <n v="-2449440"/>
    <n v="2449440"/>
  </r>
  <r>
    <x v="7"/>
    <x v="2"/>
    <x v="1"/>
    <x v="2"/>
    <x v="5"/>
    <x v="20"/>
    <s v="000000 - Nincs COFOG"/>
    <n v="-2732096"/>
    <n v="2732096"/>
  </r>
  <r>
    <x v="7"/>
    <x v="2"/>
    <x v="1"/>
    <x v="2"/>
    <x v="5"/>
    <x v="21"/>
    <s v="000000 - Nincs COFOG"/>
    <n v="-88685185"/>
    <n v="88685185"/>
  </r>
  <r>
    <x v="2"/>
    <x v="2"/>
    <x v="2"/>
    <x v="2"/>
    <x v="3"/>
    <x v="7"/>
    <s v="000000 - Nincs COFOG"/>
    <n v="129160"/>
    <n v="129160"/>
  </r>
  <r>
    <x v="2"/>
    <x v="2"/>
    <x v="2"/>
    <x v="2"/>
    <x v="3"/>
    <x v="4"/>
    <s v="000000 - Nincs COFOG"/>
    <n v="-129160"/>
    <n v="-129160"/>
  </r>
  <r>
    <x v="4"/>
    <x v="3"/>
    <x v="2"/>
    <x v="1"/>
    <x v="2"/>
    <x v="2"/>
    <s v="000000 - Nincs COFOG"/>
    <n v="1000000"/>
    <n v="1000000"/>
  </r>
  <r>
    <x v="4"/>
    <x v="3"/>
    <x v="2"/>
    <x v="1"/>
    <x v="2"/>
    <x v="17"/>
    <s v="000000 - Nincs COFOG"/>
    <n v="900000"/>
    <n v="900000"/>
  </r>
  <r>
    <x v="4"/>
    <x v="3"/>
    <x v="2"/>
    <x v="1"/>
    <x v="2"/>
    <x v="16"/>
    <s v="000000 - Nincs COFOG"/>
    <n v="-1900000"/>
    <n v="-1900000"/>
  </r>
  <r>
    <x v="4"/>
    <x v="3"/>
    <x v="2"/>
    <x v="1"/>
    <x v="3"/>
    <x v="61"/>
    <s v="000000 - Nincs COFOG"/>
    <n v="83598"/>
    <n v="83598"/>
  </r>
  <r>
    <x v="2"/>
    <x v="2"/>
    <x v="2"/>
    <x v="2"/>
    <x v="3"/>
    <x v="7"/>
    <s v="000000 - Nincs COFOG"/>
    <n v="936"/>
    <n v="936"/>
  </r>
  <r>
    <x v="2"/>
    <x v="2"/>
    <x v="2"/>
    <x v="1"/>
    <x v="3"/>
    <x v="4"/>
    <s v="000000 - Nincs COFOG"/>
    <n v="-936"/>
    <n v="-936"/>
  </r>
  <r>
    <x v="4"/>
    <x v="3"/>
    <x v="2"/>
    <x v="1"/>
    <x v="3"/>
    <x v="59"/>
    <s v="000000 - Nincs COFOG"/>
    <n v="85000"/>
    <n v="85000"/>
  </r>
  <r>
    <x v="8"/>
    <x v="5"/>
    <x v="2"/>
    <x v="1"/>
    <x v="2"/>
    <x v="2"/>
    <s v="000000 - Nincs COFOG"/>
    <n v="916"/>
    <n v="916"/>
  </r>
  <r>
    <x v="4"/>
    <x v="3"/>
    <x v="2"/>
    <x v="1"/>
    <x v="3"/>
    <x v="4"/>
    <s v="000000 - Nincs COFOG"/>
    <n v="-85000"/>
    <n v="-85000"/>
  </r>
  <r>
    <x v="8"/>
    <x v="5"/>
    <x v="2"/>
    <x v="1"/>
    <x v="2"/>
    <x v="19"/>
    <s v="000000 - Nincs COFOG"/>
    <n v="-916"/>
    <n v="-916"/>
  </r>
  <r>
    <x v="6"/>
    <x v="4"/>
    <x v="2"/>
    <x v="1"/>
    <x v="2"/>
    <x v="2"/>
    <s v="000000 - Nincs COFOG"/>
    <n v="41912"/>
    <n v="41912"/>
  </r>
  <r>
    <x v="6"/>
    <x v="4"/>
    <x v="2"/>
    <x v="1"/>
    <x v="2"/>
    <x v="3"/>
    <s v="000000 - Nincs COFOG"/>
    <n v="-41912"/>
    <n v="-41912"/>
  </r>
  <r>
    <x v="3"/>
    <x v="1"/>
    <x v="2"/>
    <x v="1"/>
    <x v="3"/>
    <x v="7"/>
    <s v="000000 - Nincs COFOG"/>
    <n v="124616"/>
    <n v="124616"/>
  </r>
  <r>
    <x v="3"/>
    <x v="1"/>
    <x v="2"/>
    <x v="1"/>
    <x v="3"/>
    <x v="4"/>
    <s v="000000 - Nincs COFOG"/>
    <n v="-124616"/>
    <n v="-124616"/>
  </r>
  <r>
    <x v="4"/>
    <x v="3"/>
    <x v="2"/>
    <x v="1"/>
    <x v="3"/>
    <x v="59"/>
    <s v="000000 - Nincs COFOG"/>
    <n v="100000"/>
    <n v="100000"/>
  </r>
  <r>
    <x v="8"/>
    <x v="5"/>
    <x v="2"/>
    <x v="1"/>
    <x v="2"/>
    <x v="16"/>
    <s v="000000 - Nincs COFOG"/>
    <n v="-24900"/>
    <n v="-24900"/>
  </r>
  <r>
    <x v="2"/>
    <x v="2"/>
    <x v="2"/>
    <x v="2"/>
    <x v="3"/>
    <x v="7"/>
    <s v="000000 - Nincs COFOG"/>
    <n v="67989"/>
    <n v="67989"/>
  </r>
  <r>
    <x v="2"/>
    <x v="2"/>
    <x v="2"/>
    <x v="1"/>
    <x v="3"/>
    <x v="4"/>
    <s v="000000 - Nincs COFOG"/>
    <n v="-67989"/>
    <n v="-67989"/>
  </r>
  <r>
    <x v="4"/>
    <x v="3"/>
    <x v="2"/>
    <x v="1"/>
    <x v="2"/>
    <x v="19"/>
    <s v="000000 - Nincs COFOG"/>
    <n v="50000"/>
    <n v="50000"/>
  </r>
  <r>
    <x v="4"/>
    <x v="3"/>
    <x v="2"/>
    <x v="1"/>
    <x v="2"/>
    <x v="18"/>
    <s v="000000 - Nincs COFOG"/>
    <n v="-50000"/>
    <n v="-50000"/>
  </r>
  <r>
    <x v="4"/>
    <x v="3"/>
    <x v="2"/>
    <x v="1"/>
    <x v="3"/>
    <x v="61"/>
    <s v="000000 - Nincs COFOG"/>
    <n v="2331"/>
    <n v="2331"/>
  </r>
  <r>
    <x v="5"/>
    <x v="3"/>
    <x v="1"/>
    <x v="1"/>
    <x v="12"/>
    <x v="50"/>
    <s v="000000 - Nincs COFOG"/>
    <n v="30559603"/>
    <n v="-30559603"/>
  </r>
  <r>
    <x v="4"/>
    <x v="3"/>
    <x v="2"/>
    <x v="1"/>
    <x v="6"/>
    <x v="35"/>
    <s v="000000 - Nincs COFOG"/>
    <n v="-30559603"/>
    <n v="-30559603"/>
  </r>
  <r>
    <x v="9"/>
    <x v="4"/>
    <x v="1"/>
    <x v="1"/>
    <x v="1"/>
    <x v="55"/>
    <s v="000000 - Nincs COFOG"/>
    <n v="-5720000"/>
    <n v="5720000"/>
  </r>
  <r>
    <x v="8"/>
    <x v="5"/>
    <x v="2"/>
    <x v="1"/>
    <x v="2"/>
    <x v="14"/>
    <s v="000000 - Nincs COFOG"/>
    <n v="2962992"/>
    <n v="2962992"/>
  </r>
  <r>
    <x v="9"/>
    <x v="4"/>
    <x v="1"/>
    <x v="1"/>
    <x v="5"/>
    <x v="20"/>
    <s v="000000 - Nincs COFOG"/>
    <n v="-1611496"/>
    <n v="1611496"/>
  </r>
  <r>
    <x v="8"/>
    <x v="5"/>
    <x v="2"/>
    <x v="1"/>
    <x v="2"/>
    <x v="15"/>
    <s v="000000 - Nincs COFOG"/>
    <n v="4524000"/>
    <n v="4524000"/>
  </r>
  <r>
    <x v="9"/>
    <x v="4"/>
    <x v="1"/>
    <x v="1"/>
    <x v="5"/>
    <x v="21"/>
    <s v="000000 - Nincs COFOG"/>
    <n v="-56999040"/>
    <n v="56999040"/>
  </r>
  <r>
    <x v="8"/>
    <x v="5"/>
    <x v="2"/>
    <x v="1"/>
    <x v="2"/>
    <x v="16"/>
    <s v="000000 - Nincs COFOG"/>
    <n v="8887184"/>
    <n v="8887184"/>
  </r>
  <r>
    <x v="6"/>
    <x v="4"/>
    <x v="2"/>
    <x v="1"/>
    <x v="3"/>
    <x v="4"/>
    <s v="000000 - Nincs COFOG"/>
    <n v="27600000"/>
    <n v="27600000"/>
  </r>
  <r>
    <x v="8"/>
    <x v="5"/>
    <x v="2"/>
    <x v="1"/>
    <x v="2"/>
    <x v="17"/>
    <s v="000000 - Nincs COFOG"/>
    <n v="600000"/>
    <n v="600000"/>
  </r>
  <r>
    <x v="6"/>
    <x v="4"/>
    <x v="2"/>
    <x v="1"/>
    <x v="3"/>
    <x v="22"/>
    <s v="000000 - Nincs COFOG"/>
    <n v="570000"/>
    <n v="570000"/>
  </r>
  <r>
    <x v="8"/>
    <x v="5"/>
    <x v="2"/>
    <x v="1"/>
    <x v="2"/>
    <x v="18"/>
    <s v="000000 - Nincs COFOG"/>
    <n v="6224662"/>
    <n v="6224662"/>
  </r>
  <r>
    <x v="6"/>
    <x v="4"/>
    <x v="2"/>
    <x v="1"/>
    <x v="3"/>
    <x v="6"/>
    <s v="000000 - Nincs COFOG"/>
    <n v="97524"/>
    <n v="97524"/>
  </r>
  <r>
    <x v="8"/>
    <x v="5"/>
    <x v="2"/>
    <x v="1"/>
    <x v="2"/>
    <x v="19"/>
    <s v="000000 - Nincs COFOG"/>
    <n v="60000"/>
    <n v="60000"/>
  </r>
  <r>
    <x v="6"/>
    <x v="4"/>
    <x v="2"/>
    <x v="1"/>
    <x v="3"/>
    <x v="7"/>
    <s v="000000 - Nincs COFOG"/>
    <n v="60000"/>
    <n v="60000"/>
  </r>
  <r>
    <x v="8"/>
    <x v="5"/>
    <x v="2"/>
    <x v="1"/>
    <x v="8"/>
    <x v="62"/>
    <s v="000000 - Nincs COFOG"/>
    <n v="1968504"/>
    <n v="1968504"/>
  </r>
  <r>
    <x v="6"/>
    <x v="4"/>
    <x v="2"/>
    <x v="1"/>
    <x v="3"/>
    <x v="26"/>
    <s v="000000 - Nincs COFOG"/>
    <n v="840000"/>
    <n v="840000"/>
  </r>
  <r>
    <x v="8"/>
    <x v="5"/>
    <x v="2"/>
    <x v="1"/>
    <x v="8"/>
    <x v="36"/>
    <s v="000000 - Nincs COFOG"/>
    <n v="1574804"/>
    <n v="1574804"/>
  </r>
  <r>
    <x v="6"/>
    <x v="4"/>
    <x v="2"/>
    <x v="1"/>
    <x v="4"/>
    <x v="8"/>
    <s v="000000 - Nincs COFOG"/>
    <n v="3856800"/>
    <n v="3856800"/>
  </r>
  <r>
    <x v="8"/>
    <x v="5"/>
    <x v="2"/>
    <x v="1"/>
    <x v="8"/>
    <x v="37"/>
    <s v="000000 - Nincs COFOG"/>
    <n v="956692"/>
    <n v="956692"/>
  </r>
  <r>
    <x v="6"/>
    <x v="4"/>
    <x v="2"/>
    <x v="1"/>
    <x v="2"/>
    <x v="10"/>
    <s v="000000 - Nincs COFOG"/>
    <n v="620000"/>
    <n v="620000"/>
  </r>
  <r>
    <x v="10"/>
    <x v="5"/>
    <x v="1"/>
    <x v="1"/>
    <x v="1"/>
    <x v="55"/>
    <s v="000000 - Nincs COFOG"/>
    <n v="-1000000"/>
    <n v="1000000"/>
  </r>
  <r>
    <x v="6"/>
    <x v="4"/>
    <x v="2"/>
    <x v="1"/>
    <x v="2"/>
    <x v="3"/>
    <s v="000000 - Nincs COFOG"/>
    <n v="778920"/>
    <n v="778920"/>
  </r>
  <r>
    <x v="10"/>
    <x v="5"/>
    <x v="1"/>
    <x v="1"/>
    <x v="5"/>
    <x v="20"/>
    <s v="000000 - Nincs COFOG"/>
    <n v="-417719"/>
    <n v="417719"/>
  </r>
  <r>
    <x v="6"/>
    <x v="4"/>
    <x v="2"/>
    <x v="1"/>
    <x v="2"/>
    <x v="2"/>
    <s v="000000 - Nincs COFOG"/>
    <n v="216000"/>
    <n v="216000"/>
  </r>
  <r>
    <x v="10"/>
    <x v="5"/>
    <x v="1"/>
    <x v="1"/>
    <x v="5"/>
    <x v="21"/>
    <s v="000000 - Nincs COFOG"/>
    <n v="-255031927"/>
    <n v="255031927"/>
  </r>
  <r>
    <x v="6"/>
    <x v="4"/>
    <x v="2"/>
    <x v="1"/>
    <x v="2"/>
    <x v="11"/>
    <s v="000000 - Nincs COFOG"/>
    <n v="2040000"/>
    <n v="2040000"/>
  </r>
  <r>
    <x v="6"/>
    <x v="4"/>
    <x v="2"/>
    <x v="1"/>
    <x v="2"/>
    <x v="12"/>
    <s v="000000 - Nincs COFOG"/>
    <n v="3120000"/>
    <n v="3120000"/>
  </r>
  <r>
    <x v="6"/>
    <x v="4"/>
    <x v="2"/>
    <x v="1"/>
    <x v="2"/>
    <x v="13"/>
    <s v="000000 - Nincs COFOG"/>
    <n v="540000"/>
    <n v="540000"/>
  </r>
  <r>
    <x v="6"/>
    <x v="4"/>
    <x v="2"/>
    <x v="1"/>
    <x v="2"/>
    <x v="14"/>
    <s v="000000 - Nincs COFOG"/>
    <n v="1300000"/>
    <n v="1300000"/>
  </r>
  <r>
    <x v="6"/>
    <x v="4"/>
    <x v="2"/>
    <x v="1"/>
    <x v="2"/>
    <x v="16"/>
    <s v="000000 - Nincs COFOG"/>
    <n v="14417024"/>
    <n v="14417024"/>
  </r>
  <r>
    <x v="6"/>
    <x v="4"/>
    <x v="2"/>
    <x v="1"/>
    <x v="2"/>
    <x v="18"/>
    <s v="000000 - Nincs COFOG"/>
    <n v="6179268"/>
    <n v="6179268"/>
  </r>
  <r>
    <x v="6"/>
    <x v="4"/>
    <x v="2"/>
    <x v="1"/>
    <x v="2"/>
    <x v="19"/>
    <s v="000000 - Nincs COFOG"/>
    <n v="200000"/>
    <n v="200000"/>
  </r>
  <r>
    <x v="6"/>
    <x v="4"/>
    <x v="2"/>
    <x v="1"/>
    <x v="8"/>
    <x v="62"/>
    <s v="000000 - Nincs COFOG"/>
    <n v="500000"/>
    <n v="500000"/>
  </r>
  <r>
    <x v="6"/>
    <x v="4"/>
    <x v="2"/>
    <x v="1"/>
    <x v="8"/>
    <x v="36"/>
    <s v="000000 - Nincs COFOG"/>
    <n v="1200000"/>
    <n v="1200000"/>
  </r>
  <r>
    <x v="6"/>
    <x v="4"/>
    <x v="2"/>
    <x v="1"/>
    <x v="8"/>
    <x v="37"/>
    <s v="000000 - Nincs COFOG"/>
    <n v="195000"/>
    <n v="195000"/>
  </r>
  <r>
    <x v="8"/>
    <x v="5"/>
    <x v="2"/>
    <x v="1"/>
    <x v="3"/>
    <x v="4"/>
    <s v="000000 - Nincs COFOG"/>
    <n v="158368000"/>
    <n v="158368000"/>
  </r>
  <r>
    <x v="8"/>
    <x v="5"/>
    <x v="2"/>
    <x v="1"/>
    <x v="3"/>
    <x v="59"/>
    <s v="000000 - Nincs COFOG"/>
    <n v="6591880"/>
    <n v="6591880"/>
  </r>
  <r>
    <x v="8"/>
    <x v="5"/>
    <x v="2"/>
    <x v="1"/>
    <x v="3"/>
    <x v="24"/>
    <s v="000000 - Nincs COFOG"/>
    <n v="3600000"/>
    <n v="3600000"/>
  </r>
  <r>
    <x v="8"/>
    <x v="5"/>
    <x v="2"/>
    <x v="1"/>
    <x v="3"/>
    <x v="5"/>
    <s v="000000 - Nincs COFOG"/>
    <n v="2450000"/>
    <n v="2450000"/>
  </r>
  <r>
    <x v="8"/>
    <x v="5"/>
    <x v="2"/>
    <x v="1"/>
    <x v="3"/>
    <x v="22"/>
    <s v="000000 - Nincs COFOG"/>
    <n v="3715567"/>
    <n v="3715567"/>
  </r>
  <r>
    <x v="8"/>
    <x v="5"/>
    <x v="2"/>
    <x v="1"/>
    <x v="3"/>
    <x v="63"/>
    <s v="000000 - Nincs COFOG"/>
    <n v="205469"/>
    <n v="205469"/>
  </r>
  <r>
    <x v="8"/>
    <x v="5"/>
    <x v="2"/>
    <x v="1"/>
    <x v="3"/>
    <x v="6"/>
    <s v="000000 - Nincs COFOG"/>
    <n v="921524"/>
    <n v="921524"/>
  </r>
  <r>
    <x v="8"/>
    <x v="5"/>
    <x v="2"/>
    <x v="1"/>
    <x v="3"/>
    <x v="64"/>
    <s v="000000 - Nincs COFOG"/>
    <n v="3600000"/>
    <n v="3600000"/>
  </r>
  <r>
    <x v="8"/>
    <x v="5"/>
    <x v="2"/>
    <x v="1"/>
    <x v="3"/>
    <x v="7"/>
    <s v="000000 - Nincs COFOG"/>
    <n v="2629000"/>
    <n v="2629000"/>
  </r>
  <r>
    <x v="8"/>
    <x v="5"/>
    <x v="2"/>
    <x v="1"/>
    <x v="3"/>
    <x v="26"/>
    <s v="000000 - Nincs COFOG"/>
    <n v="9120000"/>
    <n v="9120000"/>
  </r>
  <r>
    <x v="8"/>
    <x v="5"/>
    <x v="2"/>
    <x v="1"/>
    <x v="4"/>
    <x v="8"/>
    <s v="000000 - Nincs COFOG"/>
    <n v="24062368"/>
    <n v="24062368"/>
  </r>
  <r>
    <x v="8"/>
    <x v="5"/>
    <x v="2"/>
    <x v="1"/>
    <x v="2"/>
    <x v="9"/>
    <s v="000000 - Nincs COFOG"/>
    <n v="100000"/>
    <n v="100000"/>
  </r>
  <r>
    <x v="8"/>
    <x v="5"/>
    <x v="2"/>
    <x v="1"/>
    <x v="2"/>
    <x v="10"/>
    <s v="000000 - Nincs COFOG"/>
    <n v="4280000"/>
    <n v="4280000"/>
  </r>
  <r>
    <x v="8"/>
    <x v="5"/>
    <x v="2"/>
    <x v="1"/>
    <x v="2"/>
    <x v="3"/>
    <s v="000000 - Nincs COFOG"/>
    <n v="3479000"/>
    <n v="3479000"/>
  </r>
  <r>
    <x v="8"/>
    <x v="5"/>
    <x v="2"/>
    <x v="1"/>
    <x v="2"/>
    <x v="2"/>
    <s v="000000 - Nincs COFOG"/>
    <n v="924000"/>
    <n v="924000"/>
  </r>
  <r>
    <x v="4"/>
    <x v="3"/>
    <x v="2"/>
    <x v="1"/>
    <x v="6"/>
    <x v="35"/>
    <s v="000000 - Nincs COFOG"/>
    <n v="-83598"/>
    <n v="-83598"/>
  </r>
  <r>
    <x v="8"/>
    <x v="5"/>
    <x v="2"/>
    <x v="1"/>
    <x v="2"/>
    <x v="11"/>
    <s v="000000 - Nincs COFOG"/>
    <n v="1620000"/>
    <n v="1620000"/>
  </r>
  <r>
    <x v="8"/>
    <x v="5"/>
    <x v="2"/>
    <x v="1"/>
    <x v="2"/>
    <x v="12"/>
    <s v="000000 - Nincs COFOG"/>
    <n v="2640000"/>
    <n v="2640000"/>
  </r>
  <r>
    <x v="8"/>
    <x v="5"/>
    <x v="2"/>
    <x v="1"/>
    <x v="2"/>
    <x v="13"/>
    <s v="000000 - Nincs COFOG"/>
    <n v="240000"/>
    <n v="240000"/>
  </r>
  <r>
    <x v="8"/>
    <x v="5"/>
    <x v="2"/>
    <x v="1"/>
    <x v="2"/>
    <x v="28"/>
    <s v="000000 - Nincs COFOG"/>
    <n v="144000"/>
    <n v="144000"/>
  </r>
  <r>
    <x v="4"/>
    <x v="3"/>
    <x v="2"/>
    <x v="1"/>
    <x v="6"/>
    <x v="35"/>
    <s v="000000 - Nincs COFOG"/>
    <n v="-2331"/>
    <n v="-2331"/>
  </r>
  <r>
    <x v="4"/>
    <x v="3"/>
    <x v="2"/>
    <x v="1"/>
    <x v="6"/>
    <x v="35"/>
    <s v="000000 - Nincs COFOG"/>
    <n v="-15000"/>
    <n v="-15000"/>
  </r>
  <r>
    <x v="4"/>
    <x v="3"/>
    <x v="2"/>
    <x v="1"/>
    <x v="6"/>
    <x v="35"/>
    <s v="000000 - Nincs COFOG"/>
    <n v="-9688"/>
    <n v="-9688"/>
  </r>
  <r>
    <x v="4"/>
    <x v="3"/>
    <x v="2"/>
    <x v="1"/>
    <x v="6"/>
    <x v="35"/>
    <s v="000000 - Nincs COFOG"/>
    <n v="-9947"/>
    <n v="-9947"/>
  </r>
  <r>
    <x v="4"/>
    <x v="3"/>
    <x v="2"/>
    <x v="1"/>
    <x v="6"/>
    <x v="35"/>
    <s v="000000 - Nincs COFOG"/>
    <n v="1771703"/>
    <n v="1771703"/>
  </r>
  <r>
    <x v="5"/>
    <x v="3"/>
    <x v="1"/>
    <x v="1"/>
    <x v="11"/>
    <x v="46"/>
    <s v="000000 - Nincs COFOG"/>
    <n v="-1771703"/>
    <n v="1771703"/>
  </r>
  <r>
    <x v="4"/>
    <x v="3"/>
    <x v="2"/>
    <x v="1"/>
    <x v="3"/>
    <x v="4"/>
    <s v="000000 - Nincs COFOG"/>
    <n v="-100000"/>
    <n v="-100000"/>
  </r>
  <r>
    <x v="5"/>
    <x v="3"/>
    <x v="1"/>
    <x v="1"/>
    <x v="5"/>
    <x v="65"/>
    <s v="000000 - Nincs COFOG"/>
    <n v="-315161"/>
    <n v="315161"/>
  </r>
  <r>
    <x v="4"/>
    <x v="3"/>
    <x v="2"/>
    <x v="1"/>
    <x v="10"/>
    <x v="41"/>
    <s v="000000 - Nincs COFOG"/>
    <n v="315161"/>
    <n v="315161"/>
  </r>
  <r>
    <x v="4"/>
    <x v="3"/>
    <x v="2"/>
    <x v="1"/>
    <x v="2"/>
    <x v="9"/>
    <s v="000000 - Nincs COFOG"/>
    <n v="3693"/>
    <n v="3693"/>
  </r>
  <r>
    <x v="4"/>
    <x v="3"/>
    <x v="2"/>
    <x v="1"/>
    <x v="2"/>
    <x v="10"/>
    <s v="000000 - Nincs COFOG"/>
    <n v="-3693"/>
    <n v="-3693"/>
  </r>
  <r>
    <x v="4"/>
    <x v="3"/>
    <x v="2"/>
    <x v="1"/>
    <x v="6"/>
    <x v="33"/>
    <s v="000000 - Nincs COFOG"/>
    <n v="2465484"/>
    <n v="2465484"/>
  </r>
  <r>
    <x v="4"/>
    <x v="3"/>
    <x v="2"/>
    <x v="1"/>
    <x v="6"/>
    <x v="35"/>
    <s v="000000 - Nincs COFOG"/>
    <n v="-2465484"/>
    <n v="-2465484"/>
  </r>
  <r>
    <x v="3"/>
    <x v="1"/>
    <x v="2"/>
    <x v="1"/>
    <x v="3"/>
    <x v="26"/>
    <s v="000000 - Nincs COFOG"/>
    <n v="112450"/>
    <n v="112450"/>
  </r>
  <r>
    <x v="3"/>
    <x v="1"/>
    <x v="2"/>
    <x v="1"/>
    <x v="3"/>
    <x v="4"/>
    <s v="000000 - Nincs COFOG"/>
    <n v="-112450"/>
    <n v="-112450"/>
  </r>
  <r>
    <x v="4"/>
    <x v="3"/>
    <x v="2"/>
    <x v="1"/>
    <x v="2"/>
    <x v="28"/>
    <s v="000000 - Nincs COFOG"/>
    <n v="40000"/>
    <n v="40000"/>
  </r>
  <r>
    <x v="4"/>
    <x v="3"/>
    <x v="2"/>
    <x v="1"/>
    <x v="2"/>
    <x v="15"/>
    <s v="000000 - Nincs COFOG"/>
    <n v="1980000"/>
    <n v="1980000"/>
  </r>
  <r>
    <x v="4"/>
    <x v="3"/>
    <x v="2"/>
    <x v="1"/>
    <x v="6"/>
    <x v="35"/>
    <s v="000000 - Nincs COFOG"/>
    <n v="-2514600"/>
    <n v="-2514600"/>
  </r>
  <r>
    <x v="4"/>
    <x v="3"/>
    <x v="2"/>
    <x v="1"/>
    <x v="2"/>
    <x v="16"/>
    <s v="000000 - Nincs COFOG"/>
    <n v="-40000"/>
    <n v="-40000"/>
  </r>
  <r>
    <x v="4"/>
    <x v="3"/>
    <x v="2"/>
    <x v="1"/>
    <x v="2"/>
    <x v="18"/>
    <s v="000000 - Nincs COFOG"/>
    <n v="534600"/>
    <n v="534600"/>
  </r>
  <r>
    <x v="3"/>
    <x v="1"/>
    <x v="2"/>
    <x v="1"/>
    <x v="3"/>
    <x v="24"/>
    <s v="000000 - Nincs COFOG"/>
    <n v="153188"/>
    <n v="153188"/>
  </r>
  <r>
    <x v="3"/>
    <x v="1"/>
    <x v="2"/>
    <x v="1"/>
    <x v="3"/>
    <x v="5"/>
    <s v="000000 - Nincs COFOG"/>
    <n v="35290"/>
    <n v="35290"/>
  </r>
  <r>
    <x v="3"/>
    <x v="1"/>
    <x v="2"/>
    <x v="1"/>
    <x v="3"/>
    <x v="7"/>
    <s v="000000 - Nincs COFOG"/>
    <n v="341467"/>
    <n v="341467"/>
  </r>
  <r>
    <x v="3"/>
    <x v="1"/>
    <x v="2"/>
    <x v="1"/>
    <x v="3"/>
    <x v="26"/>
    <s v="000000 - Nincs COFOG"/>
    <n v="392478"/>
    <n v="392478"/>
  </r>
  <r>
    <x v="3"/>
    <x v="1"/>
    <x v="2"/>
    <x v="1"/>
    <x v="3"/>
    <x v="4"/>
    <s v="000000 - Nincs COFOG"/>
    <n v="-922423"/>
    <n v="-922423"/>
  </r>
  <r>
    <x v="3"/>
    <x v="1"/>
    <x v="2"/>
    <x v="1"/>
    <x v="3"/>
    <x v="7"/>
    <s v="000000 - Nincs COFOG"/>
    <n v="82729"/>
    <n v="82729"/>
  </r>
  <r>
    <x v="3"/>
    <x v="1"/>
    <x v="2"/>
    <x v="1"/>
    <x v="3"/>
    <x v="4"/>
    <s v="000000 - Nincs COFOG"/>
    <n v="-82729"/>
    <n v="-82729"/>
  </r>
  <r>
    <x v="3"/>
    <x v="1"/>
    <x v="2"/>
    <x v="1"/>
    <x v="3"/>
    <x v="7"/>
    <s v="000000 - Nincs COFOG"/>
    <n v="459998"/>
    <n v="459998"/>
  </r>
  <r>
    <x v="3"/>
    <x v="1"/>
    <x v="2"/>
    <x v="1"/>
    <x v="3"/>
    <x v="4"/>
    <s v="000000 - Nincs COFOG"/>
    <n v="-459998"/>
    <n v="-459998"/>
  </r>
  <r>
    <x v="3"/>
    <x v="1"/>
    <x v="2"/>
    <x v="1"/>
    <x v="3"/>
    <x v="24"/>
    <s v="000000 - Nincs COFOG"/>
    <n v="155031"/>
    <n v="155031"/>
  </r>
  <r>
    <x v="3"/>
    <x v="1"/>
    <x v="2"/>
    <x v="1"/>
    <x v="3"/>
    <x v="7"/>
    <s v="000000 - Nincs COFOG"/>
    <n v="133829"/>
    <n v="133829"/>
  </r>
  <r>
    <x v="3"/>
    <x v="1"/>
    <x v="2"/>
    <x v="1"/>
    <x v="3"/>
    <x v="4"/>
    <s v="000000 - Nincs COFOG"/>
    <n v="-288860"/>
    <n v="-288860"/>
  </r>
  <r>
    <x v="2"/>
    <x v="2"/>
    <x v="2"/>
    <x v="2"/>
    <x v="3"/>
    <x v="24"/>
    <s v="000000 - Nincs COFOG"/>
    <n v="116304"/>
    <n v="116304"/>
  </r>
  <r>
    <x v="2"/>
    <x v="2"/>
    <x v="2"/>
    <x v="1"/>
    <x v="3"/>
    <x v="7"/>
    <s v="000000 - Nincs COFOG"/>
    <n v="143908"/>
    <n v="143908"/>
  </r>
  <r>
    <x v="2"/>
    <x v="2"/>
    <x v="2"/>
    <x v="1"/>
    <x v="3"/>
    <x v="4"/>
    <s v="000000 - Nincs COFOG"/>
    <n v="-260212"/>
    <n v="-260212"/>
  </r>
  <r>
    <x v="3"/>
    <x v="1"/>
    <x v="2"/>
    <x v="1"/>
    <x v="3"/>
    <x v="7"/>
    <s v="000000 - Nincs COFOG"/>
    <n v="29172"/>
    <n v="29172"/>
  </r>
  <r>
    <x v="3"/>
    <x v="1"/>
    <x v="2"/>
    <x v="1"/>
    <x v="3"/>
    <x v="4"/>
    <s v="000000 - Nincs COFOG"/>
    <n v="-29172"/>
    <n v="-29172"/>
  </r>
  <r>
    <x v="2"/>
    <x v="2"/>
    <x v="2"/>
    <x v="1"/>
    <x v="3"/>
    <x v="7"/>
    <s v="000000 - Nincs COFOG"/>
    <n v="58558"/>
    <n v="58558"/>
  </r>
  <r>
    <x v="2"/>
    <x v="2"/>
    <x v="2"/>
    <x v="1"/>
    <x v="3"/>
    <x v="4"/>
    <s v="000000 - Nincs COFOG"/>
    <n v="-58558"/>
    <n v="-58558"/>
  </r>
  <r>
    <x v="8"/>
    <x v="5"/>
    <x v="2"/>
    <x v="1"/>
    <x v="2"/>
    <x v="3"/>
    <s v="000000 - Nincs COFOG"/>
    <n v="17612"/>
    <n v="17612"/>
  </r>
  <r>
    <x v="8"/>
    <x v="5"/>
    <x v="2"/>
    <x v="1"/>
    <x v="2"/>
    <x v="2"/>
    <s v="000000 - Nincs COFOG"/>
    <n v="-17612"/>
    <n v="-17612"/>
  </r>
  <r>
    <x v="5"/>
    <x v="3"/>
    <x v="1"/>
    <x v="1"/>
    <x v="14"/>
    <x v="66"/>
    <s v="000000 - Nincs COFOG"/>
    <n v="-1250400"/>
    <n v="1250400"/>
  </r>
  <r>
    <x v="4"/>
    <x v="3"/>
    <x v="2"/>
    <x v="1"/>
    <x v="6"/>
    <x v="33"/>
    <s v="000000 - Nincs COFOG"/>
    <n v="1250400"/>
    <n v="1250400"/>
  </r>
  <r>
    <x v="2"/>
    <x v="2"/>
    <x v="2"/>
    <x v="2"/>
    <x v="3"/>
    <x v="24"/>
    <s v="000000 - Nincs COFOG"/>
    <n v="216497"/>
    <n v="216497"/>
  </r>
  <r>
    <x v="2"/>
    <x v="2"/>
    <x v="2"/>
    <x v="1"/>
    <x v="3"/>
    <x v="7"/>
    <s v="000000 - Nincs COFOG"/>
    <n v="294502"/>
    <n v="294502"/>
  </r>
  <r>
    <x v="2"/>
    <x v="2"/>
    <x v="2"/>
    <x v="1"/>
    <x v="3"/>
    <x v="4"/>
    <s v="000000 - Nincs COFOG"/>
    <n v="-510999"/>
    <n v="-510999"/>
  </r>
  <r>
    <x v="4"/>
    <x v="3"/>
    <x v="2"/>
    <x v="1"/>
    <x v="3"/>
    <x v="6"/>
    <s v="000000 - Nincs COFOG"/>
    <n v="36720"/>
    <n v="36720"/>
  </r>
  <r>
    <x v="4"/>
    <x v="3"/>
    <x v="2"/>
    <x v="1"/>
    <x v="3"/>
    <x v="4"/>
    <s v="000000 - Nincs COFOG"/>
    <n v="-36720"/>
    <n v="-36720"/>
  </r>
  <r>
    <x v="4"/>
    <x v="3"/>
    <x v="2"/>
    <x v="1"/>
    <x v="2"/>
    <x v="19"/>
    <s v="000000 - Nincs COFOG"/>
    <n v="70000"/>
    <n v="70000"/>
  </r>
  <r>
    <x v="4"/>
    <x v="3"/>
    <x v="2"/>
    <x v="1"/>
    <x v="6"/>
    <x v="35"/>
    <s v="000000 - Nincs COFOG"/>
    <n v="-70000"/>
    <n v="-70000"/>
  </r>
  <r>
    <x v="6"/>
    <x v="4"/>
    <x v="2"/>
    <x v="1"/>
    <x v="3"/>
    <x v="61"/>
    <s v="000000 - Nincs COFOG"/>
    <n v="1333"/>
    <n v="1333"/>
  </r>
  <r>
    <x v="4"/>
    <x v="3"/>
    <x v="2"/>
    <x v="1"/>
    <x v="3"/>
    <x v="59"/>
    <s v="000000 - Nincs COFOG"/>
    <n v="15000"/>
    <n v="15000"/>
  </r>
  <r>
    <x v="6"/>
    <x v="4"/>
    <x v="2"/>
    <x v="1"/>
    <x v="2"/>
    <x v="10"/>
    <s v="000000 - Nincs COFOG"/>
    <n v="-1333"/>
    <n v="-1333"/>
  </r>
  <r>
    <x v="4"/>
    <x v="3"/>
    <x v="2"/>
    <x v="1"/>
    <x v="3"/>
    <x v="6"/>
    <s v="000000 - Nincs COFOG"/>
    <n v="25650"/>
    <n v="25650"/>
  </r>
  <r>
    <x v="4"/>
    <x v="3"/>
    <x v="2"/>
    <x v="1"/>
    <x v="3"/>
    <x v="7"/>
    <s v="000000 - Nincs COFOG"/>
    <n v="20148"/>
    <n v="20148"/>
  </r>
  <r>
    <x v="4"/>
    <x v="3"/>
    <x v="2"/>
    <x v="1"/>
    <x v="3"/>
    <x v="4"/>
    <s v="000000 - Nincs COFOG"/>
    <n v="-60798"/>
    <n v="-60798"/>
  </r>
  <r>
    <x v="4"/>
    <x v="3"/>
    <x v="2"/>
    <x v="1"/>
    <x v="3"/>
    <x v="26"/>
    <s v="000000 - Nincs COFOG"/>
    <n v="403600"/>
    <n v="403600"/>
  </r>
  <r>
    <x v="6"/>
    <x v="4"/>
    <x v="2"/>
    <x v="1"/>
    <x v="2"/>
    <x v="10"/>
    <s v="000000 - Nincs COFOG"/>
    <n v="6324"/>
    <n v="6324"/>
  </r>
  <r>
    <x v="4"/>
    <x v="3"/>
    <x v="2"/>
    <x v="1"/>
    <x v="3"/>
    <x v="4"/>
    <s v="000000 - Nincs COFOG"/>
    <n v="-403600"/>
    <n v="-403600"/>
  </r>
  <r>
    <x v="6"/>
    <x v="4"/>
    <x v="2"/>
    <x v="1"/>
    <x v="2"/>
    <x v="18"/>
    <s v="000000 - Nincs COFOG"/>
    <n v="-6324"/>
    <n v="-6324"/>
  </r>
  <r>
    <x v="4"/>
    <x v="3"/>
    <x v="2"/>
    <x v="1"/>
    <x v="3"/>
    <x v="26"/>
    <s v="000000 - Nincs COFOG"/>
    <n v="62527"/>
    <n v="62527"/>
  </r>
  <r>
    <x v="4"/>
    <x v="3"/>
    <x v="2"/>
    <x v="1"/>
    <x v="3"/>
    <x v="4"/>
    <s v="000000 - Nincs COFOG"/>
    <n v="-62527"/>
    <n v="-62527"/>
  </r>
  <r>
    <x v="3"/>
    <x v="1"/>
    <x v="2"/>
    <x v="1"/>
    <x v="3"/>
    <x v="24"/>
    <s v="000000 - Nincs COFOG"/>
    <n v="85"/>
    <n v="85"/>
  </r>
  <r>
    <x v="3"/>
    <x v="1"/>
    <x v="2"/>
    <x v="1"/>
    <x v="3"/>
    <x v="4"/>
    <s v="000000 - Nincs COFOG"/>
    <n v="-85"/>
    <n v="-85"/>
  </r>
  <r>
    <x v="4"/>
    <x v="3"/>
    <x v="2"/>
    <x v="1"/>
    <x v="3"/>
    <x v="61"/>
    <s v="000000 - Nincs COFOG"/>
    <n v="42424"/>
    <n v="42424"/>
  </r>
  <r>
    <x v="4"/>
    <x v="3"/>
    <x v="2"/>
    <x v="1"/>
    <x v="3"/>
    <x v="26"/>
    <s v="000000 - Nincs COFOG"/>
    <n v="2262861"/>
    <n v="2262861"/>
  </r>
  <r>
    <x v="4"/>
    <x v="3"/>
    <x v="2"/>
    <x v="1"/>
    <x v="6"/>
    <x v="35"/>
    <s v="000000 - Nincs COFOG"/>
    <n v="-42424"/>
    <n v="-42424"/>
  </r>
  <r>
    <x v="4"/>
    <x v="3"/>
    <x v="2"/>
    <x v="1"/>
    <x v="4"/>
    <x v="8"/>
    <s v="000000 - Nincs COFOG"/>
    <n v="107536"/>
    <n v="107536"/>
  </r>
  <r>
    <x v="4"/>
    <x v="3"/>
    <x v="2"/>
    <x v="1"/>
    <x v="2"/>
    <x v="15"/>
    <s v="000000 - Nincs COFOG"/>
    <n v="188039"/>
    <n v="188039"/>
  </r>
  <r>
    <x v="4"/>
    <x v="3"/>
    <x v="2"/>
    <x v="1"/>
    <x v="2"/>
    <x v="16"/>
    <s v="000000 - Nincs COFOG"/>
    <n v="-2370397"/>
    <n v="-2370397"/>
  </r>
  <r>
    <x v="4"/>
    <x v="3"/>
    <x v="2"/>
    <x v="1"/>
    <x v="2"/>
    <x v="16"/>
    <s v="000000 - Nincs COFOG"/>
    <n v="-188039"/>
    <n v="-188039"/>
  </r>
  <r>
    <x v="4"/>
    <x v="3"/>
    <x v="2"/>
    <x v="1"/>
    <x v="3"/>
    <x v="61"/>
    <s v="000000 - Nincs COFOG"/>
    <n v="49842"/>
    <n v="49842"/>
  </r>
  <r>
    <x v="4"/>
    <x v="3"/>
    <x v="2"/>
    <x v="1"/>
    <x v="6"/>
    <x v="35"/>
    <s v="000000 - Nincs COFOG"/>
    <n v="-49842"/>
    <n v="-49842"/>
  </r>
  <r>
    <x v="4"/>
    <x v="3"/>
    <x v="2"/>
    <x v="1"/>
    <x v="2"/>
    <x v="9"/>
    <s v="000000 - Nincs COFOG"/>
    <n v="3543"/>
    <n v="3543"/>
  </r>
  <r>
    <x v="4"/>
    <x v="3"/>
    <x v="2"/>
    <x v="1"/>
    <x v="2"/>
    <x v="10"/>
    <s v="000000 - Nincs COFOG"/>
    <n v="-3543"/>
    <n v="-3543"/>
  </r>
  <r>
    <x v="8"/>
    <x v="5"/>
    <x v="2"/>
    <x v="1"/>
    <x v="2"/>
    <x v="19"/>
    <s v="000000 - Nincs COFOG"/>
    <n v="62400"/>
    <n v="62400"/>
  </r>
  <r>
    <x v="8"/>
    <x v="5"/>
    <x v="2"/>
    <x v="1"/>
    <x v="2"/>
    <x v="18"/>
    <s v="000000 - Nincs COFOG"/>
    <n v="-62400"/>
    <n v="-62400"/>
  </r>
  <r>
    <x v="5"/>
    <x v="3"/>
    <x v="1"/>
    <x v="1"/>
    <x v="11"/>
    <x v="46"/>
    <s v="000000 - Nincs COFOG"/>
    <n v="-1864016"/>
    <n v="1864016"/>
  </r>
  <r>
    <x v="4"/>
    <x v="3"/>
    <x v="2"/>
    <x v="1"/>
    <x v="6"/>
    <x v="35"/>
    <s v="000000 - Nincs COFOG"/>
    <n v="1864016"/>
    <n v="1864016"/>
  </r>
  <r>
    <x v="5"/>
    <x v="3"/>
    <x v="1"/>
    <x v="1"/>
    <x v="5"/>
    <x v="65"/>
    <s v="000000 - Nincs COFOG"/>
    <n v="-144803"/>
    <n v="144803"/>
  </r>
  <r>
    <x v="4"/>
    <x v="3"/>
    <x v="2"/>
    <x v="1"/>
    <x v="10"/>
    <x v="41"/>
    <s v="000000 - Nincs COFOG"/>
    <n v="144803"/>
    <n v="144803"/>
  </r>
  <r>
    <x v="4"/>
    <x v="3"/>
    <x v="2"/>
    <x v="1"/>
    <x v="3"/>
    <x v="61"/>
    <s v="000000 - Nincs COFOG"/>
    <n v="25984"/>
    <n v="25984"/>
  </r>
  <r>
    <x v="4"/>
    <x v="3"/>
    <x v="2"/>
    <x v="1"/>
    <x v="6"/>
    <x v="35"/>
    <s v="000000 - Nincs COFOG"/>
    <n v="-25984"/>
    <n v="-25984"/>
  </r>
  <r>
    <x v="3"/>
    <x v="1"/>
    <x v="2"/>
    <x v="1"/>
    <x v="3"/>
    <x v="4"/>
    <s v="000000 - Nincs COFOG"/>
    <n v="-274032"/>
    <n v="-274032"/>
  </r>
  <r>
    <x v="3"/>
    <x v="1"/>
    <x v="2"/>
    <x v="1"/>
    <x v="3"/>
    <x v="26"/>
    <s v="000000 - Nincs COFOG"/>
    <n v="274032"/>
    <n v="274032"/>
  </r>
  <r>
    <x v="4"/>
    <x v="3"/>
    <x v="2"/>
    <x v="1"/>
    <x v="2"/>
    <x v="28"/>
    <s v="000000 - Nincs COFOG"/>
    <n v="28729"/>
    <n v="28729"/>
  </r>
  <r>
    <x v="4"/>
    <x v="3"/>
    <x v="2"/>
    <x v="1"/>
    <x v="2"/>
    <x v="18"/>
    <s v="000000 - Nincs COFOG"/>
    <n v="-28729"/>
    <n v="-28729"/>
  </r>
  <r>
    <x v="2"/>
    <x v="2"/>
    <x v="2"/>
    <x v="2"/>
    <x v="3"/>
    <x v="61"/>
    <s v="000000 - Nincs COFOG"/>
    <n v="2582"/>
    <n v="2582"/>
  </r>
  <r>
    <x v="2"/>
    <x v="2"/>
    <x v="2"/>
    <x v="2"/>
    <x v="2"/>
    <x v="10"/>
    <s v="000000 - Nincs COFOG"/>
    <n v="-2582"/>
    <n v="-2582"/>
  </r>
  <r>
    <x v="4"/>
    <x v="3"/>
    <x v="2"/>
    <x v="1"/>
    <x v="2"/>
    <x v="19"/>
    <s v="000000 - Nincs COFOG"/>
    <n v="40000"/>
    <n v="40000"/>
  </r>
  <r>
    <x v="4"/>
    <x v="3"/>
    <x v="2"/>
    <x v="1"/>
    <x v="2"/>
    <x v="18"/>
    <s v="000000 - Nincs COFOG"/>
    <n v="-40000"/>
    <n v="-40000"/>
  </r>
  <r>
    <x v="3"/>
    <x v="1"/>
    <x v="2"/>
    <x v="1"/>
    <x v="3"/>
    <x v="7"/>
    <s v="000000 - Nincs COFOG"/>
    <n v="87191"/>
    <n v="87191"/>
  </r>
  <r>
    <x v="3"/>
    <x v="1"/>
    <x v="2"/>
    <x v="1"/>
    <x v="3"/>
    <x v="4"/>
    <s v="000000 - Nincs COFOG"/>
    <n v="-87191"/>
    <n v="-87191"/>
  </r>
  <r>
    <x v="5"/>
    <x v="3"/>
    <x v="1"/>
    <x v="1"/>
    <x v="11"/>
    <x v="44"/>
    <s v="000000 - Nincs COFOG"/>
    <n v="-6604345"/>
    <n v="6604345"/>
  </r>
  <r>
    <x v="5"/>
    <x v="3"/>
    <x v="1"/>
    <x v="1"/>
    <x v="11"/>
    <x v="46"/>
    <s v="000000 - Nincs COFOG"/>
    <n v="-3395608"/>
    <n v="3395608"/>
  </r>
  <r>
    <x v="4"/>
    <x v="3"/>
    <x v="2"/>
    <x v="1"/>
    <x v="6"/>
    <x v="35"/>
    <s v="000000 - Nincs COFOG"/>
    <n v="9999953"/>
    <n v="9999953"/>
  </r>
  <r>
    <x v="5"/>
    <x v="3"/>
    <x v="1"/>
    <x v="1"/>
    <x v="12"/>
    <x v="67"/>
    <s v="000000 - Nincs COFOG"/>
    <n v="-34529963"/>
    <n v="34529963"/>
  </r>
  <r>
    <x v="5"/>
    <x v="3"/>
    <x v="1"/>
    <x v="1"/>
    <x v="12"/>
    <x v="50"/>
    <s v="000000 - Nincs COFOG"/>
    <n v="34529963"/>
    <n v="-34529963"/>
  </r>
  <r>
    <x v="2"/>
    <x v="2"/>
    <x v="2"/>
    <x v="2"/>
    <x v="3"/>
    <x v="7"/>
    <s v="000000 - Nincs COFOG"/>
    <n v="4450"/>
    <n v="4450"/>
  </r>
  <r>
    <x v="2"/>
    <x v="2"/>
    <x v="2"/>
    <x v="2"/>
    <x v="3"/>
    <x v="4"/>
    <s v="000000 - Nincs COFOG"/>
    <n v="-4450"/>
    <n v="-4450"/>
  </r>
  <r>
    <x v="4"/>
    <x v="3"/>
    <x v="2"/>
    <x v="1"/>
    <x v="3"/>
    <x v="7"/>
    <s v="000000 - Nincs COFOG"/>
    <n v="18010"/>
    <n v="18010"/>
  </r>
  <r>
    <x v="4"/>
    <x v="3"/>
    <x v="2"/>
    <x v="1"/>
    <x v="3"/>
    <x v="4"/>
    <s v="000000 - Nincs COFOG"/>
    <n v="-18010"/>
    <n v="-18010"/>
  </r>
  <r>
    <x v="4"/>
    <x v="3"/>
    <x v="2"/>
    <x v="1"/>
    <x v="2"/>
    <x v="19"/>
    <s v="000000 - Nincs COFOG"/>
    <n v="5718"/>
    <n v="5718"/>
  </r>
  <r>
    <x v="4"/>
    <x v="3"/>
    <x v="2"/>
    <x v="1"/>
    <x v="2"/>
    <x v="16"/>
    <s v="000000 - Nincs COFOG"/>
    <n v="-5718"/>
    <n v="-5718"/>
  </r>
  <r>
    <x v="4"/>
    <x v="3"/>
    <x v="2"/>
    <x v="1"/>
    <x v="2"/>
    <x v="19"/>
    <s v="000000 - Nincs COFOG"/>
    <n v="97000"/>
    <n v="97000"/>
  </r>
  <r>
    <x v="4"/>
    <x v="3"/>
    <x v="2"/>
    <x v="1"/>
    <x v="2"/>
    <x v="16"/>
    <s v="000000 - Nincs COFOG"/>
    <n v="-97000"/>
    <n v="-97000"/>
  </r>
  <r>
    <x v="4"/>
    <x v="3"/>
    <x v="2"/>
    <x v="1"/>
    <x v="3"/>
    <x v="61"/>
    <s v="000000 - Nincs COFOG"/>
    <n v="181114"/>
    <n v="181114"/>
  </r>
  <r>
    <x v="4"/>
    <x v="3"/>
    <x v="2"/>
    <x v="1"/>
    <x v="6"/>
    <x v="35"/>
    <s v="000000 - Nincs COFOG"/>
    <n v="-181114"/>
    <n v="-181114"/>
  </r>
  <r>
    <x v="3"/>
    <x v="1"/>
    <x v="2"/>
    <x v="1"/>
    <x v="3"/>
    <x v="7"/>
    <s v="000000 - Nincs COFOG"/>
    <n v="87883"/>
    <n v="87883"/>
  </r>
  <r>
    <x v="3"/>
    <x v="1"/>
    <x v="2"/>
    <x v="1"/>
    <x v="3"/>
    <x v="4"/>
    <s v="000000 - Nincs COFOG"/>
    <n v="-87883"/>
    <n v="-87883"/>
  </r>
  <r>
    <x v="8"/>
    <x v="5"/>
    <x v="2"/>
    <x v="1"/>
    <x v="2"/>
    <x v="19"/>
    <s v="000000 - Nincs COFOG"/>
    <n v="5000"/>
    <n v="5000"/>
  </r>
  <r>
    <x v="8"/>
    <x v="5"/>
    <x v="2"/>
    <x v="1"/>
    <x v="2"/>
    <x v="18"/>
    <s v="000000 - Nincs COFOG"/>
    <n v="-5000"/>
    <n v="-5000"/>
  </r>
  <r>
    <x v="3"/>
    <x v="1"/>
    <x v="2"/>
    <x v="1"/>
    <x v="3"/>
    <x v="24"/>
    <s v="000000 - Nincs COFOG"/>
    <n v="270926"/>
    <n v="270926"/>
  </r>
  <r>
    <x v="3"/>
    <x v="1"/>
    <x v="2"/>
    <x v="1"/>
    <x v="3"/>
    <x v="7"/>
    <s v="000000 - Nincs COFOG"/>
    <n v="857017"/>
    <n v="857017"/>
  </r>
  <r>
    <x v="3"/>
    <x v="1"/>
    <x v="2"/>
    <x v="1"/>
    <x v="3"/>
    <x v="26"/>
    <s v="000000 - Nincs COFOG"/>
    <n v="92272"/>
    <n v="92272"/>
  </r>
  <r>
    <x v="3"/>
    <x v="1"/>
    <x v="2"/>
    <x v="1"/>
    <x v="3"/>
    <x v="4"/>
    <s v="000000 - Nincs COFOG"/>
    <n v="-1220215"/>
    <n v="-1220215"/>
  </r>
  <r>
    <x v="4"/>
    <x v="3"/>
    <x v="2"/>
    <x v="1"/>
    <x v="2"/>
    <x v="3"/>
    <s v="000000 - Nincs COFOG"/>
    <n v="1938010"/>
    <n v="1938010"/>
  </r>
  <r>
    <x v="4"/>
    <x v="3"/>
    <x v="2"/>
    <x v="1"/>
    <x v="2"/>
    <x v="16"/>
    <s v="000000 - Nincs COFOG"/>
    <n v="-1938010"/>
    <n v="-1938010"/>
  </r>
  <r>
    <x v="4"/>
    <x v="3"/>
    <x v="2"/>
    <x v="1"/>
    <x v="3"/>
    <x v="61"/>
    <s v="000000 - Nincs COFOG"/>
    <n v="15000"/>
    <n v="15000"/>
  </r>
  <r>
    <x v="4"/>
    <x v="3"/>
    <x v="2"/>
    <x v="1"/>
    <x v="3"/>
    <x v="61"/>
    <s v="000000 - Nincs COFOG"/>
    <n v="9688"/>
    <n v="9688"/>
  </r>
  <r>
    <x v="2"/>
    <x v="2"/>
    <x v="2"/>
    <x v="2"/>
    <x v="3"/>
    <x v="4"/>
    <s v="000000 - Nincs COFOG"/>
    <n v="-295298"/>
    <n v="-295298"/>
  </r>
  <r>
    <x v="2"/>
    <x v="2"/>
    <x v="2"/>
    <x v="1"/>
    <x v="3"/>
    <x v="24"/>
    <s v="000000 - Nincs COFOG"/>
    <n v="220525"/>
    <n v="220525"/>
  </r>
  <r>
    <x v="2"/>
    <x v="2"/>
    <x v="2"/>
    <x v="1"/>
    <x v="3"/>
    <x v="7"/>
    <s v="000000 - Nincs COFOG"/>
    <n v="74773"/>
    <n v="74773"/>
  </r>
  <r>
    <x v="5"/>
    <x v="3"/>
    <x v="1"/>
    <x v="1"/>
    <x v="11"/>
    <x v="46"/>
    <s v="000000 - Nincs COFOG"/>
    <n v="-1843751"/>
    <n v="1843751"/>
  </r>
  <r>
    <x v="4"/>
    <x v="3"/>
    <x v="2"/>
    <x v="1"/>
    <x v="6"/>
    <x v="35"/>
    <s v="000000 - Nincs COFOG"/>
    <n v="1843751"/>
    <n v="1843751"/>
  </r>
  <r>
    <x v="4"/>
    <x v="3"/>
    <x v="2"/>
    <x v="1"/>
    <x v="3"/>
    <x v="26"/>
    <s v="000000 - Nincs COFOG"/>
    <n v="857268"/>
    <n v="857268"/>
  </r>
  <r>
    <x v="4"/>
    <x v="3"/>
    <x v="2"/>
    <x v="1"/>
    <x v="3"/>
    <x v="4"/>
    <s v="000000 - Nincs COFOG"/>
    <n v="-857268"/>
    <n v="-857268"/>
  </r>
  <r>
    <x v="8"/>
    <x v="5"/>
    <x v="2"/>
    <x v="1"/>
    <x v="2"/>
    <x v="3"/>
    <s v="000000 - Nincs COFOG"/>
    <n v="24900"/>
    <n v="24900"/>
  </r>
  <r>
    <x v="4"/>
    <x v="3"/>
    <x v="2"/>
    <x v="1"/>
    <x v="3"/>
    <x v="61"/>
    <s v="000000 - Nincs COFOG"/>
    <n v="9947"/>
    <n v="9947"/>
  </r>
  <r>
    <x v="4"/>
    <x v="3"/>
    <x v="2"/>
    <x v="1"/>
    <x v="2"/>
    <x v="19"/>
    <s v="000000 - Nincs COFOG"/>
    <n v="10000"/>
    <n v="10000"/>
  </r>
  <r>
    <x v="4"/>
    <x v="3"/>
    <x v="2"/>
    <x v="1"/>
    <x v="2"/>
    <x v="18"/>
    <s v="000000 - Nincs COFOG"/>
    <n v="-10000"/>
    <n v="-10000"/>
  </r>
  <r>
    <x v="4"/>
    <x v="3"/>
    <x v="2"/>
    <x v="1"/>
    <x v="2"/>
    <x v="15"/>
    <s v="000000 - Nincs COFOG"/>
    <n v="3000000"/>
    <n v="3000000"/>
  </r>
  <r>
    <x v="4"/>
    <x v="3"/>
    <x v="2"/>
    <x v="1"/>
    <x v="2"/>
    <x v="16"/>
    <s v="000000 - Nincs COFOG"/>
    <n v="-3000000"/>
    <n v="-300000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  <r>
    <x v="0"/>
    <x v="0"/>
    <x v="0"/>
    <x v="0"/>
    <x v="0"/>
    <x v="0"/>
    <s v="000000 - Nincs COFOG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9"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1"/>
    <x v="1"/>
    <x v="1"/>
    <x v="1"/>
    <x v="1"/>
    <x v="0"/>
    <n v="-540000"/>
    <n v="540000"/>
  </r>
  <r>
    <x v="2"/>
    <x v="2"/>
    <x v="1"/>
    <x v="2"/>
    <x v="2"/>
    <x v="0"/>
    <n v="22311"/>
    <n v="22311"/>
  </r>
  <r>
    <x v="2"/>
    <x v="2"/>
    <x v="1"/>
    <x v="2"/>
    <x v="3"/>
    <x v="0"/>
    <n v="-22311"/>
    <n v="-22311"/>
  </r>
  <r>
    <x v="1"/>
    <x v="2"/>
    <x v="1"/>
    <x v="3"/>
    <x v="4"/>
    <x v="0"/>
    <n v="253189388"/>
    <n v="253189388"/>
  </r>
  <r>
    <x v="1"/>
    <x v="2"/>
    <x v="1"/>
    <x v="3"/>
    <x v="5"/>
    <x v="0"/>
    <n v="3580210"/>
    <n v="3580210"/>
  </r>
  <r>
    <x v="1"/>
    <x v="2"/>
    <x v="1"/>
    <x v="3"/>
    <x v="6"/>
    <x v="0"/>
    <n v="660000"/>
    <n v="660000"/>
  </r>
  <r>
    <x v="1"/>
    <x v="2"/>
    <x v="1"/>
    <x v="3"/>
    <x v="7"/>
    <x v="0"/>
    <n v="429000"/>
    <n v="429000"/>
  </r>
  <r>
    <x v="1"/>
    <x v="2"/>
    <x v="1"/>
    <x v="4"/>
    <x v="8"/>
    <x v="0"/>
    <n v="34547629"/>
    <n v="34547629"/>
  </r>
  <r>
    <x v="1"/>
    <x v="2"/>
    <x v="1"/>
    <x v="2"/>
    <x v="9"/>
    <x v="0"/>
    <n v="260000"/>
    <n v="260000"/>
  </r>
  <r>
    <x v="1"/>
    <x v="2"/>
    <x v="1"/>
    <x v="2"/>
    <x v="10"/>
    <x v="0"/>
    <n v="2700000"/>
    <n v="2700000"/>
  </r>
  <r>
    <x v="1"/>
    <x v="2"/>
    <x v="1"/>
    <x v="2"/>
    <x v="3"/>
    <x v="0"/>
    <n v="660000"/>
    <n v="660000"/>
  </r>
  <r>
    <x v="1"/>
    <x v="2"/>
    <x v="1"/>
    <x v="2"/>
    <x v="2"/>
    <x v="0"/>
    <n v="300000"/>
    <n v="300000"/>
  </r>
  <r>
    <x v="1"/>
    <x v="2"/>
    <x v="1"/>
    <x v="2"/>
    <x v="11"/>
    <x v="0"/>
    <n v="1500000"/>
    <n v="1500000"/>
  </r>
  <r>
    <x v="1"/>
    <x v="2"/>
    <x v="1"/>
    <x v="2"/>
    <x v="12"/>
    <x v="0"/>
    <n v="3600000"/>
    <n v="3600000"/>
  </r>
  <r>
    <x v="1"/>
    <x v="2"/>
    <x v="1"/>
    <x v="2"/>
    <x v="13"/>
    <x v="0"/>
    <n v="1560000"/>
    <n v="1560000"/>
  </r>
  <r>
    <x v="1"/>
    <x v="2"/>
    <x v="1"/>
    <x v="2"/>
    <x v="14"/>
    <x v="0"/>
    <n v="500000"/>
    <n v="500000"/>
  </r>
  <r>
    <x v="1"/>
    <x v="2"/>
    <x v="1"/>
    <x v="2"/>
    <x v="15"/>
    <x v="0"/>
    <n v="750000"/>
    <n v="750000"/>
  </r>
  <r>
    <x v="1"/>
    <x v="2"/>
    <x v="1"/>
    <x v="2"/>
    <x v="16"/>
    <x v="0"/>
    <n v="2559200"/>
    <n v="2559200"/>
  </r>
  <r>
    <x v="1"/>
    <x v="2"/>
    <x v="1"/>
    <x v="2"/>
    <x v="17"/>
    <x v="0"/>
    <n v="150000"/>
    <n v="150000"/>
  </r>
  <r>
    <x v="1"/>
    <x v="2"/>
    <x v="1"/>
    <x v="2"/>
    <x v="18"/>
    <x v="0"/>
    <n v="3763584"/>
    <n v="3763584"/>
  </r>
  <r>
    <x v="1"/>
    <x v="2"/>
    <x v="1"/>
    <x v="2"/>
    <x v="19"/>
    <x v="0"/>
    <n v="100000"/>
    <n v="100000"/>
  </r>
  <r>
    <x v="1"/>
    <x v="1"/>
    <x v="1"/>
    <x v="5"/>
    <x v="20"/>
    <x v="0"/>
    <n v="-1583668"/>
    <n v="1583668"/>
  </r>
  <r>
    <x v="1"/>
    <x v="1"/>
    <x v="1"/>
    <x v="5"/>
    <x v="21"/>
    <x v="0"/>
    <n v="-312855343"/>
    <n v="312855343"/>
  </r>
  <r>
    <x v="1"/>
    <x v="2"/>
    <x v="1"/>
    <x v="3"/>
    <x v="22"/>
    <x v="0"/>
    <n v="4170000"/>
    <n v="4170000"/>
  </r>
  <r>
    <x v="2"/>
    <x v="2"/>
    <x v="2"/>
    <x v="3"/>
    <x v="4"/>
    <x v="0"/>
    <n v="64708332"/>
    <n v="64708332"/>
  </r>
  <r>
    <x v="3"/>
    <x v="2"/>
    <x v="1"/>
    <x v="2"/>
    <x v="23"/>
    <x v="0"/>
    <n v="1595"/>
    <n v="1595"/>
  </r>
  <r>
    <x v="3"/>
    <x v="2"/>
    <x v="1"/>
    <x v="2"/>
    <x v="19"/>
    <x v="0"/>
    <n v="-1595"/>
    <n v="-1595"/>
  </r>
  <r>
    <x v="3"/>
    <x v="2"/>
    <x v="1"/>
    <x v="3"/>
    <x v="4"/>
    <x v="0"/>
    <n v="44751560"/>
    <n v="44751560"/>
  </r>
  <r>
    <x v="3"/>
    <x v="2"/>
    <x v="1"/>
    <x v="3"/>
    <x v="24"/>
    <x v="0"/>
    <n v="2400000"/>
    <n v="2400000"/>
  </r>
  <r>
    <x v="3"/>
    <x v="2"/>
    <x v="1"/>
    <x v="3"/>
    <x v="22"/>
    <x v="0"/>
    <n v="810000"/>
    <n v="810000"/>
  </r>
  <r>
    <x v="3"/>
    <x v="2"/>
    <x v="1"/>
    <x v="3"/>
    <x v="7"/>
    <x v="0"/>
    <n v="96000"/>
    <n v="96000"/>
  </r>
  <r>
    <x v="3"/>
    <x v="2"/>
    <x v="1"/>
    <x v="3"/>
    <x v="25"/>
    <x v="0"/>
    <n v="52663378"/>
    <n v="52663378"/>
  </r>
  <r>
    <x v="3"/>
    <x v="2"/>
    <x v="1"/>
    <x v="3"/>
    <x v="26"/>
    <x v="0"/>
    <n v="10032000"/>
    <n v="10032000"/>
  </r>
  <r>
    <x v="3"/>
    <x v="2"/>
    <x v="1"/>
    <x v="4"/>
    <x v="8"/>
    <x v="0"/>
    <n v="12128222"/>
    <n v="12128222"/>
  </r>
  <r>
    <x v="3"/>
    <x v="2"/>
    <x v="1"/>
    <x v="2"/>
    <x v="10"/>
    <x v="0"/>
    <n v="11468857"/>
    <n v="11468857"/>
  </r>
  <r>
    <x v="3"/>
    <x v="2"/>
    <x v="1"/>
    <x v="2"/>
    <x v="3"/>
    <x v="0"/>
    <n v="9479508"/>
    <n v="9479508"/>
  </r>
  <r>
    <x v="1"/>
    <x v="2"/>
    <x v="1"/>
    <x v="3"/>
    <x v="24"/>
    <x v="0"/>
    <n v="162783"/>
    <n v="162783"/>
  </r>
  <r>
    <x v="1"/>
    <x v="2"/>
    <x v="1"/>
    <x v="3"/>
    <x v="7"/>
    <x v="0"/>
    <n v="101749"/>
    <n v="101749"/>
  </r>
  <r>
    <x v="1"/>
    <x v="2"/>
    <x v="1"/>
    <x v="3"/>
    <x v="4"/>
    <x v="0"/>
    <n v="-264532"/>
    <n v="-264532"/>
  </r>
  <r>
    <x v="3"/>
    <x v="2"/>
    <x v="1"/>
    <x v="2"/>
    <x v="11"/>
    <x v="0"/>
    <n v="40320000"/>
    <n v="40320000"/>
  </r>
  <r>
    <x v="3"/>
    <x v="2"/>
    <x v="1"/>
    <x v="2"/>
    <x v="12"/>
    <x v="0"/>
    <n v="3600000"/>
    <n v="3600000"/>
  </r>
  <r>
    <x v="3"/>
    <x v="2"/>
    <x v="1"/>
    <x v="2"/>
    <x v="13"/>
    <x v="0"/>
    <n v="9000000"/>
    <n v="9000000"/>
  </r>
  <r>
    <x v="3"/>
    <x v="2"/>
    <x v="1"/>
    <x v="2"/>
    <x v="27"/>
    <x v="0"/>
    <n v="138916890"/>
    <n v="138916890"/>
  </r>
  <r>
    <x v="3"/>
    <x v="2"/>
    <x v="1"/>
    <x v="2"/>
    <x v="28"/>
    <x v="0"/>
    <n v="300000"/>
    <n v="300000"/>
  </r>
  <r>
    <x v="3"/>
    <x v="2"/>
    <x v="1"/>
    <x v="2"/>
    <x v="14"/>
    <x v="0"/>
    <n v="18558734"/>
    <n v="18558734"/>
  </r>
  <r>
    <x v="3"/>
    <x v="2"/>
    <x v="1"/>
    <x v="2"/>
    <x v="29"/>
    <x v="0"/>
    <n v="15000000"/>
    <n v="15000000"/>
  </r>
  <r>
    <x v="3"/>
    <x v="2"/>
    <x v="1"/>
    <x v="2"/>
    <x v="15"/>
    <x v="0"/>
    <n v="6471811"/>
    <n v="6471811"/>
  </r>
  <r>
    <x v="3"/>
    <x v="2"/>
    <x v="1"/>
    <x v="2"/>
    <x v="16"/>
    <x v="0"/>
    <n v="73602962"/>
    <n v="73602962"/>
  </r>
  <r>
    <x v="3"/>
    <x v="2"/>
    <x v="1"/>
    <x v="2"/>
    <x v="30"/>
    <x v="0"/>
    <n v="3696000"/>
    <n v="3696000"/>
  </r>
  <r>
    <x v="1"/>
    <x v="2"/>
    <x v="1"/>
    <x v="3"/>
    <x v="26"/>
    <x v="0"/>
    <n v="20000"/>
    <n v="20000"/>
  </r>
  <r>
    <x v="3"/>
    <x v="2"/>
    <x v="1"/>
    <x v="2"/>
    <x v="19"/>
    <x v="0"/>
    <n v="3347600"/>
    <n v="3347600"/>
  </r>
  <r>
    <x v="1"/>
    <x v="2"/>
    <x v="1"/>
    <x v="3"/>
    <x v="4"/>
    <x v="0"/>
    <n v="-20000"/>
    <n v="-20000"/>
  </r>
  <r>
    <x v="3"/>
    <x v="2"/>
    <x v="1"/>
    <x v="6"/>
    <x v="31"/>
    <x v="0"/>
    <n v="18402260"/>
    <n v="18402260"/>
  </r>
  <r>
    <x v="3"/>
    <x v="2"/>
    <x v="1"/>
    <x v="2"/>
    <x v="23"/>
    <x v="0"/>
    <n v="455820"/>
    <n v="455820"/>
  </r>
  <r>
    <x v="3"/>
    <x v="2"/>
    <x v="1"/>
    <x v="2"/>
    <x v="18"/>
    <x v="0"/>
    <n v="86436844"/>
    <n v="86436844"/>
  </r>
  <r>
    <x v="3"/>
    <x v="2"/>
    <x v="1"/>
    <x v="7"/>
    <x v="32"/>
    <x v="0"/>
    <n v="8000000"/>
    <n v="8000000"/>
  </r>
  <r>
    <x v="3"/>
    <x v="2"/>
    <x v="1"/>
    <x v="6"/>
    <x v="33"/>
    <x v="0"/>
    <n v="785800"/>
    <n v="785800"/>
  </r>
  <r>
    <x v="3"/>
    <x v="2"/>
    <x v="1"/>
    <x v="6"/>
    <x v="34"/>
    <x v="0"/>
    <n v="32565419"/>
    <n v="32565419"/>
  </r>
  <r>
    <x v="1"/>
    <x v="2"/>
    <x v="1"/>
    <x v="3"/>
    <x v="24"/>
    <x v="0"/>
    <n v="248456"/>
    <n v="248456"/>
  </r>
  <r>
    <x v="3"/>
    <x v="2"/>
    <x v="1"/>
    <x v="6"/>
    <x v="35"/>
    <x v="0"/>
    <n v="100224060"/>
    <n v="100224060"/>
  </r>
  <r>
    <x v="1"/>
    <x v="2"/>
    <x v="1"/>
    <x v="3"/>
    <x v="26"/>
    <x v="0"/>
    <n v="143160"/>
    <n v="143160"/>
  </r>
  <r>
    <x v="3"/>
    <x v="2"/>
    <x v="1"/>
    <x v="8"/>
    <x v="36"/>
    <x v="0"/>
    <n v="99839684"/>
    <n v="99839684"/>
  </r>
  <r>
    <x v="1"/>
    <x v="2"/>
    <x v="1"/>
    <x v="3"/>
    <x v="4"/>
    <x v="0"/>
    <n v="-391616"/>
    <n v="-391616"/>
  </r>
  <r>
    <x v="3"/>
    <x v="2"/>
    <x v="1"/>
    <x v="8"/>
    <x v="37"/>
    <x v="0"/>
    <n v="26956715"/>
    <n v="26956715"/>
  </r>
  <r>
    <x v="3"/>
    <x v="2"/>
    <x v="1"/>
    <x v="9"/>
    <x v="38"/>
    <x v="0"/>
    <n v="27218204"/>
    <n v="27218204"/>
  </r>
  <r>
    <x v="3"/>
    <x v="2"/>
    <x v="1"/>
    <x v="9"/>
    <x v="39"/>
    <x v="0"/>
    <n v="7348915"/>
    <n v="7348915"/>
  </r>
  <r>
    <x v="3"/>
    <x v="2"/>
    <x v="1"/>
    <x v="10"/>
    <x v="40"/>
    <x v="0"/>
    <n v="14729728"/>
    <n v="14729728"/>
  </r>
  <r>
    <x v="3"/>
    <x v="2"/>
    <x v="1"/>
    <x v="10"/>
    <x v="41"/>
    <x v="0"/>
    <n v="23155891"/>
    <n v="23155891"/>
  </r>
  <r>
    <x v="3"/>
    <x v="2"/>
    <x v="1"/>
    <x v="10"/>
    <x v="42"/>
    <x v="0"/>
    <n v="713571495"/>
    <n v="713571495"/>
  </r>
  <r>
    <x v="3"/>
    <x v="2"/>
    <x v="1"/>
    <x v="10"/>
    <x v="43"/>
    <x v="0"/>
    <n v="1149792"/>
    <n v="1149792"/>
  </r>
  <r>
    <x v="3"/>
    <x v="1"/>
    <x v="1"/>
    <x v="11"/>
    <x v="44"/>
    <x v="0"/>
    <n v="-250117687"/>
    <n v="250117687"/>
  </r>
  <r>
    <x v="3"/>
    <x v="1"/>
    <x v="1"/>
    <x v="11"/>
    <x v="45"/>
    <x v="0"/>
    <n v="-273336590"/>
    <n v="273336590"/>
  </r>
  <r>
    <x v="3"/>
    <x v="1"/>
    <x v="1"/>
    <x v="11"/>
    <x v="46"/>
    <x v="0"/>
    <n v="-98121389"/>
    <n v="98121389"/>
  </r>
  <r>
    <x v="3"/>
    <x v="1"/>
    <x v="1"/>
    <x v="11"/>
    <x v="47"/>
    <x v="0"/>
    <n v="-147019091"/>
    <n v="147019091"/>
  </r>
  <r>
    <x v="3"/>
    <x v="1"/>
    <x v="1"/>
    <x v="11"/>
    <x v="48"/>
    <x v="0"/>
    <n v="-14913617"/>
    <n v="14913617"/>
  </r>
  <r>
    <x v="3"/>
    <x v="1"/>
    <x v="1"/>
    <x v="11"/>
    <x v="49"/>
    <x v="0"/>
    <n v="-8184480"/>
    <n v="8184480"/>
  </r>
  <r>
    <x v="3"/>
    <x v="1"/>
    <x v="1"/>
    <x v="12"/>
    <x v="50"/>
    <x v="0"/>
    <n v="-104900566"/>
    <n v="104900566"/>
  </r>
  <r>
    <x v="3"/>
    <x v="1"/>
    <x v="1"/>
    <x v="13"/>
    <x v="51"/>
    <x v="0"/>
    <n v="-175000000"/>
    <n v="175000000"/>
  </r>
  <r>
    <x v="3"/>
    <x v="1"/>
    <x v="1"/>
    <x v="13"/>
    <x v="52"/>
    <x v="0"/>
    <n v="-150000000"/>
    <n v="150000000"/>
  </r>
  <r>
    <x v="3"/>
    <x v="1"/>
    <x v="1"/>
    <x v="13"/>
    <x v="53"/>
    <x v="0"/>
    <n v="-12000000"/>
    <n v="12000000"/>
  </r>
  <r>
    <x v="3"/>
    <x v="1"/>
    <x v="1"/>
    <x v="13"/>
    <x v="54"/>
    <x v="0"/>
    <n v="-4800000"/>
    <n v="4800000"/>
  </r>
  <r>
    <x v="3"/>
    <x v="1"/>
    <x v="1"/>
    <x v="1"/>
    <x v="55"/>
    <x v="0"/>
    <n v="-68240000"/>
    <n v="68240000"/>
  </r>
  <r>
    <x v="3"/>
    <x v="1"/>
    <x v="1"/>
    <x v="1"/>
    <x v="56"/>
    <x v="0"/>
    <n v="-15000000"/>
    <n v="15000000"/>
  </r>
  <r>
    <x v="2"/>
    <x v="2"/>
    <x v="2"/>
    <x v="3"/>
    <x v="5"/>
    <x v="0"/>
    <n v="5382050"/>
    <n v="5382050"/>
  </r>
  <r>
    <x v="3"/>
    <x v="1"/>
    <x v="1"/>
    <x v="1"/>
    <x v="1"/>
    <x v="0"/>
    <n v="-27840000"/>
    <n v="27840000"/>
  </r>
  <r>
    <x v="2"/>
    <x v="2"/>
    <x v="2"/>
    <x v="3"/>
    <x v="22"/>
    <x v="0"/>
    <n v="1110000"/>
    <n v="1110000"/>
  </r>
  <r>
    <x v="3"/>
    <x v="1"/>
    <x v="1"/>
    <x v="1"/>
    <x v="57"/>
    <x v="0"/>
    <n v="-17560800"/>
    <n v="17560800"/>
  </r>
  <r>
    <x v="3"/>
    <x v="1"/>
    <x v="1"/>
    <x v="1"/>
    <x v="58"/>
    <x v="0"/>
    <n v="-15840000"/>
    <n v="15840000"/>
  </r>
  <r>
    <x v="2"/>
    <x v="2"/>
    <x v="2"/>
    <x v="3"/>
    <x v="6"/>
    <x v="0"/>
    <n v="1740960"/>
    <n v="1740960"/>
  </r>
  <r>
    <x v="3"/>
    <x v="1"/>
    <x v="1"/>
    <x v="5"/>
    <x v="20"/>
    <x v="0"/>
    <n v="-234609929"/>
    <n v="234609929"/>
  </r>
  <r>
    <x v="2"/>
    <x v="2"/>
    <x v="2"/>
    <x v="3"/>
    <x v="7"/>
    <x v="0"/>
    <n v="114000"/>
    <n v="114000"/>
  </r>
  <r>
    <x v="2"/>
    <x v="2"/>
    <x v="2"/>
    <x v="3"/>
    <x v="26"/>
    <x v="0"/>
    <n v="6000000"/>
    <n v="6000000"/>
  </r>
  <r>
    <x v="2"/>
    <x v="2"/>
    <x v="2"/>
    <x v="4"/>
    <x v="8"/>
    <x v="0"/>
    <n v="10124551"/>
    <n v="10124551"/>
  </r>
  <r>
    <x v="2"/>
    <x v="2"/>
    <x v="2"/>
    <x v="2"/>
    <x v="9"/>
    <x v="0"/>
    <n v="2520000"/>
    <n v="2520000"/>
  </r>
  <r>
    <x v="2"/>
    <x v="2"/>
    <x v="2"/>
    <x v="2"/>
    <x v="10"/>
    <x v="0"/>
    <n v="3200000"/>
    <n v="3200000"/>
  </r>
  <r>
    <x v="2"/>
    <x v="2"/>
    <x v="2"/>
    <x v="2"/>
    <x v="3"/>
    <x v="0"/>
    <n v="290480"/>
    <n v="290480"/>
  </r>
  <r>
    <x v="2"/>
    <x v="2"/>
    <x v="2"/>
    <x v="2"/>
    <x v="2"/>
    <x v="0"/>
    <n v="405684"/>
    <n v="405684"/>
  </r>
  <r>
    <x v="4"/>
    <x v="2"/>
    <x v="1"/>
    <x v="3"/>
    <x v="59"/>
    <x v="0"/>
    <n v="300924"/>
    <n v="300924"/>
  </r>
  <r>
    <x v="4"/>
    <x v="2"/>
    <x v="1"/>
    <x v="2"/>
    <x v="18"/>
    <x v="0"/>
    <n v="-115000"/>
    <n v="-115000"/>
  </r>
  <r>
    <x v="2"/>
    <x v="2"/>
    <x v="2"/>
    <x v="2"/>
    <x v="11"/>
    <x v="0"/>
    <n v="1320000"/>
    <n v="1320000"/>
  </r>
  <r>
    <x v="4"/>
    <x v="2"/>
    <x v="1"/>
    <x v="3"/>
    <x v="4"/>
    <x v="0"/>
    <n v="-300924"/>
    <n v="-300924"/>
  </r>
  <r>
    <x v="2"/>
    <x v="2"/>
    <x v="2"/>
    <x v="2"/>
    <x v="12"/>
    <x v="0"/>
    <n v="3600000"/>
    <n v="3600000"/>
  </r>
  <r>
    <x v="4"/>
    <x v="2"/>
    <x v="1"/>
    <x v="2"/>
    <x v="60"/>
    <x v="0"/>
    <n v="115000"/>
    <n v="115000"/>
  </r>
  <r>
    <x v="2"/>
    <x v="2"/>
    <x v="2"/>
    <x v="2"/>
    <x v="13"/>
    <x v="0"/>
    <n v="840000"/>
    <n v="840000"/>
  </r>
  <r>
    <x v="2"/>
    <x v="2"/>
    <x v="2"/>
    <x v="2"/>
    <x v="27"/>
    <x v="0"/>
    <n v="12600000"/>
    <n v="12600000"/>
  </r>
  <r>
    <x v="2"/>
    <x v="2"/>
    <x v="2"/>
    <x v="2"/>
    <x v="14"/>
    <x v="0"/>
    <n v="1963631"/>
    <n v="1963631"/>
  </r>
  <r>
    <x v="2"/>
    <x v="2"/>
    <x v="2"/>
    <x v="2"/>
    <x v="15"/>
    <x v="0"/>
    <n v="1615600"/>
    <n v="1615600"/>
  </r>
  <r>
    <x v="2"/>
    <x v="2"/>
    <x v="2"/>
    <x v="2"/>
    <x v="16"/>
    <x v="0"/>
    <n v="2266020"/>
    <n v="2266020"/>
  </r>
  <r>
    <x v="2"/>
    <x v="2"/>
    <x v="2"/>
    <x v="2"/>
    <x v="17"/>
    <x v="0"/>
    <n v="240000"/>
    <n v="240000"/>
  </r>
  <r>
    <x v="2"/>
    <x v="2"/>
    <x v="2"/>
    <x v="2"/>
    <x v="18"/>
    <x v="0"/>
    <n v="7908413"/>
    <n v="7908413"/>
  </r>
  <r>
    <x v="4"/>
    <x v="2"/>
    <x v="1"/>
    <x v="2"/>
    <x v="16"/>
    <x v="0"/>
    <n v="-840000"/>
    <n v="-840000"/>
  </r>
  <r>
    <x v="2"/>
    <x v="2"/>
    <x v="2"/>
    <x v="2"/>
    <x v="19"/>
    <x v="0"/>
    <n v="20000"/>
    <n v="20000"/>
  </r>
  <r>
    <x v="4"/>
    <x v="2"/>
    <x v="1"/>
    <x v="2"/>
    <x v="15"/>
    <x v="0"/>
    <n v="840000"/>
    <n v="840000"/>
  </r>
  <r>
    <x v="2"/>
    <x v="2"/>
    <x v="2"/>
    <x v="8"/>
    <x v="36"/>
    <x v="0"/>
    <n v="700000"/>
    <n v="700000"/>
  </r>
  <r>
    <x v="3"/>
    <x v="2"/>
    <x v="1"/>
    <x v="3"/>
    <x v="6"/>
    <x v="0"/>
    <n v="30420"/>
    <n v="30420"/>
  </r>
  <r>
    <x v="2"/>
    <x v="2"/>
    <x v="2"/>
    <x v="8"/>
    <x v="37"/>
    <x v="0"/>
    <n v="189000"/>
    <n v="189000"/>
  </r>
  <r>
    <x v="3"/>
    <x v="2"/>
    <x v="1"/>
    <x v="3"/>
    <x v="4"/>
    <x v="0"/>
    <n v="-30420"/>
    <n v="-30420"/>
  </r>
  <r>
    <x v="2"/>
    <x v="1"/>
    <x v="2"/>
    <x v="1"/>
    <x v="1"/>
    <x v="0"/>
    <n v="-34992000"/>
    <n v="34992000"/>
  </r>
  <r>
    <x v="2"/>
    <x v="1"/>
    <x v="2"/>
    <x v="1"/>
    <x v="57"/>
    <x v="0"/>
    <n v="-2449440"/>
    <n v="2449440"/>
  </r>
  <r>
    <x v="2"/>
    <x v="1"/>
    <x v="2"/>
    <x v="5"/>
    <x v="20"/>
    <x v="0"/>
    <n v="-2732096"/>
    <n v="2732096"/>
  </r>
  <r>
    <x v="2"/>
    <x v="1"/>
    <x v="2"/>
    <x v="5"/>
    <x v="21"/>
    <x v="0"/>
    <n v="-88685185"/>
    <n v="88685185"/>
  </r>
  <r>
    <x v="2"/>
    <x v="2"/>
    <x v="2"/>
    <x v="3"/>
    <x v="7"/>
    <x v="0"/>
    <n v="129160"/>
    <n v="129160"/>
  </r>
  <r>
    <x v="2"/>
    <x v="2"/>
    <x v="2"/>
    <x v="3"/>
    <x v="4"/>
    <x v="0"/>
    <n v="-129160"/>
    <n v="-129160"/>
  </r>
  <r>
    <x v="3"/>
    <x v="2"/>
    <x v="1"/>
    <x v="2"/>
    <x v="2"/>
    <x v="0"/>
    <n v="1000000"/>
    <n v="1000000"/>
  </r>
  <r>
    <x v="3"/>
    <x v="2"/>
    <x v="1"/>
    <x v="2"/>
    <x v="17"/>
    <x v="0"/>
    <n v="900000"/>
    <n v="900000"/>
  </r>
  <r>
    <x v="3"/>
    <x v="2"/>
    <x v="1"/>
    <x v="2"/>
    <x v="16"/>
    <x v="0"/>
    <n v="-1900000"/>
    <n v="-1900000"/>
  </r>
  <r>
    <x v="3"/>
    <x v="2"/>
    <x v="1"/>
    <x v="3"/>
    <x v="61"/>
    <x v="0"/>
    <n v="83598"/>
    <n v="83598"/>
  </r>
  <r>
    <x v="2"/>
    <x v="2"/>
    <x v="2"/>
    <x v="3"/>
    <x v="7"/>
    <x v="0"/>
    <n v="936"/>
    <n v="936"/>
  </r>
  <r>
    <x v="2"/>
    <x v="2"/>
    <x v="1"/>
    <x v="3"/>
    <x v="4"/>
    <x v="0"/>
    <n v="-936"/>
    <n v="-936"/>
  </r>
  <r>
    <x v="3"/>
    <x v="2"/>
    <x v="1"/>
    <x v="3"/>
    <x v="59"/>
    <x v="0"/>
    <n v="85000"/>
    <n v="85000"/>
  </r>
  <r>
    <x v="5"/>
    <x v="2"/>
    <x v="1"/>
    <x v="2"/>
    <x v="2"/>
    <x v="0"/>
    <n v="916"/>
    <n v="916"/>
  </r>
  <r>
    <x v="3"/>
    <x v="2"/>
    <x v="1"/>
    <x v="3"/>
    <x v="4"/>
    <x v="0"/>
    <n v="-85000"/>
    <n v="-85000"/>
  </r>
  <r>
    <x v="5"/>
    <x v="2"/>
    <x v="1"/>
    <x v="2"/>
    <x v="19"/>
    <x v="0"/>
    <n v="-916"/>
    <n v="-916"/>
  </r>
  <r>
    <x v="4"/>
    <x v="2"/>
    <x v="1"/>
    <x v="2"/>
    <x v="2"/>
    <x v="0"/>
    <n v="41912"/>
    <n v="41912"/>
  </r>
  <r>
    <x v="4"/>
    <x v="2"/>
    <x v="1"/>
    <x v="2"/>
    <x v="3"/>
    <x v="0"/>
    <n v="-41912"/>
    <n v="-41912"/>
  </r>
  <r>
    <x v="1"/>
    <x v="2"/>
    <x v="1"/>
    <x v="3"/>
    <x v="7"/>
    <x v="0"/>
    <n v="124616"/>
    <n v="124616"/>
  </r>
  <r>
    <x v="1"/>
    <x v="2"/>
    <x v="1"/>
    <x v="3"/>
    <x v="4"/>
    <x v="0"/>
    <n v="-124616"/>
    <n v="-124616"/>
  </r>
  <r>
    <x v="3"/>
    <x v="2"/>
    <x v="1"/>
    <x v="3"/>
    <x v="59"/>
    <x v="0"/>
    <n v="100000"/>
    <n v="100000"/>
  </r>
  <r>
    <x v="5"/>
    <x v="2"/>
    <x v="1"/>
    <x v="2"/>
    <x v="16"/>
    <x v="0"/>
    <n v="-24900"/>
    <n v="-24900"/>
  </r>
  <r>
    <x v="2"/>
    <x v="2"/>
    <x v="2"/>
    <x v="3"/>
    <x v="7"/>
    <x v="0"/>
    <n v="67989"/>
    <n v="67989"/>
  </r>
  <r>
    <x v="2"/>
    <x v="2"/>
    <x v="1"/>
    <x v="3"/>
    <x v="4"/>
    <x v="0"/>
    <n v="-67989"/>
    <n v="-67989"/>
  </r>
  <r>
    <x v="3"/>
    <x v="2"/>
    <x v="1"/>
    <x v="2"/>
    <x v="19"/>
    <x v="0"/>
    <n v="50000"/>
    <n v="50000"/>
  </r>
  <r>
    <x v="3"/>
    <x v="2"/>
    <x v="1"/>
    <x v="2"/>
    <x v="18"/>
    <x v="0"/>
    <n v="-50000"/>
    <n v="-50000"/>
  </r>
  <r>
    <x v="3"/>
    <x v="2"/>
    <x v="1"/>
    <x v="3"/>
    <x v="61"/>
    <x v="0"/>
    <n v="2331"/>
    <n v="2331"/>
  </r>
  <r>
    <x v="3"/>
    <x v="1"/>
    <x v="1"/>
    <x v="12"/>
    <x v="50"/>
    <x v="0"/>
    <n v="30559603"/>
    <n v="-30559603"/>
  </r>
  <r>
    <x v="3"/>
    <x v="2"/>
    <x v="1"/>
    <x v="6"/>
    <x v="35"/>
    <x v="0"/>
    <n v="-30559603"/>
    <n v="-30559603"/>
  </r>
  <r>
    <x v="4"/>
    <x v="1"/>
    <x v="1"/>
    <x v="1"/>
    <x v="55"/>
    <x v="0"/>
    <n v="-5720000"/>
    <n v="5720000"/>
  </r>
  <r>
    <x v="5"/>
    <x v="2"/>
    <x v="1"/>
    <x v="2"/>
    <x v="14"/>
    <x v="0"/>
    <n v="2962992"/>
    <n v="2962992"/>
  </r>
  <r>
    <x v="4"/>
    <x v="1"/>
    <x v="1"/>
    <x v="5"/>
    <x v="20"/>
    <x v="0"/>
    <n v="-1611496"/>
    <n v="1611496"/>
  </r>
  <r>
    <x v="5"/>
    <x v="2"/>
    <x v="1"/>
    <x v="2"/>
    <x v="15"/>
    <x v="0"/>
    <n v="4524000"/>
    <n v="4524000"/>
  </r>
  <r>
    <x v="4"/>
    <x v="1"/>
    <x v="1"/>
    <x v="5"/>
    <x v="21"/>
    <x v="0"/>
    <n v="-56999040"/>
    <n v="56999040"/>
  </r>
  <r>
    <x v="5"/>
    <x v="2"/>
    <x v="1"/>
    <x v="2"/>
    <x v="16"/>
    <x v="0"/>
    <n v="8887184"/>
    <n v="8887184"/>
  </r>
  <r>
    <x v="4"/>
    <x v="2"/>
    <x v="1"/>
    <x v="3"/>
    <x v="4"/>
    <x v="0"/>
    <n v="27600000"/>
    <n v="27600000"/>
  </r>
  <r>
    <x v="5"/>
    <x v="2"/>
    <x v="1"/>
    <x v="2"/>
    <x v="17"/>
    <x v="0"/>
    <n v="600000"/>
    <n v="600000"/>
  </r>
  <r>
    <x v="4"/>
    <x v="2"/>
    <x v="1"/>
    <x v="3"/>
    <x v="22"/>
    <x v="0"/>
    <n v="570000"/>
    <n v="570000"/>
  </r>
  <r>
    <x v="5"/>
    <x v="2"/>
    <x v="1"/>
    <x v="2"/>
    <x v="18"/>
    <x v="0"/>
    <n v="6224662"/>
    <n v="6224662"/>
  </r>
  <r>
    <x v="4"/>
    <x v="2"/>
    <x v="1"/>
    <x v="3"/>
    <x v="6"/>
    <x v="0"/>
    <n v="97524"/>
    <n v="97524"/>
  </r>
  <r>
    <x v="5"/>
    <x v="2"/>
    <x v="1"/>
    <x v="2"/>
    <x v="19"/>
    <x v="0"/>
    <n v="60000"/>
    <n v="60000"/>
  </r>
  <r>
    <x v="4"/>
    <x v="2"/>
    <x v="1"/>
    <x v="3"/>
    <x v="7"/>
    <x v="0"/>
    <n v="60000"/>
    <n v="60000"/>
  </r>
  <r>
    <x v="5"/>
    <x v="2"/>
    <x v="1"/>
    <x v="8"/>
    <x v="62"/>
    <x v="0"/>
    <n v="1968504"/>
    <n v="1968504"/>
  </r>
  <r>
    <x v="4"/>
    <x v="2"/>
    <x v="1"/>
    <x v="3"/>
    <x v="26"/>
    <x v="0"/>
    <n v="840000"/>
    <n v="840000"/>
  </r>
  <r>
    <x v="5"/>
    <x v="2"/>
    <x v="1"/>
    <x v="8"/>
    <x v="36"/>
    <x v="0"/>
    <n v="1574804"/>
    <n v="1574804"/>
  </r>
  <r>
    <x v="4"/>
    <x v="2"/>
    <x v="1"/>
    <x v="4"/>
    <x v="8"/>
    <x v="0"/>
    <n v="3856800"/>
    <n v="3856800"/>
  </r>
  <r>
    <x v="5"/>
    <x v="2"/>
    <x v="1"/>
    <x v="8"/>
    <x v="37"/>
    <x v="0"/>
    <n v="956692"/>
    <n v="956692"/>
  </r>
  <r>
    <x v="4"/>
    <x v="2"/>
    <x v="1"/>
    <x v="2"/>
    <x v="10"/>
    <x v="0"/>
    <n v="620000"/>
    <n v="620000"/>
  </r>
  <r>
    <x v="5"/>
    <x v="1"/>
    <x v="1"/>
    <x v="1"/>
    <x v="55"/>
    <x v="0"/>
    <n v="-1000000"/>
    <n v="1000000"/>
  </r>
  <r>
    <x v="4"/>
    <x v="2"/>
    <x v="1"/>
    <x v="2"/>
    <x v="3"/>
    <x v="0"/>
    <n v="778920"/>
    <n v="778920"/>
  </r>
  <r>
    <x v="5"/>
    <x v="1"/>
    <x v="1"/>
    <x v="5"/>
    <x v="20"/>
    <x v="0"/>
    <n v="-417719"/>
    <n v="417719"/>
  </r>
  <r>
    <x v="4"/>
    <x v="2"/>
    <x v="1"/>
    <x v="2"/>
    <x v="2"/>
    <x v="0"/>
    <n v="216000"/>
    <n v="216000"/>
  </r>
  <r>
    <x v="5"/>
    <x v="1"/>
    <x v="1"/>
    <x v="5"/>
    <x v="21"/>
    <x v="0"/>
    <n v="-255031927"/>
    <n v="255031927"/>
  </r>
  <r>
    <x v="4"/>
    <x v="2"/>
    <x v="1"/>
    <x v="2"/>
    <x v="11"/>
    <x v="0"/>
    <n v="2040000"/>
    <n v="2040000"/>
  </r>
  <r>
    <x v="4"/>
    <x v="2"/>
    <x v="1"/>
    <x v="2"/>
    <x v="12"/>
    <x v="0"/>
    <n v="3120000"/>
    <n v="3120000"/>
  </r>
  <r>
    <x v="4"/>
    <x v="2"/>
    <x v="1"/>
    <x v="2"/>
    <x v="13"/>
    <x v="0"/>
    <n v="540000"/>
    <n v="540000"/>
  </r>
  <r>
    <x v="4"/>
    <x v="2"/>
    <x v="1"/>
    <x v="2"/>
    <x v="14"/>
    <x v="0"/>
    <n v="1300000"/>
    <n v="1300000"/>
  </r>
  <r>
    <x v="4"/>
    <x v="2"/>
    <x v="1"/>
    <x v="2"/>
    <x v="16"/>
    <x v="0"/>
    <n v="14417024"/>
    <n v="14417024"/>
  </r>
  <r>
    <x v="4"/>
    <x v="2"/>
    <x v="1"/>
    <x v="2"/>
    <x v="18"/>
    <x v="0"/>
    <n v="6179268"/>
    <n v="6179268"/>
  </r>
  <r>
    <x v="4"/>
    <x v="2"/>
    <x v="1"/>
    <x v="2"/>
    <x v="19"/>
    <x v="0"/>
    <n v="200000"/>
    <n v="200000"/>
  </r>
  <r>
    <x v="4"/>
    <x v="2"/>
    <x v="1"/>
    <x v="8"/>
    <x v="62"/>
    <x v="0"/>
    <n v="500000"/>
    <n v="500000"/>
  </r>
  <r>
    <x v="4"/>
    <x v="2"/>
    <x v="1"/>
    <x v="8"/>
    <x v="36"/>
    <x v="0"/>
    <n v="1200000"/>
    <n v="1200000"/>
  </r>
  <r>
    <x v="4"/>
    <x v="2"/>
    <x v="1"/>
    <x v="8"/>
    <x v="37"/>
    <x v="0"/>
    <n v="195000"/>
    <n v="195000"/>
  </r>
  <r>
    <x v="5"/>
    <x v="2"/>
    <x v="1"/>
    <x v="3"/>
    <x v="4"/>
    <x v="0"/>
    <n v="158368000"/>
    <n v="158368000"/>
  </r>
  <r>
    <x v="5"/>
    <x v="2"/>
    <x v="1"/>
    <x v="3"/>
    <x v="59"/>
    <x v="0"/>
    <n v="6591880"/>
    <n v="6591880"/>
  </r>
  <r>
    <x v="5"/>
    <x v="2"/>
    <x v="1"/>
    <x v="3"/>
    <x v="24"/>
    <x v="0"/>
    <n v="3600000"/>
    <n v="3600000"/>
  </r>
  <r>
    <x v="5"/>
    <x v="2"/>
    <x v="1"/>
    <x v="3"/>
    <x v="5"/>
    <x v="0"/>
    <n v="2450000"/>
    <n v="2450000"/>
  </r>
  <r>
    <x v="5"/>
    <x v="2"/>
    <x v="1"/>
    <x v="3"/>
    <x v="22"/>
    <x v="0"/>
    <n v="3715567"/>
    <n v="3715567"/>
  </r>
  <r>
    <x v="5"/>
    <x v="2"/>
    <x v="1"/>
    <x v="3"/>
    <x v="63"/>
    <x v="0"/>
    <n v="205469"/>
    <n v="205469"/>
  </r>
  <r>
    <x v="5"/>
    <x v="2"/>
    <x v="1"/>
    <x v="3"/>
    <x v="6"/>
    <x v="0"/>
    <n v="921524"/>
    <n v="921524"/>
  </r>
  <r>
    <x v="5"/>
    <x v="2"/>
    <x v="1"/>
    <x v="3"/>
    <x v="64"/>
    <x v="0"/>
    <n v="3600000"/>
    <n v="3600000"/>
  </r>
  <r>
    <x v="5"/>
    <x v="2"/>
    <x v="1"/>
    <x v="3"/>
    <x v="7"/>
    <x v="0"/>
    <n v="2629000"/>
    <n v="2629000"/>
  </r>
  <r>
    <x v="5"/>
    <x v="2"/>
    <x v="1"/>
    <x v="3"/>
    <x v="26"/>
    <x v="0"/>
    <n v="9120000"/>
    <n v="9120000"/>
  </r>
  <r>
    <x v="5"/>
    <x v="2"/>
    <x v="1"/>
    <x v="4"/>
    <x v="8"/>
    <x v="0"/>
    <n v="24062368"/>
    <n v="24062368"/>
  </r>
  <r>
    <x v="5"/>
    <x v="2"/>
    <x v="1"/>
    <x v="2"/>
    <x v="9"/>
    <x v="0"/>
    <n v="100000"/>
    <n v="100000"/>
  </r>
  <r>
    <x v="5"/>
    <x v="2"/>
    <x v="1"/>
    <x v="2"/>
    <x v="10"/>
    <x v="0"/>
    <n v="4280000"/>
    <n v="4280000"/>
  </r>
  <r>
    <x v="5"/>
    <x v="2"/>
    <x v="1"/>
    <x v="2"/>
    <x v="3"/>
    <x v="0"/>
    <n v="3479000"/>
    <n v="3479000"/>
  </r>
  <r>
    <x v="5"/>
    <x v="2"/>
    <x v="1"/>
    <x v="2"/>
    <x v="2"/>
    <x v="0"/>
    <n v="924000"/>
    <n v="924000"/>
  </r>
  <r>
    <x v="3"/>
    <x v="2"/>
    <x v="1"/>
    <x v="6"/>
    <x v="35"/>
    <x v="0"/>
    <n v="-83598"/>
    <n v="-83598"/>
  </r>
  <r>
    <x v="5"/>
    <x v="2"/>
    <x v="1"/>
    <x v="2"/>
    <x v="11"/>
    <x v="0"/>
    <n v="1620000"/>
    <n v="1620000"/>
  </r>
  <r>
    <x v="5"/>
    <x v="2"/>
    <x v="1"/>
    <x v="2"/>
    <x v="12"/>
    <x v="0"/>
    <n v="2640000"/>
    <n v="2640000"/>
  </r>
  <r>
    <x v="5"/>
    <x v="2"/>
    <x v="1"/>
    <x v="2"/>
    <x v="13"/>
    <x v="0"/>
    <n v="240000"/>
    <n v="240000"/>
  </r>
  <r>
    <x v="5"/>
    <x v="2"/>
    <x v="1"/>
    <x v="2"/>
    <x v="28"/>
    <x v="0"/>
    <n v="144000"/>
    <n v="144000"/>
  </r>
  <r>
    <x v="3"/>
    <x v="2"/>
    <x v="1"/>
    <x v="6"/>
    <x v="35"/>
    <x v="0"/>
    <n v="-2331"/>
    <n v="-2331"/>
  </r>
  <r>
    <x v="3"/>
    <x v="2"/>
    <x v="1"/>
    <x v="6"/>
    <x v="35"/>
    <x v="0"/>
    <n v="-15000"/>
    <n v="-15000"/>
  </r>
  <r>
    <x v="3"/>
    <x v="2"/>
    <x v="1"/>
    <x v="6"/>
    <x v="35"/>
    <x v="0"/>
    <n v="-9688"/>
    <n v="-9688"/>
  </r>
  <r>
    <x v="3"/>
    <x v="2"/>
    <x v="1"/>
    <x v="6"/>
    <x v="35"/>
    <x v="0"/>
    <n v="-9947"/>
    <n v="-9947"/>
  </r>
  <r>
    <x v="3"/>
    <x v="2"/>
    <x v="1"/>
    <x v="6"/>
    <x v="35"/>
    <x v="0"/>
    <n v="1771703"/>
    <n v="1771703"/>
  </r>
  <r>
    <x v="3"/>
    <x v="1"/>
    <x v="1"/>
    <x v="11"/>
    <x v="46"/>
    <x v="0"/>
    <n v="-1771703"/>
    <n v="1771703"/>
  </r>
  <r>
    <x v="3"/>
    <x v="2"/>
    <x v="1"/>
    <x v="3"/>
    <x v="4"/>
    <x v="0"/>
    <n v="-100000"/>
    <n v="-100000"/>
  </r>
  <r>
    <x v="3"/>
    <x v="1"/>
    <x v="1"/>
    <x v="5"/>
    <x v="65"/>
    <x v="0"/>
    <n v="-315161"/>
    <n v="315161"/>
  </r>
  <r>
    <x v="3"/>
    <x v="2"/>
    <x v="1"/>
    <x v="10"/>
    <x v="41"/>
    <x v="0"/>
    <n v="315161"/>
    <n v="315161"/>
  </r>
  <r>
    <x v="3"/>
    <x v="2"/>
    <x v="1"/>
    <x v="2"/>
    <x v="9"/>
    <x v="0"/>
    <n v="3693"/>
    <n v="3693"/>
  </r>
  <r>
    <x v="3"/>
    <x v="2"/>
    <x v="1"/>
    <x v="2"/>
    <x v="10"/>
    <x v="0"/>
    <n v="-3693"/>
    <n v="-3693"/>
  </r>
  <r>
    <x v="3"/>
    <x v="2"/>
    <x v="1"/>
    <x v="6"/>
    <x v="33"/>
    <x v="0"/>
    <n v="2465484"/>
    <n v="2465484"/>
  </r>
  <r>
    <x v="3"/>
    <x v="2"/>
    <x v="1"/>
    <x v="6"/>
    <x v="35"/>
    <x v="0"/>
    <n v="-2465484"/>
    <n v="-2465484"/>
  </r>
  <r>
    <x v="1"/>
    <x v="2"/>
    <x v="1"/>
    <x v="3"/>
    <x v="26"/>
    <x v="0"/>
    <n v="112450"/>
    <n v="112450"/>
  </r>
  <r>
    <x v="1"/>
    <x v="2"/>
    <x v="1"/>
    <x v="3"/>
    <x v="4"/>
    <x v="0"/>
    <n v="-112450"/>
    <n v="-112450"/>
  </r>
  <r>
    <x v="3"/>
    <x v="2"/>
    <x v="1"/>
    <x v="2"/>
    <x v="28"/>
    <x v="0"/>
    <n v="40000"/>
    <n v="40000"/>
  </r>
  <r>
    <x v="3"/>
    <x v="2"/>
    <x v="1"/>
    <x v="2"/>
    <x v="15"/>
    <x v="0"/>
    <n v="1980000"/>
    <n v="1980000"/>
  </r>
  <r>
    <x v="3"/>
    <x v="2"/>
    <x v="1"/>
    <x v="6"/>
    <x v="35"/>
    <x v="0"/>
    <n v="-2514600"/>
    <n v="-2514600"/>
  </r>
  <r>
    <x v="3"/>
    <x v="2"/>
    <x v="1"/>
    <x v="2"/>
    <x v="16"/>
    <x v="0"/>
    <n v="-40000"/>
    <n v="-40000"/>
  </r>
  <r>
    <x v="3"/>
    <x v="2"/>
    <x v="1"/>
    <x v="2"/>
    <x v="18"/>
    <x v="0"/>
    <n v="534600"/>
    <n v="534600"/>
  </r>
  <r>
    <x v="1"/>
    <x v="2"/>
    <x v="1"/>
    <x v="3"/>
    <x v="24"/>
    <x v="0"/>
    <n v="153188"/>
    <n v="153188"/>
  </r>
  <r>
    <x v="1"/>
    <x v="2"/>
    <x v="1"/>
    <x v="3"/>
    <x v="5"/>
    <x v="0"/>
    <n v="35290"/>
    <n v="35290"/>
  </r>
  <r>
    <x v="1"/>
    <x v="2"/>
    <x v="1"/>
    <x v="3"/>
    <x v="7"/>
    <x v="0"/>
    <n v="341467"/>
    <n v="341467"/>
  </r>
  <r>
    <x v="1"/>
    <x v="2"/>
    <x v="1"/>
    <x v="3"/>
    <x v="26"/>
    <x v="0"/>
    <n v="392478"/>
    <n v="392478"/>
  </r>
  <r>
    <x v="1"/>
    <x v="2"/>
    <x v="1"/>
    <x v="3"/>
    <x v="4"/>
    <x v="0"/>
    <n v="-922423"/>
    <n v="-922423"/>
  </r>
  <r>
    <x v="1"/>
    <x v="2"/>
    <x v="1"/>
    <x v="3"/>
    <x v="7"/>
    <x v="0"/>
    <n v="82729"/>
    <n v="82729"/>
  </r>
  <r>
    <x v="1"/>
    <x v="2"/>
    <x v="1"/>
    <x v="3"/>
    <x v="4"/>
    <x v="0"/>
    <n v="-82729"/>
    <n v="-82729"/>
  </r>
  <r>
    <x v="1"/>
    <x v="2"/>
    <x v="1"/>
    <x v="3"/>
    <x v="7"/>
    <x v="0"/>
    <n v="459998"/>
    <n v="459998"/>
  </r>
  <r>
    <x v="1"/>
    <x v="2"/>
    <x v="1"/>
    <x v="3"/>
    <x v="4"/>
    <x v="0"/>
    <n v="-459998"/>
    <n v="-459998"/>
  </r>
  <r>
    <x v="1"/>
    <x v="2"/>
    <x v="1"/>
    <x v="3"/>
    <x v="24"/>
    <x v="0"/>
    <n v="155031"/>
    <n v="155031"/>
  </r>
  <r>
    <x v="1"/>
    <x v="2"/>
    <x v="1"/>
    <x v="3"/>
    <x v="7"/>
    <x v="0"/>
    <n v="133829"/>
    <n v="133829"/>
  </r>
  <r>
    <x v="1"/>
    <x v="2"/>
    <x v="1"/>
    <x v="3"/>
    <x v="4"/>
    <x v="0"/>
    <n v="-288860"/>
    <n v="-288860"/>
  </r>
  <r>
    <x v="2"/>
    <x v="2"/>
    <x v="2"/>
    <x v="3"/>
    <x v="24"/>
    <x v="0"/>
    <n v="116304"/>
    <n v="116304"/>
  </r>
  <r>
    <x v="2"/>
    <x v="2"/>
    <x v="1"/>
    <x v="3"/>
    <x v="7"/>
    <x v="0"/>
    <n v="143908"/>
    <n v="143908"/>
  </r>
  <r>
    <x v="2"/>
    <x v="2"/>
    <x v="1"/>
    <x v="3"/>
    <x v="4"/>
    <x v="0"/>
    <n v="-260212"/>
    <n v="-260212"/>
  </r>
  <r>
    <x v="1"/>
    <x v="2"/>
    <x v="1"/>
    <x v="3"/>
    <x v="7"/>
    <x v="0"/>
    <n v="29172"/>
    <n v="29172"/>
  </r>
  <r>
    <x v="1"/>
    <x v="2"/>
    <x v="1"/>
    <x v="3"/>
    <x v="4"/>
    <x v="0"/>
    <n v="-29172"/>
    <n v="-29172"/>
  </r>
  <r>
    <x v="2"/>
    <x v="2"/>
    <x v="1"/>
    <x v="3"/>
    <x v="7"/>
    <x v="0"/>
    <n v="58558"/>
    <n v="58558"/>
  </r>
  <r>
    <x v="2"/>
    <x v="2"/>
    <x v="1"/>
    <x v="3"/>
    <x v="4"/>
    <x v="0"/>
    <n v="-58558"/>
    <n v="-58558"/>
  </r>
  <r>
    <x v="5"/>
    <x v="2"/>
    <x v="1"/>
    <x v="2"/>
    <x v="3"/>
    <x v="0"/>
    <n v="17612"/>
    <n v="17612"/>
  </r>
  <r>
    <x v="5"/>
    <x v="2"/>
    <x v="1"/>
    <x v="2"/>
    <x v="2"/>
    <x v="0"/>
    <n v="-17612"/>
    <n v="-17612"/>
  </r>
  <r>
    <x v="3"/>
    <x v="1"/>
    <x v="1"/>
    <x v="14"/>
    <x v="66"/>
    <x v="0"/>
    <n v="-1250400"/>
    <n v="1250400"/>
  </r>
  <r>
    <x v="3"/>
    <x v="2"/>
    <x v="1"/>
    <x v="6"/>
    <x v="33"/>
    <x v="0"/>
    <n v="1250400"/>
    <n v="1250400"/>
  </r>
  <r>
    <x v="2"/>
    <x v="2"/>
    <x v="2"/>
    <x v="3"/>
    <x v="24"/>
    <x v="0"/>
    <n v="216497"/>
    <n v="216497"/>
  </r>
  <r>
    <x v="2"/>
    <x v="2"/>
    <x v="1"/>
    <x v="3"/>
    <x v="7"/>
    <x v="0"/>
    <n v="294502"/>
    <n v="294502"/>
  </r>
  <r>
    <x v="2"/>
    <x v="2"/>
    <x v="1"/>
    <x v="3"/>
    <x v="4"/>
    <x v="0"/>
    <n v="-510999"/>
    <n v="-510999"/>
  </r>
  <r>
    <x v="3"/>
    <x v="2"/>
    <x v="1"/>
    <x v="3"/>
    <x v="6"/>
    <x v="0"/>
    <n v="36720"/>
    <n v="36720"/>
  </r>
  <r>
    <x v="3"/>
    <x v="2"/>
    <x v="1"/>
    <x v="3"/>
    <x v="4"/>
    <x v="0"/>
    <n v="-36720"/>
    <n v="-36720"/>
  </r>
  <r>
    <x v="3"/>
    <x v="2"/>
    <x v="1"/>
    <x v="2"/>
    <x v="19"/>
    <x v="0"/>
    <n v="70000"/>
    <n v="70000"/>
  </r>
  <r>
    <x v="3"/>
    <x v="2"/>
    <x v="1"/>
    <x v="6"/>
    <x v="35"/>
    <x v="0"/>
    <n v="-70000"/>
    <n v="-70000"/>
  </r>
  <r>
    <x v="4"/>
    <x v="2"/>
    <x v="1"/>
    <x v="3"/>
    <x v="61"/>
    <x v="0"/>
    <n v="1333"/>
    <n v="1333"/>
  </r>
  <r>
    <x v="3"/>
    <x v="2"/>
    <x v="1"/>
    <x v="3"/>
    <x v="59"/>
    <x v="0"/>
    <n v="15000"/>
    <n v="15000"/>
  </r>
  <r>
    <x v="4"/>
    <x v="2"/>
    <x v="1"/>
    <x v="2"/>
    <x v="10"/>
    <x v="0"/>
    <n v="-1333"/>
    <n v="-1333"/>
  </r>
  <r>
    <x v="3"/>
    <x v="2"/>
    <x v="1"/>
    <x v="3"/>
    <x v="6"/>
    <x v="0"/>
    <n v="25650"/>
    <n v="25650"/>
  </r>
  <r>
    <x v="3"/>
    <x v="2"/>
    <x v="1"/>
    <x v="3"/>
    <x v="7"/>
    <x v="0"/>
    <n v="20148"/>
    <n v="20148"/>
  </r>
  <r>
    <x v="3"/>
    <x v="2"/>
    <x v="1"/>
    <x v="3"/>
    <x v="4"/>
    <x v="0"/>
    <n v="-60798"/>
    <n v="-60798"/>
  </r>
  <r>
    <x v="3"/>
    <x v="2"/>
    <x v="1"/>
    <x v="3"/>
    <x v="26"/>
    <x v="0"/>
    <n v="403600"/>
    <n v="403600"/>
  </r>
  <r>
    <x v="4"/>
    <x v="2"/>
    <x v="1"/>
    <x v="2"/>
    <x v="10"/>
    <x v="0"/>
    <n v="6324"/>
    <n v="6324"/>
  </r>
  <r>
    <x v="3"/>
    <x v="2"/>
    <x v="1"/>
    <x v="3"/>
    <x v="4"/>
    <x v="0"/>
    <n v="-403600"/>
    <n v="-403600"/>
  </r>
  <r>
    <x v="4"/>
    <x v="2"/>
    <x v="1"/>
    <x v="2"/>
    <x v="18"/>
    <x v="0"/>
    <n v="-6324"/>
    <n v="-6324"/>
  </r>
  <r>
    <x v="3"/>
    <x v="2"/>
    <x v="1"/>
    <x v="3"/>
    <x v="26"/>
    <x v="0"/>
    <n v="62527"/>
    <n v="62527"/>
  </r>
  <r>
    <x v="3"/>
    <x v="2"/>
    <x v="1"/>
    <x v="3"/>
    <x v="4"/>
    <x v="0"/>
    <n v="-62527"/>
    <n v="-62527"/>
  </r>
  <r>
    <x v="1"/>
    <x v="2"/>
    <x v="1"/>
    <x v="3"/>
    <x v="24"/>
    <x v="0"/>
    <n v="85"/>
    <n v="85"/>
  </r>
  <r>
    <x v="1"/>
    <x v="2"/>
    <x v="1"/>
    <x v="3"/>
    <x v="4"/>
    <x v="0"/>
    <n v="-85"/>
    <n v="-85"/>
  </r>
  <r>
    <x v="3"/>
    <x v="2"/>
    <x v="1"/>
    <x v="3"/>
    <x v="61"/>
    <x v="0"/>
    <n v="42424"/>
    <n v="42424"/>
  </r>
  <r>
    <x v="3"/>
    <x v="2"/>
    <x v="1"/>
    <x v="3"/>
    <x v="26"/>
    <x v="0"/>
    <n v="2262861"/>
    <n v="2262861"/>
  </r>
  <r>
    <x v="3"/>
    <x v="2"/>
    <x v="1"/>
    <x v="6"/>
    <x v="35"/>
    <x v="0"/>
    <n v="-42424"/>
    <n v="-42424"/>
  </r>
  <r>
    <x v="3"/>
    <x v="2"/>
    <x v="1"/>
    <x v="4"/>
    <x v="8"/>
    <x v="0"/>
    <n v="107536"/>
    <n v="107536"/>
  </r>
  <r>
    <x v="3"/>
    <x v="2"/>
    <x v="1"/>
    <x v="2"/>
    <x v="15"/>
    <x v="0"/>
    <n v="188039"/>
    <n v="188039"/>
  </r>
  <r>
    <x v="3"/>
    <x v="2"/>
    <x v="1"/>
    <x v="2"/>
    <x v="16"/>
    <x v="0"/>
    <n v="-2370397"/>
    <n v="-2370397"/>
  </r>
  <r>
    <x v="3"/>
    <x v="2"/>
    <x v="1"/>
    <x v="2"/>
    <x v="16"/>
    <x v="0"/>
    <n v="-188039"/>
    <n v="-188039"/>
  </r>
  <r>
    <x v="3"/>
    <x v="2"/>
    <x v="1"/>
    <x v="3"/>
    <x v="61"/>
    <x v="0"/>
    <n v="49842"/>
    <n v="49842"/>
  </r>
  <r>
    <x v="3"/>
    <x v="2"/>
    <x v="1"/>
    <x v="6"/>
    <x v="35"/>
    <x v="0"/>
    <n v="-49842"/>
    <n v="-49842"/>
  </r>
  <r>
    <x v="3"/>
    <x v="2"/>
    <x v="1"/>
    <x v="2"/>
    <x v="9"/>
    <x v="0"/>
    <n v="3543"/>
    <n v="3543"/>
  </r>
  <r>
    <x v="3"/>
    <x v="2"/>
    <x v="1"/>
    <x v="2"/>
    <x v="10"/>
    <x v="0"/>
    <n v="-3543"/>
    <n v="-3543"/>
  </r>
  <r>
    <x v="5"/>
    <x v="2"/>
    <x v="1"/>
    <x v="2"/>
    <x v="19"/>
    <x v="0"/>
    <n v="62400"/>
    <n v="62400"/>
  </r>
  <r>
    <x v="5"/>
    <x v="2"/>
    <x v="1"/>
    <x v="2"/>
    <x v="18"/>
    <x v="0"/>
    <n v="-62400"/>
    <n v="-62400"/>
  </r>
  <r>
    <x v="3"/>
    <x v="1"/>
    <x v="1"/>
    <x v="11"/>
    <x v="46"/>
    <x v="0"/>
    <n v="-1864016"/>
    <n v="1864016"/>
  </r>
  <r>
    <x v="3"/>
    <x v="2"/>
    <x v="1"/>
    <x v="6"/>
    <x v="35"/>
    <x v="0"/>
    <n v="1864016"/>
    <n v="1864016"/>
  </r>
  <r>
    <x v="3"/>
    <x v="1"/>
    <x v="1"/>
    <x v="5"/>
    <x v="65"/>
    <x v="0"/>
    <n v="-144803"/>
    <n v="144803"/>
  </r>
  <r>
    <x v="3"/>
    <x v="2"/>
    <x v="1"/>
    <x v="10"/>
    <x v="41"/>
    <x v="0"/>
    <n v="144803"/>
    <n v="144803"/>
  </r>
  <r>
    <x v="3"/>
    <x v="2"/>
    <x v="1"/>
    <x v="3"/>
    <x v="61"/>
    <x v="0"/>
    <n v="25984"/>
    <n v="25984"/>
  </r>
  <r>
    <x v="3"/>
    <x v="2"/>
    <x v="1"/>
    <x v="6"/>
    <x v="35"/>
    <x v="0"/>
    <n v="-25984"/>
    <n v="-25984"/>
  </r>
  <r>
    <x v="1"/>
    <x v="2"/>
    <x v="1"/>
    <x v="3"/>
    <x v="4"/>
    <x v="0"/>
    <n v="-274032"/>
    <n v="-274032"/>
  </r>
  <r>
    <x v="1"/>
    <x v="2"/>
    <x v="1"/>
    <x v="3"/>
    <x v="26"/>
    <x v="0"/>
    <n v="274032"/>
    <n v="274032"/>
  </r>
  <r>
    <x v="3"/>
    <x v="2"/>
    <x v="1"/>
    <x v="2"/>
    <x v="28"/>
    <x v="0"/>
    <n v="28729"/>
    <n v="28729"/>
  </r>
  <r>
    <x v="3"/>
    <x v="2"/>
    <x v="1"/>
    <x v="2"/>
    <x v="18"/>
    <x v="0"/>
    <n v="-28729"/>
    <n v="-28729"/>
  </r>
  <r>
    <x v="2"/>
    <x v="2"/>
    <x v="2"/>
    <x v="3"/>
    <x v="61"/>
    <x v="0"/>
    <n v="2582"/>
    <n v="2582"/>
  </r>
  <r>
    <x v="2"/>
    <x v="2"/>
    <x v="2"/>
    <x v="2"/>
    <x v="10"/>
    <x v="0"/>
    <n v="-2582"/>
    <n v="-2582"/>
  </r>
  <r>
    <x v="3"/>
    <x v="2"/>
    <x v="1"/>
    <x v="2"/>
    <x v="19"/>
    <x v="0"/>
    <n v="40000"/>
    <n v="40000"/>
  </r>
  <r>
    <x v="3"/>
    <x v="2"/>
    <x v="1"/>
    <x v="2"/>
    <x v="18"/>
    <x v="0"/>
    <n v="-40000"/>
    <n v="-40000"/>
  </r>
  <r>
    <x v="1"/>
    <x v="2"/>
    <x v="1"/>
    <x v="3"/>
    <x v="7"/>
    <x v="0"/>
    <n v="87191"/>
    <n v="87191"/>
  </r>
  <r>
    <x v="1"/>
    <x v="2"/>
    <x v="1"/>
    <x v="3"/>
    <x v="4"/>
    <x v="0"/>
    <n v="-87191"/>
    <n v="-87191"/>
  </r>
  <r>
    <x v="3"/>
    <x v="1"/>
    <x v="1"/>
    <x v="11"/>
    <x v="44"/>
    <x v="0"/>
    <n v="-6604345"/>
    <n v="6604345"/>
  </r>
  <r>
    <x v="3"/>
    <x v="1"/>
    <x v="1"/>
    <x v="11"/>
    <x v="46"/>
    <x v="0"/>
    <n v="-3395608"/>
    <n v="3395608"/>
  </r>
  <r>
    <x v="3"/>
    <x v="2"/>
    <x v="1"/>
    <x v="6"/>
    <x v="35"/>
    <x v="0"/>
    <n v="9999953"/>
    <n v="9999953"/>
  </r>
  <r>
    <x v="3"/>
    <x v="1"/>
    <x v="1"/>
    <x v="12"/>
    <x v="67"/>
    <x v="0"/>
    <n v="-34529963"/>
    <n v="34529963"/>
  </r>
  <r>
    <x v="3"/>
    <x v="1"/>
    <x v="1"/>
    <x v="12"/>
    <x v="50"/>
    <x v="0"/>
    <n v="34529963"/>
    <n v="-34529963"/>
  </r>
  <r>
    <x v="2"/>
    <x v="2"/>
    <x v="2"/>
    <x v="3"/>
    <x v="7"/>
    <x v="0"/>
    <n v="4450"/>
    <n v="4450"/>
  </r>
  <r>
    <x v="2"/>
    <x v="2"/>
    <x v="2"/>
    <x v="3"/>
    <x v="4"/>
    <x v="0"/>
    <n v="-4450"/>
    <n v="-4450"/>
  </r>
  <r>
    <x v="3"/>
    <x v="2"/>
    <x v="1"/>
    <x v="3"/>
    <x v="7"/>
    <x v="0"/>
    <n v="18010"/>
    <n v="18010"/>
  </r>
  <r>
    <x v="3"/>
    <x v="2"/>
    <x v="1"/>
    <x v="3"/>
    <x v="4"/>
    <x v="0"/>
    <n v="-18010"/>
    <n v="-18010"/>
  </r>
  <r>
    <x v="3"/>
    <x v="2"/>
    <x v="1"/>
    <x v="2"/>
    <x v="19"/>
    <x v="0"/>
    <n v="5718"/>
    <n v="5718"/>
  </r>
  <r>
    <x v="3"/>
    <x v="2"/>
    <x v="1"/>
    <x v="2"/>
    <x v="16"/>
    <x v="0"/>
    <n v="-5718"/>
    <n v="-5718"/>
  </r>
  <r>
    <x v="3"/>
    <x v="2"/>
    <x v="1"/>
    <x v="2"/>
    <x v="19"/>
    <x v="0"/>
    <n v="97000"/>
    <n v="97000"/>
  </r>
  <r>
    <x v="3"/>
    <x v="2"/>
    <x v="1"/>
    <x v="2"/>
    <x v="16"/>
    <x v="0"/>
    <n v="-97000"/>
    <n v="-97000"/>
  </r>
  <r>
    <x v="3"/>
    <x v="2"/>
    <x v="1"/>
    <x v="3"/>
    <x v="61"/>
    <x v="0"/>
    <n v="181114"/>
    <n v="181114"/>
  </r>
  <r>
    <x v="3"/>
    <x v="2"/>
    <x v="1"/>
    <x v="6"/>
    <x v="35"/>
    <x v="0"/>
    <n v="-181114"/>
    <n v="-181114"/>
  </r>
  <r>
    <x v="1"/>
    <x v="2"/>
    <x v="1"/>
    <x v="3"/>
    <x v="7"/>
    <x v="0"/>
    <n v="87883"/>
    <n v="87883"/>
  </r>
  <r>
    <x v="1"/>
    <x v="2"/>
    <x v="1"/>
    <x v="3"/>
    <x v="4"/>
    <x v="0"/>
    <n v="-87883"/>
    <n v="-87883"/>
  </r>
  <r>
    <x v="5"/>
    <x v="2"/>
    <x v="1"/>
    <x v="2"/>
    <x v="19"/>
    <x v="0"/>
    <n v="5000"/>
    <n v="5000"/>
  </r>
  <r>
    <x v="5"/>
    <x v="2"/>
    <x v="1"/>
    <x v="2"/>
    <x v="18"/>
    <x v="0"/>
    <n v="-5000"/>
    <n v="-5000"/>
  </r>
  <r>
    <x v="1"/>
    <x v="2"/>
    <x v="1"/>
    <x v="3"/>
    <x v="24"/>
    <x v="0"/>
    <n v="270926"/>
    <n v="270926"/>
  </r>
  <r>
    <x v="1"/>
    <x v="2"/>
    <x v="1"/>
    <x v="3"/>
    <x v="7"/>
    <x v="0"/>
    <n v="857017"/>
    <n v="857017"/>
  </r>
  <r>
    <x v="1"/>
    <x v="2"/>
    <x v="1"/>
    <x v="3"/>
    <x v="26"/>
    <x v="0"/>
    <n v="92272"/>
    <n v="92272"/>
  </r>
  <r>
    <x v="1"/>
    <x v="2"/>
    <x v="1"/>
    <x v="3"/>
    <x v="4"/>
    <x v="0"/>
    <n v="-1220215"/>
    <n v="-1220215"/>
  </r>
  <r>
    <x v="3"/>
    <x v="2"/>
    <x v="1"/>
    <x v="2"/>
    <x v="3"/>
    <x v="0"/>
    <n v="1938010"/>
    <n v="1938010"/>
  </r>
  <r>
    <x v="3"/>
    <x v="2"/>
    <x v="1"/>
    <x v="2"/>
    <x v="16"/>
    <x v="0"/>
    <n v="-1938010"/>
    <n v="-1938010"/>
  </r>
  <r>
    <x v="3"/>
    <x v="2"/>
    <x v="1"/>
    <x v="3"/>
    <x v="61"/>
    <x v="0"/>
    <n v="15000"/>
    <n v="15000"/>
  </r>
  <r>
    <x v="3"/>
    <x v="2"/>
    <x v="1"/>
    <x v="3"/>
    <x v="61"/>
    <x v="0"/>
    <n v="9688"/>
    <n v="9688"/>
  </r>
  <r>
    <x v="2"/>
    <x v="2"/>
    <x v="2"/>
    <x v="3"/>
    <x v="4"/>
    <x v="0"/>
    <n v="-295298"/>
    <n v="-295298"/>
  </r>
  <r>
    <x v="2"/>
    <x v="2"/>
    <x v="1"/>
    <x v="3"/>
    <x v="24"/>
    <x v="0"/>
    <n v="220525"/>
    <n v="220525"/>
  </r>
  <r>
    <x v="2"/>
    <x v="2"/>
    <x v="1"/>
    <x v="3"/>
    <x v="7"/>
    <x v="0"/>
    <n v="74773"/>
    <n v="74773"/>
  </r>
  <r>
    <x v="3"/>
    <x v="1"/>
    <x v="1"/>
    <x v="11"/>
    <x v="46"/>
    <x v="0"/>
    <n v="-1843751"/>
    <n v="1843751"/>
  </r>
  <r>
    <x v="3"/>
    <x v="2"/>
    <x v="1"/>
    <x v="6"/>
    <x v="35"/>
    <x v="0"/>
    <n v="1843751"/>
    <n v="1843751"/>
  </r>
  <r>
    <x v="3"/>
    <x v="2"/>
    <x v="1"/>
    <x v="3"/>
    <x v="26"/>
    <x v="0"/>
    <n v="857268"/>
    <n v="857268"/>
  </r>
  <r>
    <x v="3"/>
    <x v="2"/>
    <x v="1"/>
    <x v="3"/>
    <x v="4"/>
    <x v="0"/>
    <n v="-857268"/>
    <n v="-857268"/>
  </r>
  <r>
    <x v="5"/>
    <x v="2"/>
    <x v="1"/>
    <x v="2"/>
    <x v="3"/>
    <x v="0"/>
    <n v="24900"/>
    <n v="24900"/>
  </r>
  <r>
    <x v="3"/>
    <x v="2"/>
    <x v="1"/>
    <x v="3"/>
    <x v="61"/>
    <x v="0"/>
    <n v="9947"/>
    <n v="9947"/>
  </r>
  <r>
    <x v="3"/>
    <x v="2"/>
    <x v="1"/>
    <x v="2"/>
    <x v="19"/>
    <x v="0"/>
    <n v="10000"/>
    <n v="10000"/>
  </r>
  <r>
    <x v="3"/>
    <x v="2"/>
    <x v="1"/>
    <x v="2"/>
    <x v="18"/>
    <x v="0"/>
    <n v="-10000"/>
    <n v="-10000"/>
  </r>
  <r>
    <x v="3"/>
    <x v="2"/>
    <x v="1"/>
    <x v="2"/>
    <x v="15"/>
    <x v="0"/>
    <n v="3000000"/>
    <n v="3000000"/>
  </r>
  <r>
    <x v="3"/>
    <x v="2"/>
    <x v="1"/>
    <x v="2"/>
    <x v="16"/>
    <x v="0"/>
    <n v="-3000000"/>
    <n v="-300000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  <r>
    <x v="0"/>
    <x v="0"/>
    <x v="0"/>
    <x v="0"/>
    <x v="0"/>
    <x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7786ED-F07E-4698-8155-8D75CEE305C3}" name="Kimutatás1" cacheId="0" applyNumberFormats="0" applyBorderFormats="0" applyFontFormats="0" applyPatternFormats="0" applyAlignmentFormats="0" applyWidthHeightFormats="1" dataCaption="Értékek" missingCaption="0" updatedVersion="8" minRefreshableVersion="3" itemPrintTitles="1" createdVersion="8" indent="0" outline="1" outlineData="1" multipleFieldFilters="0" rowHeaderCaption="Előirányzati főkönyvi számlák rovatonként">
  <location ref="B7:C9" firstHeaderRow="1" firstDataRow="2" firstDataCol="1" rowPageCount="2" colPageCount="1"/>
  <pivotFields count="9">
    <pivotField axis="axisPage" multipleItemSelectionAllowed="1" showAll="0">
      <items count="17">
        <item m="1" x="13"/>
        <item h="1" m="1" x="15"/>
        <item h="1" m="1" x="12"/>
        <item h="1" m="1" x="14"/>
        <item x="0"/>
        <item m="1" x="8"/>
        <item h="1" m="1" x="9"/>
        <item h="1" m="1" x="10"/>
        <item h="1" m="1" x="11"/>
        <item h="1" m="1" x="6"/>
        <item m="1" x="7"/>
        <item h="1" x="1"/>
        <item h="1" x="2"/>
        <item h="1" x="3"/>
        <item h="1" x="4"/>
        <item h="1" x="5"/>
        <item t="default"/>
      </items>
    </pivotField>
    <pivotField axis="axisPage" multipleItemSelectionAllowed="1" showAll="0">
      <items count="4">
        <item x="1"/>
        <item h="1" x="2"/>
        <item h="1" x="0"/>
        <item t="default"/>
      </items>
    </pivotField>
    <pivotField axis="axisCol" showAll="0">
      <items count="5">
        <item x="1"/>
        <item x="2"/>
        <item m="1" x="3"/>
        <item x="0"/>
        <item t="default"/>
      </items>
    </pivotField>
    <pivotField axis="axisRow" showAll="0">
      <items count="18">
        <item x="11"/>
        <item x="12"/>
        <item x="13"/>
        <item x="1"/>
        <item m="1" x="16"/>
        <item x="14"/>
        <item x="5"/>
        <item x="3"/>
        <item x="4"/>
        <item x="2"/>
        <item x="7"/>
        <item x="6"/>
        <item x="8"/>
        <item x="9"/>
        <item x="10"/>
        <item x="0"/>
        <item m="1" x="15"/>
        <item t="default"/>
      </items>
    </pivotField>
    <pivotField axis="axisRow" showAll="0">
      <items count="85">
        <item x="4"/>
        <item x="59"/>
        <item x="24"/>
        <item m="1" x="77"/>
        <item x="5"/>
        <item x="22"/>
        <item x="6"/>
        <item x="64"/>
        <item m="1" x="80"/>
        <item x="7"/>
        <item x="25"/>
        <item x="26"/>
        <item x="61"/>
        <item x="8"/>
        <item x="9"/>
        <item x="10"/>
        <item x="3"/>
        <item x="2"/>
        <item x="11"/>
        <item x="12"/>
        <item x="13"/>
        <item x="27"/>
        <item x="28"/>
        <item x="14"/>
        <item x="29"/>
        <item x="15"/>
        <item x="16"/>
        <item x="17"/>
        <item x="18"/>
        <item x="60"/>
        <item x="23"/>
        <item x="19"/>
        <item x="32"/>
        <item x="33"/>
        <item x="34"/>
        <item x="31"/>
        <item x="35"/>
        <item m="1" x="69"/>
        <item x="36"/>
        <item x="37"/>
        <item x="38"/>
        <item m="1" x="70"/>
        <item x="39"/>
        <item x="41"/>
        <item x="42"/>
        <item x="44"/>
        <item x="45"/>
        <item x="46"/>
        <item x="47"/>
        <item x="48"/>
        <item m="1" x="68"/>
        <item m="1" x="81"/>
        <item x="49"/>
        <item x="67"/>
        <item x="51"/>
        <item x="52"/>
        <item x="53"/>
        <item x="54"/>
        <item m="1" x="82"/>
        <item x="55"/>
        <item x="56"/>
        <item x="1"/>
        <item x="57"/>
        <item m="1" x="79"/>
        <item m="1" x="72"/>
        <item m="1" x="73"/>
        <item m="1" x="74"/>
        <item m="1" x="78"/>
        <item x="66"/>
        <item m="1" x="83"/>
        <item x="20"/>
        <item x="65"/>
        <item x="21"/>
        <item x="0"/>
        <item x="62"/>
        <item m="1" x="71"/>
        <item x="58"/>
        <item m="1" x="75"/>
        <item m="1" x="76"/>
        <item x="30"/>
        <item x="40"/>
        <item x="43"/>
        <item x="50"/>
        <item x="63"/>
        <item t="default"/>
      </items>
    </pivotField>
    <pivotField showAll="0"/>
    <pivotField showAll="0"/>
    <pivotField dataField="1" showAll="0"/>
    <pivotField axis="axisRow" showAll="0" sortType="ascending">
      <items count="588">
        <item m="1" x="215"/>
        <item m="1" x="225"/>
        <item m="1" x="204"/>
        <item m="1" x="179"/>
        <item m="1" x="260"/>
        <item m="1" x="321"/>
        <item m="1" x="90"/>
        <item m="1" x="165"/>
        <item m="1" x="311"/>
        <item m="1" x="114"/>
        <item m="1" x="351"/>
        <item m="1" x="187"/>
        <item m="1" x="112"/>
        <item m="1" x="128"/>
        <item m="1" x="93"/>
        <item m="1" x="263"/>
        <item m="1" x="139"/>
        <item m="1" x="92"/>
        <item m="1" x="213"/>
        <item m="1" x="214"/>
        <item m="1" x="331"/>
        <item m="1" x="264"/>
        <item m="1" x="265"/>
        <item m="1" x="140"/>
        <item m="1" x="290"/>
        <item m="1" x="329"/>
        <item m="1" x="129"/>
        <item m="1" x="243"/>
        <item m="1" x="336"/>
        <item m="1" x="316"/>
        <item m="1" x="94"/>
        <item m="1" x="242"/>
        <item m="1" x="244"/>
        <item m="1" x="230"/>
        <item m="1" x="291"/>
        <item m="1" x="130"/>
        <item m="1" x="195"/>
        <item m="1" x="196"/>
        <item m="1" x="229"/>
        <item m="1" x="198"/>
        <item m="1" x="231"/>
        <item m="1" x="199"/>
        <item m="1" x="217"/>
        <item m="1" x="111"/>
        <item m="1" x="141"/>
        <item m="1" x="219"/>
        <item m="1" x="246"/>
        <item m="1" x="142"/>
        <item m="1" x="292"/>
        <item m="1" x="188"/>
        <item m="1" x="221"/>
        <item m="1" x="143"/>
        <item m="1" x="247"/>
        <item m="1" x="293"/>
        <item m="1" x="248"/>
        <item m="1" x="200"/>
        <item m="1" x="201"/>
        <item m="1" x="116"/>
        <item m="1" x="294"/>
        <item m="1" x="156"/>
        <item m="1" x="190"/>
        <item m="1" x="191"/>
        <item m="1" x="120"/>
        <item m="1" x="182"/>
        <item m="1" x="127"/>
        <item m="1" x="157"/>
        <item m="1" x="132"/>
        <item m="1" x="134"/>
        <item m="1" x="135"/>
        <item m="1" x="330"/>
        <item m="1" x="228"/>
        <item m="1" x="216"/>
        <item m="1" x="133"/>
        <item m="1" x="108"/>
        <item m="1" x="178"/>
        <item m="1" x="280"/>
        <item m="1" x="235"/>
        <item m="1" x="319"/>
        <item m="1" x="282"/>
        <item m="1" x="342"/>
        <item m="1" x="253"/>
        <item m="1" x="349"/>
        <item m="1" x="106"/>
        <item m="1" x="259"/>
        <item m="1" x="267"/>
        <item m="1" x="268"/>
        <item m="1" x="300"/>
        <item m="1" x="181"/>
        <item m="1" x="192"/>
        <item m="1" x="118"/>
        <item m="1" x="245"/>
        <item m="1" x="168"/>
        <item m="1" x="119"/>
        <item m="1" x="180"/>
        <item m="1" x="335"/>
        <item m="1" x="301"/>
        <item m="1" x="222"/>
        <item m="1" x="224"/>
        <item m="1" x="252"/>
        <item m="1" x="98"/>
        <item m="1" x="322"/>
        <item m="1" x="318"/>
        <item m="1" x="317"/>
        <item m="1" x="281"/>
        <item m="1" x="146"/>
        <item m="1" x="163"/>
        <item m="1" x="220"/>
        <item m="1" x="306"/>
        <item m="1" x="158"/>
        <item m="1" x="159"/>
        <item m="1" x="147"/>
        <item m="1" x="121"/>
        <item m="1" x="237"/>
        <item m="1" x="131"/>
        <item m="1" x="313"/>
        <item m="1" x="211"/>
        <item m="1" x="262"/>
        <item m="1" x="152"/>
        <item m="1" x="283"/>
        <item m="1" x="110"/>
        <item m="1" x="277"/>
        <item m="1" x="203"/>
        <item m="1" x="161"/>
        <item m="1" x="251"/>
        <item m="1" x="278"/>
        <item m="1" x="226"/>
        <item m="1" x="210"/>
        <item m="1" x="212"/>
        <item m="1" x="310"/>
        <item m="1" x="353"/>
        <item m="1" x="275"/>
        <item m="1" x="96"/>
        <item m="1" x="126"/>
        <item m="1" x="185"/>
        <item m="1" x="206"/>
        <item m="1" x="205"/>
        <item m="1" x="314"/>
        <item m="1" x="166"/>
        <item m="1" x="102"/>
        <item m="1" x="261"/>
        <item m="1" x="352"/>
        <item m="1" x="298"/>
        <item m="1" x="271"/>
        <item m="1" x="272"/>
        <item m="1" x="173"/>
        <item m="1" x="184"/>
        <item m="1" x="155"/>
        <item m="1" x="233"/>
        <item m="1" x="234"/>
        <item m="1" x="307"/>
        <item m="1" x="176"/>
        <item m="1" x="202"/>
        <item m="1" x="273"/>
        <item m="1" x="169"/>
        <item m="1" x="296"/>
        <item m="1" x="171"/>
        <item m="1" x="249"/>
        <item m="1" x="174"/>
        <item m="1" x="170"/>
        <item m="1" x="172"/>
        <item m="1" x="175"/>
        <item m="1" x="154"/>
        <item m="1" x="177"/>
        <item m="1" x="149"/>
        <item m="1" x="150"/>
        <item m="1" x="151"/>
        <item m="1" x="153"/>
        <item m="1" x="160"/>
        <item m="1" x="101"/>
        <item m="1" x="189"/>
        <item m="1" x="339"/>
        <item m="1" x="308"/>
        <item m="1" x="299"/>
        <item m="1" x="105"/>
        <item m="1" x="103"/>
        <item m="1" x="144"/>
        <item m="1" x="145"/>
        <item m="1" x="223"/>
        <item m="1" x="104"/>
        <item m="1" x="197"/>
        <item m="1" x="266"/>
        <item m="1" x="284"/>
        <item m="1" x="346"/>
        <item m="1" x="115"/>
        <item m="1" x="117"/>
        <item m="1" x="285"/>
        <item m="1" x="254"/>
        <item m="1" x="100"/>
        <item m="1" x="255"/>
        <item m="1" x="240"/>
        <item m="1" x="97"/>
        <item m="1" x="186"/>
        <item m="1" x="167"/>
        <item m="1" x="194"/>
        <item m="1" x="540"/>
        <item m="1" x="358"/>
        <item m="1" x="89"/>
        <item m="1" x="360"/>
        <item m="1" x="99"/>
        <item m="1" x="362"/>
        <item m="1" x="359"/>
        <item m="1" x="543"/>
        <item m="1" x="556"/>
        <item m="1" x="423"/>
        <item m="1" x="410"/>
        <item m="1" x="380"/>
        <item m="1" x="393"/>
        <item m="1" x="382"/>
        <item m="1" x="399"/>
        <item m="1" x="372"/>
        <item m="1" x="384"/>
        <item m="1" x="383"/>
        <item m="1" x="368"/>
        <item m="1" x="413"/>
        <item m="1" x="370"/>
        <item m="1" x="374"/>
        <item m="1" x="415"/>
        <item m="1" x="394"/>
        <item m="1" x="369"/>
        <item m="1" x="539"/>
        <item m="1" x="388"/>
        <item m="1" x="419"/>
        <item m="1" x="411"/>
        <item m="1" x="412"/>
        <item m="1" x="357"/>
        <item m="1" x="361"/>
        <item m="1" x="364"/>
        <item m="1" x="385"/>
        <item m="1" x="371"/>
        <item m="1" x="389"/>
        <item m="1" x="404"/>
        <item m="1" x="397"/>
        <item m="1" x="401"/>
        <item m="1" x="366"/>
        <item m="1" x="367"/>
        <item m="1" x="402"/>
        <item m="1" x="392"/>
        <item m="1" x="403"/>
        <item m="1" x="417"/>
        <item m="1" x="391"/>
        <item m="1" x="305"/>
        <item m="1" x="337"/>
        <item m="1" x="138"/>
        <item m="1" x="137"/>
        <item m="1" x="338"/>
        <item m="1" x="209"/>
        <item m="1" x="546"/>
        <item m="1" x="377"/>
        <item m="1" x="378"/>
        <item m="1" x="544"/>
        <item m="1" x="373"/>
        <item m="1" x="218"/>
        <item m="1" x="332"/>
        <item m="1" x="548"/>
        <item m="1" x="381"/>
        <item m="1" x="386"/>
        <item m="1" x="398"/>
        <item m="1" x="405"/>
        <item m="1" x="436"/>
        <item m="1" x="406"/>
        <item m="1" x="408"/>
        <item m="1" x="414"/>
        <item m="1" x="400"/>
        <item m="1" x="420"/>
        <item m="1" x="421"/>
        <item m="1" x="424"/>
        <item m="1" x="552"/>
        <item m="1" x="396"/>
        <item m="1" x="333"/>
        <item m="1" x="550"/>
        <item m="1" x="390"/>
        <item m="1" x="270"/>
        <item m="1" x="297"/>
        <item m="1" x="557"/>
        <item m="1" x="426"/>
        <item m="1" x="429"/>
        <item m="1" x="431"/>
        <item m="1" x="428"/>
        <item m="1" x="448"/>
        <item m="1" x="425"/>
        <item m="1" x="430"/>
        <item m="1" x="438"/>
        <item m="1" x="446"/>
        <item m="1" x="447"/>
        <item m="1" x="561"/>
        <item m="1" x="437"/>
        <item m="1" x="582"/>
        <item m="1" x="583"/>
        <item m="1" x="521"/>
        <item m="1" x="520"/>
        <item m="1" x="324"/>
        <item m="1" x="350"/>
        <item m="1" x="565"/>
        <item m="1" x="562"/>
        <item m="1" x="439"/>
        <item m="1" x="563"/>
        <item m="1" x="440"/>
        <item m="1" x="566"/>
        <item m="1" x="456"/>
        <item m="1" x="564"/>
        <item m="1" x="441"/>
        <item m="1" x="455"/>
        <item m="1" x="442"/>
        <item m="1" x="325"/>
        <item m="1" x="148"/>
        <item m="1" x="232"/>
        <item m="1" x="549"/>
        <item m="1" x="570"/>
        <item m="1" x="464"/>
        <item m="1" x="450"/>
        <item m="1" x="422"/>
        <item m="1" x="457"/>
        <item m="1" x="387"/>
        <item m="1" x="434"/>
        <item m="1" x="445"/>
        <item m="1" x="494"/>
        <item m="1" x="542"/>
        <item m="1" x="454"/>
        <item m="1" x="365"/>
        <item m="1" x="569"/>
        <item m="1" x="462"/>
        <item m="1" x="551"/>
        <item m="1" x="395"/>
        <item m="1" x="568"/>
        <item m="1" x="460"/>
        <item m="1" x="239"/>
        <item m="1" x="558"/>
        <item m="1" x="427"/>
        <item m="1" x="559"/>
        <item m="1" x="432"/>
        <item m="1" x="571"/>
        <item m="1" x="193"/>
        <item m="1" x="466"/>
        <item m="1" x="323"/>
        <item m="1" x="344"/>
        <item m="1" x="91"/>
        <item m="1" x="304"/>
        <item m="1" x="554"/>
        <item m="1" x="409"/>
        <item m="1" x="567"/>
        <item m="1" x="458"/>
        <item m="1" x="459"/>
        <item m="1" x="463"/>
        <item m="1" x="326"/>
        <item m="1" x="295"/>
        <item m="1" x="578"/>
        <item m="1" x="492"/>
        <item m="1" x="576"/>
        <item m="1" x="488"/>
        <item m="1" x="541"/>
        <item m="1" x="363"/>
        <item m="1" x="451"/>
        <item m="1" x="449"/>
        <item m="1" x="452"/>
        <item m="1" x="453"/>
        <item m="1" x="468"/>
        <item m="1" x="470"/>
        <item m="1" x="473"/>
        <item m="1" x="478"/>
        <item m="1" x="481"/>
        <item m="1" x="508"/>
        <item m="1" x="467"/>
        <item m="1" x="472"/>
        <item m="1" x="484"/>
        <item m="1" x="489"/>
        <item m="1" x="471"/>
        <item m="1" x="485"/>
        <item m="1" x="477"/>
        <item m="1" x="497"/>
        <item m="1" x="274"/>
        <item m="1" x="164"/>
        <item m="1" x="334"/>
        <item m="1" x="573"/>
        <item m="1" x="479"/>
        <item m="1" x="480"/>
        <item m="1" x="577"/>
        <item m="1" x="502"/>
        <item m="1" x="491"/>
        <item m="1" x="493"/>
        <item m="1" x="545"/>
        <item m="1" x="514"/>
        <item m="1" x="496"/>
        <item m="1" x="444"/>
        <item m="1" x="509"/>
        <item m="1" x="376"/>
        <item m="1" x="474"/>
        <item m="1" x="487"/>
        <item m="1" x="499"/>
        <item m="1" x="375"/>
        <item m="1" x="513"/>
        <item m="1" x="516"/>
        <item m="1" x="501"/>
        <item m="1" x="503"/>
        <item m="1" x="511"/>
        <item m="1" x="476"/>
        <item m="1" x="512"/>
        <item m="1" x="416"/>
        <item m="1" x="469"/>
        <item m="1" x="309"/>
        <item m="1" x="580"/>
        <item m="1" x="506"/>
        <item m="1" x="302"/>
        <item m="1" x="560"/>
        <item m="1" x="433"/>
        <item m="1" x="575"/>
        <item m="1" x="486"/>
        <item m="1" x="490"/>
        <item m="1" x="343"/>
        <item m="1" x="547"/>
        <item m="1" x="495"/>
        <item m="1" x="510"/>
        <item m="1" x="517"/>
        <item m="1" x="518"/>
        <item m="1" x="526"/>
        <item m="1" x="527"/>
        <item m="1" x="528"/>
        <item m="1" x="500"/>
        <item m="1" x="515"/>
        <item m="1" x="379"/>
        <item m="1" x="519"/>
        <item m="1" x="465"/>
        <item m="1" x="435"/>
        <item m="1" x="504"/>
        <item m="1" x="443"/>
        <item m="1" x="482"/>
        <item m="1" x="461"/>
        <item m="1" x="522"/>
        <item m="1" x="530"/>
        <item m="1" x="579"/>
        <item m="1" x="498"/>
        <item m="1" x="555"/>
        <item m="1" x="418"/>
        <item m="1" x="581"/>
        <item m="1" x="507"/>
        <item m="1" x="585"/>
        <item m="1" x="572"/>
        <item m="1" x="475"/>
        <item m="1" x="525"/>
        <item m="1" x="312"/>
        <item m="1" x="574"/>
        <item m="1" x="483"/>
        <item m="1" x="348"/>
        <item m="1" x="347"/>
        <item m="1" x="584"/>
        <item m="1" x="524"/>
        <item m="1" x="523"/>
        <item m="1" x="553"/>
        <item m="1" x="531"/>
        <item m="1" x="505"/>
        <item m="1" x="407"/>
        <item m="1" x="534"/>
        <item m="1" x="535"/>
        <item m="1" x="529"/>
        <item m="1" x="532"/>
        <item m="1" x="533"/>
        <item m="1" x="136"/>
        <item m="1" x="341"/>
        <item m="1" x="236"/>
        <item m="1" x="303"/>
        <item m="1" x="320"/>
        <item m="1" x="328"/>
        <item m="1" x="327"/>
        <item m="1" x="207"/>
        <item m="1" x="269"/>
        <item m="1" x="109"/>
        <item m="1" x="162"/>
        <item m="1" x="345"/>
        <item m="1" x="586"/>
        <item m="1" x="536"/>
        <item m="1" x="287"/>
        <item m="1" x="258"/>
        <item m="1" x="286"/>
        <item m="1" x="95"/>
        <item m="1" x="107"/>
        <item m="1" x="250"/>
        <item m="1" x="289"/>
        <item m="1" x="340"/>
        <item m="1" x="241"/>
        <item m="1" x="238"/>
        <item m="1" x="208"/>
        <item m="1" x="279"/>
        <item m="1" x="276"/>
        <item m="1" x="124"/>
        <item m="1" x="288"/>
        <item m="1" x="356"/>
        <item m="1" x="355"/>
        <item m="1" x="354"/>
        <item m="1" x="538"/>
        <item m="1" x="537"/>
        <item m="1" x="256"/>
        <item m="1" x="315"/>
        <item m="1" x="227"/>
        <item m="1" x="125"/>
        <item m="1" x="257"/>
        <item m="1" x="123"/>
        <item m="1" x="183"/>
        <item m="1" x="88"/>
        <item m="1" x="113"/>
        <item m="1" x="122"/>
        <item x="28"/>
        <item x="1"/>
        <item x="3"/>
        <item x="27"/>
        <item x="5"/>
        <item x="61"/>
        <item x="69"/>
        <item x="8"/>
        <item x="12"/>
        <item x="2"/>
        <item x="9"/>
        <item x="10"/>
        <item x="18"/>
        <item x="13"/>
        <item x="4"/>
        <item x="33"/>
        <item x="34"/>
        <item x="35"/>
        <item x="14"/>
        <item x="31"/>
        <item x="79"/>
        <item x="84"/>
        <item x="20"/>
        <item x="6"/>
        <item x="7"/>
        <item x="23"/>
        <item x="15"/>
        <item x="19"/>
        <item x="21"/>
        <item x="68"/>
        <item x="70"/>
        <item x="38"/>
        <item x="36"/>
        <item x="40"/>
        <item x="42"/>
        <item x="48"/>
        <item x="16"/>
        <item x="37"/>
        <item x="24"/>
        <item x="49"/>
        <item x="50"/>
        <item x="25"/>
        <item x="71"/>
        <item x="26"/>
        <item x="32"/>
        <item x="46"/>
        <item x="17"/>
        <item x="76"/>
        <item x="39"/>
        <item x="41"/>
        <item x="72"/>
        <item x="43"/>
        <item x="51"/>
        <item x="66"/>
        <item x="73"/>
        <item x="29"/>
        <item x="30"/>
        <item x="52"/>
        <item x="55"/>
        <item x="63"/>
        <item x="57"/>
        <item x="58"/>
        <item x="60"/>
        <item x="62"/>
        <item x="22"/>
        <item x="77"/>
        <item x="44"/>
        <item x="56"/>
        <item x="65"/>
        <item x="78"/>
        <item x="80"/>
        <item x="45"/>
        <item x="67"/>
        <item x="54"/>
        <item x="53"/>
        <item x="11"/>
        <item x="59"/>
        <item x="75"/>
        <item x="74"/>
        <item x="82"/>
        <item x="83"/>
        <item x="64"/>
        <item x="47"/>
        <item x="81"/>
        <item m="1" x="87"/>
        <item m="1" x="86"/>
        <item m="1" x="85"/>
        <item x="0"/>
        <item t="default"/>
      </items>
    </pivotField>
  </pivotFields>
  <rowFields count="3">
    <field x="3"/>
    <field x="4"/>
    <field x="8"/>
  </rowFields>
  <rowItems count="1">
    <i t="grand">
      <x/>
    </i>
  </rowItems>
  <colFields count="1">
    <field x="2"/>
  </colFields>
  <colItems count="1">
    <i t="grand">
      <x/>
    </i>
  </colItems>
  <pageFields count="2">
    <pageField fld="0" hier="-1"/>
    <pageField fld="1" hier="-1"/>
  </pageFields>
  <dataFields count="1">
    <dataField name="Összeg / Összeg-abs" fld="7" baseField="4" baseItem="45" numFmtId="167"/>
  </dataFields>
  <formats count="71">
    <format dxfId="140">
      <pivotArea type="all" dataOnly="0" outline="0" fieldPosition="0"/>
    </format>
    <format dxfId="139">
      <pivotArea dataOnly="0" labelOnly="1" grandRow="1" outline="0" fieldPosition="0"/>
    </format>
    <format dxfId="138">
      <pivotArea dataOnly="0" labelOnly="1" grandCol="1" outline="0" fieldPosition="0"/>
    </format>
    <format dxfId="137">
      <pivotArea field="0" type="button" dataOnly="0" labelOnly="1" outline="0" axis="axisPage" fieldPosition="0"/>
    </format>
    <format dxfId="136">
      <pivotArea field="0" type="button" dataOnly="0" labelOnly="1" outline="0" axis="axisPage" fieldPosition="0"/>
    </format>
    <format dxfId="135">
      <pivotArea field="0" type="button" dataOnly="0" labelOnly="1" outline="0" axis="axisPage" fieldPosition="0"/>
    </format>
    <format dxfId="134">
      <pivotArea dataOnly="0" labelOnly="1" grandCol="1" outline="0" fieldPosition="0"/>
    </format>
    <format dxfId="133">
      <pivotArea dataOnly="0" labelOnly="1" grandCol="1" outline="0" fieldPosition="0"/>
    </format>
    <format dxfId="132">
      <pivotArea dataOnly="0" labelOnly="1" grandCol="1" outline="0" fieldPosition="0"/>
    </format>
    <format dxfId="131">
      <pivotArea dataOnly="0" labelOnly="1" grandCol="1" outline="0" fieldPosition="0"/>
    </format>
    <format dxfId="130">
      <pivotArea grandRow="1" outline="0" collapsedLevelsAreSubtotals="1" fieldPosition="0"/>
    </format>
    <format dxfId="129">
      <pivotArea dataOnly="0" labelOnly="1" grandRow="1" outline="0" fieldPosition="0"/>
    </format>
    <format dxfId="128">
      <pivotArea grandRow="1" outline="0" collapsedLevelsAreSubtotals="1" fieldPosition="0"/>
    </format>
    <format dxfId="127">
      <pivotArea dataOnly="0" labelOnly="1" grandRow="1" outline="0" fieldPosition="0"/>
    </format>
    <format dxfId="126">
      <pivotArea grandRow="1" outline="0" collapsedLevelsAreSubtotals="1" fieldPosition="0"/>
    </format>
    <format dxfId="125">
      <pivotArea dataOnly="0" labelOnly="1" grandRow="1" outline="0" fieldPosition="0"/>
    </format>
    <format dxfId="124">
      <pivotArea field="1" type="button" dataOnly="0" labelOnly="1" outline="0" axis="axisPage" fieldPosition="1"/>
    </format>
    <format dxfId="123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122">
      <pivotArea field="3" type="button" dataOnly="0" labelOnly="1" outline="0" axis="axisRow" fieldPosition="0"/>
    </format>
    <format dxfId="121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120">
      <pivotArea dataOnly="0" labelOnly="1" grandCol="1" outline="0" fieldPosition="0"/>
    </format>
    <format dxfId="119">
      <pivotArea field="3" type="button" dataOnly="0" labelOnly="1" outline="0" axis="axisRow" fieldPosition="0"/>
    </format>
    <format dxfId="118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117">
      <pivotArea dataOnly="0" labelOnly="1" grandCol="1" outline="0" fieldPosition="0"/>
    </format>
    <format dxfId="116">
      <pivotArea field="3" type="button" dataOnly="0" labelOnly="1" outline="0" axis="axisRow" fieldPosition="0"/>
    </format>
    <format dxfId="115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114">
      <pivotArea dataOnly="0" labelOnly="1" grandCol="1" outline="0" fieldPosition="0"/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type="origin" dataOnly="0" labelOnly="1" outline="0" fieldPosition="0"/>
    </format>
    <format dxfId="110">
      <pivotArea field="2" type="button" dataOnly="0" labelOnly="1" outline="0" axis="axisCol" fieldPosition="0"/>
    </format>
    <format dxfId="109">
      <pivotArea type="topRight" dataOnly="0" labelOnly="1" outline="0" fieldPosition="0"/>
    </format>
    <format dxfId="108">
      <pivotArea field="3" type="button" dataOnly="0" labelOnly="1" outline="0" axis="axisRow" fieldPosition="0"/>
    </format>
    <format dxfId="107">
      <pivotArea dataOnly="0" labelOnly="1" fieldPosition="0">
        <references count="1">
          <reference field="3" count="6">
            <x v="7"/>
            <x v="8"/>
            <x v="9"/>
            <x v="11"/>
            <x v="12"/>
            <x v="13"/>
          </reference>
        </references>
      </pivotArea>
    </format>
    <format dxfId="106">
      <pivotArea dataOnly="0" labelOnly="1" grandRow="1" outline="0" fieldPosition="0"/>
    </format>
    <format dxfId="105">
      <pivotArea dataOnly="0" labelOnly="1" fieldPosition="0">
        <references count="2">
          <reference field="3" count="1" selected="0">
            <x v="7"/>
          </reference>
          <reference field="4" count="7">
            <x v="0"/>
            <x v="2"/>
            <x v="5"/>
            <x v="6"/>
            <x v="7"/>
            <x v="9"/>
            <x v="12"/>
          </reference>
        </references>
      </pivotArea>
    </format>
    <format dxfId="104">
      <pivotArea dataOnly="0" labelOnly="1" fieldPosition="0">
        <references count="2">
          <reference field="3" count="1" selected="0">
            <x v="8"/>
          </reference>
          <reference field="4" count="1">
            <x v="13"/>
          </reference>
        </references>
      </pivotArea>
    </format>
    <format dxfId="103">
      <pivotArea dataOnly="0" labelOnly="1" fieldPosition="0">
        <references count="2">
          <reference field="3" count="1" selected="0">
            <x v="9"/>
          </reference>
          <reference field="4" count="14">
            <x v="14"/>
            <x v="15"/>
            <x v="16"/>
            <x v="17"/>
            <x v="18"/>
            <x v="19"/>
            <x v="20"/>
            <x v="23"/>
            <x v="25"/>
            <x v="26"/>
            <x v="27"/>
            <x v="28"/>
            <x v="30"/>
            <x v="31"/>
          </reference>
        </references>
      </pivotArea>
    </format>
    <format dxfId="102">
      <pivotArea dataOnly="0" labelOnly="1" fieldPosition="0">
        <references count="2">
          <reference field="3" count="1" selected="0">
            <x v="11"/>
          </reference>
          <reference field="4" count="1">
            <x v="34"/>
          </reference>
        </references>
      </pivotArea>
    </format>
    <format dxfId="101">
      <pivotArea dataOnly="0" labelOnly="1" fieldPosition="0">
        <references count="2">
          <reference field="3" count="1" selected="0">
            <x v="12"/>
          </reference>
          <reference field="4" count="2">
            <x v="38"/>
            <x v="39"/>
          </reference>
        </references>
      </pivotArea>
    </format>
    <format dxfId="100">
      <pivotArea dataOnly="0" labelOnly="1" fieldPosition="0">
        <references count="2">
          <reference field="3" count="1" selected="0">
            <x v="13"/>
          </reference>
          <reference field="4" count="2">
            <x v="40"/>
            <x v="42"/>
          </reference>
        </references>
      </pivotArea>
    </format>
    <format dxfId="99">
      <pivotArea dataOnly="0" labelOnly="1" fieldPosition="0">
        <references count="3">
          <reference field="3" count="1" selected="0">
            <x v="7"/>
          </reference>
          <reference field="4" count="1" selected="0">
            <x v="0"/>
          </reference>
          <reference field="8" count="3">
            <x v="194"/>
            <x v="219"/>
            <x v="349"/>
          </reference>
        </references>
      </pivotArea>
    </format>
    <format dxfId="98">
      <pivotArea dataOnly="0" labelOnly="1" fieldPosition="0">
        <references count="3">
          <reference field="3" count="1" selected="0">
            <x v="7"/>
          </reference>
          <reference field="4" count="1" selected="0">
            <x v="2"/>
          </reference>
          <reference field="8" count="1">
            <x v="219"/>
          </reference>
        </references>
      </pivotArea>
    </format>
    <format dxfId="97">
      <pivotArea dataOnly="0" labelOnly="1" fieldPosition="0">
        <references count="3">
          <reference field="3" count="1" selected="0">
            <x v="7"/>
          </reference>
          <reference field="4" count="1" selected="0">
            <x v="5"/>
          </reference>
          <reference field="8" count="2">
            <x v="194"/>
            <x v="349"/>
          </reference>
        </references>
      </pivotArea>
    </format>
    <format dxfId="96">
      <pivotArea dataOnly="0" labelOnly="1" fieldPosition="0">
        <references count="3">
          <reference field="3" count="1" selected="0">
            <x v="7"/>
          </reference>
          <reference field="4" count="1" selected="0">
            <x v="6"/>
          </reference>
          <reference field="8" count="1">
            <x v="219"/>
          </reference>
        </references>
      </pivotArea>
    </format>
    <format dxfId="95">
      <pivotArea dataOnly="0" labelOnly="1" fieldPosition="0">
        <references count="3">
          <reference field="3" count="1" selected="0">
            <x v="7"/>
          </reference>
          <reference field="4" count="1" selected="0">
            <x v="7"/>
          </reference>
          <reference field="8" count="2">
            <x v="194"/>
            <x v="219"/>
          </reference>
        </references>
      </pivotArea>
    </format>
    <format dxfId="94">
      <pivotArea dataOnly="0" labelOnly="1" fieldPosition="0">
        <references count="3">
          <reference field="3" count="1" selected="0">
            <x v="7"/>
          </reference>
          <reference field="4" count="1" selected="0">
            <x v="9"/>
          </reference>
          <reference field="8" count="1">
            <x v="219"/>
          </reference>
        </references>
      </pivotArea>
    </format>
    <format dxfId="93">
      <pivotArea dataOnly="0" labelOnly="1" fieldPosition="0">
        <references count="3">
          <reference field="3" count="1" selected="0">
            <x v="7"/>
          </reference>
          <reference field="4" count="1" selected="0">
            <x v="12"/>
          </reference>
          <reference field="8" count="1">
            <x v="219"/>
          </reference>
        </references>
      </pivotArea>
    </format>
    <format dxfId="92">
      <pivotArea dataOnly="0" labelOnly="1" fieldPosition="0">
        <references count="3">
          <reference field="3" count="1" selected="0">
            <x v="8"/>
          </reference>
          <reference field="4" count="1" selected="0">
            <x v="13"/>
          </reference>
          <reference field="8" count="1">
            <x v="194"/>
          </reference>
        </references>
      </pivotArea>
    </format>
    <format dxfId="91">
      <pivotArea dataOnly="0" labelOnly="1" fieldPosition="0">
        <references count="3">
          <reference field="3" count="1" selected="0">
            <x v="9"/>
          </reference>
          <reference field="4" count="1" selected="0">
            <x v="14"/>
          </reference>
          <reference field="8" count="1">
            <x v="194"/>
          </reference>
        </references>
      </pivotArea>
    </format>
    <format dxfId="90">
      <pivotArea dataOnly="0" labelOnly="1" fieldPosition="0">
        <references count="3">
          <reference field="3" count="1" selected="0">
            <x v="9"/>
          </reference>
          <reference field="4" count="1" selected="0">
            <x v="15"/>
          </reference>
          <reference field="8" count="2">
            <x v="194"/>
            <x v="219"/>
          </reference>
        </references>
      </pivotArea>
    </format>
    <format dxfId="89">
      <pivotArea dataOnly="0" labelOnly="1" fieldPosition="0">
        <references count="3">
          <reference field="3" count="1" selected="0">
            <x v="9"/>
          </reference>
          <reference field="4" count="1" selected="0">
            <x v="16"/>
          </reference>
          <reference field="8" count="2">
            <x v="194"/>
            <x v="201"/>
          </reference>
        </references>
      </pivotArea>
    </format>
    <format dxfId="88">
      <pivotArea dataOnly="0" labelOnly="1" fieldPosition="0">
        <references count="3">
          <reference field="3" count="1" selected="0">
            <x v="9"/>
          </reference>
          <reference field="4" count="1" selected="0">
            <x v="17"/>
          </reference>
          <reference field="8" count="3">
            <x v="194"/>
            <x v="201"/>
            <x v="219"/>
          </reference>
        </references>
      </pivotArea>
    </format>
    <format dxfId="87">
      <pivotArea dataOnly="0" labelOnly="1" fieldPosition="0">
        <references count="3">
          <reference field="3" count="1" selected="0">
            <x v="9"/>
          </reference>
          <reference field="4" count="1" selected="0">
            <x v="18"/>
          </reference>
          <reference field="8" count="5">
            <x v="194"/>
            <x v="201"/>
            <x v="349"/>
            <x v="379"/>
            <x v="408"/>
          </reference>
        </references>
      </pivotArea>
    </format>
    <format dxfId="86">
      <pivotArea dataOnly="0" labelOnly="1" fieldPosition="0">
        <references count="3">
          <reference field="3" count="1" selected="0">
            <x v="9"/>
          </reference>
          <reference field="4" count="1" selected="0">
            <x v="19"/>
          </reference>
          <reference field="8" count="2">
            <x v="194"/>
            <x v="201"/>
          </reference>
        </references>
      </pivotArea>
    </format>
    <format dxfId="85">
      <pivotArea dataOnly="0" labelOnly="1" fieldPosition="0">
        <references count="3">
          <reference field="3" count="1" selected="0">
            <x v="9"/>
          </reference>
          <reference field="4" count="1" selected="0">
            <x v="20"/>
          </reference>
          <reference field="8" count="4">
            <x v="194"/>
            <x v="219"/>
            <x v="306"/>
            <x v="379"/>
          </reference>
        </references>
      </pivotArea>
    </format>
    <format dxfId="84">
      <pivotArea dataOnly="0" labelOnly="1" fieldPosition="0">
        <references count="3">
          <reference field="3" count="1" selected="0">
            <x v="9"/>
          </reference>
          <reference field="4" count="1" selected="0">
            <x v="23"/>
          </reference>
          <reference field="8" count="3">
            <x v="194"/>
            <x v="379"/>
            <x v="408"/>
          </reference>
        </references>
      </pivotArea>
    </format>
    <format dxfId="83">
      <pivotArea dataOnly="0" labelOnly="1" fieldPosition="0">
        <references count="3">
          <reference field="3" count="1" selected="0">
            <x v="9"/>
          </reference>
          <reference field="4" count="1" selected="0">
            <x v="25"/>
          </reference>
          <reference field="8" count="2">
            <x v="194"/>
            <x v="273"/>
          </reference>
        </references>
      </pivotArea>
    </format>
    <format dxfId="82">
      <pivotArea dataOnly="0" labelOnly="1" fieldPosition="0">
        <references count="3">
          <reference field="3" count="1" selected="0">
            <x v="9"/>
          </reference>
          <reference field="4" count="1" selected="0">
            <x v="26"/>
          </reference>
          <reference field="8" count="3">
            <x v="194"/>
            <x v="273"/>
            <x v="306"/>
          </reference>
        </references>
      </pivotArea>
    </format>
    <format dxfId="81">
      <pivotArea dataOnly="0" labelOnly="1" fieldPosition="0">
        <references count="3">
          <reference field="3" count="1" selected="0">
            <x v="9"/>
          </reference>
          <reference field="4" count="1" selected="0">
            <x v="27"/>
          </reference>
          <reference field="8" count="1">
            <x v="194"/>
          </reference>
        </references>
      </pivotArea>
    </format>
    <format dxfId="80">
      <pivotArea dataOnly="0" labelOnly="1" fieldPosition="0">
        <references count="3">
          <reference field="3" count="1" selected="0">
            <x v="9"/>
          </reference>
          <reference field="4" count="1" selected="0">
            <x v="28"/>
          </reference>
          <reference field="8" count="2">
            <x v="194"/>
            <x v="379"/>
          </reference>
        </references>
      </pivotArea>
    </format>
    <format dxfId="79">
      <pivotArea dataOnly="0" labelOnly="1" fieldPosition="0">
        <references count="3">
          <reference field="3" count="1" selected="0">
            <x v="9"/>
          </reference>
          <reference field="4" count="1" selected="0">
            <x v="30"/>
          </reference>
          <reference field="8" count="1">
            <x v="408"/>
          </reference>
        </references>
      </pivotArea>
    </format>
    <format dxfId="78">
      <pivotArea dataOnly="0" labelOnly="1" fieldPosition="0">
        <references count="3">
          <reference field="3" count="1" selected="0">
            <x v="9"/>
          </reference>
          <reference field="4" count="1" selected="0">
            <x v="31"/>
          </reference>
          <reference field="8" count="11">
            <x v="194"/>
            <x v="201"/>
            <x v="273"/>
            <x v="306"/>
            <x v="330"/>
            <x v="339"/>
            <x v="349"/>
            <x v="375"/>
            <x v="379"/>
            <x v="408"/>
            <x v="443"/>
          </reference>
        </references>
      </pivotArea>
    </format>
    <format dxfId="77">
      <pivotArea dataOnly="0" labelOnly="1" fieldPosition="0">
        <references count="3">
          <reference field="3" count="1" selected="0">
            <x v="11"/>
          </reference>
          <reference field="4" count="1" selected="0">
            <x v="34"/>
          </reference>
          <reference field="8" count="1">
            <x v="194"/>
          </reference>
        </references>
      </pivotArea>
    </format>
    <format dxfId="76">
      <pivotArea dataOnly="0" labelOnly="1" fieldPosition="0">
        <references count="3">
          <reference field="3" count="1" selected="0">
            <x v="12"/>
          </reference>
          <reference field="4" count="1" selected="0">
            <x v="38"/>
          </reference>
          <reference field="8" count="7">
            <x v="194"/>
            <x v="273"/>
            <x v="306"/>
            <x v="319"/>
            <x v="330"/>
            <x v="349"/>
            <x v="379"/>
          </reference>
        </references>
      </pivotArea>
    </format>
    <format dxfId="75">
      <pivotArea dataOnly="0" labelOnly="1" fieldPosition="0">
        <references count="3">
          <reference field="3" count="1" selected="0">
            <x v="12"/>
          </reference>
          <reference field="4" count="1" selected="0">
            <x v="39"/>
          </reference>
          <reference field="8" count="4">
            <x v="194"/>
            <x v="273"/>
            <x v="319"/>
            <x v="379"/>
          </reference>
        </references>
      </pivotArea>
    </format>
    <format dxfId="74">
      <pivotArea dataOnly="0" labelOnly="1" fieldPosition="0">
        <references count="3">
          <reference field="3" count="1" selected="0">
            <x v="13"/>
          </reference>
          <reference field="4" count="1" selected="0">
            <x v="40"/>
          </reference>
          <reference field="8" count="2">
            <x v="273"/>
            <x v="319"/>
          </reference>
        </references>
      </pivotArea>
    </format>
    <format dxfId="73">
      <pivotArea dataOnly="0" labelOnly="1" fieldPosition="0">
        <references count="3">
          <reference field="3" count="1" selected="0">
            <x v="13"/>
          </reference>
          <reference field="4" count="1" selected="0">
            <x v="42"/>
          </reference>
          <reference field="8" count="2">
            <x v="273"/>
            <x v="319"/>
          </reference>
        </references>
      </pivotArea>
    </format>
    <format dxfId="72">
      <pivotArea dataOnly="0" labelOnly="1" fieldPosition="0">
        <references count="1">
          <reference field="2" count="1">
            <x v="0"/>
          </reference>
        </references>
      </pivotArea>
    </format>
    <format dxfId="71">
      <pivotArea dataOnly="0" labelOnly="1" grandCol="1" outline="0" fieldPosition="0"/>
    </format>
    <format dxfId="7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 2" showRowHeaders="1" showColHeaders="0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9E8BBE-330D-454E-AD97-3C86D76FD08C}" name="Kimutatás1" cacheId="1" applyNumberFormats="0" applyBorderFormats="0" applyFontFormats="0" applyPatternFormats="0" applyAlignmentFormats="0" applyWidthHeightFormats="1" dataCaption="Értékek" missingCaption="0" updatedVersion="8" minRefreshableVersion="3" itemPrintTitles="1" createdVersion="8" indent="0" outline="1" outlineData="1" multipleFieldFilters="0" rowHeaderCaption="Előirányzati főkönyvi számlák részletezőnként és rovatonként">
  <location ref="B7:C9" firstHeaderRow="1" firstDataRow="2" firstDataCol="1" rowPageCount="2" colPageCount="1"/>
  <pivotFields count="9">
    <pivotField axis="axisRow" showAll="0" sortType="ascending">
      <items count="14">
        <item x="0"/>
        <item m="1" x="12"/>
        <item m="1" x="11"/>
        <item x="4"/>
        <item x="8"/>
        <item x="3"/>
        <item x="6"/>
        <item x="2"/>
        <item x="5"/>
        <item x="10"/>
        <item x="1"/>
        <item x="9"/>
        <item x="7"/>
        <item t="default"/>
      </items>
    </pivotField>
    <pivotField axis="axisPage" multipleItemSelectionAllowed="1" showAll="0">
      <items count="14">
        <item m="1" x="9"/>
        <item h="1" m="1" x="12"/>
        <item h="1" m="1" x="10"/>
        <item h="1" m="1" x="11"/>
        <item x="0"/>
        <item h="1" m="1" x="8"/>
        <item m="1" x="7"/>
        <item h="1" m="1" x="6"/>
        <item h="1" x="1"/>
        <item h="1" x="2"/>
        <item h="1" x="3"/>
        <item h="1" x="4"/>
        <item h="1" x="5"/>
        <item t="default"/>
      </items>
    </pivotField>
    <pivotField axis="axisPage" multipleItemSelectionAllowed="1" showAll="0">
      <items count="4">
        <item x="1"/>
        <item h="1" x="2"/>
        <item h="1" x="0"/>
        <item t="default"/>
      </items>
    </pivotField>
    <pivotField axis="axisCol" showAll="0">
      <items count="5">
        <item x="1"/>
        <item x="2"/>
        <item m="1" x="3"/>
        <item h="1" x="0"/>
        <item t="default"/>
      </items>
    </pivotField>
    <pivotField axis="axisRow" showAll="0">
      <items count="18">
        <item x="11"/>
        <item x="12"/>
        <item x="13"/>
        <item x="1"/>
        <item m="1" x="16"/>
        <item x="14"/>
        <item x="5"/>
        <item x="3"/>
        <item x="4"/>
        <item x="2"/>
        <item x="7"/>
        <item x="6"/>
        <item x="8"/>
        <item x="9"/>
        <item x="10"/>
        <item x="0"/>
        <item m="1" x="15"/>
        <item t="default"/>
      </items>
    </pivotField>
    <pivotField axis="axisRow" showAll="0">
      <items count="85">
        <item x="4"/>
        <item x="59"/>
        <item x="24"/>
        <item m="1" x="78"/>
        <item x="5"/>
        <item x="22"/>
        <item x="6"/>
        <item x="64"/>
        <item m="1" x="80"/>
        <item x="7"/>
        <item x="25"/>
        <item x="26"/>
        <item x="61"/>
        <item x="8"/>
        <item x="9"/>
        <item x="10"/>
        <item x="3"/>
        <item x="2"/>
        <item x="11"/>
        <item x="12"/>
        <item x="13"/>
        <item x="27"/>
        <item x="28"/>
        <item x="14"/>
        <item x="29"/>
        <item x="15"/>
        <item x="16"/>
        <item x="17"/>
        <item x="18"/>
        <item x="60"/>
        <item x="23"/>
        <item x="19"/>
        <item x="32"/>
        <item x="33"/>
        <item x="34"/>
        <item x="31"/>
        <item x="35"/>
        <item m="1" x="68"/>
        <item x="36"/>
        <item x="37"/>
        <item x="38"/>
        <item m="1" x="69"/>
        <item x="39"/>
        <item x="41"/>
        <item x="42"/>
        <item x="44"/>
        <item x="45"/>
        <item x="46"/>
        <item x="47"/>
        <item x="48"/>
        <item m="1" x="76"/>
        <item m="1" x="81"/>
        <item x="49"/>
        <item x="67"/>
        <item x="51"/>
        <item x="52"/>
        <item x="53"/>
        <item x="54"/>
        <item m="1" x="82"/>
        <item x="55"/>
        <item x="56"/>
        <item x="1"/>
        <item x="57"/>
        <item m="1" x="77"/>
        <item m="1" x="71"/>
        <item m="1" x="72"/>
        <item m="1" x="73"/>
        <item m="1" x="79"/>
        <item x="66"/>
        <item m="1" x="83"/>
        <item x="20"/>
        <item x="65"/>
        <item x="21"/>
        <item x="0"/>
        <item x="62"/>
        <item m="1" x="70"/>
        <item x="58"/>
        <item m="1" x="74"/>
        <item m="1" x="75"/>
        <item x="30"/>
        <item x="40"/>
        <item x="43"/>
        <item x="50"/>
        <item x="63"/>
        <item t="default"/>
      </items>
    </pivotField>
    <pivotField showAll="0"/>
    <pivotField showAll="0"/>
    <pivotField dataField="1" showAll="0"/>
  </pivotFields>
  <rowFields count="3">
    <field x="0"/>
    <field x="4"/>
    <field x="5"/>
  </rowFields>
  <rowItems count="1">
    <i t="grand">
      <x/>
    </i>
  </rowItems>
  <colFields count="1">
    <field x="3"/>
  </colFields>
  <colItems count="1">
    <i t="grand">
      <x/>
    </i>
  </colItems>
  <pageFields count="2">
    <pageField fld="1" hier="-1"/>
    <pageField fld="2" hier="-1"/>
  </pageFields>
  <dataFields count="1">
    <dataField name="Összeg / Összeg-abs" fld="8" baseField="5" baseItem="47" numFmtId="167"/>
  </dataFields>
  <formats count="18">
    <format dxfId="69">
      <pivotArea dataOnly="0" labelOnly="1" fieldPosition="0">
        <references count="1">
          <reference field="3" count="3">
            <x v="0"/>
            <x v="1"/>
            <x v="2"/>
          </reference>
        </references>
      </pivotArea>
    </format>
    <format dxfId="68">
      <pivotArea dataOnly="0" labelOnly="1" grandCol="1" outline="0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field="3" type="button" dataOnly="0" labelOnly="1" outline="0" axis="axisCol" fieldPosition="0"/>
    </format>
    <format dxfId="63">
      <pivotArea type="topRight" dataOnly="0" labelOnly="1" outline="0" fieldPosition="0"/>
    </format>
    <format dxfId="62">
      <pivotArea field="0" type="button" dataOnly="0" labelOnly="1" outline="0" axis="axisRow" fieldPosition="0"/>
    </format>
    <format dxfId="61">
      <pivotArea dataOnly="0" labelOnly="1" grandRow="1" outline="0" fieldPosition="0"/>
    </format>
    <format dxfId="60">
      <pivotArea dataOnly="0" labelOnly="1" fieldPosition="0">
        <references count="1">
          <reference field="3" count="0"/>
        </references>
      </pivotArea>
    </format>
    <format dxfId="59">
      <pivotArea dataOnly="0" labelOnly="1" grandCol="1" outline="0" fieldPosition="0"/>
    </format>
    <format dxfId="58">
      <pivotArea field="0" type="button" dataOnly="0" labelOnly="1" outline="0" axis="axisRow" fieldPosition="0"/>
    </format>
    <format dxfId="57">
      <pivotArea dataOnly="0" labelOnly="1" fieldPosition="0">
        <references count="1">
          <reference field="3" count="0"/>
        </references>
      </pivotArea>
    </format>
    <format dxfId="56">
      <pivotArea dataOnly="0" labelOnly="1" grandCol="1" outline="0" fieldPosition="0"/>
    </format>
    <format dxfId="55">
      <pivotArea field="0" type="button" dataOnly="0" labelOnly="1" outline="0" axis="axisRow" fieldPosition="0"/>
    </format>
    <format dxfId="54">
      <pivotArea dataOnly="0" labelOnly="1" fieldPosition="0">
        <references count="1">
          <reference field="3" count="0"/>
        </references>
      </pivotArea>
    </format>
    <format dxfId="53">
      <pivotArea dataOnly="0" labelOnly="1" grandCol="1" outline="0" fieldPosition="0"/>
    </format>
    <format dxfId="5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 2" showRowHeaders="1" showColHeaders="0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542A5C-F850-48A3-9303-A1A9E4FA62CB}" name="Kimutatás2" cacheId="2" applyNumberFormats="0" applyBorderFormats="0" applyFontFormats="0" applyPatternFormats="0" applyAlignmentFormats="0" applyWidthHeightFormats="1" dataCaption="Értékek" missingCaption="0" updatedVersion="8" minRefreshableVersion="3" showDrill="0" itemPrintTitles="1" createdVersion="8" indent="0" outline="1" outlineData="1" multipleFieldFilters="0" rowHeaderCaption="Módosított előirányzati főkönyvi számlák kormányzati funkcióként">
  <location ref="B7:C9" firstHeaderRow="1" firstDataRow="2" firstDataCol="1" rowPageCount="2" colPageCount="1"/>
  <pivotFields count="8">
    <pivotField axis="axisPage" multipleItemSelectionAllowed="1" showAll="0">
      <items count="13">
        <item m="1" x="9"/>
        <item h="1" m="1" x="11"/>
        <item h="1" m="1" x="8"/>
        <item h="1" m="1" x="10"/>
        <item x="0"/>
        <item h="1" m="1" x="6"/>
        <item m="1" x="7"/>
        <item h="1" x="1"/>
        <item h="1" x="2"/>
        <item h="1" x="3"/>
        <item h="1" x="4"/>
        <item h="1" x="5"/>
        <item t="default"/>
      </items>
    </pivotField>
    <pivotField axis="axisPage" multipleItemSelectionAllowed="1" showAll="0">
      <items count="4">
        <item h="1" x="1"/>
        <item x="2"/>
        <item h="1" x="0"/>
        <item t="default"/>
      </items>
    </pivotField>
    <pivotField axis="axisCol" showAll="0">
      <items count="5">
        <item x="1"/>
        <item x="2"/>
        <item m="1" x="3"/>
        <item h="1" x="0"/>
        <item t="default"/>
      </items>
    </pivotField>
    <pivotField axis="axisRow" showAll="0">
      <items count="18">
        <item x="11"/>
        <item x="12"/>
        <item x="13"/>
        <item x="1"/>
        <item m="1" x="16"/>
        <item x="14"/>
        <item x="5"/>
        <item x="3"/>
        <item x="4"/>
        <item x="2"/>
        <item x="7"/>
        <item x="6"/>
        <item x="8"/>
        <item x="9"/>
        <item x="10"/>
        <item x="0"/>
        <item m="1" x="15"/>
        <item t="default"/>
      </items>
    </pivotField>
    <pivotField axis="axisRow" showAll="0">
      <items count="85">
        <item x="4"/>
        <item x="59"/>
        <item x="24"/>
        <item m="1" x="78"/>
        <item x="5"/>
        <item x="22"/>
        <item x="6"/>
        <item x="64"/>
        <item m="1" x="80"/>
        <item x="7"/>
        <item x="25"/>
        <item x="26"/>
        <item x="61"/>
        <item x="8"/>
        <item x="9"/>
        <item x="10"/>
        <item x="3"/>
        <item x="2"/>
        <item x="11"/>
        <item x="12"/>
        <item x="13"/>
        <item x="27"/>
        <item x="28"/>
        <item x="14"/>
        <item x="29"/>
        <item x="15"/>
        <item x="16"/>
        <item x="17"/>
        <item x="18"/>
        <item x="60"/>
        <item x="23"/>
        <item x="19"/>
        <item x="32"/>
        <item x="33"/>
        <item x="34"/>
        <item x="31"/>
        <item x="35"/>
        <item m="1" x="68"/>
        <item x="36"/>
        <item x="37"/>
        <item x="38"/>
        <item m="1" x="69"/>
        <item x="39"/>
        <item x="41"/>
        <item x="42"/>
        <item x="44"/>
        <item x="45"/>
        <item x="46"/>
        <item x="47"/>
        <item x="48"/>
        <item m="1" x="76"/>
        <item m="1" x="81"/>
        <item x="49"/>
        <item x="67"/>
        <item x="51"/>
        <item x="52"/>
        <item x="53"/>
        <item x="54"/>
        <item m="1" x="82"/>
        <item x="55"/>
        <item x="56"/>
        <item x="1"/>
        <item x="57"/>
        <item m="1" x="77"/>
        <item m="1" x="71"/>
        <item m="1" x="72"/>
        <item m="1" x="73"/>
        <item m="1" x="79"/>
        <item x="66"/>
        <item m="1" x="83"/>
        <item x="20"/>
        <item x="65"/>
        <item x="21"/>
        <item x="0"/>
        <item x="62"/>
        <item m="1" x="70"/>
        <item x="58"/>
        <item m="1" x="74"/>
        <item m="1" x="75"/>
        <item x="30"/>
        <item x="40"/>
        <item x="43"/>
        <item x="50"/>
        <item x="63"/>
        <item t="default"/>
      </items>
    </pivotField>
    <pivotField axis="axisRow" showAll="0" sortType="ascending">
      <items count="6">
        <item x="0"/>
        <item m="1" x="2"/>
        <item m="1" x="1"/>
        <item m="1" x="3"/>
        <item m="1" x="4"/>
        <item t="default"/>
      </items>
    </pivotField>
    <pivotField showAll="0"/>
    <pivotField dataField="1" showAll="0"/>
  </pivotFields>
  <rowFields count="3">
    <field x="5"/>
    <field x="3"/>
    <field x="4"/>
  </rowFields>
  <rowItems count="1">
    <i t="grand">
      <x/>
    </i>
  </rowItems>
  <colFields count="1">
    <field x="2"/>
  </colFields>
  <colItems count="1">
    <i t="grand">
      <x/>
    </i>
  </colItems>
  <pageFields count="2">
    <pageField fld="0" hier="-1"/>
    <pageField fld="1" hier="-1"/>
  </pageFields>
  <dataFields count="1">
    <dataField name="Összeg / Összeg-abs" fld="7" baseField="5" baseItem="0" numFmtId="167"/>
  </dataFields>
  <formats count="29">
    <format dxfId="51">
      <pivotArea field="5" type="button" dataOnly="0" labelOnly="1" outline="0" axis="axisRow" fieldPosition="0"/>
    </format>
    <format dxfId="50">
      <pivotArea dataOnly="0" labelOnly="1" fieldPosition="0">
        <references count="1">
          <reference field="2" count="0"/>
        </references>
      </pivotArea>
    </format>
    <format dxfId="49">
      <pivotArea dataOnly="0" labelOnly="1" grandCol="1" outline="0" fieldPosition="0"/>
    </format>
    <format dxfId="48">
      <pivotArea field="5" type="button" dataOnly="0" labelOnly="1" outline="0" axis="axisRow" fieldPosition="0"/>
    </format>
    <format dxfId="47">
      <pivotArea dataOnly="0" labelOnly="1" fieldPosition="0">
        <references count="1">
          <reference field="2" count="0"/>
        </references>
      </pivotArea>
    </format>
    <format dxfId="46">
      <pivotArea dataOnly="0" labelOnly="1" grandCol="1" outline="0" fieldPosition="0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field="0" type="button" dataOnly="0" labelOnly="1" outline="0" axis="axisPage" fieldPosition="0"/>
    </format>
    <format dxfId="42">
      <pivotArea field="1" type="button" dataOnly="0" labelOnly="1" outline="0" axis="axisPage" fieldPosition="1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type="origin" dataOnly="0" labelOnly="1" outline="0" fieldPosition="0"/>
    </format>
    <format dxfId="38">
      <pivotArea field="2" type="button" dataOnly="0" labelOnly="1" outline="0" axis="axisCol" fieldPosition="0"/>
    </format>
    <format dxfId="37">
      <pivotArea type="topRight" dataOnly="0" labelOnly="1" outline="0" fieldPosition="0"/>
    </format>
    <format dxfId="36">
      <pivotArea field="5" type="button" dataOnly="0" labelOnly="1" outline="0" axis="axisRow" fieldPosition="0"/>
    </format>
    <format dxfId="35">
      <pivotArea dataOnly="0" labelOnly="1" fieldPosition="0">
        <references count="1">
          <reference field="5" count="1">
            <x v="0"/>
          </reference>
        </references>
      </pivotArea>
    </format>
    <format dxfId="34">
      <pivotArea dataOnly="0" labelOnly="1" grandRow="1" outline="0" fieldPosition="0"/>
    </format>
    <format dxfId="33">
      <pivotArea dataOnly="0" labelOnly="1" fieldPosition="0">
        <references count="2">
          <reference field="3" count="7">
            <x v="0"/>
            <x v="1"/>
            <x v="2"/>
            <x v="3"/>
            <x v="4"/>
            <x v="5"/>
            <x v="6"/>
          </reference>
          <reference field="5" count="1" selected="0">
            <x v="0"/>
          </reference>
        </references>
      </pivotArea>
    </format>
    <format dxfId="32">
      <pivotArea dataOnly="0" labelOnly="1" fieldPosition="0">
        <references count="3">
          <reference field="3" count="1" selected="0">
            <x v="0"/>
          </reference>
          <reference field="4" count="8">
            <x v="45"/>
            <x v="46"/>
            <x v="47"/>
            <x v="48"/>
            <x v="49"/>
            <x v="50"/>
            <x v="51"/>
            <x v="52"/>
          </reference>
          <reference field="5" count="1" selected="0">
            <x v="0"/>
          </reference>
        </references>
      </pivotArea>
    </format>
    <format dxfId="31">
      <pivotArea dataOnly="0" labelOnly="1" fieldPosition="0">
        <references count="3">
          <reference field="3" count="1" selected="0">
            <x v="1"/>
          </reference>
          <reference field="4" count="1">
            <x v="53"/>
          </reference>
          <reference field="5" count="1" selected="0">
            <x v="0"/>
          </reference>
        </references>
      </pivotArea>
    </format>
    <format dxfId="30">
      <pivotArea dataOnly="0" labelOnly="1" fieldPosition="0">
        <references count="3">
          <reference field="3" count="1" selected="0">
            <x v="2"/>
          </reference>
          <reference field="4" count="4">
            <x v="54"/>
            <x v="55"/>
            <x v="56"/>
            <x v="57"/>
          </reference>
          <reference field="5" count="1" selected="0">
            <x v="0"/>
          </reference>
        </references>
      </pivotArea>
    </format>
    <format dxfId="29">
      <pivotArea dataOnly="0" labelOnly="1" fieldPosition="0">
        <references count="3">
          <reference field="3" count="1" selected="0">
            <x v="3"/>
          </reference>
          <reference field="4" count="9">
            <x v="58"/>
            <x v="59"/>
            <x v="60"/>
            <x v="61"/>
            <x v="62"/>
            <x v="63"/>
            <x v="64"/>
            <x v="65"/>
            <x v="66"/>
          </reference>
          <reference field="5" count="1" selected="0">
            <x v="0"/>
          </reference>
        </references>
      </pivotArea>
    </format>
    <format dxfId="28">
      <pivotArea dataOnly="0" labelOnly="1" fieldPosition="0">
        <references count="3">
          <reference field="3" count="1" selected="0">
            <x v="4"/>
          </reference>
          <reference field="4" count="1">
            <x v="67"/>
          </reference>
          <reference field="5" count="1" selected="0">
            <x v="0"/>
          </reference>
        </references>
      </pivotArea>
    </format>
    <format dxfId="27">
      <pivotArea dataOnly="0" labelOnly="1" fieldPosition="0">
        <references count="3">
          <reference field="3" count="1" selected="0">
            <x v="5"/>
          </reference>
          <reference field="4" count="1">
            <x v="68"/>
          </reference>
          <reference field="5" count="1" selected="0">
            <x v="0"/>
          </reference>
        </references>
      </pivotArea>
    </format>
    <format dxfId="26">
      <pivotArea dataOnly="0" labelOnly="1" fieldPosition="0">
        <references count="3">
          <reference field="3" count="1" selected="0">
            <x v="6"/>
          </reference>
          <reference field="4" count="3">
            <x v="69"/>
            <x v="70"/>
            <x v="71"/>
          </reference>
          <reference field="5" count="1" selected="0">
            <x v="0"/>
          </reference>
        </references>
      </pivotArea>
    </format>
    <format dxfId="25">
      <pivotArea dataOnly="0" labelOnly="1" fieldPosition="0">
        <references count="1">
          <reference field="2" count="0"/>
        </references>
      </pivotArea>
    </format>
    <format dxfId="24">
      <pivotArea dataOnly="0" labelOnly="1" grandCol="1" outline="0" fieldPosition="0"/>
    </format>
    <format dxfId="2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 2" showRowHeaders="1" showColHeaders="0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B1:K51"/>
  <sheetViews>
    <sheetView showGridLines="0" view="pageBreakPreview" zoomScaleNormal="100" zoomScaleSheetLayoutView="100" workbookViewId="0">
      <pane ySplit="6" topLeftCell="A19" activePane="bottomLeft" state="frozen"/>
      <selection activeCell="K57" sqref="K57"/>
      <selection pane="bottomLeft" activeCell="D22" sqref="D22"/>
    </sheetView>
  </sheetViews>
  <sheetFormatPr defaultColWidth="9" defaultRowHeight="21" x14ac:dyDescent="0.35"/>
  <cols>
    <col min="1" max="1" width="1" style="226" customWidth="1"/>
    <col min="2" max="2" width="6.625" style="227" customWidth="1"/>
    <col min="3" max="3" width="13.25" style="228" bestFit="1" customWidth="1"/>
    <col min="4" max="4" width="46.25" style="226" customWidth="1"/>
    <col min="5" max="7" width="15" style="229" customWidth="1"/>
    <col min="8" max="8" width="15" style="228" customWidth="1"/>
    <col min="9" max="9" width="9.5" style="226" bestFit="1" customWidth="1"/>
    <col min="10" max="10" width="1" style="226" customWidth="1"/>
    <col min="11" max="11" width="13.25" style="226" hidden="1" customWidth="1"/>
    <col min="12" max="12" width="11.125" style="226" bestFit="1" customWidth="1"/>
    <col min="13" max="16384" width="9" style="226"/>
  </cols>
  <sheetData>
    <row r="1" spans="2:11" ht="5.0999999999999996" customHeight="1" x14ac:dyDescent="0.35"/>
    <row r="2" spans="2:11" ht="50.1" customHeight="1" x14ac:dyDescent="0.35">
      <c r="B2" s="452"/>
      <c r="C2" s="453"/>
      <c r="D2" s="453"/>
      <c r="E2" s="453"/>
      <c r="F2" s="453"/>
      <c r="G2" s="453"/>
      <c r="H2" s="453"/>
      <c r="I2" s="453"/>
    </row>
    <row r="3" spans="2:11" ht="36" customHeight="1" x14ac:dyDescent="0.55000000000000004">
      <c r="B3" s="454" t="str">
        <f>CONCATENATE(PAR!H3," ","ÉVI KÖLTSÉGVETÉS MÓDOSÍTÁSA")</f>
        <v>2025. ÉVI KÖLTSÉGVETÉS MÓDOSÍTÁSA</v>
      </c>
      <c r="C3" s="455"/>
      <c r="D3" s="455"/>
      <c r="E3" s="455"/>
      <c r="F3" s="455"/>
      <c r="G3" s="455"/>
      <c r="H3" s="455"/>
      <c r="I3" s="455"/>
    </row>
    <row r="4" spans="2:11" s="283" customFormat="1" ht="24" customHeight="1" x14ac:dyDescent="0.25">
      <c r="B4" s="456" t="str">
        <f>PAR!$E$3</f>
        <v>Nagymaros Város Önkormányzata</v>
      </c>
      <c r="C4" s="456"/>
      <c r="D4" s="456"/>
      <c r="E4" s="456"/>
      <c r="F4" s="456"/>
      <c r="G4" s="456"/>
      <c r="H4" s="456"/>
      <c r="I4" s="456"/>
    </row>
    <row r="5" spans="2:11" ht="6" customHeight="1" x14ac:dyDescent="0.3">
      <c r="B5" s="284"/>
      <c r="C5" s="284"/>
      <c r="D5" s="284"/>
      <c r="E5" s="284"/>
      <c r="F5" s="284"/>
      <c r="G5" s="284"/>
      <c r="H5" s="284"/>
      <c r="I5" s="284"/>
    </row>
    <row r="6" spans="2:11" ht="5.0999999999999996" customHeight="1" x14ac:dyDescent="0.35"/>
    <row r="7" spans="2:11" s="231" customFormat="1" ht="15" customHeight="1" x14ac:dyDescent="0.25">
      <c r="B7" s="457" t="s">
        <v>2566</v>
      </c>
      <c r="C7" s="458"/>
      <c r="D7" s="458"/>
      <c r="E7" s="244" t="s">
        <v>2567</v>
      </c>
      <c r="F7" s="244" t="s">
        <v>2585</v>
      </c>
      <c r="G7" s="244" t="s">
        <v>2568</v>
      </c>
      <c r="H7" s="244"/>
      <c r="I7" s="245" t="s">
        <v>672</v>
      </c>
    </row>
    <row r="8" spans="2:11" s="231" customFormat="1" ht="15" customHeight="1" x14ac:dyDescent="0.25">
      <c r="B8" s="239" t="s">
        <v>1</v>
      </c>
      <c r="C8" s="240" t="s">
        <v>2564</v>
      </c>
      <c r="D8" s="241" t="s">
        <v>2565</v>
      </c>
      <c r="E8" s="352">
        <f>COUNTA('906MP'!$A:$A)-1</f>
        <v>333</v>
      </c>
      <c r="F8" s="352">
        <f>COUNTA(Tervezés!$G$5:$G$304)</f>
        <v>0</v>
      </c>
      <c r="G8" s="352">
        <f>COUNTA(PAR!$E$3:$E$53)</f>
        <v>5</v>
      </c>
      <c r="H8" s="242"/>
      <c r="I8" s="243">
        <f>IF(E8&gt;0,1,0)</f>
        <v>1</v>
      </c>
      <c r="K8" s="232"/>
    </row>
    <row r="9" spans="2:11" s="231" customFormat="1" ht="15" customHeight="1" x14ac:dyDescent="0.25">
      <c r="B9" s="457" t="s">
        <v>705</v>
      </c>
      <c r="C9" s="458"/>
      <c r="D9" s="458"/>
      <c r="E9" s="246"/>
      <c r="F9" s="246"/>
      <c r="G9" s="246"/>
      <c r="H9" s="246"/>
      <c r="I9" s="247"/>
    </row>
    <row r="10" spans="2:11" s="231" customFormat="1" ht="15" customHeight="1" x14ac:dyDescent="0.25">
      <c r="B10" s="385" t="s">
        <v>1</v>
      </c>
      <c r="C10" s="386" t="s">
        <v>2569</v>
      </c>
      <c r="D10" s="387" t="s">
        <v>2579</v>
      </c>
      <c r="E10" s="388"/>
      <c r="F10" s="388"/>
      <c r="G10" s="388"/>
      <c r="H10" s="388"/>
      <c r="I10" s="389"/>
      <c r="K10" s="233"/>
    </row>
    <row r="11" spans="2:11" s="231" customFormat="1" ht="15" customHeight="1" x14ac:dyDescent="0.25">
      <c r="B11" s="408" t="s">
        <v>1</v>
      </c>
      <c r="C11" s="409" t="s">
        <v>2570</v>
      </c>
      <c r="D11" s="410" t="s">
        <v>2580</v>
      </c>
      <c r="E11" s="411"/>
      <c r="F11" s="411"/>
      <c r="G11" s="411"/>
      <c r="H11" s="411"/>
      <c r="I11" s="412"/>
      <c r="K11" s="233"/>
    </row>
    <row r="12" spans="2:11" s="231" customFormat="1" ht="15" customHeight="1" x14ac:dyDescent="0.25">
      <c r="B12" s="390" t="s">
        <v>1</v>
      </c>
      <c r="C12" s="391" t="s">
        <v>51</v>
      </c>
      <c r="D12" s="392" t="s">
        <v>2581</v>
      </c>
      <c r="E12" s="236"/>
      <c r="F12" s="236"/>
      <c r="G12" s="236"/>
      <c r="H12" s="236"/>
      <c r="I12" s="393"/>
      <c r="K12" s="233"/>
    </row>
    <row r="13" spans="2:11" s="231" customFormat="1" ht="15" customHeight="1" x14ac:dyDescent="0.25">
      <c r="B13" s="408" t="s">
        <v>1</v>
      </c>
      <c r="C13" s="409" t="s">
        <v>706</v>
      </c>
      <c r="D13" s="410" t="s">
        <v>1201</v>
      </c>
      <c r="E13" s="411"/>
      <c r="F13" s="411"/>
      <c r="G13" s="411"/>
      <c r="H13" s="411"/>
      <c r="I13" s="412"/>
      <c r="K13" s="233"/>
    </row>
    <row r="14" spans="2:11" s="231" customFormat="1" ht="15" customHeight="1" x14ac:dyDescent="0.25">
      <c r="B14" s="390" t="s">
        <v>1</v>
      </c>
      <c r="C14" s="391" t="s">
        <v>2572</v>
      </c>
      <c r="D14" s="392" t="s">
        <v>2573</v>
      </c>
      <c r="E14" s="236"/>
      <c r="F14" s="236"/>
      <c r="G14" s="236"/>
      <c r="H14" s="236"/>
      <c r="I14" s="393"/>
      <c r="K14" s="233"/>
    </row>
    <row r="15" spans="2:11" s="231" customFormat="1" ht="15" customHeight="1" x14ac:dyDescent="0.25">
      <c r="B15" s="408" t="s">
        <v>1</v>
      </c>
      <c r="C15" s="409" t="s">
        <v>46</v>
      </c>
      <c r="D15" s="410" t="s">
        <v>707</v>
      </c>
      <c r="E15" s="411"/>
      <c r="F15" s="411"/>
      <c r="G15" s="411"/>
      <c r="H15" s="411"/>
      <c r="I15" s="412"/>
      <c r="K15" s="233"/>
    </row>
    <row r="16" spans="2:11" s="231" customFormat="1" ht="15" x14ac:dyDescent="0.25">
      <c r="B16" s="390"/>
      <c r="C16" s="394" t="s">
        <v>2666</v>
      </c>
      <c r="D16" s="392" t="s">
        <v>2665</v>
      </c>
      <c r="E16" s="395" t="s">
        <v>1317</v>
      </c>
      <c r="F16" s="236"/>
      <c r="G16" s="236"/>
      <c r="H16" s="236"/>
      <c r="I16" s="393"/>
      <c r="K16" s="233"/>
    </row>
    <row r="17" spans="2:11" s="231" customFormat="1" ht="15" x14ac:dyDescent="0.25">
      <c r="B17" s="408"/>
      <c r="C17" s="413" t="s">
        <v>2667</v>
      </c>
      <c r="D17" s="410" t="s">
        <v>2668</v>
      </c>
      <c r="E17" s="414" t="s">
        <v>3189</v>
      </c>
      <c r="F17" s="411"/>
      <c r="G17" s="411"/>
      <c r="H17" s="411"/>
      <c r="I17" s="412"/>
      <c r="K17" s="233"/>
    </row>
    <row r="18" spans="2:11" s="231" customFormat="1" ht="15" x14ac:dyDescent="0.25">
      <c r="B18" s="396"/>
      <c r="C18" s="397" t="s">
        <v>2669</v>
      </c>
      <c r="D18" s="427" t="s">
        <v>2670</v>
      </c>
      <c r="E18" s="398"/>
      <c r="F18" s="399"/>
      <c r="G18" s="399"/>
      <c r="H18" s="399"/>
      <c r="I18" s="400"/>
      <c r="K18" s="233"/>
    </row>
    <row r="19" spans="2:11" s="231" customFormat="1" ht="15" x14ac:dyDescent="0.25">
      <c r="B19" s="457" t="s">
        <v>0</v>
      </c>
      <c r="C19" s="458"/>
      <c r="D19" s="458"/>
      <c r="E19" s="248" t="s">
        <v>701</v>
      </c>
      <c r="F19" s="248" t="s">
        <v>702</v>
      </c>
      <c r="G19" s="248" t="s">
        <v>703</v>
      </c>
      <c r="H19" s="248" t="s">
        <v>704</v>
      </c>
      <c r="I19" s="249" t="s">
        <v>335</v>
      </c>
      <c r="K19" s="233"/>
    </row>
    <row r="20" spans="2:11" s="231" customFormat="1" ht="15" customHeight="1" x14ac:dyDescent="0.25">
      <c r="B20" s="385" t="s">
        <v>1</v>
      </c>
      <c r="C20" s="386" t="s">
        <v>2</v>
      </c>
      <c r="D20" s="387" t="s">
        <v>3</v>
      </c>
      <c r="E20" s="401">
        <f>'01'!I10+'01'!I21-'12'!E132</f>
        <v>1668530568</v>
      </c>
      <c r="F20" s="401">
        <f>'01'!G10+'01'!G21-'12'!E132</f>
        <v>1668530568</v>
      </c>
      <c r="G20" s="401">
        <f>'01'!$J$10+'01'!$K$21</f>
        <v>1655160752</v>
      </c>
      <c r="H20" s="401">
        <f>'01'!$H$10+'01'!$K$21</f>
        <v>1655160752</v>
      </c>
      <c r="I20" s="402">
        <f>IF(E20-F20+G20-H20=0,1,0)</f>
        <v>1</v>
      </c>
      <c r="K20" s="234"/>
    </row>
    <row r="21" spans="2:11" s="231" customFormat="1" ht="15" customHeight="1" x14ac:dyDescent="0.25">
      <c r="B21" s="408" t="s">
        <v>1</v>
      </c>
      <c r="C21" s="409" t="s">
        <v>5</v>
      </c>
      <c r="D21" s="410" t="s">
        <v>670</v>
      </c>
      <c r="E21" s="415">
        <f>'02'!$E$97</f>
        <v>1668530568</v>
      </c>
      <c r="F21" s="415">
        <f>'02'!$E$144</f>
        <v>1668530568</v>
      </c>
      <c r="G21" s="415">
        <f>'02'!$F$97</f>
        <v>1655160752</v>
      </c>
      <c r="H21" s="415">
        <f>'02'!$F$144</f>
        <v>1655160752</v>
      </c>
      <c r="I21" s="416">
        <f>IF(E21-F21+G21-H21=0,1,0)</f>
        <v>1</v>
      </c>
      <c r="K21" s="233"/>
    </row>
    <row r="22" spans="2:11" s="231" customFormat="1" ht="15" customHeight="1" x14ac:dyDescent="0.25">
      <c r="B22" s="390" t="s">
        <v>1</v>
      </c>
      <c r="C22" s="391" t="s">
        <v>7</v>
      </c>
      <c r="D22" s="392" t="s">
        <v>14</v>
      </c>
      <c r="E22" s="403">
        <f>'03'!$D$18</f>
        <v>1563630002</v>
      </c>
      <c r="F22" s="403">
        <f>'03'!$G$18</f>
        <v>1499883050</v>
      </c>
      <c r="G22" s="403">
        <f>'03'!$E$18</f>
        <v>1580819789</v>
      </c>
      <c r="H22" s="403">
        <f>'03'!$H$18</f>
        <v>1486513234</v>
      </c>
      <c r="I22" s="404">
        <f>IF(G22-H22+G23-H23=0,1,0)</f>
        <v>1</v>
      </c>
      <c r="K22" s="233"/>
    </row>
    <row r="23" spans="2:11" s="231" customFormat="1" ht="15" customHeight="1" x14ac:dyDescent="0.25">
      <c r="B23" s="408" t="s">
        <v>1</v>
      </c>
      <c r="C23" s="409" t="s">
        <v>9</v>
      </c>
      <c r="D23" s="410" t="s">
        <v>17</v>
      </c>
      <c r="E23" s="415">
        <f>'04'!$D$16</f>
        <v>104900566</v>
      </c>
      <c r="F23" s="415">
        <f>'04'!$G$16</f>
        <v>168647518</v>
      </c>
      <c r="G23" s="415">
        <f>'04'!$E$16</f>
        <v>74340963</v>
      </c>
      <c r="H23" s="415">
        <f>'04'!$H$16</f>
        <v>168647518</v>
      </c>
      <c r="I23" s="416">
        <f>IF(G23-H23+G22-H22=0,1,0)</f>
        <v>1</v>
      </c>
      <c r="K23" s="233"/>
    </row>
    <row r="24" spans="2:11" s="231" customFormat="1" ht="15" customHeight="1" x14ac:dyDescent="0.25">
      <c r="B24" s="390" t="s">
        <v>1</v>
      </c>
      <c r="C24" s="391" t="s">
        <v>11</v>
      </c>
      <c r="D24" s="392" t="s">
        <v>20</v>
      </c>
      <c r="E24" s="405"/>
      <c r="F24" s="405"/>
      <c r="G24" s="405"/>
      <c r="H24" s="405"/>
      <c r="I24" s="406"/>
      <c r="K24" s="233"/>
    </row>
    <row r="25" spans="2:11" s="231" customFormat="1" ht="15" customHeight="1" x14ac:dyDescent="0.25">
      <c r="B25" s="408" t="s">
        <v>1</v>
      </c>
      <c r="C25" s="409" t="s">
        <v>13</v>
      </c>
      <c r="D25" s="410" t="s">
        <v>23</v>
      </c>
      <c r="E25" s="417"/>
      <c r="F25" s="417"/>
      <c r="G25" s="417"/>
      <c r="H25" s="417"/>
      <c r="I25" s="418"/>
      <c r="K25" s="233"/>
    </row>
    <row r="26" spans="2:11" s="231" customFormat="1" ht="15" customHeight="1" x14ac:dyDescent="0.25">
      <c r="B26" s="390" t="s">
        <v>1</v>
      </c>
      <c r="C26" s="391" t="s">
        <v>16</v>
      </c>
      <c r="D26" s="392" t="s">
        <v>26</v>
      </c>
      <c r="E26" s="405"/>
      <c r="F26" s="405"/>
      <c r="G26" s="405"/>
      <c r="H26" s="405"/>
      <c r="I26" s="406"/>
    </row>
    <row r="27" spans="2:11" s="231" customFormat="1" ht="15" customHeight="1" x14ac:dyDescent="0.25">
      <c r="B27" s="408" t="s">
        <v>1</v>
      </c>
      <c r="C27" s="409" t="s">
        <v>19</v>
      </c>
      <c r="D27" s="410" t="s">
        <v>29</v>
      </c>
      <c r="E27" s="417"/>
      <c r="F27" s="417"/>
      <c r="G27" s="417"/>
      <c r="H27" s="415">
        <f>'08'!$G$30</f>
        <v>0</v>
      </c>
      <c r="I27" s="416">
        <f>IF('02'!F113-H27=0,1,0)</f>
        <v>0</v>
      </c>
    </row>
    <row r="28" spans="2:11" s="231" customFormat="1" ht="15" customHeight="1" x14ac:dyDescent="0.25">
      <c r="B28" s="390" t="s">
        <v>1</v>
      </c>
      <c r="C28" s="391" t="s">
        <v>22</v>
      </c>
      <c r="D28" s="392" t="s">
        <v>32</v>
      </c>
      <c r="E28" s="405"/>
      <c r="F28" s="405"/>
      <c r="G28" s="405"/>
      <c r="H28" s="403">
        <f>'09'!$G$21</f>
        <v>0</v>
      </c>
      <c r="I28" s="404">
        <f>IF('02'!F115-H28=0,1,0)</f>
        <v>0</v>
      </c>
    </row>
    <row r="29" spans="2:11" s="231" customFormat="1" ht="15" customHeight="1" x14ac:dyDescent="0.25">
      <c r="B29" s="408" t="s">
        <v>1</v>
      </c>
      <c r="C29" s="409" t="s">
        <v>25</v>
      </c>
      <c r="D29" s="410" t="s">
        <v>35</v>
      </c>
      <c r="E29" s="417"/>
      <c r="F29" s="417"/>
      <c r="G29" s="417"/>
      <c r="H29" s="417"/>
      <c r="I29" s="418"/>
    </row>
    <row r="30" spans="2:11" s="231" customFormat="1" ht="15" customHeight="1" x14ac:dyDescent="0.25">
      <c r="B30" s="390" t="str">
        <f>IF(PAR!$E$2&gt;" ","ugrás"," ")</f>
        <v>ugrás</v>
      </c>
      <c r="C30" s="391" t="s">
        <v>28</v>
      </c>
      <c r="D30" s="392" t="s">
        <v>37</v>
      </c>
      <c r="E30" s="405"/>
      <c r="F30" s="405"/>
      <c r="G30" s="405"/>
      <c r="H30" s="405"/>
      <c r="I30" s="406"/>
    </row>
    <row r="31" spans="2:11" s="231" customFormat="1" ht="15" customHeight="1" x14ac:dyDescent="0.25">
      <c r="B31" s="408" t="str">
        <f>IF(PAR!$E$2&gt;" ","ugrás"," ")</f>
        <v>ugrás</v>
      </c>
      <c r="C31" s="409" t="s">
        <v>31</v>
      </c>
      <c r="D31" s="410" t="str">
        <f>CONCATENATE(PAR!E3," mérlege")</f>
        <v>Nagymaros Város Önkormányzata mérlege</v>
      </c>
      <c r="E31" s="415">
        <f>'12'!$E$96</f>
        <v>1617484149</v>
      </c>
      <c r="F31" s="415">
        <f>'12'!$E$144</f>
        <v>1617484149</v>
      </c>
      <c r="G31" s="415">
        <f>'12'!$F$96</f>
        <v>1604114333</v>
      </c>
      <c r="H31" s="415">
        <f>'12'!$F$144</f>
        <v>1604114333</v>
      </c>
      <c r="I31" s="416">
        <f>IF(E31-F31+G31-H31=0,1,0)</f>
        <v>1</v>
      </c>
      <c r="K31" s="235">
        <f>H31-G31</f>
        <v>0</v>
      </c>
    </row>
    <row r="32" spans="2:11" s="231" customFormat="1" ht="15" customHeight="1" x14ac:dyDescent="0.25">
      <c r="B32" s="390" t="str">
        <f>IF(PAR!$E$2&gt;" ","ugrás"," ")</f>
        <v>ugrás</v>
      </c>
      <c r="C32" s="391" t="s">
        <v>34</v>
      </c>
      <c r="D32" s="392" t="str">
        <f>CONCATENATE(PAR!E4," mérlege")</f>
        <v>Nagymarosi Polgármesteri Hivatal mérlege</v>
      </c>
      <c r="E32" s="403">
        <f>'13'!$E$45</f>
        <v>256449646</v>
      </c>
      <c r="F32" s="403">
        <f>'13'!$E$64</f>
        <v>256449646</v>
      </c>
      <c r="G32" s="403">
        <f>'13'!$F$45</f>
        <v>256449646</v>
      </c>
      <c r="H32" s="403">
        <f>'13'!$F$64</f>
        <v>256449646</v>
      </c>
      <c r="I32" s="404">
        <f t="shared" ref="I32:I33" si="0">IF(E32-F32+G32-H32=0,1,0)</f>
        <v>1</v>
      </c>
    </row>
    <row r="33" spans="2:9" s="231" customFormat="1" ht="15" customHeight="1" x14ac:dyDescent="0.25">
      <c r="B33" s="390" t="str">
        <f>IF(PAR!$E$2&gt;" ","ugrás"," ")</f>
        <v>ugrás</v>
      </c>
      <c r="C33" s="391" t="s">
        <v>2676</v>
      </c>
      <c r="D33" s="392" t="str">
        <f>CONCATENATE(PAR!E5," mérlege")</f>
        <v>Nagymarosi Napköziotthonos Óvoda és Bölcsőde mérlege</v>
      </c>
      <c r="E33" s="403">
        <f>'14'!$E$45</f>
        <v>314979011</v>
      </c>
      <c r="F33" s="403">
        <f>'14'!$E$64</f>
        <v>314979011</v>
      </c>
      <c r="G33" s="403">
        <f>'14'!$F$45</f>
        <v>314979011</v>
      </c>
      <c r="H33" s="403">
        <f>'14'!$F$64</f>
        <v>314979011</v>
      </c>
      <c r="I33" s="404">
        <f t="shared" si="0"/>
        <v>1</v>
      </c>
    </row>
    <row r="34" spans="2:9" s="231" customFormat="1" ht="15" customHeight="1" x14ac:dyDescent="0.25">
      <c r="B34" s="390" t="str">
        <f>IF(PAR!$E$2&gt;" ","ugrás"," ")</f>
        <v>ugrás</v>
      </c>
      <c r="C34" s="391" t="s">
        <v>2677</v>
      </c>
      <c r="D34" s="392" t="str">
        <f>CONCATENATE(PAR!E6," mérlege")</f>
        <v>Gondozási Központ mérlege</v>
      </c>
      <c r="E34" s="403">
        <f>'15'!$E$45</f>
        <v>128858721</v>
      </c>
      <c r="F34" s="403">
        <f>'15'!$E$64</f>
        <v>128858721</v>
      </c>
      <c r="G34" s="403">
        <f>'15'!$F$45</f>
        <v>128858721</v>
      </c>
      <c r="H34" s="403">
        <f>'15'!$F$64</f>
        <v>128858721</v>
      </c>
      <c r="I34" s="404">
        <f t="shared" ref="I34:I35" si="1">IF(E34-F34+G34-H34=0,1,0)</f>
        <v>1</v>
      </c>
    </row>
    <row r="35" spans="2:9" s="231" customFormat="1" ht="15" customHeight="1" x14ac:dyDescent="0.25">
      <c r="B35" s="390" t="str">
        <f>IF(PAR!$E$2&gt;" ","ugrás"," ")</f>
        <v>ugrás</v>
      </c>
      <c r="C35" s="391" t="s">
        <v>2678</v>
      </c>
      <c r="D35" s="392" t="str">
        <f>CONCATENATE(PAR!E7," mérlege")</f>
        <v>Nagymaros Városi Könyvtár és Művelődési Ház mérlege</v>
      </c>
      <c r="E35" s="403">
        <f>'16'!$E$45</f>
        <v>64330536</v>
      </c>
      <c r="F35" s="403">
        <f>'16'!$E$64</f>
        <v>64330536</v>
      </c>
      <c r="G35" s="403">
        <f>'16'!$F$45</f>
        <v>64330536</v>
      </c>
      <c r="H35" s="403">
        <f>'16'!$F$64</f>
        <v>64330536</v>
      </c>
      <c r="I35" s="404">
        <f t="shared" si="1"/>
        <v>1</v>
      </c>
    </row>
    <row r="36" spans="2:9" s="231" customFormat="1" ht="15" customHeight="1" x14ac:dyDescent="0.25">
      <c r="B36" s="408" t="str">
        <f>IF(PAR!$E$2&gt;" ","ugrás"," ")</f>
        <v>ugrás</v>
      </c>
      <c r="C36" s="409" t="s">
        <v>2679</v>
      </c>
      <c r="D36" s="419" t="s">
        <v>39</v>
      </c>
      <c r="E36" s="415"/>
      <c r="F36" s="415"/>
      <c r="G36" s="415"/>
      <c r="H36" s="415"/>
      <c r="I36" s="416">
        <f>IF(E36-F36+G36-H36=0,1,0)</f>
        <v>1</v>
      </c>
    </row>
    <row r="37" spans="2:9" s="231" customFormat="1" ht="15" customHeight="1" x14ac:dyDescent="0.25">
      <c r="B37" s="390" t="str">
        <f>IF(PAR!$E$2&gt;" ","ugrás"," ")</f>
        <v>ugrás</v>
      </c>
      <c r="C37" s="391" t="s">
        <v>2680</v>
      </c>
      <c r="D37" s="237" t="s">
        <v>41</v>
      </c>
      <c r="E37" s="405"/>
      <c r="F37" s="405"/>
      <c r="G37" s="405"/>
      <c r="H37" s="403"/>
      <c r="I37" s="407"/>
    </row>
    <row r="38" spans="2:9" s="231" customFormat="1" ht="15" customHeight="1" x14ac:dyDescent="0.25">
      <c r="B38" s="408" t="str">
        <f>IF(PAR!$E$2&gt;" ","ugrás"," ")</f>
        <v>ugrás</v>
      </c>
      <c r="C38" s="409" t="s">
        <v>2681</v>
      </c>
      <c r="D38" s="419" t="s">
        <v>43</v>
      </c>
      <c r="E38" s="417"/>
      <c r="F38" s="417"/>
      <c r="G38" s="417"/>
      <c r="H38" s="415"/>
      <c r="I38" s="420"/>
    </row>
    <row r="39" spans="2:9" s="231" customFormat="1" ht="15" customHeight="1" x14ac:dyDescent="0.25">
      <c r="B39" s="390" t="str">
        <f>IF(PAR!$E$2&gt;" ","ugrás"," ")</f>
        <v>ugrás</v>
      </c>
      <c r="C39" s="391" t="s">
        <v>2682</v>
      </c>
      <c r="D39" s="237" t="s">
        <v>45</v>
      </c>
      <c r="E39" s="403"/>
      <c r="F39" s="403"/>
      <c r="G39" s="403">
        <f>'T4'!Q20</f>
        <v>1655160752</v>
      </c>
      <c r="H39" s="403">
        <f>'T4'!Q35</f>
        <v>1655160752</v>
      </c>
      <c r="I39" s="404">
        <f>IF(G39-H39=0,1,0)</f>
        <v>1</v>
      </c>
    </row>
    <row r="40" spans="2:9" s="231" customFormat="1" ht="15" customHeight="1" x14ac:dyDescent="0.25">
      <c r="B40" s="408" t="str">
        <f>IF(PAR!$E$2&gt;" ","ugrás"," ")</f>
        <v>ugrás</v>
      </c>
      <c r="C40" s="409" t="s">
        <v>2683</v>
      </c>
      <c r="D40" s="419" t="s">
        <v>47</v>
      </c>
      <c r="E40" s="415"/>
      <c r="F40" s="417"/>
      <c r="G40" s="415">
        <f>'T5'!$E$449</f>
        <v>0</v>
      </c>
      <c r="H40" s="417"/>
      <c r="I40" s="416">
        <f>IF(G40-H41=0,1,0)</f>
        <v>1</v>
      </c>
    </row>
    <row r="41" spans="2:9" s="231" customFormat="1" ht="15" customHeight="1" x14ac:dyDescent="0.25">
      <c r="B41" s="390" t="str">
        <f>IF(PAR!$E$2&gt;" ","ugrás"," ")</f>
        <v>ugrás</v>
      </c>
      <c r="C41" s="391" t="s">
        <v>2684</v>
      </c>
      <c r="D41" s="237" t="s">
        <v>48</v>
      </c>
      <c r="E41" s="405"/>
      <c r="F41" s="405"/>
      <c r="G41" s="405"/>
      <c r="H41" s="403">
        <f>'T6'!$E$449</f>
        <v>0</v>
      </c>
      <c r="I41" s="404">
        <f>IF(G40-H41=0,1,0)</f>
        <v>1</v>
      </c>
    </row>
    <row r="42" spans="2:9" s="231" customFormat="1" ht="15" customHeight="1" x14ac:dyDescent="0.25">
      <c r="B42" s="408" t="str">
        <f>IF(PAR!$E$2&gt;" ","ugrás"," ")</f>
        <v>ugrás</v>
      </c>
      <c r="C42" s="409" t="s">
        <v>2685</v>
      </c>
      <c r="D42" s="419" t="s">
        <v>49</v>
      </c>
      <c r="E42" s="417"/>
      <c r="F42" s="417"/>
      <c r="G42" s="417"/>
      <c r="H42" s="415"/>
      <c r="I42" s="418"/>
    </row>
    <row r="43" spans="2:9" s="231" customFormat="1" ht="15" customHeight="1" x14ac:dyDescent="0.25">
      <c r="B43" s="390" t="s">
        <v>1</v>
      </c>
      <c r="C43" s="391" t="s">
        <v>2712</v>
      </c>
      <c r="D43" s="237" t="s">
        <v>50</v>
      </c>
      <c r="E43" s="405"/>
      <c r="F43" s="405"/>
      <c r="G43" s="403">
        <f>'T8'!$E$28</f>
        <v>0</v>
      </c>
      <c r="H43" s="403">
        <f>'T8'!$E$42</f>
        <v>0</v>
      </c>
      <c r="I43" s="404">
        <f>IF(G43-H43=0,1,0)</f>
        <v>1</v>
      </c>
    </row>
    <row r="44" spans="2:9" s="231" customFormat="1" ht="15" customHeight="1" x14ac:dyDescent="0.25">
      <c r="B44" s="421" t="s">
        <v>1</v>
      </c>
      <c r="C44" s="422" t="s">
        <v>2713</v>
      </c>
      <c r="D44" s="423" t="s">
        <v>1318</v>
      </c>
      <c r="E44" s="424"/>
      <c r="F44" s="424"/>
      <c r="G44" s="425"/>
      <c r="H44" s="425"/>
      <c r="I44" s="426"/>
    </row>
    <row r="45" spans="2:9" s="233" customFormat="1" ht="5.0999999999999996" customHeight="1" x14ac:dyDescent="0.25">
      <c r="B45" s="237"/>
      <c r="C45" s="236"/>
      <c r="H45" s="236"/>
    </row>
    <row r="46" spans="2:9" s="238" customFormat="1" ht="15" customHeight="1" x14ac:dyDescent="0.2">
      <c r="B46" s="448" t="s">
        <v>2574</v>
      </c>
      <c r="C46" s="448"/>
      <c r="D46" s="448"/>
      <c r="E46" s="448"/>
      <c r="F46" s="448"/>
      <c r="G46" s="448"/>
      <c r="H46" s="448"/>
      <c r="I46" s="448"/>
    </row>
    <row r="47" spans="2:9" s="230" customFormat="1" ht="15.75" x14ac:dyDescent="0.25">
      <c r="B47" s="449" t="s">
        <v>2576</v>
      </c>
      <c r="C47" s="449"/>
      <c r="D47" s="449"/>
      <c r="E47" s="449"/>
      <c r="F47" s="449"/>
      <c r="G47" s="449"/>
      <c r="H47" s="449"/>
      <c r="I47" s="449"/>
    </row>
    <row r="48" spans="2:9" s="230" customFormat="1" ht="15.75" x14ac:dyDescent="0.25">
      <c r="B48" s="459" t="s">
        <v>2575</v>
      </c>
      <c r="C48" s="459"/>
      <c r="D48" s="459"/>
      <c r="E48" s="459"/>
      <c r="F48" s="459"/>
      <c r="G48" s="459"/>
      <c r="H48" s="459"/>
      <c r="I48" s="459"/>
    </row>
    <row r="49" spans="2:9" s="230" customFormat="1" ht="26.25" x14ac:dyDescent="0.25">
      <c r="B49" s="450"/>
      <c r="C49" s="450"/>
      <c r="D49" s="450"/>
      <c r="E49" s="450"/>
      <c r="F49" s="450"/>
      <c r="G49" s="450"/>
      <c r="H49" s="450"/>
      <c r="I49" s="450"/>
    </row>
    <row r="50" spans="2:9" ht="15.75" x14ac:dyDescent="0.25">
      <c r="B50" s="451"/>
      <c r="C50" s="451"/>
      <c r="D50" s="451"/>
      <c r="E50" s="451"/>
      <c r="F50" s="451"/>
      <c r="G50" s="451"/>
      <c r="H50" s="451"/>
      <c r="I50" s="451"/>
    </row>
    <row r="51" spans="2:9" ht="6" customHeight="1" x14ac:dyDescent="0.35"/>
  </sheetData>
  <sheetProtection algorithmName="SHA-512" hashValue="5EOGr/mjNvbELPlo49y21JoCm60WnTWB5g/UeUJ1Xet6zyjYZxmhehIVpO8Rg6G8M1nKpvuIZcTXc40bLLO+4g==" saltValue="Ae6pUaUk60/xctRdspn99g==" spinCount="100000" sheet="1" formatCells="0" formatColumns="0" formatRows="0" sort="0" autoFilter="0"/>
  <mergeCells count="11">
    <mergeCell ref="B46:I46"/>
    <mergeCell ref="B47:I47"/>
    <mergeCell ref="B49:I49"/>
    <mergeCell ref="B50:I50"/>
    <mergeCell ref="B2:I2"/>
    <mergeCell ref="B3:I3"/>
    <mergeCell ref="B4:I4"/>
    <mergeCell ref="B7:D7"/>
    <mergeCell ref="B19:D19"/>
    <mergeCell ref="B9:D9"/>
    <mergeCell ref="B48:I48"/>
  </mergeCells>
  <phoneticPr fontId="16" type="noConversion"/>
  <conditionalFormatting sqref="I42">
    <cfRule type="cellIs" dxfId="22" priority="36" operator="equal">
      <formula>"Mérleg rendben"</formula>
    </cfRule>
    <cfRule type="cellIs" dxfId="21" priority="37" operator="equal">
      <formula>"hibás mérleg"</formula>
    </cfRule>
  </conditionalFormatting>
  <hyperlinks>
    <hyperlink ref="B20" location="'01'!A1" display="ugrás" xr:uid="{00000000-0004-0000-0000-000011000000}"/>
    <hyperlink ref="B26" location="'07'!A1" display="ugrás" xr:uid="{00000000-0004-0000-0000-000012000000}"/>
    <hyperlink ref="B27:B32" location="'K1-2'!A1" display="Þ" xr:uid="{00000000-0004-0000-0000-000013000000}"/>
    <hyperlink ref="B21" location="'02'!A1" display="ugrás" xr:uid="{00000000-0004-0000-0000-000014000000}"/>
    <hyperlink ref="B22" location="'03'!A1" display="ugrás" xr:uid="{00000000-0004-0000-0000-000015000000}"/>
    <hyperlink ref="B23" location="'04'!A1" display="ugrás" xr:uid="{00000000-0004-0000-0000-000016000000}"/>
    <hyperlink ref="B24" location="'05'!A1" display="ugrás" xr:uid="{00000000-0004-0000-0000-000017000000}"/>
    <hyperlink ref="B25" location="'06'!A1" display="ugrás" xr:uid="{00000000-0004-0000-0000-000018000000}"/>
    <hyperlink ref="B27" location="'08'!A1" display="ugrás" xr:uid="{00000000-0004-0000-0000-000019000000}"/>
    <hyperlink ref="B28" location="'09'!A1" display="ugrás" xr:uid="{00000000-0004-0000-0000-00001A000000}"/>
    <hyperlink ref="B29" location="'10'!A1" display="ugrás" xr:uid="{00000000-0004-0000-0000-00001B000000}"/>
    <hyperlink ref="B30" location="'11'!A1" display="'11'!A1" xr:uid="{00000000-0004-0000-0000-00001C000000}"/>
    <hyperlink ref="B32" location="'13'!A1" display="'13'!A1" xr:uid="{00000000-0004-0000-0000-000057000000}"/>
    <hyperlink ref="B31" location="'12'!A1" display="'12'!A1" xr:uid="{00000000-0004-0000-0000-000058000000}"/>
    <hyperlink ref="B36" location="'T1'!A1" display="'T1'!A1" xr:uid="{00000000-0004-0000-0000-000060000000}"/>
    <hyperlink ref="B37" location="'T2'!A1" display="'T2'!A1" xr:uid="{00000000-0004-0000-0000-000061000000}"/>
    <hyperlink ref="B38:B43" location="'T02'!A1" display="'T02'!A1" xr:uid="{00000000-0004-0000-0000-000062000000}"/>
    <hyperlink ref="B38" location="'T3'!A1" display="'T3'!A1" xr:uid="{00000000-0004-0000-0000-000063000000}"/>
    <hyperlink ref="B39" location="'T4'!A1" display="'T4'!A1" xr:uid="{00000000-0004-0000-0000-000064000000}"/>
    <hyperlink ref="B40" location="'T5'!A1" display="'T5'!A1" xr:uid="{00000000-0004-0000-0000-000065000000}"/>
    <hyperlink ref="B41" location="'T6'!A1" display="'T6'!A1" xr:uid="{00000000-0004-0000-0000-000066000000}"/>
    <hyperlink ref="B42" location="'T7'!A1" display="'T7'!A1" xr:uid="{00000000-0004-0000-0000-000067000000}"/>
    <hyperlink ref="B43" location="'T8'!A1" display="ugrás" xr:uid="{00000000-0004-0000-0000-000068000000}"/>
    <hyperlink ref="B10" location="'Főkönyvi kivonat'!A1" display="ugrás" xr:uid="{00000000-0004-0000-0000-00006A000000}"/>
    <hyperlink ref="B8" location="'906MP'!A1" display="ugrás" xr:uid="{F8490FEB-06F0-4BAF-95F5-DD45BD6069D8}"/>
    <hyperlink ref="B13" location="Előterjesztés!A1" display="ugrás" xr:uid="{0912CEB0-BC56-456E-9D15-30B7D28D6E62}"/>
    <hyperlink ref="B15" location="Rendelet!A1" display="ugrás" xr:uid="{760BFEB1-A12D-4F46-9300-6C2A8C78DEFA}"/>
    <hyperlink ref="B11" location="Részletező!A1" display="ugrás" xr:uid="{4D8F5C90-0DB2-4EE8-A908-7688F8C4B05A}"/>
    <hyperlink ref="B12" location="Cofog!A1" display="ugrás" xr:uid="{35345158-0F3F-4DC1-A11B-303303EFC81A}"/>
    <hyperlink ref="B14" location="Indokolás!A1" display="ugrás" xr:uid="{089E0936-A0DD-46BF-A8BF-4B43BF6731F6}"/>
    <hyperlink ref="B44" location="'T9'!A1" display="ugrás" xr:uid="{67A624B4-33AB-4AFB-94EC-9F83FFFB60F5}"/>
    <hyperlink ref="B33" location="'14'!A1" display="'14'!A1" xr:uid="{DCB90629-069C-468C-8DA0-838F57A45F68}"/>
    <hyperlink ref="B34:B35" location="'14'!A1" display="'14'!A1" xr:uid="{810C7074-93E1-4755-A25E-466BF3402B08}"/>
    <hyperlink ref="B34" location="'15'!A1" display="'15'!A1" xr:uid="{114FC717-D626-41FB-AF64-8C71C0D4AFD4}"/>
    <hyperlink ref="B35" location="'16'!A1" display="'16'!A1" xr:uid="{D6305046-3230-4D33-87BE-33D5A37E3740}"/>
  </hyperlinks>
  <pageMargins left="0.7" right="0.7" top="0.75" bottom="0.75" header="0.3" footer="0.3"/>
  <pageSetup paperSize="9" scale="5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E70214B3-4064-41C7-8A03-A6021D792CCA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H8:I8</xm:sqref>
        </x14:conditionalFormatting>
        <x14:conditionalFormatting xmlns:xm="http://schemas.microsoft.com/office/excel/2006/main">
          <x14:cfRule type="iconSet" priority="7" id="{D9D35A7C-EA70-443C-9321-B2745DA5520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I20:I23</xm:sqref>
        </x14:conditionalFormatting>
        <x14:conditionalFormatting xmlns:xm="http://schemas.microsoft.com/office/excel/2006/main">
          <x14:cfRule type="iconSet" priority="6" id="{66AA5D4C-57AA-4F7E-86C2-E1BEBF1823C8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I27:I28</xm:sqref>
        </x14:conditionalFormatting>
        <x14:conditionalFormatting xmlns:xm="http://schemas.microsoft.com/office/excel/2006/main">
          <x14:cfRule type="iconSet" priority="44" id="{EFC3AA24-0337-4374-B982-4053CD06F43E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I31:I35</xm:sqref>
        </x14:conditionalFormatting>
        <x14:conditionalFormatting xmlns:xm="http://schemas.microsoft.com/office/excel/2006/main">
          <x14:cfRule type="iconSet" priority="4" id="{B123C4E6-431B-4CB4-AB4B-9EB86BFB3FE2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I36</xm:sqref>
        </x14:conditionalFormatting>
        <x14:conditionalFormatting xmlns:xm="http://schemas.microsoft.com/office/excel/2006/main">
          <x14:cfRule type="iconSet" priority="3" id="{FDAF2459-B654-4E4C-85A2-68C1C2272CA9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I39</xm:sqref>
        </x14:conditionalFormatting>
        <x14:conditionalFormatting xmlns:xm="http://schemas.microsoft.com/office/excel/2006/main">
          <x14:cfRule type="iconSet" priority="2" id="{43D1593E-FCC7-4480-AC74-91D27B23842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I40:I41</xm:sqref>
        </x14:conditionalFormatting>
        <x14:conditionalFormatting xmlns:xm="http://schemas.microsoft.com/office/excel/2006/main">
          <x14:cfRule type="iconSet" priority="1" id="{F3300ABD-08E0-486F-AA1A-4A4693BB798D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I43:I44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77407-75DB-465B-993F-A21E14F5EFBD}">
  <sheetPr>
    <tabColor theme="7" tint="0.39997558519241921"/>
  </sheetPr>
  <dimension ref="B1:V214"/>
  <sheetViews>
    <sheetView showGridLines="0" view="pageBreakPreview" topLeftCell="A163" zoomScaleNormal="100" zoomScaleSheetLayoutView="100" workbookViewId="0">
      <selection activeCell="B178" sqref="B178:I178"/>
    </sheetView>
  </sheetViews>
  <sheetFormatPr defaultColWidth="9" defaultRowHeight="15.75" x14ac:dyDescent="0.25"/>
  <cols>
    <col min="1" max="1" width="0.875" style="207" customWidth="1"/>
    <col min="2" max="2" width="7.25" style="207" bestFit="1" customWidth="1"/>
    <col min="3" max="3" width="4.875" style="207" bestFit="1" customWidth="1"/>
    <col min="4" max="4" width="30.5" style="207" bestFit="1" customWidth="1"/>
    <col min="5" max="5" width="13.125" style="207" bestFit="1" customWidth="1"/>
    <col min="6" max="6" width="12.625" style="207" customWidth="1"/>
    <col min="7" max="7" width="13.125" style="207" bestFit="1" customWidth="1"/>
    <col min="8" max="8" width="13.25" style="207" bestFit="1" customWidth="1"/>
    <col min="9" max="9" width="12.625" style="207" customWidth="1"/>
    <col min="10" max="10" width="0.875" style="207" customWidth="1"/>
    <col min="11" max="11" width="13.375" style="207" bestFit="1" customWidth="1"/>
    <col min="12" max="12" width="12.375" style="207" bestFit="1" customWidth="1"/>
    <col min="13" max="13" width="10.125" style="207" bestFit="1" customWidth="1"/>
    <col min="14" max="14" width="9.125" style="207" bestFit="1" customWidth="1"/>
    <col min="15" max="16384" width="9" style="207"/>
  </cols>
  <sheetData>
    <row r="1" spans="2:22" ht="21" x14ac:dyDescent="0.25">
      <c r="B1" s="489" t="str">
        <f>PAR!$E$3</f>
        <v>Nagymaros Város Önkormányzata</v>
      </c>
      <c r="C1" s="489"/>
      <c r="D1" s="489"/>
      <c r="E1" s="489"/>
      <c r="F1" s="489"/>
      <c r="G1" s="489"/>
      <c r="H1" s="489"/>
      <c r="I1" s="489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</row>
    <row r="2" spans="2:22" x14ac:dyDescent="0.25">
      <c r="B2" s="494" t="s">
        <v>2587</v>
      </c>
      <c r="C2" s="494"/>
      <c r="D2" s="494"/>
      <c r="E2" s="494"/>
      <c r="F2" s="494"/>
      <c r="G2" s="494"/>
      <c r="H2" s="494"/>
      <c r="I2" s="494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</row>
    <row r="3" spans="2:22" x14ac:dyDescent="0.25">
      <c r="B3" s="494" t="s">
        <v>2588</v>
      </c>
      <c r="C3" s="494"/>
      <c r="D3" s="494"/>
      <c r="E3" s="494"/>
      <c r="F3" s="494"/>
      <c r="G3" s="494"/>
      <c r="H3" s="494"/>
      <c r="I3" s="494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2:22" ht="5.0999999999999996" customHeight="1" x14ac:dyDescent="0.25">
      <c r="J4" s="219"/>
    </row>
    <row r="5" spans="2:22" ht="21" x14ac:dyDescent="0.35">
      <c r="B5" s="493" t="s">
        <v>677</v>
      </c>
      <c r="C5" s="493"/>
      <c r="D5" s="493"/>
      <c r="E5" s="493"/>
      <c r="F5" s="493"/>
      <c r="G5" s="493"/>
      <c r="H5" s="493"/>
      <c r="I5" s="493"/>
      <c r="J5" s="219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</row>
    <row r="6" spans="2:22" ht="5.0999999999999996" customHeight="1" x14ac:dyDescent="0.25">
      <c r="J6" s="219"/>
    </row>
    <row r="7" spans="2:22" ht="50.1" customHeight="1" x14ac:dyDescent="0.25">
      <c r="B7" s="469" t="s">
        <v>678</v>
      </c>
      <c r="C7" s="470"/>
      <c r="D7" s="471"/>
      <c r="E7" s="490"/>
      <c r="F7" s="491"/>
      <c r="G7" s="491"/>
      <c r="H7" s="491"/>
      <c r="I7" s="492"/>
      <c r="J7" s="219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</row>
    <row r="8" spans="2:22" ht="50.1" customHeight="1" x14ac:dyDescent="0.25">
      <c r="B8" s="469" t="s">
        <v>679</v>
      </c>
      <c r="C8" s="470"/>
      <c r="D8" s="471"/>
      <c r="E8" s="495" t="s">
        <v>2589</v>
      </c>
      <c r="F8" s="496"/>
      <c r="G8" s="496"/>
      <c r="H8" s="496"/>
      <c r="I8" s="497"/>
      <c r="J8" s="219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</row>
    <row r="9" spans="2:22" ht="50.1" customHeight="1" x14ac:dyDescent="0.25">
      <c r="B9" s="469" t="s">
        <v>680</v>
      </c>
      <c r="C9" s="470"/>
      <c r="D9" s="471"/>
      <c r="E9" s="466"/>
      <c r="F9" s="467"/>
      <c r="G9" s="467"/>
      <c r="H9" s="467"/>
      <c r="I9" s="468"/>
      <c r="J9" s="219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</row>
    <row r="10" spans="2:22" ht="50.1" customHeight="1" x14ac:dyDescent="0.25">
      <c r="B10" s="469" t="s">
        <v>681</v>
      </c>
      <c r="C10" s="470"/>
      <c r="D10" s="471"/>
      <c r="E10" s="466"/>
      <c r="F10" s="467"/>
      <c r="G10" s="467"/>
      <c r="H10" s="467"/>
      <c r="I10" s="468"/>
      <c r="J10" s="219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</row>
    <row r="11" spans="2:22" ht="50.1" customHeight="1" x14ac:dyDescent="0.25">
      <c r="B11" s="469" t="s">
        <v>682</v>
      </c>
      <c r="C11" s="470"/>
      <c r="D11" s="471"/>
      <c r="E11" s="466"/>
      <c r="F11" s="467"/>
      <c r="G11" s="467"/>
      <c r="H11" s="467"/>
      <c r="I11" s="468"/>
      <c r="J11" s="219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</row>
    <row r="12" spans="2:22" ht="50.1" customHeight="1" x14ac:dyDescent="0.25">
      <c r="B12" s="469" t="s">
        <v>683</v>
      </c>
      <c r="C12" s="470"/>
      <c r="D12" s="471"/>
      <c r="E12" s="466" t="s">
        <v>694</v>
      </c>
      <c r="F12" s="467"/>
      <c r="G12" s="467"/>
      <c r="H12" s="467"/>
      <c r="I12" s="468"/>
      <c r="J12" s="219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</row>
    <row r="13" spans="2:22" ht="50.1" customHeight="1" x14ac:dyDescent="0.25">
      <c r="B13" s="469" t="s">
        <v>684</v>
      </c>
      <c r="C13" s="470"/>
      <c r="D13" s="471"/>
      <c r="E13" s="466" t="s">
        <v>695</v>
      </c>
      <c r="F13" s="467"/>
      <c r="G13" s="467"/>
      <c r="H13" s="467"/>
      <c r="I13" s="468"/>
      <c r="J13" s="219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</row>
    <row r="14" spans="2:22" ht="50.1" customHeight="1" x14ac:dyDescent="0.25">
      <c r="B14" s="469" t="s">
        <v>685</v>
      </c>
      <c r="C14" s="470"/>
      <c r="D14" s="471"/>
      <c r="E14" s="466" t="s">
        <v>686</v>
      </c>
      <c r="F14" s="467"/>
      <c r="G14" s="467"/>
      <c r="H14" s="467"/>
      <c r="I14" s="468"/>
      <c r="J14" s="219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</row>
    <row r="15" spans="2:22" ht="50.1" customHeight="1" x14ac:dyDescent="0.25">
      <c r="B15" s="469" t="s">
        <v>687</v>
      </c>
      <c r="C15" s="470"/>
      <c r="D15" s="471"/>
      <c r="E15" s="466" t="s">
        <v>688</v>
      </c>
      <c r="F15" s="467"/>
      <c r="G15" s="467"/>
      <c r="H15" s="467"/>
      <c r="I15" s="468"/>
      <c r="J15" s="219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</row>
    <row r="16" spans="2:22" ht="50.1" customHeight="1" x14ac:dyDescent="0.25">
      <c r="B16" s="469" t="s">
        <v>689</v>
      </c>
      <c r="C16" s="470"/>
      <c r="D16" s="471"/>
      <c r="E16" s="466"/>
      <c r="F16" s="467"/>
      <c r="G16" s="467"/>
      <c r="H16" s="467"/>
      <c r="I16" s="468"/>
      <c r="J16" s="219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</row>
    <row r="17" spans="2:22" ht="50.1" customHeight="1" x14ac:dyDescent="0.25">
      <c r="B17" s="469" t="s">
        <v>690</v>
      </c>
      <c r="C17" s="470"/>
      <c r="D17" s="471"/>
      <c r="E17" s="490"/>
      <c r="F17" s="491"/>
      <c r="G17" s="491"/>
      <c r="H17" s="491"/>
      <c r="I17" s="492"/>
      <c r="J17" s="219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</row>
    <row r="18" spans="2:22" x14ac:dyDescent="0.25">
      <c r="J18" s="219"/>
    </row>
    <row r="19" spans="2:22" x14ac:dyDescent="0.25">
      <c r="J19" s="219"/>
    </row>
    <row r="21" spans="2:22" x14ac:dyDescent="0.25">
      <c r="B21" s="220" t="s">
        <v>509</v>
      </c>
      <c r="C21" s="220"/>
      <c r="D21" s="221">
        <f ca="1">TODAY()</f>
        <v>45897</v>
      </c>
      <c r="E21" s="221"/>
      <c r="F21" s="221"/>
      <c r="G21" s="221"/>
      <c r="H21" s="494" t="s">
        <v>2590</v>
      </c>
      <c r="I21" s="494"/>
      <c r="J21" s="221"/>
      <c r="K21" s="221"/>
    </row>
    <row r="22" spans="2:22" x14ac:dyDescent="0.25">
      <c r="H22" s="494" t="s">
        <v>2591</v>
      </c>
      <c r="I22" s="494"/>
      <c r="Q22" s="219"/>
      <c r="R22" s="219"/>
      <c r="S22" s="219"/>
      <c r="T22" s="219"/>
      <c r="U22" s="219"/>
      <c r="V22" s="219"/>
    </row>
    <row r="23" spans="2:22" x14ac:dyDescent="0.25">
      <c r="Q23" s="219"/>
      <c r="R23" s="219"/>
      <c r="S23" s="219"/>
      <c r="T23" s="219"/>
      <c r="U23" s="219"/>
      <c r="V23" s="219"/>
    </row>
    <row r="24" spans="2:22" x14ac:dyDescent="0.25">
      <c r="B24" s="476" t="s">
        <v>710</v>
      </c>
      <c r="C24" s="476"/>
      <c r="D24" s="476"/>
      <c r="E24" s="476"/>
      <c r="F24" s="476"/>
      <c r="G24" s="476"/>
      <c r="H24" s="476"/>
      <c r="I24" s="476"/>
      <c r="Q24" s="219"/>
      <c r="R24" s="219"/>
      <c r="S24" s="219"/>
      <c r="T24" s="219"/>
      <c r="U24" s="219"/>
      <c r="V24" s="219"/>
    </row>
    <row r="25" spans="2:22" x14ac:dyDescent="0.25">
      <c r="Q25" s="219"/>
      <c r="R25" s="219"/>
      <c r="S25" s="219"/>
      <c r="T25" s="219"/>
      <c r="U25" s="219"/>
      <c r="V25" s="219"/>
    </row>
    <row r="26" spans="2:22" x14ac:dyDescent="0.25">
      <c r="B26" s="504" t="s">
        <v>696</v>
      </c>
      <c r="C26" s="504"/>
      <c r="D26" s="504"/>
      <c r="E26" s="504"/>
      <c r="F26" s="504"/>
      <c r="G26" s="504"/>
      <c r="H26" s="504"/>
      <c r="I26" s="504"/>
      <c r="Q26" s="219"/>
      <c r="R26" s="219"/>
      <c r="S26" s="219"/>
      <c r="T26" s="219"/>
      <c r="U26" s="219"/>
      <c r="V26" s="219"/>
    </row>
    <row r="27" spans="2:22" x14ac:dyDescent="0.25">
      <c r="B27" s="494"/>
      <c r="C27" s="494"/>
      <c r="D27" s="494"/>
      <c r="E27" s="494"/>
      <c r="F27" s="494"/>
      <c r="G27" s="494"/>
      <c r="H27" s="494"/>
      <c r="I27" s="494"/>
    </row>
    <row r="28" spans="2:22" x14ac:dyDescent="0.25">
      <c r="B28" s="475" t="str">
        <f>CONCATENATE("A Képviselő-testület a(z) ",Index!E17," önkormányzati rendeletében ",FIXED('02'!E97,0)," Ft-ban állapította meg a tárgyév")</f>
        <v>A Képviselő-testület a(z) 2/2025. (II.25.) önkormányzati rendeletében 1 668 530 568 Ft-ban állapította meg a tárgyév</v>
      </c>
      <c r="C28" s="475"/>
      <c r="D28" s="475"/>
      <c r="E28" s="475"/>
      <c r="F28" s="475"/>
      <c r="G28" s="475"/>
      <c r="H28" s="475"/>
      <c r="I28" s="475"/>
    </row>
    <row r="29" spans="2:22" x14ac:dyDescent="0.25">
      <c r="B29" s="475" t="s">
        <v>2594</v>
      </c>
      <c r="C29" s="475"/>
      <c r="D29" s="475"/>
      <c r="E29" s="475"/>
      <c r="F29" s="475"/>
      <c r="G29" s="475"/>
      <c r="H29" s="475"/>
      <c r="I29" s="475"/>
    </row>
    <row r="30" spans="2:22" x14ac:dyDescent="0.25">
      <c r="B30" s="475" t="s">
        <v>2595</v>
      </c>
      <c r="C30" s="475"/>
      <c r="D30" s="475"/>
      <c r="E30" s="475"/>
      <c r="F30" s="475"/>
      <c r="G30" s="475"/>
      <c r="H30" s="475"/>
      <c r="I30" s="475"/>
    </row>
    <row r="31" spans="2:22" x14ac:dyDescent="0.25">
      <c r="B31" s="475"/>
      <c r="C31" s="475"/>
      <c r="D31" s="475"/>
      <c r="E31" s="475"/>
      <c r="F31" s="475"/>
      <c r="G31" s="475"/>
      <c r="H31" s="475"/>
      <c r="I31" s="475"/>
    </row>
    <row r="32" spans="2:22" x14ac:dyDescent="0.25">
      <c r="B32" s="363" t="s">
        <v>1554</v>
      </c>
      <c r="C32" s="498" t="s">
        <v>52</v>
      </c>
      <c r="D32" s="499"/>
      <c r="E32" s="499"/>
      <c r="F32" s="500"/>
      <c r="G32" s="363" t="s">
        <v>46</v>
      </c>
      <c r="H32" s="363" t="s">
        <v>2596</v>
      </c>
      <c r="I32" s="363" t="s">
        <v>2597</v>
      </c>
    </row>
    <row r="33" spans="2:12" x14ac:dyDescent="0.25">
      <c r="B33" s="364">
        <v>1</v>
      </c>
      <c r="C33" s="472" t="s">
        <v>673</v>
      </c>
      <c r="D33" s="473"/>
      <c r="E33" s="473"/>
      <c r="F33" s="474"/>
      <c r="G33" s="365" t="str">
        <f>Index!E17</f>
        <v>2/2025. (II.25.)</v>
      </c>
      <c r="H33" s="366">
        <f>'02'!E97</f>
        <v>1668530568</v>
      </c>
      <c r="I33" s="365" t="s">
        <v>1305</v>
      </c>
    </row>
    <row r="34" spans="2:12" x14ac:dyDescent="0.25">
      <c r="B34" s="364">
        <v>2</v>
      </c>
      <c r="C34" s="472" t="s">
        <v>2598</v>
      </c>
      <c r="D34" s="473"/>
      <c r="E34" s="473"/>
      <c r="F34" s="474"/>
      <c r="G34" s="365">
        <f>Index!E18</f>
        <v>0</v>
      </c>
      <c r="H34" s="366">
        <f>G53</f>
        <v>1668530568</v>
      </c>
      <c r="I34" s="367">
        <f>F53</f>
        <v>0</v>
      </c>
    </row>
    <row r="35" spans="2:12" x14ac:dyDescent="0.25">
      <c r="B35" s="364">
        <v>3</v>
      </c>
      <c r="C35" s="472" t="s">
        <v>2599</v>
      </c>
      <c r="D35" s="473"/>
      <c r="E35" s="473"/>
      <c r="F35" s="474"/>
      <c r="G35" s="365" t="str">
        <f>Index!E16</f>
        <v>.../2025. (...)</v>
      </c>
      <c r="H35" s="366">
        <f>I53</f>
        <v>1655160752</v>
      </c>
      <c r="I35" s="367">
        <f>H53</f>
        <v>-13369816</v>
      </c>
    </row>
    <row r="36" spans="2:12" x14ac:dyDescent="0.25">
      <c r="B36" s="475"/>
      <c r="C36" s="475"/>
      <c r="D36" s="475"/>
      <c r="E36" s="475"/>
      <c r="F36" s="475"/>
      <c r="G36" s="475"/>
      <c r="H36" s="475"/>
      <c r="I36" s="475"/>
    </row>
    <row r="37" spans="2:12" x14ac:dyDescent="0.25">
      <c r="B37" s="475" t="str">
        <f>CONCATENATE("Az előterjesztésben foglalt költségvetés módosítással az előirányzat főösszege ",FIXED($H$53,0)," Ft-tal változik.")</f>
        <v>Az előterjesztésben foglalt költségvetés módosítással az előirányzat főösszege -13 369 816 Ft-tal változik.</v>
      </c>
      <c r="C37" s="475"/>
      <c r="D37" s="475"/>
      <c r="E37" s="475"/>
      <c r="F37" s="475"/>
      <c r="G37" s="475"/>
      <c r="H37" s="475"/>
      <c r="I37" s="475"/>
    </row>
    <row r="38" spans="2:12" x14ac:dyDescent="0.25">
      <c r="B38" s="475" t="s">
        <v>2600</v>
      </c>
      <c r="C38" s="475"/>
      <c r="D38" s="475"/>
      <c r="E38" s="475"/>
      <c r="F38" s="475"/>
      <c r="G38" s="475"/>
      <c r="H38" s="475"/>
      <c r="I38" s="475"/>
    </row>
    <row r="39" spans="2:12" x14ac:dyDescent="0.25">
      <c r="B39" s="475" t="s">
        <v>2601</v>
      </c>
      <c r="C39" s="475"/>
      <c r="D39" s="475"/>
      <c r="E39" s="475"/>
      <c r="F39" s="475"/>
      <c r="G39" s="475"/>
      <c r="H39" s="475"/>
      <c r="I39" s="475"/>
    </row>
    <row r="40" spans="2:12" x14ac:dyDescent="0.25">
      <c r="B40" s="475"/>
      <c r="C40" s="475"/>
      <c r="D40" s="475"/>
      <c r="E40" s="475"/>
      <c r="F40" s="475"/>
      <c r="G40" s="475"/>
      <c r="H40" s="475"/>
      <c r="I40" s="475"/>
    </row>
    <row r="41" spans="2:12" x14ac:dyDescent="0.25">
      <c r="B41" s="207" t="str">
        <f>CONCATENATE("1. számú táblázat"," - ",PAR!$E$3," bevételi előirányzat változásai")</f>
        <v>1. számú táblázat - Nagymaros Város Önkormányzata bevételi előirányzat változásai</v>
      </c>
    </row>
    <row r="43" spans="2:12" x14ac:dyDescent="0.25">
      <c r="B43" s="208"/>
      <c r="C43" s="208" t="s">
        <v>350</v>
      </c>
      <c r="D43" s="208" t="s">
        <v>351</v>
      </c>
      <c r="E43" s="208" t="s">
        <v>470</v>
      </c>
      <c r="F43" s="208" t="s">
        <v>471</v>
      </c>
      <c r="G43" s="208" t="s">
        <v>44</v>
      </c>
      <c r="H43" s="208" t="s">
        <v>42</v>
      </c>
      <c r="I43" s="208" t="s">
        <v>511</v>
      </c>
    </row>
    <row r="44" spans="2:12" ht="38.25" x14ac:dyDescent="0.25">
      <c r="B44" s="208">
        <v>1</v>
      </c>
      <c r="C44" s="210" t="s">
        <v>674</v>
      </c>
      <c r="D44" s="211" t="s">
        <v>675</v>
      </c>
      <c r="E44" s="211" t="str">
        <f>CONCATENATE("Eredeti előirányzat - ",Index!$E$17)</f>
        <v>Eredeti előirányzat - 2/2025. (II.25.)</v>
      </c>
      <c r="F44" s="211" t="s">
        <v>708</v>
      </c>
      <c r="G44" s="211" t="str">
        <f>CONCATENATE("Módosított előirányzat - ",Index!$E$18)</f>
        <v xml:space="preserve">Módosított előirányzat - </v>
      </c>
      <c r="H44" s="211" t="s">
        <v>709</v>
      </c>
      <c r="I44" s="211" t="str">
        <f>CONCATENATE("Módosított előirányzat - ",Index!$E$16)</f>
        <v>Módosított előirányzat - .../2025. (...)</v>
      </c>
      <c r="K44" s="368" t="s">
        <v>674</v>
      </c>
      <c r="L44" s="369" t="s">
        <v>2605</v>
      </c>
    </row>
    <row r="45" spans="2:12" x14ac:dyDescent="0.25">
      <c r="B45" s="209">
        <v>2</v>
      </c>
      <c r="C45" s="209" t="s">
        <v>21</v>
      </c>
      <c r="D45" s="212" t="s">
        <v>326</v>
      </c>
      <c r="E45" s="263">
        <f>'02'!E12+'02'!E20</f>
        <v>791692854</v>
      </c>
      <c r="F45" s="264">
        <f>G45-E45</f>
        <v>0</v>
      </c>
      <c r="G45" s="289">
        <v>791692854</v>
      </c>
      <c r="H45" s="287">
        <f>I45-G45</f>
        <v>15479423</v>
      </c>
      <c r="I45" s="263">
        <f>'02'!F12+'02'!F20</f>
        <v>807172277</v>
      </c>
      <c r="K45" s="370" t="s">
        <v>21</v>
      </c>
      <c r="L45" s="371">
        <f>I45/1000000</f>
        <v>807.17227700000001</v>
      </c>
    </row>
    <row r="46" spans="2:12" x14ac:dyDescent="0.25">
      <c r="B46" s="209">
        <v>3</v>
      </c>
      <c r="C46" s="209" t="s">
        <v>24</v>
      </c>
      <c r="D46" s="212" t="s">
        <v>327</v>
      </c>
      <c r="E46" s="263">
        <f>'02'!E26</f>
        <v>104900566</v>
      </c>
      <c r="F46" s="264">
        <f t="shared" ref="F46:H52" si="0">G46-E46</f>
        <v>0</v>
      </c>
      <c r="G46" s="289">
        <v>104900566</v>
      </c>
      <c r="H46" s="287">
        <f t="shared" si="0"/>
        <v>-30559603</v>
      </c>
      <c r="I46" s="263">
        <f>'02'!F26</f>
        <v>74340963</v>
      </c>
      <c r="K46" s="370" t="s">
        <v>24</v>
      </c>
      <c r="L46" s="371">
        <f t="shared" ref="L46:L52" si="1">I46/1000000</f>
        <v>74.340963000000002</v>
      </c>
    </row>
    <row r="47" spans="2:12" x14ac:dyDescent="0.25">
      <c r="B47" s="209">
        <v>4</v>
      </c>
      <c r="C47" s="209" t="s">
        <v>27</v>
      </c>
      <c r="D47" s="212" t="s">
        <v>328</v>
      </c>
      <c r="E47" s="263">
        <f>'02'!E32</f>
        <v>341800000</v>
      </c>
      <c r="F47" s="264">
        <f t="shared" si="0"/>
        <v>0</v>
      </c>
      <c r="G47" s="289">
        <v>341800000</v>
      </c>
      <c r="H47" s="287">
        <f t="shared" si="0"/>
        <v>0</v>
      </c>
      <c r="I47" s="263">
        <f>'02'!F32</f>
        <v>341800000</v>
      </c>
      <c r="K47" s="370" t="s">
        <v>27</v>
      </c>
      <c r="L47" s="371">
        <f t="shared" si="1"/>
        <v>341.8</v>
      </c>
    </row>
    <row r="48" spans="2:12" x14ac:dyDescent="0.25">
      <c r="B48" s="209">
        <v>5</v>
      </c>
      <c r="C48" s="209" t="s">
        <v>30</v>
      </c>
      <c r="D48" s="212" t="s">
        <v>329</v>
      </c>
      <c r="E48" s="263">
        <f>'02'!E39</f>
        <v>189182240</v>
      </c>
      <c r="F48" s="264">
        <f t="shared" si="0"/>
        <v>0</v>
      </c>
      <c r="G48" s="289">
        <v>189182240</v>
      </c>
      <c r="H48" s="287">
        <f t="shared" si="0"/>
        <v>0</v>
      </c>
      <c r="I48" s="263">
        <f>'02'!F39</f>
        <v>189182240</v>
      </c>
      <c r="K48" s="370" t="s">
        <v>30</v>
      </c>
      <c r="L48" s="371">
        <f t="shared" si="1"/>
        <v>189.18224000000001</v>
      </c>
    </row>
    <row r="49" spans="2:12" x14ac:dyDescent="0.25">
      <c r="B49" s="209">
        <v>6</v>
      </c>
      <c r="C49" s="209" t="s">
        <v>33</v>
      </c>
      <c r="D49" s="212" t="s">
        <v>330</v>
      </c>
      <c r="E49" s="263">
        <f>'02'!E53</f>
        <v>0</v>
      </c>
      <c r="F49" s="264">
        <f t="shared" si="0"/>
        <v>0</v>
      </c>
      <c r="G49" s="289">
        <v>0</v>
      </c>
      <c r="H49" s="287">
        <f t="shared" si="0"/>
        <v>0</v>
      </c>
      <c r="I49" s="263">
        <f>'02'!F53</f>
        <v>0</v>
      </c>
      <c r="K49" s="370" t="s">
        <v>33</v>
      </c>
      <c r="L49" s="371">
        <f t="shared" si="1"/>
        <v>0</v>
      </c>
    </row>
    <row r="50" spans="2:12" x14ac:dyDescent="0.25">
      <c r="B50" s="209">
        <v>7</v>
      </c>
      <c r="C50" s="209" t="s">
        <v>36</v>
      </c>
      <c r="D50" s="212" t="s">
        <v>331</v>
      </c>
      <c r="E50" s="263">
        <f>'02'!E59</f>
        <v>0</v>
      </c>
      <c r="F50" s="264">
        <f t="shared" si="0"/>
        <v>0</v>
      </c>
      <c r="G50" s="289">
        <v>0</v>
      </c>
      <c r="H50" s="287">
        <f t="shared" si="0"/>
        <v>1250400</v>
      </c>
      <c r="I50" s="263">
        <f>'02'!F59</f>
        <v>1250400</v>
      </c>
      <c r="K50" s="370" t="s">
        <v>36</v>
      </c>
      <c r="L50" s="371">
        <f t="shared" si="1"/>
        <v>1.2504</v>
      </c>
    </row>
    <row r="51" spans="2:12" x14ac:dyDescent="0.25">
      <c r="B51" s="209">
        <v>8</v>
      </c>
      <c r="C51" s="209" t="s">
        <v>38</v>
      </c>
      <c r="D51" s="212" t="s">
        <v>332</v>
      </c>
      <c r="E51" s="263">
        <f>'02'!E65</f>
        <v>0</v>
      </c>
      <c r="F51" s="264">
        <f t="shared" si="0"/>
        <v>0</v>
      </c>
      <c r="G51" s="289">
        <v>0</v>
      </c>
      <c r="H51" s="287">
        <f t="shared" si="0"/>
        <v>0</v>
      </c>
      <c r="I51" s="263">
        <f>'02'!F65</f>
        <v>0</v>
      </c>
      <c r="K51" s="370" t="s">
        <v>38</v>
      </c>
      <c r="L51" s="371">
        <f t="shared" si="1"/>
        <v>0</v>
      </c>
    </row>
    <row r="52" spans="2:12" x14ac:dyDescent="0.25">
      <c r="B52" s="209">
        <v>9</v>
      </c>
      <c r="C52" s="209" t="s">
        <v>40</v>
      </c>
      <c r="D52" s="212" t="s">
        <v>333</v>
      </c>
      <c r="E52" s="263">
        <f>'02'!E96</f>
        <v>240954908</v>
      </c>
      <c r="F52" s="264">
        <f t="shared" si="0"/>
        <v>0</v>
      </c>
      <c r="G52" s="289">
        <v>240954908</v>
      </c>
      <c r="H52" s="287">
        <f t="shared" si="0"/>
        <v>459964</v>
      </c>
      <c r="I52" s="263">
        <f>'02'!F96</f>
        <v>241414872</v>
      </c>
      <c r="K52" s="370" t="s">
        <v>40</v>
      </c>
      <c r="L52" s="371">
        <f t="shared" si="1"/>
        <v>241.414872</v>
      </c>
    </row>
    <row r="53" spans="2:12" x14ac:dyDescent="0.25">
      <c r="B53" s="209">
        <v>10</v>
      </c>
      <c r="C53" s="213"/>
      <c r="D53" s="214" t="s">
        <v>474</v>
      </c>
      <c r="E53" s="265">
        <f>SUM(E45:E52)</f>
        <v>1668530568</v>
      </c>
      <c r="F53" s="266">
        <f t="shared" ref="F53:H53" si="2">SUM(F45:F52)</f>
        <v>0</v>
      </c>
      <c r="G53" s="288">
        <f>SUM(G45:G52)</f>
        <v>1668530568</v>
      </c>
      <c r="H53" s="266">
        <f t="shared" si="2"/>
        <v>-13369816</v>
      </c>
      <c r="I53" s="265">
        <f t="shared" ref="I53" si="3">SUM(I45:I52)</f>
        <v>1655160752</v>
      </c>
    </row>
    <row r="54" spans="2:12" x14ac:dyDescent="0.25">
      <c r="B54" s="215"/>
      <c r="C54" s="215"/>
      <c r="D54" s="216"/>
      <c r="E54" s="216"/>
      <c r="F54" s="216"/>
      <c r="G54" s="216"/>
      <c r="H54" s="216"/>
      <c r="I54" s="216"/>
    </row>
    <row r="55" spans="2:12" x14ac:dyDescent="0.25">
      <c r="B55" s="207" t="str">
        <f>CONCATENATE("2. számú táblázat"," - ",PAR!$E$3," kiadási előirányzat változásai")</f>
        <v>2. számú táblázat - Nagymaros Város Önkormányzata kiadási előirányzat változásai</v>
      </c>
      <c r="C55" s="215"/>
      <c r="D55" s="216"/>
      <c r="E55" s="216"/>
      <c r="F55" s="216"/>
      <c r="G55" s="216"/>
      <c r="H55" s="216"/>
      <c r="I55" s="216"/>
    </row>
    <row r="56" spans="2:12" x14ac:dyDescent="0.25">
      <c r="B56" s="215"/>
      <c r="C56" s="215"/>
      <c r="D56" s="216"/>
      <c r="E56" s="216"/>
      <c r="F56" s="216"/>
      <c r="G56" s="216"/>
      <c r="H56" s="216"/>
      <c r="I56" s="216"/>
    </row>
    <row r="57" spans="2:12" x14ac:dyDescent="0.25">
      <c r="B57" s="208"/>
      <c r="C57" s="208" t="s">
        <v>350</v>
      </c>
      <c r="D57" s="208" t="s">
        <v>351</v>
      </c>
      <c r="E57" s="208" t="s">
        <v>470</v>
      </c>
      <c r="F57" s="208" t="s">
        <v>471</v>
      </c>
      <c r="G57" s="208" t="s">
        <v>44</v>
      </c>
      <c r="H57" s="208" t="s">
        <v>42</v>
      </c>
      <c r="I57" s="208" t="s">
        <v>511</v>
      </c>
    </row>
    <row r="58" spans="2:12" ht="38.25" x14ac:dyDescent="0.25">
      <c r="B58" s="208">
        <v>1</v>
      </c>
      <c r="C58" s="210" t="s">
        <v>674</v>
      </c>
      <c r="D58" s="211" t="s">
        <v>676</v>
      </c>
      <c r="E58" s="211" t="str">
        <f>CONCATENATE("Eredeti előirányzat - ",Index!$E$17)</f>
        <v>Eredeti előirányzat - 2/2025. (II.25.)</v>
      </c>
      <c r="F58" s="211" t="s">
        <v>708</v>
      </c>
      <c r="G58" s="211" t="str">
        <f>CONCATENATE("Módosított előirányzat - ",Index!$E$18)</f>
        <v xml:space="preserve">Módosított előirányzat - </v>
      </c>
      <c r="H58" s="211" t="s">
        <v>709</v>
      </c>
      <c r="I58" s="211" t="str">
        <f>CONCATENATE("Módosított előirányzat - ",Index!$E$16)</f>
        <v>Módosított előirányzat - .../2025. (...)</v>
      </c>
      <c r="K58" s="368" t="s">
        <v>674</v>
      </c>
      <c r="L58" s="369" t="s">
        <v>2605</v>
      </c>
    </row>
    <row r="59" spans="2:12" x14ac:dyDescent="0.25">
      <c r="B59" s="209">
        <v>2</v>
      </c>
      <c r="C59" s="209" t="s">
        <v>315</v>
      </c>
      <c r="D59" s="212" t="s">
        <v>316</v>
      </c>
      <c r="E59" s="263">
        <f>'02'!E104</f>
        <v>672205842</v>
      </c>
      <c r="F59" s="264">
        <f>G59-E59</f>
        <v>0</v>
      </c>
      <c r="G59" s="289">
        <v>672205842</v>
      </c>
      <c r="H59" s="287">
        <f>I59-G59</f>
        <v>2686704</v>
      </c>
      <c r="I59" s="263">
        <f>'02'!F104</f>
        <v>674892546</v>
      </c>
      <c r="K59" s="370" t="s">
        <v>315</v>
      </c>
      <c r="L59" s="371">
        <f>I59/1000000</f>
        <v>674.89254600000004</v>
      </c>
    </row>
    <row r="60" spans="2:12" x14ac:dyDescent="0.25">
      <c r="B60" s="209">
        <v>3</v>
      </c>
      <c r="C60" s="209" t="s">
        <v>317</v>
      </c>
      <c r="D60" s="212" t="s">
        <v>318</v>
      </c>
      <c r="E60" s="263">
        <f>'02'!E105</f>
        <v>84719570</v>
      </c>
      <c r="F60" s="264">
        <f t="shared" ref="F60:H67" si="4">G60-E60</f>
        <v>0</v>
      </c>
      <c r="G60" s="289">
        <v>84719570</v>
      </c>
      <c r="H60" s="287">
        <f t="shared" si="4"/>
        <v>107536</v>
      </c>
      <c r="I60" s="263">
        <f>'02'!F105</f>
        <v>84827106</v>
      </c>
      <c r="K60" s="370" t="s">
        <v>317</v>
      </c>
      <c r="L60" s="371">
        <f t="shared" ref="L60:L67" si="5">I60/1000000</f>
        <v>84.827106000000001</v>
      </c>
    </row>
    <row r="61" spans="2:12" x14ac:dyDescent="0.25">
      <c r="B61" s="209">
        <v>4</v>
      </c>
      <c r="C61" s="209" t="s">
        <v>4</v>
      </c>
      <c r="D61" s="212" t="s">
        <v>319</v>
      </c>
      <c r="E61" s="263">
        <f>'02'!E106</f>
        <v>543944688</v>
      </c>
      <c r="F61" s="264">
        <f t="shared" si="4"/>
        <v>0</v>
      </c>
      <c r="G61" s="289">
        <v>543944688</v>
      </c>
      <c r="H61" s="287">
        <f t="shared" si="4"/>
        <v>210288</v>
      </c>
      <c r="I61" s="263">
        <f>'02'!F106</f>
        <v>544154976</v>
      </c>
      <c r="K61" s="370" t="s">
        <v>4</v>
      </c>
      <c r="L61" s="371">
        <f t="shared" si="5"/>
        <v>544.15497600000003</v>
      </c>
    </row>
    <row r="62" spans="2:12" x14ac:dyDescent="0.25">
      <c r="B62" s="209">
        <v>5</v>
      </c>
      <c r="C62" s="209" t="s">
        <v>6</v>
      </c>
      <c r="D62" s="212" t="s">
        <v>320</v>
      </c>
      <c r="E62" s="263">
        <f>'02'!E107</f>
        <v>8000000</v>
      </c>
      <c r="F62" s="264">
        <f t="shared" si="4"/>
        <v>0</v>
      </c>
      <c r="G62" s="289">
        <v>8000000</v>
      </c>
      <c r="H62" s="287">
        <f t="shared" si="4"/>
        <v>0</v>
      </c>
      <c r="I62" s="263">
        <f>'02'!F107</f>
        <v>8000000</v>
      </c>
      <c r="K62" s="370" t="s">
        <v>6</v>
      </c>
      <c r="L62" s="371">
        <f t="shared" si="5"/>
        <v>8</v>
      </c>
    </row>
    <row r="63" spans="2:12" x14ac:dyDescent="0.25">
      <c r="B63" s="209">
        <v>6</v>
      </c>
      <c r="C63" s="209" t="s">
        <v>8</v>
      </c>
      <c r="D63" s="212" t="s">
        <v>321</v>
      </c>
      <c r="E63" s="263">
        <f>'02'!E108+'02'!E109</f>
        <v>151977539</v>
      </c>
      <c r="F63" s="264">
        <f t="shared" si="4"/>
        <v>0</v>
      </c>
      <c r="G63" s="289">
        <v>151977539</v>
      </c>
      <c r="H63" s="287">
        <f t="shared" si="4"/>
        <v>-16834308</v>
      </c>
      <c r="I63" s="263">
        <f>'02'!F108+'02'!F109</f>
        <v>135143231</v>
      </c>
      <c r="K63" s="370" t="s">
        <v>8</v>
      </c>
      <c r="L63" s="371">
        <f t="shared" si="5"/>
        <v>135.14323099999999</v>
      </c>
    </row>
    <row r="64" spans="2:12" x14ac:dyDescent="0.25">
      <c r="B64" s="209">
        <v>9</v>
      </c>
      <c r="C64" s="209" t="s">
        <v>10</v>
      </c>
      <c r="D64" s="212" t="s">
        <v>322</v>
      </c>
      <c r="E64" s="263">
        <f>'02'!E113</f>
        <v>134080399</v>
      </c>
      <c r="F64" s="264">
        <f t="shared" si="4"/>
        <v>0</v>
      </c>
      <c r="G64" s="289">
        <v>134080399</v>
      </c>
      <c r="H64" s="287">
        <f t="shared" si="4"/>
        <v>0</v>
      </c>
      <c r="I64" s="263">
        <f>'02'!F113</f>
        <v>134080399</v>
      </c>
      <c r="K64" s="370" t="s">
        <v>10</v>
      </c>
      <c r="L64" s="371">
        <f t="shared" si="5"/>
        <v>134.080399</v>
      </c>
    </row>
    <row r="65" spans="2:12" x14ac:dyDescent="0.25">
      <c r="B65" s="209">
        <v>10</v>
      </c>
      <c r="C65" s="209" t="s">
        <v>12</v>
      </c>
      <c r="D65" s="212" t="s">
        <v>323</v>
      </c>
      <c r="E65" s="263">
        <f>'02'!E115</f>
        <v>34567119</v>
      </c>
      <c r="F65" s="264">
        <f t="shared" si="4"/>
        <v>0</v>
      </c>
      <c r="G65" s="289">
        <v>34567119</v>
      </c>
      <c r="H65" s="287">
        <f t="shared" si="4"/>
        <v>0</v>
      </c>
      <c r="I65" s="263">
        <f>'02'!F115</f>
        <v>34567119</v>
      </c>
      <c r="K65" s="370" t="s">
        <v>12</v>
      </c>
      <c r="L65" s="371">
        <f t="shared" si="5"/>
        <v>34.567118999999998</v>
      </c>
    </row>
    <row r="66" spans="2:12" x14ac:dyDescent="0.25">
      <c r="B66" s="209">
        <v>11</v>
      </c>
      <c r="C66" s="209" t="s">
        <v>15</v>
      </c>
      <c r="D66" s="212" t="s">
        <v>324</v>
      </c>
      <c r="E66" s="263">
        <f>'02'!E117</f>
        <v>0</v>
      </c>
      <c r="F66" s="264">
        <f t="shared" si="4"/>
        <v>0</v>
      </c>
      <c r="G66" s="289">
        <v>0</v>
      </c>
      <c r="H66" s="287">
        <f t="shared" si="4"/>
        <v>0</v>
      </c>
      <c r="I66" s="263">
        <f>'02'!F117</f>
        <v>0</v>
      </c>
      <c r="K66" s="370" t="s">
        <v>15</v>
      </c>
      <c r="L66" s="371">
        <f t="shared" si="5"/>
        <v>0</v>
      </c>
    </row>
    <row r="67" spans="2:12" x14ac:dyDescent="0.25">
      <c r="B67" s="209">
        <v>12</v>
      </c>
      <c r="C67" s="209" t="s">
        <v>18</v>
      </c>
      <c r="D67" s="212" t="s">
        <v>325</v>
      </c>
      <c r="E67" s="263">
        <f>'02'!E143</f>
        <v>39035411</v>
      </c>
      <c r="F67" s="264">
        <f t="shared" si="4"/>
        <v>0</v>
      </c>
      <c r="G67" s="289">
        <v>39035411</v>
      </c>
      <c r="H67" s="287">
        <f t="shared" si="4"/>
        <v>459964</v>
      </c>
      <c r="I67" s="263">
        <f>'02'!F143</f>
        <v>39495375</v>
      </c>
      <c r="K67" s="370" t="s">
        <v>18</v>
      </c>
      <c r="L67" s="371">
        <f t="shared" si="5"/>
        <v>39.495375000000003</v>
      </c>
    </row>
    <row r="68" spans="2:12" x14ac:dyDescent="0.25">
      <c r="B68" s="209">
        <v>15</v>
      </c>
      <c r="C68" s="213"/>
      <c r="D68" s="214" t="s">
        <v>474</v>
      </c>
      <c r="E68" s="265">
        <f>SUM(E59:E67)</f>
        <v>1668530568</v>
      </c>
      <c r="F68" s="266">
        <f t="shared" ref="F68:I68" si="6">SUM(F59:F67)</f>
        <v>0</v>
      </c>
      <c r="G68" s="288">
        <f t="shared" si="6"/>
        <v>1668530568</v>
      </c>
      <c r="H68" s="266">
        <f t="shared" si="6"/>
        <v>-13369816</v>
      </c>
      <c r="I68" s="265">
        <f t="shared" si="6"/>
        <v>1655160752</v>
      </c>
    </row>
    <row r="70" spans="2:12" x14ac:dyDescent="0.25">
      <c r="B70" s="476" t="s">
        <v>2602</v>
      </c>
      <c r="C70" s="476"/>
      <c r="D70" s="476"/>
      <c r="E70" s="476"/>
      <c r="F70" s="476"/>
      <c r="G70" s="476"/>
      <c r="H70" s="476"/>
      <c r="I70" s="476"/>
    </row>
    <row r="72" spans="2:12" x14ac:dyDescent="0.25">
      <c r="B72" s="207" t="s">
        <v>2603</v>
      </c>
    </row>
    <row r="74" spans="2:12" x14ac:dyDescent="0.25">
      <c r="B74" s="208"/>
      <c r="C74" s="208" t="s">
        <v>350</v>
      </c>
      <c r="D74" s="483" t="s">
        <v>351</v>
      </c>
      <c r="E74" s="484"/>
      <c r="F74" s="484"/>
      <c r="G74" s="484"/>
      <c r="H74" s="485"/>
      <c r="I74" s="208" t="s">
        <v>470</v>
      </c>
    </row>
    <row r="75" spans="2:12" ht="25.5" x14ac:dyDescent="0.25">
      <c r="B75" s="208">
        <v>1</v>
      </c>
      <c r="C75" s="210" t="s">
        <v>674</v>
      </c>
      <c r="D75" s="486" t="s">
        <v>711</v>
      </c>
      <c r="E75" s="487"/>
      <c r="F75" s="487"/>
      <c r="G75" s="487"/>
      <c r="H75" s="488"/>
      <c r="I75" s="211" t="s">
        <v>709</v>
      </c>
    </row>
    <row r="76" spans="2:12" s="446" customFormat="1" ht="30.6" customHeight="1" x14ac:dyDescent="0.25">
      <c r="B76" s="444">
        <v>2</v>
      </c>
      <c r="C76" s="444" t="s">
        <v>21</v>
      </c>
      <c r="D76" s="477" t="s">
        <v>3181</v>
      </c>
      <c r="E76" s="478"/>
      <c r="F76" s="478"/>
      <c r="G76" s="478"/>
      <c r="H76" s="479"/>
      <c r="I76" s="445">
        <v>15479423</v>
      </c>
    </row>
    <row r="77" spans="2:12" ht="24.6" customHeight="1" x14ac:dyDescent="0.25">
      <c r="B77" s="209">
        <v>3</v>
      </c>
      <c r="C77" s="209" t="s">
        <v>24</v>
      </c>
      <c r="D77" s="477" t="s">
        <v>3182</v>
      </c>
      <c r="E77" s="478"/>
      <c r="F77" s="478"/>
      <c r="G77" s="478"/>
      <c r="H77" s="479"/>
      <c r="I77" s="264">
        <v>-30559603</v>
      </c>
    </row>
    <row r="78" spans="2:12" x14ac:dyDescent="0.25">
      <c r="B78" s="209">
        <v>4</v>
      </c>
      <c r="C78" s="209" t="s">
        <v>36</v>
      </c>
      <c r="D78" s="480" t="s">
        <v>3183</v>
      </c>
      <c r="E78" s="481"/>
      <c r="F78" s="481"/>
      <c r="G78" s="481"/>
      <c r="H78" s="482"/>
      <c r="I78" s="264">
        <v>1250400</v>
      </c>
    </row>
    <row r="79" spans="2:12" x14ac:dyDescent="0.25">
      <c r="B79" s="209">
        <v>5</v>
      </c>
      <c r="C79" s="209" t="s">
        <v>1301</v>
      </c>
      <c r="D79" s="480" t="s">
        <v>3180</v>
      </c>
      <c r="E79" s="481"/>
      <c r="F79" s="481"/>
      <c r="G79" s="481"/>
      <c r="H79" s="482"/>
      <c r="I79" s="264">
        <v>459964</v>
      </c>
    </row>
    <row r="80" spans="2:12" x14ac:dyDescent="0.25">
      <c r="B80" s="209">
        <v>15</v>
      </c>
      <c r="C80" s="209"/>
      <c r="D80" s="501" t="s">
        <v>486</v>
      </c>
      <c r="E80" s="502"/>
      <c r="F80" s="502"/>
      <c r="G80" s="502"/>
      <c r="H80" s="503"/>
      <c r="I80" s="266">
        <f>SUM(I76:I79)</f>
        <v>-13369816</v>
      </c>
    </row>
    <row r="81" spans="2:9" x14ac:dyDescent="0.25">
      <c r="B81" s="209">
        <v>16</v>
      </c>
      <c r="C81" s="209"/>
      <c r="D81" s="501" t="s">
        <v>712</v>
      </c>
      <c r="E81" s="502"/>
      <c r="F81" s="502"/>
      <c r="G81" s="502"/>
      <c r="H81" s="503"/>
      <c r="I81" s="266">
        <f>$H$53</f>
        <v>-13369816</v>
      </c>
    </row>
    <row r="82" spans="2:9" x14ac:dyDescent="0.25">
      <c r="B82" s="209">
        <v>17</v>
      </c>
      <c r="C82" s="209"/>
      <c r="D82" s="501" t="s">
        <v>713</v>
      </c>
      <c r="E82" s="502"/>
      <c r="F82" s="502"/>
      <c r="G82" s="502"/>
      <c r="H82" s="503"/>
      <c r="I82" s="266">
        <f>I80-I81</f>
        <v>0</v>
      </c>
    </row>
    <row r="84" spans="2:9" x14ac:dyDescent="0.25">
      <c r="B84" s="207" t="s">
        <v>2604</v>
      </c>
    </row>
    <row r="86" spans="2:9" x14ac:dyDescent="0.25">
      <c r="B86" s="208"/>
      <c r="C86" s="208" t="s">
        <v>350</v>
      </c>
      <c r="D86" s="483" t="s">
        <v>351</v>
      </c>
      <c r="E86" s="484"/>
      <c r="F86" s="484"/>
      <c r="G86" s="484"/>
      <c r="H86" s="485"/>
      <c r="I86" s="208" t="s">
        <v>470</v>
      </c>
    </row>
    <row r="87" spans="2:9" ht="25.5" x14ac:dyDescent="0.25">
      <c r="B87" s="208">
        <v>1</v>
      </c>
      <c r="C87" s="210" t="s">
        <v>674</v>
      </c>
      <c r="D87" s="486" t="s">
        <v>714</v>
      </c>
      <c r="E87" s="487"/>
      <c r="F87" s="487"/>
      <c r="G87" s="487"/>
      <c r="H87" s="488"/>
      <c r="I87" s="211" t="s">
        <v>709</v>
      </c>
    </row>
    <row r="88" spans="2:9" x14ac:dyDescent="0.25">
      <c r="B88" s="209">
        <v>2</v>
      </c>
      <c r="C88" s="209" t="s">
        <v>315</v>
      </c>
      <c r="D88" s="480" t="s">
        <v>3184</v>
      </c>
      <c r="E88" s="481"/>
      <c r="F88" s="481"/>
      <c r="G88" s="481"/>
      <c r="H88" s="482"/>
      <c r="I88" s="264">
        <v>2682789</v>
      </c>
    </row>
    <row r="89" spans="2:9" x14ac:dyDescent="0.25">
      <c r="B89" s="209">
        <v>3</v>
      </c>
      <c r="C89" s="209" t="s">
        <v>317</v>
      </c>
      <c r="D89" s="480" t="s">
        <v>3185</v>
      </c>
      <c r="E89" s="481"/>
      <c r="F89" s="481"/>
      <c r="G89" s="481"/>
      <c r="H89" s="482"/>
      <c r="I89" s="264">
        <v>107536</v>
      </c>
    </row>
    <row r="90" spans="2:9" ht="27.6" customHeight="1" x14ac:dyDescent="0.25">
      <c r="B90" s="209">
        <v>4</v>
      </c>
      <c r="C90" s="209" t="s">
        <v>4</v>
      </c>
      <c r="D90" s="477" t="s">
        <v>3186</v>
      </c>
      <c r="E90" s="478"/>
      <c r="F90" s="478"/>
      <c r="G90" s="478"/>
      <c r="H90" s="479"/>
      <c r="I90" s="264">
        <v>214203</v>
      </c>
    </row>
    <row r="91" spans="2:9" x14ac:dyDescent="0.25">
      <c r="B91" s="209">
        <v>5</v>
      </c>
      <c r="C91" s="209" t="s">
        <v>8</v>
      </c>
      <c r="D91" s="480" t="s">
        <v>3187</v>
      </c>
      <c r="E91" s="481"/>
      <c r="F91" s="481"/>
      <c r="G91" s="481"/>
      <c r="H91" s="482"/>
      <c r="I91" s="264">
        <v>3715884</v>
      </c>
    </row>
    <row r="92" spans="2:9" x14ac:dyDescent="0.25">
      <c r="B92" s="209">
        <v>6</v>
      </c>
      <c r="C92" s="209" t="s">
        <v>8</v>
      </c>
      <c r="D92" s="480" t="s">
        <v>3188</v>
      </c>
      <c r="E92" s="481"/>
      <c r="F92" s="481"/>
      <c r="G92" s="481"/>
      <c r="H92" s="482"/>
      <c r="I92" s="264">
        <v>-20550192</v>
      </c>
    </row>
    <row r="93" spans="2:9" x14ac:dyDescent="0.25">
      <c r="B93" s="209">
        <v>7</v>
      </c>
      <c r="C93" s="209" t="s">
        <v>1287</v>
      </c>
      <c r="D93" s="480" t="s">
        <v>417</v>
      </c>
      <c r="E93" s="481"/>
      <c r="F93" s="481"/>
      <c r="G93" s="481"/>
      <c r="H93" s="482"/>
      <c r="I93" s="264">
        <v>459964</v>
      </c>
    </row>
    <row r="94" spans="2:9" x14ac:dyDescent="0.25">
      <c r="B94" s="209">
        <v>15</v>
      </c>
      <c r="C94" s="209"/>
      <c r="D94" s="501" t="s">
        <v>486</v>
      </c>
      <c r="E94" s="502"/>
      <c r="F94" s="502"/>
      <c r="G94" s="502"/>
      <c r="H94" s="503"/>
      <c r="I94" s="266">
        <f>SUM(I88:I93)</f>
        <v>-13369816</v>
      </c>
    </row>
    <row r="95" spans="2:9" x14ac:dyDescent="0.25">
      <c r="B95" s="209">
        <v>16</v>
      </c>
      <c r="C95" s="209"/>
      <c r="D95" s="501" t="s">
        <v>712</v>
      </c>
      <c r="E95" s="502"/>
      <c r="F95" s="502"/>
      <c r="G95" s="502"/>
      <c r="H95" s="503"/>
      <c r="I95" s="266">
        <f>$H$68</f>
        <v>-13369816</v>
      </c>
    </row>
    <row r="96" spans="2:9" x14ac:dyDescent="0.25">
      <c r="B96" s="209">
        <v>17</v>
      </c>
      <c r="C96" s="209"/>
      <c r="D96" s="501" t="s">
        <v>713</v>
      </c>
      <c r="E96" s="502"/>
      <c r="F96" s="502"/>
      <c r="G96" s="502"/>
      <c r="H96" s="503"/>
      <c r="I96" s="266">
        <f>I94-I95</f>
        <v>0</v>
      </c>
    </row>
    <row r="98" spans="2:9" x14ac:dyDescent="0.25">
      <c r="B98" s="476" t="s">
        <v>2608</v>
      </c>
      <c r="C98" s="476"/>
      <c r="D98" s="476"/>
      <c r="E98" s="476"/>
      <c r="F98" s="476"/>
      <c r="G98" s="476"/>
      <c r="H98" s="476"/>
      <c r="I98" s="476"/>
    </row>
    <row r="99" spans="2:9" x14ac:dyDescent="0.25">
      <c r="B99" s="215"/>
      <c r="C99" s="215"/>
      <c r="D99" s="253"/>
      <c r="E99" s="253"/>
      <c r="F99" s="253"/>
      <c r="G99" s="253"/>
      <c r="H99" s="253"/>
      <c r="I99" s="267"/>
    </row>
    <row r="100" spans="2:9" x14ac:dyDescent="0.25">
      <c r="B100" s="475" t="s">
        <v>2606</v>
      </c>
      <c r="C100" s="475"/>
      <c r="D100" s="475"/>
      <c r="E100" s="475"/>
      <c r="F100" s="475"/>
      <c r="G100" s="475"/>
      <c r="H100" s="475"/>
      <c r="I100" s="475"/>
    </row>
    <row r="101" spans="2:9" x14ac:dyDescent="0.25">
      <c r="E101" s="217"/>
      <c r="F101" s="206"/>
      <c r="G101" s="206"/>
      <c r="H101" s="206"/>
      <c r="I101" s="217"/>
    </row>
    <row r="102" spans="2:9" x14ac:dyDescent="0.25">
      <c r="E102" s="217"/>
      <c r="F102" s="206"/>
      <c r="G102" s="206"/>
      <c r="H102" s="206"/>
      <c r="I102" s="217"/>
    </row>
    <row r="103" spans="2:9" x14ac:dyDescent="0.25">
      <c r="E103" s="206"/>
      <c r="F103" s="206"/>
      <c r="G103" s="206"/>
      <c r="H103" s="206"/>
      <c r="I103" s="206"/>
    </row>
    <row r="123" spans="2:9" x14ac:dyDescent="0.25">
      <c r="B123" s="475" t="s">
        <v>2607</v>
      </c>
      <c r="C123" s="475"/>
      <c r="D123" s="475"/>
      <c r="E123" s="475"/>
      <c r="F123" s="475"/>
      <c r="G123" s="475"/>
      <c r="H123" s="475"/>
      <c r="I123" s="475"/>
    </row>
    <row r="145" spans="2:12" x14ac:dyDescent="0.25">
      <c r="K145" s="373" t="s">
        <v>52</v>
      </c>
      <c r="L145" s="373"/>
    </row>
    <row r="146" spans="2:12" x14ac:dyDescent="0.25">
      <c r="B146" s="475" t="s">
        <v>2615</v>
      </c>
      <c r="C146" s="475"/>
      <c r="D146" s="475"/>
      <c r="E146" s="475"/>
      <c r="F146" s="475"/>
      <c r="G146" s="475"/>
      <c r="H146" s="475"/>
      <c r="I146" s="475"/>
      <c r="K146" s="373" t="s">
        <v>2610</v>
      </c>
      <c r="L146" s="374">
        <f>'T1'!E1184/1000000</f>
        <v>1300.540362</v>
      </c>
    </row>
    <row r="147" spans="2:12" x14ac:dyDescent="0.25">
      <c r="K147" s="373" t="s">
        <v>2611</v>
      </c>
      <c r="L147" s="374">
        <f>'T1'!F1184/1000000</f>
        <v>1272.421693</v>
      </c>
    </row>
    <row r="148" spans="2:12" x14ac:dyDescent="0.25">
      <c r="K148" s="373" t="s">
        <v>2612</v>
      </c>
      <c r="L148" s="374">
        <f>'T1'!G1184/1000000</f>
        <v>1643.32826</v>
      </c>
    </row>
    <row r="149" spans="2:12" x14ac:dyDescent="0.25">
      <c r="K149" s="373" t="s">
        <v>2613</v>
      </c>
      <c r="L149" s="374">
        <f>'T1'!H1184/1000000</f>
        <v>1668.5305679999999</v>
      </c>
    </row>
    <row r="150" spans="2:12" x14ac:dyDescent="0.25">
      <c r="K150" s="373" t="s">
        <v>2614</v>
      </c>
      <c r="L150" s="374">
        <f>'T1'!K1184/1000000</f>
        <v>1655.160752</v>
      </c>
    </row>
    <row r="171" spans="2:9" x14ac:dyDescent="0.25">
      <c r="B171" s="476" t="s">
        <v>2609</v>
      </c>
      <c r="C171" s="476"/>
      <c r="D171" s="476"/>
      <c r="E171" s="476"/>
      <c r="F171" s="476"/>
      <c r="G171" s="476"/>
      <c r="H171" s="476"/>
      <c r="I171" s="476"/>
    </row>
    <row r="172" spans="2:9" x14ac:dyDescent="0.25">
      <c r="B172" s="475"/>
      <c r="C172" s="475"/>
      <c r="D172" s="475"/>
      <c r="E172" s="475"/>
      <c r="F172" s="475"/>
      <c r="G172" s="475"/>
      <c r="H172" s="475"/>
      <c r="I172" s="475"/>
    </row>
    <row r="173" spans="2:9" x14ac:dyDescent="0.25">
      <c r="B173" s="475" t="s">
        <v>2616</v>
      </c>
      <c r="C173" s="475"/>
      <c r="D173" s="475"/>
      <c r="E173" s="475"/>
      <c r="F173" s="475"/>
      <c r="G173" s="475"/>
      <c r="H173" s="475"/>
      <c r="I173" s="475"/>
    </row>
    <row r="174" spans="2:9" x14ac:dyDescent="0.25">
      <c r="B174" s="475" t="s">
        <v>2617</v>
      </c>
      <c r="C174" s="475"/>
      <c r="D174" s="475"/>
      <c r="E174" s="475"/>
      <c r="F174" s="475"/>
      <c r="G174" s="475"/>
      <c r="H174" s="475"/>
      <c r="I174" s="475"/>
    </row>
    <row r="175" spans="2:9" x14ac:dyDescent="0.25">
      <c r="B175" s="475"/>
      <c r="C175" s="475"/>
      <c r="D175" s="475"/>
      <c r="E175" s="475"/>
      <c r="F175" s="475"/>
      <c r="G175" s="475"/>
      <c r="H175" s="475"/>
      <c r="I175" s="475"/>
    </row>
    <row r="176" spans="2:9" x14ac:dyDescent="0.25">
      <c r="B176" s="505" t="s">
        <v>2618</v>
      </c>
      <c r="C176" s="505"/>
      <c r="D176" s="505"/>
      <c r="E176" s="505"/>
      <c r="F176" s="505"/>
      <c r="G176" s="505"/>
      <c r="H176" s="505"/>
      <c r="I176" s="505"/>
    </row>
    <row r="177" spans="2:9" x14ac:dyDescent="0.25">
      <c r="B177" s="475"/>
      <c r="C177" s="475"/>
      <c r="D177" s="475"/>
      <c r="E177" s="475"/>
      <c r="F177" s="475"/>
      <c r="G177" s="475"/>
      <c r="H177" s="475"/>
      <c r="I177" s="475"/>
    </row>
    <row r="178" spans="2:9" x14ac:dyDescent="0.25">
      <c r="B178" s="475" t="s">
        <v>2634</v>
      </c>
      <c r="C178" s="475"/>
      <c r="D178" s="475"/>
      <c r="E178" s="475"/>
      <c r="F178" s="475"/>
      <c r="G178" s="475"/>
      <c r="H178" s="475"/>
      <c r="I178" s="475"/>
    </row>
    <row r="179" spans="2:9" x14ac:dyDescent="0.25">
      <c r="B179" s="475" t="s">
        <v>2619</v>
      </c>
      <c r="C179" s="475"/>
      <c r="D179" s="475"/>
      <c r="E179" s="475"/>
      <c r="F179" s="475"/>
      <c r="G179" s="475"/>
      <c r="H179" s="475"/>
      <c r="I179" s="475"/>
    </row>
    <row r="180" spans="2:9" x14ac:dyDescent="0.25">
      <c r="B180" s="475" t="s">
        <v>2620</v>
      </c>
      <c r="C180" s="475"/>
      <c r="D180" s="475"/>
      <c r="E180" s="475"/>
      <c r="F180" s="475"/>
      <c r="G180" s="475"/>
      <c r="H180" s="475"/>
      <c r="I180" s="475"/>
    </row>
    <row r="181" spans="2:9" x14ac:dyDescent="0.25">
      <c r="B181" s="475" t="s">
        <v>2621</v>
      </c>
      <c r="C181" s="475"/>
      <c r="D181" s="475"/>
      <c r="E181" s="475"/>
      <c r="F181" s="475"/>
      <c r="G181" s="475"/>
      <c r="H181" s="475"/>
      <c r="I181" s="475"/>
    </row>
    <row r="182" spans="2:9" x14ac:dyDescent="0.25">
      <c r="B182" s="475"/>
      <c r="C182" s="475"/>
      <c r="D182" s="475"/>
      <c r="E182" s="475"/>
      <c r="F182" s="475"/>
      <c r="G182" s="475"/>
      <c r="H182" s="475"/>
      <c r="I182" s="475"/>
    </row>
    <row r="183" spans="2:9" x14ac:dyDescent="0.25">
      <c r="B183" s="505" t="s">
        <v>2622</v>
      </c>
      <c r="C183" s="505"/>
      <c r="D183" s="505"/>
      <c r="E183" s="505"/>
      <c r="F183" s="505"/>
      <c r="G183" s="505"/>
      <c r="H183" s="505"/>
      <c r="I183" s="505"/>
    </row>
    <row r="184" spans="2:9" x14ac:dyDescent="0.25">
      <c r="B184" s="475"/>
      <c r="C184" s="475"/>
      <c r="D184" s="475"/>
      <c r="E184" s="475"/>
      <c r="F184" s="475"/>
      <c r="G184" s="475"/>
      <c r="H184" s="475"/>
      <c r="I184" s="475"/>
    </row>
    <row r="185" spans="2:9" x14ac:dyDescent="0.25">
      <c r="B185" s="475" t="s">
        <v>2635</v>
      </c>
      <c r="C185" s="475"/>
      <c r="D185" s="475"/>
      <c r="E185" s="475"/>
      <c r="F185" s="475"/>
      <c r="G185" s="475"/>
      <c r="H185" s="475"/>
      <c r="I185" s="475"/>
    </row>
    <row r="186" spans="2:9" x14ac:dyDescent="0.25">
      <c r="B186" s="475" t="s">
        <v>2623</v>
      </c>
      <c r="C186" s="475"/>
      <c r="D186" s="475"/>
      <c r="E186" s="475"/>
      <c r="F186" s="475"/>
      <c r="G186" s="475"/>
      <c r="H186" s="475"/>
      <c r="I186" s="475"/>
    </row>
    <row r="187" spans="2:9" x14ac:dyDescent="0.25">
      <c r="B187" s="475"/>
      <c r="C187" s="475"/>
      <c r="D187" s="475"/>
      <c r="E187" s="475"/>
      <c r="F187" s="475"/>
      <c r="G187" s="475"/>
      <c r="H187" s="475"/>
      <c r="I187" s="475"/>
    </row>
    <row r="188" spans="2:9" x14ac:dyDescent="0.25">
      <c r="B188" s="505" t="s">
        <v>2624</v>
      </c>
      <c r="C188" s="505"/>
      <c r="D188" s="505"/>
      <c r="E188" s="505"/>
      <c r="F188" s="505"/>
      <c r="G188" s="505"/>
      <c r="H188" s="505"/>
      <c r="I188" s="505"/>
    </row>
    <row r="189" spans="2:9" x14ac:dyDescent="0.25">
      <c r="B189" s="475"/>
      <c r="C189" s="475"/>
      <c r="D189" s="475"/>
      <c r="E189" s="475"/>
      <c r="F189" s="475"/>
      <c r="G189" s="475"/>
      <c r="H189" s="475"/>
      <c r="I189" s="475"/>
    </row>
    <row r="190" spans="2:9" x14ac:dyDescent="0.25">
      <c r="B190" s="475" t="s">
        <v>2625</v>
      </c>
      <c r="C190" s="475"/>
      <c r="D190" s="475"/>
      <c r="E190" s="475"/>
      <c r="F190" s="475"/>
      <c r="G190" s="475"/>
      <c r="H190" s="475"/>
      <c r="I190" s="475"/>
    </row>
    <row r="191" spans="2:9" x14ac:dyDescent="0.25">
      <c r="B191" s="475" t="s">
        <v>2626</v>
      </c>
      <c r="C191" s="475"/>
      <c r="D191" s="475"/>
      <c r="E191" s="475"/>
      <c r="F191" s="475"/>
      <c r="G191" s="475"/>
      <c r="H191" s="475"/>
      <c r="I191" s="475"/>
    </row>
    <row r="192" spans="2:9" x14ac:dyDescent="0.25">
      <c r="B192" s="475"/>
      <c r="C192" s="475"/>
      <c r="D192" s="475"/>
      <c r="E192" s="475"/>
      <c r="F192" s="475"/>
      <c r="G192" s="475"/>
      <c r="H192" s="475"/>
      <c r="I192" s="475"/>
    </row>
    <row r="193" spans="2:9" x14ac:dyDescent="0.25">
      <c r="B193" s="505" t="s">
        <v>2627</v>
      </c>
      <c r="C193" s="505"/>
      <c r="D193" s="505"/>
      <c r="E193" s="505"/>
      <c r="F193" s="505"/>
      <c r="G193" s="505"/>
      <c r="H193" s="505"/>
      <c r="I193" s="505"/>
    </row>
    <row r="194" spans="2:9" x14ac:dyDescent="0.25">
      <c r="B194" s="475"/>
      <c r="C194" s="475"/>
      <c r="D194" s="475"/>
      <c r="E194" s="475"/>
      <c r="F194" s="475"/>
      <c r="G194" s="475"/>
      <c r="H194" s="475"/>
      <c r="I194" s="475"/>
    </row>
    <row r="195" spans="2:9" x14ac:dyDescent="0.25">
      <c r="B195" s="475" t="s">
        <v>2628</v>
      </c>
      <c r="C195" s="475"/>
      <c r="D195" s="475"/>
      <c r="E195" s="475"/>
      <c r="F195" s="475"/>
      <c r="G195" s="475"/>
      <c r="H195" s="475"/>
      <c r="I195" s="475"/>
    </row>
    <row r="196" spans="2:9" x14ac:dyDescent="0.25">
      <c r="B196" s="475" t="s">
        <v>2629</v>
      </c>
      <c r="C196" s="475"/>
      <c r="D196" s="475"/>
      <c r="E196" s="475"/>
      <c r="F196" s="475"/>
      <c r="G196" s="475"/>
      <c r="H196" s="475"/>
      <c r="I196" s="475"/>
    </row>
    <row r="197" spans="2:9" x14ac:dyDescent="0.25">
      <c r="B197" s="475"/>
      <c r="C197" s="475"/>
      <c r="D197" s="475"/>
      <c r="E197" s="475"/>
      <c r="F197" s="475"/>
      <c r="G197" s="475"/>
      <c r="H197" s="475"/>
      <c r="I197" s="475"/>
    </row>
    <row r="198" spans="2:9" x14ac:dyDescent="0.25">
      <c r="B198" s="505" t="s">
        <v>2630</v>
      </c>
      <c r="C198" s="505"/>
      <c r="D198" s="505"/>
      <c r="E198" s="505"/>
      <c r="F198" s="505"/>
      <c r="G198" s="505"/>
      <c r="H198" s="505"/>
      <c r="I198" s="505"/>
    </row>
    <row r="199" spans="2:9" x14ac:dyDescent="0.25">
      <c r="B199" s="475"/>
      <c r="C199" s="475"/>
      <c r="D199" s="475"/>
      <c r="E199" s="475"/>
      <c r="F199" s="475"/>
      <c r="G199" s="475"/>
      <c r="H199" s="475"/>
      <c r="I199" s="475"/>
    </row>
    <row r="200" spans="2:9" x14ac:dyDescent="0.25">
      <c r="B200" s="475" t="s">
        <v>2631</v>
      </c>
      <c r="C200" s="475"/>
      <c r="D200" s="475"/>
      <c r="E200" s="475"/>
      <c r="F200" s="475"/>
      <c r="G200" s="475"/>
      <c r="H200" s="475"/>
      <c r="I200" s="475"/>
    </row>
    <row r="201" spans="2:9" x14ac:dyDescent="0.25">
      <c r="B201" s="475" t="s">
        <v>2632</v>
      </c>
      <c r="C201" s="475"/>
      <c r="D201" s="475"/>
      <c r="E201" s="475"/>
      <c r="F201" s="475"/>
      <c r="G201" s="475"/>
      <c r="H201" s="475"/>
      <c r="I201" s="475"/>
    </row>
    <row r="202" spans="2:9" x14ac:dyDescent="0.25">
      <c r="B202" s="475" t="s">
        <v>2633</v>
      </c>
      <c r="C202" s="475"/>
      <c r="D202" s="475"/>
      <c r="E202" s="475"/>
      <c r="F202" s="475"/>
      <c r="G202" s="475"/>
      <c r="H202" s="475"/>
      <c r="I202" s="475"/>
    </row>
    <row r="203" spans="2:9" x14ac:dyDescent="0.25">
      <c r="B203" s="220"/>
      <c r="C203" s="220"/>
      <c r="D203" s="220"/>
      <c r="E203" s="220"/>
      <c r="F203" s="220"/>
      <c r="G203" s="220"/>
      <c r="H203" s="220"/>
      <c r="I203" s="220"/>
    </row>
    <row r="204" spans="2:9" x14ac:dyDescent="0.25">
      <c r="B204" s="220"/>
      <c r="C204" s="220"/>
      <c r="D204" s="220"/>
      <c r="E204" s="220"/>
      <c r="F204" s="220"/>
      <c r="G204" s="220"/>
      <c r="H204" s="220"/>
      <c r="I204" s="220"/>
    </row>
    <row r="205" spans="2:9" x14ac:dyDescent="0.25">
      <c r="B205" s="220"/>
      <c r="C205" s="220"/>
      <c r="D205" s="220"/>
      <c r="E205" s="220"/>
      <c r="F205" s="220"/>
      <c r="G205" s="220"/>
      <c r="H205" s="220"/>
      <c r="I205" s="220"/>
    </row>
    <row r="206" spans="2:9" x14ac:dyDescent="0.25">
      <c r="B206" s="475"/>
      <c r="C206" s="475"/>
      <c r="D206" s="475"/>
      <c r="E206" s="475"/>
      <c r="F206" s="475"/>
      <c r="G206" s="475"/>
      <c r="H206" s="475"/>
      <c r="I206" s="475"/>
    </row>
    <row r="207" spans="2:9" x14ac:dyDescent="0.25">
      <c r="B207" s="475"/>
      <c r="C207" s="475"/>
      <c r="D207" s="475"/>
      <c r="E207" s="475"/>
      <c r="F207" s="475"/>
      <c r="G207" s="475"/>
      <c r="H207" s="475"/>
      <c r="I207" s="475"/>
    </row>
    <row r="208" spans="2:9" x14ac:dyDescent="0.25">
      <c r="B208" s="475"/>
      <c r="C208" s="475"/>
      <c r="D208" s="475"/>
      <c r="E208" s="475"/>
      <c r="F208" s="475"/>
      <c r="G208" s="475"/>
      <c r="H208" s="475"/>
      <c r="I208" s="475"/>
    </row>
    <row r="209" spans="2:9" x14ac:dyDescent="0.25">
      <c r="B209" s="475"/>
      <c r="C209" s="475"/>
      <c r="D209" s="475"/>
      <c r="E209" s="475"/>
      <c r="F209" s="475"/>
      <c r="G209" s="475"/>
      <c r="H209" s="475"/>
      <c r="I209" s="475"/>
    </row>
    <row r="210" spans="2:9" x14ac:dyDescent="0.25">
      <c r="B210" s="475"/>
      <c r="C210" s="475"/>
      <c r="D210" s="475"/>
      <c r="E210" s="475"/>
      <c r="F210" s="475"/>
      <c r="G210" s="475"/>
      <c r="H210" s="475"/>
      <c r="I210" s="475"/>
    </row>
    <row r="211" spans="2:9" x14ac:dyDescent="0.25">
      <c r="B211" s="475"/>
      <c r="C211" s="475"/>
      <c r="D211" s="475"/>
      <c r="E211" s="475"/>
      <c r="F211" s="475"/>
      <c r="G211" s="475"/>
      <c r="H211" s="475"/>
      <c r="I211" s="475"/>
    </row>
    <row r="212" spans="2:9" x14ac:dyDescent="0.25">
      <c r="B212" s="475"/>
      <c r="C212" s="475"/>
      <c r="D212" s="475"/>
      <c r="E212" s="475"/>
      <c r="F212" s="475"/>
      <c r="G212" s="475"/>
      <c r="H212" s="475"/>
      <c r="I212" s="475"/>
    </row>
    <row r="213" spans="2:9" x14ac:dyDescent="0.25">
      <c r="B213" s="475"/>
      <c r="C213" s="475"/>
      <c r="D213" s="475"/>
      <c r="E213" s="475"/>
      <c r="F213" s="475"/>
      <c r="G213" s="475"/>
      <c r="H213" s="475"/>
      <c r="I213" s="475"/>
    </row>
    <row r="214" spans="2:9" x14ac:dyDescent="0.25">
      <c r="B214" s="475"/>
      <c r="C214" s="475"/>
      <c r="D214" s="475"/>
      <c r="E214" s="475"/>
      <c r="F214" s="475"/>
      <c r="G214" s="475"/>
      <c r="H214" s="475"/>
      <c r="I214" s="475"/>
    </row>
  </sheetData>
  <sheetProtection formatCells="0" formatRows="0" insertColumns="0" insertRows="0"/>
  <mergeCells count="110">
    <mergeCell ref="B213:I213"/>
    <mergeCell ref="B214:I214"/>
    <mergeCell ref="B186:I186"/>
    <mergeCell ref="B187:I187"/>
    <mergeCell ref="B188:I188"/>
    <mergeCell ref="B189:I189"/>
    <mergeCell ref="B190:I190"/>
    <mergeCell ref="B191:I191"/>
    <mergeCell ref="B192:I192"/>
    <mergeCell ref="B193:I193"/>
    <mergeCell ref="B194:I194"/>
    <mergeCell ref="B195:I195"/>
    <mergeCell ref="B196:I196"/>
    <mergeCell ref="B197:I197"/>
    <mergeCell ref="B198:I198"/>
    <mergeCell ref="B199:I199"/>
    <mergeCell ref="B200:I200"/>
    <mergeCell ref="B201:I201"/>
    <mergeCell ref="B202:I202"/>
    <mergeCell ref="B184:I184"/>
    <mergeCell ref="B206:I206"/>
    <mergeCell ref="B207:I207"/>
    <mergeCell ref="B208:I208"/>
    <mergeCell ref="B209:I209"/>
    <mergeCell ref="B210:I210"/>
    <mergeCell ref="B211:I211"/>
    <mergeCell ref="B185:I185"/>
    <mergeCell ref="B212:I212"/>
    <mergeCell ref="B179:I179"/>
    <mergeCell ref="B180:I180"/>
    <mergeCell ref="B181:I181"/>
    <mergeCell ref="B172:I172"/>
    <mergeCell ref="B173:I173"/>
    <mergeCell ref="B174:I174"/>
    <mergeCell ref="B175:I175"/>
    <mergeCell ref="B182:I182"/>
    <mergeCell ref="B183:I183"/>
    <mergeCell ref="D91:H91"/>
    <mergeCell ref="D92:H92"/>
    <mergeCell ref="D93:H93"/>
    <mergeCell ref="D94:H94"/>
    <mergeCell ref="D95:H95"/>
    <mergeCell ref="D96:H96"/>
    <mergeCell ref="B176:I176"/>
    <mergeCell ref="B177:I177"/>
    <mergeCell ref="B178:I178"/>
    <mergeCell ref="B98:I98"/>
    <mergeCell ref="H21:I21"/>
    <mergeCell ref="H22:I22"/>
    <mergeCell ref="C32:F32"/>
    <mergeCell ref="C33:F33"/>
    <mergeCell ref="B12:D12"/>
    <mergeCell ref="B13:D13"/>
    <mergeCell ref="D90:H90"/>
    <mergeCell ref="D80:H80"/>
    <mergeCell ref="D81:H81"/>
    <mergeCell ref="D82:H82"/>
    <mergeCell ref="B24:I24"/>
    <mergeCell ref="B70:I70"/>
    <mergeCell ref="D74:H74"/>
    <mergeCell ref="D75:H75"/>
    <mergeCell ref="D76:H76"/>
    <mergeCell ref="B38:I38"/>
    <mergeCell ref="B39:I39"/>
    <mergeCell ref="B40:I40"/>
    <mergeCell ref="B26:I26"/>
    <mergeCell ref="B27:I27"/>
    <mergeCell ref="B28:I28"/>
    <mergeCell ref="B29:I29"/>
    <mergeCell ref="B17:D17"/>
    <mergeCell ref="B1:I1"/>
    <mergeCell ref="E16:I16"/>
    <mergeCell ref="E17:I17"/>
    <mergeCell ref="B5:I5"/>
    <mergeCell ref="B3:I3"/>
    <mergeCell ref="B2:I2"/>
    <mergeCell ref="E11:I11"/>
    <mergeCell ref="E12:I12"/>
    <mergeCell ref="E13:I13"/>
    <mergeCell ref="E14:I14"/>
    <mergeCell ref="E15:I15"/>
    <mergeCell ref="B7:D7"/>
    <mergeCell ref="E7:I7"/>
    <mergeCell ref="B8:D8"/>
    <mergeCell ref="E8:I8"/>
    <mergeCell ref="E9:I9"/>
    <mergeCell ref="E10:I10"/>
    <mergeCell ref="B9:D9"/>
    <mergeCell ref="B10:D10"/>
    <mergeCell ref="B11:D11"/>
    <mergeCell ref="C34:F34"/>
    <mergeCell ref="C35:F35"/>
    <mergeCell ref="B100:I100"/>
    <mergeCell ref="B123:I123"/>
    <mergeCell ref="B171:I171"/>
    <mergeCell ref="B146:I146"/>
    <mergeCell ref="D77:H77"/>
    <mergeCell ref="D78:H78"/>
    <mergeCell ref="D79:H79"/>
    <mergeCell ref="D86:H86"/>
    <mergeCell ref="D87:H87"/>
    <mergeCell ref="D88:H88"/>
    <mergeCell ref="D89:H89"/>
    <mergeCell ref="B30:I30"/>
    <mergeCell ref="B31:I31"/>
    <mergeCell ref="B36:I36"/>
    <mergeCell ref="B37:I37"/>
    <mergeCell ref="B14:D14"/>
    <mergeCell ref="B15:D15"/>
    <mergeCell ref="B16:D16"/>
  </mergeCells>
  <pageMargins left="0.70866141732283472" right="0.70866141732283472" top="0.74803149606299213" bottom="0.74803149606299213" header="0.31496062992125984" footer="0.31496062992125984"/>
  <pageSetup paperSize="9" scale="79" fitToHeight="10" orientation="portrait" r:id="rId1"/>
  <rowBreaks count="4" manualBreakCount="4">
    <brk id="23" max="9" man="1"/>
    <brk id="69" max="9" man="1"/>
    <brk id="97" max="9" man="1"/>
    <brk id="145" max="9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172ED-6F7D-4BEB-AFE5-77088594347D}">
  <sheetPr>
    <tabColor theme="7" tint="0.39997558519241921"/>
  </sheetPr>
  <dimension ref="B2:D122"/>
  <sheetViews>
    <sheetView showGridLines="0" view="pageBreakPreview" topLeftCell="A16" zoomScaleNormal="100" zoomScaleSheetLayoutView="100" workbookViewId="0"/>
  </sheetViews>
  <sheetFormatPr defaultColWidth="9" defaultRowHeight="15.75" x14ac:dyDescent="0.25"/>
  <cols>
    <col min="1" max="1" width="0.875" style="207" customWidth="1"/>
    <col min="2" max="2" width="84.625" style="207" customWidth="1"/>
    <col min="3" max="3" width="0.875" style="207" customWidth="1"/>
    <col min="4" max="16384" width="9" style="207"/>
  </cols>
  <sheetData>
    <row r="2" spans="2:4" x14ac:dyDescent="0.25">
      <c r="B2" s="255" t="str">
        <f>CONCATENATE(PAR!$E$3," Képviselő-testületének")</f>
        <v>Nagymaros Város Önkormányzata Képviselő-testületének</v>
      </c>
      <c r="C2" s="254"/>
      <c r="D2" s="254"/>
    </row>
    <row r="3" spans="2:4" x14ac:dyDescent="0.25">
      <c r="B3" s="255" t="str">
        <f>CONCATENATE("az Önkormányzat ",PAR!$H$3," évi költségvetéséről szóló")</f>
        <v>az Önkormányzat 2025. évi költségvetéséről szóló</v>
      </c>
      <c r="C3" s="375"/>
      <c r="D3" s="375"/>
    </row>
    <row r="4" spans="2:4" x14ac:dyDescent="0.25">
      <c r="B4" s="376" t="str">
        <f>CONCATENATE(Index!E17," önkormányzati rendelet módosításáról szóló")</f>
        <v>2/2025. (II.25.) önkormányzati rendelet módosításáról szóló</v>
      </c>
    </row>
    <row r="5" spans="2:4" x14ac:dyDescent="0.25">
      <c r="B5" s="252" t="str">
        <f>CONCATENATE(Index!E16," önkormányzati rendeletének")</f>
        <v>.../2025. (...) önkormányzati rendeletének</v>
      </c>
    </row>
    <row r="6" spans="2:4" x14ac:dyDescent="0.25">
      <c r="B6" s="252" t="s">
        <v>2636</v>
      </c>
    </row>
    <row r="7" spans="2:4" x14ac:dyDescent="0.25">
      <c r="B7" s="377"/>
      <c r="C7" s="377"/>
      <c r="D7" s="377"/>
    </row>
    <row r="8" spans="2:4" x14ac:dyDescent="0.25">
      <c r="B8" s="378" t="str">
        <f>CONCATENATE("A jogalkotásról szóló 2010. évi CXXX. törvény 18. §-ában foglaltak szerint eljárva a ",PAR!$H$3," évi")</f>
        <v>A jogalkotásról szóló 2010. évi CXXX. törvény 18. §-ában foglaltak szerint eljárva a 2025. évi</v>
      </c>
      <c r="C8" s="377"/>
      <c r="D8" s="377"/>
    </row>
    <row r="9" spans="2:4" x14ac:dyDescent="0.25">
      <c r="B9" s="378" t="s">
        <v>2639</v>
      </c>
      <c r="C9" s="377"/>
      <c r="D9" s="377"/>
    </row>
    <row r="10" spans="2:4" x14ac:dyDescent="0.25">
      <c r="B10" s="377"/>
      <c r="C10" s="377"/>
      <c r="D10" s="377"/>
    </row>
    <row r="11" spans="2:4" x14ac:dyDescent="0.25">
      <c r="B11" s="377" t="s">
        <v>2640</v>
      </c>
      <c r="C11" s="377"/>
      <c r="D11" s="377"/>
    </row>
    <row r="12" spans="2:4" x14ac:dyDescent="0.25">
      <c r="B12" s="377"/>
      <c r="C12" s="377"/>
      <c r="D12" s="377"/>
    </row>
    <row r="13" spans="2:4" x14ac:dyDescent="0.25">
      <c r="B13" s="378" t="str">
        <f>CONCATENATE(PAR!$E$3," Képviselő-testületének eredeti jogalkotói hatáskörét a")</f>
        <v>Nagymaros Város Önkormányzata Képviselő-testületének eredeti jogalkotói hatáskörét a</v>
      </c>
      <c r="C13" s="377"/>
      <c r="D13" s="377"/>
    </row>
    <row r="14" spans="2:4" x14ac:dyDescent="0.25">
      <c r="B14" s="378" t="s">
        <v>2641</v>
      </c>
      <c r="C14" s="377"/>
      <c r="D14" s="377"/>
    </row>
    <row r="15" spans="2:4" x14ac:dyDescent="0.25">
      <c r="B15" s="378" t="s">
        <v>2642</v>
      </c>
      <c r="C15" s="377"/>
      <c r="D15" s="377"/>
    </row>
    <row r="16" spans="2:4" x14ac:dyDescent="0.25">
      <c r="B16" s="378" t="s">
        <v>2643</v>
      </c>
      <c r="C16" s="377"/>
      <c r="D16" s="377"/>
    </row>
    <row r="17" spans="2:4" x14ac:dyDescent="0.25">
      <c r="B17" s="378"/>
      <c r="C17" s="377"/>
      <c r="D17" s="377"/>
    </row>
    <row r="18" spans="2:4" x14ac:dyDescent="0.25">
      <c r="B18" s="378" t="s">
        <v>2644</v>
      </c>
      <c r="C18" s="377"/>
      <c r="D18" s="377"/>
    </row>
    <row r="19" spans="2:4" x14ac:dyDescent="0.25">
      <c r="B19" s="378" t="s">
        <v>2645</v>
      </c>
      <c r="C19" s="377"/>
      <c r="D19" s="377"/>
    </row>
    <row r="20" spans="2:4" x14ac:dyDescent="0.25">
      <c r="B20" s="377"/>
      <c r="C20" s="377"/>
      <c r="D20" s="377"/>
    </row>
    <row r="21" spans="2:4" x14ac:dyDescent="0.25">
      <c r="B21" s="378" t="s">
        <v>2646</v>
      </c>
      <c r="C21" s="377"/>
      <c r="D21" s="377"/>
    </row>
    <row r="22" spans="2:4" x14ac:dyDescent="0.25">
      <c r="B22" s="378" t="s">
        <v>2647</v>
      </c>
      <c r="C22" s="377"/>
      <c r="D22" s="377"/>
    </row>
    <row r="23" spans="2:4" x14ac:dyDescent="0.25">
      <c r="B23" s="378" t="str">
        <f>CONCATENATE(PAR!$E$3," ",PAR!$H$3," évi költségvetés módosításáról szóló rendeletét.")</f>
        <v>Nagymaros Város Önkormányzata 2025. évi költségvetés módosításáról szóló rendeletét.</v>
      </c>
      <c r="C23" s="377"/>
      <c r="D23" s="377"/>
    </row>
    <row r="24" spans="2:4" x14ac:dyDescent="0.25">
      <c r="B24" s="377"/>
      <c r="C24" s="377"/>
      <c r="D24" s="377"/>
    </row>
    <row r="25" spans="2:4" x14ac:dyDescent="0.25">
      <c r="B25" s="379" t="str">
        <f>CONCATENATE("A Képviselő-testület a(z) ",Index!E17," önkormányzati rendeletében ",FIXED('02'!E97,0)," Ft-ban")</f>
        <v>A Képviselő-testület a(z) 2/2025. (II.25.) önkormányzati rendeletében 1 668 530 568 Ft-ban</v>
      </c>
    </row>
    <row r="26" spans="2:4" x14ac:dyDescent="0.25">
      <c r="B26" s="378" t="s">
        <v>2637</v>
      </c>
      <c r="C26" s="380"/>
      <c r="D26" s="380"/>
    </row>
    <row r="27" spans="2:4" x14ac:dyDescent="0.25">
      <c r="B27" s="381" t="s">
        <v>2638</v>
      </c>
    </row>
    <row r="28" spans="2:4" x14ac:dyDescent="0.25">
      <c r="B28" s="378"/>
      <c r="C28" s="378"/>
      <c r="D28" s="378"/>
    </row>
    <row r="29" spans="2:4" x14ac:dyDescent="0.25">
      <c r="B29" s="382" t="str">
        <f>CONCATENATE("A költségvetés módosítással az előirányzat főösszege ",FIXED(Előterjesztés!H53,0)," Ft-tal változik.")</f>
        <v>A költségvetés módosítással az előirányzat főösszege -13 369 816 Ft-tal változik.</v>
      </c>
      <c r="C29" s="382"/>
      <c r="D29" s="382"/>
    </row>
    <row r="30" spans="2:4" x14ac:dyDescent="0.25">
      <c r="B30" s="378"/>
      <c r="C30" s="378"/>
      <c r="D30" s="378"/>
    </row>
    <row r="31" spans="2:4" x14ac:dyDescent="0.25">
      <c r="B31" s="383" t="s">
        <v>2648</v>
      </c>
      <c r="C31" s="378"/>
      <c r="D31" s="378"/>
    </row>
    <row r="32" spans="2:4" x14ac:dyDescent="0.25">
      <c r="B32" s="378"/>
      <c r="C32" s="378"/>
      <c r="D32" s="378"/>
    </row>
    <row r="33" spans="2:4" x14ac:dyDescent="0.25">
      <c r="B33" s="376" t="s">
        <v>2655</v>
      </c>
      <c r="C33" s="378"/>
      <c r="D33" s="378"/>
    </row>
    <row r="34" spans="2:4" x14ac:dyDescent="0.25">
      <c r="B34" s="381"/>
    </row>
    <row r="35" spans="2:4" x14ac:dyDescent="0.25">
      <c r="B35" s="378" t="str">
        <f>CONCATENATE(PAR!$E$3," Képviselő-testülete a ",PAR!$H$3," évi költségvetési")</f>
        <v>Nagymaros Város Önkormányzata Képviselő-testülete a 2025. évi költségvetési</v>
      </c>
      <c r="C35" s="378"/>
      <c r="D35" s="378"/>
    </row>
    <row r="36" spans="2:4" x14ac:dyDescent="0.25">
      <c r="B36" s="378" t="s">
        <v>2649</v>
      </c>
      <c r="C36" s="378"/>
      <c r="D36" s="378"/>
    </row>
    <row r="37" spans="2:4" x14ac:dyDescent="0.25">
      <c r="B37" s="207" t="s">
        <v>2650</v>
      </c>
      <c r="C37" s="378"/>
      <c r="D37" s="378"/>
    </row>
    <row r="38" spans="2:4" x14ac:dyDescent="0.25">
      <c r="B38" s="207" t="s">
        <v>2651</v>
      </c>
      <c r="C38" s="378"/>
      <c r="D38" s="378"/>
    </row>
    <row r="39" spans="2:4" x14ac:dyDescent="0.25">
      <c r="B39" s="207" t="s">
        <v>2652</v>
      </c>
      <c r="C39" s="378"/>
      <c r="D39" s="378"/>
    </row>
    <row r="40" spans="2:4" x14ac:dyDescent="0.25">
      <c r="B40" s="207" t="s">
        <v>2653</v>
      </c>
      <c r="C40" s="378"/>
      <c r="D40" s="378"/>
    </row>
    <row r="41" spans="2:4" x14ac:dyDescent="0.25">
      <c r="B41" s="207" t="s">
        <v>2654</v>
      </c>
      <c r="C41" s="378"/>
      <c r="D41" s="378"/>
    </row>
    <row r="42" spans="2:4" x14ac:dyDescent="0.25">
      <c r="B42" s="378"/>
      <c r="C42" s="378"/>
      <c r="D42" s="378"/>
    </row>
    <row r="43" spans="2:4" x14ac:dyDescent="0.25">
      <c r="B43" s="376" t="s">
        <v>2656</v>
      </c>
      <c r="C43" s="378"/>
      <c r="D43" s="378"/>
    </row>
    <row r="44" spans="2:4" x14ac:dyDescent="0.25">
      <c r="B44" s="378"/>
      <c r="C44" s="378"/>
      <c r="D44" s="378"/>
    </row>
    <row r="45" spans="2:4" x14ac:dyDescent="0.25">
      <c r="B45" s="207" t="s">
        <v>2657</v>
      </c>
      <c r="C45" s="378"/>
      <c r="D45" s="378"/>
    </row>
    <row r="46" spans="2:4" x14ac:dyDescent="0.25">
      <c r="B46" s="381"/>
      <c r="C46" s="378"/>
      <c r="D46" s="378"/>
    </row>
    <row r="47" spans="2:4" x14ac:dyDescent="0.25">
      <c r="B47" s="378"/>
      <c r="C47" s="378"/>
      <c r="D47" s="378"/>
    </row>
    <row r="49" spans="2:4" x14ac:dyDescent="0.25">
      <c r="C49" s="377"/>
      <c r="D49" s="377"/>
    </row>
    <row r="51" spans="2:4" x14ac:dyDescent="0.25">
      <c r="C51" s="380"/>
      <c r="D51" s="380"/>
    </row>
    <row r="52" spans="2:4" x14ac:dyDescent="0.25">
      <c r="C52" s="380"/>
      <c r="D52" s="380"/>
    </row>
    <row r="53" spans="2:4" x14ac:dyDescent="0.25">
      <c r="C53" s="380"/>
      <c r="D53" s="380"/>
    </row>
    <row r="54" spans="2:4" x14ac:dyDescent="0.25">
      <c r="C54" s="380"/>
      <c r="D54" s="380"/>
    </row>
    <row r="55" spans="2:4" x14ac:dyDescent="0.25">
      <c r="C55" s="380"/>
      <c r="D55" s="380"/>
    </row>
    <row r="56" spans="2:4" x14ac:dyDescent="0.25">
      <c r="C56" s="380"/>
      <c r="D56" s="380"/>
    </row>
    <row r="57" spans="2:4" x14ac:dyDescent="0.25">
      <c r="C57" s="380"/>
      <c r="D57" s="380"/>
    </row>
    <row r="58" spans="2:4" x14ac:dyDescent="0.25">
      <c r="C58" s="380"/>
      <c r="D58" s="380"/>
    </row>
    <row r="59" spans="2:4" x14ac:dyDescent="0.25">
      <c r="C59" s="380"/>
      <c r="D59" s="380"/>
    </row>
    <row r="60" spans="2:4" x14ac:dyDescent="0.25">
      <c r="C60" s="380"/>
      <c r="D60" s="380"/>
    </row>
    <row r="61" spans="2:4" x14ac:dyDescent="0.25">
      <c r="C61" s="380"/>
      <c r="D61" s="380"/>
    </row>
    <row r="62" spans="2:4" x14ac:dyDescent="0.25">
      <c r="B62" s="378"/>
      <c r="C62" s="380"/>
      <c r="D62" s="380"/>
    </row>
    <row r="63" spans="2:4" x14ac:dyDescent="0.25">
      <c r="B63" s="376"/>
      <c r="C63" s="380"/>
      <c r="D63" s="380"/>
    </row>
    <row r="64" spans="2:4" x14ac:dyDescent="0.25">
      <c r="B64" s="378"/>
      <c r="C64" s="380"/>
      <c r="D64" s="380"/>
    </row>
    <row r="65" spans="2:4" x14ac:dyDescent="0.25">
      <c r="B65" s="378"/>
    </row>
    <row r="66" spans="2:4" x14ac:dyDescent="0.25">
      <c r="B66" s="381"/>
      <c r="C66" s="377"/>
      <c r="D66" s="377"/>
    </row>
    <row r="67" spans="2:4" x14ac:dyDescent="0.25">
      <c r="B67" s="378"/>
    </row>
    <row r="68" spans="2:4" x14ac:dyDescent="0.25">
      <c r="B68" s="378"/>
      <c r="C68" s="378"/>
      <c r="D68" s="378"/>
    </row>
    <row r="71" spans="2:4" x14ac:dyDescent="0.25">
      <c r="B71" s="376"/>
    </row>
    <row r="122" spans="2:2" x14ac:dyDescent="0.25">
      <c r="B122" s="376"/>
    </row>
  </sheetData>
  <sheetProtection formatCells="0" formatColumns="0" formatRows="0" insertColumns="0" insertRows="0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B280E-D6EF-4626-8E40-806C6F8AB913}">
  <sheetPr>
    <tabColor theme="7" tint="0.39997558519241921"/>
  </sheetPr>
  <dimension ref="B1:J76"/>
  <sheetViews>
    <sheetView showGridLines="0" tabSelected="1" view="pageBreakPreview" zoomScaleNormal="100" zoomScaleSheetLayoutView="100" workbookViewId="0">
      <selection activeCell="A72" sqref="A72:XFD73"/>
    </sheetView>
  </sheetViews>
  <sheetFormatPr defaultColWidth="9" defaultRowHeight="15.75" x14ac:dyDescent="0.25"/>
  <cols>
    <col min="1" max="1" width="0.875" style="207" customWidth="1"/>
    <col min="2" max="2" width="93.125" style="207" bestFit="1" customWidth="1"/>
    <col min="3" max="3" width="0.875" style="207" customWidth="1"/>
    <col min="4" max="16384" width="9" style="207"/>
  </cols>
  <sheetData>
    <row r="1" spans="2:9" ht="5.0999999999999996" customHeight="1" x14ac:dyDescent="0.25"/>
    <row r="2" spans="2:9" ht="15.75" customHeight="1" x14ac:dyDescent="0.25">
      <c r="B2" s="255" t="str">
        <f>CONCATENATE(PAR!$E$3," Képviselő-testületének")</f>
        <v>Nagymaros Város Önkormányzata Képviselő-testületének</v>
      </c>
      <c r="C2" s="254"/>
      <c r="D2" s="254"/>
      <c r="E2" s="254"/>
      <c r="F2" s="254"/>
      <c r="G2" s="254"/>
      <c r="H2" s="254"/>
      <c r="I2" s="254"/>
    </row>
    <row r="3" spans="2:9" x14ac:dyDescent="0.25">
      <c r="B3" s="255" t="str">
        <f>CONCATENATE(Index!E16," önkormányzati rendelete")</f>
        <v>.../2025. (...) önkormányzati rendelete</v>
      </c>
    </row>
    <row r="4" spans="2:9" x14ac:dyDescent="0.25">
      <c r="B4" s="252" t="str">
        <f>CONCATENATE("az Önkormányzat ",PAR!$H$3," évi költségvetéséről szóló")</f>
        <v>az Önkormányzat 2025. évi költségvetéséről szóló</v>
      </c>
      <c r="C4" s="375"/>
      <c r="D4" s="375"/>
      <c r="E4" s="375"/>
      <c r="F4" s="375"/>
      <c r="G4" s="375"/>
      <c r="H4" s="375"/>
      <c r="I4" s="375"/>
    </row>
    <row r="5" spans="2:9" x14ac:dyDescent="0.25">
      <c r="B5" s="376" t="str">
        <f>CONCATENATE(Index!E17," önkormányzati rendelet módosításáról")</f>
        <v>2/2025. (II.25.) önkormányzati rendelet módosításáról</v>
      </c>
    </row>
    <row r="6" spans="2:9" x14ac:dyDescent="0.25">
      <c r="B6" s="377"/>
      <c r="C6" s="377"/>
      <c r="D6" s="377"/>
      <c r="E6" s="377"/>
      <c r="F6" s="377"/>
      <c r="G6" s="377"/>
      <c r="H6" s="377"/>
      <c r="I6" s="377"/>
    </row>
    <row r="7" spans="2:9" ht="31.5" x14ac:dyDescent="0.25">
      <c r="B7" s="443" t="s">
        <v>2714</v>
      </c>
      <c r="C7" s="377"/>
      <c r="D7" s="377"/>
      <c r="E7" s="377"/>
      <c r="F7" s="377"/>
      <c r="G7" s="377"/>
      <c r="H7" s="377"/>
      <c r="I7" s="377"/>
    </row>
    <row r="8" spans="2:9" x14ac:dyDescent="0.25">
      <c r="B8" s="379" t="str">
        <f>CONCATENATE("[2] ",PAR!$E$3," Képviselő-testülete az Alaptörvény 32. cikk (2) bekezdésében")</f>
        <v>[2] Nagymaros Város Önkormányzata Képviselő-testülete az Alaptörvény 32. cikk (2) bekezdésében</v>
      </c>
    </row>
    <row r="9" spans="2:9" x14ac:dyDescent="0.25">
      <c r="B9" s="378" t="s">
        <v>715</v>
      </c>
      <c r="C9" s="380"/>
      <c r="D9" s="380"/>
      <c r="E9" s="380"/>
      <c r="F9" s="380"/>
      <c r="G9" s="380"/>
      <c r="H9" s="380"/>
      <c r="I9" s="380"/>
    </row>
    <row r="10" spans="2:9" x14ac:dyDescent="0.25">
      <c r="B10" s="381" t="s">
        <v>716</v>
      </c>
    </row>
    <row r="11" spans="2:9" x14ac:dyDescent="0.25">
      <c r="B11" s="378" t="str">
        <f>CONCATENATE("23. §-ában foglaltak alapján  ",PAR!$E$3," 2025. évi költségvetéséről szóló")</f>
        <v>23. §-ában foglaltak alapján  Nagymaros Város Önkormányzata 2025. évi költségvetéséről szóló</v>
      </c>
      <c r="C11" s="378"/>
      <c r="D11" s="378"/>
      <c r="E11" s="378"/>
      <c r="F11" s="378"/>
      <c r="G11" s="378"/>
      <c r="H11" s="378"/>
      <c r="I11" s="378"/>
    </row>
    <row r="12" spans="2:9" x14ac:dyDescent="0.25">
      <c r="B12" s="382" t="str">
        <f>CONCATENATE(Index!$E$17," önkormányzati rendeletét az alábbiak szerint módosítja:")</f>
        <v>2/2025. (II.25.) önkormányzati rendeletét az alábbiak szerint módosítja:</v>
      </c>
      <c r="C12" s="382"/>
      <c r="D12" s="382"/>
      <c r="E12" s="382"/>
      <c r="F12" s="382"/>
      <c r="G12" s="382"/>
      <c r="H12" s="382"/>
      <c r="I12" s="382"/>
    </row>
    <row r="13" spans="2:9" x14ac:dyDescent="0.25">
      <c r="B13" s="378"/>
      <c r="C13" s="378"/>
      <c r="D13" s="378"/>
      <c r="E13" s="378"/>
      <c r="F13" s="378"/>
      <c r="G13" s="378"/>
      <c r="H13" s="378"/>
      <c r="I13" s="378"/>
    </row>
    <row r="14" spans="2:9" x14ac:dyDescent="0.25">
      <c r="B14" s="376" t="s">
        <v>698</v>
      </c>
      <c r="C14" s="378"/>
      <c r="D14" s="378"/>
      <c r="E14" s="378"/>
      <c r="F14" s="378"/>
      <c r="G14" s="378"/>
      <c r="H14" s="378"/>
      <c r="I14" s="378"/>
    </row>
    <row r="15" spans="2:9" x14ac:dyDescent="0.25">
      <c r="B15" s="378"/>
      <c r="C15" s="378"/>
      <c r="D15" s="378"/>
      <c r="E15" s="378"/>
      <c r="F15" s="378"/>
      <c r="G15" s="378"/>
      <c r="H15" s="378"/>
      <c r="I15" s="378"/>
    </row>
    <row r="16" spans="2:9" x14ac:dyDescent="0.25">
      <c r="B16" s="378" t="str">
        <f>CONCATENATE(PAR!$E$3," 2025. évi költségvetéséről szóló ",Index!$E$17," önkormányzati")</f>
        <v>Nagymaros Város Önkormányzata 2025. évi költségvetéséről szóló 2/2025. (II.25.) önkormányzati</v>
      </c>
      <c r="C16" s="378"/>
      <c r="D16" s="378"/>
      <c r="E16" s="378"/>
      <c r="F16" s="378"/>
      <c r="G16" s="378"/>
      <c r="H16" s="378"/>
      <c r="I16" s="378"/>
    </row>
    <row r="17" spans="2:9" x14ac:dyDescent="0.25">
      <c r="B17" s="381" t="s">
        <v>717</v>
      </c>
    </row>
    <row r="18" spans="2:9" x14ac:dyDescent="0.25">
      <c r="B18" s="378" t="str">
        <f>CONCATENATE("''(1) A Képviselő-testület ",PAR!$E$3," 2025. évi költségvetését")</f>
        <v>''(1) A Képviselő-testület Nagymaros Város Önkormányzata 2025. évi költségvetését</v>
      </c>
      <c r="C18" s="378"/>
      <c r="D18" s="378"/>
      <c r="E18" s="378"/>
      <c r="F18" s="378"/>
      <c r="G18" s="378"/>
      <c r="H18" s="378"/>
      <c r="I18" s="378"/>
    </row>
    <row r="19" spans="2:9" x14ac:dyDescent="0.25">
      <c r="B19" s="378" t="str">
        <f>CONCATENATE("a) ",FIXED('02'!$F$97,0)," Ft bevétellel,")</f>
        <v>a) 1 655 160 752 Ft bevétellel,</v>
      </c>
      <c r="C19" s="378"/>
      <c r="D19" s="378"/>
      <c r="E19" s="378"/>
      <c r="F19" s="378"/>
      <c r="G19" s="378"/>
      <c r="H19" s="378"/>
      <c r="I19" s="378"/>
    </row>
    <row r="20" spans="2:9" x14ac:dyDescent="0.25">
      <c r="B20" s="378" t="str">
        <f>CONCATENATE("b) ",FIXED('02'!$F$144,0)," Ft kiadással,")</f>
        <v>b) 1 655 160 752 Ft kiadással,</v>
      </c>
      <c r="C20" s="378"/>
      <c r="D20" s="378"/>
      <c r="E20" s="378"/>
      <c r="F20" s="378"/>
      <c r="G20" s="378"/>
      <c r="H20" s="378"/>
      <c r="I20" s="378"/>
    </row>
    <row r="21" spans="2:9" x14ac:dyDescent="0.25">
      <c r="B21" s="378" t="str">
        <f>CONCATENATE("c) ",FIXED('02'!$F$97-'02'!$F$144,0)," Ft egyenleggel,")</f>
        <v>c) 0 Ft egyenleggel,</v>
      </c>
      <c r="C21" s="378"/>
      <c r="D21" s="378"/>
      <c r="E21" s="378"/>
      <c r="F21" s="378"/>
      <c r="G21" s="378"/>
      <c r="H21" s="378"/>
      <c r="I21" s="378"/>
    </row>
    <row r="22" spans="2:9" x14ac:dyDescent="0.25">
      <c r="B22" s="207" t="s">
        <v>718</v>
      </c>
      <c r="C22" s="378"/>
      <c r="D22" s="378"/>
      <c r="E22" s="378"/>
      <c r="F22" s="378"/>
      <c r="G22" s="378"/>
      <c r="H22" s="378"/>
      <c r="I22" s="378"/>
    </row>
    <row r="23" spans="2:9" x14ac:dyDescent="0.25">
      <c r="B23" s="207" t="s">
        <v>719</v>
      </c>
      <c r="C23" s="378"/>
      <c r="D23" s="378"/>
      <c r="E23" s="378"/>
      <c r="F23" s="378"/>
      <c r="G23" s="378"/>
      <c r="H23" s="378"/>
      <c r="I23" s="378"/>
    </row>
    <row r="24" spans="2:9" x14ac:dyDescent="0.25">
      <c r="B24" s="207" t="s">
        <v>720</v>
      </c>
      <c r="C24" s="378"/>
      <c r="D24" s="378"/>
      <c r="E24" s="378"/>
      <c r="F24" s="378"/>
      <c r="G24" s="378"/>
      <c r="H24" s="378"/>
      <c r="I24" s="378"/>
    </row>
    <row r="25" spans="2:9" x14ac:dyDescent="0.25">
      <c r="B25" s="378"/>
      <c r="C25" s="378"/>
      <c r="D25" s="378"/>
      <c r="E25" s="378"/>
      <c r="F25" s="378"/>
      <c r="G25" s="378"/>
      <c r="H25" s="378"/>
      <c r="I25" s="378"/>
    </row>
    <row r="26" spans="2:9" x14ac:dyDescent="0.25">
      <c r="B26" s="376" t="s">
        <v>699</v>
      </c>
      <c r="C26" s="378"/>
      <c r="D26" s="378"/>
      <c r="E26" s="378"/>
      <c r="F26" s="378"/>
      <c r="G26" s="378"/>
      <c r="H26" s="378"/>
      <c r="I26" s="378"/>
    </row>
    <row r="27" spans="2:9" x14ac:dyDescent="0.25">
      <c r="B27" s="378"/>
      <c r="C27" s="378"/>
      <c r="D27" s="378"/>
      <c r="E27" s="378"/>
      <c r="F27" s="378"/>
      <c r="G27" s="378"/>
      <c r="H27" s="378"/>
      <c r="I27" s="378"/>
    </row>
    <row r="28" spans="2:9" x14ac:dyDescent="0.25">
      <c r="B28" s="378" t="str">
        <f>CONCATENATE(PAR!$E$3," 2025. évi költségvetéséről szóló ",Index!$E$17," önkormányzati")</f>
        <v>Nagymaros Város Önkormányzata 2025. évi költségvetéséről szóló 2/2025. (II.25.) önkormányzati</v>
      </c>
      <c r="C28" s="378"/>
      <c r="D28" s="378"/>
      <c r="E28" s="378"/>
      <c r="F28" s="378"/>
      <c r="G28" s="378"/>
      <c r="H28" s="378"/>
      <c r="I28" s="378"/>
    </row>
    <row r="29" spans="2:9" x14ac:dyDescent="0.25">
      <c r="B29" s="381" t="s">
        <v>721</v>
      </c>
      <c r="C29" s="378"/>
      <c r="D29" s="378"/>
      <c r="E29" s="378"/>
      <c r="F29" s="378"/>
      <c r="G29" s="378"/>
      <c r="H29" s="378"/>
      <c r="I29" s="378"/>
    </row>
    <row r="30" spans="2:9" x14ac:dyDescent="0.25">
      <c r="B30" s="378" t="str">
        <f>CONCATENATE("''(1) A Képviselő-testület ",PAR!$E$3," 2025. évi költségvetésének kiadási")</f>
        <v>''(1) A Képviselő-testület Nagymaros Város Önkormányzata 2025. évi költségvetésének kiadási</v>
      </c>
      <c r="C30" s="378"/>
      <c r="D30" s="378"/>
      <c r="E30" s="378"/>
      <c r="F30" s="378"/>
      <c r="G30" s="378"/>
      <c r="H30" s="378"/>
      <c r="I30" s="378"/>
    </row>
    <row r="31" spans="2:9" x14ac:dyDescent="0.25">
      <c r="B31" s="207" t="s">
        <v>722</v>
      </c>
    </row>
    <row r="32" spans="2:9" x14ac:dyDescent="0.25">
      <c r="B32" s="207" t="str">
        <f>CONCATENATE("a) ",FIXED('02'!$F$103,0)," Ft működési költségvetés kiadásai;")</f>
        <v>a) 1 447 017 859 Ft működési költségvetés kiadásai;</v>
      </c>
      <c r="C32" s="377"/>
      <c r="D32" s="377"/>
      <c r="E32" s="377"/>
      <c r="F32" s="377"/>
      <c r="G32" s="377"/>
      <c r="H32" s="377"/>
      <c r="I32" s="377"/>
    </row>
    <row r="33" spans="2:10" x14ac:dyDescent="0.25">
      <c r="B33" s="207" t="str">
        <f>CONCATENATE("aa) ",FIXED('02'!$F$104,0)," Ft személyi juttatások kiadásai;")</f>
        <v>aa) 674 892 546 Ft személyi juttatások kiadásai;</v>
      </c>
    </row>
    <row r="34" spans="2:10" x14ac:dyDescent="0.25">
      <c r="B34" s="207" t="str">
        <f>CONCATENATE("ab) ",FIXED('02'!$F$105,0)," Ft munkaadókat terhelő járulékok és szociális hozzájárulási adó kiadásai;")</f>
        <v>ab) 84 827 106 Ft munkaadókat terhelő járulékok és szociális hozzájárulási adó kiadásai;</v>
      </c>
      <c r="C34" s="380"/>
      <c r="D34" s="380"/>
      <c r="E34" s="380"/>
      <c r="F34" s="380"/>
      <c r="G34" s="380"/>
      <c r="H34" s="380"/>
      <c r="I34" s="380"/>
      <c r="J34" s="220"/>
    </row>
    <row r="35" spans="2:10" x14ac:dyDescent="0.25">
      <c r="B35" s="207" t="str">
        <f>CONCATENATE("ac) ",FIXED('02'!$F$106,0)," Ft dologi kiadások;")</f>
        <v>ac) 544 154 976 Ft dologi kiadások;</v>
      </c>
      <c r="C35" s="380"/>
      <c r="D35" s="380"/>
      <c r="E35" s="380"/>
      <c r="F35" s="380"/>
      <c r="G35" s="380"/>
      <c r="H35" s="380"/>
      <c r="I35" s="380"/>
      <c r="J35" s="220"/>
    </row>
    <row r="36" spans="2:10" x14ac:dyDescent="0.25">
      <c r="B36" s="207" t="str">
        <f>CONCATENATE("ad) ",FIXED('02'!$F$107,0)," Ft ellátottak pénzbeli juttatásai;")</f>
        <v>ad) 8 000 000 Ft ellátottak pénzbeli juttatásai;</v>
      </c>
      <c r="C36" s="380"/>
      <c r="D36" s="380"/>
      <c r="E36" s="380"/>
      <c r="F36" s="380"/>
      <c r="G36" s="380"/>
      <c r="H36" s="380"/>
      <c r="I36" s="380"/>
      <c r="J36" s="220"/>
    </row>
    <row r="37" spans="2:10" x14ac:dyDescent="0.25">
      <c r="B37" s="207" t="str">
        <f>CONCATENATE("ae) ",FIXED('02'!$F$108,0)," Ft egyéb működési célú kiadások;")</f>
        <v>ae) 55 469 363 Ft egyéb működési célú kiadások;</v>
      </c>
      <c r="C37" s="380"/>
      <c r="D37" s="380"/>
      <c r="E37" s="380"/>
      <c r="F37" s="380"/>
      <c r="G37" s="380"/>
      <c r="H37" s="380"/>
      <c r="I37" s="380"/>
      <c r="J37" s="220"/>
    </row>
    <row r="38" spans="2:10" x14ac:dyDescent="0.25">
      <c r="B38" s="207" t="str">
        <f>CONCATENATE("af) ",FIXED('02'!F$109,0)," Ft tartalék;")</f>
        <v>af) 79 673 868 Ft tartalék;</v>
      </c>
      <c r="C38" s="380"/>
      <c r="D38" s="380"/>
      <c r="E38" s="380"/>
      <c r="F38" s="380"/>
      <c r="G38" s="380"/>
      <c r="H38" s="380"/>
      <c r="I38" s="380"/>
      <c r="J38" s="220"/>
    </row>
    <row r="39" spans="2:10" x14ac:dyDescent="0.25">
      <c r="B39" s="207" t="str">
        <f>CONCATENATE("b) ",FIXED('02'!$F$112,0)," Ft felhalmozási költségvetés kiadásai;")</f>
        <v>b) 168 647 518 Ft felhalmozási költségvetés kiadásai;</v>
      </c>
      <c r="C39" s="380"/>
      <c r="D39" s="380"/>
      <c r="E39" s="380"/>
      <c r="F39" s="380"/>
      <c r="G39" s="380"/>
      <c r="H39" s="380"/>
      <c r="I39" s="380"/>
      <c r="J39" s="220"/>
    </row>
    <row r="40" spans="2:10" x14ac:dyDescent="0.25">
      <c r="B40" s="207" t="str">
        <f>CONCATENATE("ba) ",FIXED('02'!$F$113,0)," Ft beruházások;")</f>
        <v>ba) 134 080 399 Ft beruházások;</v>
      </c>
      <c r="C40" s="380"/>
      <c r="D40" s="380"/>
      <c r="E40" s="380"/>
      <c r="F40" s="380"/>
      <c r="G40" s="380"/>
      <c r="H40" s="380"/>
      <c r="I40" s="380"/>
      <c r="J40" s="220"/>
    </row>
    <row r="41" spans="2:10" x14ac:dyDescent="0.25">
      <c r="B41" s="207" t="str">
        <f>CONCATENATE("bb) ",FIXED('02'!$F$115,0)," Ft felújítások;")</f>
        <v>bb) 34 567 119 Ft felújítások;</v>
      </c>
      <c r="C41" s="380"/>
      <c r="D41" s="380"/>
      <c r="E41" s="380"/>
      <c r="F41" s="380"/>
      <c r="G41" s="380"/>
      <c r="H41" s="380"/>
      <c r="I41" s="380"/>
      <c r="J41" s="220"/>
    </row>
    <row r="42" spans="2:10" x14ac:dyDescent="0.25">
      <c r="B42" s="207" t="str">
        <f>CONCATENATE("bc) ",FIXED('02'!$F$117,0)," Ft egyéb felhalmozási kiadások;")</f>
        <v>bc) 0 Ft egyéb felhalmozási kiadások;</v>
      </c>
      <c r="C42" s="380"/>
      <c r="D42" s="380"/>
      <c r="E42" s="380"/>
      <c r="F42" s="380"/>
      <c r="G42" s="380"/>
      <c r="H42" s="380"/>
      <c r="I42" s="380"/>
      <c r="J42" s="380"/>
    </row>
    <row r="43" spans="2:10" x14ac:dyDescent="0.25">
      <c r="B43" s="207" t="str">
        <f>CONCATENATE("c) ",FIXED('02'!$F$143,0)," Ft finanszírozási kiadások;")</f>
        <v>c) 39 495 375 Ft finanszírozási kiadások;</v>
      </c>
      <c r="C43" s="380"/>
      <c r="D43" s="380"/>
      <c r="E43" s="380"/>
      <c r="F43" s="380"/>
      <c r="G43" s="380"/>
      <c r="H43" s="380"/>
      <c r="I43" s="380"/>
      <c r="J43" s="380"/>
    </row>
    <row r="44" spans="2:10" x14ac:dyDescent="0.25">
      <c r="B44" s="207" t="s">
        <v>723</v>
      </c>
      <c r="C44" s="380"/>
      <c r="D44" s="380"/>
      <c r="E44" s="380"/>
      <c r="F44" s="380"/>
      <c r="G44" s="380"/>
      <c r="H44" s="380"/>
      <c r="I44" s="380"/>
      <c r="J44" s="220"/>
    </row>
    <row r="45" spans="2:10" x14ac:dyDescent="0.25">
      <c r="B45" s="378"/>
      <c r="C45" s="380"/>
      <c r="D45" s="380"/>
      <c r="E45" s="380"/>
      <c r="F45" s="380"/>
      <c r="G45" s="380"/>
      <c r="H45" s="380"/>
      <c r="I45" s="380"/>
      <c r="J45" s="220"/>
    </row>
    <row r="46" spans="2:10" x14ac:dyDescent="0.25">
      <c r="B46" s="376" t="s">
        <v>724</v>
      </c>
      <c r="C46" s="380"/>
      <c r="D46" s="380"/>
      <c r="E46" s="380"/>
      <c r="F46" s="380"/>
      <c r="G46" s="380"/>
      <c r="H46" s="380"/>
      <c r="I46" s="380"/>
      <c r="J46" s="220"/>
    </row>
    <row r="47" spans="2:10" x14ac:dyDescent="0.25">
      <c r="B47" s="378"/>
      <c r="C47" s="380"/>
      <c r="D47" s="380"/>
      <c r="E47" s="380"/>
      <c r="F47" s="380"/>
      <c r="G47" s="380"/>
      <c r="H47" s="380"/>
      <c r="I47" s="380"/>
      <c r="J47" s="220"/>
    </row>
    <row r="48" spans="2:10" x14ac:dyDescent="0.25">
      <c r="B48" s="378" t="str">
        <f>CONCATENATE(PAR!$E$3," 2025. évi költségvetéséről szóló ",Index!$E$17," önkormányzati")</f>
        <v>Nagymaros Város Önkormányzata 2025. évi költségvetéséről szóló 2/2025. (II.25.) önkormányzati</v>
      </c>
    </row>
    <row r="49" spans="2:9" x14ac:dyDescent="0.25">
      <c r="B49" s="381" t="s">
        <v>725</v>
      </c>
      <c r="C49" s="377"/>
      <c r="D49" s="377"/>
      <c r="E49" s="377"/>
      <c r="F49" s="377"/>
      <c r="G49" s="377"/>
      <c r="H49" s="377"/>
      <c r="I49" s="377"/>
    </row>
    <row r="50" spans="2:9" x14ac:dyDescent="0.25">
      <c r="B50" s="378" t="str">
        <f>CONCATENATE("''(1) A Képviselő-testület ",PAR!$E$3," 2025. évi költségvetésének kiadásai")</f>
        <v>''(1) A Képviselő-testület Nagymaros Város Önkormányzata 2025. évi költségvetésének kiadásai</v>
      </c>
    </row>
    <row r="51" spans="2:9" x14ac:dyDescent="0.25">
      <c r="B51" s="378" t="str">
        <f>CONCATENATE("között ",FIXED('02'!$F$109,0)," tartalékot állapít meg. A tartalékot a Képviselő-testület engedélyével lehet")</f>
        <v>között 79 673 868 tartalékot állapít meg. A tartalékot a Képviselő-testület engedélyével lehet</v>
      </c>
      <c r="C51" s="378"/>
      <c r="D51" s="378"/>
      <c r="E51" s="378"/>
      <c r="F51" s="378"/>
      <c r="G51" s="378"/>
      <c r="H51" s="378"/>
      <c r="I51" s="378"/>
    </row>
    <row r="52" spans="2:9" x14ac:dyDescent="0.25">
      <c r="B52" s="207" t="s">
        <v>1202</v>
      </c>
    </row>
    <row r="54" spans="2:9" x14ac:dyDescent="0.25">
      <c r="B54" s="376" t="s">
        <v>726</v>
      </c>
    </row>
    <row r="56" spans="2:9" x14ac:dyDescent="0.25">
      <c r="B56" s="207" t="str">
        <f>CONCATENATE("(1) ",PAR!$E$3," 2025. évi költségvetéséről szóló ",Index!$E$17," önkormányzati ")</f>
        <v xml:space="preserve">(1) Nagymaros Város Önkormányzata 2025. évi költségvetéséről szóló 2/2025. (II.25.) önkormányzati </v>
      </c>
    </row>
    <row r="57" spans="2:9" x14ac:dyDescent="0.25">
      <c r="B57" s="207" t="str">
        <f>CONCATENATE("rendelet 1. melléklete helyébe az ",Index!$C$20," lép.")</f>
        <v>rendelet 1. melléklete helyébe az 1. melléklet lép.</v>
      </c>
    </row>
    <row r="58" spans="2:9" x14ac:dyDescent="0.25">
      <c r="B58" s="207" t="str">
        <f>CONCATENATE("(2) ",PAR!$E$3," 2025. évi költségvetéséről szóló ",Index!$E$17," önkormányzati ")</f>
        <v xml:space="preserve">(2) Nagymaros Város Önkormányzata 2025. évi költségvetéséről szóló 2/2025. (II.25.) önkormányzati </v>
      </c>
    </row>
    <row r="59" spans="2:9" x14ac:dyDescent="0.25">
      <c r="B59" s="207" t="str">
        <f>CONCATENATE("rendelet 2. melléklete helyébe a ",Index!$C$21," lép.")</f>
        <v>rendelet 2. melléklete helyébe a 2. melléklet lép.</v>
      </c>
    </row>
    <row r="60" spans="2:9" x14ac:dyDescent="0.25">
      <c r="B60" s="207" t="str">
        <f>CONCATENATE("(3) ",PAR!$E$3," 2025. évi költségvetéséről szóló ",Index!$E$17," önkormányzati ")</f>
        <v xml:space="preserve">(3) Nagymaros Város Önkormányzata 2025. évi költségvetéséről szóló 2/2025. (II.25.) önkormányzati </v>
      </c>
    </row>
    <row r="61" spans="2:9" x14ac:dyDescent="0.25">
      <c r="B61" s="207" t="str">
        <f>CONCATENATE("rendelet 3. melléklete helyébe a ",Index!$C$22," lép.")</f>
        <v>rendelet 3. melléklete helyébe a 3. melléklet lép.</v>
      </c>
    </row>
    <row r="62" spans="2:9" x14ac:dyDescent="0.25">
      <c r="B62" s="207" t="str">
        <f>CONCATENATE("(4) ",PAR!$E$3," 2025. évi költségvetéséről szóló ",Index!$E$17," önkormányzati ")</f>
        <v xml:space="preserve">(4) Nagymaros Város Önkormányzata 2025. évi költségvetéséről szóló 2/2025. (II.25.) önkormányzati </v>
      </c>
    </row>
    <row r="63" spans="2:9" x14ac:dyDescent="0.25">
      <c r="B63" s="207" t="str">
        <f>CONCATENATE("rendelet 4. melléklete helyébe a ",Index!$C$23," lép.")</f>
        <v>rendelet 4. melléklete helyébe a 4. melléklet lép.</v>
      </c>
    </row>
    <row r="64" spans="2:9" x14ac:dyDescent="0.25">
      <c r="B64" s="207" t="str">
        <f>CONCATENATE("(12) ",PAR!$E$3," 2025. évi költségvetéséről szóló ",Index!$E$17," önkormányzati ")</f>
        <v xml:space="preserve">(12) Nagymaros Város Önkormányzata 2025. évi költségvetéséről szóló 2/2025. (II.25.) önkormányzati </v>
      </c>
    </row>
    <row r="65" spans="2:2" x14ac:dyDescent="0.25">
      <c r="B65" s="207" t="str">
        <f>CONCATENATE("rendelet 12. melléklete helyébe a ",Index!$C$31," lép.")</f>
        <v>rendelet 12. melléklete helyébe a 12. melléklet lép.</v>
      </c>
    </row>
    <row r="66" spans="2:2" x14ac:dyDescent="0.25">
      <c r="B66" s="207" t="str">
        <f>CONCATENATE("(15) ",PAR!$E$3," 2025. évi költségvetéséről szóló ",Index!$E$17," önkormányzati ")</f>
        <v xml:space="preserve">(15) Nagymaros Város Önkormányzata 2025. évi költségvetéséről szóló 2/2025. (II.25.) önkormányzati </v>
      </c>
    </row>
    <row r="67" spans="2:2" x14ac:dyDescent="0.25">
      <c r="B67" s="207" t="str">
        <f>CONCATENATE("rendelet 15. melléklete helyébe a ",Index!$C$34," lép.")</f>
        <v>rendelet 15. melléklete helyébe a 15. melléklet lép.</v>
      </c>
    </row>
    <row r="68" spans="2:2" x14ac:dyDescent="0.25">
      <c r="B68" s="207" t="str">
        <f>CONCATENATE("(17) ",PAR!$E$3," 2025. évi költségvetéséről szóló ",Index!$E$17," önkormányzati ")</f>
        <v xml:space="preserve">(17) Nagymaros Város Önkormányzata 2025. évi költségvetéséről szóló 2/2025. (II.25.) önkormányzati </v>
      </c>
    </row>
    <row r="69" spans="2:2" x14ac:dyDescent="0.25">
      <c r="B69" s="207" t="str">
        <f>CONCATENATE("rendelet 17. melléklete helyébe a ",Index!$C$36," lép.")</f>
        <v>rendelet 17. melléklete helyébe a 17. melléklet lép.</v>
      </c>
    </row>
    <row r="70" spans="2:2" x14ac:dyDescent="0.25">
      <c r="B70" s="207" t="str">
        <f>CONCATENATE("(20) ",PAR!$E$3," 2025. évi költségvetéséről szóló ",Index!$E$17," önkormányzati ")</f>
        <v xml:space="preserve">(20) Nagymaros Város Önkormányzata 2025. évi költségvetéséről szóló 2/2025. (II.25.) önkormányzati </v>
      </c>
    </row>
    <row r="71" spans="2:2" x14ac:dyDescent="0.25">
      <c r="B71" s="207" t="str">
        <f>CONCATENATE("rendelet 20. melléklete helyébe a ",Index!$C$39," lép.")</f>
        <v>rendelet 20. melléklete helyébe a 20. melléklet lép.</v>
      </c>
    </row>
    <row r="73" spans="2:2" x14ac:dyDescent="0.25">
      <c r="B73" s="376" t="s">
        <v>727</v>
      </c>
    </row>
    <row r="75" spans="2:2" x14ac:dyDescent="0.25">
      <c r="B75" s="207" t="s">
        <v>728</v>
      </c>
    </row>
    <row r="76" spans="2:2" x14ac:dyDescent="0.25">
      <c r="B76" s="207" t="s">
        <v>729</v>
      </c>
    </row>
  </sheetData>
  <sheetProtection formatCells="0" formatColumns="0" formatRows="0" insertColumns="0" insertRows="0"/>
  <pageMargins left="0.7" right="0.7" top="0.75" bottom="0.75" header="0.3" footer="0.3"/>
  <pageSetup paperSize="9" scale="99" orientation="portrait" r:id="rId1"/>
  <colBreaks count="1" manualBreakCount="1">
    <brk id="1" max="10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13">
    <tabColor theme="4" tint="0.59999389629810485"/>
  </sheetPr>
  <dimension ref="B1:O127"/>
  <sheetViews>
    <sheetView view="pageBreakPreview" topLeftCell="A23" zoomScaleNormal="120" zoomScaleSheetLayoutView="100" workbookViewId="0">
      <selection activeCell="Q8" sqref="Q8"/>
    </sheetView>
  </sheetViews>
  <sheetFormatPr defaultColWidth="9" defaultRowHeight="15.75" x14ac:dyDescent="0.25"/>
  <cols>
    <col min="1" max="1" width="0.875" style="14" customWidth="1"/>
    <col min="2" max="4" width="5.625" style="14" customWidth="1"/>
    <col min="5" max="5" width="35.625" style="15" customWidth="1"/>
    <col min="6" max="6" width="23.625" style="14" customWidth="1"/>
    <col min="7" max="13" width="11.625" style="14" customWidth="1"/>
    <col min="14" max="14" width="0.875" style="14" customWidth="1"/>
    <col min="15" max="16384" width="9" style="14"/>
  </cols>
  <sheetData>
    <row r="1" spans="2:15" ht="6" customHeight="1" x14ac:dyDescent="0.25"/>
    <row r="2" spans="2:15" x14ac:dyDescent="0.25">
      <c r="B2" s="506" t="str">
        <f>CONCATENATE("1. melléklet a(z) ",Index!$E$16," önkormányzati rendelethez")</f>
        <v>1. melléklet a(z) .../2025. (...) önkormányzati rendelethez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</row>
    <row r="3" spans="2:15" x14ac:dyDescent="0.25"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</row>
    <row r="4" spans="2:15" x14ac:dyDescent="0.25">
      <c r="B4" s="507" t="str">
        <f>CONCATENATE(PAR!E3)</f>
        <v>Nagymaros Város Önkormányzata</v>
      </c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16"/>
    </row>
    <row r="5" spans="2:15" x14ac:dyDescent="0.25">
      <c r="B5" s="507" t="str">
        <f>CONCATENATE(PAR!H3," évi költségvetésének címrendje")</f>
        <v>2025. évi költségvetésének címrendje</v>
      </c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16"/>
    </row>
    <row r="6" spans="2:15" ht="15.75" customHeight="1" x14ac:dyDescent="0.25">
      <c r="B6" s="508" t="s">
        <v>337</v>
      </c>
      <c r="C6" s="508"/>
      <c r="D6" s="508"/>
      <c r="E6" s="508"/>
      <c r="F6" s="508"/>
      <c r="G6" s="508"/>
      <c r="H6" s="508"/>
      <c r="I6" s="508"/>
      <c r="J6" s="508"/>
      <c r="K6" s="508"/>
      <c r="L6" s="508"/>
      <c r="M6" s="508"/>
      <c r="N6" s="16"/>
    </row>
    <row r="7" spans="2:15" x14ac:dyDescent="0.25"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16"/>
    </row>
    <row r="8" spans="2:15" s="17" customFormat="1" ht="12.75" x14ac:dyDescent="0.25">
      <c r="B8" s="62"/>
      <c r="C8" s="63" t="s">
        <v>350</v>
      </c>
      <c r="D8" s="63" t="s">
        <v>351</v>
      </c>
      <c r="E8" s="63" t="s">
        <v>470</v>
      </c>
      <c r="F8" s="63" t="s">
        <v>471</v>
      </c>
      <c r="G8" s="63" t="s">
        <v>44</v>
      </c>
      <c r="H8" s="63" t="s">
        <v>42</v>
      </c>
      <c r="I8" s="63" t="s">
        <v>511</v>
      </c>
      <c r="J8" s="63" t="s">
        <v>512</v>
      </c>
      <c r="K8" s="63" t="s">
        <v>591</v>
      </c>
      <c r="L8" s="63" t="s">
        <v>628</v>
      </c>
      <c r="M8" s="63" t="s">
        <v>629</v>
      </c>
      <c r="N8" s="116"/>
    </row>
    <row r="9" spans="2:15" s="17" customFormat="1" ht="38.25" x14ac:dyDescent="0.25">
      <c r="B9" s="64">
        <v>1</v>
      </c>
      <c r="C9" s="282" t="s">
        <v>338</v>
      </c>
      <c r="D9" s="282" t="s">
        <v>339</v>
      </c>
      <c r="E9" s="282" t="s">
        <v>590</v>
      </c>
      <c r="F9" s="282" t="s">
        <v>340</v>
      </c>
      <c r="G9" s="282" t="s">
        <v>730</v>
      </c>
      <c r="H9" s="282" t="s">
        <v>731</v>
      </c>
      <c r="I9" s="282" t="s">
        <v>732</v>
      </c>
      <c r="J9" s="282" t="s">
        <v>733</v>
      </c>
      <c r="K9" s="282" t="s">
        <v>341</v>
      </c>
      <c r="L9" s="282" t="s">
        <v>669</v>
      </c>
      <c r="M9" s="282" t="s">
        <v>734</v>
      </c>
      <c r="N9" s="19"/>
    </row>
    <row r="10" spans="2:15" s="17" customFormat="1" ht="12.75" x14ac:dyDescent="0.25">
      <c r="B10" s="64">
        <v>2</v>
      </c>
      <c r="C10" s="64">
        <v>1</v>
      </c>
      <c r="D10" s="64">
        <v>1</v>
      </c>
      <c r="E10" s="299" t="str">
        <f>PAR!E3</f>
        <v>Nagymaros Város Önkormányzata</v>
      </c>
      <c r="F10" s="295"/>
      <c r="G10" s="96">
        <f>SUM(G11:G20)</f>
        <v>1617484149</v>
      </c>
      <c r="H10" s="96">
        <f>SUM(H11:H20)</f>
        <v>1604114333</v>
      </c>
      <c r="I10" s="97">
        <f>SUMIF(Adat!W:W,CONCATENATE(61,Info!$D$5,"09"),Adat!E:E)*-1</f>
        <v>1617484149</v>
      </c>
      <c r="J10" s="97">
        <f>SUMIF(Adat!W:W,CONCATENATE(60,Info!$D$5,"09"),Adat!E:E)*-1+I10</f>
        <v>1604114333</v>
      </c>
      <c r="K10" s="97">
        <f>J10-M10</f>
        <v>722601093</v>
      </c>
      <c r="L10" s="97">
        <v>0</v>
      </c>
      <c r="M10" s="97">
        <f>'02'!F12+'02'!F20+'02'!F26</f>
        <v>881513240</v>
      </c>
      <c r="N10" s="18"/>
    </row>
    <row r="11" spans="2:15" s="17" customFormat="1" ht="12.75" x14ac:dyDescent="0.25">
      <c r="B11" s="64">
        <v>3</v>
      </c>
      <c r="C11" s="64"/>
      <c r="D11" s="64"/>
      <c r="E11" s="300"/>
      <c r="F11" s="296" t="s">
        <v>342</v>
      </c>
      <c r="G11" s="98">
        <f>SUMIF(Adat!V:V,CONCATENATE(61,Info!D5,"051"),Adat!E:E)</f>
        <v>110752938</v>
      </c>
      <c r="H11" s="98">
        <f>SUMIF(Adat!V:V,CONCATENATE(60,Info!D5,"051"),Adat!E:E)+G11</f>
        <v>113435727</v>
      </c>
      <c r="I11" s="99"/>
      <c r="J11" s="99"/>
      <c r="K11" s="99"/>
      <c r="L11" s="99"/>
      <c r="M11" s="65"/>
      <c r="O11" s="20"/>
    </row>
    <row r="12" spans="2:15" s="17" customFormat="1" ht="12.75" x14ac:dyDescent="0.25">
      <c r="B12" s="64">
        <v>4</v>
      </c>
      <c r="C12" s="64"/>
      <c r="D12" s="64"/>
      <c r="E12" s="300"/>
      <c r="F12" s="296" t="s">
        <v>343</v>
      </c>
      <c r="G12" s="98">
        <f>SUMIF(Adat!V:V,CONCATENATE(61,Info!D5,"052"),Adat!E:E)</f>
        <v>12128222</v>
      </c>
      <c r="H12" s="98">
        <f>SUMIF(Adat!V:V,CONCATENATE(60,Info!D5,"052"),Adat!E:E)+G12</f>
        <v>12235758</v>
      </c>
      <c r="I12" s="99"/>
      <c r="J12" s="99"/>
      <c r="K12" s="99"/>
      <c r="L12" s="99"/>
      <c r="M12" s="65"/>
      <c r="O12" s="20"/>
    </row>
    <row r="13" spans="2:15" s="17" customFormat="1" ht="12.75" x14ac:dyDescent="0.25">
      <c r="B13" s="64">
        <v>5</v>
      </c>
      <c r="C13" s="64"/>
      <c r="D13" s="64"/>
      <c r="E13" s="300"/>
      <c r="F13" s="296" t="s">
        <v>344</v>
      </c>
      <c r="G13" s="98">
        <f>SUMIF(Adat!V:V,CONCATENATE(61,Info!D5,"053"),Adat!E:E)</f>
        <v>420655026</v>
      </c>
      <c r="H13" s="98">
        <f>SUMIF(Adat!V:V,CONCATENATE(60,Info!D5,"053"),Adat!E:E)+G13</f>
        <v>420869229</v>
      </c>
      <c r="I13" s="99"/>
      <c r="J13" s="99"/>
      <c r="K13" s="99"/>
      <c r="L13" s="99"/>
      <c r="M13" s="65"/>
      <c r="O13" s="20"/>
    </row>
    <row r="14" spans="2:15" s="17" customFormat="1" ht="12.75" x14ac:dyDescent="0.25">
      <c r="B14" s="64">
        <v>6</v>
      </c>
      <c r="C14" s="64"/>
      <c r="D14" s="64"/>
      <c r="E14" s="300"/>
      <c r="F14" s="296" t="s">
        <v>345</v>
      </c>
      <c r="G14" s="98">
        <f>SUMIF(Adat!V:V,CONCATENATE(61,Info!D5,"054"),Adat!E:E)</f>
        <v>8000000</v>
      </c>
      <c r="H14" s="98">
        <f>SUMIF(Adat!V:V,CONCATENATE(60,Info!D5,"054"),Adat!E:E)+G14</f>
        <v>8000000</v>
      </c>
      <c r="I14" s="99"/>
      <c r="J14" s="99"/>
      <c r="K14" s="99"/>
      <c r="L14" s="99"/>
      <c r="M14" s="65"/>
      <c r="O14" s="20"/>
    </row>
    <row r="15" spans="2:15" s="17" customFormat="1" ht="12.75" x14ac:dyDescent="0.25">
      <c r="B15" s="64">
        <v>7</v>
      </c>
      <c r="C15" s="64"/>
      <c r="D15" s="64"/>
      <c r="E15" s="300"/>
      <c r="F15" s="296" t="s">
        <v>321</v>
      </c>
      <c r="G15" s="98">
        <f>SUMIF(Adat!V:V,CONCATENATE(61,Info!D5,"055"),Adat!E:E)-G19</f>
        <v>51753479</v>
      </c>
      <c r="H15" s="98">
        <f>SUMIF(Adat!V:V,CONCATENATE(60,Info!D5,"055"),Adat!E:E)+G15-H19+G19</f>
        <v>55469363</v>
      </c>
      <c r="I15" s="99"/>
      <c r="J15" s="99"/>
      <c r="K15" s="99"/>
      <c r="L15" s="99"/>
      <c r="M15" s="65"/>
      <c r="O15" s="20"/>
    </row>
    <row r="16" spans="2:15" s="17" customFormat="1" ht="12.75" x14ac:dyDescent="0.25">
      <c r="B16" s="64">
        <v>8</v>
      </c>
      <c r="C16" s="64"/>
      <c r="D16" s="64"/>
      <c r="E16" s="300"/>
      <c r="F16" s="296" t="s">
        <v>322</v>
      </c>
      <c r="G16" s="98">
        <f>SUMIF(Adat!V:V,CONCATENATE(61,Info!D5,"056"),Adat!E:E)</f>
        <v>126796399</v>
      </c>
      <c r="H16" s="98">
        <f>SUMIF(Adat!V:V,CONCATENATE(60,Info!D5,"056"),Adat!E:E)+G16</f>
        <v>126796399</v>
      </c>
      <c r="I16" s="99"/>
      <c r="J16" s="99"/>
      <c r="K16" s="99"/>
      <c r="L16" s="99"/>
      <c r="M16" s="65"/>
      <c r="O16" s="20"/>
    </row>
    <row r="17" spans="2:15" s="17" customFormat="1" ht="12.75" x14ac:dyDescent="0.25">
      <c r="B17" s="64">
        <v>9</v>
      </c>
      <c r="C17" s="64"/>
      <c r="D17" s="64"/>
      <c r="E17" s="300"/>
      <c r="F17" s="296" t="s">
        <v>323</v>
      </c>
      <c r="G17" s="98">
        <f>SUMIF(Adat!V:V,CONCATENATE(61,Info!D5,"057"),Adat!E:E)</f>
        <v>34567119</v>
      </c>
      <c r="H17" s="98">
        <f>SUMIF(Adat!V:V,CONCATENATE(60,Info!D5,"057"),Adat!E:E)+G17</f>
        <v>34567119</v>
      </c>
      <c r="I17" s="99"/>
      <c r="J17" s="99"/>
      <c r="K17" s="99"/>
      <c r="L17" s="99"/>
      <c r="M17" s="65"/>
      <c r="O17" s="20"/>
    </row>
    <row r="18" spans="2:15" s="17" customFormat="1" ht="12.75" x14ac:dyDescent="0.25">
      <c r="B18" s="64">
        <v>10</v>
      </c>
      <c r="C18" s="64"/>
      <c r="D18" s="64"/>
      <c r="E18" s="300"/>
      <c r="F18" s="296" t="s">
        <v>324</v>
      </c>
      <c r="G18" s="98">
        <f>SUMIF(Adat!V:V,CONCATENATE(61,Info!D5,"058"),Adat!E:E)</f>
        <v>0</v>
      </c>
      <c r="H18" s="98">
        <f>SUMIF(Adat!V:V,CONCATENATE(60,Info!D5,"058"),Adat!E:E)+G18</f>
        <v>0</v>
      </c>
      <c r="I18" s="99"/>
      <c r="J18" s="99"/>
      <c r="K18" s="99"/>
      <c r="L18" s="99"/>
      <c r="M18" s="65"/>
      <c r="O18" s="20"/>
    </row>
    <row r="19" spans="2:15" s="17" customFormat="1" ht="12.75" x14ac:dyDescent="0.25">
      <c r="B19" s="64">
        <v>11</v>
      </c>
      <c r="C19" s="64"/>
      <c r="D19" s="64"/>
      <c r="E19" s="300"/>
      <c r="F19" s="296" t="s">
        <v>346</v>
      </c>
      <c r="G19" s="98">
        <f>'02'!E109</f>
        <v>100224060</v>
      </c>
      <c r="H19" s="98">
        <f>'02'!F109</f>
        <v>79673868</v>
      </c>
      <c r="I19" s="99"/>
      <c r="J19" s="99"/>
      <c r="K19" s="99"/>
      <c r="L19" s="99"/>
      <c r="M19" s="65"/>
    </row>
    <row r="20" spans="2:15" s="17" customFormat="1" ht="12.75" x14ac:dyDescent="0.25">
      <c r="B20" s="64">
        <v>12</v>
      </c>
      <c r="C20" s="64"/>
      <c r="D20" s="64"/>
      <c r="E20" s="300"/>
      <c r="F20" s="296" t="s">
        <v>325</v>
      </c>
      <c r="G20" s="98">
        <f>SUMIF(Adat!V:V,CONCATENATE(61,Info!D5,"059"),Adat!E:E)</f>
        <v>752606906</v>
      </c>
      <c r="H20" s="98">
        <f>SUMIF(Adat!V:V,CONCATENATE(60,Info!D5,"059"),Adat!E:E)+G20</f>
        <v>753066870</v>
      </c>
      <c r="I20" s="100"/>
      <c r="J20" s="100"/>
      <c r="K20" s="100"/>
      <c r="L20" s="100"/>
      <c r="M20" s="66"/>
      <c r="O20" s="20"/>
    </row>
    <row r="21" spans="2:15" s="17" customFormat="1" ht="12.75" x14ac:dyDescent="0.25">
      <c r="B21" s="64">
        <v>13</v>
      </c>
      <c r="C21" s="64">
        <v>2</v>
      </c>
      <c r="D21" s="64"/>
      <c r="E21" s="295" t="s">
        <v>347</v>
      </c>
      <c r="F21" s="295"/>
      <c r="G21" s="96">
        <f>SUM(G22:G126)/2</f>
        <v>764617914</v>
      </c>
      <c r="H21" s="96">
        <f>SUM(H22:H126)/2</f>
        <v>764617914</v>
      </c>
      <c r="I21" s="96">
        <f>SUM(I22:I126)</f>
        <v>764617914</v>
      </c>
      <c r="J21" s="96">
        <f t="shared" ref="J21:M21" si="0">SUM(J22:J126)</f>
        <v>764617914</v>
      </c>
      <c r="K21" s="96">
        <f t="shared" si="0"/>
        <v>51046419</v>
      </c>
      <c r="L21" s="96">
        <f t="shared" si="0"/>
        <v>713571495</v>
      </c>
      <c r="M21" s="270">
        <f t="shared" si="0"/>
        <v>0</v>
      </c>
    </row>
    <row r="22" spans="2:15" s="17" customFormat="1" ht="12.75" x14ac:dyDescent="0.25">
      <c r="B22" s="64">
        <v>14</v>
      </c>
      <c r="C22" s="64"/>
      <c r="D22" s="64">
        <f>IF(PAR!$E4&gt;" ",1," ")</f>
        <v>1</v>
      </c>
      <c r="E22" s="299" t="str">
        <f>PAR!$E$4</f>
        <v>Nagymarosi Polgármesteri Hivatal</v>
      </c>
      <c r="F22" s="297"/>
      <c r="G22" s="96">
        <f>SUM(G23:G28)</f>
        <v>256449646</v>
      </c>
      <c r="H22" s="96">
        <f>SUM(H23:H28)</f>
        <v>256449646</v>
      </c>
      <c r="I22" s="97">
        <f>SUMIF(Adat!W:W,CONCATENATE(61,Info!$D$6,"09"),Adat!E:E)*-1</f>
        <v>256449646</v>
      </c>
      <c r="J22" s="97">
        <f>SUMIF(Adat!W:W,CONCATENATE(60,Info!$D$6,"09"),Adat!E:E)*-1+I22</f>
        <v>256449646</v>
      </c>
      <c r="K22" s="97">
        <f>J22-L22-M22</f>
        <v>1417719</v>
      </c>
      <c r="L22" s="97">
        <f>SUMIF(Adat!X:X,CONCATENATE(Info!$D$6,"098161"),Adat!E:E)*-1</f>
        <v>255031927</v>
      </c>
      <c r="M22" s="294">
        <v>0</v>
      </c>
    </row>
    <row r="23" spans="2:15" s="17" customFormat="1" ht="12.75" x14ac:dyDescent="0.25">
      <c r="B23" s="64">
        <v>15</v>
      </c>
      <c r="C23" s="64"/>
      <c r="D23" s="64"/>
      <c r="E23" s="300"/>
      <c r="F23" s="296" t="str">
        <f>IF(PAR!$E$4&gt;" ","Személyi  juttatások"," ")</f>
        <v>Személyi  juttatások</v>
      </c>
      <c r="G23" s="98">
        <f>SUMIF(Adat!V:V,CONCATENATE(61,Info!$D$6,"051"),Adat!E:E)</f>
        <v>191201440</v>
      </c>
      <c r="H23" s="98">
        <f>SUMIF(Adat!V:V,CONCATENATE(60,Info!$D$6,"051"),Adat!E:E)+G23</f>
        <v>191201440</v>
      </c>
      <c r="I23" s="99"/>
      <c r="J23" s="99"/>
      <c r="K23" s="99"/>
      <c r="L23" s="99"/>
      <c r="M23" s="65"/>
    </row>
    <row r="24" spans="2:15" s="17" customFormat="1" ht="12.75" x14ac:dyDescent="0.25">
      <c r="B24" s="64">
        <v>16</v>
      </c>
      <c r="C24" s="64"/>
      <c r="D24" s="64"/>
      <c r="E24" s="300"/>
      <c r="F24" s="296" t="str">
        <f>IF(PAR!$E$4&gt;" ","Munkaadókat terhelő járulékok"," ")</f>
        <v>Munkaadókat terhelő járulékok</v>
      </c>
      <c r="G24" s="98">
        <f>SUMIF(Adat!V:V,CONCATENATE(61,Info!$D$6,"052"),Adat!E:E)</f>
        <v>24062368</v>
      </c>
      <c r="H24" s="98">
        <f>SUMIF(Adat!V:V,CONCATENATE(60,Info!$D$6,"052"),Adat!E:E)+G24</f>
        <v>24062368</v>
      </c>
      <c r="I24" s="99"/>
      <c r="J24" s="99"/>
      <c r="K24" s="99"/>
      <c r="L24" s="99"/>
      <c r="M24" s="65"/>
      <c r="O24" s="20"/>
    </row>
    <row r="25" spans="2:15" s="17" customFormat="1" ht="12.75" x14ac:dyDescent="0.25">
      <c r="B25" s="64">
        <v>17</v>
      </c>
      <c r="C25" s="64"/>
      <c r="D25" s="64"/>
      <c r="E25" s="300"/>
      <c r="F25" s="296" t="str">
        <f>IF(PAR!$E$4&gt;" ","Dologi  kiadások"," ")</f>
        <v>Dologi  kiadások</v>
      </c>
      <c r="G25" s="98">
        <f>SUMIF(Adat!V:V,CONCATENATE(61,Info!$D$6,"053"),Adat!E:E)</f>
        <v>36685838</v>
      </c>
      <c r="H25" s="98">
        <f>SUMIF(Adat!V:V,CONCATENATE(60,Info!$D$6,"053"),Adat!E:E)+G25</f>
        <v>36685838</v>
      </c>
      <c r="I25" s="99"/>
      <c r="J25" s="99"/>
      <c r="K25" s="99"/>
      <c r="L25" s="99"/>
      <c r="M25" s="65"/>
    </row>
    <row r="26" spans="2:15" s="17" customFormat="1" ht="12.75" x14ac:dyDescent="0.25">
      <c r="B26" s="64">
        <v>18</v>
      </c>
      <c r="C26" s="64"/>
      <c r="D26" s="64"/>
      <c r="E26" s="300"/>
      <c r="F26" s="296" t="str">
        <f>IF(PAR!$E$4&gt;" ","Ellátási díjak","")</f>
        <v>Ellátási díjak</v>
      </c>
      <c r="G26" s="98">
        <f>SUMIF(Adat!V:V,CONCATENATE(61,Info!$D$6,"054"),Adat!E:E)</f>
        <v>0</v>
      </c>
      <c r="H26" s="98">
        <f>SUMIF(Adat!V:V,CONCATENATE(60,Info!$D$6,"054"),Adat!E:E)+G26</f>
        <v>0</v>
      </c>
      <c r="I26" s="99"/>
      <c r="J26" s="99"/>
      <c r="K26" s="99"/>
      <c r="L26" s="99"/>
      <c r="M26" s="65"/>
    </row>
    <row r="27" spans="2:15" s="17" customFormat="1" ht="12.75" x14ac:dyDescent="0.25">
      <c r="B27" s="64">
        <v>19</v>
      </c>
      <c r="C27" s="64"/>
      <c r="D27" s="64"/>
      <c r="E27" s="300"/>
      <c r="F27" s="296" t="str">
        <f>IF(PAR!$E$4&gt;" ","Egyéb működési célú kiadások","")</f>
        <v>Egyéb működési célú kiadások</v>
      </c>
      <c r="G27" s="98">
        <f>SUMIF(Adat!V:V,CONCATENATE(61,Info!$D$6,"055"),Adat!E:E)</f>
        <v>0</v>
      </c>
      <c r="H27" s="98">
        <f>SUMIF(Adat!V:V,CONCATENATE(60,Info!$D$6,"055"),Adat!E:E)+G27</f>
        <v>0</v>
      </c>
      <c r="I27" s="99"/>
      <c r="J27" s="99"/>
      <c r="K27" s="99"/>
      <c r="L27" s="99"/>
      <c r="M27" s="65"/>
    </row>
    <row r="28" spans="2:15" s="17" customFormat="1" ht="12.75" x14ac:dyDescent="0.25">
      <c r="B28" s="64">
        <v>20</v>
      </c>
      <c r="C28" s="64"/>
      <c r="D28" s="64"/>
      <c r="E28" s="300"/>
      <c r="F28" s="296" t="str">
        <f>IF(PAR!$E$4&gt;" ","Felhalmozási kiadások"," ")</f>
        <v>Felhalmozási kiadások</v>
      </c>
      <c r="G28" s="98">
        <f>SUMIF(Adat!V:V,CONCATENATE(61,Info!$D$6,"056"),Adat!E:E)+SUMIF(Adat!V:V,CONCATENATE(61,Info!$D$6,"057"),Adat!E:E)+SUMIF(Adat!V:V,CONCATENATE(61,Info!$D$6,"058"),Adat!E:E)</f>
        <v>4500000</v>
      </c>
      <c r="H28" s="98">
        <f>SUMIF(Adat!V:V,CONCATENATE(60,Info!$D$6,"056"),Adat!E:E)+SUMIF(Adat!V:V,CONCATENATE(60,Info!$D$6,"057"),Adat!E:E)+SUMIF(Adat!V:V,CONCATENATE(60,Info!$D$6,"058"),Adat!E:E)+G28</f>
        <v>4500000</v>
      </c>
      <c r="I28" s="100"/>
      <c r="J28" s="100"/>
      <c r="K28" s="100"/>
      <c r="L28" s="100"/>
      <c r="M28" s="66"/>
    </row>
    <row r="29" spans="2:15" s="17" customFormat="1" ht="12.75" x14ac:dyDescent="0.25">
      <c r="B29" s="64">
        <v>21</v>
      </c>
      <c r="C29" s="64"/>
      <c r="D29" s="64">
        <f>IF(PAR!$E5&gt;" ",2," ")</f>
        <v>2</v>
      </c>
      <c r="E29" s="299" t="str">
        <f>IF(PAR!E5&gt;" ",PAR!E5," ")</f>
        <v>Nagymarosi Napköziotthonos Óvoda és Bölcsőde</v>
      </c>
      <c r="F29" s="297"/>
      <c r="G29" s="96">
        <f>SUM(G30:G35)</f>
        <v>314979011</v>
      </c>
      <c r="H29" s="96">
        <f>SUM(H30:H35)</f>
        <v>314979011</v>
      </c>
      <c r="I29" s="97">
        <f>SUMIF(Adat!W:W,CONCATENATE(61,Info!$D$7,"09"),Adat!E:E)*-1</f>
        <v>314979011</v>
      </c>
      <c r="J29" s="97">
        <f>SUMIF(Adat!W:W,CONCATENATE(60,Info!$D$7,"09"),Adat!E:E)*-1+I29</f>
        <v>314979011</v>
      </c>
      <c r="K29" s="97">
        <f>J29-L29-M29</f>
        <v>2123668</v>
      </c>
      <c r="L29" s="97">
        <f>SUMIF(Adat!X:X,CONCATENATE(Info!$D$7,"098161"),Adat!E:E)*-1</f>
        <v>312855343</v>
      </c>
      <c r="M29" s="294">
        <v>0</v>
      </c>
    </row>
    <row r="30" spans="2:15" s="17" customFormat="1" ht="12.75" x14ac:dyDescent="0.25">
      <c r="B30" s="64">
        <v>22</v>
      </c>
      <c r="C30" s="64"/>
      <c r="D30" s="64"/>
      <c r="E30" s="301"/>
      <c r="F30" s="296" t="str">
        <f>IF(PAR!$E$5&gt;" ","Személyi  juttatások"," ")</f>
        <v>Személyi  juttatások</v>
      </c>
      <c r="G30" s="98">
        <f>SUMIF(Adat!V:V,CONCATENATE(61,Info!$D$7,"051"),Adat!E:E)</f>
        <v>262028598</v>
      </c>
      <c r="H30" s="98">
        <f>SUMIF(Adat!V:V,CONCATENATE(60,Info!$D$7,"051"),Adat!E:E)+G30</f>
        <v>262028598</v>
      </c>
      <c r="I30" s="99"/>
      <c r="J30" s="99"/>
      <c r="K30" s="99"/>
      <c r="L30" s="99"/>
      <c r="M30" s="65"/>
    </row>
    <row r="31" spans="2:15" s="17" customFormat="1" ht="12.75" x14ac:dyDescent="0.25">
      <c r="B31" s="64">
        <v>23</v>
      </c>
      <c r="C31" s="64"/>
      <c r="D31" s="64"/>
      <c r="E31" s="301"/>
      <c r="F31" s="296" t="str">
        <f>IF(PAR!$E$5&gt;" ","Munkaadókat terhelő járulékok"," ")</f>
        <v>Munkaadókat terhelő járulékok</v>
      </c>
      <c r="G31" s="98">
        <f>SUMIF(Adat!V:V,CONCATENATE(61,Info!$D$7,"052"),Adat!E:E)</f>
        <v>34547629</v>
      </c>
      <c r="H31" s="98">
        <f>SUMIF(Adat!V:V,CONCATENATE(60,Info!$D$7,"052"),Adat!E:E)+G31</f>
        <v>34547629</v>
      </c>
      <c r="I31" s="99"/>
      <c r="J31" s="99"/>
      <c r="K31" s="99"/>
      <c r="L31" s="99"/>
      <c r="M31" s="65"/>
      <c r="O31" s="20"/>
    </row>
    <row r="32" spans="2:15" s="17" customFormat="1" ht="12.75" x14ac:dyDescent="0.25">
      <c r="B32" s="64">
        <v>24</v>
      </c>
      <c r="C32" s="64"/>
      <c r="D32" s="64"/>
      <c r="E32" s="301"/>
      <c r="F32" s="296" t="str">
        <f>IF(PAR!$E$5&gt;" ","Dologi  kiadások"," ")</f>
        <v>Dologi  kiadások</v>
      </c>
      <c r="G32" s="98">
        <f>SUMIF(Adat!V:V,CONCATENATE(61,Info!$D$7,"053"),Adat!E:E)</f>
        <v>18402784</v>
      </c>
      <c r="H32" s="98">
        <f>SUMIF(Adat!V:V,CONCATENATE(60,Info!$D$7,"053"),Adat!E:E)+G32</f>
        <v>18402784</v>
      </c>
      <c r="I32" s="99"/>
      <c r="J32" s="99"/>
      <c r="K32" s="99"/>
      <c r="L32" s="99"/>
      <c r="M32" s="65"/>
    </row>
    <row r="33" spans="2:15" s="17" customFormat="1" ht="12.75" x14ac:dyDescent="0.25">
      <c r="B33" s="64">
        <v>25</v>
      </c>
      <c r="C33" s="64"/>
      <c r="D33" s="64"/>
      <c r="E33" s="301"/>
      <c r="F33" s="296" t="str">
        <f>IF(PAR!$E$5&gt;" ","Ellátási díjak","")</f>
        <v>Ellátási díjak</v>
      </c>
      <c r="G33" s="98">
        <f>SUMIF(Adat!V:V,CONCATENATE(61,Info!$D$7,"054"),Adat!E:E)</f>
        <v>0</v>
      </c>
      <c r="H33" s="98">
        <f>SUMIF(Adat!V:V,CONCATENATE(60,Info!$D$7,"054"),Adat!E:E)+G33</f>
        <v>0</v>
      </c>
      <c r="I33" s="99"/>
      <c r="J33" s="99"/>
      <c r="K33" s="99"/>
      <c r="L33" s="99"/>
      <c r="M33" s="65"/>
    </row>
    <row r="34" spans="2:15" s="17" customFormat="1" ht="12.75" x14ac:dyDescent="0.25">
      <c r="B34" s="64">
        <v>26</v>
      </c>
      <c r="C34" s="64"/>
      <c r="D34" s="64"/>
      <c r="E34" s="301"/>
      <c r="F34" s="296" t="str">
        <f>IF(PAR!$E$5&gt;" ","Egyéb működési célú kiadások","")</f>
        <v>Egyéb működési célú kiadások</v>
      </c>
      <c r="G34" s="98">
        <f>SUMIF(Adat!V:V,CONCATENATE(61,Info!$D$7,"055"),Adat!E:E)</f>
        <v>0</v>
      </c>
      <c r="H34" s="98">
        <f>SUMIF(Adat!V:V,CONCATENATE(60,Info!$D$7,"055"),Adat!E:E)+G34</f>
        <v>0</v>
      </c>
      <c r="I34" s="99"/>
      <c r="J34" s="99"/>
      <c r="K34" s="99"/>
      <c r="L34" s="99"/>
      <c r="M34" s="65"/>
    </row>
    <row r="35" spans="2:15" s="17" customFormat="1" ht="12.75" x14ac:dyDescent="0.25">
      <c r="B35" s="64">
        <v>27</v>
      </c>
      <c r="C35" s="64"/>
      <c r="D35" s="64"/>
      <c r="E35" s="301"/>
      <c r="F35" s="296" t="str">
        <f>IF(PAR!$E$5&gt;" ","Felhalmozási kiadások"," ")</f>
        <v>Felhalmozási kiadások</v>
      </c>
      <c r="G35" s="98">
        <f>SUMIF(Adat!V:V,CONCATENATE(61,Info!$D$7,"056"),Adat!E:E)+SUMIF(Adat!V:V,CONCATENATE(61,Info!$D$7,"057"),Adat!E:E)+SUMIF(Adat!V:V,CONCATENATE(61,Info!$D$7,"058"),Adat!E:E)</f>
        <v>0</v>
      </c>
      <c r="H35" s="98">
        <f>SUMIF(Adat!V:V,CONCATENATE(60,Info!$D$7,"056"),Adat!E:E)+SUMIF(Adat!V:V,CONCATENATE(60,Info!$D$7,"057"),Adat!E:E)+SUMIF(Adat!V:V,CONCATENATE(60,Info!$D$7,"058"),Adat!E:E)+G35</f>
        <v>0</v>
      </c>
      <c r="I35" s="100"/>
      <c r="J35" s="100"/>
      <c r="K35" s="100"/>
      <c r="L35" s="100"/>
      <c r="M35" s="66"/>
    </row>
    <row r="36" spans="2:15" s="17" customFormat="1" ht="12.75" x14ac:dyDescent="0.25">
      <c r="B36" s="64">
        <v>28</v>
      </c>
      <c r="C36" s="204"/>
      <c r="D36" s="205">
        <f>IF(PAR!$E6&gt;" ",3," ")</f>
        <v>3</v>
      </c>
      <c r="E36" s="302" t="str">
        <f>IF(PAR!E6&gt;" ",PAR!E6," ")</f>
        <v>Gondozási Központ</v>
      </c>
      <c r="F36" s="297"/>
      <c r="G36" s="96">
        <f>SUM(G37:G42)</f>
        <v>128858721</v>
      </c>
      <c r="H36" s="96">
        <f>SUM(H37:H42)</f>
        <v>128858721</v>
      </c>
      <c r="I36" s="97">
        <f>SUMIF(Adat!W:W,CONCATENATE(61,Info!$D$8,"09"),Adat!E:E)*-1</f>
        <v>128858721</v>
      </c>
      <c r="J36" s="97">
        <f>SUMIF(Adat!W:W,CONCATENATE(60,Info!$D$8,"09"),Adat!E:E)*-1+I36</f>
        <v>128858721</v>
      </c>
      <c r="K36" s="97">
        <f>J36-L36-M36</f>
        <v>40173536</v>
      </c>
      <c r="L36" s="97">
        <f>SUMIF(Adat!X:X,CONCATENATE(Info!$D$8,"098161"),Adat!E:E)*-1</f>
        <v>88685185</v>
      </c>
      <c r="M36" s="294">
        <v>0</v>
      </c>
    </row>
    <row r="37" spans="2:15" s="17" customFormat="1" ht="12.75" x14ac:dyDescent="0.25">
      <c r="B37" s="64">
        <v>29</v>
      </c>
      <c r="C37" s="204"/>
      <c r="D37" s="205"/>
      <c r="E37" s="303"/>
      <c r="F37" s="298" t="str">
        <f>IF(PAR!$E$6&gt;" ","Személyi  juttatások"," ")</f>
        <v>Személyi  juttatások</v>
      </c>
      <c r="G37" s="98">
        <f>SUMIF(Adat!V:V,CONCATENATE(61,Info!$D$8,"051"),Adat!E:E)</f>
        <v>79055342</v>
      </c>
      <c r="H37" s="98">
        <f>SUMIF(Adat!V:V,CONCATENATE(60,Info!$D$8,"051"),Adat!E:E)+G37</f>
        <v>79057924</v>
      </c>
      <c r="I37" s="99"/>
      <c r="J37" s="99"/>
      <c r="K37" s="99"/>
      <c r="L37" s="99"/>
      <c r="M37" s="65"/>
    </row>
    <row r="38" spans="2:15" s="17" customFormat="1" ht="12.75" x14ac:dyDescent="0.25">
      <c r="B38" s="64">
        <v>30</v>
      </c>
      <c r="C38" s="204"/>
      <c r="D38" s="205"/>
      <c r="E38" s="303"/>
      <c r="F38" s="298" t="str">
        <f>IF(PAR!$E$6&gt;" ","Munkaadókat terhelő járulékok"," ")</f>
        <v>Munkaadókat terhelő járulékok</v>
      </c>
      <c r="G38" s="98">
        <f>SUMIF(Adat!V:V,CONCATENATE(61,Info!$D$8,"052"),Adat!E:E)</f>
        <v>10124551</v>
      </c>
      <c r="H38" s="98">
        <f>SUMIF(Adat!V:V,CONCATENATE(60,Info!$D$8,"052"),Adat!E:E)+G38</f>
        <v>10124551</v>
      </c>
      <c r="I38" s="99"/>
      <c r="J38" s="99"/>
      <c r="K38" s="99"/>
      <c r="L38" s="99"/>
      <c r="M38" s="65"/>
      <c r="O38" s="20"/>
    </row>
    <row r="39" spans="2:15" s="17" customFormat="1" ht="12.75" x14ac:dyDescent="0.25">
      <c r="B39" s="64">
        <v>31</v>
      </c>
      <c r="C39" s="204"/>
      <c r="D39" s="205"/>
      <c r="E39" s="303"/>
      <c r="F39" s="298" t="str">
        <f>IF(PAR!$E$6&gt;" ","Dologi  kiadások"," ")</f>
        <v>Dologi  kiadások</v>
      </c>
      <c r="G39" s="98">
        <f>SUMIF(Adat!V:V,CONCATENATE(61,Info!$D$8,"053"),Adat!E:E)</f>
        <v>38789828</v>
      </c>
      <c r="H39" s="98">
        <f>SUMIF(Adat!V:V,CONCATENATE(60,Info!$D$8,"053"),Adat!E:E)+G39</f>
        <v>38787246</v>
      </c>
      <c r="I39" s="99"/>
      <c r="J39" s="99"/>
      <c r="K39" s="99"/>
      <c r="L39" s="99"/>
      <c r="M39" s="65"/>
    </row>
    <row r="40" spans="2:15" s="17" customFormat="1" ht="12.75" x14ac:dyDescent="0.25">
      <c r="B40" s="64">
        <v>32</v>
      </c>
      <c r="C40" s="204"/>
      <c r="D40" s="205"/>
      <c r="E40" s="303"/>
      <c r="F40" s="298" t="str">
        <f>IF(PAR!$E$6&gt;" ","Ellátási díjak"," ")</f>
        <v>Ellátási díjak</v>
      </c>
      <c r="G40" s="98">
        <f>SUMIF(Adat!V:V,CONCATENATE(61,Info!$D$8,"054"),Adat!E:E)</f>
        <v>0</v>
      </c>
      <c r="H40" s="98">
        <f>SUMIF(Adat!V:V,CONCATENATE(60,Info!$D$8,"054"),Adat!E:E)+G40</f>
        <v>0</v>
      </c>
      <c r="I40" s="99"/>
      <c r="J40" s="99"/>
      <c r="K40" s="99"/>
      <c r="L40" s="99"/>
      <c r="M40" s="65"/>
    </row>
    <row r="41" spans="2:15" s="17" customFormat="1" ht="12.75" x14ac:dyDescent="0.25">
      <c r="B41" s="64">
        <v>33</v>
      </c>
      <c r="C41" s="204"/>
      <c r="D41" s="205"/>
      <c r="E41" s="303"/>
      <c r="F41" s="298" t="str">
        <f>IF(PAR!$E$6&gt;" ","Egyéb működési célú kiadások"," ")</f>
        <v>Egyéb működési célú kiadások</v>
      </c>
      <c r="G41" s="98">
        <f>SUMIF(Adat!V:V,CONCATENATE(61,Info!$D$8,"055"),Adat!E:E)</f>
        <v>0</v>
      </c>
      <c r="H41" s="98">
        <f>SUMIF(Adat!V:V,CONCATENATE(60,Info!$D$8,"055"),Adat!E:E)+G41</f>
        <v>0</v>
      </c>
      <c r="I41" s="99"/>
      <c r="J41" s="99"/>
      <c r="K41" s="99"/>
      <c r="L41" s="99"/>
      <c r="M41" s="65"/>
    </row>
    <row r="42" spans="2:15" s="17" customFormat="1" ht="12.75" x14ac:dyDescent="0.25">
      <c r="B42" s="64">
        <v>34</v>
      </c>
      <c r="C42" s="204"/>
      <c r="D42" s="205"/>
      <c r="E42" s="303"/>
      <c r="F42" s="298" t="str">
        <f>IF(PAR!$E$6&gt;" ","Felhalmozási kiadások"," ")</f>
        <v>Felhalmozási kiadások</v>
      </c>
      <c r="G42" s="98">
        <f>SUMIF(Adat!V:V,CONCATENATE(61,Info!$D$8,"056"),Adat!E:E)+SUMIF(Adat!V:V,CONCATENATE(61,Info!$D$8,"057"),Adat!E:E)+SUMIF(Adat!V:V,CONCATENATE(61,Info!$D$8,"058"),Adat!E:E)</f>
        <v>889000</v>
      </c>
      <c r="H42" s="98">
        <f>SUMIF(Adat!V:V,CONCATENATE(60,Info!$D$8,"056"),Adat!E:E)+SUMIF(Adat!V:V,CONCATENATE(60,Info!$D$8,"057"),Adat!E:E)+SUMIF(Adat!V:V,CONCATENATE(60,Info!$D$8,"058"),Adat!E:E)+G42</f>
        <v>889000</v>
      </c>
      <c r="I42" s="100"/>
      <c r="J42" s="100"/>
      <c r="K42" s="100"/>
      <c r="L42" s="100"/>
      <c r="M42" s="66"/>
    </row>
    <row r="43" spans="2:15" s="17" customFormat="1" ht="12.75" x14ac:dyDescent="0.25">
      <c r="B43" s="64">
        <v>35</v>
      </c>
      <c r="C43" s="204"/>
      <c r="D43" s="205">
        <f>IF(PAR!$E7&gt;" ",4," ")</f>
        <v>4</v>
      </c>
      <c r="E43" s="302" t="str">
        <f>IF(PAR!E7&gt;" ",PAR!E7," ")</f>
        <v>Nagymaros Városi Könyvtár és Művelődési Ház</v>
      </c>
      <c r="F43" s="297"/>
      <c r="G43" s="96">
        <f>SUM(G44:G49)</f>
        <v>64330536</v>
      </c>
      <c r="H43" s="96">
        <f>SUM(H44:H49)</f>
        <v>64330536</v>
      </c>
      <c r="I43" s="97">
        <f>SUMIF(Adat!W:W,CONCATENATE(61,Info!$D$9,"09"),Adat!E:E)*-1</f>
        <v>64330536</v>
      </c>
      <c r="J43" s="97">
        <f>SUMIF(Adat!W:W,CONCATENATE(60,Info!$D$9,"09"),Adat!E:E)*-1+I43</f>
        <v>64330536</v>
      </c>
      <c r="K43" s="97">
        <f>J43-L43-M43</f>
        <v>7331496</v>
      </c>
      <c r="L43" s="97">
        <f>SUMIF(Adat!X:X,CONCATENATE(Info!$D$9,"098161"),Adat!E:E)*-1</f>
        <v>56999040</v>
      </c>
      <c r="M43" s="294">
        <v>0</v>
      </c>
    </row>
    <row r="44" spans="2:15" s="17" customFormat="1" ht="12.75" x14ac:dyDescent="0.25">
      <c r="B44" s="64">
        <v>36</v>
      </c>
      <c r="C44" s="204"/>
      <c r="D44" s="205"/>
      <c r="E44" s="303"/>
      <c r="F44" s="298" t="str">
        <f>IF(PAR!$E$7&gt;" ","Személyi  juttatások"," ")</f>
        <v>Személyi  juttatások</v>
      </c>
      <c r="G44" s="98">
        <f>SUMIF(Adat!V:V,CONCATENATE(61,Info!$D$9,"051"),Adat!E:E)</f>
        <v>29167524</v>
      </c>
      <c r="H44" s="98">
        <f>SUMIF(Adat!V:V,CONCATENATE(60,Info!$D$9,"051"),Adat!E:E)+G44</f>
        <v>29168857</v>
      </c>
      <c r="I44" s="99"/>
      <c r="J44" s="99"/>
      <c r="K44" s="99"/>
      <c r="L44" s="99"/>
      <c r="M44" s="65"/>
      <c r="O44" s="20"/>
    </row>
    <row r="45" spans="2:15" s="17" customFormat="1" ht="12.75" x14ac:dyDescent="0.25">
      <c r="B45" s="64">
        <v>37</v>
      </c>
      <c r="C45" s="204"/>
      <c r="D45" s="205"/>
      <c r="E45" s="303"/>
      <c r="F45" s="298" t="str">
        <f>IF(PAR!$E$7&gt;" ","Munkaadókat terhelő járulékok"," ")</f>
        <v>Munkaadókat terhelő járulékok</v>
      </c>
      <c r="G45" s="98">
        <f>SUMIF(Adat!V:V,CONCATENATE(61,Info!$D$9,"052"),Adat!E:E)</f>
        <v>3856800</v>
      </c>
      <c r="H45" s="98">
        <f>SUMIF(Adat!V:V,CONCATENATE(60,Info!$D$9,"052"),Adat!E:E)+G45</f>
        <v>3856800</v>
      </c>
      <c r="I45" s="99"/>
      <c r="J45" s="99"/>
      <c r="K45" s="99"/>
      <c r="L45" s="99"/>
      <c r="M45" s="65"/>
    </row>
    <row r="46" spans="2:15" s="17" customFormat="1" ht="12.75" x14ac:dyDescent="0.25">
      <c r="B46" s="64">
        <v>38</v>
      </c>
      <c r="C46" s="204"/>
      <c r="D46" s="205"/>
      <c r="E46" s="303"/>
      <c r="F46" s="298" t="str">
        <f>IF(PAR!$E$7&gt;" ","Dologi  kiadások"," ")</f>
        <v>Dologi  kiadások</v>
      </c>
      <c r="G46" s="98">
        <f>SUMIF(Adat!V:V,CONCATENATE(61,Info!$D$9,"053"),Adat!E:E)</f>
        <v>29411212</v>
      </c>
      <c r="H46" s="98">
        <f>SUMIF(Adat!V:V,CONCATENATE(60,Info!$D$9,"053"),Adat!E:E)+G46</f>
        <v>29409879</v>
      </c>
      <c r="I46" s="99"/>
      <c r="J46" s="99"/>
      <c r="K46" s="99"/>
      <c r="L46" s="99"/>
      <c r="M46" s="65"/>
    </row>
    <row r="47" spans="2:15" s="17" customFormat="1" ht="12.75" x14ac:dyDescent="0.25">
      <c r="B47" s="64">
        <v>39</v>
      </c>
      <c r="C47" s="204"/>
      <c r="D47" s="205"/>
      <c r="E47" s="303"/>
      <c r="F47" s="298" t="str">
        <f>IF(PAR!$E$7&gt;" ","Ellátási díjak"," ")</f>
        <v>Ellátási díjak</v>
      </c>
      <c r="G47" s="98">
        <f>SUMIF(Adat!V:V,CONCATENATE(61,Info!$D$9,"054"),Adat!E:E)</f>
        <v>0</v>
      </c>
      <c r="H47" s="98">
        <f>SUMIF(Adat!V:V,CONCATENATE(60,Info!$D$9,"054"),Adat!E:E)+G47</f>
        <v>0</v>
      </c>
      <c r="I47" s="99"/>
      <c r="J47" s="99"/>
      <c r="K47" s="99"/>
      <c r="L47" s="99"/>
      <c r="M47" s="65"/>
    </row>
    <row r="48" spans="2:15" s="17" customFormat="1" ht="12.75" x14ac:dyDescent="0.25">
      <c r="B48" s="64">
        <v>40</v>
      </c>
      <c r="C48" s="204"/>
      <c r="D48" s="205"/>
      <c r="E48" s="303"/>
      <c r="F48" s="298" t="str">
        <f>IF(PAR!$E$7&gt;" ","Egyéb működési célú kiadások"," ")</f>
        <v>Egyéb működési célú kiadások</v>
      </c>
      <c r="G48" s="98">
        <f>SUMIF(Adat!V:V,CONCATENATE(61,Info!$D$9,"055"),Adat!E:E)</f>
        <v>0</v>
      </c>
      <c r="H48" s="98">
        <f>SUMIF(Adat!V:V,CONCATENATE(60,Info!$D$9,"055"),Adat!E:E)+G48</f>
        <v>0</v>
      </c>
      <c r="I48" s="99"/>
      <c r="J48" s="99"/>
      <c r="K48" s="99"/>
      <c r="L48" s="99"/>
      <c r="M48" s="65"/>
    </row>
    <row r="49" spans="2:13" s="17" customFormat="1" ht="12.75" x14ac:dyDescent="0.25">
      <c r="B49" s="64">
        <v>41</v>
      </c>
      <c r="C49" s="204"/>
      <c r="D49" s="205"/>
      <c r="E49" s="303"/>
      <c r="F49" s="298" t="str">
        <f>IF(PAR!$E$7&gt;" ","Felhalmozási kiadások"," ")</f>
        <v>Felhalmozási kiadások</v>
      </c>
      <c r="G49" s="98">
        <f>SUMIF(Adat!V:V,CONCATENATE(61,Info!$D$9,"056"),Adat!E:E)+SUMIF(Adat!V:V,CONCATENATE(61,Info!$D$9,"057"),Adat!E:E)+SUMIF(Adat!V:V,CONCATENATE(61,Info!$D$9,"058"),Adat!E:E)</f>
        <v>1895000</v>
      </c>
      <c r="H49" s="98">
        <f>SUMIF(Adat!V:V,CONCATENATE(60,Info!$D$9,"056"),Adat!E:E)+SUMIF(Adat!V:V,CONCATENATE(60,Info!$D$9,"057"),Adat!E:E)+SUMIF(Adat!V:V,CONCATENATE(60,Info!$D$9,"058"),Adat!E:E)+G49</f>
        <v>1895000</v>
      </c>
      <c r="I49" s="100"/>
      <c r="J49" s="100"/>
      <c r="K49" s="100"/>
      <c r="L49" s="100"/>
      <c r="M49" s="66"/>
    </row>
    <row r="50" spans="2:13" s="17" customFormat="1" ht="12.75" x14ac:dyDescent="0.25">
      <c r="B50" s="64">
        <v>42</v>
      </c>
      <c r="C50" s="204"/>
      <c r="D50" s="205" t="str">
        <f>IF(PAR!$E8&gt;" ",5," ")</f>
        <v xml:space="preserve"> </v>
      </c>
      <c r="E50" s="302" t="str">
        <f>IF(PAR!E8&gt;" ",PAR!E8," ")</f>
        <v xml:space="preserve"> </v>
      </c>
      <c r="F50" s="297"/>
      <c r="G50" s="96">
        <f>SUM(G51:G56)</f>
        <v>0</v>
      </c>
      <c r="H50" s="96">
        <f>SUM(H51:H56)</f>
        <v>0</v>
      </c>
      <c r="I50" s="97">
        <f>SUMIF(Adat!W:W,CONCATENATE(61,Info!$D$10,"09"),Adat!E:E)*-1</f>
        <v>0</v>
      </c>
      <c r="J50" s="97">
        <f>SUMIF(Adat!W:W,CONCATENATE(60,Info!$D$10,"09"),Adat!E:E)*-1+I50</f>
        <v>0</v>
      </c>
      <c r="K50" s="97">
        <f>J50-L50-M50</f>
        <v>0</v>
      </c>
      <c r="L50" s="97">
        <f>SUMIF(Adat!X:X,CONCATENATE(Info!$D$10,"098161"),Adat!E:E)*-1</f>
        <v>0</v>
      </c>
      <c r="M50" s="294">
        <v>0</v>
      </c>
    </row>
    <row r="51" spans="2:13" s="17" customFormat="1" ht="12.75" x14ac:dyDescent="0.25">
      <c r="B51" s="64">
        <v>43</v>
      </c>
      <c r="C51" s="204"/>
      <c r="D51" s="205"/>
      <c r="E51" s="303"/>
      <c r="F51" s="298" t="str">
        <f>IF(PAR!$E$8&gt;" ","Személyi  juttatások"," ")</f>
        <v xml:space="preserve"> </v>
      </c>
      <c r="G51" s="98">
        <f>SUMIF(Adat!V:V,CONCATENATE(61,Info!$D$10,"051"),Adat!E:E)</f>
        <v>0</v>
      </c>
      <c r="H51" s="98">
        <f>SUMIF(Adat!V:V,CONCATENATE(60,Info!$D$10,"051"),Adat!E:E)+G51</f>
        <v>0</v>
      </c>
      <c r="I51" s="99"/>
      <c r="J51" s="99"/>
      <c r="K51" s="99"/>
      <c r="L51" s="99"/>
      <c r="M51" s="65"/>
    </row>
    <row r="52" spans="2:13" s="17" customFormat="1" ht="12.75" x14ac:dyDescent="0.25">
      <c r="B52" s="64">
        <v>44</v>
      </c>
      <c r="C52" s="204"/>
      <c r="D52" s="205"/>
      <c r="E52" s="303"/>
      <c r="F52" s="298" t="str">
        <f>IF(PAR!$E$8&gt;" ","Munkaadókat terhelő járulékok"," ")</f>
        <v xml:space="preserve"> </v>
      </c>
      <c r="G52" s="98">
        <f>SUMIF(Adat!V:V,CONCATENATE(61,Info!$D$10,"052"),Adat!E:E)</f>
        <v>0</v>
      </c>
      <c r="H52" s="98">
        <f>SUMIF(Adat!V:V,CONCATENATE(60,Info!$D$10,"052"),Adat!E:E)+G52</f>
        <v>0</v>
      </c>
      <c r="I52" s="99"/>
      <c r="J52" s="99"/>
      <c r="K52" s="99"/>
      <c r="L52" s="99"/>
      <c r="M52" s="65"/>
    </row>
    <row r="53" spans="2:13" s="17" customFormat="1" ht="12.75" x14ac:dyDescent="0.25">
      <c r="B53" s="64">
        <v>45</v>
      </c>
      <c r="C53" s="204"/>
      <c r="D53" s="205"/>
      <c r="E53" s="303"/>
      <c r="F53" s="298" t="str">
        <f>IF(PAR!$E$8&gt;" ","Dologi  kiadások"," ")</f>
        <v xml:space="preserve"> </v>
      </c>
      <c r="G53" s="98">
        <f>SUMIF(Adat!V:V,CONCATENATE(61,Info!$D$10,"053"),Adat!E:E)</f>
        <v>0</v>
      </c>
      <c r="H53" s="98">
        <f>SUMIF(Adat!V:V,CONCATENATE(60,Info!$D$10,"053"),Adat!E:E)+G53</f>
        <v>0</v>
      </c>
      <c r="I53" s="99"/>
      <c r="J53" s="99"/>
      <c r="K53" s="99"/>
      <c r="L53" s="99"/>
      <c r="M53" s="65"/>
    </row>
    <row r="54" spans="2:13" s="17" customFormat="1" ht="12.75" x14ac:dyDescent="0.25">
      <c r="B54" s="64">
        <v>46</v>
      </c>
      <c r="C54" s="204"/>
      <c r="D54" s="205"/>
      <c r="E54" s="303"/>
      <c r="F54" s="298" t="str">
        <f>IF(PAR!$E$8&gt;" ","Ellátási díjak"," ")</f>
        <v xml:space="preserve"> </v>
      </c>
      <c r="G54" s="98">
        <f>SUMIF(Adat!V:V,CONCATENATE(61,Info!$D$10,"054"),Adat!E:E)</f>
        <v>0</v>
      </c>
      <c r="H54" s="98">
        <f>SUMIF(Adat!V:V,CONCATENATE(60,Info!$D$10,"054"),Adat!E:E)+G54</f>
        <v>0</v>
      </c>
      <c r="I54" s="99"/>
      <c r="J54" s="99"/>
      <c r="K54" s="99"/>
      <c r="L54" s="99"/>
      <c r="M54" s="65"/>
    </row>
    <row r="55" spans="2:13" s="17" customFormat="1" ht="12.75" x14ac:dyDescent="0.25">
      <c r="B55" s="64">
        <v>47</v>
      </c>
      <c r="C55" s="204"/>
      <c r="D55" s="205"/>
      <c r="E55" s="303"/>
      <c r="F55" s="298" t="str">
        <f>IF(PAR!$E$8&gt;" ","Egyéb működési célú kiadások"," ")</f>
        <v xml:space="preserve"> </v>
      </c>
      <c r="G55" s="98">
        <f>SUMIF(Adat!V:V,CONCATENATE(61,Info!$D$10,"055"),Adat!E:E)</f>
        <v>0</v>
      </c>
      <c r="H55" s="98">
        <f>SUMIF(Adat!V:V,CONCATENATE(60,Info!$D$10,"055"),Adat!E:E)+G55</f>
        <v>0</v>
      </c>
      <c r="I55" s="99"/>
      <c r="J55" s="99"/>
      <c r="K55" s="99"/>
      <c r="L55" s="99"/>
      <c r="M55" s="65"/>
    </row>
    <row r="56" spans="2:13" s="17" customFormat="1" ht="12.75" x14ac:dyDescent="0.25">
      <c r="B56" s="64">
        <v>48</v>
      </c>
      <c r="C56" s="204"/>
      <c r="D56" s="205"/>
      <c r="E56" s="303"/>
      <c r="F56" s="298" t="str">
        <f>IF(PAR!$E$8&gt;" ","Felhalmozási kiadások"," ")</f>
        <v xml:space="preserve"> </v>
      </c>
      <c r="G56" s="98">
        <f>SUMIF(Adat!V:V,CONCATENATE(61,Info!$D$10,"056"),Adat!E:E)+SUMIF(Adat!V:V,CONCATENATE(61,Info!$D$10,"057"),Adat!E:E)+SUMIF(Adat!V:V,CONCATENATE(61,Info!$D$10,"058"),Adat!E:E)</f>
        <v>0</v>
      </c>
      <c r="H56" s="98">
        <f>SUMIF(Adat!V:V,CONCATENATE(60,Info!$D$10,"056"),Adat!E:E)+SUMIF(Adat!V:V,CONCATENATE(60,Info!$D$10,"057"),Adat!E:E)+SUMIF(Adat!V:V,CONCATENATE(60,Info!$D$10,"058"),Adat!E:E)+G56</f>
        <v>0</v>
      </c>
      <c r="I56" s="100"/>
      <c r="J56" s="100"/>
      <c r="K56" s="100"/>
      <c r="L56" s="100"/>
      <c r="M56" s="66"/>
    </row>
    <row r="57" spans="2:13" s="17" customFormat="1" ht="12.75" x14ac:dyDescent="0.25">
      <c r="B57" s="64">
        <v>49</v>
      </c>
      <c r="C57" s="204"/>
      <c r="D57" s="205" t="str">
        <f>IF(PAR!$E9&gt;" ",6," ")</f>
        <v xml:space="preserve"> </v>
      </c>
      <c r="E57" s="302" t="str">
        <f>IF(PAR!E9&gt;" ",PAR!E9," ")</f>
        <v xml:space="preserve"> </v>
      </c>
      <c r="F57" s="297"/>
      <c r="G57" s="96">
        <f>SUM(G58:G63)</f>
        <v>0</v>
      </c>
      <c r="H57" s="96">
        <f>SUM(H58:H63)</f>
        <v>0</v>
      </c>
      <c r="I57" s="97">
        <f>SUMIF(Adat!W:W,CONCATENATE(61,Info!$D$11,"09"),Adat!E:E)*-1</f>
        <v>0</v>
      </c>
      <c r="J57" s="97">
        <f>SUMIF(Adat!W:W,CONCATENATE(60,Info!$D$11,"09"),Adat!E:E)*-1+I57</f>
        <v>0</v>
      </c>
      <c r="K57" s="97">
        <f>J57-L57-M57</f>
        <v>0</v>
      </c>
      <c r="L57" s="97">
        <f>SUMIF(Adat!X:X,CONCATENATE(Info!$D$11,"098161"),Adat!E:E)*-1</f>
        <v>0</v>
      </c>
      <c r="M57" s="294">
        <v>0</v>
      </c>
    </row>
    <row r="58" spans="2:13" s="17" customFormat="1" ht="12.75" x14ac:dyDescent="0.25">
      <c r="B58" s="64">
        <v>50</v>
      </c>
      <c r="C58" s="204"/>
      <c r="D58" s="205"/>
      <c r="E58" s="303"/>
      <c r="F58" s="298" t="str">
        <f>IF(PAR!$E$9&gt;" ","Személyi  juttatások"," ")</f>
        <v xml:space="preserve"> </v>
      </c>
      <c r="G58" s="98">
        <f>SUMIF(Adat!V:V,CONCATENATE(61,Info!$D$11,"051"),Adat!E:E)</f>
        <v>0</v>
      </c>
      <c r="H58" s="98">
        <f>SUMIF(Adat!V:V,CONCATENATE(60,Info!$D$11,"051"),Adat!E:E)+G58</f>
        <v>0</v>
      </c>
      <c r="I58" s="99"/>
      <c r="J58" s="99"/>
      <c r="K58" s="99"/>
      <c r="L58" s="99"/>
      <c r="M58" s="65"/>
    </row>
    <row r="59" spans="2:13" s="17" customFormat="1" ht="12.75" x14ac:dyDescent="0.25">
      <c r="B59" s="64">
        <v>51</v>
      </c>
      <c r="C59" s="204"/>
      <c r="D59" s="205"/>
      <c r="E59" s="303"/>
      <c r="F59" s="298" t="str">
        <f>IF(PAR!$E$9&gt;" ","Munkaadókat terhelő járulékok"," ")</f>
        <v xml:space="preserve"> </v>
      </c>
      <c r="G59" s="98">
        <f>SUMIF(Adat!V:V,CONCATENATE(61,Info!$D$11,"052"),Adat!E:E)</f>
        <v>0</v>
      </c>
      <c r="H59" s="98">
        <f>SUMIF(Adat!V:V,CONCATENATE(60,Info!$D$11,"052"),Adat!E:E)+G59</f>
        <v>0</v>
      </c>
      <c r="I59" s="99"/>
      <c r="J59" s="99"/>
      <c r="K59" s="99"/>
      <c r="L59" s="99"/>
      <c r="M59" s="65"/>
    </row>
    <row r="60" spans="2:13" s="17" customFormat="1" ht="12.75" x14ac:dyDescent="0.25">
      <c r="B60" s="64">
        <v>52</v>
      </c>
      <c r="C60" s="204"/>
      <c r="D60" s="205"/>
      <c r="E60" s="303"/>
      <c r="F60" s="298" t="str">
        <f>IF(PAR!$E$9&gt;" ","Dologi  kiadások"," ")</f>
        <v xml:space="preserve"> </v>
      </c>
      <c r="G60" s="98">
        <f>SUMIF(Adat!V:V,CONCATENATE(61,Info!$D$11,"053"),Adat!E:E)</f>
        <v>0</v>
      </c>
      <c r="H60" s="98">
        <f>SUMIF(Adat!V:V,CONCATENATE(60,Info!$D$11,"053"),Adat!E:E)+G60</f>
        <v>0</v>
      </c>
      <c r="I60" s="99"/>
      <c r="J60" s="99"/>
      <c r="K60" s="99"/>
      <c r="L60" s="99"/>
      <c r="M60" s="65"/>
    </row>
    <row r="61" spans="2:13" s="17" customFormat="1" ht="12.75" x14ac:dyDescent="0.25">
      <c r="B61" s="64">
        <v>53</v>
      </c>
      <c r="C61" s="204"/>
      <c r="D61" s="205"/>
      <c r="E61" s="303"/>
      <c r="F61" s="298" t="str">
        <f>IF(PAR!$E$9&gt;" ","Ellátási díjak"," ")</f>
        <v xml:space="preserve"> </v>
      </c>
      <c r="G61" s="98">
        <f>SUMIF(Adat!V:V,CONCATENATE(61,Info!$D$11,"054"),Adat!E:E)</f>
        <v>0</v>
      </c>
      <c r="H61" s="98">
        <f>SUMIF(Adat!V:V,CONCATENATE(60,Info!$D$11,"054"),Adat!E:E)+G61</f>
        <v>0</v>
      </c>
      <c r="I61" s="99"/>
      <c r="J61" s="99"/>
      <c r="K61" s="99"/>
      <c r="L61" s="99"/>
      <c r="M61" s="65"/>
    </row>
    <row r="62" spans="2:13" s="17" customFormat="1" ht="12.75" x14ac:dyDescent="0.25">
      <c r="B62" s="64">
        <v>54</v>
      </c>
      <c r="C62" s="204"/>
      <c r="D62" s="205"/>
      <c r="E62" s="303"/>
      <c r="F62" s="298" t="str">
        <f>IF(PAR!$E$9&gt;" ","Egyéb működési célú kiadások"," ")</f>
        <v xml:space="preserve"> </v>
      </c>
      <c r="G62" s="98">
        <f>SUMIF(Adat!V:V,CONCATENATE(61,Info!$D$11,"055"),Adat!E:E)</f>
        <v>0</v>
      </c>
      <c r="H62" s="98">
        <f>SUMIF(Adat!V:V,CONCATENATE(60,Info!$D$11,"055"),Adat!E:E)+G62</f>
        <v>0</v>
      </c>
      <c r="I62" s="99"/>
      <c r="J62" s="99"/>
      <c r="K62" s="99"/>
      <c r="L62" s="99"/>
      <c r="M62" s="65"/>
    </row>
    <row r="63" spans="2:13" s="17" customFormat="1" ht="12.75" x14ac:dyDescent="0.25">
      <c r="B63" s="64">
        <v>55</v>
      </c>
      <c r="C63" s="204"/>
      <c r="D63" s="205"/>
      <c r="E63" s="303"/>
      <c r="F63" s="298" t="str">
        <f>IF(PAR!$E$9&gt;" ","Felhalmozási kiadások"," ")</f>
        <v xml:space="preserve"> </v>
      </c>
      <c r="G63" s="98">
        <f>SUMIF(Adat!V:V,CONCATENATE(61,Info!$D$11,"056"),Adat!E:E)+SUMIF(Adat!V:V,CONCATENATE(61,Info!$D$11,"057"),Adat!E:E)+SUMIF(Adat!V:V,CONCATENATE(61,Info!$D$11,"058"),Adat!E:E)</f>
        <v>0</v>
      </c>
      <c r="H63" s="98">
        <f>SUMIF(Adat!V:V,CONCATENATE(60,Info!$D$11,"056"),Adat!E:E)+SUMIF(Adat!V:V,CONCATENATE(60,Info!$D$11,"057"),Adat!E:E)+SUMIF(Adat!V:V,CONCATENATE(60,Info!$D$11,"058"),Adat!E:E)+G63</f>
        <v>0</v>
      </c>
      <c r="I63" s="100"/>
      <c r="J63" s="100"/>
      <c r="K63" s="100"/>
      <c r="L63" s="100"/>
      <c r="M63" s="66"/>
    </row>
    <row r="64" spans="2:13" s="17" customFormat="1" ht="12.75" x14ac:dyDescent="0.25">
      <c r="B64" s="64">
        <v>56</v>
      </c>
      <c r="C64" s="204"/>
      <c r="D64" s="205" t="str">
        <f>IF(PAR!$E10&gt;" ",7," ")</f>
        <v xml:space="preserve"> </v>
      </c>
      <c r="E64" s="302" t="str">
        <f>IF(PAR!E10&gt;" ",PAR!E10," ")</f>
        <v xml:space="preserve"> </v>
      </c>
      <c r="F64" s="297"/>
      <c r="G64" s="96">
        <f>SUM(G65:G70)</f>
        <v>0</v>
      </c>
      <c r="H64" s="96">
        <f>SUM(H65:H70)</f>
        <v>0</v>
      </c>
      <c r="I64" s="97">
        <f>SUMIF(Adat!W:W,CONCATENATE(61,Info!$D$12,"09"),Adat!E:E)*-1</f>
        <v>0</v>
      </c>
      <c r="J64" s="97">
        <f>SUMIF(Adat!W:W,CONCATENATE(60,Info!$D$12,"09"),Adat!E:E)*-1+I64</f>
        <v>0</v>
      </c>
      <c r="K64" s="97">
        <f>J64-L64-M64</f>
        <v>0</v>
      </c>
      <c r="L64" s="97">
        <f>SUMIF(Adat!X:X,CONCATENATE(Info!$D$12,"098161"),Adat!E:E)*-1</f>
        <v>0</v>
      </c>
      <c r="M64" s="294">
        <v>0</v>
      </c>
    </row>
    <row r="65" spans="2:13" s="17" customFormat="1" ht="12.75" x14ac:dyDescent="0.25">
      <c r="B65" s="64">
        <v>57</v>
      </c>
      <c r="C65" s="204"/>
      <c r="D65" s="205"/>
      <c r="E65" s="303"/>
      <c r="F65" s="298" t="str">
        <f>IF(PAR!$E$10&gt;" ","Személyi  juttatások"," ")</f>
        <v xml:space="preserve"> </v>
      </c>
      <c r="G65" s="98">
        <f>SUMIF(Adat!V:V,CONCATENATE(61,Info!$D$12,"051"),Adat!E:E)</f>
        <v>0</v>
      </c>
      <c r="H65" s="98">
        <f>SUMIF(Adat!V:V,CONCATENATE(60,Info!$D$12,"051"),Adat!E:E)+G65</f>
        <v>0</v>
      </c>
      <c r="I65" s="99"/>
      <c r="J65" s="99"/>
      <c r="K65" s="99"/>
      <c r="L65" s="99"/>
      <c r="M65" s="65"/>
    </row>
    <row r="66" spans="2:13" s="17" customFormat="1" ht="12.75" x14ac:dyDescent="0.25">
      <c r="B66" s="64">
        <v>58</v>
      </c>
      <c r="C66" s="204"/>
      <c r="D66" s="205"/>
      <c r="E66" s="303"/>
      <c r="F66" s="298" t="str">
        <f>IF(PAR!$E$10&gt;" ","Munkaadókat terhelő járulékok"," ")</f>
        <v xml:space="preserve"> </v>
      </c>
      <c r="G66" s="98">
        <f>SUMIF(Adat!V:V,CONCATENATE(61,Info!$D$12,"052"),Adat!E:E)</f>
        <v>0</v>
      </c>
      <c r="H66" s="98">
        <f>SUMIF(Adat!V:V,CONCATENATE(60,Info!$D$12,"052"),Adat!E:E)+G66</f>
        <v>0</v>
      </c>
      <c r="I66" s="99"/>
      <c r="J66" s="99"/>
      <c r="K66" s="99"/>
      <c r="L66" s="99"/>
      <c r="M66" s="65"/>
    </row>
    <row r="67" spans="2:13" s="17" customFormat="1" ht="12.75" x14ac:dyDescent="0.25">
      <c r="B67" s="64">
        <v>59</v>
      </c>
      <c r="C67" s="204"/>
      <c r="D67" s="205"/>
      <c r="E67" s="303"/>
      <c r="F67" s="298" t="str">
        <f>IF(PAR!$E$10&gt;" ","Dologi  kiadások"," ")</f>
        <v xml:space="preserve"> </v>
      </c>
      <c r="G67" s="98">
        <f>SUMIF(Adat!V:V,CONCATENATE(61,Info!$D$12,"053"),Adat!E:E)</f>
        <v>0</v>
      </c>
      <c r="H67" s="98">
        <f>SUMIF(Adat!V:V,CONCATENATE(60,Info!$D$12,"053"),Adat!E:E)+G67</f>
        <v>0</v>
      </c>
      <c r="I67" s="99"/>
      <c r="J67" s="99"/>
      <c r="K67" s="99"/>
      <c r="L67" s="99"/>
      <c r="M67" s="65"/>
    </row>
    <row r="68" spans="2:13" s="17" customFormat="1" ht="12.75" x14ac:dyDescent="0.25">
      <c r="B68" s="64">
        <v>60</v>
      </c>
      <c r="C68" s="204"/>
      <c r="D68" s="205"/>
      <c r="E68" s="303"/>
      <c r="F68" s="298" t="str">
        <f>IF(PAR!$E$10&gt;" ","Ellátási díjak"," ")</f>
        <v xml:space="preserve"> </v>
      </c>
      <c r="G68" s="98">
        <f>SUMIF(Adat!V:V,CONCATENATE(61,Info!$D$12,"054"),Adat!E:E)</f>
        <v>0</v>
      </c>
      <c r="H68" s="98">
        <f>SUMIF(Adat!V:V,CONCATENATE(60,Info!$D$12,"054"),Adat!E:E)+G68</f>
        <v>0</v>
      </c>
      <c r="I68" s="99"/>
      <c r="J68" s="99"/>
      <c r="K68" s="99"/>
      <c r="L68" s="99"/>
      <c r="M68" s="65"/>
    </row>
    <row r="69" spans="2:13" s="17" customFormat="1" ht="12.75" x14ac:dyDescent="0.25">
      <c r="B69" s="64">
        <v>61</v>
      </c>
      <c r="C69" s="204"/>
      <c r="D69" s="205"/>
      <c r="E69" s="303"/>
      <c r="F69" s="298" t="str">
        <f>IF(PAR!$E$10&gt;" ","Egyéb működési célú kiadások"," ")</f>
        <v xml:space="preserve"> </v>
      </c>
      <c r="G69" s="98">
        <f>SUMIF(Adat!V:V,CONCATENATE(61,Info!$D$12,"055"),Adat!E:E)</f>
        <v>0</v>
      </c>
      <c r="H69" s="98">
        <f>SUMIF(Adat!V:V,CONCATENATE(60,Info!$D$12,"055"),Adat!E:E)+G69</f>
        <v>0</v>
      </c>
      <c r="I69" s="99"/>
      <c r="J69" s="99"/>
      <c r="K69" s="99"/>
      <c r="L69" s="99"/>
      <c r="M69" s="65"/>
    </row>
    <row r="70" spans="2:13" s="17" customFormat="1" ht="12.75" x14ac:dyDescent="0.25">
      <c r="B70" s="64">
        <v>62</v>
      </c>
      <c r="C70" s="204"/>
      <c r="D70" s="205"/>
      <c r="E70" s="303"/>
      <c r="F70" s="298" t="str">
        <f>IF(PAR!$E$10&gt;" ","Felhalmozási kiadások"," ")</f>
        <v xml:space="preserve"> </v>
      </c>
      <c r="G70" s="98">
        <f>SUMIF(Adat!V:V,CONCATENATE(61,Info!$D$12,"056"),Adat!E:E)+SUMIF(Adat!V:V,CONCATENATE(61,Info!$D$12,"057"),Adat!E:E)+SUMIF(Adat!V:V,CONCATENATE(61,Info!$D$12,"058"),Adat!E:E)</f>
        <v>0</v>
      </c>
      <c r="H70" s="98">
        <f>SUMIF(Adat!V:V,CONCATENATE(60,Info!$D$12,"056"),Adat!E:E)+SUMIF(Adat!V:V,CONCATENATE(60,Info!$D$12,"057"),Adat!E:E)+SUMIF(Adat!V:V,CONCATENATE(60,Info!$D$12,"058"),Adat!E:E)+G70</f>
        <v>0</v>
      </c>
      <c r="I70" s="100"/>
      <c r="J70" s="100"/>
      <c r="K70" s="100"/>
      <c r="L70" s="100"/>
      <c r="M70" s="66"/>
    </row>
    <row r="71" spans="2:13" s="17" customFormat="1" ht="12.75" x14ac:dyDescent="0.25">
      <c r="B71" s="64">
        <v>63</v>
      </c>
      <c r="C71" s="204"/>
      <c r="D71" s="205" t="str">
        <f>IF(PAR!$E11&gt;" ",8," ")</f>
        <v xml:space="preserve"> </v>
      </c>
      <c r="E71" s="302" t="str">
        <f>IF(PAR!E11&gt;" ",PAR!E11," ")</f>
        <v xml:space="preserve"> </v>
      </c>
      <c r="F71" s="297"/>
      <c r="G71" s="96">
        <f>SUM(G72:G77)</f>
        <v>0</v>
      </c>
      <c r="H71" s="96">
        <f>SUM(H72:H77)</f>
        <v>0</v>
      </c>
      <c r="I71" s="97">
        <f>SUMIF(Adat!W:W,CONCATENATE(61,Info!$D$13,"09"),Adat!E:E)*-1</f>
        <v>0</v>
      </c>
      <c r="J71" s="97">
        <f>SUMIF(Adat!W:W,CONCATENATE(60,Info!$D$13,"09"),Adat!E:E)*-1+I71</f>
        <v>0</v>
      </c>
      <c r="K71" s="97">
        <f>J71-L71-M71</f>
        <v>0</v>
      </c>
      <c r="L71" s="97">
        <f>SUMIF(Adat!X:X,CONCATENATE(Info!$D$13,"098161"),Adat!E:E)*-1</f>
        <v>0</v>
      </c>
      <c r="M71" s="294">
        <v>0</v>
      </c>
    </row>
    <row r="72" spans="2:13" s="17" customFormat="1" ht="12.75" x14ac:dyDescent="0.25">
      <c r="B72" s="64">
        <v>64</v>
      </c>
      <c r="C72" s="204"/>
      <c r="D72" s="205"/>
      <c r="E72" s="303"/>
      <c r="F72" s="298" t="str">
        <f>IF(PAR!$E$11&gt;" ","Személyi  juttatások"," ")</f>
        <v xml:space="preserve"> </v>
      </c>
      <c r="G72" s="98">
        <f>SUMIF(Adat!V:V,CONCATENATE(61,Info!$D$13,"051"),Adat!E:E)</f>
        <v>0</v>
      </c>
      <c r="H72" s="98">
        <f>SUMIF(Adat!V:V,CONCATENATE(60,Info!$D$13,"051"),Adat!E:E)+G72</f>
        <v>0</v>
      </c>
      <c r="I72" s="99"/>
      <c r="J72" s="99"/>
      <c r="K72" s="99"/>
      <c r="L72" s="99"/>
      <c r="M72" s="65"/>
    </row>
    <row r="73" spans="2:13" s="17" customFormat="1" ht="12.75" x14ac:dyDescent="0.25">
      <c r="B73" s="64">
        <v>65</v>
      </c>
      <c r="C73" s="204"/>
      <c r="D73" s="205"/>
      <c r="E73" s="303"/>
      <c r="F73" s="298" t="str">
        <f>IF(PAR!$E$11&gt;" ","Munkaadókat terhelő járulékok"," ")</f>
        <v xml:space="preserve"> </v>
      </c>
      <c r="G73" s="98">
        <f>SUMIF(Adat!V:V,CONCATENATE(61,Info!$D$13,"052"),Adat!E:E)</f>
        <v>0</v>
      </c>
      <c r="H73" s="98">
        <f>SUMIF(Adat!V:V,CONCATENATE(60,Info!$D$13,"052"),Adat!E:E)+G73</f>
        <v>0</v>
      </c>
      <c r="I73" s="99"/>
      <c r="J73" s="99"/>
      <c r="K73" s="99"/>
      <c r="L73" s="99"/>
      <c r="M73" s="65"/>
    </row>
    <row r="74" spans="2:13" s="17" customFormat="1" ht="12.75" x14ac:dyDescent="0.25">
      <c r="B74" s="64">
        <v>66</v>
      </c>
      <c r="C74" s="204"/>
      <c r="D74" s="205"/>
      <c r="E74" s="303"/>
      <c r="F74" s="298" t="str">
        <f>IF(PAR!$E$11&gt;" ","Dologi  kiadások"," ")</f>
        <v xml:space="preserve"> </v>
      </c>
      <c r="G74" s="98">
        <f>SUMIF(Adat!V:V,CONCATENATE(61,Info!$D$13,"053"),Adat!E:E)</f>
        <v>0</v>
      </c>
      <c r="H74" s="98">
        <f>SUMIF(Adat!V:V,CONCATENATE(60,Info!$D$13,"053"),Adat!E:E)+G74</f>
        <v>0</v>
      </c>
      <c r="I74" s="99"/>
      <c r="J74" s="99"/>
      <c r="K74" s="99"/>
      <c r="L74" s="99"/>
      <c r="M74" s="65"/>
    </row>
    <row r="75" spans="2:13" s="17" customFormat="1" ht="12.75" x14ac:dyDescent="0.25">
      <c r="B75" s="64">
        <v>67</v>
      </c>
      <c r="C75" s="204"/>
      <c r="D75" s="205"/>
      <c r="E75" s="303"/>
      <c r="F75" s="298" t="str">
        <f>IF(PAR!$E$11&gt;" ","Ellátási díjak"," ")</f>
        <v xml:space="preserve"> </v>
      </c>
      <c r="G75" s="98">
        <f>SUMIF(Adat!V:V,CONCATENATE(61,Info!$D$13,"054"),Adat!E:E)</f>
        <v>0</v>
      </c>
      <c r="H75" s="98">
        <f>SUMIF(Adat!V:V,CONCATENATE(60,Info!$D$13,"054"),Adat!E:E)+G75</f>
        <v>0</v>
      </c>
      <c r="I75" s="99"/>
      <c r="J75" s="99"/>
      <c r="K75" s="99"/>
      <c r="L75" s="99"/>
      <c r="M75" s="65"/>
    </row>
    <row r="76" spans="2:13" s="17" customFormat="1" ht="12.75" x14ac:dyDescent="0.25">
      <c r="B76" s="64">
        <v>68</v>
      </c>
      <c r="C76" s="204"/>
      <c r="D76" s="205"/>
      <c r="E76" s="303"/>
      <c r="F76" s="298" t="str">
        <f>IF(PAR!$E$11&gt;" ","Egyéb működési célú kiadások"," ")</f>
        <v xml:space="preserve"> </v>
      </c>
      <c r="G76" s="98">
        <f>SUMIF(Adat!V:V,CONCATENATE(61,Info!$D$13,"055"),Adat!E:E)</f>
        <v>0</v>
      </c>
      <c r="H76" s="98">
        <f>SUMIF(Adat!V:V,CONCATENATE(60,Info!$D$13,"055"),Adat!E:E)+G76</f>
        <v>0</v>
      </c>
      <c r="I76" s="99"/>
      <c r="J76" s="99"/>
      <c r="K76" s="99"/>
      <c r="L76" s="99"/>
      <c r="M76" s="65"/>
    </row>
    <row r="77" spans="2:13" s="17" customFormat="1" ht="12.75" x14ac:dyDescent="0.25">
      <c r="B77" s="64">
        <v>69</v>
      </c>
      <c r="C77" s="204"/>
      <c r="D77" s="205"/>
      <c r="E77" s="303"/>
      <c r="F77" s="298" t="str">
        <f>IF(PAR!$E$11&gt;" ","Felhalmozási kiadások"," ")</f>
        <v xml:space="preserve"> </v>
      </c>
      <c r="G77" s="98">
        <f>SUMIF(Adat!V:V,CONCATENATE(61,Info!$D$13,"056"),Adat!E:E)+SUMIF(Adat!V:V,CONCATENATE(61,Info!$D$13,"057"),Adat!E:E)+SUMIF(Adat!V:V,CONCATENATE(61,Info!$D$13,"058"),Adat!E:E)</f>
        <v>0</v>
      </c>
      <c r="H77" s="98">
        <f>SUMIF(Adat!V:V,CONCATENATE(60,Info!$D$13,"056"),Adat!E:E)+SUMIF(Adat!V:V,CONCATENATE(60,Info!$D$13,"057"),Adat!E:E)+SUMIF(Adat!V:V,CONCATENATE(60,Info!$D$13,"058"),Adat!E:E)+G77</f>
        <v>0</v>
      </c>
      <c r="I77" s="100"/>
      <c r="J77" s="100"/>
      <c r="K77" s="100"/>
      <c r="L77" s="100"/>
      <c r="M77" s="66"/>
    </row>
    <row r="78" spans="2:13" s="17" customFormat="1" ht="12.75" x14ac:dyDescent="0.25">
      <c r="B78" s="64">
        <v>70</v>
      </c>
      <c r="C78" s="204"/>
      <c r="D78" s="205" t="str">
        <f>IF(PAR!$E12&gt;" ",9," ")</f>
        <v xml:space="preserve"> </v>
      </c>
      <c r="E78" s="302" t="str">
        <f>IF(PAR!E12&gt;" ",PAR!E12," ")</f>
        <v xml:space="preserve"> </v>
      </c>
      <c r="F78" s="297"/>
      <c r="G78" s="96">
        <f>SUM(G79:G84)</f>
        <v>0</v>
      </c>
      <c r="H78" s="96">
        <f>SUM(H79:H84)</f>
        <v>0</v>
      </c>
      <c r="I78" s="97">
        <f>SUMIF(Adat!W:W,CONCATENATE(61,Info!$D$14,"09"),Adat!E:E)*-1</f>
        <v>0</v>
      </c>
      <c r="J78" s="97">
        <f>SUMIF(Adat!W:W,CONCATENATE(60,Info!$D$14,"09"),Adat!E:E)*-1+I78</f>
        <v>0</v>
      </c>
      <c r="K78" s="97">
        <f>J78-L78-M78</f>
        <v>0</v>
      </c>
      <c r="L78" s="97">
        <f>SUMIF(Adat!X:X,CONCATENATE(Info!$D$14,"098161"),Adat!E:E)*-1</f>
        <v>0</v>
      </c>
      <c r="M78" s="294">
        <v>0</v>
      </c>
    </row>
    <row r="79" spans="2:13" s="17" customFormat="1" ht="12.75" x14ac:dyDescent="0.25">
      <c r="B79" s="64">
        <v>71</v>
      </c>
      <c r="C79" s="204"/>
      <c r="D79" s="205"/>
      <c r="E79" s="303"/>
      <c r="F79" s="298" t="str">
        <f>IF(PAR!$E$12&gt;" ","Személyi  juttatások"," ")</f>
        <v xml:space="preserve"> </v>
      </c>
      <c r="G79" s="98">
        <f>SUMIF(Adat!V:V,CONCATENATE(61,Info!$D$14,"051"),Adat!E:E)</f>
        <v>0</v>
      </c>
      <c r="H79" s="98">
        <f>SUMIF(Adat!V:V,CONCATENATE(60,Info!$D$14,"051"),Adat!E:E)+G79</f>
        <v>0</v>
      </c>
      <c r="I79" s="99"/>
      <c r="J79" s="99"/>
      <c r="K79" s="99"/>
      <c r="L79" s="99"/>
      <c r="M79" s="65"/>
    </row>
    <row r="80" spans="2:13" s="17" customFormat="1" ht="12.75" x14ac:dyDescent="0.25">
      <c r="B80" s="64">
        <v>72</v>
      </c>
      <c r="C80" s="204"/>
      <c r="D80" s="205"/>
      <c r="E80" s="303"/>
      <c r="F80" s="298" t="str">
        <f>IF(PAR!$E$12&gt;" ","Munkaadókat terhelő járulékok"," ")</f>
        <v xml:space="preserve"> </v>
      </c>
      <c r="G80" s="98">
        <f>SUMIF(Adat!V:V,CONCATENATE(61,Info!$D$14,"052"),Adat!E:E)</f>
        <v>0</v>
      </c>
      <c r="H80" s="98">
        <f>SUMIF(Adat!V:V,CONCATENATE(60,Info!$D$14,"052"),Adat!E:E)+G80</f>
        <v>0</v>
      </c>
      <c r="I80" s="99"/>
      <c r="J80" s="99"/>
      <c r="K80" s="99"/>
      <c r="L80" s="99"/>
      <c r="M80" s="65"/>
    </row>
    <row r="81" spans="2:13" s="17" customFormat="1" ht="12.75" x14ac:dyDescent="0.25">
      <c r="B81" s="64">
        <v>73</v>
      </c>
      <c r="C81" s="204"/>
      <c r="D81" s="205"/>
      <c r="E81" s="303"/>
      <c r="F81" s="298" t="str">
        <f>IF(PAR!$E$12&gt;" ","Dologi  kiadások"," ")</f>
        <v xml:space="preserve"> </v>
      </c>
      <c r="G81" s="98">
        <f>SUMIF(Adat!V:V,CONCATENATE(61,Info!$D$14,"053"),Adat!E:E)</f>
        <v>0</v>
      </c>
      <c r="H81" s="98">
        <f>SUMIF(Adat!V:V,CONCATENATE(60,Info!$D$14,"053"),Adat!E:E)+G81</f>
        <v>0</v>
      </c>
      <c r="I81" s="99"/>
      <c r="J81" s="99"/>
      <c r="K81" s="99"/>
      <c r="L81" s="99"/>
      <c r="M81" s="65"/>
    </row>
    <row r="82" spans="2:13" s="17" customFormat="1" ht="12.75" x14ac:dyDescent="0.25">
      <c r="B82" s="64">
        <v>74</v>
      </c>
      <c r="C82" s="204"/>
      <c r="D82" s="205"/>
      <c r="E82" s="303"/>
      <c r="F82" s="298" t="str">
        <f>IF(PAR!$E$12&gt;" ","Ellátási díjak"," ")</f>
        <v xml:space="preserve"> </v>
      </c>
      <c r="G82" s="98">
        <f>SUMIF(Adat!V:V,CONCATENATE(61,Info!$D$14,"054"),Adat!E:E)</f>
        <v>0</v>
      </c>
      <c r="H82" s="98">
        <f>SUMIF(Adat!V:V,CONCATENATE(60,Info!$D$14,"054"),Adat!E:E)+G82</f>
        <v>0</v>
      </c>
      <c r="I82" s="99"/>
      <c r="J82" s="99"/>
      <c r="K82" s="99"/>
      <c r="L82" s="99"/>
      <c r="M82" s="65"/>
    </row>
    <row r="83" spans="2:13" s="17" customFormat="1" ht="12.75" x14ac:dyDescent="0.25">
      <c r="B83" s="64">
        <v>75</v>
      </c>
      <c r="C83" s="204"/>
      <c r="D83" s="205"/>
      <c r="E83" s="303"/>
      <c r="F83" s="298" t="str">
        <f>IF(PAR!$E$12&gt;" ","Egyéb működési célú kiadások"," ")</f>
        <v xml:space="preserve"> </v>
      </c>
      <c r="G83" s="98">
        <f>SUMIF(Adat!V:V,CONCATENATE(61,Info!$D$14,"055"),Adat!E:E)</f>
        <v>0</v>
      </c>
      <c r="H83" s="98">
        <f>SUMIF(Adat!V:V,CONCATENATE(60,Info!$D$14,"055"),Adat!E:E)+G83</f>
        <v>0</v>
      </c>
      <c r="I83" s="99"/>
      <c r="J83" s="99"/>
      <c r="K83" s="99"/>
      <c r="L83" s="99"/>
      <c r="M83" s="65"/>
    </row>
    <row r="84" spans="2:13" s="17" customFormat="1" ht="12.75" x14ac:dyDescent="0.25">
      <c r="B84" s="64">
        <v>76</v>
      </c>
      <c r="C84" s="204"/>
      <c r="D84" s="205"/>
      <c r="E84" s="303"/>
      <c r="F84" s="298" t="str">
        <f>IF(PAR!$E$12&gt;" ","Felhalmozási kiadások"," ")</f>
        <v xml:space="preserve"> </v>
      </c>
      <c r="G84" s="98">
        <f>SUMIF(Adat!V:V,CONCATENATE(61,Info!$D$14,"056"),Adat!E:E)+SUMIF(Adat!V:V,CONCATENATE(61,Info!$D$14,"057"),Adat!E:E)+SUMIF(Adat!V:V,CONCATENATE(61,Info!$D$14,"058"),Adat!E:E)</f>
        <v>0</v>
      </c>
      <c r="H84" s="98">
        <f>SUMIF(Adat!V:V,CONCATENATE(60,Info!$D$14,"056"),Adat!E:E)+SUMIF(Adat!V:V,CONCATENATE(60,Info!$D$14,"057"),Adat!E:E)+SUMIF(Adat!V:V,CONCATENATE(60,Info!$D$14,"058"),Adat!E:E)+G84</f>
        <v>0</v>
      </c>
      <c r="I84" s="100"/>
      <c r="J84" s="100"/>
      <c r="K84" s="100"/>
      <c r="L84" s="100"/>
      <c r="M84" s="66"/>
    </row>
    <row r="85" spans="2:13" s="17" customFormat="1" ht="12.75" x14ac:dyDescent="0.25">
      <c r="B85" s="64">
        <v>77</v>
      </c>
      <c r="C85" s="204"/>
      <c r="D85" s="205" t="str">
        <f>IF(PAR!$E13&gt;" ",10," ")</f>
        <v xml:space="preserve"> </v>
      </c>
      <c r="E85" s="302" t="str">
        <f>IF(PAR!E13&gt;" ",PAR!E13," ")</f>
        <v xml:space="preserve"> </v>
      </c>
      <c r="F85" s="297"/>
      <c r="G85" s="96">
        <f>SUM(G86:G91)</f>
        <v>0</v>
      </c>
      <c r="H85" s="96">
        <f>SUM(H86:H91)</f>
        <v>0</v>
      </c>
      <c r="I85" s="97">
        <f>SUMIF(Adat!W:W,CONCATENATE(61,Info!$D$15,"09"),Adat!E:E)*-1</f>
        <v>0</v>
      </c>
      <c r="J85" s="97">
        <f>SUMIF(Adat!W:W,CONCATENATE(60,Info!$D$15,"09"),Adat!E:E)*-1+I85</f>
        <v>0</v>
      </c>
      <c r="K85" s="97">
        <f>J85-L85-M85</f>
        <v>0</v>
      </c>
      <c r="L85" s="97">
        <f>SUMIF(Adat!X:X,CONCATENATE(Info!$D$15,"098161"),Adat!E:E)*-1</f>
        <v>0</v>
      </c>
      <c r="M85" s="294">
        <v>0</v>
      </c>
    </row>
    <row r="86" spans="2:13" s="17" customFormat="1" ht="12.75" x14ac:dyDescent="0.25">
      <c r="B86" s="64">
        <v>78</v>
      </c>
      <c r="C86" s="204"/>
      <c r="D86" s="205"/>
      <c r="E86" s="303"/>
      <c r="F86" s="298" t="str">
        <f>IF(PAR!$E$13&gt;" ","Személyi  juttatások"," ")</f>
        <v xml:space="preserve"> </v>
      </c>
      <c r="G86" s="98">
        <f>SUMIF(Adat!V:V,CONCATENATE(61,Info!$D$15,"051"),Adat!E:E)</f>
        <v>0</v>
      </c>
      <c r="H86" s="98">
        <f>SUMIF(Adat!V:V,CONCATENATE(60,Info!$D$15,"051"),Adat!E:E)+G86</f>
        <v>0</v>
      </c>
      <c r="I86" s="99"/>
      <c r="J86" s="99"/>
      <c r="K86" s="99"/>
      <c r="L86" s="99"/>
      <c r="M86" s="65"/>
    </row>
    <row r="87" spans="2:13" s="17" customFormat="1" ht="12.75" x14ac:dyDescent="0.25">
      <c r="B87" s="64">
        <v>79</v>
      </c>
      <c r="C87" s="204"/>
      <c r="D87" s="205"/>
      <c r="E87" s="303"/>
      <c r="F87" s="298" t="str">
        <f>IF(PAR!$E$13&gt;" ","Munkaadókat terhelő járulékok"," ")</f>
        <v xml:space="preserve"> </v>
      </c>
      <c r="G87" s="98">
        <f>SUMIF(Adat!V:V,CONCATENATE(61,Info!$D$15,"052"),Adat!E:E)</f>
        <v>0</v>
      </c>
      <c r="H87" s="98">
        <f>SUMIF(Adat!V:V,CONCATENATE(60,Info!$D$15,"052"),Adat!E:E)+G87</f>
        <v>0</v>
      </c>
      <c r="I87" s="99"/>
      <c r="J87" s="99"/>
      <c r="K87" s="99"/>
      <c r="L87" s="99"/>
      <c r="M87" s="65"/>
    </row>
    <row r="88" spans="2:13" s="17" customFormat="1" ht="12.75" x14ac:dyDescent="0.25">
      <c r="B88" s="64">
        <v>80</v>
      </c>
      <c r="C88" s="204"/>
      <c r="D88" s="205"/>
      <c r="E88" s="303"/>
      <c r="F88" s="298" t="str">
        <f>IF(PAR!$E$13&gt;" ","Dologi  kiadások"," ")</f>
        <v xml:space="preserve"> </v>
      </c>
      <c r="G88" s="98">
        <f>SUMIF(Adat!V:V,CONCATENATE(61,Info!$D$15,"053"),Adat!E:E)</f>
        <v>0</v>
      </c>
      <c r="H88" s="98">
        <f>SUMIF(Adat!V:V,CONCATENATE(60,Info!$D$15,"053"),Adat!E:E)+G88</f>
        <v>0</v>
      </c>
      <c r="I88" s="99"/>
      <c r="J88" s="99"/>
      <c r="K88" s="99"/>
      <c r="L88" s="99"/>
      <c r="M88" s="65"/>
    </row>
    <row r="89" spans="2:13" s="17" customFormat="1" ht="12.75" x14ac:dyDescent="0.25">
      <c r="B89" s="64">
        <v>81</v>
      </c>
      <c r="C89" s="204"/>
      <c r="D89" s="205"/>
      <c r="E89" s="303"/>
      <c r="F89" s="298" t="str">
        <f>IF(PAR!$E$13&gt;" ","Ellátási díjak"," ")</f>
        <v xml:space="preserve"> </v>
      </c>
      <c r="G89" s="98">
        <f>SUMIF(Adat!V:V,CONCATENATE(61,Info!$D$15,"054"),Adat!E:E)</f>
        <v>0</v>
      </c>
      <c r="H89" s="98">
        <f>SUMIF(Adat!V:V,CONCATENATE(60,Info!$D$15,"054"),Adat!E:E)+G89</f>
        <v>0</v>
      </c>
      <c r="I89" s="99"/>
      <c r="J89" s="99"/>
      <c r="K89" s="99"/>
      <c r="L89" s="99"/>
      <c r="M89" s="65"/>
    </row>
    <row r="90" spans="2:13" s="17" customFormat="1" ht="12.75" x14ac:dyDescent="0.25">
      <c r="B90" s="64">
        <v>82</v>
      </c>
      <c r="C90" s="204"/>
      <c r="D90" s="205"/>
      <c r="E90" s="303"/>
      <c r="F90" s="298" t="str">
        <f>IF(PAR!$E$13&gt;" ","Egyéb működési célú kiadások"," ")</f>
        <v xml:space="preserve"> </v>
      </c>
      <c r="G90" s="98">
        <f>SUMIF(Adat!V:V,CONCATENATE(61,Info!$D$15,"055"),Adat!E:E)</f>
        <v>0</v>
      </c>
      <c r="H90" s="98">
        <f>SUMIF(Adat!V:V,CONCATENATE(60,Info!$D$15,"055"),Adat!E:E)+G90</f>
        <v>0</v>
      </c>
      <c r="I90" s="99"/>
      <c r="J90" s="99"/>
      <c r="K90" s="99"/>
      <c r="L90" s="99"/>
      <c r="M90" s="65"/>
    </row>
    <row r="91" spans="2:13" s="17" customFormat="1" ht="12.75" x14ac:dyDescent="0.25">
      <c r="B91" s="64">
        <v>83</v>
      </c>
      <c r="C91" s="204"/>
      <c r="D91" s="205"/>
      <c r="E91" s="303"/>
      <c r="F91" s="298" t="str">
        <f>IF(PAR!$E$13&gt;" ","Felhalmozási kiadások"," ")</f>
        <v xml:space="preserve"> </v>
      </c>
      <c r="G91" s="98">
        <f>SUMIF(Adat!V:V,CONCATENATE(61,Info!$D$15,"056"),Adat!E:E)+SUMIF(Adat!V:V,CONCATENATE(61,Info!$D$15,"057"),Adat!E:E)+SUMIF(Adat!V:V,CONCATENATE(61,Info!$D$15,"058"),Adat!E:E)</f>
        <v>0</v>
      </c>
      <c r="H91" s="98">
        <f>SUMIF(Adat!V:V,CONCATENATE(60,Info!$D$15,"056"),Adat!E:E)+SUMIF(Adat!V:V,CONCATENATE(60,Info!$D$15,"057"),Adat!E:E)+SUMIF(Adat!V:V,CONCATENATE(60,Info!$D$15,"058"),Adat!E:E)+G91</f>
        <v>0</v>
      </c>
      <c r="I91" s="100"/>
      <c r="J91" s="100"/>
      <c r="K91" s="100"/>
      <c r="L91" s="100"/>
      <c r="M91" s="66"/>
    </row>
    <row r="92" spans="2:13" s="17" customFormat="1" ht="12.75" x14ac:dyDescent="0.25">
      <c r="B92" s="64">
        <v>84</v>
      </c>
      <c r="C92" s="204"/>
      <c r="D92" s="205" t="str">
        <f>IF(PAR!$E14&gt;" ",11," ")</f>
        <v xml:space="preserve"> </v>
      </c>
      <c r="E92" s="302" t="str">
        <f>IF(PAR!E14&gt;" ",PAR!E14," ")</f>
        <v xml:space="preserve"> </v>
      </c>
      <c r="F92" s="297"/>
      <c r="G92" s="96">
        <f>SUM(G93:G98)</f>
        <v>0</v>
      </c>
      <c r="H92" s="96">
        <f>SUM(H93:H98)</f>
        <v>0</v>
      </c>
      <c r="I92" s="97">
        <f>SUMIF(Adat!W:W,CONCATENATE(61,Info!$D$16,"09"),Adat!E:E)*-1</f>
        <v>0</v>
      </c>
      <c r="J92" s="97">
        <f>SUMIF(Adat!W:W,CONCATENATE(60,Info!$D$16,"09"),Adat!E:E)*-1+I92</f>
        <v>0</v>
      </c>
      <c r="K92" s="97">
        <f>J92-L92-M92</f>
        <v>0</v>
      </c>
      <c r="L92" s="97">
        <f>SUMIF(Adat!X:X,CONCATENATE(Info!$D$16,"098161"),Adat!E:E)*-1</f>
        <v>0</v>
      </c>
      <c r="M92" s="294">
        <v>0</v>
      </c>
    </row>
    <row r="93" spans="2:13" s="17" customFormat="1" ht="12.75" x14ac:dyDescent="0.25">
      <c r="B93" s="64">
        <v>85</v>
      </c>
      <c r="C93" s="204"/>
      <c r="D93" s="205"/>
      <c r="E93" s="303"/>
      <c r="F93" s="298" t="str">
        <f>IF(PAR!$E$14&gt;" ","Személyi  juttatások"," ")</f>
        <v xml:space="preserve"> </v>
      </c>
      <c r="G93" s="98">
        <f>SUMIF(Adat!V:V,CONCATENATE(61,Info!$D$16,"051"),Adat!E:E)</f>
        <v>0</v>
      </c>
      <c r="H93" s="98">
        <f>SUMIF(Adat!V:V,CONCATENATE(60,Info!$D$16,"051"),Adat!E:E)+G93</f>
        <v>0</v>
      </c>
      <c r="I93" s="99"/>
      <c r="J93" s="99"/>
      <c r="K93" s="99"/>
      <c r="L93" s="99"/>
      <c r="M93" s="65"/>
    </row>
    <row r="94" spans="2:13" s="17" customFormat="1" ht="12.75" x14ac:dyDescent="0.25">
      <c r="B94" s="64">
        <v>86</v>
      </c>
      <c r="C94" s="204"/>
      <c r="D94" s="205"/>
      <c r="E94" s="303"/>
      <c r="F94" s="298" t="str">
        <f>IF(PAR!$E$14&gt;" ","Munkaadókat terhelő járulékok"," ")</f>
        <v xml:space="preserve"> </v>
      </c>
      <c r="G94" s="98">
        <f>SUMIF(Adat!V:V,CONCATENATE(61,Info!$D$16,"052"),Adat!E:E)</f>
        <v>0</v>
      </c>
      <c r="H94" s="98">
        <f>SUMIF(Adat!V:V,CONCATENATE(60,Info!$D$16,"052"),Adat!E:E)+G94</f>
        <v>0</v>
      </c>
      <c r="I94" s="99"/>
      <c r="J94" s="99"/>
      <c r="K94" s="99"/>
      <c r="L94" s="99"/>
      <c r="M94" s="65"/>
    </row>
    <row r="95" spans="2:13" s="17" customFormat="1" ht="12.75" x14ac:dyDescent="0.25">
      <c r="B95" s="64">
        <v>87</v>
      </c>
      <c r="C95" s="204"/>
      <c r="D95" s="205"/>
      <c r="E95" s="303"/>
      <c r="F95" s="298" t="str">
        <f>IF(PAR!$E$14&gt;" ","Dologi  kiadások"," ")</f>
        <v xml:space="preserve"> </v>
      </c>
      <c r="G95" s="98">
        <f>SUMIF(Adat!V:V,CONCATENATE(61,Info!$D$16,"053"),Adat!E:E)</f>
        <v>0</v>
      </c>
      <c r="H95" s="98">
        <f>SUMIF(Adat!V:V,CONCATENATE(60,Info!$D$16,"053"),Adat!E:E)+G95</f>
        <v>0</v>
      </c>
      <c r="I95" s="99"/>
      <c r="J95" s="99"/>
      <c r="K95" s="99"/>
      <c r="L95" s="99"/>
      <c r="M95" s="65"/>
    </row>
    <row r="96" spans="2:13" s="17" customFormat="1" ht="12.75" x14ac:dyDescent="0.25">
      <c r="B96" s="64">
        <v>88</v>
      </c>
      <c r="C96" s="204"/>
      <c r="D96" s="205"/>
      <c r="E96" s="303"/>
      <c r="F96" s="298" t="str">
        <f>IF(PAR!$E$14&gt;" ","Ellátási díjak"," ")</f>
        <v xml:space="preserve"> </v>
      </c>
      <c r="G96" s="98">
        <f>SUMIF(Adat!V:V,CONCATENATE(61,Info!$D$16,"054"),Adat!E:E)</f>
        <v>0</v>
      </c>
      <c r="H96" s="98">
        <f>SUMIF(Adat!V:V,CONCATENATE(60,Info!$D$16,"054"),Adat!E:E)+G96</f>
        <v>0</v>
      </c>
      <c r="I96" s="99"/>
      <c r="J96" s="99"/>
      <c r="K96" s="99"/>
      <c r="L96" s="99"/>
      <c r="M96" s="65"/>
    </row>
    <row r="97" spans="2:13" s="17" customFormat="1" ht="12.75" x14ac:dyDescent="0.25">
      <c r="B97" s="64">
        <v>89</v>
      </c>
      <c r="C97" s="204"/>
      <c r="D97" s="205"/>
      <c r="E97" s="303"/>
      <c r="F97" s="298" t="str">
        <f>IF(PAR!$E$14&gt;" ","Egyéb működési célú kiadások"," ")</f>
        <v xml:space="preserve"> </v>
      </c>
      <c r="G97" s="98">
        <f>SUMIF(Adat!V:V,CONCATENATE(61,Info!$D$16,"055"),Adat!E:E)</f>
        <v>0</v>
      </c>
      <c r="H97" s="98">
        <f>SUMIF(Adat!V:V,CONCATENATE(60,Info!$D$16,"055"),Adat!E:E)+G97</f>
        <v>0</v>
      </c>
      <c r="I97" s="99"/>
      <c r="J97" s="99"/>
      <c r="K97" s="99"/>
      <c r="L97" s="99"/>
      <c r="M97" s="65"/>
    </row>
    <row r="98" spans="2:13" s="17" customFormat="1" ht="12.75" x14ac:dyDescent="0.25">
      <c r="B98" s="64">
        <v>90</v>
      </c>
      <c r="C98" s="204"/>
      <c r="D98" s="205"/>
      <c r="E98" s="303"/>
      <c r="F98" s="298" t="str">
        <f>IF(PAR!$E$14&gt;" ","Felhalmozási kiadások"," ")</f>
        <v xml:space="preserve"> </v>
      </c>
      <c r="G98" s="98">
        <f>SUMIF(Adat!V:V,CONCATENATE(61,Info!$D$16,"056"),Adat!E:E)+SUMIF(Adat!V:V,CONCATENATE(61,Info!$D$16,"057"),Adat!E:E)+SUMIF(Adat!V:V,CONCATENATE(61,Info!$D$16,"058"),Adat!E:E)</f>
        <v>0</v>
      </c>
      <c r="H98" s="98">
        <f>SUMIF(Adat!V:V,CONCATENATE(60,Info!$D$16,"056"),Adat!E:E)+SUMIF(Adat!V:V,CONCATENATE(60,Info!$D$16,"057"),Adat!E:E)+SUMIF(Adat!V:V,CONCATENATE(60,Info!$D$16,"058"),Adat!E:E)+G98</f>
        <v>0</v>
      </c>
      <c r="I98" s="100"/>
      <c r="J98" s="100"/>
      <c r="K98" s="100"/>
      <c r="L98" s="100"/>
      <c r="M98" s="66"/>
    </row>
    <row r="99" spans="2:13" s="17" customFormat="1" ht="12.75" x14ac:dyDescent="0.25">
      <c r="B99" s="64">
        <v>91</v>
      </c>
      <c r="C99" s="204"/>
      <c r="D99" s="205" t="str">
        <f>IF(PAR!$E15&gt;" ",12," ")</f>
        <v xml:space="preserve"> </v>
      </c>
      <c r="E99" s="302" t="str">
        <f>IF(PAR!E15&gt;" ",PAR!E15," ")</f>
        <v xml:space="preserve"> </v>
      </c>
      <c r="F99" s="297"/>
      <c r="G99" s="96">
        <f>SUM(G100:G105)</f>
        <v>0</v>
      </c>
      <c r="H99" s="96">
        <f>SUM(H100:H105)</f>
        <v>0</v>
      </c>
      <c r="I99" s="97">
        <f>SUMIF(Adat!W:W,CONCATENATE(61,Info!$D$17,"09"),Adat!E:E)*-1</f>
        <v>0</v>
      </c>
      <c r="J99" s="97">
        <f>SUMIF(Adat!W:W,CONCATENATE(60,Info!$D$17,"09"),Adat!E:E)*-1+I99</f>
        <v>0</v>
      </c>
      <c r="K99" s="97">
        <f>J99-L99-M99</f>
        <v>0</v>
      </c>
      <c r="L99" s="97">
        <f>SUMIF(Adat!X:X,CONCATENATE(Info!$D$17,"098161"),Adat!E:E)*-1</f>
        <v>0</v>
      </c>
      <c r="M99" s="294">
        <v>0</v>
      </c>
    </row>
    <row r="100" spans="2:13" s="17" customFormat="1" ht="12.75" x14ac:dyDescent="0.25">
      <c r="B100" s="64">
        <v>92</v>
      </c>
      <c r="C100" s="204"/>
      <c r="D100" s="205"/>
      <c r="E100" s="303"/>
      <c r="F100" s="298" t="str">
        <f>IF(PAR!$E$15&gt;" ","Személyi  juttatások"," ")</f>
        <v xml:space="preserve"> </v>
      </c>
      <c r="G100" s="98">
        <f>SUMIF(Adat!V:V,CONCATENATE(61,Info!$D$17,"051"),Adat!E:E)</f>
        <v>0</v>
      </c>
      <c r="H100" s="98">
        <f>SUMIF(Adat!V:V,CONCATENATE(60,Info!$D$17,"051"),Adat!E:E)+G100</f>
        <v>0</v>
      </c>
      <c r="I100" s="99"/>
      <c r="J100" s="99"/>
      <c r="K100" s="99"/>
      <c r="L100" s="99"/>
      <c r="M100" s="65"/>
    </row>
    <row r="101" spans="2:13" s="17" customFormat="1" ht="12.75" x14ac:dyDescent="0.25">
      <c r="B101" s="64">
        <v>93</v>
      </c>
      <c r="C101" s="204"/>
      <c r="D101" s="205"/>
      <c r="E101" s="303"/>
      <c r="F101" s="298" t="str">
        <f>IF(PAR!$E$15&gt;" ","Munkaadókat terhelő járulékok"," ")</f>
        <v xml:space="preserve"> </v>
      </c>
      <c r="G101" s="98">
        <f>SUMIF(Adat!V:V,CONCATENATE(61,Info!$D$17,"052"),Adat!E:E)</f>
        <v>0</v>
      </c>
      <c r="H101" s="98">
        <f>SUMIF(Adat!V:V,CONCATENATE(60,Info!$D$17,"052"),Adat!E:E)+G101</f>
        <v>0</v>
      </c>
      <c r="I101" s="99"/>
      <c r="J101" s="99"/>
      <c r="K101" s="99"/>
      <c r="L101" s="99"/>
      <c r="M101" s="65"/>
    </row>
    <row r="102" spans="2:13" s="17" customFormat="1" ht="12.75" x14ac:dyDescent="0.25">
      <c r="B102" s="64">
        <v>94</v>
      </c>
      <c r="C102" s="204"/>
      <c r="D102" s="205"/>
      <c r="E102" s="303"/>
      <c r="F102" s="298" t="str">
        <f>IF(PAR!$E$15&gt;" ","Dologi  kiadások"," ")</f>
        <v xml:space="preserve"> </v>
      </c>
      <c r="G102" s="98">
        <f>SUMIF(Adat!V:V,CONCATENATE(61,Info!$D$17,"053"),Adat!E:E)</f>
        <v>0</v>
      </c>
      <c r="H102" s="98">
        <f>SUMIF(Adat!V:V,CONCATENATE(60,Info!$D$17,"053"),Adat!E:E)+G102</f>
        <v>0</v>
      </c>
      <c r="I102" s="99"/>
      <c r="J102" s="99"/>
      <c r="K102" s="99"/>
      <c r="L102" s="99"/>
      <c r="M102" s="65"/>
    </row>
    <row r="103" spans="2:13" s="17" customFormat="1" ht="12.75" x14ac:dyDescent="0.25">
      <c r="B103" s="64">
        <v>95</v>
      </c>
      <c r="C103" s="204"/>
      <c r="D103" s="205"/>
      <c r="E103" s="303"/>
      <c r="F103" s="298" t="str">
        <f>IF(PAR!$E$15&gt;" ","Ellátási díjak"," ")</f>
        <v xml:space="preserve"> </v>
      </c>
      <c r="G103" s="98">
        <f>SUMIF(Adat!V:V,CONCATENATE(61,Info!$D$17,"054"),Adat!E:E)</f>
        <v>0</v>
      </c>
      <c r="H103" s="98">
        <f>SUMIF(Adat!V:V,CONCATENATE(60,Info!$D$17,"054"),Adat!E:E)+G103</f>
        <v>0</v>
      </c>
      <c r="I103" s="99"/>
      <c r="J103" s="99"/>
      <c r="K103" s="99"/>
      <c r="L103" s="99"/>
      <c r="M103" s="65"/>
    </row>
    <row r="104" spans="2:13" s="17" customFormat="1" ht="12.75" x14ac:dyDescent="0.25">
      <c r="B104" s="64">
        <v>96</v>
      </c>
      <c r="C104" s="204"/>
      <c r="D104" s="205"/>
      <c r="E104" s="303"/>
      <c r="F104" s="298" t="str">
        <f>IF(PAR!$E$15&gt;" ","Egyéb működési célú kiadások"," ")</f>
        <v xml:space="preserve"> </v>
      </c>
      <c r="G104" s="98">
        <f>SUMIF(Adat!V:V,CONCATENATE(61,Info!$D$17,"055"),Adat!E:E)</f>
        <v>0</v>
      </c>
      <c r="H104" s="98">
        <f>SUMIF(Adat!V:V,CONCATENATE(60,Info!$D$17,"055"),Adat!E:E)+G104</f>
        <v>0</v>
      </c>
      <c r="I104" s="99"/>
      <c r="J104" s="99"/>
      <c r="K104" s="99"/>
      <c r="L104" s="99"/>
      <c r="M104" s="65"/>
    </row>
    <row r="105" spans="2:13" s="17" customFormat="1" ht="12.75" x14ac:dyDescent="0.25">
      <c r="B105" s="64">
        <v>97</v>
      </c>
      <c r="C105" s="204"/>
      <c r="D105" s="205"/>
      <c r="E105" s="303"/>
      <c r="F105" s="298" t="str">
        <f>IF(PAR!$E$15&gt;" ","Felhalmozási kiadások"," ")</f>
        <v xml:space="preserve"> </v>
      </c>
      <c r="G105" s="98">
        <f>SUMIF(Adat!V:V,CONCATENATE(61,Info!$D$17,"056"),Adat!E:E)+SUMIF(Adat!V:V,CONCATENATE(61,Info!$D$17,"057"),Adat!E:E)+SUMIF(Adat!V:V,CONCATENATE(61,Info!$D$17,"058"),Adat!E:E)</f>
        <v>0</v>
      </c>
      <c r="H105" s="98">
        <f>SUMIF(Adat!V:V,CONCATENATE(60,Info!$D$17,"056"),Adat!E:E)+SUMIF(Adat!V:V,CONCATENATE(60,Info!$D$17,"057"),Adat!E:E)+SUMIF(Adat!V:V,CONCATENATE(60,Info!$D$17,"058"),Adat!E:E)+G105</f>
        <v>0</v>
      </c>
      <c r="I105" s="100"/>
      <c r="J105" s="100"/>
      <c r="K105" s="100"/>
      <c r="L105" s="100"/>
      <c r="M105" s="66"/>
    </row>
    <row r="106" spans="2:13" s="17" customFormat="1" ht="12.75" x14ac:dyDescent="0.25">
      <c r="B106" s="64">
        <v>98</v>
      </c>
      <c r="C106" s="204"/>
      <c r="D106" s="205" t="str">
        <f>IF(PAR!$E16&gt;" ",13," ")</f>
        <v xml:space="preserve"> </v>
      </c>
      <c r="E106" s="302" t="str">
        <f>IF(PAR!E16&gt;" ",PAR!E16," ")</f>
        <v xml:space="preserve"> </v>
      </c>
      <c r="F106" s="297"/>
      <c r="G106" s="96">
        <f>SUM(G107:G112)</f>
        <v>0</v>
      </c>
      <c r="H106" s="96">
        <f>SUM(H107:H112)</f>
        <v>0</v>
      </c>
      <c r="I106" s="97">
        <f>SUMIF(Adat!W:W,CONCATENATE(61,Info!$D$18,"09"),Adat!E:E)*-1</f>
        <v>0</v>
      </c>
      <c r="J106" s="97">
        <f>SUMIF(Adat!W:W,CONCATENATE(60,Info!$D$18,"09"),Adat!E:E)*-1+I106</f>
        <v>0</v>
      </c>
      <c r="K106" s="97">
        <f>J106-L106-M106</f>
        <v>0</v>
      </c>
      <c r="L106" s="97">
        <f>SUMIF(Adat!X:X,CONCATENATE(Info!$D$18,"098161"),Adat!E:E)*-1</f>
        <v>0</v>
      </c>
      <c r="M106" s="294">
        <v>0</v>
      </c>
    </row>
    <row r="107" spans="2:13" s="17" customFormat="1" ht="12.75" x14ac:dyDescent="0.25">
      <c r="B107" s="64">
        <v>99</v>
      </c>
      <c r="C107" s="204"/>
      <c r="D107" s="205"/>
      <c r="E107" s="303"/>
      <c r="F107" s="298" t="str">
        <f>IF(PAR!$E$16&gt;" ","Személyi  juttatások"," ")</f>
        <v xml:space="preserve"> </v>
      </c>
      <c r="G107" s="98">
        <f>SUMIF(Adat!V:V,CONCATENATE(61,Info!$D$18,"051"),Adat!E:E)</f>
        <v>0</v>
      </c>
      <c r="H107" s="98">
        <f>SUMIF(Adat!V:V,CONCATENATE(60,Info!$D$18,"051"),Adat!E:E)+G107</f>
        <v>0</v>
      </c>
      <c r="I107" s="99"/>
      <c r="J107" s="99"/>
      <c r="K107" s="99"/>
      <c r="L107" s="99"/>
      <c r="M107" s="65"/>
    </row>
    <row r="108" spans="2:13" s="17" customFormat="1" ht="12.75" x14ac:dyDescent="0.25">
      <c r="B108" s="64">
        <v>100</v>
      </c>
      <c r="C108" s="204"/>
      <c r="D108" s="205"/>
      <c r="E108" s="303"/>
      <c r="F108" s="298" t="str">
        <f>IF(PAR!$E$16&gt;" ","Munkaadókat terhelő járulékok"," ")</f>
        <v xml:space="preserve"> </v>
      </c>
      <c r="G108" s="98">
        <f>SUMIF(Adat!V:V,CONCATENATE(61,Info!$D$18,"052"),Adat!E:E)</f>
        <v>0</v>
      </c>
      <c r="H108" s="98">
        <f>SUMIF(Adat!V:V,CONCATENATE(60,Info!$D$18,"052"),Adat!E:E)+G108</f>
        <v>0</v>
      </c>
      <c r="I108" s="99"/>
      <c r="J108" s="99"/>
      <c r="K108" s="99"/>
      <c r="L108" s="99"/>
      <c r="M108" s="65"/>
    </row>
    <row r="109" spans="2:13" s="17" customFormat="1" ht="12.75" x14ac:dyDescent="0.25">
      <c r="B109" s="64">
        <v>101</v>
      </c>
      <c r="C109" s="204"/>
      <c r="D109" s="205"/>
      <c r="E109" s="303"/>
      <c r="F109" s="298" t="str">
        <f>IF(PAR!$E$16&gt;" ","Dologi  kiadások"," ")</f>
        <v xml:space="preserve"> </v>
      </c>
      <c r="G109" s="98">
        <f>SUMIF(Adat!V:V,CONCATENATE(61,Info!$D$18,"053"),Adat!E:E)</f>
        <v>0</v>
      </c>
      <c r="H109" s="98">
        <f>SUMIF(Adat!V:V,CONCATENATE(60,Info!$D$18,"053"),Adat!E:E)+G109</f>
        <v>0</v>
      </c>
      <c r="I109" s="99"/>
      <c r="J109" s="99"/>
      <c r="K109" s="99"/>
      <c r="L109" s="99"/>
      <c r="M109" s="65"/>
    </row>
    <row r="110" spans="2:13" s="17" customFormat="1" ht="12.75" x14ac:dyDescent="0.25">
      <c r="B110" s="64">
        <v>102</v>
      </c>
      <c r="C110" s="204"/>
      <c r="D110" s="205"/>
      <c r="E110" s="303"/>
      <c r="F110" s="298" t="str">
        <f>IF(PAR!$E$16&gt;" ","Ellátási díjak"," ")</f>
        <v xml:space="preserve"> </v>
      </c>
      <c r="G110" s="98">
        <f>SUMIF(Adat!V:V,CONCATENATE(61,Info!$D$18,"054"),Adat!E:E)</f>
        <v>0</v>
      </c>
      <c r="H110" s="98">
        <f>SUMIF(Adat!V:V,CONCATENATE(60,Info!$D$18,"054"),Adat!E:E)+G110</f>
        <v>0</v>
      </c>
      <c r="I110" s="99"/>
      <c r="J110" s="99"/>
      <c r="K110" s="99"/>
      <c r="L110" s="99"/>
      <c r="M110" s="65"/>
    </row>
    <row r="111" spans="2:13" s="17" customFormat="1" ht="12.75" x14ac:dyDescent="0.25">
      <c r="B111" s="64">
        <v>103</v>
      </c>
      <c r="C111" s="204"/>
      <c r="D111" s="205"/>
      <c r="E111" s="303"/>
      <c r="F111" s="298" t="str">
        <f>IF(PAR!$E$16&gt;" ","Egyéb működési célú kiadások"," ")</f>
        <v xml:space="preserve"> </v>
      </c>
      <c r="G111" s="98">
        <f>SUMIF(Adat!V:V,CONCATENATE(61,Info!$D$18,"055"),Adat!E:E)</f>
        <v>0</v>
      </c>
      <c r="H111" s="98">
        <f>SUMIF(Adat!V:V,CONCATENATE(60,Info!$D$18,"055"),Adat!E:E)+G111</f>
        <v>0</v>
      </c>
      <c r="I111" s="99"/>
      <c r="J111" s="99"/>
      <c r="K111" s="99"/>
      <c r="L111" s="99"/>
      <c r="M111" s="65"/>
    </row>
    <row r="112" spans="2:13" s="17" customFormat="1" ht="12.75" x14ac:dyDescent="0.25">
      <c r="B112" s="64">
        <v>104</v>
      </c>
      <c r="C112" s="204"/>
      <c r="D112" s="205"/>
      <c r="E112" s="303"/>
      <c r="F112" s="298" t="str">
        <f>IF(PAR!$E$16&gt;" ","Felhalmozási kiadások"," ")</f>
        <v xml:space="preserve"> </v>
      </c>
      <c r="G112" s="98">
        <f>SUMIF(Adat!V:V,CONCATENATE(61,Info!$D$18,"056"),Adat!E:E)+SUMIF(Adat!V:V,CONCATENATE(61,Info!$D$18,"057"),Adat!E:E)+SUMIF(Adat!V:V,CONCATENATE(61,Info!$D$18,"058"),Adat!E:E)</f>
        <v>0</v>
      </c>
      <c r="H112" s="98">
        <f>SUMIF(Adat!V:V,CONCATENATE(60,Info!$D$18,"056"),Adat!E:E)+SUMIF(Adat!V:V,CONCATENATE(60,Info!$D$18,"057"),Adat!E:E)+SUMIF(Adat!V:V,CONCATENATE(60,Info!$D$18,"058"),Adat!E:E)+G112</f>
        <v>0</v>
      </c>
      <c r="I112" s="100"/>
      <c r="J112" s="100"/>
      <c r="K112" s="100"/>
      <c r="L112" s="100"/>
      <c r="M112" s="66"/>
    </row>
    <row r="113" spans="2:13" s="17" customFormat="1" ht="12.75" x14ac:dyDescent="0.25">
      <c r="B113" s="64">
        <v>105</v>
      </c>
      <c r="C113" s="204"/>
      <c r="D113" s="205" t="str">
        <f>IF(PAR!$E17&gt;" ",14," ")</f>
        <v xml:space="preserve"> </v>
      </c>
      <c r="E113" s="302" t="str">
        <f>IF(PAR!E17&gt;" ",PAR!E17," ")</f>
        <v xml:space="preserve"> </v>
      </c>
      <c r="F113" s="297"/>
      <c r="G113" s="96">
        <f>SUM(G114:G119)</f>
        <v>0</v>
      </c>
      <c r="H113" s="96">
        <f>SUM(H114:H119)</f>
        <v>0</v>
      </c>
      <c r="I113" s="97">
        <f>SUMIF(Adat!W:W,CONCATENATE(61,Info!$D$19,"09"),Adat!E:E)*-1</f>
        <v>0</v>
      </c>
      <c r="J113" s="97">
        <f>SUMIF(Adat!W:W,CONCATENATE(60,Info!$D$19,"09"),Adat!E:E)*-1+I113</f>
        <v>0</v>
      </c>
      <c r="K113" s="97">
        <f>J113-L113-M113</f>
        <v>0</v>
      </c>
      <c r="L113" s="97">
        <f>SUMIF(Adat!X:X,CONCATENATE(Info!$D$19,"098161"),Adat!E:E)*-1</f>
        <v>0</v>
      </c>
      <c r="M113" s="294">
        <v>0</v>
      </c>
    </row>
    <row r="114" spans="2:13" s="17" customFormat="1" ht="12.75" x14ac:dyDescent="0.25">
      <c r="B114" s="64">
        <v>106</v>
      </c>
      <c r="C114" s="204"/>
      <c r="D114" s="205"/>
      <c r="E114" s="303"/>
      <c r="F114" s="298" t="str">
        <f>IF(PAR!$E$17&gt;" ","Személyi  juttatások"," ")</f>
        <v xml:space="preserve"> </v>
      </c>
      <c r="G114" s="98">
        <f>SUMIF(Adat!V:V,CONCATENATE(61,Info!$D$19,"051"),Adat!E:E)</f>
        <v>0</v>
      </c>
      <c r="H114" s="98">
        <f>SUMIF(Adat!V:V,CONCATENATE(60,Info!$D$19,"051"),Adat!E:E)+G114</f>
        <v>0</v>
      </c>
      <c r="I114" s="99"/>
      <c r="J114" s="99"/>
      <c r="K114" s="99"/>
      <c r="L114" s="99"/>
      <c r="M114" s="65"/>
    </row>
    <row r="115" spans="2:13" s="17" customFormat="1" ht="12.75" x14ac:dyDescent="0.25">
      <c r="B115" s="64">
        <v>107</v>
      </c>
      <c r="C115" s="204"/>
      <c r="D115" s="205"/>
      <c r="E115" s="303"/>
      <c r="F115" s="298" t="str">
        <f>IF(PAR!$E$17&gt;" ","Munkaadókat terhelő járulékok"," ")</f>
        <v xml:space="preserve"> </v>
      </c>
      <c r="G115" s="98">
        <f>SUMIF(Adat!V:V,CONCATENATE(61,Info!$D$19,"052"),Adat!E:E)</f>
        <v>0</v>
      </c>
      <c r="H115" s="98">
        <f>SUMIF(Adat!V:V,CONCATENATE(60,Info!$D$19,"052"),Adat!E:E)+G115</f>
        <v>0</v>
      </c>
      <c r="I115" s="99"/>
      <c r="J115" s="99"/>
      <c r="K115" s="99"/>
      <c r="L115" s="99"/>
      <c r="M115" s="65"/>
    </row>
    <row r="116" spans="2:13" s="17" customFormat="1" ht="12.75" x14ac:dyDescent="0.25">
      <c r="B116" s="64">
        <v>108</v>
      </c>
      <c r="C116" s="204"/>
      <c r="D116" s="205"/>
      <c r="E116" s="303"/>
      <c r="F116" s="298" t="str">
        <f>IF(PAR!$E$17&gt;" ","Dologi  kiadások"," ")</f>
        <v xml:space="preserve"> </v>
      </c>
      <c r="G116" s="98">
        <f>SUMIF(Adat!V:V,CONCATENATE(61,Info!$D$19,"053"),Adat!E:E)</f>
        <v>0</v>
      </c>
      <c r="H116" s="98">
        <f>SUMIF(Adat!V:V,CONCATENATE(60,Info!$D$19,"053"),Adat!E:E)+G116</f>
        <v>0</v>
      </c>
      <c r="I116" s="99"/>
      <c r="J116" s="99"/>
      <c r="K116" s="99"/>
      <c r="L116" s="99"/>
      <c r="M116" s="65"/>
    </row>
    <row r="117" spans="2:13" s="17" customFormat="1" ht="12.75" x14ac:dyDescent="0.25">
      <c r="B117" s="64">
        <v>109</v>
      </c>
      <c r="C117" s="204"/>
      <c r="D117" s="205"/>
      <c r="E117" s="303"/>
      <c r="F117" s="298" t="str">
        <f>IF(PAR!$E$17&gt;" ","Ellátási díjak"," ")</f>
        <v xml:space="preserve"> </v>
      </c>
      <c r="G117" s="98">
        <f>SUMIF(Adat!V:V,CONCATENATE(61,Info!$D$19,"054"),Adat!E:E)</f>
        <v>0</v>
      </c>
      <c r="H117" s="98">
        <f>SUMIF(Adat!V:V,CONCATENATE(60,Info!$D$19,"054"),Adat!E:E)+G117</f>
        <v>0</v>
      </c>
      <c r="I117" s="99"/>
      <c r="J117" s="99"/>
      <c r="K117" s="99"/>
      <c r="L117" s="99"/>
      <c r="M117" s="65"/>
    </row>
    <row r="118" spans="2:13" s="17" customFormat="1" ht="12.75" x14ac:dyDescent="0.25">
      <c r="B118" s="64">
        <v>110</v>
      </c>
      <c r="C118" s="204"/>
      <c r="D118" s="205"/>
      <c r="E118" s="303"/>
      <c r="F118" s="298" t="str">
        <f>IF(PAR!$E$17&gt;" ","Egyéb működési célú kiadások"," ")</f>
        <v xml:space="preserve"> </v>
      </c>
      <c r="G118" s="98">
        <f>SUMIF(Adat!V:V,CONCATENATE(61,Info!$D$19,"055"),Adat!E:E)</f>
        <v>0</v>
      </c>
      <c r="H118" s="98">
        <f>SUMIF(Adat!V:V,CONCATENATE(60,Info!$D$19,"055"),Adat!E:E)+G118</f>
        <v>0</v>
      </c>
      <c r="I118" s="99"/>
      <c r="J118" s="99"/>
      <c r="K118" s="99"/>
      <c r="L118" s="99"/>
      <c r="M118" s="65"/>
    </row>
    <row r="119" spans="2:13" s="17" customFormat="1" ht="12.75" x14ac:dyDescent="0.25">
      <c r="B119" s="64">
        <v>111</v>
      </c>
      <c r="C119" s="204"/>
      <c r="D119" s="205"/>
      <c r="E119" s="303"/>
      <c r="F119" s="298" t="str">
        <f>IF(PAR!$E$17&gt;" ","Felhalmozási kiadások"," ")</f>
        <v xml:space="preserve"> </v>
      </c>
      <c r="G119" s="98">
        <f>SUMIF(Adat!V:V,CONCATENATE(61,Info!$D$19,"056"),Adat!E:E)+SUMIF(Adat!V:V,CONCATENATE(61,Info!$D$19,"057"),Adat!E:E)+SUMIF(Adat!V:V,CONCATENATE(61,Info!$D$19,"058"),Adat!E:E)</f>
        <v>0</v>
      </c>
      <c r="H119" s="98">
        <f>SUMIF(Adat!V:V,CONCATENATE(60,Info!$D$19,"056"),Adat!E:E)+SUMIF(Adat!V:V,CONCATENATE(60,Info!$D$19,"057"),Adat!E:E)+SUMIF(Adat!V:V,CONCATENATE(60,Info!$D$19,"058"),Adat!E:E)+G119</f>
        <v>0</v>
      </c>
      <c r="I119" s="100"/>
      <c r="J119" s="100"/>
      <c r="K119" s="100"/>
      <c r="L119" s="100"/>
      <c r="M119" s="66"/>
    </row>
    <row r="120" spans="2:13" s="17" customFormat="1" ht="12.75" x14ac:dyDescent="0.25">
      <c r="B120" s="64">
        <v>112</v>
      </c>
      <c r="C120" s="204"/>
      <c r="D120" s="205" t="str">
        <f>IF(PAR!$E18&gt;" ",15," ")</f>
        <v xml:space="preserve"> </v>
      </c>
      <c r="E120" s="302" t="str">
        <f>IF(PAR!E18&gt;" ",PAR!E18," ")</f>
        <v xml:space="preserve"> </v>
      </c>
      <c r="F120" s="297"/>
      <c r="G120" s="96">
        <f>SUM(G121:G126)</f>
        <v>0</v>
      </c>
      <c r="H120" s="96">
        <f>SUM(H121:H126)</f>
        <v>0</v>
      </c>
      <c r="I120" s="97">
        <f>SUMIF(Adat!W:W,CONCATENATE(61,Info!$D$20,"09"),Adat!E:E)*-1</f>
        <v>0</v>
      </c>
      <c r="J120" s="97">
        <f>SUMIF(Adat!W:W,CONCATENATE(60,Info!$D$20,"09"),Adat!E:E)*-1+I120</f>
        <v>0</v>
      </c>
      <c r="K120" s="97">
        <f>J120-L120-M120</f>
        <v>0</v>
      </c>
      <c r="L120" s="97">
        <f>SUMIF(Adat!X:X,CONCATENATE(Info!$D$20,"098161"),Adat!E:E)*-1</f>
        <v>0</v>
      </c>
      <c r="M120" s="294">
        <v>0</v>
      </c>
    </row>
    <row r="121" spans="2:13" s="17" customFormat="1" ht="12.75" x14ac:dyDescent="0.25">
      <c r="B121" s="64">
        <v>113</v>
      </c>
      <c r="C121" s="204"/>
      <c r="D121" s="205"/>
      <c r="E121" s="303"/>
      <c r="F121" s="298" t="str">
        <f>IF(PAR!$E$18&gt;" ","Személyi  juttatások"," ")</f>
        <v xml:space="preserve"> </v>
      </c>
      <c r="G121" s="98">
        <f>SUMIF(Adat!V:V,CONCATENATE(61,Info!$D$20,"051"),Adat!E:E)</f>
        <v>0</v>
      </c>
      <c r="H121" s="98">
        <f>SUMIF(Adat!V:V,CONCATENATE(60,Info!$D$20,"051"),Adat!E:E)+G121</f>
        <v>0</v>
      </c>
      <c r="I121" s="99"/>
      <c r="J121" s="99"/>
      <c r="K121" s="99"/>
      <c r="L121" s="99"/>
      <c r="M121" s="65"/>
    </row>
    <row r="122" spans="2:13" s="17" customFormat="1" ht="12.75" x14ac:dyDescent="0.25">
      <c r="B122" s="64">
        <v>114</v>
      </c>
      <c r="C122" s="204"/>
      <c r="D122" s="205"/>
      <c r="E122" s="303"/>
      <c r="F122" s="298" t="str">
        <f>IF(PAR!$E$18&gt;" ","Munkaadókat terhelő járulékok"," ")</f>
        <v xml:space="preserve"> </v>
      </c>
      <c r="G122" s="98">
        <f>SUMIF(Adat!V:V,CONCATENATE(61,Info!$D$20,"052"),Adat!E:E)</f>
        <v>0</v>
      </c>
      <c r="H122" s="98">
        <f>SUMIF(Adat!V:V,CONCATENATE(60,Info!$D$20,"052"),Adat!E:E)+G122</f>
        <v>0</v>
      </c>
      <c r="I122" s="99"/>
      <c r="J122" s="99"/>
      <c r="K122" s="99"/>
      <c r="L122" s="99"/>
      <c r="M122" s="65"/>
    </row>
    <row r="123" spans="2:13" s="17" customFormat="1" ht="12.75" x14ac:dyDescent="0.25">
      <c r="B123" s="64">
        <v>115</v>
      </c>
      <c r="C123" s="204"/>
      <c r="D123" s="205"/>
      <c r="E123" s="303"/>
      <c r="F123" s="298" t="str">
        <f>IF(PAR!$E$18&gt;" ","Dologi  kiadások"," ")</f>
        <v xml:space="preserve"> </v>
      </c>
      <c r="G123" s="98">
        <f>SUMIF(Adat!V:V,CONCATENATE(61,Info!$D$20,"053"),Adat!E:E)</f>
        <v>0</v>
      </c>
      <c r="H123" s="98">
        <f>SUMIF(Adat!V:V,CONCATENATE(60,Info!$D$20,"053"),Adat!E:E)+G123</f>
        <v>0</v>
      </c>
      <c r="I123" s="99"/>
      <c r="J123" s="99"/>
      <c r="K123" s="99"/>
      <c r="L123" s="99"/>
      <c r="M123" s="65"/>
    </row>
    <row r="124" spans="2:13" s="17" customFormat="1" ht="12.75" x14ac:dyDescent="0.25">
      <c r="B124" s="64">
        <v>116</v>
      </c>
      <c r="C124" s="204"/>
      <c r="D124" s="205"/>
      <c r="E124" s="303"/>
      <c r="F124" s="298" t="str">
        <f>IF(PAR!$E$18&gt;" ","Ellátási díjak"," ")</f>
        <v xml:space="preserve"> </v>
      </c>
      <c r="G124" s="98">
        <f>SUMIF(Adat!V:V,CONCATENATE(61,Info!$D$20,"054"),Adat!E:E)</f>
        <v>0</v>
      </c>
      <c r="H124" s="98">
        <f>SUMIF(Adat!V:V,CONCATENATE(60,Info!$D$20,"054"),Adat!E:E)+G124</f>
        <v>0</v>
      </c>
      <c r="I124" s="99"/>
      <c r="J124" s="99"/>
      <c r="K124" s="99"/>
      <c r="L124" s="99"/>
      <c r="M124" s="65"/>
    </row>
    <row r="125" spans="2:13" s="17" customFormat="1" ht="12.75" x14ac:dyDescent="0.25">
      <c r="B125" s="64">
        <v>117</v>
      </c>
      <c r="C125" s="204"/>
      <c r="D125" s="205"/>
      <c r="E125" s="303"/>
      <c r="F125" s="298" t="str">
        <f>IF(PAR!$E$18&gt;" ","Egyéb működési célú kiadások"," ")</f>
        <v xml:space="preserve"> </v>
      </c>
      <c r="G125" s="98">
        <f>SUMIF(Adat!V:V,CONCATENATE(61,Info!$D$20,"055"),Adat!E:E)</f>
        <v>0</v>
      </c>
      <c r="H125" s="98">
        <f>SUMIF(Adat!V:V,CONCATENATE(60,Info!$D$20,"055"),Adat!E:E)+G125</f>
        <v>0</v>
      </c>
      <c r="I125" s="99"/>
      <c r="J125" s="99"/>
      <c r="K125" s="99"/>
      <c r="L125" s="99"/>
      <c r="M125" s="65"/>
    </row>
    <row r="126" spans="2:13" s="17" customFormat="1" ht="12.75" x14ac:dyDescent="0.25">
      <c r="B126" s="64">
        <v>118</v>
      </c>
      <c r="C126" s="204"/>
      <c r="D126" s="205"/>
      <c r="E126" s="303"/>
      <c r="F126" s="298" t="str">
        <f>IF(PAR!$E$18&gt;" ","Felhalmozási kiadások"," ")</f>
        <v xml:space="preserve"> </v>
      </c>
      <c r="G126" s="98">
        <f>SUMIF(Adat!V:V,CONCATENATE(61,Info!$D$20,"056"),Adat!E:E)+SUMIF(Adat!V:V,CONCATENATE(61,Info!$D$20,"057"),Adat!E:E)+SUMIF(Adat!V:V,CONCATENATE(61,Info!$D$20,"058"),Adat!E:E)</f>
        <v>0</v>
      </c>
      <c r="H126" s="98">
        <f>SUMIF(Adat!V:V,CONCATENATE(60,Info!$D$20,"056"),Adat!E:E)+SUMIF(Adat!V:V,CONCATENATE(60,Info!$D$20,"057"),Adat!E:E)+SUMIF(Adat!V:V,CONCATENATE(60,Info!$D$20,"058"),Adat!E:E)+G126</f>
        <v>0</v>
      </c>
      <c r="I126" s="100"/>
      <c r="J126" s="100"/>
      <c r="K126" s="100"/>
      <c r="L126" s="100"/>
      <c r="M126" s="66"/>
    </row>
    <row r="127" spans="2:13" s="17" customFormat="1" ht="12.75" x14ac:dyDescent="0.25">
      <c r="E127" s="203"/>
    </row>
  </sheetData>
  <sheetProtection algorithmName="SHA-512" hashValue="k9PQ1ML9dwTEcvBnsBWqsNHhpdPf855rcY53x4DMiBOndGauhGfALs6PzbwYopsoaoLMGODQB7ScVEOiwV1mkw==" saltValue="knVZKaMjR0P1oNwbmyMvJQ==" spinCount="100000" sheet="1" formatCells="0" formatColumns="0" formatRows="0"/>
  <mergeCells count="4">
    <mergeCell ref="B2:M2"/>
    <mergeCell ref="B4:M4"/>
    <mergeCell ref="B5:M5"/>
    <mergeCell ref="B6:M6"/>
  </mergeCells>
  <printOptions horizontalCentered="1"/>
  <pageMargins left="0.39370078740157483" right="0.39370078740157483" top="0.39370078740157483" bottom="0.78740157480314965" header="0.78740157480314965" footer="0.59055118110236227"/>
  <pageSetup paperSize="9" scale="74" fitToHeight="5" orientation="landscape" r:id="rId1"/>
  <headerFooter alignWithMargins="0">
    <oddHeader>&amp;C&amp;"Times New Roman CE,Félkövér"&amp;10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Munka14">
    <tabColor theme="4" tint="0.59999389629810485"/>
    <pageSetUpPr fitToPage="1"/>
  </sheetPr>
  <dimension ref="B1:Q147"/>
  <sheetViews>
    <sheetView view="pageBreakPreview" zoomScaleSheetLayoutView="100" workbookViewId="0">
      <selection activeCell="L9" sqref="L9"/>
    </sheetView>
  </sheetViews>
  <sheetFormatPr defaultColWidth="9" defaultRowHeight="15.75" x14ac:dyDescent="0.25"/>
  <cols>
    <col min="1" max="1" width="0.875" style="10" customWidth="1"/>
    <col min="2" max="2" width="5.625" style="60" customWidth="1"/>
    <col min="3" max="3" width="7.125" style="10" customWidth="1"/>
    <col min="4" max="4" width="57.625" style="10" customWidth="1"/>
    <col min="5" max="9" width="12.625" style="11" customWidth="1"/>
    <col min="10" max="10" width="0.875" style="10" customWidth="1"/>
    <col min="11" max="12" width="9.875" style="10" customWidth="1"/>
    <col min="13" max="16384" width="9" style="10"/>
  </cols>
  <sheetData>
    <row r="1" spans="2:9" ht="6" customHeight="1" x14ac:dyDescent="0.25"/>
    <row r="2" spans="2:9" x14ac:dyDescent="0.25">
      <c r="B2" s="510" t="str">
        <f>CONCATENATE("2. melléklet a(z) ",Index!$E$16," önkormányzati rendelethez")</f>
        <v>2. melléklet a(z) .../2025. (...) önkormányzati rendelethez</v>
      </c>
      <c r="C2" s="510"/>
      <c r="D2" s="510"/>
      <c r="E2" s="510"/>
      <c r="F2" s="510"/>
      <c r="G2" s="510"/>
      <c r="H2" s="510"/>
      <c r="I2" s="510"/>
    </row>
    <row r="3" spans="2:9" x14ac:dyDescent="0.25">
      <c r="C3" s="127"/>
      <c r="D3" s="127"/>
      <c r="E3" s="127"/>
      <c r="F3" s="127"/>
      <c r="G3" s="127"/>
      <c r="H3" s="127"/>
      <c r="I3" s="127"/>
    </row>
    <row r="4" spans="2:9" x14ac:dyDescent="0.25">
      <c r="B4" s="511" t="str">
        <f>CONCATENATE(PAR!E3)</f>
        <v>Nagymaros Város Önkormányzata</v>
      </c>
      <c r="C4" s="511"/>
      <c r="D4" s="511"/>
      <c r="E4" s="511"/>
      <c r="F4" s="511"/>
      <c r="G4" s="511"/>
      <c r="H4" s="511"/>
      <c r="I4" s="511"/>
    </row>
    <row r="5" spans="2:9" x14ac:dyDescent="0.25">
      <c r="B5" s="511" t="str">
        <f>CONCATENATE(PAR!H3," évi költségvetésének összevont mérlege")</f>
        <v>2025. évi költségvetésének összevont mérlege</v>
      </c>
      <c r="C5" s="511"/>
      <c r="D5" s="511"/>
      <c r="E5" s="511"/>
      <c r="F5" s="511"/>
      <c r="G5" s="511"/>
      <c r="H5" s="511"/>
      <c r="I5" s="511"/>
    </row>
    <row r="6" spans="2:9" ht="15.75" customHeight="1" x14ac:dyDescent="0.25">
      <c r="B6" s="508" t="s">
        <v>337</v>
      </c>
      <c r="C6" s="508"/>
      <c r="D6" s="508"/>
      <c r="E6" s="508"/>
      <c r="F6" s="508"/>
      <c r="G6" s="508"/>
      <c r="H6" s="508"/>
      <c r="I6" s="508"/>
    </row>
    <row r="7" spans="2:9" x14ac:dyDescent="0.25">
      <c r="C7" s="269"/>
      <c r="D7" s="271"/>
      <c r="E7" s="271"/>
      <c r="F7" s="271"/>
      <c r="G7" s="271"/>
      <c r="H7" s="271"/>
      <c r="I7" s="271"/>
    </row>
    <row r="8" spans="2:9" ht="15.75" customHeight="1" x14ac:dyDescent="0.25">
      <c r="B8" s="202" t="s">
        <v>635</v>
      </c>
      <c r="C8" s="202"/>
      <c r="D8" s="202"/>
      <c r="E8" s="202"/>
      <c r="F8" s="202"/>
      <c r="G8" s="198"/>
      <c r="H8" s="198"/>
      <c r="I8" s="198"/>
    </row>
    <row r="9" spans="2:9" x14ac:dyDescent="0.25">
      <c r="C9" s="12"/>
      <c r="D9" s="75"/>
      <c r="E9" s="75"/>
      <c r="F9" s="75"/>
      <c r="G9" s="75"/>
      <c r="H9" s="75"/>
      <c r="I9" s="75"/>
    </row>
    <row r="10" spans="2:9" s="13" customFormat="1" ht="12.75" x14ac:dyDescent="0.2">
      <c r="B10" s="67"/>
      <c r="C10" s="76" t="s">
        <v>350</v>
      </c>
      <c r="D10" s="76" t="s">
        <v>351</v>
      </c>
      <c r="E10" s="77" t="s">
        <v>470</v>
      </c>
      <c r="F10" s="77" t="s">
        <v>471</v>
      </c>
      <c r="G10" s="77" t="s">
        <v>44</v>
      </c>
      <c r="H10" s="77" t="s">
        <v>42</v>
      </c>
      <c r="I10" s="77" t="s">
        <v>511</v>
      </c>
    </row>
    <row r="11" spans="2:9" s="13" customFormat="1" ht="38.1" customHeight="1" x14ac:dyDescent="0.2">
      <c r="B11" s="68">
        <v>1</v>
      </c>
      <c r="C11" s="69" t="s">
        <v>348</v>
      </c>
      <c r="D11" s="69" t="s">
        <v>349</v>
      </c>
      <c r="E11" s="69" t="str">
        <f>CONCATENATE(PAR!$H$3," évi 
eredeti 
előirányzat")</f>
        <v>2025. évi 
eredeti 
előirányzat</v>
      </c>
      <c r="F11" s="69" t="str">
        <f>CONCATENATE(PAR!$H$3," évi 
módosított 
előirányzat")</f>
        <v>2025. évi 
módosított 
előirányzat</v>
      </c>
      <c r="G11" s="69" t="s">
        <v>666</v>
      </c>
      <c r="H11" s="69" t="s">
        <v>667</v>
      </c>
      <c r="I11" s="69" t="s">
        <v>668</v>
      </c>
    </row>
    <row r="12" spans="2:9" s="13" customFormat="1" ht="12.75" x14ac:dyDescent="0.2">
      <c r="B12" s="70">
        <v>2</v>
      </c>
      <c r="C12" s="78" t="s">
        <v>1324</v>
      </c>
      <c r="D12" s="304" t="s">
        <v>562</v>
      </c>
      <c r="E12" s="71">
        <f t="shared" ref="E12:F12" si="0">SUM(E13:E19)</f>
        <v>783508374</v>
      </c>
      <c r="F12" s="71">
        <f t="shared" si="0"/>
        <v>798987797</v>
      </c>
      <c r="G12" s="71">
        <f t="shared" ref="G12:I12" si="1">SUM(G13:G19)</f>
        <v>798987797</v>
      </c>
      <c r="H12" s="71">
        <f t="shared" si="1"/>
        <v>0</v>
      </c>
      <c r="I12" s="71">
        <f t="shared" si="1"/>
        <v>0</v>
      </c>
    </row>
    <row r="13" spans="2:9" s="13" customFormat="1" ht="12.75" x14ac:dyDescent="0.2">
      <c r="B13" s="68">
        <v>3</v>
      </c>
      <c r="C13" s="305" t="s">
        <v>1288</v>
      </c>
      <c r="D13" s="306" t="s">
        <v>1325</v>
      </c>
      <c r="E13" s="72">
        <f>SUMIF(Adat!$Y:$Y,CONCATENATE(61,"091111"),Adat!$E:$E)*-1</f>
        <v>250117687</v>
      </c>
      <c r="F13" s="72">
        <f>SUMIF(Adat!$Y:$Y,CONCATENATE(60,"091111"),Adat!$E:$E)*-1+E13</f>
        <v>256722032</v>
      </c>
      <c r="G13" s="72">
        <f>SUMIF(Adat!$Z:$Z,CONCATENATE("(KÖT)","091111"),Adat!$E:$E)*-1</f>
        <v>256722032</v>
      </c>
      <c r="H13" s="72">
        <f>SUMIF(Adat!$Z:$Z,CONCATENATE("(ÖNV)","091111"),Adat!$E:$E)*-1</f>
        <v>0</v>
      </c>
      <c r="I13" s="72">
        <f>SUMIF(Adat!$Z:$Z,CONCATENATE("(ÁIG)","091111"),Adat!$E:$E)*-1</f>
        <v>0</v>
      </c>
    </row>
    <row r="14" spans="2:9" s="13" customFormat="1" ht="12.75" x14ac:dyDescent="0.2">
      <c r="B14" s="70">
        <v>4</v>
      </c>
      <c r="C14" s="305" t="s">
        <v>1289</v>
      </c>
      <c r="D14" s="306" t="s">
        <v>735</v>
      </c>
      <c r="E14" s="72">
        <f>SUMIF(Adat!$Y:$Y,CONCATENATE(61,"091121"),Adat!$E:$E)*-1</f>
        <v>273336590</v>
      </c>
      <c r="F14" s="72">
        <f>SUMIF(Adat!$Y:$Y,CONCATENATE(60,"091121"),Adat!$E:$E)*-1+E14</f>
        <v>273336590</v>
      </c>
      <c r="G14" s="72">
        <f>SUMIF(Adat!$Z:$Z,CONCATENATE("(KÖT)","091121"),Adat!$E:$E)*-1</f>
        <v>273336590</v>
      </c>
      <c r="H14" s="72">
        <f>SUMIF(Adat!$Z:$Z,CONCATENATE("(ÖNV)","091121"),Adat!$E:$E)*-1</f>
        <v>0</v>
      </c>
      <c r="I14" s="72">
        <f>SUMIF(Adat!$Z:$Z,CONCATENATE("(ÁIG)","091121"),Adat!$E:$E)*-1</f>
        <v>0</v>
      </c>
    </row>
    <row r="15" spans="2:9" s="13" customFormat="1" ht="12.75" x14ac:dyDescent="0.2">
      <c r="B15" s="68">
        <v>5</v>
      </c>
      <c r="C15" s="305" t="s">
        <v>1290</v>
      </c>
      <c r="D15" s="306" t="s">
        <v>1326</v>
      </c>
      <c r="E15" s="72">
        <f>SUMIF(Adat!$Y:$Y,CONCATENATE(61,"0911311"),Adat!$E:$E)*-1</f>
        <v>98121389</v>
      </c>
      <c r="F15" s="72">
        <f>SUMIF(Adat!$Y:$Y,CONCATENATE(60,"0911311"),Adat!$E:$E)*-1+E15</f>
        <v>106996467</v>
      </c>
      <c r="G15" s="72">
        <f>SUMIF(Adat!$Z:$Z,CONCATENATE("(KÖT)","0911311"),Adat!$E:$E)*-1</f>
        <v>106996467</v>
      </c>
      <c r="H15" s="72">
        <f>SUMIF(Adat!$Z:$Z,CONCATENATE("(ÖNV)","0911311"),Adat!$E:$E)*-1</f>
        <v>0</v>
      </c>
      <c r="I15" s="72">
        <f>SUMIF(Adat!$Z:$Z,CONCATENATE("(ÁIG)","0911311"),Adat!$E:$E)*-1</f>
        <v>0</v>
      </c>
    </row>
    <row r="16" spans="2:9" s="13" customFormat="1" ht="12.75" x14ac:dyDescent="0.2">
      <c r="B16" s="70">
        <v>6</v>
      </c>
      <c r="C16" s="305" t="s">
        <v>1254</v>
      </c>
      <c r="D16" s="306" t="s">
        <v>736</v>
      </c>
      <c r="E16" s="72">
        <f>SUMIF(Adat!$Y:$Y,CONCATENATE(61,"0911321"),Adat!$E:$E)*-1</f>
        <v>147019091</v>
      </c>
      <c r="F16" s="72">
        <f>SUMIF(Adat!$Y:$Y,CONCATENATE(60,"0911321"),Adat!$E:$E)*-1+E16</f>
        <v>147019091</v>
      </c>
      <c r="G16" s="72">
        <f>SUMIF(Adat!$Z:$Z,CONCATENATE("(KÖT)","0911321"),Adat!$E:$E)*-1</f>
        <v>147019091</v>
      </c>
      <c r="H16" s="72">
        <f>SUMIF(Adat!$Z:$Z,CONCATENATE("(ÖNV)","0911321"),Adat!$E:$E)*-1</f>
        <v>0</v>
      </c>
      <c r="I16" s="72">
        <f>SUMIF(Adat!$Z:$Z,CONCATENATE("(ÁIG)","0911321"),Adat!$E:$E)*-1</f>
        <v>0</v>
      </c>
    </row>
    <row r="17" spans="2:9" s="13" customFormat="1" ht="12.75" x14ac:dyDescent="0.2">
      <c r="B17" s="68">
        <v>7</v>
      </c>
      <c r="C17" s="305" t="s">
        <v>1291</v>
      </c>
      <c r="D17" s="307" t="s">
        <v>737</v>
      </c>
      <c r="E17" s="72">
        <f>SUMIF(Adat!$Y:$Y,CONCATENATE(61,"091141"),Adat!$E:$E)*-1</f>
        <v>14913617</v>
      </c>
      <c r="F17" s="72">
        <f>SUMIF(Adat!$Y:$Y,CONCATENATE(60,"091141"),Adat!$E:$E)*-1+E17</f>
        <v>14913617</v>
      </c>
      <c r="G17" s="72">
        <f>SUMIF(Adat!$Z:$Z,CONCATENATE("(KÖT)","091141"),Adat!$E:$E)*-1</f>
        <v>14913617</v>
      </c>
      <c r="H17" s="72">
        <f>SUMIF(Adat!$Z:$Z,CONCATENATE("(ÖNV)","091141"),Adat!$E:$E)*-1</f>
        <v>0</v>
      </c>
      <c r="I17" s="72">
        <f>SUMIF(Adat!$Z:$Z,CONCATENATE("(ÁIG)","091141"),Adat!$E:$E)*-1</f>
        <v>0</v>
      </c>
    </row>
    <row r="18" spans="2:9" s="13" customFormat="1" ht="12.75" x14ac:dyDescent="0.2">
      <c r="B18" s="70">
        <v>8</v>
      </c>
      <c r="C18" s="305" t="s">
        <v>1312</v>
      </c>
      <c r="D18" s="307" t="s">
        <v>738</v>
      </c>
      <c r="E18" s="72">
        <f>SUMIF(Adat!$Y:$Y,CONCATENATE(61,"091151"),Adat!$E:$E)*-1</f>
        <v>0</v>
      </c>
      <c r="F18" s="72">
        <f>SUMIF(Adat!$Y:$Y,CONCATENATE(60,"091151"),Adat!$E:$E)*-1+E18</f>
        <v>0</v>
      </c>
      <c r="G18" s="72">
        <f>SUMIF(Adat!$Z:$Z,CONCATENATE("(KÖT)","091151"),Adat!$E:$E)*-1</f>
        <v>0</v>
      </c>
      <c r="H18" s="72">
        <f>SUMIF(Adat!$Z:$Z,CONCATENATE("(ÖNV)","091151"),Adat!$E:$E)*-1</f>
        <v>0</v>
      </c>
      <c r="I18" s="72">
        <f>SUMIF(Adat!$Z:$Z,CONCATENATE("(ÁIG)","091151"),Adat!$E:$E)*-1</f>
        <v>0</v>
      </c>
    </row>
    <row r="19" spans="2:9" s="13" customFormat="1" ht="12.75" x14ac:dyDescent="0.2">
      <c r="B19" s="68">
        <v>9</v>
      </c>
      <c r="C19" s="305" t="s">
        <v>1308</v>
      </c>
      <c r="D19" s="307" t="s">
        <v>233</v>
      </c>
      <c r="E19" s="72">
        <f>SUMIF(Adat!$Y:$Y,CONCATENATE(61,"091161"),Adat!$E:$E)*-1</f>
        <v>0</v>
      </c>
      <c r="F19" s="72">
        <f>SUMIF(Adat!$Y:$Y,CONCATENATE(60,"091161"),Adat!$E:$E)*-1+E19</f>
        <v>0</v>
      </c>
      <c r="G19" s="72">
        <f>SUMIF(Adat!$Z:$Z,CONCATENATE("(KÖT)","091161"),Adat!$E:$E)*-1</f>
        <v>0</v>
      </c>
      <c r="H19" s="72">
        <f>SUMIF(Adat!$Z:$Z,CONCATENATE("(ÖNV)","091161"),Adat!$E:$E)*-1</f>
        <v>0</v>
      </c>
      <c r="I19" s="72">
        <f>SUMIF(Adat!$Z:$Z,CONCATENATE("(ÁIG)","091161"),Adat!$E:$E)*-1</f>
        <v>0</v>
      </c>
    </row>
    <row r="20" spans="2:9" s="13" customFormat="1" ht="12.75" x14ac:dyDescent="0.2">
      <c r="B20" s="70">
        <v>10</v>
      </c>
      <c r="C20" s="78" t="s">
        <v>1328</v>
      </c>
      <c r="D20" s="308" t="s">
        <v>437</v>
      </c>
      <c r="E20" s="71">
        <f t="shared" ref="E20:F20" si="2">SUM(E21:E25)</f>
        <v>8184480</v>
      </c>
      <c r="F20" s="71">
        <f t="shared" si="2"/>
        <v>8184480</v>
      </c>
      <c r="G20" s="71">
        <f>SUM(G21:G25)</f>
        <v>8184480</v>
      </c>
      <c r="H20" s="71">
        <f t="shared" ref="H20:I20" si="3">SUM(H21:H25)</f>
        <v>0</v>
      </c>
      <c r="I20" s="71">
        <f t="shared" si="3"/>
        <v>0</v>
      </c>
    </row>
    <row r="21" spans="2:9" s="13" customFormat="1" ht="12.75" x14ac:dyDescent="0.2">
      <c r="B21" s="68">
        <v>11</v>
      </c>
      <c r="C21" s="305" t="s">
        <v>1329</v>
      </c>
      <c r="D21" s="306" t="s">
        <v>1330</v>
      </c>
      <c r="E21" s="72">
        <f>SUMIF(Adat!$Y:$Y,CONCATENATE(61,"09121"),Adat!$E:$E)*-1</f>
        <v>0</v>
      </c>
      <c r="F21" s="72">
        <f>SUMIF(Adat!$Y:$Y,CONCATENATE(60,"09121"),Adat!$E:$E)*-1+E21</f>
        <v>0</v>
      </c>
      <c r="G21" s="72">
        <f>SUMIF(Adat!$Z:$Z,CONCATENATE("(KÖT)","09121"),Adat!$E:$E)*-1</f>
        <v>0</v>
      </c>
      <c r="H21" s="72">
        <f>SUMIF(Adat!$Z:$Z,CONCATENATE("(ÖNV)","09121"),Adat!$E:$E)*-1</f>
        <v>0</v>
      </c>
      <c r="I21" s="72">
        <f>SUMIF(Adat!$Z:$Z,CONCATENATE("(ÁIG)","09121"),Adat!$E:$E)*-1</f>
        <v>0</v>
      </c>
    </row>
    <row r="22" spans="2:9" s="13" customFormat="1" ht="12.75" x14ac:dyDescent="0.2">
      <c r="B22" s="70">
        <v>12</v>
      </c>
      <c r="C22" s="305" t="s">
        <v>1331</v>
      </c>
      <c r="D22" s="306" t="s">
        <v>1332</v>
      </c>
      <c r="E22" s="72">
        <f>SUMIF(Adat!$Y:$Y,CONCATENATE(61,"09131"),Adat!$E:$E)*-1</f>
        <v>0</v>
      </c>
      <c r="F22" s="72">
        <f>SUMIF(Adat!$Y:$Y,CONCATENATE(60,"09131"),Adat!$E:$E)*-1+E22</f>
        <v>0</v>
      </c>
      <c r="G22" s="72">
        <f>SUMIF(Adat!$Z:$Z,CONCATENATE("(KÖT)","09131"),Adat!$E:$E)*-1</f>
        <v>0</v>
      </c>
      <c r="H22" s="72">
        <f>SUMIF(Adat!$Z:$Z,CONCATENATE("(ÖNV)","09131"),Adat!$E:$E)*-1</f>
        <v>0</v>
      </c>
      <c r="I22" s="72">
        <f>SUMIF(Adat!$Z:$Z,CONCATENATE("(ÁIG)","09131"),Adat!$E:$E)*-1</f>
        <v>0</v>
      </c>
    </row>
    <row r="23" spans="2:9" s="13" customFormat="1" ht="12.75" x14ac:dyDescent="0.2">
      <c r="B23" s="68">
        <v>13</v>
      </c>
      <c r="C23" s="305" t="s">
        <v>1333</v>
      </c>
      <c r="D23" s="306" t="s">
        <v>1334</v>
      </c>
      <c r="E23" s="72">
        <f>SUMIF(Adat!$Y:$Y,CONCATENATE(61,"09141"),Adat!$E:$E)*-1</f>
        <v>0</v>
      </c>
      <c r="F23" s="72">
        <f>SUMIF(Adat!$Y:$Y,CONCATENATE(60,"09141"),Adat!$E:$E)*-1+E23</f>
        <v>0</v>
      </c>
      <c r="G23" s="72">
        <f>SUMIF(Adat!$Z:$Z,CONCATENATE("(KÖT)","09141"),Adat!$E:$E)*-1</f>
        <v>0</v>
      </c>
      <c r="H23" s="72">
        <f>SUMIF(Adat!$Z:$Z,CONCATENATE("(ÖNV)","09141"),Adat!$E:$E)*-1</f>
        <v>0</v>
      </c>
      <c r="I23" s="72">
        <f>SUMIF(Adat!$Z:$Z,CONCATENATE("(ÁIG)","09141"),Adat!$E:$E)*-1</f>
        <v>0</v>
      </c>
    </row>
    <row r="24" spans="2:9" s="13" customFormat="1" ht="12.75" x14ac:dyDescent="0.2">
      <c r="B24" s="70">
        <v>14</v>
      </c>
      <c r="C24" s="305" t="s">
        <v>1335</v>
      </c>
      <c r="D24" s="306" t="s">
        <v>1336</v>
      </c>
      <c r="E24" s="72">
        <f>SUMIF(Adat!$Y:$Y,CONCATENATE(61,"09151"),Adat!$E:$E)*-1</f>
        <v>0</v>
      </c>
      <c r="F24" s="72">
        <f>SUMIF(Adat!$Y:$Y,CONCATENATE(60,"09151"),Adat!$E:$E)*-1+E24</f>
        <v>0</v>
      </c>
      <c r="G24" s="72">
        <f>SUMIF(Adat!$Z:$Z,CONCATENATE("(KÖT)","09151"),Adat!$E:$E)*-1</f>
        <v>0</v>
      </c>
      <c r="H24" s="72">
        <f>SUMIF(Adat!$Z:$Z,CONCATENATE("(ÖNV)","09151"),Adat!$E:$E)*-1</f>
        <v>0</v>
      </c>
      <c r="I24" s="72">
        <f>SUMIF(Adat!$Z:$Z,CONCATENATE("(ÁIG)","09151"),Adat!$E:$E)*-1</f>
        <v>0</v>
      </c>
    </row>
    <row r="25" spans="2:9" s="13" customFormat="1" ht="12.75" x14ac:dyDescent="0.2">
      <c r="B25" s="68">
        <v>15</v>
      </c>
      <c r="C25" s="305" t="s">
        <v>1278</v>
      </c>
      <c r="D25" s="306" t="s">
        <v>1337</v>
      </c>
      <c r="E25" s="72">
        <f>SUMIF(Adat!$Y:$Y,CONCATENATE(61,"09161"),Adat!$E:$E)*-1</f>
        <v>8184480</v>
      </c>
      <c r="F25" s="72">
        <f>SUMIF(Adat!$Y:$Y,CONCATENATE(60,"09161"),Adat!$E:$E)*-1+E25</f>
        <v>8184480</v>
      </c>
      <c r="G25" s="72">
        <f>SUMIF(Adat!$Z:$Z,CONCATENATE("(KÖT)","09161"),Adat!$E:$E)*-1</f>
        <v>8184480</v>
      </c>
      <c r="H25" s="72">
        <f>SUMIF(Adat!$Z:$Z,CONCATENATE("(ÖNV)","09161"),Adat!$E:$E)*-1</f>
        <v>0</v>
      </c>
      <c r="I25" s="72">
        <f>SUMIF(Adat!$Z:$Z,CONCATENATE("(ÁIG)","09161"),Adat!$E:$E)*-1</f>
        <v>0</v>
      </c>
    </row>
    <row r="26" spans="2:9" s="13" customFormat="1" ht="12.75" x14ac:dyDescent="0.2">
      <c r="B26" s="68">
        <v>17</v>
      </c>
      <c r="C26" s="79" t="s">
        <v>24</v>
      </c>
      <c r="D26" s="304" t="s">
        <v>449</v>
      </c>
      <c r="E26" s="71">
        <f t="shared" ref="E26:F26" si="4">SUM(E27:E31)</f>
        <v>104900566</v>
      </c>
      <c r="F26" s="71">
        <f t="shared" si="4"/>
        <v>74340963</v>
      </c>
      <c r="G26" s="71">
        <f>SUM(G27:G31)</f>
        <v>74340963</v>
      </c>
      <c r="H26" s="71">
        <f t="shared" ref="H26:I26" si="5">SUM(H27:H31)</f>
        <v>0</v>
      </c>
      <c r="I26" s="71">
        <f t="shared" si="5"/>
        <v>0</v>
      </c>
    </row>
    <row r="27" spans="2:9" s="13" customFormat="1" ht="12.75" x14ac:dyDescent="0.2">
      <c r="B27" s="70">
        <v>18</v>
      </c>
      <c r="C27" s="305" t="s">
        <v>1339</v>
      </c>
      <c r="D27" s="306" t="s">
        <v>1340</v>
      </c>
      <c r="E27" s="72">
        <f>SUMIF(Adat!$Y:$Y,CONCATENATE(61,"09211"),Adat!$E:$E)*-1</f>
        <v>104900566</v>
      </c>
      <c r="F27" s="72">
        <f>SUMIF(Adat!$Y:$Y,CONCATENATE(60,"09211"),Adat!$E:$E)*-1+E27</f>
        <v>39811000</v>
      </c>
      <c r="G27" s="72">
        <f>SUMIF(Adat!$Z:$Z,CONCATENATE("(KÖT)","09211"),Adat!$E:$E)*-1</f>
        <v>39811000</v>
      </c>
      <c r="H27" s="72">
        <f>SUMIF(Adat!$Z:$Z,CONCATENATE("(ÖNV)","09211"),Adat!$E:$E)*-1</f>
        <v>0</v>
      </c>
      <c r="I27" s="72">
        <f>SUMIF(Adat!$Z:$Z,CONCATENATE("(ÁIG)","09211"),Adat!$E:$E)*-1</f>
        <v>0</v>
      </c>
    </row>
    <row r="28" spans="2:9" s="13" customFormat="1" ht="12.75" x14ac:dyDescent="0.2">
      <c r="B28" s="68">
        <v>19</v>
      </c>
      <c r="C28" s="305" t="s">
        <v>1341</v>
      </c>
      <c r="D28" s="306" t="s">
        <v>1342</v>
      </c>
      <c r="E28" s="72">
        <f>SUMIF(Adat!$Y:$Y,CONCATENATE(61,"09221"),Adat!$E:$E)*-1</f>
        <v>0</v>
      </c>
      <c r="F28" s="72">
        <f>SUMIF(Adat!$Y:$Y,CONCATENATE(60,"09221"),Adat!$E:$E)*-1+E28</f>
        <v>0</v>
      </c>
      <c r="G28" s="72">
        <f>SUMIF(Adat!$Z:$Z,CONCATENATE("(KÖT)","09221"),Adat!$E:$E)*-1</f>
        <v>0</v>
      </c>
      <c r="H28" s="72">
        <f>SUMIF(Adat!$Z:$Z,CONCATENATE("(ÖNV)","09221"),Adat!$E:$E)*-1</f>
        <v>0</v>
      </c>
      <c r="I28" s="72">
        <f>SUMIF(Adat!$Z:$Z,CONCATENATE("(ÁIG)","09221"),Adat!$E:$E)*-1</f>
        <v>0</v>
      </c>
    </row>
    <row r="29" spans="2:9" s="13" customFormat="1" ht="12.75" x14ac:dyDescent="0.2">
      <c r="B29" s="70">
        <v>20</v>
      </c>
      <c r="C29" s="305" t="s">
        <v>1343</v>
      </c>
      <c r="D29" s="306" t="s">
        <v>1344</v>
      </c>
      <c r="E29" s="72">
        <f>SUMIF(Adat!$Y:$Y,CONCATENATE(61,"09231"),Adat!$E:$E)*-1</f>
        <v>0</v>
      </c>
      <c r="F29" s="72">
        <f>SUMIF(Adat!$Y:$Y,CONCATENATE(60,"09231"),Adat!$E:$E)*-1+E29</f>
        <v>0</v>
      </c>
      <c r="G29" s="72">
        <f>SUMIF(Adat!$Z:$Z,CONCATENATE("(KÖT)","09231"),Adat!$E:$E)*-1</f>
        <v>0</v>
      </c>
      <c r="H29" s="72">
        <f>SUMIF(Adat!$Z:$Z,CONCATENATE("(ÖNV)","09231"),Adat!$E:$E)*-1</f>
        <v>0</v>
      </c>
      <c r="I29" s="72">
        <f>SUMIF(Adat!$Z:$Z,CONCATENATE("(ÁIG)","09231"),Adat!$E:$E)*-1</f>
        <v>0</v>
      </c>
    </row>
    <row r="30" spans="2:9" s="13" customFormat="1" ht="12.75" x14ac:dyDescent="0.2">
      <c r="B30" s="68">
        <v>21</v>
      </c>
      <c r="C30" s="305" t="s">
        <v>1345</v>
      </c>
      <c r="D30" s="306" t="s">
        <v>1346</v>
      </c>
      <c r="E30" s="72">
        <f>SUMIF(Adat!$Y:$Y,CONCATENATE(61,"09241"),Adat!$E:$E)*-1</f>
        <v>0</v>
      </c>
      <c r="F30" s="72">
        <f>SUMIF(Adat!$Y:$Y,CONCATENATE(60,"09241"),Adat!$E:$E)*-1+E30</f>
        <v>0</v>
      </c>
      <c r="G30" s="72">
        <f>SUMIF(Adat!$Z:$Z,CONCATENATE("(KÖT)","09241"),Adat!$E:$E)*-1</f>
        <v>0</v>
      </c>
      <c r="H30" s="72">
        <f>SUMIF(Adat!$Z:$Z,CONCATENATE("(ÖNV)","09241"),Adat!$E:$E)*-1</f>
        <v>0</v>
      </c>
      <c r="I30" s="72">
        <f>SUMIF(Adat!$Z:$Z,CONCATENATE("(ÁIG)","09241"),Adat!$E:$E)*-1</f>
        <v>0</v>
      </c>
    </row>
    <row r="31" spans="2:9" s="13" customFormat="1" ht="12.75" x14ac:dyDescent="0.2">
      <c r="B31" s="70">
        <v>22</v>
      </c>
      <c r="C31" s="305" t="s">
        <v>1255</v>
      </c>
      <c r="D31" s="306" t="s">
        <v>1347</v>
      </c>
      <c r="E31" s="72">
        <f>SUMIF(Adat!$Y:$Y,CONCATENATE(61,"09251"),Adat!$E:$E)*-1</f>
        <v>0</v>
      </c>
      <c r="F31" s="72">
        <f>SUMIF(Adat!$Y:$Y,CONCATENATE(60,"09251"),Adat!$E:$E)*-1+E31</f>
        <v>34529963</v>
      </c>
      <c r="G31" s="72">
        <f>SUMIF(Adat!$Z:$Z,CONCATENATE("(KÖT)","09251"),Adat!$E:$E)*-1</f>
        <v>34529963</v>
      </c>
      <c r="H31" s="72">
        <f>SUMIF(Adat!$Z:$Z,CONCATENATE("(ÖNV)","09251"),Adat!$E:$E)*-1</f>
        <v>0</v>
      </c>
      <c r="I31" s="72">
        <f>SUMIF(Adat!$Z:$Z,CONCATENATE("(ÁIG)","09251"),Adat!$E:$E)*-1</f>
        <v>0</v>
      </c>
    </row>
    <row r="32" spans="2:9" s="13" customFormat="1" ht="12.75" x14ac:dyDescent="0.2">
      <c r="B32" s="70">
        <v>24</v>
      </c>
      <c r="C32" s="79" t="s">
        <v>27</v>
      </c>
      <c r="D32" s="304" t="s">
        <v>328</v>
      </c>
      <c r="E32" s="71">
        <f t="shared" ref="E32:F32" si="6">SUM(E33:E38)</f>
        <v>341800000</v>
      </c>
      <c r="F32" s="71">
        <f t="shared" si="6"/>
        <v>341800000</v>
      </c>
      <c r="G32" s="71">
        <f>SUM(G33:G38)</f>
        <v>341800000</v>
      </c>
      <c r="H32" s="71">
        <f t="shared" ref="H32:I32" si="7">SUM(H33:H38)</f>
        <v>0</v>
      </c>
      <c r="I32" s="71">
        <f t="shared" si="7"/>
        <v>0</v>
      </c>
    </row>
    <row r="33" spans="2:13" s="13" customFormat="1" ht="12.75" x14ac:dyDescent="0.2">
      <c r="B33" s="68">
        <v>25</v>
      </c>
      <c r="C33" s="305" t="s">
        <v>1348</v>
      </c>
      <c r="D33" s="306" t="s">
        <v>1349</v>
      </c>
      <c r="E33" s="72">
        <f>SUMIF(Adat!$Y:$Y,CONCATENATE(61,"093111"),Adat!$E:$E)*-1</f>
        <v>0</v>
      </c>
      <c r="F33" s="72">
        <f>SUMIF(Adat!$Y:$Y,CONCATENATE(60,"093111"),Adat!$E:$E)*-1+E33</f>
        <v>0</v>
      </c>
      <c r="G33" s="72">
        <f>SUMIF(Adat!$Z:$Z,CONCATENATE("(KÖT)","093111"),Adat!$E:$E)*-1</f>
        <v>0</v>
      </c>
      <c r="H33" s="72">
        <f>SUMIF(Adat!$Z:$Z,CONCATENATE("(ÖNV)","093111"),Adat!$E:$E)*-1</f>
        <v>0</v>
      </c>
      <c r="I33" s="72">
        <f>SUMIF(Adat!$Z:$Z,CONCATENATE("(ÁIG)","093111"),Adat!$E:$E)*-1</f>
        <v>0</v>
      </c>
    </row>
    <row r="34" spans="2:13" s="13" customFormat="1" ht="12.75" x14ac:dyDescent="0.2">
      <c r="B34" s="70">
        <v>26</v>
      </c>
      <c r="C34" s="305" t="s">
        <v>1259</v>
      </c>
      <c r="D34" s="306" t="s">
        <v>1350</v>
      </c>
      <c r="E34" s="72">
        <f>SUMIF(Adat!$Y:$Y,CONCATENATE(61,"09341"),Adat!$E:$E)*-1</f>
        <v>175000000</v>
      </c>
      <c r="F34" s="72">
        <f>SUMIF(Adat!$Y:$Y,CONCATENATE(60,"09341"),Adat!$E:$E)*-1+E34</f>
        <v>175000000</v>
      </c>
      <c r="G34" s="72">
        <f>SUMIF(Adat!$Z:$Z,CONCATENATE("(KÖT)","09341"),Adat!$E:$E)*-1</f>
        <v>175000000</v>
      </c>
      <c r="H34" s="72">
        <f>SUMIF(Adat!$Z:$Z,CONCATENATE("(ÖNV)","09341"),Adat!$E:$E)*-1</f>
        <v>0</v>
      </c>
      <c r="I34" s="72">
        <f>SUMIF(Adat!$Z:$Z,CONCATENATE("(ÁIG)","09341"),Adat!$E:$E)*-1</f>
        <v>0</v>
      </c>
    </row>
    <row r="35" spans="2:13" s="13" customFormat="1" ht="12.75" x14ac:dyDescent="0.2">
      <c r="B35" s="68">
        <v>27</v>
      </c>
      <c r="C35" s="305" t="s">
        <v>1260</v>
      </c>
      <c r="D35" s="306" t="s">
        <v>1351</v>
      </c>
      <c r="E35" s="72">
        <f>SUMIF(Adat!$Y:$Y,CONCATENATE(61,"093511"),Adat!$E:$E)*-1</f>
        <v>150000000</v>
      </c>
      <c r="F35" s="72">
        <f>SUMIF(Adat!$Y:$Y,CONCATENATE(60,"093511"),Adat!$E:$E)*-1+E35</f>
        <v>150000000</v>
      </c>
      <c r="G35" s="72">
        <f>SUMIF(Adat!$Z:$Z,CONCATENATE("(KÖT)","093511"),Adat!$E:$E)*-1</f>
        <v>150000000</v>
      </c>
      <c r="H35" s="72">
        <f>SUMIF(Adat!$Z:$Z,CONCATENATE("(ÖNV)","093511"),Adat!$E:$E)*-1</f>
        <v>0</v>
      </c>
      <c r="I35" s="72">
        <f>SUMIF(Adat!$Z:$Z,CONCATENATE("(ÁIG)","093511"),Adat!$E:$E)*-1</f>
        <v>0</v>
      </c>
    </row>
    <row r="36" spans="2:13" s="13" customFormat="1" ht="12.75" x14ac:dyDescent="0.2">
      <c r="B36" s="70">
        <v>28</v>
      </c>
      <c r="C36" s="305" t="s">
        <v>1352</v>
      </c>
      <c r="D36" s="306" t="s">
        <v>1353</v>
      </c>
      <c r="E36" s="72">
        <f>SUMIF(Adat!$Y:$Y,CONCATENATE(61,"093521"),Adat!$E:$E)*-1</f>
        <v>0</v>
      </c>
      <c r="F36" s="72">
        <f>SUMIF(Adat!$Y:$Y,CONCATENATE(60,"093521"),Adat!$E:$E)*-1+E36</f>
        <v>0</v>
      </c>
      <c r="G36" s="72">
        <f>SUMIF(Adat!$Z:$Z,CONCATENATE("(KÖT)","093521"),Adat!$E:$E)*-1</f>
        <v>0</v>
      </c>
      <c r="H36" s="72">
        <f>SUMIF(Adat!$Z:$Z,CONCATENATE("(ÖNV)","093521"),Adat!$E:$E)*-1</f>
        <v>0</v>
      </c>
      <c r="I36" s="72">
        <f>SUMIF(Adat!$Z:$Z,CONCATENATE("(ÁIG)","093521"),Adat!$E:$E)*-1</f>
        <v>0</v>
      </c>
    </row>
    <row r="37" spans="2:13" s="13" customFormat="1" ht="12.75" x14ac:dyDescent="0.2">
      <c r="B37" s="68">
        <v>29</v>
      </c>
      <c r="C37" s="305" t="s">
        <v>1292</v>
      </c>
      <c r="D37" s="306" t="s">
        <v>1354</v>
      </c>
      <c r="E37" s="72">
        <f>SUMIF(Adat!$Y:$Y,CONCATENATE(61,"093551"),Adat!$E:$E)*-1</f>
        <v>12000000</v>
      </c>
      <c r="F37" s="72">
        <f>SUMIF(Adat!$Y:$Y,CONCATENATE(60,"093551"),Adat!$E:$E)*-1+E37</f>
        <v>12000000</v>
      </c>
      <c r="G37" s="72">
        <f>SUMIF(Adat!$Z:$Z,CONCATENATE("(KÖT)","093551"),Adat!$E:$E)*-1</f>
        <v>12000000</v>
      </c>
      <c r="H37" s="72">
        <f>SUMIF(Adat!$Z:$Z,CONCATENATE("(ÖNV)","093551"),Adat!$E:$E)*-1</f>
        <v>0</v>
      </c>
      <c r="I37" s="72">
        <f>SUMIF(Adat!$Z:$Z,CONCATENATE("(ÁIG)","093551"),Adat!$E:$E)*-1</f>
        <v>0</v>
      </c>
    </row>
    <row r="38" spans="2:13" s="13" customFormat="1" ht="12.75" x14ac:dyDescent="0.2">
      <c r="B38" s="70">
        <v>30</v>
      </c>
      <c r="C38" s="305" t="s">
        <v>1293</v>
      </c>
      <c r="D38" s="306" t="s">
        <v>1355</v>
      </c>
      <c r="E38" s="72">
        <f>SUMIF(Adat!$Y:$Y,CONCATENATE(61,"09361"),Adat!$E:$E)*-1</f>
        <v>4800000</v>
      </c>
      <c r="F38" s="72">
        <f>SUMIF(Adat!$Y:$Y,CONCATENATE(60,"09361"),Adat!$E:$E)*-1+E38</f>
        <v>4800000</v>
      </c>
      <c r="G38" s="72">
        <f>SUMIF(Adat!$Z:$Z,CONCATENATE("(KÖT)","09361"),Adat!$E:$E)*-1</f>
        <v>4800000</v>
      </c>
      <c r="H38" s="72">
        <f>SUMIF(Adat!$Z:$Z,CONCATENATE("(ÖNV)","09361"),Adat!$E:$E)*-1</f>
        <v>0</v>
      </c>
      <c r="I38" s="72">
        <f>SUMIF(Adat!$Z:$Z,CONCATENATE("(ÁIG)","09361"),Adat!$E:$E)*-1</f>
        <v>0</v>
      </c>
    </row>
    <row r="39" spans="2:13" s="13" customFormat="1" ht="12.75" x14ac:dyDescent="0.2">
      <c r="B39" s="68">
        <v>31</v>
      </c>
      <c r="C39" s="79" t="s">
        <v>30</v>
      </c>
      <c r="D39" s="304" t="s">
        <v>329</v>
      </c>
      <c r="E39" s="71">
        <f>SUM(E40:E52)</f>
        <v>189182240</v>
      </c>
      <c r="F39" s="71">
        <f t="shared" ref="F39" si="8">SUM(F40:F52)</f>
        <v>189182240</v>
      </c>
      <c r="G39" s="71">
        <f>SUM(G40:G52)</f>
        <v>151740800</v>
      </c>
      <c r="H39" s="71">
        <f t="shared" ref="H39:I39" si="9">SUM(H40:H52)</f>
        <v>37441440</v>
      </c>
      <c r="I39" s="71">
        <f t="shared" si="9"/>
        <v>0</v>
      </c>
      <c r="M39" s="46"/>
    </row>
    <row r="40" spans="2:13" s="13" customFormat="1" ht="12.75" x14ac:dyDescent="0.2">
      <c r="B40" s="70">
        <v>32</v>
      </c>
      <c r="C40" s="305" t="s">
        <v>1309</v>
      </c>
      <c r="D40" s="306" t="s">
        <v>1356</v>
      </c>
      <c r="E40" s="72">
        <f>SUMIF(Adat!$Y:$Y,CONCATENATE(61,"094011"),Adat!$E:$E)*-1</f>
        <v>0</v>
      </c>
      <c r="F40" s="72">
        <f>SUMIF(Adat!$Y:$Y,CONCATENATE(60,"094011"),Adat!$E:$E)*-1+E40</f>
        <v>0</v>
      </c>
      <c r="G40" s="72">
        <f>SUMIF(Adat!$Z:$Z,CONCATENATE("(KÖT)","094011"),Adat!$E:$E)*-1</f>
        <v>0</v>
      </c>
      <c r="H40" s="72">
        <f>SUMIF(Adat!$Z:$Z,CONCATENATE("(ÖNV)","094011"),Adat!$E:$E)*-1</f>
        <v>0</v>
      </c>
      <c r="I40" s="72">
        <f>SUMIF(Adat!$Z:$Z,CONCATENATE("(ÁIG)","094011"),Adat!$E:$E)*-1</f>
        <v>0</v>
      </c>
    </row>
    <row r="41" spans="2:13" s="13" customFormat="1" ht="12.75" x14ac:dyDescent="0.2">
      <c r="B41" s="68">
        <v>33</v>
      </c>
      <c r="C41" s="305" t="s">
        <v>1279</v>
      </c>
      <c r="D41" s="306" t="s">
        <v>1357</v>
      </c>
      <c r="E41" s="72">
        <f>SUMIF(Adat!$Y:$Y,CONCATENATE(61,"094021"),Adat!$E:$E)*-1</f>
        <v>74960000</v>
      </c>
      <c r="F41" s="72">
        <f>SUMIF(Adat!$Y:$Y,CONCATENATE(60,"094021"),Adat!$E:$E)*-1+E41</f>
        <v>74960000</v>
      </c>
      <c r="G41" s="72">
        <f>SUMIF(Adat!$Z:$Z,CONCATENATE("(KÖT)","094021"),Adat!$E:$E)*-1</f>
        <v>74960000</v>
      </c>
      <c r="H41" s="72">
        <f>SUMIF(Adat!$Z:$Z,CONCATENATE("(ÖNV)","094021"),Adat!$E:$E)*-1</f>
        <v>0</v>
      </c>
      <c r="I41" s="72">
        <f>SUMIF(Adat!$Z:$Z,CONCATENATE("(ÁIG)","094021"),Adat!$E:$E)*-1</f>
        <v>0</v>
      </c>
    </row>
    <row r="42" spans="2:13" s="13" customFormat="1" ht="12.75" x14ac:dyDescent="0.2">
      <c r="B42" s="70">
        <v>34</v>
      </c>
      <c r="C42" s="305" t="s">
        <v>1272</v>
      </c>
      <c r="D42" s="306" t="s">
        <v>1358</v>
      </c>
      <c r="E42" s="72">
        <f>SUMIF(Adat!$Y:$Y,CONCATENATE(61,"094031"),Adat!$E:$E)*-1</f>
        <v>15000000</v>
      </c>
      <c r="F42" s="72">
        <f>SUMIF(Adat!$Y:$Y,CONCATENATE(60,"094031"),Adat!$E:$E)*-1+E42</f>
        <v>15000000</v>
      </c>
      <c r="G42" s="72">
        <f>SUMIF(Adat!$Z:$Z,CONCATENATE("(KÖT)","094031"),Adat!$E:$E)*-1</f>
        <v>15000000</v>
      </c>
      <c r="H42" s="72">
        <f>SUMIF(Adat!$Z:$Z,CONCATENATE("(ÖNV)","094031"),Adat!$E:$E)*-1</f>
        <v>0</v>
      </c>
      <c r="I42" s="72">
        <f>SUMIF(Adat!$Z:$Z,CONCATENATE("(ÁIG)","094031"),Adat!$E:$E)*-1</f>
        <v>0</v>
      </c>
    </row>
    <row r="43" spans="2:13" s="13" customFormat="1" ht="12.75" x14ac:dyDescent="0.2">
      <c r="B43" s="68">
        <v>35</v>
      </c>
      <c r="C43" s="305" t="s">
        <v>1359</v>
      </c>
      <c r="D43" s="306" t="s">
        <v>1360</v>
      </c>
      <c r="E43" s="72">
        <f>SUMIF(Adat!$Y:$Y,CONCATENATE(61,"094041"),Adat!$E:$E)*-1</f>
        <v>0</v>
      </c>
      <c r="F43" s="72">
        <f>SUMIF(Adat!$Y:$Y,CONCATENATE(60,"094041"),Adat!$E:$E)*-1+E43</f>
        <v>0</v>
      </c>
      <c r="G43" s="72">
        <f>SUMIF(Adat!$Z:$Z,CONCATENATE("(KÖT)","094041"),Adat!$E:$E)*-1</f>
        <v>0</v>
      </c>
      <c r="H43" s="72">
        <f>SUMIF(Adat!$Z:$Z,CONCATENATE("(ÖNV)","094041"),Adat!$E:$E)*-1</f>
        <v>0</v>
      </c>
      <c r="I43" s="72">
        <f>SUMIF(Adat!$Z:$Z,CONCATENATE("(ÁIG)","094041"),Adat!$E:$E)*-1</f>
        <v>0</v>
      </c>
    </row>
    <row r="44" spans="2:13" s="13" customFormat="1" ht="12.75" x14ac:dyDescent="0.2">
      <c r="B44" s="70">
        <v>36</v>
      </c>
      <c r="C44" s="305" t="s">
        <v>1261</v>
      </c>
      <c r="D44" s="306" t="s">
        <v>1361</v>
      </c>
      <c r="E44" s="72">
        <f>SUMIF(Adat!$Y:$Y,CONCATENATE(61,"094051"),Adat!$E:$E)*-1</f>
        <v>63372000</v>
      </c>
      <c r="F44" s="72">
        <f>SUMIF(Adat!$Y:$Y,CONCATENATE(60,"094051"),Adat!$E:$E)*-1+E44</f>
        <v>63372000</v>
      </c>
      <c r="G44" s="72">
        <f>SUMIF(Adat!$Z:$Z,CONCATENATE("(KÖT)","094051"),Adat!$E:$E)*-1</f>
        <v>28380000</v>
      </c>
      <c r="H44" s="72">
        <f>SUMIF(Adat!$Z:$Z,CONCATENATE("(ÖNV)","094051"),Adat!$E:$E)*-1</f>
        <v>34992000</v>
      </c>
      <c r="I44" s="72">
        <f>SUMIF(Adat!$Z:$Z,CONCATENATE("(ÁIG)","094051"),Adat!$E:$E)*-1</f>
        <v>0</v>
      </c>
    </row>
    <row r="45" spans="2:13" s="13" customFormat="1" ht="12.75" x14ac:dyDescent="0.2">
      <c r="B45" s="68">
        <v>37</v>
      </c>
      <c r="C45" s="305" t="s">
        <v>1273</v>
      </c>
      <c r="D45" s="306" t="s">
        <v>1362</v>
      </c>
      <c r="E45" s="72">
        <f>SUMIF(Adat!$Y:$Y,CONCATENATE(61,"094061"),Adat!$E:$E)*-1</f>
        <v>20010240</v>
      </c>
      <c r="F45" s="72">
        <f>SUMIF(Adat!$Y:$Y,CONCATENATE(60,"094061"),Adat!$E:$E)*-1+E45</f>
        <v>20010240</v>
      </c>
      <c r="G45" s="72">
        <f>SUMIF(Adat!$Z:$Z,CONCATENATE("(KÖT)","094061"),Adat!$E:$E)*-1</f>
        <v>17560800</v>
      </c>
      <c r="H45" s="72">
        <f>SUMIF(Adat!$Z:$Z,CONCATENATE("(ÖNV)","094061"),Adat!$E:$E)*-1</f>
        <v>2449440</v>
      </c>
      <c r="I45" s="72">
        <f>SUMIF(Adat!$Z:$Z,CONCATENATE("(ÁIG)","094061"),Adat!$E:$E)*-1</f>
        <v>0</v>
      </c>
    </row>
    <row r="46" spans="2:13" s="13" customFormat="1" ht="12.75" x14ac:dyDescent="0.2">
      <c r="B46" s="70">
        <v>38</v>
      </c>
      <c r="C46" s="305" t="s">
        <v>1363</v>
      </c>
      <c r="D46" s="306" t="s">
        <v>1364</v>
      </c>
      <c r="E46" s="72">
        <f>SUMIF(Adat!$Y:$Y,CONCATENATE(61,"094071"),Adat!$E:$E)*-1</f>
        <v>15840000</v>
      </c>
      <c r="F46" s="72">
        <f>SUMIF(Adat!$Y:$Y,CONCATENATE(60,"094071"),Adat!$E:$E)*-1+E46</f>
        <v>15840000</v>
      </c>
      <c r="G46" s="72">
        <f>SUMIF(Adat!$Z:$Z,CONCATENATE("(KÖT)","094071"),Adat!$E:$E)*-1</f>
        <v>15840000</v>
      </c>
      <c r="H46" s="72">
        <f>SUMIF(Adat!$Z:$Z,CONCATENATE("(ÖNV)","094071"),Adat!$E:$E)*-1</f>
        <v>0</v>
      </c>
      <c r="I46" s="72">
        <f>SUMIF(Adat!$Z:$Z,CONCATENATE("(ÁIG)","094071"),Adat!$E:$E)*-1</f>
        <v>0</v>
      </c>
    </row>
    <row r="47" spans="2:13" s="13" customFormat="1" ht="12.75" x14ac:dyDescent="0.2">
      <c r="B47" s="68">
        <v>39</v>
      </c>
      <c r="C47" s="305" t="s">
        <v>1306</v>
      </c>
      <c r="D47" s="306" t="s">
        <v>1365</v>
      </c>
      <c r="E47" s="72">
        <f>SUMIF(Adat!$Y:$Y,CONCATENATE(61,"0940811"),Adat!$E:$E)*-1</f>
        <v>0</v>
      </c>
      <c r="F47" s="72">
        <f>SUMIF(Adat!$Y:$Y,CONCATENATE(60,"0940811"),Adat!$E:$E)*-1+E47</f>
        <v>0</v>
      </c>
      <c r="G47" s="72">
        <f>SUMIF(Adat!$Z:$Z,CONCATENATE("(KÖT)","0940811"),Adat!$E:$E)*-1</f>
        <v>0</v>
      </c>
      <c r="H47" s="72">
        <f>SUMIF(Adat!$Z:$Z,CONCATENATE("(ÖNV)","0940811"),Adat!$E:$E)*-1</f>
        <v>0</v>
      </c>
      <c r="I47" s="72">
        <f>SUMIF(Adat!$Z:$Z,CONCATENATE("(ÁIG)","0940811"),Adat!$E:$E)*-1</f>
        <v>0</v>
      </c>
    </row>
    <row r="48" spans="2:13" s="13" customFormat="1" ht="12.75" x14ac:dyDescent="0.2">
      <c r="B48" s="70">
        <v>40</v>
      </c>
      <c r="C48" s="305" t="s">
        <v>1295</v>
      </c>
      <c r="D48" s="306" t="s">
        <v>1366</v>
      </c>
      <c r="E48" s="72">
        <f>SUMIF(Adat!$Y:$Y,CONCATENATE(61,"0940821"),Adat!$E:$E)*-1</f>
        <v>0</v>
      </c>
      <c r="F48" s="72">
        <f>SUMIF(Adat!$Y:$Y,CONCATENATE(60,"0940821"),Adat!$E:$E)*-1+E48</f>
        <v>0</v>
      </c>
      <c r="G48" s="72">
        <f>SUMIF(Adat!$Z:$Z,CONCATENATE("(KÖT)","0940821"),Adat!$E:$E)*-1</f>
        <v>0</v>
      </c>
      <c r="H48" s="72">
        <f>SUMIF(Adat!$Z:$Z,CONCATENATE("(ÖNV)","0940821"),Adat!$E:$E)*-1</f>
        <v>0</v>
      </c>
      <c r="I48" s="72">
        <f>SUMIF(Adat!$Z:$Z,CONCATENATE("(ÁIG)","0940821"),Adat!$E:$E)*-1</f>
        <v>0</v>
      </c>
    </row>
    <row r="49" spans="2:9" s="13" customFormat="1" ht="12.75" x14ac:dyDescent="0.2">
      <c r="B49" s="70"/>
      <c r="C49" s="305" t="s">
        <v>1367</v>
      </c>
      <c r="D49" s="306" t="s">
        <v>1368</v>
      </c>
      <c r="E49" s="72">
        <f>SUMIF(Adat!$Y:$Y,CONCATENATE(61,"0940911"),Adat!$E:$E)*-1</f>
        <v>0</v>
      </c>
      <c r="F49" s="72">
        <f>SUMIF(Adat!$Y:$Y,CONCATENATE(60,"0940911"),Adat!$E:$E)*-1+E49</f>
        <v>0</v>
      </c>
      <c r="G49" s="72">
        <f>SUMIF(Adat!$Z:$Z,CONCATENATE("(KÖT)","0940911"),Adat!$E:$E)*-1</f>
        <v>0</v>
      </c>
      <c r="H49" s="72">
        <f>SUMIF(Adat!$Z:$Z,CONCATENATE("(ÖNV)","0940911"),Adat!$E:$E)*-1</f>
        <v>0</v>
      </c>
      <c r="I49" s="72">
        <f>SUMIF(Adat!$Z:$Z,CONCATENATE("(ÁIG)","0940911"),Adat!$E:$E)*-1</f>
        <v>0</v>
      </c>
    </row>
    <row r="50" spans="2:9" s="13" customFormat="1" ht="12.75" x14ac:dyDescent="0.2">
      <c r="B50" s="70"/>
      <c r="C50" s="305" t="s">
        <v>1369</v>
      </c>
      <c r="D50" s="306" t="s">
        <v>1370</v>
      </c>
      <c r="E50" s="72">
        <f>SUMIF(Adat!$Y:$Y,CONCATENATE(61,"0940921"),Adat!$E:$E)*-1</f>
        <v>0</v>
      </c>
      <c r="F50" s="72">
        <f>SUMIF(Adat!$Y:$Y,CONCATENATE(60,"0940921"),Adat!$E:$E)*-1+E50</f>
        <v>0</v>
      </c>
      <c r="G50" s="72">
        <f>SUMIF(Adat!$Z:$Z,CONCATENATE("(KÖT)","0940921"),Adat!$E:$E)*-1</f>
        <v>0</v>
      </c>
      <c r="H50" s="72">
        <f>SUMIF(Adat!$Z:$Z,CONCATENATE("(ÖNV)","0940921"),Adat!$E:$E)*-1</f>
        <v>0</v>
      </c>
      <c r="I50" s="72">
        <f>SUMIF(Adat!$Z:$Z,CONCATENATE("(ÁIG)","0940921"),Adat!$E:$E)*-1</f>
        <v>0</v>
      </c>
    </row>
    <row r="51" spans="2:9" s="13" customFormat="1" ht="12.75" x14ac:dyDescent="0.2">
      <c r="B51" s="68">
        <v>41</v>
      </c>
      <c r="C51" s="305" t="s">
        <v>1296</v>
      </c>
      <c r="D51" s="306" t="s">
        <v>1371</v>
      </c>
      <c r="E51" s="72">
        <f>SUMIF(Adat!$Y:$Y,CONCATENATE(61,"094101"),Adat!$E:$E)*-1</f>
        <v>0</v>
      </c>
      <c r="F51" s="72">
        <f>SUMIF(Adat!$Y:$Y,CONCATENATE(60,"094101"),Adat!$E:$E)*-1+E51</f>
        <v>0</v>
      </c>
      <c r="G51" s="72">
        <f>SUMIF(Adat!$Z:$Z,CONCATENATE("(KÖT)","094101"),Adat!$E:$E)*-1</f>
        <v>0</v>
      </c>
      <c r="H51" s="72">
        <f>SUMIF(Adat!$Z:$Z,CONCATENATE("(ÖNV)","094101"),Adat!$E:$E)*-1</f>
        <v>0</v>
      </c>
      <c r="I51" s="72">
        <f>SUMIF(Adat!$Z:$Z,CONCATENATE("(ÁIG)","094101"),Adat!$E:$E)*-1</f>
        <v>0</v>
      </c>
    </row>
    <row r="52" spans="2:9" s="13" customFormat="1" ht="12.75" x14ac:dyDescent="0.2">
      <c r="B52" s="70">
        <v>42</v>
      </c>
      <c r="C52" s="305" t="s">
        <v>1297</v>
      </c>
      <c r="D52" s="307" t="s">
        <v>1372</v>
      </c>
      <c r="E52" s="72">
        <f>SUMIF(Adat!$Y:$Y,CONCATENATE(61,"094111"),Adat!$E:$E)*-1</f>
        <v>0</v>
      </c>
      <c r="F52" s="72">
        <f>SUMIF(Adat!$Y:$Y,CONCATENATE(60,"094111"),Adat!$E:$E)*-1+E52</f>
        <v>0</v>
      </c>
      <c r="G52" s="72">
        <f>SUMIF(Adat!$Z:$Z,CONCATENATE("(KÖT)","094111"),Adat!$E:$E)*-1</f>
        <v>0</v>
      </c>
      <c r="H52" s="72">
        <f>SUMIF(Adat!$Z:$Z,CONCATENATE("(ÖNV)","094111"),Adat!$E:$E)*-1</f>
        <v>0</v>
      </c>
      <c r="I52" s="72">
        <f>SUMIF(Adat!$Z:$Z,CONCATENATE("(ÁIG)","094111"),Adat!$E:$E)*-1</f>
        <v>0</v>
      </c>
    </row>
    <row r="53" spans="2:9" s="13" customFormat="1" ht="12.75" x14ac:dyDescent="0.2">
      <c r="B53" s="68">
        <v>43</v>
      </c>
      <c r="C53" s="79" t="s">
        <v>33</v>
      </c>
      <c r="D53" s="304" t="s">
        <v>330</v>
      </c>
      <c r="E53" s="71">
        <f t="shared" ref="E53:F53" si="10">SUM(E54:E58)</f>
        <v>0</v>
      </c>
      <c r="F53" s="71">
        <f t="shared" si="10"/>
        <v>0</v>
      </c>
      <c r="G53" s="71">
        <f>SUM(G54:G58)</f>
        <v>0</v>
      </c>
      <c r="H53" s="71">
        <f t="shared" ref="H53:I53" si="11">SUM(H54:H58)</f>
        <v>0</v>
      </c>
      <c r="I53" s="71">
        <f t="shared" si="11"/>
        <v>0</v>
      </c>
    </row>
    <row r="54" spans="2:9" s="13" customFormat="1" ht="12.75" x14ac:dyDescent="0.2">
      <c r="B54" s="70">
        <v>44</v>
      </c>
      <c r="C54" s="305" t="s">
        <v>1373</v>
      </c>
      <c r="D54" s="306" t="s">
        <v>1374</v>
      </c>
      <c r="E54" s="72">
        <f>SUMIF(Adat!$Y:$Y,CONCATENATE(61,"09511"),Adat!$E:$E)*-1</f>
        <v>0</v>
      </c>
      <c r="F54" s="72">
        <f>SUMIF(Adat!$Y:$Y,CONCATENATE(60,"09511"),Adat!$E:$E)*-1+E54</f>
        <v>0</v>
      </c>
      <c r="G54" s="72">
        <f>SUMIF(Adat!$Z:$Z,CONCATENATE("(KÖT)","09511"),Adat!$E:$E)*-1</f>
        <v>0</v>
      </c>
      <c r="H54" s="72">
        <f>SUMIF(Adat!$Z:$Z,CONCATENATE("(ÖNV)","09511"),Adat!$E:$E)*-1</f>
        <v>0</v>
      </c>
      <c r="I54" s="72">
        <f>SUMIF(Adat!$Z:$Z,CONCATENATE("(ÁIG)","09511"),Adat!$E:$E)*-1</f>
        <v>0</v>
      </c>
    </row>
    <row r="55" spans="2:9" s="13" customFormat="1" ht="12.75" x14ac:dyDescent="0.2">
      <c r="B55" s="68">
        <v>45</v>
      </c>
      <c r="C55" s="305" t="s">
        <v>1294</v>
      </c>
      <c r="D55" s="306" t="s">
        <v>1375</v>
      </c>
      <c r="E55" s="72">
        <f>SUMIF(Adat!$Y:$Y,CONCATENATE(61,"09521"),Adat!$E:$E)*-1</f>
        <v>0</v>
      </c>
      <c r="F55" s="72">
        <f>SUMIF(Adat!$Y:$Y,CONCATENATE(60,"09521"),Adat!$E:$E)*-1+E55</f>
        <v>0</v>
      </c>
      <c r="G55" s="72">
        <f>SUMIF(Adat!$Z:$Z,CONCATENATE("(KÖT)","09521"),Adat!$E:$E)*-1</f>
        <v>0</v>
      </c>
      <c r="H55" s="72">
        <f>SUMIF(Adat!$Z:$Z,CONCATENATE("(ÖNV)","09521"),Adat!$E:$E)*-1</f>
        <v>0</v>
      </c>
      <c r="I55" s="72">
        <f>SUMIF(Adat!$Z:$Z,CONCATENATE("(ÁIG)","09521"),Adat!$E:$E)*-1</f>
        <v>0</v>
      </c>
    </row>
    <row r="56" spans="2:9" s="13" customFormat="1" ht="12.75" x14ac:dyDescent="0.2">
      <c r="B56" s="70">
        <v>46</v>
      </c>
      <c r="C56" s="305" t="s">
        <v>1376</v>
      </c>
      <c r="D56" s="306" t="s">
        <v>1377</v>
      </c>
      <c r="E56" s="72">
        <f>SUMIF(Adat!$Y:$Y,CONCATENATE(61,"09531"),Adat!$E:$E)*-1</f>
        <v>0</v>
      </c>
      <c r="F56" s="72">
        <f>SUMIF(Adat!$Y:$Y,CONCATENATE(60,"09531"),Adat!$E:$E)*-1+E56</f>
        <v>0</v>
      </c>
      <c r="G56" s="72">
        <f>SUMIF(Adat!$Z:$Z,CONCATENATE("(KÖT)","09531"),Adat!$E:$E)*-1</f>
        <v>0</v>
      </c>
      <c r="H56" s="72">
        <f>SUMIF(Adat!$Z:$Z,CONCATENATE("(ÖNV)","09531"),Adat!$E:$E)*-1</f>
        <v>0</v>
      </c>
      <c r="I56" s="72">
        <f>SUMIF(Adat!$Z:$Z,CONCATENATE("(ÁIG)","09531"),Adat!$E:$E)*-1</f>
        <v>0</v>
      </c>
    </row>
    <row r="57" spans="2:9" s="13" customFormat="1" ht="12.75" x14ac:dyDescent="0.2">
      <c r="B57" s="68">
        <v>47</v>
      </c>
      <c r="C57" s="305" t="s">
        <v>1378</v>
      </c>
      <c r="D57" s="306" t="s">
        <v>1379</v>
      </c>
      <c r="E57" s="72">
        <f>SUMIF(Adat!$Y:$Y,CONCATENATE(61,"09541"),Adat!$E:$E)*-1</f>
        <v>0</v>
      </c>
      <c r="F57" s="72">
        <f>SUMIF(Adat!$Y:$Y,CONCATENATE(60,"09541"),Adat!$E:$E)*-1+E57</f>
        <v>0</v>
      </c>
      <c r="G57" s="72">
        <f>SUMIF(Adat!$Z:$Z,CONCATENATE("(KÖT)","09541"),Adat!$E:$E)*-1</f>
        <v>0</v>
      </c>
      <c r="H57" s="72">
        <f>SUMIF(Adat!$Z:$Z,CONCATENATE("(ÖNV)","09541"),Adat!$E:$E)*-1</f>
        <v>0</v>
      </c>
      <c r="I57" s="72">
        <f>SUMIF(Adat!$Z:$Z,CONCATENATE("(ÁIG)","09541"),Adat!$E:$E)*-1</f>
        <v>0</v>
      </c>
    </row>
    <row r="58" spans="2:9" s="13" customFormat="1" ht="12.75" x14ac:dyDescent="0.2">
      <c r="B58" s="70">
        <v>48</v>
      </c>
      <c r="C58" s="305" t="s">
        <v>1380</v>
      </c>
      <c r="D58" s="307" t="s">
        <v>1381</v>
      </c>
      <c r="E58" s="72">
        <f>SUMIF(Adat!$Y:$Y,CONCATENATE(61,"09551"),Adat!$E:$E)*-1</f>
        <v>0</v>
      </c>
      <c r="F58" s="72">
        <f>SUMIF(Adat!$Y:$Y,CONCATENATE(60,"09551"),Adat!$E:$E)*-1+E58</f>
        <v>0</v>
      </c>
      <c r="G58" s="72">
        <f>SUMIF(Adat!$Z:$Z,CONCATENATE("(KÖT)","09551"),Adat!$E:$E)*-1</f>
        <v>0</v>
      </c>
      <c r="H58" s="72">
        <f>SUMIF(Adat!$Z:$Z,CONCATENATE("(ÖNV)","09551"),Adat!$E:$E)*-1</f>
        <v>0</v>
      </c>
      <c r="I58" s="72">
        <f>SUMIF(Adat!$Z:$Z,CONCATENATE("(ÁIG)","09551"),Adat!$E:$E)*-1</f>
        <v>0</v>
      </c>
    </row>
    <row r="59" spans="2:9" s="13" customFormat="1" ht="12.75" x14ac:dyDescent="0.2">
      <c r="B59" s="68">
        <v>49</v>
      </c>
      <c r="C59" s="79" t="s">
        <v>36</v>
      </c>
      <c r="D59" s="304" t="s">
        <v>331</v>
      </c>
      <c r="E59" s="71">
        <f>SUM(E60:E64)</f>
        <v>0</v>
      </c>
      <c r="F59" s="71">
        <f t="shared" ref="F59:I59" si="12">SUM(F60:F64)</f>
        <v>1250400</v>
      </c>
      <c r="G59" s="71">
        <f t="shared" si="12"/>
        <v>1250400</v>
      </c>
      <c r="H59" s="71">
        <f t="shared" si="12"/>
        <v>0</v>
      </c>
      <c r="I59" s="71">
        <f t="shared" si="12"/>
        <v>0</v>
      </c>
    </row>
    <row r="60" spans="2:9" s="13" customFormat="1" ht="12.75" x14ac:dyDescent="0.2">
      <c r="B60" s="70">
        <v>50</v>
      </c>
      <c r="C60" s="305" t="s">
        <v>1382</v>
      </c>
      <c r="D60" s="306" t="s">
        <v>1383</v>
      </c>
      <c r="E60" s="72">
        <f>SUMIF(Adat!$Y:$Y,CONCATENATE(61,"09611"),Adat!$E:$E)*-1</f>
        <v>0</v>
      </c>
      <c r="F60" s="72">
        <f>SUMIF(Adat!$Y:$Y,CONCATENATE(60,"09611"),Adat!$E:$E)*-1+E60</f>
        <v>0</v>
      </c>
      <c r="G60" s="72">
        <f>SUMIF(Adat!$Z:$Z,CONCATENATE("(KÖT)","09611"),Adat!$E:$E)*-1</f>
        <v>0</v>
      </c>
      <c r="H60" s="72">
        <f>SUMIF(Adat!$Z:$Z,CONCATENATE("(ÖNV)","09611"),Adat!$E:$E)*-1</f>
        <v>0</v>
      </c>
      <c r="I60" s="72">
        <f>SUMIF(Adat!$Z:$Z,CONCATENATE("(ÁIG)","09611"),Adat!$E:$E)*-1</f>
        <v>0</v>
      </c>
    </row>
    <row r="61" spans="2:9" s="13" customFormat="1" ht="12.75" x14ac:dyDescent="0.2">
      <c r="B61" s="68">
        <v>51</v>
      </c>
      <c r="C61" s="305" t="s">
        <v>1384</v>
      </c>
      <c r="D61" s="306" t="s">
        <v>1385</v>
      </c>
      <c r="E61" s="72">
        <f>SUMIF(Adat!$Y:$Y,CONCATENATE(61,"09621"),Adat!$E:$E)*-1</f>
        <v>0</v>
      </c>
      <c r="F61" s="72">
        <f>SUMIF(Adat!$Y:$Y,CONCATENATE(60,"09621"),Adat!$E:$E)*-1+E61</f>
        <v>0</v>
      </c>
      <c r="G61" s="72">
        <f>SUMIF(Adat!$Z:$Z,CONCATENATE("(KÖT)","09621"),Adat!$E:$E)*-1</f>
        <v>0</v>
      </c>
      <c r="H61" s="72">
        <f>SUMIF(Adat!$Z:$Z,CONCATENATE("(ÖNV)","09621"),Adat!$E:$E)*-1</f>
        <v>0</v>
      </c>
      <c r="I61" s="72">
        <f>SUMIF(Adat!$Z:$Z,CONCATENATE("(ÁIG)","09621"),Adat!$E:$E)*-1</f>
        <v>0</v>
      </c>
    </row>
    <row r="62" spans="2:9" s="13" customFormat="1" ht="12.75" x14ac:dyDescent="0.2">
      <c r="B62" s="68"/>
      <c r="C62" s="305" t="s">
        <v>1386</v>
      </c>
      <c r="D62" s="306" t="s">
        <v>1387</v>
      </c>
      <c r="E62" s="72">
        <f>SUMIF(Adat!$Y:$Y,CONCATENATE(61,"09631"),Adat!$E:$E)*-1</f>
        <v>0</v>
      </c>
      <c r="F62" s="72">
        <f>SUMIF(Adat!$Y:$Y,CONCATENATE(60,"09631"),Adat!$E:$E)*-1+E62</f>
        <v>0</v>
      </c>
      <c r="G62" s="72">
        <f>SUMIF(Adat!$Z:$Z,CONCATENATE("(KÖT)","09631"),Adat!$E:$E)*-1</f>
        <v>0</v>
      </c>
      <c r="H62" s="72">
        <f>SUMIF(Adat!$Z:$Z,CONCATENATE("(ÖNV)","09631"),Adat!$E:$E)*-1</f>
        <v>0</v>
      </c>
      <c r="I62" s="72">
        <f>SUMIF(Adat!$Z:$Z,CONCATENATE("(ÁIG)","09631"),Adat!$E:$E)*-1</f>
        <v>0</v>
      </c>
    </row>
    <row r="63" spans="2:9" s="13" customFormat="1" ht="12.75" x14ac:dyDescent="0.2">
      <c r="B63" s="70">
        <v>52</v>
      </c>
      <c r="C63" s="305" t="s">
        <v>1388</v>
      </c>
      <c r="D63" s="306" t="s">
        <v>1389</v>
      </c>
      <c r="E63" s="72">
        <f>SUMIF(Adat!$Y:$Y,CONCATENATE(61,"09641"),Adat!$E:$E)*-1</f>
        <v>0</v>
      </c>
      <c r="F63" s="72">
        <f>SUMIF(Adat!$Y:$Y,CONCATENATE(60,"09641"),Adat!$E:$E)*-1+E63</f>
        <v>0</v>
      </c>
      <c r="G63" s="72">
        <f>SUMIF(Adat!$Z:$Z,CONCATENATE("(KÖT)","09641"),Adat!$E:$E)*-1</f>
        <v>0</v>
      </c>
      <c r="H63" s="72">
        <f>SUMIF(Adat!$Z:$Z,CONCATENATE("(ÖNV)","09641"),Adat!$E:$E)*-1</f>
        <v>0</v>
      </c>
      <c r="I63" s="72">
        <f>SUMIF(Adat!$Z:$Z,CONCATENATE("(ÁIG)","09641"),Adat!$E:$E)*-1</f>
        <v>0</v>
      </c>
    </row>
    <row r="64" spans="2:9" s="13" customFormat="1" ht="12.75" x14ac:dyDescent="0.2">
      <c r="B64" s="68">
        <v>53</v>
      </c>
      <c r="C64" s="305" t="s">
        <v>1310</v>
      </c>
      <c r="D64" s="306" t="s">
        <v>1390</v>
      </c>
      <c r="E64" s="72">
        <f>SUMIF(Adat!$Y:$Y,CONCATENATE(61,"09651"),Adat!$E:$E)*-1</f>
        <v>0</v>
      </c>
      <c r="F64" s="72">
        <f>SUMIF(Adat!$Y:$Y,CONCATENATE(60,"09651"),Adat!$E:$E)*-1+E64</f>
        <v>1250400</v>
      </c>
      <c r="G64" s="72">
        <f>SUMIF(Adat!$Z:$Z,CONCATENATE("(KÖT)","09651"),Adat!$E:$E)*-1</f>
        <v>1250400</v>
      </c>
      <c r="H64" s="72">
        <f>SUMIF(Adat!$Z:$Z,CONCATENATE("(ÖNV)","09651"),Adat!$E:$E)*-1</f>
        <v>0</v>
      </c>
      <c r="I64" s="72">
        <f>SUMIF(Adat!$Z:$Z,CONCATENATE("(ÁIG)","09651"),Adat!$E:$E)*-1</f>
        <v>0</v>
      </c>
    </row>
    <row r="65" spans="2:9" s="13" customFormat="1" ht="12.75" x14ac:dyDescent="0.2">
      <c r="B65" s="70">
        <v>54</v>
      </c>
      <c r="C65" s="79" t="s">
        <v>38</v>
      </c>
      <c r="D65" s="308" t="s">
        <v>332</v>
      </c>
      <c r="E65" s="71">
        <f>SUM(E66:E70)</f>
        <v>0</v>
      </c>
      <c r="F65" s="71">
        <f t="shared" ref="F65:I65" si="13">SUM(F66:F70)</f>
        <v>0</v>
      </c>
      <c r="G65" s="71">
        <f t="shared" si="13"/>
        <v>0</v>
      </c>
      <c r="H65" s="71">
        <f t="shared" si="13"/>
        <v>0</v>
      </c>
      <c r="I65" s="71">
        <f t="shared" si="13"/>
        <v>0</v>
      </c>
    </row>
    <row r="66" spans="2:9" s="13" customFormat="1" ht="12.75" x14ac:dyDescent="0.2">
      <c r="B66" s="68">
        <v>55</v>
      </c>
      <c r="C66" s="305" t="s">
        <v>1391</v>
      </c>
      <c r="D66" s="306" t="s">
        <v>1392</v>
      </c>
      <c r="E66" s="72">
        <f>SUMIF(Adat!$Y:$Y,CONCATENATE(61,"09711"),Adat!$E:$E)*-1</f>
        <v>0</v>
      </c>
      <c r="F66" s="72">
        <f>SUMIF(Adat!$Y:$Y,CONCATENATE(60,"09711"),Adat!$E:$E)*-1+E66</f>
        <v>0</v>
      </c>
      <c r="G66" s="72">
        <f>SUMIF(Adat!$Z:$Z,CONCATENATE("(KÖT)","09711"),Adat!$E:$E)*-1</f>
        <v>0</v>
      </c>
      <c r="H66" s="72">
        <f>SUMIF(Adat!$Z:$Z,CONCATENATE("(ÖNV)","09711"),Adat!$E:$E)*-1</f>
        <v>0</v>
      </c>
      <c r="I66" s="72">
        <f>SUMIF(Adat!$Z:$Z,CONCATENATE("(ÁIG)","09711"),Adat!$E:$E)*-1</f>
        <v>0</v>
      </c>
    </row>
    <row r="67" spans="2:9" s="13" customFormat="1" ht="12.75" x14ac:dyDescent="0.2">
      <c r="B67" s="70">
        <v>56</v>
      </c>
      <c r="C67" s="305" t="s">
        <v>1393</v>
      </c>
      <c r="D67" s="306" t="s">
        <v>1394</v>
      </c>
      <c r="E67" s="72">
        <f>SUMIF(Adat!$Y:$Y,CONCATENATE(61,"09721"),Adat!$E:$E)*-1</f>
        <v>0</v>
      </c>
      <c r="F67" s="72">
        <f>SUMIF(Adat!$Y:$Y,CONCATENATE(60,"09721"),Adat!$E:$E)*-1+E67</f>
        <v>0</v>
      </c>
      <c r="G67" s="72">
        <f>SUMIF(Adat!$Z:$Z,CONCATENATE("(KÖT)","09721"),Adat!$E:$E)*-1</f>
        <v>0</v>
      </c>
      <c r="H67" s="72">
        <f>SUMIF(Adat!$Z:$Z,CONCATENATE("(ÖNV)","09721"),Adat!$E:$E)*-1</f>
        <v>0</v>
      </c>
      <c r="I67" s="72">
        <f>SUMIF(Adat!$Z:$Z,CONCATENATE("(ÁIG)","09721"),Adat!$E:$E)*-1</f>
        <v>0</v>
      </c>
    </row>
    <row r="68" spans="2:9" s="13" customFormat="1" ht="12.75" x14ac:dyDescent="0.2">
      <c r="B68" s="70"/>
      <c r="C68" s="305" t="s">
        <v>1395</v>
      </c>
      <c r="D68" s="306" t="s">
        <v>1396</v>
      </c>
      <c r="E68" s="72">
        <f>SUMIF(Adat!$Y:$Y,CONCATENATE(61,"09731"),Adat!$E:$E)*-1</f>
        <v>0</v>
      </c>
      <c r="F68" s="72">
        <f>SUMIF(Adat!$Y:$Y,CONCATENATE(60,"09731"),Adat!$E:$E)*-1+E68</f>
        <v>0</v>
      </c>
      <c r="G68" s="72">
        <f>SUMIF(Adat!$Z:$Z,CONCATENATE("(KÖT)","09731"),Adat!$E:$E)*-1</f>
        <v>0</v>
      </c>
      <c r="H68" s="72">
        <f>SUMIF(Adat!$Z:$Z,CONCATENATE("(ÖNV)","09731"),Adat!$E:$E)*-1</f>
        <v>0</v>
      </c>
      <c r="I68" s="72">
        <f>SUMIF(Adat!$Z:$Z,CONCATENATE("(ÁIG)","09731"),Adat!$E:$E)*-1</f>
        <v>0</v>
      </c>
    </row>
    <row r="69" spans="2:9" s="13" customFormat="1" ht="12.75" x14ac:dyDescent="0.2">
      <c r="B69" s="68">
        <v>57</v>
      </c>
      <c r="C69" s="305" t="s">
        <v>1397</v>
      </c>
      <c r="D69" s="306" t="s">
        <v>1398</v>
      </c>
      <c r="E69" s="72">
        <f>SUMIF(Adat!$Y:$Y,CONCATENATE(61,"09741"),Adat!$E:$E)*-1</f>
        <v>0</v>
      </c>
      <c r="F69" s="72">
        <f>SUMIF(Adat!$Y:$Y,CONCATENATE(60,"09741"),Adat!$E:$E)*-1+E69</f>
        <v>0</v>
      </c>
      <c r="G69" s="72">
        <f>SUMIF(Adat!$Z:$Z,CONCATENATE("(KÖT)","09741"),Adat!$E:$E)*-1</f>
        <v>0</v>
      </c>
      <c r="H69" s="72">
        <f>SUMIF(Adat!$Z:$Z,CONCATENATE("(ÖNV)","09741"),Adat!$E:$E)*-1</f>
        <v>0</v>
      </c>
      <c r="I69" s="72">
        <f>SUMIF(Adat!$Z:$Z,CONCATENATE("(ÁIG)","09741"),Adat!$E:$E)*-1</f>
        <v>0</v>
      </c>
    </row>
    <row r="70" spans="2:9" s="13" customFormat="1" ht="12.75" x14ac:dyDescent="0.2">
      <c r="B70" s="70">
        <v>58</v>
      </c>
      <c r="C70" s="305" t="s">
        <v>1399</v>
      </c>
      <c r="D70" s="307" t="s">
        <v>1400</v>
      </c>
      <c r="E70" s="72">
        <f>SUMIF(Adat!$Y:$Y,CONCATENATE(61,"09751"),Adat!$E:$E)*-1</f>
        <v>0</v>
      </c>
      <c r="F70" s="72">
        <f>SUMIF(Adat!$Y:$Y,CONCATENATE(60,"09751"),Adat!$E:$E)*-1+E70</f>
        <v>0</v>
      </c>
      <c r="G70" s="72">
        <f>SUMIF(Adat!$Z:$Z,CONCATENATE("(KÖT)","09751"),Adat!$E:$E)*-1</f>
        <v>0</v>
      </c>
      <c r="H70" s="72">
        <f>SUMIF(Adat!$Z:$Z,CONCATENATE("(ÖNV)","09751"),Adat!$E:$E)*-1</f>
        <v>0</v>
      </c>
      <c r="I70" s="72">
        <f>SUMIF(Adat!$Z:$Z,CONCATENATE("(ÁIG)","09751"),Adat!$E:$E)*-1</f>
        <v>0</v>
      </c>
    </row>
    <row r="71" spans="2:9" s="13" customFormat="1" ht="12.75" x14ac:dyDescent="0.2">
      <c r="B71" s="68">
        <v>59</v>
      </c>
      <c r="C71" s="78" t="s">
        <v>352</v>
      </c>
      <c r="D71" s="79" t="s">
        <v>1401</v>
      </c>
      <c r="E71" s="71">
        <f>E12+E20+E26+E32+E39+E53+E59+E65</f>
        <v>1427575660</v>
      </c>
      <c r="F71" s="71">
        <f>F12+F20+F26+F32+F39+F53+F59+F65</f>
        <v>1413745880</v>
      </c>
      <c r="G71" s="71">
        <f>G12+G20+G26+G32+G39+G53+G59+G65</f>
        <v>1376304440</v>
      </c>
      <c r="H71" s="71">
        <f>H12+H20+H26+H32+H39+H53+H59+H65</f>
        <v>37441440</v>
      </c>
      <c r="I71" s="71">
        <f>I12+I20+I26+I32+I39+I53+I59+I65</f>
        <v>0</v>
      </c>
    </row>
    <row r="72" spans="2:9" s="13" customFormat="1" ht="12.75" x14ac:dyDescent="0.2">
      <c r="B72" s="70">
        <v>60</v>
      </c>
      <c r="C72" s="154" t="s">
        <v>1402</v>
      </c>
      <c r="D72" s="308" t="s">
        <v>1403</v>
      </c>
      <c r="E72" s="71">
        <f>SUM(E73:E75)</f>
        <v>0</v>
      </c>
      <c r="F72" s="71">
        <f t="shared" ref="F72" si="14">SUM(F73:F75)</f>
        <v>0</v>
      </c>
      <c r="G72" s="71">
        <f>SUM(G73:G75)</f>
        <v>0</v>
      </c>
      <c r="H72" s="71">
        <f t="shared" ref="H72:I72" si="15">SUM(H73:H75)</f>
        <v>0</v>
      </c>
      <c r="I72" s="71">
        <f t="shared" si="15"/>
        <v>0</v>
      </c>
    </row>
    <row r="73" spans="2:9" s="13" customFormat="1" ht="12.75" x14ac:dyDescent="0.2">
      <c r="B73" s="68">
        <v>61</v>
      </c>
      <c r="C73" s="305" t="s">
        <v>1404</v>
      </c>
      <c r="D73" s="306" t="s">
        <v>1405</v>
      </c>
      <c r="E73" s="72">
        <f>SUMIF(Adat!$Y:$Y,CONCATENATE(61,"0981111"),Adat!$E:$E)*-1</f>
        <v>0</v>
      </c>
      <c r="F73" s="72">
        <f>SUMIF(Adat!$Y:$Y,CONCATENATE(60,"0981111"),Adat!$E:$E)*-1+E73</f>
        <v>0</v>
      </c>
      <c r="G73" s="72">
        <f>SUMIF(Adat!$Z:$Z,CONCATENATE("(KÖT)","0981111"),Adat!$E:$E)*-1</f>
        <v>0</v>
      </c>
      <c r="H73" s="72">
        <f>SUMIF(Adat!$Z:$Z,CONCATENATE("(ÖNV)","0981111"),Adat!$E:$E)*-1</f>
        <v>0</v>
      </c>
      <c r="I73" s="72">
        <f>SUMIF(Adat!$Z:$Z,CONCATENATE("(ÁIG)","0981111"),Adat!$E:$E)*-1</f>
        <v>0</v>
      </c>
    </row>
    <row r="74" spans="2:9" s="13" customFormat="1" ht="12.75" x14ac:dyDescent="0.2">
      <c r="B74" s="70">
        <v>62</v>
      </c>
      <c r="C74" s="305" t="s">
        <v>1406</v>
      </c>
      <c r="D74" s="306" t="s">
        <v>1407</v>
      </c>
      <c r="E74" s="72">
        <f>SUMIF(Adat!$Y:$Y,CONCATENATE(61,"0981121"),Adat!$E:$E)*-1</f>
        <v>0</v>
      </c>
      <c r="F74" s="72">
        <f>SUMIF(Adat!$Y:$Y,CONCATENATE(60,"0981121"),Adat!$E:$E)*-1+E74</f>
        <v>0</v>
      </c>
      <c r="G74" s="72">
        <f>SUMIF(Adat!$Z:$Z,CONCATENATE("(KÖT)","0981121"),Adat!$E:$E)*-1</f>
        <v>0</v>
      </c>
      <c r="H74" s="72">
        <f>SUMIF(Adat!$Z:$Z,CONCATENATE("(ÖNV)","0981121"),Adat!$E:$E)*-1</f>
        <v>0</v>
      </c>
      <c r="I74" s="72">
        <f>SUMIF(Adat!$Z:$Z,CONCATENATE("(ÁIG)","0981121"),Adat!$E:$E)*-1</f>
        <v>0</v>
      </c>
    </row>
    <row r="75" spans="2:9" s="13" customFormat="1" ht="12.75" x14ac:dyDescent="0.2">
      <c r="B75" s="68">
        <v>63</v>
      </c>
      <c r="C75" s="305" t="s">
        <v>1408</v>
      </c>
      <c r="D75" s="306" t="s">
        <v>1409</v>
      </c>
      <c r="E75" s="72">
        <f>SUMIF(Adat!$Y:$Y,CONCATENATE(61,"0981131"),Adat!$E:$E)*-1</f>
        <v>0</v>
      </c>
      <c r="F75" s="72">
        <f>SUMIF(Adat!$Y:$Y,CONCATENATE(60,"0981131"),Adat!$E:$E)*-1+E75</f>
        <v>0</v>
      </c>
      <c r="G75" s="72">
        <f>SUMIF(Adat!$Z:$Z,CONCATENATE("(KÖT)","0981131"),Adat!$E:$E)*-1</f>
        <v>0</v>
      </c>
      <c r="H75" s="72">
        <f>SUMIF(Adat!$Z:$Z,CONCATENATE("(ÖNV)","0981131"),Adat!$E:$E)*-1</f>
        <v>0</v>
      </c>
      <c r="I75" s="72">
        <f>SUMIF(Adat!$Z:$Z,CONCATENATE("(ÁIG)","0981131"),Adat!$E:$E)*-1</f>
        <v>0</v>
      </c>
    </row>
    <row r="76" spans="2:9" s="13" customFormat="1" ht="12.75" x14ac:dyDescent="0.2">
      <c r="B76" s="70">
        <v>64</v>
      </c>
      <c r="C76" s="154" t="s">
        <v>1410</v>
      </c>
      <c r="D76" s="308" t="s">
        <v>574</v>
      </c>
      <c r="E76" s="71">
        <f>SUM(E77:E80)</f>
        <v>0</v>
      </c>
      <c r="F76" s="71">
        <f t="shared" ref="F76" si="16">SUM(F77:F80)</f>
        <v>0</v>
      </c>
      <c r="G76" s="71">
        <f>SUM(G77:G80)</f>
        <v>0</v>
      </c>
      <c r="H76" s="71">
        <f t="shared" ref="H76:I76" si="17">SUM(H77:H80)</f>
        <v>0</v>
      </c>
      <c r="I76" s="71">
        <f t="shared" si="17"/>
        <v>0</v>
      </c>
    </row>
    <row r="77" spans="2:9" s="13" customFormat="1" ht="12.75" x14ac:dyDescent="0.2">
      <c r="B77" s="68">
        <v>65</v>
      </c>
      <c r="C77" s="305" t="s">
        <v>1411</v>
      </c>
      <c r="D77" s="306" t="s">
        <v>1412</v>
      </c>
      <c r="E77" s="72">
        <f>SUMIF(Adat!$Y:$Y,CONCATENATE(61,"0981211"),Adat!$E:$E)*-1</f>
        <v>0</v>
      </c>
      <c r="F77" s="72">
        <f>SUMIF(Adat!$Y:$Y,CONCATENATE(60,"0981211"),Adat!$E:$E)*-1+E77</f>
        <v>0</v>
      </c>
      <c r="G77" s="72">
        <f>SUMIF(Adat!$Z:$Z,CONCATENATE("(KÖT)","0981211"),Adat!$E:$E)*-1</f>
        <v>0</v>
      </c>
      <c r="H77" s="72">
        <f>SUMIF(Adat!$Z:$Z,CONCATENATE("(ÖNV)","0981211"),Adat!$E:$E)*-1</f>
        <v>0</v>
      </c>
      <c r="I77" s="72">
        <f>SUMIF(Adat!$Z:$Z,CONCATENATE("(ÁIG)","0981211"),Adat!$E:$E)*-1</f>
        <v>0</v>
      </c>
    </row>
    <row r="78" spans="2:9" s="13" customFormat="1" ht="12.75" x14ac:dyDescent="0.2">
      <c r="B78" s="70">
        <v>66</v>
      </c>
      <c r="C78" s="305" t="s">
        <v>1413</v>
      </c>
      <c r="D78" s="306" t="s">
        <v>1414</v>
      </c>
      <c r="E78" s="72">
        <f>SUMIF(Adat!$Y:$Y,CONCATENATE(61,"0981221"),Adat!$E:$E)*-1</f>
        <v>0</v>
      </c>
      <c r="F78" s="72">
        <f>SUMIF(Adat!$Y:$Y,CONCATENATE(60,"0981221"),Adat!$E:$E)*-1+E78</f>
        <v>0</v>
      </c>
      <c r="G78" s="72">
        <f>SUMIF(Adat!$Z:$Z,CONCATENATE("(KÖT)","0981221"),Adat!$E:$E)*-1</f>
        <v>0</v>
      </c>
      <c r="H78" s="72">
        <f>SUMIF(Adat!$Z:$Z,CONCATENATE("(ÖNV)","0981221"),Adat!$E:$E)*-1</f>
        <v>0</v>
      </c>
      <c r="I78" s="72">
        <f>SUMIF(Adat!$Z:$Z,CONCATENATE("(ÁIG)","0981221"),Adat!$E:$E)*-1</f>
        <v>0</v>
      </c>
    </row>
    <row r="79" spans="2:9" s="13" customFormat="1" ht="12.75" x14ac:dyDescent="0.2">
      <c r="B79" s="68">
        <v>67</v>
      </c>
      <c r="C79" s="305" t="s">
        <v>1313</v>
      </c>
      <c r="D79" s="306" t="s">
        <v>1415</v>
      </c>
      <c r="E79" s="72">
        <f>SUMIF(Adat!$Y:$Y,CONCATENATE(61,"0981231"),Adat!$E:$E)*-1</f>
        <v>0</v>
      </c>
      <c r="F79" s="72">
        <f>SUMIF(Adat!$Y:$Y,CONCATENATE(60,"0981231"),Adat!$E:$E)*-1+E79</f>
        <v>0</v>
      </c>
      <c r="G79" s="72">
        <f>SUMIF(Adat!$Z:$Z,CONCATENATE("(KÖT)","0981231"),Adat!$E:$E)*-1</f>
        <v>0</v>
      </c>
      <c r="H79" s="72">
        <f>SUMIF(Adat!$Z:$Z,CONCATENATE("(ÖNV)","0981231"),Adat!$E:$E)*-1</f>
        <v>0</v>
      </c>
      <c r="I79" s="72">
        <f>SUMIF(Adat!$Z:$Z,CONCATENATE("(ÁIG)","0981231"),Adat!$E:$E)*-1</f>
        <v>0</v>
      </c>
    </row>
    <row r="80" spans="2:9" s="13" customFormat="1" ht="12.75" x14ac:dyDescent="0.2">
      <c r="B80" s="70">
        <v>68</v>
      </c>
      <c r="C80" s="305" t="s">
        <v>1416</v>
      </c>
      <c r="D80" s="307" t="s">
        <v>1417</v>
      </c>
      <c r="E80" s="72">
        <f>SUMIF(Adat!$Y:$Y,CONCATENATE(61,"0981241"),Adat!$E:$E)*-1</f>
        <v>0</v>
      </c>
      <c r="F80" s="72">
        <f>SUMIF(Adat!$Y:$Y,CONCATENATE(60,"0981241"),Adat!$E:$E)*-1+E80</f>
        <v>0</v>
      </c>
      <c r="G80" s="72">
        <f>SUMIF(Adat!$Z:$Z,CONCATENATE("(KÖT)","0981241"),Adat!$E:$E)*-1</f>
        <v>0</v>
      </c>
      <c r="H80" s="72">
        <f>SUMIF(Adat!$Z:$Z,CONCATENATE("(ÖNV)","0981241"),Adat!$E:$E)*-1</f>
        <v>0</v>
      </c>
      <c r="I80" s="72">
        <f>SUMIF(Adat!$Z:$Z,CONCATENATE("(ÁIG)","0981241"),Adat!$E:$E)*-1</f>
        <v>0</v>
      </c>
    </row>
    <row r="81" spans="2:9" s="13" customFormat="1" ht="12.75" x14ac:dyDescent="0.2">
      <c r="B81" s="68">
        <v>69</v>
      </c>
      <c r="C81" s="154" t="s">
        <v>1418</v>
      </c>
      <c r="D81" s="308" t="s">
        <v>575</v>
      </c>
      <c r="E81" s="71">
        <f>SUM(E82:E83)</f>
        <v>240954908</v>
      </c>
      <c r="F81" s="71">
        <f t="shared" ref="F81" si="18">SUM(F82:F83)</f>
        <v>240954908</v>
      </c>
      <c r="G81" s="71">
        <f>SUM(G82:G83)</f>
        <v>238222812</v>
      </c>
      <c r="H81" s="71">
        <f t="shared" ref="H81:I81" si="19">SUM(H82:H83)</f>
        <v>2732096</v>
      </c>
      <c r="I81" s="71">
        <f t="shared" si="19"/>
        <v>0</v>
      </c>
    </row>
    <row r="82" spans="2:9" s="13" customFormat="1" ht="12.75" x14ac:dyDescent="0.2">
      <c r="B82" s="70">
        <v>70</v>
      </c>
      <c r="C82" s="305" t="s">
        <v>1274</v>
      </c>
      <c r="D82" s="306" t="s">
        <v>1419</v>
      </c>
      <c r="E82" s="72">
        <f>SUMIF(Adat!$Y:$Y,CONCATENATE(61,"0981311"),Adat!$E:$E)*-1</f>
        <v>240954908</v>
      </c>
      <c r="F82" s="72">
        <f>SUMIF(Adat!$Y:$Y,CONCATENATE(60,"0981311"),Adat!$E:$E)*-1+E82</f>
        <v>240954908</v>
      </c>
      <c r="G82" s="72">
        <f>SUMIF(Adat!$Z:$Z,CONCATENATE("(KÖT)","0981311"),Adat!$E:$E)*-1</f>
        <v>238222812</v>
      </c>
      <c r="H82" s="72">
        <f>SUMIF(Adat!$Z:$Z,CONCATENATE("(ÖNV)","0981311"),Adat!$E:$E)*-1</f>
        <v>2732096</v>
      </c>
      <c r="I82" s="72">
        <f>SUMIF(Adat!$Z:$Z,CONCATENATE("(ÁIG)","0981311"),Adat!$E:$E)*-1</f>
        <v>0</v>
      </c>
    </row>
    <row r="83" spans="2:9" s="13" customFormat="1" ht="12.75" x14ac:dyDescent="0.2">
      <c r="B83" s="68">
        <v>71</v>
      </c>
      <c r="C83" s="305" t="s">
        <v>1420</v>
      </c>
      <c r="D83" s="307" t="s">
        <v>1421</v>
      </c>
      <c r="E83" s="72">
        <f>SUMIF(Adat!$Y:$Y,CONCATENATE(61,"0981321"),Adat!$E:$E)*-1</f>
        <v>0</v>
      </c>
      <c r="F83" s="72">
        <f>SUMIF(Adat!$Y:$Y,CONCATENATE(60,"0981321"),Adat!$E:$E)*-1+E83</f>
        <v>0</v>
      </c>
      <c r="G83" s="72">
        <f>SUMIF(Adat!$Z:$Z,CONCATENATE("(KÖT)","0981321"),Adat!$E:$E)*-1</f>
        <v>0</v>
      </c>
      <c r="H83" s="72">
        <f>SUMIF(Adat!$Z:$Z,CONCATENATE("(ÖNV)","0981321"),Adat!$E:$E)*-1</f>
        <v>0</v>
      </c>
      <c r="I83" s="72">
        <f>SUMIF(Adat!$Z:$Z,CONCATENATE("(ÁIG)","0981321"),Adat!$E:$E)*-1</f>
        <v>0</v>
      </c>
    </row>
    <row r="84" spans="2:9" s="13" customFormat="1" ht="12.75" x14ac:dyDescent="0.2">
      <c r="B84" s="70">
        <v>72</v>
      </c>
      <c r="C84" s="154" t="s">
        <v>1301</v>
      </c>
      <c r="D84" s="308" t="s">
        <v>576</v>
      </c>
      <c r="E84" s="71">
        <f>SUM(E85:E87)</f>
        <v>0</v>
      </c>
      <c r="F84" s="71">
        <f t="shared" ref="F84" si="20">SUM(F85:F87)</f>
        <v>459964</v>
      </c>
      <c r="G84" s="71">
        <f>SUM(G85:G87)</f>
        <v>459964</v>
      </c>
      <c r="H84" s="71">
        <f t="shared" ref="H84:I84" si="21">SUM(H85:H87)</f>
        <v>0</v>
      </c>
      <c r="I84" s="71">
        <f t="shared" si="21"/>
        <v>0</v>
      </c>
    </row>
    <row r="85" spans="2:9" s="13" customFormat="1" ht="12.75" x14ac:dyDescent="0.2">
      <c r="B85" s="68">
        <v>73</v>
      </c>
      <c r="C85" s="305" t="s">
        <v>1301</v>
      </c>
      <c r="D85" s="306" t="s">
        <v>1422</v>
      </c>
      <c r="E85" s="72">
        <f>SUMIF(Adat!$Y:$Y,CONCATENATE(61,"098141"),Adat!$E:$E)*-1</f>
        <v>0</v>
      </c>
      <c r="F85" s="72">
        <f>SUMIF(Adat!$Y:$Y,CONCATENATE(60,"098141"),Adat!$E:$E)*-1+E85</f>
        <v>459964</v>
      </c>
      <c r="G85" s="72">
        <f>SUMIF(Adat!$Z:$Z,CONCATENATE("(KÖT)","098141"),Adat!$E:$E)*-1</f>
        <v>459964</v>
      </c>
      <c r="H85" s="72">
        <f>SUMIF(Adat!$Z:$Z,CONCATENATE("(ÖNV)","098141"),Adat!$E:$E)*-1</f>
        <v>0</v>
      </c>
      <c r="I85" s="72">
        <f>SUMIF(Adat!$Z:$Z,CONCATENATE("(ÁIG)","098141"),Adat!$E:$E)*-1</f>
        <v>0</v>
      </c>
    </row>
    <row r="86" spans="2:9" s="13" customFormat="1" ht="12.75" x14ac:dyDescent="0.2">
      <c r="B86" s="70">
        <v>74</v>
      </c>
      <c r="C86" s="305" t="s">
        <v>1423</v>
      </c>
      <c r="D86" s="306" t="s">
        <v>1424</v>
      </c>
      <c r="E86" s="72">
        <f>SUMIF(Adat!$Y:$Y,CONCATENATE(61,"098151"),Adat!$E:$E)*-1</f>
        <v>0</v>
      </c>
      <c r="F86" s="72">
        <f>SUMIF(Adat!$Y:$Y,CONCATENATE(60,"098151"),Adat!$E:$E)*-1+E86</f>
        <v>0</v>
      </c>
      <c r="G86" s="72">
        <f>SUMIF(Adat!$Z:$Z,CONCATENATE("(KÖT)","098151"),Adat!$E:$E)*-1</f>
        <v>0</v>
      </c>
      <c r="H86" s="72">
        <f>SUMIF(Adat!$Z:$Z,CONCATENATE("(ÖNV)","098151"),Adat!$E:$E)*-1</f>
        <v>0</v>
      </c>
      <c r="I86" s="72">
        <f>SUMIF(Adat!$Z:$Z,CONCATENATE("(ÁIG)","098151"),Adat!$E:$E)*-1</f>
        <v>0</v>
      </c>
    </row>
    <row r="87" spans="2:9" s="13" customFormat="1" ht="12.75" x14ac:dyDescent="0.2">
      <c r="B87" s="68">
        <v>75</v>
      </c>
      <c r="C87" s="305" t="s">
        <v>1425</v>
      </c>
      <c r="D87" s="307" t="s">
        <v>1426</v>
      </c>
      <c r="E87" s="72">
        <f>SUMIF(Adat!$Y:$Y,CONCATENATE(61,"098171"),Adat!$E:$E)*-1</f>
        <v>0</v>
      </c>
      <c r="F87" s="72">
        <f>SUMIF(Adat!$Y:$Y,CONCATENATE(60,"098171"),Adat!$E:$E)*-1+E87</f>
        <v>0</v>
      </c>
      <c r="G87" s="72">
        <f>SUMIF(Adat!$Z:$Z,CONCATENATE("(KÖT)","098171"),Adat!$E:$E)*-1</f>
        <v>0</v>
      </c>
      <c r="H87" s="72">
        <f>SUMIF(Adat!$Z:$Z,CONCATENATE("(ÖNV)","098171"),Adat!$E:$E)*-1</f>
        <v>0</v>
      </c>
      <c r="I87" s="72">
        <f>SUMIF(Adat!$Z:$Z,CONCATENATE("(ÁIG)","098171"),Adat!$E:$E)*-1</f>
        <v>0</v>
      </c>
    </row>
    <row r="88" spans="2:9" s="13" customFormat="1" ht="12.75" x14ac:dyDescent="0.2">
      <c r="B88" s="70">
        <v>76</v>
      </c>
      <c r="C88" s="154" t="s">
        <v>1427</v>
      </c>
      <c r="D88" s="308" t="s">
        <v>577</v>
      </c>
      <c r="E88" s="71">
        <f>SUM(E89:E93)</f>
        <v>0</v>
      </c>
      <c r="F88" s="71">
        <f t="shared" ref="F88" si="22">SUM(F89:F93)</f>
        <v>0</v>
      </c>
      <c r="G88" s="71">
        <f>SUM(G89:G93)</f>
        <v>0</v>
      </c>
      <c r="H88" s="71">
        <f t="shared" ref="H88:I88" si="23">SUM(H89:H93)</f>
        <v>0</v>
      </c>
      <c r="I88" s="71">
        <f t="shared" si="23"/>
        <v>0</v>
      </c>
    </row>
    <row r="89" spans="2:9" s="13" customFormat="1" ht="12.75" x14ac:dyDescent="0.2">
      <c r="B89" s="68">
        <v>77</v>
      </c>
      <c r="C89" s="89" t="s">
        <v>1428</v>
      </c>
      <c r="D89" s="306" t="s">
        <v>1429</v>
      </c>
      <c r="E89" s="72">
        <f>SUMIF(Adat!$Y:$Y,CONCATENATE(61,"098211"),Adat!$E:$E)*-1</f>
        <v>0</v>
      </c>
      <c r="F89" s="72">
        <f>SUMIF(Adat!$Y:$Y,CONCATENATE(60,"098211"),Adat!$E:$E)*-1+E89</f>
        <v>0</v>
      </c>
      <c r="G89" s="72">
        <f>SUMIF(Adat!$Z:$Z,CONCATENATE("(KÖT)","098211"),Adat!$E:$E)*-1</f>
        <v>0</v>
      </c>
      <c r="H89" s="72">
        <f>SUMIF(Adat!$Z:$Z,CONCATENATE("(ÖNV)","098211"),Adat!$E:$E)*-1</f>
        <v>0</v>
      </c>
      <c r="I89" s="72">
        <f>SUMIF(Adat!$Z:$Z,CONCATENATE("(ÁIG)","098211"),Adat!$E:$E)*-1</f>
        <v>0</v>
      </c>
    </row>
    <row r="90" spans="2:9" s="13" customFormat="1" ht="12.75" x14ac:dyDescent="0.2">
      <c r="B90" s="70">
        <v>78</v>
      </c>
      <c r="C90" s="89" t="s">
        <v>1430</v>
      </c>
      <c r="D90" s="306" t="s">
        <v>1431</v>
      </c>
      <c r="E90" s="72">
        <f>SUMIF(Adat!$Y:$Y,CONCATENATE(61,"098221"),Adat!$E:$E)*-1</f>
        <v>0</v>
      </c>
      <c r="F90" s="72">
        <f>SUMIF(Adat!$Y:$Y,CONCATENATE(60,"098221"),Adat!$E:$E)*-1+E90</f>
        <v>0</v>
      </c>
      <c r="G90" s="72">
        <f>SUMIF(Adat!$Z:$Z,CONCATENATE("(KÖT)","098221"),Adat!$E:$E)*-1</f>
        <v>0</v>
      </c>
      <c r="H90" s="72">
        <f>SUMIF(Adat!$Z:$Z,CONCATENATE("(ÖNV)","098221"),Adat!$E:$E)*-1</f>
        <v>0</v>
      </c>
      <c r="I90" s="72">
        <f>SUMIF(Adat!$Z:$Z,CONCATENATE("(ÁIG)","098221"),Adat!$E:$E)*-1</f>
        <v>0</v>
      </c>
    </row>
    <row r="91" spans="2:9" s="13" customFormat="1" ht="12.75" x14ac:dyDescent="0.2">
      <c r="B91" s="70"/>
      <c r="C91" s="89" t="s">
        <v>1432</v>
      </c>
      <c r="D91" s="306" t="s">
        <v>1433</v>
      </c>
      <c r="E91" s="72">
        <f>SUMIF(Adat!$Y:$Y,CONCATENATE(61,"098231"),Adat!$E:$E)*-1</f>
        <v>0</v>
      </c>
      <c r="F91" s="72">
        <f>SUMIF(Adat!$Y:$Y,CONCATENATE(60,"098231"),Adat!$E:$E)*-1+E91</f>
        <v>0</v>
      </c>
      <c r="G91" s="72">
        <f>SUMIF(Adat!$Z:$Z,CONCATENATE("(KÖT)","098231"),Adat!$E:$E)*-1</f>
        <v>0</v>
      </c>
      <c r="H91" s="72">
        <f>SUMIF(Adat!$Z:$Z,CONCATENATE("(ÖNV)","098231"),Adat!$E:$E)*-1</f>
        <v>0</v>
      </c>
      <c r="I91" s="72">
        <f>SUMIF(Adat!$Z:$Z,CONCATENATE("(ÁIG)","098231"),Adat!$E:$E)*-1</f>
        <v>0</v>
      </c>
    </row>
    <row r="92" spans="2:9" s="13" customFormat="1" ht="12.75" x14ac:dyDescent="0.2">
      <c r="B92" s="68">
        <v>79</v>
      </c>
      <c r="C92" s="89" t="s">
        <v>1434</v>
      </c>
      <c r="D92" s="306" t="s">
        <v>1435</v>
      </c>
      <c r="E92" s="72">
        <f>SUMIF(Adat!$Y:$Y,CONCATENATE(61,"098241"),Adat!$E:$E)*-1</f>
        <v>0</v>
      </c>
      <c r="F92" s="72">
        <f>SUMIF(Adat!$Y:$Y,CONCATENATE(60,"098241"),Adat!$E:$E)*-1+E92</f>
        <v>0</v>
      </c>
      <c r="G92" s="72">
        <f>SUMIF(Adat!$Z:$Z,CONCATENATE("(KÖT)","098241"),Adat!$E:$E)*-1</f>
        <v>0</v>
      </c>
      <c r="H92" s="72">
        <f>SUMIF(Adat!$Z:$Z,CONCATENATE("(ÖNV)","098241"),Adat!$E:$E)*-1</f>
        <v>0</v>
      </c>
      <c r="I92" s="72">
        <f>SUMIF(Adat!$Z:$Z,CONCATENATE("(ÁIG)","098241"),Adat!$E:$E)*-1</f>
        <v>0</v>
      </c>
    </row>
    <row r="93" spans="2:9" s="13" customFormat="1" ht="12.75" x14ac:dyDescent="0.2">
      <c r="B93" s="70">
        <v>80</v>
      </c>
      <c r="C93" s="89" t="s">
        <v>1436</v>
      </c>
      <c r="D93" s="307" t="s">
        <v>1437</v>
      </c>
      <c r="E93" s="72">
        <f>SUMIF(Adat!$Y:$Y,CONCATENATE(61,"098251"),Adat!$E:$E)*-1</f>
        <v>0</v>
      </c>
      <c r="F93" s="72">
        <f>SUMIF(Adat!$Y:$Y,CONCATENATE(60,"098251"),Adat!$E:$E)*-1+E93</f>
        <v>0</v>
      </c>
      <c r="G93" s="72">
        <f>SUMIF(Adat!$Z:$Z,CONCATENATE("(KÖT)","098251"),Adat!$E:$E)*-1</f>
        <v>0</v>
      </c>
      <c r="H93" s="72">
        <f>SUMIF(Adat!$Z:$Z,CONCATENATE("(ÖNV)","098251"),Adat!$E:$E)*-1</f>
        <v>0</v>
      </c>
      <c r="I93" s="72">
        <f>SUMIF(Adat!$Z:$Z,CONCATENATE("(ÁIG)","098251"),Adat!$E:$E)*-1</f>
        <v>0</v>
      </c>
    </row>
    <row r="94" spans="2:9" s="13" customFormat="1" ht="12.75" x14ac:dyDescent="0.2">
      <c r="B94" s="70"/>
      <c r="C94" s="309" t="s">
        <v>1438</v>
      </c>
      <c r="D94" s="308" t="s">
        <v>1439</v>
      </c>
      <c r="E94" s="71">
        <f>SUMIF(Adat!$Y:$Y,CONCATENATE(61,"09831"),Adat!$E:$E)*-1</f>
        <v>0</v>
      </c>
      <c r="F94" s="71">
        <f>SUMIF(Adat!$Y:$Y,CONCATENATE(60,"09831"),Adat!$E:$E)*-1+E94</f>
        <v>0</v>
      </c>
      <c r="G94" s="71">
        <f>SUMIF(Adat!$Z:$Z,CONCATENATE("(KÖT)","09831"),Adat!$E:$E)*-1</f>
        <v>0</v>
      </c>
      <c r="H94" s="71">
        <f>SUMIF(Adat!$Z:$Z,CONCATENATE("(ÖNV)","09831"),Adat!$E:$E)*-1</f>
        <v>0</v>
      </c>
      <c r="I94" s="71">
        <f>SUMIF(Adat!$Z:$Z,CONCATENATE("(ÁIG)","09831"),Adat!$E:$E)*-1</f>
        <v>0</v>
      </c>
    </row>
    <row r="95" spans="2:9" s="13" customFormat="1" ht="12.75" x14ac:dyDescent="0.2">
      <c r="B95" s="68">
        <v>81</v>
      </c>
      <c r="C95" s="154" t="s">
        <v>1440</v>
      </c>
      <c r="D95" s="308" t="s">
        <v>1441</v>
      </c>
      <c r="E95" s="71">
        <f>SUMIF(Adat!$Y:$Y,CONCATENATE(61,"09841"),Adat!$E:$E)*-1</f>
        <v>0</v>
      </c>
      <c r="F95" s="71">
        <f>SUMIF(Adat!$Y:$Y,CONCATENATE(60,"09841"),Adat!$E:$E)*-1+E95</f>
        <v>0</v>
      </c>
      <c r="G95" s="71">
        <f>SUMIF(Adat!$Z:$Z,CONCATENATE("(KÖT)","09841"),Adat!$E:$E)*-1</f>
        <v>0</v>
      </c>
      <c r="H95" s="71">
        <f>SUMIF(Adat!$Z:$Z,CONCATENATE("(ÖNV)","09841"),Adat!$E:$E)*-1</f>
        <v>0</v>
      </c>
      <c r="I95" s="71">
        <f>SUMIF(Adat!$Z:$Z,CONCATENATE("(ÁIG)","09841"),Adat!$E:$E)*-1</f>
        <v>0</v>
      </c>
    </row>
    <row r="96" spans="2:9" s="13" customFormat="1" ht="12.75" x14ac:dyDescent="0.2">
      <c r="B96" s="70">
        <v>82</v>
      </c>
      <c r="C96" s="154" t="s">
        <v>358</v>
      </c>
      <c r="D96" s="90" t="s">
        <v>1442</v>
      </c>
      <c r="E96" s="71">
        <f>E72+E76+E81+E84+E88+E95+E94</f>
        <v>240954908</v>
      </c>
      <c r="F96" s="71">
        <f t="shared" ref="F96:I96" si="24">F72+F76+F81+F84+F88+F95+F94</f>
        <v>241414872</v>
      </c>
      <c r="G96" s="71">
        <f t="shared" si="24"/>
        <v>238682776</v>
      </c>
      <c r="H96" s="71">
        <f t="shared" si="24"/>
        <v>2732096</v>
      </c>
      <c r="I96" s="71">
        <f t="shared" si="24"/>
        <v>0</v>
      </c>
    </row>
    <row r="97" spans="2:14" s="13" customFormat="1" ht="12.75" x14ac:dyDescent="0.2">
      <c r="B97" s="68">
        <v>83</v>
      </c>
      <c r="C97" s="154" t="s">
        <v>364</v>
      </c>
      <c r="D97" s="90" t="s">
        <v>1443</v>
      </c>
      <c r="E97" s="71">
        <f>E71+E96</f>
        <v>1668530568</v>
      </c>
      <c r="F97" s="71">
        <f t="shared" ref="F97" si="25">F71+F96</f>
        <v>1655160752</v>
      </c>
      <c r="G97" s="71">
        <f>G71+G96</f>
        <v>1614987216</v>
      </c>
      <c r="H97" s="71">
        <f t="shared" ref="H97:I97" si="26">H71+H96</f>
        <v>40173536</v>
      </c>
      <c r="I97" s="71">
        <f t="shared" si="26"/>
        <v>0</v>
      </c>
      <c r="M97" s="46"/>
      <c r="N97" s="46"/>
    </row>
    <row r="98" spans="2:14" s="13" customFormat="1" ht="12.75" x14ac:dyDescent="0.2">
      <c r="B98" s="61"/>
      <c r="C98" s="19"/>
      <c r="D98" s="47"/>
      <c r="E98" s="91"/>
      <c r="F98" s="91"/>
      <c r="G98" s="91"/>
      <c r="H98" s="91"/>
      <c r="I98" s="91"/>
    </row>
    <row r="99" spans="2:14" x14ac:dyDescent="0.25">
      <c r="B99" s="199" t="s">
        <v>636</v>
      </c>
      <c r="C99" s="199"/>
      <c r="D99" s="199"/>
      <c r="E99" s="199"/>
      <c r="F99" s="199"/>
      <c r="G99" s="199"/>
      <c r="H99" s="199"/>
      <c r="I99" s="199"/>
    </row>
    <row r="100" spans="2:14" x14ac:dyDescent="0.25">
      <c r="B100" s="61"/>
      <c r="C100" s="509"/>
      <c r="D100" s="509"/>
      <c r="E100" s="51"/>
      <c r="F100" s="51"/>
      <c r="G100" s="51"/>
      <c r="H100" s="51"/>
      <c r="I100" s="51"/>
    </row>
    <row r="101" spans="2:14" x14ac:dyDescent="0.25">
      <c r="B101" s="67"/>
      <c r="C101" s="76" t="s">
        <v>350</v>
      </c>
      <c r="D101" s="76" t="s">
        <v>351</v>
      </c>
      <c r="E101" s="77" t="s">
        <v>470</v>
      </c>
      <c r="F101" s="77" t="s">
        <v>471</v>
      </c>
      <c r="G101" s="77" t="s">
        <v>44</v>
      </c>
      <c r="H101" s="77" t="s">
        <v>42</v>
      </c>
      <c r="I101" s="77" t="s">
        <v>511</v>
      </c>
    </row>
    <row r="102" spans="2:14" ht="38.1" customHeight="1" x14ac:dyDescent="0.25">
      <c r="B102" s="68">
        <v>1</v>
      </c>
      <c r="C102" s="78" t="s">
        <v>348</v>
      </c>
      <c r="D102" s="78" t="s">
        <v>349</v>
      </c>
      <c r="E102" s="69" t="str">
        <f>CONCATENATE(PAR!$H$3," évi 
eredeti 
előirányzat")</f>
        <v>2025. évi 
eredeti 
előirányzat</v>
      </c>
      <c r="F102" s="69" t="str">
        <f>CONCATENATE(PAR!$H$3," évi 
módosított 
előirányzat")</f>
        <v>2025. évi 
módosított 
előirányzat</v>
      </c>
      <c r="G102" s="69" t="s">
        <v>666</v>
      </c>
      <c r="H102" s="69" t="s">
        <v>667</v>
      </c>
      <c r="I102" s="69" t="s">
        <v>668</v>
      </c>
    </row>
    <row r="103" spans="2:14" s="13" customFormat="1" ht="12.75" x14ac:dyDescent="0.2">
      <c r="B103" s="68">
        <v>2</v>
      </c>
      <c r="C103" s="78" t="s">
        <v>352</v>
      </c>
      <c r="D103" s="310" t="s">
        <v>1444</v>
      </c>
      <c r="E103" s="71">
        <f t="shared" ref="E103:F103" si="27">SUM(E104:E109)</f>
        <v>1460847639</v>
      </c>
      <c r="F103" s="71">
        <f t="shared" si="27"/>
        <v>1447017859</v>
      </c>
      <c r="G103" s="71">
        <f>SUM(G104:G109)</f>
        <v>1318941710</v>
      </c>
      <c r="H103" s="71">
        <f t="shared" ref="H103:I103" si="28">SUM(H104:H109)</f>
        <v>128076149</v>
      </c>
      <c r="I103" s="71">
        <f t="shared" si="28"/>
        <v>0</v>
      </c>
    </row>
    <row r="104" spans="2:14" s="13" customFormat="1" ht="12.75" x14ac:dyDescent="0.2">
      <c r="B104" s="68">
        <v>3</v>
      </c>
      <c r="C104" s="305" t="s">
        <v>315</v>
      </c>
      <c r="D104" s="311" t="s">
        <v>342</v>
      </c>
      <c r="E104" s="72">
        <f>SUMIF(Adat!$AA:$AA,CONCATENATE(61,"051"),Adat!$E:$E)</f>
        <v>672205842</v>
      </c>
      <c r="F104" s="72">
        <f>SUMIF(Adat!$AA:$AA,CONCATENATE(60,"051"),Adat!$E:$E)+E104</f>
        <v>674892546</v>
      </c>
      <c r="G104" s="72">
        <f>SUMIF(Adat!$AB:$AB,CONCATENATE("(KÖT)","051"),Adat!$E:$E)</f>
        <v>595728194</v>
      </c>
      <c r="H104" s="72">
        <f>SUMIF(Adat!$AB:$AB,CONCATENATE("(ÖNV)","051"),Adat!$E:$E)</f>
        <v>79164352</v>
      </c>
      <c r="I104" s="72">
        <f>SUMIF(Adat!$AB:$AB,CONCATENATE("(ÁIG)","051"),Adat!$E:$E)</f>
        <v>0</v>
      </c>
      <c r="K104" s="46"/>
    </row>
    <row r="105" spans="2:14" s="13" customFormat="1" ht="12.75" x14ac:dyDescent="0.2">
      <c r="B105" s="68">
        <v>4</v>
      </c>
      <c r="C105" s="305" t="s">
        <v>317</v>
      </c>
      <c r="D105" s="311" t="s">
        <v>395</v>
      </c>
      <c r="E105" s="72">
        <f>SUMIF(Adat!$AA:$AA,CONCATENATE(61,"052"),Adat!$E:$E)</f>
        <v>84719570</v>
      </c>
      <c r="F105" s="72">
        <f>SUMIF(Adat!$AA:$AA,CONCATENATE(60,"052"),Adat!$E:$E)+E105</f>
        <v>84827106</v>
      </c>
      <c r="G105" s="72">
        <f>SUMIF(Adat!$AB:$AB,CONCATENATE("(KÖT)","052"),Adat!$E:$E)</f>
        <v>74702555</v>
      </c>
      <c r="H105" s="72">
        <f>SUMIF(Adat!$AB:$AB,CONCATENATE("(ÖNV)","052"),Adat!$E:$E)</f>
        <v>10124551</v>
      </c>
      <c r="I105" s="72">
        <f>SUMIF(Adat!$AB:$AB,CONCATENATE("(ÁIG)","052"),Adat!$E:$E)</f>
        <v>0</v>
      </c>
      <c r="K105" s="46"/>
      <c r="M105" s="46"/>
    </row>
    <row r="106" spans="2:14" s="13" customFormat="1" ht="12.75" x14ac:dyDescent="0.2">
      <c r="B106" s="68">
        <v>5</v>
      </c>
      <c r="C106" s="305" t="s">
        <v>4</v>
      </c>
      <c r="D106" s="311" t="s">
        <v>344</v>
      </c>
      <c r="E106" s="72">
        <f>SUMIF(Adat!$AA:$AA,CONCATENATE(61,"053"),Adat!$E:$E)</f>
        <v>543944688</v>
      </c>
      <c r="F106" s="72">
        <f>SUMIF(Adat!$AA:$AA,CONCATENATE(60,"053"),Adat!$E:$E)+E106</f>
        <v>544154976</v>
      </c>
      <c r="G106" s="72">
        <f>SUMIF(Adat!$AB:$AB,CONCATENATE("(KÖT)","053"),Adat!$E:$E)</f>
        <v>505367730</v>
      </c>
      <c r="H106" s="72">
        <f>SUMIF(Adat!$AB:$AB,CONCATENATE("(ÖNV)","053"),Adat!$E:$E)</f>
        <v>38787246</v>
      </c>
      <c r="I106" s="72">
        <f>SUMIF(Adat!$AB:$AB,CONCATENATE("(ÁIG)","053"),Adat!$E:$E)</f>
        <v>0</v>
      </c>
      <c r="K106" s="46"/>
    </row>
    <row r="107" spans="2:14" s="13" customFormat="1" ht="12.75" x14ac:dyDescent="0.2">
      <c r="B107" s="68">
        <v>6</v>
      </c>
      <c r="C107" s="305" t="s">
        <v>6</v>
      </c>
      <c r="D107" s="311" t="s">
        <v>345</v>
      </c>
      <c r="E107" s="72">
        <f>SUMIF(Adat!$AA:$AA,CONCATENATE(61,"054"),Adat!$E:$E)</f>
        <v>8000000</v>
      </c>
      <c r="F107" s="72">
        <f>SUMIF(Adat!$AA:$AA,CONCATENATE(60,"054"),Adat!$E:$E)+E107</f>
        <v>8000000</v>
      </c>
      <c r="G107" s="72">
        <f>SUMIF(Adat!$AB:$AB,CONCATENATE("(KÖT)","054"),Adat!$E:$E)</f>
        <v>8000000</v>
      </c>
      <c r="H107" s="72">
        <f>SUMIF(Adat!$AB:$AB,CONCATENATE("(ÖNV)","054"),Adat!$E:$E)</f>
        <v>0</v>
      </c>
      <c r="I107" s="72">
        <f>SUMIF(Adat!$AB:$AB,CONCATENATE("(ÁIG)","054"),Adat!$E:$E)</f>
        <v>0</v>
      </c>
    </row>
    <row r="108" spans="2:14" s="13" customFormat="1" ht="12.75" x14ac:dyDescent="0.2">
      <c r="B108" s="68">
        <v>7</v>
      </c>
      <c r="C108" s="305" t="s">
        <v>8</v>
      </c>
      <c r="D108" s="311" t="s">
        <v>1493</v>
      </c>
      <c r="E108" s="72">
        <f>SUMIF(Adat!$AA:$AA,CONCATENATE(61,"055"),Adat!$E:$E)-E109</f>
        <v>51753479</v>
      </c>
      <c r="F108" s="72">
        <f>SUMIF(Adat!$AA:$AA,CONCATENATE(60,"055"),Adat!$E:$E)+E108-F109+E109</f>
        <v>55469363</v>
      </c>
      <c r="G108" s="72">
        <f>SUMIF(Adat!$AB:$AB,CONCATENATE("(KÖT)","055"),Adat!$E:$E)-G109</f>
        <v>55469363</v>
      </c>
      <c r="H108" s="72">
        <f>SUMIF(Adat!$AB:$AB,CONCATENATE("(ÖNV)","055"),Adat!$E:$E)-H109</f>
        <v>0</v>
      </c>
      <c r="I108" s="72">
        <f>SUMIF(Adat!$AB:$AB,CONCATENATE("(ÁIG)","055"),Adat!$E:$E)-I109</f>
        <v>0</v>
      </c>
    </row>
    <row r="109" spans="2:14" s="13" customFormat="1" ht="12.75" x14ac:dyDescent="0.2">
      <c r="B109" s="68">
        <v>8</v>
      </c>
      <c r="C109" s="305" t="s">
        <v>1283</v>
      </c>
      <c r="D109" s="311" t="s">
        <v>397</v>
      </c>
      <c r="E109" s="72">
        <f>SUMIF(Adat!$Y:$Y,CONCATENATE(61,"055131"),Adat!$E:$E)</f>
        <v>100224060</v>
      </c>
      <c r="F109" s="72">
        <f>SUMIF(Adat!$Y:$Y,CONCATENATE(60,"055131"),Adat!$E:$E)+E109</f>
        <v>79673868</v>
      </c>
      <c r="G109" s="72">
        <f>SUMIF(Adat!$Z:$Z,CONCATENATE("(KÖT)","055131"),Adat!$E:$E)</f>
        <v>79673868</v>
      </c>
      <c r="H109" s="72">
        <f>SUMIF(Adat!$Z:$Z,CONCATENATE("(ÖNV)","055131"),Adat!$E:$E)</f>
        <v>0</v>
      </c>
      <c r="I109" s="72">
        <f>SUMIF(Adat!$Z:$Z,CONCATENATE("(ÁIG)","055131"),Adat!$E:$E)</f>
        <v>0</v>
      </c>
    </row>
    <row r="110" spans="2:14" s="13" customFormat="1" ht="12.75" x14ac:dyDescent="0.2">
      <c r="B110" s="68">
        <v>9</v>
      </c>
      <c r="C110" s="305" t="s">
        <v>1283</v>
      </c>
      <c r="D110" s="311" t="s">
        <v>1445</v>
      </c>
      <c r="E110" s="72">
        <f>'12'!E109</f>
        <v>0</v>
      </c>
      <c r="F110" s="72">
        <f>'12'!F109</f>
        <v>0</v>
      </c>
      <c r="G110" s="72">
        <f>'12'!G109</f>
        <v>0</v>
      </c>
      <c r="H110" s="72">
        <f>'12'!H109</f>
        <v>0</v>
      </c>
      <c r="I110" s="72">
        <f>'12'!I109</f>
        <v>0</v>
      </c>
    </row>
    <row r="111" spans="2:14" s="13" customFormat="1" ht="12.75" x14ac:dyDescent="0.2">
      <c r="B111" s="68">
        <v>10</v>
      </c>
      <c r="C111" s="305" t="s">
        <v>1283</v>
      </c>
      <c r="D111" s="311" t="s">
        <v>1446</v>
      </c>
      <c r="E111" s="72">
        <f>'12'!E110</f>
        <v>0</v>
      </c>
      <c r="F111" s="72">
        <f>'12'!F110</f>
        <v>0</v>
      </c>
      <c r="G111" s="72">
        <f>'12'!G110</f>
        <v>0</v>
      </c>
      <c r="H111" s="72">
        <f>'12'!H110</f>
        <v>0</v>
      </c>
      <c r="I111" s="72">
        <f>'12'!I110</f>
        <v>0</v>
      </c>
    </row>
    <row r="112" spans="2:14" s="13" customFormat="1" ht="12.75" x14ac:dyDescent="0.2">
      <c r="B112" s="68">
        <v>11</v>
      </c>
      <c r="C112" s="78" t="s">
        <v>358</v>
      </c>
      <c r="D112" s="310" t="s">
        <v>1447</v>
      </c>
      <c r="E112" s="71">
        <f t="shared" ref="E112:F112" si="29">E113+E115+E117</f>
        <v>168647518</v>
      </c>
      <c r="F112" s="71">
        <f t="shared" si="29"/>
        <v>168647518</v>
      </c>
      <c r="G112" s="71">
        <f>G113+G115+G117</f>
        <v>167758518</v>
      </c>
      <c r="H112" s="71">
        <f t="shared" ref="H112:I112" si="30">H113+H115+H117</f>
        <v>889000</v>
      </c>
      <c r="I112" s="71">
        <f t="shared" si="30"/>
        <v>0</v>
      </c>
    </row>
    <row r="113" spans="2:9" s="13" customFormat="1" ht="12.75" x14ac:dyDescent="0.2">
      <c r="B113" s="68">
        <v>12</v>
      </c>
      <c r="C113" s="305" t="s">
        <v>10</v>
      </c>
      <c r="D113" s="311" t="s">
        <v>322</v>
      </c>
      <c r="E113" s="72">
        <f>SUMIF(Adat!$AA:$AA,CONCATENATE(61,"056"),Adat!$E:$E)</f>
        <v>134080399</v>
      </c>
      <c r="F113" s="72">
        <f>SUMIF(Adat!$AA:$AA,CONCATENATE(60,"056"),Adat!$E:$E)+E113</f>
        <v>134080399</v>
      </c>
      <c r="G113" s="72">
        <f>SUMIF(Adat!$AB:$AB,CONCATENATE("(KÖT)","056"),Adat!$E:$E)</f>
        <v>133191399</v>
      </c>
      <c r="H113" s="72">
        <f>SUMIF(Adat!$AB:$AB,CONCATENATE("(ÖNV)","056"),Adat!$E:$E)</f>
        <v>889000</v>
      </c>
      <c r="I113" s="72">
        <f>SUMIF(Adat!$AB:$AB,CONCATENATE("(ÁIG)","056"),Adat!$E:$E)</f>
        <v>0</v>
      </c>
    </row>
    <row r="114" spans="2:9" s="13" customFormat="1" ht="12.75" x14ac:dyDescent="0.2">
      <c r="B114" s="68">
        <v>13</v>
      </c>
      <c r="C114" s="305" t="s">
        <v>10</v>
      </c>
      <c r="D114" s="311" t="s">
        <v>1448</v>
      </c>
      <c r="E114" s="72">
        <f>'12'!E113</f>
        <v>0</v>
      </c>
      <c r="F114" s="72">
        <f>'12'!F113</f>
        <v>0</v>
      </c>
      <c r="G114" s="72">
        <f>'12'!G113</f>
        <v>0</v>
      </c>
      <c r="H114" s="72">
        <f>'12'!H113</f>
        <v>0</v>
      </c>
      <c r="I114" s="72">
        <f>'12'!I113</f>
        <v>0</v>
      </c>
    </row>
    <row r="115" spans="2:9" s="13" customFormat="1" ht="12.75" x14ac:dyDescent="0.2">
      <c r="B115" s="68">
        <v>14</v>
      </c>
      <c r="C115" s="305" t="s">
        <v>12</v>
      </c>
      <c r="D115" s="311" t="s">
        <v>323</v>
      </c>
      <c r="E115" s="72">
        <f>SUMIF(Adat!$AA:$AA,CONCATENATE(61,"057"),Adat!$E:$E)</f>
        <v>34567119</v>
      </c>
      <c r="F115" s="72">
        <f>SUMIF(Adat!$AA:$AA,CONCATENATE(60,"057"),Adat!$E:$E)+E115</f>
        <v>34567119</v>
      </c>
      <c r="G115" s="72">
        <f>SUMIF(Adat!$AB:$AB,CONCATENATE("(KÖT)","057"),Adat!$E:$E)</f>
        <v>34567119</v>
      </c>
      <c r="H115" s="72">
        <f>SUMIF(Adat!$AB:$AB,CONCATENATE("(ÖNV)","057"),Adat!$E:$E)</f>
        <v>0</v>
      </c>
      <c r="I115" s="72">
        <f>SUMIF(Adat!$AB:$AB,CONCATENATE("(ÁIG)","057"),Adat!$E:$E)</f>
        <v>0</v>
      </c>
    </row>
    <row r="116" spans="2:9" s="13" customFormat="1" ht="12.75" x14ac:dyDescent="0.2">
      <c r="B116" s="68">
        <v>15</v>
      </c>
      <c r="C116" s="305" t="s">
        <v>12</v>
      </c>
      <c r="D116" s="311" t="s">
        <v>1449</v>
      </c>
      <c r="E116" s="72">
        <f>'12'!E115</f>
        <v>0</v>
      </c>
      <c r="F116" s="72">
        <f>'12'!F115</f>
        <v>0</v>
      </c>
      <c r="G116" s="72">
        <f>'12'!G115</f>
        <v>0</v>
      </c>
      <c r="H116" s="72">
        <f>'12'!H115</f>
        <v>0</v>
      </c>
      <c r="I116" s="72">
        <f>'12'!I115</f>
        <v>0</v>
      </c>
    </row>
    <row r="117" spans="2:9" s="13" customFormat="1" ht="12.75" x14ac:dyDescent="0.2">
      <c r="B117" s="68">
        <v>16</v>
      </c>
      <c r="C117" s="305" t="s">
        <v>15</v>
      </c>
      <c r="D117" s="307" t="s">
        <v>324</v>
      </c>
      <c r="E117" s="72">
        <f>SUMIF(Adat!$AA:$AA,CONCATENATE(61,"058"),Adat!$E:$E)</f>
        <v>0</v>
      </c>
      <c r="F117" s="72">
        <f>SUMIF(Adat!$AA:$AA,CONCATENATE(60,"058"),Adat!$E:$E)+E117</f>
        <v>0</v>
      </c>
      <c r="G117" s="72">
        <f>SUMIF(Adat!$AB:$AB,CONCATENATE("(KÖT)","058"),Adat!$E:$E)</f>
        <v>0</v>
      </c>
      <c r="H117" s="72">
        <f>SUMIF(Adat!$AB:$AB,CONCATENATE("(ÖNV)","058"),Adat!$E:$E)</f>
        <v>0</v>
      </c>
      <c r="I117" s="72">
        <f>SUMIF(Adat!$AB:$AB,CONCATENATE("(ÁIG)","058"),Adat!$E:$E)</f>
        <v>0</v>
      </c>
    </row>
    <row r="118" spans="2:9" s="13" customFormat="1" ht="12.75" x14ac:dyDescent="0.2">
      <c r="B118" s="68">
        <v>17</v>
      </c>
      <c r="C118" s="79" t="s">
        <v>364</v>
      </c>
      <c r="D118" s="79" t="s">
        <v>402</v>
      </c>
      <c r="E118" s="71">
        <f t="shared" ref="E118:F118" si="31">E103+E112</f>
        <v>1629495157</v>
      </c>
      <c r="F118" s="71">
        <f t="shared" si="31"/>
        <v>1615665377</v>
      </c>
      <c r="G118" s="71">
        <f>G103+G112</f>
        <v>1486700228</v>
      </c>
      <c r="H118" s="71">
        <f t="shared" ref="H118:I118" si="32">H103+H112</f>
        <v>128965149</v>
      </c>
      <c r="I118" s="71">
        <f t="shared" si="32"/>
        <v>0</v>
      </c>
    </row>
    <row r="119" spans="2:9" s="13" customFormat="1" ht="12.75" x14ac:dyDescent="0.2">
      <c r="B119" s="68">
        <v>18</v>
      </c>
      <c r="C119" s="78" t="s">
        <v>403</v>
      </c>
      <c r="D119" s="304" t="s">
        <v>1450</v>
      </c>
      <c r="E119" s="71">
        <f t="shared" ref="E119:F119" si="33">SUM(E120:E122)</f>
        <v>14729728</v>
      </c>
      <c r="F119" s="71">
        <f t="shared" si="33"/>
        <v>14729728</v>
      </c>
      <c r="G119" s="71">
        <f>SUM(G120:G122)</f>
        <v>14729728</v>
      </c>
      <c r="H119" s="71">
        <f t="shared" ref="H119:I119" si="34">SUM(H120:H122)</f>
        <v>0</v>
      </c>
      <c r="I119" s="71">
        <f t="shared" si="34"/>
        <v>0</v>
      </c>
    </row>
    <row r="120" spans="2:9" s="13" customFormat="1" ht="12.75" x14ac:dyDescent="0.2">
      <c r="B120" s="68">
        <v>19</v>
      </c>
      <c r="C120" s="305" t="s">
        <v>1451</v>
      </c>
      <c r="D120" s="311" t="s">
        <v>1452</v>
      </c>
      <c r="E120" s="72">
        <f>SUMIF(Adat!$Y:$Y,CONCATENATE(61,"0591111"),Adat!$E:$E)</f>
        <v>14729728</v>
      </c>
      <c r="F120" s="72">
        <f>SUMIF(Adat!$Y:$Y,CONCATENATE(60,"0591111"),Adat!$E:$E)+E120</f>
        <v>14729728</v>
      </c>
      <c r="G120" s="72">
        <f>SUMIF(Adat!$Z:$Z,CONCATENATE("(KÖT)","0591111"),Adat!$E:$E)</f>
        <v>14729728</v>
      </c>
      <c r="H120" s="72">
        <f>SUMIF(Adat!$Z:$Z,CONCATENATE("(ÖNV)","0591111"),Adat!$E:$E)</f>
        <v>0</v>
      </c>
      <c r="I120" s="72">
        <f>SUMIF(Adat!$Z:$Z,CONCATENATE("(ÁIG)","0591111"),Adat!$E:$E)</f>
        <v>0</v>
      </c>
    </row>
    <row r="121" spans="2:9" s="13" customFormat="1" ht="12.75" x14ac:dyDescent="0.2">
      <c r="B121" s="68">
        <v>20</v>
      </c>
      <c r="C121" s="305" t="s">
        <v>1453</v>
      </c>
      <c r="D121" s="311" t="s">
        <v>1454</v>
      </c>
      <c r="E121" s="72">
        <f>SUMIF(Adat!$Y:$Y,CONCATENATE(61,"0591121"),Adat!$E:$E)</f>
        <v>0</v>
      </c>
      <c r="F121" s="72">
        <f>SUMIF(Adat!$Y:$Y,CONCATENATE(60,"0591121"),Adat!$E:$E)+E121</f>
        <v>0</v>
      </c>
      <c r="G121" s="72">
        <f>SUMIF(Adat!$Z:$Z,CONCATENATE("(KÖT)","0591121"),Adat!$E:$E)</f>
        <v>0</v>
      </c>
      <c r="H121" s="72">
        <f>SUMIF(Adat!$Z:$Z,CONCATENATE("(ÖNV)","0591121"),Adat!$E:$E)</f>
        <v>0</v>
      </c>
      <c r="I121" s="72">
        <f>SUMIF(Adat!$Z:$Z,CONCATENATE("(ÁIG)","0591121"),Adat!$E:$E)</f>
        <v>0</v>
      </c>
    </row>
    <row r="122" spans="2:9" s="13" customFormat="1" ht="12.75" x14ac:dyDescent="0.2">
      <c r="B122" s="68">
        <v>21</v>
      </c>
      <c r="C122" s="305" t="s">
        <v>1455</v>
      </c>
      <c r="D122" s="311" t="s">
        <v>1456</v>
      </c>
      <c r="E122" s="72">
        <f>SUMIF(Adat!$Y:$Y,CONCATENATE(61,"0591131"),Adat!$E:$E)</f>
        <v>0</v>
      </c>
      <c r="F122" s="72">
        <f>SUMIF(Adat!$Y:$Y,CONCATENATE(60,"0591131"),Adat!$E:$E)+E122</f>
        <v>0</v>
      </c>
      <c r="G122" s="72">
        <f>SUMIF(Adat!$Z:$Z,CONCATENATE("(KÖT)","0591131"),Adat!$E:$E)</f>
        <v>0</v>
      </c>
      <c r="H122" s="72">
        <f>SUMIF(Adat!$Z:$Z,CONCATENATE("(ÖNV)","0591131"),Adat!$E:$E)</f>
        <v>0</v>
      </c>
      <c r="I122" s="72">
        <f>SUMIF(Adat!$Z:$Z,CONCATENATE("(ÁIG)","0591131"),Adat!$E:$E)</f>
        <v>0</v>
      </c>
    </row>
    <row r="123" spans="2:9" s="13" customFormat="1" ht="12.75" x14ac:dyDescent="0.2">
      <c r="B123" s="68">
        <v>22</v>
      </c>
      <c r="C123" s="78" t="s">
        <v>372</v>
      </c>
      <c r="D123" s="304" t="s">
        <v>1457</v>
      </c>
      <c r="E123" s="71">
        <f>SUM(E124:E129)</f>
        <v>0</v>
      </c>
      <c r="F123" s="71">
        <f t="shared" ref="F123" si="35">SUM(F124:F129)</f>
        <v>0</v>
      </c>
      <c r="G123" s="71">
        <f>SUM(G124:G129)</f>
        <v>0</v>
      </c>
      <c r="H123" s="71">
        <f t="shared" ref="H123:I123" si="36">SUM(H124:H129)</f>
        <v>0</v>
      </c>
      <c r="I123" s="71">
        <f t="shared" si="36"/>
        <v>0</v>
      </c>
    </row>
    <row r="124" spans="2:9" s="13" customFormat="1" ht="12.75" x14ac:dyDescent="0.2">
      <c r="B124" s="68">
        <v>23</v>
      </c>
      <c r="C124" s="305" t="s">
        <v>1458</v>
      </c>
      <c r="D124" s="311" t="s">
        <v>1459</v>
      </c>
      <c r="E124" s="72">
        <f>SUMIF(Adat!$Y:$Y,CONCATENATE(61,"0591211"),Adat!$E:$E)</f>
        <v>0</v>
      </c>
      <c r="F124" s="72">
        <f>SUMIF(Adat!$Y:$Y,CONCATENATE(60,"0591211"),Adat!$E:$E)+E124</f>
        <v>0</v>
      </c>
      <c r="G124" s="72">
        <f>SUMIF(Adat!$Z:$Z,CONCATENATE("(KÖT)","0591211"),Adat!$E:$E)</f>
        <v>0</v>
      </c>
      <c r="H124" s="72">
        <f>SUMIF(Adat!$Z:$Z,CONCATENATE("(ÖNV)","0591211"),Adat!$E:$E)</f>
        <v>0</v>
      </c>
      <c r="I124" s="72">
        <f>SUMIF(Adat!$Z:$Z,CONCATENATE("(ÁIG)","0591211"),Adat!$E:$E)</f>
        <v>0</v>
      </c>
    </row>
    <row r="125" spans="2:9" s="13" customFormat="1" ht="12.75" x14ac:dyDescent="0.2">
      <c r="B125" s="68">
        <v>24</v>
      </c>
      <c r="C125" s="305" t="s">
        <v>1460</v>
      </c>
      <c r="D125" s="311" t="s">
        <v>1461</v>
      </c>
      <c r="E125" s="72">
        <f>SUMIF(Adat!$Y:$Y,CONCATENATE(61,"0591221"),Adat!$E:$E)</f>
        <v>0</v>
      </c>
      <c r="F125" s="72">
        <f>SUMIF(Adat!$Y:$Y,CONCATENATE(60,"0591221"),Adat!$E:$E)+E125</f>
        <v>0</v>
      </c>
      <c r="G125" s="72">
        <f>SUMIF(Adat!$Z:$Z,CONCATENATE("(KÖT)","0591221"),Adat!$E:$E)</f>
        <v>0</v>
      </c>
      <c r="H125" s="72">
        <f>SUMIF(Adat!$Z:$Z,CONCATENATE("(ÖNV)","0591221"),Adat!$E:$E)</f>
        <v>0</v>
      </c>
      <c r="I125" s="72">
        <f>SUMIF(Adat!$Z:$Z,CONCATENATE("(ÁIG)","0591221"),Adat!$E:$E)</f>
        <v>0</v>
      </c>
    </row>
    <row r="126" spans="2:9" s="13" customFormat="1" ht="12.75" x14ac:dyDescent="0.2">
      <c r="B126" s="68">
        <v>25</v>
      </c>
      <c r="C126" s="305" t="s">
        <v>1462</v>
      </c>
      <c r="D126" s="311" t="s">
        <v>1463</v>
      </c>
      <c r="E126" s="72">
        <f>SUMIF(Adat!$Y:$Y,CONCATENATE(61,"0591231"),Adat!$E:$E)</f>
        <v>0</v>
      </c>
      <c r="F126" s="72">
        <f>SUMIF(Adat!$Y:$Y,CONCATENATE(60,"0591231"),Adat!$E:$E)+E126</f>
        <v>0</v>
      </c>
      <c r="G126" s="72">
        <f>SUMIF(Adat!$Z:$Z,CONCATENATE("(KÖT)","0591231"),Adat!$E:$E)</f>
        <v>0</v>
      </c>
      <c r="H126" s="72">
        <f>SUMIF(Adat!$Z:$Z,CONCATENATE("(ÖNV)","0591231"),Adat!$E:$E)</f>
        <v>0</v>
      </c>
      <c r="I126" s="72">
        <f>SUMIF(Adat!$Z:$Z,CONCATENATE("(ÁIG)","0591231"),Adat!$E:$E)</f>
        <v>0</v>
      </c>
    </row>
    <row r="127" spans="2:9" s="13" customFormat="1" ht="12.75" x14ac:dyDescent="0.2">
      <c r="B127" s="68">
        <v>26</v>
      </c>
      <c r="C127" s="305" t="s">
        <v>1464</v>
      </c>
      <c r="D127" s="311" t="s">
        <v>1465</v>
      </c>
      <c r="E127" s="72">
        <f>SUMIF(Adat!$Y:$Y,CONCATENATE(61,"0591241"),Adat!$E:$E)</f>
        <v>0</v>
      </c>
      <c r="F127" s="72">
        <f>SUMIF(Adat!$Y:$Y,CONCATENATE(60,"0591241"),Adat!$E:$E)+E127</f>
        <v>0</v>
      </c>
      <c r="G127" s="72">
        <f>SUMIF(Adat!$Z:$Z,CONCATENATE("(KÖT)","0591241"),Adat!$E:$E)</f>
        <v>0</v>
      </c>
      <c r="H127" s="72">
        <f>SUMIF(Adat!$Z:$Z,CONCATENATE("(ÖNV)","0591241"),Adat!$E:$E)</f>
        <v>0</v>
      </c>
      <c r="I127" s="72">
        <f>SUMIF(Adat!$Z:$Z,CONCATENATE("(ÁIG)","0591241"),Adat!$E:$E)</f>
        <v>0</v>
      </c>
    </row>
    <row r="128" spans="2:9" s="13" customFormat="1" ht="12.75" x14ac:dyDescent="0.2">
      <c r="B128" s="68">
        <v>27</v>
      </c>
      <c r="C128" s="305" t="s">
        <v>1466</v>
      </c>
      <c r="D128" s="311" t="s">
        <v>1467</v>
      </c>
      <c r="E128" s="72">
        <f>SUMIF(Adat!$Y:$Y,CONCATENATE(61,"0591251"),Adat!$E:$E)</f>
        <v>0</v>
      </c>
      <c r="F128" s="72">
        <f>SUMIF(Adat!$Y:$Y,CONCATENATE(60,"0591251"),Adat!$E:$E)+E128</f>
        <v>0</v>
      </c>
      <c r="G128" s="72">
        <f>SUMIF(Adat!$Z:$Z,CONCATENATE("(KÖT)","0591251"),Adat!$E:$E)</f>
        <v>0</v>
      </c>
      <c r="H128" s="72">
        <f>SUMIF(Adat!$Z:$Z,CONCATENATE("(ÖNV)","0591251"),Adat!$E:$E)</f>
        <v>0</v>
      </c>
      <c r="I128" s="72">
        <f>SUMIF(Adat!$Z:$Z,CONCATENATE("(ÁIG)","0591251"),Adat!$E:$E)</f>
        <v>0</v>
      </c>
    </row>
    <row r="129" spans="2:17" s="13" customFormat="1" ht="12.75" x14ac:dyDescent="0.2">
      <c r="B129" s="68">
        <v>28</v>
      </c>
      <c r="C129" s="305" t="s">
        <v>1468</v>
      </c>
      <c r="D129" s="311" t="s">
        <v>1469</v>
      </c>
      <c r="E129" s="72">
        <f>SUMIF(Adat!$Y:$Y,CONCATENATE(61,"0591261"),Adat!$E:$E)</f>
        <v>0</v>
      </c>
      <c r="F129" s="72">
        <f>SUMIF(Adat!$Y:$Y,CONCATENATE(60,"0591261"),Adat!$E:$E)+E129</f>
        <v>0</v>
      </c>
      <c r="G129" s="72">
        <f>SUMIF(Adat!$Z:$Z,CONCATENATE("(KÖT)","0591261"),Adat!$E:$E)</f>
        <v>0</v>
      </c>
      <c r="H129" s="72">
        <f>SUMIF(Adat!$Z:$Z,CONCATENATE("(ÖNV)","0591261"),Adat!$E:$E)</f>
        <v>0</v>
      </c>
      <c r="I129" s="72">
        <f>SUMIF(Adat!$Z:$Z,CONCATENATE("(ÁIG)","0591261"),Adat!$E:$E)</f>
        <v>0</v>
      </c>
    </row>
    <row r="130" spans="2:17" s="13" customFormat="1" ht="12.75" x14ac:dyDescent="0.2">
      <c r="B130" s="68">
        <v>29</v>
      </c>
      <c r="C130" s="78" t="s">
        <v>379</v>
      </c>
      <c r="D130" s="304" t="s">
        <v>1470</v>
      </c>
      <c r="E130" s="71">
        <f>SUM(E131:E134)</f>
        <v>24305683</v>
      </c>
      <c r="F130" s="71">
        <f t="shared" ref="F130" si="37">SUM(F131:F134)</f>
        <v>24765647</v>
      </c>
      <c r="G130" s="71">
        <f>SUM(G131:G134)</f>
        <v>24765647</v>
      </c>
      <c r="H130" s="71">
        <f t="shared" ref="H130:I130" si="38">SUM(H131:H134)</f>
        <v>0</v>
      </c>
      <c r="I130" s="71">
        <f t="shared" si="38"/>
        <v>0</v>
      </c>
    </row>
    <row r="131" spans="2:17" s="13" customFormat="1" ht="12.75" x14ac:dyDescent="0.2">
      <c r="B131" s="68">
        <v>30</v>
      </c>
      <c r="C131" s="305" t="s">
        <v>1471</v>
      </c>
      <c r="D131" s="311" t="s">
        <v>1472</v>
      </c>
      <c r="E131" s="72">
        <f>SUMIF(Adat!$Y:$Y,CONCATENATE(61,"059131"),Adat!$E:$E)</f>
        <v>0</v>
      </c>
      <c r="F131" s="72">
        <f>SUMIF(Adat!$Y:$Y,CONCATENATE(60,"059131"),Adat!$E:$E)+E131</f>
        <v>0</v>
      </c>
      <c r="G131" s="72">
        <f>SUMIF(Adat!$Z:$Z,CONCATENATE("(KÖT)","059131"),Adat!$E:$E)</f>
        <v>0</v>
      </c>
      <c r="H131" s="72">
        <f>SUMIF(Adat!$Z:$Z,CONCATENATE("(ÖNV)","059131"),Adat!$E:$E)</f>
        <v>0</v>
      </c>
      <c r="I131" s="72">
        <f>SUMIF(Adat!$Z:$Z,CONCATENATE("(ÁIG)","059131"),Adat!$E:$E)</f>
        <v>0</v>
      </c>
    </row>
    <row r="132" spans="2:17" s="13" customFormat="1" ht="12.75" x14ac:dyDescent="0.2">
      <c r="B132" s="68">
        <v>31</v>
      </c>
      <c r="C132" s="305" t="s">
        <v>1287</v>
      </c>
      <c r="D132" s="311" t="s">
        <v>1473</v>
      </c>
      <c r="E132" s="72">
        <f>SUMIF(Adat!$Y:$Y,CONCATENATE(61,"059141"),Adat!$E:$E)</f>
        <v>23155891</v>
      </c>
      <c r="F132" s="72">
        <f>SUMIF(Adat!$Y:$Y,CONCATENATE(60,"059141"),Adat!$E:$E)+E132</f>
        <v>23615855</v>
      </c>
      <c r="G132" s="72">
        <f>SUMIF(Adat!$Z:$Z,CONCATENATE("(KÖT)","059141"),Adat!$E:$E)</f>
        <v>23615855</v>
      </c>
      <c r="H132" s="72">
        <f>SUMIF(Adat!$Z:$Z,CONCATENATE("(ÖNV)","059141"),Adat!$E:$E)</f>
        <v>0</v>
      </c>
      <c r="I132" s="72">
        <f>SUMIF(Adat!$Z:$Z,CONCATENATE("(ÁIG)","059141"),Adat!$E:$E)</f>
        <v>0</v>
      </c>
    </row>
    <row r="133" spans="2:17" s="13" customFormat="1" ht="12.75" x14ac:dyDescent="0.2">
      <c r="B133" s="68">
        <v>32</v>
      </c>
      <c r="C133" s="305" t="s">
        <v>1474</v>
      </c>
      <c r="D133" s="311" t="s">
        <v>1475</v>
      </c>
      <c r="E133" s="72">
        <f>SUMIF(Adat!$Y:$Y,CONCATENATE(61,"059161"),Adat!$E:$E)</f>
        <v>0</v>
      </c>
      <c r="F133" s="72">
        <f>SUMIF(Adat!$Y:$Y,CONCATENATE(60,"059161"),Adat!$E:$E)+E133</f>
        <v>0</v>
      </c>
      <c r="G133" s="72">
        <f>SUMIF(Adat!$Z:$Z,CONCATENATE("(KÖT)","059161"),Adat!$E:$E)</f>
        <v>0</v>
      </c>
      <c r="H133" s="72">
        <f>SUMIF(Adat!$Z:$Z,CONCATENATE("(ÖNV)","059161"),Adat!$E:$E)</f>
        <v>0</v>
      </c>
      <c r="I133" s="72">
        <f>SUMIF(Adat!$Z:$Z,CONCATENATE("(ÁIG)","059161"),Adat!$E:$E)</f>
        <v>0</v>
      </c>
    </row>
    <row r="134" spans="2:17" s="13" customFormat="1" ht="12.75" x14ac:dyDescent="0.2">
      <c r="B134" s="68">
        <v>33</v>
      </c>
      <c r="C134" s="305" t="s">
        <v>1476</v>
      </c>
      <c r="D134" s="311" t="s">
        <v>1477</v>
      </c>
      <c r="E134" s="72">
        <f>SUMIF(Adat!$Y:$Y,CONCATENATE(61,"059171"),Adat!$E:$E)</f>
        <v>1149792</v>
      </c>
      <c r="F134" s="72">
        <f>SUMIF(Adat!$Y:$Y,CONCATENATE(60,"059171"),Adat!$E:$E)+E134</f>
        <v>1149792</v>
      </c>
      <c r="G134" s="72">
        <f>SUMIF(Adat!$Z:$Z,CONCATENATE("(KÖT)","059171"),Adat!$E:$E)</f>
        <v>1149792</v>
      </c>
      <c r="H134" s="72">
        <f>SUMIF(Adat!$Z:$Z,CONCATENATE("(ÖNV)","059171"),Adat!$E:$E)</f>
        <v>0</v>
      </c>
      <c r="I134" s="72">
        <f>SUMIF(Adat!$Z:$Z,CONCATENATE("(ÁIG)","059171"),Adat!$E:$E)</f>
        <v>0</v>
      </c>
    </row>
    <row r="135" spans="2:17" s="13" customFormat="1" ht="12.75" x14ac:dyDescent="0.2">
      <c r="B135" s="68">
        <v>34</v>
      </c>
      <c r="C135" s="78" t="s">
        <v>420</v>
      </c>
      <c r="D135" s="304" t="s">
        <v>1478</v>
      </c>
      <c r="E135" s="71">
        <f>SUM(E136:E140)</f>
        <v>0</v>
      </c>
      <c r="F135" s="71">
        <f t="shared" ref="F135" si="39">SUM(F136:F140)</f>
        <v>0</v>
      </c>
      <c r="G135" s="71">
        <f>SUM(G136:G140)</f>
        <v>0</v>
      </c>
      <c r="H135" s="71">
        <f t="shared" ref="H135:I135" si="40">SUM(H136:H140)</f>
        <v>0</v>
      </c>
      <c r="I135" s="71">
        <f t="shared" si="40"/>
        <v>0</v>
      </c>
    </row>
    <row r="136" spans="2:17" s="13" customFormat="1" ht="12.75" x14ac:dyDescent="0.2">
      <c r="B136" s="68">
        <v>35</v>
      </c>
      <c r="C136" s="305" t="s">
        <v>1479</v>
      </c>
      <c r="D136" s="311" t="s">
        <v>1480</v>
      </c>
      <c r="E136" s="72">
        <f>SUMIF(Adat!$Y:$Y,CONCATENATE(61,"059211"),Adat!$E:$E)</f>
        <v>0</v>
      </c>
      <c r="F136" s="72">
        <f>SUMIF(Adat!$Y:$Y,CONCATENATE(60,"059211"),Adat!$E:$E)+E136</f>
        <v>0</v>
      </c>
      <c r="G136" s="72">
        <f>SUMIF(Adat!$Z:$Z,CONCATENATE("(KÖT)","059211"),Adat!$E:$E)</f>
        <v>0</v>
      </c>
      <c r="H136" s="72">
        <f>SUMIF(Adat!$Z:$Z,CONCATENATE("(ÖNV)","059211"),Adat!$E:$E)</f>
        <v>0</v>
      </c>
      <c r="I136" s="72">
        <f>SUMIF(Adat!$Z:$Z,CONCATENATE("(ÁIG)","059211"),Adat!$E:$E)</f>
        <v>0</v>
      </c>
    </row>
    <row r="137" spans="2:17" s="13" customFormat="1" ht="12.75" x14ac:dyDescent="0.2">
      <c r="B137" s="68">
        <v>36</v>
      </c>
      <c r="C137" s="305" t="s">
        <v>1481</v>
      </c>
      <c r="D137" s="311" t="s">
        <v>1482</v>
      </c>
      <c r="E137" s="72">
        <f>SUMIF(Adat!$Y:$Y,CONCATENATE(61,"059221"),Adat!$E:$E)</f>
        <v>0</v>
      </c>
      <c r="F137" s="72">
        <f>SUMIF(Adat!$Y:$Y,CONCATENATE(60,"059221"),Adat!$E:$E)+E137</f>
        <v>0</v>
      </c>
      <c r="G137" s="72">
        <f>SUMIF(Adat!$Z:$Z,CONCATENATE("(KÖT)","059221"),Adat!$E:$E)</f>
        <v>0</v>
      </c>
      <c r="H137" s="72">
        <f>SUMIF(Adat!$Z:$Z,CONCATENATE("(ÖNV)","059221"),Adat!$E:$E)</f>
        <v>0</v>
      </c>
      <c r="I137" s="72">
        <f>SUMIF(Adat!$Z:$Z,CONCATENATE("(ÁIG)","059221"),Adat!$E:$E)</f>
        <v>0</v>
      </c>
    </row>
    <row r="138" spans="2:17" s="13" customFormat="1" ht="12.75" x14ac:dyDescent="0.2">
      <c r="B138" s="68">
        <v>37</v>
      </c>
      <c r="C138" s="305" t="s">
        <v>1483</v>
      </c>
      <c r="D138" s="311" t="s">
        <v>1484</v>
      </c>
      <c r="E138" s="72">
        <f>SUMIF(Adat!$Y:$Y,CONCATENATE(61,"059231"),Adat!$E:$E)</f>
        <v>0</v>
      </c>
      <c r="F138" s="72">
        <f>SUMIF(Adat!$Y:$Y,CONCATENATE(60,"059231"),Adat!$E:$E)+E138</f>
        <v>0</v>
      </c>
      <c r="G138" s="72">
        <f>SUMIF(Adat!$Z:$Z,CONCATENATE("(KÖT)","059231"),Adat!$E:$E)</f>
        <v>0</v>
      </c>
      <c r="H138" s="72">
        <f>SUMIF(Adat!$Z:$Z,CONCATENATE("(ÖNV)","059231"),Adat!$E:$E)</f>
        <v>0</v>
      </c>
      <c r="I138" s="72">
        <f>SUMIF(Adat!$Z:$Z,CONCATENATE("(ÁIG)","059231"),Adat!$E:$E)</f>
        <v>0</v>
      </c>
    </row>
    <row r="139" spans="2:17" s="13" customFormat="1" ht="12.75" x14ac:dyDescent="0.2">
      <c r="B139" s="68">
        <v>38</v>
      </c>
      <c r="C139" s="305" t="s">
        <v>1485</v>
      </c>
      <c r="D139" s="311" t="s">
        <v>1486</v>
      </c>
      <c r="E139" s="72">
        <f>SUMIF(Adat!$Y:$Y,CONCATENATE(61,"059241"),Adat!$E:$E)</f>
        <v>0</v>
      </c>
      <c r="F139" s="72">
        <f>SUMIF(Adat!$Y:$Y,CONCATENATE(60,"059241"),Adat!$E:$E)+E139</f>
        <v>0</v>
      </c>
      <c r="G139" s="72">
        <f>SUMIF(Adat!$Z:$Z,CONCATENATE("(KÖT)","059241"),Adat!$E:$E)</f>
        <v>0</v>
      </c>
      <c r="H139" s="72">
        <f>SUMIF(Adat!$Z:$Z,CONCATENATE("(ÖNV)","059241"),Adat!$E:$E)</f>
        <v>0</v>
      </c>
      <c r="I139" s="72">
        <f>SUMIF(Adat!$Z:$Z,CONCATENATE("(ÁIG)","059241"),Adat!$E:$E)</f>
        <v>0</v>
      </c>
    </row>
    <row r="140" spans="2:17" s="13" customFormat="1" ht="12.75" x14ac:dyDescent="0.2">
      <c r="B140" s="68">
        <v>39</v>
      </c>
      <c r="C140" s="305" t="s">
        <v>1487</v>
      </c>
      <c r="D140" s="311" t="s">
        <v>1488</v>
      </c>
      <c r="E140" s="72">
        <f>SUMIF(Adat!$Y:$Y,CONCATENATE(61,"059251"),Adat!$E:$E)</f>
        <v>0</v>
      </c>
      <c r="F140" s="72">
        <f>SUMIF(Adat!$Y:$Y,CONCATENATE(60,"059251"),Adat!$E:$E)+E140</f>
        <v>0</v>
      </c>
      <c r="G140" s="72">
        <f>SUMIF(Adat!$Z:$Z,CONCATENATE("(KÖT)","059251"),Adat!$E:$E)</f>
        <v>0</v>
      </c>
      <c r="H140" s="72">
        <f>SUMIF(Adat!$Z:$Z,CONCATENATE("(ÖNV)","059251"),Adat!$E:$E)</f>
        <v>0</v>
      </c>
      <c r="I140" s="72">
        <f>SUMIF(Adat!$Z:$Z,CONCATENATE("(ÁIG)","059251"),Adat!$E:$E)</f>
        <v>0</v>
      </c>
    </row>
    <row r="141" spans="2:17" s="13" customFormat="1" ht="12.75" x14ac:dyDescent="0.2">
      <c r="B141" s="68">
        <v>40</v>
      </c>
      <c r="C141" s="78" t="s">
        <v>390</v>
      </c>
      <c r="D141" s="304" t="s">
        <v>1489</v>
      </c>
      <c r="E141" s="71">
        <f>SUMIF(Adat!$Y:$Y,CONCATENATE(61,"05931"),Adat!$E:$E)</f>
        <v>0</v>
      </c>
      <c r="F141" s="71">
        <f>SUMIF(Adat!$Y:$Y,CONCATENATE(60,"05931"),Adat!$E:$E)+E141</f>
        <v>0</v>
      </c>
      <c r="G141" s="71">
        <f>SUMIF(Adat!$Z:$Z,CONCATENATE("(KÖT)","05931"),Adat!$E:$E)</f>
        <v>0</v>
      </c>
      <c r="H141" s="71">
        <f>SUMIF(Adat!$Z:$Z,CONCATENATE("(ÖNV)","05931"),Adat!$E:$E)</f>
        <v>0</v>
      </c>
      <c r="I141" s="71">
        <f>SUMIF(Adat!$Z:$Z,CONCATENATE("(ÁIG)","05931"),Adat!$E:$E)</f>
        <v>0</v>
      </c>
    </row>
    <row r="142" spans="2:17" s="13" customFormat="1" ht="12.75" x14ac:dyDescent="0.2">
      <c r="B142" s="68">
        <v>41</v>
      </c>
      <c r="C142" s="78" t="s">
        <v>429</v>
      </c>
      <c r="D142" s="304" t="s">
        <v>1490</v>
      </c>
      <c r="E142" s="71">
        <f>SUMIF(Adat!$Y:$Y,CONCATENATE(61,"05941"),Adat!$E:$E)</f>
        <v>0</v>
      </c>
      <c r="F142" s="71">
        <f>SUMIF(Adat!$Y:$Y,CONCATENATE(60,"05941"),Adat!$E:$E)+E142</f>
        <v>0</v>
      </c>
      <c r="G142" s="71">
        <f>SUMIF(Adat!$Z:$Z,CONCATENATE("(KÖT)","05941"),Adat!$E:$E)</f>
        <v>0</v>
      </c>
      <c r="H142" s="71">
        <f>SUMIF(Adat!$Z:$Z,CONCATENATE("(ÖNV)","05941"),Adat!$E:$E)</f>
        <v>0</v>
      </c>
      <c r="I142" s="71">
        <f>SUMIF(Adat!$Z:$Z,CONCATENATE("(ÁIG)","05941"),Adat!$E:$E)</f>
        <v>0</v>
      </c>
    </row>
    <row r="143" spans="2:17" s="13" customFormat="1" ht="12.75" x14ac:dyDescent="0.2">
      <c r="B143" s="68">
        <v>42</v>
      </c>
      <c r="C143" s="78" t="s">
        <v>431</v>
      </c>
      <c r="D143" s="79" t="s">
        <v>432</v>
      </c>
      <c r="E143" s="71">
        <f t="shared" ref="E143:F143" si="41">E119+E123+E130+E135+E141+E142</f>
        <v>39035411</v>
      </c>
      <c r="F143" s="71">
        <f t="shared" si="41"/>
        <v>39495375</v>
      </c>
      <c r="G143" s="71">
        <f>G119+G123+G130+G135+G141+G142</f>
        <v>39495375</v>
      </c>
      <c r="H143" s="71">
        <f t="shared" ref="H143:I143" si="42">H119+H123+H130+H135+H141+H142</f>
        <v>0</v>
      </c>
      <c r="I143" s="71">
        <f t="shared" si="42"/>
        <v>0</v>
      </c>
      <c r="N143" s="30"/>
      <c r="O143" s="30"/>
      <c r="P143" s="30"/>
      <c r="Q143" s="30"/>
    </row>
    <row r="144" spans="2:17" s="13" customFormat="1" ht="12.75" x14ac:dyDescent="0.2">
      <c r="B144" s="68">
        <v>43</v>
      </c>
      <c r="C144" s="154" t="s">
        <v>433</v>
      </c>
      <c r="D144" s="85" t="s">
        <v>434</v>
      </c>
      <c r="E144" s="71">
        <f t="shared" ref="E144:F144" si="43">E118+E143</f>
        <v>1668530568</v>
      </c>
      <c r="F144" s="71">
        <f t="shared" si="43"/>
        <v>1655160752</v>
      </c>
      <c r="G144" s="71">
        <f>G118+G143</f>
        <v>1526195603</v>
      </c>
      <c r="H144" s="71">
        <f t="shared" ref="H144:I144" si="44">H118+H143</f>
        <v>128965149</v>
      </c>
      <c r="I144" s="71">
        <f t="shared" si="44"/>
        <v>0</v>
      </c>
      <c r="K144" s="46"/>
      <c r="M144" s="46"/>
    </row>
    <row r="145" spans="5:9" ht="6" customHeight="1" x14ac:dyDescent="0.25"/>
    <row r="147" spans="5:9" x14ac:dyDescent="0.25">
      <c r="E147" s="21">
        <f>E97-E144</f>
        <v>0</v>
      </c>
      <c r="F147" s="21">
        <f>F97-F144</f>
        <v>0</v>
      </c>
      <c r="G147" s="21">
        <f t="shared" ref="G147:I147" si="45">G97-G144</f>
        <v>88791613</v>
      </c>
      <c r="H147" s="21">
        <f t="shared" si="45"/>
        <v>-88791613</v>
      </c>
      <c r="I147" s="21">
        <f t="shared" si="45"/>
        <v>0</v>
      </c>
    </row>
  </sheetData>
  <sheetProtection algorithmName="SHA-512" hashValue="vWeFaCFtij9YWsNuIYrpxt2/YqjW1P6RgVOtR9ei1VNDzOitZWoRpOtoiAW+ONtTisw1d3TiteLpGvXUQ79A7w==" saltValue="pwkfqNMIEf9exbtE5Tcpuw==" spinCount="100000" sheet="1" objects="1" scenarios="1" formatCells="0" formatColumns="0" formatRows="0"/>
  <mergeCells count="5">
    <mergeCell ref="C100:D100"/>
    <mergeCell ref="B2:I2"/>
    <mergeCell ref="B4:I4"/>
    <mergeCell ref="B5:I5"/>
    <mergeCell ref="B6:I6"/>
  </mergeCells>
  <printOptions horizontalCentered="1"/>
  <pageMargins left="0.39370078740157483" right="0.39370078740157483" top="0.39370078740157483" bottom="0.78740157480314965" header="0.78740157480314965" footer="0.59055118110236227"/>
  <pageSetup paperSize="9" scale="70" fitToHeight="5" orientation="portrait" r:id="rId1"/>
  <headerFooter alignWithMargins="0">
    <oddHeader>&amp;C&amp;"Times New Roman CE,Félkövér"</oddHeader>
  </headerFooter>
  <rowBreaks count="2" manualBreakCount="2">
    <brk id="71" max="4" man="1"/>
    <brk id="118" max="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Munka18">
    <tabColor theme="4" tint="0.59999389629810485"/>
    <pageSetUpPr fitToPage="1"/>
  </sheetPr>
  <dimension ref="A1:IX25"/>
  <sheetViews>
    <sheetView view="pageBreakPreview" zoomScaleSheetLayoutView="100" workbookViewId="0">
      <selection activeCell="K9" sqref="K9"/>
    </sheetView>
  </sheetViews>
  <sheetFormatPr defaultColWidth="9" defaultRowHeight="12.75" x14ac:dyDescent="0.2"/>
  <cols>
    <col min="1" max="1" width="0.875" style="22" customWidth="1"/>
    <col min="2" max="2" width="5.625" style="22" customWidth="1"/>
    <col min="3" max="3" width="43.375" style="23" customWidth="1"/>
    <col min="4" max="5" width="12.625" style="22" customWidth="1"/>
    <col min="6" max="6" width="43.375" style="22" customWidth="1"/>
    <col min="7" max="8" width="12.625" style="22" customWidth="1"/>
    <col min="9" max="9" width="0.875" style="22" customWidth="1"/>
    <col min="10" max="258" width="9" style="22"/>
    <col min="259" max="16384" width="9" style="106"/>
  </cols>
  <sheetData>
    <row r="1" spans="1:258" ht="6" customHeight="1" x14ac:dyDescent="0.2"/>
    <row r="2" spans="1:258" ht="15.75" customHeight="1" x14ac:dyDescent="0.2">
      <c r="B2" s="513" t="str">
        <f>CONCATENATE(Index!$C$22," a(z) ",Index!$E$16," önkormányzati rendelethez")</f>
        <v>3. melléklet a(z) .../2025. (...) önkormányzati rendelethez</v>
      </c>
      <c r="C2" s="513"/>
      <c r="D2" s="513"/>
      <c r="E2" s="513"/>
      <c r="F2" s="513"/>
      <c r="G2" s="513"/>
      <c r="H2" s="513"/>
    </row>
    <row r="3" spans="1:258" ht="15.75" x14ac:dyDescent="0.2">
      <c r="C3" s="137"/>
      <c r="D3" s="137"/>
      <c r="E3" s="137"/>
      <c r="F3" s="137"/>
      <c r="G3" s="137"/>
      <c r="H3" s="137"/>
    </row>
    <row r="4" spans="1:258" ht="15.75" customHeight="1" x14ac:dyDescent="0.2">
      <c r="B4" s="514" t="str">
        <f>CONCATENATE(PAR!E3)</f>
        <v>Nagymaros Város Önkormányzata</v>
      </c>
      <c r="C4" s="514"/>
      <c r="D4" s="514"/>
      <c r="E4" s="514"/>
      <c r="F4" s="514"/>
      <c r="G4" s="514"/>
      <c r="H4" s="514"/>
    </row>
    <row r="5" spans="1:258" ht="15.75" customHeight="1" x14ac:dyDescent="0.2">
      <c r="B5" s="514" t="str">
        <f>CONCATENATE(PAR!H3," évi működési célú bevételek és kiadások egyenlege önkormányzati szinten")</f>
        <v>2025. évi működési célú bevételek és kiadások egyenlege önkormányzati szinten</v>
      </c>
      <c r="C5" s="514"/>
      <c r="D5" s="514"/>
      <c r="E5" s="514"/>
      <c r="F5" s="514"/>
      <c r="G5" s="514"/>
      <c r="H5" s="514"/>
    </row>
    <row r="6" spans="1:258" ht="15.75" customHeight="1" x14ac:dyDescent="0.2">
      <c r="B6" s="515" t="s">
        <v>337</v>
      </c>
      <c r="C6" s="515"/>
      <c r="D6" s="515"/>
      <c r="E6" s="515"/>
      <c r="F6" s="515"/>
      <c r="G6" s="515"/>
      <c r="H6" s="515"/>
    </row>
    <row r="7" spans="1:258" x14ac:dyDescent="0.2">
      <c r="A7" s="24"/>
      <c r="B7" s="24"/>
      <c r="C7" s="25"/>
      <c r="D7" s="24"/>
      <c r="E7" s="24"/>
      <c r="F7" s="24"/>
      <c r="G7" s="26"/>
      <c r="H7" s="26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</row>
    <row r="8" spans="1:258" x14ac:dyDescent="0.2">
      <c r="B8" s="108"/>
      <c r="C8" s="108" t="s">
        <v>350</v>
      </c>
      <c r="D8" s="108" t="s">
        <v>351</v>
      </c>
      <c r="E8" s="108" t="s">
        <v>470</v>
      </c>
      <c r="F8" s="108" t="s">
        <v>471</v>
      </c>
      <c r="G8" s="114" t="s">
        <v>44</v>
      </c>
      <c r="H8" s="114" t="s">
        <v>42</v>
      </c>
    </row>
    <row r="9" spans="1:258" ht="38.25" x14ac:dyDescent="0.2">
      <c r="A9" s="27"/>
      <c r="B9" s="108">
        <v>1</v>
      </c>
      <c r="C9" s="107" t="s">
        <v>457</v>
      </c>
      <c r="D9" s="69" t="str">
        <f>CONCATENATE(PAR!$H$3," évi 
eredeti 
előirányzat")</f>
        <v>2025. évi 
eredeti 
előirányzat</v>
      </c>
      <c r="E9" s="69" t="str">
        <f>CONCATENATE(PAR!$H$3," évi 
módosított 
előirányzat")</f>
        <v>2025. évi 
módosított 
előirányzat</v>
      </c>
      <c r="F9" s="107" t="s">
        <v>394</v>
      </c>
      <c r="G9" s="69" t="str">
        <f>CONCATENATE(PAR!$H$3," évi 
eredeti 
előirányzat")</f>
        <v>2025. évi 
eredeti 
előirányzat</v>
      </c>
      <c r="H9" s="69" t="str">
        <f>CONCATENATE(PAR!$H$3," évi 
módosított 
előirányzat")</f>
        <v>2025. évi 
módosított 
előirányzat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</row>
    <row r="10" spans="1:258" x14ac:dyDescent="0.2">
      <c r="B10" s="108">
        <v>2</v>
      </c>
      <c r="C10" s="109" t="s">
        <v>435</v>
      </c>
      <c r="D10" s="110">
        <f>'02'!$E$12</f>
        <v>783508374</v>
      </c>
      <c r="E10" s="110">
        <f>'02'!$F$12</f>
        <v>798987797</v>
      </c>
      <c r="F10" s="109" t="s">
        <v>436</v>
      </c>
      <c r="G10" s="110">
        <f>'02'!$E$104</f>
        <v>672205842</v>
      </c>
      <c r="H10" s="110">
        <f>'02'!$F$104</f>
        <v>674892546</v>
      </c>
    </row>
    <row r="11" spans="1:258" x14ac:dyDescent="0.2">
      <c r="B11" s="108">
        <v>3</v>
      </c>
      <c r="C11" s="109" t="s">
        <v>437</v>
      </c>
      <c r="D11" s="110">
        <f>'02'!$E$20</f>
        <v>8184480</v>
      </c>
      <c r="E11" s="110">
        <f>'02'!$F$20</f>
        <v>8184480</v>
      </c>
      <c r="F11" s="109" t="s">
        <v>395</v>
      </c>
      <c r="G11" s="110">
        <f>'02'!$E$105</f>
        <v>84719570</v>
      </c>
      <c r="H11" s="110">
        <f>'02'!$F$105</f>
        <v>84827106</v>
      </c>
    </row>
    <row r="12" spans="1:258" x14ac:dyDescent="0.2">
      <c r="B12" s="108">
        <v>4</v>
      </c>
      <c r="C12" s="109" t="s">
        <v>329</v>
      </c>
      <c r="D12" s="110">
        <f>'02'!$E$39</f>
        <v>189182240</v>
      </c>
      <c r="E12" s="110">
        <f>'02'!$F$39</f>
        <v>189182240</v>
      </c>
      <c r="F12" s="109" t="s">
        <v>438</v>
      </c>
      <c r="G12" s="110">
        <f>'02'!$E$106</f>
        <v>543944688</v>
      </c>
      <c r="H12" s="110">
        <f>'02'!$F$106</f>
        <v>544154976</v>
      </c>
    </row>
    <row r="13" spans="1:258" x14ac:dyDescent="0.2">
      <c r="B13" s="108">
        <v>5</v>
      </c>
      <c r="C13" s="109" t="s">
        <v>331</v>
      </c>
      <c r="D13" s="110">
        <f>'02'!$E$59</f>
        <v>0</v>
      </c>
      <c r="E13" s="110">
        <f>'02'!$F$59</f>
        <v>1250400</v>
      </c>
      <c r="F13" s="109" t="s">
        <v>345</v>
      </c>
      <c r="G13" s="110">
        <f>'02'!$E$107</f>
        <v>8000000</v>
      </c>
      <c r="H13" s="110">
        <f>'02'!$F$107</f>
        <v>8000000</v>
      </c>
    </row>
    <row r="14" spans="1:258" x14ac:dyDescent="0.2">
      <c r="B14" s="108">
        <v>6</v>
      </c>
      <c r="C14" s="109" t="s">
        <v>328</v>
      </c>
      <c r="D14" s="110">
        <f>'02'!$E$32</f>
        <v>341800000</v>
      </c>
      <c r="E14" s="110">
        <f>'02'!$F$32</f>
        <v>341800000</v>
      </c>
      <c r="F14" s="109" t="s">
        <v>321</v>
      </c>
      <c r="G14" s="110">
        <f>'02'!$E$108</f>
        <v>51753479</v>
      </c>
      <c r="H14" s="110">
        <f>'02'!$F$108</f>
        <v>55469363</v>
      </c>
    </row>
    <row r="15" spans="1:258" x14ac:dyDescent="0.2">
      <c r="B15" s="108">
        <v>7</v>
      </c>
      <c r="C15" s="109"/>
      <c r="D15" s="110"/>
      <c r="E15" s="110"/>
      <c r="F15" s="109" t="s">
        <v>397</v>
      </c>
      <c r="G15" s="110">
        <f>'02'!$E$109</f>
        <v>100224060</v>
      </c>
      <c r="H15" s="110">
        <f>'02'!$F$109</f>
        <v>79673868</v>
      </c>
    </row>
    <row r="16" spans="1:258" x14ac:dyDescent="0.2">
      <c r="B16" s="108">
        <v>8</v>
      </c>
      <c r="C16" s="111" t="s">
        <v>439</v>
      </c>
      <c r="D16" s="95">
        <f>SUM(D10:D15)</f>
        <v>1322675094</v>
      </c>
      <c r="E16" s="95">
        <f>SUM(E10:E15)</f>
        <v>1339404917</v>
      </c>
      <c r="F16" s="111" t="s">
        <v>440</v>
      </c>
      <c r="G16" s="95">
        <f>SUM(G10:G15)</f>
        <v>1460847639</v>
      </c>
      <c r="H16" s="95">
        <f>SUM(H10:H15)</f>
        <v>1447017859</v>
      </c>
    </row>
    <row r="17" spans="1:258" x14ac:dyDescent="0.2">
      <c r="B17" s="108">
        <v>9</v>
      </c>
      <c r="C17" s="111" t="s">
        <v>441</v>
      </c>
      <c r="D17" s="95">
        <f>'02'!$E$96-'04'!$D$15</f>
        <v>240954908</v>
      </c>
      <c r="E17" s="95">
        <f>'02'!$F$96-'04'!$E$15</f>
        <v>241414872</v>
      </c>
      <c r="F17" s="111" t="s">
        <v>442</v>
      </c>
      <c r="G17" s="95">
        <f>'02'!$E$143-'04'!$G$15</f>
        <v>39035411</v>
      </c>
      <c r="H17" s="95">
        <f>'02'!$F$143-'04'!$H$15</f>
        <v>39495375</v>
      </c>
    </row>
    <row r="18" spans="1:258" x14ac:dyDescent="0.2">
      <c r="B18" s="108">
        <v>10</v>
      </c>
      <c r="C18" s="111" t="s">
        <v>443</v>
      </c>
      <c r="D18" s="95">
        <f>D16+D17</f>
        <v>1563630002</v>
      </c>
      <c r="E18" s="95">
        <f>E16+E17</f>
        <v>1580819789</v>
      </c>
      <c r="F18" s="111" t="s">
        <v>444</v>
      </c>
      <c r="G18" s="95">
        <f>G16+G17</f>
        <v>1499883050</v>
      </c>
      <c r="H18" s="95">
        <f>H16+H17</f>
        <v>1486513234</v>
      </c>
    </row>
    <row r="19" spans="1:258" x14ac:dyDescent="0.2">
      <c r="B19" s="108">
        <v>11</v>
      </c>
      <c r="C19" s="111" t="s">
        <v>445</v>
      </c>
      <c r="D19" s="95">
        <f>IF(D16-G16&lt;0,G16-D16," ")</f>
        <v>138172545</v>
      </c>
      <c r="E19" s="95">
        <f>IF(E16-H16&lt;0,H16-E16," ")</f>
        <v>107612942</v>
      </c>
      <c r="F19" s="111" t="s">
        <v>446</v>
      </c>
      <c r="G19" s="95" t="str">
        <f>IF(D16-G16&gt;0,D16-G16," ")</f>
        <v xml:space="preserve"> </v>
      </c>
      <c r="H19" s="95" t="str">
        <f>IF(E16-H16&gt;0,E16-H16," ")</f>
        <v xml:space="preserve"> </v>
      </c>
    </row>
    <row r="20" spans="1:258" x14ac:dyDescent="0.2">
      <c r="B20" s="108">
        <v>12</v>
      </c>
      <c r="C20" s="111" t="s">
        <v>447</v>
      </c>
      <c r="D20" s="95" t="str">
        <f>IF(D18-G18&lt;0,G18-D18," ")</f>
        <v xml:space="preserve"> </v>
      </c>
      <c r="E20" s="95" t="str">
        <f>IF(E18-H18&lt;0,H18-E18," ")</f>
        <v xml:space="preserve"> </v>
      </c>
      <c r="F20" s="111" t="s">
        <v>448</v>
      </c>
      <c r="G20" s="95">
        <f>IF(D18-G18&gt;0,D18-G18," ")</f>
        <v>63746952</v>
      </c>
      <c r="H20" s="95">
        <f>IF(E18-H18&gt;0,E18-H18," ")</f>
        <v>94306555</v>
      </c>
    </row>
    <row r="21" spans="1:258" x14ac:dyDescent="0.2">
      <c r="A21" s="24"/>
      <c r="B21" s="24"/>
      <c r="C21" s="512"/>
      <c r="D21" s="512"/>
      <c r="E21" s="512"/>
      <c r="F21" s="512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</row>
    <row r="22" spans="1:258" x14ac:dyDescent="0.2">
      <c r="A22" s="24"/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</row>
    <row r="23" spans="1:258" x14ac:dyDescent="0.2">
      <c r="A23" s="24"/>
      <c r="B23" s="24"/>
      <c r="C23" s="25"/>
      <c r="D23" s="24">
        <f>D18+'04'!D16</f>
        <v>1668530568</v>
      </c>
      <c r="E23" s="24">
        <f>E18+'04'!E16</f>
        <v>1655160752</v>
      </c>
      <c r="F23" s="24"/>
      <c r="G23" s="24">
        <f>G18+'04'!G16</f>
        <v>1668530568</v>
      </c>
      <c r="H23" s="24">
        <f>H18+'04'!H16</f>
        <v>1655160752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</row>
    <row r="24" spans="1:258" x14ac:dyDescent="0.2">
      <c r="D24" s="22">
        <f>D23-'02'!E97</f>
        <v>0</v>
      </c>
    </row>
    <row r="25" spans="1:258" x14ac:dyDescent="0.2">
      <c r="G25" s="22">
        <f>D23-G23</f>
        <v>0</v>
      </c>
    </row>
  </sheetData>
  <sheetProtection algorithmName="SHA-512" hashValue="oV4RMlhhn+1Jw7J3v4e3bkkxveioetCAtkakIs4TTn4hVtJJLc9+3A631mfFwb4kuCt8Ei7Z8kNRu5ar/AuS9Q==" saltValue="58Ym+oxoAkT8wtoptmGiZA==" spinCount="100000" sheet="1" objects="1" scenarios="1" formatCells="0" formatColumns="0" formatRows="0"/>
  <mergeCells count="5">
    <mergeCell ref="C21:F21"/>
    <mergeCell ref="B2:H2"/>
    <mergeCell ref="B4:H4"/>
    <mergeCell ref="B5:H5"/>
    <mergeCell ref="B6:H6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5" fitToHeight="3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Munka19">
    <tabColor theme="4" tint="0.59999389629810485"/>
    <pageSetUpPr fitToPage="1"/>
  </sheetPr>
  <dimension ref="A1:IX18"/>
  <sheetViews>
    <sheetView view="pageBreakPreview" zoomScaleSheetLayoutView="100" workbookViewId="0">
      <selection activeCell="E14" sqref="E14"/>
    </sheetView>
  </sheetViews>
  <sheetFormatPr defaultColWidth="9" defaultRowHeight="12.75" x14ac:dyDescent="0.2"/>
  <cols>
    <col min="1" max="1" width="0.875" style="22" customWidth="1"/>
    <col min="2" max="2" width="5.625" style="22" customWidth="1"/>
    <col min="3" max="3" width="43.375" style="23" customWidth="1"/>
    <col min="4" max="5" width="12.625" style="22" customWidth="1"/>
    <col min="6" max="6" width="43.375" style="22" customWidth="1"/>
    <col min="7" max="8" width="12.625" style="22" customWidth="1"/>
    <col min="9" max="9" width="0.875" style="22" customWidth="1"/>
    <col min="10" max="258" width="9" style="22"/>
    <col min="259" max="16384" width="9" style="106"/>
  </cols>
  <sheetData>
    <row r="1" spans="1:258" ht="6" customHeight="1" x14ac:dyDescent="0.2"/>
    <row r="2" spans="1:258" ht="15.75" customHeight="1" x14ac:dyDescent="0.2">
      <c r="B2" s="513" t="str">
        <f>CONCATENATE(Index!$C$23," a(z) ",Index!$E$16," önkormányzati rendelethez")</f>
        <v>4. melléklet a(z) .../2025. (...) önkormányzati rendelethez</v>
      </c>
      <c r="C2" s="513"/>
      <c r="D2" s="513"/>
      <c r="E2" s="513"/>
      <c r="F2" s="513"/>
      <c r="G2" s="513"/>
      <c r="H2" s="513"/>
    </row>
    <row r="3" spans="1:258" ht="15.75" customHeight="1" x14ac:dyDescent="0.2">
      <c r="C3" s="137"/>
      <c r="D3" s="137"/>
      <c r="E3" s="137"/>
      <c r="F3" s="137"/>
      <c r="G3" s="137"/>
      <c r="H3" s="137"/>
    </row>
    <row r="4" spans="1:258" s="117" customFormat="1" ht="15.75" customHeight="1" x14ac:dyDescent="0.25">
      <c r="A4" s="37"/>
      <c r="B4" s="514" t="str">
        <f>CONCATENATE(PAR!E3)</f>
        <v>Nagymaros Város Önkormányzata</v>
      </c>
      <c r="C4" s="514"/>
      <c r="D4" s="514"/>
      <c r="E4" s="514"/>
      <c r="F4" s="514"/>
      <c r="G4" s="514"/>
      <c r="H4" s="514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</row>
    <row r="5" spans="1:258" s="117" customFormat="1" ht="15.75" customHeight="1" x14ac:dyDescent="0.25">
      <c r="A5" s="37"/>
      <c r="B5" s="514" t="str">
        <f>CONCATENATE(PAR!H3," évi felhalmozási célú bevételek és kiadások egyenlege önkormányzati szinten")</f>
        <v>2025. évi felhalmozási célú bevételek és kiadások egyenlege önkormányzati szinten</v>
      </c>
      <c r="C5" s="514"/>
      <c r="D5" s="514"/>
      <c r="E5" s="514"/>
      <c r="F5" s="514"/>
      <c r="G5" s="514"/>
      <c r="H5" s="514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</row>
    <row r="6" spans="1:258" s="117" customFormat="1" ht="15.75" customHeight="1" x14ac:dyDescent="0.25">
      <c r="A6" s="37"/>
      <c r="B6" s="515" t="s">
        <v>337</v>
      </c>
      <c r="C6" s="515"/>
      <c r="D6" s="515"/>
      <c r="E6" s="515"/>
      <c r="F6" s="515"/>
      <c r="G6" s="515"/>
      <c r="H6" s="515"/>
      <c r="I6" s="516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</row>
    <row r="7" spans="1:258" s="117" customFormat="1" ht="15.75" x14ac:dyDescent="0.25">
      <c r="A7" s="37"/>
      <c r="B7" s="37"/>
      <c r="C7" s="118"/>
      <c r="D7" s="37"/>
      <c r="E7" s="37"/>
      <c r="F7" s="37"/>
      <c r="G7" s="119"/>
      <c r="H7" s="119"/>
      <c r="I7" s="516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</row>
    <row r="8" spans="1:258" x14ac:dyDescent="0.2">
      <c r="B8" s="108"/>
      <c r="C8" s="108" t="s">
        <v>350</v>
      </c>
      <c r="D8" s="108" t="s">
        <v>351</v>
      </c>
      <c r="E8" s="108" t="s">
        <v>470</v>
      </c>
      <c r="F8" s="108" t="s">
        <v>471</v>
      </c>
      <c r="G8" s="114" t="s">
        <v>44</v>
      </c>
      <c r="H8" s="114" t="s">
        <v>42</v>
      </c>
      <c r="I8" s="516"/>
    </row>
    <row r="9" spans="1:258" ht="38.25" x14ac:dyDescent="0.2">
      <c r="A9" s="27"/>
      <c r="B9" s="108">
        <v>1</v>
      </c>
      <c r="C9" s="107" t="s">
        <v>457</v>
      </c>
      <c r="D9" s="69" t="str">
        <f>CONCATENATE(PAR!$H$3," évi 
eredeti 
előirányzat")</f>
        <v>2025. évi 
eredeti 
előirányzat</v>
      </c>
      <c r="E9" s="69" t="str">
        <f>CONCATENATE(PAR!$H$3," évi 
módosított 
előirányzat")</f>
        <v>2025. évi 
módosított 
előirányzat</v>
      </c>
      <c r="F9" s="107" t="s">
        <v>394</v>
      </c>
      <c r="G9" s="69" t="str">
        <f>CONCATENATE(PAR!$H$3," évi 
eredeti 
előirányzat")</f>
        <v>2025. évi 
eredeti 
előirányzat</v>
      </c>
      <c r="H9" s="69" t="str">
        <f>CONCATENATE(PAR!$H$3," évi 
módosított 
előirányzat")</f>
        <v>2025. évi 
módosított 
előirányzat</v>
      </c>
      <c r="I9" s="516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</row>
    <row r="10" spans="1:258" x14ac:dyDescent="0.2">
      <c r="B10" s="108">
        <v>2</v>
      </c>
      <c r="C10" s="109" t="s">
        <v>449</v>
      </c>
      <c r="D10" s="110">
        <f>'02'!$E$26</f>
        <v>104900566</v>
      </c>
      <c r="E10" s="110">
        <f>'02'!$F$26</f>
        <v>74340963</v>
      </c>
      <c r="F10" s="109" t="s">
        <v>322</v>
      </c>
      <c r="G10" s="110">
        <f>'02'!$E$113</f>
        <v>134080399</v>
      </c>
      <c r="H10" s="110">
        <f>'02'!$F$113</f>
        <v>134080399</v>
      </c>
      <c r="I10" s="516"/>
    </row>
    <row r="11" spans="1:258" x14ac:dyDescent="0.2">
      <c r="B11" s="108">
        <v>3</v>
      </c>
      <c r="C11" s="109" t="s">
        <v>330</v>
      </c>
      <c r="D11" s="110">
        <f>'02'!$E$53</f>
        <v>0</v>
      </c>
      <c r="E11" s="110">
        <f>'02'!$F$53</f>
        <v>0</v>
      </c>
      <c r="F11" s="109" t="s">
        <v>323</v>
      </c>
      <c r="G11" s="110">
        <f>'02'!$E$115</f>
        <v>34567119</v>
      </c>
      <c r="H11" s="110">
        <f>'02'!$F$115</f>
        <v>34567119</v>
      </c>
      <c r="I11" s="516"/>
    </row>
    <row r="12" spans="1:258" x14ac:dyDescent="0.2">
      <c r="B12" s="108">
        <v>4</v>
      </c>
      <c r="C12" s="109" t="s">
        <v>450</v>
      </c>
      <c r="D12" s="110">
        <f>'02'!$E$65</f>
        <v>0</v>
      </c>
      <c r="E12" s="110">
        <f>'02'!$F$65</f>
        <v>0</v>
      </c>
      <c r="F12" s="109" t="s">
        <v>324</v>
      </c>
      <c r="G12" s="110">
        <f>'02'!$E$117</f>
        <v>0</v>
      </c>
      <c r="H12" s="110">
        <f>'02'!$F$117</f>
        <v>0</v>
      </c>
      <c r="I12" s="516"/>
    </row>
    <row r="13" spans="1:258" x14ac:dyDescent="0.2">
      <c r="B13" s="108">
        <v>5</v>
      </c>
      <c r="C13" s="109" t="s">
        <v>598</v>
      </c>
      <c r="D13" s="110">
        <v>0</v>
      </c>
      <c r="E13" s="110">
        <v>0</v>
      </c>
      <c r="F13" s="109" t="s">
        <v>397</v>
      </c>
      <c r="G13" s="110">
        <v>0</v>
      </c>
      <c r="H13" s="110">
        <v>0</v>
      </c>
      <c r="I13" s="516"/>
    </row>
    <row r="14" spans="1:258" x14ac:dyDescent="0.2">
      <c r="B14" s="108">
        <v>6</v>
      </c>
      <c r="C14" s="111" t="s">
        <v>596</v>
      </c>
      <c r="D14" s="95">
        <f>SUM(D10:D13)</f>
        <v>104900566</v>
      </c>
      <c r="E14" s="95">
        <f>SUM(E10:E13)</f>
        <v>74340963</v>
      </c>
      <c r="F14" s="111" t="s">
        <v>597</v>
      </c>
      <c r="G14" s="95">
        <f>SUM(G10:G13)</f>
        <v>168647518</v>
      </c>
      <c r="H14" s="95">
        <f>SUM(H10:H13)</f>
        <v>168647518</v>
      </c>
      <c r="I14" s="516"/>
    </row>
    <row r="15" spans="1:258" x14ac:dyDescent="0.2">
      <c r="B15" s="108">
        <v>7</v>
      </c>
      <c r="C15" s="111" t="s">
        <v>451</v>
      </c>
      <c r="D15" s="95">
        <v>0</v>
      </c>
      <c r="E15" s="95">
        <v>0</v>
      </c>
      <c r="F15" s="111" t="s">
        <v>452</v>
      </c>
      <c r="G15" s="95">
        <v>0</v>
      </c>
      <c r="H15" s="95">
        <v>0</v>
      </c>
      <c r="I15" s="516"/>
    </row>
    <row r="16" spans="1:258" x14ac:dyDescent="0.2">
      <c r="B16" s="108">
        <v>8</v>
      </c>
      <c r="C16" s="111" t="s">
        <v>594</v>
      </c>
      <c r="D16" s="95">
        <f>+D14+D15</f>
        <v>104900566</v>
      </c>
      <c r="E16" s="95">
        <f>+E14+E15</f>
        <v>74340963</v>
      </c>
      <c r="F16" s="111" t="s">
        <v>595</v>
      </c>
      <c r="G16" s="95">
        <f>+G14+G15</f>
        <v>168647518</v>
      </c>
      <c r="H16" s="95">
        <f>+H14+H15</f>
        <v>168647518</v>
      </c>
      <c r="I16" s="516"/>
    </row>
    <row r="17" spans="2:9" x14ac:dyDescent="0.2">
      <c r="B17" s="108">
        <v>9</v>
      </c>
      <c r="C17" s="111" t="s">
        <v>445</v>
      </c>
      <c r="D17" s="120">
        <f>IF(D14-G14&lt;0,G14-D14," ")</f>
        <v>63746952</v>
      </c>
      <c r="E17" s="120">
        <f>IF(E14-H14&lt;0,H14-E14," ")</f>
        <v>94306555</v>
      </c>
      <c r="F17" s="111" t="s">
        <v>446</v>
      </c>
      <c r="G17" s="95" t="str">
        <f>IF(D14-G14&gt;0,D14-G14," ")</f>
        <v xml:space="preserve"> </v>
      </c>
      <c r="H17" s="95" t="str">
        <f>IF(E14-H14&gt;0,E14-H14," ")</f>
        <v xml:space="preserve"> </v>
      </c>
      <c r="I17" s="516"/>
    </row>
    <row r="18" spans="2:9" x14ac:dyDescent="0.2">
      <c r="B18" s="108">
        <v>10</v>
      </c>
      <c r="C18" s="111" t="s">
        <v>453</v>
      </c>
      <c r="D18" s="120">
        <f>IF(D16-G16&lt;0,G16-D16," ")</f>
        <v>63746952</v>
      </c>
      <c r="E18" s="120">
        <f>IF(E16-H16&lt;0,H16-E16," ")</f>
        <v>94306555</v>
      </c>
      <c r="F18" s="111" t="s">
        <v>454</v>
      </c>
      <c r="G18" s="95" t="str">
        <f>IF(D16-G16&gt;0,D16-G16," ")</f>
        <v xml:space="preserve"> </v>
      </c>
      <c r="H18" s="95" t="str">
        <f>IF(E16-H16&gt;0,E16-H16," ")</f>
        <v xml:space="preserve"> </v>
      </c>
      <c r="I18" s="516"/>
    </row>
  </sheetData>
  <sheetProtection algorithmName="SHA-512" hashValue="M4PjLW7zLQ2wyFh8FMNh8FyQppM1keK/yXO4n6zLg4X+P0ymaHKQTwOB0jcY/aQiTkK1eS6jhsbR7RaLraTs8g==" saltValue="Nq43mwlZgmKyu5mAJiho/w==" spinCount="100000" sheet="1" formatCells="0" formatColumns="0" sort="0" autoFilter="0"/>
  <mergeCells count="5">
    <mergeCell ref="I6:I18"/>
    <mergeCell ref="B2:H2"/>
    <mergeCell ref="B4:H4"/>
    <mergeCell ref="B5:H5"/>
    <mergeCell ref="B6:H6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5" fitToHeight="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Munka20">
    <tabColor theme="4" tint="0.59999389629810485"/>
    <pageSetUpPr fitToPage="1"/>
  </sheetPr>
  <dimension ref="B1:H18"/>
  <sheetViews>
    <sheetView view="pageBreakPreview" zoomScaleSheetLayoutView="100" workbookViewId="0">
      <selection activeCell="K11" sqref="K11"/>
    </sheetView>
  </sheetViews>
  <sheetFormatPr defaultColWidth="9" defaultRowHeight="15.75" x14ac:dyDescent="0.25"/>
  <cols>
    <col min="1" max="1" width="0.875" style="10" customWidth="1"/>
    <col min="2" max="2" width="5.625" style="10" customWidth="1"/>
    <col min="3" max="3" width="45.625" style="10" customWidth="1"/>
    <col min="4" max="7" width="12.625" style="10" customWidth="1"/>
    <col min="8" max="8" width="0.875" style="10" customWidth="1"/>
    <col min="9" max="16384" width="9" style="10"/>
  </cols>
  <sheetData>
    <row r="1" spans="2:8" ht="6" customHeight="1" x14ac:dyDescent="0.25"/>
    <row r="2" spans="2:8" x14ac:dyDescent="0.25">
      <c r="B2" s="510" t="str">
        <f>CONCATENATE(Index!C24," a(z) ",Index!E16," önkormányzati rendelethez")</f>
        <v>5. melléklet a(z) .../2025. (...) önkormányzati rendelethez</v>
      </c>
      <c r="C2" s="510"/>
      <c r="D2" s="510"/>
      <c r="E2" s="510"/>
      <c r="F2" s="510"/>
      <c r="G2" s="510"/>
    </row>
    <row r="3" spans="2:8" x14ac:dyDescent="0.25">
      <c r="C3" s="127"/>
      <c r="D3" s="127"/>
      <c r="E3" s="127"/>
      <c r="F3" s="127"/>
      <c r="G3" s="127"/>
    </row>
    <row r="4" spans="2:8" x14ac:dyDescent="0.25">
      <c r="B4" s="511" t="str">
        <f>CONCATENATE(PAR!E3)</f>
        <v>Nagymaros Város Önkormányzata</v>
      </c>
      <c r="C4" s="511"/>
      <c r="D4" s="511"/>
      <c r="E4" s="511"/>
      <c r="F4" s="511"/>
      <c r="G4" s="511"/>
    </row>
    <row r="5" spans="2:8" ht="15.75" customHeight="1" x14ac:dyDescent="0.25">
      <c r="B5" s="518" t="s">
        <v>599</v>
      </c>
      <c r="C5" s="518"/>
      <c r="D5" s="518"/>
      <c r="E5" s="518"/>
      <c r="F5" s="518"/>
      <c r="G5" s="518"/>
    </row>
    <row r="6" spans="2:8" ht="15.75" customHeight="1" x14ac:dyDescent="0.25">
      <c r="B6" s="519" t="s">
        <v>337</v>
      </c>
      <c r="C6" s="519"/>
      <c r="D6" s="519"/>
      <c r="E6" s="519"/>
      <c r="F6" s="519"/>
      <c r="G6" s="519"/>
    </row>
    <row r="7" spans="2:8" s="13" customFormat="1" ht="12.75" x14ac:dyDescent="0.2">
      <c r="C7" s="28"/>
      <c r="D7" s="517"/>
      <c r="E7" s="517"/>
      <c r="F7" s="517"/>
      <c r="G7" s="517"/>
      <c r="H7" s="29"/>
    </row>
    <row r="8" spans="2:8" s="13" customFormat="1" ht="12.75" customHeight="1" x14ac:dyDescent="0.2">
      <c r="B8" s="104"/>
      <c r="C8" s="126" t="s">
        <v>350</v>
      </c>
      <c r="D8" s="126" t="s">
        <v>351</v>
      </c>
      <c r="E8" s="126" t="s">
        <v>470</v>
      </c>
      <c r="F8" s="126" t="s">
        <v>471</v>
      </c>
      <c r="G8" s="104" t="s">
        <v>44</v>
      </c>
    </row>
    <row r="9" spans="2:8" s="13" customFormat="1" ht="12.75" x14ac:dyDescent="0.2">
      <c r="B9" s="104">
        <v>1</v>
      </c>
      <c r="C9" s="78" t="s">
        <v>52</v>
      </c>
      <c r="D9" s="78" t="str">
        <f>PAR!$H$3</f>
        <v>2025.</v>
      </c>
      <c r="E9" s="78" t="str">
        <f>PAR!$H$7</f>
        <v>2026.</v>
      </c>
      <c r="F9" s="78" t="str">
        <f>PAR!$H$8</f>
        <v>2027.</v>
      </c>
      <c r="G9" s="78" t="s">
        <v>474</v>
      </c>
    </row>
    <row r="10" spans="2:8" s="13" customFormat="1" ht="12.75" x14ac:dyDescent="0.2">
      <c r="B10" s="104">
        <v>2</v>
      </c>
      <c r="C10" s="122"/>
      <c r="D10" s="123"/>
      <c r="E10" s="123"/>
      <c r="F10" s="123"/>
      <c r="G10" s="123">
        <f>SUM(D10:F10)</f>
        <v>0</v>
      </c>
    </row>
    <row r="11" spans="2:8" s="13" customFormat="1" ht="12.75" x14ac:dyDescent="0.2">
      <c r="B11" s="104">
        <v>3</v>
      </c>
      <c r="C11" s="122"/>
      <c r="D11" s="123"/>
      <c r="E11" s="123"/>
      <c r="F11" s="123"/>
      <c r="G11" s="123">
        <f t="shared" ref="G11:G14" si="0">SUM(D11:F11)</f>
        <v>0</v>
      </c>
    </row>
    <row r="12" spans="2:8" s="13" customFormat="1" ht="12.75" x14ac:dyDescent="0.2">
      <c r="B12" s="104">
        <v>4</v>
      </c>
      <c r="C12" s="122"/>
      <c r="D12" s="123"/>
      <c r="E12" s="123"/>
      <c r="F12" s="123"/>
      <c r="G12" s="123">
        <f t="shared" si="0"/>
        <v>0</v>
      </c>
    </row>
    <row r="13" spans="2:8" s="13" customFormat="1" ht="12.75" x14ac:dyDescent="0.2">
      <c r="B13" s="104">
        <v>5</v>
      </c>
      <c r="C13" s="122"/>
      <c r="D13" s="123"/>
      <c r="E13" s="123"/>
      <c r="F13" s="123"/>
      <c r="G13" s="123">
        <f>SUM(D13:F13)</f>
        <v>0</v>
      </c>
    </row>
    <row r="14" spans="2:8" s="13" customFormat="1" ht="12.75" x14ac:dyDescent="0.2">
      <c r="B14" s="104">
        <v>6</v>
      </c>
      <c r="C14" s="122"/>
      <c r="D14" s="123"/>
      <c r="E14" s="123"/>
      <c r="F14" s="123"/>
      <c r="G14" s="123">
        <f t="shared" si="0"/>
        <v>0</v>
      </c>
    </row>
    <row r="15" spans="2:8" s="30" customFormat="1" ht="12.75" x14ac:dyDescent="0.2">
      <c r="B15" s="104">
        <v>7</v>
      </c>
      <c r="C15" s="124" t="s">
        <v>456</v>
      </c>
      <c r="D15" s="125">
        <f>SUM(D10:D14)</f>
        <v>0</v>
      </c>
      <c r="E15" s="125">
        <f>SUM(E10:E14)</f>
        <v>0</v>
      </c>
      <c r="F15" s="125">
        <f>SUM(F10:F14)</f>
        <v>0</v>
      </c>
      <c r="G15" s="125">
        <f>SUM(G10:G14)</f>
        <v>0</v>
      </c>
    </row>
    <row r="16" spans="2:8" s="13" customFormat="1" ht="6" customHeight="1" x14ac:dyDescent="0.2"/>
    <row r="17" s="13" customFormat="1" ht="12.75" x14ac:dyDescent="0.2"/>
    <row r="18" s="13" customFormat="1" ht="12.75" x14ac:dyDescent="0.2"/>
  </sheetData>
  <sheetProtection algorithmName="SHA-512" hashValue="IAXpu7JBiWkJZc9+cDg3M+uQBO8XN4Z+O99ZHMKn+UCxSbEUI4e2FiXVOLSxf+cZgMYvQPyqsKDumat11LaT9A==" saltValue="LGbtm/Fo260n1TbytHGeGw==" spinCount="100000" sheet="1" objects="1" scenarios="1" formatCells="0" formatColumns="0" formatRows="0" insertRows="0" deleteRows="0"/>
  <mergeCells count="6">
    <mergeCell ref="D7:E7"/>
    <mergeCell ref="F7:G7"/>
    <mergeCell ref="B2:G2"/>
    <mergeCell ref="B4:G4"/>
    <mergeCell ref="B5:G5"/>
    <mergeCell ref="B6:G6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2" fitToHeight="4" orientation="portrait" r:id="rId1"/>
  <headerFooter alignWithMargins="0">
    <oddHeader xml:space="preserve">&amp;R&amp;"Times New Roman CE,Félkövér dőlt"&amp;11 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Munka21">
    <tabColor theme="4" tint="0.59999389629810485"/>
    <pageSetUpPr fitToPage="1"/>
  </sheetPr>
  <dimension ref="B1:H24"/>
  <sheetViews>
    <sheetView view="pageBreakPreview" topLeftCell="A4" zoomScaleSheetLayoutView="100" workbookViewId="0">
      <selection activeCell="K10" sqref="K10"/>
    </sheetView>
  </sheetViews>
  <sheetFormatPr defaultColWidth="9" defaultRowHeight="15.75" x14ac:dyDescent="0.25"/>
  <cols>
    <col min="1" max="1" width="0.875" style="10" customWidth="1"/>
    <col min="2" max="2" width="5.625" style="10" customWidth="1"/>
    <col min="3" max="3" width="74.875" style="10" customWidth="1"/>
    <col min="4" max="8" width="12.625" style="10" customWidth="1"/>
    <col min="9" max="9" width="0.875" style="10" customWidth="1"/>
    <col min="10" max="16384" width="9" style="10"/>
  </cols>
  <sheetData>
    <row r="1" spans="2:8" ht="6" customHeight="1" x14ac:dyDescent="0.25"/>
    <row r="2" spans="2:8" x14ac:dyDescent="0.25">
      <c r="B2" s="510" t="str">
        <f>CONCATENATE(Index!C25," a(z) ",Index!$E$16," önkormányzati rendelethez")</f>
        <v>6. melléklet a(z) .../2025. (...) önkormányzati rendelethez</v>
      </c>
      <c r="C2" s="510"/>
      <c r="D2" s="510"/>
      <c r="E2" s="510"/>
      <c r="F2" s="510"/>
      <c r="G2" s="510"/>
      <c r="H2" s="510"/>
    </row>
    <row r="3" spans="2:8" x14ac:dyDescent="0.25">
      <c r="C3" s="127"/>
      <c r="D3" s="127"/>
      <c r="E3" s="127"/>
    </row>
    <row r="4" spans="2:8" x14ac:dyDescent="0.25">
      <c r="B4" s="511" t="str">
        <f>CONCATENATE(PAR!E3)</f>
        <v>Nagymaros Város Önkormányzata</v>
      </c>
      <c r="C4" s="511"/>
      <c r="D4" s="511"/>
      <c r="E4" s="511"/>
      <c r="F4" s="511"/>
      <c r="G4" s="511"/>
      <c r="H4" s="511"/>
    </row>
    <row r="5" spans="2:8" ht="15.75" customHeight="1" x14ac:dyDescent="0.25">
      <c r="B5" s="518" t="s">
        <v>601</v>
      </c>
      <c r="C5" s="518"/>
      <c r="D5" s="518"/>
      <c r="E5" s="518"/>
      <c r="F5" s="518"/>
      <c r="G5" s="518"/>
      <c r="H5" s="518"/>
    </row>
    <row r="6" spans="2:8" x14ac:dyDescent="0.25">
      <c r="B6" s="511" t="s">
        <v>600</v>
      </c>
      <c r="C6" s="511"/>
      <c r="D6" s="511"/>
      <c r="E6" s="511"/>
      <c r="F6" s="511"/>
      <c r="G6" s="511"/>
      <c r="H6" s="511"/>
    </row>
    <row r="7" spans="2:8" x14ac:dyDescent="0.25">
      <c r="B7" s="520" t="s">
        <v>337</v>
      </c>
      <c r="C7" s="520"/>
      <c r="D7" s="520"/>
      <c r="E7" s="520"/>
      <c r="F7" s="520"/>
      <c r="G7" s="520"/>
      <c r="H7" s="520"/>
    </row>
    <row r="8" spans="2:8" x14ac:dyDescent="0.25">
      <c r="C8" s="128"/>
      <c r="D8" s="102"/>
      <c r="E8" s="102"/>
      <c r="F8" s="129"/>
    </row>
    <row r="9" spans="2:8" s="13" customFormat="1" ht="12.75" x14ac:dyDescent="0.2">
      <c r="B9" s="104"/>
      <c r="C9" s="76" t="s">
        <v>350</v>
      </c>
      <c r="D9" s="103" t="s">
        <v>351</v>
      </c>
      <c r="E9" s="76" t="s">
        <v>470</v>
      </c>
      <c r="F9" s="103" t="s">
        <v>471</v>
      </c>
      <c r="G9" s="76" t="s">
        <v>44</v>
      </c>
      <c r="H9" s="103" t="s">
        <v>42</v>
      </c>
    </row>
    <row r="10" spans="2:8" s="13" customFormat="1" ht="38.25" x14ac:dyDescent="0.2">
      <c r="B10" s="68">
        <v>1</v>
      </c>
      <c r="C10" s="78" t="s">
        <v>457</v>
      </c>
      <c r="D10" s="78" t="str">
        <f>CONCATENATE(PAR!$H$3," évi 
eredeti 
előirányzat")</f>
        <v>2025. évi 
eredeti 
előirányzat</v>
      </c>
      <c r="E10" s="78" t="str">
        <f>CONCATENATE(PAR!$H$3," évi 
módosított 
előirányzat")</f>
        <v>2025. évi 
módosított 
előirányzat</v>
      </c>
      <c r="F10" s="78" t="str">
        <f>CONCATENATE(PAR!$H$7," évi 
előirányzat")</f>
        <v>2026. évi 
előirányzat</v>
      </c>
      <c r="G10" s="78" t="str">
        <f>CONCATENATE(PAR!$H$8," évi 
előirányzat")</f>
        <v>2027. évi 
előirányzat</v>
      </c>
      <c r="H10" s="78" t="str">
        <f>CONCATENATE(PAR!$H$13," évi 
előirányzat")</f>
        <v>2028. évi 
előirányzat</v>
      </c>
    </row>
    <row r="11" spans="2:8" s="13" customFormat="1" ht="12.75" x14ac:dyDescent="0.2">
      <c r="B11" s="104">
        <v>2</v>
      </c>
      <c r="C11" s="130" t="s">
        <v>458</v>
      </c>
      <c r="D11" s="131"/>
      <c r="E11" s="131"/>
      <c r="F11" s="105"/>
      <c r="G11" s="105"/>
      <c r="H11" s="105"/>
    </row>
    <row r="12" spans="2:8" s="13" customFormat="1" ht="12.75" x14ac:dyDescent="0.2">
      <c r="B12" s="68">
        <v>3</v>
      </c>
      <c r="C12" s="130" t="s">
        <v>459</v>
      </c>
      <c r="D12" s="131">
        <f>SUMIF(Adat!$AA:$AA,CONCATENATE(61,"093"),Adat!$E:$E)*-1</f>
        <v>341800000</v>
      </c>
      <c r="E12" s="131">
        <f>SUMIF(Adat!$AA:$AA,CONCATENATE(60,"093"),Adat!$E:$E)*-1+D12</f>
        <v>341800000</v>
      </c>
      <c r="F12" s="131">
        <v>0</v>
      </c>
      <c r="G12" s="131">
        <v>0</v>
      </c>
      <c r="H12" s="131">
        <v>0</v>
      </c>
    </row>
    <row r="13" spans="2:8" s="13" customFormat="1" ht="12.75" x14ac:dyDescent="0.2">
      <c r="B13" s="104">
        <v>4</v>
      </c>
      <c r="C13" s="130" t="s">
        <v>460</v>
      </c>
      <c r="D13" s="131"/>
      <c r="E13" s="131"/>
      <c r="F13" s="105"/>
      <c r="G13" s="105"/>
      <c r="H13" s="105"/>
    </row>
    <row r="14" spans="2:8" s="13" customFormat="1" ht="12.75" x14ac:dyDescent="0.2">
      <c r="B14" s="68">
        <v>5</v>
      </c>
      <c r="C14" s="88" t="s">
        <v>461</v>
      </c>
      <c r="D14" s="131">
        <f>SUMIF(Adat!$AA:$AA,CONCATENATE(61,"095"),Adat!$E:$E)*-1</f>
        <v>0</v>
      </c>
      <c r="E14" s="131">
        <f>SUMIF(Adat!$AA:$AA,CONCATENATE(60,"095"),Adat!$E:$E)*-1+D14</f>
        <v>0</v>
      </c>
      <c r="F14" s="105">
        <v>0</v>
      </c>
      <c r="G14" s="105">
        <v>0</v>
      </c>
      <c r="H14" s="105">
        <v>0</v>
      </c>
    </row>
    <row r="15" spans="2:8" s="13" customFormat="1" ht="12.75" x14ac:dyDescent="0.2">
      <c r="B15" s="104">
        <v>6</v>
      </c>
      <c r="C15" s="88" t="s">
        <v>462</v>
      </c>
      <c r="D15" s="131"/>
      <c r="E15" s="131"/>
      <c r="F15" s="105"/>
      <c r="G15" s="105"/>
      <c r="H15" s="105"/>
    </row>
    <row r="16" spans="2:8" s="13" customFormat="1" ht="12.75" x14ac:dyDescent="0.2">
      <c r="B16" s="68">
        <v>7</v>
      </c>
      <c r="C16" s="88" t="s">
        <v>463</v>
      </c>
      <c r="D16" s="131"/>
      <c r="E16" s="131"/>
      <c r="F16" s="105"/>
      <c r="G16" s="105"/>
      <c r="H16" s="105"/>
    </row>
    <row r="17" spans="2:8" s="13" customFormat="1" ht="12.75" x14ac:dyDescent="0.2">
      <c r="B17" s="68">
        <v>8</v>
      </c>
      <c r="C17" s="124" t="s">
        <v>602</v>
      </c>
      <c r="D17" s="272">
        <f>SUM(D11:D16)</f>
        <v>341800000</v>
      </c>
      <c r="E17" s="272">
        <f t="shared" ref="E17:H17" si="0">SUM(E11:E16)</f>
        <v>341800000</v>
      </c>
      <c r="F17" s="272">
        <f t="shared" si="0"/>
        <v>0</v>
      </c>
      <c r="G17" s="272">
        <f t="shared" si="0"/>
        <v>0</v>
      </c>
      <c r="H17" s="272">
        <f t="shared" si="0"/>
        <v>0</v>
      </c>
    </row>
    <row r="18" spans="2:8" s="13" customFormat="1" ht="12.75" x14ac:dyDescent="0.2">
      <c r="B18" s="68">
        <v>9</v>
      </c>
      <c r="C18" s="105" t="s">
        <v>739</v>
      </c>
      <c r="D18" s="259">
        <f>ROUND(D17/2,0)</f>
        <v>170900000</v>
      </c>
      <c r="E18" s="259">
        <f t="shared" ref="E18:H18" si="1">ROUND(E17/2,0)</f>
        <v>170900000</v>
      </c>
      <c r="F18" s="259">
        <f t="shared" si="1"/>
        <v>0</v>
      </c>
      <c r="G18" s="259">
        <f t="shared" si="1"/>
        <v>0</v>
      </c>
      <c r="H18" s="259">
        <f t="shared" si="1"/>
        <v>0</v>
      </c>
    </row>
    <row r="19" spans="2:8" s="13" customFormat="1" ht="12.75" x14ac:dyDescent="0.2">
      <c r="B19" s="68">
        <v>10</v>
      </c>
      <c r="C19" s="105" t="s">
        <v>740</v>
      </c>
      <c r="D19" s="259"/>
      <c r="E19" s="259"/>
      <c r="F19" s="259"/>
      <c r="G19" s="259"/>
      <c r="H19" s="259"/>
    </row>
    <row r="20" spans="2:8" s="13" customFormat="1" ht="12.75" x14ac:dyDescent="0.2">
      <c r="B20" s="68">
        <v>11</v>
      </c>
      <c r="C20" s="105" t="s">
        <v>741</v>
      </c>
      <c r="D20" s="259"/>
      <c r="E20" s="259"/>
      <c r="F20" s="259"/>
      <c r="G20" s="259"/>
      <c r="H20" s="259"/>
    </row>
    <row r="21" spans="2:8" s="13" customFormat="1" ht="12.75" x14ac:dyDescent="0.2">
      <c r="B21" s="68">
        <v>12</v>
      </c>
      <c r="C21" s="258" t="s">
        <v>742</v>
      </c>
      <c r="D21" s="273">
        <f>SUM(D19:D20)</f>
        <v>0</v>
      </c>
      <c r="E21" s="273">
        <f t="shared" ref="E21:H21" si="2">SUM(E19:E20)</f>
        <v>0</v>
      </c>
      <c r="F21" s="273">
        <f t="shared" si="2"/>
        <v>0</v>
      </c>
      <c r="G21" s="273">
        <f t="shared" si="2"/>
        <v>0</v>
      </c>
      <c r="H21" s="273">
        <f t="shared" si="2"/>
        <v>0</v>
      </c>
    </row>
    <row r="22" spans="2:8" s="13" customFormat="1" ht="12.75" x14ac:dyDescent="0.2">
      <c r="B22" s="68">
        <v>13</v>
      </c>
      <c r="C22" s="105" t="s">
        <v>743</v>
      </c>
      <c r="D22" s="259"/>
      <c r="E22" s="259"/>
      <c r="F22" s="259"/>
      <c r="G22" s="259"/>
      <c r="H22" s="259"/>
    </row>
    <row r="23" spans="2:8" s="13" customFormat="1" ht="12.75" x14ac:dyDescent="0.2">
      <c r="B23" s="68">
        <v>14</v>
      </c>
      <c r="C23" s="105" t="s">
        <v>744</v>
      </c>
      <c r="D23" s="259"/>
      <c r="E23" s="259"/>
      <c r="F23" s="259"/>
      <c r="G23" s="259"/>
      <c r="H23" s="259"/>
    </row>
    <row r="24" spans="2:8" s="13" customFormat="1" ht="12.75" x14ac:dyDescent="0.2">
      <c r="B24" s="68">
        <v>15</v>
      </c>
      <c r="C24" s="258" t="s">
        <v>745</v>
      </c>
      <c r="D24" s="273">
        <f>SUM(D22:D23)</f>
        <v>0</v>
      </c>
      <c r="E24" s="273">
        <f t="shared" ref="E24:H24" si="3">SUM(E22:E23)</f>
        <v>0</v>
      </c>
      <c r="F24" s="273">
        <f t="shared" si="3"/>
        <v>0</v>
      </c>
      <c r="G24" s="273">
        <f t="shared" si="3"/>
        <v>0</v>
      </c>
      <c r="H24" s="273">
        <f t="shared" si="3"/>
        <v>0</v>
      </c>
    </row>
  </sheetData>
  <sheetProtection algorithmName="SHA-512" hashValue="fa6gLfphLLtc7XDMvgnndkU3E1qTexvPVJ5WtiGFF//+FEvyFdhqUjaaJT160NQYWgnCAz7e5t6eKRkm9suYBQ==" saltValue="mYy/MuMxXY5Kex/VLV6QQg==" spinCount="100000" sheet="1" objects="1" scenarios="1" formatCells="0" formatColumns="0" formatRows="0"/>
  <mergeCells count="5">
    <mergeCell ref="B4:H4"/>
    <mergeCell ref="B5:H5"/>
    <mergeCell ref="B6:H6"/>
    <mergeCell ref="B7:H7"/>
    <mergeCell ref="B2:H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5" fitToHeight="4" orientation="portrait" r:id="rId1"/>
  <headerFooter alignWithMargins="0">
    <oddHeader xml:space="preserve">&amp;R&amp;"Times New Roman CE,Félkövér dőlt"&amp;11 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22">
    <tabColor theme="4" tint="0.59999389629810485"/>
    <pageSetUpPr fitToPage="1"/>
  </sheetPr>
  <dimension ref="B1:E16"/>
  <sheetViews>
    <sheetView view="pageBreakPreview" zoomScaleSheetLayoutView="100" workbookViewId="0">
      <selection activeCell="G8" sqref="G8"/>
    </sheetView>
  </sheetViews>
  <sheetFormatPr defaultColWidth="9" defaultRowHeight="15" x14ac:dyDescent="0.25"/>
  <cols>
    <col min="1" max="1" width="0.875" style="31" customWidth="1"/>
    <col min="2" max="2" width="5.625" style="31" customWidth="1"/>
    <col min="3" max="3" width="65.625" style="31" customWidth="1"/>
    <col min="4" max="4" width="12.625" style="31" customWidth="1"/>
    <col min="5" max="5" width="0.875" style="31" customWidth="1"/>
    <col min="6" max="16384" width="9" style="31"/>
  </cols>
  <sheetData>
    <row r="1" spans="2:5" ht="6" customHeight="1" x14ac:dyDescent="0.25"/>
    <row r="2" spans="2:5" ht="15.75" x14ac:dyDescent="0.25">
      <c r="B2" s="510" t="str">
        <f>CONCATENATE(Index!C26," a(z) ",Index!E16," önkormányzati rendelethez")</f>
        <v>7. melléklet a(z) .../2025. (...) önkormányzati rendelethez</v>
      </c>
      <c r="C2" s="510"/>
      <c r="D2" s="510"/>
    </row>
    <row r="3" spans="2:5" ht="15.75" x14ac:dyDescent="0.25">
      <c r="C3" s="127"/>
      <c r="D3" s="127"/>
    </row>
    <row r="4" spans="2:5" ht="15.75" customHeight="1" x14ac:dyDescent="0.25">
      <c r="B4" s="518" t="str">
        <f>CONCATENATE(PAR!E3)</f>
        <v>Nagymaros Város Önkormányzata</v>
      </c>
      <c r="C4" s="518"/>
      <c r="D4" s="518"/>
    </row>
    <row r="5" spans="2:5" ht="15.75" customHeight="1" x14ac:dyDescent="0.25">
      <c r="B5" s="518" t="str">
        <f>CONCATENATE(PAR!H3," évi adósságot keletkeztető fejlesztési céljai")</f>
        <v>2025. évi adósságot keletkeztető fejlesztési céljai</v>
      </c>
      <c r="C5" s="518"/>
      <c r="D5" s="518"/>
    </row>
    <row r="6" spans="2:5" ht="15.75" customHeight="1" x14ac:dyDescent="0.25">
      <c r="B6" s="519" t="s">
        <v>337</v>
      </c>
      <c r="C6" s="519"/>
      <c r="D6" s="519"/>
    </row>
    <row r="7" spans="2:5" s="13" customFormat="1" ht="12.75" x14ac:dyDescent="0.2">
      <c r="C7" s="28"/>
      <c r="D7" s="51"/>
      <c r="E7" s="29"/>
    </row>
    <row r="8" spans="2:5" s="13" customFormat="1" ht="12.75" x14ac:dyDescent="0.2">
      <c r="B8" s="105"/>
      <c r="C8" s="76" t="s">
        <v>350</v>
      </c>
      <c r="D8" s="103" t="s">
        <v>351</v>
      </c>
      <c r="E8" s="29"/>
    </row>
    <row r="9" spans="2:5" s="13" customFormat="1" ht="46.5" customHeight="1" x14ac:dyDescent="0.2">
      <c r="B9" s="68">
        <v>1</v>
      </c>
      <c r="C9" s="78" t="s">
        <v>464</v>
      </c>
      <c r="D9" s="78" t="s">
        <v>465</v>
      </c>
    </row>
    <row r="10" spans="2:5" s="13" customFormat="1" ht="12.75" x14ac:dyDescent="0.2">
      <c r="B10" s="104">
        <v>2</v>
      </c>
      <c r="C10" s="122"/>
      <c r="D10" s="123"/>
    </row>
    <row r="11" spans="2:5" s="13" customFormat="1" ht="12.75" x14ac:dyDescent="0.2">
      <c r="B11" s="68">
        <v>3</v>
      </c>
      <c r="C11" s="122"/>
      <c r="D11" s="123"/>
    </row>
    <row r="12" spans="2:5" s="13" customFormat="1" ht="12.75" x14ac:dyDescent="0.2">
      <c r="B12" s="104">
        <v>4</v>
      </c>
      <c r="C12" s="122"/>
      <c r="D12" s="123"/>
    </row>
    <row r="13" spans="2:5" s="13" customFormat="1" ht="12.75" x14ac:dyDescent="0.2">
      <c r="B13" s="68">
        <v>5</v>
      </c>
      <c r="C13" s="122"/>
      <c r="D13" s="123"/>
    </row>
    <row r="14" spans="2:5" s="13" customFormat="1" ht="12.75" x14ac:dyDescent="0.2">
      <c r="B14" s="104">
        <v>6</v>
      </c>
      <c r="C14" s="122"/>
      <c r="D14" s="123"/>
    </row>
    <row r="15" spans="2:5" s="30" customFormat="1" ht="12.75" x14ac:dyDescent="0.2">
      <c r="B15" s="68">
        <v>7</v>
      </c>
      <c r="C15" s="86" t="s">
        <v>466</v>
      </c>
      <c r="D15" s="132">
        <f>SUM(D10:D14)</f>
        <v>0</v>
      </c>
    </row>
    <row r="16" spans="2:5" ht="6" customHeight="1" x14ac:dyDescent="0.25"/>
  </sheetData>
  <sheetProtection algorithmName="SHA-512" hashValue="X1tzhoT68wuyM3nGpyPCbAsd6cp6OWO4WClRvOFraCS0O1FXoKld9KZd8+kj6FQB7+lC3ZpG1OMbIqJe59eRmw==" saltValue="UGmbtGQPhLybIYrNEHLDBA==" spinCount="100000" sheet="1" objects="1" scenarios="1" formatCells="0" formatColumns="0" formatRows="0" insertRows="0" deleteRows="0"/>
  <mergeCells count="4">
    <mergeCell ref="B2:D2"/>
    <mergeCell ref="B4:D4"/>
    <mergeCell ref="B5:D5"/>
    <mergeCell ref="B6:D6"/>
  </mergeCells>
  <printOptions horizontalCentered="1"/>
  <pageMargins left="0.39370078740157483" right="0.39370078740157483" top="0.39370078740157483" bottom="0.39370078740157483" header="0.31496062992125984" footer="0.31496062992125984"/>
  <pageSetup paperSize="9" fitToHeight="4" orientation="portrait" r:id="rId1"/>
  <headerFooter alignWithMargins="0">
    <oddHeader xml:space="preserve">&amp;R&amp;"Times New Roman CE,Félkövér dőlt"&amp;11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0.499984740745262"/>
  </sheetPr>
  <dimension ref="B1:AD438"/>
  <sheetViews>
    <sheetView showGridLines="0" workbookViewId="0">
      <selection activeCell="D8" sqref="D8"/>
    </sheetView>
  </sheetViews>
  <sheetFormatPr defaultColWidth="9" defaultRowHeight="12.75" x14ac:dyDescent="0.2"/>
  <cols>
    <col min="1" max="1" width="0.875" style="290" customWidth="1"/>
    <col min="2" max="2" width="9.75" style="290" bestFit="1" customWidth="1"/>
    <col min="3" max="3" width="4.5" style="291" customWidth="1"/>
    <col min="4" max="4" width="7" style="291" bestFit="1" customWidth="1"/>
    <col min="5" max="5" width="29.125" style="290" bestFit="1" customWidth="1"/>
    <col min="6" max="6" width="0.875" style="290" customWidth="1"/>
    <col min="7" max="7" width="39.625" style="290" bestFit="1" customWidth="1"/>
    <col min="8" max="8" width="11.875" style="290" customWidth="1"/>
    <col min="9" max="9" width="0.875" style="290" customWidth="1"/>
    <col min="10" max="10" width="6.125" style="290" customWidth="1"/>
    <col min="11" max="11" width="6.375" style="290" customWidth="1"/>
    <col min="12" max="12" width="22.25" style="290" customWidth="1"/>
    <col min="13" max="13" width="43.25" style="290" bestFit="1" customWidth="1"/>
    <col min="14" max="14" width="0.875" style="290" customWidth="1"/>
    <col min="15" max="16" width="7.25" style="290" customWidth="1"/>
    <col min="17" max="17" width="0.875" style="290" customWidth="1"/>
    <col min="18" max="18" width="2.375" style="290" bestFit="1" customWidth="1"/>
    <col min="19" max="19" width="7" style="290" bestFit="1" customWidth="1"/>
    <col min="20" max="20" width="0.875" style="290" customWidth="1"/>
    <col min="21" max="21" width="3.75" style="291" customWidth="1"/>
    <col min="22" max="22" width="8.375" style="291" bestFit="1" customWidth="1"/>
    <col min="23" max="24" width="54.5" style="290" customWidth="1"/>
    <col min="25" max="25" width="0.875" style="290" customWidth="1"/>
    <col min="26" max="26" width="3.875" style="291" bestFit="1" customWidth="1"/>
    <col min="27" max="27" width="8.25" style="290" bestFit="1" customWidth="1"/>
    <col min="28" max="29" width="49.25" style="290" customWidth="1"/>
    <col min="30" max="30" width="8" style="290" bestFit="1" customWidth="1"/>
    <col min="31" max="31" width="0.875" style="290" customWidth="1"/>
    <col min="32" max="16384" width="9" style="290"/>
  </cols>
  <sheetData>
    <row r="1" spans="2:30" ht="6" customHeight="1" x14ac:dyDescent="0.2"/>
    <row r="2" spans="2:30" s="335" customFormat="1" ht="25.5" x14ac:dyDescent="0.25">
      <c r="B2" s="336" t="s">
        <v>53</v>
      </c>
      <c r="C2" s="336" t="s">
        <v>1314</v>
      </c>
      <c r="D2" s="336" t="s">
        <v>1553</v>
      </c>
      <c r="E2" s="336" t="s">
        <v>54</v>
      </c>
      <c r="G2" s="336" t="s">
        <v>52</v>
      </c>
      <c r="H2" s="336" t="s">
        <v>55</v>
      </c>
      <c r="J2" s="336" t="s">
        <v>1523</v>
      </c>
      <c r="K2" s="336" t="s">
        <v>1524</v>
      </c>
      <c r="L2" s="336" t="s">
        <v>52</v>
      </c>
      <c r="M2" s="336" t="s">
        <v>1525</v>
      </c>
      <c r="O2" s="336" t="s">
        <v>1546</v>
      </c>
      <c r="P2" s="336" t="s">
        <v>1547</v>
      </c>
      <c r="R2" s="336" t="s">
        <v>1554</v>
      </c>
      <c r="S2" s="336" t="s">
        <v>1321</v>
      </c>
      <c r="U2" s="336" t="s">
        <v>1563</v>
      </c>
      <c r="V2" s="336" t="s">
        <v>51</v>
      </c>
      <c r="W2" s="336" t="s">
        <v>52</v>
      </c>
      <c r="X2" s="336" t="s">
        <v>2561</v>
      </c>
      <c r="Z2" s="336" t="s">
        <v>1564</v>
      </c>
      <c r="AA2" s="336" t="s">
        <v>1565</v>
      </c>
      <c r="AB2" s="336" t="s">
        <v>52</v>
      </c>
      <c r="AC2" s="336" t="s">
        <v>334</v>
      </c>
      <c r="AD2" s="336" t="s">
        <v>1236</v>
      </c>
    </row>
    <row r="3" spans="2:30" x14ac:dyDescent="0.2">
      <c r="B3" s="337" t="s">
        <v>57</v>
      </c>
      <c r="C3" s="323">
        <v>1</v>
      </c>
      <c r="D3" s="323" t="str">
        <f>IF(Info!D5&gt;0,Info!D5,"")</f>
        <v>P731113</v>
      </c>
      <c r="E3" s="293" t="s">
        <v>2715</v>
      </c>
      <c r="G3" s="337" t="s">
        <v>58</v>
      </c>
      <c r="H3" s="323" t="s">
        <v>175</v>
      </c>
      <c r="J3" s="313" t="s">
        <v>1526</v>
      </c>
      <c r="K3" s="293" t="s">
        <v>315</v>
      </c>
      <c r="L3" s="293" t="s">
        <v>436</v>
      </c>
      <c r="M3" s="293" t="str">
        <f>CONCATENATE(K3," - ",L3)</f>
        <v>K1 - Személyi juttatások</v>
      </c>
      <c r="O3" s="293" t="s">
        <v>1239</v>
      </c>
      <c r="P3" s="313" t="s">
        <v>1549</v>
      </c>
      <c r="R3" s="313" t="s">
        <v>1557</v>
      </c>
      <c r="S3" s="293" t="s">
        <v>2557</v>
      </c>
      <c r="U3" s="323">
        <v>1</v>
      </c>
      <c r="V3" s="323" t="s">
        <v>1566</v>
      </c>
      <c r="W3" s="293" t="s">
        <v>1567</v>
      </c>
      <c r="X3" s="293" t="str">
        <f>CONCATENATE(V3," - ",W3)</f>
        <v>011110 - Államhatalmi szervek tevékenysége</v>
      </c>
      <c r="Z3" s="323">
        <v>1</v>
      </c>
      <c r="AA3" s="293" t="s">
        <v>59</v>
      </c>
      <c r="AB3" s="293" t="s">
        <v>1568</v>
      </c>
      <c r="AC3" s="293" t="str">
        <f>CONCATENATE(AA3," - ",AB3)</f>
        <v>0511011 -  Törvény szerinti illetmények, munkabérek előirányzata</v>
      </c>
      <c r="AD3" s="293" t="s">
        <v>1242</v>
      </c>
    </row>
    <row r="4" spans="2:30" x14ac:dyDescent="0.2">
      <c r="B4" s="337" t="s">
        <v>60</v>
      </c>
      <c r="C4" s="323">
        <v>2</v>
      </c>
      <c r="D4" s="323" t="str">
        <f>IF(Info!D6&gt;0,Info!D6,"")</f>
        <v>P394031</v>
      </c>
      <c r="E4" s="293" t="s">
        <v>2716</v>
      </c>
      <c r="G4" s="337" t="s">
        <v>145</v>
      </c>
      <c r="H4" s="338">
        <v>0.13</v>
      </c>
      <c r="J4" s="313" t="s">
        <v>1527</v>
      </c>
      <c r="K4" s="293" t="s">
        <v>317</v>
      </c>
      <c r="L4" s="293" t="s">
        <v>395</v>
      </c>
      <c r="M4" s="293" t="str">
        <f t="shared" ref="M4:M19" si="0">CONCATENATE(K4," - ",L4)</f>
        <v>K2 - Munkaadókat terhelő járulékok és szociális hozzájárulási adó</v>
      </c>
      <c r="O4" s="293" t="s">
        <v>1262</v>
      </c>
      <c r="P4" s="313" t="s">
        <v>1550</v>
      </c>
      <c r="R4" s="313" t="s">
        <v>1556</v>
      </c>
      <c r="S4" s="293" t="s">
        <v>2556</v>
      </c>
      <c r="U4" s="323">
        <v>2</v>
      </c>
      <c r="V4" s="323" t="s">
        <v>1569</v>
      </c>
      <c r="W4" s="293" t="s">
        <v>1570</v>
      </c>
      <c r="X4" s="293" t="str">
        <f t="shared" ref="X4:X67" si="1">CONCATENATE(V4," - ",W4)</f>
        <v>011120 - Kormányzati igazgatási tevékenység</v>
      </c>
      <c r="Z4" s="323">
        <v>2</v>
      </c>
      <c r="AA4" s="293" t="s">
        <v>61</v>
      </c>
      <c r="AB4" s="293" t="s">
        <v>1571</v>
      </c>
      <c r="AC4" s="293" t="str">
        <f t="shared" ref="AC4:AC67" si="2">CONCATENATE(AA4," - ",AB4)</f>
        <v>0511021 -  Normatív jutalmak előirányzata</v>
      </c>
      <c r="AD4" s="293" t="s">
        <v>1572</v>
      </c>
    </row>
    <row r="5" spans="2:30" x14ac:dyDescent="0.2">
      <c r="B5" s="337" t="s">
        <v>62</v>
      </c>
      <c r="C5" s="323">
        <v>3</v>
      </c>
      <c r="D5" s="323" t="str">
        <f>IF(Info!D7&gt;0,Info!D7,"")</f>
        <v>P654427</v>
      </c>
      <c r="E5" s="293" t="s">
        <v>2717</v>
      </c>
      <c r="G5" s="337" t="s">
        <v>148</v>
      </c>
      <c r="H5" s="339">
        <v>0.15</v>
      </c>
      <c r="J5" s="313" t="s">
        <v>1528</v>
      </c>
      <c r="K5" s="293" t="s">
        <v>4</v>
      </c>
      <c r="L5" s="293" t="s">
        <v>1543</v>
      </c>
      <c r="M5" s="293" t="str">
        <f t="shared" si="0"/>
        <v>K3 - Dologi kiadások</v>
      </c>
      <c r="O5" s="293" t="s">
        <v>1548</v>
      </c>
      <c r="P5" s="313" t="s">
        <v>1551</v>
      </c>
      <c r="R5" s="313" t="s">
        <v>1558</v>
      </c>
      <c r="S5" s="293" t="s">
        <v>2558</v>
      </c>
      <c r="U5" s="323">
        <v>3</v>
      </c>
      <c r="V5" s="323" t="s">
        <v>63</v>
      </c>
      <c r="W5" s="293" t="s">
        <v>1573</v>
      </c>
      <c r="X5" s="293" t="str">
        <f t="shared" si="1"/>
        <v>011130 - Önkormányzatok és önkormányzati hivatalok jogalkotó és általános igazgatási tevékenysége</v>
      </c>
      <c r="Z5" s="323">
        <v>3</v>
      </c>
      <c r="AA5" s="293" t="s">
        <v>64</v>
      </c>
      <c r="AB5" s="293" t="s">
        <v>1574</v>
      </c>
      <c r="AC5" s="293" t="str">
        <f t="shared" si="2"/>
        <v>0511031 -  Céljuttatás, projektprémium előirányzata</v>
      </c>
      <c r="AD5" s="293" t="s">
        <v>1304</v>
      </c>
    </row>
    <row r="6" spans="2:30" x14ac:dyDescent="0.2">
      <c r="B6" s="337" t="s">
        <v>65</v>
      </c>
      <c r="C6" s="323">
        <v>4</v>
      </c>
      <c r="D6" s="323" t="str">
        <f>IF(Info!D8&gt;0,Info!D8,"")</f>
        <v>P654449</v>
      </c>
      <c r="E6" s="293" t="s">
        <v>2718</v>
      </c>
      <c r="G6" s="337" t="s">
        <v>151</v>
      </c>
      <c r="H6" s="339">
        <v>0.5</v>
      </c>
      <c r="J6" s="313" t="s">
        <v>1529</v>
      </c>
      <c r="K6" s="293" t="s">
        <v>6</v>
      </c>
      <c r="L6" s="293" t="s">
        <v>345</v>
      </c>
      <c r="M6" s="293" t="str">
        <f t="shared" si="0"/>
        <v>K4 - Ellátottak pénzbeli juttatásai</v>
      </c>
      <c r="U6" s="323">
        <v>4</v>
      </c>
      <c r="V6" s="323" t="s">
        <v>1575</v>
      </c>
      <c r="W6" s="293" t="s">
        <v>1576</v>
      </c>
      <c r="X6" s="293" t="str">
        <f t="shared" si="1"/>
        <v>011140 - Országos és helyi nemzetiségi önkormányzatok igazgatási tevékenysége</v>
      </c>
      <c r="Z6" s="323">
        <v>4</v>
      </c>
      <c r="AA6" s="293" t="s">
        <v>66</v>
      </c>
      <c r="AB6" s="293" t="s">
        <v>1577</v>
      </c>
      <c r="AC6" s="293" t="str">
        <f t="shared" si="2"/>
        <v>0511041 -  Készenléti, ügyeleti, helyettesítési díj, túlóra, túlszolgálat előirányzata</v>
      </c>
      <c r="AD6" s="293" t="s">
        <v>1303</v>
      </c>
    </row>
    <row r="7" spans="2:30" x14ac:dyDescent="0.2">
      <c r="B7" s="337" t="s">
        <v>67</v>
      </c>
      <c r="C7" s="323">
        <v>5</v>
      </c>
      <c r="D7" s="323" t="str">
        <f>IF(Info!D9&gt;0,Info!D9,"")</f>
        <v>P654472</v>
      </c>
      <c r="E7" s="293" t="s">
        <v>2719</v>
      </c>
      <c r="G7" s="337" t="s">
        <v>154</v>
      </c>
      <c r="H7" s="323" t="s">
        <v>573</v>
      </c>
      <c r="J7" s="313" t="s">
        <v>1530</v>
      </c>
      <c r="K7" s="293" t="s">
        <v>8</v>
      </c>
      <c r="L7" s="293" t="s">
        <v>321</v>
      </c>
      <c r="M7" s="293" t="str">
        <f t="shared" si="0"/>
        <v>K5 - Egyéb működési célú kiadások</v>
      </c>
      <c r="U7" s="323">
        <v>5</v>
      </c>
      <c r="V7" s="323" t="s">
        <v>1578</v>
      </c>
      <c r="W7" s="293" t="s">
        <v>1579</v>
      </c>
      <c r="X7" s="293" t="str">
        <f t="shared" si="1"/>
        <v>011210 - Az államháztartás igazgatása, ellenőrzése</v>
      </c>
      <c r="Z7" s="323">
        <v>5</v>
      </c>
      <c r="AA7" s="293" t="s">
        <v>68</v>
      </c>
      <c r="AB7" s="293" t="s">
        <v>1580</v>
      </c>
      <c r="AC7" s="293" t="str">
        <f t="shared" si="2"/>
        <v>0511051 -  Végkielégítés előirányzata</v>
      </c>
      <c r="AD7" s="293" t="s">
        <v>1280</v>
      </c>
    </row>
    <row r="8" spans="2:30" x14ac:dyDescent="0.2">
      <c r="B8" s="337" t="s">
        <v>69</v>
      </c>
      <c r="C8" s="323">
        <v>6</v>
      </c>
      <c r="D8" s="323" t="str">
        <f>IF(Info!D10&gt;0,Info!D10,"")</f>
        <v/>
      </c>
      <c r="E8" s="293"/>
      <c r="G8" s="337" t="s">
        <v>157</v>
      </c>
      <c r="H8" s="323" t="s">
        <v>581</v>
      </c>
      <c r="J8" s="313" t="s">
        <v>1531</v>
      </c>
      <c r="K8" s="293" t="s">
        <v>10</v>
      </c>
      <c r="L8" s="293" t="s">
        <v>322</v>
      </c>
      <c r="M8" s="293" t="str">
        <f t="shared" si="0"/>
        <v>K6 - Beruházások</v>
      </c>
      <c r="U8" s="323">
        <v>6</v>
      </c>
      <c r="V8" s="323" t="s">
        <v>1581</v>
      </c>
      <c r="W8" s="293" t="s">
        <v>1582</v>
      </c>
      <c r="X8" s="293" t="str">
        <f t="shared" si="1"/>
        <v>011220 - Adó-, vám- és jövedéki igazgatás</v>
      </c>
      <c r="Z8" s="323">
        <v>6</v>
      </c>
      <c r="AA8" s="293" t="s">
        <v>70</v>
      </c>
      <c r="AB8" s="293" t="s">
        <v>1583</v>
      </c>
      <c r="AC8" s="293" t="str">
        <f t="shared" si="2"/>
        <v>0511061 -  Jubileumi jutalom előirányzata</v>
      </c>
      <c r="AD8" s="293" t="s">
        <v>1256</v>
      </c>
    </row>
    <row r="9" spans="2:30" x14ac:dyDescent="0.2">
      <c r="B9" s="337" t="s">
        <v>71</v>
      </c>
      <c r="C9" s="323">
        <v>7</v>
      </c>
      <c r="D9" s="323" t="str">
        <f>IF(Info!D11&gt;0,Info!D11,"")</f>
        <v/>
      </c>
      <c r="E9" s="293"/>
      <c r="G9" s="337" t="s">
        <v>161</v>
      </c>
      <c r="H9" s="340" t="s">
        <v>1315</v>
      </c>
      <c r="J9" s="313" t="s">
        <v>1532</v>
      </c>
      <c r="K9" s="293" t="s">
        <v>12</v>
      </c>
      <c r="L9" s="293" t="s">
        <v>323</v>
      </c>
      <c r="M9" s="293" t="str">
        <f t="shared" si="0"/>
        <v>K7 - Felújítások</v>
      </c>
      <c r="U9" s="323">
        <v>7</v>
      </c>
      <c r="V9" s="323" t="s">
        <v>1584</v>
      </c>
      <c r="W9" s="293" t="s">
        <v>1585</v>
      </c>
      <c r="X9" s="293" t="str">
        <f t="shared" si="1"/>
        <v>011230 - Államadósság kezelése</v>
      </c>
      <c r="Z9" s="323">
        <v>7</v>
      </c>
      <c r="AA9" s="293" t="s">
        <v>72</v>
      </c>
      <c r="AB9" s="293" t="s">
        <v>1586</v>
      </c>
      <c r="AC9" s="293" t="str">
        <f t="shared" si="2"/>
        <v>0511071 -  Béren kívüli juttatások előirányzata</v>
      </c>
      <c r="AD9" s="293" t="s">
        <v>1257</v>
      </c>
    </row>
    <row r="10" spans="2:30" x14ac:dyDescent="0.2">
      <c r="B10" s="337" t="s">
        <v>73</v>
      </c>
      <c r="C10" s="323">
        <v>8</v>
      </c>
      <c r="D10" s="323" t="str">
        <f>IF(Info!D12&gt;0,Info!D12,"")</f>
        <v/>
      </c>
      <c r="E10" s="293"/>
      <c r="G10" s="337" t="s">
        <v>164</v>
      </c>
      <c r="H10" s="323" t="s">
        <v>172</v>
      </c>
      <c r="J10" s="313" t="s">
        <v>1533</v>
      </c>
      <c r="K10" s="293" t="s">
        <v>15</v>
      </c>
      <c r="L10" s="293" t="s">
        <v>1544</v>
      </c>
      <c r="M10" s="293" t="str">
        <f t="shared" si="0"/>
        <v>K8 - Egyéb felhalmozási célú kiadások</v>
      </c>
      <c r="U10" s="323">
        <v>8</v>
      </c>
      <c r="V10" s="323" t="s">
        <v>1587</v>
      </c>
      <c r="W10" s="293" t="s">
        <v>1588</v>
      </c>
      <c r="X10" s="293" t="str">
        <f t="shared" si="1"/>
        <v>011310 - Külügyek igazgatása</v>
      </c>
      <c r="Z10" s="323">
        <v>8</v>
      </c>
      <c r="AA10" s="293" t="s">
        <v>74</v>
      </c>
      <c r="AB10" s="293" t="s">
        <v>1589</v>
      </c>
      <c r="AC10" s="293" t="str">
        <f t="shared" si="2"/>
        <v>0511081 -  Ruházati költségtérítés előirányzata</v>
      </c>
      <c r="AD10" s="293" t="s">
        <v>1590</v>
      </c>
    </row>
    <row r="11" spans="2:30" x14ac:dyDescent="0.2">
      <c r="B11" s="337" t="s">
        <v>75</v>
      </c>
      <c r="C11" s="323">
        <v>9</v>
      </c>
      <c r="D11" s="323" t="str">
        <f>IF(Info!D13&gt;0,Info!D13,"")</f>
        <v/>
      </c>
      <c r="E11" s="293"/>
      <c r="G11" s="337" t="s">
        <v>167</v>
      </c>
      <c r="H11" s="323" t="s">
        <v>158</v>
      </c>
      <c r="J11" s="313" t="s">
        <v>1534</v>
      </c>
      <c r="K11" s="293" t="s">
        <v>18</v>
      </c>
      <c r="L11" s="293" t="s">
        <v>325</v>
      </c>
      <c r="M11" s="293" t="str">
        <f t="shared" si="0"/>
        <v>K9 - Finanszírozási kiadások</v>
      </c>
      <c r="U11" s="323">
        <v>9</v>
      </c>
      <c r="V11" s="323" t="s">
        <v>1591</v>
      </c>
      <c r="W11" s="293" t="s">
        <v>1592</v>
      </c>
      <c r="X11" s="293" t="str">
        <f t="shared" si="1"/>
        <v>011320 - Nemzetközi szervezetekben való részvétel</v>
      </c>
      <c r="Z11" s="323">
        <v>9</v>
      </c>
      <c r="AA11" s="293" t="s">
        <v>76</v>
      </c>
      <c r="AB11" s="293" t="s">
        <v>1593</v>
      </c>
      <c r="AC11" s="293" t="str">
        <f t="shared" si="2"/>
        <v>0511091 -  Közlekedési költségtérítés előirányzata</v>
      </c>
      <c r="AD11" s="293" t="s">
        <v>1258</v>
      </c>
    </row>
    <row r="12" spans="2:30" x14ac:dyDescent="0.2">
      <c r="B12" s="337" t="s">
        <v>77</v>
      </c>
      <c r="C12" s="323">
        <v>10</v>
      </c>
      <c r="D12" s="323" t="str">
        <f>IF(Info!D14&gt;0,Info!D14,"")</f>
        <v/>
      </c>
      <c r="E12" s="293"/>
      <c r="G12" s="337" t="s">
        <v>169</v>
      </c>
      <c r="H12" s="323" t="s">
        <v>580</v>
      </c>
      <c r="J12" s="313" t="s">
        <v>1535</v>
      </c>
      <c r="K12" s="293" t="s">
        <v>21</v>
      </c>
      <c r="L12" s="293" t="s">
        <v>437</v>
      </c>
      <c r="M12" s="293" t="str">
        <f t="shared" si="0"/>
        <v>B1 - Működési célú támogatások államháztartáson belülről</v>
      </c>
      <c r="U12" s="323">
        <v>10</v>
      </c>
      <c r="V12" s="323" t="s">
        <v>1594</v>
      </c>
      <c r="W12" s="293" t="s">
        <v>1595</v>
      </c>
      <c r="X12" s="293" t="str">
        <f t="shared" si="1"/>
        <v>012110 - Gazdasági segítség nyújtása fejlődő és átmeneti gazdaságú országoknak</v>
      </c>
      <c r="Z12" s="323">
        <v>10</v>
      </c>
      <c r="AA12" s="293" t="s">
        <v>78</v>
      </c>
      <c r="AB12" s="293" t="s">
        <v>1596</v>
      </c>
      <c r="AC12" s="293" t="str">
        <f t="shared" si="2"/>
        <v>0511101 -  Egyéb költségtérítések előirányzata</v>
      </c>
      <c r="AD12" s="293" t="s">
        <v>1243</v>
      </c>
    </row>
    <row r="13" spans="2:30" x14ac:dyDescent="0.2">
      <c r="B13" s="337" t="s">
        <v>79</v>
      </c>
      <c r="C13" s="323">
        <v>11</v>
      </c>
      <c r="D13" s="323" t="str">
        <f>IF(Info!D15&gt;0,Info!D15,"")</f>
        <v/>
      </c>
      <c r="E13" s="293"/>
      <c r="G13" s="337" t="s">
        <v>171</v>
      </c>
      <c r="H13" s="323" t="s">
        <v>700</v>
      </c>
      <c r="J13" s="313" t="s">
        <v>1536</v>
      </c>
      <c r="K13" s="293" t="s">
        <v>24</v>
      </c>
      <c r="L13" s="293" t="s">
        <v>449</v>
      </c>
      <c r="M13" s="293" t="str">
        <f t="shared" si="0"/>
        <v>B2 - Felhalmozási célú támogatások államháztartáson belülről</v>
      </c>
      <c r="U13" s="323">
        <v>11</v>
      </c>
      <c r="V13" s="323" t="s">
        <v>1597</v>
      </c>
      <c r="W13" s="293" t="s">
        <v>1598</v>
      </c>
      <c r="X13" s="293" t="str">
        <f t="shared" si="1"/>
        <v>012210 - Gazdasági segítség nyújtása nemzetközi szervezeteken keresztül</v>
      </c>
      <c r="Z13" s="323">
        <v>11</v>
      </c>
      <c r="AA13" s="293" t="s">
        <v>80</v>
      </c>
      <c r="AB13" s="293" t="s">
        <v>1599</v>
      </c>
      <c r="AC13" s="293" t="str">
        <f t="shared" si="2"/>
        <v>0511111 -  Lakhatási támogatások előirányzata</v>
      </c>
      <c r="AD13" s="293" t="s">
        <v>1600</v>
      </c>
    </row>
    <row r="14" spans="2:30" x14ac:dyDescent="0.2">
      <c r="B14" s="337" t="s">
        <v>81</v>
      </c>
      <c r="C14" s="323">
        <v>12</v>
      </c>
      <c r="D14" s="323" t="str">
        <f>IF(Info!D16&gt;0,Info!D16,"")</f>
        <v/>
      </c>
      <c r="E14" s="293"/>
      <c r="G14" s="337" t="s">
        <v>174</v>
      </c>
      <c r="H14" s="323" t="s">
        <v>1316</v>
      </c>
      <c r="J14" s="313" t="s">
        <v>1537</v>
      </c>
      <c r="K14" s="293" t="s">
        <v>27</v>
      </c>
      <c r="L14" s="293" t="s">
        <v>328</v>
      </c>
      <c r="M14" s="293" t="str">
        <f t="shared" si="0"/>
        <v>B3 - Közhatalmi bevételek</v>
      </c>
      <c r="U14" s="323">
        <v>12</v>
      </c>
      <c r="V14" s="323" t="s">
        <v>1601</v>
      </c>
      <c r="W14" s="293" t="s">
        <v>1602</v>
      </c>
      <c r="X14" s="293" t="str">
        <f t="shared" si="1"/>
        <v>013110 - A közszolgálat egyetemes humánerő-gazdálkodása</v>
      </c>
      <c r="Z14" s="323">
        <v>12</v>
      </c>
      <c r="AA14" s="293" t="s">
        <v>82</v>
      </c>
      <c r="AB14" s="293" t="s">
        <v>1603</v>
      </c>
      <c r="AC14" s="293" t="str">
        <f t="shared" si="2"/>
        <v>0511121 -  Szociális támogatások előirányzata</v>
      </c>
      <c r="AD14" s="293" t="s">
        <v>1307</v>
      </c>
    </row>
    <row r="15" spans="2:30" x14ac:dyDescent="0.2">
      <c r="B15" s="337" t="s">
        <v>83</v>
      </c>
      <c r="C15" s="323">
        <v>13</v>
      </c>
      <c r="D15" s="323" t="str">
        <f>IF(Info!D17&gt;0,Info!D17,"")</f>
        <v/>
      </c>
      <c r="E15" s="293"/>
      <c r="G15" s="337" t="s">
        <v>578</v>
      </c>
      <c r="H15" s="338">
        <v>0.13</v>
      </c>
      <c r="J15" s="313" t="s">
        <v>1538</v>
      </c>
      <c r="K15" s="293" t="s">
        <v>30</v>
      </c>
      <c r="L15" s="293" t="s">
        <v>329</v>
      </c>
      <c r="M15" s="293" t="str">
        <f t="shared" si="0"/>
        <v>B4 - Működési bevételek</v>
      </c>
      <c r="U15" s="323">
        <v>13</v>
      </c>
      <c r="V15" s="323" t="s">
        <v>1604</v>
      </c>
      <c r="W15" s="293" t="s">
        <v>1605</v>
      </c>
      <c r="X15" s="293" t="str">
        <f t="shared" si="1"/>
        <v>013210 - Átfogó tervezési és statisztikai szolgáltatások</v>
      </c>
      <c r="Z15" s="323">
        <v>13</v>
      </c>
      <c r="AA15" s="293" t="s">
        <v>84</v>
      </c>
      <c r="AB15" s="293" t="s">
        <v>1606</v>
      </c>
      <c r="AC15" s="293" t="str">
        <f t="shared" si="2"/>
        <v>0511131 -  Foglalkoztatottak egyéb személyi juttatásai előirányzata</v>
      </c>
      <c r="AD15" s="293" t="s">
        <v>1300</v>
      </c>
    </row>
    <row r="16" spans="2:30" x14ac:dyDescent="0.2">
      <c r="B16" s="337" t="s">
        <v>85</v>
      </c>
      <c r="C16" s="323">
        <v>14</v>
      </c>
      <c r="D16" s="323" t="str">
        <f>IF(Info!D18&gt;0,Info!D18,"")</f>
        <v/>
      </c>
      <c r="E16" s="293"/>
      <c r="G16" s="337" t="s">
        <v>579</v>
      </c>
      <c r="H16" s="338">
        <v>0.13</v>
      </c>
      <c r="J16" s="313" t="s">
        <v>1539</v>
      </c>
      <c r="K16" s="293" t="s">
        <v>33</v>
      </c>
      <c r="L16" s="293" t="s">
        <v>330</v>
      </c>
      <c r="M16" s="293" t="str">
        <f t="shared" si="0"/>
        <v>B5 - Felhalmozási bevételek</v>
      </c>
      <c r="U16" s="323">
        <v>14</v>
      </c>
      <c r="V16" s="323" t="s">
        <v>1607</v>
      </c>
      <c r="W16" s="293" t="s">
        <v>1608</v>
      </c>
      <c r="X16" s="293" t="str">
        <f t="shared" si="1"/>
        <v>013320 - Köztemető-fenntartás és -működtetés</v>
      </c>
      <c r="Z16" s="323">
        <v>14</v>
      </c>
      <c r="AA16" s="293" t="s">
        <v>86</v>
      </c>
      <c r="AB16" s="293" t="s">
        <v>1609</v>
      </c>
      <c r="AC16" s="293" t="str">
        <f t="shared" si="2"/>
        <v>051211 -  Választott tisztségviselők juttatásai előirányzata</v>
      </c>
      <c r="AD16" s="293" t="s">
        <v>1244</v>
      </c>
    </row>
    <row r="17" spans="2:30" x14ac:dyDescent="0.2">
      <c r="B17" s="337" t="s">
        <v>87</v>
      </c>
      <c r="C17" s="323">
        <v>15</v>
      </c>
      <c r="D17" s="323" t="str">
        <f>IF(Info!D19&gt;0,Info!D19,"")</f>
        <v/>
      </c>
      <c r="E17" s="293"/>
      <c r="G17" s="341"/>
      <c r="J17" s="313" t="s">
        <v>1540</v>
      </c>
      <c r="K17" s="293" t="s">
        <v>36</v>
      </c>
      <c r="L17" s="293" t="s">
        <v>331</v>
      </c>
      <c r="M17" s="293" t="str">
        <f t="shared" si="0"/>
        <v>B6 - Működési célú átvett pénzeszközök</v>
      </c>
      <c r="U17" s="323">
        <v>15</v>
      </c>
      <c r="V17" s="323" t="s">
        <v>1610</v>
      </c>
      <c r="W17" s="293" t="s">
        <v>1611</v>
      </c>
      <c r="X17" s="293" t="str">
        <f t="shared" si="1"/>
        <v>013330 - Pályázat- és támogatáskezelés, ellenőrzés</v>
      </c>
      <c r="Z17" s="323">
        <v>15</v>
      </c>
      <c r="AA17" s="293" t="s">
        <v>88</v>
      </c>
      <c r="AB17" s="293" t="s">
        <v>1612</v>
      </c>
      <c r="AC17" s="293" t="str">
        <f t="shared" si="2"/>
        <v>051221 -  Munkavégzésre irányuló egyéb jogviszonyban nem saját foglalkoztatottnak fizetett juttatások előirányzata</v>
      </c>
      <c r="AD17" s="293" t="s">
        <v>1245</v>
      </c>
    </row>
    <row r="18" spans="2:30" x14ac:dyDescent="0.2">
      <c r="B18" s="337" t="s">
        <v>89</v>
      </c>
      <c r="C18" s="323">
        <v>16</v>
      </c>
      <c r="D18" s="323" t="str">
        <f>IF(Info!D20&gt;0,Info!D20,"")</f>
        <v/>
      </c>
      <c r="E18" s="293"/>
      <c r="G18" s="341"/>
      <c r="J18" s="313" t="s">
        <v>1541</v>
      </c>
      <c r="K18" s="293" t="s">
        <v>38</v>
      </c>
      <c r="L18" s="293" t="s">
        <v>332</v>
      </c>
      <c r="M18" s="293" t="str">
        <f t="shared" si="0"/>
        <v>B7 - Felhalmozási célú átvett pénzeszközök</v>
      </c>
      <c r="U18" s="323">
        <v>16</v>
      </c>
      <c r="V18" s="323" t="s">
        <v>1613</v>
      </c>
      <c r="W18" s="293" t="s">
        <v>1614</v>
      </c>
      <c r="X18" s="293" t="str">
        <f t="shared" si="1"/>
        <v>013340 - Az állami vagyonnal való gazdálkodással kapcsolatos feladatok</v>
      </c>
      <c r="Z18" s="323">
        <v>16</v>
      </c>
      <c r="AA18" s="293" t="s">
        <v>90</v>
      </c>
      <c r="AB18" s="293" t="s">
        <v>1615</v>
      </c>
      <c r="AC18" s="293" t="str">
        <f t="shared" si="2"/>
        <v>051231 -  Egyéb külső személyi juttatások előirányzata</v>
      </c>
      <c r="AD18" s="293" t="s">
        <v>1281</v>
      </c>
    </row>
    <row r="19" spans="2:30" x14ac:dyDescent="0.2">
      <c r="B19" s="337" t="s">
        <v>91</v>
      </c>
      <c r="C19" s="323">
        <v>17</v>
      </c>
      <c r="D19" s="323" t="str">
        <f>IF(Info!D21&gt;0,Info!D21,"")</f>
        <v/>
      </c>
      <c r="E19" s="293"/>
      <c r="G19" s="341"/>
      <c r="J19" s="313" t="s">
        <v>1542</v>
      </c>
      <c r="K19" s="293" t="s">
        <v>40</v>
      </c>
      <c r="L19" s="293" t="s">
        <v>333</v>
      </c>
      <c r="M19" s="293" t="str">
        <f t="shared" si="0"/>
        <v>B8 - Finanszírozási bevételek</v>
      </c>
      <c r="U19" s="323">
        <v>17</v>
      </c>
      <c r="V19" s="323" t="s">
        <v>1616</v>
      </c>
      <c r="W19" s="293" t="s">
        <v>1617</v>
      </c>
      <c r="X19" s="293" t="str">
        <f t="shared" si="1"/>
        <v>013350 - Az önkormányzati vagyonnal való gazdálkodással kapcsolatos feladatok</v>
      </c>
      <c r="Z19" s="323">
        <v>17</v>
      </c>
      <c r="AA19" s="293" t="s">
        <v>92</v>
      </c>
      <c r="AB19" s="293" t="s">
        <v>1618</v>
      </c>
      <c r="AC19" s="293" t="str">
        <f t="shared" si="2"/>
        <v>0521 -  Munkaadókat terhelő járulékok és szociális hozzájárulási adó előirányzata</v>
      </c>
      <c r="AD19" s="293" t="s">
        <v>317</v>
      </c>
    </row>
    <row r="20" spans="2:30" x14ac:dyDescent="0.2">
      <c r="B20" s="337" t="s">
        <v>93</v>
      </c>
      <c r="C20" s="323">
        <v>18</v>
      </c>
      <c r="D20" s="323" t="str">
        <f>IF(Info!D22&gt;0,Info!D22,"")</f>
        <v/>
      </c>
      <c r="E20" s="293"/>
      <c r="G20" s="341"/>
      <c r="J20" s="312"/>
      <c r="U20" s="323">
        <v>18</v>
      </c>
      <c r="V20" s="323" t="s">
        <v>1619</v>
      </c>
      <c r="W20" s="293" t="s">
        <v>1620</v>
      </c>
      <c r="X20" s="293" t="str">
        <f t="shared" si="1"/>
        <v>013360 - Más szerv részére végzett pénzügyi-gazdálkodási, üzemeltetési, egyéb szolgáltatások</v>
      </c>
      <c r="Z20" s="323">
        <v>18</v>
      </c>
      <c r="AA20" s="293" t="s">
        <v>94</v>
      </c>
      <c r="AB20" s="293" t="s">
        <v>1621</v>
      </c>
      <c r="AC20" s="293" t="str">
        <f t="shared" si="2"/>
        <v>053111 -  Szakmai anyagok beszerzése előirányzata</v>
      </c>
      <c r="AD20" s="293" t="s">
        <v>1246</v>
      </c>
    </row>
    <row r="21" spans="2:30" x14ac:dyDescent="0.2">
      <c r="B21" s="337" t="s">
        <v>95</v>
      </c>
      <c r="C21" s="323">
        <v>19</v>
      </c>
      <c r="D21" s="323" t="str">
        <f>IF(Info!D23&gt;0,Info!D23,"")</f>
        <v/>
      </c>
      <c r="E21" s="293"/>
      <c r="G21" s="341"/>
      <c r="J21" s="312"/>
      <c r="U21" s="323">
        <v>19</v>
      </c>
      <c r="V21" s="323" t="s">
        <v>1622</v>
      </c>
      <c r="W21" s="293" t="s">
        <v>1623</v>
      </c>
      <c r="X21" s="293" t="str">
        <f t="shared" si="1"/>
        <v>013370 - Informatikai fejlesztések, szolgáltatások</v>
      </c>
      <c r="Z21" s="323">
        <v>19</v>
      </c>
      <c r="AA21" s="293" t="s">
        <v>96</v>
      </c>
      <c r="AB21" s="293" t="s">
        <v>1624</v>
      </c>
      <c r="AC21" s="293" t="str">
        <f t="shared" si="2"/>
        <v>053121 -  Üzemeltetési anyagok beszerzése előirányzata</v>
      </c>
      <c r="AD21" s="293" t="s">
        <v>1240</v>
      </c>
    </row>
    <row r="22" spans="2:30" x14ac:dyDescent="0.2">
      <c r="B22" s="337" t="s">
        <v>97</v>
      </c>
      <c r="C22" s="323">
        <v>20</v>
      </c>
      <c r="D22" s="323" t="str">
        <f>IF(Info!D24&gt;0,Info!D24,"")</f>
        <v/>
      </c>
      <c r="E22" s="293"/>
      <c r="J22" s="312"/>
      <c r="U22" s="323">
        <v>20</v>
      </c>
      <c r="V22" s="323" t="s">
        <v>1625</v>
      </c>
      <c r="W22" s="293" t="s">
        <v>1626</v>
      </c>
      <c r="X22" s="293" t="str">
        <f t="shared" si="1"/>
        <v>013390 - Egyéb kiegészítő szolgáltatások</v>
      </c>
      <c r="Z22" s="323">
        <v>20</v>
      </c>
      <c r="AA22" s="293" t="s">
        <v>98</v>
      </c>
      <c r="AB22" s="293" t="s">
        <v>1627</v>
      </c>
      <c r="AC22" s="293" t="str">
        <f t="shared" si="2"/>
        <v>053131 -  Árubeszerzés előirányzata</v>
      </c>
      <c r="AD22" s="293" t="s">
        <v>1628</v>
      </c>
    </row>
    <row r="23" spans="2:30" x14ac:dyDescent="0.2">
      <c r="B23" s="337" t="s">
        <v>99</v>
      </c>
      <c r="C23" s="323">
        <v>21</v>
      </c>
      <c r="D23" s="323" t="str">
        <f>IF(Info!D25&gt;0,Info!D25,"")</f>
        <v/>
      </c>
      <c r="E23" s="293"/>
      <c r="J23" s="312"/>
      <c r="U23" s="323">
        <v>21</v>
      </c>
      <c r="V23" s="323" t="s">
        <v>1629</v>
      </c>
      <c r="W23" s="293" t="s">
        <v>1630</v>
      </c>
      <c r="X23" s="293" t="str">
        <f t="shared" si="1"/>
        <v>014010 - Általános K+F politika</v>
      </c>
      <c r="Z23" s="323">
        <v>21</v>
      </c>
      <c r="AA23" s="293" t="s">
        <v>100</v>
      </c>
      <c r="AB23" s="293" t="s">
        <v>1631</v>
      </c>
      <c r="AC23" s="293" t="str">
        <f t="shared" si="2"/>
        <v>053211 -  Informatikai szolgáltatások igénybevétele előirányzata</v>
      </c>
      <c r="AD23" s="293" t="s">
        <v>1247</v>
      </c>
    </row>
    <row r="24" spans="2:30" x14ac:dyDescent="0.2">
      <c r="B24" s="337" t="s">
        <v>101</v>
      </c>
      <c r="C24" s="323">
        <v>22</v>
      </c>
      <c r="D24" s="323" t="str">
        <f>IF(Info!D26&gt;0,Info!D26,"")</f>
        <v/>
      </c>
      <c r="E24" s="293"/>
      <c r="J24" s="312"/>
      <c r="U24" s="323">
        <v>22</v>
      </c>
      <c r="V24" s="323" t="s">
        <v>1632</v>
      </c>
      <c r="W24" s="293" t="s">
        <v>1633</v>
      </c>
      <c r="X24" s="293" t="str">
        <f t="shared" si="1"/>
        <v>014020 - Biotechnológiai alapkutatás</v>
      </c>
      <c r="Z24" s="323">
        <v>22</v>
      </c>
      <c r="AA24" s="293" t="s">
        <v>102</v>
      </c>
      <c r="AB24" s="293" t="s">
        <v>1634</v>
      </c>
      <c r="AC24" s="293" t="str">
        <f t="shared" si="2"/>
        <v>053221 -  Egyéb kommunikációs szolgáltatások előirányzata</v>
      </c>
      <c r="AD24" s="293" t="s">
        <v>1248</v>
      </c>
    </row>
    <row r="25" spans="2:30" x14ac:dyDescent="0.2">
      <c r="B25" s="337" t="s">
        <v>103</v>
      </c>
      <c r="C25" s="323">
        <v>23</v>
      </c>
      <c r="D25" s="323" t="str">
        <f>IF(Info!D27&gt;0,Info!D27,"")</f>
        <v/>
      </c>
      <c r="E25" s="293"/>
      <c r="U25" s="323">
        <v>23</v>
      </c>
      <c r="V25" s="323" t="s">
        <v>1635</v>
      </c>
      <c r="W25" s="293" t="s">
        <v>1636</v>
      </c>
      <c r="X25" s="293" t="str">
        <f t="shared" si="1"/>
        <v>014030 - Természettudományi, műszaki alapkutatás</v>
      </c>
      <c r="Z25" s="323">
        <v>23</v>
      </c>
      <c r="AA25" s="293" t="s">
        <v>582</v>
      </c>
      <c r="AB25" s="293" t="s">
        <v>583</v>
      </c>
      <c r="AC25" s="293" t="str">
        <f t="shared" si="2"/>
        <v>0533111 -  Villamosenergia szolgáltatás díja előirányzata</v>
      </c>
      <c r="AD25" s="293" t="s">
        <v>1249</v>
      </c>
    </row>
    <row r="26" spans="2:30" x14ac:dyDescent="0.2">
      <c r="B26" s="337" t="s">
        <v>104</v>
      </c>
      <c r="C26" s="323">
        <v>24</v>
      </c>
      <c r="D26" s="323" t="str">
        <f>IF(Info!D28&gt;0,Info!D28,"")</f>
        <v/>
      </c>
      <c r="E26" s="293"/>
      <c r="U26" s="323">
        <v>24</v>
      </c>
      <c r="V26" s="323" t="s">
        <v>1637</v>
      </c>
      <c r="W26" s="293" t="s">
        <v>1638</v>
      </c>
      <c r="X26" s="293" t="str">
        <f t="shared" si="1"/>
        <v>014040 - Társadalomtudományi, humán alapkutatás</v>
      </c>
      <c r="Z26" s="323">
        <v>24</v>
      </c>
      <c r="AA26" s="293" t="s">
        <v>584</v>
      </c>
      <c r="AB26" s="293" t="s">
        <v>585</v>
      </c>
      <c r="AC26" s="293" t="str">
        <f t="shared" si="2"/>
        <v>0533121 -  Gázenergia szolgáltatás díja előirányzata</v>
      </c>
      <c r="AD26" s="293" t="s">
        <v>1263</v>
      </c>
    </row>
    <row r="27" spans="2:30" x14ac:dyDescent="0.2">
      <c r="B27" s="337" t="s">
        <v>106</v>
      </c>
      <c r="C27" s="323">
        <v>25</v>
      </c>
      <c r="D27" s="323" t="str">
        <f>IF(Info!D29&gt;0,Info!D29,"")</f>
        <v/>
      </c>
      <c r="E27" s="293"/>
      <c r="U27" s="323">
        <v>25</v>
      </c>
      <c r="V27" s="323" t="s">
        <v>1639</v>
      </c>
      <c r="W27" s="293" t="s">
        <v>1640</v>
      </c>
      <c r="X27" s="293" t="str">
        <f t="shared" si="1"/>
        <v>015010 - Általános közszolgáltatásokkal kapcsolatos alkalmazott kutatás és fejlesztés</v>
      </c>
      <c r="Z27" s="323">
        <v>25</v>
      </c>
      <c r="AA27" s="293" t="s">
        <v>586</v>
      </c>
      <c r="AB27" s="293" t="s">
        <v>587</v>
      </c>
      <c r="AC27" s="293" t="str">
        <f t="shared" si="2"/>
        <v>0533131 -  Távhő- és melegvíz szolgáltatás díja előirányzata</v>
      </c>
      <c r="AD27" s="293" t="s">
        <v>1641</v>
      </c>
    </row>
    <row r="28" spans="2:30" x14ac:dyDescent="0.2">
      <c r="B28" s="337" t="s">
        <v>108</v>
      </c>
      <c r="C28" s="323">
        <v>26</v>
      </c>
      <c r="D28" s="323" t="str">
        <f>IF(Info!D30&gt;0,Info!D30,"")</f>
        <v/>
      </c>
      <c r="E28" s="293"/>
      <c r="U28" s="323">
        <v>26</v>
      </c>
      <c r="V28" s="323" t="s">
        <v>1642</v>
      </c>
      <c r="W28" s="293" t="s">
        <v>1643</v>
      </c>
      <c r="X28" s="293" t="str">
        <f t="shared" si="1"/>
        <v>016010 - Országgyűlési, önkormányzati és európai parlamenti képviselőválasztásokhoz kapcsolódó tevékenységek</v>
      </c>
      <c r="Z28" s="323">
        <v>26</v>
      </c>
      <c r="AA28" s="293" t="s">
        <v>588</v>
      </c>
      <c r="AB28" s="293" t="s">
        <v>589</v>
      </c>
      <c r="AC28" s="293" t="str">
        <f t="shared" si="2"/>
        <v>0533141 -  Víz- és csatorna szolgáltatás díja előirányzata</v>
      </c>
      <c r="AD28" s="293" t="s">
        <v>1276</v>
      </c>
    </row>
    <row r="29" spans="2:30" x14ac:dyDescent="0.2">
      <c r="B29" s="337" t="s">
        <v>110</v>
      </c>
      <c r="C29" s="323">
        <v>27</v>
      </c>
      <c r="D29" s="323" t="str">
        <f>IF(Info!D31&gt;0,Info!D31,"")</f>
        <v/>
      </c>
      <c r="E29" s="293"/>
      <c r="U29" s="323">
        <v>27</v>
      </c>
      <c r="V29" s="323" t="s">
        <v>1644</v>
      </c>
      <c r="W29" s="293" t="s">
        <v>1645</v>
      </c>
      <c r="X29" s="293" t="str">
        <f t="shared" si="1"/>
        <v>016020 - Országos és helyi népszavazással kapcsolatos tevékenységek</v>
      </c>
      <c r="Z29" s="323">
        <v>27</v>
      </c>
      <c r="AA29" s="293" t="s">
        <v>105</v>
      </c>
      <c r="AB29" s="293" t="s">
        <v>1646</v>
      </c>
      <c r="AC29" s="293" t="str">
        <f t="shared" si="2"/>
        <v>053321 -  Vásárolt élelmezés előirányzata</v>
      </c>
      <c r="AD29" s="293" t="s">
        <v>1250</v>
      </c>
    </row>
    <row r="30" spans="2:30" x14ac:dyDescent="0.2">
      <c r="B30" s="337" t="s">
        <v>112</v>
      </c>
      <c r="C30" s="323">
        <v>28</v>
      </c>
      <c r="D30" s="323" t="str">
        <f>IF(Info!D32&gt;0,Info!D32,"")</f>
        <v/>
      </c>
      <c r="E30" s="293"/>
      <c r="U30" s="323">
        <v>28</v>
      </c>
      <c r="V30" s="323" t="s">
        <v>1647</v>
      </c>
      <c r="W30" s="293" t="s">
        <v>1648</v>
      </c>
      <c r="X30" s="293" t="str">
        <f t="shared" si="1"/>
        <v>016030 - Állampolgársági ügyek</v>
      </c>
      <c r="Z30" s="323">
        <v>28</v>
      </c>
      <c r="AA30" s="293" t="s">
        <v>107</v>
      </c>
      <c r="AB30" s="293" t="s">
        <v>1649</v>
      </c>
      <c r="AC30" s="293" t="str">
        <f t="shared" si="2"/>
        <v>053331 -  Bérleti és lízing díjak előirányzata</v>
      </c>
      <c r="AD30" s="293" t="s">
        <v>1264</v>
      </c>
    </row>
    <row r="31" spans="2:30" x14ac:dyDescent="0.2">
      <c r="B31" s="337" t="s">
        <v>114</v>
      </c>
      <c r="C31" s="323">
        <v>29</v>
      </c>
      <c r="D31" s="323" t="str">
        <f>IF(Info!D33&gt;0,Info!D33,"")</f>
        <v/>
      </c>
      <c r="E31" s="293"/>
      <c r="U31" s="323">
        <v>29</v>
      </c>
      <c r="V31" s="323" t="s">
        <v>1650</v>
      </c>
      <c r="W31" s="293" t="s">
        <v>1651</v>
      </c>
      <c r="X31" s="293" t="str">
        <f t="shared" si="1"/>
        <v>016040 - Nemzetpolitikai tevékenység igazgatása és támogatása</v>
      </c>
      <c r="Z31" s="323">
        <v>29</v>
      </c>
      <c r="AA31" s="293" t="s">
        <v>109</v>
      </c>
      <c r="AB31" s="293" t="s">
        <v>1652</v>
      </c>
      <c r="AC31" s="293" t="str">
        <f t="shared" si="2"/>
        <v>053341 -  Karbantartási, kisjavítási szolgáltatások előirányzata</v>
      </c>
      <c r="AD31" s="293" t="s">
        <v>1251</v>
      </c>
    </row>
    <row r="32" spans="2:30" x14ac:dyDescent="0.2">
      <c r="B32" s="337" t="s">
        <v>116</v>
      </c>
      <c r="C32" s="323">
        <v>30</v>
      </c>
      <c r="D32" s="323" t="str">
        <f>IF(Info!D34&gt;0,Info!D34,"")</f>
        <v/>
      </c>
      <c r="E32" s="293"/>
      <c r="U32" s="323">
        <v>30</v>
      </c>
      <c r="V32" s="323" t="s">
        <v>1653</v>
      </c>
      <c r="W32" s="293" t="s">
        <v>1654</v>
      </c>
      <c r="X32" s="293" t="str">
        <f t="shared" si="1"/>
        <v>016080 - Kiemelt állami és önkormányzati rendezvények</v>
      </c>
      <c r="Z32" s="323">
        <v>30</v>
      </c>
      <c r="AA32" s="293" t="s">
        <v>111</v>
      </c>
      <c r="AB32" s="293" t="s">
        <v>1655</v>
      </c>
      <c r="AC32" s="293" t="str">
        <f t="shared" si="2"/>
        <v>053351 -  Közvetített szolgáltatások előirányzata</v>
      </c>
      <c r="AD32" s="293" t="s">
        <v>1267</v>
      </c>
    </row>
    <row r="33" spans="2:30" x14ac:dyDescent="0.2">
      <c r="B33" s="337" t="s">
        <v>118</v>
      </c>
      <c r="C33" s="323">
        <v>31</v>
      </c>
      <c r="D33" s="323" t="str">
        <f>IF(Info!D35&gt;0,Info!D35,"")</f>
        <v/>
      </c>
      <c r="E33" s="293"/>
      <c r="U33" s="323">
        <v>31</v>
      </c>
      <c r="V33" s="323" t="s">
        <v>1656</v>
      </c>
      <c r="W33" s="293" t="s">
        <v>1657</v>
      </c>
      <c r="X33" s="293" t="str">
        <f t="shared" si="1"/>
        <v>017010 - Államadóssággal kapcsolatos tranzakciók</v>
      </c>
      <c r="Z33" s="323">
        <v>31</v>
      </c>
      <c r="AA33" s="293" t="s">
        <v>113</v>
      </c>
      <c r="AB33" s="293" t="s">
        <v>1658</v>
      </c>
      <c r="AC33" s="293" t="str">
        <f t="shared" si="2"/>
        <v>053361 -  Szakmai tevékenységet segítő szolgáltatások előirányzata</v>
      </c>
      <c r="AD33" s="293" t="s">
        <v>1265</v>
      </c>
    </row>
    <row r="34" spans="2:30" x14ac:dyDescent="0.2">
      <c r="B34" s="337" t="s">
        <v>120</v>
      </c>
      <c r="C34" s="323">
        <v>32</v>
      </c>
      <c r="D34" s="323" t="str">
        <f>IF(Info!D36&gt;0,Info!D36,"")</f>
        <v/>
      </c>
      <c r="E34" s="293"/>
      <c r="U34" s="323">
        <v>32</v>
      </c>
      <c r="V34" s="323" t="s">
        <v>1659</v>
      </c>
      <c r="W34" s="293" t="s">
        <v>1660</v>
      </c>
      <c r="X34" s="293" t="str">
        <f t="shared" si="1"/>
        <v>018010 - Önkormányzatok elszámolásai a központi költségvetéssel</v>
      </c>
      <c r="Z34" s="323">
        <v>32</v>
      </c>
      <c r="AA34" s="293" t="s">
        <v>115</v>
      </c>
      <c r="AB34" s="293" t="s">
        <v>1661</v>
      </c>
      <c r="AC34" s="293" t="str">
        <f t="shared" si="2"/>
        <v>053371 -  Egyéb szolgáltatások előirányzata</v>
      </c>
      <c r="AD34" s="293" t="s">
        <v>1241</v>
      </c>
    </row>
    <row r="35" spans="2:30" x14ac:dyDescent="0.2">
      <c r="B35" s="337" t="s">
        <v>122</v>
      </c>
      <c r="C35" s="323">
        <v>33</v>
      </c>
      <c r="D35" s="323" t="str">
        <f>IF(Info!D37&gt;0,Info!D37,"")</f>
        <v/>
      </c>
      <c r="E35" s="293"/>
      <c r="U35" s="323">
        <v>33</v>
      </c>
      <c r="V35" s="323" t="s">
        <v>1662</v>
      </c>
      <c r="W35" s="293" t="s">
        <v>1663</v>
      </c>
      <c r="X35" s="293" t="str">
        <f t="shared" si="1"/>
        <v>018020 - Központi költségvetési befizetések</v>
      </c>
      <c r="Z35" s="323">
        <v>33</v>
      </c>
      <c r="AA35" s="293" t="s">
        <v>117</v>
      </c>
      <c r="AB35" s="293" t="s">
        <v>1664</v>
      </c>
      <c r="AC35" s="293" t="str">
        <f t="shared" si="2"/>
        <v>053411 -  Kiküldetések kiadásai előirányzata</v>
      </c>
      <c r="AD35" s="293" t="s">
        <v>1266</v>
      </c>
    </row>
    <row r="36" spans="2:30" x14ac:dyDescent="0.2">
      <c r="B36" s="337" t="s">
        <v>124</v>
      </c>
      <c r="C36" s="323">
        <v>34</v>
      </c>
      <c r="D36" s="323" t="str">
        <f>IF(Info!D38&gt;0,Info!D38,"")</f>
        <v/>
      </c>
      <c r="E36" s="293"/>
      <c r="U36" s="323">
        <v>34</v>
      </c>
      <c r="V36" s="323" t="s">
        <v>1665</v>
      </c>
      <c r="W36" s="293" t="s">
        <v>1666</v>
      </c>
      <c r="X36" s="293" t="str">
        <f t="shared" si="1"/>
        <v>018030 - Támogatási célú finanszírozási műveletek</v>
      </c>
      <c r="Z36" s="323">
        <v>34</v>
      </c>
      <c r="AA36" s="293" t="s">
        <v>119</v>
      </c>
      <c r="AB36" s="293" t="s">
        <v>1667</v>
      </c>
      <c r="AC36" s="293" t="str">
        <f t="shared" si="2"/>
        <v>053421 -  Reklám- és propagandakiadások előirányzata</v>
      </c>
      <c r="AD36" s="293" t="s">
        <v>1668</v>
      </c>
    </row>
    <row r="37" spans="2:30" x14ac:dyDescent="0.2">
      <c r="B37" s="337" t="s">
        <v>126</v>
      </c>
      <c r="C37" s="323">
        <v>35</v>
      </c>
      <c r="D37" s="323" t="str">
        <f>IF(Info!D39&gt;0,Info!D39,"")</f>
        <v/>
      </c>
      <c r="E37" s="293"/>
      <c r="U37" s="323">
        <v>35</v>
      </c>
      <c r="V37" s="323" t="s">
        <v>1669</v>
      </c>
      <c r="W37" s="293" t="s">
        <v>1670</v>
      </c>
      <c r="X37" s="293" t="str">
        <f t="shared" si="1"/>
        <v>018040 - Elkülönített állami pénzalapok bevételei államháztartáson belülről</v>
      </c>
      <c r="Z37" s="323">
        <v>35</v>
      </c>
      <c r="AA37" s="293" t="s">
        <v>121</v>
      </c>
      <c r="AB37" s="293" t="s">
        <v>1671</v>
      </c>
      <c r="AC37" s="293" t="str">
        <f t="shared" si="2"/>
        <v>053511 -  Működési célú előzetesen felszámított általános forgalmi adó előirányzata</v>
      </c>
      <c r="AD37" s="293" t="s">
        <v>1268</v>
      </c>
    </row>
    <row r="38" spans="2:30" x14ac:dyDescent="0.2">
      <c r="B38" s="337" t="s">
        <v>128</v>
      </c>
      <c r="C38" s="323">
        <v>36</v>
      </c>
      <c r="D38" s="323" t="str">
        <f>IF(Info!D40&gt;0,Info!D40,"")</f>
        <v/>
      </c>
      <c r="E38" s="293"/>
      <c r="U38" s="323">
        <v>36</v>
      </c>
      <c r="V38" s="323" t="s">
        <v>1672</v>
      </c>
      <c r="W38" s="293" t="s">
        <v>1673</v>
      </c>
      <c r="X38" s="293" t="str">
        <f t="shared" si="1"/>
        <v>018050 - Egészségbiztosítási alap bevételei államháztartáson belülről</v>
      </c>
      <c r="Z38" s="323">
        <v>36</v>
      </c>
      <c r="AA38" s="293" t="s">
        <v>123</v>
      </c>
      <c r="AB38" s="293" t="s">
        <v>1674</v>
      </c>
      <c r="AC38" s="293" t="str">
        <f t="shared" si="2"/>
        <v>053521 -  Fizetendő általános forgalmi adó előirányzata</v>
      </c>
      <c r="AD38" s="293" t="s">
        <v>1298</v>
      </c>
    </row>
    <row r="39" spans="2:30" x14ac:dyDescent="0.2">
      <c r="B39" s="337" t="s">
        <v>130</v>
      </c>
      <c r="C39" s="323">
        <v>37</v>
      </c>
      <c r="D39" s="323" t="str">
        <f>IF(Info!D41&gt;0,Info!D41,"")</f>
        <v/>
      </c>
      <c r="E39" s="293"/>
      <c r="U39" s="323">
        <v>37</v>
      </c>
      <c r="V39" s="323" t="s">
        <v>1675</v>
      </c>
      <c r="W39" s="293" t="s">
        <v>1676</v>
      </c>
      <c r="X39" s="293" t="str">
        <f t="shared" si="1"/>
        <v>018060 - Nyugdíjbiztosítási alap bevételei államháztartáson belülről</v>
      </c>
      <c r="Z39" s="323">
        <v>37</v>
      </c>
      <c r="AA39" s="293" t="s">
        <v>125</v>
      </c>
      <c r="AB39" s="293" t="s">
        <v>1677</v>
      </c>
      <c r="AC39" s="293" t="str">
        <f t="shared" si="2"/>
        <v>053531 -  Kamatkiadások előirányzata</v>
      </c>
      <c r="AD39" s="293" t="s">
        <v>1302</v>
      </c>
    </row>
    <row r="40" spans="2:30" x14ac:dyDescent="0.2">
      <c r="B40" s="337" t="s">
        <v>132</v>
      </c>
      <c r="C40" s="323">
        <v>38</v>
      </c>
      <c r="D40" s="323" t="str">
        <f>IF(Info!D42&gt;0,Info!D42,"")</f>
        <v/>
      </c>
      <c r="E40" s="293"/>
      <c r="U40" s="323">
        <v>38</v>
      </c>
      <c r="V40" s="323" t="s">
        <v>1678</v>
      </c>
      <c r="W40" s="293" t="s">
        <v>1679</v>
      </c>
      <c r="X40" s="293" t="str">
        <f t="shared" si="1"/>
        <v>021020 - Védelmi képesség fenntartása, fejlesztése, honvédelmi felkészítés</v>
      </c>
      <c r="Z40" s="323">
        <v>38</v>
      </c>
      <c r="AA40" s="293" t="s">
        <v>127</v>
      </c>
      <c r="AB40" s="293" t="s">
        <v>1680</v>
      </c>
      <c r="AC40" s="293" t="str">
        <f t="shared" si="2"/>
        <v>053541 -  Egyéb pénzügyi műveletek kiadásai előirányzata</v>
      </c>
      <c r="AD40" s="293" t="s">
        <v>1681</v>
      </c>
    </row>
    <row r="41" spans="2:30" x14ac:dyDescent="0.2">
      <c r="B41" s="337" t="s">
        <v>134</v>
      </c>
      <c r="C41" s="323">
        <v>39</v>
      </c>
      <c r="D41" s="323" t="str">
        <f>IF(Info!D43&gt;0,Info!D43,"")</f>
        <v/>
      </c>
      <c r="E41" s="293"/>
      <c r="U41" s="323">
        <v>39</v>
      </c>
      <c r="V41" s="323" t="s">
        <v>1682</v>
      </c>
      <c r="W41" s="293" t="s">
        <v>1683</v>
      </c>
      <c r="X41" s="293" t="str">
        <f t="shared" si="1"/>
        <v>021030 - Katonai ügyészségi tevékenység</v>
      </c>
      <c r="Z41" s="323">
        <v>39</v>
      </c>
      <c r="AA41" s="293" t="s">
        <v>129</v>
      </c>
      <c r="AB41" s="293" t="s">
        <v>1684</v>
      </c>
      <c r="AC41" s="293" t="str">
        <f t="shared" si="2"/>
        <v>053551 -  Egyéb dologi kiadások előirányzata</v>
      </c>
      <c r="AD41" s="293" t="s">
        <v>1252</v>
      </c>
    </row>
    <row r="42" spans="2:30" x14ac:dyDescent="0.2">
      <c r="B42" s="337" t="s">
        <v>136</v>
      </c>
      <c r="C42" s="323">
        <v>40</v>
      </c>
      <c r="D42" s="323" t="str">
        <f>IF(Info!D44&gt;0,Info!D44,"")</f>
        <v/>
      </c>
      <c r="E42" s="293"/>
      <c r="U42" s="323">
        <v>40</v>
      </c>
      <c r="V42" s="323" t="s">
        <v>1685</v>
      </c>
      <c r="W42" s="293" t="s">
        <v>1686</v>
      </c>
      <c r="X42" s="293" t="str">
        <f t="shared" si="1"/>
        <v>021040 - Katonai nemzetbiztonsági tevékenység</v>
      </c>
      <c r="Z42" s="323">
        <v>40</v>
      </c>
      <c r="AA42" s="293" t="s">
        <v>131</v>
      </c>
      <c r="AB42" s="293" t="s">
        <v>1687</v>
      </c>
      <c r="AC42" s="293" t="str">
        <f t="shared" si="2"/>
        <v>05411 -  Társadalombiztosítási ellátások előirányzata</v>
      </c>
      <c r="AD42" s="293" t="s">
        <v>1688</v>
      </c>
    </row>
    <row r="43" spans="2:30" x14ac:dyDescent="0.2">
      <c r="B43" s="337" t="s">
        <v>138</v>
      </c>
      <c r="C43" s="323">
        <v>41</v>
      </c>
      <c r="D43" s="323" t="str">
        <f>IF(Info!D45&gt;0,Info!D45,"")</f>
        <v/>
      </c>
      <c r="E43" s="293"/>
      <c r="U43" s="323">
        <v>41</v>
      </c>
      <c r="V43" s="323" t="s">
        <v>1689</v>
      </c>
      <c r="W43" s="293" t="s">
        <v>1690</v>
      </c>
      <c r="X43" s="293" t="str">
        <f t="shared" si="1"/>
        <v>022010 - Polgári honvédelem ágazati feladatai, a lakosság felkészítése</v>
      </c>
      <c r="Z43" s="323">
        <v>41</v>
      </c>
      <c r="AA43" s="293" t="s">
        <v>133</v>
      </c>
      <c r="AB43" s="293" t="s">
        <v>1691</v>
      </c>
      <c r="AC43" s="293" t="str">
        <f t="shared" si="2"/>
        <v>05421 -  Családi támogatások előirányzata</v>
      </c>
      <c r="AD43" s="293" t="s">
        <v>1692</v>
      </c>
    </row>
    <row r="44" spans="2:30" x14ac:dyDescent="0.2">
      <c r="B44" s="337" t="s">
        <v>140</v>
      </c>
      <c r="C44" s="323">
        <v>42</v>
      </c>
      <c r="D44" s="323" t="str">
        <f>IF(Info!D46&gt;0,Info!D46,"")</f>
        <v/>
      </c>
      <c r="E44" s="293"/>
      <c r="U44" s="323">
        <v>42</v>
      </c>
      <c r="V44" s="323" t="s">
        <v>1693</v>
      </c>
      <c r="W44" s="293" t="s">
        <v>1694</v>
      </c>
      <c r="X44" s="293" t="str">
        <f t="shared" si="1"/>
        <v>023010 - Nemzetközi katonai és rendészeti szerepvállalás béketámogató és válságkezelő műveletekben</v>
      </c>
      <c r="Z44" s="323">
        <v>42</v>
      </c>
      <c r="AA44" s="293" t="s">
        <v>135</v>
      </c>
      <c r="AB44" s="293" t="s">
        <v>1695</v>
      </c>
      <c r="AC44" s="293" t="str">
        <f t="shared" si="2"/>
        <v>05431 -  Pénzbeli kárpótlások, kártérítések előirányzata</v>
      </c>
      <c r="AD44" s="293" t="s">
        <v>1696</v>
      </c>
    </row>
    <row r="45" spans="2:30" x14ac:dyDescent="0.2">
      <c r="B45" s="337" t="s">
        <v>142</v>
      </c>
      <c r="C45" s="323">
        <v>43</v>
      </c>
      <c r="D45" s="323" t="str">
        <f>IF(Info!D47&gt;0,Info!D47,"")</f>
        <v/>
      </c>
      <c r="E45" s="293"/>
      <c r="U45" s="323">
        <v>43</v>
      </c>
      <c r="V45" s="323" t="s">
        <v>1697</v>
      </c>
      <c r="W45" s="293" t="s">
        <v>1698</v>
      </c>
      <c r="X45" s="293" t="str">
        <f t="shared" si="1"/>
        <v>024010 - Védelmi tevékenységekkel kapcsolatos alkalmazott kutatás és fejlesztés</v>
      </c>
      <c r="Z45" s="323">
        <v>43</v>
      </c>
      <c r="AA45" s="293" t="s">
        <v>137</v>
      </c>
      <c r="AB45" s="293" t="s">
        <v>1699</v>
      </c>
      <c r="AC45" s="293" t="str">
        <f t="shared" si="2"/>
        <v>05441 -  Betegséggel kapcsolatos (nem társadalombiztosítási) ellátások előirányzata</v>
      </c>
      <c r="AD45" s="293" t="s">
        <v>1700</v>
      </c>
    </row>
    <row r="46" spans="2:30" x14ac:dyDescent="0.2">
      <c r="B46" s="337" t="s">
        <v>144</v>
      </c>
      <c r="C46" s="323">
        <v>44</v>
      </c>
      <c r="D46" s="323" t="str">
        <f>IF(Info!D48&gt;0,Info!D48,"")</f>
        <v/>
      </c>
      <c r="E46" s="293"/>
      <c r="U46" s="323">
        <v>44</v>
      </c>
      <c r="V46" s="323" t="s">
        <v>1701</v>
      </c>
      <c r="W46" s="293" t="s">
        <v>1702</v>
      </c>
      <c r="X46" s="293" t="str">
        <f t="shared" si="1"/>
        <v>025010 - Védelmi és biztonsági feladatok igazgatása és szabályozása</v>
      </c>
      <c r="Z46" s="323">
        <v>44</v>
      </c>
      <c r="AA46" s="293" t="s">
        <v>139</v>
      </c>
      <c r="AB46" s="293" t="s">
        <v>1703</v>
      </c>
      <c r="AC46" s="293" t="str">
        <f t="shared" si="2"/>
        <v>05451 -  Foglalkoztatással, munkanélküliséggel kapcsolatos ellátások előirányzata</v>
      </c>
      <c r="AD46" s="293" t="s">
        <v>1704</v>
      </c>
    </row>
    <row r="47" spans="2:30" x14ac:dyDescent="0.2">
      <c r="B47" s="337" t="s">
        <v>147</v>
      </c>
      <c r="C47" s="323">
        <v>45</v>
      </c>
      <c r="D47" s="323" t="str">
        <f>IF(Info!D49&gt;0,Info!D49,"")</f>
        <v/>
      </c>
      <c r="E47" s="293"/>
      <c r="U47" s="323">
        <v>45</v>
      </c>
      <c r="V47" s="323" t="s">
        <v>1705</v>
      </c>
      <c r="W47" s="293" t="s">
        <v>1706</v>
      </c>
      <c r="X47" s="293" t="str">
        <f t="shared" si="1"/>
        <v>025020 - Védelmi célú stratégiai tartalékok tárolása, kezelése</v>
      </c>
      <c r="Z47" s="323">
        <v>45</v>
      </c>
      <c r="AA47" s="293" t="s">
        <v>141</v>
      </c>
      <c r="AB47" s="293" t="s">
        <v>1707</v>
      </c>
      <c r="AC47" s="293" t="str">
        <f t="shared" si="2"/>
        <v>05461 -  Lakhatással kapcsolatos ellátások előirányzata</v>
      </c>
      <c r="AD47" s="293" t="s">
        <v>1708</v>
      </c>
    </row>
    <row r="48" spans="2:30" x14ac:dyDescent="0.2">
      <c r="B48" s="337" t="s">
        <v>150</v>
      </c>
      <c r="C48" s="323">
        <v>46</v>
      </c>
      <c r="D48" s="323" t="str">
        <f>IF(Info!D50&gt;0,Info!D50,"")</f>
        <v/>
      </c>
      <c r="E48" s="293"/>
      <c r="U48" s="323">
        <v>46</v>
      </c>
      <c r="V48" s="323" t="s">
        <v>1709</v>
      </c>
      <c r="W48" s="293" t="s">
        <v>1710</v>
      </c>
      <c r="X48" s="293" t="str">
        <f t="shared" si="1"/>
        <v>025090 - Egyéb védelmi ügyek</v>
      </c>
      <c r="Z48" s="323">
        <v>46</v>
      </c>
      <c r="AA48" s="293" t="s">
        <v>143</v>
      </c>
      <c r="AB48" s="293" t="s">
        <v>1711</v>
      </c>
      <c r="AC48" s="293" t="str">
        <f t="shared" si="2"/>
        <v>05471 -  Intézményi ellátottak pénzbeli juttatásai előirányzata</v>
      </c>
      <c r="AD48" s="293" t="s">
        <v>1712</v>
      </c>
    </row>
    <row r="49" spans="2:30" x14ac:dyDescent="0.2">
      <c r="B49" s="337" t="s">
        <v>153</v>
      </c>
      <c r="C49" s="323">
        <v>47</v>
      </c>
      <c r="D49" s="323" t="str">
        <f>IF(Info!D51&gt;0,Info!D51,"")</f>
        <v/>
      </c>
      <c r="E49" s="293"/>
      <c r="U49" s="323">
        <v>47</v>
      </c>
      <c r="V49" s="323" t="s">
        <v>1713</v>
      </c>
      <c r="W49" s="293" t="s">
        <v>1714</v>
      </c>
      <c r="X49" s="293" t="str">
        <f t="shared" si="1"/>
        <v>031010 - Közbiztonság, közrend igazgatása</v>
      </c>
      <c r="Z49" s="323">
        <v>47</v>
      </c>
      <c r="AA49" s="293" t="s">
        <v>146</v>
      </c>
      <c r="AB49" s="293" t="s">
        <v>1715</v>
      </c>
      <c r="AC49" s="293" t="str">
        <f t="shared" si="2"/>
        <v>05481 -  Egyéb nem intézményi ellátások előirányzata</v>
      </c>
      <c r="AD49" s="293" t="s">
        <v>1271</v>
      </c>
    </row>
    <row r="50" spans="2:30" x14ac:dyDescent="0.2">
      <c r="B50" s="337" t="s">
        <v>156</v>
      </c>
      <c r="C50" s="323">
        <v>48</v>
      </c>
      <c r="D50" s="323" t="str">
        <f>IF(Info!D52&gt;0,Info!D52,"")</f>
        <v/>
      </c>
      <c r="E50" s="293"/>
      <c r="U50" s="323">
        <v>48</v>
      </c>
      <c r="V50" s="323" t="s">
        <v>1716</v>
      </c>
      <c r="W50" s="293" t="s">
        <v>1717</v>
      </c>
      <c r="X50" s="293" t="str">
        <f t="shared" si="1"/>
        <v>031020 - Menekültügy igazgatása</v>
      </c>
      <c r="Z50" s="323">
        <v>48</v>
      </c>
      <c r="AA50" s="293" t="s">
        <v>149</v>
      </c>
      <c r="AB50" s="293" t="s">
        <v>1718</v>
      </c>
      <c r="AC50" s="293" t="str">
        <f t="shared" si="2"/>
        <v>055011 -  Nemzetközi kötelezettségek előirányzata</v>
      </c>
      <c r="AD50" s="293" t="s">
        <v>1719</v>
      </c>
    </row>
    <row r="51" spans="2:30" x14ac:dyDescent="0.2">
      <c r="B51" s="337" t="s">
        <v>160</v>
      </c>
      <c r="C51" s="323">
        <v>49</v>
      </c>
      <c r="D51" s="323" t="str">
        <f>IF(Info!D53&gt;0,Info!D53,"")</f>
        <v/>
      </c>
      <c r="E51" s="293"/>
      <c r="U51" s="323">
        <v>49</v>
      </c>
      <c r="V51" s="323" t="s">
        <v>1720</v>
      </c>
      <c r="W51" s="293" t="s">
        <v>1721</v>
      </c>
      <c r="X51" s="293" t="str">
        <f t="shared" si="1"/>
        <v>031030 - Közterület rendjének fenntartása</v>
      </c>
      <c r="Z51" s="323">
        <v>49</v>
      </c>
      <c r="AA51" s="293" t="s">
        <v>152</v>
      </c>
      <c r="AB51" s="293" t="s">
        <v>1722</v>
      </c>
      <c r="AC51" s="293" t="str">
        <f t="shared" si="2"/>
        <v>0550211 -  A helyi önkormányzatok előző évi elszámolásából származó kiadások előirányzata</v>
      </c>
      <c r="AD51" s="293" t="s">
        <v>1311</v>
      </c>
    </row>
    <row r="52" spans="2:30" x14ac:dyDescent="0.2">
      <c r="B52" s="337" t="s">
        <v>163</v>
      </c>
      <c r="C52" s="323">
        <v>50</v>
      </c>
      <c r="D52" s="323" t="str">
        <f>IF(Info!D54&gt;0,Info!D54,"")</f>
        <v/>
      </c>
      <c r="E52" s="293"/>
      <c r="U52" s="323">
        <v>50</v>
      </c>
      <c r="V52" s="323" t="s">
        <v>1723</v>
      </c>
      <c r="W52" s="293" t="s">
        <v>1724</v>
      </c>
      <c r="X52" s="293" t="str">
        <f t="shared" si="1"/>
        <v>031041 - Vámrendészet</v>
      </c>
      <c r="Z52" s="323">
        <v>50</v>
      </c>
      <c r="AA52" s="293" t="s">
        <v>155</v>
      </c>
      <c r="AB52" s="293" t="s">
        <v>1725</v>
      </c>
      <c r="AC52" s="293" t="str">
        <f t="shared" si="2"/>
        <v>0550221 -  A helyi önkormányzatok törvényi előíráson alapuló befizetései előirányzata</v>
      </c>
      <c r="AD52" s="293" t="s">
        <v>1726</v>
      </c>
    </row>
    <row r="53" spans="2:30" x14ac:dyDescent="0.2">
      <c r="B53" s="337" t="s">
        <v>166</v>
      </c>
      <c r="C53" s="323">
        <v>51</v>
      </c>
      <c r="D53" s="323" t="str">
        <f>IF(Info!D55&gt;0,Info!D55,"")</f>
        <v/>
      </c>
      <c r="E53" s="293"/>
      <c r="U53" s="323">
        <v>51</v>
      </c>
      <c r="V53" s="323" t="s">
        <v>1727</v>
      </c>
      <c r="W53" s="293" t="s">
        <v>1728</v>
      </c>
      <c r="X53" s="293" t="str">
        <f t="shared" si="1"/>
        <v>031042 - Határrendészet, határvédelem</v>
      </c>
      <c r="Z53" s="323">
        <v>51</v>
      </c>
      <c r="AA53" s="293" t="s">
        <v>159</v>
      </c>
      <c r="AB53" s="293" t="s">
        <v>1729</v>
      </c>
      <c r="AC53" s="293" t="str">
        <f t="shared" si="2"/>
        <v>0550231 -  Egyéb elvonások, befizetések előirányzata</v>
      </c>
      <c r="AD53" s="293" t="s">
        <v>1730</v>
      </c>
    </row>
    <row r="54" spans="2:30" x14ac:dyDescent="0.2">
      <c r="U54" s="323">
        <v>52</v>
      </c>
      <c r="V54" s="323" t="s">
        <v>1731</v>
      </c>
      <c r="W54" s="293" t="s">
        <v>1732</v>
      </c>
      <c r="X54" s="293" t="str">
        <f t="shared" si="1"/>
        <v>031050 - Egyéb rendészeti, bűnüldözési tevékenységek</v>
      </c>
      <c r="Z54" s="323">
        <v>52</v>
      </c>
      <c r="AA54" s="293" t="s">
        <v>162</v>
      </c>
      <c r="AB54" s="293" t="s">
        <v>1733</v>
      </c>
      <c r="AC54" s="293" t="str">
        <f t="shared" si="2"/>
        <v>055031 -  Működési célú garancia- és kezességvállalásból származó kifizetés államháztartáson belülre előirányzata</v>
      </c>
      <c r="AD54" s="293" t="s">
        <v>1734</v>
      </c>
    </row>
    <row r="55" spans="2:30" x14ac:dyDescent="0.2">
      <c r="B55" s="290" t="s">
        <v>691</v>
      </c>
      <c r="E55" s="290" t="e">
        <f>Index!#REF!</f>
        <v>#REF!</v>
      </c>
      <c r="U55" s="323">
        <v>53</v>
      </c>
      <c r="V55" s="323" t="s">
        <v>1735</v>
      </c>
      <c r="W55" s="293" t="s">
        <v>1736</v>
      </c>
      <c r="X55" s="293" t="str">
        <f t="shared" si="1"/>
        <v>031060 - Bűnmegelőzés</v>
      </c>
      <c r="Z55" s="323">
        <v>53</v>
      </c>
      <c r="AA55" s="293" t="s">
        <v>165</v>
      </c>
      <c r="AB55" s="293" t="s">
        <v>1737</v>
      </c>
      <c r="AC55" s="293" t="str">
        <f t="shared" si="2"/>
        <v>055041 -  Működési célú visszatérítendő támogatások, kölcsönök nyújtása államháztartáson belülre előirányzata</v>
      </c>
      <c r="AD55" s="293" t="s">
        <v>1738</v>
      </c>
    </row>
    <row r="56" spans="2:30" x14ac:dyDescent="0.2">
      <c r="B56" s="290" t="s">
        <v>692</v>
      </c>
      <c r="E56" s="290" t="e">
        <f>Index!#REF!</f>
        <v>#REF!</v>
      </c>
      <c r="U56" s="323">
        <v>54</v>
      </c>
      <c r="V56" s="323" t="s">
        <v>1739</v>
      </c>
      <c r="W56" s="293" t="s">
        <v>1740</v>
      </c>
      <c r="X56" s="293" t="str">
        <f t="shared" si="1"/>
        <v>031070 - Baleset-megelőzés</v>
      </c>
      <c r="Z56" s="323">
        <v>54</v>
      </c>
      <c r="AA56" s="293" t="s">
        <v>168</v>
      </c>
      <c r="AB56" s="293" t="s">
        <v>1741</v>
      </c>
      <c r="AC56" s="293" t="str">
        <f t="shared" si="2"/>
        <v>055051 -  Működési célú visszatérítendő támogatások, kölcsönök törlesztése államháztartáson belülre előirányzata</v>
      </c>
      <c r="AD56" s="293" t="s">
        <v>1742</v>
      </c>
    </row>
    <row r="57" spans="2:30" x14ac:dyDescent="0.2">
      <c r="B57" s="290" t="s">
        <v>693</v>
      </c>
      <c r="E57" s="290" t="e">
        <f>Index!#REF!</f>
        <v>#REF!</v>
      </c>
      <c r="U57" s="323">
        <v>55</v>
      </c>
      <c r="V57" s="323" t="s">
        <v>1743</v>
      </c>
      <c r="W57" s="293" t="s">
        <v>1744</v>
      </c>
      <c r="X57" s="293" t="str">
        <f t="shared" si="1"/>
        <v>031080 - Polgári nemzetbiztonsági tevékenység</v>
      </c>
      <c r="Z57" s="323">
        <v>55</v>
      </c>
      <c r="AA57" s="293" t="s">
        <v>170</v>
      </c>
      <c r="AB57" s="293" t="s">
        <v>1745</v>
      </c>
      <c r="AC57" s="293" t="str">
        <f t="shared" si="2"/>
        <v>055061 -  Egyéb működési célú támogatások államháztartáson belülre előirányzata</v>
      </c>
      <c r="AD57" s="293" t="s">
        <v>1277</v>
      </c>
    </row>
    <row r="58" spans="2:30" x14ac:dyDescent="0.2">
      <c r="U58" s="323">
        <v>56</v>
      </c>
      <c r="V58" s="323" t="s">
        <v>1746</v>
      </c>
      <c r="W58" s="293" t="s">
        <v>1747</v>
      </c>
      <c r="X58" s="293" t="str">
        <f t="shared" si="1"/>
        <v>032010 - Tűz- és katasztrófavédelem igazgatása</v>
      </c>
      <c r="Z58" s="323">
        <v>56</v>
      </c>
      <c r="AA58" s="293" t="s">
        <v>173</v>
      </c>
      <c r="AB58" s="293" t="s">
        <v>1748</v>
      </c>
      <c r="AC58" s="293" t="str">
        <f t="shared" si="2"/>
        <v>055071 -  Működési célú garancia- és kezességvállalásból származó kifizetés államháztartáson kívülre előirányzata</v>
      </c>
      <c r="AD58" s="293" t="s">
        <v>1749</v>
      </c>
    </row>
    <row r="59" spans="2:30" x14ac:dyDescent="0.2">
      <c r="B59" s="290" t="s">
        <v>697</v>
      </c>
      <c r="E59" s="312">
        <f>'02'!E97</f>
        <v>1668530568</v>
      </c>
      <c r="U59" s="323">
        <v>57</v>
      </c>
      <c r="V59" s="323" t="s">
        <v>1750</v>
      </c>
      <c r="W59" s="293" t="s">
        <v>1751</v>
      </c>
      <c r="X59" s="293" t="str">
        <f t="shared" si="1"/>
        <v>032020 - Tűz- és katasztrófavédelmi tevékenységek</v>
      </c>
      <c r="Z59" s="323">
        <v>57</v>
      </c>
      <c r="AA59" s="293" t="s">
        <v>176</v>
      </c>
      <c r="AB59" s="293" t="s">
        <v>1752</v>
      </c>
      <c r="AC59" s="293" t="str">
        <f t="shared" si="2"/>
        <v>055081 -  Működési célú visszatérítendő támogatások, kölcsönök nyújtása államháztartáson kívülre előirányzata</v>
      </c>
      <c r="AD59" s="293" t="s">
        <v>1753</v>
      </c>
    </row>
    <row r="60" spans="2:30" x14ac:dyDescent="0.2">
      <c r="U60" s="323">
        <v>58</v>
      </c>
      <c r="V60" s="323" t="s">
        <v>1754</v>
      </c>
      <c r="W60" s="293" t="s">
        <v>1755</v>
      </c>
      <c r="X60" s="293" t="str">
        <f t="shared" si="1"/>
        <v>032040 - Nemzetközi katasztrófavédelmi segítségnyújtás</v>
      </c>
      <c r="Z60" s="323">
        <v>58</v>
      </c>
      <c r="AA60" s="293" t="s">
        <v>177</v>
      </c>
      <c r="AB60" s="293" t="s">
        <v>1756</v>
      </c>
      <c r="AC60" s="293" t="str">
        <f t="shared" si="2"/>
        <v>055091 -  Árkiegészítések, ártámogatások előirányzata</v>
      </c>
      <c r="AD60" s="293" t="s">
        <v>1757</v>
      </c>
    </row>
    <row r="61" spans="2:30" x14ac:dyDescent="0.2">
      <c r="U61" s="323">
        <v>59</v>
      </c>
      <c r="V61" s="323" t="s">
        <v>1758</v>
      </c>
      <c r="W61" s="293" t="s">
        <v>1759</v>
      </c>
      <c r="X61" s="293" t="str">
        <f t="shared" si="1"/>
        <v>032050 - Egészségügyi stratégiai tartalékok tárolása, kezelése</v>
      </c>
      <c r="Z61" s="323">
        <v>59</v>
      </c>
      <c r="AA61" s="293" t="s">
        <v>178</v>
      </c>
      <c r="AB61" s="293" t="s">
        <v>1760</v>
      </c>
      <c r="AC61" s="293" t="str">
        <f t="shared" si="2"/>
        <v>055101 -  Kamattámogatások előirányzata</v>
      </c>
      <c r="AD61" s="293" t="s">
        <v>1761</v>
      </c>
    </row>
    <row r="62" spans="2:30" x14ac:dyDescent="0.2">
      <c r="U62" s="323">
        <v>60</v>
      </c>
      <c r="V62" s="323" t="s">
        <v>1762</v>
      </c>
      <c r="W62" s="293" t="s">
        <v>1763</v>
      </c>
      <c r="X62" s="293" t="str">
        <f t="shared" si="1"/>
        <v>032060 - Polgári védelmi stratégiai tartalékok tárolása, kezelése</v>
      </c>
      <c r="Z62" s="323">
        <v>60</v>
      </c>
      <c r="AA62" s="293" t="s">
        <v>179</v>
      </c>
      <c r="AB62" s="293" t="s">
        <v>1764</v>
      </c>
      <c r="AC62" s="293" t="str">
        <f t="shared" si="2"/>
        <v>055111 -  Működési célú támogatások az Európai Uniónak előirányzata</v>
      </c>
      <c r="AD62" s="293" t="s">
        <v>1765</v>
      </c>
    </row>
    <row r="63" spans="2:30" x14ac:dyDescent="0.2">
      <c r="U63" s="323">
        <v>61</v>
      </c>
      <c r="V63" s="323" t="s">
        <v>1766</v>
      </c>
      <c r="W63" s="293" t="s">
        <v>1767</v>
      </c>
      <c r="X63" s="293" t="str">
        <f t="shared" si="1"/>
        <v>033010 - Igazságügy igazgatása</v>
      </c>
      <c r="Z63" s="323">
        <v>61</v>
      </c>
      <c r="AA63" s="293" t="s">
        <v>180</v>
      </c>
      <c r="AB63" s="293" t="s">
        <v>1768</v>
      </c>
      <c r="AC63" s="293" t="str">
        <f t="shared" si="2"/>
        <v>055121 -  Egyéb működési célú támogatások államháztartáson kívülre előirányzata</v>
      </c>
      <c r="AD63" s="293" t="s">
        <v>1282</v>
      </c>
    </row>
    <row r="64" spans="2:30" x14ac:dyDescent="0.2">
      <c r="U64" s="323">
        <v>62</v>
      </c>
      <c r="V64" s="323" t="s">
        <v>1769</v>
      </c>
      <c r="W64" s="293" t="s">
        <v>1770</v>
      </c>
      <c r="X64" s="293" t="str">
        <f t="shared" si="1"/>
        <v>033020 - Bírósági tevékenység</v>
      </c>
      <c r="Z64" s="323">
        <v>62</v>
      </c>
      <c r="AA64" s="293" t="s">
        <v>181</v>
      </c>
      <c r="AB64" s="293" t="s">
        <v>1771</v>
      </c>
      <c r="AC64" s="293" t="str">
        <f t="shared" si="2"/>
        <v>055131 -  Tartalékok előirányzata</v>
      </c>
      <c r="AD64" s="293" t="s">
        <v>1283</v>
      </c>
    </row>
    <row r="65" spans="21:30" x14ac:dyDescent="0.2">
      <c r="U65" s="323">
        <v>63</v>
      </c>
      <c r="V65" s="323" t="s">
        <v>1772</v>
      </c>
      <c r="W65" s="293" t="s">
        <v>1773</v>
      </c>
      <c r="X65" s="293" t="str">
        <f t="shared" si="1"/>
        <v>033030 - Ügyészségi tevékenység</v>
      </c>
      <c r="Z65" s="323">
        <v>63</v>
      </c>
      <c r="AA65" s="293" t="s">
        <v>182</v>
      </c>
      <c r="AB65" s="293" t="s">
        <v>1774</v>
      </c>
      <c r="AC65" s="293" t="str">
        <f t="shared" si="2"/>
        <v>05611 -  Immateriális javak beszerzése, létesítése előirányzata</v>
      </c>
      <c r="AD65" s="293" t="s">
        <v>1775</v>
      </c>
    </row>
    <row r="66" spans="21:30" x14ac:dyDescent="0.2">
      <c r="U66" s="323">
        <v>64</v>
      </c>
      <c r="V66" s="323" t="s">
        <v>1776</v>
      </c>
      <c r="W66" s="293" t="s">
        <v>1777</v>
      </c>
      <c r="X66" s="293" t="str">
        <f t="shared" si="1"/>
        <v>034010 - Büntetés-végrehajtási tevékenység igazgatása</v>
      </c>
      <c r="Z66" s="323">
        <v>64</v>
      </c>
      <c r="AA66" s="293" t="s">
        <v>183</v>
      </c>
      <c r="AB66" s="293" t="s">
        <v>1778</v>
      </c>
      <c r="AC66" s="293" t="str">
        <f t="shared" si="2"/>
        <v>05621 -  Ingatlanok beszerzése, létesítése előirányzata</v>
      </c>
      <c r="AD66" s="293" t="s">
        <v>1284</v>
      </c>
    </row>
    <row r="67" spans="21:30" x14ac:dyDescent="0.2">
      <c r="U67" s="323">
        <v>65</v>
      </c>
      <c r="V67" s="323" t="s">
        <v>1779</v>
      </c>
      <c r="W67" s="293" t="s">
        <v>1780</v>
      </c>
      <c r="X67" s="293" t="str">
        <f t="shared" si="1"/>
        <v>034020 - Büntetés-végrehajtási tevékenységek</v>
      </c>
      <c r="Z67" s="323">
        <v>65</v>
      </c>
      <c r="AA67" s="293" t="s">
        <v>184</v>
      </c>
      <c r="AB67" s="293" t="s">
        <v>1781</v>
      </c>
      <c r="AC67" s="293" t="str">
        <f t="shared" si="2"/>
        <v>05631 -  Informatikai eszközök beszerzése, létesítése előirányzata</v>
      </c>
      <c r="AD67" s="293" t="s">
        <v>1782</v>
      </c>
    </row>
    <row r="68" spans="21:30" x14ac:dyDescent="0.2">
      <c r="U68" s="323">
        <v>66</v>
      </c>
      <c r="V68" s="323" t="s">
        <v>1783</v>
      </c>
      <c r="W68" s="293" t="s">
        <v>1784</v>
      </c>
      <c r="X68" s="293" t="str">
        <f t="shared" ref="X68:X131" si="3">CONCATENATE(V68," - ",W68)</f>
        <v>034030 - Pártfogó felügyelői tevékenység</v>
      </c>
      <c r="Z68" s="323">
        <v>66</v>
      </c>
      <c r="AA68" s="293" t="s">
        <v>185</v>
      </c>
      <c r="AB68" s="293" t="s">
        <v>1785</v>
      </c>
      <c r="AC68" s="293" t="str">
        <f t="shared" ref="AC68:AC131" si="4">CONCATENATE(AA68," - ",AB68)</f>
        <v>05641 -  Egyéb tárgyi eszközök beszerzése, létesítése előirányzata</v>
      </c>
      <c r="AD68" s="293" t="s">
        <v>1269</v>
      </c>
    </row>
    <row r="69" spans="21:30" x14ac:dyDescent="0.2">
      <c r="U69" s="323">
        <v>67</v>
      </c>
      <c r="V69" s="323" t="s">
        <v>1786</v>
      </c>
      <c r="W69" s="293" t="s">
        <v>1787</v>
      </c>
      <c r="X69" s="293" t="str">
        <f t="shared" si="3"/>
        <v>035010 - Közrenddel és közbiztonsággal kapcsolatos alkalmazott kutatás és kísérleti fejlesztés</v>
      </c>
      <c r="Z69" s="323">
        <v>67</v>
      </c>
      <c r="AA69" s="293" t="s">
        <v>186</v>
      </c>
      <c r="AB69" s="293" t="s">
        <v>1788</v>
      </c>
      <c r="AC69" s="293" t="str">
        <f t="shared" si="4"/>
        <v>05651 -  Részesedések beszerzése előirányzata</v>
      </c>
      <c r="AD69" s="293" t="s">
        <v>1789</v>
      </c>
    </row>
    <row r="70" spans="21:30" x14ac:dyDescent="0.2">
      <c r="U70" s="323">
        <v>68</v>
      </c>
      <c r="V70" s="323" t="s">
        <v>1790</v>
      </c>
      <c r="W70" s="293" t="s">
        <v>1791</v>
      </c>
      <c r="X70" s="293" t="str">
        <f t="shared" si="3"/>
        <v>036010 - Igazságügyi szakértői tevékenység</v>
      </c>
      <c r="Z70" s="323">
        <v>68</v>
      </c>
      <c r="AA70" s="293" t="s">
        <v>187</v>
      </c>
      <c r="AB70" s="293" t="s">
        <v>1792</v>
      </c>
      <c r="AC70" s="293" t="str">
        <f t="shared" si="4"/>
        <v>05661 -  Meglévő részesedések növeléséhez kapcsolódó kiadások előirányzata</v>
      </c>
      <c r="AD70" s="293" t="s">
        <v>1793</v>
      </c>
    </row>
    <row r="71" spans="21:30" x14ac:dyDescent="0.2">
      <c r="U71" s="323">
        <v>69</v>
      </c>
      <c r="V71" s="323" t="s">
        <v>1794</v>
      </c>
      <c r="W71" s="293" t="s">
        <v>1795</v>
      </c>
      <c r="X71" s="293" t="str">
        <f t="shared" si="3"/>
        <v>036020 - Jogi segítségnyújtás, áldozatsegítés, kárenyhítés, kárpótlás</v>
      </c>
      <c r="Z71" s="323">
        <v>69</v>
      </c>
      <c r="AA71" s="293" t="s">
        <v>188</v>
      </c>
      <c r="AB71" s="293" t="s">
        <v>1796</v>
      </c>
      <c r="AC71" s="293" t="str">
        <f t="shared" si="4"/>
        <v>05671 -  Beruházási célú előzetesen felszámított általános forgalmi adó előirányzata</v>
      </c>
      <c r="AD71" s="293" t="s">
        <v>1270</v>
      </c>
    </row>
    <row r="72" spans="21:30" x14ac:dyDescent="0.2">
      <c r="U72" s="323">
        <v>70</v>
      </c>
      <c r="V72" s="323" t="s">
        <v>1797</v>
      </c>
      <c r="W72" s="293" t="s">
        <v>1798</v>
      </c>
      <c r="X72" s="293" t="str">
        <f t="shared" si="3"/>
        <v>041110 - Általános gazdasági és kereskedelmi ügyek igazgatása</v>
      </c>
      <c r="Z72" s="323">
        <v>70</v>
      </c>
      <c r="AA72" s="293" t="s">
        <v>189</v>
      </c>
      <c r="AB72" s="293" t="s">
        <v>1799</v>
      </c>
      <c r="AC72" s="293" t="str">
        <f t="shared" si="4"/>
        <v>05711 -  Ingatlanok felújítása előirányzata</v>
      </c>
      <c r="AD72" s="293" t="s">
        <v>1285</v>
      </c>
    </row>
    <row r="73" spans="21:30" x14ac:dyDescent="0.2">
      <c r="U73" s="323">
        <v>71</v>
      </c>
      <c r="V73" s="323" t="s">
        <v>1800</v>
      </c>
      <c r="W73" s="293" t="s">
        <v>1801</v>
      </c>
      <c r="X73" s="293" t="str">
        <f t="shared" si="3"/>
        <v>041120 - Földügy igazgatása</v>
      </c>
      <c r="Z73" s="323">
        <v>71</v>
      </c>
      <c r="AA73" s="293" t="s">
        <v>190</v>
      </c>
      <c r="AB73" s="293" t="s">
        <v>1802</v>
      </c>
      <c r="AC73" s="293" t="str">
        <f t="shared" si="4"/>
        <v>05721 -  Informatikai eszközök felújítása előirányzata</v>
      </c>
      <c r="AD73" s="293" t="s">
        <v>1803</v>
      </c>
    </row>
    <row r="74" spans="21:30" x14ac:dyDescent="0.2">
      <c r="U74" s="323">
        <v>72</v>
      </c>
      <c r="V74" s="323" t="s">
        <v>1804</v>
      </c>
      <c r="W74" s="293" t="s">
        <v>1805</v>
      </c>
      <c r="X74" s="293" t="str">
        <f t="shared" si="3"/>
        <v>041130 - Szellemi tulajdon és innováció igazgatása</v>
      </c>
      <c r="Z74" s="323">
        <v>72</v>
      </c>
      <c r="AA74" s="293" t="s">
        <v>191</v>
      </c>
      <c r="AB74" s="293" t="s">
        <v>1806</v>
      </c>
      <c r="AC74" s="293" t="str">
        <f t="shared" si="4"/>
        <v>05731 -  Egyéb tárgyi eszközök felújítása előirányzata</v>
      </c>
      <c r="AD74" s="293" t="s">
        <v>1299</v>
      </c>
    </row>
    <row r="75" spans="21:30" x14ac:dyDescent="0.2">
      <c r="U75" s="323">
        <v>73</v>
      </c>
      <c r="V75" s="323" t="s">
        <v>1807</v>
      </c>
      <c r="W75" s="293" t="s">
        <v>1808</v>
      </c>
      <c r="X75" s="293" t="str">
        <f t="shared" si="3"/>
        <v>041140 - Területfejlesztés igazgatása</v>
      </c>
      <c r="Z75" s="323">
        <v>73</v>
      </c>
      <c r="AA75" s="293" t="s">
        <v>192</v>
      </c>
      <c r="AB75" s="293" t="s">
        <v>1809</v>
      </c>
      <c r="AC75" s="293" t="str">
        <f t="shared" si="4"/>
        <v>05741 -  Felújítási célú előzetesen felszámított általános forgalmi adó előirányzata</v>
      </c>
      <c r="AD75" s="293" t="s">
        <v>1286</v>
      </c>
    </row>
    <row r="76" spans="21:30" x14ac:dyDescent="0.2">
      <c r="U76" s="323">
        <v>74</v>
      </c>
      <c r="V76" s="323" t="s">
        <v>1810</v>
      </c>
      <c r="W76" s="293" t="s">
        <v>1811</v>
      </c>
      <c r="X76" s="293" t="str">
        <f t="shared" si="3"/>
        <v>041150 - Cégnyilvántartás</v>
      </c>
      <c r="Z76" s="323">
        <v>74</v>
      </c>
      <c r="AA76" s="293" t="s">
        <v>193</v>
      </c>
      <c r="AB76" s="293" t="s">
        <v>1812</v>
      </c>
      <c r="AC76" s="293" t="str">
        <f t="shared" si="4"/>
        <v>05811 -  Felhalmozási célú garancia- és kezességvállalásból származó kifizetés államháztartáson belülre előirányzata</v>
      </c>
      <c r="AD76" s="293" t="s">
        <v>1813</v>
      </c>
    </row>
    <row r="77" spans="21:30" x14ac:dyDescent="0.2">
      <c r="U77" s="323">
        <v>75</v>
      </c>
      <c r="V77" s="323" t="s">
        <v>1814</v>
      </c>
      <c r="W77" s="293" t="s">
        <v>1815</v>
      </c>
      <c r="X77" s="293" t="str">
        <f t="shared" si="3"/>
        <v>041160 - Földmérés, térképészet</v>
      </c>
      <c r="Z77" s="323">
        <v>75</v>
      </c>
      <c r="AA77" s="293" t="s">
        <v>194</v>
      </c>
      <c r="AB77" s="293" t="s">
        <v>1816</v>
      </c>
      <c r="AC77" s="293" t="str">
        <f t="shared" si="4"/>
        <v>05821 -  Felhalmozási célú visszatérítendő támogatások, kölcsönök nyújtása államháztartáson belülre előirányzata</v>
      </c>
      <c r="AD77" s="293" t="s">
        <v>1817</v>
      </c>
    </row>
    <row r="78" spans="21:30" x14ac:dyDescent="0.2">
      <c r="U78" s="323">
        <v>76</v>
      </c>
      <c r="V78" s="323" t="s">
        <v>1818</v>
      </c>
      <c r="W78" s="293" t="s">
        <v>1819</v>
      </c>
      <c r="X78" s="293" t="str">
        <f t="shared" si="3"/>
        <v>041170 - Műszaki vizsgálat, elemzés</v>
      </c>
      <c r="Z78" s="323">
        <v>76</v>
      </c>
      <c r="AA78" s="293" t="s">
        <v>195</v>
      </c>
      <c r="AB78" s="293" t="s">
        <v>1820</v>
      </c>
      <c r="AC78" s="293" t="str">
        <f t="shared" si="4"/>
        <v>05831 -  Felhalmozási célú visszatérítendő támogatások, kölcsönök törlesztése államháztartáson belülre előirányzata</v>
      </c>
      <c r="AD78" s="293" t="s">
        <v>1821</v>
      </c>
    </row>
    <row r="79" spans="21:30" x14ac:dyDescent="0.2">
      <c r="U79" s="323">
        <v>77</v>
      </c>
      <c r="V79" s="323" t="s">
        <v>1822</v>
      </c>
      <c r="W79" s="293" t="s">
        <v>1823</v>
      </c>
      <c r="X79" s="293" t="str">
        <f t="shared" si="3"/>
        <v>041180 - Meteorológiai szolgáltatás</v>
      </c>
      <c r="Z79" s="323">
        <v>77</v>
      </c>
      <c r="AA79" s="293" t="s">
        <v>196</v>
      </c>
      <c r="AB79" s="293" t="s">
        <v>1824</v>
      </c>
      <c r="AC79" s="293" t="str">
        <f t="shared" si="4"/>
        <v>05841 -  Egyéb felhalmozási célú támogatások államháztartáson belülre előirányzata</v>
      </c>
      <c r="AD79" s="293" t="s">
        <v>1825</v>
      </c>
    </row>
    <row r="80" spans="21:30" x14ac:dyDescent="0.2">
      <c r="U80" s="323">
        <v>78</v>
      </c>
      <c r="V80" s="323" t="s">
        <v>1826</v>
      </c>
      <c r="W80" s="293" t="s">
        <v>1827</v>
      </c>
      <c r="X80" s="293" t="str">
        <f t="shared" si="3"/>
        <v>041210 - Munkaügy igazgatása</v>
      </c>
      <c r="Z80" s="323">
        <v>78</v>
      </c>
      <c r="AA80" s="293" t="s">
        <v>197</v>
      </c>
      <c r="AB80" s="293" t="s">
        <v>1828</v>
      </c>
      <c r="AC80" s="293" t="str">
        <f t="shared" si="4"/>
        <v>05851 -  Felhalmozási célú garancia- és kezességvállalásból származó kifizetés államháztartáson kívülre előirányzata</v>
      </c>
      <c r="AD80" s="293" t="s">
        <v>1829</v>
      </c>
    </row>
    <row r="81" spans="21:30" x14ac:dyDescent="0.2">
      <c r="U81" s="323">
        <v>79</v>
      </c>
      <c r="V81" s="323" t="s">
        <v>1830</v>
      </c>
      <c r="W81" s="293" t="s">
        <v>1831</v>
      </c>
      <c r="X81" s="293" t="str">
        <f t="shared" si="3"/>
        <v>041220 - Munkavédelmi célú támogatások és közcélú információs rendszer működtetése</v>
      </c>
      <c r="Z81" s="323">
        <v>79</v>
      </c>
      <c r="AA81" s="293" t="s">
        <v>198</v>
      </c>
      <c r="AB81" s="293" t="s">
        <v>1832</v>
      </c>
      <c r="AC81" s="293" t="str">
        <f t="shared" si="4"/>
        <v>05861 -  Felhalmozási célú visszatérítendő támogatások, kölcsönök nyújtása államháztartáson kívülre előirányzata</v>
      </c>
      <c r="AD81" s="293" t="s">
        <v>1833</v>
      </c>
    </row>
    <row r="82" spans="21:30" x14ac:dyDescent="0.2">
      <c r="U82" s="323">
        <v>80</v>
      </c>
      <c r="V82" s="323" t="s">
        <v>1834</v>
      </c>
      <c r="W82" s="293" t="s">
        <v>1835</v>
      </c>
      <c r="X82" s="293" t="str">
        <f t="shared" si="3"/>
        <v>041232 - Start-munka program – Téli közfoglalkoztatás</v>
      </c>
      <c r="Z82" s="323">
        <v>80</v>
      </c>
      <c r="AA82" s="293" t="s">
        <v>199</v>
      </c>
      <c r="AB82" s="293" t="s">
        <v>1836</v>
      </c>
      <c r="AC82" s="293" t="str">
        <f t="shared" si="4"/>
        <v>05871 -  Lakástámogatás előirányzata</v>
      </c>
      <c r="AD82" s="293" t="s">
        <v>1837</v>
      </c>
    </row>
    <row r="83" spans="21:30" x14ac:dyDescent="0.2">
      <c r="U83" s="323">
        <v>81</v>
      </c>
      <c r="V83" s="323" t="s">
        <v>1838</v>
      </c>
      <c r="W83" s="293" t="s">
        <v>1839</v>
      </c>
      <c r="X83" s="293" t="str">
        <f t="shared" si="3"/>
        <v>041233 - Hosszabb időtartamú közfoglalkoztatás</v>
      </c>
      <c r="Z83" s="323">
        <v>81</v>
      </c>
      <c r="AA83" s="293" t="s">
        <v>200</v>
      </c>
      <c r="AB83" s="293" t="s">
        <v>1840</v>
      </c>
      <c r="AC83" s="293" t="str">
        <f t="shared" si="4"/>
        <v>05881 -  Felhalmozási célú támogatások az Európai Uniónak előirányzata</v>
      </c>
      <c r="AD83" s="293" t="s">
        <v>1841</v>
      </c>
    </row>
    <row r="84" spans="21:30" x14ac:dyDescent="0.2">
      <c r="U84" s="323">
        <v>82</v>
      </c>
      <c r="V84" s="323" t="s">
        <v>1842</v>
      </c>
      <c r="W84" s="293" t="s">
        <v>1843</v>
      </c>
      <c r="X84" s="293" t="str">
        <f t="shared" si="3"/>
        <v>041234 - Közfoglalkoztatás mobilitását szolgáló támogatás (közhasznú kölcsönző részére)</v>
      </c>
      <c r="Z84" s="323">
        <v>82</v>
      </c>
      <c r="AA84" s="293" t="s">
        <v>201</v>
      </c>
      <c r="AB84" s="293" t="s">
        <v>1844</v>
      </c>
      <c r="AC84" s="293" t="str">
        <f t="shared" si="4"/>
        <v>05891 -  Egyéb felhalmozási célú támogatások államháztartáson kívülre előirányzata</v>
      </c>
      <c r="AD84" s="293" t="s">
        <v>1845</v>
      </c>
    </row>
    <row r="85" spans="21:30" x14ac:dyDescent="0.2">
      <c r="U85" s="323">
        <v>83</v>
      </c>
      <c r="V85" s="323" t="s">
        <v>1846</v>
      </c>
      <c r="W85" s="293" t="s">
        <v>1847</v>
      </c>
      <c r="X85" s="293" t="str">
        <f t="shared" si="3"/>
        <v>041235 - Vállalkozás részére foglalkoztatást helyettesítő támogatásban részesülő személy foglalkoztatásához nyújtható támogatás</v>
      </c>
      <c r="Z85" s="323">
        <v>83</v>
      </c>
      <c r="AA85" s="293" t="s">
        <v>202</v>
      </c>
      <c r="AB85" s="293" t="s">
        <v>1848</v>
      </c>
      <c r="AC85" s="293" t="str">
        <f t="shared" si="4"/>
        <v>0591111 -  Hosszú lejáratú hitelek, kölcsönök törlesztése pénzügyi vállalkozásnak előirányzata</v>
      </c>
      <c r="AD85" s="293" t="s">
        <v>1451</v>
      </c>
    </row>
    <row r="86" spans="21:30" x14ac:dyDescent="0.2">
      <c r="U86" s="323">
        <v>84</v>
      </c>
      <c r="V86" s="323" t="s">
        <v>1849</v>
      </c>
      <c r="W86" s="293" t="s">
        <v>1850</v>
      </c>
      <c r="X86" s="293" t="str">
        <f t="shared" si="3"/>
        <v>041236 - Országos közfoglalkoztatási program</v>
      </c>
      <c r="Z86" s="323">
        <v>84</v>
      </c>
      <c r="AA86" s="293" t="s">
        <v>203</v>
      </c>
      <c r="AB86" s="293" t="s">
        <v>1851</v>
      </c>
      <c r="AC86" s="293" t="str">
        <f t="shared" si="4"/>
        <v>0591121 -  Likviditási célú hitelek, kölcsönök törlesztése pénzügyi vállalkozásnak előirányzata</v>
      </c>
      <c r="AD86" s="293" t="s">
        <v>1453</v>
      </c>
    </row>
    <row r="87" spans="21:30" x14ac:dyDescent="0.2">
      <c r="U87" s="323">
        <v>85</v>
      </c>
      <c r="V87" s="323" t="s">
        <v>1852</v>
      </c>
      <c r="W87" s="293" t="s">
        <v>1853</v>
      </c>
      <c r="X87" s="293" t="str">
        <f t="shared" si="3"/>
        <v>041237 - Közfoglalkoztatási mintaprogram</v>
      </c>
      <c r="Z87" s="323">
        <v>85</v>
      </c>
      <c r="AA87" s="293" t="s">
        <v>204</v>
      </c>
      <c r="AB87" s="293" t="s">
        <v>1854</v>
      </c>
      <c r="AC87" s="293" t="str">
        <f t="shared" si="4"/>
        <v>0591131 -  Rövid lejáratú hitelek, kölcsönök törlesztése pénzügyi vállalkozásnak előirányzata</v>
      </c>
      <c r="AD87" s="293" t="s">
        <v>1455</v>
      </c>
    </row>
    <row r="88" spans="21:30" x14ac:dyDescent="0.2">
      <c r="U88" s="323">
        <v>86</v>
      </c>
      <c r="V88" s="323" t="s">
        <v>1855</v>
      </c>
      <c r="W88" s="293" t="s">
        <v>1856</v>
      </c>
      <c r="X88" s="293" t="str">
        <f t="shared" si="3"/>
        <v>042110 - Mezőgazdaság igazgatása</v>
      </c>
      <c r="Z88" s="323">
        <v>86</v>
      </c>
      <c r="AA88" s="293" t="s">
        <v>205</v>
      </c>
      <c r="AB88" s="293" t="s">
        <v>1857</v>
      </c>
      <c r="AC88" s="293" t="str">
        <f t="shared" si="4"/>
        <v>0591211 -  Forgatási célú belföldi értékpapírok vásárlása előirányzata</v>
      </c>
      <c r="AD88" s="293" t="s">
        <v>1458</v>
      </c>
    </row>
    <row r="89" spans="21:30" x14ac:dyDescent="0.2">
      <c r="U89" s="323">
        <v>87</v>
      </c>
      <c r="V89" s="323" t="s">
        <v>1858</v>
      </c>
      <c r="W89" s="293" t="s">
        <v>1859</v>
      </c>
      <c r="X89" s="293" t="str">
        <f t="shared" si="3"/>
        <v>042120 - Mezőgazdasági támogatások</v>
      </c>
      <c r="Z89" s="323">
        <v>87</v>
      </c>
      <c r="AA89" s="293" t="s">
        <v>206</v>
      </c>
      <c r="AB89" s="293" t="s">
        <v>1860</v>
      </c>
      <c r="AC89" s="293" t="str">
        <f t="shared" si="4"/>
        <v>0591221 -  Befektetési célú belföldi értékpapírok vásárlása előirányzata</v>
      </c>
      <c r="AD89" s="293" t="s">
        <v>1460</v>
      </c>
    </row>
    <row r="90" spans="21:30" x14ac:dyDescent="0.2">
      <c r="U90" s="323">
        <v>88</v>
      </c>
      <c r="V90" s="323" t="s">
        <v>1861</v>
      </c>
      <c r="W90" s="293" t="s">
        <v>1862</v>
      </c>
      <c r="X90" s="293" t="str">
        <f t="shared" si="3"/>
        <v>042130 - Növénytermesztés, állattenyésztés és kapcsolódó szolgáltatások</v>
      </c>
      <c r="Z90" s="323">
        <v>88</v>
      </c>
      <c r="AA90" s="293" t="s">
        <v>207</v>
      </c>
      <c r="AB90" s="293" t="s">
        <v>1863</v>
      </c>
      <c r="AC90" s="293" t="str">
        <f t="shared" si="4"/>
        <v>0591231 -  Kincstárjegyek beváltása előirányzata</v>
      </c>
      <c r="AD90" s="293" t="s">
        <v>1462</v>
      </c>
    </row>
    <row r="91" spans="21:30" x14ac:dyDescent="0.2">
      <c r="U91" s="323">
        <v>89</v>
      </c>
      <c r="V91" s="323" t="s">
        <v>1864</v>
      </c>
      <c r="W91" s="293" t="s">
        <v>1865</v>
      </c>
      <c r="X91" s="293" t="str">
        <f t="shared" si="3"/>
        <v>042140 - Génmegőrzés, fajtavédelem</v>
      </c>
      <c r="Z91" s="323">
        <v>89</v>
      </c>
      <c r="AA91" s="293" t="s">
        <v>208</v>
      </c>
      <c r="AB91" s="293" t="s">
        <v>1866</v>
      </c>
      <c r="AC91" s="293" t="str">
        <f t="shared" si="4"/>
        <v>0591241 -  Éven belüli lejáratú belföldi értékpapírok beváltása előirányzata</v>
      </c>
      <c r="AD91" s="293" t="s">
        <v>1464</v>
      </c>
    </row>
    <row r="92" spans="21:30" x14ac:dyDescent="0.2">
      <c r="U92" s="323">
        <v>90</v>
      </c>
      <c r="V92" s="323" t="s">
        <v>1867</v>
      </c>
      <c r="W92" s="293" t="s">
        <v>1868</v>
      </c>
      <c r="X92" s="293" t="str">
        <f t="shared" si="3"/>
        <v>042150 - Mezőgazdasági öntözőrendszer építése, fenntartása, üzemeltetése</v>
      </c>
      <c r="Z92" s="323">
        <v>90</v>
      </c>
      <c r="AA92" s="293" t="s">
        <v>209</v>
      </c>
      <c r="AB92" s="293" t="s">
        <v>1869</v>
      </c>
      <c r="AC92" s="293" t="str">
        <f t="shared" si="4"/>
        <v>0591251 -  Belföldi kötvények beváltása előirányzata</v>
      </c>
      <c r="AD92" s="293" t="s">
        <v>1466</v>
      </c>
    </row>
    <row r="93" spans="21:30" x14ac:dyDescent="0.2">
      <c r="U93" s="323">
        <v>91</v>
      </c>
      <c r="V93" s="323" t="s">
        <v>1870</v>
      </c>
      <c r="W93" s="293" t="s">
        <v>1871</v>
      </c>
      <c r="X93" s="293" t="str">
        <f t="shared" si="3"/>
        <v>042170 - Élelmiszerlánc-biztonság igazgatása</v>
      </c>
      <c r="Z93" s="323">
        <v>91</v>
      </c>
      <c r="AA93" s="293" t="s">
        <v>210</v>
      </c>
      <c r="AB93" s="293" t="s">
        <v>1872</v>
      </c>
      <c r="AC93" s="293" t="str">
        <f t="shared" si="4"/>
        <v>0591261 -  Éven túli lejáratú belföldi értékpapírok beváltása előirányzata</v>
      </c>
      <c r="AD93" s="293" t="s">
        <v>1468</v>
      </c>
    </row>
    <row r="94" spans="21:30" x14ac:dyDescent="0.2">
      <c r="U94" s="323">
        <v>92</v>
      </c>
      <c r="V94" s="323" t="s">
        <v>1873</v>
      </c>
      <c r="W94" s="293" t="s">
        <v>1874</v>
      </c>
      <c r="X94" s="293" t="str">
        <f t="shared" si="3"/>
        <v>042180 - Állat-egészségügy</v>
      </c>
      <c r="Z94" s="323">
        <v>92</v>
      </c>
      <c r="AA94" s="293" t="s">
        <v>211</v>
      </c>
      <c r="AB94" s="293" t="s">
        <v>1472</v>
      </c>
      <c r="AC94" s="293" t="str">
        <f t="shared" si="4"/>
        <v>059131 -  Államháztartáson belüli megelőlegezések folyósítása előirányzata</v>
      </c>
      <c r="AD94" s="293" t="s">
        <v>1471</v>
      </c>
    </row>
    <row r="95" spans="21:30" x14ac:dyDescent="0.2">
      <c r="U95" s="323">
        <v>93</v>
      </c>
      <c r="V95" s="323" t="s">
        <v>1875</v>
      </c>
      <c r="W95" s="293" t="s">
        <v>1876</v>
      </c>
      <c r="X95" s="293" t="str">
        <f t="shared" si="3"/>
        <v>042210 - Erdőgazdálkodás igazgatása és támogatása</v>
      </c>
      <c r="Z95" s="323">
        <v>93</v>
      </c>
      <c r="AA95" s="293" t="s">
        <v>212</v>
      </c>
      <c r="AB95" s="293" t="s">
        <v>1473</v>
      </c>
      <c r="AC95" s="293" t="str">
        <f t="shared" si="4"/>
        <v>059141 -  Államháztartáson belüli megelőlegezések visszafizetése előirányzata</v>
      </c>
      <c r="AD95" s="293" t="s">
        <v>1287</v>
      </c>
    </row>
    <row r="96" spans="21:30" x14ac:dyDescent="0.2">
      <c r="U96" s="323">
        <v>94</v>
      </c>
      <c r="V96" s="323" t="s">
        <v>1877</v>
      </c>
      <c r="W96" s="293" t="s">
        <v>1878</v>
      </c>
      <c r="X96" s="293" t="str">
        <f t="shared" si="3"/>
        <v>042220 - Erdőgazdálkodás</v>
      </c>
      <c r="Z96" s="323">
        <v>94</v>
      </c>
      <c r="AA96" s="293" t="s">
        <v>213</v>
      </c>
      <c r="AB96" s="293" t="s">
        <v>1879</v>
      </c>
      <c r="AC96" s="293" t="str">
        <f t="shared" si="4"/>
        <v>059151 -  Központi, irányító szervi támogatás folyósítása előirányzata</v>
      </c>
      <c r="AD96" s="293" t="s">
        <v>1253</v>
      </c>
    </row>
    <row r="97" spans="21:30" x14ac:dyDescent="0.2">
      <c r="U97" s="323">
        <v>95</v>
      </c>
      <c r="V97" s="323" t="s">
        <v>1880</v>
      </c>
      <c r="W97" s="293" t="s">
        <v>1881</v>
      </c>
      <c r="X97" s="293" t="str">
        <f t="shared" si="3"/>
        <v>042310 - Vadgazdálkodás igazgatása és támogatása</v>
      </c>
      <c r="Z97" s="323">
        <v>95</v>
      </c>
      <c r="AA97" s="293" t="s">
        <v>214</v>
      </c>
      <c r="AB97" s="293" t="s">
        <v>1475</v>
      </c>
      <c r="AC97" s="293" t="str">
        <f t="shared" si="4"/>
        <v>059161 -  Pénzeszközök lekötött bankbetétként elhelyezése előirányzata</v>
      </c>
      <c r="AD97" s="293" t="s">
        <v>1474</v>
      </c>
    </row>
    <row r="98" spans="21:30" x14ac:dyDescent="0.2">
      <c r="U98" s="323">
        <v>96</v>
      </c>
      <c r="V98" s="323" t="s">
        <v>1882</v>
      </c>
      <c r="W98" s="293" t="s">
        <v>1883</v>
      </c>
      <c r="X98" s="293" t="str">
        <f t="shared" si="3"/>
        <v>042320 - Vadgazdálkodás</v>
      </c>
      <c r="Z98" s="323">
        <v>96</v>
      </c>
      <c r="AA98" s="293" t="s">
        <v>215</v>
      </c>
      <c r="AB98" s="293" t="s">
        <v>1477</v>
      </c>
      <c r="AC98" s="293" t="str">
        <f t="shared" si="4"/>
        <v>059171 -  Pénzügyi lízing kiadásai előirányzata</v>
      </c>
      <c r="AD98" s="293" t="s">
        <v>1476</v>
      </c>
    </row>
    <row r="99" spans="21:30" x14ac:dyDescent="0.2">
      <c r="U99" s="323">
        <v>97</v>
      </c>
      <c r="V99" s="323" t="s">
        <v>1884</v>
      </c>
      <c r="W99" s="293" t="s">
        <v>1885</v>
      </c>
      <c r="X99" s="293" t="str">
        <f t="shared" si="3"/>
        <v>042350 - Halászat igazgatása és támogatása</v>
      </c>
      <c r="Z99" s="323">
        <v>97</v>
      </c>
      <c r="AA99" s="293" t="s">
        <v>216</v>
      </c>
      <c r="AB99" s="293" t="s">
        <v>1886</v>
      </c>
      <c r="AC99" s="293" t="str">
        <f t="shared" si="4"/>
        <v>059181 -  Központi költségvetés sajátos finanszírozási kiadásai előirányzata</v>
      </c>
      <c r="AD99" s="293" t="s">
        <v>1887</v>
      </c>
    </row>
    <row r="100" spans="21:30" x14ac:dyDescent="0.2">
      <c r="U100" s="323">
        <v>98</v>
      </c>
      <c r="V100" s="323" t="s">
        <v>1888</v>
      </c>
      <c r="W100" s="293" t="s">
        <v>1889</v>
      </c>
      <c r="X100" s="293" t="str">
        <f t="shared" si="3"/>
        <v>042360 - Halászat, haltenyésztés</v>
      </c>
      <c r="Z100" s="323">
        <v>98</v>
      </c>
      <c r="AA100" s="293" t="s">
        <v>217</v>
      </c>
      <c r="AB100" s="293" t="s">
        <v>1890</v>
      </c>
      <c r="AC100" s="293" t="str">
        <f t="shared" si="4"/>
        <v>0591911 -  Hosszú lejáratú tulajdonosi kölcsönök kiadásai előirányzata</v>
      </c>
      <c r="AD100" s="293" t="s">
        <v>1891</v>
      </c>
    </row>
    <row r="101" spans="21:30" x14ac:dyDescent="0.2">
      <c r="U101" s="323">
        <v>99</v>
      </c>
      <c r="V101" s="323" t="s">
        <v>1892</v>
      </c>
      <c r="W101" s="293" t="s">
        <v>1893</v>
      </c>
      <c r="X101" s="293" t="str">
        <f t="shared" si="3"/>
        <v>043110 - Szén- és egyéb ásványi fűtőanyagipar igazgatása és támogatása</v>
      </c>
      <c r="Z101" s="323">
        <v>99</v>
      </c>
      <c r="AA101" s="293" t="s">
        <v>218</v>
      </c>
      <c r="AB101" s="293" t="s">
        <v>1894</v>
      </c>
      <c r="AC101" s="293" t="str">
        <f t="shared" si="4"/>
        <v>0591921 -  Rövid lejáratú tulajdonosi kölcsönök kiadásai előirányzata</v>
      </c>
      <c r="AD101" s="293" t="s">
        <v>1895</v>
      </c>
    </row>
    <row r="102" spans="21:30" x14ac:dyDescent="0.2">
      <c r="U102" s="323">
        <v>100</v>
      </c>
      <c r="V102" s="323" t="s">
        <v>1896</v>
      </c>
      <c r="W102" s="293" t="s">
        <v>1897</v>
      </c>
      <c r="X102" s="293" t="str">
        <f t="shared" si="3"/>
        <v>043210 - Kőolaj- és gázipar igazgatása és támogatása</v>
      </c>
      <c r="Z102" s="323">
        <v>100</v>
      </c>
      <c r="AA102" s="293" t="s">
        <v>219</v>
      </c>
      <c r="AB102" s="293" t="s">
        <v>1898</v>
      </c>
      <c r="AC102" s="293" t="str">
        <f t="shared" si="4"/>
        <v>059211 -  Forgatási célú külföldi értékpapírok vásárlása előirányzata</v>
      </c>
      <c r="AD102" s="293" t="s">
        <v>1479</v>
      </c>
    </row>
    <row r="103" spans="21:30" x14ac:dyDescent="0.2">
      <c r="U103" s="323">
        <v>101</v>
      </c>
      <c r="V103" s="323" t="s">
        <v>1899</v>
      </c>
      <c r="W103" s="293" t="s">
        <v>1900</v>
      </c>
      <c r="X103" s="293" t="str">
        <f t="shared" si="3"/>
        <v>043310 - Nukleáris fűtőanyagipar igazgatása és támogatása</v>
      </c>
      <c r="Z103" s="323">
        <v>101</v>
      </c>
      <c r="AA103" s="293" t="s">
        <v>220</v>
      </c>
      <c r="AB103" s="293" t="s">
        <v>1901</v>
      </c>
      <c r="AC103" s="293" t="str">
        <f t="shared" si="4"/>
        <v>059221 -  Befektetési célú külföldi értékpapírok vásárlása előirányzata</v>
      </c>
      <c r="AD103" s="293" t="s">
        <v>1481</v>
      </c>
    </row>
    <row r="104" spans="21:30" x14ac:dyDescent="0.2">
      <c r="U104" s="323">
        <v>102</v>
      </c>
      <c r="V104" s="323" t="s">
        <v>1902</v>
      </c>
      <c r="W104" s="293" t="s">
        <v>1903</v>
      </c>
      <c r="X104" s="293" t="str">
        <f t="shared" si="3"/>
        <v>043410 - Egyéb tüzelőanyag-ipar igazgatása és támogatása</v>
      </c>
      <c r="Z104" s="323">
        <v>102</v>
      </c>
      <c r="AA104" s="293" t="s">
        <v>221</v>
      </c>
      <c r="AB104" s="293" t="s">
        <v>1904</v>
      </c>
      <c r="AC104" s="293" t="str">
        <f t="shared" si="4"/>
        <v>059231 -  Külföldi értékpapírok beváltása előirányzata</v>
      </c>
      <c r="AD104" s="293" t="s">
        <v>1483</v>
      </c>
    </row>
    <row r="105" spans="21:30" x14ac:dyDescent="0.2">
      <c r="U105" s="323">
        <v>103</v>
      </c>
      <c r="V105" s="323" t="s">
        <v>1905</v>
      </c>
      <c r="W105" s="293" t="s">
        <v>1906</v>
      </c>
      <c r="X105" s="293" t="str">
        <f t="shared" si="3"/>
        <v>043510 - Villamosenergia-ipar igazgatása és támogatása</v>
      </c>
      <c r="Z105" s="323">
        <v>103</v>
      </c>
      <c r="AA105" s="293" t="s">
        <v>222</v>
      </c>
      <c r="AB105" s="293" t="s">
        <v>1907</v>
      </c>
      <c r="AC105" s="293" t="str">
        <f t="shared" si="4"/>
        <v>059241 -  Hitelek, kölcsönök törlesztése külföldi kormányoknak és nemzetközi szervezeteknek előirányzata</v>
      </c>
      <c r="AD105" s="293" t="s">
        <v>1485</v>
      </c>
    </row>
    <row r="106" spans="21:30" x14ac:dyDescent="0.2">
      <c r="U106" s="323">
        <v>104</v>
      </c>
      <c r="V106" s="323" t="s">
        <v>1908</v>
      </c>
      <c r="W106" s="293" t="s">
        <v>1909</v>
      </c>
      <c r="X106" s="293" t="str">
        <f t="shared" si="3"/>
        <v>043610 - Egyéb energiaipar igazgatása és támogatása</v>
      </c>
      <c r="Z106" s="323">
        <v>104</v>
      </c>
      <c r="AA106" s="293" t="s">
        <v>223</v>
      </c>
      <c r="AB106" s="293" t="s">
        <v>1910</v>
      </c>
      <c r="AC106" s="293" t="str">
        <f t="shared" si="4"/>
        <v>059251 -  Hitelek, kölcsönök törlesztése külföldi pénzintézeteknek előirányzata</v>
      </c>
      <c r="AD106" s="293" t="s">
        <v>1487</v>
      </c>
    </row>
    <row r="107" spans="21:30" x14ac:dyDescent="0.2">
      <c r="U107" s="323">
        <v>105</v>
      </c>
      <c r="V107" s="323" t="s">
        <v>1911</v>
      </c>
      <c r="W107" s="293" t="s">
        <v>1912</v>
      </c>
      <c r="X107" s="293" t="str">
        <f t="shared" si="3"/>
        <v>044110 - Ásványianyag- (kivéve: szilárd ásványi fűtőanyag) bányászat igazgatása és támogatása</v>
      </c>
      <c r="Z107" s="323">
        <v>105</v>
      </c>
      <c r="AA107" s="293" t="s">
        <v>224</v>
      </c>
      <c r="AB107" s="293" t="s">
        <v>1913</v>
      </c>
      <c r="AC107" s="293" t="str">
        <f t="shared" si="4"/>
        <v>05931 -  Adóssághoz nem kapcsolódó származékos ügyletek kiadásai előirányzata</v>
      </c>
      <c r="AD107" s="293" t="s">
        <v>1914</v>
      </c>
    </row>
    <row r="108" spans="21:30" x14ac:dyDescent="0.2">
      <c r="U108" s="323">
        <v>106</v>
      </c>
      <c r="V108" s="323" t="s">
        <v>1915</v>
      </c>
      <c r="W108" s="293" t="s">
        <v>1916</v>
      </c>
      <c r="X108" s="293" t="str">
        <f t="shared" si="3"/>
        <v>044210 - Feldolgozóipar igazgatása és támogatása</v>
      </c>
      <c r="Z108" s="323">
        <v>106</v>
      </c>
      <c r="AA108" s="293" t="s">
        <v>225</v>
      </c>
      <c r="AB108" s="293" t="s">
        <v>1917</v>
      </c>
      <c r="AC108" s="293" t="str">
        <f t="shared" si="4"/>
        <v>05941 -  Váltókiadások előirányzata</v>
      </c>
      <c r="AD108" s="293" t="s">
        <v>1918</v>
      </c>
    </row>
    <row r="109" spans="21:30" x14ac:dyDescent="0.2">
      <c r="U109" s="323">
        <v>107</v>
      </c>
      <c r="V109" s="323" t="s">
        <v>1919</v>
      </c>
      <c r="W109" s="293" t="s">
        <v>1920</v>
      </c>
      <c r="X109" s="293" t="str">
        <f t="shared" si="3"/>
        <v>044310 - Építésügy igazgatása</v>
      </c>
      <c r="Z109" s="323">
        <v>107</v>
      </c>
      <c r="AA109" s="293" t="s">
        <v>226</v>
      </c>
      <c r="AB109" s="293" t="s">
        <v>1921</v>
      </c>
      <c r="AC109" s="293" t="str">
        <f t="shared" si="4"/>
        <v>091111 -  Helyi önkormányzatok működésének általános támogatása előirányzata</v>
      </c>
      <c r="AD109" s="293" t="s">
        <v>1288</v>
      </c>
    </row>
    <row r="110" spans="21:30" x14ac:dyDescent="0.2">
      <c r="U110" s="323">
        <v>108</v>
      </c>
      <c r="V110" s="323" t="s">
        <v>1922</v>
      </c>
      <c r="W110" s="293" t="s">
        <v>1923</v>
      </c>
      <c r="X110" s="293" t="str">
        <f t="shared" si="3"/>
        <v>044320 - Építőipar támogatása</v>
      </c>
      <c r="Z110" s="323">
        <v>108</v>
      </c>
      <c r="AA110" s="293" t="s">
        <v>227</v>
      </c>
      <c r="AB110" s="293" t="s">
        <v>1924</v>
      </c>
      <c r="AC110" s="293" t="str">
        <f t="shared" si="4"/>
        <v>091121 -  Települési önkormányzatok egyes köznevelési feladatainak támogatása előirányzata</v>
      </c>
      <c r="AD110" s="293" t="s">
        <v>1289</v>
      </c>
    </row>
    <row r="111" spans="21:30" x14ac:dyDescent="0.2">
      <c r="U111" s="323">
        <v>109</v>
      </c>
      <c r="V111" s="323" t="s">
        <v>1925</v>
      </c>
      <c r="W111" s="293" t="s">
        <v>1926</v>
      </c>
      <c r="X111" s="293" t="str">
        <f t="shared" si="3"/>
        <v>045110 - Közúti közlekedés igazgatása és támogatása</v>
      </c>
      <c r="Z111" s="323">
        <v>109</v>
      </c>
      <c r="AA111" s="293" t="s">
        <v>228</v>
      </c>
      <c r="AB111" s="293" t="s">
        <v>1927</v>
      </c>
      <c r="AC111" s="293" t="str">
        <f t="shared" si="4"/>
        <v>0911311 -  Települési önkormányzatok egyes szociális és gyermekjóléti feladatainak támogatása előirányzata</v>
      </c>
      <c r="AD111" s="293" t="s">
        <v>1290</v>
      </c>
    </row>
    <row r="112" spans="21:30" x14ac:dyDescent="0.2">
      <c r="U112" s="323">
        <v>110</v>
      </c>
      <c r="V112" s="323" t="s">
        <v>1928</v>
      </c>
      <c r="W112" s="293" t="s">
        <v>1929</v>
      </c>
      <c r="X112" s="293" t="str">
        <f t="shared" si="3"/>
        <v>045120 - Út, autópálya építése</v>
      </c>
      <c r="Z112" s="323">
        <v>110</v>
      </c>
      <c r="AA112" s="293" t="s">
        <v>229</v>
      </c>
      <c r="AB112" s="293" t="s">
        <v>1930</v>
      </c>
      <c r="AC112" s="293" t="str">
        <f t="shared" si="4"/>
        <v>0911321 -  Települési önkormányzatok gyermekétkeztetési feladatainak támogatása előirányzata</v>
      </c>
      <c r="AD112" s="293" t="s">
        <v>1254</v>
      </c>
    </row>
    <row r="113" spans="21:30" x14ac:dyDescent="0.2">
      <c r="U113" s="323">
        <v>111</v>
      </c>
      <c r="V113" s="323" t="s">
        <v>1931</v>
      </c>
      <c r="W113" s="293" t="s">
        <v>1932</v>
      </c>
      <c r="X113" s="293" t="str">
        <f t="shared" si="3"/>
        <v>045130 - Híd, alagút építése</v>
      </c>
      <c r="Z113" s="323">
        <v>111</v>
      </c>
      <c r="AA113" s="293" t="s">
        <v>230</v>
      </c>
      <c r="AB113" s="293" t="s">
        <v>1933</v>
      </c>
      <c r="AC113" s="293" t="str">
        <f t="shared" si="4"/>
        <v>091141 -  Települési önkormányzatok kulturális feladatainak támogatása előirányzata</v>
      </c>
      <c r="AD113" s="293" t="s">
        <v>1291</v>
      </c>
    </row>
    <row r="114" spans="21:30" x14ac:dyDescent="0.2">
      <c r="U114" s="323">
        <v>112</v>
      </c>
      <c r="V114" s="323" t="s">
        <v>1934</v>
      </c>
      <c r="W114" s="293" t="s">
        <v>1935</v>
      </c>
      <c r="X114" s="293" t="str">
        <f t="shared" si="3"/>
        <v>045140 - Városi és elővárosi közúti személyszállítás</v>
      </c>
      <c r="Z114" s="323">
        <v>112</v>
      </c>
      <c r="AA114" s="293" t="s">
        <v>231</v>
      </c>
      <c r="AB114" s="293" t="s">
        <v>1936</v>
      </c>
      <c r="AC114" s="293" t="str">
        <f t="shared" si="4"/>
        <v>091151 -  Működési célú költségvetési támogatások és kiegészítő támogatások előirányzata</v>
      </c>
      <c r="AD114" s="293" t="s">
        <v>1312</v>
      </c>
    </row>
    <row r="115" spans="21:30" x14ac:dyDescent="0.2">
      <c r="U115" s="323">
        <v>113</v>
      </c>
      <c r="V115" s="323" t="s">
        <v>1937</v>
      </c>
      <c r="W115" s="293" t="s">
        <v>1938</v>
      </c>
      <c r="X115" s="293" t="str">
        <f t="shared" si="3"/>
        <v>045150 - Egyéb szárazföldi személyszállítás</v>
      </c>
      <c r="Z115" s="323">
        <v>113</v>
      </c>
      <c r="AA115" s="293" t="s">
        <v>232</v>
      </c>
      <c r="AB115" s="293" t="s">
        <v>233</v>
      </c>
      <c r="AC115" s="293" t="str">
        <f t="shared" si="4"/>
        <v>091161 -  Elszámolásból származó bevételek előirányzata</v>
      </c>
      <c r="AD115" s="293" t="s">
        <v>1308</v>
      </c>
    </row>
    <row r="116" spans="21:30" x14ac:dyDescent="0.2">
      <c r="U116" s="323">
        <v>114</v>
      </c>
      <c r="V116" s="323" t="s">
        <v>1939</v>
      </c>
      <c r="W116" s="293" t="s">
        <v>1940</v>
      </c>
      <c r="X116" s="293" t="str">
        <f t="shared" si="3"/>
        <v>045160 - Közutak, hidak, alagutak üzemeltetése, fenntartása</v>
      </c>
      <c r="Z116" s="323">
        <v>114</v>
      </c>
      <c r="AA116" s="293" t="s">
        <v>234</v>
      </c>
      <c r="AB116" s="293" t="s">
        <v>1941</v>
      </c>
      <c r="AC116" s="293" t="str">
        <f t="shared" si="4"/>
        <v>09121 -  Elvonások és befizetések bevételei előirányzata</v>
      </c>
      <c r="AD116" s="293" t="s">
        <v>1329</v>
      </c>
    </row>
    <row r="117" spans="21:30" x14ac:dyDescent="0.2">
      <c r="U117" s="323">
        <v>115</v>
      </c>
      <c r="V117" s="323" t="s">
        <v>1942</v>
      </c>
      <c r="W117" s="293" t="s">
        <v>1943</v>
      </c>
      <c r="X117" s="293" t="str">
        <f t="shared" si="3"/>
        <v>045161 - Kerékpárutak üzemeltetése, fenntartása</v>
      </c>
      <c r="Z117" s="323">
        <v>115</v>
      </c>
      <c r="AA117" s="293" t="s">
        <v>235</v>
      </c>
      <c r="AB117" s="293" t="s">
        <v>1944</v>
      </c>
      <c r="AC117" s="293" t="str">
        <f t="shared" si="4"/>
        <v>09131 -  Működési célú garancia- és kezességvállalásból származó megtérülések államháztartáson belülről előirányzata</v>
      </c>
      <c r="AD117" s="293" t="s">
        <v>1331</v>
      </c>
    </row>
    <row r="118" spans="21:30" x14ac:dyDescent="0.2">
      <c r="U118" s="323">
        <v>116</v>
      </c>
      <c r="V118" s="323" t="s">
        <v>1945</v>
      </c>
      <c r="W118" s="293" t="s">
        <v>1946</v>
      </c>
      <c r="X118" s="293" t="str">
        <f t="shared" si="3"/>
        <v>045170 - Parkoló, garázs üzemeltetése, fenntartása</v>
      </c>
      <c r="Z118" s="323">
        <v>116</v>
      </c>
      <c r="AA118" s="293" t="s">
        <v>236</v>
      </c>
      <c r="AB118" s="293" t="s">
        <v>1947</v>
      </c>
      <c r="AC118" s="293" t="str">
        <f t="shared" si="4"/>
        <v>09141 -  Működési célú visszatérítendő támogatások, kölcsönök visszatérülése államháztartáson belülről előirányzata</v>
      </c>
      <c r="AD118" s="293" t="s">
        <v>1333</v>
      </c>
    </row>
    <row r="119" spans="21:30" x14ac:dyDescent="0.2">
      <c r="U119" s="323">
        <v>117</v>
      </c>
      <c r="V119" s="323" t="s">
        <v>1948</v>
      </c>
      <c r="W119" s="293" t="s">
        <v>1949</v>
      </c>
      <c r="X119" s="293" t="str">
        <f t="shared" si="3"/>
        <v>045180 - Közúti járművontatás</v>
      </c>
      <c r="Z119" s="323">
        <v>117</v>
      </c>
      <c r="AA119" s="293" t="s">
        <v>237</v>
      </c>
      <c r="AB119" s="293" t="s">
        <v>1950</v>
      </c>
      <c r="AC119" s="293" t="str">
        <f t="shared" si="4"/>
        <v>09151 -  Működési célú visszatérítendő támogatások, kölcsönök igénybevétele államháztartáson belülről előirányzata</v>
      </c>
      <c r="AD119" s="293" t="s">
        <v>1335</v>
      </c>
    </row>
    <row r="120" spans="21:30" x14ac:dyDescent="0.2">
      <c r="U120" s="323">
        <v>118</v>
      </c>
      <c r="V120" s="323" t="s">
        <v>1951</v>
      </c>
      <c r="W120" s="293" t="s">
        <v>1952</v>
      </c>
      <c r="X120" s="293" t="str">
        <f t="shared" si="3"/>
        <v>045190 - Közúti közlekedési eszközök műszaki vizsgálata</v>
      </c>
      <c r="Z120" s="323">
        <v>118</v>
      </c>
      <c r="AA120" s="293" t="s">
        <v>238</v>
      </c>
      <c r="AB120" s="293" t="s">
        <v>1953</v>
      </c>
      <c r="AC120" s="293" t="str">
        <f t="shared" si="4"/>
        <v>09161 -  Egyéb működési célú támogatások bevételei államháztartáson belülről előirányzata</v>
      </c>
      <c r="AD120" s="293" t="s">
        <v>1278</v>
      </c>
    </row>
    <row r="121" spans="21:30" x14ac:dyDescent="0.2">
      <c r="U121" s="323">
        <v>119</v>
      </c>
      <c r="V121" s="323" t="s">
        <v>1954</v>
      </c>
      <c r="W121" s="293" t="s">
        <v>1955</v>
      </c>
      <c r="X121" s="293" t="str">
        <f t="shared" si="3"/>
        <v>045210 - Vízi közlekedés igazgatása és támogatása</v>
      </c>
      <c r="Z121" s="323">
        <v>119</v>
      </c>
      <c r="AA121" s="293" t="s">
        <v>239</v>
      </c>
      <c r="AB121" s="293" t="s">
        <v>1956</v>
      </c>
      <c r="AC121" s="293" t="str">
        <f t="shared" si="4"/>
        <v>09211 -  Felhalmozási célú önkormányzati támogatások előirányzata</v>
      </c>
      <c r="AD121" s="293" t="s">
        <v>1339</v>
      </c>
    </row>
    <row r="122" spans="21:30" x14ac:dyDescent="0.2">
      <c r="U122" s="323">
        <v>120</v>
      </c>
      <c r="V122" s="323" t="s">
        <v>1957</v>
      </c>
      <c r="W122" s="293" t="s">
        <v>1958</v>
      </c>
      <c r="X122" s="293" t="str">
        <f t="shared" si="3"/>
        <v>045220 - Vízi létesítmény építése (kivéve: árvízvédelmi létesítmények)</v>
      </c>
      <c r="Z122" s="323">
        <v>120</v>
      </c>
      <c r="AA122" s="293" t="s">
        <v>240</v>
      </c>
      <c r="AB122" s="293" t="s">
        <v>1959</v>
      </c>
      <c r="AC122" s="293" t="str">
        <f t="shared" si="4"/>
        <v>09221 -  Felhalmozási célú garancia- és kezességvállalásból származó megtérülések államháztartáson belülről előirányzata</v>
      </c>
      <c r="AD122" s="293" t="s">
        <v>1341</v>
      </c>
    </row>
    <row r="123" spans="21:30" x14ac:dyDescent="0.2">
      <c r="U123" s="323">
        <v>121</v>
      </c>
      <c r="V123" s="323" t="s">
        <v>1960</v>
      </c>
      <c r="W123" s="293" t="s">
        <v>1961</v>
      </c>
      <c r="X123" s="293" t="str">
        <f t="shared" si="3"/>
        <v>045230 - Komp- és révközlekedés</v>
      </c>
      <c r="Z123" s="323">
        <v>121</v>
      </c>
      <c r="AA123" s="293" t="s">
        <v>241</v>
      </c>
      <c r="AB123" s="293" t="s">
        <v>1962</v>
      </c>
      <c r="AC123" s="293" t="str">
        <f t="shared" si="4"/>
        <v>09231 -  Felhalmozási célú visszatérítendő támogatások, kölcsönök visszatérülése államháztartáson belülről előirányzata</v>
      </c>
      <c r="AD123" s="293" t="s">
        <v>1343</v>
      </c>
    </row>
    <row r="124" spans="21:30" x14ac:dyDescent="0.2">
      <c r="U124" s="323">
        <v>122</v>
      </c>
      <c r="V124" s="323" t="s">
        <v>1963</v>
      </c>
      <c r="W124" s="293" t="s">
        <v>1964</v>
      </c>
      <c r="X124" s="293" t="str">
        <f t="shared" si="3"/>
        <v>045310 - Vasúti közlekedés igazgatása és támogatása</v>
      </c>
      <c r="Z124" s="323">
        <v>122</v>
      </c>
      <c r="AA124" s="293" t="s">
        <v>242</v>
      </c>
      <c r="AB124" s="293" t="s">
        <v>1965</v>
      </c>
      <c r="AC124" s="293" t="str">
        <f t="shared" si="4"/>
        <v>09241 -  Felhalmozási célú visszatérítendő támogatások, kölcsönök igénybevétele államháztartáson belülről előirányzata</v>
      </c>
      <c r="AD124" s="293" t="s">
        <v>1345</v>
      </c>
    </row>
    <row r="125" spans="21:30" x14ac:dyDescent="0.2">
      <c r="U125" s="323">
        <v>123</v>
      </c>
      <c r="V125" s="323" t="s">
        <v>1966</v>
      </c>
      <c r="W125" s="293" t="s">
        <v>1967</v>
      </c>
      <c r="X125" s="293" t="str">
        <f t="shared" si="3"/>
        <v>045320 - Vasút építése</v>
      </c>
      <c r="Z125" s="323">
        <v>123</v>
      </c>
      <c r="AA125" s="293" t="s">
        <v>243</v>
      </c>
      <c r="AB125" s="293" t="s">
        <v>1968</v>
      </c>
      <c r="AC125" s="293" t="str">
        <f t="shared" si="4"/>
        <v>09251 -  Egyéb felhalmozási célú támogatások bevételei államháztartáson belülről előirányzata</v>
      </c>
      <c r="AD125" s="293" t="s">
        <v>1255</v>
      </c>
    </row>
    <row r="126" spans="21:30" x14ac:dyDescent="0.2">
      <c r="U126" s="323">
        <v>124</v>
      </c>
      <c r="V126" s="323" t="s">
        <v>1969</v>
      </c>
      <c r="W126" s="293" t="s">
        <v>1970</v>
      </c>
      <c r="X126" s="293" t="str">
        <f t="shared" si="3"/>
        <v>045410 - Légi szállítás igazgatása és támogatása</v>
      </c>
      <c r="Z126" s="323">
        <v>124</v>
      </c>
      <c r="AA126" s="293" t="s">
        <v>244</v>
      </c>
      <c r="AB126" s="293" t="s">
        <v>1971</v>
      </c>
      <c r="AC126" s="293" t="str">
        <f t="shared" si="4"/>
        <v>093111 -  Magánszemélyek jövedelemadói előirányzata</v>
      </c>
      <c r="AD126" s="293" t="s">
        <v>1972</v>
      </c>
    </row>
    <row r="127" spans="21:30" x14ac:dyDescent="0.2">
      <c r="U127" s="323">
        <v>125</v>
      </c>
      <c r="V127" s="323" t="s">
        <v>1973</v>
      </c>
      <c r="W127" s="293" t="s">
        <v>1974</v>
      </c>
      <c r="X127" s="293" t="str">
        <f t="shared" si="3"/>
        <v>045510 - Csővezetékes és egyéb szállítás igazgatása és támogatása</v>
      </c>
      <c r="Z127" s="323">
        <v>125</v>
      </c>
      <c r="AA127" s="293" t="s">
        <v>245</v>
      </c>
      <c r="AB127" s="293" t="s">
        <v>1975</v>
      </c>
      <c r="AC127" s="293" t="str">
        <f t="shared" si="4"/>
        <v>093121 -  Társaságok jövedelemadói előirányzata</v>
      </c>
      <c r="AD127" s="293" t="s">
        <v>1976</v>
      </c>
    </row>
    <row r="128" spans="21:30" x14ac:dyDescent="0.2">
      <c r="U128" s="323">
        <v>126</v>
      </c>
      <c r="V128" s="323" t="s">
        <v>1977</v>
      </c>
      <c r="W128" s="293" t="s">
        <v>1978</v>
      </c>
      <c r="X128" s="293" t="str">
        <f t="shared" si="3"/>
        <v>045530 - Csővezetékes szállítás</v>
      </c>
      <c r="Z128" s="323">
        <v>126</v>
      </c>
      <c r="AA128" s="293" t="s">
        <v>246</v>
      </c>
      <c r="AB128" s="293" t="s">
        <v>1979</v>
      </c>
      <c r="AC128" s="293" t="str">
        <f t="shared" si="4"/>
        <v>09321 -  Szociális hozzájárulási adó és járulékok előirányzata</v>
      </c>
      <c r="AD128" s="293" t="s">
        <v>1980</v>
      </c>
    </row>
    <row r="129" spans="21:30" x14ac:dyDescent="0.2">
      <c r="U129" s="323">
        <v>127</v>
      </c>
      <c r="V129" s="323" t="s">
        <v>1981</v>
      </c>
      <c r="W129" s="293" t="s">
        <v>1982</v>
      </c>
      <c r="X129" s="293" t="str">
        <f t="shared" si="3"/>
        <v>046010 - Hírközlés és az információs társadalom fejlesztésének igazgatása és támogatása</v>
      </c>
      <c r="Z129" s="323">
        <v>127</v>
      </c>
      <c r="AA129" s="293" t="s">
        <v>247</v>
      </c>
      <c r="AB129" s="293" t="s">
        <v>1983</v>
      </c>
      <c r="AC129" s="293" t="str">
        <f t="shared" si="4"/>
        <v>09331 -  Bérhez és foglalkoztatáshoz kapcsolódó adók előirányzata</v>
      </c>
      <c r="AD129" s="293" t="s">
        <v>1984</v>
      </c>
    </row>
    <row r="130" spans="21:30" x14ac:dyDescent="0.2">
      <c r="U130" s="323">
        <v>128</v>
      </c>
      <c r="V130" s="323" t="s">
        <v>1985</v>
      </c>
      <c r="W130" s="293" t="s">
        <v>1986</v>
      </c>
      <c r="X130" s="293" t="str">
        <f t="shared" si="3"/>
        <v>046020 - Vezetékes műsorelosztás, városi és kábeltelevíziós rendszerek</v>
      </c>
      <c r="Z130" s="323">
        <v>128</v>
      </c>
      <c r="AA130" s="293" t="s">
        <v>248</v>
      </c>
      <c r="AB130" s="293" t="s">
        <v>249</v>
      </c>
      <c r="AC130" s="293" t="str">
        <f t="shared" si="4"/>
        <v>09341 -  Vagyoni típusú adók előirányzata</v>
      </c>
      <c r="AD130" s="293" t="s">
        <v>1259</v>
      </c>
    </row>
    <row r="131" spans="21:30" x14ac:dyDescent="0.2">
      <c r="U131" s="323">
        <v>129</v>
      </c>
      <c r="V131" s="323" t="s">
        <v>1987</v>
      </c>
      <c r="W131" s="293" t="s">
        <v>1988</v>
      </c>
      <c r="X131" s="293" t="str">
        <f t="shared" si="3"/>
        <v>046030 - Egyéb távközlés</v>
      </c>
      <c r="Z131" s="323">
        <v>129</v>
      </c>
      <c r="AA131" s="293" t="s">
        <v>250</v>
      </c>
      <c r="AB131" s="293" t="s">
        <v>251</v>
      </c>
      <c r="AC131" s="293" t="str">
        <f t="shared" si="4"/>
        <v>093511 -  Értékesítési és forgalmi adók előirányzata</v>
      </c>
      <c r="AD131" s="293" t="s">
        <v>1260</v>
      </c>
    </row>
    <row r="132" spans="21:30" x14ac:dyDescent="0.2">
      <c r="U132" s="323">
        <v>130</v>
      </c>
      <c r="V132" s="323" t="s">
        <v>1989</v>
      </c>
      <c r="W132" s="293" t="s">
        <v>1990</v>
      </c>
      <c r="X132" s="293" t="str">
        <f t="shared" ref="X132:X195" si="5">CONCATENATE(V132," - ",W132)</f>
        <v>046040 - Hírügynökségi, információs szolgáltatás</v>
      </c>
      <c r="Z132" s="323">
        <v>130</v>
      </c>
      <c r="AA132" s="293" t="s">
        <v>252</v>
      </c>
      <c r="AB132" s="293" t="s">
        <v>253</v>
      </c>
      <c r="AC132" s="293" t="str">
        <f t="shared" ref="AC132:AC187" si="6">CONCATENATE(AA132," - ",AB132)</f>
        <v>093521 -  Fogyasztási adók előirányzata</v>
      </c>
      <c r="AD132" s="293" t="s">
        <v>1352</v>
      </c>
    </row>
    <row r="133" spans="21:30" x14ac:dyDescent="0.2">
      <c r="U133" s="323">
        <v>131</v>
      </c>
      <c r="V133" s="323" t="s">
        <v>1991</v>
      </c>
      <c r="W133" s="293" t="s">
        <v>1992</v>
      </c>
      <c r="X133" s="293" t="str">
        <f t="shared" si="5"/>
        <v>047110 - Kis- és nagykereskedelem igazgatása és támogatása</v>
      </c>
      <c r="Z133" s="323">
        <v>131</v>
      </c>
      <c r="AA133" s="293" t="s">
        <v>254</v>
      </c>
      <c r="AB133" s="293" t="s">
        <v>1993</v>
      </c>
      <c r="AC133" s="293" t="str">
        <f t="shared" si="6"/>
        <v>093531 -  Pénzügyi monopóliumok nyereségét terhelő adók előirányzata</v>
      </c>
      <c r="AD133" s="293" t="s">
        <v>1994</v>
      </c>
    </row>
    <row r="134" spans="21:30" x14ac:dyDescent="0.2">
      <c r="U134" s="323">
        <v>132</v>
      </c>
      <c r="V134" s="323" t="s">
        <v>1995</v>
      </c>
      <c r="W134" s="293" t="s">
        <v>1996</v>
      </c>
      <c r="X134" s="293" t="str">
        <f t="shared" si="5"/>
        <v>047120 - Piac üzemeltetése</v>
      </c>
      <c r="Z134" s="323">
        <v>132</v>
      </c>
      <c r="AA134" s="293" t="s">
        <v>255</v>
      </c>
      <c r="AB134" s="293" t="s">
        <v>256</v>
      </c>
      <c r="AC134" s="293" t="str">
        <f t="shared" si="6"/>
        <v>093541 -  Gépjárműadók előirányzata</v>
      </c>
      <c r="AD134" s="293" t="s">
        <v>1997</v>
      </c>
    </row>
    <row r="135" spans="21:30" x14ac:dyDescent="0.2">
      <c r="U135" s="323">
        <v>133</v>
      </c>
      <c r="V135" s="323" t="s">
        <v>1998</v>
      </c>
      <c r="W135" s="293" t="s">
        <v>1999</v>
      </c>
      <c r="X135" s="293" t="str">
        <f t="shared" si="5"/>
        <v>047210 - Szálloda- és vendéglátóipar igazgatása és támogatása</v>
      </c>
      <c r="Z135" s="323">
        <v>133</v>
      </c>
      <c r="AA135" s="293" t="s">
        <v>257</v>
      </c>
      <c r="AB135" s="293" t="s">
        <v>258</v>
      </c>
      <c r="AC135" s="293" t="str">
        <f t="shared" si="6"/>
        <v>093551 -  Egyéb áruhasználati és szolgáltatási adók előirányzata</v>
      </c>
      <c r="AD135" s="293" t="s">
        <v>1292</v>
      </c>
    </row>
    <row r="136" spans="21:30" x14ac:dyDescent="0.2">
      <c r="U136" s="323">
        <v>134</v>
      </c>
      <c r="V136" s="323" t="s">
        <v>2000</v>
      </c>
      <c r="W136" s="293" t="s">
        <v>2001</v>
      </c>
      <c r="X136" s="293" t="str">
        <f t="shared" si="5"/>
        <v>047310 - Turizmus igazgatása és támogatása</v>
      </c>
      <c r="Z136" s="323">
        <v>134</v>
      </c>
      <c r="AA136" s="293" t="s">
        <v>259</v>
      </c>
      <c r="AB136" s="293" t="s">
        <v>260</v>
      </c>
      <c r="AC136" s="293" t="str">
        <f t="shared" si="6"/>
        <v>09361 -  Egyéb közhatalmi bevételek előirányzata</v>
      </c>
      <c r="AD136" s="293" t="s">
        <v>1293</v>
      </c>
    </row>
    <row r="137" spans="21:30" x14ac:dyDescent="0.2">
      <c r="U137" s="323">
        <v>135</v>
      </c>
      <c r="V137" s="323" t="s">
        <v>2002</v>
      </c>
      <c r="W137" s="293" t="s">
        <v>2003</v>
      </c>
      <c r="X137" s="293" t="str">
        <f t="shared" si="5"/>
        <v>047320 - Turizmusfejlesztési támogatások és tevékenységek</v>
      </c>
      <c r="Z137" s="323">
        <v>135</v>
      </c>
      <c r="AA137" s="293" t="s">
        <v>261</v>
      </c>
      <c r="AB137" s="293" t="s">
        <v>2004</v>
      </c>
      <c r="AC137" s="293" t="str">
        <f t="shared" si="6"/>
        <v>094011 -  Készletértékesítés ellenértéke előirányzata</v>
      </c>
      <c r="AD137" s="293" t="s">
        <v>1309</v>
      </c>
    </row>
    <row r="138" spans="21:30" x14ac:dyDescent="0.2">
      <c r="U138" s="323">
        <v>136</v>
      </c>
      <c r="V138" s="323" t="s">
        <v>2005</v>
      </c>
      <c r="W138" s="293" t="s">
        <v>2006</v>
      </c>
      <c r="X138" s="293" t="str">
        <f t="shared" si="5"/>
        <v>047410 - Ár- és belvízvédelemmel összefüggő tevékenységek</v>
      </c>
      <c r="Z138" s="323">
        <v>136</v>
      </c>
      <c r="AA138" s="293" t="s">
        <v>262</v>
      </c>
      <c r="AB138" s="293" t="s">
        <v>2007</v>
      </c>
      <c r="AC138" s="293" t="str">
        <f t="shared" si="6"/>
        <v>094021 -  Szolgáltatások ellenértéke előirányzata</v>
      </c>
      <c r="AD138" s="293" t="s">
        <v>1279</v>
      </c>
    </row>
    <row r="139" spans="21:30" x14ac:dyDescent="0.2">
      <c r="U139" s="323">
        <v>137</v>
      </c>
      <c r="V139" s="323" t="s">
        <v>2008</v>
      </c>
      <c r="W139" s="293" t="s">
        <v>2009</v>
      </c>
      <c r="X139" s="293" t="str">
        <f t="shared" si="5"/>
        <v>047450 - Szektorhoz nem köthető komplex gazdaságfejlesztési projektek támogatása</v>
      </c>
      <c r="Z139" s="323">
        <v>137</v>
      </c>
      <c r="AA139" s="293" t="s">
        <v>263</v>
      </c>
      <c r="AB139" s="293" t="s">
        <v>2010</v>
      </c>
      <c r="AC139" s="293" t="str">
        <f t="shared" si="6"/>
        <v>094031 -  Közvetített szolgáltatások ellenértéke előirányzata</v>
      </c>
      <c r="AD139" s="293" t="s">
        <v>1272</v>
      </c>
    </row>
    <row r="140" spans="21:30" x14ac:dyDescent="0.2">
      <c r="U140" s="323">
        <v>138</v>
      </c>
      <c r="V140" s="323" t="s">
        <v>2011</v>
      </c>
      <c r="W140" s="293" t="s">
        <v>2012</v>
      </c>
      <c r="X140" s="293" t="str">
        <f t="shared" si="5"/>
        <v>047460 - Kis- és középvállalkozások működési és fejlesztési támogatásai</v>
      </c>
      <c r="Z140" s="323">
        <v>138</v>
      </c>
      <c r="AA140" s="293" t="s">
        <v>264</v>
      </c>
      <c r="AB140" s="293" t="s">
        <v>2013</v>
      </c>
      <c r="AC140" s="293" t="str">
        <f t="shared" si="6"/>
        <v>094041 -  Tulajdonosi bevételek előirányzata</v>
      </c>
      <c r="AD140" s="293" t="s">
        <v>1359</v>
      </c>
    </row>
    <row r="141" spans="21:30" x14ac:dyDescent="0.2">
      <c r="U141" s="323">
        <v>139</v>
      </c>
      <c r="V141" s="323" t="s">
        <v>2014</v>
      </c>
      <c r="W141" s="293" t="s">
        <v>2015</v>
      </c>
      <c r="X141" s="293" t="str">
        <f t="shared" si="5"/>
        <v>047470 - Működőtőke-beruházások komplex támogatásai</v>
      </c>
      <c r="Z141" s="323">
        <v>139</v>
      </c>
      <c r="AA141" s="293" t="s">
        <v>265</v>
      </c>
      <c r="AB141" s="293" t="s">
        <v>2016</v>
      </c>
      <c r="AC141" s="293" t="str">
        <f t="shared" si="6"/>
        <v>094051 -  Ellátási díjak előirányzata</v>
      </c>
      <c r="AD141" s="293" t="s">
        <v>1261</v>
      </c>
    </row>
    <row r="142" spans="21:30" x14ac:dyDescent="0.2">
      <c r="U142" s="323">
        <v>140</v>
      </c>
      <c r="V142" s="323" t="s">
        <v>2017</v>
      </c>
      <c r="W142" s="293" t="s">
        <v>2018</v>
      </c>
      <c r="X142" s="293" t="str">
        <f t="shared" si="5"/>
        <v>048010 - Gazdasági ügyekkel kapcsolatos alkalmazott kutatás és fejlesztés</v>
      </c>
      <c r="Z142" s="323">
        <v>140</v>
      </c>
      <c r="AA142" s="293" t="s">
        <v>266</v>
      </c>
      <c r="AB142" s="293" t="s">
        <v>2019</v>
      </c>
      <c r="AC142" s="293" t="str">
        <f t="shared" si="6"/>
        <v>094061 -  Kiszámlázott általános forgalmi adó előirányzata</v>
      </c>
      <c r="AD142" s="293" t="s">
        <v>1273</v>
      </c>
    </row>
    <row r="143" spans="21:30" x14ac:dyDescent="0.2">
      <c r="U143" s="323">
        <v>141</v>
      </c>
      <c r="V143" s="323" t="s">
        <v>2020</v>
      </c>
      <c r="W143" s="293" t="s">
        <v>2021</v>
      </c>
      <c r="X143" s="293" t="str">
        <f t="shared" si="5"/>
        <v>049010 - Máshova nem sorolt gazdasági ügyek</v>
      </c>
      <c r="Z143" s="323">
        <v>141</v>
      </c>
      <c r="AA143" s="293" t="s">
        <v>267</v>
      </c>
      <c r="AB143" s="293" t="s">
        <v>2022</v>
      </c>
      <c r="AC143" s="293" t="str">
        <f t="shared" si="6"/>
        <v>094071 -  Általános forgalmi adó visszatérítése előirányzata</v>
      </c>
      <c r="AD143" s="293" t="s">
        <v>1363</v>
      </c>
    </row>
    <row r="144" spans="21:30" x14ac:dyDescent="0.2">
      <c r="U144" s="323">
        <v>142</v>
      </c>
      <c r="V144" s="323" t="s">
        <v>2023</v>
      </c>
      <c r="W144" s="293" t="s">
        <v>2024</v>
      </c>
      <c r="X144" s="293" t="str">
        <f t="shared" si="5"/>
        <v>049020 - K+F tevékenységekhez kapcsolódó innováció</v>
      </c>
      <c r="Z144" s="323">
        <v>142</v>
      </c>
      <c r="AA144" s="293" t="s">
        <v>268</v>
      </c>
      <c r="AB144" s="293" t="s">
        <v>2025</v>
      </c>
      <c r="AC144" s="293" t="str">
        <f t="shared" si="6"/>
        <v>0940811 -  Befektetett pénzügyi eszközökből származó bevételek előirányzata</v>
      </c>
      <c r="AD144" s="293" t="s">
        <v>1306</v>
      </c>
    </row>
    <row r="145" spans="21:30" x14ac:dyDescent="0.2">
      <c r="U145" s="323">
        <v>143</v>
      </c>
      <c r="V145" s="323" t="s">
        <v>2026</v>
      </c>
      <c r="W145" s="293" t="s">
        <v>2027</v>
      </c>
      <c r="X145" s="293" t="str">
        <f t="shared" si="5"/>
        <v>049030 - Kéményseprő-ipari tevékenység</v>
      </c>
      <c r="Z145" s="323">
        <v>143</v>
      </c>
      <c r="AA145" s="293" t="s">
        <v>269</v>
      </c>
      <c r="AB145" s="293" t="s">
        <v>2028</v>
      </c>
      <c r="AC145" s="293" t="str">
        <f t="shared" si="6"/>
        <v>0940821 -  Egyéb kapott (járó) kamatok és kamatjellegű bevételek előirányzata</v>
      </c>
      <c r="AD145" s="293" t="s">
        <v>1295</v>
      </c>
    </row>
    <row r="146" spans="21:30" x14ac:dyDescent="0.2">
      <c r="U146" s="323">
        <v>144</v>
      </c>
      <c r="V146" s="323" t="s">
        <v>2029</v>
      </c>
      <c r="W146" s="293" t="s">
        <v>2030</v>
      </c>
      <c r="X146" s="293" t="str">
        <f t="shared" si="5"/>
        <v>051010 - Hulladékgazdálkodás igazgatása</v>
      </c>
      <c r="Z146" s="323">
        <v>144</v>
      </c>
      <c r="AA146" s="293" t="s">
        <v>270</v>
      </c>
      <c r="AB146" s="293" t="s">
        <v>2031</v>
      </c>
      <c r="AC146" s="293" t="str">
        <f t="shared" si="6"/>
        <v>0940911 -  Részesedésekből származó pénzügyi műveletek bevételei előirányzata</v>
      </c>
      <c r="AD146" s="293" t="s">
        <v>1367</v>
      </c>
    </row>
    <row r="147" spans="21:30" x14ac:dyDescent="0.2">
      <c r="U147" s="323">
        <v>145</v>
      </c>
      <c r="V147" s="323" t="s">
        <v>2032</v>
      </c>
      <c r="W147" s="293" t="s">
        <v>2033</v>
      </c>
      <c r="X147" s="293" t="str">
        <f t="shared" si="5"/>
        <v>051020 - Nem veszélyes (települési) hulladék összetevőinek válogatása, elkülönített begyűjtése, szállítása, átrakása</v>
      </c>
      <c r="Z147" s="323">
        <v>145</v>
      </c>
      <c r="AA147" s="293" t="s">
        <v>271</v>
      </c>
      <c r="AB147" s="293" t="s">
        <v>2034</v>
      </c>
      <c r="AC147" s="293" t="str">
        <f t="shared" si="6"/>
        <v>0940921 -  Más egyéb pénzügyi műveletek bevételei előirányzata</v>
      </c>
      <c r="AD147" s="293" t="s">
        <v>1369</v>
      </c>
    </row>
    <row r="148" spans="21:30" x14ac:dyDescent="0.2">
      <c r="U148" s="323">
        <v>146</v>
      </c>
      <c r="V148" s="323" t="s">
        <v>2035</v>
      </c>
      <c r="W148" s="293" t="s">
        <v>2036</v>
      </c>
      <c r="X148" s="293" t="str">
        <f t="shared" si="5"/>
        <v>051030 - Nem veszélyes (települési) hulladék vegyes (ömlesztett) begyűjtése, szállítása, átrakása</v>
      </c>
      <c r="Z148" s="323">
        <v>146</v>
      </c>
      <c r="AA148" s="293" t="s">
        <v>272</v>
      </c>
      <c r="AB148" s="293" t="s">
        <v>2037</v>
      </c>
      <c r="AC148" s="293" t="str">
        <f t="shared" si="6"/>
        <v>094101 -  Biztosító által fizetett kártérítés előirányzata</v>
      </c>
      <c r="AD148" s="293" t="s">
        <v>1296</v>
      </c>
    </row>
    <row r="149" spans="21:30" x14ac:dyDescent="0.2">
      <c r="U149" s="323">
        <v>147</v>
      </c>
      <c r="V149" s="323" t="s">
        <v>2038</v>
      </c>
      <c r="W149" s="293" t="s">
        <v>2039</v>
      </c>
      <c r="X149" s="293" t="str">
        <f t="shared" si="5"/>
        <v>051040 - Nem veszélyes hulladék kezelése, ártalmatlanítása</v>
      </c>
      <c r="Z149" s="323">
        <v>147</v>
      </c>
      <c r="AA149" s="293" t="s">
        <v>273</v>
      </c>
      <c r="AB149" s="293" t="s">
        <v>2040</v>
      </c>
      <c r="AC149" s="293" t="str">
        <f t="shared" si="6"/>
        <v>094111 -  Egyéb működési bevételek előirányzata</v>
      </c>
      <c r="AD149" s="293" t="s">
        <v>1297</v>
      </c>
    </row>
    <row r="150" spans="21:30" x14ac:dyDescent="0.2">
      <c r="U150" s="323">
        <v>148</v>
      </c>
      <c r="V150" s="323" t="s">
        <v>2041</v>
      </c>
      <c r="W150" s="293" t="s">
        <v>2042</v>
      </c>
      <c r="X150" s="293" t="str">
        <f t="shared" si="5"/>
        <v>051050 - Veszélyes hulladék begyűjtése, szállítása, átrakása</v>
      </c>
      <c r="Z150" s="323">
        <v>148</v>
      </c>
      <c r="AA150" s="293" t="s">
        <v>274</v>
      </c>
      <c r="AB150" s="293" t="s">
        <v>2043</v>
      </c>
      <c r="AC150" s="293" t="str">
        <f t="shared" si="6"/>
        <v>09511 -  Immateriális javak értékesítése előirányzata</v>
      </c>
      <c r="AD150" s="293" t="s">
        <v>1373</v>
      </c>
    </row>
    <row r="151" spans="21:30" x14ac:dyDescent="0.2">
      <c r="U151" s="323">
        <v>149</v>
      </c>
      <c r="V151" s="323" t="s">
        <v>2044</v>
      </c>
      <c r="W151" s="293" t="s">
        <v>2045</v>
      </c>
      <c r="X151" s="293" t="str">
        <f t="shared" si="5"/>
        <v>051060 - Veszélyes hulladék kezelése, ártalmatlanítása</v>
      </c>
      <c r="Z151" s="323">
        <v>149</v>
      </c>
      <c r="AA151" s="293" t="s">
        <v>275</v>
      </c>
      <c r="AB151" s="293" t="s">
        <v>2046</v>
      </c>
      <c r="AC151" s="293" t="str">
        <f t="shared" si="6"/>
        <v>09521 -  Ingatlanok értékesítése előirányzata</v>
      </c>
      <c r="AD151" s="293" t="s">
        <v>1294</v>
      </c>
    </row>
    <row r="152" spans="21:30" x14ac:dyDescent="0.2">
      <c r="U152" s="323">
        <v>150</v>
      </c>
      <c r="V152" s="323" t="s">
        <v>2047</v>
      </c>
      <c r="W152" s="293" t="s">
        <v>2048</v>
      </c>
      <c r="X152" s="293" t="str">
        <f t="shared" si="5"/>
        <v>051070 - Használt eszköz bontása</v>
      </c>
      <c r="Z152" s="323">
        <v>150</v>
      </c>
      <c r="AA152" s="293" t="s">
        <v>276</v>
      </c>
      <c r="AB152" s="293" t="s">
        <v>2049</v>
      </c>
      <c r="AC152" s="293" t="str">
        <f t="shared" si="6"/>
        <v>09531 -  Egyéb tárgyi eszközök értékesítése előirányzata</v>
      </c>
      <c r="AD152" s="293" t="s">
        <v>1376</v>
      </c>
    </row>
    <row r="153" spans="21:30" x14ac:dyDescent="0.2">
      <c r="U153" s="323">
        <v>151</v>
      </c>
      <c r="V153" s="323" t="s">
        <v>2050</v>
      </c>
      <c r="W153" s="293" t="s">
        <v>2051</v>
      </c>
      <c r="X153" s="293" t="str">
        <f t="shared" si="5"/>
        <v>051080 - Hulladék újrahasznosítása</v>
      </c>
      <c r="Z153" s="323">
        <v>151</v>
      </c>
      <c r="AA153" s="293" t="s">
        <v>277</v>
      </c>
      <c r="AB153" s="293" t="s">
        <v>2052</v>
      </c>
      <c r="AC153" s="293" t="str">
        <f t="shared" si="6"/>
        <v>09541 -  Részesedések értékesítése előirányzata</v>
      </c>
      <c r="AD153" s="293" t="s">
        <v>1378</v>
      </c>
    </row>
    <row r="154" spans="21:30" x14ac:dyDescent="0.2">
      <c r="U154" s="323">
        <v>152</v>
      </c>
      <c r="V154" s="323" t="s">
        <v>2053</v>
      </c>
      <c r="W154" s="293" t="s">
        <v>2054</v>
      </c>
      <c r="X154" s="293" t="str">
        <f t="shared" si="5"/>
        <v>052010 - Szennyvízgazdálkodás igazgatása</v>
      </c>
      <c r="Z154" s="323">
        <v>152</v>
      </c>
      <c r="AA154" s="293" t="s">
        <v>278</v>
      </c>
      <c r="AB154" s="293" t="s">
        <v>2055</v>
      </c>
      <c r="AC154" s="293" t="str">
        <f t="shared" si="6"/>
        <v>09551 -  Részesedések megszűnéséhez kapcsolódó bevételek előirányzata</v>
      </c>
      <c r="AD154" s="293" t="s">
        <v>1380</v>
      </c>
    </row>
    <row r="155" spans="21:30" x14ac:dyDescent="0.2">
      <c r="U155" s="323">
        <v>153</v>
      </c>
      <c r="V155" s="323" t="s">
        <v>2056</v>
      </c>
      <c r="W155" s="293" t="s">
        <v>2057</v>
      </c>
      <c r="X155" s="293" t="str">
        <f t="shared" si="5"/>
        <v>052020 - Szennyvíz gyűjtése, tisztítása, elhelyezése</v>
      </c>
      <c r="Z155" s="323">
        <v>153</v>
      </c>
      <c r="AA155" s="293" t="s">
        <v>279</v>
      </c>
      <c r="AB155" s="293" t="s">
        <v>2058</v>
      </c>
      <c r="AC155" s="293" t="str">
        <f t="shared" si="6"/>
        <v>09611 -  Működési célú garancia- és kezességvállalásból származó megtérülések államháztartáson kívülről előirányzata</v>
      </c>
      <c r="AD155" s="293" t="s">
        <v>1382</v>
      </c>
    </row>
    <row r="156" spans="21:30" x14ac:dyDescent="0.2">
      <c r="U156" s="323">
        <v>154</v>
      </c>
      <c r="V156" s="323" t="s">
        <v>2059</v>
      </c>
      <c r="W156" s="293" t="s">
        <v>2060</v>
      </c>
      <c r="X156" s="293" t="str">
        <f t="shared" si="5"/>
        <v>052030 - Szennyvíziszap kezelése, ártalmatlanítása</v>
      </c>
      <c r="Z156" s="323">
        <v>154</v>
      </c>
      <c r="AA156" s="293" t="s">
        <v>280</v>
      </c>
      <c r="AB156" s="293" t="s">
        <v>2061</v>
      </c>
      <c r="AC156" s="293" t="str">
        <f t="shared" si="6"/>
        <v>09621 -  Működési célú visszatérítendő támogatások, kölcsönök visszatérülése az Európai Uniótól előirányzata</v>
      </c>
      <c r="AD156" s="293" t="s">
        <v>1384</v>
      </c>
    </row>
    <row r="157" spans="21:30" x14ac:dyDescent="0.2">
      <c r="U157" s="323">
        <v>155</v>
      </c>
      <c r="V157" s="323" t="s">
        <v>2062</v>
      </c>
      <c r="W157" s="293" t="s">
        <v>2063</v>
      </c>
      <c r="X157" s="293" t="str">
        <f t="shared" si="5"/>
        <v>052080 - Szennyvízcsatorna építése, fenntartása, üzemeltetése</v>
      </c>
      <c r="Z157" s="323">
        <v>155</v>
      </c>
      <c r="AA157" s="293" t="s">
        <v>281</v>
      </c>
      <c r="AB157" s="293" t="s">
        <v>2064</v>
      </c>
      <c r="AC157" s="293" t="str">
        <f t="shared" si="6"/>
        <v>09631 -  Működési célú visszatérítendő támogatások, kölcsönök visszatérülése kormányoktól és más nemzetközi szervezetektől előirányzata</v>
      </c>
      <c r="AD157" s="293" t="s">
        <v>1386</v>
      </c>
    </row>
    <row r="158" spans="21:30" x14ac:dyDescent="0.2">
      <c r="U158" s="323">
        <v>156</v>
      </c>
      <c r="V158" s="323" t="s">
        <v>2065</v>
      </c>
      <c r="W158" s="293" t="s">
        <v>2066</v>
      </c>
      <c r="X158" s="293" t="str">
        <f t="shared" si="5"/>
        <v>053010 - Környezetszennyezés csökkentésének igazgatása</v>
      </c>
      <c r="Z158" s="323">
        <v>156</v>
      </c>
      <c r="AA158" s="293" t="s">
        <v>282</v>
      </c>
      <c r="AB158" s="293" t="s">
        <v>2067</v>
      </c>
      <c r="AC158" s="293" t="str">
        <f t="shared" si="6"/>
        <v>09641 -  Működési célú visszatérítendő támogatások, kölcsönök visszatérülése államháztartáson kívülről előirányzata</v>
      </c>
      <c r="AD158" s="293" t="s">
        <v>1388</v>
      </c>
    </row>
    <row r="159" spans="21:30" x14ac:dyDescent="0.2">
      <c r="U159" s="323">
        <v>157</v>
      </c>
      <c r="V159" s="323" t="s">
        <v>2068</v>
      </c>
      <c r="W159" s="293" t="s">
        <v>2069</v>
      </c>
      <c r="X159" s="293" t="str">
        <f t="shared" si="5"/>
        <v>053020 - Szennyeződésmentesítési tevékenységek</v>
      </c>
      <c r="Z159" s="323">
        <v>157</v>
      </c>
      <c r="AA159" s="293" t="s">
        <v>283</v>
      </c>
      <c r="AB159" s="293" t="s">
        <v>1390</v>
      </c>
      <c r="AC159" s="293" t="str">
        <f t="shared" si="6"/>
        <v>09651 -  Egyéb működési célú átvett pénzeszközök előirányzata</v>
      </c>
      <c r="AD159" s="293" t="s">
        <v>1310</v>
      </c>
    </row>
    <row r="160" spans="21:30" x14ac:dyDescent="0.2">
      <c r="U160" s="323">
        <v>158</v>
      </c>
      <c r="V160" s="323" t="s">
        <v>2070</v>
      </c>
      <c r="W160" s="293" t="s">
        <v>2071</v>
      </c>
      <c r="X160" s="293" t="str">
        <f t="shared" si="5"/>
        <v>054010 - Természet- és tájvédelem igazgatása és támogatása</v>
      </c>
      <c r="Z160" s="323">
        <v>158</v>
      </c>
      <c r="AA160" s="293" t="s">
        <v>284</v>
      </c>
      <c r="AB160" s="293" t="s">
        <v>2072</v>
      </c>
      <c r="AC160" s="293" t="str">
        <f t="shared" si="6"/>
        <v>09711 -  Felhalmozási célú garancia- és kezességvállalásból származó megtérülések államháztartáson kívülről előirányzata</v>
      </c>
      <c r="AD160" s="293" t="s">
        <v>1391</v>
      </c>
    </row>
    <row r="161" spans="21:30" x14ac:dyDescent="0.2">
      <c r="U161" s="323">
        <v>159</v>
      </c>
      <c r="V161" s="323" t="s">
        <v>2073</v>
      </c>
      <c r="W161" s="293" t="s">
        <v>2074</v>
      </c>
      <c r="X161" s="293" t="str">
        <f t="shared" si="5"/>
        <v>054020 - Védett természeti területek és természeti értékek bemutatása, megőrzése és fenntartása</v>
      </c>
      <c r="Z161" s="323">
        <v>159</v>
      </c>
      <c r="AA161" s="293" t="s">
        <v>285</v>
      </c>
      <c r="AB161" s="293" t="s">
        <v>2075</v>
      </c>
      <c r="AC161" s="293" t="str">
        <f t="shared" si="6"/>
        <v>09721 -  Felhalmozási célú visszatérítendő támogatások, kölcsönök visszatérülése az Európai Uniótól előirányzata</v>
      </c>
      <c r="AD161" s="293" t="s">
        <v>1393</v>
      </c>
    </row>
    <row r="162" spans="21:30" x14ac:dyDescent="0.2">
      <c r="U162" s="323">
        <v>160</v>
      </c>
      <c r="V162" s="323" t="s">
        <v>2076</v>
      </c>
      <c r="W162" s="293" t="s">
        <v>2077</v>
      </c>
      <c r="X162" s="293" t="str">
        <f t="shared" si="5"/>
        <v>055010 - Környezetvédelemmel kapcsolatos alkalmazott kutatás és fejlesztés</v>
      </c>
      <c r="Z162" s="323">
        <v>160</v>
      </c>
      <c r="AA162" s="293" t="s">
        <v>286</v>
      </c>
      <c r="AB162" s="293" t="s">
        <v>2078</v>
      </c>
      <c r="AC162" s="293" t="str">
        <f t="shared" si="6"/>
        <v>09731 -  Felhalmozási célú visszatérítendő támogatások, kölcsönök visszatérülése kormányoktól és más nemzetközi szervezetektől előirányzata</v>
      </c>
      <c r="AD162" s="293" t="s">
        <v>1395</v>
      </c>
    </row>
    <row r="163" spans="21:30" x14ac:dyDescent="0.2">
      <c r="U163" s="323">
        <v>161</v>
      </c>
      <c r="V163" s="323" t="s">
        <v>2079</v>
      </c>
      <c r="W163" s="293" t="s">
        <v>2080</v>
      </c>
      <c r="X163" s="293" t="str">
        <f t="shared" si="5"/>
        <v>056010 - Komplex környezetvédelmi programok támogatása</v>
      </c>
      <c r="Z163" s="323">
        <v>161</v>
      </c>
      <c r="AA163" s="293" t="s">
        <v>287</v>
      </c>
      <c r="AB163" s="293" t="s">
        <v>2081</v>
      </c>
      <c r="AC163" s="293" t="str">
        <f t="shared" si="6"/>
        <v>09741 -  Felhalmozási célú visszatérítendő támogatások, kölcsönök visszatérülése államháztartáson kívülről előirányzata</v>
      </c>
      <c r="AD163" s="293" t="s">
        <v>1397</v>
      </c>
    </row>
    <row r="164" spans="21:30" x14ac:dyDescent="0.2">
      <c r="U164" s="323">
        <v>162</v>
      </c>
      <c r="V164" s="323" t="s">
        <v>2082</v>
      </c>
      <c r="W164" s="293" t="s">
        <v>2083</v>
      </c>
      <c r="X164" s="293" t="str">
        <f t="shared" si="5"/>
        <v>061010 - Lakáspolitika igazgatása</v>
      </c>
      <c r="Z164" s="323">
        <v>162</v>
      </c>
      <c r="AA164" s="293" t="s">
        <v>288</v>
      </c>
      <c r="AB164" s="293" t="s">
        <v>1400</v>
      </c>
      <c r="AC164" s="293" t="str">
        <f t="shared" si="6"/>
        <v>09751 -  Egyéb felhalmozási célú átvett pénzeszközök előirányzata</v>
      </c>
      <c r="AD164" s="293" t="s">
        <v>1399</v>
      </c>
    </row>
    <row r="165" spans="21:30" x14ac:dyDescent="0.2">
      <c r="U165" s="323">
        <v>163</v>
      </c>
      <c r="V165" s="323" t="s">
        <v>2084</v>
      </c>
      <c r="W165" s="293" t="s">
        <v>2085</v>
      </c>
      <c r="X165" s="293" t="str">
        <f t="shared" si="5"/>
        <v>061020 - Lakóépület építése</v>
      </c>
      <c r="Z165" s="323">
        <v>163</v>
      </c>
      <c r="AA165" s="293" t="s">
        <v>289</v>
      </c>
      <c r="AB165" s="293" t="s">
        <v>2086</v>
      </c>
      <c r="AC165" s="293" t="str">
        <f t="shared" si="6"/>
        <v>0981111 -  Hosszú lejáratú hitelek, kölcsönök felvétele pénzügyi vállalkozástól előirányzata</v>
      </c>
      <c r="AD165" s="293" t="s">
        <v>1404</v>
      </c>
    </row>
    <row r="166" spans="21:30" x14ac:dyDescent="0.2">
      <c r="U166" s="323">
        <v>164</v>
      </c>
      <c r="V166" s="323" t="s">
        <v>2087</v>
      </c>
      <c r="W166" s="293" t="s">
        <v>2088</v>
      </c>
      <c r="X166" s="293" t="str">
        <f t="shared" si="5"/>
        <v>061030 - Lakáshoz jutást segítő támogatások</v>
      </c>
      <c r="Z166" s="323">
        <v>164</v>
      </c>
      <c r="AA166" s="293" t="s">
        <v>290</v>
      </c>
      <c r="AB166" s="293" t="s">
        <v>2089</v>
      </c>
      <c r="AC166" s="293" t="str">
        <f t="shared" si="6"/>
        <v>0981121 -  Likviditási célú hitelek, kölcsönök felvétele pénzügyi vállalkozástól előirányzata</v>
      </c>
      <c r="AD166" s="293" t="s">
        <v>1406</v>
      </c>
    </row>
    <row r="167" spans="21:30" x14ac:dyDescent="0.2">
      <c r="U167" s="323">
        <v>165</v>
      </c>
      <c r="V167" s="323" t="s">
        <v>2090</v>
      </c>
      <c r="W167" s="293" t="s">
        <v>2091</v>
      </c>
      <c r="X167" s="293" t="str">
        <f t="shared" si="5"/>
        <v>061040 - Telepszerű lakókörnyezetek felszámolását célzó programok</v>
      </c>
      <c r="Z167" s="323">
        <v>165</v>
      </c>
      <c r="AA167" s="293" t="s">
        <v>291</v>
      </c>
      <c r="AB167" s="293" t="s">
        <v>2092</v>
      </c>
      <c r="AC167" s="293" t="str">
        <f t="shared" si="6"/>
        <v>0981131 -  Rövid lejáratú hitelek, kölcsönök felvétele pénzügyi vállalkozástól előirányzata</v>
      </c>
      <c r="AD167" s="293" t="s">
        <v>1408</v>
      </c>
    </row>
    <row r="168" spans="21:30" x14ac:dyDescent="0.2">
      <c r="U168" s="323">
        <v>166</v>
      </c>
      <c r="V168" s="323" t="s">
        <v>2093</v>
      </c>
      <c r="W168" s="293" t="s">
        <v>2094</v>
      </c>
      <c r="X168" s="293" t="str">
        <f t="shared" si="5"/>
        <v>062010 - Településfejlesztés igazgatása</v>
      </c>
      <c r="Z168" s="323">
        <v>166</v>
      </c>
      <c r="AA168" s="293" t="s">
        <v>292</v>
      </c>
      <c r="AB168" s="293" t="s">
        <v>2095</v>
      </c>
      <c r="AC168" s="293" t="str">
        <f t="shared" si="6"/>
        <v>0981211 -  Forgatási célú belföldi értékpapírok beváltása, értékesítése előirányzata</v>
      </c>
      <c r="AD168" s="293" t="s">
        <v>1411</v>
      </c>
    </row>
    <row r="169" spans="21:30" x14ac:dyDescent="0.2">
      <c r="U169" s="323">
        <v>167</v>
      </c>
      <c r="V169" s="323" t="s">
        <v>2096</v>
      </c>
      <c r="W169" s="293" t="s">
        <v>2097</v>
      </c>
      <c r="X169" s="293" t="str">
        <f t="shared" si="5"/>
        <v>062020 - Településfejlesztési projektek és támogatásuk</v>
      </c>
      <c r="Z169" s="323">
        <v>167</v>
      </c>
      <c r="AA169" s="293" t="s">
        <v>293</v>
      </c>
      <c r="AB169" s="293" t="s">
        <v>2098</v>
      </c>
      <c r="AC169" s="293" t="str">
        <f t="shared" si="6"/>
        <v>0981221 -  Éven belüli lejáratú belföldi értékpapírok kibocsátása előirányzata</v>
      </c>
      <c r="AD169" s="293" t="s">
        <v>1413</v>
      </c>
    </row>
    <row r="170" spans="21:30" x14ac:dyDescent="0.2">
      <c r="U170" s="323">
        <v>168</v>
      </c>
      <c r="V170" s="323" t="s">
        <v>2099</v>
      </c>
      <c r="W170" s="293" t="s">
        <v>2100</v>
      </c>
      <c r="X170" s="293" t="str">
        <f t="shared" si="5"/>
        <v>063010 - Vízügy igazgatása</v>
      </c>
      <c r="Z170" s="323">
        <v>168</v>
      </c>
      <c r="AA170" s="293" t="s">
        <v>294</v>
      </c>
      <c r="AB170" s="293" t="s">
        <v>2101</v>
      </c>
      <c r="AC170" s="293" t="str">
        <f t="shared" si="6"/>
        <v>0981231 -  Befektetési célú belföldi értékpapírok beváltása, értékesítése előirányzata</v>
      </c>
      <c r="AD170" s="293" t="s">
        <v>1313</v>
      </c>
    </row>
    <row r="171" spans="21:30" x14ac:dyDescent="0.2">
      <c r="U171" s="323">
        <v>169</v>
      </c>
      <c r="V171" s="323" t="s">
        <v>2102</v>
      </c>
      <c r="W171" s="293" t="s">
        <v>2103</v>
      </c>
      <c r="X171" s="293" t="str">
        <f t="shared" si="5"/>
        <v>063020 - Víztermelés, -kezelés, -ellátás</v>
      </c>
      <c r="Z171" s="323">
        <v>169</v>
      </c>
      <c r="AA171" s="293" t="s">
        <v>295</v>
      </c>
      <c r="AB171" s="293" t="s">
        <v>2104</v>
      </c>
      <c r="AC171" s="293" t="str">
        <f t="shared" si="6"/>
        <v>0981241 -  Éven túli lejáratú belföldi értékpapírok kibocsátása előirányzata</v>
      </c>
      <c r="AD171" s="293" t="s">
        <v>1416</v>
      </c>
    </row>
    <row r="172" spans="21:30" x14ac:dyDescent="0.2">
      <c r="U172" s="323">
        <v>170</v>
      </c>
      <c r="V172" s="323" t="s">
        <v>2105</v>
      </c>
      <c r="W172" s="293" t="s">
        <v>2106</v>
      </c>
      <c r="X172" s="293" t="str">
        <f t="shared" si="5"/>
        <v>063070 - Vízrajzi mérés</v>
      </c>
      <c r="Z172" s="323">
        <v>170</v>
      </c>
      <c r="AA172" s="293" t="s">
        <v>296</v>
      </c>
      <c r="AB172" s="293" t="s">
        <v>2107</v>
      </c>
      <c r="AC172" s="293" t="str">
        <f t="shared" si="6"/>
        <v>0981311 -  Előző év költségvetési maradványának igénybevétele előirányzata</v>
      </c>
      <c r="AD172" s="293" t="s">
        <v>1274</v>
      </c>
    </row>
    <row r="173" spans="21:30" x14ac:dyDescent="0.2">
      <c r="U173" s="323">
        <v>171</v>
      </c>
      <c r="V173" s="323" t="s">
        <v>2108</v>
      </c>
      <c r="W173" s="293" t="s">
        <v>2109</v>
      </c>
      <c r="X173" s="293" t="str">
        <f t="shared" si="5"/>
        <v>063080 - Vízellátással kapcsolatos közmű építése, fenntartása, üzemeltetése</v>
      </c>
      <c r="Z173" s="323">
        <v>171</v>
      </c>
      <c r="AA173" s="293" t="s">
        <v>297</v>
      </c>
      <c r="AB173" s="293" t="s">
        <v>2110</v>
      </c>
      <c r="AC173" s="293" t="str">
        <f t="shared" si="6"/>
        <v>0981321 -  Előző év vállalkozási maradványának igénybevétele előirányzata</v>
      </c>
      <c r="AD173" s="293" t="s">
        <v>1420</v>
      </c>
    </row>
    <row r="174" spans="21:30" x14ac:dyDescent="0.2">
      <c r="U174" s="323">
        <v>172</v>
      </c>
      <c r="V174" s="323" t="s">
        <v>2111</v>
      </c>
      <c r="W174" s="293" t="s">
        <v>2112</v>
      </c>
      <c r="X174" s="293" t="str">
        <f t="shared" si="5"/>
        <v>064010 - Közvilágítás</v>
      </c>
      <c r="Z174" s="323">
        <v>172</v>
      </c>
      <c r="AA174" s="293" t="s">
        <v>298</v>
      </c>
      <c r="AB174" s="293" t="s">
        <v>1422</v>
      </c>
      <c r="AC174" s="293" t="str">
        <f t="shared" si="6"/>
        <v>098141 -  Államháztartáson belüli megelőlegezések előirányzata</v>
      </c>
      <c r="AD174" s="293" t="s">
        <v>1301</v>
      </c>
    </row>
    <row r="175" spans="21:30" x14ac:dyDescent="0.2">
      <c r="U175" s="323">
        <v>173</v>
      </c>
      <c r="V175" s="323" t="s">
        <v>2113</v>
      </c>
      <c r="W175" s="293" t="s">
        <v>2114</v>
      </c>
      <c r="X175" s="293" t="str">
        <f t="shared" si="5"/>
        <v>065010 - Lakás- és közműellátással, településfejlesztéssel kapcsolatos alkalmazott kutatás és fejlesztés</v>
      </c>
      <c r="Z175" s="323">
        <v>173</v>
      </c>
      <c r="AA175" s="293" t="s">
        <v>299</v>
      </c>
      <c r="AB175" s="293" t="s">
        <v>1424</v>
      </c>
      <c r="AC175" s="293" t="str">
        <f t="shared" si="6"/>
        <v>098151 -  Államháztartáson belüli megelőlegezések törlesztése előirányzata</v>
      </c>
      <c r="AD175" s="293" t="s">
        <v>1423</v>
      </c>
    </row>
    <row r="176" spans="21:30" x14ac:dyDescent="0.2">
      <c r="U176" s="323">
        <v>174</v>
      </c>
      <c r="V176" s="323" t="s">
        <v>2115</v>
      </c>
      <c r="W176" s="293" t="s">
        <v>2116</v>
      </c>
      <c r="X176" s="293" t="str">
        <f t="shared" si="5"/>
        <v>066010 - Zöldterület-kezelés</v>
      </c>
      <c r="Z176" s="323">
        <v>174</v>
      </c>
      <c r="AA176" s="293" t="s">
        <v>300</v>
      </c>
      <c r="AB176" s="293" t="s">
        <v>2117</v>
      </c>
      <c r="AC176" s="293" t="str">
        <f t="shared" si="6"/>
        <v>098161 -  Központi, irányító szervi támogatás előirányzata</v>
      </c>
      <c r="AD176" s="293" t="s">
        <v>1275</v>
      </c>
    </row>
    <row r="177" spans="21:30" x14ac:dyDescent="0.2">
      <c r="U177" s="323">
        <v>175</v>
      </c>
      <c r="V177" s="323" t="s">
        <v>306</v>
      </c>
      <c r="W177" s="293" t="s">
        <v>2118</v>
      </c>
      <c r="X177" s="293" t="str">
        <f t="shared" si="5"/>
        <v>066020 - Város-, községgazdálkodási egyéb szolgáltatások</v>
      </c>
      <c r="Z177" s="323">
        <v>175</v>
      </c>
      <c r="AA177" s="293" t="s">
        <v>301</v>
      </c>
      <c r="AB177" s="293" t="s">
        <v>1426</v>
      </c>
      <c r="AC177" s="293" t="str">
        <f t="shared" si="6"/>
        <v>098171 -  Lekötött bankbetétek megszüntetése előirányzata</v>
      </c>
      <c r="AD177" s="293" t="s">
        <v>1425</v>
      </c>
    </row>
    <row r="178" spans="21:30" x14ac:dyDescent="0.2">
      <c r="U178" s="323">
        <v>176</v>
      </c>
      <c r="V178" s="323" t="s">
        <v>2119</v>
      </c>
      <c r="W178" s="293" t="s">
        <v>2120</v>
      </c>
      <c r="X178" s="293" t="str">
        <f t="shared" si="5"/>
        <v>071110 - Gyógyszer-kiskereskedelem</v>
      </c>
      <c r="Z178" s="323">
        <v>176</v>
      </c>
      <c r="AA178" s="293" t="s">
        <v>302</v>
      </c>
      <c r="AB178" s="293" t="s">
        <v>2121</v>
      </c>
      <c r="AC178" s="293" t="str">
        <f t="shared" si="6"/>
        <v>098181 -  Központi költségvetés sajátos finanszírozási bevételei előirányzata</v>
      </c>
      <c r="AD178" s="293" t="s">
        <v>2122</v>
      </c>
    </row>
    <row r="179" spans="21:30" x14ac:dyDescent="0.2">
      <c r="U179" s="323">
        <v>177</v>
      </c>
      <c r="V179" s="323" t="s">
        <v>2123</v>
      </c>
      <c r="W179" s="293" t="s">
        <v>2124</v>
      </c>
      <c r="X179" s="293" t="str">
        <f t="shared" si="5"/>
        <v>071120 - Gyógyszertámogatás finanszírozása</v>
      </c>
      <c r="Z179" s="323">
        <v>177</v>
      </c>
      <c r="AA179" s="293" t="s">
        <v>303</v>
      </c>
      <c r="AB179" s="293" t="s">
        <v>2125</v>
      </c>
      <c r="AC179" s="293" t="str">
        <f t="shared" si="6"/>
        <v>0981911 -  Hosszú lejáratú tulajdonosi kölcsönök bevételei előirányzata</v>
      </c>
      <c r="AD179" s="293" t="s">
        <v>2126</v>
      </c>
    </row>
    <row r="180" spans="21:30" x14ac:dyDescent="0.2">
      <c r="U180" s="323">
        <v>178</v>
      </c>
      <c r="V180" s="323" t="s">
        <v>2127</v>
      </c>
      <c r="W180" s="293" t="s">
        <v>2128</v>
      </c>
      <c r="X180" s="293" t="str">
        <f t="shared" si="5"/>
        <v>071210 - Egyéb gyógyászati termék kiskereskedelme</v>
      </c>
      <c r="Z180" s="323">
        <v>178</v>
      </c>
      <c r="AA180" s="293" t="s">
        <v>304</v>
      </c>
      <c r="AB180" s="293" t="s">
        <v>2129</v>
      </c>
      <c r="AC180" s="293" t="str">
        <f t="shared" si="6"/>
        <v>0981921 -  Rövid lejáratú tulajdonosi kölcsönök bevételei előirányzata</v>
      </c>
      <c r="AD180" s="293" t="s">
        <v>2130</v>
      </c>
    </row>
    <row r="181" spans="21:30" x14ac:dyDescent="0.2">
      <c r="U181" s="323">
        <v>179</v>
      </c>
      <c r="V181" s="323" t="s">
        <v>2131</v>
      </c>
      <c r="W181" s="293" t="s">
        <v>2132</v>
      </c>
      <c r="X181" s="293" t="str">
        <f t="shared" si="5"/>
        <v>071220 - Egyéb gyógyászati termékek finanszírozása</v>
      </c>
      <c r="Z181" s="323">
        <v>179</v>
      </c>
      <c r="AA181" s="293" t="s">
        <v>305</v>
      </c>
      <c r="AB181" s="293" t="s">
        <v>1429</v>
      </c>
      <c r="AC181" s="293" t="str">
        <f t="shared" si="6"/>
        <v>098211 -  Forgatási célú külföldi értékpapírok beváltása, értékesítése előirányzata</v>
      </c>
      <c r="AD181" s="293" t="s">
        <v>1428</v>
      </c>
    </row>
    <row r="182" spans="21:30" x14ac:dyDescent="0.2">
      <c r="U182" s="323">
        <v>180</v>
      </c>
      <c r="V182" s="323" t="s">
        <v>2133</v>
      </c>
      <c r="W182" s="293" t="s">
        <v>2134</v>
      </c>
      <c r="X182" s="293" t="str">
        <f t="shared" si="5"/>
        <v>071310 - Gyógyászati segédeszközök és felszerelések kereskedelme</v>
      </c>
      <c r="Z182" s="323">
        <v>180</v>
      </c>
      <c r="AA182" s="293" t="s">
        <v>307</v>
      </c>
      <c r="AB182" s="293" t="s">
        <v>1431</v>
      </c>
      <c r="AC182" s="293" t="str">
        <f t="shared" si="6"/>
        <v>098221 -  Befektetési célú külföldi értékpapírok beváltása, értékesítése előirányzata</v>
      </c>
      <c r="AD182" s="293" t="s">
        <v>1430</v>
      </c>
    </row>
    <row r="183" spans="21:30" x14ac:dyDescent="0.2">
      <c r="U183" s="323">
        <v>181</v>
      </c>
      <c r="V183" s="323" t="s">
        <v>2135</v>
      </c>
      <c r="W183" s="293" t="s">
        <v>2136</v>
      </c>
      <c r="X183" s="293" t="str">
        <f t="shared" si="5"/>
        <v>071320 - Gyógyászati segédeszközök és felszerelések finanszírozása</v>
      </c>
      <c r="Z183" s="323">
        <v>181</v>
      </c>
      <c r="AA183" s="293" t="s">
        <v>308</v>
      </c>
      <c r="AB183" s="293" t="s">
        <v>1433</v>
      </c>
      <c r="AC183" s="293" t="str">
        <f t="shared" si="6"/>
        <v>098231 -  Külföldi értékpapírok kibocsátása előirányzata</v>
      </c>
      <c r="AD183" s="293" t="s">
        <v>1432</v>
      </c>
    </row>
    <row r="184" spans="21:30" x14ac:dyDescent="0.2">
      <c r="U184" s="323">
        <v>182</v>
      </c>
      <c r="V184" s="323" t="s">
        <v>2137</v>
      </c>
      <c r="W184" s="293" t="s">
        <v>2138</v>
      </c>
      <c r="X184" s="293" t="str">
        <f t="shared" si="5"/>
        <v>072111 - Háziorvosi alapellátás</v>
      </c>
      <c r="Z184" s="323">
        <v>182</v>
      </c>
      <c r="AA184" s="293" t="s">
        <v>309</v>
      </c>
      <c r="AB184" s="293" t="s">
        <v>2139</v>
      </c>
      <c r="AC184" s="293" t="str">
        <f t="shared" si="6"/>
        <v>098241 -  Hitelek, kölcsönök felvétele külföldi kormányoktól és nemzetközi szervezetektől előirányzata</v>
      </c>
      <c r="AD184" s="293" t="s">
        <v>1434</v>
      </c>
    </row>
    <row r="185" spans="21:30" x14ac:dyDescent="0.2">
      <c r="U185" s="323">
        <v>183</v>
      </c>
      <c r="V185" s="323" t="s">
        <v>2140</v>
      </c>
      <c r="W185" s="293" t="s">
        <v>2141</v>
      </c>
      <c r="X185" s="293" t="str">
        <f t="shared" si="5"/>
        <v>072112 - Háziorvosi ügyeleti ellátás</v>
      </c>
      <c r="Z185" s="323">
        <v>183</v>
      </c>
      <c r="AA185" s="293" t="s">
        <v>310</v>
      </c>
      <c r="AB185" s="293" t="s">
        <v>1437</v>
      </c>
      <c r="AC185" s="293" t="str">
        <f t="shared" si="6"/>
        <v>098251 -  Hitelek, kölcsönök felvétele külföldi pénzintézetektől előirányzata</v>
      </c>
      <c r="AD185" s="293" t="s">
        <v>1436</v>
      </c>
    </row>
    <row r="186" spans="21:30" x14ac:dyDescent="0.2">
      <c r="U186" s="323">
        <v>184</v>
      </c>
      <c r="V186" s="323" t="s">
        <v>2142</v>
      </c>
      <c r="W186" s="293" t="s">
        <v>2143</v>
      </c>
      <c r="X186" s="293" t="str">
        <f t="shared" si="5"/>
        <v>072160 - Betegszállítás, valamint orvosi rendelvényű halottszállítás</v>
      </c>
      <c r="Z186" s="323">
        <v>184</v>
      </c>
      <c r="AA186" s="293" t="s">
        <v>311</v>
      </c>
      <c r="AB186" s="293" t="s">
        <v>1439</v>
      </c>
      <c r="AC186" s="293" t="str">
        <f t="shared" si="6"/>
        <v>09831 -  Adóssághoz nem kapcsolódó származékos ügyletek bevételei előirányzata</v>
      </c>
      <c r="AD186" s="293" t="s">
        <v>1438</v>
      </c>
    </row>
    <row r="187" spans="21:30" x14ac:dyDescent="0.2">
      <c r="U187" s="323">
        <v>185</v>
      </c>
      <c r="V187" s="323" t="s">
        <v>2144</v>
      </c>
      <c r="W187" s="293" t="s">
        <v>2145</v>
      </c>
      <c r="X187" s="293" t="str">
        <f t="shared" si="5"/>
        <v>072190 - Általános orvosi szolgáltatások finanszírozása és támogatása</v>
      </c>
      <c r="Z187" s="323">
        <v>185</v>
      </c>
      <c r="AA187" s="293" t="s">
        <v>312</v>
      </c>
      <c r="AB187" s="293" t="s">
        <v>1441</v>
      </c>
      <c r="AC187" s="293" t="str">
        <f t="shared" si="6"/>
        <v>09841 -  Váltóbevételek előirányzata</v>
      </c>
      <c r="AD187" s="293" t="s">
        <v>1440</v>
      </c>
    </row>
    <row r="188" spans="21:30" x14ac:dyDescent="0.2">
      <c r="U188" s="323">
        <v>186</v>
      </c>
      <c r="V188" s="323" t="s">
        <v>2146</v>
      </c>
      <c r="W188" s="293" t="s">
        <v>2147</v>
      </c>
      <c r="X188" s="293" t="str">
        <f t="shared" si="5"/>
        <v>072210 - Járóbetegek gyógyító szakellátása</v>
      </c>
    </row>
    <row r="189" spans="21:30" x14ac:dyDescent="0.2">
      <c r="U189" s="323">
        <v>187</v>
      </c>
      <c r="V189" s="323" t="s">
        <v>2148</v>
      </c>
      <c r="W189" s="293" t="s">
        <v>2149</v>
      </c>
      <c r="X189" s="293" t="str">
        <f t="shared" si="5"/>
        <v>072220 - Járóbetegek rehabilitációs szakellátása</v>
      </c>
    </row>
    <row r="190" spans="21:30" x14ac:dyDescent="0.2">
      <c r="U190" s="323">
        <v>188</v>
      </c>
      <c r="V190" s="323" t="s">
        <v>2150</v>
      </c>
      <c r="W190" s="293" t="s">
        <v>2151</v>
      </c>
      <c r="X190" s="293" t="str">
        <f t="shared" si="5"/>
        <v>072230 - Járóbetegek gyógyító gondozása</v>
      </c>
    </row>
    <row r="191" spans="21:30" x14ac:dyDescent="0.2">
      <c r="U191" s="323">
        <v>189</v>
      </c>
      <c r="V191" s="323" t="s">
        <v>2152</v>
      </c>
      <c r="W191" s="293" t="s">
        <v>2153</v>
      </c>
      <c r="X191" s="293" t="str">
        <f t="shared" si="5"/>
        <v>072240 - Járóbetegek egynapos ellátása</v>
      </c>
    </row>
    <row r="192" spans="21:30" x14ac:dyDescent="0.2">
      <c r="U192" s="323">
        <v>190</v>
      </c>
      <c r="V192" s="323" t="s">
        <v>2154</v>
      </c>
      <c r="W192" s="293" t="s">
        <v>2155</v>
      </c>
      <c r="X192" s="293" t="str">
        <f t="shared" si="5"/>
        <v>072290 - Járóbeteg-ellátás finanszírozása és támogatása</v>
      </c>
    </row>
    <row r="193" spans="21:24" x14ac:dyDescent="0.2">
      <c r="U193" s="323">
        <v>191</v>
      </c>
      <c r="V193" s="323" t="s">
        <v>2156</v>
      </c>
      <c r="W193" s="293" t="s">
        <v>2157</v>
      </c>
      <c r="X193" s="293" t="str">
        <f t="shared" si="5"/>
        <v>072311 - Fogorvosi alapellátás</v>
      </c>
    </row>
    <row r="194" spans="21:24" x14ac:dyDescent="0.2">
      <c r="U194" s="323">
        <v>192</v>
      </c>
      <c r="V194" s="323" t="s">
        <v>2158</v>
      </c>
      <c r="W194" s="293" t="s">
        <v>2159</v>
      </c>
      <c r="X194" s="293" t="str">
        <f t="shared" si="5"/>
        <v>072312 - Fogorvosi ügyeleti ellátás</v>
      </c>
    </row>
    <row r="195" spans="21:24" x14ac:dyDescent="0.2">
      <c r="U195" s="323">
        <v>193</v>
      </c>
      <c r="V195" s="323" t="s">
        <v>2160</v>
      </c>
      <c r="W195" s="293" t="s">
        <v>2161</v>
      </c>
      <c r="X195" s="293" t="str">
        <f t="shared" si="5"/>
        <v>072313 - Fogorvosi szakellátás</v>
      </c>
    </row>
    <row r="196" spans="21:24" x14ac:dyDescent="0.2">
      <c r="U196" s="323">
        <v>194</v>
      </c>
      <c r="V196" s="323" t="s">
        <v>2162</v>
      </c>
      <c r="W196" s="293" t="s">
        <v>2163</v>
      </c>
      <c r="X196" s="293" t="str">
        <f t="shared" ref="X196:X259" si="7">CONCATENATE(V196," - ",W196)</f>
        <v>072390 - Fogorvosi ellátás finanszírozása és támogatása</v>
      </c>
    </row>
    <row r="197" spans="21:24" x14ac:dyDescent="0.2">
      <c r="U197" s="323">
        <v>195</v>
      </c>
      <c r="V197" s="323" t="s">
        <v>2164</v>
      </c>
      <c r="W197" s="293" t="s">
        <v>2165</v>
      </c>
      <c r="X197" s="293" t="str">
        <f t="shared" si="7"/>
        <v>072410 - Otthoni (egészségügyi) szakápolás</v>
      </c>
    </row>
    <row r="198" spans="21:24" x14ac:dyDescent="0.2">
      <c r="U198" s="323">
        <v>196</v>
      </c>
      <c r="V198" s="323" t="s">
        <v>2166</v>
      </c>
      <c r="W198" s="293" t="s">
        <v>2167</v>
      </c>
      <c r="X198" s="293" t="str">
        <f t="shared" si="7"/>
        <v>072420 - Egészségügyi laboratóriumi szolgáltatások</v>
      </c>
    </row>
    <row r="199" spans="21:24" x14ac:dyDescent="0.2">
      <c r="U199" s="323">
        <v>197</v>
      </c>
      <c r="V199" s="323" t="s">
        <v>2168</v>
      </c>
      <c r="W199" s="293" t="s">
        <v>2169</v>
      </c>
      <c r="X199" s="293" t="str">
        <f t="shared" si="7"/>
        <v>072430 - Képalkotó diagnosztikai szolgáltatások</v>
      </c>
    </row>
    <row r="200" spans="21:24" x14ac:dyDescent="0.2">
      <c r="U200" s="323">
        <v>198</v>
      </c>
      <c r="V200" s="323" t="s">
        <v>2170</v>
      </c>
      <c r="W200" s="293" t="s">
        <v>2171</v>
      </c>
      <c r="X200" s="293" t="str">
        <f t="shared" si="7"/>
        <v>072440 - Mentés</v>
      </c>
    </row>
    <row r="201" spans="21:24" x14ac:dyDescent="0.2">
      <c r="U201" s="323">
        <v>199</v>
      </c>
      <c r="V201" s="323" t="s">
        <v>2172</v>
      </c>
      <c r="W201" s="293" t="s">
        <v>2173</v>
      </c>
      <c r="X201" s="293" t="str">
        <f t="shared" si="7"/>
        <v>072450 - Fizikoterápiás szolgáltatás</v>
      </c>
    </row>
    <row r="202" spans="21:24" x14ac:dyDescent="0.2">
      <c r="U202" s="323">
        <v>200</v>
      </c>
      <c r="V202" s="323" t="s">
        <v>2174</v>
      </c>
      <c r="W202" s="293" t="s">
        <v>2175</v>
      </c>
      <c r="X202" s="293" t="str">
        <f t="shared" si="7"/>
        <v>072460 - Terápiás célú gyógyfürdő- és kapcsolódó szolgáltatások</v>
      </c>
    </row>
    <row r="203" spans="21:24" x14ac:dyDescent="0.2">
      <c r="U203" s="323">
        <v>201</v>
      </c>
      <c r="V203" s="323" t="s">
        <v>2176</v>
      </c>
      <c r="W203" s="293" t="s">
        <v>2177</v>
      </c>
      <c r="X203" s="293" t="str">
        <f t="shared" si="7"/>
        <v>072470 - Természetgyógyászat</v>
      </c>
    </row>
    <row r="204" spans="21:24" x14ac:dyDescent="0.2">
      <c r="U204" s="323">
        <v>202</v>
      </c>
      <c r="V204" s="323" t="s">
        <v>2178</v>
      </c>
      <c r="W204" s="293" t="s">
        <v>2179</v>
      </c>
      <c r="X204" s="293" t="str">
        <f t="shared" si="7"/>
        <v>072480 - Egyéb paramedikális szolgáltatások</v>
      </c>
    </row>
    <row r="205" spans="21:24" x14ac:dyDescent="0.2">
      <c r="U205" s="323">
        <v>203</v>
      </c>
      <c r="V205" s="323" t="s">
        <v>2180</v>
      </c>
      <c r="W205" s="293" t="s">
        <v>2181</v>
      </c>
      <c r="X205" s="293" t="str">
        <f t="shared" si="7"/>
        <v>072490 - Paramedikális szolgáltatások finanszírozása, támogatása</v>
      </c>
    </row>
    <row r="206" spans="21:24" x14ac:dyDescent="0.2">
      <c r="U206" s="323">
        <v>204</v>
      </c>
      <c r="V206" s="323" t="s">
        <v>2182</v>
      </c>
      <c r="W206" s="293" t="s">
        <v>2183</v>
      </c>
      <c r="X206" s="293" t="str">
        <f t="shared" si="7"/>
        <v>073110 - Fekvőbetegek aktív ellátása általános kórházakban</v>
      </c>
    </row>
    <row r="207" spans="21:24" x14ac:dyDescent="0.2">
      <c r="U207" s="323">
        <v>205</v>
      </c>
      <c r="V207" s="323" t="s">
        <v>2184</v>
      </c>
      <c r="W207" s="293" t="s">
        <v>2185</v>
      </c>
      <c r="X207" s="293" t="str">
        <f t="shared" si="7"/>
        <v>073120 - Fekvőbetegek krónikus ellátása általános kórházakban</v>
      </c>
    </row>
    <row r="208" spans="21:24" x14ac:dyDescent="0.2">
      <c r="U208" s="323">
        <v>206</v>
      </c>
      <c r="V208" s="323" t="s">
        <v>2186</v>
      </c>
      <c r="W208" s="293" t="s">
        <v>2187</v>
      </c>
      <c r="X208" s="293" t="str">
        <f t="shared" si="7"/>
        <v>073130 - Bentlakásos egészségügyi rehabilitációs ellátás általános kórházakban</v>
      </c>
    </row>
    <row r="209" spans="8:24" x14ac:dyDescent="0.2">
      <c r="U209" s="323">
        <v>207</v>
      </c>
      <c r="V209" s="323" t="s">
        <v>2188</v>
      </c>
      <c r="W209" s="293" t="s">
        <v>2189</v>
      </c>
      <c r="X209" s="293" t="str">
        <f t="shared" si="7"/>
        <v>073160 - Egynapos sebészeti ellátás (egynapos beavatkozás)</v>
      </c>
    </row>
    <row r="210" spans="8:24" x14ac:dyDescent="0.2">
      <c r="U210" s="323">
        <v>208</v>
      </c>
      <c r="V210" s="323" t="s">
        <v>2190</v>
      </c>
      <c r="W210" s="293" t="s">
        <v>2191</v>
      </c>
      <c r="X210" s="293" t="str">
        <f t="shared" si="7"/>
        <v>073190 - Fekvőbeteg-ellátás finanszírozása és támogatása</v>
      </c>
    </row>
    <row r="211" spans="8:24" x14ac:dyDescent="0.2">
      <c r="U211" s="323">
        <v>209</v>
      </c>
      <c r="V211" s="323" t="s">
        <v>2192</v>
      </c>
      <c r="W211" s="293" t="s">
        <v>2193</v>
      </c>
      <c r="X211" s="293" t="str">
        <f t="shared" si="7"/>
        <v>073210 - Fekvőbetegek aktív ellátása szakkórházakban</v>
      </c>
    </row>
    <row r="212" spans="8:24" x14ac:dyDescent="0.2">
      <c r="U212" s="323">
        <v>210</v>
      </c>
      <c r="V212" s="323" t="s">
        <v>2194</v>
      </c>
      <c r="W212" s="293" t="s">
        <v>2195</v>
      </c>
      <c r="X212" s="293" t="str">
        <f t="shared" si="7"/>
        <v>073220 - Fekvőbetegek krónikus ellátása szakkórházakban</v>
      </c>
    </row>
    <row r="213" spans="8:24" x14ac:dyDescent="0.2">
      <c r="U213" s="323">
        <v>211</v>
      </c>
      <c r="V213" s="323" t="s">
        <v>2196</v>
      </c>
      <c r="W213" s="293" t="s">
        <v>2197</v>
      </c>
      <c r="X213" s="293" t="str">
        <f t="shared" si="7"/>
        <v>073230 - Bentlakásos egészségügyi rehabilitációs ellátás szakkórházakban</v>
      </c>
    </row>
    <row r="214" spans="8:24" x14ac:dyDescent="0.2">
      <c r="U214" s="323">
        <v>212</v>
      </c>
      <c r="V214" s="323" t="s">
        <v>2198</v>
      </c>
      <c r="W214" s="293" t="s">
        <v>2199</v>
      </c>
      <c r="X214" s="293" t="str">
        <f t="shared" si="7"/>
        <v>073310 - Gyógyászati központok és szülőotthonok szolgáltatásai</v>
      </c>
    </row>
    <row r="215" spans="8:24" x14ac:dyDescent="0.2">
      <c r="U215" s="323">
        <v>213</v>
      </c>
      <c r="V215" s="323" t="s">
        <v>2200</v>
      </c>
      <c r="W215" s="293" t="s">
        <v>2201</v>
      </c>
      <c r="X215" s="293" t="str">
        <f t="shared" si="7"/>
        <v>073410 - Egészségügyi ápolás bentlakással</v>
      </c>
    </row>
    <row r="216" spans="8:24" x14ac:dyDescent="0.2">
      <c r="U216" s="323">
        <v>214</v>
      </c>
      <c r="V216" s="323" t="s">
        <v>2202</v>
      </c>
      <c r="W216" s="293" t="s">
        <v>2203</v>
      </c>
      <c r="X216" s="293" t="str">
        <f t="shared" si="7"/>
        <v>073420 - Bentlakásos hospice-ellátás</v>
      </c>
    </row>
    <row r="217" spans="8:24" x14ac:dyDescent="0.2">
      <c r="U217" s="323">
        <v>215</v>
      </c>
      <c r="V217" s="323" t="s">
        <v>2204</v>
      </c>
      <c r="W217" s="293" t="s">
        <v>2205</v>
      </c>
      <c r="X217" s="293" t="str">
        <f t="shared" si="7"/>
        <v>074011 - Foglalkozás-egészségügyi alapellátás</v>
      </c>
    </row>
    <row r="218" spans="8:24" x14ac:dyDescent="0.2">
      <c r="U218" s="323">
        <v>216</v>
      </c>
      <c r="V218" s="323" t="s">
        <v>2206</v>
      </c>
      <c r="W218" s="293" t="s">
        <v>2207</v>
      </c>
      <c r="X218" s="293" t="str">
        <f t="shared" si="7"/>
        <v>074012 - Foglalkozás-egészségügyi szakellátás</v>
      </c>
    </row>
    <row r="219" spans="8:24" x14ac:dyDescent="0.2">
      <c r="U219" s="323">
        <v>217</v>
      </c>
      <c r="V219" s="323" t="s">
        <v>2208</v>
      </c>
      <c r="W219" s="293" t="s">
        <v>2209</v>
      </c>
      <c r="X219" s="293" t="str">
        <f t="shared" si="7"/>
        <v>074013 - Pálya- és munkaalkalmassági vizsgálatok</v>
      </c>
    </row>
    <row r="220" spans="8:24" x14ac:dyDescent="0.2">
      <c r="U220" s="323">
        <v>218</v>
      </c>
      <c r="V220" s="323" t="s">
        <v>2210</v>
      </c>
      <c r="W220" s="293" t="s">
        <v>2211</v>
      </c>
      <c r="X220" s="293" t="str">
        <f t="shared" si="7"/>
        <v>074020 - Sportolók sportegészségügyi vizsgálata, felügyelete, ellenőrzése</v>
      </c>
    </row>
    <row r="221" spans="8:24" x14ac:dyDescent="0.2">
      <c r="U221" s="323">
        <v>219</v>
      </c>
      <c r="V221" s="323" t="s">
        <v>2212</v>
      </c>
      <c r="W221" s="293" t="s">
        <v>2213</v>
      </c>
      <c r="X221" s="293" t="str">
        <f t="shared" si="7"/>
        <v>074031 - Család és nővédelmi egészségügyi gondozás</v>
      </c>
    </row>
    <row r="222" spans="8:24" x14ac:dyDescent="0.2">
      <c r="U222" s="323">
        <v>220</v>
      </c>
      <c r="V222" s="323" t="s">
        <v>2214</v>
      </c>
      <c r="W222" s="293" t="s">
        <v>2215</v>
      </c>
      <c r="X222" s="293" t="str">
        <f t="shared" si="7"/>
        <v>074032 - Ifjúság-egészségügyi gondozás</v>
      </c>
    </row>
    <row r="223" spans="8:24" x14ac:dyDescent="0.2">
      <c r="H223" s="290" t="e">
        <f>#REF!+170</f>
        <v>#REF!</v>
      </c>
      <c r="U223" s="323">
        <v>221</v>
      </c>
      <c r="V223" s="323" t="s">
        <v>2216</v>
      </c>
      <c r="W223" s="293" t="s">
        <v>2217</v>
      </c>
      <c r="X223" s="293" t="str">
        <f t="shared" si="7"/>
        <v>074040 - Fertőző megbetegedések megelőzése, járványügyi ellátás</v>
      </c>
    </row>
    <row r="224" spans="8:24" x14ac:dyDescent="0.2">
      <c r="U224" s="323">
        <v>222</v>
      </c>
      <c r="V224" s="323" t="s">
        <v>2218</v>
      </c>
      <c r="W224" s="293" t="s">
        <v>2219</v>
      </c>
      <c r="X224" s="293" t="str">
        <f t="shared" si="7"/>
        <v>074051 - Nem fertőző megbetegedések megelőzése</v>
      </c>
    </row>
    <row r="225" spans="21:24" x14ac:dyDescent="0.2">
      <c r="U225" s="323">
        <v>223</v>
      </c>
      <c r="V225" s="323" t="s">
        <v>2220</v>
      </c>
      <c r="W225" s="293" t="s">
        <v>2221</v>
      </c>
      <c r="X225" s="293" t="str">
        <f t="shared" si="7"/>
        <v>074052 - Kábítószer-megelőzés programjai, tevékenységei</v>
      </c>
    </row>
    <row r="226" spans="21:24" x14ac:dyDescent="0.2">
      <c r="U226" s="323">
        <v>224</v>
      </c>
      <c r="V226" s="323" t="s">
        <v>2222</v>
      </c>
      <c r="W226" s="293" t="s">
        <v>2223</v>
      </c>
      <c r="X226" s="293" t="str">
        <f t="shared" si="7"/>
        <v>074053 - Szenvedélybetegségek (kivéve: kábítószer) megelőzésének programjai, tevékenységei</v>
      </c>
    </row>
    <row r="227" spans="21:24" x14ac:dyDescent="0.2">
      <c r="U227" s="323">
        <v>225</v>
      </c>
      <c r="V227" s="323" t="s">
        <v>2224</v>
      </c>
      <c r="W227" s="293" t="s">
        <v>2225</v>
      </c>
      <c r="X227" s="293" t="str">
        <f t="shared" si="7"/>
        <v>074054 - Komplex egészségfejlesztő, prevenciós programok</v>
      </c>
    </row>
    <row r="228" spans="21:24" x14ac:dyDescent="0.2">
      <c r="U228" s="323">
        <v>226</v>
      </c>
      <c r="V228" s="323" t="s">
        <v>2226</v>
      </c>
      <c r="W228" s="293" t="s">
        <v>2227</v>
      </c>
      <c r="X228" s="293" t="str">
        <f t="shared" si="7"/>
        <v>074060 - Vér-, szövet- és egyéb kapcsolódó szövetbank</v>
      </c>
    </row>
    <row r="229" spans="21:24" x14ac:dyDescent="0.2">
      <c r="U229" s="323">
        <v>227</v>
      </c>
      <c r="V229" s="323" t="s">
        <v>2228</v>
      </c>
      <c r="W229" s="293" t="s">
        <v>2229</v>
      </c>
      <c r="X229" s="293" t="str">
        <f t="shared" si="7"/>
        <v>074090 - Közegészségügyi szolgáltatások finanszírozása és támogatása</v>
      </c>
    </row>
    <row r="230" spans="21:24" x14ac:dyDescent="0.2">
      <c r="U230" s="323">
        <v>228</v>
      </c>
      <c r="V230" s="323" t="s">
        <v>2230</v>
      </c>
      <c r="W230" s="293" t="s">
        <v>2231</v>
      </c>
      <c r="X230" s="293" t="str">
        <f t="shared" si="7"/>
        <v>075010 - Egészségüggyel kapcsolatos alkalmazott kutatás és fejlesztés</v>
      </c>
    </row>
    <row r="231" spans="21:24" x14ac:dyDescent="0.2">
      <c r="U231" s="323">
        <v>229</v>
      </c>
      <c r="V231" s="323" t="s">
        <v>2232</v>
      </c>
      <c r="W231" s="293" t="s">
        <v>2233</v>
      </c>
      <c r="X231" s="293" t="str">
        <f t="shared" si="7"/>
        <v>076010 - Egészségügy igazgatása</v>
      </c>
    </row>
    <row r="232" spans="21:24" x14ac:dyDescent="0.2">
      <c r="U232" s="323">
        <v>230</v>
      </c>
      <c r="V232" s="323" t="s">
        <v>2234</v>
      </c>
      <c r="W232" s="293" t="s">
        <v>2235</v>
      </c>
      <c r="X232" s="293" t="str">
        <f t="shared" si="7"/>
        <v>076020 - Egészségbiztosítási szolgáltatások igazgatása</v>
      </c>
    </row>
    <row r="233" spans="21:24" x14ac:dyDescent="0.2">
      <c r="U233" s="323">
        <v>231</v>
      </c>
      <c r="V233" s="323" t="s">
        <v>2236</v>
      </c>
      <c r="W233" s="293" t="s">
        <v>2237</v>
      </c>
      <c r="X233" s="293" t="str">
        <f t="shared" si="7"/>
        <v>076040 - Egészségügyi szakértői tevékenységek</v>
      </c>
    </row>
    <row r="234" spans="21:24" x14ac:dyDescent="0.2">
      <c r="U234" s="323">
        <v>232</v>
      </c>
      <c r="V234" s="323" t="s">
        <v>2238</v>
      </c>
      <c r="W234" s="293" t="s">
        <v>2239</v>
      </c>
      <c r="X234" s="293" t="str">
        <f t="shared" si="7"/>
        <v>076050 - Orvos- és nővérszálló, hozzátartozói szállás fenntartása, üzemeltetése</v>
      </c>
    </row>
    <row r="235" spans="21:24" x14ac:dyDescent="0.2">
      <c r="U235" s="323">
        <v>233</v>
      </c>
      <c r="V235" s="323" t="s">
        <v>2240</v>
      </c>
      <c r="W235" s="293" t="s">
        <v>2241</v>
      </c>
      <c r="X235" s="293" t="str">
        <f t="shared" si="7"/>
        <v>076061 - Környezet-egészségügyi feladatok</v>
      </c>
    </row>
    <row r="236" spans="21:24" x14ac:dyDescent="0.2">
      <c r="U236" s="323">
        <v>234</v>
      </c>
      <c r="V236" s="323" t="s">
        <v>2242</v>
      </c>
      <c r="W236" s="293" t="s">
        <v>2243</v>
      </c>
      <c r="X236" s="293" t="str">
        <f t="shared" si="7"/>
        <v>076062 - Település-egészségügyi feladatok</v>
      </c>
    </row>
    <row r="237" spans="21:24" x14ac:dyDescent="0.2">
      <c r="U237" s="323">
        <v>235</v>
      </c>
      <c r="V237" s="323" t="s">
        <v>2244</v>
      </c>
      <c r="W237" s="293" t="s">
        <v>2245</v>
      </c>
      <c r="X237" s="293" t="str">
        <f t="shared" si="7"/>
        <v>076063 - Sugár-egészségügyi feladatok</v>
      </c>
    </row>
    <row r="238" spans="21:24" x14ac:dyDescent="0.2">
      <c r="U238" s="323">
        <v>236</v>
      </c>
      <c r="V238" s="323" t="s">
        <v>2246</v>
      </c>
      <c r="W238" s="293" t="s">
        <v>2247</v>
      </c>
      <c r="X238" s="293" t="str">
        <f t="shared" si="7"/>
        <v>076064 - Kémiaibiztonság-egészségügyi feladatok</v>
      </c>
    </row>
    <row r="239" spans="21:24" x14ac:dyDescent="0.2">
      <c r="U239" s="323">
        <v>237</v>
      </c>
      <c r="V239" s="323" t="s">
        <v>2248</v>
      </c>
      <c r="W239" s="293" t="s">
        <v>2249</v>
      </c>
      <c r="X239" s="293" t="str">
        <f t="shared" si="7"/>
        <v>076070 - Élelmezés- és táplálkozás-egészségügyi felügyelet, ellenőrzés, tanácsadás</v>
      </c>
    </row>
    <row r="240" spans="21:24" x14ac:dyDescent="0.2">
      <c r="U240" s="323">
        <v>238</v>
      </c>
      <c r="V240" s="323" t="s">
        <v>2250</v>
      </c>
      <c r="W240" s="293" t="s">
        <v>2251</v>
      </c>
      <c r="X240" s="293" t="str">
        <f t="shared" si="7"/>
        <v>076090 - Egyéb egészségügyi szolgáltatások finanszírozása és támogatása</v>
      </c>
    </row>
    <row r="241" spans="21:24" x14ac:dyDescent="0.2">
      <c r="U241" s="323">
        <v>239</v>
      </c>
      <c r="V241" s="323" t="s">
        <v>2252</v>
      </c>
      <c r="W241" s="293" t="s">
        <v>2253</v>
      </c>
      <c r="X241" s="293" t="str">
        <f t="shared" si="7"/>
        <v>081010 - Sportügyek igazgatása</v>
      </c>
    </row>
    <row r="242" spans="21:24" x14ac:dyDescent="0.2">
      <c r="U242" s="323">
        <v>240</v>
      </c>
      <c r="V242" s="323" t="s">
        <v>2254</v>
      </c>
      <c r="W242" s="293" t="s">
        <v>2255</v>
      </c>
      <c r="X242" s="293" t="str">
        <f t="shared" si="7"/>
        <v>081021 - Sportszövetségek és szabályozó testületek működésének támogatása</v>
      </c>
    </row>
    <row r="243" spans="21:24" x14ac:dyDescent="0.2">
      <c r="U243" s="323">
        <v>241</v>
      </c>
      <c r="V243" s="323" t="s">
        <v>2256</v>
      </c>
      <c r="W243" s="293" t="s">
        <v>2257</v>
      </c>
      <c r="X243" s="293" t="str">
        <f t="shared" si="7"/>
        <v>081022 - Sportteljesítmények elismerése, járadékok, ösztöndíjak</v>
      </c>
    </row>
    <row r="244" spans="21:24" x14ac:dyDescent="0.2">
      <c r="U244" s="323">
        <v>242</v>
      </c>
      <c r="V244" s="323" t="s">
        <v>2258</v>
      </c>
      <c r="W244" s="293" t="s">
        <v>2259</v>
      </c>
      <c r="X244" s="293" t="str">
        <f t="shared" si="7"/>
        <v>081023 - Doppingellenes tevékenység</v>
      </c>
    </row>
    <row r="245" spans="21:24" x14ac:dyDescent="0.2">
      <c r="U245" s="323">
        <v>243</v>
      </c>
      <c r="V245" s="323" t="s">
        <v>2260</v>
      </c>
      <c r="W245" s="293" t="s">
        <v>2261</v>
      </c>
      <c r="X245" s="293" t="str">
        <f t="shared" si="7"/>
        <v>081030 - Sportlétesítmények, edzőtáborok működtetése és fejlesztése</v>
      </c>
    </row>
    <row r="246" spans="21:24" x14ac:dyDescent="0.2">
      <c r="U246" s="323">
        <v>244</v>
      </c>
      <c r="V246" s="323" t="s">
        <v>2262</v>
      </c>
      <c r="W246" s="293" t="s">
        <v>2263</v>
      </c>
      <c r="X246" s="293" t="str">
        <f t="shared" si="7"/>
        <v>081041 - Versenysport- és utánpótlás-nevelési tevékenység és támogatása</v>
      </c>
    </row>
    <row r="247" spans="21:24" x14ac:dyDescent="0.2">
      <c r="U247" s="323">
        <v>245</v>
      </c>
      <c r="V247" s="323" t="s">
        <v>2264</v>
      </c>
      <c r="W247" s="293" t="s">
        <v>2265</v>
      </c>
      <c r="X247" s="293" t="str">
        <f t="shared" si="7"/>
        <v>081042 - Fogyatékossággal élők versenysport tevékenysége és támogatása</v>
      </c>
    </row>
    <row r="248" spans="21:24" x14ac:dyDescent="0.2">
      <c r="U248" s="323">
        <v>246</v>
      </c>
      <c r="V248" s="323" t="s">
        <v>2266</v>
      </c>
      <c r="W248" s="293" t="s">
        <v>2267</v>
      </c>
      <c r="X248" s="293" t="str">
        <f t="shared" si="7"/>
        <v>081043 - Iskolai, diáksport-tevékenység és támogatása</v>
      </c>
    </row>
    <row r="249" spans="21:24" x14ac:dyDescent="0.2">
      <c r="U249" s="323">
        <v>247</v>
      </c>
      <c r="V249" s="323" t="s">
        <v>2268</v>
      </c>
      <c r="W249" s="293" t="s">
        <v>2269</v>
      </c>
      <c r="X249" s="293" t="str">
        <f t="shared" si="7"/>
        <v>081044 - Fogyatékossággal élők iskolai, diáksport-tevékenysége és támogatása</v>
      </c>
    </row>
    <row r="250" spans="21:24" x14ac:dyDescent="0.2">
      <c r="U250" s="323">
        <v>248</v>
      </c>
      <c r="V250" s="323" t="s">
        <v>2270</v>
      </c>
      <c r="W250" s="293" t="s">
        <v>2271</v>
      </c>
      <c r="X250" s="293" t="str">
        <f t="shared" si="7"/>
        <v>081045 - Szabadidősport- (rekreációs sport-) tevékenység és támogatása</v>
      </c>
    </row>
    <row r="251" spans="21:24" x14ac:dyDescent="0.2">
      <c r="U251" s="323">
        <v>249</v>
      </c>
      <c r="V251" s="323" t="s">
        <v>2272</v>
      </c>
      <c r="W251" s="293" t="s">
        <v>2273</v>
      </c>
      <c r="X251" s="293" t="str">
        <f t="shared" si="7"/>
        <v>081061 - Szabadidős park, fürdő és strandszolgáltatás</v>
      </c>
    </row>
    <row r="252" spans="21:24" x14ac:dyDescent="0.2">
      <c r="U252" s="323">
        <v>250</v>
      </c>
      <c r="V252" s="323" t="s">
        <v>2274</v>
      </c>
      <c r="W252" s="293" t="s">
        <v>2275</v>
      </c>
      <c r="X252" s="293" t="str">
        <f t="shared" si="7"/>
        <v>081071 - Üdülői szálláshely-szolgáltatás és étkeztetés</v>
      </c>
    </row>
    <row r="253" spans="21:24" x14ac:dyDescent="0.2">
      <c r="U253" s="323">
        <v>251</v>
      </c>
      <c r="V253" s="323" t="s">
        <v>2276</v>
      </c>
      <c r="W253" s="293" t="s">
        <v>2277</v>
      </c>
      <c r="X253" s="293" t="str">
        <f t="shared" si="7"/>
        <v>082010 - Kultúra igazgatása</v>
      </c>
    </row>
    <row r="254" spans="21:24" x14ac:dyDescent="0.2">
      <c r="U254" s="323">
        <v>252</v>
      </c>
      <c r="V254" s="323" t="s">
        <v>2278</v>
      </c>
      <c r="W254" s="293" t="s">
        <v>2279</v>
      </c>
      <c r="X254" s="293" t="str">
        <f t="shared" si="7"/>
        <v>082020 - Színházak tevékenysége</v>
      </c>
    </row>
    <row r="255" spans="21:24" x14ac:dyDescent="0.2">
      <c r="U255" s="323">
        <v>253</v>
      </c>
      <c r="V255" s="323" t="s">
        <v>2280</v>
      </c>
      <c r="W255" s="293" t="s">
        <v>2281</v>
      </c>
      <c r="X255" s="293" t="str">
        <f t="shared" si="7"/>
        <v>082030 - Művészeti tevékenységek (kivéve: színház)</v>
      </c>
    </row>
    <row r="256" spans="21:24" x14ac:dyDescent="0.2">
      <c r="U256" s="323">
        <v>254</v>
      </c>
      <c r="V256" s="323" t="s">
        <v>2282</v>
      </c>
      <c r="W256" s="293" t="s">
        <v>2283</v>
      </c>
      <c r="X256" s="293" t="str">
        <f t="shared" si="7"/>
        <v>082041 - Nemzeti könyvtári feladatok</v>
      </c>
    </row>
    <row r="257" spans="21:24" x14ac:dyDescent="0.2">
      <c r="U257" s="323">
        <v>255</v>
      </c>
      <c r="V257" s="323" t="s">
        <v>2284</v>
      </c>
      <c r="W257" s="293" t="s">
        <v>2285</v>
      </c>
      <c r="X257" s="293" t="str">
        <f t="shared" si="7"/>
        <v>082042 - Könyvtári állomány gyarapítása, nyilvántartása</v>
      </c>
    </row>
    <row r="258" spans="21:24" x14ac:dyDescent="0.2">
      <c r="U258" s="323">
        <v>256</v>
      </c>
      <c r="V258" s="323" t="s">
        <v>2286</v>
      </c>
      <c r="W258" s="293" t="s">
        <v>2287</v>
      </c>
      <c r="X258" s="293" t="str">
        <f t="shared" si="7"/>
        <v>082043 - Könyvtári állomány feltárása, megőrzése, védelme</v>
      </c>
    </row>
    <row r="259" spans="21:24" x14ac:dyDescent="0.2">
      <c r="U259" s="323">
        <v>257</v>
      </c>
      <c r="V259" s="323" t="s">
        <v>2288</v>
      </c>
      <c r="W259" s="293" t="s">
        <v>2289</v>
      </c>
      <c r="X259" s="293" t="str">
        <f t="shared" si="7"/>
        <v>082044 - Könyvtári szolgáltatások</v>
      </c>
    </row>
    <row r="260" spans="21:24" x14ac:dyDescent="0.2">
      <c r="U260" s="323">
        <v>258</v>
      </c>
      <c r="V260" s="323" t="s">
        <v>2290</v>
      </c>
      <c r="W260" s="293" t="s">
        <v>2291</v>
      </c>
      <c r="X260" s="293" t="str">
        <f t="shared" ref="X260:X323" si="8">CONCATENATE(V260," - ",W260)</f>
        <v>082051 - Levéltári állomány gyarapítása, kezelése és védelme</v>
      </c>
    </row>
    <row r="261" spans="21:24" x14ac:dyDescent="0.2">
      <c r="U261" s="323">
        <v>259</v>
      </c>
      <c r="V261" s="323" t="s">
        <v>2292</v>
      </c>
      <c r="W261" s="293" t="s">
        <v>2293</v>
      </c>
      <c r="X261" s="293" t="str">
        <f t="shared" si="8"/>
        <v>082052 - Levéltári szolgáltatás, tudományos, publikációs és információközvetítő tevékenység</v>
      </c>
    </row>
    <row r="262" spans="21:24" x14ac:dyDescent="0.2">
      <c r="U262" s="323">
        <v>260</v>
      </c>
      <c r="V262" s="323" t="s">
        <v>2294</v>
      </c>
      <c r="W262" s="293" t="s">
        <v>2295</v>
      </c>
      <c r="X262" s="293" t="str">
        <f t="shared" si="8"/>
        <v>082061 - Múzeumi gyűjteményi tevékenység</v>
      </c>
    </row>
    <row r="263" spans="21:24" x14ac:dyDescent="0.2">
      <c r="U263" s="323">
        <v>261</v>
      </c>
      <c r="V263" s="323" t="s">
        <v>2296</v>
      </c>
      <c r="W263" s="293" t="s">
        <v>2297</v>
      </c>
      <c r="X263" s="293" t="str">
        <f t="shared" si="8"/>
        <v>082062 - Múzeumi tudományos feldolgozó és publikációs tevékenység</v>
      </c>
    </row>
    <row r="264" spans="21:24" x14ac:dyDescent="0.2">
      <c r="U264" s="323">
        <v>262</v>
      </c>
      <c r="V264" s="323" t="s">
        <v>2298</v>
      </c>
      <c r="W264" s="293" t="s">
        <v>2299</v>
      </c>
      <c r="X264" s="293" t="str">
        <f t="shared" si="8"/>
        <v>082063 - Múzeumi kiállítási tevékenység</v>
      </c>
    </row>
    <row r="265" spans="21:24" x14ac:dyDescent="0.2">
      <c r="U265" s="323">
        <v>263</v>
      </c>
      <c r="V265" s="323" t="s">
        <v>2300</v>
      </c>
      <c r="W265" s="293" t="s">
        <v>2301</v>
      </c>
      <c r="X265" s="293" t="str">
        <f t="shared" si="8"/>
        <v>082064 - Múzeumi közművelődési, közönségkapcsolati tevékenység</v>
      </c>
    </row>
    <row r="266" spans="21:24" x14ac:dyDescent="0.2">
      <c r="U266" s="323">
        <v>264</v>
      </c>
      <c r="V266" s="323" t="s">
        <v>2302</v>
      </c>
      <c r="W266" s="293" t="s">
        <v>2303</v>
      </c>
      <c r="X266" s="293" t="str">
        <f t="shared" si="8"/>
        <v>082070 - Történelmi hely, építmény, egyéb látványosság működtetése és megóvása</v>
      </c>
    </row>
    <row r="267" spans="21:24" x14ac:dyDescent="0.2">
      <c r="U267" s="323">
        <v>265</v>
      </c>
      <c r="V267" s="323" t="s">
        <v>2304</v>
      </c>
      <c r="W267" s="293" t="s">
        <v>2305</v>
      </c>
      <c r="X267" s="293" t="str">
        <f t="shared" si="8"/>
        <v>082080 - Növény- és állatkertek működtetése és megőrzése</v>
      </c>
    </row>
    <row r="268" spans="21:24" x14ac:dyDescent="0.2">
      <c r="U268" s="323">
        <v>266</v>
      </c>
      <c r="V268" s="323" t="s">
        <v>313</v>
      </c>
      <c r="W268" s="293" t="s">
        <v>2306</v>
      </c>
      <c r="X268" s="293" t="str">
        <f t="shared" si="8"/>
        <v>082091 - Közművelődés – közösségi és társadalmi részvétel fejlesztése</v>
      </c>
    </row>
    <row r="269" spans="21:24" x14ac:dyDescent="0.2">
      <c r="U269" s="323">
        <v>267</v>
      </c>
      <c r="V269" s="323" t="s">
        <v>2307</v>
      </c>
      <c r="W269" s="293" t="s">
        <v>2308</v>
      </c>
      <c r="X269" s="293" t="str">
        <f t="shared" si="8"/>
        <v>082092 - Közművelődés – hagyományos közösségi kulturális értékek gondozása</v>
      </c>
    </row>
    <row r="270" spans="21:24" x14ac:dyDescent="0.2">
      <c r="U270" s="323">
        <v>268</v>
      </c>
      <c r="V270" s="323" t="s">
        <v>2309</v>
      </c>
      <c r="W270" s="293" t="s">
        <v>2310</v>
      </c>
      <c r="X270" s="293" t="str">
        <f t="shared" si="8"/>
        <v>082093 - Közművelődés – egész életre kiterjedő tanulás, amatőr művészetek</v>
      </c>
    </row>
    <row r="271" spans="21:24" x14ac:dyDescent="0.2">
      <c r="U271" s="323">
        <v>269</v>
      </c>
      <c r="V271" s="323" t="s">
        <v>2311</v>
      </c>
      <c r="W271" s="293" t="s">
        <v>2312</v>
      </c>
      <c r="X271" s="293" t="str">
        <f t="shared" si="8"/>
        <v>082094 - Közművelődés – kulturális alapú gazdaságfejlesztés</v>
      </c>
    </row>
    <row r="272" spans="21:24" x14ac:dyDescent="0.2">
      <c r="U272" s="323">
        <v>270</v>
      </c>
      <c r="V272" s="323" t="s">
        <v>2313</v>
      </c>
      <c r="W272" s="293" t="s">
        <v>2314</v>
      </c>
      <c r="X272" s="293" t="str">
        <f t="shared" si="8"/>
        <v>083010 - Műsorszolgáltatási és kiadói ügyek igazgatása</v>
      </c>
    </row>
    <row r="273" spans="21:24" x14ac:dyDescent="0.2">
      <c r="U273" s="323">
        <v>271</v>
      </c>
      <c r="V273" s="323" t="s">
        <v>2315</v>
      </c>
      <c r="W273" s="293" t="s">
        <v>2316</v>
      </c>
      <c r="X273" s="293" t="str">
        <f t="shared" si="8"/>
        <v>083020 - Könyvkiadás</v>
      </c>
    </row>
    <row r="274" spans="21:24" x14ac:dyDescent="0.2">
      <c r="U274" s="323">
        <v>272</v>
      </c>
      <c r="V274" s="323" t="s">
        <v>2317</v>
      </c>
      <c r="W274" s="293" t="s">
        <v>2318</v>
      </c>
      <c r="X274" s="293" t="str">
        <f t="shared" si="8"/>
        <v>083030 - Egyéb kiadói tevékenység</v>
      </c>
    </row>
    <row r="275" spans="21:24" x14ac:dyDescent="0.2">
      <c r="U275" s="323">
        <v>273</v>
      </c>
      <c r="V275" s="323" t="s">
        <v>2319</v>
      </c>
      <c r="W275" s="293" t="s">
        <v>2320</v>
      </c>
      <c r="X275" s="293" t="str">
        <f t="shared" si="8"/>
        <v>083040 - Rádióműsor szolgáltatása és támogatása</v>
      </c>
    </row>
    <row r="276" spans="21:24" x14ac:dyDescent="0.2">
      <c r="U276" s="323">
        <v>274</v>
      </c>
      <c r="V276" s="323" t="s">
        <v>2321</v>
      </c>
      <c r="W276" s="293" t="s">
        <v>2322</v>
      </c>
      <c r="X276" s="293" t="str">
        <f t="shared" si="8"/>
        <v>083050 - Televízió-műsor szolgáltatása és támogatása</v>
      </c>
    </row>
    <row r="277" spans="21:24" x14ac:dyDescent="0.2">
      <c r="U277" s="323">
        <v>275</v>
      </c>
      <c r="V277" s="323" t="s">
        <v>2323</v>
      </c>
      <c r="W277" s="293" t="s">
        <v>2324</v>
      </c>
      <c r="X277" s="293" t="str">
        <f t="shared" si="8"/>
        <v>083080 - Nemzetiségi médiatartalom-szolgáltatás és támogatása</v>
      </c>
    </row>
    <row r="278" spans="21:24" x14ac:dyDescent="0.2">
      <c r="U278" s="323">
        <v>276</v>
      </c>
      <c r="V278" s="323" t="s">
        <v>2325</v>
      </c>
      <c r="W278" s="293" t="s">
        <v>2326</v>
      </c>
      <c r="X278" s="293" t="str">
        <f t="shared" si="8"/>
        <v>084010 - Társadalmi tevékenységekkel, esélyegyenlőséggel, érdekképviselettel, nemzetiségekkel, egyházakkal összefüggő feladatok igazgatása és szabályozása</v>
      </c>
    </row>
    <row r="279" spans="21:24" x14ac:dyDescent="0.2">
      <c r="U279" s="323">
        <v>277</v>
      </c>
      <c r="V279" s="323" t="s">
        <v>2327</v>
      </c>
      <c r="W279" s="293" t="s">
        <v>2328</v>
      </c>
      <c r="X279" s="293" t="str">
        <f t="shared" si="8"/>
        <v>084020 - Nemzetiségi közfeladatok ellátása és támogatása</v>
      </c>
    </row>
    <row r="280" spans="21:24" x14ac:dyDescent="0.2">
      <c r="U280" s="323">
        <v>278</v>
      </c>
      <c r="V280" s="323" t="s">
        <v>2329</v>
      </c>
      <c r="W280" s="293" t="s">
        <v>2330</v>
      </c>
      <c r="X280" s="293" t="str">
        <f t="shared" si="8"/>
        <v>084031 - Civil szervezetek működési támogatása</v>
      </c>
    </row>
    <row r="281" spans="21:24" x14ac:dyDescent="0.2">
      <c r="U281" s="323">
        <v>279</v>
      </c>
      <c r="V281" s="323" t="s">
        <v>2331</v>
      </c>
      <c r="W281" s="293" t="s">
        <v>2332</v>
      </c>
      <c r="X281" s="293" t="str">
        <f t="shared" si="8"/>
        <v>084032 - Civil szervezetek programtámogatása</v>
      </c>
    </row>
    <row r="282" spans="21:24" x14ac:dyDescent="0.2">
      <c r="U282" s="323">
        <v>280</v>
      </c>
      <c r="V282" s="323" t="s">
        <v>2333</v>
      </c>
      <c r="W282" s="293" t="s">
        <v>2334</v>
      </c>
      <c r="X282" s="293" t="str">
        <f t="shared" si="8"/>
        <v>084040 - Egyházak közösségi és hitéleti tevékenységének támogatása</v>
      </c>
    </row>
    <row r="283" spans="21:24" x14ac:dyDescent="0.2">
      <c r="U283" s="323">
        <v>281</v>
      </c>
      <c r="V283" s="323" t="s">
        <v>2335</v>
      </c>
      <c r="W283" s="293" t="s">
        <v>2336</v>
      </c>
      <c r="X283" s="293" t="str">
        <f t="shared" si="8"/>
        <v>084050 - Politikai pártok tevékenységének támogatása</v>
      </c>
    </row>
    <row r="284" spans="21:24" x14ac:dyDescent="0.2">
      <c r="U284" s="323">
        <v>282</v>
      </c>
      <c r="V284" s="323" t="s">
        <v>2337</v>
      </c>
      <c r="W284" s="293" t="s">
        <v>2338</v>
      </c>
      <c r="X284" s="293" t="str">
        <f t="shared" si="8"/>
        <v>084060 - Érdekképviseleti, szakszervezeti tevékenységek támogatása</v>
      </c>
    </row>
    <row r="285" spans="21:24" x14ac:dyDescent="0.2">
      <c r="U285" s="323">
        <v>283</v>
      </c>
      <c r="V285" s="323" t="s">
        <v>2339</v>
      </c>
      <c r="W285" s="293" t="s">
        <v>2340</v>
      </c>
      <c r="X285" s="293" t="str">
        <f t="shared" si="8"/>
        <v>084070 - A fiatalok társadalmi integrációját segítő struktúra, szakmai szolgáltatások fejlesztése, működtetése</v>
      </c>
    </row>
    <row r="286" spans="21:24" x14ac:dyDescent="0.2">
      <c r="U286" s="323">
        <v>284</v>
      </c>
      <c r="V286" s="323" t="s">
        <v>2341</v>
      </c>
      <c r="W286" s="293" t="s">
        <v>2342</v>
      </c>
      <c r="X286" s="293" t="str">
        <f t="shared" si="8"/>
        <v>085010 - Szabadidős tevékenységekkel, sporttal, kultúrával és vallással kapcsolatos alkalmazott kutatás és fejlesztés</v>
      </c>
    </row>
    <row r="287" spans="21:24" x14ac:dyDescent="0.2">
      <c r="U287" s="323">
        <v>285</v>
      </c>
      <c r="V287" s="323" t="s">
        <v>2343</v>
      </c>
      <c r="W287" s="293" t="s">
        <v>2344</v>
      </c>
      <c r="X287" s="293" t="str">
        <f t="shared" si="8"/>
        <v>086010 - Határon túli magyarok egyéb támogatásai</v>
      </c>
    </row>
    <row r="288" spans="21:24" x14ac:dyDescent="0.2">
      <c r="U288" s="323">
        <v>286</v>
      </c>
      <c r="V288" s="323" t="s">
        <v>2345</v>
      </c>
      <c r="W288" s="293" t="s">
        <v>2346</v>
      </c>
      <c r="X288" s="293" t="str">
        <f t="shared" si="8"/>
        <v>086020 - Helyi, térségi közösségi tér biztosítása, működtetése</v>
      </c>
    </row>
    <row r="289" spans="21:24" x14ac:dyDescent="0.2">
      <c r="U289" s="323">
        <v>287</v>
      </c>
      <c r="V289" s="323" t="s">
        <v>2347</v>
      </c>
      <c r="W289" s="293" t="s">
        <v>2348</v>
      </c>
      <c r="X289" s="293" t="str">
        <f t="shared" si="8"/>
        <v>086030 - Nemzetközi kulturális együttműködés</v>
      </c>
    </row>
    <row r="290" spans="21:24" x14ac:dyDescent="0.2">
      <c r="U290" s="323">
        <v>288</v>
      </c>
      <c r="V290" s="323" t="s">
        <v>2349</v>
      </c>
      <c r="W290" s="293" t="s">
        <v>2350</v>
      </c>
      <c r="X290" s="293" t="str">
        <f t="shared" si="8"/>
        <v>086090 - Egyéb szabadidős szolgáltatás</v>
      </c>
    </row>
    <row r="291" spans="21:24" x14ac:dyDescent="0.2">
      <c r="U291" s="323">
        <v>289</v>
      </c>
      <c r="V291" s="323" t="s">
        <v>2351</v>
      </c>
      <c r="W291" s="293" t="s">
        <v>2352</v>
      </c>
      <c r="X291" s="293" t="str">
        <f t="shared" si="8"/>
        <v>091110 - Óvodai nevelés, ellátás szakmai feladatai</v>
      </c>
    </row>
    <row r="292" spans="21:24" x14ac:dyDescent="0.2">
      <c r="U292" s="323">
        <v>290</v>
      </c>
      <c r="V292" s="323" t="s">
        <v>2353</v>
      </c>
      <c r="W292" s="293" t="s">
        <v>2354</v>
      </c>
      <c r="X292" s="293" t="str">
        <f t="shared" si="8"/>
        <v>091120 - Sajátos nevelési igényű gyermekek óvodai nevelésének, ellátásának szakmai feladatai</v>
      </c>
    </row>
    <row r="293" spans="21:24" x14ac:dyDescent="0.2">
      <c r="U293" s="323">
        <v>291</v>
      </c>
      <c r="V293" s="323" t="s">
        <v>2355</v>
      </c>
      <c r="W293" s="293" t="s">
        <v>2356</v>
      </c>
      <c r="X293" s="293" t="str">
        <f t="shared" si="8"/>
        <v>091130 - Nemzetiségi óvodai nevelés, ellátás szakmai feladatai</v>
      </c>
    </row>
    <row r="294" spans="21:24" x14ac:dyDescent="0.2">
      <c r="U294" s="323">
        <v>292</v>
      </c>
      <c r="V294" s="323" t="s">
        <v>314</v>
      </c>
      <c r="W294" s="293" t="s">
        <v>2357</v>
      </c>
      <c r="X294" s="293" t="str">
        <f t="shared" si="8"/>
        <v>091140 - Óvodai nevelés, ellátás működtetési feladatai</v>
      </c>
    </row>
    <row r="295" spans="21:24" x14ac:dyDescent="0.2">
      <c r="U295" s="323">
        <v>293</v>
      </c>
      <c r="V295" s="323" t="s">
        <v>2358</v>
      </c>
      <c r="W295" s="293" t="s">
        <v>2359</v>
      </c>
      <c r="X295" s="293" t="str">
        <f t="shared" si="8"/>
        <v>091211 - Köznevelési intézményben tanulók nappali rendszerű nevelésének, oktatásának szakmai feladatai 1-4. évfolyamon</v>
      </c>
    </row>
    <row r="296" spans="21:24" x14ac:dyDescent="0.2">
      <c r="U296" s="323">
        <v>294</v>
      </c>
      <c r="V296" s="323" t="s">
        <v>2360</v>
      </c>
      <c r="W296" s="293" t="s">
        <v>2361</v>
      </c>
      <c r="X296" s="293" t="str">
        <f t="shared" si="8"/>
        <v>091212 - Sajátos nevelési igényű tanulók nappali rendszerű nevelésének, oktatásának szakmai feladatai 1-4. évfolyamon</v>
      </c>
    </row>
    <row r="297" spans="21:24" x14ac:dyDescent="0.2">
      <c r="U297" s="323">
        <v>295</v>
      </c>
      <c r="V297" s="323" t="s">
        <v>2362</v>
      </c>
      <c r="W297" s="293" t="s">
        <v>2363</v>
      </c>
      <c r="X297" s="293" t="str">
        <f t="shared" si="8"/>
        <v>091213 - Nemzetiségi tanulók nappali rendszerű nevelésének, oktatásának szakmai feladatai 1-4. évfolyamon</v>
      </c>
    </row>
    <row r="298" spans="21:24" x14ac:dyDescent="0.2">
      <c r="U298" s="323">
        <v>296</v>
      </c>
      <c r="V298" s="323" t="s">
        <v>2364</v>
      </c>
      <c r="W298" s="293" t="s">
        <v>2365</v>
      </c>
      <c r="X298" s="293" t="str">
        <f t="shared" si="8"/>
        <v>091220 - Köznevelési intézmény 1-4. évfolyamán tanulók nevelésével, oktatásával összefüggő működtetési feladatok</v>
      </c>
    </row>
    <row r="299" spans="21:24" x14ac:dyDescent="0.2">
      <c r="U299" s="323">
        <v>297</v>
      </c>
      <c r="V299" s="323" t="s">
        <v>2366</v>
      </c>
      <c r="W299" s="293" t="s">
        <v>2367</v>
      </c>
      <c r="X299" s="293" t="str">
        <f t="shared" si="8"/>
        <v>091240 - Alapfokú művészetoktatás</v>
      </c>
    </row>
    <row r="300" spans="21:24" x14ac:dyDescent="0.2">
      <c r="U300" s="323">
        <v>298</v>
      </c>
      <c r="V300" s="323" t="s">
        <v>2368</v>
      </c>
      <c r="W300" s="293" t="s">
        <v>2369</v>
      </c>
      <c r="X300" s="293" t="str">
        <f t="shared" si="8"/>
        <v>091250 - Alapfokú művészetoktatással összefüggő működtetési feladatok</v>
      </c>
    </row>
    <row r="301" spans="21:24" x14ac:dyDescent="0.2">
      <c r="U301" s="323">
        <v>299</v>
      </c>
      <c r="V301" s="323" t="s">
        <v>2370</v>
      </c>
      <c r="W301" s="293" t="s">
        <v>2371</v>
      </c>
      <c r="X301" s="293" t="str">
        <f t="shared" si="8"/>
        <v>091260 - Felnőttoktatás 1-4. évfolyamon</v>
      </c>
    </row>
    <row r="302" spans="21:24" x14ac:dyDescent="0.2">
      <c r="U302" s="323">
        <v>300</v>
      </c>
      <c r="V302" s="323" t="s">
        <v>2372</v>
      </c>
      <c r="W302" s="293" t="s">
        <v>2373</v>
      </c>
      <c r="X302" s="293" t="str">
        <f t="shared" si="8"/>
        <v>092111 - Köznevelési intézményben tanulók nappali rendszerű nevelésének, oktatásának szakmai feladatai 5-8. évfolyamon</v>
      </c>
    </row>
    <row r="303" spans="21:24" x14ac:dyDescent="0.2">
      <c r="U303" s="323">
        <v>301</v>
      </c>
      <c r="V303" s="323" t="s">
        <v>2374</v>
      </c>
      <c r="W303" s="293" t="s">
        <v>2375</v>
      </c>
      <c r="X303" s="293" t="str">
        <f t="shared" si="8"/>
        <v>092112 - Sajátos nevelési igényű tanulók nappali rendszerű nevelésének, oktatásának szakmai feladatai 5-8. évfolyamon</v>
      </c>
    </row>
    <row r="304" spans="21:24" x14ac:dyDescent="0.2">
      <c r="U304" s="323">
        <v>302</v>
      </c>
      <c r="V304" s="323" t="s">
        <v>2376</v>
      </c>
      <c r="W304" s="293" t="s">
        <v>2377</v>
      </c>
      <c r="X304" s="293" t="str">
        <f t="shared" si="8"/>
        <v>092113 - Nemzetiségi tanulók nappali rendszerű nevelésének, oktatásának szakmai feladatai 5-8. évfolyamon</v>
      </c>
    </row>
    <row r="305" spans="21:24" x14ac:dyDescent="0.2">
      <c r="U305" s="323">
        <v>303</v>
      </c>
      <c r="V305" s="323" t="s">
        <v>2378</v>
      </c>
      <c r="W305" s="293" t="s">
        <v>2379</v>
      </c>
      <c r="X305" s="293" t="str">
        <f t="shared" si="8"/>
        <v>092120 - Köznevelési intézmény 5-8. évfolyamán tanulók nevelésével, oktatásával összefüggő működtetési feladatok</v>
      </c>
    </row>
    <row r="306" spans="21:24" x14ac:dyDescent="0.2">
      <c r="U306" s="323">
        <v>304</v>
      </c>
      <c r="V306" s="323" t="s">
        <v>2380</v>
      </c>
      <c r="W306" s="293" t="s">
        <v>2381</v>
      </c>
      <c r="X306" s="293" t="str">
        <f t="shared" si="8"/>
        <v>092140 - Felnőttoktatás 5-8. évfolyamon</v>
      </c>
    </row>
    <row r="307" spans="21:24" x14ac:dyDescent="0.2">
      <c r="U307" s="323">
        <v>305</v>
      </c>
      <c r="V307" s="323" t="s">
        <v>2382</v>
      </c>
      <c r="W307" s="293" t="s">
        <v>2383</v>
      </c>
      <c r="X307" s="293" t="str">
        <f t="shared" si="8"/>
        <v>092150 - Iskolarendszeren kívüli ISCED 2 szintű OKJ-s képzés</v>
      </c>
    </row>
    <row r="308" spans="21:24" x14ac:dyDescent="0.2">
      <c r="U308" s="323">
        <v>306</v>
      </c>
      <c r="V308" s="323" t="s">
        <v>2384</v>
      </c>
      <c r="W308" s="293" t="s">
        <v>2385</v>
      </c>
      <c r="X308" s="293" t="str">
        <f t="shared" si="8"/>
        <v>092211 - Gimnáziumi oktatás, nevelés szakmai feladatai</v>
      </c>
    </row>
    <row r="309" spans="21:24" x14ac:dyDescent="0.2">
      <c r="U309" s="323">
        <v>307</v>
      </c>
      <c r="V309" s="323" t="s">
        <v>2386</v>
      </c>
      <c r="W309" s="293" t="s">
        <v>2387</v>
      </c>
      <c r="X309" s="293" t="str">
        <f t="shared" si="8"/>
        <v>092212 - Sajátos nevelési igényű tanulók gimnáziumi nevelésének, oktatásának szakmai feladatai</v>
      </c>
    </row>
    <row r="310" spans="21:24" x14ac:dyDescent="0.2">
      <c r="U310" s="323">
        <v>308</v>
      </c>
      <c r="V310" s="323" t="s">
        <v>2388</v>
      </c>
      <c r="W310" s="293" t="s">
        <v>2389</v>
      </c>
      <c r="X310" s="293" t="str">
        <f t="shared" si="8"/>
        <v>092213 - Nemzetiségi tanulók gimnáziumi oktatásának, nevelésének szakmai feladatai</v>
      </c>
    </row>
    <row r="311" spans="21:24" x14ac:dyDescent="0.2">
      <c r="U311" s="323">
        <v>309</v>
      </c>
      <c r="V311" s="323" t="s">
        <v>2390</v>
      </c>
      <c r="W311" s="293" t="s">
        <v>2391</v>
      </c>
      <c r="X311" s="293" t="str">
        <f t="shared" si="8"/>
        <v>092221 - Közismereti és szakképesítés megszerzésére felkészítő szakmai elméleti oktatás szakmai feladatai a szakképző iskolákban</v>
      </c>
    </row>
    <row r="312" spans="21:24" x14ac:dyDescent="0.2">
      <c r="U312" s="323">
        <v>310</v>
      </c>
      <c r="V312" s="323" t="s">
        <v>2392</v>
      </c>
      <c r="W312" s="293" t="s">
        <v>2393</v>
      </c>
      <c r="X312" s="293" t="str">
        <f t="shared" si="8"/>
        <v>092222 - Sajátos nevelési igényű tanulók közismereti és szakképesítés megszerzésére felkészítő szakmai elméleti oktatásának szakmai feladatai a szakképző iskolákban</v>
      </c>
    </row>
    <row r="313" spans="21:24" x14ac:dyDescent="0.2">
      <c r="U313" s="323">
        <v>311</v>
      </c>
      <c r="V313" s="323" t="s">
        <v>2394</v>
      </c>
      <c r="W313" s="293" t="s">
        <v>2395</v>
      </c>
      <c r="X313" s="293" t="str">
        <f t="shared" si="8"/>
        <v>092223 - Nemzetiségi tanulók közismereti és szakképesítés megszerzésére felkészítő szakmai elméleti oktatás szakmai feladatai a szakképző iskolákban</v>
      </c>
    </row>
    <row r="314" spans="21:24" x14ac:dyDescent="0.2">
      <c r="U314" s="323">
        <v>312</v>
      </c>
      <c r="V314" s="323" t="s">
        <v>2396</v>
      </c>
      <c r="W314" s="293" t="s">
        <v>2397</v>
      </c>
      <c r="X314" s="293" t="str">
        <f t="shared" si="8"/>
        <v>092231 - Szakképesítés megszerzésére felkészítő szakmai gyakorlati oktatás szakmai feladatai a szakképző iskolákban</v>
      </c>
    </row>
    <row r="315" spans="21:24" x14ac:dyDescent="0.2">
      <c r="U315" s="323">
        <v>313</v>
      </c>
      <c r="V315" s="323" t="s">
        <v>2398</v>
      </c>
      <c r="W315" s="293" t="s">
        <v>2399</v>
      </c>
      <c r="X315" s="293" t="str">
        <f t="shared" si="8"/>
        <v>092232 - Sajátos nevelési igényű tanulók szakképesítés megszerzésére felkészítő szakmai gyakorlati oktatásának szakmai feladatai a szakképző iskolákban</v>
      </c>
    </row>
    <row r="316" spans="21:24" x14ac:dyDescent="0.2">
      <c r="U316" s="323">
        <v>314</v>
      </c>
      <c r="V316" s="323" t="s">
        <v>2400</v>
      </c>
      <c r="W316" s="293" t="s">
        <v>2401</v>
      </c>
      <c r="X316" s="293" t="str">
        <f t="shared" si="8"/>
        <v>092260 - Gimnázium és szakképző iskola tanulóinak közismereti és szakmai elméleti oktatásával összefüggő működtetési feladatok</v>
      </c>
    </row>
    <row r="317" spans="21:24" x14ac:dyDescent="0.2">
      <c r="U317" s="323">
        <v>315</v>
      </c>
      <c r="V317" s="323" t="s">
        <v>2402</v>
      </c>
      <c r="W317" s="293" t="s">
        <v>2403</v>
      </c>
      <c r="X317" s="293" t="str">
        <f t="shared" si="8"/>
        <v>092270 - Szakképző iskolai tanulók szakmai gyakorlati oktatásával összefüggő működtetési feladatok</v>
      </c>
    </row>
    <row r="318" spans="21:24" x14ac:dyDescent="0.2">
      <c r="U318" s="323">
        <v>316</v>
      </c>
      <c r="V318" s="323" t="s">
        <v>2404</v>
      </c>
      <c r="W318" s="293" t="s">
        <v>2405</v>
      </c>
      <c r="X318" s="293" t="str">
        <f t="shared" si="8"/>
        <v>092290 - Iskolarendszeren kívüli ISCED 3 szintű OKJ-s képzés</v>
      </c>
    </row>
    <row r="319" spans="21:24" x14ac:dyDescent="0.2">
      <c r="U319" s="323">
        <v>317</v>
      </c>
      <c r="V319" s="323" t="s">
        <v>2406</v>
      </c>
      <c r="W319" s="293" t="s">
        <v>2407</v>
      </c>
      <c r="X319" s="293" t="str">
        <f t="shared" si="8"/>
        <v>093010 - Felsőfokú végzettségi szintet nem biztosító képzések</v>
      </c>
    </row>
    <row r="320" spans="21:24" x14ac:dyDescent="0.2">
      <c r="U320" s="323">
        <v>318</v>
      </c>
      <c r="V320" s="323" t="s">
        <v>2408</v>
      </c>
      <c r="W320" s="293" t="s">
        <v>2409</v>
      </c>
      <c r="X320" s="293" t="str">
        <f t="shared" si="8"/>
        <v>093020 - Iskolarendszeren kívüli ISCED 4 szintű OKJ-s képzés</v>
      </c>
    </row>
    <row r="321" spans="21:24" x14ac:dyDescent="0.2">
      <c r="U321" s="323">
        <v>319</v>
      </c>
      <c r="V321" s="323" t="s">
        <v>2410</v>
      </c>
      <c r="W321" s="293" t="s">
        <v>2411</v>
      </c>
      <c r="X321" s="293" t="str">
        <f t="shared" si="8"/>
        <v>094110 - Felsőoktatási szakképzés</v>
      </c>
    </row>
    <row r="322" spans="21:24" x14ac:dyDescent="0.2">
      <c r="U322" s="323">
        <v>320</v>
      </c>
      <c r="V322" s="323" t="s">
        <v>2412</v>
      </c>
      <c r="W322" s="293" t="s">
        <v>2413</v>
      </c>
      <c r="X322" s="293" t="str">
        <f t="shared" si="8"/>
        <v>094120 - Szakirányú továbbképzés</v>
      </c>
    </row>
    <row r="323" spans="21:24" x14ac:dyDescent="0.2">
      <c r="U323" s="323">
        <v>321</v>
      </c>
      <c r="V323" s="323" t="s">
        <v>2414</v>
      </c>
      <c r="W323" s="293" t="s">
        <v>2415</v>
      </c>
      <c r="X323" s="293" t="str">
        <f t="shared" si="8"/>
        <v>094130 - Egészségügyi szakmai képzés</v>
      </c>
    </row>
    <row r="324" spans="21:24" x14ac:dyDescent="0.2">
      <c r="U324" s="323">
        <v>322</v>
      </c>
      <c r="V324" s="323" t="s">
        <v>2416</v>
      </c>
      <c r="W324" s="293" t="s">
        <v>2417</v>
      </c>
      <c r="X324" s="293" t="str">
        <f t="shared" ref="X324:X387" si="9">CONCATENATE(V324," - ",W324)</f>
        <v>094170 - Iskolarendszeren kívüli ISCED 5 szintű OKJ-s képzés</v>
      </c>
    </row>
    <row r="325" spans="21:24" x14ac:dyDescent="0.2">
      <c r="U325" s="323">
        <v>323</v>
      </c>
      <c r="V325" s="323" t="s">
        <v>2418</v>
      </c>
      <c r="W325" s="293" t="s">
        <v>2419</v>
      </c>
      <c r="X325" s="293" t="str">
        <f t="shared" si="9"/>
        <v>094210 - Felsőfokú oktatás</v>
      </c>
    </row>
    <row r="326" spans="21:24" x14ac:dyDescent="0.2">
      <c r="U326" s="323">
        <v>324</v>
      </c>
      <c r="V326" s="323" t="s">
        <v>2420</v>
      </c>
      <c r="W326" s="293" t="s">
        <v>2421</v>
      </c>
      <c r="X326" s="293" t="str">
        <f t="shared" si="9"/>
        <v>094250 - Tankönyv- és jegyzettámogatás</v>
      </c>
    </row>
    <row r="327" spans="21:24" x14ac:dyDescent="0.2">
      <c r="U327" s="323">
        <v>325</v>
      </c>
      <c r="V327" s="323" t="s">
        <v>2422</v>
      </c>
      <c r="W327" s="293" t="s">
        <v>2423</v>
      </c>
      <c r="X327" s="293" t="str">
        <f t="shared" si="9"/>
        <v>094260 - Hallgatói és oktatói ösztöndíjak, egyéb juttatások</v>
      </c>
    </row>
    <row r="328" spans="21:24" x14ac:dyDescent="0.2">
      <c r="U328" s="323">
        <v>326</v>
      </c>
      <c r="V328" s="323" t="s">
        <v>2424</v>
      </c>
      <c r="W328" s="293" t="s">
        <v>2425</v>
      </c>
      <c r="X328" s="293" t="str">
        <f t="shared" si="9"/>
        <v>094280 - Hallgatók lakhatásának biztosítása</v>
      </c>
    </row>
    <row r="329" spans="21:24" x14ac:dyDescent="0.2">
      <c r="U329" s="323">
        <v>327</v>
      </c>
      <c r="V329" s="323" t="s">
        <v>2426</v>
      </c>
      <c r="W329" s="293" t="s">
        <v>2427</v>
      </c>
      <c r="X329" s="293" t="str">
        <f t="shared" si="9"/>
        <v>094290 - Iskolarendszeren kívüli ISCED 6 szintű OKJ-s képzés</v>
      </c>
    </row>
    <row r="330" spans="21:24" x14ac:dyDescent="0.2">
      <c r="U330" s="323">
        <v>328</v>
      </c>
      <c r="V330" s="323" t="s">
        <v>2428</v>
      </c>
      <c r="W330" s="293" t="s">
        <v>2429</v>
      </c>
      <c r="X330" s="293" t="str">
        <f t="shared" si="9"/>
        <v>095010 - Határon túli magyarok oktatási támogatásai</v>
      </c>
    </row>
    <row r="331" spans="21:24" x14ac:dyDescent="0.2">
      <c r="U331" s="323">
        <v>329</v>
      </c>
      <c r="V331" s="323" t="s">
        <v>2430</v>
      </c>
      <c r="W331" s="293" t="s">
        <v>2431</v>
      </c>
      <c r="X331" s="293" t="str">
        <f t="shared" si="9"/>
        <v>095020 - Iskolarendszeren kívüli egyéb oktatás, képzés</v>
      </c>
    </row>
    <row r="332" spans="21:24" x14ac:dyDescent="0.2">
      <c r="U332" s="323">
        <v>330</v>
      </c>
      <c r="V332" s="323" t="s">
        <v>2432</v>
      </c>
      <c r="W332" s="293" t="s">
        <v>2433</v>
      </c>
      <c r="X332" s="293" t="str">
        <f t="shared" si="9"/>
        <v>095030 - Szakképzési és felnőttképzési támogatások</v>
      </c>
    </row>
    <row r="333" spans="21:24" x14ac:dyDescent="0.2">
      <c r="U333" s="323">
        <v>331</v>
      </c>
      <c r="V333" s="323" t="s">
        <v>2434</v>
      </c>
      <c r="W333" s="293" t="s">
        <v>2435</v>
      </c>
      <c r="X333" s="293" t="str">
        <f t="shared" si="9"/>
        <v>095040 - Munkaerő-piaci felnőttképzéshez kapcsolódó szakmai szolgáltatások</v>
      </c>
    </row>
    <row r="334" spans="21:24" x14ac:dyDescent="0.2">
      <c r="U334" s="323">
        <v>332</v>
      </c>
      <c r="V334" s="323" t="s">
        <v>2436</v>
      </c>
      <c r="W334" s="293" t="s">
        <v>2437</v>
      </c>
      <c r="X334" s="293" t="str">
        <f t="shared" si="9"/>
        <v>096015 - Gyermekétkeztetés köznevelési intézményben</v>
      </c>
    </row>
    <row r="335" spans="21:24" x14ac:dyDescent="0.2">
      <c r="U335" s="323">
        <v>333</v>
      </c>
      <c r="V335" s="323" t="s">
        <v>2438</v>
      </c>
      <c r="W335" s="293" t="s">
        <v>2439</v>
      </c>
      <c r="X335" s="293" t="str">
        <f t="shared" si="9"/>
        <v>096025 - Munkahelyi étkeztetés köznevelési intézményben</v>
      </c>
    </row>
    <row r="336" spans="21:24" x14ac:dyDescent="0.2">
      <c r="U336" s="323">
        <v>334</v>
      </c>
      <c r="V336" s="323" t="s">
        <v>2440</v>
      </c>
      <c r="W336" s="293" t="s">
        <v>2441</v>
      </c>
      <c r="X336" s="293" t="str">
        <f t="shared" si="9"/>
        <v>096030 - Köznevelési intézményben tanulók lakhatásának biztosítása</v>
      </c>
    </row>
    <row r="337" spans="21:24" x14ac:dyDescent="0.2">
      <c r="U337" s="323">
        <v>335</v>
      </c>
      <c r="V337" s="323" t="s">
        <v>2442</v>
      </c>
      <c r="W337" s="293" t="s">
        <v>2443</v>
      </c>
      <c r="X337" s="293" t="str">
        <f t="shared" si="9"/>
        <v>096040 - Köznevelési intézményben tanulók kollégiumi, externátusi nevelése</v>
      </c>
    </row>
    <row r="338" spans="21:24" x14ac:dyDescent="0.2">
      <c r="U338" s="323">
        <v>336</v>
      </c>
      <c r="V338" s="323" t="s">
        <v>2444</v>
      </c>
      <c r="W338" s="293" t="s">
        <v>2445</v>
      </c>
      <c r="X338" s="293" t="str">
        <f t="shared" si="9"/>
        <v>097010 - Oktatáshoz kapcsolódó alkalmazott kutatás és fejlesztés</v>
      </c>
    </row>
    <row r="339" spans="21:24" x14ac:dyDescent="0.2">
      <c r="U339" s="323">
        <v>337</v>
      </c>
      <c r="V339" s="323" t="s">
        <v>2446</v>
      </c>
      <c r="W339" s="293" t="s">
        <v>2447</v>
      </c>
      <c r="X339" s="293" t="str">
        <f t="shared" si="9"/>
        <v>098010 - Oktatás igazgatása</v>
      </c>
    </row>
    <row r="340" spans="21:24" x14ac:dyDescent="0.2">
      <c r="U340" s="323">
        <v>338</v>
      </c>
      <c r="V340" s="323" t="s">
        <v>2448</v>
      </c>
      <c r="W340" s="293" t="s">
        <v>2449</v>
      </c>
      <c r="X340" s="293" t="str">
        <f t="shared" si="9"/>
        <v>098021 - Pedagógiai szakszolgáltató tevékenység szakmai feladatai</v>
      </c>
    </row>
    <row r="341" spans="21:24" x14ac:dyDescent="0.2">
      <c r="U341" s="323">
        <v>339</v>
      </c>
      <c r="V341" s="323" t="s">
        <v>2450</v>
      </c>
      <c r="W341" s="293" t="s">
        <v>2451</v>
      </c>
      <c r="X341" s="293" t="str">
        <f t="shared" si="9"/>
        <v>098022 - Pedagógiai szakszolgáltató tevékenység működtetési feladatai</v>
      </c>
    </row>
    <row r="342" spans="21:24" x14ac:dyDescent="0.2">
      <c r="U342" s="323">
        <v>340</v>
      </c>
      <c r="V342" s="323" t="s">
        <v>2452</v>
      </c>
      <c r="W342" s="293" t="s">
        <v>2453</v>
      </c>
      <c r="X342" s="293" t="str">
        <f t="shared" si="9"/>
        <v>098031 - Pedagógiai szakmai szolgáltatások szakmai feladatai</v>
      </c>
    </row>
    <row r="343" spans="21:24" x14ac:dyDescent="0.2">
      <c r="U343" s="323">
        <v>341</v>
      </c>
      <c r="V343" s="323" t="s">
        <v>2454</v>
      </c>
      <c r="W343" s="293" t="s">
        <v>2455</v>
      </c>
      <c r="X343" s="293" t="str">
        <f t="shared" si="9"/>
        <v>098032 - Pedagógiai szakmai szolgáltatások működtetési feladatai</v>
      </c>
    </row>
    <row r="344" spans="21:24" x14ac:dyDescent="0.2">
      <c r="U344" s="323">
        <v>342</v>
      </c>
      <c r="V344" s="323" t="s">
        <v>2456</v>
      </c>
      <c r="W344" s="293" t="s">
        <v>2457</v>
      </c>
      <c r="X344" s="293" t="str">
        <f t="shared" si="9"/>
        <v>098040 - Nemzetközi oktatási együttműködés</v>
      </c>
    </row>
    <row r="345" spans="21:24" x14ac:dyDescent="0.2">
      <c r="U345" s="323">
        <v>343</v>
      </c>
      <c r="V345" s="323" t="s">
        <v>2458</v>
      </c>
      <c r="W345" s="293" t="s">
        <v>2459</v>
      </c>
      <c r="X345" s="293" t="str">
        <f t="shared" si="9"/>
        <v>098051 - Utazó gyógypedagógusi, utazó konduktori tevékenység szakmai feladatai</v>
      </c>
    </row>
    <row r="346" spans="21:24" x14ac:dyDescent="0.2">
      <c r="U346" s="323">
        <v>344</v>
      </c>
      <c r="V346" s="323" t="s">
        <v>2460</v>
      </c>
      <c r="W346" s="293" t="s">
        <v>2461</v>
      </c>
      <c r="X346" s="293" t="str">
        <f t="shared" si="9"/>
        <v>098052 - Utazó gyógypedagógusi, utazó konduktori tevékenység működtetési feladatai</v>
      </c>
    </row>
    <row r="347" spans="21:24" x14ac:dyDescent="0.2">
      <c r="U347" s="323">
        <v>345</v>
      </c>
      <c r="V347" s="323" t="s">
        <v>2462</v>
      </c>
      <c r="W347" s="293" t="s">
        <v>2463</v>
      </c>
      <c r="X347" s="293" t="str">
        <f t="shared" si="9"/>
        <v>098061 - Fejlesztő nevelés-oktatás szakmai feladatai</v>
      </c>
    </row>
    <row r="348" spans="21:24" x14ac:dyDescent="0.2">
      <c r="U348" s="323">
        <v>346</v>
      </c>
      <c r="V348" s="323" t="s">
        <v>2464</v>
      </c>
      <c r="W348" s="293" t="s">
        <v>2465</v>
      </c>
      <c r="X348" s="293" t="str">
        <f t="shared" si="9"/>
        <v>098062 - Fejlesztő nevelés-oktatás működtetési feladatai</v>
      </c>
    </row>
    <row r="349" spans="21:24" x14ac:dyDescent="0.2">
      <c r="U349" s="323">
        <v>347</v>
      </c>
      <c r="V349" s="323">
        <v>101110</v>
      </c>
      <c r="W349" s="293" t="s">
        <v>2466</v>
      </c>
      <c r="X349" s="293" t="str">
        <f t="shared" si="9"/>
        <v>101110 - Bentlakásos, nem kórházi ellátás, ápolás</v>
      </c>
    </row>
    <row r="350" spans="21:24" x14ac:dyDescent="0.2">
      <c r="U350" s="323">
        <v>348</v>
      </c>
      <c r="V350" s="323">
        <v>101121</v>
      </c>
      <c r="W350" s="293" t="s">
        <v>2467</v>
      </c>
      <c r="X350" s="293" t="str">
        <f t="shared" si="9"/>
        <v>101121 - Pszichiátriai betegek tartós bentlakásos ellátása</v>
      </c>
    </row>
    <row r="351" spans="21:24" x14ac:dyDescent="0.2">
      <c r="U351" s="323">
        <v>349</v>
      </c>
      <c r="V351" s="323">
        <v>101122</v>
      </c>
      <c r="W351" s="293" t="s">
        <v>2468</v>
      </c>
      <c r="X351" s="293" t="str">
        <f t="shared" si="9"/>
        <v>101122 - Szenvedélybetegek tartós bentlakásos ellátása</v>
      </c>
    </row>
    <row r="352" spans="21:24" x14ac:dyDescent="0.2">
      <c r="U352" s="323">
        <v>350</v>
      </c>
      <c r="V352" s="323">
        <v>101123</v>
      </c>
      <c r="W352" s="293" t="s">
        <v>2469</v>
      </c>
      <c r="X352" s="293" t="str">
        <f t="shared" si="9"/>
        <v>101123 - Pszichiátriai betegek rehabilitációs célú bentlakásos ellátása</v>
      </c>
    </row>
    <row r="353" spans="21:24" x14ac:dyDescent="0.2">
      <c r="U353" s="323">
        <v>351</v>
      </c>
      <c r="V353" s="323">
        <v>101124</v>
      </c>
      <c r="W353" s="293" t="s">
        <v>2470</v>
      </c>
      <c r="X353" s="293" t="str">
        <f t="shared" si="9"/>
        <v>101124 - Szenvedélybetegek rehabilitációs célú bentlakásos ellátása</v>
      </c>
    </row>
    <row r="354" spans="21:24" x14ac:dyDescent="0.2">
      <c r="U354" s="323">
        <v>352</v>
      </c>
      <c r="V354" s="323">
        <v>101125</v>
      </c>
      <c r="W354" s="293" t="s">
        <v>2471</v>
      </c>
      <c r="X354" s="293" t="str">
        <f t="shared" si="9"/>
        <v>101125 - Pszichiátriai betegek rehabilitációs lakóotthoni ellátása</v>
      </c>
    </row>
    <row r="355" spans="21:24" x14ac:dyDescent="0.2">
      <c r="U355" s="323">
        <v>353</v>
      </c>
      <c r="V355" s="323">
        <v>101126</v>
      </c>
      <c r="W355" s="293" t="s">
        <v>2472</v>
      </c>
      <c r="X355" s="293" t="str">
        <f t="shared" si="9"/>
        <v>101126 - Szenvedélybetegek rehabilitációs lakóotthoni ellátása</v>
      </c>
    </row>
    <row r="356" spans="21:24" x14ac:dyDescent="0.2">
      <c r="U356" s="323">
        <v>354</v>
      </c>
      <c r="V356" s="323">
        <v>101131</v>
      </c>
      <c r="W356" s="293" t="s">
        <v>2473</v>
      </c>
      <c r="X356" s="293" t="str">
        <f t="shared" si="9"/>
        <v>101131 - Pszichiátriai betegek átmeneti ellátása</v>
      </c>
    </row>
    <row r="357" spans="21:24" x14ac:dyDescent="0.2">
      <c r="U357" s="323">
        <v>355</v>
      </c>
      <c r="V357" s="323">
        <v>101132</v>
      </c>
      <c r="W357" s="293" t="s">
        <v>2474</v>
      </c>
      <c r="X357" s="293" t="str">
        <f t="shared" si="9"/>
        <v>101132 - Szenvedélybetegek átmeneti ellátása</v>
      </c>
    </row>
    <row r="358" spans="21:24" x14ac:dyDescent="0.2">
      <c r="U358" s="323">
        <v>356</v>
      </c>
      <c r="V358" s="323">
        <v>101133</v>
      </c>
      <c r="W358" s="293" t="s">
        <v>2475</v>
      </c>
      <c r="X358" s="293" t="str">
        <f t="shared" si="9"/>
        <v>101133 - Támogatott lakhatás pszichiátriai betegek részére</v>
      </c>
    </row>
    <row r="359" spans="21:24" x14ac:dyDescent="0.2">
      <c r="U359" s="323">
        <v>357</v>
      </c>
      <c r="V359" s="323">
        <v>101134</v>
      </c>
      <c r="W359" s="293" t="s">
        <v>2476</v>
      </c>
      <c r="X359" s="293" t="str">
        <f t="shared" si="9"/>
        <v>101134 - Támogatott lakhatás szenvedélybetegek részére</v>
      </c>
    </row>
    <row r="360" spans="21:24" x14ac:dyDescent="0.2">
      <c r="U360" s="323">
        <v>358</v>
      </c>
      <c r="V360" s="323">
        <v>101141</v>
      </c>
      <c r="W360" s="293" t="s">
        <v>2477</v>
      </c>
      <c r="X360" s="293" t="str">
        <f t="shared" si="9"/>
        <v>101141 - Pszichiátriai betegek nappali ellátása</v>
      </c>
    </row>
    <row r="361" spans="21:24" x14ac:dyDescent="0.2">
      <c r="U361" s="323">
        <v>359</v>
      </c>
      <c r="V361" s="323">
        <v>101142</v>
      </c>
      <c r="W361" s="293" t="s">
        <v>2478</v>
      </c>
      <c r="X361" s="293" t="str">
        <f t="shared" si="9"/>
        <v>101142 - Szenvedélybetegek nappali ellátása</v>
      </c>
    </row>
    <row r="362" spans="21:24" x14ac:dyDescent="0.2">
      <c r="U362" s="323">
        <v>360</v>
      </c>
      <c r="V362" s="323">
        <v>101143</v>
      </c>
      <c r="W362" s="293" t="s">
        <v>2479</v>
      </c>
      <c r="X362" s="293" t="str">
        <f t="shared" si="9"/>
        <v>101143 - Pszichiátriai betegek közösségi alapellátása</v>
      </c>
    </row>
    <row r="363" spans="21:24" x14ac:dyDescent="0.2">
      <c r="U363" s="323">
        <v>361</v>
      </c>
      <c r="V363" s="323">
        <v>101144</v>
      </c>
      <c r="W363" s="293" t="s">
        <v>2480</v>
      </c>
      <c r="X363" s="293" t="str">
        <f t="shared" si="9"/>
        <v>101144 - Szenvedélybetegek közösségi alapellátása (kivéve: alacsonyküszöbű ellátás)</v>
      </c>
    </row>
    <row r="364" spans="21:24" x14ac:dyDescent="0.2">
      <c r="U364" s="323">
        <v>362</v>
      </c>
      <c r="V364" s="323">
        <v>101145</v>
      </c>
      <c r="W364" s="293" t="s">
        <v>2481</v>
      </c>
      <c r="X364" s="293" t="str">
        <f t="shared" si="9"/>
        <v>101145 - Szenvedélybetegek alacsonyküszöbű ellátása</v>
      </c>
    </row>
    <row r="365" spans="21:24" x14ac:dyDescent="0.2">
      <c r="U365" s="323">
        <v>363</v>
      </c>
      <c r="V365" s="323">
        <v>101150</v>
      </c>
      <c r="W365" s="293" t="s">
        <v>2482</v>
      </c>
      <c r="X365" s="293" t="str">
        <f t="shared" si="9"/>
        <v>101150 - Betegséggel kapcsolatos pénzbeli ellátások, támogatások</v>
      </c>
    </row>
    <row r="366" spans="21:24" x14ac:dyDescent="0.2">
      <c r="U366" s="323">
        <v>364</v>
      </c>
      <c r="V366" s="323">
        <v>101211</v>
      </c>
      <c r="W366" s="293" t="s">
        <v>2483</v>
      </c>
      <c r="X366" s="293" t="str">
        <f t="shared" si="9"/>
        <v>101211 - Fogyatékossággal élők tartós bentlakásos ellátása</v>
      </c>
    </row>
    <row r="367" spans="21:24" x14ac:dyDescent="0.2">
      <c r="U367" s="323">
        <v>365</v>
      </c>
      <c r="V367" s="323">
        <v>101212</v>
      </c>
      <c r="W367" s="293" t="s">
        <v>2484</v>
      </c>
      <c r="X367" s="293" t="str">
        <f t="shared" si="9"/>
        <v>101212 - Fogyatékossággal élők rehabilitációs célú bentlakásos ellátása</v>
      </c>
    </row>
    <row r="368" spans="21:24" x14ac:dyDescent="0.2">
      <c r="U368" s="323">
        <v>366</v>
      </c>
      <c r="V368" s="323">
        <v>101213</v>
      </c>
      <c r="W368" s="293" t="s">
        <v>2485</v>
      </c>
      <c r="X368" s="293" t="str">
        <f t="shared" si="9"/>
        <v>101213 - Fogyatékossággal élők átmeneti ellátása</v>
      </c>
    </row>
    <row r="369" spans="21:24" x14ac:dyDescent="0.2">
      <c r="U369" s="323">
        <v>367</v>
      </c>
      <c r="V369" s="323">
        <v>101214</v>
      </c>
      <c r="W369" s="293" t="s">
        <v>2486</v>
      </c>
      <c r="X369" s="293" t="str">
        <f t="shared" si="9"/>
        <v>101214 - Támogatott lakhatás fogyatékos személyek részére</v>
      </c>
    </row>
    <row r="370" spans="21:24" x14ac:dyDescent="0.2">
      <c r="U370" s="323">
        <v>368</v>
      </c>
      <c r="V370" s="323">
        <v>101215</v>
      </c>
      <c r="W370" s="293" t="s">
        <v>2487</v>
      </c>
      <c r="X370" s="293" t="str">
        <f t="shared" si="9"/>
        <v>101215 - Fogyatékossággal élők ápoló-gondozó lakóotthoni ellátása</v>
      </c>
    </row>
    <row r="371" spans="21:24" x14ac:dyDescent="0.2">
      <c r="U371" s="323">
        <v>369</v>
      </c>
      <c r="V371" s="323">
        <v>101216</v>
      </c>
      <c r="W371" s="293" t="s">
        <v>2488</v>
      </c>
      <c r="X371" s="293" t="str">
        <f t="shared" si="9"/>
        <v>101216 - Fogyatékossággal élők rehabilitációs célú lakóotthoni ellátása</v>
      </c>
    </row>
    <row r="372" spans="21:24" x14ac:dyDescent="0.2">
      <c r="U372" s="323">
        <v>370</v>
      </c>
      <c r="V372" s="323">
        <v>101221</v>
      </c>
      <c r="W372" s="293" t="s">
        <v>2489</v>
      </c>
      <c r="X372" s="293" t="str">
        <f t="shared" si="9"/>
        <v>101221 - Fogyatékossággal élők nappali ellátása</v>
      </c>
    </row>
    <row r="373" spans="21:24" x14ac:dyDescent="0.2">
      <c r="U373" s="323">
        <v>371</v>
      </c>
      <c r="V373" s="323">
        <v>101222</v>
      </c>
      <c r="W373" s="293" t="s">
        <v>2490</v>
      </c>
      <c r="X373" s="293" t="str">
        <f t="shared" si="9"/>
        <v>101222 - Támogató szolgáltatás fogyatékos személyek részére</v>
      </c>
    </row>
    <row r="374" spans="21:24" x14ac:dyDescent="0.2">
      <c r="U374" s="323">
        <v>372</v>
      </c>
      <c r="V374" s="323">
        <v>101231</v>
      </c>
      <c r="W374" s="293" t="s">
        <v>2491</v>
      </c>
      <c r="X374" s="293" t="str">
        <f t="shared" si="9"/>
        <v>101231 - Fogyatékossággal összefüggő pénzbeli ellátások, támogatások</v>
      </c>
    </row>
    <row r="375" spans="21:24" x14ac:dyDescent="0.2">
      <c r="U375" s="323">
        <v>373</v>
      </c>
      <c r="V375" s="323">
        <v>101232</v>
      </c>
      <c r="W375" s="293" t="s">
        <v>2492</v>
      </c>
      <c r="X375" s="293" t="str">
        <f t="shared" si="9"/>
        <v>101232 - Megváltozott munkaképességgel összefüggő pénzbeli ellátások, támogatások</v>
      </c>
    </row>
    <row r="376" spans="21:24" x14ac:dyDescent="0.2">
      <c r="U376" s="323">
        <v>374</v>
      </c>
      <c r="V376" s="323">
        <v>101240</v>
      </c>
      <c r="W376" s="293" t="s">
        <v>2493</v>
      </c>
      <c r="X376" s="293" t="str">
        <f t="shared" si="9"/>
        <v>101240 - Megváltozott munkaképességű személyek foglalkoztatását elősegítő képzések, támogatások</v>
      </c>
    </row>
    <row r="377" spans="21:24" x14ac:dyDescent="0.2">
      <c r="U377" s="323">
        <v>375</v>
      </c>
      <c r="V377" s="323">
        <v>101270</v>
      </c>
      <c r="W377" s="293" t="s">
        <v>2494</v>
      </c>
      <c r="X377" s="293" t="str">
        <f t="shared" si="9"/>
        <v>101270 - Fogyatékossággal élők társadalmi integrációját és életminőségét segítő programok, támogatások</v>
      </c>
    </row>
    <row r="378" spans="21:24" x14ac:dyDescent="0.2">
      <c r="U378" s="323">
        <v>376</v>
      </c>
      <c r="V378" s="323">
        <v>102010</v>
      </c>
      <c r="W378" s="293" t="s">
        <v>2495</v>
      </c>
      <c r="X378" s="293" t="str">
        <f t="shared" si="9"/>
        <v>102010 - Nyugdíjbiztosítási szolgáltatások igazgatása</v>
      </c>
    </row>
    <row r="379" spans="21:24" x14ac:dyDescent="0.2">
      <c r="U379" s="323">
        <v>377</v>
      </c>
      <c r="V379" s="323">
        <v>102023</v>
      </c>
      <c r="W379" s="293" t="s">
        <v>2496</v>
      </c>
      <c r="X379" s="293" t="str">
        <f t="shared" si="9"/>
        <v>102023 - Időskorúak tartós bentlakásos ellátása</v>
      </c>
    </row>
    <row r="380" spans="21:24" x14ac:dyDescent="0.2">
      <c r="U380" s="323">
        <v>378</v>
      </c>
      <c r="V380" s="323">
        <v>102024</v>
      </c>
      <c r="W380" s="293" t="s">
        <v>2497</v>
      </c>
      <c r="X380" s="293" t="str">
        <f t="shared" si="9"/>
        <v>102024 - Demens betegek tartós bentlakásos ellátása</v>
      </c>
    </row>
    <row r="381" spans="21:24" x14ac:dyDescent="0.2">
      <c r="U381" s="323">
        <v>379</v>
      </c>
      <c r="V381" s="323">
        <v>102025</v>
      </c>
      <c r="W381" s="293" t="s">
        <v>2498</v>
      </c>
      <c r="X381" s="293" t="str">
        <f t="shared" si="9"/>
        <v>102025 - Időskorúak átmeneti ellátása</v>
      </c>
    </row>
    <row r="382" spans="21:24" x14ac:dyDescent="0.2">
      <c r="U382" s="323">
        <v>380</v>
      </c>
      <c r="V382" s="323">
        <v>102026</v>
      </c>
      <c r="W382" s="293" t="s">
        <v>2499</v>
      </c>
      <c r="X382" s="293" t="str">
        <f t="shared" si="9"/>
        <v>102026 - Demens betegek átmeneti ellátása</v>
      </c>
    </row>
    <row r="383" spans="21:24" x14ac:dyDescent="0.2">
      <c r="U383" s="323">
        <v>381</v>
      </c>
      <c r="V383" s="323">
        <v>102027</v>
      </c>
      <c r="W383" s="293" t="s">
        <v>2500</v>
      </c>
      <c r="X383" s="293" t="str">
        <f t="shared" si="9"/>
        <v>102027 - Szakápolási központ</v>
      </c>
    </row>
    <row r="384" spans="21:24" x14ac:dyDescent="0.2">
      <c r="U384" s="323">
        <v>382</v>
      </c>
      <c r="V384" s="323">
        <v>102031</v>
      </c>
      <c r="W384" s="293" t="s">
        <v>2501</v>
      </c>
      <c r="X384" s="293" t="str">
        <f t="shared" si="9"/>
        <v>102031 - Idősek nappali ellátása</v>
      </c>
    </row>
    <row r="385" spans="21:24" x14ac:dyDescent="0.2">
      <c r="U385" s="323">
        <v>383</v>
      </c>
      <c r="V385" s="323">
        <v>102032</v>
      </c>
      <c r="W385" s="293" t="s">
        <v>2502</v>
      </c>
      <c r="X385" s="293" t="str">
        <f t="shared" si="9"/>
        <v>102032 - Demens betegek nappali ellátása</v>
      </c>
    </row>
    <row r="386" spans="21:24" x14ac:dyDescent="0.2">
      <c r="U386" s="323">
        <v>384</v>
      </c>
      <c r="V386" s="323">
        <v>102040</v>
      </c>
      <c r="W386" s="293" t="s">
        <v>2503</v>
      </c>
      <c r="X386" s="293" t="str">
        <f t="shared" si="9"/>
        <v>102040 - Időskorral összefüggő pénzbeli ellátások</v>
      </c>
    </row>
    <row r="387" spans="21:24" x14ac:dyDescent="0.2">
      <c r="U387" s="323">
        <v>385</v>
      </c>
      <c r="V387" s="323">
        <v>102050</v>
      </c>
      <c r="W387" s="293" t="s">
        <v>2504</v>
      </c>
      <c r="X387" s="293" t="str">
        <f t="shared" si="9"/>
        <v>102050 - Az időskorúak társadalmi integrációját célzó programok</v>
      </c>
    </row>
    <row r="388" spans="21:24" x14ac:dyDescent="0.2">
      <c r="U388" s="323">
        <v>386</v>
      </c>
      <c r="V388" s="323">
        <v>103010</v>
      </c>
      <c r="W388" s="293" t="s">
        <v>2505</v>
      </c>
      <c r="X388" s="293" t="str">
        <f t="shared" ref="X388:X438" si="10">CONCATENATE(V388," - ",W388)</f>
        <v>103010 - Elhunyt személyek hátramaradottainak pénzbeli ellátásai</v>
      </c>
    </row>
    <row r="389" spans="21:24" x14ac:dyDescent="0.2">
      <c r="U389" s="323">
        <v>387</v>
      </c>
      <c r="V389" s="323">
        <v>104011</v>
      </c>
      <c r="W389" s="293" t="s">
        <v>2506</v>
      </c>
      <c r="X389" s="293" t="str">
        <f t="shared" si="10"/>
        <v>104011 - Gyermekvédelmi bentlakásos ellátások</v>
      </c>
    </row>
    <row r="390" spans="21:24" x14ac:dyDescent="0.2">
      <c r="U390" s="323">
        <v>388</v>
      </c>
      <c r="V390" s="323">
        <v>104012</v>
      </c>
      <c r="W390" s="293" t="s">
        <v>2507</v>
      </c>
      <c r="X390" s="293" t="str">
        <f t="shared" si="10"/>
        <v>104012 - Gyermekek átmeneti ellátása</v>
      </c>
    </row>
    <row r="391" spans="21:24" x14ac:dyDescent="0.2">
      <c r="U391" s="323">
        <v>389</v>
      </c>
      <c r="V391" s="323">
        <v>104013</v>
      </c>
      <c r="W391" s="293" t="s">
        <v>2508</v>
      </c>
      <c r="X391" s="293" t="str">
        <f t="shared" si="10"/>
        <v>104013 - Nevelőszülőnél elhelyezettek ellátása</v>
      </c>
    </row>
    <row r="392" spans="21:24" x14ac:dyDescent="0.2">
      <c r="U392" s="323">
        <v>390</v>
      </c>
      <c r="V392" s="323">
        <v>104020</v>
      </c>
      <c r="W392" s="293" t="s">
        <v>2509</v>
      </c>
      <c r="X392" s="293" t="str">
        <f t="shared" si="10"/>
        <v>104020 - Javítóintézeti ellátás</v>
      </c>
    </row>
    <row r="393" spans="21:24" x14ac:dyDescent="0.2">
      <c r="U393" s="323">
        <v>391</v>
      </c>
      <c r="V393" s="323">
        <v>104030</v>
      </c>
      <c r="W393" s="293" t="s">
        <v>2510</v>
      </c>
      <c r="X393" s="293" t="str">
        <f t="shared" si="10"/>
        <v>104030 - Gyermekek napközbeni ellátása családi bölcsőde, munkahelyi bölcsőde, napközbeni gyermekfelügyelet vagy alternatív napközbeni ellátás útján</v>
      </c>
    </row>
    <row r="394" spans="21:24" x14ac:dyDescent="0.2">
      <c r="U394" s="323">
        <v>392</v>
      </c>
      <c r="V394" s="323">
        <v>104031</v>
      </c>
      <c r="W394" s="293" t="s">
        <v>2511</v>
      </c>
      <c r="X394" s="293" t="str">
        <f t="shared" si="10"/>
        <v>104031 - Gyermekek bölcsődében és mini bölcsődében történő ellátása</v>
      </c>
    </row>
    <row r="395" spans="21:24" x14ac:dyDescent="0.2">
      <c r="U395" s="323">
        <v>393</v>
      </c>
      <c r="V395" s="323">
        <v>104035</v>
      </c>
      <c r="W395" s="293" t="s">
        <v>2512</v>
      </c>
      <c r="X395" s="293" t="str">
        <f t="shared" si="10"/>
        <v>104035 - Gyermekétkeztetés bölcsődében, fogyatékosok nappali intézményében</v>
      </c>
    </row>
    <row r="396" spans="21:24" x14ac:dyDescent="0.2">
      <c r="U396" s="323">
        <v>394</v>
      </c>
      <c r="V396" s="323">
        <v>104036</v>
      </c>
      <c r="W396" s="293" t="s">
        <v>2513</v>
      </c>
      <c r="X396" s="293" t="str">
        <f t="shared" si="10"/>
        <v>104036 - Munkahelyi étkeztetés gyermekek napközbeni ellátását biztosító intézményben</v>
      </c>
    </row>
    <row r="397" spans="21:24" x14ac:dyDescent="0.2">
      <c r="U397" s="323">
        <v>395</v>
      </c>
      <c r="V397" s="323">
        <v>104037</v>
      </c>
      <c r="W397" s="293" t="s">
        <v>2514</v>
      </c>
      <c r="X397" s="293" t="str">
        <f t="shared" si="10"/>
        <v>104037 - Intézményen kívüli gyermekétkeztetés</v>
      </c>
    </row>
    <row r="398" spans="21:24" x14ac:dyDescent="0.2">
      <c r="U398" s="323">
        <v>396</v>
      </c>
      <c r="V398" s="323">
        <v>104041</v>
      </c>
      <c r="W398" s="293" t="s">
        <v>2515</v>
      </c>
      <c r="X398" s="293" t="str">
        <f t="shared" si="10"/>
        <v>104041 - Területi gyermekvédelmi szakszolgáltatás</v>
      </c>
    </row>
    <row r="399" spans="21:24" x14ac:dyDescent="0.2">
      <c r="U399" s="323">
        <v>397</v>
      </c>
      <c r="V399" s="323">
        <v>104042</v>
      </c>
      <c r="W399" s="293" t="s">
        <v>2516</v>
      </c>
      <c r="X399" s="293" t="str">
        <f t="shared" si="10"/>
        <v>104042 - Család és gyermekjóléti szolgáltatások</v>
      </c>
    </row>
    <row r="400" spans="21:24" x14ac:dyDescent="0.2">
      <c r="U400" s="323">
        <v>398</v>
      </c>
      <c r="V400" s="323">
        <v>104043</v>
      </c>
      <c r="W400" s="293" t="s">
        <v>2517</v>
      </c>
      <c r="X400" s="293" t="str">
        <f t="shared" si="10"/>
        <v>104043 - Család és gyermekjóléti központ</v>
      </c>
    </row>
    <row r="401" spans="21:24" x14ac:dyDescent="0.2">
      <c r="U401" s="323">
        <v>399</v>
      </c>
      <c r="V401" s="323">
        <v>104044</v>
      </c>
      <c r="W401" s="293" t="s">
        <v>2518</v>
      </c>
      <c r="X401" s="293" t="str">
        <f t="shared" si="10"/>
        <v>104044 - Biztos Kezdet Gyerekház</v>
      </c>
    </row>
    <row r="402" spans="21:24" x14ac:dyDescent="0.2">
      <c r="U402" s="323">
        <v>400</v>
      </c>
      <c r="V402" s="323">
        <v>104051</v>
      </c>
      <c r="W402" s="293" t="s">
        <v>2519</v>
      </c>
      <c r="X402" s="293" t="str">
        <f t="shared" si="10"/>
        <v>104051 - Gyermekvédelmi pénzbeli és természetbeni ellátások</v>
      </c>
    </row>
    <row r="403" spans="21:24" x14ac:dyDescent="0.2">
      <c r="U403" s="323">
        <v>401</v>
      </c>
      <c r="V403" s="323">
        <v>104052</v>
      </c>
      <c r="W403" s="293" t="s">
        <v>2520</v>
      </c>
      <c r="X403" s="293" t="str">
        <f t="shared" si="10"/>
        <v>104052 - Családtámogatások</v>
      </c>
    </row>
    <row r="404" spans="21:24" x14ac:dyDescent="0.2">
      <c r="U404" s="323">
        <v>402</v>
      </c>
      <c r="V404" s="323">
        <v>104060</v>
      </c>
      <c r="W404" s="293" t="s">
        <v>2521</v>
      </c>
      <c r="X404" s="293" t="str">
        <f t="shared" si="10"/>
        <v>104060 - A gyermekek, fiatalok és családok életminőségét javító programok</v>
      </c>
    </row>
    <row r="405" spans="21:24" x14ac:dyDescent="0.2">
      <c r="U405" s="323">
        <v>403</v>
      </c>
      <c r="V405" s="323">
        <v>104070</v>
      </c>
      <c r="W405" s="293" t="s">
        <v>2522</v>
      </c>
      <c r="X405" s="293" t="str">
        <f t="shared" si="10"/>
        <v>104070 - A gyermeki jogok érvényre juttatásával összefüggő feladatok</v>
      </c>
    </row>
    <row r="406" spans="21:24" x14ac:dyDescent="0.2">
      <c r="U406" s="323">
        <v>404</v>
      </c>
      <c r="V406" s="323">
        <v>105010</v>
      </c>
      <c r="W406" s="293" t="s">
        <v>2523</v>
      </c>
      <c r="X406" s="293" t="str">
        <f t="shared" si="10"/>
        <v>105010 - Munkanélküli aktív korúak ellátásai</v>
      </c>
    </row>
    <row r="407" spans="21:24" x14ac:dyDescent="0.2">
      <c r="U407" s="323">
        <v>405</v>
      </c>
      <c r="V407" s="323">
        <v>105020</v>
      </c>
      <c r="W407" s="293" t="s">
        <v>2524</v>
      </c>
      <c r="X407" s="293" t="str">
        <f t="shared" si="10"/>
        <v>105020 - Foglalkoztatást elősegítő képzések és egyéb támogatások</v>
      </c>
    </row>
    <row r="408" spans="21:24" x14ac:dyDescent="0.2">
      <c r="U408" s="323">
        <v>406</v>
      </c>
      <c r="V408" s="323">
        <v>106010</v>
      </c>
      <c r="W408" s="293" t="s">
        <v>2525</v>
      </c>
      <c r="X408" s="293" t="str">
        <f t="shared" si="10"/>
        <v>106010 - Lakóingatlan szociális célú bérbeadása, üzemeltetése</v>
      </c>
    </row>
    <row r="409" spans="21:24" x14ac:dyDescent="0.2">
      <c r="U409" s="323">
        <v>407</v>
      </c>
      <c r="V409" s="323">
        <v>106020</v>
      </c>
      <c r="W409" s="293" t="s">
        <v>2526</v>
      </c>
      <c r="X409" s="293" t="str">
        <f t="shared" si="10"/>
        <v>106020 - Lakásfenntartással, lakhatással összefüggő ellátások</v>
      </c>
    </row>
    <row r="410" spans="21:24" x14ac:dyDescent="0.2">
      <c r="U410" s="323">
        <v>408</v>
      </c>
      <c r="V410" s="323">
        <v>107011</v>
      </c>
      <c r="W410" s="293" t="s">
        <v>2527</v>
      </c>
      <c r="X410" s="293" t="str">
        <f t="shared" si="10"/>
        <v>107011 - Hajléktalanok tartós bentlakásos ellátása</v>
      </c>
    </row>
    <row r="411" spans="21:24" x14ac:dyDescent="0.2">
      <c r="U411" s="323">
        <v>409</v>
      </c>
      <c r="V411" s="323">
        <v>107012</v>
      </c>
      <c r="W411" s="293" t="s">
        <v>2528</v>
      </c>
      <c r="X411" s="293" t="str">
        <f t="shared" si="10"/>
        <v>107012 - Hajléktalanok rehabilitációs célú bentlakásos ellátása</v>
      </c>
    </row>
    <row r="412" spans="21:24" x14ac:dyDescent="0.2">
      <c r="U412" s="323">
        <v>410</v>
      </c>
      <c r="V412" s="323">
        <v>107013</v>
      </c>
      <c r="W412" s="293" t="s">
        <v>2529</v>
      </c>
      <c r="X412" s="293" t="str">
        <f t="shared" si="10"/>
        <v>107013 - Hajléktalanok átmeneti ellátása</v>
      </c>
    </row>
    <row r="413" spans="21:24" x14ac:dyDescent="0.2">
      <c r="U413" s="323">
        <v>411</v>
      </c>
      <c r="V413" s="323">
        <v>107015</v>
      </c>
      <c r="W413" s="293" t="s">
        <v>2530</v>
      </c>
      <c r="X413" s="293" t="str">
        <f t="shared" si="10"/>
        <v>107015 - Hajléktalanok nappali ellátása</v>
      </c>
    </row>
    <row r="414" spans="21:24" x14ac:dyDescent="0.2">
      <c r="U414" s="323">
        <v>412</v>
      </c>
      <c r="V414" s="323">
        <v>107016</v>
      </c>
      <c r="W414" s="293" t="s">
        <v>2531</v>
      </c>
      <c r="X414" s="293" t="str">
        <f t="shared" si="10"/>
        <v>107016 - Utcai szociális munka</v>
      </c>
    </row>
    <row r="415" spans="21:24" x14ac:dyDescent="0.2">
      <c r="U415" s="323">
        <v>413</v>
      </c>
      <c r="V415" s="323">
        <v>107020</v>
      </c>
      <c r="W415" s="293" t="s">
        <v>2532</v>
      </c>
      <c r="X415" s="293" t="str">
        <f t="shared" si="10"/>
        <v>107020 - Családon belüli erőszak sértettjeinek bentlakásos ellátása</v>
      </c>
    </row>
    <row r="416" spans="21:24" x14ac:dyDescent="0.2">
      <c r="U416" s="323">
        <v>414</v>
      </c>
      <c r="V416" s="323">
        <v>107030</v>
      </c>
      <c r="W416" s="293" t="s">
        <v>2533</v>
      </c>
      <c r="X416" s="293" t="str">
        <f t="shared" si="10"/>
        <v>107030 - Szociális foglalkoztatás, fejlesztő foglalkoztatás</v>
      </c>
    </row>
    <row r="417" spans="21:24" x14ac:dyDescent="0.2">
      <c r="U417" s="323">
        <v>415</v>
      </c>
      <c r="V417" s="323">
        <v>107050</v>
      </c>
      <c r="W417" s="293" t="s">
        <v>2534</v>
      </c>
      <c r="X417" s="293" t="str">
        <f t="shared" si="10"/>
        <v>107050 - Szociális étkeztetés népkonyhán</v>
      </c>
    </row>
    <row r="418" spans="21:24" x14ac:dyDescent="0.2">
      <c r="U418" s="323">
        <v>416</v>
      </c>
      <c r="V418" s="323">
        <v>107051</v>
      </c>
      <c r="W418" s="293" t="s">
        <v>2535</v>
      </c>
      <c r="X418" s="293" t="str">
        <f t="shared" si="10"/>
        <v>107051 - Szociális étkeztetés szociális konyhán</v>
      </c>
    </row>
    <row r="419" spans="21:24" x14ac:dyDescent="0.2">
      <c r="U419" s="323">
        <v>417</v>
      </c>
      <c r="V419" s="323">
        <v>107052</v>
      </c>
      <c r="W419" s="293" t="s">
        <v>2536</v>
      </c>
      <c r="X419" s="293" t="str">
        <f t="shared" si="10"/>
        <v>107052 - Házi segítségnyújtás</v>
      </c>
    </row>
    <row r="420" spans="21:24" x14ac:dyDescent="0.2">
      <c r="U420" s="323">
        <v>418</v>
      </c>
      <c r="V420" s="323">
        <v>107053</v>
      </c>
      <c r="W420" s="293" t="s">
        <v>2537</v>
      </c>
      <c r="X420" s="293" t="str">
        <f t="shared" si="10"/>
        <v>107053 - Jelzőrendszeres házi segítségnyújtás</v>
      </c>
    </row>
    <row r="421" spans="21:24" x14ac:dyDescent="0.2">
      <c r="U421" s="323">
        <v>419</v>
      </c>
      <c r="V421" s="323">
        <v>107055</v>
      </c>
      <c r="W421" s="293" t="s">
        <v>2538</v>
      </c>
      <c r="X421" s="293" t="str">
        <f t="shared" si="10"/>
        <v>107055 - Falugondnoki, tanyagondnoki szolgáltatás</v>
      </c>
    </row>
    <row r="422" spans="21:24" x14ac:dyDescent="0.2">
      <c r="U422" s="323">
        <v>420</v>
      </c>
      <c r="V422" s="323">
        <v>107060</v>
      </c>
      <c r="W422" s="293" t="s">
        <v>2539</v>
      </c>
      <c r="X422" s="293" t="str">
        <f t="shared" si="10"/>
        <v>107060 - Egyéb szociális pénzbeli és természetbeni ellátások, támogatások</v>
      </c>
    </row>
    <row r="423" spans="21:24" x14ac:dyDescent="0.2">
      <c r="U423" s="323">
        <v>421</v>
      </c>
      <c r="V423" s="323">
        <v>107070</v>
      </c>
      <c r="W423" s="293" t="s">
        <v>2540</v>
      </c>
      <c r="X423" s="293" t="str">
        <f t="shared" si="10"/>
        <v>107070 - Menekültek, befogadottak, oltalmazottak ideiglenes ellátása és támogatása</v>
      </c>
    </row>
    <row r="424" spans="21:24" x14ac:dyDescent="0.2">
      <c r="U424" s="323">
        <v>422</v>
      </c>
      <c r="V424" s="323">
        <v>107080</v>
      </c>
      <c r="W424" s="293" t="s">
        <v>2541</v>
      </c>
      <c r="X424" s="293" t="str">
        <f t="shared" si="10"/>
        <v>107080 - Esélyegyenlőség elősegítését célzó tevékenységek és programok</v>
      </c>
    </row>
    <row r="425" spans="21:24" x14ac:dyDescent="0.2">
      <c r="U425" s="323">
        <v>423</v>
      </c>
      <c r="V425" s="323">
        <v>107090</v>
      </c>
      <c r="W425" s="293" t="s">
        <v>2542</v>
      </c>
      <c r="X425" s="293" t="str">
        <f t="shared" si="10"/>
        <v>107090 - Romák társadalmi integrációját elősegítő tevékenységek, programok</v>
      </c>
    </row>
    <row r="426" spans="21:24" x14ac:dyDescent="0.2">
      <c r="U426" s="323">
        <v>424</v>
      </c>
      <c r="V426" s="323">
        <v>108010</v>
      </c>
      <c r="W426" s="293" t="s">
        <v>2543</v>
      </c>
      <c r="X426" s="293" t="str">
        <f t="shared" si="10"/>
        <v>108010 - Szociális biztonsággal kapcsolatos alkalmazott kutatás és fejlesztés</v>
      </c>
    </row>
    <row r="427" spans="21:24" x14ac:dyDescent="0.2">
      <c r="U427" s="323">
        <v>425</v>
      </c>
      <c r="V427" s="323">
        <v>109010</v>
      </c>
      <c r="W427" s="293" t="s">
        <v>2544</v>
      </c>
      <c r="X427" s="293" t="str">
        <f t="shared" si="10"/>
        <v>109010 - Szociális szolgáltatások igazgatása</v>
      </c>
    </row>
    <row r="428" spans="21:24" x14ac:dyDescent="0.2">
      <c r="U428" s="323">
        <v>426</v>
      </c>
      <c r="V428" s="323">
        <v>109020</v>
      </c>
      <c r="W428" s="293" t="s">
        <v>2545</v>
      </c>
      <c r="X428" s="293" t="str">
        <f t="shared" si="10"/>
        <v>109020 - Szociális szolgáltatások módszertani szakirányítása</v>
      </c>
    </row>
    <row r="429" spans="21:24" x14ac:dyDescent="0.2">
      <c r="U429" s="323">
        <v>427</v>
      </c>
      <c r="V429" s="323">
        <v>109030</v>
      </c>
      <c r="W429" s="293" t="s">
        <v>2546</v>
      </c>
      <c r="X429" s="293" t="str">
        <f t="shared" si="10"/>
        <v>109030 - Természetes személyek adósságrendezésével kapcsolatos feladatok</v>
      </c>
    </row>
    <row r="430" spans="21:24" x14ac:dyDescent="0.2">
      <c r="U430" s="323">
        <v>428</v>
      </c>
      <c r="V430" s="323">
        <v>109070</v>
      </c>
      <c r="W430" s="293" t="s">
        <v>2547</v>
      </c>
      <c r="X430" s="293" t="str">
        <f t="shared" si="10"/>
        <v>109070 - Nemzetközi humanitárius segítségnyújtás</v>
      </c>
    </row>
    <row r="431" spans="21:24" x14ac:dyDescent="0.2">
      <c r="U431" s="323">
        <v>429</v>
      </c>
      <c r="V431" s="323">
        <v>900010</v>
      </c>
      <c r="W431" s="293" t="s">
        <v>2548</v>
      </c>
      <c r="X431" s="293" t="str">
        <f t="shared" si="10"/>
        <v>900010 - Központi költségvetés funkcióra nem sorolható bevételei államháztartáson kívülről</v>
      </c>
    </row>
    <row r="432" spans="21:24" x14ac:dyDescent="0.2">
      <c r="U432" s="323">
        <v>430</v>
      </c>
      <c r="V432" s="323">
        <v>900020</v>
      </c>
      <c r="W432" s="293" t="s">
        <v>2549</v>
      </c>
      <c r="X432" s="293" t="str">
        <f t="shared" si="10"/>
        <v>900020 - Önkormányzatok funkcióra nem sorolható bevételei államháztartáson kívülről</v>
      </c>
    </row>
    <row r="433" spans="21:24" x14ac:dyDescent="0.2">
      <c r="U433" s="323">
        <v>431</v>
      </c>
      <c r="V433" s="323">
        <v>900030</v>
      </c>
      <c r="W433" s="293" t="s">
        <v>2550</v>
      </c>
      <c r="X433" s="293" t="str">
        <f t="shared" si="10"/>
        <v>900030 - Elkülönített állami pénzalapok funkcióra nem sorolható bevételei államháztartáson kívülről</v>
      </c>
    </row>
    <row r="434" spans="21:24" x14ac:dyDescent="0.2">
      <c r="U434" s="323">
        <v>432</v>
      </c>
      <c r="V434" s="323">
        <v>900040</v>
      </c>
      <c r="W434" s="293" t="s">
        <v>2551</v>
      </c>
      <c r="X434" s="293" t="str">
        <f t="shared" si="10"/>
        <v>900040 - Egészségbiztosítási Alap funkcióra nem sorolható bevételei államháztartáson kívülről</v>
      </c>
    </row>
    <row r="435" spans="21:24" x14ac:dyDescent="0.2">
      <c r="U435" s="323">
        <v>433</v>
      </c>
      <c r="V435" s="323">
        <v>900050</v>
      </c>
      <c r="W435" s="293" t="s">
        <v>2552</v>
      </c>
      <c r="X435" s="293" t="str">
        <f t="shared" si="10"/>
        <v>900050 - Nyugdíjbiztosítási Alap funkcióra nem sorolható bevételei államháztartáson kívülről</v>
      </c>
    </row>
    <row r="436" spans="21:24" x14ac:dyDescent="0.2">
      <c r="U436" s="323">
        <v>434</v>
      </c>
      <c r="V436" s="323">
        <v>900060</v>
      </c>
      <c r="W436" s="293" t="s">
        <v>2553</v>
      </c>
      <c r="X436" s="293" t="str">
        <f t="shared" si="10"/>
        <v>900060 - Forgatási és befektetési célú finanszírozási műveletek</v>
      </c>
    </row>
    <row r="437" spans="21:24" x14ac:dyDescent="0.2">
      <c r="U437" s="323">
        <v>435</v>
      </c>
      <c r="V437" s="323">
        <v>900090</v>
      </c>
      <c r="W437" s="293" t="s">
        <v>2554</v>
      </c>
      <c r="X437" s="293" t="str">
        <f t="shared" si="10"/>
        <v>900090 - Vállalkozási tevékenységek kiadásai és bevételei</v>
      </c>
    </row>
    <row r="438" spans="21:24" x14ac:dyDescent="0.2">
      <c r="U438" s="323">
        <v>436</v>
      </c>
      <c r="V438" s="351" t="s">
        <v>2563</v>
      </c>
      <c r="W438" s="293" t="s">
        <v>2560</v>
      </c>
      <c r="X438" s="293" t="str">
        <f t="shared" si="10"/>
        <v>000000 - Nincs COFOG</v>
      </c>
    </row>
  </sheetData>
  <phoneticPr fontId="23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Munka23">
    <tabColor theme="4" tint="0.59999389629810485"/>
    <pageSetUpPr fitToPage="1"/>
  </sheetPr>
  <dimension ref="B1:H36"/>
  <sheetViews>
    <sheetView view="pageBreakPreview" topLeftCell="A4" zoomScaleSheetLayoutView="100" workbookViewId="0">
      <selection activeCell="K16" sqref="K16"/>
    </sheetView>
  </sheetViews>
  <sheetFormatPr defaultColWidth="9" defaultRowHeight="12.75" x14ac:dyDescent="0.25"/>
  <cols>
    <col min="1" max="1" width="0.875" style="22" customWidth="1"/>
    <col min="2" max="2" width="5.625" style="22" customWidth="1"/>
    <col min="3" max="3" width="30.625" style="23" customWidth="1"/>
    <col min="4" max="8" width="12.625" style="22" customWidth="1"/>
    <col min="9" max="9" width="1" style="22" customWidth="1"/>
    <col min="10" max="10" width="9.625" style="22" customWidth="1"/>
    <col min="11" max="11" width="19" style="22" customWidth="1"/>
    <col min="12" max="12" width="56.25" style="22" customWidth="1"/>
    <col min="13" max="16384" width="9" style="22"/>
  </cols>
  <sheetData>
    <row r="1" spans="2:8" ht="6" customHeight="1" x14ac:dyDescent="0.25"/>
    <row r="2" spans="2:8" s="37" customFormat="1" ht="15.75" customHeight="1" x14ac:dyDescent="0.25">
      <c r="B2" s="513" t="str">
        <f>CONCATENATE(Index!C27," a(z) ",Index!E16," önkormányzati rendelethez")</f>
        <v>8. melléklet a(z) .../2025. (...) önkormányzati rendelethez</v>
      </c>
      <c r="C2" s="513"/>
      <c r="D2" s="513"/>
      <c r="E2" s="513"/>
      <c r="F2" s="513"/>
      <c r="G2" s="513"/>
      <c r="H2" s="513"/>
    </row>
    <row r="3" spans="2:8" s="37" customFormat="1" ht="15.75" x14ac:dyDescent="0.25">
      <c r="C3" s="137"/>
      <c r="D3" s="137"/>
      <c r="E3" s="137"/>
      <c r="F3" s="137"/>
      <c r="G3" s="137"/>
      <c r="H3" s="137"/>
    </row>
    <row r="4" spans="2:8" s="37" customFormat="1" ht="15.75" x14ac:dyDescent="0.25">
      <c r="B4" s="514" t="str">
        <f>CONCATENATE(PAR!E3)</f>
        <v>Nagymaros Város Önkormányzata</v>
      </c>
      <c r="C4" s="514"/>
      <c r="D4" s="514"/>
      <c r="E4" s="514"/>
      <c r="F4" s="514"/>
      <c r="G4" s="514"/>
      <c r="H4" s="514"/>
    </row>
    <row r="5" spans="2:8" s="37" customFormat="1" ht="15.75" customHeight="1" x14ac:dyDescent="0.25">
      <c r="B5" s="514" t="s">
        <v>603</v>
      </c>
      <c r="C5" s="514"/>
      <c r="D5" s="514"/>
      <c r="E5" s="514"/>
      <c r="F5" s="514"/>
      <c r="G5" s="514"/>
      <c r="H5" s="514"/>
    </row>
    <row r="6" spans="2:8" s="37" customFormat="1" ht="15.75" x14ac:dyDescent="0.25">
      <c r="B6" s="515" t="s">
        <v>337</v>
      </c>
      <c r="C6" s="515"/>
      <c r="D6" s="515"/>
      <c r="E6" s="515"/>
      <c r="F6" s="515"/>
      <c r="G6" s="515"/>
      <c r="H6" s="515"/>
    </row>
    <row r="7" spans="2:8" s="37" customFormat="1" ht="15.75" x14ac:dyDescent="0.25">
      <c r="B7" s="118"/>
      <c r="C7" s="118"/>
      <c r="D7" s="118"/>
      <c r="E7" s="118"/>
      <c r="F7" s="118"/>
      <c r="G7" s="118"/>
      <c r="H7" s="118"/>
    </row>
    <row r="8" spans="2:8" x14ac:dyDescent="0.2">
      <c r="B8" s="108"/>
      <c r="C8" s="108" t="s">
        <v>350</v>
      </c>
      <c r="D8" s="108" t="s">
        <v>351</v>
      </c>
      <c r="E8" s="108" t="s">
        <v>470</v>
      </c>
      <c r="F8" s="108" t="s">
        <v>471</v>
      </c>
      <c r="G8" s="135" t="s">
        <v>44</v>
      </c>
      <c r="H8" s="135" t="s">
        <v>42</v>
      </c>
    </row>
    <row r="9" spans="2:8" s="27" customFormat="1" ht="45.75" customHeight="1" x14ac:dyDescent="0.25">
      <c r="B9" s="108">
        <v>1</v>
      </c>
      <c r="C9" s="107" t="s">
        <v>467</v>
      </c>
      <c r="D9" s="107" t="s">
        <v>468</v>
      </c>
      <c r="E9" s="107" t="s">
        <v>469</v>
      </c>
      <c r="F9" s="274" t="str">
        <f>CONCATENATE("Felhasználás ",PAR!H9,"-ig")</f>
        <v>Felhasználás  2024.12.31-ig</v>
      </c>
      <c r="G9" s="107" t="str">
        <f>CONCATENATE(PAR!H3," évi előirányzat")</f>
        <v>2025. évi előirányzat</v>
      </c>
      <c r="H9" s="107" t="str">
        <f>CONCATENATE(PAR!H3," év utáni szükséglet")</f>
        <v>2025. év utáni szükséglet</v>
      </c>
    </row>
    <row r="10" spans="2:8" x14ac:dyDescent="0.25">
      <c r="B10" s="108">
        <v>2</v>
      </c>
      <c r="C10" s="115"/>
      <c r="D10" s="110"/>
      <c r="E10" s="133"/>
      <c r="F10" s="110"/>
      <c r="G10" s="110"/>
      <c r="H10" s="110">
        <f>D10-F10-G10</f>
        <v>0</v>
      </c>
    </row>
    <row r="11" spans="2:8" x14ac:dyDescent="0.25">
      <c r="B11" s="108">
        <v>3</v>
      </c>
      <c r="C11" s="115"/>
      <c r="D11" s="110"/>
      <c r="E11" s="133"/>
      <c r="F11" s="110"/>
      <c r="G11" s="110"/>
      <c r="H11" s="110">
        <f t="shared" ref="H11:H19" si="0">D11-F11-G11</f>
        <v>0</v>
      </c>
    </row>
    <row r="12" spans="2:8" x14ac:dyDescent="0.25">
      <c r="B12" s="108">
        <v>4</v>
      </c>
      <c r="C12" s="115"/>
      <c r="D12" s="110"/>
      <c r="E12" s="133"/>
      <c r="F12" s="110"/>
      <c r="G12" s="110"/>
      <c r="H12" s="110">
        <f t="shared" si="0"/>
        <v>0</v>
      </c>
    </row>
    <row r="13" spans="2:8" x14ac:dyDescent="0.25">
      <c r="B13" s="108">
        <v>5</v>
      </c>
      <c r="C13" s="115"/>
      <c r="D13" s="110"/>
      <c r="E13" s="133"/>
      <c r="F13" s="110"/>
      <c r="G13" s="110"/>
      <c r="H13" s="110">
        <f t="shared" si="0"/>
        <v>0</v>
      </c>
    </row>
    <row r="14" spans="2:8" x14ac:dyDescent="0.2">
      <c r="B14" s="108">
        <v>6</v>
      </c>
      <c r="C14" s="332"/>
      <c r="D14" s="110"/>
      <c r="E14" s="133"/>
      <c r="F14" s="110"/>
      <c r="G14" s="110"/>
      <c r="H14" s="110">
        <f t="shared" si="0"/>
        <v>0</v>
      </c>
    </row>
    <row r="15" spans="2:8" x14ac:dyDescent="0.25">
      <c r="B15" s="108">
        <v>7</v>
      </c>
      <c r="C15" s="115"/>
      <c r="D15" s="110"/>
      <c r="E15" s="133"/>
      <c r="F15" s="110"/>
      <c r="G15" s="110"/>
      <c r="H15" s="110">
        <f t="shared" si="0"/>
        <v>0</v>
      </c>
    </row>
    <row r="16" spans="2:8" x14ac:dyDescent="0.25">
      <c r="B16" s="108">
        <v>8</v>
      </c>
      <c r="C16" s="115"/>
      <c r="D16" s="110"/>
      <c r="E16" s="133"/>
      <c r="F16" s="110"/>
      <c r="G16" s="110"/>
      <c r="H16" s="110">
        <f t="shared" si="0"/>
        <v>0</v>
      </c>
    </row>
    <row r="17" spans="2:8" x14ac:dyDescent="0.25">
      <c r="B17" s="108">
        <v>9</v>
      </c>
      <c r="C17" s="115"/>
      <c r="D17" s="110"/>
      <c r="E17" s="133"/>
      <c r="F17" s="110"/>
      <c r="G17" s="110"/>
      <c r="H17" s="110">
        <f t="shared" si="0"/>
        <v>0</v>
      </c>
    </row>
    <row r="18" spans="2:8" x14ac:dyDescent="0.25">
      <c r="B18" s="108">
        <v>10</v>
      </c>
      <c r="C18" s="115"/>
      <c r="D18" s="110"/>
      <c r="E18" s="133"/>
      <c r="F18" s="110"/>
      <c r="G18" s="110"/>
      <c r="H18" s="110">
        <f t="shared" si="0"/>
        <v>0</v>
      </c>
    </row>
    <row r="19" spans="2:8" x14ac:dyDescent="0.25">
      <c r="B19" s="108">
        <v>11</v>
      </c>
      <c r="C19" s="115"/>
      <c r="D19" s="110"/>
      <c r="E19" s="133"/>
      <c r="F19" s="110"/>
      <c r="G19" s="110"/>
      <c r="H19" s="110">
        <f t="shared" si="0"/>
        <v>0</v>
      </c>
    </row>
    <row r="20" spans="2:8" x14ac:dyDescent="0.25">
      <c r="B20" s="108">
        <v>12</v>
      </c>
      <c r="C20" s="115"/>
      <c r="D20" s="110"/>
      <c r="E20" s="133"/>
      <c r="F20" s="110"/>
      <c r="G20" s="110"/>
      <c r="H20" s="110">
        <f t="shared" ref="H20:H29" si="1">D20-F20-G20</f>
        <v>0</v>
      </c>
    </row>
    <row r="21" spans="2:8" x14ac:dyDescent="0.25">
      <c r="B21" s="108">
        <v>13</v>
      </c>
      <c r="C21" s="115"/>
      <c r="D21" s="110"/>
      <c r="E21" s="133"/>
      <c r="F21" s="110"/>
      <c r="G21" s="110"/>
      <c r="H21" s="110">
        <f t="shared" si="1"/>
        <v>0</v>
      </c>
    </row>
    <row r="22" spans="2:8" x14ac:dyDescent="0.25">
      <c r="B22" s="108">
        <v>14</v>
      </c>
      <c r="C22" s="115"/>
      <c r="D22" s="110"/>
      <c r="E22" s="133"/>
      <c r="F22" s="110"/>
      <c r="G22" s="110"/>
      <c r="H22" s="110">
        <f t="shared" si="1"/>
        <v>0</v>
      </c>
    </row>
    <row r="23" spans="2:8" x14ac:dyDescent="0.25">
      <c r="B23" s="108">
        <v>15</v>
      </c>
      <c r="C23" s="115"/>
      <c r="D23" s="110"/>
      <c r="E23" s="133"/>
      <c r="F23" s="110"/>
      <c r="G23" s="110"/>
      <c r="H23" s="110">
        <f t="shared" si="1"/>
        <v>0</v>
      </c>
    </row>
    <row r="24" spans="2:8" x14ac:dyDescent="0.25">
      <c r="B24" s="108">
        <v>16</v>
      </c>
      <c r="C24" s="115"/>
      <c r="D24" s="110"/>
      <c r="E24" s="133"/>
      <c r="F24" s="110"/>
      <c r="G24" s="110"/>
      <c r="H24" s="110">
        <f t="shared" si="1"/>
        <v>0</v>
      </c>
    </row>
    <row r="25" spans="2:8" x14ac:dyDescent="0.25">
      <c r="B25" s="108">
        <v>17</v>
      </c>
      <c r="C25" s="115"/>
      <c r="D25" s="110"/>
      <c r="E25" s="133"/>
      <c r="F25" s="110"/>
      <c r="G25" s="110"/>
      <c r="H25" s="110">
        <f t="shared" si="1"/>
        <v>0</v>
      </c>
    </row>
    <row r="26" spans="2:8" x14ac:dyDescent="0.25">
      <c r="B26" s="108">
        <v>18</v>
      </c>
      <c r="C26" s="115"/>
      <c r="D26" s="110"/>
      <c r="E26" s="133"/>
      <c r="F26" s="110"/>
      <c r="G26" s="110"/>
      <c r="H26" s="110">
        <f t="shared" si="1"/>
        <v>0</v>
      </c>
    </row>
    <row r="27" spans="2:8" x14ac:dyDescent="0.25">
      <c r="B27" s="108">
        <v>19</v>
      </c>
      <c r="C27" s="115"/>
      <c r="D27" s="110"/>
      <c r="E27" s="133"/>
      <c r="F27" s="110"/>
      <c r="G27" s="110"/>
      <c r="H27" s="110">
        <f t="shared" si="1"/>
        <v>0</v>
      </c>
    </row>
    <row r="28" spans="2:8" x14ac:dyDescent="0.25">
      <c r="B28" s="108">
        <v>20</v>
      </c>
      <c r="C28" s="115"/>
      <c r="D28" s="110"/>
      <c r="E28" s="133"/>
      <c r="F28" s="110"/>
      <c r="G28" s="110"/>
      <c r="H28" s="110">
        <f t="shared" si="1"/>
        <v>0</v>
      </c>
    </row>
    <row r="29" spans="2:8" x14ac:dyDescent="0.25">
      <c r="B29" s="108">
        <v>21</v>
      </c>
      <c r="C29" s="115"/>
      <c r="D29" s="110"/>
      <c r="E29" s="133"/>
      <c r="F29" s="110"/>
      <c r="G29" s="110"/>
      <c r="H29" s="110">
        <f t="shared" si="1"/>
        <v>0</v>
      </c>
    </row>
    <row r="30" spans="2:8" s="32" customFormat="1" x14ac:dyDescent="0.25">
      <c r="B30" s="108">
        <v>22</v>
      </c>
      <c r="C30" s="134" t="s">
        <v>472</v>
      </c>
      <c r="D30" s="120">
        <f>SUM(D10:D20)</f>
        <v>0</v>
      </c>
      <c r="E30" s="120"/>
      <c r="F30" s="120">
        <f>SUM(F10:F20)</f>
        <v>0</v>
      </c>
      <c r="G30" s="120">
        <f>SUM(G10:G29)</f>
        <v>0</v>
      </c>
      <c r="H30" s="120">
        <f>SUM(H10:H20)</f>
        <v>0</v>
      </c>
    </row>
    <row r="31" spans="2:8" ht="6" customHeight="1" x14ac:dyDescent="0.25"/>
    <row r="32" spans="2:8" ht="6" customHeight="1" x14ac:dyDescent="0.25"/>
    <row r="33" spans="2:8" x14ac:dyDescent="0.25">
      <c r="B33" s="7"/>
      <c r="C33" s="136" t="s">
        <v>335</v>
      </c>
      <c r="D33" s="136"/>
      <c r="E33" s="136"/>
      <c r="F33" s="136"/>
      <c r="G33" s="275">
        <f>'02'!$F$113</f>
        <v>134080399</v>
      </c>
      <c r="H33" s="7"/>
    </row>
    <row r="34" spans="2:8" ht="6" customHeight="1" x14ac:dyDescent="0.25"/>
    <row r="36" spans="2:8" x14ac:dyDescent="0.25">
      <c r="G36" s="22">
        <f>G33-G30</f>
        <v>134080399</v>
      </c>
    </row>
  </sheetData>
  <sheetProtection algorithmName="SHA-512" hashValue="DALNRrTtMvUwip9JWMNLgimnmeVWcIsPDaA2UsiovLJWl6tSanFvDr0eoIYF7a91N89XyaYvcMVG1mW/45AiRA==" saltValue="ZtiTrMLLeSOfdR3KAPGK7A==" spinCount="100000" sheet="1" objects="1" scenarios="1" formatCells="0" formatColumns="0" formatRows="0" insertRows="0" deleteRows="0"/>
  <mergeCells count="4">
    <mergeCell ref="B2:H2"/>
    <mergeCell ref="B4:H4"/>
    <mergeCell ref="B5:H5"/>
    <mergeCell ref="B6:H6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4" fitToHeight="5" orientation="portrait" horizontalDpi="300" verticalDpi="300" r:id="rId1"/>
  <headerFooter alignWithMargins="0">
    <oddHeader>&amp;R&amp;"Times New Roman CE,Félkövér dőlt"&amp;11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Munka24">
    <tabColor theme="4" tint="0.59999389629810485"/>
    <pageSetUpPr fitToPage="1"/>
  </sheetPr>
  <dimension ref="B1:H27"/>
  <sheetViews>
    <sheetView view="pageBreakPreview" zoomScaleSheetLayoutView="100" workbookViewId="0">
      <selection activeCell="K9" sqref="K9"/>
    </sheetView>
  </sheetViews>
  <sheetFormatPr defaultColWidth="9" defaultRowHeight="12.75" x14ac:dyDescent="0.25"/>
  <cols>
    <col min="1" max="1" width="0.875" style="22" customWidth="1"/>
    <col min="2" max="2" width="5.625" style="22" customWidth="1"/>
    <col min="3" max="3" width="30.625" style="23" customWidth="1"/>
    <col min="4" max="8" width="12.625" style="22" customWidth="1"/>
    <col min="9" max="9" width="0.875" style="22" customWidth="1"/>
    <col min="10" max="10" width="9.625" style="22" customWidth="1"/>
    <col min="11" max="11" width="10.375" style="22" customWidth="1"/>
    <col min="12" max="12" width="30.375" style="22" customWidth="1"/>
    <col min="13" max="13" width="21.875" style="22" customWidth="1"/>
    <col min="14" max="16384" width="9" style="22"/>
  </cols>
  <sheetData>
    <row r="1" spans="2:8" ht="6" customHeight="1" x14ac:dyDescent="0.25"/>
    <row r="2" spans="2:8" s="37" customFormat="1" ht="15.75" customHeight="1" x14ac:dyDescent="0.25">
      <c r="B2" s="513" t="str">
        <f>CONCATENATE(Index!C28," a(z) ",Index!E16," önkormányzati rendelethez")</f>
        <v>9. melléklet a(z) .../2025. (...) önkormányzati rendelethez</v>
      </c>
      <c r="C2" s="513"/>
      <c r="D2" s="513"/>
      <c r="E2" s="513"/>
      <c r="F2" s="513"/>
      <c r="G2" s="513"/>
      <c r="H2" s="513"/>
    </row>
    <row r="3" spans="2:8" s="37" customFormat="1" ht="15.75" x14ac:dyDescent="0.25">
      <c r="C3" s="137"/>
      <c r="D3" s="137"/>
      <c r="E3" s="137"/>
      <c r="F3" s="137"/>
      <c r="G3" s="137"/>
      <c r="H3" s="137"/>
    </row>
    <row r="4" spans="2:8" s="37" customFormat="1" ht="15.75" x14ac:dyDescent="0.25">
      <c r="B4" s="514" t="str">
        <f>CONCATENATE(PAR!E3)</f>
        <v>Nagymaros Város Önkormányzata</v>
      </c>
      <c r="C4" s="514"/>
      <c r="D4" s="514"/>
      <c r="E4" s="514"/>
      <c r="F4" s="514"/>
      <c r="G4" s="514"/>
      <c r="H4" s="514"/>
    </row>
    <row r="5" spans="2:8" s="37" customFormat="1" ht="15.75" customHeight="1" x14ac:dyDescent="0.25">
      <c r="B5" s="514" t="s">
        <v>604</v>
      </c>
      <c r="C5" s="514"/>
      <c r="D5" s="514"/>
      <c r="E5" s="514"/>
      <c r="F5" s="514"/>
      <c r="G5" s="514"/>
      <c r="H5" s="514"/>
    </row>
    <row r="6" spans="2:8" s="37" customFormat="1" ht="15.75" x14ac:dyDescent="0.25">
      <c r="B6" s="515" t="s">
        <v>337</v>
      </c>
      <c r="C6" s="515"/>
      <c r="D6" s="515"/>
      <c r="E6" s="515"/>
      <c r="F6" s="515"/>
      <c r="G6" s="515"/>
      <c r="H6" s="515"/>
    </row>
    <row r="7" spans="2:8" s="37" customFormat="1" ht="15.75" x14ac:dyDescent="0.25">
      <c r="C7" s="118"/>
      <c r="G7" s="521"/>
      <c r="H7" s="521"/>
    </row>
    <row r="8" spans="2:8" x14ac:dyDescent="0.2">
      <c r="B8" s="112"/>
      <c r="C8" s="108" t="s">
        <v>350</v>
      </c>
      <c r="D8" s="108" t="s">
        <v>351</v>
      </c>
      <c r="E8" s="108" t="s">
        <v>470</v>
      </c>
      <c r="F8" s="108" t="s">
        <v>471</v>
      </c>
      <c r="G8" s="135" t="s">
        <v>44</v>
      </c>
      <c r="H8" s="135" t="s">
        <v>42</v>
      </c>
    </row>
    <row r="9" spans="2:8" s="27" customFormat="1" ht="45.75" customHeight="1" x14ac:dyDescent="0.25">
      <c r="B9" s="108">
        <v>1</v>
      </c>
      <c r="C9" s="107" t="s">
        <v>473</v>
      </c>
      <c r="D9" s="107" t="s">
        <v>468</v>
      </c>
      <c r="E9" s="107" t="s">
        <v>469</v>
      </c>
      <c r="F9" s="274" t="str">
        <f>CONCATENATE("Felhasználás ",PAR!H9,"-ig")</f>
        <v>Felhasználás  2024.12.31-ig</v>
      </c>
      <c r="G9" s="107" t="str">
        <f>CONCATENATE(PAR!H3," évi előirányzat")</f>
        <v>2025. évi előirányzat</v>
      </c>
      <c r="H9" s="107" t="str">
        <f>CONCATENATE(PAR!H3," év utáni szükséglet")</f>
        <v>2025. év utáni szükséglet</v>
      </c>
    </row>
    <row r="10" spans="2:8" x14ac:dyDescent="0.25">
      <c r="B10" s="108">
        <v>2</v>
      </c>
      <c r="C10" s="112"/>
      <c r="D10" s="110"/>
      <c r="E10" s="133"/>
      <c r="F10" s="110"/>
      <c r="G10" s="110"/>
      <c r="H10" s="110">
        <f>D10-F10-G10</f>
        <v>0</v>
      </c>
    </row>
    <row r="11" spans="2:8" x14ac:dyDescent="0.25">
      <c r="B11" s="108">
        <v>3</v>
      </c>
      <c r="C11" s="112"/>
      <c r="D11" s="110"/>
      <c r="E11" s="133"/>
      <c r="F11" s="110"/>
      <c r="G11" s="110"/>
      <c r="H11" s="110">
        <f t="shared" ref="H11:H19" si="0">D11-F11-G11</f>
        <v>0</v>
      </c>
    </row>
    <row r="12" spans="2:8" x14ac:dyDescent="0.25">
      <c r="B12" s="108">
        <v>4</v>
      </c>
      <c r="C12" s="112"/>
      <c r="D12" s="110"/>
      <c r="E12" s="133"/>
      <c r="F12" s="110"/>
      <c r="G12" s="110"/>
      <c r="H12" s="110">
        <f t="shared" si="0"/>
        <v>0</v>
      </c>
    </row>
    <row r="13" spans="2:8" x14ac:dyDescent="0.25">
      <c r="B13" s="108">
        <v>5</v>
      </c>
      <c r="C13" s="112"/>
      <c r="D13" s="110"/>
      <c r="E13" s="133"/>
      <c r="F13" s="110"/>
      <c r="G13" s="110"/>
      <c r="H13" s="110">
        <f t="shared" si="0"/>
        <v>0</v>
      </c>
    </row>
    <row r="14" spans="2:8" x14ac:dyDescent="0.25">
      <c r="B14" s="108">
        <v>6</v>
      </c>
      <c r="C14" s="112"/>
      <c r="D14" s="110"/>
      <c r="E14" s="133"/>
      <c r="F14" s="110"/>
      <c r="G14" s="110"/>
      <c r="H14" s="110">
        <f t="shared" si="0"/>
        <v>0</v>
      </c>
    </row>
    <row r="15" spans="2:8" x14ac:dyDescent="0.25">
      <c r="B15" s="108">
        <v>7</v>
      </c>
      <c r="C15" s="112"/>
      <c r="D15" s="110"/>
      <c r="E15" s="133"/>
      <c r="F15" s="110"/>
      <c r="G15" s="110"/>
      <c r="H15" s="110">
        <f t="shared" si="0"/>
        <v>0</v>
      </c>
    </row>
    <row r="16" spans="2:8" x14ac:dyDescent="0.25">
      <c r="B16" s="108">
        <v>8</v>
      </c>
      <c r="C16" s="112"/>
      <c r="D16" s="110"/>
      <c r="E16" s="133"/>
      <c r="F16" s="110"/>
      <c r="G16" s="110"/>
      <c r="H16" s="110">
        <f t="shared" si="0"/>
        <v>0</v>
      </c>
    </row>
    <row r="17" spans="2:8" x14ac:dyDescent="0.25">
      <c r="B17" s="108">
        <v>9</v>
      </c>
      <c r="C17" s="112"/>
      <c r="D17" s="110"/>
      <c r="E17" s="133"/>
      <c r="F17" s="110"/>
      <c r="G17" s="110"/>
      <c r="H17" s="110">
        <f t="shared" si="0"/>
        <v>0</v>
      </c>
    </row>
    <row r="18" spans="2:8" x14ac:dyDescent="0.25">
      <c r="B18" s="108">
        <v>10</v>
      </c>
      <c r="C18" s="112"/>
      <c r="D18" s="110"/>
      <c r="E18" s="133"/>
      <c r="F18" s="110"/>
      <c r="G18" s="110"/>
      <c r="H18" s="110">
        <f t="shared" si="0"/>
        <v>0</v>
      </c>
    </row>
    <row r="19" spans="2:8" x14ac:dyDescent="0.25">
      <c r="B19" s="108">
        <v>11</v>
      </c>
      <c r="C19" s="112"/>
      <c r="D19" s="110"/>
      <c r="E19" s="133"/>
      <c r="F19" s="110"/>
      <c r="G19" s="110"/>
      <c r="H19" s="110">
        <f t="shared" si="0"/>
        <v>0</v>
      </c>
    </row>
    <row r="20" spans="2:8" x14ac:dyDescent="0.25">
      <c r="B20" s="108">
        <v>12</v>
      </c>
      <c r="C20" s="112"/>
      <c r="D20" s="110"/>
      <c r="E20" s="133"/>
      <c r="F20" s="110"/>
      <c r="G20" s="110"/>
      <c r="H20" s="110">
        <f t="shared" ref="H20" si="1">D20-F20-G20</f>
        <v>0</v>
      </c>
    </row>
    <row r="21" spans="2:8" s="32" customFormat="1" x14ac:dyDescent="0.25">
      <c r="B21" s="108">
        <v>13</v>
      </c>
      <c r="C21" s="113" t="s">
        <v>472</v>
      </c>
      <c r="D21" s="95">
        <f>SUM(D10:D20)</f>
        <v>0</v>
      </c>
      <c r="E21" s="95"/>
      <c r="F21" s="95">
        <f>SUM(F10:F20)</f>
        <v>0</v>
      </c>
      <c r="G21" s="95">
        <f>SUM(G10:G20)</f>
        <v>0</v>
      </c>
      <c r="H21" s="95">
        <f>SUM(H10:H20)</f>
        <v>0</v>
      </c>
    </row>
    <row r="22" spans="2:8" ht="6" customHeight="1" x14ac:dyDescent="0.25"/>
    <row r="23" spans="2:8" ht="6" customHeight="1" x14ac:dyDescent="0.25"/>
    <row r="24" spans="2:8" x14ac:dyDescent="0.25">
      <c r="C24" s="136" t="s">
        <v>335</v>
      </c>
      <c r="D24" s="136"/>
      <c r="E24" s="136"/>
      <c r="F24" s="136"/>
      <c r="G24" s="275">
        <f>'02'!$F$115</f>
        <v>34567119</v>
      </c>
      <c r="H24" s="7"/>
    </row>
    <row r="25" spans="2:8" ht="6.75" customHeight="1" x14ac:dyDescent="0.25"/>
    <row r="27" spans="2:8" x14ac:dyDescent="0.25">
      <c r="G27" s="22">
        <f>G24-G21</f>
        <v>34567119</v>
      </c>
    </row>
  </sheetData>
  <sheetProtection algorithmName="SHA-512" hashValue="dRecXPvSxbmkuFwR1U5XCm7WYZ8/VDBwV0vBlYKHQXQL8cUaNv/haPhevWLk/2PVbhGphiq71OV3v/tJr6XUhw==" saltValue="RGyjLpl47UFus6TxHx1tuQ==" spinCount="100000" sheet="1" objects="1" scenarios="1" formatCells="0" formatColumns="0" formatRows="0" insertRows="0" deleteRows="0"/>
  <mergeCells count="5">
    <mergeCell ref="G7:H7"/>
    <mergeCell ref="B2:H2"/>
    <mergeCell ref="B4:H4"/>
    <mergeCell ref="B5:H5"/>
    <mergeCell ref="B6:H6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4" fitToHeight="5" orientation="portrait" horizontalDpi="300" verticalDpi="300" r:id="rId1"/>
  <headerFooter alignWithMargins="0">
    <oddHeader>&amp;R&amp;"Times New Roman CE,Félkövér dőlt"&amp;12 &amp;11 &amp;"Times New Roman CE,Normál"&amp;10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Munka25">
    <tabColor theme="4" tint="0.59999389629810485"/>
    <pageSetUpPr fitToPage="1"/>
  </sheetPr>
  <dimension ref="A1:IW359"/>
  <sheetViews>
    <sheetView view="pageBreakPreview" topLeftCell="A11" zoomScaleSheetLayoutView="100" workbookViewId="0">
      <selection activeCell="I17" sqref="I17"/>
    </sheetView>
  </sheetViews>
  <sheetFormatPr defaultColWidth="9" defaultRowHeight="12.75" x14ac:dyDescent="0.2"/>
  <cols>
    <col min="1" max="1" width="0.875" style="33" customWidth="1"/>
    <col min="2" max="2" width="5.625" style="33" customWidth="1"/>
    <col min="3" max="3" width="30.625" style="33" customWidth="1"/>
    <col min="4" max="7" width="12.625" style="33" customWidth="1"/>
    <col min="8" max="8" width="0.875" style="33" customWidth="1"/>
    <col min="9" max="257" width="9" style="33"/>
    <col min="258" max="16384" width="9" style="1"/>
  </cols>
  <sheetData>
    <row r="1" spans="1:257" ht="6" customHeight="1" x14ac:dyDescent="0.2"/>
    <row r="2" spans="1:257" ht="15.75" x14ac:dyDescent="0.2">
      <c r="B2" s="524" t="str">
        <f>CONCATENATE(Index!C29," a(z) ",Index!E16," önkormányzati rendelethez")</f>
        <v>10. melléklet a(z) .../2025. (...) önkormányzati rendelethez</v>
      </c>
      <c r="C2" s="524"/>
      <c r="D2" s="524"/>
      <c r="E2" s="524"/>
      <c r="F2" s="524"/>
      <c r="G2" s="524"/>
    </row>
    <row r="3" spans="1:257" ht="15.75" hidden="1" x14ac:dyDescent="0.2">
      <c r="C3" s="529" t="e">
        <f>PAR!#REF!</f>
        <v>#REF!</v>
      </c>
      <c r="D3" s="529"/>
      <c r="E3" s="529"/>
      <c r="F3" s="529"/>
      <c r="G3" s="529"/>
    </row>
    <row r="4" spans="1:257" ht="15.75" hidden="1" x14ac:dyDescent="0.2">
      <c r="C4" s="529" t="s">
        <v>34</v>
      </c>
      <c r="D4" s="529"/>
      <c r="E4" s="529"/>
      <c r="F4" s="529"/>
      <c r="G4" s="529"/>
    </row>
    <row r="5" spans="1:257" ht="15.75" x14ac:dyDescent="0.2">
      <c r="C5" s="200"/>
      <c r="D5" s="200"/>
      <c r="E5" s="200"/>
      <c r="F5" s="200"/>
      <c r="G5" s="200"/>
    </row>
    <row r="6" spans="1:257" s="139" customFormat="1" ht="15.75" x14ac:dyDescent="0.25">
      <c r="A6" s="138"/>
      <c r="B6" s="525" t="str">
        <f>CONCATENATE(PAR!E3)</f>
        <v>Nagymaros Város Önkormányzata</v>
      </c>
      <c r="C6" s="525"/>
      <c r="D6" s="525"/>
      <c r="E6" s="525"/>
      <c r="F6" s="525"/>
      <c r="G6" s="525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  <c r="GI6" s="138"/>
      <c r="GJ6" s="138"/>
      <c r="GK6" s="138"/>
      <c r="GL6" s="138"/>
      <c r="GM6" s="138"/>
      <c r="GN6" s="138"/>
      <c r="GO6" s="138"/>
      <c r="GP6" s="138"/>
      <c r="GQ6" s="138"/>
      <c r="GR6" s="138"/>
      <c r="GS6" s="138"/>
      <c r="GT6" s="138"/>
      <c r="GU6" s="138"/>
      <c r="GV6" s="138"/>
      <c r="GW6" s="138"/>
      <c r="GX6" s="138"/>
      <c r="GY6" s="138"/>
      <c r="GZ6" s="138"/>
      <c r="HA6" s="138"/>
      <c r="HB6" s="138"/>
      <c r="HC6" s="138"/>
      <c r="HD6" s="138"/>
      <c r="HE6" s="138"/>
      <c r="HF6" s="138"/>
      <c r="HG6" s="138"/>
      <c r="HH6" s="138"/>
      <c r="HI6" s="138"/>
      <c r="HJ6" s="138"/>
      <c r="HK6" s="138"/>
      <c r="HL6" s="138"/>
      <c r="HM6" s="138"/>
      <c r="HN6" s="138"/>
      <c r="HO6" s="138"/>
      <c r="HP6" s="138"/>
      <c r="HQ6" s="138"/>
      <c r="HR6" s="138"/>
      <c r="HS6" s="138"/>
      <c r="HT6" s="138"/>
      <c r="HU6" s="138"/>
      <c r="HV6" s="138"/>
      <c r="HW6" s="138"/>
      <c r="HX6" s="138"/>
      <c r="HY6" s="138"/>
      <c r="HZ6" s="138"/>
      <c r="IA6" s="138"/>
      <c r="IB6" s="138"/>
      <c r="IC6" s="138"/>
      <c r="ID6" s="138"/>
      <c r="IE6" s="138"/>
      <c r="IF6" s="138"/>
      <c r="IG6" s="138"/>
      <c r="IH6" s="138"/>
      <c r="II6" s="138"/>
      <c r="IJ6" s="138"/>
      <c r="IK6" s="138"/>
      <c r="IL6" s="138"/>
      <c r="IM6" s="138"/>
      <c r="IN6" s="138"/>
      <c r="IO6" s="138"/>
      <c r="IP6" s="138"/>
      <c r="IQ6" s="138"/>
      <c r="IR6" s="138"/>
      <c r="IS6" s="138"/>
      <c r="IT6" s="138"/>
      <c r="IU6" s="138"/>
      <c r="IV6" s="138"/>
      <c r="IW6" s="138"/>
    </row>
    <row r="7" spans="1:257" s="139" customFormat="1" ht="15.75" customHeight="1" x14ac:dyDescent="0.25">
      <c r="A7" s="138"/>
      <c r="B7" s="526" t="s">
        <v>605</v>
      </c>
      <c r="C7" s="526"/>
      <c r="D7" s="526"/>
      <c r="E7" s="526"/>
      <c r="F7" s="526"/>
      <c r="G7" s="526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  <c r="EO7" s="138"/>
      <c r="EP7" s="138"/>
      <c r="EQ7" s="138"/>
      <c r="ER7" s="138"/>
      <c r="ES7" s="138"/>
      <c r="ET7" s="138"/>
      <c r="EU7" s="138"/>
      <c r="EV7" s="138"/>
      <c r="EW7" s="138"/>
      <c r="EX7" s="138"/>
      <c r="EY7" s="138"/>
      <c r="EZ7" s="138"/>
      <c r="FA7" s="138"/>
      <c r="FB7" s="138"/>
      <c r="FC7" s="138"/>
      <c r="FD7" s="138"/>
      <c r="FE7" s="138"/>
      <c r="FF7" s="138"/>
      <c r="FG7" s="138"/>
      <c r="FH7" s="138"/>
      <c r="FI7" s="138"/>
      <c r="FJ7" s="138"/>
      <c r="FK7" s="138"/>
      <c r="FL7" s="138"/>
      <c r="FM7" s="138"/>
      <c r="FN7" s="138"/>
      <c r="FO7" s="138"/>
      <c r="FP7" s="138"/>
      <c r="FQ7" s="138"/>
      <c r="FR7" s="138"/>
      <c r="FS7" s="138"/>
      <c r="FT7" s="138"/>
      <c r="FU7" s="138"/>
      <c r="FV7" s="138"/>
      <c r="FW7" s="138"/>
      <c r="FX7" s="138"/>
      <c r="FY7" s="138"/>
      <c r="FZ7" s="138"/>
      <c r="GA7" s="138"/>
      <c r="GB7" s="138"/>
      <c r="GC7" s="138"/>
      <c r="GD7" s="138"/>
      <c r="GE7" s="138"/>
      <c r="GF7" s="138"/>
      <c r="GG7" s="138"/>
      <c r="GH7" s="138"/>
      <c r="GI7" s="138"/>
      <c r="GJ7" s="138"/>
      <c r="GK7" s="138"/>
      <c r="GL7" s="138"/>
      <c r="GM7" s="138"/>
      <c r="GN7" s="138"/>
      <c r="GO7" s="138"/>
      <c r="GP7" s="138"/>
      <c r="GQ7" s="138"/>
      <c r="GR7" s="138"/>
      <c r="GS7" s="138"/>
      <c r="GT7" s="138"/>
      <c r="GU7" s="138"/>
      <c r="GV7" s="138"/>
      <c r="GW7" s="138"/>
      <c r="GX7" s="138"/>
      <c r="GY7" s="138"/>
      <c r="GZ7" s="138"/>
      <c r="HA7" s="138"/>
      <c r="HB7" s="138"/>
      <c r="HC7" s="138"/>
      <c r="HD7" s="138"/>
      <c r="HE7" s="138"/>
      <c r="HF7" s="138"/>
      <c r="HG7" s="138"/>
      <c r="HH7" s="138"/>
      <c r="HI7" s="138"/>
      <c r="HJ7" s="138"/>
      <c r="HK7" s="138"/>
      <c r="HL7" s="138"/>
      <c r="HM7" s="138"/>
      <c r="HN7" s="138"/>
      <c r="HO7" s="138"/>
      <c r="HP7" s="138"/>
      <c r="HQ7" s="138"/>
      <c r="HR7" s="138"/>
      <c r="HS7" s="138"/>
      <c r="HT7" s="138"/>
      <c r="HU7" s="138"/>
      <c r="HV7" s="138"/>
      <c r="HW7" s="138"/>
      <c r="HX7" s="138"/>
      <c r="HY7" s="138"/>
      <c r="HZ7" s="138"/>
      <c r="IA7" s="138"/>
      <c r="IB7" s="138"/>
      <c r="IC7" s="138"/>
      <c r="ID7" s="138"/>
      <c r="IE7" s="138"/>
      <c r="IF7" s="138"/>
      <c r="IG7" s="138"/>
      <c r="IH7" s="138"/>
      <c r="II7" s="138"/>
      <c r="IJ7" s="138"/>
      <c r="IK7" s="138"/>
      <c r="IL7" s="138"/>
      <c r="IM7" s="138"/>
      <c r="IN7" s="138"/>
      <c r="IO7" s="138"/>
      <c r="IP7" s="138"/>
      <c r="IQ7" s="138"/>
      <c r="IR7" s="138"/>
      <c r="IS7" s="138"/>
      <c r="IT7" s="138"/>
      <c r="IU7" s="138"/>
      <c r="IV7" s="138"/>
      <c r="IW7" s="138"/>
    </row>
    <row r="8" spans="1:257" s="139" customFormat="1" ht="15.75" x14ac:dyDescent="0.25">
      <c r="A8" s="138"/>
      <c r="B8" s="527" t="s">
        <v>337</v>
      </c>
      <c r="C8" s="527"/>
      <c r="D8" s="527"/>
      <c r="E8" s="527"/>
      <c r="F8" s="527"/>
      <c r="G8" s="527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  <c r="BW8" s="138"/>
      <c r="BX8" s="138"/>
      <c r="BY8" s="138"/>
      <c r="BZ8" s="138"/>
      <c r="CA8" s="138"/>
      <c r="CB8" s="138"/>
      <c r="CC8" s="138"/>
      <c r="CD8" s="138"/>
      <c r="CE8" s="138"/>
      <c r="CF8" s="138"/>
      <c r="CG8" s="138"/>
      <c r="CH8" s="138"/>
      <c r="CI8" s="138"/>
      <c r="CJ8" s="138"/>
      <c r="CK8" s="138"/>
      <c r="CL8" s="138"/>
      <c r="CM8" s="138"/>
      <c r="CN8" s="138"/>
      <c r="CO8" s="138"/>
      <c r="CP8" s="138"/>
      <c r="CQ8" s="138"/>
      <c r="CR8" s="138"/>
      <c r="CS8" s="138"/>
      <c r="CT8" s="138"/>
      <c r="CU8" s="138"/>
      <c r="CV8" s="138"/>
      <c r="CW8" s="138"/>
      <c r="CX8" s="138"/>
      <c r="CY8" s="138"/>
      <c r="CZ8" s="138"/>
      <c r="DA8" s="138"/>
      <c r="DB8" s="138"/>
      <c r="DC8" s="138"/>
      <c r="DD8" s="138"/>
      <c r="DE8" s="138"/>
      <c r="DF8" s="138"/>
      <c r="DG8" s="138"/>
      <c r="DH8" s="138"/>
      <c r="DI8" s="138"/>
      <c r="DJ8" s="138"/>
      <c r="DK8" s="138"/>
      <c r="DL8" s="138"/>
      <c r="DM8" s="138"/>
      <c r="DN8" s="138"/>
      <c r="DO8" s="138"/>
      <c r="DP8" s="138"/>
      <c r="DQ8" s="138"/>
      <c r="DR8" s="138"/>
      <c r="DS8" s="138"/>
      <c r="DT8" s="138"/>
      <c r="DU8" s="138"/>
      <c r="DV8" s="138"/>
      <c r="DW8" s="138"/>
      <c r="DX8" s="138"/>
      <c r="DY8" s="138"/>
      <c r="DZ8" s="138"/>
      <c r="EA8" s="138"/>
      <c r="EB8" s="138"/>
      <c r="EC8" s="138"/>
      <c r="ED8" s="138"/>
      <c r="EE8" s="138"/>
      <c r="EF8" s="138"/>
      <c r="EG8" s="138"/>
      <c r="EH8" s="138"/>
      <c r="EI8" s="138"/>
      <c r="EJ8" s="138"/>
      <c r="EK8" s="138"/>
      <c r="EL8" s="138"/>
      <c r="EM8" s="138"/>
      <c r="EN8" s="138"/>
      <c r="EO8" s="138"/>
      <c r="EP8" s="138"/>
      <c r="EQ8" s="138"/>
      <c r="ER8" s="138"/>
      <c r="ES8" s="138"/>
      <c r="ET8" s="138"/>
      <c r="EU8" s="138"/>
      <c r="EV8" s="138"/>
      <c r="EW8" s="138"/>
      <c r="EX8" s="138"/>
      <c r="EY8" s="138"/>
      <c r="EZ8" s="138"/>
      <c r="FA8" s="138"/>
      <c r="FB8" s="138"/>
      <c r="FC8" s="138"/>
      <c r="FD8" s="138"/>
      <c r="FE8" s="138"/>
      <c r="FF8" s="138"/>
      <c r="FG8" s="138"/>
      <c r="FH8" s="138"/>
      <c r="FI8" s="138"/>
      <c r="FJ8" s="138"/>
      <c r="FK8" s="138"/>
      <c r="FL8" s="138"/>
      <c r="FM8" s="138"/>
      <c r="FN8" s="138"/>
      <c r="FO8" s="138"/>
      <c r="FP8" s="138"/>
      <c r="FQ8" s="138"/>
      <c r="FR8" s="138"/>
      <c r="FS8" s="138"/>
      <c r="FT8" s="138"/>
      <c r="FU8" s="138"/>
      <c r="FV8" s="138"/>
      <c r="FW8" s="138"/>
      <c r="FX8" s="138"/>
      <c r="FY8" s="138"/>
      <c r="FZ8" s="138"/>
      <c r="GA8" s="138"/>
      <c r="GB8" s="138"/>
      <c r="GC8" s="138"/>
      <c r="GD8" s="138"/>
      <c r="GE8" s="138"/>
      <c r="GF8" s="138"/>
      <c r="GG8" s="138"/>
      <c r="GH8" s="138"/>
      <c r="GI8" s="138"/>
      <c r="GJ8" s="138"/>
      <c r="GK8" s="138"/>
      <c r="GL8" s="138"/>
      <c r="GM8" s="138"/>
      <c r="GN8" s="138"/>
      <c r="GO8" s="138"/>
      <c r="GP8" s="138"/>
      <c r="GQ8" s="138"/>
      <c r="GR8" s="138"/>
      <c r="GS8" s="138"/>
      <c r="GT8" s="138"/>
      <c r="GU8" s="138"/>
      <c r="GV8" s="138"/>
      <c r="GW8" s="138"/>
      <c r="GX8" s="138"/>
      <c r="GY8" s="138"/>
      <c r="GZ8" s="138"/>
      <c r="HA8" s="138"/>
      <c r="HB8" s="138"/>
      <c r="HC8" s="138"/>
      <c r="HD8" s="138"/>
      <c r="HE8" s="138"/>
      <c r="HF8" s="138"/>
      <c r="HG8" s="138"/>
      <c r="HH8" s="138"/>
      <c r="HI8" s="138"/>
      <c r="HJ8" s="138"/>
      <c r="HK8" s="138"/>
      <c r="HL8" s="138"/>
      <c r="HM8" s="138"/>
      <c r="HN8" s="138"/>
      <c r="HO8" s="138"/>
      <c r="HP8" s="138"/>
      <c r="HQ8" s="138"/>
      <c r="HR8" s="138"/>
      <c r="HS8" s="138"/>
      <c r="HT8" s="138"/>
      <c r="HU8" s="138"/>
      <c r="HV8" s="138"/>
      <c r="HW8" s="138"/>
      <c r="HX8" s="138"/>
      <c r="HY8" s="138"/>
      <c r="HZ8" s="138"/>
      <c r="IA8" s="138"/>
      <c r="IB8" s="138"/>
      <c r="IC8" s="138"/>
      <c r="ID8" s="138"/>
      <c r="IE8" s="138"/>
      <c r="IF8" s="138"/>
      <c r="IG8" s="138"/>
      <c r="IH8" s="138"/>
      <c r="II8" s="138"/>
      <c r="IJ8" s="138"/>
      <c r="IK8" s="138"/>
      <c r="IL8" s="138"/>
      <c r="IM8" s="138"/>
      <c r="IN8" s="138"/>
      <c r="IO8" s="138"/>
      <c r="IP8" s="138"/>
      <c r="IQ8" s="138"/>
      <c r="IR8" s="138"/>
      <c r="IS8" s="138"/>
      <c r="IT8" s="138"/>
      <c r="IU8" s="138"/>
      <c r="IV8" s="138"/>
      <c r="IW8" s="138"/>
    </row>
    <row r="9" spans="1:257" s="139" customFormat="1" ht="15.75" x14ac:dyDescent="0.25">
      <c r="A9" s="138"/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  <c r="HH9" s="138"/>
      <c r="HI9" s="138"/>
      <c r="HJ9" s="138"/>
      <c r="HK9" s="138"/>
      <c r="HL9" s="138"/>
      <c r="HM9" s="138"/>
      <c r="HN9" s="138"/>
      <c r="HO9" s="138"/>
      <c r="HP9" s="138"/>
      <c r="HQ9" s="138"/>
      <c r="HR9" s="138"/>
      <c r="HS9" s="138"/>
      <c r="HT9" s="138"/>
      <c r="HU9" s="138"/>
      <c r="HV9" s="138"/>
      <c r="HW9" s="138"/>
      <c r="HX9" s="138"/>
      <c r="HY9" s="138"/>
      <c r="HZ9" s="138"/>
      <c r="IA9" s="138"/>
      <c r="IB9" s="138"/>
      <c r="IC9" s="138"/>
      <c r="ID9" s="138"/>
      <c r="IE9" s="138"/>
      <c r="IF9" s="138"/>
      <c r="IG9" s="138"/>
      <c r="IH9" s="138"/>
      <c r="II9" s="138"/>
      <c r="IJ9" s="138"/>
      <c r="IK9" s="138"/>
      <c r="IL9" s="138"/>
      <c r="IM9" s="138"/>
      <c r="IN9" s="138"/>
      <c r="IO9" s="138"/>
      <c r="IP9" s="138"/>
      <c r="IQ9" s="138"/>
      <c r="IR9" s="138"/>
      <c r="IS9" s="138"/>
      <c r="IT9" s="138"/>
      <c r="IU9" s="138"/>
      <c r="IV9" s="138"/>
      <c r="IW9" s="138"/>
    </row>
    <row r="10" spans="1:257" s="139" customFormat="1" ht="15.75" x14ac:dyDescent="0.25">
      <c r="A10" s="138"/>
      <c r="B10" s="38" t="s">
        <v>637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38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  <c r="IE10" s="138"/>
      <c r="IF10" s="138"/>
      <c r="IG10" s="138"/>
      <c r="IH10" s="138"/>
      <c r="II10" s="138"/>
      <c r="IJ10" s="138"/>
      <c r="IK10" s="138"/>
      <c r="IL10" s="138"/>
      <c r="IM10" s="138"/>
      <c r="IN10" s="138"/>
      <c r="IO10" s="138"/>
      <c r="IP10" s="138"/>
      <c r="IQ10" s="138"/>
      <c r="IR10" s="138"/>
      <c r="IS10" s="138"/>
      <c r="IT10" s="138"/>
      <c r="IU10" s="138"/>
      <c r="IV10" s="138"/>
      <c r="IW10" s="138"/>
    </row>
    <row r="11" spans="1:257" s="139" customFormat="1" ht="15.75" x14ac:dyDescent="0.25">
      <c r="A11" s="138"/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  <c r="IE11" s="138"/>
      <c r="IF11" s="138"/>
      <c r="IG11" s="138"/>
      <c r="IH11" s="138"/>
      <c r="II11" s="138"/>
      <c r="IJ11" s="138"/>
      <c r="IK11" s="138"/>
      <c r="IL11" s="138"/>
      <c r="IM11" s="138"/>
      <c r="IN11" s="138"/>
      <c r="IO11" s="138"/>
      <c r="IP11" s="138"/>
      <c r="IQ11" s="138"/>
      <c r="IR11" s="138"/>
      <c r="IS11" s="138"/>
      <c r="IT11" s="138"/>
      <c r="IU11" s="138"/>
      <c r="IV11" s="138"/>
      <c r="IW11" s="138"/>
    </row>
    <row r="12" spans="1:257" x14ac:dyDescent="0.2">
      <c r="B12" s="77"/>
      <c r="C12" s="77" t="s">
        <v>350</v>
      </c>
      <c r="D12" s="77" t="s">
        <v>351</v>
      </c>
    </row>
    <row r="13" spans="1:257" x14ac:dyDescent="0.2">
      <c r="B13" s="77">
        <v>1</v>
      </c>
      <c r="C13" s="154" t="s">
        <v>336</v>
      </c>
      <c r="D13" s="154" t="s">
        <v>606</v>
      </c>
      <c r="E13" s="40"/>
      <c r="F13" s="528"/>
      <c r="G13" s="528"/>
    </row>
    <row r="14" spans="1:257" x14ac:dyDescent="0.2">
      <c r="B14" s="77">
        <v>2</v>
      </c>
      <c r="C14" s="141"/>
      <c r="D14" s="141"/>
      <c r="F14" s="530"/>
      <c r="G14" s="530"/>
    </row>
    <row r="15" spans="1:257" x14ac:dyDescent="0.2">
      <c r="B15" s="77">
        <v>3</v>
      </c>
      <c r="C15" s="141"/>
      <c r="D15" s="141"/>
      <c r="F15" s="530"/>
      <c r="G15" s="530"/>
    </row>
    <row r="16" spans="1:257" x14ac:dyDescent="0.2">
      <c r="B16" s="77">
        <v>4</v>
      </c>
      <c r="C16" s="141"/>
      <c r="D16" s="141"/>
      <c r="F16" s="530"/>
      <c r="G16" s="530"/>
    </row>
    <row r="17" spans="1:257" x14ac:dyDescent="0.2">
      <c r="B17" s="77">
        <v>5</v>
      </c>
      <c r="C17" s="141"/>
      <c r="D17" s="141"/>
      <c r="F17" s="153"/>
      <c r="G17" s="153"/>
    </row>
    <row r="18" spans="1:257" x14ac:dyDescent="0.2">
      <c r="B18" s="77">
        <v>6</v>
      </c>
      <c r="C18" s="141"/>
      <c r="D18" s="141"/>
      <c r="F18" s="530"/>
      <c r="G18" s="530"/>
    </row>
    <row r="19" spans="1:257" x14ac:dyDescent="0.2">
      <c r="B19" s="77">
        <v>7</v>
      </c>
      <c r="C19" s="142" t="s">
        <v>486</v>
      </c>
      <c r="D19" s="142">
        <f>SUM(D14:D18)</f>
        <v>0</v>
      </c>
      <c r="E19" s="40"/>
      <c r="F19" s="531"/>
      <c r="G19" s="531"/>
    </row>
    <row r="20" spans="1:257" s="139" customFormat="1" ht="15.75" x14ac:dyDescent="0.25">
      <c r="A20" s="138"/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</row>
    <row r="21" spans="1:257" s="139" customFormat="1" ht="15.75" x14ac:dyDescent="0.25">
      <c r="A21" s="138"/>
      <c r="B21" s="38" t="s">
        <v>638</v>
      </c>
      <c r="C21" s="38"/>
      <c r="D21" s="522"/>
      <c r="E21" s="522"/>
      <c r="F21" s="522"/>
      <c r="G21" s="522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</row>
    <row r="22" spans="1:257" s="139" customFormat="1" ht="15.75" x14ac:dyDescent="0.25">
      <c r="A22" s="138"/>
      <c r="B22" s="138"/>
      <c r="C22" s="138"/>
      <c r="D22" s="138"/>
      <c r="E22" s="138"/>
      <c r="F22" s="523"/>
      <c r="G22" s="523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</row>
    <row r="23" spans="1:257" x14ac:dyDescent="0.2">
      <c r="B23" s="77"/>
      <c r="C23" s="77" t="s">
        <v>350</v>
      </c>
      <c r="D23" s="77" t="s">
        <v>351</v>
      </c>
      <c r="E23" s="77" t="s">
        <v>470</v>
      </c>
      <c r="F23" s="77" t="s">
        <v>471</v>
      </c>
      <c r="G23" s="77" t="s">
        <v>44</v>
      </c>
    </row>
    <row r="24" spans="1:257" x14ac:dyDescent="0.2">
      <c r="B24" s="77">
        <v>1</v>
      </c>
      <c r="C24" s="143" t="s">
        <v>559</v>
      </c>
      <c r="D24" s="143" t="str">
        <f>CONCATENATE(PAR!$H$3)</f>
        <v>2025.</v>
      </c>
      <c r="E24" s="143" t="str">
        <f>CONCATENATE(PAR!$H$7)</f>
        <v>2026.</v>
      </c>
      <c r="F24" s="143" t="str">
        <f>CONCATENATE(PAR!$H$8," után")</f>
        <v>2027. után</v>
      </c>
      <c r="G24" s="143" t="s">
        <v>474</v>
      </c>
    </row>
    <row r="25" spans="1:257" x14ac:dyDescent="0.2">
      <c r="B25" s="77">
        <v>2</v>
      </c>
      <c r="C25" s="144" t="s">
        <v>475</v>
      </c>
      <c r="D25" s="144"/>
      <c r="E25" s="144"/>
      <c r="F25" s="144"/>
      <c r="G25" s="144">
        <f t="shared" ref="G25:G30" si="0">SUM(D25:F25)</f>
        <v>0</v>
      </c>
    </row>
    <row r="26" spans="1:257" x14ac:dyDescent="0.2">
      <c r="B26" s="77">
        <v>3</v>
      </c>
      <c r="C26" s="145" t="s">
        <v>476</v>
      </c>
      <c r="D26" s="146"/>
      <c r="E26" s="146"/>
      <c r="F26" s="146"/>
      <c r="G26" s="146">
        <f>SUM(D26:F26)</f>
        <v>0</v>
      </c>
    </row>
    <row r="27" spans="1:257" x14ac:dyDescent="0.2">
      <c r="B27" s="77">
        <v>4</v>
      </c>
      <c r="C27" s="144" t="s">
        <v>477</v>
      </c>
      <c r="D27" s="144"/>
      <c r="E27" s="144"/>
      <c r="F27" s="144"/>
      <c r="G27" s="144">
        <f t="shared" si="0"/>
        <v>0</v>
      </c>
    </row>
    <row r="28" spans="1:257" x14ac:dyDescent="0.2">
      <c r="B28" s="77">
        <v>5</v>
      </c>
      <c r="C28" s="144" t="s">
        <v>478</v>
      </c>
      <c r="D28" s="144"/>
      <c r="E28" s="144"/>
      <c r="F28" s="144"/>
      <c r="G28" s="144">
        <f t="shared" si="0"/>
        <v>0</v>
      </c>
    </row>
    <row r="29" spans="1:257" x14ac:dyDescent="0.2">
      <c r="B29" s="77">
        <v>6</v>
      </c>
      <c r="C29" s="144" t="s">
        <v>479</v>
      </c>
      <c r="D29" s="144"/>
      <c r="E29" s="144"/>
      <c r="F29" s="144"/>
      <c r="G29" s="144">
        <f t="shared" si="0"/>
        <v>0</v>
      </c>
    </row>
    <row r="30" spans="1:257" x14ac:dyDescent="0.2">
      <c r="B30" s="77">
        <v>7</v>
      </c>
      <c r="C30" s="144" t="s">
        <v>480</v>
      </c>
      <c r="D30" s="144"/>
      <c r="E30" s="144"/>
      <c r="F30" s="144"/>
      <c r="G30" s="144">
        <f t="shared" si="0"/>
        <v>0</v>
      </c>
    </row>
    <row r="31" spans="1:257" x14ac:dyDescent="0.2">
      <c r="B31" s="77">
        <v>8</v>
      </c>
      <c r="C31" s="149" t="s">
        <v>481</v>
      </c>
      <c r="D31" s="150">
        <f>D25+SUM(D27:D30)</f>
        <v>0</v>
      </c>
      <c r="E31" s="150">
        <f>E25+SUM(E27:E30)</f>
        <v>0</v>
      </c>
      <c r="F31" s="150">
        <f>F25+SUM(F27:F30)</f>
        <v>0</v>
      </c>
      <c r="G31" s="150">
        <f>G25+SUM(G27:G30)</f>
        <v>0</v>
      </c>
    </row>
    <row r="32" spans="1:257" x14ac:dyDescent="0.2">
      <c r="B32" s="77">
        <v>9</v>
      </c>
      <c r="C32" s="151" t="s">
        <v>482</v>
      </c>
      <c r="D32" s="144"/>
      <c r="E32" s="144"/>
      <c r="F32" s="144"/>
      <c r="G32" s="144">
        <f t="shared" ref="G32:G35" si="1">SUM(D32:F32)</f>
        <v>0</v>
      </c>
    </row>
    <row r="33" spans="1:257" x14ac:dyDescent="0.2">
      <c r="B33" s="77">
        <v>10</v>
      </c>
      <c r="C33" s="152" t="s">
        <v>483</v>
      </c>
      <c r="D33" s="144"/>
      <c r="E33" s="144"/>
      <c r="F33" s="144"/>
      <c r="G33" s="144">
        <f t="shared" si="1"/>
        <v>0</v>
      </c>
    </row>
    <row r="34" spans="1:257" x14ac:dyDescent="0.2">
      <c r="B34" s="77">
        <v>11</v>
      </c>
      <c r="C34" s="151" t="s">
        <v>484</v>
      </c>
      <c r="D34" s="144"/>
      <c r="E34" s="144"/>
      <c r="F34" s="144"/>
      <c r="G34" s="144">
        <f t="shared" si="1"/>
        <v>0</v>
      </c>
    </row>
    <row r="35" spans="1:257" x14ac:dyDescent="0.2">
      <c r="B35" s="77">
        <v>12</v>
      </c>
      <c r="C35" s="151" t="s">
        <v>485</v>
      </c>
      <c r="D35" s="144"/>
      <c r="E35" s="144"/>
      <c r="F35" s="144"/>
      <c r="G35" s="144">
        <f t="shared" si="1"/>
        <v>0</v>
      </c>
    </row>
    <row r="36" spans="1:257" x14ac:dyDescent="0.2">
      <c r="B36" s="77">
        <v>13</v>
      </c>
      <c r="C36" s="147" t="s">
        <v>554</v>
      </c>
      <c r="D36" s="148">
        <f>SUM(D32:D35)</f>
        <v>0</v>
      </c>
      <c r="E36" s="148">
        <f>SUM(E32:E35)</f>
        <v>0</v>
      </c>
      <c r="F36" s="148">
        <f>SUM(F32:F35)</f>
        <v>0</v>
      </c>
      <c r="G36" s="148">
        <f>SUM(G32:G35)</f>
        <v>0</v>
      </c>
    </row>
    <row r="37" spans="1:257" s="139" customFormat="1" ht="15.75" x14ac:dyDescent="0.25">
      <c r="A37" s="138"/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  <c r="CO37" s="138"/>
      <c r="CP37" s="138"/>
      <c r="CQ37" s="138"/>
      <c r="CR37" s="138"/>
      <c r="CS37" s="138"/>
      <c r="CT37" s="138"/>
      <c r="CU37" s="138"/>
      <c r="CV37" s="138"/>
      <c r="CW37" s="138"/>
      <c r="CX37" s="138"/>
      <c r="CY37" s="138"/>
      <c r="CZ37" s="138"/>
      <c r="DA37" s="138"/>
      <c r="DB37" s="138"/>
      <c r="DC37" s="138"/>
      <c r="DD37" s="138"/>
      <c r="DE37" s="138"/>
      <c r="DF37" s="138"/>
      <c r="DG37" s="138"/>
      <c r="DH37" s="138"/>
      <c r="DI37" s="138"/>
      <c r="DJ37" s="138"/>
      <c r="DK37" s="138"/>
      <c r="DL37" s="138"/>
      <c r="DM37" s="138"/>
      <c r="DN37" s="138"/>
      <c r="DO37" s="138"/>
      <c r="DP37" s="138"/>
      <c r="DQ37" s="138"/>
      <c r="DR37" s="138"/>
      <c r="DS37" s="138"/>
      <c r="DT37" s="138"/>
      <c r="DU37" s="138"/>
      <c r="DV37" s="138"/>
      <c r="DW37" s="138"/>
      <c r="DX37" s="138"/>
      <c r="DY37" s="138"/>
      <c r="DZ37" s="138"/>
      <c r="EA37" s="138"/>
      <c r="EB37" s="138"/>
      <c r="EC37" s="138"/>
      <c r="ED37" s="138"/>
      <c r="EE37" s="138"/>
      <c r="EF37" s="138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  <c r="GC37" s="138"/>
      <c r="GD37" s="138"/>
      <c r="GE37" s="138"/>
      <c r="GF37" s="138"/>
      <c r="GG37" s="138"/>
      <c r="GH37" s="138"/>
      <c r="GI37" s="138"/>
      <c r="GJ37" s="138"/>
      <c r="GK37" s="138"/>
      <c r="GL37" s="138"/>
      <c r="GM37" s="138"/>
      <c r="GN37" s="138"/>
      <c r="GO37" s="138"/>
      <c r="GP37" s="138"/>
      <c r="GQ37" s="138"/>
      <c r="GR37" s="138"/>
      <c r="GS37" s="138"/>
      <c r="GT37" s="138"/>
      <c r="GU37" s="138"/>
      <c r="GV37" s="138"/>
      <c r="GW37" s="138"/>
      <c r="GX37" s="138"/>
      <c r="GY37" s="138"/>
      <c r="GZ37" s="138"/>
      <c r="HA37" s="138"/>
      <c r="HB37" s="138"/>
      <c r="HC37" s="138"/>
      <c r="HD37" s="138"/>
      <c r="HE37" s="138"/>
      <c r="HF37" s="138"/>
      <c r="HG37" s="138"/>
      <c r="HH37" s="138"/>
      <c r="HI37" s="138"/>
      <c r="HJ37" s="138"/>
      <c r="HK37" s="138"/>
      <c r="HL37" s="138"/>
      <c r="HM37" s="138"/>
      <c r="HN37" s="138"/>
      <c r="HO37" s="138"/>
      <c r="HP37" s="138"/>
      <c r="HQ37" s="138"/>
      <c r="HR37" s="138"/>
      <c r="HS37" s="138"/>
      <c r="HT37" s="138"/>
      <c r="HU37" s="138"/>
      <c r="HV37" s="138"/>
      <c r="HW37" s="138"/>
      <c r="HX37" s="138"/>
      <c r="HY37" s="138"/>
      <c r="HZ37" s="138"/>
      <c r="IA37" s="138"/>
      <c r="IB37" s="138"/>
      <c r="IC37" s="138"/>
      <c r="ID37" s="138"/>
      <c r="IE37" s="138"/>
      <c r="IF37" s="138"/>
      <c r="IG37" s="138"/>
      <c r="IH37" s="138"/>
      <c r="II37" s="138"/>
      <c r="IJ37" s="138"/>
      <c r="IK37" s="138"/>
      <c r="IL37" s="138"/>
      <c r="IM37" s="138"/>
      <c r="IN37" s="138"/>
      <c r="IO37" s="138"/>
      <c r="IP37" s="138"/>
      <c r="IQ37" s="138"/>
      <c r="IR37" s="138"/>
      <c r="IS37" s="138"/>
      <c r="IT37" s="138"/>
      <c r="IU37" s="138"/>
      <c r="IV37" s="138"/>
      <c r="IW37" s="138"/>
    </row>
    <row r="38" spans="1:257" s="139" customFormat="1" ht="15.75" x14ac:dyDescent="0.25">
      <c r="A38" s="138"/>
      <c r="B38" s="38" t="s">
        <v>639</v>
      </c>
      <c r="C38" s="38"/>
      <c r="D38" s="522"/>
      <c r="E38" s="522"/>
      <c r="F38" s="522"/>
      <c r="G38" s="522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  <c r="HH38" s="138"/>
      <c r="HI38" s="138"/>
      <c r="HJ38" s="138"/>
      <c r="HK38" s="138"/>
      <c r="HL38" s="138"/>
      <c r="HM38" s="138"/>
      <c r="HN38" s="138"/>
      <c r="HO38" s="138"/>
      <c r="HP38" s="138"/>
      <c r="HQ38" s="138"/>
      <c r="HR38" s="138"/>
      <c r="HS38" s="138"/>
      <c r="HT38" s="138"/>
      <c r="HU38" s="138"/>
      <c r="HV38" s="138"/>
      <c r="HW38" s="138"/>
      <c r="HX38" s="138"/>
      <c r="HY38" s="138"/>
      <c r="HZ38" s="138"/>
      <c r="IA38" s="138"/>
      <c r="IB38" s="138"/>
      <c r="IC38" s="138"/>
      <c r="ID38" s="138"/>
      <c r="IE38" s="138"/>
      <c r="IF38" s="138"/>
      <c r="IG38" s="138"/>
      <c r="IH38" s="138"/>
      <c r="II38" s="138"/>
      <c r="IJ38" s="138"/>
      <c r="IK38" s="138"/>
      <c r="IL38" s="138"/>
      <c r="IM38" s="138"/>
      <c r="IN38" s="138"/>
      <c r="IO38" s="138"/>
      <c r="IP38" s="138"/>
      <c r="IQ38" s="138"/>
      <c r="IR38" s="138"/>
      <c r="IS38" s="138"/>
      <c r="IT38" s="138"/>
      <c r="IU38" s="138"/>
      <c r="IV38" s="138"/>
      <c r="IW38" s="138"/>
    </row>
    <row r="39" spans="1:257" s="139" customFormat="1" ht="15.75" x14ac:dyDescent="0.25">
      <c r="A39" s="138"/>
      <c r="B39" s="138"/>
      <c r="C39" s="138"/>
      <c r="D39" s="138"/>
      <c r="E39" s="138"/>
      <c r="F39" s="523"/>
      <c r="G39" s="523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38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  <c r="HH39" s="138"/>
      <c r="HI39" s="138"/>
      <c r="HJ39" s="138"/>
      <c r="HK39" s="138"/>
      <c r="HL39" s="138"/>
      <c r="HM39" s="138"/>
      <c r="HN39" s="138"/>
      <c r="HO39" s="138"/>
      <c r="HP39" s="138"/>
      <c r="HQ39" s="138"/>
      <c r="HR39" s="138"/>
      <c r="HS39" s="138"/>
      <c r="HT39" s="138"/>
      <c r="HU39" s="138"/>
      <c r="HV39" s="138"/>
      <c r="HW39" s="138"/>
      <c r="HX39" s="138"/>
      <c r="HY39" s="138"/>
      <c r="HZ39" s="138"/>
      <c r="IA39" s="138"/>
      <c r="IB39" s="138"/>
      <c r="IC39" s="138"/>
      <c r="ID39" s="138"/>
      <c r="IE39" s="138"/>
      <c r="IF39" s="138"/>
      <c r="IG39" s="138"/>
      <c r="IH39" s="138"/>
      <c r="II39" s="138"/>
      <c r="IJ39" s="138"/>
      <c r="IK39" s="138"/>
      <c r="IL39" s="138"/>
      <c r="IM39" s="138"/>
      <c r="IN39" s="138"/>
      <c r="IO39" s="138"/>
      <c r="IP39" s="138"/>
      <c r="IQ39" s="138"/>
      <c r="IR39" s="138"/>
      <c r="IS39" s="138"/>
      <c r="IT39" s="138"/>
      <c r="IU39" s="138"/>
      <c r="IV39" s="138"/>
      <c r="IW39" s="138"/>
    </row>
    <row r="40" spans="1:257" x14ac:dyDescent="0.2">
      <c r="B40" s="77"/>
      <c r="C40" s="77" t="s">
        <v>350</v>
      </c>
      <c r="D40" s="77" t="s">
        <v>351</v>
      </c>
      <c r="E40" s="77" t="s">
        <v>470</v>
      </c>
      <c r="F40" s="77" t="s">
        <v>471</v>
      </c>
      <c r="G40" s="77" t="s">
        <v>44</v>
      </c>
    </row>
    <row r="41" spans="1:257" x14ac:dyDescent="0.2">
      <c r="B41" s="77">
        <v>1</v>
      </c>
      <c r="C41" s="143" t="s">
        <v>559</v>
      </c>
      <c r="D41" s="143" t="str">
        <f>CONCATENATE(PAR!$H$3)</f>
        <v>2025.</v>
      </c>
      <c r="E41" s="143" t="str">
        <f>CONCATENATE(PAR!$H$7)</f>
        <v>2026.</v>
      </c>
      <c r="F41" s="143" t="str">
        <f>CONCATENATE(PAR!$H$8," után")</f>
        <v>2027. után</v>
      </c>
      <c r="G41" s="143" t="s">
        <v>474</v>
      </c>
    </row>
    <row r="42" spans="1:257" x14ac:dyDescent="0.2">
      <c r="B42" s="77">
        <v>2</v>
      </c>
      <c r="C42" s="144" t="s">
        <v>475</v>
      </c>
      <c r="D42" s="144"/>
      <c r="E42" s="144"/>
      <c r="F42" s="144"/>
      <c r="G42" s="144">
        <f t="shared" ref="G42" si="2">SUM(D42:F42)</f>
        <v>0</v>
      </c>
    </row>
    <row r="43" spans="1:257" x14ac:dyDescent="0.2">
      <c r="B43" s="77">
        <v>3</v>
      </c>
      <c r="C43" s="145" t="s">
        <v>476</v>
      </c>
      <c r="D43" s="146"/>
      <c r="E43" s="146"/>
      <c r="F43" s="146"/>
      <c r="G43" s="146">
        <f>SUM(D43:F43)</f>
        <v>0</v>
      </c>
    </row>
    <row r="44" spans="1:257" x14ac:dyDescent="0.2">
      <c r="B44" s="77">
        <v>4</v>
      </c>
      <c r="C44" s="144" t="s">
        <v>477</v>
      </c>
      <c r="D44" s="144"/>
      <c r="E44" s="144"/>
      <c r="F44" s="144"/>
      <c r="G44" s="144">
        <f t="shared" ref="G44:G47" si="3">SUM(D44:F44)</f>
        <v>0</v>
      </c>
    </row>
    <row r="45" spans="1:257" x14ac:dyDescent="0.2">
      <c r="B45" s="77">
        <v>5</v>
      </c>
      <c r="C45" s="144" t="s">
        <v>478</v>
      </c>
      <c r="D45" s="144"/>
      <c r="E45" s="144"/>
      <c r="F45" s="144"/>
      <c r="G45" s="144">
        <f t="shared" si="3"/>
        <v>0</v>
      </c>
    </row>
    <row r="46" spans="1:257" x14ac:dyDescent="0.2">
      <c r="B46" s="77">
        <v>6</v>
      </c>
      <c r="C46" s="144" t="s">
        <v>479</v>
      </c>
      <c r="D46" s="144"/>
      <c r="E46" s="144"/>
      <c r="F46" s="144"/>
      <c r="G46" s="144">
        <f t="shared" si="3"/>
        <v>0</v>
      </c>
    </row>
    <row r="47" spans="1:257" x14ac:dyDescent="0.2">
      <c r="B47" s="77">
        <v>7</v>
      </c>
      <c r="C47" s="144" t="s">
        <v>480</v>
      </c>
      <c r="D47" s="144"/>
      <c r="E47" s="144"/>
      <c r="F47" s="144"/>
      <c r="G47" s="144">
        <f t="shared" si="3"/>
        <v>0</v>
      </c>
    </row>
    <row r="48" spans="1:257" x14ac:dyDescent="0.2">
      <c r="B48" s="77">
        <v>8</v>
      </c>
      <c r="C48" s="149" t="s">
        <v>481</v>
      </c>
      <c r="D48" s="150">
        <f>D42+SUM(D44:D47)</f>
        <v>0</v>
      </c>
      <c r="E48" s="150">
        <f>E42+SUM(E44:E47)</f>
        <v>0</v>
      </c>
      <c r="F48" s="150">
        <f>F42+SUM(F44:F47)</f>
        <v>0</v>
      </c>
      <c r="G48" s="150">
        <f>G42+SUM(G44:G47)</f>
        <v>0</v>
      </c>
    </row>
    <row r="49" spans="1:257" x14ac:dyDescent="0.2">
      <c r="B49" s="77">
        <v>9</v>
      </c>
      <c r="C49" s="151" t="s">
        <v>482</v>
      </c>
      <c r="D49" s="144"/>
      <c r="E49" s="144"/>
      <c r="F49" s="144"/>
      <c r="G49" s="144">
        <f t="shared" ref="G49:G52" si="4">SUM(D49:F49)</f>
        <v>0</v>
      </c>
    </row>
    <row r="50" spans="1:257" x14ac:dyDescent="0.2">
      <c r="B50" s="77">
        <v>10</v>
      </c>
      <c r="C50" s="152" t="s">
        <v>483</v>
      </c>
      <c r="D50" s="144"/>
      <c r="E50" s="144"/>
      <c r="F50" s="144"/>
      <c r="G50" s="144">
        <f t="shared" si="4"/>
        <v>0</v>
      </c>
    </row>
    <row r="51" spans="1:257" x14ac:dyDescent="0.2">
      <c r="B51" s="77">
        <v>11</v>
      </c>
      <c r="C51" s="151" t="s">
        <v>484</v>
      </c>
      <c r="D51" s="144"/>
      <c r="E51" s="144"/>
      <c r="F51" s="144"/>
      <c r="G51" s="144">
        <f t="shared" si="4"/>
        <v>0</v>
      </c>
    </row>
    <row r="52" spans="1:257" x14ac:dyDescent="0.2">
      <c r="B52" s="77">
        <v>12</v>
      </c>
      <c r="C52" s="151" t="s">
        <v>485</v>
      </c>
      <c r="D52" s="144"/>
      <c r="E52" s="144"/>
      <c r="F52" s="144"/>
      <c r="G52" s="144">
        <f t="shared" si="4"/>
        <v>0</v>
      </c>
    </row>
    <row r="53" spans="1:257" x14ac:dyDescent="0.2">
      <c r="B53" s="77">
        <v>13</v>
      </c>
      <c r="C53" s="147" t="s">
        <v>554</v>
      </c>
      <c r="D53" s="148">
        <f>SUM(D49:D52)</f>
        <v>0</v>
      </c>
      <c r="E53" s="148">
        <f>SUM(E49:E52)</f>
        <v>0</v>
      </c>
      <c r="F53" s="148">
        <f>SUM(F49:F52)</f>
        <v>0</v>
      </c>
      <c r="G53" s="148">
        <f>SUM(G49:G52)</f>
        <v>0</v>
      </c>
    </row>
    <row r="54" spans="1:257" s="139" customFormat="1" ht="15.75" x14ac:dyDescent="0.25">
      <c r="A54" s="138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138"/>
      <c r="HT54" s="138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  <c r="IE54" s="138"/>
      <c r="IF54" s="138"/>
      <c r="IG54" s="138"/>
      <c r="IH54" s="138"/>
      <c r="II54" s="138"/>
      <c r="IJ54" s="138"/>
      <c r="IK54" s="138"/>
      <c r="IL54" s="138"/>
      <c r="IM54" s="138"/>
      <c r="IN54" s="138"/>
      <c r="IO54" s="138"/>
      <c r="IP54" s="138"/>
      <c r="IQ54" s="138"/>
      <c r="IR54" s="138"/>
      <c r="IS54" s="138"/>
      <c r="IT54" s="138"/>
      <c r="IU54" s="138"/>
      <c r="IV54" s="138"/>
      <c r="IW54" s="138"/>
    </row>
    <row r="55" spans="1:257" s="139" customFormat="1" ht="15.75" x14ac:dyDescent="0.25">
      <c r="A55" s="138"/>
      <c r="B55" s="38" t="s">
        <v>640</v>
      </c>
      <c r="C55" s="38"/>
      <c r="D55" s="522"/>
      <c r="E55" s="522"/>
      <c r="F55" s="522"/>
      <c r="G55" s="522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  <c r="GI55" s="138"/>
      <c r="GJ55" s="138"/>
      <c r="GK55" s="138"/>
      <c r="GL55" s="138"/>
      <c r="GM55" s="138"/>
      <c r="GN55" s="138"/>
      <c r="GO55" s="138"/>
      <c r="GP55" s="138"/>
      <c r="GQ55" s="138"/>
      <c r="GR55" s="138"/>
      <c r="GS55" s="138"/>
      <c r="GT55" s="138"/>
      <c r="GU55" s="138"/>
      <c r="GV55" s="138"/>
      <c r="GW55" s="138"/>
      <c r="GX55" s="138"/>
      <c r="GY55" s="138"/>
      <c r="GZ55" s="138"/>
      <c r="HA55" s="138"/>
      <c r="HB55" s="138"/>
      <c r="HC55" s="138"/>
      <c r="HD55" s="138"/>
      <c r="HE55" s="138"/>
      <c r="HF55" s="138"/>
      <c r="HG55" s="138"/>
      <c r="HH55" s="138"/>
      <c r="HI55" s="138"/>
      <c r="HJ55" s="138"/>
      <c r="HK55" s="138"/>
      <c r="HL55" s="138"/>
      <c r="HM55" s="138"/>
      <c r="HN55" s="138"/>
      <c r="HO55" s="138"/>
      <c r="HP55" s="138"/>
      <c r="HQ55" s="138"/>
      <c r="HR55" s="138"/>
      <c r="HS55" s="138"/>
      <c r="HT55" s="138"/>
      <c r="HU55" s="138"/>
      <c r="HV55" s="138"/>
      <c r="HW55" s="138"/>
      <c r="HX55" s="138"/>
      <c r="HY55" s="138"/>
      <c r="HZ55" s="138"/>
      <c r="IA55" s="138"/>
      <c r="IB55" s="138"/>
      <c r="IC55" s="138"/>
      <c r="ID55" s="138"/>
      <c r="IE55" s="138"/>
      <c r="IF55" s="138"/>
      <c r="IG55" s="138"/>
      <c r="IH55" s="138"/>
      <c r="II55" s="138"/>
      <c r="IJ55" s="138"/>
      <c r="IK55" s="138"/>
      <c r="IL55" s="138"/>
      <c r="IM55" s="138"/>
      <c r="IN55" s="138"/>
      <c r="IO55" s="138"/>
      <c r="IP55" s="138"/>
      <c r="IQ55" s="138"/>
      <c r="IR55" s="138"/>
      <c r="IS55" s="138"/>
      <c r="IT55" s="138"/>
      <c r="IU55" s="138"/>
      <c r="IV55" s="138"/>
      <c r="IW55" s="138"/>
    </row>
    <row r="56" spans="1:257" s="139" customFormat="1" ht="15.75" x14ac:dyDescent="0.25">
      <c r="A56" s="138"/>
      <c r="B56" s="138"/>
      <c r="C56" s="138"/>
      <c r="D56" s="138"/>
      <c r="E56" s="138"/>
      <c r="F56" s="523"/>
      <c r="G56" s="523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138"/>
      <c r="HT56" s="138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  <c r="IE56" s="138"/>
      <c r="IF56" s="138"/>
      <c r="IG56" s="138"/>
      <c r="IH56" s="138"/>
      <c r="II56" s="138"/>
      <c r="IJ56" s="138"/>
      <c r="IK56" s="138"/>
      <c r="IL56" s="138"/>
      <c r="IM56" s="138"/>
      <c r="IN56" s="138"/>
      <c r="IO56" s="138"/>
      <c r="IP56" s="138"/>
      <c r="IQ56" s="138"/>
      <c r="IR56" s="138"/>
      <c r="IS56" s="138"/>
      <c r="IT56" s="138"/>
      <c r="IU56" s="138"/>
      <c r="IV56" s="138"/>
      <c r="IW56" s="138"/>
    </row>
    <row r="57" spans="1:257" x14ac:dyDescent="0.2">
      <c r="B57" s="77"/>
      <c r="C57" s="77" t="s">
        <v>350</v>
      </c>
      <c r="D57" s="77" t="s">
        <v>351</v>
      </c>
      <c r="E57" s="77" t="s">
        <v>470</v>
      </c>
      <c r="F57" s="77" t="s">
        <v>471</v>
      </c>
      <c r="G57" s="77" t="s">
        <v>44</v>
      </c>
    </row>
    <row r="58" spans="1:257" x14ac:dyDescent="0.2">
      <c r="B58" s="77">
        <v>1</v>
      </c>
      <c r="C58" s="143" t="s">
        <v>559</v>
      </c>
      <c r="D58" s="143" t="str">
        <f>CONCATENATE(PAR!$H$3)</f>
        <v>2025.</v>
      </c>
      <c r="E58" s="143" t="str">
        <f>CONCATENATE(PAR!$H$7)</f>
        <v>2026.</v>
      </c>
      <c r="F58" s="143" t="str">
        <f>CONCATENATE(PAR!$H$8," után")</f>
        <v>2027. után</v>
      </c>
      <c r="G58" s="143" t="s">
        <v>474</v>
      </c>
    </row>
    <row r="59" spans="1:257" x14ac:dyDescent="0.2">
      <c r="B59" s="77">
        <v>2</v>
      </c>
      <c r="C59" s="144" t="s">
        <v>475</v>
      </c>
      <c r="D59" s="144"/>
      <c r="E59" s="144"/>
      <c r="F59" s="144"/>
      <c r="G59" s="144">
        <f t="shared" ref="G59" si="5">SUM(D59:F59)</f>
        <v>0</v>
      </c>
    </row>
    <row r="60" spans="1:257" x14ac:dyDescent="0.2">
      <c r="B60" s="77">
        <v>3</v>
      </c>
      <c r="C60" s="145" t="s">
        <v>476</v>
      </c>
      <c r="D60" s="146"/>
      <c r="E60" s="146"/>
      <c r="F60" s="146"/>
      <c r="G60" s="146">
        <f>SUM(D60:F60)</f>
        <v>0</v>
      </c>
    </row>
    <row r="61" spans="1:257" x14ac:dyDescent="0.2">
      <c r="B61" s="77">
        <v>4</v>
      </c>
      <c r="C61" s="144" t="s">
        <v>477</v>
      </c>
      <c r="D61" s="144"/>
      <c r="E61" s="144"/>
      <c r="F61" s="144"/>
      <c r="G61" s="144">
        <f t="shared" ref="G61:G64" si="6">SUM(D61:F61)</f>
        <v>0</v>
      </c>
    </row>
    <row r="62" spans="1:257" x14ac:dyDescent="0.2">
      <c r="B62" s="77">
        <v>5</v>
      </c>
      <c r="C62" s="144" t="s">
        <v>478</v>
      </c>
      <c r="D62" s="144"/>
      <c r="E62" s="144"/>
      <c r="F62" s="144"/>
      <c r="G62" s="144">
        <f t="shared" si="6"/>
        <v>0</v>
      </c>
    </row>
    <row r="63" spans="1:257" x14ac:dyDescent="0.2">
      <c r="B63" s="77">
        <v>6</v>
      </c>
      <c r="C63" s="144" t="s">
        <v>479</v>
      </c>
      <c r="D63" s="144"/>
      <c r="E63" s="144"/>
      <c r="F63" s="144"/>
      <c r="G63" s="144">
        <f t="shared" si="6"/>
        <v>0</v>
      </c>
    </row>
    <row r="64" spans="1:257" x14ac:dyDescent="0.2">
      <c r="B64" s="77">
        <v>7</v>
      </c>
      <c r="C64" s="144" t="s">
        <v>480</v>
      </c>
      <c r="D64" s="144"/>
      <c r="E64" s="144"/>
      <c r="F64" s="144"/>
      <c r="G64" s="144">
        <f t="shared" si="6"/>
        <v>0</v>
      </c>
    </row>
    <row r="65" spans="1:257" x14ac:dyDescent="0.2">
      <c r="B65" s="77">
        <v>8</v>
      </c>
      <c r="C65" s="149" t="s">
        <v>481</v>
      </c>
      <c r="D65" s="150">
        <f>D59+SUM(D61:D64)</f>
        <v>0</v>
      </c>
      <c r="E65" s="150">
        <f>E59+SUM(E61:E64)</f>
        <v>0</v>
      </c>
      <c r="F65" s="150">
        <f>F59+SUM(F61:F64)</f>
        <v>0</v>
      </c>
      <c r="G65" s="150">
        <f>G59+SUM(G61:G64)</f>
        <v>0</v>
      </c>
    </row>
    <row r="66" spans="1:257" x14ac:dyDescent="0.2">
      <c r="B66" s="77">
        <v>9</v>
      </c>
      <c r="C66" s="151" t="s">
        <v>482</v>
      </c>
      <c r="D66" s="144"/>
      <c r="E66" s="144"/>
      <c r="F66" s="144"/>
      <c r="G66" s="144">
        <f t="shared" ref="G66:G69" si="7">SUM(D66:F66)</f>
        <v>0</v>
      </c>
    </row>
    <row r="67" spans="1:257" x14ac:dyDescent="0.2">
      <c r="B67" s="77">
        <v>10</v>
      </c>
      <c r="C67" s="152" t="s">
        <v>483</v>
      </c>
      <c r="D67" s="144"/>
      <c r="E67" s="144"/>
      <c r="F67" s="144"/>
      <c r="G67" s="144">
        <f t="shared" si="7"/>
        <v>0</v>
      </c>
    </row>
    <row r="68" spans="1:257" x14ac:dyDescent="0.2">
      <c r="B68" s="77">
        <v>11</v>
      </c>
      <c r="C68" s="151" t="s">
        <v>484</v>
      </c>
      <c r="D68" s="144"/>
      <c r="E68" s="144"/>
      <c r="F68" s="144"/>
      <c r="G68" s="144">
        <f t="shared" si="7"/>
        <v>0</v>
      </c>
    </row>
    <row r="69" spans="1:257" x14ac:dyDescent="0.2">
      <c r="B69" s="77">
        <v>12</v>
      </c>
      <c r="C69" s="151" t="s">
        <v>485</v>
      </c>
      <c r="D69" s="144"/>
      <c r="E69" s="144"/>
      <c r="F69" s="144"/>
      <c r="G69" s="144">
        <f t="shared" si="7"/>
        <v>0</v>
      </c>
    </row>
    <row r="70" spans="1:257" x14ac:dyDescent="0.2">
      <c r="B70" s="77">
        <v>13</v>
      </c>
      <c r="C70" s="147" t="s">
        <v>554</v>
      </c>
      <c r="D70" s="148">
        <f>SUM(D66:D69)</f>
        <v>0</v>
      </c>
      <c r="E70" s="148">
        <f>SUM(E66:E69)</f>
        <v>0</v>
      </c>
      <c r="F70" s="148">
        <f>SUM(F66:F69)</f>
        <v>0</v>
      </c>
      <c r="G70" s="148">
        <f>SUM(G66:G69)</f>
        <v>0</v>
      </c>
    </row>
    <row r="71" spans="1:257" s="139" customFormat="1" ht="15.75" x14ac:dyDescent="0.25">
      <c r="A71" s="138"/>
      <c r="B71" s="138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138"/>
      <c r="HT71" s="138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  <c r="IE71" s="138"/>
      <c r="IF71" s="138"/>
      <c r="IG71" s="138"/>
      <c r="IH71" s="138"/>
      <c r="II71" s="138"/>
      <c r="IJ71" s="138"/>
      <c r="IK71" s="138"/>
      <c r="IL71" s="138"/>
      <c r="IM71" s="138"/>
      <c r="IN71" s="138"/>
      <c r="IO71" s="138"/>
      <c r="IP71" s="138"/>
      <c r="IQ71" s="138"/>
      <c r="IR71" s="138"/>
      <c r="IS71" s="138"/>
      <c r="IT71" s="138"/>
      <c r="IU71" s="138"/>
      <c r="IV71" s="138"/>
      <c r="IW71" s="138"/>
    </row>
    <row r="72" spans="1:257" s="139" customFormat="1" ht="15.75" x14ac:dyDescent="0.25">
      <c r="A72" s="138"/>
      <c r="B72" s="38" t="s">
        <v>641</v>
      </c>
      <c r="C72" s="38"/>
      <c r="D72" s="522"/>
      <c r="E72" s="522"/>
      <c r="F72" s="522"/>
      <c r="G72" s="522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  <c r="IU72" s="138"/>
      <c r="IV72" s="138"/>
      <c r="IW72" s="138"/>
    </row>
    <row r="73" spans="1:257" s="139" customFormat="1" ht="15.75" x14ac:dyDescent="0.25">
      <c r="A73" s="138"/>
      <c r="B73" s="138"/>
      <c r="C73" s="138"/>
      <c r="D73" s="138"/>
      <c r="E73" s="138"/>
      <c r="F73" s="523"/>
      <c r="G73" s="523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138"/>
      <c r="HT73" s="138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  <c r="IE73" s="138"/>
      <c r="IF73" s="138"/>
      <c r="IG73" s="138"/>
      <c r="IH73" s="138"/>
      <c r="II73" s="138"/>
      <c r="IJ73" s="138"/>
      <c r="IK73" s="138"/>
      <c r="IL73" s="138"/>
      <c r="IM73" s="138"/>
      <c r="IN73" s="138"/>
      <c r="IO73" s="138"/>
      <c r="IP73" s="138"/>
      <c r="IQ73" s="138"/>
      <c r="IR73" s="138"/>
      <c r="IS73" s="138"/>
      <c r="IT73" s="138"/>
      <c r="IU73" s="138"/>
      <c r="IV73" s="138"/>
      <c r="IW73" s="138"/>
    </row>
    <row r="74" spans="1:257" x14ac:dyDescent="0.2">
      <c r="B74" s="77"/>
      <c r="C74" s="77" t="s">
        <v>350</v>
      </c>
      <c r="D74" s="77" t="s">
        <v>351</v>
      </c>
      <c r="E74" s="77" t="s">
        <v>470</v>
      </c>
      <c r="F74" s="77" t="s">
        <v>471</v>
      </c>
      <c r="G74" s="77" t="s">
        <v>44</v>
      </c>
    </row>
    <row r="75" spans="1:257" x14ac:dyDescent="0.2">
      <c r="B75" s="77">
        <v>1</v>
      </c>
      <c r="C75" s="143" t="s">
        <v>559</v>
      </c>
      <c r="D75" s="143" t="str">
        <f>CONCATENATE(PAR!$H$3)</f>
        <v>2025.</v>
      </c>
      <c r="E75" s="143" t="str">
        <f>CONCATENATE(PAR!$H$7)</f>
        <v>2026.</v>
      </c>
      <c r="F75" s="143" t="str">
        <f>CONCATENATE(PAR!$H$8," után")</f>
        <v>2027. után</v>
      </c>
      <c r="G75" s="143" t="s">
        <v>474</v>
      </c>
    </row>
    <row r="76" spans="1:257" x14ac:dyDescent="0.2">
      <c r="B76" s="77">
        <v>2</v>
      </c>
      <c r="C76" s="144" t="s">
        <v>475</v>
      </c>
      <c r="D76" s="144"/>
      <c r="E76" s="144"/>
      <c r="F76" s="144"/>
      <c r="G76" s="144">
        <f t="shared" ref="G76" si="8">SUM(D76:F76)</f>
        <v>0</v>
      </c>
    </row>
    <row r="77" spans="1:257" x14ac:dyDescent="0.2">
      <c r="B77" s="77">
        <v>3</v>
      </c>
      <c r="C77" s="145" t="s">
        <v>476</v>
      </c>
      <c r="D77" s="146"/>
      <c r="E77" s="146"/>
      <c r="F77" s="146"/>
      <c r="G77" s="146">
        <f>SUM(D77:F77)</f>
        <v>0</v>
      </c>
    </row>
    <row r="78" spans="1:257" x14ac:dyDescent="0.2">
      <c r="B78" s="77">
        <v>4</v>
      </c>
      <c r="C78" s="144" t="s">
        <v>477</v>
      </c>
      <c r="D78" s="144"/>
      <c r="E78" s="144"/>
      <c r="F78" s="144"/>
      <c r="G78" s="144">
        <f t="shared" ref="G78:G81" si="9">SUM(D78:F78)</f>
        <v>0</v>
      </c>
    </row>
    <row r="79" spans="1:257" x14ac:dyDescent="0.2">
      <c r="B79" s="77">
        <v>5</v>
      </c>
      <c r="C79" s="144" t="s">
        <v>478</v>
      </c>
      <c r="D79" s="144"/>
      <c r="E79" s="144"/>
      <c r="F79" s="144"/>
      <c r="G79" s="144">
        <f t="shared" si="9"/>
        <v>0</v>
      </c>
    </row>
    <row r="80" spans="1:257" x14ac:dyDescent="0.2">
      <c r="B80" s="77">
        <v>6</v>
      </c>
      <c r="C80" s="144" t="s">
        <v>479</v>
      </c>
      <c r="D80" s="144"/>
      <c r="E80" s="144"/>
      <c r="F80" s="144"/>
      <c r="G80" s="144">
        <f t="shared" si="9"/>
        <v>0</v>
      </c>
    </row>
    <row r="81" spans="1:257" x14ac:dyDescent="0.2">
      <c r="B81" s="77">
        <v>7</v>
      </c>
      <c r="C81" s="144" t="s">
        <v>480</v>
      </c>
      <c r="D81" s="144"/>
      <c r="E81" s="144"/>
      <c r="F81" s="144"/>
      <c r="G81" s="144">
        <f t="shared" si="9"/>
        <v>0</v>
      </c>
    </row>
    <row r="82" spans="1:257" x14ac:dyDescent="0.2">
      <c r="B82" s="77">
        <v>8</v>
      </c>
      <c r="C82" s="149" t="s">
        <v>481</v>
      </c>
      <c r="D82" s="150">
        <f>D76+SUM(D78:D81)</f>
        <v>0</v>
      </c>
      <c r="E82" s="150">
        <f>E76+SUM(E78:E81)</f>
        <v>0</v>
      </c>
      <c r="F82" s="150">
        <f>F76+SUM(F78:F81)</f>
        <v>0</v>
      </c>
      <c r="G82" s="150">
        <f>G76+SUM(G78:G81)</f>
        <v>0</v>
      </c>
    </row>
    <row r="83" spans="1:257" x14ac:dyDescent="0.2">
      <c r="B83" s="77">
        <v>9</v>
      </c>
      <c r="C83" s="151" t="s">
        <v>482</v>
      </c>
      <c r="D83" s="144"/>
      <c r="E83" s="144"/>
      <c r="F83" s="144"/>
      <c r="G83" s="144">
        <f t="shared" ref="G83:G86" si="10">SUM(D83:F83)</f>
        <v>0</v>
      </c>
    </row>
    <row r="84" spans="1:257" x14ac:dyDescent="0.2">
      <c r="B84" s="77">
        <v>10</v>
      </c>
      <c r="C84" s="152" t="s">
        <v>483</v>
      </c>
      <c r="D84" s="144"/>
      <c r="E84" s="144"/>
      <c r="F84" s="144"/>
      <c r="G84" s="144">
        <f t="shared" si="10"/>
        <v>0</v>
      </c>
    </row>
    <row r="85" spans="1:257" x14ac:dyDescent="0.2">
      <c r="B85" s="77">
        <v>11</v>
      </c>
      <c r="C85" s="151" t="s">
        <v>484</v>
      </c>
      <c r="D85" s="144"/>
      <c r="E85" s="144"/>
      <c r="F85" s="144"/>
      <c r="G85" s="144">
        <f t="shared" si="10"/>
        <v>0</v>
      </c>
    </row>
    <row r="86" spans="1:257" x14ac:dyDescent="0.2">
      <c r="B86" s="77">
        <v>12</v>
      </c>
      <c r="C86" s="151" t="s">
        <v>485</v>
      </c>
      <c r="D86" s="144"/>
      <c r="E86" s="144"/>
      <c r="F86" s="144"/>
      <c r="G86" s="144">
        <f t="shared" si="10"/>
        <v>0</v>
      </c>
    </row>
    <row r="87" spans="1:257" x14ac:dyDescent="0.2">
      <c r="B87" s="77">
        <v>13</v>
      </c>
      <c r="C87" s="147" t="s">
        <v>554</v>
      </c>
      <c r="D87" s="148">
        <f>SUM(D83:D86)</f>
        <v>0</v>
      </c>
      <c r="E87" s="148">
        <f>SUM(E83:E86)</f>
        <v>0</v>
      </c>
      <c r="F87" s="148">
        <f>SUM(F83:F86)</f>
        <v>0</v>
      </c>
      <c r="G87" s="148">
        <f>SUM(G83:G86)</f>
        <v>0</v>
      </c>
    </row>
    <row r="88" spans="1:257" s="139" customFormat="1" ht="15.75" x14ac:dyDescent="0.25">
      <c r="A88" s="138"/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/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38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  <c r="GI88" s="138"/>
      <c r="GJ88" s="138"/>
      <c r="GK88" s="138"/>
      <c r="GL88" s="138"/>
      <c r="GM88" s="138"/>
      <c r="GN88" s="138"/>
      <c r="GO88" s="138"/>
      <c r="GP88" s="138"/>
      <c r="GQ88" s="138"/>
      <c r="GR88" s="138"/>
      <c r="GS88" s="138"/>
      <c r="GT88" s="138"/>
      <c r="GU88" s="138"/>
      <c r="GV88" s="138"/>
      <c r="GW88" s="138"/>
      <c r="GX88" s="138"/>
      <c r="GY88" s="138"/>
      <c r="GZ88" s="138"/>
      <c r="HA88" s="138"/>
      <c r="HB88" s="138"/>
      <c r="HC88" s="138"/>
      <c r="HD88" s="138"/>
      <c r="HE88" s="138"/>
      <c r="HF88" s="138"/>
      <c r="HG88" s="138"/>
      <c r="HH88" s="138"/>
      <c r="HI88" s="138"/>
      <c r="HJ88" s="138"/>
      <c r="HK88" s="138"/>
      <c r="HL88" s="138"/>
      <c r="HM88" s="138"/>
      <c r="HN88" s="138"/>
      <c r="HO88" s="138"/>
      <c r="HP88" s="138"/>
      <c r="HQ88" s="138"/>
      <c r="HR88" s="138"/>
      <c r="HS88" s="138"/>
      <c r="HT88" s="138"/>
      <c r="HU88" s="138"/>
      <c r="HV88" s="138"/>
      <c r="HW88" s="138"/>
      <c r="HX88" s="138"/>
      <c r="HY88" s="138"/>
      <c r="HZ88" s="138"/>
      <c r="IA88" s="138"/>
      <c r="IB88" s="138"/>
      <c r="IC88" s="138"/>
      <c r="ID88" s="138"/>
      <c r="IE88" s="138"/>
      <c r="IF88" s="138"/>
      <c r="IG88" s="138"/>
      <c r="IH88" s="138"/>
      <c r="II88" s="138"/>
      <c r="IJ88" s="138"/>
      <c r="IK88" s="138"/>
      <c r="IL88" s="138"/>
      <c r="IM88" s="138"/>
      <c r="IN88" s="138"/>
      <c r="IO88" s="138"/>
      <c r="IP88" s="138"/>
      <c r="IQ88" s="138"/>
      <c r="IR88" s="138"/>
      <c r="IS88" s="138"/>
      <c r="IT88" s="138"/>
      <c r="IU88" s="138"/>
      <c r="IV88" s="138"/>
      <c r="IW88" s="138"/>
    </row>
    <row r="89" spans="1:257" s="139" customFormat="1" ht="15.75" x14ac:dyDescent="0.25">
      <c r="A89" s="138"/>
      <c r="B89" s="38" t="s">
        <v>642</v>
      </c>
      <c r="C89" s="38"/>
      <c r="D89" s="522"/>
      <c r="E89" s="522"/>
      <c r="F89" s="522"/>
      <c r="G89" s="522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  <c r="CM89" s="138"/>
      <c r="CN89" s="138"/>
      <c r="CO89" s="138"/>
      <c r="CP89" s="138"/>
      <c r="CQ89" s="138"/>
      <c r="CR89" s="138"/>
      <c r="CS89" s="138"/>
      <c r="CT89" s="138"/>
      <c r="CU89" s="138"/>
      <c r="CV89" s="138"/>
      <c r="CW89" s="138"/>
      <c r="CX89" s="138"/>
      <c r="CY89" s="138"/>
      <c r="CZ89" s="138"/>
      <c r="DA89" s="138"/>
      <c r="DB89" s="138"/>
      <c r="DC89" s="138"/>
      <c r="DD89" s="138"/>
      <c r="DE89" s="138"/>
      <c r="DF89" s="138"/>
      <c r="DG89" s="138"/>
      <c r="DH89" s="138"/>
      <c r="DI89" s="138"/>
      <c r="DJ89" s="138"/>
      <c r="DK89" s="138"/>
      <c r="DL89" s="138"/>
      <c r="DM89" s="138"/>
      <c r="DN89" s="138"/>
      <c r="DO89" s="138"/>
      <c r="DP89" s="138"/>
      <c r="DQ89" s="138"/>
      <c r="DR89" s="138"/>
      <c r="DS89" s="138"/>
      <c r="DT89" s="138"/>
      <c r="DU89" s="138"/>
      <c r="DV89" s="138"/>
      <c r="DW89" s="138"/>
      <c r="DX89" s="138"/>
      <c r="DY89" s="138"/>
      <c r="DZ89" s="138"/>
      <c r="EA89" s="138"/>
      <c r="EB89" s="138"/>
      <c r="EC89" s="138"/>
      <c r="ED89" s="138"/>
      <c r="EE89" s="138"/>
      <c r="EF89" s="138"/>
      <c r="EG89" s="138"/>
      <c r="EH89" s="138"/>
      <c r="EI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  <c r="GC89" s="138"/>
      <c r="GD89" s="138"/>
      <c r="GE89" s="138"/>
      <c r="GF89" s="138"/>
      <c r="GG89" s="138"/>
      <c r="GH89" s="138"/>
      <c r="GI89" s="138"/>
      <c r="GJ89" s="138"/>
      <c r="GK89" s="138"/>
      <c r="GL89" s="138"/>
      <c r="GM89" s="138"/>
      <c r="GN89" s="138"/>
      <c r="GO89" s="138"/>
      <c r="GP89" s="138"/>
      <c r="GQ89" s="138"/>
      <c r="GR89" s="138"/>
      <c r="GS89" s="138"/>
      <c r="GT89" s="138"/>
      <c r="GU89" s="138"/>
      <c r="GV89" s="138"/>
      <c r="GW89" s="138"/>
      <c r="GX89" s="138"/>
      <c r="GY89" s="138"/>
      <c r="GZ89" s="138"/>
      <c r="HA89" s="138"/>
      <c r="HB89" s="138"/>
      <c r="HC89" s="138"/>
      <c r="HD89" s="138"/>
      <c r="HE89" s="138"/>
      <c r="HF89" s="138"/>
      <c r="HG89" s="138"/>
      <c r="HH89" s="138"/>
      <c r="HI89" s="138"/>
      <c r="HJ89" s="138"/>
      <c r="HK89" s="138"/>
      <c r="HL89" s="138"/>
      <c r="HM89" s="138"/>
      <c r="HN89" s="138"/>
      <c r="HO89" s="138"/>
      <c r="HP89" s="138"/>
      <c r="HQ89" s="138"/>
      <c r="HR89" s="138"/>
      <c r="HS89" s="138"/>
      <c r="HT89" s="138"/>
      <c r="HU89" s="138"/>
      <c r="HV89" s="138"/>
      <c r="HW89" s="138"/>
      <c r="HX89" s="138"/>
      <c r="HY89" s="138"/>
      <c r="HZ89" s="138"/>
      <c r="IA89" s="138"/>
      <c r="IB89" s="138"/>
      <c r="IC89" s="138"/>
      <c r="ID89" s="138"/>
      <c r="IE89" s="138"/>
      <c r="IF89" s="138"/>
      <c r="IG89" s="138"/>
      <c r="IH89" s="138"/>
      <c r="II89" s="138"/>
      <c r="IJ89" s="138"/>
      <c r="IK89" s="138"/>
      <c r="IL89" s="138"/>
      <c r="IM89" s="138"/>
      <c r="IN89" s="138"/>
      <c r="IO89" s="138"/>
      <c r="IP89" s="138"/>
      <c r="IQ89" s="138"/>
      <c r="IR89" s="138"/>
      <c r="IS89" s="138"/>
      <c r="IT89" s="138"/>
      <c r="IU89" s="138"/>
      <c r="IV89" s="138"/>
      <c r="IW89" s="138"/>
    </row>
    <row r="90" spans="1:257" s="139" customFormat="1" ht="15.75" x14ac:dyDescent="0.25">
      <c r="A90" s="138"/>
      <c r="B90" s="138"/>
      <c r="C90" s="138"/>
      <c r="D90" s="138"/>
      <c r="E90" s="138"/>
      <c r="F90" s="523"/>
      <c r="G90" s="523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  <c r="CM90" s="138"/>
      <c r="CN90" s="138"/>
      <c r="CO90" s="138"/>
      <c r="CP90" s="138"/>
      <c r="CQ90" s="138"/>
      <c r="CR90" s="138"/>
      <c r="CS90" s="138"/>
      <c r="CT90" s="138"/>
      <c r="CU90" s="138"/>
      <c r="CV90" s="138"/>
      <c r="CW90" s="138"/>
      <c r="CX90" s="138"/>
      <c r="CY90" s="138"/>
      <c r="CZ90" s="138"/>
      <c r="DA90" s="138"/>
      <c r="DB90" s="138"/>
      <c r="DC90" s="138"/>
      <c r="DD90" s="138"/>
      <c r="DE90" s="138"/>
      <c r="DF90" s="138"/>
      <c r="DG90" s="138"/>
      <c r="DH90" s="138"/>
      <c r="DI90" s="138"/>
      <c r="DJ90" s="138"/>
      <c r="DK90" s="138"/>
      <c r="DL90" s="138"/>
      <c r="DM90" s="138"/>
      <c r="DN90" s="138"/>
      <c r="DO90" s="138"/>
      <c r="DP90" s="138"/>
      <c r="DQ90" s="138"/>
      <c r="DR90" s="138"/>
      <c r="DS90" s="138"/>
      <c r="DT90" s="138"/>
      <c r="DU90" s="138"/>
      <c r="DV90" s="138"/>
      <c r="DW90" s="138"/>
      <c r="DX90" s="138"/>
      <c r="DY90" s="138"/>
      <c r="DZ90" s="138"/>
      <c r="EA90" s="138"/>
      <c r="EB90" s="138"/>
      <c r="EC90" s="138"/>
      <c r="ED90" s="138"/>
      <c r="EE90" s="138"/>
      <c r="EF90" s="138"/>
      <c r="EG90" s="138"/>
      <c r="EH90" s="138"/>
      <c r="EI90" s="138"/>
      <c r="EJ90" s="138"/>
      <c r="EK90" s="138"/>
      <c r="EL90" s="138"/>
      <c r="EM90" s="138"/>
      <c r="EN90" s="138"/>
      <c r="EO90" s="138"/>
      <c r="EP90" s="138"/>
      <c r="EQ90" s="138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8"/>
      <c r="FS90" s="138"/>
      <c r="FT90" s="138"/>
      <c r="FU90" s="138"/>
      <c r="FV90" s="138"/>
      <c r="FW90" s="138"/>
      <c r="FX90" s="138"/>
      <c r="FY90" s="138"/>
      <c r="FZ90" s="138"/>
      <c r="GA90" s="138"/>
      <c r="GB90" s="138"/>
      <c r="GC90" s="138"/>
      <c r="GD90" s="138"/>
      <c r="GE90" s="138"/>
      <c r="GF90" s="138"/>
      <c r="GG90" s="138"/>
      <c r="GH90" s="138"/>
      <c r="GI90" s="138"/>
      <c r="GJ90" s="138"/>
      <c r="GK90" s="138"/>
      <c r="GL90" s="138"/>
      <c r="GM90" s="138"/>
      <c r="GN90" s="138"/>
      <c r="GO90" s="138"/>
      <c r="GP90" s="138"/>
      <c r="GQ90" s="138"/>
      <c r="GR90" s="138"/>
      <c r="GS90" s="138"/>
      <c r="GT90" s="138"/>
      <c r="GU90" s="138"/>
      <c r="GV90" s="138"/>
      <c r="GW90" s="138"/>
      <c r="GX90" s="138"/>
      <c r="GY90" s="138"/>
      <c r="GZ90" s="138"/>
      <c r="HA90" s="138"/>
      <c r="HB90" s="138"/>
      <c r="HC90" s="138"/>
      <c r="HD90" s="138"/>
      <c r="HE90" s="138"/>
      <c r="HF90" s="138"/>
      <c r="HG90" s="138"/>
      <c r="HH90" s="138"/>
      <c r="HI90" s="138"/>
      <c r="HJ90" s="138"/>
      <c r="HK90" s="138"/>
      <c r="HL90" s="138"/>
      <c r="HM90" s="138"/>
      <c r="HN90" s="138"/>
      <c r="HO90" s="138"/>
      <c r="HP90" s="138"/>
      <c r="HQ90" s="138"/>
      <c r="HR90" s="138"/>
      <c r="HS90" s="138"/>
      <c r="HT90" s="138"/>
      <c r="HU90" s="138"/>
      <c r="HV90" s="138"/>
      <c r="HW90" s="138"/>
      <c r="HX90" s="138"/>
      <c r="HY90" s="138"/>
      <c r="HZ90" s="138"/>
      <c r="IA90" s="138"/>
      <c r="IB90" s="138"/>
      <c r="IC90" s="138"/>
      <c r="ID90" s="138"/>
      <c r="IE90" s="138"/>
      <c r="IF90" s="138"/>
      <c r="IG90" s="138"/>
      <c r="IH90" s="138"/>
      <c r="II90" s="138"/>
      <c r="IJ90" s="138"/>
      <c r="IK90" s="138"/>
      <c r="IL90" s="138"/>
      <c r="IM90" s="138"/>
      <c r="IN90" s="138"/>
      <c r="IO90" s="138"/>
      <c r="IP90" s="138"/>
      <c r="IQ90" s="138"/>
      <c r="IR90" s="138"/>
      <c r="IS90" s="138"/>
      <c r="IT90" s="138"/>
      <c r="IU90" s="138"/>
      <c r="IV90" s="138"/>
      <c r="IW90" s="138"/>
    </row>
    <row r="91" spans="1:257" x14ac:dyDescent="0.2">
      <c r="B91" s="77"/>
      <c r="C91" s="77" t="s">
        <v>350</v>
      </c>
      <c r="D91" s="77" t="s">
        <v>351</v>
      </c>
      <c r="E91" s="77" t="s">
        <v>470</v>
      </c>
      <c r="F91" s="77" t="s">
        <v>471</v>
      </c>
      <c r="G91" s="77" t="s">
        <v>44</v>
      </c>
    </row>
    <row r="92" spans="1:257" x14ac:dyDescent="0.2">
      <c r="B92" s="77">
        <v>1</v>
      </c>
      <c r="C92" s="143" t="s">
        <v>559</v>
      </c>
      <c r="D92" s="143" t="str">
        <f>CONCATENATE(PAR!$H$3)</f>
        <v>2025.</v>
      </c>
      <c r="E92" s="143" t="str">
        <f>CONCATENATE(PAR!$H$7)</f>
        <v>2026.</v>
      </c>
      <c r="F92" s="143" t="str">
        <f>CONCATENATE(PAR!$H$8," után")</f>
        <v>2027. után</v>
      </c>
      <c r="G92" s="143" t="s">
        <v>474</v>
      </c>
    </row>
    <row r="93" spans="1:257" x14ac:dyDescent="0.2">
      <c r="B93" s="77">
        <v>2</v>
      </c>
      <c r="C93" s="144" t="s">
        <v>475</v>
      </c>
      <c r="D93" s="144"/>
      <c r="E93" s="144"/>
      <c r="F93" s="144"/>
      <c r="G93" s="144">
        <f t="shared" ref="G93" si="11">SUM(D93:F93)</f>
        <v>0</v>
      </c>
    </row>
    <row r="94" spans="1:257" x14ac:dyDescent="0.2">
      <c r="B94" s="77">
        <v>3</v>
      </c>
      <c r="C94" s="145" t="s">
        <v>476</v>
      </c>
      <c r="D94" s="146"/>
      <c r="E94" s="146"/>
      <c r="F94" s="146"/>
      <c r="G94" s="146">
        <f>SUM(D94:F94)</f>
        <v>0</v>
      </c>
    </row>
    <row r="95" spans="1:257" x14ac:dyDescent="0.2">
      <c r="B95" s="77">
        <v>4</v>
      </c>
      <c r="C95" s="144" t="s">
        <v>477</v>
      </c>
      <c r="D95" s="144"/>
      <c r="E95" s="144"/>
      <c r="F95" s="144"/>
      <c r="G95" s="144">
        <f t="shared" ref="G95:G98" si="12">SUM(D95:F95)</f>
        <v>0</v>
      </c>
    </row>
    <row r="96" spans="1:257" x14ac:dyDescent="0.2">
      <c r="B96" s="77">
        <v>5</v>
      </c>
      <c r="C96" s="144" t="s">
        <v>478</v>
      </c>
      <c r="D96" s="144"/>
      <c r="E96" s="144"/>
      <c r="F96" s="144"/>
      <c r="G96" s="144">
        <f t="shared" si="12"/>
        <v>0</v>
      </c>
    </row>
    <row r="97" spans="1:257" x14ac:dyDescent="0.2">
      <c r="B97" s="77">
        <v>6</v>
      </c>
      <c r="C97" s="144" t="s">
        <v>479</v>
      </c>
      <c r="D97" s="144"/>
      <c r="E97" s="144"/>
      <c r="F97" s="144"/>
      <c r="G97" s="144">
        <f t="shared" si="12"/>
        <v>0</v>
      </c>
    </row>
    <row r="98" spans="1:257" x14ac:dyDescent="0.2">
      <c r="B98" s="77">
        <v>7</v>
      </c>
      <c r="C98" s="144" t="s">
        <v>480</v>
      </c>
      <c r="D98" s="144"/>
      <c r="E98" s="144"/>
      <c r="F98" s="144"/>
      <c r="G98" s="144">
        <f t="shared" si="12"/>
        <v>0</v>
      </c>
    </row>
    <row r="99" spans="1:257" x14ac:dyDescent="0.2">
      <c r="B99" s="77">
        <v>8</v>
      </c>
      <c r="C99" s="149" t="s">
        <v>481</v>
      </c>
      <c r="D99" s="150">
        <f>D93+SUM(D95:D98)</f>
        <v>0</v>
      </c>
      <c r="E99" s="150">
        <f>E93+SUM(E95:E98)</f>
        <v>0</v>
      </c>
      <c r="F99" s="150">
        <f>F93+SUM(F95:F98)</f>
        <v>0</v>
      </c>
      <c r="G99" s="150">
        <f>G93+SUM(G95:G98)</f>
        <v>0</v>
      </c>
    </row>
    <row r="100" spans="1:257" x14ac:dyDescent="0.2">
      <c r="B100" s="77">
        <v>9</v>
      </c>
      <c r="C100" s="151" t="s">
        <v>482</v>
      </c>
      <c r="D100" s="144"/>
      <c r="E100" s="144"/>
      <c r="F100" s="144"/>
      <c r="G100" s="144">
        <f t="shared" ref="G100:G103" si="13">SUM(D100:F100)</f>
        <v>0</v>
      </c>
    </row>
    <row r="101" spans="1:257" x14ac:dyDescent="0.2">
      <c r="B101" s="77">
        <v>10</v>
      </c>
      <c r="C101" s="152" t="s">
        <v>483</v>
      </c>
      <c r="D101" s="144"/>
      <c r="E101" s="144"/>
      <c r="F101" s="144"/>
      <c r="G101" s="144">
        <f t="shared" si="13"/>
        <v>0</v>
      </c>
    </row>
    <row r="102" spans="1:257" x14ac:dyDescent="0.2">
      <c r="B102" s="77">
        <v>11</v>
      </c>
      <c r="C102" s="151" t="s">
        <v>484</v>
      </c>
      <c r="D102" s="144"/>
      <c r="E102" s="144"/>
      <c r="F102" s="144"/>
      <c r="G102" s="144">
        <f t="shared" si="13"/>
        <v>0</v>
      </c>
    </row>
    <row r="103" spans="1:257" x14ac:dyDescent="0.2">
      <c r="B103" s="77">
        <v>12</v>
      </c>
      <c r="C103" s="151" t="s">
        <v>485</v>
      </c>
      <c r="D103" s="144"/>
      <c r="E103" s="144"/>
      <c r="F103" s="144"/>
      <c r="G103" s="144">
        <f t="shared" si="13"/>
        <v>0</v>
      </c>
    </row>
    <row r="104" spans="1:257" x14ac:dyDescent="0.2">
      <c r="B104" s="77">
        <v>13</v>
      </c>
      <c r="C104" s="147" t="s">
        <v>554</v>
      </c>
      <c r="D104" s="148">
        <f>SUM(D100:D103)</f>
        <v>0</v>
      </c>
      <c r="E104" s="148">
        <f>SUM(E100:E103)</f>
        <v>0</v>
      </c>
      <c r="F104" s="148">
        <f>SUM(F100:F103)</f>
        <v>0</v>
      </c>
      <c r="G104" s="148">
        <f>SUM(G100:G103)</f>
        <v>0</v>
      </c>
    </row>
    <row r="105" spans="1:257" s="139" customFormat="1" ht="15.75" x14ac:dyDescent="0.25">
      <c r="A105" s="138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138"/>
      <c r="CQ105" s="138"/>
      <c r="CR105" s="138"/>
      <c r="CS105" s="138"/>
      <c r="CT105" s="138"/>
      <c r="CU105" s="138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  <c r="GI105" s="138"/>
      <c r="GJ105" s="138"/>
      <c r="GK105" s="138"/>
      <c r="GL105" s="138"/>
      <c r="GM105" s="138"/>
      <c r="GN105" s="138"/>
      <c r="GO105" s="138"/>
      <c r="GP105" s="138"/>
      <c r="GQ105" s="138"/>
      <c r="GR105" s="138"/>
      <c r="GS105" s="138"/>
      <c r="GT105" s="138"/>
      <c r="GU105" s="138"/>
      <c r="GV105" s="138"/>
      <c r="GW105" s="138"/>
      <c r="GX105" s="138"/>
      <c r="GY105" s="138"/>
      <c r="GZ105" s="138"/>
      <c r="HA105" s="138"/>
      <c r="HB105" s="138"/>
      <c r="HC105" s="138"/>
      <c r="HD105" s="138"/>
      <c r="HE105" s="138"/>
      <c r="HF105" s="138"/>
      <c r="HG105" s="138"/>
      <c r="HH105" s="138"/>
      <c r="HI105" s="138"/>
      <c r="HJ105" s="138"/>
      <c r="HK105" s="138"/>
      <c r="HL105" s="138"/>
      <c r="HM105" s="138"/>
      <c r="HN105" s="138"/>
      <c r="HO105" s="138"/>
      <c r="HP105" s="138"/>
      <c r="HQ105" s="138"/>
      <c r="HR105" s="138"/>
      <c r="HS105" s="138"/>
      <c r="HT105" s="138"/>
      <c r="HU105" s="138"/>
      <c r="HV105" s="138"/>
      <c r="HW105" s="138"/>
      <c r="HX105" s="138"/>
      <c r="HY105" s="138"/>
      <c r="HZ105" s="138"/>
      <c r="IA105" s="138"/>
      <c r="IB105" s="138"/>
      <c r="IC105" s="138"/>
      <c r="ID105" s="138"/>
      <c r="IE105" s="138"/>
      <c r="IF105" s="138"/>
      <c r="IG105" s="138"/>
      <c r="IH105" s="138"/>
      <c r="II105" s="138"/>
      <c r="IJ105" s="138"/>
      <c r="IK105" s="138"/>
      <c r="IL105" s="138"/>
      <c r="IM105" s="138"/>
      <c r="IN105" s="138"/>
      <c r="IO105" s="138"/>
      <c r="IP105" s="138"/>
      <c r="IQ105" s="138"/>
      <c r="IR105" s="138"/>
      <c r="IS105" s="138"/>
      <c r="IT105" s="138"/>
      <c r="IU105" s="138"/>
      <c r="IV105" s="138"/>
      <c r="IW105" s="138"/>
    </row>
    <row r="106" spans="1:257" s="139" customFormat="1" ht="15.75" x14ac:dyDescent="0.25">
      <c r="A106" s="138"/>
      <c r="B106" s="38" t="s">
        <v>643</v>
      </c>
      <c r="C106" s="38"/>
      <c r="D106" s="522"/>
      <c r="E106" s="522"/>
      <c r="F106" s="522"/>
      <c r="G106" s="522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  <c r="CD106" s="138"/>
      <c r="CE106" s="138"/>
      <c r="CF106" s="138"/>
      <c r="CG106" s="138"/>
      <c r="CH106" s="138"/>
      <c r="CI106" s="138"/>
      <c r="CJ106" s="138"/>
      <c r="CK106" s="138"/>
      <c r="CL106" s="138"/>
      <c r="CM106" s="138"/>
      <c r="CN106" s="138"/>
      <c r="CO106" s="138"/>
      <c r="CP106" s="138"/>
      <c r="CQ106" s="138"/>
      <c r="CR106" s="138"/>
      <c r="CS106" s="138"/>
      <c r="CT106" s="138"/>
      <c r="CU106" s="138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  <c r="HG106" s="138"/>
      <c r="HH106" s="138"/>
      <c r="HI106" s="138"/>
      <c r="HJ106" s="138"/>
      <c r="HK106" s="138"/>
      <c r="HL106" s="138"/>
      <c r="HM106" s="138"/>
      <c r="HN106" s="138"/>
      <c r="HO106" s="138"/>
      <c r="HP106" s="138"/>
      <c r="HQ106" s="138"/>
      <c r="HR106" s="138"/>
      <c r="HS106" s="138"/>
      <c r="HT106" s="138"/>
      <c r="HU106" s="138"/>
      <c r="HV106" s="138"/>
      <c r="HW106" s="138"/>
      <c r="HX106" s="138"/>
      <c r="HY106" s="138"/>
      <c r="HZ106" s="138"/>
      <c r="IA106" s="138"/>
      <c r="IB106" s="138"/>
      <c r="IC106" s="138"/>
      <c r="ID106" s="138"/>
      <c r="IE106" s="138"/>
      <c r="IF106" s="138"/>
      <c r="IG106" s="138"/>
      <c r="IH106" s="138"/>
      <c r="II106" s="138"/>
      <c r="IJ106" s="138"/>
      <c r="IK106" s="138"/>
      <c r="IL106" s="138"/>
      <c r="IM106" s="138"/>
      <c r="IN106" s="138"/>
      <c r="IO106" s="138"/>
      <c r="IP106" s="138"/>
      <c r="IQ106" s="138"/>
      <c r="IR106" s="138"/>
      <c r="IS106" s="138"/>
      <c r="IT106" s="138"/>
      <c r="IU106" s="138"/>
      <c r="IV106" s="138"/>
      <c r="IW106" s="138"/>
    </row>
    <row r="107" spans="1:257" s="139" customFormat="1" ht="15.75" x14ac:dyDescent="0.25">
      <c r="A107" s="138"/>
      <c r="B107" s="138"/>
      <c r="C107" s="138"/>
      <c r="D107" s="138"/>
      <c r="E107" s="138"/>
      <c r="F107" s="523"/>
      <c r="G107" s="523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138"/>
      <c r="HC107" s="138"/>
      <c r="HD107" s="138"/>
      <c r="HE107" s="138"/>
      <c r="HF107" s="138"/>
      <c r="HG107" s="138"/>
      <c r="HH107" s="138"/>
      <c r="HI107" s="138"/>
      <c r="HJ107" s="138"/>
      <c r="HK107" s="138"/>
      <c r="HL107" s="138"/>
      <c r="HM107" s="138"/>
      <c r="HN107" s="138"/>
      <c r="HO107" s="138"/>
      <c r="HP107" s="138"/>
      <c r="HQ107" s="138"/>
      <c r="HR107" s="138"/>
      <c r="HS107" s="138"/>
      <c r="HT107" s="138"/>
      <c r="HU107" s="138"/>
      <c r="HV107" s="138"/>
      <c r="HW107" s="138"/>
      <c r="HX107" s="138"/>
      <c r="HY107" s="138"/>
      <c r="HZ107" s="138"/>
      <c r="IA107" s="138"/>
      <c r="IB107" s="138"/>
      <c r="IC107" s="138"/>
      <c r="ID107" s="138"/>
      <c r="IE107" s="138"/>
      <c r="IF107" s="138"/>
      <c r="IG107" s="138"/>
      <c r="IH107" s="138"/>
      <c r="II107" s="138"/>
      <c r="IJ107" s="138"/>
      <c r="IK107" s="138"/>
      <c r="IL107" s="138"/>
      <c r="IM107" s="138"/>
      <c r="IN107" s="138"/>
      <c r="IO107" s="138"/>
      <c r="IP107" s="138"/>
      <c r="IQ107" s="138"/>
      <c r="IR107" s="138"/>
      <c r="IS107" s="138"/>
      <c r="IT107" s="138"/>
      <c r="IU107" s="138"/>
      <c r="IV107" s="138"/>
      <c r="IW107" s="138"/>
    </row>
    <row r="108" spans="1:257" x14ac:dyDescent="0.2">
      <c r="B108" s="77"/>
      <c r="C108" s="77" t="s">
        <v>350</v>
      </c>
      <c r="D108" s="77" t="s">
        <v>351</v>
      </c>
      <c r="E108" s="77" t="s">
        <v>470</v>
      </c>
      <c r="F108" s="77" t="s">
        <v>471</v>
      </c>
      <c r="G108" s="77" t="s">
        <v>44</v>
      </c>
    </row>
    <row r="109" spans="1:257" x14ac:dyDescent="0.2">
      <c r="B109" s="77">
        <v>1</v>
      </c>
      <c r="C109" s="143" t="s">
        <v>559</v>
      </c>
      <c r="D109" s="143" t="str">
        <f>CONCATENATE(PAR!$H$3)</f>
        <v>2025.</v>
      </c>
      <c r="E109" s="143" t="str">
        <f>CONCATENATE(PAR!$H$7)</f>
        <v>2026.</v>
      </c>
      <c r="F109" s="143" t="str">
        <f>CONCATENATE(PAR!$H$8," után")</f>
        <v>2027. után</v>
      </c>
      <c r="G109" s="143" t="s">
        <v>474</v>
      </c>
    </row>
    <row r="110" spans="1:257" x14ac:dyDescent="0.2">
      <c r="B110" s="77">
        <v>2</v>
      </c>
      <c r="C110" s="144" t="s">
        <v>475</v>
      </c>
      <c r="D110" s="144"/>
      <c r="E110" s="144"/>
      <c r="F110" s="144"/>
      <c r="G110" s="144">
        <f t="shared" ref="G110" si="14">SUM(D110:F110)</f>
        <v>0</v>
      </c>
    </row>
    <row r="111" spans="1:257" x14ac:dyDescent="0.2">
      <c r="B111" s="77">
        <v>3</v>
      </c>
      <c r="C111" s="145" t="s">
        <v>476</v>
      </c>
      <c r="D111" s="146"/>
      <c r="E111" s="146"/>
      <c r="F111" s="146"/>
      <c r="G111" s="146">
        <f>SUM(D111:F111)</f>
        <v>0</v>
      </c>
    </row>
    <row r="112" spans="1:257" x14ac:dyDescent="0.2">
      <c r="B112" s="77">
        <v>4</v>
      </c>
      <c r="C112" s="144" t="s">
        <v>477</v>
      </c>
      <c r="D112" s="144"/>
      <c r="E112" s="144"/>
      <c r="F112" s="144"/>
      <c r="G112" s="144">
        <f t="shared" ref="G112:G115" si="15">SUM(D112:F112)</f>
        <v>0</v>
      </c>
    </row>
    <row r="113" spans="1:257" x14ac:dyDescent="0.2">
      <c r="B113" s="77">
        <v>5</v>
      </c>
      <c r="C113" s="144" t="s">
        <v>478</v>
      </c>
      <c r="D113" s="144"/>
      <c r="E113" s="144"/>
      <c r="F113" s="144"/>
      <c r="G113" s="144">
        <f t="shared" si="15"/>
        <v>0</v>
      </c>
    </row>
    <row r="114" spans="1:257" x14ac:dyDescent="0.2">
      <c r="B114" s="77">
        <v>6</v>
      </c>
      <c r="C114" s="144" t="s">
        <v>479</v>
      </c>
      <c r="D114" s="144"/>
      <c r="E114" s="144"/>
      <c r="F114" s="144"/>
      <c r="G114" s="144">
        <f t="shared" si="15"/>
        <v>0</v>
      </c>
    </row>
    <row r="115" spans="1:257" x14ac:dyDescent="0.2">
      <c r="B115" s="77">
        <v>7</v>
      </c>
      <c r="C115" s="144" t="s">
        <v>480</v>
      </c>
      <c r="D115" s="144"/>
      <c r="E115" s="144"/>
      <c r="F115" s="144"/>
      <c r="G115" s="144">
        <f t="shared" si="15"/>
        <v>0</v>
      </c>
    </row>
    <row r="116" spans="1:257" x14ac:dyDescent="0.2">
      <c r="B116" s="77">
        <v>8</v>
      </c>
      <c r="C116" s="149" t="s">
        <v>481</v>
      </c>
      <c r="D116" s="150">
        <f>D110+SUM(D112:D115)</f>
        <v>0</v>
      </c>
      <c r="E116" s="150">
        <f>E110+SUM(E112:E115)</f>
        <v>0</v>
      </c>
      <c r="F116" s="150">
        <f>F110+SUM(F112:F115)</f>
        <v>0</v>
      </c>
      <c r="G116" s="150">
        <f>G110+SUM(G112:G115)</f>
        <v>0</v>
      </c>
    </row>
    <row r="117" spans="1:257" x14ac:dyDescent="0.2">
      <c r="B117" s="77">
        <v>9</v>
      </c>
      <c r="C117" s="151" t="s">
        <v>482</v>
      </c>
      <c r="D117" s="144"/>
      <c r="E117" s="144"/>
      <c r="F117" s="144"/>
      <c r="G117" s="144">
        <f t="shared" ref="G117:G120" si="16">SUM(D117:F117)</f>
        <v>0</v>
      </c>
    </row>
    <row r="118" spans="1:257" x14ac:dyDescent="0.2">
      <c r="B118" s="77">
        <v>10</v>
      </c>
      <c r="C118" s="152" t="s">
        <v>483</v>
      </c>
      <c r="D118" s="144"/>
      <c r="E118" s="144"/>
      <c r="F118" s="144"/>
      <c r="G118" s="144">
        <f t="shared" si="16"/>
        <v>0</v>
      </c>
    </row>
    <row r="119" spans="1:257" x14ac:dyDescent="0.2">
      <c r="B119" s="77">
        <v>11</v>
      </c>
      <c r="C119" s="151" t="s">
        <v>484</v>
      </c>
      <c r="D119" s="144"/>
      <c r="E119" s="144"/>
      <c r="F119" s="144"/>
      <c r="G119" s="144">
        <f t="shared" si="16"/>
        <v>0</v>
      </c>
    </row>
    <row r="120" spans="1:257" x14ac:dyDescent="0.2">
      <c r="B120" s="77">
        <v>12</v>
      </c>
      <c r="C120" s="151" t="s">
        <v>485</v>
      </c>
      <c r="D120" s="144"/>
      <c r="E120" s="144"/>
      <c r="F120" s="144"/>
      <c r="G120" s="144">
        <f t="shared" si="16"/>
        <v>0</v>
      </c>
    </row>
    <row r="121" spans="1:257" x14ac:dyDescent="0.2">
      <c r="B121" s="77">
        <v>13</v>
      </c>
      <c r="C121" s="147" t="s">
        <v>554</v>
      </c>
      <c r="D121" s="148">
        <f>SUM(D117:D120)</f>
        <v>0</v>
      </c>
      <c r="E121" s="148">
        <f>SUM(E117:E120)</f>
        <v>0</v>
      </c>
      <c r="F121" s="148">
        <f>SUM(F117:F120)</f>
        <v>0</v>
      </c>
      <c r="G121" s="148">
        <f>SUM(G117:G120)</f>
        <v>0</v>
      </c>
    </row>
    <row r="122" spans="1:257" s="139" customFormat="1" ht="15.75" x14ac:dyDescent="0.25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  <c r="CY122" s="138"/>
      <c r="CZ122" s="138"/>
      <c r="DA122" s="138"/>
      <c r="DB122" s="138"/>
      <c r="DC122" s="138"/>
      <c r="DD122" s="138"/>
      <c r="DE122" s="138"/>
      <c r="DF122" s="138"/>
      <c r="DG122" s="138"/>
      <c r="DH122" s="138"/>
      <c r="DI122" s="138"/>
      <c r="DJ122" s="138"/>
      <c r="DK122" s="138"/>
      <c r="DL122" s="138"/>
      <c r="DM122" s="138"/>
      <c r="DN122" s="138"/>
      <c r="DO122" s="138"/>
      <c r="DP122" s="138"/>
      <c r="DQ122" s="138"/>
      <c r="DR122" s="138"/>
      <c r="DS122" s="138"/>
      <c r="DT122" s="138"/>
      <c r="DU122" s="138"/>
      <c r="DV122" s="138"/>
      <c r="DW122" s="138"/>
      <c r="DX122" s="138"/>
      <c r="DY122" s="138"/>
      <c r="DZ122" s="138"/>
      <c r="EA122" s="138"/>
      <c r="EB122" s="138"/>
      <c r="EC122" s="138"/>
      <c r="ED122" s="138"/>
      <c r="EE122" s="138"/>
      <c r="EF122" s="138"/>
      <c r="EG122" s="138"/>
      <c r="EH122" s="138"/>
      <c r="EI122" s="138"/>
      <c r="EJ122" s="138"/>
      <c r="EK122" s="138"/>
      <c r="EL122" s="138"/>
      <c r="EM122" s="138"/>
      <c r="EN122" s="138"/>
      <c r="EO122" s="138"/>
      <c r="EP122" s="138"/>
      <c r="EQ122" s="138"/>
      <c r="ER122" s="138"/>
      <c r="ES122" s="138"/>
      <c r="ET122" s="138"/>
      <c r="EU122" s="138"/>
      <c r="EV122" s="138"/>
      <c r="EW122" s="138"/>
      <c r="EX122" s="138"/>
      <c r="EY122" s="138"/>
      <c r="EZ122" s="138"/>
      <c r="FA122" s="138"/>
      <c r="FB122" s="138"/>
      <c r="FC122" s="138"/>
      <c r="FD122" s="138"/>
      <c r="FE122" s="138"/>
      <c r="FF122" s="138"/>
      <c r="FG122" s="138"/>
      <c r="FH122" s="138"/>
      <c r="FI122" s="138"/>
      <c r="FJ122" s="138"/>
      <c r="FK122" s="138"/>
      <c r="FL122" s="138"/>
      <c r="FM122" s="138"/>
      <c r="FN122" s="138"/>
      <c r="FO122" s="138"/>
      <c r="FP122" s="138"/>
      <c r="FQ122" s="138"/>
      <c r="FR122" s="138"/>
      <c r="FS122" s="138"/>
      <c r="FT122" s="138"/>
      <c r="FU122" s="138"/>
      <c r="FV122" s="138"/>
      <c r="FW122" s="138"/>
      <c r="FX122" s="138"/>
      <c r="FY122" s="138"/>
      <c r="FZ122" s="138"/>
      <c r="GA122" s="138"/>
      <c r="GB122" s="138"/>
      <c r="GC122" s="138"/>
      <c r="GD122" s="138"/>
      <c r="GE122" s="138"/>
      <c r="GF122" s="138"/>
      <c r="GG122" s="138"/>
      <c r="GH122" s="138"/>
      <c r="GI122" s="138"/>
      <c r="GJ122" s="138"/>
      <c r="GK122" s="138"/>
      <c r="GL122" s="138"/>
      <c r="GM122" s="138"/>
      <c r="GN122" s="138"/>
      <c r="GO122" s="138"/>
      <c r="GP122" s="138"/>
      <c r="GQ122" s="138"/>
      <c r="GR122" s="138"/>
      <c r="GS122" s="138"/>
      <c r="GT122" s="138"/>
      <c r="GU122" s="138"/>
      <c r="GV122" s="138"/>
      <c r="GW122" s="138"/>
      <c r="GX122" s="138"/>
      <c r="GY122" s="138"/>
      <c r="GZ122" s="138"/>
      <c r="HA122" s="138"/>
      <c r="HB122" s="138"/>
      <c r="HC122" s="138"/>
      <c r="HD122" s="138"/>
      <c r="HE122" s="138"/>
      <c r="HF122" s="138"/>
      <c r="HG122" s="138"/>
      <c r="HH122" s="138"/>
      <c r="HI122" s="138"/>
      <c r="HJ122" s="138"/>
      <c r="HK122" s="138"/>
      <c r="HL122" s="138"/>
      <c r="HM122" s="138"/>
      <c r="HN122" s="138"/>
      <c r="HO122" s="138"/>
      <c r="HP122" s="138"/>
      <c r="HQ122" s="138"/>
      <c r="HR122" s="138"/>
      <c r="HS122" s="138"/>
      <c r="HT122" s="138"/>
      <c r="HU122" s="138"/>
      <c r="HV122" s="138"/>
      <c r="HW122" s="138"/>
      <c r="HX122" s="138"/>
      <c r="HY122" s="138"/>
      <c r="HZ122" s="138"/>
      <c r="IA122" s="138"/>
      <c r="IB122" s="138"/>
      <c r="IC122" s="138"/>
      <c r="ID122" s="138"/>
      <c r="IE122" s="138"/>
      <c r="IF122" s="138"/>
      <c r="IG122" s="138"/>
      <c r="IH122" s="138"/>
      <c r="II122" s="138"/>
      <c r="IJ122" s="138"/>
      <c r="IK122" s="138"/>
      <c r="IL122" s="138"/>
      <c r="IM122" s="138"/>
      <c r="IN122" s="138"/>
      <c r="IO122" s="138"/>
      <c r="IP122" s="138"/>
      <c r="IQ122" s="138"/>
      <c r="IR122" s="138"/>
      <c r="IS122" s="138"/>
      <c r="IT122" s="138"/>
      <c r="IU122" s="138"/>
      <c r="IV122" s="138"/>
      <c r="IW122" s="138"/>
    </row>
    <row r="123" spans="1:257" s="139" customFormat="1" ht="15.75" x14ac:dyDescent="0.25">
      <c r="A123" s="138"/>
      <c r="B123" s="38" t="s">
        <v>644</v>
      </c>
      <c r="C123" s="38"/>
      <c r="D123" s="522"/>
      <c r="E123" s="522"/>
      <c r="F123" s="522"/>
      <c r="G123" s="522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  <c r="CY123" s="138"/>
      <c r="CZ123" s="138"/>
      <c r="DA123" s="138"/>
      <c r="DB123" s="138"/>
      <c r="DC123" s="138"/>
      <c r="DD123" s="138"/>
      <c r="DE123" s="138"/>
      <c r="DF123" s="138"/>
      <c r="DG123" s="138"/>
      <c r="DH123" s="138"/>
      <c r="DI123" s="138"/>
      <c r="DJ123" s="138"/>
      <c r="DK123" s="138"/>
      <c r="DL123" s="138"/>
      <c r="DM123" s="138"/>
      <c r="DN123" s="138"/>
      <c r="DO123" s="138"/>
      <c r="DP123" s="138"/>
      <c r="DQ123" s="138"/>
      <c r="DR123" s="138"/>
      <c r="DS123" s="138"/>
      <c r="DT123" s="138"/>
      <c r="DU123" s="138"/>
      <c r="DV123" s="138"/>
      <c r="DW123" s="138"/>
      <c r="DX123" s="138"/>
      <c r="DY123" s="138"/>
      <c r="DZ123" s="138"/>
      <c r="EA123" s="138"/>
      <c r="EB123" s="138"/>
      <c r="EC123" s="138"/>
      <c r="ED123" s="138"/>
      <c r="EE123" s="138"/>
      <c r="EF123" s="138"/>
      <c r="EG123" s="138"/>
      <c r="EH123" s="138"/>
      <c r="EI123" s="138"/>
      <c r="EJ123" s="138"/>
      <c r="EK123" s="138"/>
      <c r="EL123" s="138"/>
      <c r="EM123" s="138"/>
      <c r="EN123" s="138"/>
      <c r="EO123" s="138"/>
      <c r="EP123" s="138"/>
      <c r="EQ123" s="138"/>
      <c r="ER123" s="138"/>
      <c r="ES123" s="138"/>
      <c r="ET123" s="138"/>
      <c r="EU123" s="138"/>
      <c r="EV123" s="138"/>
      <c r="EW123" s="138"/>
      <c r="EX123" s="138"/>
      <c r="EY123" s="138"/>
      <c r="EZ123" s="138"/>
      <c r="FA123" s="138"/>
      <c r="FB123" s="138"/>
      <c r="FC123" s="138"/>
      <c r="FD123" s="138"/>
      <c r="FE123" s="138"/>
      <c r="FF123" s="138"/>
      <c r="FG123" s="138"/>
      <c r="FH123" s="138"/>
      <c r="FI123" s="138"/>
      <c r="FJ123" s="138"/>
      <c r="FK123" s="138"/>
      <c r="FL123" s="138"/>
      <c r="FM123" s="138"/>
      <c r="FN123" s="138"/>
      <c r="FO123" s="138"/>
      <c r="FP123" s="138"/>
      <c r="FQ123" s="138"/>
      <c r="FR123" s="138"/>
      <c r="FS123" s="138"/>
      <c r="FT123" s="138"/>
      <c r="FU123" s="138"/>
      <c r="FV123" s="138"/>
      <c r="FW123" s="138"/>
      <c r="FX123" s="138"/>
      <c r="FY123" s="138"/>
      <c r="FZ123" s="138"/>
      <c r="GA123" s="138"/>
      <c r="GB123" s="138"/>
      <c r="GC123" s="138"/>
      <c r="GD123" s="138"/>
      <c r="GE123" s="138"/>
      <c r="GF123" s="138"/>
      <c r="GG123" s="138"/>
      <c r="GH123" s="138"/>
      <c r="GI123" s="138"/>
      <c r="GJ123" s="138"/>
      <c r="GK123" s="138"/>
      <c r="GL123" s="138"/>
      <c r="GM123" s="138"/>
      <c r="GN123" s="138"/>
      <c r="GO123" s="138"/>
      <c r="GP123" s="138"/>
      <c r="GQ123" s="138"/>
      <c r="GR123" s="138"/>
      <c r="GS123" s="138"/>
      <c r="GT123" s="138"/>
      <c r="GU123" s="138"/>
      <c r="GV123" s="138"/>
      <c r="GW123" s="138"/>
      <c r="GX123" s="138"/>
      <c r="GY123" s="138"/>
      <c r="GZ123" s="138"/>
      <c r="HA123" s="138"/>
      <c r="HB123" s="138"/>
      <c r="HC123" s="138"/>
      <c r="HD123" s="138"/>
      <c r="HE123" s="138"/>
      <c r="HF123" s="138"/>
      <c r="HG123" s="138"/>
      <c r="HH123" s="138"/>
      <c r="HI123" s="138"/>
      <c r="HJ123" s="138"/>
      <c r="HK123" s="138"/>
      <c r="HL123" s="138"/>
      <c r="HM123" s="138"/>
      <c r="HN123" s="138"/>
      <c r="HO123" s="138"/>
      <c r="HP123" s="138"/>
      <c r="HQ123" s="138"/>
      <c r="HR123" s="138"/>
      <c r="HS123" s="138"/>
      <c r="HT123" s="138"/>
      <c r="HU123" s="138"/>
      <c r="HV123" s="138"/>
      <c r="HW123" s="138"/>
      <c r="HX123" s="138"/>
      <c r="HY123" s="138"/>
      <c r="HZ123" s="138"/>
      <c r="IA123" s="138"/>
      <c r="IB123" s="138"/>
      <c r="IC123" s="138"/>
      <c r="ID123" s="138"/>
      <c r="IE123" s="138"/>
      <c r="IF123" s="138"/>
      <c r="IG123" s="138"/>
      <c r="IH123" s="138"/>
      <c r="II123" s="138"/>
      <c r="IJ123" s="138"/>
      <c r="IK123" s="138"/>
      <c r="IL123" s="138"/>
      <c r="IM123" s="138"/>
      <c r="IN123" s="138"/>
      <c r="IO123" s="138"/>
      <c r="IP123" s="138"/>
      <c r="IQ123" s="138"/>
      <c r="IR123" s="138"/>
      <c r="IS123" s="138"/>
      <c r="IT123" s="138"/>
      <c r="IU123" s="138"/>
      <c r="IV123" s="138"/>
      <c r="IW123" s="138"/>
    </row>
    <row r="124" spans="1:257" s="139" customFormat="1" ht="15.75" x14ac:dyDescent="0.25">
      <c r="A124" s="138"/>
      <c r="B124" s="138"/>
      <c r="C124" s="138"/>
      <c r="D124" s="138"/>
      <c r="E124" s="138"/>
      <c r="F124" s="523"/>
      <c r="G124" s="523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  <c r="CY124" s="138"/>
      <c r="CZ124" s="138"/>
      <c r="DA124" s="138"/>
      <c r="DB124" s="138"/>
      <c r="DC124" s="138"/>
      <c r="DD124" s="138"/>
      <c r="DE124" s="138"/>
      <c r="DF124" s="138"/>
      <c r="DG124" s="138"/>
      <c r="DH124" s="138"/>
      <c r="DI124" s="138"/>
      <c r="DJ124" s="138"/>
      <c r="DK124" s="138"/>
      <c r="DL124" s="138"/>
      <c r="DM124" s="138"/>
      <c r="DN124" s="138"/>
      <c r="DO124" s="138"/>
      <c r="DP124" s="138"/>
      <c r="DQ124" s="138"/>
      <c r="DR124" s="138"/>
      <c r="DS124" s="138"/>
      <c r="DT124" s="138"/>
      <c r="DU124" s="138"/>
      <c r="DV124" s="138"/>
      <c r="DW124" s="138"/>
      <c r="DX124" s="138"/>
      <c r="DY124" s="138"/>
      <c r="DZ124" s="138"/>
      <c r="EA124" s="138"/>
      <c r="EB124" s="138"/>
      <c r="EC124" s="138"/>
      <c r="ED124" s="138"/>
      <c r="EE124" s="138"/>
      <c r="EF124" s="138"/>
      <c r="EG124" s="138"/>
      <c r="EH124" s="138"/>
      <c r="EI124" s="138"/>
      <c r="EJ124" s="138"/>
      <c r="EK124" s="138"/>
      <c r="EL124" s="138"/>
      <c r="EM124" s="138"/>
      <c r="EN124" s="138"/>
      <c r="EO124" s="138"/>
      <c r="EP124" s="138"/>
      <c r="EQ124" s="138"/>
      <c r="ER124" s="138"/>
      <c r="ES124" s="138"/>
      <c r="ET124" s="138"/>
      <c r="EU124" s="138"/>
      <c r="EV124" s="138"/>
      <c r="EW124" s="138"/>
      <c r="EX124" s="138"/>
      <c r="EY124" s="138"/>
      <c r="EZ124" s="138"/>
      <c r="FA124" s="138"/>
      <c r="FB124" s="138"/>
      <c r="FC124" s="138"/>
      <c r="FD124" s="138"/>
      <c r="FE124" s="138"/>
      <c r="FF124" s="138"/>
      <c r="FG124" s="138"/>
      <c r="FH124" s="138"/>
      <c r="FI124" s="138"/>
      <c r="FJ124" s="138"/>
      <c r="FK124" s="138"/>
      <c r="FL124" s="138"/>
      <c r="FM124" s="138"/>
      <c r="FN124" s="138"/>
      <c r="FO124" s="138"/>
      <c r="FP124" s="138"/>
      <c r="FQ124" s="138"/>
      <c r="FR124" s="138"/>
      <c r="FS124" s="138"/>
      <c r="FT124" s="138"/>
      <c r="FU124" s="138"/>
      <c r="FV124" s="138"/>
      <c r="FW124" s="138"/>
      <c r="FX124" s="138"/>
      <c r="FY124" s="138"/>
      <c r="FZ124" s="138"/>
      <c r="GA124" s="138"/>
      <c r="GB124" s="138"/>
      <c r="GC124" s="138"/>
      <c r="GD124" s="138"/>
      <c r="GE124" s="138"/>
      <c r="GF124" s="138"/>
      <c r="GG124" s="138"/>
      <c r="GH124" s="138"/>
      <c r="GI124" s="138"/>
      <c r="GJ124" s="138"/>
      <c r="GK124" s="138"/>
      <c r="GL124" s="138"/>
      <c r="GM124" s="138"/>
      <c r="GN124" s="138"/>
      <c r="GO124" s="138"/>
      <c r="GP124" s="138"/>
      <c r="GQ124" s="138"/>
      <c r="GR124" s="138"/>
      <c r="GS124" s="138"/>
      <c r="GT124" s="138"/>
      <c r="GU124" s="138"/>
      <c r="GV124" s="138"/>
      <c r="GW124" s="138"/>
      <c r="GX124" s="138"/>
      <c r="GY124" s="138"/>
      <c r="GZ124" s="138"/>
      <c r="HA124" s="138"/>
      <c r="HB124" s="138"/>
      <c r="HC124" s="138"/>
      <c r="HD124" s="138"/>
      <c r="HE124" s="138"/>
      <c r="HF124" s="138"/>
      <c r="HG124" s="138"/>
      <c r="HH124" s="138"/>
      <c r="HI124" s="138"/>
      <c r="HJ124" s="138"/>
      <c r="HK124" s="138"/>
      <c r="HL124" s="138"/>
      <c r="HM124" s="138"/>
      <c r="HN124" s="138"/>
      <c r="HO124" s="138"/>
      <c r="HP124" s="138"/>
      <c r="HQ124" s="138"/>
      <c r="HR124" s="138"/>
      <c r="HS124" s="138"/>
      <c r="HT124" s="138"/>
      <c r="HU124" s="138"/>
      <c r="HV124" s="138"/>
      <c r="HW124" s="138"/>
      <c r="HX124" s="138"/>
      <c r="HY124" s="138"/>
      <c r="HZ124" s="138"/>
      <c r="IA124" s="138"/>
      <c r="IB124" s="138"/>
      <c r="IC124" s="138"/>
      <c r="ID124" s="138"/>
      <c r="IE124" s="138"/>
      <c r="IF124" s="138"/>
      <c r="IG124" s="138"/>
      <c r="IH124" s="138"/>
      <c r="II124" s="138"/>
      <c r="IJ124" s="138"/>
      <c r="IK124" s="138"/>
      <c r="IL124" s="138"/>
      <c r="IM124" s="138"/>
      <c r="IN124" s="138"/>
      <c r="IO124" s="138"/>
      <c r="IP124" s="138"/>
      <c r="IQ124" s="138"/>
      <c r="IR124" s="138"/>
      <c r="IS124" s="138"/>
      <c r="IT124" s="138"/>
      <c r="IU124" s="138"/>
      <c r="IV124" s="138"/>
      <c r="IW124" s="138"/>
    </row>
    <row r="125" spans="1:257" x14ac:dyDescent="0.2">
      <c r="B125" s="77"/>
      <c r="C125" s="77" t="s">
        <v>350</v>
      </c>
      <c r="D125" s="77" t="s">
        <v>351</v>
      </c>
      <c r="E125" s="77" t="s">
        <v>470</v>
      </c>
      <c r="F125" s="77" t="s">
        <v>471</v>
      </c>
      <c r="G125" s="77" t="s">
        <v>44</v>
      </c>
    </row>
    <row r="126" spans="1:257" x14ac:dyDescent="0.2">
      <c r="B126" s="77">
        <v>1</v>
      </c>
      <c r="C126" s="143" t="s">
        <v>559</v>
      </c>
      <c r="D126" s="143" t="str">
        <f>CONCATENATE(PAR!$H$3)</f>
        <v>2025.</v>
      </c>
      <c r="E126" s="143" t="str">
        <f>CONCATENATE(PAR!$H$7)</f>
        <v>2026.</v>
      </c>
      <c r="F126" s="143" t="str">
        <f>CONCATENATE(PAR!$H$8," után")</f>
        <v>2027. után</v>
      </c>
      <c r="G126" s="143" t="s">
        <v>474</v>
      </c>
    </row>
    <row r="127" spans="1:257" x14ac:dyDescent="0.2">
      <c r="B127" s="77">
        <v>2</v>
      </c>
      <c r="C127" s="144" t="s">
        <v>475</v>
      </c>
      <c r="D127" s="144"/>
      <c r="E127" s="144"/>
      <c r="F127" s="144"/>
      <c r="G127" s="144">
        <f t="shared" ref="G127" si="17">SUM(D127:F127)</f>
        <v>0</v>
      </c>
    </row>
    <row r="128" spans="1:257" x14ac:dyDescent="0.2">
      <c r="B128" s="77">
        <v>3</v>
      </c>
      <c r="C128" s="145" t="s">
        <v>476</v>
      </c>
      <c r="D128" s="146"/>
      <c r="E128" s="146"/>
      <c r="F128" s="146"/>
      <c r="G128" s="146">
        <f>SUM(D128:F128)</f>
        <v>0</v>
      </c>
    </row>
    <row r="129" spans="1:257" x14ac:dyDescent="0.2">
      <c r="B129" s="77">
        <v>4</v>
      </c>
      <c r="C129" s="144" t="s">
        <v>477</v>
      </c>
      <c r="D129" s="144"/>
      <c r="E129" s="144"/>
      <c r="F129" s="144"/>
      <c r="G129" s="144">
        <f t="shared" ref="G129:G132" si="18">SUM(D129:F129)</f>
        <v>0</v>
      </c>
    </row>
    <row r="130" spans="1:257" x14ac:dyDescent="0.2">
      <c r="B130" s="77">
        <v>5</v>
      </c>
      <c r="C130" s="144" t="s">
        <v>478</v>
      </c>
      <c r="D130" s="144"/>
      <c r="E130" s="144"/>
      <c r="F130" s="144"/>
      <c r="G130" s="144">
        <f t="shared" si="18"/>
        <v>0</v>
      </c>
    </row>
    <row r="131" spans="1:257" x14ac:dyDescent="0.2">
      <c r="B131" s="77">
        <v>6</v>
      </c>
      <c r="C131" s="144" t="s">
        <v>479</v>
      </c>
      <c r="D131" s="144"/>
      <c r="E131" s="144"/>
      <c r="F131" s="144"/>
      <c r="G131" s="144">
        <f t="shared" si="18"/>
        <v>0</v>
      </c>
    </row>
    <row r="132" spans="1:257" x14ac:dyDescent="0.2">
      <c r="B132" s="77">
        <v>7</v>
      </c>
      <c r="C132" s="144" t="s">
        <v>480</v>
      </c>
      <c r="D132" s="144"/>
      <c r="E132" s="144"/>
      <c r="F132" s="144"/>
      <c r="G132" s="144">
        <f t="shared" si="18"/>
        <v>0</v>
      </c>
    </row>
    <row r="133" spans="1:257" x14ac:dyDescent="0.2">
      <c r="B133" s="77">
        <v>8</v>
      </c>
      <c r="C133" s="149" t="s">
        <v>481</v>
      </c>
      <c r="D133" s="150">
        <f>D127+SUM(D129:D132)</f>
        <v>0</v>
      </c>
      <c r="E133" s="150">
        <f>E127+SUM(E129:E132)</f>
        <v>0</v>
      </c>
      <c r="F133" s="150">
        <f>F127+SUM(F129:F132)</f>
        <v>0</v>
      </c>
      <c r="G133" s="150">
        <f>G127+SUM(G129:G132)</f>
        <v>0</v>
      </c>
    </row>
    <row r="134" spans="1:257" x14ac:dyDescent="0.2">
      <c r="B134" s="77">
        <v>9</v>
      </c>
      <c r="C134" s="151" t="s">
        <v>482</v>
      </c>
      <c r="D134" s="144"/>
      <c r="E134" s="144"/>
      <c r="F134" s="144"/>
      <c r="G134" s="144">
        <f t="shared" ref="G134:G137" si="19">SUM(D134:F134)</f>
        <v>0</v>
      </c>
    </row>
    <row r="135" spans="1:257" x14ac:dyDescent="0.2">
      <c r="B135" s="77">
        <v>10</v>
      </c>
      <c r="C135" s="152" t="s">
        <v>483</v>
      </c>
      <c r="D135" s="144"/>
      <c r="E135" s="144"/>
      <c r="F135" s="144"/>
      <c r="G135" s="144">
        <f t="shared" si="19"/>
        <v>0</v>
      </c>
    </row>
    <row r="136" spans="1:257" x14ac:dyDescent="0.2">
      <c r="B136" s="77">
        <v>11</v>
      </c>
      <c r="C136" s="151" t="s">
        <v>484</v>
      </c>
      <c r="D136" s="144"/>
      <c r="E136" s="144"/>
      <c r="F136" s="144"/>
      <c r="G136" s="144">
        <f t="shared" si="19"/>
        <v>0</v>
      </c>
    </row>
    <row r="137" spans="1:257" x14ac:dyDescent="0.2">
      <c r="B137" s="77">
        <v>12</v>
      </c>
      <c r="C137" s="151" t="s">
        <v>485</v>
      </c>
      <c r="D137" s="144"/>
      <c r="E137" s="144"/>
      <c r="F137" s="144"/>
      <c r="G137" s="144">
        <f t="shared" si="19"/>
        <v>0</v>
      </c>
    </row>
    <row r="138" spans="1:257" x14ac:dyDescent="0.2">
      <c r="B138" s="77">
        <v>13</v>
      </c>
      <c r="C138" s="147" t="s">
        <v>554</v>
      </c>
      <c r="D138" s="148">
        <f>SUM(D134:D137)</f>
        <v>0</v>
      </c>
      <c r="E138" s="148">
        <f>SUM(E134:E137)</f>
        <v>0</v>
      </c>
      <c r="F138" s="148">
        <f>SUM(F134:F137)</f>
        <v>0</v>
      </c>
      <c r="G138" s="148">
        <f>SUM(G134:G137)</f>
        <v>0</v>
      </c>
    </row>
    <row r="139" spans="1:257" s="139" customFormat="1" ht="15.75" x14ac:dyDescent="0.25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  <c r="GC139" s="138"/>
      <c r="GD139" s="138"/>
      <c r="GE139" s="138"/>
      <c r="GF139" s="138"/>
      <c r="GG139" s="138"/>
      <c r="GH139" s="138"/>
      <c r="GI139" s="138"/>
      <c r="GJ139" s="138"/>
      <c r="GK139" s="138"/>
      <c r="GL139" s="138"/>
      <c r="GM139" s="138"/>
      <c r="GN139" s="138"/>
      <c r="GO139" s="138"/>
      <c r="GP139" s="138"/>
      <c r="GQ139" s="138"/>
      <c r="GR139" s="138"/>
      <c r="GS139" s="138"/>
      <c r="GT139" s="138"/>
      <c r="GU139" s="138"/>
      <c r="GV139" s="138"/>
      <c r="GW139" s="138"/>
      <c r="GX139" s="138"/>
      <c r="GY139" s="138"/>
      <c r="GZ139" s="138"/>
      <c r="HA139" s="138"/>
      <c r="HB139" s="138"/>
      <c r="HC139" s="138"/>
      <c r="HD139" s="138"/>
      <c r="HE139" s="138"/>
      <c r="HF139" s="138"/>
      <c r="HG139" s="138"/>
      <c r="HH139" s="138"/>
      <c r="HI139" s="138"/>
      <c r="HJ139" s="138"/>
      <c r="HK139" s="138"/>
      <c r="HL139" s="138"/>
      <c r="HM139" s="138"/>
      <c r="HN139" s="138"/>
      <c r="HO139" s="138"/>
      <c r="HP139" s="138"/>
      <c r="HQ139" s="138"/>
      <c r="HR139" s="138"/>
      <c r="HS139" s="138"/>
      <c r="HT139" s="138"/>
      <c r="HU139" s="138"/>
      <c r="HV139" s="138"/>
      <c r="HW139" s="138"/>
      <c r="HX139" s="138"/>
      <c r="HY139" s="138"/>
      <c r="HZ139" s="138"/>
      <c r="IA139" s="138"/>
      <c r="IB139" s="138"/>
      <c r="IC139" s="138"/>
      <c r="ID139" s="138"/>
      <c r="IE139" s="138"/>
      <c r="IF139" s="138"/>
      <c r="IG139" s="138"/>
      <c r="IH139" s="138"/>
      <c r="II139" s="138"/>
      <c r="IJ139" s="138"/>
      <c r="IK139" s="138"/>
      <c r="IL139" s="138"/>
      <c r="IM139" s="138"/>
      <c r="IN139" s="138"/>
      <c r="IO139" s="138"/>
      <c r="IP139" s="138"/>
      <c r="IQ139" s="138"/>
      <c r="IR139" s="138"/>
      <c r="IS139" s="138"/>
      <c r="IT139" s="138"/>
      <c r="IU139" s="138"/>
      <c r="IV139" s="138"/>
      <c r="IW139" s="138"/>
    </row>
    <row r="140" spans="1:257" s="139" customFormat="1" ht="15.75" x14ac:dyDescent="0.25">
      <c r="A140" s="138"/>
      <c r="B140" s="38" t="s">
        <v>645</v>
      </c>
      <c r="C140" s="38"/>
      <c r="D140" s="522"/>
      <c r="E140" s="522"/>
      <c r="F140" s="522"/>
      <c r="G140" s="522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  <c r="GI140" s="138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138"/>
      <c r="GU140" s="138"/>
      <c r="GV140" s="138"/>
      <c r="GW140" s="138"/>
      <c r="GX140" s="138"/>
      <c r="GY140" s="138"/>
      <c r="GZ140" s="138"/>
      <c r="HA140" s="138"/>
      <c r="HB140" s="138"/>
      <c r="HC140" s="138"/>
      <c r="HD140" s="138"/>
      <c r="HE140" s="138"/>
      <c r="HF140" s="138"/>
      <c r="HG140" s="138"/>
      <c r="HH140" s="138"/>
      <c r="HI140" s="138"/>
      <c r="HJ140" s="138"/>
      <c r="HK140" s="138"/>
      <c r="HL140" s="138"/>
      <c r="HM140" s="138"/>
      <c r="HN140" s="138"/>
      <c r="HO140" s="138"/>
      <c r="HP140" s="138"/>
      <c r="HQ140" s="138"/>
      <c r="HR140" s="138"/>
      <c r="HS140" s="138"/>
      <c r="HT140" s="138"/>
      <c r="HU140" s="138"/>
      <c r="HV140" s="138"/>
      <c r="HW140" s="138"/>
      <c r="HX140" s="138"/>
      <c r="HY140" s="138"/>
      <c r="HZ140" s="138"/>
      <c r="IA140" s="138"/>
      <c r="IB140" s="138"/>
      <c r="IC140" s="138"/>
      <c r="ID140" s="138"/>
      <c r="IE140" s="138"/>
      <c r="IF140" s="138"/>
      <c r="IG140" s="138"/>
      <c r="IH140" s="138"/>
      <c r="II140" s="138"/>
      <c r="IJ140" s="138"/>
      <c r="IK140" s="138"/>
      <c r="IL140" s="138"/>
      <c r="IM140" s="138"/>
      <c r="IN140" s="138"/>
      <c r="IO140" s="138"/>
      <c r="IP140" s="138"/>
      <c r="IQ140" s="138"/>
      <c r="IR140" s="138"/>
      <c r="IS140" s="138"/>
      <c r="IT140" s="138"/>
      <c r="IU140" s="138"/>
      <c r="IV140" s="138"/>
      <c r="IW140" s="138"/>
    </row>
    <row r="141" spans="1:257" s="139" customFormat="1" ht="15.75" x14ac:dyDescent="0.25">
      <c r="A141" s="138"/>
      <c r="B141" s="138"/>
      <c r="C141" s="138"/>
      <c r="D141" s="138"/>
      <c r="E141" s="138"/>
      <c r="F141" s="523"/>
      <c r="G141" s="523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  <c r="HG141" s="138"/>
      <c r="HH141" s="138"/>
      <c r="HI141" s="138"/>
      <c r="HJ141" s="138"/>
      <c r="HK141" s="138"/>
      <c r="HL141" s="138"/>
      <c r="HM141" s="138"/>
      <c r="HN141" s="138"/>
      <c r="HO141" s="138"/>
      <c r="HP141" s="138"/>
      <c r="HQ141" s="138"/>
      <c r="HR141" s="138"/>
      <c r="HS141" s="138"/>
      <c r="HT141" s="138"/>
      <c r="HU141" s="138"/>
      <c r="HV141" s="138"/>
      <c r="HW141" s="138"/>
      <c r="HX141" s="138"/>
      <c r="HY141" s="138"/>
      <c r="HZ141" s="138"/>
      <c r="IA141" s="138"/>
      <c r="IB141" s="138"/>
      <c r="IC141" s="138"/>
      <c r="ID141" s="138"/>
      <c r="IE141" s="138"/>
      <c r="IF141" s="138"/>
      <c r="IG141" s="138"/>
      <c r="IH141" s="138"/>
      <c r="II141" s="138"/>
      <c r="IJ141" s="138"/>
      <c r="IK141" s="138"/>
      <c r="IL141" s="138"/>
      <c r="IM141" s="138"/>
      <c r="IN141" s="138"/>
      <c r="IO141" s="138"/>
      <c r="IP141" s="138"/>
      <c r="IQ141" s="138"/>
      <c r="IR141" s="138"/>
      <c r="IS141" s="138"/>
      <c r="IT141" s="138"/>
      <c r="IU141" s="138"/>
      <c r="IV141" s="138"/>
      <c r="IW141" s="138"/>
    </row>
    <row r="142" spans="1:257" x14ac:dyDescent="0.2">
      <c r="B142" s="77"/>
      <c r="C142" s="77" t="s">
        <v>350</v>
      </c>
      <c r="D142" s="77" t="s">
        <v>351</v>
      </c>
      <c r="E142" s="77" t="s">
        <v>470</v>
      </c>
      <c r="F142" s="77" t="s">
        <v>471</v>
      </c>
      <c r="G142" s="77" t="s">
        <v>44</v>
      </c>
    </row>
    <row r="143" spans="1:257" x14ac:dyDescent="0.2">
      <c r="B143" s="77">
        <v>1</v>
      </c>
      <c r="C143" s="143" t="s">
        <v>559</v>
      </c>
      <c r="D143" s="143" t="str">
        <f>CONCATENATE(PAR!$H$3)</f>
        <v>2025.</v>
      </c>
      <c r="E143" s="143" t="str">
        <f>CONCATENATE(PAR!$H$7)</f>
        <v>2026.</v>
      </c>
      <c r="F143" s="143" t="str">
        <f>CONCATENATE(PAR!$H$8," után")</f>
        <v>2027. után</v>
      </c>
      <c r="G143" s="143" t="s">
        <v>474</v>
      </c>
    </row>
    <row r="144" spans="1:257" x14ac:dyDescent="0.2">
      <c r="B144" s="77">
        <v>2</v>
      </c>
      <c r="C144" s="144" t="s">
        <v>475</v>
      </c>
      <c r="D144" s="144"/>
      <c r="E144" s="144"/>
      <c r="F144" s="144"/>
      <c r="G144" s="144">
        <f t="shared" ref="G144" si="20">SUM(D144:F144)</f>
        <v>0</v>
      </c>
    </row>
    <row r="145" spans="1:257" x14ac:dyDescent="0.2">
      <c r="B145" s="77">
        <v>3</v>
      </c>
      <c r="C145" s="145" t="s">
        <v>476</v>
      </c>
      <c r="D145" s="146"/>
      <c r="E145" s="146"/>
      <c r="F145" s="146"/>
      <c r="G145" s="146">
        <f>SUM(D145:F145)</f>
        <v>0</v>
      </c>
    </row>
    <row r="146" spans="1:257" x14ac:dyDescent="0.2">
      <c r="B146" s="77">
        <v>4</v>
      </c>
      <c r="C146" s="144" t="s">
        <v>477</v>
      </c>
      <c r="D146" s="144"/>
      <c r="E146" s="144"/>
      <c r="F146" s="144"/>
      <c r="G146" s="144">
        <f t="shared" ref="G146:G149" si="21">SUM(D146:F146)</f>
        <v>0</v>
      </c>
    </row>
    <row r="147" spans="1:257" x14ac:dyDescent="0.2">
      <c r="B147" s="77">
        <v>5</v>
      </c>
      <c r="C147" s="144" t="s">
        <v>478</v>
      </c>
      <c r="D147" s="144"/>
      <c r="E147" s="144"/>
      <c r="F147" s="144"/>
      <c r="G147" s="144">
        <f t="shared" si="21"/>
        <v>0</v>
      </c>
    </row>
    <row r="148" spans="1:257" x14ac:dyDescent="0.2">
      <c r="B148" s="77">
        <v>6</v>
      </c>
      <c r="C148" s="144" t="s">
        <v>479</v>
      </c>
      <c r="D148" s="144"/>
      <c r="E148" s="144"/>
      <c r="F148" s="144"/>
      <c r="G148" s="144">
        <f t="shared" si="21"/>
        <v>0</v>
      </c>
    </row>
    <row r="149" spans="1:257" x14ac:dyDescent="0.2">
      <c r="B149" s="77">
        <v>7</v>
      </c>
      <c r="C149" s="144" t="s">
        <v>480</v>
      </c>
      <c r="D149" s="144"/>
      <c r="E149" s="144"/>
      <c r="F149" s="144"/>
      <c r="G149" s="144">
        <f t="shared" si="21"/>
        <v>0</v>
      </c>
    </row>
    <row r="150" spans="1:257" x14ac:dyDescent="0.2">
      <c r="B150" s="77">
        <v>8</v>
      </c>
      <c r="C150" s="149" t="s">
        <v>481</v>
      </c>
      <c r="D150" s="150">
        <f>D144+SUM(D146:D149)</f>
        <v>0</v>
      </c>
      <c r="E150" s="150">
        <f>E144+SUM(E146:E149)</f>
        <v>0</v>
      </c>
      <c r="F150" s="150">
        <f>F144+SUM(F146:F149)</f>
        <v>0</v>
      </c>
      <c r="G150" s="150">
        <f>G144+SUM(G146:G149)</f>
        <v>0</v>
      </c>
    </row>
    <row r="151" spans="1:257" x14ac:dyDescent="0.2">
      <c r="B151" s="77">
        <v>9</v>
      </c>
      <c r="C151" s="151" t="s">
        <v>482</v>
      </c>
      <c r="D151" s="144"/>
      <c r="E151" s="144"/>
      <c r="F151" s="144"/>
      <c r="G151" s="144">
        <f t="shared" ref="G151:G154" si="22">SUM(D151:F151)</f>
        <v>0</v>
      </c>
    </row>
    <row r="152" spans="1:257" x14ac:dyDescent="0.2">
      <c r="B152" s="77">
        <v>10</v>
      </c>
      <c r="C152" s="152" t="s">
        <v>483</v>
      </c>
      <c r="D152" s="144"/>
      <c r="E152" s="144"/>
      <c r="F152" s="144"/>
      <c r="G152" s="144">
        <f t="shared" si="22"/>
        <v>0</v>
      </c>
    </row>
    <row r="153" spans="1:257" x14ac:dyDescent="0.2">
      <c r="B153" s="77">
        <v>11</v>
      </c>
      <c r="C153" s="151" t="s">
        <v>484</v>
      </c>
      <c r="D153" s="144"/>
      <c r="E153" s="144"/>
      <c r="F153" s="144"/>
      <c r="G153" s="144">
        <f t="shared" si="22"/>
        <v>0</v>
      </c>
    </row>
    <row r="154" spans="1:257" x14ac:dyDescent="0.2">
      <c r="B154" s="77">
        <v>12</v>
      </c>
      <c r="C154" s="151" t="s">
        <v>485</v>
      </c>
      <c r="D154" s="144"/>
      <c r="E154" s="144"/>
      <c r="F154" s="144"/>
      <c r="G154" s="144">
        <f t="shared" si="22"/>
        <v>0</v>
      </c>
    </row>
    <row r="155" spans="1:257" x14ac:dyDescent="0.2">
      <c r="B155" s="77">
        <v>13</v>
      </c>
      <c r="C155" s="147" t="s">
        <v>554</v>
      </c>
      <c r="D155" s="148">
        <f>SUM(D151:D154)</f>
        <v>0</v>
      </c>
      <c r="E155" s="148">
        <f>SUM(E151:E154)</f>
        <v>0</v>
      </c>
      <c r="F155" s="148">
        <f>SUM(F151:F154)</f>
        <v>0</v>
      </c>
      <c r="G155" s="148">
        <f>SUM(G151:G154)</f>
        <v>0</v>
      </c>
    </row>
    <row r="156" spans="1:257" s="139" customFormat="1" ht="15.75" x14ac:dyDescent="0.25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138"/>
      <c r="HJ156" s="138"/>
      <c r="HK156" s="138"/>
      <c r="HL156" s="138"/>
      <c r="HM156" s="138"/>
      <c r="HN156" s="138"/>
      <c r="HO156" s="138"/>
      <c r="HP156" s="138"/>
      <c r="HQ156" s="138"/>
      <c r="HR156" s="138"/>
      <c r="HS156" s="138"/>
      <c r="HT156" s="138"/>
      <c r="HU156" s="138"/>
      <c r="HV156" s="138"/>
      <c r="HW156" s="138"/>
      <c r="HX156" s="138"/>
      <c r="HY156" s="138"/>
      <c r="HZ156" s="138"/>
      <c r="IA156" s="138"/>
      <c r="IB156" s="138"/>
      <c r="IC156" s="138"/>
      <c r="ID156" s="138"/>
      <c r="IE156" s="138"/>
      <c r="IF156" s="138"/>
      <c r="IG156" s="138"/>
      <c r="IH156" s="138"/>
      <c r="II156" s="138"/>
      <c r="IJ156" s="138"/>
      <c r="IK156" s="138"/>
      <c r="IL156" s="138"/>
      <c r="IM156" s="138"/>
      <c r="IN156" s="138"/>
      <c r="IO156" s="138"/>
      <c r="IP156" s="138"/>
      <c r="IQ156" s="138"/>
      <c r="IR156" s="138"/>
      <c r="IS156" s="138"/>
      <c r="IT156" s="138"/>
      <c r="IU156" s="138"/>
      <c r="IV156" s="138"/>
      <c r="IW156" s="138"/>
    </row>
    <row r="157" spans="1:257" s="139" customFormat="1" ht="15.75" x14ac:dyDescent="0.25">
      <c r="A157" s="138"/>
      <c r="B157" s="38" t="s">
        <v>646</v>
      </c>
      <c r="C157" s="38"/>
      <c r="D157" s="522"/>
      <c r="E157" s="522"/>
      <c r="F157" s="522"/>
      <c r="G157" s="522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138"/>
      <c r="HJ157" s="138"/>
      <c r="HK157" s="138"/>
      <c r="HL157" s="138"/>
      <c r="HM157" s="138"/>
      <c r="HN157" s="138"/>
      <c r="HO157" s="138"/>
      <c r="HP157" s="138"/>
      <c r="HQ157" s="138"/>
      <c r="HR157" s="138"/>
      <c r="HS157" s="138"/>
      <c r="HT157" s="138"/>
      <c r="HU157" s="138"/>
      <c r="HV157" s="138"/>
      <c r="HW157" s="138"/>
      <c r="HX157" s="138"/>
      <c r="HY157" s="138"/>
      <c r="HZ157" s="138"/>
      <c r="IA157" s="138"/>
      <c r="IB157" s="138"/>
      <c r="IC157" s="138"/>
      <c r="ID157" s="138"/>
      <c r="IE157" s="138"/>
      <c r="IF157" s="138"/>
      <c r="IG157" s="138"/>
      <c r="IH157" s="138"/>
      <c r="II157" s="138"/>
      <c r="IJ157" s="138"/>
      <c r="IK157" s="138"/>
      <c r="IL157" s="138"/>
      <c r="IM157" s="138"/>
      <c r="IN157" s="138"/>
      <c r="IO157" s="138"/>
      <c r="IP157" s="138"/>
      <c r="IQ157" s="138"/>
      <c r="IR157" s="138"/>
      <c r="IS157" s="138"/>
      <c r="IT157" s="138"/>
      <c r="IU157" s="138"/>
      <c r="IV157" s="138"/>
      <c r="IW157" s="138"/>
    </row>
    <row r="158" spans="1:257" s="139" customFormat="1" ht="15.75" x14ac:dyDescent="0.25">
      <c r="A158" s="138"/>
      <c r="B158" s="138"/>
      <c r="C158" s="138"/>
      <c r="D158" s="138"/>
      <c r="E158" s="138"/>
      <c r="F158" s="523"/>
      <c r="G158" s="523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138"/>
      <c r="HJ158" s="138"/>
      <c r="HK158" s="138"/>
      <c r="HL158" s="138"/>
      <c r="HM158" s="138"/>
      <c r="HN158" s="138"/>
      <c r="HO158" s="138"/>
      <c r="HP158" s="138"/>
      <c r="HQ158" s="138"/>
      <c r="HR158" s="138"/>
      <c r="HS158" s="138"/>
      <c r="HT158" s="138"/>
      <c r="HU158" s="138"/>
      <c r="HV158" s="138"/>
      <c r="HW158" s="138"/>
      <c r="HX158" s="138"/>
      <c r="HY158" s="138"/>
      <c r="HZ158" s="138"/>
      <c r="IA158" s="138"/>
      <c r="IB158" s="138"/>
      <c r="IC158" s="138"/>
      <c r="ID158" s="138"/>
      <c r="IE158" s="138"/>
      <c r="IF158" s="138"/>
      <c r="IG158" s="138"/>
      <c r="IH158" s="138"/>
      <c r="II158" s="138"/>
      <c r="IJ158" s="138"/>
      <c r="IK158" s="138"/>
      <c r="IL158" s="138"/>
      <c r="IM158" s="138"/>
      <c r="IN158" s="138"/>
      <c r="IO158" s="138"/>
      <c r="IP158" s="138"/>
      <c r="IQ158" s="138"/>
      <c r="IR158" s="138"/>
      <c r="IS158" s="138"/>
      <c r="IT158" s="138"/>
      <c r="IU158" s="138"/>
      <c r="IV158" s="138"/>
      <c r="IW158" s="138"/>
    </row>
    <row r="159" spans="1:257" x14ac:dyDescent="0.2">
      <c r="B159" s="77"/>
      <c r="C159" s="77" t="s">
        <v>350</v>
      </c>
      <c r="D159" s="77" t="s">
        <v>351</v>
      </c>
      <c r="E159" s="77" t="s">
        <v>470</v>
      </c>
      <c r="F159" s="77" t="s">
        <v>471</v>
      </c>
      <c r="G159" s="77" t="s">
        <v>44</v>
      </c>
    </row>
    <row r="160" spans="1:257" x14ac:dyDescent="0.2">
      <c r="B160" s="77">
        <v>1</v>
      </c>
      <c r="C160" s="143" t="s">
        <v>559</v>
      </c>
      <c r="D160" s="143" t="str">
        <f>CONCATENATE(PAR!$H$3)</f>
        <v>2025.</v>
      </c>
      <c r="E160" s="143" t="str">
        <f>CONCATENATE(PAR!$H$7)</f>
        <v>2026.</v>
      </c>
      <c r="F160" s="143" t="str">
        <f>CONCATENATE(PAR!$H$8," után")</f>
        <v>2027. után</v>
      </c>
      <c r="G160" s="143" t="s">
        <v>474</v>
      </c>
    </row>
    <row r="161" spans="1:257" x14ac:dyDescent="0.2">
      <c r="B161" s="77">
        <v>2</v>
      </c>
      <c r="C161" s="144" t="s">
        <v>475</v>
      </c>
      <c r="D161" s="144"/>
      <c r="E161" s="144"/>
      <c r="F161" s="144"/>
      <c r="G161" s="144">
        <f t="shared" ref="G161" si="23">SUM(D161:F161)</f>
        <v>0</v>
      </c>
    </row>
    <row r="162" spans="1:257" x14ac:dyDescent="0.2">
      <c r="B162" s="77">
        <v>3</v>
      </c>
      <c r="C162" s="145" t="s">
        <v>476</v>
      </c>
      <c r="D162" s="146"/>
      <c r="E162" s="146"/>
      <c r="F162" s="146"/>
      <c r="G162" s="146">
        <f>SUM(D162:F162)</f>
        <v>0</v>
      </c>
    </row>
    <row r="163" spans="1:257" x14ac:dyDescent="0.2">
      <c r="B163" s="77">
        <v>4</v>
      </c>
      <c r="C163" s="144" t="s">
        <v>477</v>
      </c>
      <c r="D163" s="144"/>
      <c r="E163" s="144"/>
      <c r="F163" s="144"/>
      <c r="G163" s="144">
        <f t="shared" ref="G163:G166" si="24">SUM(D163:F163)</f>
        <v>0</v>
      </c>
    </row>
    <row r="164" spans="1:257" x14ac:dyDescent="0.2">
      <c r="B164" s="77">
        <v>5</v>
      </c>
      <c r="C164" s="144" t="s">
        <v>478</v>
      </c>
      <c r="D164" s="144"/>
      <c r="E164" s="144"/>
      <c r="F164" s="144"/>
      <c r="G164" s="144">
        <f t="shared" si="24"/>
        <v>0</v>
      </c>
    </row>
    <row r="165" spans="1:257" x14ac:dyDescent="0.2">
      <c r="B165" s="77">
        <v>6</v>
      </c>
      <c r="C165" s="144" t="s">
        <v>479</v>
      </c>
      <c r="D165" s="144"/>
      <c r="E165" s="144"/>
      <c r="F165" s="144"/>
      <c r="G165" s="144">
        <f t="shared" si="24"/>
        <v>0</v>
      </c>
    </row>
    <row r="166" spans="1:257" x14ac:dyDescent="0.2">
      <c r="B166" s="77">
        <v>7</v>
      </c>
      <c r="C166" s="144" t="s">
        <v>480</v>
      </c>
      <c r="D166" s="144"/>
      <c r="E166" s="144"/>
      <c r="F166" s="144"/>
      <c r="G166" s="144">
        <f t="shared" si="24"/>
        <v>0</v>
      </c>
    </row>
    <row r="167" spans="1:257" x14ac:dyDescent="0.2">
      <c r="B167" s="77">
        <v>8</v>
      </c>
      <c r="C167" s="149" t="s">
        <v>481</v>
      </c>
      <c r="D167" s="150">
        <f>D161+SUM(D163:D166)</f>
        <v>0</v>
      </c>
      <c r="E167" s="150">
        <f>E161+SUM(E163:E166)</f>
        <v>0</v>
      </c>
      <c r="F167" s="150">
        <f>F161+SUM(F163:F166)</f>
        <v>0</v>
      </c>
      <c r="G167" s="150">
        <f>G161+SUM(G163:G166)</f>
        <v>0</v>
      </c>
    </row>
    <row r="168" spans="1:257" x14ac:dyDescent="0.2">
      <c r="B168" s="77">
        <v>9</v>
      </c>
      <c r="C168" s="151" t="s">
        <v>482</v>
      </c>
      <c r="D168" s="144"/>
      <c r="E168" s="144"/>
      <c r="F168" s="144"/>
      <c r="G168" s="144">
        <f t="shared" ref="G168:G171" si="25">SUM(D168:F168)</f>
        <v>0</v>
      </c>
    </row>
    <row r="169" spans="1:257" x14ac:dyDescent="0.2">
      <c r="B169" s="77">
        <v>10</v>
      </c>
      <c r="C169" s="152" t="s">
        <v>483</v>
      </c>
      <c r="D169" s="144"/>
      <c r="E169" s="144"/>
      <c r="F169" s="144"/>
      <c r="G169" s="144">
        <f t="shared" si="25"/>
        <v>0</v>
      </c>
    </row>
    <row r="170" spans="1:257" x14ac:dyDescent="0.2">
      <c r="B170" s="77">
        <v>11</v>
      </c>
      <c r="C170" s="151" t="s">
        <v>484</v>
      </c>
      <c r="D170" s="144"/>
      <c r="E170" s="144"/>
      <c r="F170" s="144"/>
      <c r="G170" s="144">
        <f t="shared" si="25"/>
        <v>0</v>
      </c>
    </row>
    <row r="171" spans="1:257" x14ac:dyDescent="0.2">
      <c r="B171" s="77">
        <v>12</v>
      </c>
      <c r="C171" s="151" t="s">
        <v>485</v>
      </c>
      <c r="D171" s="144"/>
      <c r="E171" s="144"/>
      <c r="F171" s="144"/>
      <c r="G171" s="144">
        <f t="shared" si="25"/>
        <v>0</v>
      </c>
    </row>
    <row r="172" spans="1:257" x14ac:dyDescent="0.2">
      <c r="B172" s="77">
        <v>13</v>
      </c>
      <c r="C172" s="147" t="s">
        <v>554</v>
      </c>
      <c r="D172" s="148">
        <f>SUM(D168:D171)</f>
        <v>0</v>
      </c>
      <c r="E172" s="148">
        <f>SUM(E168:E171)</f>
        <v>0</v>
      </c>
      <c r="F172" s="148">
        <f>SUM(F168:F171)</f>
        <v>0</v>
      </c>
      <c r="G172" s="148">
        <f>SUM(G168:G171)</f>
        <v>0</v>
      </c>
    </row>
    <row r="173" spans="1:257" s="139" customFormat="1" ht="15.75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138"/>
      <c r="HT173" s="138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  <c r="IU173" s="138"/>
      <c r="IV173" s="138"/>
      <c r="IW173" s="138"/>
    </row>
    <row r="174" spans="1:257" s="139" customFormat="1" ht="15.75" x14ac:dyDescent="0.25">
      <c r="A174" s="138"/>
      <c r="B174" s="38" t="s">
        <v>647</v>
      </c>
      <c r="C174" s="38"/>
      <c r="D174" s="522"/>
      <c r="E174" s="522"/>
      <c r="F174" s="522"/>
      <c r="G174" s="522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138"/>
      <c r="HT174" s="138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  <c r="IU174" s="138"/>
      <c r="IV174" s="138"/>
      <c r="IW174" s="138"/>
    </row>
    <row r="175" spans="1:257" s="139" customFormat="1" ht="15.75" x14ac:dyDescent="0.25">
      <c r="A175" s="138"/>
      <c r="B175" s="138"/>
      <c r="C175" s="138"/>
      <c r="D175" s="138"/>
      <c r="E175" s="138"/>
      <c r="F175" s="523"/>
      <c r="G175" s="523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138"/>
      <c r="HT175" s="138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  <c r="IU175" s="138"/>
      <c r="IV175" s="138"/>
      <c r="IW175" s="138"/>
    </row>
    <row r="176" spans="1:257" x14ac:dyDescent="0.2">
      <c r="B176" s="77"/>
      <c r="C176" s="77" t="s">
        <v>350</v>
      </c>
      <c r="D176" s="77" t="s">
        <v>351</v>
      </c>
      <c r="E176" s="77" t="s">
        <v>470</v>
      </c>
      <c r="F176" s="77" t="s">
        <v>471</v>
      </c>
      <c r="G176" s="77" t="s">
        <v>44</v>
      </c>
    </row>
    <row r="177" spans="1:257" x14ac:dyDescent="0.2">
      <c r="B177" s="77">
        <v>1</v>
      </c>
      <c r="C177" s="143" t="s">
        <v>559</v>
      </c>
      <c r="D177" s="143" t="str">
        <f>CONCATENATE(PAR!$H$3)</f>
        <v>2025.</v>
      </c>
      <c r="E177" s="143" t="str">
        <f>CONCATENATE(PAR!$H$7)</f>
        <v>2026.</v>
      </c>
      <c r="F177" s="143" t="str">
        <f>CONCATENATE(PAR!$H$8," után")</f>
        <v>2027. után</v>
      </c>
      <c r="G177" s="143" t="s">
        <v>474</v>
      </c>
    </row>
    <row r="178" spans="1:257" x14ac:dyDescent="0.2">
      <c r="B178" s="77">
        <v>2</v>
      </c>
      <c r="C178" s="144" t="s">
        <v>475</v>
      </c>
      <c r="D178" s="144"/>
      <c r="E178" s="144"/>
      <c r="F178" s="144"/>
      <c r="G178" s="144">
        <f t="shared" ref="G178" si="26">SUM(D178:F178)</f>
        <v>0</v>
      </c>
    </row>
    <row r="179" spans="1:257" x14ac:dyDescent="0.2">
      <c r="B179" s="77">
        <v>3</v>
      </c>
      <c r="C179" s="145" t="s">
        <v>476</v>
      </c>
      <c r="D179" s="146"/>
      <c r="E179" s="146"/>
      <c r="F179" s="146"/>
      <c r="G179" s="146">
        <f>SUM(D179:F179)</f>
        <v>0</v>
      </c>
    </row>
    <row r="180" spans="1:257" x14ac:dyDescent="0.2">
      <c r="B180" s="77">
        <v>4</v>
      </c>
      <c r="C180" s="144" t="s">
        <v>477</v>
      </c>
      <c r="D180" s="144"/>
      <c r="E180" s="144"/>
      <c r="F180" s="144"/>
      <c r="G180" s="144">
        <f t="shared" ref="G180:G183" si="27">SUM(D180:F180)</f>
        <v>0</v>
      </c>
    </row>
    <row r="181" spans="1:257" x14ac:dyDescent="0.2">
      <c r="B181" s="77">
        <v>5</v>
      </c>
      <c r="C181" s="144" t="s">
        <v>478</v>
      </c>
      <c r="D181" s="144"/>
      <c r="E181" s="144"/>
      <c r="F181" s="144"/>
      <c r="G181" s="144">
        <f t="shared" si="27"/>
        <v>0</v>
      </c>
    </row>
    <row r="182" spans="1:257" x14ac:dyDescent="0.2">
      <c r="B182" s="77">
        <v>6</v>
      </c>
      <c r="C182" s="144" t="s">
        <v>479</v>
      </c>
      <c r="D182" s="144"/>
      <c r="E182" s="144"/>
      <c r="F182" s="144"/>
      <c r="G182" s="144">
        <f t="shared" si="27"/>
        <v>0</v>
      </c>
    </row>
    <row r="183" spans="1:257" x14ac:dyDescent="0.2">
      <c r="B183" s="77">
        <v>7</v>
      </c>
      <c r="C183" s="144" t="s">
        <v>480</v>
      </c>
      <c r="D183" s="144"/>
      <c r="E183" s="144"/>
      <c r="F183" s="144"/>
      <c r="G183" s="144">
        <f t="shared" si="27"/>
        <v>0</v>
      </c>
    </row>
    <row r="184" spans="1:257" x14ac:dyDescent="0.2">
      <c r="B184" s="77">
        <v>8</v>
      </c>
      <c r="C184" s="149" t="s">
        <v>481</v>
      </c>
      <c r="D184" s="150">
        <f>D178+SUM(D180:D183)</f>
        <v>0</v>
      </c>
      <c r="E184" s="150">
        <f>E178+SUM(E180:E183)</f>
        <v>0</v>
      </c>
      <c r="F184" s="150">
        <f>F178+SUM(F180:F183)</f>
        <v>0</v>
      </c>
      <c r="G184" s="150">
        <f>G178+SUM(G180:G183)</f>
        <v>0</v>
      </c>
    </row>
    <row r="185" spans="1:257" x14ac:dyDescent="0.2">
      <c r="B185" s="77">
        <v>9</v>
      </c>
      <c r="C185" s="151" t="s">
        <v>482</v>
      </c>
      <c r="D185" s="144"/>
      <c r="E185" s="144"/>
      <c r="F185" s="144"/>
      <c r="G185" s="144">
        <f t="shared" ref="G185:G188" si="28">SUM(D185:F185)</f>
        <v>0</v>
      </c>
    </row>
    <row r="186" spans="1:257" x14ac:dyDescent="0.2">
      <c r="B186" s="77">
        <v>10</v>
      </c>
      <c r="C186" s="152" t="s">
        <v>483</v>
      </c>
      <c r="D186" s="144"/>
      <c r="E186" s="144"/>
      <c r="F186" s="144"/>
      <c r="G186" s="144">
        <f t="shared" si="28"/>
        <v>0</v>
      </c>
    </row>
    <row r="187" spans="1:257" x14ac:dyDescent="0.2">
      <c r="B187" s="77">
        <v>11</v>
      </c>
      <c r="C187" s="151" t="s">
        <v>484</v>
      </c>
      <c r="D187" s="144"/>
      <c r="E187" s="144"/>
      <c r="F187" s="144"/>
      <c r="G187" s="144">
        <f t="shared" si="28"/>
        <v>0</v>
      </c>
    </row>
    <row r="188" spans="1:257" x14ac:dyDescent="0.2">
      <c r="B188" s="77">
        <v>12</v>
      </c>
      <c r="C188" s="151" t="s">
        <v>485</v>
      </c>
      <c r="D188" s="144"/>
      <c r="E188" s="144"/>
      <c r="F188" s="144"/>
      <c r="G188" s="144">
        <f t="shared" si="28"/>
        <v>0</v>
      </c>
    </row>
    <row r="189" spans="1:257" x14ac:dyDescent="0.2">
      <c r="B189" s="77">
        <v>13</v>
      </c>
      <c r="C189" s="147" t="s">
        <v>554</v>
      </c>
      <c r="D189" s="148">
        <f>SUM(D185:D188)</f>
        <v>0</v>
      </c>
      <c r="E189" s="148">
        <f>SUM(E185:E188)</f>
        <v>0</v>
      </c>
      <c r="F189" s="148">
        <f>SUM(F185:F188)</f>
        <v>0</v>
      </c>
      <c r="G189" s="148">
        <f>SUM(G185:G188)</f>
        <v>0</v>
      </c>
    </row>
    <row r="190" spans="1:257" s="139" customFormat="1" ht="15.75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138"/>
      <c r="HT190" s="138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  <c r="IU190" s="138"/>
      <c r="IV190" s="138"/>
      <c r="IW190" s="138"/>
    </row>
    <row r="191" spans="1:257" s="139" customFormat="1" ht="15.75" x14ac:dyDescent="0.25">
      <c r="A191" s="138"/>
      <c r="B191" s="38" t="s">
        <v>648</v>
      </c>
      <c r="C191" s="38"/>
      <c r="D191" s="522"/>
      <c r="E191" s="522"/>
      <c r="F191" s="522"/>
      <c r="G191" s="522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138"/>
      <c r="HT191" s="138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  <c r="IU191" s="138"/>
      <c r="IV191" s="138"/>
      <c r="IW191" s="138"/>
    </row>
    <row r="192" spans="1:257" s="139" customFormat="1" ht="15.75" x14ac:dyDescent="0.25">
      <c r="A192" s="138"/>
      <c r="B192" s="138"/>
      <c r="C192" s="138"/>
      <c r="D192" s="138"/>
      <c r="E192" s="138"/>
      <c r="F192" s="523"/>
      <c r="G192" s="523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138"/>
      <c r="HT192" s="138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  <c r="IU192" s="138"/>
      <c r="IV192" s="138"/>
      <c r="IW192" s="138"/>
    </row>
    <row r="193" spans="1:257" x14ac:dyDescent="0.2">
      <c r="B193" s="77"/>
      <c r="C193" s="77" t="s">
        <v>350</v>
      </c>
      <c r="D193" s="77" t="s">
        <v>351</v>
      </c>
      <c r="E193" s="77" t="s">
        <v>470</v>
      </c>
      <c r="F193" s="77" t="s">
        <v>471</v>
      </c>
      <c r="G193" s="77" t="s">
        <v>44</v>
      </c>
    </row>
    <row r="194" spans="1:257" x14ac:dyDescent="0.2">
      <c r="B194" s="77">
        <v>1</v>
      </c>
      <c r="C194" s="143" t="s">
        <v>559</v>
      </c>
      <c r="D194" s="143" t="str">
        <f>CONCATENATE(PAR!$H$3)</f>
        <v>2025.</v>
      </c>
      <c r="E194" s="143" t="str">
        <f>CONCATENATE(PAR!$H$7)</f>
        <v>2026.</v>
      </c>
      <c r="F194" s="143" t="str">
        <f>CONCATENATE(PAR!$H$8," után")</f>
        <v>2027. után</v>
      </c>
      <c r="G194" s="143" t="s">
        <v>474</v>
      </c>
    </row>
    <row r="195" spans="1:257" x14ac:dyDescent="0.2">
      <c r="B195" s="77">
        <v>2</v>
      </c>
      <c r="C195" s="144" t="s">
        <v>475</v>
      </c>
      <c r="D195" s="144"/>
      <c r="E195" s="144"/>
      <c r="F195" s="144"/>
      <c r="G195" s="144">
        <f t="shared" ref="G195" si="29">SUM(D195:F195)</f>
        <v>0</v>
      </c>
    </row>
    <row r="196" spans="1:257" x14ac:dyDescent="0.2">
      <c r="B196" s="77">
        <v>3</v>
      </c>
      <c r="C196" s="145" t="s">
        <v>476</v>
      </c>
      <c r="D196" s="146"/>
      <c r="E196" s="146"/>
      <c r="F196" s="146"/>
      <c r="G196" s="146">
        <f>SUM(D196:F196)</f>
        <v>0</v>
      </c>
    </row>
    <row r="197" spans="1:257" x14ac:dyDescent="0.2">
      <c r="B197" s="77">
        <v>4</v>
      </c>
      <c r="C197" s="144" t="s">
        <v>477</v>
      </c>
      <c r="D197" s="144"/>
      <c r="E197" s="144"/>
      <c r="F197" s="144"/>
      <c r="G197" s="144">
        <f t="shared" ref="G197:G200" si="30">SUM(D197:F197)</f>
        <v>0</v>
      </c>
    </row>
    <row r="198" spans="1:257" x14ac:dyDescent="0.2">
      <c r="B198" s="77">
        <v>5</v>
      </c>
      <c r="C198" s="144" t="s">
        <v>478</v>
      </c>
      <c r="D198" s="144"/>
      <c r="E198" s="144"/>
      <c r="F198" s="144"/>
      <c r="G198" s="144">
        <f t="shared" si="30"/>
        <v>0</v>
      </c>
    </row>
    <row r="199" spans="1:257" x14ac:dyDescent="0.2">
      <c r="B199" s="77">
        <v>6</v>
      </c>
      <c r="C199" s="144" t="s">
        <v>479</v>
      </c>
      <c r="D199" s="144"/>
      <c r="E199" s="144"/>
      <c r="F199" s="144"/>
      <c r="G199" s="144">
        <f t="shared" si="30"/>
        <v>0</v>
      </c>
    </row>
    <row r="200" spans="1:257" x14ac:dyDescent="0.2">
      <c r="B200" s="77">
        <v>7</v>
      </c>
      <c r="C200" s="144" t="s">
        <v>480</v>
      </c>
      <c r="D200" s="144"/>
      <c r="E200" s="144"/>
      <c r="F200" s="144"/>
      <c r="G200" s="144">
        <f t="shared" si="30"/>
        <v>0</v>
      </c>
    </row>
    <row r="201" spans="1:257" x14ac:dyDescent="0.2">
      <c r="B201" s="77">
        <v>8</v>
      </c>
      <c r="C201" s="149" t="s">
        <v>481</v>
      </c>
      <c r="D201" s="150">
        <f>D195+SUM(D197:D200)</f>
        <v>0</v>
      </c>
      <c r="E201" s="150">
        <f>E195+SUM(E197:E200)</f>
        <v>0</v>
      </c>
      <c r="F201" s="150">
        <f>F195+SUM(F197:F200)</f>
        <v>0</v>
      </c>
      <c r="G201" s="150">
        <f>G195+SUM(G197:G200)</f>
        <v>0</v>
      </c>
    </row>
    <row r="202" spans="1:257" x14ac:dyDescent="0.2">
      <c r="B202" s="77">
        <v>9</v>
      </c>
      <c r="C202" s="151" t="s">
        <v>482</v>
      </c>
      <c r="D202" s="144"/>
      <c r="E202" s="144"/>
      <c r="F202" s="144"/>
      <c r="G202" s="144">
        <f t="shared" ref="G202:G205" si="31">SUM(D202:F202)</f>
        <v>0</v>
      </c>
    </row>
    <row r="203" spans="1:257" x14ac:dyDescent="0.2">
      <c r="B203" s="77">
        <v>10</v>
      </c>
      <c r="C203" s="152" t="s">
        <v>483</v>
      </c>
      <c r="D203" s="144"/>
      <c r="E203" s="144"/>
      <c r="F203" s="144"/>
      <c r="G203" s="144">
        <f t="shared" si="31"/>
        <v>0</v>
      </c>
    </row>
    <row r="204" spans="1:257" x14ac:dyDescent="0.2">
      <c r="B204" s="77">
        <v>11</v>
      </c>
      <c r="C204" s="151" t="s">
        <v>484</v>
      </c>
      <c r="D204" s="144"/>
      <c r="E204" s="144"/>
      <c r="F204" s="144"/>
      <c r="G204" s="144">
        <f t="shared" si="31"/>
        <v>0</v>
      </c>
    </row>
    <row r="205" spans="1:257" x14ac:dyDescent="0.2">
      <c r="B205" s="77">
        <v>12</v>
      </c>
      <c r="C205" s="151" t="s">
        <v>485</v>
      </c>
      <c r="D205" s="144"/>
      <c r="E205" s="144"/>
      <c r="F205" s="144"/>
      <c r="G205" s="144">
        <f t="shared" si="31"/>
        <v>0</v>
      </c>
    </row>
    <row r="206" spans="1:257" x14ac:dyDescent="0.2">
      <c r="B206" s="77">
        <v>13</v>
      </c>
      <c r="C206" s="147" t="s">
        <v>554</v>
      </c>
      <c r="D206" s="148">
        <f>SUM(D202:D205)</f>
        <v>0</v>
      </c>
      <c r="E206" s="148">
        <f>SUM(E202:E205)</f>
        <v>0</v>
      </c>
      <c r="F206" s="148">
        <f>SUM(F202:F205)</f>
        <v>0</v>
      </c>
      <c r="G206" s="148">
        <f>SUM(G202:G205)</f>
        <v>0</v>
      </c>
    </row>
    <row r="207" spans="1:257" s="139" customFormat="1" ht="15.75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</row>
    <row r="208" spans="1:257" s="139" customFormat="1" ht="15.75" x14ac:dyDescent="0.25">
      <c r="A208" s="138"/>
      <c r="B208" s="38" t="s">
        <v>649</v>
      </c>
      <c r="C208" s="38"/>
      <c r="D208" s="522"/>
      <c r="E208" s="522"/>
      <c r="F208" s="522"/>
      <c r="G208" s="522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</row>
    <row r="209" spans="1:257" s="139" customFormat="1" ht="15.75" x14ac:dyDescent="0.25">
      <c r="A209" s="138"/>
      <c r="B209" s="138"/>
      <c r="C209" s="138"/>
      <c r="D209" s="138"/>
      <c r="E209" s="138"/>
      <c r="F209" s="523"/>
      <c r="G209" s="523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</row>
    <row r="210" spans="1:257" x14ac:dyDescent="0.2">
      <c r="B210" s="77"/>
      <c r="C210" s="77" t="s">
        <v>350</v>
      </c>
      <c r="D210" s="77" t="s">
        <v>351</v>
      </c>
      <c r="E210" s="77" t="s">
        <v>470</v>
      </c>
      <c r="F210" s="77" t="s">
        <v>471</v>
      </c>
      <c r="G210" s="77" t="s">
        <v>44</v>
      </c>
    </row>
    <row r="211" spans="1:257" x14ac:dyDescent="0.2">
      <c r="B211" s="77">
        <v>1</v>
      </c>
      <c r="C211" s="143" t="s">
        <v>559</v>
      </c>
      <c r="D211" s="143" t="str">
        <f>CONCATENATE(PAR!$H$3)</f>
        <v>2025.</v>
      </c>
      <c r="E211" s="143" t="str">
        <f>CONCATENATE(PAR!$H$7)</f>
        <v>2026.</v>
      </c>
      <c r="F211" s="143" t="str">
        <f>CONCATENATE(PAR!$H$8," után")</f>
        <v>2027. után</v>
      </c>
      <c r="G211" s="143" t="s">
        <v>474</v>
      </c>
    </row>
    <row r="212" spans="1:257" x14ac:dyDescent="0.2">
      <c r="B212" s="77">
        <v>2</v>
      </c>
      <c r="C212" s="144" t="s">
        <v>475</v>
      </c>
      <c r="D212" s="144"/>
      <c r="E212" s="144"/>
      <c r="F212" s="144"/>
      <c r="G212" s="144">
        <f t="shared" ref="G212" si="32">SUM(D212:F212)</f>
        <v>0</v>
      </c>
    </row>
    <row r="213" spans="1:257" x14ac:dyDescent="0.2">
      <c r="B213" s="77">
        <v>3</v>
      </c>
      <c r="C213" s="145" t="s">
        <v>476</v>
      </c>
      <c r="D213" s="146"/>
      <c r="E213" s="146"/>
      <c r="F213" s="146"/>
      <c r="G213" s="146">
        <f>SUM(D213:F213)</f>
        <v>0</v>
      </c>
    </row>
    <row r="214" spans="1:257" x14ac:dyDescent="0.2">
      <c r="B214" s="77">
        <v>4</v>
      </c>
      <c r="C214" s="144" t="s">
        <v>477</v>
      </c>
      <c r="D214" s="144"/>
      <c r="E214" s="144"/>
      <c r="F214" s="144"/>
      <c r="G214" s="144">
        <f t="shared" ref="G214:G217" si="33">SUM(D214:F214)</f>
        <v>0</v>
      </c>
    </row>
    <row r="215" spans="1:257" x14ac:dyDescent="0.2">
      <c r="B215" s="77">
        <v>5</v>
      </c>
      <c r="C215" s="144" t="s">
        <v>478</v>
      </c>
      <c r="D215" s="144"/>
      <c r="E215" s="144"/>
      <c r="F215" s="144"/>
      <c r="G215" s="144">
        <f t="shared" si="33"/>
        <v>0</v>
      </c>
    </row>
    <row r="216" spans="1:257" x14ac:dyDescent="0.2">
      <c r="B216" s="77">
        <v>6</v>
      </c>
      <c r="C216" s="144" t="s">
        <v>479</v>
      </c>
      <c r="D216" s="144"/>
      <c r="E216" s="144"/>
      <c r="F216" s="144"/>
      <c r="G216" s="144">
        <f t="shared" si="33"/>
        <v>0</v>
      </c>
    </row>
    <row r="217" spans="1:257" x14ac:dyDescent="0.2">
      <c r="B217" s="77">
        <v>7</v>
      </c>
      <c r="C217" s="144" t="s">
        <v>480</v>
      </c>
      <c r="D217" s="144"/>
      <c r="E217" s="144"/>
      <c r="F217" s="144"/>
      <c r="G217" s="144">
        <f t="shared" si="33"/>
        <v>0</v>
      </c>
    </row>
    <row r="218" spans="1:257" x14ac:dyDescent="0.2">
      <c r="B218" s="77">
        <v>8</v>
      </c>
      <c r="C218" s="149" t="s">
        <v>481</v>
      </c>
      <c r="D218" s="150">
        <f>D212+SUM(D214:D217)</f>
        <v>0</v>
      </c>
      <c r="E218" s="150">
        <f>E212+SUM(E214:E217)</f>
        <v>0</v>
      </c>
      <c r="F218" s="150">
        <f>F212+SUM(F214:F217)</f>
        <v>0</v>
      </c>
      <c r="G218" s="150">
        <f>G212+SUM(G214:G217)</f>
        <v>0</v>
      </c>
    </row>
    <row r="219" spans="1:257" x14ac:dyDescent="0.2">
      <c r="B219" s="77">
        <v>9</v>
      </c>
      <c r="C219" s="151" t="s">
        <v>482</v>
      </c>
      <c r="D219" s="144"/>
      <c r="E219" s="144"/>
      <c r="F219" s="144"/>
      <c r="G219" s="144">
        <f t="shared" ref="G219:G222" si="34">SUM(D219:F219)</f>
        <v>0</v>
      </c>
    </row>
    <row r="220" spans="1:257" x14ac:dyDescent="0.2">
      <c r="B220" s="77">
        <v>10</v>
      </c>
      <c r="C220" s="152" t="s">
        <v>483</v>
      </c>
      <c r="D220" s="144"/>
      <c r="E220" s="144"/>
      <c r="F220" s="144"/>
      <c r="G220" s="144">
        <f t="shared" si="34"/>
        <v>0</v>
      </c>
    </row>
    <row r="221" spans="1:257" x14ac:dyDescent="0.2">
      <c r="B221" s="77">
        <v>11</v>
      </c>
      <c r="C221" s="151" t="s">
        <v>484</v>
      </c>
      <c r="D221" s="144"/>
      <c r="E221" s="144"/>
      <c r="F221" s="144"/>
      <c r="G221" s="144">
        <f t="shared" si="34"/>
        <v>0</v>
      </c>
    </row>
    <row r="222" spans="1:257" x14ac:dyDescent="0.2">
      <c r="B222" s="77">
        <v>12</v>
      </c>
      <c r="C222" s="151" t="s">
        <v>485</v>
      </c>
      <c r="D222" s="144"/>
      <c r="E222" s="144"/>
      <c r="F222" s="144"/>
      <c r="G222" s="144">
        <f t="shared" si="34"/>
        <v>0</v>
      </c>
    </row>
    <row r="223" spans="1:257" x14ac:dyDescent="0.2">
      <c r="B223" s="77">
        <v>13</v>
      </c>
      <c r="C223" s="147" t="s">
        <v>554</v>
      </c>
      <c r="D223" s="148">
        <f>SUM(D219:D222)</f>
        <v>0</v>
      </c>
      <c r="E223" s="148">
        <f>SUM(E219:E222)</f>
        <v>0</v>
      </c>
      <c r="F223" s="148">
        <f>SUM(F219:F222)</f>
        <v>0</v>
      </c>
      <c r="G223" s="148">
        <f>SUM(G219:G222)</f>
        <v>0</v>
      </c>
    </row>
    <row r="224" spans="1:257" s="139" customFormat="1" ht="15.75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</row>
    <row r="225" spans="1:257" s="139" customFormat="1" ht="15.75" x14ac:dyDescent="0.25">
      <c r="A225" s="138"/>
      <c r="B225" s="38" t="s">
        <v>650</v>
      </c>
      <c r="C225" s="38"/>
      <c r="D225" s="522"/>
      <c r="E225" s="522"/>
      <c r="F225" s="522"/>
      <c r="G225" s="522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</row>
    <row r="226" spans="1:257" s="139" customFormat="1" ht="15.75" x14ac:dyDescent="0.25">
      <c r="A226" s="138"/>
      <c r="B226" s="138"/>
      <c r="C226" s="138"/>
      <c r="D226" s="138"/>
      <c r="E226" s="138"/>
      <c r="F226" s="523"/>
      <c r="G226" s="523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</row>
    <row r="227" spans="1:257" x14ac:dyDescent="0.2">
      <c r="B227" s="77"/>
      <c r="C227" s="77" t="s">
        <v>350</v>
      </c>
      <c r="D227" s="77" t="s">
        <v>351</v>
      </c>
      <c r="E227" s="77" t="s">
        <v>470</v>
      </c>
      <c r="F227" s="77" t="s">
        <v>471</v>
      </c>
      <c r="G227" s="77" t="s">
        <v>44</v>
      </c>
    </row>
    <row r="228" spans="1:257" x14ac:dyDescent="0.2">
      <c r="B228" s="77">
        <v>1</v>
      </c>
      <c r="C228" s="143" t="s">
        <v>559</v>
      </c>
      <c r="D228" s="143" t="str">
        <f>CONCATENATE(PAR!$H$3)</f>
        <v>2025.</v>
      </c>
      <c r="E228" s="143" t="str">
        <f>CONCATENATE(PAR!$H$7)</f>
        <v>2026.</v>
      </c>
      <c r="F228" s="143" t="str">
        <f>CONCATENATE(PAR!$H$8," után")</f>
        <v>2027. után</v>
      </c>
      <c r="G228" s="143" t="s">
        <v>474</v>
      </c>
    </row>
    <row r="229" spans="1:257" x14ac:dyDescent="0.2">
      <c r="B229" s="77">
        <v>2</v>
      </c>
      <c r="C229" s="144" t="s">
        <v>475</v>
      </c>
      <c r="D229" s="144"/>
      <c r="E229" s="144"/>
      <c r="F229" s="144"/>
      <c r="G229" s="144">
        <f t="shared" ref="G229" si="35">SUM(D229:F229)</f>
        <v>0</v>
      </c>
    </row>
    <row r="230" spans="1:257" x14ac:dyDescent="0.2">
      <c r="B230" s="77">
        <v>3</v>
      </c>
      <c r="C230" s="145" t="s">
        <v>476</v>
      </c>
      <c r="D230" s="146"/>
      <c r="E230" s="146"/>
      <c r="F230" s="146"/>
      <c r="G230" s="146">
        <f>SUM(D230:F230)</f>
        <v>0</v>
      </c>
    </row>
    <row r="231" spans="1:257" x14ac:dyDescent="0.2">
      <c r="B231" s="77">
        <v>4</v>
      </c>
      <c r="C231" s="144" t="s">
        <v>477</v>
      </c>
      <c r="D231" s="144"/>
      <c r="E231" s="144"/>
      <c r="F231" s="144"/>
      <c r="G231" s="144">
        <f t="shared" ref="G231:G234" si="36">SUM(D231:F231)</f>
        <v>0</v>
      </c>
    </row>
    <row r="232" spans="1:257" x14ac:dyDescent="0.2">
      <c r="B232" s="77">
        <v>5</v>
      </c>
      <c r="C232" s="144" t="s">
        <v>478</v>
      </c>
      <c r="D232" s="144"/>
      <c r="E232" s="144"/>
      <c r="F232" s="144"/>
      <c r="G232" s="144">
        <f t="shared" si="36"/>
        <v>0</v>
      </c>
    </row>
    <row r="233" spans="1:257" x14ac:dyDescent="0.2">
      <c r="B233" s="77">
        <v>6</v>
      </c>
      <c r="C233" s="144" t="s">
        <v>479</v>
      </c>
      <c r="D233" s="144"/>
      <c r="E233" s="144"/>
      <c r="F233" s="144"/>
      <c r="G233" s="144">
        <f t="shared" si="36"/>
        <v>0</v>
      </c>
    </row>
    <row r="234" spans="1:257" x14ac:dyDescent="0.2">
      <c r="B234" s="77">
        <v>7</v>
      </c>
      <c r="C234" s="144" t="s">
        <v>480</v>
      </c>
      <c r="D234" s="144"/>
      <c r="E234" s="144"/>
      <c r="F234" s="144"/>
      <c r="G234" s="144">
        <f t="shared" si="36"/>
        <v>0</v>
      </c>
    </row>
    <row r="235" spans="1:257" x14ac:dyDescent="0.2">
      <c r="B235" s="77">
        <v>8</v>
      </c>
      <c r="C235" s="149" t="s">
        <v>481</v>
      </c>
      <c r="D235" s="150">
        <f>D229+SUM(D231:D234)</f>
        <v>0</v>
      </c>
      <c r="E235" s="150">
        <f>E229+SUM(E231:E234)</f>
        <v>0</v>
      </c>
      <c r="F235" s="150">
        <f>F229+SUM(F231:F234)</f>
        <v>0</v>
      </c>
      <c r="G235" s="150">
        <f>G229+SUM(G231:G234)</f>
        <v>0</v>
      </c>
    </row>
    <row r="236" spans="1:257" x14ac:dyDescent="0.2">
      <c r="B236" s="77">
        <v>9</v>
      </c>
      <c r="C236" s="151" t="s">
        <v>482</v>
      </c>
      <c r="D236" s="144"/>
      <c r="E236" s="144"/>
      <c r="F236" s="144"/>
      <c r="G236" s="144">
        <f t="shared" ref="G236:G239" si="37">SUM(D236:F236)</f>
        <v>0</v>
      </c>
    </row>
    <row r="237" spans="1:257" x14ac:dyDescent="0.2">
      <c r="B237" s="77">
        <v>10</v>
      </c>
      <c r="C237" s="152" t="s">
        <v>483</v>
      </c>
      <c r="D237" s="144"/>
      <c r="E237" s="144"/>
      <c r="F237" s="144"/>
      <c r="G237" s="144">
        <f t="shared" si="37"/>
        <v>0</v>
      </c>
    </row>
    <row r="238" spans="1:257" x14ac:dyDescent="0.2">
      <c r="B238" s="77">
        <v>11</v>
      </c>
      <c r="C238" s="151" t="s">
        <v>484</v>
      </c>
      <c r="D238" s="144"/>
      <c r="E238" s="144"/>
      <c r="F238" s="144"/>
      <c r="G238" s="144">
        <f t="shared" si="37"/>
        <v>0</v>
      </c>
    </row>
    <row r="239" spans="1:257" x14ac:dyDescent="0.2">
      <c r="B239" s="77">
        <v>12</v>
      </c>
      <c r="C239" s="151" t="s">
        <v>485</v>
      </c>
      <c r="D239" s="144"/>
      <c r="E239" s="144"/>
      <c r="F239" s="144"/>
      <c r="G239" s="144">
        <f t="shared" si="37"/>
        <v>0</v>
      </c>
    </row>
    <row r="240" spans="1:257" x14ac:dyDescent="0.2">
      <c r="B240" s="77">
        <v>13</v>
      </c>
      <c r="C240" s="147" t="s">
        <v>554</v>
      </c>
      <c r="D240" s="148">
        <f>SUM(D236:D239)</f>
        <v>0</v>
      </c>
      <c r="E240" s="148">
        <f>SUM(E236:E239)</f>
        <v>0</v>
      </c>
      <c r="F240" s="148">
        <f>SUM(F236:F239)</f>
        <v>0</v>
      </c>
      <c r="G240" s="148">
        <f>SUM(G236:G239)</f>
        <v>0</v>
      </c>
    </row>
    <row r="241" spans="1:257" s="139" customFormat="1" ht="15.75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</row>
    <row r="242" spans="1:257" s="139" customFormat="1" ht="15.75" x14ac:dyDescent="0.25">
      <c r="A242" s="138"/>
      <c r="B242" s="38" t="s">
        <v>651</v>
      </c>
      <c r="C242" s="38"/>
      <c r="D242" s="522"/>
      <c r="E242" s="522"/>
      <c r="F242" s="522"/>
      <c r="G242" s="522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</row>
    <row r="243" spans="1:257" s="139" customFormat="1" ht="15.75" x14ac:dyDescent="0.25">
      <c r="A243" s="138"/>
      <c r="B243" s="138"/>
      <c r="C243" s="138"/>
      <c r="D243" s="138"/>
      <c r="E243" s="138"/>
      <c r="F243" s="523"/>
      <c r="G243" s="523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</row>
    <row r="244" spans="1:257" x14ac:dyDescent="0.2">
      <c r="B244" s="77"/>
      <c r="C244" s="77" t="s">
        <v>350</v>
      </c>
      <c r="D244" s="77" t="s">
        <v>351</v>
      </c>
      <c r="E244" s="77" t="s">
        <v>470</v>
      </c>
      <c r="F244" s="77" t="s">
        <v>471</v>
      </c>
      <c r="G244" s="77" t="s">
        <v>44</v>
      </c>
    </row>
    <row r="245" spans="1:257" x14ac:dyDescent="0.2">
      <c r="B245" s="77">
        <v>1</v>
      </c>
      <c r="C245" s="143" t="s">
        <v>559</v>
      </c>
      <c r="D245" s="143" t="str">
        <f>CONCATENATE(PAR!$H$3)</f>
        <v>2025.</v>
      </c>
      <c r="E245" s="143" t="str">
        <f>CONCATENATE(PAR!$H$7)</f>
        <v>2026.</v>
      </c>
      <c r="F245" s="143" t="str">
        <f>CONCATENATE(PAR!$H$8," után")</f>
        <v>2027. után</v>
      </c>
      <c r="G245" s="143" t="s">
        <v>474</v>
      </c>
    </row>
    <row r="246" spans="1:257" x14ac:dyDescent="0.2">
      <c r="B246" s="77">
        <v>2</v>
      </c>
      <c r="C246" s="144" t="s">
        <v>475</v>
      </c>
      <c r="D246" s="144"/>
      <c r="E246" s="144"/>
      <c r="F246" s="144"/>
      <c r="G246" s="144">
        <f t="shared" ref="G246" si="38">SUM(D246:F246)</f>
        <v>0</v>
      </c>
    </row>
    <row r="247" spans="1:257" x14ac:dyDescent="0.2">
      <c r="B247" s="77">
        <v>3</v>
      </c>
      <c r="C247" s="145" t="s">
        <v>476</v>
      </c>
      <c r="D247" s="146"/>
      <c r="E247" s="146"/>
      <c r="F247" s="146"/>
      <c r="G247" s="146">
        <f>SUM(D247:F247)</f>
        <v>0</v>
      </c>
    </row>
    <row r="248" spans="1:257" x14ac:dyDescent="0.2">
      <c r="B248" s="77">
        <v>4</v>
      </c>
      <c r="C248" s="144" t="s">
        <v>477</v>
      </c>
      <c r="D248" s="144"/>
      <c r="E248" s="144"/>
      <c r="F248" s="144"/>
      <c r="G248" s="144">
        <f t="shared" ref="G248:G251" si="39">SUM(D248:F248)</f>
        <v>0</v>
      </c>
    </row>
    <row r="249" spans="1:257" x14ac:dyDescent="0.2">
      <c r="B249" s="77">
        <v>5</v>
      </c>
      <c r="C249" s="144" t="s">
        <v>478</v>
      </c>
      <c r="D249" s="144"/>
      <c r="E249" s="144"/>
      <c r="F249" s="144"/>
      <c r="G249" s="144">
        <f t="shared" si="39"/>
        <v>0</v>
      </c>
    </row>
    <row r="250" spans="1:257" x14ac:dyDescent="0.2">
      <c r="B250" s="77">
        <v>6</v>
      </c>
      <c r="C250" s="144" t="s">
        <v>479</v>
      </c>
      <c r="D250" s="144"/>
      <c r="E250" s="144"/>
      <c r="F250" s="144"/>
      <c r="G250" s="144">
        <f t="shared" si="39"/>
        <v>0</v>
      </c>
    </row>
    <row r="251" spans="1:257" x14ac:dyDescent="0.2">
      <c r="B251" s="77">
        <v>7</v>
      </c>
      <c r="C251" s="144" t="s">
        <v>480</v>
      </c>
      <c r="D251" s="144"/>
      <c r="E251" s="144"/>
      <c r="F251" s="144"/>
      <c r="G251" s="144">
        <f t="shared" si="39"/>
        <v>0</v>
      </c>
    </row>
    <row r="252" spans="1:257" x14ac:dyDescent="0.2">
      <c r="B252" s="77">
        <v>8</v>
      </c>
      <c r="C252" s="149" t="s">
        <v>481</v>
      </c>
      <c r="D252" s="150">
        <f>D246+SUM(D248:D251)</f>
        <v>0</v>
      </c>
      <c r="E252" s="150">
        <f>E246+SUM(E248:E251)</f>
        <v>0</v>
      </c>
      <c r="F252" s="150">
        <f>F246+SUM(F248:F251)</f>
        <v>0</v>
      </c>
      <c r="G252" s="150">
        <f>G246+SUM(G248:G251)</f>
        <v>0</v>
      </c>
    </row>
    <row r="253" spans="1:257" x14ac:dyDescent="0.2">
      <c r="B253" s="77">
        <v>9</v>
      </c>
      <c r="C253" s="151" t="s">
        <v>482</v>
      </c>
      <c r="D253" s="144"/>
      <c r="E253" s="144"/>
      <c r="F253" s="144"/>
      <c r="G253" s="144">
        <f t="shared" ref="G253:G256" si="40">SUM(D253:F253)</f>
        <v>0</v>
      </c>
    </row>
    <row r="254" spans="1:257" x14ac:dyDescent="0.2">
      <c r="B254" s="77">
        <v>10</v>
      </c>
      <c r="C254" s="152" t="s">
        <v>483</v>
      </c>
      <c r="D254" s="144"/>
      <c r="E254" s="144"/>
      <c r="F254" s="144"/>
      <c r="G254" s="144">
        <f t="shared" si="40"/>
        <v>0</v>
      </c>
    </row>
    <row r="255" spans="1:257" x14ac:dyDescent="0.2">
      <c r="B255" s="77">
        <v>11</v>
      </c>
      <c r="C255" s="151" t="s">
        <v>484</v>
      </c>
      <c r="D255" s="144"/>
      <c r="E255" s="144"/>
      <c r="F255" s="144"/>
      <c r="G255" s="144">
        <f t="shared" si="40"/>
        <v>0</v>
      </c>
    </row>
    <row r="256" spans="1:257" x14ac:dyDescent="0.2">
      <c r="B256" s="77">
        <v>12</v>
      </c>
      <c r="C256" s="151" t="s">
        <v>485</v>
      </c>
      <c r="D256" s="144"/>
      <c r="E256" s="144"/>
      <c r="F256" s="144"/>
      <c r="G256" s="144">
        <f t="shared" si="40"/>
        <v>0</v>
      </c>
    </row>
    <row r="257" spans="1:257" x14ac:dyDescent="0.2">
      <c r="B257" s="77">
        <v>13</v>
      </c>
      <c r="C257" s="147" t="s">
        <v>554</v>
      </c>
      <c r="D257" s="148">
        <f>SUM(D253:D256)</f>
        <v>0</v>
      </c>
      <c r="E257" s="148">
        <f>SUM(E253:E256)</f>
        <v>0</v>
      </c>
      <c r="F257" s="148">
        <f>SUM(F253:F256)</f>
        <v>0</v>
      </c>
      <c r="G257" s="148">
        <f>SUM(G253:G256)</f>
        <v>0</v>
      </c>
    </row>
    <row r="258" spans="1:257" s="139" customFormat="1" ht="15.75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</row>
    <row r="259" spans="1:257" s="139" customFormat="1" ht="15.75" x14ac:dyDescent="0.25">
      <c r="A259" s="138"/>
      <c r="B259" s="38" t="s">
        <v>652</v>
      </c>
      <c r="C259" s="38"/>
      <c r="D259" s="522"/>
      <c r="E259" s="522"/>
      <c r="F259" s="522"/>
      <c r="G259" s="522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</row>
    <row r="260" spans="1:257" s="139" customFormat="1" ht="15.75" x14ac:dyDescent="0.25">
      <c r="A260" s="138"/>
      <c r="B260" s="138"/>
      <c r="C260" s="138"/>
      <c r="D260" s="138"/>
      <c r="E260" s="138"/>
      <c r="F260" s="523"/>
      <c r="G260" s="523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</row>
    <row r="261" spans="1:257" x14ac:dyDescent="0.2">
      <c r="B261" s="77"/>
      <c r="C261" s="77" t="s">
        <v>350</v>
      </c>
      <c r="D261" s="77" t="s">
        <v>351</v>
      </c>
      <c r="E261" s="77" t="s">
        <v>470</v>
      </c>
      <c r="F261" s="77" t="s">
        <v>471</v>
      </c>
      <c r="G261" s="77" t="s">
        <v>44</v>
      </c>
    </row>
    <row r="262" spans="1:257" x14ac:dyDescent="0.2">
      <c r="B262" s="77">
        <v>1</v>
      </c>
      <c r="C262" s="143" t="s">
        <v>559</v>
      </c>
      <c r="D262" s="143" t="str">
        <f>CONCATENATE(PAR!$H$3)</f>
        <v>2025.</v>
      </c>
      <c r="E262" s="143" t="str">
        <f>CONCATENATE(PAR!$H$7)</f>
        <v>2026.</v>
      </c>
      <c r="F262" s="143" t="str">
        <f>CONCATENATE(PAR!$H$8," után")</f>
        <v>2027. után</v>
      </c>
      <c r="G262" s="143" t="s">
        <v>474</v>
      </c>
    </row>
    <row r="263" spans="1:257" x14ac:dyDescent="0.2">
      <c r="B263" s="77">
        <v>2</v>
      </c>
      <c r="C263" s="144" t="s">
        <v>475</v>
      </c>
      <c r="D263" s="144"/>
      <c r="E263" s="144"/>
      <c r="F263" s="144"/>
      <c r="G263" s="144">
        <f t="shared" ref="G263" si="41">SUM(D263:F263)</f>
        <v>0</v>
      </c>
    </row>
    <row r="264" spans="1:257" x14ac:dyDescent="0.2">
      <c r="B264" s="77">
        <v>3</v>
      </c>
      <c r="C264" s="145" t="s">
        <v>476</v>
      </c>
      <c r="D264" s="146"/>
      <c r="E264" s="146"/>
      <c r="F264" s="146"/>
      <c r="G264" s="146">
        <f>SUM(D264:F264)</f>
        <v>0</v>
      </c>
    </row>
    <row r="265" spans="1:257" x14ac:dyDescent="0.2">
      <c r="B265" s="77">
        <v>4</v>
      </c>
      <c r="C265" s="144" t="s">
        <v>477</v>
      </c>
      <c r="D265" s="144"/>
      <c r="E265" s="144"/>
      <c r="F265" s="144"/>
      <c r="G265" s="144">
        <f t="shared" ref="G265:G268" si="42">SUM(D265:F265)</f>
        <v>0</v>
      </c>
    </row>
    <row r="266" spans="1:257" x14ac:dyDescent="0.2">
      <c r="B266" s="77">
        <v>5</v>
      </c>
      <c r="C266" s="144" t="s">
        <v>478</v>
      </c>
      <c r="D266" s="144"/>
      <c r="E266" s="144"/>
      <c r="F266" s="144"/>
      <c r="G266" s="144">
        <f t="shared" si="42"/>
        <v>0</v>
      </c>
    </row>
    <row r="267" spans="1:257" x14ac:dyDescent="0.2">
      <c r="B267" s="77">
        <v>6</v>
      </c>
      <c r="C267" s="144" t="s">
        <v>479</v>
      </c>
      <c r="D267" s="144"/>
      <c r="E267" s="144"/>
      <c r="F267" s="144"/>
      <c r="G267" s="144">
        <f t="shared" si="42"/>
        <v>0</v>
      </c>
    </row>
    <row r="268" spans="1:257" x14ac:dyDescent="0.2">
      <c r="B268" s="77">
        <v>7</v>
      </c>
      <c r="C268" s="144" t="s">
        <v>480</v>
      </c>
      <c r="D268" s="144"/>
      <c r="E268" s="144"/>
      <c r="F268" s="144"/>
      <c r="G268" s="144">
        <f t="shared" si="42"/>
        <v>0</v>
      </c>
    </row>
    <row r="269" spans="1:257" x14ac:dyDescent="0.2">
      <c r="B269" s="77">
        <v>8</v>
      </c>
      <c r="C269" s="149" t="s">
        <v>481</v>
      </c>
      <c r="D269" s="150">
        <f>D263+SUM(D265:D268)</f>
        <v>0</v>
      </c>
      <c r="E269" s="150">
        <f>E263+SUM(E265:E268)</f>
        <v>0</v>
      </c>
      <c r="F269" s="150">
        <f>F263+SUM(F265:F268)</f>
        <v>0</v>
      </c>
      <c r="G269" s="150">
        <f>G263+SUM(G265:G268)</f>
        <v>0</v>
      </c>
    </row>
    <row r="270" spans="1:257" x14ac:dyDescent="0.2">
      <c r="B270" s="77">
        <v>9</v>
      </c>
      <c r="C270" s="151" t="s">
        <v>482</v>
      </c>
      <c r="D270" s="144"/>
      <c r="E270" s="144"/>
      <c r="F270" s="144"/>
      <c r="G270" s="144">
        <f t="shared" ref="G270:G273" si="43">SUM(D270:F270)</f>
        <v>0</v>
      </c>
    </row>
    <row r="271" spans="1:257" x14ac:dyDescent="0.2">
      <c r="B271" s="77">
        <v>10</v>
      </c>
      <c r="C271" s="152" t="s">
        <v>483</v>
      </c>
      <c r="D271" s="144"/>
      <c r="E271" s="144"/>
      <c r="F271" s="144"/>
      <c r="G271" s="144">
        <f t="shared" si="43"/>
        <v>0</v>
      </c>
    </row>
    <row r="272" spans="1:257" x14ac:dyDescent="0.2">
      <c r="B272" s="77">
        <v>11</v>
      </c>
      <c r="C272" s="151" t="s">
        <v>484</v>
      </c>
      <c r="D272" s="144"/>
      <c r="E272" s="144"/>
      <c r="F272" s="144"/>
      <c r="G272" s="144">
        <f t="shared" si="43"/>
        <v>0</v>
      </c>
    </row>
    <row r="273" spans="1:257" x14ac:dyDescent="0.2">
      <c r="B273" s="77">
        <v>12</v>
      </c>
      <c r="C273" s="151" t="s">
        <v>485</v>
      </c>
      <c r="D273" s="144"/>
      <c r="E273" s="144"/>
      <c r="F273" s="144"/>
      <c r="G273" s="144">
        <f t="shared" si="43"/>
        <v>0</v>
      </c>
    </row>
    <row r="274" spans="1:257" x14ac:dyDescent="0.2">
      <c r="B274" s="77">
        <v>13</v>
      </c>
      <c r="C274" s="147" t="s">
        <v>554</v>
      </c>
      <c r="D274" s="148">
        <f>SUM(D270:D273)</f>
        <v>0</v>
      </c>
      <c r="E274" s="148">
        <f>SUM(E270:E273)</f>
        <v>0</v>
      </c>
      <c r="F274" s="148">
        <f>SUM(F270:F273)</f>
        <v>0</v>
      </c>
      <c r="G274" s="148">
        <f>SUM(G270:G273)</f>
        <v>0</v>
      </c>
    </row>
    <row r="275" spans="1:257" s="139" customFormat="1" ht="15.75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</row>
    <row r="276" spans="1:257" s="139" customFormat="1" ht="15.75" x14ac:dyDescent="0.25">
      <c r="A276" s="138"/>
      <c r="B276" s="38" t="s">
        <v>653</v>
      </c>
      <c r="C276" s="38"/>
      <c r="D276" s="522"/>
      <c r="E276" s="522"/>
      <c r="F276" s="522"/>
      <c r="G276" s="522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</row>
    <row r="277" spans="1:257" s="139" customFormat="1" ht="15.75" x14ac:dyDescent="0.25">
      <c r="A277" s="138"/>
      <c r="B277" s="138"/>
      <c r="C277" s="138"/>
      <c r="D277" s="138"/>
      <c r="E277" s="138"/>
      <c r="F277" s="523"/>
      <c r="G277" s="523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</row>
    <row r="278" spans="1:257" x14ac:dyDescent="0.2">
      <c r="B278" s="77"/>
      <c r="C278" s="77" t="s">
        <v>350</v>
      </c>
      <c r="D278" s="77" t="s">
        <v>351</v>
      </c>
      <c r="E278" s="77" t="s">
        <v>470</v>
      </c>
      <c r="F278" s="77" t="s">
        <v>471</v>
      </c>
      <c r="G278" s="77" t="s">
        <v>44</v>
      </c>
    </row>
    <row r="279" spans="1:257" x14ac:dyDescent="0.2">
      <c r="B279" s="77">
        <v>1</v>
      </c>
      <c r="C279" s="143" t="s">
        <v>559</v>
      </c>
      <c r="D279" s="143" t="str">
        <f>CONCATENATE(PAR!$H$3)</f>
        <v>2025.</v>
      </c>
      <c r="E279" s="143" t="str">
        <f>CONCATENATE(PAR!$H$7)</f>
        <v>2026.</v>
      </c>
      <c r="F279" s="143" t="str">
        <f>CONCATENATE(PAR!$H$8," után")</f>
        <v>2027. után</v>
      </c>
      <c r="G279" s="143" t="s">
        <v>474</v>
      </c>
    </row>
    <row r="280" spans="1:257" x14ac:dyDescent="0.2">
      <c r="B280" s="77">
        <v>2</v>
      </c>
      <c r="C280" s="144" t="s">
        <v>475</v>
      </c>
      <c r="D280" s="144"/>
      <c r="E280" s="144"/>
      <c r="F280" s="144"/>
      <c r="G280" s="144">
        <f t="shared" ref="G280" si="44">SUM(D280:F280)</f>
        <v>0</v>
      </c>
    </row>
    <row r="281" spans="1:257" x14ac:dyDescent="0.2">
      <c r="B281" s="77">
        <v>3</v>
      </c>
      <c r="C281" s="145" t="s">
        <v>476</v>
      </c>
      <c r="D281" s="146"/>
      <c r="E281" s="146"/>
      <c r="F281" s="146"/>
      <c r="G281" s="146">
        <f>SUM(D281:F281)</f>
        <v>0</v>
      </c>
    </row>
    <row r="282" spans="1:257" x14ac:dyDescent="0.2">
      <c r="B282" s="77">
        <v>4</v>
      </c>
      <c r="C282" s="144" t="s">
        <v>477</v>
      </c>
      <c r="D282" s="144"/>
      <c r="E282" s="144"/>
      <c r="F282" s="144"/>
      <c r="G282" s="144">
        <f t="shared" ref="G282:G285" si="45">SUM(D282:F282)</f>
        <v>0</v>
      </c>
    </row>
    <row r="283" spans="1:257" x14ac:dyDescent="0.2">
      <c r="B283" s="77">
        <v>5</v>
      </c>
      <c r="C283" s="144" t="s">
        <v>478</v>
      </c>
      <c r="D283" s="144"/>
      <c r="E283" s="144"/>
      <c r="F283" s="144"/>
      <c r="G283" s="144">
        <f t="shared" si="45"/>
        <v>0</v>
      </c>
    </row>
    <row r="284" spans="1:257" x14ac:dyDescent="0.2">
      <c r="B284" s="77">
        <v>6</v>
      </c>
      <c r="C284" s="144" t="s">
        <v>479</v>
      </c>
      <c r="D284" s="144"/>
      <c r="E284" s="144"/>
      <c r="F284" s="144"/>
      <c r="G284" s="144">
        <f t="shared" si="45"/>
        <v>0</v>
      </c>
    </row>
    <row r="285" spans="1:257" x14ac:dyDescent="0.2">
      <c r="B285" s="77">
        <v>7</v>
      </c>
      <c r="C285" s="144" t="s">
        <v>480</v>
      </c>
      <c r="D285" s="144"/>
      <c r="E285" s="144"/>
      <c r="F285" s="144"/>
      <c r="G285" s="144">
        <f t="shared" si="45"/>
        <v>0</v>
      </c>
    </row>
    <row r="286" spans="1:257" x14ac:dyDescent="0.2">
      <c r="B286" s="77">
        <v>8</v>
      </c>
      <c r="C286" s="149" t="s">
        <v>481</v>
      </c>
      <c r="D286" s="150">
        <f>D280+SUM(D282:D285)</f>
        <v>0</v>
      </c>
      <c r="E286" s="150">
        <f>E280+SUM(E282:E285)</f>
        <v>0</v>
      </c>
      <c r="F286" s="150">
        <f>F280+SUM(F282:F285)</f>
        <v>0</v>
      </c>
      <c r="G286" s="150">
        <f>G280+SUM(G282:G285)</f>
        <v>0</v>
      </c>
    </row>
    <row r="287" spans="1:257" x14ac:dyDescent="0.2">
      <c r="B287" s="77">
        <v>9</v>
      </c>
      <c r="C287" s="151" t="s">
        <v>482</v>
      </c>
      <c r="D287" s="144"/>
      <c r="E287" s="144"/>
      <c r="F287" s="144"/>
      <c r="G287" s="144">
        <f t="shared" ref="G287:G290" si="46">SUM(D287:F287)</f>
        <v>0</v>
      </c>
    </row>
    <row r="288" spans="1:257" x14ac:dyDescent="0.2">
      <c r="B288" s="77">
        <v>10</v>
      </c>
      <c r="C288" s="152" t="s">
        <v>483</v>
      </c>
      <c r="D288" s="144"/>
      <c r="E288" s="144"/>
      <c r="F288" s="144"/>
      <c r="G288" s="144">
        <f t="shared" si="46"/>
        <v>0</v>
      </c>
    </row>
    <row r="289" spans="1:257" x14ac:dyDescent="0.2">
      <c r="B289" s="77">
        <v>11</v>
      </c>
      <c r="C289" s="151" t="s">
        <v>484</v>
      </c>
      <c r="D289" s="144"/>
      <c r="E289" s="144"/>
      <c r="F289" s="144"/>
      <c r="G289" s="144">
        <f t="shared" si="46"/>
        <v>0</v>
      </c>
    </row>
    <row r="290" spans="1:257" x14ac:dyDescent="0.2">
      <c r="B290" s="77">
        <v>12</v>
      </c>
      <c r="C290" s="151" t="s">
        <v>485</v>
      </c>
      <c r="D290" s="144"/>
      <c r="E290" s="144"/>
      <c r="F290" s="144"/>
      <c r="G290" s="144">
        <f t="shared" si="46"/>
        <v>0</v>
      </c>
    </row>
    <row r="291" spans="1:257" x14ac:dyDescent="0.2">
      <c r="B291" s="77">
        <v>13</v>
      </c>
      <c r="C291" s="147" t="s">
        <v>554</v>
      </c>
      <c r="D291" s="148">
        <f>SUM(D287:D290)</f>
        <v>0</v>
      </c>
      <c r="E291" s="148">
        <f>SUM(E287:E290)</f>
        <v>0</v>
      </c>
      <c r="F291" s="148">
        <f>SUM(F287:F290)</f>
        <v>0</v>
      </c>
      <c r="G291" s="148">
        <f>SUM(G287:G290)</f>
        <v>0</v>
      </c>
    </row>
    <row r="292" spans="1:257" s="139" customFormat="1" ht="15.75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</row>
    <row r="293" spans="1:257" s="139" customFormat="1" ht="15.75" x14ac:dyDescent="0.25">
      <c r="A293" s="138"/>
      <c r="B293" s="38" t="s">
        <v>654</v>
      </c>
      <c r="C293" s="38"/>
      <c r="D293" s="522"/>
      <c r="E293" s="522"/>
      <c r="F293" s="522"/>
      <c r="G293" s="522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</row>
    <row r="294" spans="1:257" s="139" customFormat="1" ht="15.75" x14ac:dyDescent="0.25">
      <c r="A294" s="138"/>
      <c r="B294" s="138"/>
      <c r="C294" s="138"/>
      <c r="D294" s="138"/>
      <c r="E294" s="138"/>
      <c r="F294" s="523"/>
      <c r="G294" s="523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</row>
    <row r="295" spans="1:257" x14ac:dyDescent="0.2">
      <c r="B295" s="77"/>
      <c r="C295" s="77" t="s">
        <v>350</v>
      </c>
      <c r="D295" s="77" t="s">
        <v>351</v>
      </c>
      <c r="E295" s="77" t="s">
        <v>470</v>
      </c>
      <c r="F295" s="77" t="s">
        <v>471</v>
      </c>
      <c r="G295" s="77" t="s">
        <v>44</v>
      </c>
    </row>
    <row r="296" spans="1:257" x14ac:dyDescent="0.2">
      <c r="B296" s="77">
        <v>1</v>
      </c>
      <c r="C296" s="143" t="s">
        <v>559</v>
      </c>
      <c r="D296" s="143" t="str">
        <f>CONCATENATE(PAR!$H$3)</f>
        <v>2025.</v>
      </c>
      <c r="E296" s="143" t="str">
        <f>CONCATENATE(PAR!$H$7)</f>
        <v>2026.</v>
      </c>
      <c r="F296" s="143" t="str">
        <f>CONCATENATE(PAR!$H$8," után")</f>
        <v>2027. után</v>
      </c>
      <c r="G296" s="143" t="s">
        <v>474</v>
      </c>
    </row>
    <row r="297" spans="1:257" x14ac:dyDescent="0.2">
      <c r="B297" s="77">
        <v>2</v>
      </c>
      <c r="C297" s="144" t="s">
        <v>475</v>
      </c>
      <c r="D297" s="144"/>
      <c r="E297" s="144"/>
      <c r="F297" s="144"/>
      <c r="G297" s="144">
        <f t="shared" ref="G297" si="47">SUM(D297:F297)</f>
        <v>0</v>
      </c>
    </row>
    <row r="298" spans="1:257" x14ac:dyDescent="0.2">
      <c r="B298" s="77">
        <v>3</v>
      </c>
      <c r="C298" s="145" t="s">
        <v>476</v>
      </c>
      <c r="D298" s="146"/>
      <c r="E298" s="146"/>
      <c r="F298" s="146"/>
      <c r="G298" s="146">
        <f>SUM(D298:F298)</f>
        <v>0</v>
      </c>
    </row>
    <row r="299" spans="1:257" x14ac:dyDescent="0.2">
      <c r="B299" s="77">
        <v>4</v>
      </c>
      <c r="C299" s="144" t="s">
        <v>477</v>
      </c>
      <c r="D299" s="144"/>
      <c r="E299" s="144"/>
      <c r="F299" s="144"/>
      <c r="G299" s="144">
        <f t="shared" ref="G299:G302" si="48">SUM(D299:F299)</f>
        <v>0</v>
      </c>
    </row>
    <row r="300" spans="1:257" x14ac:dyDescent="0.2">
      <c r="B300" s="77">
        <v>5</v>
      </c>
      <c r="C300" s="144" t="s">
        <v>478</v>
      </c>
      <c r="D300" s="144"/>
      <c r="E300" s="144"/>
      <c r="F300" s="144"/>
      <c r="G300" s="144">
        <f t="shared" si="48"/>
        <v>0</v>
      </c>
    </row>
    <row r="301" spans="1:257" x14ac:dyDescent="0.2">
      <c r="B301" s="77">
        <v>6</v>
      </c>
      <c r="C301" s="144" t="s">
        <v>479</v>
      </c>
      <c r="D301" s="144"/>
      <c r="E301" s="144"/>
      <c r="F301" s="144"/>
      <c r="G301" s="144">
        <f t="shared" si="48"/>
        <v>0</v>
      </c>
    </row>
    <row r="302" spans="1:257" x14ac:dyDescent="0.2">
      <c r="B302" s="77">
        <v>7</v>
      </c>
      <c r="C302" s="144" t="s">
        <v>480</v>
      </c>
      <c r="D302" s="144"/>
      <c r="E302" s="144"/>
      <c r="F302" s="144"/>
      <c r="G302" s="144">
        <f t="shared" si="48"/>
        <v>0</v>
      </c>
    </row>
    <row r="303" spans="1:257" x14ac:dyDescent="0.2">
      <c r="B303" s="77">
        <v>8</v>
      </c>
      <c r="C303" s="149" t="s">
        <v>481</v>
      </c>
      <c r="D303" s="150">
        <f>D297+SUM(D299:D302)</f>
        <v>0</v>
      </c>
      <c r="E303" s="150">
        <f>E297+SUM(E299:E302)</f>
        <v>0</v>
      </c>
      <c r="F303" s="150">
        <f>F297+SUM(F299:F302)</f>
        <v>0</v>
      </c>
      <c r="G303" s="150">
        <f>G297+SUM(G299:G302)</f>
        <v>0</v>
      </c>
    </row>
    <row r="304" spans="1:257" x14ac:dyDescent="0.2">
      <c r="B304" s="77">
        <v>9</v>
      </c>
      <c r="C304" s="151" t="s">
        <v>482</v>
      </c>
      <c r="D304" s="144"/>
      <c r="E304" s="144"/>
      <c r="F304" s="144"/>
      <c r="G304" s="144">
        <f t="shared" ref="G304:G307" si="49">SUM(D304:F304)</f>
        <v>0</v>
      </c>
    </row>
    <row r="305" spans="1:257" x14ac:dyDescent="0.2">
      <c r="B305" s="77">
        <v>10</v>
      </c>
      <c r="C305" s="152" t="s">
        <v>483</v>
      </c>
      <c r="D305" s="144"/>
      <c r="E305" s="144"/>
      <c r="F305" s="144"/>
      <c r="G305" s="144">
        <f t="shared" si="49"/>
        <v>0</v>
      </c>
    </row>
    <row r="306" spans="1:257" x14ac:dyDescent="0.2">
      <c r="B306" s="77">
        <v>11</v>
      </c>
      <c r="C306" s="151" t="s">
        <v>484</v>
      </c>
      <c r="D306" s="144"/>
      <c r="E306" s="144"/>
      <c r="F306" s="144"/>
      <c r="G306" s="144">
        <f t="shared" si="49"/>
        <v>0</v>
      </c>
    </row>
    <row r="307" spans="1:257" x14ac:dyDescent="0.2">
      <c r="B307" s="77">
        <v>12</v>
      </c>
      <c r="C307" s="151" t="s">
        <v>485</v>
      </c>
      <c r="D307" s="144"/>
      <c r="E307" s="144"/>
      <c r="F307" s="144"/>
      <c r="G307" s="144">
        <f t="shared" si="49"/>
        <v>0</v>
      </c>
    </row>
    <row r="308" spans="1:257" x14ac:dyDescent="0.2">
      <c r="B308" s="77">
        <v>13</v>
      </c>
      <c r="C308" s="147" t="s">
        <v>554</v>
      </c>
      <c r="D308" s="148">
        <f>SUM(D304:D307)</f>
        <v>0</v>
      </c>
      <c r="E308" s="148">
        <f>SUM(E304:E307)</f>
        <v>0</v>
      </c>
      <c r="F308" s="148">
        <f>SUM(F304:F307)</f>
        <v>0</v>
      </c>
      <c r="G308" s="148">
        <f>SUM(G304:G307)</f>
        <v>0</v>
      </c>
    </row>
    <row r="309" spans="1:257" s="139" customFormat="1" ht="15.75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</row>
    <row r="310" spans="1:257" s="139" customFormat="1" ht="15.75" x14ac:dyDescent="0.25">
      <c r="A310" s="138"/>
      <c r="B310" s="38" t="s">
        <v>655</v>
      </c>
      <c r="C310" s="38"/>
      <c r="D310" s="522"/>
      <c r="E310" s="522"/>
      <c r="F310" s="522"/>
      <c r="G310" s="522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</row>
    <row r="311" spans="1:257" s="139" customFormat="1" ht="15.75" x14ac:dyDescent="0.25">
      <c r="A311" s="138"/>
      <c r="B311" s="138"/>
      <c r="C311" s="138"/>
      <c r="D311" s="138"/>
      <c r="E311" s="138"/>
      <c r="F311" s="523"/>
      <c r="G311" s="523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</row>
    <row r="312" spans="1:257" x14ac:dyDescent="0.2">
      <c r="B312" s="77"/>
      <c r="C312" s="77" t="s">
        <v>350</v>
      </c>
      <c r="D312" s="77" t="s">
        <v>351</v>
      </c>
      <c r="E312" s="77" t="s">
        <v>470</v>
      </c>
      <c r="F312" s="77" t="s">
        <v>471</v>
      </c>
      <c r="G312" s="77" t="s">
        <v>44</v>
      </c>
    </row>
    <row r="313" spans="1:257" x14ac:dyDescent="0.2">
      <c r="B313" s="77">
        <v>1</v>
      </c>
      <c r="C313" s="143" t="s">
        <v>559</v>
      </c>
      <c r="D313" s="143" t="str">
        <f>CONCATENATE(PAR!$H$3)</f>
        <v>2025.</v>
      </c>
      <c r="E313" s="143" t="str">
        <f>CONCATENATE(PAR!$H$7)</f>
        <v>2026.</v>
      </c>
      <c r="F313" s="143" t="str">
        <f>CONCATENATE(PAR!$H$8," után")</f>
        <v>2027. után</v>
      </c>
      <c r="G313" s="143" t="s">
        <v>474</v>
      </c>
    </row>
    <row r="314" spans="1:257" x14ac:dyDescent="0.2">
      <c r="B314" s="77">
        <v>2</v>
      </c>
      <c r="C314" s="144" t="s">
        <v>475</v>
      </c>
      <c r="D314" s="144"/>
      <c r="E314" s="144"/>
      <c r="F314" s="144"/>
      <c r="G314" s="144">
        <f t="shared" ref="G314" si="50">SUM(D314:F314)</f>
        <v>0</v>
      </c>
    </row>
    <row r="315" spans="1:257" x14ac:dyDescent="0.2">
      <c r="B315" s="77">
        <v>3</v>
      </c>
      <c r="C315" s="145" t="s">
        <v>476</v>
      </c>
      <c r="D315" s="146"/>
      <c r="E315" s="146"/>
      <c r="F315" s="146"/>
      <c r="G315" s="146">
        <f>SUM(D315:F315)</f>
        <v>0</v>
      </c>
    </row>
    <row r="316" spans="1:257" x14ac:dyDescent="0.2">
      <c r="B316" s="77">
        <v>4</v>
      </c>
      <c r="C316" s="144" t="s">
        <v>477</v>
      </c>
      <c r="D316" s="144"/>
      <c r="E316" s="144"/>
      <c r="F316" s="144"/>
      <c r="G316" s="144">
        <f t="shared" ref="G316:G319" si="51">SUM(D316:F316)</f>
        <v>0</v>
      </c>
    </row>
    <row r="317" spans="1:257" x14ac:dyDescent="0.2">
      <c r="B317" s="77">
        <v>5</v>
      </c>
      <c r="C317" s="144" t="s">
        <v>478</v>
      </c>
      <c r="D317" s="144"/>
      <c r="E317" s="144"/>
      <c r="F317" s="144"/>
      <c r="G317" s="144">
        <f t="shared" si="51"/>
        <v>0</v>
      </c>
    </row>
    <row r="318" spans="1:257" x14ac:dyDescent="0.2">
      <c r="B318" s="77">
        <v>6</v>
      </c>
      <c r="C318" s="144" t="s">
        <v>479</v>
      </c>
      <c r="D318" s="144"/>
      <c r="E318" s="144"/>
      <c r="F318" s="144"/>
      <c r="G318" s="144">
        <f t="shared" si="51"/>
        <v>0</v>
      </c>
    </row>
    <row r="319" spans="1:257" x14ac:dyDescent="0.2">
      <c r="B319" s="77">
        <v>7</v>
      </c>
      <c r="C319" s="144" t="s">
        <v>480</v>
      </c>
      <c r="D319" s="144"/>
      <c r="E319" s="144"/>
      <c r="F319" s="144"/>
      <c r="G319" s="144">
        <f t="shared" si="51"/>
        <v>0</v>
      </c>
    </row>
    <row r="320" spans="1:257" x14ac:dyDescent="0.2">
      <c r="B320" s="77">
        <v>8</v>
      </c>
      <c r="C320" s="149" t="s">
        <v>481</v>
      </c>
      <c r="D320" s="150">
        <f>D314+SUM(D316:D319)</f>
        <v>0</v>
      </c>
      <c r="E320" s="150">
        <f>E314+SUM(E316:E319)</f>
        <v>0</v>
      </c>
      <c r="F320" s="150">
        <f>F314+SUM(F316:F319)</f>
        <v>0</v>
      </c>
      <c r="G320" s="150">
        <f>G314+SUM(G316:G319)</f>
        <v>0</v>
      </c>
    </row>
    <row r="321" spans="1:257" x14ac:dyDescent="0.2">
      <c r="B321" s="77">
        <v>9</v>
      </c>
      <c r="C321" s="151" t="s">
        <v>482</v>
      </c>
      <c r="D321" s="144"/>
      <c r="E321" s="144"/>
      <c r="F321" s="144"/>
      <c r="G321" s="144">
        <f t="shared" ref="G321:G324" si="52">SUM(D321:F321)</f>
        <v>0</v>
      </c>
    </row>
    <row r="322" spans="1:257" x14ac:dyDescent="0.2">
      <c r="B322" s="77">
        <v>10</v>
      </c>
      <c r="C322" s="152" t="s">
        <v>483</v>
      </c>
      <c r="D322" s="144"/>
      <c r="E322" s="144"/>
      <c r="F322" s="144"/>
      <c r="G322" s="144">
        <f t="shared" si="52"/>
        <v>0</v>
      </c>
    </row>
    <row r="323" spans="1:257" x14ac:dyDescent="0.2">
      <c r="B323" s="77">
        <v>11</v>
      </c>
      <c r="C323" s="151" t="s">
        <v>484</v>
      </c>
      <c r="D323" s="144"/>
      <c r="E323" s="144"/>
      <c r="F323" s="144"/>
      <c r="G323" s="144">
        <f t="shared" si="52"/>
        <v>0</v>
      </c>
    </row>
    <row r="324" spans="1:257" x14ac:dyDescent="0.2">
      <c r="B324" s="77">
        <v>12</v>
      </c>
      <c r="C324" s="151" t="s">
        <v>485</v>
      </c>
      <c r="D324" s="144"/>
      <c r="E324" s="144"/>
      <c r="F324" s="144"/>
      <c r="G324" s="144">
        <f t="shared" si="52"/>
        <v>0</v>
      </c>
    </row>
    <row r="325" spans="1:257" x14ac:dyDescent="0.2">
      <c r="B325" s="77">
        <v>13</v>
      </c>
      <c r="C325" s="147" t="s">
        <v>554</v>
      </c>
      <c r="D325" s="148">
        <f>SUM(D321:D324)</f>
        <v>0</v>
      </c>
      <c r="E325" s="148">
        <f>SUM(E321:E324)</f>
        <v>0</v>
      </c>
      <c r="F325" s="148">
        <f>SUM(F321:F324)</f>
        <v>0</v>
      </c>
      <c r="G325" s="148">
        <f>SUM(G321:G324)</f>
        <v>0</v>
      </c>
    </row>
    <row r="326" spans="1:257" s="139" customFormat="1" ht="15.75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</row>
    <row r="327" spans="1:257" s="139" customFormat="1" ht="15.75" x14ac:dyDescent="0.25">
      <c r="A327" s="138"/>
      <c r="B327" s="38" t="s">
        <v>656</v>
      </c>
      <c r="C327" s="38"/>
      <c r="D327" s="522"/>
      <c r="E327" s="522"/>
      <c r="F327" s="522"/>
      <c r="G327" s="522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</row>
    <row r="328" spans="1:257" s="139" customFormat="1" ht="15.75" x14ac:dyDescent="0.25">
      <c r="A328" s="138"/>
      <c r="B328" s="138"/>
      <c r="C328" s="138"/>
      <c r="D328" s="138"/>
      <c r="E328" s="138"/>
      <c r="F328" s="523"/>
      <c r="G328" s="523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</row>
    <row r="329" spans="1:257" x14ac:dyDescent="0.2">
      <c r="B329" s="77"/>
      <c r="C329" s="77" t="s">
        <v>350</v>
      </c>
      <c r="D329" s="77" t="s">
        <v>351</v>
      </c>
      <c r="E329" s="77" t="s">
        <v>470</v>
      </c>
      <c r="F329" s="77" t="s">
        <v>471</v>
      </c>
      <c r="G329" s="77" t="s">
        <v>44</v>
      </c>
    </row>
    <row r="330" spans="1:257" x14ac:dyDescent="0.2">
      <c r="B330" s="77">
        <v>1</v>
      </c>
      <c r="C330" s="143" t="s">
        <v>559</v>
      </c>
      <c r="D330" s="143" t="str">
        <f>CONCATENATE(PAR!$H$3)</f>
        <v>2025.</v>
      </c>
      <c r="E330" s="143" t="str">
        <f>CONCATENATE(PAR!$H$7)</f>
        <v>2026.</v>
      </c>
      <c r="F330" s="143" t="str">
        <f>CONCATENATE(PAR!$H$8," után")</f>
        <v>2027. után</v>
      </c>
      <c r="G330" s="143" t="s">
        <v>474</v>
      </c>
    </row>
    <row r="331" spans="1:257" x14ac:dyDescent="0.2">
      <c r="B331" s="77">
        <v>2</v>
      </c>
      <c r="C331" s="144" t="s">
        <v>475</v>
      </c>
      <c r="D331" s="144"/>
      <c r="E331" s="144"/>
      <c r="F331" s="144"/>
      <c r="G331" s="144">
        <f t="shared" ref="G331" si="53">SUM(D331:F331)</f>
        <v>0</v>
      </c>
    </row>
    <row r="332" spans="1:257" x14ac:dyDescent="0.2">
      <c r="B332" s="77">
        <v>3</v>
      </c>
      <c r="C332" s="145" t="s">
        <v>476</v>
      </c>
      <c r="D332" s="146"/>
      <c r="E332" s="146"/>
      <c r="F332" s="146"/>
      <c r="G332" s="146">
        <f>SUM(D332:F332)</f>
        <v>0</v>
      </c>
    </row>
    <row r="333" spans="1:257" x14ac:dyDescent="0.2">
      <c r="B333" s="77">
        <v>4</v>
      </c>
      <c r="C333" s="144" t="s">
        <v>477</v>
      </c>
      <c r="D333" s="144"/>
      <c r="E333" s="144"/>
      <c r="F333" s="144"/>
      <c r="G333" s="144">
        <f t="shared" ref="G333:G336" si="54">SUM(D333:F333)</f>
        <v>0</v>
      </c>
    </row>
    <row r="334" spans="1:257" x14ac:dyDescent="0.2">
      <c r="B334" s="77">
        <v>5</v>
      </c>
      <c r="C334" s="144" t="s">
        <v>478</v>
      </c>
      <c r="D334" s="144"/>
      <c r="E334" s="144"/>
      <c r="F334" s="144"/>
      <c r="G334" s="144">
        <f t="shared" si="54"/>
        <v>0</v>
      </c>
    </row>
    <row r="335" spans="1:257" x14ac:dyDescent="0.2">
      <c r="B335" s="77">
        <v>6</v>
      </c>
      <c r="C335" s="144" t="s">
        <v>479</v>
      </c>
      <c r="D335" s="144"/>
      <c r="E335" s="144"/>
      <c r="F335" s="144"/>
      <c r="G335" s="144">
        <f t="shared" si="54"/>
        <v>0</v>
      </c>
    </row>
    <row r="336" spans="1:257" x14ac:dyDescent="0.2">
      <c r="B336" s="77">
        <v>7</v>
      </c>
      <c r="C336" s="144" t="s">
        <v>480</v>
      </c>
      <c r="D336" s="144"/>
      <c r="E336" s="144"/>
      <c r="F336" s="144"/>
      <c r="G336" s="144">
        <f t="shared" si="54"/>
        <v>0</v>
      </c>
    </row>
    <row r="337" spans="1:257" x14ac:dyDescent="0.2">
      <c r="B337" s="77">
        <v>8</v>
      </c>
      <c r="C337" s="149" t="s">
        <v>481</v>
      </c>
      <c r="D337" s="150">
        <f>D331+SUM(D333:D336)</f>
        <v>0</v>
      </c>
      <c r="E337" s="150">
        <f>E331+SUM(E333:E336)</f>
        <v>0</v>
      </c>
      <c r="F337" s="150">
        <f>F331+SUM(F333:F336)</f>
        <v>0</v>
      </c>
      <c r="G337" s="150">
        <f>G331+SUM(G333:G336)</f>
        <v>0</v>
      </c>
    </row>
    <row r="338" spans="1:257" x14ac:dyDescent="0.2">
      <c r="B338" s="77">
        <v>9</v>
      </c>
      <c r="C338" s="151" t="s">
        <v>482</v>
      </c>
      <c r="D338" s="144"/>
      <c r="E338" s="144"/>
      <c r="F338" s="144"/>
      <c r="G338" s="144">
        <f t="shared" ref="G338:G341" si="55">SUM(D338:F338)</f>
        <v>0</v>
      </c>
    </row>
    <row r="339" spans="1:257" x14ac:dyDescent="0.2">
      <c r="B339" s="77">
        <v>10</v>
      </c>
      <c r="C339" s="152" t="s">
        <v>483</v>
      </c>
      <c r="D339" s="144"/>
      <c r="E339" s="144"/>
      <c r="F339" s="144"/>
      <c r="G339" s="144">
        <f t="shared" si="55"/>
        <v>0</v>
      </c>
    </row>
    <row r="340" spans="1:257" x14ac:dyDescent="0.2">
      <c r="B340" s="77">
        <v>11</v>
      </c>
      <c r="C340" s="151" t="s">
        <v>484</v>
      </c>
      <c r="D340" s="144"/>
      <c r="E340" s="144"/>
      <c r="F340" s="144"/>
      <c r="G340" s="144">
        <f t="shared" si="55"/>
        <v>0</v>
      </c>
    </row>
    <row r="341" spans="1:257" x14ac:dyDescent="0.2">
      <c r="B341" s="77">
        <v>12</v>
      </c>
      <c r="C341" s="151" t="s">
        <v>485</v>
      </c>
      <c r="D341" s="144"/>
      <c r="E341" s="144"/>
      <c r="F341" s="144"/>
      <c r="G341" s="144">
        <f t="shared" si="55"/>
        <v>0</v>
      </c>
    </row>
    <row r="342" spans="1:257" x14ac:dyDescent="0.2">
      <c r="B342" s="77">
        <v>13</v>
      </c>
      <c r="C342" s="147" t="s">
        <v>554</v>
      </c>
      <c r="D342" s="148">
        <f>SUM(D338:D341)</f>
        <v>0</v>
      </c>
      <c r="E342" s="148">
        <f>SUM(E338:E341)</f>
        <v>0</v>
      </c>
      <c r="F342" s="148">
        <f>SUM(F338:F341)</f>
        <v>0</v>
      </c>
      <c r="G342" s="148">
        <f>SUM(G338:G341)</f>
        <v>0</v>
      </c>
    </row>
    <row r="343" spans="1:257" s="139" customFormat="1" ht="15.75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</row>
    <row r="344" spans="1:257" s="139" customFormat="1" ht="15.75" x14ac:dyDescent="0.25">
      <c r="A344" s="138"/>
      <c r="B344" s="38" t="s">
        <v>657</v>
      </c>
      <c r="C344" s="38"/>
      <c r="D344" s="522"/>
      <c r="E344" s="522"/>
      <c r="F344" s="522"/>
      <c r="G344" s="522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</row>
    <row r="345" spans="1:257" s="139" customFormat="1" ht="15.75" x14ac:dyDescent="0.25">
      <c r="A345" s="138"/>
      <c r="B345" s="138"/>
      <c r="C345" s="138"/>
      <c r="D345" s="138"/>
      <c r="E345" s="138"/>
      <c r="F345" s="523"/>
      <c r="G345" s="523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</row>
    <row r="346" spans="1:257" x14ac:dyDescent="0.2">
      <c r="B346" s="77"/>
      <c r="C346" s="77" t="s">
        <v>350</v>
      </c>
      <c r="D346" s="77" t="s">
        <v>351</v>
      </c>
      <c r="E346" s="77" t="s">
        <v>470</v>
      </c>
      <c r="F346" s="77" t="s">
        <v>471</v>
      </c>
      <c r="G346" s="77" t="s">
        <v>44</v>
      </c>
    </row>
    <row r="347" spans="1:257" x14ac:dyDescent="0.2">
      <c r="B347" s="77">
        <v>1</v>
      </c>
      <c r="C347" s="143" t="s">
        <v>559</v>
      </c>
      <c r="D347" s="143" t="str">
        <f>CONCATENATE(PAR!$H$3)</f>
        <v>2025.</v>
      </c>
      <c r="E347" s="143" t="str">
        <f>CONCATENATE(PAR!$H$7)</f>
        <v>2026.</v>
      </c>
      <c r="F347" s="143" t="str">
        <f>CONCATENATE(PAR!$H$8," után")</f>
        <v>2027. után</v>
      </c>
      <c r="G347" s="143" t="s">
        <v>474</v>
      </c>
    </row>
    <row r="348" spans="1:257" x14ac:dyDescent="0.2">
      <c r="B348" s="77">
        <v>2</v>
      </c>
      <c r="C348" s="144" t="s">
        <v>475</v>
      </c>
      <c r="D348" s="144"/>
      <c r="E348" s="144"/>
      <c r="F348" s="144"/>
      <c r="G348" s="144">
        <f t="shared" ref="G348" si="56">SUM(D348:F348)</f>
        <v>0</v>
      </c>
    </row>
    <row r="349" spans="1:257" x14ac:dyDescent="0.2">
      <c r="B349" s="77">
        <v>3</v>
      </c>
      <c r="C349" s="145" t="s">
        <v>476</v>
      </c>
      <c r="D349" s="146"/>
      <c r="E349" s="146"/>
      <c r="F349" s="146"/>
      <c r="G349" s="146">
        <f>SUM(D349:F349)</f>
        <v>0</v>
      </c>
    </row>
    <row r="350" spans="1:257" x14ac:dyDescent="0.2">
      <c r="B350" s="77">
        <v>4</v>
      </c>
      <c r="C350" s="144" t="s">
        <v>477</v>
      </c>
      <c r="D350" s="144"/>
      <c r="E350" s="144"/>
      <c r="F350" s="144"/>
      <c r="G350" s="144">
        <f t="shared" ref="G350:G353" si="57">SUM(D350:F350)</f>
        <v>0</v>
      </c>
    </row>
    <row r="351" spans="1:257" x14ac:dyDescent="0.2">
      <c r="B351" s="77">
        <v>5</v>
      </c>
      <c r="C351" s="144" t="s">
        <v>478</v>
      </c>
      <c r="D351" s="144"/>
      <c r="E351" s="144"/>
      <c r="F351" s="144"/>
      <c r="G351" s="144">
        <f t="shared" si="57"/>
        <v>0</v>
      </c>
    </row>
    <row r="352" spans="1:257" x14ac:dyDescent="0.2">
      <c r="B352" s="77">
        <v>6</v>
      </c>
      <c r="C352" s="144" t="s">
        <v>479</v>
      </c>
      <c r="D352" s="144"/>
      <c r="E352" s="144"/>
      <c r="F352" s="144"/>
      <c r="G352" s="144">
        <f t="shared" si="57"/>
        <v>0</v>
      </c>
    </row>
    <row r="353" spans="2:7" x14ac:dyDescent="0.2">
      <c r="B353" s="77">
        <v>7</v>
      </c>
      <c r="C353" s="144" t="s">
        <v>480</v>
      </c>
      <c r="D353" s="144"/>
      <c r="E353" s="144"/>
      <c r="F353" s="144"/>
      <c r="G353" s="144">
        <f t="shared" si="57"/>
        <v>0</v>
      </c>
    </row>
    <row r="354" spans="2:7" x14ac:dyDescent="0.2">
      <c r="B354" s="77">
        <v>8</v>
      </c>
      <c r="C354" s="149" t="s">
        <v>481</v>
      </c>
      <c r="D354" s="150">
        <f>D348+SUM(D350:D353)</f>
        <v>0</v>
      </c>
      <c r="E354" s="150">
        <f>E348+SUM(E350:E353)</f>
        <v>0</v>
      </c>
      <c r="F354" s="150">
        <f>F348+SUM(F350:F353)</f>
        <v>0</v>
      </c>
      <c r="G354" s="150">
        <f>G348+SUM(G350:G353)</f>
        <v>0</v>
      </c>
    </row>
    <row r="355" spans="2:7" x14ac:dyDescent="0.2">
      <c r="B355" s="77">
        <v>9</v>
      </c>
      <c r="C355" s="151" t="s">
        <v>482</v>
      </c>
      <c r="D355" s="144"/>
      <c r="E355" s="144"/>
      <c r="F355" s="144"/>
      <c r="G355" s="144">
        <f t="shared" ref="G355:G358" si="58">SUM(D355:F355)</f>
        <v>0</v>
      </c>
    </row>
    <row r="356" spans="2:7" x14ac:dyDescent="0.2">
      <c r="B356" s="77">
        <v>10</v>
      </c>
      <c r="C356" s="152" t="s">
        <v>483</v>
      </c>
      <c r="D356" s="144"/>
      <c r="E356" s="144"/>
      <c r="F356" s="144"/>
      <c r="G356" s="144">
        <f t="shared" si="58"/>
        <v>0</v>
      </c>
    </row>
    <row r="357" spans="2:7" x14ac:dyDescent="0.2">
      <c r="B357" s="77">
        <v>11</v>
      </c>
      <c r="C357" s="151" t="s">
        <v>484</v>
      </c>
      <c r="D357" s="144"/>
      <c r="E357" s="144"/>
      <c r="F357" s="144"/>
      <c r="G357" s="144">
        <f t="shared" si="58"/>
        <v>0</v>
      </c>
    </row>
    <row r="358" spans="2:7" x14ac:dyDescent="0.2">
      <c r="B358" s="77">
        <v>12</v>
      </c>
      <c r="C358" s="151" t="s">
        <v>485</v>
      </c>
      <c r="D358" s="144"/>
      <c r="E358" s="144"/>
      <c r="F358" s="144"/>
      <c r="G358" s="144">
        <f t="shared" si="58"/>
        <v>0</v>
      </c>
    </row>
    <row r="359" spans="2:7" x14ac:dyDescent="0.2">
      <c r="B359" s="77">
        <v>13</v>
      </c>
      <c r="C359" s="147" t="s">
        <v>554</v>
      </c>
      <c r="D359" s="148">
        <f>SUM(D355:D358)</f>
        <v>0</v>
      </c>
      <c r="E359" s="148">
        <f>SUM(E355:E358)</f>
        <v>0</v>
      </c>
      <c r="F359" s="148">
        <f>SUM(F355:F358)</f>
        <v>0</v>
      </c>
      <c r="G359" s="148">
        <f>SUM(G355:G358)</f>
        <v>0</v>
      </c>
    </row>
  </sheetData>
  <sheetProtection algorithmName="SHA-512" hashValue="tgki+oGte8eINxsvX3Tn9cdZupTQHqTtV35lnUL9TPdGhgLe86RVbo0h31+zrnPk/uFL+t3KGbBYlYlZZTn2bQ==" saltValue="qKGJUlPkYzK/FnmHBEnqvA==" spinCount="100000" sheet="1" formatCells="0" formatColumns="0" formatRows="0" insertColumns="0" insertRows="0" deleteRows="0" sort="0" autoFilter="0"/>
  <mergeCells count="52">
    <mergeCell ref="F328:G328"/>
    <mergeCell ref="D276:G276"/>
    <mergeCell ref="F277:G277"/>
    <mergeCell ref="D293:G293"/>
    <mergeCell ref="F294:G294"/>
    <mergeCell ref="D310:G310"/>
    <mergeCell ref="D327:G327"/>
    <mergeCell ref="D242:G242"/>
    <mergeCell ref="F243:G243"/>
    <mergeCell ref="D259:G259"/>
    <mergeCell ref="F260:G260"/>
    <mergeCell ref="F311:G311"/>
    <mergeCell ref="F209:G209"/>
    <mergeCell ref="D191:G191"/>
    <mergeCell ref="F192:G192"/>
    <mergeCell ref="D225:G225"/>
    <mergeCell ref="F226:G226"/>
    <mergeCell ref="D157:G157"/>
    <mergeCell ref="F158:G158"/>
    <mergeCell ref="D174:G174"/>
    <mergeCell ref="F175:G175"/>
    <mergeCell ref="D208:G208"/>
    <mergeCell ref="F14:G14"/>
    <mergeCell ref="F15:G15"/>
    <mergeCell ref="D21:G21"/>
    <mergeCell ref="F22:G22"/>
    <mergeCell ref="C4:G4"/>
    <mergeCell ref="F16:G16"/>
    <mergeCell ref="F18:G18"/>
    <mergeCell ref="F19:G19"/>
    <mergeCell ref="B2:G2"/>
    <mergeCell ref="B6:G6"/>
    <mergeCell ref="B7:G7"/>
    <mergeCell ref="B8:G8"/>
    <mergeCell ref="F13:G13"/>
    <mergeCell ref="C3:G3"/>
    <mergeCell ref="D344:G344"/>
    <mergeCell ref="F345:G345"/>
    <mergeCell ref="D38:G38"/>
    <mergeCell ref="F39:G39"/>
    <mergeCell ref="D55:G55"/>
    <mergeCell ref="F56:G56"/>
    <mergeCell ref="D72:G72"/>
    <mergeCell ref="F73:G73"/>
    <mergeCell ref="D89:G89"/>
    <mergeCell ref="F90:G90"/>
    <mergeCell ref="D106:G106"/>
    <mergeCell ref="F107:G107"/>
    <mergeCell ref="D123:G123"/>
    <mergeCell ref="F124:G124"/>
    <mergeCell ref="D140:G140"/>
    <mergeCell ref="F141:G141"/>
  </mergeCells>
  <conditionalFormatting sqref="E14:F14">
    <cfRule type="cellIs" dxfId="20" priority="20" stopIfTrue="1" operator="equal">
      <formula>0</formula>
    </cfRule>
  </conditionalFormatting>
  <conditionalFormatting sqref="F21:F29 C29:E29 F32:F35">
    <cfRule type="cellIs" dxfId="19" priority="41" stopIfTrue="1" operator="equal">
      <formula>0</formula>
    </cfRule>
  </conditionalFormatting>
  <conditionalFormatting sqref="F38:F46 C46:E46 F49:F52">
    <cfRule type="cellIs" dxfId="18" priority="19" stopIfTrue="1" operator="equal">
      <formula>0</formula>
    </cfRule>
  </conditionalFormatting>
  <conditionalFormatting sqref="F55:F63 C63:E63 F66:F69">
    <cfRule type="cellIs" dxfId="17" priority="18" stopIfTrue="1" operator="equal">
      <formula>0</formula>
    </cfRule>
  </conditionalFormatting>
  <conditionalFormatting sqref="F72:F80 C80:E80 F83:F86">
    <cfRule type="cellIs" dxfId="16" priority="17" stopIfTrue="1" operator="equal">
      <formula>0</formula>
    </cfRule>
  </conditionalFormatting>
  <conditionalFormatting sqref="F89:F97 C97:E97 F100:F103">
    <cfRule type="cellIs" dxfId="15" priority="16" stopIfTrue="1" operator="equal">
      <formula>0</formula>
    </cfRule>
  </conditionalFormatting>
  <conditionalFormatting sqref="F106:F114 C114:E114 F117:F120">
    <cfRule type="cellIs" dxfId="14" priority="15" stopIfTrue="1" operator="equal">
      <formula>0</formula>
    </cfRule>
  </conditionalFormatting>
  <conditionalFormatting sqref="F123:F131 C131:E131 F134:F137">
    <cfRule type="cellIs" dxfId="13" priority="14" stopIfTrue="1" operator="equal">
      <formula>0</formula>
    </cfRule>
  </conditionalFormatting>
  <conditionalFormatting sqref="F140:F148 C148:E148 F151:F154">
    <cfRule type="cellIs" dxfId="12" priority="13" stopIfTrue="1" operator="equal">
      <formula>0</formula>
    </cfRule>
  </conditionalFormatting>
  <conditionalFormatting sqref="F157:F165 C165:E165 F168:F171">
    <cfRule type="cellIs" dxfId="11" priority="12" stopIfTrue="1" operator="equal">
      <formula>0</formula>
    </cfRule>
  </conditionalFormatting>
  <conditionalFormatting sqref="F174:F182 C182:E182 F185:F188">
    <cfRule type="cellIs" dxfId="10" priority="11" stopIfTrue="1" operator="equal">
      <formula>0</formula>
    </cfRule>
  </conditionalFormatting>
  <conditionalFormatting sqref="F191:F199 C199:E199 F202:F205">
    <cfRule type="cellIs" dxfId="9" priority="10" stopIfTrue="1" operator="equal">
      <formula>0</formula>
    </cfRule>
  </conditionalFormatting>
  <conditionalFormatting sqref="F208:F216 C216:E216 F219:F222">
    <cfRule type="cellIs" dxfId="8" priority="9" stopIfTrue="1" operator="equal">
      <formula>0</formula>
    </cfRule>
  </conditionalFormatting>
  <conditionalFormatting sqref="F225:F233 C233:E233 F236:F239">
    <cfRule type="cellIs" dxfId="7" priority="8" stopIfTrue="1" operator="equal">
      <formula>0</formula>
    </cfRule>
  </conditionalFormatting>
  <conditionalFormatting sqref="F242:F250 C250:E250 F253:F256">
    <cfRule type="cellIs" dxfId="6" priority="7" stopIfTrue="1" operator="equal">
      <formula>0</formula>
    </cfRule>
  </conditionalFormatting>
  <conditionalFormatting sqref="F259:F267 C267:E267 F270:F273">
    <cfRule type="cellIs" dxfId="5" priority="6" stopIfTrue="1" operator="equal">
      <formula>0</formula>
    </cfRule>
  </conditionalFormatting>
  <conditionalFormatting sqref="F276:F284 C284:E284 F287:F290">
    <cfRule type="cellIs" dxfId="4" priority="5" stopIfTrue="1" operator="equal">
      <formula>0</formula>
    </cfRule>
  </conditionalFormatting>
  <conditionalFormatting sqref="F293:F301 C301:E301 F304:F307">
    <cfRule type="cellIs" dxfId="3" priority="4" stopIfTrue="1" operator="equal">
      <formula>0</formula>
    </cfRule>
  </conditionalFormatting>
  <conditionalFormatting sqref="F310:F318 C318:E318 F321:F324">
    <cfRule type="cellIs" dxfId="2" priority="3" stopIfTrue="1" operator="equal">
      <formula>0</formula>
    </cfRule>
  </conditionalFormatting>
  <conditionalFormatting sqref="F327:F335 C335:E335 F338:F341">
    <cfRule type="cellIs" dxfId="1" priority="2" stopIfTrue="1" operator="equal">
      <formula>0</formula>
    </cfRule>
  </conditionalFormatting>
  <conditionalFormatting sqref="F344:F352 C352:E352 F355:F358">
    <cfRule type="cellIs" dxfId="0" priority="1" stopIfTrue="1" operator="equal">
      <formula>0</formula>
    </cfRule>
  </conditionalFormatting>
  <printOptions horizontalCentered="1"/>
  <pageMargins left="0.39370078740157483" right="0.39370078740157483" top="0.39370078740157483" bottom="0.78740157480314965" header="0.78740157480314965" footer="0.59055118110236227"/>
  <pageSetup paperSize="9" fitToHeight="5" orientation="portrait" r:id="rId1"/>
  <headerFooter alignWithMargins="0">
    <oddHeader>&amp;C&amp;"Times New Roman CE,Félkövér"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Munka42">
    <tabColor theme="4" tint="0.59999389629810485"/>
    <pageSetUpPr fitToPage="1"/>
  </sheetPr>
  <dimension ref="B1:H32"/>
  <sheetViews>
    <sheetView view="pageBreakPreview" zoomScaleSheetLayoutView="100" workbookViewId="0">
      <selection activeCell="J12" sqref="J12"/>
    </sheetView>
  </sheetViews>
  <sheetFormatPr defaultColWidth="9" defaultRowHeight="12.75" x14ac:dyDescent="0.2"/>
  <cols>
    <col min="1" max="1" width="0.875" style="1" customWidth="1"/>
    <col min="2" max="2" width="5.625" style="1" customWidth="1"/>
    <col min="3" max="3" width="40.625" style="1" customWidth="1"/>
    <col min="4" max="8" width="12.625" style="1" customWidth="1"/>
    <col min="9" max="9" width="0.875" style="1" customWidth="1"/>
    <col min="10" max="16384" width="9" style="1"/>
  </cols>
  <sheetData>
    <row r="1" spans="2:8" ht="6" customHeight="1" x14ac:dyDescent="0.2"/>
    <row r="2" spans="2:8" s="139" customFormat="1" ht="15.75" x14ac:dyDescent="0.25">
      <c r="B2" s="532" t="str">
        <f>CONCATENATE(Index!C30," a(z) ",Index!E16," önkormányzati rendelethez")</f>
        <v>11. melléklet a(z) .../2025. (...) önkormányzati rendelethez</v>
      </c>
      <c r="C2" s="532"/>
      <c r="D2" s="532"/>
      <c r="E2" s="532"/>
      <c r="F2" s="532"/>
      <c r="G2" s="532"/>
      <c r="H2" s="532"/>
    </row>
    <row r="3" spans="2:8" s="139" customFormat="1" ht="15.75" x14ac:dyDescent="0.25">
      <c r="C3" s="276"/>
      <c r="D3" s="276"/>
      <c r="E3" s="276"/>
      <c r="F3" s="276"/>
      <c r="G3" s="276"/>
      <c r="H3" s="276"/>
    </row>
    <row r="4" spans="2:8" s="155" customFormat="1" ht="15.75" customHeight="1" x14ac:dyDescent="0.25">
      <c r="B4" s="533" t="str">
        <f>CONCATENATE(PAR!E3)</f>
        <v>Nagymaros Város Önkormányzata</v>
      </c>
      <c r="C4" s="533"/>
      <c r="D4" s="533"/>
      <c r="E4" s="533"/>
      <c r="F4" s="533"/>
      <c r="G4" s="533"/>
      <c r="H4" s="533"/>
    </row>
    <row r="5" spans="2:8" s="139" customFormat="1" ht="15.75" x14ac:dyDescent="0.25">
      <c r="B5" s="533" t="s">
        <v>607</v>
      </c>
      <c r="C5" s="533"/>
      <c r="D5" s="533"/>
      <c r="E5" s="533"/>
      <c r="F5" s="533"/>
      <c r="G5" s="533"/>
      <c r="H5" s="533"/>
    </row>
    <row r="6" spans="2:8" s="139" customFormat="1" ht="15.75" customHeight="1" x14ac:dyDescent="0.25">
      <c r="B6" s="527" t="s">
        <v>337</v>
      </c>
      <c r="C6" s="527"/>
      <c r="D6" s="527"/>
      <c r="E6" s="527"/>
      <c r="F6" s="527"/>
      <c r="G6" s="527"/>
      <c r="H6" s="527"/>
    </row>
    <row r="7" spans="2:8" s="139" customFormat="1" ht="15.75" x14ac:dyDescent="0.25"/>
    <row r="8" spans="2:8" x14ac:dyDescent="0.2">
      <c r="B8" s="29" t="s">
        <v>608</v>
      </c>
      <c r="C8" s="29"/>
      <c r="D8" s="29"/>
      <c r="E8" s="29"/>
      <c r="F8" s="29"/>
      <c r="G8" s="29"/>
      <c r="H8" s="29"/>
    </row>
    <row r="9" spans="2:8" x14ac:dyDescent="0.2">
      <c r="B9" s="29" t="s">
        <v>609</v>
      </c>
      <c r="C9" s="29"/>
      <c r="D9" s="29"/>
      <c r="E9" s="29"/>
      <c r="F9" s="29"/>
      <c r="G9" s="29"/>
      <c r="H9" s="29"/>
    </row>
    <row r="11" spans="2:8" ht="15" customHeight="1" x14ac:dyDescent="0.2">
      <c r="B11" s="2" t="s">
        <v>610</v>
      </c>
      <c r="C11" s="2"/>
      <c r="D11" s="2"/>
      <c r="E11" s="2"/>
      <c r="F11" s="2"/>
      <c r="G11" s="2"/>
      <c r="H11" s="2"/>
    </row>
    <row r="12" spans="2:8" ht="15" customHeight="1" x14ac:dyDescent="0.2">
      <c r="B12" s="2" t="s">
        <v>611</v>
      </c>
      <c r="C12" s="2"/>
      <c r="D12" s="2"/>
      <c r="E12" s="2"/>
      <c r="F12" s="2"/>
      <c r="G12" s="2"/>
      <c r="H12" s="2"/>
    </row>
    <row r="14" spans="2:8" x14ac:dyDescent="0.2">
      <c r="B14" s="103"/>
      <c r="C14" s="103" t="s">
        <v>351</v>
      </c>
      <c r="D14" s="103" t="s">
        <v>470</v>
      </c>
      <c r="E14" s="103" t="s">
        <v>471</v>
      </c>
      <c r="F14" s="103" t="s">
        <v>44</v>
      </c>
      <c r="G14" s="103" t="s">
        <v>42</v>
      </c>
      <c r="H14" s="103" t="s">
        <v>511</v>
      </c>
    </row>
    <row r="15" spans="2:8" s="41" customFormat="1" ht="42" customHeight="1" x14ac:dyDescent="0.25">
      <c r="B15" s="160">
        <v>1</v>
      </c>
      <c r="C15" s="154" t="s">
        <v>498</v>
      </c>
      <c r="D15" s="154" t="s">
        <v>499</v>
      </c>
      <c r="E15" s="154" t="s">
        <v>500</v>
      </c>
      <c r="F15" s="154" t="s">
        <v>501</v>
      </c>
      <c r="G15" s="154" t="s">
        <v>502</v>
      </c>
      <c r="H15" s="154" t="s">
        <v>486</v>
      </c>
    </row>
    <row r="16" spans="2:8" x14ac:dyDescent="0.2">
      <c r="B16" s="103">
        <v>2</v>
      </c>
      <c r="C16" s="88" t="s">
        <v>503</v>
      </c>
      <c r="D16" s="144"/>
      <c r="E16" s="144"/>
      <c r="F16" s="144"/>
      <c r="G16" s="144"/>
      <c r="H16" s="148">
        <f>SUM(D16:G16)</f>
        <v>0</v>
      </c>
    </row>
    <row r="17" spans="2:8" x14ac:dyDescent="0.2">
      <c r="B17" s="160">
        <v>3</v>
      </c>
      <c r="C17" s="88" t="s">
        <v>504</v>
      </c>
      <c r="D17" s="144"/>
      <c r="E17" s="144"/>
      <c r="F17" s="144"/>
      <c r="G17" s="144"/>
      <c r="H17" s="148">
        <f t="shared" ref="H17:H22" si="0">SUM(D17:G17)</f>
        <v>0</v>
      </c>
    </row>
    <row r="18" spans="2:8" x14ac:dyDescent="0.2">
      <c r="B18" s="103">
        <v>4</v>
      </c>
      <c r="C18" s="88" t="s">
        <v>505</v>
      </c>
      <c r="D18" s="144"/>
      <c r="E18" s="144"/>
      <c r="F18" s="144"/>
      <c r="G18" s="144"/>
      <c r="H18" s="148">
        <f t="shared" si="0"/>
        <v>0</v>
      </c>
    </row>
    <row r="19" spans="2:8" x14ac:dyDescent="0.2">
      <c r="B19" s="160">
        <v>5</v>
      </c>
      <c r="C19" s="88" t="s">
        <v>506</v>
      </c>
      <c r="D19" s="144"/>
      <c r="E19" s="144"/>
      <c r="F19" s="144"/>
      <c r="G19" s="144"/>
      <c r="H19" s="148">
        <f t="shared" si="0"/>
        <v>0</v>
      </c>
    </row>
    <row r="20" spans="2:8" x14ac:dyDescent="0.2">
      <c r="B20" s="103">
        <v>6</v>
      </c>
      <c r="C20" s="88" t="s">
        <v>507</v>
      </c>
      <c r="D20" s="144"/>
      <c r="E20" s="144"/>
      <c r="F20" s="144"/>
      <c r="G20" s="144"/>
      <c r="H20" s="148">
        <f t="shared" si="0"/>
        <v>0</v>
      </c>
    </row>
    <row r="21" spans="2:8" x14ac:dyDescent="0.2">
      <c r="B21" s="160">
        <v>7</v>
      </c>
      <c r="C21" s="88" t="s">
        <v>508</v>
      </c>
      <c r="D21" s="144"/>
      <c r="E21" s="144"/>
      <c r="F21" s="144"/>
      <c r="G21" s="144"/>
      <c r="H21" s="148">
        <f t="shared" si="0"/>
        <v>0</v>
      </c>
    </row>
    <row r="22" spans="2:8" s="2" customFormat="1" x14ac:dyDescent="0.2">
      <c r="B22" s="103">
        <v>8</v>
      </c>
      <c r="C22" s="87" t="s">
        <v>486</v>
      </c>
      <c r="D22" s="148">
        <f>SUM(D16:D21)</f>
        <v>0</v>
      </c>
      <c r="E22" s="148">
        <f>SUM(E16:E21)</f>
        <v>0</v>
      </c>
      <c r="F22" s="148">
        <f>SUM(F16:F21)</f>
        <v>0</v>
      </c>
      <c r="G22" s="148">
        <f>SUM(G16:G21)</f>
        <v>0</v>
      </c>
      <c r="H22" s="148">
        <f t="shared" si="0"/>
        <v>0</v>
      </c>
    </row>
    <row r="26" spans="2:8" x14ac:dyDescent="0.2">
      <c r="B26" s="1" t="s">
        <v>509</v>
      </c>
    </row>
    <row r="29" spans="2:8" x14ac:dyDescent="0.2">
      <c r="G29" s="9" t="s">
        <v>612</v>
      </c>
    </row>
    <row r="30" spans="2:8" x14ac:dyDescent="0.2">
      <c r="E30" s="45"/>
      <c r="F30" s="45"/>
      <c r="G30" s="9" t="s">
        <v>510</v>
      </c>
    </row>
    <row r="31" spans="2:8" x14ac:dyDescent="0.2">
      <c r="E31" s="45"/>
      <c r="F31" s="45"/>
    </row>
    <row r="32" spans="2:8" x14ac:dyDescent="0.2">
      <c r="E32" s="45"/>
      <c r="F32" s="45"/>
    </row>
  </sheetData>
  <sheetProtection algorithmName="SHA-512" hashValue="+wOO9URbKUlbhu2cvDT8focsNcbRaNXcU2mH6VTxn0fVyqHKv7o8R6iw8pOnINjZbQPYBfAY+NzdACjTzpqJYw==" saltValue="mcGIgGolfCh753YfPRE5rg==" spinCount="100000" sheet="1" formatCells="0" formatColumns="0" formatRows="0" insertColumns="0" insertRows="0" deleteColumns="0" deleteRows="0" sort="0" autoFilter="0"/>
  <mergeCells count="4">
    <mergeCell ref="B2:H2"/>
    <mergeCell ref="B4:H4"/>
    <mergeCell ref="B5:H5"/>
    <mergeCell ref="B6:H6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5" fitToHeight="4" orientation="portrait" horizontalDpi="300" verticalDpi="300" r:id="rId1"/>
  <headerFooter alignWithMargins="0">
    <oddHeader xml:space="preserve">&amp;C&amp;"Times New Roman CE,Félkövér"&amp;12&amp;R&amp;"Times New Roman CE,Félkövér dőlt"&amp;11 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Munka26">
    <tabColor theme="7" tint="0.39997558519241921"/>
  </sheetPr>
  <dimension ref="B1:R2984"/>
  <sheetViews>
    <sheetView view="pageBreakPreview" topLeftCell="A142" zoomScaleSheetLayoutView="100" workbookViewId="0">
      <selection activeCell="N8" sqref="N8"/>
    </sheetView>
  </sheetViews>
  <sheetFormatPr defaultColWidth="9" defaultRowHeight="12.75" x14ac:dyDescent="0.25"/>
  <cols>
    <col min="1" max="1" width="0.875" style="35" customWidth="1"/>
    <col min="2" max="2" width="5.625" style="35" customWidth="1"/>
    <col min="3" max="3" width="7.625" style="34" customWidth="1"/>
    <col min="4" max="4" width="57.625" style="35" customWidth="1"/>
    <col min="5" max="9" width="12.625" style="36" customWidth="1"/>
    <col min="10" max="11" width="0.875" style="35" customWidth="1"/>
    <col min="12" max="12" width="5.625" style="35" customWidth="1"/>
    <col min="13" max="16384" width="9" style="35"/>
  </cols>
  <sheetData>
    <row r="1" spans="2:9" ht="6" customHeight="1" x14ac:dyDescent="0.25"/>
    <row r="2" spans="2:9" s="37" customFormat="1" ht="15.75" x14ac:dyDescent="0.25">
      <c r="B2" s="524" t="str">
        <f>CONCATENATE(Index!C31," a(z) ",Index!E16," önkormányzati rendelethez")</f>
        <v>12. melléklet a(z) .../2025. (...) önkormányzati rendelethez</v>
      </c>
      <c r="C2" s="524"/>
      <c r="D2" s="524"/>
      <c r="E2" s="524"/>
      <c r="F2" s="524"/>
      <c r="G2" s="524"/>
      <c r="H2" s="524"/>
      <c r="I2" s="524"/>
    </row>
    <row r="3" spans="2:9" s="37" customFormat="1" ht="15.75" x14ac:dyDescent="0.25">
      <c r="C3" s="529"/>
      <c r="D3" s="529"/>
      <c r="E3" s="529"/>
      <c r="F3" s="200"/>
      <c r="G3" s="200"/>
      <c r="H3" s="200"/>
      <c r="I3" s="200"/>
    </row>
    <row r="4" spans="2:9" s="38" customFormat="1" ht="15.75" x14ac:dyDescent="0.25">
      <c r="B4" s="525" t="str">
        <f>PAR!$E$3</f>
        <v>Nagymaros Város Önkormányzata</v>
      </c>
      <c r="C4" s="525"/>
      <c r="D4" s="525"/>
      <c r="E4" s="525"/>
      <c r="F4" s="525"/>
      <c r="G4" s="525"/>
      <c r="H4" s="525"/>
      <c r="I4" s="525"/>
    </row>
    <row r="5" spans="2:9" s="38" customFormat="1" ht="15.75" x14ac:dyDescent="0.25">
      <c r="B5" s="525" t="s">
        <v>487</v>
      </c>
      <c r="C5" s="525"/>
      <c r="D5" s="525"/>
      <c r="E5" s="525"/>
      <c r="F5" s="525"/>
      <c r="G5" s="525"/>
      <c r="H5" s="525"/>
      <c r="I5" s="525"/>
    </row>
    <row r="6" spans="2:9" s="38" customFormat="1" ht="15.75" x14ac:dyDescent="0.25">
      <c r="C6" s="156"/>
      <c r="E6" s="140"/>
      <c r="F6" s="140"/>
      <c r="G6" s="140"/>
      <c r="H6" s="140"/>
      <c r="I6" s="140"/>
    </row>
    <row r="7" spans="2:9" s="10" customFormat="1" ht="15.75" customHeight="1" x14ac:dyDescent="0.25">
      <c r="B7" s="201" t="s">
        <v>635</v>
      </c>
      <c r="C7" s="101"/>
      <c r="D7" s="101"/>
      <c r="E7" s="101"/>
      <c r="F7" s="101"/>
      <c r="G7" s="198"/>
      <c r="H7" s="198"/>
      <c r="I7" s="198"/>
    </row>
    <row r="8" spans="2:9" s="38" customFormat="1" ht="15.75" x14ac:dyDescent="0.25">
      <c r="C8" s="156"/>
      <c r="E8" s="140"/>
      <c r="F8" s="140"/>
      <c r="G8" s="140"/>
      <c r="H8" s="140"/>
      <c r="I8" s="140"/>
    </row>
    <row r="9" spans="2:9" s="40" customFormat="1" x14ac:dyDescent="0.25">
      <c r="B9" s="77"/>
      <c r="C9" s="77" t="s">
        <v>350</v>
      </c>
      <c r="D9" s="77" t="s">
        <v>351</v>
      </c>
      <c r="E9" s="77" t="s">
        <v>470</v>
      </c>
      <c r="F9" s="77" t="s">
        <v>471</v>
      </c>
      <c r="G9" s="77" t="s">
        <v>44</v>
      </c>
      <c r="H9" s="77" t="s">
        <v>42</v>
      </c>
      <c r="I9" s="77" t="s">
        <v>511</v>
      </c>
    </row>
    <row r="10" spans="2:9" ht="38.25" x14ac:dyDescent="0.25">
      <c r="B10" s="160">
        <v>1</v>
      </c>
      <c r="C10" s="154" t="s">
        <v>593</v>
      </c>
      <c r="D10" s="154" t="s">
        <v>488</v>
      </c>
      <c r="E10" s="163" t="str">
        <f>CONCATENATE(PAR!$H$3," évi
eredeti 
előirányzat")</f>
        <v>2025. évi
eredeti 
előirányzat</v>
      </c>
      <c r="F10" s="163" t="str">
        <f>CONCATENATE(PAR!$H$3," évi
módosított 
előirányzat")</f>
        <v>2025. évi
módosított 
előirányzat</v>
      </c>
      <c r="G10" s="78" t="s">
        <v>666</v>
      </c>
      <c r="H10" s="78" t="s">
        <v>667</v>
      </c>
      <c r="I10" s="78" t="s">
        <v>668</v>
      </c>
    </row>
    <row r="11" spans="2:9" s="41" customFormat="1" x14ac:dyDescent="0.25">
      <c r="B11" s="160">
        <v>2</v>
      </c>
      <c r="C11" s="78" t="s">
        <v>1324</v>
      </c>
      <c r="D11" s="304" t="s">
        <v>562</v>
      </c>
      <c r="E11" s="71">
        <f>SUM(E12:E18)</f>
        <v>783508374</v>
      </c>
      <c r="F11" s="71">
        <f t="shared" ref="F11:I11" si="0">SUM(F12:F18)</f>
        <v>798987797</v>
      </c>
      <c r="G11" s="71">
        <f t="shared" si="0"/>
        <v>798987797</v>
      </c>
      <c r="H11" s="71">
        <f t="shared" si="0"/>
        <v>0</v>
      </c>
      <c r="I11" s="71">
        <f t="shared" si="0"/>
        <v>0</v>
      </c>
    </row>
    <row r="12" spans="2:9" s="42" customFormat="1" x14ac:dyDescent="0.2">
      <c r="B12" s="160">
        <v>3</v>
      </c>
      <c r="C12" s="305" t="s">
        <v>1288</v>
      </c>
      <c r="D12" s="306" t="s">
        <v>1325</v>
      </c>
      <c r="E12" s="72">
        <f>SUMIF(Adat!$AC:$AC,CONCATENATE(61,Info!$D$5,"091111"),Adat!$E:$E)*-1</f>
        <v>250117687</v>
      </c>
      <c r="F12" s="72">
        <f>SUMIF(Adat!$AC:$AC,CONCATENATE(60,Info!$D$5,"091111"),Adat!$E:$E)*-1+E12</f>
        <v>256722032</v>
      </c>
      <c r="G12" s="72">
        <f>SUMIF(Adat!$AD:$AD,CONCATENATE(Info!$D$5,"091111","(KÖT)"),Adat!$E:$E)*-1</f>
        <v>256722032</v>
      </c>
      <c r="H12" s="72">
        <f>SUMIF(Adat!$AD:$AD,CONCATENATE(Info!$D$5,"091111","(ÖNV)"),Adat!$E:$E)*-1</f>
        <v>0</v>
      </c>
      <c r="I12" s="72">
        <f>SUMIF(Adat!$AD:$AD,CONCATENATE(Info!$D$5,"091111","(ÁIG)"),Adat!$E:$E)*-1</f>
        <v>0</v>
      </c>
    </row>
    <row r="13" spans="2:9" x14ac:dyDescent="0.2">
      <c r="B13" s="160">
        <v>4</v>
      </c>
      <c r="C13" s="305" t="s">
        <v>1289</v>
      </c>
      <c r="D13" s="306" t="s">
        <v>735</v>
      </c>
      <c r="E13" s="72">
        <f>SUMIF(Adat!$AC:$AC,CONCATENATE(61,Info!$D$5,"091121"),Adat!$E:$E)*-1</f>
        <v>273336590</v>
      </c>
      <c r="F13" s="72">
        <f>SUMIF(Adat!$AC:$AC,CONCATENATE(60,Info!$D$5,"091121"),Adat!$E:$E)*-1+E13</f>
        <v>273336590</v>
      </c>
      <c r="G13" s="72">
        <f>SUMIF(Adat!$Z:$Z,CONCATENATE("(KÖT)","091121"),Adat!$E:$E)*-1</f>
        <v>273336590</v>
      </c>
      <c r="H13" s="72">
        <f>SUMIF(Adat!$Z:$Z,CONCATENATE("(ÖNV)","091121"),Adat!$E:$E)*-1</f>
        <v>0</v>
      </c>
      <c r="I13" s="72">
        <f>SUMIF(Adat!$Z:$Z,CONCATENATE("(ÁIG)","091121"),Adat!$E:$E)*-1</f>
        <v>0</v>
      </c>
    </row>
    <row r="14" spans="2:9" x14ac:dyDescent="0.2">
      <c r="B14" s="160">
        <v>5</v>
      </c>
      <c r="C14" s="305" t="s">
        <v>1290</v>
      </c>
      <c r="D14" s="306" t="s">
        <v>1326</v>
      </c>
      <c r="E14" s="72">
        <f>SUMIF(Adat!$AC:$AC,CONCATENATE(61,Info!$D$5,"0911311"),Adat!$E:$E)*-1</f>
        <v>98121389</v>
      </c>
      <c r="F14" s="72">
        <f>SUMIF(Adat!$AC:$AC,CONCATENATE(60,Info!$D$5,"0911311"),Adat!$E:$E)*-1+E14</f>
        <v>106996467</v>
      </c>
      <c r="G14" s="72">
        <f>SUMIF(Adat!$Z:$Z,CONCATENATE("(KÖT)","0911311"),Adat!$E:$E)*-1</f>
        <v>106996467</v>
      </c>
      <c r="H14" s="72">
        <f>SUMIF(Adat!$Z:$Z,CONCATENATE("(ÖNV)","0911311"),Adat!$E:$E)*-1</f>
        <v>0</v>
      </c>
      <c r="I14" s="72">
        <f>SUMIF(Adat!$Z:$Z,CONCATENATE("(ÁIG)","0911311"),Adat!$E:$E)*-1</f>
        <v>0</v>
      </c>
    </row>
    <row r="15" spans="2:9" x14ac:dyDescent="0.2">
      <c r="B15" s="160">
        <v>6</v>
      </c>
      <c r="C15" s="305" t="s">
        <v>1254</v>
      </c>
      <c r="D15" s="306" t="s">
        <v>736</v>
      </c>
      <c r="E15" s="72">
        <f>SUMIF(Adat!$AC:$AC,CONCATENATE(61,Info!$D$5,"0911321"),Adat!$E:$E)*-1</f>
        <v>147019091</v>
      </c>
      <c r="F15" s="72">
        <f>SUMIF(Adat!$AC:$AC,CONCATENATE(60,Info!$D$5,"0911321"),Adat!$E:$E)*-1+E15</f>
        <v>147019091</v>
      </c>
      <c r="G15" s="72">
        <f>SUMIF(Adat!$Z:$Z,CONCATENATE("(KÖT)","0911321"),Adat!$E:$E)*-1</f>
        <v>147019091</v>
      </c>
      <c r="H15" s="72">
        <f>SUMIF(Adat!$Z:$Z,CONCATENATE("(ÖNV)","0911321"),Adat!$E:$E)*-1</f>
        <v>0</v>
      </c>
      <c r="I15" s="72">
        <f>SUMIF(Adat!$Z:$Z,CONCATENATE("(ÁIG)","0911321"),Adat!$E:$E)*-1</f>
        <v>0</v>
      </c>
    </row>
    <row r="16" spans="2:9" x14ac:dyDescent="0.25">
      <c r="B16" s="160">
        <v>7</v>
      </c>
      <c r="C16" s="305" t="s">
        <v>1291</v>
      </c>
      <c r="D16" s="307" t="s">
        <v>737</v>
      </c>
      <c r="E16" s="72">
        <f>SUMIF(Adat!$AC:$AC,CONCATENATE(61,Info!$D$5,"091141"),Adat!$E:$E)*-1</f>
        <v>14913617</v>
      </c>
      <c r="F16" s="72">
        <f>SUMIF(Adat!$AC:$AC,CONCATENATE(60,Info!$D$5,"091141"),Adat!$E:$E)*-1+E16</f>
        <v>14913617</v>
      </c>
      <c r="G16" s="72">
        <f>SUMIF(Adat!$Z:$Z,CONCATENATE("(KÖT)","091141"),Adat!$E:$E)*-1</f>
        <v>14913617</v>
      </c>
      <c r="H16" s="72">
        <f>SUMIF(Adat!$Z:$Z,CONCATENATE("(ÖNV)","091141"),Adat!$E:$E)*-1</f>
        <v>0</v>
      </c>
      <c r="I16" s="72">
        <f>SUMIF(Adat!$Z:$Z,CONCATENATE("(ÁIG)","091141"),Adat!$E:$E)*-1</f>
        <v>0</v>
      </c>
    </row>
    <row r="17" spans="2:9" x14ac:dyDescent="0.25">
      <c r="B17" s="160">
        <v>8</v>
      </c>
      <c r="C17" s="305" t="s">
        <v>1312</v>
      </c>
      <c r="D17" s="307" t="s">
        <v>738</v>
      </c>
      <c r="E17" s="72">
        <f>SUMIF(Adat!$AC:$AC,CONCATENATE(61,Info!$D$5,"091151"),Adat!$E:$E)*-1</f>
        <v>0</v>
      </c>
      <c r="F17" s="72">
        <f>SUMIF(Adat!$AC:$AC,CONCATENATE(60,Info!$D$5,"091151"),Adat!$E:$E)*-1+E17</f>
        <v>0</v>
      </c>
      <c r="G17" s="72">
        <f>SUMIF(Adat!$Z:$Z,CONCATENATE("(KÖT)","091151"),Adat!$E:$E)*-1</f>
        <v>0</v>
      </c>
      <c r="H17" s="72">
        <f>SUMIF(Adat!$Z:$Z,CONCATENATE("(ÖNV)","091151"),Adat!$E:$E)*-1</f>
        <v>0</v>
      </c>
      <c r="I17" s="72">
        <f>SUMIF(Adat!$Z:$Z,CONCATENATE("(ÁIG)","091151"),Adat!$E:$E)*-1</f>
        <v>0</v>
      </c>
    </row>
    <row r="18" spans="2:9" s="42" customFormat="1" x14ac:dyDescent="0.25">
      <c r="B18" s="160">
        <v>9</v>
      </c>
      <c r="C18" s="305" t="s">
        <v>1308</v>
      </c>
      <c r="D18" s="307" t="s">
        <v>233</v>
      </c>
      <c r="E18" s="72">
        <f>SUMIF(Adat!$AC:$AC,CONCATENATE(61,Info!$D$5,"091161"),Adat!$E:$E)*-1</f>
        <v>0</v>
      </c>
      <c r="F18" s="72">
        <f>SUMIF(Adat!$AC:$AC,CONCATENATE(60,Info!$D$5,"091161"),Adat!$E:$E)*-1+E18</f>
        <v>0</v>
      </c>
      <c r="G18" s="72">
        <f>SUMIF(Adat!$Z:$Z,CONCATENATE("(KÖT)","091161"),Adat!$E:$E)*-1</f>
        <v>0</v>
      </c>
      <c r="H18" s="72">
        <f>SUMIF(Adat!$Z:$Z,CONCATENATE("(ÖNV)","091161"),Adat!$E:$E)*-1</f>
        <v>0</v>
      </c>
      <c r="I18" s="72">
        <f>SUMIF(Adat!$Z:$Z,CONCATENATE("(ÁIG)","091161"),Adat!$E:$E)*-1</f>
        <v>0</v>
      </c>
    </row>
    <row r="19" spans="2:9" s="42" customFormat="1" x14ac:dyDescent="0.25">
      <c r="B19" s="160">
        <v>10</v>
      </c>
      <c r="C19" s="78" t="s">
        <v>1328</v>
      </c>
      <c r="D19" s="308" t="s">
        <v>437</v>
      </c>
      <c r="E19" s="71">
        <f>SUM(E20:E24)</f>
        <v>8184480</v>
      </c>
      <c r="F19" s="71">
        <f t="shared" ref="F19" si="1">SUM(F20:F24)</f>
        <v>8184480</v>
      </c>
      <c r="G19" s="71">
        <f>SUM(G20:G24)</f>
        <v>8184480</v>
      </c>
      <c r="H19" s="71">
        <f t="shared" ref="H19:I19" si="2">SUM(H20:H24)</f>
        <v>0</v>
      </c>
      <c r="I19" s="71">
        <f t="shared" si="2"/>
        <v>0</v>
      </c>
    </row>
    <row r="20" spans="2:9" s="42" customFormat="1" x14ac:dyDescent="0.2">
      <c r="B20" s="160">
        <v>11</v>
      </c>
      <c r="C20" s="305" t="s">
        <v>1329</v>
      </c>
      <c r="D20" s="306" t="s">
        <v>1330</v>
      </c>
      <c r="E20" s="72">
        <f>SUMIF(Adat!$AC:$AC,CONCATENATE(61,Info!$D$5,"09121"),Adat!$E:$E)*-1</f>
        <v>0</v>
      </c>
      <c r="F20" s="72">
        <f>SUMIF(Adat!$AC:$AC,CONCATENATE(60,Info!$D$5,"09121"),Adat!$E:$E)*-1+E20</f>
        <v>0</v>
      </c>
      <c r="G20" s="72">
        <f>SUMIF(Adat!$AD:$AD,CONCATENATE(Info!$D$5,"09121","(KÖT)"),Adat!$E:$E)*-1</f>
        <v>0</v>
      </c>
      <c r="H20" s="72">
        <f>SUMIF(Adat!$AD:$AD,CONCATENATE(Info!$D$5,"09121","(ÖNV)"),Adat!$E:$E)*-1</f>
        <v>0</v>
      </c>
      <c r="I20" s="72">
        <f>SUMIF(Adat!$AD:$AD,CONCATENATE(Info!$D$5,"09121","(ÁIG)"),Adat!$E:$E)*-1</f>
        <v>0</v>
      </c>
    </row>
    <row r="21" spans="2:9" s="42" customFormat="1" x14ac:dyDescent="0.2">
      <c r="B21" s="160">
        <v>12</v>
      </c>
      <c r="C21" s="305" t="s">
        <v>1331</v>
      </c>
      <c r="D21" s="306" t="s">
        <v>1332</v>
      </c>
      <c r="E21" s="72">
        <f>SUMIF(Adat!$AC:$AC,CONCATENATE(61,Info!$D$5,"09131"),Adat!$E:$E)*-1</f>
        <v>0</v>
      </c>
      <c r="F21" s="72">
        <f>SUMIF(Adat!$AC:$AC,CONCATENATE(60,Info!$D$5,"09131"),Adat!$E:$E)*-1+E21</f>
        <v>0</v>
      </c>
      <c r="G21" s="72">
        <f>SUMIF(Adat!$AD:$AD,CONCATENATE(Info!$D$5,"09131","(KÖT)"),Adat!$E:$E)*-1</f>
        <v>0</v>
      </c>
      <c r="H21" s="72">
        <f>SUMIF(Adat!$AD:$AD,CONCATENATE(Info!$D$5,"09131","(ÖNV)"),Adat!$E:$E)*-1</f>
        <v>0</v>
      </c>
      <c r="I21" s="72">
        <f>SUMIF(Adat!$AD:$AD,CONCATENATE(Info!$D$5,"09131","(ÁIG)"),Adat!$E:$E)*-1</f>
        <v>0</v>
      </c>
    </row>
    <row r="22" spans="2:9" s="42" customFormat="1" x14ac:dyDescent="0.2">
      <c r="B22" s="160">
        <v>13</v>
      </c>
      <c r="C22" s="305" t="s">
        <v>1333</v>
      </c>
      <c r="D22" s="306" t="s">
        <v>1334</v>
      </c>
      <c r="E22" s="72">
        <f>SUMIF(Adat!$AC:$AC,CONCATENATE(61,Info!$D$5,"09141"),Adat!$E:$E)*-1</f>
        <v>0</v>
      </c>
      <c r="F22" s="72">
        <f>SUMIF(Adat!$AC:$AC,CONCATENATE(60,Info!$D$5,"09141"),Adat!$E:$E)*-1+E22</f>
        <v>0</v>
      </c>
      <c r="G22" s="72">
        <f>SUMIF(Adat!$AD:$AD,CONCATENATE(Info!$D$5,"09141","(KÖT)"),Adat!$E:$E)*-1</f>
        <v>0</v>
      </c>
      <c r="H22" s="72">
        <f>SUMIF(Adat!$AD:$AD,CONCATENATE(Info!$D$5,"09141","(ÖNV)"),Adat!$E:$E)*-1</f>
        <v>0</v>
      </c>
      <c r="I22" s="72">
        <f>SUMIF(Adat!$AD:$AD,CONCATENATE(Info!$D$5,"09141","(ÁIG)"),Adat!$E:$E)*-1</f>
        <v>0</v>
      </c>
    </row>
    <row r="23" spans="2:9" s="42" customFormat="1" x14ac:dyDescent="0.2">
      <c r="B23" s="160">
        <v>14</v>
      </c>
      <c r="C23" s="305" t="s">
        <v>1335</v>
      </c>
      <c r="D23" s="306" t="s">
        <v>1336</v>
      </c>
      <c r="E23" s="72">
        <f>SUMIF(Adat!$AC:$AC,CONCATENATE(61,Info!$D$5,"09151"),Adat!$E:$E)*-1</f>
        <v>0</v>
      </c>
      <c r="F23" s="72">
        <f>SUMIF(Adat!$AC:$AC,CONCATENATE(60,Info!$D$5,"09151"),Adat!$E:$E)*-1+E23</f>
        <v>0</v>
      </c>
      <c r="G23" s="72">
        <f>SUMIF(Adat!$AD:$AD,CONCATENATE(Info!$D$5,"09151","(KÖT)"),Adat!$E:$E)*-1</f>
        <v>0</v>
      </c>
      <c r="H23" s="72">
        <f>SUMIF(Adat!$AD:$AD,CONCATENATE(Info!$D$5,"09151","(ÖNV)"),Adat!$E:$E)*-1</f>
        <v>0</v>
      </c>
      <c r="I23" s="72">
        <f>SUMIF(Adat!$AD:$AD,CONCATENATE(Info!$D$5,"09151","(ÁIG)"),Adat!$E:$E)*-1</f>
        <v>0</v>
      </c>
    </row>
    <row r="24" spans="2:9" s="42" customFormat="1" x14ac:dyDescent="0.2">
      <c r="B24" s="160">
        <v>15</v>
      </c>
      <c r="C24" s="305" t="s">
        <v>1278</v>
      </c>
      <c r="D24" s="306" t="s">
        <v>1337</v>
      </c>
      <c r="E24" s="72">
        <f>SUMIF(Adat!$AC:$AC,CONCATENATE(61,Info!$D$5,"09161"),Adat!$E:$E)*-1</f>
        <v>8184480</v>
      </c>
      <c r="F24" s="72">
        <f>SUMIF(Adat!$AC:$AC,CONCATENATE(60,Info!$D$5,"09161"),Adat!$E:$E)*-1+E24</f>
        <v>8184480</v>
      </c>
      <c r="G24" s="72">
        <f>SUMIF(Adat!$AD:$AD,CONCATENATE(Info!$D$5,"09161","(KÖT)"),Adat!$E:$E)*-1</f>
        <v>8184480</v>
      </c>
      <c r="H24" s="72">
        <f>SUMIF(Adat!$AD:$AD,CONCATENATE(Info!$D$5,"09161","(ÖNV)"),Adat!$E:$E)*-1</f>
        <v>0</v>
      </c>
      <c r="I24" s="72">
        <f>SUMIF(Adat!$AD:$AD,CONCATENATE(Info!$D$5,"09161","(ÁIG)"),Adat!$E:$E)*-1</f>
        <v>0</v>
      </c>
    </row>
    <row r="25" spans="2:9" x14ac:dyDescent="0.25">
      <c r="B25" s="160">
        <v>16</v>
      </c>
      <c r="C25" s="79" t="s">
        <v>24</v>
      </c>
      <c r="D25" s="304" t="s">
        <v>449</v>
      </c>
      <c r="E25" s="71">
        <f t="shared" ref="E25:F25" si="3">SUM(E26:E30)</f>
        <v>104900566</v>
      </c>
      <c r="F25" s="71">
        <f t="shared" si="3"/>
        <v>74340963</v>
      </c>
      <c r="G25" s="71">
        <f>SUM(G26:G30)</f>
        <v>74340963</v>
      </c>
      <c r="H25" s="71">
        <f t="shared" ref="H25:I25" si="4">SUM(H26:H30)</f>
        <v>0</v>
      </c>
      <c r="I25" s="71">
        <f t="shared" si="4"/>
        <v>0</v>
      </c>
    </row>
    <row r="26" spans="2:9" x14ac:dyDescent="0.2">
      <c r="B26" s="160">
        <v>17</v>
      </c>
      <c r="C26" s="305" t="s">
        <v>1339</v>
      </c>
      <c r="D26" s="306" t="s">
        <v>1340</v>
      </c>
      <c r="E26" s="72">
        <f>SUMIF(Adat!$AC:$AC,CONCATENATE(61,Info!$D$5,"09211"),Adat!$E:$E)*-1</f>
        <v>104900566</v>
      </c>
      <c r="F26" s="72">
        <f>SUMIF(Adat!$AC:$AC,CONCATENATE(60,Info!$D$5,"09211"),Adat!$E:$E)*-1+E26</f>
        <v>39811000</v>
      </c>
      <c r="G26" s="72">
        <f>SUMIF(Adat!$AD:$AD,CONCATENATE(Info!$D$5,"09211","(KÖT)"),Adat!$E:$E)*-1</f>
        <v>39811000</v>
      </c>
      <c r="H26" s="72">
        <f>SUMIF(Adat!$AD:$AD,CONCATENATE(Info!$D$5,"09211","(ÖNV)"),Adat!$E:$E)*-1</f>
        <v>0</v>
      </c>
      <c r="I26" s="72">
        <f>SUMIF(Adat!$AD:$AD,CONCATENATE(Info!$D$5,"09211","(ÁIG)"),Adat!$E:$E)*-1</f>
        <v>0</v>
      </c>
    </row>
    <row r="27" spans="2:9" s="42" customFormat="1" x14ac:dyDescent="0.2">
      <c r="B27" s="160">
        <v>18</v>
      </c>
      <c r="C27" s="305" t="s">
        <v>1341</v>
      </c>
      <c r="D27" s="306" t="s">
        <v>1342</v>
      </c>
      <c r="E27" s="72">
        <f>SUMIF(Adat!$AC:$AC,CONCATENATE(61,Info!$D$5,"09221"),Adat!$E:$E)*-1</f>
        <v>0</v>
      </c>
      <c r="F27" s="72">
        <f>SUMIF(Adat!$AC:$AC,CONCATENATE(60,Info!$D$5,"09221"),Adat!$E:$E)*-1+E27</f>
        <v>0</v>
      </c>
      <c r="G27" s="72">
        <f>SUMIF(Adat!$AD:$AD,CONCATENATE(Info!$D$5,"09221","(KÖT)"),Adat!$E:$E)*-1</f>
        <v>0</v>
      </c>
      <c r="H27" s="72">
        <f>SUMIF(Adat!$AD:$AD,CONCATENATE(Info!$D$5,"09221","(ÖNV)"),Adat!$E:$E)*-1</f>
        <v>0</v>
      </c>
      <c r="I27" s="72">
        <f>SUMIF(Adat!$AD:$AD,CONCATENATE(Info!$D$5,"09221","(ÁIG)"),Adat!$E:$E)*-1</f>
        <v>0</v>
      </c>
    </row>
    <row r="28" spans="2:9" x14ac:dyDescent="0.2">
      <c r="B28" s="160">
        <v>19</v>
      </c>
      <c r="C28" s="305" t="s">
        <v>1343</v>
      </c>
      <c r="D28" s="306" t="s">
        <v>1344</v>
      </c>
      <c r="E28" s="72">
        <f>SUMIF(Adat!$AC:$AC,CONCATENATE(61,Info!$D$5,"09231"),Adat!$E:$E)*-1</f>
        <v>0</v>
      </c>
      <c r="F28" s="72">
        <f>SUMIF(Adat!$AC:$AC,CONCATENATE(60,Info!$D$5,"09231"),Adat!$E:$E)*-1+E28</f>
        <v>0</v>
      </c>
      <c r="G28" s="72">
        <f>SUMIF(Adat!$AD:$AD,CONCATENATE(Info!$D$5,"09231","(KÖT)"),Adat!$E:$E)*-1</f>
        <v>0</v>
      </c>
      <c r="H28" s="72">
        <f>SUMIF(Adat!$AD:$AD,CONCATENATE(Info!$D$5,"09231","(ÖNV)"),Adat!$E:$E)*-1</f>
        <v>0</v>
      </c>
      <c r="I28" s="72">
        <f>SUMIF(Adat!$AD:$AD,CONCATENATE(Info!$D$5,"09231","(ÁIG)"),Adat!$E:$E)*-1</f>
        <v>0</v>
      </c>
    </row>
    <row r="29" spans="2:9" x14ac:dyDescent="0.2">
      <c r="B29" s="160">
        <v>20</v>
      </c>
      <c r="C29" s="305" t="s">
        <v>1345</v>
      </c>
      <c r="D29" s="306" t="s">
        <v>1346</v>
      </c>
      <c r="E29" s="72">
        <f>SUMIF(Adat!$AC:$AC,CONCATENATE(61,Info!$D$5,"09241"),Adat!$E:$E)*-1</f>
        <v>0</v>
      </c>
      <c r="F29" s="72">
        <f>SUMIF(Adat!$AC:$AC,CONCATENATE(60,Info!$D$5,"09241"),Adat!$E:$E)*-1+E29</f>
        <v>0</v>
      </c>
      <c r="G29" s="72">
        <f>SUMIF(Adat!$AD:$AD,CONCATENATE(Info!$D$5,"09241","(KÖT)"),Adat!$E:$E)*-1</f>
        <v>0</v>
      </c>
      <c r="H29" s="72">
        <f>SUMIF(Adat!$AD:$AD,CONCATENATE(Info!$D$5,"09241","(ÖNV)"),Adat!$E:$E)*-1</f>
        <v>0</v>
      </c>
      <c r="I29" s="72">
        <f>SUMIF(Adat!$AD:$AD,CONCATENATE(Info!$D$5,"09241","(ÁIG)"),Adat!$E:$E)*-1</f>
        <v>0</v>
      </c>
    </row>
    <row r="30" spans="2:9" x14ac:dyDescent="0.2">
      <c r="B30" s="160">
        <v>21</v>
      </c>
      <c r="C30" s="305" t="s">
        <v>1255</v>
      </c>
      <c r="D30" s="306" t="s">
        <v>1347</v>
      </c>
      <c r="E30" s="72">
        <f>SUMIF(Adat!$AC:$AC,CONCATENATE(61,Info!$D$5,"09251"),Adat!$E:$E)*-1</f>
        <v>0</v>
      </c>
      <c r="F30" s="72">
        <f>SUMIF(Adat!$AC:$AC,CONCATENATE(60,Info!$D$5,"09251"),Adat!$E:$E)*-1+E30</f>
        <v>34529963</v>
      </c>
      <c r="G30" s="72">
        <f>SUMIF(Adat!$AD:$AD,CONCATENATE(Info!$D$5,"09251","(KÖT)"),Adat!$E:$E)*-1</f>
        <v>34529963</v>
      </c>
      <c r="H30" s="72">
        <f>SUMIF(Adat!$AD:$AD,CONCATENATE(Info!$D$5,"09251","(ÖNV)"),Adat!$E:$E)*-1</f>
        <v>0</v>
      </c>
      <c r="I30" s="72">
        <f>SUMIF(Adat!$AD:$AD,CONCATENATE(Info!$D$5,"09251","(ÁIG)"),Adat!$E:$E)*-1</f>
        <v>0</v>
      </c>
    </row>
    <row r="31" spans="2:9" x14ac:dyDescent="0.25">
      <c r="B31" s="160">
        <v>22</v>
      </c>
      <c r="C31" s="79" t="s">
        <v>27</v>
      </c>
      <c r="D31" s="304" t="s">
        <v>328</v>
      </c>
      <c r="E31" s="71">
        <f>SUM(E32:E37)</f>
        <v>341800000</v>
      </c>
      <c r="F31" s="71">
        <f>SUM(F32:F37)</f>
        <v>341800000</v>
      </c>
      <c r="G31" s="71">
        <f>SUM(G32:G37)</f>
        <v>341800000</v>
      </c>
      <c r="H31" s="71">
        <f>SUM(H32:H37)</f>
        <v>0</v>
      </c>
      <c r="I31" s="71">
        <f>SUM(I32:I37)</f>
        <v>0</v>
      </c>
    </row>
    <row r="32" spans="2:9" x14ac:dyDescent="0.2">
      <c r="B32" s="160">
        <v>23</v>
      </c>
      <c r="C32" s="305" t="s">
        <v>1348</v>
      </c>
      <c r="D32" s="306" t="s">
        <v>1349</v>
      </c>
      <c r="E32" s="72">
        <f>SUMIF(Adat!$AC:$AC,CONCATENATE(61,Info!$D$5,"093111"),Adat!$E:$E)*-1</f>
        <v>0</v>
      </c>
      <c r="F32" s="72">
        <f>SUMIF(Adat!$AC:$AC,CONCATENATE(60,Info!$D$5,"093111"),Adat!$E:$E)*-1+E32</f>
        <v>0</v>
      </c>
      <c r="G32" s="72">
        <f>SUMIF(Adat!$AD:$AD,CONCATENATE(Info!$D$5,"093111","(KÖT)"),Adat!$E:$E)*-1</f>
        <v>0</v>
      </c>
      <c r="H32" s="72">
        <f>SUMIF(Adat!$AD:$AD,CONCATENATE(Info!$D$5,"093111","(ÖNV)"),Adat!$E:$E)*-1</f>
        <v>0</v>
      </c>
      <c r="I32" s="72">
        <f>SUMIF(Adat!$AD:$AD,CONCATENATE(Info!$D$5,"093111","(ÁIG)"),Adat!$E:$E)*-1</f>
        <v>0</v>
      </c>
    </row>
    <row r="33" spans="2:9" x14ac:dyDescent="0.2">
      <c r="B33" s="160">
        <v>24</v>
      </c>
      <c r="C33" s="305" t="s">
        <v>1259</v>
      </c>
      <c r="D33" s="306" t="s">
        <v>1350</v>
      </c>
      <c r="E33" s="72">
        <f>SUMIF(Adat!$AC:$AC,CONCATENATE(61,Info!$D$5,"09341"),Adat!$E:$E)*-1</f>
        <v>175000000</v>
      </c>
      <c r="F33" s="72">
        <f>SUMIF(Adat!$AC:$AC,CONCATENATE(60,Info!$D$5,"09341"),Adat!$E:$E)*-1+E33</f>
        <v>175000000</v>
      </c>
      <c r="G33" s="72">
        <f>SUMIF(Adat!$AD:$AD,CONCATENATE(Info!$D$5,"09341","(KÖT)"),Adat!$E:$E)*-1</f>
        <v>175000000</v>
      </c>
      <c r="H33" s="72">
        <f>SUMIF(Adat!$AD:$AD,CONCATENATE(Info!$D$5,"09341","(ÖNV)"),Adat!$E:$E)*-1</f>
        <v>0</v>
      </c>
      <c r="I33" s="72">
        <f>SUMIF(Adat!$AD:$AD,CONCATENATE(Info!$D$5,"09341","(ÁIG)"),Adat!$E:$E)*-1</f>
        <v>0</v>
      </c>
    </row>
    <row r="34" spans="2:9" x14ac:dyDescent="0.2">
      <c r="B34" s="160">
        <v>25</v>
      </c>
      <c r="C34" s="305" t="s">
        <v>1260</v>
      </c>
      <c r="D34" s="306" t="s">
        <v>1351</v>
      </c>
      <c r="E34" s="72">
        <f>SUMIF(Adat!$AC:$AC,CONCATENATE(61,Info!$D$5,"093511"),Adat!$E:$E)*-1</f>
        <v>150000000</v>
      </c>
      <c r="F34" s="72">
        <f>SUMIF(Adat!$AC:$AC,CONCATENATE(60,Info!$D$5,"093511"),Adat!$E:$E)*-1+E34</f>
        <v>150000000</v>
      </c>
      <c r="G34" s="72">
        <f>SUMIF(Adat!$AD:$AD,CONCATENATE(Info!$D$5,"093511","(KÖT)"),Adat!$E:$E)*-1</f>
        <v>150000000</v>
      </c>
      <c r="H34" s="72">
        <f>SUMIF(Adat!$AD:$AD,CONCATENATE(Info!$D$5,"093511","(ÖNV)"),Adat!$E:$E)*-1</f>
        <v>0</v>
      </c>
      <c r="I34" s="72">
        <f>SUMIF(Adat!$AD:$AD,CONCATENATE(Info!$D$5,"093511","(ÁIG)"),Adat!$E:$E)*-1</f>
        <v>0</v>
      </c>
    </row>
    <row r="35" spans="2:9" x14ac:dyDescent="0.2">
      <c r="B35" s="160">
        <v>26</v>
      </c>
      <c r="C35" s="305" t="s">
        <v>1352</v>
      </c>
      <c r="D35" s="306" t="s">
        <v>1353</v>
      </c>
      <c r="E35" s="72">
        <f>SUMIF(Adat!$AC:$AC,CONCATENATE(61,Info!$D$5,"093521"),Adat!$E:$E)*-1</f>
        <v>0</v>
      </c>
      <c r="F35" s="72">
        <f>SUMIF(Adat!$AC:$AC,CONCATENATE(60,Info!$D$5,"093521"),Adat!$E:$E)*-1+E35</f>
        <v>0</v>
      </c>
      <c r="G35" s="72">
        <f>SUMIF(Adat!$AD:$AD,CONCATENATE(Info!$D$5,"093521","(KÖT)"),Adat!$E:$E)*-1</f>
        <v>0</v>
      </c>
      <c r="H35" s="72">
        <f>SUMIF(Adat!$AD:$AD,CONCATENATE(Info!$D$5,"093521","(ÖNV)"),Adat!$E:$E)*-1</f>
        <v>0</v>
      </c>
      <c r="I35" s="72">
        <f>SUMIF(Adat!$AD:$AD,CONCATENATE(Info!$D$5,"093521","(ÁIG)"),Adat!$E:$E)*-1</f>
        <v>0</v>
      </c>
    </row>
    <row r="36" spans="2:9" x14ac:dyDescent="0.2">
      <c r="B36" s="160">
        <v>27</v>
      </c>
      <c r="C36" s="305" t="s">
        <v>1292</v>
      </c>
      <c r="D36" s="306" t="s">
        <v>1354</v>
      </c>
      <c r="E36" s="72">
        <f>SUMIF(Adat!$AC:$AC,CONCATENATE(61,Info!$D$5,"093551"),Adat!$E:$E)*-1</f>
        <v>12000000</v>
      </c>
      <c r="F36" s="72">
        <f>SUMIF(Adat!$AC:$AC,CONCATENATE(60,Info!$D$5,"093551"),Adat!$E:$E)*-1+E36</f>
        <v>12000000</v>
      </c>
      <c r="G36" s="72">
        <f>SUMIF(Adat!$AD:$AD,CONCATENATE(Info!$D$5,"093551","(KÖT)"),Adat!$E:$E)*-1</f>
        <v>12000000</v>
      </c>
      <c r="H36" s="72">
        <f>SUMIF(Adat!$AD:$AD,CONCATENATE(Info!$D$5,"093551","(ÖNV)"),Adat!$E:$E)*-1</f>
        <v>0</v>
      </c>
      <c r="I36" s="72">
        <f>SUMIF(Adat!$AD:$AD,CONCATENATE(Info!$D$5,"093551","(ÁIG)"),Adat!$E:$E)*-1</f>
        <v>0</v>
      </c>
    </row>
    <row r="37" spans="2:9" x14ac:dyDescent="0.2">
      <c r="B37" s="160">
        <v>28</v>
      </c>
      <c r="C37" s="305" t="s">
        <v>1293</v>
      </c>
      <c r="D37" s="306" t="s">
        <v>1355</v>
      </c>
      <c r="E37" s="72">
        <f>SUMIF(Adat!$AC:$AC,CONCATENATE(61,Info!$D$5,"09361"),Adat!$E:$E)*-1</f>
        <v>4800000</v>
      </c>
      <c r="F37" s="72">
        <f>SUMIF(Adat!$AC:$AC,CONCATENATE(60,Info!$D$5,"09361"),Adat!$E:$E)*-1+E37</f>
        <v>4800000</v>
      </c>
      <c r="G37" s="72">
        <f>SUMIF(Adat!$AD:$AD,CONCATENATE(Info!$D$5,"09361","(KÖT)"),Adat!$E:$E)*-1</f>
        <v>4800000</v>
      </c>
      <c r="H37" s="72">
        <f>SUMIF(Adat!$AD:$AD,CONCATENATE(Info!$D$5,"09361","(ÖNV)"),Adat!$E:$E)*-1</f>
        <v>0</v>
      </c>
      <c r="I37" s="72">
        <f>SUMIF(Adat!$AD:$AD,CONCATENATE(Info!$D$5,"09361","(ÁIG)"),Adat!$E:$E)*-1</f>
        <v>0</v>
      </c>
    </row>
    <row r="38" spans="2:9" x14ac:dyDescent="0.25">
      <c r="B38" s="160">
        <v>29</v>
      </c>
      <c r="C38" s="79" t="s">
        <v>30</v>
      </c>
      <c r="D38" s="304" t="s">
        <v>329</v>
      </c>
      <c r="E38" s="71">
        <f>SUM(E39:E51)</f>
        <v>144480800</v>
      </c>
      <c r="F38" s="71">
        <f t="shared" ref="F38:I38" si="5">SUM(F39:F51)</f>
        <v>144480800</v>
      </c>
      <c r="G38" s="71">
        <f t="shared" si="5"/>
        <v>144480800</v>
      </c>
      <c r="H38" s="71">
        <f t="shared" si="5"/>
        <v>0</v>
      </c>
      <c r="I38" s="71">
        <f t="shared" si="5"/>
        <v>0</v>
      </c>
    </row>
    <row r="39" spans="2:9" x14ac:dyDescent="0.2">
      <c r="B39" s="160">
        <v>30</v>
      </c>
      <c r="C39" s="305" t="s">
        <v>1309</v>
      </c>
      <c r="D39" s="306" t="s">
        <v>1356</v>
      </c>
      <c r="E39" s="72">
        <f>SUMIF(Adat!$AC:$AC,CONCATENATE(61,Info!$D$5,"094011"),Adat!$E:$E)*-1</f>
        <v>0</v>
      </c>
      <c r="F39" s="72">
        <f>SUMIF(Adat!$AC:$AC,CONCATENATE(60,Info!$D$5,"094011"),Adat!$E:$E)*-1+E39</f>
        <v>0</v>
      </c>
      <c r="G39" s="72">
        <f>SUMIF(Adat!$AD:$AD,CONCATENATE(Info!$D$5,"094011","(KÖT)"),Adat!$E:$E)*-1</f>
        <v>0</v>
      </c>
      <c r="H39" s="72">
        <f>SUMIF(Adat!$AD:$AD,CONCATENATE(Info!$D$5,"094011","(ÖNV)"),Adat!$E:$E)*-1</f>
        <v>0</v>
      </c>
      <c r="I39" s="72">
        <f>SUMIF(Adat!$AD:$AD,CONCATENATE(Info!$D$5,"094011","(ÁIG)"),Adat!$E:$E)*-1</f>
        <v>0</v>
      </c>
    </row>
    <row r="40" spans="2:9" x14ac:dyDescent="0.2">
      <c r="B40" s="160">
        <v>31</v>
      </c>
      <c r="C40" s="305" t="s">
        <v>1279</v>
      </c>
      <c r="D40" s="306" t="s">
        <v>1357</v>
      </c>
      <c r="E40" s="72">
        <f>SUMIF(Adat!$AC:$AC,CONCATENATE(61,Info!$D$5,"094021"),Adat!$E:$E)*-1</f>
        <v>68240000</v>
      </c>
      <c r="F40" s="72">
        <f>SUMIF(Adat!$AC:$AC,CONCATENATE(60,Info!$D$5,"094021"),Adat!$E:$E)*-1+E40</f>
        <v>68240000</v>
      </c>
      <c r="G40" s="72">
        <f>SUMIF(Adat!$AD:$AD,CONCATENATE(Info!$D$5,"094021","(KÖT)"),Adat!$E:$E)*-1</f>
        <v>68240000</v>
      </c>
      <c r="H40" s="72">
        <f>SUMIF(Adat!$AD:$AD,CONCATENATE(Info!$D$5,"094021","(ÖNV)"),Adat!$E:$E)*-1</f>
        <v>0</v>
      </c>
      <c r="I40" s="72">
        <f>SUMIF(Adat!$AD:$AD,CONCATENATE(Info!$D$5,"094021","(ÁIG)"),Adat!$E:$E)*-1</f>
        <v>0</v>
      </c>
    </row>
    <row r="41" spans="2:9" x14ac:dyDescent="0.2">
      <c r="B41" s="160">
        <v>32</v>
      </c>
      <c r="C41" s="305" t="s">
        <v>1272</v>
      </c>
      <c r="D41" s="306" t="s">
        <v>1358</v>
      </c>
      <c r="E41" s="72">
        <f>SUMIF(Adat!$AC:$AC,CONCATENATE(61,Info!$D$5,"094031"),Adat!$E:$E)*-1</f>
        <v>15000000</v>
      </c>
      <c r="F41" s="72">
        <f>SUMIF(Adat!$AC:$AC,CONCATENATE(60,Info!$D$5,"094031"),Adat!$E:$E)*-1+E41</f>
        <v>15000000</v>
      </c>
      <c r="G41" s="72">
        <f>SUMIF(Adat!$AD:$AD,CONCATENATE(Info!$D$5,"094031","(KÖT)"),Adat!$E:$E)*-1</f>
        <v>15000000</v>
      </c>
      <c r="H41" s="72">
        <f>SUMIF(Adat!$AD:$AD,CONCATENATE(Info!$D$5,"094031","(ÖNV)"),Adat!$E:$E)*-1</f>
        <v>0</v>
      </c>
      <c r="I41" s="72">
        <f>SUMIF(Adat!$AD:$AD,CONCATENATE(Info!$D$5,"094031","(ÁIG)"),Adat!$E:$E)*-1</f>
        <v>0</v>
      </c>
    </row>
    <row r="42" spans="2:9" x14ac:dyDescent="0.2">
      <c r="B42" s="160">
        <v>33</v>
      </c>
      <c r="C42" s="305" t="s">
        <v>1359</v>
      </c>
      <c r="D42" s="306" t="s">
        <v>1360</v>
      </c>
      <c r="E42" s="72">
        <f>SUMIF(Adat!$AC:$AC,CONCATENATE(61,Info!$D$5,"094041"),Adat!$E:$E)*-1</f>
        <v>0</v>
      </c>
      <c r="F42" s="72">
        <f>SUMIF(Adat!$AC:$AC,CONCATENATE(60,Info!$D$5,"094041"),Adat!$E:$E)*-1+E42</f>
        <v>0</v>
      </c>
      <c r="G42" s="72">
        <f>SUMIF(Adat!$AD:$AD,CONCATENATE(Info!$D$5,"094041","(KÖT)"),Adat!$E:$E)*-1</f>
        <v>0</v>
      </c>
      <c r="H42" s="72">
        <f>SUMIF(Adat!$AD:$AD,CONCATENATE(Info!$D$5,"094041","(ÖNV)"),Adat!$E:$E)*-1</f>
        <v>0</v>
      </c>
      <c r="I42" s="72">
        <f>SUMIF(Adat!$AD:$AD,CONCATENATE(Info!$D$5,"094041","(ÁIG)"),Adat!$E:$E)*-1</f>
        <v>0</v>
      </c>
    </row>
    <row r="43" spans="2:9" x14ac:dyDescent="0.2">
      <c r="B43" s="160">
        <v>34</v>
      </c>
      <c r="C43" s="305" t="s">
        <v>1261</v>
      </c>
      <c r="D43" s="306" t="s">
        <v>1361</v>
      </c>
      <c r="E43" s="72">
        <f>SUMIF(Adat!$AC:$AC,CONCATENATE(61,Info!$D$5,"094051"),Adat!$E:$E)*-1</f>
        <v>27840000</v>
      </c>
      <c r="F43" s="72">
        <f>SUMIF(Adat!$AC:$AC,CONCATENATE(60,Info!$D$5,"094051"),Adat!$E:$E)*-1+E43</f>
        <v>27840000</v>
      </c>
      <c r="G43" s="72">
        <f>SUMIF(Adat!$AD:$AD,CONCATENATE(Info!$D$5,"094051","(KÖT)"),Adat!$E:$E)*-1</f>
        <v>27840000</v>
      </c>
      <c r="H43" s="72">
        <f>SUMIF(Adat!$AD:$AD,CONCATENATE(Info!$D$5,"094051","(ÖNV)"),Adat!$E:$E)*-1</f>
        <v>0</v>
      </c>
      <c r="I43" s="72">
        <f>SUMIF(Adat!$AD:$AD,CONCATENATE(Info!$D$5,"094051","(ÁIG)"),Adat!$E:$E)*-1</f>
        <v>0</v>
      </c>
    </row>
    <row r="44" spans="2:9" x14ac:dyDescent="0.2">
      <c r="B44" s="160">
        <v>35</v>
      </c>
      <c r="C44" s="305" t="s">
        <v>1273</v>
      </c>
      <c r="D44" s="306" t="s">
        <v>1362</v>
      </c>
      <c r="E44" s="72">
        <f>SUMIF(Adat!$AC:$AC,CONCATENATE(61,Info!$D$5,"094061"),Adat!$E:$E)*-1</f>
        <v>17560800</v>
      </c>
      <c r="F44" s="72">
        <f>SUMIF(Adat!$AC:$AC,CONCATENATE(60,Info!$D$5,"094061"),Adat!$E:$E)*-1+E44</f>
        <v>17560800</v>
      </c>
      <c r="G44" s="72">
        <f>SUMIF(Adat!$AD:$AD,CONCATENATE(Info!$D$5,"094061","(KÖT)"),Adat!$E:$E)*-1</f>
        <v>17560800</v>
      </c>
      <c r="H44" s="72">
        <f>SUMIF(Adat!$AD:$AD,CONCATENATE(Info!$D$5,"094061","(ÖNV)"),Adat!$E:$E)*-1</f>
        <v>0</v>
      </c>
      <c r="I44" s="72">
        <f>SUMIF(Adat!$AD:$AD,CONCATENATE(Info!$D$5,"094061","(ÁIG)"),Adat!$E:$E)*-1</f>
        <v>0</v>
      </c>
    </row>
    <row r="45" spans="2:9" x14ac:dyDescent="0.2">
      <c r="B45" s="160">
        <v>36</v>
      </c>
      <c r="C45" s="305" t="s">
        <v>1363</v>
      </c>
      <c r="D45" s="306" t="s">
        <v>1364</v>
      </c>
      <c r="E45" s="72">
        <f>SUMIF(Adat!$AC:$AC,CONCATENATE(61,Info!$D$5,"094071"),Adat!$E:$E)*-1</f>
        <v>15840000</v>
      </c>
      <c r="F45" s="72">
        <f>SUMIF(Adat!$AC:$AC,CONCATENATE(60,Info!$D$5,"094071"),Adat!$E:$E)*-1+E45</f>
        <v>15840000</v>
      </c>
      <c r="G45" s="72">
        <f>SUMIF(Adat!$AD:$AD,CONCATENATE(Info!$D$5,"094071","(KÖT)"),Adat!$E:$E)*-1</f>
        <v>15840000</v>
      </c>
      <c r="H45" s="72">
        <f>SUMIF(Adat!$AD:$AD,CONCATENATE(Info!$D$5,"094071","(ÖNV)"),Adat!$E:$E)*-1</f>
        <v>0</v>
      </c>
      <c r="I45" s="72">
        <f>SUMIF(Adat!$AD:$AD,CONCATENATE(Info!$D$5,"094071","(ÁIG)"),Adat!$E:$E)*-1</f>
        <v>0</v>
      </c>
    </row>
    <row r="46" spans="2:9" x14ac:dyDescent="0.2">
      <c r="B46" s="160">
        <v>37</v>
      </c>
      <c r="C46" s="305" t="s">
        <v>1306</v>
      </c>
      <c r="D46" s="306" t="s">
        <v>1365</v>
      </c>
      <c r="E46" s="72">
        <f>SUMIF(Adat!$AC:$AC,CONCATENATE(61,Info!$D$5,"0940811"),Adat!$E:$E)*-1</f>
        <v>0</v>
      </c>
      <c r="F46" s="72">
        <f>SUMIF(Adat!$AC:$AC,CONCATENATE(60,Info!$D$5,"0940811"),Adat!$E:$E)*-1+E46</f>
        <v>0</v>
      </c>
      <c r="G46" s="72">
        <f>SUMIF(Adat!$AD:$AD,CONCATENATE(Info!$D$5,"0940811","(KÖT)"),Adat!$E:$E)*-1</f>
        <v>0</v>
      </c>
      <c r="H46" s="72">
        <f>SUMIF(Adat!$AD:$AD,CONCATENATE(Info!$D$5,"0940811","(ÖNV)"),Adat!$E:$E)*-1</f>
        <v>0</v>
      </c>
      <c r="I46" s="72">
        <f>SUMIF(Adat!$AD:$AD,CONCATENATE(Info!$D$5,"0940811","(ÁIG)"),Adat!$E:$E)*-1</f>
        <v>0</v>
      </c>
    </row>
    <row r="47" spans="2:9" x14ac:dyDescent="0.2">
      <c r="B47" s="160">
        <v>38</v>
      </c>
      <c r="C47" s="305" t="s">
        <v>1295</v>
      </c>
      <c r="D47" s="306" t="s">
        <v>1366</v>
      </c>
      <c r="E47" s="72">
        <f>SUMIF(Adat!$AC:$AC,CONCATENATE(61,Info!$D$5,"0940821"),Adat!$E:$E)*-1</f>
        <v>0</v>
      </c>
      <c r="F47" s="72">
        <f>SUMIF(Adat!$AC:$AC,CONCATENATE(60,Info!$D$5,"0940821"),Adat!$E:$E)*-1+E47</f>
        <v>0</v>
      </c>
      <c r="G47" s="72">
        <f>SUMIF(Adat!$AD:$AD,CONCATENATE(Info!$D$5,"0940821","(KÖT)"),Adat!$E:$E)*-1</f>
        <v>0</v>
      </c>
      <c r="H47" s="72">
        <f>SUMIF(Adat!$AD:$AD,CONCATENATE(Info!$D$5,"0940821","(ÖNV)"),Adat!$E:$E)*-1</f>
        <v>0</v>
      </c>
      <c r="I47" s="72">
        <f>SUMIF(Adat!$AD:$AD,CONCATENATE(Info!$D$5,"0940821","(ÁIG)"),Adat!$E:$E)*-1</f>
        <v>0</v>
      </c>
    </row>
    <row r="48" spans="2:9" x14ac:dyDescent="0.2">
      <c r="B48" s="160">
        <v>39</v>
      </c>
      <c r="C48" s="305" t="s">
        <v>1367</v>
      </c>
      <c r="D48" s="306" t="s">
        <v>1368</v>
      </c>
      <c r="E48" s="72">
        <f>SUMIF(Adat!$AC:$AC,CONCATENATE(61,Info!$D$5,"0940911"),Adat!$E:$E)*-1</f>
        <v>0</v>
      </c>
      <c r="F48" s="72">
        <f>SUMIF(Adat!$AC:$AC,CONCATENATE(60,Info!$D$5,"0940911"),Adat!$E:$E)*-1+E48</f>
        <v>0</v>
      </c>
      <c r="G48" s="72">
        <f>SUMIF(Adat!$AD:$AD,CONCATENATE(Info!$D$5,"0940911","(KÖT)"),Adat!$E:$E)*-1</f>
        <v>0</v>
      </c>
      <c r="H48" s="72">
        <f>SUMIF(Adat!$AD:$AD,CONCATENATE(Info!$D$5,"0940911","(ÖNV)"),Adat!$E:$E)*-1</f>
        <v>0</v>
      </c>
      <c r="I48" s="72">
        <f>SUMIF(Adat!$AD:$AD,CONCATENATE(Info!$D$5,"0940911","(ÁIG)"),Adat!$E:$E)*-1</f>
        <v>0</v>
      </c>
    </row>
    <row r="49" spans="2:9" x14ac:dyDescent="0.2">
      <c r="B49" s="160">
        <v>40</v>
      </c>
      <c r="C49" s="305" t="s">
        <v>1369</v>
      </c>
      <c r="D49" s="306" t="s">
        <v>1370</v>
      </c>
      <c r="E49" s="72">
        <f>SUMIF(Adat!$AC:$AC,CONCATENATE(61,Info!$D$5,"0940921"),Adat!$E:$E)*-1</f>
        <v>0</v>
      </c>
      <c r="F49" s="72">
        <f>SUMIF(Adat!$AC:$AC,CONCATENATE(60,Info!$D$5,"0940921"),Adat!$E:$E)*-1+E49</f>
        <v>0</v>
      </c>
      <c r="G49" s="72">
        <f>SUMIF(Adat!$AD:$AD,CONCATENATE(Info!$D$5,"0940921","(KÖT)"),Adat!$E:$E)*-1</f>
        <v>0</v>
      </c>
      <c r="H49" s="72">
        <f>SUMIF(Adat!$AD:$AD,CONCATENATE(Info!$D$5,"0940921","(ÖNV)"),Adat!$E:$E)*-1</f>
        <v>0</v>
      </c>
      <c r="I49" s="72">
        <f>SUMIF(Adat!$AD:$AD,CONCATENATE(Info!$D$5,"0940921","(ÁIG)"),Adat!$E:$E)*-1</f>
        <v>0</v>
      </c>
    </row>
    <row r="50" spans="2:9" x14ac:dyDescent="0.2">
      <c r="B50" s="160">
        <v>41</v>
      </c>
      <c r="C50" s="305" t="s">
        <v>1296</v>
      </c>
      <c r="D50" s="306" t="s">
        <v>1371</v>
      </c>
      <c r="E50" s="72">
        <f>SUMIF(Adat!$AC:$AC,CONCATENATE(61,Info!$D$5,"094101"),Adat!$E:$E)*-1</f>
        <v>0</v>
      </c>
      <c r="F50" s="72">
        <f>SUMIF(Adat!$AC:$AC,CONCATENATE(60,Info!$D$5,"094101"),Adat!$E:$E)*-1+E50</f>
        <v>0</v>
      </c>
      <c r="G50" s="72">
        <f>SUMIF(Adat!$AD:$AD,CONCATENATE(Info!$D$5,"094101","(KÖT)"),Adat!$E:$E)*-1</f>
        <v>0</v>
      </c>
      <c r="H50" s="72">
        <f>SUMIF(Adat!$AD:$AD,CONCATENATE(Info!$D$5,"094101","(ÖNV)"),Adat!$E:$E)*-1</f>
        <v>0</v>
      </c>
      <c r="I50" s="72">
        <f>SUMIF(Adat!$AD:$AD,CONCATENATE(Info!$D$5,"094101","(ÁIG)"),Adat!$E:$E)*-1</f>
        <v>0</v>
      </c>
    </row>
    <row r="51" spans="2:9" x14ac:dyDescent="0.25">
      <c r="B51" s="160">
        <v>42</v>
      </c>
      <c r="C51" s="305" t="s">
        <v>1297</v>
      </c>
      <c r="D51" s="307" t="s">
        <v>1372</v>
      </c>
      <c r="E51" s="72">
        <f>SUMIF(Adat!$AC:$AC,CONCATENATE(61,Info!$D$5,"094111"),Adat!$E:$E)*-1</f>
        <v>0</v>
      </c>
      <c r="F51" s="72">
        <f>SUMIF(Adat!$AC:$AC,CONCATENATE(60,Info!$D$5,"094111"),Adat!$E:$E)*-1+E51</f>
        <v>0</v>
      </c>
      <c r="G51" s="72">
        <f>SUMIF(Adat!$AD:$AD,CONCATENATE(Info!$D$5,"094111","(KÖT)"),Adat!$E:$E)*-1</f>
        <v>0</v>
      </c>
      <c r="H51" s="72">
        <f>SUMIF(Adat!$AD:$AD,CONCATENATE(Info!$D$5,"094111","(ÖNV)"),Adat!$E:$E)*-1</f>
        <v>0</v>
      </c>
      <c r="I51" s="72">
        <f>SUMIF(Adat!$AD:$AD,CONCATENATE(Info!$D$5,"094111","(ÁIG)"),Adat!$E:$E)*-1</f>
        <v>0</v>
      </c>
    </row>
    <row r="52" spans="2:9" x14ac:dyDescent="0.25">
      <c r="B52" s="160">
        <v>43</v>
      </c>
      <c r="C52" s="79" t="s">
        <v>33</v>
      </c>
      <c r="D52" s="304" t="s">
        <v>330</v>
      </c>
      <c r="E52" s="71">
        <f>SUM(E53:E57)</f>
        <v>0</v>
      </c>
      <c r="F52" s="71">
        <f>SUM(F53:F57)</f>
        <v>0</v>
      </c>
      <c r="G52" s="71">
        <f>SUM(G53:G57)</f>
        <v>0</v>
      </c>
      <c r="H52" s="71">
        <f>SUM(H53:H57)</f>
        <v>0</v>
      </c>
      <c r="I52" s="71">
        <f>SUM(I53:I57)</f>
        <v>0</v>
      </c>
    </row>
    <row r="53" spans="2:9" x14ac:dyDescent="0.2">
      <c r="B53" s="160">
        <v>44</v>
      </c>
      <c r="C53" s="305" t="s">
        <v>1373</v>
      </c>
      <c r="D53" s="306" t="s">
        <v>1374</v>
      </c>
      <c r="E53" s="72">
        <f>SUMIF(Adat!$AC:$AC,CONCATENATE(61,Info!$D$5,"09511"),Adat!$E:$E)*-1</f>
        <v>0</v>
      </c>
      <c r="F53" s="72">
        <f>SUMIF(Adat!$AC:$AC,CONCATENATE(60,Info!$D$5,"09511"),Adat!$E:$E)*-1+E53</f>
        <v>0</v>
      </c>
      <c r="G53" s="72">
        <f>SUMIF(Adat!$AD:$AD,CONCATENATE(Info!$D$5,"09511","(KÖT)"),Adat!$E:$E)*-1</f>
        <v>0</v>
      </c>
      <c r="H53" s="72">
        <f>SUMIF(Adat!$AD:$AD,CONCATENATE(Info!$D$5,"09511","(ÖNV)"),Adat!$E:$E)*-1</f>
        <v>0</v>
      </c>
      <c r="I53" s="72">
        <f>SUMIF(Adat!$AD:$AD,CONCATENATE(Info!$D$5,"09511","(ÁIG)"),Adat!$E:$E)*-1</f>
        <v>0</v>
      </c>
    </row>
    <row r="54" spans="2:9" x14ac:dyDescent="0.2">
      <c r="B54" s="160">
        <v>45</v>
      </c>
      <c r="C54" s="305" t="s">
        <v>1294</v>
      </c>
      <c r="D54" s="306" t="s">
        <v>1375</v>
      </c>
      <c r="E54" s="72">
        <f>SUMIF(Adat!$AC:$AC,CONCATENATE(61,Info!$D$5,"09521"),Adat!$E:$E)*-1</f>
        <v>0</v>
      </c>
      <c r="F54" s="72">
        <f>SUMIF(Adat!$AC:$AC,CONCATENATE(60,Info!$D$5,"09521"),Adat!$E:$E)*-1+E54</f>
        <v>0</v>
      </c>
      <c r="G54" s="72">
        <f>SUMIF(Adat!$AD:$AD,CONCATENATE(Info!$D$5,"09521","(KÖT)"),Adat!$E:$E)*-1</f>
        <v>0</v>
      </c>
      <c r="H54" s="72">
        <f>SUMIF(Adat!$AD:$AD,CONCATENATE(Info!$D$5,"09521","(ÖNV)"),Adat!$E:$E)*-1</f>
        <v>0</v>
      </c>
      <c r="I54" s="72">
        <f>SUMIF(Adat!$AD:$AD,CONCATENATE(Info!$D$5,"09521","(ÁIG)"),Adat!$E:$E)*-1</f>
        <v>0</v>
      </c>
    </row>
    <row r="55" spans="2:9" x14ac:dyDescent="0.2">
      <c r="B55" s="160">
        <v>46</v>
      </c>
      <c r="C55" s="305" t="s">
        <v>1376</v>
      </c>
      <c r="D55" s="306" t="s">
        <v>1377</v>
      </c>
      <c r="E55" s="72">
        <f>SUMIF(Adat!$AC:$AC,CONCATENATE(61,Info!$D$5,"09531"),Adat!$E:$E)*-1</f>
        <v>0</v>
      </c>
      <c r="F55" s="72">
        <f>SUMIF(Adat!$AC:$AC,CONCATENATE(60,Info!$D$5,"09531"),Adat!$E:$E)*-1+E55</f>
        <v>0</v>
      </c>
      <c r="G55" s="72">
        <f>SUMIF(Adat!$AD:$AD,CONCATENATE(Info!$D$5,"09531","(KÖT)"),Adat!$E:$E)*-1</f>
        <v>0</v>
      </c>
      <c r="H55" s="72">
        <f>SUMIF(Adat!$AD:$AD,CONCATENATE(Info!$D$5,"09531","(ÖNV)"),Adat!$E:$E)*-1</f>
        <v>0</v>
      </c>
      <c r="I55" s="72">
        <f>SUMIF(Adat!$AD:$AD,CONCATENATE(Info!$D$5,"09531","(ÁIG)"),Adat!$E:$E)*-1</f>
        <v>0</v>
      </c>
    </row>
    <row r="56" spans="2:9" x14ac:dyDescent="0.2">
      <c r="B56" s="160">
        <v>47</v>
      </c>
      <c r="C56" s="305" t="s">
        <v>1378</v>
      </c>
      <c r="D56" s="306" t="s">
        <v>1379</v>
      </c>
      <c r="E56" s="72">
        <f>SUMIF(Adat!$AC:$AC,CONCATENATE(61,Info!$D$5,"09541"),Adat!$E:$E)*-1</f>
        <v>0</v>
      </c>
      <c r="F56" s="72">
        <f>SUMIF(Adat!$AC:$AC,CONCATENATE(60,Info!$D$5,"09541"),Adat!$E:$E)*-1+E56</f>
        <v>0</v>
      </c>
      <c r="G56" s="72">
        <f>SUMIF(Adat!$AD:$AD,CONCATENATE(Info!$D$5,"09541","(KÖT)"),Adat!$E:$E)*-1</f>
        <v>0</v>
      </c>
      <c r="H56" s="72">
        <f>SUMIF(Adat!$AD:$AD,CONCATENATE(Info!$D$5,"09541","(ÖNV)"),Adat!$E:$E)*-1</f>
        <v>0</v>
      </c>
      <c r="I56" s="72">
        <f>SUMIF(Adat!$AD:$AD,CONCATENATE(Info!$D$5,"09541","(ÁIG)"),Adat!$E:$E)*-1</f>
        <v>0</v>
      </c>
    </row>
    <row r="57" spans="2:9" x14ac:dyDescent="0.25">
      <c r="B57" s="160">
        <v>48</v>
      </c>
      <c r="C57" s="305" t="s">
        <v>1380</v>
      </c>
      <c r="D57" s="307" t="s">
        <v>1381</v>
      </c>
      <c r="E57" s="72">
        <f>SUMIF(Adat!$AC:$AC,CONCATENATE(61,Info!$D$5,"09551"),Adat!$E:$E)*-1</f>
        <v>0</v>
      </c>
      <c r="F57" s="72">
        <f>SUMIF(Adat!$AC:$AC,CONCATENATE(60,Info!$D$5,"09551"),Adat!$E:$E)*-1+E57</f>
        <v>0</v>
      </c>
      <c r="G57" s="72">
        <f>SUMIF(Adat!$AD:$AD,CONCATENATE(Info!$D$5,"09551","(KÖT)"),Adat!$E:$E)*-1</f>
        <v>0</v>
      </c>
      <c r="H57" s="72">
        <f>SUMIF(Adat!$AD:$AD,CONCATENATE(Info!$D$5,"09551","(ÖNV)"),Adat!$E:$E)*-1</f>
        <v>0</v>
      </c>
      <c r="I57" s="72">
        <f>SUMIF(Adat!$AD:$AD,CONCATENATE(Info!$D$5,"09551","(ÁIG)"),Adat!$E:$E)*-1</f>
        <v>0</v>
      </c>
    </row>
    <row r="58" spans="2:9" x14ac:dyDescent="0.25">
      <c r="B58" s="160">
        <v>49</v>
      </c>
      <c r="C58" s="79" t="s">
        <v>36</v>
      </c>
      <c r="D58" s="304" t="s">
        <v>331</v>
      </c>
      <c r="E58" s="71">
        <f>SUM(E59:E63)</f>
        <v>0</v>
      </c>
      <c r="F58" s="71">
        <f t="shared" ref="F58:I58" si="6">SUM(F59:F63)</f>
        <v>1250400</v>
      </c>
      <c r="G58" s="71">
        <f t="shared" si="6"/>
        <v>1250400</v>
      </c>
      <c r="H58" s="71">
        <f t="shared" si="6"/>
        <v>0</v>
      </c>
      <c r="I58" s="71">
        <f t="shared" si="6"/>
        <v>0</v>
      </c>
    </row>
    <row r="59" spans="2:9" x14ac:dyDescent="0.2">
      <c r="B59" s="160">
        <v>50</v>
      </c>
      <c r="C59" s="305" t="s">
        <v>1382</v>
      </c>
      <c r="D59" s="306" t="s">
        <v>1383</v>
      </c>
      <c r="E59" s="72">
        <f>SUMIF(Adat!$AC:$AC,CONCATENATE(61,Info!$D$5,"09611"),Adat!$E:$E)*-1</f>
        <v>0</v>
      </c>
      <c r="F59" s="72">
        <f>SUMIF(Adat!$AC:$AC,CONCATENATE(60,Info!$D$5,"09611"),Adat!$E:$E)*-1+E59</f>
        <v>0</v>
      </c>
      <c r="G59" s="72">
        <f>SUMIF(Adat!$AD:$AD,CONCATENATE(Info!$D$5,"09611","(KÖT)"),Adat!$E:$E)*-1</f>
        <v>0</v>
      </c>
      <c r="H59" s="72">
        <f>SUMIF(Adat!$AD:$AD,CONCATENATE(Info!$D$5,"09611","(ÖNV)"),Adat!$E:$E)*-1</f>
        <v>0</v>
      </c>
      <c r="I59" s="72">
        <f>SUMIF(Adat!$AD:$AD,CONCATENATE(Info!$D$5,"09611","(ÁIG)"),Adat!$E:$E)*-1</f>
        <v>0</v>
      </c>
    </row>
    <row r="60" spans="2:9" x14ac:dyDescent="0.2">
      <c r="B60" s="160">
        <v>51</v>
      </c>
      <c r="C60" s="305" t="s">
        <v>1384</v>
      </c>
      <c r="D60" s="306" t="s">
        <v>1385</v>
      </c>
      <c r="E60" s="72">
        <f>SUMIF(Adat!$AC:$AC,CONCATENATE(61,Info!$D$5,"09621"),Adat!$E:$E)*-1</f>
        <v>0</v>
      </c>
      <c r="F60" s="72">
        <f>SUMIF(Adat!$AC:$AC,CONCATENATE(60,Info!$D$5,"09621"),Adat!$E:$E)*-1+E60</f>
        <v>0</v>
      </c>
      <c r="G60" s="72">
        <f>SUMIF(Adat!$AD:$AD,CONCATENATE(Info!$D$5,"09621","(KÖT)"),Adat!$E:$E)*-1</f>
        <v>0</v>
      </c>
      <c r="H60" s="72">
        <f>SUMIF(Adat!$AD:$AD,CONCATENATE(Info!$D$5,"09621","(ÖNV)"),Adat!$E:$E)*-1</f>
        <v>0</v>
      </c>
      <c r="I60" s="72">
        <f>SUMIF(Adat!$AD:$AD,CONCATENATE(Info!$D$5,"09621","(ÁIG)"),Adat!$E:$E)*-1</f>
        <v>0</v>
      </c>
    </row>
    <row r="61" spans="2:9" x14ac:dyDescent="0.2">
      <c r="B61" s="160">
        <v>52</v>
      </c>
      <c r="C61" s="305" t="s">
        <v>1386</v>
      </c>
      <c r="D61" s="306" t="s">
        <v>1387</v>
      </c>
      <c r="E61" s="72">
        <f>SUMIF(Adat!$AC:$AC,CONCATENATE(61,Info!$D$5,"09631"),Adat!$E:$E)*-1</f>
        <v>0</v>
      </c>
      <c r="F61" s="72">
        <f>SUMIF(Adat!$AC:$AC,CONCATENATE(60,Info!$D$5,"09631"),Adat!$E:$E)*-1+E61</f>
        <v>0</v>
      </c>
      <c r="G61" s="72">
        <f>SUMIF(Adat!$AD:$AD,CONCATENATE(Info!$D$5,"09631","(KÖT)"),Adat!$E:$E)*-1</f>
        <v>0</v>
      </c>
      <c r="H61" s="72">
        <f>SUMIF(Adat!$AD:$AD,CONCATENATE(Info!$D$5,"09631","(ÖNV)"),Adat!$E:$E)*-1</f>
        <v>0</v>
      </c>
      <c r="I61" s="72">
        <f>SUMIF(Adat!$AD:$AD,CONCATENATE(Info!$D$5,"09631","(ÁIG)"),Adat!$E:$E)*-1</f>
        <v>0</v>
      </c>
    </row>
    <row r="62" spans="2:9" x14ac:dyDescent="0.2">
      <c r="B62" s="160">
        <v>53</v>
      </c>
      <c r="C62" s="305" t="s">
        <v>1388</v>
      </c>
      <c r="D62" s="306" t="s">
        <v>1389</v>
      </c>
      <c r="E62" s="72">
        <f>SUMIF(Adat!$AC:$AC,CONCATENATE(61,Info!$D$5,"09641"),Adat!$E:$E)*-1</f>
        <v>0</v>
      </c>
      <c r="F62" s="72">
        <f>SUMIF(Adat!$AC:$AC,CONCATENATE(60,Info!$D$5,"09641"),Adat!$E:$E)*-1+E62</f>
        <v>0</v>
      </c>
      <c r="G62" s="72">
        <f>SUMIF(Adat!$AD:$AD,CONCATENATE(Info!$D$5,"09641","(KÖT)"),Adat!$E:$E)*-1</f>
        <v>0</v>
      </c>
      <c r="H62" s="72">
        <f>SUMIF(Adat!$AD:$AD,CONCATENATE(Info!$D$5,"09641","(ÖNV)"),Adat!$E:$E)*-1</f>
        <v>0</v>
      </c>
      <c r="I62" s="72">
        <f>SUMIF(Adat!$AD:$AD,CONCATENATE(Info!$D$5,"09641","(ÁIG)"),Adat!$E:$E)*-1</f>
        <v>0</v>
      </c>
    </row>
    <row r="63" spans="2:9" x14ac:dyDescent="0.2">
      <c r="B63" s="160">
        <v>54</v>
      </c>
      <c r="C63" s="305" t="s">
        <v>1310</v>
      </c>
      <c r="D63" s="306" t="s">
        <v>1390</v>
      </c>
      <c r="E63" s="72">
        <f>SUMIF(Adat!$AC:$AC,CONCATENATE(61,Info!$D$5,"09651"),Adat!$E:$E)*-1</f>
        <v>0</v>
      </c>
      <c r="F63" s="72">
        <f>SUMIF(Adat!$AC:$AC,CONCATENATE(60,Info!$D$5,"09651"),Adat!$E:$E)*-1+E63</f>
        <v>1250400</v>
      </c>
      <c r="G63" s="72">
        <f>SUMIF(Adat!$AD:$AD,CONCATENATE(Info!$D$5,"09651","(KÖT)"),Adat!$E:$E)*-1</f>
        <v>1250400</v>
      </c>
      <c r="H63" s="72">
        <f>SUMIF(Adat!$AD:$AD,CONCATENATE(Info!$D$5,"09651","(ÖNV)"),Adat!$E:$E)*-1</f>
        <v>0</v>
      </c>
      <c r="I63" s="72">
        <f>SUMIF(Adat!$AD:$AD,CONCATENATE(Info!$D$5,"09651","(ÁIG)"),Adat!$E:$E)*-1</f>
        <v>0</v>
      </c>
    </row>
    <row r="64" spans="2:9" x14ac:dyDescent="0.25">
      <c r="B64" s="160">
        <v>55</v>
      </c>
      <c r="C64" s="79" t="s">
        <v>38</v>
      </c>
      <c r="D64" s="308" t="s">
        <v>332</v>
      </c>
      <c r="E64" s="71">
        <f>SUM(E65:E69)</f>
        <v>0</v>
      </c>
      <c r="F64" s="71">
        <f t="shared" ref="F64:I64" si="7">SUM(F65:F69)</f>
        <v>0</v>
      </c>
      <c r="G64" s="71">
        <f t="shared" si="7"/>
        <v>0</v>
      </c>
      <c r="H64" s="71">
        <f t="shared" si="7"/>
        <v>0</v>
      </c>
      <c r="I64" s="71">
        <f t="shared" si="7"/>
        <v>0</v>
      </c>
    </row>
    <row r="65" spans="2:9" x14ac:dyDescent="0.2">
      <c r="B65" s="160">
        <v>56</v>
      </c>
      <c r="C65" s="305" t="s">
        <v>1391</v>
      </c>
      <c r="D65" s="306" t="s">
        <v>1392</v>
      </c>
      <c r="E65" s="72">
        <f>SUMIF(Adat!$AC:$AC,CONCATENATE(61,Info!$D$5,"09711"),Adat!$E:$E)*-1</f>
        <v>0</v>
      </c>
      <c r="F65" s="72">
        <f>SUMIF(Adat!$AC:$AC,CONCATENATE(60,Info!$D$5,"09711"),Adat!$E:$E)*-1+E65</f>
        <v>0</v>
      </c>
      <c r="G65" s="72">
        <f>SUMIF(Adat!$AD:$AD,CONCATENATE(Info!$D$5,"09711","(KÖT)"),Adat!$E:$E)*-1</f>
        <v>0</v>
      </c>
      <c r="H65" s="72">
        <f>SUMIF(Adat!$AD:$AD,CONCATENATE(Info!$D$5,"09711","(ÖNV)"),Adat!$E:$E)*-1</f>
        <v>0</v>
      </c>
      <c r="I65" s="72">
        <f>SUMIF(Adat!$AD:$AD,CONCATENATE(Info!$D$5,"09711","(ÁIG)"),Adat!$E:$E)*-1</f>
        <v>0</v>
      </c>
    </row>
    <row r="66" spans="2:9" x14ac:dyDescent="0.2">
      <c r="B66" s="160">
        <v>57</v>
      </c>
      <c r="C66" s="305" t="s">
        <v>1393</v>
      </c>
      <c r="D66" s="306" t="s">
        <v>1394</v>
      </c>
      <c r="E66" s="72">
        <f>SUMIF(Adat!$AC:$AC,CONCATENATE(61,Info!$D$5,"09721"),Adat!$E:$E)*-1</f>
        <v>0</v>
      </c>
      <c r="F66" s="72">
        <f>SUMIF(Adat!$AC:$AC,CONCATENATE(60,Info!$D$5,"09721"),Adat!$E:$E)*-1+E66</f>
        <v>0</v>
      </c>
      <c r="G66" s="72">
        <f>SUMIF(Adat!$AD:$AD,CONCATENATE(Info!$D$5,"09721","(KÖT)"),Adat!$E:$E)*-1</f>
        <v>0</v>
      </c>
      <c r="H66" s="72">
        <f>SUMIF(Adat!$AD:$AD,CONCATENATE(Info!$D$5,"09721","(ÖNV)"),Adat!$E:$E)*-1</f>
        <v>0</v>
      </c>
      <c r="I66" s="72">
        <f>SUMIF(Adat!$AD:$AD,CONCATENATE(Info!$D$5,"09721","(ÁIG)"),Adat!$E:$E)*-1</f>
        <v>0</v>
      </c>
    </row>
    <row r="67" spans="2:9" x14ac:dyDescent="0.2">
      <c r="B67" s="160">
        <v>58</v>
      </c>
      <c r="C67" s="305" t="s">
        <v>1395</v>
      </c>
      <c r="D67" s="306" t="s">
        <v>1396</v>
      </c>
      <c r="E67" s="72">
        <f>SUMIF(Adat!$AC:$AC,CONCATENATE(61,Info!$D$5,"09731"),Adat!$E:$E)*-1</f>
        <v>0</v>
      </c>
      <c r="F67" s="72">
        <f>SUMIF(Adat!$AC:$AC,CONCATENATE(60,Info!$D$5,"09731"),Adat!$E:$E)*-1+E67</f>
        <v>0</v>
      </c>
      <c r="G67" s="72">
        <f>SUMIF(Adat!$AD:$AD,CONCATENATE(Info!$D$5,"09731","(KÖT)"),Adat!$E:$E)*-1</f>
        <v>0</v>
      </c>
      <c r="H67" s="72">
        <f>SUMIF(Adat!$AD:$AD,CONCATENATE(Info!$D$5,"09731","(ÖNV)"),Adat!$E:$E)*-1</f>
        <v>0</v>
      </c>
      <c r="I67" s="72">
        <f>SUMIF(Adat!$AD:$AD,CONCATENATE(Info!$D$5,"09731","(ÁIG)"),Adat!$E:$E)*-1</f>
        <v>0</v>
      </c>
    </row>
    <row r="68" spans="2:9" x14ac:dyDescent="0.2">
      <c r="B68" s="160">
        <v>59</v>
      </c>
      <c r="C68" s="305" t="s">
        <v>1397</v>
      </c>
      <c r="D68" s="306" t="s">
        <v>1398</v>
      </c>
      <c r="E68" s="72">
        <f>SUMIF(Adat!$AC:$AC,CONCATENATE(61,Info!$D$5,"09741"),Adat!$E:$E)*-1</f>
        <v>0</v>
      </c>
      <c r="F68" s="72">
        <f>SUMIF(Adat!$AC:$AC,CONCATENATE(60,Info!$D$5,"09741"),Adat!$E:$E)*-1+E68</f>
        <v>0</v>
      </c>
      <c r="G68" s="72">
        <f>SUMIF(Adat!$AD:$AD,CONCATENATE(Info!$D$5,"09741","(KÖT)"),Adat!$E:$E)*-1</f>
        <v>0</v>
      </c>
      <c r="H68" s="72">
        <f>SUMIF(Adat!$AD:$AD,CONCATENATE(Info!$D$5,"09741","(ÖNV)"),Adat!$E:$E)*-1</f>
        <v>0</v>
      </c>
      <c r="I68" s="72">
        <f>SUMIF(Adat!$AD:$AD,CONCATENATE(Info!$D$5,"09741","(ÁIG)"),Adat!$E:$E)*-1</f>
        <v>0</v>
      </c>
    </row>
    <row r="69" spans="2:9" x14ac:dyDescent="0.25">
      <c r="B69" s="160">
        <v>60</v>
      </c>
      <c r="C69" s="305" t="s">
        <v>1399</v>
      </c>
      <c r="D69" s="307" t="s">
        <v>1400</v>
      </c>
      <c r="E69" s="72">
        <f>SUMIF(Adat!$AC:$AC,CONCATENATE(61,Info!$D$5,"09751"),Adat!$E:$E)*-1</f>
        <v>0</v>
      </c>
      <c r="F69" s="72">
        <f>SUMIF(Adat!$AC:$AC,CONCATENATE(60,Info!$D$5,"09751"),Adat!$E:$E)*-1+E69</f>
        <v>0</v>
      </c>
      <c r="G69" s="72">
        <f>SUMIF(Adat!$AD:$AD,CONCATENATE(Info!$D$5,"09751","(KÖT)"),Adat!$E:$E)*-1</f>
        <v>0</v>
      </c>
      <c r="H69" s="72">
        <f>SUMIF(Adat!$AD:$AD,CONCATENATE(Info!$D$5,"09751","(ÖNV)"),Adat!$E:$E)*-1</f>
        <v>0</v>
      </c>
      <c r="I69" s="72">
        <f>SUMIF(Adat!$AD:$AD,CONCATENATE(Info!$D$5,"09751","(ÁIG)"),Adat!$E:$E)*-1</f>
        <v>0</v>
      </c>
    </row>
    <row r="70" spans="2:9" x14ac:dyDescent="0.25">
      <c r="B70" s="160">
        <v>61</v>
      </c>
      <c r="C70" s="78" t="s">
        <v>352</v>
      </c>
      <c r="D70" s="314" t="s">
        <v>1401</v>
      </c>
      <c r="E70" s="71">
        <f>+E11+E19+E25+E31+E38+E52+E58+E64</f>
        <v>1382874220</v>
      </c>
      <c r="F70" s="71">
        <f>+F11+F19+F25+F31+F38+F52+F58+F64</f>
        <v>1369044440</v>
      </c>
      <c r="G70" s="71">
        <f>+G11+G19+G25+G31+G38+G52+G58+G64</f>
        <v>1369044440</v>
      </c>
      <c r="H70" s="71">
        <f>+H11+H19+H25+H31+H38+H52+H58+H64</f>
        <v>0</v>
      </c>
      <c r="I70" s="71">
        <f>+I11+I19+I25+I31+I38+I52+I58+I64</f>
        <v>0</v>
      </c>
    </row>
    <row r="71" spans="2:9" x14ac:dyDescent="0.25">
      <c r="B71" s="160">
        <v>62</v>
      </c>
      <c r="C71" s="154" t="s">
        <v>1402</v>
      </c>
      <c r="D71" s="308" t="s">
        <v>1403</v>
      </c>
      <c r="E71" s="71">
        <f t="shared" ref="E71:G71" si="8">SUM(E72:E74)</f>
        <v>0</v>
      </c>
      <c r="F71" s="71">
        <f t="shared" si="8"/>
        <v>0</v>
      </c>
      <c r="G71" s="71">
        <f t="shared" si="8"/>
        <v>0</v>
      </c>
      <c r="H71" s="71">
        <f>SUM(H72:H74)</f>
        <v>0</v>
      </c>
      <c r="I71" s="71">
        <f>SUM(I72:I74)</f>
        <v>0</v>
      </c>
    </row>
    <row r="72" spans="2:9" x14ac:dyDescent="0.2">
      <c r="B72" s="160">
        <v>63</v>
      </c>
      <c r="C72" s="305" t="s">
        <v>1404</v>
      </c>
      <c r="D72" s="306" t="s">
        <v>1405</v>
      </c>
      <c r="E72" s="72">
        <f>SUMIF(Adat!$AC:$AC,CONCATENATE(61,Info!$D$5,"0981111"),Adat!$E:$E)*-1</f>
        <v>0</v>
      </c>
      <c r="F72" s="72">
        <f>SUMIF(Adat!$AC:$AC,CONCATENATE(60,Info!$D$5,"0981111"),Adat!$E:$E)*-1+E72</f>
        <v>0</v>
      </c>
      <c r="G72" s="72">
        <f>SUMIF(Adat!$AD:$AD,CONCATENATE(Info!$D$5,"0981111","(KÖT)"),Adat!$E:$E)*-1</f>
        <v>0</v>
      </c>
      <c r="H72" s="72">
        <f>SUMIF(Adat!$AD:$AD,CONCATENATE(Info!$D$5,"0981111","(ÖNV)"),Adat!$E:$E)*-1</f>
        <v>0</v>
      </c>
      <c r="I72" s="72">
        <f>SUMIF(Adat!$AD:$AD,CONCATENATE(Info!$D$5,"0981111","(ÁIG)"),Adat!$E:$E)*-1</f>
        <v>0</v>
      </c>
    </row>
    <row r="73" spans="2:9" x14ac:dyDescent="0.2">
      <c r="B73" s="160">
        <v>64</v>
      </c>
      <c r="C73" s="305" t="s">
        <v>1406</v>
      </c>
      <c r="D73" s="306" t="s">
        <v>1407</v>
      </c>
      <c r="E73" s="72">
        <f>SUMIF(Adat!$AC:$AC,CONCATENATE(61,Info!$D$5,"0981121"),Adat!$E:$E)*-1</f>
        <v>0</v>
      </c>
      <c r="F73" s="72">
        <f>SUMIF(Adat!$AC:$AC,CONCATENATE(60,Info!$D$5,"0981121"),Adat!$E:$E)*-1+E73</f>
        <v>0</v>
      </c>
      <c r="G73" s="72">
        <f>SUMIF(Adat!$AD:$AD,CONCATENATE(Info!$D$5,"0981121","(KÖT)"),Adat!$E:$E)*-1</f>
        <v>0</v>
      </c>
      <c r="H73" s="72">
        <f>SUMIF(Adat!$AD:$AD,CONCATENATE(Info!$D$5,"0981121","(ÖNV)"),Adat!$E:$E)*-1</f>
        <v>0</v>
      </c>
      <c r="I73" s="72">
        <f>SUMIF(Adat!$AD:$AD,CONCATENATE(Info!$D$5,"0981121","(ÁIG)"),Adat!$E:$E)*-1</f>
        <v>0</v>
      </c>
    </row>
    <row r="74" spans="2:9" x14ac:dyDescent="0.2">
      <c r="B74" s="160">
        <v>65</v>
      </c>
      <c r="C74" s="305" t="s">
        <v>1408</v>
      </c>
      <c r="D74" s="306" t="s">
        <v>1409</v>
      </c>
      <c r="E74" s="72">
        <f>SUMIF(Adat!$AC:$AC,CONCATENATE(61,Info!$D$5,"0981131"),Adat!$E:$E)*-1</f>
        <v>0</v>
      </c>
      <c r="F74" s="72">
        <f>SUMIF(Adat!$AC:$AC,CONCATENATE(60,Info!$D$5,"0981131"),Adat!$E:$E)*-1+E74</f>
        <v>0</v>
      </c>
      <c r="G74" s="72">
        <f>SUMIF(Adat!$AD:$AD,CONCATENATE(Info!$D$5,"0981131","(KÖT)"),Adat!$E:$E)*-1</f>
        <v>0</v>
      </c>
      <c r="H74" s="72">
        <f>SUMIF(Adat!$AD:$AD,CONCATENATE(Info!$D$5,"0981131","(ÖNV)"),Adat!$E:$E)*-1</f>
        <v>0</v>
      </c>
      <c r="I74" s="72">
        <f>SUMIF(Adat!$AD:$AD,CONCATENATE(Info!$D$5,"0981131","(ÁIG)"),Adat!$E:$E)*-1</f>
        <v>0</v>
      </c>
    </row>
    <row r="75" spans="2:9" x14ac:dyDescent="0.25">
      <c r="B75" s="160">
        <v>66</v>
      </c>
      <c r="C75" s="154" t="s">
        <v>1410</v>
      </c>
      <c r="D75" s="308" t="s">
        <v>574</v>
      </c>
      <c r="E75" s="71">
        <f>SUM(E76:E79)</f>
        <v>0</v>
      </c>
      <c r="F75" s="71">
        <f t="shared" ref="F75" si="9">SUM(F76:F79)</f>
        <v>0</v>
      </c>
      <c r="G75" s="71">
        <f>SUM(G76:G79)</f>
        <v>0</v>
      </c>
      <c r="H75" s="71">
        <f>SUM(H76:H79)</f>
        <v>0</v>
      </c>
      <c r="I75" s="71">
        <f>SUM(I76:I79)</f>
        <v>0</v>
      </c>
    </row>
    <row r="76" spans="2:9" x14ac:dyDescent="0.2">
      <c r="B76" s="160">
        <v>67</v>
      </c>
      <c r="C76" s="305" t="s">
        <v>1411</v>
      </c>
      <c r="D76" s="306" t="s">
        <v>1412</v>
      </c>
      <c r="E76" s="72">
        <f>SUMIF(Adat!$AC:$AC,CONCATENATE(61,Info!$D$5,"0981211"),Adat!$E:$E)*-1</f>
        <v>0</v>
      </c>
      <c r="F76" s="72">
        <f>SUMIF(Adat!$AC:$AC,CONCATENATE(60,Info!$D$5,"0981211"),Adat!$E:$E)*-1+E76</f>
        <v>0</v>
      </c>
      <c r="G76" s="72">
        <f>SUMIF(Adat!$AD:$AD,CONCATENATE(Info!$D$5,"0981211","(KÖT)"),Adat!$E:$E)*-1</f>
        <v>0</v>
      </c>
      <c r="H76" s="72">
        <f>SUMIF(Adat!$AD:$AD,CONCATENATE(Info!$D$5,"0981211","(ÖNV)"),Adat!$E:$E)*-1</f>
        <v>0</v>
      </c>
      <c r="I76" s="72">
        <f>SUMIF(Adat!$AD:$AD,CONCATENATE(Info!$D$5,"0981211","(ÁIG)"),Adat!$E:$E)*-1</f>
        <v>0</v>
      </c>
    </row>
    <row r="77" spans="2:9" x14ac:dyDescent="0.2">
      <c r="B77" s="160">
        <v>68</v>
      </c>
      <c r="C77" s="305" t="s">
        <v>1413</v>
      </c>
      <c r="D77" s="306" t="s">
        <v>1414</v>
      </c>
      <c r="E77" s="72">
        <f>SUMIF(Adat!$AC:$AC,CONCATENATE(61,Info!$D$5,"0981221"),Adat!$E:$E)*-1</f>
        <v>0</v>
      </c>
      <c r="F77" s="72">
        <f>SUMIF(Adat!$AC:$AC,CONCATENATE(60,Info!$D$5,"0981221"),Adat!$E:$E)*-1+E77</f>
        <v>0</v>
      </c>
      <c r="G77" s="72">
        <f>SUMIF(Adat!$AD:$AD,CONCATENATE(Info!$D$5,"0981221","(KÖT)"),Adat!$E:$E)*-1</f>
        <v>0</v>
      </c>
      <c r="H77" s="72">
        <f>SUMIF(Adat!$AD:$AD,CONCATENATE(Info!$D$5,"0981221","(ÖNV)"),Adat!$E:$E)*-1</f>
        <v>0</v>
      </c>
      <c r="I77" s="72">
        <f>SUMIF(Adat!$AD:$AD,CONCATENATE(Info!$D$5,"0981221","(ÁIG)"),Adat!$E:$E)*-1</f>
        <v>0</v>
      </c>
    </row>
    <row r="78" spans="2:9" x14ac:dyDescent="0.2">
      <c r="B78" s="160">
        <v>69</v>
      </c>
      <c r="C78" s="305" t="s">
        <v>1313</v>
      </c>
      <c r="D78" s="306" t="s">
        <v>1415</v>
      </c>
      <c r="E78" s="72">
        <f>SUMIF(Adat!$AC:$AC,CONCATENATE(61,Info!$D$5,"0981231"),Adat!$E:$E)*-1</f>
        <v>0</v>
      </c>
      <c r="F78" s="72">
        <f>SUMIF(Adat!$AC:$AC,CONCATENATE(60,Info!$D$5,"0981231"),Adat!$E:$E)*-1+E78</f>
        <v>0</v>
      </c>
      <c r="G78" s="72">
        <f>SUMIF(Adat!$AD:$AD,CONCATENATE(Info!$D$5,"0981231","(KÖT)"),Adat!$E:$E)*-1</f>
        <v>0</v>
      </c>
      <c r="H78" s="72">
        <f>SUMIF(Adat!$AD:$AD,CONCATENATE(Info!$D$5,"0981231","(ÖNV)"),Adat!$E:$E)*-1</f>
        <v>0</v>
      </c>
      <c r="I78" s="72">
        <f>SUMIF(Adat!$AD:$AD,CONCATENATE(Info!$D$5,"0981231","(ÁIG)"),Adat!$E:$E)*-1</f>
        <v>0</v>
      </c>
    </row>
    <row r="79" spans="2:9" x14ac:dyDescent="0.25">
      <c r="B79" s="160">
        <v>70</v>
      </c>
      <c r="C79" s="305" t="s">
        <v>1416</v>
      </c>
      <c r="D79" s="307" t="s">
        <v>1417</v>
      </c>
      <c r="E79" s="72">
        <f>SUMIF(Adat!$AC:$AC,CONCATENATE(61,Info!$D$5,"0981241"),Adat!$E:$E)*-1</f>
        <v>0</v>
      </c>
      <c r="F79" s="72">
        <f>SUMIF(Adat!$AC:$AC,CONCATENATE(60,Info!$D$5,"0981241"),Adat!$E:$E)*-1+E79</f>
        <v>0</v>
      </c>
      <c r="G79" s="72">
        <f>SUMIF(Adat!$AD:$AD,CONCATENATE(Info!$D$5,"0981241","(KÖT)"),Adat!$E:$E)*-1</f>
        <v>0</v>
      </c>
      <c r="H79" s="72">
        <f>SUMIF(Adat!$AD:$AD,CONCATENATE(Info!$D$5,"0981241","(ÖNV)"),Adat!$E:$E)*-1</f>
        <v>0</v>
      </c>
      <c r="I79" s="72">
        <f>SUMIF(Adat!$AD:$AD,CONCATENATE(Info!$D$5,"0981241","(ÁIG)"),Adat!$E:$E)*-1</f>
        <v>0</v>
      </c>
    </row>
    <row r="80" spans="2:9" x14ac:dyDescent="0.25">
      <c r="B80" s="160">
        <v>71</v>
      </c>
      <c r="C80" s="154" t="s">
        <v>1418</v>
      </c>
      <c r="D80" s="308" t="s">
        <v>575</v>
      </c>
      <c r="E80" s="71">
        <f>SUM(E81:E82)</f>
        <v>234609929</v>
      </c>
      <c r="F80" s="71">
        <f t="shared" ref="F80" si="10">SUM(F81:F82)</f>
        <v>234609929</v>
      </c>
      <c r="G80" s="71">
        <f>SUM(G81:G82)</f>
        <v>234609929</v>
      </c>
      <c r="H80" s="71">
        <f>SUM(H81:H82)</f>
        <v>0</v>
      </c>
      <c r="I80" s="71">
        <f>SUM(I81:I82)</f>
        <v>0</v>
      </c>
    </row>
    <row r="81" spans="2:9" x14ac:dyDescent="0.2">
      <c r="B81" s="160">
        <v>72</v>
      </c>
      <c r="C81" s="305" t="s">
        <v>1274</v>
      </c>
      <c r="D81" s="306" t="s">
        <v>1419</v>
      </c>
      <c r="E81" s="72">
        <f>SUMIF(Adat!$AC:$AC,CONCATENATE(61,Info!$D$5,"0981311"),Adat!$E:$E)*-1</f>
        <v>234609929</v>
      </c>
      <c r="F81" s="72">
        <f>SUMIF(Adat!$AC:$AC,CONCATENATE(60,Info!$D$5,"0981311"),Adat!$E:$E)*-1+E81</f>
        <v>234609929</v>
      </c>
      <c r="G81" s="72">
        <f>SUMIF(Adat!$AD:$AD,CONCATENATE(Info!$D$5,"0981311","(KÖT)"),Adat!$E:$E)*-1</f>
        <v>234609929</v>
      </c>
      <c r="H81" s="72">
        <f>SUMIF(Adat!$AD:$AD,CONCATENATE(Info!$D$5,"0981311","(ÖNV)"),Adat!$E:$E)*-1</f>
        <v>0</v>
      </c>
      <c r="I81" s="72">
        <f>SUMIF(Adat!$AD:$AD,CONCATENATE(Info!$D$5,"0981311","(ÁIG)"),Adat!$E:$E)*-1</f>
        <v>0</v>
      </c>
    </row>
    <row r="82" spans="2:9" x14ac:dyDescent="0.25">
      <c r="B82" s="160">
        <v>73</v>
      </c>
      <c r="C82" s="305" t="s">
        <v>1420</v>
      </c>
      <c r="D82" s="307" t="s">
        <v>1421</v>
      </c>
      <c r="E82" s="72">
        <f>SUMIF(Adat!$AC:$AC,CONCATENATE(61,Info!$D$5,"0981321"),Adat!$E:$E)*-1</f>
        <v>0</v>
      </c>
      <c r="F82" s="72">
        <f>SUMIF(Adat!$AC:$AC,CONCATENATE(60,Info!$D$5,"0981321"),Adat!$E:$E)*-1+E82</f>
        <v>0</v>
      </c>
      <c r="G82" s="72">
        <f>SUMIF(Adat!$AD:$AD,CONCATENATE(Info!$D$5,"0981321","(KÖT)"),Adat!$E:$E)*-1</f>
        <v>0</v>
      </c>
      <c r="H82" s="72">
        <f>SUMIF(Adat!$AD:$AD,CONCATENATE(Info!$D$5,"0981321","(ÖNV)"),Adat!$E:$E)*-1</f>
        <v>0</v>
      </c>
      <c r="I82" s="72">
        <f>SUMIF(Adat!$AD:$AD,CONCATENATE(Info!$D$5,"0981321","(ÁIG)"),Adat!$E:$E)*-1</f>
        <v>0</v>
      </c>
    </row>
    <row r="83" spans="2:9" s="42" customFormat="1" x14ac:dyDescent="0.25">
      <c r="B83" s="160">
        <v>74</v>
      </c>
      <c r="C83" s="154" t="s">
        <v>1496</v>
      </c>
      <c r="D83" s="308" t="s">
        <v>576</v>
      </c>
      <c r="E83" s="71">
        <f>SUM(E84:E86)</f>
        <v>0</v>
      </c>
      <c r="F83" s="71">
        <f t="shared" ref="F83" si="11">SUM(F84:F86)</f>
        <v>459964</v>
      </c>
      <c r="G83" s="71">
        <f>SUM(G84:G86)</f>
        <v>459964</v>
      </c>
      <c r="H83" s="71">
        <f>SUM(H84:H86)</f>
        <v>0</v>
      </c>
      <c r="I83" s="71">
        <f>SUM(I84:I86)</f>
        <v>0</v>
      </c>
    </row>
    <row r="84" spans="2:9" x14ac:dyDescent="0.2">
      <c r="B84" s="160">
        <v>75</v>
      </c>
      <c r="C84" s="305" t="s">
        <v>1301</v>
      </c>
      <c r="D84" s="306" t="s">
        <v>1422</v>
      </c>
      <c r="E84" s="72">
        <f>SUMIF(Adat!$AC:$AC,CONCATENATE(61,Info!$D$5,"098141"),Adat!$E:$E)*-1</f>
        <v>0</v>
      </c>
      <c r="F84" s="72">
        <f>SUMIF(Adat!$AC:$AC,CONCATENATE(60,Info!$D$5,"098141"),Adat!$E:$E)*-1+E84</f>
        <v>459964</v>
      </c>
      <c r="G84" s="72">
        <f>SUMIF(Adat!$AD:$AD,CONCATENATE(Info!$D$5,"098141","(KÖT)"),Adat!$E:$E)*-1</f>
        <v>459964</v>
      </c>
      <c r="H84" s="72">
        <f>SUMIF(Adat!$AD:$AD,CONCATENATE(Info!$D$5,"098141","(ÖNV)"),Adat!$E:$E)*-1</f>
        <v>0</v>
      </c>
      <c r="I84" s="72">
        <f>SUMIF(Adat!$AD:$AD,CONCATENATE(Info!$D$5,"098141","(ÁIG)"),Adat!$E:$E)*-1</f>
        <v>0</v>
      </c>
    </row>
    <row r="85" spans="2:9" x14ac:dyDescent="0.2">
      <c r="B85" s="160">
        <v>76</v>
      </c>
      <c r="C85" s="305" t="s">
        <v>1423</v>
      </c>
      <c r="D85" s="306" t="s">
        <v>1424</v>
      </c>
      <c r="E85" s="72">
        <f>SUMIF(Adat!$AC:$AC,CONCATENATE(61,Info!$D$5,"098151"),Adat!$E:$E)*-1</f>
        <v>0</v>
      </c>
      <c r="F85" s="72">
        <f>SUMIF(Adat!$AC:$AC,CONCATENATE(60,Info!$D$5,"098151"),Adat!$E:$E)*-1+E85</f>
        <v>0</v>
      </c>
      <c r="G85" s="72">
        <f>SUMIF(Adat!$AD:$AD,CONCATENATE(Info!$D$5,"098151","(KÖT)"),Adat!$E:$E)*-1</f>
        <v>0</v>
      </c>
      <c r="H85" s="72">
        <f>SUMIF(Adat!$AD:$AD,CONCATENATE(Info!$D$5,"098151","(ÖNV)"),Adat!$E:$E)*-1</f>
        <v>0</v>
      </c>
      <c r="I85" s="72">
        <f>SUMIF(Adat!$AD:$AD,CONCATENATE(Info!$D$5,"098151","(ÁIG)"),Adat!$E:$E)*-1</f>
        <v>0</v>
      </c>
    </row>
    <row r="86" spans="2:9" x14ac:dyDescent="0.25">
      <c r="B86" s="160">
        <v>77</v>
      </c>
      <c r="C86" s="305" t="s">
        <v>1425</v>
      </c>
      <c r="D86" s="307" t="s">
        <v>1426</v>
      </c>
      <c r="E86" s="72">
        <f>SUMIF(Adat!$AC:$AC,CONCATENATE(61,Info!$D$5,"098171"),Adat!$E:$E)*-1</f>
        <v>0</v>
      </c>
      <c r="F86" s="72">
        <f>SUMIF(Adat!$AC:$AC,CONCATENATE(60,Info!$D$5,"098171"),Adat!$E:$E)*-1+E86</f>
        <v>0</v>
      </c>
      <c r="G86" s="72">
        <f>SUMIF(Adat!$AD:$AD,CONCATENATE(Info!$D$5,"098171","(KÖT)"),Adat!$E:$E)*-1</f>
        <v>0</v>
      </c>
      <c r="H86" s="72">
        <f>SUMIF(Adat!$AD:$AD,CONCATENATE(Info!$D$5,"098171","(ÖNV)"),Adat!$E:$E)*-1</f>
        <v>0</v>
      </c>
      <c r="I86" s="72">
        <f>SUMIF(Adat!$AD:$AD,CONCATENATE(Info!$D$5,"098171","(ÁIG)"),Adat!$E:$E)*-1</f>
        <v>0</v>
      </c>
    </row>
    <row r="87" spans="2:9" x14ac:dyDescent="0.25">
      <c r="B87" s="160">
        <v>78</v>
      </c>
      <c r="C87" s="154" t="s">
        <v>1427</v>
      </c>
      <c r="D87" s="308" t="s">
        <v>577</v>
      </c>
      <c r="E87" s="71">
        <f>SUM(E88:E92)</f>
        <v>0</v>
      </c>
      <c r="F87" s="71">
        <f t="shared" ref="F87" si="12">SUM(F88:F92)</f>
        <v>0</v>
      </c>
      <c r="G87" s="71">
        <f>SUM(G88:G92)</f>
        <v>0</v>
      </c>
      <c r="H87" s="71">
        <f>SUM(H88:H92)</f>
        <v>0</v>
      </c>
      <c r="I87" s="71">
        <f>SUM(I88:I92)</f>
        <v>0</v>
      </c>
    </row>
    <row r="88" spans="2:9" x14ac:dyDescent="0.2">
      <c r="B88" s="160">
        <v>79</v>
      </c>
      <c r="C88" s="89" t="s">
        <v>1428</v>
      </c>
      <c r="D88" s="306" t="s">
        <v>1429</v>
      </c>
      <c r="E88" s="72">
        <f>SUMIF(Adat!$AC:$AC,CONCATENATE(61,Info!$D$5,"098211"),Adat!$E:$E)*-1</f>
        <v>0</v>
      </c>
      <c r="F88" s="72">
        <f>SUMIF(Adat!$AC:$AC,CONCATENATE(60,Info!$D$5,"098211"),Adat!$E:$E)*-1+E88</f>
        <v>0</v>
      </c>
      <c r="G88" s="72">
        <f>SUMIF(Adat!$AD:$AD,CONCATENATE(Info!$D$5,"098211","(KÖT)"),Adat!$E:$E)*-1</f>
        <v>0</v>
      </c>
      <c r="H88" s="72">
        <f>SUMIF(Adat!$AD:$AD,CONCATENATE(Info!$D$5,"098211","(ÖNV)"),Adat!$E:$E)*-1</f>
        <v>0</v>
      </c>
      <c r="I88" s="72">
        <f>SUMIF(Adat!$AD:$AD,CONCATENATE(Info!$D$5,"098211","(ÁIG)"),Adat!$E:$E)*-1</f>
        <v>0</v>
      </c>
    </row>
    <row r="89" spans="2:9" x14ac:dyDescent="0.2">
      <c r="B89" s="160">
        <v>80</v>
      </c>
      <c r="C89" s="89" t="s">
        <v>1430</v>
      </c>
      <c r="D89" s="306" t="s">
        <v>1431</v>
      </c>
      <c r="E89" s="72">
        <f>SUMIF(Adat!$AC:$AC,CONCATENATE(61,Info!$D$5,"098221"),Adat!$E:$E)*-1</f>
        <v>0</v>
      </c>
      <c r="F89" s="72">
        <f>SUMIF(Adat!$AC:$AC,CONCATENATE(60,Info!$D$5,"098221"),Adat!$E:$E)*-1+E89</f>
        <v>0</v>
      </c>
      <c r="G89" s="72">
        <f>SUMIF(Adat!$AD:$AD,CONCATENATE(Info!$D$5,"098221","(KÖT)"),Adat!$E:$E)*-1</f>
        <v>0</v>
      </c>
      <c r="H89" s="72">
        <f>SUMIF(Adat!$AD:$AD,CONCATENATE(Info!$D$5,"098221","(ÖNV)"),Adat!$E:$E)*-1</f>
        <v>0</v>
      </c>
      <c r="I89" s="72">
        <f>SUMIF(Adat!$AD:$AD,CONCATENATE(Info!$D$5,"098221","(ÁIG)"),Adat!$E:$E)*-1</f>
        <v>0</v>
      </c>
    </row>
    <row r="90" spans="2:9" x14ac:dyDescent="0.2">
      <c r="B90" s="160">
        <v>81</v>
      </c>
      <c r="C90" s="89" t="s">
        <v>1432</v>
      </c>
      <c r="D90" s="306" t="s">
        <v>1433</v>
      </c>
      <c r="E90" s="72">
        <f>SUMIF(Adat!$AC:$AC,CONCATENATE(61,Info!$D$5,"098231"),Adat!$E:$E)*-1</f>
        <v>0</v>
      </c>
      <c r="F90" s="72">
        <f>SUMIF(Adat!$AC:$AC,CONCATENATE(60,Info!$D$5,"098231"),Adat!$E:$E)*-1+E90</f>
        <v>0</v>
      </c>
      <c r="G90" s="72">
        <f>SUMIF(Adat!$AD:$AD,CONCATENATE(Info!$D$5,"098231","(KÖT)"),Adat!$E:$E)*-1</f>
        <v>0</v>
      </c>
      <c r="H90" s="72">
        <f>SUMIF(Adat!$AD:$AD,CONCATENATE(Info!$D$5,"098231","(ÖNV)"),Adat!$E:$E)*-1</f>
        <v>0</v>
      </c>
      <c r="I90" s="72">
        <f>SUMIF(Adat!$AD:$AD,CONCATENATE(Info!$D$5,"098231","(ÁIG)"),Adat!$E:$E)*-1</f>
        <v>0</v>
      </c>
    </row>
    <row r="91" spans="2:9" x14ac:dyDescent="0.2">
      <c r="B91" s="160">
        <v>82</v>
      </c>
      <c r="C91" s="89" t="s">
        <v>1434</v>
      </c>
      <c r="D91" s="306" t="s">
        <v>1435</v>
      </c>
      <c r="E91" s="72">
        <f>SUMIF(Adat!$AC:$AC,CONCATENATE(61,Info!$D$5,"098241"),Adat!$E:$E)*-1</f>
        <v>0</v>
      </c>
      <c r="F91" s="72">
        <f>SUMIF(Adat!$AC:$AC,CONCATENATE(60,Info!$D$5,"098241"),Adat!$E:$E)*-1+E91</f>
        <v>0</v>
      </c>
      <c r="G91" s="72">
        <f>SUMIF(Adat!$AD:$AD,CONCATENATE(Info!$D$5,"098241","(KÖT)"),Adat!$E:$E)*-1</f>
        <v>0</v>
      </c>
      <c r="H91" s="72">
        <f>SUMIF(Adat!$AD:$AD,CONCATENATE(Info!$D$5,"098241","(ÖNV)"),Adat!$E:$E)*-1</f>
        <v>0</v>
      </c>
      <c r="I91" s="72">
        <f>SUMIF(Adat!$AD:$AD,CONCATENATE(Info!$D$5,"098241","(ÁIG)"),Adat!$E:$E)*-1</f>
        <v>0</v>
      </c>
    </row>
    <row r="92" spans="2:9" s="42" customFormat="1" x14ac:dyDescent="0.2">
      <c r="B92" s="160">
        <v>83</v>
      </c>
      <c r="C92" s="89" t="s">
        <v>1436</v>
      </c>
      <c r="D92" s="307" t="s">
        <v>1437</v>
      </c>
      <c r="E92" s="72">
        <f>SUMIF(Adat!$AC:$AC,CONCATENATE(61,Info!$D$5,"098251"),Adat!$E:$E)*-1</f>
        <v>0</v>
      </c>
      <c r="F92" s="72">
        <f>SUMIF(Adat!$AC:$AC,CONCATENATE(60,Info!$D$5,"098251"),Adat!$E:$E)*-1+E92</f>
        <v>0</v>
      </c>
      <c r="G92" s="72">
        <f>SUMIF(Adat!$AD:$AD,CONCATENATE(Info!$D$5,"098251","(KÖT)"),Adat!$E:$E)*-1</f>
        <v>0</v>
      </c>
      <c r="H92" s="72">
        <f>SUMIF(Adat!$AD:$AD,CONCATENATE(Info!$D$5,"098251","(ÖNV)"),Adat!$E:$E)*-1</f>
        <v>0</v>
      </c>
      <c r="I92" s="72">
        <f>SUMIF(Adat!$AD:$AD,CONCATENATE(Info!$D$5,"098251","(ÁIG)"),Adat!$E:$E)*-1</f>
        <v>0</v>
      </c>
    </row>
    <row r="93" spans="2:9" s="42" customFormat="1" x14ac:dyDescent="0.2">
      <c r="B93" s="160">
        <v>84</v>
      </c>
      <c r="C93" s="309" t="s">
        <v>1438</v>
      </c>
      <c r="D93" s="308" t="s">
        <v>1439</v>
      </c>
      <c r="E93" s="71">
        <f>SUMIF(Adat!$AC:$AC,CONCATENATE(61,Info!$D$5,"09831"),Adat!$E:$E)*-1</f>
        <v>0</v>
      </c>
      <c r="F93" s="71">
        <f>SUMIF(Adat!$AC:$AC,CONCATENATE(60,Info!$D$5,"09831"),Adat!$E:$E)*-1+E93</f>
        <v>0</v>
      </c>
      <c r="G93" s="71">
        <f>SUMIF(Adat!$AD:$AD,CONCATENATE(Info!$D$5,"09831","(KÖT)"),Adat!$E:$E)*-1</f>
        <v>0</v>
      </c>
      <c r="H93" s="71">
        <f>SUMIF(Adat!$AD:$AD,CONCATENATE(Info!$D$5,"09831","(ÖNV)"),Adat!$E:$E)*-1</f>
        <v>0</v>
      </c>
      <c r="I93" s="71">
        <f>SUMIF(Adat!$AD:$AD,CONCATENATE(Info!$D$5,"09831","(ÁIG)"),Adat!$E:$E)*-1</f>
        <v>0</v>
      </c>
    </row>
    <row r="94" spans="2:9" s="42" customFormat="1" x14ac:dyDescent="0.25">
      <c r="B94" s="160">
        <v>85</v>
      </c>
      <c r="C94" s="154" t="s">
        <v>1440</v>
      </c>
      <c r="D94" s="308" t="s">
        <v>1441</v>
      </c>
      <c r="E94" s="71">
        <f>SUMIF(Adat!$AC:$AC,CONCATENATE(61,Info!$D$5,"09841"),Adat!$E:$E)*-1</f>
        <v>0</v>
      </c>
      <c r="F94" s="71">
        <f>SUMIF(Adat!$AC:$AC,CONCATENATE(60,Info!$D$5,"09841"),Adat!$E:$E)*-1+E94</f>
        <v>0</v>
      </c>
      <c r="G94" s="71">
        <f>SUMIF(Adat!$AD:$AD,CONCATENATE(Info!$D$5,"09841","(KÖT)"),Adat!$E:$E)*-1</f>
        <v>0</v>
      </c>
      <c r="H94" s="71">
        <f>SUMIF(Adat!$AD:$AD,CONCATENATE(Info!$D$5,"09841","(ÖNV)"),Adat!$E:$E)*-1</f>
        <v>0</v>
      </c>
      <c r="I94" s="71">
        <f>SUMIF(Adat!$AD:$AD,CONCATENATE(Info!$D$5,"09841","(ÁIG)"),Adat!$E:$E)*-1</f>
        <v>0</v>
      </c>
    </row>
    <row r="95" spans="2:9" s="42" customFormat="1" x14ac:dyDescent="0.25">
      <c r="B95" s="160">
        <v>86</v>
      </c>
      <c r="C95" s="154" t="s">
        <v>358</v>
      </c>
      <c r="D95" s="315" t="s">
        <v>1442</v>
      </c>
      <c r="E95" s="71">
        <f>+E71+E75+E80+E83+E87+E94+E93</f>
        <v>234609929</v>
      </c>
      <c r="F95" s="71">
        <f t="shared" ref="F95" si="13">+F71+F75+F80+F83+F87+F94+F93</f>
        <v>235069893</v>
      </c>
      <c r="G95" s="71">
        <f>+G71+G75+G80+G83+G87+G94+G93</f>
        <v>235069893</v>
      </c>
      <c r="H95" s="71">
        <f>+H71+H75+H80+H83+H87+H94+H93</f>
        <v>0</v>
      </c>
      <c r="I95" s="71">
        <f>+I71+I75+I80+I83+I87+I94+I93</f>
        <v>0</v>
      </c>
    </row>
    <row r="96" spans="2:9" s="42" customFormat="1" x14ac:dyDescent="0.25">
      <c r="B96" s="160">
        <v>87</v>
      </c>
      <c r="C96" s="154" t="s">
        <v>364</v>
      </c>
      <c r="D96" s="315" t="s">
        <v>1497</v>
      </c>
      <c r="E96" s="71">
        <f>+E70+E95</f>
        <v>1617484149</v>
      </c>
      <c r="F96" s="71">
        <f t="shared" ref="F96" si="14">+F70+F95</f>
        <v>1604114333</v>
      </c>
      <c r="G96" s="71">
        <f>+G70+G95</f>
        <v>1604114333</v>
      </c>
      <c r="H96" s="71">
        <f>+H70+H95</f>
        <v>0</v>
      </c>
      <c r="I96" s="71">
        <f>+I70+I95</f>
        <v>0</v>
      </c>
    </row>
    <row r="97" spans="2:9" s="38" customFormat="1" ht="15.75" x14ac:dyDescent="0.25">
      <c r="C97" s="156"/>
      <c r="E97" s="140"/>
      <c r="F97" s="140"/>
      <c r="G97" s="140"/>
      <c r="H97" s="140"/>
      <c r="I97" s="140"/>
    </row>
    <row r="98" spans="2:9" s="10" customFormat="1" ht="15.75" customHeight="1" x14ac:dyDescent="0.25">
      <c r="B98" s="201" t="s">
        <v>636</v>
      </c>
      <c r="C98" s="101"/>
      <c r="D98" s="101"/>
      <c r="E98" s="101"/>
      <c r="F98" s="101"/>
      <c r="G98" s="198"/>
      <c r="H98" s="198"/>
      <c r="I98" s="198"/>
    </row>
    <row r="99" spans="2:9" s="38" customFormat="1" ht="15.75" x14ac:dyDescent="0.25">
      <c r="C99" s="156"/>
      <c r="E99" s="140"/>
      <c r="F99" s="140"/>
      <c r="G99" s="140"/>
      <c r="H99" s="140"/>
      <c r="I99" s="140"/>
    </row>
    <row r="100" spans="2:9" s="40" customFormat="1" x14ac:dyDescent="0.25">
      <c r="B100" s="77"/>
      <c r="C100" s="77" t="s">
        <v>350</v>
      </c>
      <c r="D100" s="77" t="s">
        <v>351</v>
      </c>
      <c r="E100" s="77" t="s">
        <v>470</v>
      </c>
      <c r="F100" s="77" t="s">
        <v>471</v>
      </c>
      <c r="G100" s="77" t="s">
        <v>44</v>
      </c>
      <c r="H100" s="77" t="s">
        <v>42</v>
      </c>
      <c r="I100" s="77" t="s">
        <v>511</v>
      </c>
    </row>
    <row r="101" spans="2:9" s="41" customFormat="1" ht="38.25" x14ac:dyDescent="0.25">
      <c r="B101" s="160">
        <v>1</v>
      </c>
      <c r="C101" s="154" t="s">
        <v>593</v>
      </c>
      <c r="D101" s="154" t="s">
        <v>488</v>
      </c>
      <c r="E101" s="163" t="str">
        <f>CONCATENATE(PAR!$H$3," évi
eredeti 
előirányzat")</f>
        <v>2025. évi
eredeti 
előirányzat</v>
      </c>
      <c r="F101" s="163" t="str">
        <f>CONCATENATE(PAR!$H$3," évi
módosított 
előirányzat")</f>
        <v>2025. évi
módosított 
előirányzat</v>
      </c>
      <c r="G101" s="78" t="s">
        <v>666</v>
      </c>
      <c r="H101" s="78" t="s">
        <v>667</v>
      </c>
      <c r="I101" s="78" t="s">
        <v>668</v>
      </c>
    </row>
    <row r="102" spans="2:9" s="42" customFormat="1" x14ac:dyDescent="0.25">
      <c r="B102" s="160">
        <v>2</v>
      </c>
      <c r="C102" s="78" t="s">
        <v>352</v>
      </c>
      <c r="D102" s="92" t="s">
        <v>2663</v>
      </c>
      <c r="E102" s="71">
        <f>SUM(E103:E108)</f>
        <v>703513725</v>
      </c>
      <c r="F102" s="71">
        <f>SUM(F103:F108)</f>
        <v>689683945</v>
      </c>
      <c r="G102" s="71">
        <f>SUM(G103:G108)</f>
        <v>689683945</v>
      </c>
      <c r="H102" s="71">
        <f>+H103+H104+H105+H106+H107+H108</f>
        <v>0</v>
      </c>
      <c r="I102" s="71">
        <f>+I103+I104+I105+I106+I107+I108</f>
        <v>0</v>
      </c>
    </row>
    <row r="103" spans="2:9" x14ac:dyDescent="0.25">
      <c r="B103" s="160">
        <v>3</v>
      </c>
      <c r="C103" s="305" t="s">
        <v>315</v>
      </c>
      <c r="D103" s="161" t="s">
        <v>342</v>
      </c>
      <c r="E103" s="72">
        <f>SUMIF(Adat!$AE:$AE,CONCATENATE(61,Info!$D$5,"051"),Adat!$E:$E)</f>
        <v>110752938</v>
      </c>
      <c r="F103" s="72">
        <f>SUMIF(Adat!$AE:$AE,CONCATENATE(60,Info!$D$5,"051"),Adat!$E:$E)+E103</f>
        <v>113435727</v>
      </c>
      <c r="G103" s="72">
        <f>SUMIF(Adat!$AF:$AF,CONCATENATE(Info!$D$5,"051","(KÖT)"),Adat!$E:$E)</f>
        <v>113435727</v>
      </c>
      <c r="H103" s="72">
        <f>SUMIF(Adat!$AF:$AF,CONCATENATE(Info!$D$5,"051","(ÖNV)"),Adat!$E:$E)</f>
        <v>0</v>
      </c>
      <c r="I103" s="72">
        <f>SUMIF(Adat!$AF:$AF,CONCATENATE(Info!$D$5,"051","(ÁIG)"),Adat!$E:$E)</f>
        <v>0</v>
      </c>
    </row>
    <row r="104" spans="2:9" x14ac:dyDescent="0.25">
      <c r="B104" s="160">
        <v>4</v>
      </c>
      <c r="C104" s="305" t="s">
        <v>317</v>
      </c>
      <c r="D104" s="161" t="s">
        <v>395</v>
      </c>
      <c r="E104" s="72">
        <f>SUMIF(Adat!$AE:$AE,CONCATENATE(61,Info!$D$5,"052"),Adat!$E:$E)</f>
        <v>12128222</v>
      </c>
      <c r="F104" s="72">
        <f>SUMIF(Adat!$AE:$AE,CONCATENATE(60,Info!$D$5,"052"),Adat!$E:$E)+E104</f>
        <v>12235758</v>
      </c>
      <c r="G104" s="72">
        <f>SUMIF(Adat!$AF:$AF,CONCATENATE(Info!$D$5,"052","(KÖT)"),Adat!$E:$E)</f>
        <v>12235758</v>
      </c>
      <c r="H104" s="72">
        <f>SUMIF(Adat!$AF:$AF,CONCATENATE(Info!$D$5,"052","(ÖNV)"),Adat!$E:$E)</f>
        <v>0</v>
      </c>
      <c r="I104" s="72">
        <f>SUMIF(Adat!$AF:$AF,CONCATENATE(Info!$D$5,"052","(ÁIG)"),Adat!$E:$E)</f>
        <v>0</v>
      </c>
    </row>
    <row r="105" spans="2:9" x14ac:dyDescent="0.25">
      <c r="B105" s="160">
        <v>5</v>
      </c>
      <c r="C105" s="305" t="s">
        <v>4</v>
      </c>
      <c r="D105" s="161" t="s">
        <v>344</v>
      </c>
      <c r="E105" s="72">
        <f>SUMIF(Adat!$AE:$AE,CONCATENATE(61,Info!$D$5,"053"),Adat!$E:$E)</f>
        <v>420655026</v>
      </c>
      <c r="F105" s="72">
        <f>SUMIF(Adat!$AE:$AE,CONCATENATE(60,Info!$D$5,"053"),Adat!$E:$E)+E105</f>
        <v>420869229</v>
      </c>
      <c r="G105" s="72">
        <f>SUMIF(Adat!$AF:$AF,CONCATENATE(Info!$D$5,"053","(KÖT)"),Adat!$E:$E)</f>
        <v>420869229</v>
      </c>
      <c r="H105" s="72">
        <f>SUMIF(Adat!$AF:$AF,CONCATENATE(Info!$D$5,"053","(ÖNV)"),Adat!$E:$E)</f>
        <v>0</v>
      </c>
      <c r="I105" s="72">
        <f>SUMIF(Adat!$AF:$AF,CONCATENATE(Info!$D$5,"053","(ÁIG)"),Adat!$E:$E)</f>
        <v>0</v>
      </c>
    </row>
    <row r="106" spans="2:9" x14ac:dyDescent="0.25">
      <c r="B106" s="160">
        <v>6</v>
      </c>
      <c r="C106" s="305" t="s">
        <v>6</v>
      </c>
      <c r="D106" s="161" t="s">
        <v>345</v>
      </c>
      <c r="E106" s="72">
        <f>SUMIF(Adat!$AE:$AE,CONCATENATE(61,Info!$D$5,"054"),Adat!$E:$E)</f>
        <v>8000000</v>
      </c>
      <c r="F106" s="72">
        <f>SUMIF(Adat!$AE:$AE,CONCATENATE(60,Info!$D$5,"054"),Adat!$E:$E)+E106</f>
        <v>8000000</v>
      </c>
      <c r="G106" s="72">
        <f>SUMIF(Adat!$AF:$AF,CONCATENATE(Info!$D$5,"054","(KÖT)"),Adat!$E:$E)</f>
        <v>8000000</v>
      </c>
      <c r="H106" s="72">
        <f>SUMIF(Adat!$AF:$AF,CONCATENATE(Info!$D$5,"054","(ÖNV)"),Adat!$E:$E)</f>
        <v>0</v>
      </c>
      <c r="I106" s="72">
        <f>SUMIF(Adat!$AF:$AF,CONCATENATE(Info!$D$5,"054","(ÁIG)"),Adat!$E:$E)</f>
        <v>0</v>
      </c>
    </row>
    <row r="107" spans="2:9" x14ac:dyDescent="0.25">
      <c r="B107" s="160">
        <v>7</v>
      </c>
      <c r="C107" s="305" t="s">
        <v>8</v>
      </c>
      <c r="D107" s="161" t="s">
        <v>321</v>
      </c>
      <c r="E107" s="72">
        <f>SUMIF(Adat!$AE:$AE,CONCATENATE(61,Info!$D$5,"055"),Adat!$E:$E)-E108</f>
        <v>51753479</v>
      </c>
      <c r="F107" s="72">
        <f>SUMIF(Adat!$AE:$AE,CONCATENATE(60,Info!$D$5,"055"),Adat!$E:$E)+E107-F108+E108</f>
        <v>55469363</v>
      </c>
      <c r="G107" s="72">
        <f>SUMIF(Adat!$AF:$AF,CONCATENATE(Info!$D$5,"055","(KÖT)"),Adat!$E:$E)-G108</f>
        <v>55469363</v>
      </c>
      <c r="H107" s="72">
        <f>SUMIF(Adat!$AF:$AF,CONCATENATE(Info!$D$5,"055","(ÖNV)"),Adat!$E:$E)-H108</f>
        <v>0</v>
      </c>
      <c r="I107" s="72">
        <f>SUMIF(Adat!$AF:$AF,CONCATENATE(Info!$D$5,"055","(ÁIG)"),Adat!$E:$E)-I108</f>
        <v>0</v>
      </c>
    </row>
    <row r="108" spans="2:9" x14ac:dyDescent="0.25">
      <c r="B108" s="160">
        <v>8</v>
      </c>
      <c r="C108" s="305" t="s">
        <v>1283</v>
      </c>
      <c r="D108" s="161" t="s">
        <v>397</v>
      </c>
      <c r="E108" s="72">
        <f>SUMIF(Adat!$AC:$AC,CONCATENATE(61,Info!$D$5,"055131"),Adat!$E:$E)</f>
        <v>100224060</v>
      </c>
      <c r="F108" s="72">
        <f>SUMIF(Adat!$AC:$AC,CONCATENATE(60,Info!$D$5,"055131"),Adat!$E:$E)+E108</f>
        <v>79673868</v>
      </c>
      <c r="G108" s="72">
        <f>SUMIF(Adat!$AD:$AD,CONCATENATE(Info!$D$5,"055131","(KÖT)"),Adat!$E:$E)</f>
        <v>79673868</v>
      </c>
      <c r="H108" s="72">
        <f>SUMIF(Adat!$AD:$AD,CONCATENATE(Info!$D$5,"055131","(ÖNV)"),Adat!$E:$E)*-1</f>
        <v>0</v>
      </c>
      <c r="I108" s="72">
        <f>SUMIF(Adat!$AD:$AD,CONCATENATE(Info!$D$5,"055131","(ÁIG)"),Adat!$E:$E)*-1</f>
        <v>0</v>
      </c>
    </row>
    <row r="109" spans="2:9" x14ac:dyDescent="0.25">
      <c r="B109" s="160">
        <v>9</v>
      </c>
      <c r="C109" s="305" t="s">
        <v>1283</v>
      </c>
      <c r="D109" s="93" t="s">
        <v>1445</v>
      </c>
      <c r="E109" s="83">
        <v>0</v>
      </c>
      <c r="F109" s="83">
        <f>SUM(G109:I109)</f>
        <v>0</v>
      </c>
      <c r="G109" s="83">
        <v>0</v>
      </c>
      <c r="H109" s="83">
        <v>0</v>
      </c>
      <c r="I109" s="83">
        <v>0</v>
      </c>
    </row>
    <row r="110" spans="2:9" x14ac:dyDescent="0.25">
      <c r="B110" s="160">
        <v>10</v>
      </c>
      <c r="C110" s="305" t="s">
        <v>1283</v>
      </c>
      <c r="D110" s="93" t="s">
        <v>1446</v>
      </c>
      <c r="E110" s="83">
        <v>0</v>
      </c>
      <c r="F110" s="83">
        <f>SUM(G110:I110)</f>
        <v>0</v>
      </c>
      <c r="G110" s="83">
        <v>0</v>
      </c>
      <c r="H110" s="83">
        <v>0</v>
      </c>
      <c r="I110" s="83">
        <v>0</v>
      </c>
    </row>
    <row r="111" spans="2:9" x14ac:dyDescent="0.25">
      <c r="B111" s="160">
        <v>11</v>
      </c>
      <c r="C111" s="78" t="s">
        <v>358</v>
      </c>
      <c r="D111" s="92" t="s">
        <v>2664</v>
      </c>
      <c r="E111" s="71">
        <f>+E112+E114+E116</f>
        <v>161363518</v>
      </c>
      <c r="F111" s="71">
        <f>+F112+F114+F116</f>
        <v>161363518</v>
      </c>
      <c r="G111" s="71">
        <f>+G112+G114+G116</f>
        <v>161363518</v>
      </c>
      <c r="H111" s="71">
        <f>+H112+H114+H116</f>
        <v>0</v>
      </c>
      <c r="I111" s="71">
        <f>+I112+I114+I116</f>
        <v>0</v>
      </c>
    </row>
    <row r="112" spans="2:9" x14ac:dyDescent="0.25">
      <c r="B112" s="160">
        <v>12</v>
      </c>
      <c r="C112" s="305" t="s">
        <v>10</v>
      </c>
      <c r="D112" s="317" t="s">
        <v>322</v>
      </c>
      <c r="E112" s="72">
        <f>SUMIF(Adat!$AE:$AE,CONCATENATE(61,Info!$D$5,"056"),Adat!$E:$E)</f>
        <v>126796399</v>
      </c>
      <c r="F112" s="72">
        <f>SUMIF(Adat!$AE:$AE,CONCATENATE(60,Info!$D$5,"056"),Adat!$E:$E)+E112</f>
        <v>126796399</v>
      </c>
      <c r="G112" s="72">
        <f>SUMIF(Adat!$AF:$AF,CONCATENATE(Info!$D$5,"056","(KÖT)"),Adat!$E:$E)</f>
        <v>126796399</v>
      </c>
      <c r="H112" s="72">
        <f>SUMIF(Adat!$AF:$AF,CONCATENATE(Info!$D$5,"056","(ÖNV)"),Adat!$E:$E)</f>
        <v>0</v>
      </c>
      <c r="I112" s="72">
        <f>SUMIF(Adat!$AF:$AF,CONCATENATE(Info!$D$5,"056","(ÁIG)"),Adat!$E:$E)</f>
        <v>0</v>
      </c>
    </row>
    <row r="113" spans="2:9" x14ac:dyDescent="0.25">
      <c r="B113" s="160">
        <v>13</v>
      </c>
      <c r="C113" s="305" t="s">
        <v>10</v>
      </c>
      <c r="D113" s="317" t="s">
        <v>1448</v>
      </c>
      <c r="E113" s="83">
        <v>0</v>
      </c>
      <c r="F113" s="83">
        <f>SUM(G113:I113)</f>
        <v>0</v>
      </c>
      <c r="G113" s="83">
        <v>0</v>
      </c>
      <c r="H113" s="83">
        <v>0</v>
      </c>
      <c r="I113" s="83">
        <v>0</v>
      </c>
    </row>
    <row r="114" spans="2:9" x14ac:dyDescent="0.25">
      <c r="B114" s="160">
        <v>14</v>
      </c>
      <c r="C114" s="305" t="s">
        <v>12</v>
      </c>
      <c r="D114" s="317" t="s">
        <v>323</v>
      </c>
      <c r="E114" s="72">
        <f>SUMIF(Adat!$AE:$AE,CONCATENATE(61,Info!$D$5,"057"),Adat!$E:$E)</f>
        <v>34567119</v>
      </c>
      <c r="F114" s="72">
        <f>SUMIF(Adat!$AE:$AE,CONCATENATE(60,Info!$D$5,"057"),Adat!$E:$E)+E114</f>
        <v>34567119</v>
      </c>
      <c r="G114" s="72">
        <f>SUMIF(Adat!$AF:$AF,CONCATENATE(Info!$D$5,"057","(KÖT)"),Adat!$E:$E)</f>
        <v>34567119</v>
      </c>
      <c r="H114" s="72">
        <f>SUMIF(Adat!$AF:$AF,CONCATENATE(Info!$D$5,"057","(ÖNV)"),Adat!$E:$E)</f>
        <v>0</v>
      </c>
      <c r="I114" s="72">
        <f>SUMIF(Adat!$AF:$AF,CONCATENATE(Info!$D$5,"057","(ÁIG)"),Adat!$E:$E)</f>
        <v>0</v>
      </c>
    </row>
    <row r="115" spans="2:9" x14ac:dyDescent="0.25">
      <c r="B115" s="160">
        <v>15</v>
      </c>
      <c r="C115" s="305" t="s">
        <v>12</v>
      </c>
      <c r="D115" s="317" t="s">
        <v>1449</v>
      </c>
      <c r="E115" s="83">
        <v>0</v>
      </c>
      <c r="F115" s="83">
        <f>SUM(G115:I115)</f>
        <v>0</v>
      </c>
      <c r="G115" s="83">
        <v>0</v>
      </c>
      <c r="H115" s="83">
        <v>0</v>
      </c>
      <c r="I115" s="83">
        <v>0</v>
      </c>
    </row>
    <row r="116" spans="2:9" x14ac:dyDescent="0.25">
      <c r="B116" s="160">
        <v>16</v>
      </c>
      <c r="C116" s="305" t="s">
        <v>15</v>
      </c>
      <c r="D116" s="317" t="s">
        <v>324</v>
      </c>
      <c r="E116" s="72">
        <f>SUMIF(Adat!$AE:$AE,CONCATENATE(61,Info!$D$5,"058"),Adat!$E:$E)</f>
        <v>0</v>
      </c>
      <c r="F116" s="72">
        <f>SUMIF(Adat!$AE:$AE,CONCATENATE(60,Info!$D$5,"058"),Adat!$E:$E)+E116</f>
        <v>0</v>
      </c>
      <c r="G116" s="72">
        <f>SUMIF(Adat!$AF:$AF,CONCATENATE(Info!$D$5,"058","(KÖT)"),Adat!$E:$E)</f>
        <v>0</v>
      </c>
      <c r="H116" s="72">
        <f>SUMIF(Adat!$AF:$AF,CONCATENATE(Info!$D$5,"058","(ÖNV)"),Adat!$E:$E)</f>
        <v>0</v>
      </c>
      <c r="I116" s="72">
        <f>SUMIF(Adat!$AF:$AF,CONCATENATE(Info!$D$5,"058","(ÁIG)"),Adat!$E:$E)</f>
        <v>0</v>
      </c>
    </row>
    <row r="117" spans="2:9" x14ac:dyDescent="0.25">
      <c r="B117" s="160">
        <v>17</v>
      </c>
      <c r="C117" s="78" t="s">
        <v>364</v>
      </c>
      <c r="D117" s="86" t="s">
        <v>402</v>
      </c>
      <c r="E117" s="71">
        <f>+E102+E111</f>
        <v>864877243</v>
      </c>
      <c r="F117" s="71">
        <f>+F102+F111</f>
        <v>851047463</v>
      </c>
      <c r="G117" s="71">
        <f>+G102+G111</f>
        <v>851047463</v>
      </c>
      <c r="H117" s="71">
        <f>+H102+H111</f>
        <v>0</v>
      </c>
      <c r="I117" s="71">
        <f>+I102+I111</f>
        <v>0</v>
      </c>
    </row>
    <row r="118" spans="2:9" x14ac:dyDescent="0.25">
      <c r="B118" s="160">
        <v>18</v>
      </c>
      <c r="C118" s="78" t="s">
        <v>403</v>
      </c>
      <c r="D118" s="86" t="s">
        <v>1450</v>
      </c>
      <c r="E118" s="71">
        <f>+E119+E120+E121</f>
        <v>14729728</v>
      </c>
      <c r="F118" s="71">
        <f>+F119+F120+F121</f>
        <v>14729728</v>
      </c>
      <c r="G118" s="71">
        <f>+G119+G120+G121</f>
        <v>14729728</v>
      </c>
      <c r="H118" s="71">
        <f>+H119+H120+H121</f>
        <v>0</v>
      </c>
      <c r="I118" s="71">
        <f>+I119+I120+I121</f>
        <v>0</v>
      </c>
    </row>
    <row r="119" spans="2:9" s="42" customFormat="1" x14ac:dyDescent="0.25">
      <c r="B119" s="160">
        <v>19</v>
      </c>
      <c r="C119" s="305" t="s">
        <v>1451</v>
      </c>
      <c r="D119" s="161" t="s">
        <v>490</v>
      </c>
      <c r="E119" s="72">
        <f>SUMIF(Adat!$AC:$AC,CONCATENATE(61,Info!$D$5,"0591111"),Adat!$E:$E)</f>
        <v>14729728</v>
      </c>
      <c r="F119" s="72">
        <f>SUMIF(Adat!$AC:$AC,CONCATENATE(60,Info!$D$5,"0591111"),Adat!$E:$E)+E119</f>
        <v>14729728</v>
      </c>
      <c r="G119" s="72">
        <f>SUMIF(Adat!$AD:$AD,CONCATENATE(Info!$D$5,"0591111","(KÖT)"),Adat!$E:$E)</f>
        <v>14729728</v>
      </c>
      <c r="H119" s="72">
        <f>SUMIF(Adat!$AD:$AD,CONCATENATE(Info!$D$5,"0591111","(ÖNV)"),Adat!$E:$E)</f>
        <v>0</v>
      </c>
      <c r="I119" s="72">
        <f>SUMIF(Adat!$AD:$AD,CONCATENATE(Info!$D$5,"0591111","(ÁIG)"),Adat!$E:$E)</f>
        <v>0</v>
      </c>
    </row>
    <row r="120" spans="2:9" x14ac:dyDescent="0.25">
      <c r="B120" s="160">
        <v>20</v>
      </c>
      <c r="C120" s="305" t="s">
        <v>1453</v>
      </c>
      <c r="D120" s="161" t="s">
        <v>406</v>
      </c>
      <c r="E120" s="72">
        <f>SUMIF(Adat!$AC:$AC,CONCATENATE(61,Info!$D$5,"0591121"),Adat!$E:$E)</f>
        <v>0</v>
      </c>
      <c r="F120" s="72">
        <f>SUMIF(Adat!$AC:$AC,CONCATENATE(60,Info!$D$5,"0591121"),Adat!$E:$E)+E120</f>
        <v>0</v>
      </c>
      <c r="G120" s="72">
        <f>SUMIF(Adat!$AD:$AD,CONCATENATE(Info!$D$5,"0591121","(KÖT)"),Adat!$E:$E)</f>
        <v>0</v>
      </c>
      <c r="H120" s="72">
        <f>SUMIF(Adat!$AD:$AD,CONCATENATE(Info!$D$5,"0591121","(ÖNV)"),Adat!$E:$E)</f>
        <v>0</v>
      </c>
      <c r="I120" s="72">
        <f>SUMIF(Adat!$AD:$AD,CONCATENATE(Info!$D$5,"0591121","(ÁIG)"),Adat!$E:$E)</f>
        <v>0</v>
      </c>
    </row>
    <row r="121" spans="2:9" x14ac:dyDescent="0.25">
      <c r="B121" s="160">
        <v>21</v>
      </c>
      <c r="C121" s="305" t="s">
        <v>1455</v>
      </c>
      <c r="D121" s="161" t="s">
        <v>491</v>
      </c>
      <c r="E121" s="72">
        <f>SUMIF(Adat!$AC:$AC,CONCATENATE(61,Info!$D$5,"0591131"),Adat!$E:$E)</f>
        <v>0</v>
      </c>
      <c r="F121" s="72">
        <f>SUMIF(Adat!$AC:$AC,CONCATENATE(60,Info!$D$5,"0591131"),Adat!$E:$E)+E121</f>
        <v>0</v>
      </c>
      <c r="G121" s="72">
        <f>SUMIF(Adat!$AD:$AD,CONCATENATE(Info!$D$5,"0591131","(KÖT)"),Adat!$E:$E)</f>
        <v>0</v>
      </c>
      <c r="H121" s="72">
        <f>SUMIF(Adat!$AD:$AD,CONCATENATE(Info!$D$5,"0591131","(ÖNV)"),Adat!$E:$E)</f>
        <v>0</v>
      </c>
      <c r="I121" s="72">
        <f>SUMIF(Adat!$AD:$AD,CONCATENATE(Info!$D$5,"0591131","(ÁIG)"),Adat!$E:$E)</f>
        <v>0</v>
      </c>
    </row>
    <row r="122" spans="2:9" x14ac:dyDescent="0.25">
      <c r="B122" s="160">
        <v>22</v>
      </c>
      <c r="C122" s="78" t="s">
        <v>372</v>
      </c>
      <c r="D122" s="86" t="s">
        <v>1457</v>
      </c>
      <c r="E122" s="71">
        <f>+E123+E124+E125+E126+E127+E128</f>
        <v>0</v>
      </c>
      <c r="F122" s="71">
        <f>+F123+F124+F125+F126+F127+F128</f>
        <v>0</v>
      </c>
      <c r="G122" s="71">
        <f>+G123+G124+G125+G126+G127+G128</f>
        <v>0</v>
      </c>
      <c r="H122" s="71">
        <f>+H123+H124+H125+H126+H127+H128</f>
        <v>0</v>
      </c>
      <c r="I122" s="71">
        <f>+I123+I124+I125+I126+I127+I128</f>
        <v>0</v>
      </c>
    </row>
    <row r="123" spans="2:9" x14ac:dyDescent="0.25">
      <c r="B123" s="160">
        <v>23</v>
      </c>
      <c r="C123" s="305" t="s">
        <v>1458</v>
      </c>
      <c r="D123" s="161" t="s">
        <v>409</v>
      </c>
      <c r="E123" s="72">
        <f>SUMIF(Adat!$AC:$AC,CONCATENATE(61,Info!$D$5,"0591211"),Adat!$E:$E)</f>
        <v>0</v>
      </c>
      <c r="F123" s="72">
        <f>SUMIF(Adat!$AC:$AC,CONCATENATE(60,Info!$D$5,"0591211"),Adat!$E:$E)+E123</f>
        <v>0</v>
      </c>
      <c r="G123" s="72">
        <f>SUMIF(Adat!$AD:$AD,CONCATENATE(Info!$D$5,"0591211","(KÖT)"),Adat!$E:$E)</f>
        <v>0</v>
      </c>
      <c r="H123" s="72">
        <f>SUMIF(Adat!$AD:$AD,CONCATENATE(Info!$D$5,"0591211","(ÖNV)"),Adat!$E:$E)</f>
        <v>0</v>
      </c>
      <c r="I123" s="72">
        <f>SUMIF(Adat!$AD:$AD,CONCATENATE(Info!$D$5,"0591211","(ÁIG)"),Adat!$E:$E)</f>
        <v>0</v>
      </c>
    </row>
    <row r="124" spans="2:9" x14ac:dyDescent="0.25">
      <c r="B124" s="160">
        <v>24</v>
      </c>
      <c r="C124" s="305" t="s">
        <v>1460</v>
      </c>
      <c r="D124" s="161" t="s">
        <v>410</v>
      </c>
      <c r="E124" s="72">
        <f>SUMIF(Adat!$AC:$AC,CONCATENATE(61,Info!$D$5,"0591221"),Adat!$E:$E)</f>
        <v>0</v>
      </c>
      <c r="F124" s="72">
        <f>SUMIF(Adat!$AC:$AC,CONCATENATE(60,Info!$D$5,"0591221"),Adat!$E:$E)+E124</f>
        <v>0</v>
      </c>
      <c r="G124" s="72">
        <f>SUMIF(Adat!$AD:$AD,CONCATENATE(Info!$D$5,"0591221","(KÖT)"),Adat!$E:$E)</f>
        <v>0</v>
      </c>
      <c r="H124" s="72">
        <f>SUMIF(Adat!$AD:$AD,CONCATENATE(Info!$D$5,"0591221","(ÖNV)"),Adat!$E:$E)</f>
        <v>0</v>
      </c>
      <c r="I124" s="72">
        <f>SUMIF(Adat!$AD:$AD,CONCATENATE(Info!$D$5,"0591221","(ÁIG)"),Adat!$E:$E)</f>
        <v>0</v>
      </c>
    </row>
    <row r="125" spans="2:9" x14ac:dyDescent="0.25">
      <c r="B125" s="160">
        <v>25</v>
      </c>
      <c r="C125" s="305" t="s">
        <v>1462</v>
      </c>
      <c r="D125" s="161" t="s">
        <v>411</v>
      </c>
      <c r="E125" s="72">
        <f>SUMIF(Adat!$AC:$AC,CONCATENATE(61,Info!$D$5,"0591231"),Adat!$E:$E)</f>
        <v>0</v>
      </c>
      <c r="F125" s="72">
        <f>SUMIF(Adat!$AC:$AC,CONCATENATE(60,Info!$D$5,"0591231"),Adat!$E:$E)+E125</f>
        <v>0</v>
      </c>
      <c r="G125" s="72">
        <f>SUMIF(Adat!$AD:$AD,CONCATENATE(Info!$D$5,"0591231","(KÖT)"),Adat!$E:$E)</f>
        <v>0</v>
      </c>
      <c r="H125" s="72">
        <f>SUMIF(Adat!$AD:$AD,CONCATENATE(Info!$D$5,"0591231","(ÖNV)"),Adat!$E:$E)</f>
        <v>0</v>
      </c>
      <c r="I125" s="72">
        <f>SUMIF(Adat!$AD:$AD,CONCATENATE(Info!$D$5,"0591231","(ÁIG)"),Adat!$E:$E)</f>
        <v>0</v>
      </c>
    </row>
    <row r="126" spans="2:9" x14ac:dyDescent="0.25">
      <c r="B126" s="160">
        <v>26</v>
      </c>
      <c r="C126" s="305" t="s">
        <v>1464</v>
      </c>
      <c r="D126" s="161" t="s">
        <v>492</v>
      </c>
      <c r="E126" s="72">
        <f>SUMIF(Adat!$AC:$AC,CONCATENATE(61,Info!$D$5,"0591241"),Adat!$E:$E)</f>
        <v>0</v>
      </c>
      <c r="F126" s="72">
        <f>SUMIF(Adat!$AC:$AC,CONCATENATE(60,Info!$D$5,"0591241"),Adat!$E:$E)+E126</f>
        <v>0</v>
      </c>
      <c r="G126" s="72">
        <f>SUMIF(Adat!$AD:$AD,CONCATENATE(Info!$D$5,"0591241","(KÖT)"),Adat!$E:$E)</f>
        <v>0</v>
      </c>
      <c r="H126" s="72">
        <f>SUMIF(Adat!$AD:$AD,CONCATENATE(Info!$D$5,"0591241","(ÖNV)"),Adat!$E:$E)</f>
        <v>0</v>
      </c>
      <c r="I126" s="72">
        <f>SUMIF(Adat!$AD:$AD,CONCATENATE(Info!$D$5,"0591241","(ÁIG)"),Adat!$E:$E)</f>
        <v>0</v>
      </c>
    </row>
    <row r="127" spans="2:9" x14ac:dyDescent="0.25">
      <c r="B127" s="160">
        <v>27</v>
      </c>
      <c r="C127" s="305" t="s">
        <v>1466</v>
      </c>
      <c r="D127" s="161" t="s">
        <v>413</v>
      </c>
      <c r="E127" s="72">
        <f>SUMIF(Adat!$AC:$AC,CONCATENATE(61,Info!$D$5,"0591251"),Adat!$E:$E)</f>
        <v>0</v>
      </c>
      <c r="F127" s="72">
        <f>SUMIF(Adat!$AC:$AC,CONCATENATE(60,Info!$D$5,"0591251"),Adat!$E:$E)+E127</f>
        <v>0</v>
      </c>
      <c r="G127" s="72">
        <f>SUMIF(Adat!$AD:$AD,CONCATENATE(Info!$D$5,"0591251","(KÖT)"),Adat!$E:$E)</f>
        <v>0</v>
      </c>
      <c r="H127" s="72">
        <f>SUMIF(Adat!$AD:$AD,CONCATENATE(Info!$D$5,"0591251","(ÖNV)"),Adat!$E:$E)</f>
        <v>0</v>
      </c>
      <c r="I127" s="72">
        <f>SUMIF(Adat!$AD:$AD,CONCATENATE(Info!$D$5,"0591251","(ÁIG)"),Adat!$E:$E)</f>
        <v>0</v>
      </c>
    </row>
    <row r="128" spans="2:9" s="42" customFormat="1" x14ac:dyDescent="0.25">
      <c r="B128" s="160">
        <v>28</v>
      </c>
      <c r="C128" s="305" t="s">
        <v>1468</v>
      </c>
      <c r="D128" s="161" t="s">
        <v>414</v>
      </c>
      <c r="E128" s="72">
        <f>SUMIF(Adat!$AC:$AC,CONCATENATE(61,Info!$D$5,"0591261"),Adat!$E:$E)</f>
        <v>0</v>
      </c>
      <c r="F128" s="72">
        <f>SUMIF(Adat!$AC:$AC,CONCATENATE(60,Info!$D$5,"0591261"),Adat!$E:$E)+E128</f>
        <v>0</v>
      </c>
      <c r="G128" s="72">
        <f>SUMIF(Adat!$AD:$AD,CONCATENATE(Info!$D$5,"0591261","(KÖT)"),Adat!$E:$E)</f>
        <v>0</v>
      </c>
      <c r="H128" s="72">
        <f>SUMIF(Adat!$AD:$AD,CONCATENATE(Info!$D$5,"0591261","(ÖNV)"),Adat!$E:$E)</f>
        <v>0</v>
      </c>
      <c r="I128" s="72">
        <f>SUMIF(Adat!$AD:$AD,CONCATENATE(Info!$D$5,"0591261","(ÁIG)"),Adat!$E:$E)</f>
        <v>0</v>
      </c>
    </row>
    <row r="129" spans="2:18" x14ac:dyDescent="0.25">
      <c r="B129" s="160">
        <v>29</v>
      </c>
      <c r="C129" s="78" t="s">
        <v>379</v>
      </c>
      <c r="D129" s="86" t="s">
        <v>1470</v>
      </c>
      <c r="E129" s="71">
        <f>+E130+E131+E133+E134+E132</f>
        <v>737877178</v>
      </c>
      <c r="F129" s="71">
        <f>+F130+F131+F133+F134+F132</f>
        <v>738337142</v>
      </c>
      <c r="G129" s="71">
        <f>+G130+G131+G133+G134+G132</f>
        <v>738337142</v>
      </c>
      <c r="H129" s="71">
        <f>+H130+H131+H133+H134+H132</f>
        <v>0</v>
      </c>
      <c r="I129" s="71">
        <f>+I130+I131+I133+I134+I132</f>
        <v>0</v>
      </c>
      <c r="R129" s="43"/>
    </row>
    <row r="130" spans="2:18" x14ac:dyDescent="0.25">
      <c r="B130" s="160">
        <v>30</v>
      </c>
      <c r="C130" s="305" t="s">
        <v>1471</v>
      </c>
      <c r="D130" s="161" t="s">
        <v>416</v>
      </c>
      <c r="E130" s="72">
        <f>SUMIF(Adat!$AC:$AC,CONCATENATE(61,Info!$D$5,"059131"),Adat!$E:$E)</f>
        <v>0</v>
      </c>
      <c r="F130" s="72">
        <f>SUMIF(Adat!$AC:$AC,CONCATENATE(60,Info!$D$5,"059131"),Adat!$E:$E)+E130</f>
        <v>0</v>
      </c>
      <c r="G130" s="72">
        <f>SUMIF(Adat!$AD:$AD,CONCATENATE(Info!$D$5,"059131","(KÖT)"),Adat!$E:$E)</f>
        <v>0</v>
      </c>
      <c r="H130" s="72">
        <f>SUMIF(Adat!$AD:$AD,CONCATENATE(Info!$D$5,"059131","(ÖNV)"),Adat!$E:$E)</f>
        <v>0</v>
      </c>
      <c r="I130" s="72">
        <f>SUMIF(Adat!$AD:$AD,CONCATENATE(Info!$D$5,"059131","(ÁIG)"),Adat!$E:$E)</f>
        <v>0</v>
      </c>
    </row>
    <row r="131" spans="2:18" x14ac:dyDescent="0.25">
      <c r="B131" s="160">
        <v>31</v>
      </c>
      <c r="C131" s="305" t="s">
        <v>1287</v>
      </c>
      <c r="D131" s="161" t="s">
        <v>417</v>
      </c>
      <c r="E131" s="72">
        <f>SUMIF(Adat!$AC:$AC,CONCATENATE(61,Info!$D$5,"059141"),Adat!$E:$E)</f>
        <v>23155891</v>
      </c>
      <c r="F131" s="72">
        <f>SUMIF(Adat!$AC:$AC,CONCATENATE(60,Info!$D$5,"059141"),Adat!$E:$E)+E131</f>
        <v>23615855</v>
      </c>
      <c r="G131" s="72">
        <f>SUMIF(Adat!$AD:$AD,CONCATENATE(Info!$D$5,"059141","(KÖT)"),Adat!$E:$E)</f>
        <v>23615855</v>
      </c>
      <c r="H131" s="72">
        <f>SUMIF(Adat!$AD:$AD,CONCATENATE(Info!$D$5,"059141","(ÖNV)"),Adat!$E:$E)</f>
        <v>0</v>
      </c>
      <c r="I131" s="72">
        <f>SUMIF(Adat!$AD:$AD,CONCATENATE(Info!$D$5,"059141","(ÁIG)"),Adat!$E:$E)</f>
        <v>0</v>
      </c>
    </row>
    <row r="132" spans="2:18" x14ac:dyDescent="0.25">
      <c r="B132" s="160">
        <v>32</v>
      </c>
      <c r="C132" s="316" t="s">
        <v>1253</v>
      </c>
      <c r="D132" s="161" t="s">
        <v>493</v>
      </c>
      <c r="E132" s="72">
        <f>SUMIF(Adat!$AC:$AC,CONCATENATE(61,Info!$D$5,"059151"),Adat!$E:$E)</f>
        <v>713571495</v>
      </c>
      <c r="F132" s="72">
        <f>SUMIF(Adat!$AC:$AC,CONCATENATE(60,Info!$D$5,"059151"),Adat!$E:$E)+E132</f>
        <v>713571495</v>
      </c>
      <c r="G132" s="72">
        <f>SUMIF(Adat!$AD:$AD,CONCATENATE(Info!$D$5,"059151","(KÖT)"),Adat!$E:$E)</f>
        <v>713571495</v>
      </c>
      <c r="H132" s="72">
        <f>SUMIF(Adat!$AD:$AD,CONCATENATE(Info!$D$5,"059151","(ÖNV)"),Adat!$E:$E)</f>
        <v>0</v>
      </c>
      <c r="I132" s="72">
        <f>SUMIF(Adat!$AD:$AD,CONCATENATE(Info!$D$5,"059151","(ÁIG)"),Adat!$E:$E)</f>
        <v>0</v>
      </c>
    </row>
    <row r="133" spans="2:18" s="42" customFormat="1" x14ac:dyDescent="0.25">
      <c r="B133" s="160">
        <v>33</v>
      </c>
      <c r="C133" s="305" t="s">
        <v>1474</v>
      </c>
      <c r="D133" s="161" t="s">
        <v>418</v>
      </c>
      <c r="E133" s="72">
        <f>SUMIF(Adat!$AC:$AC,CONCATENATE(61,Info!$D$5,"059161"),Adat!$E:$E)</f>
        <v>0</v>
      </c>
      <c r="F133" s="72">
        <f>SUMIF(Adat!$AC:$AC,CONCATENATE(60,Info!$D$5,"059161"),Adat!$E:$E)+E133</f>
        <v>0</v>
      </c>
      <c r="G133" s="72">
        <f>SUMIF(Adat!$AD:$AD,CONCATENATE(Info!$D$5,"059161","(KÖT)"),Adat!$E:$E)</f>
        <v>0</v>
      </c>
      <c r="H133" s="72">
        <f>SUMIF(Adat!$AD:$AD,CONCATENATE(Info!$D$5,"059161","(ÖNV)"),Adat!$E:$E)</f>
        <v>0</v>
      </c>
      <c r="I133" s="72">
        <f>SUMIF(Adat!$AD:$AD,CONCATENATE(Info!$D$5,"059161","(ÁIG)"),Adat!$E:$E)</f>
        <v>0</v>
      </c>
    </row>
    <row r="134" spans="2:18" s="42" customFormat="1" x14ac:dyDescent="0.25">
      <c r="B134" s="160">
        <v>34</v>
      </c>
      <c r="C134" s="305" t="s">
        <v>1476</v>
      </c>
      <c r="D134" s="161" t="s">
        <v>419</v>
      </c>
      <c r="E134" s="72">
        <f>SUMIF(Adat!$AC:$AC,CONCATENATE(61,Info!$D$5,"059171"),Adat!$E:$E)</f>
        <v>1149792</v>
      </c>
      <c r="F134" s="72">
        <f>SUMIF(Adat!$AC:$AC,CONCATENATE(60,Info!$D$5,"059171"),Adat!$E:$E)+E134</f>
        <v>1149792</v>
      </c>
      <c r="G134" s="72">
        <f>SUMIF(Adat!$AD:$AD,CONCATENATE(Info!$D$5,"059171","(KÖT)"),Adat!$E:$E)</f>
        <v>1149792</v>
      </c>
      <c r="H134" s="72">
        <f>SUMIF(Adat!$AD:$AD,CONCATENATE(Info!$D$5,"059171","(ÖNV)"),Adat!$E:$E)</f>
        <v>0</v>
      </c>
      <c r="I134" s="72">
        <f>SUMIF(Adat!$AD:$AD,CONCATENATE(Info!$D$5,"059171","(ÁIG)"),Adat!$E:$E)</f>
        <v>0</v>
      </c>
    </row>
    <row r="135" spans="2:18" s="42" customFormat="1" x14ac:dyDescent="0.25">
      <c r="B135" s="160">
        <v>35</v>
      </c>
      <c r="C135" s="78" t="s">
        <v>420</v>
      </c>
      <c r="D135" s="86" t="s">
        <v>1478</v>
      </c>
      <c r="E135" s="73">
        <f>+E136+E137+E138+E139+E140</f>
        <v>0</v>
      </c>
      <c r="F135" s="73">
        <f>+F136+F137+F138+F139+F140</f>
        <v>0</v>
      </c>
      <c r="G135" s="73">
        <f>+G136+G137+G138+G139+G140</f>
        <v>0</v>
      </c>
      <c r="H135" s="73">
        <f>+H136+H137+H138+H139+H140</f>
        <v>0</v>
      </c>
      <c r="I135" s="73">
        <f>+I136+I137+I138+I139+I140</f>
        <v>0</v>
      </c>
    </row>
    <row r="136" spans="2:18" s="42" customFormat="1" x14ac:dyDescent="0.25">
      <c r="B136" s="160">
        <v>36</v>
      </c>
      <c r="C136" s="305" t="s">
        <v>1479</v>
      </c>
      <c r="D136" s="161" t="s">
        <v>422</v>
      </c>
      <c r="E136" s="72">
        <f>SUMIF(Adat!$AC:$AC,CONCATENATE(61,Info!$D$5,"059211"),Adat!$E:$E)</f>
        <v>0</v>
      </c>
      <c r="F136" s="72">
        <f>SUMIF(Adat!$AC:$AC,CONCATENATE(60,Info!$D$5,"059211"),Adat!$E:$E)+E136</f>
        <v>0</v>
      </c>
      <c r="G136" s="72">
        <f>SUMIF(Adat!$AD:$AD,CONCATENATE(Info!$D$5,"059211","(KÖT)"),Adat!$E:$E)</f>
        <v>0</v>
      </c>
      <c r="H136" s="72">
        <f>SUMIF(Adat!$AD:$AD,CONCATENATE(Info!$D$5,"059211","(ÖNV)"),Adat!$E:$E)</f>
        <v>0</v>
      </c>
      <c r="I136" s="72">
        <f>SUMIF(Adat!$AD:$AD,CONCATENATE(Info!$D$5,"059211","(ÁIG)"),Adat!$E:$E)</f>
        <v>0</v>
      </c>
    </row>
    <row r="137" spans="2:18" s="42" customFormat="1" x14ac:dyDescent="0.25">
      <c r="B137" s="160">
        <v>37</v>
      </c>
      <c r="C137" s="305" t="s">
        <v>1481</v>
      </c>
      <c r="D137" s="161" t="s">
        <v>423</v>
      </c>
      <c r="E137" s="72">
        <f>SUMIF(Adat!$AC:$AC,CONCATENATE(61,Info!$D$5,"059221"),Adat!$E:$E)</f>
        <v>0</v>
      </c>
      <c r="F137" s="72">
        <f>SUMIF(Adat!$AC:$AC,CONCATENATE(60,Info!$D$5,"059221"),Adat!$E:$E)+E137</f>
        <v>0</v>
      </c>
      <c r="G137" s="72">
        <f>SUMIF(Adat!$AD:$AD,CONCATENATE(Info!$D$5,"059221","(KÖT)"),Adat!$E:$E)</f>
        <v>0</v>
      </c>
      <c r="H137" s="72">
        <f>SUMIF(Adat!$AD:$AD,CONCATENATE(Info!$D$5,"059221","(ÖNV)"),Adat!$E:$E)</f>
        <v>0</v>
      </c>
      <c r="I137" s="72">
        <f>SUMIF(Adat!$AD:$AD,CONCATENATE(Info!$D$5,"059221","(ÁIG)"),Adat!$E:$E)</f>
        <v>0</v>
      </c>
    </row>
    <row r="138" spans="2:18" s="42" customFormat="1" x14ac:dyDescent="0.25">
      <c r="B138" s="160">
        <v>38</v>
      </c>
      <c r="C138" s="305" t="s">
        <v>1483</v>
      </c>
      <c r="D138" s="161" t="s">
        <v>424</v>
      </c>
      <c r="E138" s="72">
        <f>SUMIF(Adat!$AC:$AC,CONCATENATE(61,Info!$D$5,"059231"),Adat!$E:$E)</f>
        <v>0</v>
      </c>
      <c r="F138" s="72">
        <f>SUMIF(Adat!$AC:$AC,CONCATENATE(60,Info!$D$5,"059231"),Adat!$E:$E)+E138</f>
        <v>0</v>
      </c>
      <c r="G138" s="72">
        <f>SUMIF(Adat!$AD:$AD,CONCATENATE(Info!$D$5,"059231","(KÖT)"),Adat!$E:$E)</f>
        <v>0</v>
      </c>
      <c r="H138" s="72">
        <f>SUMIF(Adat!$AD:$AD,CONCATENATE(Info!$D$5,"059231","(ÖNV)"),Adat!$E:$E)</f>
        <v>0</v>
      </c>
      <c r="I138" s="72">
        <f>SUMIF(Adat!$AD:$AD,CONCATENATE(Info!$D$5,"059231","(ÁIG)"),Adat!$E:$E)</f>
        <v>0</v>
      </c>
    </row>
    <row r="139" spans="2:18" s="42" customFormat="1" x14ac:dyDescent="0.25">
      <c r="B139" s="160">
        <v>39</v>
      </c>
      <c r="C139" s="305" t="s">
        <v>1485</v>
      </c>
      <c r="D139" s="161" t="s">
        <v>494</v>
      </c>
      <c r="E139" s="72">
        <f>SUMIF(Adat!$AC:$AC,CONCATENATE(61,Info!$D$5,"059241"),Adat!$E:$E)</f>
        <v>0</v>
      </c>
      <c r="F139" s="72">
        <f>SUMIF(Adat!$AC:$AC,CONCATENATE(60,Info!$D$5,"059241"),Adat!$E:$E)+E139</f>
        <v>0</v>
      </c>
      <c r="G139" s="72">
        <f>SUMIF(Adat!$AD:$AD,CONCATENATE(Info!$D$5,"059241","(KÖT)"),Adat!$E:$E)</f>
        <v>0</v>
      </c>
      <c r="H139" s="72">
        <f>SUMIF(Adat!$AD:$AD,CONCATENATE(Info!$D$5,"059241","(ÖNV)"),Adat!$E:$E)</f>
        <v>0</v>
      </c>
      <c r="I139" s="72">
        <f>SUMIF(Adat!$AD:$AD,CONCATENATE(Info!$D$5,"059241","(ÁIG)"),Adat!$E:$E)</f>
        <v>0</v>
      </c>
    </row>
    <row r="140" spans="2:18" x14ac:dyDescent="0.25">
      <c r="B140" s="160">
        <v>40</v>
      </c>
      <c r="C140" s="305" t="s">
        <v>1487</v>
      </c>
      <c r="D140" s="161" t="s">
        <v>427</v>
      </c>
      <c r="E140" s="72">
        <f>SUMIF(Adat!$AC:$AC,CONCATENATE(61,Info!$D$5,"059251"),Adat!$E:$E)</f>
        <v>0</v>
      </c>
      <c r="F140" s="72">
        <f>SUMIF(Adat!$AC:$AC,CONCATENATE(60,Info!$D$5,"059251"),Adat!$E:$E)+E140</f>
        <v>0</v>
      </c>
      <c r="G140" s="72">
        <f>SUMIF(Adat!$AD:$AD,CONCATENATE(Info!$D$5,"059251","(KÖT)"),Adat!$E:$E)</f>
        <v>0</v>
      </c>
      <c r="H140" s="72">
        <f>SUMIF(Adat!$AD:$AD,CONCATENATE(Info!$D$5,"059251","(ÖNV)"),Adat!$E:$E)</f>
        <v>0</v>
      </c>
      <c r="I140" s="72">
        <f>SUMIF(Adat!$AD:$AD,CONCATENATE(Info!$D$5,"059251","(ÁIG)"),Adat!$E:$E)</f>
        <v>0</v>
      </c>
    </row>
    <row r="141" spans="2:18" x14ac:dyDescent="0.25">
      <c r="B141" s="160">
        <v>41</v>
      </c>
      <c r="C141" s="162" t="s">
        <v>390</v>
      </c>
      <c r="D141" s="86" t="s">
        <v>428</v>
      </c>
      <c r="E141" s="72">
        <f>SUMIF(Adat!$AC:$AC,CONCATENATE(61,Info!$D$5,"05931"),Adat!$E:$E)</f>
        <v>0</v>
      </c>
      <c r="F141" s="72">
        <f>SUMIF(Adat!$AC:$AC,CONCATENATE(60,Info!$D$5,"05931"),Adat!$E:$E)+E141</f>
        <v>0</v>
      </c>
      <c r="G141" s="72">
        <f>SUMIF(Adat!$AD:$AD,CONCATENATE(Info!$D$5,"05931","(KÖT)"),Adat!$E:$E)</f>
        <v>0</v>
      </c>
      <c r="H141" s="72">
        <f>SUMIF(Adat!$AD:$AD,CONCATENATE(Info!$D$5,"05931","(ÖNV)"),Adat!$E:$E)</f>
        <v>0</v>
      </c>
      <c r="I141" s="72">
        <f>SUMIF(Adat!$AD:$AD,CONCATENATE(Info!$D$5,"05931","(ÁIG)"),Adat!$E:$E)</f>
        <v>0</v>
      </c>
    </row>
    <row r="142" spans="2:18" x14ac:dyDescent="0.25">
      <c r="B142" s="160">
        <v>42</v>
      </c>
      <c r="C142" s="162" t="s">
        <v>429</v>
      </c>
      <c r="D142" s="86" t="s">
        <v>430</v>
      </c>
      <c r="E142" s="72">
        <f>SUMIF(Adat!$AC:$AC,CONCATENATE(61,Info!$D$5,"05941"),Adat!$E:$E)</f>
        <v>0</v>
      </c>
      <c r="F142" s="72">
        <f>SUMIF(Adat!$AC:$AC,CONCATENATE(60,Info!$D$5,"05941"),Adat!$E:$E)+E142</f>
        <v>0</v>
      </c>
      <c r="G142" s="72">
        <f>SUMIF(Adat!$AD:$AD,CONCATENATE(Info!$D$5,"05941","(KÖT)"),Adat!$E:$E)</f>
        <v>0</v>
      </c>
      <c r="H142" s="72">
        <f>SUMIF(Adat!$AD:$AD,CONCATENATE(Info!$D$5,"05941","(ÖNV)"),Adat!$E:$E)</f>
        <v>0</v>
      </c>
      <c r="I142" s="72">
        <f>SUMIF(Adat!$AD:$AD,CONCATENATE(Info!$D$5,"05941","(ÁIG)"),Adat!$E:$E)</f>
        <v>0</v>
      </c>
    </row>
    <row r="143" spans="2:18" x14ac:dyDescent="0.25">
      <c r="B143" s="160">
        <v>43</v>
      </c>
      <c r="C143" s="78" t="s">
        <v>431</v>
      </c>
      <c r="D143" s="86" t="s">
        <v>432</v>
      </c>
      <c r="E143" s="74">
        <f>+E118+E122+E129+E135+E141+E142</f>
        <v>752606906</v>
      </c>
      <c r="F143" s="74">
        <f>+F118+F122+F129+F135+F141+F142</f>
        <v>753066870</v>
      </c>
      <c r="G143" s="74">
        <f>+G118+G122+G129+G135+G141+G142</f>
        <v>753066870</v>
      </c>
      <c r="H143" s="74">
        <f>+H118+H122+H129+H135+H141+H142</f>
        <v>0</v>
      </c>
      <c r="I143" s="74">
        <f>+I118+I122+I129+I135+I141+I142</f>
        <v>0</v>
      </c>
    </row>
    <row r="144" spans="2:18" x14ac:dyDescent="0.25">
      <c r="B144" s="160">
        <v>44</v>
      </c>
      <c r="C144" s="154" t="s">
        <v>433</v>
      </c>
      <c r="D144" s="159" t="s">
        <v>434</v>
      </c>
      <c r="E144" s="74">
        <f>+E117+E143</f>
        <v>1617484149</v>
      </c>
      <c r="F144" s="74">
        <f>+F117+F143</f>
        <v>1604114333</v>
      </c>
      <c r="G144" s="74">
        <f>+G117+G143</f>
        <v>1604114333</v>
      </c>
      <c r="H144" s="74">
        <f>+H117+H143</f>
        <v>0</v>
      </c>
      <c r="I144" s="74">
        <f>+I117+I143</f>
        <v>0</v>
      </c>
    </row>
    <row r="145" spans="2:12" s="37" customFormat="1" ht="15.75" x14ac:dyDescent="0.25">
      <c r="C145" s="529"/>
      <c r="D145" s="529"/>
      <c r="E145" s="529"/>
      <c r="F145" s="200"/>
      <c r="G145" s="200"/>
      <c r="H145" s="200"/>
      <c r="I145" s="200"/>
    </row>
    <row r="146" spans="2:12" s="38" customFormat="1" ht="15.75" x14ac:dyDescent="0.25">
      <c r="B146" s="525" t="str">
        <f>PAR!$E$3</f>
        <v>Nagymaros Város Önkormányzata</v>
      </c>
      <c r="C146" s="525"/>
      <c r="D146" s="525"/>
      <c r="E146" s="525"/>
      <c r="F146" s="525"/>
      <c r="G146" s="525"/>
      <c r="H146" s="525"/>
      <c r="I146" s="525"/>
    </row>
    <row r="147" spans="2:12" s="38" customFormat="1" ht="15.75" x14ac:dyDescent="0.25">
      <c r="B147" s="525" t="s">
        <v>2660</v>
      </c>
      <c r="C147" s="525"/>
      <c r="D147" s="525"/>
      <c r="E147" s="525"/>
      <c r="F147" s="525"/>
      <c r="G147" s="525"/>
      <c r="H147" s="525"/>
      <c r="I147" s="525"/>
    </row>
    <row r="148" spans="2:12" s="38" customFormat="1" ht="15.75" x14ac:dyDescent="0.25">
      <c r="C148" s="156"/>
      <c r="E148" s="140"/>
      <c r="F148" s="140"/>
      <c r="G148" s="140"/>
      <c r="H148" s="140"/>
      <c r="I148" s="140"/>
    </row>
    <row r="149" spans="2:12" s="10" customFormat="1" ht="15.75" customHeight="1" x14ac:dyDescent="0.25">
      <c r="B149" s="201" t="str">
        <f>CONCATENATE("3. Bevételi jogcímek"," - ",L149," részletező")</f>
        <v>3. Bevételi jogcímek -  részletező</v>
      </c>
      <c r="C149" s="101"/>
      <c r="D149" s="101"/>
      <c r="E149" s="101"/>
      <c r="F149" s="101"/>
      <c r="G149" s="198"/>
      <c r="H149" s="198"/>
      <c r="I149" s="198"/>
      <c r="L149" s="384"/>
    </row>
    <row r="150" spans="2:12" s="38" customFormat="1" ht="15.75" x14ac:dyDescent="0.25">
      <c r="C150" s="156"/>
      <c r="E150" s="140"/>
      <c r="F150" s="140"/>
      <c r="G150" s="140"/>
      <c r="H150" s="140"/>
      <c r="I150" s="140"/>
    </row>
    <row r="151" spans="2:12" s="40" customFormat="1" x14ac:dyDescent="0.25">
      <c r="B151" s="77"/>
      <c r="C151" s="77" t="s">
        <v>350</v>
      </c>
      <c r="D151" s="77" t="s">
        <v>351</v>
      </c>
      <c r="E151" s="77" t="s">
        <v>470</v>
      </c>
      <c r="F151" s="77" t="s">
        <v>471</v>
      </c>
      <c r="G151" s="77" t="s">
        <v>44</v>
      </c>
      <c r="H151" s="77" t="s">
        <v>42</v>
      </c>
      <c r="I151" s="77" t="s">
        <v>511</v>
      </c>
    </row>
    <row r="152" spans="2:12" ht="38.25" x14ac:dyDescent="0.25">
      <c r="B152" s="160">
        <v>1</v>
      </c>
      <c r="C152" s="154" t="s">
        <v>593</v>
      </c>
      <c r="D152" s="154" t="s">
        <v>488</v>
      </c>
      <c r="E152" s="163" t="str">
        <f>CONCATENATE(PAR!$H$3," évi
eredeti 
előirányzat")</f>
        <v>2025. évi
eredeti 
előirányzat</v>
      </c>
      <c r="F152" s="163" t="str">
        <f>CONCATENATE(PAR!$H$3," évi
módosított 
előirányzat")</f>
        <v>2025. évi
módosított 
előirányzat</v>
      </c>
      <c r="G152" s="69" t="s">
        <v>666</v>
      </c>
      <c r="H152" s="69" t="s">
        <v>667</v>
      </c>
      <c r="I152" s="69" t="s">
        <v>668</v>
      </c>
    </row>
    <row r="153" spans="2:12" s="41" customFormat="1" x14ac:dyDescent="0.25">
      <c r="B153" s="160">
        <v>2</v>
      </c>
      <c r="C153" s="78" t="s">
        <v>1324</v>
      </c>
      <c r="D153" s="79" t="s">
        <v>562</v>
      </c>
      <c r="E153" s="71">
        <f>SUM(E154:E160)</f>
        <v>0</v>
      </c>
      <c r="F153" s="71">
        <f t="shared" ref="F153:I153" si="15">SUM(F154:F160)</f>
        <v>0</v>
      </c>
      <c r="G153" s="71">
        <f t="shared" si="15"/>
        <v>0</v>
      </c>
      <c r="H153" s="71">
        <f t="shared" si="15"/>
        <v>0</v>
      </c>
      <c r="I153" s="71">
        <f t="shared" si="15"/>
        <v>0</v>
      </c>
    </row>
    <row r="154" spans="2:12" s="42" customFormat="1" x14ac:dyDescent="0.2">
      <c r="B154" s="160">
        <v>3</v>
      </c>
      <c r="C154" s="305" t="s">
        <v>1288</v>
      </c>
      <c r="D154" s="82" t="s">
        <v>1325</v>
      </c>
      <c r="E154" s="72">
        <f>SUMIF(Adat!$AG:$AG,CONCATENATE(61,Info!$D$5,"091111",L149),Adat!$E:$E)*-1</f>
        <v>0</v>
      </c>
      <c r="F154" s="72">
        <f>SUMIF(Adat!$AG:$AG,CONCATENATE(60,Info!$D$5,"091111",L149),Adat!$E:$E)*(-1)+E154</f>
        <v>0</v>
      </c>
      <c r="G154" s="72">
        <f>SUMIF(Adat!$AH:$AH,CONCATENATE(Info!$D$5,"(KÖT)","091111",L149),Adat!$E:$E)*-1</f>
        <v>0</v>
      </c>
      <c r="H154" s="72">
        <f>SUMIF(Adat!$AH:$AH,CONCATENATE(Info!$D$5,"(ÖNV)","091111",L149),Adat!$E:$E)*-1</f>
        <v>0</v>
      </c>
      <c r="I154" s="72">
        <f>SUMIF(Adat!$AH:$AH,CONCATENATE(Info!$D$5,"(ÁIG)","091111",L149),Adat!$E:$E)*-1</f>
        <v>0</v>
      </c>
    </row>
    <row r="155" spans="2:12" x14ac:dyDescent="0.2">
      <c r="B155" s="160">
        <v>4</v>
      </c>
      <c r="C155" s="305" t="s">
        <v>1289</v>
      </c>
      <c r="D155" s="82" t="s">
        <v>735</v>
      </c>
      <c r="E155" s="72">
        <f>SUMIF(Adat!$AG:$AG,CONCATENATE(61,Info!$D$5,"091121",L149),Adat!$E:$E)*-1</f>
        <v>0</v>
      </c>
      <c r="F155" s="72">
        <f>SUMIF(Adat!$AG:$AG,CONCATENATE(60,Info!$D$5,"091121",L149),Adat!$E:$E)*-1+E155</f>
        <v>0</v>
      </c>
      <c r="G155" s="72">
        <f>SUMIF(Adat!$AH:$AH,CONCATENATE(Info!$D$5,"(KÖT)","091121",L149),Adat!$E:$E)*-1</f>
        <v>0</v>
      </c>
      <c r="H155" s="72">
        <f>SUMIF(Adat!$AH:$AH,CONCATENATE(Info!$D$5,"(ÖNV)","091121",L149),Adat!$E:$E)*-1</f>
        <v>0</v>
      </c>
      <c r="I155" s="72">
        <f>SUMIF(Adat!$AH:$AH,CONCATENATE(Info!$D$5,"(ÁIG)","091121",L149),Adat!$E:$E)*-1</f>
        <v>0</v>
      </c>
    </row>
    <row r="156" spans="2:12" x14ac:dyDescent="0.2">
      <c r="B156" s="160">
        <v>5</v>
      </c>
      <c r="C156" s="305" t="s">
        <v>1290</v>
      </c>
      <c r="D156" s="82" t="s">
        <v>1326</v>
      </c>
      <c r="E156" s="72">
        <f>SUMIF(Adat!$AG:$AG,CONCATENATE(61,Info!$D$5,"0911311",L149),Adat!$E:$E)*-1</f>
        <v>0</v>
      </c>
      <c r="F156" s="72">
        <f>SUMIF(Adat!$AG:$AG,CONCATENATE(60,Info!$D$5,"0911311",L149),Adat!$E:$E)*-1+E156</f>
        <v>0</v>
      </c>
      <c r="G156" s="72">
        <f>SUMIF(Adat!$AH:$AH,CONCATENATE(Info!$D$5,"(KÖT)","0911311",L149),Adat!$E:$E)*-1</f>
        <v>0</v>
      </c>
      <c r="H156" s="72">
        <f>SUMIF(Adat!$AH:$AH,CONCATENATE(Info!$D$5,"(ÖNV)","0911311",L149),Adat!$E:$E)*-1</f>
        <v>0</v>
      </c>
      <c r="I156" s="72">
        <f>SUMIF(Adat!$AH:$AH,CONCATENATE(Info!$D$5,"(ÁIG)","0911311",L149),Adat!$E:$E)*-1</f>
        <v>0</v>
      </c>
    </row>
    <row r="157" spans="2:12" x14ac:dyDescent="0.2">
      <c r="B157" s="160">
        <v>6</v>
      </c>
      <c r="C157" s="305" t="s">
        <v>1254</v>
      </c>
      <c r="D157" s="82" t="s">
        <v>736</v>
      </c>
      <c r="E157" s="72">
        <f>SUMIF(Adat!$AG:$AG,CONCATENATE(61,Info!$D$5,"0911321",L149),Adat!$E:$E)*-1</f>
        <v>0</v>
      </c>
      <c r="F157" s="72">
        <f>SUMIF(Adat!$AG:$AG,CONCATENATE(60,Info!$D$5,"0911321",L149),Adat!$E:$E)*-1+E157</f>
        <v>0</v>
      </c>
      <c r="G157" s="72">
        <f>SUMIF(Adat!$AH:$AH,CONCATENATE(Info!$D$5,"(KÖT)","0911321",L149),Adat!$E:$E)*-1</f>
        <v>0</v>
      </c>
      <c r="H157" s="72">
        <f>SUMIF(Adat!$AH:$AH,CONCATENATE(Info!$D$5,"(ÖNV)","0911321",L149),Adat!$E:$E)*-1</f>
        <v>0</v>
      </c>
      <c r="I157" s="72">
        <f>SUMIF(Adat!$AH:$AH,CONCATENATE(Info!$D$5,"(ÁIG)","0911321",L149),Adat!$E:$E)*-1</f>
        <v>0</v>
      </c>
    </row>
    <row r="158" spans="2:12" x14ac:dyDescent="0.25">
      <c r="B158" s="160">
        <v>7</v>
      </c>
      <c r="C158" s="305" t="s">
        <v>1291</v>
      </c>
      <c r="D158" s="84" t="s">
        <v>737</v>
      </c>
      <c r="E158" s="72">
        <f>SUMIF(Adat!$AG:$AG,CONCATENATE(61,Info!$D$5,"091141",L149),Adat!$E:$E)*-1</f>
        <v>0</v>
      </c>
      <c r="F158" s="72">
        <f>SUMIF(Adat!$AG:$AG,CONCATENATE(60,Info!$D$5,"091141",L149),Adat!$E:$E)*-1+E158</f>
        <v>0</v>
      </c>
      <c r="G158" s="72">
        <f>SUMIF(Adat!$AH:$AH,CONCATENATE(Info!$D$5,"(KÖT)","091141",L149),Adat!$E:$E)*-1</f>
        <v>0</v>
      </c>
      <c r="H158" s="72">
        <f>SUMIF(Adat!$AH:$AH,CONCATENATE(Info!$D$5,"(ÖNV)","091141",L149),Adat!$E:$E)*-1</f>
        <v>0</v>
      </c>
      <c r="I158" s="72">
        <f>SUMIF(Adat!$AH:$AH,CONCATENATE(Info!$D$5,"(ÁIG)","091141",L149),Adat!$E:$E)*-1</f>
        <v>0</v>
      </c>
    </row>
    <row r="159" spans="2:12" x14ac:dyDescent="0.25">
      <c r="B159" s="160">
        <v>8</v>
      </c>
      <c r="C159" s="305" t="s">
        <v>1312</v>
      </c>
      <c r="D159" s="84" t="s">
        <v>738</v>
      </c>
      <c r="E159" s="72">
        <f>SUMIF(Adat!$AG:$AG,CONCATENATE(61,Info!$D$5,"091151",L149),Adat!$E:$E)*-1</f>
        <v>0</v>
      </c>
      <c r="F159" s="72">
        <f>SUMIF(Adat!$AG:$AG,CONCATENATE(60,Info!$D$5,"091151",L149),Adat!$E:$E)*-1+E159</f>
        <v>0</v>
      </c>
      <c r="G159" s="72">
        <f>SUMIF(Adat!$AH:$AH,CONCATENATE(Info!$D$5,"(KÖT)","091151",L149),Adat!$E:$E)*-1</f>
        <v>0</v>
      </c>
      <c r="H159" s="72">
        <f>SUMIF(Adat!$AH:$AH,CONCATENATE(Info!$D$5,"(ÖNV)","091151",L149),Adat!$E:$E)*-1</f>
        <v>0</v>
      </c>
      <c r="I159" s="72">
        <f>SUMIF(Adat!$AH:$AH,CONCATENATE(Info!$D$5,"(ÁIG)","091151",L149),Adat!$E:$E)*-1</f>
        <v>0</v>
      </c>
    </row>
    <row r="160" spans="2:12" s="42" customFormat="1" x14ac:dyDescent="0.25">
      <c r="B160" s="160">
        <v>9</v>
      </c>
      <c r="C160" s="305" t="s">
        <v>1308</v>
      </c>
      <c r="D160" s="84" t="s">
        <v>233</v>
      </c>
      <c r="E160" s="72">
        <f>SUMIF(Adat!$AG:$AG,CONCATENATE(61,Info!$D$5,"091161",L149),Adat!$E:$E)*-1</f>
        <v>0</v>
      </c>
      <c r="F160" s="72">
        <f>SUMIF(Adat!$AG:$AG,CONCATENATE(60,Info!$D$5,"091161",L149),Adat!$E:$E)*-1+E160</f>
        <v>0</v>
      </c>
      <c r="G160" s="72">
        <f>SUMIF(Adat!$AH:$AH,CONCATENATE(Info!$D$5,"(KÖT)","091161",L149),Adat!$E:$E)*-1</f>
        <v>0</v>
      </c>
      <c r="H160" s="72">
        <f>SUMIF(Adat!$AH:$AH,CONCATENATE(Info!$D$5,"(ÖNV)","091161",L149),Adat!$E:$E)*-1</f>
        <v>0</v>
      </c>
      <c r="I160" s="72">
        <f>SUMIF(Adat!$AH:$AH,CONCATENATE(Info!$D$5,"(ÁIG)","091161",L149),Adat!$E:$E)*-1</f>
        <v>0</v>
      </c>
    </row>
    <row r="161" spans="2:9" s="42" customFormat="1" x14ac:dyDescent="0.25">
      <c r="B161" s="160">
        <v>10</v>
      </c>
      <c r="C161" s="78" t="s">
        <v>1328</v>
      </c>
      <c r="D161" s="85" t="s">
        <v>437</v>
      </c>
      <c r="E161" s="71">
        <f>SUM(E162:E166)</f>
        <v>0</v>
      </c>
      <c r="F161" s="71">
        <f t="shared" ref="F161" si="16">SUM(F162:F166)</f>
        <v>0</v>
      </c>
      <c r="G161" s="71">
        <f>SUM(G162:G166)</f>
        <v>0</v>
      </c>
      <c r="H161" s="71">
        <f t="shared" ref="H161:I161" si="17">SUM(H162:H166)</f>
        <v>0</v>
      </c>
      <c r="I161" s="71">
        <f t="shared" si="17"/>
        <v>0</v>
      </c>
    </row>
    <row r="162" spans="2:9" s="42" customFormat="1" x14ac:dyDescent="0.2">
      <c r="B162" s="160">
        <v>11</v>
      </c>
      <c r="C162" s="305" t="s">
        <v>1329</v>
      </c>
      <c r="D162" s="82" t="s">
        <v>1330</v>
      </c>
      <c r="E162" s="72">
        <f>SUMIF(Adat!$AG:$AG,CONCATENATE(61,Info!$D$5,"09121",L149),Adat!$E:$E)*-1</f>
        <v>0</v>
      </c>
      <c r="F162" s="72">
        <f>SUMIF(Adat!$AG:$AG,CONCATENATE(60,Info!$D$5,"09121",L149),Adat!$E:$E)*-1+E162</f>
        <v>0</v>
      </c>
      <c r="G162" s="72">
        <f>SUMIF(Adat!$AH:$AH,CONCATENATE(Info!$D$5,"(KÖT)","09121",L149),Adat!$E:$E)*-1</f>
        <v>0</v>
      </c>
      <c r="H162" s="72">
        <f>SUMIF(Adat!$AH:$AH,CONCATENATE(Info!$D$5,"(ÖNV)","09121",L149),Adat!$E:$E)*-1</f>
        <v>0</v>
      </c>
      <c r="I162" s="72">
        <f>SUMIF(Adat!$AH:$AH,CONCATENATE(Info!$D$5,"(ÁIG)","09121",L149),Adat!$E:$E)*-1</f>
        <v>0</v>
      </c>
    </row>
    <row r="163" spans="2:9" s="42" customFormat="1" x14ac:dyDescent="0.2">
      <c r="B163" s="160">
        <v>12</v>
      </c>
      <c r="C163" s="305" t="s">
        <v>1331</v>
      </c>
      <c r="D163" s="82" t="s">
        <v>1332</v>
      </c>
      <c r="E163" s="72">
        <f>SUMIF(Adat!$AG:$AG,CONCATENATE(61,Info!$D$5,"09131",L149),Adat!$E:$E)*-1</f>
        <v>0</v>
      </c>
      <c r="F163" s="72">
        <f>SUMIF(Adat!$AG:$AG,CONCATENATE(60,Info!$D$5,"09131",L149),Adat!$E:$E)*-1+E163</f>
        <v>0</v>
      </c>
      <c r="G163" s="72">
        <f>SUMIF(Adat!$AH:$AH,CONCATENATE(Info!$D$5,"(KÖT)","09131",L149),Adat!$E:$E)*-1</f>
        <v>0</v>
      </c>
      <c r="H163" s="72">
        <f>SUMIF(Adat!$AH:$AH,CONCATENATE(Info!$D$5,"(ÖNV)","09131",L149),Adat!$E:$E)*-1</f>
        <v>0</v>
      </c>
      <c r="I163" s="72">
        <f>SUMIF(Adat!$AH:$AH,CONCATENATE(Info!$D$5,"(ÁIG)","09131",L149),Adat!$E:$E)*-1</f>
        <v>0</v>
      </c>
    </row>
    <row r="164" spans="2:9" s="42" customFormat="1" x14ac:dyDescent="0.2">
      <c r="B164" s="160">
        <v>13</v>
      </c>
      <c r="C164" s="305" t="s">
        <v>1333</v>
      </c>
      <c r="D164" s="82" t="s">
        <v>1334</v>
      </c>
      <c r="E164" s="72">
        <f>SUMIF(Adat!$AG:$AG,CONCATENATE(61,Info!$D$5,"09141",L149),Adat!$E:$E)*-1</f>
        <v>0</v>
      </c>
      <c r="F164" s="72">
        <f>SUMIF(Adat!$AG:$AG,CONCATENATE(60,Info!$D$5,"09141",L149),Adat!$E:$E)*-1+E164</f>
        <v>0</v>
      </c>
      <c r="G164" s="72">
        <f>SUMIF(Adat!$AH:$AH,CONCATENATE(Info!$D$5,"(KÖT)","09141",L149),Adat!$E:$E)*-1</f>
        <v>0</v>
      </c>
      <c r="H164" s="72">
        <f>SUMIF(Adat!$AH:$AH,CONCATENATE(Info!$D$5,"(ÖNV)","09141",L149),Adat!$E:$E)*-1</f>
        <v>0</v>
      </c>
      <c r="I164" s="72">
        <f>SUMIF(Adat!$AH:$AH,CONCATENATE(Info!$D$5,"(ÁIG)","09141",L149),Adat!$E:$E)*-1</f>
        <v>0</v>
      </c>
    </row>
    <row r="165" spans="2:9" s="42" customFormat="1" x14ac:dyDescent="0.2">
      <c r="B165" s="160">
        <v>14</v>
      </c>
      <c r="C165" s="305" t="s">
        <v>1335</v>
      </c>
      <c r="D165" s="82" t="s">
        <v>1336</v>
      </c>
      <c r="E165" s="72">
        <f>SUMIF(Adat!$AG:$AG,CONCATENATE(61,Info!$D$5,"09151",L149),Adat!$E:$E)*-1</f>
        <v>0</v>
      </c>
      <c r="F165" s="72">
        <f>SUMIF(Adat!$AG:$AG,CONCATENATE(60,Info!$D$5,"09151",L149),Adat!$E:$E)*-1+E165</f>
        <v>0</v>
      </c>
      <c r="G165" s="72">
        <f>SUMIF(Adat!$AH:$AH,CONCATENATE(Info!$D$5,"(KÖT)","09151",L149),Adat!$E:$E)*-1</f>
        <v>0</v>
      </c>
      <c r="H165" s="72">
        <f>SUMIF(Adat!$AH:$AH,CONCATENATE(Info!$D$5,"(ÖNV)","09151",L149),Adat!$E:$E)*-1</f>
        <v>0</v>
      </c>
      <c r="I165" s="72">
        <f>SUMIF(Adat!$AH:$AH,CONCATENATE(Info!$D$5,"(ÁIG)","09151",L149),Adat!$E:$E)*-1</f>
        <v>0</v>
      </c>
    </row>
    <row r="166" spans="2:9" s="42" customFormat="1" x14ac:dyDescent="0.2">
      <c r="B166" s="160">
        <v>15</v>
      </c>
      <c r="C166" s="305" t="s">
        <v>1278</v>
      </c>
      <c r="D166" s="82" t="s">
        <v>1337</v>
      </c>
      <c r="E166" s="72">
        <f>SUMIF(Adat!$AG:$AG,CONCATENATE(61,Info!$D$5,"09161",L149),Adat!$E:$E)*-1</f>
        <v>0</v>
      </c>
      <c r="F166" s="72">
        <f>SUMIF(Adat!$AG:$AG,CONCATENATE(60,Info!$D$5,"09161",L149),Adat!$E:$E)*-1+E166</f>
        <v>0</v>
      </c>
      <c r="G166" s="72">
        <f>SUMIF(Adat!$AH:$AH,CONCATENATE(Info!$D$5,"(KÖT)","09161",L149),Adat!$E:$E)*-1</f>
        <v>0</v>
      </c>
      <c r="H166" s="72">
        <f>SUMIF(Adat!$AH:$AH,CONCATENATE(Info!$D$5,"(ÖNV)","09161",L149),Adat!$E:$E)*-1</f>
        <v>0</v>
      </c>
      <c r="I166" s="72">
        <f>SUMIF(Adat!$AH:$AH,CONCATENATE(Info!$D$5,"(ÁIG)","09161",L149),Adat!$E:$E)*-1</f>
        <v>0</v>
      </c>
    </row>
    <row r="167" spans="2:9" x14ac:dyDescent="0.25">
      <c r="B167" s="160">
        <v>16</v>
      </c>
      <c r="C167" s="79" t="s">
        <v>24</v>
      </c>
      <c r="D167" s="79" t="s">
        <v>449</v>
      </c>
      <c r="E167" s="71">
        <f t="shared" ref="E167:F167" si="18">SUM(E168:E172)</f>
        <v>0</v>
      </c>
      <c r="F167" s="71">
        <f t="shared" si="18"/>
        <v>0</v>
      </c>
      <c r="G167" s="71">
        <f>SUM(G168:G172)</f>
        <v>0</v>
      </c>
      <c r="H167" s="71">
        <f t="shared" ref="H167:I167" si="19">SUM(H168:H172)</f>
        <v>0</v>
      </c>
      <c r="I167" s="71">
        <f t="shared" si="19"/>
        <v>0</v>
      </c>
    </row>
    <row r="168" spans="2:9" x14ac:dyDescent="0.2">
      <c r="B168" s="160">
        <v>17</v>
      </c>
      <c r="C168" s="305" t="s">
        <v>1339</v>
      </c>
      <c r="D168" s="82" t="s">
        <v>1340</v>
      </c>
      <c r="E168" s="72">
        <f>SUMIF(Adat!$AG:$AG,CONCATENATE(61,Info!$D$5,"09211",L149),Adat!$E:$E)*-1</f>
        <v>0</v>
      </c>
      <c r="F168" s="72">
        <f>SUMIF(Adat!$AG:$AG,CONCATENATE(60,Info!$D$5,"09211",L149),Adat!$E:$E)*-1+E168</f>
        <v>0</v>
      </c>
      <c r="G168" s="72">
        <f>SUMIF(Adat!$AH:$AH,CONCATENATE(Info!$D$5,"(KÖT)","09211",L149),Adat!$E:$E)*-1</f>
        <v>0</v>
      </c>
      <c r="H168" s="72">
        <f>SUMIF(Adat!$AH:$AH,CONCATENATE(Info!$D$5,"(ÖNV)","09211",L149),Adat!$E:$E)*-1</f>
        <v>0</v>
      </c>
      <c r="I168" s="72">
        <f>SUMIF(Adat!$AH:$AH,CONCATENATE(Info!$D$5,"(ÁIG)","09211",L149),Adat!$E:$E)*-1</f>
        <v>0</v>
      </c>
    </row>
    <row r="169" spans="2:9" s="42" customFormat="1" x14ac:dyDescent="0.2">
      <c r="B169" s="160">
        <v>18</v>
      </c>
      <c r="C169" s="305" t="s">
        <v>1341</v>
      </c>
      <c r="D169" s="82" t="s">
        <v>1342</v>
      </c>
      <c r="E169" s="72">
        <f>SUMIF(Adat!$AG:$AG,CONCATENATE(61,Info!$D$5,"09221",L149),Adat!$E:$E)*-1</f>
        <v>0</v>
      </c>
      <c r="F169" s="72">
        <f>SUMIF(Adat!$AG:$AG,CONCATENATE(60,Info!$D$5,"09221",L149),Adat!$E:$E)*-1+E169</f>
        <v>0</v>
      </c>
      <c r="G169" s="72">
        <f>SUMIF(Adat!$AH:$AH,CONCATENATE(Info!$D$5,"(KÖT)","09221",L149),Adat!$E:$E)*-1</f>
        <v>0</v>
      </c>
      <c r="H169" s="72">
        <f>SUMIF(Adat!$AH:$AH,CONCATENATE(Info!$D$5,"(ÖNV)","09221",L149),Adat!$E:$E)*-1</f>
        <v>0</v>
      </c>
      <c r="I169" s="72">
        <f>SUMIF(Adat!$AH:$AH,CONCATENATE(Info!$D$5,"(ÁIG)","09221",L149),Adat!$E:$E)*-1</f>
        <v>0</v>
      </c>
    </row>
    <row r="170" spans="2:9" x14ac:dyDescent="0.2">
      <c r="B170" s="160">
        <v>19</v>
      </c>
      <c r="C170" s="305" t="s">
        <v>1343</v>
      </c>
      <c r="D170" s="82" t="s">
        <v>1344</v>
      </c>
      <c r="E170" s="72">
        <f>SUMIF(Adat!$AG:$AG,CONCATENATE(61,Info!$D$5,"09231",L149),Adat!$E:$E)*-1</f>
        <v>0</v>
      </c>
      <c r="F170" s="72">
        <f>SUMIF(Adat!$AG:$AG,CONCATENATE(60,Info!$D$5,"09231",L149),Adat!$E:$E)*-1+E170</f>
        <v>0</v>
      </c>
      <c r="G170" s="72">
        <f>SUMIF(Adat!$AH:$AH,CONCATENATE(Info!$D$5,"(KÖT)","09231",L149),Adat!$E:$E)*-1</f>
        <v>0</v>
      </c>
      <c r="H170" s="72">
        <f>SUMIF(Adat!$AH:$AH,CONCATENATE(Info!$D$5,"(ÖNV)","09231",L149),Adat!$E:$E)*-1</f>
        <v>0</v>
      </c>
      <c r="I170" s="72">
        <f>SUMIF(Adat!$AH:$AH,CONCATENATE(Info!$D$5,"(ÁIG)","09231",L149),Adat!$E:$E)*-1</f>
        <v>0</v>
      </c>
    </row>
    <row r="171" spans="2:9" x14ac:dyDescent="0.2">
      <c r="B171" s="160">
        <v>20</v>
      </c>
      <c r="C171" s="305" t="s">
        <v>1345</v>
      </c>
      <c r="D171" s="82" t="s">
        <v>1346</v>
      </c>
      <c r="E171" s="72">
        <f>SUMIF(Adat!$AG:$AG,CONCATENATE(61,Info!$D$5,"09241",L149),Adat!$E:$E)*-1</f>
        <v>0</v>
      </c>
      <c r="F171" s="72">
        <f>SUMIF(Adat!$AG:$AG,CONCATENATE(60,Info!$D$5,"09241",L149),Adat!$E:$E)*-1+E171</f>
        <v>0</v>
      </c>
      <c r="G171" s="72">
        <f>SUMIF(Adat!$AH:$AH,CONCATENATE(Info!$D$5,"(KÖT)","09241",L149),Adat!$E:$E)*-1</f>
        <v>0</v>
      </c>
      <c r="H171" s="72">
        <f>SUMIF(Adat!$AH:$AH,CONCATENATE(Info!$D$5,"(ÖNV)","09241",L149),Adat!$E:$E)*-1</f>
        <v>0</v>
      </c>
      <c r="I171" s="72">
        <f>SUMIF(Adat!$AH:$AH,CONCATENATE(Info!$D$5,"(ÁIG)","09241",L149),Adat!$E:$E)*-1</f>
        <v>0</v>
      </c>
    </row>
    <row r="172" spans="2:9" x14ac:dyDescent="0.2">
      <c r="B172" s="160">
        <v>21</v>
      </c>
      <c r="C172" s="305" t="s">
        <v>1255</v>
      </c>
      <c r="D172" s="82" t="s">
        <v>1347</v>
      </c>
      <c r="E172" s="72">
        <f>SUMIF(Adat!$AG:$AG,CONCATENATE(61,Info!$D$5,"09251",L149),Adat!$E:$E)*-1</f>
        <v>0</v>
      </c>
      <c r="F172" s="72">
        <f>SUMIF(Adat!$AG:$AG,CONCATENATE(60,Info!$D$5,"09251",L149),Adat!$E:$E)*-1+E172</f>
        <v>0</v>
      </c>
      <c r="G172" s="72">
        <f>SUMIF(Adat!$AH:$AH,CONCATENATE(Info!$D$5,"(KÖT)","09251",L149),Adat!$E:$E)*-1</f>
        <v>0</v>
      </c>
      <c r="H172" s="72">
        <f>SUMIF(Adat!$AH:$AH,CONCATENATE(Info!$D$5,"(ÖNV)","09251",L149),Adat!$E:$E)*-1</f>
        <v>0</v>
      </c>
      <c r="I172" s="72">
        <f>SUMIF(Adat!$AH:$AH,CONCATENATE(Info!$D$5,"(ÁIG)","09251",L149),Adat!$E:$E)*-1</f>
        <v>0</v>
      </c>
    </row>
    <row r="173" spans="2:9" x14ac:dyDescent="0.25">
      <c r="B173" s="160">
        <v>22</v>
      </c>
      <c r="C173" s="79" t="s">
        <v>27</v>
      </c>
      <c r="D173" s="79" t="s">
        <v>328</v>
      </c>
      <c r="E173" s="71">
        <f>SUM(E174:E179)</f>
        <v>0</v>
      </c>
      <c r="F173" s="71">
        <f>SUM(F174:F179)</f>
        <v>0</v>
      </c>
      <c r="G173" s="71">
        <f>SUM(G174:G179)</f>
        <v>0</v>
      </c>
      <c r="H173" s="71">
        <f>SUM(H174:H179)</f>
        <v>0</v>
      </c>
      <c r="I173" s="71">
        <f>SUM(I174:I179)</f>
        <v>0</v>
      </c>
    </row>
    <row r="174" spans="2:9" x14ac:dyDescent="0.2">
      <c r="B174" s="160">
        <v>23</v>
      </c>
      <c r="C174" s="305" t="s">
        <v>1348</v>
      </c>
      <c r="D174" s="82" t="s">
        <v>1349</v>
      </c>
      <c r="E174" s="72">
        <f>SUMIF(Adat!$AG:$AG,CONCATENATE(61,Info!$D$5,"093111",L149),Adat!$E:$E)*-1</f>
        <v>0</v>
      </c>
      <c r="F174" s="72">
        <f>SUMIF(Adat!$AG:$AG,CONCATENATE(60,Info!$D$5,"093111",L149),Adat!$E:$E)*-1+E174</f>
        <v>0</v>
      </c>
      <c r="G174" s="72">
        <f>SUMIF(Adat!$AH:$AH,CONCATENATE(Info!$D$5,"(KÖT)","093111",L149),Adat!$E:$E)*-1</f>
        <v>0</v>
      </c>
      <c r="H174" s="72">
        <f>SUMIF(Adat!$AH:$AH,CONCATENATE(Info!$D$5,"(ÖNV)","093111",L149),Adat!$E:$E)*-1</f>
        <v>0</v>
      </c>
      <c r="I174" s="72">
        <f>SUMIF(Adat!$AH:$AH,CONCATENATE(Info!$D$5,"(ÁIG)","093111",L149),Adat!$E:$E)*-1</f>
        <v>0</v>
      </c>
    </row>
    <row r="175" spans="2:9" x14ac:dyDescent="0.2">
      <c r="B175" s="160">
        <v>24</v>
      </c>
      <c r="C175" s="305" t="s">
        <v>1259</v>
      </c>
      <c r="D175" s="82" t="s">
        <v>1350</v>
      </c>
      <c r="E175" s="72">
        <f>SUMIF(Adat!$AG:$AG,CONCATENATE(61,Info!$D$5,"09341",L149),Adat!$E:$E)*-1</f>
        <v>0</v>
      </c>
      <c r="F175" s="72">
        <f>SUMIF(Adat!$AG:$AG,CONCATENATE(60,Info!$D$5,"09341",L149),Adat!$E:$E)*-1+E175</f>
        <v>0</v>
      </c>
      <c r="G175" s="72">
        <f>SUMIF(Adat!$AH:$AH,CONCATENATE(Info!$D$5,"(KÖT)","09341",L149),Adat!$E:$E)*-1</f>
        <v>0</v>
      </c>
      <c r="H175" s="72">
        <f>SUMIF(Adat!$AH:$AH,CONCATENATE(Info!$D$5,"(ÖNV)","09341",L149),Adat!$E:$E)*-1</f>
        <v>0</v>
      </c>
      <c r="I175" s="72">
        <f>SUMIF(Adat!$AH:$AH,CONCATENATE(Info!$D$5,"(ÁIG)","09341",L149),Adat!$E:$E)*-1</f>
        <v>0</v>
      </c>
    </row>
    <row r="176" spans="2:9" x14ac:dyDescent="0.2">
      <c r="B176" s="160">
        <v>25</v>
      </c>
      <c r="C176" s="305" t="s">
        <v>1260</v>
      </c>
      <c r="D176" s="82" t="s">
        <v>1351</v>
      </c>
      <c r="E176" s="72">
        <f>SUMIF(Adat!$AG:$AG,CONCATENATE(61,Info!$D$5,"093511",L149),Adat!$E:$E)*-1</f>
        <v>0</v>
      </c>
      <c r="F176" s="72">
        <f>SUMIF(Adat!$AG:$AG,CONCATENATE(60,Info!$D$5,"093511",L149),Adat!$E:$E)*-1+E176</f>
        <v>0</v>
      </c>
      <c r="G176" s="72">
        <f>SUMIF(Adat!$AH:$AH,CONCATENATE(Info!$D$5,"(KÖT)","093511",L149),Adat!$E:$E)*-1</f>
        <v>0</v>
      </c>
      <c r="H176" s="72">
        <f>SUMIF(Adat!$AH:$AH,CONCATENATE(Info!$D$5,"(ÖNV)","093511",L149),Adat!$E:$E)*-1</f>
        <v>0</v>
      </c>
      <c r="I176" s="72">
        <f>SUMIF(Adat!$AH:$AH,CONCATENATE(Info!$D$5,"(ÁIG)","093511",L149),Adat!$E:$E)*-1</f>
        <v>0</v>
      </c>
    </row>
    <row r="177" spans="2:9" x14ac:dyDescent="0.2">
      <c r="B177" s="160">
        <v>26</v>
      </c>
      <c r="C177" s="305" t="s">
        <v>1352</v>
      </c>
      <c r="D177" s="82" t="s">
        <v>1353</v>
      </c>
      <c r="E177" s="72">
        <f>SUMIF(Adat!$AG:$AG,CONCATENATE(61,Info!$D$5,"093521",L149),Adat!$E:$E)*-1</f>
        <v>0</v>
      </c>
      <c r="F177" s="72">
        <f>SUMIF(Adat!$AG:$AG,CONCATENATE(60,Info!$D$5,"093521",L149),Adat!$E:$E)*-1+E177</f>
        <v>0</v>
      </c>
      <c r="G177" s="72">
        <f>SUMIF(Adat!$AH:$AH,CONCATENATE(Info!$D$5,"(KÖT)","093521",L149),Adat!$E:$E)*-1</f>
        <v>0</v>
      </c>
      <c r="H177" s="72">
        <f>SUMIF(Adat!$AH:$AH,CONCATENATE(Info!$D$5,"(ÖNV)","093521",L149),Adat!$E:$E)*-1</f>
        <v>0</v>
      </c>
      <c r="I177" s="72">
        <f>SUMIF(Adat!$AH:$AH,CONCATENATE(Info!$D$5,"(ÁIG)","093521",L149),Adat!$E:$E)*-1</f>
        <v>0</v>
      </c>
    </row>
    <row r="178" spans="2:9" x14ac:dyDescent="0.2">
      <c r="B178" s="160">
        <v>27</v>
      </c>
      <c r="C178" s="305" t="s">
        <v>1292</v>
      </c>
      <c r="D178" s="82" t="s">
        <v>1354</v>
      </c>
      <c r="E178" s="72">
        <f>SUMIF(Adat!$AG:$AG,CONCATENATE(61,Info!$D$5,"093551",L149),Adat!$E:$E)*-1</f>
        <v>0</v>
      </c>
      <c r="F178" s="72">
        <f>SUMIF(Adat!$AG:$AG,CONCATENATE(60,Info!$D$5,"093551",L149),Adat!$E:$E)*-1+E178</f>
        <v>0</v>
      </c>
      <c r="G178" s="72">
        <f>SUMIF(Adat!$AH:$AH,CONCATENATE(Info!$D$5,"(KÖT)","093551",L149),Adat!$E:$E)*-1</f>
        <v>0</v>
      </c>
      <c r="H178" s="72">
        <f>SUMIF(Adat!$AH:$AH,CONCATENATE(Info!$D$5,"(ÖNV)","093551",L149),Adat!$E:$E)*-1</f>
        <v>0</v>
      </c>
      <c r="I178" s="72">
        <f>SUMIF(Adat!$AH:$AH,CONCATENATE(Info!$D$5,"(ÁIG)","093551",L149),Adat!$E:$E)*-1</f>
        <v>0</v>
      </c>
    </row>
    <row r="179" spans="2:9" x14ac:dyDescent="0.2">
      <c r="B179" s="160">
        <v>28</v>
      </c>
      <c r="C179" s="305" t="s">
        <v>1293</v>
      </c>
      <c r="D179" s="82" t="s">
        <v>1355</v>
      </c>
      <c r="E179" s="72">
        <f>SUMIF(Adat!$AG:$AG,CONCATENATE(61,Info!$D$5,"09361",L149),Adat!$E:$E)*-1</f>
        <v>0</v>
      </c>
      <c r="F179" s="72">
        <f>SUMIF(Adat!$AG:$AG,CONCATENATE(60,Info!$D$5,"09361",L149),Adat!$E:$E)*-1+E179</f>
        <v>0</v>
      </c>
      <c r="G179" s="72">
        <f>SUMIF(Adat!$AH:$AH,CONCATENATE(Info!$D$5,"(KÖT)","09361",L149),Adat!$E:$E)*-1</f>
        <v>0</v>
      </c>
      <c r="H179" s="72">
        <f>SUMIF(Adat!$AH:$AH,CONCATENATE(Info!$D$5,"(ÖNV)","09361",L149),Adat!$E:$E)*-1</f>
        <v>0</v>
      </c>
      <c r="I179" s="72">
        <f>SUMIF(Adat!$AH:$AH,CONCATENATE(Info!$D$5,"(ÁIG)","09361",L149),Adat!$E:$E)*-1</f>
        <v>0</v>
      </c>
    </row>
    <row r="180" spans="2:9" x14ac:dyDescent="0.25">
      <c r="B180" s="160">
        <v>29</v>
      </c>
      <c r="C180" s="79" t="s">
        <v>30</v>
      </c>
      <c r="D180" s="79" t="s">
        <v>329</v>
      </c>
      <c r="E180" s="71">
        <f>SUM(E181:E193)</f>
        <v>0</v>
      </c>
      <c r="F180" s="71">
        <f t="shared" ref="F180:I180" si="20">SUM(F181:F193)</f>
        <v>0</v>
      </c>
      <c r="G180" s="71">
        <f t="shared" si="20"/>
        <v>0</v>
      </c>
      <c r="H180" s="71">
        <f t="shared" si="20"/>
        <v>0</v>
      </c>
      <c r="I180" s="71">
        <f t="shared" si="20"/>
        <v>0</v>
      </c>
    </row>
    <row r="181" spans="2:9" x14ac:dyDescent="0.2">
      <c r="B181" s="160">
        <v>30</v>
      </c>
      <c r="C181" s="305" t="s">
        <v>1309</v>
      </c>
      <c r="D181" s="82" t="s">
        <v>1356</v>
      </c>
      <c r="E181" s="72">
        <f>SUMIF(Adat!$AG:$AG,CONCATENATE(61,Info!$D$5,"094011",L149),Adat!$E:$E)*-1</f>
        <v>0</v>
      </c>
      <c r="F181" s="72">
        <f>SUMIF(Adat!$AG:$AG,CONCATENATE(60,Info!$D$5,"094011",L149),Adat!$E:$E)*-1+E181</f>
        <v>0</v>
      </c>
      <c r="G181" s="72">
        <f>SUMIF(Adat!$AH:$AH,CONCATENATE(Info!$D$5,"(KÖT)","094011",L149),Adat!$E:$E)*-1</f>
        <v>0</v>
      </c>
      <c r="H181" s="72">
        <f>SUMIF(Adat!$AH:$AH,CONCATENATE(Info!$D$5,"(ÖNV)","094011",L149),Adat!$E:$E)*-1</f>
        <v>0</v>
      </c>
      <c r="I181" s="72">
        <f>SUMIF(Adat!$AH:$AH,CONCATENATE(Info!$D$5,"(ÁIG)","094011",L149),Adat!$E:$E)*-1</f>
        <v>0</v>
      </c>
    </row>
    <row r="182" spans="2:9" x14ac:dyDescent="0.2">
      <c r="B182" s="160">
        <v>31</v>
      </c>
      <c r="C182" s="305" t="s">
        <v>1279</v>
      </c>
      <c r="D182" s="82" t="s">
        <v>1357</v>
      </c>
      <c r="E182" s="72">
        <f>SUMIF(Adat!$AG:$AG,CONCATENATE(61,Info!$D$5,"094021",L149),Adat!$E:$E)*-1</f>
        <v>0</v>
      </c>
      <c r="F182" s="72">
        <f>SUMIF(Adat!$AG:$AG,CONCATENATE(60,Info!$D$5,"094021",L149),Adat!$E:$E)*-1+E182</f>
        <v>0</v>
      </c>
      <c r="G182" s="72">
        <f>SUMIF(Adat!$AH:$AH,CONCATENATE(Info!$D$5,"(KÖT)","094021",L149),Adat!$E:$E)*-1</f>
        <v>0</v>
      </c>
      <c r="H182" s="72">
        <f>SUMIF(Adat!$AH:$AH,CONCATENATE(Info!$D$5,"(ÖNV)","094021",L149),Adat!$E:$E)*-1</f>
        <v>0</v>
      </c>
      <c r="I182" s="72">
        <f>SUMIF(Adat!$AH:$AH,CONCATENATE(Info!$D$5,"(ÁIG)","094021",L149),Adat!$E:$E)*-1</f>
        <v>0</v>
      </c>
    </row>
    <row r="183" spans="2:9" x14ac:dyDescent="0.2">
      <c r="B183" s="160">
        <v>32</v>
      </c>
      <c r="C183" s="305" t="s">
        <v>1272</v>
      </c>
      <c r="D183" s="82" t="s">
        <v>1358</v>
      </c>
      <c r="E183" s="72">
        <f>SUMIF(Adat!$AG:$AG,CONCATENATE(61,Info!$D$5,"094031",L149),Adat!$E:$E)*-1</f>
        <v>0</v>
      </c>
      <c r="F183" s="72">
        <f>SUMIF(Adat!$AG:$AG,CONCATENATE(60,Info!$D$5,"094031",L149),Adat!$E:$E)*-1+E183</f>
        <v>0</v>
      </c>
      <c r="G183" s="72">
        <f>SUMIF(Adat!$AH:$AH,CONCATENATE(Info!$D$5,"(KÖT)","094031",L149),Adat!$E:$E)*-1</f>
        <v>0</v>
      </c>
      <c r="H183" s="72">
        <f>SUMIF(Adat!$AH:$AH,CONCATENATE(Info!$D$5,"(ÖNV)","094031",L149),Adat!$E:$E)*-1</f>
        <v>0</v>
      </c>
      <c r="I183" s="72">
        <f>SUMIF(Adat!$AH:$AH,CONCATENATE(Info!$D$5,"(ÁIG)","094031",L149),Adat!$E:$E)*-1</f>
        <v>0</v>
      </c>
    </row>
    <row r="184" spans="2:9" x14ac:dyDescent="0.2">
      <c r="B184" s="160">
        <v>33</v>
      </c>
      <c r="C184" s="305" t="s">
        <v>1359</v>
      </c>
      <c r="D184" s="82" t="s">
        <v>1360</v>
      </c>
      <c r="E184" s="72">
        <f>SUMIF(Adat!$AG:$AG,CONCATENATE(61,Info!$D$5,"094041",L149),Adat!$E:$E)*-1</f>
        <v>0</v>
      </c>
      <c r="F184" s="72">
        <f>SUMIF(Adat!$AG:$AG,CONCATENATE(60,Info!$D$5,"094041",L149),Adat!$E:$E)*-1+E184</f>
        <v>0</v>
      </c>
      <c r="G184" s="72">
        <f>SUMIF(Adat!$AH:$AH,CONCATENATE(Info!$D$5,"(KÖT)","094041",L149),Adat!$E:$E)*-1</f>
        <v>0</v>
      </c>
      <c r="H184" s="72">
        <f>SUMIF(Adat!$AH:$AH,CONCATENATE(Info!$D$5,"(ÖNV)","094041",L149),Adat!$E:$E)*-1</f>
        <v>0</v>
      </c>
      <c r="I184" s="72">
        <f>SUMIF(Adat!$AH:$AH,CONCATENATE(Info!$D$5,"(ÁIG)","094041",L149),Adat!$E:$E)*-1</f>
        <v>0</v>
      </c>
    </row>
    <row r="185" spans="2:9" x14ac:dyDescent="0.2">
      <c r="B185" s="160">
        <v>34</v>
      </c>
      <c r="C185" s="305" t="s">
        <v>1261</v>
      </c>
      <c r="D185" s="82" t="s">
        <v>1361</v>
      </c>
      <c r="E185" s="72">
        <f>SUMIF(Adat!$AG:$AG,CONCATENATE(61,Info!$D$5,"094051",L149),Adat!$E:$E)*-1</f>
        <v>0</v>
      </c>
      <c r="F185" s="72">
        <f>SUMIF(Adat!$AG:$AG,CONCATENATE(60,Info!$D$5,"094051",L149),Adat!$E:$E)*-1+E185</f>
        <v>0</v>
      </c>
      <c r="G185" s="72">
        <f>SUMIF(Adat!$AH:$AH,CONCATENATE(Info!$D$5,"(KÖT)","094051",L149),Adat!$E:$E)*-1</f>
        <v>0</v>
      </c>
      <c r="H185" s="72">
        <f>SUMIF(Adat!$AH:$AH,CONCATENATE(Info!$D$5,"(ÖNV)","094051",L149),Adat!$E:$E)*-1</f>
        <v>0</v>
      </c>
      <c r="I185" s="72">
        <f>SUMIF(Adat!$AH:$AH,CONCATENATE(Info!$D$5,"(ÁIG)","094051",L149),Adat!$E:$E)*-1</f>
        <v>0</v>
      </c>
    </row>
    <row r="186" spans="2:9" x14ac:dyDescent="0.2">
      <c r="B186" s="160">
        <v>35</v>
      </c>
      <c r="C186" s="305" t="s">
        <v>1273</v>
      </c>
      <c r="D186" s="82" t="s">
        <v>1362</v>
      </c>
      <c r="E186" s="72">
        <f>SUMIF(Adat!$AG:$AG,CONCATENATE(61,Info!$D$5,"094061",L149),Adat!$E:$E)*-1</f>
        <v>0</v>
      </c>
      <c r="F186" s="72">
        <f>SUMIF(Adat!$AG:$AG,CONCATENATE(60,Info!$D$5,"094061",L149),Adat!$E:$E)*-1+E186</f>
        <v>0</v>
      </c>
      <c r="G186" s="72">
        <f>SUMIF(Adat!$AH:$AH,CONCATENATE(Info!$D$5,"(KÖT)","094061",L149),Adat!$E:$E)*-1</f>
        <v>0</v>
      </c>
      <c r="H186" s="72">
        <f>SUMIF(Adat!$AH:$AH,CONCATENATE(Info!$D$5,"(ÖNV)","094061",L149),Adat!$E:$E)*-1</f>
        <v>0</v>
      </c>
      <c r="I186" s="72">
        <f>SUMIF(Adat!$AH:$AH,CONCATENATE(Info!$D$5,"(ÁIG)","094061",L149),Adat!$E:$E)*-1</f>
        <v>0</v>
      </c>
    </row>
    <row r="187" spans="2:9" x14ac:dyDescent="0.2">
      <c r="B187" s="160">
        <v>36</v>
      </c>
      <c r="C187" s="305" t="s">
        <v>1363</v>
      </c>
      <c r="D187" s="82" t="s">
        <v>1364</v>
      </c>
      <c r="E187" s="72">
        <f>SUMIF(Adat!$AG:$AG,CONCATENATE(61,Info!$D$5,"094071",L149),Adat!$E:$E)*-1</f>
        <v>0</v>
      </c>
      <c r="F187" s="72">
        <f>SUMIF(Adat!$AG:$AG,CONCATENATE(60,Info!$D$5,"094071",L149),Adat!$E:$E)*-1+E187</f>
        <v>0</v>
      </c>
      <c r="G187" s="72">
        <f>SUMIF(Adat!$AH:$AH,CONCATENATE(Info!$D$5,"(KÖT)","094071",L149),Adat!$E:$E)*-1</f>
        <v>0</v>
      </c>
      <c r="H187" s="72">
        <f>SUMIF(Adat!$AH:$AH,CONCATENATE(Info!$D$5,"(ÖNV)","094071",L149),Adat!$E:$E)*-1</f>
        <v>0</v>
      </c>
      <c r="I187" s="72">
        <f>SUMIF(Adat!$AH:$AH,CONCATENATE(Info!$D$5,"(ÁIG)","094071",L149),Adat!$E:$E)*-1</f>
        <v>0</v>
      </c>
    </row>
    <row r="188" spans="2:9" x14ac:dyDescent="0.2">
      <c r="B188" s="160">
        <v>37</v>
      </c>
      <c r="C188" s="305" t="s">
        <v>1306</v>
      </c>
      <c r="D188" s="82" t="s">
        <v>1365</v>
      </c>
      <c r="E188" s="72">
        <f>SUMIF(Adat!$AG:$AG,CONCATENATE(61,Info!$D$5,"0940811",L149),Adat!$E:$E)*-1</f>
        <v>0</v>
      </c>
      <c r="F188" s="72">
        <f>SUMIF(Adat!$AG:$AG,CONCATENATE(60,Info!$D$5,"0940811",L149),Adat!$E:$E)*-1+E188</f>
        <v>0</v>
      </c>
      <c r="G188" s="72">
        <f>SUMIF(Adat!$AH:$AH,CONCATENATE(Info!$D$5,"(KÖT)","0940811",L149),Adat!$E:$E)*-1</f>
        <v>0</v>
      </c>
      <c r="H188" s="72">
        <f>SUMIF(Adat!$AH:$AH,CONCATENATE(Info!$D$5,"(ÖNV)","0940811",L149),Adat!$E:$E)*-1</f>
        <v>0</v>
      </c>
      <c r="I188" s="72">
        <f>SUMIF(Adat!$AH:$AH,CONCATENATE(Info!$D$5,"(ÁIG)","0940811",L149),Adat!$E:$E)*-1</f>
        <v>0</v>
      </c>
    </row>
    <row r="189" spans="2:9" x14ac:dyDescent="0.2">
      <c r="B189" s="160">
        <v>38</v>
      </c>
      <c r="C189" s="305" t="s">
        <v>1295</v>
      </c>
      <c r="D189" s="82" t="s">
        <v>1366</v>
      </c>
      <c r="E189" s="72">
        <f>SUMIF(Adat!$AG:$AG,CONCATENATE(61,Info!$D$5,"0940821",L149),Adat!$E:$E)*-1</f>
        <v>0</v>
      </c>
      <c r="F189" s="72">
        <f>SUMIF(Adat!$AG:$AG,CONCATENATE(60,Info!$D$5,"0940821",L149),Adat!$E:$E)*-1+E189</f>
        <v>0</v>
      </c>
      <c r="G189" s="72">
        <f>SUMIF(Adat!$AH:$AH,CONCATENATE(Info!$D$5,"(KÖT)","0940821",L149),Adat!$E:$E)*-1</f>
        <v>0</v>
      </c>
      <c r="H189" s="72">
        <f>SUMIF(Adat!$AH:$AH,CONCATENATE(Info!$D$5,"(ÖNV)","0940821",L149),Adat!$E:$E)*-1</f>
        <v>0</v>
      </c>
      <c r="I189" s="72">
        <f>SUMIF(Adat!$AH:$AH,CONCATENATE(Info!$D$5,"(ÁIG)","0940821",L149),Adat!$E:$E)*-1</f>
        <v>0</v>
      </c>
    </row>
    <row r="190" spans="2:9" x14ac:dyDescent="0.2">
      <c r="B190" s="160">
        <v>39</v>
      </c>
      <c r="C190" s="305" t="s">
        <v>1367</v>
      </c>
      <c r="D190" s="82" t="s">
        <v>1368</v>
      </c>
      <c r="E190" s="72">
        <f>SUMIF(Adat!$AG:$AG,CONCATENATE(61,Info!$D$5,"0940911",L149),Adat!$E:$E)*-1</f>
        <v>0</v>
      </c>
      <c r="F190" s="72">
        <f>SUMIF(Adat!$AG:$AG,CONCATENATE(60,Info!$D$5,"0940911",L149),Adat!$E:$E)*-1+E190</f>
        <v>0</v>
      </c>
      <c r="G190" s="72">
        <f>SUMIF(Adat!$AH:$AH,CONCATENATE(Info!$D$5,"(KÖT)","0940911",L149),Adat!$E:$E)*-1</f>
        <v>0</v>
      </c>
      <c r="H190" s="72">
        <f>SUMIF(Adat!$AH:$AH,CONCATENATE(Info!$D$5,"(ÖNV)","0940911",L149),Adat!$E:$E)*-1</f>
        <v>0</v>
      </c>
      <c r="I190" s="72">
        <f>SUMIF(Adat!$AH:$AH,CONCATENATE(Info!$D$5,"(ÁIG)","0940911",L149),Adat!$E:$E)*-1</f>
        <v>0</v>
      </c>
    </row>
    <row r="191" spans="2:9" x14ac:dyDescent="0.2">
      <c r="B191" s="160">
        <v>40</v>
      </c>
      <c r="C191" s="305" t="s">
        <v>1369</v>
      </c>
      <c r="D191" s="82" t="s">
        <v>1370</v>
      </c>
      <c r="E191" s="72">
        <f>SUMIF(Adat!$AG:$AG,CONCATENATE(61,Info!$D$5,"0940921",L149),Adat!$E:$E)*-1</f>
        <v>0</v>
      </c>
      <c r="F191" s="72">
        <f>SUMIF(Adat!$AG:$AG,CONCATENATE(60,Info!$D$5,"0940921",L149),Adat!$E:$E)*-1+E191</f>
        <v>0</v>
      </c>
      <c r="G191" s="72">
        <f>SUMIF(Adat!$AH:$AH,CONCATENATE(Info!$D$5,"(KÖT)","0940921",L149),Adat!$E:$E)*-1</f>
        <v>0</v>
      </c>
      <c r="H191" s="72">
        <f>SUMIF(Adat!$AH:$AH,CONCATENATE(Info!$D$5,"(ÖNV)","0940921",L149),Adat!$E:$E)*-1</f>
        <v>0</v>
      </c>
      <c r="I191" s="72">
        <f>SUMIF(Adat!$AH:$AH,CONCATENATE(Info!$D$5,"(ÁIG)","0940921",L149),Adat!$E:$E)*-1</f>
        <v>0</v>
      </c>
    </row>
    <row r="192" spans="2:9" x14ac:dyDescent="0.2">
      <c r="B192" s="160">
        <v>41</v>
      </c>
      <c r="C192" s="305" t="s">
        <v>1296</v>
      </c>
      <c r="D192" s="82" t="s">
        <v>1371</v>
      </c>
      <c r="E192" s="72">
        <f>SUMIF(Adat!$AG:$AG,CONCATENATE(61,Info!$D$5,"094101",L149),Adat!$E:$E)*-1</f>
        <v>0</v>
      </c>
      <c r="F192" s="72">
        <f>SUMIF(Adat!$AG:$AG,CONCATENATE(60,Info!$D$5,"094101",L149),Adat!$E:$E)*-1+E192</f>
        <v>0</v>
      </c>
      <c r="G192" s="72">
        <f>SUMIF(Adat!$AH:$AH,CONCATENATE(Info!$D$5,"(KÖT)","094101",L149),Adat!$E:$E)*-1</f>
        <v>0</v>
      </c>
      <c r="H192" s="72">
        <f>SUMIF(Adat!$AH:$AH,CONCATENATE(Info!$D$5,"(ÖNV)","094101",L149),Adat!$E:$E)*-1</f>
        <v>0</v>
      </c>
      <c r="I192" s="72">
        <f>SUMIF(Adat!$AH:$AH,CONCATENATE(Info!$D$5,"(ÁIG)","094101",L149),Adat!$E:$E)*-1</f>
        <v>0</v>
      </c>
    </row>
    <row r="193" spans="2:9" x14ac:dyDescent="0.25">
      <c r="B193" s="160">
        <v>42</v>
      </c>
      <c r="C193" s="305" t="s">
        <v>1297</v>
      </c>
      <c r="D193" s="84" t="s">
        <v>1372</v>
      </c>
      <c r="E193" s="72">
        <f>SUMIF(Adat!$AG:$AG,CONCATENATE(61,Info!$D$5,"094111",L149),Adat!$E:$E)*-1</f>
        <v>0</v>
      </c>
      <c r="F193" s="72">
        <f>SUMIF(Adat!$AG:$AG,CONCATENATE(60,Info!$D$5,"094111",L149),Adat!$E:$E)*-1+E193</f>
        <v>0</v>
      </c>
      <c r="G193" s="72">
        <f>SUMIF(Adat!$AH:$AH,CONCATENATE(Info!$D$5,"(KÖT)","094111",L149),Adat!$E:$E)*-1</f>
        <v>0</v>
      </c>
      <c r="H193" s="72">
        <f>SUMIF(Adat!$AH:$AH,CONCATENATE(Info!$D$5,"(ÖNV)","094111",L149),Adat!$E:$E)*-1</f>
        <v>0</v>
      </c>
      <c r="I193" s="72">
        <f>SUMIF(Adat!$AH:$AH,CONCATENATE(Info!$D$5,"(ÁIG)","094111",L149),Adat!$E:$E)*-1</f>
        <v>0</v>
      </c>
    </row>
    <row r="194" spans="2:9" x14ac:dyDescent="0.25">
      <c r="B194" s="160">
        <v>43</v>
      </c>
      <c r="C194" s="79" t="s">
        <v>33</v>
      </c>
      <c r="D194" s="79" t="s">
        <v>330</v>
      </c>
      <c r="E194" s="71">
        <f>SUM(E195:E199)</f>
        <v>0</v>
      </c>
      <c r="F194" s="71">
        <f>SUM(F195:F199)</f>
        <v>0</v>
      </c>
      <c r="G194" s="71">
        <f>SUM(G195:G199)</f>
        <v>0</v>
      </c>
      <c r="H194" s="71">
        <f>SUM(H195:H199)</f>
        <v>0</v>
      </c>
      <c r="I194" s="71">
        <f>SUM(I195:I199)</f>
        <v>0</v>
      </c>
    </row>
    <row r="195" spans="2:9" x14ac:dyDescent="0.2">
      <c r="B195" s="160">
        <v>44</v>
      </c>
      <c r="C195" s="305" t="s">
        <v>1373</v>
      </c>
      <c r="D195" s="82" t="s">
        <v>1374</v>
      </c>
      <c r="E195" s="72">
        <f>SUMIF(Adat!$AG:$AG,CONCATENATE(61,Info!$D$5,"09511",L149),Adat!$E:$E)*-1</f>
        <v>0</v>
      </c>
      <c r="F195" s="72">
        <f>SUMIF(Adat!$AG:$AG,CONCATENATE(60,Info!$D$5,"09511",L149),Adat!$E:$E)*-1+E195</f>
        <v>0</v>
      </c>
      <c r="G195" s="72">
        <f>SUMIF(Adat!$AH:$AH,CONCATENATE(Info!$D$5,"(KÖT)","09511",L149),Adat!$E:$E)*-1</f>
        <v>0</v>
      </c>
      <c r="H195" s="72">
        <f>SUMIF(Adat!$AH:$AH,CONCATENATE(Info!$D$5,"(ÖNV)","09511",L149),Adat!$E:$E)*-1</f>
        <v>0</v>
      </c>
      <c r="I195" s="72">
        <f>SUMIF(Adat!$AH:$AH,CONCATENATE(Info!$D$5,"(ÁIG)","09511",L149),Adat!$E:$E)*-1</f>
        <v>0</v>
      </c>
    </row>
    <row r="196" spans="2:9" x14ac:dyDescent="0.2">
      <c r="B196" s="160">
        <v>45</v>
      </c>
      <c r="C196" s="305" t="s">
        <v>1294</v>
      </c>
      <c r="D196" s="82" t="s">
        <v>1375</v>
      </c>
      <c r="E196" s="72">
        <f>SUMIF(Adat!$AG:$AG,CONCATENATE(61,Info!$D$5,"09521",L149),Adat!$E:$E)*-1</f>
        <v>0</v>
      </c>
      <c r="F196" s="72">
        <f>SUMIF(Adat!$AG:$AG,CONCATENATE(60,Info!$D$5,"09521",L149),Adat!$E:$E)*-1+E196</f>
        <v>0</v>
      </c>
      <c r="G196" s="72">
        <f>SUMIF(Adat!$AH:$AH,CONCATENATE(Info!$D$5,"(KÖT)","09521",L149),Adat!$E:$E)*-1</f>
        <v>0</v>
      </c>
      <c r="H196" s="72">
        <f>SUMIF(Adat!$AH:$AH,CONCATENATE(Info!$D$5,"(ÖNV)","09521",L149),Adat!$E:$E)*-1</f>
        <v>0</v>
      </c>
      <c r="I196" s="72">
        <f>SUMIF(Adat!$AH:$AH,CONCATENATE(Info!$D$5,"(ÁIG)","09521",L149),Adat!$E:$E)*-1</f>
        <v>0</v>
      </c>
    </row>
    <row r="197" spans="2:9" x14ac:dyDescent="0.2">
      <c r="B197" s="160">
        <v>46</v>
      </c>
      <c r="C197" s="305" t="s">
        <v>1376</v>
      </c>
      <c r="D197" s="82" t="s">
        <v>1377</v>
      </c>
      <c r="E197" s="72">
        <f>SUMIF(Adat!$AG:$AG,CONCATENATE(61,Info!$D$5,"09531",L149),Adat!$E:$E)*-1</f>
        <v>0</v>
      </c>
      <c r="F197" s="72">
        <f>SUMIF(Adat!$AG:$AG,CONCATENATE(60,Info!$D$5,"09531",L149),Adat!$E:$E)*-1+E197</f>
        <v>0</v>
      </c>
      <c r="G197" s="72">
        <f>SUMIF(Adat!$AH:$AH,CONCATENATE(Info!$D$5,"(KÖT)","09531",L149),Adat!$E:$E)*-1</f>
        <v>0</v>
      </c>
      <c r="H197" s="72">
        <f>SUMIF(Adat!$AH:$AH,CONCATENATE(Info!$D$5,"(ÖNV)","09531",L149),Adat!$E:$E)*-1</f>
        <v>0</v>
      </c>
      <c r="I197" s="72">
        <f>SUMIF(Adat!$AH:$AH,CONCATENATE(Info!$D$5,"(ÁIG)","09531",L149),Adat!$E:$E)*-1</f>
        <v>0</v>
      </c>
    </row>
    <row r="198" spans="2:9" x14ac:dyDescent="0.2">
      <c r="B198" s="160">
        <v>47</v>
      </c>
      <c r="C198" s="305" t="s">
        <v>1378</v>
      </c>
      <c r="D198" s="82" t="s">
        <v>1379</v>
      </c>
      <c r="E198" s="72">
        <f>SUMIF(Adat!$AG:$AG,CONCATENATE(61,Info!$D$5,"09541",L149),Adat!$E:$E)*-1</f>
        <v>0</v>
      </c>
      <c r="F198" s="72">
        <f>SUMIF(Adat!$AG:$AG,CONCATENATE(60,Info!$D$5,"09541",L149),Adat!$E:$E)*-1+E198</f>
        <v>0</v>
      </c>
      <c r="G198" s="72">
        <f>SUMIF(Adat!$AH:$AH,CONCATENATE(Info!$D$5,"(KÖT)","09541",L149),Adat!$E:$E)*-1</f>
        <v>0</v>
      </c>
      <c r="H198" s="72">
        <f>SUMIF(Adat!$AH:$AH,CONCATENATE(Info!$D$5,"(ÖNV)","09541",L149),Adat!$E:$E)*-1</f>
        <v>0</v>
      </c>
      <c r="I198" s="72">
        <f>SUMIF(Adat!$AH:$AH,CONCATENATE(Info!$D$5,"(ÁIG)","09541",L149),Adat!$E:$E)*-1</f>
        <v>0</v>
      </c>
    </row>
    <row r="199" spans="2:9" x14ac:dyDescent="0.25">
      <c r="B199" s="160">
        <v>48</v>
      </c>
      <c r="C199" s="305" t="s">
        <v>1380</v>
      </c>
      <c r="D199" s="84" t="s">
        <v>1381</v>
      </c>
      <c r="E199" s="72">
        <f>SUMIF(Adat!$AG:$AG,CONCATENATE(61,Info!$D$5,"09551",L149),Adat!$E:$E)*-1</f>
        <v>0</v>
      </c>
      <c r="F199" s="72">
        <f>SUMIF(Adat!$AG:$AG,CONCATENATE(60,Info!$D$5,"09551",L149),Adat!$E:$E)*-1+E199</f>
        <v>0</v>
      </c>
      <c r="G199" s="72">
        <f>SUMIF(Adat!$AH:$AH,CONCATENATE(Info!$D$5,"(KÖT)","09551",L149),Adat!$E:$E)*-1</f>
        <v>0</v>
      </c>
      <c r="H199" s="72">
        <f>SUMIF(Adat!$AH:$AH,CONCATENATE(Info!$D$5,"(ÖNV)","09551",L149),Adat!$E:$E)*-1</f>
        <v>0</v>
      </c>
      <c r="I199" s="72">
        <f>SUMIF(Adat!$AH:$AH,CONCATENATE(Info!$D$5,"(ÁIG)","09551",L149),Adat!$E:$E)*-1</f>
        <v>0</v>
      </c>
    </row>
    <row r="200" spans="2:9" x14ac:dyDescent="0.25">
      <c r="B200" s="160">
        <v>49</v>
      </c>
      <c r="C200" s="79" t="s">
        <v>36</v>
      </c>
      <c r="D200" s="79" t="s">
        <v>331</v>
      </c>
      <c r="E200" s="71">
        <f>SUM(E201:E205)</f>
        <v>0</v>
      </c>
      <c r="F200" s="71">
        <f t="shared" ref="F200:I200" si="21">SUM(F201:F205)</f>
        <v>0</v>
      </c>
      <c r="G200" s="71">
        <f t="shared" si="21"/>
        <v>0</v>
      </c>
      <c r="H200" s="71">
        <f t="shared" si="21"/>
        <v>0</v>
      </c>
      <c r="I200" s="71">
        <f t="shared" si="21"/>
        <v>0</v>
      </c>
    </row>
    <row r="201" spans="2:9" x14ac:dyDescent="0.2">
      <c r="B201" s="160">
        <v>50</v>
      </c>
      <c r="C201" s="305" t="s">
        <v>1382</v>
      </c>
      <c r="D201" s="82" t="s">
        <v>1383</v>
      </c>
      <c r="E201" s="72">
        <f>SUMIF(Adat!$AG:$AG,CONCATENATE(61,Info!$D$5,"09611",L149),Adat!$E:$E)*-1</f>
        <v>0</v>
      </c>
      <c r="F201" s="72">
        <f>SUMIF(Adat!$AG:$AG,CONCATENATE(60,Info!$D$5,"09611",L149),Adat!$E:$E)*-1+E201</f>
        <v>0</v>
      </c>
      <c r="G201" s="72">
        <f>SUMIF(Adat!$AH:$AH,CONCATENATE(Info!$D$5,"(KÖT)","09611",L149),Adat!$E:$E)*-1</f>
        <v>0</v>
      </c>
      <c r="H201" s="72">
        <f>SUMIF(Adat!$AH:$AH,CONCATENATE(Info!$D$5,"(ÖNV)","09611",L149),Adat!$E:$E)*-1</f>
        <v>0</v>
      </c>
      <c r="I201" s="72">
        <f>SUMIF(Adat!$AH:$AH,CONCATENATE(Info!$D$5,"(ÁIG)","09611",L149),Adat!$E:$E)*-1</f>
        <v>0</v>
      </c>
    </row>
    <row r="202" spans="2:9" x14ac:dyDescent="0.2">
      <c r="B202" s="160">
        <v>51</v>
      </c>
      <c r="C202" s="305" t="s">
        <v>1384</v>
      </c>
      <c r="D202" s="82" t="s">
        <v>1385</v>
      </c>
      <c r="E202" s="72">
        <f>SUMIF(Adat!$AG:$AG,CONCATENATE(61,Info!$D$5,"09621",L149),Adat!$E:$E)*-1</f>
        <v>0</v>
      </c>
      <c r="F202" s="72">
        <f>SUMIF(Adat!$AG:$AG,CONCATENATE(60,Info!$D$5,"09621",L149),Adat!$E:$E)*-1+E202</f>
        <v>0</v>
      </c>
      <c r="G202" s="72">
        <f>SUMIF(Adat!$AH:$AH,CONCATENATE(Info!$D$5,"(KÖT)","09621",L149),Adat!$E:$E)*-1</f>
        <v>0</v>
      </c>
      <c r="H202" s="72">
        <f>SUMIF(Adat!$AH:$AH,CONCATENATE(Info!$D$5,"(ÖNV)","09621",L149),Adat!$E:$E)*-1</f>
        <v>0</v>
      </c>
      <c r="I202" s="72">
        <f>SUMIF(Adat!$AH:$AH,CONCATENATE(Info!$D$5,"(ÁIG)","09621",L149),Adat!$E:$E)*-1</f>
        <v>0</v>
      </c>
    </row>
    <row r="203" spans="2:9" x14ac:dyDescent="0.2">
      <c r="B203" s="160">
        <v>52</v>
      </c>
      <c r="C203" s="305" t="s">
        <v>1386</v>
      </c>
      <c r="D203" s="82" t="s">
        <v>1387</v>
      </c>
      <c r="E203" s="72">
        <f>SUMIF(Adat!$AG:$AG,CONCATENATE(61,Info!$D$5,"09631",L149),Adat!$E:$E)*-1</f>
        <v>0</v>
      </c>
      <c r="F203" s="72">
        <f>SUMIF(Adat!$AG:$AG,CONCATENATE(60,Info!$D$5,"09631",L149),Adat!$E:$E)*-1+E203</f>
        <v>0</v>
      </c>
      <c r="G203" s="72">
        <f>SUMIF(Adat!$AH:$AH,CONCATENATE(Info!$D$5,"(KÖT)","09631",L149),Adat!$E:$E)*-1</f>
        <v>0</v>
      </c>
      <c r="H203" s="72">
        <f>SUMIF(Adat!$AH:$AH,CONCATENATE(Info!$D$5,"(ÖNV)","09631",L149),Adat!$E:$E)*-1</f>
        <v>0</v>
      </c>
      <c r="I203" s="72">
        <f>SUMIF(Adat!$AH:$AH,CONCATENATE(Info!$D$5,"(ÁIG)","09631",L149),Adat!$E:$E)*-1</f>
        <v>0</v>
      </c>
    </row>
    <row r="204" spans="2:9" x14ac:dyDescent="0.2">
      <c r="B204" s="160">
        <v>53</v>
      </c>
      <c r="C204" s="305" t="s">
        <v>1388</v>
      </c>
      <c r="D204" s="82" t="s">
        <v>1389</v>
      </c>
      <c r="E204" s="72">
        <f>SUMIF(Adat!$AG:$AG,CONCATENATE(61,Info!$D$5,"09641",L149),Adat!$E:$E)*-1</f>
        <v>0</v>
      </c>
      <c r="F204" s="72">
        <f>SUMIF(Adat!$AG:$AG,CONCATENATE(60,Info!$D$5,"09641",L149),Adat!$E:$E)*-1+E204</f>
        <v>0</v>
      </c>
      <c r="G204" s="72">
        <f>SUMIF(Adat!$AH:$AH,CONCATENATE(Info!$D$5,"(KÖT)","09641",L149),Adat!$E:$E)*-1</f>
        <v>0</v>
      </c>
      <c r="H204" s="72">
        <f>SUMIF(Adat!$AH:$AH,CONCATENATE(Info!$D$5,"(ÖNV)","09641",L149),Adat!$E:$E)*-1</f>
        <v>0</v>
      </c>
      <c r="I204" s="72">
        <f>SUMIF(Adat!$AH:$AH,CONCATENATE(Info!$D$5,"(ÁIG)","09641",L149),Adat!$E:$E)*-1</f>
        <v>0</v>
      </c>
    </row>
    <row r="205" spans="2:9" x14ac:dyDescent="0.2">
      <c r="B205" s="160">
        <v>54</v>
      </c>
      <c r="C205" s="305" t="s">
        <v>1310</v>
      </c>
      <c r="D205" s="82" t="s">
        <v>1390</v>
      </c>
      <c r="E205" s="72">
        <f>SUMIF(Adat!$AG:$AG,CONCATENATE(61,Info!$D$5,"09651",L149),Adat!$E:$E)*-1</f>
        <v>0</v>
      </c>
      <c r="F205" s="72">
        <f>SUMIF(Adat!$AG:$AG,CONCATENATE(60,Info!$D$5,"09651",L149),Adat!$E:$E)*-1+E205</f>
        <v>0</v>
      </c>
      <c r="G205" s="72">
        <f>SUMIF(Adat!$AH:$AH,CONCATENATE(Info!$D$5,"(KÖT)","09651",L149),Adat!$E:$E)*-1</f>
        <v>0</v>
      </c>
      <c r="H205" s="72">
        <f>SUMIF(Adat!$AH:$AH,CONCATENATE(Info!$D$5,"(ÖNV)","09651",L149),Adat!$E:$E)*-1</f>
        <v>0</v>
      </c>
      <c r="I205" s="72">
        <f>SUMIF(Adat!$AH:$AH,CONCATENATE(Info!$D$5,"(ÁIG)","09651",L149),Adat!$E:$E)*-1</f>
        <v>0</v>
      </c>
    </row>
    <row r="206" spans="2:9" x14ac:dyDescent="0.25">
      <c r="B206" s="160">
        <v>55</v>
      </c>
      <c r="C206" s="79" t="s">
        <v>38</v>
      </c>
      <c r="D206" s="85" t="s">
        <v>332</v>
      </c>
      <c r="E206" s="71">
        <f>SUM(E207:E211)</f>
        <v>0</v>
      </c>
      <c r="F206" s="71">
        <f t="shared" ref="F206:I206" si="22">SUM(F207:F211)</f>
        <v>0</v>
      </c>
      <c r="G206" s="71">
        <f t="shared" si="22"/>
        <v>0</v>
      </c>
      <c r="H206" s="71">
        <f t="shared" si="22"/>
        <v>0</v>
      </c>
      <c r="I206" s="71">
        <f t="shared" si="22"/>
        <v>0</v>
      </c>
    </row>
    <row r="207" spans="2:9" x14ac:dyDescent="0.2">
      <c r="B207" s="160">
        <v>56</v>
      </c>
      <c r="C207" s="305" t="s">
        <v>1391</v>
      </c>
      <c r="D207" s="82" t="s">
        <v>1392</v>
      </c>
      <c r="E207" s="72">
        <f>SUMIF(Adat!$AG:$AG,CONCATENATE(61,Info!$D$5,"09711",L149),Adat!$E:$E)*-1</f>
        <v>0</v>
      </c>
      <c r="F207" s="72">
        <f>SUMIF(Adat!$AG:$AG,CONCATENATE(60,Info!$D$5,"09711",L149),Adat!$E:$E)*-1+E207</f>
        <v>0</v>
      </c>
      <c r="G207" s="72">
        <f>SUMIF(Adat!$AH:$AH,CONCATENATE(Info!$D$5,"(KÖT)","09711",L149),Adat!$E:$E)*-1</f>
        <v>0</v>
      </c>
      <c r="H207" s="72">
        <f>SUMIF(Adat!$AH:$AH,CONCATENATE(Info!$D$5,"(ÖNV)","09711",L149),Adat!$E:$E)*-1</f>
        <v>0</v>
      </c>
      <c r="I207" s="72">
        <f>SUMIF(Adat!$AH:$AH,CONCATENATE(Info!$D$5,"(ÁIG)","09711",L149),Adat!$E:$E)*-1</f>
        <v>0</v>
      </c>
    </row>
    <row r="208" spans="2:9" x14ac:dyDescent="0.2">
      <c r="B208" s="160">
        <v>57</v>
      </c>
      <c r="C208" s="305" t="s">
        <v>1393</v>
      </c>
      <c r="D208" s="82" t="s">
        <v>1394</v>
      </c>
      <c r="E208" s="72">
        <f>SUMIF(Adat!$AG:$AG,CONCATENATE(61,Info!$D$5,"09721",L149),Adat!$E:$E)*-1</f>
        <v>0</v>
      </c>
      <c r="F208" s="72">
        <f>SUMIF(Adat!$AG:$AG,CONCATENATE(60,Info!$D$5,"09721",L149),Adat!$E:$E)*-1+E208</f>
        <v>0</v>
      </c>
      <c r="G208" s="72">
        <f>SUMIF(Adat!$AH:$AH,CONCATENATE(Info!$D$5,"(KÖT)","09721",L149),Adat!$E:$E)*-1</f>
        <v>0</v>
      </c>
      <c r="H208" s="72">
        <f>SUMIF(Adat!$AH:$AH,CONCATENATE(Info!$D$5,"(ÖNV)","09721",L149),Adat!$E:$E)*-1</f>
        <v>0</v>
      </c>
      <c r="I208" s="72">
        <f>SUMIF(Adat!$AH:$AH,CONCATENATE(Info!$D$5,"(ÁIG)","09721",L149),Adat!$E:$E)*-1</f>
        <v>0</v>
      </c>
    </row>
    <row r="209" spans="2:9" x14ac:dyDescent="0.2">
      <c r="B209" s="160">
        <v>58</v>
      </c>
      <c r="C209" s="305" t="s">
        <v>1395</v>
      </c>
      <c r="D209" s="82" t="s">
        <v>1396</v>
      </c>
      <c r="E209" s="72">
        <f>SUMIF(Adat!$AG:$AG,CONCATENATE(61,Info!$D$5,"09731",L149),Adat!$E:$E)*-1</f>
        <v>0</v>
      </c>
      <c r="F209" s="72">
        <f>SUMIF(Adat!$AG:$AG,CONCATENATE(60,Info!$D$5,"09731",L149),Adat!$E:$E)*-1+E209</f>
        <v>0</v>
      </c>
      <c r="G209" s="72">
        <f>SUMIF(Adat!$AH:$AH,CONCATENATE(Info!$D$5,"(KÖT)","09731",L149),Adat!$E:$E)*-1</f>
        <v>0</v>
      </c>
      <c r="H209" s="72">
        <f>SUMIF(Adat!$AH:$AH,CONCATENATE(Info!$D$5,"(ÖNV)","09731",L149),Adat!$E:$E)*-1</f>
        <v>0</v>
      </c>
      <c r="I209" s="72">
        <f>SUMIF(Adat!$AH:$AH,CONCATENATE(Info!$D$5,"(ÁIG)","09731",L149),Adat!$E:$E)*-1</f>
        <v>0</v>
      </c>
    </row>
    <row r="210" spans="2:9" x14ac:dyDescent="0.2">
      <c r="B210" s="160">
        <v>59</v>
      </c>
      <c r="C210" s="305" t="s">
        <v>1397</v>
      </c>
      <c r="D210" s="82" t="s">
        <v>1398</v>
      </c>
      <c r="E210" s="72">
        <f>SUMIF(Adat!$AG:$AG,CONCATENATE(61,Info!$D$5,"09741",L149),Adat!$E:$E)*-1</f>
        <v>0</v>
      </c>
      <c r="F210" s="72">
        <f>SUMIF(Adat!$AG:$AG,CONCATENATE(60,Info!$D$5,"09741",L149),Adat!$E:$E)*-1+E210</f>
        <v>0</v>
      </c>
      <c r="G210" s="72">
        <f>SUMIF(Adat!$AH:$AH,CONCATENATE(Info!$D$5,"(KÖT)","09741",L149),Adat!$E:$E)*-1</f>
        <v>0</v>
      </c>
      <c r="H210" s="72">
        <f>SUMIF(Adat!$AH:$AH,CONCATENATE(Info!$D$5,"(ÖNV)","09741",L149),Adat!$E:$E)*-1</f>
        <v>0</v>
      </c>
      <c r="I210" s="72">
        <f>SUMIF(Adat!$AH:$AH,CONCATENATE(Info!$D$5,"(ÁIG)","09741",L149),Adat!$E:$E)*-1</f>
        <v>0</v>
      </c>
    </row>
    <row r="211" spans="2:9" x14ac:dyDescent="0.25">
      <c r="B211" s="160">
        <v>60</v>
      </c>
      <c r="C211" s="305" t="s">
        <v>1399</v>
      </c>
      <c r="D211" s="84" t="s">
        <v>1400</v>
      </c>
      <c r="E211" s="72">
        <f>SUMIF(Adat!$AG:$AG,CONCATENATE(61,Info!$D$5,"09751",L149),Adat!$E:$E)*-1</f>
        <v>0</v>
      </c>
      <c r="F211" s="72">
        <f>SUMIF(Adat!$AG:$AG,CONCATENATE(60,Info!$D$5,"09751",L149),Adat!$E:$E)*-1+E211</f>
        <v>0</v>
      </c>
      <c r="G211" s="72">
        <f>SUMIF(Adat!$AH:$AH,CONCATENATE(Info!$D$5,"(KÖT)","09751",L149),Adat!$E:$E)*-1</f>
        <v>0</v>
      </c>
      <c r="H211" s="72">
        <f>SUMIF(Adat!$AH:$AH,CONCATENATE(Info!$D$5,"(ÖNV)","09751",L149),Adat!$E:$E)*-1</f>
        <v>0</v>
      </c>
      <c r="I211" s="72">
        <f>SUMIF(Adat!$AH:$AH,CONCATENATE(Info!$D$5,"(ÁIG)","09751",L149),Adat!$E:$E)*-1</f>
        <v>0</v>
      </c>
    </row>
    <row r="212" spans="2:9" x14ac:dyDescent="0.25">
      <c r="B212" s="160">
        <v>61</v>
      </c>
      <c r="C212" s="78" t="s">
        <v>352</v>
      </c>
      <c r="D212" s="86" t="s">
        <v>1401</v>
      </c>
      <c r="E212" s="71">
        <f>+E153+E161+E167+E173+E180+E194+E200+E206</f>
        <v>0</v>
      </c>
      <c r="F212" s="71">
        <f>+F153+F161+F167+F173+F180+F194+F200+F206</f>
        <v>0</v>
      </c>
      <c r="G212" s="71">
        <f>+G153+G161+G167+G173+G180+G194+G200+G206</f>
        <v>0</v>
      </c>
      <c r="H212" s="71">
        <f>+H153+H161+H167+H173+H180+H194+H200+H206</f>
        <v>0</v>
      </c>
      <c r="I212" s="71">
        <f>+I153+I161+I167+I173+I180+I194+I200+I206</f>
        <v>0</v>
      </c>
    </row>
    <row r="213" spans="2:9" x14ac:dyDescent="0.25">
      <c r="B213" s="160">
        <v>62</v>
      </c>
      <c r="C213" s="154" t="s">
        <v>1402</v>
      </c>
      <c r="D213" s="85" t="s">
        <v>1403</v>
      </c>
      <c r="E213" s="71">
        <f t="shared" ref="E213:G213" si="23">SUM(E214:E216)</f>
        <v>0</v>
      </c>
      <c r="F213" s="71">
        <f t="shared" si="23"/>
        <v>0</v>
      </c>
      <c r="G213" s="71">
        <f t="shared" si="23"/>
        <v>0</v>
      </c>
      <c r="H213" s="71">
        <f>SUM(H214:H216)</f>
        <v>0</v>
      </c>
      <c r="I213" s="71">
        <f>SUM(I214:I216)</f>
        <v>0</v>
      </c>
    </row>
    <row r="214" spans="2:9" x14ac:dyDescent="0.2">
      <c r="B214" s="160">
        <v>63</v>
      </c>
      <c r="C214" s="305" t="s">
        <v>1404</v>
      </c>
      <c r="D214" s="82" t="s">
        <v>1405</v>
      </c>
      <c r="E214" s="72">
        <f>SUMIF(Adat!$AG:$AG,CONCATENATE(61,Info!$D$5,"0981111",L149),Adat!$E:$E)*-1</f>
        <v>0</v>
      </c>
      <c r="F214" s="72">
        <f>SUMIF(Adat!$AG:$AG,CONCATENATE(60,Info!$D$5,"0981111",L149),Adat!$E:$E)*-1+E214</f>
        <v>0</v>
      </c>
      <c r="G214" s="72">
        <f>SUMIF(Adat!$AH:$AH,CONCATENATE(Info!$D$5,"(KÖT)","0981111",L149),Adat!$E:$E)*-1</f>
        <v>0</v>
      </c>
      <c r="H214" s="72">
        <f>SUMIF(Adat!$AH:$AH,CONCATENATE(Info!$D$5,"(ÖNV)","0981111",L149),Adat!$E:$E)*-1</f>
        <v>0</v>
      </c>
      <c r="I214" s="72">
        <f>SUMIF(Adat!$AH:$AH,CONCATENATE(Info!$D$5,"(ÁIG)","0981111",L149),Adat!$E:$E)*-1</f>
        <v>0</v>
      </c>
    </row>
    <row r="215" spans="2:9" x14ac:dyDescent="0.2">
      <c r="B215" s="160">
        <v>64</v>
      </c>
      <c r="C215" s="305" t="s">
        <v>1406</v>
      </c>
      <c r="D215" s="82" t="s">
        <v>1407</v>
      </c>
      <c r="E215" s="72">
        <f>SUMIF(Adat!$AG:$AG,CONCATENATE(61,Info!$D$5,"0981121",L149),Adat!$E:$E)*-1</f>
        <v>0</v>
      </c>
      <c r="F215" s="72">
        <f>SUMIF(Adat!$AG:$AG,CONCATENATE(60,Info!$D$5,"0981121",L149),Adat!$E:$E)*-1+E215</f>
        <v>0</v>
      </c>
      <c r="G215" s="72">
        <f>SUMIF(Adat!$AH:$AH,CONCATENATE(Info!$D$5,"(KÖT)","0981121",L149),Adat!$E:$E)*-1</f>
        <v>0</v>
      </c>
      <c r="H215" s="72">
        <f>SUMIF(Adat!$AH:$AH,CONCATENATE(Info!$D$5,"(ÖNV)","0981121",L149),Adat!$E:$E)*-1</f>
        <v>0</v>
      </c>
      <c r="I215" s="72">
        <f>SUMIF(Adat!$AH:$AH,CONCATENATE(Info!$D$5,"(ÁIG)","0981121",L149),Adat!$E:$E)*-1</f>
        <v>0</v>
      </c>
    </row>
    <row r="216" spans="2:9" x14ac:dyDescent="0.2">
      <c r="B216" s="160">
        <v>65</v>
      </c>
      <c r="C216" s="305" t="s">
        <v>1408</v>
      </c>
      <c r="D216" s="82" t="s">
        <v>1409</v>
      </c>
      <c r="E216" s="72">
        <f>SUMIF(Adat!$AG:$AG,CONCATENATE(61,Info!$D$5,"0981131",L149),Adat!$E:$E)*-1</f>
        <v>0</v>
      </c>
      <c r="F216" s="72">
        <f>SUMIF(Adat!$AG:$AG,CONCATENATE(60,Info!$D$5,"0981131",L149),Adat!$E:$E)*-1+E216</f>
        <v>0</v>
      </c>
      <c r="G216" s="72">
        <f>SUMIF(Adat!$AH:$AH,CONCATENATE(Info!$D$5,"(KÖT)","0981131",L149),Adat!$E:$E)*-1</f>
        <v>0</v>
      </c>
      <c r="H216" s="72">
        <f>SUMIF(Adat!$AH:$AH,CONCATENATE(Info!$D$5,"(ÖNV)","0981131",L149),Adat!$E:$E)*-1</f>
        <v>0</v>
      </c>
      <c r="I216" s="72">
        <f>SUMIF(Adat!$AH:$AH,CONCATENATE(Info!$D$5,"(ÁIG)","0981131",L149),Adat!$E:$E)*-1</f>
        <v>0</v>
      </c>
    </row>
    <row r="217" spans="2:9" x14ac:dyDescent="0.25">
      <c r="B217" s="160">
        <v>66</v>
      </c>
      <c r="C217" s="154" t="s">
        <v>1410</v>
      </c>
      <c r="D217" s="85" t="s">
        <v>574</v>
      </c>
      <c r="E217" s="71">
        <f>SUM(E218:E221)</f>
        <v>0</v>
      </c>
      <c r="F217" s="71">
        <f t="shared" ref="F217" si="24">SUM(F218:F221)</f>
        <v>0</v>
      </c>
      <c r="G217" s="71">
        <f>SUM(G218:G221)</f>
        <v>0</v>
      </c>
      <c r="H217" s="71">
        <f>SUM(H218:H221)</f>
        <v>0</v>
      </c>
      <c r="I217" s="71">
        <f>SUM(I218:I221)</f>
        <v>0</v>
      </c>
    </row>
    <row r="218" spans="2:9" x14ac:dyDescent="0.2">
      <c r="B218" s="160">
        <v>67</v>
      </c>
      <c r="C218" s="305" t="s">
        <v>1411</v>
      </c>
      <c r="D218" s="82" t="s">
        <v>1412</v>
      </c>
      <c r="E218" s="72">
        <f>SUMIF(Adat!$AG:$AG,CONCATENATE(61,Info!$D$5,"0981211",L149),Adat!$E:$E)*-1</f>
        <v>0</v>
      </c>
      <c r="F218" s="72">
        <f>SUMIF(Adat!$AG:$AG,CONCATENATE(60,Info!$D$5,"0981211",L149),Adat!$E:$E)*-1+E218</f>
        <v>0</v>
      </c>
      <c r="G218" s="72">
        <f>SUMIF(Adat!$AH:$AH,CONCATENATE(Info!$D$5,"(KÖT)","0981211",L149),Adat!$E:$E)*-1</f>
        <v>0</v>
      </c>
      <c r="H218" s="72">
        <f>SUMIF(Adat!$AH:$AH,CONCATENATE(Info!$D$5,"(ÖNV)","0981211",L149),Adat!$E:$E)*-1</f>
        <v>0</v>
      </c>
      <c r="I218" s="72">
        <f>SUMIF(Adat!$AH:$AH,CONCATENATE(Info!$D$5,"(ÁIG)","0981211",L149),Adat!$E:$E)*-1</f>
        <v>0</v>
      </c>
    </row>
    <row r="219" spans="2:9" x14ac:dyDescent="0.2">
      <c r="B219" s="160">
        <v>68</v>
      </c>
      <c r="C219" s="305" t="s">
        <v>1413</v>
      </c>
      <c r="D219" s="82" t="s">
        <v>1414</v>
      </c>
      <c r="E219" s="72">
        <f>SUMIF(Adat!$AG:$AG,CONCATENATE(61,Info!$D$5,"0981221",L149),Adat!$E:$E)*-1</f>
        <v>0</v>
      </c>
      <c r="F219" s="72">
        <f>SUMIF(Adat!$AG:$AG,CONCATENATE(60,Info!$D$5,"0981221",L149),Adat!$E:$E)*-1+E219</f>
        <v>0</v>
      </c>
      <c r="G219" s="72">
        <f>SUMIF(Adat!$AH:$AH,CONCATENATE(Info!$D$5,"(KÖT)","0981221",L149),Adat!$E:$E)*-1</f>
        <v>0</v>
      </c>
      <c r="H219" s="72">
        <f>SUMIF(Adat!$AH:$AH,CONCATENATE(Info!$D$5,"(ÖNV)","0981221",L149),Adat!$E:$E)*-1</f>
        <v>0</v>
      </c>
      <c r="I219" s="72">
        <f>SUMIF(Adat!$AH:$AH,CONCATENATE(Info!$D$5,"(ÁIG)","0981221",L149),Adat!$E:$E)*-1</f>
        <v>0</v>
      </c>
    </row>
    <row r="220" spans="2:9" x14ac:dyDescent="0.2">
      <c r="B220" s="160">
        <v>69</v>
      </c>
      <c r="C220" s="305" t="s">
        <v>1313</v>
      </c>
      <c r="D220" s="82" t="s">
        <v>1415</v>
      </c>
      <c r="E220" s="72">
        <f>SUMIF(Adat!$AG:$AG,CONCATENATE(61,Info!$D$5,"0981231",L149),Adat!$E:$E)*-1</f>
        <v>0</v>
      </c>
      <c r="F220" s="72">
        <f>SUMIF(Adat!$AG:$AG,CONCATENATE(60,Info!$D$5,"0981231",L149),Adat!$E:$E)*-1+E220</f>
        <v>0</v>
      </c>
      <c r="G220" s="72">
        <f>SUMIF(Adat!$AH:$AH,CONCATENATE(Info!$D$5,"(KÖT)","0981231",L149),Adat!$E:$E)*-1</f>
        <v>0</v>
      </c>
      <c r="H220" s="72">
        <f>SUMIF(Adat!$AH:$AH,CONCATENATE(Info!$D$5,"(ÖNV)","0981231",L149),Adat!$E:$E)*-1</f>
        <v>0</v>
      </c>
      <c r="I220" s="72">
        <f>SUMIF(Adat!$AH:$AH,CONCATENATE(Info!$D$5,"(ÁIG)","0981231",L149),Adat!$E:$E)*-1</f>
        <v>0</v>
      </c>
    </row>
    <row r="221" spans="2:9" x14ac:dyDescent="0.25">
      <c r="B221" s="160">
        <v>70</v>
      </c>
      <c r="C221" s="305" t="s">
        <v>1416</v>
      </c>
      <c r="D221" s="84" t="s">
        <v>1417</v>
      </c>
      <c r="E221" s="72">
        <f>SUMIF(Adat!$AG:$AG,CONCATENATE(61,Info!$D$5,"0981241",L149),Adat!$E:$E)*-1</f>
        <v>0</v>
      </c>
      <c r="F221" s="72">
        <f>SUMIF(Adat!$AG:$AG,CONCATENATE(60,Info!$D$5,"0981241",L149),Adat!$E:$E)*-1+E221</f>
        <v>0</v>
      </c>
      <c r="G221" s="72">
        <f>SUMIF(Adat!$AH:$AH,CONCATENATE(Info!$D$5,"(KÖT)","0981241",L149),Adat!$E:$E)*-1</f>
        <v>0</v>
      </c>
      <c r="H221" s="72">
        <f>SUMIF(Adat!$AH:$AH,CONCATENATE(Info!$D$5,"(ÖNV)","0981241",L149),Adat!$E:$E)*-1</f>
        <v>0</v>
      </c>
      <c r="I221" s="72">
        <f>SUMIF(Adat!$AH:$AH,CONCATENATE(Info!$D$5,"(ÁIG)","0981241",L149),Adat!$E:$E)*-1</f>
        <v>0</v>
      </c>
    </row>
    <row r="222" spans="2:9" x14ac:dyDescent="0.25">
      <c r="B222" s="160">
        <v>71</v>
      </c>
      <c r="C222" s="154" t="s">
        <v>1418</v>
      </c>
      <c r="D222" s="85" t="s">
        <v>575</v>
      </c>
      <c r="E222" s="71">
        <f>SUM(E223:E224)</f>
        <v>0</v>
      </c>
      <c r="F222" s="71">
        <f t="shared" ref="F222" si="25">SUM(F223:F224)</f>
        <v>0</v>
      </c>
      <c r="G222" s="71">
        <f>SUM(G223:G224)</f>
        <v>0</v>
      </c>
      <c r="H222" s="71">
        <f>SUM(H223:H224)</f>
        <v>0</v>
      </c>
      <c r="I222" s="71">
        <f>SUM(I223:I224)</f>
        <v>0</v>
      </c>
    </row>
    <row r="223" spans="2:9" x14ac:dyDescent="0.2">
      <c r="B223" s="160">
        <v>72</v>
      </c>
      <c r="C223" s="305" t="s">
        <v>1274</v>
      </c>
      <c r="D223" s="82" t="s">
        <v>1419</v>
      </c>
      <c r="E223" s="72">
        <f>SUMIF(Adat!$AG:$AG,CONCATENATE(61,Info!$D$5,"0981311",L149),Adat!$E:$E)*-1</f>
        <v>0</v>
      </c>
      <c r="F223" s="72">
        <f>SUMIF(Adat!$AG:$AG,CONCATENATE(60,Info!$D$5,"0981311",L149),Adat!$E:$E)*-1+E223</f>
        <v>0</v>
      </c>
      <c r="G223" s="72">
        <f>SUMIF(Adat!$AH:$AH,CONCATENATE(Info!$D$5,"(KÖT)","0981311",L149),Adat!$E:$E)*-1</f>
        <v>0</v>
      </c>
      <c r="H223" s="72">
        <f>SUMIF(Adat!$AH:$AH,CONCATENATE(Info!$D$5,"(ÖNV)","0981311",L149),Adat!$E:$E)*-1</f>
        <v>0</v>
      </c>
      <c r="I223" s="72">
        <f>SUMIF(Adat!$AH:$AH,CONCATENATE(Info!$D$5,"(ÁIG)","0981311",L149),Adat!$E:$E)*-1</f>
        <v>0</v>
      </c>
    </row>
    <row r="224" spans="2:9" x14ac:dyDescent="0.25">
      <c r="B224" s="160">
        <v>73</v>
      </c>
      <c r="C224" s="305" t="s">
        <v>1420</v>
      </c>
      <c r="D224" s="84" t="s">
        <v>1421</v>
      </c>
      <c r="E224" s="72">
        <f>SUMIF(Adat!$AG:$AG,CONCATENATE(61,Info!$D$5,"0981321",L149),Adat!$E:$E)*-1</f>
        <v>0</v>
      </c>
      <c r="F224" s="72">
        <f>SUMIF(Adat!$AG:$AG,CONCATENATE(60,Info!$D$5,"0981321",L149),Adat!$E:$E)*-1+E224</f>
        <v>0</v>
      </c>
      <c r="G224" s="72">
        <f>SUMIF(Adat!$AH:$AH,CONCATENATE(Info!$D$5,"(KÖT)","0981321",L149),Adat!$E:$E)*-1</f>
        <v>0</v>
      </c>
      <c r="H224" s="72">
        <f>SUMIF(Adat!$AH:$AH,CONCATENATE(Info!$D$5,"(ÖNV)","0981321",L149),Adat!$E:$E)*-1</f>
        <v>0</v>
      </c>
      <c r="I224" s="72">
        <f>SUMIF(Adat!$AH:$AH,CONCATENATE(Info!$D$5,"(ÁIG)","0981321",L149),Adat!$E:$E)*-1</f>
        <v>0</v>
      </c>
    </row>
    <row r="225" spans="2:12" s="42" customFormat="1" x14ac:dyDescent="0.25">
      <c r="B225" s="160">
        <v>74</v>
      </c>
      <c r="C225" s="154" t="s">
        <v>1496</v>
      </c>
      <c r="D225" s="85" t="s">
        <v>576</v>
      </c>
      <c r="E225" s="71">
        <f>SUM(E226:E228)</f>
        <v>0</v>
      </c>
      <c r="F225" s="71">
        <f t="shared" ref="F225" si="26">SUM(F226:F228)</f>
        <v>0</v>
      </c>
      <c r="G225" s="71">
        <f>SUM(G226:G228)</f>
        <v>0</v>
      </c>
      <c r="H225" s="71">
        <f>SUM(H226:H228)</f>
        <v>0</v>
      </c>
      <c r="I225" s="71">
        <f>SUM(I226:I228)</f>
        <v>0</v>
      </c>
    </row>
    <row r="226" spans="2:12" x14ac:dyDescent="0.2">
      <c r="B226" s="160">
        <v>75</v>
      </c>
      <c r="C226" s="305" t="s">
        <v>1301</v>
      </c>
      <c r="D226" s="82" t="s">
        <v>1422</v>
      </c>
      <c r="E226" s="72">
        <f>SUMIF(Adat!$AG:$AG,CONCATENATE(61,Info!$D$5,"098141",L149),Adat!$E:$E)*-1</f>
        <v>0</v>
      </c>
      <c r="F226" s="72">
        <f>SUMIF(Adat!$AG:$AG,CONCATENATE(60,Info!$D$5,"098141",L149),Adat!$E:$E)*-1+E226</f>
        <v>0</v>
      </c>
      <c r="G226" s="72">
        <f>SUMIF(Adat!$AH:$AH,CONCATENATE(Info!$D$5,"(KÖT)","098141",L149),Adat!$E:$E)*-1</f>
        <v>0</v>
      </c>
      <c r="H226" s="72">
        <f>SUMIF(Adat!$AH:$AH,CONCATENATE(Info!$D$5,"(ÖNV)","098141",L149),Adat!$E:$E)*-1</f>
        <v>0</v>
      </c>
      <c r="I226" s="72">
        <f>SUMIF(Adat!$AH:$AH,CONCATENATE(Info!$D$5,"(ÁIG)","098141",L149),Adat!$E:$E)*-1</f>
        <v>0</v>
      </c>
    </row>
    <row r="227" spans="2:12" x14ac:dyDescent="0.2">
      <c r="B227" s="160">
        <v>76</v>
      </c>
      <c r="C227" s="305" t="s">
        <v>1423</v>
      </c>
      <c r="D227" s="82" t="s">
        <v>1424</v>
      </c>
      <c r="E227" s="72">
        <f>SUMIF(Adat!$AG:$AG,CONCATENATE(61,Info!$D$5,"098151",L149),Adat!$E:$E)*-1</f>
        <v>0</v>
      </c>
      <c r="F227" s="72">
        <f>SUMIF(Adat!$AG:$AG,CONCATENATE(60,Info!$D$5,"098151",L149),Adat!$E:$E)*-1+E227</f>
        <v>0</v>
      </c>
      <c r="G227" s="72">
        <f>SUMIF(Adat!$AH:$AH,CONCATENATE(Info!$D$5,"(KÖT)","098151",L149),Adat!$E:$E)*-1</f>
        <v>0</v>
      </c>
      <c r="H227" s="72">
        <f>SUMIF(Adat!$AH:$AH,CONCATENATE(Info!$D$5,"(ÖNV)","098151",L149),Adat!$E:$E)*-1</f>
        <v>0</v>
      </c>
      <c r="I227" s="72">
        <f>SUMIF(Adat!$AH:$AH,CONCATENATE(Info!$D$5,"(ÁIG)","098151",L149),Adat!$E:$E)*-1</f>
        <v>0</v>
      </c>
    </row>
    <row r="228" spans="2:12" x14ac:dyDescent="0.25">
      <c r="B228" s="160">
        <v>77</v>
      </c>
      <c r="C228" s="305" t="s">
        <v>1425</v>
      </c>
      <c r="D228" s="84" t="s">
        <v>1426</v>
      </c>
      <c r="E228" s="72">
        <f>SUMIF(Adat!$AG:$AG,CONCATENATE(61,Info!$D$5,"098171",L149),Adat!$E:$E)*-1</f>
        <v>0</v>
      </c>
      <c r="F228" s="72">
        <f>SUMIF(Adat!$AG:$AG,CONCATENATE(60,Info!$D$5,"098171",L149),Adat!$E:$E)*-1+E228</f>
        <v>0</v>
      </c>
      <c r="G228" s="72">
        <f>SUMIF(Adat!$AH:$AH,CONCATENATE(Info!$D$5,"(KÖT)","098171",L149),Adat!$E:$E)*-1</f>
        <v>0</v>
      </c>
      <c r="H228" s="72">
        <f>SUMIF(Adat!$AH:$AH,CONCATENATE(Info!$D$5,"(ÖNV)","098171",L149),Adat!$E:$E)*-1</f>
        <v>0</v>
      </c>
      <c r="I228" s="72">
        <f>SUMIF(Adat!$AH:$AH,CONCATENATE(Info!$D$5,"(ÁIG)","098171",L149),Adat!$E:$E)*-1</f>
        <v>0</v>
      </c>
    </row>
    <row r="229" spans="2:12" x14ac:dyDescent="0.25">
      <c r="B229" s="160">
        <v>78</v>
      </c>
      <c r="C229" s="154" t="s">
        <v>1427</v>
      </c>
      <c r="D229" s="85" t="s">
        <v>577</v>
      </c>
      <c r="E229" s="71">
        <f>SUM(E230:E234)</f>
        <v>0</v>
      </c>
      <c r="F229" s="71">
        <f t="shared" ref="F229" si="27">SUM(F230:F234)</f>
        <v>0</v>
      </c>
      <c r="G229" s="71">
        <f>SUM(G230:G234)</f>
        <v>0</v>
      </c>
      <c r="H229" s="71">
        <f>SUM(H230:H234)</f>
        <v>0</v>
      </c>
      <c r="I229" s="71">
        <f>SUM(I230:I234)</f>
        <v>0</v>
      </c>
    </row>
    <row r="230" spans="2:12" x14ac:dyDescent="0.2">
      <c r="B230" s="160">
        <v>79</v>
      </c>
      <c r="C230" s="89" t="s">
        <v>1428</v>
      </c>
      <c r="D230" s="82" t="s">
        <v>1429</v>
      </c>
      <c r="E230" s="72">
        <f>SUMIF(Adat!$AG:$AG,CONCATENATE(61,Info!$D$5,"098211",L149),Adat!$E:$E)*-1</f>
        <v>0</v>
      </c>
      <c r="F230" s="72">
        <f>SUMIF(Adat!$AG:$AG,CONCATENATE(60,Info!$D$5,"098211",L149),Adat!$E:$E)*-1+E230</f>
        <v>0</v>
      </c>
      <c r="G230" s="72">
        <f>SUMIF(Adat!$AH:$AH,CONCATENATE(Info!$D$5,"(KÖT)","098211",L149),Adat!$E:$E)*-1</f>
        <v>0</v>
      </c>
      <c r="H230" s="72">
        <f>SUMIF(Adat!$AH:$AH,CONCATENATE(Info!$D$5,"(ÖNV)","098211",L149),Adat!$E:$E)*-1</f>
        <v>0</v>
      </c>
      <c r="I230" s="72">
        <f>SUMIF(Adat!$AH:$AH,CONCATENATE(Info!$D$5,"(ÁIG)","098211",L149),Adat!$E:$E)*-1</f>
        <v>0</v>
      </c>
    </row>
    <row r="231" spans="2:12" x14ac:dyDescent="0.2">
      <c r="B231" s="160">
        <v>80</v>
      </c>
      <c r="C231" s="89" t="s">
        <v>1430</v>
      </c>
      <c r="D231" s="82" t="s">
        <v>1431</v>
      </c>
      <c r="E231" s="72">
        <f>SUMIF(Adat!$AG:$AG,CONCATENATE(61,Info!$D$5,"098221",L149),Adat!$E:$E)*-1</f>
        <v>0</v>
      </c>
      <c r="F231" s="72">
        <f>SUMIF(Adat!$AG:$AG,CONCATENATE(60,Info!$D$5,"098221",L149),Adat!$E:$E)*-1+E231</f>
        <v>0</v>
      </c>
      <c r="G231" s="72">
        <f>SUMIF(Adat!$AH:$AH,CONCATENATE(Info!$D$5,"(KÖT)","098221",L149),Adat!$E:$E)*-1</f>
        <v>0</v>
      </c>
      <c r="H231" s="72">
        <f>SUMIF(Adat!$AH:$AH,CONCATENATE(Info!$D$5,"(ÖNV)","098221",L149),Adat!$E:$E)*-1</f>
        <v>0</v>
      </c>
      <c r="I231" s="72">
        <f>SUMIF(Adat!$AH:$AH,CONCATENATE(Info!$D$5,"(ÁIG)","098221",L149),Adat!$E:$E)*-1</f>
        <v>0</v>
      </c>
    </row>
    <row r="232" spans="2:12" x14ac:dyDescent="0.2">
      <c r="B232" s="160">
        <v>81</v>
      </c>
      <c r="C232" s="89" t="s">
        <v>1432</v>
      </c>
      <c r="D232" s="82" t="s">
        <v>1433</v>
      </c>
      <c r="E232" s="72">
        <f>SUMIF(Adat!$AG:$AG,CONCATENATE(61,Info!$D$5,"098231",L149),Adat!$E:$E)*-1</f>
        <v>0</v>
      </c>
      <c r="F232" s="72">
        <f>SUMIF(Adat!$AG:$AG,CONCATENATE(60,Info!$D$5,"098231",L149),Adat!$E:$E)*-1+E232</f>
        <v>0</v>
      </c>
      <c r="G232" s="72">
        <f>SUMIF(Adat!$AH:$AH,CONCATENATE(Info!$D$5,"(KÖT)","098231",L149),Adat!$E:$E)*-1</f>
        <v>0</v>
      </c>
      <c r="H232" s="72">
        <f>SUMIF(Adat!$AH:$AH,CONCATENATE(Info!$D$5,"(ÖNV)","098231",L149),Adat!$E:$E)*-1</f>
        <v>0</v>
      </c>
      <c r="I232" s="72">
        <f>SUMIF(Adat!$AH:$AH,CONCATENATE(Info!$D$5,"(ÁIG)","098231",L149),Adat!$E:$E)*-1</f>
        <v>0</v>
      </c>
    </row>
    <row r="233" spans="2:12" x14ac:dyDescent="0.2">
      <c r="B233" s="160">
        <v>82</v>
      </c>
      <c r="C233" s="89" t="s">
        <v>1434</v>
      </c>
      <c r="D233" s="82" t="s">
        <v>1435</v>
      </c>
      <c r="E233" s="72">
        <f>SUMIF(Adat!$AG:$AG,CONCATENATE(61,Info!$D$5,"098241",L149),Adat!$E:$E)*-1</f>
        <v>0</v>
      </c>
      <c r="F233" s="72">
        <f>SUMIF(Adat!$AG:$AG,CONCATENATE(60,Info!$D$5,"098241",L149),Adat!$E:$E)*-1+E233</f>
        <v>0</v>
      </c>
      <c r="G233" s="72">
        <f>SUMIF(Adat!$AH:$AH,CONCATENATE(Info!$D$5,"(KÖT)","098241",L149),Adat!$E:$E)*-1</f>
        <v>0</v>
      </c>
      <c r="H233" s="72">
        <f>SUMIF(Adat!$AH:$AH,CONCATENATE(Info!$D$5,"(ÖNV)","098241",L149),Adat!$E:$E)*-1</f>
        <v>0</v>
      </c>
      <c r="I233" s="72">
        <f>SUMIF(Adat!$AH:$AH,CONCATENATE(Info!$D$5,"(ÁIG)","098241",L149),Adat!$E:$E)*-1</f>
        <v>0</v>
      </c>
    </row>
    <row r="234" spans="2:12" s="42" customFormat="1" x14ac:dyDescent="0.2">
      <c r="B234" s="160">
        <v>83</v>
      </c>
      <c r="C234" s="89" t="s">
        <v>1436</v>
      </c>
      <c r="D234" s="84" t="s">
        <v>1437</v>
      </c>
      <c r="E234" s="72">
        <f>SUMIF(Adat!$AG:$AG,CONCATENATE(61,Info!$D$5,"098251",L149),Adat!$E:$E)*-1</f>
        <v>0</v>
      </c>
      <c r="F234" s="72">
        <f>SUMIF(Adat!$AG:$AG,CONCATENATE(60,Info!$D$5,"098251",L149),Adat!$E:$E)*-1+E234</f>
        <v>0</v>
      </c>
      <c r="G234" s="72">
        <f>SUMIF(Adat!$AH:$AH,CONCATENATE(Info!$D$5,"(KÖT)","098251",L149),Adat!$E:$E)*-1</f>
        <v>0</v>
      </c>
      <c r="H234" s="72">
        <f>SUMIF(Adat!$AH:$AH,CONCATENATE(Info!$D$5,"(ÖNV)","098251",L149),Adat!$E:$E)*-1</f>
        <v>0</v>
      </c>
      <c r="I234" s="72">
        <f>SUMIF(Adat!$AH:$AH,CONCATENATE(Info!$D$5,"(ÁIG)","098251",L149),Adat!$E:$E)*-1</f>
        <v>0</v>
      </c>
    </row>
    <row r="235" spans="2:12" s="42" customFormat="1" x14ac:dyDescent="0.2">
      <c r="B235" s="160">
        <v>84</v>
      </c>
      <c r="C235" s="309" t="s">
        <v>1438</v>
      </c>
      <c r="D235" s="85" t="s">
        <v>1439</v>
      </c>
      <c r="E235" s="71">
        <f>SUMIF(Adat!$AG:$AG,CONCATENATE(61,Info!$D$5,"09831",L149),Adat!$E:$E)*-1</f>
        <v>0</v>
      </c>
      <c r="F235" s="71">
        <f>SUMIF(Adat!$AG:$AG,CONCATENATE(60,Info!$D$5,"09831",L149),Adat!$E:$E)*-1+E235</f>
        <v>0</v>
      </c>
      <c r="G235" s="71">
        <f>SUMIF(Adat!$AH:$AH,CONCATENATE(Info!$D$5,"(KÖT)","09831",L149),Adat!$E:$E)*-1</f>
        <v>0</v>
      </c>
      <c r="H235" s="71">
        <f>SUMIF(Adat!$AH:$AH,CONCATENATE(Info!$D$5,"(ÖNV)","09831",L149),Adat!$E:$E)*-1</f>
        <v>0</v>
      </c>
      <c r="I235" s="71">
        <f>SUMIF(Adat!$AH:$AH,CONCATENATE(Info!$D$5,"(ÁIG)","09831",L149),Adat!$E:$E)*-1</f>
        <v>0</v>
      </c>
    </row>
    <row r="236" spans="2:12" s="42" customFormat="1" x14ac:dyDescent="0.25">
      <c r="B236" s="160">
        <v>85</v>
      </c>
      <c r="C236" s="154" t="s">
        <v>1440</v>
      </c>
      <c r="D236" s="85" t="s">
        <v>1441</v>
      </c>
      <c r="E236" s="71">
        <f>SUMIF(Adat!$AG:$AG,CONCATENATE(61,Info!$D$5,"09841",L149),Adat!$E:$E)*-1</f>
        <v>0</v>
      </c>
      <c r="F236" s="71">
        <f>SUMIF(Adat!$AG:$AG,CONCATENATE(60,Info!$D$5,"09841",L149),Adat!$E:$E)*-1+E236</f>
        <v>0</v>
      </c>
      <c r="G236" s="71">
        <f>SUMIF(Adat!$AH:$AH,CONCATENATE(Info!$D$5,"(KÖT)","09841",L149),Adat!$E:$E)*-1</f>
        <v>0</v>
      </c>
      <c r="H236" s="71">
        <f>SUMIF(Adat!$AH:$AH,CONCATENATE(Info!$D$5,"(ÖNV)","09841",L149),Adat!$E:$E)*-1</f>
        <v>0</v>
      </c>
      <c r="I236" s="71">
        <f>SUMIF(Adat!$AH:$AH,CONCATENATE(Info!$D$5,"(ÁIG)","09841",L149),Adat!$E:$E)*-1</f>
        <v>0</v>
      </c>
    </row>
    <row r="237" spans="2:12" s="42" customFormat="1" x14ac:dyDescent="0.25">
      <c r="B237" s="160">
        <v>86</v>
      </c>
      <c r="C237" s="154" t="s">
        <v>358</v>
      </c>
      <c r="D237" s="87" t="s">
        <v>1442</v>
      </c>
      <c r="E237" s="71">
        <f>+E213+E217+E222+E225+E229+E236+E235</f>
        <v>0</v>
      </c>
      <c r="F237" s="71">
        <f t="shared" ref="F237" si="28">+F213+F217+F222+F225+F229+F236+F235</f>
        <v>0</v>
      </c>
      <c r="G237" s="71">
        <f>+G213+G217+G222+G225+G229+G236+G235</f>
        <v>0</v>
      </c>
      <c r="H237" s="71">
        <f>+H213+H217+H222+H225+H229+H236+H235</f>
        <v>0</v>
      </c>
      <c r="I237" s="71">
        <f>+I213+I217+I222+I225+I229+I236+I235</f>
        <v>0</v>
      </c>
    </row>
    <row r="238" spans="2:12" s="42" customFormat="1" x14ac:dyDescent="0.25">
      <c r="B238" s="160">
        <v>87</v>
      </c>
      <c r="C238" s="154" t="s">
        <v>364</v>
      </c>
      <c r="D238" s="87" t="s">
        <v>1497</v>
      </c>
      <c r="E238" s="71">
        <f>+E212+E237</f>
        <v>0</v>
      </c>
      <c r="F238" s="71">
        <f t="shared" ref="F238" si="29">+F212+F237</f>
        <v>0</v>
      </c>
      <c r="G238" s="71">
        <f>+G212+G237</f>
        <v>0</v>
      </c>
      <c r="H238" s="71">
        <f>+H212+H237</f>
        <v>0</v>
      </c>
      <c r="I238" s="71">
        <f>+I212+I237</f>
        <v>0</v>
      </c>
    </row>
    <row r="239" spans="2:12" s="38" customFormat="1" ht="15.75" x14ac:dyDescent="0.25">
      <c r="C239" s="156"/>
      <c r="E239" s="140"/>
      <c r="F239" s="140"/>
      <c r="G239" s="140"/>
      <c r="H239" s="140"/>
      <c r="I239" s="140"/>
    </row>
    <row r="240" spans="2:12" s="10" customFormat="1" ht="15.75" customHeight="1" x14ac:dyDescent="0.25">
      <c r="B240" s="201" t="str">
        <f>CONCATENATE("4. Kiadási jogcímek"," - ",L240," részletező")</f>
        <v>4. Kiadási jogcímek -  részletező</v>
      </c>
      <c r="C240" s="101"/>
      <c r="D240" s="101"/>
      <c r="E240" s="101"/>
      <c r="F240" s="101"/>
      <c r="G240" s="198"/>
      <c r="H240" s="198"/>
      <c r="I240" s="198"/>
      <c r="L240" s="384"/>
    </row>
    <row r="241" spans="2:9" s="38" customFormat="1" ht="15.75" x14ac:dyDescent="0.25">
      <c r="C241" s="156"/>
      <c r="E241" s="140"/>
      <c r="F241" s="140"/>
      <c r="G241" s="140"/>
      <c r="H241" s="140"/>
      <c r="I241" s="140"/>
    </row>
    <row r="242" spans="2:9" s="40" customFormat="1" x14ac:dyDescent="0.25">
      <c r="B242" s="77"/>
      <c r="C242" s="77" t="s">
        <v>350</v>
      </c>
      <c r="D242" s="77" t="s">
        <v>351</v>
      </c>
      <c r="E242" s="77" t="s">
        <v>470</v>
      </c>
      <c r="F242" s="77" t="s">
        <v>471</v>
      </c>
      <c r="G242" s="77" t="s">
        <v>44</v>
      </c>
      <c r="H242" s="77" t="s">
        <v>42</v>
      </c>
      <c r="I242" s="77" t="s">
        <v>511</v>
      </c>
    </row>
    <row r="243" spans="2:9" s="41" customFormat="1" ht="38.25" x14ac:dyDescent="0.25">
      <c r="B243" s="160">
        <v>1</v>
      </c>
      <c r="C243" s="154" t="s">
        <v>593</v>
      </c>
      <c r="D243" s="154" t="s">
        <v>488</v>
      </c>
      <c r="E243" s="163" t="str">
        <f>CONCATENATE(PAR!$H$3," évi
eredeti 
előirányzat")</f>
        <v>2025. évi
eredeti 
előirányzat</v>
      </c>
      <c r="F243" s="163" t="str">
        <f>CONCATENATE(PAR!$H$3," évi
módosított 
előirányzat")</f>
        <v>2025. évi
módosított 
előirányzat</v>
      </c>
      <c r="G243" s="69" t="s">
        <v>666</v>
      </c>
      <c r="H243" s="69" t="s">
        <v>667</v>
      </c>
      <c r="I243" s="69" t="s">
        <v>668</v>
      </c>
    </row>
    <row r="244" spans="2:9" s="42" customFormat="1" x14ac:dyDescent="0.25">
      <c r="B244" s="160">
        <v>2</v>
      </c>
      <c r="C244" s="78" t="s">
        <v>352</v>
      </c>
      <c r="D244" s="92" t="s">
        <v>2663</v>
      </c>
      <c r="E244" s="71">
        <f>SUM(E245:E250)</f>
        <v>0</v>
      </c>
      <c r="F244" s="71">
        <f>SUM(F245:F250)</f>
        <v>0</v>
      </c>
      <c r="G244" s="71">
        <f>SUM(G245:G250)</f>
        <v>0</v>
      </c>
      <c r="H244" s="71">
        <f>+H245+H246+H247+H248+H249+H250</f>
        <v>0</v>
      </c>
      <c r="I244" s="71">
        <f>+I245+I246+I247+I248+I249+I250</f>
        <v>0</v>
      </c>
    </row>
    <row r="245" spans="2:9" x14ac:dyDescent="0.25">
      <c r="B245" s="160">
        <v>3</v>
      </c>
      <c r="C245" s="305" t="s">
        <v>315</v>
      </c>
      <c r="D245" s="161" t="s">
        <v>342</v>
      </c>
      <c r="E245" s="72">
        <f>SUMIF(Adat!$AI:$AI,CONCATENATE(61,Info!$D$5,"051",L240),Adat!$E:$E)</f>
        <v>0</v>
      </c>
      <c r="F245" s="72">
        <f>SUMIF(Adat!$AI:$AI,CONCATENATE(60,Info!$D$5,"051",L240),Adat!$E:$E)+E245</f>
        <v>0</v>
      </c>
      <c r="G245" s="72">
        <f>SUMIF(Adat!$AJ:$AJ,CONCATENATE(Info!$D$5,"051","(KÖT)",L240),Adat!$E:$E)</f>
        <v>0</v>
      </c>
      <c r="H245" s="72">
        <f>SUMIF(Adat!$AJ:$AJ,CONCATENATE(Info!$D$5,"051","(ÖNV)",L240),Adat!$E:$E)</f>
        <v>0</v>
      </c>
      <c r="I245" s="72">
        <f>SUMIF(Adat!$AJ:$AJ,CONCATENATE(Info!$D$5,"051","(ÁIG)",L240),Adat!$E:$E)</f>
        <v>0</v>
      </c>
    </row>
    <row r="246" spans="2:9" x14ac:dyDescent="0.25">
      <c r="B246" s="160">
        <v>4</v>
      </c>
      <c r="C246" s="305" t="s">
        <v>317</v>
      </c>
      <c r="D246" s="161" t="s">
        <v>395</v>
      </c>
      <c r="E246" s="72">
        <f>SUMIF(Adat!$AI:$AI,CONCATENATE(61,Info!$D$5,"052",L240),Adat!$E:$E)</f>
        <v>0</v>
      </c>
      <c r="F246" s="72">
        <f>SUMIF(Adat!$AI:$AI,CONCATENATE(60,Info!$D$5,"052",L240),Adat!$E:$E)+E246</f>
        <v>0</v>
      </c>
      <c r="G246" s="72">
        <f>SUMIF(Adat!$AJ:$AJ,CONCATENATE(Info!$D$5,"052","(KÖT)",L240),Adat!$E:$E)</f>
        <v>0</v>
      </c>
      <c r="H246" s="72">
        <f>SUMIF(Adat!$AJ:$AJ,CONCATENATE(Info!$D$5,"052","(ÖNV)",L240),Adat!$E:$E)</f>
        <v>0</v>
      </c>
      <c r="I246" s="72">
        <f>SUMIF(Adat!$AJ:$AJ,CONCATENATE(Info!$D$5,"052","(ÁIG)",L240),Adat!$E:$E)</f>
        <v>0</v>
      </c>
    </row>
    <row r="247" spans="2:9" x14ac:dyDescent="0.25">
      <c r="B247" s="160">
        <v>5</v>
      </c>
      <c r="C247" s="305" t="s">
        <v>4</v>
      </c>
      <c r="D247" s="161" t="s">
        <v>344</v>
      </c>
      <c r="E247" s="72">
        <f>SUMIF(Adat!$AI:$AI,CONCATENATE(61,Info!$D$5,"053",L240),Adat!$E:$E)</f>
        <v>0</v>
      </c>
      <c r="F247" s="72">
        <f>SUMIF(Adat!$AI:$AI,CONCATENATE(60,Info!$D$5,"053",L240),Adat!$E:$E)+E247</f>
        <v>0</v>
      </c>
      <c r="G247" s="72">
        <f>SUMIF(Adat!$AJ:$AJ,CONCATENATE(Info!$D$5,"053","(KÖT)",L240),Adat!$E:$E)</f>
        <v>0</v>
      </c>
      <c r="H247" s="72">
        <f>SUMIF(Adat!$AJ:$AJ,CONCATENATE(Info!$D$5,"053","(ÖNV)",L240),Adat!$E:$E)</f>
        <v>0</v>
      </c>
      <c r="I247" s="72">
        <f>SUMIF(Adat!$AJ:$AJ,CONCATENATE(Info!$D$5,"053","(ÁIG)",L240),Adat!$E:$E)</f>
        <v>0</v>
      </c>
    </row>
    <row r="248" spans="2:9" x14ac:dyDescent="0.25">
      <c r="B248" s="160">
        <v>6</v>
      </c>
      <c r="C248" s="305" t="s">
        <v>6</v>
      </c>
      <c r="D248" s="161" t="s">
        <v>345</v>
      </c>
      <c r="E248" s="72">
        <f>SUMIF(Adat!$AI:$AI,CONCATENATE(61,Info!$D$5,"054",L240),Adat!$E:$E)</f>
        <v>0</v>
      </c>
      <c r="F248" s="72">
        <f>SUMIF(Adat!$AI:$AI,CONCATENATE(60,Info!$D$5,"054",L240),Adat!$E:$E)+E248</f>
        <v>0</v>
      </c>
      <c r="G248" s="72">
        <f>SUMIF(Adat!$AJ:$AJ,CONCATENATE(Info!$D$5,"054","(KÖT)",L240),Adat!$E:$E)</f>
        <v>0</v>
      </c>
      <c r="H248" s="72">
        <f>SUMIF(Adat!$AJ:$AJ,CONCATENATE(Info!$D$5,"054","(ÖNV)",L240),Adat!$E:$E)</f>
        <v>0</v>
      </c>
      <c r="I248" s="72">
        <f>SUMIF(Adat!$AJ:$AJ,CONCATENATE(Info!$D$5,"054","(ÁIG)",L240),Adat!$E:$E)</f>
        <v>0</v>
      </c>
    </row>
    <row r="249" spans="2:9" x14ac:dyDescent="0.25">
      <c r="B249" s="160">
        <v>7</v>
      </c>
      <c r="C249" s="305" t="s">
        <v>8</v>
      </c>
      <c r="D249" s="161" t="s">
        <v>321</v>
      </c>
      <c r="E249" s="72">
        <f>SUMIF(Adat!$AI:$AI,CONCATENATE(61,Info!$D$5,"055",L240),Adat!$E:$E)-E250</f>
        <v>0</v>
      </c>
      <c r="F249" s="72">
        <f>SUMIF(Adat!$AI:$AI,CONCATENATE(60,Info!$D$5,"055",L240),Adat!$E:$E)+E249-F250+E250</f>
        <v>0</v>
      </c>
      <c r="G249" s="72">
        <f>SUMIF(Adat!$AJ:$AJ,CONCATENATE(Info!$D$5,"055","(KÖT)",L240),Adat!$E:$E)-G250</f>
        <v>0</v>
      </c>
      <c r="H249" s="72">
        <f>SUMIF(Adat!$AJ:$AJ,CONCATENATE(Info!$D$5,"055","(ÖNV)",L240),Adat!$E:$E)-H250</f>
        <v>0</v>
      </c>
      <c r="I249" s="72">
        <f>SUMIF(Adat!$AJ:$AJ,CONCATENATE(Info!$D$5,"055","(ÁIG)",L240),Adat!$E:$E)-I250</f>
        <v>0</v>
      </c>
    </row>
    <row r="250" spans="2:9" x14ac:dyDescent="0.25">
      <c r="B250" s="160">
        <v>8</v>
      </c>
      <c r="C250" s="305" t="s">
        <v>1283</v>
      </c>
      <c r="D250" s="161" t="s">
        <v>397</v>
      </c>
      <c r="E250" s="72">
        <f>SUMIF(Adat!$AG:$AG,CONCATENATE(61,Info!$D$5,"055131",L240),Adat!$E:$E)</f>
        <v>0</v>
      </c>
      <c r="F250" s="72">
        <f>SUMIF(Adat!$AG:$AG,CONCATENATE(60,Info!$D$5,"055131",L240),Adat!$E:$E)+E250</f>
        <v>0</v>
      </c>
      <c r="G250" s="72">
        <f>SUMIF(Adat!$AH:$AH,CONCATENATE(Info!$D$5,"(KÖT)","055131",L240),Adat!$E:$E)</f>
        <v>0</v>
      </c>
      <c r="H250" s="72">
        <f>SUMIF(Adat!$AH:$AH,CONCATENATE(Info!$D$5,"(ÖNV)","055131",L240),Adat!$E:$E)*-1</f>
        <v>0</v>
      </c>
      <c r="I250" s="72">
        <f>SUMIF(Adat!$AH:$AH,CONCATENATE(Info!$D$5,"(ÁIG)","055131",L240),Adat!$E:$E)*-1</f>
        <v>0</v>
      </c>
    </row>
    <row r="251" spans="2:9" x14ac:dyDescent="0.25">
      <c r="B251" s="160">
        <v>9</v>
      </c>
      <c r="C251" s="305" t="s">
        <v>1283</v>
      </c>
      <c r="D251" s="93" t="s">
        <v>1445</v>
      </c>
      <c r="E251" s="72">
        <v>0</v>
      </c>
      <c r="F251" s="72">
        <f>SUM(G251:I251)</f>
        <v>0</v>
      </c>
      <c r="G251" s="72">
        <v>0</v>
      </c>
      <c r="H251" s="72">
        <v>0</v>
      </c>
      <c r="I251" s="72">
        <v>0</v>
      </c>
    </row>
    <row r="252" spans="2:9" x14ac:dyDescent="0.25">
      <c r="B252" s="160">
        <v>10</v>
      </c>
      <c r="C252" s="305" t="s">
        <v>1283</v>
      </c>
      <c r="D252" s="93" t="s">
        <v>1446</v>
      </c>
      <c r="E252" s="72">
        <v>0</v>
      </c>
      <c r="F252" s="72">
        <f>SUM(G252:I252)</f>
        <v>0</v>
      </c>
      <c r="G252" s="72">
        <v>0</v>
      </c>
      <c r="H252" s="72">
        <v>0</v>
      </c>
      <c r="I252" s="72">
        <v>0</v>
      </c>
    </row>
    <row r="253" spans="2:9" x14ac:dyDescent="0.25">
      <c r="B253" s="160">
        <v>11</v>
      </c>
      <c r="C253" s="78" t="s">
        <v>358</v>
      </c>
      <c r="D253" s="92" t="s">
        <v>2664</v>
      </c>
      <c r="E253" s="71">
        <f>+E254+E256+E258</f>
        <v>0</v>
      </c>
      <c r="F253" s="71">
        <f>+F254+F256+F258</f>
        <v>0</v>
      </c>
      <c r="G253" s="71">
        <f>+G254+G256+G258</f>
        <v>0</v>
      </c>
      <c r="H253" s="71">
        <f>+H254+H256+H258</f>
        <v>0</v>
      </c>
      <c r="I253" s="71">
        <f>+I254+I256+I258</f>
        <v>0</v>
      </c>
    </row>
    <row r="254" spans="2:9" x14ac:dyDescent="0.25">
      <c r="B254" s="160">
        <v>12</v>
      </c>
      <c r="C254" s="305" t="s">
        <v>10</v>
      </c>
      <c r="D254" s="317" t="s">
        <v>322</v>
      </c>
      <c r="E254" s="72">
        <f>SUMIF(Adat!$AI:$AI,CONCATENATE(61,Info!$D$5,"056",L240),Adat!$E:$E)</f>
        <v>0</v>
      </c>
      <c r="F254" s="72">
        <f>SUMIF(Adat!$AI:$AI,CONCATENATE(60,Info!$D$5,"056",L240),Adat!$E:$E)+E254</f>
        <v>0</v>
      </c>
      <c r="G254" s="72">
        <f>SUMIF(Adat!$AJ:$AJ,CONCATENATE(Info!$D$5,"056","(KÖT)",L240),Adat!$E:$E)</f>
        <v>0</v>
      </c>
      <c r="H254" s="72">
        <f>SUMIF(Adat!$AJ:$AJ,CONCATENATE(Info!$D$5,"056","(ÖNV)",L240),Adat!$E:$E)</f>
        <v>0</v>
      </c>
      <c r="I254" s="72">
        <f>SUMIF(Adat!$AJ:$AJ,CONCATENATE(Info!$D$5,"056","(ÁIG)",L240),Adat!$E:$E)</f>
        <v>0</v>
      </c>
    </row>
    <row r="255" spans="2:9" x14ac:dyDescent="0.25">
      <c r="B255" s="160">
        <v>13</v>
      </c>
      <c r="C255" s="305" t="s">
        <v>10</v>
      </c>
      <c r="D255" s="317" t="s">
        <v>1448</v>
      </c>
      <c r="E255" s="72">
        <v>0</v>
      </c>
      <c r="F255" s="72">
        <f>SUM(G255:I255)</f>
        <v>0</v>
      </c>
      <c r="G255" s="72">
        <v>0</v>
      </c>
      <c r="H255" s="72">
        <v>0</v>
      </c>
      <c r="I255" s="72">
        <v>0</v>
      </c>
    </row>
    <row r="256" spans="2:9" x14ac:dyDescent="0.25">
      <c r="B256" s="160">
        <v>14</v>
      </c>
      <c r="C256" s="305" t="s">
        <v>12</v>
      </c>
      <c r="D256" s="317" t="s">
        <v>323</v>
      </c>
      <c r="E256" s="72">
        <f>SUMIF(Adat!$AI:$AI,CONCATENATE(61,Info!$D$5,"057",L240),Adat!$E:$E)</f>
        <v>0</v>
      </c>
      <c r="F256" s="72">
        <f>SUMIF(Adat!$AI:$AI,CONCATENATE(60,Info!$D$5,"057",L240),Adat!$E:$E)+E256</f>
        <v>0</v>
      </c>
      <c r="G256" s="72">
        <f>SUMIF(Adat!$AJ:$AJ,CONCATENATE(Info!$D$5,"057","(KÖT)",L240),Adat!$E:$E)</f>
        <v>0</v>
      </c>
      <c r="H256" s="72">
        <f>SUMIF(Adat!$AJ:$AJ,CONCATENATE(Info!$D$5,"057","(ÖNV)",L240),Adat!$E:$E)</f>
        <v>0</v>
      </c>
      <c r="I256" s="72">
        <f>SUMIF(Adat!$AJ:$AJ,CONCATENATE(Info!$D$5,"057","(ÁIG)",L240),Adat!$E:$E)</f>
        <v>0</v>
      </c>
    </row>
    <row r="257" spans="2:18" x14ac:dyDescent="0.25">
      <c r="B257" s="160">
        <v>15</v>
      </c>
      <c r="C257" s="305" t="s">
        <v>12</v>
      </c>
      <c r="D257" s="317" t="s">
        <v>1449</v>
      </c>
      <c r="E257" s="72">
        <v>0</v>
      </c>
      <c r="F257" s="72">
        <f>SUM(G257:I257)</f>
        <v>0</v>
      </c>
      <c r="G257" s="72">
        <v>0</v>
      </c>
      <c r="H257" s="72">
        <v>0</v>
      </c>
      <c r="I257" s="72">
        <v>0</v>
      </c>
    </row>
    <row r="258" spans="2:18" x14ac:dyDescent="0.25">
      <c r="B258" s="160">
        <v>16</v>
      </c>
      <c r="C258" s="305" t="s">
        <v>15</v>
      </c>
      <c r="D258" s="317" t="s">
        <v>324</v>
      </c>
      <c r="E258" s="72">
        <f>SUMIF(Adat!$AI:$AI,CONCATENATE(61,Info!$D$5,"058",L240),Adat!$E:$E)</f>
        <v>0</v>
      </c>
      <c r="F258" s="72">
        <f>SUMIF(Adat!$AI:$AI,CONCATENATE(60,Info!$D$5,"058",L240),Adat!$E:$E)+E258</f>
        <v>0</v>
      </c>
      <c r="G258" s="72">
        <f>SUMIF(Adat!$AJ:$AJ,CONCATENATE(Info!$D$5,"058","(KÖT)",L240),Adat!$E:$E)</f>
        <v>0</v>
      </c>
      <c r="H258" s="72">
        <f>SUMIF(Adat!$AJ:$AJ,CONCATENATE(Info!$D$5,"058","(ÖNV)",L240),Adat!$E:$E)</f>
        <v>0</v>
      </c>
      <c r="I258" s="72">
        <f>SUMIF(Adat!$AJ:$AJ,CONCATENATE(Info!$D$5,"058","(ÁIG)",L240),Adat!$E:$E)</f>
        <v>0</v>
      </c>
    </row>
    <row r="259" spans="2:18" x14ac:dyDescent="0.25">
      <c r="B259" s="160">
        <v>17</v>
      </c>
      <c r="C259" s="78" t="s">
        <v>364</v>
      </c>
      <c r="D259" s="86" t="s">
        <v>402</v>
      </c>
      <c r="E259" s="71">
        <f>+E244+E253</f>
        <v>0</v>
      </c>
      <c r="F259" s="71">
        <f>+F244+F253</f>
        <v>0</v>
      </c>
      <c r="G259" s="71">
        <f>+G244+G253</f>
        <v>0</v>
      </c>
      <c r="H259" s="71">
        <f>+H244+H253</f>
        <v>0</v>
      </c>
      <c r="I259" s="71">
        <f>+I244+I253</f>
        <v>0</v>
      </c>
    </row>
    <row r="260" spans="2:18" x14ac:dyDescent="0.25">
      <c r="B260" s="160">
        <v>18</v>
      </c>
      <c r="C260" s="78" t="s">
        <v>403</v>
      </c>
      <c r="D260" s="86" t="s">
        <v>1450</v>
      </c>
      <c r="E260" s="71">
        <f>+E261+E262+E263</f>
        <v>0</v>
      </c>
      <c r="F260" s="71">
        <f>+F261+F262+F263</f>
        <v>0</v>
      </c>
      <c r="G260" s="71">
        <f>+G261+G262+G263</f>
        <v>0</v>
      </c>
      <c r="H260" s="71">
        <f>+H261+H262+H263</f>
        <v>0</v>
      </c>
      <c r="I260" s="71">
        <f>+I261+I262+I263</f>
        <v>0</v>
      </c>
    </row>
    <row r="261" spans="2:18" s="42" customFormat="1" x14ac:dyDescent="0.25">
      <c r="B261" s="160">
        <v>19</v>
      </c>
      <c r="C261" s="305" t="s">
        <v>1451</v>
      </c>
      <c r="D261" s="161" t="s">
        <v>490</v>
      </c>
      <c r="E261" s="72">
        <f>SUMIF(Adat!$AG:$AG,CONCATENATE(61,Info!$D$5,"0591111",L240),Adat!$E:$E)</f>
        <v>0</v>
      </c>
      <c r="F261" s="72">
        <f>SUMIF(Adat!$AG:$AG,CONCATENATE(60,Info!$D$5,"0591111",L240),Adat!$E:$E)+E261</f>
        <v>0</v>
      </c>
      <c r="G261" s="72">
        <f>SUMIF(Adat!$AH:$AH,CONCATENATE(Info!$D$5,"(KÖT)","0591111",L240),Adat!$E:$E)</f>
        <v>0</v>
      </c>
      <c r="H261" s="72">
        <f>SUMIF(Adat!$AH:$AH,CONCATENATE(Info!$D$5,"(ÖNV)","0591111",L240),Adat!$E:$E)</f>
        <v>0</v>
      </c>
      <c r="I261" s="72">
        <f>SUMIF(Adat!$AH:$AH,CONCATENATE(Info!$D$5,"(ÁIG)","0591111",L240),Adat!$E:$E)</f>
        <v>0</v>
      </c>
    </row>
    <row r="262" spans="2:18" x14ac:dyDescent="0.25">
      <c r="B262" s="160">
        <v>20</v>
      </c>
      <c r="C262" s="305" t="s">
        <v>1453</v>
      </c>
      <c r="D262" s="161" t="s">
        <v>406</v>
      </c>
      <c r="E262" s="72">
        <f>SUMIF(Adat!$AG:$AG,CONCATENATE(61,Info!$D$5,"0591121",L240),Adat!$E:$E)</f>
        <v>0</v>
      </c>
      <c r="F262" s="72">
        <f>SUMIF(Adat!$AG:$AG,CONCATENATE(60,Info!$D$5,"0591121",L240),Adat!$E:$E)+E262</f>
        <v>0</v>
      </c>
      <c r="G262" s="72">
        <f>SUMIF(Adat!$AH:$AH,CONCATENATE(Info!$D$5,"(KÖT)","0591121",L240),Adat!$E:$E)</f>
        <v>0</v>
      </c>
      <c r="H262" s="72">
        <f>SUMIF(Adat!$AH:$AH,CONCATENATE(Info!$D$5,"(ÖNV)","0591121",L240),Adat!$E:$E)</f>
        <v>0</v>
      </c>
      <c r="I262" s="72">
        <f>SUMIF(Adat!$AH:$AH,CONCATENATE(Info!$D$5,"(ÁIG)","0591121",L240),Adat!$E:$E)</f>
        <v>0</v>
      </c>
    </row>
    <row r="263" spans="2:18" x14ac:dyDescent="0.25">
      <c r="B263" s="160">
        <v>21</v>
      </c>
      <c r="C263" s="305" t="s">
        <v>1455</v>
      </c>
      <c r="D263" s="161" t="s">
        <v>491</v>
      </c>
      <c r="E263" s="72">
        <f>SUMIF(Adat!$AG:$AG,CONCATENATE(61,Info!$D$5,"0591131",L240),Adat!$E:$E)</f>
        <v>0</v>
      </c>
      <c r="F263" s="72">
        <f>SUMIF(Adat!$AG:$AG,CONCATENATE(60,Info!$D$5,"0591131",L240),Adat!$E:$E)+E263</f>
        <v>0</v>
      </c>
      <c r="G263" s="72">
        <f>SUMIF(Adat!$AH:$AH,CONCATENATE(Info!$D$5,"(KÖT)","0591131",L240),Adat!$E:$E)</f>
        <v>0</v>
      </c>
      <c r="H263" s="72">
        <f>SUMIF(Adat!$AH:$AH,CONCATENATE(Info!$D$5,"(ÖNV)","0591131",L240),Adat!$E:$E)</f>
        <v>0</v>
      </c>
      <c r="I263" s="72">
        <f>SUMIF(Adat!$AH:$AH,CONCATENATE(Info!$D$5,"(ÁIG)","0591131",L240),Adat!$E:$E)</f>
        <v>0</v>
      </c>
    </row>
    <row r="264" spans="2:18" x14ac:dyDescent="0.25">
      <c r="B264" s="160">
        <v>22</v>
      </c>
      <c r="C264" s="78" t="s">
        <v>372</v>
      </c>
      <c r="D264" s="86" t="s">
        <v>1457</v>
      </c>
      <c r="E264" s="71">
        <f>+E265+E266+E267+E268+E269+E270</f>
        <v>0</v>
      </c>
      <c r="F264" s="71">
        <f>+F265+F266+F267+F268+F269+F270</f>
        <v>0</v>
      </c>
      <c r="G264" s="71">
        <f>+G265+G266+G267+G268+G269+G270</f>
        <v>0</v>
      </c>
      <c r="H264" s="71">
        <f>+H265+H266+H267+H268+H269+H270</f>
        <v>0</v>
      </c>
      <c r="I264" s="71">
        <f>+I265+I266+I267+I268+I269+I270</f>
        <v>0</v>
      </c>
    </row>
    <row r="265" spans="2:18" x14ac:dyDescent="0.25">
      <c r="B265" s="160">
        <v>23</v>
      </c>
      <c r="C265" s="305" t="s">
        <v>1458</v>
      </c>
      <c r="D265" s="161" t="s">
        <v>409</v>
      </c>
      <c r="E265" s="72">
        <f>SUMIF(Adat!$AG:$AG,CONCATENATE(61,Info!$D$5,"0591211",L240),Adat!$E:$E)</f>
        <v>0</v>
      </c>
      <c r="F265" s="72">
        <f>SUMIF(Adat!$AG:$AG,CONCATENATE(60,Info!$D$5,"0591211",L240),Adat!$E:$E)+E265</f>
        <v>0</v>
      </c>
      <c r="G265" s="72">
        <f>SUMIF(Adat!$AH:$AH,CONCATENATE(Info!$D$5,"(KÖT)","0591211",L240),Adat!$E:$E)</f>
        <v>0</v>
      </c>
      <c r="H265" s="72">
        <f>SUMIF(Adat!$AH:$AH,CONCATENATE(Info!$D$5,"(ÖNV)","0591211",L240),Adat!$E:$E)</f>
        <v>0</v>
      </c>
      <c r="I265" s="72">
        <f>SUMIF(Adat!$AH:$AH,CONCATENATE(Info!$D$5,"(ÁIG)","0591211",L240),Adat!$E:$E)</f>
        <v>0</v>
      </c>
    </row>
    <row r="266" spans="2:18" x14ac:dyDescent="0.25">
      <c r="B266" s="160">
        <v>24</v>
      </c>
      <c r="C266" s="305" t="s">
        <v>1460</v>
      </c>
      <c r="D266" s="161" t="s">
        <v>410</v>
      </c>
      <c r="E266" s="72">
        <f>SUMIF(Adat!$AG:$AG,CONCATENATE(61,Info!$D$5,"0591221",L240),Adat!$E:$E)</f>
        <v>0</v>
      </c>
      <c r="F266" s="72">
        <f>SUMIF(Adat!$AG:$AG,CONCATENATE(60,Info!$D$5,"0591221",L240),Adat!$E:$E)+E266</f>
        <v>0</v>
      </c>
      <c r="G266" s="72">
        <f>SUMIF(Adat!$AH:$AH,CONCATENATE(Info!$D$5,"(KÖT)","0591221",L240),Adat!$E:$E)</f>
        <v>0</v>
      </c>
      <c r="H266" s="72">
        <f>SUMIF(Adat!$AH:$AH,CONCATENATE(Info!$D$5,"(ÖNV)","0591221",L240),Adat!$E:$E)</f>
        <v>0</v>
      </c>
      <c r="I266" s="72">
        <f>SUMIF(Adat!$AH:$AH,CONCATENATE(Info!$D$5,"(ÁIG)","0591221",L240),Adat!$E:$E)</f>
        <v>0</v>
      </c>
    </row>
    <row r="267" spans="2:18" x14ac:dyDescent="0.25">
      <c r="B267" s="160">
        <v>25</v>
      </c>
      <c r="C267" s="305" t="s">
        <v>1462</v>
      </c>
      <c r="D267" s="161" t="s">
        <v>411</v>
      </c>
      <c r="E267" s="72">
        <f>SUMIF(Adat!$AG:$AG,CONCATENATE(61,Info!$D$5,"0591231",L240),Adat!$E:$E)</f>
        <v>0</v>
      </c>
      <c r="F267" s="72">
        <f>SUMIF(Adat!$AG:$AG,CONCATENATE(60,Info!$D$5,"0591231",L240),Adat!$E:$E)+E267</f>
        <v>0</v>
      </c>
      <c r="G267" s="72">
        <f>SUMIF(Adat!$AH:$AH,CONCATENATE(Info!$D$5,"(KÖT)","0591231",L240),Adat!$E:$E)</f>
        <v>0</v>
      </c>
      <c r="H267" s="72">
        <f>SUMIF(Adat!$AH:$AH,CONCATENATE(Info!$D$5,"(ÖNV)","0591231",L240),Adat!$E:$E)</f>
        <v>0</v>
      </c>
      <c r="I267" s="72">
        <f>SUMIF(Adat!$AH:$AH,CONCATENATE(Info!$D$5,"(ÁIG)","0591231",L240),Adat!$E:$E)</f>
        <v>0</v>
      </c>
    </row>
    <row r="268" spans="2:18" x14ac:dyDescent="0.25">
      <c r="B268" s="160">
        <v>26</v>
      </c>
      <c r="C268" s="305" t="s">
        <v>1464</v>
      </c>
      <c r="D268" s="161" t="s">
        <v>492</v>
      </c>
      <c r="E268" s="72">
        <f>SUMIF(Adat!$AG:$AG,CONCATENATE(61,Info!$D$5,"0591241",L240),Adat!$E:$E)</f>
        <v>0</v>
      </c>
      <c r="F268" s="72">
        <f>SUMIF(Adat!$AG:$AG,CONCATENATE(60,Info!$D$5,"0591241",L240),Adat!$E:$E)+E268</f>
        <v>0</v>
      </c>
      <c r="G268" s="72">
        <f>SUMIF(Adat!$AH:$AH,CONCATENATE(Info!$D$5,"(KÖT)","0591241",L240),Adat!$E:$E)</f>
        <v>0</v>
      </c>
      <c r="H268" s="72">
        <f>SUMIF(Adat!$AH:$AH,CONCATENATE(Info!$D$5,"(ÖNV)","0591241",L240),Adat!$E:$E)</f>
        <v>0</v>
      </c>
      <c r="I268" s="72">
        <f>SUMIF(Adat!$AH:$AH,CONCATENATE(Info!$D$5,"(ÁIG)","0591241",L240),Adat!$E:$E)</f>
        <v>0</v>
      </c>
    </row>
    <row r="269" spans="2:18" x14ac:dyDescent="0.25">
      <c r="B269" s="160">
        <v>27</v>
      </c>
      <c r="C269" s="305" t="s">
        <v>1466</v>
      </c>
      <c r="D269" s="161" t="s">
        <v>413</v>
      </c>
      <c r="E269" s="72">
        <f>SUMIF(Adat!$AG:$AG,CONCATENATE(61,Info!$D$5,"0591251",L240),Adat!$E:$E)</f>
        <v>0</v>
      </c>
      <c r="F269" s="72">
        <f>SUMIF(Adat!$AG:$AG,CONCATENATE(60,Info!$D$5,"0591251",L240),Adat!$E:$E)+E269</f>
        <v>0</v>
      </c>
      <c r="G269" s="72">
        <f>SUMIF(Adat!$AH:$AH,CONCATENATE(Info!$D$5,"(KÖT)","0591251",L240),Adat!$E:$E)</f>
        <v>0</v>
      </c>
      <c r="H269" s="72">
        <f>SUMIF(Adat!$AH:$AH,CONCATENATE(Info!$D$5,"(ÖNV)","0591251",L240),Adat!$E:$E)</f>
        <v>0</v>
      </c>
      <c r="I269" s="72">
        <f>SUMIF(Adat!$AH:$AH,CONCATENATE(Info!$D$5,"(ÁIG)","0591251",L240),Adat!$E:$E)</f>
        <v>0</v>
      </c>
    </row>
    <row r="270" spans="2:18" s="42" customFormat="1" x14ac:dyDescent="0.25">
      <c r="B270" s="160">
        <v>28</v>
      </c>
      <c r="C270" s="305" t="s">
        <v>1468</v>
      </c>
      <c r="D270" s="161" t="s">
        <v>414</v>
      </c>
      <c r="E270" s="72">
        <f>SUMIF(Adat!$AG:$AG,CONCATENATE(61,Info!$D$5,"0591261",L240),Adat!$E:$E)</f>
        <v>0</v>
      </c>
      <c r="F270" s="72">
        <f>SUMIF(Adat!$AG:$AG,CONCATENATE(60,Info!$D$5,"0591261",L240),Adat!$E:$E)+E270</f>
        <v>0</v>
      </c>
      <c r="G270" s="72">
        <f>SUMIF(Adat!$AH:$AH,CONCATENATE(Info!$D$5,"(KÖT)","0591261",L240),Adat!$E:$E)</f>
        <v>0</v>
      </c>
      <c r="H270" s="72">
        <f>SUMIF(Adat!$AH:$AH,CONCATENATE(Info!$D$5,"(ÖNV)","0591261",L240),Adat!$E:$E)</f>
        <v>0</v>
      </c>
      <c r="I270" s="72">
        <f>SUMIF(Adat!$AH:$AH,CONCATENATE(Info!$D$5,"(ÁIG)","0591261",L240),Adat!$E:$E)</f>
        <v>0</v>
      </c>
    </row>
    <row r="271" spans="2:18" x14ac:dyDescent="0.25">
      <c r="B271" s="160">
        <v>29</v>
      </c>
      <c r="C271" s="78" t="s">
        <v>379</v>
      </c>
      <c r="D271" s="86" t="s">
        <v>1470</v>
      </c>
      <c r="E271" s="71">
        <f>+E272+E273+E275+E276+E274</f>
        <v>0</v>
      </c>
      <c r="F271" s="71">
        <f>+F272+F273+F275+F276+F274</f>
        <v>0</v>
      </c>
      <c r="G271" s="71">
        <f>+G272+G273+G275+G276+G274</f>
        <v>0</v>
      </c>
      <c r="H271" s="71">
        <f>+H272+H273+H275+H276+H274</f>
        <v>0</v>
      </c>
      <c r="I271" s="71">
        <f>+I272+I273+I275+I276+I274</f>
        <v>0</v>
      </c>
      <c r="R271" s="43"/>
    </row>
    <row r="272" spans="2:18" x14ac:dyDescent="0.25">
      <c r="B272" s="160">
        <v>30</v>
      </c>
      <c r="C272" s="305" t="s">
        <v>1471</v>
      </c>
      <c r="D272" s="161" t="s">
        <v>416</v>
      </c>
      <c r="E272" s="72">
        <f>SUMIF(Adat!$AG:$AG,CONCATENATE(61,Info!$D$5,"059131",L240),Adat!$E:$E)</f>
        <v>0</v>
      </c>
      <c r="F272" s="72">
        <f>SUMIF(Adat!$AG:$AG,CONCATENATE(60,Info!$D$5,"059131",L240),Adat!$E:$E)+E272</f>
        <v>0</v>
      </c>
      <c r="G272" s="72">
        <f>SUMIF(Adat!$AH:$AH,CONCATENATE(Info!$D$5,"(KÖT)","059131",L240),Adat!$E:$E)</f>
        <v>0</v>
      </c>
      <c r="H272" s="72">
        <f>SUMIF(Adat!$AH:$AH,CONCATENATE(Info!$D$5,"(ÖNV)","059131",L240),Adat!$E:$E)</f>
        <v>0</v>
      </c>
      <c r="I272" s="72">
        <f>SUMIF(Adat!$AH:$AH,CONCATENATE(Info!$D$5,"(ÁIG)","059131",L240),Adat!$E:$E)</f>
        <v>0</v>
      </c>
    </row>
    <row r="273" spans="2:9" x14ac:dyDescent="0.25">
      <c r="B273" s="160">
        <v>31</v>
      </c>
      <c r="C273" s="305" t="s">
        <v>1287</v>
      </c>
      <c r="D273" s="161" t="s">
        <v>417</v>
      </c>
      <c r="E273" s="72">
        <f>SUMIF(Adat!$AG:$AG,CONCATENATE(61,Info!$D$5,"059141",L240),Adat!$E:$E)</f>
        <v>0</v>
      </c>
      <c r="F273" s="72">
        <f>SUMIF(Adat!$AG:$AG,CONCATENATE(60,Info!$D$5,"059141",L240),Adat!$E:$E)+E273</f>
        <v>0</v>
      </c>
      <c r="G273" s="72">
        <f>SUMIF(Adat!$AH:$AH,CONCATENATE(Info!$D$5,"(KÖT)","059141",L240),Adat!$E:$E)</f>
        <v>0</v>
      </c>
      <c r="H273" s="72">
        <f>SUMIF(Adat!$AH:$AH,CONCATENATE(Info!$D$5,"(ÖNV)","059141",L240),Adat!$E:$E)</f>
        <v>0</v>
      </c>
      <c r="I273" s="72">
        <f>SUMIF(Adat!$AH:$AH,CONCATENATE(Info!$D$5,"(ÁIG)","059141",L240),Adat!$E:$E)</f>
        <v>0</v>
      </c>
    </row>
    <row r="274" spans="2:9" x14ac:dyDescent="0.25">
      <c r="B274" s="160">
        <v>32</v>
      </c>
      <c r="C274" s="316" t="s">
        <v>1253</v>
      </c>
      <c r="D274" s="161" t="s">
        <v>493</v>
      </c>
      <c r="E274" s="72">
        <f>SUMIF(Adat!$AG:$AG,CONCATENATE(61,Info!$D$5,"059151",L240),Adat!$E:$E)</f>
        <v>0</v>
      </c>
      <c r="F274" s="72">
        <f>SUMIF(Adat!$AG:$AG,CONCATENATE(60,Info!$D$5,"059151",L240),Adat!$E:$E)+E274</f>
        <v>0</v>
      </c>
      <c r="G274" s="72">
        <f>SUMIF(Adat!$AH:$AH,CONCATENATE(Info!$D$5,"(KÖT)","059151",L240),Adat!$E:$E)</f>
        <v>0</v>
      </c>
      <c r="H274" s="72">
        <f>SUMIF(Adat!$AH:$AH,CONCATENATE(Info!$D$5,"(ÖNV)","059151",L240),Adat!$E:$E)</f>
        <v>0</v>
      </c>
      <c r="I274" s="72">
        <f>SUMIF(Adat!$AH:$AH,CONCATENATE(Info!$D$5,"(ÁIG)","059151",L240),Adat!$E:$E)</f>
        <v>0</v>
      </c>
    </row>
    <row r="275" spans="2:9" s="42" customFormat="1" x14ac:dyDescent="0.25">
      <c r="B275" s="160">
        <v>33</v>
      </c>
      <c r="C275" s="305" t="s">
        <v>1474</v>
      </c>
      <c r="D275" s="161" t="s">
        <v>418</v>
      </c>
      <c r="E275" s="72">
        <f>SUMIF(Adat!$AG:$AG,CONCATENATE(61,Info!$D$5,"059161",L240),Adat!$E:$E)</f>
        <v>0</v>
      </c>
      <c r="F275" s="72">
        <f>SUMIF(Adat!$AG:$AG,CONCATENATE(60,Info!$D$5,"059161",L240),Adat!$E:$E)+E275</f>
        <v>0</v>
      </c>
      <c r="G275" s="72">
        <f>SUMIF(Adat!$AH:$AH,CONCATENATE(Info!$D$5,"(KÖT)","059161",L240),Adat!$E:$E)</f>
        <v>0</v>
      </c>
      <c r="H275" s="72">
        <f>SUMIF(Adat!$AH:$AH,CONCATENATE(Info!$D$5,"(ÖNV)","059161",L240),Adat!$E:$E)</f>
        <v>0</v>
      </c>
      <c r="I275" s="72">
        <f>SUMIF(Adat!$AH:$AH,CONCATENATE(Info!$D$5,"(ÁIG)","059161",L240),Adat!$E:$E)</f>
        <v>0</v>
      </c>
    </row>
    <row r="276" spans="2:9" s="42" customFormat="1" x14ac:dyDescent="0.25">
      <c r="B276" s="160">
        <v>34</v>
      </c>
      <c r="C276" s="305" t="s">
        <v>1476</v>
      </c>
      <c r="D276" s="161" t="s">
        <v>419</v>
      </c>
      <c r="E276" s="72">
        <f>SUMIF(Adat!$AG:$AG,CONCATENATE(61,Info!$D$5,"059171",L240),Adat!$E:$E)</f>
        <v>0</v>
      </c>
      <c r="F276" s="72">
        <f>SUMIF(Adat!$AG:$AG,CONCATENATE(60,Info!$D$5,"059171",L240),Adat!$E:$E)+E276</f>
        <v>0</v>
      </c>
      <c r="G276" s="72">
        <f>SUMIF(Adat!$AH:$AH,CONCATENATE(Info!$D$5,"(KÖT)","059171",L240),Adat!$E:$E)</f>
        <v>0</v>
      </c>
      <c r="H276" s="72">
        <f>SUMIF(Adat!$AH:$AH,CONCATENATE(Info!$D$5,"(ÖNV)","059171",L240),Adat!$E:$E)</f>
        <v>0</v>
      </c>
      <c r="I276" s="72">
        <f>SUMIF(Adat!$AH:$AH,CONCATENATE(Info!$D$5,"(ÁIG)","059171",L240),Adat!$E:$E)</f>
        <v>0</v>
      </c>
    </row>
    <row r="277" spans="2:9" s="42" customFormat="1" x14ac:dyDescent="0.25">
      <c r="B277" s="160">
        <v>35</v>
      </c>
      <c r="C277" s="78" t="s">
        <v>420</v>
      </c>
      <c r="D277" s="86" t="s">
        <v>1478</v>
      </c>
      <c r="E277" s="73">
        <f>+E278+E279+E280+E281+E282</f>
        <v>0</v>
      </c>
      <c r="F277" s="73">
        <f>+F278+F279+F280+F281+F282</f>
        <v>0</v>
      </c>
      <c r="G277" s="73">
        <f>+G278+G279+G280+G281+G282</f>
        <v>0</v>
      </c>
      <c r="H277" s="73">
        <f>+H278+H279+H280+H281+H282</f>
        <v>0</v>
      </c>
      <c r="I277" s="73">
        <f>+I278+I279+I280+I281+I282</f>
        <v>0</v>
      </c>
    </row>
    <row r="278" spans="2:9" s="42" customFormat="1" x14ac:dyDescent="0.25">
      <c r="B278" s="160">
        <v>36</v>
      </c>
      <c r="C278" s="305" t="s">
        <v>1479</v>
      </c>
      <c r="D278" s="161" t="s">
        <v>422</v>
      </c>
      <c r="E278" s="72">
        <f>SUMIF(Adat!$AG:$AG,CONCATENATE(61,Info!$D$5,"059211",L240),Adat!$E:$E)</f>
        <v>0</v>
      </c>
      <c r="F278" s="72">
        <f>SUMIF(Adat!$AG:$AG,CONCATENATE(60,Info!$D$5,"059211",L240),Adat!$E:$E)+E278</f>
        <v>0</v>
      </c>
      <c r="G278" s="72">
        <f>SUMIF(Adat!$AH:$AH,CONCATENATE(Info!$D$5,"(KÖT)","059211",L240),Adat!$E:$E)</f>
        <v>0</v>
      </c>
      <c r="H278" s="72">
        <f>SUMIF(Adat!$AH:$AH,CONCATENATE(Info!$D$5,"(ÖNV)","059211",L240),Adat!$E:$E)</f>
        <v>0</v>
      </c>
      <c r="I278" s="72">
        <f>SUMIF(Adat!$AH:$AH,CONCATENATE(Info!$D$5,"(ÁIG)","059211",L240),Adat!$E:$E)</f>
        <v>0</v>
      </c>
    </row>
    <row r="279" spans="2:9" s="42" customFormat="1" x14ac:dyDescent="0.25">
      <c r="B279" s="160">
        <v>37</v>
      </c>
      <c r="C279" s="305" t="s">
        <v>1481</v>
      </c>
      <c r="D279" s="161" t="s">
        <v>423</v>
      </c>
      <c r="E279" s="72">
        <f>SUMIF(Adat!$AG:$AG,CONCATENATE(61,Info!$D$5,"059221",L240),Adat!$E:$E)</f>
        <v>0</v>
      </c>
      <c r="F279" s="72">
        <f>SUMIF(Adat!$AG:$AG,CONCATENATE(60,Info!$D$5,"059221",L240),Adat!$E:$E)+E279</f>
        <v>0</v>
      </c>
      <c r="G279" s="72">
        <f>SUMIF(Adat!$AH:$AH,CONCATENATE(Info!$D$5,"(KÖT)","059221",L240),Adat!$E:$E)</f>
        <v>0</v>
      </c>
      <c r="H279" s="72">
        <f>SUMIF(Adat!$AH:$AH,CONCATENATE(Info!$D$5,"(ÖNV)","059221",L240),Adat!$E:$E)</f>
        <v>0</v>
      </c>
      <c r="I279" s="72">
        <f>SUMIF(Adat!$AH:$AH,CONCATENATE(Info!$D$5,"(ÁIG)","059221",L240),Adat!$E:$E)</f>
        <v>0</v>
      </c>
    </row>
    <row r="280" spans="2:9" s="42" customFormat="1" x14ac:dyDescent="0.25">
      <c r="B280" s="160">
        <v>38</v>
      </c>
      <c r="C280" s="305" t="s">
        <v>1483</v>
      </c>
      <c r="D280" s="161" t="s">
        <v>424</v>
      </c>
      <c r="E280" s="72">
        <f>SUMIF(Adat!$AG:$AG,CONCATENATE(61,Info!$D$5,"059231",L240),Adat!$E:$E)</f>
        <v>0</v>
      </c>
      <c r="F280" s="72">
        <f>SUMIF(Adat!$AG:$AG,CONCATENATE(60,Info!$D$5,"059231",L240),Adat!$E:$E)+E280</f>
        <v>0</v>
      </c>
      <c r="G280" s="72">
        <f>SUMIF(Adat!$AH:$AH,CONCATENATE(Info!$D$5,"(KÖT)","059231",L240),Adat!$E:$E)</f>
        <v>0</v>
      </c>
      <c r="H280" s="72">
        <f>SUMIF(Adat!$AH:$AH,CONCATENATE(Info!$D$5,"(ÖNV)","059231",L240),Adat!$E:$E)</f>
        <v>0</v>
      </c>
      <c r="I280" s="72">
        <f>SUMIF(Adat!$AH:$AH,CONCATENATE(Info!$D$5,"(ÁIG)","059231",L240),Adat!$E:$E)</f>
        <v>0</v>
      </c>
    </row>
    <row r="281" spans="2:9" s="42" customFormat="1" x14ac:dyDescent="0.25">
      <c r="B281" s="160">
        <v>39</v>
      </c>
      <c r="C281" s="305" t="s">
        <v>1485</v>
      </c>
      <c r="D281" s="161" t="s">
        <v>494</v>
      </c>
      <c r="E281" s="72">
        <f>SUMIF(Adat!$AG:$AG,CONCATENATE(61,Info!$D$5,"059241",L240),Adat!$E:$E)</f>
        <v>0</v>
      </c>
      <c r="F281" s="72">
        <f>SUMIF(Adat!$AG:$AG,CONCATENATE(60,Info!$D$5,"059241",L240),Adat!$E:$E)+E281</f>
        <v>0</v>
      </c>
      <c r="G281" s="72">
        <f>SUMIF(Adat!$AH:$AH,CONCATENATE(Info!$D$5,"(KÖT)","059241",L240),Adat!$E:$E)</f>
        <v>0</v>
      </c>
      <c r="H281" s="72">
        <f>SUMIF(Adat!$AH:$AH,CONCATENATE(Info!$D$5,"(ÖNV)","059241",L240),Adat!$E:$E)</f>
        <v>0</v>
      </c>
      <c r="I281" s="72">
        <f>SUMIF(Adat!$AH:$AH,CONCATENATE(Info!$D$5,"(ÁIG)","059241",L240),Adat!$E:$E)</f>
        <v>0</v>
      </c>
    </row>
    <row r="282" spans="2:9" x14ac:dyDescent="0.25">
      <c r="B282" s="160">
        <v>40</v>
      </c>
      <c r="C282" s="305" t="s">
        <v>1487</v>
      </c>
      <c r="D282" s="161" t="s">
        <v>427</v>
      </c>
      <c r="E282" s="72">
        <f>SUMIF(Adat!$AG:$AG,CONCATENATE(61,Info!$D$5,"059251",L240),Adat!$E:$E)</f>
        <v>0</v>
      </c>
      <c r="F282" s="72">
        <f>SUMIF(Adat!$AG:$AG,CONCATENATE(60,Info!$D$5,"059251",L240),Adat!$E:$E)+E282</f>
        <v>0</v>
      </c>
      <c r="G282" s="72">
        <f>SUMIF(Adat!$AH:$AH,CONCATENATE(Info!$D$5,"(KÖT)","059251",L240),Adat!$E:$E)</f>
        <v>0</v>
      </c>
      <c r="H282" s="72">
        <f>SUMIF(Adat!$AH:$AH,CONCATENATE(Info!$D$5,"(ÖNV)","059251",L240),Adat!$E:$E)</f>
        <v>0</v>
      </c>
      <c r="I282" s="72">
        <f>SUMIF(Adat!$AH:$AH,CONCATENATE(Info!$D$5,"(ÁIG)","059251",L240),Adat!$E:$E)</f>
        <v>0</v>
      </c>
    </row>
    <row r="283" spans="2:9" x14ac:dyDescent="0.25">
      <c r="B283" s="160">
        <v>41</v>
      </c>
      <c r="C283" s="162" t="s">
        <v>390</v>
      </c>
      <c r="D283" s="86" t="s">
        <v>428</v>
      </c>
      <c r="E283" s="72">
        <f>SUMIF(Adat!$AG:$AG,CONCATENATE(61,Info!$D$5,"05931",L240),Adat!$E:$E)</f>
        <v>0</v>
      </c>
      <c r="F283" s="72">
        <f>SUMIF(Adat!$AG:$AG,CONCATENATE(60,Info!$D$5,"05931",L240),Adat!$E:$E)+E283</f>
        <v>0</v>
      </c>
      <c r="G283" s="72">
        <f>SUMIF(Adat!$AH:$AH,CONCATENATE(Info!$D$5,"(KÖT)","05931",L240),Adat!$E:$E)</f>
        <v>0</v>
      </c>
      <c r="H283" s="72">
        <f>SUMIF(Adat!$AH:$AH,CONCATENATE(Info!$D$5,"(ÖNV)","05931",L240),Adat!$E:$E)</f>
        <v>0</v>
      </c>
      <c r="I283" s="72">
        <f>SUMIF(Adat!$AH:$AH,CONCATENATE(Info!$D$5,"(ÁIG)","05931",L240),Adat!$E:$E)</f>
        <v>0</v>
      </c>
    </row>
    <row r="284" spans="2:9" x14ac:dyDescent="0.25">
      <c r="B284" s="160">
        <v>42</v>
      </c>
      <c r="C284" s="162" t="s">
        <v>429</v>
      </c>
      <c r="D284" s="86" t="s">
        <v>430</v>
      </c>
      <c r="E284" s="72">
        <f>SUMIF(Adat!$AG:$AG,CONCATENATE(61,Info!$D$5,"05941",L240),Adat!$E:$E)</f>
        <v>0</v>
      </c>
      <c r="F284" s="72">
        <f>SUMIF(Adat!$AG:$AG,CONCATENATE(60,Info!$D$5,"05941",L240),Adat!$E:$E)+E284</f>
        <v>0</v>
      </c>
      <c r="G284" s="72">
        <f>SUMIF(Adat!$AH:$AH,CONCATENATE(Info!$D$5,"(KÖT)","05941",L240),Adat!$E:$E)</f>
        <v>0</v>
      </c>
      <c r="H284" s="72">
        <f>SUMIF(Adat!$AH:$AH,CONCATENATE(Info!$D$5,"(ÖNV)","05941",L240),Adat!$E:$E)</f>
        <v>0</v>
      </c>
      <c r="I284" s="72">
        <f>SUMIF(Adat!$AH:$AH,CONCATENATE(Info!$D$5,"(ÁIG)","05941",L240),Adat!$E:$E)</f>
        <v>0</v>
      </c>
    </row>
    <row r="285" spans="2:9" x14ac:dyDescent="0.25">
      <c r="B285" s="160">
        <v>43</v>
      </c>
      <c r="C285" s="78" t="s">
        <v>431</v>
      </c>
      <c r="D285" s="86" t="s">
        <v>432</v>
      </c>
      <c r="E285" s="74">
        <f>+E260+E264+E271+E277+E283+E284</f>
        <v>0</v>
      </c>
      <c r="F285" s="74">
        <f>+F260+F264+F271+F277+F283+F284</f>
        <v>0</v>
      </c>
      <c r="G285" s="74">
        <f>+G260+G264+G271+G277+G283+G284</f>
        <v>0</v>
      </c>
      <c r="H285" s="74">
        <f>+H260+H264+H271+H277+H283+H284</f>
        <v>0</v>
      </c>
      <c r="I285" s="74">
        <f>+I260+I264+I271+I277+I283+I284</f>
        <v>0</v>
      </c>
    </row>
    <row r="286" spans="2:9" x14ac:dyDescent="0.25">
      <c r="B286" s="160">
        <v>44</v>
      </c>
      <c r="C286" s="154" t="s">
        <v>433</v>
      </c>
      <c r="D286" s="159" t="s">
        <v>434</v>
      </c>
      <c r="E286" s="74">
        <f>+E259+E285</f>
        <v>0</v>
      </c>
      <c r="F286" s="74">
        <f>+F259+F285</f>
        <v>0</v>
      </c>
      <c r="G286" s="74">
        <f>+G259+G285</f>
        <v>0</v>
      </c>
      <c r="H286" s="74">
        <f>+H259+H285</f>
        <v>0</v>
      </c>
      <c r="I286" s="74">
        <f>+I259+I285</f>
        <v>0</v>
      </c>
    </row>
    <row r="287" spans="2:9" s="37" customFormat="1" ht="15.75" x14ac:dyDescent="0.25">
      <c r="C287" s="529"/>
      <c r="D287" s="529"/>
      <c r="E287" s="529"/>
      <c r="F287" s="200"/>
      <c r="G287" s="200"/>
      <c r="H287" s="200"/>
      <c r="I287" s="200"/>
    </row>
    <row r="288" spans="2:9" s="38" customFormat="1" ht="15.75" x14ac:dyDescent="0.25">
      <c r="B288" s="525" t="str">
        <f>PAR!$E$3</f>
        <v>Nagymaros Város Önkormányzata</v>
      </c>
      <c r="C288" s="525"/>
      <c r="D288" s="525"/>
      <c r="E288" s="525"/>
      <c r="F288" s="525"/>
      <c r="G288" s="525"/>
      <c r="H288" s="525"/>
      <c r="I288" s="525"/>
    </row>
    <row r="289" spans="2:12" s="38" customFormat="1" ht="15.75" x14ac:dyDescent="0.25">
      <c r="B289" s="525" t="s">
        <v>2660</v>
      </c>
      <c r="C289" s="525"/>
      <c r="D289" s="525"/>
      <c r="E289" s="525"/>
      <c r="F289" s="525"/>
      <c r="G289" s="525"/>
      <c r="H289" s="525"/>
      <c r="I289" s="525"/>
    </row>
    <row r="290" spans="2:12" s="38" customFormat="1" ht="15.75" x14ac:dyDescent="0.25">
      <c r="C290" s="156"/>
      <c r="E290" s="140"/>
      <c r="F290" s="140"/>
      <c r="G290" s="140"/>
      <c r="H290" s="140"/>
      <c r="I290" s="140"/>
    </row>
    <row r="291" spans="2:12" s="10" customFormat="1" ht="15.75" customHeight="1" x14ac:dyDescent="0.25">
      <c r="B291" s="201" t="str">
        <f>CONCATENATE("5. Bevételi jogcímek"," - ",L291," részletező")</f>
        <v>5. Bevételi jogcímek -  részletező</v>
      </c>
      <c r="C291" s="101"/>
      <c r="D291" s="101"/>
      <c r="E291" s="101"/>
      <c r="F291" s="101"/>
      <c r="G291" s="198"/>
      <c r="H291" s="198"/>
      <c r="I291" s="198"/>
      <c r="L291" s="384"/>
    </row>
    <row r="292" spans="2:12" s="38" customFormat="1" ht="15.75" x14ac:dyDescent="0.25">
      <c r="C292" s="156"/>
      <c r="E292" s="140"/>
      <c r="F292" s="140"/>
      <c r="G292" s="140"/>
      <c r="H292" s="140"/>
      <c r="I292" s="140"/>
    </row>
    <row r="293" spans="2:12" s="40" customFormat="1" x14ac:dyDescent="0.25">
      <c r="B293" s="77"/>
      <c r="C293" s="77" t="s">
        <v>350</v>
      </c>
      <c r="D293" s="77" t="s">
        <v>351</v>
      </c>
      <c r="E293" s="77" t="s">
        <v>470</v>
      </c>
      <c r="F293" s="77" t="s">
        <v>471</v>
      </c>
      <c r="G293" s="77" t="s">
        <v>44</v>
      </c>
      <c r="H293" s="77" t="s">
        <v>42</v>
      </c>
      <c r="I293" s="77" t="s">
        <v>511</v>
      </c>
    </row>
    <row r="294" spans="2:12" ht="38.25" x14ac:dyDescent="0.25">
      <c r="B294" s="160">
        <v>1</v>
      </c>
      <c r="C294" s="154" t="s">
        <v>593</v>
      </c>
      <c r="D294" s="154" t="s">
        <v>488</v>
      </c>
      <c r="E294" s="163" t="str">
        <f>CONCATENATE(PAR!$H$3," évi
eredeti 
előirányzat")</f>
        <v>2025. évi
eredeti 
előirányzat</v>
      </c>
      <c r="F294" s="163" t="str">
        <f>CONCATENATE(PAR!$H$3," évi
módosított 
előirányzat")</f>
        <v>2025. évi
módosított 
előirányzat</v>
      </c>
      <c r="G294" s="69" t="s">
        <v>666</v>
      </c>
      <c r="H294" s="69" t="s">
        <v>667</v>
      </c>
      <c r="I294" s="69" t="s">
        <v>668</v>
      </c>
    </row>
    <row r="295" spans="2:12" s="41" customFormat="1" x14ac:dyDescent="0.25">
      <c r="B295" s="160">
        <v>2</v>
      </c>
      <c r="C295" s="78" t="s">
        <v>1324</v>
      </c>
      <c r="D295" s="79" t="s">
        <v>562</v>
      </c>
      <c r="E295" s="71">
        <f>SUM(E296:E302)</f>
        <v>0</v>
      </c>
      <c r="F295" s="71">
        <f t="shared" ref="F295:I295" si="30">SUM(F296:F302)</f>
        <v>0</v>
      </c>
      <c r="G295" s="71">
        <f t="shared" si="30"/>
        <v>0</v>
      </c>
      <c r="H295" s="71">
        <f t="shared" si="30"/>
        <v>0</v>
      </c>
      <c r="I295" s="71">
        <f t="shared" si="30"/>
        <v>0</v>
      </c>
    </row>
    <row r="296" spans="2:12" s="42" customFormat="1" x14ac:dyDescent="0.2">
      <c r="B296" s="160">
        <v>3</v>
      </c>
      <c r="C296" s="305" t="s">
        <v>1288</v>
      </c>
      <c r="D296" s="82" t="s">
        <v>1325</v>
      </c>
      <c r="E296" s="72">
        <f>SUMIF(Adat!$AG:$AG,CONCATENATE(61,Info!$D$5,"091111",L291),Adat!$E:$E)*-1</f>
        <v>0</v>
      </c>
      <c r="F296" s="72">
        <f>SUMIF(Adat!$AG:$AG,CONCATENATE(60,Info!$D$5,"091111",L291),Adat!$E:$E)*(-1)+E296</f>
        <v>0</v>
      </c>
      <c r="G296" s="72">
        <f>SUMIF(Adat!$AH:$AH,CONCATENATE(Info!$D$5,"(KÖT)","091111",L291),Adat!$E:$E)*-1</f>
        <v>0</v>
      </c>
      <c r="H296" s="72">
        <f>SUMIF(Adat!$AH:$AH,CONCATENATE(Info!$D$5,"(ÖNV)","091111",L291),Adat!$E:$E)*-1</f>
        <v>0</v>
      </c>
      <c r="I296" s="72">
        <f>SUMIF(Adat!$AH:$AH,CONCATENATE(Info!$D$5,"(ÁIG)","091111",L291),Adat!$E:$E)*-1</f>
        <v>0</v>
      </c>
    </row>
    <row r="297" spans="2:12" x14ac:dyDescent="0.2">
      <c r="B297" s="160">
        <v>4</v>
      </c>
      <c r="C297" s="305" t="s">
        <v>1289</v>
      </c>
      <c r="D297" s="82" t="s">
        <v>735</v>
      </c>
      <c r="E297" s="72">
        <f>SUMIF(Adat!$AG:$AG,CONCATENATE(61,Info!$D$5,"091121",L291),Adat!$E:$E)*-1</f>
        <v>0</v>
      </c>
      <c r="F297" s="72">
        <f>SUMIF(Adat!$AG:$AG,CONCATENATE(60,Info!$D$5,"091121",L291),Adat!$E:$E)*-1+E297</f>
        <v>0</v>
      </c>
      <c r="G297" s="72">
        <f>SUMIF(Adat!$AH:$AH,CONCATENATE(Info!$D$5,"(KÖT)","091121",L291),Adat!$E:$E)*-1</f>
        <v>0</v>
      </c>
      <c r="H297" s="72">
        <f>SUMIF(Adat!$AH:$AH,CONCATENATE(Info!$D$5,"(ÖNV)","091121",L291),Adat!$E:$E)*-1</f>
        <v>0</v>
      </c>
      <c r="I297" s="72">
        <f>SUMIF(Adat!$AH:$AH,CONCATENATE(Info!$D$5,"(ÁIG)","091121",L291),Adat!$E:$E)*-1</f>
        <v>0</v>
      </c>
    </row>
    <row r="298" spans="2:12" x14ac:dyDescent="0.2">
      <c r="B298" s="160">
        <v>5</v>
      </c>
      <c r="C298" s="305" t="s">
        <v>1290</v>
      </c>
      <c r="D298" s="82" t="s">
        <v>1326</v>
      </c>
      <c r="E298" s="72">
        <f>SUMIF(Adat!$AG:$AG,CONCATENATE(61,Info!$D$5,"0911311",L291),Adat!$E:$E)*-1</f>
        <v>0</v>
      </c>
      <c r="F298" s="72">
        <f>SUMIF(Adat!$AG:$AG,CONCATENATE(60,Info!$D$5,"0911311",L291),Adat!$E:$E)*-1+E298</f>
        <v>0</v>
      </c>
      <c r="G298" s="72">
        <f>SUMIF(Adat!$AH:$AH,CONCATENATE(Info!$D$5,"(KÖT)","0911311",L291),Adat!$E:$E)*-1</f>
        <v>0</v>
      </c>
      <c r="H298" s="72">
        <f>SUMIF(Adat!$AH:$AH,CONCATENATE(Info!$D$5,"(ÖNV)","0911311",L291),Adat!$E:$E)*-1</f>
        <v>0</v>
      </c>
      <c r="I298" s="72">
        <f>SUMIF(Adat!$AH:$AH,CONCATENATE(Info!$D$5,"(ÁIG)","0911311",L291),Adat!$E:$E)*-1</f>
        <v>0</v>
      </c>
    </row>
    <row r="299" spans="2:12" x14ac:dyDescent="0.2">
      <c r="B299" s="160">
        <v>6</v>
      </c>
      <c r="C299" s="305" t="s">
        <v>1254</v>
      </c>
      <c r="D299" s="82" t="s">
        <v>736</v>
      </c>
      <c r="E299" s="72">
        <f>SUMIF(Adat!$AG:$AG,CONCATENATE(61,Info!$D$5,"0911321",L291),Adat!$E:$E)*-1</f>
        <v>0</v>
      </c>
      <c r="F299" s="72">
        <f>SUMIF(Adat!$AG:$AG,CONCATENATE(60,Info!$D$5,"0911321",L291),Adat!$E:$E)*-1+E299</f>
        <v>0</v>
      </c>
      <c r="G299" s="72">
        <f>SUMIF(Adat!$AH:$AH,CONCATENATE(Info!$D$5,"(KÖT)","0911321",L291),Adat!$E:$E)*-1</f>
        <v>0</v>
      </c>
      <c r="H299" s="72">
        <f>SUMIF(Adat!$AH:$AH,CONCATENATE(Info!$D$5,"(ÖNV)","0911321",L291),Adat!$E:$E)*-1</f>
        <v>0</v>
      </c>
      <c r="I299" s="72">
        <f>SUMIF(Adat!$AH:$AH,CONCATENATE(Info!$D$5,"(ÁIG)","0911321",L291),Adat!$E:$E)*-1</f>
        <v>0</v>
      </c>
    </row>
    <row r="300" spans="2:12" x14ac:dyDescent="0.25">
      <c r="B300" s="160">
        <v>7</v>
      </c>
      <c r="C300" s="305" t="s">
        <v>1291</v>
      </c>
      <c r="D300" s="84" t="s">
        <v>737</v>
      </c>
      <c r="E300" s="72">
        <f>SUMIF(Adat!$AG:$AG,CONCATENATE(61,Info!$D$5,"091141",L291),Adat!$E:$E)*-1</f>
        <v>0</v>
      </c>
      <c r="F300" s="72">
        <f>SUMIF(Adat!$AG:$AG,CONCATENATE(60,Info!$D$5,"091141",L291),Adat!$E:$E)*-1+E300</f>
        <v>0</v>
      </c>
      <c r="G300" s="72">
        <f>SUMIF(Adat!$AH:$AH,CONCATENATE(Info!$D$5,"(KÖT)","091141",L291),Adat!$E:$E)*-1</f>
        <v>0</v>
      </c>
      <c r="H300" s="72">
        <f>SUMIF(Adat!$AH:$AH,CONCATENATE(Info!$D$5,"(ÖNV)","091141",L291),Adat!$E:$E)*-1</f>
        <v>0</v>
      </c>
      <c r="I300" s="72">
        <f>SUMIF(Adat!$AH:$AH,CONCATENATE(Info!$D$5,"(ÁIG)","091141",L291),Adat!$E:$E)*-1</f>
        <v>0</v>
      </c>
    </row>
    <row r="301" spans="2:12" x14ac:dyDescent="0.25">
      <c r="B301" s="160">
        <v>8</v>
      </c>
      <c r="C301" s="305" t="s">
        <v>1312</v>
      </c>
      <c r="D301" s="84" t="s">
        <v>738</v>
      </c>
      <c r="E301" s="72">
        <f>SUMIF(Adat!$AG:$AG,CONCATENATE(61,Info!$D$5,"091151",L291),Adat!$E:$E)*-1</f>
        <v>0</v>
      </c>
      <c r="F301" s="72">
        <f>SUMIF(Adat!$AG:$AG,CONCATENATE(60,Info!$D$5,"091151",L291),Adat!$E:$E)*-1+E301</f>
        <v>0</v>
      </c>
      <c r="G301" s="72">
        <f>SUMIF(Adat!$AH:$AH,CONCATENATE(Info!$D$5,"(KÖT)","091151",L291),Adat!$E:$E)*-1</f>
        <v>0</v>
      </c>
      <c r="H301" s="72">
        <f>SUMIF(Adat!$AH:$AH,CONCATENATE(Info!$D$5,"(ÖNV)","091151",L291),Adat!$E:$E)*-1</f>
        <v>0</v>
      </c>
      <c r="I301" s="72">
        <f>SUMIF(Adat!$AH:$AH,CONCATENATE(Info!$D$5,"(ÁIG)","091151",L291),Adat!$E:$E)*-1</f>
        <v>0</v>
      </c>
    </row>
    <row r="302" spans="2:12" s="42" customFormat="1" x14ac:dyDescent="0.25">
      <c r="B302" s="160">
        <v>9</v>
      </c>
      <c r="C302" s="305" t="s">
        <v>1308</v>
      </c>
      <c r="D302" s="84" t="s">
        <v>233</v>
      </c>
      <c r="E302" s="72">
        <f>SUMIF(Adat!$AG:$AG,CONCATENATE(61,Info!$D$5,"091161",L291),Adat!$E:$E)*-1</f>
        <v>0</v>
      </c>
      <c r="F302" s="72">
        <f>SUMIF(Adat!$AG:$AG,CONCATENATE(60,Info!$D$5,"091161",L291),Adat!$E:$E)*-1+E302</f>
        <v>0</v>
      </c>
      <c r="G302" s="72">
        <f>SUMIF(Adat!$AH:$AH,CONCATENATE(Info!$D$5,"(KÖT)","091161",L291),Adat!$E:$E)*-1</f>
        <v>0</v>
      </c>
      <c r="H302" s="72">
        <f>SUMIF(Adat!$AH:$AH,CONCATENATE(Info!$D$5,"(ÖNV)","091161",L291),Adat!$E:$E)*-1</f>
        <v>0</v>
      </c>
      <c r="I302" s="72">
        <f>SUMIF(Adat!$AH:$AH,CONCATENATE(Info!$D$5,"(ÁIG)","091161",L291),Adat!$E:$E)*-1</f>
        <v>0</v>
      </c>
    </row>
    <row r="303" spans="2:12" s="42" customFormat="1" x14ac:dyDescent="0.25">
      <c r="B303" s="160">
        <v>10</v>
      </c>
      <c r="C303" s="78" t="s">
        <v>1328</v>
      </c>
      <c r="D303" s="85" t="s">
        <v>437</v>
      </c>
      <c r="E303" s="71">
        <f>SUM(E304:E308)</f>
        <v>0</v>
      </c>
      <c r="F303" s="71">
        <f t="shared" ref="F303" si="31">SUM(F304:F308)</f>
        <v>0</v>
      </c>
      <c r="G303" s="71">
        <f>SUM(G304:G308)</f>
        <v>0</v>
      </c>
      <c r="H303" s="71">
        <f t="shared" ref="H303:I303" si="32">SUM(H304:H308)</f>
        <v>0</v>
      </c>
      <c r="I303" s="71">
        <f t="shared" si="32"/>
        <v>0</v>
      </c>
    </row>
    <row r="304" spans="2:12" s="42" customFormat="1" x14ac:dyDescent="0.2">
      <c r="B304" s="160">
        <v>11</v>
      </c>
      <c r="C304" s="305" t="s">
        <v>1329</v>
      </c>
      <c r="D304" s="82" t="s">
        <v>1330</v>
      </c>
      <c r="E304" s="72">
        <f>SUMIF(Adat!$AG:$AG,CONCATENATE(61,Info!$D$5,"09121",L291),Adat!$E:$E)*-1</f>
        <v>0</v>
      </c>
      <c r="F304" s="72">
        <f>SUMIF(Adat!$AG:$AG,CONCATENATE(60,Info!$D$5,"09121",L291),Adat!$E:$E)*-1+E304</f>
        <v>0</v>
      </c>
      <c r="G304" s="72">
        <f>SUMIF(Adat!$AH:$AH,CONCATENATE(Info!$D$5,"(KÖT)","09121",L291),Adat!$E:$E)*-1</f>
        <v>0</v>
      </c>
      <c r="H304" s="72">
        <f>SUMIF(Adat!$AH:$AH,CONCATENATE(Info!$D$5,"(ÖNV)","09121",L291),Adat!$E:$E)*-1</f>
        <v>0</v>
      </c>
      <c r="I304" s="72">
        <f>SUMIF(Adat!$AH:$AH,CONCATENATE(Info!$D$5,"(ÁIG)","09121",L291),Adat!$E:$E)*-1</f>
        <v>0</v>
      </c>
    </row>
    <row r="305" spans="2:9" s="42" customFormat="1" x14ac:dyDescent="0.2">
      <c r="B305" s="160">
        <v>12</v>
      </c>
      <c r="C305" s="305" t="s">
        <v>1331</v>
      </c>
      <c r="D305" s="82" t="s">
        <v>1332</v>
      </c>
      <c r="E305" s="72">
        <f>SUMIF(Adat!$AG:$AG,CONCATENATE(61,Info!$D$5,"09131",L291),Adat!$E:$E)*-1</f>
        <v>0</v>
      </c>
      <c r="F305" s="72">
        <f>SUMIF(Adat!$AG:$AG,CONCATENATE(60,Info!$D$5,"09131",L291),Adat!$E:$E)*-1+E305</f>
        <v>0</v>
      </c>
      <c r="G305" s="72">
        <f>SUMIF(Adat!$AH:$AH,CONCATENATE(Info!$D$5,"(KÖT)","09131",L291),Adat!$E:$E)*-1</f>
        <v>0</v>
      </c>
      <c r="H305" s="72">
        <f>SUMIF(Adat!$AH:$AH,CONCATENATE(Info!$D$5,"(ÖNV)","09131",L291),Adat!$E:$E)*-1</f>
        <v>0</v>
      </c>
      <c r="I305" s="72">
        <f>SUMIF(Adat!$AH:$AH,CONCATENATE(Info!$D$5,"(ÁIG)","09131",L291),Adat!$E:$E)*-1</f>
        <v>0</v>
      </c>
    </row>
    <row r="306" spans="2:9" s="42" customFormat="1" x14ac:dyDescent="0.2">
      <c r="B306" s="160">
        <v>13</v>
      </c>
      <c r="C306" s="305" t="s">
        <v>1333</v>
      </c>
      <c r="D306" s="82" t="s">
        <v>1334</v>
      </c>
      <c r="E306" s="72">
        <f>SUMIF(Adat!$AG:$AG,CONCATENATE(61,Info!$D$5,"09141",L291),Adat!$E:$E)*-1</f>
        <v>0</v>
      </c>
      <c r="F306" s="72">
        <f>SUMIF(Adat!$AG:$AG,CONCATENATE(60,Info!$D$5,"09141",L291),Adat!$E:$E)*-1+E306</f>
        <v>0</v>
      </c>
      <c r="G306" s="72">
        <f>SUMIF(Adat!$AH:$AH,CONCATENATE(Info!$D$5,"(KÖT)","09141",L291),Adat!$E:$E)*-1</f>
        <v>0</v>
      </c>
      <c r="H306" s="72">
        <f>SUMIF(Adat!$AH:$AH,CONCATENATE(Info!$D$5,"(ÖNV)","09141",L291),Adat!$E:$E)*-1</f>
        <v>0</v>
      </c>
      <c r="I306" s="72">
        <f>SUMIF(Adat!$AH:$AH,CONCATENATE(Info!$D$5,"(ÁIG)","09141",L291),Adat!$E:$E)*-1</f>
        <v>0</v>
      </c>
    </row>
    <row r="307" spans="2:9" s="42" customFormat="1" x14ac:dyDescent="0.2">
      <c r="B307" s="160">
        <v>14</v>
      </c>
      <c r="C307" s="305" t="s">
        <v>1335</v>
      </c>
      <c r="D307" s="82" t="s">
        <v>1336</v>
      </c>
      <c r="E307" s="72">
        <f>SUMIF(Adat!$AG:$AG,CONCATENATE(61,Info!$D$5,"09151",L291),Adat!$E:$E)*-1</f>
        <v>0</v>
      </c>
      <c r="F307" s="72">
        <f>SUMIF(Adat!$AG:$AG,CONCATENATE(60,Info!$D$5,"09151",L291),Adat!$E:$E)*-1+E307</f>
        <v>0</v>
      </c>
      <c r="G307" s="72">
        <f>SUMIF(Adat!$AH:$AH,CONCATENATE(Info!$D$5,"(KÖT)","09151",L291),Adat!$E:$E)*-1</f>
        <v>0</v>
      </c>
      <c r="H307" s="72">
        <f>SUMIF(Adat!$AH:$AH,CONCATENATE(Info!$D$5,"(ÖNV)","09151",L291),Adat!$E:$E)*-1</f>
        <v>0</v>
      </c>
      <c r="I307" s="72">
        <f>SUMIF(Adat!$AH:$AH,CONCATENATE(Info!$D$5,"(ÁIG)","09151",L291),Adat!$E:$E)*-1</f>
        <v>0</v>
      </c>
    </row>
    <row r="308" spans="2:9" s="42" customFormat="1" x14ac:dyDescent="0.2">
      <c r="B308" s="160">
        <v>15</v>
      </c>
      <c r="C308" s="305" t="s">
        <v>1278</v>
      </c>
      <c r="D308" s="82" t="s">
        <v>1337</v>
      </c>
      <c r="E308" s="72">
        <f>SUMIF(Adat!$AG:$AG,CONCATENATE(61,Info!$D$5,"09161",L291),Adat!$E:$E)*-1</f>
        <v>0</v>
      </c>
      <c r="F308" s="72">
        <f>SUMIF(Adat!$AG:$AG,CONCATENATE(60,Info!$D$5,"09161",L291),Adat!$E:$E)*-1+E308</f>
        <v>0</v>
      </c>
      <c r="G308" s="72">
        <f>SUMIF(Adat!$AH:$AH,CONCATENATE(Info!$D$5,"(KÖT)","09161",L291),Adat!$E:$E)*-1</f>
        <v>0</v>
      </c>
      <c r="H308" s="72">
        <f>SUMIF(Adat!$AH:$AH,CONCATENATE(Info!$D$5,"(ÖNV)","09161",L291),Adat!$E:$E)*-1</f>
        <v>0</v>
      </c>
      <c r="I308" s="72">
        <f>SUMIF(Adat!$AH:$AH,CONCATENATE(Info!$D$5,"(ÁIG)","09161",L291),Adat!$E:$E)*-1</f>
        <v>0</v>
      </c>
    </row>
    <row r="309" spans="2:9" x14ac:dyDescent="0.25">
      <c r="B309" s="160">
        <v>16</v>
      </c>
      <c r="C309" s="79" t="s">
        <v>24</v>
      </c>
      <c r="D309" s="79" t="s">
        <v>449</v>
      </c>
      <c r="E309" s="71">
        <f t="shared" ref="E309:F309" si="33">SUM(E310:E314)</f>
        <v>0</v>
      </c>
      <c r="F309" s="71">
        <f t="shared" si="33"/>
        <v>0</v>
      </c>
      <c r="G309" s="71">
        <f>SUM(G310:G314)</f>
        <v>0</v>
      </c>
      <c r="H309" s="71">
        <f t="shared" ref="H309:I309" si="34">SUM(H310:H314)</f>
        <v>0</v>
      </c>
      <c r="I309" s="71">
        <f t="shared" si="34"/>
        <v>0</v>
      </c>
    </row>
    <row r="310" spans="2:9" x14ac:dyDescent="0.2">
      <c r="B310" s="160">
        <v>17</v>
      </c>
      <c r="C310" s="305" t="s">
        <v>1339</v>
      </c>
      <c r="D310" s="82" t="s">
        <v>1340</v>
      </c>
      <c r="E310" s="72">
        <f>SUMIF(Adat!$AG:$AG,CONCATENATE(61,Info!$D$5,"09211",L291),Adat!$E:$E)*-1</f>
        <v>0</v>
      </c>
      <c r="F310" s="72">
        <f>SUMIF(Adat!$AG:$AG,CONCATENATE(60,Info!$D$5,"09211",L291),Adat!$E:$E)*-1+E310</f>
        <v>0</v>
      </c>
      <c r="G310" s="72">
        <f>SUMIF(Adat!$AH:$AH,CONCATENATE(Info!$D$5,"(KÖT)","09211",L291),Adat!$E:$E)*-1</f>
        <v>0</v>
      </c>
      <c r="H310" s="72">
        <f>SUMIF(Adat!$AH:$AH,CONCATENATE(Info!$D$5,"(ÖNV)","09211",L291),Adat!$E:$E)*-1</f>
        <v>0</v>
      </c>
      <c r="I310" s="72">
        <f>SUMIF(Adat!$AH:$AH,CONCATENATE(Info!$D$5,"(ÁIG)","09211",L291),Adat!$E:$E)*-1</f>
        <v>0</v>
      </c>
    </row>
    <row r="311" spans="2:9" s="42" customFormat="1" x14ac:dyDescent="0.2">
      <c r="B311" s="160">
        <v>18</v>
      </c>
      <c r="C311" s="305" t="s">
        <v>1341</v>
      </c>
      <c r="D311" s="82" t="s">
        <v>1342</v>
      </c>
      <c r="E311" s="72">
        <f>SUMIF(Adat!$AG:$AG,CONCATENATE(61,Info!$D$5,"09221",L291),Adat!$E:$E)*-1</f>
        <v>0</v>
      </c>
      <c r="F311" s="72">
        <f>SUMIF(Adat!$AG:$AG,CONCATENATE(60,Info!$D$5,"09221",L291),Adat!$E:$E)*-1+E311</f>
        <v>0</v>
      </c>
      <c r="G311" s="72">
        <f>SUMIF(Adat!$AH:$AH,CONCATENATE(Info!$D$5,"(KÖT)","09221",L291),Adat!$E:$E)*-1</f>
        <v>0</v>
      </c>
      <c r="H311" s="72">
        <f>SUMIF(Adat!$AH:$AH,CONCATENATE(Info!$D$5,"(ÖNV)","09221",L291),Adat!$E:$E)*-1</f>
        <v>0</v>
      </c>
      <c r="I311" s="72">
        <f>SUMIF(Adat!$AH:$AH,CONCATENATE(Info!$D$5,"(ÁIG)","09221",L291),Adat!$E:$E)*-1</f>
        <v>0</v>
      </c>
    </row>
    <row r="312" spans="2:9" x14ac:dyDescent="0.2">
      <c r="B312" s="160">
        <v>19</v>
      </c>
      <c r="C312" s="305" t="s">
        <v>1343</v>
      </c>
      <c r="D312" s="82" t="s">
        <v>1344</v>
      </c>
      <c r="E312" s="72">
        <f>SUMIF(Adat!$AG:$AG,CONCATENATE(61,Info!$D$5,"09231",L291),Adat!$E:$E)*-1</f>
        <v>0</v>
      </c>
      <c r="F312" s="72">
        <f>SUMIF(Adat!$AG:$AG,CONCATENATE(60,Info!$D$5,"09231",L291),Adat!$E:$E)*-1+E312</f>
        <v>0</v>
      </c>
      <c r="G312" s="72">
        <f>SUMIF(Adat!$AH:$AH,CONCATENATE(Info!$D$5,"(KÖT)","09231",L291),Adat!$E:$E)*-1</f>
        <v>0</v>
      </c>
      <c r="H312" s="72">
        <f>SUMIF(Adat!$AH:$AH,CONCATENATE(Info!$D$5,"(ÖNV)","09231",L291),Adat!$E:$E)*-1</f>
        <v>0</v>
      </c>
      <c r="I312" s="72">
        <f>SUMIF(Adat!$AH:$AH,CONCATENATE(Info!$D$5,"(ÁIG)","09231",L291),Adat!$E:$E)*-1</f>
        <v>0</v>
      </c>
    </row>
    <row r="313" spans="2:9" x14ac:dyDescent="0.2">
      <c r="B313" s="160">
        <v>20</v>
      </c>
      <c r="C313" s="305" t="s">
        <v>1345</v>
      </c>
      <c r="D313" s="82" t="s">
        <v>1346</v>
      </c>
      <c r="E313" s="72">
        <f>SUMIF(Adat!$AG:$AG,CONCATENATE(61,Info!$D$5,"09241",L291),Adat!$E:$E)*-1</f>
        <v>0</v>
      </c>
      <c r="F313" s="72">
        <f>SUMIF(Adat!$AG:$AG,CONCATENATE(60,Info!$D$5,"09241",L291),Adat!$E:$E)*-1+E313</f>
        <v>0</v>
      </c>
      <c r="G313" s="72">
        <f>SUMIF(Adat!$AH:$AH,CONCATENATE(Info!$D$5,"(KÖT)","09241",L291),Adat!$E:$E)*-1</f>
        <v>0</v>
      </c>
      <c r="H313" s="72">
        <f>SUMIF(Adat!$AH:$AH,CONCATENATE(Info!$D$5,"(ÖNV)","09241",L291),Adat!$E:$E)*-1</f>
        <v>0</v>
      </c>
      <c r="I313" s="72">
        <f>SUMIF(Adat!$AH:$AH,CONCATENATE(Info!$D$5,"(ÁIG)","09241",L291),Adat!$E:$E)*-1</f>
        <v>0</v>
      </c>
    </row>
    <row r="314" spans="2:9" x14ac:dyDescent="0.2">
      <c r="B314" s="160">
        <v>21</v>
      </c>
      <c r="C314" s="305" t="s">
        <v>1255</v>
      </c>
      <c r="D314" s="82" t="s">
        <v>1347</v>
      </c>
      <c r="E314" s="72">
        <f>SUMIF(Adat!$AG:$AG,CONCATENATE(61,Info!$D$5,"09251",L291),Adat!$E:$E)*-1</f>
        <v>0</v>
      </c>
      <c r="F314" s="72">
        <f>SUMIF(Adat!$AG:$AG,CONCATENATE(60,Info!$D$5,"09251",L291),Adat!$E:$E)*-1+E314</f>
        <v>0</v>
      </c>
      <c r="G314" s="72">
        <f>SUMIF(Adat!$AH:$AH,CONCATENATE(Info!$D$5,"(KÖT)","09251",L291),Adat!$E:$E)*-1</f>
        <v>0</v>
      </c>
      <c r="H314" s="72">
        <f>SUMIF(Adat!$AH:$AH,CONCATENATE(Info!$D$5,"(ÖNV)","09251",L291),Adat!$E:$E)*-1</f>
        <v>0</v>
      </c>
      <c r="I314" s="72">
        <f>SUMIF(Adat!$AH:$AH,CONCATENATE(Info!$D$5,"(ÁIG)","09251",L291),Adat!$E:$E)*-1</f>
        <v>0</v>
      </c>
    </row>
    <row r="315" spans="2:9" x14ac:dyDescent="0.25">
      <c r="B315" s="160">
        <v>22</v>
      </c>
      <c r="C315" s="79" t="s">
        <v>27</v>
      </c>
      <c r="D315" s="79" t="s">
        <v>328</v>
      </c>
      <c r="E315" s="71">
        <f>SUM(E316:E321)</f>
        <v>0</v>
      </c>
      <c r="F315" s="71">
        <f>SUM(F316:F321)</f>
        <v>0</v>
      </c>
      <c r="G315" s="71">
        <f>SUM(G316:G321)</f>
        <v>0</v>
      </c>
      <c r="H315" s="71">
        <f>SUM(H316:H321)</f>
        <v>0</v>
      </c>
      <c r="I315" s="71">
        <f>SUM(I316:I321)</f>
        <v>0</v>
      </c>
    </row>
    <row r="316" spans="2:9" x14ac:dyDescent="0.2">
      <c r="B316" s="160">
        <v>23</v>
      </c>
      <c r="C316" s="305" t="s">
        <v>1348</v>
      </c>
      <c r="D316" s="82" t="s">
        <v>1349</v>
      </c>
      <c r="E316" s="72">
        <f>SUMIF(Adat!$AG:$AG,CONCATENATE(61,Info!$D$5,"093111",L291),Adat!$E:$E)*-1</f>
        <v>0</v>
      </c>
      <c r="F316" s="72">
        <f>SUMIF(Adat!$AG:$AG,CONCATENATE(60,Info!$D$5,"093111",L291),Adat!$E:$E)*-1+E316</f>
        <v>0</v>
      </c>
      <c r="G316" s="72">
        <f>SUMIF(Adat!$AH:$AH,CONCATENATE(Info!$D$5,"(KÖT)","093111",L291),Adat!$E:$E)*-1</f>
        <v>0</v>
      </c>
      <c r="H316" s="72">
        <f>SUMIF(Adat!$AH:$AH,CONCATENATE(Info!$D$5,"(ÖNV)","093111",L291),Adat!$E:$E)*-1</f>
        <v>0</v>
      </c>
      <c r="I316" s="72">
        <f>SUMIF(Adat!$AH:$AH,CONCATENATE(Info!$D$5,"(ÁIG)","093111",L291),Adat!$E:$E)*-1</f>
        <v>0</v>
      </c>
    </row>
    <row r="317" spans="2:9" x14ac:dyDescent="0.2">
      <c r="B317" s="160">
        <v>24</v>
      </c>
      <c r="C317" s="305" t="s">
        <v>1259</v>
      </c>
      <c r="D317" s="82" t="s">
        <v>1350</v>
      </c>
      <c r="E317" s="72">
        <f>SUMIF(Adat!$AG:$AG,CONCATENATE(61,Info!$D$5,"09341",L291),Adat!$E:$E)*-1</f>
        <v>0</v>
      </c>
      <c r="F317" s="72">
        <f>SUMIF(Adat!$AG:$AG,CONCATENATE(60,Info!$D$5,"09341",L291),Adat!$E:$E)*-1+E317</f>
        <v>0</v>
      </c>
      <c r="G317" s="72">
        <f>SUMIF(Adat!$AH:$AH,CONCATENATE(Info!$D$5,"(KÖT)","09341",L291),Adat!$E:$E)*-1</f>
        <v>0</v>
      </c>
      <c r="H317" s="72">
        <f>SUMIF(Adat!$AH:$AH,CONCATENATE(Info!$D$5,"(ÖNV)","09341",L291),Adat!$E:$E)*-1</f>
        <v>0</v>
      </c>
      <c r="I317" s="72">
        <f>SUMIF(Adat!$AH:$AH,CONCATENATE(Info!$D$5,"(ÁIG)","09341",L291),Adat!$E:$E)*-1</f>
        <v>0</v>
      </c>
    </row>
    <row r="318" spans="2:9" x14ac:dyDescent="0.2">
      <c r="B318" s="160">
        <v>25</v>
      </c>
      <c r="C318" s="305" t="s">
        <v>1260</v>
      </c>
      <c r="D318" s="82" t="s">
        <v>1351</v>
      </c>
      <c r="E318" s="72">
        <f>SUMIF(Adat!$AG:$AG,CONCATENATE(61,Info!$D$5,"093511",L291),Adat!$E:$E)*-1</f>
        <v>0</v>
      </c>
      <c r="F318" s="72">
        <f>SUMIF(Adat!$AG:$AG,CONCATENATE(60,Info!$D$5,"093511",L291),Adat!$E:$E)*-1+E318</f>
        <v>0</v>
      </c>
      <c r="G318" s="72">
        <f>SUMIF(Adat!$AH:$AH,CONCATENATE(Info!$D$5,"(KÖT)","093511",L291),Adat!$E:$E)*-1</f>
        <v>0</v>
      </c>
      <c r="H318" s="72">
        <f>SUMIF(Adat!$AH:$AH,CONCATENATE(Info!$D$5,"(ÖNV)","093511",L291),Adat!$E:$E)*-1</f>
        <v>0</v>
      </c>
      <c r="I318" s="72">
        <f>SUMIF(Adat!$AH:$AH,CONCATENATE(Info!$D$5,"(ÁIG)","093511",L291),Adat!$E:$E)*-1</f>
        <v>0</v>
      </c>
    </row>
    <row r="319" spans="2:9" x14ac:dyDescent="0.2">
      <c r="B319" s="160">
        <v>26</v>
      </c>
      <c r="C319" s="305" t="s">
        <v>1352</v>
      </c>
      <c r="D319" s="82" t="s">
        <v>1353</v>
      </c>
      <c r="E319" s="72">
        <f>SUMIF(Adat!$AG:$AG,CONCATENATE(61,Info!$D$5,"093521",L291),Adat!$E:$E)*-1</f>
        <v>0</v>
      </c>
      <c r="F319" s="72">
        <f>SUMIF(Adat!$AG:$AG,CONCATENATE(60,Info!$D$5,"093521",L291),Adat!$E:$E)*-1+E319</f>
        <v>0</v>
      </c>
      <c r="G319" s="72">
        <f>SUMIF(Adat!$AH:$AH,CONCATENATE(Info!$D$5,"(KÖT)","093521",L291),Adat!$E:$E)*-1</f>
        <v>0</v>
      </c>
      <c r="H319" s="72">
        <f>SUMIF(Adat!$AH:$AH,CONCATENATE(Info!$D$5,"(ÖNV)","093521",L291),Adat!$E:$E)*-1</f>
        <v>0</v>
      </c>
      <c r="I319" s="72">
        <f>SUMIF(Adat!$AH:$AH,CONCATENATE(Info!$D$5,"(ÁIG)","093521",L291),Adat!$E:$E)*-1</f>
        <v>0</v>
      </c>
    </row>
    <row r="320" spans="2:9" x14ac:dyDescent="0.2">
      <c r="B320" s="160">
        <v>27</v>
      </c>
      <c r="C320" s="305" t="s">
        <v>1292</v>
      </c>
      <c r="D320" s="82" t="s">
        <v>1354</v>
      </c>
      <c r="E320" s="72">
        <f>SUMIF(Adat!$AG:$AG,CONCATENATE(61,Info!$D$5,"093551",L291),Adat!$E:$E)*-1</f>
        <v>0</v>
      </c>
      <c r="F320" s="72">
        <f>SUMIF(Adat!$AG:$AG,CONCATENATE(60,Info!$D$5,"093551",L291),Adat!$E:$E)*-1+E320</f>
        <v>0</v>
      </c>
      <c r="G320" s="72">
        <f>SUMIF(Adat!$AH:$AH,CONCATENATE(Info!$D$5,"(KÖT)","093551",L291),Adat!$E:$E)*-1</f>
        <v>0</v>
      </c>
      <c r="H320" s="72">
        <f>SUMIF(Adat!$AH:$AH,CONCATENATE(Info!$D$5,"(ÖNV)","093551",L291),Adat!$E:$E)*-1</f>
        <v>0</v>
      </c>
      <c r="I320" s="72">
        <f>SUMIF(Adat!$AH:$AH,CONCATENATE(Info!$D$5,"(ÁIG)","093551",L291),Adat!$E:$E)*-1</f>
        <v>0</v>
      </c>
    </row>
    <row r="321" spans="2:9" x14ac:dyDescent="0.2">
      <c r="B321" s="160">
        <v>28</v>
      </c>
      <c r="C321" s="305" t="s">
        <v>1293</v>
      </c>
      <c r="D321" s="82" t="s">
        <v>1355</v>
      </c>
      <c r="E321" s="72">
        <f>SUMIF(Adat!$AG:$AG,CONCATENATE(61,Info!$D$5,"09361",L291),Adat!$E:$E)*-1</f>
        <v>0</v>
      </c>
      <c r="F321" s="72">
        <f>SUMIF(Adat!$AG:$AG,CONCATENATE(60,Info!$D$5,"09361",L291),Adat!$E:$E)*-1+E321</f>
        <v>0</v>
      </c>
      <c r="G321" s="72">
        <f>SUMIF(Adat!$AH:$AH,CONCATENATE(Info!$D$5,"(KÖT)","09361",L291),Adat!$E:$E)*-1</f>
        <v>0</v>
      </c>
      <c r="H321" s="72">
        <f>SUMIF(Adat!$AH:$AH,CONCATENATE(Info!$D$5,"(ÖNV)","09361",L291),Adat!$E:$E)*-1</f>
        <v>0</v>
      </c>
      <c r="I321" s="72">
        <f>SUMIF(Adat!$AH:$AH,CONCATENATE(Info!$D$5,"(ÁIG)","09361",L291),Adat!$E:$E)*-1</f>
        <v>0</v>
      </c>
    </row>
    <row r="322" spans="2:9" x14ac:dyDescent="0.25">
      <c r="B322" s="160">
        <v>29</v>
      </c>
      <c r="C322" s="79" t="s">
        <v>30</v>
      </c>
      <c r="D322" s="79" t="s">
        <v>329</v>
      </c>
      <c r="E322" s="71">
        <f>SUM(E323:E335)</f>
        <v>0</v>
      </c>
      <c r="F322" s="71">
        <f t="shared" ref="F322:I322" si="35">SUM(F323:F335)</f>
        <v>0</v>
      </c>
      <c r="G322" s="71">
        <f t="shared" si="35"/>
        <v>0</v>
      </c>
      <c r="H322" s="71">
        <f t="shared" si="35"/>
        <v>0</v>
      </c>
      <c r="I322" s="71">
        <f t="shared" si="35"/>
        <v>0</v>
      </c>
    </row>
    <row r="323" spans="2:9" x14ac:dyDescent="0.2">
      <c r="B323" s="160">
        <v>30</v>
      </c>
      <c r="C323" s="305" t="s">
        <v>1309</v>
      </c>
      <c r="D323" s="82" t="s">
        <v>1356</v>
      </c>
      <c r="E323" s="72">
        <f>SUMIF(Adat!$AG:$AG,CONCATENATE(61,Info!$D$5,"094011",L291),Adat!$E:$E)*-1</f>
        <v>0</v>
      </c>
      <c r="F323" s="72">
        <f>SUMIF(Adat!$AG:$AG,CONCATENATE(60,Info!$D$5,"094011",L291),Adat!$E:$E)*-1+E323</f>
        <v>0</v>
      </c>
      <c r="G323" s="72">
        <f>SUMIF(Adat!$AH:$AH,CONCATENATE(Info!$D$5,"(KÖT)","094011",L291),Adat!$E:$E)*-1</f>
        <v>0</v>
      </c>
      <c r="H323" s="72">
        <f>SUMIF(Adat!$AH:$AH,CONCATENATE(Info!$D$5,"(ÖNV)","094011",L291),Adat!$E:$E)*-1</f>
        <v>0</v>
      </c>
      <c r="I323" s="72">
        <f>SUMIF(Adat!$AH:$AH,CONCATENATE(Info!$D$5,"(ÁIG)","094011",L291),Adat!$E:$E)*-1</f>
        <v>0</v>
      </c>
    </row>
    <row r="324" spans="2:9" x14ac:dyDescent="0.2">
      <c r="B324" s="160">
        <v>31</v>
      </c>
      <c r="C324" s="305" t="s">
        <v>1279</v>
      </c>
      <c r="D324" s="82" t="s">
        <v>1357</v>
      </c>
      <c r="E324" s="72">
        <f>SUMIF(Adat!$AG:$AG,CONCATENATE(61,Info!$D$5,"094021",L291),Adat!$E:$E)*-1</f>
        <v>0</v>
      </c>
      <c r="F324" s="72">
        <f>SUMIF(Adat!$AG:$AG,CONCATENATE(60,Info!$D$5,"094021",L291),Adat!$E:$E)*-1+E324</f>
        <v>0</v>
      </c>
      <c r="G324" s="72">
        <f>SUMIF(Adat!$AH:$AH,CONCATENATE(Info!$D$5,"(KÖT)","094021",L291),Adat!$E:$E)*-1</f>
        <v>0</v>
      </c>
      <c r="H324" s="72">
        <f>SUMIF(Adat!$AH:$AH,CONCATENATE(Info!$D$5,"(ÖNV)","094021",L291),Adat!$E:$E)*-1</f>
        <v>0</v>
      </c>
      <c r="I324" s="72">
        <f>SUMIF(Adat!$AH:$AH,CONCATENATE(Info!$D$5,"(ÁIG)","094021",L291),Adat!$E:$E)*-1</f>
        <v>0</v>
      </c>
    </row>
    <row r="325" spans="2:9" x14ac:dyDescent="0.2">
      <c r="B325" s="160">
        <v>32</v>
      </c>
      <c r="C325" s="305" t="s">
        <v>1272</v>
      </c>
      <c r="D325" s="82" t="s">
        <v>1358</v>
      </c>
      <c r="E325" s="72">
        <f>SUMIF(Adat!$AG:$AG,CONCATENATE(61,Info!$D$5,"094031",L291),Adat!$E:$E)*-1</f>
        <v>0</v>
      </c>
      <c r="F325" s="72">
        <f>SUMIF(Adat!$AG:$AG,CONCATENATE(60,Info!$D$5,"094031",L291),Adat!$E:$E)*-1+E325</f>
        <v>0</v>
      </c>
      <c r="G325" s="72">
        <f>SUMIF(Adat!$AH:$AH,CONCATENATE(Info!$D$5,"(KÖT)","094031",L291),Adat!$E:$E)*-1</f>
        <v>0</v>
      </c>
      <c r="H325" s="72">
        <f>SUMIF(Adat!$AH:$AH,CONCATENATE(Info!$D$5,"(ÖNV)","094031",L291),Adat!$E:$E)*-1</f>
        <v>0</v>
      </c>
      <c r="I325" s="72">
        <f>SUMIF(Adat!$AH:$AH,CONCATENATE(Info!$D$5,"(ÁIG)","094031",L291),Adat!$E:$E)*-1</f>
        <v>0</v>
      </c>
    </row>
    <row r="326" spans="2:9" x14ac:dyDescent="0.2">
      <c r="B326" s="160">
        <v>33</v>
      </c>
      <c r="C326" s="305" t="s">
        <v>1359</v>
      </c>
      <c r="D326" s="82" t="s">
        <v>1360</v>
      </c>
      <c r="E326" s="72">
        <f>SUMIF(Adat!$AG:$AG,CONCATENATE(61,Info!$D$5,"094041",L291),Adat!$E:$E)*-1</f>
        <v>0</v>
      </c>
      <c r="F326" s="72">
        <f>SUMIF(Adat!$AG:$AG,CONCATENATE(60,Info!$D$5,"094041",L291),Adat!$E:$E)*-1+E326</f>
        <v>0</v>
      </c>
      <c r="G326" s="72">
        <f>SUMIF(Adat!$AH:$AH,CONCATENATE(Info!$D$5,"(KÖT)","094041",L291),Adat!$E:$E)*-1</f>
        <v>0</v>
      </c>
      <c r="H326" s="72">
        <f>SUMIF(Adat!$AH:$AH,CONCATENATE(Info!$D$5,"(ÖNV)","094041",L291),Adat!$E:$E)*-1</f>
        <v>0</v>
      </c>
      <c r="I326" s="72">
        <f>SUMIF(Adat!$AH:$AH,CONCATENATE(Info!$D$5,"(ÁIG)","094041",L291),Adat!$E:$E)*-1</f>
        <v>0</v>
      </c>
    </row>
    <row r="327" spans="2:9" x14ac:dyDescent="0.2">
      <c r="B327" s="160">
        <v>34</v>
      </c>
      <c r="C327" s="305" t="s">
        <v>1261</v>
      </c>
      <c r="D327" s="82" t="s">
        <v>1361</v>
      </c>
      <c r="E327" s="72">
        <f>SUMIF(Adat!$AG:$AG,CONCATENATE(61,Info!$D$5,"094051",L291),Adat!$E:$E)*-1</f>
        <v>0</v>
      </c>
      <c r="F327" s="72">
        <f>SUMIF(Adat!$AG:$AG,CONCATENATE(60,Info!$D$5,"094051",L291),Adat!$E:$E)*-1+E327</f>
        <v>0</v>
      </c>
      <c r="G327" s="72">
        <f>SUMIF(Adat!$AH:$AH,CONCATENATE(Info!$D$5,"(KÖT)","094051",L291),Adat!$E:$E)*-1</f>
        <v>0</v>
      </c>
      <c r="H327" s="72">
        <f>SUMIF(Adat!$AH:$AH,CONCATENATE(Info!$D$5,"(ÖNV)","094051",L291),Adat!$E:$E)*-1</f>
        <v>0</v>
      </c>
      <c r="I327" s="72">
        <f>SUMIF(Adat!$AH:$AH,CONCATENATE(Info!$D$5,"(ÁIG)","094051",L291),Adat!$E:$E)*-1</f>
        <v>0</v>
      </c>
    </row>
    <row r="328" spans="2:9" x14ac:dyDescent="0.2">
      <c r="B328" s="160">
        <v>35</v>
      </c>
      <c r="C328" s="305" t="s">
        <v>1273</v>
      </c>
      <c r="D328" s="82" t="s">
        <v>1362</v>
      </c>
      <c r="E328" s="72">
        <f>SUMIF(Adat!$AG:$AG,CONCATENATE(61,Info!$D$5,"094061",L291),Adat!$E:$E)*-1</f>
        <v>0</v>
      </c>
      <c r="F328" s="72">
        <f>SUMIF(Adat!$AG:$AG,CONCATENATE(60,Info!$D$5,"094061",L291),Adat!$E:$E)*-1+E328</f>
        <v>0</v>
      </c>
      <c r="G328" s="72">
        <f>SUMIF(Adat!$AH:$AH,CONCATENATE(Info!$D$5,"(KÖT)","094061",L291),Adat!$E:$E)*-1</f>
        <v>0</v>
      </c>
      <c r="H328" s="72">
        <f>SUMIF(Adat!$AH:$AH,CONCATENATE(Info!$D$5,"(ÖNV)","094061",L291),Adat!$E:$E)*-1</f>
        <v>0</v>
      </c>
      <c r="I328" s="72">
        <f>SUMIF(Adat!$AH:$AH,CONCATENATE(Info!$D$5,"(ÁIG)","094061",L291),Adat!$E:$E)*-1</f>
        <v>0</v>
      </c>
    </row>
    <row r="329" spans="2:9" x14ac:dyDescent="0.2">
      <c r="B329" s="160">
        <v>36</v>
      </c>
      <c r="C329" s="305" t="s">
        <v>1363</v>
      </c>
      <c r="D329" s="82" t="s">
        <v>1364</v>
      </c>
      <c r="E329" s="72">
        <f>SUMIF(Adat!$AG:$AG,CONCATENATE(61,Info!$D$5,"094071",L291),Adat!$E:$E)*-1</f>
        <v>0</v>
      </c>
      <c r="F329" s="72">
        <f>SUMIF(Adat!$AG:$AG,CONCATENATE(60,Info!$D$5,"094071",L291),Adat!$E:$E)*-1+E329</f>
        <v>0</v>
      </c>
      <c r="G329" s="72">
        <f>SUMIF(Adat!$AH:$AH,CONCATENATE(Info!$D$5,"(KÖT)","094071",L291),Adat!$E:$E)*-1</f>
        <v>0</v>
      </c>
      <c r="H329" s="72">
        <f>SUMIF(Adat!$AH:$AH,CONCATENATE(Info!$D$5,"(ÖNV)","094071",L291),Adat!$E:$E)*-1</f>
        <v>0</v>
      </c>
      <c r="I329" s="72">
        <f>SUMIF(Adat!$AH:$AH,CONCATENATE(Info!$D$5,"(ÁIG)","094071",L291),Adat!$E:$E)*-1</f>
        <v>0</v>
      </c>
    </row>
    <row r="330" spans="2:9" x14ac:dyDescent="0.2">
      <c r="B330" s="160">
        <v>37</v>
      </c>
      <c r="C330" s="305" t="s">
        <v>1306</v>
      </c>
      <c r="D330" s="82" t="s">
        <v>1365</v>
      </c>
      <c r="E330" s="72">
        <f>SUMIF(Adat!$AG:$AG,CONCATENATE(61,Info!$D$5,"0940811",L291),Adat!$E:$E)*-1</f>
        <v>0</v>
      </c>
      <c r="F330" s="72">
        <f>SUMIF(Adat!$AG:$AG,CONCATENATE(60,Info!$D$5,"0940811",L291),Adat!$E:$E)*-1+E330</f>
        <v>0</v>
      </c>
      <c r="G330" s="72">
        <f>SUMIF(Adat!$AH:$AH,CONCATENATE(Info!$D$5,"(KÖT)","0940811",L291),Adat!$E:$E)*-1</f>
        <v>0</v>
      </c>
      <c r="H330" s="72">
        <f>SUMIF(Adat!$AH:$AH,CONCATENATE(Info!$D$5,"(ÖNV)","0940811",L291),Adat!$E:$E)*-1</f>
        <v>0</v>
      </c>
      <c r="I330" s="72">
        <f>SUMIF(Adat!$AH:$AH,CONCATENATE(Info!$D$5,"(ÁIG)","0940811",L291),Adat!$E:$E)*-1</f>
        <v>0</v>
      </c>
    </row>
    <row r="331" spans="2:9" x14ac:dyDescent="0.2">
      <c r="B331" s="160">
        <v>38</v>
      </c>
      <c r="C331" s="305" t="s">
        <v>1295</v>
      </c>
      <c r="D331" s="82" t="s">
        <v>1366</v>
      </c>
      <c r="E331" s="72">
        <f>SUMIF(Adat!$AG:$AG,CONCATENATE(61,Info!$D$5,"0940821",L291),Adat!$E:$E)*-1</f>
        <v>0</v>
      </c>
      <c r="F331" s="72">
        <f>SUMIF(Adat!$AG:$AG,CONCATENATE(60,Info!$D$5,"0940821",L291),Adat!$E:$E)*-1+E331</f>
        <v>0</v>
      </c>
      <c r="G331" s="72">
        <f>SUMIF(Adat!$AH:$AH,CONCATENATE(Info!$D$5,"(KÖT)","0940821",L291),Adat!$E:$E)*-1</f>
        <v>0</v>
      </c>
      <c r="H331" s="72">
        <f>SUMIF(Adat!$AH:$AH,CONCATENATE(Info!$D$5,"(ÖNV)","0940821",L291),Adat!$E:$E)*-1</f>
        <v>0</v>
      </c>
      <c r="I331" s="72">
        <f>SUMIF(Adat!$AH:$AH,CONCATENATE(Info!$D$5,"(ÁIG)","0940821",L291),Adat!$E:$E)*-1</f>
        <v>0</v>
      </c>
    </row>
    <row r="332" spans="2:9" x14ac:dyDescent="0.2">
      <c r="B332" s="160">
        <v>39</v>
      </c>
      <c r="C332" s="305" t="s">
        <v>1367</v>
      </c>
      <c r="D332" s="82" t="s">
        <v>1368</v>
      </c>
      <c r="E332" s="72">
        <f>SUMIF(Adat!$AG:$AG,CONCATENATE(61,Info!$D$5,"0940911",L291),Adat!$E:$E)*-1</f>
        <v>0</v>
      </c>
      <c r="F332" s="72">
        <f>SUMIF(Adat!$AG:$AG,CONCATENATE(60,Info!$D$5,"0940911",L291),Adat!$E:$E)*-1+E332</f>
        <v>0</v>
      </c>
      <c r="G332" s="72">
        <f>SUMIF(Adat!$AH:$AH,CONCATENATE(Info!$D$5,"(KÖT)","0940911",L291),Adat!$E:$E)*-1</f>
        <v>0</v>
      </c>
      <c r="H332" s="72">
        <f>SUMIF(Adat!$AH:$AH,CONCATENATE(Info!$D$5,"(ÖNV)","0940911",L291),Adat!$E:$E)*-1</f>
        <v>0</v>
      </c>
      <c r="I332" s="72">
        <f>SUMIF(Adat!$AH:$AH,CONCATENATE(Info!$D$5,"(ÁIG)","0940911",L291),Adat!$E:$E)*-1</f>
        <v>0</v>
      </c>
    </row>
    <row r="333" spans="2:9" x14ac:dyDescent="0.2">
      <c r="B333" s="160">
        <v>40</v>
      </c>
      <c r="C333" s="305" t="s">
        <v>1369</v>
      </c>
      <c r="D333" s="82" t="s">
        <v>1370</v>
      </c>
      <c r="E333" s="72">
        <f>SUMIF(Adat!$AG:$AG,CONCATENATE(61,Info!$D$5,"0940921",L291),Adat!$E:$E)*-1</f>
        <v>0</v>
      </c>
      <c r="F333" s="72">
        <f>SUMIF(Adat!$AG:$AG,CONCATENATE(60,Info!$D$5,"0940921",L291),Adat!$E:$E)*-1+E333</f>
        <v>0</v>
      </c>
      <c r="G333" s="72">
        <f>SUMIF(Adat!$AH:$AH,CONCATENATE(Info!$D$5,"(KÖT)","0940921",L291),Adat!$E:$E)*-1</f>
        <v>0</v>
      </c>
      <c r="H333" s="72">
        <f>SUMIF(Adat!$AH:$AH,CONCATENATE(Info!$D$5,"(ÖNV)","0940921",L291),Adat!$E:$E)*-1</f>
        <v>0</v>
      </c>
      <c r="I333" s="72">
        <f>SUMIF(Adat!$AH:$AH,CONCATENATE(Info!$D$5,"(ÁIG)","0940921",L291),Adat!$E:$E)*-1</f>
        <v>0</v>
      </c>
    </row>
    <row r="334" spans="2:9" x14ac:dyDescent="0.2">
      <c r="B334" s="160">
        <v>41</v>
      </c>
      <c r="C334" s="305" t="s">
        <v>1296</v>
      </c>
      <c r="D334" s="82" t="s">
        <v>1371</v>
      </c>
      <c r="E334" s="72">
        <f>SUMIF(Adat!$AG:$AG,CONCATENATE(61,Info!$D$5,"094101",L291),Adat!$E:$E)*-1</f>
        <v>0</v>
      </c>
      <c r="F334" s="72">
        <f>SUMIF(Adat!$AG:$AG,CONCATENATE(60,Info!$D$5,"094101",L291),Adat!$E:$E)*-1+E334</f>
        <v>0</v>
      </c>
      <c r="G334" s="72">
        <f>SUMIF(Adat!$AH:$AH,CONCATENATE(Info!$D$5,"(KÖT)","094101",L291),Adat!$E:$E)*-1</f>
        <v>0</v>
      </c>
      <c r="H334" s="72">
        <f>SUMIF(Adat!$AH:$AH,CONCATENATE(Info!$D$5,"(ÖNV)","094101",L291),Adat!$E:$E)*-1</f>
        <v>0</v>
      </c>
      <c r="I334" s="72">
        <f>SUMIF(Adat!$AH:$AH,CONCATENATE(Info!$D$5,"(ÁIG)","094101",L291),Adat!$E:$E)*-1</f>
        <v>0</v>
      </c>
    </row>
    <row r="335" spans="2:9" x14ac:dyDescent="0.25">
      <c r="B335" s="160">
        <v>42</v>
      </c>
      <c r="C335" s="305" t="s">
        <v>1297</v>
      </c>
      <c r="D335" s="84" t="s">
        <v>1372</v>
      </c>
      <c r="E335" s="72">
        <f>SUMIF(Adat!$AG:$AG,CONCATENATE(61,Info!$D$5,"094111",L291),Adat!$E:$E)*-1</f>
        <v>0</v>
      </c>
      <c r="F335" s="72">
        <f>SUMIF(Adat!$AG:$AG,CONCATENATE(60,Info!$D$5,"094111",L291),Adat!$E:$E)*-1+E335</f>
        <v>0</v>
      </c>
      <c r="G335" s="72">
        <f>SUMIF(Adat!$AH:$AH,CONCATENATE(Info!$D$5,"(KÖT)","094111",L291),Adat!$E:$E)*-1</f>
        <v>0</v>
      </c>
      <c r="H335" s="72">
        <f>SUMIF(Adat!$AH:$AH,CONCATENATE(Info!$D$5,"(ÖNV)","094111",L291),Adat!$E:$E)*-1</f>
        <v>0</v>
      </c>
      <c r="I335" s="72">
        <f>SUMIF(Adat!$AH:$AH,CONCATENATE(Info!$D$5,"(ÁIG)","094111",L291),Adat!$E:$E)*-1</f>
        <v>0</v>
      </c>
    </row>
    <row r="336" spans="2:9" x14ac:dyDescent="0.25">
      <c r="B336" s="160">
        <v>43</v>
      </c>
      <c r="C336" s="79" t="s">
        <v>33</v>
      </c>
      <c r="D336" s="79" t="s">
        <v>330</v>
      </c>
      <c r="E336" s="71">
        <f>SUM(E337:E341)</f>
        <v>0</v>
      </c>
      <c r="F336" s="71">
        <f>SUM(F337:F341)</f>
        <v>0</v>
      </c>
      <c r="G336" s="71">
        <f>SUM(G337:G341)</f>
        <v>0</v>
      </c>
      <c r="H336" s="71">
        <f>SUM(H337:H341)</f>
        <v>0</v>
      </c>
      <c r="I336" s="71">
        <f>SUM(I337:I341)</f>
        <v>0</v>
      </c>
    </row>
    <row r="337" spans="2:9" x14ac:dyDescent="0.2">
      <c r="B337" s="160">
        <v>44</v>
      </c>
      <c r="C337" s="305" t="s">
        <v>1373</v>
      </c>
      <c r="D337" s="82" t="s">
        <v>1374</v>
      </c>
      <c r="E337" s="72">
        <f>SUMIF(Adat!$AG:$AG,CONCATENATE(61,Info!$D$5,"09511",L291),Adat!$E:$E)*-1</f>
        <v>0</v>
      </c>
      <c r="F337" s="72">
        <f>SUMIF(Adat!$AG:$AG,CONCATENATE(60,Info!$D$5,"09511",L291),Adat!$E:$E)*-1+E337</f>
        <v>0</v>
      </c>
      <c r="G337" s="72">
        <f>SUMIF(Adat!$AH:$AH,CONCATENATE(Info!$D$5,"(KÖT)","09511",L291),Adat!$E:$E)*-1</f>
        <v>0</v>
      </c>
      <c r="H337" s="72">
        <f>SUMIF(Adat!$AH:$AH,CONCATENATE(Info!$D$5,"(ÖNV)","09511",L291),Adat!$E:$E)*-1</f>
        <v>0</v>
      </c>
      <c r="I337" s="72">
        <f>SUMIF(Adat!$AH:$AH,CONCATENATE(Info!$D$5,"(ÁIG)","09511",L291),Adat!$E:$E)*-1</f>
        <v>0</v>
      </c>
    </row>
    <row r="338" spans="2:9" x14ac:dyDescent="0.2">
      <c r="B338" s="160">
        <v>45</v>
      </c>
      <c r="C338" s="305" t="s">
        <v>1294</v>
      </c>
      <c r="D338" s="82" t="s">
        <v>1375</v>
      </c>
      <c r="E338" s="72">
        <f>SUMIF(Adat!$AG:$AG,CONCATENATE(61,Info!$D$5,"09521",L291),Adat!$E:$E)*-1</f>
        <v>0</v>
      </c>
      <c r="F338" s="72">
        <f>SUMIF(Adat!$AG:$AG,CONCATENATE(60,Info!$D$5,"09521",L291),Adat!$E:$E)*-1+E338</f>
        <v>0</v>
      </c>
      <c r="G338" s="72">
        <f>SUMIF(Adat!$AH:$AH,CONCATENATE(Info!$D$5,"(KÖT)","09521",L291),Adat!$E:$E)*-1</f>
        <v>0</v>
      </c>
      <c r="H338" s="72">
        <f>SUMIF(Adat!$AH:$AH,CONCATENATE(Info!$D$5,"(ÖNV)","09521",L291),Adat!$E:$E)*-1</f>
        <v>0</v>
      </c>
      <c r="I338" s="72">
        <f>SUMIF(Adat!$AH:$AH,CONCATENATE(Info!$D$5,"(ÁIG)","09521",L291),Adat!$E:$E)*-1</f>
        <v>0</v>
      </c>
    </row>
    <row r="339" spans="2:9" x14ac:dyDescent="0.2">
      <c r="B339" s="160">
        <v>46</v>
      </c>
      <c r="C339" s="305" t="s">
        <v>1376</v>
      </c>
      <c r="D339" s="82" t="s">
        <v>1377</v>
      </c>
      <c r="E339" s="72">
        <f>SUMIF(Adat!$AG:$AG,CONCATENATE(61,Info!$D$5,"09531",L291),Adat!$E:$E)*-1</f>
        <v>0</v>
      </c>
      <c r="F339" s="72">
        <f>SUMIF(Adat!$AG:$AG,CONCATENATE(60,Info!$D$5,"09531",L291),Adat!$E:$E)*-1+E339</f>
        <v>0</v>
      </c>
      <c r="G339" s="72">
        <f>SUMIF(Adat!$AH:$AH,CONCATENATE(Info!$D$5,"(KÖT)","09531",L291),Adat!$E:$E)*-1</f>
        <v>0</v>
      </c>
      <c r="H339" s="72">
        <f>SUMIF(Adat!$AH:$AH,CONCATENATE(Info!$D$5,"(ÖNV)","09531",L291),Adat!$E:$E)*-1</f>
        <v>0</v>
      </c>
      <c r="I339" s="72">
        <f>SUMIF(Adat!$AH:$AH,CONCATENATE(Info!$D$5,"(ÁIG)","09531",L291),Adat!$E:$E)*-1</f>
        <v>0</v>
      </c>
    </row>
    <row r="340" spans="2:9" x14ac:dyDescent="0.2">
      <c r="B340" s="160">
        <v>47</v>
      </c>
      <c r="C340" s="305" t="s">
        <v>1378</v>
      </c>
      <c r="D340" s="82" t="s">
        <v>1379</v>
      </c>
      <c r="E340" s="72">
        <f>SUMIF(Adat!$AG:$AG,CONCATENATE(61,Info!$D$5,"09541",L291),Adat!$E:$E)*-1</f>
        <v>0</v>
      </c>
      <c r="F340" s="72">
        <f>SUMIF(Adat!$AG:$AG,CONCATENATE(60,Info!$D$5,"09541",L291),Adat!$E:$E)*-1+E340</f>
        <v>0</v>
      </c>
      <c r="G340" s="72">
        <f>SUMIF(Adat!$AH:$AH,CONCATENATE(Info!$D$5,"(KÖT)","09541",L291),Adat!$E:$E)*-1</f>
        <v>0</v>
      </c>
      <c r="H340" s="72">
        <f>SUMIF(Adat!$AH:$AH,CONCATENATE(Info!$D$5,"(ÖNV)","09541",L291),Adat!$E:$E)*-1</f>
        <v>0</v>
      </c>
      <c r="I340" s="72">
        <f>SUMIF(Adat!$AH:$AH,CONCATENATE(Info!$D$5,"(ÁIG)","09541",L291),Adat!$E:$E)*-1</f>
        <v>0</v>
      </c>
    </row>
    <row r="341" spans="2:9" x14ac:dyDescent="0.25">
      <c r="B341" s="160">
        <v>48</v>
      </c>
      <c r="C341" s="305" t="s">
        <v>1380</v>
      </c>
      <c r="D341" s="84" t="s">
        <v>1381</v>
      </c>
      <c r="E341" s="72">
        <f>SUMIF(Adat!$AG:$AG,CONCATENATE(61,Info!$D$5,"09551",L291),Adat!$E:$E)*-1</f>
        <v>0</v>
      </c>
      <c r="F341" s="72">
        <f>SUMIF(Adat!$AG:$AG,CONCATENATE(60,Info!$D$5,"09551",L291),Adat!$E:$E)*-1+E341</f>
        <v>0</v>
      </c>
      <c r="G341" s="72">
        <f>SUMIF(Adat!$AH:$AH,CONCATENATE(Info!$D$5,"(KÖT)","09551",L291),Adat!$E:$E)*-1</f>
        <v>0</v>
      </c>
      <c r="H341" s="72">
        <f>SUMIF(Adat!$AH:$AH,CONCATENATE(Info!$D$5,"(ÖNV)","09551",L291),Adat!$E:$E)*-1</f>
        <v>0</v>
      </c>
      <c r="I341" s="72">
        <f>SUMIF(Adat!$AH:$AH,CONCATENATE(Info!$D$5,"(ÁIG)","09551",L291),Adat!$E:$E)*-1</f>
        <v>0</v>
      </c>
    </row>
    <row r="342" spans="2:9" x14ac:dyDescent="0.25">
      <c r="B342" s="160">
        <v>49</v>
      </c>
      <c r="C342" s="79" t="s">
        <v>36</v>
      </c>
      <c r="D342" s="79" t="s">
        <v>331</v>
      </c>
      <c r="E342" s="71">
        <f>SUM(E343:E347)</f>
        <v>0</v>
      </c>
      <c r="F342" s="71">
        <f t="shared" ref="F342:I342" si="36">SUM(F343:F347)</f>
        <v>0</v>
      </c>
      <c r="G342" s="71">
        <f t="shared" si="36"/>
        <v>0</v>
      </c>
      <c r="H342" s="71">
        <f t="shared" si="36"/>
        <v>0</v>
      </c>
      <c r="I342" s="71">
        <f t="shared" si="36"/>
        <v>0</v>
      </c>
    </row>
    <row r="343" spans="2:9" x14ac:dyDescent="0.2">
      <c r="B343" s="160">
        <v>50</v>
      </c>
      <c r="C343" s="305" t="s">
        <v>1382</v>
      </c>
      <c r="D343" s="82" t="s">
        <v>1383</v>
      </c>
      <c r="E343" s="72">
        <f>SUMIF(Adat!$AG:$AG,CONCATENATE(61,Info!$D$5,"09611",L291),Adat!$E:$E)*-1</f>
        <v>0</v>
      </c>
      <c r="F343" s="72">
        <f>SUMIF(Adat!$AG:$AG,CONCATENATE(60,Info!$D$5,"09611",L291),Adat!$E:$E)*-1+E343</f>
        <v>0</v>
      </c>
      <c r="G343" s="72">
        <f>SUMIF(Adat!$AH:$AH,CONCATENATE(Info!$D$5,"(KÖT)","09611",L291),Adat!$E:$E)*-1</f>
        <v>0</v>
      </c>
      <c r="H343" s="72">
        <f>SUMIF(Adat!$AH:$AH,CONCATENATE(Info!$D$5,"(ÖNV)","09611",L291),Adat!$E:$E)*-1</f>
        <v>0</v>
      </c>
      <c r="I343" s="72">
        <f>SUMIF(Adat!$AH:$AH,CONCATENATE(Info!$D$5,"(ÁIG)","09611",L291),Adat!$E:$E)*-1</f>
        <v>0</v>
      </c>
    </row>
    <row r="344" spans="2:9" x14ac:dyDescent="0.2">
      <c r="B344" s="160">
        <v>51</v>
      </c>
      <c r="C344" s="305" t="s">
        <v>1384</v>
      </c>
      <c r="D344" s="82" t="s">
        <v>1385</v>
      </c>
      <c r="E344" s="72">
        <f>SUMIF(Adat!$AG:$AG,CONCATENATE(61,Info!$D$5,"09621",L291),Adat!$E:$E)*-1</f>
        <v>0</v>
      </c>
      <c r="F344" s="72">
        <f>SUMIF(Adat!$AG:$AG,CONCATENATE(60,Info!$D$5,"09621",L291),Adat!$E:$E)*-1+E344</f>
        <v>0</v>
      </c>
      <c r="G344" s="72">
        <f>SUMIF(Adat!$AH:$AH,CONCATENATE(Info!$D$5,"(KÖT)","09621",L291),Adat!$E:$E)*-1</f>
        <v>0</v>
      </c>
      <c r="H344" s="72">
        <f>SUMIF(Adat!$AH:$AH,CONCATENATE(Info!$D$5,"(ÖNV)","09621",L291),Adat!$E:$E)*-1</f>
        <v>0</v>
      </c>
      <c r="I344" s="72">
        <f>SUMIF(Adat!$AH:$AH,CONCATENATE(Info!$D$5,"(ÁIG)","09621",L291),Adat!$E:$E)*-1</f>
        <v>0</v>
      </c>
    </row>
    <row r="345" spans="2:9" x14ac:dyDescent="0.2">
      <c r="B345" s="160">
        <v>52</v>
      </c>
      <c r="C345" s="305" t="s">
        <v>1386</v>
      </c>
      <c r="D345" s="82" t="s">
        <v>1387</v>
      </c>
      <c r="E345" s="72">
        <f>SUMIF(Adat!$AG:$AG,CONCATENATE(61,Info!$D$5,"09631",L291),Adat!$E:$E)*-1</f>
        <v>0</v>
      </c>
      <c r="F345" s="72">
        <f>SUMIF(Adat!$AG:$AG,CONCATENATE(60,Info!$D$5,"09631",L291),Adat!$E:$E)*-1+E345</f>
        <v>0</v>
      </c>
      <c r="G345" s="72">
        <f>SUMIF(Adat!$AH:$AH,CONCATENATE(Info!$D$5,"(KÖT)","09631",L291),Adat!$E:$E)*-1</f>
        <v>0</v>
      </c>
      <c r="H345" s="72">
        <f>SUMIF(Adat!$AH:$AH,CONCATENATE(Info!$D$5,"(ÖNV)","09631",L291),Adat!$E:$E)*-1</f>
        <v>0</v>
      </c>
      <c r="I345" s="72">
        <f>SUMIF(Adat!$AH:$AH,CONCATENATE(Info!$D$5,"(ÁIG)","09631",L291),Adat!$E:$E)*-1</f>
        <v>0</v>
      </c>
    </row>
    <row r="346" spans="2:9" x14ac:dyDescent="0.2">
      <c r="B346" s="160">
        <v>53</v>
      </c>
      <c r="C346" s="305" t="s">
        <v>1388</v>
      </c>
      <c r="D346" s="82" t="s">
        <v>1389</v>
      </c>
      <c r="E346" s="72">
        <f>SUMIF(Adat!$AG:$AG,CONCATENATE(61,Info!$D$5,"09641",L291),Adat!$E:$E)*-1</f>
        <v>0</v>
      </c>
      <c r="F346" s="72">
        <f>SUMIF(Adat!$AG:$AG,CONCATENATE(60,Info!$D$5,"09641",L291),Adat!$E:$E)*-1+E346</f>
        <v>0</v>
      </c>
      <c r="G346" s="72">
        <f>SUMIF(Adat!$AH:$AH,CONCATENATE(Info!$D$5,"(KÖT)","09641",L291),Adat!$E:$E)*-1</f>
        <v>0</v>
      </c>
      <c r="H346" s="72">
        <f>SUMIF(Adat!$AH:$AH,CONCATENATE(Info!$D$5,"(ÖNV)","09641",L291),Adat!$E:$E)*-1</f>
        <v>0</v>
      </c>
      <c r="I346" s="72">
        <f>SUMIF(Adat!$AH:$AH,CONCATENATE(Info!$D$5,"(ÁIG)","09641",L291),Adat!$E:$E)*-1</f>
        <v>0</v>
      </c>
    </row>
    <row r="347" spans="2:9" x14ac:dyDescent="0.2">
      <c r="B347" s="160">
        <v>54</v>
      </c>
      <c r="C347" s="305" t="s">
        <v>1310</v>
      </c>
      <c r="D347" s="82" t="s">
        <v>1390</v>
      </c>
      <c r="E347" s="72">
        <f>SUMIF(Adat!$AG:$AG,CONCATENATE(61,Info!$D$5,"09651",L291),Adat!$E:$E)*-1</f>
        <v>0</v>
      </c>
      <c r="F347" s="72">
        <f>SUMIF(Adat!$AG:$AG,CONCATENATE(60,Info!$D$5,"09651",L291),Adat!$E:$E)*-1+E347</f>
        <v>0</v>
      </c>
      <c r="G347" s="72">
        <f>SUMIF(Adat!$AH:$AH,CONCATENATE(Info!$D$5,"(KÖT)","09651",L291),Adat!$E:$E)*-1</f>
        <v>0</v>
      </c>
      <c r="H347" s="72">
        <f>SUMIF(Adat!$AH:$AH,CONCATENATE(Info!$D$5,"(ÖNV)","09651",L291),Adat!$E:$E)*-1</f>
        <v>0</v>
      </c>
      <c r="I347" s="72">
        <f>SUMIF(Adat!$AH:$AH,CONCATENATE(Info!$D$5,"(ÁIG)","09651",L291),Adat!$E:$E)*-1</f>
        <v>0</v>
      </c>
    </row>
    <row r="348" spans="2:9" x14ac:dyDescent="0.25">
      <c r="B348" s="160">
        <v>55</v>
      </c>
      <c r="C348" s="79" t="s">
        <v>38</v>
      </c>
      <c r="D348" s="85" t="s">
        <v>332</v>
      </c>
      <c r="E348" s="71">
        <f>SUM(E349:E353)</f>
        <v>0</v>
      </c>
      <c r="F348" s="71">
        <f t="shared" ref="F348:I348" si="37">SUM(F349:F353)</f>
        <v>0</v>
      </c>
      <c r="G348" s="71">
        <f t="shared" si="37"/>
        <v>0</v>
      </c>
      <c r="H348" s="71">
        <f t="shared" si="37"/>
        <v>0</v>
      </c>
      <c r="I348" s="71">
        <f t="shared" si="37"/>
        <v>0</v>
      </c>
    </row>
    <row r="349" spans="2:9" x14ac:dyDescent="0.2">
      <c r="B349" s="160">
        <v>56</v>
      </c>
      <c r="C349" s="305" t="s">
        <v>1391</v>
      </c>
      <c r="D349" s="82" t="s">
        <v>1392</v>
      </c>
      <c r="E349" s="72">
        <f>SUMIF(Adat!$AG:$AG,CONCATENATE(61,Info!$D$5,"09711",L291),Adat!$E:$E)*-1</f>
        <v>0</v>
      </c>
      <c r="F349" s="72">
        <f>SUMIF(Adat!$AG:$AG,CONCATENATE(60,Info!$D$5,"09711",L291),Adat!$E:$E)*-1+E349</f>
        <v>0</v>
      </c>
      <c r="G349" s="72">
        <f>SUMIF(Adat!$AH:$AH,CONCATENATE(Info!$D$5,"(KÖT)","09711",L291),Adat!$E:$E)*-1</f>
        <v>0</v>
      </c>
      <c r="H349" s="72">
        <f>SUMIF(Adat!$AH:$AH,CONCATENATE(Info!$D$5,"(ÖNV)","09711",L291),Adat!$E:$E)*-1</f>
        <v>0</v>
      </c>
      <c r="I349" s="72">
        <f>SUMIF(Adat!$AH:$AH,CONCATENATE(Info!$D$5,"(ÁIG)","09711",L291),Adat!$E:$E)*-1</f>
        <v>0</v>
      </c>
    </row>
    <row r="350" spans="2:9" x14ac:dyDescent="0.2">
      <c r="B350" s="160">
        <v>57</v>
      </c>
      <c r="C350" s="305" t="s">
        <v>1393</v>
      </c>
      <c r="D350" s="82" t="s">
        <v>1394</v>
      </c>
      <c r="E350" s="72">
        <f>SUMIF(Adat!$AG:$AG,CONCATENATE(61,Info!$D$5,"09721",L291),Adat!$E:$E)*-1</f>
        <v>0</v>
      </c>
      <c r="F350" s="72">
        <f>SUMIF(Adat!$AG:$AG,CONCATENATE(60,Info!$D$5,"09721",L291),Adat!$E:$E)*-1+E350</f>
        <v>0</v>
      </c>
      <c r="G350" s="72">
        <f>SUMIF(Adat!$AH:$AH,CONCATENATE(Info!$D$5,"(KÖT)","09721",L291),Adat!$E:$E)*-1</f>
        <v>0</v>
      </c>
      <c r="H350" s="72">
        <f>SUMIF(Adat!$AH:$AH,CONCATENATE(Info!$D$5,"(ÖNV)","09721",L291),Adat!$E:$E)*-1</f>
        <v>0</v>
      </c>
      <c r="I350" s="72">
        <f>SUMIF(Adat!$AH:$AH,CONCATENATE(Info!$D$5,"(ÁIG)","09721",L291),Adat!$E:$E)*-1</f>
        <v>0</v>
      </c>
    </row>
    <row r="351" spans="2:9" x14ac:dyDescent="0.2">
      <c r="B351" s="160">
        <v>58</v>
      </c>
      <c r="C351" s="305" t="s">
        <v>1395</v>
      </c>
      <c r="D351" s="82" t="s">
        <v>1396</v>
      </c>
      <c r="E351" s="72">
        <f>SUMIF(Adat!$AG:$AG,CONCATENATE(61,Info!$D$5,"09731",L291),Adat!$E:$E)*-1</f>
        <v>0</v>
      </c>
      <c r="F351" s="72">
        <f>SUMIF(Adat!$AG:$AG,CONCATENATE(60,Info!$D$5,"09731",L291),Adat!$E:$E)*-1+E351</f>
        <v>0</v>
      </c>
      <c r="G351" s="72">
        <f>SUMIF(Adat!$AH:$AH,CONCATENATE(Info!$D$5,"(KÖT)","09731",L291),Adat!$E:$E)*-1</f>
        <v>0</v>
      </c>
      <c r="H351" s="72">
        <f>SUMIF(Adat!$AH:$AH,CONCATENATE(Info!$D$5,"(ÖNV)","09731",L291),Adat!$E:$E)*-1</f>
        <v>0</v>
      </c>
      <c r="I351" s="72">
        <f>SUMIF(Adat!$AH:$AH,CONCATENATE(Info!$D$5,"(ÁIG)","09731",L291),Adat!$E:$E)*-1</f>
        <v>0</v>
      </c>
    </row>
    <row r="352" spans="2:9" x14ac:dyDescent="0.2">
      <c r="B352" s="160">
        <v>59</v>
      </c>
      <c r="C352" s="305" t="s">
        <v>1397</v>
      </c>
      <c r="D352" s="82" t="s">
        <v>1398</v>
      </c>
      <c r="E352" s="72">
        <f>SUMIF(Adat!$AG:$AG,CONCATENATE(61,Info!$D$5,"09741",L291),Adat!$E:$E)*-1</f>
        <v>0</v>
      </c>
      <c r="F352" s="72">
        <f>SUMIF(Adat!$AG:$AG,CONCATENATE(60,Info!$D$5,"09741",L291),Adat!$E:$E)*-1+E352</f>
        <v>0</v>
      </c>
      <c r="G352" s="72">
        <f>SUMIF(Adat!$AH:$AH,CONCATENATE(Info!$D$5,"(KÖT)","09741",L291),Adat!$E:$E)*-1</f>
        <v>0</v>
      </c>
      <c r="H352" s="72">
        <f>SUMIF(Adat!$AH:$AH,CONCATENATE(Info!$D$5,"(ÖNV)","09741",L291),Adat!$E:$E)*-1</f>
        <v>0</v>
      </c>
      <c r="I352" s="72">
        <f>SUMIF(Adat!$AH:$AH,CONCATENATE(Info!$D$5,"(ÁIG)","09741",L291),Adat!$E:$E)*-1</f>
        <v>0</v>
      </c>
    </row>
    <row r="353" spans="2:9" x14ac:dyDescent="0.25">
      <c r="B353" s="160">
        <v>60</v>
      </c>
      <c r="C353" s="305" t="s">
        <v>1399</v>
      </c>
      <c r="D353" s="84" t="s">
        <v>1400</v>
      </c>
      <c r="E353" s="72">
        <f>SUMIF(Adat!$AG:$AG,CONCATENATE(61,Info!$D$5,"09751",L291),Adat!$E:$E)*-1</f>
        <v>0</v>
      </c>
      <c r="F353" s="72">
        <f>SUMIF(Adat!$AG:$AG,CONCATENATE(60,Info!$D$5,"09751",L291),Adat!$E:$E)*-1+E353</f>
        <v>0</v>
      </c>
      <c r="G353" s="72">
        <f>SUMIF(Adat!$AH:$AH,CONCATENATE(Info!$D$5,"(KÖT)","09751",L291),Adat!$E:$E)*-1</f>
        <v>0</v>
      </c>
      <c r="H353" s="72">
        <f>SUMIF(Adat!$AH:$AH,CONCATENATE(Info!$D$5,"(ÖNV)","09751",L291),Adat!$E:$E)*-1</f>
        <v>0</v>
      </c>
      <c r="I353" s="72">
        <f>SUMIF(Adat!$AH:$AH,CONCATENATE(Info!$D$5,"(ÁIG)","09751",L291),Adat!$E:$E)*-1</f>
        <v>0</v>
      </c>
    </row>
    <row r="354" spans="2:9" x14ac:dyDescent="0.25">
      <c r="B354" s="160">
        <v>61</v>
      </c>
      <c r="C354" s="78" t="s">
        <v>352</v>
      </c>
      <c r="D354" s="86" t="s">
        <v>1401</v>
      </c>
      <c r="E354" s="71">
        <f>+E295+E303+E309+E315+E322+E336+E342+E348</f>
        <v>0</v>
      </c>
      <c r="F354" s="71">
        <f>+F295+F303+F309+F315+F322+F336+F342+F348</f>
        <v>0</v>
      </c>
      <c r="G354" s="71">
        <f>+G295+G303+G309+G315+G322+G336+G342+G348</f>
        <v>0</v>
      </c>
      <c r="H354" s="71">
        <f>+H295+H303+H309+H315+H322+H336+H342+H348</f>
        <v>0</v>
      </c>
      <c r="I354" s="71">
        <f>+I295+I303+I309+I315+I322+I336+I342+I348</f>
        <v>0</v>
      </c>
    </row>
    <row r="355" spans="2:9" x14ac:dyDescent="0.25">
      <c r="B355" s="160">
        <v>62</v>
      </c>
      <c r="C355" s="154" t="s">
        <v>1402</v>
      </c>
      <c r="D355" s="85" t="s">
        <v>1403</v>
      </c>
      <c r="E355" s="71">
        <f t="shared" ref="E355:G355" si="38">SUM(E356:E358)</f>
        <v>0</v>
      </c>
      <c r="F355" s="71">
        <f t="shared" si="38"/>
        <v>0</v>
      </c>
      <c r="G355" s="71">
        <f t="shared" si="38"/>
        <v>0</v>
      </c>
      <c r="H355" s="71">
        <f>SUM(H356:H358)</f>
        <v>0</v>
      </c>
      <c r="I355" s="71">
        <f>SUM(I356:I358)</f>
        <v>0</v>
      </c>
    </row>
    <row r="356" spans="2:9" x14ac:dyDescent="0.2">
      <c r="B356" s="160">
        <v>63</v>
      </c>
      <c r="C356" s="305" t="s">
        <v>1404</v>
      </c>
      <c r="D356" s="82" t="s">
        <v>1405</v>
      </c>
      <c r="E356" s="72">
        <f>SUMIF(Adat!$AG:$AG,CONCATENATE(61,Info!$D$5,"0981111",L291),Adat!$E:$E)*-1</f>
        <v>0</v>
      </c>
      <c r="F356" s="72">
        <f>SUMIF(Adat!$AG:$AG,CONCATENATE(60,Info!$D$5,"0981111",L291),Adat!$E:$E)*-1+E356</f>
        <v>0</v>
      </c>
      <c r="G356" s="72">
        <f>SUMIF(Adat!$AH:$AH,CONCATENATE(Info!$D$5,"(KÖT)","0981111",L291),Adat!$E:$E)*-1</f>
        <v>0</v>
      </c>
      <c r="H356" s="72">
        <f>SUMIF(Adat!$AH:$AH,CONCATENATE(Info!$D$5,"(ÖNV)","0981111",L291),Adat!$E:$E)*-1</f>
        <v>0</v>
      </c>
      <c r="I356" s="72">
        <f>SUMIF(Adat!$AH:$AH,CONCATENATE(Info!$D$5,"(ÁIG)","0981111",L291),Adat!$E:$E)*-1</f>
        <v>0</v>
      </c>
    </row>
    <row r="357" spans="2:9" x14ac:dyDescent="0.2">
      <c r="B357" s="160">
        <v>64</v>
      </c>
      <c r="C357" s="305" t="s">
        <v>1406</v>
      </c>
      <c r="D357" s="82" t="s">
        <v>1407</v>
      </c>
      <c r="E357" s="72">
        <f>SUMIF(Adat!$AG:$AG,CONCATENATE(61,Info!$D$5,"0981121",L291),Adat!$E:$E)*-1</f>
        <v>0</v>
      </c>
      <c r="F357" s="72">
        <f>SUMIF(Adat!$AG:$AG,CONCATENATE(60,Info!$D$5,"0981121",L291),Adat!$E:$E)*-1+E357</f>
        <v>0</v>
      </c>
      <c r="G357" s="72">
        <f>SUMIF(Adat!$AH:$AH,CONCATENATE(Info!$D$5,"(KÖT)","0981121",L291),Adat!$E:$E)*-1</f>
        <v>0</v>
      </c>
      <c r="H357" s="72">
        <f>SUMIF(Adat!$AH:$AH,CONCATENATE(Info!$D$5,"(ÖNV)","0981121",L291),Adat!$E:$E)*-1</f>
        <v>0</v>
      </c>
      <c r="I357" s="72">
        <f>SUMIF(Adat!$AH:$AH,CONCATENATE(Info!$D$5,"(ÁIG)","0981121",L291),Adat!$E:$E)*-1</f>
        <v>0</v>
      </c>
    </row>
    <row r="358" spans="2:9" x14ac:dyDescent="0.2">
      <c r="B358" s="160">
        <v>65</v>
      </c>
      <c r="C358" s="305" t="s">
        <v>1408</v>
      </c>
      <c r="D358" s="82" t="s">
        <v>1409</v>
      </c>
      <c r="E358" s="72">
        <f>SUMIF(Adat!$AG:$AG,CONCATENATE(61,Info!$D$5,"0981131",L291),Adat!$E:$E)*-1</f>
        <v>0</v>
      </c>
      <c r="F358" s="72">
        <f>SUMIF(Adat!$AG:$AG,CONCATENATE(60,Info!$D$5,"0981131",L291),Adat!$E:$E)*-1+E358</f>
        <v>0</v>
      </c>
      <c r="G358" s="72">
        <f>SUMIF(Adat!$AH:$AH,CONCATENATE(Info!$D$5,"(KÖT)","0981131",L291),Adat!$E:$E)*-1</f>
        <v>0</v>
      </c>
      <c r="H358" s="72">
        <f>SUMIF(Adat!$AH:$AH,CONCATENATE(Info!$D$5,"(ÖNV)","0981131",L291),Adat!$E:$E)*-1</f>
        <v>0</v>
      </c>
      <c r="I358" s="72">
        <f>SUMIF(Adat!$AH:$AH,CONCATENATE(Info!$D$5,"(ÁIG)","0981131",L291),Adat!$E:$E)*-1</f>
        <v>0</v>
      </c>
    </row>
    <row r="359" spans="2:9" x14ac:dyDescent="0.25">
      <c r="B359" s="160">
        <v>66</v>
      </c>
      <c r="C359" s="154" t="s">
        <v>1410</v>
      </c>
      <c r="D359" s="85" t="s">
        <v>574</v>
      </c>
      <c r="E359" s="71">
        <f>SUM(E360:E363)</f>
        <v>0</v>
      </c>
      <c r="F359" s="71">
        <f t="shared" ref="F359" si="39">SUM(F360:F363)</f>
        <v>0</v>
      </c>
      <c r="G359" s="71">
        <f>SUM(G360:G363)</f>
        <v>0</v>
      </c>
      <c r="H359" s="71">
        <f>SUM(H360:H363)</f>
        <v>0</v>
      </c>
      <c r="I359" s="71">
        <f>SUM(I360:I363)</f>
        <v>0</v>
      </c>
    </row>
    <row r="360" spans="2:9" x14ac:dyDescent="0.2">
      <c r="B360" s="160">
        <v>67</v>
      </c>
      <c r="C360" s="305" t="s">
        <v>1411</v>
      </c>
      <c r="D360" s="82" t="s">
        <v>1412</v>
      </c>
      <c r="E360" s="72">
        <f>SUMIF(Adat!$AG:$AG,CONCATENATE(61,Info!$D$5,"0981211",L291),Adat!$E:$E)*-1</f>
        <v>0</v>
      </c>
      <c r="F360" s="72">
        <f>SUMIF(Adat!$AG:$AG,CONCATENATE(60,Info!$D$5,"0981211",L291),Adat!$E:$E)*-1+E360</f>
        <v>0</v>
      </c>
      <c r="G360" s="72">
        <f>SUMIF(Adat!$AH:$AH,CONCATENATE(Info!$D$5,"(KÖT)","0981211",L291),Adat!$E:$E)*-1</f>
        <v>0</v>
      </c>
      <c r="H360" s="72">
        <f>SUMIF(Adat!$AH:$AH,CONCATENATE(Info!$D$5,"(ÖNV)","0981211",L291),Adat!$E:$E)*-1</f>
        <v>0</v>
      </c>
      <c r="I360" s="72">
        <f>SUMIF(Adat!$AH:$AH,CONCATENATE(Info!$D$5,"(ÁIG)","0981211",L291),Adat!$E:$E)*-1</f>
        <v>0</v>
      </c>
    </row>
    <row r="361" spans="2:9" x14ac:dyDescent="0.2">
      <c r="B361" s="160">
        <v>68</v>
      </c>
      <c r="C361" s="305" t="s">
        <v>1413</v>
      </c>
      <c r="D361" s="82" t="s">
        <v>1414</v>
      </c>
      <c r="E361" s="72">
        <f>SUMIF(Adat!$AG:$AG,CONCATENATE(61,Info!$D$5,"0981221",L291),Adat!$E:$E)*-1</f>
        <v>0</v>
      </c>
      <c r="F361" s="72">
        <f>SUMIF(Adat!$AG:$AG,CONCATENATE(60,Info!$D$5,"0981221",L291),Adat!$E:$E)*-1+E361</f>
        <v>0</v>
      </c>
      <c r="G361" s="72">
        <f>SUMIF(Adat!$AH:$AH,CONCATENATE(Info!$D$5,"(KÖT)","0981221",L291),Adat!$E:$E)*-1</f>
        <v>0</v>
      </c>
      <c r="H361" s="72">
        <f>SUMIF(Adat!$AH:$AH,CONCATENATE(Info!$D$5,"(ÖNV)","0981221",L291),Adat!$E:$E)*-1</f>
        <v>0</v>
      </c>
      <c r="I361" s="72">
        <f>SUMIF(Adat!$AH:$AH,CONCATENATE(Info!$D$5,"(ÁIG)","0981221",L291),Adat!$E:$E)*-1</f>
        <v>0</v>
      </c>
    </row>
    <row r="362" spans="2:9" x14ac:dyDescent="0.2">
      <c r="B362" s="160">
        <v>69</v>
      </c>
      <c r="C362" s="305" t="s">
        <v>1313</v>
      </c>
      <c r="D362" s="82" t="s">
        <v>1415</v>
      </c>
      <c r="E362" s="72">
        <f>SUMIF(Adat!$AG:$AG,CONCATENATE(61,Info!$D$5,"0981231",L291),Adat!$E:$E)*-1</f>
        <v>0</v>
      </c>
      <c r="F362" s="72">
        <f>SUMIF(Adat!$AG:$AG,CONCATENATE(60,Info!$D$5,"0981231",L291),Adat!$E:$E)*-1+E362</f>
        <v>0</v>
      </c>
      <c r="G362" s="72">
        <f>SUMIF(Adat!$AH:$AH,CONCATENATE(Info!$D$5,"(KÖT)","0981231",L291),Adat!$E:$E)*-1</f>
        <v>0</v>
      </c>
      <c r="H362" s="72">
        <f>SUMIF(Adat!$AH:$AH,CONCATENATE(Info!$D$5,"(ÖNV)","0981231",L291),Adat!$E:$E)*-1</f>
        <v>0</v>
      </c>
      <c r="I362" s="72">
        <f>SUMIF(Adat!$AH:$AH,CONCATENATE(Info!$D$5,"(ÁIG)","0981231",L291),Adat!$E:$E)*-1</f>
        <v>0</v>
      </c>
    </row>
    <row r="363" spans="2:9" x14ac:dyDescent="0.25">
      <c r="B363" s="160">
        <v>70</v>
      </c>
      <c r="C363" s="305" t="s">
        <v>1416</v>
      </c>
      <c r="D363" s="84" t="s">
        <v>1417</v>
      </c>
      <c r="E363" s="72">
        <f>SUMIF(Adat!$AG:$AG,CONCATENATE(61,Info!$D$5,"0981241",L291),Adat!$E:$E)*-1</f>
        <v>0</v>
      </c>
      <c r="F363" s="72">
        <f>SUMIF(Adat!$AG:$AG,CONCATENATE(60,Info!$D$5,"0981241",L291),Adat!$E:$E)*-1+E363</f>
        <v>0</v>
      </c>
      <c r="G363" s="72">
        <f>SUMIF(Adat!$AH:$AH,CONCATENATE(Info!$D$5,"(KÖT)","0981241",L291),Adat!$E:$E)*-1</f>
        <v>0</v>
      </c>
      <c r="H363" s="72">
        <f>SUMIF(Adat!$AH:$AH,CONCATENATE(Info!$D$5,"(ÖNV)","0981241",L291),Adat!$E:$E)*-1</f>
        <v>0</v>
      </c>
      <c r="I363" s="72">
        <f>SUMIF(Adat!$AH:$AH,CONCATENATE(Info!$D$5,"(ÁIG)","0981241",L291),Adat!$E:$E)*-1</f>
        <v>0</v>
      </c>
    </row>
    <row r="364" spans="2:9" x14ac:dyDescent="0.25">
      <c r="B364" s="160">
        <v>71</v>
      </c>
      <c r="C364" s="154" t="s">
        <v>1418</v>
      </c>
      <c r="D364" s="85" t="s">
        <v>575</v>
      </c>
      <c r="E364" s="71">
        <f>SUM(E365:E366)</f>
        <v>0</v>
      </c>
      <c r="F364" s="71">
        <f t="shared" ref="F364" si="40">SUM(F365:F366)</f>
        <v>0</v>
      </c>
      <c r="G364" s="71">
        <f>SUM(G365:G366)</f>
        <v>0</v>
      </c>
      <c r="H364" s="71">
        <f>SUM(H365:H366)</f>
        <v>0</v>
      </c>
      <c r="I364" s="71">
        <f>SUM(I365:I366)</f>
        <v>0</v>
      </c>
    </row>
    <row r="365" spans="2:9" x14ac:dyDescent="0.2">
      <c r="B365" s="160">
        <v>72</v>
      </c>
      <c r="C365" s="305" t="s">
        <v>1274</v>
      </c>
      <c r="D365" s="82" t="s">
        <v>1419</v>
      </c>
      <c r="E365" s="72">
        <f>SUMIF(Adat!$AG:$AG,CONCATENATE(61,Info!$D$5,"0981311",L291),Adat!$E:$E)*-1</f>
        <v>0</v>
      </c>
      <c r="F365" s="72">
        <f>SUMIF(Adat!$AG:$AG,CONCATENATE(60,Info!$D$5,"0981311",L291),Adat!$E:$E)*-1+E365</f>
        <v>0</v>
      </c>
      <c r="G365" s="72">
        <f>SUMIF(Adat!$AH:$AH,CONCATENATE(Info!$D$5,"(KÖT)","0981311",L291),Adat!$E:$E)*-1</f>
        <v>0</v>
      </c>
      <c r="H365" s="72">
        <f>SUMIF(Adat!$AH:$AH,CONCATENATE(Info!$D$5,"(ÖNV)","0981311",L291),Adat!$E:$E)*-1</f>
        <v>0</v>
      </c>
      <c r="I365" s="72">
        <f>SUMIF(Adat!$AH:$AH,CONCATENATE(Info!$D$5,"(ÁIG)","0981311",L291),Adat!$E:$E)*-1</f>
        <v>0</v>
      </c>
    </row>
    <row r="366" spans="2:9" x14ac:dyDescent="0.25">
      <c r="B366" s="160">
        <v>73</v>
      </c>
      <c r="C366" s="305" t="s">
        <v>1420</v>
      </c>
      <c r="D366" s="84" t="s">
        <v>1421</v>
      </c>
      <c r="E366" s="72">
        <f>SUMIF(Adat!$AG:$AG,CONCATENATE(61,Info!$D$5,"0981321",L291),Adat!$E:$E)*-1</f>
        <v>0</v>
      </c>
      <c r="F366" s="72">
        <f>SUMIF(Adat!$AG:$AG,CONCATENATE(60,Info!$D$5,"0981321",L291),Adat!$E:$E)*-1+E366</f>
        <v>0</v>
      </c>
      <c r="G366" s="72">
        <f>SUMIF(Adat!$AH:$AH,CONCATENATE(Info!$D$5,"(KÖT)","0981321",L291),Adat!$E:$E)*-1</f>
        <v>0</v>
      </c>
      <c r="H366" s="72">
        <f>SUMIF(Adat!$AH:$AH,CONCATENATE(Info!$D$5,"(ÖNV)","0981321",L291),Adat!$E:$E)*-1</f>
        <v>0</v>
      </c>
      <c r="I366" s="72">
        <f>SUMIF(Adat!$AH:$AH,CONCATENATE(Info!$D$5,"(ÁIG)","0981321",L291),Adat!$E:$E)*-1</f>
        <v>0</v>
      </c>
    </row>
    <row r="367" spans="2:9" s="42" customFormat="1" x14ac:dyDescent="0.25">
      <c r="B367" s="160">
        <v>74</v>
      </c>
      <c r="C367" s="154" t="s">
        <v>1496</v>
      </c>
      <c r="D367" s="85" t="s">
        <v>576</v>
      </c>
      <c r="E367" s="71">
        <f>SUM(E368:E370)</f>
        <v>0</v>
      </c>
      <c r="F367" s="71">
        <f t="shared" ref="F367" si="41">SUM(F368:F370)</f>
        <v>0</v>
      </c>
      <c r="G367" s="71">
        <f>SUM(G368:G370)</f>
        <v>0</v>
      </c>
      <c r="H367" s="71">
        <f>SUM(H368:H370)</f>
        <v>0</v>
      </c>
      <c r="I367" s="71">
        <f>SUM(I368:I370)</f>
        <v>0</v>
      </c>
    </row>
    <row r="368" spans="2:9" x14ac:dyDescent="0.2">
      <c r="B368" s="160">
        <v>75</v>
      </c>
      <c r="C368" s="305" t="s">
        <v>1301</v>
      </c>
      <c r="D368" s="82" t="s">
        <v>1422</v>
      </c>
      <c r="E368" s="72">
        <f>SUMIF(Adat!$AG:$AG,CONCATENATE(61,Info!$D$5,"098141",L291),Adat!$E:$E)*-1</f>
        <v>0</v>
      </c>
      <c r="F368" s="72">
        <f>SUMIF(Adat!$AG:$AG,CONCATENATE(60,Info!$D$5,"098141",L291),Adat!$E:$E)*-1+E368</f>
        <v>0</v>
      </c>
      <c r="G368" s="72">
        <f>SUMIF(Adat!$AH:$AH,CONCATENATE(Info!$D$5,"(KÖT)","098141",L291),Adat!$E:$E)*-1</f>
        <v>0</v>
      </c>
      <c r="H368" s="72">
        <f>SUMIF(Adat!$AH:$AH,CONCATENATE(Info!$D$5,"(ÖNV)","098141",L291),Adat!$E:$E)*-1</f>
        <v>0</v>
      </c>
      <c r="I368" s="72">
        <f>SUMIF(Adat!$AH:$AH,CONCATENATE(Info!$D$5,"(ÁIG)","098141",L291),Adat!$E:$E)*-1</f>
        <v>0</v>
      </c>
    </row>
    <row r="369" spans="2:12" x14ac:dyDescent="0.2">
      <c r="B369" s="160">
        <v>76</v>
      </c>
      <c r="C369" s="305" t="s">
        <v>1423</v>
      </c>
      <c r="D369" s="82" t="s">
        <v>1424</v>
      </c>
      <c r="E369" s="72">
        <f>SUMIF(Adat!$AG:$AG,CONCATENATE(61,Info!$D$5,"098151",L291),Adat!$E:$E)*-1</f>
        <v>0</v>
      </c>
      <c r="F369" s="72">
        <f>SUMIF(Adat!$AG:$AG,CONCATENATE(60,Info!$D$5,"098151",L291),Adat!$E:$E)*-1+E369</f>
        <v>0</v>
      </c>
      <c r="G369" s="72">
        <f>SUMIF(Adat!$AH:$AH,CONCATENATE(Info!$D$5,"(KÖT)","098151",L291),Adat!$E:$E)*-1</f>
        <v>0</v>
      </c>
      <c r="H369" s="72">
        <f>SUMIF(Adat!$AH:$AH,CONCATENATE(Info!$D$5,"(ÖNV)","098151",L291),Adat!$E:$E)*-1</f>
        <v>0</v>
      </c>
      <c r="I369" s="72">
        <f>SUMIF(Adat!$AH:$AH,CONCATENATE(Info!$D$5,"(ÁIG)","098151",L291),Adat!$E:$E)*-1</f>
        <v>0</v>
      </c>
    </row>
    <row r="370" spans="2:12" x14ac:dyDescent="0.25">
      <c r="B370" s="160">
        <v>77</v>
      </c>
      <c r="C370" s="305" t="s">
        <v>1425</v>
      </c>
      <c r="D370" s="84" t="s">
        <v>1426</v>
      </c>
      <c r="E370" s="72">
        <f>SUMIF(Adat!$AG:$AG,CONCATENATE(61,Info!$D$5,"098171",L291),Adat!$E:$E)*-1</f>
        <v>0</v>
      </c>
      <c r="F370" s="72">
        <f>SUMIF(Adat!$AG:$AG,CONCATENATE(60,Info!$D$5,"098171",L291),Adat!$E:$E)*-1+E370</f>
        <v>0</v>
      </c>
      <c r="G370" s="72">
        <f>SUMIF(Adat!$AH:$AH,CONCATENATE(Info!$D$5,"(KÖT)","098171",L291),Adat!$E:$E)*-1</f>
        <v>0</v>
      </c>
      <c r="H370" s="72">
        <f>SUMIF(Adat!$AH:$AH,CONCATENATE(Info!$D$5,"(ÖNV)","098171",L291),Adat!$E:$E)*-1</f>
        <v>0</v>
      </c>
      <c r="I370" s="72">
        <f>SUMIF(Adat!$AH:$AH,CONCATENATE(Info!$D$5,"(ÁIG)","098171",L291),Adat!$E:$E)*-1</f>
        <v>0</v>
      </c>
    </row>
    <row r="371" spans="2:12" x14ac:dyDescent="0.25">
      <c r="B371" s="160">
        <v>78</v>
      </c>
      <c r="C371" s="154" t="s">
        <v>1427</v>
      </c>
      <c r="D371" s="85" t="s">
        <v>577</v>
      </c>
      <c r="E371" s="71">
        <f>SUM(E372:E376)</f>
        <v>0</v>
      </c>
      <c r="F371" s="71">
        <f t="shared" ref="F371" si="42">SUM(F372:F376)</f>
        <v>0</v>
      </c>
      <c r="G371" s="71">
        <f>SUM(G372:G376)</f>
        <v>0</v>
      </c>
      <c r="H371" s="71">
        <f>SUM(H372:H376)</f>
        <v>0</v>
      </c>
      <c r="I371" s="71">
        <f>SUM(I372:I376)</f>
        <v>0</v>
      </c>
    </row>
    <row r="372" spans="2:12" x14ac:dyDescent="0.2">
      <c r="B372" s="160">
        <v>79</v>
      </c>
      <c r="C372" s="89" t="s">
        <v>1428</v>
      </c>
      <c r="D372" s="82" t="s">
        <v>1429</v>
      </c>
      <c r="E372" s="72">
        <f>SUMIF(Adat!$AG:$AG,CONCATENATE(61,Info!$D$5,"098211",L291),Adat!$E:$E)*-1</f>
        <v>0</v>
      </c>
      <c r="F372" s="72">
        <f>SUMIF(Adat!$AG:$AG,CONCATENATE(60,Info!$D$5,"098211",L291),Adat!$E:$E)*-1+E372</f>
        <v>0</v>
      </c>
      <c r="G372" s="72">
        <f>SUMIF(Adat!$AH:$AH,CONCATENATE(Info!$D$5,"(KÖT)","098211",L291),Adat!$E:$E)*-1</f>
        <v>0</v>
      </c>
      <c r="H372" s="72">
        <f>SUMIF(Adat!$AH:$AH,CONCATENATE(Info!$D$5,"(ÖNV)","098211",L291),Adat!$E:$E)*-1</f>
        <v>0</v>
      </c>
      <c r="I372" s="72">
        <f>SUMIF(Adat!$AH:$AH,CONCATENATE(Info!$D$5,"(ÁIG)","098211",L291),Adat!$E:$E)*-1</f>
        <v>0</v>
      </c>
    </row>
    <row r="373" spans="2:12" x14ac:dyDescent="0.2">
      <c r="B373" s="160">
        <v>80</v>
      </c>
      <c r="C373" s="89" t="s">
        <v>1430</v>
      </c>
      <c r="D373" s="82" t="s">
        <v>1431</v>
      </c>
      <c r="E373" s="72">
        <f>SUMIF(Adat!$AG:$AG,CONCATENATE(61,Info!$D$5,"098221",L291),Adat!$E:$E)*-1</f>
        <v>0</v>
      </c>
      <c r="F373" s="72">
        <f>SUMIF(Adat!$AG:$AG,CONCATENATE(60,Info!$D$5,"098221",L291),Adat!$E:$E)*-1+E373</f>
        <v>0</v>
      </c>
      <c r="G373" s="72">
        <f>SUMIF(Adat!$AH:$AH,CONCATENATE(Info!$D$5,"(KÖT)","098221",L291),Adat!$E:$E)*-1</f>
        <v>0</v>
      </c>
      <c r="H373" s="72">
        <f>SUMIF(Adat!$AH:$AH,CONCATENATE(Info!$D$5,"(ÖNV)","098221",L291),Adat!$E:$E)*-1</f>
        <v>0</v>
      </c>
      <c r="I373" s="72">
        <f>SUMIF(Adat!$AH:$AH,CONCATENATE(Info!$D$5,"(ÁIG)","098221",L291),Adat!$E:$E)*-1</f>
        <v>0</v>
      </c>
    </row>
    <row r="374" spans="2:12" x14ac:dyDescent="0.2">
      <c r="B374" s="160">
        <v>81</v>
      </c>
      <c r="C374" s="89" t="s">
        <v>1432</v>
      </c>
      <c r="D374" s="82" t="s">
        <v>1433</v>
      </c>
      <c r="E374" s="72">
        <f>SUMIF(Adat!$AG:$AG,CONCATENATE(61,Info!$D$5,"098231",L291),Adat!$E:$E)*-1</f>
        <v>0</v>
      </c>
      <c r="F374" s="72">
        <f>SUMIF(Adat!$AG:$AG,CONCATENATE(60,Info!$D$5,"098231",L291),Adat!$E:$E)*-1+E374</f>
        <v>0</v>
      </c>
      <c r="G374" s="72">
        <f>SUMIF(Adat!$AH:$AH,CONCATENATE(Info!$D$5,"(KÖT)","098231",L291),Adat!$E:$E)*-1</f>
        <v>0</v>
      </c>
      <c r="H374" s="72">
        <f>SUMIF(Adat!$AH:$AH,CONCATENATE(Info!$D$5,"(ÖNV)","098231",L291),Adat!$E:$E)*-1</f>
        <v>0</v>
      </c>
      <c r="I374" s="72">
        <f>SUMIF(Adat!$AH:$AH,CONCATENATE(Info!$D$5,"(ÁIG)","098231",L291),Adat!$E:$E)*-1</f>
        <v>0</v>
      </c>
    </row>
    <row r="375" spans="2:12" x14ac:dyDescent="0.2">
      <c r="B375" s="160">
        <v>82</v>
      </c>
      <c r="C375" s="89" t="s">
        <v>1434</v>
      </c>
      <c r="D375" s="82" t="s">
        <v>1435</v>
      </c>
      <c r="E375" s="72">
        <f>SUMIF(Adat!$AG:$AG,CONCATENATE(61,Info!$D$5,"098241",L291),Adat!$E:$E)*-1</f>
        <v>0</v>
      </c>
      <c r="F375" s="72">
        <f>SUMIF(Adat!$AG:$AG,CONCATENATE(60,Info!$D$5,"098241",L291),Adat!$E:$E)*-1+E375</f>
        <v>0</v>
      </c>
      <c r="G375" s="72">
        <f>SUMIF(Adat!$AH:$AH,CONCATENATE(Info!$D$5,"(KÖT)","098241",L291),Adat!$E:$E)*-1</f>
        <v>0</v>
      </c>
      <c r="H375" s="72">
        <f>SUMIF(Adat!$AH:$AH,CONCATENATE(Info!$D$5,"(ÖNV)","098241",L291),Adat!$E:$E)*-1</f>
        <v>0</v>
      </c>
      <c r="I375" s="72">
        <f>SUMIF(Adat!$AH:$AH,CONCATENATE(Info!$D$5,"(ÁIG)","098241",L291),Adat!$E:$E)*-1</f>
        <v>0</v>
      </c>
    </row>
    <row r="376" spans="2:12" s="42" customFormat="1" x14ac:dyDescent="0.2">
      <c r="B376" s="160">
        <v>83</v>
      </c>
      <c r="C376" s="89" t="s">
        <v>1436</v>
      </c>
      <c r="D376" s="84" t="s">
        <v>1437</v>
      </c>
      <c r="E376" s="72">
        <f>SUMIF(Adat!$AG:$AG,CONCATENATE(61,Info!$D$5,"098251",L291),Adat!$E:$E)*-1</f>
        <v>0</v>
      </c>
      <c r="F376" s="72">
        <f>SUMIF(Adat!$AG:$AG,CONCATENATE(60,Info!$D$5,"098251",L291),Adat!$E:$E)*-1+E376</f>
        <v>0</v>
      </c>
      <c r="G376" s="72">
        <f>SUMIF(Adat!$AH:$AH,CONCATENATE(Info!$D$5,"(KÖT)","098251",L291),Adat!$E:$E)*-1</f>
        <v>0</v>
      </c>
      <c r="H376" s="72">
        <f>SUMIF(Adat!$AH:$AH,CONCATENATE(Info!$D$5,"(ÖNV)","098251",L291),Adat!$E:$E)*-1</f>
        <v>0</v>
      </c>
      <c r="I376" s="72">
        <f>SUMIF(Adat!$AH:$AH,CONCATENATE(Info!$D$5,"(ÁIG)","098251",L291),Adat!$E:$E)*-1</f>
        <v>0</v>
      </c>
    </row>
    <row r="377" spans="2:12" s="42" customFormat="1" x14ac:dyDescent="0.2">
      <c r="B377" s="160">
        <v>84</v>
      </c>
      <c r="C377" s="309" t="s">
        <v>1438</v>
      </c>
      <c r="D377" s="85" t="s">
        <v>1439</v>
      </c>
      <c r="E377" s="71">
        <f>SUMIF(Adat!$AG:$AG,CONCATENATE(61,Info!$D$5,"09831",L291),Adat!$E:$E)*-1</f>
        <v>0</v>
      </c>
      <c r="F377" s="71">
        <f>SUMIF(Adat!$AG:$AG,CONCATENATE(60,Info!$D$5,"09831",L291),Adat!$E:$E)*-1+E377</f>
        <v>0</v>
      </c>
      <c r="G377" s="71">
        <f>SUMIF(Adat!$AH:$AH,CONCATENATE(Info!$D$5,"(KÖT)","09831",L291),Adat!$E:$E)*-1</f>
        <v>0</v>
      </c>
      <c r="H377" s="71">
        <f>SUMIF(Adat!$AH:$AH,CONCATENATE(Info!$D$5,"(ÖNV)","09831",L291),Adat!$E:$E)*-1</f>
        <v>0</v>
      </c>
      <c r="I377" s="71">
        <f>SUMIF(Adat!$AH:$AH,CONCATENATE(Info!$D$5,"(ÁIG)","09831",L291),Adat!$E:$E)*-1</f>
        <v>0</v>
      </c>
    </row>
    <row r="378" spans="2:12" s="42" customFormat="1" x14ac:dyDescent="0.25">
      <c r="B378" s="160">
        <v>85</v>
      </c>
      <c r="C378" s="154" t="s">
        <v>1440</v>
      </c>
      <c r="D378" s="85" t="s">
        <v>1441</v>
      </c>
      <c r="E378" s="71">
        <f>SUMIF(Adat!$AG:$AG,CONCATENATE(61,Info!$D$5,"09841",L291),Adat!$E:$E)*-1</f>
        <v>0</v>
      </c>
      <c r="F378" s="71">
        <f>SUMIF(Adat!$AG:$AG,CONCATENATE(60,Info!$D$5,"09841",L291),Adat!$E:$E)*-1+E378</f>
        <v>0</v>
      </c>
      <c r="G378" s="71">
        <f>SUMIF(Adat!$AH:$AH,CONCATENATE(Info!$D$5,"(KÖT)","09841",L291),Adat!$E:$E)*-1</f>
        <v>0</v>
      </c>
      <c r="H378" s="71">
        <f>SUMIF(Adat!$AH:$AH,CONCATENATE(Info!$D$5,"(ÖNV)","09841",L291),Adat!$E:$E)*-1</f>
        <v>0</v>
      </c>
      <c r="I378" s="71">
        <f>SUMIF(Adat!$AH:$AH,CONCATENATE(Info!$D$5,"(ÁIG)","09841",L291),Adat!$E:$E)*-1</f>
        <v>0</v>
      </c>
    </row>
    <row r="379" spans="2:12" s="42" customFormat="1" x14ac:dyDescent="0.25">
      <c r="B379" s="160">
        <v>86</v>
      </c>
      <c r="C379" s="154" t="s">
        <v>358</v>
      </c>
      <c r="D379" s="87" t="s">
        <v>1442</v>
      </c>
      <c r="E379" s="71">
        <f>+E355+E359+E364+E367+E371+E378+E377</f>
        <v>0</v>
      </c>
      <c r="F379" s="71">
        <f t="shared" ref="F379" si="43">+F355+F359+F364+F367+F371+F378+F377</f>
        <v>0</v>
      </c>
      <c r="G379" s="71">
        <f>+G355+G359+G364+G367+G371+G378+G377</f>
        <v>0</v>
      </c>
      <c r="H379" s="71">
        <f>+H355+H359+H364+H367+H371+H378+H377</f>
        <v>0</v>
      </c>
      <c r="I379" s="71">
        <f>+I355+I359+I364+I367+I371+I378+I377</f>
        <v>0</v>
      </c>
    </row>
    <row r="380" spans="2:12" s="42" customFormat="1" x14ac:dyDescent="0.25">
      <c r="B380" s="160">
        <v>87</v>
      </c>
      <c r="C380" s="154" t="s">
        <v>364</v>
      </c>
      <c r="D380" s="87" t="s">
        <v>1497</v>
      </c>
      <c r="E380" s="71">
        <f>+E354+E379</f>
        <v>0</v>
      </c>
      <c r="F380" s="71">
        <f t="shared" ref="F380" si="44">+F354+F379</f>
        <v>0</v>
      </c>
      <c r="G380" s="71">
        <f>+G354+G379</f>
        <v>0</v>
      </c>
      <c r="H380" s="71">
        <f>+H354+H379</f>
        <v>0</v>
      </c>
      <c r="I380" s="71">
        <f>+I354+I379</f>
        <v>0</v>
      </c>
    </row>
    <row r="381" spans="2:12" s="38" customFormat="1" ht="15.75" x14ac:dyDescent="0.25">
      <c r="C381" s="156"/>
      <c r="E381" s="140"/>
      <c r="F381" s="140"/>
      <c r="G381" s="140"/>
      <c r="H381" s="140"/>
      <c r="I381" s="140"/>
    </row>
    <row r="382" spans="2:12" s="10" customFormat="1" ht="15.75" customHeight="1" x14ac:dyDescent="0.25">
      <c r="B382" s="201" t="str">
        <f>CONCATENATE("6. Kiadási jogcímek"," - ",L382," részletező")</f>
        <v>6. Kiadási jogcímek -  részletező</v>
      </c>
      <c r="C382" s="101"/>
      <c r="D382" s="101"/>
      <c r="E382" s="101"/>
      <c r="F382" s="101"/>
      <c r="G382" s="198"/>
      <c r="H382" s="198"/>
      <c r="I382" s="198"/>
      <c r="L382" s="384"/>
    </row>
    <row r="383" spans="2:12" s="38" customFormat="1" ht="15.75" x14ac:dyDescent="0.25">
      <c r="C383" s="156"/>
      <c r="E383" s="140"/>
      <c r="F383" s="140"/>
      <c r="G383" s="140"/>
      <c r="H383" s="140"/>
      <c r="I383" s="140"/>
    </row>
    <row r="384" spans="2:12" s="40" customFormat="1" x14ac:dyDescent="0.25">
      <c r="B384" s="77"/>
      <c r="C384" s="77" t="s">
        <v>350</v>
      </c>
      <c r="D384" s="77" t="s">
        <v>351</v>
      </c>
      <c r="E384" s="77" t="s">
        <v>470</v>
      </c>
      <c r="F384" s="77" t="s">
        <v>471</v>
      </c>
      <c r="G384" s="77" t="s">
        <v>44</v>
      </c>
      <c r="H384" s="77" t="s">
        <v>42</v>
      </c>
      <c r="I384" s="77" t="s">
        <v>511</v>
      </c>
    </row>
    <row r="385" spans="2:9" s="41" customFormat="1" ht="38.25" x14ac:dyDescent="0.25">
      <c r="B385" s="160">
        <v>1</v>
      </c>
      <c r="C385" s="154" t="s">
        <v>593</v>
      </c>
      <c r="D385" s="154" t="s">
        <v>488</v>
      </c>
      <c r="E385" s="163" t="str">
        <f>CONCATENATE(PAR!$H$3," évi
eredeti 
előirányzat")</f>
        <v>2025. évi
eredeti 
előirányzat</v>
      </c>
      <c r="F385" s="163" t="str">
        <f>CONCATENATE(PAR!$H$3," évi
módosított 
előirányzat")</f>
        <v>2025. évi
módosított 
előirányzat</v>
      </c>
      <c r="G385" s="69" t="s">
        <v>666</v>
      </c>
      <c r="H385" s="69" t="s">
        <v>667</v>
      </c>
      <c r="I385" s="69" t="s">
        <v>668</v>
      </c>
    </row>
    <row r="386" spans="2:9" s="42" customFormat="1" x14ac:dyDescent="0.25">
      <c r="B386" s="160">
        <v>2</v>
      </c>
      <c r="C386" s="78" t="s">
        <v>352</v>
      </c>
      <c r="D386" s="92" t="s">
        <v>2663</v>
      </c>
      <c r="E386" s="71">
        <f>SUM(E387:E392)</f>
        <v>0</v>
      </c>
      <c r="F386" s="71">
        <f>SUM(F387:F392)</f>
        <v>0</v>
      </c>
      <c r="G386" s="71">
        <f>SUM(G387:G392)</f>
        <v>0</v>
      </c>
      <c r="H386" s="71">
        <f>+H387+H388+H389+H390+H391+H392</f>
        <v>0</v>
      </c>
      <c r="I386" s="71">
        <f>+I387+I388+I389+I390+I391+I392</f>
        <v>0</v>
      </c>
    </row>
    <row r="387" spans="2:9" x14ac:dyDescent="0.25">
      <c r="B387" s="160">
        <v>3</v>
      </c>
      <c r="C387" s="305" t="s">
        <v>315</v>
      </c>
      <c r="D387" s="161" t="s">
        <v>342</v>
      </c>
      <c r="E387" s="72">
        <f>SUMIF(Adat!$AI:$AI,CONCATENATE(61,Info!$D$5,"051",L382),Adat!$E:$E)</f>
        <v>0</v>
      </c>
      <c r="F387" s="72">
        <f>SUMIF(Adat!$AI:$AI,CONCATENATE(60,Info!$D$5,"051",L382),Adat!$E:$E)+E387</f>
        <v>0</v>
      </c>
      <c r="G387" s="72">
        <f>SUMIF(Adat!$AJ:$AJ,CONCATENATE(Info!$D$5,"051","(KÖT)",L382),Adat!$E:$E)</f>
        <v>0</v>
      </c>
      <c r="H387" s="72">
        <f>SUMIF(Adat!$AJ:$AJ,CONCATENATE(Info!$D$5,"051","(ÖNV)",L382),Adat!$E:$E)</f>
        <v>0</v>
      </c>
      <c r="I387" s="72">
        <f>SUMIF(Adat!$AJ:$AJ,CONCATENATE(Info!$D$5,"051","(ÁIG)",L382),Adat!$E:$E)</f>
        <v>0</v>
      </c>
    </row>
    <row r="388" spans="2:9" x14ac:dyDescent="0.25">
      <c r="B388" s="160">
        <v>4</v>
      </c>
      <c r="C388" s="305" t="s">
        <v>317</v>
      </c>
      <c r="D388" s="161" t="s">
        <v>395</v>
      </c>
      <c r="E388" s="72">
        <f>SUMIF(Adat!$AI:$AI,CONCATENATE(61,Info!$D$5,"052",L382),Adat!$E:$E)</f>
        <v>0</v>
      </c>
      <c r="F388" s="72">
        <f>SUMIF(Adat!$AI:$AI,CONCATENATE(60,Info!$D$5,"052",L382),Adat!$E:$E)+E388</f>
        <v>0</v>
      </c>
      <c r="G388" s="72">
        <f>SUMIF(Adat!$AJ:$AJ,CONCATENATE(Info!$D$5,"052","(KÖT)",L382),Adat!$E:$E)</f>
        <v>0</v>
      </c>
      <c r="H388" s="72">
        <f>SUMIF(Adat!$AJ:$AJ,CONCATENATE(Info!$D$5,"052","(ÖNV)",L382),Adat!$E:$E)</f>
        <v>0</v>
      </c>
      <c r="I388" s="72">
        <f>SUMIF(Adat!$AJ:$AJ,CONCATENATE(Info!$D$5,"052","(ÁIG)",L382),Adat!$E:$E)</f>
        <v>0</v>
      </c>
    </row>
    <row r="389" spans="2:9" x14ac:dyDescent="0.25">
      <c r="B389" s="160">
        <v>5</v>
      </c>
      <c r="C389" s="305" t="s">
        <v>4</v>
      </c>
      <c r="D389" s="161" t="s">
        <v>344</v>
      </c>
      <c r="E389" s="72">
        <f>SUMIF(Adat!$AI:$AI,CONCATENATE(61,Info!$D$5,"053",L382),Adat!$E:$E)</f>
        <v>0</v>
      </c>
      <c r="F389" s="72">
        <f>SUMIF(Adat!$AI:$AI,CONCATENATE(60,Info!$D$5,"053",L382),Adat!$E:$E)+E389</f>
        <v>0</v>
      </c>
      <c r="G389" s="72">
        <f>SUMIF(Adat!$AJ:$AJ,CONCATENATE(Info!$D$5,"053","(KÖT)",L382),Adat!$E:$E)</f>
        <v>0</v>
      </c>
      <c r="H389" s="72">
        <f>SUMIF(Adat!$AJ:$AJ,CONCATENATE(Info!$D$5,"053","(ÖNV)",L382),Adat!$E:$E)</f>
        <v>0</v>
      </c>
      <c r="I389" s="72">
        <f>SUMIF(Adat!$AJ:$AJ,CONCATENATE(Info!$D$5,"053","(ÁIG)",L382),Adat!$E:$E)</f>
        <v>0</v>
      </c>
    </row>
    <row r="390" spans="2:9" x14ac:dyDescent="0.25">
      <c r="B390" s="160">
        <v>6</v>
      </c>
      <c r="C390" s="305" t="s">
        <v>6</v>
      </c>
      <c r="D390" s="161" t="s">
        <v>345</v>
      </c>
      <c r="E390" s="72">
        <f>SUMIF(Adat!$AI:$AI,CONCATENATE(61,Info!$D$5,"054",L382),Adat!$E:$E)</f>
        <v>0</v>
      </c>
      <c r="F390" s="72">
        <f>SUMIF(Adat!$AI:$AI,CONCATENATE(60,Info!$D$5,"054",L382),Adat!$E:$E)+E390</f>
        <v>0</v>
      </c>
      <c r="G390" s="72">
        <f>SUMIF(Adat!$AJ:$AJ,CONCATENATE(Info!$D$5,"054","(KÖT)",L382),Adat!$E:$E)</f>
        <v>0</v>
      </c>
      <c r="H390" s="72">
        <f>SUMIF(Adat!$AJ:$AJ,CONCATENATE(Info!$D$5,"054","(ÖNV)",L382),Adat!$E:$E)</f>
        <v>0</v>
      </c>
      <c r="I390" s="72">
        <f>SUMIF(Adat!$AJ:$AJ,CONCATENATE(Info!$D$5,"054","(ÁIG)",L382),Adat!$E:$E)</f>
        <v>0</v>
      </c>
    </row>
    <row r="391" spans="2:9" x14ac:dyDescent="0.25">
      <c r="B391" s="160">
        <v>7</v>
      </c>
      <c r="C391" s="305" t="s">
        <v>8</v>
      </c>
      <c r="D391" s="161" t="s">
        <v>321</v>
      </c>
      <c r="E391" s="72">
        <f>SUMIF(Adat!$AI:$AI,CONCATENATE(61,Info!$D$5,"055",L382),Adat!$E:$E)-E392</f>
        <v>0</v>
      </c>
      <c r="F391" s="72">
        <f>SUMIF(Adat!$AI:$AI,CONCATENATE(60,Info!$D$5,"055",L382),Adat!$E:$E)+E391-F392+E392</f>
        <v>0</v>
      </c>
      <c r="G391" s="72">
        <f>SUMIF(Adat!$AJ:$AJ,CONCATENATE(Info!$D$5,"055","(KÖT)",L382),Adat!$E:$E)-G392</f>
        <v>0</v>
      </c>
      <c r="H391" s="72">
        <f>SUMIF(Adat!$AJ:$AJ,CONCATENATE(Info!$D$5,"055","(ÖNV)",L382),Adat!$E:$E)-H392</f>
        <v>0</v>
      </c>
      <c r="I391" s="72">
        <f>SUMIF(Adat!$AJ:$AJ,CONCATENATE(Info!$D$5,"055","(ÁIG)",L382),Adat!$E:$E)-I392</f>
        <v>0</v>
      </c>
    </row>
    <row r="392" spans="2:9" x14ac:dyDescent="0.25">
      <c r="B392" s="160">
        <v>8</v>
      </c>
      <c r="C392" s="305" t="s">
        <v>1283</v>
      </c>
      <c r="D392" s="161" t="s">
        <v>397</v>
      </c>
      <c r="E392" s="72">
        <f>SUMIF(Adat!$AG:$AG,CONCATENATE(61,Info!$D$5,"055131",L382),Adat!$E:$E)</f>
        <v>0</v>
      </c>
      <c r="F392" s="72">
        <f>SUMIF(Adat!$AG:$AG,CONCATENATE(60,Info!$D$5,"055131",L382),Adat!$E:$E)+E392</f>
        <v>0</v>
      </c>
      <c r="G392" s="72">
        <f>SUMIF(Adat!$AH:$AH,CONCATENATE(Info!$D$5,"(KÖT)","055131",L382),Adat!$E:$E)</f>
        <v>0</v>
      </c>
      <c r="H392" s="72">
        <f>SUMIF(Adat!$AH:$AH,CONCATENATE(Info!$D$5,"(ÖNV)","055131",L382),Adat!$E:$E)*-1</f>
        <v>0</v>
      </c>
      <c r="I392" s="72">
        <f>SUMIF(Adat!$AH:$AH,CONCATENATE(Info!$D$5,"(ÁIG)","055131",L382),Adat!$E:$E)*-1</f>
        <v>0</v>
      </c>
    </row>
    <row r="393" spans="2:9" x14ac:dyDescent="0.25">
      <c r="B393" s="160">
        <v>9</v>
      </c>
      <c r="C393" s="305" t="s">
        <v>1283</v>
      </c>
      <c r="D393" s="93" t="s">
        <v>1445</v>
      </c>
      <c r="E393" s="72">
        <v>0</v>
      </c>
      <c r="F393" s="72">
        <f>SUM(G393:I393)</f>
        <v>0</v>
      </c>
      <c r="G393" s="72">
        <v>0</v>
      </c>
      <c r="H393" s="72">
        <v>0</v>
      </c>
      <c r="I393" s="72">
        <v>0</v>
      </c>
    </row>
    <row r="394" spans="2:9" x14ac:dyDescent="0.25">
      <c r="B394" s="160">
        <v>10</v>
      </c>
      <c r="C394" s="305" t="s">
        <v>1283</v>
      </c>
      <c r="D394" s="93" t="s">
        <v>1446</v>
      </c>
      <c r="E394" s="72">
        <v>0</v>
      </c>
      <c r="F394" s="72">
        <f>SUM(G394:I394)</f>
        <v>0</v>
      </c>
      <c r="G394" s="72">
        <v>0</v>
      </c>
      <c r="H394" s="72">
        <v>0</v>
      </c>
      <c r="I394" s="72">
        <v>0</v>
      </c>
    </row>
    <row r="395" spans="2:9" x14ac:dyDescent="0.25">
      <c r="B395" s="160">
        <v>11</v>
      </c>
      <c r="C395" s="78" t="s">
        <v>358</v>
      </c>
      <c r="D395" s="92" t="s">
        <v>2664</v>
      </c>
      <c r="E395" s="71">
        <f>+E396+E398+E400</f>
        <v>0</v>
      </c>
      <c r="F395" s="71">
        <f>+F396+F398+F400</f>
        <v>0</v>
      </c>
      <c r="G395" s="71">
        <f>+G396+G398+G400</f>
        <v>0</v>
      </c>
      <c r="H395" s="71">
        <f>+H396+H398+H400</f>
        <v>0</v>
      </c>
      <c r="I395" s="71">
        <f>+I396+I398+I400</f>
        <v>0</v>
      </c>
    </row>
    <row r="396" spans="2:9" x14ac:dyDescent="0.25">
      <c r="B396" s="160">
        <v>12</v>
      </c>
      <c r="C396" s="305" t="s">
        <v>10</v>
      </c>
      <c r="D396" s="317" t="s">
        <v>322</v>
      </c>
      <c r="E396" s="72">
        <f>SUMIF(Adat!$AI:$AI,CONCATENATE(61,Info!$D$5,"056",L382),Adat!$E:$E)</f>
        <v>0</v>
      </c>
      <c r="F396" s="72">
        <f>SUMIF(Adat!$AI:$AI,CONCATENATE(60,Info!$D$5,"056",L382),Adat!$E:$E)+E396</f>
        <v>0</v>
      </c>
      <c r="G396" s="72">
        <f>SUMIF(Adat!$AJ:$AJ,CONCATENATE(Info!$D$5,"056","(KÖT)",L382),Adat!$E:$E)</f>
        <v>0</v>
      </c>
      <c r="H396" s="72">
        <f>SUMIF(Adat!$AJ:$AJ,CONCATENATE(Info!$D$5,"056","(ÖNV)",L382),Adat!$E:$E)</f>
        <v>0</v>
      </c>
      <c r="I396" s="72">
        <f>SUMIF(Adat!$AJ:$AJ,CONCATENATE(Info!$D$5,"056","(ÁIG)",L382),Adat!$E:$E)</f>
        <v>0</v>
      </c>
    </row>
    <row r="397" spans="2:9" x14ac:dyDescent="0.25">
      <c r="B397" s="160">
        <v>13</v>
      </c>
      <c r="C397" s="305" t="s">
        <v>10</v>
      </c>
      <c r="D397" s="317" t="s">
        <v>1448</v>
      </c>
      <c r="E397" s="72">
        <v>0</v>
      </c>
      <c r="F397" s="72">
        <f>SUM(G397:I397)</f>
        <v>0</v>
      </c>
      <c r="G397" s="72">
        <v>0</v>
      </c>
      <c r="H397" s="72">
        <v>0</v>
      </c>
      <c r="I397" s="72">
        <v>0</v>
      </c>
    </row>
    <row r="398" spans="2:9" x14ac:dyDescent="0.25">
      <c r="B398" s="160">
        <v>14</v>
      </c>
      <c r="C398" s="305" t="s">
        <v>12</v>
      </c>
      <c r="D398" s="317" t="s">
        <v>323</v>
      </c>
      <c r="E398" s="72">
        <f>SUMIF(Adat!$AI:$AI,CONCATENATE(61,Info!$D$5,"057",L382),Adat!$E:$E)</f>
        <v>0</v>
      </c>
      <c r="F398" s="72">
        <f>SUMIF(Adat!$AI:$AI,CONCATENATE(60,Info!$D$5,"057",L382),Adat!$E:$E)+E398</f>
        <v>0</v>
      </c>
      <c r="G398" s="72">
        <f>SUMIF(Adat!$AJ:$AJ,CONCATENATE(Info!$D$5,"057","(KÖT)",L382),Adat!$E:$E)</f>
        <v>0</v>
      </c>
      <c r="H398" s="72">
        <f>SUMIF(Adat!$AJ:$AJ,CONCATENATE(Info!$D$5,"057","(ÖNV)",L382),Adat!$E:$E)</f>
        <v>0</v>
      </c>
      <c r="I398" s="72">
        <f>SUMIF(Adat!$AJ:$AJ,CONCATENATE(Info!$D$5,"057","(ÁIG)",L382),Adat!$E:$E)</f>
        <v>0</v>
      </c>
    </row>
    <row r="399" spans="2:9" x14ac:dyDescent="0.25">
      <c r="B399" s="160">
        <v>15</v>
      </c>
      <c r="C399" s="305" t="s">
        <v>12</v>
      </c>
      <c r="D399" s="317" t="s">
        <v>1449</v>
      </c>
      <c r="E399" s="72">
        <v>0</v>
      </c>
      <c r="F399" s="72">
        <f>SUM(G399:I399)</f>
        <v>0</v>
      </c>
      <c r="G399" s="72">
        <v>0</v>
      </c>
      <c r="H399" s="72">
        <v>0</v>
      </c>
      <c r="I399" s="72">
        <v>0</v>
      </c>
    </row>
    <row r="400" spans="2:9" x14ac:dyDescent="0.25">
      <c r="B400" s="160">
        <v>16</v>
      </c>
      <c r="C400" s="305" t="s">
        <v>15</v>
      </c>
      <c r="D400" s="317" t="s">
        <v>324</v>
      </c>
      <c r="E400" s="72">
        <f>SUMIF(Adat!$AI:$AI,CONCATENATE(61,Info!$D$5,"058",L382),Adat!$E:$E)</f>
        <v>0</v>
      </c>
      <c r="F400" s="72">
        <f>SUMIF(Adat!$AI:$AI,CONCATENATE(60,Info!$D$5,"058",L382),Adat!$E:$E)+E400</f>
        <v>0</v>
      </c>
      <c r="G400" s="72">
        <f>SUMIF(Adat!$AJ:$AJ,CONCATENATE(Info!$D$5,"058","(KÖT)",L382),Adat!$E:$E)</f>
        <v>0</v>
      </c>
      <c r="H400" s="72">
        <f>SUMIF(Adat!$AJ:$AJ,CONCATENATE(Info!$D$5,"058","(ÖNV)",L382),Adat!$E:$E)</f>
        <v>0</v>
      </c>
      <c r="I400" s="72">
        <f>SUMIF(Adat!$AJ:$AJ,CONCATENATE(Info!$D$5,"058","(ÁIG)",L382),Adat!$E:$E)</f>
        <v>0</v>
      </c>
    </row>
    <row r="401" spans="2:18" x14ac:dyDescent="0.25">
      <c r="B401" s="160">
        <v>17</v>
      </c>
      <c r="C401" s="78" t="s">
        <v>364</v>
      </c>
      <c r="D401" s="86" t="s">
        <v>402</v>
      </c>
      <c r="E401" s="71">
        <f>+E386+E395</f>
        <v>0</v>
      </c>
      <c r="F401" s="71">
        <f>+F386+F395</f>
        <v>0</v>
      </c>
      <c r="G401" s="71">
        <f>+G386+G395</f>
        <v>0</v>
      </c>
      <c r="H401" s="71">
        <f>+H386+H395</f>
        <v>0</v>
      </c>
      <c r="I401" s="71">
        <f>+I386+I395</f>
        <v>0</v>
      </c>
    </row>
    <row r="402" spans="2:18" x14ac:dyDescent="0.25">
      <c r="B402" s="160">
        <v>18</v>
      </c>
      <c r="C402" s="78" t="s">
        <v>403</v>
      </c>
      <c r="D402" s="86" t="s">
        <v>1450</v>
      </c>
      <c r="E402" s="71">
        <f>+E403+E404+E405</f>
        <v>0</v>
      </c>
      <c r="F402" s="71">
        <f>+F403+F404+F405</f>
        <v>0</v>
      </c>
      <c r="G402" s="71">
        <f>+G403+G404+G405</f>
        <v>0</v>
      </c>
      <c r="H402" s="71">
        <f>+H403+H404+H405</f>
        <v>0</v>
      </c>
      <c r="I402" s="71">
        <f>+I403+I404+I405</f>
        <v>0</v>
      </c>
    </row>
    <row r="403" spans="2:18" s="42" customFormat="1" x14ac:dyDescent="0.25">
      <c r="B403" s="160">
        <v>19</v>
      </c>
      <c r="C403" s="305" t="s">
        <v>1451</v>
      </c>
      <c r="D403" s="161" t="s">
        <v>490</v>
      </c>
      <c r="E403" s="72">
        <f>SUMIF(Adat!$AG:$AG,CONCATENATE(61,Info!$D$5,"0591111",L382),Adat!$E:$E)</f>
        <v>0</v>
      </c>
      <c r="F403" s="72">
        <f>SUMIF(Adat!$AG:$AG,CONCATENATE(60,Info!$D$5,"0591111",L382),Adat!$E:$E)+E403</f>
        <v>0</v>
      </c>
      <c r="G403" s="72">
        <f>SUMIF(Adat!$AH:$AH,CONCATENATE(Info!$D$5,"(KÖT)","0591111",L382),Adat!$E:$E)</f>
        <v>0</v>
      </c>
      <c r="H403" s="72">
        <f>SUMIF(Adat!$AH:$AH,CONCATENATE(Info!$D$5,"(ÖNV)","0591111",L382),Adat!$E:$E)</f>
        <v>0</v>
      </c>
      <c r="I403" s="72">
        <f>SUMIF(Adat!$AH:$AH,CONCATENATE(Info!$D$5,"(ÁIG)","0591111",L382),Adat!$E:$E)</f>
        <v>0</v>
      </c>
    </row>
    <row r="404" spans="2:18" x14ac:dyDescent="0.25">
      <c r="B404" s="160">
        <v>20</v>
      </c>
      <c r="C404" s="305" t="s">
        <v>1453</v>
      </c>
      <c r="D404" s="161" t="s">
        <v>406</v>
      </c>
      <c r="E404" s="72">
        <f>SUMIF(Adat!$AG:$AG,CONCATENATE(61,Info!$D$5,"0591121",L382),Adat!$E:$E)</f>
        <v>0</v>
      </c>
      <c r="F404" s="72">
        <f>SUMIF(Adat!$AG:$AG,CONCATENATE(60,Info!$D$5,"0591121",L382),Adat!$E:$E)+E404</f>
        <v>0</v>
      </c>
      <c r="G404" s="72">
        <f>SUMIF(Adat!$AH:$AH,CONCATENATE(Info!$D$5,"(KÖT)","0591121",L382),Adat!$E:$E)</f>
        <v>0</v>
      </c>
      <c r="H404" s="72">
        <f>SUMIF(Adat!$AH:$AH,CONCATENATE(Info!$D$5,"(ÖNV)","0591121",L382),Adat!$E:$E)</f>
        <v>0</v>
      </c>
      <c r="I404" s="72">
        <f>SUMIF(Adat!$AH:$AH,CONCATENATE(Info!$D$5,"(ÁIG)","0591121",L382),Adat!$E:$E)</f>
        <v>0</v>
      </c>
    </row>
    <row r="405" spans="2:18" x14ac:dyDescent="0.25">
      <c r="B405" s="160">
        <v>21</v>
      </c>
      <c r="C405" s="305" t="s">
        <v>1455</v>
      </c>
      <c r="D405" s="161" t="s">
        <v>491</v>
      </c>
      <c r="E405" s="72">
        <f>SUMIF(Adat!$AG:$AG,CONCATENATE(61,Info!$D$5,"0591131",L382),Adat!$E:$E)</f>
        <v>0</v>
      </c>
      <c r="F405" s="72">
        <f>SUMIF(Adat!$AG:$AG,CONCATENATE(60,Info!$D$5,"0591131",L382),Adat!$E:$E)+E405</f>
        <v>0</v>
      </c>
      <c r="G405" s="72">
        <f>SUMIF(Adat!$AH:$AH,CONCATENATE(Info!$D$5,"(KÖT)","0591131",L382),Adat!$E:$E)</f>
        <v>0</v>
      </c>
      <c r="H405" s="72">
        <f>SUMIF(Adat!$AH:$AH,CONCATENATE(Info!$D$5,"(ÖNV)","0591131",L382),Adat!$E:$E)</f>
        <v>0</v>
      </c>
      <c r="I405" s="72">
        <f>SUMIF(Adat!$AH:$AH,CONCATENATE(Info!$D$5,"(ÁIG)","0591131",L382),Adat!$E:$E)</f>
        <v>0</v>
      </c>
    </row>
    <row r="406" spans="2:18" x14ac:dyDescent="0.25">
      <c r="B406" s="160">
        <v>22</v>
      </c>
      <c r="C406" s="78" t="s">
        <v>372</v>
      </c>
      <c r="D406" s="86" t="s">
        <v>1457</v>
      </c>
      <c r="E406" s="71">
        <f>+E407+E408+E409+E410+E411+E412</f>
        <v>0</v>
      </c>
      <c r="F406" s="71">
        <f>+F407+F408+F409+F410+F411+F412</f>
        <v>0</v>
      </c>
      <c r="G406" s="71">
        <f>+G407+G408+G409+G410+G411+G412</f>
        <v>0</v>
      </c>
      <c r="H406" s="71">
        <f>+H407+H408+H409+H410+H411+H412</f>
        <v>0</v>
      </c>
      <c r="I406" s="71">
        <f>+I407+I408+I409+I410+I411+I412</f>
        <v>0</v>
      </c>
    </row>
    <row r="407" spans="2:18" x14ac:dyDescent="0.25">
      <c r="B407" s="160">
        <v>23</v>
      </c>
      <c r="C407" s="305" t="s">
        <v>1458</v>
      </c>
      <c r="D407" s="161" t="s">
        <v>409</v>
      </c>
      <c r="E407" s="72">
        <f>SUMIF(Adat!$AG:$AG,CONCATENATE(61,Info!$D$5,"0591211",L382),Adat!$E:$E)</f>
        <v>0</v>
      </c>
      <c r="F407" s="72">
        <f>SUMIF(Adat!$AG:$AG,CONCATENATE(60,Info!$D$5,"0591211",L382),Adat!$E:$E)+E407</f>
        <v>0</v>
      </c>
      <c r="G407" s="72">
        <f>SUMIF(Adat!$AH:$AH,CONCATENATE(Info!$D$5,"(KÖT)","0591211",L382),Adat!$E:$E)</f>
        <v>0</v>
      </c>
      <c r="H407" s="72">
        <f>SUMIF(Adat!$AH:$AH,CONCATENATE(Info!$D$5,"(ÖNV)","0591211",L382),Adat!$E:$E)</f>
        <v>0</v>
      </c>
      <c r="I407" s="72">
        <f>SUMIF(Adat!$AH:$AH,CONCATENATE(Info!$D$5,"(ÁIG)","0591211",L382),Adat!$E:$E)</f>
        <v>0</v>
      </c>
    </row>
    <row r="408" spans="2:18" x14ac:dyDescent="0.25">
      <c r="B408" s="160">
        <v>24</v>
      </c>
      <c r="C408" s="305" t="s">
        <v>1460</v>
      </c>
      <c r="D408" s="161" t="s">
        <v>410</v>
      </c>
      <c r="E408" s="72">
        <f>SUMIF(Adat!$AG:$AG,CONCATENATE(61,Info!$D$5,"0591221",L382),Adat!$E:$E)</f>
        <v>0</v>
      </c>
      <c r="F408" s="72">
        <f>SUMIF(Adat!$AG:$AG,CONCATENATE(60,Info!$D$5,"0591221",L382),Adat!$E:$E)+E408</f>
        <v>0</v>
      </c>
      <c r="G408" s="72">
        <f>SUMIF(Adat!$AH:$AH,CONCATENATE(Info!$D$5,"(KÖT)","0591221",L382),Adat!$E:$E)</f>
        <v>0</v>
      </c>
      <c r="H408" s="72">
        <f>SUMIF(Adat!$AH:$AH,CONCATENATE(Info!$D$5,"(ÖNV)","0591221",L382),Adat!$E:$E)</f>
        <v>0</v>
      </c>
      <c r="I408" s="72">
        <f>SUMIF(Adat!$AH:$AH,CONCATENATE(Info!$D$5,"(ÁIG)","0591221",L382),Adat!$E:$E)</f>
        <v>0</v>
      </c>
    </row>
    <row r="409" spans="2:18" x14ac:dyDescent="0.25">
      <c r="B409" s="160">
        <v>25</v>
      </c>
      <c r="C409" s="305" t="s">
        <v>1462</v>
      </c>
      <c r="D409" s="161" t="s">
        <v>411</v>
      </c>
      <c r="E409" s="72">
        <f>SUMIF(Adat!$AG:$AG,CONCATENATE(61,Info!$D$5,"0591231",L382),Adat!$E:$E)</f>
        <v>0</v>
      </c>
      <c r="F409" s="72">
        <f>SUMIF(Adat!$AG:$AG,CONCATENATE(60,Info!$D$5,"0591231",L382),Adat!$E:$E)+E409</f>
        <v>0</v>
      </c>
      <c r="G409" s="72">
        <f>SUMIF(Adat!$AH:$AH,CONCATENATE(Info!$D$5,"(KÖT)","0591231",L382),Adat!$E:$E)</f>
        <v>0</v>
      </c>
      <c r="H409" s="72">
        <f>SUMIF(Adat!$AH:$AH,CONCATENATE(Info!$D$5,"(ÖNV)","0591231",L382),Adat!$E:$E)</f>
        <v>0</v>
      </c>
      <c r="I409" s="72">
        <f>SUMIF(Adat!$AH:$AH,CONCATENATE(Info!$D$5,"(ÁIG)","0591231",L382),Adat!$E:$E)</f>
        <v>0</v>
      </c>
    </row>
    <row r="410" spans="2:18" x14ac:dyDescent="0.25">
      <c r="B410" s="160">
        <v>26</v>
      </c>
      <c r="C410" s="305" t="s">
        <v>1464</v>
      </c>
      <c r="D410" s="161" t="s">
        <v>492</v>
      </c>
      <c r="E410" s="72">
        <f>SUMIF(Adat!$AG:$AG,CONCATENATE(61,Info!$D$5,"0591241",L382),Adat!$E:$E)</f>
        <v>0</v>
      </c>
      <c r="F410" s="72">
        <f>SUMIF(Adat!$AG:$AG,CONCATENATE(60,Info!$D$5,"0591241",L382),Adat!$E:$E)+E410</f>
        <v>0</v>
      </c>
      <c r="G410" s="72">
        <f>SUMIF(Adat!$AH:$AH,CONCATENATE(Info!$D$5,"(KÖT)","0591241",L382),Adat!$E:$E)</f>
        <v>0</v>
      </c>
      <c r="H410" s="72">
        <f>SUMIF(Adat!$AH:$AH,CONCATENATE(Info!$D$5,"(ÖNV)","0591241",L382),Adat!$E:$E)</f>
        <v>0</v>
      </c>
      <c r="I410" s="72">
        <f>SUMIF(Adat!$AH:$AH,CONCATENATE(Info!$D$5,"(ÁIG)","0591241",L382),Adat!$E:$E)</f>
        <v>0</v>
      </c>
    </row>
    <row r="411" spans="2:18" x14ac:dyDescent="0.25">
      <c r="B411" s="160">
        <v>27</v>
      </c>
      <c r="C411" s="305" t="s">
        <v>1466</v>
      </c>
      <c r="D411" s="161" t="s">
        <v>413</v>
      </c>
      <c r="E411" s="72">
        <f>SUMIF(Adat!$AG:$AG,CONCATENATE(61,Info!$D$5,"0591251",L382),Adat!$E:$E)</f>
        <v>0</v>
      </c>
      <c r="F411" s="72">
        <f>SUMIF(Adat!$AG:$AG,CONCATENATE(60,Info!$D$5,"0591251",L382),Adat!$E:$E)+E411</f>
        <v>0</v>
      </c>
      <c r="G411" s="72">
        <f>SUMIF(Adat!$AH:$AH,CONCATENATE(Info!$D$5,"(KÖT)","0591251",L382),Adat!$E:$E)</f>
        <v>0</v>
      </c>
      <c r="H411" s="72">
        <f>SUMIF(Adat!$AH:$AH,CONCATENATE(Info!$D$5,"(ÖNV)","0591251",L382),Adat!$E:$E)</f>
        <v>0</v>
      </c>
      <c r="I411" s="72">
        <f>SUMIF(Adat!$AH:$AH,CONCATENATE(Info!$D$5,"(ÁIG)","0591251",L382),Adat!$E:$E)</f>
        <v>0</v>
      </c>
    </row>
    <row r="412" spans="2:18" s="42" customFormat="1" x14ac:dyDescent="0.25">
      <c r="B412" s="160">
        <v>28</v>
      </c>
      <c r="C412" s="305" t="s">
        <v>1468</v>
      </c>
      <c r="D412" s="161" t="s">
        <v>414</v>
      </c>
      <c r="E412" s="72">
        <f>SUMIF(Adat!$AG:$AG,CONCATENATE(61,Info!$D$5,"0591261",L382),Adat!$E:$E)</f>
        <v>0</v>
      </c>
      <c r="F412" s="72">
        <f>SUMIF(Adat!$AG:$AG,CONCATENATE(60,Info!$D$5,"0591261",L382),Adat!$E:$E)+E412</f>
        <v>0</v>
      </c>
      <c r="G412" s="72">
        <f>SUMIF(Adat!$AH:$AH,CONCATENATE(Info!$D$5,"(KÖT)","0591261",L382),Adat!$E:$E)</f>
        <v>0</v>
      </c>
      <c r="H412" s="72">
        <f>SUMIF(Adat!$AH:$AH,CONCATENATE(Info!$D$5,"(ÖNV)","0591261",L382),Adat!$E:$E)</f>
        <v>0</v>
      </c>
      <c r="I412" s="72">
        <f>SUMIF(Adat!$AH:$AH,CONCATENATE(Info!$D$5,"(ÁIG)","0591261",L382),Adat!$E:$E)</f>
        <v>0</v>
      </c>
    </row>
    <row r="413" spans="2:18" x14ac:dyDescent="0.25">
      <c r="B413" s="160">
        <v>29</v>
      </c>
      <c r="C413" s="78" t="s">
        <v>379</v>
      </c>
      <c r="D413" s="86" t="s">
        <v>1470</v>
      </c>
      <c r="E413" s="71">
        <f>+E414+E415+E417+E418+E416</f>
        <v>0</v>
      </c>
      <c r="F413" s="71">
        <f>+F414+F415+F417+F418+F416</f>
        <v>0</v>
      </c>
      <c r="G413" s="71">
        <f>+G414+G415+G417+G418+G416</f>
        <v>0</v>
      </c>
      <c r="H413" s="71">
        <f>+H414+H415+H417+H418+H416</f>
        <v>0</v>
      </c>
      <c r="I413" s="71">
        <f>+I414+I415+I417+I418+I416</f>
        <v>0</v>
      </c>
      <c r="R413" s="43"/>
    </row>
    <row r="414" spans="2:18" x14ac:dyDescent="0.25">
      <c r="B414" s="160">
        <v>30</v>
      </c>
      <c r="C414" s="305" t="s">
        <v>1471</v>
      </c>
      <c r="D414" s="161" t="s">
        <v>416</v>
      </c>
      <c r="E414" s="72">
        <f>SUMIF(Adat!$AG:$AG,CONCATENATE(61,Info!$D$5,"059131",L382),Adat!$E:$E)</f>
        <v>0</v>
      </c>
      <c r="F414" s="72">
        <f>SUMIF(Adat!$AG:$AG,CONCATENATE(60,Info!$D$5,"059131",L382),Adat!$E:$E)+E414</f>
        <v>0</v>
      </c>
      <c r="G414" s="72">
        <f>SUMIF(Adat!$AH:$AH,CONCATENATE(Info!$D$5,"(KÖT)","059131",L382),Adat!$E:$E)</f>
        <v>0</v>
      </c>
      <c r="H414" s="72">
        <f>SUMIF(Adat!$AH:$AH,CONCATENATE(Info!$D$5,"(ÖNV)","059131",L382),Adat!$E:$E)</f>
        <v>0</v>
      </c>
      <c r="I414" s="72">
        <f>SUMIF(Adat!$AH:$AH,CONCATENATE(Info!$D$5,"(ÁIG)","059131",L382),Adat!$E:$E)</f>
        <v>0</v>
      </c>
    </row>
    <row r="415" spans="2:18" x14ac:dyDescent="0.25">
      <c r="B415" s="160">
        <v>31</v>
      </c>
      <c r="C415" s="305" t="s">
        <v>1287</v>
      </c>
      <c r="D415" s="161" t="s">
        <v>417</v>
      </c>
      <c r="E415" s="72">
        <f>SUMIF(Adat!$AG:$AG,CONCATENATE(61,Info!$D$5,"059141",L382),Adat!$E:$E)</f>
        <v>0</v>
      </c>
      <c r="F415" s="72">
        <f>SUMIF(Adat!$AG:$AG,CONCATENATE(60,Info!$D$5,"059141",L382),Adat!$E:$E)+E415</f>
        <v>0</v>
      </c>
      <c r="G415" s="72">
        <f>SUMIF(Adat!$AH:$AH,CONCATENATE(Info!$D$5,"(KÖT)","059141",L382),Adat!$E:$E)</f>
        <v>0</v>
      </c>
      <c r="H415" s="72">
        <f>SUMIF(Adat!$AH:$AH,CONCATENATE(Info!$D$5,"(ÖNV)","059141",L382),Adat!$E:$E)</f>
        <v>0</v>
      </c>
      <c r="I415" s="72">
        <f>SUMIF(Adat!$AH:$AH,CONCATENATE(Info!$D$5,"(ÁIG)","059141",L382),Adat!$E:$E)</f>
        <v>0</v>
      </c>
    </row>
    <row r="416" spans="2:18" x14ac:dyDescent="0.25">
      <c r="B416" s="160">
        <v>32</v>
      </c>
      <c r="C416" s="316" t="s">
        <v>1253</v>
      </c>
      <c r="D416" s="161" t="s">
        <v>493</v>
      </c>
      <c r="E416" s="72">
        <f>SUMIF(Adat!$AG:$AG,CONCATENATE(61,Info!$D$5,"059151",L382),Adat!$E:$E)</f>
        <v>0</v>
      </c>
      <c r="F416" s="72">
        <f>SUMIF(Adat!$AG:$AG,CONCATENATE(60,Info!$D$5,"059151",L382),Adat!$E:$E)+E416</f>
        <v>0</v>
      </c>
      <c r="G416" s="72">
        <f>SUMIF(Adat!$AH:$AH,CONCATENATE(Info!$D$5,"(KÖT)","059151",L382),Adat!$E:$E)</f>
        <v>0</v>
      </c>
      <c r="H416" s="72">
        <f>SUMIF(Adat!$AH:$AH,CONCATENATE(Info!$D$5,"(ÖNV)","059151",L382),Adat!$E:$E)</f>
        <v>0</v>
      </c>
      <c r="I416" s="72">
        <f>SUMIF(Adat!$AH:$AH,CONCATENATE(Info!$D$5,"(ÁIG)","059151",L382),Adat!$E:$E)</f>
        <v>0</v>
      </c>
    </row>
    <row r="417" spans="2:9" s="42" customFormat="1" x14ac:dyDescent="0.25">
      <c r="B417" s="160">
        <v>33</v>
      </c>
      <c r="C417" s="305" t="s">
        <v>1474</v>
      </c>
      <c r="D417" s="161" t="s">
        <v>418</v>
      </c>
      <c r="E417" s="72">
        <f>SUMIF(Adat!$AG:$AG,CONCATENATE(61,Info!$D$5,"059161",L382),Adat!$E:$E)</f>
        <v>0</v>
      </c>
      <c r="F417" s="72">
        <f>SUMIF(Adat!$AG:$AG,CONCATENATE(60,Info!$D$5,"059161",L382),Adat!$E:$E)+E417</f>
        <v>0</v>
      </c>
      <c r="G417" s="72">
        <f>SUMIF(Adat!$AH:$AH,CONCATENATE(Info!$D$5,"(KÖT)","059161",L382),Adat!$E:$E)</f>
        <v>0</v>
      </c>
      <c r="H417" s="72">
        <f>SUMIF(Adat!$AH:$AH,CONCATENATE(Info!$D$5,"(ÖNV)","059161",L382),Adat!$E:$E)</f>
        <v>0</v>
      </c>
      <c r="I417" s="72">
        <f>SUMIF(Adat!$AH:$AH,CONCATENATE(Info!$D$5,"(ÁIG)","059161",L382),Adat!$E:$E)</f>
        <v>0</v>
      </c>
    </row>
    <row r="418" spans="2:9" s="42" customFormat="1" x14ac:dyDescent="0.25">
      <c r="B418" s="160">
        <v>34</v>
      </c>
      <c r="C418" s="305" t="s">
        <v>1476</v>
      </c>
      <c r="D418" s="161" t="s">
        <v>419</v>
      </c>
      <c r="E418" s="72">
        <f>SUMIF(Adat!$AG:$AG,CONCATENATE(61,Info!$D$5,"059171",L382),Adat!$E:$E)</f>
        <v>0</v>
      </c>
      <c r="F418" s="72">
        <f>SUMIF(Adat!$AG:$AG,CONCATENATE(60,Info!$D$5,"059171",L382),Adat!$E:$E)+E418</f>
        <v>0</v>
      </c>
      <c r="G418" s="72">
        <f>SUMIF(Adat!$AH:$AH,CONCATENATE(Info!$D$5,"(KÖT)","059171",L382),Adat!$E:$E)</f>
        <v>0</v>
      </c>
      <c r="H418" s="72">
        <f>SUMIF(Adat!$AH:$AH,CONCATENATE(Info!$D$5,"(ÖNV)","059171",L382),Adat!$E:$E)</f>
        <v>0</v>
      </c>
      <c r="I418" s="72">
        <f>SUMIF(Adat!$AH:$AH,CONCATENATE(Info!$D$5,"(ÁIG)","059171",L382),Adat!$E:$E)</f>
        <v>0</v>
      </c>
    </row>
    <row r="419" spans="2:9" s="42" customFormat="1" x14ac:dyDescent="0.25">
      <c r="B419" s="160">
        <v>35</v>
      </c>
      <c r="C419" s="78" t="s">
        <v>420</v>
      </c>
      <c r="D419" s="86" t="s">
        <v>1478</v>
      </c>
      <c r="E419" s="73">
        <f>+E420+E421+E422+E423+E424</f>
        <v>0</v>
      </c>
      <c r="F419" s="73">
        <f>+F420+F421+F422+F423+F424</f>
        <v>0</v>
      </c>
      <c r="G419" s="73">
        <f>+G420+G421+G422+G423+G424</f>
        <v>0</v>
      </c>
      <c r="H419" s="73">
        <f>+H420+H421+H422+H423+H424</f>
        <v>0</v>
      </c>
      <c r="I419" s="73">
        <f>+I420+I421+I422+I423+I424</f>
        <v>0</v>
      </c>
    </row>
    <row r="420" spans="2:9" s="42" customFormat="1" x14ac:dyDescent="0.25">
      <c r="B420" s="160">
        <v>36</v>
      </c>
      <c r="C420" s="305" t="s">
        <v>1479</v>
      </c>
      <c r="D420" s="161" t="s">
        <v>422</v>
      </c>
      <c r="E420" s="72">
        <f>SUMIF(Adat!$AG:$AG,CONCATENATE(61,Info!$D$5,"059211",L382),Adat!$E:$E)</f>
        <v>0</v>
      </c>
      <c r="F420" s="72">
        <f>SUMIF(Adat!$AG:$AG,CONCATENATE(60,Info!$D$5,"059211",L382),Adat!$E:$E)+E420</f>
        <v>0</v>
      </c>
      <c r="G420" s="72">
        <f>SUMIF(Adat!$AH:$AH,CONCATENATE(Info!$D$5,"(KÖT)","059211",L382),Adat!$E:$E)</f>
        <v>0</v>
      </c>
      <c r="H420" s="72">
        <f>SUMIF(Adat!$AH:$AH,CONCATENATE(Info!$D$5,"(ÖNV)","059211",L382),Adat!$E:$E)</f>
        <v>0</v>
      </c>
      <c r="I420" s="72">
        <f>SUMIF(Adat!$AH:$AH,CONCATENATE(Info!$D$5,"(ÁIG)","059211",L382),Adat!$E:$E)</f>
        <v>0</v>
      </c>
    </row>
    <row r="421" spans="2:9" s="42" customFormat="1" x14ac:dyDescent="0.25">
      <c r="B421" s="160">
        <v>37</v>
      </c>
      <c r="C421" s="305" t="s">
        <v>1481</v>
      </c>
      <c r="D421" s="161" t="s">
        <v>423</v>
      </c>
      <c r="E421" s="72">
        <f>SUMIF(Adat!$AG:$AG,CONCATENATE(61,Info!$D$5,"059221",L382),Adat!$E:$E)</f>
        <v>0</v>
      </c>
      <c r="F421" s="72">
        <f>SUMIF(Adat!$AG:$AG,CONCATENATE(60,Info!$D$5,"059221",L382),Adat!$E:$E)+E421</f>
        <v>0</v>
      </c>
      <c r="G421" s="72">
        <f>SUMIF(Adat!$AH:$AH,CONCATENATE(Info!$D$5,"(KÖT)","059221",L382),Adat!$E:$E)</f>
        <v>0</v>
      </c>
      <c r="H421" s="72">
        <f>SUMIF(Adat!$AH:$AH,CONCATENATE(Info!$D$5,"(ÖNV)","059221",L382),Adat!$E:$E)</f>
        <v>0</v>
      </c>
      <c r="I421" s="72">
        <f>SUMIF(Adat!$AH:$AH,CONCATENATE(Info!$D$5,"(ÁIG)","059221",L382),Adat!$E:$E)</f>
        <v>0</v>
      </c>
    </row>
    <row r="422" spans="2:9" s="42" customFormat="1" x14ac:dyDescent="0.25">
      <c r="B422" s="160">
        <v>38</v>
      </c>
      <c r="C422" s="305" t="s">
        <v>1483</v>
      </c>
      <c r="D422" s="161" t="s">
        <v>424</v>
      </c>
      <c r="E422" s="72">
        <f>SUMIF(Adat!$AG:$AG,CONCATENATE(61,Info!$D$5,"059231",L382),Adat!$E:$E)</f>
        <v>0</v>
      </c>
      <c r="F422" s="72">
        <f>SUMIF(Adat!$AG:$AG,CONCATENATE(60,Info!$D$5,"059231",L382),Adat!$E:$E)+E422</f>
        <v>0</v>
      </c>
      <c r="G422" s="72">
        <f>SUMIF(Adat!$AH:$AH,CONCATENATE(Info!$D$5,"(KÖT)","059231",L382),Adat!$E:$E)</f>
        <v>0</v>
      </c>
      <c r="H422" s="72">
        <f>SUMIF(Adat!$AH:$AH,CONCATENATE(Info!$D$5,"(ÖNV)","059231",L382),Adat!$E:$E)</f>
        <v>0</v>
      </c>
      <c r="I422" s="72">
        <f>SUMIF(Adat!$AH:$AH,CONCATENATE(Info!$D$5,"(ÁIG)","059231",L382),Adat!$E:$E)</f>
        <v>0</v>
      </c>
    </row>
    <row r="423" spans="2:9" s="42" customFormat="1" x14ac:dyDescent="0.25">
      <c r="B423" s="160">
        <v>39</v>
      </c>
      <c r="C423" s="305" t="s">
        <v>1485</v>
      </c>
      <c r="D423" s="161" t="s">
        <v>494</v>
      </c>
      <c r="E423" s="72">
        <f>SUMIF(Adat!$AG:$AG,CONCATENATE(61,Info!$D$5,"059241",L382),Adat!$E:$E)</f>
        <v>0</v>
      </c>
      <c r="F423" s="72">
        <f>SUMIF(Adat!$AG:$AG,CONCATENATE(60,Info!$D$5,"059241",L382),Adat!$E:$E)+E423</f>
        <v>0</v>
      </c>
      <c r="G423" s="72">
        <f>SUMIF(Adat!$AH:$AH,CONCATENATE(Info!$D$5,"(KÖT)","059241",L382),Adat!$E:$E)</f>
        <v>0</v>
      </c>
      <c r="H423" s="72">
        <f>SUMIF(Adat!$AH:$AH,CONCATENATE(Info!$D$5,"(ÖNV)","059241",L382),Adat!$E:$E)</f>
        <v>0</v>
      </c>
      <c r="I423" s="72">
        <f>SUMIF(Adat!$AH:$AH,CONCATENATE(Info!$D$5,"(ÁIG)","059241",L382),Adat!$E:$E)</f>
        <v>0</v>
      </c>
    </row>
    <row r="424" spans="2:9" x14ac:dyDescent="0.25">
      <c r="B424" s="160">
        <v>40</v>
      </c>
      <c r="C424" s="305" t="s">
        <v>1487</v>
      </c>
      <c r="D424" s="161" t="s">
        <v>427</v>
      </c>
      <c r="E424" s="72">
        <f>SUMIF(Adat!$AG:$AG,CONCATENATE(61,Info!$D$5,"059251",L382),Adat!$E:$E)</f>
        <v>0</v>
      </c>
      <c r="F424" s="72">
        <f>SUMIF(Adat!$AG:$AG,CONCATENATE(60,Info!$D$5,"059251",L382),Adat!$E:$E)+E424</f>
        <v>0</v>
      </c>
      <c r="G424" s="72">
        <f>SUMIF(Adat!$AH:$AH,CONCATENATE(Info!$D$5,"(KÖT)","059251",L382),Adat!$E:$E)</f>
        <v>0</v>
      </c>
      <c r="H424" s="72">
        <f>SUMIF(Adat!$AH:$AH,CONCATENATE(Info!$D$5,"(ÖNV)","059251",L382),Adat!$E:$E)</f>
        <v>0</v>
      </c>
      <c r="I424" s="72">
        <f>SUMIF(Adat!$AH:$AH,CONCATENATE(Info!$D$5,"(ÁIG)","059251",L382),Adat!$E:$E)</f>
        <v>0</v>
      </c>
    </row>
    <row r="425" spans="2:9" x14ac:dyDescent="0.25">
      <c r="B425" s="160">
        <v>41</v>
      </c>
      <c r="C425" s="162" t="s">
        <v>390</v>
      </c>
      <c r="D425" s="86" t="s">
        <v>428</v>
      </c>
      <c r="E425" s="72">
        <f>SUMIF(Adat!$AG:$AG,CONCATENATE(61,Info!$D$5,"05931",L382),Adat!$E:$E)</f>
        <v>0</v>
      </c>
      <c r="F425" s="72">
        <f>SUMIF(Adat!$AG:$AG,CONCATENATE(60,Info!$D$5,"05931",L382),Adat!$E:$E)+E425</f>
        <v>0</v>
      </c>
      <c r="G425" s="72">
        <f>SUMIF(Adat!$AH:$AH,CONCATENATE(Info!$D$5,"(KÖT)","05931",L382),Adat!$E:$E)</f>
        <v>0</v>
      </c>
      <c r="H425" s="72">
        <f>SUMIF(Adat!$AH:$AH,CONCATENATE(Info!$D$5,"(ÖNV)","05931",L382),Adat!$E:$E)</f>
        <v>0</v>
      </c>
      <c r="I425" s="72">
        <f>SUMIF(Adat!$AH:$AH,CONCATENATE(Info!$D$5,"(ÁIG)","05931",L382),Adat!$E:$E)</f>
        <v>0</v>
      </c>
    </row>
    <row r="426" spans="2:9" x14ac:dyDescent="0.25">
      <c r="B426" s="160">
        <v>42</v>
      </c>
      <c r="C426" s="162" t="s">
        <v>429</v>
      </c>
      <c r="D426" s="86" t="s">
        <v>430</v>
      </c>
      <c r="E426" s="72">
        <f>SUMIF(Adat!$AG:$AG,CONCATENATE(61,Info!$D$5,"05941",L382),Adat!$E:$E)</f>
        <v>0</v>
      </c>
      <c r="F426" s="72">
        <f>SUMIF(Adat!$AG:$AG,CONCATENATE(60,Info!$D$5,"05941",L382),Adat!$E:$E)+E426</f>
        <v>0</v>
      </c>
      <c r="G426" s="72">
        <f>SUMIF(Adat!$AH:$AH,CONCATENATE(Info!$D$5,"(KÖT)","05941",L382),Adat!$E:$E)</f>
        <v>0</v>
      </c>
      <c r="H426" s="72">
        <f>SUMIF(Adat!$AH:$AH,CONCATENATE(Info!$D$5,"(ÖNV)","05941",L382),Adat!$E:$E)</f>
        <v>0</v>
      </c>
      <c r="I426" s="72">
        <f>SUMIF(Adat!$AH:$AH,CONCATENATE(Info!$D$5,"(ÁIG)","05941",L382),Adat!$E:$E)</f>
        <v>0</v>
      </c>
    </row>
    <row r="427" spans="2:9" x14ac:dyDescent="0.25">
      <c r="B427" s="160">
        <v>43</v>
      </c>
      <c r="C427" s="78" t="s">
        <v>431</v>
      </c>
      <c r="D427" s="86" t="s">
        <v>432</v>
      </c>
      <c r="E427" s="74">
        <f>+E402+E406+E413+E419+E425+E426</f>
        <v>0</v>
      </c>
      <c r="F427" s="74">
        <f>+F402+F406+F413+F419+F425+F426</f>
        <v>0</v>
      </c>
      <c r="G427" s="74">
        <f>+G402+G406+G413+G419+G425+G426</f>
        <v>0</v>
      </c>
      <c r="H427" s="74">
        <f>+H402+H406+H413+H419+H425+H426</f>
        <v>0</v>
      </c>
      <c r="I427" s="74">
        <f>+I402+I406+I413+I419+I425+I426</f>
        <v>0</v>
      </c>
    </row>
    <row r="428" spans="2:9" x14ac:dyDescent="0.25">
      <c r="B428" s="160">
        <v>44</v>
      </c>
      <c r="C428" s="154" t="s">
        <v>433</v>
      </c>
      <c r="D428" s="159" t="s">
        <v>434</v>
      </c>
      <c r="E428" s="74">
        <f>+E401+E427</f>
        <v>0</v>
      </c>
      <c r="F428" s="74">
        <f>+F401+F427</f>
        <v>0</v>
      </c>
      <c r="G428" s="74">
        <f>+G401+G427</f>
        <v>0</v>
      </c>
      <c r="H428" s="74">
        <f>+H401+H427</f>
        <v>0</v>
      </c>
      <c r="I428" s="74">
        <f>+I401+I427</f>
        <v>0</v>
      </c>
    </row>
    <row r="429" spans="2:9" s="37" customFormat="1" ht="15.75" x14ac:dyDescent="0.25">
      <c r="C429" s="529"/>
      <c r="D429" s="529"/>
      <c r="E429" s="529"/>
      <c r="F429" s="200"/>
      <c r="G429" s="200"/>
      <c r="H429" s="200"/>
      <c r="I429" s="200"/>
    </row>
    <row r="430" spans="2:9" s="38" customFormat="1" ht="15.75" x14ac:dyDescent="0.25">
      <c r="B430" s="525" t="str">
        <f>PAR!$E$3</f>
        <v>Nagymaros Város Önkormányzata</v>
      </c>
      <c r="C430" s="525"/>
      <c r="D430" s="525"/>
      <c r="E430" s="525"/>
      <c r="F430" s="525"/>
      <c r="G430" s="525"/>
      <c r="H430" s="525"/>
      <c r="I430" s="525"/>
    </row>
    <row r="431" spans="2:9" s="38" customFormat="1" ht="15.75" x14ac:dyDescent="0.25">
      <c r="B431" s="525" t="s">
        <v>2660</v>
      </c>
      <c r="C431" s="525"/>
      <c r="D431" s="525"/>
      <c r="E431" s="525"/>
      <c r="F431" s="525"/>
      <c r="G431" s="525"/>
      <c r="H431" s="525"/>
      <c r="I431" s="525"/>
    </row>
    <row r="432" spans="2:9" s="38" customFormat="1" ht="15.75" x14ac:dyDescent="0.25">
      <c r="C432" s="156"/>
      <c r="E432" s="140"/>
      <c r="F432" s="140"/>
      <c r="G432" s="140"/>
      <c r="H432" s="140"/>
      <c r="I432" s="140"/>
    </row>
    <row r="433" spans="2:12" s="10" customFormat="1" ht="15.75" customHeight="1" x14ac:dyDescent="0.25">
      <c r="B433" s="201" t="str">
        <f>CONCATENATE("7. Bevételi jogcímek"," - ",L433," részletező")</f>
        <v>7. Bevételi jogcímek -  részletező</v>
      </c>
      <c r="C433" s="101"/>
      <c r="D433" s="101"/>
      <c r="E433" s="101"/>
      <c r="F433" s="101"/>
      <c r="G433" s="198"/>
      <c r="H433" s="198"/>
      <c r="I433" s="198"/>
      <c r="L433" s="384"/>
    </row>
    <row r="434" spans="2:12" s="38" customFormat="1" ht="15.75" x14ac:dyDescent="0.25">
      <c r="C434" s="156"/>
      <c r="E434" s="140"/>
      <c r="F434" s="140"/>
      <c r="G434" s="140"/>
      <c r="H434" s="140"/>
      <c r="I434" s="140"/>
    </row>
    <row r="435" spans="2:12" s="40" customFormat="1" x14ac:dyDescent="0.25">
      <c r="B435" s="77"/>
      <c r="C435" s="77" t="s">
        <v>350</v>
      </c>
      <c r="D435" s="77" t="s">
        <v>351</v>
      </c>
      <c r="E435" s="77" t="s">
        <v>470</v>
      </c>
      <c r="F435" s="77" t="s">
        <v>471</v>
      </c>
      <c r="G435" s="77" t="s">
        <v>44</v>
      </c>
      <c r="H435" s="77" t="s">
        <v>42</v>
      </c>
      <c r="I435" s="77" t="s">
        <v>511</v>
      </c>
    </row>
    <row r="436" spans="2:12" ht="38.25" x14ac:dyDescent="0.25">
      <c r="B436" s="160">
        <v>1</v>
      </c>
      <c r="C436" s="154" t="s">
        <v>593</v>
      </c>
      <c r="D436" s="154" t="s">
        <v>488</v>
      </c>
      <c r="E436" s="163" t="str">
        <f>CONCATENATE(PAR!$H$3," évi
eredeti 
előirányzat")</f>
        <v>2025. évi
eredeti 
előirányzat</v>
      </c>
      <c r="F436" s="163" t="str">
        <f>CONCATENATE(PAR!$H$3," évi
módosított 
előirányzat")</f>
        <v>2025. évi
módosított 
előirányzat</v>
      </c>
      <c r="G436" s="69" t="s">
        <v>666</v>
      </c>
      <c r="H436" s="69" t="s">
        <v>667</v>
      </c>
      <c r="I436" s="69" t="s">
        <v>668</v>
      </c>
    </row>
    <row r="437" spans="2:12" s="41" customFormat="1" x14ac:dyDescent="0.25">
      <c r="B437" s="160">
        <v>2</v>
      </c>
      <c r="C437" s="78" t="s">
        <v>1324</v>
      </c>
      <c r="D437" s="79" t="s">
        <v>562</v>
      </c>
      <c r="E437" s="71">
        <f>SUM(E438:E444)</f>
        <v>0</v>
      </c>
      <c r="F437" s="71">
        <f t="shared" ref="F437:I437" si="45">SUM(F438:F444)</f>
        <v>0</v>
      </c>
      <c r="G437" s="71">
        <f t="shared" si="45"/>
        <v>0</v>
      </c>
      <c r="H437" s="71">
        <f t="shared" si="45"/>
        <v>0</v>
      </c>
      <c r="I437" s="71">
        <f t="shared" si="45"/>
        <v>0</v>
      </c>
    </row>
    <row r="438" spans="2:12" s="42" customFormat="1" x14ac:dyDescent="0.2">
      <c r="B438" s="160">
        <v>3</v>
      </c>
      <c r="C438" s="305" t="s">
        <v>1288</v>
      </c>
      <c r="D438" s="82" t="s">
        <v>1325</v>
      </c>
      <c r="E438" s="72">
        <f>SUMIF(Adat!$AG:$AG,CONCATENATE(61,Info!$D$5,"091111",L433),Adat!$E:$E)*-1</f>
        <v>0</v>
      </c>
      <c r="F438" s="72">
        <f>SUMIF(Adat!$AG:$AG,CONCATENATE(60,Info!$D$5,"091111",L433),Adat!$E:$E)*(-1)+E438</f>
        <v>0</v>
      </c>
      <c r="G438" s="72">
        <f>SUMIF(Adat!$AH:$AH,CONCATENATE(Info!$D$5,"(KÖT)","091111",L433),Adat!$E:$E)*-1</f>
        <v>0</v>
      </c>
      <c r="H438" s="72">
        <f>SUMIF(Adat!$AH:$AH,CONCATENATE(Info!$D$5,"(ÖNV)","091111",L433),Adat!$E:$E)*-1</f>
        <v>0</v>
      </c>
      <c r="I438" s="72">
        <f>SUMIF(Adat!$AH:$AH,CONCATENATE(Info!$D$5,"(ÁIG)","091111",L433),Adat!$E:$E)*-1</f>
        <v>0</v>
      </c>
    </row>
    <row r="439" spans="2:12" x14ac:dyDescent="0.2">
      <c r="B439" s="160">
        <v>4</v>
      </c>
      <c r="C439" s="305" t="s">
        <v>1289</v>
      </c>
      <c r="D439" s="82" t="s">
        <v>735</v>
      </c>
      <c r="E439" s="72">
        <f>SUMIF(Adat!$AG:$AG,CONCATENATE(61,Info!$D$5,"091121",L433),Adat!$E:$E)*-1</f>
        <v>0</v>
      </c>
      <c r="F439" s="72">
        <f>SUMIF(Adat!$AG:$AG,CONCATENATE(60,Info!$D$5,"091121",L433),Adat!$E:$E)*-1+E439</f>
        <v>0</v>
      </c>
      <c r="G439" s="72">
        <f>SUMIF(Adat!$AH:$AH,CONCATENATE(Info!$D$5,"(KÖT)","091121",L433),Adat!$E:$E)*-1</f>
        <v>0</v>
      </c>
      <c r="H439" s="72">
        <f>SUMIF(Adat!$AH:$AH,CONCATENATE(Info!$D$5,"(ÖNV)","091121",L433),Adat!$E:$E)*-1</f>
        <v>0</v>
      </c>
      <c r="I439" s="72">
        <f>SUMIF(Adat!$AH:$AH,CONCATENATE(Info!$D$5,"(ÁIG)","091121",L433),Adat!$E:$E)*-1</f>
        <v>0</v>
      </c>
    </row>
    <row r="440" spans="2:12" x14ac:dyDescent="0.2">
      <c r="B440" s="160">
        <v>5</v>
      </c>
      <c r="C440" s="305" t="s">
        <v>1290</v>
      </c>
      <c r="D440" s="82" t="s">
        <v>1326</v>
      </c>
      <c r="E440" s="72">
        <f>SUMIF(Adat!$AG:$AG,CONCATENATE(61,Info!$D$5,"0911311",L433),Adat!$E:$E)*-1</f>
        <v>0</v>
      </c>
      <c r="F440" s="72">
        <f>SUMIF(Adat!$AG:$AG,CONCATENATE(60,Info!$D$5,"0911311",L433),Adat!$E:$E)*-1+E440</f>
        <v>0</v>
      </c>
      <c r="G440" s="72">
        <f>SUMIF(Adat!$AH:$AH,CONCATENATE(Info!$D$5,"(KÖT)","0911311",L433),Adat!$E:$E)*-1</f>
        <v>0</v>
      </c>
      <c r="H440" s="72">
        <f>SUMIF(Adat!$AH:$AH,CONCATENATE(Info!$D$5,"(ÖNV)","0911311",L433),Adat!$E:$E)*-1</f>
        <v>0</v>
      </c>
      <c r="I440" s="72">
        <f>SUMIF(Adat!$AH:$AH,CONCATENATE(Info!$D$5,"(ÁIG)","0911311",L433),Adat!$E:$E)*-1</f>
        <v>0</v>
      </c>
    </row>
    <row r="441" spans="2:12" x14ac:dyDescent="0.2">
      <c r="B441" s="160">
        <v>6</v>
      </c>
      <c r="C441" s="305" t="s">
        <v>1254</v>
      </c>
      <c r="D441" s="82" t="s">
        <v>736</v>
      </c>
      <c r="E441" s="72">
        <f>SUMIF(Adat!$AG:$AG,CONCATENATE(61,Info!$D$5,"0911321",L433),Adat!$E:$E)*-1</f>
        <v>0</v>
      </c>
      <c r="F441" s="72">
        <f>SUMIF(Adat!$AG:$AG,CONCATENATE(60,Info!$D$5,"0911321",L433),Adat!$E:$E)*-1+E441</f>
        <v>0</v>
      </c>
      <c r="G441" s="72">
        <f>SUMIF(Adat!$AH:$AH,CONCATENATE(Info!$D$5,"(KÖT)","0911321",L433),Adat!$E:$E)*-1</f>
        <v>0</v>
      </c>
      <c r="H441" s="72">
        <f>SUMIF(Adat!$AH:$AH,CONCATENATE(Info!$D$5,"(ÖNV)","0911321",L433),Adat!$E:$E)*-1</f>
        <v>0</v>
      </c>
      <c r="I441" s="72">
        <f>SUMIF(Adat!$AH:$AH,CONCATENATE(Info!$D$5,"(ÁIG)","0911321",L433),Adat!$E:$E)*-1</f>
        <v>0</v>
      </c>
    </row>
    <row r="442" spans="2:12" x14ac:dyDescent="0.25">
      <c r="B442" s="160">
        <v>7</v>
      </c>
      <c r="C442" s="305" t="s">
        <v>1291</v>
      </c>
      <c r="D442" s="84" t="s">
        <v>737</v>
      </c>
      <c r="E442" s="72">
        <f>SUMIF(Adat!$AG:$AG,CONCATENATE(61,Info!$D$5,"091141",L433),Adat!$E:$E)*-1</f>
        <v>0</v>
      </c>
      <c r="F442" s="72">
        <f>SUMIF(Adat!$AG:$AG,CONCATENATE(60,Info!$D$5,"091141",L433),Adat!$E:$E)*-1+E442</f>
        <v>0</v>
      </c>
      <c r="G442" s="72">
        <f>SUMIF(Adat!$AH:$AH,CONCATENATE(Info!$D$5,"(KÖT)","091141",L433),Adat!$E:$E)*-1</f>
        <v>0</v>
      </c>
      <c r="H442" s="72">
        <f>SUMIF(Adat!$AH:$AH,CONCATENATE(Info!$D$5,"(ÖNV)","091141",L433),Adat!$E:$E)*-1</f>
        <v>0</v>
      </c>
      <c r="I442" s="72">
        <f>SUMIF(Adat!$AH:$AH,CONCATENATE(Info!$D$5,"(ÁIG)","091141",L433),Adat!$E:$E)*-1</f>
        <v>0</v>
      </c>
    </row>
    <row r="443" spans="2:12" x14ac:dyDescent="0.25">
      <c r="B443" s="160">
        <v>8</v>
      </c>
      <c r="C443" s="305" t="s">
        <v>1312</v>
      </c>
      <c r="D443" s="84" t="s">
        <v>738</v>
      </c>
      <c r="E443" s="72">
        <f>SUMIF(Adat!$AG:$AG,CONCATENATE(61,Info!$D$5,"091151",L433),Adat!$E:$E)*-1</f>
        <v>0</v>
      </c>
      <c r="F443" s="72">
        <f>SUMIF(Adat!$AG:$AG,CONCATENATE(60,Info!$D$5,"091151",L433),Adat!$E:$E)*-1+E443</f>
        <v>0</v>
      </c>
      <c r="G443" s="72">
        <f>SUMIF(Adat!$AH:$AH,CONCATENATE(Info!$D$5,"(KÖT)","091151",L433),Adat!$E:$E)*-1</f>
        <v>0</v>
      </c>
      <c r="H443" s="72">
        <f>SUMIF(Adat!$AH:$AH,CONCATENATE(Info!$D$5,"(ÖNV)","091151",L433),Adat!$E:$E)*-1</f>
        <v>0</v>
      </c>
      <c r="I443" s="72">
        <f>SUMIF(Adat!$AH:$AH,CONCATENATE(Info!$D$5,"(ÁIG)","091151",L433),Adat!$E:$E)*-1</f>
        <v>0</v>
      </c>
    </row>
    <row r="444" spans="2:12" s="42" customFormat="1" x14ac:dyDescent="0.25">
      <c r="B444" s="160">
        <v>9</v>
      </c>
      <c r="C444" s="305" t="s">
        <v>1308</v>
      </c>
      <c r="D444" s="84" t="s">
        <v>233</v>
      </c>
      <c r="E444" s="72">
        <f>SUMIF(Adat!$AG:$AG,CONCATENATE(61,Info!$D$5,"091161",L433),Adat!$E:$E)*-1</f>
        <v>0</v>
      </c>
      <c r="F444" s="72">
        <f>SUMIF(Adat!$AG:$AG,CONCATENATE(60,Info!$D$5,"091161",L433),Adat!$E:$E)*-1+E444</f>
        <v>0</v>
      </c>
      <c r="G444" s="72">
        <f>SUMIF(Adat!$AH:$AH,CONCATENATE(Info!$D$5,"(KÖT)","091161",L433),Adat!$E:$E)*-1</f>
        <v>0</v>
      </c>
      <c r="H444" s="72">
        <f>SUMIF(Adat!$AH:$AH,CONCATENATE(Info!$D$5,"(ÖNV)","091161",L433),Adat!$E:$E)*-1</f>
        <v>0</v>
      </c>
      <c r="I444" s="72">
        <f>SUMIF(Adat!$AH:$AH,CONCATENATE(Info!$D$5,"(ÁIG)","091161",L433),Adat!$E:$E)*-1</f>
        <v>0</v>
      </c>
    </row>
    <row r="445" spans="2:12" s="42" customFormat="1" x14ac:dyDescent="0.25">
      <c r="B445" s="160">
        <v>10</v>
      </c>
      <c r="C445" s="78" t="s">
        <v>1328</v>
      </c>
      <c r="D445" s="85" t="s">
        <v>437</v>
      </c>
      <c r="E445" s="71">
        <f>SUM(E446:E450)</f>
        <v>0</v>
      </c>
      <c r="F445" s="71">
        <f t="shared" ref="F445" si="46">SUM(F446:F450)</f>
        <v>0</v>
      </c>
      <c r="G445" s="71">
        <f>SUM(G446:G450)</f>
        <v>0</v>
      </c>
      <c r="H445" s="71">
        <f t="shared" ref="H445:I445" si="47">SUM(H446:H450)</f>
        <v>0</v>
      </c>
      <c r="I445" s="71">
        <f t="shared" si="47"/>
        <v>0</v>
      </c>
    </row>
    <row r="446" spans="2:12" s="42" customFormat="1" x14ac:dyDescent="0.2">
      <c r="B446" s="160">
        <v>11</v>
      </c>
      <c r="C446" s="305" t="s">
        <v>1329</v>
      </c>
      <c r="D446" s="82" t="s">
        <v>1330</v>
      </c>
      <c r="E446" s="72">
        <f>SUMIF(Adat!$AG:$AG,CONCATENATE(61,Info!$D$5,"09121",L433),Adat!$E:$E)*-1</f>
        <v>0</v>
      </c>
      <c r="F446" s="72">
        <f>SUMIF(Adat!$AG:$AG,CONCATENATE(60,Info!$D$5,"09121",L433),Adat!$E:$E)*-1+E446</f>
        <v>0</v>
      </c>
      <c r="G446" s="72">
        <f>SUMIF(Adat!$AH:$AH,CONCATENATE(Info!$D$5,"(KÖT)","09121",L433),Adat!$E:$E)*-1</f>
        <v>0</v>
      </c>
      <c r="H446" s="72">
        <f>SUMIF(Adat!$AH:$AH,CONCATENATE(Info!$D$5,"(ÖNV)","09121",L433),Adat!$E:$E)*-1</f>
        <v>0</v>
      </c>
      <c r="I446" s="72">
        <f>SUMIF(Adat!$AH:$AH,CONCATENATE(Info!$D$5,"(ÁIG)","09121",L433),Adat!$E:$E)*-1</f>
        <v>0</v>
      </c>
    </row>
    <row r="447" spans="2:12" s="42" customFormat="1" x14ac:dyDescent="0.2">
      <c r="B447" s="160">
        <v>12</v>
      </c>
      <c r="C447" s="305" t="s">
        <v>1331</v>
      </c>
      <c r="D447" s="82" t="s">
        <v>1332</v>
      </c>
      <c r="E447" s="72">
        <f>SUMIF(Adat!$AG:$AG,CONCATENATE(61,Info!$D$5,"09131",L433),Adat!$E:$E)*-1</f>
        <v>0</v>
      </c>
      <c r="F447" s="72">
        <f>SUMIF(Adat!$AG:$AG,CONCATENATE(60,Info!$D$5,"09131",L433),Adat!$E:$E)*-1+E447</f>
        <v>0</v>
      </c>
      <c r="G447" s="72">
        <f>SUMIF(Adat!$AH:$AH,CONCATENATE(Info!$D$5,"(KÖT)","09131",L433),Adat!$E:$E)*-1</f>
        <v>0</v>
      </c>
      <c r="H447" s="72">
        <f>SUMIF(Adat!$AH:$AH,CONCATENATE(Info!$D$5,"(ÖNV)","09131",L433),Adat!$E:$E)*-1</f>
        <v>0</v>
      </c>
      <c r="I447" s="72">
        <f>SUMIF(Adat!$AH:$AH,CONCATENATE(Info!$D$5,"(ÁIG)","09131",L433),Adat!$E:$E)*-1</f>
        <v>0</v>
      </c>
    </row>
    <row r="448" spans="2:12" s="42" customFormat="1" x14ac:dyDescent="0.2">
      <c r="B448" s="160">
        <v>13</v>
      </c>
      <c r="C448" s="305" t="s">
        <v>1333</v>
      </c>
      <c r="D448" s="82" t="s">
        <v>1334</v>
      </c>
      <c r="E448" s="72">
        <f>SUMIF(Adat!$AG:$AG,CONCATENATE(61,Info!$D$5,"09141",L433),Adat!$E:$E)*-1</f>
        <v>0</v>
      </c>
      <c r="F448" s="72">
        <f>SUMIF(Adat!$AG:$AG,CONCATENATE(60,Info!$D$5,"09141",L433),Adat!$E:$E)*-1+E448</f>
        <v>0</v>
      </c>
      <c r="G448" s="72">
        <f>SUMIF(Adat!$AH:$AH,CONCATENATE(Info!$D$5,"(KÖT)","09141",L433),Adat!$E:$E)*-1</f>
        <v>0</v>
      </c>
      <c r="H448" s="72">
        <f>SUMIF(Adat!$AH:$AH,CONCATENATE(Info!$D$5,"(ÖNV)","09141",L433),Adat!$E:$E)*-1</f>
        <v>0</v>
      </c>
      <c r="I448" s="72">
        <f>SUMIF(Adat!$AH:$AH,CONCATENATE(Info!$D$5,"(ÁIG)","09141",L433),Adat!$E:$E)*-1</f>
        <v>0</v>
      </c>
    </row>
    <row r="449" spans="2:9" s="42" customFormat="1" x14ac:dyDescent="0.2">
      <c r="B449" s="160">
        <v>14</v>
      </c>
      <c r="C449" s="305" t="s">
        <v>1335</v>
      </c>
      <c r="D449" s="82" t="s">
        <v>1336</v>
      </c>
      <c r="E449" s="72">
        <f>SUMIF(Adat!$AG:$AG,CONCATENATE(61,Info!$D$5,"09151",L433),Adat!$E:$E)*-1</f>
        <v>0</v>
      </c>
      <c r="F449" s="72">
        <f>SUMIF(Adat!$AG:$AG,CONCATENATE(60,Info!$D$5,"09151",L433),Adat!$E:$E)*-1+E449</f>
        <v>0</v>
      </c>
      <c r="G449" s="72">
        <f>SUMIF(Adat!$AH:$AH,CONCATENATE(Info!$D$5,"(KÖT)","09151",L433),Adat!$E:$E)*-1</f>
        <v>0</v>
      </c>
      <c r="H449" s="72">
        <f>SUMIF(Adat!$AH:$AH,CONCATENATE(Info!$D$5,"(ÖNV)","09151",L433),Adat!$E:$E)*-1</f>
        <v>0</v>
      </c>
      <c r="I449" s="72">
        <f>SUMIF(Adat!$AH:$AH,CONCATENATE(Info!$D$5,"(ÁIG)","09151",L433),Adat!$E:$E)*-1</f>
        <v>0</v>
      </c>
    </row>
    <row r="450" spans="2:9" s="42" customFormat="1" x14ac:dyDescent="0.2">
      <c r="B450" s="160">
        <v>15</v>
      </c>
      <c r="C450" s="305" t="s">
        <v>1278</v>
      </c>
      <c r="D450" s="82" t="s">
        <v>1337</v>
      </c>
      <c r="E450" s="72">
        <f>SUMIF(Adat!$AG:$AG,CONCATENATE(61,Info!$D$5,"09161",L433),Adat!$E:$E)*-1</f>
        <v>0</v>
      </c>
      <c r="F450" s="72">
        <f>SUMIF(Adat!$AG:$AG,CONCATENATE(60,Info!$D$5,"09161",L433),Adat!$E:$E)*-1+E450</f>
        <v>0</v>
      </c>
      <c r="G450" s="72">
        <f>SUMIF(Adat!$AH:$AH,CONCATENATE(Info!$D$5,"(KÖT)","09161",L433),Adat!$E:$E)*-1</f>
        <v>0</v>
      </c>
      <c r="H450" s="72">
        <f>SUMIF(Adat!$AH:$AH,CONCATENATE(Info!$D$5,"(ÖNV)","09161",L433),Adat!$E:$E)*-1</f>
        <v>0</v>
      </c>
      <c r="I450" s="72">
        <f>SUMIF(Adat!$AH:$AH,CONCATENATE(Info!$D$5,"(ÁIG)","09161",L433),Adat!$E:$E)*-1</f>
        <v>0</v>
      </c>
    </row>
    <row r="451" spans="2:9" x14ac:dyDescent="0.25">
      <c r="B451" s="160">
        <v>16</v>
      </c>
      <c r="C451" s="79" t="s">
        <v>24</v>
      </c>
      <c r="D451" s="79" t="s">
        <v>449</v>
      </c>
      <c r="E451" s="71">
        <f t="shared" ref="E451:F451" si="48">SUM(E452:E456)</f>
        <v>0</v>
      </c>
      <c r="F451" s="71">
        <f t="shared" si="48"/>
        <v>0</v>
      </c>
      <c r="G451" s="71">
        <f>SUM(G452:G456)</f>
        <v>0</v>
      </c>
      <c r="H451" s="71">
        <f t="shared" ref="H451:I451" si="49">SUM(H452:H456)</f>
        <v>0</v>
      </c>
      <c r="I451" s="71">
        <f t="shared" si="49"/>
        <v>0</v>
      </c>
    </row>
    <row r="452" spans="2:9" x14ac:dyDescent="0.2">
      <c r="B452" s="160">
        <v>17</v>
      </c>
      <c r="C452" s="305" t="s">
        <v>1339</v>
      </c>
      <c r="D452" s="82" t="s">
        <v>1340</v>
      </c>
      <c r="E452" s="72">
        <f>SUMIF(Adat!$AG:$AG,CONCATENATE(61,Info!$D$5,"09211",L433),Adat!$E:$E)*-1</f>
        <v>0</v>
      </c>
      <c r="F452" s="72">
        <f>SUMIF(Adat!$AG:$AG,CONCATENATE(60,Info!$D$5,"09211",L433),Adat!$E:$E)*-1+E452</f>
        <v>0</v>
      </c>
      <c r="G452" s="72">
        <f>SUMIF(Adat!$AH:$AH,CONCATENATE(Info!$D$5,"(KÖT)","09211",L433),Adat!$E:$E)*-1</f>
        <v>0</v>
      </c>
      <c r="H452" s="72">
        <f>SUMIF(Adat!$AH:$AH,CONCATENATE(Info!$D$5,"(ÖNV)","09211",L433),Adat!$E:$E)*-1</f>
        <v>0</v>
      </c>
      <c r="I452" s="72">
        <f>SUMIF(Adat!$AH:$AH,CONCATENATE(Info!$D$5,"(ÁIG)","09211",L433),Adat!$E:$E)*-1</f>
        <v>0</v>
      </c>
    </row>
    <row r="453" spans="2:9" s="42" customFormat="1" x14ac:dyDescent="0.2">
      <c r="B453" s="160">
        <v>18</v>
      </c>
      <c r="C453" s="305" t="s">
        <v>1341</v>
      </c>
      <c r="D453" s="82" t="s">
        <v>1342</v>
      </c>
      <c r="E453" s="72">
        <f>SUMIF(Adat!$AG:$AG,CONCATENATE(61,Info!$D$5,"09221",L433),Adat!$E:$E)*-1</f>
        <v>0</v>
      </c>
      <c r="F453" s="72">
        <f>SUMIF(Adat!$AG:$AG,CONCATENATE(60,Info!$D$5,"09221",L433),Adat!$E:$E)*-1+E453</f>
        <v>0</v>
      </c>
      <c r="G453" s="72">
        <f>SUMIF(Adat!$AH:$AH,CONCATENATE(Info!$D$5,"(KÖT)","09221",L433),Adat!$E:$E)*-1</f>
        <v>0</v>
      </c>
      <c r="H453" s="72">
        <f>SUMIF(Adat!$AH:$AH,CONCATENATE(Info!$D$5,"(ÖNV)","09221",L433),Adat!$E:$E)*-1</f>
        <v>0</v>
      </c>
      <c r="I453" s="72">
        <f>SUMIF(Adat!$AH:$AH,CONCATENATE(Info!$D$5,"(ÁIG)","09221",L433),Adat!$E:$E)*-1</f>
        <v>0</v>
      </c>
    </row>
    <row r="454" spans="2:9" x14ac:dyDescent="0.2">
      <c r="B454" s="160">
        <v>19</v>
      </c>
      <c r="C454" s="305" t="s">
        <v>1343</v>
      </c>
      <c r="D454" s="82" t="s">
        <v>1344</v>
      </c>
      <c r="E454" s="72">
        <f>SUMIF(Adat!$AG:$AG,CONCATENATE(61,Info!$D$5,"09231",L433),Adat!$E:$E)*-1</f>
        <v>0</v>
      </c>
      <c r="F454" s="72">
        <f>SUMIF(Adat!$AG:$AG,CONCATENATE(60,Info!$D$5,"09231",L433),Adat!$E:$E)*-1+E454</f>
        <v>0</v>
      </c>
      <c r="G454" s="72">
        <f>SUMIF(Adat!$AH:$AH,CONCATENATE(Info!$D$5,"(KÖT)","09231",L433),Adat!$E:$E)*-1</f>
        <v>0</v>
      </c>
      <c r="H454" s="72">
        <f>SUMIF(Adat!$AH:$AH,CONCATENATE(Info!$D$5,"(ÖNV)","09231",L433),Adat!$E:$E)*-1</f>
        <v>0</v>
      </c>
      <c r="I454" s="72">
        <f>SUMIF(Adat!$AH:$AH,CONCATENATE(Info!$D$5,"(ÁIG)","09231",L433),Adat!$E:$E)*-1</f>
        <v>0</v>
      </c>
    </row>
    <row r="455" spans="2:9" x14ac:dyDescent="0.2">
      <c r="B455" s="160">
        <v>20</v>
      </c>
      <c r="C455" s="305" t="s">
        <v>1345</v>
      </c>
      <c r="D455" s="82" t="s">
        <v>1346</v>
      </c>
      <c r="E455" s="72">
        <f>SUMIF(Adat!$AG:$AG,CONCATENATE(61,Info!$D$5,"09241",L433),Adat!$E:$E)*-1</f>
        <v>0</v>
      </c>
      <c r="F455" s="72">
        <f>SUMIF(Adat!$AG:$AG,CONCATENATE(60,Info!$D$5,"09241",L433),Adat!$E:$E)*-1+E455</f>
        <v>0</v>
      </c>
      <c r="G455" s="72">
        <f>SUMIF(Adat!$AH:$AH,CONCATENATE(Info!$D$5,"(KÖT)","09241",L433),Adat!$E:$E)*-1</f>
        <v>0</v>
      </c>
      <c r="H455" s="72">
        <f>SUMIF(Adat!$AH:$AH,CONCATENATE(Info!$D$5,"(ÖNV)","09241",L433),Adat!$E:$E)*-1</f>
        <v>0</v>
      </c>
      <c r="I455" s="72">
        <f>SUMIF(Adat!$AH:$AH,CONCATENATE(Info!$D$5,"(ÁIG)","09241",L433),Adat!$E:$E)*-1</f>
        <v>0</v>
      </c>
    </row>
    <row r="456" spans="2:9" x14ac:dyDescent="0.2">
      <c r="B456" s="160">
        <v>21</v>
      </c>
      <c r="C456" s="305" t="s">
        <v>1255</v>
      </c>
      <c r="D456" s="82" t="s">
        <v>1347</v>
      </c>
      <c r="E456" s="72">
        <f>SUMIF(Adat!$AG:$AG,CONCATENATE(61,Info!$D$5,"09251",L433),Adat!$E:$E)*-1</f>
        <v>0</v>
      </c>
      <c r="F456" s="72">
        <f>SUMIF(Adat!$AG:$AG,CONCATENATE(60,Info!$D$5,"09251",L433),Adat!$E:$E)*-1+E456</f>
        <v>0</v>
      </c>
      <c r="G456" s="72">
        <f>SUMIF(Adat!$AH:$AH,CONCATENATE(Info!$D$5,"(KÖT)","09251",L433),Adat!$E:$E)*-1</f>
        <v>0</v>
      </c>
      <c r="H456" s="72">
        <f>SUMIF(Adat!$AH:$AH,CONCATENATE(Info!$D$5,"(ÖNV)","09251",L433),Adat!$E:$E)*-1</f>
        <v>0</v>
      </c>
      <c r="I456" s="72">
        <f>SUMIF(Adat!$AH:$AH,CONCATENATE(Info!$D$5,"(ÁIG)","09251",L433),Adat!$E:$E)*-1</f>
        <v>0</v>
      </c>
    </row>
    <row r="457" spans="2:9" x14ac:dyDescent="0.25">
      <c r="B457" s="160">
        <v>22</v>
      </c>
      <c r="C457" s="79" t="s">
        <v>27</v>
      </c>
      <c r="D457" s="79" t="s">
        <v>328</v>
      </c>
      <c r="E457" s="71">
        <f>SUM(E458:E463)</f>
        <v>0</v>
      </c>
      <c r="F457" s="71">
        <f>SUM(F458:F463)</f>
        <v>0</v>
      </c>
      <c r="G457" s="71">
        <f>SUM(G458:G463)</f>
        <v>0</v>
      </c>
      <c r="H457" s="71">
        <f>SUM(H458:H463)</f>
        <v>0</v>
      </c>
      <c r="I457" s="71">
        <f>SUM(I458:I463)</f>
        <v>0</v>
      </c>
    </row>
    <row r="458" spans="2:9" x14ac:dyDescent="0.2">
      <c r="B458" s="160">
        <v>23</v>
      </c>
      <c r="C458" s="305" t="s">
        <v>1348</v>
      </c>
      <c r="D458" s="82" t="s">
        <v>1349</v>
      </c>
      <c r="E458" s="72">
        <f>SUMIF(Adat!$AG:$AG,CONCATENATE(61,Info!$D$5,"093111",L433),Adat!$E:$E)*-1</f>
        <v>0</v>
      </c>
      <c r="F458" s="72">
        <f>SUMIF(Adat!$AG:$AG,CONCATENATE(60,Info!$D$5,"093111",L433),Adat!$E:$E)*-1+E458</f>
        <v>0</v>
      </c>
      <c r="G458" s="72">
        <f>SUMIF(Adat!$AH:$AH,CONCATENATE(Info!$D$5,"(KÖT)","093111",L433),Adat!$E:$E)*-1</f>
        <v>0</v>
      </c>
      <c r="H458" s="72">
        <f>SUMIF(Adat!$AH:$AH,CONCATENATE(Info!$D$5,"(ÖNV)","093111",L433),Adat!$E:$E)*-1</f>
        <v>0</v>
      </c>
      <c r="I458" s="72">
        <f>SUMIF(Adat!$AH:$AH,CONCATENATE(Info!$D$5,"(ÁIG)","093111",L433),Adat!$E:$E)*-1</f>
        <v>0</v>
      </c>
    </row>
    <row r="459" spans="2:9" x14ac:dyDescent="0.2">
      <c r="B459" s="160">
        <v>24</v>
      </c>
      <c r="C459" s="305" t="s">
        <v>1259</v>
      </c>
      <c r="D459" s="82" t="s">
        <v>1350</v>
      </c>
      <c r="E459" s="72">
        <f>SUMIF(Adat!$AG:$AG,CONCATENATE(61,Info!$D$5,"09341",L433),Adat!$E:$E)*-1</f>
        <v>0</v>
      </c>
      <c r="F459" s="72">
        <f>SUMIF(Adat!$AG:$AG,CONCATENATE(60,Info!$D$5,"09341",L433),Adat!$E:$E)*-1+E459</f>
        <v>0</v>
      </c>
      <c r="G459" s="72">
        <f>SUMIF(Adat!$AH:$AH,CONCATENATE(Info!$D$5,"(KÖT)","09341",L433),Adat!$E:$E)*-1</f>
        <v>0</v>
      </c>
      <c r="H459" s="72">
        <f>SUMIF(Adat!$AH:$AH,CONCATENATE(Info!$D$5,"(ÖNV)","09341",L433),Adat!$E:$E)*-1</f>
        <v>0</v>
      </c>
      <c r="I459" s="72">
        <f>SUMIF(Adat!$AH:$AH,CONCATENATE(Info!$D$5,"(ÁIG)","09341",L433),Adat!$E:$E)*-1</f>
        <v>0</v>
      </c>
    </row>
    <row r="460" spans="2:9" x14ac:dyDescent="0.2">
      <c r="B460" s="160">
        <v>25</v>
      </c>
      <c r="C460" s="305" t="s">
        <v>1260</v>
      </c>
      <c r="D460" s="82" t="s">
        <v>1351</v>
      </c>
      <c r="E460" s="72">
        <f>SUMIF(Adat!$AG:$AG,CONCATENATE(61,Info!$D$5,"093511",L433),Adat!$E:$E)*-1</f>
        <v>0</v>
      </c>
      <c r="F460" s="72">
        <f>SUMIF(Adat!$AG:$AG,CONCATENATE(60,Info!$D$5,"093511",L433),Adat!$E:$E)*-1+E460</f>
        <v>0</v>
      </c>
      <c r="G460" s="72">
        <f>SUMIF(Adat!$AH:$AH,CONCATENATE(Info!$D$5,"(KÖT)","093511",L433),Adat!$E:$E)*-1</f>
        <v>0</v>
      </c>
      <c r="H460" s="72">
        <f>SUMIF(Adat!$AH:$AH,CONCATENATE(Info!$D$5,"(ÖNV)","093511",L433),Adat!$E:$E)*-1</f>
        <v>0</v>
      </c>
      <c r="I460" s="72">
        <f>SUMIF(Adat!$AH:$AH,CONCATENATE(Info!$D$5,"(ÁIG)","093511",L433),Adat!$E:$E)*-1</f>
        <v>0</v>
      </c>
    </row>
    <row r="461" spans="2:9" x14ac:dyDescent="0.2">
      <c r="B461" s="160">
        <v>26</v>
      </c>
      <c r="C461" s="305" t="s">
        <v>1352</v>
      </c>
      <c r="D461" s="82" t="s">
        <v>1353</v>
      </c>
      <c r="E461" s="72">
        <f>SUMIF(Adat!$AG:$AG,CONCATENATE(61,Info!$D$5,"093521",L433),Adat!$E:$E)*-1</f>
        <v>0</v>
      </c>
      <c r="F461" s="72">
        <f>SUMIF(Adat!$AG:$AG,CONCATENATE(60,Info!$D$5,"093521",L433),Adat!$E:$E)*-1+E461</f>
        <v>0</v>
      </c>
      <c r="G461" s="72">
        <f>SUMIF(Adat!$AH:$AH,CONCATENATE(Info!$D$5,"(KÖT)","093521",L433),Adat!$E:$E)*-1</f>
        <v>0</v>
      </c>
      <c r="H461" s="72">
        <f>SUMIF(Adat!$AH:$AH,CONCATENATE(Info!$D$5,"(ÖNV)","093521",L433),Adat!$E:$E)*-1</f>
        <v>0</v>
      </c>
      <c r="I461" s="72">
        <f>SUMIF(Adat!$AH:$AH,CONCATENATE(Info!$D$5,"(ÁIG)","093521",L433),Adat!$E:$E)*-1</f>
        <v>0</v>
      </c>
    </row>
    <row r="462" spans="2:9" x14ac:dyDescent="0.2">
      <c r="B462" s="160">
        <v>27</v>
      </c>
      <c r="C462" s="305" t="s">
        <v>1292</v>
      </c>
      <c r="D462" s="82" t="s">
        <v>1354</v>
      </c>
      <c r="E462" s="72">
        <f>SUMIF(Adat!$AG:$AG,CONCATENATE(61,Info!$D$5,"093551",L433),Adat!$E:$E)*-1</f>
        <v>0</v>
      </c>
      <c r="F462" s="72">
        <f>SUMIF(Adat!$AG:$AG,CONCATENATE(60,Info!$D$5,"093551",L433),Adat!$E:$E)*-1+E462</f>
        <v>0</v>
      </c>
      <c r="G462" s="72">
        <f>SUMIF(Adat!$AH:$AH,CONCATENATE(Info!$D$5,"(KÖT)","093551",L433),Adat!$E:$E)*-1</f>
        <v>0</v>
      </c>
      <c r="H462" s="72">
        <f>SUMIF(Adat!$AH:$AH,CONCATENATE(Info!$D$5,"(ÖNV)","093551",L433),Adat!$E:$E)*-1</f>
        <v>0</v>
      </c>
      <c r="I462" s="72">
        <f>SUMIF(Adat!$AH:$AH,CONCATENATE(Info!$D$5,"(ÁIG)","093551",L433),Adat!$E:$E)*-1</f>
        <v>0</v>
      </c>
    </row>
    <row r="463" spans="2:9" x14ac:dyDescent="0.2">
      <c r="B463" s="160">
        <v>28</v>
      </c>
      <c r="C463" s="305" t="s">
        <v>1293</v>
      </c>
      <c r="D463" s="82" t="s">
        <v>1355</v>
      </c>
      <c r="E463" s="72">
        <f>SUMIF(Adat!$AG:$AG,CONCATENATE(61,Info!$D$5,"09361",L433),Adat!$E:$E)*-1</f>
        <v>0</v>
      </c>
      <c r="F463" s="72">
        <f>SUMIF(Adat!$AG:$AG,CONCATENATE(60,Info!$D$5,"09361",L433),Adat!$E:$E)*-1+E463</f>
        <v>0</v>
      </c>
      <c r="G463" s="72">
        <f>SUMIF(Adat!$AH:$AH,CONCATENATE(Info!$D$5,"(KÖT)","09361",L433),Adat!$E:$E)*-1</f>
        <v>0</v>
      </c>
      <c r="H463" s="72">
        <f>SUMIF(Adat!$AH:$AH,CONCATENATE(Info!$D$5,"(ÖNV)","09361",L433),Adat!$E:$E)*-1</f>
        <v>0</v>
      </c>
      <c r="I463" s="72">
        <f>SUMIF(Adat!$AH:$AH,CONCATENATE(Info!$D$5,"(ÁIG)","09361",L433),Adat!$E:$E)*-1</f>
        <v>0</v>
      </c>
    </row>
    <row r="464" spans="2:9" x14ac:dyDescent="0.25">
      <c r="B464" s="160">
        <v>29</v>
      </c>
      <c r="C464" s="79" t="s">
        <v>30</v>
      </c>
      <c r="D464" s="79" t="s">
        <v>329</v>
      </c>
      <c r="E464" s="71">
        <f>SUM(E465:E477)</f>
        <v>0</v>
      </c>
      <c r="F464" s="71">
        <f t="shared" ref="F464:I464" si="50">SUM(F465:F477)</f>
        <v>0</v>
      </c>
      <c r="G464" s="71">
        <f t="shared" si="50"/>
        <v>0</v>
      </c>
      <c r="H464" s="71">
        <f t="shared" si="50"/>
        <v>0</v>
      </c>
      <c r="I464" s="71">
        <f t="shared" si="50"/>
        <v>0</v>
      </c>
    </row>
    <row r="465" spans="2:9" x14ac:dyDescent="0.2">
      <c r="B465" s="160">
        <v>30</v>
      </c>
      <c r="C465" s="305" t="s">
        <v>1309</v>
      </c>
      <c r="D465" s="82" t="s">
        <v>1356</v>
      </c>
      <c r="E465" s="72">
        <f>SUMIF(Adat!$AG:$AG,CONCATENATE(61,Info!$D$5,"094011",L433),Adat!$E:$E)*-1</f>
        <v>0</v>
      </c>
      <c r="F465" s="72">
        <f>SUMIF(Adat!$AG:$AG,CONCATENATE(60,Info!$D$5,"094011",L433),Adat!$E:$E)*-1+E465</f>
        <v>0</v>
      </c>
      <c r="G465" s="72">
        <f>SUMIF(Adat!$AH:$AH,CONCATENATE(Info!$D$5,"(KÖT)","094011",L433),Adat!$E:$E)*-1</f>
        <v>0</v>
      </c>
      <c r="H465" s="72">
        <f>SUMIF(Adat!$AH:$AH,CONCATENATE(Info!$D$5,"(ÖNV)","094011",L433),Adat!$E:$E)*-1</f>
        <v>0</v>
      </c>
      <c r="I465" s="72">
        <f>SUMIF(Adat!$AH:$AH,CONCATENATE(Info!$D$5,"(ÁIG)","094011",L433),Adat!$E:$E)*-1</f>
        <v>0</v>
      </c>
    </row>
    <row r="466" spans="2:9" x14ac:dyDescent="0.2">
      <c r="B466" s="160">
        <v>31</v>
      </c>
      <c r="C466" s="305" t="s">
        <v>1279</v>
      </c>
      <c r="D466" s="82" t="s">
        <v>1357</v>
      </c>
      <c r="E466" s="72">
        <f>SUMIF(Adat!$AG:$AG,CONCATENATE(61,Info!$D$5,"094021",L433),Adat!$E:$E)*-1</f>
        <v>0</v>
      </c>
      <c r="F466" s="72">
        <f>SUMIF(Adat!$AG:$AG,CONCATENATE(60,Info!$D$5,"094021",L433),Adat!$E:$E)*-1+E466</f>
        <v>0</v>
      </c>
      <c r="G466" s="72">
        <f>SUMIF(Adat!$AH:$AH,CONCATENATE(Info!$D$5,"(KÖT)","094021",L433),Adat!$E:$E)*-1</f>
        <v>0</v>
      </c>
      <c r="H466" s="72">
        <f>SUMIF(Adat!$AH:$AH,CONCATENATE(Info!$D$5,"(ÖNV)","094021",L433),Adat!$E:$E)*-1</f>
        <v>0</v>
      </c>
      <c r="I466" s="72">
        <f>SUMIF(Adat!$AH:$AH,CONCATENATE(Info!$D$5,"(ÁIG)","094021",L433),Adat!$E:$E)*-1</f>
        <v>0</v>
      </c>
    </row>
    <row r="467" spans="2:9" x14ac:dyDescent="0.2">
      <c r="B467" s="160">
        <v>32</v>
      </c>
      <c r="C467" s="305" t="s">
        <v>1272</v>
      </c>
      <c r="D467" s="82" t="s">
        <v>1358</v>
      </c>
      <c r="E467" s="72">
        <f>SUMIF(Adat!$AG:$AG,CONCATENATE(61,Info!$D$5,"094031",L433),Adat!$E:$E)*-1</f>
        <v>0</v>
      </c>
      <c r="F467" s="72">
        <f>SUMIF(Adat!$AG:$AG,CONCATENATE(60,Info!$D$5,"094031",L433),Adat!$E:$E)*-1+E467</f>
        <v>0</v>
      </c>
      <c r="G467" s="72">
        <f>SUMIF(Adat!$AH:$AH,CONCATENATE(Info!$D$5,"(KÖT)","094031",L433),Adat!$E:$E)*-1</f>
        <v>0</v>
      </c>
      <c r="H467" s="72">
        <f>SUMIF(Adat!$AH:$AH,CONCATENATE(Info!$D$5,"(ÖNV)","094031",L433),Adat!$E:$E)*-1</f>
        <v>0</v>
      </c>
      <c r="I467" s="72">
        <f>SUMIF(Adat!$AH:$AH,CONCATENATE(Info!$D$5,"(ÁIG)","094031",L433),Adat!$E:$E)*-1</f>
        <v>0</v>
      </c>
    </row>
    <row r="468" spans="2:9" x14ac:dyDescent="0.2">
      <c r="B468" s="160">
        <v>33</v>
      </c>
      <c r="C468" s="305" t="s">
        <v>1359</v>
      </c>
      <c r="D468" s="82" t="s">
        <v>1360</v>
      </c>
      <c r="E468" s="72">
        <f>SUMIF(Adat!$AG:$AG,CONCATENATE(61,Info!$D$5,"094041",L433),Adat!$E:$E)*-1</f>
        <v>0</v>
      </c>
      <c r="F468" s="72">
        <f>SUMIF(Adat!$AG:$AG,CONCATENATE(60,Info!$D$5,"094041",L433),Adat!$E:$E)*-1+E468</f>
        <v>0</v>
      </c>
      <c r="G468" s="72">
        <f>SUMIF(Adat!$AH:$AH,CONCATENATE(Info!$D$5,"(KÖT)","094041",L433),Adat!$E:$E)*-1</f>
        <v>0</v>
      </c>
      <c r="H468" s="72">
        <f>SUMIF(Adat!$AH:$AH,CONCATENATE(Info!$D$5,"(ÖNV)","094041",L433),Adat!$E:$E)*-1</f>
        <v>0</v>
      </c>
      <c r="I468" s="72">
        <f>SUMIF(Adat!$AH:$AH,CONCATENATE(Info!$D$5,"(ÁIG)","094041",L433),Adat!$E:$E)*-1</f>
        <v>0</v>
      </c>
    </row>
    <row r="469" spans="2:9" x14ac:dyDescent="0.2">
      <c r="B469" s="160">
        <v>34</v>
      </c>
      <c r="C469" s="305" t="s">
        <v>1261</v>
      </c>
      <c r="D469" s="82" t="s">
        <v>1361</v>
      </c>
      <c r="E469" s="72">
        <f>SUMIF(Adat!$AG:$AG,CONCATENATE(61,Info!$D$5,"094051",L433),Adat!$E:$E)*-1</f>
        <v>0</v>
      </c>
      <c r="F469" s="72">
        <f>SUMIF(Adat!$AG:$AG,CONCATENATE(60,Info!$D$5,"094051",L433),Adat!$E:$E)*-1+E469</f>
        <v>0</v>
      </c>
      <c r="G469" s="72">
        <f>SUMIF(Adat!$AH:$AH,CONCATENATE(Info!$D$5,"(KÖT)","094051",L433),Adat!$E:$E)*-1</f>
        <v>0</v>
      </c>
      <c r="H469" s="72">
        <f>SUMIF(Adat!$AH:$AH,CONCATENATE(Info!$D$5,"(ÖNV)","094051",L433),Adat!$E:$E)*-1</f>
        <v>0</v>
      </c>
      <c r="I469" s="72">
        <f>SUMIF(Adat!$AH:$AH,CONCATENATE(Info!$D$5,"(ÁIG)","094051",L433),Adat!$E:$E)*-1</f>
        <v>0</v>
      </c>
    </row>
    <row r="470" spans="2:9" x14ac:dyDescent="0.2">
      <c r="B470" s="160">
        <v>35</v>
      </c>
      <c r="C470" s="305" t="s">
        <v>1273</v>
      </c>
      <c r="D470" s="82" t="s">
        <v>1362</v>
      </c>
      <c r="E470" s="72">
        <f>SUMIF(Adat!$AG:$AG,CONCATENATE(61,Info!$D$5,"094061",L433),Adat!$E:$E)*-1</f>
        <v>0</v>
      </c>
      <c r="F470" s="72">
        <f>SUMIF(Adat!$AG:$AG,CONCATENATE(60,Info!$D$5,"094061",L433),Adat!$E:$E)*-1+E470</f>
        <v>0</v>
      </c>
      <c r="G470" s="72">
        <f>SUMIF(Adat!$AH:$AH,CONCATENATE(Info!$D$5,"(KÖT)","094061",L433),Adat!$E:$E)*-1</f>
        <v>0</v>
      </c>
      <c r="H470" s="72">
        <f>SUMIF(Adat!$AH:$AH,CONCATENATE(Info!$D$5,"(ÖNV)","094061",L433),Adat!$E:$E)*-1</f>
        <v>0</v>
      </c>
      <c r="I470" s="72">
        <f>SUMIF(Adat!$AH:$AH,CONCATENATE(Info!$D$5,"(ÁIG)","094061",L433),Adat!$E:$E)*-1</f>
        <v>0</v>
      </c>
    </row>
    <row r="471" spans="2:9" x14ac:dyDescent="0.2">
      <c r="B471" s="160">
        <v>36</v>
      </c>
      <c r="C471" s="305" t="s">
        <v>1363</v>
      </c>
      <c r="D471" s="82" t="s">
        <v>1364</v>
      </c>
      <c r="E471" s="72">
        <f>SUMIF(Adat!$AG:$AG,CONCATENATE(61,Info!$D$5,"094071",L433),Adat!$E:$E)*-1</f>
        <v>0</v>
      </c>
      <c r="F471" s="72">
        <f>SUMIF(Adat!$AG:$AG,CONCATENATE(60,Info!$D$5,"094071",L433),Adat!$E:$E)*-1+E471</f>
        <v>0</v>
      </c>
      <c r="G471" s="72">
        <f>SUMIF(Adat!$AH:$AH,CONCATENATE(Info!$D$5,"(KÖT)","094071",L433),Adat!$E:$E)*-1</f>
        <v>0</v>
      </c>
      <c r="H471" s="72">
        <f>SUMIF(Adat!$AH:$AH,CONCATENATE(Info!$D$5,"(ÖNV)","094071",L433),Adat!$E:$E)*-1</f>
        <v>0</v>
      </c>
      <c r="I471" s="72">
        <f>SUMIF(Adat!$AH:$AH,CONCATENATE(Info!$D$5,"(ÁIG)","094071",L433),Adat!$E:$E)*-1</f>
        <v>0</v>
      </c>
    </row>
    <row r="472" spans="2:9" x14ac:dyDescent="0.2">
      <c r="B472" s="160">
        <v>37</v>
      </c>
      <c r="C472" s="305" t="s">
        <v>1306</v>
      </c>
      <c r="D472" s="82" t="s">
        <v>1365</v>
      </c>
      <c r="E472" s="72">
        <f>SUMIF(Adat!$AG:$AG,CONCATENATE(61,Info!$D$5,"0940811",L433),Adat!$E:$E)*-1</f>
        <v>0</v>
      </c>
      <c r="F472" s="72">
        <f>SUMIF(Adat!$AG:$AG,CONCATENATE(60,Info!$D$5,"0940811",L433),Adat!$E:$E)*-1+E472</f>
        <v>0</v>
      </c>
      <c r="G472" s="72">
        <f>SUMIF(Adat!$AH:$AH,CONCATENATE(Info!$D$5,"(KÖT)","0940811",L433),Adat!$E:$E)*-1</f>
        <v>0</v>
      </c>
      <c r="H472" s="72">
        <f>SUMIF(Adat!$AH:$AH,CONCATENATE(Info!$D$5,"(ÖNV)","0940811",L433),Adat!$E:$E)*-1</f>
        <v>0</v>
      </c>
      <c r="I472" s="72">
        <f>SUMIF(Adat!$AH:$AH,CONCATENATE(Info!$D$5,"(ÁIG)","0940811",L433),Adat!$E:$E)*-1</f>
        <v>0</v>
      </c>
    </row>
    <row r="473" spans="2:9" x14ac:dyDescent="0.2">
      <c r="B473" s="160">
        <v>38</v>
      </c>
      <c r="C473" s="305" t="s">
        <v>1295</v>
      </c>
      <c r="D473" s="82" t="s">
        <v>1366</v>
      </c>
      <c r="E473" s="72">
        <f>SUMIF(Adat!$AG:$AG,CONCATENATE(61,Info!$D$5,"0940821",L433),Adat!$E:$E)*-1</f>
        <v>0</v>
      </c>
      <c r="F473" s="72">
        <f>SUMIF(Adat!$AG:$AG,CONCATENATE(60,Info!$D$5,"0940821",L433),Adat!$E:$E)*-1+E473</f>
        <v>0</v>
      </c>
      <c r="G473" s="72">
        <f>SUMIF(Adat!$AH:$AH,CONCATENATE(Info!$D$5,"(KÖT)","0940821",L433),Adat!$E:$E)*-1</f>
        <v>0</v>
      </c>
      <c r="H473" s="72">
        <f>SUMIF(Adat!$AH:$AH,CONCATENATE(Info!$D$5,"(ÖNV)","0940821",L433),Adat!$E:$E)*-1</f>
        <v>0</v>
      </c>
      <c r="I473" s="72">
        <f>SUMIF(Adat!$AH:$AH,CONCATENATE(Info!$D$5,"(ÁIG)","0940821",L433),Adat!$E:$E)*-1</f>
        <v>0</v>
      </c>
    </row>
    <row r="474" spans="2:9" x14ac:dyDescent="0.2">
      <c r="B474" s="160">
        <v>39</v>
      </c>
      <c r="C474" s="305" t="s">
        <v>1367</v>
      </c>
      <c r="D474" s="82" t="s">
        <v>1368</v>
      </c>
      <c r="E474" s="72">
        <f>SUMIF(Adat!$AG:$AG,CONCATENATE(61,Info!$D$5,"0940911",L433),Adat!$E:$E)*-1</f>
        <v>0</v>
      </c>
      <c r="F474" s="72">
        <f>SUMIF(Adat!$AG:$AG,CONCATENATE(60,Info!$D$5,"0940911",L433),Adat!$E:$E)*-1+E474</f>
        <v>0</v>
      </c>
      <c r="G474" s="72">
        <f>SUMIF(Adat!$AH:$AH,CONCATENATE(Info!$D$5,"(KÖT)","0940911",L433),Adat!$E:$E)*-1</f>
        <v>0</v>
      </c>
      <c r="H474" s="72">
        <f>SUMIF(Adat!$AH:$AH,CONCATENATE(Info!$D$5,"(ÖNV)","0940911",L433),Adat!$E:$E)*-1</f>
        <v>0</v>
      </c>
      <c r="I474" s="72">
        <f>SUMIF(Adat!$AH:$AH,CONCATENATE(Info!$D$5,"(ÁIG)","0940911",L433),Adat!$E:$E)*-1</f>
        <v>0</v>
      </c>
    </row>
    <row r="475" spans="2:9" x14ac:dyDescent="0.2">
      <c r="B475" s="160">
        <v>40</v>
      </c>
      <c r="C475" s="305" t="s">
        <v>1369</v>
      </c>
      <c r="D475" s="82" t="s">
        <v>1370</v>
      </c>
      <c r="E475" s="72">
        <f>SUMIF(Adat!$AG:$AG,CONCATENATE(61,Info!$D$5,"0940921",L433),Adat!$E:$E)*-1</f>
        <v>0</v>
      </c>
      <c r="F475" s="72">
        <f>SUMIF(Adat!$AG:$AG,CONCATENATE(60,Info!$D$5,"0940921",L433),Adat!$E:$E)*-1+E475</f>
        <v>0</v>
      </c>
      <c r="G475" s="72">
        <f>SUMIF(Adat!$AH:$AH,CONCATENATE(Info!$D$5,"(KÖT)","0940921",L433),Adat!$E:$E)*-1</f>
        <v>0</v>
      </c>
      <c r="H475" s="72">
        <f>SUMIF(Adat!$AH:$AH,CONCATENATE(Info!$D$5,"(ÖNV)","0940921",L433),Adat!$E:$E)*-1</f>
        <v>0</v>
      </c>
      <c r="I475" s="72">
        <f>SUMIF(Adat!$AH:$AH,CONCATENATE(Info!$D$5,"(ÁIG)","0940921",L433),Adat!$E:$E)*-1</f>
        <v>0</v>
      </c>
    </row>
    <row r="476" spans="2:9" x14ac:dyDescent="0.2">
      <c r="B476" s="160">
        <v>41</v>
      </c>
      <c r="C476" s="305" t="s">
        <v>1296</v>
      </c>
      <c r="D476" s="82" t="s">
        <v>1371</v>
      </c>
      <c r="E476" s="72">
        <f>SUMIF(Adat!$AG:$AG,CONCATENATE(61,Info!$D$5,"094101",L433),Adat!$E:$E)*-1</f>
        <v>0</v>
      </c>
      <c r="F476" s="72">
        <f>SUMIF(Adat!$AG:$AG,CONCATENATE(60,Info!$D$5,"094101",L433),Adat!$E:$E)*-1+E476</f>
        <v>0</v>
      </c>
      <c r="G476" s="72">
        <f>SUMIF(Adat!$AH:$AH,CONCATENATE(Info!$D$5,"(KÖT)","094101",L433),Adat!$E:$E)*-1</f>
        <v>0</v>
      </c>
      <c r="H476" s="72">
        <f>SUMIF(Adat!$AH:$AH,CONCATENATE(Info!$D$5,"(ÖNV)","094101",L433),Adat!$E:$E)*-1</f>
        <v>0</v>
      </c>
      <c r="I476" s="72">
        <f>SUMIF(Adat!$AH:$AH,CONCATENATE(Info!$D$5,"(ÁIG)","094101",L433),Adat!$E:$E)*-1</f>
        <v>0</v>
      </c>
    </row>
    <row r="477" spans="2:9" x14ac:dyDescent="0.25">
      <c r="B477" s="160">
        <v>42</v>
      </c>
      <c r="C477" s="305" t="s">
        <v>1297</v>
      </c>
      <c r="D477" s="84" t="s">
        <v>1372</v>
      </c>
      <c r="E477" s="72">
        <f>SUMIF(Adat!$AG:$AG,CONCATENATE(61,Info!$D$5,"094111",L433),Adat!$E:$E)*-1</f>
        <v>0</v>
      </c>
      <c r="F477" s="72">
        <f>SUMIF(Adat!$AG:$AG,CONCATENATE(60,Info!$D$5,"094111",L433),Adat!$E:$E)*-1+E477</f>
        <v>0</v>
      </c>
      <c r="G477" s="72">
        <f>SUMIF(Adat!$AH:$AH,CONCATENATE(Info!$D$5,"(KÖT)","094111",L433),Adat!$E:$E)*-1</f>
        <v>0</v>
      </c>
      <c r="H477" s="72">
        <f>SUMIF(Adat!$AH:$AH,CONCATENATE(Info!$D$5,"(ÖNV)","094111",L433),Adat!$E:$E)*-1</f>
        <v>0</v>
      </c>
      <c r="I477" s="72">
        <f>SUMIF(Adat!$AH:$AH,CONCATENATE(Info!$D$5,"(ÁIG)","094111",L433),Adat!$E:$E)*-1</f>
        <v>0</v>
      </c>
    </row>
    <row r="478" spans="2:9" x14ac:dyDescent="0.25">
      <c r="B478" s="160">
        <v>43</v>
      </c>
      <c r="C478" s="79" t="s">
        <v>33</v>
      </c>
      <c r="D478" s="79" t="s">
        <v>330</v>
      </c>
      <c r="E478" s="71">
        <f>SUM(E479:E483)</f>
        <v>0</v>
      </c>
      <c r="F478" s="71">
        <f>SUM(F479:F483)</f>
        <v>0</v>
      </c>
      <c r="G478" s="71">
        <f>SUM(G479:G483)</f>
        <v>0</v>
      </c>
      <c r="H478" s="71">
        <f>SUM(H479:H483)</f>
        <v>0</v>
      </c>
      <c r="I478" s="71">
        <f>SUM(I479:I483)</f>
        <v>0</v>
      </c>
    </row>
    <row r="479" spans="2:9" x14ac:dyDescent="0.2">
      <c r="B479" s="160">
        <v>44</v>
      </c>
      <c r="C479" s="305" t="s">
        <v>1373</v>
      </c>
      <c r="D479" s="82" t="s">
        <v>1374</v>
      </c>
      <c r="E479" s="72">
        <f>SUMIF(Adat!$AG:$AG,CONCATENATE(61,Info!$D$5,"09511",L433),Adat!$E:$E)*-1</f>
        <v>0</v>
      </c>
      <c r="F479" s="72">
        <f>SUMIF(Adat!$AG:$AG,CONCATENATE(60,Info!$D$5,"09511",L433),Adat!$E:$E)*-1+E479</f>
        <v>0</v>
      </c>
      <c r="G479" s="72">
        <f>SUMIF(Adat!$AH:$AH,CONCATENATE(Info!$D$5,"(KÖT)","09511",L433),Adat!$E:$E)*-1</f>
        <v>0</v>
      </c>
      <c r="H479" s="72">
        <f>SUMIF(Adat!$AH:$AH,CONCATENATE(Info!$D$5,"(ÖNV)","09511",L433),Adat!$E:$E)*-1</f>
        <v>0</v>
      </c>
      <c r="I479" s="72">
        <f>SUMIF(Adat!$AH:$AH,CONCATENATE(Info!$D$5,"(ÁIG)","09511",L433),Adat!$E:$E)*-1</f>
        <v>0</v>
      </c>
    </row>
    <row r="480" spans="2:9" x14ac:dyDescent="0.2">
      <c r="B480" s="160">
        <v>45</v>
      </c>
      <c r="C480" s="305" t="s">
        <v>1294</v>
      </c>
      <c r="D480" s="82" t="s">
        <v>1375</v>
      </c>
      <c r="E480" s="72">
        <f>SUMIF(Adat!$AG:$AG,CONCATENATE(61,Info!$D$5,"09521",L433),Adat!$E:$E)*-1</f>
        <v>0</v>
      </c>
      <c r="F480" s="72">
        <f>SUMIF(Adat!$AG:$AG,CONCATENATE(60,Info!$D$5,"09521",L433),Adat!$E:$E)*-1+E480</f>
        <v>0</v>
      </c>
      <c r="G480" s="72">
        <f>SUMIF(Adat!$AH:$AH,CONCATENATE(Info!$D$5,"(KÖT)","09521",L433),Adat!$E:$E)*-1</f>
        <v>0</v>
      </c>
      <c r="H480" s="72">
        <f>SUMIF(Adat!$AH:$AH,CONCATENATE(Info!$D$5,"(ÖNV)","09521",L433),Adat!$E:$E)*-1</f>
        <v>0</v>
      </c>
      <c r="I480" s="72">
        <f>SUMIF(Adat!$AH:$AH,CONCATENATE(Info!$D$5,"(ÁIG)","09521",L433),Adat!$E:$E)*-1</f>
        <v>0</v>
      </c>
    </row>
    <row r="481" spans="2:9" x14ac:dyDescent="0.2">
      <c r="B481" s="160">
        <v>46</v>
      </c>
      <c r="C481" s="305" t="s">
        <v>1376</v>
      </c>
      <c r="D481" s="82" t="s">
        <v>1377</v>
      </c>
      <c r="E481" s="72">
        <f>SUMIF(Adat!$AG:$AG,CONCATENATE(61,Info!$D$5,"09531",L433),Adat!$E:$E)*-1</f>
        <v>0</v>
      </c>
      <c r="F481" s="72">
        <f>SUMIF(Adat!$AG:$AG,CONCATENATE(60,Info!$D$5,"09531",L433),Adat!$E:$E)*-1+E481</f>
        <v>0</v>
      </c>
      <c r="G481" s="72">
        <f>SUMIF(Adat!$AH:$AH,CONCATENATE(Info!$D$5,"(KÖT)","09531",L433),Adat!$E:$E)*-1</f>
        <v>0</v>
      </c>
      <c r="H481" s="72">
        <f>SUMIF(Adat!$AH:$AH,CONCATENATE(Info!$D$5,"(ÖNV)","09531",L433),Adat!$E:$E)*-1</f>
        <v>0</v>
      </c>
      <c r="I481" s="72">
        <f>SUMIF(Adat!$AH:$AH,CONCATENATE(Info!$D$5,"(ÁIG)","09531",L433),Adat!$E:$E)*-1</f>
        <v>0</v>
      </c>
    </row>
    <row r="482" spans="2:9" x14ac:dyDescent="0.2">
      <c r="B482" s="160">
        <v>47</v>
      </c>
      <c r="C482" s="305" t="s">
        <v>1378</v>
      </c>
      <c r="D482" s="82" t="s">
        <v>1379</v>
      </c>
      <c r="E482" s="72">
        <f>SUMIF(Adat!$AG:$AG,CONCATENATE(61,Info!$D$5,"09541",L433),Adat!$E:$E)*-1</f>
        <v>0</v>
      </c>
      <c r="F482" s="72">
        <f>SUMIF(Adat!$AG:$AG,CONCATENATE(60,Info!$D$5,"09541",L433),Adat!$E:$E)*-1+E482</f>
        <v>0</v>
      </c>
      <c r="G482" s="72">
        <f>SUMIF(Adat!$AH:$AH,CONCATENATE(Info!$D$5,"(KÖT)","09541",L433),Adat!$E:$E)*-1</f>
        <v>0</v>
      </c>
      <c r="H482" s="72">
        <f>SUMIF(Adat!$AH:$AH,CONCATENATE(Info!$D$5,"(ÖNV)","09541",L433),Adat!$E:$E)*-1</f>
        <v>0</v>
      </c>
      <c r="I482" s="72">
        <f>SUMIF(Adat!$AH:$AH,CONCATENATE(Info!$D$5,"(ÁIG)","09541",L433),Adat!$E:$E)*-1</f>
        <v>0</v>
      </c>
    </row>
    <row r="483" spans="2:9" x14ac:dyDescent="0.25">
      <c r="B483" s="160">
        <v>48</v>
      </c>
      <c r="C483" s="305" t="s">
        <v>1380</v>
      </c>
      <c r="D483" s="84" t="s">
        <v>1381</v>
      </c>
      <c r="E483" s="72">
        <f>SUMIF(Adat!$AG:$AG,CONCATENATE(61,Info!$D$5,"09551",L433),Adat!$E:$E)*-1</f>
        <v>0</v>
      </c>
      <c r="F483" s="72">
        <f>SUMIF(Adat!$AG:$AG,CONCATENATE(60,Info!$D$5,"09551",L433),Adat!$E:$E)*-1+E483</f>
        <v>0</v>
      </c>
      <c r="G483" s="72">
        <f>SUMIF(Adat!$AH:$AH,CONCATENATE(Info!$D$5,"(KÖT)","09551",L433),Adat!$E:$E)*-1</f>
        <v>0</v>
      </c>
      <c r="H483" s="72">
        <f>SUMIF(Adat!$AH:$AH,CONCATENATE(Info!$D$5,"(ÖNV)","09551",L433),Adat!$E:$E)*-1</f>
        <v>0</v>
      </c>
      <c r="I483" s="72">
        <f>SUMIF(Adat!$AH:$AH,CONCATENATE(Info!$D$5,"(ÁIG)","09551",L433),Adat!$E:$E)*-1</f>
        <v>0</v>
      </c>
    </row>
    <row r="484" spans="2:9" x14ac:dyDescent="0.25">
      <c r="B484" s="160">
        <v>49</v>
      </c>
      <c r="C484" s="79" t="s">
        <v>36</v>
      </c>
      <c r="D484" s="79" t="s">
        <v>331</v>
      </c>
      <c r="E484" s="71">
        <f>SUM(E485:E489)</f>
        <v>0</v>
      </c>
      <c r="F484" s="71">
        <f t="shared" ref="F484:I484" si="51">SUM(F485:F489)</f>
        <v>0</v>
      </c>
      <c r="G484" s="71">
        <f t="shared" si="51"/>
        <v>0</v>
      </c>
      <c r="H484" s="71">
        <f t="shared" si="51"/>
        <v>0</v>
      </c>
      <c r="I484" s="71">
        <f t="shared" si="51"/>
        <v>0</v>
      </c>
    </row>
    <row r="485" spans="2:9" x14ac:dyDescent="0.2">
      <c r="B485" s="160">
        <v>50</v>
      </c>
      <c r="C485" s="305" t="s">
        <v>1382</v>
      </c>
      <c r="D485" s="82" t="s">
        <v>1383</v>
      </c>
      <c r="E485" s="72">
        <f>SUMIF(Adat!$AG:$AG,CONCATENATE(61,Info!$D$5,"09611",L433),Adat!$E:$E)*-1</f>
        <v>0</v>
      </c>
      <c r="F485" s="72">
        <f>SUMIF(Adat!$AG:$AG,CONCATENATE(60,Info!$D$5,"09611",L433),Adat!$E:$E)*-1+E485</f>
        <v>0</v>
      </c>
      <c r="G485" s="72">
        <f>SUMIF(Adat!$AH:$AH,CONCATENATE(Info!$D$5,"(KÖT)","09611",L433),Adat!$E:$E)*-1</f>
        <v>0</v>
      </c>
      <c r="H485" s="72">
        <f>SUMIF(Adat!$AH:$AH,CONCATENATE(Info!$D$5,"(ÖNV)","09611",L433),Adat!$E:$E)*-1</f>
        <v>0</v>
      </c>
      <c r="I485" s="72">
        <f>SUMIF(Adat!$AH:$AH,CONCATENATE(Info!$D$5,"(ÁIG)","09611",L433),Adat!$E:$E)*-1</f>
        <v>0</v>
      </c>
    </row>
    <row r="486" spans="2:9" x14ac:dyDescent="0.2">
      <c r="B486" s="160">
        <v>51</v>
      </c>
      <c r="C486" s="305" t="s">
        <v>1384</v>
      </c>
      <c r="D486" s="82" t="s">
        <v>1385</v>
      </c>
      <c r="E486" s="72">
        <f>SUMIF(Adat!$AG:$AG,CONCATENATE(61,Info!$D$5,"09621",L433),Adat!$E:$E)*-1</f>
        <v>0</v>
      </c>
      <c r="F486" s="72">
        <f>SUMIF(Adat!$AG:$AG,CONCATENATE(60,Info!$D$5,"09621",L433),Adat!$E:$E)*-1+E486</f>
        <v>0</v>
      </c>
      <c r="G486" s="72">
        <f>SUMIF(Adat!$AH:$AH,CONCATENATE(Info!$D$5,"(KÖT)","09621",L433),Adat!$E:$E)*-1</f>
        <v>0</v>
      </c>
      <c r="H486" s="72">
        <f>SUMIF(Adat!$AH:$AH,CONCATENATE(Info!$D$5,"(ÖNV)","09621",L433),Adat!$E:$E)*-1</f>
        <v>0</v>
      </c>
      <c r="I486" s="72">
        <f>SUMIF(Adat!$AH:$AH,CONCATENATE(Info!$D$5,"(ÁIG)","09621",L433),Adat!$E:$E)*-1</f>
        <v>0</v>
      </c>
    </row>
    <row r="487" spans="2:9" x14ac:dyDescent="0.2">
      <c r="B487" s="160">
        <v>52</v>
      </c>
      <c r="C487" s="305" t="s">
        <v>1386</v>
      </c>
      <c r="D487" s="82" t="s">
        <v>1387</v>
      </c>
      <c r="E487" s="72">
        <f>SUMIF(Adat!$AG:$AG,CONCATENATE(61,Info!$D$5,"09631",L433),Adat!$E:$E)*-1</f>
        <v>0</v>
      </c>
      <c r="F487" s="72">
        <f>SUMIF(Adat!$AG:$AG,CONCATENATE(60,Info!$D$5,"09631",L433),Adat!$E:$E)*-1+E487</f>
        <v>0</v>
      </c>
      <c r="G487" s="72">
        <f>SUMIF(Adat!$AH:$AH,CONCATENATE(Info!$D$5,"(KÖT)","09631",L433),Adat!$E:$E)*-1</f>
        <v>0</v>
      </c>
      <c r="H487" s="72">
        <f>SUMIF(Adat!$AH:$AH,CONCATENATE(Info!$D$5,"(ÖNV)","09631",L433),Adat!$E:$E)*-1</f>
        <v>0</v>
      </c>
      <c r="I487" s="72">
        <f>SUMIF(Adat!$AH:$AH,CONCATENATE(Info!$D$5,"(ÁIG)","09631",L433),Adat!$E:$E)*-1</f>
        <v>0</v>
      </c>
    </row>
    <row r="488" spans="2:9" x14ac:dyDescent="0.2">
      <c r="B488" s="160">
        <v>53</v>
      </c>
      <c r="C488" s="305" t="s">
        <v>1388</v>
      </c>
      <c r="D488" s="82" t="s">
        <v>1389</v>
      </c>
      <c r="E488" s="72">
        <f>SUMIF(Adat!$AG:$AG,CONCATENATE(61,Info!$D$5,"09641",L433),Adat!$E:$E)*-1</f>
        <v>0</v>
      </c>
      <c r="F488" s="72">
        <f>SUMIF(Adat!$AG:$AG,CONCATENATE(60,Info!$D$5,"09641",L433),Adat!$E:$E)*-1+E488</f>
        <v>0</v>
      </c>
      <c r="G488" s="72">
        <f>SUMIF(Adat!$AH:$AH,CONCATENATE(Info!$D$5,"(KÖT)","09641",L433),Adat!$E:$E)*-1</f>
        <v>0</v>
      </c>
      <c r="H488" s="72">
        <f>SUMIF(Adat!$AH:$AH,CONCATENATE(Info!$D$5,"(ÖNV)","09641",L433),Adat!$E:$E)*-1</f>
        <v>0</v>
      </c>
      <c r="I488" s="72">
        <f>SUMIF(Adat!$AH:$AH,CONCATENATE(Info!$D$5,"(ÁIG)","09641",L433),Adat!$E:$E)*-1</f>
        <v>0</v>
      </c>
    </row>
    <row r="489" spans="2:9" x14ac:dyDescent="0.2">
      <c r="B489" s="160">
        <v>54</v>
      </c>
      <c r="C489" s="305" t="s">
        <v>1310</v>
      </c>
      <c r="D489" s="82" t="s">
        <v>1390</v>
      </c>
      <c r="E489" s="72">
        <f>SUMIF(Adat!$AG:$AG,CONCATENATE(61,Info!$D$5,"09651",L433),Adat!$E:$E)*-1</f>
        <v>0</v>
      </c>
      <c r="F489" s="72">
        <f>SUMIF(Adat!$AG:$AG,CONCATENATE(60,Info!$D$5,"09651",L433),Adat!$E:$E)*-1+E489</f>
        <v>0</v>
      </c>
      <c r="G489" s="72">
        <f>SUMIF(Adat!$AH:$AH,CONCATENATE(Info!$D$5,"(KÖT)","09651",L433),Adat!$E:$E)*-1</f>
        <v>0</v>
      </c>
      <c r="H489" s="72">
        <f>SUMIF(Adat!$AH:$AH,CONCATENATE(Info!$D$5,"(ÖNV)","09651",L433),Adat!$E:$E)*-1</f>
        <v>0</v>
      </c>
      <c r="I489" s="72">
        <f>SUMIF(Adat!$AH:$AH,CONCATENATE(Info!$D$5,"(ÁIG)","09651",L433),Adat!$E:$E)*-1</f>
        <v>0</v>
      </c>
    </row>
    <row r="490" spans="2:9" x14ac:dyDescent="0.25">
      <c r="B490" s="160">
        <v>55</v>
      </c>
      <c r="C490" s="79" t="s">
        <v>38</v>
      </c>
      <c r="D490" s="85" t="s">
        <v>332</v>
      </c>
      <c r="E490" s="71">
        <f>SUM(E491:E495)</f>
        <v>0</v>
      </c>
      <c r="F490" s="71">
        <f t="shared" ref="F490:I490" si="52">SUM(F491:F495)</f>
        <v>0</v>
      </c>
      <c r="G490" s="71">
        <f t="shared" si="52"/>
        <v>0</v>
      </c>
      <c r="H490" s="71">
        <f t="shared" si="52"/>
        <v>0</v>
      </c>
      <c r="I490" s="71">
        <f t="shared" si="52"/>
        <v>0</v>
      </c>
    </row>
    <row r="491" spans="2:9" x14ac:dyDescent="0.2">
      <c r="B491" s="160">
        <v>56</v>
      </c>
      <c r="C491" s="305" t="s">
        <v>1391</v>
      </c>
      <c r="D491" s="82" t="s">
        <v>1392</v>
      </c>
      <c r="E491" s="72">
        <f>SUMIF(Adat!$AG:$AG,CONCATENATE(61,Info!$D$5,"09711",L433),Adat!$E:$E)*-1</f>
        <v>0</v>
      </c>
      <c r="F491" s="72">
        <f>SUMIF(Adat!$AG:$AG,CONCATENATE(60,Info!$D$5,"09711",L433),Adat!$E:$E)*-1+E491</f>
        <v>0</v>
      </c>
      <c r="G491" s="72">
        <f>SUMIF(Adat!$AH:$AH,CONCATENATE(Info!$D$5,"(KÖT)","09711",L433),Adat!$E:$E)*-1</f>
        <v>0</v>
      </c>
      <c r="H491" s="72">
        <f>SUMIF(Adat!$AH:$AH,CONCATENATE(Info!$D$5,"(ÖNV)","09711",L433),Adat!$E:$E)*-1</f>
        <v>0</v>
      </c>
      <c r="I491" s="72">
        <f>SUMIF(Adat!$AH:$AH,CONCATENATE(Info!$D$5,"(ÁIG)","09711",L433),Adat!$E:$E)*-1</f>
        <v>0</v>
      </c>
    </row>
    <row r="492" spans="2:9" x14ac:dyDescent="0.2">
      <c r="B492" s="160">
        <v>57</v>
      </c>
      <c r="C492" s="305" t="s">
        <v>1393</v>
      </c>
      <c r="D492" s="82" t="s">
        <v>1394</v>
      </c>
      <c r="E492" s="72">
        <f>SUMIF(Adat!$AG:$AG,CONCATENATE(61,Info!$D$5,"09721",L433),Adat!$E:$E)*-1</f>
        <v>0</v>
      </c>
      <c r="F492" s="72">
        <f>SUMIF(Adat!$AG:$AG,CONCATENATE(60,Info!$D$5,"09721",L433),Adat!$E:$E)*-1+E492</f>
        <v>0</v>
      </c>
      <c r="G492" s="72">
        <f>SUMIF(Adat!$AH:$AH,CONCATENATE(Info!$D$5,"(KÖT)","09721",L433),Adat!$E:$E)*-1</f>
        <v>0</v>
      </c>
      <c r="H492" s="72">
        <f>SUMIF(Adat!$AH:$AH,CONCATENATE(Info!$D$5,"(ÖNV)","09721",L433),Adat!$E:$E)*-1</f>
        <v>0</v>
      </c>
      <c r="I492" s="72">
        <f>SUMIF(Adat!$AH:$AH,CONCATENATE(Info!$D$5,"(ÁIG)","09721",L433),Adat!$E:$E)*-1</f>
        <v>0</v>
      </c>
    </row>
    <row r="493" spans="2:9" x14ac:dyDescent="0.2">
      <c r="B493" s="160">
        <v>58</v>
      </c>
      <c r="C493" s="305" t="s">
        <v>1395</v>
      </c>
      <c r="D493" s="82" t="s">
        <v>1396</v>
      </c>
      <c r="E493" s="72">
        <f>SUMIF(Adat!$AG:$AG,CONCATENATE(61,Info!$D$5,"09731",L433),Adat!$E:$E)*-1</f>
        <v>0</v>
      </c>
      <c r="F493" s="72">
        <f>SUMIF(Adat!$AG:$AG,CONCATENATE(60,Info!$D$5,"09731",L433),Adat!$E:$E)*-1+E493</f>
        <v>0</v>
      </c>
      <c r="G493" s="72">
        <f>SUMIF(Adat!$AH:$AH,CONCATENATE(Info!$D$5,"(KÖT)","09731",L433),Adat!$E:$E)*-1</f>
        <v>0</v>
      </c>
      <c r="H493" s="72">
        <f>SUMIF(Adat!$AH:$AH,CONCATENATE(Info!$D$5,"(ÖNV)","09731",L433),Adat!$E:$E)*-1</f>
        <v>0</v>
      </c>
      <c r="I493" s="72">
        <f>SUMIF(Adat!$AH:$AH,CONCATENATE(Info!$D$5,"(ÁIG)","09731",L433),Adat!$E:$E)*-1</f>
        <v>0</v>
      </c>
    </row>
    <row r="494" spans="2:9" x14ac:dyDescent="0.2">
      <c r="B494" s="160">
        <v>59</v>
      </c>
      <c r="C494" s="305" t="s">
        <v>1397</v>
      </c>
      <c r="D494" s="82" t="s">
        <v>1398</v>
      </c>
      <c r="E494" s="72">
        <f>SUMIF(Adat!$AG:$AG,CONCATENATE(61,Info!$D$5,"09741",L433),Adat!$E:$E)*-1</f>
        <v>0</v>
      </c>
      <c r="F494" s="72">
        <f>SUMIF(Adat!$AG:$AG,CONCATENATE(60,Info!$D$5,"09741",L433),Adat!$E:$E)*-1+E494</f>
        <v>0</v>
      </c>
      <c r="G494" s="72">
        <f>SUMIF(Adat!$AH:$AH,CONCATENATE(Info!$D$5,"(KÖT)","09741",L433),Adat!$E:$E)*-1</f>
        <v>0</v>
      </c>
      <c r="H494" s="72">
        <f>SUMIF(Adat!$AH:$AH,CONCATENATE(Info!$D$5,"(ÖNV)","09741",L433),Adat!$E:$E)*-1</f>
        <v>0</v>
      </c>
      <c r="I494" s="72">
        <f>SUMIF(Adat!$AH:$AH,CONCATENATE(Info!$D$5,"(ÁIG)","09741",L433),Adat!$E:$E)*-1</f>
        <v>0</v>
      </c>
    </row>
    <row r="495" spans="2:9" x14ac:dyDescent="0.25">
      <c r="B495" s="160">
        <v>60</v>
      </c>
      <c r="C495" s="305" t="s">
        <v>1399</v>
      </c>
      <c r="D495" s="84" t="s">
        <v>1400</v>
      </c>
      <c r="E495" s="72">
        <f>SUMIF(Adat!$AG:$AG,CONCATENATE(61,Info!$D$5,"09751",L433),Adat!$E:$E)*-1</f>
        <v>0</v>
      </c>
      <c r="F495" s="72">
        <f>SUMIF(Adat!$AG:$AG,CONCATENATE(60,Info!$D$5,"09751",L433),Adat!$E:$E)*-1+E495</f>
        <v>0</v>
      </c>
      <c r="G495" s="72">
        <f>SUMIF(Adat!$AH:$AH,CONCATENATE(Info!$D$5,"(KÖT)","09751",L433),Adat!$E:$E)*-1</f>
        <v>0</v>
      </c>
      <c r="H495" s="72">
        <f>SUMIF(Adat!$AH:$AH,CONCATENATE(Info!$D$5,"(ÖNV)","09751",L433),Adat!$E:$E)*-1</f>
        <v>0</v>
      </c>
      <c r="I495" s="72">
        <f>SUMIF(Adat!$AH:$AH,CONCATENATE(Info!$D$5,"(ÁIG)","09751",L433),Adat!$E:$E)*-1</f>
        <v>0</v>
      </c>
    </row>
    <row r="496" spans="2:9" x14ac:dyDescent="0.25">
      <c r="B496" s="160">
        <v>61</v>
      </c>
      <c r="C496" s="78" t="s">
        <v>352</v>
      </c>
      <c r="D496" s="86" t="s">
        <v>1401</v>
      </c>
      <c r="E496" s="71">
        <f>+E437+E445+E451+E457+E464+E478+E484+E490</f>
        <v>0</v>
      </c>
      <c r="F496" s="71">
        <f>+F437+F445+F451+F457+F464+F478+F484+F490</f>
        <v>0</v>
      </c>
      <c r="G496" s="71">
        <f>+G437+G445+G451+G457+G464+G478+G484+G490</f>
        <v>0</v>
      </c>
      <c r="H496" s="71">
        <f>+H437+H445+H451+H457+H464+H478+H484+H490</f>
        <v>0</v>
      </c>
      <c r="I496" s="71">
        <f>+I437+I445+I451+I457+I464+I478+I484+I490</f>
        <v>0</v>
      </c>
    </row>
    <row r="497" spans="2:9" x14ac:dyDescent="0.25">
      <c r="B497" s="160">
        <v>62</v>
      </c>
      <c r="C497" s="154" t="s">
        <v>1402</v>
      </c>
      <c r="D497" s="85" t="s">
        <v>1403</v>
      </c>
      <c r="E497" s="71">
        <f t="shared" ref="E497:G497" si="53">SUM(E498:E500)</f>
        <v>0</v>
      </c>
      <c r="F497" s="71">
        <f t="shared" si="53"/>
        <v>0</v>
      </c>
      <c r="G497" s="71">
        <f t="shared" si="53"/>
        <v>0</v>
      </c>
      <c r="H497" s="71">
        <f>SUM(H498:H500)</f>
        <v>0</v>
      </c>
      <c r="I497" s="71">
        <f>SUM(I498:I500)</f>
        <v>0</v>
      </c>
    </row>
    <row r="498" spans="2:9" x14ac:dyDescent="0.2">
      <c r="B498" s="160">
        <v>63</v>
      </c>
      <c r="C498" s="305" t="s">
        <v>1404</v>
      </c>
      <c r="D498" s="82" t="s">
        <v>1405</v>
      </c>
      <c r="E498" s="72">
        <f>SUMIF(Adat!$AG:$AG,CONCATENATE(61,Info!$D$5,"0981111",L433),Adat!$E:$E)*-1</f>
        <v>0</v>
      </c>
      <c r="F498" s="72">
        <f>SUMIF(Adat!$AG:$AG,CONCATENATE(60,Info!$D$5,"0981111",L433),Adat!$E:$E)*-1+E498</f>
        <v>0</v>
      </c>
      <c r="G498" s="72">
        <f>SUMIF(Adat!$AH:$AH,CONCATENATE(Info!$D$5,"(KÖT)","0981111",L433),Adat!$E:$E)*-1</f>
        <v>0</v>
      </c>
      <c r="H498" s="72">
        <f>SUMIF(Adat!$AH:$AH,CONCATENATE(Info!$D$5,"(ÖNV)","0981111",L433),Adat!$E:$E)*-1</f>
        <v>0</v>
      </c>
      <c r="I498" s="72">
        <f>SUMIF(Adat!$AH:$AH,CONCATENATE(Info!$D$5,"(ÁIG)","0981111",L433),Adat!$E:$E)*-1</f>
        <v>0</v>
      </c>
    </row>
    <row r="499" spans="2:9" x14ac:dyDescent="0.2">
      <c r="B499" s="160">
        <v>64</v>
      </c>
      <c r="C499" s="305" t="s">
        <v>1406</v>
      </c>
      <c r="D499" s="82" t="s">
        <v>1407</v>
      </c>
      <c r="E499" s="72">
        <f>SUMIF(Adat!$AG:$AG,CONCATENATE(61,Info!$D$5,"0981121",L433),Adat!$E:$E)*-1</f>
        <v>0</v>
      </c>
      <c r="F499" s="72">
        <f>SUMIF(Adat!$AG:$AG,CONCATENATE(60,Info!$D$5,"0981121",L433),Adat!$E:$E)*-1+E499</f>
        <v>0</v>
      </c>
      <c r="G499" s="72">
        <f>SUMIF(Adat!$AH:$AH,CONCATENATE(Info!$D$5,"(KÖT)","0981121",L433),Adat!$E:$E)*-1</f>
        <v>0</v>
      </c>
      <c r="H499" s="72">
        <f>SUMIF(Adat!$AH:$AH,CONCATENATE(Info!$D$5,"(ÖNV)","0981121",L433),Adat!$E:$E)*-1</f>
        <v>0</v>
      </c>
      <c r="I499" s="72">
        <f>SUMIF(Adat!$AH:$AH,CONCATENATE(Info!$D$5,"(ÁIG)","0981121",L433),Adat!$E:$E)*-1</f>
        <v>0</v>
      </c>
    </row>
    <row r="500" spans="2:9" x14ac:dyDescent="0.2">
      <c r="B500" s="160">
        <v>65</v>
      </c>
      <c r="C500" s="305" t="s">
        <v>1408</v>
      </c>
      <c r="D500" s="82" t="s">
        <v>1409</v>
      </c>
      <c r="E500" s="72">
        <f>SUMIF(Adat!$AG:$AG,CONCATENATE(61,Info!$D$5,"0981131",L433),Adat!$E:$E)*-1</f>
        <v>0</v>
      </c>
      <c r="F500" s="72">
        <f>SUMIF(Adat!$AG:$AG,CONCATENATE(60,Info!$D$5,"0981131",L433),Adat!$E:$E)*-1+E500</f>
        <v>0</v>
      </c>
      <c r="G500" s="72">
        <f>SUMIF(Adat!$AH:$AH,CONCATENATE(Info!$D$5,"(KÖT)","0981131",L433),Adat!$E:$E)*-1</f>
        <v>0</v>
      </c>
      <c r="H500" s="72">
        <f>SUMIF(Adat!$AH:$AH,CONCATENATE(Info!$D$5,"(ÖNV)","0981131",L433),Adat!$E:$E)*-1</f>
        <v>0</v>
      </c>
      <c r="I500" s="72">
        <f>SUMIF(Adat!$AH:$AH,CONCATENATE(Info!$D$5,"(ÁIG)","0981131",L433),Adat!$E:$E)*-1</f>
        <v>0</v>
      </c>
    </row>
    <row r="501" spans="2:9" x14ac:dyDescent="0.25">
      <c r="B501" s="160">
        <v>66</v>
      </c>
      <c r="C501" s="154" t="s">
        <v>1410</v>
      </c>
      <c r="D501" s="85" t="s">
        <v>574</v>
      </c>
      <c r="E501" s="71">
        <f>SUM(E502:E505)</f>
        <v>0</v>
      </c>
      <c r="F501" s="71">
        <f t="shared" ref="F501" si="54">SUM(F502:F505)</f>
        <v>0</v>
      </c>
      <c r="G501" s="71">
        <f>SUM(G502:G505)</f>
        <v>0</v>
      </c>
      <c r="H501" s="71">
        <f>SUM(H502:H505)</f>
        <v>0</v>
      </c>
      <c r="I501" s="71">
        <f>SUM(I502:I505)</f>
        <v>0</v>
      </c>
    </row>
    <row r="502" spans="2:9" x14ac:dyDescent="0.2">
      <c r="B502" s="160">
        <v>67</v>
      </c>
      <c r="C502" s="305" t="s">
        <v>1411</v>
      </c>
      <c r="D502" s="82" t="s">
        <v>1412</v>
      </c>
      <c r="E502" s="72">
        <f>SUMIF(Adat!$AG:$AG,CONCATENATE(61,Info!$D$5,"0981211",L433),Adat!$E:$E)*-1</f>
        <v>0</v>
      </c>
      <c r="F502" s="72">
        <f>SUMIF(Adat!$AG:$AG,CONCATENATE(60,Info!$D$5,"0981211",L433),Adat!$E:$E)*-1+E502</f>
        <v>0</v>
      </c>
      <c r="G502" s="72">
        <f>SUMIF(Adat!$AH:$AH,CONCATENATE(Info!$D$5,"(KÖT)","0981211",L433),Adat!$E:$E)*-1</f>
        <v>0</v>
      </c>
      <c r="H502" s="72">
        <f>SUMIF(Adat!$AH:$AH,CONCATENATE(Info!$D$5,"(ÖNV)","0981211",L433),Adat!$E:$E)*-1</f>
        <v>0</v>
      </c>
      <c r="I502" s="72">
        <f>SUMIF(Adat!$AH:$AH,CONCATENATE(Info!$D$5,"(ÁIG)","0981211",L433),Adat!$E:$E)*-1</f>
        <v>0</v>
      </c>
    </row>
    <row r="503" spans="2:9" x14ac:dyDescent="0.2">
      <c r="B503" s="160">
        <v>68</v>
      </c>
      <c r="C503" s="305" t="s">
        <v>1413</v>
      </c>
      <c r="D503" s="82" t="s">
        <v>1414</v>
      </c>
      <c r="E503" s="72">
        <f>SUMIF(Adat!$AG:$AG,CONCATENATE(61,Info!$D$5,"0981221",L433),Adat!$E:$E)*-1</f>
        <v>0</v>
      </c>
      <c r="F503" s="72">
        <f>SUMIF(Adat!$AG:$AG,CONCATENATE(60,Info!$D$5,"0981221",L433),Adat!$E:$E)*-1+E503</f>
        <v>0</v>
      </c>
      <c r="G503" s="72">
        <f>SUMIF(Adat!$AH:$AH,CONCATENATE(Info!$D$5,"(KÖT)","0981221",L433),Adat!$E:$E)*-1</f>
        <v>0</v>
      </c>
      <c r="H503" s="72">
        <f>SUMIF(Adat!$AH:$AH,CONCATENATE(Info!$D$5,"(ÖNV)","0981221",L433),Adat!$E:$E)*-1</f>
        <v>0</v>
      </c>
      <c r="I503" s="72">
        <f>SUMIF(Adat!$AH:$AH,CONCATENATE(Info!$D$5,"(ÁIG)","0981221",L433),Adat!$E:$E)*-1</f>
        <v>0</v>
      </c>
    </row>
    <row r="504" spans="2:9" x14ac:dyDescent="0.2">
      <c r="B504" s="160">
        <v>69</v>
      </c>
      <c r="C504" s="305" t="s">
        <v>1313</v>
      </c>
      <c r="D504" s="82" t="s">
        <v>1415</v>
      </c>
      <c r="E504" s="72">
        <f>SUMIF(Adat!$AG:$AG,CONCATENATE(61,Info!$D$5,"0981231",L433),Adat!$E:$E)*-1</f>
        <v>0</v>
      </c>
      <c r="F504" s="72">
        <f>SUMIF(Adat!$AG:$AG,CONCATENATE(60,Info!$D$5,"0981231",L433),Adat!$E:$E)*-1+E504</f>
        <v>0</v>
      </c>
      <c r="G504" s="72">
        <f>SUMIF(Adat!$AH:$AH,CONCATENATE(Info!$D$5,"(KÖT)","0981231",L433),Adat!$E:$E)*-1</f>
        <v>0</v>
      </c>
      <c r="H504" s="72">
        <f>SUMIF(Adat!$AH:$AH,CONCATENATE(Info!$D$5,"(ÖNV)","0981231",L433),Adat!$E:$E)*-1</f>
        <v>0</v>
      </c>
      <c r="I504" s="72">
        <f>SUMIF(Adat!$AH:$AH,CONCATENATE(Info!$D$5,"(ÁIG)","0981231",L433),Adat!$E:$E)*-1</f>
        <v>0</v>
      </c>
    </row>
    <row r="505" spans="2:9" x14ac:dyDescent="0.25">
      <c r="B505" s="160">
        <v>70</v>
      </c>
      <c r="C505" s="305" t="s">
        <v>1416</v>
      </c>
      <c r="D505" s="84" t="s">
        <v>1417</v>
      </c>
      <c r="E505" s="72">
        <f>SUMIF(Adat!$AG:$AG,CONCATENATE(61,Info!$D$5,"0981241",L433),Adat!$E:$E)*-1</f>
        <v>0</v>
      </c>
      <c r="F505" s="72">
        <f>SUMIF(Adat!$AG:$AG,CONCATENATE(60,Info!$D$5,"0981241",L433),Adat!$E:$E)*-1+E505</f>
        <v>0</v>
      </c>
      <c r="G505" s="72">
        <f>SUMIF(Adat!$AH:$AH,CONCATENATE(Info!$D$5,"(KÖT)","0981241",L433),Adat!$E:$E)*-1</f>
        <v>0</v>
      </c>
      <c r="H505" s="72">
        <f>SUMIF(Adat!$AH:$AH,CONCATENATE(Info!$D$5,"(ÖNV)","0981241",L433),Adat!$E:$E)*-1</f>
        <v>0</v>
      </c>
      <c r="I505" s="72">
        <f>SUMIF(Adat!$AH:$AH,CONCATENATE(Info!$D$5,"(ÁIG)","0981241",L433),Adat!$E:$E)*-1</f>
        <v>0</v>
      </c>
    </row>
    <row r="506" spans="2:9" x14ac:dyDescent="0.25">
      <c r="B506" s="160">
        <v>71</v>
      </c>
      <c r="C506" s="154" t="s">
        <v>1418</v>
      </c>
      <c r="D506" s="85" t="s">
        <v>575</v>
      </c>
      <c r="E506" s="71">
        <f>SUM(E507:E508)</f>
        <v>0</v>
      </c>
      <c r="F506" s="71">
        <f t="shared" ref="F506" si="55">SUM(F507:F508)</f>
        <v>0</v>
      </c>
      <c r="G506" s="71">
        <f>SUM(G507:G508)</f>
        <v>0</v>
      </c>
      <c r="H506" s="71">
        <f>SUM(H507:H508)</f>
        <v>0</v>
      </c>
      <c r="I506" s="71">
        <f>SUM(I507:I508)</f>
        <v>0</v>
      </c>
    </row>
    <row r="507" spans="2:9" x14ac:dyDescent="0.2">
      <c r="B507" s="160">
        <v>72</v>
      </c>
      <c r="C507" s="305" t="s">
        <v>1274</v>
      </c>
      <c r="D507" s="82" t="s">
        <v>1419</v>
      </c>
      <c r="E507" s="72">
        <f>SUMIF(Adat!$AG:$AG,CONCATENATE(61,Info!$D$5,"0981311",L433),Adat!$E:$E)*-1</f>
        <v>0</v>
      </c>
      <c r="F507" s="72">
        <f>SUMIF(Adat!$AG:$AG,CONCATENATE(60,Info!$D$5,"0981311",L433),Adat!$E:$E)*-1+E507</f>
        <v>0</v>
      </c>
      <c r="G507" s="72">
        <f>SUMIF(Adat!$AH:$AH,CONCATENATE(Info!$D$5,"(KÖT)","0981311",L433),Adat!$E:$E)*-1</f>
        <v>0</v>
      </c>
      <c r="H507" s="72">
        <f>SUMIF(Adat!$AH:$AH,CONCATENATE(Info!$D$5,"(ÖNV)","0981311",L433),Adat!$E:$E)*-1</f>
        <v>0</v>
      </c>
      <c r="I507" s="72">
        <f>SUMIF(Adat!$AH:$AH,CONCATENATE(Info!$D$5,"(ÁIG)","0981311",L433),Adat!$E:$E)*-1</f>
        <v>0</v>
      </c>
    </row>
    <row r="508" spans="2:9" x14ac:dyDescent="0.25">
      <c r="B508" s="160">
        <v>73</v>
      </c>
      <c r="C508" s="305" t="s">
        <v>1420</v>
      </c>
      <c r="D508" s="84" t="s">
        <v>1421</v>
      </c>
      <c r="E508" s="72">
        <f>SUMIF(Adat!$AG:$AG,CONCATENATE(61,Info!$D$5,"0981321",L433),Adat!$E:$E)*-1</f>
        <v>0</v>
      </c>
      <c r="F508" s="72">
        <f>SUMIF(Adat!$AG:$AG,CONCATENATE(60,Info!$D$5,"0981321",L433),Adat!$E:$E)*-1+E508</f>
        <v>0</v>
      </c>
      <c r="G508" s="72">
        <f>SUMIF(Adat!$AH:$AH,CONCATENATE(Info!$D$5,"(KÖT)","0981321",L433),Adat!$E:$E)*-1</f>
        <v>0</v>
      </c>
      <c r="H508" s="72">
        <f>SUMIF(Adat!$AH:$AH,CONCATENATE(Info!$D$5,"(ÖNV)","0981321",L433),Adat!$E:$E)*-1</f>
        <v>0</v>
      </c>
      <c r="I508" s="72">
        <f>SUMIF(Adat!$AH:$AH,CONCATENATE(Info!$D$5,"(ÁIG)","0981321",L433),Adat!$E:$E)*-1</f>
        <v>0</v>
      </c>
    </row>
    <row r="509" spans="2:9" s="42" customFormat="1" x14ac:dyDescent="0.25">
      <c r="B509" s="160">
        <v>74</v>
      </c>
      <c r="C509" s="154" t="s">
        <v>1496</v>
      </c>
      <c r="D509" s="85" t="s">
        <v>576</v>
      </c>
      <c r="E509" s="71">
        <f>SUM(E510:E512)</f>
        <v>0</v>
      </c>
      <c r="F509" s="71">
        <f t="shared" ref="F509" si="56">SUM(F510:F512)</f>
        <v>0</v>
      </c>
      <c r="G509" s="71">
        <f>SUM(G510:G512)</f>
        <v>0</v>
      </c>
      <c r="H509" s="71">
        <f>SUM(H510:H512)</f>
        <v>0</v>
      </c>
      <c r="I509" s="71">
        <f>SUM(I510:I512)</f>
        <v>0</v>
      </c>
    </row>
    <row r="510" spans="2:9" x14ac:dyDescent="0.2">
      <c r="B510" s="160">
        <v>75</v>
      </c>
      <c r="C510" s="305" t="s">
        <v>1301</v>
      </c>
      <c r="D510" s="82" t="s">
        <v>1422</v>
      </c>
      <c r="E510" s="72">
        <f>SUMIF(Adat!$AG:$AG,CONCATENATE(61,Info!$D$5,"098141",L433),Adat!$E:$E)*-1</f>
        <v>0</v>
      </c>
      <c r="F510" s="72">
        <f>SUMIF(Adat!$AG:$AG,CONCATENATE(60,Info!$D$5,"098141",L433),Adat!$E:$E)*-1+E510</f>
        <v>0</v>
      </c>
      <c r="G510" s="72">
        <f>SUMIF(Adat!$AH:$AH,CONCATENATE(Info!$D$5,"(KÖT)","098141",L433),Adat!$E:$E)*-1</f>
        <v>0</v>
      </c>
      <c r="H510" s="72">
        <f>SUMIF(Adat!$AH:$AH,CONCATENATE(Info!$D$5,"(ÖNV)","098141",L433),Adat!$E:$E)*-1</f>
        <v>0</v>
      </c>
      <c r="I510" s="72">
        <f>SUMIF(Adat!$AH:$AH,CONCATENATE(Info!$D$5,"(ÁIG)","098141",L433),Adat!$E:$E)*-1</f>
        <v>0</v>
      </c>
    </row>
    <row r="511" spans="2:9" x14ac:dyDescent="0.2">
      <c r="B511" s="160">
        <v>76</v>
      </c>
      <c r="C511" s="305" t="s">
        <v>1423</v>
      </c>
      <c r="D511" s="82" t="s">
        <v>1424</v>
      </c>
      <c r="E511" s="72">
        <f>SUMIF(Adat!$AG:$AG,CONCATENATE(61,Info!$D$5,"098151",L433),Adat!$E:$E)*-1</f>
        <v>0</v>
      </c>
      <c r="F511" s="72">
        <f>SUMIF(Adat!$AG:$AG,CONCATENATE(60,Info!$D$5,"098151",L433),Adat!$E:$E)*-1+E511</f>
        <v>0</v>
      </c>
      <c r="G511" s="72">
        <f>SUMIF(Adat!$AH:$AH,CONCATENATE(Info!$D$5,"(KÖT)","098151",L433),Adat!$E:$E)*-1</f>
        <v>0</v>
      </c>
      <c r="H511" s="72">
        <f>SUMIF(Adat!$AH:$AH,CONCATENATE(Info!$D$5,"(ÖNV)","098151",L433),Adat!$E:$E)*-1</f>
        <v>0</v>
      </c>
      <c r="I511" s="72">
        <f>SUMIF(Adat!$AH:$AH,CONCATENATE(Info!$D$5,"(ÁIG)","098151",L433),Adat!$E:$E)*-1</f>
        <v>0</v>
      </c>
    </row>
    <row r="512" spans="2:9" x14ac:dyDescent="0.25">
      <c r="B512" s="160">
        <v>77</v>
      </c>
      <c r="C512" s="305" t="s">
        <v>1425</v>
      </c>
      <c r="D512" s="84" t="s">
        <v>1426</v>
      </c>
      <c r="E512" s="72">
        <f>SUMIF(Adat!$AG:$AG,CONCATENATE(61,Info!$D$5,"098171",L433),Adat!$E:$E)*-1</f>
        <v>0</v>
      </c>
      <c r="F512" s="72">
        <f>SUMIF(Adat!$AG:$AG,CONCATENATE(60,Info!$D$5,"098171",L433),Adat!$E:$E)*-1+E512</f>
        <v>0</v>
      </c>
      <c r="G512" s="72">
        <f>SUMIF(Adat!$AH:$AH,CONCATENATE(Info!$D$5,"(KÖT)","098171",L433),Adat!$E:$E)*-1</f>
        <v>0</v>
      </c>
      <c r="H512" s="72">
        <f>SUMIF(Adat!$AH:$AH,CONCATENATE(Info!$D$5,"(ÖNV)","098171",L433),Adat!$E:$E)*-1</f>
        <v>0</v>
      </c>
      <c r="I512" s="72">
        <f>SUMIF(Adat!$AH:$AH,CONCATENATE(Info!$D$5,"(ÁIG)","098171",L433),Adat!$E:$E)*-1</f>
        <v>0</v>
      </c>
    </row>
    <row r="513" spans="2:12" x14ac:dyDescent="0.25">
      <c r="B513" s="160">
        <v>78</v>
      </c>
      <c r="C513" s="154" t="s">
        <v>1427</v>
      </c>
      <c r="D513" s="85" t="s">
        <v>577</v>
      </c>
      <c r="E513" s="71">
        <f>SUM(E514:E518)</f>
        <v>0</v>
      </c>
      <c r="F513" s="71">
        <f t="shared" ref="F513" si="57">SUM(F514:F518)</f>
        <v>0</v>
      </c>
      <c r="G513" s="71">
        <f>SUM(G514:G518)</f>
        <v>0</v>
      </c>
      <c r="H513" s="71">
        <f>SUM(H514:H518)</f>
        <v>0</v>
      </c>
      <c r="I513" s="71">
        <f>SUM(I514:I518)</f>
        <v>0</v>
      </c>
    </row>
    <row r="514" spans="2:12" x14ac:dyDescent="0.2">
      <c r="B514" s="160">
        <v>79</v>
      </c>
      <c r="C514" s="89" t="s">
        <v>1428</v>
      </c>
      <c r="D514" s="82" t="s">
        <v>1429</v>
      </c>
      <c r="E514" s="72">
        <f>SUMIF(Adat!$AG:$AG,CONCATENATE(61,Info!$D$5,"098211",L433),Adat!$E:$E)*-1</f>
        <v>0</v>
      </c>
      <c r="F514" s="72">
        <f>SUMIF(Adat!$AG:$AG,CONCATENATE(60,Info!$D$5,"098211",L433),Adat!$E:$E)*-1+E514</f>
        <v>0</v>
      </c>
      <c r="G514" s="72">
        <f>SUMIF(Adat!$AH:$AH,CONCATENATE(Info!$D$5,"(KÖT)","098211",L433),Adat!$E:$E)*-1</f>
        <v>0</v>
      </c>
      <c r="H514" s="72">
        <f>SUMIF(Adat!$AH:$AH,CONCATENATE(Info!$D$5,"(ÖNV)","098211",L433),Adat!$E:$E)*-1</f>
        <v>0</v>
      </c>
      <c r="I514" s="72">
        <f>SUMIF(Adat!$AH:$AH,CONCATENATE(Info!$D$5,"(ÁIG)","098211",L433),Adat!$E:$E)*-1</f>
        <v>0</v>
      </c>
    </row>
    <row r="515" spans="2:12" x14ac:dyDescent="0.2">
      <c r="B515" s="160">
        <v>80</v>
      </c>
      <c r="C515" s="89" t="s">
        <v>1430</v>
      </c>
      <c r="D515" s="82" t="s">
        <v>1431</v>
      </c>
      <c r="E515" s="72">
        <f>SUMIF(Adat!$AG:$AG,CONCATENATE(61,Info!$D$5,"098221",L433),Adat!$E:$E)*-1</f>
        <v>0</v>
      </c>
      <c r="F515" s="72">
        <f>SUMIF(Adat!$AG:$AG,CONCATENATE(60,Info!$D$5,"098221",L433),Adat!$E:$E)*-1+E515</f>
        <v>0</v>
      </c>
      <c r="G515" s="72">
        <f>SUMIF(Adat!$AH:$AH,CONCATENATE(Info!$D$5,"(KÖT)","098221",L433),Adat!$E:$E)*-1</f>
        <v>0</v>
      </c>
      <c r="H515" s="72">
        <f>SUMIF(Adat!$AH:$AH,CONCATENATE(Info!$D$5,"(ÖNV)","098221",L433),Adat!$E:$E)*-1</f>
        <v>0</v>
      </c>
      <c r="I515" s="72">
        <f>SUMIF(Adat!$AH:$AH,CONCATENATE(Info!$D$5,"(ÁIG)","098221",L433),Adat!$E:$E)*-1</f>
        <v>0</v>
      </c>
    </row>
    <row r="516" spans="2:12" x14ac:dyDescent="0.2">
      <c r="B516" s="160">
        <v>81</v>
      </c>
      <c r="C516" s="89" t="s">
        <v>1432</v>
      </c>
      <c r="D516" s="82" t="s">
        <v>1433</v>
      </c>
      <c r="E516" s="72">
        <f>SUMIF(Adat!$AG:$AG,CONCATENATE(61,Info!$D$5,"098231",L433),Adat!$E:$E)*-1</f>
        <v>0</v>
      </c>
      <c r="F516" s="72">
        <f>SUMIF(Adat!$AG:$AG,CONCATENATE(60,Info!$D$5,"098231",L433),Adat!$E:$E)*-1+E516</f>
        <v>0</v>
      </c>
      <c r="G516" s="72">
        <f>SUMIF(Adat!$AH:$AH,CONCATENATE(Info!$D$5,"(KÖT)","098231",L433),Adat!$E:$E)*-1</f>
        <v>0</v>
      </c>
      <c r="H516" s="72">
        <f>SUMIF(Adat!$AH:$AH,CONCATENATE(Info!$D$5,"(ÖNV)","098231",L433),Adat!$E:$E)*-1</f>
        <v>0</v>
      </c>
      <c r="I516" s="72">
        <f>SUMIF(Adat!$AH:$AH,CONCATENATE(Info!$D$5,"(ÁIG)","098231",L433),Adat!$E:$E)*-1</f>
        <v>0</v>
      </c>
    </row>
    <row r="517" spans="2:12" x14ac:dyDescent="0.2">
      <c r="B517" s="160">
        <v>82</v>
      </c>
      <c r="C517" s="89" t="s">
        <v>1434</v>
      </c>
      <c r="D517" s="82" t="s">
        <v>1435</v>
      </c>
      <c r="E517" s="72">
        <f>SUMIF(Adat!$AG:$AG,CONCATENATE(61,Info!$D$5,"098241",L433),Adat!$E:$E)*-1</f>
        <v>0</v>
      </c>
      <c r="F517" s="72">
        <f>SUMIF(Adat!$AG:$AG,CONCATENATE(60,Info!$D$5,"098241",L433),Adat!$E:$E)*-1+E517</f>
        <v>0</v>
      </c>
      <c r="G517" s="72">
        <f>SUMIF(Adat!$AH:$AH,CONCATENATE(Info!$D$5,"(KÖT)","098241",L433),Adat!$E:$E)*-1</f>
        <v>0</v>
      </c>
      <c r="H517" s="72">
        <f>SUMIF(Adat!$AH:$AH,CONCATENATE(Info!$D$5,"(ÖNV)","098241",L433),Adat!$E:$E)*-1</f>
        <v>0</v>
      </c>
      <c r="I517" s="72">
        <f>SUMIF(Adat!$AH:$AH,CONCATENATE(Info!$D$5,"(ÁIG)","098241",L433),Adat!$E:$E)*-1</f>
        <v>0</v>
      </c>
    </row>
    <row r="518" spans="2:12" s="42" customFormat="1" x14ac:dyDescent="0.2">
      <c r="B518" s="160">
        <v>83</v>
      </c>
      <c r="C518" s="89" t="s">
        <v>1436</v>
      </c>
      <c r="D518" s="84" t="s">
        <v>1437</v>
      </c>
      <c r="E518" s="72">
        <f>SUMIF(Adat!$AG:$AG,CONCATENATE(61,Info!$D$5,"098251",L433),Adat!$E:$E)*-1</f>
        <v>0</v>
      </c>
      <c r="F518" s="72">
        <f>SUMIF(Adat!$AG:$AG,CONCATENATE(60,Info!$D$5,"098251",L433),Adat!$E:$E)*-1+E518</f>
        <v>0</v>
      </c>
      <c r="G518" s="72">
        <f>SUMIF(Adat!$AH:$AH,CONCATENATE(Info!$D$5,"(KÖT)","098251",L433),Adat!$E:$E)*-1</f>
        <v>0</v>
      </c>
      <c r="H518" s="72">
        <f>SUMIF(Adat!$AH:$AH,CONCATENATE(Info!$D$5,"(ÖNV)","098251",L433),Adat!$E:$E)*-1</f>
        <v>0</v>
      </c>
      <c r="I518" s="72">
        <f>SUMIF(Adat!$AH:$AH,CONCATENATE(Info!$D$5,"(ÁIG)","098251",L433),Adat!$E:$E)*-1</f>
        <v>0</v>
      </c>
    </row>
    <row r="519" spans="2:12" s="42" customFormat="1" x14ac:dyDescent="0.2">
      <c r="B519" s="160">
        <v>84</v>
      </c>
      <c r="C519" s="309" t="s">
        <v>1438</v>
      </c>
      <c r="D519" s="85" t="s">
        <v>1439</v>
      </c>
      <c r="E519" s="71">
        <f>SUMIF(Adat!$AG:$AG,CONCATENATE(61,Info!$D$5,"09831",L433),Adat!$E:$E)*-1</f>
        <v>0</v>
      </c>
      <c r="F519" s="71">
        <f>SUMIF(Adat!$AG:$AG,CONCATENATE(60,Info!$D$5,"09831",L433),Adat!$E:$E)*-1+E519</f>
        <v>0</v>
      </c>
      <c r="G519" s="71">
        <f>SUMIF(Adat!$AH:$AH,CONCATENATE(Info!$D$5,"(KÖT)","09831",L433),Adat!$E:$E)*-1</f>
        <v>0</v>
      </c>
      <c r="H519" s="71">
        <f>SUMIF(Adat!$AH:$AH,CONCATENATE(Info!$D$5,"(ÖNV)","09831",L433),Adat!$E:$E)*-1</f>
        <v>0</v>
      </c>
      <c r="I519" s="71">
        <f>SUMIF(Adat!$AH:$AH,CONCATENATE(Info!$D$5,"(ÁIG)","09831",L433),Adat!$E:$E)*-1</f>
        <v>0</v>
      </c>
    </row>
    <row r="520" spans="2:12" s="42" customFormat="1" x14ac:dyDescent="0.25">
      <c r="B520" s="160">
        <v>85</v>
      </c>
      <c r="C520" s="154" t="s">
        <v>1440</v>
      </c>
      <c r="D520" s="85" t="s">
        <v>1441</v>
      </c>
      <c r="E520" s="71">
        <f>SUMIF(Adat!$AG:$AG,CONCATENATE(61,Info!$D$5,"09841",L433),Adat!$E:$E)*-1</f>
        <v>0</v>
      </c>
      <c r="F520" s="71">
        <f>SUMIF(Adat!$AG:$AG,CONCATENATE(60,Info!$D$5,"09841",L433),Adat!$E:$E)*-1+E520</f>
        <v>0</v>
      </c>
      <c r="G520" s="71">
        <f>SUMIF(Adat!$AH:$AH,CONCATENATE(Info!$D$5,"(KÖT)","09841",L433),Adat!$E:$E)*-1</f>
        <v>0</v>
      </c>
      <c r="H520" s="71">
        <f>SUMIF(Adat!$AH:$AH,CONCATENATE(Info!$D$5,"(ÖNV)","09841",L433),Adat!$E:$E)*-1</f>
        <v>0</v>
      </c>
      <c r="I520" s="71">
        <f>SUMIF(Adat!$AH:$AH,CONCATENATE(Info!$D$5,"(ÁIG)","09841",L433),Adat!$E:$E)*-1</f>
        <v>0</v>
      </c>
    </row>
    <row r="521" spans="2:12" s="42" customFormat="1" x14ac:dyDescent="0.25">
      <c r="B521" s="160">
        <v>86</v>
      </c>
      <c r="C521" s="154" t="s">
        <v>358</v>
      </c>
      <c r="D521" s="87" t="s">
        <v>1442</v>
      </c>
      <c r="E521" s="71">
        <f>+E497+E501+E506+E509+E513+E520+E519</f>
        <v>0</v>
      </c>
      <c r="F521" s="71">
        <f t="shared" ref="F521" si="58">+F497+F501+F506+F509+F513+F520+F519</f>
        <v>0</v>
      </c>
      <c r="G521" s="71">
        <f>+G497+G501+G506+G509+G513+G520+G519</f>
        <v>0</v>
      </c>
      <c r="H521" s="71">
        <f>+H497+H501+H506+H509+H513+H520+H519</f>
        <v>0</v>
      </c>
      <c r="I521" s="71">
        <f>+I497+I501+I506+I509+I513+I520+I519</f>
        <v>0</v>
      </c>
    </row>
    <row r="522" spans="2:12" s="42" customFormat="1" x14ac:dyDescent="0.25">
      <c r="B522" s="160">
        <v>87</v>
      </c>
      <c r="C522" s="154" t="s">
        <v>364</v>
      </c>
      <c r="D522" s="87" t="s">
        <v>1497</v>
      </c>
      <c r="E522" s="71">
        <f>+E496+E521</f>
        <v>0</v>
      </c>
      <c r="F522" s="71">
        <f t="shared" ref="F522" si="59">+F496+F521</f>
        <v>0</v>
      </c>
      <c r="G522" s="71">
        <f>+G496+G521</f>
        <v>0</v>
      </c>
      <c r="H522" s="71">
        <f>+H496+H521</f>
        <v>0</v>
      </c>
      <c r="I522" s="71">
        <f>+I496+I521</f>
        <v>0</v>
      </c>
    </row>
    <row r="523" spans="2:12" s="38" customFormat="1" ht="15.75" x14ac:dyDescent="0.25">
      <c r="C523" s="156"/>
      <c r="E523" s="140"/>
      <c r="F523" s="140"/>
      <c r="G523" s="140"/>
      <c r="H523" s="140"/>
      <c r="I523" s="140"/>
    </row>
    <row r="524" spans="2:12" s="10" customFormat="1" ht="15.75" customHeight="1" x14ac:dyDescent="0.25">
      <c r="B524" s="201" t="str">
        <f>CONCATENATE("8. Kiadási jogcímek"," - ",L524," részletező")</f>
        <v>8. Kiadási jogcímek -  részletező</v>
      </c>
      <c r="C524" s="101"/>
      <c r="D524" s="101"/>
      <c r="E524" s="101"/>
      <c r="F524" s="101"/>
      <c r="G524" s="198"/>
      <c r="H524" s="198"/>
      <c r="I524" s="198"/>
      <c r="L524" s="384"/>
    </row>
    <row r="525" spans="2:12" s="38" customFormat="1" ht="15.75" x14ac:dyDescent="0.25">
      <c r="C525" s="156"/>
      <c r="E525" s="140"/>
      <c r="F525" s="140"/>
      <c r="G525" s="140"/>
      <c r="H525" s="140"/>
      <c r="I525" s="140"/>
    </row>
    <row r="526" spans="2:12" s="40" customFormat="1" x14ac:dyDescent="0.25">
      <c r="B526" s="77"/>
      <c r="C526" s="77" t="s">
        <v>350</v>
      </c>
      <c r="D526" s="77" t="s">
        <v>351</v>
      </c>
      <c r="E526" s="77" t="s">
        <v>470</v>
      </c>
      <c r="F526" s="77" t="s">
        <v>471</v>
      </c>
      <c r="G526" s="77" t="s">
        <v>44</v>
      </c>
      <c r="H526" s="77" t="s">
        <v>42</v>
      </c>
      <c r="I526" s="77" t="s">
        <v>511</v>
      </c>
    </row>
    <row r="527" spans="2:12" s="41" customFormat="1" ht="38.25" x14ac:dyDescent="0.25">
      <c r="B527" s="160">
        <v>1</v>
      </c>
      <c r="C527" s="154" t="s">
        <v>593</v>
      </c>
      <c r="D527" s="154" t="s">
        <v>488</v>
      </c>
      <c r="E527" s="163" t="str">
        <f>CONCATENATE(PAR!$H$3," évi
eredeti 
előirányzat")</f>
        <v>2025. évi
eredeti 
előirányzat</v>
      </c>
      <c r="F527" s="163" t="str">
        <f>CONCATENATE(PAR!$H$3," évi
módosított 
előirányzat")</f>
        <v>2025. évi
módosított 
előirányzat</v>
      </c>
      <c r="G527" s="69" t="s">
        <v>666</v>
      </c>
      <c r="H527" s="69" t="s">
        <v>667</v>
      </c>
      <c r="I527" s="69" t="s">
        <v>668</v>
      </c>
    </row>
    <row r="528" spans="2:12" s="42" customFormat="1" x14ac:dyDescent="0.25">
      <c r="B528" s="160">
        <v>2</v>
      </c>
      <c r="C528" s="78" t="s">
        <v>352</v>
      </c>
      <c r="D528" s="92" t="s">
        <v>2663</v>
      </c>
      <c r="E528" s="71">
        <f>SUM(E529:E534)</f>
        <v>0</v>
      </c>
      <c r="F528" s="71">
        <f>SUM(F529:F534)</f>
        <v>0</v>
      </c>
      <c r="G528" s="71">
        <f>SUM(G529:G534)</f>
        <v>0</v>
      </c>
      <c r="H528" s="71">
        <f>+H529+H530+H531+H532+H533+H534</f>
        <v>0</v>
      </c>
      <c r="I528" s="71">
        <f>+I529+I530+I531+I532+I533+I534</f>
        <v>0</v>
      </c>
    </row>
    <row r="529" spans="2:9" x14ac:dyDescent="0.25">
      <c r="B529" s="160">
        <v>3</v>
      </c>
      <c r="C529" s="305" t="s">
        <v>315</v>
      </c>
      <c r="D529" s="161" t="s">
        <v>342</v>
      </c>
      <c r="E529" s="72">
        <f>SUMIF(Adat!$AI:$AI,CONCATENATE(61,Info!$D$5,"051",L524),Adat!$E:$E)</f>
        <v>0</v>
      </c>
      <c r="F529" s="72">
        <f>SUMIF(Adat!$AI:$AI,CONCATENATE(60,Info!$D$5,"051",L524),Adat!$E:$E)+E529</f>
        <v>0</v>
      </c>
      <c r="G529" s="72">
        <f>SUMIF(Adat!$AJ:$AJ,CONCATENATE(Info!$D$5,"051","(KÖT)",L524),Adat!$E:$E)</f>
        <v>0</v>
      </c>
      <c r="H529" s="72">
        <f>SUMIF(Adat!$AJ:$AJ,CONCATENATE(Info!$D$5,"051","(ÖNV)",L524),Adat!$E:$E)</f>
        <v>0</v>
      </c>
      <c r="I529" s="72">
        <f>SUMIF(Adat!$AJ:$AJ,CONCATENATE(Info!$D$5,"051","(ÁIG)",L524),Adat!$E:$E)</f>
        <v>0</v>
      </c>
    </row>
    <row r="530" spans="2:9" x14ac:dyDescent="0.25">
      <c r="B530" s="160">
        <v>4</v>
      </c>
      <c r="C530" s="305" t="s">
        <v>317</v>
      </c>
      <c r="D530" s="161" t="s">
        <v>395</v>
      </c>
      <c r="E530" s="72">
        <f>SUMIF(Adat!$AI:$AI,CONCATENATE(61,Info!$D$5,"052",L524),Adat!$E:$E)</f>
        <v>0</v>
      </c>
      <c r="F530" s="72">
        <f>SUMIF(Adat!$AI:$AI,CONCATENATE(60,Info!$D$5,"052",L524),Adat!$E:$E)+E530</f>
        <v>0</v>
      </c>
      <c r="G530" s="72">
        <f>SUMIF(Adat!$AJ:$AJ,CONCATENATE(Info!$D$5,"052","(KÖT)",L524),Adat!$E:$E)</f>
        <v>0</v>
      </c>
      <c r="H530" s="72">
        <f>SUMIF(Adat!$AJ:$AJ,CONCATENATE(Info!$D$5,"052","(ÖNV)",L524),Adat!$E:$E)</f>
        <v>0</v>
      </c>
      <c r="I530" s="72">
        <f>SUMIF(Adat!$AJ:$AJ,CONCATENATE(Info!$D$5,"052","(ÁIG)",L524),Adat!$E:$E)</f>
        <v>0</v>
      </c>
    </row>
    <row r="531" spans="2:9" x14ac:dyDescent="0.25">
      <c r="B531" s="160">
        <v>5</v>
      </c>
      <c r="C531" s="305" t="s">
        <v>4</v>
      </c>
      <c r="D531" s="161" t="s">
        <v>344</v>
      </c>
      <c r="E531" s="72">
        <f>SUMIF(Adat!$AI:$AI,CONCATENATE(61,Info!$D$5,"053",L524),Adat!$E:$E)</f>
        <v>0</v>
      </c>
      <c r="F531" s="72">
        <f>SUMIF(Adat!$AI:$AI,CONCATENATE(60,Info!$D$5,"053",L524),Adat!$E:$E)+E531</f>
        <v>0</v>
      </c>
      <c r="G531" s="72">
        <f>SUMIF(Adat!$AJ:$AJ,CONCATENATE(Info!$D$5,"053","(KÖT)",L524),Adat!$E:$E)</f>
        <v>0</v>
      </c>
      <c r="H531" s="72">
        <f>SUMIF(Adat!$AJ:$AJ,CONCATENATE(Info!$D$5,"053","(ÖNV)",L524),Adat!$E:$E)</f>
        <v>0</v>
      </c>
      <c r="I531" s="72">
        <f>SUMIF(Adat!$AJ:$AJ,CONCATENATE(Info!$D$5,"053","(ÁIG)",L524),Adat!$E:$E)</f>
        <v>0</v>
      </c>
    </row>
    <row r="532" spans="2:9" x14ac:dyDescent="0.25">
      <c r="B532" s="160">
        <v>6</v>
      </c>
      <c r="C532" s="305" t="s">
        <v>6</v>
      </c>
      <c r="D532" s="161" t="s">
        <v>345</v>
      </c>
      <c r="E532" s="72">
        <f>SUMIF(Adat!$AI:$AI,CONCATENATE(61,Info!$D$5,"054",L524),Adat!$E:$E)</f>
        <v>0</v>
      </c>
      <c r="F532" s="72">
        <f>SUMIF(Adat!$AI:$AI,CONCATENATE(60,Info!$D$5,"054",L524),Adat!$E:$E)+E532</f>
        <v>0</v>
      </c>
      <c r="G532" s="72">
        <f>SUMIF(Adat!$AJ:$AJ,CONCATENATE(Info!$D$5,"054","(KÖT)",L524),Adat!$E:$E)</f>
        <v>0</v>
      </c>
      <c r="H532" s="72">
        <f>SUMIF(Adat!$AJ:$AJ,CONCATENATE(Info!$D$5,"054","(ÖNV)",L524),Adat!$E:$E)</f>
        <v>0</v>
      </c>
      <c r="I532" s="72">
        <f>SUMIF(Adat!$AJ:$AJ,CONCATENATE(Info!$D$5,"054","(ÁIG)",L524),Adat!$E:$E)</f>
        <v>0</v>
      </c>
    </row>
    <row r="533" spans="2:9" x14ac:dyDescent="0.25">
      <c r="B533" s="160">
        <v>7</v>
      </c>
      <c r="C533" s="305" t="s">
        <v>8</v>
      </c>
      <c r="D533" s="161" t="s">
        <v>321</v>
      </c>
      <c r="E533" s="72">
        <f>SUMIF(Adat!$AI:$AI,CONCATENATE(61,Info!$D$5,"055",L524),Adat!$E:$E)-E534</f>
        <v>0</v>
      </c>
      <c r="F533" s="72">
        <f>SUMIF(Adat!$AI:$AI,CONCATENATE(60,Info!$D$5,"055",L524),Adat!$E:$E)+E533-F534+E534</f>
        <v>0</v>
      </c>
      <c r="G533" s="72">
        <f>SUMIF(Adat!$AJ:$AJ,CONCATENATE(Info!$D$5,"055","(KÖT)",L524),Adat!$E:$E)-G534</f>
        <v>0</v>
      </c>
      <c r="H533" s="72">
        <f>SUMIF(Adat!$AJ:$AJ,CONCATENATE(Info!$D$5,"055","(ÖNV)",L524),Adat!$E:$E)-H534</f>
        <v>0</v>
      </c>
      <c r="I533" s="72">
        <f>SUMIF(Adat!$AJ:$AJ,CONCATENATE(Info!$D$5,"055","(ÁIG)",L524),Adat!$E:$E)-I534</f>
        <v>0</v>
      </c>
    </row>
    <row r="534" spans="2:9" x14ac:dyDescent="0.25">
      <c r="B534" s="160">
        <v>8</v>
      </c>
      <c r="C534" s="305" t="s">
        <v>1283</v>
      </c>
      <c r="D534" s="161" t="s">
        <v>397</v>
      </c>
      <c r="E534" s="72">
        <f>SUMIF(Adat!$AG:$AG,CONCATENATE(61,Info!$D$5,"055131",L524),Adat!$E:$E)</f>
        <v>0</v>
      </c>
      <c r="F534" s="72">
        <f>SUMIF(Adat!$AG:$AG,CONCATENATE(60,Info!$D$5,"055131",L524),Adat!$E:$E)+E534</f>
        <v>0</v>
      </c>
      <c r="G534" s="72">
        <f>SUMIF(Adat!$AH:$AH,CONCATENATE(Info!$D$5,"(KÖT)","055131",L524),Adat!$E:$E)</f>
        <v>0</v>
      </c>
      <c r="H534" s="72">
        <f>SUMIF(Adat!$AH:$AH,CONCATENATE(Info!$D$5,"(ÖNV)","055131",L524),Adat!$E:$E)*-1</f>
        <v>0</v>
      </c>
      <c r="I534" s="72">
        <f>SUMIF(Adat!$AH:$AH,CONCATENATE(Info!$D$5,"(ÁIG)","055131",L524),Adat!$E:$E)*-1</f>
        <v>0</v>
      </c>
    </row>
    <row r="535" spans="2:9" x14ac:dyDescent="0.25">
      <c r="B535" s="160">
        <v>9</v>
      </c>
      <c r="C535" s="305" t="s">
        <v>1283</v>
      </c>
      <c r="D535" s="93" t="s">
        <v>1445</v>
      </c>
      <c r="E535" s="72">
        <v>0</v>
      </c>
      <c r="F535" s="72">
        <f>SUM(G535:I535)</f>
        <v>0</v>
      </c>
      <c r="G535" s="72">
        <v>0</v>
      </c>
      <c r="H535" s="72">
        <v>0</v>
      </c>
      <c r="I535" s="72">
        <v>0</v>
      </c>
    </row>
    <row r="536" spans="2:9" x14ac:dyDescent="0.25">
      <c r="B536" s="160">
        <v>10</v>
      </c>
      <c r="C536" s="305" t="s">
        <v>1283</v>
      </c>
      <c r="D536" s="93" t="s">
        <v>1446</v>
      </c>
      <c r="E536" s="72">
        <v>0</v>
      </c>
      <c r="F536" s="72">
        <f>SUM(G536:I536)</f>
        <v>0</v>
      </c>
      <c r="G536" s="72">
        <v>0</v>
      </c>
      <c r="H536" s="72">
        <v>0</v>
      </c>
      <c r="I536" s="72">
        <v>0</v>
      </c>
    </row>
    <row r="537" spans="2:9" x14ac:dyDescent="0.25">
      <c r="B537" s="160">
        <v>11</v>
      </c>
      <c r="C537" s="78" t="s">
        <v>358</v>
      </c>
      <c r="D537" s="92" t="s">
        <v>2664</v>
      </c>
      <c r="E537" s="71">
        <f>+E538+E540+E542</f>
        <v>0</v>
      </c>
      <c r="F537" s="71">
        <f>+F538+F540+F542</f>
        <v>0</v>
      </c>
      <c r="G537" s="71">
        <f>+G538+G540+G542</f>
        <v>0</v>
      </c>
      <c r="H537" s="71">
        <f>+H538+H540+H542</f>
        <v>0</v>
      </c>
      <c r="I537" s="71">
        <f>+I538+I540+I542</f>
        <v>0</v>
      </c>
    </row>
    <row r="538" spans="2:9" x14ac:dyDescent="0.25">
      <c r="B538" s="160">
        <v>12</v>
      </c>
      <c r="C538" s="305" t="s">
        <v>10</v>
      </c>
      <c r="D538" s="317" t="s">
        <v>322</v>
      </c>
      <c r="E538" s="72">
        <f>SUMIF(Adat!$AI:$AI,CONCATENATE(61,Info!$D$5,"056",L524),Adat!$E:$E)</f>
        <v>0</v>
      </c>
      <c r="F538" s="72">
        <f>SUMIF(Adat!$AI:$AI,CONCATENATE(60,Info!$D$5,"056",L524),Adat!$E:$E)+E538</f>
        <v>0</v>
      </c>
      <c r="G538" s="72">
        <f>SUMIF(Adat!$AJ:$AJ,CONCATENATE(Info!$D$5,"056","(KÖT)",L524),Adat!$E:$E)</f>
        <v>0</v>
      </c>
      <c r="H538" s="72">
        <f>SUMIF(Adat!$AJ:$AJ,CONCATENATE(Info!$D$5,"056","(ÖNV)",L524),Adat!$E:$E)</f>
        <v>0</v>
      </c>
      <c r="I538" s="72">
        <f>SUMIF(Adat!$AJ:$AJ,CONCATENATE(Info!$D$5,"056","(ÁIG)",L524),Adat!$E:$E)</f>
        <v>0</v>
      </c>
    </row>
    <row r="539" spans="2:9" x14ac:dyDescent="0.25">
      <c r="B539" s="160">
        <v>13</v>
      </c>
      <c r="C539" s="305" t="s">
        <v>10</v>
      </c>
      <c r="D539" s="317" t="s">
        <v>1448</v>
      </c>
      <c r="E539" s="72">
        <v>0</v>
      </c>
      <c r="F539" s="72">
        <f>SUM(G539:I539)</f>
        <v>0</v>
      </c>
      <c r="G539" s="72">
        <v>0</v>
      </c>
      <c r="H539" s="72">
        <v>0</v>
      </c>
      <c r="I539" s="72">
        <v>0</v>
      </c>
    </row>
    <row r="540" spans="2:9" x14ac:dyDescent="0.25">
      <c r="B540" s="160">
        <v>14</v>
      </c>
      <c r="C540" s="305" t="s">
        <v>12</v>
      </c>
      <c r="D540" s="317" t="s">
        <v>323</v>
      </c>
      <c r="E540" s="72">
        <f>SUMIF(Adat!$AI:$AI,CONCATENATE(61,Info!$D$5,"057",L524),Adat!$E:$E)</f>
        <v>0</v>
      </c>
      <c r="F540" s="72">
        <f>SUMIF(Adat!$AI:$AI,CONCATENATE(60,Info!$D$5,"057",L524),Adat!$E:$E)+E540</f>
        <v>0</v>
      </c>
      <c r="G540" s="72">
        <f>SUMIF(Adat!$AJ:$AJ,CONCATENATE(Info!$D$5,"057","(KÖT)",L524),Adat!$E:$E)</f>
        <v>0</v>
      </c>
      <c r="H540" s="72">
        <f>SUMIF(Adat!$AJ:$AJ,CONCATENATE(Info!$D$5,"057","(ÖNV)",L524),Adat!$E:$E)</f>
        <v>0</v>
      </c>
      <c r="I540" s="72">
        <f>SUMIF(Adat!$AJ:$AJ,CONCATENATE(Info!$D$5,"057","(ÁIG)",L524),Adat!$E:$E)</f>
        <v>0</v>
      </c>
    </row>
    <row r="541" spans="2:9" x14ac:dyDescent="0.25">
      <c r="B541" s="160">
        <v>15</v>
      </c>
      <c r="C541" s="305" t="s">
        <v>12</v>
      </c>
      <c r="D541" s="317" t="s">
        <v>1449</v>
      </c>
      <c r="E541" s="72">
        <v>0</v>
      </c>
      <c r="F541" s="72">
        <f>SUM(G541:I541)</f>
        <v>0</v>
      </c>
      <c r="G541" s="72">
        <v>0</v>
      </c>
      <c r="H541" s="72">
        <v>0</v>
      </c>
      <c r="I541" s="72">
        <v>0</v>
      </c>
    </row>
    <row r="542" spans="2:9" x14ac:dyDescent="0.25">
      <c r="B542" s="160">
        <v>16</v>
      </c>
      <c r="C542" s="305" t="s">
        <v>15</v>
      </c>
      <c r="D542" s="317" t="s">
        <v>324</v>
      </c>
      <c r="E542" s="72">
        <f>SUMIF(Adat!$AI:$AI,CONCATENATE(61,Info!$D$5,"058",L524),Adat!$E:$E)</f>
        <v>0</v>
      </c>
      <c r="F542" s="72">
        <f>SUMIF(Adat!$AI:$AI,CONCATENATE(60,Info!$D$5,"058",L524),Adat!$E:$E)+E542</f>
        <v>0</v>
      </c>
      <c r="G542" s="72">
        <f>SUMIF(Adat!$AJ:$AJ,CONCATENATE(Info!$D$5,"058","(KÖT)",L524),Adat!$E:$E)</f>
        <v>0</v>
      </c>
      <c r="H542" s="72">
        <f>SUMIF(Adat!$AJ:$AJ,CONCATENATE(Info!$D$5,"058","(ÖNV)",L524),Adat!$E:$E)</f>
        <v>0</v>
      </c>
      <c r="I542" s="72">
        <f>SUMIF(Adat!$AJ:$AJ,CONCATENATE(Info!$D$5,"058","(ÁIG)",L524),Adat!$E:$E)</f>
        <v>0</v>
      </c>
    </row>
    <row r="543" spans="2:9" x14ac:dyDescent="0.25">
      <c r="B543" s="160">
        <v>17</v>
      </c>
      <c r="C543" s="78" t="s">
        <v>364</v>
      </c>
      <c r="D543" s="86" t="s">
        <v>402</v>
      </c>
      <c r="E543" s="71">
        <f>+E528+E537</f>
        <v>0</v>
      </c>
      <c r="F543" s="71">
        <f>+F528+F537</f>
        <v>0</v>
      </c>
      <c r="G543" s="71">
        <f>+G528+G537</f>
        <v>0</v>
      </c>
      <c r="H543" s="71">
        <f>+H528+H537</f>
        <v>0</v>
      </c>
      <c r="I543" s="71">
        <f>+I528+I537</f>
        <v>0</v>
      </c>
    </row>
    <row r="544" spans="2:9" x14ac:dyDescent="0.25">
      <c r="B544" s="160">
        <v>18</v>
      </c>
      <c r="C544" s="78" t="s">
        <v>403</v>
      </c>
      <c r="D544" s="86" t="s">
        <v>1450</v>
      </c>
      <c r="E544" s="71">
        <f>+E545+E546+E547</f>
        <v>0</v>
      </c>
      <c r="F544" s="71">
        <f>+F545+F546+F547</f>
        <v>0</v>
      </c>
      <c r="G544" s="71">
        <f>+G545+G546+G547</f>
        <v>0</v>
      </c>
      <c r="H544" s="71">
        <f>+H545+H546+H547</f>
        <v>0</v>
      </c>
      <c r="I544" s="71">
        <f>+I545+I546+I547</f>
        <v>0</v>
      </c>
    </row>
    <row r="545" spans="2:18" s="42" customFormat="1" x14ac:dyDescent="0.25">
      <c r="B545" s="160">
        <v>19</v>
      </c>
      <c r="C545" s="305" t="s">
        <v>1451</v>
      </c>
      <c r="D545" s="161" t="s">
        <v>490</v>
      </c>
      <c r="E545" s="72">
        <f>SUMIF(Adat!$AG:$AG,CONCATENATE(61,Info!$D$5,"0591111",L524),Adat!$E:$E)</f>
        <v>0</v>
      </c>
      <c r="F545" s="72">
        <f>SUMIF(Adat!$AG:$AG,CONCATENATE(60,Info!$D$5,"0591111",L524),Adat!$E:$E)+E545</f>
        <v>0</v>
      </c>
      <c r="G545" s="72">
        <f>SUMIF(Adat!$AH:$AH,CONCATENATE(Info!$D$5,"(KÖT)","0591111",L524),Adat!$E:$E)</f>
        <v>0</v>
      </c>
      <c r="H545" s="72">
        <f>SUMIF(Adat!$AH:$AH,CONCATENATE(Info!$D$5,"(ÖNV)","0591111",L524),Adat!$E:$E)</f>
        <v>0</v>
      </c>
      <c r="I545" s="72">
        <f>SUMIF(Adat!$AH:$AH,CONCATENATE(Info!$D$5,"(ÁIG)","0591111",L524),Adat!$E:$E)</f>
        <v>0</v>
      </c>
    </row>
    <row r="546" spans="2:18" x14ac:dyDescent="0.25">
      <c r="B546" s="160">
        <v>20</v>
      </c>
      <c r="C546" s="305" t="s">
        <v>1453</v>
      </c>
      <c r="D546" s="161" t="s">
        <v>406</v>
      </c>
      <c r="E546" s="72">
        <f>SUMIF(Adat!$AG:$AG,CONCATENATE(61,Info!$D$5,"0591121",L524),Adat!$E:$E)</f>
        <v>0</v>
      </c>
      <c r="F546" s="72">
        <f>SUMIF(Adat!$AG:$AG,CONCATENATE(60,Info!$D$5,"0591121",L524),Adat!$E:$E)+E546</f>
        <v>0</v>
      </c>
      <c r="G546" s="72">
        <f>SUMIF(Adat!$AH:$AH,CONCATENATE(Info!$D$5,"(KÖT)","0591121",L524),Adat!$E:$E)</f>
        <v>0</v>
      </c>
      <c r="H546" s="72">
        <f>SUMIF(Adat!$AH:$AH,CONCATENATE(Info!$D$5,"(ÖNV)","0591121",L524),Adat!$E:$E)</f>
        <v>0</v>
      </c>
      <c r="I546" s="72">
        <f>SUMIF(Adat!$AH:$AH,CONCATENATE(Info!$D$5,"(ÁIG)","0591121",L524),Adat!$E:$E)</f>
        <v>0</v>
      </c>
    </row>
    <row r="547" spans="2:18" x14ac:dyDescent="0.25">
      <c r="B547" s="160">
        <v>21</v>
      </c>
      <c r="C547" s="305" t="s">
        <v>1455</v>
      </c>
      <c r="D547" s="161" t="s">
        <v>491</v>
      </c>
      <c r="E547" s="72">
        <f>SUMIF(Adat!$AG:$AG,CONCATENATE(61,Info!$D$5,"0591131",L524),Adat!$E:$E)</f>
        <v>0</v>
      </c>
      <c r="F547" s="72">
        <f>SUMIF(Adat!$AG:$AG,CONCATENATE(60,Info!$D$5,"0591131",L524),Adat!$E:$E)+E547</f>
        <v>0</v>
      </c>
      <c r="G547" s="72">
        <f>SUMIF(Adat!$AH:$AH,CONCATENATE(Info!$D$5,"(KÖT)","0591131",L524),Adat!$E:$E)</f>
        <v>0</v>
      </c>
      <c r="H547" s="72">
        <f>SUMIF(Adat!$AH:$AH,CONCATENATE(Info!$D$5,"(ÖNV)","0591131",L524),Adat!$E:$E)</f>
        <v>0</v>
      </c>
      <c r="I547" s="72">
        <f>SUMIF(Adat!$AH:$AH,CONCATENATE(Info!$D$5,"(ÁIG)","0591131",L524),Adat!$E:$E)</f>
        <v>0</v>
      </c>
    </row>
    <row r="548" spans="2:18" x14ac:dyDescent="0.25">
      <c r="B548" s="160">
        <v>22</v>
      </c>
      <c r="C548" s="78" t="s">
        <v>372</v>
      </c>
      <c r="D548" s="86" t="s">
        <v>1457</v>
      </c>
      <c r="E548" s="71">
        <f>+E549+E550+E551+E552+E553+E554</f>
        <v>0</v>
      </c>
      <c r="F548" s="71">
        <f>+F549+F550+F551+F552+F553+F554</f>
        <v>0</v>
      </c>
      <c r="G548" s="71">
        <f>+G549+G550+G551+G552+G553+G554</f>
        <v>0</v>
      </c>
      <c r="H548" s="71">
        <f>+H549+H550+H551+H552+H553+H554</f>
        <v>0</v>
      </c>
      <c r="I548" s="71">
        <f>+I549+I550+I551+I552+I553+I554</f>
        <v>0</v>
      </c>
    </row>
    <row r="549" spans="2:18" x14ac:dyDescent="0.25">
      <c r="B549" s="160">
        <v>23</v>
      </c>
      <c r="C549" s="305" t="s">
        <v>1458</v>
      </c>
      <c r="D549" s="161" t="s">
        <v>409</v>
      </c>
      <c r="E549" s="72">
        <f>SUMIF(Adat!$AG:$AG,CONCATENATE(61,Info!$D$5,"0591211",L524),Adat!$E:$E)</f>
        <v>0</v>
      </c>
      <c r="F549" s="72">
        <f>SUMIF(Adat!$AG:$AG,CONCATENATE(60,Info!$D$5,"0591211",L524),Adat!$E:$E)+E549</f>
        <v>0</v>
      </c>
      <c r="G549" s="72">
        <f>SUMIF(Adat!$AH:$AH,CONCATENATE(Info!$D$5,"(KÖT)","0591211",L524),Adat!$E:$E)</f>
        <v>0</v>
      </c>
      <c r="H549" s="72">
        <f>SUMIF(Adat!$AH:$AH,CONCATENATE(Info!$D$5,"(ÖNV)","0591211",L524),Adat!$E:$E)</f>
        <v>0</v>
      </c>
      <c r="I549" s="72">
        <f>SUMIF(Adat!$AH:$AH,CONCATENATE(Info!$D$5,"(ÁIG)","0591211",L524),Adat!$E:$E)</f>
        <v>0</v>
      </c>
    </row>
    <row r="550" spans="2:18" x14ac:dyDescent="0.25">
      <c r="B550" s="160">
        <v>24</v>
      </c>
      <c r="C550" s="305" t="s">
        <v>1460</v>
      </c>
      <c r="D550" s="161" t="s">
        <v>410</v>
      </c>
      <c r="E550" s="72">
        <f>SUMIF(Adat!$AG:$AG,CONCATENATE(61,Info!$D$5,"0591221",L524),Adat!$E:$E)</f>
        <v>0</v>
      </c>
      <c r="F550" s="72">
        <f>SUMIF(Adat!$AG:$AG,CONCATENATE(60,Info!$D$5,"0591221",L524),Adat!$E:$E)+E550</f>
        <v>0</v>
      </c>
      <c r="G550" s="72">
        <f>SUMIF(Adat!$AH:$AH,CONCATENATE(Info!$D$5,"(KÖT)","0591221",L524),Adat!$E:$E)</f>
        <v>0</v>
      </c>
      <c r="H550" s="72">
        <f>SUMIF(Adat!$AH:$AH,CONCATENATE(Info!$D$5,"(ÖNV)","0591221",L524),Adat!$E:$E)</f>
        <v>0</v>
      </c>
      <c r="I550" s="72">
        <f>SUMIF(Adat!$AH:$AH,CONCATENATE(Info!$D$5,"(ÁIG)","0591221",L524),Adat!$E:$E)</f>
        <v>0</v>
      </c>
    </row>
    <row r="551" spans="2:18" x14ac:dyDescent="0.25">
      <c r="B551" s="160">
        <v>25</v>
      </c>
      <c r="C551" s="305" t="s">
        <v>1462</v>
      </c>
      <c r="D551" s="161" t="s">
        <v>411</v>
      </c>
      <c r="E551" s="72">
        <f>SUMIF(Adat!$AG:$AG,CONCATENATE(61,Info!$D$5,"0591231",L524),Adat!$E:$E)</f>
        <v>0</v>
      </c>
      <c r="F551" s="72">
        <f>SUMIF(Adat!$AG:$AG,CONCATENATE(60,Info!$D$5,"0591231",L524),Adat!$E:$E)+E551</f>
        <v>0</v>
      </c>
      <c r="G551" s="72">
        <f>SUMIF(Adat!$AH:$AH,CONCATENATE(Info!$D$5,"(KÖT)","0591231",L524),Adat!$E:$E)</f>
        <v>0</v>
      </c>
      <c r="H551" s="72">
        <f>SUMIF(Adat!$AH:$AH,CONCATENATE(Info!$D$5,"(ÖNV)","0591231",L524),Adat!$E:$E)</f>
        <v>0</v>
      </c>
      <c r="I551" s="72">
        <f>SUMIF(Adat!$AH:$AH,CONCATENATE(Info!$D$5,"(ÁIG)","0591231",L524),Adat!$E:$E)</f>
        <v>0</v>
      </c>
    </row>
    <row r="552" spans="2:18" x14ac:dyDescent="0.25">
      <c r="B552" s="160">
        <v>26</v>
      </c>
      <c r="C552" s="305" t="s">
        <v>1464</v>
      </c>
      <c r="D552" s="161" t="s">
        <v>492</v>
      </c>
      <c r="E552" s="72">
        <f>SUMIF(Adat!$AG:$AG,CONCATENATE(61,Info!$D$5,"0591241",L524),Adat!$E:$E)</f>
        <v>0</v>
      </c>
      <c r="F552" s="72">
        <f>SUMIF(Adat!$AG:$AG,CONCATENATE(60,Info!$D$5,"0591241",L524),Adat!$E:$E)+E552</f>
        <v>0</v>
      </c>
      <c r="G552" s="72">
        <f>SUMIF(Adat!$AH:$AH,CONCATENATE(Info!$D$5,"(KÖT)","0591241",L524),Adat!$E:$E)</f>
        <v>0</v>
      </c>
      <c r="H552" s="72">
        <f>SUMIF(Adat!$AH:$AH,CONCATENATE(Info!$D$5,"(ÖNV)","0591241",L524),Adat!$E:$E)</f>
        <v>0</v>
      </c>
      <c r="I552" s="72">
        <f>SUMIF(Adat!$AH:$AH,CONCATENATE(Info!$D$5,"(ÁIG)","0591241",L524),Adat!$E:$E)</f>
        <v>0</v>
      </c>
    </row>
    <row r="553" spans="2:18" x14ac:dyDescent="0.25">
      <c r="B553" s="160">
        <v>27</v>
      </c>
      <c r="C553" s="305" t="s">
        <v>1466</v>
      </c>
      <c r="D553" s="161" t="s">
        <v>413</v>
      </c>
      <c r="E553" s="72">
        <f>SUMIF(Adat!$AG:$AG,CONCATENATE(61,Info!$D$5,"0591251",L524),Adat!$E:$E)</f>
        <v>0</v>
      </c>
      <c r="F553" s="72">
        <f>SUMIF(Adat!$AG:$AG,CONCATENATE(60,Info!$D$5,"0591251",L524),Adat!$E:$E)+E553</f>
        <v>0</v>
      </c>
      <c r="G553" s="72">
        <f>SUMIF(Adat!$AH:$AH,CONCATENATE(Info!$D$5,"(KÖT)","0591251",L524),Adat!$E:$E)</f>
        <v>0</v>
      </c>
      <c r="H553" s="72">
        <f>SUMIF(Adat!$AH:$AH,CONCATENATE(Info!$D$5,"(ÖNV)","0591251",L524),Adat!$E:$E)</f>
        <v>0</v>
      </c>
      <c r="I553" s="72">
        <f>SUMIF(Adat!$AH:$AH,CONCATENATE(Info!$D$5,"(ÁIG)","0591251",L524),Adat!$E:$E)</f>
        <v>0</v>
      </c>
    </row>
    <row r="554" spans="2:18" s="42" customFormat="1" x14ac:dyDescent="0.25">
      <c r="B554" s="160">
        <v>28</v>
      </c>
      <c r="C554" s="305" t="s">
        <v>1468</v>
      </c>
      <c r="D554" s="161" t="s">
        <v>414</v>
      </c>
      <c r="E554" s="72">
        <f>SUMIF(Adat!$AG:$AG,CONCATENATE(61,Info!$D$5,"0591261",L524),Adat!$E:$E)</f>
        <v>0</v>
      </c>
      <c r="F554" s="72">
        <f>SUMIF(Adat!$AG:$AG,CONCATENATE(60,Info!$D$5,"0591261",L524),Adat!$E:$E)+E554</f>
        <v>0</v>
      </c>
      <c r="G554" s="72">
        <f>SUMIF(Adat!$AH:$AH,CONCATENATE(Info!$D$5,"(KÖT)","0591261",L524),Adat!$E:$E)</f>
        <v>0</v>
      </c>
      <c r="H554" s="72">
        <f>SUMIF(Adat!$AH:$AH,CONCATENATE(Info!$D$5,"(ÖNV)","0591261",L524),Adat!$E:$E)</f>
        <v>0</v>
      </c>
      <c r="I554" s="72">
        <f>SUMIF(Adat!$AH:$AH,CONCATENATE(Info!$D$5,"(ÁIG)","0591261",L524),Adat!$E:$E)</f>
        <v>0</v>
      </c>
    </row>
    <row r="555" spans="2:18" x14ac:dyDescent="0.25">
      <c r="B555" s="160">
        <v>29</v>
      </c>
      <c r="C555" s="78" t="s">
        <v>379</v>
      </c>
      <c r="D555" s="86" t="s">
        <v>1470</v>
      </c>
      <c r="E555" s="71">
        <f>+E556+E557+E559+E560+E558</f>
        <v>0</v>
      </c>
      <c r="F555" s="71">
        <f>+F556+F557+F559+F560+F558</f>
        <v>0</v>
      </c>
      <c r="G555" s="71">
        <f>+G556+G557+G559+G560+G558</f>
        <v>0</v>
      </c>
      <c r="H555" s="71">
        <f>+H556+H557+H559+H560+H558</f>
        <v>0</v>
      </c>
      <c r="I555" s="71">
        <f>+I556+I557+I559+I560+I558</f>
        <v>0</v>
      </c>
      <c r="R555" s="43"/>
    </row>
    <row r="556" spans="2:18" x14ac:dyDescent="0.25">
      <c r="B556" s="160">
        <v>30</v>
      </c>
      <c r="C556" s="305" t="s">
        <v>1471</v>
      </c>
      <c r="D556" s="161" t="s">
        <v>416</v>
      </c>
      <c r="E556" s="72">
        <f>SUMIF(Adat!$AG:$AG,CONCATENATE(61,Info!$D$5,"059131",L524),Adat!$E:$E)</f>
        <v>0</v>
      </c>
      <c r="F556" s="72">
        <f>SUMIF(Adat!$AG:$AG,CONCATENATE(60,Info!$D$5,"059131",L524),Adat!$E:$E)+E556</f>
        <v>0</v>
      </c>
      <c r="G556" s="72">
        <f>SUMIF(Adat!$AH:$AH,CONCATENATE(Info!$D$5,"(KÖT)","059131",L524),Adat!$E:$E)</f>
        <v>0</v>
      </c>
      <c r="H556" s="72">
        <f>SUMIF(Adat!$AH:$AH,CONCATENATE(Info!$D$5,"(ÖNV)","059131",L524),Adat!$E:$E)</f>
        <v>0</v>
      </c>
      <c r="I556" s="72">
        <f>SUMIF(Adat!$AH:$AH,CONCATENATE(Info!$D$5,"(ÁIG)","059131",L524),Adat!$E:$E)</f>
        <v>0</v>
      </c>
    </row>
    <row r="557" spans="2:18" x14ac:dyDescent="0.25">
      <c r="B557" s="160">
        <v>31</v>
      </c>
      <c r="C557" s="305" t="s">
        <v>1287</v>
      </c>
      <c r="D557" s="161" t="s">
        <v>417</v>
      </c>
      <c r="E557" s="72">
        <f>SUMIF(Adat!$AG:$AG,CONCATENATE(61,Info!$D$5,"059141",L524),Adat!$E:$E)</f>
        <v>0</v>
      </c>
      <c r="F557" s="72">
        <f>SUMIF(Adat!$AG:$AG,CONCATENATE(60,Info!$D$5,"059141",L524),Adat!$E:$E)+E557</f>
        <v>0</v>
      </c>
      <c r="G557" s="72">
        <f>SUMIF(Adat!$AH:$AH,CONCATENATE(Info!$D$5,"(KÖT)","059141",L524),Adat!$E:$E)</f>
        <v>0</v>
      </c>
      <c r="H557" s="72">
        <f>SUMIF(Adat!$AH:$AH,CONCATENATE(Info!$D$5,"(ÖNV)","059141",L524),Adat!$E:$E)</f>
        <v>0</v>
      </c>
      <c r="I557" s="72">
        <f>SUMIF(Adat!$AH:$AH,CONCATENATE(Info!$D$5,"(ÁIG)","059141",L524),Adat!$E:$E)</f>
        <v>0</v>
      </c>
    </row>
    <row r="558" spans="2:18" x14ac:dyDescent="0.25">
      <c r="B558" s="160">
        <v>32</v>
      </c>
      <c r="C558" s="316" t="s">
        <v>1253</v>
      </c>
      <c r="D558" s="161" t="s">
        <v>493</v>
      </c>
      <c r="E558" s="72">
        <f>SUMIF(Adat!$AG:$AG,CONCATENATE(61,Info!$D$5,"059151",L524),Adat!$E:$E)</f>
        <v>0</v>
      </c>
      <c r="F558" s="72">
        <f>SUMIF(Adat!$AG:$AG,CONCATENATE(60,Info!$D$5,"059151",L524),Adat!$E:$E)+E558</f>
        <v>0</v>
      </c>
      <c r="G558" s="72">
        <f>SUMIF(Adat!$AH:$AH,CONCATENATE(Info!$D$5,"(KÖT)","059151",L524),Adat!$E:$E)</f>
        <v>0</v>
      </c>
      <c r="H558" s="72">
        <f>SUMIF(Adat!$AH:$AH,CONCATENATE(Info!$D$5,"(ÖNV)","059151",L524),Adat!$E:$E)</f>
        <v>0</v>
      </c>
      <c r="I558" s="72">
        <f>SUMIF(Adat!$AH:$AH,CONCATENATE(Info!$D$5,"(ÁIG)","059151",L524),Adat!$E:$E)</f>
        <v>0</v>
      </c>
    </row>
    <row r="559" spans="2:18" s="42" customFormat="1" x14ac:dyDescent="0.25">
      <c r="B559" s="160">
        <v>33</v>
      </c>
      <c r="C559" s="305" t="s">
        <v>1474</v>
      </c>
      <c r="D559" s="161" t="s">
        <v>418</v>
      </c>
      <c r="E559" s="72">
        <f>SUMIF(Adat!$AG:$AG,CONCATENATE(61,Info!$D$5,"059161",L524),Adat!$E:$E)</f>
        <v>0</v>
      </c>
      <c r="F559" s="72">
        <f>SUMIF(Adat!$AG:$AG,CONCATENATE(60,Info!$D$5,"059161",L524),Adat!$E:$E)+E559</f>
        <v>0</v>
      </c>
      <c r="G559" s="72">
        <f>SUMIF(Adat!$AH:$AH,CONCATENATE(Info!$D$5,"(KÖT)","059161",L524),Adat!$E:$E)</f>
        <v>0</v>
      </c>
      <c r="H559" s="72">
        <f>SUMIF(Adat!$AH:$AH,CONCATENATE(Info!$D$5,"(ÖNV)","059161",L524),Adat!$E:$E)</f>
        <v>0</v>
      </c>
      <c r="I559" s="72">
        <f>SUMIF(Adat!$AH:$AH,CONCATENATE(Info!$D$5,"(ÁIG)","059161",L524),Adat!$E:$E)</f>
        <v>0</v>
      </c>
    </row>
    <row r="560" spans="2:18" s="42" customFormat="1" x14ac:dyDescent="0.25">
      <c r="B560" s="160">
        <v>34</v>
      </c>
      <c r="C560" s="305" t="s">
        <v>1476</v>
      </c>
      <c r="D560" s="161" t="s">
        <v>419</v>
      </c>
      <c r="E560" s="72">
        <f>SUMIF(Adat!$AG:$AG,CONCATENATE(61,Info!$D$5,"059171",L524),Adat!$E:$E)</f>
        <v>0</v>
      </c>
      <c r="F560" s="72">
        <f>SUMIF(Adat!$AG:$AG,CONCATENATE(60,Info!$D$5,"059171",L524),Adat!$E:$E)+E560</f>
        <v>0</v>
      </c>
      <c r="G560" s="72">
        <f>SUMIF(Adat!$AH:$AH,CONCATENATE(Info!$D$5,"(KÖT)","059171",L524),Adat!$E:$E)</f>
        <v>0</v>
      </c>
      <c r="H560" s="72">
        <f>SUMIF(Adat!$AH:$AH,CONCATENATE(Info!$D$5,"(ÖNV)","059171",L524),Adat!$E:$E)</f>
        <v>0</v>
      </c>
      <c r="I560" s="72">
        <f>SUMIF(Adat!$AH:$AH,CONCATENATE(Info!$D$5,"(ÁIG)","059171",L524),Adat!$E:$E)</f>
        <v>0</v>
      </c>
    </row>
    <row r="561" spans="2:12" s="42" customFormat="1" x14ac:dyDescent="0.25">
      <c r="B561" s="160">
        <v>35</v>
      </c>
      <c r="C561" s="78" t="s">
        <v>420</v>
      </c>
      <c r="D561" s="86" t="s">
        <v>1478</v>
      </c>
      <c r="E561" s="73">
        <f>+E562+E563+E564+E565+E566</f>
        <v>0</v>
      </c>
      <c r="F561" s="73">
        <f>+F562+F563+F564+F565+F566</f>
        <v>0</v>
      </c>
      <c r="G561" s="73">
        <f>+G562+G563+G564+G565+G566</f>
        <v>0</v>
      </c>
      <c r="H561" s="73">
        <f>+H562+H563+H564+H565+H566</f>
        <v>0</v>
      </c>
      <c r="I561" s="73">
        <f>+I562+I563+I564+I565+I566</f>
        <v>0</v>
      </c>
    </row>
    <row r="562" spans="2:12" s="42" customFormat="1" x14ac:dyDescent="0.25">
      <c r="B562" s="160">
        <v>36</v>
      </c>
      <c r="C562" s="305" t="s">
        <v>1479</v>
      </c>
      <c r="D562" s="161" t="s">
        <v>422</v>
      </c>
      <c r="E562" s="72">
        <f>SUMIF(Adat!$AG:$AG,CONCATENATE(61,Info!$D$5,"059211",L524),Adat!$E:$E)</f>
        <v>0</v>
      </c>
      <c r="F562" s="72">
        <f>SUMIF(Adat!$AG:$AG,CONCATENATE(60,Info!$D$5,"059211",L524),Adat!$E:$E)+E562</f>
        <v>0</v>
      </c>
      <c r="G562" s="72">
        <f>SUMIF(Adat!$AH:$AH,CONCATENATE(Info!$D$5,"(KÖT)","059211",L524),Adat!$E:$E)</f>
        <v>0</v>
      </c>
      <c r="H562" s="72">
        <f>SUMIF(Adat!$AH:$AH,CONCATENATE(Info!$D$5,"(ÖNV)","059211",L524),Adat!$E:$E)</f>
        <v>0</v>
      </c>
      <c r="I562" s="72">
        <f>SUMIF(Adat!$AH:$AH,CONCATENATE(Info!$D$5,"(ÁIG)","059211",L524),Adat!$E:$E)</f>
        <v>0</v>
      </c>
    </row>
    <row r="563" spans="2:12" s="42" customFormat="1" x14ac:dyDescent="0.25">
      <c r="B563" s="160">
        <v>37</v>
      </c>
      <c r="C563" s="305" t="s">
        <v>1481</v>
      </c>
      <c r="D563" s="161" t="s">
        <v>423</v>
      </c>
      <c r="E563" s="72">
        <f>SUMIF(Adat!$AG:$AG,CONCATENATE(61,Info!$D$5,"059221",L524),Adat!$E:$E)</f>
        <v>0</v>
      </c>
      <c r="F563" s="72">
        <f>SUMIF(Adat!$AG:$AG,CONCATENATE(60,Info!$D$5,"059221",L524),Adat!$E:$E)+E563</f>
        <v>0</v>
      </c>
      <c r="G563" s="72">
        <f>SUMIF(Adat!$AH:$AH,CONCATENATE(Info!$D$5,"(KÖT)","059221",L524),Adat!$E:$E)</f>
        <v>0</v>
      </c>
      <c r="H563" s="72">
        <f>SUMIF(Adat!$AH:$AH,CONCATENATE(Info!$D$5,"(ÖNV)","059221",L524),Adat!$E:$E)</f>
        <v>0</v>
      </c>
      <c r="I563" s="72">
        <f>SUMIF(Adat!$AH:$AH,CONCATENATE(Info!$D$5,"(ÁIG)","059221",L524),Adat!$E:$E)</f>
        <v>0</v>
      </c>
    </row>
    <row r="564" spans="2:12" s="42" customFormat="1" x14ac:dyDescent="0.25">
      <c r="B564" s="160">
        <v>38</v>
      </c>
      <c r="C564" s="305" t="s">
        <v>1483</v>
      </c>
      <c r="D564" s="161" t="s">
        <v>424</v>
      </c>
      <c r="E564" s="72">
        <f>SUMIF(Adat!$AG:$AG,CONCATENATE(61,Info!$D$5,"059231",L524),Adat!$E:$E)</f>
        <v>0</v>
      </c>
      <c r="F564" s="72">
        <f>SUMIF(Adat!$AG:$AG,CONCATENATE(60,Info!$D$5,"059231",L524),Adat!$E:$E)+E564</f>
        <v>0</v>
      </c>
      <c r="G564" s="72">
        <f>SUMIF(Adat!$AH:$AH,CONCATENATE(Info!$D$5,"(KÖT)","059231",L524),Adat!$E:$E)</f>
        <v>0</v>
      </c>
      <c r="H564" s="72">
        <f>SUMIF(Adat!$AH:$AH,CONCATENATE(Info!$D$5,"(ÖNV)","059231",L524),Adat!$E:$E)</f>
        <v>0</v>
      </c>
      <c r="I564" s="72">
        <f>SUMIF(Adat!$AH:$AH,CONCATENATE(Info!$D$5,"(ÁIG)","059231",L524),Adat!$E:$E)</f>
        <v>0</v>
      </c>
    </row>
    <row r="565" spans="2:12" s="42" customFormat="1" x14ac:dyDescent="0.25">
      <c r="B565" s="160">
        <v>39</v>
      </c>
      <c r="C565" s="305" t="s">
        <v>1485</v>
      </c>
      <c r="D565" s="161" t="s">
        <v>494</v>
      </c>
      <c r="E565" s="72">
        <f>SUMIF(Adat!$AG:$AG,CONCATENATE(61,Info!$D$5,"059241",L524),Adat!$E:$E)</f>
        <v>0</v>
      </c>
      <c r="F565" s="72">
        <f>SUMIF(Adat!$AG:$AG,CONCATENATE(60,Info!$D$5,"059241",L524),Adat!$E:$E)+E565</f>
        <v>0</v>
      </c>
      <c r="G565" s="72">
        <f>SUMIF(Adat!$AH:$AH,CONCATENATE(Info!$D$5,"(KÖT)","059241",L524),Adat!$E:$E)</f>
        <v>0</v>
      </c>
      <c r="H565" s="72">
        <f>SUMIF(Adat!$AH:$AH,CONCATENATE(Info!$D$5,"(ÖNV)","059241",L524),Adat!$E:$E)</f>
        <v>0</v>
      </c>
      <c r="I565" s="72">
        <f>SUMIF(Adat!$AH:$AH,CONCATENATE(Info!$D$5,"(ÁIG)","059241",L524),Adat!$E:$E)</f>
        <v>0</v>
      </c>
    </row>
    <row r="566" spans="2:12" x14ac:dyDescent="0.25">
      <c r="B566" s="160">
        <v>40</v>
      </c>
      <c r="C566" s="305" t="s">
        <v>1487</v>
      </c>
      <c r="D566" s="161" t="s">
        <v>427</v>
      </c>
      <c r="E566" s="72">
        <f>SUMIF(Adat!$AG:$AG,CONCATENATE(61,Info!$D$5,"059251",L524),Adat!$E:$E)</f>
        <v>0</v>
      </c>
      <c r="F566" s="72">
        <f>SUMIF(Adat!$AG:$AG,CONCATENATE(60,Info!$D$5,"059251",L524),Adat!$E:$E)+E566</f>
        <v>0</v>
      </c>
      <c r="G566" s="72">
        <f>SUMIF(Adat!$AH:$AH,CONCATENATE(Info!$D$5,"(KÖT)","059251",L524),Adat!$E:$E)</f>
        <v>0</v>
      </c>
      <c r="H566" s="72">
        <f>SUMIF(Adat!$AH:$AH,CONCATENATE(Info!$D$5,"(ÖNV)","059251",L524),Adat!$E:$E)</f>
        <v>0</v>
      </c>
      <c r="I566" s="72">
        <f>SUMIF(Adat!$AH:$AH,CONCATENATE(Info!$D$5,"(ÁIG)","059251",L524),Adat!$E:$E)</f>
        <v>0</v>
      </c>
    </row>
    <row r="567" spans="2:12" x14ac:dyDescent="0.25">
      <c r="B567" s="160">
        <v>41</v>
      </c>
      <c r="C567" s="162" t="s">
        <v>390</v>
      </c>
      <c r="D567" s="86" t="s">
        <v>428</v>
      </c>
      <c r="E567" s="72">
        <f>SUMIF(Adat!$AG:$AG,CONCATENATE(61,Info!$D$5,"05931",L524),Adat!$E:$E)</f>
        <v>0</v>
      </c>
      <c r="F567" s="72">
        <f>SUMIF(Adat!$AG:$AG,CONCATENATE(60,Info!$D$5,"05931",L524),Adat!$E:$E)+E567</f>
        <v>0</v>
      </c>
      <c r="G567" s="72">
        <f>SUMIF(Adat!$AH:$AH,CONCATENATE(Info!$D$5,"(KÖT)","05931",L524),Adat!$E:$E)</f>
        <v>0</v>
      </c>
      <c r="H567" s="72">
        <f>SUMIF(Adat!$AH:$AH,CONCATENATE(Info!$D$5,"(ÖNV)","05931",L524),Adat!$E:$E)</f>
        <v>0</v>
      </c>
      <c r="I567" s="72">
        <f>SUMIF(Adat!$AH:$AH,CONCATENATE(Info!$D$5,"(ÁIG)","05931",L524),Adat!$E:$E)</f>
        <v>0</v>
      </c>
    </row>
    <row r="568" spans="2:12" x14ac:dyDescent="0.25">
      <c r="B568" s="160">
        <v>42</v>
      </c>
      <c r="C568" s="162" t="s">
        <v>429</v>
      </c>
      <c r="D568" s="86" t="s">
        <v>430</v>
      </c>
      <c r="E568" s="72">
        <f>SUMIF(Adat!$AG:$AG,CONCATENATE(61,Info!$D$5,"05941",L524),Adat!$E:$E)</f>
        <v>0</v>
      </c>
      <c r="F568" s="72">
        <f>SUMIF(Adat!$AG:$AG,CONCATENATE(60,Info!$D$5,"05941",L524),Adat!$E:$E)+E568</f>
        <v>0</v>
      </c>
      <c r="G568" s="72">
        <f>SUMIF(Adat!$AH:$AH,CONCATENATE(Info!$D$5,"(KÖT)","05941",L524),Adat!$E:$E)</f>
        <v>0</v>
      </c>
      <c r="H568" s="72">
        <f>SUMIF(Adat!$AH:$AH,CONCATENATE(Info!$D$5,"(ÖNV)","05941",L524),Adat!$E:$E)</f>
        <v>0</v>
      </c>
      <c r="I568" s="72">
        <f>SUMIF(Adat!$AH:$AH,CONCATENATE(Info!$D$5,"(ÁIG)","05941",L524),Adat!$E:$E)</f>
        <v>0</v>
      </c>
    </row>
    <row r="569" spans="2:12" x14ac:dyDescent="0.25">
      <c r="B569" s="160">
        <v>43</v>
      </c>
      <c r="C569" s="78" t="s">
        <v>431</v>
      </c>
      <c r="D569" s="86" t="s">
        <v>432</v>
      </c>
      <c r="E569" s="74">
        <f>+E544+E548+E555+E561+E567+E568</f>
        <v>0</v>
      </c>
      <c r="F569" s="74">
        <f>+F544+F548+F555+F561+F567+F568</f>
        <v>0</v>
      </c>
      <c r="G569" s="74">
        <f>+G544+G548+G555+G561+G567+G568</f>
        <v>0</v>
      </c>
      <c r="H569" s="74">
        <f>+H544+H548+H555+H561+H567+H568</f>
        <v>0</v>
      </c>
      <c r="I569" s="74">
        <f>+I544+I548+I555+I561+I567+I568</f>
        <v>0</v>
      </c>
    </row>
    <row r="570" spans="2:12" x14ac:dyDescent="0.25">
      <c r="B570" s="160">
        <v>44</v>
      </c>
      <c r="C570" s="154" t="s">
        <v>433</v>
      </c>
      <c r="D570" s="159" t="s">
        <v>434</v>
      </c>
      <c r="E570" s="74">
        <f>+E543+E569</f>
        <v>0</v>
      </c>
      <c r="F570" s="74">
        <f>+F543+F569</f>
        <v>0</v>
      </c>
      <c r="G570" s="74">
        <f>+G543+G569</f>
        <v>0</v>
      </c>
      <c r="H570" s="74">
        <f>+H543+H569</f>
        <v>0</v>
      </c>
      <c r="I570" s="74">
        <f>+I543+I569</f>
        <v>0</v>
      </c>
    </row>
    <row r="571" spans="2:12" s="37" customFormat="1" ht="15.75" x14ac:dyDescent="0.25">
      <c r="C571" s="529"/>
      <c r="D571" s="529"/>
      <c r="E571" s="529"/>
      <c r="F571" s="200"/>
      <c r="G571" s="200"/>
      <c r="H571" s="200"/>
      <c r="I571" s="200"/>
    </row>
    <row r="572" spans="2:12" s="38" customFormat="1" ht="15.75" x14ac:dyDescent="0.25">
      <c r="B572" s="525" t="str">
        <f>PAR!$E$3</f>
        <v>Nagymaros Város Önkormányzata</v>
      </c>
      <c r="C572" s="525"/>
      <c r="D572" s="525"/>
      <c r="E572" s="525"/>
      <c r="F572" s="525"/>
      <c r="G572" s="525"/>
      <c r="H572" s="525"/>
      <c r="I572" s="525"/>
    </row>
    <row r="573" spans="2:12" s="38" customFormat="1" ht="15.75" x14ac:dyDescent="0.25">
      <c r="B573" s="525" t="s">
        <v>2660</v>
      </c>
      <c r="C573" s="525"/>
      <c r="D573" s="525"/>
      <c r="E573" s="525"/>
      <c r="F573" s="525"/>
      <c r="G573" s="525"/>
      <c r="H573" s="525"/>
      <c r="I573" s="525"/>
    </row>
    <row r="574" spans="2:12" s="38" customFormat="1" ht="15.75" x14ac:dyDescent="0.25">
      <c r="C574" s="156"/>
      <c r="E574" s="140"/>
      <c r="F574" s="140"/>
      <c r="G574" s="140"/>
      <c r="H574" s="140"/>
      <c r="I574" s="140"/>
    </row>
    <row r="575" spans="2:12" s="10" customFormat="1" ht="15.75" customHeight="1" x14ac:dyDescent="0.25">
      <c r="B575" s="201" t="str">
        <f>CONCATENATE("9. Bevételi jogcímek"," - ",L575," részletező")</f>
        <v>9. Bevételi jogcímek -  részletező</v>
      </c>
      <c r="C575" s="101"/>
      <c r="D575" s="101"/>
      <c r="E575" s="101"/>
      <c r="F575" s="101"/>
      <c r="G575" s="198"/>
      <c r="H575" s="198"/>
      <c r="I575" s="198"/>
      <c r="L575" s="384"/>
    </row>
    <row r="576" spans="2:12" s="38" customFormat="1" ht="15.75" x14ac:dyDescent="0.25">
      <c r="C576" s="156"/>
      <c r="E576" s="140"/>
      <c r="F576" s="140"/>
      <c r="G576" s="140"/>
      <c r="H576" s="140"/>
      <c r="I576" s="140"/>
    </row>
    <row r="577" spans="2:9" s="40" customFormat="1" x14ac:dyDescent="0.25">
      <c r="B577" s="77"/>
      <c r="C577" s="77" t="s">
        <v>350</v>
      </c>
      <c r="D577" s="77" t="s">
        <v>351</v>
      </c>
      <c r="E577" s="77" t="s">
        <v>470</v>
      </c>
      <c r="F577" s="77" t="s">
        <v>471</v>
      </c>
      <c r="G577" s="77" t="s">
        <v>44</v>
      </c>
      <c r="H577" s="77" t="s">
        <v>42</v>
      </c>
      <c r="I577" s="77" t="s">
        <v>511</v>
      </c>
    </row>
    <row r="578" spans="2:9" ht="38.25" x14ac:dyDescent="0.25">
      <c r="B578" s="160">
        <v>1</v>
      </c>
      <c r="C578" s="154" t="s">
        <v>593</v>
      </c>
      <c r="D578" s="154" t="s">
        <v>488</v>
      </c>
      <c r="E578" s="163" t="str">
        <f>CONCATENATE(PAR!$H$3," évi
eredeti 
előirányzat")</f>
        <v>2025. évi
eredeti 
előirányzat</v>
      </c>
      <c r="F578" s="163" t="str">
        <f>CONCATENATE(PAR!$H$3," évi
módosított 
előirányzat")</f>
        <v>2025. évi
módosított 
előirányzat</v>
      </c>
      <c r="G578" s="69" t="s">
        <v>666</v>
      </c>
      <c r="H578" s="69" t="s">
        <v>667</v>
      </c>
      <c r="I578" s="69" t="s">
        <v>668</v>
      </c>
    </row>
    <row r="579" spans="2:9" s="41" customFormat="1" x14ac:dyDescent="0.25">
      <c r="B579" s="160">
        <v>2</v>
      </c>
      <c r="C579" s="78" t="s">
        <v>1324</v>
      </c>
      <c r="D579" s="79" t="s">
        <v>562</v>
      </c>
      <c r="E579" s="71">
        <f>SUM(E580:E586)</f>
        <v>0</v>
      </c>
      <c r="F579" s="71">
        <f t="shared" ref="F579:I579" si="60">SUM(F580:F586)</f>
        <v>0</v>
      </c>
      <c r="G579" s="71">
        <f t="shared" si="60"/>
        <v>0</v>
      </c>
      <c r="H579" s="71">
        <f t="shared" si="60"/>
        <v>0</v>
      </c>
      <c r="I579" s="71">
        <f t="shared" si="60"/>
        <v>0</v>
      </c>
    </row>
    <row r="580" spans="2:9" s="42" customFormat="1" x14ac:dyDescent="0.2">
      <c r="B580" s="160">
        <v>3</v>
      </c>
      <c r="C580" s="305" t="s">
        <v>1288</v>
      </c>
      <c r="D580" s="82" t="s">
        <v>1325</v>
      </c>
      <c r="E580" s="72">
        <f>SUMIF(Adat!$AG:$AG,CONCATENATE(61,Info!$D$5,"091111",L575),Adat!$E:$E)*-1</f>
        <v>0</v>
      </c>
      <c r="F580" s="72">
        <f>SUMIF(Adat!$AG:$AG,CONCATENATE(60,Info!$D$5,"091111",L575),Adat!$E:$E)*(-1)+E580</f>
        <v>0</v>
      </c>
      <c r="G580" s="72">
        <f>SUMIF(Adat!$AH:$AH,CONCATENATE(Info!$D$5,"(KÖT)","091111",L575),Adat!$E:$E)*-1</f>
        <v>0</v>
      </c>
      <c r="H580" s="72">
        <f>SUMIF(Adat!$AH:$AH,CONCATENATE(Info!$D$5,"(ÖNV)","091111",L575),Adat!$E:$E)*-1</f>
        <v>0</v>
      </c>
      <c r="I580" s="72">
        <f>SUMIF(Adat!$AH:$AH,CONCATENATE(Info!$D$5,"(ÁIG)","091111",L575),Adat!$E:$E)*-1</f>
        <v>0</v>
      </c>
    </row>
    <row r="581" spans="2:9" x14ac:dyDescent="0.2">
      <c r="B581" s="160">
        <v>4</v>
      </c>
      <c r="C581" s="305" t="s">
        <v>1289</v>
      </c>
      <c r="D581" s="82" t="s">
        <v>735</v>
      </c>
      <c r="E581" s="72">
        <f>SUMIF(Adat!$AG:$AG,CONCATENATE(61,Info!$D$5,"091121",L575),Adat!$E:$E)*-1</f>
        <v>0</v>
      </c>
      <c r="F581" s="72">
        <f>SUMIF(Adat!$AG:$AG,CONCATENATE(60,Info!$D$5,"091121",L575),Adat!$E:$E)*-1+E581</f>
        <v>0</v>
      </c>
      <c r="G581" s="72">
        <f>SUMIF(Adat!$AH:$AH,CONCATENATE(Info!$D$5,"(KÖT)","091121",L575),Adat!$E:$E)*-1</f>
        <v>0</v>
      </c>
      <c r="H581" s="72">
        <f>SUMIF(Adat!$AH:$AH,CONCATENATE(Info!$D$5,"(ÖNV)","091121",L575),Adat!$E:$E)*-1</f>
        <v>0</v>
      </c>
      <c r="I581" s="72">
        <f>SUMIF(Adat!$AH:$AH,CONCATENATE(Info!$D$5,"(ÁIG)","091121",L575),Adat!$E:$E)*-1</f>
        <v>0</v>
      </c>
    </row>
    <row r="582" spans="2:9" x14ac:dyDescent="0.2">
      <c r="B582" s="160">
        <v>5</v>
      </c>
      <c r="C582" s="305" t="s">
        <v>1290</v>
      </c>
      <c r="D582" s="82" t="s">
        <v>1326</v>
      </c>
      <c r="E582" s="72">
        <f>SUMIF(Adat!$AG:$AG,CONCATENATE(61,Info!$D$5,"0911311",L575),Adat!$E:$E)*-1</f>
        <v>0</v>
      </c>
      <c r="F582" s="72">
        <f>SUMIF(Adat!$AG:$AG,CONCATENATE(60,Info!$D$5,"0911311",L575),Adat!$E:$E)*-1+E582</f>
        <v>0</v>
      </c>
      <c r="G582" s="72">
        <f>SUMIF(Adat!$AH:$AH,CONCATENATE(Info!$D$5,"(KÖT)","0911311",L575),Adat!$E:$E)*-1</f>
        <v>0</v>
      </c>
      <c r="H582" s="72">
        <f>SUMIF(Adat!$AH:$AH,CONCATENATE(Info!$D$5,"(ÖNV)","0911311",L575),Adat!$E:$E)*-1</f>
        <v>0</v>
      </c>
      <c r="I582" s="72">
        <f>SUMIF(Adat!$AH:$AH,CONCATENATE(Info!$D$5,"(ÁIG)","0911311",L575),Adat!$E:$E)*-1</f>
        <v>0</v>
      </c>
    </row>
    <row r="583" spans="2:9" x14ac:dyDescent="0.2">
      <c r="B583" s="160">
        <v>6</v>
      </c>
      <c r="C583" s="305" t="s">
        <v>1254</v>
      </c>
      <c r="D583" s="82" t="s">
        <v>736</v>
      </c>
      <c r="E583" s="72">
        <f>SUMIF(Adat!$AG:$AG,CONCATENATE(61,Info!$D$5,"0911321",L575),Adat!$E:$E)*-1</f>
        <v>0</v>
      </c>
      <c r="F583" s="72">
        <f>SUMIF(Adat!$AG:$AG,CONCATENATE(60,Info!$D$5,"0911321",L575),Adat!$E:$E)*-1+E583</f>
        <v>0</v>
      </c>
      <c r="G583" s="72">
        <f>SUMIF(Adat!$AH:$AH,CONCATENATE(Info!$D$5,"(KÖT)","0911321",L575),Adat!$E:$E)*-1</f>
        <v>0</v>
      </c>
      <c r="H583" s="72">
        <f>SUMIF(Adat!$AH:$AH,CONCATENATE(Info!$D$5,"(ÖNV)","0911321",L575),Adat!$E:$E)*-1</f>
        <v>0</v>
      </c>
      <c r="I583" s="72">
        <f>SUMIF(Adat!$AH:$AH,CONCATENATE(Info!$D$5,"(ÁIG)","0911321",L575),Adat!$E:$E)*-1</f>
        <v>0</v>
      </c>
    </row>
    <row r="584" spans="2:9" x14ac:dyDescent="0.25">
      <c r="B584" s="160">
        <v>7</v>
      </c>
      <c r="C584" s="305" t="s">
        <v>1291</v>
      </c>
      <c r="D584" s="84" t="s">
        <v>737</v>
      </c>
      <c r="E584" s="72">
        <f>SUMIF(Adat!$AG:$AG,CONCATENATE(61,Info!$D$5,"091141",L575),Adat!$E:$E)*-1</f>
        <v>0</v>
      </c>
      <c r="F584" s="72">
        <f>SUMIF(Adat!$AG:$AG,CONCATENATE(60,Info!$D$5,"091141",L575),Adat!$E:$E)*-1+E584</f>
        <v>0</v>
      </c>
      <c r="G584" s="72">
        <f>SUMIF(Adat!$AH:$AH,CONCATENATE(Info!$D$5,"(KÖT)","091141",L575),Adat!$E:$E)*-1</f>
        <v>0</v>
      </c>
      <c r="H584" s="72">
        <f>SUMIF(Adat!$AH:$AH,CONCATENATE(Info!$D$5,"(ÖNV)","091141",L575),Adat!$E:$E)*-1</f>
        <v>0</v>
      </c>
      <c r="I584" s="72">
        <f>SUMIF(Adat!$AH:$AH,CONCATENATE(Info!$D$5,"(ÁIG)","091141",L575),Adat!$E:$E)*-1</f>
        <v>0</v>
      </c>
    </row>
    <row r="585" spans="2:9" x14ac:dyDescent="0.25">
      <c r="B585" s="160">
        <v>8</v>
      </c>
      <c r="C585" s="305" t="s">
        <v>1312</v>
      </c>
      <c r="D585" s="84" t="s">
        <v>738</v>
      </c>
      <c r="E585" s="72">
        <f>SUMIF(Adat!$AG:$AG,CONCATENATE(61,Info!$D$5,"091151",L575),Adat!$E:$E)*-1</f>
        <v>0</v>
      </c>
      <c r="F585" s="72">
        <f>SUMIF(Adat!$AG:$AG,CONCATENATE(60,Info!$D$5,"091151",L575),Adat!$E:$E)*-1+E585</f>
        <v>0</v>
      </c>
      <c r="G585" s="72">
        <f>SUMIF(Adat!$AH:$AH,CONCATENATE(Info!$D$5,"(KÖT)","091151",L575),Adat!$E:$E)*-1</f>
        <v>0</v>
      </c>
      <c r="H585" s="72">
        <f>SUMIF(Adat!$AH:$AH,CONCATENATE(Info!$D$5,"(ÖNV)","091151",L575),Adat!$E:$E)*-1</f>
        <v>0</v>
      </c>
      <c r="I585" s="72">
        <f>SUMIF(Adat!$AH:$AH,CONCATENATE(Info!$D$5,"(ÁIG)","091151",L575),Adat!$E:$E)*-1</f>
        <v>0</v>
      </c>
    </row>
    <row r="586" spans="2:9" s="42" customFormat="1" x14ac:dyDescent="0.25">
      <c r="B586" s="160">
        <v>9</v>
      </c>
      <c r="C586" s="305" t="s">
        <v>1308</v>
      </c>
      <c r="D586" s="84" t="s">
        <v>233</v>
      </c>
      <c r="E586" s="72">
        <f>SUMIF(Adat!$AG:$AG,CONCATENATE(61,Info!$D$5,"091161",L575),Adat!$E:$E)*-1</f>
        <v>0</v>
      </c>
      <c r="F586" s="72">
        <f>SUMIF(Adat!$AG:$AG,CONCATENATE(60,Info!$D$5,"091161",L575),Adat!$E:$E)*-1+E586</f>
        <v>0</v>
      </c>
      <c r="G586" s="72">
        <f>SUMIF(Adat!$AH:$AH,CONCATENATE(Info!$D$5,"(KÖT)","091161",L575),Adat!$E:$E)*-1</f>
        <v>0</v>
      </c>
      <c r="H586" s="72">
        <f>SUMIF(Adat!$AH:$AH,CONCATENATE(Info!$D$5,"(ÖNV)","091161",L575),Adat!$E:$E)*-1</f>
        <v>0</v>
      </c>
      <c r="I586" s="72">
        <f>SUMIF(Adat!$AH:$AH,CONCATENATE(Info!$D$5,"(ÁIG)","091161",L575),Adat!$E:$E)*-1</f>
        <v>0</v>
      </c>
    </row>
    <row r="587" spans="2:9" s="42" customFormat="1" x14ac:dyDescent="0.25">
      <c r="B587" s="160">
        <v>10</v>
      </c>
      <c r="C587" s="78" t="s">
        <v>1328</v>
      </c>
      <c r="D587" s="85" t="s">
        <v>437</v>
      </c>
      <c r="E587" s="71">
        <f>SUM(E588:E592)</f>
        <v>0</v>
      </c>
      <c r="F587" s="71">
        <f t="shared" ref="F587" si="61">SUM(F588:F592)</f>
        <v>0</v>
      </c>
      <c r="G587" s="71">
        <f>SUM(G588:G592)</f>
        <v>0</v>
      </c>
      <c r="H587" s="71">
        <f t="shared" ref="H587:I587" si="62">SUM(H588:H592)</f>
        <v>0</v>
      </c>
      <c r="I587" s="71">
        <f t="shared" si="62"/>
        <v>0</v>
      </c>
    </row>
    <row r="588" spans="2:9" s="42" customFormat="1" x14ac:dyDescent="0.2">
      <c r="B588" s="160">
        <v>11</v>
      </c>
      <c r="C588" s="305" t="s">
        <v>1329</v>
      </c>
      <c r="D588" s="82" t="s">
        <v>1330</v>
      </c>
      <c r="E588" s="72">
        <f>SUMIF(Adat!$AG:$AG,CONCATENATE(61,Info!$D$5,"09121",L575),Adat!$E:$E)*-1</f>
        <v>0</v>
      </c>
      <c r="F588" s="72">
        <f>SUMIF(Adat!$AG:$AG,CONCATENATE(60,Info!$D$5,"09121",L575),Adat!$E:$E)*-1+E588</f>
        <v>0</v>
      </c>
      <c r="G588" s="72">
        <f>SUMIF(Adat!$AH:$AH,CONCATENATE(Info!$D$5,"(KÖT)","09121",L575),Adat!$E:$E)*-1</f>
        <v>0</v>
      </c>
      <c r="H588" s="72">
        <f>SUMIF(Adat!$AH:$AH,CONCATENATE(Info!$D$5,"(ÖNV)","09121",L575),Adat!$E:$E)*-1</f>
        <v>0</v>
      </c>
      <c r="I588" s="72">
        <f>SUMIF(Adat!$AH:$AH,CONCATENATE(Info!$D$5,"(ÁIG)","09121",L575),Adat!$E:$E)*-1</f>
        <v>0</v>
      </c>
    </row>
    <row r="589" spans="2:9" s="42" customFormat="1" x14ac:dyDescent="0.2">
      <c r="B589" s="160">
        <v>12</v>
      </c>
      <c r="C589" s="305" t="s">
        <v>1331</v>
      </c>
      <c r="D589" s="82" t="s">
        <v>1332</v>
      </c>
      <c r="E589" s="72">
        <f>SUMIF(Adat!$AG:$AG,CONCATENATE(61,Info!$D$5,"09131",L575),Adat!$E:$E)*-1</f>
        <v>0</v>
      </c>
      <c r="F589" s="72">
        <f>SUMIF(Adat!$AG:$AG,CONCATENATE(60,Info!$D$5,"09131",L575),Adat!$E:$E)*-1+E589</f>
        <v>0</v>
      </c>
      <c r="G589" s="72">
        <f>SUMIF(Adat!$AH:$AH,CONCATENATE(Info!$D$5,"(KÖT)","09131",L575),Adat!$E:$E)*-1</f>
        <v>0</v>
      </c>
      <c r="H589" s="72">
        <f>SUMIF(Adat!$AH:$AH,CONCATENATE(Info!$D$5,"(ÖNV)","09131",L575),Adat!$E:$E)*-1</f>
        <v>0</v>
      </c>
      <c r="I589" s="72">
        <f>SUMIF(Adat!$AH:$AH,CONCATENATE(Info!$D$5,"(ÁIG)","09131",L575),Adat!$E:$E)*-1</f>
        <v>0</v>
      </c>
    </row>
    <row r="590" spans="2:9" s="42" customFormat="1" x14ac:dyDescent="0.2">
      <c r="B590" s="160">
        <v>13</v>
      </c>
      <c r="C590" s="305" t="s">
        <v>1333</v>
      </c>
      <c r="D590" s="82" t="s">
        <v>1334</v>
      </c>
      <c r="E590" s="72">
        <f>SUMIF(Adat!$AG:$AG,CONCATENATE(61,Info!$D$5,"09141",L575),Adat!$E:$E)*-1</f>
        <v>0</v>
      </c>
      <c r="F590" s="72">
        <f>SUMIF(Adat!$AG:$AG,CONCATENATE(60,Info!$D$5,"09141",L575),Adat!$E:$E)*-1+E590</f>
        <v>0</v>
      </c>
      <c r="G590" s="72">
        <f>SUMIF(Adat!$AH:$AH,CONCATENATE(Info!$D$5,"(KÖT)","09141",L575),Adat!$E:$E)*-1</f>
        <v>0</v>
      </c>
      <c r="H590" s="72">
        <f>SUMIF(Adat!$AH:$AH,CONCATENATE(Info!$D$5,"(ÖNV)","09141",L575),Adat!$E:$E)*-1</f>
        <v>0</v>
      </c>
      <c r="I590" s="72">
        <f>SUMIF(Adat!$AH:$AH,CONCATENATE(Info!$D$5,"(ÁIG)","09141",L575),Adat!$E:$E)*-1</f>
        <v>0</v>
      </c>
    </row>
    <row r="591" spans="2:9" s="42" customFormat="1" x14ac:dyDescent="0.2">
      <c r="B591" s="160">
        <v>14</v>
      </c>
      <c r="C591" s="305" t="s">
        <v>1335</v>
      </c>
      <c r="D591" s="82" t="s">
        <v>1336</v>
      </c>
      <c r="E591" s="72">
        <f>SUMIF(Adat!$AG:$AG,CONCATENATE(61,Info!$D$5,"09151",L575),Adat!$E:$E)*-1</f>
        <v>0</v>
      </c>
      <c r="F591" s="72">
        <f>SUMIF(Adat!$AG:$AG,CONCATENATE(60,Info!$D$5,"09151",L575),Adat!$E:$E)*-1+E591</f>
        <v>0</v>
      </c>
      <c r="G591" s="72">
        <f>SUMIF(Adat!$AH:$AH,CONCATENATE(Info!$D$5,"(KÖT)","09151",L575),Adat!$E:$E)*-1</f>
        <v>0</v>
      </c>
      <c r="H591" s="72">
        <f>SUMIF(Adat!$AH:$AH,CONCATENATE(Info!$D$5,"(ÖNV)","09151",L575),Adat!$E:$E)*-1</f>
        <v>0</v>
      </c>
      <c r="I591" s="72">
        <f>SUMIF(Adat!$AH:$AH,CONCATENATE(Info!$D$5,"(ÁIG)","09151",L575),Adat!$E:$E)*-1</f>
        <v>0</v>
      </c>
    </row>
    <row r="592" spans="2:9" s="42" customFormat="1" x14ac:dyDescent="0.2">
      <c r="B592" s="160">
        <v>15</v>
      </c>
      <c r="C592" s="305" t="s">
        <v>1278</v>
      </c>
      <c r="D592" s="82" t="s">
        <v>1337</v>
      </c>
      <c r="E592" s="72">
        <f>SUMIF(Adat!$AG:$AG,CONCATENATE(61,Info!$D$5,"09161",L575),Adat!$E:$E)*-1</f>
        <v>0</v>
      </c>
      <c r="F592" s="72">
        <f>SUMIF(Adat!$AG:$AG,CONCATENATE(60,Info!$D$5,"09161",L575),Adat!$E:$E)*-1+E592</f>
        <v>0</v>
      </c>
      <c r="G592" s="72">
        <f>SUMIF(Adat!$AH:$AH,CONCATENATE(Info!$D$5,"(KÖT)","09161",L575),Adat!$E:$E)*-1</f>
        <v>0</v>
      </c>
      <c r="H592" s="72">
        <f>SUMIF(Adat!$AH:$AH,CONCATENATE(Info!$D$5,"(ÖNV)","09161",L575),Adat!$E:$E)*-1</f>
        <v>0</v>
      </c>
      <c r="I592" s="72">
        <f>SUMIF(Adat!$AH:$AH,CONCATENATE(Info!$D$5,"(ÁIG)","09161",L575),Adat!$E:$E)*-1</f>
        <v>0</v>
      </c>
    </row>
    <row r="593" spans="2:9" x14ac:dyDescent="0.25">
      <c r="B593" s="160">
        <v>16</v>
      </c>
      <c r="C593" s="79" t="s">
        <v>24</v>
      </c>
      <c r="D593" s="79" t="s">
        <v>449</v>
      </c>
      <c r="E593" s="71">
        <f t="shared" ref="E593:F593" si="63">SUM(E594:E598)</f>
        <v>0</v>
      </c>
      <c r="F593" s="71">
        <f t="shared" si="63"/>
        <v>0</v>
      </c>
      <c r="G593" s="71">
        <f>SUM(G594:G598)</f>
        <v>0</v>
      </c>
      <c r="H593" s="71">
        <f t="shared" ref="H593:I593" si="64">SUM(H594:H598)</f>
        <v>0</v>
      </c>
      <c r="I593" s="71">
        <f t="shared" si="64"/>
        <v>0</v>
      </c>
    </row>
    <row r="594" spans="2:9" x14ac:dyDescent="0.2">
      <c r="B594" s="160">
        <v>17</v>
      </c>
      <c r="C594" s="305" t="s">
        <v>1339</v>
      </c>
      <c r="D594" s="82" t="s">
        <v>1340</v>
      </c>
      <c r="E594" s="72">
        <f>SUMIF(Adat!$AG:$AG,CONCATENATE(61,Info!$D$5,"09211",L575),Adat!$E:$E)*-1</f>
        <v>0</v>
      </c>
      <c r="F594" s="72">
        <f>SUMIF(Adat!$AG:$AG,CONCATENATE(60,Info!$D$5,"09211",L575),Adat!$E:$E)*-1+E594</f>
        <v>0</v>
      </c>
      <c r="G594" s="72">
        <f>SUMIF(Adat!$AH:$AH,CONCATENATE(Info!$D$5,"(KÖT)","09211",L575),Adat!$E:$E)*-1</f>
        <v>0</v>
      </c>
      <c r="H594" s="72">
        <f>SUMIF(Adat!$AH:$AH,CONCATENATE(Info!$D$5,"(ÖNV)","09211",L575),Adat!$E:$E)*-1</f>
        <v>0</v>
      </c>
      <c r="I594" s="72">
        <f>SUMIF(Adat!$AH:$AH,CONCATENATE(Info!$D$5,"(ÁIG)","09211",L575),Adat!$E:$E)*-1</f>
        <v>0</v>
      </c>
    </row>
    <row r="595" spans="2:9" s="42" customFormat="1" x14ac:dyDescent="0.2">
      <c r="B595" s="160">
        <v>18</v>
      </c>
      <c r="C595" s="305" t="s">
        <v>1341</v>
      </c>
      <c r="D595" s="82" t="s">
        <v>1342</v>
      </c>
      <c r="E595" s="72">
        <f>SUMIF(Adat!$AG:$AG,CONCATENATE(61,Info!$D$5,"09221",L575),Adat!$E:$E)*-1</f>
        <v>0</v>
      </c>
      <c r="F595" s="72">
        <f>SUMIF(Adat!$AG:$AG,CONCATENATE(60,Info!$D$5,"09221",L575),Adat!$E:$E)*-1+E595</f>
        <v>0</v>
      </c>
      <c r="G595" s="72">
        <f>SUMIF(Adat!$AH:$AH,CONCATENATE(Info!$D$5,"(KÖT)","09221",L575),Adat!$E:$E)*-1</f>
        <v>0</v>
      </c>
      <c r="H595" s="72">
        <f>SUMIF(Adat!$AH:$AH,CONCATENATE(Info!$D$5,"(ÖNV)","09221",L575),Adat!$E:$E)*-1</f>
        <v>0</v>
      </c>
      <c r="I595" s="72">
        <f>SUMIF(Adat!$AH:$AH,CONCATENATE(Info!$D$5,"(ÁIG)","09221",L575),Adat!$E:$E)*-1</f>
        <v>0</v>
      </c>
    </row>
    <row r="596" spans="2:9" x14ac:dyDescent="0.2">
      <c r="B596" s="160">
        <v>19</v>
      </c>
      <c r="C596" s="305" t="s">
        <v>1343</v>
      </c>
      <c r="D596" s="82" t="s">
        <v>1344</v>
      </c>
      <c r="E596" s="72">
        <f>SUMIF(Adat!$AG:$AG,CONCATENATE(61,Info!$D$5,"09231",L575),Adat!$E:$E)*-1</f>
        <v>0</v>
      </c>
      <c r="F596" s="72">
        <f>SUMIF(Adat!$AG:$AG,CONCATENATE(60,Info!$D$5,"09231",L575),Adat!$E:$E)*-1+E596</f>
        <v>0</v>
      </c>
      <c r="G596" s="72">
        <f>SUMIF(Adat!$AH:$AH,CONCATENATE(Info!$D$5,"(KÖT)","09231",L575),Adat!$E:$E)*-1</f>
        <v>0</v>
      </c>
      <c r="H596" s="72">
        <f>SUMIF(Adat!$AH:$AH,CONCATENATE(Info!$D$5,"(ÖNV)","09231",L575),Adat!$E:$E)*-1</f>
        <v>0</v>
      </c>
      <c r="I596" s="72">
        <f>SUMIF(Adat!$AH:$AH,CONCATENATE(Info!$D$5,"(ÁIG)","09231",L575),Adat!$E:$E)*-1</f>
        <v>0</v>
      </c>
    </row>
    <row r="597" spans="2:9" x14ac:dyDescent="0.2">
      <c r="B597" s="160">
        <v>20</v>
      </c>
      <c r="C597" s="305" t="s">
        <v>1345</v>
      </c>
      <c r="D597" s="82" t="s">
        <v>1346</v>
      </c>
      <c r="E597" s="72">
        <f>SUMIF(Adat!$AG:$AG,CONCATENATE(61,Info!$D$5,"09241",L575),Adat!$E:$E)*-1</f>
        <v>0</v>
      </c>
      <c r="F597" s="72">
        <f>SUMIF(Adat!$AG:$AG,CONCATENATE(60,Info!$D$5,"09241",L575),Adat!$E:$E)*-1+E597</f>
        <v>0</v>
      </c>
      <c r="G597" s="72">
        <f>SUMIF(Adat!$AH:$AH,CONCATENATE(Info!$D$5,"(KÖT)","09241",L575),Adat!$E:$E)*-1</f>
        <v>0</v>
      </c>
      <c r="H597" s="72">
        <f>SUMIF(Adat!$AH:$AH,CONCATENATE(Info!$D$5,"(ÖNV)","09241",L575),Adat!$E:$E)*-1</f>
        <v>0</v>
      </c>
      <c r="I597" s="72">
        <f>SUMIF(Adat!$AH:$AH,CONCATENATE(Info!$D$5,"(ÁIG)","09241",L575),Adat!$E:$E)*-1</f>
        <v>0</v>
      </c>
    </row>
    <row r="598" spans="2:9" x14ac:dyDescent="0.2">
      <c r="B598" s="160">
        <v>21</v>
      </c>
      <c r="C598" s="305" t="s">
        <v>1255</v>
      </c>
      <c r="D598" s="82" t="s">
        <v>1347</v>
      </c>
      <c r="E598" s="72">
        <f>SUMIF(Adat!$AG:$AG,CONCATENATE(61,Info!$D$5,"09251",L575),Adat!$E:$E)*-1</f>
        <v>0</v>
      </c>
      <c r="F598" s="72">
        <f>SUMIF(Adat!$AG:$AG,CONCATENATE(60,Info!$D$5,"09251",L575),Adat!$E:$E)*-1+E598</f>
        <v>0</v>
      </c>
      <c r="G598" s="72">
        <f>SUMIF(Adat!$AH:$AH,CONCATENATE(Info!$D$5,"(KÖT)","09251",L575),Adat!$E:$E)*-1</f>
        <v>0</v>
      </c>
      <c r="H598" s="72">
        <f>SUMIF(Adat!$AH:$AH,CONCATENATE(Info!$D$5,"(ÖNV)","09251",L575),Adat!$E:$E)*-1</f>
        <v>0</v>
      </c>
      <c r="I598" s="72">
        <f>SUMIF(Adat!$AH:$AH,CONCATENATE(Info!$D$5,"(ÁIG)","09251",L575),Adat!$E:$E)*-1</f>
        <v>0</v>
      </c>
    </row>
    <row r="599" spans="2:9" x14ac:dyDescent="0.25">
      <c r="B599" s="160">
        <v>22</v>
      </c>
      <c r="C599" s="79" t="s">
        <v>27</v>
      </c>
      <c r="D599" s="79" t="s">
        <v>328</v>
      </c>
      <c r="E599" s="71">
        <f>SUM(E600:E605)</f>
        <v>0</v>
      </c>
      <c r="F599" s="71">
        <f>SUM(F600:F605)</f>
        <v>0</v>
      </c>
      <c r="G599" s="71">
        <f>SUM(G600:G605)</f>
        <v>0</v>
      </c>
      <c r="H599" s="71">
        <f>SUM(H600:H605)</f>
        <v>0</v>
      </c>
      <c r="I599" s="71">
        <f>SUM(I600:I605)</f>
        <v>0</v>
      </c>
    </row>
    <row r="600" spans="2:9" x14ac:dyDescent="0.2">
      <c r="B600" s="160">
        <v>23</v>
      </c>
      <c r="C600" s="305" t="s">
        <v>1348</v>
      </c>
      <c r="D600" s="82" t="s">
        <v>1349</v>
      </c>
      <c r="E600" s="72">
        <f>SUMIF(Adat!$AG:$AG,CONCATENATE(61,Info!$D$5,"093111",L575),Adat!$E:$E)*-1</f>
        <v>0</v>
      </c>
      <c r="F600" s="72">
        <f>SUMIF(Adat!$AG:$AG,CONCATENATE(60,Info!$D$5,"093111",L575),Adat!$E:$E)*-1+E600</f>
        <v>0</v>
      </c>
      <c r="G600" s="72">
        <f>SUMIF(Adat!$AH:$AH,CONCATENATE(Info!$D$5,"(KÖT)","093111",L575),Adat!$E:$E)*-1</f>
        <v>0</v>
      </c>
      <c r="H600" s="72">
        <f>SUMIF(Adat!$AH:$AH,CONCATENATE(Info!$D$5,"(ÖNV)","093111",L575),Adat!$E:$E)*-1</f>
        <v>0</v>
      </c>
      <c r="I600" s="72">
        <f>SUMIF(Adat!$AH:$AH,CONCATENATE(Info!$D$5,"(ÁIG)","093111",L575),Adat!$E:$E)*-1</f>
        <v>0</v>
      </c>
    </row>
    <row r="601" spans="2:9" x14ac:dyDescent="0.2">
      <c r="B601" s="160">
        <v>24</v>
      </c>
      <c r="C601" s="305" t="s">
        <v>1259</v>
      </c>
      <c r="D601" s="82" t="s">
        <v>1350</v>
      </c>
      <c r="E601" s="72">
        <f>SUMIF(Adat!$AG:$AG,CONCATENATE(61,Info!$D$5,"09341",L575),Adat!$E:$E)*-1</f>
        <v>0</v>
      </c>
      <c r="F601" s="72">
        <f>SUMIF(Adat!$AG:$AG,CONCATENATE(60,Info!$D$5,"09341",L575),Adat!$E:$E)*-1+E601</f>
        <v>0</v>
      </c>
      <c r="G601" s="72">
        <f>SUMIF(Adat!$AH:$AH,CONCATENATE(Info!$D$5,"(KÖT)","09341",L575),Adat!$E:$E)*-1</f>
        <v>0</v>
      </c>
      <c r="H601" s="72">
        <f>SUMIF(Adat!$AH:$AH,CONCATENATE(Info!$D$5,"(ÖNV)","09341",L575),Adat!$E:$E)*-1</f>
        <v>0</v>
      </c>
      <c r="I601" s="72">
        <f>SUMIF(Adat!$AH:$AH,CONCATENATE(Info!$D$5,"(ÁIG)","09341",L575),Adat!$E:$E)*-1</f>
        <v>0</v>
      </c>
    </row>
    <row r="602" spans="2:9" x14ac:dyDescent="0.2">
      <c r="B602" s="160">
        <v>25</v>
      </c>
      <c r="C602" s="305" t="s">
        <v>1260</v>
      </c>
      <c r="D602" s="82" t="s">
        <v>1351</v>
      </c>
      <c r="E602" s="72">
        <f>SUMIF(Adat!$AG:$AG,CONCATENATE(61,Info!$D$5,"093511",L575),Adat!$E:$E)*-1</f>
        <v>0</v>
      </c>
      <c r="F602" s="72">
        <f>SUMIF(Adat!$AG:$AG,CONCATENATE(60,Info!$D$5,"093511",L575),Adat!$E:$E)*-1+E602</f>
        <v>0</v>
      </c>
      <c r="G602" s="72">
        <f>SUMIF(Adat!$AH:$AH,CONCATENATE(Info!$D$5,"(KÖT)","093511",L575),Adat!$E:$E)*-1</f>
        <v>0</v>
      </c>
      <c r="H602" s="72">
        <f>SUMIF(Adat!$AH:$AH,CONCATENATE(Info!$D$5,"(ÖNV)","093511",L575),Adat!$E:$E)*-1</f>
        <v>0</v>
      </c>
      <c r="I602" s="72">
        <f>SUMIF(Adat!$AH:$AH,CONCATENATE(Info!$D$5,"(ÁIG)","093511",L575),Adat!$E:$E)*-1</f>
        <v>0</v>
      </c>
    </row>
    <row r="603" spans="2:9" x14ac:dyDescent="0.2">
      <c r="B603" s="160">
        <v>26</v>
      </c>
      <c r="C603" s="305" t="s">
        <v>1352</v>
      </c>
      <c r="D603" s="82" t="s">
        <v>1353</v>
      </c>
      <c r="E603" s="72">
        <f>SUMIF(Adat!$AG:$AG,CONCATENATE(61,Info!$D$5,"093521",L575),Adat!$E:$E)*-1</f>
        <v>0</v>
      </c>
      <c r="F603" s="72">
        <f>SUMIF(Adat!$AG:$AG,CONCATENATE(60,Info!$D$5,"093521",L575),Adat!$E:$E)*-1+E603</f>
        <v>0</v>
      </c>
      <c r="G603" s="72">
        <f>SUMIF(Adat!$AH:$AH,CONCATENATE(Info!$D$5,"(KÖT)","093521",L575),Adat!$E:$E)*-1</f>
        <v>0</v>
      </c>
      <c r="H603" s="72">
        <f>SUMIF(Adat!$AH:$AH,CONCATENATE(Info!$D$5,"(ÖNV)","093521",L575),Adat!$E:$E)*-1</f>
        <v>0</v>
      </c>
      <c r="I603" s="72">
        <f>SUMIF(Adat!$AH:$AH,CONCATENATE(Info!$D$5,"(ÁIG)","093521",L575),Adat!$E:$E)*-1</f>
        <v>0</v>
      </c>
    </row>
    <row r="604" spans="2:9" x14ac:dyDescent="0.2">
      <c r="B604" s="160">
        <v>27</v>
      </c>
      <c r="C604" s="305" t="s">
        <v>1292</v>
      </c>
      <c r="D604" s="82" t="s">
        <v>1354</v>
      </c>
      <c r="E604" s="72">
        <f>SUMIF(Adat!$AG:$AG,CONCATENATE(61,Info!$D$5,"093551",L575),Adat!$E:$E)*-1</f>
        <v>0</v>
      </c>
      <c r="F604" s="72">
        <f>SUMIF(Adat!$AG:$AG,CONCATENATE(60,Info!$D$5,"093551",L575),Adat!$E:$E)*-1+E604</f>
        <v>0</v>
      </c>
      <c r="G604" s="72">
        <f>SUMIF(Adat!$AH:$AH,CONCATENATE(Info!$D$5,"(KÖT)","093551",L575),Adat!$E:$E)*-1</f>
        <v>0</v>
      </c>
      <c r="H604" s="72">
        <f>SUMIF(Adat!$AH:$AH,CONCATENATE(Info!$D$5,"(ÖNV)","093551",L575),Adat!$E:$E)*-1</f>
        <v>0</v>
      </c>
      <c r="I604" s="72">
        <f>SUMIF(Adat!$AH:$AH,CONCATENATE(Info!$D$5,"(ÁIG)","093551",L575),Adat!$E:$E)*-1</f>
        <v>0</v>
      </c>
    </row>
    <row r="605" spans="2:9" x14ac:dyDescent="0.2">
      <c r="B605" s="160">
        <v>28</v>
      </c>
      <c r="C605" s="305" t="s">
        <v>1293</v>
      </c>
      <c r="D605" s="82" t="s">
        <v>1355</v>
      </c>
      <c r="E605" s="72">
        <f>SUMIF(Adat!$AG:$AG,CONCATENATE(61,Info!$D$5,"09361",L575),Adat!$E:$E)*-1</f>
        <v>0</v>
      </c>
      <c r="F605" s="72">
        <f>SUMIF(Adat!$AG:$AG,CONCATENATE(60,Info!$D$5,"09361",L575),Adat!$E:$E)*-1+E605</f>
        <v>0</v>
      </c>
      <c r="G605" s="72">
        <f>SUMIF(Adat!$AH:$AH,CONCATENATE(Info!$D$5,"(KÖT)","09361",L575),Adat!$E:$E)*-1</f>
        <v>0</v>
      </c>
      <c r="H605" s="72">
        <f>SUMIF(Adat!$AH:$AH,CONCATENATE(Info!$D$5,"(ÖNV)","09361",L575),Adat!$E:$E)*-1</f>
        <v>0</v>
      </c>
      <c r="I605" s="72">
        <f>SUMIF(Adat!$AH:$AH,CONCATENATE(Info!$D$5,"(ÁIG)","09361",L575),Adat!$E:$E)*-1</f>
        <v>0</v>
      </c>
    </row>
    <row r="606" spans="2:9" x14ac:dyDescent="0.25">
      <c r="B606" s="160">
        <v>29</v>
      </c>
      <c r="C606" s="79" t="s">
        <v>30</v>
      </c>
      <c r="D606" s="79" t="s">
        <v>329</v>
      </c>
      <c r="E606" s="71">
        <f>SUM(E607:E619)</f>
        <v>0</v>
      </c>
      <c r="F606" s="71">
        <f t="shared" ref="F606:I606" si="65">SUM(F607:F619)</f>
        <v>0</v>
      </c>
      <c r="G606" s="71">
        <f t="shared" si="65"/>
        <v>0</v>
      </c>
      <c r="H606" s="71">
        <f t="shared" si="65"/>
        <v>0</v>
      </c>
      <c r="I606" s="71">
        <f t="shared" si="65"/>
        <v>0</v>
      </c>
    </row>
    <row r="607" spans="2:9" x14ac:dyDescent="0.2">
      <c r="B607" s="160">
        <v>30</v>
      </c>
      <c r="C607" s="305" t="s">
        <v>1309</v>
      </c>
      <c r="D607" s="82" t="s">
        <v>1356</v>
      </c>
      <c r="E607" s="72">
        <f>SUMIF(Adat!$AG:$AG,CONCATENATE(61,Info!$D$5,"094011",L575),Adat!$E:$E)*-1</f>
        <v>0</v>
      </c>
      <c r="F607" s="72">
        <f>SUMIF(Adat!$AG:$AG,CONCATENATE(60,Info!$D$5,"094011",L575),Adat!$E:$E)*-1+E607</f>
        <v>0</v>
      </c>
      <c r="G607" s="72">
        <f>SUMIF(Adat!$AH:$AH,CONCATENATE(Info!$D$5,"(KÖT)","094011",L575),Adat!$E:$E)*-1</f>
        <v>0</v>
      </c>
      <c r="H607" s="72">
        <f>SUMIF(Adat!$AH:$AH,CONCATENATE(Info!$D$5,"(ÖNV)","094011",L575),Adat!$E:$E)*-1</f>
        <v>0</v>
      </c>
      <c r="I607" s="72">
        <f>SUMIF(Adat!$AH:$AH,CONCATENATE(Info!$D$5,"(ÁIG)","094011",L575),Adat!$E:$E)*-1</f>
        <v>0</v>
      </c>
    </row>
    <row r="608" spans="2:9" x14ac:dyDescent="0.2">
      <c r="B608" s="160">
        <v>31</v>
      </c>
      <c r="C608" s="305" t="s">
        <v>1279</v>
      </c>
      <c r="D608" s="82" t="s">
        <v>1357</v>
      </c>
      <c r="E608" s="72">
        <f>SUMIF(Adat!$AG:$AG,CONCATENATE(61,Info!$D$5,"094021",L575),Adat!$E:$E)*-1</f>
        <v>0</v>
      </c>
      <c r="F608" s="72">
        <f>SUMIF(Adat!$AG:$AG,CONCATENATE(60,Info!$D$5,"094021",L575),Adat!$E:$E)*-1+E608</f>
        <v>0</v>
      </c>
      <c r="G608" s="72">
        <f>SUMIF(Adat!$AH:$AH,CONCATENATE(Info!$D$5,"(KÖT)","094021",L575),Adat!$E:$E)*-1</f>
        <v>0</v>
      </c>
      <c r="H608" s="72">
        <f>SUMIF(Adat!$AH:$AH,CONCATENATE(Info!$D$5,"(ÖNV)","094021",L575),Adat!$E:$E)*-1</f>
        <v>0</v>
      </c>
      <c r="I608" s="72">
        <f>SUMIF(Adat!$AH:$AH,CONCATENATE(Info!$D$5,"(ÁIG)","094021",L575),Adat!$E:$E)*-1</f>
        <v>0</v>
      </c>
    </row>
    <row r="609" spans="2:9" x14ac:dyDescent="0.2">
      <c r="B609" s="160">
        <v>32</v>
      </c>
      <c r="C609" s="305" t="s">
        <v>1272</v>
      </c>
      <c r="D609" s="82" t="s">
        <v>1358</v>
      </c>
      <c r="E609" s="72">
        <f>SUMIF(Adat!$AG:$AG,CONCATENATE(61,Info!$D$5,"094031",L575),Adat!$E:$E)*-1</f>
        <v>0</v>
      </c>
      <c r="F609" s="72">
        <f>SUMIF(Adat!$AG:$AG,CONCATENATE(60,Info!$D$5,"094031",L575),Adat!$E:$E)*-1+E609</f>
        <v>0</v>
      </c>
      <c r="G609" s="72">
        <f>SUMIF(Adat!$AH:$AH,CONCATENATE(Info!$D$5,"(KÖT)","094031",L575),Adat!$E:$E)*-1</f>
        <v>0</v>
      </c>
      <c r="H609" s="72">
        <f>SUMIF(Adat!$AH:$AH,CONCATENATE(Info!$D$5,"(ÖNV)","094031",L575),Adat!$E:$E)*-1</f>
        <v>0</v>
      </c>
      <c r="I609" s="72">
        <f>SUMIF(Adat!$AH:$AH,CONCATENATE(Info!$D$5,"(ÁIG)","094031",L575),Adat!$E:$E)*-1</f>
        <v>0</v>
      </c>
    </row>
    <row r="610" spans="2:9" x14ac:dyDescent="0.2">
      <c r="B610" s="160">
        <v>33</v>
      </c>
      <c r="C610" s="305" t="s">
        <v>1359</v>
      </c>
      <c r="D610" s="82" t="s">
        <v>1360</v>
      </c>
      <c r="E610" s="72">
        <f>SUMIF(Adat!$AG:$AG,CONCATENATE(61,Info!$D$5,"094041",L575),Adat!$E:$E)*-1</f>
        <v>0</v>
      </c>
      <c r="F610" s="72">
        <f>SUMIF(Adat!$AG:$AG,CONCATENATE(60,Info!$D$5,"094041",L575),Adat!$E:$E)*-1+E610</f>
        <v>0</v>
      </c>
      <c r="G610" s="72">
        <f>SUMIF(Adat!$AH:$AH,CONCATENATE(Info!$D$5,"(KÖT)","094041",L575),Adat!$E:$E)*-1</f>
        <v>0</v>
      </c>
      <c r="H610" s="72">
        <f>SUMIF(Adat!$AH:$AH,CONCATENATE(Info!$D$5,"(ÖNV)","094041",L575),Adat!$E:$E)*-1</f>
        <v>0</v>
      </c>
      <c r="I610" s="72">
        <f>SUMIF(Adat!$AH:$AH,CONCATENATE(Info!$D$5,"(ÁIG)","094041",L575),Adat!$E:$E)*-1</f>
        <v>0</v>
      </c>
    </row>
    <row r="611" spans="2:9" x14ac:dyDescent="0.2">
      <c r="B611" s="160">
        <v>34</v>
      </c>
      <c r="C611" s="305" t="s">
        <v>1261</v>
      </c>
      <c r="D611" s="82" t="s">
        <v>1361</v>
      </c>
      <c r="E611" s="72">
        <f>SUMIF(Adat!$AG:$AG,CONCATENATE(61,Info!$D$5,"094051",L575),Adat!$E:$E)*-1</f>
        <v>0</v>
      </c>
      <c r="F611" s="72">
        <f>SUMIF(Adat!$AG:$AG,CONCATENATE(60,Info!$D$5,"094051",L575),Adat!$E:$E)*-1+E611</f>
        <v>0</v>
      </c>
      <c r="G611" s="72">
        <f>SUMIF(Adat!$AH:$AH,CONCATENATE(Info!$D$5,"(KÖT)","094051",L575),Adat!$E:$E)*-1</f>
        <v>0</v>
      </c>
      <c r="H611" s="72">
        <f>SUMIF(Adat!$AH:$AH,CONCATENATE(Info!$D$5,"(ÖNV)","094051",L575),Adat!$E:$E)*-1</f>
        <v>0</v>
      </c>
      <c r="I611" s="72">
        <f>SUMIF(Adat!$AH:$AH,CONCATENATE(Info!$D$5,"(ÁIG)","094051",L575),Adat!$E:$E)*-1</f>
        <v>0</v>
      </c>
    </row>
    <row r="612" spans="2:9" x14ac:dyDescent="0.2">
      <c r="B612" s="160">
        <v>35</v>
      </c>
      <c r="C612" s="305" t="s">
        <v>1273</v>
      </c>
      <c r="D612" s="82" t="s">
        <v>1362</v>
      </c>
      <c r="E612" s="72">
        <f>SUMIF(Adat!$AG:$AG,CONCATENATE(61,Info!$D$5,"094061",L575),Adat!$E:$E)*-1</f>
        <v>0</v>
      </c>
      <c r="F612" s="72">
        <f>SUMIF(Adat!$AG:$AG,CONCATENATE(60,Info!$D$5,"094061",L575),Adat!$E:$E)*-1+E612</f>
        <v>0</v>
      </c>
      <c r="G612" s="72">
        <f>SUMIF(Adat!$AH:$AH,CONCATENATE(Info!$D$5,"(KÖT)","094061",L575),Adat!$E:$E)*-1</f>
        <v>0</v>
      </c>
      <c r="H612" s="72">
        <f>SUMIF(Adat!$AH:$AH,CONCATENATE(Info!$D$5,"(ÖNV)","094061",L575),Adat!$E:$E)*-1</f>
        <v>0</v>
      </c>
      <c r="I612" s="72">
        <f>SUMIF(Adat!$AH:$AH,CONCATENATE(Info!$D$5,"(ÁIG)","094061",L575),Adat!$E:$E)*-1</f>
        <v>0</v>
      </c>
    </row>
    <row r="613" spans="2:9" x14ac:dyDescent="0.2">
      <c r="B613" s="160">
        <v>36</v>
      </c>
      <c r="C613" s="305" t="s">
        <v>1363</v>
      </c>
      <c r="D613" s="82" t="s">
        <v>1364</v>
      </c>
      <c r="E613" s="72">
        <f>SUMIF(Adat!$AG:$AG,CONCATENATE(61,Info!$D$5,"094071",L575),Adat!$E:$E)*-1</f>
        <v>0</v>
      </c>
      <c r="F613" s="72">
        <f>SUMIF(Adat!$AG:$AG,CONCATENATE(60,Info!$D$5,"094071",L575),Adat!$E:$E)*-1+E613</f>
        <v>0</v>
      </c>
      <c r="G613" s="72">
        <f>SUMIF(Adat!$AH:$AH,CONCATENATE(Info!$D$5,"(KÖT)","094071",L575),Adat!$E:$E)*-1</f>
        <v>0</v>
      </c>
      <c r="H613" s="72">
        <f>SUMIF(Adat!$AH:$AH,CONCATENATE(Info!$D$5,"(ÖNV)","094071",L575),Adat!$E:$E)*-1</f>
        <v>0</v>
      </c>
      <c r="I613" s="72">
        <f>SUMIF(Adat!$AH:$AH,CONCATENATE(Info!$D$5,"(ÁIG)","094071",L575),Adat!$E:$E)*-1</f>
        <v>0</v>
      </c>
    </row>
    <row r="614" spans="2:9" x14ac:dyDescent="0.2">
      <c r="B614" s="160">
        <v>37</v>
      </c>
      <c r="C614" s="305" t="s">
        <v>1306</v>
      </c>
      <c r="D614" s="82" t="s">
        <v>1365</v>
      </c>
      <c r="E614" s="72">
        <f>SUMIF(Adat!$AG:$AG,CONCATENATE(61,Info!$D$5,"0940811",L575),Adat!$E:$E)*-1</f>
        <v>0</v>
      </c>
      <c r="F614" s="72">
        <f>SUMIF(Adat!$AG:$AG,CONCATENATE(60,Info!$D$5,"0940811",L575),Adat!$E:$E)*-1+E614</f>
        <v>0</v>
      </c>
      <c r="G614" s="72">
        <f>SUMIF(Adat!$AH:$AH,CONCATENATE(Info!$D$5,"(KÖT)","0940811",L575),Adat!$E:$E)*-1</f>
        <v>0</v>
      </c>
      <c r="H614" s="72">
        <f>SUMIF(Adat!$AH:$AH,CONCATENATE(Info!$D$5,"(ÖNV)","0940811",L575),Adat!$E:$E)*-1</f>
        <v>0</v>
      </c>
      <c r="I614" s="72">
        <f>SUMIF(Adat!$AH:$AH,CONCATENATE(Info!$D$5,"(ÁIG)","0940811",L575),Adat!$E:$E)*-1</f>
        <v>0</v>
      </c>
    </row>
    <row r="615" spans="2:9" x14ac:dyDescent="0.2">
      <c r="B615" s="160">
        <v>38</v>
      </c>
      <c r="C615" s="305" t="s">
        <v>1295</v>
      </c>
      <c r="D615" s="82" t="s">
        <v>1366</v>
      </c>
      <c r="E615" s="72">
        <f>SUMIF(Adat!$AG:$AG,CONCATENATE(61,Info!$D$5,"0940821",L575),Adat!$E:$E)*-1</f>
        <v>0</v>
      </c>
      <c r="F615" s="72">
        <f>SUMIF(Adat!$AG:$AG,CONCATENATE(60,Info!$D$5,"0940821",L575),Adat!$E:$E)*-1+E615</f>
        <v>0</v>
      </c>
      <c r="G615" s="72">
        <f>SUMIF(Adat!$AH:$AH,CONCATENATE(Info!$D$5,"(KÖT)","0940821",L575),Adat!$E:$E)*-1</f>
        <v>0</v>
      </c>
      <c r="H615" s="72">
        <f>SUMIF(Adat!$AH:$AH,CONCATENATE(Info!$D$5,"(ÖNV)","0940821",L575),Adat!$E:$E)*-1</f>
        <v>0</v>
      </c>
      <c r="I615" s="72">
        <f>SUMIF(Adat!$AH:$AH,CONCATENATE(Info!$D$5,"(ÁIG)","0940821",L575),Adat!$E:$E)*-1</f>
        <v>0</v>
      </c>
    </row>
    <row r="616" spans="2:9" x14ac:dyDescent="0.2">
      <c r="B616" s="160">
        <v>39</v>
      </c>
      <c r="C616" s="305" t="s">
        <v>1367</v>
      </c>
      <c r="D616" s="82" t="s">
        <v>1368</v>
      </c>
      <c r="E616" s="72">
        <f>SUMIF(Adat!$AG:$AG,CONCATENATE(61,Info!$D$5,"0940911",L575),Adat!$E:$E)*-1</f>
        <v>0</v>
      </c>
      <c r="F616" s="72">
        <f>SUMIF(Adat!$AG:$AG,CONCATENATE(60,Info!$D$5,"0940911",L575),Adat!$E:$E)*-1+E616</f>
        <v>0</v>
      </c>
      <c r="G616" s="72">
        <f>SUMIF(Adat!$AH:$AH,CONCATENATE(Info!$D$5,"(KÖT)","0940911",L575),Adat!$E:$E)*-1</f>
        <v>0</v>
      </c>
      <c r="H616" s="72">
        <f>SUMIF(Adat!$AH:$AH,CONCATENATE(Info!$D$5,"(ÖNV)","0940911",L575),Adat!$E:$E)*-1</f>
        <v>0</v>
      </c>
      <c r="I616" s="72">
        <f>SUMIF(Adat!$AH:$AH,CONCATENATE(Info!$D$5,"(ÁIG)","0940911",L575),Adat!$E:$E)*-1</f>
        <v>0</v>
      </c>
    </row>
    <row r="617" spans="2:9" x14ac:dyDescent="0.2">
      <c r="B617" s="160">
        <v>40</v>
      </c>
      <c r="C617" s="305" t="s">
        <v>1369</v>
      </c>
      <c r="D617" s="82" t="s">
        <v>1370</v>
      </c>
      <c r="E617" s="72">
        <f>SUMIF(Adat!$AG:$AG,CONCATENATE(61,Info!$D$5,"0940921",L575),Adat!$E:$E)*-1</f>
        <v>0</v>
      </c>
      <c r="F617" s="72">
        <f>SUMIF(Adat!$AG:$AG,CONCATENATE(60,Info!$D$5,"0940921",L575),Adat!$E:$E)*-1+E617</f>
        <v>0</v>
      </c>
      <c r="G617" s="72">
        <f>SUMIF(Adat!$AH:$AH,CONCATENATE(Info!$D$5,"(KÖT)","0940921",L575),Adat!$E:$E)*-1</f>
        <v>0</v>
      </c>
      <c r="H617" s="72">
        <f>SUMIF(Adat!$AH:$AH,CONCATENATE(Info!$D$5,"(ÖNV)","0940921",L575),Adat!$E:$E)*-1</f>
        <v>0</v>
      </c>
      <c r="I617" s="72">
        <f>SUMIF(Adat!$AH:$AH,CONCATENATE(Info!$D$5,"(ÁIG)","0940921",L575),Adat!$E:$E)*-1</f>
        <v>0</v>
      </c>
    </row>
    <row r="618" spans="2:9" x14ac:dyDescent="0.2">
      <c r="B618" s="160">
        <v>41</v>
      </c>
      <c r="C618" s="305" t="s">
        <v>1296</v>
      </c>
      <c r="D618" s="82" t="s">
        <v>1371</v>
      </c>
      <c r="E618" s="72">
        <f>SUMIF(Adat!$AG:$AG,CONCATENATE(61,Info!$D$5,"094101",L575),Adat!$E:$E)*-1</f>
        <v>0</v>
      </c>
      <c r="F618" s="72">
        <f>SUMIF(Adat!$AG:$AG,CONCATENATE(60,Info!$D$5,"094101",L575),Adat!$E:$E)*-1+E618</f>
        <v>0</v>
      </c>
      <c r="G618" s="72">
        <f>SUMIF(Adat!$AH:$AH,CONCATENATE(Info!$D$5,"(KÖT)","094101",L575),Adat!$E:$E)*-1</f>
        <v>0</v>
      </c>
      <c r="H618" s="72">
        <f>SUMIF(Adat!$AH:$AH,CONCATENATE(Info!$D$5,"(ÖNV)","094101",L575),Adat!$E:$E)*-1</f>
        <v>0</v>
      </c>
      <c r="I618" s="72">
        <f>SUMIF(Adat!$AH:$AH,CONCATENATE(Info!$D$5,"(ÁIG)","094101",L575),Adat!$E:$E)*-1</f>
        <v>0</v>
      </c>
    </row>
    <row r="619" spans="2:9" x14ac:dyDescent="0.25">
      <c r="B619" s="160">
        <v>42</v>
      </c>
      <c r="C619" s="305" t="s">
        <v>1297</v>
      </c>
      <c r="D619" s="84" t="s">
        <v>1372</v>
      </c>
      <c r="E619" s="72">
        <f>SUMIF(Adat!$AG:$AG,CONCATENATE(61,Info!$D$5,"094111",L575),Adat!$E:$E)*-1</f>
        <v>0</v>
      </c>
      <c r="F619" s="72">
        <f>SUMIF(Adat!$AG:$AG,CONCATENATE(60,Info!$D$5,"094111",L575),Adat!$E:$E)*-1+E619</f>
        <v>0</v>
      </c>
      <c r="G619" s="72">
        <f>SUMIF(Adat!$AH:$AH,CONCATENATE(Info!$D$5,"(KÖT)","094111",L575),Adat!$E:$E)*-1</f>
        <v>0</v>
      </c>
      <c r="H619" s="72">
        <f>SUMIF(Adat!$AH:$AH,CONCATENATE(Info!$D$5,"(ÖNV)","094111",L575),Adat!$E:$E)*-1</f>
        <v>0</v>
      </c>
      <c r="I619" s="72">
        <f>SUMIF(Adat!$AH:$AH,CONCATENATE(Info!$D$5,"(ÁIG)","094111",L575),Adat!$E:$E)*-1</f>
        <v>0</v>
      </c>
    </row>
    <row r="620" spans="2:9" x14ac:dyDescent="0.25">
      <c r="B620" s="160">
        <v>43</v>
      </c>
      <c r="C620" s="79" t="s">
        <v>33</v>
      </c>
      <c r="D620" s="79" t="s">
        <v>330</v>
      </c>
      <c r="E620" s="71">
        <f>SUM(E621:E625)</f>
        <v>0</v>
      </c>
      <c r="F620" s="71">
        <f>SUM(F621:F625)</f>
        <v>0</v>
      </c>
      <c r="G620" s="71">
        <f>SUM(G621:G625)</f>
        <v>0</v>
      </c>
      <c r="H620" s="71">
        <f>SUM(H621:H625)</f>
        <v>0</v>
      </c>
      <c r="I620" s="71">
        <f>SUM(I621:I625)</f>
        <v>0</v>
      </c>
    </row>
    <row r="621" spans="2:9" x14ac:dyDescent="0.2">
      <c r="B621" s="160">
        <v>44</v>
      </c>
      <c r="C621" s="305" t="s">
        <v>1373</v>
      </c>
      <c r="D621" s="82" t="s">
        <v>1374</v>
      </c>
      <c r="E621" s="72">
        <f>SUMIF(Adat!$AG:$AG,CONCATENATE(61,Info!$D$5,"09511",L575),Adat!$E:$E)*-1</f>
        <v>0</v>
      </c>
      <c r="F621" s="72">
        <f>SUMIF(Adat!$AG:$AG,CONCATENATE(60,Info!$D$5,"09511",L575),Adat!$E:$E)*-1+E621</f>
        <v>0</v>
      </c>
      <c r="G621" s="72">
        <f>SUMIF(Adat!$AH:$AH,CONCATENATE(Info!$D$5,"(KÖT)","09511",L575),Adat!$E:$E)*-1</f>
        <v>0</v>
      </c>
      <c r="H621" s="72">
        <f>SUMIF(Adat!$AH:$AH,CONCATENATE(Info!$D$5,"(ÖNV)","09511",L575),Adat!$E:$E)*-1</f>
        <v>0</v>
      </c>
      <c r="I621" s="72">
        <f>SUMIF(Adat!$AH:$AH,CONCATENATE(Info!$D$5,"(ÁIG)","09511",L575),Adat!$E:$E)*-1</f>
        <v>0</v>
      </c>
    </row>
    <row r="622" spans="2:9" x14ac:dyDescent="0.2">
      <c r="B622" s="160">
        <v>45</v>
      </c>
      <c r="C622" s="305" t="s">
        <v>1294</v>
      </c>
      <c r="D622" s="82" t="s">
        <v>1375</v>
      </c>
      <c r="E622" s="72">
        <f>SUMIF(Adat!$AG:$AG,CONCATENATE(61,Info!$D$5,"09521",L575),Adat!$E:$E)*-1</f>
        <v>0</v>
      </c>
      <c r="F622" s="72">
        <f>SUMIF(Adat!$AG:$AG,CONCATENATE(60,Info!$D$5,"09521",L575),Adat!$E:$E)*-1+E622</f>
        <v>0</v>
      </c>
      <c r="G622" s="72">
        <f>SUMIF(Adat!$AH:$AH,CONCATENATE(Info!$D$5,"(KÖT)","09521",L575),Adat!$E:$E)*-1</f>
        <v>0</v>
      </c>
      <c r="H622" s="72">
        <f>SUMIF(Adat!$AH:$AH,CONCATENATE(Info!$D$5,"(ÖNV)","09521",L575),Adat!$E:$E)*-1</f>
        <v>0</v>
      </c>
      <c r="I622" s="72">
        <f>SUMIF(Adat!$AH:$AH,CONCATENATE(Info!$D$5,"(ÁIG)","09521",L575),Adat!$E:$E)*-1</f>
        <v>0</v>
      </c>
    </row>
    <row r="623" spans="2:9" x14ac:dyDescent="0.2">
      <c r="B623" s="160">
        <v>46</v>
      </c>
      <c r="C623" s="305" t="s">
        <v>1376</v>
      </c>
      <c r="D623" s="82" t="s">
        <v>1377</v>
      </c>
      <c r="E623" s="72">
        <f>SUMIF(Adat!$AG:$AG,CONCATENATE(61,Info!$D$5,"09531",L575),Adat!$E:$E)*-1</f>
        <v>0</v>
      </c>
      <c r="F623" s="72">
        <f>SUMIF(Adat!$AG:$AG,CONCATENATE(60,Info!$D$5,"09531",L575),Adat!$E:$E)*-1+E623</f>
        <v>0</v>
      </c>
      <c r="G623" s="72">
        <f>SUMIF(Adat!$AH:$AH,CONCATENATE(Info!$D$5,"(KÖT)","09531",L575),Adat!$E:$E)*-1</f>
        <v>0</v>
      </c>
      <c r="H623" s="72">
        <f>SUMIF(Adat!$AH:$AH,CONCATENATE(Info!$D$5,"(ÖNV)","09531",L575),Adat!$E:$E)*-1</f>
        <v>0</v>
      </c>
      <c r="I623" s="72">
        <f>SUMIF(Adat!$AH:$AH,CONCATENATE(Info!$D$5,"(ÁIG)","09531",L575),Adat!$E:$E)*-1</f>
        <v>0</v>
      </c>
    </row>
    <row r="624" spans="2:9" x14ac:dyDescent="0.2">
      <c r="B624" s="160">
        <v>47</v>
      </c>
      <c r="C624" s="305" t="s">
        <v>1378</v>
      </c>
      <c r="D624" s="82" t="s">
        <v>1379</v>
      </c>
      <c r="E624" s="72">
        <f>SUMIF(Adat!$AG:$AG,CONCATENATE(61,Info!$D$5,"09541",L575),Adat!$E:$E)*-1</f>
        <v>0</v>
      </c>
      <c r="F624" s="72">
        <f>SUMIF(Adat!$AG:$AG,CONCATENATE(60,Info!$D$5,"09541",L575),Adat!$E:$E)*-1+E624</f>
        <v>0</v>
      </c>
      <c r="G624" s="72">
        <f>SUMIF(Adat!$AH:$AH,CONCATENATE(Info!$D$5,"(KÖT)","09541",L575),Adat!$E:$E)*-1</f>
        <v>0</v>
      </c>
      <c r="H624" s="72">
        <f>SUMIF(Adat!$AH:$AH,CONCATENATE(Info!$D$5,"(ÖNV)","09541",L575),Adat!$E:$E)*-1</f>
        <v>0</v>
      </c>
      <c r="I624" s="72">
        <f>SUMIF(Adat!$AH:$AH,CONCATENATE(Info!$D$5,"(ÁIG)","09541",L575),Adat!$E:$E)*-1</f>
        <v>0</v>
      </c>
    </row>
    <row r="625" spans="2:9" x14ac:dyDescent="0.25">
      <c r="B625" s="160">
        <v>48</v>
      </c>
      <c r="C625" s="305" t="s">
        <v>1380</v>
      </c>
      <c r="D625" s="84" t="s">
        <v>1381</v>
      </c>
      <c r="E625" s="72">
        <f>SUMIF(Adat!$AG:$AG,CONCATENATE(61,Info!$D$5,"09551",L575),Adat!$E:$E)*-1</f>
        <v>0</v>
      </c>
      <c r="F625" s="72">
        <f>SUMIF(Adat!$AG:$AG,CONCATENATE(60,Info!$D$5,"09551",L575),Adat!$E:$E)*-1+E625</f>
        <v>0</v>
      </c>
      <c r="G625" s="72">
        <f>SUMIF(Adat!$AH:$AH,CONCATENATE(Info!$D$5,"(KÖT)","09551",L575),Adat!$E:$E)*-1</f>
        <v>0</v>
      </c>
      <c r="H625" s="72">
        <f>SUMIF(Adat!$AH:$AH,CONCATENATE(Info!$D$5,"(ÖNV)","09551",L575),Adat!$E:$E)*-1</f>
        <v>0</v>
      </c>
      <c r="I625" s="72">
        <f>SUMIF(Adat!$AH:$AH,CONCATENATE(Info!$D$5,"(ÁIG)","09551",L575),Adat!$E:$E)*-1</f>
        <v>0</v>
      </c>
    </row>
    <row r="626" spans="2:9" x14ac:dyDescent="0.25">
      <c r="B626" s="160">
        <v>49</v>
      </c>
      <c r="C626" s="79" t="s">
        <v>36</v>
      </c>
      <c r="D626" s="79" t="s">
        <v>331</v>
      </c>
      <c r="E626" s="71">
        <f>SUM(E627:E631)</f>
        <v>0</v>
      </c>
      <c r="F626" s="71">
        <f t="shared" ref="F626:I626" si="66">SUM(F627:F631)</f>
        <v>0</v>
      </c>
      <c r="G626" s="71">
        <f t="shared" si="66"/>
        <v>0</v>
      </c>
      <c r="H626" s="71">
        <f t="shared" si="66"/>
        <v>0</v>
      </c>
      <c r="I626" s="71">
        <f t="shared" si="66"/>
        <v>0</v>
      </c>
    </row>
    <row r="627" spans="2:9" x14ac:dyDescent="0.2">
      <c r="B627" s="160">
        <v>50</v>
      </c>
      <c r="C627" s="305" t="s">
        <v>1382</v>
      </c>
      <c r="D627" s="82" t="s">
        <v>1383</v>
      </c>
      <c r="E627" s="72">
        <f>SUMIF(Adat!$AG:$AG,CONCATENATE(61,Info!$D$5,"09611",L575),Adat!$E:$E)*-1</f>
        <v>0</v>
      </c>
      <c r="F627" s="72">
        <f>SUMIF(Adat!$AG:$AG,CONCATENATE(60,Info!$D$5,"09611",L575),Adat!$E:$E)*-1+E627</f>
        <v>0</v>
      </c>
      <c r="G627" s="72">
        <f>SUMIF(Adat!$AH:$AH,CONCATENATE(Info!$D$5,"(KÖT)","09611",L575),Adat!$E:$E)*-1</f>
        <v>0</v>
      </c>
      <c r="H627" s="72">
        <f>SUMIF(Adat!$AH:$AH,CONCATENATE(Info!$D$5,"(ÖNV)","09611",L575),Adat!$E:$E)*-1</f>
        <v>0</v>
      </c>
      <c r="I627" s="72">
        <f>SUMIF(Adat!$AH:$AH,CONCATENATE(Info!$D$5,"(ÁIG)","09611",L575),Adat!$E:$E)*-1</f>
        <v>0</v>
      </c>
    </row>
    <row r="628" spans="2:9" x14ac:dyDescent="0.2">
      <c r="B628" s="160">
        <v>51</v>
      </c>
      <c r="C628" s="305" t="s">
        <v>1384</v>
      </c>
      <c r="D628" s="82" t="s">
        <v>1385</v>
      </c>
      <c r="E628" s="72">
        <f>SUMIF(Adat!$AG:$AG,CONCATENATE(61,Info!$D$5,"09621",L575),Adat!$E:$E)*-1</f>
        <v>0</v>
      </c>
      <c r="F628" s="72">
        <f>SUMIF(Adat!$AG:$AG,CONCATENATE(60,Info!$D$5,"09621",L575),Adat!$E:$E)*-1+E628</f>
        <v>0</v>
      </c>
      <c r="G628" s="72">
        <f>SUMIF(Adat!$AH:$AH,CONCATENATE(Info!$D$5,"(KÖT)","09621",L575),Adat!$E:$E)*-1</f>
        <v>0</v>
      </c>
      <c r="H628" s="72">
        <f>SUMIF(Adat!$AH:$AH,CONCATENATE(Info!$D$5,"(ÖNV)","09621",L575),Adat!$E:$E)*-1</f>
        <v>0</v>
      </c>
      <c r="I628" s="72">
        <f>SUMIF(Adat!$AH:$AH,CONCATENATE(Info!$D$5,"(ÁIG)","09621",L575),Adat!$E:$E)*-1</f>
        <v>0</v>
      </c>
    </row>
    <row r="629" spans="2:9" x14ac:dyDescent="0.2">
      <c r="B629" s="160">
        <v>52</v>
      </c>
      <c r="C629" s="305" t="s">
        <v>1386</v>
      </c>
      <c r="D629" s="82" t="s">
        <v>1387</v>
      </c>
      <c r="E629" s="72">
        <f>SUMIF(Adat!$AG:$AG,CONCATENATE(61,Info!$D$5,"09631",L575),Adat!$E:$E)*-1</f>
        <v>0</v>
      </c>
      <c r="F629" s="72">
        <f>SUMIF(Adat!$AG:$AG,CONCATENATE(60,Info!$D$5,"09631",L575),Adat!$E:$E)*-1+E629</f>
        <v>0</v>
      </c>
      <c r="G629" s="72">
        <f>SUMIF(Adat!$AH:$AH,CONCATENATE(Info!$D$5,"(KÖT)","09631",L575),Adat!$E:$E)*-1</f>
        <v>0</v>
      </c>
      <c r="H629" s="72">
        <f>SUMIF(Adat!$AH:$AH,CONCATENATE(Info!$D$5,"(ÖNV)","09631",L575),Adat!$E:$E)*-1</f>
        <v>0</v>
      </c>
      <c r="I629" s="72">
        <f>SUMIF(Adat!$AH:$AH,CONCATENATE(Info!$D$5,"(ÁIG)","09631",L575),Adat!$E:$E)*-1</f>
        <v>0</v>
      </c>
    </row>
    <row r="630" spans="2:9" x14ac:dyDescent="0.2">
      <c r="B630" s="160">
        <v>53</v>
      </c>
      <c r="C630" s="305" t="s">
        <v>1388</v>
      </c>
      <c r="D630" s="82" t="s">
        <v>1389</v>
      </c>
      <c r="E630" s="72">
        <f>SUMIF(Adat!$AG:$AG,CONCATENATE(61,Info!$D$5,"09641",L575),Adat!$E:$E)*-1</f>
        <v>0</v>
      </c>
      <c r="F630" s="72">
        <f>SUMIF(Adat!$AG:$AG,CONCATENATE(60,Info!$D$5,"09641",L575),Adat!$E:$E)*-1+E630</f>
        <v>0</v>
      </c>
      <c r="G630" s="72">
        <f>SUMIF(Adat!$AH:$AH,CONCATENATE(Info!$D$5,"(KÖT)","09641",L575),Adat!$E:$E)*-1</f>
        <v>0</v>
      </c>
      <c r="H630" s="72">
        <f>SUMIF(Adat!$AH:$AH,CONCATENATE(Info!$D$5,"(ÖNV)","09641",L575),Adat!$E:$E)*-1</f>
        <v>0</v>
      </c>
      <c r="I630" s="72">
        <f>SUMIF(Adat!$AH:$AH,CONCATENATE(Info!$D$5,"(ÁIG)","09641",L575),Adat!$E:$E)*-1</f>
        <v>0</v>
      </c>
    </row>
    <row r="631" spans="2:9" x14ac:dyDescent="0.2">
      <c r="B631" s="160">
        <v>54</v>
      </c>
      <c r="C631" s="305" t="s">
        <v>1310</v>
      </c>
      <c r="D631" s="82" t="s">
        <v>1390</v>
      </c>
      <c r="E631" s="72">
        <f>SUMIF(Adat!$AG:$AG,CONCATENATE(61,Info!$D$5,"09651",L575),Adat!$E:$E)*-1</f>
        <v>0</v>
      </c>
      <c r="F631" s="72">
        <f>SUMIF(Adat!$AG:$AG,CONCATENATE(60,Info!$D$5,"09651",L575),Adat!$E:$E)*-1+E631</f>
        <v>0</v>
      </c>
      <c r="G631" s="72">
        <f>SUMIF(Adat!$AH:$AH,CONCATENATE(Info!$D$5,"(KÖT)","09651",L575),Adat!$E:$E)*-1</f>
        <v>0</v>
      </c>
      <c r="H631" s="72">
        <f>SUMIF(Adat!$AH:$AH,CONCATENATE(Info!$D$5,"(ÖNV)","09651",L575),Adat!$E:$E)*-1</f>
        <v>0</v>
      </c>
      <c r="I631" s="72">
        <f>SUMIF(Adat!$AH:$AH,CONCATENATE(Info!$D$5,"(ÁIG)","09651",L575),Adat!$E:$E)*-1</f>
        <v>0</v>
      </c>
    </row>
    <row r="632" spans="2:9" x14ac:dyDescent="0.25">
      <c r="B632" s="160">
        <v>55</v>
      </c>
      <c r="C632" s="79" t="s">
        <v>38</v>
      </c>
      <c r="D632" s="85" t="s">
        <v>332</v>
      </c>
      <c r="E632" s="71">
        <f>SUM(E633:E637)</f>
        <v>0</v>
      </c>
      <c r="F632" s="71">
        <f t="shared" ref="F632:I632" si="67">SUM(F633:F637)</f>
        <v>0</v>
      </c>
      <c r="G632" s="71">
        <f t="shared" si="67"/>
        <v>0</v>
      </c>
      <c r="H632" s="71">
        <f t="shared" si="67"/>
        <v>0</v>
      </c>
      <c r="I632" s="71">
        <f t="shared" si="67"/>
        <v>0</v>
      </c>
    </row>
    <row r="633" spans="2:9" x14ac:dyDescent="0.2">
      <c r="B633" s="160">
        <v>56</v>
      </c>
      <c r="C633" s="305" t="s">
        <v>1391</v>
      </c>
      <c r="D633" s="82" t="s">
        <v>1392</v>
      </c>
      <c r="E633" s="72">
        <f>SUMIF(Adat!$AG:$AG,CONCATENATE(61,Info!$D$5,"09711",L575),Adat!$E:$E)*-1</f>
        <v>0</v>
      </c>
      <c r="F633" s="72">
        <f>SUMIF(Adat!$AG:$AG,CONCATENATE(60,Info!$D$5,"09711",L575),Adat!$E:$E)*-1+E633</f>
        <v>0</v>
      </c>
      <c r="G633" s="72">
        <f>SUMIF(Adat!$AH:$AH,CONCATENATE(Info!$D$5,"(KÖT)","09711",L575),Adat!$E:$E)*-1</f>
        <v>0</v>
      </c>
      <c r="H633" s="72">
        <f>SUMIF(Adat!$AH:$AH,CONCATENATE(Info!$D$5,"(ÖNV)","09711",L575),Adat!$E:$E)*-1</f>
        <v>0</v>
      </c>
      <c r="I633" s="72">
        <f>SUMIF(Adat!$AH:$AH,CONCATENATE(Info!$D$5,"(ÁIG)","09711",L575),Adat!$E:$E)*-1</f>
        <v>0</v>
      </c>
    </row>
    <row r="634" spans="2:9" x14ac:dyDescent="0.2">
      <c r="B634" s="160">
        <v>57</v>
      </c>
      <c r="C634" s="305" t="s">
        <v>1393</v>
      </c>
      <c r="D634" s="82" t="s">
        <v>1394</v>
      </c>
      <c r="E634" s="72">
        <f>SUMIF(Adat!$AG:$AG,CONCATENATE(61,Info!$D$5,"09721",L575),Adat!$E:$E)*-1</f>
        <v>0</v>
      </c>
      <c r="F634" s="72">
        <f>SUMIF(Adat!$AG:$AG,CONCATENATE(60,Info!$D$5,"09721",L575),Adat!$E:$E)*-1+E634</f>
        <v>0</v>
      </c>
      <c r="G634" s="72">
        <f>SUMIF(Adat!$AH:$AH,CONCATENATE(Info!$D$5,"(KÖT)","09721",L575),Adat!$E:$E)*-1</f>
        <v>0</v>
      </c>
      <c r="H634" s="72">
        <f>SUMIF(Adat!$AH:$AH,CONCATENATE(Info!$D$5,"(ÖNV)","09721",L575),Adat!$E:$E)*-1</f>
        <v>0</v>
      </c>
      <c r="I634" s="72">
        <f>SUMIF(Adat!$AH:$AH,CONCATENATE(Info!$D$5,"(ÁIG)","09721",L575),Adat!$E:$E)*-1</f>
        <v>0</v>
      </c>
    </row>
    <row r="635" spans="2:9" x14ac:dyDescent="0.2">
      <c r="B635" s="160">
        <v>58</v>
      </c>
      <c r="C635" s="305" t="s">
        <v>1395</v>
      </c>
      <c r="D635" s="82" t="s">
        <v>1396</v>
      </c>
      <c r="E635" s="72">
        <f>SUMIF(Adat!$AG:$AG,CONCATENATE(61,Info!$D$5,"09731",L575),Adat!$E:$E)*-1</f>
        <v>0</v>
      </c>
      <c r="F635" s="72">
        <f>SUMIF(Adat!$AG:$AG,CONCATENATE(60,Info!$D$5,"09731",L575),Adat!$E:$E)*-1+E635</f>
        <v>0</v>
      </c>
      <c r="G635" s="72">
        <f>SUMIF(Adat!$AH:$AH,CONCATENATE(Info!$D$5,"(KÖT)","09731",L575),Adat!$E:$E)*-1</f>
        <v>0</v>
      </c>
      <c r="H635" s="72">
        <f>SUMIF(Adat!$AH:$AH,CONCATENATE(Info!$D$5,"(ÖNV)","09731",L575),Adat!$E:$E)*-1</f>
        <v>0</v>
      </c>
      <c r="I635" s="72">
        <f>SUMIF(Adat!$AH:$AH,CONCATENATE(Info!$D$5,"(ÁIG)","09731",L575),Adat!$E:$E)*-1</f>
        <v>0</v>
      </c>
    </row>
    <row r="636" spans="2:9" x14ac:dyDescent="0.2">
      <c r="B636" s="160">
        <v>59</v>
      </c>
      <c r="C636" s="305" t="s">
        <v>1397</v>
      </c>
      <c r="D636" s="82" t="s">
        <v>1398</v>
      </c>
      <c r="E636" s="72">
        <f>SUMIF(Adat!$AG:$AG,CONCATENATE(61,Info!$D$5,"09741",L575),Adat!$E:$E)*-1</f>
        <v>0</v>
      </c>
      <c r="F636" s="72">
        <f>SUMIF(Adat!$AG:$AG,CONCATENATE(60,Info!$D$5,"09741",L575),Adat!$E:$E)*-1+E636</f>
        <v>0</v>
      </c>
      <c r="G636" s="72">
        <f>SUMIF(Adat!$AH:$AH,CONCATENATE(Info!$D$5,"(KÖT)","09741",L575),Adat!$E:$E)*-1</f>
        <v>0</v>
      </c>
      <c r="H636" s="72">
        <f>SUMIF(Adat!$AH:$AH,CONCATENATE(Info!$D$5,"(ÖNV)","09741",L575),Adat!$E:$E)*-1</f>
        <v>0</v>
      </c>
      <c r="I636" s="72">
        <f>SUMIF(Adat!$AH:$AH,CONCATENATE(Info!$D$5,"(ÁIG)","09741",L575),Adat!$E:$E)*-1</f>
        <v>0</v>
      </c>
    </row>
    <row r="637" spans="2:9" x14ac:dyDescent="0.25">
      <c r="B637" s="160">
        <v>60</v>
      </c>
      <c r="C637" s="305" t="s">
        <v>1399</v>
      </c>
      <c r="D637" s="84" t="s">
        <v>1400</v>
      </c>
      <c r="E637" s="72">
        <f>SUMIF(Adat!$AG:$AG,CONCATENATE(61,Info!$D$5,"09751",L575),Adat!$E:$E)*-1</f>
        <v>0</v>
      </c>
      <c r="F637" s="72">
        <f>SUMIF(Adat!$AG:$AG,CONCATENATE(60,Info!$D$5,"09751",L575),Adat!$E:$E)*-1+E637</f>
        <v>0</v>
      </c>
      <c r="G637" s="72">
        <f>SUMIF(Adat!$AH:$AH,CONCATENATE(Info!$D$5,"(KÖT)","09751",L575),Adat!$E:$E)*-1</f>
        <v>0</v>
      </c>
      <c r="H637" s="72">
        <f>SUMIF(Adat!$AH:$AH,CONCATENATE(Info!$D$5,"(ÖNV)","09751",L575),Adat!$E:$E)*-1</f>
        <v>0</v>
      </c>
      <c r="I637" s="72">
        <f>SUMIF(Adat!$AH:$AH,CONCATENATE(Info!$D$5,"(ÁIG)","09751",L575),Adat!$E:$E)*-1</f>
        <v>0</v>
      </c>
    </row>
    <row r="638" spans="2:9" x14ac:dyDescent="0.25">
      <c r="B638" s="160">
        <v>61</v>
      </c>
      <c r="C638" s="78" t="s">
        <v>352</v>
      </c>
      <c r="D638" s="86" t="s">
        <v>1401</v>
      </c>
      <c r="E638" s="71">
        <f>+E579+E587+E593+E599+E606+E620+E626+E632</f>
        <v>0</v>
      </c>
      <c r="F638" s="71">
        <f>+F579+F587+F593+F599+F606+F620+F626+F632</f>
        <v>0</v>
      </c>
      <c r="G638" s="71">
        <f>+G579+G587+G593+G599+G606+G620+G626+G632</f>
        <v>0</v>
      </c>
      <c r="H638" s="71">
        <f>+H579+H587+H593+H599+H606+H620+H626+H632</f>
        <v>0</v>
      </c>
      <c r="I638" s="71">
        <f>+I579+I587+I593+I599+I606+I620+I626+I632</f>
        <v>0</v>
      </c>
    </row>
    <row r="639" spans="2:9" x14ac:dyDescent="0.25">
      <c r="B639" s="160">
        <v>62</v>
      </c>
      <c r="C639" s="154" t="s">
        <v>1402</v>
      </c>
      <c r="D639" s="85" t="s">
        <v>1403</v>
      </c>
      <c r="E639" s="71">
        <f t="shared" ref="E639:G639" si="68">SUM(E640:E642)</f>
        <v>0</v>
      </c>
      <c r="F639" s="71">
        <f t="shared" si="68"/>
        <v>0</v>
      </c>
      <c r="G639" s="71">
        <f t="shared" si="68"/>
        <v>0</v>
      </c>
      <c r="H639" s="71">
        <f>SUM(H640:H642)</f>
        <v>0</v>
      </c>
      <c r="I639" s="71">
        <f>SUM(I640:I642)</f>
        <v>0</v>
      </c>
    </row>
    <row r="640" spans="2:9" x14ac:dyDescent="0.2">
      <c r="B640" s="160">
        <v>63</v>
      </c>
      <c r="C640" s="305" t="s">
        <v>1404</v>
      </c>
      <c r="D640" s="82" t="s">
        <v>1405</v>
      </c>
      <c r="E640" s="72">
        <f>SUMIF(Adat!$AG:$AG,CONCATENATE(61,Info!$D$5,"0981111",L575),Adat!$E:$E)*-1</f>
        <v>0</v>
      </c>
      <c r="F640" s="72">
        <f>SUMIF(Adat!$AG:$AG,CONCATENATE(60,Info!$D$5,"0981111",L575),Adat!$E:$E)*-1+E640</f>
        <v>0</v>
      </c>
      <c r="G640" s="72">
        <f>SUMIF(Adat!$AH:$AH,CONCATENATE(Info!$D$5,"(KÖT)","0981111",L575),Adat!$E:$E)*-1</f>
        <v>0</v>
      </c>
      <c r="H640" s="72">
        <f>SUMIF(Adat!$AH:$AH,CONCATENATE(Info!$D$5,"(ÖNV)","0981111",L575),Adat!$E:$E)*-1</f>
        <v>0</v>
      </c>
      <c r="I640" s="72">
        <f>SUMIF(Adat!$AH:$AH,CONCATENATE(Info!$D$5,"(ÁIG)","0981111",L575),Adat!$E:$E)*-1</f>
        <v>0</v>
      </c>
    </row>
    <row r="641" spans="2:9" x14ac:dyDescent="0.2">
      <c r="B641" s="160">
        <v>64</v>
      </c>
      <c r="C641" s="305" t="s">
        <v>1406</v>
      </c>
      <c r="D641" s="82" t="s">
        <v>1407</v>
      </c>
      <c r="E641" s="72">
        <f>SUMIF(Adat!$AG:$AG,CONCATENATE(61,Info!$D$5,"0981121",L575),Adat!$E:$E)*-1</f>
        <v>0</v>
      </c>
      <c r="F641" s="72">
        <f>SUMIF(Adat!$AG:$AG,CONCATENATE(60,Info!$D$5,"0981121",L575),Adat!$E:$E)*-1+E641</f>
        <v>0</v>
      </c>
      <c r="G641" s="72">
        <f>SUMIF(Adat!$AH:$AH,CONCATENATE(Info!$D$5,"(KÖT)","0981121",L575),Adat!$E:$E)*-1</f>
        <v>0</v>
      </c>
      <c r="H641" s="72">
        <f>SUMIF(Adat!$AH:$AH,CONCATENATE(Info!$D$5,"(ÖNV)","0981121",L575),Adat!$E:$E)*-1</f>
        <v>0</v>
      </c>
      <c r="I641" s="72">
        <f>SUMIF(Adat!$AH:$AH,CONCATENATE(Info!$D$5,"(ÁIG)","0981121",L575),Adat!$E:$E)*-1</f>
        <v>0</v>
      </c>
    </row>
    <row r="642" spans="2:9" x14ac:dyDescent="0.2">
      <c r="B642" s="160">
        <v>65</v>
      </c>
      <c r="C642" s="305" t="s">
        <v>1408</v>
      </c>
      <c r="D642" s="82" t="s">
        <v>1409</v>
      </c>
      <c r="E642" s="72">
        <f>SUMIF(Adat!$AG:$AG,CONCATENATE(61,Info!$D$5,"0981131",L575),Adat!$E:$E)*-1</f>
        <v>0</v>
      </c>
      <c r="F642" s="72">
        <f>SUMIF(Adat!$AG:$AG,CONCATENATE(60,Info!$D$5,"0981131",L575),Adat!$E:$E)*-1+E642</f>
        <v>0</v>
      </c>
      <c r="G642" s="72">
        <f>SUMIF(Adat!$AH:$AH,CONCATENATE(Info!$D$5,"(KÖT)","0981131",L575),Adat!$E:$E)*-1</f>
        <v>0</v>
      </c>
      <c r="H642" s="72">
        <f>SUMIF(Adat!$AH:$AH,CONCATENATE(Info!$D$5,"(ÖNV)","0981131",L575),Adat!$E:$E)*-1</f>
        <v>0</v>
      </c>
      <c r="I642" s="72">
        <f>SUMIF(Adat!$AH:$AH,CONCATENATE(Info!$D$5,"(ÁIG)","0981131",L575),Adat!$E:$E)*-1</f>
        <v>0</v>
      </c>
    </row>
    <row r="643" spans="2:9" x14ac:dyDescent="0.25">
      <c r="B643" s="160">
        <v>66</v>
      </c>
      <c r="C643" s="154" t="s">
        <v>1410</v>
      </c>
      <c r="D643" s="85" t="s">
        <v>574</v>
      </c>
      <c r="E643" s="71">
        <f>SUM(E644:E647)</f>
        <v>0</v>
      </c>
      <c r="F643" s="71">
        <f t="shared" ref="F643" si="69">SUM(F644:F647)</f>
        <v>0</v>
      </c>
      <c r="G643" s="71">
        <f>SUM(G644:G647)</f>
        <v>0</v>
      </c>
      <c r="H643" s="71">
        <f>SUM(H644:H647)</f>
        <v>0</v>
      </c>
      <c r="I643" s="71">
        <f>SUM(I644:I647)</f>
        <v>0</v>
      </c>
    </row>
    <row r="644" spans="2:9" x14ac:dyDescent="0.2">
      <c r="B644" s="160">
        <v>67</v>
      </c>
      <c r="C644" s="305" t="s">
        <v>1411</v>
      </c>
      <c r="D644" s="82" t="s">
        <v>1412</v>
      </c>
      <c r="E644" s="72">
        <f>SUMIF(Adat!$AG:$AG,CONCATENATE(61,Info!$D$5,"0981211",L575),Adat!$E:$E)*-1</f>
        <v>0</v>
      </c>
      <c r="F644" s="72">
        <f>SUMIF(Adat!$AG:$AG,CONCATENATE(60,Info!$D$5,"0981211",L575),Adat!$E:$E)*-1+E644</f>
        <v>0</v>
      </c>
      <c r="G644" s="72">
        <f>SUMIF(Adat!$AH:$AH,CONCATENATE(Info!$D$5,"(KÖT)","0981211",L575),Adat!$E:$E)*-1</f>
        <v>0</v>
      </c>
      <c r="H644" s="72">
        <f>SUMIF(Adat!$AH:$AH,CONCATENATE(Info!$D$5,"(ÖNV)","0981211",L575),Adat!$E:$E)*-1</f>
        <v>0</v>
      </c>
      <c r="I644" s="72">
        <f>SUMIF(Adat!$AH:$AH,CONCATENATE(Info!$D$5,"(ÁIG)","0981211",L575),Adat!$E:$E)*-1</f>
        <v>0</v>
      </c>
    </row>
    <row r="645" spans="2:9" x14ac:dyDescent="0.2">
      <c r="B645" s="160">
        <v>68</v>
      </c>
      <c r="C645" s="305" t="s">
        <v>1413</v>
      </c>
      <c r="D645" s="82" t="s">
        <v>1414</v>
      </c>
      <c r="E645" s="72">
        <f>SUMIF(Adat!$AG:$AG,CONCATENATE(61,Info!$D$5,"0981221",L575),Adat!$E:$E)*-1</f>
        <v>0</v>
      </c>
      <c r="F645" s="72">
        <f>SUMIF(Adat!$AG:$AG,CONCATENATE(60,Info!$D$5,"0981221",L575),Adat!$E:$E)*-1+E645</f>
        <v>0</v>
      </c>
      <c r="G645" s="72">
        <f>SUMIF(Adat!$AH:$AH,CONCATENATE(Info!$D$5,"(KÖT)","0981221",L575),Adat!$E:$E)*-1</f>
        <v>0</v>
      </c>
      <c r="H645" s="72">
        <f>SUMIF(Adat!$AH:$AH,CONCATENATE(Info!$D$5,"(ÖNV)","0981221",L575),Adat!$E:$E)*-1</f>
        <v>0</v>
      </c>
      <c r="I645" s="72">
        <f>SUMIF(Adat!$AH:$AH,CONCATENATE(Info!$D$5,"(ÁIG)","0981221",L575),Adat!$E:$E)*-1</f>
        <v>0</v>
      </c>
    </row>
    <row r="646" spans="2:9" x14ac:dyDescent="0.2">
      <c r="B646" s="160">
        <v>69</v>
      </c>
      <c r="C646" s="305" t="s">
        <v>1313</v>
      </c>
      <c r="D646" s="82" t="s">
        <v>1415</v>
      </c>
      <c r="E646" s="72">
        <f>SUMIF(Adat!$AG:$AG,CONCATENATE(61,Info!$D$5,"0981231",L575),Adat!$E:$E)*-1</f>
        <v>0</v>
      </c>
      <c r="F646" s="72">
        <f>SUMIF(Adat!$AG:$AG,CONCATENATE(60,Info!$D$5,"0981231",L575),Adat!$E:$E)*-1+E646</f>
        <v>0</v>
      </c>
      <c r="G646" s="72">
        <f>SUMIF(Adat!$AH:$AH,CONCATENATE(Info!$D$5,"(KÖT)","0981231",L575),Adat!$E:$E)*-1</f>
        <v>0</v>
      </c>
      <c r="H646" s="72">
        <f>SUMIF(Adat!$AH:$AH,CONCATENATE(Info!$D$5,"(ÖNV)","0981231",L575),Adat!$E:$E)*-1</f>
        <v>0</v>
      </c>
      <c r="I646" s="72">
        <f>SUMIF(Adat!$AH:$AH,CONCATENATE(Info!$D$5,"(ÁIG)","0981231",L575),Adat!$E:$E)*-1</f>
        <v>0</v>
      </c>
    </row>
    <row r="647" spans="2:9" x14ac:dyDescent="0.25">
      <c r="B647" s="160">
        <v>70</v>
      </c>
      <c r="C647" s="305" t="s">
        <v>1416</v>
      </c>
      <c r="D647" s="84" t="s">
        <v>1417</v>
      </c>
      <c r="E647" s="72">
        <f>SUMIF(Adat!$AG:$AG,CONCATENATE(61,Info!$D$5,"0981241",L575),Adat!$E:$E)*-1</f>
        <v>0</v>
      </c>
      <c r="F647" s="72">
        <f>SUMIF(Adat!$AG:$AG,CONCATENATE(60,Info!$D$5,"0981241",L575),Adat!$E:$E)*-1+E647</f>
        <v>0</v>
      </c>
      <c r="G647" s="72">
        <f>SUMIF(Adat!$AH:$AH,CONCATENATE(Info!$D$5,"(KÖT)","0981241",L575),Adat!$E:$E)*-1</f>
        <v>0</v>
      </c>
      <c r="H647" s="72">
        <f>SUMIF(Adat!$AH:$AH,CONCATENATE(Info!$D$5,"(ÖNV)","0981241",L575),Adat!$E:$E)*-1</f>
        <v>0</v>
      </c>
      <c r="I647" s="72">
        <f>SUMIF(Adat!$AH:$AH,CONCATENATE(Info!$D$5,"(ÁIG)","0981241",L575),Adat!$E:$E)*-1</f>
        <v>0</v>
      </c>
    </row>
    <row r="648" spans="2:9" x14ac:dyDescent="0.25">
      <c r="B648" s="160">
        <v>71</v>
      </c>
      <c r="C648" s="154" t="s">
        <v>1418</v>
      </c>
      <c r="D648" s="85" t="s">
        <v>575</v>
      </c>
      <c r="E648" s="71">
        <f>SUM(E649:E650)</f>
        <v>0</v>
      </c>
      <c r="F648" s="71">
        <f t="shared" ref="F648" si="70">SUM(F649:F650)</f>
        <v>0</v>
      </c>
      <c r="G648" s="71">
        <f>SUM(G649:G650)</f>
        <v>0</v>
      </c>
      <c r="H648" s="71">
        <f>SUM(H649:H650)</f>
        <v>0</v>
      </c>
      <c r="I648" s="71">
        <f>SUM(I649:I650)</f>
        <v>0</v>
      </c>
    </row>
    <row r="649" spans="2:9" x14ac:dyDescent="0.2">
      <c r="B649" s="160">
        <v>72</v>
      </c>
      <c r="C649" s="305" t="s">
        <v>1274</v>
      </c>
      <c r="D649" s="82" t="s">
        <v>1419</v>
      </c>
      <c r="E649" s="72">
        <f>SUMIF(Adat!$AG:$AG,CONCATENATE(61,Info!$D$5,"0981311",L575),Adat!$E:$E)*-1</f>
        <v>0</v>
      </c>
      <c r="F649" s="72">
        <f>SUMIF(Adat!$AG:$AG,CONCATENATE(60,Info!$D$5,"0981311",L575),Adat!$E:$E)*-1+E649</f>
        <v>0</v>
      </c>
      <c r="G649" s="72">
        <f>SUMIF(Adat!$AH:$AH,CONCATENATE(Info!$D$5,"(KÖT)","0981311",L575),Adat!$E:$E)*-1</f>
        <v>0</v>
      </c>
      <c r="H649" s="72">
        <f>SUMIF(Adat!$AH:$AH,CONCATENATE(Info!$D$5,"(ÖNV)","0981311",L575),Adat!$E:$E)*-1</f>
        <v>0</v>
      </c>
      <c r="I649" s="72">
        <f>SUMIF(Adat!$AH:$AH,CONCATENATE(Info!$D$5,"(ÁIG)","0981311",L575),Adat!$E:$E)*-1</f>
        <v>0</v>
      </c>
    </row>
    <row r="650" spans="2:9" x14ac:dyDescent="0.25">
      <c r="B650" s="160">
        <v>73</v>
      </c>
      <c r="C650" s="305" t="s">
        <v>1420</v>
      </c>
      <c r="D650" s="84" t="s">
        <v>1421</v>
      </c>
      <c r="E650" s="72">
        <f>SUMIF(Adat!$AG:$AG,CONCATENATE(61,Info!$D$5,"0981321",L575),Adat!$E:$E)*-1</f>
        <v>0</v>
      </c>
      <c r="F650" s="72">
        <f>SUMIF(Adat!$AG:$AG,CONCATENATE(60,Info!$D$5,"0981321",L575),Adat!$E:$E)*-1+E650</f>
        <v>0</v>
      </c>
      <c r="G650" s="72">
        <f>SUMIF(Adat!$AH:$AH,CONCATENATE(Info!$D$5,"(KÖT)","0981321",L575),Adat!$E:$E)*-1</f>
        <v>0</v>
      </c>
      <c r="H650" s="72">
        <f>SUMIF(Adat!$AH:$AH,CONCATENATE(Info!$D$5,"(ÖNV)","0981321",L575),Adat!$E:$E)*-1</f>
        <v>0</v>
      </c>
      <c r="I650" s="72">
        <f>SUMIF(Adat!$AH:$AH,CONCATENATE(Info!$D$5,"(ÁIG)","0981321",L575),Adat!$E:$E)*-1</f>
        <v>0</v>
      </c>
    </row>
    <row r="651" spans="2:9" s="42" customFormat="1" x14ac:dyDescent="0.25">
      <c r="B651" s="160">
        <v>74</v>
      </c>
      <c r="C651" s="154" t="s">
        <v>1496</v>
      </c>
      <c r="D651" s="85" t="s">
        <v>576</v>
      </c>
      <c r="E651" s="71">
        <f>SUM(E652:E654)</f>
        <v>0</v>
      </c>
      <c r="F651" s="71">
        <f t="shared" ref="F651" si="71">SUM(F652:F654)</f>
        <v>0</v>
      </c>
      <c r="G651" s="71">
        <f>SUM(G652:G654)</f>
        <v>0</v>
      </c>
      <c r="H651" s="71">
        <f>SUM(H652:H654)</f>
        <v>0</v>
      </c>
      <c r="I651" s="71">
        <f>SUM(I652:I654)</f>
        <v>0</v>
      </c>
    </row>
    <row r="652" spans="2:9" x14ac:dyDescent="0.2">
      <c r="B652" s="160">
        <v>75</v>
      </c>
      <c r="C652" s="305" t="s">
        <v>1301</v>
      </c>
      <c r="D652" s="82" t="s">
        <v>1422</v>
      </c>
      <c r="E652" s="72">
        <f>SUMIF(Adat!$AG:$AG,CONCATENATE(61,Info!$D$5,"098141",L575),Adat!$E:$E)*-1</f>
        <v>0</v>
      </c>
      <c r="F652" s="72">
        <f>SUMIF(Adat!$AG:$AG,CONCATENATE(60,Info!$D$5,"098141",L575),Adat!$E:$E)*-1+E652</f>
        <v>0</v>
      </c>
      <c r="G652" s="72">
        <f>SUMIF(Adat!$AH:$AH,CONCATENATE(Info!$D$5,"(KÖT)","098141",L575),Adat!$E:$E)*-1</f>
        <v>0</v>
      </c>
      <c r="H652" s="72">
        <f>SUMIF(Adat!$AH:$AH,CONCATENATE(Info!$D$5,"(ÖNV)","098141",L575),Adat!$E:$E)*-1</f>
        <v>0</v>
      </c>
      <c r="I652" s="72">
        <f>SUMIF(Adat!$AH:$AH,CONCATENATE(Info!$D$5,"(ÁIG)","098141",L575),Adat!$E:$E)*-1</f>
        <v>0</v>
      </c>
    </row>
    <row r="653" spans="2:9" x14ac:dyDescent="0.2">
      <c r="B653" s="160">
        <v>76</v>
      </c>
      <c r="C653" s="305" t="s">
        <v>1423</v>
      </c>
      <c r="D653" s="82" t="s">
        <v>1424</v>
      </c>
      <c r="E653" s="72">
        <f>SUMIF(Adat!$AG:$AG,CONCATENATE(61,Info!$D$5,"098151",L575),Adat!$E:$E)*-1</f>
        <v>0</v>
      </c>
      <c r="F653" s="72">
        <f>SUMIF(Adat!$AG:$AG,CONCATENATE(60,Info!$D$5,"098151",L575),Adat!$E:$E)*-1+E653</f>
        <v>0</v>
      </c>
      <c r="G653" s="72">
        <f>SUMIF(Adat!$AH:$AH,CONCATENATE(Info!$D$5,"(KÖT)","098151",L575),Adat!$E:$E)*-1</f>
        <v>0</v>
      </c>
      <c r="H653" s="72">
        <f>SUMIF(Adat!$AH:$AH,CONCATENATE(Info!$D$5,"(ÖNV)","098151",L575),Adat!$E:$E)*-1</f>
        <v>0</v>
      </c>
      <c r="I653" s="72">
        <f>SUMIF(Adat!$AH:$AH,CONCATENATE(Info!$D$5,"(ÁIG)","098151",L575),Adat!$E:$E)*-1</f>
        <v>0</v>
      </c>
    </row>
    <row r="654" spans="2:9" x14ac:dyDescent="0.25">
      <c r="B654" s="160">
        <v>77</v>
      </c>
      <c r="C654" s="305" t="s">
        <v>1425</v>
      </c>
      <c r="D654" s="84" t="s">
        <v>1426</v>
      </c>
      <c r="E654" s="72">
        <f>SUMIF(Adat!$AG:$AG,CONCATENATE(61,Info!$D$5,"098171",L575),Adat!$E:$E)*-1</f>
        <v>0</v>
      </c>
      <c r="F654" s="72">
        <f>SUMIF(Adat!$AG:$AG,CONCATENATE(60,Info!$D$5,"098171",L575),Adat!$E:$E)*-1+E654</f>
        <v>0</v>
      </c>
      <c r="G654" s="72">
        <f>SUMIF(Adat!$AH:$AH,CONCATENATE(Info!$D$5,"(KÖT)","098171",L575),Adat!$E:$E)*-1</f>
        <v>0</v>
      </c>
      <c r="H654" s="72">
        <f>SUMIF(Adat!$AH:$AH,CONCATENATE(Info!$D$5,"(ÖNV)","098171",L575),Adat!$E:$E)*-1</f>
        <v>0</v>
      </c>
      <c r="I654" s="72">
        <f>SUMIF(Adat!$AH:$AH,CONCATENATE(Info!$D$5,"(ÁIG)","098171",L575),Adat!$E:$E)*-1</f>
        <v>0</v>
      </c>
    </row>
    <row r="655" spans="2:9" x14ac:dyDescent="0.25">
      <c r="B655" s="160">
        <v>78</v>
      </c>
      <c r="C655" s="154" t="s">
        <v>1427</v>
      </c>
      <c r="D655" s="85" t="s">
        <v>577</v>
      </c>
      <c r="E655" s="71">
        <f>SUM(E656:E660)</f>
        <v>0</v>
      </c>
      <c r="F655" s="71">
        <f t="shared" ref="F655" si="72">SUM(F656:F660)</f>
        <v>0</v>
      </c>
      <c r="G655" s="71">
        <f>SUM(G656:G660)</f>
        <v>0</v>
      </c>
      <c r="H655" s="71">
        <f>SUM(H656:H660)</f>
        <v>0</v>
      </c>
      <c r="I655" s="71">
        <f>SUM(I656:I660)</f>
        <v>0</v>
      </c>
    </row>
    <row r="656" spans="2:9" x14ac:dyDescent="0.2">
      <c r="B656" s="160">
        <v>79</v>
      </c>
      <c r="C656" s="89" t="s">
        <v>1428</v>
      </c>
      <c r="D656" s="82" t="s">
        <v>1429</v>
      </c>
      <c r="E656" s="72">
        <f>SUMIF(Adat!$AG:$AG,CONCATENATE(61,Info!$D$5,"098211",L575),Adat!$E:$E)*-1</f>
        <v>0</v>
      </c>
      <c r="F656" s="72">
        <f>SUMIF(Adat!$AG:$AG,CONCATENATE(60,Info!$D$5,"098211",L575),Adat!$E:$E)*-1+E656</f>
        <v>0</v>
      </c>
      <c r="G656" s="72">
        <f>SUMIF(Adat!$AH:$AH,CONCATENATE(Info!$D$5,"(KÖT)","098211",L575),Adat!$E:$E)*-1</f>
        <v>0</v>
      </c>
      <c r="H656" s="72">
        <f>SUMIF(Adat!$AH:$AH,CONCATENATE(Info!$D$5,"(ÖNV)","098211",L575),Adat!$E:$E)*-1</f>
        <v>0</v>
      </c>
      <c r="I656" s="72">
        <f>SUMIF(Adat!$AH:$AH,CONCATENATE(Info!$D$5,"(ÁIG)","098211",L575),Adat!$E:$E)*-1</f>
        <v>0</v>
      </c>
    </row>
    <row r="657" spans="2:12" x14ac:dyDescent="0.2">
      <c r="B657" s="160">
        <v>80</v>
      </c>
      <c r="C657" s="89" t="s">
        <v>1430</v>
      </c>
      <c r="D657" s="82" t="s">
        <v>1431</v>
      </c>
      <c r="E657" s="72">
        <f>SUMIF(Adat!$AG:$AG,CONCATENATE(61,Info!$D$5,"098221",L575),Adat!$E:$E)*-1</f>
        <v>0</v>
      </c>
      <c r="F657" s="72">
        <f>SUMIF(Adat!$AG:$AG,CONCATENATE(60,Info!$D$5,"098221",L575),Adat!$E:$E)*-1+E657</f>
        <v>0</v>
      </c>
      <c r="G657" s="72">
        <f>SUMIF(Adat!$AH:$AH,CONCATENATE(Info!$D$5,"(KÖT)","098221",L575),Adat!$E:$E)*-1</f>
        <v>0</v>
      </c>
      <c r="H657" s="72">
        <f>SUMIF(Adat!$AH:$AH,CONCATENATE(Info!$D$5,"(ÖNV)","098221",L575),Adat!$E:$E)*-1</f>
        <v>0</v>
      </c>
      <c r="I657" s="72">
        <f>SUMIF(Adat!$AH:$AH,CONCATENATE(Info!$D$5,"(ÁIG)","098221",L575),Adat!$E:$E)*-1</f>
        <v>0</v>
      </c>
    </row>
    <row r="658" spans="2:12" x14ac:dyDescent="0.2">
      <c r="B658" s="160">
        <v>81</v>
      </c>
      <c r="C658" s="89" t="s">
        <v>1432</v>
      </c>
      <c r="D658" s="82" t="s">
        <v>1433</v>
      </c>
      <c r="E658" s="72">
        <f>SUMIF(Adat!$AG:$AG,CONCATENATE(61,Info!$D$5,"098231",L575),Adat!$E:$E)*-1</f>
        <v>0</v>
      </c>
      <c r="F658" s="72">
        <f>SUMIF(Adat!$AG:$AG,CONCATENATE(60,Info!$D$5,"098231",L575),Adat!$E:$E)*-1+E658</f>
        <v>0</v>
      </c>
      <c r="G658" s="72">
        <f>SUMIF(Adat!$AH:$AH,CONCATENATE(Info!$D$5,"(KÖT)","098231",L575),Adat!$E:$E)*-1</f>
        <v>0</v>
      </c>
      <c r="H658" s="72">
        <f>SUMIF(Adat!$AH:$AH,CONCATENATE(Info!$D$5,"(ÖNV)","098231",L575),Adat!$E:$E)*-1</f>
        <v>0</v>
      </c>
      <c r="I658" s="72">
        <f>SUMIF(Adat!$AH:$AH,CONCATENATE(Info!$D$5,"(ÁIG)","098231",L575),Adat!$E:$E)*-1</f>
        <v>0</v>
      </c>
    </row>
    <row r="659" spans="2:12" x14ac:dyDescent="0.2">
      <c r="B659" s="160">
        <v>82</v>
      </c>
      <c r="C659" s="89" t="s">
        <v>1434</v>
      </c>
      <c r="D659" s="82" t="s">
        <v>1435</v>
      </c>
      <c r="E659" s="72">
        <f>SUMIF(Adat!$AG:$AG,CONCATENATE(61,Info!$D$5,"098241",L575),Adat!$E:$E)*-1</f>
        <v>0</v>
      </c>
      <c r="F659" s="72">
        <f>SUMIF(Adat!$AG:$AG,CONCATENATE(60,Info!$D$5,"098241",L575),Adat!$E:$E)*-1+E659</f>
        <v>0</v>
      </c>
      <c r="G659" s="72">
        <f>SUMIF(Adat!$AH:$AH,CONCATENATE(Info!$D$5,"(KÖT)","098241",L575),Adat!$E:$E)*-1</f>
        <v>0</v>
      </c>
      <c r="H659" s="72">
        <f>SUMIF(Adat!$AH:$AH,CONCATENATE(Info!$D$5,"(ÖNV)","098241",L575),Adat!$E:$E)*-1</f>
        <v>0</v>
      </c>
      <c r="I659" s="72">
        <f>SUMIF(Adat!$AH:$AH,CONCATENATE(Info!$D$5,"(ÁIG)","098241",L575),Adat!$E:$E)*-1</f>
        <v>0</v>
      </c>
    </row>
    <row r="660" spans="2:12" s="42" customFormat="1" x14ac:dyDescent="0.2">
      <c r="B660" s="160">
        <v>83</v>
      </c>
      <c r="C660" s="89" t="s">
        <v>1436</v>
      </c>
      <c r="D660" s="84" t="s">
        <v>1437</v>
      </c>
      <c r="E660" s="72">
        <f>SUMIF(Adat!$AG:$AG,CONCATENATE(61,Info!$D$5,"098251",L575),Adat!$E:$E)*-1</f>
        <v>0</v>
      </c>
      <c r="F660" s="72">
        <f>SUMIF(Adat!$AG:$AG,CONCATENATE(60,Info!$D$5,"098251",L575),Adat!$E:$E)*-1+E660</f>
        <v>0</v>
      </c>
      <c r="G660" s="72">
        <f>SUMIF(Adat!$AH:$AH,CONCATENATE(Info!$D$5,"(KÖT)","098251",L575),Adat!$E:$E)*-1</f>
        <v>0</v>
      </c>
      <c r="H660" s="72">
        <f>SUMIF(Adat!$AH:$AH,CONCATENATE(Info!$D$5,"(ÖNV)","098251",L575),Adat!$E:$E)*-1</f>
        <v>0</v>
      </c>
      <c r="I660" s="72">
        <f>SUMIF(Adat!$AH:$AH,CONCATENATE(Info!$D$5,"(ÁIG)","098251",L575),Adat!$E:$E)*-1</f>
        <v>0</v>
      </c>
    </row>
    <row r="661" spans="2:12" s="42" customFormat="1" x14ac:dyDescent="0.2">
      <c r="B661" s="160">
        <v>84</v>
      </c>
      <c r="C661" s="309" t="s">
        <v>1438</v>
      </c>
      <c r="D661" s="85" t="s">
        <v>1439</v>
      </c>
      <c r="E661" s="71">
        <f>SUMIF(Adat!$AG:$AG,CONCATENATE(61,Info!$D$5,"09831",L575),Adat!$E:$E)*-1</f>
        <v>0</v>
      </c>
      <c r="F661" s="71">
        <f>SUMIF(Adat!$AG:$AG,CONCATENATE(60,Info!$D$5,"09831",L575),Adat!$E:$E)*-1+E661</f>
        <v>0</v>
      </c>
      <c r="G661" s="71">
        <f>SUMIF(Adat!$AH:$AH,CONCATENATE(Info!$D$5,"(KÖT)","09831",L575),Adat!$E:$E)*-1</f>
        <v>0</v>
      </c>
      <c r="H661" s="71">
        <f>SUMIF(Adat!$AH:$AH,CONCATENATE(Info!$D$5,"(ÖNV)","09831",L575),Adat!$E:$E)*-1</f>
        <v>0</v>
      </c>
      <c r="I661" s="71">
        <f>SUMIF(Adat!$AH:$AH,CONCATENATE(Info!$D$5,"(ÁIG)","09831",L575),Adat!$E:$E)*-1</f>
        <v>0</v>
      </c>
    </row>
    <row r="662" spans="2:12" s="42" customFormat="1" x14ac:dyDescent="0.25">
      <c r="B662" s="160">
        <v>85</v>
      </c>
      <c r="C662" s="154" t="s">
        <v>1440</v>
      </c>
      <c r="D662" s="85" t="s">
        <v>1441</v>
      </c>
      <c r="E662" s="71">
        <f>SUMIF(Adat!$AG:$AG,CONCATENATE(61,Info!$D$5,"09841",L575),Adat!$E:$E)*-1</f>
        <v>0</v>
      </c>
      <c r="F662" s="71">
        <f>SUMIF(Adat!$AG:$AG,CONCATENATE(60,Info!$D$5,"09841",L575),Adat!$E:$E)*-1+E662</f>
        <v>0</v>
      </c>
      <c r="G662" s="71">
        <f>SUMIF(Adat!$AH:$AH,CONCATENATE(Info!$D$5,"(KÖT)","09841",L575),Adat!$E:$E)*-1</f>
        <v>0</v>
      </c>
      <c r="H662" s="71">
        <f>SUMIF(Adat!$AH:$AH,CONCATENATE(Info!$D$5,"(ÖNV)","09841",L575),Adat!$E:$E)*-1</f>
        <v>0</v>
      </c>
      <c r="I662" s="71">
        <f>SUMIF(Adat!$AH:$AH,CONCATENATE(Info!$D$5,"(ÁIG)","09841",L575),Adat!$E:$E)*-1</f>
        <v>0</v>
      </c>
    </row>
    <row r="663" spans="2:12" s="42" customFormat="1" x14ac:dyDescent="0.25">
      <c r="B663" s="160">
        <v>86</v>
      </c>
      <c r="C663" s="154" t="s">
        <v>358</v>
      </c>
      <c r="D663" s="87" t="s">
        <v>1442</v>
      </c>
      <c r="E663" s="71">
        <f>+E639+E643+E648+E651+E655+E662+E661</f>
        <v>0</v>
      </c>
      <c r="F663" s="71">
        <f t="shared" ref="F663" si="73">+F639+F643+F648+F651+F655+F662+F661</f>
        <v>0</v>
      </c>
      <c r="G663" s="71">
        <f>+G639+G643+G648+G651+G655+G662+G661</f>
        <v>0</v>
      </c>
      <c r="H663" s="71">
        <f>+H639+H643+H648+H651+H655+H662+H661</f>
        <v>0</v>
      </c>
      <c r="I663" s="71">
        <f>+I639+I643+I648+I651+I655+I662+I661</f>
        <v>0</v>
      </c>
    </row>
    <row r="664" spans="2:12" s="42" customFormat="1" x14ac:dyDescent="0.25">
      <c r="B664" s="160">
        <v>87</v>
      </c>
      <c r="C664" s="154" t="s">
        <v>364</v>
      </c>
      <c r="D664" s="87" t="s">
        <v>1497</v>
      </c>
      <c r="E664" s="71">
        <f>+E638+E663</f>
        <v>0</v>
      </c>
      <c r="F664" s="71">
        <f t="shared" ref="F664" si="74">+F638+F663</f>
        <v>0</v>
      </c>
      <c r="G664" s="71">
        <f>+G638+G663</f>
        <v>0</v>
      </c>
      <c r="H664" s="71">
        <f>+H638+H663</f>
        <v>0</v>
      </c>
      <c r="I664" s="71">
        <f>+I638+I663</f>
        <v>0</v>
      </c>
    </row>
    <row r="665" spans="2:12" s="38" customFormat="1" ht="15.75" x14ac:dyDescent="0.25">
      <c r="C665" s="156"/>
      <c r="E665" s="140"/>
      <c r="F665" s="140"/>
      <c r="G665" s="140"/>
      <c r="H665" s="140"/>
      <c r="I665" s="140"/>
    </row>
    <row r="666" spans="2:12" s="10" customFormat="1" ht="15.75" customHeight="1" x14ac:dyDescent="0.25">
      <c r="B666" s="201" t="str">
        <f>CONCATENATE("10. Kiadási jogcímek"," - ",L666," részletező")</f>
        <v>10. Kiadási jogcímek -  részletező</v>
      </c>
      <c r="C666" s="101"/>
      <c r="D666" s="101"/>
      <c r="E666" s="101"/>
      <c r="F666" s="101"/>
      <c r="G666" s="198"/>
      <c r="H666" s="198"/>
      <c r="I666" s="198"/>
      <c r="L666" s="384"/>
    </row>
    <row r="667" spans="2:12" s="38" customFormat="1" ht="15.75" x14ac:dyDescent="0.25">
      <c r="C667" s="156"/>
      <c r="E667" s="140"/>
      <c r="F667" s="140"/>
      <c r="G667" s="140"/>
      <c r="H667" s="140"/>
      <c r="I667" s="140"/>
    </row>
    <row r="668" spans="2:12" s="40" customFormat="1" x14ac:dyDescent="0.25">
      <c r="B668" s="77"/>
      <c r="C668" s="77" t="s">
        <v>350</v>
      </c>
      <c r="D668" s="77" t="s">
        <v>351</v>
      </c>
      <c r="E668" s="77" t="s">
        <v>470</v>
      </c>
      <c r="F668" s="77" t="s">
        <v>471</v>
      </c>
      <c r="G668" s="77" t="s">
        <v>44</v>
      </c>
      <c r="H668" s="77" t="s">
        <v>42</v>
      </c>
      <c r="I668" s="77" t="s">
        <v>511</v>
      </c>
    </row>
    <row r="669" spans="2:12" s="41" customFormat="1" ht="38.25" x14ac:dyDescent="0.25">
      <c r="B669" s="160">
        <v>1</v>
      </c>
      <c r="C669" s="154" t="s">
        <v>593</v>
      </c>
      <c r="D669" s="154" t="s">
        <v>488</v>
      </c>
      <c r="E669" s="163" t="str">
        <f>CONCATENATE(PAR!$H$3," évi
eredeti 
előirányzat")</f>
        <v>2025. évi
eredeti 
előirányzat</v>
      </c>
      <c r="F669" s="163" t="str">
        <f>CONCATENATE(PAR!$H$3," évi
módosított 
előirányzat")</f>
        <v>2025. évi
módosított 
előirányzat</v>
      </c>
      <c r="G669" s="69" t="s">
        <v>666</v>
      </c>
      <c r="H669" s="69" t="s">
        <v>667</v>
      </c>
      <c r="I669" s="69" t="s">
        <v>668</v>
      </c>
    </row>
    <row r="670" spans="2:12" s="42" customFormat="1" x14ac:dyDescent="0.25">
      <c r="B670" s="160">
        <v>2</v>
      </c>
      <c r="C670" s="78" t="s">
        <v>352</v>
      </c>
      <c r="D670" s="92" t="s">
        <v>2663</v>
      </c>
      <c r="E670" s="71">
        <f>SUM(E671:E676)</f>
        <v>0</v>
      </c>
      <c r="F670" s="71">
        <f>SUM(F671:F676)</f>
        <v>0</v>
      </c>
      <c r="G670" s="71">
        <f>SUM(G671:G676)</f>
        <v>0</v>
      </c>
      <c r="H670" s="71">
        <f>+H671+H672+H673+H674+H675+H676</f>
        <v>0</v>
      </c>
      <c r="I670" s="71">
        <f>+I671+I672+I673+I674+I675+I676</f>
        <v>0</v>
      </c>
    </row>
    <row r="671" spans="2:12" x14ac:dyDescent="0.25">
      <c r="B671" s="160">
        <v>3</v>
      </c>
      <c r="C671" s="305" t="s">
        <v>315</v>
      </c>
      <c r="D671" s="161" t="s">
        <v>342</v>
      </c>
      <c r="E671" s="72">
        <f>SUMIF(Adat!$AI:$AI,CONCATENATE(61,Info!$D$5,"051",L666),Adat!$E:$E)</f>
        <v>0</v>
      </c>
      <c r="F671" s="72">
        <f>SUMIF(Adat!$AI:$AI,CONCATENATE(60,Info!$D$5,"051",L666),Adat!$E:$E)+E671</f>
        <v>0</v>
      </c>
      <c r="G671" s="72">
        <f>SUMIF(Adat!$AJ:$AJ,CONCATENATE(Info!$D$5,"051","(KÖT)",L666),Adat!$E:$E)</f>
        <v>0</v>
      </c>
      <c r="H671" s="72">
        <f>SUMIF(Adat!$AJ:$AJ,CONCATENATE(Info!$D$5,"051","(ÖNV)",L666),Adat!$E:$E)</f>
        <v>0</v>
      </c>
      <c r="I671" s="72">
        <f>SUMIF(Adat!$AJ:$AJ,CONCATENATE(Info!$D$5,"051","(ÁIG)",L666),Adat!$E:$E)</f>
        <v>0</v>
      </c>
    </row>
    <row r="672" spans="2:12" x14ac:dyDescent="0.25">
      <c r="B672" s="160">
        <v>4</v>
      </c>
      <c r="C672" s="305" t="s">
        <v>317</v>
      </c>
      <c r="D672" s="161" t="s">
        <v>395</v>
      </c>
      <c r="E672" s="72">
        <f>SUMIF(Adat!$AI:$AI,CONCATENATE(61,Info!$D$5,"052",L666),Adat!$E:$E)</f>
        <v>0</v>
      </c>
      <c r="F672" s="72">
        <f>SUMIF(Adat!$AI:$AI,CONCATENATE(60,Info!$D$5,"052",L666),Adat!$E:$E)+E672</f>
        <v>0</v>
      </c>
      <c r="G672" s="72">
        <f>SUMIF(Adat!$AJ:$AJ,CONCATENATE(Info!$D$5,"052","(KÖT)",L666),Adat!$E:$E)</f>
        <v>0</v>
      </c>
      <c r="H672" s="72">
        <f>SUMIF(Adat!$AJ:$AJ,CONCATENATE(Info!$D$5,"052","(ÖNV)",L666),Adat!$E:$E)</f>
        <v>0</v>
      </c>
      <c r="I672" s="72">
        <f>SUMIF(Adat!$AJ:$AJ,CONCATENATE(Info!$D$5,"052","(ÁIG)",L666),Adat!$E:$E)</f>
        <v>0</v>
      </c>
    </row>
    <row r="673" spans="2:9" x14ac:dyDescent="0.25">
      <c r="B673" s="160">
        <v>5</v>
      </c>
      <c r="C673" s="305" t="s">
        <v>4</v>
      </c>
      <c r="D673" s="161" t="s">
        <v>344</v>
      </c>
      <c r="E673" s="72">
        <f>SUMIF(Adat!$AI:$AI,CONCATENATE(61,Info!$D$5,"053",L666),Adat!$E:$E)</f>
        <v>0</v>
      </c>
      <c r="F673" s="72">
        <f>SUMIF(Adat!$AI:$AI,CONCATENATE(60,Info!$D$5,"053",L666),Adat!$E:$E)+E673</f>
        <v>0</v>
      </c>
      <c r="G673" s="72">
        <f>SUMIF(Adat!$AJ:$AJ,CONCATENATE(Info!$D$5,"053","(KÖT)",L666),Adat!$E:$E)</f>
        <v>0</v>
      </c>
      <c r="H673" s="72">
        <f>SUMIF(Adat!$AJ:$AJ,CONCATENATE(Info!$D$5,"053","(ÖNV)",L666),Adat!$E:$E)</f>
        <v>0</v>
      </c>
      <c r="I673" s="72">
        <f>SUMIF(Adat!$AJ:$AJ,CONCATENATE(Info!$D$5,"053","(ÁIG)",L666),Adat!$E:$E)</f>
        <v>0</v>
      </c>
    </row>
    <row r="674" spans="2:9" x14ac:dyDescent="0.25">
      <c r="B674" s="160">
        <v>6</v>
      </c>
      <c r="C674" s="305" t="s">
        <v>6</v>
      </c>
      <c r="D674" s="161" t="s">
        <v>345</v>
      </c>
      <c r="E674" s="72">
        <f>SUMIF(Adat!$AI:$AI,CONCATENATE(61,Info!$D$5,"054",L666),Adat!$E:$E)</f>
        <v>0</v>
      </c>
      <c r="F674" s="72">
        <f>SUMIF(Adat!$AI:$AI,CONCATENATE(60,Info!$D$5,"054",L666),Adat!$E:$E)+E674</f>
        <v>0</v>
      </c>
      <c r="G674" s="72">
        <f>SUMIF(Adat!$AJ:$AJ,CONCATENATE(Info!$D$5,"054","(KÖT)",L666),Adat!$E:$E)</f>
        <v>0</v>
      </c>
      <c r="H674" s="72">
        <f>SUMIF(Adat!$AJ:$AJ,CONCATENATE(Info!$D$5,"054","(ÖNV)",L666),Adat!$E:$E)</f>
        <v>0</v>
      </c>
      <c r="I674" s="72">
        <f>SUMIF(Adat!$AJ:$AJ,CONCATENATE(Info!$D$5,"054","(ÁIG)",L666),Adat!$E:$E)</f>
        <v>0</v>
      </c>
    </row>
    <row r="675" spans="2:9" x14ac:dyDescent="0.25">
      <c r="B675" s="160">
        <v>7</v>
      </c>
      <c r="C675" s="305" t="s">
        <v>8</v>
      </c>
      <c r="D675" s="161" t="s">
        <v>321</v>
      </c>
      <c r="E675" s="72">
        <f>SUMIF(Adat!$AI:$AI,CONCATENATE(61,Info!$D$5,"055",L666),Adat!$E:$E)-E676</f>
        <v>0</v>
      </c>
      <c r="F675" s="72">
        <f>SUMIF(Adat!$AI:$AI,CONCATENATE(60,Info!$D$5,"055",L666),Adat!$E:$E)+E675-F676+E676</f>
        <v>0</v>
      </c>
      <c r="G675" s="72">
        <f>SUMIF(Adat!$AJ:$AJ,CONCATENATE(Info!$D$5,"055","(KÖT)",L666),Adat!$E:$E)-G676</f>
        <v>0</v>
      </c>
      <c r="H675" s="72">
        <f>SUMIF(Adat!$AJ:$AJ,CONCATENATE(Info!$D$5,"055","(ÖNV)",L666),Adat!$E:$E)-H676</f>
        <v>0</v>
      </c>
      <c r="I675" s="72">
        <f>SUMIF(Adat!$AJ:$AJ,CONCATENATE(Info!$D$5,"055","(ÁIG)",L666),Adat!$E:$E)-I676</f>
        <v>0</v>
      </c>
    </row>
    <row r="676" spans="2:9" x14ac:dyDescent="0.25">
      <c r="B676" s="160">
        <v>8</v>
      </c>
      <c r="C676" s="305" t="s">
        <v>1283</v>
      </c>
      <c r="D676" s="161" t="s">
        <v>397</v>
      </c>
      <c r="E676" s="72">
        <f>SUMIF(Adat!$AG:$AG,CONCATENATE(61,Info!$D$5,"055131",L666),Adat!$E:$E)</f>
        <v>0</v>
      </c>
      <c r="F676" s="72">
        <f>SUMIF(Adat!$AG:$AG,CONCATENATE(60,Info!$D$5,"055131",L666),Adat!$E:$E)+E676</f>
        <v>0</v>
      </c>
      <c r="G676" s="72">
        <f>SUMIF(Adat!$AH:$AH,CONCATENATE(Info!$D$5,"(KÖT)","055131",L666),Adat!$E:$E)</f>
        <v>0</v>
      </c>
      <c r="H676" s="72">
        <f>SUMIF(Adat!$AH:$AH,CONCATENATE(Info!$D$5,"(ÖNV)","055131",L666),Adat!$E:$E)*-1</f>
        <v>0</v>
      </c>
      <c r="I676" s="72">
        <f>SUMIF(Adat!$AH:$AH,CONCATENATE(Info!$D$5,"(ÁIG)","055131",L666),Adat!$E:$E)*-1</f>
        <v>0</v>
      </c>
    </row>
    <row r="677" spans="2:9" x14ac:dyDescent="0.25">
      <c r="B677" s="160">
        <v>9</v>
      </c>
      <c r="C677" s="305" t="s">
        <v>1283</v>
      </c>
      <c r="D677" s="93" t="s">
        <v>1445</v>
      </c>
      <c r="E677" s="72">
        <v>0</v>
      </c>
      <c r="F677" s="72">
        <f>SUM(G677:I677)</f>
        <v>0</v>
      </c>
      <c r="G677" s="72">
        <v>0</v>
      </c>
      <c r="H677" s="72">
        <v>0</v>
      </c>
      <c r="I677" s="72">
        <v>0</v>
      </c>
    </row>
    <row r="678" spans="2:9" x14ac:dyDescent="0.25">
      <c r="B678" s="160">
        <v>10</v>
      </c>
      <c r="C678" s="305" t="s">
        <v>1283</v>
      </c>
      <c r="D678" s="93" t="s">
        <v>1446</v>
      </c>
      <c r="E678" s="72">
        <v>0</v>
      </c>
      <c r="F678" s="72">
        <f>SUM(G678:I678)</f>
        <v>0</v>
      </c>
      <c r="G678" s="72">
        <v>0</v>
      </c>
      <c r="H678" s="72">
        <v>0</v>
      </c>
      <c r="I678" s="72">
        <v>0</v>
      </c>
    </row>
    <row r="679" spans="2:9" x14ac:dyDescent="0.25">
      <c r="B679" s="160">
        <v>11</v>
      </c>
      <c r="C679" s="78" t="s">
        <v>358</v>
      </c>
      <c r="D679" s="92" t="s">
        <v>2664</v>
      </c>
      <c r="E679" s="71">
        <f>+E680+E682+E684</f>
        <v>0</v>
      </c>
      <c r="F679" s="71">
        <f>+F680+F682+F684</f>
        <v>0</v>
      </c>
      <c r="G679" s="71">
        <f>+G680+G682+G684</f>
        <v>0</v>
      </c>
      <c r="H679" s="71">
        <f>+H680+H682+H684</f>
        <v>0</v>
      </c>
      <c r="I679" s="71">
        <f>+I680+I682+I684</f>
        <v>0</v>
      </c>
    </row>
    <row r="680" spans="2:9" x14ac:dyDescent="0.25">
      <c r="B680" s="160">
        <v>12</v>
      </c>
      <c r="C680" s="305" t="s">
        <v>10</v>
      </c>
      <c r="D680" s="317" t="s">
        <v>322</v>
      </c>
      <c r="E680" s="72">
        <f>SUMIF(Adat!$AI:$AI,CONCATENATE(61,Info!$D$5,"056",L666),Adat!$E:$E)</f>
        <v>0</v>
      </c>
      <c r="F680" s="72">
        <f>SUMIF(Adat!$AI:$AI,CONCATENATE(60,Info!$D$5,"056",L666),Adat!$E:$E)+E680</f>
        <v>0</v>
      </c>
      <c r="G680" s="72">
        <f>SUMIF(Adat!$AJ:$AJ,CONCATENATE(Info!$D$5,"056","(KÖT)",L666),Adat!$E:$E)</f>
        <v>0</v>
      </c>
      <c r="H680" s="72">
        <f>SUMIF(Adat!$AJ:$AJ,CONCATENATE(Info!$D$5,"056","(ÖNV)",L666),Adat!$E:$E)</f>
        <v>0</v>
      </c>
      <c r="I680" s="72">
        <f>SUMIF(Adat!$AJ:$AJ,CONCATENATE(Info!$D$5,"056","(ÁIG)",L666),Adat!$E:$E)</f>
        <v>0</v>
      </c>
    </row>
    <row r="681" spans="2:9" x14ac:dyDescent="0.25">
      <c r="B681" s="160">
        <v>13</v>
      </c>
      <c r="C681" s="305" t="s">
        <v>10</v>
      </c>
      <c r="D681" s="317" t="s">
        <v>1448</v>
      </c>
      <c r="E681" s="72">
        <v>0</v>
      </c>
      <c r="F681" s="72">
        <f>SUM(G681:I681)</f>
        <v>0</v>
      </c>
      <c r="G681" s="72">
        <v>0</v>
      </c>
      <c r="H681" s="72">
        <v>0</v>
      </c>
      <c r="I681" s="72">
        <v>0</v>
      </c>
    </row>
    <row r="682" spans="2:9" x14ac:dyDescent="0.25">
      <c r="B682" s="160">
        <v>14</v>
      </c>
      <c r="C682" s="305" t="s">
        <v>12</v>
      </c>
      <c r="D682" s="317" t="s">
        <v>323</v>
      </c>
      <c r="E682" s="72">
        <f>SUMIF(Adat!$AI:$AI,CONCATENATE(61,Info!$D$5,"057",L666),Adat!$E:$E)</f>
        <v>0</v>
      </c>
      <c r="F682" s="72">
        <f>SUMIF(Adat!$AI:$AI,CONCATENATE(60,Info!$D$5,"057",L666),Adat!$E:$E)+E682</f>
        <v>0</v>
      </c>
      <c r="G682" s="72">
        <f>SUMIF(Adat!$AJ:$AJ,CONCATENATE(Info!$D$5,"057","(KÖT)",L666),Adat!$E:$E)</f>
        <v>0</v>
      </c>
      <c r="H682" s="72">
        <f>SUMIF(Adat!$AJ:$AJ,CONCATENATE(Info!$D$5,"057","(ÖNV)",L666),Adat!$E:$E)</f>
        <v>0</v>
      </c>
      <c r="I682" s="72">
        <f>SUMIF(Adat!$AJ:$AJ,CONCATENATE(Info!$D$5,"057","(ÁIG)",L666),Adat!$E:$E)</f>
        <v>0</v>
      </c>
    </row>
    <row r="683" spans="2:9" x14ac:dyDescent="0.25">
      <c r="B683" s="160">
        <v>15</v>
      </c>
      <c r="C683" s="305" t="s">
        <v>12</v>
      </c>
      <c r="D683" s="317" t="s">
        <v>1449</v>
      </c>
      <c r="E683" s="72">
        <v>0</v>
      </c>
      <c r="F683" s="72">
        <f>SUM(G683:I683)</f>
        <v>0</v>
      </c>
      <c r="G683" s="72">
        <v>0</v>
      </c>
      <c r="H683" s="72">
        <v>0</v>
      </c>
      <c r="I683" s="72">
        <v>0</v>
      </c>
    </row>
    <row r="684" spans="2:9" x14ac:dyDescent="0.25">
      <c r="B684" s="160">
        <v>16</v>
      </c>
      <c r="C684" s="305" t="s">
        <v>15</v>
      </c>
      <c r="D684" s="317" t="s">
        <v>324</v>
      </c>
      <c r="E684" s="72">
        <f>SUMIF(Adat!$AI:$AI,CONCATENATE(61,Info!$D$5,"058",L666),Adat!$E:$E)</f>
        <v>0</v>
      </c>
      <c r="F684" s="72">
        <f>SUMIF(Adat!$AI:$AI,CONCATENATE(60,Info!$D$5,"058",L666),Adat!$E:$E)+E684</f>
        <v>0</v>
      </c>
      <c r="G684" s="72">
        <f>SUMIF(Adat!$AJ:$AJ,CONCATENATE(Info!$D$5,"058","(KÖT)",L666),Adat!$E:$E)</f>
        <v>0</v>
      </c>
      <c r="H684" s="72">
        <f>SUMIF(Adat!$AJ:$AJ,CONCATENATE(Info!$D$5,"058","(ÖNV)",L666),Adat!$E:$E)</f>
        <v>0</v>
      </c>
      <c r="I684" s="72">
        <f>SUMIF(Adat!$AJ:$AJ,CONCATENATE(Info!$D$5,"058","(ÁIG)",L666),Adat!$E:$E)</f>
        <v>0</v>
      </c>
    </row>
    <row r="685" spans="2:9" x14ac:dyDescent="0.25">
      <c r="B685" s="160">
        <v>17</v>
      </c>
      <c r="C685" s="78" t="s">
        <v>364</v>
      </c>
      <c r="D685" s="86" t="s">
        <v>402</v>
      </c>
      <c r="E685" s="71">
        <f>+E670+E679</f>
        <v>0</v>
      </c>
      <c r="F685" s="71">
        <f>+F670+F679</f>
        <v>0</v>
      </c>
      <c r="G685" s="71">
        <f>+G670+G679</f>
        <v>0</v>
      </c>
      <c r="H685" s="71">
        <f>+H670+H679</f>
        <v>0</v>
      </c>
      <c r="I685" s="71">
        <f>+I670+I679</f>
        <v>0</v>
      </c>
    </row>
    <row r="686" spans="2:9" x14ac:dyDescent="0.25">
      <c r="B686" s="160">
        <v>18</v>
      </c>
      <c r="C686" s="78" t="s">
        <v>403</v>
      </c>
      <c r="D686" s="86" t="s">
        <v>1450</v>
      </c>
      <c r="E686" s="71">
        <f>+E687+E688+E689</f>
        <v>0</v>
      </c>
      <c r="F686" s="71">
        <f>+F687+F688+F689</f>
        <v>0</v>
      </c>
      <c r="G686" s="71">
        <f>+G687+G688+G689</f>
        <v>0</v>
      </c>
      <c r="H686" s="71">
        <f>+H687+H688+H689</f>
        <v>0</v>
      </c>
      <c r="I686" s="71">
        <f>+I687+I688+I689</f>
        <v>0</v>
      </c>
    </row>
    <row r="687" spans="2:9" s="42" customFormat="1" x14ac:dyDescent="0.25">
      <c r="B687" s="160">
        <v>19</v>
      </c>
      <c r="C687" s="305" t="s">
        <v>1451</v>
      </c>
      <c r="D687" s="161" t="s">
        <v>490</v>
      </c>
      <c r="E687" s="72">
        <f>SUMIF(Adat!$AG:$AG,CONCATENATE(61,Info!$D$5,"0591111",L666),Adat!$E:$E)</f>
        <v>0</v>
      </c>
      <c r="F687" s="72">
        <f>SUMIF(Adat!$AG:$AG,CONCATENATE(60,Info!$D$5,"0591111",L666),Adat!$E:$E)+E687</f>
        <v>0</v>
      </c>
      <c r="G687" s="72">
        <f>SUMIF(Adat!$AH:$AH,CONCATENATE(Info!$D$5,"(KÖT)","0591111",L666),Adat!$E:$E)</f>
        <v>0</v>
      </c>
      <c r="H687" s="72">
        <f>SUMIF(Adat!$AH:$AH,CONCATENATE(Info!$D$5,"(ÖNV)","0591111",L666),Adat!$E:$E)</f>
        <v>0</v>
      </c>
      <c r="I687" s="72">
        <f>SUMIF(Adat!$AH:$AH,CONCATENATE(Info!$D$5,"(ÁIG)","0591111",L666),Adat!$E:$E)</f>
        <v>0</v>
      </c>
    </row>
    <row r="688" spans="2:9" x14ac:dyDescent="0.25">
      <c r="B688" s="160">
        <v>20</v>
      </c>
      <c r="C688" s="305" t="s">
        <v>1453</v>
      </c>
      <c r="D688" s="161" t="s">
        <v>406</v>
      </c>
      <c r="E688" s="72">
        <f>SUMIF(Adat!$AG:$AG,CONCATENATE(61,Info!$D$5,"0591121",L666),Adat!$E:$E)</f>
        <v>0</v>
      </c>
      <c r="F688" s="72">
        <f>SUMIF(Adat!$AG:$AG,CONCATENATE(60,Info!$D$5,"0591121",L666),Adat!$E:$E)+E688</f>
        <v>0</v>
      </c>
      <c r="G688" s="72">
        <f>SUMIF(Adat!$AH:$AH,CONCATENATE(Info!$D$5,"(KÖT)","0591121",L666),Adat!$E:$E)</f>
        <v>0</v>
      </c>
      <c r="H688" s="72">
        <f>SUMIF(Adat!$AH:$AH,CONCATENATE(Info!$D$5,"(ÖNV)","0591121",L666),Adat!$E:$E)</f>
        <v>0</v>
      </c>
      <c r="I688" s="72">
        <f>SUMIF(Adat!$AH:$AH,CONCATENATE(Info!$D$5,"(ÁIG)","0591121",L666),Adat!$E:$E)</f>
        <v>0</v>
      </c>
    </row>
    <row r="689" spans="2:18" x14ac:dyDescent="0.25">
      <c r="B689" s="160">
        <v>21</v>
      </c>
      <c r="C689" s="305" t="s">
        <v>1455</v>
      </c>
      <c r="D689" s="161" t="s">
        <v>491</v>
      </c>
      <c r="E689" s="72">
        <f>SUMIF(Adat!$AG:$AG,CONCATENATE(61,Info!$D$5,"0591131",L666),Adat!$E:$E)</f>
        <v>0</v>
      </c>
      <c r="F689" s="72">
        <f>SUMIF(Adat!$AG:$AG,CONCATENATE(60,Info!$D$5,"0591131",L666),Adat!$E:$E)+E689</f>
        <v>0</v>
      </c>
      <c r="G689" s="72">
        <f>SUMIF(Adat!$AH:$AH,CONCATENATE(Info!$D$5,"(KÖT)","0591131",L666),Adat!$E:$E)</f>
        <v>0</v>
      </c>
      <c r="H689" s="72">
        <f>SUMIF(Adat!$AH:$AH,CONCATENATE(Info!$D$5,"(ÖNV)","0591131",L666),Adat!$E:$E)</f>
        <v>0</v>
      </c>
      <c r="I689" s="72">
        <f>SUMIF(Adat!$AH:$AH,CONCATENATE(Info!$D$5,"(ÁIG)","0591131",L666),Adat!$E:$E)</f>
        <v>0</v>
      </c>
    </row>
    <row r="690" spans="2:18" x14ac:dyDescent="0.25">
      <c r="B690" s="160">
        <v>22</v>
      </c>
      <c r="C690" s="78" t="s">
        <v>372</v>
      </c>
      <c r="D690" s="86" t="s">
        <v>1457</v>
      </c>
      <c r="E690" s="71">
        <f>+E691+E692+E693+E694+E695+E696</f>
        <v>0</v>
      </c>
      <c r="F690" s="71">
        <f>+F691+F692+F693+F694+F695+F696</f>
        <v>0</v>
      </c>
      <c r="G690" s="71">
        <f>+G691+G692+G693+G694+G695+G696</f>
        <v>0</v>
      </c>
      <c r="H690" s="71">
        <f>+H691+H692+H693+H694+H695+H696</f>
        <v>0</v>
      </c>
      <c r="I690" s="71">
        <f>+I691+I692+I693+I694+I695+I696</f>
        <v>0</v>
      </c>
    </row>
    <row r="691" spans="2:18" x14ac:dyDescent="0.25">
      <c r="B691" s="160">
        <v>23</v>
      </c>
      <c r="C691" s="305" t="s">
        <v>1458</v>
      </c>
      <c r="D691" s="161" t="s">
        <v>409</v>
      </c>
      <c r="E691" s="72">
        <f>SUMIF(Adat!$AG:$AG,CONCATENATE(61,Info!$D$5,"0591211",L666),Adat!$E:$E)</f>
        <v>0</v>
      </c>
      <c r="F691" s="72">
        <f>SUMIF(Adat!$AG:$AG,CONCATENATE(60,Info!$D$5,"0591211",L666),Adat!$E:$E)+E691</f>
        <v>0</v>
      </c>
      <c r="G691" s="72">
        <f>SUMIF(Adat!$AH:$AH,CONCATENATE(Info!$D$5,"(KÖT)","0591211",L666),Adat!$E:$E)</f>
        <v>0</v>
      </c>
      <c r="H691" s="72">
        <f>SUMIF(Adat!$AH:$AH,CONCATENATE(Info!$D$5,"(ÖNV)","0591211",L666),Adat!$E:$E)</f>
        <v>0</v>
      </c>
      <c r="I691" s="72">
        <f>SUMIF(Adat!$AH:$AH,CONCATENATE(Info!$D$5,"(ÁIG)","0591211",L666),Adat!$E:$E)</f>
        <v>0</v>
      </c>
    </row>
    <row r="692" spans="2:18" x14ac:dyDescent="0.25">
      <c r="B692" s="160">
        <v>24</v>
      </c>
      <c r="C692" s="305" t="s">
        <v>1460</v>
      </c>
      <c r="D692" s="161" t="s">
        <v>410</v>
      </c>
      <c r="E692" s="72">
        <f>SUMIF(Adat!$AG:$AG,CONCATENATE(61,Info!$D$5,"0591221",L666),Adat!$E:$E)</f>
        <v>0</v>
      </c>
      <c r="F692" s="72">
        <f>SUMIF(Adat!$AG:$AG,CONCATENATE(60,Info!$D$5,"0591221",L666),Adat!$E:$E)+E692</f>
        <v>0</v>
      </c>
      <c r="G692" s="72">
        <f>SUMIF(Adat!$AH:$AH,CONCATENATE(Info!$D$5,"(KÖT)","0591221",L666),Adat!$E:$E)</f>
        <v>0</v>
      </c>
      <c r="H692" s="72">
        <f>SUMIF(Adat!$AH:$AH,CONCATENATE(Info!$D$5,"(ÖNV)","0591221",L666),Adat!$E:$E)</f>
        <v>0</v>
      </c>
      <c r="I692" s="72">
        <f>SUMIF(Adat!$AH:$AH,CONCATENATE(Info!$D$5,"(ÁIG)","0591221",L666),Adat!$E:$E)</f>
        <v>0</v>
      </c>
    </row>
    <row r="693" spans="2:18" x14ac:dyDescent="0.25">
      <c r="B693" s="160">
        <v>25</v>
      </c>
      <c r="C693" s="305" t="s">
        <v>1462</v>
      </c>
      <c r="D693" s="161" t="s">
        <v>411</v>
      </c>
      <c r="E693" s="72">
        <f>SUMIF(Adat!$AG:$AG,CONCATENATE(61,Info!$D$5,"0591231",L666),Adat!$E:$E)</f>
        <v>0</v>
      </c>
      <c r="F693" s="72">
        <f>SUMIF(Adat!$AG:$AG,CONCATENATE(60,Info!$D$5,"0591231",L666),Adat!$E:$E)+E693</f>
        <v>0</v>
      </c>
      <c r="G693" s="72">
        <f>SUMIF(Adat!$AH:$AH,CONCATENATE(Info!$D$5,"(KÖT)","0591231",L666),Adat!$E:$E)</f>
        <v>0</v>
      </c>
      <c r="H693" s="72">
        <f>SUMIF(Adat!$AH:$AH,CONCATENATE(Info!$D$5,"(ÖNV)","0591231",L666),Adat!$E:$E)</f>
        <v>0</v>
      </c>
      <c r="I693" s="72">
        <f>SUMIF(Adat!$AH:$AH,CONCATENATE(Info!$D$5,"(ÁIG)","0591231",L666),Adat!$E:$E)</f>
        <v>0</v>
      </c>
    </row>
    <row r="694" spans="2:18" x14ac:dyDescent="0.25">
      <c r="B694" s="160">
        <v>26</v>
      </c>
      <c r="C694" s="305" t="s">
        <v>1464</v>
      </c>
      <c r="D694" s="161" t="s">
        <v>492</v>
      </c>
      <c r="E694" s="72">
        <f>SUMIF(Adat!$AG:$AG,CONCATENATE(61,Info!$D$5,"0591241",L666),Adat!$E:$E)</f>
        <v>0</v>
      </c>
      <c r="F694" s="72">
        <f>SUMIF(Adat!$AG:$AG,CONCATENATE(60,Info!$D$5,"0591241",L666),Adat!$E:$E)+E694</f>
        <v>0</v>
      </c>
      <c r="G694" s="72">
        <f>SUMIF(Adat!$AH:$AH,CONCATENATE(Info!$D$5,"(KÖT)","0591241",L666),Adat!$E:$E)</f>
        <v>0</v>
      </c>
      <c r="H694" s="72">
        <f>SUMIF(Adat!$AH:$AH,CONCATENATE(Info!$D$5,"(ÖNV)","0591241",L666),Adat!$E:$E)</f>
        <v>0</v>
      </c>
      <c r="I694" s="72">
        <f>SUMIF(Adat!$AH:$AH,CONCATENATE(Info!$D$5,"(ÁIG)","0591241",L666),Adat!$E:$E)</f>
        <v>0</v>
      </c>
    </row>
    <row r="695" spans="2:18" x14ac:dyDescent="0.25">
      <c r="B695" s="160">
        <v>27</v>
      </c>
      <c r="C695" s="305" t="s">
        <v>1466</v>
      </c>
      <c r="D695" s="161" t="s">
        <v>413</v>
      </c>
      <c r="E695" s="72">
        <f>SUMIF(Adat!$AG:$AG,CONCATENATE(61,Info!$D$5,"0591251",L666),Adat!$E:$E)</f>
        <v>0</v>
      </c>
      <c r="F695" s="72">
        <f>SUMIF(Adat!$AG:$AG,CONCATENATE(60,Info!$D$5,"0591251",L666),Adat!$E:$E)+E695</f>
        <v>0</v>
      </c>
      <c r="G695" s="72">
        <f>SUMIF(Adat!$AH:$AH,CONCATENATE(Info!$D$5,"(KÖT)","0591251",L666),Adat!$E:$E)</f>
        <v>0</v>
      </c>
      <c r="H695" s="72">
        <f>SUMIF(Adat!$AH:$AH,CONCATENATE(Info!$D$5,"(ÖNV)","0591251",L666),Adat!$E:$E)</f>
        <v>0</v>
      </c>
      <c r="I695" s="72">
        <f>SUMIF(Adat!$AH:$AH,CONCATENATE(Info!$D$5,"(ÁIG)","0591251",L666),Adat!$E:$E)</f>
        <v>0</v>
      </c>
    </row>
    <row r="696" spans="2:18" s="42" customFormat="1" x14ac:dyDescent="0.25">
      <c r="B696" s="160">
        <v>28</v>
      </c>
      <c r="C696" s="305" t="s">
        <v>1468</v>
      </c>
      <c r="D696" s="161" t="s">
        <v>414</v>
      </c>
      <c r="E696" s="72">
        <f>SUMIF(Adat!$AG:$AG,CONCATENATE(61,Info!$D$5,"0591261",L666),Adat!$E:$E)</f>
        <v>0</v>
      </c>
      <c r="F696" s="72">
        <f>SUMIF(Adat!$AG:$AG,CONCATENATE(60,Info!$D$5,"0591261",L666),Adat!$E:$E)+E696</f>
        <v>0</v>
      </c>
      <c r="G696" s="72">
        <f>SUMIF(Adat!$AH:$AH,CONCATENATE(Info!$D$5,"(KÖT)","0591261",L666),Adat!$E:$E)</f>
        <v>0</v>
      </c>
      <c r="H696" s="72">
        <f>SUMIF(Adat!$AH:$AH,CONCATENATE(Info!$D$5,"(ÖNV)","0591261",L666),Adat!$E:$E)</f>
        <v>0</v>
      </c>
      <c r="I696" s="72">
        <f>SUMIF(Adat!$AH:$AH,CONCATENATE(Info!$D$5,"(ÁIG)","0591261",L666),Adat!$E:$E)</f>
        <v>0</v>
      </c>
    </row>
    <row r="697" spans="2:18" x14ac:dyDescent="0.25">
      <c r="B697" s="160">
        <v>29</v>
      </c>
      <c r="C697" s="78" t="s">
        <v>379</v>
      </c>
      <c r="D697" s="86" t="s">
        <v>1470</v>
      </c>
      <c r="E697" s="71">
        <f>+E698+E699+E701+E702+E700</f>
        <v>0</v>
      </c>
      <c r="F697" s="71">
        <f>+F698+F699+F701+F702+F700</f>
        <v>0</v>
      </c>
      <c r="G697" s="71">
        <f>+G698+G699+G701+G702+G700</f>
        <v>0</v>
      </c>
      <c r="H697" s="71">
        <f>+H698+H699+H701+H702+H700</f>
        <v>0</v>
      </c>
      <c r="I697" s="71">
        <f>+I698+I699+I701+I702+I700</f>
        <v>0</v>
      </c>
      <c r="R697" s="43"/>
    </row>
    <row r="698" spans="2:18" x14ac:dyDescent="0.25">
      <c r="B698" s="160">
        <v>30</v>
      </c>
      <c r="C698" s="305" t="s">
        <v>1471</v>
      </c>
      <c r="D698" s="161" t="s">
        <v>416</v>
      </c>
      <c r="E698" s="72">
        <f>SUMIF(Adat!$AG:$AG,CONCATENATE(61,Info!$D$5,"059131",L666),Adat!$E:$E)</f>
        <v>0</v>
      </c>
      <c r="F698" s="72">
        <f>SUMIF(Adat!$AG:$AG,CONCATENATE(60,Info!$D$5,"059131",L666),Adat!$E:$E)+E698</f>
        <v>0</v>
      </c>
      <c r="G698" s="72">
        <f>SUMIF(Adat!$AH:$AH,CONCATENATE(Info!$D$5,"(KÖT)","059131",L666),Adat!$E:$E)</f>
        <v>0</v>
      </c>
      <c r="H698" s="72">
        <f>SUMIF(Adat!$AH:$AH,CONCATENATE(Info!$D$5,"(ÖNV)","059131",L666),Adat!$E:$E)</f>
        <v>0</v>
      </c>
      <c r="I698" s="72">
        <f>SUMIF(Adat!$AH:$AH,CONCATENATE(Info!$D$5,"(ÁIG)","059131",L666),Adat!$E:$E)</f>
        <v>0</v>
      </c>
    </row>
    <row r="699" spans="2:18" x14ac:dyDescent="0.25">
      <c r="B699" s="160">
        <v>31</v>
      </c>
      <c r="C699" s="305" t="s">
        <v>1287</v>
      </c>
      <c r="D699" s="161" t="s">
        <v>417</v>
      </c>
      <c r="E699" s="72">
        <f>SUMIF(Adat!$AG:$AG,CONCATENATE(61,Info!$D$5,"059141",L666),Adat!$E:$E)</f>
        <v>0</v>
      </c>
      <c r="F699" s="72">
        <f>SUMIF(Adat!$AG:$AG,CONCATENATE(60,Info!$D$5,"059141",L666),Adat!$E:$E)+E699</f>
        <v>0</v>
      </c>
      <c r="G699" s="72">
        <f>SUMIF(Adat!$AH:$AH,CONCATENATE(Info!$D$5,"(KÖT)","059141",L666),Adat!$E:$E)</f>
        <v>0</v>
      </c>
      <c r="H699" s="72">
        <f>SUMIF(Adat!$AH:$AH,CONCATENATE(Info!$D$5,"(ÖNV)","059141",L666),Adat!$E:$E)</f>
        <v>0</v>
      </c>
      <c r="I699" s="72">
        <f>SUMIF(Adat!$AH:$AH,CONCATENATE(Info!$D$5,"(ÁIG)","059141",L666),Adat!$E:$E)</f>
        <v>0</v>
      </c>
    </row>
    <row r="700" spans="2:18" x14ac:dyDescent="0.25">
      <c r="B700" s="160">
        <v>32</v>
      </c>
      <c r="C700" s="316" t="s">
        <v>1253</v>
      </c>
      <c r="D700" s="161" t="s">
        <v>493</v>
      </c>
      <c r="E700" s="72">
        <f>SUMIF(Adat!$AG:$AG,CONCATENATE(61,Info!$D$5,"059151",L666),Adat!$E:$E)</f>
        <v>0</v>
      </c>
      <c r="F700" s="72">
        <f>SUMIF(Adat!$AG:$AG,CONCATENATE(60,Info!$D$5,"059151",L666),Adat!$E:$E)+E700</f>
        <v>0</v>
      </c>
      <c r="G700" s="72">
        <f>SUMIF(Adat!$AH:$AH,CONCATENATE(Info!$D$5,"(KÖT)","059151",L666),Adat!$E:$E)</f>
        <v>0</v>
      </c>
      <c r="H700" s="72">
        <f>SUMIF(Adat!$AH:$AH,CONCATENATE(Info!$D$5,"(ÖNV)","059151",L666),Adat!$E:$E)</f>
        <v>0</v>
      </c>
      <c r="I700" s="72">
        <f>SUMIF(Adat!$AH:$AH,CONCATENATE(Info!$D$5,"(ÁIG)","059151",L666),Adat!$E:$E)</f>
        <v>0</v>
      </c>
    </row>
    <row r="701" spans="2:18" s="42" customFormat="1" x14ac:dyDescent="0.25">
      <c r="B701" s="160">
        <v>33</v>
      </c>
      <c r="C701" s="305" t="s">
        <v>1474</v>
      </c>
      <c r="D701" s="161" t="s">
        <v>418</v>
      </c>
      <c r="E701" s="72">
        <f>SUMIF(Adat!$AG:$AG,CONCATENATE(61,Info!$D$5,"059161",L666),Adat!$E:$E)</f>
        <v>0</v>
      </c>
      <c r="F701" s="72">
        <f>SUMIF(Adat!$AG:$AG,CONCATENATE(60,Info!$D$5,"059161",L666),Adat!$E:$E)+E701</f>
        <v>0</v>
      </c>
      <c r="G701" s="72">
        <f>SUMIF(Adat!$AH:$AH,CONCATENATE(Info!$D$5,"(KÖT)","059161",L666),Adat!$E:$E)</f>
        <v>0</v>
      </c>
      <c r="H701" s="72">
        <f>SUMIF(Adat!$AH:$AH,CONCATENATE(Info!$D$5,"(ÖNV)","059161",L666),Adat!$E:$E)</f>
        <v>0</v>
      </c>
      <c r="I701" s="72">
        <f>SUMIF(Adat!$AH:$AH,CONCATENATE(Info!$D$5,"(ÁIG)","059161",L666),Adat!$E:$E)</f>
        <v>0</v>
      </c>
    </row>
    <row r="702" spans="2:18" s="42" customFormat="1" x14ac:dyDescent="0.25">
      <c r="B702" s="160">
        <v>34</v>
      </c>
      <c r="C702" s="305" t="s">
        <v>1476</v>
      </c>
      <c r="D702" s="161" t="s">
        <v>419</v>
      </c>
      <c r="E702" s="72">
        <f>SUMIF(Adat!$AG:$AG,CONCATENATE(61,Info!$D$5,"059171",L666),Adat!$E:$E)</f>
        <v>0</v>
      </c>
      <c r="F702" s="72">
        <f>SUMIF(Adat!$AG:$AG,CONCATENATE(60,Info!$D$5,"059171",L666),Adat!$E:$E)+E702</f>
        <v>0</v>
      </c>
      <c r="G702" s="72">
        <f>SUMIF(Adat!$AH:$AH,CONCATENATE(Info!$D$5,"(KÖT)","059171",L666),Adat!$E:$E)</f>
        <v>0</v>
      </c>
      <c r="H702" s="72">
        <f>SUMIF(Adat!$AH:$AH,CONCATENATE(Info!$D$5,"(ÖNV)","059171",L666),Adat!$E:$E)</f>
        <v>0</v>
      </c>
      <c r="I702" s="72">
        <f>SUMIF(Adat!$AH:$AH,CONCATENATE(Info!$D$5,"(ÁIG)","059171",L666),Adat!$E:$E)</f>
        <v>0</v>
      </c>
    </row>
    <row r="703" spans="2:18" s="42" customFormat="1" x14ac:dyDescent="0.25">
      <c r="B703" s="160">
        <v>35</v>
      </c>
      <c r="C703" s="78" t="s">
        <v>420</v>
      </c>
      <c r="D703" s="86" t="s">
        <v>1478</v>
      </c>
      <c r="E703" s="73">
        <f>+E704+E705+E706+E707+E708</f>
        <v>0</v>
      </c>
      <c r="F703" s="73">
        <f>+F704+F705+F706+F707+F708</f>
        <v>0</v>
      </c>
      <c r="G703" s="73">
        <f>+G704+G705+G706+G707+G708</f>
        <v>0</v>
      </c>
      <c r="H703" s="73">
        <f>+H704+H705+H706+H707+H708</f>
        <v>0</v>
      </c>
      <c r="I703" s="73">
        <f>+I704+I705+I706+I707+I708</f>
        <v>0</v>
      </c>
    </row>
    <row r="704" spans="2:18" s="42" customFormat="1" x14ac:dyDescent="0.25">
      <c r="B704" s="160">
        <v>36</v>
      </c>
      <c r="C704" s="305" t="s">
        <v>1479</v>
      </c>
      <c r="D704" s="161" t="s">
        <v>422</v>
      </c>
      <c r="E704" s="72">
        <f>SUMIF(Adat!$AG:$AG,CONCATENATE(61,Info!$D$5,"059211",L666),Adat!$E:$E)</f>
        <v>0</v>
      </c>
      <c r="F704" s="72">
        <f>SUMIF(Adat!$AG:$AG,CONCATENATE(60,Info!$D$5,"059211",L666),Adat!$E:$E)+E704</f>
        <v>0</v>
      </c>
      <c r="G704" s="72">
        <f>SUMIF(Adat!$AH:$AH,CONCATENATE(Info!$D$5,"(KÖT)","059211",L666),Adat!$E:$E)</f>
        <v>0</v>
      </c>
      <c r="H704" s="72">
        <f>SUMIF(Adat!$AH:$AH,CONCATENATE(Info!$D$5,"(ÖNV)","059211",L666),Adat!$E:$E)</f>
        <v>0</v>
      </c>
      <c r="I704" s="72">
        <f>SUMIF(Adat!$AH:$AH,CONCATENATE(Info!$D$5,"(ÁIG)","059211",L666),Adat!$E:$E)</f>
        <v>0</v>
      </c>
    </row>
    <row r="705" spans="2:12" s="42" customFormat="1" x14ac:dyDescent="0.25">
      <c r="B705" s="160">
        <v>37</v>
      </c>
      <c r="C705" s="305" t="s">
        <v>1481</v>
      </c>
      <c r="D705" s="161" t="s">
        <v>423</v>
      </c>
      <c r="E705" s="72">
        <f>SUMIF(Adat!$AG:$AG,CONCATENATE(61,Info!$D$5,"059221",L666),Adat!$E:$E)</f>
        <v>0</v>
      </c>
      <c r="F705" s="72">
        <f>SUMIF(Adat!$AG:$AG,CONCATENATE(60,Info!$D$5,"059221",L666),Adat!$E:$E)+E705</f>
        <v>0</v>
      </c>
      <c r="G705" s="72">
        <f>SUMIF(Adat!$AH:$AH,CONCATENATE(Info!$D$5,"(KÖT)","059221",L666),Adat!$E:$E)</f>
        <v>0</v>
      </c>
      <c r="H705" s="72">
        <f>SUMIF(Adat!$AH:$AH,CONCATENATE(Info!$D$5,"(ÖNV)","059221",L666),Adat!$E:$E)</f>
        <v>0</v>
      </c>
      <c r="I705" s="72">
        <f>SUMIF(Adat!$AH:$AH,CONCATENATE(Info!$D$5,"(ÁIG)","059221",L666),Adat!$E:$E)</f>
        <v>0</v>
      </c>
    </row>
    <row r="706" spans="2:12" s="42" customFormat="1" x14ac:dyDescent="0.25">
      <c r="B706" s="160">
        <v>38</v>
      </c>
      <c r="C706" s="305" t="s">
        <v>1483</v>
      </c>
      <c r="D706" s="161" t="s">
        <v>424</v>
      </c>
      <c r="E706" s="72">
        <f>SUMIF(Adat!$AG:$AG,CONCATENATE(61,Info!$D$5,"059231",L666),Adat!$E:$E)</f>
        <v>0</v>
      </c>
      <c r="F706" s="72">
        <f>SUMIF(Adat!$AG:$AG,CONCATENATE(60,Info!$D$5,"059231",L666),Adat!$E:$E)+E706</f>
        <v>0</v>
      </c>
      <c r="G706" s="72">
        <f>SUMIF(Adat!$AH:$AH,CONCATENATE(Info!$D$5,"(KÖT)","059231",L666),Adat!$E:$E)</f>
        <v>0</v>
      </c>
      <c r="H706" s="72">
        <f>SUMIF(Adat!$AH:$AH,CONCATENATE(Info!$D$5,"(ÖNV)","059231",L666),Adat!$E:$E)</f>
        <v>0</v>
      </c>
      <c r="I706" s="72">
        <f>SUMIF(Adat!$AH:$AH,CONCATENATE(Info!$D$5,"(ÁIG)","059231",L666),Adat!$E:$E)</f>
        <v>0</v>
      </c>
    </row>
    <row r="707" spans="2:12" s="42" customFormat="1" x14ac:dyDescent="0.25">
      <c r="B707" s="160">
        <v>39</v>
      </c>
      <c r="C707" s="305" t="s">
        <v>1485</v>
      </c>
      <c r="D707" s="161" t="s">
        <v>494</v>
      </c>
      <c r="E707" s="72">
        <f>SUMIF(Adat!$AG:$AG,CONCATENATE(61,Info!$D$5,"059241",L666),Adat!$E:$E)</f>
        <v>0</v>
      </c>
      <c r="F707" s="72">
        <f>SUMIF(Adat!$AG:$AG,CONCATENATE(60,Info!$D$5,"059241",L666),Adat!$E:$E)+E707</f>
        <v>0</v>
      </c>
      <c r="G707" s="72">
        <f>SUMIF(Adat!$AH:$AH,CONCATENATE(Info!$D$5,"(KÖT)","059241",L666),Adat!$E:$E)</f>
        <v>0</v>
      </c>
      <c r="H707" s="72">
        <f>SUMIF(Adat!$AH:$AH,CONCATENATE(Info!$D$5,"(ÖNV)","059241",L666),Adat!$E:$E)</f>
        <v>0</v>
      </c>
      <c r="I707" s="72">
        <f>SUMIF(Adat!$AH:$AH,CONCATENATE(Info!$D$5,"(ÁIG)","059241",L666),Adat!$E:$E)</f>
        <v>0</v>
      </c>
    </row>
    <row r="708" spans="2:12" x14ac:dyDescent="0.25">
      <c r="B708" s="160">
        <v>40</v>
      </c>
      <c r="C708" s="305" t="s">
        <v>1487</v>
      </c>
      <c r="D708" s="161" t="s">
        <v>427</v>
      </c>
      <c r="E708" s="72">
        <f>SUMIF(Adat!$AG:$AG,CONCATENATE(61,Info!$D$5,"059251",L666),Adat!$E:$E)</f>
        <v>0</v>
      </c>
      <c r="F708" s="72">
        <f>SUMIF(Adat!$AG:$AG,CONCATENATE(60,Info!$D$5,"059251",L666),Adat!$E:$E)+E708</f>
        <v>0</v>
      </c>
      <c r="G708" s="72">
        <f>SUMIF(Adat!$AH:$AH,CONCATENATE(Info!$D$5,"(KÖT)","059251",L666),Adat!$E:$E)</f>
        <v>0</v>
      </c>
      <c r="H708" s="72">
        <f>SUMIF(Adat!$AH:$AH,CONCATENATE(Info!$D$5,"(ÖNV)","059251",L666),Adat!$E:$E)</f>
        <v>0</v>
      </c>
      <c r="I708" s="72">
        <f>SUMIF(Adat!$AH:$AH,CONCATENATE(Info!$D$5,"(ÁIG)","059251",L666),Adat!$E:$E)</f>
        <v>0</v>
      </c>
    </row>
    <row r="709" spans="2:12" x14ac:dyDescent="0.25">
      <c r="B709" s="160">
        <v>41</v>
      </c>
      <c r="C709" s="162" t="s">
        <v>390</v>
      </c>
      <c r="D709" s="86" t="s">
        <v>428</v>
      </c>
      <c r="E709" s="72">
        <f>SUMIF(Adat!$AG:$AG,CONCATENATE(61,Info!$D$5,"05931",L666),Adat!$E:$E)</f>
        <v>0</v>
      </c>
      <c r="F709" s="72">
        <f>SUMIF(Adat!$AG:$AG,CONCATENATE(60,Info!$D$5,"05931",L666),Adat!$E:$E)+E709</f>
        <v>0</v>
      </c>
      <c r="G709" s="72">
        <f>SUMIF(Adat!$AH:$AH,CONCATENATE(Info!$D$5,"(KÖT)","05931",L666),Adat!$E:$E)</f>
        <v>0</v>
      </c>
      <c r="H709" s="72">
        <f>SUMIF(Adat!$AH:$AH,CONCATENATE(Info!$D$5,"(ÖNV)","05931",L666),Adat!$E:$E)</f>
        <v>0</v>
      </c>
      <c r="I709" s="72">
        <f>SUMIF(Adat!$AH:$AH,CONCATENATE(Info!$D$5,"(ÁIG)","05931",L666),Adat!$E:$E)</f>
        <v>0</v>
      </c>
    </row>
    <row r="710" spans="2:12" x14ac:dyDescent="0.25">
      <c r="B710" s="160">
        <v>42</v>
      </c>
      <c r="C710" s="162" t="s">
        <v>429</v>
      </c>
      <c r="D710" s="86" t="s">
        <v>430</v>
      </c>
      <c r="E710" s="72">
        <f>SUMIF(Adat!$AG:$AG,CONCATENATE(61,Info!$D$5,"05941",L666),Adat!$E:$E)</f>
        <v>0</v>
      </c>
      <c r="F710" s="72">
        <f>SUMIF(Adat!$AG:$AG,CONCATENATE(60,Info!$D$5,"05941",L666),Adat!$E:$E)+E710</f>
        <v>0</v>
      </c>
      <c r="G710" s="72">
        <f>SUMIF(Adat!$AH:$AH,CONCATENATE(Info!$D$5,"(KÖT)","05941",L666),Adat!$E:$E)</f>
        <v>0</v>
      </c>
      <c r="H710" s="72">
        <f>SUMIF(Adat!$AH:$AH,CONCATENATE(Info!$D$5,"(ÖNV)","05941",L666),Adat!$E:$E)</f>
        <v>0</v>
      </c>
      <c r="I710" s="72">
        <f>SUMIF(Adat!$AH:$AH,CONCATENATE(Info!$D$5,"(ÁIG)","05941",L666),Adat!$E:$E)</f>
        <v>0</v>
      </c>
    </row>
    <row r="711" spans="2:12" x14ac:dyDescent="0.25">
      <c r="B711" s="160">
        <v>43</v>
      </c>
      <c r="C711" s="78" t="s">
        <v>431</v>
      </c>
      <c r="D711" s="86" t="s">
        <v>432</v>
      </c>
      <c r="E711" s="74">
        <f>+E686+E690+E697+E703+E709+E710</f>
        <v>0</v>
      </c>
      <c r="F711" s="74">
        <f>+F686+F690+F697+F703+F709+F710</f>
        <v>0</v>
      </c>
      <c r="G711" s="74">
        <f>+G686+G690+G697+G703+G709+G710</f>
        <v>0</v>
      </c>
      <c r="H711" s="74">
        <f>+H686+H690+H697+H703+H709+H710</f>
        <v>0</v>
      </c>
      <c r="I711" s="74">
        <f>+I686+I690+I697+I703+I709+I710</f>
        <v>0</v>
      </c>
    </row>
    <row r="712" spans="2:12" x14ac:dyDescent="0.25">
      <c r="B712" s="160">
        <v>44</v>
      </c>
      <c r="C712" s="154" t="s">
        <v>433</v>
      </c>
      <c r="D712" s="159" t="s">
        <v>434</v>
      </c>
      <c r="E712" s="74">
        <f>+E685+E711</f>
        <v>0</v>
      </c>
      <c r="F712" s="74">
        <f>+F685+F711</f>
        <v>0</v>
      </c>
      <c r="G712" s="74">
        <f>+G685+G711</f>
        <v>0</v>
      </c>
      <c r="H712" s="74">
        <f>+H685+H711</f>
        <v>0</v>
      </c>
      <c r="I712" s="74">
        <f>+I685+I711</f>
        <v>0</v>
      </c>
    </row>
    <row r="713" spans="2:12" s="37" customFormat="1" ht="15.75" x14ac:dyDescent="0.25">
      <c r="C713" s="529"/>
      <c r="D713" s="529"/>
      <c r="E713" s="529"/>
      <c r="F713" s="200"/>
      <c r="G713" s="200"/>
      <c r="H713" s="200"/>
      <c r="I713" s="200"/>
    </row>
    <row r="714" spans="2:12" s="38" customFormat="1" ht="15.75" x14ac:dyDescent="0.25">
      <c r="B714" s="525" t="str">
        <f>PAR!$E$3</f>
        <v>Nagymaros Város Önkormányzata</v>
      </c>
      <c r="C714" s="525"/>
      <c r="D714" s="525"/>
      <c r="E714" s="525"/>
      <c r="F714" s="525"/>
      <c r="G714" s="525"/>
      <c r="H714" s="525"/>
      <c r="I714" s="525"/>
    </row>
    <row r="715" spans="2:12" s="38" customFormat="1" ht="15.75" x14ac:dyDescent="0.25">
      <c r="B715" s="525" t="s">
        <v>2660</v>
      </c>
      <c r="C715" s="525"/>
      <c r="D715" s="525"/>
      <c r="E715" s="525"/>
      <c r="F715" s="525"/>
      <c r="G715" s="525"/>
      <c r="H715" s="525"/>
      <c r="I715" s="525"/>
    </row>
    <row r="716" spans="2:12" s="38" customFormat="1" ht="15.75" x14ac:dyDescent="0.25">
      <c r="C716" s="156"/>
      <c r="E716" s="140"/>
      <c r="F716" s="140"/>
      <c r="G716" s="140"/>
      <c r="H716" s="140"/>
      <c r="I716" s="140"/>
    </row>
    <row r="717" spans="2:12" s="10" customFormat="1" ht="15.75" customHeight="1" x14ac:dyDescent="0.25">
      <c r="B717" s="201" t="str">
        <f>CONCATENATE("11. Bevételi jogcímek"," - ",L717," részletező")</f>
        <v>11. Bevételi jogcímek -  részletező</v>
      </c>
      <c r="C717" s="101"/>
      <c r="D717" s="101"/>
      <c r="E717" s="101"/>
      <c r="F717" s="101"/>
      <c r="G717" s="198"/>
      <c r="H717" s="198"/>
      <c r="I717" s="198"/>
      <c r="L717" s="384"/>
    </row>
    <row r="718" spans="2:12" s="38" customFormat="1" ht="15.75" x14ac:dyDescent="0.25">
      <c r="C718" s="156"/>
      <c r="E718" s="140"/>
      <c r="F718" s="140"/>
      <c r="G718" s="140"/>
      <c r="H718" s="140"/>
      <c r="I718" s="140"/>
    </row>
    <row r="719" spans="2:12" s="40" customFormat="1" x14ac:dyDescent="0.25">
      <c r="B719" s="77"/>
      <c r="C719" s="77" t="s">
        <v>350</v>
      </c>
      <c r="D719" s="77" t="s">
        <v>351</v>
      </c>
      <c r="E719" s="77" t="s">
        <v>470</v>
      </c>
      <c r="F719" s="77" t="s">
        <v>471</v>
      </c>
      <c r="G719" s="77" t="s">
        <v>44</v>
      </c>
      <c r="H719" s="77" t="s">
        <v>42</v>
      </c>
      <c r="I719" s="77" t="s">
        <v>511</v>
      </c>
    </row>
    <row r="720" spans="2:12" ht="38.25" x14ac:dyDescent="0.25">
      <c r="B720" s="160">
        <v>1</v>
      </c>
      <c r="C720" s="154" t="s">
        <v>593</v>
      </c>
      <c r="D720" s="154" t="s">
        <v>488</v>
      </c>
      <c r="E720" s="163" t="str">
        <f>CONCATENATE(PAR!$H$3," évi
eredeti 
előirányzat")</f>
        <v>2025. évi
eredeti 
előirányzat</v>
      </c>
      <c r="F720" s="163" t="str">
        <f>CONCATENATE(PAR!$H$3," évi
módosított 
előirányzat")</f>
        <v>2025. évi
módosított 
előirányzat</v>
      </c>
      <c r="G720" s="69" t="s">
        <v>666</v>
      </c>
      <c r="H720" s="69" t="s">
        <v>667</v>
      </c>
      <c r="I720" s="69" t="s">
        <v>668</v>
      </c>
    </row>
    <row r="721" spans="2:9" s="41" customFormat="1" x14ac:dyDescent="0.25">
      <c r="B721" s="160">
        <v>2</v>
      </c>
      <c r="C721" s="78" t="s">
        <v>1324</v>
      </c>
      <c r="D721" s="79" t="s">
        <v>562</v>
      </c>
      <c r="E721" s="71">
        <f>SUM(E722:E728)</f>
        <v>0</v>
      </c>
      <c r="F721" s="71">
        <f t="shared" ref="F721:I721" si="75">SUM(F722:F728)</f>
        <v>0</v>
      </c>
      <c r="G721" s="71">
        <f t="shared" si="75"/>
        <v>0</v>
      </c>
      <c r="H721" s="71">
        <f t="shared" si="75"/>
        <v>0</v>
      </c>
      <c r="I721" s="71">
        <f t="shared" si="75"/>
        <v>0</v>
      </c>
    </row>
    <row r="722" spans="2:9" s="42" customFormat="1" x14ac:dyDescent="0.2">
      <c r="B722" s="160">
        <v>3</v>
      </c>
      <c r="C722" s="305" t="s">
        <v>1288</v>
      </c>
      <c r="D722" s="82" t="s">
        <v>1325</v>
      </c>
      <c r="E722" s="72">
        <f>SUMIF(Adat!$AG:$AG,CONCATENATE(61,Info!$D$5,"091111",L717),Adat!$E:$E)*-1</f>
        <v>0</v>
      </c>
      <c r="F722" s="72">
        <f>SUMIF(Adat!$AG:$AG,CONCATENATE(60,Info!$D$5,"091111",L717),Adat!$E:$E)*(-1)+E722</f>
        <v>0</v>
      </c>
      <c r="G722" s="72">
        <f>SUMIF(Adat!$AH:$AH,CONCATENATE(Info!$D$5,"(KÖT)","091111",L717),Adat!$E:$E)*-1</f>
        <v>0</v>
      </c>
      <c r="H722" s="72">
        <f>SUMIF(Adat!$AH:$AH,CONCATENATE(Info!$D$5,"(ÖNV)","091111",L717),Adat!$E:$E)*-1</f>
        <v>0</v>
      </c>
      <c r="I722" s="72">
        <f>SUMIF(Adat!$AH:$AH,CONCATENATE(Info!$D$5,"(ÁIG)","091111",L717),Adat!$E:$E)*-1</f>
        <v>0</v>
      </c>
    </row>
    <row r="723" spans="2:9" x14ac:dyDescent="0.2">
      <c r="B723" s="160">
        <v>4</v>
      </c>
      <c r="C723" s="305" t="s">
        <v>1289</v>
      </c>
      <c r="D723" s="82" t="s">
        <v>735</v>
      </c>
      <c r="E723" s="72">
        <f>SUMIF(Adat!$AG:$AG,CONCATENATE(61,Info!$D$5,"091121",L717),Adat!$E:$E)*-1</f>
        <v>0</v>
      </c>
      <c r="F723" s="72">
        <f>SUMIF(Adat!$AG:$AG,CONCATENATE(60,Info!$D$5,"091121",L717),Adat!$E:$E)*-1+E723</f>
        <v>0</v>
      </c>
      <c r="G723" s="72">
        <f>SUMIF(Adat!$AH:$AH,CONCATENATE(Info!$D$5,"(KÖT)","091121",L717),Adat!$E:$E)*-1</f>
        <v>0</v>
      </c>
      <c r="H723" s="72">
        <f>SUMIF(Adat!$AH:$AH,CONCATENATE(Info!$D$5,"(ÖNV)","091121",L717),Adat!$E:$E)*-1</f>
        <v>0</v>
      </c>
      <c r="I723" s="72">
        <f>SUMIF(Adat!$AH:$AH,CONCATENATE(Info!$D$5,"(ÁIG)","091121",L717),Adat!$E:$E)*-1</f>
        <v>0</v>
      </c>
    </row>
    <row r="724" spans="2:9" x14ac:dyDescent="0.2">
      <c r="B724" s="160">
        <v>5</v>
      </c>
      <c r="C724" s="305" t="s">
        <v>1290</v>
      </c>
      <c r="D724" s="82" t="s">
        <v>1326</v>
      </c>
      <c r="E724" s="72">
        <f>SUMIF(Adat!$AG:$AG,CONCATENATE(61,Info!$D$5,"0911311",L717),Adat!$E:$E)*-1</f>
        <v>0</v>
      </c>
      <c r="F724" s="72">
        <f>SUMIF(Adat!$AG:$AG,CONCATENATE(60,Info!$D$5,"0911311",L717),Adat!$E:$E)*-1+E724</f>
        <v>0</v>
      </c>
      <c r="G724" s="72">
        <f>SUMIF(Adat!$AH:$AH,CONCATENATE(Info!$D$5,"(KÖT)","0911311",L717),Adat!$E:$E)*-1</f>
        <v>0</v>
      </c>
      <c r="H724" s="72">
        <f>SUMIF(Adat!$AH:$AH,CONCATENATE(Info!$D$5,"(ÖNV)","0911311",L717),Adat!$E:$E)*-1</f>
        <v>0</v>
      </c>
      <c r="I724" s="72">
        <f>SUMIF(Adat!$AH:$AH,CONCATENATE(Info!$D$5,"(ÁIG)","0911311",L717),Adat!$E:$E)*-1</f>
        <v>0</v>
      </c>
    </row>
    <row r="725" spans="2:9" x14ac:dyDescent="0.2">
      <c r="B725" s="160">
        <v>6</v>
      </c>
      <c r="C725" s="305" t="s">
        <v>1254</v>
      </c>
      <c r="D725" s="82" t="s">
        <v>736</v>
      </c>
      <c r="E725" s="72">
        <f>SUMIF(Adat!$AG:$AG,CONCATENATE(61,Info!$D$5,"0911321",L717),Adat!$E:$E)*-1</f>
        <v>0</v>
      </c>
      <c r="F725" s="72">
        <f>SUMIF(Adat!$AG:$AG,CONCATENATE(60,Info!$D$5,"0911321",L717),Adat!$E:$E)*-1+E725</f>
        <v>0</v>
      </c>
      <c r="G725" s="72">
        <f>SUMIF(Adat!$AH:$AH,CONCATENATE(Info!$D$5,"(KÖT)","0911321",L717),Adat!$E:$E)*-1</f>
        <v>0</v>
      </c>
      <c r="H725" s="72">
        <f>SUMIF(Adat!$AH:$AH,CONCATENATE(Info!$D$5,"(ÖNV)","0911321",L717),Adat!$E:$E)*-1</f>
        <v>0</v>
      </c>
      <c r="I725" s="72">
        <f>SUMIF(Adat!$AH:$AH,CONCATENATE(Info!$D$5,"(ÁIG)","0911321",L717),Adat!$E:$E)*-1</f>
        <v>0</v>
      </c>
    </row>
    <row r="726" spans="2:9" x14ac:dyDescent="0.25">
      <c r="B726" s="160">
        <v>7</v>
      </c>
      <c r="C726" s="305" t="s">
        <v>1291</v>
      </c>
      <c r="D726" s="84" t="s">
        <v>737</v>
      </c>
      <c r="E726" s="72">
        <f>SUMIF(Adat!$AG:$AG,CONCATENATE(61,Info!$D$5,"091141",L717),Adat!$E:$E)*-1</f>
        <v>0</v>
      </c>
      <c r="F726" s="72">
        <f>SUMIF(Adat!$AG:$AG,CONCATENATE(60,Info!$D$5,"091141",L717),Adat!$E:$E)*-1+E726</f>
        <v>0</v>
      </c>
      <c r="G726" s="72">
        <f>SUMIF(Adat!$AH:$AH,CONCATENATE(Info!$D$5,"(KÖT)","091141",L717),Adat!$E:$E)*-1</f>
        <v>0</v>
      </c>
      <c r="H726" s="72">
        <f>SUMIF(Adat!$AH:$AH,CONCATENATE(Info!$D$5,"(ÖNV)","091141",L717),Adat!$E:$E)*-1</f>
        <v>0</v>
      </c>
      <c r="I726" s="72">
        <f>SUMIF(Adat!$AH:$AH,CONCATENATE(Info!$D$5,"(ÁIG)","091141",L717),Adat!$E:$E)*-1</f>
        <v>0</v>
      </c>
    </row>
    <row r="727" spans="2:9" x14ac:dyDescent="0.25">
      <c r="B727" s="160">
        <v>8</v>
      </c>
      <c r="C727" s="305" t="s">
        <v>1312</v>
      </c>
      <c r="D727" s="84" t="s">
        <v>738</v>
      </c>
      <c r="E727" s="72">
        <f>SUMIF(Adat!$AG:$AG,CONCATENATE(61,Info!$D$5,"091151",L717),Adat!$E:$E)*-1</f>
        <v>0</v>
      </c>
      <c r="F727" s="72">
        <f>SUMIF(Adat!$AG:$AG,CONCATENATE(60,Info!$D$5,"091151",L717),Adat!$E:$E)*-1+E727</f>
        <v>0</v>
      </c>
      <c r="G727" s="72">
        <f>SUMIF(Adat!$AH:$AH,CONCATENATE(Info!$D$5,"(KÖT)","091151",L717),Adat!$E:$E)*-1</f>
        <v>0</v>
      </c>
      <c r="H727" s="72">
        <f>SUMIF(Adat!$AH:$AH,CONCATENATE(Info!$D$5,"(ÖNV)","091151",L717),Adat!$E:$E)*-1</f>
        <v>0</v>
      </c>
      <c r="I727" s="72">
        <f>SUMIF(Adat!$AH:$AH,CONCATENATE(Info!$D$5,"(ÁIG)","091151",L717),Adat!$E:$E)*-1</f>
        <v>0</v>
      </c>
    </row>
    <row r="728" spans="2:9" s="42" customFormat="1" x14ac:dyDescent="0.25">
      <c r="B728" s="160">
        <v>9</v>
      </c>
      <c r="C728" s="305" t="s">
        <v>1308</v>
      </c>
      <c r="D728" s="84" t="s">
        <v>233</v>
      </c>
      <c r="E728" s="72">
        <f>SUMIF(Adat!$AG:$AG,CONCATENATE(61,Info!$D$5,"091161",L717),Adat!$E:$E)*-1</f>
        <v>0</v>
      </c>
      <c r="F728" s="72">
        <f>SUMIF(Adat!$AG:$AG,CONCATENATE(60,Info!$D$5,"091161",L717),Adat!$E:$E)*-1+E728</f>
        <v>0</v>
      </c>
      <c r="G728" s="72">
        <f>SUMIF(Adat!$AH:$AH,CONCATENATE(Info!$D$5,"(KÖT)","091161",L717),Adat!$E:$E)*-1</f>
        <v>0</v>
      </c>
      <c r="H728" s="72">
        <f>SUMIF(Adat!$AH:$AH,CONCATENATE(Info!$D$5,"(ÖNV)","091161",L717),Adat!$E:$E)*-1</f>
        <v>0</v>
      </c>
      <c r="I728" s="72">
        <f>SUMIF(Adat!$AH:$AH,CONCATENATE(Info!$D$5,"(ÁIG)","091161",L717),Adat!$E:$E)*-1</f>
        <v>0</v>
      </c>
    </row>
    <row r="729" spans="2:9" s="42" customFormat="1" x14ac:dyDescent="0.25">
      <c r="B729" s="160">
        <v>10</v>
      </c>
      <c r="C729" s="78" t="s">
        <v>1328</v>
      </c>
      <c r="D729" s="85" t="s">
        <v>437</v>
      </c>
      <c r="E729" s="71">
        <f>SUM(E730:E734)</f>
        <v>0</v>
      </c>
      <c r="F729" s="71">
        <f t="shared" ref="F729" si="76">SUM(F730:F734)</f>
        <v>0</v>
      </c>
      <c r="G729" s="71">
        <f>SUM(G730:G734)</f>
        <v>0</v>
      </c>
      <c r="H729" s="71">
        <f t="shared" ref="H729:I729" si="77">SUM(H730:H734)</f>
        <v>0</v>
      </c>
      <c r="I729" s="71">
        <f t="shared" si="77"/>
        <v>0</v>
      </c>
    </row>
    <row r="730" spans="2:9" s="42" customFormat="1" x14ac:dyDescent="0.2">
      <c r="B730" s="160">
        <v>11</v>
      </c>
      <c r="C730" s="305" t="s">
        <v>1329</v>
      </c>
      <c r="D730" s="82" t="s">
        <v>1330</v>
      </c>
      <c r="E730" s="72">
        <f>SUMIF(Adat!$AG:$AG,CONCATENATE(61,Info!$D$5,"09121",L717),Adat!$E:$E)*-1</f>
        <v>0</v>
      </c>
      <c r="F730" s="72">
        <f>SUMIF(Adat!$AG:$AG,CONCATENATE(60,Info!$D$5,"09121",L717),Adat!$E:$E)*-1+E730</f>
        <v>0</v>
      </c>
      <c r="G730" s="72">
        <f>SUMIF(Adat!$AH:$AH,CONCATENATE(Info!$D$5,"(KÖT)","09121",L717),Adat!$E:$E)*-1</f>
        <v>0</v>
      </c>
      <c r="H730" s="72">
        <f>SUMIF(Adat!$AH:$AH,CONCATENATE(Info!$D$5,"(ÖNV)","09121",L717),Adat!$E:$E)*-1</f>
        <v>0</v>
      </c>
      <c r="I730" s="72">
        <f>SUMIF(Adat!$AH:$AH,CONCATENATE(Info!$D$5,"(ÁIG)","09121",L717),Adat!$E:$E)*-1</f>
        <v>0</v>
      </c>
    </row>
    <row r="731" spans="2:9" s="42" customFormat="1" x14ac:dyDescent="0.2">
      <c r="B731" s="160">
        <v>12</v>
      </c>
      <c r="C731" s="305" t="s">
        <v>1331</v>
      </c>
      <c r="D731" s="82" t="s">
        <v>1332</v>
      </c>
      <c r="E731" s="72">
        <f>SUMIF(Adat!$AG:$AG,CONCATENATE(61,Info!$D$5,"09131",L717),Adat!$E:$E)*-1</f>
        <v>0</v>
      </c>
      <c r="F731" s="72">
        <f>SUMIF(Adat!$AG:$AG,CONCATENATE(60,Info!$D$5,"09131",L717),Adat!$E:$E)*-1+E731</f>
        <v>0</v>
      </c>
      <c r="G731" s="72">
        <f>SUMIF(Adat!$AH:$AH,CONCATENATE(Info!$D$5,"(KÖT)","09131",L717),Adat!$E:$E)*-1</f>
        <v>0</v>
      </c>
      <c r="H731" s="72">
        <f>SUMIF(Adat!$AH:$AH,CONCATENATE(Info!$D$5,"(ÖNV)","09131",L717),Adat!$E:$E)*-1</f>
        <v>0</v>
      </c>
      <c r="I731" s="72">
        <f>SUMIF(Adat!$AH:$AH,CONCATENATE(Info!$D$5,"(ÁIG)","09131",L717),Adat!$E:$E)*-1</f>
        <v>0</v>
      </c>
    </row>
    <row r="732" spans="2:9" s="42" customFormat="1" x14ac:dyDescent="0.2">
      <c r="B732" s="160">
        <v>13</v>
      </c>
      <c r="C732" s="305" t="s">
        <v>1333</v>
      </c>
      <c r="D732" s="82" t="s">
        <v>1334</v>
      </c>
      <c r="E732" s="72">
        <f>SUMIF(Adat!$AG:$AG,CONCATENATE(61,Info!$D$5,"09141",L717),Adat!$E:$E)*-1</f>
        <v>0</v>
      </c>
      <c r="F732" s="72">
        <f>SUMIF(Adat!$AG:$AG,CONCATENATE(60,Info!$D$5,"09141",L717),Adat!$E:$E)*-1+E732</f>
        <v>0</v>
      </c>
      <c r="G732" s="72">
        <f>SUMIF(Adat!$AH:$AH,CONCATENATE(Info!$D$5,"(KÖT)","09141",L717),Adat!$E:$E)*-1</f>
        <v>0</v>
      </c>
      <c r="H732" s="72">
        <f>SUMIF(Adat!$AH:$AH,CONCATENATE(Info!$D$5,"(ÖNV)","09141",L717),Adat!$E:$E)*-1</f>
        <v>0</v>
      </c>
      <c r="I732" s="72">
        <f>SUMIF(Adat!$AH:$AH,CONCATENATE(Info!$D$5,"(ÁIG)","09141",L717),Adat!$E:$E)*-1</f>
        <v>0</v>
      </c>
    </row>
    <row r="733" spans="2:9" s="42" customFormat="1" x14ac:dyDescent="0.2">
      <c r="B733" s="160">
        <v>14</v>
      </c>
      <c r="C733" s="305" t="s">
        <v>1335</v>
      </c>
      <c r="D733" s="82" t="s">
        <v>1336</v>
      </c>
      <c r="E733" s="72">
        <f>SUMIF(Adat!$AG:$AG,CONCATENATE(61,Info!$D$5,"09151",L717),Adat!$E:$E)*-1</f>
        <v>0</v>
      </c>
      <c r="F733" s="72">
        <f>SUMIF(Adat!$AG:$AG,CONCATENATE(60,Info!$D$5,"09151",L717),Adat!$E:$E)*-1+E733</f>
        <v>0</v>
      </c>
      <c r="G733" s="72">
        <f>SUMIF(Adat!$AH:$AH,CONCATENATE(Info!$D$5,"(KÖT)","09151",L717),Adat!$E:$E)*-1</f>
        <v>0</v>
      </c>
      <c r="H733" s="72">
        <f>SUMIF(Adat!$AH:$AH,CONCATENATE(Info!$D$5,"(ÖNV)","09151",L717),Adat!$E:$E)*-1</f>
        <v>0</v>
      </c>
      <c r="I733" s="72">
        <f>SUMIF(Adat!$AH:$AH,CONCATENATE(Info!$D$5,"(ÁIG)","09151",L717),Adat!$E:$E)*-1</f>
        <v>0</v>
      </c>
    </row>
    <row r="734" spans="2:9" s="42" customFormat="1" x14ac:dyDescent="0.2">
      <c r="B734" s="160">
        <v>15</v>
      </c>
      <c r="C734" s="305" t="s">
        <v>1278</v>
      </c>
      <c r="D734" s="82" t="s">
        <v>1337</v>
      </c>
      <c r="E734" s="72">
        <f>SUMIF(Adat!$AG:$AG,CONCATENATE(61,Info!$D$5,"09161",L717),Adat!$E:$E)*-1</f>
        <v>0</v>
      </c>
      <c r="F734" s="72">
        <f>SUMIF(Adat!$AG:$AG,CONCATENATE(60,Info!$D$5,"09161",L717),Adat!$E:$E)*-1+E734</f>
        <v>0</v>
      </c>
      <c r="G734" s="72">
        <f>SUMIF(Adat!$AH:$AH,CONCATENATE(Info!$D$5,"(KÖT)","09161",L717),Adat!$E:$E)*-1</f>
        <v>0</v>
      </c>
      <c r="H734" s="72">
        <f>SUMIF(Adat!$AH:$AH,CONCATENATE(Info!$D$5,"(ÖNV)","09161",L717),Adat!$E:$E)*-1</f>
        <v>0</v>
      </c>
      <c r="I734" s="72">
        <f>SUMIF(Adat!$AH:$AH,CONCATENATE(Info!$D$5,"(ÁIG)","09161",L717),Adat!$E:$E)*-1</f>
        <v>0</v>
      </c>
    </row>
    <row r="735" spans="2:9" x14ac:dyDescent="0.25">
      <c r="B735" s="160">
        <v>16</v>
      </c>
      <c r="C735" s="79" t="s">
        <v>24</v>
      </c>
      <c r="D735" s="79" t="s">
        <v>449</v>
      </c>
      <c r="E735" s="71">
        <f t="shared" ref="E735:F735" si="78">SUM(E736:E740)</f>
        <v>0</v>
      </c>
      <c r="F735" s="71">
        <f t="shared" si="78"/>
        <v>0</v>
      </c>
      <c r="G735" s="71">
        <f>SUM(G736:G740)</f>
        <v>0</v>
      </c>
      <c r="H735" s="71">
        <f t="shared" ref="H735:I735" si="79">SUM(H736:H740)</f>
        <v>0</v>
      </c>
      <c r="I735" s="71">
        <f t="shared" si="79"/>
        <v>0</v>
      </c>
    </row>
    <row r="736" spans="2:9" x14ac:dyDescent="0.2">
      <c r="B736" s="160">
        <v>17</v>
      </c>
      <c r="C736" s="305" t="s">
        <v>1339</v>
      </c>
      <c r="D736" s="82" t="s">
        <v>1340</v>
      </c>
      <c r="E736" s="72">
        <f>SUMIF(Adat!$AG:$AG,CONCATENATE(61,Info!$D$5,"09211",L717),Adat!$E:$E)*-1</f>
        <v>0</v>
      </c>
      <c r="F736" s="72">
        <f>SUMIF(Adat!$AG:$AG,CONCATENATE(60,Info!$D$5,"09211",L717),Adat!$E:$E)*-1+E736</f>
        <v>0</v>
      </c>
      <c r="G736" s="72">
        <f>SUMIF(Adat!$AH:$AH,CONCATENATE(Info!$D$5,"(KÖT)","09211",L717),Adat!$E:$E)*-1</f>
        <v>0</v>
      </c>
      <c r="H736" s="72">
        <f>SUMIF(Adat!$AH:$AH,CONCATENATE(Info!$D$5,"(ÖNV)","09211",L717),Adat!$E:$E)*-1</f>
        <v>0</v>
      </c>
      <c r="I736" s="72">
        <f>SUMIF(Adat!$AH:$AH,CONCATENATE(Info!$D$5,"(ÁIG)","09211",L717),Adat!$E:$E)*-1</f>
        <v>0</v>
      </c>
    </row>
    <row r="737" spans="2:9" s="42" customFormat="1" x14ac:dyDescent="0.2">
      <c r="B737" s="160">
        <v>18</v>
      </c>
      <c r="C737" s="305" t="s">
        <v>1341</v>
      </c>
      <c r="D737" s="82" t="s">
        <v>1342</v>
      </c>
      <c r="E737" s="72">
        <f>SUMIF(Adat!$AG:$AG,CONCATENATE(61,Info!$D$5,"09221",L717),Adat!$E:$E)*-1</f>
        <v>0</v>
      </c>
      <c r="F737" s="72">
        <f>SUMIF(Adat!$AG:$AG,CONCATENATE(60,Info!$D$5,"09221",L717),Adat!$E:$E)*-1+E737</f>
        <v>0</v>
      </c>
      <c r="G737" s="72">
        <f>SUMIF(Adat!$AH:$AH,CONCATENATE(Info!$D$5,"(KÖT)","09221",L717),Adat!$E:$E)*-1</f>
        <v>0</v>
      </c>
      <c r="H737" s="72">
        <f>SUMIF(Adat!$AH:$AH,CONCATENATE(Info!$D$5,"(ÖNV)","09221",L717),Adat!$E:$E)*-1</f>
        <v>0</v>
      </c>
      <c r="I737" s="72">
        <f>SUMIF(Adat!$AH:$AH,CONCATENATE(Info!$D$5,"(ÁIG)","09221",L717),Adat!$E:$E)*-1</f>
        <v>0</v>
      </c>
    </row>
    <row r="738" spans="2:9" x14ac:dyDescent="0.2">
      <c r="B738" s="160">
        <v>19</v>
      </c>
      <c r="C738" s="305" t="s">
        <v>1343</v>
      </c>
      <c r="D738" s="82" t="s">
        <v>1344</v>
      </c>
      <c r="E738" s="72">
        <f>SUMIF(Adat!$AG:$AG,CONCATENATE(61,Info!$D$5,"09231",L717),Adat!$E:$E)*-1</f>
        <v>0</v>
      </c>
      <c r="F738" s="72">
        <f>SUMIF(Adat!$AG:$AG,CONCATENATE(60,Info!$D$5,"09231",L717),Adat!$E:$E)*-1+E738</f>
        <v>0</v>
      </c>
      <c r="G738" s="72">
        <f>SUMIF(Adat!$AH:$AH,CONCATENATE(Info!$D$5,"(KÖT)","09231",L717),Adat!$E:$E)*-1</f>
        <v>0</v>
      </c>
      <c r="H738" s="72">
        <f>SUMIF(Adat!$AH:$AH,CONCATENATE(Info!$D$5,"(ÖNV)","09231",L717),Adat!$E:$E)*-1</f>
        <v>0</v>
      </c>
      <c r="I738" s="72">
        <f>SUMIF(Adat!$AH:$AH,CONCATENATE(Info!$D$5,"(ÁIG)","09231",L717),Adat!$E:$E)*-1</f>
        <v>0</v>
      </c>
    </row>
    <row r="739" spans="2:9" x14ac:dyDescent="0.2">
      <c r="B739" s="160">
        <v>20</v>
      </c>
      <c r="C739" s="305" t="s">
        <v>1345</v>
      </c>
      <c r="D739" s="82" t="s">
        <v>1346</v>
      </c>
      <c r="E739" s="72">
        <f>SUMIF(Adat!$AG:$AG,CONCATENATE(61,Info!$D$5,"09241",L717),Adat!$E:$E)*-1</f>
        <v>0</v>
      </c>
      <c r="F739" s="72">
        <f>SUMIF(Adat!$AG:$AG,CONCATENATE(60,Info!$D$5,"09241",L717),Adat!$E:$E)*-1+E739</f>
        <v>0</v>
      </c>
      <c r="G739" s="72">
        <f>SUMIF(Adat!$AH:$AH,CONCATENATE(Info!$D$5,"(KÖT)","09241",L717),Adat!$E:$E)*-1</f>
        <v>0</v>
      </c>
      <c r="H739" s="72">
        <f>SUMIF(Adat!$AH:$AH,CONCATENATE(Info!$D$5,"(ÖNV)","09241",L717),Adat!$E:$E)*-1</f>
        <v>0</v>
      </c>
      <c r="I739" s="72">
        <f>SUMIF(Adat!$AH:$AH,CONCATENATE(Info!$D$5,"(ÁIG)","09241",L717),Adat!$E:$E)*-1</f>
        <v>0</v>
      </c>
    </row>
    <row r="740" spans="2:9" x14ac:dyDescent="0.2">
      <c r="B740" s="160">
        <v>21</v>
      </c>
      <c r="C740" s="305" t="s">
        <v>1255</v>
      </c>
      <c r="D740" s="82" t="s">
        <v>1347</v>
      </c>
      <c r="E740" s="72">
        <f>SUMIF(Adat!$AG:$AG,CONCATENATE(61,Info!$D$5,"09251",L717),Adat!$E:$E)*-1</f>
        <v>0</v>
      </c>
      <c r="F740" s="72">
        <f>SUMIF(Adat!$AG:$AG,CONCATENATE(60,Info!$D$5,"09251",L717),Adat!$E:$E)*-1+E740</f>
        <v>0</v>
      </c>
      <c r="G740" s="72">
        <f>SUMIF(Adat!$AH:$AH,CONCATENATE(Info!$D$5,"(KÖT)","09251",L717),Adat!$E:$E)*-1</f>
        <v>0</v>
      </c>
      <c r="H740" s="72">
        <f>SUMIF(Adat!$AH:$AH,CONCATENATE(Info!$D$5,"(ÖNV)","09251",L717),Adat!$E:$E)*-1</f>
        <v>0</v>
      </c>
      <c r="I740" s="72">
        <f>SUMIF(Adat!$AH:$AH,CONCATENATE(Info!$D$5,"(ÁIG)","09251",L717),Adat!$E:$E)*-1</f>
        <v>0</v>
      </c>
    </row>
    <row r="741" spans="2:9" x14ac:dyDescent="0.25">
      <c r="B741" s="160">
        <v>22</v>
      </c>
      <c r="C741" s="79" t="s">
        <v>27</v>
      </c>
      <c r="D741" s="79" t="s">
        <v>328</v>
      </c>
      <c r="E741" s="71">
        <f>SUM(E742:E747)</f>
        <v>0</v>
      </c>
      <c r="F741" s="71">
        <f>SUM(F742:F747)</f>
        <v>0</v>
      </c>
      <c r="G741" s="71">
        <f>SUM(G742:G747)</f>
        <v>0</v>
      </c>
      <c r="H741" s="71">
        <f>SUM(H742:H747)</f>
        <v>0</v>
      </c>
      <c r="I741" s="71">
        <f>SUM(I742:I747)</f>
        <v>0</v>
      </c>
    </row>
    <row r="742" spans="2:9" x14ac:dyDescent="0.2">
      <c r="B742" s="160">
        <v>23</v>
      </c>
      <c r="C742" s="305" t="s">
        <v>1348</v>
      </c>
      <c r="D742" s="82" t="s">
        <v>1349</v>
      </c>
      <c r="E742" s="72">
        <f>SUMIF(Adat!$AG:$AG,CONCATENATE(61,Info!$D$5,"093111",L717),Adat!$E:$E)*-1</f>
        <v>0</v>
      </c>
      <c r="F742" s="72">
        <f>SUMIF(Adat!$AG:$AG,CONCATENATE(60,Info!$D$5,"093111",L717),Adat!$E:$E)*-1+E742</f>
        <v>0</v>
      </c>
      <c r="G742" s="72">
        <f>SUMIF(Adat!$AH:$AH,CONCATENATE(Info!$D$5,"(KÖT)","093111",L717),Adat!$E:$E)*-1</f>
        <v>0</v>
      </c>
      <c r="H742" s="72">
        <f>SUMIF(Adat!$AH:$AH,CONCATENATE(Info!$D$5,"(ÖNV)","093111",L717),Adat!$E:$E)*-1</f>
        <v>0</v>
      </c>
      <c r="I742" s="72">
        <f>SUMIF(Adat!$AH:$AH,CONCATENATE(Info!$D$5,"(ÁIG)","093111",L717),Adat!$E:$E)*-1</f>
        <v>0</v>
      </c>
    </row>
    <row r="743" spans="2:9" x14ac:dyDescent="0.2">
      <c r="B743" s="160">
        <v>24</v>
      </c>
      <c r="C743" s="305" t="s">
        <v>1259</v>
      </c>
      <c r="D743" s="82" t="s">
        <v>1350</v>
      </c>
      <c r="E743" s="72">
        <f>SUMIF(Adat!$AG:$AG,CONCATENATE(61,Info!$D$5,"09341",L717),Adat!$E:$E)*-1</f>
        <v>0</v>
      </c>
      <c r="F743" s="72">
        <f>SUMIF(Adat!$AG:$AG,CONCATENATE(60,Info!$D$5,"09341",L717),Adat!$E:$E)*-1+E743</f>
        <v>0</v>
      </c>
      <c r="G743" s="72">
        <f>SUMIF(Adat!$AH:$AH,CONCATENATE(Info!$D$5,"(KÖT)","09341",L717),Adat!$E:$E)*-1</f>
        <v>0</v>
      </c>
      <c r="H743" s="72">
        <f>SUMIF(Adat!$AH:$AH,CONCATENATE(Info!$D$5,"(ÖNV)","09341",L717),Adat!$E:$E)*-1</f>
        <v>0</v>
      </c>
      <c r="I743" s="72">
        <f>SUMIF(Adat!$AH:$AH,CONCATENATE(Info!$D$5,"(ÁIG)","09341",L717),Adat!$E:$E)*-1</f>
        <v>0</v>
      </c>
    </row>
    <row r="744" spans="2:9" x14ac:dyDescent="0.2">
      <c r="B744" s="160">
        <v>25</v>
      </c>
      <c r="C744" s="305" t="s">
        <v>1260</v>
      </c>
      <c r="D744" s="82" t="s">
        <v>1351</v>
      </c>
      <c r="E744" s="72">
        <f>SUMIF(Adat!$AG:$AG,CONCATENATE(61,Info!$D$5,"093511",L717),Adat!$E:$E)*-1</f>
        <v>0</v>
      </c>
      <c r="F744" s="72">
        <f>SUMIF(Adat!$AG:$AG,CONCATENATE(60,Info!$D$5,"093511",L717),Adat!$E:$E)*-1+E744</f>
        <v>0</v>
      </c>
      <c r="G744" s="72">
        <f>SUMIF(Adat!$AH:$AH,CONCATENATE(Info!$D$5,"(KÖT)","093511",L717),Adat!$E:$E)*-1</f>
        <v>0</v>
      </c>
      <c r="H744" s="72">
        <f>SUMIF(Adat!$AH:$AH,CONCATENATE(Info!$D$5,"(ÖNV)","093511",L717),Adat!$E:$E)*-1</f>
        <v>0</v>
      </c>
      <c r="I744" s="72">
        <f>SUMIF(Adat!$AH:$AH,CONCATENATE(Info!$D$5,"(ÁIG)","093511",L717),Adat!$E:$E)*-1</f>
        <v>0</v>
      </c>
    </row>
    <row r="745" spans="2:9" x14ac:dyDescent="0.2">
      <c r="B745" s="160">
        <v>26</v>
      </c>
      <c r="C745" s="305" t="s">
        <v>1352</v>
      </c>
      <c r="D745" s="82" t="s">
        <v>1353</v>
      </c>
      <c r="E745" s="72">
        <f>SUMIF(Adat!$AG:$AG,CONCATENATE(61,Info!$D$5,"093521",L717),Adat!$E:$E)*-1</f>
        <v>0</v>
      </c>
      <c r="F745" s="72">
        <f>SUMIF(Adat!$AG:$AG,CONCATENATE(60,Info!$D$5,"093521",L717),Adat!$E:$E)*-1+E745</f>
        <v>0</v>
      </c>
      <c r="G745" s="72">
        <f>SUMIF(Adat!$AH:$AH,CONCATENATE(Info!$D$5,"(KÖT)","093521",L717),Adat!$E:$E)*-1</f>
        <v>0</v>
      </c>
      <c r="H745" s="72">
        <f>SUMIF(Adat!$AH:$AH,CONCATENATE(Info!$D$5,"(ÖNV)","093521",L717),Adat!$E:$E)*-1</f>
        <v>0</v>
      </c>
      <c r="I745" s="72">
        <f>SUMIF(Adat!$AH:$AH,CONCATENATE(Info!$D$5,"(ÁIG)","093521",L717),Adat!$E:$E)*-1</f>
        <v>0</v>
      </c>
    </row>
    <row r="746" spans="2:9" x14ac:dyDescent="0.2">
      <c r="B746" s="160">
        <v>27</v>
      </c>
      <c r="C746" s="305" t="s">
        <v>1292</v>
      </c>
      <c r="D746" s="82" t="s">
        <v>1354</v>
      </c>
      <c r="E746" s="72">
        <f>SUMIF(Adat!$AG:$AG,CONCATENATE(61,Info!$D$5,"093551",L717),Adat!$E:$E)*-1</f>
        <v>0</v>
      </c>
      <c r="F746" s="72">
        <f>SUMIF(Adat!$AG:$AG,CONCATENATE(60,Info!$D$5,"093551",L717),Adat!$E:$E)*-1+E746</f>
        <v>0</v>
      </c>
      <c r="G746" s="72">
        <f>SUMIF(Adat!$AH:$AH,CONCATENATE(Info!$D$5,"(KÖT)","093551",L717),Adat!$E:$E)*-1</f>
        <v>0</v>
      </c>
      <c r="H746" s="72">
        <f>SUMIF(Adat!$AH:$AH,CONCATENATE(Info!$D$5,"(ÖNV)","093551",L717),Adat!$E:$E)*-1</f>
        <v>0</v>
      </c>
      <c r="I746" s="72">
        <f>SUMIF(Adat!$AH:$AH,CONCATENATE(Info!$D$5,"(ÁIG)","093551",L717),Adat!$E:$E)*-1</f>
        <v>0</v>
      </c>
    </row>
    <row r="747" spans="2:9" x14ac:dyDescent="0.2">
      <c r="B747" s="160">
        <v>28</v>
      </c>
      <c r="C747" s="305" t="s">
        <v>1293</v>
      </c>
      <c r="D747" s="82" t="s">
        <v>1355</v>
      </c>
      <c r="E747" s="72">
        <f>SUMIF(Adat!$AG:$AG,CONCATENATE(61,Info!$D$5,"09361",L717),Adat!$E:$E)*-1</f>
        <v>0</v>
      </c>
      <c r="F747" s="72">
        <f>SUMIF(Adat!$AG:$AG,CONCATENATE(60,Info!$D$5,"09361",L717),Adat!$E:$E)*-1+E747</f>
        <v>0</v>
      </c>
      <c r="G747" s="72">
        <f>SUMIF(Adat!$AH:$AH,CONCATENATE(Info!$D$5,"(KÖT)","09361",L717),Adat!$E:$E)*-1</f>
        <v>0</v>
      </c>
      <c r="H747" s="72">
        <f>SUMIF(Adat!$AH:$AH,CONCATENATE(Info!$D$5,"(ÖNV)","09361",L717),Adat!$E:$E)*-1</f>
        <v>0</v>
      </c>
      <c r="I747" s="72">
        <f>SUMIF(Adat!$AH:$AH,CONCATENATE(Info!$D$5,"(ÁIG)","09361",L717),Adat!$E:$E)*-1</f>
        <v>0</v>
      </c>
    </row>
    <row r="748" spans="2:9" x14ac:dyDescent="0.25">
      <c r="B748" s="160">
        <v>29</v>
      </c>
      <c r="C748" s="79" t="s">
        <v>30</v>
      </c>
      <c r="D748" s="79" t="s">
        <v>329</v>
      </c>
      <c r="E748" s="71">
        <f>SUM(E749:E761)</f>
        <v>0</v>
      </c>
      <c r="F748" s="71">
        <f t="shared" ref="F748:I748" si="80">SUM(F749:F761)</f>
        <v>0</v>
      </c>
      <c r="G748" s="71">
        <f t="shared" si="80"/>
        <v>0</v>
      </c>
      <c r="H748" s="71">
        <f t="shared" si="80"/>
        <v>0</v>
      </c>
      <c r="I748" s="71">
        <f t="shared" si="80"/>
        <v>0</v>
      </c>
    </row>
    <row r="749" spans="2:9" x14ac:dyDescent="0.2">
      <c r="B749" s="160">
        <v>30</v>
      </c>
      <c r="C749" s="305" t="s">
        <v>1309</v>
      </c>
      <c r="D749" s="82" t="s">
        <v>1356</v>
      </c>
      <c r="E749" s="72">
        <f>SUMIF(Adat!$AG:$AG,CONCATENATE(61,Info!$D$5,"094011",L717),Adat!$E:$E)*-1</f>
        <v>0</v>
      </c>
      <c r="F749" s="72">
        <f>SUMIF(Adat!$AG:$AG,CONCATENATE(60,Info!$D$5,"094011",L717),Adat!$E:$E)*-1+E749</f>
        <v>0</v>
      </c>
      <c r="G749" s="72">
        <f>SUMIF(Adat!$AH:$AH,CONCATENATE(Info!$D$5,"(KÖT)","094011",L717),Adat!$E:$E)*-1</f>
        <v>0</v>
      </c>
      <c r="H749" s="72">
        <f>SUMIF(Adat!$AH:$AH,CONCATENATE(Info!$D$5,"(ÖNV)","094011",L717),Adat!$E:$E)*-1</f>
        <v>0</v>
      </c>
      <c r="I749" s="72">
        <f>SUMIF(Adat!$AH:$AH,CONCATENATE(Info!$D$5,"(ÁIG)","094011",L717),Adat!$E:$E)*-1</f>
        <v>0</v>
      </c>
    </row>
    <row r="750" spans="2:9" x14ac:dyDescent="0.2">
      <c r="B750" s="160">
        <v>31</v>
      </c>
      <c r="C750" s="305" t="s">
        <v>1279</v>
      </c>
      <c r="D750" s="82" t="s">
        <v>1357</v>
      </c>
      <c r="E750" s="72">
        <f>SUMIF(Adat!$AG:$AG,CONCATENATE(61,Info!$D$5,"094021",L717),Adat!$E:$E)*-1</f>
        <v>0</v>
      </c>
      <c r="F750" s="72">
        <f>SUMIF(Adat!$AG:$AG,CONCATENATE(60,Info!$D$5,"094021",L717),Adat!$E:$E)*-1+E750</f>
        <v>0</v>
      </c>
      <c r="G750" s="72">
        <f>SUMIF(Adat!$AH:$AH,CONCATENATE(Info!$D$5,"(KÖT)","094021",L717),Adat!$E:$E)*-1</f>
        <v>0</v>
      </c>
      <c r="H750" s="72">
        <f>SUMIF(Adat!$AH:$AH,CONCATENATE(Info!$D$5,"(ÖNV)","094021",L717),Adat!$E:$E)*-1</f>
        <v>0</v>
      </c>
      <c r="I750" s="72">
        <f>SUMIF(Adat!$AH:$AH,CONCATENATE(Info!$D$5,"(ÁIG)","094021",L717),Adat!$E:$E)*-1</f>
        <v>0</v>
      </c>
    </row>
    <row r="751" spans="2:9" x14ac:dyDescent="0.2">
      <c r="B751" s="160">
        <v>32</v>
      </c>
      <c r="C751" s="305" t="s">
        <v>1272</v>
      </c>
      <c r="D751" s="82" t="s">
        <v>1358</v>
      </c>
      <c r="E751" s="72">
        <f>SUMIF(Adat!$AG:$AG,CONCATENATE(61,Info!$D$5,"094031",L717),Adat!$E:$E)*-1</f>
        <v>0</v>
      </c>
      <c r="F751" s="72">
        <f>SUMIF(Adat!$AG:$AG,CONCATENATE(60,Info!$D$5,"094031",L717),Adat!$E:$E)*-1+E751</f>
        <v>0</v>
      </c>
      <c r="G751" s="72">
        <f>SUMIF(Adat!$AH:$AH,CONCATENATE(Info!$D$5,"(KÖT)","094031",L717),Adat!$E:$E)*-1</f>
        <v>0</v>
      </c>
      <c r="H751" s="72">
        <f>SUMIF(Adat!$AH:$AH,CONCATENATE(Info!$D$5,"(ÖNV)","094031",L717),Adat!$E:$E)*-1</f>
        <v>0</v>
      </c>
      <c r="I751" s="72">
        <f>SUMIF(Adat!$AH:$AH,CONCATENATE(Info!$D$5,"(ÁIG)","094031",L717),Adat!$E:$E)*-1</f>
        <v>0</v>
      </c>
    </row>
    <row r="752" spans="2:9" x14ac:dyDescent="0.2">
      <c r="B752" s="160">
        <v>33</v>
      </c>
      <c r="C752" s="305" t="s">
        <v>1359</v>
      </c>
      <c r="D752" s="82" t="s">
        <v>1360</v>
      </c>
      <c r="E752" s="72">
        <f>SUMIF(Adat!$AG:$AG,CONCATENATE(61,Info!$D$5,"094041",L717),Adat!$E:$E)*-1</f>
        <v>0</v>
      </c>
      <c r="F752" s="72">
        <f>SUMIF(Adat!$AG:$AG,CONCATENATE(60,Info!$D$5,"094041",L717),Adat!$E:$E)*-1+E752</f>
        <v>0</v>
      </c>
      <c r="G752" s="72">
        <f>SUMIF(Adat!$AH:$AH,CONCATENATE(Info!$D$5,"(KÖT)","094041",L717),Adat!$E:$E)*-1</f>
        <v>0</v>
      </c>
      <c r="H752" s="72">
        <f>SUMIF(Adat!$AH:$AH,CONCATENATE(Info!$D$5,"(ÖNV)","094041",L717),Adat!$E:$E)*-1</f>
        <v>0</v>
      </c>
      <c r="I752" s="72">
        <f>SUMIF(Adat!$AH:$AH,CONCATENATE(Info!$D$5,"(ÁIG)","094041",L717),Adat!$E:$E)*-1</f>
        <v>0</v>
      </c>
    </row>
    <row r="753" spans="2:9" x14ac:dyDescent="0.2">
      <c r="B753" s="160">
        <v>34</v>
      </c>
      <c r="C753" s="305" t="s">
        <v>1261</v>
      </c>
      <c r="D753" s="82" t="s">
        <v>1361</v>
      </c>
      <c r="E753" s="72">
        <f>SUMIF(Adat!$AG:$AG,CONCATENATE(61,Info!$D$5,"094051",L717),Adat!$E:$E)*-1</f>
        <v>0</v>
      </c>
      <c r="F753" s="72">
        <f>SUMIF(Adat!$AG:$AG,CONCATENATE(60,Info!$D$5,"094051",L717),Adat!$E:$E)*-1+E753</f>
        <v>0</v>
      </c>
      <c r="G753" s="72">
        <f>SUMIF(Adat!$AH:$AH,CONCATENATE(Info!$D$5,"(KÖT)","094051",L717),Adat!$E:$E)*-1</f>
        <v>0</v>
      </c>
      <c r="H753" s="72">
        <f>SUMIF(Adat!$AH:$AH,CONCATENATE(Info!$D$5,"(ÖNV)","094051",L717),Adat!$E:$E)*-1</f>
        <v>0</v>
      </c>
      <c r="I753" s="72">
        <f>SUMIF(Adat!$AH:$AH,CONCATENATE(Info!$D$5,"(ÁIG)","094051",L717),Adat!$E:$E)*-1</f>
        <v>0</v>
      </c>
    </row>
    <row r="754" spans="2:9" x14ac:dyDescent="0.2">
      <c r="B754" s="160">
        <v>35</v>
      </c>
      <c r="C754" s="305" t="s">
        <v>1273</v>
      </c>
      <c r="D754" s="82" t="s">
        <v>1362</v>
      </c>
      <c r="E754" s="72">
        <f>SUMIF(Adat!$AG:$AG,CONCATENATE(61,Info!$D$5,"094061",L717),Adat!$E:$E)*-1</f>
        <v>0</v>
      </c>
      <c r="F754" s="72">
        <f>SUMIF(Adat!$AG:$AG,CONCATENATE(60,Info!$D$5,"094061",L717),Adat!$E:$E)*-1+E754</f>
        <v>0</v>
      </c>
      <c r="G754" s="72">
        <f>SUMIF(Adat!$AH:$AH,CONCATENATE(Info!$D$5,"(KÖT)","094061",L717),Adat!$E:$E)*-1</f>
        <v>0</v>
      </c>
      <c r="H754" s="72">
        <f>SUMIF(Adat!$AH:$AH,CONCATENATE(Info!$D$5,"(ÖNV)","094061",L717),Adat!$E:$E)*-1</f>
        <v>0</v>
      </c>
      <c r="I754" s="72">
        <f>SUMIF(Adat!$AH:$AH,CONCATENATE(Info!$D$5,"(ÁIG)","094061",L717),Adat!$E:$E)*-1</f>
        <v>0</v>
      </c>
    </row>
    <row r="755" spans="2:9" x14ac:dyDescent="0.2">
      <c r="B755" s="160">
        <v>36</v>
      </c>
      <c r="C755" s="305" t="s">
        <v>1363</v>
      </c>
      <c r="D755" s="82" t="s">
        <v>1364</v>
      </c>
      <c r="E755" s="72">
        <f>SUMIF(Adat!$AG:$AG,CONCATENATE(61,Info!$D$5,"094071",L717),Adat!$E:$E)*-1</f>
        <v>0</v>
      </c>
      <c r="F755" s="72">
        <f>SUMIF(Adat!$AG:$AG,CONCATENATE(60,Info!$D$5,"094071",L717),Adat!$E:$E)*-1+E755</f>
        <v>0</v>
      </c>
      <c r="G755" s="72">
        <f>SUMIF(Adat!$AH:$AH,CONCATENATE(Info!$D$5,"(KÖT)","094071",L717),Adat!$E:$E)*-1</f>
        <v>0</v>
      </c>
      <c r="H755" s="72">
        <f>SUMIF(Adat!$AH:$AH,CONCATENATE(Info!$D$5,"(ÖNV)","094071",L717),Adat!$E:$E)*-1</f>
        <v>0</v>
      </c>
      <c r="I755" s="72">
        <f>SUMIF(Adat!$AH:$AH,CONCATENATE(Info!$D$5,"(ÁIG)","094071",L717),Adat!$E:$E)*-1</f>
        <v>0</v>
      </c>
    </row>
    <row r="756" spans="2:9" x14ac:dyDescent="0.2">
      <c r="B756" s="160">
        <v>37</v>
      </c>
      <c r="C756" s="305" t="s">
        <v>1306</v>
      </c>
      <c r="D756" s="82" t="s">
        <v>1365</v>
      </c>
      <c r="E756" s="72">
        <f>SUMIF(Adat!$AG:$AG,CONCATENATE(61,Info!$D$5,"0940811",L717),Adat!$E:$E)*-1</f>
        <v>0</v>
      </c>
      <c r="F756" s="72">
        <f>SUMIF(Adat!$AG:$AG,CONCATENATE(60,Info!$D$5,"0940811",L717),Adat!$E:$E)*-1+E756</f>
        <v>0</v>
      </c>
      <c r="G756" s="72">
        <f>SUMIF(Adat!$AH:$AH,CONCATENATE(Info!$D$5,"(KÖT)","0940811",L717),Adat!$E:$E)*-1</f>
        <v>0</v>
      </c>
      <c r="H756" s="72">
        <f>SUMIF(Adat!$AH:$AH,CONCATENATE(Info!$D$5,"(ÖNV)","0940811",L717),Adat!$E:$E)*-1</f>
        <v>0</v>
      </c>
      <c r="I756" s="72">
        <f>SUMIF(Adat!$AH:$AH,CONCATENATE(Info!$D$5,"(ÁIG)","0940811",L717),Adat!$E:$E)*-1</f>
        <v>0</v>
      </c>
    </row>
    <row r="757" spans="2:9" x14ac:dyDescent="0.2">
      <c r="B757" s="160">
        <v>38</v>
      </c>
      <c r="C757" s="305" t="s">
        <v>1295</v>
      </c>
      <c r="D757" s="82" t="s">
        <v>1366</v>
      </c>
      <c r="E757" s="72">
        <f>SUMIF(Adat!$AG:$AG,CONCATENATE(61,Info!$D$5,"0940821",L717),Adat!$E:$E)*-1</f>
        <v>0</v>
      </c>
      <c r="F757" s="72">
        <f>SUMIF(Adat!$AG:$AG,CONCATENATE(60,Info!$D$5,"0940821",L717),Adat!$E:$E)*-1+E757</f>
        <v>0</v>
      </c>
      <c r="G757" s="72">
        <f>SUMIF(Adat!$AH:$AH,CONCATENATE(Info!$D$5,"(KÖT)","0940821",L717),Adat!$E:$E)*-1</f>
        <v>0</v>
      </c>
      <c r="H757" s="72">
        <f>SUMIF(Adat!$AH:$AH,CONCATENATE(Info!$D$5,"(ÖNV)","0940821",L717),Adat!$E:$E)*-1</f>
        <v>0</v>
      </c>
      <c r="I757" s="72">
        <f>SUMIF(Adat!$AH:$AH,CONCATENATE(Info!$D$5,"(ÁIG)","0940821",L717),Adat!$E:$E)*-1</f>
        <v>0</v>
      </c>
    </row>
    <row r="758" spans="2:9" x14ac:dyDescent="0.2">
      <c r="B758" s="160">
        <v>39</v>
      </c>
      <c r="C758" s="305" t="s">
        <v>1367</v>
      </c>
      <c r="D758" s="82" t="s">
        <v>1368</v>
      </c>
      <c r="E758" s="72">
        <f>SUMIF(Adat!$AG:$AG,CONCATENATE(61,Info!$D$5,"0940911",L717),Adat!$E:$E)*-1</f>
        <v>0</v>
      </c>
      <c r="F758" s="72">
        <f>SUMIF(Adat!$AG:$AG,CONCATENATE(60,Info!$D$5,"0940911",L717),Adat!$E:$E)*-1+E758</f>
        <v>0</v>
      </c>
      <c r="G758" s="72">
        <f>SUMIF(Adat!$AH:$AH,CONCATENATE(Info!$D$5,"(KÖT)","0940911",L717),Adat!$E:$E)*-1</f>
        <v>0</v>
      </c>
      <c r="H758" s="72">
        <f>SUMIF(Adat!$AH:$AH,CONCATENATE(Info!$D$5,"(ÖNV)","0940911",L717),Adat!$E:$E)*-1</f>
        <v>0</v>
      </c>
      <c r="I758" s="72">
        <f>SUMIF(Adat!$AH:$AH,CONCATENATE(Info!$D$5,"(ÁIG)","0940911",L717),Adat!$E:$E)*-1</f>
        <v>0</v>
      </c>
    </row>
    <row r="759" spans="2:9" x14ac:dyDescent="0.2">
      <c r="B759" s="160">
        <v>40</v>
      </c>
      <c r="C759" s="305" t="s">
        <v>1369</v>
      </c>
      <c r="D759" s="82" t="s">
        <v>1370</v>
      </c>
      <c r="E759" s="72">
        <f>SUMIF(Adat!$AG:$AG,CONCATENATE(61,Info!$D$5,"0940921",L717),Adat!$E:$E)*-1</f>
        <v>0</v>
      </c>
      <c r="F759" s="72">
        <f>SUMIF(Adat!$AG:$AG,CONCATENATE(60,Info!$D$5,"0940921",L717),Adat!$E:$E)*-1+E759</f>
        <v>0</v>
      </c>
      <c r="G759" s="72">
        <f>SUMIF(Adat!$AH:$AH,CONCATENATE(Info!$D$5,"(KÖT)","0940921",L717),Adat!$E:$E)*-1</f>
        <v>0</v>
      </c>
      <c r="H759" s="72">
        <f>SUMIF(Adat!$AH:$AH,CONCATENATE(Info!$D$5,"(ÖNV)","0940921",L717),Adat!$E:$E)*-1</f>
        <v>0</v>
      </c>
      <c r="I759" s="72">
        <f>SUMIF(Adat!$AH:$AH,CONCATENATE(Info!$D$5,"(ÁIG)","0940921",L717),Adat!$E:$E)*-1</f>
        <v>0</v>
      </c>
    </row>
    <row r="760" spans="2:9" x14ac:dyDescent="0.2">
      <c r="B760" s="160">
        <v>41</v>
      </c>
      <c r="C760" s="305" t="s">
        <v>1296</v>
      </c>
      <c r="D760" s="82" t="s">
        <v>1371</v>
      </c>
      <c r="E760" s="72">
        <f>SUMIF(Adat!$AG:$AG,CONCATENATE(61,Info!$D$5,"094101",L717),Adat!$E:$E)*-1</f>
        <v>0</v>
      </c>
      <c r="F760" s="72">
        <f>SUMIF(Adat!$AG:$AG,CONCATENATE(60,Info!$D$5,"094101",L717),Adat!$E:$E)*-1+E760</f>
        <v>0</v>
      </c>
      <c r="G760" s="72">
        <f>SUMIF(Adat!$AH:$AH,CONCATENATE(Info!$D$5,"(KÖT)","094101",L717),Adat!$E:$E)*-1</f>
        <v>0</v>
      </c>
      <c r="H760" s="72">
        <f>SUMIF(Adat!$AH:$AH,CONCATENATE(Info!$D$5,"(ÖNV)","094101",L717),Adat!$E:$E)*-1</f>
        <v>0</v>
      </c>
      <c r="I760" s="72">
        <f>SUMIF(Adat!$AH:$AH,CONCATENATE(Info!$D$5,"(ÁIG)","094101",L717),Adat!$E:$E)*-1</f>
        <v>0</v>
      </c>
    </row>
    <row r="761" spans="2:9" x14ac:dyDescent="0.25">
      <c r="B761" s="160">
        <v>42</v>
      </c>
      <c r="C761" s="305" t="s">
        <v>1297</v>
      </c>
      <c r="D761" s="84" t="s">
        <v>1372</v>
      </c>
      <c r="E761" s="72">
        <f>SUMIF(Adat!$AG:$AG,CONCATENATE(61,Info!$D$5,"094111",L717),Adat!$E:$E)*-1</f>
        <v>0</v>
      </c>
      <c r="F761" s="72">
        <f>SUMIF(Adat!$AG:$AG,CONCATENATE(60,Info!$D$5,"094111",L717),Adat!$E:$E)*-1+E761</f>
        <v>0</v>
      </c>
      <c r="G761" s="72">
        <f>SUMIF(Adat!$AH:$AH,CONCATENATE(Info!$D$5,"(KÖT)","094111",L717),Adat!$E:$E)*-1</f>
        <v>0</v>
      </c>
      <c r="H761" s="72">
        <f>SUMIF(Adat!$AH:$AH,CONCATENATE(Info!$D$5,"(ÖNV)","094111",L717),Adat!$E:$E)*-1</f>
        <v>0</v>
      </c>
      <c r="I761" s="72">
        <f>SUMIF(Adat!$AH:$AH,CONCATENATE(Info!$D$5,"(ÁIG)","094111",L717),Adat!$E:$E)*-1</f>
        <v>0</v>
      </c>
    </row>
    <row r="762" spans="2:9" x14ac:dyDescent="0.25">
      <c r="B762" s="160">
        <v>43</v>
      </c>
      <c r="C762" s="79" t="s">
        <v>33</v>
      </c>
      <c r="D762" s="79" t="s">
        <v>330</v>
      </c>
      <c r="E762" s="71">
        <f>SUM(E763:E767)</f>
        <v>0</v>
      </c>
      <c r="F762" s="71">
        <f>SUM(F763:F767)</f>
        <v>0</v>
      </c>
      <c r="G762" s="71">
        <f>SUM(G763:G767)</f>
        <v>0</v>
      </c>
      <c r="H762" s="71">
        <f>SUM(H763:H767)</f>
        <v>0</v>
      </c>
      <c r="I762" s="71">
        <f>SUM(I763:I767)</f>
        <v>0</v>
      </c>
    </row>
    <row r="763" spans="2:9" x14ac:dyDescent="0.2">
      <c r="B763" s="160">
        <v>44</v>
      </c>
      <c r="C763" s="305" t="s">
        <v>1373</v>
      </c>
      <c r="D763" s="82" t="s">
        <v>1374</v>
      </c>
      <c r="E763" s="72">
        <f>SUMIF(Adat!$AG:$AG,CONCATENATE(61,Info!$D$5,"09511",L717),Adat!$E:$E)*-1</f>
        <v>0</v>
      </c>
      <c r="F763" s="72">
        <f>SUMIF(Adat!$AG:$AG,CONCATENATE(60,Info!$D$5,"09511",L717),Adat!$E:$E)*-1+E763</f>
        <v>0</v>
      </c>
      <c r="G763" s="72">
        <f>SUMIF(Adat!$AH:$AH,CONCATENATE(Info!$D$5,"(KÖT)","09511",L717),Adat!$E:$E)*-1</f>
        <v>0</v>
      </c>
      <c r="H763" s="72">
        <f>SUMIF(Adat!$AH:$AH,CONCATENATE(Info!$D$5,"(ÖNV)","09511",L717),Adat!$E:$E)*-1</f>
        <v>0</v>
      </c>
      <c r="I763" s="72">
        <f>SUMIF(Adat!$AH:$AH,CONCATENATE(Info!$D$5,"(ÁIG)","09511",L717),Adat!$E:$E)*-1</f>
        <v>0</v>
      </c>
    </row>
    <row r="764" spans="2:9" x14ac:dyDescent="0.2">
      <c r="B764" s="160">
        <v>45</v>
      </c>
      <c r="C764" s="305" t="s">
        <v>1294</v>
      </c>
      <c r="D764" s="82" t="s">
        <v>1375</v>
      </c>
      <c r="E764" s="72">
        <f>SUMIF(Adat!$AG:$AG,CONCATENATE(61,Info!$D$5,"09521",L717),Adat!$E:$E)*-1</f>
        <v>0</v>
      </c>
      <c r="F764" s="72">
        <f>SUMIF(Adat!$AG:$AG,CONCATENATE(60,Info!$D$5,"09521",L717),Adat!$E:$E)*-1+E764</f>
        <v>0</v>
      </c>
      <c r="G764" s="72">
        <f>SUMIF(Adat!$AH:$AH,CONCATENATE(Info!$D$5,"(KÖT)","09521",L717),Adat!$E:$E)*-1</f>
        <v>0</v>
      </c>
      <c r="H764" s="72">
        <f>SUMIF(Adat!$AH:$AH,CONCATENATE(Info!$D$5,"(ÖNV)","09521",L717),Adat!$E:$E)*-1</f>
        <v>0</v>
      </c>
      <c r="I764" s="72">
        <f>SUMIF(Adat!$AH:$AH,CONCATENATE(Info!$D$5,"(ÁIG)","09521",L717),Adat!$E:$E)*-1</f>
        <v>0</v>
      </c>
    </row>
    <row r="765" spans="2:9" x14ac:dyDescent="0.2">
      <c r="B765" s="160">
        <v>46</v>
      </c>
      <c r="C765" s="305" t="s">
        <v>1376</v>
      </c>
      <c r="D765" s="82" t="s">
        <v>1377</v>
      </c>
      <c r="E765" s="72">
        <f>SUMIF(Adat!$AG:$AG,CONCATENATE(61,Info!$D$5,"09531",L717),Adat!$E:$E)*-1</f>
        <v>0</v>
      </c>
      <c r="F765" s="72">
        <f>SUMIF(Adat!$AG:$AG,CONCATENATE(60,Info!$D$5,"09531",L717),Adat!$E:$E)*-1+E765</f>
        <v>0</v>
      </c>
      <c r="G765" s="72">
        <f>SUMIF(Adat!$AH:$AH,CONCATENATE(Info!$D$5,"(KÖT)","09531",L717),Adat!$E:$E)*-1</f>
        <v>0</v>
      </c>
      <c r="H765" s="72">
        <f>SUMIF(Adat!$AH:$AH,CONCATENATE(Info!$D$5,"(ÖNV)","09531",L717),Adat!$E:$E)*-1</f>
        <v>0</v>
      </c>
      <c r="I765" s="72">
        <f>SUMIF(Adat!$AH:$AH,CONCATENATE(Info!$D$5,"(ÁIG)","09531",L717),Adat!$E:$E)*-1</f>
        <v>0</v>
      </c>
    </row>
    <row r="766" spans="2:9" x14ac:dyDescent="0.2">
      <c r="B766" s="160">
        <v>47</v>
      </c>
      <c r="C766" s="305" t="s">
        <v>1378</v>
      </c>
      <c r="D766" s="82" t="s">
        <v>1379</v>
      </c>
      <c r="E766" s="72">
        <f>SUMIF(Adat!$AG:$AG,CONCATENATE(61,Info!$D$5,"09541",L717),Adat!$E:$E)*-1</f>
        <v>0</v>
      </c>
      <c r="F766" s="72">
        <f>SUMIF(Adat!$AG:$AG,CONCATENATE(60,Info!$D$5,"09541",L717),Adat!$E:$E)*-1+E766</f>
        <v>0</v>
      </c>
      <c r="G766" s="72">
        <f>SUMIF(Adat!$AH:$AH,CONCATENATE(Info!$D$5,"(KÖT)","09541",L717),Adat!$E:$E)*-1</f>
        <v>0</v>
      </c>
      <c r="H766" s="72">
        <f>SUMIF(Adat!$AH:$AH,CONCATENATE(Info!$D$5,"(ÖNV)","09541",L717),Adat!$E:$E)*-1</f>
        <v>0</v>
      </c>
      <c r="I766" s="72">
        <f>SUMIF(Adat!$AH:$AH,CONCATENATE(Info!$D$5,"(ÁIG)","09541",L717),Adat!$E:$E)*-1</f>
        <v>0</v>
      </c>
    </row>
    <row r="767" spans="2:9" x14ac:dyDescent="0.25">
      <c r="B767" s="160">
        <v>48</v>
      </c>
      <c r="C767" s="305" t="s">
        <v>1380</v>
      </c>
      <c r="D767" s="84" t="s">
        <v>1381</v>
      </c>
      <c r="E767" s="72">
        <f>SUMIF(Adat!$AG:$AG,CONCATENATE(61,Info!$D$5,"09551",L717),Adat!$E:$E)*-1</f>
        <v>0</v>
      </c>
      <c r="F767" s="72">
        <f>SUMIF(Adat!$AG:$AG,CONCATENATE(60,Info!$D$5,"09551",L717),Adat!$E:$E)*-1+E767</f>
        <v>0</v>
      </c>
      <c r="G767" s="72">
        <f>SUMIF(Adat!$AH:$AH,CONCATENATE(Info!$D$5,"(KÖT)","09551",L717),Adat!$E:$E)*-1</f>
        <v>0</v>
      </c>
      <c r="H767" s="72">
        <f>SUMIF(Adat!$AH:$AH,CONCATENATE(Info!$D$5,"(ÖNV)","09551",L717),Adat!$E:$E)*-1</f>
        <v>0</v>
      </c>
      <c r="I767" s="72">
        <f>SUMIF(Adat!$AH:$AH,CONCATENATE(Info!$D$5,"(ÁIG)","09551",L717),Adat!$E:$E)*-1</f>
        <v>0</v>
      </c>
    </row>
    <row r="768" spans="2:9" x14ac:dyDescent="0.25">
      <c r="B768" s="160">
        <v>49</v>
      </c>
      <c r="C768" s="79" t="s">
        <v>36</v>
      </c>
      <c r="D768" s="79" t="s">
        <v>331</v>
      </c>
      <c r="E768" s="71">
        <f>SUM(E769:E773)</f>
        <v>0</v>
      </c>
      <c r="F768" s="71">
        <f t="shared" ref="F768:I768" si="81">SUM(F769:F773)</f>
        <v>0</v>
      </c>
      <c r="G768" s="71">
        <f t="shared" si="81"/>
        <v>0</v>
      </c>
      <c r="H768" s="71">
        <f t="shared" si="81"/>
        <v>0</v>
      </c>
      <c r="I768" s="71">
        <f t="shared" si="81"/>
        <v>0</v>
      </c>
    </row>
    <row r="769" spans="2:9" x14ac:dyDescent="0.2">
      <c r="B769" s="160">
        <v>50</v>
      </c>
      <c r="C769" s="305" t="s">
        <v>1382</v>
      </c>
      <c r="D769" s="82" t="s">
        <v>1383</v>
      </c>
      <c r="E769" s="72">
        <f>SUMIF(Adat!$AG:$AG,CONCATENATE(61,Info!$D$5,"09611",L717),Adat!$E:$E)*-1</f>
        <v>0</v>
      </c>
      <c r="F769" s="72">
        <f>SUMIF(Adat!$AG:$AG,CONCATENATE(60,Info!$D$5,"09611",L717),Adat!$E:$E)*-1+E769</f>
        <v>0</v>
      </c>
      <c r="G769" s="72">
        <f>SUMIF(Adat!$AH:$AH,CONCATENATE(Info!$D$5,"(KÖT)","09611",L717),Adat!$E:$E)*-1</f>
        <v>0</v>
      </c>
      <c r="H769" s="72">
        <f>SUMIF(Adat!$AH:$AH,CONCATENATE(Info!$D$5,"(ÖNV)","09611",L717),Adat!$E:$E)*-1</f>
        <v>0</v>
      </c>
      <c r="I769" s="72">
        <f>SUMIF(Adat!$AH:$AH,CONCATENATE(Info!$D$5,"(ÁIG)","09611",L717),Adat!$E:$E)*-1</f>
        <v>0</v>
      </c>
    </row>
    <row r="770" spans="2:9" x14ac:dyDescent="0.2">
      <c r="B770" s="160">
        <v>51</v>
      </c>
      <c r="C770" s="305" t="s">
        <v>1384</v>
      </c>
      <c r="D770" s="82" t="s">
        <v>1385</v>
      </c>
      <c r="E770" s="72">
        <f>SUMIF(Adat!$AG:$AG,CONCATENATE(61,Info!$D$5,"09621",L717),Adat!$E:$E)*-1</f>
        <v>0</v>
      </c>
      <c r="F770" s="72">
        <f>SUMIF(Adat!$AG:$AG,CONCATENATE(60,Info!$D$5,"09621",L717),Adat!$E:$E)*-1+E770</f>
        <v>0</v>
      </c>
      <c r="G770" s="72">
        <f>SUMIF(Adat!$AH:$AH,CONCATENATE(Info!$D$5,"(KÖT)","09621",L717),Adat!$E:$E)*-1</f>
        <v>0</v>
      </c>
      <c r="H770" s="72">
        <f>SUMIF(Adat!$AH:$AH,CONCATENATE(Info!$D$5,"(ÖNV)","09621",L717),Adat!$E:$E)*-1</f>
        <v>0</v>
      </c>
      <c r="I770" s="72">
        <f>SUMIF(Adat!$AH:$AH,CONCATENATE(Info!$D$5,"(ÁIG)","09621",L717),Adat!$E:$E)*-1</f>
        <v>0</v>
      </c>
    </row>
    <row r="771" spans="2:9" x14ac:dyDescent="0.2">
      <c r="B771" s="160">
        <v>52</v>
      </c>
      <c r="C771" s="305" t="s">
        <v>1386</v>
      </c>
      <c r="D771" s="82" t="s">
        <v>1387</v>
      </c>
      <c r="E771" s="72">
        <f>SUMIF(Adat!$AG:$AG,CONCATENATE(61,Info!$D$5,"09631",L717),Adat!$E:$E)*-1</f>
        <v>0</v>
      </c>
      <c r="F771" s="72">
        <f>SUMIF(Adat!$AG:$AG,CONCATENATE(60,Info!$D$5,"09631",L717),Adat!$E:$E)*-1+E771</f>
        <v>0</v>
      </c>
      <c r="G771" s="72">
        <f>SUMIF(Adat!$AH:$AH,CONCATENATE(Info!$D$5,"(KÖT)","09631",L717),Adat!$E:$E)*-1</f>
        <v>0</v>
      </c>
      <c r="H771" s="72">
        <f>SUMIF(Adat!$AH:$AH,CONCATENATE(Info!$D$5,"(ÖNV)","09631",L717),Adat!$E:$E)*-1</f>
        <v>0</v>
      </c>
      <c r="I771" s="72">
        <f>SUMIF(Adat!$AH:$AH,CONCATENATE(Info!$D$5,"(ÁIG)","09631",L717),Adat!$E:$E)*-1</f>
        <v>0</v>
      </c>
    </row>
    <row r="772" spans="2:9" x14ac:dyDescent="0.2">
      <c r="B772" s="160">
        <v>53</v>
      </c>
      <c r="C772" s="305" t="s">
        <v>1388</v>
      </c>
      <c r="D772" s="82" t="s">
        <v>1389</v>
      </c>
      <c r="E772" s="72">
        <f>SUMIF(Adat!$AG:$AG,CONCATENATE(61,Info!$D$5,"09641",L717),Adat!$E:$E)*-1</f>
        <v>0</v>
      </c>
      <c r="F772" s="72">
        <f>SUMIF(Adat!$AG:$AG,CONCATENATE(60,Info!$D$5,"09641",L717),Adat!$E:$E)*-1+E772</f>
        <v>0</v>
      </c>
      <c r="G772" s="72">
        <f>SUMIF(Adat!$AH:$AH,CONCATENATE(Info!$D$5,"(KÖT)","09641",L717),Adat!$E:$E)*-1</f>
        <v>0</v>
      </c>
      <c r="H772" s="72">
        <f>SUMIF(Adat!$AH:$AH,CONCATENATE(Info!$D$5,"(ÖNV)","09641",L717),Adat!$E:$E)*-1</f>
        <v>0</v>
      </c>
      <c r="I772" s="72">
        <f>SUMIF(Adat!$AH:$AH,CONCATENATE(Info!$D$5,"(ÁIG)","09641",L717),Adat!$E:$E)*-1</f>
        <v>0</v>
      </c>
    </row>
    <row r="773" spans="2:9" x14ac:dyDescent="0.2">
      <c r="B773" s="160">
        <v>54</v>
      </c>
      <c r="C773" s="305" t="s">
        <v>1310</v>
      </c>
      <c r="D773" s="82" t="s">
        <v>1390</v>
      </c>
      <c r="E773" s="72">
        <f>SUMIF(Adat!$AG:$AG,CONCATENATE(61,Info!$D$5,"09651",L717),Adat!$E:$E)*-1</f>
        <v>0</v>
      </c>
      <c r="F773" s="72">
        <f>SUMIF(Adat!$AG:$AG,CONCATENATE(60,Info!$D$5,"09651",L717),Adat!$E:$E)*-1+E773</f>
        <v>0</v>
      </c>
      <c r="G773" s="72">
        <f>SUMIF(Adat!$AH:$AH,CONCATENATE(Info!$D$5,"(KÖT)","09651",L717),Adat!$E:$E)*-1</f>
        <v>0</v>
      </c>
      <c r="H773" s="72">
        <f>SUMIF(Adat!$AH:$AH,CONCATENATE(Info!$D$5,"(ÖNV)","09651",L717),Adat!$E:$E)*-1</f>
        <v>0</v>
      </c>
      <c r="I773" s="72">
        <f>SUMIF(Adat!$AH:$AH,CONCATENATE(Info!$D$5,"(ÁIG)","09651",L717),Adat!$E:$E)*-1</f>
        <v>0</v>
      </c>
    </row>
    <row r="774" spans="2:9" x14ac:dyDescent="0.25">
      <c r="B774" s="160">
        <v>55</v>
      </c>
      <c r="C774" s="79" t="s">
        <v>38</v>
      </c>
      <c r="D774" s="85" t="s">
        <v>332</v>
      </c>
      <c r="E774" s="71">
        <f>SUM(E775:E779)</f>
        <v>0</v>
      </c>
      <c r="F774" s="71">
        <f t="shared" ref="F774:I774" si="82">SUM(F775:F779)</f>
        <v>0</v>
      </c>
      <c r="G774" s="71">
        <f t="shared" si="82"/>
        <v>0</v>
      </c>
      <c r="H774" s="71">
        <f t="shared" si="82"/>
        <v>0</v>
      </c>
      <c r="I774" s="71">
        <f t="shared" si="82"/>
        <v>0</v>
      </c>
    </row>
    <row r="775" spans="2:9" x14ac:dyDescent="0.2">
      <c r="B775" s="160">
        <v>56</v>
      </c>
      <c r="C775" s="305" t="s">
        <v>1391</v>
      </c>
      <c r="D775" s="82" t="s">
        <v>1392</v>
      </c>
      <c r="E775" s="72">
        <f>SUMIF(Adat!$AG:$AG,CONCATENATE(61,Info!$D$5,"09711",L717),Adat!$E:$E)*-1</f>
        <v>0</v>
      </c>
      <c r="F775" s="72">
        <f>SUMIF(Adat!$AG:$AG,CONCATENATE(60,Info!$D$5,"09711",L717),Adat!$E:$E)*-1+E775</f>
        <v>0</v>
      </c>
      <c r="G775" s="72">
        <f>SUMIF(Adat!$AH:$AH,CONCATENATE(Info!$D$5,"(KÖT)","09711",L717),Adat!$E:$E)*-1</f>
        <v>0</v>
      </c>
      <c r="H775" s="72">
        <f>SUMIF(Adat!$AH:$AH,CONCATENATE(Info!$D$5,"(ÖNV)","09711",L717),Adat!$E:$E)*-1</f>
        <v>0</v>
      </c>
      <c r="I775" s="72">
        <f>SUMIF(Adat!$AH:$AH,CONCATENATE(Info!$D$5,"(ÁIG)","09711",L717),Adat!$E:$E)*-1</f>
        <v>0</v>
      </c>
    </row>
    <row r="776" spans="2:9" x14ac:dyDescent="0.2">
      <c r="B776" s="160">
        <v>57</v>
      </c>
      <c r="C776" s="305" t="s">
        <v>1393</v>
      </c>
      <c r="D776" s="82" t="s">
        <v>1394</v>
      </c>
      <c r="E776" s="72">
        <f>SUMIF(Adat!$AG:$AG,CONCATENATE(61,Info!$D$5,"09721",L717),Adat!$E:$E)*-1</f>
        <v>0</v>
      </c>
      <c r="F776" s="72">
        <f>SUMIF(Adat!$AG:$AG,CONCATENATE(60,Info!$D$5,"09721",L717),Adat!$E:$E)*-1+E776</f>
        <v>0</v>
      </c>
      <c r="G776" s="72">
        <f>SUMIF(Adat!$AH:$AH,CONCATENATE(Info!$D$5,"(KÖT)","09721",L717),Adat!$E:$E)*-1</f>
        <v>0</v>
      </c>
      <c r="H776" s="72">
        <f>SUMIF(Adat!$AH:$AH,CONCATENATE(Info!$D$5,"(ÖNV)","09721",L717),Adat!$E:$E)*-1</f>
        <v>0</v>
      </c>
      <c r="I776" s="72">
        <f>SUMIF(Adat!$AH:$AH,CONCATENATE(Info!$D$5,"(ÁIG)","09721",L717),Adat!$E:$E)*-1</f>
        <v>0</v>
      </c>
    </row>
    <row r="777" spans="2:9" x14ac:dyDescent="0.2">
      <c r="B777" s="160">
        <v>58</v>
      </c>
      <c r="C777" s="305" t="s">
        <v>1395</v>
      </c>
      <c r="D777" s="82" t="s">
        <v>1396</v>
      </c>
      <c r="E777" s="72">
        <f>SUMIF(Adat!$AG:$AG,CONCATENATE(61,Info!$D$5,"09731",L717),Adat!$E:$E)*-1</f>
        <v>0</v>
      </c>
      <c r="F777" s="72">
        <f>SUMIF(Adat!$AG:$AG,CONCATENATE(60,Info!$D$5,"09731",L717),Adat!$E:$E)*-1+E777</f>
        <v>0</v>
      </c>
      <c r="G777" s="72">
        <f>SUMIF(Adat!$AH:$AH,CONCATENATE(Info!$D$5,"(KÖT)","09731",L717),Adat!$E:$E)*-1</f>
        <v>0</v>
      </c>
      <c r="H777" s="72">
        <f>SUMIF(Adat!$AH:$AH,CONCATENATE(Info!$D$5,"(ÖNV)","09731",L717),Adat!$E:$E)*-1</f>
        <v>0</v>
      </c>
      <c r="I777" s="72">
        <f>SUMIF(Adat!$AH:$AH,CONCATENATE(Info!$D$5,"(ÁIG)","09731",L717),Adat!$E:$E)*-1</f>
        <v>0</v>
      </c>
    </row>
    <row r="778" spans="2:9" x14ac:dyDescent="0.2">
      <c r="B778" s="160">
        <v>59</v>
      </c>
      <c r="C778" s="305" t="s">
        <v>1397</v>
      </c>
      <c r="D778" s="82" t="s">
        <v>1398</v>
      </c>
      <c r="E778" s="72">
        <f>SUMIF(Adat!$AG:$AG,CONCATENATE(61,Info!$D$5,"09741",L717),Adat!$E:$E)*-1</f>
        <v>0</v>
      </c>
      <c r="F778" s="72">
        <f>SUMIF(Adat!$AG:$AG,CONCATENATE(60,Info!$D$5,"09741",L717),Adat!$E:$E)*-1+E778</f>
        <v>0</v>
      </c>
      <c r="G778" s="72">
        <f>SUMIF(Adat!$AH:$AH,CONCATENATE(Info!$D$5,"(KÖT)","09741",L717),Adat!$E:$E)*-1</f>
        <v>0</v>
      </c>
      <c r="H778" s="72">
        <f>SUMIF(Adat!$AH:$AH,CONCATENATE(Info!$D$5,"(ÖNV)","09741",L717),Adat!$E:$E)*-1</f>
        <v>0</v>
      </c>
      <c r="I778" s="72">
        <f>SUMIF(Adat!$AH:$AH,CONCATENATE(Info!$D$5,"(ÁIG)","09741",L717),Adat!$E:$E)*-1</f>
        <v>0</v>
      </c>
    </row>
    <row r="779" spans="2:9" x14ac:dyDescent="0.25">
      <c r="B779" s="160">
        <v>60</v>
      </c>
      <c r="C779" s="305" t="s">
        <v>1399</v>
      </c>
      <c r="D779" s="84" t="s">
        <v>1400</v>
      </c>
      <c r="E779" s="72">
        <f>SUMIF(Adat!$AG:$AG,CONCATENATE(61,Info!$D$5,"09751",L717),Adat!$E:$E)*-1</f>
        <v>0</v>
      </c>
      <c r="F779" s="72">
        <f>SUMIF(Adat!$AG:$AG,CONCATENATE(60,Info!$D$5,"09751",L717),Adat!$E:$E)*-1+E779</f>
        <v>0</v>
      </c>
      <c r="G779" s="72">
        <f>SUMIF(Adat!$AH:$AH,CONCATENATE(Info!$D$5,"(KÖT)","09751",L717),Adat!$E:$E)*-1</f>
        <v>0</v>
      </c>
      <c r="H779" s="72">
        <f>SUMIF(Adat!$AH:$AH,CONCATENATE(Info!$D$5,"(ÖNV)","09751",L717),Adat!$E:$E)*-1</f>
        <v>0</v>
      </c>
      <c r="I779" s="72">
        <f>SUMIF(Adat!$AH:$AH,CONCATENATE(Info!$D$5,"(ÁIG)","09751",L717),Adat!$E:$E)*-1</f>
        <v>0</v>
      </c>
    </row>
    <row r="780" spans="2:9" x14ac:dyDescent="0.25">
      <c r="B780" s="160">
        <v>61</v>
      </c>
      <c r="C780" s="78" t="s">
        <v>352</v>
      </c>
      <c r="D780" s="86" t="s">
        <v>1401</v>
      </c>
      <c r="E780" s="71">
        <f>+E721+E729+E735+E741+E748+E762+E768+E774</f>
        <v>0</v>
      </c>
      <c r="F780" s="71">
        <f>+F721+F729+F735+F741+F748+F762+F768+F774</f>
        <v>0</v>
      </c>
      <c r="G780" s="71">
        <f>+G721+G729+G735+G741+G748+G762+G768+G774</f>
        <v>0</v>
      </c>
      <c r="H780" s="71">
        <f>+H721+H729+H735+H741+H748+H762+H768+H774</f>
        <v>0</v>
      </c>
      <c r="I780" s="71">
        <f>+I721+I729+I735+I741+I748+I762+I768+I774</f>
        <v>0</v>
      </c>
    </row>
    <row r="781" spans="2:9" x14ac:dyDescent="0.25">
      <c r="B781" s="160">
        <v>62</v>
      </c>
      <c r="C781" s="154" t="s">
        <v>1402</v>
      </c>
      <c r="D781" s="85" t="s">
        <v>1403</v>
      </c>
      <c r="E781" s="71">
        <f t="shared" ref="E781:G781" si="83">SUM(E782:E784)</f>
        <v>0</v>
      </c>
      <c r="F781" s="71">
        <f t="shared" si="83"/>
        <v>0</v>
      </c>
      <c r="G781" s="71">
        <f t="shared" si="83"/>
        <v>0</v>
      </c>
      <c r="H781" s="71">
        <f>SUM(H782:H784)</f>
        <v>0</v>
      </c>
      <c r="I781" s="71">
        <f>SUM(I782:I784)</f>
        <v>0</v>
      </c>
    </row>
    <row r="782" spans="2:9" x14ac:dyDescent="0.2">
      <c r="B782" s="160">
        <v>63</v>
      </c>
      <c r="C782" s="305" t="s">
        <v>1404</v>
      </c>
      <c r="D782" s="82" t="s">
        <v>1405</v>
      </c>
      <c r="E782" s="72">
        <f>SUMIF(Adat!$AG:$AG,CONCATENATE(61,Info!$D$5,"0981111",L717),Adat!$E:$E)*-1</f>
        <v>0</v>
      </c>
      <c r="F782" s="72">
        <f>SUMIF(Adat!$AG:$AG,CONCATENATE(60,Info!$D$5,"0981111",L717),Adat!$E:$E)*-1+E782</f>
        <v>0</v>
      </c>
      <c r="G782" s="72">
        <f>SUMIF(Adat!$AH:$AH,CONCATENATE(Info!$D$5,"(KÖT)","0981111",L717),Adat!$E:$E)*-1</f>
        <v>0</v>
      </c>
      <c r="H782" s="72">
        <f>SUMIF(Adat!$AH:$AH,CONCATENATE(Info!$D$5,"(ÖNV)","0981111",L717),Adat!$E:$E)*-1</f>
        <v>0</v>
      </c>
      <c r="I782" s="72">
        <f>SUMIF(Adat!$AH:$AH,CONCATENATE(Info!$D$5,"(ÁIG)","0981111",L717),Adat!$E:$E)*-1</f>
        <v>0</v>
      </c>
    </row>
    <row r="783" spans="2:9" x14ac:dyDescent="0.2">
      <c r="B783" s="160">
        <v>64</v>
      </c>
      <c r="C783" s="305" t="s">
        <v>1406</v>
      </c>
      <c r="D783" s="82" t="s">
        <v>1407</v>
      </c>
      <c r="E783" s="72">
        <f>SUMIF(Adat!$AG:$AG,CONCATENATE(61,Info!$D$5,"0981121",L717),Adat!$E:$E)*-1</f>
        <v>0</v>
      </c>
      <c r="F783" s="72">
        <f>SUMIF(Adat!$AG:$AG,CONCATENATE(60,Info!$D$5,"0981121",L717),Adat!$E:$E)*-1+E783</f>
        <v>0</v>
      </c>
      <c r="G783" s="72">
        <f>SUMIF(Adat!$AH:$AH,CONCATENATE(Info!$D$5,"(KÖT)","0981121",L717),Adat!$E:$E)*-1</f>
        <v>0</v>
      </c>
      <c r="H783" s="72">
        <f>SUMIF(Adat!$AH:$AH,CONCATENATE(Info!$D$5,"(ÖNV)","0981121",L717),Adat!$E:$E)*-1</f>
        <v>0</v>
      </c>
      <c r="I783" s="72">
        <f>SUMIF(Adat!$AH:$AH,CONCATENATE(Info!$D$5,"(ÁIG)","0981121",L717),Adat!$E:$E)*-1</f>
        <v>0</v>
      </c>
    </row>
    <row r="784" spans="2:9" x14ac:dyDescent="0.2">
      <c r="B784" s="160">
        <v>65</v>
      </c>
      <c r="C784" s="305" t="s">
        <v>1408</v>
      </c>
      <c r="D784" s="82" t="s">
        <v>1409</v>
      </c>
      <c r="E784" s="72">
        <f>SUMIF(Adat!$AG:$AG,CONCATENATE(61,Info!$D$5,"0981131",L717),Adat!$E:$E)*-1</f>
        <v>0</v>
      </c>
      <c r="F784" s="72">
        <f>SUMIF(Adat!$AG:$AG,CONCATENATE(60,Info!$D$5,"0981131",L717),Adat!$E:$E)*-1+E784</f>
        <v>0</v>
      </c>
      <c r="G784" s="72">
        <f>SUMIF(Adat!$AH:$AH,CONCATENATE(Info!$D$5,"(KÖT)","0981131",L717),Adat!$E:$E)*-1</f>
        <v>0</v>
      </c>
      <c r="H784" s="72">
        <f>SUMIF(Adat!$AH:$AH,CONCATENATE(Info!$D$5,"(ÖNV)","0981131",L717),Adat!$E:$E)*-1</f>
        <v>0</v>
      </c>
      <c r="I784" s="72">
        <f>SUMIF(Adat!$AH:$AH,CONCATENATE(Info!$D$5,"(ÁIG)","0981131",L717),Adat!$E:$E)*-1</f>
        <v>0</v>
      </c>
    </row>
    <row r="785" spans="2:9" x14ac:dyDescent="0.25">
      <c r="B785" s="160">
        <v>66</v>
      </c>
      <c r="C785" s="154" t="s">
        <v>1410</v>
      </c>
      <c r="D785" s="85" t="s">
        <v>574</v>
      </c>
      <c r="E785" s="71">
        <f>SUM(E786:E789)</f>
        <v>0</v>
      </c>
      <c r="F785" s="71">
        <f t="shared" ref="F785" si="84">SUM(F786:F789)</f>
        <v>0</v>
      </c>
      <c r="G785" s="71">
        <f>SUM(G786:G789)</f>
        <v>0</v>
      </c>
      <c r="H785" s="71">
        <f>SUM(H786:H789)</f>
        <v>0</v>
      </c>
      <c r="I785" s="71">
        <f>SUM(I786:I789)</f>
        <v>0</v>
      </c>
    </row>
    <row r="786" spans="2:9" x14ac:dyDescent="0.2">
      <c r="B786" s="160">
        <v>67</v>
      </c>
      <c r="C786" s="305" t="s">
        <v>1411</v>
      </c>
      <c r="D786" s="82" t="s">
        <v>1412</v>
      </c>
      <c r="E786" s="72">
        <f>SUMIF(Adat!$AG:$AG,CONCATENATE(61,Info!$D$5,"0981211",L717),Adat!$E:$E)*-1</f>
        <v>0</v>
      </c>
      <c r="F786" s="72">
        <f>SUMIF(Adat!$AG:$AG,CONCATENATE(60,Info!$D$5,"0981211",L717),Adat!$E:$E)*-1+E786</f>
        <v>0</v>
      </c>
      <c r="G786" s="72">
        <f>SUMIF(Adat!$AH:$AH,CONCATENATE(Info!$D$5,"(KÖT)","0981211",L717),Adat!$E:$E)*-1</f>
        <v>0</v>
      </c>
      <c r="H786" s="72">
        <f>SUMIF(Adat!$AH:$AH,CONCATENATE(Info!$D$5,"(ÖNV)","0981211",L717),Adat!$E:$E)*-1</f>
        <v>0</v>
      </c>
      <c r="I786" s="72">
        <f>SUMIF(Adat!$AH:$AH,CONCATENATE(Info!$D$5,"(ÁIG)","0981211",L717),Adat!$E:$E)*-1</f>
        <v>0</v>
      </c>
    </row>
    <row r="787" spans="2:9" x14ac:dyDescent="0.2">
      <c r="B787" s="160">
        <v>68</v>
      </c>
      <c r="C787" s="305" t="s">
        <v>1413</v>
      </c>
      <c r="D787" s="82" t="s">
        <v>1414</v>
      </c>
      <c r="E787" s="72">
        <f>SUMIF(Adat!$AG:$AG,CONCATENATE(61,Info!$D$5,"0981221",L717),Adat!$E:$E)*-1</f>
        <v>0</v>
      </c>
      <c r="F787" s="72">
        <f>SUMIF(Adat!$AG:$AG,CONCATENATE(60,Info!$D$5,"0981221",L717),Adat!$E:$E)*-1+E787</f>
        <v>0</v>
      </c>
      <c r="G787" s="72">
        <f>SUMIF(Adat!$AH:$AH,CONCATENATE(Info!$D$5,"(KÖT)","0981221",L717),Adat!$E:$E)*-1</f>
        <v>0</v>
      </c>
      <c r="H787" s="72">
        <f>SUMIF(Adat!$AH:$AH,CONCATENATE(Info!$D$5,"(ÖNV)","0981221",L717),Adat!$E:$E)*-1</f>
        <v>0</v>
      </c>
      <c r="I787" s="72">
        <f>SUMIF(Adat!$AH:$AH,CONCATENATE(Info!$D$5,"(ÁIG)","0981221",L717),Adat!$E:$E)*-1</f>
        <v>0</v>
      </c>
    </row>
    <row r="788" spans="2:9" x14ac:dyDescent="0.2">
      <c r="B788" s="160">
        <v>69</v>
      </c>
      <c r="C788" s="305" t="s">
        <v>1313</v>
      </c>
      <c r="D788" s="82" t="s">
        <v>1415</v>
      </c>
      <c r="E788" s="72">
        <f>SUMIF(Adat!$AG:$AG,CONCATENATE(61,Info!$D$5,"0981231",L717),Adat!$E:$E)*-1</f>
        <v>0</v>
      </c>
      <c r="F788" s="72">
        <f>SUMIF(Adat!$AG:$AG,CONCATENATE(60,Info!$D$5,"0981231",L717),Adat!$E:$E)*-1+E788</f>
        <v>0</v>
      </c>
      <c r="G788" s="72">
        <f>SUMIF(Adat!$AH:$AH,CONCATENATE(Info!$D$5,"(KÖT)","0981231",L717),Adat!$E:$E)*-1</f>
        <v>0</v>
      </c>
      <c r="H788" s="72">
        <f>SUMIF(Adat!$AH:$AH,CONCATENATE(Info!$D$5,"(ÖNV)","0981231",L717),Adat!$E:$E)*-1</f>
        <v>0</v>
      </c>
      <c r="I788" s="72">
        <f>SUMIF(Adat!$AH:$AH,CONCATENATE(Info!$D$5,"(ÁIG)","0981231",L717),Adat!$E:$E)*-1</f>
        <v>0</v>
      </c>
    </row>
    <row r="789" spans="2:9" x14ac:dyDescent="0.25">
      <c r="B789" s="160">
        <v>70</v>
      </c>
      <c r="C789" s="305" t="s">
        <v>1416</v>
      </c>
      <c r="D789" s="84" t="s">
        <v>1417</v>
      </c>
      <c r="E789" s="72">
        <f>SUMIF(Adat!$AG:$AG,CONCATENATE(61,Info!$D$5,"0981241",L717),Adat!$E:$E)*-1</f>
        <v>0</v>
      </c>
      <c r="F789" s="72">
        <f>SUMIF(Adat!$AG:$AG,CONCATENATE(60,Info!$D$5,"0981241",L717),Adat!$E:$E)*-1+E789</f>
        <v>0</v>
      </c>
      <c r="G789" s="72">
        <f>SUMIF(Adat!$AH:$AH,CONCATENATE(Info!$D$5,"(KÖT)","0981241",L717),Adat!$E:$E)*-1</f>
        <v>0</v>
      </c>
      <c r="H789" s="72">
        <f>SUMIF(Adat!$AH:$AH,CONCATENATE(Info!$D$5,"(ÖNV)","0981241",L717),Adat!$E:$E)*-1</f>
        <v>0</v>
      </c>
      <c r="I789" s="72">
        <f>SUMIF(Adat!$AH:$AH,CONCATENATE(Info!$D$5,"(ÁIG)","0981241",L717),Adat!$E:$E)*-1</f>
        <v>0</v>
      </c>
    </row>
    <row r="790" spans="2:9" x14ac:dyDescent="0.25">
      <c r="B790" s="160">
        <v>71</v>
      </c>
      <c r="C790" s="154" t="s">
        <v>1418</v>
      </c>
      <c r="D790" s="85" t="s">
        <v>575</v>
      </c>
      <c r="E790" s="71">
        <f>SUM(E791:E792)</f>
        <v>0</v>
      </c>
      <c r="F790" s="71">
        <f t="shared" ref="F790" si="85">SUM(F791:F792)</f>
        <v>0</v>
      </c>
      <c r="G790" s="71">
        <f>SUM(G791:G792)</f>
        <v>0</v>
      </c>
      <c r="H790" s="71">
        <f>SUM(H791:H792)</f>
        <v>0</v>
      </c>
      <c r="I790" s="71">
        <f>SUM(I791:I792)</f>
        <v>0</v>
      </c>
    </row>
    <row r="791" spans="2:9" x14ac:dyDescent="0.2">
      <c r="B791" s="160">
        <v>72</v>
      </c>
      <c r="C791" s="305" t="s">
        <v>1274</v>
      </c>
      <c r="D791" s="82" t="s">
        <v>1419</v>
      </c>
      <c r="E791" s="72">
        <f>SUMIF(Adat!$AG:$AG,CONCATENATE(61,Info!$D$5,"0981311",L717),Adat!$E:$E)*-1</f>
        <v>0</v>
      </c>
      <c r="F791" s="72">
        <f>SUMIF(Adat!$AG:$AG,CONCATENATE(60,Info!$D$5,"0981311",L717),Adat!$E:$E)*-1+E791</f>
        <v>0</v>
      </c>
      <c r="G791" s="72">
        <f>SUMIF(Adat!$AH:$AH,CONCATENATE(Info!$D$5,"(KÖT)","0981311",L717),Adat!$E:$E)*-1</f>
        <v>0</v>
      </c>
      <c r="H791" s="72">
        <f>SUMIF(Adat!$AH:$AH,CONCATENATE(Info!$D$5,"(ÖNV)","0981311",L717),Adat!$E:$E)*-1</f>
        <v>0</v>
      </c>
      <c r="I791" s="72">
        <f>SUMIF(Adat!$AH:$AH,CONCATENATE(Info!$D$5,"(ÁIG)","0981311",L717),Adat!$E:$E)*-1</f>
        <v>0</v>
      </c>
    </row>
    <row r="792" spans="2:9" x14ac:dyDescent="0.25">
      <c r="B792" s="160">
        <v>73</v>
      </c>
      <c r="C792" s="305" t="s">
        <v>1420</v>
      </c>
      <c r="D792" s="84" t="s">
        <v>1421</v>
      </c>
      <c r="E792" s="72">
        <f>SUMIF(Adat!$AG:$AG,CONCATENATE(61,Info!$D$5,"0981321",L717),Adat!$E:$E)*-1</f>
        <v>0</v>
      </c>
      <c r="F792" s="72">
        <f>SUMIF(Adat!$AG:$AG,CONCATENATE(60,Info!$D$5,"0981321",L717),Adat!$E:$E)*-1+E792</f>
        <v>0</v>
      </c>
      <c r="G792" s="72">
        <f>SUMIF(Adat!$AH:$AH,CONCATENATE(Info!$D$5,"(KÖT)","0981321",L717),Adat!$E:$E)*-1</f>
        <v>0</v>
      </c>
      <c r="H792" s="72">
        <f>SUMIF(Adat!$AH:$AH,CONCATENATE(Info!$D$5,"(ÖNV)","0981321",L717),Adat!$E:$E)*-1</f>
        <v>0</v>
      </c>
      <c r="I792" s="72">
        <f>SUMIF(Adat!$AH:$AH,CONCATENATE(Info!$D$5,"(ÁIG)","0981321",L717),Adat!$E:$E)*-1</f>
        <v>0</v>
      </c>
    </row>
    <row r="793" spans="2:9" s="42" customFormat="1" x14ac:dyDescent="0.25">
      <c r="B793" s="160">
        <v>74</v>
      </c>
      <c r="C793" s="154" t="s">
        <v>1496</v>
      </c>
      <c r="D793" s="85" t="s">
        <v>576</v>
      </c>
      <c r="E793" s="71">
        <f>SUM(E794:E796)</f>
        <v>0</v>
      </c>
      <c r="F793" s="71">
        <f t="shared" ref="F793" si="86">SUM(F794:F796)</f>
        <v>0</v>
      </c>
      <c r="G793" s="71">
        <f>SUM(G794:G796)</f>
        <v>0</v>
      </c>
      <c r="H793" s="71">
        <f>SUM(H794:H796)</f>
        <v>0</v>
      </c>
      <c r="I793" s="71">
        <f>SUM(I794:I796)</f>
        <v>0</v>
      </c>
    </row>
    <row r="794" spans="2:9" x14ac:dyDescent="0.2">
      <c r="B794" s="160">
        <v>75</v>
      </c>
      <c r="C794" s="305" t="s">
        <v>1301</v>
      </c>
      <c r="D794" s="82" t="s">
        <v>1422</v>
      </c>
      <c r="E794" s="72">
        <f>SUMIF(Adat!$AG:$AG,CONCATENATE(61,Info!$D$5,"098141",L717),Adat!$E:$E)*-1</f>
        <v>0</v>
      </c>
      <c r="F794" s="72">
        <f>SUMIF(Adat!$AG:$AG,CONCATENATE(60,Info!$D$5,"098141",L717),Adat!$E:$E)*-1+E794</f>
        <v>0</v>
      </c>
      <c r="G794" s="72">
        <f>SUMIF(Adat!$AH:$AH,CONCATENATE(Info!$D$5,"(KÖT)","098141",L717),Adat!$E:$E)*-1</f>
        <v>0</v>
      </c>
      <c r="H794" s="72">
        <f>SUMIF(Adat!$AH:$AH,CONCATENATE(Info!$D$5,"(ÖNV)","098141",L717),Adat!$E:$E)*-1</f>
        <v>0</v>
      </c>
      <c r="I794" s="72">
        <f>SUMIF(Adat!$AH:$AH,CONCATENATE(Info!$D$5,"(ÁIG)","098141",L717),Adat!$E:$E)*-1</f>
        <v>0</v>
      </c>
    </row>
    <row r="795" spans="2:9" x14ac:dyDescent="0.2">
      <c r="B795" s="160">
        <v>76</v>
      </c>
      <c r="C795" s="305" t="s">
        <v>1423</v>
      </c>
      <c r="D795" s="82" t="s">
        <v>1424</v>
      </c>
      <c r="E795" s="72">
        <f>SUMIF(Adat!$AG:$AG,CONCATENATE(61,Info!$D$5,"098151",L717),Adat!$E:$E)*-1</f>
        <v>0</v>
      </c>
      <c r="F795" s="72">
        <f>SUMIF(Adat!$AG:$AG,CONCATENATE(60,Info!$D$5,"098151",L717),Adat!$E:$E)*-1+E795</f>
        <v>0</v>
      </c>
      <c r="G795" s="72">
        <f>SUMIF(Adat!$AH:$AH,CONCATENATE(Info!$D$5,"(KÖT)","098151",L717),Adat!$E:$E)*-1</f>
        <v>0</v>
      </c>
      <c r="H795" s="72">
        <f>SUMIF(Adat!$AH:$AH,CONCATENATE(Info!$D$5,"(ÖNV)","098151",L717),Adat!$E:$E)*-1</f>
        <v>0</v>
      </c>
      <c r="I795" s="72">
        <f>SUMIF(Adat!$AH:$AH,CONCATENATE(Info!$D$5,"(ÁIG)","098151",L717),Adat!$E:$E)*-1</f>
        <v>0</v>
      </c>
    </row>
    <row r="796" spans="2:9" x14ac:dyDescent="0.25">
      <c r="B796" s="160">
        <v>77</v>
      </c>
      <c r="C796" s="305" t="s">
        <v>1425</v>
      </c>
      <c r="D796" s="84" t="s">
        <v>1426</v>
      </c>
      <c r="E796" s="72">
        <f>SUMIF(Adat!$AG:$AG,CONCATENATE(61,Info!$D$5,"098171",L717),Adat!$E:$E)*-1</f>
        <v>0</v>
      </c>
      <c r="F796" s="72">
        <f>SUMIF(Adat!$AG:$AG,CONCATENATE(60,Info!$D$5,"098171",L717),Adat!$E:$E)*-1+E796</f>
        <v>0</v>
      </c>
      <c r="G796" s="72">
        <f>SUMIF(Adat!$AH:$AH,CONCATENATE(Info!$D$5,"(KÖT)","098171",L717),Adat!$E:$E)*-1</f>
        <v>0</v>
      </c>
      <c r="H796" s="72">
        <f>SUMIF(Adat!$AH:$AH,CONCATENATE(Info!$D$5,"(ÖNV)","098171",L717),Adat!$E:$E)*-1</f>
        <v>0</v>
      </c>
      <c r="I796" s="72">
        <f>SUMIF(Adat!$AH:$AH,CONCATENATE(Info!$D$5,"(ÁIG)","098171",L717),Adat!$E:$E)*-1</f>
        <v>0</v>
      </c>
    </row>
    <row r="797" spans="2:9" x14ac:dyDescent="0.25">
      <c r="B797" s="160">
        <v>78</v>
      </c>
      <c r="C797" s="154" t="s">
        <v>1427</v>
      </c>
      <c r="D797" s="85" t="s">
        <v>577</v>
      </c>
      <c r="E797" s="71">
        <f>SUM(E798:E802)</f>
        <v>0</v>
      </c>
      <c r="F797" s="71">
        <f t="shared" ref="F797" si="87">SUM(F798:F802)</f>
        <v>0</v>
      </c>
      <c r="G797" s="71">
        <f>SUM(G798:G802)</f>
        <v>0</v>
      </c>
      <c r="H797" s="71">
        <f>SUM(H798:H802)</f>
        <v>0</v>
      </c>
      <c r="I797" s="71">
        <f>SUM(I798:I802)</f>
        <v>0</v>
      </c>
    </row>
    <row r="798" spans="2:9" x14ac:dyDescent="0.2">
      <c r="B798" s="160">
        <v>79</v>
      </c>
      <c r="C798" s="89" t="s">
        <v>1428</v>
      </c>
      <c r="D798" s="82" t="s">
        <v>1429</v>
      </c>
      <c r="E798" s="72">
        <f>SUMIF(Adat!$AG:$AG,CONCATENATE(61,Info!$D$5,"098211",L717),Adat!$E:$E)*-1</f>
        <v>0</v>
      </c>
      <c r="F798" s="72">
        <f>SUMIF(Adat!$AG:$AG,CONCATENATE(60,Info!$D$5,"098211",L717),Adat!$E:$E)*-1+E798</f>
        <v>0</v>
      </c>
      <c r="G798" s="72">
        <f>SUMIF(Adat!$AH:$AH,CONCATENATE(Info!$D$5,"(KÖT)","098211",L717),Adat!$E:$E)*-1</f>
        <v>0</v>
      </c>
      <c r="H798" s="72">
        <f>SUMIF(Adat!$AH:$AH,CONCATENATE(Info!$D$5,"(ÖNV)","098211",L717),Adat!$E:$E)*-1</f>
        <v>0</v>
      </c>
      <c r="I798" s="72">
        <f>SUMIF(Adat!$AH:$AH,CONCATENATE(Info!$D$5,"(ÁIG)","098211",L717),Adat!$E:$E)*-1</f>
        <v>0</v>
      </c>
    </row>
    <row r="799" spans="2:9" x14ac:dyDescent="0.2">
      <c r="B799" s="160">
        <v>80</v>
      </c>
      <c r="C799" s="89" t="s">
        <v>1430</v>
      </c>
      <c r="D799" s="82" t="s">
        <v>1431</v>
      </c>
      <c r="E799" s="72">
        <f>SUMIF(Adat!$AG:$AG,CONCATENATE(61,Info!$D$5,"098221",L717),Adat!$E:$E)*-1</f>
        <v>0</v>
      </c>
      <c r="F799" s="72">
        <f>SUMIF(Adat!$AG:$AG,CONCATENATE(60,Info!$D$5,"098221",L717),Adat!$E:$E)*-1+E799</f>
        <v>0</v>
      </c>
      <c r="G799" s="72">
        <f>SUMIF(Adat!$AH:$AH,CONCATENATE(Info!$D$5,"(KÖT)","098221",L717),Adat!$E:$E)*-1</f>
        <v>0</v>
      </c>
      <c r="H799" s="72">
        <f>SUMIF(Adat!$AH:$AH,CONCATENATE(Info!$D$5,"(ÖNV)","098221",L717),Adat!$E:$E)*-1</f>
        <v>0</v>
      </c>
      <c r="I799" s="72">
        <f>SUMIF(Adat!$AH:$AH,CONCATENATE(Info!$D$5,"(ÁIG)","098221",L717),Adat!$E:$E)*-1</f>
        <v>0</v>
      </c>
    </row>
    <row r="800" spans="2:9" x14ac:dyDescent="0.2">
      <c r="B800" s="160">
        <v>81</v>
      </c>
      <c r="C800" s="89" t="s">
        <v>1432</v>
      </c>
      <c r="D800" s="82" t="s">
        <v>1433</v>
      </c>
      <c r="E800" s="72">
        <f>SUMIF(Adat!$AG:$AG,CONCATENATE(61,Info!$D$5,"098231",L717),Adat!$E:$E)*-1</f>
        <v>0</v>
      </c>
      <c r="F800" s="72">
        <f>SUMIF(Adat!$AG:$AG,CONCATENATE(60,Info!$D$5,"098231",L717),Adat!$E:$E)*-1+E800</f>
        <v>0</v>
      </c>
      <c r="G800" s="72">
        <f>SUMIF(Adat!$AH:$AH,CONCATENATE(Info!$D$5,"(KÖT)","098231",L717),Adat!$E:$E)*-1</f>
        <v>0</v>
      </c>
      <c r="H800" s="72">
        <f>SUMIF(Adat!$AH:$AH,CONCATENATE(Info!$D$5,"(ÖNV)","098231",L717),Adat!$E:$E)*-1</f>
        <v>0</v>
      </c>
      <c r="I800" s="72">
        <f>SUMIF(Adat!$AH:$AH,CONCATENATE(Info!$D$5,"(ÁIG)","098231",L717),Adat!$E:$E)*-1</f>
        <v>0</v>
      </c>
    </row>
    <row r="801" spans="2:12" x14ac:dyDescent="0.2">
      <c r="B801" s="160">
        <v>82</v>
      </c>
      <c r="C801" s="89" t="s">
        <v>1434</v>
      </c>
      <c r="D801" s="82" t="s">
        <v>1435</v>
      </c>
      <c r="E801" s="72">
        <f>SUMIF(Adat!$AG:$AG,CONCATENATE(61,Info!$D$5,"098241",L717),Adat!$E:$E)*-1</f>
        <v>0</v>
      </c>
      <c r="F801" s="72">
        <f>SUMIF(Adat!$AG:$AG,CONCATENATE(60,Info!$D$5,"098241",L717),Adat!$E:$E)*-1+E801</f>
        <v>0</v>
      </c>
      <c r="G801" s="72">
        <f>SUMIF(Adat!$AH:$AH,CONCATENATE(Info!$D$5,"(KÖT)","098241",L717),Adat!$E:$E)*-1</f>
        <v>0</v>
      </c>
      <c r="H801" s="72">
        <f>SUMIF(Adat!$AH:$AH,CONCATENATE(Info!$D$5,"(ÖNV)","098241",L717),Adat!$E:$E)*-1</f>
        <v>0</v>
      </c>
      <c r="I801" s="72">
        <f>SUMIF(Adat!$AH:$AH,CONCATENATE(Info!$D$5,"(ÁIG)","098241",L717),Adat!$E:$E)*-1</f>
        <v>0</v>
      </c>
    </row>
    <row r="802" spans="2:12" s="42" customFormat="1" x14ac:dyDescent="0.2">
      <c r="B802" s="160">
        <v>83</v>
      </c>
      <c r="C802" s="89" t="s">
        <v>1436</v>
      </c>
      <c r="D802" s="84" t="s">
        <v>1437</v>
      </c>
      <c r="E802" s="72">
        <f>SUMIF(Adat!$AG:$AG,CONCATENATE(61,Info!$D$5,"098251",L717),Adat!$E:$E)*-1</f>
        <v>0</v>
      </c>
      <c r="F802" s="72">
        <f>SUMIF(Adat!$AG:$AG,CONCATENATE(60,Info!$D$5,"098251",L717),Adat!$E:$E)*-1+E802</f>
        <v>0</v>
      </c>
      <c r="G802" s="72">
        <f>SUMIF(Adat!$AH:$AH,CONCATENATE(Info!$D$5,"(KÖT)","098251",L717),Adat!$E:$E)*-1</f>
        <v>0</v>
      </c>
      <c r="H802" s="72">
        <f>SUMIF(Adat!$AH:$AH,CONCATENATE(Info!$D$5,"(ÖNV)","098251",L717),Adat!$E:$E)*-1</f>
        <v>0</v>
      </c>
      <c r="I802" s="72">
        <f>SUMIF(Adat!$AH:$AH,CONCATENATE(Info!$D$5,"(ÁIG)","098251",L717),Adat!$E:$E)*-1</f>
        <v>0</v>
      </c>
    </row>
    <row r="803" spans="2:12" s="42" customFormat="1" x14ac:dyDescent="0.2">
      <c r="B803" s="160">
        <v>84</v>
      </c>
      <c r="C803" s="309" t="s">
        <v>1438</v>
      </c>
      <c r="D803" s="85" t="s">
        <v>1439</v>
      </c>
      <c r="E803" s="71">
        <f>SUMIF(Adat!$AG:$AG,CONCATENATE(61,Info!$D$5,"09831",L717),Adat!$E:$E)*-1</f>
        <v>0</v>
      </c>
      <c r="F803" s="71">
        <f>SUMIF(Adat!$AG:$AG,CONCATENATE(60,Info!$D$5,"09831",L717),Adat!$E:$E)*-1+E803</f>
        <v>0</v>
      </c>
      <c r="G803" s="71">
        <f>SUMIF(Adat!$AH:$AH,CONCATENATE(Info!$D$5,"(KÖT)","09831",L717),Adat!$E:$E)*-1</f>
        <v>0</v>
      </c>
      <c r="H803" s="71">
        <f>SUMIF(Adat!$AH:$AH,CONCATENATE(Info!$D$5,"(ÖNV)","09831",L717),Adat!$E:$E)*-1</f>
        <v>0</v>
      </c>
      <c r="I803" s="71">
        <f>SUMIF(Adat!$AH:$AH,CONCATENATE(Info!$D$5,"(ÁIG)","09831",L717),Adat!$E:$E)*-1</f>
        <v>0</v>
      </c>
    </row>
    <row r="804" spans="2:12" s="42" customFormat="1" x14ac:dyDescent="0.25">
      <c r="B804" s="160">
        <v>85</v>
      </c>
      <c r="C804" s="154" t="s">
        <v>1440</v>
      </c>
      <c r="D804" s="85" t="s">
        <v>1441</v>
      </c>
      <c r="E804" s="71">
        <f>SUMIF(Adat!$AG:$AG,CONCATENATE(61,Info!$D$5,"09841",L717),Adat!$E:$E)*-1</f>
        <v>0</v>
      </c>
      <c r="F804" s="71">
        <f>SUMIF(Adat!$AG:$AG,CONCATENATE(60,Info!$D$5,"09841",L717),Adat!$E:$E)*-1+E804</f>
        <v>0</v>
      </c>
      <c r="G804" s="71">
        <f>SUMIF(Adat!$AH:$AH,CONCATENATE(Info!$D$5,"(KÖT)","09841",L717),Adat!$E:$E)*-1</f>
        <v>0</v>
      </c>
      <c r="H804" s="71">
        <f>SUMIF(Adat!$AH:$AH,CONCATENATE(Info!$D$5,"(ÖNV)","09841",L717),Adat!$E:$E)*-1</f>
        <v>0</v>
      </c>
      <c r="I804" s="71">
        <f>SUMIF(Adat!$AH:$AH,CONCATENATE(Info!$D$5,"(ÁIG)","09841",L717),Adat!$E:$E)*-1</f>
        <v>0</v>
      </c>
    </row>
    <row r="805" spans="2:12" s="42" customFormat="1" x14ac:dyDescent="0.25">
      <c r="B805" s="160">
        <v>86</v>
      </c>
      <c r="C805" s="154" t="s">
        <v>358</v>
      </c>
      <c r="D805" s="87" t="s">
        <v>1442</v>
      </c>
      <c r="E805" s="71">
        <f>+E781+E785+E790+E793+E797+E804+E803</f>
        <v>0</v>
      </c>
      <c r="F805" s="71">
        <f t="shared" ref="F805" si="88">+F781+F785+F790+F793+F797+F804+F803</f>
        <v>0</v>
      </c>
      <c r="G805" s="71">
        <f>+G781+G785+G790+G793+G797+G804+G803</f>
        <v>0</v>
      </c>
      <c r="H805" s="71">
        <f>+H781+H785+H790+H793+H797+H804+H803</f>
        <v>0</v>
      </c>
      <c r="I805" s="71">
        <f>+I781+I785+I790+I793+I797+I804+I803</f>
        <v>0</v>
      </c>
    </row>
    <row r="806" spans="2:12" s="42" customFormat="1" x14ac:dyDescent="0.25">
      <c r="B806" s="160">
        <v>87</v>
      </c>
      <c r="C806" s="154" t="s">
        <v>364</v>
      </c>
      <c r="D806" s="87" t="s">
        <v>1497</v>
      </c>
      <c r="E806" s="71">
        <f>+E780+E805</f>
        <v>0</v>
      </c>
      <c r="F806" s="71">
        <f t="shared" ref="F806" si="89">+F780+F805</f>
        <v>0</v>
      </c>
      <c r="G806" s="71">
        <f>+G780+G805</f>
        <v>0</v>
      </c>
      <c r="H806" s="71">
        <f>+H780+H805</f>
        <v>0</v>
      </c>
      <c r="I806" s="71">
        <f>+I780+I805</f>
        <v>0</v>
      </c>
    </row>
    <row r="807" spans="2:12" s="38" customFormat="1" ht="15.75" x14ac:dyDescent="0.25">
      <c r="C807" s="156"/>
      <c r="E807" s="140"/>
      <c r="F807" s="140"/>
      <c r="G807" s="140"/>
      <c r="H807" s="140"/>
      <c r="I807" s="140"/>
    </row>
    <row r="808" spans="2:12" s="10" customFormat="1" ht="15.75" customHeight="1" x14ac:dyDescent="0.25">
      <c r="B808" s="201" t="str">
        <f>CONCATENATE("12. Kiadási jogcímek"," - ",L808," részletező")</f>
        <v>12. Kiadási jogcímek -  részletező</v>
      </c>
      <c r="C808" s="101"/>
      <c r="D808" s="101"/>
      <c r="E808" s="101"/>
      <c r="F808" s="101"/>
      <c r="G808" s="198"/>
      <c r="H808" s="198"/>
      <c r="I808" s="198"/>
      <c r="L808" s="384"/>
    </row>
    <row r="809" spans="2:12" s="38" customFormat="1" ht="15.75" x14ac:dyDescent="0.25">
      <c r="C809" s="156"/>
      <c r="E809" s="140"/>
      <c r="F809" s="140"/>
      <c r="G809" s="140"/>
      <c r="H809" s="140"/>
      <c r="I809" s="140"/>
    </row>
    <row r="810" spans="2:12" s="40" customFormat="1" x14ac:dyDescent="0.25">
      <c r="B810" s="77"/>
      <c r="C810" s="77" t="s">
        <v>350</v>
      </c>
      <c r="D810" s="77" t="s">
        <v>351</v>
      </c>
      <c r="E810" s="77" t="s">
        <v>470</v>
      </c>
      <c r="F810" s="77" t="s">
        <v>471</v>
      </c>
      <c r="G810" s="77" t="s">
        <v>44</v>
      </c>
      <c r="H810" s="77" t="s">
        <v>42</v>
      </c>
      <c r="I810" s="77" t="s">
        <v>511</v>
      </c>
    </row>
    <row r="811" spans="2:12" s="41" customFormat="1" ht="38.25" x14ac:dyDescent="0.25">
      <c r="B811" s="160">
        <v>1</v>
      </c>
      <c r="C811" s="154" t="s">
        <v>593</v>
      </c>
      <c r="D811" s="154" t="s">
        <v>488</v>
      </c>
      <c r="E811" s="163" t="str">
        <f>CONCATENATE(PAR!$H$3," évi
eredeti 
előirányzat")</f>
        <v>2025. évi
eredeti 
előirányzat</v>
      </c>
      <c r="F811" s="163" t="str">
        <f>CONCATENATE(PAR!$H$3," évi
módosított 
előirányzat")</f>
        <v>2025. évi
módosított 
előirányzat</v>
      </c>
      <c r="G811" s="69" t="s">
        <v>666</v>
      </c>
      <c r="H811" s="69" t="s">
        <v>667</v>
      </c>
      <c r="I811" s="69" t="s">
        <v>668</v>
      </c>
    </row>
    <row r="812" spans="2:12" s="42" customFormat="1" x14ac:dyDescent="0.25">
      <c r="B812" s="160">
        <v>2</v>
      </c>
      <c r="C812" s="78" t="s">
        <v>352</v>
      </c>
      <c r="D812" s="92" t="s">
        <v>2663</v>
      </c>
      <c r="E812" s="71">
        <f>SUM(E813:E818)</f>
        <v>0</v>
      </c>
      <c r="F812" s="71">
        <f>SUM(F813:F818)</f>
        <v>0</v>
      </c>
      <c r="G812" s="71">
        <f>SUM(G813:G818)</f>
        <v>0</v>
      </c>
      <c r="H812" s="71">
        <f>+H813+H814+H815+H816+H817+H818</f>
        <v>0</v>
      </c>
      <c r="I812" s="71">
        <f>+I813+I814+I815+I816+I817+I818</f>
        <v>0</v>
      </c>
    </row>
    <row r="813" spans="2:12" x14ac:dyDescent="0.25">
      <c r="B813" s="160">
        <v>3</v>
      </c>
      <c r="C813" s="305" t="s">
        <v>315</v>
      </c>
      <c r="D813" s="161" t="s">
        <v>342</v>
      </c>
      <c r="E813" s="72">
        <f>SUMIF(Adat!$AI:$AI,CONCATENATE(61,Info!$D$5,"051",L808),Adat!$E:$E)</f>
        <v>0</v>
      </c>
      <c r="F813" s="72">
        <f>SUMIF(Adat!$AI:$AI,CONCATENATE(60,Info!$D$5,"051",L808),Adat!$E:$E)+E813</f>
        <v>0</v>
      </c>
      <c r="G813" s="72">
        <f>SUMIF(Adat!$AJ:$AJ,CONCATENATE(Info!$D$5,"051","(KÖT)",L808),Adat!$E:$E)</f>
        <v>0</v>
      </c>
      <c r="H813" s="72">
        <f>SUMIF(Adat!$AJ:$AJ,CONCATENATE(Info!$D$5,"051","(ÖNV)",L808),Adat!$E:$E)</f>
        <v>0</v>
      </c>
      <c r="I813" s="72">
        <f>SUMIF(Adat!$AJ:$AJ,CONCATENATE(Info!$D$5,"051","(ÁIG)",L808),Adat!$E:$E)</f>
        <v>0</v>
      </c>
    </row>
    <row r="814" spans="2:12" x14ac:dyDescent="0.25">
      <c r="B814" s="160">
        <v>4</v>
      </c>
      <c r="C814" s="305" t="s">
        <v>317</v>
      </c>
      <c r="D814" s="161" t="s">
        <v>395</v>
      </c>
      <c r="E814" s="72">
        <f>SUMIF(Adat!$AI:$AI,CONCATENATE(61,Info!$D$5,"052",L808),Adat!$E:$E)</f>
        <v>0</v>
      </c>
      <c r="F814" s="72">
        <f>SUMIF(Adat!$AI:$AI,CONCATENATE(60,Info!$D$5,"052",L808),Adat!$E:$E)+E814</f>
        <v>0</v>
      </c>
      <c r="G814" s="72">
        <f>SUMIF(Adat!$AJ:$AJ,CONCATENATE(Info!$D$5,"052","(KÖT)",L808),Adat!$E:$E)</f>
        <v>0</v>
      </c>
      <c r="H814" s="72">
        <f>SUMIF(Adat!$AJ:$AJ,CONCATENATE(Info!$D$5,"052","(ÖNV)",L808),Adat!$E:$E)</f>
        <v>0</v>
      </c>
      <c r="I814" s="72">
        <f>SUMIF(Adat!$AJ:$AJ,CONCATENATE(Info!$D$5,"052","(ÁIG)",L808),Adat!$E:$E)</f>
        <v>0</v>
      </c>
    </row>
    <row r="815" spans="2:12" x14ac:dyDescent="0.25">
      <c r="B815" s="160">
        <v>5</v>
      </c>
      <c r="C815" s="305" t="s">
        <v>4</v>
      </c>
      <c r="D815" s="161" t="s">
        <v>344</v>
      </c>
      <c r="E815" s="72">
        <f>SUMIF(Adat!$AI:$AI,CONCATENATE(61,Info!$D$5,"053",L808),Adat!$E:$E)</f>
        <v>0</v>
      </c>
      <c r="F815" s="72">
        <f>SUMIF(Adat!$AI:$AI,CONCATENATE(60,Info!$D$5,"053",L808),Adat!$E:$E)+E815</f>
        <v>0</v>
      </c>
      <c r="G815" s="72">
        <f>SUMIF(Adat!$AJ:$AJ,CONCATENATE(Info!$D$5,"053","(KÖT)",L808),Adat!$E:$E)</f>
        <v>0</v>
      </c>
      <c r="H815" s="72">
        <f>SUMIF(Adat!$AJ:$AJ,CONCATENATE(Info!$D$5,"053","(ÖNV)",L808),Adat!$E:$E)</f>
        <v>0</v>
      </c>
      <c r="I815" s="72">
        <f>SUMIF(Adat!$AJ:$AJ,CONCATENATE(Info!$D$5,"053","(ÁIG)",L808),Adat!$E:$E)</f>
        <v>0</v>
      </c>
    </row>
    <row r="816" spans="2:12" x14ac:dyDescent="0.25">
      <c r="B816" s="160">
        <v>6</v>
      </c>
      <c r="C816" s="305" t="s">
        <v>6</v>
      </c>
      <c r="D816" s="161" t="s">
        <v>345</v>
      </c>
      <c r="E816" s="72">
        <f>SUMIF(Adat!$AI:$AI,CONCATENATE(61,Info!$D$5,"054",L808),Adat!$E:$E)</f>
        <v>0</v>
      </c>
      <c r="F816" s="72">
        <f>SUMIF(Adat!$AI:$AI,CONCATENATE(60,Info!$D$5,"054",L808),Adat!$E:$E)+E816</f>
        <v>0</v>
      </c>
      <c r="G816" s="72">
        <f>SUMIF(Adat!$AJ:$AJ,CONCATENATE(Info!$D$5,"054","(KÖT)",L808),Adat!$E:$E)</f>
        <v>0</v>
      </c>
      <c r="H816" s="72">
        <f>SUMIF(Adat!$AJ:$AJ,CONCATENATE(Info!$D$5,"054","(ÖNV)",L808),Adat!$E:$E)</f>
        <v>0</v>
      </c>
      <c r="I816" s="72">
        <f>SUMIF(Adat!$AJ:$AJ,CONCATENATE(Info!$D$5,"054","(ÁIG)",L808),Adat!$E:$E)</f>
        <v>0</v>
      </c>
    </row>
    <row r="817" spans="2:9" x14ac:dyDescent="0.25">
      <c r="B817" s="160">
        <v>7</v>
      </c>
      <c r="C817" s="305" t="s">
        <v>8</v>
      </c>
      <c r="D817" s="161" t="s">
        <v>321</v>
      </c>
      <c r="E817" s="72">
        <f>SUMIF(Adat!$AI:$AI,CONCATENATE(61,Info!$D$5,"055",L808),Adat!$E:$E)-E818</f>
        <v>0</v>
      </c>
      <c r="F817" s="72">
        <f>SUMIF(Adat!$AI:$AI,CONCATENATE(60,Info!$D$5,"055",L808),Adat!$E:$E)+E817-F818+E818</f>
        <v>0</v>
      </c>
      <c r="G817" s="72">
        <f>SUMIF(Adat!$AJ:$AJ,CONCATENATE(Info!$D$5,"055","(KÖT)",L808),Adat!$E:$E)-G818</f>
        <v>0</v>
      </c>
      <c r="H817" s="72">
        <f>SUMIF(Adat!$AJ:$AJ,CONCATENATE(Info!$D$5,"055","(ÖNV)",L808),Adat!$E:$E)-H818</f>
        <v>0</v>
      </c>
      <c r="I817" s="72">
        <f>SUMIF(Adat!$AJ:$AJ,CONCATENATE(Info!$D$5,"055","(ÁIG)",L808),Adat!$E:$E)-I818</f>
        <v>0</v>
      </c>
    </row>
    <row r="818" spans="2:9" x14ac:dyDescent="0.25">
      <c r="B818" s="160">
        <v>8</v>
      </c>
      <c r="C818" s="305" t="s">
        <v>1283</v>
      </c>
      <c r="D818" s="161" t="s">
        <v>397</v>
      </c>
      <c r="E818" s="72">
        <f>SUMIF(Adat!$AG:$AG,CONCATENATE(61,Info!$D$5,"055131",L808),Adat!$E:$E)</f>
        <v>0</v>
      </c>
      <c r="F818" s="72">
        <f>SUMIF(Adat!$AG:$AG,CONCATENATE(60,Info!$D$5,"055131",L808),Adat!$E:$E)+E818</f>
        <v>0</v>
      </c>
      <c r="G818" s="72">
        <f>SUMIF(Adat!$AH:$AH,CONCATENATE(Info!$D$5,"(KÖT)","055131",L808),Adat!$E:$E)</f>
        <v>0</v>
      </c>
      <c r="H818" s="72">
        <f>SUMIF(Adat!$AH:$AH,CONCATENATE(Info!$D$5,"(ÖNV)","055131",L808),Adat!$E:$E)*-1</f>
        <v>0</v>
      </c>
      <c r="I818" s="72">
        <f>SUMIF(Adat!$AH:$AH,CONCATENATE(Info!$D$5,"(ÁIG)","055131",L808),Adat!$E:$E)*-1</f>
        <v>0</v>
      </c>
    </row>
    <row r="819" spans="2:9" x14ac:dyDescent="0.25">
      <c r="B819" s="160">
        <v>9</v>
      </c>
      <c r="C819" s="305" t="s">
        <v>1283</v>
      </c>
      <c r="D819" s="93" t="s">
        <v>1445</v>
      </c>
      <c r="E819" s="72">
        <v>0</v>
      </c>
      <c r="F819" s="72">
        <f>SUM(G819:I819)</f>
        <v>0</v>
      </c>
      <c r="G819" s="72">
        <v>0</v>
      </c>
      <c r="H819" s="72">
        <v>0</v>
      </c>
      <c r="I819" s="72">
        <v>0</v>
      </c>
    </row>
    <row r="820" spans="2:9" x14ac:dyDescent="0.25">
      <c r="B820" s="160">
        <v>10</v>
      </c>
      <c r="C820" s="305" t="s">
        <v>1283</v>
      </c>
      <c r="D820" s="93" t="s">
        <v>1446</v>
      </c>
      <c r="E820" s="72">
        <v>0</v>
      </c>
      <c r="F820" s="72">
        <f>SUM(G820:I820)</f>
        <v>0</v>
      </c>
      <c r="G820" s="72">
        <v>0</v>
      </c>
      <c r="H820" s="72">
        <v>0</v>
      </c>
      <c r="I820" s="72">
        <v>0</v>
      </c>
    </row>
    <row r="821" spans="2:9" x14ac:dyDescent="0.25">
      <c r="B821" s="160">
        <v>11</v>
      </c>
      <c r="C821" s="78" t="s">
        <v>358</v>
      </c>
      <c r="D821" s="92" t="s">
        <v>2664</v>
      </c>
      <c r="E821" s="71">
        <f>+E822+E824+E826</f>
        <v>0</v>
      </c>
      <c r="F821" s="71">
        <f>+F822+F824+F826</f>
        <v>0</v>
      </c>
      <c r="G821" s="71">
        <f>+G822+G824+G826</f>
        <v>0</v>
      </c>
      <c r="H821" s="71">
        <f>+H822+H824+H826</f>
        <v>0</v>
      </c>
      <c r="I821" s="71">
        <f>+I822+I824+I826</f>
        <v>0</v>
      </c>
    </row>
    <row r="822" spans="2:9" x14ac:dyDescent="0.25">
      <c r="B822" s="160">
        <v>12</v>
      </c>
      <c r="C822" s="305" t="s">
        <v>10</v>
      </c>
      <c r="D822" s="317" t="s">
        <v>322</v>
      </c>
      <c r="E822" s="72">
        <f>SUMIF(Adat!$AI:$AI,CONCATENATE(61,Info!$D$5,"056",L808),Adat!$E:$E)</f>
        <v>0</v>
      </c>
      <c r="F822" s="72">
        <f>SUMIF(Adat!$AI:$AI,CONCATENATE(60,Info!$D$5,"056",L808),Adat!$E:$E)+E822</f>
        <v>0</v>
      </c>
      <c r="G822" s="72">
        <f>SUMIF(Adat!$AJ:$AJ,CONCATENATE(Info!$D$5,"056","(KÖT)",L808),Adat!$E:$E)</f>
        <v>0</v>
      </c>
      <c r="H822" s="72">
        <f>SUMIF(Adat!$AJ:$AJ,CONCATENATE(Info!$D$5,"056","(ÖNV)",L808),Adat!$E:$E)</f>
        <v>0</v>
      </c>
      <c r="I822" s="72">
        <f>SUMIF(Adat!$AJ:$AJ,CONCATENATE(Info!$D$5,"056","(ÁIG)",L808),Adat!$E:$E)</f>
        <v>0</v>
      </c>
    </row>
    <row r="823" spans="2:9" x14ac:dyDescent="0.25">
      <c r="B823" s="160">
        <v>13</v>
      </c>
      <c r="C823" s="305" t="s">
        <v>10</v>
      </c>
      <c r="D823" s="317" t="s">
        <v>1448</v>
      </c>
      <c r="E823" s="72">
        <v>0</v>
      </c>
      <c r="F823" s="72">
        <f>SUM(G823:I823)</f>
        <v>0</v>
      </c>
      <c r="G823" s="72">
        <v>0</v>
      </c>
      <c r="H823" s="72">
        <v>0</v>
      </c>
      <c r="I823" s="72">
        <v>0</v>
      </c>
    </row>
    <row r="824" spans="2:9" x14ac:dyDescent="0.25">
      <c r="B824" s="160">
        <v>14</v>
      </c>
      <c r="C824" s="305" t="s">
        <v>12</v>
      </c>
      <c r="D824" s="317" t="s">
        <v>323</v>
      </c>
      <c r="E824" s="72">
        <f>SUMIF(Adat!$AI:$AI,CONCATENATE(61,Info!$D$5,"057",L808),Adat!$E:$E)</f>
        <v>0</v>
      </c>
      <c r="F824" s="72">
        <f>SUMIF(Adat!$AI:$AI,CONCATENATE(60,Info!$D$5,"057",L808),Adat!$E:$E)+E824</f>
        <v>0</v>
      </c>
      <c r="G824" s="72">
        <f>SUMIF(Adat!$AJ:$AJ,CONCATENATE(Info!$D$5,"057","(KÖT)",L808),Adat!$E:$E)</f>
        <v>0</v>
      </c>
      <c r="H824" s="72">
        <f>SUMIF(Adat!$AJ:$AJ,CONCATENATE(Info!$D$5,"057","(ÖNV)",L808),Adat!$E:$E)</f>
        <v>0</v>
      </c>
      <c r="I824" s="72">
        <f>SUMIF(Adat!$AJ:$AJ,CONCATENATE(Info!$D$5,"057","(ÁIG)",L808),Adat!$E:$E)</f>
        <v>0</v>
      </c>
    </row>
    <row r="825" spans="2:9" x14ac:dyDescent="0.25">
      <c r="B825" s="160">
        <v>15</v>
      </c>
      <c r="C825" s="305" t="s">
        <v>12</v>
      </c>
      <c r="D825" s="317" t="s">
        <v>1449</v>
      </c>
      <c r="E825" s="72">
        <v>0</v>
      </c>
      <c r="F825" s="72">
        <f>SUM(G825:I825)</f>
        <v>0</v>
      </c>
      <c r="G825" s="72">
        <v>0</v>
      </c>
      <c r="H825" s="72">
        <v>0</v>
      </c>
      <c r="I825" s="72">
        <v>0</v>
      </c>
    </row>
    <row r="826" spans="2:9" x14ac:dyDescent="0.25">
      <c r="B826" s="160">
        <v>16</v>
      </c>
      <c r="C826" s="305" t="s">
        <v>15</v>
      </c>
      <c r="D826" s="317" t="s">
        <v>324</v>
      </c>
      <c r="E826" s="72">
        <f>SUMIF(Adat!$AI:$AI,CONCATENATE(61,Info!$D$5,"058",L808),Adat!$E:$E)</f>
        <v>0</v>
      </c>
      <c r="F826" s="72">
        <f>SUMIF(Adat!$AI:$AI,CONCATENATE(60,Info!$D$5,"058",L808),Adat!$E:$E)+E826</f>
        <v>0</v>
      </c>
      <c r="G826" s="72">
        <f>SUMIF(Adat!$AJ:$AJ,CONCATENATE(Info!$D$5,"058","(KÖT)",L808),Adat!$E:$E)</f>
        <v>0</v>
      </c>
      <c r="H826" s="72">
        <f>SUMIF(Adat!$AJ:$AJ,CONCATENATE(Info!$D$5,"058","(ÖNV)",L808),Adat!$E:$E)</f>
        <v>0</v>
      </c>
      <c r="I826" s="72">
        <f>SUMIF(Adat!$AJ:$AJ,CONCATENATE(Info!$D$5,"058","(ÁIG)",L808),Adat!$E:$E)</f>
        <v>0</v>
      </c>
    </row>
    <row r="827" spans="2:9" x14ac:dyDescent="0.25">
      <c r="B827" s="160">
        <v>17</v>
      </c>
      <c r="C827" s="78" t="s">
        <v>364</v>
      </c>
      <c r="D827" s="86" t="s">
        <v>402</v>
      </c>
      <c r="E827" s="71">
        <f>+E812+E821</f>
        <v>0</v>
      </c>
      <c r="F827" s="71">
        <f>+F812+F821</f>
        <v>0</v>
      </c>
      <c r="G827" s="71">
        <f>+G812+G821</f>
        <v>0</v>
      </c>
      <c r="H827" s="71">
        <f>+H812+H821</f>
        <v>0</v>
      </c>
      <c r="I827" s="71">
        <f>+I812+I821</f>
        <v>0</v>
      </c>
    </row>
    <row r="828" spans="2:9" x14ac:dyDescent="0.25">
      <c r="B828" s="160">
        <v>18</v>
      </c>
      <c r="C828" s="78" t="s">
        <v>403</v>
      </c>
      <c r="D828" s="86" t="s">
        <v>1450</v>
      </c>
      <c r="E828" s="71">
        <f>+E829+E830+E831</f>
        <v>0</v>
      </c>
      <c r="F828" s="71">
        <f>+F829+F830+F831</f>
        <v>0</v>
      </c>
      <c r="G828" s="71">
        <f>+G829+G830+G831</f>
        <v>0</v>
      </c>
      <c r="H828" s="71">
        <f>+H829+H830+H831</f>
        <v>0</v>
      </c>
      <c r="I828" s="71">
        <f>+I829+I830+I831</f>
        <v>0</v>
      </c>
    </row>
    <row r="829" spans="2:9" s="42" customFormat="1" x14ac:dyDescent="0.25">
      <c r="B829" s="160">
        <v>19</v>
      </c>
      <c r="C829" s="305" t="s">
        <v>1451</v>
      </c>
      <c r="D829" s="161" t="s">
        <v>490</v>
      </c>
      <c r="E829" s="72">
        <f>SUMIF(Adat!$AG:$AG,CONCATENATE(61,Info!$D$5,"0591111",L808),Adat!$E:$E)</f>
        <v>0</v>
      </c>
      <c r="F829" s="72">
        <f>SUMIF(Adat!$AG:$AG,CONCATENATE(60,Info!$D$5,"0591111",L808),Adat!$E:$E)+E829</f>
        <v>0</v>
      </c>
      <c r="G829" s="72">
        <f>SUMIF(Adat!$AH:$AH,CONCATENATE(Info!$D$5,"(KÖT)","0591111",L808),Adat!$E:$E)</f>
        <v>0</v>
      </c>
      <c r="H829" s="72">
        <f>SUMIF(Adat!$AH:$AH,CONCATENATE(Info!$D$5,"(ÖNV)","0591111",L808),Adat!$E:$E)</f>
        <v>0</v>
      </c>
      <c r="I829" s="72">
        <f>SUMIF(Adat!$AH:$AH,CONCATENATE(Info!$D$5,"(ÁIG)","0591111",L808),Adat!$E:$E)</f>
        <v>0</v>
      </c>
    </row>
    <row r="830" spans="2:9" x14ac:dyDescent="0.25">
      <c r="B830" s="160">
        <v>20</v>
      </c>
      <c r="C830" s="305" t="s">
        <v>1453</v>
      </c>
      <c r="D830" s="161" t="s">
        <v>406</v>
      </c>
      <c r="E830" s="72">
        <f>SUMIF(Adat!$AG:$AG,CONCATENATE(61,Info!$D$5,"0591121",L808),Adat!$E:$E)</f>
        <v>0</v>
      </c>
      <c r="F830" s="72">
        <f>SUMIF(Adat!$AG:$AG,CONCATENATE(60,Info!$D$5,"0591121",L808),Adat!$E:$E)+E830</f>
        <v>0</v>
      </c>
      <c r="G830" s="72">
        <f>SUMIF(Adat!$AH:$AH,CONCATENATE(Info!$D$5,"(KÖT)","0591121",L808),Adat!$E:$E)</f>
        <v>0</v>
      </c>
      <c r="H830" s="72">
        <f>SUMIF(Adat!$AH:$AH,CONCATENATE(Info!$D$5,"(ÖNV)","0591121",L808),Adat!$E:$E)</f>
        <v>0</v>
      </c>
      <c r="I830" s="72">
        <f>SUMIF(Adat!$AH:$AH,CONCATENATE(Info!$D$5,"(ÁIG)","0591121",L808),Adat!$E:$E)</f>
        <v>0</v>
      </c>
    </row>
    <row r="831" spans="2:9" x14ac:dyDescent="0.25">
      <c r="B831" s="160">
        <v>21</v>
      </c>
      <c r="C831" s="305" t="s">
        <v>1455</v>
      </c>
      <c r="D831" s="161" t="s">
        <v>491</v>
      </c>
      <c r="E831" s="72">
        <f>SUMIF(Adat!$AG:$AG,CONCATENATE(61,Info!$D$5,"0591131",L808),Adat!$E:$E)</f>
        <v>0</v>
      </c>
      <c r="F831" s="72">
        <f>SUMIF(Adat!$AG:$AG,CONCATENATE(60,Info!$D$5,"0591131",L808),Adat!$E:$E)+E831</f>
        <v>0</v>
      </c>
      <c r="G831" s="72">
        <f>SUMIF(Adat!$AH:$AH,CONCATENATE(Info!$D$5,"(KÖT)","0591131",L808),Adat!$E:$E)</f>
        <v>0</v>
      </c>
      <c r="H831" s="72">
        <f>SUMIF(Adat!$AH:$AH,CONCATENATE(Info!$D$5,"(ÖNV)","0591131",L808),Adat!$E:$E)</f>
        <v>0</v>
      </c>
      <c r="I831" s="72">
        <f>SUMIF(Adat!$AH:$AH,CONCATENATE(Info!$D$5,"(ÁIG)","0591131",L808),Adat!$E:$E)</f>
        <v>0</v>
      </c>
    </row>
    <row r="832" spans="2:9" x14ac:dyDescent="0.25">
      <c r="B832" s="160">
        <v>22</v>
      </c>
      <c r="C832" s="78" t="s">
        <v>372</v>
      </c>
      <c r="D832" s="86" t="s">
        <v>1457</v>
      </c>
      <c r="E832" s="71">
        <f>+E833+E834+E835+E836+E837+E838</f>
        <v>0</v>
      </c>
      <c r="F832" s="71">
        <f>+F833+F834+F835+F836+F837+F838</f>
        <v>0</v>
      </c>
      <c r="G832" s="71">
        <f>+G833+G834+G835+G836+G837+G838</f>
        <v>0</v>
      </c>
      <c r="H832" s="71">
        <f>+H833+H834+H835+H836+H837+H838</f>
        <v>0</v>
      </c>
      <c r="I832" s="71">
        <f>+I833+I834+I835+I836+I837+I838</f>
        <v>0</v>
      </c>
    </row>
    <row r="833" spans="2:18" x14ac:dyDescent="0.25">
      <c r="B833" s="160">
        <v>23</v>
      </c>
      <c r="C833" s="305" t="s">
        <v>1458</v>
      </c>
      <c r="D833" s="161" t="s">
        <v>409</v>
      </c>
      <c r="E833" s="72">
        <f>SUMIF(Adat!$AG:$AG,CONCATENATE(61,Info!$D$5,"0591211",L808),Adat!$E:$E)</f>
        <v>0</v>
      </c>
      <c r="F833" s="72">
        <f>SUMIF(Adat!$AG:$AG,CONCATENATE(60,Info!$D$5,"0591211",L808),Adat!$E:$E)+E833</f>
        <v>0</v>
      </c>
      <c r="G833" s="72">
        <f>SUMIF(Adat!$AH:$AH,CONCATENATE(Info!$D$5,"(KÖT)","0591211",L808),Adat!$E:$E)</f>
        <v>0</v>
      </c>
      <c r="H833" s="72">
        <f>SUMIF(Adat!$AH:$AH,CONCATENATE(Info!$D$5,"(ÖNV)","0591211",L808),Adat!$E:$E)</f>
        <v>0</v>
      </c>
      <c r="I833" s="72">
        <f>SUMIF(Adat!$AH:$AH,CONCATENATE(Info!$D$5,"(ÁIG)","0591211",L808),Adat!$E:$E)</f>
        <v>0</v>
      </c>
    </row>
    <row r="834" spans="2:18" x14ac:dyDescent="0.25">
      <c r="B834" s="160">
        <v>24</v>
      </c>
      <c r="C834" s="305" t="s">
        <v>1460</v>
      </c>
      <c r="D834" s="161" t="s">
        <v>410</v>
      </c>
      <c r="E834" s="72">
        <f>SUMIF(Adat!$AG:$AG,CONCATENATE(61,Info!$D$5,"0591221",L808),Adat!$E:$E)</f>
        <v>0</v>
      </c>
      <c r="F834" s="72">
        <f>SUMIF(Adat!$AG:$AG,CONCATENATE(60,Info!$D$5,"0591221",L808),Adat!$E:$E)+E834</f>
        <v>0</v>
      </c>
      <c r="G834" s="72">
        <f>SUMIF(Adat!$AH:$AH,CONCATENATE(Info!$D$5,"(KÖT)","0591221",L808),Adat!$E:$E)</f>
        <v>0</v>
      </c>
      <c r="H834" s="72">
        <f>SUMIF(Adat!$AH:$AH,CONCATENATE(Info!$D$5,"(ÖNV)","0591221",L808),Adat!$E:$E)</f>
        <v>0</v>
      </c>
      <c r="I834" s="72">
        <f>SUMIF(Adat!$AH:$AH,CONCATENATE(Info!$D$5,"(ÁIG)","0591221",L808),Adat!$E:$E)</f>
        <v>0</v>
      </c>
    </row>
    <row r="835" spans="2:18" x14ac:dyDescent="0.25">
      <c r="B835" s="160">
        <v>25</v>
      </c>
      <c r="C835" s="305" t="s">
        <v>1462</v>
      </c>
      <c r="D835" s="161" t="s">
        <v>411</v>
      </c>
      <c r="E835" s="72">
        <f>SUMIF(Adat!$AG:$AG,CONCATENATE(61,Info!$D$5,"0591231",L808),Adat!$E:$E)</f>
        <v>0</v>
      </c>
      <c r="F835" s="72">
        <f>SUMIF(Adat!$AG:$AG,CONCATENATE(60,Info!$D$5,"0591231",L808),Adat!$E:$E)+E835</f>
        <v>0</v>
      </c>
      <c r="G835" s="72">
        <f>SUMIF(Adat!$AH:$AH,CONCATENATE(Info!$D$5,"(KÖT)","0591231",L808),Adat!$E:$E)</f>
        <v>0</v>
      </c>
      <c r="H835" s="72">
        <f>SUMIF(Adat!$AH:$AH,CONCATENATE(Info!$D$5,"(ÖNV)","0591231",L808),Adat!$E:$E)</f>
        <v>0</v>
      </c>
      <c r="I835" s="72">
        <f>SUMIF(Adat!$AH:$AH,CONCATENATE(Info!$D$5,"(ÁIG)","0591231",L808),Adat!$E:$E)</f>
        <v>0</v>
      </c>
    </row>
    <row r="836" spans="2:18" x14ac:dyDescent="0.25">
      <c r="B836" s="160">
        <v>26</v>
      </c>
      <c r="C836" s="305" t="s">
        <v>1464</v>
      </c>
      <c r="D836" s="161" t="s">
        <v>492</v>
      </c>
      <c r="E836" s="72">
        <f>SUMIF(Adat!$AG:$AG,CONCATENATE(61,Info!$D$5,"0591241",L808),Adat!$E:$E)</f>
        <v>0</v>
      </c>
      <c r="F836" s="72">
        <f>SUMIF(Adat!$AG:$AG,CONCATENATE(60,Info!$D$5,"0591241",L808),Adat!$E:$E)+E836</f>
        <v>0</v>
      </c>
      <c r="G836" s="72">
        <f>SUMIF(Adat!$AH:$AH,CONCATENATE(Info!$D$5,"(KÖT)","0591241",L808),Adat!$E:$E)</f>
        <v>0</v>
      </c>
      <c r="H836" s="72">
        <f>SUMIF(Adat!$AH:$AH,CONCATENATE(Info!$D$5,"(ÖNV)","0591241",L808),Adat!$E:$E)</f>
        <v>0</v>
      </c>
      <c r="I836" s="72">
        <f>SUMIF(Adat!$AH:$AH,CONCATENATE(Info!$D$5,"(ÁIG)","0591241",L808),Adat!$E:$E)</f>
        <v>0</v>
      </c>
    </row>
    <row r="837" spans="2:18" x14ac:dyDescent="0.25">
      <c r="B837" s="160">
        <v>27</v>
      </c>
      <c r="C837" s="305" t="s">
        <v>1466</v>
      </c>
      <c r="D837" s="161" t="s">
        <v>413</v>
      </c>
      <c r="E837" s="72">
        <f>SUMIF(Adat!$AG:$AG,CONCATENATE(61,Info!$D$5,"0591251",L808),Adat!$E:$E)</f>
        <v>0</v>
      </c>
      <c r="F837" s="72">
        <f>SUMIF(Adat!$AG:$AG,CONCATENATE(60,Info!$D$5,"0591251",L808),Adat!$E:$E)+E837</f>
        <v>0</v>
      </c>
      <c r="G837" s="72">
        <f>SUMIF(Adat!$AH:$AH,CONCATENATE(Info!$D$5,"(KÖT)","0591251",L808),Adat!$E:$E)</f>
        <v>0</v>
      </c>
      <c r="H837" s="72">
        <f>SUMIF(Adat!$AH:$AH,CONCATENATE(Info!$D$5,"(ÖNV)","0591251",L808),Adat!$E:$E)</f>
        <v>0</v>
      </c>
      <c r="I837" s="72">
        <f>SUMIF(Adat!$AH:$AH,CONCATENATE(Info!$D$5,"(ÁIG)","0591251",L808),Adat!$E:$E)</f>
        <v>0</v>
      </c>
    </row>
    <row r="838" spans="2:18" s="42" customFormat="1" x14ac:dyDescent="0.25">
      <c r="B838" s="160">
        <v>28</v>
      </c>
      <c r="C838" s="305" t="s">
        <v>1468</v>
      </c>
      <c r="D838" s="161" t="s">
        <v>414</v>
      </c>
      <c r="E838" s="72">
        <f>SUMIF(Adat!$AG:$AG,CONCATENATE(61,Info!$D$5,"0591261",L808),Adat!$E:$E)</f>
        <v>0</v>
      </c>
      <c r="F838" s="72">
        <f>SUMIF(Adat!$AG:$AG,CONCATENATE(60,Info!$D$5,"0591261",L808),Adat!$E:$E)+E838</f>
        <v>0</v>
      </c>
      <c r="G838" s="72">
        <f>SUMIF(Adat!$AH:$AH,CONCATENATE(Info!$D$5,"(KÖT)","0591261",L808),Adat!$E:$E)</f>
        <v>0</v>
      </c>
      <c r="H838" s="72">
        <f>SUMIF(Adat!$AH:$AH,CONCATENATE(Info!$D$5,"(ÖNV)","0591261",L808),Adat!$E:$E)</f>
        <v>0</v>
      </c>
      <c r="I838" s="72">
        <f>SUMIF(Adat!$AH:$AH,CONCATENATE(Info!$D$5,"(ÁIG)","0591261",L808),Adat!$E:$E)</f>
        <v>0</v>
      </c>
    </row>
    <row r="839" spans="2:18" x14ac:dyDescent="0.25">
      <c r="B839" s="160">
        <v>29</v>
      </c>
      <c r="C839" s="78" t="s">
        <v>379</v>
      </c>
      <c r="D839" s="86" t="s">
        <v>1470</v>
      </c>
      <c r="E839" s="71">
        <f>+E840+E841+E843+E844+E842</f>
        <v>0</v>
      </c>
      <c r="F839" s="71">
        <f>+F840+F841+F843+F844+F842</f>
        <v>0</v>
      </c>
      <c r="G839" s="71">
        <f>+G840+G841+G843+G844+G842</f>
        <v>0</v>
      </c>
      <c r="H839" s="71">
        <f>+H840+H841+H843+H844+H842</f>
        <v>0</v>
      </c>
      <c r="I839" s="71">
        <f>+I840+I841+I843+I844+I842</f>
        <v>0</v>
      </c>
      <c r="R839" s="43"/>
    </row>
    <row r="840" spans="2:18" x14ac:dyDescent="0.25">
      <c r="B840" s="160">
        <v>30</v>
      </c>
      <c r="C840" s="305" t="s">
        <v>1471</v>
      </c>
      <c r="D840" s="161" t="s">
        <v>416</v>
      </c>
      <c r="E840" s="72">
        <f>SUMIF(Adat!$AG:$AG,CONCATENATE(61,Info!$D$5,"059131",L808),Adat!$E:$E)</f>
        <v>0</v>
      </c>
      <c r="F840" s="72">
        <f>SUMIF(Adat!$AG:$AG,CONCATENATE(60,Info!$D$5,"059131",L808),Adat!$E:$E)+E840</f>
        <v>0</v>
      </c>
      <c r="G840" s="72">
        <f>SUMIF(Adat!$AH:$AH,CONCATENATE(Info!$D$5,"(KÖT)","059131",L808),Adat!$E:$E)</f>
        <v>0</v>
      </c>
      <c r="H840" s="72">
        <f>SUMIF(Adat!$AH:$AH,CONCATENATE(Info!$D$5,"(ÖNV)","059131",L808),Adat!$E:$E)</f>
        <v>0</v>
      </c>
      <c r="I840" s="72">
        <f>SUMIF(Adat!$AH:$AH,CONCATENATE(Info!$D$5,"(ÁIG)","059131",L808),Adat!$E:$E)</f>
        <v>0</v>
      </c>
    </row>
    <row r="841" spans="2:18" x14ac:dyDescent="0.25">
      <c r="B841" s="160">
        <v>31</v>
      </c>
      <c r="C841" s="305" t="s">
        <v>1287</v>
      </c>
      <c r="D841" s="161" t="s">
        <v>417</v>
      </c>
      <c r="E841" s="72">
        <f>SUMIF(Adat!$AG:$AG,CONCATENATE(61,Info!$D$5,"059141",L808),Adat!$E:$E)</f>
        <v>0</v>
      </c>
      <c r="F841" s="72">
        <f>SUMIF(Adat!$AG:$AG,CONCATENATE(60,Info!$D$5,"059141",L808),Adat!$E:$E)+E841</f>
        <v>0</v>
      </c>
      <c r="G841" s="72">
        <f>SUMIF(Adat!$AH:$AH,CONCATENATE(Info!$D$5,"(KÖT)","059141",L808),Adat!$E:$E)</f>
        <v>0</v>
      </c>
      <c r="H841" s="72">
        <f>SUMIF(Adat!$AH:$AH,CONCATENATE(Info!$D$5,"(ÖNV)","059141",L808),Adat!$E:$E)</f>
        <v>0</v>
      </c>
      <c r="I841" s="72">
        <f>SUMIF(Adat!$AH:$AH,CONCATENATE(Info!$D$5,"(ÁIG)","059141",L808),Adat!$E:$E)</f>
        <v>0</v>
      </c>
    </row>
    <row r="842" spans="2:18" x14ac:dyDescent="0.25">
      <c r="B842" s="160">
        <v>32</v>
      </c>
      <c r="C842" s="316" t="s">
        <v>1253</v>
      </c>
      <c r="D842" s="161" t="s">
        <v>493</v>
      </c>
      <c r="E842" s="72">
        <f>SUMIF(Adat!$AG:$AG,CONCATENATE(61,Info!$D$5,"059151",L808),Adat!$E:$E)</f>
        <v>0</v>
      </c>
      <c r="F842" s="72">
        <f>SUMIF(Adat!$AG:$AG,CONCATENATE(60,Info!$D$5,"059151",L808),Adat!$E:$E)+E842</f>
        <v>0</v>
      </c>
      <c r="G842" s="72">
        <f>SUMIF(Adat!$AH:$AH,CONCATENATE(Info!$D$5,"(KÖT)","059151",L808),Adat!$E:$E)</f>
        <v>0</v>
      </c>
      <c r="H842" s="72">
        <f>SUMIF(Adat!$AH:$AH,CONCATENATE(Info!$D$5,"(ÖNV)","059151",L808),Adat!$E:$E)</f>
        <v>0</v>
      </c>
      <c r="I842" s="72">
        <f>SUMIF(Adat!$AH:$AH,CONCATENATE(Info!$D$5,"(ÁIG)","059151",L808),Adat!$E:$E)</f>
        <v>0</v>
      </c>
    </row>
    <row r="843" spans="2:18" s="42" customFormat="1" x14ac:dyDescent="0.25">
      <c r="B843" s="160">
        <v>33</v>
      </c>
      <c r="C843" s="305" t="s">
        <v>1474</v>
      </c>
      <c r="D843" s="161" t="s">
        <v>418</v>
      </c>
      <c r="E843" s="72">
        <f>SUMIF(Adat!$AG:$AG,CONCATENATE(61,Info!$D$5,"059161",L808),Adat!$E:$E)</f>
        <v>0</v>
      </c>
      <c r="F843" s="72">
        <f>SUMIF(Adat!$AG:$AG,CONCATENATE(60,Info!$D$5,"059161",L808),Adat!$E:$E)+E843</f>
        <v>0</v>
      </c>
      <c r="G843" s="72">
        <f>SUMIF(Adat!$AH:$AH,CONCATENATE(Info!$D$5,"(KÖT)","059161",L808),Adat!$E:$E)</f>
        <v>0</v>
      </c>
      <c r="H843" s="72">
        <f>SUMIF(Adat!$AH:$AH,CONCATENATE(Info!$D$5,"(ÖNV)","059161",L808),Adat!$E:$E)</f>
        <v>0</v>
      </c>
      <c r="I843" s="72">
        <f>SUMIF(Adat!$AH:$AH,CONCATENATE(Info!$D$5,"(ÁIG)","059161",L808),Adat!$E:$E)</f>
        <v>0</v>
      </c>
    </row>
    <row r="844" spans="2:18" s="42" customFormat="1" x14ac:dyDescent="0.25">
      <c r="B844" s="160">
        <v>34</v>
      </c>
      <c r="C844" s="305" t="s">
        <v>1476</v>
      </c>
      <c r="D844" s="161" t="s">
        <v>419</v>
      </c>
      <c r="E844" s="72">
        <f>SUMIF(Adat!$AG:$AG,CONCATENATE(61,Info!$D$5,"059171",L808),Adat!$E:$E)</f>
        <v>0</v>
      </c>
      <c r="F844" s="72">
        <f>SUMIF(Adat!$AG:$AG,CONCATENATE(60,Info!$D$5,"059171",L808),Adat!$E:$E)+E844</f>
        <v>0</v>
      </c>
      <c r="G844" s="72">
        <f>SUMIF(Adat!$AH:$AH,CONCATENATE(Info!$D$5,"(KÖT)","059171",L808),Adat!$E:$E)</f>
        <v>0</v>
      </c>
      <c r="H844" s="72">
        <f>SUMIF(Adat!$AH:$AH,CONCATENATE(Info!$D$5,"(ÖNV)","059171",L808),Adat!$E:$E)</f>
        <v>0</v>
      </c>
      <c r="I844" s="72">
        <f>SUMIF(Adat!$AH:$AH,CONCATENATE(Info!$D$5,"(ÁIG)","059171",L808),Adat!$E:$E)</f>
        <v>0</v>
      </c>
    </row>
    <row r="845" spans="2:18" s="42" customFormat="1" x14ac:dyDescent="0.25">
      <c r="B845" s="160">
        <v>35</v>
      </c>
      <c r="C845" s="78" t="s">
        <v>420</v>
      </c>
      <c r="D845" s="86" t="s">
        <v>1478</v>
      </c>
      <c r="E845" s="73">
        <f>+E846+E847+E848+E849+E850</f>
        <v>0</v>
      </c>
      <c r="F845" s="73">
        <f>+F846+F847+F848+F849+F850</f>
        <v>0</v>
      </c>
      <c r="G845" s="73">
        <f>+G846+G847+G848+G849+G850</f>
        <v>0</v>
      </c>
      <c r="H845" s="73">
        <f>+H846+H847+H848+H849+H850</f>
        <v>0</v>
      </c>
      <c r="I845" s="73">
        <f>+I846+I847+I848+I849+I850</f>
        <v>0</v>
      </c>
    </row>
    <row r="846" spans="2:18" s="42" customFormat="1" x14ac:dyDescent="0.25">
      <c r="B846" s="160">
        <v>36</v>
      </c>
      <c r="C846" s="305" t="s">
        <v>1479</v>
      </c>
      <c r="D846" s="161" t="s">
        <v>422</v>
      </c>
      <c r="E846" s="72">
        <f>SUMIF(Adat!$AG:$AG,CONCATENATE(61,Info!$D$5,"059211",L808),Adat!$E:$E)</f>
        <v>0</v>
      </c>
      <c r="F846" s="72">
        <f>SUMIF(Adat!$AG:$AG,CONCATENATE(60,Info!$D$5,"059211",L808),Adat!$E:$E)+E846</f>
        <v>0</v>
      </c>
      <c r="G846" s="72">
        <f>SUMIF(Adat!$AH:$AH,CONCATENATE(Info!$D$5,"(KÖT)","059211",L808),Adat!$E:$E)</f>
        <v>0</v>
      </c>
      <c r="H846" s="72">
        <f>SUMIF(Adat!$AH:$AH,CONCATENATE(Info!$D$5,"(ÖNV)","059211",L808),Adat!$E:$E)</f>
        <v>0</v>
      </c>
      <c r="I846" s="72">
        <f>SUMIF(Adat!$AH:$AH,CONCATENATE(Info!$D$5,"(ÁIG)","059211",L808),Adat!$E:$E)</f>
        <v>0</v>
      </c>
    </row>
    <row r="847" spans="2:18" s="42" customFormat="1" x14ac:dyDescent="0.25">
      <c r="B847" s="160">
        <v>37</v>
      </c>
      <c r="C847" s="305" t="s">
        <v>1481</v>
      </c>
      <c r="D847" s="161" t="s">
        <v>423</v>
      </c>
      <c r="E847" s="72">
        <f>SUMIF(Adat!$AG:$AG,CONCATENATE(61,Info!$D$5,"059221",L808),Adat!$E:$E)</f>
        <v>0</v>
      </c>
      <c r="F847" s="72">
        <f>SUMIF(Adat!$AG:$AG,CONCATENATE(60,Info!$D$5,"059221",L808),Adat!$E:$E)+E847</f>
        <v>0</v>
      </c>
      <c r="G847" s="72">
        <f>SUMIF(Adat!$AH:$AH,CONCATENATE(Info!$D$5,"(KÖT)","059221",L808),Adat!$E:$E)</f>
        <v>0</v>
      </c>
      <c r="H847" s="72">
        <f>SUMIF(Adat!$AH:$AH,CONCATENATE(Info!$D$5,"(ÖNV)","059221",L808),Adat!$E:$E)</f>
        <v>0</v>
      </c>
      <c r="I847" s="72">
        <f>SUMIF(Adat!$AH:$AH,CONCATENATE(Info!$D$5,"(ÁIG)","059221",L808),Adat!$E:$E)</f>
        <v>0</v>
      </c>
    </row>
    <row r="848" spans="2:18" s="42" customFormat="1" x14ac:dyDescent="0.25">
      <c r="B848" s="160">
        <v>38</v>
      </c>
      <c r="C848" s="305" t="s">
        <v>1483</v>
      </c>
      <c r="D848" s="161" t="s">
        <v>424</v>
      </c>
      <c r="E848" s="72">
        <f>SUMIF(Adat!$AG:$AG,CONCATENATE(61,Info!$D$5,"059231",L808),Adat!$E:$E)</f>
        <v>0</v>
      </c>
      <c r="F848" s="72">
        <f>SUMIF(Adat!$AG:$AG,CONCATENATE(60,Info!$D$5,"059231",L808),Adat!$E:$E)+E848</f>
        <v>0</v>
      </c>
      <c r="G848" s="72">
        <f>SUMIF(Adat!$AH:$AH,CONCATENATE(Info!$D$5,"(KÖT)","059231",L808),Adat!$E:$E)</f>
        <v>0</v>
      </c>
      <c r="H848" s="72">
        <f>SUMIF(Adat!$AH:$AH,CONCATENATE(Info!$D$5,"(ÖNV)","059231",L808),Adat!$E:$E)</f>
        <v>0</v>
      </c>
      <c r="I848" s="72">
        <f>SUMIF(Adat!$AH:$AH,CONCATENATE(Info!$D$5,"(ÁIG)","059231",L808),Adat!$E:$E)</f>
        <v>0</v>
      </c>
    </row>
    <row r="849" spans="2:12" s="42" customFormat="1" x14ac:dyDescent="0.25">
      <c r="B849" s="160">
        <v>39</v>
      </c>
      <c r="C849" s="305" t="s">
        <v>1485</v>
      </c>
      <c r="D849" s="161" t="s">
        <v>494</v>
      </c>
      <c r="E849" s="72">
        <f>SUMIF(Adat!$AG:$AG,CONCATENATE(61,Info!$D$5,"059241",L808),Adat!$E:$E)</f>
        <v>0</v>
      </c>
      <c r="F849" s="72">
        <f>SUMIF(Adat!$AG:$AG,CONCATENATE(60,Info!$D$5,"059241",L808),Adat!$E:$E)+E849</f>
        <v>0</v>
      </c>
      <c r="G849" s="72">
        <f>SUMIF(Adat!$AH:$AH,CONCATENATE(Info!$D$5,"(KÖT)","059241",L808),Adat!$E:$E)</f>
        <v>0</v>
      </c>
      <c r="H849" s="72">
        <f>SUMIF(Adat!$AH:$AH,CONCATENATE(Info!$D$5,"(ÖNV)","059241",L808),Adat!$E:$E)</f>
        <v>0</v>
      </c>
      <c r="I849" s="72">
        <f>SUMIF(Adat!$AH:$AH,CONCATENATE(Info!$D$5,"(ÁIG)","059241",L808),Adat!$E:$E)</f>
        <v>0</v>
      </c>
    </row>
    <row r="850" spans="2:12" x14ac:dyDescent="0.25">
      <c r="B850" s="160">
        <v>40</v>
      </c>
      <c r="C850" s="305" t="s">
        <v>1487</v>
      </c>
      <c r="D850" s="161" t="s">
        <v>427</v>
      </c>
      <c r="E850" s="72">
        <f>SUMIF(Adat!$AG:$AG,CONCATENATE(61,Info!$D$5,"059251",L808),Adat!$E:$E)</f>
        <v>0</v>
      </c>
      <c r="F850" s="72">
        <f>SUMIF(Adat!$AG:$AG,CONCATENATE(60,Info!$D$5,"059251",L808),Adat!$E:$E)+E850</f>
        <v>0</v>
      </c>
      <c r="G850" s="72">
        <f>SUMIF(Adat!$AH:$AH,CONCATENATE(Info!$D$5,"(KÖT)","059251",L808),Adat!$E:$E)</f>
        <v>0</v>
      </c>
      <c r="H850" s="72">
        <f>SUMIF(Adat!$AH:$AH,CONCATENATE(Info!$D$5,"(ÖNV)","059251",L808),Adat!$E:$E)</f>
        <v>0</v>
      </c>
      <c r="I850" s="72">
        <f>SUMIF(Adat!$AH:$AH,CONCATENATE(Info!$D$5,"(ÁIG)","059251",L808),Adat!$E:$E)</f>
        <v>0</v>
      </c>
    </row>
    <row r="851" spans="2:12" x14ac:dyDescent="0.25">
      <c r="B851" s="160">
        <v>41</v>
      </c>
      <c r="C851" s="162" t="s">
        <v>390</v>
      </c>
      <c r="D851" s="86" t="s">
        <v>428</v>
      </c>
      <c r="E851" s="72">
        <f>SUMIF(Adat!$AG:$AG,CONCATENATE(61,Info!$D$5,"05931",L808),Adat!$E:$E)</f>
        <v>0</v>
      </c>
      <c r="F851" s="72">
        <f>SUMIF(Adat!$AG:$AG,CONCATENATE(60,Info!$D$5,"05931",L808),Adat!$E:$E)+E851</f>
        <v>0</v>
      </c>
      <c r="G851" s="72">
        <f>SUMIF(Adat!$AH:$AH,CONCATENATE(Info!$D$5,"(KÖT)","05931",L808),Adat!$E:$E)</f>
        <v>0</v>
      </c>
      <c r="H851" s="72">
        <f>SUMIF(Adat!$AH:$AH,CONCATENATE(Info!$D$5,"(ÖNV)","05931",L808),Adat!$E:$E)</f>
        <v>0</v>
      </c>
      <c r="I851" s="72">
        <f>SUMIF(Adat!$AH:$AH,CONCATENATE(Info!$D$5,"(ÁIG)","05931",L808),Adat!$E:$E)</f>
        <v>0</v>
      </c>
    </row>
    <row r="852" spans="2:12" x14ac:dyDescent="0.25">
      <c r="B852" s="160">
        <v>42</v>
      </c>
      <c r="C852" s="162" t="s">
        <v>429</v>
      </c>
      <c r="D852" s="86" t="s">
        <v>430</v>
      </c>
      <c r="E852" s="72">
        <f>SUMIF(Adat!$AG:$AG,CONCATENATE(61,Info!$D$5,"05941",L808),Adat!$E:$E)</f>
        <v>0</v>
      </c>
      <c r="F852" s="72">
        <f>SUMIF(Adat!$AG:$AG,CONCATENATE(60,Info!$D$5,"05941",L808),Adat!$E:$E)+E852</f>
        <v>0</v>
      </c>
      <c r="G852" s="72">
        <f>SUMIF(Adat!$AH:$AH,CONCATENATE(Info!$D$5,"(KÖT)","05941",L808),Adat!$E:$E)</f>
        <v>0</v>
      </c>
      <c r="H852" s="72">
        <f>SUMIF(Adat!$AH:$AH,CONCATENATE(Info!$D$5,"(ÖNV)","05941",L808),Adat!$E:$E)</f>
        <v>0</v>
      </c>
      <c r="I852" s="72">
        <f>SUMIF(Adat!$AH:$AH,CONCATENATE(Info!$D$5,"(ÁIG)","05941",L808),Adat!$E:$E)</f>
        <v>0</v>
      </c>
    </row>
    <row r="853" spans="2:12" x14ac:dyDescent="0.25">
      <c r="B853" s="160">
        <v>43</v>
      </c>
      <c r="C853" s="78" t="s">
        <v>431</v>
      </c>
      <c r="D853" s="86" t="s">
        <v>432</v>
      </c>
      <c r="E853" s="74">
        <f>+E828+E832+E839+E845+E851+E852</f>
        <v>0</v>
      </c>
      <c r="F853" s="74">
        <f>+F828+F832+F839+F845+F851+F852</f>
        <v>0</v>
      </c>
      <c r="G853" s="74">
        <f>+G828+G832+G839+G845+G851+G852</f>
        <v>0</v>
      </c>
      <c r="H853" s="74">
        <f>+H828+H832+H839+H845+H851+H852</f>
        <v>0</v>
      </c>
      <c r="I853" s="74">
        <f>+I828+I832+I839+I845+I851+I852</f>
        <v>0</v>
      </c>
    </row>
    <row r="854" spans="2:12" x14ac:dyDescent="0.25">
      <c r="B854" s="160">
        <v>44</v>
      </c>
      <c r="C854" s="154" t="s">
        <v>433</v>
      </c>
      <c r="D854" s="159" t="s">
        <v>434</v>
      </c>
      <c r="E854" s="74">
        <f>+E827+E853</f>
        <v>0</v>
      </c>
      <c r="F854" s="74">
        <f>+F827+F853</f>
        <v>0</v>
      </c>
      <c r="G854" s="74">
        <f>+G827+G853</f>
        <v>0</v>
      </c>
      <c r="H854" s="74">
        <f>+H827+H853</f>
        <v>0</v>
      </c>
      <c r="I854" s="74">
        <f>+I827+I853</f>
        <v>0</v>
      </c>
    </row>
    <row r="855" spans="2:12" s="37" customFormat="1" ht="15.75" x14ac:dyDescent="0.25">
      <c r="C855" s="529"/>
      <c r="D855" s="529"/>
      <c r="E855" s="529"/>
      <c r="F855" s="200"/>
      <c r="G855" s="200"/>
      <c r="H855" s="200"/>
      <c r="I855" s="200"/>
    </row>
    <row r="856" spans="2:12" s="38" customFormat="1" ht="15.75" x14ac:dyDescent="0.25">
      <c r="B856" s="525" t="str">
        <f>PAR!$E$3</f>
        <v>Nagymaros Város Önkormányzata</v>
      </c>
      <c r="C856" s="525"/>
      <c r="D856" s="525"/>
      <c r="E856" s="525"/>
      <c r="F856" s="525"/>
      <c r="G856" s="525"/>
      <c r="H856" s="525"/>
      <c r="I856" s="525"/>
    </row>
    <row r="857" spans="2:12" s="38" customFormat="1" ht="15.75" x14ac:dyDescent="0.25">
      <c r="B857" s="525" t="s">
        <v>2660</v>
      </c>
      <c r="C857" s="525"/>
      <c r="D857" s="525"/>
      <c r="E857" s="525"/>
      <c r="F857" s="525"/>
      <c r="G857" s="525"/>
      <c r="H857" s="525"/>
      <c r="I857" s="525"/>
    </row>
    <row r="858" spans="2:12" s="38" customFormat="1" ht="15.75" x14ac:dyDescent="0.25">
      <c r="C858" s="156"/>
      <c r="E858" s="140"/>
      <c r="F858" s="140"/>
      <c r="G858" s="140"/>
      <c r="H858" s="140"/>
      <c r="I858" s="140"/>
    </row>
    <row r="859" spans="2:12" s="10" customFormat="1" ht="15.75" customHeight="1" x14ac:dyDescent="0.25">
      <c r="B859" s="201" t="str">
        <f>CONCATENATE("13. Bevételi jogcímek"," - ",L859," részletező")</f>
        <v>13. Bevételi jogcímek -  részletező</v>
      </c>
      <c r="C859" s="101"/>
      <c r="D859" s="101"/>
      <c r="E859" s="101"/>
      <c r="F859" s="101"/>
      <c r="G859" s="198"/>
      <c r="H859" s="198"/>
      <c r="I859" s="198"/>
      <c r="L859" s="384"/>
    </row>
    <row r="860" spans="2:12" s="38" customFormat="1" ht="15.75" x14ac:dyDescent="0.25">
      <c r="C860" s="156"/>
      <c r="E860" s="140"/>
      <c r="F860" s="140"/>
      <c r="G860" s="140"/>
      <c r="H860" s="140"/>
      <c r="I860" s="140"/>
    </row>
    <row r="861" spans="2:12" s="40" customFormat="1" x14ac:dyDescent="0.25">
      <c r="B861" s="77"/>
      <c r="C861" s="77" t="s">
        <v>350</v>
      </c>
      <c r="D861" s="77" t="s">
        <v>351</v>
      </c>
      <c r="E861" s="77" t="s">
        <v>470</v>
      </c>
      <c r="F861" s="77" t="s">
        <v>471</v>
      </c>
      <c r="G861" s="77" t="s">
        <v>44</v>
      </c>
      <c r="H861" s="77" t="s">
        <v>42</v>
      </c>
      <c r="I861" s="77" t="s">
        <v>511</v>
      </c>
    </row>
    <row r="862" spans="2:12" ht="38.25" x14ac:dyDescent="0.25">
      <c r="B862" s="160">
        <v>1</v>
      </c>
      <c r="C862" s="154" t="s">
        <v>593</v>
      </c>
      <c r="D862" s="154" t="s">
        <v>488</v>
      </c>
      <c r="E862" s="163" t="str">
        <f>CONCATENATE(PAR!$H$3," évi
eredeti 
előirányzat")</f>
        <v>2025. évi
eredeti 
előirányzat</v>
      </c>
      <c r="F862" s="163" t="str">
        <f>CONCATENATE(PAR!$H$3," évi
módosított 
előirányzat")</f>
        <v>2025. évi
módosított 
előirányzat</v>
      </c>
      <c r="G862" s="69" t="s">
        <v>666</v>
      </c>
      <c r="H862" s="69" t="s">
        <v>667</v>
      </c>
      <c r="I862" s="69" t="s">
        <v>668</v>
      </c>
    </row>
    <row r="863" spans="2:12" s="41" customFormat="1" x14ac:dyDescent="0.25">
      <c r="B863" s="160">
        <v>2</v>
      </c>
      <c r="C863" s="78" t="s">
        <v>1324</v>
      </c>
      <c r="D863" s="79" t="s">
        <v>562</v>
      </c>
      <c r="E863" s="71">
        <f>SUM(E864:E870)</f>
        <v>0</v>
      </c>
      <c r="F863" s="71">
        <f t="shared" ref="F863:I863" si="90">SUM(F864:F870)</f>
        <v>0</v>
      </c>
      <c r="G863" s="71">
        <f t="shared" si="90"/>
        <v>0</v>
      </c>
      <c r="H863" s="71">
        <f t="shared" si="90"/>
        <v>0</v>
      </c>
      <c r="I863" s="71">
        <f t="shared" si="90"/>
        <v>0</v>
      </c>
    </row>
    <row r="864" spans="2:12" s="42" customFormat="1" x14ac:dyDescent="0.2">
      <c r="B864" s="160">
        <v>3</v>
      </c>
      <c r="C864" s="305" t="s">
        <v>1288</v>
      </c>
      <c r="D864" s="82" t="s">
        <v>1325</v>
      </c>
      <c r="E864" s="72">
        <f>SUMIF(Adat!$AG:$AG,CONCATENATE(61,Info!$D$5,"091111",L859),Adat!$E:$E)*-1</f>
        <v>0</v>
      </c>
      <c r="F864" s="72">
        <f>SUMIF(Adat!$AG:$AG,CONCATENATE(60,Info!$D$5,"091111",L859),Adat!$E:$E)*(-1)+E864</f>
        <v>0</v>
      </c>
      <c r="G864" s="72">
        <f>SUMIF(Adat!$AH:$AH,CONCATENATE(Info!$D$5,"(KÖT)","091111",L859),Adat!$E:$E)*-1</f>
        <v>0</v>
      </c>
      <c r="H864" s="72">
        <f>SUMIF(Adat!$AH:$AH,CONCATENATE(Info!$D$5,"(ÖNV)","091111",L859),Adat!$E:$E)*-1</f>
        <v>0</v>
      </c>
      <c r="I864" s="72">
        <f>SUMIF(Adat!$AH:$AH,CONCATENATE(Info!$D$5,"(ÁIG)","091111",L859),Adat!$E:$E)*-1</f>
        <v>0</v>
      </c>
    </row>
    <row r="865" spans="2:9" x14ac:dyDescent="0.2">
      <c r="B865" s="160">
        <v>4</v>
      </c>
      <c r="C865" s="305" t="s">
        <v>1289</v>
      </c>
      <c r="D865" s="82" t="s">
        <v>735</v>
      </c>
      <c r="E865" s="72">
        <f>SUMIF(Adat!$AG:$AG,CONCATENATE(61,Info!$D$5,"091121",L859),Adat!$E:$E)*-1</f>
        <v>0</v>
      </c>
      <c r="F865" s="72">
        <f>SUMIF(Adat!$AG:$AG,CONCATENATE(60,Info!$D$5,"091121",L859),Adat!$E:$E)*-1+E865</f>
        <v>0</v>
      </c>
      <c r="G865" s="72">
        <f>SUMIF(Adat!$AH:$AH,CONCATENATE(Info!$D$5,"(KÖT)","091121",L859),Adat!$E:$E)*-1</f>
        <v>0</v>
      </c>
      <c r="H865" s="72">
        <f>SUMIF(Adat!$AH:$AH,CONCATENATE(Info!$D$5,"(ÖNV)","091121",L859),Adat!$E:$E)*-1</f>
        <v>0</v>
      </c>
      <c r="I865" s="72">
        <f>SUMIF(Adat!$AH:$AH,CONCATENATE(Info!$D$5,"(ÁIG)","091121",L859),Adat!$E:$E)*-1</f>
        <v>0</v>
      </c>
    </row>
    <row r="866" spans="2:9" x14ac:dyDescent="0.2">
      <c r="B866" s="160">
        <v>5</v>
      </c>
      <c r="C866" s="305" t="s">
        <v>1290</v>
      </c>
      <c r="D866" s="82" t="s">
        <v>1326</v>
      </c>
      <c r="E866" s="72">
        <f>SUMIF(Adat!$AG:$AG,CONCATENATE(61,Info!$D$5,"0911311",L859),Adat!$E:$E)*-1</f>
        <v>0</v>
      </c>
      <c r="F866" s="72">
        <f>SUMIF(Adat!$AG:$AG,CONCATENATE(60,Info!$D$5,"0911311",L859),Adat!$E:$E)*-1+E866</f>
        <v>0</v>
      </c>
      <c r="G866" s="72">
        <f>SUMIF(Adat!$AH:$AH,CONCATENATE(Info!$D$5,"(KÖT)","0911311",L859),Adat!$E:$E)*-1</f>
        <v>0</v>
      </c>
      <c r="H866" s="72">
        <f>SUMIF(Adat!$AH:$AH,CONCATENATE(Info!$D$5,"(ÖNV)","0911311",L859),Adat!$E:$E)*-1</f>
        <v>0</v>
      </c>
      <c r="I866" s="72">
        <f>SUMIF(Adat!$AH:$AH,CONCATENATE(Info!$D$5,"(ÁIG)","0911311",L859),Adat!$E:$E)*-1</f>
        <v>0</v>
      </c>
    </row>
    <row r="867" spans="2:9" x14ac:dyDescent="0.2">
      <c r="B867" s="160">
        <v>6</v>
      </c>
      <c r="C867" s="305" t="s">
        <v>1254</v>
      </c>
      <c r="D867" s="82" t="s">
        <v>736</v>
      </c>
      <c r="E867" s="72">
        <f>SUMIF(Adat!$AG:$AG,CONCATENATE(61,Info!$D$5,"0911321",L859),Adat!$E:$E)*-1</f>
        <v>0</v>
      </c>
      <c r="F867" s="72">
        <f>SUMIF(Adat!$AG:$AG,CONCATENATE(60,Info!$D$5,"0911321",L859),Adat!$E:$E)*-1+E867</f>
        <v>0</v>
      </c>
      <c r="G867" s="72">
        <f>SUMIF(Adat!$AH:$AH,CONCATENATE(Info!$D$5,"(KÖT)","0911321",L859),Adat!$E:$E)*-1</f>
        <v>0</v>
      </c>
      <c r="H867" s="72">
        <f>SUMIF(Adat!$AH:$AH,CONCATENATE(Info!$D$5,"(ÖNV)","0911321",L859),Adat!$E:$E)*-1</f>
        <v>0</v>
      </c>
      <c r="I867" s="72">
        <f>SUMIF(Adat!$AH:$AH,CONCATENATE(Info!$D$5,"(ÁIG)","0911321",L859),Adat!$E:$E)*-1</f>
        <v>0</v>
      </c>
    </row>
    <row r="868" spans="2:9" x14ac:dyDescent="0.25">
      <c r="B868" s="160">
        <v>7</v>
      </c>
      <c r="C868" s="305" t="s">
        <v>1291</v>
      </c>
      <c r="D868" s="84" t="s">
        <v>737</v>
      </c>
      <c r="E868" s="72">
        <f>SUMIF(Adat!$AG:$AG,CONCATENATE(61,Info!$D$5,"091141",L859),Adat!$E:$E)*-1</f>
        <v>0</v>
      </c>
      <c r="F868" s="72">
        <f>SUMIF(Adat!$AG:$AG,CONCATENATE(60,Info!$D$5,"091141",L859),Adat!$E:$E)*-1+E868</f>
        <v>0</v>
      </c>
      <c r="G868" s="72">
        <f>SUMIF(Adat!$AH:$AH,CONCATENATE(Info!$D$5,"(KÖT)","091141",L859),Adat!$E:$E)*-1</f>
        <v>0</v>
      </c>
      <c r="H868" s="72">
        <f>SUMIF(Adat!$AH:$AH,CONCATENATE(Info!$D$5,"(ÖNV)","091141",L859),Adat!$E:$E)*-1</f>
        <v>0</v>
      </c>
      <c r="I868" s="72">
        <f>SUMIF(Adat!$AH:$AH,CONCATENATE(Info!$D$5,"(ÁIG)","091141",L859),Adat!$E:$E)*-1</f>
        <v>0</v>
      </c>
    </row>
    <row r="869" spans="2:9" x14ac:dyDescent="0.25">
      <c r="B869" s="160">
        <v>8</v>
      </c>
      <c r="C869" s="305" t="s">
        <v>1312</v>
      </c>
      <c r="D869" s="84" t="s">
        <v>738</v>
      </c>
      <c r="E869" s="72">
        <f>SUMIF(Adat!$AG:$AG,CONCATENATE(61,Info!$D$5,"091151",L859),Adat!$E:$E)*-1</f>
        <v>0</v>
      </c>
      <c r="F869" s="72">
        <f>SUMIF(Adat!$AG:$AG,CONCATENATE(60,Info!$D$5,"091151",L859),Adat!$E:$E)*-1+E869</f>
        <v>0</v>
      </c>
      <c r="G869" s="72">
        <f>SUMIF(Adat!$AH:$AH,CONCATENATE(Info!$D$5,"(KÖT)","091151",L859),Adat!$E:$E)*-1</f>
        <v>0</v>
      </c>
      <c r="H869" s="72">
        <f>SUMIF(Adat!$AH:$AH,CONCATENATE(Info!$D$5,"(ÖNV)","091151",L859),Adat!$E:$E)*-1</f>
        <v>0</v>
      </c>
      <c r="I869" s="72">
        <f>SUMIF(Adat!$AH:$AH,CONCATENATE(Info!$D$5,"(ÁIG)","091151",L859),Adat!$E:$E)*-1</f>
        <v>0</v>
      </c>
    </row>
    <row r="870" spans="2:9" s="42" customFormat="1" x14ac:dyDescent="0.25">
      <c r="B870" s="160">
        <v>9</v>
      </c>
      <c r="C870" s="305" t="s">
        <v>1308</v>
      </c>
      <c r="D870" s="84" t="s">
        <v>233</v>
      </c>
      <c r="E870" s="72">
        <f>SUMIF(Adat!$AG:$AG,CONCATENATE(61,Info!$D$5,"091161",L859),Adat!$E:$E)*-1</f>
        <v>0</v>
      </c>
      <c r="F870" s="72">
        <f>SUMIF(Adat!$AG:$AG,CONCATENATE(60,Info!$D$5,"091161",L859),Adat!$E:$E)*-1+E870</f>
        <v>0</v>
      </c>
      <c r="G870" s="72">
        <f>SUMIF(Adat!$AH:$AH,CONCATENATE(Info!$D$5,"(KÖT)","091161",L859),Adat!$E:$E)*-1</f>
        <v>0</v>
      </c>
      <c r="H870" s="72">
        <f>SUMIF(Adat!$AH:$AH,CONCATENATE(Info!$D$5,"(ÖNV)","091161",L859),Adat!$E:$E)*-1</f>
        <v>0</v>
      </c>
      <c r="I870" s="72">
        <f>SUMIF(Adat!$AH:$AH,CONCATENATE(Info!$D$5,"(ÁIG)","091161",L859),Adat!$E:$E)*-1</f>
        <v>0</v>
      </c>
    </row>
    <row r="871" spans="2:9" s="42" customFormat="1" x14ac:dyDescent="0.25">
      <c r="B871" s="160">
        <v>10</v>
      </c>
      <c r="C871" s="78" t="s">
        <v>1328</v>
      </c>
      <c r="D871" s="85" t="s">
        <v>437</v>
      </c>
      <c r="E871" s="71">
        <f>SUM(E872:E876)</f>
        <v>0</v>
      </c>
      <c r="F871" s="71">
        <f t="shared" ref="F871" si="91">SUM(F872:F876)</f>
        <v>0</v>
      </c>
      <c r="G871" s="71">
        <f>SUM(G872:G876)</f>
        <v>0</v>
      </c>
      <c r="H871" s="71">
        <f t="shared" ref="H871:I871" si="92">SUM(H872:H876)</f>
        <v>0</v>
      </c>
      <c r="I871" s="71">
        <f t="shared" si="92"/>
        <v>0</v>
      </c>
    </row>
    <row r="872" spans="2:9" s="42" customFormat="1" x14ac:dyDescent="0.2">
      <c r="B872" s="160">
        <v>11</v>
      </c>
      <c r="C872" s="305" t="s">
        <v>1329</v>
      </c>
      <c r="D872" s="82" t="s">
        <v>1330</v>
      </c>
      <c r="E872" s="72">
        <f>SUMIF(Adat!$AG:$AG,CONCATENATE(61,Info!$D$5,"09121",L859),Adat!$E:$E)*-1</f>
        <v>0</v>
      </c>
      <c r="F872" s="72">
        <f>SUMIF(Adat!$AG:$AG,CONCATENATE(60,Info!$D$5,"09121",L859),Adat!$E:$E)*-1+E872</f>
        <v>0</v>
      </c>
      <c r="G872" s="72">
        <f>SUMIF(Adat!$AH:$AH,CONCATENATE(Info!$D$5,"(KÖT)","09121",L859),Adat!$E:$E)*-1</f>
        <v>0</v>
      </c>
      <c r="H872" s="72">
        <f>SUMIF(Adat!$AH:$AH,CONCATENATE(Info!$D$5,"(ÖNV)","09121",L859),Adat!$E:$E)*-1</f>
        <v>0</v>
      </c>
      <c r="I872" s="72">
        <f>SUMIF(Adat!$AH:$AH,CONCATENATE(Info!$D$5,"(ÁIG)","09121",L859),Adat!$E:$E)*-1</f>
        <v>0</v>
      </c>
    </row>
    <row r="873" spans="2:9" s="42" customFormat="1" x14ac:dyDescent="0.2">
      <c r="B873" s="160">
        <v>12</v>
      </c>
      <c r="C873" s="305" t="s">
        <v>1331</v>
      </c>
      <c r="D873" s="82" t="s">
        <v>1332</v>
      </c>
      <c r="E873" s="72">
        <f>SUMIF(Adat!$AG:$AG,CONCATENATE(61,Info!$D$5,"09131",L859),Adat!$E:$E)*-1</f>
        <v>0</v>
      </c>
      <c r="F873" s="72">
        <f>SUMIF(Adat!$AG:$AG,CONCATENATE(60,Info!$D$5,"09131",L859),Adat!$E:$E)*-1+E873</f>
        <v>0</v>
      </c>
      <c r="G873" s="72">
        <f>SUMIF(Adat!$AH:$AH,CONCATENATE(Info!$D$5,"(KÖT)","09131",L859),Adat!$E:$E)*-1</f>
        <v>0</v>
      </c>
      <c r="H873" s="72">
        <f>SUMIF(Adat!$AH:$AH,CONCATENATE(Info!$D$5,"(ÖNV)","09131",L859),Adat!$E:$E)*-1</f>
        <v>0</v>
      </c>
      <c r="I873" s="72">
        <f>SUMIF(Adat!$AH:$AH,CONCATENATE(Info!$D$5,"(ÁIG)","09131",L859),Adat!$E:$E)*-1</f>
        <v>0</v>
      </c>
    </row>
    <row r="874" spans="2:9" s="42" customFormat="1" x14ac:dyDescent="0.2">
      <c r="B874" s="160">
        <v>13</v>
      </c>
      <c r="C874" s="305" t="s">
        <v>1333</v>
      </c>
      <c r="D874" s="82" t="s">
        <v>1334</v>
      </c>
      <c r="E874" s="72">
        <f>SUMIF(Adat!$AG:$AG,CONCATENATE(61,Info!$D$5,"09141",L859),Adat!$E:$E)*-1</f>
        <v>0</v>
      </c>
      <c r="F874" s="72">
        <f>SUMIF(Adat!$AG:$AG,CONCATENATE(60,Info!$D$5,"09141",L859),Adat!$E:$E)*-1+E874</f>
        <v>0</v>
      </c>
      <c r="G874" s="72">
        <f>SUMIF(Adat!$AH:$AH,CONCATENATE(Info!$D$5,"(KÖT)","09141",L859),Adat!$E:$E)*-1</f>
        <v>0</v>
      </c>
      <c r="H874" s="72">
        <f>SUMIF(Adat!$AH:$AH,CONCATENATE(Info!$D$5,"(ÖNV)","09141",L859),Adat!$E:$E)*-1</f>
        <v>0</v>
      </c>
      <c r="I874" s="72">
        <f>SUMIF(Adat!$AH:$AH,CONCATENATE(Info!$D$5,"(ÁIG)","09141",L859),Adat!$E:$E)*-1</f>
        <v>0</v>
      </c>
    </row>
    <row r="875" spans="2:9" s="42" customFormat="1" x14ac:dyDescent="0.2">
      <c r="B875" s="160">
        <v>14</v>
      </c>
      <c r="C875" s="305" t="s">
        <v>1335</v>
      </c>
      <c r="D875" s="82" t="s">
        <v>1336</v>
      </c>
      <c r="E875" s="72">
        <f>SUMIF(Adat!$AG:$AG,CONCATENATE(61,Info!$D$5,"09151",L859),Adat!$E:$E)*-1</f>
        <v>0</v>
      </c>
      <c r="F875" s="72">
        <f>SUMIF(Adat!$AG:$AG,CONCATENATE(60,Info!$D$5,"09151",L859),Adat!$E:$E)*-1+E875</f>
        <v>0</v>
      </c>
      <c r="G875" s="72">
        <f>SUMIF(Adat!$AH:$AH,CONCATENATE(Info!$D$5,"(KÖT)","09151",L859),Adat!$E:$E)*-1</f>
        <v>0</v>
      </c>
      <c r="H875" s="72">
        <f>SUMIF(Adat!$AH:$AH,CONCATENATE(Info!$D$5,"(ÖNV)","09151",L859),Adat!$E:$E)*-1</f>
        <v>0</v>
      </c>
      <c r="I875" s="72">
        <f>SUMIF(Adat!$AH:$AH,CONCATENATE(Info!$D$5,"(ÁIG)","09151",L859),Adat!$E:$E)*-1</f>
        <v>0</v>
      </c>
    </row>
    <row r="876" spans="2:9" s="42" customFormat="1" x14ac:dyDescent="0.2">
      <c r="B876" s="160">
        <v>15</v>
      </c>
      <c r="C876" s="305" t="s">
        <v>1278</v>
      </c>
      <c r="D876" s="82" t="s">
        <v>1337</v>
      </c>
      <c r="E876" s="72">
        <f>SUMIF(Adat!$AG:$AG,CONCATENATE(61,Info!$D$5,"09161",L859),Adat!$E:$E)*-1</f>
        <v>0</v>
      </c>
      <c r="F876" s="72">
        <f>SUMIF(Adat!$AG:$AG,CONCATENATE(60,Info!$D$5,"09161",L859),Adat!$E:$E)*-1+E876</f>
        <v>0</v>
      </c>
      <c r="G876" s="72">
        <f>SUMIF(Adat!$AH:$AH,CONCATENATE(Info!$D$5,"(KÖT)","09161",L859),Adat!$E:$E)*-1</f>
        <v>0</v>
      </c>
      <c r="H876" s="72">
        <f>SUMIF(Adat!$AH:$AH,CONCATENATE(Info!$D$5,"(ÖNV)","09161",L859),Adat!$E:$E)*-1</f>
        <v>0</v>
      </c>
      <c r="I876" s="72">
        <f>SUMIF(Adat!$AH:$AH,CONCATENATE(Info!$D$5,"(ÁIG)","09161",L859),Adat!$E:$E)*-1</f>
        <v>0</v>
      </c>
    </row>
    <row r="877" spans="2:9" x14ac:dyDescent="0.25">
      <c r="B877" s="160">
        <v>16</v>
      </c>
      <c r="C877" s="79" t="s">
        <v>24</v>
      </c>
      <c r="D877" s="79" t="s">
        <v>449</v>
      </c>
      <c r="E877" s="71">
        <f t="shared" ref="E877:F877" si="93">SUM(E878:E882)</f>
        <v>0</v>
      </c>
      <c r="F877" s="71">
        <f t="shared" si="93"/>
        <v>0</v>
      </c>
      <c r="G877" s="71">
        <f>SUM(G878:G882)</f>
        <v>0</v>
      </c>
      <c r="H877" s="71">
        <f t="shared" ref="H877:I877" si="94">SUM(H878:H882)</f>
        <v>0</v>
      </c>
      <c r="I877" s="71">
        <f t="shared" si="94"/>
        <v>0</v>
      </c>
    </row>
    <row r="878" spans="2:9" x14ac:dyDescent="0.2">
      <c r="B878" s="160">
        <v>17</v>
      </c>
      <c r="C878" s="305" t="s">
        <v>1339</v>
      </c>
      <c r="D878" s="82" t="s">
        <v>1340</v>
      </c>
      <c r="E878" s="72">
        <f>SUMIF(Adat!$AG:$AG,CONCATENATE(61,Info!$D$5,"09211",L859),Adat!$E:$E)*-1</f>
        <v>0</v>
      </c>
      <c r="F878" s="72">
        <f>SUMIF(Adat!$AG:$AG,CONCATENATE(60,Info!$D$5,"09211",L859),Adat!$E:$E)*-1+E878</f>
        <v>0</v>
      </c>
      <c r="G878" s="72">
        <f>SUMIF(Adat!$AH:$AH,CONCATENATE(Info!$D$5,"(KÖT)","09211",L859),Adat!$E:$E)*-1</f>
        <v>0</v>
      </c>
      <c r="H878" s="72">
        <f>SUMIF(Adat!$AH:$AH,CONCATENATE(Info!$D$5,"(ÖNV)","09211",L859),Adat!$E:$E)*-1</f>
        <v>0</v>
      </c>
      <c r="I878" s="72">
        <f>SUMIF(Adat!$AH:$AH,CONCATENATE(Info!$D$5,"(ÁIG)","09211",L859),Adat!$E:$E)*-1</f>
        <v>0</v>
      </c>
    </row>
    <row r="879" spans="2:9" s="42" customFormat="1" x14ac:dyDescent="0.2">
      <c r="B879" s="160">
        <v>18</v>
      </c>
      <c r="C879" s="305" t="s">
        <v>1341</v>
      </c>
      <c r="D879" s="82" t="s">
        <v>1342</v>
      </c>
      <c r="E879" s="72">
        <f>SUMIF(Adat!$AG:$AG,CONCATENATE(61,Info!$D$5,"09221",L859),Adat!$E:$E)*-1</f>
        <v>0</v>
      </c>
      <c r="F879" s="72">
        <f>SUMIF(Adat!$AG:$AG,CONCATENATE(60,Info!$D$5,"09221",L859),Adat!$E:$E)*-1+E879</f>
        <v>0</v>
      </c>
      <c r="G879" s="72">
        <f>SUMIF(Adat!$AH:$AH,CONCATENATE(Info!$D$5,"(KÖT)","09221",L859),Adat!$E:$E)*-1</f>
        <v>0</v>
      </c>
      <c r="H879" s="72">
        <f>SUMIF(Adat!$AH:$AH,CONCATENATE(Info!$D$5,"(ÖNV)","09221",L859),Adat!$E:$E)*-1</f>
        <v>0</v>
      </c>
      <c r="I879" s="72">
        <f>SUMIF(Adat!$AH:$AH,CONCATENATE(Info!$D$5,"(ÁIG)","09221",L859),Adat!$E:$E)*-1</f>
        <v>0</v>
      </c>
    </row>
    <row r="880" spans="2:9" x14ac:dyDescent="0.2">
      <c r="B880" s="160">
        <v>19</v>
      </c>
      <c r="C880" s="305" t="s">
        <v>1343</v>
      </c>
      <c r="D880" s="82" t="s">
        <v>1344</v>
      </c>
      <c r="E880" s="72">
        <f>SUMIF(Adat!$AG:$AG,CONCATENATE(61,Info!$D$5,"09231",L859),Adat!$E:$E)*-1</f>
        <v>0</v>
      </c>
      <c r="F880" s="72">
        <f>SUMIF(Adat!$AG:$AG,CONCATENATE(60,Info!$D$5,"09231",L859),Adat!$E:$E)*-1+E880</f>
        <v>0</v>
      </c>
      <c r="G880" s="72">
        <f>SUMIF(Adat!$AH:$AH,CONCATENATE(Info!$D$5,"(KÖT)","09231",L859),Adat!$E:$E)*-1</f>
        <v>0</v>
      </c>
      <c r="H880" s="72">
        <f>SUMIF(Adat!$AH:$AH,CONCATENATE(Info!$D$5,"(ÖNV)","09231",L859),Adat!$E:$E)*-1</f>
        <v>0</v>
      </c>
      <c r="I880" s="72">
        <f>SUMIF(Adat!$AH:$AH,CONCATENATE(Info!$D$5,"(ÁIG)","09231",L859),Adat!$E:$E)*-1</f>
        <v>0</v>
      </c>
    </row>
    <row r="881" spans="2:9" x14ac:dyDescent="0.2">
      <c r="B881" s="160">
        <v>20</v>
      </c>
      <c r="C881" s="305" t="s">
        <v>1345</v>
      </c>
      <c r="D881" s="82" t="s">
        <v>1346</v>
      </c>
      <c r="E881" s="72">
        <f>SUMIF(Adat!$AG:$AG,CONCATENATE(61,Info!$D$5,"09241",L859),Adat!$E:$E)*-1</f>
        <v>0</v>
      </c>
      <c r="F881" s="72">
        <f>SUMIF(Adat!$AG:$AG,CONCATENATE(60,Info!$D$5,"09241",L859),Adat!$E:$E)*-1+E881</f>
        <v>0</v>
      </c>
      <c r="G881" s="72">
        <f>SUMIF(Adat!$AH:$AH,CONCATENATE(Info!$D$5,"(KÖT)","09241",L859),Adat!$E:$E)*-1</f>
        <v>0</v>
      </c>
      <c r="H881" s="72">
        <f>SUMIF(Adat!$AH:$AH,CONCATENATE(Info!$D$5,"(ÖNV)","09241",L859),Adat!$E:$E)*-1</f>
        <v>0</v>
      </c>
      <c r="I881" s="72">
        <f>SUMIF(Adat!$AH:$AH,CONCATENATE(Info!$D$5,"(ÁIG)","09241",L859),Adat!$E:$E)*-1</f>
        <v>0</v>
      </c>
    </row>
    <row r="882" spans="2:9" x14ac:dyDescent="0.2">
      <c r="B882" s="160">
        <v>21</v>
      </c>
      <c r="C882" s="305" t="s">
        <v>1255</v>
      </c>
      <c r="D882" s="82" t="s">
        <v>1347</v>
      </c>
      <c r="E882" s="72">
        <f>SUMIF(Adat!$AG:$AG,CONCATENATE(61,Info!$D$5,"09251",L859),Adat!$E:$E)*-1</f>
        <v>0</v>
      </c>
      <c r="F882" s="72">
        <f>SUMIF(Adat!$AG:$AG,CONCATENATE(60,Info!$D$5,"09251",L859),Adat!$E:$E)*-1+E882</f>
        <v>0</v>
      </c>
      <c r="G882" s="72">
        <f>SUMIF(Adat!$AH:$AH,CONCATENATE(Info!$D$5,"(KÖT)","09251",L859),Adat!$E:$E)*-1</f>
        <v>0</v>
      </c>
      <c r="H882" s="72">
        <f>SUMIF(Adat!$AH:$AH,CONCATENATE(Info!$D$5,"(ÖNV)","09251",L859),Adat!$E:$E)*-1</f>
        <v>0</v>
      </c>
      <c r="I882" s="72">
        <f>SUMIF(Adat!$AH:$AH,CONCATENATE(Info!$D$5,"(ÁIG)","09251",L859),Adat!$E:$E)*-1</f>
        <v>0</v>
      </c>
    </row>
    <row r="883" spans="2:9" x14ac:dyDescent="0.25">
      <c r="B883" s="160">
        <v>22</v>
      </c>
      <c r="C883" s="79" t="s">
        <v>27</v>
      </c>
      <c r="D883" s="79" t="s">
        <v>328</v>
      </c>
      <c r="E883" s="71">
        <f>SUM(E884:E889)</f>
        <v>0</v>
      </c>
      <c r="F883" s="71">
        <f>SUM(F884:F889)</f>
        <v>0</v>
      </c>
      <c r="G883" s="71">
        <f>SUM(G884:G889)</f>
        <v>0</v>
      </c>
      <c r="H883" s="71">
        <f>SUM(H884:H889)</f>
        <v>0</v>
      </c>
      <c r="I883" s="71">
        <f>SUM(I884:I889)</f>
        <v>0</v>
      </c>
    </row>
    <row r="884" spans="2:9" x14ac:dyDescent="0.2">
      <c r="B884" s="160">
        <v>23</v>
      </c>
      <c r="C884" s="305" t="s">
        <v>1348</v>
      </c>
      <c r="D884" s="82" t="s">
        <v>1349</v>
      </c>
      <c r="E884" s="72">
        <f>SUMIF(Adat!$AG:$AG,CONCATENATE(61,Info!$D$5,"093111",L859),Adat!$E:$E)*-1</f>
        <v>0</v>
      </c>
      <c r="F884" s="72">
        <f>SUMIF(Adat!$AG:$AG,CONCATENATE(60,Info!$D$5,"093111",L859),Adat!$E:$E)*-1+E884</f>
        <v>0</v>
      </c>
      <c r="G884" s="72">
        <f>SUMIF(Adat!$AH:$AH,CONCATENATE(Info!$D$5,"(KÖT)","093111",L859),Adat!$E:$E)*-1</f>
        <v>0</v>
      </c>
      <c r="H884" s="72">
        <f>SUMIF(Adat!$AH:$AH,CONCATENATE(Info!$D$5,"(ÖNV)","093111",L859),Adat!$E:$E)*-1</f>
        <v>0</v>
      </c>
      <c r="I884" s="72">
        <f>SUMIF(Adat!$AH:$AH,CONCATENATE(Info!$D$5,"(ÁIG)","093111",L859),Adat!$E:$E)*-1</f>
        <v>0</v>
      </c>
    </row>
    <row r="885" spans="2:9" x14ac:dyDescent="0.2">
      <c r="B885" s="160">
        <v>24</v>
      </c>
      <c r="C885" s="305" t="s">
        <v>1259</v>
      </c>
      <c r="D885" s="82" t="s">
        <v>1350</v>
      </c>
      <c r="E885" s="72">
        <f>SUMIF(Adat!$AG:$AG,CONCATENATE(61,Info!$D$5,"09341",L859),Adat!$E:$E)*-1</f>
        <v>0</v>
      </c>
      <c r="F885" s="72">
        <f>SUMIF(Adat!$AG:$AG,CONCATENATE(60,Info!$D$5,"09341",L859),Adat!$E:$E)*-1+E885</f>
        <v>0</v>
      </c>
      <c r="G885" s="72">
        <f>SUMIF(Adat!$AH:$AH,CONCATENATE(Info!$D$5,"(KÖT)","09341",L859),Adat!$E:$E)*-1</f>
        <v>0</v>
      </c>
      <c r="H885" s="72">
        <f>SUMIF(Adat!$AH:$AH,CONCATENATE(Info!$D$5,"(ÖNV)","09341",L859),Adat!$E:$E)*-1</f>
        <v>0</v>
      </c>
      <c r="I885" s="72">
        <f>SUMIF(Adat!$AH:$AH,CONCATENATE(Info!$D$5,"(ÁIG)","09341",L859),Adat!$E:$E)*-1</f>
        <v>0</v>
      </c>
    </row>
    <row r="886" spans="2:9" x14ac:dyDescent="0.2">
      <c r="B886" s="160">
        <v>25</v>
      </c>
      <c r="C886" s="305" t="s">
        <v>1260</v>
      </c>
      <c r="D886" s="82" t="s">
        <v>1351</v>
      </c>
      <c r="E886" s="72">
        <f>SUMIF(Adat!$AG:$AG,CONCATENATE(61,Info!$D$5,"093511",L859),Adat!$E:$E)*-1</f>
        <v>0</v>
      </c>
      <c r="F886" s="72">
        <f>SUMIF(Adat!$AG:$AG,CONCATENATE(60,Info!$D$5,"093511",L859),Adat!$E:$E)*-1+E886</f>
        <v>0</v>
      </c>
      <c r="G886" s="72">
        <f>SUMIF(Adat!$AH:$AH,CONCATENATE(Info!$D$5,"(KÖT)","093511",L859),Adat!$E:$E)*-1</f>
        <v>0</v>
      </c>
      <c r="H886" s="72">
        <f>SUMIF(Adat!$AH:$AH,CONCATENATE(Info!$D$5,"(ÖNV)","093511",L859),Adat!$E:$E)*-1</f>
        <v>0</v>
      </c>
      <c r="I886" s="72">
        <f>SUMIF(Adat!$AH:$AH,CONCATENATE(Info!$D$5,"(ÁIG)","093511",L859),Adat!$E:$E)*-1</f>
        <v>0</v>
      </c>
    </row>
    <row r="887" spans="2:9" x14ac:dyDescent="0.2">
      <c r="B887" s="160">
        <v>26</v>
      </c>
      <c r="C887" s="305" t="s">
        <v>1352</v>
      </c>
      <c r="D887" s="82" t="s">
        <v>1353</v>
      </c>
      <c r="E887" s="72">
        <f>SUMIF(Adat!$AG:$AG,CONCATENATE(61,Info!$D$5,"093521",L859),Adat!$E:$E)*-1</f>
        <v>0</v>
      </c>
      <c r="F887" s="72">
        <f>SUMIF(Adat!$AG:$AG,CONCATENATE(60,Info!$D$5,"093521",L859),Adat!$E:$E)*-1+E887</f>
        <v>0</v>
      </c>
      <c r="G887" s="72">
        <f>SUMIF(Adat!$AH:$AH,CONCATENATE(Info!$D$5,"(KÖT)","093521",L859),Adat!$E:$E)*-1</f>
        <v>0</v>
      </c>
      <c r="H887" s="72">
        <f>SUMIF(Adat!$AH:$AH,CONCATENATE(Info!$D$5,"(ÖNV)","093521",L859),Adat!$E:$E)*-1</f>
        <v>0</v>
      </c>
      <c r="I887" s="72">
        <f>SUMIF(Adat!$AH:$AH,CONCATENATE(Info!$D$5,"(ÁIG)","093521",L859),Adat!$E:$E)*-1</f>
        <v>0</v>
      </c>
    </row>
    <row r="888" spans="2:9" x14ac:dyDescent="0.2">
      <c r="B888" s="160">
        <v>27</v>
      </c>
      <c r="C888" s="305" t="s">
        <v>1292</v>
      </c>
      <c r="D888" s="82" t="s">
        <v>1354</v>
      </c>
      <c r="E888" s="72">
        <f>SUMIF(Adat!$AG:$AG,CONCATENATE(61,Info!$D$5,"093551",L859),Adat!$E:$E)*-1</f>
        <v>0</v>
      </c>
      <c r="F888" s="72">
        <f>SUMIF(Adat!$AG:$AG,CONCATENATE(60,Info!$D$5,"093551",L859),Adat!$E:$E)*-1+E888</f>
        <v>0</v>
      </c>
      <c r="G888" s="72">
        <f>SUMIF(Adat!$AH:$AH,CONCATENATE(Info!$D$5,"(KÖT)","093551",L859),Adat!$E:$E)*-1</f>
        <v>0</v>
      </c>
      <c r="H888" s="72">
        <f>SUMIF(Adat!$AH:$AH,CONCATENATE(Info!$D$5,"(ÖNV)","093551",L859),Adat!$E:$E)*-1</f>
        <v>0</v>
      </c>
      <c r="I888" s="72">
        <f>SUMIF(Adat!$AH:$AH,CONCATENATE(Info!$D$5,"(ÁIG)","093551",L859),Adat!$E:$E)*-1</f>
        <v>0</v>
      </c>
    </row>
    <row r="889" spans="2:9" x14ac:dyDescent="0.2">
      <c r="B889" s="160">
        <v>28</v>
      </c>
      <c r="C889" s="305" t="s">
        <v>1293</v>
      </c>
      <c r="D889" s="82" t="s">
        <v>1355</v>
      </c>
      <c r="E889" s="72">
        <f>SUMIF(Adat!$AG:$AG,CONCATENATE(61,Info!$D$5,"09361",L859),Adat!$E:$E)*-1</f>
        <v>0</v>
      </c>
      <c r="F889" s="72">
        <f>SUMIF(Adat!$AG:$AG,CONCATENATE(60,Info!$D$5,"09361",L859),Adat!$E:$E)*-1+E889</f>
        <v>0</v>
      </c>
      <c r="G889" s="72">
        <f>SUMIF(Adat!$AH:$AH,CONCATENATE(Info!$D$5,"(KÖT)","09361",L859),Adat!$E:$E)*-1</f>
        <v>0</v>
      </c>
      <c r="H889" s="72">
        <f>SUMIF(Adat!$AH:$AH,CONCATENATE(Info!$D$5,"(ÖNV)","09361",L859),Adat!$E:$E)*-1</f>
        <v>0</v>
      </c>
      <c r="I889" s="72">
        <f>SUMIF(Adat!$AH:$AH,CONCATENATE(Info!$D$5,"(ÁIG)","09361",L859),Adat!$E:$E)*-1</f>
        <v>0</v>
      </c>
    </row>
    <row r="890" spans="2:9" x14ac:dyDescent="0.25">
      <c r="B890" s="160">
        <v>29</v>
      </c>
      <c r="C890" s="79" t="s">
        <v>30</v>
      </c>
      <c r="D890" s="79" t="s">
        <v>329</v>
      </c>
      <c r="E890" s="71">
        <f>SUM(E891:E903)</f>
        <v>0</v>
      </c>
      <c r="F890" s="71">
        <f t="shared" ref="F890:I890" si="95">SUM(F891:F903)</f>
        <v>0</v>
      </c>
      <c r="G890" s="71">
        <f t="shared" si="95"/>
        <v>0</v>
      </c>
      <c r="H890" s="71">
        <f t="shared" si="95"/>
        <v>0</v>
      </c>
      <c r="I890" s="71">
        <f t="shared" si="95"/>
        <v>0</v>
      </c>
    </row>
    <row r="891" spans="2:9" x14ac:dyDescent="0.2">
      <c r="B891" s="160">
        <v>30</v>
      </c>
      <c r="C891" s="305" t="s">
        <v>1309</v>
      </c>
      <c r="D891" s="82" t="s">
        <v>1356</v>
      </c>
      <c r="E891" s="72">
        <f>SUMIF(Adat!$AG:$AG,CONCATENATE(61,Info!$D$5,"094011",L859),Adat!$E:$E)*-1</f>
        <v>0</v>
      </c>
      <c r="F891" s="72">
        <f>SUMIF(Adat!$AG:$AG,CONCATENATE(60,Info!$D$5,"094011",L859),Adat!$E:$E)*-1+E891</f>
        <v>0</v>
      </c>
      <c r="G891" s="72">
        <f>SUMIF(Adat!$AH:$AH,CONCATENATE(Info!$D$5,"(KÖT)","094011",L859),Adat!$E:$E)*-1</f>
        <v>0</v>
      </c>
      <c r="H891" s="72">
        <f>SUMIF(Adat!$AH:$AH,CONCATENATE(Info!$D$5,"(ÖNV)","094011",L859),Adat!$E:$E)*-1</f>
        <v>0</v>
      </c>
      <c r="I891" s="72">
        <f>SUMIF(Adat!$AH:$AH,CONCATENATE(Info!$D$5,"(ÁIG)","094011",L859),Adat!$E:$E)*-1</f>
        <v>0</v>
      </c>
    </row>
    <row r="892" spans="2:9" x14ac:dyDescent="0.2">
      <c r="B892" s="160">
        <v>31</v>
      </c>
      <c r="C892" s="305" t="s">
        <v>1279</v>
      </c>
      <c r="D892" s="82" t="s">
        <v>1357</v>
      </c>
      <c r="E892" s="72">
        <f>SUMIF(Adat!$AG:$AG,CONCATENATE(61,Info!$D$5,"094021",L859),Adat!$E:$E)*-1</f>
        <v>0</v>
      </c>
      <c r="F892" s="72">
        <f>SUMIF(Adat!$AG:$AG,CONCATENATE(60,Info!$D$5,"094021",L859),Adat!$E:$E)*-1+E892</f>
        <v>0</v>
      </c>
      <c r="G892" s="72">
        <f>SUMIF(Adat!$AH:$AH,CONCATENATE(Info!$D$5,"(KÖT)","094021",L859),Adat!$E:$E)*-1</f>
        <v>0</v>
      </c>
      <c r="H892" s="72">
        <f>SUMIF(Adat!$AH:$AH,CONCATENATE(Info!$D$5,"(ÖNV)","094021",L859),Adat!$E:$E)*-1</f>
        <v>0</v>
      </c>
      <c r="I892" s="72">
        <f>SUMIF(Adat!$AH:$AH,CONCATENATE(Info!$D$5,"(ÁIG)","094021",L859),Adat!$E:$E)*-1</f>
        <v>0</v>
      </c>
    </row>
    <row r="893" spans="2:9" x14ac:dyDescent="0.2">
      <c r="B893" s="160">
        <v>32</v>
      </c>
      <c r="C893" s="305" t="s">
        <v>1272</v>
      </c>
      <c r="D893" s="82" t="s">
        <v>1358</v>
      </c>
      <c r="E893" s="72">
        <f>SUMIF(Adat!$AG:$AG,CONCATENATE(61,Info!$D$5,"094031",L859),Adat!$E:$E)*-1</f>
        <v>0</v>
      </c>
      <c r="F893" s="72">
        <f>SUMIF(Adat!$AG:$AG,CONCATENATE(60,Info!$D$5,"094031",L859),Adat!$E:$E)*-1+E893</f>
        <v>0</v>
      </c>
      <c r="G893" s="72">
        <f>SUMIF(Adat!$AH:$AH,CONCATENATE(Info!$D$5,"(KÖT)","094031",L859),Adat!$E:$E)*-1</f>
        <v>0</v>
      </c>
      <c r="H893" s="72">
        <f>SUMIF(Adat!$AH:$AH,CONCATENATE(Info!$D$5,"(ÖNV)","094031",L859),Adat!$E:$E)*-1</f>
        <v>0</v>
      </c>
      <c r="I893" s="72">
        <f>SUMIF(Adat!$AH:$AH,CONCATENATE(Info!$D$5,"(ÁIG)","094031",L859),Adat!$E:$E)*-1</f>
        <v>0</v>
      </c>
    </row>
    <row r="894" spans="2:9" x14ac:dyDescent="0.2">
      <c r="B894" s="160">
        <v>33</v>
      </c>
      <c r="C894" s="305" t="s">
        <v>1359</v>
      </c>
      <c r="D894" s="82" t="s">
        <v>1360</v>
      </c>
      <c r="E894" s="72">
        <f>SUMIF(Adat!$AG:$AG,CONCATENATE(61,Info!$D$5,"094041",L859),Adat!$E:$E)*-1</f>
        <v>0</v>
      </c>
      <c r="F894" s="72">
        <f>SUMIF(Adat!$AG:$AG,CONCATENATE(60,Info!$D$5,"094041",L859),Adat!$E:$E)*-1+E894</f>
        <v>0</v>
      </c>
      <c r="G894" s="72">
        <f>SUMIF(Adat!$AH:$AH,CONCATENATE(Info!$D$5,"(KÖT)","094041",L859),Adat!$E:$E)*-1</f>
        <v>0</v>
      </c>
      <c r="H894" s="72">
        <f>SUMIF(Adat!$AH:$AH,CONCATENATE(Info!$D$5,"(ÖNV)","094041",L859),Adat!$E:$E)*-1</f>
        <v>0</v>
      </c>
      <c r="I894" s="72">
        <f>SUMIF(Adat!$AH:$AH,CONCATENATE(Info!$D$5,"(ÁIG)","094041",L859),Adat!$E:$E)*-1</f>
        <v>0</v>
      </c>
    </row>
    <row r="895" spans="2:9" x14ac:dyDescent="0.2">
      <c r="B895" s="160">
        <v>34</v>
      </c>
      <c r="C895" s="305" t="s">
        <v>1261</v>
      </c>
      <c r="D895" s="82" t="s">
        <v>1361</v>
      </c>
      <c r="E895" s="72">
        <f>SUMIF(Adat!$AG:$AG,CONCATENATE(61,Info!$D$5,"094051",L859),Adat!$E:$E)*-1</f>
        <v>0</v>
      </c>
      <c r="F895" s="72">
        <f>SUMIF(Adat!$AG:$AG,CONCATENATE(60,Info!$D$5,"094051",L859),Adat!$E:$E)*-1+E895</f>
        <v>0</v>
      </c>
      <c r="G895" s="72">
        <f>SUMIF(Adat!$AH:$AH,CONCATENATE(Info!$D$5,"(KÖT)","094051",L859),Adat!$E:$E)*-1</f>
        <v>0</v>
      </c>
      <c r="H895" s="72">
        <f>SUMIF(Adat!$AH:$AH,CONCATENATE(Info!$D$5,"(ÖNV)","094051",L859),Adat!$E:$E)*-1</f>
        <v>0</v>
      </c>
      <c r="I895" s="72">
        <f>SUMIF(Adat!$AH:$AH,CONCATENATE(Info!$D$5,"(ÁIG)","094051",L859),Adat!$E:$E)*-1</f>
        <v>0</v>
      </c>
    </row>
    <row r="896" spans="2:9" x14ac:dyDescent="0.2">
      <c r="B896" s="160">
        <v>35</v>
      </c>
      <c r="C896" s="305" t="s">
        <v>1273</v>
      </c>
      <c r="D896" s="82" t="s">
        <v>1362</v>
      </c>
      <c r="E896" s="72">
        <f>SUMIF(Adat!$AG:$AG,CONCATENATE(61,Info!$D$5,"094061",L859),Adat!$E:$E)*-1</f>
        <v>0</v>
      </c>
      <c r="F896" s="72">
        <f>SUMIF(Adat!$AG:$AG,CONCATENATE(60,Info!$D$5,"094061",L859),Adat!$E:$E)*-1+E896</f>
        <v>0</v>
      </c>
      <c r="G896" s="72">
        <f>SUMIF(Adat!$AH:$AH,CONCATENATE(Info!$D$5,"(KÖT)","094061",L859),Adat!$E:$E)*-1</f>
        <v>0</v>
      </c>
      <c r="H896" s="72">
        <f>SUMIF(Adat!$AH:$AH,CONCATENATE(Info!$D$5,"(ÖNV)","094061",L859),Adat!$E:$E)*-1</f>
        <v>0</v>
      </c>
      <c r="I896" s="72">
        <f>SUMIF(Adat!$AH:$AH,CONCATENATE(Info!$D$5,"(ÁIG)","094061",L859),Adat!$E:$E)*-1</f>
        <v>0</v>
      </c>
    </row>
    <row r="897" spans="2:9" x14ac:dyDescent="0.2">
      <c r="B897" s="160">
        <v>36</v>
      </c>
      <c r="C897" s="305" t="s">
        <v>1363</v>
      </c>
      <c r="D897" s="82" t="s">
        <v>1364</v>
      </c>
      <c r="E897" s="72">
        <f>SUMIF(Adat!$AG:$AG,CONCATENATE(61,Info!$D$5,"094071",L859),Adat!$E:$E)*-1</f>
        <v>0</v>
      </c>
      <c r="F897" s="72">
        <f>SUMIF(Adat!$AG:$AG,CONCATENATE(60,Info!$D$5,"094071",L859),Adat!$E:$E)*-1+E897</f>
        <v>0</v>
      </c>
      <c r="G897" s="72">
        <f>SUMIF(Adat!$AH:$AH,CONCATENATE(Info!$D$5,"(KÖT)","094071",L859),Adat!$E:$E)*-1</f>
        <v>0</v>
      </c>
      <c r="H897" s="72">
        <f>SUMIF(Adat!$AH:$AH,CONCATENATE(Info!$D$5,"(ÖNV)","094071",L859),Adat!$E:$E)*-1</f>
        <v>0</v>
      </c>
      <c r="I897" s="72">
        <f>SUMIF(Adat!$AH:$AH,CONCATENATE(Info!$D$5,"(ÁIG)","094071",L859),Adat!$E:$E)*-1</f>
        <v>0</v>
      </c>
    </row>
    <row r="898" spans="2:9" x14ac:dyDescent="0.2">
      <c r="B898" s="160">
        <v>37</v>
      </c>
      <c r="C898" s="305" t="s">
        <v>1306</v>
      </c>
      <c r="D898" s="82" t="s">
        <v>1365</v>
      </c>
      <c r="E898" s="72">
        <f>SUMIF(Adat!$AG:$AG,CONCATENATE(61,Info!$D$5,"0940811",L859),Adat!$E:$E)*-1</f>
        <v>0</v>
      </c>
      <c r="F898" s="72">
        <f>SUMIF(Adat!$AG:$AG,CONCATENATE(60,Info!$D$5,"0940811",L859),Adat!$E:$E)*-1+E898</f>
        <v>0</v>
      </c>
      <c r="G898" s="72">
        <f>SUMIF(Adat!$AH:$AH,CONCATENATE(Info!$D$5,"(KÖT)","0940811",L859),Adat!$E:$E)*-1</f>
        <v>0</v>
      </c>
      <c r="H898" s="72">
        <f>SUMIF(Adat!$AH:$AH,CONCATENATE(Info!$D$5,"(ÖNV)","0940811",L859),Adat!$E:$E)*-1</f>
        <v>0</v>
      </c>
      <c r="I898" s="72">
        <f>SUMIF(Adat!$AH:$AH,CONCATENATE(Info!$D$5,"(ÁIG)","0940811",L859),Adat!$E:$E)*-1</f>
        <v>0</v>
      </c>
    </row>
    <row r="899" spans="2:9" x14ac:dyDescent="0.2">
      <c r="B899" s="160">
        <v>38</v>
      </c>
      <c r="C899" s="305" t="s">
        <v>1295</v>
      </c>
      <c r="D899" s="82" t="s">
        <v>1366</v>
      </c>
      <c r="E899" s="72">
        <f>SUMIF(Adat!$AG:$AG,CONCATENATE(61,Info!$D$5,"0940821",L859),Adat!$E:$E)*-1</f>
        <v>0</v>
      </c>
      <c r="F899" s="72">
        <f>SUMIF(Adat!$AG:$AG,CONCATENATE(60,Info!$D$5,"0940821",L859),Adat!$E:$E)*-1+E899</f>
        <v>0</v>
      </c>
      <c r="G899" s="72">
        <f>SUMIF(Adat!$AH:$AH,CONCATENATE(Info!$D$5,"(KÖT)","0940821",L859),Adat!$E:$E)*-1</f>
        <v>0</v>
      </c>
      <c r="H899" s="72">
        <f>SUMIF(Adat!$AH:$AH,CONCATENATE(Info!$D$5,"(ÖNV)","0940821",L859),Adat!$E:$E)*-1</f>
        <v>0</v>
      </c>
      <c r="I899" s="72">
        <f>SUMIF(Adat!$AH:$AH,CONCATENATE(Info!$D$5,"(ÁIG)","0940821",L859),Adat!$E:$E)*-1</f>
        <v>0</v>
      </c>
    </row>
    <row r="900" spans="2:9" x14ac:dyDescent="0.2">
      <c r="B900" s="160">
        <v>39</v>
      </c>
      <c r="C900" s="305" t="s">
        <v>1367</v>
      </c>
      <c r="D900" s="82" t="s">
        <v>1368</v>
      </c>
      <c r="E900" s="72">
        <f>SUMIF(Adat!$AG:$AG,CONCATENATE(61,Info!$D$5,"0940911",L859),Adat!$E:$E)*-1</f>
        <v>0</v>
      </c>
      <c r="F900" s="72">
        <f>SUMIF(Adat!$AG:$AG,CONCATENATE(60,Info!$D$5,"0940911",L859),Adat!$E:$E)*-1+E900</f>
        <v>0</v>
      </c>
      <c r="G900" s="72">
        <f>SUMIF(Adat!$AH:$AH,CONCATENATE(Info!$D$5,"(KÖT)","0940911",L859),Adat!$E:$E)*-1</f>
        <v>0</v>
      </c>
      <c r="H900" s="72">
        <f>SUMIF(Adat!$AH:$AH,CONCATENATE(Info!$D$5,"(ÖNV)","0940911",L859),Adat!$E:$E)*-1</f>
        <v>0</v>
      </c>
      <c r="I900" s="72">
        <f>SUMIF(Adat!$AH:$AH,CONCATENATE(Info!$D$5,"(ÁIG)","0940911",L859),Adat!$E:$E)*-1</f>
        <v>0</v>
      </c>
    </row>
    <row r="901" spans="2:9" x14ac:dyDescent="0.2">
      <c r="B901" s="160">
        <v>40</v>
      </c>
      <c r="C901" s="305" t="s">
        <v>1369</v>
      </c>
      <c r="D901" s="82" t="s">
        <v>1370</v>
      </c>
      <c r="E901" s="72">
        <f>SUMIF(Adat!$AG:$AG,CONCATENATE(61,Info!$D$5,"0940921",L859),Adat!$E:$E)*-1</f>
        <v>0</v>
      </c>
      <c r="F901" s="72">
        <f>SUMIF(Adat!$AG:$AG,CONCATENATE(60,Info!$D$5,"0940921",L859),Adat!$E:$E)*-1+E901</f>
        <v>0</v>
      </c>
      <c r="G901" s="72">
        <f>SUMIF(Adat!$AH:$AH,CONCATENATE(Info!$D$5,"(KÖT)","0940921",L859),Adat!$E:$E)*-1</f>
        <v>0</v>
      </c>
      <c r="H901" s="72">
        <f>SUMIF(Adat!$AH:$AH,CONCATENATE(Info!$D$5,"(ÖNV)","0940921",L859),Adat!$E:$E)*-1</f>
        <v>0</v>
      </c>
      <c r="I901" s="72">
        <f>SUMIF(Adat!$AH:$AH,CONCATENATE(Info!$D$5,"(ÁIG)","0940921",L859),Adat!$E:$E)*-1</f>
        <v>0</v>
      </c>
    </row>
    <row r="902" spans="2:9" x14ac:dyDescent="0.2">
      <c r="B902" s="160">
        <v>41</v>
      </c>
      <c r="C902" s="305" t="s">
        <v>1296</v>
      </c>
      <c r="D902" s="82" t="s">
        <v>1371</v>
      </c>
      <c r="E902" s="72">
        <f>SUMIF(Adat!$AG:$AG,CONCATENATE(61,Info!$D$5,"094101",L859),Adat!$E:$E)*-1</f>
        <v>0</v>
      </c>
      <c r="F902" s="72">
        <f>SUMIF(Adat!$AG:$AG,CONCATENATE(60,Info!$D$5,"094101",L859),Adat!$E:$E)*-1+E902</f>
        <v>0</v>
      </c>
      <c r="G902" s="72">
        <f>SUMIF(Adat!$AH:$AH,CONCATENATE(Info!$D$5,"(KÖT)","094101",L859),Adat!$E:$E)*-1</f>
        <v>0</v>
      </c>
      <c r="H902" s="72">
        <f>SUMIF(Adat!$AH:$AH,CONCATENATE(Info!$D$5,"(ÖNV)","094101",L859),Adat!$E:$E)*-1</f>
        <v>0</v>
      </c>
      <c r="I902" s="72">
        <f>SUMIF(Adat!$AH:$AH,CONCATENATE(Info!$D$5,"(ÁIG)","094101",L859),Adat!$E:$E)*-1</f>
        <v>0</v>
      </c>
    </row>
    <row r="903" spans="2:9" x14ac:dyDescent="0.25">
      <c r="B903" s="160">
        <v>42</v>
      </c>
      <c r="C903" s="305" t="s">
        <v>1297</v>
      </c>
      <c r="D903" s="84" t="s">
        <v>1372</v>
      </c>
      <c r="E903" s="72">
        <f>SUMIF(Adat!$AG:$AG,CONCATENATE(61,Info!$D$5,"094111",L859),Adat!$E:$E)*-1</f>
        <v>0</v>
      </c>
      <c r="F903" s="72">
        <f>SUMIF(Adat!$AG:$AG,CONCATENATE(60,Info!$D$5,"094111",L859),Adat!$E:$E)*-1+E903</f>
        <v>0</v>
      </c>
      <c r="G903" s="72">
        <f>SUMIF(Adat!$AH:$AH,CONCATENATE(Info!$D$5,"(KÖT)","094111",L859),Adat!$E:$E)*-1</f>
        <v>0</v>
      </c>
      <c r="H903" s="72">
        <f>SUMIF(Adat!$AH:$AH,CONCATENATE(Info!$D$5,"(ÖNV)","094111",L859),Adat!$E:$E)*-1</f>
        <v>0</v>
      </c>
      <c r="I903" s="72">
        <f>SUMIF(Adat!$AH:$AH,CONCATENATE(Info!$D$5,"(ÁIG)","094111",L859),Adat!$E:$E)*-1</f>
        <v>0</v>
      </c>
    </row>
    <row r="904" spans="2:9" x14ac:dyDescent="0.25">
      <c r="B904" s="160">
        <v>43</v>
      </c>
      <c r="C904" s="79" t="s">
        <v>33</v>
      </c>
      <c r="D904" s="79" t="s">
        <v>330</v>
      </c>
      <c r="E904" s="71">
        <f>SUM(E905:E909)</f>
        <v>0</v>
      </c>
      <c r="F904" s="71">
        <f>SUM(F905:F909)</f>
        <v>0</v>
      </c>
      <c r="G904" s="71">
        <f>SUM(G905:G909)</f>
        <v>0</v>
      </c>
      <c r="H904" s="71">
        <f>SUM(H905:H909)</f>
        <v>0</v>
      </c>
      <c r="I904" s="71">
        <f>SUM(I905:I909)</f>
        <v>0</v>
      </c>
    </row>
    <row r="905" spans="2:9" x14ac:dyDescent="0.2">
      <c r="B905" s="160">
        <v>44</v>
      </c>
      <c r="C905" s="305" t="s">
        <v>1373</v>
      </c>
      <c r="D905" s="82" t="s">
        <v>1374</v>
      </c>
      <c r="E905" s="72">
        <f>SUMIF(Adat!$AG:$AG,CONCATENATE(61,Info!$D$5,"09511",L859),Adat!$E:$E)*-1</f>
        <v>0</v>
      </c>
      <c r="F905" s="72">
        <f>SUMIF(Adat!$AG:$AG,CONCATENATE(60,Info!$D$5,"09511",L859),Adat!$E:$E)*-1+E905</f>
        <v>0</v>
      </c>
      <c r="G905" s="72">
        <f>SUMIF(Adat!$AH:$AH,CONCATENATE(Info!$D$5,"(KÖT)","09511",L859),Adat!$E:$E)*-1</f>
        <v>0</v>
      </c>
      <c r="H905" s="72">
        <f>SUMIF(Adat!$AH:$AH,CONCATENATE(Info!$D$5,"(ÖNV)","09511",L859),Adat!$E:$E)*-1</f>
        <v>0</v>
      </c>
      <c r="I905" s="72">
        <f>SUMIF(Adat!$AH:$AH,CONCATENATE(Info!$D$5,"(ÁIG)","09511",L859),Adat!$E:$E)*-1</f>
        <v>0</v>
      </c>
    </row>
    <row r="906" spans="2:9" x14ac:dyDescent="0.2">
      <c r="B906" s="160">
        <v>45</v>
      </c>
      <c r="C906" s="305" t="s">
        <v>1294</v>
      </c>
      <c r="D906" s="82" t="s">
        <v>1375</v>
      </c>
      <c r="E906" s="72">
        <f>SUMIF(Adat!$AG:$AG,CONCATENATE(61,Info!$D$5,"09521",L859),Adat!$E:$E)*-1</f>
        <v>0</v>
      </c>
      <c r="F906" s="72">
        <f>SUMIF(Adat!$AG:$AG,CONCATENATE(60,Info!$D$5,"09521",L859),Adat!$E:$E)*-1+E906</f>
        <v>0</v>
      </c>
      <c r="G906" s="72">
        <f>SUMIF(Adat!$AH:$AH,CONCATENATE(Info!$D$5,"(KÖT)","09521",L859),Adat!$E:$E)*-1</f>
        <v>0</v>
      </c>
      <c r="H906" s="72">
        <f>SUMIF(Adat!$AH:$AH,CONCATENATE(Info!$D$5,"(ÖNV)","09521",L859),Adat!$E:$E)*-1</f>
        <v>0</v>
      </c>
      <c r="I906" s="72">
        <f>SUMIF(Adat!$AH:$AH,CONCATENATE(Info!$D$5,"(ÁIG)","09521",L859),Adat!$E:$E)*-1</f>
        <v>0</v>
      </c>
    </row>
    <row r="907" spans="2:9" x14ac:dyDescent="0.2">
      <c r="B907" s="160">
        <v>46</v>
      </c>
      <c r="C907" s="305" t="s">
        <v>1376</v>
      </c>
      <c r="D907" s="82" t="s">
        <v>1377</v>
      </c>
      <c r="E907" s="72">
        <f>SUMIF(Adat!$AG:$AG,CONCATENATE(61,Info!$D$5,"09531",L859),Adat!$E:$E)*-1</f>
        <v>0</v>
      </c>
      <c r="F907" s="72">
        <f>SUMIF(Adat!$AG:$AG,CONCATENATE(60,Info!$D$5,"09531",L859),Adat!$E:$E)*-1+E907</f>
        <v>0</v>
      </c>
      <c r="G907" s="72">
        <f>SUMIF(Adat!$AH:$AH,CONCATENATE(Info!$D$5,"(KÖT)","09531",L859),Adat!$E:$E)*-1</f>
        <v>0</v>
      </c>
      <c r="H907" s="72">
        <f>SUMIF(Adat!$AH:$AH,CONCATENATE(Info!$D$5,"(ÖNV)","09531",L859),Adat!$E:$E)*-1</f>
        <v>0</v>
      </c>
      <c r="I907" s="72">
        <f>SUMIF(Adat!$AH:$AH,CONCATENATE(Info!$D$5,"(ÁIG)","09531",L859),Adat!$E:$E)*-1</f>
        <v>0</v>
      </c>
    </row>
    <row r="908" spans="2:9" x14ac:dyDescent="0.2">
      <c r="B908" s="160">
        <v>47</v>
      </c>
      <c r="C908" s="305" t="s">
        <v>1378</v>
      </c>
      <c r="D908" s="82" t="s">
        <v>1379</v>
      </c>
      <c r="E908" s="72">
        <f>SUMIF(Adat!$AG:$AG,CONCATENATE(61,Info!$D$5,"09541",L859),Adat!$E:$E)*-1</f>
        <v>0</v>
      </c>
      <c r="F908" s="72">
        <f>SUMIF(Adat!$AG:$AG,CONCATENATE(60,Info!$D$5,"09541",L859),Adat!$E:$E)*-1+E908</f>
        <v>0</v>
      </c>
      <c r="G908" s="72">
        <f>SUMIF(Adat!$AH:$AH,CONCATENATE(Info!$D$5,"(KÖT)","09541",L859),Adat!$E:$E)*-1</f>
        <v>0</v>
      </c>
      <c r="H908" s="72">
        <f>SUMIF(Adat!$AH:$AH,CONCATENATE(Info!$D$5,"(ÖNV)","09541",L859),Adat!$E:$E)*-1</f>
        <v>0</v>
      </c>
      <c r="I908" s="72">
        <f>SUMIF(Adat!$AH:$AH,CONCATENATE(Info!$D$5,"(ÁIG)","09541",L859),Adat!$E:$E)*-1</f>
        <v>0</v>
      </c>
    </row>
    <row r="909" spans="2:9" x14ac:dyDescent="0.25">
      <c r="B909" s="160">
        <v>48</v>
      </c>
      <c r="C909" s="305" t="s">
        <v>1380</v>
      </c>
      <c r="D909" s="84" t="s">
        <v>1381</v>
      </c>
      <c r="E909" s="72">
        <f>SUMIF(Adat!$AG:$AG,CONCATENATE(61,Info!$D$5,"09551",L859),Adat!$E:$E)*-1</f>
        <v>0</v>
      </c>
      <c r="F909" s="72">
        <f>SUMIF(Adat!$AG:$AG,CONCATENATE(60,Info!$D$5,"09551",L859),Adat!$E:$E)*-1+E909</f>
        <v>0</v>
      </c>
      <c r="G909" s="72">
        <f>SUMIF(Adat!$AH:$AH,CONCATENATE(Info!$D$5,"(KÖT)","09551",L859),Adat!$E:$E)*-1</f>
        <v>0</v>
      </c>
      <c r="H909" s="72">
        <f>SUMIF(Adat!$AH:$AH,CONCATENATE(Info!$D$5,"(ÖNV)","09551",L859),Adat!$E:$E)*-1</f>
        <v>0</v>
      </c>
      <c r="I909" s="72">
        <f>SUMIF(Adat!$AH:$AH,CONCATENATE(Info!$D$5,"(ÁIG)","09551",L859),Adat!$E:$E)*-1</f>
        <v>0</v>
      </c>
    </row>
    <row r="910" spans="2:9" x14ac:dyDescent="0.25">
      <c r="B910" s="160">
        <v>49</v>
      </c>
      <c r="C910" s="79" t="s">
        <v>36</v>
      </c>
      <c r="D910" s="79" t="s">
        <v>331</v>
      </c>
      <c r="E910" s="71">
        <f>SUM(E911:E915)</f>
        <v>0</v>
      </c>
      <c r="F910" s="71">
        <f t="shared" ref="F910:I910" si="96">SUM(F911:F915)</f>
        <v>0</v>
      </c>
      <c r="G910" s="71">
        <f t="shared" si="96"/>
        <v>0</v>
      </c>
      <c r="H910" s="71">
        <f t="shared" si="96"/>
        <v>0</v>
      </c>
      <c r="I910" s="71">
        <f t="shared" si="96"/>
        <v>0</v>
      </c>
    </row>
    <row r="911" spans="2:9" x14ac:dyDescent="0.2">
      <c r="B911" s="160">
        <v>50</v>
      </c>
      <c r="C911" s="305" t="s">
        <v>1382</v>
      </c>
      <c r="D911" s="82" t="s">
        <v>1383</v>
      </c>
      <c r="E911" s="72">
        <f>SUMIF(Adat!$AG:$AG,CONCATENATE(61,Info!$D$5,"09611",L859),Adat!$E:$E)*-1</f>
        <v>0</v>
      </c>
      <c r="F911" s="72">
        <f>SUMIF(Adat!$AG:$AG,CONCATENATE(60,Info!$D$5,"09611",L859),Adat!$E:$E)*-1+E911</f>
        <v>0</v>
      </c>
      <c r="G911" s="72">
        <f>SUMIF(Adat!$AH:$AH,CONCATENATE(Info!$D$5,"(KÖT)","09611",L859),Adat!$E:$E)*-1</f>
        <v>0</v>
      </c>
      <c r="H911" s="72">
        <f>SUMIF(Adat!$AH:$AH,CONCATENATE(Info!$D$5,"(ÖNV)","09611",L859),Adat!$E:$E)*-1</f>
        <v>0</v>
      </c>
      <c r="I911" s="72">
        <f>SUMIF(Adat!$AH:$AH,CONCATENATE(Info!$D$5,"(ÁIG)","09611",L859),Adat!$E:$E)*-1</f>
        <v>0</v>
      </c>
    </row>
    <row r="912" spans="2:9" x14ac:dyDescent="0.2">
      <c r="B912" s="160">
        <v>51</v>
      </c>
      <c r="C912" s="305" t="s">
        <v>1384</v>
      </c>
      <c r="D912" s="82" t="s">
        <v>1385</v>
      </c>
      <c r="E912" s="72">
        <f>SUMIF(Adat!$AG:$AG,CONCATENATE(61,Info!$D$5,"09621",L859),Adat!$E:$E)*-1</f>
        <v>0</v>
      </c>
      <c r="F912" s="72">
        <f>SUMIF(Adat!$AG:$AG,CONCATENATE(60,Info!$D$5,"09621",L859),Adat!$E:$E)*-1+E912</f>
        <v>0</v>
      </c>
      <c r="G912" s="72">
        <f>SUMIF(Adat!$AH:$AH,CONCATENATE(Info!$D$5,"(KÖT)","09621",L859),Adat!$E:$E)*-1</f>
        <v>0</v>
      </c>
      <c r="H912" s="72">
        <f>SUMIF(Adat!$AH:$AH,CONCATENATE(Info!$D$5,"(ÖNV)","09621",L859),Adat!$E:$E)*-1</f>
        <v>0</v>
      </c>
      <c r="I912" s="72">
        <f>SUMIF(Adat!$AH:$AH,CONCATENATE(Info!$D$5,"(ÁIG)","09621",L859),Adat!$E:$E)*-1</f>
        <v>0</v>
      </c>
    </row>
    <row r="913" spans="2:9" x14ac:dyDescent="0.2">
      <c r="B913" s="160">
        <v>52</v>
      </c>
      <c r="C913" s="305" t="s">
        <v>1386</v>
      </c>
      <c r="D913" s="82" t="s">
        <v>1387</v>
      </c>
      <c r="E913" s="72">
        <f>SUMIF(Adat!$AG:$AG,CONCATENATE(61,Info!$D$5,"09631",L859),Adat!$E:$E)*-1</f>
        <v>0</v>
      </c>
      <c r="F913" s="72">
        <f>SUMIF(Adat!$AG:$AG,CONCATENATE(60,Info!$D$5,"09631",L859),Adat!$E:$E)*-1+E913</f>
        <v>0</v>
      </c>
      <c r="G913" s="72">
        <f>SUMIF(Adat!$AH:$AH,CONCATENATE(Info!$D$5,"(KÖT)","09631",L859),Adat!$E:$E)*-1</f>
        <v>0</v>
      </c>
      <c r="H913" s="72">
        <f>SUMIF(Adat!$AH:$AH,CONCATENATE(Info!$D$5,"(ÖNV)","09631",L859),Adat!$E:$E)*-1</f>
        <v>0</v>
      </c>
      <c r="I913" s="72">
        <f>SUMIF(Adat!$AH:$AH,CONCATENATE(Info!$D$5,"(ÁIG)","09631",L859),Adat!$E:$E)*-1</f>
        <v>0</v>
      </c>
    </row>
    <row r="914" spans="2:9" x14ac:dyDescent="0.2">
      <c r="B914" s="160">
        <v>53</v>
      </c>
      <c r="C914" s="305" t="s">
        <v>1388</v>
      </c>
      <c r="D914" s="82" t="s">
        <v>1389</v>
      </c>
      <c r="E914" s="72">
        <f>SUMIF(Adat!$AG:$AG,CONCATENATE(61,Info!$D$5,"09641",L859),Adat!$E:$E)*-1</f>
        <v>0</v>
      </c>
      <c r="F914" s="72">
        <f>SUMIF(Adat!$AG:$AG,CONCATENATE(60,Info!$D$5,"09641",L859),Adat!$E:$E)*-1+E914</f>
        <v>0</v>
      </c>
      <c r="G914" s="72">
        <f>SUMIF(Adat!$AH:$AH,CONCATENATE(Info!$D$5,"(KÖT)","09641",L859),Adat!$E:$E)*-1</f>
        <v>0</v>
      </c>
      <c r="H914" s="72">
        <f>SUMIF(Adat!$AH:$AH,CONCATENATE(Info!$D$5,"(ÖNV)","09641",L859),Adat!$E:$E)*-1</f>
        <v>0</v>
      </c>
      <c r="I914" s="72">
        <f>SUMIF(Adat!$AH:$AH,CONCATENATE(Info!$D$5,"(ÁIG)","09641",L859),Adat!$E:$E)*-1</f>
        <v>0</v>
      </c>
    </row>
    <row r="915" spans="2:9" x14ac:dyDescent="0.2">
      <c r="B915" s="160">
        <v>54</v>
      </c>
      <c r="C915" s="305" t="s">
        <v>1310</v>
      </c>
      <c r="D915" s="82" t="s">
        <v>1390</v>
      </c>
      <c r="E915" s="72">
        <f>SUMIF(Adat!$AG:$AG,CONCATENATE(61,Info!$D$5,"09651",L859),Adat!$E:$E)*-1</f>
        <v>0</v>
      </c>
      <c r="F915" s="72">
        <f>SUMIF(Adat!$AG:$AG,CONCATENATE(60,Info!$D$5,"09651",L859),Adat!$E:$E)*-1+E915</f>
        <v>0</v>
      </c>
      <c r="G915" s="72">
        <f>SUMIF(Adat!$AH:$AH,CONCATENATE(Info!$D$5,"(KÖT)","09651",L859),Adat!$E:$E)*-1</f>
        <v>0</v>
      </c>
      <c r="H915" s="72">
        <f>SUMIF(Adat!$AH:$AH,CONCATENATE(Info!$D$5,"(ÖNV)","09651",L859),Adat!$E:$E)*-1</f>
        <v>0</v>
      </c>
      <c r="I915" s="72">
        <f>SUMIF(Adat!$AH:$AH,CONCATENATE(Info!$D$5,"(ÁIG)","09651",L859),Adat!$E:$E)*-1</f>
        <v>0</v>
      </c>
    </row>
    <row r="916" spans="2:9" x14ac:dyDescent="0.25">
      <c r="B916" s="160">
        <v>55</v>
      </c>
      <c r="C916" s="79" t="s">
        <v>38</v>
      </c>
      <c r="D916" s="85" t="s">
        <v>332</v>
      </c>
      <c r="E916" s="71">
        <f>SUM(E917:E921)</f>
        <v>0</v>
      </c>
      <c r="F916" s="71">
        <f t="shared" ref="F916:I916" si="97">SUM(F917:F921)</f>
        <v>0</v>
      </c>
      <c r="G916" s="71">
        <f t="shared" si="97"/>
        <v>0</v>
      </c>
      <c r="H916" s="71">
        <f t="shared" si="97"/>
        <v>0</v>
      </c>
      <c r="I916" s="71">
        <f t="shared" si="97"/>
        <v>0</v>
      </c>
    </row>
    <row r="917" spans="2:9" x14ac:dyDescent="0.2">
      <c r="B917" s="160">
        <v>56</v>
      </c>
      <c r="C917" s="305" t="s">
        <v>1391</v>
      </c>
      <c r="D917" s="82" t="s">
        <v>1392</v>
      </c>
      <c r="E917" s="72">
        <f>SUMIF(Adat!$AG:$AG,CONCATENATE(61,Info!$D$5,"09711",L859),Adat!$E:$E)*-1</f>
        <v>0</v>
      </c>
      <c r="F917" s="72">
        <f>SUMIF(Adat!$AG:$AG,CONCATENATE(60,Info!$D$5,"09711",L859),Adat!$E:$E)*-1+E917</f>
        <v>0</v>
      </c>
      <c r="G917" s="72">
        <f>SUMIF(Adat!$AH:$AH,CONCATENATE(Info!$D$5,"(KÖT)","09711",L859),Adat!$E:$E)*-1</f>
        <v>0</v>
      </c>
      <c r="H917" s="72">
        <f>SUMIF(Adat!$AH:$AH,CONCATENATE(Info!$D$5,"(ÖNV)","09711",L859),Adat!$E:$E)*-1</f>
        <v>0</v>
      </c>
      <c r="I917" s="72">
        <f>SUMIF(Adat!$AH:$AH,CONCATENATE(Info!$D$5,"(ÁIG)","09711",L859),Adat!$E:$E)*-1</f>
        <v>0</v>
      </c>
    </row>
    <row r="918" spans="2:9" x14ac:dyDescent="0.2">
      <c r="B918" s="160">
        <v>57</v>
      </c>
      <c r="C918" s="305" t="s">
        <v>1393</v>
      </c>
      <c r="D918" s="82" t="s">
        <v>1394</v>
      </c>
      <c r="E918" s="72">
        <f>SUMIF(Adat!$AG:$AG,CONCATENATE(61,Info!$D$5,"09721",L859),Adat!$E:$E)*-1</f>
        <v>0</v>
      </c>
      <c r="F918" s="72">
        <f>SUMIF(Adat!$AG:$AG,CONCATENATE(60,Info!$D$5,"09721",L859),Adat!$E:$E)*-1+E918</f>
        <v>0</v>
      </c>
      <c r="G918" s="72">
        <f>SUMIF(Adat!$AH:$AH,CONCATENATE(Info!$D$5,"(KÖT)","09721",L859),Adat!$E:$E)*-1</f>
        <v>0</v>
      </c>
      <c r="H918" s="72">
        <f>SUMIF(Adat!$AH:$AH,CONCATENATE(Info!$D$5,"(ÖNV)","09721",L859),Adat!$E:$E)*-1</f>
        <v>0</v>
      </c>
      <c r="I918" s="72">
        <f>SUMIF(Adat!$AH:$AH,CONCATENATE(Info!$D$5,"(ÁIG)","09721",L859),Adat!$E:$E)*-1</f>
        <v>0</v>
      </c>
    </row>
    <row r="919" spans="2:9" x14ac:dyDescent="0.2">
      <c r="B919" s="160">
        <v>58</v>
      </c>
      <c r="C919" s="305" t="s">
        <v>1395</v>
      </c>
      <c r="D919" s="82" t="s">
        <v>1396</v>
      </c>
      <c r="E919" s="72">
        <f>SUMIF(Adat!$AG:$AG,CONCATENATE(61,Info!$D$5,"09731",L859),Adat!$E:$E)*-1</f>
        <v>0</v>
      </c>
      <c r="F919" s="72">
        <f>SUMIF(Adat!$AG:$AG,CONCATENATE(60,Info!$D$5,"09731",L859),Adat!$E:$E)*-1+E919</f>
        <v>0</v>
      </c>
      <c r="G919" s="72">
        <f>SUMIF(Adat!$AH:$AH,CONCATENATE(Info!$D$5,"(KÖT)","09731",L859),Adat!$E:$E)*-1</f>
        <v>0</v>
      </c>
      <c r="H919" s="72">
        <f>SUMIF(Adat!$AH:$AH,CONCATENATE(Info!$D$5,"(ÖNV)","09731",L859),Adat!$E:$E)*-1</f>
        <v>0</v>
      </c>
      <c r="I919" s="72">
        <f>SUMIF(Adat!$AH:$AH,CONCATENATE(Info!$D$5,"(ÁIG)","09731",L859),Adat!$E:$E)*-1</f>
        <v>0</v>
      </c>
    </row>
    <row r="920" spans="2:9" x14ac:dyDescent="0.2">
      <c r="B920" s="160">
        <v>59</v>
      </c>
      <c r="C920" s="305" t="s">
        <v>1397</v>
      </c>
      <c r="D920" s="82" t="s">
        <v>1398</v>
      </c>
      <c r="E920" s="72">
        <f>SUMIF(Adat!$AG:$AG,CONCATENATE(61,Info!$D$5,"09741",L859),Adat!$E:$E)*-1</f>
        <v>0</v>
      </c>
      <c r="F920" s="72">
        <f>SUMIF(Adat!$AG:$AG,CONCATENATE(60,Info!$D$5,"09741",L859),Adat!$E:$E)*-1+E920</f>
        <v>0</v>
      </c>
      <c r="G920" s="72">
        <f>SUMIF(Adat!$AH:$AH,CONCATENATE(Info!$D$5,"(KÖT)","09741",L859),Adat!$E:$E)*-1</f>
        <v>0</v>
      </c>
      <c r="H920" s="72">
        <f>SUMIF(Adat!$AH:$AH,CONCATENATE(Info!$D$5,"(ÖNV)","09741",L859),Adat!$E:$E)*-1</f>
        <v>0</v>
      </c>
      <c r="I920" s="72">
        <f>SUMIF(Adat!$AH:$AH,CONCATENATE(Info!$D$5,"(ÁIG)","09741",L859),Adat!$E:$E)*-1</f>
        <v>0</v>
      </c>
    </row>
    <row r="921" spans="2:9" x14ac:dyDescent="0.25">
      <c r="B921" s="160">
        <v>60</v>
      </c>
      <c r="C921" s="305" t="s">
        <v>1399</v>
      </c>
      <c r="D921" s="84" t="s">
        <v>1400</v>
      </c>
      <c r="E921" s="72">
        <f>SUMIF(Adat!$AG:$AG,CONCATENATE(61,Info!$D$5,"09751",L859),Adat!$E:$E)*-1</f>
        <v>0</v>
      </c>
      <c r="F921" s="72">
        <f>SUMIF(Adat!$AG:$AG,CONCATENATE(60,Info!$D$5,"09751",L859),Adat!$E:$E)*-1+E921</f>
        <v>0</v>
      </c>
      <c r="G921" s="72">
        <f>SUMIF(Adat!$AH:$AH,CONCATENATE(Info!$D$5,"(KÖT)","09751",L859),Adat!$E:$E)*-1</f>
        <v>0</v>
      </c>
      <c r="H921" s="72">
        <f>SUMIF(Adat!$AH:$AH,CONCATENATE(Info!$D$5,"(ÖNV)","09751",L859),Adat!$E:$E)*-1</f>
        <v>0</v>
      </c>
      <c r="I921" s="72">
        <f>SUMIF(Adat!$AH:$AH,CONCATENATE(Info!$D$5,"(ÁIG)","09751",L859),Adat!$E:$E)*-1</f>
        <v>0</v>
      </c>
    </row>
    <row r="922" spans="2:9" x14ac:dyDescent="0.25">
      <c r="B922" s="160">
        <v>61</v>
      </c>
      <c r="C922" s="78" t="s">
        <v>352</v>
      </c>
      <c r="D922" s="86" t="s">
        <v>1401</v>
      </c>
      <c r="E922" s="71">
        <f>+E863+E871+E877+E883+E890+E904+E910+E916</f>
        <v>0</v>
      </c>
      <c r="F922" s="71">
        <f>+F863+F871+F877+F883+F890+F904+F910+F916</f>
        <v>0</v>
      </c>
      <c r="G922" s="71">
        <f>+G863+G871+G877+G883+G890+G904+G910+G916</f>
        <v>0</v>
      </c>
      <c r="H922" s="71">
        <f>+H863+H871+H877+H883+H890+H904+H910+H916</f>
        <v>0</v>
      </c>
      <c r="I922" s="71">
        <f>+I863+I871+I877+I883+I890+I904+I910+I916</f>
        <v>0</v>
      </c>
    </row>
    <row r="923" spans="2:9" x14ac:dyDescent="0.25">
      <c r="B923" s="160">
        <v>62</v>
      </c>
      <c r="C923" s="154" t="s">
        <v>1402</v>
      </c>
      <c r="D923" s="85" t="s">
        <v>1403</v>
      </c>
      <c r="E923" s="71">
        <f t="shared" ref="E923:G923" si="98">SUM(E924:E926)</f>
        <v>0</v>
      </c>
      <c r="F923" s="71">
        <f t="shared" si="98"/>
        <v>0</v>
      </c>
      <c r="G923" s="71">
        <f t="shared" si="98"/>
        <v>0</v>
      </c>
      <c r="H923" s="71">
        <f>SUM(H924:H926)</f>
        <v>0</v>
      </c>
      <c r="I923" s="71">
        <f>SUM(I924:I926)</f>
        <v>0</v>
      </c>
    </row>
    <row r="924" spans="2:9" x14ac:dyDescent="0.2">
      <c r="B924" s="160">
        <v>63</v>
      </c>
      <c r="C924" s="305" t="s">
        <v>1404</v>
      </c>
      <c r="D924" s="82" t="s">
        <v>1405</v>
      </c>
      <c r="E924" s="72">
        <f>SUMIF(Adat!$AG:$AG,CONCATENATE(61,Info!$D$5,"0981111",L859),Adat!$E:$E)*-1</f>
        <v>0</v>
      </c>
      <c r="F924" s="72">
        <f>SUMIF(Adat!$AG:$AG,CONCATENATE(60,Info!$D$5,"0981111",L859),Adat!$E:$E)*-1+E924</f>
        <v>0</v>
      </c>
      <c r="G924" s="72">
        <f>SUMIF(Adat!$AH:$AH,CONCATENATE(Info!$D$5,"(KÖT)","0981111",L859),Adat!$E:$E)*-1</f>
        <v>0</v>
      </c>
      <c r="H924" s="72">
        <f>SUMIF(Adat!$AH:$AH,CONCATENATE(Info!$D$5,"(ÖNV)","0981111",L859),Adat!$E:$E)*-1</f>
        <v>0</v>
      </c>
      <c r="I924" s="72">
        <f>SUMIF(Adat!$AH:$AH,CONCATENATE(Info!$D$5,"(ÁIG)","0981111",L859),Adat!$E:$E)*-1</f>
        <v>0</v>
      </c>
    </row>
    <row r="925" spans="2:9" x14ac:dyDescent="0.2">
      <c r="B925" s="160">
        <v>64</v>
      </c>
      <c r="C925" s="305" t="s">
        <v>1406</v>
      </c>
      <c r="D925" s="82" t="s">
        <v>1407</v>
      </c>
      <c r="E925" s="72">
        <f>SUMIF(Adat!$AG:$AG,CONCATENATE(61,Info!$D$5,"0981121",L859),Adat!$E:$E)*-1</f>
        <v>0</v>
      </c>
      <c r="F925" s="72">
        <f>SUMIF(Adat!$AG:$AG,CONCATENATE(60,Info!$D$5,"0981121",L859),Adat!$E:$E)*-1+E925</f>
        <v>0</v>
      </c>
      <c r="G925" s="72">
        <f>SUMIF(Adat!$AH:$AH,CONCATENATE(Info!$D$5,"(KÖT)","0981121",L859),Adat!$E:$E)*-1</f>
        <v>0</v>
      </c>
      <c r="H925" s="72">
        <f>SUMIF(Adat!$AH:$AH,CONCATENATE(Info!$D$5,"(ÖNV)","0981121",L859),Adat!$E:$E)*-1</f>
        <v>0</v>
      </c>
      <c r="I925" s="72">
        <f>SUMIF(Adat!$AH:$AH,CONCATENATE(Info!$D$5,"(ÁIG)","0981121",L859),Adat!$E:$E)*-1</f>
        <v>0</v>
      </c>
    </row>
    <row r="926" spans="2:9" x14ac:dyDescent="0.2">
      <c r="B926" s="160">
        <v>65</v>
      </c>
      <c r="C926" s="305" t="s">
        <v>1408</v>
      </c>
      <c r="D926" s="82" t="s">
        <v>1409</v>
      </c>
      <c r="E926" s="72">
        <f>SUMIF(Adat!$AG:$AG,CONCATENATE(61,Info!$D$5,"0981131",L859),Adat!$E:$E)*-1</f>
        <v>0</v>
      </c>
      <c r="F926" s="72">
        <f>SUMIF(Adat!$AG:$AG,CONCATENATE(60,Info!$D$5,"0981131",L859),Adat!$E:$E)*-1+E926</f>
        <v>0</v>
      </c>
      <c r="G926" s="72">
        <f>SUMIF(Adat!$AH:$AH,CONCATENATE(Info!$D$5,"(KÖT)","0981131",L859),Adat!$E:$E)*-1</f>
        <v>0</v>
      </c>
      <c r="H926" s="72">
        <f>SUMIF(Adat!$AH:$AH,CONCATENATE(Info!$D$5,"(ÖNV)","0981131",L859),Adat!$E:$E)*-1</f>
        <v>0</v>
      </c>
      <c r="I926" s="72">
        <f>SUMIF(Adat!$AH:$AH,CONCATENATE(Info!$D$5,"(ÁIG)","0981131",L859),Adat!$E:$E)*-1</f>
        <v>0</v>
      </c>
    </row>
    <row r="927" spans="2:9" x14ac:dyDescent="0.25">
      <c r="B927" s="160">
        <v>66</v>
      </c>
      <c r="C927" s="154" t="s">
        <v>1410</v>
      </c>
      <c r="D927" s="85" t="s">
        <v>574</v>
      </c>
      <c r="E927" s="71">
        <f>SUM(E928:E931)</f>
        <v>0</v>
      </c>
      <c r="F927" s="71">
        <f t="shared" ref="F927" si="99">SUM(F928:F931)</f>
        <v>0</v>
      </c>
      <c r="G927" s="71">
        <f>SUM(G928:G931)</f>
        <v>0</v>
      </c>
      <c r="H927" s="71">
        <f>SUM(H928:H931)</f>
        <v>0</v>
      </c>
      <c r="I927" s="71">
        <f>SUM(I928:I931)</f>
        <v>0</v>
      </c>
    </row>
    <row r="928" spans="2:9" x14ac:dyDescent="0.2">
      <c r="B928" s="160">
        <v>67</v>
      </c>
      <c r="C928" s="305" t="s">
        <v>1411</v>
      </c>
      <c r="D928" s="82" t="s">
        <v>1412</v>
      </c>
      <c r="E928" s="72">
        <f>SUMIF(Adat!$AG:$AG,CONCATENATE(61,Info!$D$5,"0981211",L859),Adat!$E:$E)*-1</f>
        <v>0</v>
      </c>
      <c r="F928" s="72">
        <f>SUMIF(Adat!$AG:$AG,CONCATENATE(60,Info!$D$5,"0981211",L859),Adat!$E:$E)*-1+E928</f>
        <v>0</v>
      </c>
      <c r="G928" s="72">
        <f>SUMIF(Adat!$AH:$AH,CONCATENATE(Info!$D$5,"(KÖT)","0981211",L859),Adat!$E:$E)*-1</f>
        <v>0</v>
      </c>
      <c r="H928" s="72">
        <f>SUMIF(Adat!$AH:$AH,CONCATENATE(Info!$D$5,"(ÖNV)","0981211",L859),Adat!$E:$E)*-1</f>
        <v>0</v>
      </c>
      <c r="I928" s="72">
        <f>SUMIF(Adat!$AH:$AH,CONCATENATE(Info!$D$5,"(ÁIG)","0981211",L859),Adat!$E:$E)*-1</f>
        <v>0</v>
      </c>
    </row>
    <row r="929" spans="2:9" x14ac:dyDescent="0.2">
      <c r="B929" s="160">
        <v>68</v>
      </c>
      <c r="C929" s="305" t="s">
        <v>1413</v>
      </c>
      <c r="D929" s="82" t="s">
        <v>1414</v>
      </c>
      <c r="E929" s="72">
        <f>SUMIF(Adat!$AG:$AG,CONCATENATE(61,Info!$D$5,"0981221",L859),Adat!$E:$E)*-1</f>
        <v>0</v>
      </c>
      <c r="F929" s="72">
        <f>SUMIF(Adat!$AG:$AG,CONCATENATE(60,Info!$D$5,"0981221",L859),Adat!$E:$E)*-1+E929</f>
        <v>0</v>
      </c>
      <c r="G929" s="72">
        <f>SUMIF(Adat!$AH:$AH,CONCATENATE(Info!$D$5,"(KÖT)","0981221",L859),Adat!$E:$E)*-1</f>
        <v>0</v>
      </c>
      <c r="H929" s="72">
        <f>SUMIF(Adat!$AH:$AH,CONCATENATE(Info!$D$5,"(ÖNV)","0981221",L859),Adat!$E:$E)*-1</f>
        <v>0</v>
      </c>
      <c r="I929" s="72">
        <f>SUMIF(Adat!$AH:$AH,CONCATENATE(Info!$D$5,"(ÁIG)","0981221",L859),Adat!$E:$E)*-1</f>
        <v>0</v>
      </c>
    </row>
    <row r="930" spans="2:9" x14ac:dyDescent="0.2">
      <c r="B930" s="160">
        <v>69</v>
      </c>
      <c r="C930" s="305" t="s">
        <v>1313</v>
      </c>
      <c r="D930" s="82" t="s">
        <v>1415</v>
      </c>
      <c r="E930" s="72">
        <f>SUMIF(Adat!$AG:$AG,CONCATENATE(61,Info!$D$5,"0981231",L859),Adat!$E:$E)*-1</f>
        <v>0</v>
      </c>
      <c r="F930" s="72">
        <f>SUMIF(Adat!$AG:$AG,CONCATENATE(60,Info!$D$5,"0981231",L859),Adat!$E:$E)*-1+E930</f>
        <v>0</v>
      </c>
      <c r="G930" s="72">
        <f>SUMIF(Adat!$AH:$AH,CONCATENATE(Info!$D$5,"(KÖT)","0981231",L859),Adat!$E:$E)*-1</f>
        <v>0</v>
      </c>
      <c r="H930" s="72">
        <f>SUMIF(Adat!$AH:$AH,CONCATENATE(Info!$D$5,"(ÖNV)","0981231",L859),Adat!$E:$E)*-1</f>
        <v>0</v>
      </c>
      <c r="I930" s="72">
        <f>SUMIF(Adat!$AH:$AH,CONCATENATE(Info!$D$5,"(ÁIG)","0981231",L859),Adat!$E:$E)*-1</f>
        <v>0</v>
      </c>
    </row>
    <row r="931" spans="2:9" x14ac:dyDescent="0.25">
      <c r="B931" s="160">
        <v>70</v>
      </c>
      <c r="C931" s="305" t="s">
        <v>1416</v>
      </c>
      <c r="D931" s="84" t="s">
        <v>1417</v>
      </c>
      <c r="E931" s="72">
        <f>SUMIF(Adat!$AG:$AG,CONCATENATE(61,Info!$D$5,"0981241",L859),Adat!$E:$E)*-1</f>
        <v>0</v>
      </c>
      <c r="F931" s="72">
        <f>SUMIF(Adat!$AG:$AG,CONCATENATE(60,Info!$D$5,"0981241",L859),Adat!$E:$E)*-1+E931</f>
        <v>0</v>
      </c>
      <c r="G931" s="72">
        <f>SUMIF(Adat!$AH:$AH,CONCATENATE(Info!$D$5,"(KÖT)","0981241",L859),Adat!$E:$E)*-1</f>
        <v>0</v>
      </c>
      <c r="H931" s="72">
        <f>SUMIF(Adat!$AH:$AH,CONCATENATE(Info!$D$5,"(ÖNV)","0981241",L859),Adat!$E:$E)*-1</f>
        <v>0</v>
      </c>
      <c r="I931" s="72">
        <f>SUMIF(Adat!$AH:$AH,CONCATENATE(Info!$D$5,"(ÁIG)","0981241",L859),Adat!$E:$E)*-1</f>
        <v>0</v>
      </c>
    </row>
    <row r="932" spans="2:9" x14ac:dyDescent="0.25">
      <c r="B932" s="160">
        <v>71</v>
      </c>
      <c r="C932" s="154" t="s">
        <v>1418</v>
      </c>
      <c r="D932" s="85" t="s">
        <v>575</v>
      </c>
      <c r="E932" s="71">
        <f>SUM(E933:E934)</f>
        <v>0</v>
      </c>
      <c r="F932" s="71">
        <f t="shared" ref="F932" si="100">SUM(F933:F934)</f>
        <v>0</v>
      </c>
      <c r="G932" s="71">
        <f>SUM(G933:G934)</f>
        <v>0</v>
      </c>
      <c r="H932" s="71">
        <f>SUM(H933:H934)</f>
        <v>0</v>
      </c>
      <c r="I932" s="71">
        <f>SUM(I933:I934)</f>
        <v>0</v>
      </c>
    </row>
    <row r="933" spans="2:9" x14ac:dyDescent="0.2">
      <c r="B933" s="160">
        <v>72</v>
      </c>
      <c r="C933" s="305" t="s">
        <v>1274</v>
      </c>
      <c r="D933" s="82" t="s">
        <v>1419</v>
      </c>
      <c r="E933" s="72">
        <f>SUMIF(Adat!$AG:$AG,CONCATENATE(61,Info!$D$5,"0981311",L859),Adat!$E:$E)*-1</f>
        <v>0</v>
      </c>
      <c r="F933" s="72">
        <f>SUMIF(Adat!$AG:$AG,CONCATENATE(60,Info!$D$5,"0981311",L859),Adat!$E:$E)*-1+E933</f>
        <v>0</v>
      </c>
      <c r="G933" s="72">
        <f>SUMIF(Adat!$AH:$AH,CONCATENATE(Info!$D$5,"(KÖT)","0981311",L859),Adat!$E:$E)*-1</f>
        <v>0</v>
      </c>
      <c r="H933" s="72">
        <f>SUMIF(Adat!$AH:$AH,CONCATENATE(Info!$D$5,"(ÖNV)","0981311",L859),Adat!$E:$E)*-1</f>
        <v>0</v>
      </c>
      <c r="I933" s="72">
        <f>SUMIF(Adat!$AH:$AH,CONCATENATE(Info!$D$5,"(ÁIG)","0981311",L859),Adat!$E:$E)*-1</f>
        <v>0</v>
      </c>
    </row>
    <row r="934" spans="2:9" x14ac:dyDescent="0.25">
      <c r="B934" s="160">
        <v>73</v>
      </c>
      <c r="C934" s="305" t="s">
        <v>1420</v>
      </c>
      <c r="D934" s="84" t="s">
        <v>1421</v>
      </c>
      <c r="E934" s="72">
        <f>SUMIF(Adat!$AG:$AG,CONCATENATE(61,Info!$D$5,"0981321",L859),Adat!$E:$E)*-1</f>
        <v>0</v>
      </c>
      <c r="F934" s="72">
        <f>SUMIF(Adat!$AG:$AG,CONCATENATE(60,Info!$D$5,"0981321",L859),Adat!$E:$E)*-1+E934</f>
        <v>0</v>
      </c>
      <c r="G934" s="72">
        <f>SUMIF(Adat!$AH:$AH,CONCATENATE(Info!$D$5,"(KÖT)","0981321",L859),Adat!$E:$E)*-1</f>
        <v>0</v>
      </c>
      <c r="H934" s="72">
        <f>SUMIF(Adat!$AH:$AH,CONCATENATE(Info!$D$5,"(ÖNV)","0981321",L859),Adat!$E:$E)*-1</f>
        <v>0</v>
      </c>
      <c r="I934" s="72">
        <f>SUMIF(Adat!$AH:$AH,CONCATENATE(Info!$D$5,"(ÁIG)","0981321",L859),Adat!$E:$E)*-1</f>
        <v>0</v>
      </c>
    </row>
    <row r="935" spans="2:9" s="42" customFormat="1" x14ac:dyDescent="0.25">
      <c r="B935" s="160">
        <v>74</v>
      </c>
      <c r="C935" s="154" t="s">
        <v>1496</v>
      </c>
      <c r="D935" s="85" t="s">
        <v>576</v>
      </c>
      <c r="E935" s="71">
        <f>SUM(E936:E938)</f>
        <v>0</v>
      </c>
      <c r="F935" s="71">
        <f t="shared" ref="F935" si="101">SUM(F936:F938)</f>
        <v>0</v>
      </c>
      <c r="G935" s="71">
        <f>SUM(G936:G938)</f>
        <v>0</v>
      </c>
      <c r="H935" s="71">
        <f>SUM(H936:H938)</f>
        <v>0</v>
      </c>
      <c r="I935" s="71">
        <f>SUM(I936:I938)</f>
        <v>0</v>
      </c>
    </row>
    <row r="936" spans="2:9" x14ac:dyDescent="0.2">
      <c r="B936" s="160">
        <v>75</v>
      </c>
      <c r="C936" s="305" t="s">
        <v>1301</v>
      </c>
      <c r="D936" s="82" t="s">
        <v>1422</v>
      </c>
      <c r="E936" s="72">
        <f>SUMIF(Adat!$AG:$AG,CONCATENATE(61,Info!$D$5,"098141",L859),Adat!$E:$E)*-1</f>
        <v>0</v>
      </c>
      <c r="F936" s="72">
        <f>SUMIF(Adat!$AG:$AG,CONCATENATE(60,Info!$D$5,"098141",L859),Adat!$E:$E)*-1+E936</f>
        <v>0</v>
      </c>
      <c r="G936" s="72">
        <f>SUMIF(Adat!$AH:$AH,CONCATENATE(Info!$D$5,"(KÖT)","098141",L859),Adat!$E:$E)*-1</f>
        <v>0</v>
      </c>
      <c r="H936" s="72">
        <f>SUMIF(Adat!$AH:$AH,CONCATENATE(Info!$D$5,"(ÖNV)","098141",L859),Adat!$E:$E)*-1</f>
        <v>0</v>
      </c>
      <c r="I936" s="72">
        <f>SUMIF(Adat!$AH:$AH,CONCATENATE(Info!$D$5,"(ÁIG)","098141",L859),Adat!$E:$E)*-1</f>
        <v>0</v>
      </c>
    </row>
    <row r="937" spans="2:9" x14ac:dyDescent="0.2">
      <c r="B937" s="160">
        <v>76</v>
      </c>
      <c r="C937" s="305" t="s">
        <v>1423</v>
      </c>
      <c r="D937" s="82" t="s">
        <v>1424</v>
      </c>
      <c r="E937" s="72">
        <f>SUMIF(Adat!$AG:$AG,CONCATENATE(61,Info!$D$5,"098151",L859),Adat!$E:$E)*-1</f>
        <v>0</v>
      </c>
      <c r="F937" s="72">
        <f>SUMIF(Adat!$AG:$AG,CONCATENATE(60,Info!$D$5,"098151",L859),Adat!$E:$E)*-1+E937</f>
        <v>0</v>
      </c>
      <c r="G937" s="72">
        <f>SUMIF(Adat!$AH:$AH,CONCATENATE(Info!$D$5,"(KÖT)","098151",L859),Adat!$E:$E)*-1</f>
        <v>0</v>
      </c>
      <c r="H937" s="72">
        <f>SUMIF(Adat!$AH:$AH,CONCATENATE(Info!$D$5,"(ÖNV)","098151",L859),Adat!$E:$E)*-1</f>
        <v>0</v>
      </c>
      <c r="I937" s="72">
        <f>SUMIF(Adat!$AH:$AH,CONCATENATE(Info!$D$5,"(ÁIG)","098151",L859),Adat!$E:$E)*-1</f>
        <v>0</v>
      </c>
    </row>
    <row r="938" spans="2:9" x14ac:dyDescent="0.25">
      <c r="B938" s="160">
        <v>77</v>
      </c>
      <c r="C938" s="305" t="s">
        <v>1425</v>
      </c>
      <c r="D938" s="84" t="s">
        <v>1426</v>
      </c>
      <c r="E938" s="72">
        <f>SUMIF(Adat!$AG:$AG,CONCATENATE(61,Info!$D$5,"098171",L859),Adat!$E:$E)*-1</f>
        <v>0</v>
      </c>
      <c r="F938" s="72">
        <f>SUMIF(Adat!$AG:$AG,CONCATENATE(60,Info!$D$5,"098171",L859),Adat!$E:$E)*-1+E938</f>
        <v>0</v>
      </c>
      <c r="G938" s="72">
        <f>SUMIF(Adat!$AH:$AH,CONCATENATE(Info!$D$5,"(KÖT)","098171",L859),Adat!$E:$E)*-1</f>
        <v>0</v>
      </c>
      <c r="H938" s="72">
        <f>SUMIF(Adat!$AH:$AH,CONCATENATE(Info!$D$5,"(ÖNV)","098171",L859),Adat!$E:$E)*-1</f>
        <v>0</v>
      </c>
      <c r="I938" s="72">
        <f>SUMIF(Adat!$AH:$AH,CONCATENATE(Info!$D$5,"(ÁIG)","098171",L859),Adat!$E:$E)*-1</f>
        <v>0</v>
      </c>
    </row>
    <row r="939" spans="2:9" x14ac:dyDescent="0.25">
      <c r="B939" s="160">
        <v>78</v>
      </c>
      <c r="C939" s="154" t="s">
        <v>1427</v>
      </c>
      <c r="D939" s="85" t="s">
        <v>577</v>
      </c>
      <c r="E939" s="71">
        <f>SUM(E940:E944)</f>
        <v>0</v>
      </c>
      <c r="F939" s="71">
        <f t="shared" ref="F939" si="102">SUM(F940:F944)</f>
        <v>0</v>
      </c>
      <c r="G939" s="71">
        <f>SUM(G940:G944)</f>
        <v>0</v>
      </c>
      <c r="H939" s="71">
        <f>SUM(H940:H944)</f>
        <v>0</v>
      </c>
      <c r="I939" s="71">
        <f>SUM(I940:I944)</f>
        <v>0</v>
      </c>
    </row>
    <row r="940" spans="2:9" x14ac:dyDescent="0.2">
      <c r="B940" s="160">
        <v>79</v>
      </c>
      <c r="C940" s="89" t="s">
        <v>1428</v>
      </c>
      <c r="D940" s="82" t="s">
        <v>1429</v>
      </c>
      <c r="E940" s="72">
        <f>SUMIF(Adat!$AG:$AG,CONCATENATE(61,Info!$D$5,"098211",L859),Adat!$E:$E)*-1</f>
        <v>0</v>
      </c>
      <c r="F940" s="72">
        <f>SUMIF(Adat!$AG:$AG,CONCATENATE(60,Info!$D$5,"098211",L859),Adat!$E:$E)*-1+E940</f>
        <v>0</v>
      </c>
      <c r="G940" s="72">
        <f>SUMIF(Adat!$AH:$AH,CONCATENATE(Info!$D$5,"(KÖT)","098211",L859),Adat!$E:$E)*-1</f>
        <v>0</v>
      </c>
      <c r="H940" s="72">
        <f>SUMIF(Adat!$AH:$AH,CONCATENATE(Info!$D$5,"(ÖNV)","098211",L859),Adat!$E:$E)*-1</f>
        <v>0</v>
      </c>
      <c r="I940" s="72">
        <f>SUMIF(Adat!$AH:$AH,CONCATENATE(Info!$D$5,"(ÁIG)","098211",L859),Adat!$E:$E)*-1</f>
        <v>0</v>
      </c>
    </row>
    <row r="941" spans="2:9" x14ac:dyDescent="0.2">
      <c r="B941" s="160">
        <v>80</v>
      </c>
      <c r="C941" s="89" t="s">
        <v>1430</v>
      </c>
      <c r="D941" s="82" t="s">
        <v>1431</v>
      </c>
      <c r="E941" s="72">
        <f>SUMIF(Adat!$AG:$AG,CONCATENATE(61,Info!$D$5,"098221",L859),Adat!$E:$E)*-1</f>
        <v>0</v>
      </c>
      <c r="F941" s="72">
        <f>SUMIF(Adat!$AG:$AG,CONCATENATE(60,Info!$D$5,"098221",L859),Adat!$E:$E)*-1+E941</f>
        <v>0</v>
      </c>
      <c r="G941" s="72">
        <f>SUMIF(Adat!$AH:$AH,CONCATENATE(Info!$D$5,"(KÖT)","098221",L859),Adat!$E:$E)*-1</f>
        <v>0</v>
      </c>
      <c r="H941" s="72">
        <f>SUMIF(Adat!$AH:$AH,CONCATENATE(Info!$D$5,"(ÖNV)","098221",L859),Adat!$E:$E)*-1</f>
        <v>0</v>
      </c>
      <c r="I941" s="72">
        <f>SUMIF(Adat!$AH:$AH,CONCATENATE(Info!$D$5,"(ÁIG)","098221",L859),Adat!$E:$E)*-1</f>
        <v>0</v>
      </c>
    </row>
    <row r="942" spans="2:9" x14ac:dyDescent="0.2">
      <c r="B942" s="160">
        <v>81</v>
      </c>
      <c r="C942" s="89" t="s">
        <v>1432</v>
      </c>
      <c r="D942" s="82" t="s">
        <v>1433</v>
      </c>
      <c r="E942" s="72">
        <f>SUMIF(Adat!$AG:$AG,CONCATENATE(61,Info!$D$5,"098231",L859),Adat!$E:$E)*-1</f>
        <v>0</v>
      </c>
      <c r="F942" s="72">
        <f>SUMIF(Adat!$AG:$AG,CONCATENATE(60,Info!$D$5,"098231",L859),Adat!$E:$E)*-1+E942</f>
        <v>0</v>
      </c>
      <c r="G942" s="72">
        <f>SUMIF(Adat!$AH:$AH,CONCATENATE(Info!$D$5,"(KÖT)","098231",L859),Adat!$E:$E)*-1</f>
        <v>0</v>
      </c>
      <c r="H942" s="72">
        <f>SUMIF(Adat!$AH:$AH,CONCATENATE(Info!$D$5,"(ÖNV)","098231",L859),Adat!$E:$E)*-1</f>
        <v>0</v>
      </c>
      <c r="I942" s="72">
        <f>SUMIF(Adat!$AH:$AH,CONCATENATE(Info!$D$5,"(ÁIG)","098231",L859),Adat!$E:$E)*-1</f>
        <v>0</v>
      </c>
    </row>
    <row r="943" spans="2:9" x14ac:dyDescent="0.2">
      <c r="B943" s="160">
        <v>82</v>
      </c>
      <c r="C943" s="89" t="s">
        <v>1434</v>
      </c>
      <c r="D943" s="82" t="s">
        <v>1435</v>
      </c>
      <c r="E943" s="72">
        <f>SUMIF(Adat!$AG:$AG,CONCATENATE(61,Info!$D$5,"098241",L859),Adat!$E:$E)*-1</f>
        <v>0</v>
      </c>
      <c r="F943" s="72">
        <f>SUMIF(Adat!$AG:$AG,CONCATENATE(60,Info!$D$5,"098241",L859),Adat!$E:$E)*-1+E943</f>
        <v>0</v>
      </c>
      <c r="G943" s="72">
        <f>SUMIF(Adat!$AH:$AH,CONCATENATE(Info!$D$5,"(KÖT)","098241",L859),Adat!$E:$E)*-1</f>
        <v>0</v>
      </c>
      <c r="H943" s="72">
        <f>SUMIF(Adat!$AH:$AH,CONCATENATE(Info!$D$5,"(ÖNV)","098241",L859),Adat!$E:$E)*-1</f>
        <v>0</v>
      </c>
      <c r="I943" s="72">
        <f>SUMIF(Adat!$AH:$AH,CONCATENATE(Info!$D$5,"(ÁIG)","098241",L859),Adat!$E:$E)*-1</f>
        <v>0</v>
      </c>
    </row>
    <row r="944" spans="2:9" s="42" customFormat="1" x14ac:dyDescent="0.2">
      <c r="B944" s="160">
        <v>83</v>
      </c>
      <c r="C944" s="89" t="s">
        <v>1436</v>
      </c>
      <c r="D944" s="84" t="s">
        <v>1437</v>
      </c>
      <c r="E944" s="72">
        <f>SUMIF(Adat!$AG:$AG,CONCATENATE(61,Info!$D$5,"098251",L859),Adat!$E:$E)*-1</f>
        <v>0</v>
      </c>
      <c r="F944" s="72">
        <f>SUMIF(Adat!$AG:$AG,CONCATENATE(60,Info!$D$5,"098251",L859),Adat!$E:$E)*-1+E944</f>
        <v>0</v>
      </c>
      <c r="G944" s="72">
        <f>SUMIF(Adat!$AH:$AH,CONCATENATE(Info!$D$5,"(KÖT)","098251",L859),Adat!$E:$E)*-1</f>
        <v>0</v>
      </c>
      <c r="H944" s="72">
        <f>SUMIF(Adat!$AH:$AH,CONCATENATE(Info!$D$5,"(ÖNV)","098251",L859),Adat!$E:$E)*-1</f>
        <v>0</v>
      </c>
      <c r="I944" s="72">
        <f>SUMIF(Adat!$AH:$AH,CONCATENATE(Info!$D$5,"(ÁIG)","098251",L859),Adat!$E:$E)*-1</f>
        <v>0</v>
      </c>
    </row>
    <row r="945" spans="2:12" s="42" customFormat="1" x14ac:dyDescent="0.2">
      <c r="B945" s="160">
        <v>84</v>
      </c>
      <c r="C945" s="309" t="s">
        <v>1438</v>
      </c>
      <c r="D945" s="85" t="s">
        <v>1439</v>
      </c>
      <c r="E945" s="71">
        <f>SUMIF(Adat!$AG:$AG,CONCATENATE(61,Info!$D$5,"09831",L859),Adat!$E:$E)*-1</f>
        <v>0</v>
      </c>
      <c r="F945" s="71">
        <f>SUMIF(Adat!$AG:$AG,CONCATENATE(60,Info!$D$5,"09831",L859),Adat!$E:$E)*-1+E945</f>
        <v>0</v>
      </c>
      <c r="G945" s="71">
        <f>SUMIF(Adat!$AH:$AH,CONCATENATE(Info!$D$5,"(KÖT)","09831",L859),Adat!$E:$E)*-1</f>
        <v>0</v>
      </c>
      <c r="H945" s="71">
        <f>SUMIF(Adat!$AH:$AH,CONCATENATE(Info!$D$5,"(ÖNV)","09831",L859),Adat!$E:$E)*-1</f>
        <v>0</v>
      </c>
      <c r="I945" s="71">
        <f>SUMIF(Adat!$AH:$AH,CONCATENATE(Info!$D$5,"(ÁIG)","09831",L859),Adat!$E:$E)*-1</f>
        <v>0</v>
      </c>
    </row>
    <row r="946" spans="2:12" s="42" customFormat="1" x14ac:dyDescent="0.25">
      <c r="B946" s="160">
        <v>85</v>
      </c>
      <c r="C946" s="154" t="s">
        <v>1440</v>
      </c>
      <c r="D946" s="85" t="s">
        <v>1441</v>
      </c>
      <c r="E946" s="71">
        <f>SUMIF(Adat!$AG:$AG,CONCATENATE(61,Info!$D$5,"09841",L859),Adat!$E:$E)*-1</f>
        <v>0</v>
      </c>
      <c r="F946" s="71">
        <f>SUMIF(Adat!$AG:$AG,CONCATENATE(60,Info!$D$5,"09841",L859),Adat!$E:$E)*-1+E946</f>
        <v>0</v>
      </c>
      <c r="G946" s="71">
        <f>SUMIF(Adat!$AH:$AH,CONCATENATE(Info!$D$5,"(KÖT)","09841",L859),Adat!$E:$E)*-1</f>
        <v>0</v>
      </c>
      <c r="H946" s="71">
        <f>SUMIF(Adat!$AH:$AH,CONCATENATE(Info!$D$5,"(ÖNV)","09841",L859),Adat!$E:$E)*-1</f>
        <v>0</v>
      </c>
      <c r="I946" s="71">
        <f>SUMIF(Adat!$AH:$AH,CONCATENATE(Info!$D$5,"(ÁIG)","09841",L859),Adat!$E:$E)*-1</f>
        <v>0</v>
      </c>
    </row>
    <row r="947" spans="2:12" s="42" customFormat="1" x14ac:dyDescent="0.25">
      <c r="B947" s="160">
        <v>86</v>
      </c>
      <c r="C947" s="154" t="s">
        <v>358</v>
      </c>
      <c r="D947" s="87" t="s">
        <v>1442</v>
      </c>
      <c r="E947" s="71">
        <f>+E923+E927+E932+E935+E939+E946+E945</f>
        <v>0</v>
      </c>
      <c r="F947" s="71">
        <f t="shared" ref="F947" si="103">+F923+F927+F932+F935+F939+F946+F945</f>
        <v>0</v>
      </c>
      <c r="G947" s="71">
        <f>+G923+G927+G932+G935+G939+G946+G945</f>
        <v>0</v>
      </c>
      <c r="H947" s="71">
        <f>+H923+H927+H932+H935+H939+H946+H945</f>
        <v>0</v>
      </c>
      <c r="I947" s="71">
        <f>+I923+I927+I932+I935+I939+I946+I945</f>
        <v>0</v>
      </c>
    </row>
    <row r="948" spans="2:12" s="42" customFormat="1" x14ac:dyDescent="0.25">
      <c r="B948" s="160">
        <v>87</v>
      </c>
      <c r="C948" s="154" t="s">
        <v>364</v>
      </c>
      <c r="D948" s="87" t="s">
        <v>1497</v>
      </c>
      <c r="E948" s="71">
        <f>+E922+E947</f>
        <v>0</v>
      </c>
      <c r="F948" s="71">
        <f t="shared" ref="F948" si="104">+F922+F947</f>
        <v>0</v>
      </c>
      <c r="G948" s="71">
        <f>+G922+G947</f>
        <v>0</v>
      </c>
      <c r="H948" s="71">
        <f>+H922+H947</f>
        <v>0</v>
      </c>
      <c r="I948" s="71">
        <f>+I922+I947</f>
        <v>0</v>
      </c>
    </row>
    <row r="949" spans="2:12" s="38" customFormat="1" ht="15.75" x14ac:dyDescent="0.25">
      <c r="C949" s="156"/>
      <c r="E949" s="140"/>
      <c r="F949" s="140"/>
      <c r="G949" s="140"/>
      <c r="H949" s="140"/>
      <c r="I949" s="140"/>
    </row>
    <row r="950" spans="2:12" s="10" customFormat="1" ht="15.75" customHeight="1" x14ac:dyDescent="0.25">
      <c r="B950" s="201" t="str">
        <f>CONCATENATE("14. Kiadási jogcímek"," - ",L950," részletező")</f>
        <v>14. Kiadási jogcímek -  részletező</v>
      </c>
      <c r="C950" s="101"/>
      <c r="D950" s="101"/>
      <c r="E950" s="101"/>
      <c r="F950" s="101"/>
      <c r="G950" s="198"/>
      <c r="H950" s="198"/>
      <c r="I950" s="198"/>
      <c r="L950" s="384"/>
    </row>
    <row r="951" spans="2:12" s="38" customFormat="1" ht="15.75" x14ac:dyDescent="0.25">
      <c r="C951" s="156"/>
      <c r="E951" s="140"/>
      <c r="F951" s="140"/>
      <c r="G951" s="140"/>
      <c r="H951" s="140"/>
      <c r="I951" s="140"/>
    </row>
    <row r="952" spans="2:12" s="40" customFormat="1" x14ac:dyDescent="0.25">
      <c r="B952" s="77"/>
      <c r="C952" s="77" t="s">
        <v>350</v>
      </c>
      <c r="D952" s="77" t="s">
        <v>351</v>
      </c>
      <c r="E952" s="77" t="s">
        <v>470</v>
      </c>
      <c r="F952" s="77" t="s">
        <v>471</v>
      </c>
      <c r="G952" s="77" t="s">
        <v>44</v>
      </c>
      <c r="H952" s="77" t="s">
        <v>42</v>
      </c>
      <c r="I952" s="77" t="s">
        <v>511</v>
      </c>
    </row>
    <row r="953" spans="2:12" s="41" customFormat="1" ht="38.25" x14ac:dyDescent="0.25">
      <c r="B953" s="160">
        <v>1</v>
      </c>
      <c r="C953" s="154" t="s">
        <v>593</v>
      </c>
      <c r="D953" s="154" t="s">
        <v>488</v>
      </c>
      <c r="E953" s="163" t="str">
        <f>CONCATENATE(PAR!$H$3," évi
eredeti 
előirányzat")</f>
        <v>2025. évi
eredeti 
előirányzat</v>
      </c>
      <c r="F953" s="163" t="str">
        <f>CONCATENATE(PAR!$H$3," évi
módosított 
előirányzat")</f>
        <v>2025. évi
módosított 
előirányzat</v>
      </c>
      <c r="G953" s="69" t="s">
        <v>666</v>
      </c>
      <c r="H953" s="69" t="s">
        <v>667</v>
      </c>
      <c r="I953" s="69" t="s">
        <v>668</v>
      </c>
    </row>
    <row r="954" spans="2:12" s="42" customFormat="1" x14ac:dyDescent="0.25">
      <c r="B954" s="160">
        <v>2</v>
      </c>
      <c r="C954" s="78" t="s">
        <v>352</v>
      </c>
      <c r="D954" s="92" t="s">
        <v>2663</v>
      </c>
      <c r="E954" s="71">
        <f>SUM(E955:E960)</f>
        <v>0</v>
      </c>
      <c r="F954" s="71">
        <f>SUM(F955:F960)</f>
        <v>0</v>
      </c>
      <c r="G954" s="71">
        <f>SUM(G955:G960)</f>
        <v>0</v>
      </c>
      <c r="H954" s="71">
        <f>+H955+H956+H957+H958+H959+H960</f>
        <v>0</v>
      </c>
      <c r="I954" s="71">
        <f>+I955+I956+I957+I958+I959+I960</f>
        <v>0</v>
      </c>
    </row>
    <row r="955" spans="2:12" x14ac:dyDescent="0.25">
      <c r="B955" s="160">
        <v>3</v>
      </c>
      <c r="C955" s="305" t="s">
        <v>315</v>
      </c>
      <c r="D955" s="161" t="s">
        <v>342</v>
      </c>
      <c r="E955" s="72">
        <f>SUMIF(Adat!$AI:$AI,CONCATENATE(61,Info!$D$5,"051",L950),Adat!$E:$E)</f>
        <v>0</v>
      </c>
      <c r="F955" s="72">
        <f>SUMIF(Adat!$AI:$AI,CONCATENATE(60,Info!$D$5,"051",L950),Adat!$E:$E)+E955</f>
        <v>0</v>
      </c>
      <c r="G955" s="72">
        <f>SUMIF(Adat!$AJ:$AJ,CONCATENATE(Info!$D$5,"051","(KÖT)",L950),Adat!$E:$E)</f>
        <v>0</v>
      </c>
      <c r="H955" s="72">
        <f>SUMIF(Adat!$AJ:$AJ,CONCATENATE(Info!$D$5,"051","(ÖNV)",L950),Adat!$E:$E)</f>
        <v>0</v>
      </c>
      <c r="I955" s="72">
        <f>SUMIF(Adat!$AJ:$AJ,CONCATENATE(Info!$D$5,"051","(ÁIG)",L950),Adat!$E:$E)</f>
        <v>0</v>
      </c>
    </row>
    <row r="956" spans="2:12" x14ac:dyDescent="0.25">
      <c r="B956" s="160">
        <v>4</v>
      </c>
      <c r="C956" s="305" t="s">
        <v>317</v>
      </c>
      <c r="D956" s="161" t="s">
        <v>395</v>
      </c>
      <c r="E956" s="72">
        <f>SUMIF(Adat!$AI:$AI,CONCATENATE(61,Info!$D$5,"052",L950),Adat!$E:$E)</f>
        <v>0</v>
      </c>
      <c r="F956" s="72">
        <f>SUMIF(Adat!$AI:$AI,CONCATENATE(60,Info!$D$5,"052",L950),Adat!$E:$E)+E956</f>
        <v>0</v>
      </c>
      <c r="G956" s="72">
        <f>SUMIF(Adat!$AJ:$AJ,CONCATENATE(Info!$D$5,"052","(KÖT)",L950),Adat!$E:$E)</f>
        <v>0</v>
      </c>
      <c r="H956" s="72">
        <f>SUMIF(Adat!$AJ:$AJ,CONCATENATE(Info!$D$5,"052","(ÖNV)",L950),Adat!$E:$E)</f>
        <v>0</v>
      </c>
      <c r="I956" s="72">
        <f>SUMIF(Adat!$AJ:$AJ,CONCATENATE(Info!$D$5,"052","(ÁIG)",L950),Adat!$E:$E)</f>
        <v>0</v>
      </c>
    </row>
    <row r="957" spans="2:12" x14ac:dyDescent="0.25">
      <c r="B957" s="160">
        <v>5</v>
      </c>
      <c r="C957" s="305" t="s">
        <v>4</v>
      </c>
      <c r="D957" s="161" t="s">
        <v>344</v>
      </c>
      <c r="E957" s="72">
        <f>SUMIF(Adat!$AI:$AI,CONCATENATE(61,Info!$D$5,"053",L950),Adat!$E:$E)</f>
        <v>0</v>
      </c>
      <c r="F957" s="72">
        <f>SUMIF(Adat!$AI:$AI,CONCATENATE(60,Info!$D$5,"053",L950),Adat!$E:$E)+E957</f>
        <v>0</v>
      </c>
      <c r="G957" s="72">
        <f>SUMIF(Adat!$AJ:$AJ,CONCATENATE(Info!$D$5,"053","(KÖT)",L950),Adat!$E:$E)</f>
        <v>0</v>
      </c>
      <c r="H957" s="72">
        <f>SUMIF(Adat!$AJ:$AJ,CONCATENATE(Info!$D$5,"053","(ÖNV)",L950),Adat!$E:$E)</f>
        <v>0</v>
      </c>
      <c r="I957" s="72">
        <f>SUMIF(Adat!$AJ:$AJ,CONCATENATE(Info!$D$5,"053","(ÁIG)",L950),Adat!$E:$E)</f>
        <v>0</v>
      </c>
    </row>
    <row r="958" spans="2:12" x14ac:dyDescent="0.25">
      <c r="B958" s="160">
        <v>6</v>
      </c>
      <c r="C958" s="305" t="s">
        <v>6</v>
      </c>
      <c r="D958" s="161" t="s">
        <v>345</v>
      </c>
      <c r="E958" s="72">
        <f>SUMIF(Adat!$AI:$AI,CONCATENATE(61,Info!$D$5,"054",L950),Adat!$E:$E)</f>
        <v>0</v>
      </c>
      <c r="F958" s="72">
        <f>SUMIF(Adat!$AI:$AI,CONCATENATE(60,Info!$D$5,"054",L950),Adat!$E:$E)+E958</f>
        <v>0</v>
      </c>
      <c r="G958" s="72">
        <f>SUMIF(Adat!$AJ:$AJ,CONCATENATE(Info!$D$5,"054","(KÖT)",L950),Adat!$E:$E)</f>
        <v>0</v>
      </c>
      <c r="H958" s="72">
        <f>SUMIF(Adat!$AJ:$AJ,CONCATENATE(Info!$D$5,"054","(ÖNV)",L950),Adat!$E:$E)</f>
        <v>0</v>
      </c>
      <c r="I958" s="72">
        <f>SUMIF(Adat!$AJ:$AJ,CONCATENATE(Info!$D$5,"054","(ÁIG)",L950),Adat!$E:$E)</f>
        <v>0</v>
      </c>
    </row>
    <row r="959" spans="2:12" x14ac:dyDescent="0.25">
      <c r="B959" s="160">
        <v>7</v>
      </c>
      <c r="C959" s="305" t="s">
        <v>8</v>
      </c>
      <c r="D959" s="161" t="s">
        <v>321</v>
      </c>
      <c r="E959" s="72">
        <f>SUMIF(Adat!$AI:$AI,CONCATENATE(61,Info!$D$5,"055",L950),Adat!$E:$E)-E960</f>
        <v>0</v>
      </c>
      <c r="F959" s="72">
        <f>SUMIF(Adat!$AI:$AI,CONCATENATE(60,Info!$D$5,"055",L950),Adat!$E:$E)+E959-F960+E960</f>
        <v>0</v>
      </c>
      <c r="G959" s="72">
        <f>SUMIF(Adat!$AJ:$AJ,CONCATENATE(Info!$D$5,"055","(KÖT)",L950),Adat!$E:$E)-G960</f>
        <v>0</v>
      </c>
      <c r="H959" s="72">
        <f>SUMIF(Adat!$AJ:$AJ,CONCATENATE(Info!$D$5,"055","(ÖNV)",L950),Adat!$E:$E)-H960</f>
        <v>0</v>
      </c>
      <c r="I959" s="72">
        <f>SUMIF(Adat!$AJ:$AJ,CONCATENATE(Info!$D$5,"055","(ÁIG)",L950),Adat!$E:$E)-I960</f>
        <v>0</v>
      </c>
    </row>
    <row r="960" spans="2:12" x14ac:dyDescent="0.25">
      <c r="B960" s="160">
        <v>8</v>
      </c>
      <c r="C960" s="305" t="s">
        <v>1283</v>
      </c>
      <c r="D960" s="161" t="s">
        <v>397</v>
      </c>
      <c r="E960" s="72">
        <f>SUMIF(Adat!$AG:$AG,CONCATENATE(61,Info!$D$5,"055131",L950),Adat!$E:$E)</f>
        <v>0</v>
      </c>
      <c r="F960" s="72">
        <f>SUMIF(Adat!$AG:$AG,CONCATENATE(60,Info!$D$5,"055131",L950),Adat!$E:$E)+E960</f>
        <v>0</v>
      </c>
      <c r="G960" s="72">
        <f>SUMIF(Adat!$AH:$AH,CONCATENATE(Info!$D$5,"(KÖT)","055131",L950),Adat!$E:$E)</f>
        <v>0</v>
      </c>
      <c r="H960" s="72">
        <f>SUMIF(Adat!$AH:$AH,CONCATENATE(Info!$D$5,"(ÖNV)","055131",L950),Adat!$E:$E)*-1</f>
        <v>0</v>
      </c>
      <c r="I960" s="72">
        <f>SUMIF(Adat!$AH:$AH,CONCATENATE(Info!$D$5,"(ÁIG)","055131",L950),Adat!$E:$E)*-1</f>
        <v>0</v>
      </c>
    </row>
    <row r="961" spans="2:9" x14ac:dyDescent="0.25">
      <c r="B961" s="160">
        <v>9</v>
      </c>
      <c r="C961" s="305" t="s">
        <v>1283</v>
      </c>
      <c r="D961" s="93" t="s">
        <v>1445</v>
      </c>
      <c r="E961" s="72">
        <v>0</v>
      </c>
      <c r="F961" s="72">
        <f>SUM(G961:I961)</f>
        <v>0</v>
      </c>
      <c r="G961" s="72">
        <v>0</v>
      </c>
      <c r="H961" s="72">
        <v>0</v>
      </c>
      <c r="I961" s="72">
        <v>0</v>
      </c>
    </row>
    <row r="962" spans="2:9" x14ac:dyDescent="0.25">
      <c r="B962" s="160">
        <v>10</v>
      </c>
      <c r="C962" s="305" t="s">
        <v>1283</v>
      </c>
      <c r="D962" s="93" t="s">
        <v>1446</v>
      </c>
      <c r="E962" s="72">
        <v>0</v>
      </c>
      <c r="F962" s="72">
        <f>SUM(G962:I962)</f>
        <v>0</v>
      </c>
      <c r="G962" s="72">
        <v>0</v>
      </c>
      <c r="H962" s="72">
        <v>0</v>
      </c>
      <c r="I962" s="72">
        <v>0</v>
      </c>
    </row>
    <row r="963" spans="2:9" x14ac:dyDescent="0.25">
      <c r="B963" s="160">
        <v>11</v>
      </c>
      <c r="C963" s="78" t="s">
        <v>358</v>
      </c>
      <c r="D963" s="92" t="s">
        <v>2664</v>
      </c>
      <c r="E963" s="71">
        <f>+E964+E966+E968</f>
        <v>0</v>
      </c>
      <c r="F963" s="71">
        <f>+F964+F966+F968</f>
        <v>0</v>
      </c>
      <c r="G963" s="71">
        <f>+G964+G966+G968</f>
        <v>0</v>
      </c>
      <c r="H963" s="71">
        <f>+H964+H966+H968</f>
        <v>0</v>
      </c>
      <c r="I963" s="71">
        <f>+I964+I966+I968</f>
        <v>0</v>
      </c>
    </row>
    <row r="964" spans="2:9" x14ac:dyDescent="0.25">
      <c r="B964" s="160">
        <v>12</v>
      </c>
      <c r="C964" s="305" t="s">
        <v>10</v>
      </c>
      <c r="D964" s="317" t="s">
        <v>322</v>
      </c>
      <c r="E964" s="72">
        <f>SUMIF(Adat!$AI:$AI,CONCATENATE(61,Info!$D$5,"056",L950),Adat!$E:$E)</f>
        <v>0</v>
      </c>
      <c r="F964" s="72">
        <f>SUMIF(Adat!$AI:$AI,CONCATENATE(60,Info!$D$5,"056",L950),Adat!$E:$E)+E964</f>
        <v>0</v>
      </c>
      <c r="G964" s="72">
        <f>SUMIF(Adat!$AJ:$AJ,CONCATENATE(Info!$D$5,"056","(KÖT)",L950),Adat!$E:$E)</f>
        <v>0</v>
      </c>
      <c r="H964" s="72">
        <f>SUMIF(Adat!$AJ:$AJ,CONCATENATE(Info!$D$5,"056","(ÖNV)",L950),Adat!$E:$E)</f>
        <v>0</v>
      </c>
      <c r="I964" s="72">
        <f>SUMIF(Adat!$AJ:$AJ,CONCATENATE(Info!$D$5,"056","(ÁIG)",L950),Adat!$E:$E)</f>
        <v>0</v>
      </c>
    </row>
    <row r="965" spans="2:9" x14ac:dyDescent="0.25">
      <c r="B965" s="160">
        <v>13</v>
      </c>
      <c r="C965" s="305" t="s">
        <v>10</v>
      </c>
      <c r="D965" s="317" t="s">
        <v>1448</v>
      </c>
      <c r="E965" s="72">
        <v>0</v>
      </c>
      <c r="F965" s="72">
        <f>SUM(G965:I965)</f>
        <v>0</v>
      </c>
      <c r="G965" s="72">
        <v>0</v>
      </c>
      <c r="H965" s="72">
        <v>0</v>
      </c>
      <c r="I965" s="72">
        <v>0</v>
      </c>
    </row>
    <row r="966" spans="2:9" x14ac:dyDescent="0.25">
      <c r="B966" s="160">
        <v>14</v>
      </c>
      <c r="C966" s="305" t="s">
        <v>12</v>
      </c>
      <c r="D966" s="317" t="s">
        <v>323</v>
      </c>
      <c r="E966" s="72">
        <f>SUMIF(Adat!$AI:$AI,CONCATENATE(61,Info!$D$5,"057",L950),Adat!$E:$E)</f>
        <v>0</v>
      </c>
      <c r="F966" s="72">
        <f>SUMIF(Adat!$AI:$AI,CONCATENATE(60,Info!$D$5,"057",L950),Adat!$E:$E)+E966</f>
        <v>0</v>
      </c>
      <c r="G966" s="72">
        <f>SUMIF(Adat!$AJ:$AJ,CONCATENATE(Info!$D$5,"057","(KÖT)",L950),Adat!$E:$E)</f>
        <v>0</v>
      </c>
      <c r="H966" s="72">
        <f>SUMIF(Adat!$AJ:$AJ,CONCATENATE(Info!$D$5,"057","(ÖNV)",L950),Adat!$E:$E)</f>
        <v>0</v>
      </c>
      <c r="I966" s="72">
        <f>SUMIF(Adat!$AJ:$AJ,CONCATENATE(Info!$D$5,"057","(ÁIG)",L950),Adat!$E:$E)</f>
        <v>0</v>
      </c>
    </row>
    <row r="967" spans="2:9" x14ac:dyDescent="0.25">
      <c r="B967" s="160">
        <v>15</v>
      </c>
      <c r="C967" s="305" t="s">
        <v>12</v>
      </c>
      <c r="D967" s="317" t="s">
        <v>1449</v>
      </c>
      <c r="E967" s="72">
        <v>0</v>
      </c>
      <c r="F967" s="72">
        <f>SUM(G967:I967)</f>
        <v>0</v>
      </c>
      <c r="G967" s="72">
        <v>0</v>
      </c>
      <c r="H967" s="72">
        <v>0</v>
      </c>
      <c r="I967" s="72">
        <v>0</v>
      </c>
    </row>
    <row r="968" spans="2:9" x14ac:dyDescent="0.25">
      <c r="B968" s="160">
        <v>16</v>
      </c>
      <c r="C968" s="305" t="s">
        <v>15</v>
      </c>
      <c r="D968" s="317" t="s">
        <v>324</v>
      </c>
      <c r="E968" s="72">
        <f>SUMIF(Adat!$AI:$AI,CONCATENATE(61,Info!$D$5,"058",L950),Adat!$E:$E)</f>
        <v>0</v>
      </c>
      <c r="F968" s="72">
        <f>SUMIF(Adat!$AI:$AI,CONCATENATE(60,Info!$D$5,"058",L950),Adat!$E:$E)+E968</f>
        <v>0</v>
      </c>
      <c r="G968" s="72">
        <f>SUMIF(Adat!$AJ:$AJ,CONCATENATE(Info!$D$5,"058","(KÖT)",L950),Adat!$E:$E)</f>
        <v>0</v>
      </c>
      <c r="H968" s="72">
        <f>SUMIF(Adat!$AJ:$AJ,CONCATENATE(Info!$D$5,"058","(ÖNV)",L950),Adat!$E:$E)</f>
        <v>0</v>
      </c>
      <c r="I968" s="72">
        <f>SUMIF(Adat!$AJ:$AJ,CONCATENATE(Info!$D$5,"058","(ÁIG)",L950),Adat!$E:$E)</f>
        <v>0</v>
      </c>
    </row>
    <row r="969" spans="2:9" x14ac:dyDescent="0.25">
      <c r="B969" s="160">
        <v>17</v>
      </c>
      <c r="C969" s="78" t="s">
        <v>364</v>
      </c>
      <c r="D969" s="86" t="s">
        <v>402</v>
      </c>
      <c r="E969" s="71">
        <f>+E954+E963</f>
        <v>0</v>
      </c>
      <c r="F969" s="71">
        <f>+F954+F963</f>
        <v>0</v>
      </c>
      <c r="G969" s="71">
        <f>+G954+G963</f>
        <v>0</v>
      </c>
      <c r="H969" s="71">
        <f>+H954+H963</f>
        <v>0</v>
      </c>
      <c r="I969" s="71">
        <f>+I954+I963</f>
        <v>0</v>
      </c>
    </row>
    <row r="970" spans="2:9" x14ac:dyDescent="0.25">
      <c r="B970" s="160">
        <v>18</v>
      </c>
      <c r="C970" s="78" t="s">
        <v>403</v>
      </c>
      <c r="D970" s="86" t="s">
        <v>1450</v>
      </c>
      <c r="E970" s="71">
        <f>+E971+E972+E973</f>
        <v>0</v>
      </c>
      <c r="F970" s="71">
        <f>+F971+F972+F973</f>
        <v>0</v>
      </c>
      <c r="G970" s="71">
        <f>+G971+G972+G973</f>
        <v>0</v>
      </c>
      <c r="H970" s="71">
        <f>+H971+H972+H973</f>
        <v>0</v>
      </c>
      <c r="I970" s="71">
        <f>+I971+I972+I973</f>
        <v>0</v>
      </c>
    </row>
    <row r="971" spans="2:9" s="42" customFormat="1" x14ac:dyDescent="0.25">
      <c r="B971" s="160">
        <v>19</v>
      </c>
      <c r="C971" s="305" t="s">
        <v>1451</v>
      </c>
      <c r="D971" s="161" t="s">
        <v>490</v>
      </c>
      <c r="E971" s="72">
        <f>SUMIF(Adat!$AG:$AG,CONCATENATE(61,Info!$D$5,"0591111",L950),Adat!$E:$E)</f>
        <v>0</v>
      </c>
      <c r="F971" s="72">
        <f>SUMIF(Adat!$AG:$AG,CONCATENATE(60,Info!$D$5,"0591111",L950),Adat!$E:$E)+E971</f>
        <v>0</v>
      </c>
      <c r="G971" s="72">
        <f>SUMIF(Adat!$AH:$AH,CONCATENATE(Info!$D$5,"(KÖT)","0591111",L950),Adat!$E:$E)</f>
        <v>0</v>
      </c>
      <c r="H971" s="72">
        <f>SUMIF(Adat!$AH:$AH,CONCATENATE(Info!$D$5,"(ÖNV)","0591111",L950),Adat!$E:$E)</f>
        <v>0</v>
      </c>
      <c r="I971" s="72">
        <f>SUMIF(Adat!$AH:$AH,CONCATENATE(Info!$D$5,"(ÁIG)","0591111",L950),Adat!$E:$E)</f>
        <v>0</v>
      </c>
    </row>
    <row r="972" spans="2:9" x14ac:dyDescent="0.25">
      <c r="B972" s="160">
        <v>20</v>
      </c>
      <c r="C972" s="305" t="s">
        <v>1453</v>
      </c>
      <c r="D972" s="161" t="s">
        <v>406</v>
      </c>
      <c r="E972" s="72">
        <f>SUMIF(Adat!$AG:$AG,CONCATENATE(61,Info!$D$5,"0591121",L950),Adat!$E:$E)</f>
        <v>0</v>
      </c>
      <c r="F972" s="72">
        <f>SUMIF(Adat!$AG:$AG,CONCATENATE(60,Info!$D$5,"0591121",L950),Adat!$E:$E)+E972</f>
        <v>0</v>
      </c>
      <c r="G972" s="72">
        <f>SUMIF(Adat!$AH:$AH,CONCATENATE(Info!$D$5,"(KÖT)","0591121",L950),Adat!$E:$E)</f>
        <v>0</v>
      </c>
      <c r="H972" s="72">
        <f>SUMIF(Adat!$AH:$AH,CONCATENATE(Info!$D$5,"(ÖNV)","0591121",L950),Adat!$E:$E)</f>
        <v>0</v>
      </c>
      <c r="I972" s="72">
        <f>SUMIF(Adat!$AH:$AH,CONCATENATE(Info!$D$5,"(ÁIG)","0591121",L950),Adat!$E:$E)</f>
        <v>0</v>
      </c>
    </row>
    <row r="973" spans="2:9" x14ac:dyDescent="0.25">
      <c r="B973" s="160">
        <v>21</v>
      </c>
      <c r="C973" s="305" t="s">
        <v>1455</v>
      </c>
      <c r="D973" s="161" t="s">
        <v>491</v>
      </c>
      <c r="E973" s="72">
        <f>SUMIF(Adat!$AG:$AG,CONCATENATE(61,Info!$D$5,"0591131",L950),Adat!$E:$E)</f>
        <v>0</v>
      </c>
      <c r="F973" s="72">
        <f>SUMIF(Adat!$AG:$AG,CONCATENATE(60,Info!$D$5,"0591131",L950),Adat!$E:$E)+E973</f>
        <v>0</v>
      </c>
      <c r="G973" s="72">
        <f>SUMIF(Adat!$AH:$AH,CONCATENATE(Info!$D$5,"(KÖT)","0591131",L950),Adat!$E:$E)</f>
        <v>0</v>
      </c>
      <c r="H973" s="72">
        <f>SUMIF(Adat!$AH:$AH,CONCATENATE(Info!$D$5,"(ÖNV)","0591131",L950),Adat!$E:$E)</f>
        <v>0</v>
      </c>
      <c r="I973" s="72">
        <f>SUMIF(Adat!$AH:$AH,CONCATENATE(Info!$D$5,"(ÁIG)","0591131",L950),Adat!$E:$E)</f>
        <v>0</v>
      </c>
    </row>
    <row r="974" spans="2:9" x14ac:dyDescent="0.25">
      <c r="B974" s="160">
        <v>22</v>
      </c>
      <c r="C974" s="78" t="s">
        <v>372</v>
      </c>
      <c r="D974" s="86" t="s">
        <v>1457</v>
      </c>
      <c r="E974" s="71">
        <f>+E975+E976+E977+E978+E979+E980</f>
        <v>0</v>
      </c>
      <c r="F974" s="71">
        <f>+F975+F976+F977+F978+F979+F980</f>
        <v>0</v>
      </c>
      <c r="G974" s="71">
        <f>+G975+G976+G977+G978+G979+G980</f>
        <v>0</v>
      </c>
      <c r="H974" s="71">
        <f>+H975+H976+H977+H978+H979+H980</f>
        <v>0</v>
      </c>
      <c r="I974" s="71">
        <f>+I975+I976+I977+I978+I979+I980</f>
        <v>0</v>
      </c>
    </row>
    <row r="975" spans="2:9" x14ac:dyDescent="0.25">
      <c r="B975" s="160">
        <v>23</v>
      </c>
      <c r="C975" s="305" t="s">
        <v>1458</v>
      </c>
      <c r="D975" s="161" t="s">
        <v>409</v>
      </c>
      <c r="E975" s="72">
        <f>SUMIF(Adat!$AG:$AG,CONCATENATE(61,Info!$D$5,"0591211",L950),Adat!$E:$E)</f>
        <v>0</v>
      </c>
      <c r="F975" s="72">
        <f>SUMIF(Adat!$AG:$AG,CONCATENATE(60,Info!$D$5,"0591211",L950),Adat!$E:$E)+E975</f>
        <v>0</v>
      </c>
      <c r="G975" s="72">
        <f>SUMIF(Adat!$AH:$AH,CONCATENATE(Info!$D$5,"(KÖT)","0591211",L950),Adat!$E:$E)</f>
        <v>0</v>
      </c>
      <c r="H975" s="72">
        <f>SUMIF(Adat!$AH:$AH,CONCATENATE(Info!$D$5,"(ÖNV)","0591211",L950),Adat!$E:$E)</f>
        <v>0</v>
      </c>
      <c r="I975" s="72">
        <f>SUMIF(Adat!$AH:$AH,CONCATENATE(Info!$D$5,"(ÁIG)","0591211",L950),Adat!$E:$E)</f>
        <v>0</v>
      </c>
    </row>
    <row r="976" spans="2:9" x14ac:dyDescent="0.25">
      <c r="B976" s="160">
        <v>24</v>
      </c>
      <c r="C976" s="305" t="s">
        <v>1460</v>
      </c>
      <c r="D976" s="161" t="s">
        <v>410</v>
      </c>
      <c r="E976" s="72">
        <f>SUMIF(Adat!$AG:$AG,CONCATENATE(61,Info!$D$5,"0591221",L950),Adat!$E:$E)</f>
        <v>0</v>
      </c>
      <c r="F976" s="72">
        <f>SUMIF(Adat!$AG:$AG,CONCATENATE(60,Info!$D$5,"0591221",L950),Adat!$E:$E)+E976</f>
        <v>0</v>
      </c>
      <c r="G976" s="72">
        <f>SUMIF(Adat!$AH:$AH,CONCATENATE(Info!$D$5,"(KÖT)","0591221",L950),Adat!$E:$E)</f>
        <v>0</v>
      </c>
      <c r="H976" s="72">
        <f>SUMIF(Adat!$AH:$AH,CONCATENATE(Info!$D$5,"(ÖNV)","0591221",L950),Adat!$E:$E)</f>
        <v>0</v>
      </c>
      <c r="I976" s="72">
        <f>SUMIF(Adat!$AH:$AH,CONCATENATE(Info!$D$5,"(ÁIG)","0591221",L950),Adat!$E:$E)</f>
        <v>0</v>
      </c>
    </row>
    <row r="977" spans="2:18" x14ac:dyDescent="0.25">
      <c r="B977" s="160">
        <v>25</v>
      </c>
      <c r="C977" s="305" t="s">
        <v>1462</v>
      </c>
      <c r="D977" s="161" t="s">
        <v>411</v>
      </c>
      <c r="E977" s="72">
        <f>SUMIF(Adat!$AG:$AG,CONCATENATE(61,Info!$D$5,"0591231",L950),Adat!$E:$E)</f>
        <v>0</v>
      </c>
      <c r="F977" s="72">
        <f>SUMIF(Adat!$AG:$AG,CONCATENATE(60,Info!$D$5,"0591231",L950),Adat!$E:$E)+E977</f>
        <v>0</v>
      </c>
      <c r="G977" s="72">
        <f>SUMIF(Adat!$AH:$AH,CONCATENATE(Info!$D$5,"(KÖT)","0591231",L950),Adat!$E:$E)</f>
        <v>0</v>
      </c>
      <c r="H977" s="72">
        <f>SUMIF(Adat!$AH:$AH,CONCATENATE(Info!$D$5,"(ÖNV)","0591231",L950),Adat!$E:$E)</f>
        <v>0</v>
      </c>
      <c r="I977" s="72">
        <f>SUMIF(Adat!$AH:$AH,CONCATENATE(Info!$D$5,"(ÁIG)","0591231",L950),Adat!$E:$E)</f>
        <v>0</v>
      </c>
    </row>
    <row r="978" spans="2:18" x14ac:dyDescent="0.25">
      <c r="B978" s="160">
        <v>26</v>
      </c>
      <c r="C978" s="305" t="s">
        <v>1464</v>
      </c>
      <c r="D978" s="161" t="s">
        <v>492</v>
      </c>
      <c r="E978" s="72">
        <f>SUMIF(Adat!$AG:$AG,CONCATENATE(61,Info!$D$5,"0591241",L950),Adat!$E:$E)</f>
        <v>0</v>
      </c>
      <c r="F978" s="72">
        <f>SUMIF(Adat!$AG:$AG,CONCATENATE(60,Info!$D$5,"0591241",L950),Adat!$E:$E)+E978</f>
        <v>0</v>
      </c>
      <c r="G978" s="72">
        <f>SUMIF(Adat!$AH:$AH,CONCATENATE(Info!$D$5,"(KÖT)","0591241",L950),Adat!$E:$E)</f>
        <v>0</v>
      </c>
      <c r="H978" s="72">
        <f>SUMIF(Adat!$AH:$AH,CONCATENATE(Info!$D$5,"(ÖNV)","0591241",L950),Adat!$E:$E)</f>
        <v>0</v>
      </c>
      <c r="I978" s="72">
        <f>SUMIF(Adat!$AH:$AH,CONCATENATE(Info!$D$5,"(ÁIG)","0591241",L950),Adat!$E:$E)</f>
        <v>0</v>
      </c>
    </row>
    <row r="979" spans="2:18" x14ac:dyDescent="0.25">
      <c r="B979" s="160">
        <v>27</v>
      </c>
      <c r="C979" s="305" t="s">
        <v>1466</v>
      </c>
      <c r="D979" s="161" t="s">
        <v>413</v>
      </c>
      <c r="E979" s="72">
        <f>SUMIF(Adat!$AG:$AG,CONCATENATE(61,Info!$D$5,"0591251",L950),Adat!$E:$E)</f>
        <v>0</v>
      </c>
      <c r="F979" s="72">
        <f>SUMIF(Adat!$AG:$AG,CONCATENATE(60,Info!$D$5,"0591251",L950),Adat!$E:$E)+E979</f>
        <v>0</v>
      </c>
      <c r="G979" s="72">
        <f>SUMIF(Adat!$AH:$AH,CONCATENATE(Info!$D$5,"(KÖT)","0591251",L950),Adat!$E:$E)</f>
        <v>0</v>
      </c>
      <c r="H979" s="72">
        <f>SUMIF(Adat!$AH:$AH,CONCATENATE(Info!$D$5,"(ÖNV)","0591251",L950),Adat!$E:$E)</f>
        <v>0</v>
      </c>
      <c r="I979" s="72">
        <f>SUMIF(Adat!$AH:$AH,CONCATENATE(Info!$D$5,"(ÁIG)","0591251",L950),Adat!$E:$E)</f>
        <v>0</v>
      </c>
    </row>
    <row r="980" spans="2:18" s="42" customFormat="1" x14ac:dyDescent="0.25">
      <c r="B980" s="160">
        <v>28</v>
      </c>
      <c r="C980" s="305" t="s">
        <v>1468</v>
      </c>
      <c r="D980" s="161" t="s">
        <v>414</v>
      </c>
      <c r="E980" s="72">
        <f>SUMIF(Adat!$AG:$AG,CONCATENATE(61,Info!$D$5,"0591261",L950),Adat!$E:$E)</f>
        <v>0</v>
      </c>
      <c r="F980" s="72">
        <f>SUMIF(Adat!$AG:$AG,CONCATENATE(60,Info!$D$5,"0591261",L950),Adat!$E:$E)+E980</f>
        <v>0</v>
      </c>
      <c r="G980" s="72">
        <f>SUMIF(Adat!$AH:$AH,CONCATENATE(Info!$D$5,"(KÖT)","0591261",L950),Adat!$E:$E)</f>
        <v>0</v>
      </c>
      <c r="H980" s="72">
        <f>SUMIF(Adat!$AH:$AH,CONCATENATE(Info!$D$5,"(ÖNV)","0591261",L950),Adat!$E:$E)</f>
        <v>0</v>
      </c>
      <c r="I980" s="72">
        <f>SUMIF(Adat!$AH:$AH,CONCATENATE(Info!$D$5,"(ÁIG)","0591261",L950),Adat!$E:$E)</f>
        <v>0</v>
      </c>
    </row>
    <row r="981" spans="2:18" x14ac:dyDescent="0.25">
      <c r="B981" s="160">
        <v>29</v>
      </c>
      <c r="C981" s="78" t="s">
        <v>379</v>
      </c>
      <c r="D981" s="86" t="s">
        <v>1470</v>
      </c>
      <c r="E981" s="71">
        <f>+E982+E983+E985+E986+E984</f>
        <v>0</v>
      </c>
      <c r="F981" s="71">
        <f>+F982+F983+F985+F986+F984</f>
        <v>0</v>
      </c>
      <c r="G981" s="71">
        <f>+G982+G983+G985+G986+G984</f>
        <v>0</v>
      </c>
      <c r="H981" s="71">
        <f>+H982+H983+H985+H986+H984</f>
        <v>0</v>
      </c>
      <c r="I981" s="71">
        <f>+I982+I983+I985+I986+I984</f>
        <v>0</v>
      </c>
      <c r="R981" s="43"/>
    </row>
    <row r="982" spans="2:18" x14ac:dyDescent="0.25">
      <c r="B982" s="160">
        <v>30</v>
      </c>
      <c r="C982" s="305" t="s">
        <v>1471</v>
      </c>
      <c r="D982" s="161" t="s">
        <v>416</v>
      </c>
      <c r="E982" s="72">
        <f>SUMIF(Adat!$AG:$AG,CONCATENATE(61,Info!$D$5,"059131",L950),Adat!$E:$E)</f>
        <v>0</v>
      </c>
      <c r="F982" s="72">
        <f>SUMIF(Adat!$AG:$AG,CONCATENATE(60,Info!$D$5,"059131",L950),Adat!$E:$E)+E982</f>
        <v>0</v>
      </c>
      <c r="G982" s="72">
        <f>SUMIF(Adat!$AH:$AH,CONCATENATE(Info!$D$5,"(KÖT)","059131",L950),Adat!$E:$E)</f>
        <v>0</v>
      </c>
      <c r="H982" s="72">
        <f>SUMIF(Adat!$AH:$AH,CONCATENATE(Info!$D$5,"(ÖNV)","059131",L950),Adat!$E:$E)</f>
        <v>0</v>
      </c>
      <c r="I982" s="72">
        <f>SUMIF(Adat!$AH:$AH,CONCATENATE(Info!$D$5,"(ÁIG)","059131",L950),Adat!$E:$E)</f>
        <v>0</v>
      </c>
    </row>
    <row r="983" spans="2:18" x14ac:dyDescent="0.25">
      <c r="B983" s="160">
        <v>31</v>
      </c>
      <c r="C983" s="305" t="s">
        <v>1287</v>
      </c>
      <c r="D983" s="161" t="s">
        <v>417</v>
      </c>
      <c r="E983" s="72">
        <f>SUMIF(Adat!$AG:$AG,CONCATENATE(61,Info!$D$5,"059141",L950),Adat!$E:$E)</f>
        <v>0</v>
      </c>
      <c r="F983" s="72">
        <f>SUMIF(Adat!$AG:$AG,CONCATENATE(60,Info!$D$5,"059141",L950),Adat!$E:$E)+E983</f>
        <v>0</v>
      </c>
      <c r="G983" s="72">
        <f>SUMIF(Adat!$AH:$AH,CONCATENATE(Info!$D$5,"(KÖT)","059141",L950),Adat!$E:$E)</f>
        <v>0</v>
      </c>
      <c r="H983" s="72">
        <f>SUMIF(Adat!$AH:$AH,CONCATENATE(Info!$D$5,"(ÖNV)","059141",L950),Adat!$E:$E)</f>
        <v>0</v>
      </c>
      <c r="I983" s="72">
        <f>SUMIF(Adat!$AH:$AH,CONCATENATE(Info!$D$5,"(ÁIG)","059141",L950),Adat!$E:$E)</f>
        <v>0</v>
      </c>
    </row>
    <row r="984" spans="2:18" x14ac:dyDescent="0.25">
      <c r="B984" s="160">
        <v>32</v>
      </c>
      <c r="C984" s="316" t="s">
        <v>1253</v>
      </c>
      <c r="D984" s="161" t="s">
        <v>493</v>
      </c>
      <c r="E984" s="72">
        <f>SUMIF(Adat!$AG:$AG,CONCATENATE(61,Info!$D$5,"059151",L950),Adat!$E:$E)</f>
        <v>0</v>
      </c>
      <c r="F984" s="72">
        <f>SUMIF(Adat!$AG:$AG,CONCATENATE(60,Info!$D$5,"059151",L950),Adat!$E:$E)+E984</f>
        <v>0</v>
      </c>
      <c r="G984" s="72">
        <f>SUMIF(Adat!$AH:$AH,CONCATENATE(Info!$D$5,"(KÖT)","059151",L950),Adat!$E:$E)</f>
        <v>0</v>
      </c>
      <c r="H984" s="72">
        <f>SUMIF(Adat!$AH:$AH,CONCATENATE(Info!$D$5,"(ÖNV)","059151",L950),Adat!$E:$E)</f>
        <v>0</v>
      </c>
      <c r="I984" s="72">
        <f>SUMIF(Adat!$AH:$AH,CONCATENATE(Info!$D$5,"(ÁIG)","059151",L950),Adat!$E:$E)</f>
        <v>0</v>
      </c>
    </row>
    <row r="985" spans="2:18" s="42" customFormat="1" x14ac:dyDescent="0.25">
      <c r="B985" s="160">
        <v>33</v>
      </c>
      <c r="C985" s="305" t="s">
        <v>1474</v>
      </c>
      <c r="D985" s="161" t="s">
        <v>418</v>
      </c>
      <c r="E985" s="72">
        <f>SUMIF(Adat!$AG:$AG,CONCATENATE(61,Info!$D$5,"059161",L950),Adat!$E:$E)</f>
        <v>0</v>
      </c>
      <c r="F985" s="72">
        <f>SUMIF(Adat!$AG:$AG,CONCATENATE(60,Info!$D$5,"059161",L950),Adat!$E:$E)+E985</f>
        <v>0</v>
      </c>
      <c r="G985" s="72">
        <f>SUMIF(Adat!$AH:$AH,CONCATENATE(Info!$D$5,"(KÖT)","059161",L950),Adat!$E:$E)</f>
        <v>0</v>
      </c>
      <c r="H985" s="72">
        <f>SUMIF(Adat!$AH:$AH,CONCATENATE(Info!$D$5,"(ÖNV)","059161",L950),Adat!$E:$E)</f>
        <v>0</v>
      </c>
      <c r="I985" s="72">
        <f>SUMIF(Adat!$AH:$AH,CONCATENATE(Info!$D$5,"(ÁIG)","059161",L950),Adat!$E:$E)</f>
        <v>0</v>
      </c>
    </row>
    <row r="986" spans="2:18" s="42" customFormat="1" x14ac:dyDescent="0.25">
      <c r="B986" s="160">
        <v>34</v>
      </c>
      <c r="C986" s="305" t="s">
        <v>1476</v>
      </c>
      <c r="D986" s="161" t="s">
        <v>419</v>
      </c>
      <c r="E986" s="72">
        <f>SUMIF(Adat!$AG:$AG,CONCATENATE(61,Info!$D$5,"059171",L950),Adat!$E:$E)</f>
        <v>0</v>
      </c>
      <c r="F986" s="72">
        <f>SUMIF(Adat!$AG:$AG,CONCATENATE(60,Info!$D$5,"059171",L950),Adat!$E:$E)+E986</f>
        <v>0</v>
      </c>
      <c r="G986" s="72">
        <f>SUMIF(Adat!$AH:$AH,CONCATENATE(Info!$D$5,"(KÖT)","059171",L950),Adat!$E:$E)</f>
        <v>0</v>
      </c>
      <c r="H986" s="72">
        <f>SUMIF(Adat!$AH:$AH,CONCATENATE(Info!$D$5,"(ÖNV)","059171",L950),Adat!$E:$E)</f>
        <v>0</v>
      </c>
      <c r="I986" s="72">
        <f>SUMIF(Adat!$AH:$AH,CONCATENATE(Info!$D$5,"(ÁIG)","059171",L950),Adat!$E:$E)</f>
        <v>0</v>
      </c>
    </row>
    <row r="987" spans="2:18" s="42" customFormat="1" x14ac:dyDescent="0.25">
      <c r="B987" s="160">
        <v>35</v>
      </c>
      <c r="C987" s="78" t="s">
        <v>420</v>
      </c>
      <c r="D987" s="86" t="s">
        <v>1478</v>
      </c>
      <c r="E987" s="73">
        <f>+E988+E989+E990+E991+E992</f>
        <v>0</v>
      </c>
      <c r="F987" s="73">
        <f>+F988+F989+F990+F991+F992</f>
        <v>0</v>
      </c>
      <c r="G987" s="73">
        <f>+G988+G989+G990+G991+G992</f>
        <v>0</v>
      </c>
      <c r="H987" s="73">
        <f>+H988+H989+H990+H991+H992</f>
        <v>0</v>
      </c>
      <c r="I987" s="73">
        <f>+I988+I989+I990+I991+I992</f>
        <v>0</v>
      </c>
    </row>
    <row r="988" spans="2:18" s="42" customFormat="1" x14ac:dyDescent="0.25">
      <c r="B988" s="160">
        <v>36</v>
      </c>
      <c r="C988" s="305" t="s">
        <v>1479</v>
      </c>
      <c r="D988" s="161" t="s">
        <v>422</v>
      </c>
      <c r="E988" s="72">
        <f>SUMIF(Adat!$AG:$AG,CONCATENATE(61,Info!$D$5,"059211",L950),Adat!$E:$E)</f>
        <v>0</v>
      </c>
      <c r="F988" s="72">
        <f>SUMIF(Adat!$AG:$AG,CONCATENATE(60,Info!$D$5,"059211",L950),Adat!$E:$E)+E988</f>
        <v>0</v>
      </c>
      <c r="G988" s="72">
        <f>SUMIF(Adat!$AH:$AH,CONCATENATE(Info!$D$5,"(KÖT)","059211",L950),Adat!$E:$E)</f>
        <v>0</v>
      </c>
      <c r="H988" s="72">
        <f>SUMIF(Adat!$AH:$AH,CONCATENATE(Info!$D$5,"(ÖNV)","059211",L950),Adat!$E:$E)</f>
        <v>0</v>
      </c>
      <c r="I988" s="72">
        <f>SUMIF(Adat!$AH:$AH,CONCATENATE(Info!$D$5,"(ÁIG)","059211",L950),Adat!$E:$E)</f>
        <v>0</v>
      </c>
    </row>
    <row r="989" spans="2:18" s="42" customFormat="1" x14ac:dyDescent="0.25">
      <c r="B989" s="160">
        <v>37</v>
      </c>
      <c r="C989" s="305" t="s">
        <v>1481</v>
      </c>
      <c r="D989" s="161" t="s">
        <v>423</v>
      </c>
      <c r="E989" s="72">
        <f>SUMIF(Adat!$AG:$AG,CONCATENATE(61,Info!$D$5,"059221",L950),Adat!$E:$E)</f>
        <v>0</v>
      </c>
      <c r="F989" s="72">
        <f>SUMIF(Adat!$AG:$AG,CONCATENATE(60,Info!$D$5,"059221",L950),Adat!$E:$E)+E989</f>
        <v>0</v>
      </c>
      <c r="G989" s="72">
        <f>SUMIF(Adat!$AH:$AH,CONCATENATE(Info!$D$5,"(KÖT)","059221",L950),Adat!$E:$E)</f>
        <v>0</v>
      </c>
      <c r="H989" s="72">
        <f>SUMIF(Adat!$AH:$AH,CONCATENATE(Info!$D$5,"(ÖNV)","059221",L950),Adat!$E:$E)</f>
        <v>0</v>
      </c>
      <c r="I989" s="72">
        <f>SUMIF(Adat!$AH:$AH,CONCATENATE(Info!$D$5,"(ÁIG)","059221",L950),Adat!$E:$E)</f>
        <v>0</v>
      </c>
    </row>
    <row r="990" spans="2:18" s="42" customFormat="1" x14ac:dyDescent="0.25">
      <c r="B990" s="160">
        <v>38</v>
      </c>
      <c r="C990" s="305" t="s">
        <v>1483</v>
      </c>
      <c r="D990" s="161" t="s">
        <v>424</v>
      </c>
      <c r="E990" s="72">
        <f>SUMIF(Adat!$AG:$AG,CONCATENATE(61,Info!$D$5,"059231",L950),Adat!$E:$E)</f>
        <v>0</v>
      </c>
      <c r="F990" s="72">
        <f>SUMIF(Adat!$AG:$AG,CONCATENATE(60,Info!$D$5,"059231",L950),Adat!$E:$E)+E990</f>
        <v>0</v>
      </c>
      <c r="G990" s="72">
        <f>SUMIF(Adat!$AH:$AH,CONCATENATE(Info!$D$5,"(KÖT)","059231",L950),Adat!$E:$E)</f>
        <v>0</v>
      </c>
      <c r="H990" s="72">
        <f>SUMIF(Adat!$AH:$AH,CONCATENATE(Info!$D$5,"(ÖNV)","059231",L950),Adat!$E:$E)</f>
        <v>0</v>
      </c>
      <c r="I990" s="72">
        <f>SUMIF(Adat!$AH:$AH,CONCATENATE(Info!$D$5,"(ÁIG)","059231",L950),Adat!$E:$E)</f>
        <v>0</v>
      </c>
    </row>
    <row r="991" spans="2:18" s="42" customFormat="1" x14ac:dyDescent="0.25">
      <c r="B991" s="160">
        <v>39</v>
      </c>
      <c r="C991" s="305" t="s">
        <v>1485</v>
      </c>
      <c r="D991" s="161" t="s">
        <v>494</v>
      </c>
      <c r="E991" s="72">
        <f>SUMIF(Adat!$AG:$AG,CONCATENATE(61,Info!$D$5,"059241",L950),Adat!$E:$E)</f>
        <v>0</v>
      </c>
      <c r="F991" s="72">
        <f>SUMIF(Adat!$AG:$AG,CONCATENATE(60,Info!$D$5,"059241",L950),Adat!$E:$E)+E991</f>
        <v>0</v>
      </c>
      <c r="G991" s="72">
        <f>SUMIF(Adat!$AH:$AH,CONCATENATE(Info!$D$5,"(KÖT)","059241",L950),Adat!$E:$E)</f>
        <v>0</v>
      </c>
      <c r="H991" s="72">
        <f>SUMIF(Adat!$AH:$AH,CONCATENATE(Info!$D$5,"(ÖNV)","059241",L950),Adat!$E:$E)</f>
        <v>0</v>
      </c>
      <c r="I991" s="72">
        <f>SUMIF(Adat!$AH:$AH,CONCATENATE(Info!$D$5,"(ÁIG)","059241",L950),Adat!$E:$E)</f>
        <v>0</v>
      </c>
    </row>
    <row r="992" spans="2:18" x14ac:dyDescent="0.25">
      <c r="B992" s="160">
        <v>40</v>
      </c>
      <c r="C992" s="305" t="s">
        <v>1487</v>
      </c>
      <c r="D992" s="161" t="s">
        <v>427</v>
      </c>
      <c r="E992" s="72">
        <f>SUMIF(Adat!$AG:$AG,CONCATENATE(61,Info!$D$5,"059251",L950),Adat!$E:$E)</f>
        <v>0</v>
      </c>
      <c r="F992" s="72">
        <f>SUMIF(Adat!$AG:$AG,CONCATENATE(60,Info!$D$5,"059251",L950),Adat!$E:$E)+E992</f>
        <v>0</v>
      </c>
      <c r="G992" s="72">
        <f>SUMIF(Adat!$AH:$AH,CONCATENATE(Info!$D$5,"(KÖT)","059251",L950),Adat!$E:$E)</f>
        <v>0</v>
      </c>
      <c r="H992" s="72">
        <f>SUMIF(Adat!$AH:$AH,CONCATENATE(Info!$D$5,"(ÖNV)","059251",L950),Adat!$E:$E)</f>
        <v>0</v>
      </c>
      <c r="I992" s="72">
        <f>SUMIF(Adat!$AH:$AH,CONCATENATE(Info!$D$5,"(ÁIG)","059251",L950),Adat!$E:$E)</f>
        <v>0</v>
      </c>
    </row>
    <row r="993" spans="2:12" x14ac:dyDescent="0.25">
      <c r="B993" s="160">
        <v>41</v>
      </c>
      <c r="C993" s="162" t="s">
        <v>390</v>
      </c>
      <c r="D993" s="86" t="s">
        <v>428</v>
      </c>
      <c r="E993" s="72">
        <f>SUMIF(Adat!$AG:$AG,CONCATENATE(61,Info!$D$5,"05931",L950),Adat!$E:$E)</f>
        <v>0</v>
      </c>
      <c r="F993" s="72">
        <f>SUMIF(Adat!$AG:$AG,CONCATENATE(60,Info!$D$5,"05931",L950),Adat!$E:$E)+E993</f>
        <v>0</v>
      </c>
      <c r="G993" s="72">
        <f>SUMIF(Adat!$AH:$AH,CONCATENATE(Info!$D$5,"(KÖT)","05931",L950),Adat!$E:$E)</f>
        <v>0</v>
      </c>
      <c r="H993" s="72">
        <f>SUMIF(Adat!$AH:$AH,CONCATENATE(Info!$D$5,"(ÖNV)","05931",L950),Adat!$E:$E)</f>
        <v>0</v>
      </c>
      <c r="I993" s="72">
        <f>SUMIF(Adat!$AH:$AH,CONCATENATE(Info!$D$5,"(ÁIG)","05931",L950),Adat!$E:$E)</f>
        <v>0</v>
      </c>
    </row>
    <row r="994" spans="2:12" x14ac:dyDescent="0.25">
      <c r="B994" s="160">
        <v>42</v>
      </c>
      <c r="C994" s="162" t="s">
        <v>429</v>
      </c>
      <c r="D994" s="86" t="s">
        <v>430</v>
      </c>
      <c r="E994" s="72">
        <f>SUMIF(Adat!$AG:$AG,CONCATENATE(61,Info!$D$5,"05941",L950),Adat!$E:$E)</f>
        <v>0</v>
      </c>
      <c r="F994" s="72">
        <f>SUMIF(Adat!$AG:$AG,CONCATENATE(60,Info!$D$5,"05941",L950),Adat!$E:$E)+E994</f>
        <v>0</v>
      </c>
      <c r="G994" s="72">
        <f>SUMIF(Adat!$AH:$AH,CONCATENATE(Info!$D$5,"(KÖT)","05941",L950),Adat!$E:$E)</f>
        <v>0</v>
      </c>
      <c r="H994" s="72">
        <f>SUMIF(Adat!$AH:$AH,CONCATENATE(Info!$D$5,"(ÖNV)","05941",L950),Adat!$E:$E)</f>
        <v>0</v>
      </c>
      <c r="I994" s="72">
        <f>SUMIF(Adat!$AH:$AH,CONCATENATE(Info!$D$5,"(ÁIG)","05941",L950),Adat!$E:$E)</f>
        <v>0</v>
      </c>
    </row>
    <row r="995" spans="2:12" x14ac:dyDescent="0.25">
      <c r="B995" s="160">
        <v>43</v>
      </c>
      <c r="C995" s="78" t="s">
        <v>431</v>
      </c>
      <c r="D995" s="86" t="s">
        <v>432</v>
      </c>
      <c r="E995" s="74">
        <f>+E970+E974+E981+E987+E993+E994</f>
        <v>0</v>
      </c>
      <c r="F995" s="74">
        <f>+F970+F974+F981+F987+F993+F994</f>
        <v>0</v>
      </c>
      <c r="G995" s="74">
        <f>+G970+G974+G981+G987+G993+G994</f>
        <v>0</v>
      </c>
      <c r="H995" s="74">
        <f>+H970+H974+H981+H987+H993+H994</f>
        <v>0</v>
      </c>
      <c r="I995" s="74">
        <f>+I970+I974+I981+I987+I993+I994</f>
        <v>0</v>
      </c>
    </row>
    <row r="996" spans="2:12" x14ac:dyDescent="0.25">
      <c r="B996" s="160">
        <v>44</v>
      </c>
      <c r="C996" s="154" t="s">
        <v>433</v>
      </c>
      <c r="D996" s="159" t="s">
        <v>434</v>
      </c>
      <c r="E996" s="74">
        <f>+E969+E995</f>
        <v>0</v>
      </c>
      <c r="F996" s="74">
        <f>+F969+F995</f>
        <v>0</v>
      </c>
      <c r="G996" s="74">
        <f>+G969+G995</f>
        <v>0</v>
      </c>
      <c r="H996" s="74">
        <f>+H969+H995</f>
        <v>0</v>
      </c>
      <c r="I996" s="74">
        <f>+I969+I995</f>
        <v>0</v>
      </c>
    </row>
    <row r="997" spans="2:12" s="37" customFormat="1" ht="15.75" x14ac:dyDescent="0.25">
      <c r="C997" s="529"/>
      <c r="D997" s="529"/>
      <c r="E997" s="529"/>
      <c r="F997" s="200"/>
      <c r="G997" s="200"/>
      <c r="H997" s="200"/>
      <c r="I997" s="200"/>
    </row>
    <row r="998" spans="2:12" s="38" customFormat="1" ht="15.75" x14ac:dyDescent="0.25">
      <c r="B998" s="525" t="str">
        <f>PAR!$E$3</f>
        <v>Nagymaros Város Önkormányzata</v>
      </c>
      <c r="C998" s="525"/>
      <c r="D998" s="525"/>
      <c r="E998" s="525"/>
      <c r="F998" s="525"/>
      <c r="G998" s="525"/>
      <c r="H998" s="525"/>
      <c r="I998" s="525"/>
    </row>
    <row r="999" spans="2:12" s="38" customFormat="1" ht="15.75" x14ac:dyDescent="0.25">
      <c r="B999" s="525" t="s">
        <v>2660</v>
      </c>
      <c r="C999" s="525"/>
      <c r="D999" s="525"/>
      <c r="E999" s="525"/>
      <c r="F999" s="525"/>
      <c r="G999" s="525"/>
      <c r="H999" s="525"/>
      <c r="I999" s="525"/>
    </row>
    <row r="1000" spans="2:12" s="38" customFormat="1" ht="15.75" x14ac:dyDescent="0.25">
      <c r="C1000" s="156"/>
      <c r="E1000" s="140"/>
      <c r="F1000" s="140"/>
      <c r="G1000" s="140"/>
      <c r="H1000" s="140"/>
      <c r="I1000" s="140"/>
    </row>
    <row r="1001" spans="2:12" s="10" customFormat="1" ht="15.75" customHeight="1" x14ac:dyDescent="0.25">
      <c r="B1001" s="201" t="str">
        <f>CONCATENATE("15. Bevételi jogcímek"," - ",L1001," részletező")</f>
        <v>15. Bevételi jogcímek -  részletező</v>
      </c>
      <c r="C1001" s="101"/>
      <c r="D1001" s="101"/>
      <c r="E1001" s="101"/>
      <c r="F1001" s="101"/>
      <c r="G1001" s="198"/>
      <c r="H1001" s="198"/>
      <c r="I1001" s="198"/>
      <c r="L1001" s="384"/>
    </row>
    <row r="1002" spans="2:12" s="38" customFormat="1" ht="15.75" x14ac:dyDescent="0.25">
      <c r="C1002" s="156"/>
      <c r="E1002" s="140"/>
      <c r="F1002" s="140"/>
      <c r="G1002" s="140"/>
      <c r="H1002" s="140"/>
      <c r="I1002" s="140"/>
    </row>
    <row r="1003" spans="2:12" s="40" customFormat="1" x14ac:dyDescent="0.25">
      <c r="B1003" s="77"/>
      <c r="C1003" s="77" t="s">
        <v>350</v>
      </c>
      <c r="D1003" s="77" t="s">
        <v>351</v>
      </c>
      <c r="E1003" s="77" t="s">
        <v>470</v>
      </c>
      <c r="F1003" s="77" t="s">
        <v>471</v>
      </c>
      <c r="G1003" s="77" t="s">
        <v>44</v>
      </c>
      <c r="H1003" s="77" t="s">
        <v>42</v>
      </c>
      <c r="I1003" s="77" t="s">
        <v>511</v>
      </c>
    </row>
    <row r="1004" spans="2:12" ht="38.25" x14ac:dyDescent="0.25">
      <c r="B1004" s="160">
        <v>1</v>
      </c>
      <c r="C1004" s="154" t="s">
        <v>593</v>
      </c>
      <c r="D1004" s="154" t="s">
        <v>488</v>
      </c>
      <c r="E1004" s="163" t="str">
        <f>CONCATENATE(PAR!$H$3," évi
eredeti 
előirányzat")</f>
        <v>2025. évi
eredeti 
előirányzat</v>
      </c>
      <c r="F1004" s="163" t="str">
        <f>CONCATENATE(PAR!$H$3," évi
módosított 
előirányzat")</f>
        <v>2025. évi
módosított 
előirányzat</v>
      </c>
      <c r="G1004" s="69" t="s">
        <v>666</v>
      </c>
      <c r="H1004" s="69" t="s">
        <v>667</v>
      </c>
      <c r="I1004" s="69" t="s">
        <v>668</v>
      </c>
    </row>
    <row r="1005" spans="2:12" s="41" customFormat="1" x14ac:dyDescent="0.25">
      <c r="B1005" s="160">
        <v>2</v>
      </c>
      <c r="C1005" s="78" t="s">
        <v>1324</v>
      </c>
      <c r="D1005" s="79" t="s">
        <v>562</v>
      </c>
      <c r="E1005" s="71">
        <f>SUM(E1006:E1012)</f>
        <v>0</v>
      </c>
      <c r="F1005" s="71">
        <f t="shared" ref="F1005:I1005" si="105">SUM(F1006:F1012)</f>
        <v>0</v>
      </c>
      <c r="G1005" s="71">
        <f t="shared" si="105"/>
        <v>0</v>
      </c>
      <c r="H1005" s="71">
        <f t="shared" si="105"/>
        <v>0</v>
      </c>
      <c r="I1005" s="71">
        <f t="shared" si="105"/>
        <v>0</v>
      </c>
    </row>
    <row r="1006" spans="2:12" s="42" customFormat="1" x14ac:dyDescent="0.2">
      <c r="B1006" s="160">
        <v>3</v>
      </c>
      <c r="C1006" s="305" t="s">
        <v>1288</v>
      </c>
      <c r="D1006" s="82" t="s">
        <v>1325</v>
      </c>
      <c r="E1006" s="72">
        <f>SUMIF(Adat!$AG:$AG,CONCATENATE(61,Info!$D$5,"091111",L1001),Adat!$E:$E)*-1</f>
        <v>0</v>
      </c>
      <c r="F1006" s="72">
        <f>SUMIF(Adat!$AG:$AG,CONCATENATE(60,Info!$D$5,"091111",L1001),Adat!$E:$E)*(-1)+E1006</f>
        <v>0</v>
      </c>
      <c r="G1006" s="72">
        <f>SUMIF(Adat!$AH:$AH,CONCATENATE(Info!$D$5,"(KÖT)","091111",L1001),Adat!$E:$E)*-1</f>
        <v>0</v>
      </c>
      <c r="H1006" s="72">
        <f>SUMIF(Adat!$AH:$AH,CONCATENATE(Info!$D$5,"(ÖNV)","091111",L1001),Adat!$E:$E)*-1</f>
        <v>0</v>
      </c>
      <c r="I1006" s="72">
        <f>SUMIF(Adat!$AH:$AH,CONCATENATE(Info!$D$5,"(ÁIG)","091111",L1001),Adat!$E:$E)*-1</f>
        <v>0</v>
      </c>
    </row>
    <row r="1007" spans="2:12" x14ac:dyDescent="0.2">
      <c r="B1007" s="160">
        <v>4</v>
      </c>
      <c r="C1007" s="305" t="s">
        <v>1289</v>
      </c>
      <c r="D1007" s="82" t="s">
        <v>735</v>
      </c>
      <c r="E1007" s="72">
        <f>SUMIF(Adat!$AG:$AG,CONCATENATE(61,Info!$D$5,"091121",L1001),Adat!$E:$E)*-1</f>
        <v>0</v>
      </c>
      <c r="F1007" s="72">
        <f>SUMIF(Adat!$AG:$AG,CONCATENATE(60,Info!$D$5,"091121",L1001),Adat!$E:$E)*-1+E1007</f>
        <v>0</v>
      </c>
      <c r="G1007" s="72">
        <f>SUMIF(Adat!$AH:$AH,CONCATENATE(Info!$D$5,"(KÖT)","091121",L1001),Adat!$E:$E)*-1</f>
        <v>0</v>
      </c>
      <c r="H1007" s="72">
        <f>SUMIF(Adat!$AH:$AH,CONCATENATE(Info!$D$5,"(ÖNV)","091121",L1001),Adat!$E:$E)*-1</f>
        <v>0</v>
      </c>
      <c r="I1007" s="72">
        <f>SUMIF(Adat!$AH:$AH,CONCATENATE(Info!$D$5,"(ÁIG)","091121",L1001),Adat!$E:$E)*-1</f>
        <v>0</v>
      </c>
    </row>
    <row r="1008" spans="2:12" x14ac:dyDescent="0.2">
      <c r="B1008" s="160">
        <v>5</v>
      </c>
      <c r="C1008" s="305" t="s">
        <v>1290</v>
      </c>
      <c r="D1008" s="82" t="s">
        <v>1326</v>
      </c>
      <c r="E1008" s="72">
        <f>SUMIF(Adat!$AG:$AG,CONCATENATE(61,Info!$D$5,"0911311",L1001),Adat!$E:$E)*-1</f>
        <v>0</v>
      </c>
      <c r="F1008" s="72">
        <f>SUMIF(Adat!$AG:$AG,CONCATENATE(60,Info!$D$5,"0911311",L1001),Adat!$E:$E)*-1+E1008</f>
        <v>0</v>
      </c>
      <c r="G1008" s="72">
        <f>SUMIF(Adat!$AH:$AH,CONCATENATE(Info!$D$5,"(KÖT)","0911311",L1001),Adat!$E:$E)*-1</f>
        <v>0</v>
      </c>
      <c r="H1008" s="72">
        <f>SUMIF(Adat!$AH:$AH,CONCATENATE(Info!$D$5,"(ÖNV)","0911311",L1001),Adat!$E:$E)*-1</f>
        <v>0</v>
      </c>
      <c r="I1008" s="72">
        <f>SUMIF(Adat!$AH:$AH,CONCATENATE(Info!$D$5,"(ÁIG)","0911311",L1001),Adat!$E:$E)*-1</f>
        <v>0</v>
      </c>
    </row>
    <row r="1009" spans="2:9" x14ac:dyDescent="0.2">
      <c r="B1009" s="160">
        <v>6</v>
      </c>
      <c r="C1009" s="305" t="s">
        <v>1254</v>
      </c>
      <c r="D1009" s="82" t="s">
        <v>736</v>
      </c>
      <c r="E1009" s="72">
        <f>SUMIF(Adat!$AG:$AG,CONCATENATE(61,Info!$D$5,"0911321",L1001),Adat!$E:$E)*-1</f>
        <v>0</v>
      </c>
      <c r="F1009" s="72">
        <f>SUMIF(Adat!$AG:$AG,CONCATENATE(60,Info!$D$5,"0911321",L1001),Adat!$E:$E)*-1+E1009</f>
        <v>0</v>
      </c>
      <c r="G1009" s="72">
        <f>SUMIF(Adat!$AH:$AH,CONCATENATE(Info!$D$5,"(KÖT)","0911321",L1001),Adat!$E:$E)*-1</f>
        <v>0</v>
      </c>
      <c r="H1009" s="72">
        <f>SUMIF(Adat!$AH:$AH,CONCATENATE(Info!$D$5,"(ÖNV)","0911321",L1001),Adat!$E:$E)*-1</f>
        <v>0</v>
      </c>
      <c r="I1009" s="72">
        <f>SUMIF(Adat!$AH:$AH,CONCATENATE(Info!$D$5,"(ÁIG)","0911321",L1001),Adat!$E:$E)*-1</f>
        <v>0</v>
      </c>
    </row>
    <row r="1010" spans="2:9" x14ac:dyDescent="0.25">
      <c r="B1010" s="160">
        <v>7</v>
      </c>
      <c r="C1010" s="305" t="s">
        <v>1291</v>
      </c>
      <c r="D1010" s="84" t="s">
        <v>737</v>
      </c>
      <c r="E1010" s="72">
        <f>SUMIF(Adat!$AG:$AG,CONCATENATE(61,Info!$D$5,"091141",L1001),Adat!$E:$E)*-1</f>
        <v>0</v>
      </c>
      <c r="F1010" s="72">
        <f>SUMIF(Adat!$AG:$AG,CONCATENATE(60,Info!$D$5,"091141",L1001),Adat!$E:$E)*-1+E1010</f>
        <v>0</v>
      </c>
      <c r="G1010" s="72">
        <f>SUMIF(Adat!$AH:$AH,CONCATENATE(Info!$D$5,"(KÖT)","091141",L1001),Adat!$E:$E)*-1</f>
        <v>0</v>
      </c>
      <c r="H1010" s="72">
        <f>SUMIF(Adat!$AH:$AH,CONCATENATE(Info!$D$5,"(ÖNV)","091141",L1001),Adat!$E:$E)*-1</f>
        <v>0</v>
      </c>
      <c r="I1010" s="72">
        <f>SUMIF(Adat!$AH:$AH,CONCATENATE(Info!$D$5,"(ÁIG)","091141",L1001),Adat!$E:$E)*-1</f>
        <v>0</v>
      </c>
    </row>
    <row r="1011" spans="2:9" x14ac:dyDescent="0.25">
      <c r="B1011" s="160">
        <v>8</v>
      </c>
      <c r="C1011" s="305" t="s">
        <v>1312</v>
      </c>
      <c r="D1011" s="84" t="s">
        <v>738</v>
      </c>
      <c r="E1011" s="72">
        <f>SUMIF(Adat!$AG:$AG,CONCATENATE(61,Info!$D$5,"091151",L1001),Adat!$E:$E)*-1</f>
        <v>0</v>
      </c>
      <c r="F1011" s="72">
        <f>SUMIF(Adat!$AG:$AG,CONCATENATE(60,Info!$D$5,"091151",L1001),Adat!$E:$E)*-1+E1011</f>
        <v>0</v>
      </c>
      <c r="G1011" s="72">
        <f>SUMIF(Adat!$AH:$AH,CONCATENATE(Info!$D$5,"(KÖT)","091151",L1001),Adat!$E:$E)*-1</f>
        <v>0</v>
      </c>
      <c r="H1011" s="72">
        <f>SUMIF(Adat!$AH:$AH,CONCATENATE(Info!$D$5,"(ÖNV)","091151",L1001),Adat!$E:$E)*-1</f>
        <v>0</v>
      </c>
      <c r="I1011" s="72">
        <f>SUMIF(Adat!$AH:$AH,CONCATENATE(Info!$D$5,"(ÁIG)","091151",L1001),Adat!$E:$E)*-1</f>
        <v>0</v>
      </c>
    </row>
    <row r="1012" spans="2:9" s="42" customFormat="1" x14ac:dyDescent="0.25">
      <c r="B1012" s="160">
        <v>9</v>
      </c>
      <c r="C1012" s="305" t="s">
        <v>1308</v>
      </c>
      <c r="D1012" s="84" t="s">
        <v>233</v>
      </c>
      <c r="E1012" s="72">
        <f>SUMIF(Adat!$AG:$AG,CONCATENATE(61,Info!$D$5,"091161",L1001),Adat!$E:$E)*-1</f>
        <v>0</v>
      </c>
      <c r="F1012" s="72">
        <f>SUMIF(Adat!$AG:$AG,CONCATENATE(60,Info!$D$5,"091161",L1001),Adat!$E:$E)*-1+E1012</f>
        <v>0</v>
      </c>
      <c r="G1012" s="72">
        <f>SUMIF(Adat!$AH:$AH,CONCATENATE(Info!$D$5,"(KÖT)","091161",L1001),Adat!$E:$E)*-1</f>
        <v>0</v>
      </c>
      <c r="H1012" s="72">
        <f>SUMIF(Adat!$AH:$AH,CONCATENATE(Info!$D$5,"(ÖNV)","091161",L1001),Adat!$E:$E)*-1</f>
        <v>0</v>
      </c>
      <c r="I1012" s="72">
        <f>SUMIF(Adat!$AH:$AH,CONCATENATE(Info!$D$5,"(ÁIG)","091161",L1001),Adat!$E:$E)*-1</f>
        <v>0</v>
      </c>
    </row>
    <row r="1013" spans="2:9" s="42" customFormat="1" x14ac:dyDescent="0.25">
      <c r="B1013" s="160">
        <v>10</v>
      </c>
      <c r="C1013" s="78" t="s">
        <v>1328</v>
      </c>
      <c r="D1013" s="85" t="s">
        <v>437</v>
      </c>
      <c r="E1013" s="71">
        <f>SUM(E1014:E1018)</f>
        <v>0</v>
      </c>
      <c r="F1013" s="71">
        <f t="shared" ref="F1013" si="106">SUM(F1014:F1018)</f>
        <v>0</v>
      </c>
      <c r="G1013" s="71">
        <f>SUM(G1014:G1018)</f>
        <v>0</v>
      </c>
      <c r="H1013" s="71">
        <f t="shared" ref="H1013:I1013" si="107">SUM(H1014:H1018)</f>
        <v>0</v>
      </c>
      <c r="I1013" s="71">
        <f t="shared" si="107"/>
        <v>0</v>
      </c>
    </row>
    <row r="1014" spans="2:9" s="42" customFormat="1" x14ac:dyDescent="0.2">
      <c r="B1014" s="160">
        <v>11</v>
      </c>
      <c r="C1014" s="305" t="s">
        <v>1329</v>
      </c>
      <c r="D1014" s="82" t="s">
        <v>1330</v>
      </c>
      <c r="E1014" s="72">
        <f>SUMIF(Adat!$AG:$AG,CONCATENATE(61,Info!$D$5,"09121",L1001),Adat!$E:$E)*-1</f>
        <v>0</v>
      </c>
      <c r="F1014" s="72">
        <f>SUMIF(Adat!$AG:$AG,CONCATENATE(60,Info!$D$5,"09121",L1001),Adat!$E:$E)*-1+E1014</f>
        <v>0</v>
      </c>
      <c r="G1014" s="72">
        <f>SUMIF(Adat!$AH:$AH,CONCATENATE(Info!$D$5,"(KÖT)","09121",L1001),Adat!$E:$E)*-1</f>
        <v>0</v>
      </c>
      <c r="H1014" s="72">
        <f>SUMIF(Adat!$AH:$AH,CONCATENATE(Info!$D$5,"(ÖNV)","09121",L1001),Adat!$E:$E)*-1</f>
        <v>0</v>
      </c>
      <c r="I1014" s="72">
        <f>SUMIF(Adat!$AH:$AH,CONCATENATE(Info!$D$5,"(ÁIG)","09121",L1001),Adat!$E:$E)*-1</f>
        <v>0</v>
      </c>
    </row>
    <row r="1015" spans="2:9" s="42" customFormat="1" x14ac:dyDescent="0.2">
      <c r="B1015" s="160">
        <v>12</v>
      </c>
      <c r="C1015" s="305" t="s">
        <v>1331</v>
      </c>
      <c r="D1015" s="82" t="s">
        <v>1332</v>
      </c>
      <c r="E1015" s="72">
        <f>SUMIF(Adat!$AG:$AG,CONCATENATE(61,Info!$D$5,"09131",L1001),Adat!$E:$E)*-1</f>
        <v>0</v>
      </c>
      <c r="F1015" s="72">
        <f>SUMIF(Adat!$AG:$AG,CONCATENATE(60,Info!$D$5,"09131",L1001),Adat!$E:$E)*-1+E1015</f>
        <v>0</v>
      </c>
      <c r="G1015" s="72">
        <f>SUMIF(Adat!$AH:$AH,CONCATENATE(Info!$D$5,"(KÖT)","09131",L1001),Adat!$E:$E)*-1</f>
        <v>0</v>
      </c>
      <c r="H1015" s="72">
        <f>SUMIF(Adat!$AH:$AH,CONCATENATE(Info!$D$5,"(ÖNV)","09131",L1001),Adat!$E:$E)*-1</f>
        <v>0</v>
      </c>
      <c r="I1015" s="72">
        <f>SUMIF(Adat!$AH:$AH,CONCATENATE(Info!$D$5,"(ÁIG)","09131",L1001),Adat!$E:$E)*-1</f>
        <v>0</v>
      </c>
    </row>
    <row r="1016" spans="2:9" s="42" customFormat="1" x14ac:dyDescent="0.2">
      <c r="B1016" s="160">
        <v>13</v>
      </c>
      <c r="C1016" s="305" t="s">
        <v>1333</v>
      </c>
      <c r="D1016" s="82" t="s">
        <v>1334</v>
      </c>
      <c r="E1016" s="72">
        <f>SUMIF(Adat!$AG:$AG,CONCATENATE(61,Info!$D$5,"09141",L1001),Adat!$E:$E)*-1</f>
        <v>0</v>
      </c>
      <c r="F1016" s="72">
        <f>SUMIF(Adat!$AG:$AG,CONCATENATE(60,Info!$D$5,"09141",L1001),Adat!$E:$E)*-1+E1016</f>
        <v>0</v>
      </c>
      <c r="G1016" s="72">
        <f>SUMIF(Adat!$AH:$AH,CONCATENATE(Info!$D$5,"(KÖT)","09141",L1001),Adat!$E:$E)*-1</f>
        <v>0</v>
      </c>
      <c r="H1016" s="72">
        <f>SUMIF(Adat!$AH:$AH,CONCATENATE(Info!$D$5,"(ÖNV)","09141",L1001),Adat!$E:$E)*-1</f>
        <v>0</v>
      </c>
      <c r="I1016" s="72">
        <f>SUMIF(Adat!$AH:$AH,CONCATENATE(Info!$D$5,"(ÁIG)","09141",L1001),Adat!$E:$E)*-1</f>
        <v>0</v>
      </c>
    </row>
    <row r="1017" spans="2:9" s="42" customFormat="1" x14ac:dyDescent="0.2">
      <c r="B1017" s="160">
        <v>14</v>
      </c>
      <c r="C1017" s="305" t="s">
        <v>1335</v>
      </c>
      <c r="D1017" s="82" t="s">
        <v>1336</v>
      </c>
      <c r="E1017" s="72">
        <f>SUMIF(Adat!$AG:$AG,CONCATENATE(61,Info!$D$5,"09151",L1001),Adat!$E:$E)*-1</f>
        <v>0</v>
      </c>
      <c r="F1017" s="72">
        <f>SUMIF(Adat!$AG:$AG,CONCATENATE(60,Info!$D$5,"09151",L1001),Adat!$E:$E)*-1+E1017</f>
        <v>0</v>
      </c>
      <c r="G1017" s="72">
        <f>SUMIF(Adat!$AH:$AH,CONCATENATE(Info!$D$5,"(KÖT)","09151",L1001),Adat!$E:$E)*-1</f>
        <v>0</v>
      </c>
      <c r="H1017" s="72">
        <f>SUMIF(Adat!$AH:$AH,CONCATENATE(Info!$D$5,"(ÖNV)","09151",L1001),Adat!$E:$E)*-1</f>
        <v>0</v>
      </c>
      <c r="I1017" s="72">
        <f>SUMIF(Adat!$AH:$AH,CONCATENATE(Info!$D$5,"(ÁIG)","09151",L1001),Adat!$E:$E)*-1</f>
        <v>0</v>
      </c>
    </row>
    <row r="1018" spans="2:9" s="42" customFormat="1" x14ac:dyDescent="0.2">
      <c r="B1018" s="160">
        <v>15</v>
      </c>
      <c r="C1018" s="305" t="s">
        <v>1278</v>
      </c>
      <c r="D1018" s="82" t="s">
        <v>1337</v>
      </c>
      <c r="E1018" s="72">
        <f>SUMIF(Adat!$AG:$AG,CONCATENATE(61,Info!$D$5,"09161",L1001),Adat!$E:$E)*-1</f>
        <v>0</v>
      </c>
      <c r="F1018" s="72">
        <f>SUMIF(Adat!$AG:$AG,CONCATENATE(60,Info!$D$5,"09161",L1001),Adat!$E:$E)*-1+E1018</f>
        <v>0</v>
      </c>
      <c r="G1018" s="72">
        <f>SUMIF(Adat!$AH:$AH,CONCATENATE(Info!$D$5,"(KÖT)","09161",L1001),Adat!$E:$E)*-1</f>
        <v>0</v>
      </c>
      <c r="H1018" s="72">
        <f>SUMIF(Adat!$AH:$AH,CONCATENATE(Info!$D$5,"(ÖNV)","09161",L1001),Adat!$E:$E)*-1</f>
        <v>0</v>
      </c>
      <c r="I1018" s="72">
        <f>SUMIF(Adat!$AH:$AH,CONCATENATE(Info!$D$5,"(ÁIG)","09161",L1001),Adat!$E:$E)*-1</f>
        <v>0</v>
      </c>
    </row>
    <row r="1019" spans="2:9" x14ac:dyDescent="0.25">
      <c r="B1019" s="160">
        <v>16</v>
      </c>
      <c r="C1019" s="79" t="s">
        <v>24</v>
      </c>
      <c r="D1019" s="79" t="s">
        <v>449</v>
      </c>
      <c r="E1019" s="71">
        <f t="shared" ref="E1019:F1019" si="108">SUM(E1020:E1024)</f>
        <v>0</v>
      </c>
      <c r="F1019" s="71">
        <f t="shared" si="108"/>
        <v>0</v>
      </c>
      <c r="G1019" s="71">
        <f>SUM(G1020:G1024)</f>
        <v>0</v>
      </c>
      <c r="H1019" s="71">
        <f t="shared" ref="H1019:I1019" si="109">SUM(H1020:H1024)</f>
        <v>0</v>
      </c>
      <c r="I1019" s="71">
        <f t="shared" si="109"/>
        <v>0</v>
      </c>
    </row>
    <row r="1020" spans="2:9" x14ac:dyDescent="0.2">
      <c r="B1020" s="160">
        <v>17</v>
      </c>
      <c r="C1020" s="305" t="s">
        <v>1339</v>
      </c>
      <c r="D1020" s="82" t="s">
        <v>1340</v>
      </c>
      <c r="E1020" s="72">
        <f>SUMIF(Adat!$AG:$AG,CONCATENATE(61,Info!$D$5,"09211",L1001),Adat!$E:$E)*-1</f>
        <v>0</v>
      </c>
      <c r="F1020" s="72">
        <f>SUMIF(Adat!$AG:$AG,CONCATENATE(60,Info!$D$5,"09211",L1001),Adat!$E:$E)*-1+E1020</f>
        <v>0</v>
      </c>
      <c r="G1020" s="72">
        <f>SUMIF(Adat!$AH:$AH,CONCATENATE(Info!$D$5,"(KÖT)","09211",L1001),Adat!$E:$E)*-1</f>
        <v>0</v>
      </c>
      <c r="H1020" s="72">
        <f>SUMIF(Adat!$AH:$AH,CONCATENATE(Info!$D$5,"(ÖNV)","09211",L1001),Adat!$E:$E)*-1</f>
        <v>0</v>
      </c>
      <c r="I1020" s="72">
        <f>SUMIF(Adat!$AH:$AH,CONCATENATE(Info!$D$5,"(ÁIG)","09211",L1001),Adat!$E:$E)*-1</f>
        <v>0</v>
      </c>
    </row>
    <row r="1021" spans="2:9" s="42" customFormat="1" x14ac:dyDescent="0.2">
      <c r="B1021" s="160">
        <v>18</v>
      </c>
      <c r="C1021" s="305" t="s">
        <v>1341</v>
      </c>
      <c r="D1021" s="82" t="s">
        <v>1342</v>
      </c>
      <c r="E1021" s="72">
        <f>SUMIF(Adat!$AG:$AG,CONCATENATE(61,Info!$D$5,"09221",L1001),Adat!$E:$E)*-1</f>
        <v>0</v>
      </c>
      <c r="F1021" s="72">
        <f>SUMIF(Adat!$AG:$AG,CONCATENATE(60,Info!$D$5,"09221",L1001),Adat!$E:$E)*-1+E1021</f>
        <v>0</v>
      </c>
      <c r="G1021" s="72">
        <f>SUMIF(Adat!$AH:$AH,CONCATENATE(Info!$D$5,"(KÖT)","09221",L1001),Adat!$E:$E)*-1</f>
        <v>0</v>
      </c>
      <c r="H1021" s="72">
        <f>SUMIF(Adat!$AH:$AH,CONCATENATE(Info!$D$5,"(ÖNV)","09221",L1001),Adat!$E:$E)*-1</f>
        <v>0</v>
      </c>
      <c r="I1021" s="72">
        <f>SUMIF(Adat!$AH:$AH,CONCATENATE(Info!$D$5,"(ÁIG)","09221",L1001),Adat!$E:$E)*-1</f>
        <v>0</v>
      </c>
    </row>
    <row r="1022" spans="2:9" x14ac:dyDescent="0.2">
      <c r="B1022" s="160">
        <v>19</v>
      </c>
      <c r="C1022" s="305" t="s">
        <v>1343</v>
      </c>
      <c r="D1022" s="82" t="s">
        <v>1344</v>
      </c>
      <c r="E1022" s="72">
        <f>SUMIF(Adat!$AG:$AG,CONCATENATE(61,Info!$D$5,"09231",L1001),Adat!$E:$E)*-1</f>
        <v>0</v>
      </c>
      <c r="F1022" s="72">
        <f>SUMIF(Adat!$AG:$AG,CONCATENATE(60,Info!$D$5,"09231",L1001),Adat!$E:$E)*-1+E1022</f>
        <v>0</v>
      </c>
      <c r="G1022" s="72">
        <f>SUMIF(Adat!$AH:$AH,CONCATENATE(Info!$D$5,"(KÖT)","09231",L1001),Adat!$E:$E)*-1</f>
        <v>0</v>
      </c>
      <c r="H1022" s="72">
        <f>SUMIF(Adat!$AH:$AH,CONCATENATE(Info!$D$5,"(ÖNV)","09231",L1001),Adat!$E:$E)*-1</f>
        <v>0</v>
      </c>
      <c r="I1022" s="72">
        <f>SUMIF(Adat!$AH:$AH,CONCATENATE(Info!$D$5,"(ÁIG)","09231",L1001),Adat!$E:$E)*-1</f>
        <v>0</v>
      </c>
    </row>
    <row r="1023" spans="2:9" x14ac:dyDescent="0.2">
      <c r="B1023" s="160">
        <v>20</v>
      </c>
      <c r="C1023" s="305" t="s">
        <v>1345</v>
      </c>
      <c r="D1023" s="82" t="s">
        <v>1346</v>
      </c>
      <c r="E1023" s="72">
        <f>SUMIF(Adat!$AG:$AG,CONCATENATE(61,Info!$D$5,"09241",L1001),Adat!$E:$E)*-1</f>
        <v>0</v>
      </c>
      <c r="F1023" s="72">
        <f>SUMIF(Adat!$AG:$AG,CONCATENATE(60,Info!$D$5,"09241",L1001),Adat!$E:$E)*-1+E1023</f>
        <v>0</v>
      </c>
      <c r="G1023" s="72">
        <f>SUMIF(Adat!$AH:$AH,CONCATENATE(Info!$D$5,"(KÖT)","09241",L1001),Adat!$E:$E)*-1</f>
        <v>0</v>
      </c>
      <c r="H1023" s="72">
        <f>SUMIF(Adat!$AH:$AH,CONCATENATE(Info!$D$5,"(ÖNV)","09241",L1001),Adat!$E:$E)*-1</f>
        <v>0</v>
      </c>
      <c r="I1023" s="72">
        <f>SUMIF(Adat!$AH:$AH,CONCATENATE(Info!$D$5,"(ÁIG)","09241",L1001),Adat!$E:$E)*-1</f>
        <v>0</v>
      </c>
    </row>
    <row r="1024" spans="2:9" x14ac:dyDescent="0.2">
      <c r="B1024" s="160">
        <v>21</v>
      </c>
      <c r="C1024" s="305" t="s">
        <v>1255</v>
      </c>
      <c r="D1024" s="82" t="s">
        <v>1347</v>
      </c>
      <c r="E1024" s="72">
        <f>SUMIF(Adat!$AG:$AG,CONCATENATE(61,Info!$D$5,"09251",L1001),Adat!$E:$E)*-1</f>
        <v>0</v>
      </c>
      <c r="F1024" s="72">
        <f>SUMIF(Adat!$AG:$AG,CONCATENATE(60,Info!$D$5,"09251",L1001),Adat!$E:$E)*-1+E1024</f>
        <v>0</v>
      </c>
      <c r="G1024" s="72">
        <f>SUMIF(Adat!$AH:$AH,CONCATENATE(Info!$D$5,"(KÖT)","09251",L1001),Adat!$E:$E)*-1</f>
        <v>0</v>
      </c>
      <c r="H1024" s="72">
        <f>SUMIF(Adat!$AH:$AH,CONCATENATE(Info!$D$5,"(ÖNV)","09251",L1001),Adat!$E:$E)*-1</f>
        <v>0</v>
      </c>
      <c r="I1024" s="72">
        <f>SUMIF(Adat!$AH:$AH,CONCATENATE(Info!$D$5,"(ÁIG)","09251",L1001),Adat!$E:$E)*-1</f>
        <v>0</v>
      </c>
    </row>
    <row r="1025" spans="2:9" x14ac:dyDescent="0.25">
      <c r="B1025" s="160">
        <v>22</v>
      </c>
      <c r="C1025" s="79" t="s">
        <v>27</v>
      </c>
      <c r="D1025" s="79" t="s">
        <v>328</v>
      </c>
      <c r="E1025" s="71">
        <f>SUM(E1026:E1031)</f>
        <v>0</v>
      </c>
      <c r="F1025" s="71">
        <f>SUM(F1026:F1031)</f>
        <v>0</v>
      </c>
      <c r="G1025" s="71">
        <f>SUM(G1026:G1031)</f>
        <v>0</v>
      </c>
      <c r="H1025" s="71">
        <f>SUM(H1026:H1031)</f>
        <v>0</v>
      </c>
      <c r="I1025" s="71">
        <f>SUM(I1026:I1031)</f>
        <v>0</v>
      </c>
    </row>
    <row r="1026" spans="2:9" x14ac:dyDescent="0.2">
      <c r="B1026" s="160">
        <v>23</v>
      </c>
      <c r="C1026" s="305" t="s">
        <v>1348</v>
      </c>
      <c r="D1026" s="82" t="s">
        <v>1349</v>
      </c>
      <c r="E1026" s="72">
        <f>SUMIF(Adat!$AG:$AG,CONCATENATE(61,Info!$D$5,"093111",L1001),Adat!$E:$E)*-1</f>
        <v>0</v>
      </c>
      <c r="F1026" s="72">
        <f>SUMIF(Adat!$AG:$AG,CONCATENATE(60,Info!$D$5,"093111",L1001),Adat!$E:$E)*-1+E1026</f>
        <v>0</v>
      </c>
      <c r="G1026" s="72">
        <f>SUMIF(Adat!$AH:$AH,CONCATENATE(Info!$D$5,"(KÖT)","093111",L1001),Adat!$E:$E)*-1</f>
        <v>0</v>
      </c>
      <c r="H1026" s="72">
        <f>SUMIF(Adat!$AH:$AH,CONCATENATE(Info!$D$5,"(ÖNV)","093111",L1001),Adat!$E:$E)*-1</f>
        <v>0</v>
      </c>
      <c r="I1026" s="72">
        <f>SUMIF(Adat!$AH:$AH,CONCATENATE(Info!$D$5,"(ÁIG)","093111",L1001),Adat!$E:$E)*-1</f>
        <v>0</v>
      </c>
    </row>
    <row r="1027" spans="2:9" x14ac:dyDescent="0.2">
      <c r="B1027" s="160">
        <v>24</v>
      </c>
      <c r="C1027" s="305" t="s">
        <v>1259</v>
      </c>
      <c r="D1027" s="82" t="s">
        <v>1350</v>
      </c>
      <c r="E1027" s="72">
        <f>SUMIF(Adat!$AG:$AG,CONCATENATE(61,Info!$D$5,"09341",L1001),Adat!$E:$E)*-1</f>
        <v>0</v>
      </c>
      <c r="F1027" s="72">
        <f>SUMIF(Adat!$AG:$AG,CONCATENATE(60,Info!$D$5,"09341",L1001),Adat!$E:$E)*-1+E1027</f>
        <v>0</v>
      </c>
      <c r="G1027" s="72">
        <f>SUMIF(Adat!$AH:$AH,CONCATENATE(Info!$D$5,"(KÖT)","09341",L1001),Adat!$E:$E)*-1</f>
        <v>0</v>
      </c>
      <c r="H1027" s="72">
        <f>SUMIF(Adat!$AH:$AH,CONCATENATE(Info!$D$5,"(ÖNV)","09341",L1001),Adat!$E:$E)*-1</f>
        <v>0</v>
      </c>
      <c r="I1027" s="72">
        <f>SUMIF(Adat!$AH:$AH,CONCATENATE(Info!$D$5,"(ÁIG)","09341",L1001),Adat!$E:$E)*-1</f>
        <v>0</v>
      </c>
    </row>
    <row r="1028" spans="2:9" x14ac:dyDescent="0.2">
      <c r="B1028" s="160">
        <v>25</v>
      </c>
      <c r="C1028" s="305" t="s">
        <v>1260</v>
      </c>
      <c r="D1028" s="82" t="s">
        <v>1351</v>
      </c>
      <c r="E1028" s="72">
        <f>SUMIF(Adat!$AG:$AG,CONCATENATE(61,Info!$D$5,"093511",L1001),Adat!$E:$E)*-1</f>
        <v>0</v>
      </c>
      <c r="F1028" s="72">
        <f>SUMIF(Adat!$AG:$AG,CONCATENATE(60,Info!$D$5,"093511",L1001),Adat!$E:$E)*-1+E1028</f>
        <v>0</v>
      </c>
      <c r="G1028" s="72">
        <f>SUMIF(Adat!$AH:$AH,CONCATENATE(Info!$D$5,"(KÖT)","093511",L1001),Adat!$E:$E)*-1</f>
        <v>0</v>
      </c>
      <c r="H1028" s="72">
        <f>SUMIF(Adat!$AH:$AH,CONCATENATE(Info!$D$5,"(ÖNV)","093511",L1001),Adat!$E:$E)*-1</f>
        <v>0</v>
      </c>
      <c r="I1028" s="72">
        <f>SUMIF(Adat!$AH:$AH,CONCATENATE(Info!$D$5,"(ÁIG)","093511",L1001),Adat!$E:$E)*-1</f>
        <v>0</v>
      </c>
    </row>
    <row r="1029" spans="2:9" x14ac:dyDescent="0.2">
      <c r="B1029" s="160">
        <v>26</v>
      </c>
      <c r="C1029" s="305" t="s">
        <v>1352</v>
      </c>
      <c r="D1029" s="82" t="s">
        <v>1353</v>
      </c>
      <c r="E1029" s="72">
        <f>SUMIF(Adat!$AG:$AG,CONCATENATE(61,Info!$D$5,"093521",L1001),Adat!$E:$E)*-1</f>
        <v>0</v>
      </c>
      <c r="F1029" s="72">
        <f>SUMIF(Adat!$AG:$AG,CONCATENATE(60,Info!$D$5,"093521",L1001),Adat!$E:$E)*-1+E1029</f>
        <v>0</v>
      </c>
      <c r="G1029" s="72">
        <f>SUMIF(Adat!$AH:$AH,CONCATENATE(Info!$D$5,"(KÖT)","093521",L1001),Adat!$E:$E)*-1</f>
        <v>0</v>
      </c>
      <c r="H1029" s="72">
        <f>SUMIF(Adat!$AH:$AH,CONCATENATE(Info!$D$5,"(ÖNV)","093521",L1001),Adat!$E:$E)*-1</f>
        <v>0</v>
      </c>
      <c r="I1029" s="72">
        <f>SUMIF(Adat!$AH:$AH,CONCATENATE(Info!$D$5,"(ÁIG)","093521",L1001),Adat!$E:$E)*-1</f>
        <v>0</v>
      </c>
    </row>
    <row r="1030" spans="2:9" x14ac:dyDescent="0.2">
      <c r="B1030" s="160">
        <v>27</v>
      </c>
      <c r="C1030" s="305" t="s">
        <v>1292</v>
      </c>
      <c r="D1030" s="82" t="s">
        <v>1354</v>
      </c>
      <c r="E1030" s="72">
        <f>SUMIF(Adat!$AG:$AG,CONCATENATE(61,Info!$D$5,"093551",L1001),Adat!$E:$E)*-1</f>
        <v>0</v>
      </c>
      <c r="F1030" s="72">
        <f>SUMIF(Adat!$AG:$AG,CONCATENATE(60,Info!$D$5,"093551",L1001),Adat!$E:$E)*-1+E1030</f>
        <v>0</v>
      </c>
      <c r="G1030" s="72">
        <f>SUMIF(Adat!$AH:$AH,CONCATENATE(Info!$D$5,"(KÖT)","093551",L1001),Adat!$E:$E)*-1</f>
        <v>0</v>
      </c>
      <c r="H1030" s="72">
        <f>SUMIF(Adat!$AH:$AH,CONCATENATE(Info!$D$5,"(ÖNV)","093551",L1001),Adat!$E:$E)*-1</f>
        <v>0</v>
      </c>
      <c r="I1030" s="72">
        <f>SUMIF(Adat!$AH:$AH,CONCATENATE(Info!$D$5,"(ÁIG)","093551",L1001),Adat!$E:$E)*-1</f>
        <v>0</v>
      </c>
    </row>
    <row r="1031" spans="2:9" x14ac:dyDescent="0.2">
      <c r="B1031" s="160">
        <v>28</v>
      </c>
      <c r="C1031" s="305" t="s">
        <v>1293</v>
      </c>
      <c r="D1031" s="82" t="s">
        <v>1355</v>
      </c>
      <c r="E1031" s="72">
        <f>SUMIF(Adat!$AG:$AG,CONCATENATE(61,Info!$D$5,"09361",L1001),Adat!$E:$E)*-1</f>
        <v>0</v>
      </c>
      <c r="F1031" s="72">
        <f>SUMIF(Adat!$AG:$AG,CONCATENATE(60,Info!$D$5,"09361",L1001),Adat!$E:$E)*-1+E1031</f>
        <v>0</v>
      </c>
      <c r="G1031" s="72">
        <f>SUMIF(Adat!$AH:$AH,CONCATENATE(Info!$D$5,"(KÖT)","09361",L1001),Adat!$E:$E)*-1</f>
        <v>0</v>
      </c>
      <c r="H1031" s="72">
        <f>SUMIF(Adat!$AH:$AH,CONCATENATE(Info!$D$5,"(ÖNV)","09361",L1001),Adat!$E:$E)*-1</f>
        <v>0</v>
      </c>
      <c r="I1031" s="72">
        <f>SUMIF(Adat!$AH:$AH,CONCATENATE(Info!$D$5,"(ÁIG)","09361",L1001),Adat!$E:$E)*-1</f>
        <v>0</v>
      </c>
    </row>
    <row r="1032" spans="2:9" x14ac:dyDescent="0.25">
      <c r="B1032" s="160">
        <v>29</v>
      </c>
      <c r="C1032" s="79" t="s">
        <v>30</v>
      </c>
      <c r="D1032" s="79" t="s">
        <v>329</v>
      </c>
      <c r="E1032" s="71">
        <f>SUM(E1033:E1045)</f>
        <v>0</v>
      </c>
      <c r="F1032" s="71">
        <f t="shared" ref="F1032:I1032" si="110">SUM(F1033:F1045)</f>
        <v>0</v>
      </c>
      <c r="G1032" s="71">
        <f t="shared" si="110"/>
        <v>0</v>
      </c>
      <c r="H1032" s="71">
        <f t="shared" si="110"/>
        <v>0</v>
      </c>
      <c r="I1032" s="71">
        <f t="shared" si="110"/>
        <v>0</v>
      </c>
    </row>
    <row r="1033" spans="2:9" x14ac:dyDescent="0.2">
      <c r="B1033" s="160">
        <v>30</v>
      </c>
      <c r="C1033" s="305" t="s">
        <v>1309</v>
      </c>
      <c r="D1033" s="82" t="s">
        <v>1356</v>
      </c>
      <c r="E1033" s="72">
        <f>SUMIF(Adat!$AG:$AG,CONCATENATE(61,Info!$D$5,"094011",L1001),Adat!$E:$E)*-1</f>
        <v>0</v>
      </c>
      <c r="F1033" s="72">
        <f>SUMIF(Adat!$AG:$AG,CONCATENATE(60,Info!$D$5,"094011",L1001),Adat!$E:$E)*-1+E1033</f>
        <v>0</v>
      </c>
      <c r="G1033" s="72">
        <f>SUMIF(Adat!$AH:$AH,CONCATENATE(Info!$D$5,"(KÖT)","094011",L1001),Adat!$E:$E)*-1</f>
        <v>0</v>
      </c>
      <c r="H1033" s="72">
        <f>SUMIF(Adat!$AH:$AH,CONCATENATE(Info!$D$5,"(ÖNV)","094011",L1001),Adat!$E:$E)*-1</f>
        <v>0</v>
      </c>
      <c r="I1033" s="72">
        <f>SUMIF(Adat!$AH:$AH,CONCATENATE(Info!$D$5,"(ÁIG)","094011",L1001),Adat!$E:$E)*-1</f>
        <v>0</v>
      </c>
    </row>
    <row r="1034" spans="2:9" x14ac:dyDescent="0.2">
      <c r="B1034" s="160">
        <v>31</v>
      </c>
      <c r="C1034" s="305" t="s">
        <v>1279</v>
      </c>
      <c r="D1034" s="82" t="s">
        <v>1357</v>
      </c>
      <c r="E1034" s="72">
        <f>SUMIF(Adat!$AG:$AG,CONCATENATE(61,Info!$D$5,"094021",L1001),Adat!$E:$E)*-1</f>
        <v>0</v>
      </c>
      <c r="F1034" s="72">
        <f>SUMIF(Adat!$AG:$AG,CONCATENATE(60,Info!$D$5,"094021",L1001),Adat!$E:$E)*-1+E1034</f>
        <v>0</v>
      </c>
      <c r="G1034" s="72">
        <f>SUMIF(Adat!$AH:$AH,CONCATENATE(Info!$D$5,"(KÖT)","094021",L1001),Adat!$E:$E)*-1</f>
        <v>0</v>
      </c>
      <c r="H1034" s="72">
        <f>SUMIF(Adat!$AH:$AH,CONCATENATE(Info!$D$5,"(ÖNV)","094021",L1001),Adat!$E:$E)*-1</f>
        <v>0</v>
      </c>
      <c r="I1034" s="72">
        <f>SUMIF(Adat!$AH:$AH,CONCATENATE(Info!$D$5,"(ÁIG)","094021",L1001),Adat!$E:$E)*-1</f>
        <v>0</v>
      </c>
    </row>
    <row r="1035" spans="2:9" x14ac:dyDescent="0.2">
      <c r="B1035" s="160">
        <v>32</v>
      </c>
      <c r="C1035" s="305" t="s">
        <v>1272</v>
      </c>
      <c r="D1035" s="82" t="s">
        <v>1358</v>
      </c>
      <c r="E1035" s="72">
        <f>SUMIF(Adat!$AG:$AG,CONCATENATE(61,Info!$D$5,"094031",L1001),Adat!$E:$E)*-1</f>
        <v>0</v>
      </c>
      <c r="F1035" s="72">
        <f>SUMIF(Adat!$AG:$AG,CONCATENATE(60,Info!$D$5,"094031",L1001),Adat!$E:$E)*-1+E1035</f>
        <v>0</v>
      </c>
      <c r="G1035" s="72">
        <f>SUMIF(Adat!$AH:$AH,CONCATENATE(Info!$D$5,"(KÖT)","094031",L1001),Adat!$E:$E)*-1</f>
        <v>0</v>
      </c>
      <c r="H1035" s="72">
        <f>SUMIF(Adat!$AH:$AH,CONCATENATE(Info!$D$5,"(ÖNV)","094031",L1001),Adat!$E:$E)*-1</f>
        <v>0</v>
      </c>
      <c r="I1035" s="72">
        <f>SUMIF(Adat!$AH:$AH,CONCATENATE(Info!$D$5,"(ÁIG)","094031",L1001),Adat!$E:$E)*-1</f>
        <v>0</v>
      </c>
    </row>
    <row r="1036" spans="2:9" x14ac:dyDescent="0.2">
      <c r="B1036" s="160">
        <v>33</v>
      </c>
      <c r="C1036" s="305" t="s">
        <v>1359</v>
      </c>
      <c r="D1036" s="82" t="s">
        <v>1360</v>
      </c>
      <c r="E1036" s="72">
        <f>SUMIF(Adat!$AG:$AG,CONCATENATE(61,Info!$D$5,"094041",L1001),Adat!$E:$E)*-1</f>
        <v>0</v>
      </c>
      <c r="F1036" s="72">
        <f>SUMIF(Adat!$AG:$AG,CONCATENATE(60,Info!$D$5,"094041",L1001),Adat!$E:$E)*-1+E1036</f>
        <v>0</v>
      </c>
      <c r="G1036" s="72">
        <f>SUMIF(Adat!$AH:$AH,CONCATENATE(Info!$D$5,"(KÖT)","094041",L1001),Adat!$E:$E)*-1</f>
        <v>0</v>
      </c>
      <c r="H1036" s="72">
        <f>SUMIF(Adat!$AH:$AH,CONCATENATE(Info!$D$5,"(ÖNV)","094041",L1001),Adat!$E:$E)*-1</f>
        <v>0</v>
      </c>
      <c r="I1036" s="72">
        <f>SUMIF(Adat!$AH:$AH,CONCATENATE(Info!$D$5,"(ÁIG)","094041",L1001),Adat!$E:$E)*-1</f>
        <v>0</v>
      </c>
    </row>
    <row r="1037" spans="2:9" x14ac:dyDescent="0.2">
      <c r="B1037" s="160">
        <v>34</v>
      </c>
      <c r="C1037" s="305" t="s">
        <v>1261</v>
      </c>
      <c r="D1037" s="82" t="s">
        <v>1361</v>
      </c>
      <c r="E1037" s="72">
        <f>SUMIF(Adat!$AG:$AG,CONCATENATE(61,Info!$D$5,"094051",L1001),Adat!$E:$E)*-1</f>
        <v>0</v>
      </c>
      <c r="F1037" s="72">
        <f>SUMIF(Adat!$AG:$AG,CONCATENATE(60,Info!$D$5,"094051",L1001),Adat!$E:$E)*-1+E1037</f>
        <v>0</v>
      </c>
      <c r="G1037" s="72">
        <f>SUMIF(Adat!$AH:$AH,CONCATENATE(Info!$D$5,"(KÖT)","094051",L1001),Adat!$E:$E)*-1</f>
        <v>0</v>
      </c>
      <c r="H1037" s="72">
        <f>SUMIF(Adat!$AH:$AH,CONCATENATE(Info!$D$5,"(ÖNV)","094051",L1001),Adat!$E:$E)*-1</f>
        <v>0</v>
      </c>
      <c r="I1037" s="72">
        <f>SUMIF(Adat!$AH:$AH,CONCATENATE(Info!$D$5,"(ÁIG)","094051",L1001),Adat!$E:$E)*-1</f>
        <v>0</v>
      </c>
    </row>
    <row r="1038" spans="2:9" x14ac:dyDescent="0.2">
      <c r="B1038" s="160">
        <v>35</v>
      </c>
      <c r="C1038" s="305" t="s">
        <v>1273</v>
      </c>
      <c r="D1038" s="82" t="s">
        <v>1362</v>
      </c>
      <c r="E1038" s="72">
        <f>SUMIF(Adat!$AG:$AG,CONCATENATE(61,Info!$D$5,"094061",L1001),Adat!$E:$E)*-1</f>
        <v>0</v>
      </c>
      <c r="F1038" s="72">
        <f>SUMIF(Adat!$AG:$AG,CONCATENATE(60,Info!$D$5,"094061",L1001),Adat!$E:$E)*-1+E1038</f>
        <v>0</v>
      </c>
      <c r="G1038" s="72">
        <f>SUMIF(Adat!$AH:$AH,CONCATENATE(Info!$D$5,"(KÖT)","094061",L1001),Adat!$E:$E)*-1</f>
        <v>0</v>
      </c>
      <c r="H1038" s="72">
        <f>SUMIF(Adat!$AH:$AH,CONCATENATE(Info!$D$5,"(ÖNV)","094061",L1001),Adat!$E:$E)*-1</f>
        <v>0</v>
      </c>
      <c r="I1038" s="72">
        <f>SUMIF(Adat!$AH:$AH,CONCATENATE(Info!$D$5,"(ÁIG)","094061",L1001),Adat!$E:$E)*-1</f>
        <v>0</v>
      </c>
    </row>
    <row r="1039" spans="2:9" x14ac:dyDescent="0.2">
      <c r="B1039" s="160">
        <v>36</v>
      </c>
      <c r="C1039" s="305" t="s">
        <v>1363</v>
      </c>
      <c r="D1039" s="82" t="s">
        <v>1364</v>
      </c>
      <c r="E1039" s="72">
        <f>SUMIF(Adat!$AG:$AG,CONCATENATE(61,Info!$D$5,"094071",L1001),Adat!$E:$E)*-1</f>
        <v>0</v>
      </c>
      <c r="F1039" s="72">
        <f>SUMIF(Adat!$AG:$AG,CONCATENATE(60,Info!$D$5,"094071",L1001),Adat!$E:$E)*-1+E1039</f>
        <v>0</v>
      </c>
      <c r="G1039" s="72">
        <f>SUMIF(Adat!$AH:$AH,CONCATENATE(Info!$D$5,"(KÖT)","094071",L1001),Adat!$E:$E)*-1</f>
        <v>0</v>
      </c>
      <c r="H1039" s="72">
        <f>SUMIF(Adat!$AH:$AH,CONCATENATE(Info!$D$5,"(ÖNV)","094071",L1001),Adat!$E:$E)*-1</f>
        <v>0</v>
      </c>
      <c r="I1039" s="72">
        <f>SUMIF(Adat!$AH:$AH,CONCATENATE(Info!$D$5,"(ÁIG)","094071",L1001),Adat!$E:$E)*-1</f>
        <v>0</v>
      </c>
    </row>
    <row r="1040" spans="2:9" x14ac:dyDescent="0.2">
      <c r="B1040" s="160">
        <v>37</v>
      </c>
      <c r="C1040" s="305" t="s">
        <v>1306</v>
      </c>
      <c r="D1040" s="82" t="s">
        <v>1365</v>
      </c>
      <c r="E1040" s="72">
        <f>SUMIF(Adat!$AG:$AG,CONCATENATE(61,Info!$D$5,"0940811",L1001),Adat!$E:$E)*-1</f>
        <v>0</v>
      </c>
      <c r="F1040" s="72">
        <f>SUMIF(Adat!$AG:$AG,CONCATENATE(60,Info!$D$5,"0940811",L1001),Adat!$E:$E)*-1+E1040</f>
        <v>0</v>
      </c>
      <c r="G1040" s="72">
        <f>SUMIF(Adat!$AH:$AH,CONCATENATE(Info!$D$5,"(KÖT)","0940811",L1001),Adat!$E:$E)*-1</f>
        <v>0</v>
      </c>
      <c r="H1040" s="72">
        <f>SUMIF(Adat!$AH:$AH,CONCATENATE(Info!$D$5,"(ÖNV)","0940811",L1001),Adat!$E:$E)*-1</f>
        <v>0</v>
      </c>
      <c r="I1040" s="72">
        <f>SUMIF(Adat!$AH:$AH,CONCATENATE(Info!$D$5,"(ÁIG)","0940811",L1001),Adat!$E:$E)*-1</f>
        <v>0</v>
      </c>
    </row>
    <row r="1041" spans="2:9" x14ac:dyDescent="0.2">
      <c r="B1041" s="160">
        <v>38</v>
      </c>
      <c r="C1041" s="305" t="s">
        <v>1295</v>
      </c>
      <c r="D1041" s="82" t="s">
        <v>1366</v>
      </c>
      <c r="E1041" s="72">
        <f>SUMIF(Adat!$AG:$AG,CONCATENATE(61,Info!$D$5,"0940821",L1001),Adat!$E:$E)*-1</f>
        <v>0</v>
      </c>
      <c r="F1041" s="72">
        <f>SUMIF(Adat!$AG:$AG,CONCATENATE(60,Info!$D$5,"0940821",L1001),Adat!$E:$E)*-1+E1041</f>
        <v>0</v>
      </c>
      <c r="G1041" s="72">
        <f>SUMIF(Adat!$AH:$AH,CONCATENATE(Info!$D$5,"(KÖT)","0940821",L1001),Adat!$E:$E)*-1</f>
        <v>0</v>
      </c>
      <c r="H1041" s="72">
        <f>SUMIF(Adat!$AH:$AH,CONCATENATE(Info!$D$5,"(ÖNV)","0940821",L1001),Adat!$E:$E)*-1</f>
        <v>0</v>
      </c>
      <c r="I1041" s="72">
        <f>SUMIF(Adat!$AH:$AH,CONCATENATE(Info!$D$5,"(ÁIG)","0940821",L1001),Adat!$E:$E)*-1</f>
        <v>0</v>
      </c>
    </row>
    <row r="1042" spans="2:9" x14ac:dyDescent="0.2">
      <c r="B1042" s="160">
        <v>39</v>
      </c>
      <c r="C1042" s="305" t="s">
        <v>1367</v>
      </c>
      <c r="D1042" s="82" t="s">
        <v>1368</v>
      </c>
      <c r="E1042" s="72">
        <f>SUMIF(Adat!$AG:$AG,CONCATENATE(61,Info!$D$5,"0940911",L1001),Adat!$E:$E)*-1</f>
        <v>0</v>
      </c>
      <c r="F1042" s="72">
        <f>SUMIF(Adat!$AG:$AG,CONCATENATE(60,Info!$D$5,"0940911",L1001),Adat!$E:$E)*-1+E1042</f>
        <v>0</v>
      </c>
      <c r="G1042" s="72">
        <f>SUMIF(Adat!$AH:$AH,CONCATENATE(Info!$D$5,"(KÖT)","0940911",L1001),Adat!$E:$E)*-1</f>
        <v>0</v>
      </c>
      <c r="H1042" s="72">
        <f>SUMIF(Adat!$AH:$AH,CONCATENATE(Info!$D$5,"(ÖNV)","0940911",L1001),Adat!$E:$E)*-1</f>
        <v>0</v>
      </c>
      <c r="I1042" s="72">
        <f>SUMIF(Adat!$AH:$AH,CONCATENATE(Info!$D$5,"(ÁIG)","0940911",L1001),Adat!$E:$E)*-1</f>
        <v>0</v>
      </c>
    </row>
    <row r="1043" spans="2:9" x14ac:dyDescent="0.2">
      <c r="B1043" s="160">
        <v>40</v>
      </c>
      <c r="C1043" s="305" t="s">
        <v>1369</v>
      </c>
      <c r="D1043" s="82" t="s">
        <v>1370</v>
      </c>
      <c r="E1043" s="72">
        <f>SUMIF(Adat!$AG:$AG,CONCATENATE(61,Info!$D$5,"0940921",L1001),Adat!$E:$E)*-1</f>
        <v>0</v>
      </c>
      <c r="F1043" s="72">
        <f>SUMIF(Adat!$AG:$AG,CONCATENATE(60,Info!$D$5,"0940921",L1001),Adat!$E:$E)*-1+E1043</f>
        <v>0</v>
      </c>
      <c r="G1043" s="72">
        <f>SUMIF(Adat!$AH:$AH,CONCATENATE(Info!$D$5,"(KÖT)","0940921",L1001),Adat!$E:$E)*-1</f>
        <v>0</v>
      </c>
      <c r="H1043" s="72">
        <f>SUMIF(Adat!$AH:$AH,CONCATENATE(Info!$D$5,"(ÖNV)","0940921",L1001),Adat!$E:$E)*-1</f>
        <v>0</v>
      </c>
      <c r="I1043" s="72">
        <f>SUMIF(Adat!$AH:$AH,CONCATENATE(Info!$D$5,"(ÁIG)","0940921",L1001),Adat!$E:$E)*-1</f>
        <v>0</v>
      </c>
    </row>
    <row r="1044" spans="2:9" x14ac:dyDescent="0.2">
      <c r="B1044" s="160">
        <v>41</v>
      </c>
      <c r="C1044" s="305" t="s">
        <v>1296</v>
      </c>
      <c r="D1044" s="82" t="s">
        <v>1371</v>
      </c>
      <c r="E1044" s="72">
        <f>SUMIF(Adat!$AG:$AG,CONCATENATE(61,Info!$D$5,"094101",L1001),Adat!$E:$E)*-1</f>
        <v>0</v>
      </c>
      <c r="F1044" s="72">
        <f>SUMIF(Adat!$AG:$AG,CONCATENATE(60,Info!$D$5,"094101",L1001),Adat!$E:$E)*-1+E1044</f>
        <v>0</v>
      </c>
      <c r="G1044" s="72">
        <f>SUMIF(Adat!$AH:$AH,CONCATENATE(Info!$D$5,"(KÖT)","094101",L1001),Adat!$E:$E)*-1</f>
        <v>0</v>
      </c>
      <c r="H1044" s="72">
        <f>SUMIF(Adat!$AH:$AH,CONCATENATE(Info!$D$5,"(ÖNV)","094101",L1001),Adat!$E:$E)*-1</f>
        <v>0</v>
      </c>
      <c r="I1044" s="72">
        <f>SUMIF(Adat!$AH:$AH,CONCATENATE(Info!$D$5,"(ÁIG)","094101",L1001),Adat!$E:$E)*-1</f>
        <v>0</v>
      </c>
    </row>
    <row r="1045" spans="2:9" x14ac:dyDescent="0.25">
      <c r="B1045" s="160">
        <v>42</v>
      </c>
      <c r="C1045" s="305" t="s">
        <v>1297</v>
      </c>
      <c r="D1045" s="84" t="s">
        <v>1372</v>
      </c>
      <c r="E1045" s="72">
        <f>SUMIF(Adat!$AG:$AG,CONCATENATE(61,Info!$D$5,"094111",L1001),Adat!$E:$E)*-1</f>
        <v>0</v>
      </c>
      <c r="F1045" s="72">
        <f>SUMIF(Adat!$AG:$AG,CONCATENATE(60,Info!$D$5,"094111",L1001),Adat!$E:$E)*-1+E1045</f>
        <v>0</v>
      </c>
      <c r="G1045" s="72">
        <f>SUMIF(Adat!$AH:$AH,CONCATENATE(Info!$D$5,"(KÖT)","094111",L1001),Adat!$E:$E)*-1</f>
        <v>0</v>
      </c>
      <c r="H1045" s="72">
        <f>SUMIF(Adat!$AH:$AH,CONCATENATE(Info!$D$5,"(ÖNV)","094111",L1001),Adat!$E:$E)*-1</f>
        <v>0</v>
      </c>
      <c r="I1045" s="72">
        <f>SUMIF(Adat!$AH:$AH,CONCATENATE(Info!$D$5,"(ÁIG)","094111",L1001),Adat!$E:$E)*-1</f>
        <v>0</v>
      </c>
    </row>
    <row r="1046" spans="2:9" x14ac:dyDescent="0.25">
      <c r="B1046" s="160">
        <v>43</v>
      </c>
      <c r="C1046" s="79" t="s">
        <v>33</v>
      </c>
      <c r="D1046" s="79" t="s">
        <v>330</v>
      </c>
      <c r="E1046" s="71">
        <f>SUM(E1047:E1051)</f>
        <v>0</v>
      </c>
      <c r="F1046" s="71">
        <f>SUM(F1047:F1051)</f>
        <v>0</v>
      </c>
      <c r="G1046" s="71">
        <f>SUM(G1047:G1051)</f>
        <v>0</v>
      </c>
      <c r="H1046" s="71">
        <f>SUM(H1047:H1051)</f>
        <v>0</v>
      </c>
      <c r="I1046" s="71">
        <f>SUM(I1047:I1051)</f>
        <v>0</v>
      </c>
    </row>
    <row r="1047" spans="2:9" x14ac:dyDescent="0.2">
      <c r="B1047" s="160">
        <v>44</v>
      </c>
      <c r="C1047" s="305" t="s">
        <v>1373</v>
      </c>
      <c r="D1047" s="82" t="s">
        <v>1374</v>
      </c>
      <c r="E1047" s="72">
        <f>SUMIF(Adat!$AG:$AG,CONCATENATE(61,Info!$D$5,"09511",L1001),Adat!$E:$E)*-1</f>
        <v>0</v>
      </c>
      <c r="F1047" s="72">
        <f>SUMIF(Adat!$AG:$AG,CONCATENATE(60,Info!$D$5,"09511",L1001),Adat!$E:$E)*-1+E1047</f>
        <v>0</v>
      </c>
      <c r="G1047" s="72">
        <f>SUMIF(Adat!$AH:$AH,CONCATENATE(Info!$D$5,"(KÖT)","09511",L1001),Adat!$E:$E)*-1</f>
        <v>0</v>
      </c>
      <c r="H1047" s="72">
        <f>SUMIF(Adat!$AH:$AH,CONCATENATE(Info!$D$5,"(ÖNV)","09511",L1001),Adat!$E:$E)*-1</f>
        <v>0</v>
      </c>
      <c r="I1047" s="72">
        <f>SUMIF(Adat!$AH:$AH,CONCATENATE(Info!$D$5,"(ÁIG)","09511",L1001),Adat!$E:$E)*-1</f>
        <v>0</v>
      </c>
    </row>
    <row r="1048" spans="2:9" x14ac:dyDescent="0.2">
      <c r="B1048" s="160">
        <v>45</v>
      </c>
      <c r="C1048" s="305" t="s">
        <v>1294</v>
      </c>
      <c r="D1048" s="82" t="s">
        <v>1375</v>
      </c>
      <c r="E1048" s="72">
        <f>SUMIF(Adat!$AG:$AG,CONCATENATE(61,Info!$D$5,"09521",L1001),Adat!$E:$E)*-1</f>
        <v>0</v>
      </c>
      <c r="F1048" s="72">
        <f>SUMIF(Adat!$AG:$AG,CONCATENATE(60,Info!$D$5,"09521",L1001),Adat!$E:$E)*-1+E1048</f>
        <v>0</v>
      </c>
      <c r="G1048" s="72">
        <f>SUMIF(Adat!$AH:$AH,CONCATENATE(Info!$D$5,"(KÖT)","09521",L1001),Adat!$E:$E)*-1</f>
        <v>0</v>
      </c>
      <c r="H1048" s="72">
        <f>SUMIF(Adat!$AH:$AH,CONCATENATE(Info!$D$5,"(ÖNV)","09521",L1001),Adat!$E:$E)*-1</f>
        <v>0</v>
      </c>
      <c r="I1048" s="72">
        <f>SUMIF(Adat!$AH:$AH,CONCATENATE(Info!$D$5,"(ÁIG)","09521",L1001),Adat!$E:$E)*-1</f>
        <v>0</v>
      </c>
    </row>
    <row r="1049" spans="2:9" x14ac:dyDescent="0.2">
      <c r="B1049" s="160">
        <v>46</v>
      </c>
      <c r="C1049" s="305" t="s">
        <v>1376</v>
      </c>
      <c r="D1049" s="82" t="s">
        <v>1377</v>
      </c>
      <c r="E1049" s="72">
        <f>SUMIF(Adat!$AG:$AG,CONCATENATE(61,Info!$D$5,"09531",L1001),Adat!$E:$E)*-1</f>
        <v>0</v>
      </c>
      <c r="F1049" s="72">
        <f>SUMIF(Adat!$AG:$AG,CONCATENATE(60,Info!$D$5,"09531",L1001),Adat!$E:$E)*-1+E1049</f>
        <v>0</v>
      </c>
      <c r="G1049" s="72">
        <f>SUMIF(Adat!$AH:$AH,CONCATENATE(Info!$D$5,"(KÖT)","09531",L1001),Adat!$E:$E)*-1</f>
        <v>0</v>
      </c>
      <c r="H1049" s="72">
        <f>SUMIF(Adat!$AH:$AH,CONCATENATE(Info!$D$5,"(ÖNV)","09531",L1001),Adat!$E:$E)*-1</f>
        <v>0</v>
      </c>
      <c r="I1049" s="72">
        <f>SUMIF(Adat!$AH:$AH,CONCATENATE(Info!$D$5,"(ÁIG)","09531",L1001),Adat!$E:$E)*-1</f>
        <v>0</v>
      </c>
    </row>
    <row r="1050" spans="2:9" x14ac:dyDescent="0.2">
      <c r="B1050" s="160">
        <v>47</v>
      </c>
      <c r="C1050" s="305" t="s">
        <v>1378</v>
      </c>
      <c r="D1050" s="82" t="s">
        <v>1379</v>
      </c>
      <c r="E1050" s="72">
        <f>SUMIF(Adat!$AG:$AG,CONCATENATE(61,Info!$D$5,"09541",L1001),Adat!$E:$E)*-1</f>
        <v>0</v>
      </c>
      <c r="F1050" s="72">
        <f>SUMIF(Adat!$AG:$AG,CONCATENATE(60,Info!$D$5,"09541",L1001),Adat!$E:$E)*-1+E1050</f>
        <v>0</v>
      </c>
      <c r="G1050" s="72">
        <f>SUMIF(Adat!$AH:$AH,CONCATENATE(Info!$D$5,"(KÖT)","09541",L1001),Adat!$E:$E)*-1</f>
        <v>0</v>
      </c>
      <c r="H1050" s="72">
        <f>SUMIF(Adat!$AH:$AH,CONCATENATE(Info!$D$5,"(ÖNV)","09541",L1001),Adat!$E:$E)*-1</f>
        <v>0</v>
      </c>
      <c r="I1050" s="72">
        <f>SUMIF(Adat!$AH:$AH,CONCATENATE(Info!$D$5,"(ÁIG)","09541",L1001),Adat!$E:$E)*-1</f>
        <v>0</v>
      </c>
    </row>
    <row r="1051" spans="2:9" x14ac:dyDescent="0.25">
      <c r="B1051" s="160">
        <v>48</v>
      </c>
      <c r="C1051" s="305" t="s">
        <v>1380</v>
      </c>
      <c r="D1051" s="84" t="s">
        <v>1381</v>
      </c>
      <c r="E1051" s="72">
        <f>SUMIF(Adat!$AG:$AG,CONCATENATE(61,Info!$D$5,"09551",L1001),Adat!$E:$E)*-1</f>
        <v>0</v>
      </c>
      <c r="F1051" s="72">
        <f>SUMIF(Adat!$AG:$AG,CONCATENATE(60,Info!$D$5,"09551",L1001),Adat!$E:$E)*-1+E1051</f>
        <v>0</v>
      </c>
      <c r="G1051" s="72">
        <f>SUMIF(Adat!$AH:$AH,CONCATENATE(Info!$D$5,"(KÖT)","09551",L1001),Adat!$E:$E)*-1</f>
        <v>0</v>
      </c>
      <c r="H1051" s="72">
        <f>SUMIF(Adat!$AH:$AH,CONCATENATE(Info!$D$5,"(ÖNV)","09551",L1001),Adat!$E:$E)*-1</f>
        <v>0</v>
      </c>
      <c r="I1051" s="72">
        <f>SUMIF(Adat!$AH:$AH,CONCATENATE(Info!$D$5,"(ÁIG)","09551",L1001),Adat!$E:$E)*-1</f>
        <v>0</v>
      </c>
    </row>
    <row r="1052" spans="2:9" x14ac:dyDescent="0.25">
      <c r="B1052" s="160">
        <v>49</v>
      </c>
      <c r="C1052" s="79" t="s">
        <v>36</v>
      </c>
      <c r="D1052" s="79" t="s">
        <v>331</v>
      </c>
      <c r="E1052" s="71">
        <f>SUM(E1053:E1057)</f>
        <v>0</v>
      </c>
      <c r="F1052" s="71">
        <f t="shared" ref="F1052:I1052" si="111">SUM(F1053:F1057)</f>
        <v>0</v>
      </c>
      <c r="G1052" s="71">
        <f t="shared" si="111"/>
        <v>0</v>
      </c>
      <c r="H1052" s="71">
        <f t="shared" si="111"/>
        <v>0</v>
      </c>
      <c r="I1052" s="71">
        <f t="shared" si="111"/>
        <v>0</v>
      </c>
    </row>
    <row r="1053" spans="2:9" x14ac:dyDescent="0.2">
      <c r="B1053" s="160">
        <v>50</v>
      </c>
      <c r="C1053" s="305" t="s">
        <v>1382</v>
      </c>
      <c r="D1053" s="82" t="s">
        <v>1383</v>
      </c>
      <c r="E1053" s="72">
        <f>SUMIF(Adat!$AG:$AG,CONCATENATE(61,Info!$D$5,"09611",L1001),Adat!$E:$E)*-1</f>
        <v>0</v>
      </c>
      <c r="F1053" s="72">
        <f>SUMIF(Adat!$AG:$AG,CONCATENATE(60,Info!$D$5,"09611",L1001),Adat!$E:$E)*-1+E1053</f>
        <v>0</v>
      </c>
      <c r="G1053" s="72">
        <f>SUMIF(Adat!$AH:$AH,CONCATENATE(Info!$D$5,"(KÖT)","09611",L1001),Adat!$E:$E)*-1</f>
        <v>0</v>
      </c>
      <c r="H1053" s="72">
        <f>SUMIF(Adat!$AH:$AH,CONCATENATE(Info!$D$5,"(ÖNV)","09611",L1001),Adat!$E:$E)*-1</f>
        <v>0</v>
      </c>
      <c r="I1053" s="72">
        <f>SUMIF(Adat!$AH:$AH,CONCATENATE(Info!$D$5,"(ÁIG)","09611",L1001),Adat!$E:$E)*-1</f>
        <v>0</v>
      </c>
    </row>
    <row r="1054" spans="2:9" x14ac:dyDescent="0.2">
      <c r="B1054" s="160">
        <v>51</v>
      </c>
      <c r="C1054" s="305" t="s">
        <v>1384</v>
      </c>
      <c r="D1054" s="82" t="s">
        <v>1385</v>
      </c>
      <c r="E1054" s="72">
        <f>SUMIF(Adat!$AG:$AG,CONCATENATE(61,Info!$D$5,"09621",L1001),Adat!$E:$E)*-1</f>
        <v>0</v>
      </c>
      <c r="F1054" s="72">
        <f>SUMIF(Adat!$AG:$AG,CONCATENATE(60,Info!$D$5,"09621",L1001),Adat!$E:$E)*-1+E1054</f>
        <v>0</v>
      </c>
      <c r="G1054" s="72">
        <f>SUMIF(Adat!$AH:$AH,CONCATENATE(Info!$D$5,"(KÖT)","09621",L1001),Adat!$E:$E)*-1</f>
        <v>0</v>
      </c>
      <c r="H1054" s="72">
        <f>SUMIF(Adat!$AH:$AH,CONCATENATE(Info!$D$5,"(ÖNV)","09621",L1001),Adat!$E:$E)*-1</f>
        <v>0</v>
      </c>
      <c r="I1054" s="72">
        <f>SUMIF(Adat!$AH:$AH,CONCATENATE(Info!$D$5,"(ÁIG)","09621",L1001),Adat!$E:$E)*-1</f>
        <v>0</v>
      </c>
    </row>
    <row r="1055" spans="2:9" x14ac:dyDescent="0.2">
      <c r="B1055" s="160">
        <v>52</v>
      </c>
      <c r="C1055" s="305" t="s">
        <v>1386</v>
      </c>
      <c r="D1055" s="82" t="s">
        <v>1387</v>
      </c>
      <c r="E1055" s="72">
        <f>SUMIF(Adat!$AG:$AG,CONCATENATE(61,Info!$D$5,"09631",L1001),Adat!$E:$E)*-1</f>
        <v>0</v>
      </c>
      <c r="F1055" s="72">
        <f>SUMIF(Adat!$AG:$AG,CONCATENATE(60,Info!$D$5,"09631",L1001),Adat!$E:$E)*-1+E1055</f>
        <v>0</v>
      </c>
      <c r="G1055" s="72">
        <f>SUMIF(Adat!$AH:$AH,CONCATENATE(Info!$D$5,"(KÖT)","09631",L1001),Adat!$E:$E)*-1</f>
        <v>0</v>
      </c>
      <c r="H1055" s="72">
        <f>SUMIF(Adat!$AH:$AH,CONCATENATE(Info!$D$5,"(ÖNV)","09631",L1001),Adat!$E:$E)*-1</f>
        <v>0</v>
      </c>
      <c r="I1055" s="72">
        <f>SUMIF(Adat!$AH:$AH,CONCATENATE(Info!$D$5,"(ÁIG)","09631",L1001),Adat!$E:$E)*-1</f>
        <v>0</v>
      </c>
    </row>
    <row r="1056" spans="2:9" x14ac:dyDescent="0.2">
      <c r="B1056" s="160">
        <v>53</v>
      </c>
      <c r="C1056" s="305" t="s">
        <v>1388</v>
      </c>
      <c r="D1056" s="82" t="s">
        <v>1389</v>
      </c>
      <c r="E1056" s="72">
        <f>SUMIF(Adat!$AG:$AG,CONCATENATE(61,Info!$D$5,"09641",L1001),Adat!$E:$E)*-1</f>
        <v>0</v>
      </c>
      <c r="F1056" s="72">
        <f>SUMIF(Adat!$AG:$AG,CONCATENATE(60,Info!$D$5,"09641",L1001),Adat!$E:$E)*-1+E1056</f>
        <v>0</v>
      </c>
      <c r="G1056" s="72">
        <f>SUMIF(Adat!$AH:$AH,CONCATENATE(Info!$D$5,"(KÖT)","09641",L1001),Adat!$E:$E)*-1</f>
        <v>0</v>
      </c>
      <c r="H1056" s="72">
        <f>SUMIF(Adat!$AH:$AH,CONCATENATE(Info!$D$5,"(ÖNV)","09641",L1001),Adat!$E:$E)*-1</f>
        <v>0</v>
      </c>
      <c r="I1056" s="72">
        <f>SUMIF(Adat!$AH:$AH,CONCATENATE(Info!$D$5,"(ÁIG)","09641",L1001),Adat!$E:$E)*-1</f>
        <v>0</v>
      </c>
    </row>
    <row r="1057" spans="2:9" x14ac:dyDescent="0.2">
      <c r="B1057" s="160">
        <v>54</v>
      </c>
      <c r="C1057" s="305" t="s">
        <v>1310</v>
      </c>
      <c r="D1057" s="82" t="s">
        <v>1390</v>
      </c>
      <c r="E1057" s="72">
        <f>SUMIF(Adat!$AG:$AG,CONCATENATE(61,Info!$D$5,"09651",L1001),Adat!$E:$E)*-1</f>
        <v>0</v>
      </c>
      <c r="F1057" s="72">
        <f>SUMIF(Adat!$AG:$AG,CONCATENATE(60,Info!$D$5,"09651",L1001),Adat!$E:$E)*-1+E1057</f>
        <v>0</v>
      </c>
      <c r="G1057" s="72">
        <f>SUMIF(Adat!$AH:$AH,CONCATENATE(Info!$D$5,"(KÖT)","09651",L1001),Adat!$E:$E)*-1</f>
        <v>0</v>
      </c>
      <c r="H1057" s="72">
        <f>SUMIF(Adat!$AH:$AH,CONCATENATE(Info!$D$5,"(ÖNV)","09651",L1001),Adat!$E:$E)*-1</f>
        <v>0</v>
      </c>
      <c r="I1057" s="72">
        <f>SUMIF(Adat!$AH:$AH,CONCATENATE(Info!$D$5,"(ÁIG)","09651",L1001),Adat!$E:$E)*-1</f>
        <v>0</v>
      </c>
    </row>
    <row r="1058" spans="2:9" x14ac:dyDescent="0.25">
      <c r="B1058" s="160">
        <v>55</v>
      </c>
      <c r="C1058" s="79" t="s">
        <v>38</v>
      </c>
      <c r="D1058" s="85" t="s">
        <v>332</v>
      </c>
      <c r="E1058" s="71">
        <f>SUM(E1059:E1063)</f>
        <v>0</v>
      </c>
      <c r="F1058" s="71">
        <f t="shared" ref="F1058:I1058" si="112">SUM(F1059:F1063)</f>
        <v>0</v>
      </c>
      <c r="G1058" s="71">
        <f t="shared" si="112"/>
        <v>0</v>
      </c>
      <c r="H1058" s="71">
        <f t="shared" si="112"/>
        <v>0</v>
      </c>
      <c r="I1058" s="71">
        <f t="shared" si="112"/>
        <v>0</v>
      </c>
    </row>
    <row r="1059" spans="2:9" x14ac:dyDescent="0.2">
      <c r="B1059" s="160">
        <v>56</v>
      </c>
      <c r="C1059" s="305" t="s">
        <v>1391</v>
      </c>
      <c r="D1059" s="82" t="s">
        <v>1392</v>
      </c>
      <c r="E1059" s="72">
        <f>SUMIF(Adat!$AG:$AG,CONCATENATE(61,Info!$D$5,"09711",L1001),Adat!$E:$E)*-1</f>
        <v>0</v>
      </c>
      <c r="F1059" s="72">
        <f>SUMIF(Adat!$AG:$AG,CONCATENATE(60,Info!$D$5,"09711",L1001),Adat!$E:$E)*-1+E1059</f>
        <v>0</v>
      </c>
      <c r="G1059" s="72">
        <f>SUMIF(Adat!$AH:$AH,CONCATENATE(Info!$D$5,"(KÖT)","09711",L1001),Adat!$E:$E)*-1</f>
        <v>0</v>
      </c>
      <c r="H1059" s="72">
        <f>SUMIF(Adat!$AH:$AH,CONCATENATE(Info!$D$5,"(ÖNV)","09711",L1001),Adat!$E:$E)*-1</f>
        <v>0</v>
      </c>
      <c r="I1059" s="72">
        <f>SUMIF(Adat!$AH:$AH,CONCATENATE(Info!$D$5,"(ÁIG)","09711",L1001),Adat!$E:$E)*-1</f>
        <v>0</v>
      </c>
    </row>
    <row r="1060" spans="2:9" x14ac:dyDescent="0.2">
      <c r="B1060" s="160">
        <v>57</v>
      </c>
      <c r="C1060" s="305" t="s">
        <v>1393</v>
      </c>
      <c r="D1060" s="82" t="s">
        <v>1394</v>
      </c>
      <c r="E1060" s="72">
        <f>SUMIF(Adat!$AG:$AG,CONCATENATE(61,Info!$D$5,"09721",L1001),Adat!$E:$E)*-1</f>
        <v>0</v>
      </c>
      <c r="F1060" s="72">
        <f>SUMIF(Adat!$AG:$AG,CONCATENATE(60,Info!$D$5,"09721",L1001),Adat!$E:$E)*-1+E1060</f>
        <v>0</v>
      </c>
      <c r="G1060" s="72">
        <f>SUMIF(Adat!$AH:$AH,CONCATENATE(Info!$D$5,"(KÖT)","09721",L1001),Adat!$E:$E)*-1</f>
        <v>0</v>
      </c>
      <c r="H1060" s="72">
        <f>SUMIF(Adat!$AH:$AH,CONCATENATE(Info!$D$5,"(ÖNV)","09721",L1001),Adat!$E:$E)*-1</f>
        <v>0</v>
      </c>
      <c r="I1060" s="72">
        <f>SUMIF(Adat!$AH:$AH,CONCATENATE(Info!$D$5,"(ÁIG)","09721",L1001),Adat!$E:$E)*-1</f>
        <v>0</v>
      </c>
    </row>
    <row r="1061" spans="2:9" x14ac:dyDescent="0.2">
      <c r="B1061" s="160">
        <v>58</v>
      </c>
      <c r="C1061" s="305" t="s">
        <v>1395</v>
      </c>
      <c r="D1061" s="82" t="s">
        <v>1396</v>
      </c>
      <c r="E1061" s="72">
        <f>SUMIF(Adat!$AG:$AG,CONCATENATE(61,Info!$D$5,"09731",L1001),Adat!$E:$E)*-1</f>
        <v>0</v>
      </c>
      <c r="F1061" s="72">
        <f>SUMIF(Adat!$AG:$AG,CONCATENATE(60,Info!$D$5,"09731",L1001),Adat!$E:$E)*-1+E1061</f>
        <v>0</v>
      </c>
      <c r="G1061" s="72">
        <f>SUMIF(Adat!$AH:$AH,CONCATENATE(Info!$D$5,"(KÖT)","09731",L1001),Adat!$E:$E)*-1</f>
        <v>0</v>
      </c>
      <c r="H1061" s="72">
        <f>SUMIF(Adat!$AH:$AH,CONCATENATE(Info!$D$5,"(ÖNV)","09731",L1001),Adat!$E:$E)*-1</f>
        <v>0</v>
      </c>
      <c r="I1061" s="72">
        <f>SUMIF(Adat!$AH:$AH,CONCATENATE(Info!$D$5,"(ÁIG)","09731",L1001),Adat!$E:$E)*-1</f>
        <v>0</v>
      </c>
    </row>
    <row r="1062" spans="2:9" x14ac:dyDescent="0.2">
      <c r="B1062" s="160">
        <v>59</v>
      </c>
      <c r="C1062" s="305" t="s">
        <v>1397</v>
      </c>
      <c r="D1062" s="82" t="s">
        <v>1398</v>
      </c>
      <c r="E1062" s="72">
        <f>SUMIF(Adat!$AG:$AG,CONCATENATE(61,Info!$D$5,"09741",L1001),Adat!$E:$E)*-1</f>
        <v>0</v>
      </c>
      <c r="F1062" s="72">
        <f>SUMIF(Adat!$AG:$AG,CONCATENATE(60,Info!$D$5,"09741",L1001),Adat!$E:$E)*-1+E1062</f>
        <v>0</v>
      </c>
      <c r="G1062" s="72">
        <f>SUMIF(Adat!$AH:$AH,CONCATENATE(Info!$D$5,"(KÖT)","09741",L1001),Adat!$E:$E)*-1</f>
        <v>0</v>
      </c>
      <c r="H1062" s="72">
        <f>SUMIF(Adat!$AH:$AH,CONCATENATE(Info!$D$5,"(ÖNV)","09741",L1001),Adat!$E:$E)*-1</f>
        <v>0</v>
      </c>
      <c r="I1062" s="72">
        <f>SUMIF(Adat!$AH:$AH,CONCATENATE(Info!$D$5,"(ÁIG)","09741",L1001),Adat!$E:$E)*-1</f>
        <v>0</v>
      </c>
    </row>
    <row r="1063" spans="2:9" x14ac:dyDescent="0.25">
      <c r="B1063" s="160">
        <v>60</v>
      </c>
      <c r="C1063" s="305" t="s">
        <v>1399</v>
      </c>
      <c r="D1063" s="84" t="s">
        <v>1400</v>
      </c>
      <c r="E1063" s="72">
        <f>SUMIF(Adat!$AG:$AG,CONCATENATE(61,Info!$D$5,"09751",L1001),Adat!$E:$E)*-1</f>
        <v>0</v>
      </c>
      <c r="F1063" s="72">
        <f>SUMIF(Adat!$AG:$AG,CONCATENATE(60,Info!$D$5,"09751",L1001),Adat!$E:$E)*-1+E1063</f>
        <v>0</v>
      </c>
      <c r="G1063" s="72">
        <f>SUMIF(Adat!$AH:$AH,CONCATENATE(Info!$D$5,"(KÖT)","09751",L1001),Adat!$E:$E)*-1</f>
        <v>0</v>
      </c>
      <c r="H1063" s="72">
        <f>SUMIF(Adat!$AH:$AH,CONCATENATE(Info!$D$5,"(ÖNV)","09751",L1001),Adat!$E:$E)*-1</f>
        <v>0</v>
      </c>
      <c r="I1063" s="72">
        <f>SUMIF(Adat!$AH:$AH,CONCATENATE(Info!$D$5,"(ÁIG)","09751",L1001),Adat!$E:$E)*-1</f>
        <v>0</v>
      </c>
    </row>
    <row r="1064" spans="2:9" x14ac:dyDescent="0.25">
      <c r="B1064" s="160">
        <v>61</v>
      </c>
      <c r="C1064" s="78" t="s">
        <v>352</v>
      </c>
      <c r="D1064" s="86" t="s">
        <v>1401</v>
      </c>
      <c r="E1064" s="71">
        <f>+E1005+E1013+E1019+E1025+E1032+E1046+E1052+E1058</f>
        <v>0</v>
      </c>
      <c r="F1064" s="71">
        <f>+F1005+F1013+F1019+F1025+F1032+F1046+F1052+F1058</f>
        <v>0</v>
      </c>
      <c r="G1064" s="71">
        <f>+G1005+G1013+G1019+G1025+G1032+G1046+G1052+G1058</f>
        <v>0</v>
      </c>
      <c r="H1064" s="71">
        <f>+H1005+H1013+H1019+H1025+H1032+H1046+H1052+H1058</f>
        <v>0</v>
      </c>
      <c r="I1064" s="71">
        <f>+I1005+I1013+I1019+I1025+I1032+I1046+I1052+I1058</f>
        <v>0</v>
      </c>
    </row>
    <row r="1065" spans="2:9" x14ac:dyDescent="0.25">
      <c r="B1065" s="160">
        <v>62</v>
      </c>
      <c r="C1065" s="154" t="s">
        <v>1402</v>
      </c>
      <c r="D1065" s="85" t="s">
        <v>1403</v>
      </c>
      <c r="E1065" s="71">
        <f t="shared" ref="E1065:G1065" si="113">SUM(E1066:E1068)</f>
        <v>0</v>
      </c>
      <c r="F1065" s="71">
        <f t="shared" si="113"/>
        <v>0</v>
      </c>
      <c r="G1065" s="71">
        <f t="shared" si="113"/>
        <v>0</v>
      </c>
      <c r="H1065" s="71">
        <f>SUM(H1066:H1068)</f>
        <v>0</v>
      </c>
      <c r="I1065" s="71">
        <f>SUM(I1066:I1068)</f>
        <v>0</v>
      </c>
    </row>
    <row r="1066" spans="2:9" x14ac:dyDescent="0.2">
      <c r="B1066" s="160">
        <v>63</v>
      </c>
      <c r="C1066" s="305" t="s">
        <v>1404</v>
      </c>
      <c r="D1066" s="82" t="s">
        <v>1405</v>
      </c>
      <c r="E1066" s="72">
        <f>SUMIF(Adat!$AG:$AG,CONCATENATE(61,Info!$D$5,"0981111",L1001),Adat!$E:$E)*-1</f>
        <v>0</v>
      </c>
      <c r="F1066" s="72">
        <f>SUMIF(Adat!$AG:$AG,CONCATENATE(60,Info!$D$5,"0981111",L1001),Adat!$E:$E)*-1+E1066</f>
        <v>0</v>
      </c>
      <c r="G1066" s="72">
        <f>SUMIF(Adat!$AH:$AH,CONCATENATE(Info!$D$5,"(KÖT)","0981111",L1001),Adat!$E:$E)*-1</f>
        <v>0</v>
      </c>
      <c r="H1066" s="72">
        <f>SUMIF(Adat!$AH:$AH,CONCATENATE(Info!$D$5,"(ÖNV)","0981111",L1001),Adat!$E:$E)*-1</f>
        <v>0</v>
      </c>
      <c r="I1066" s="72">
        <f>SUMIF(Adat!$AH:$AH,CONCATENATE(Info!$D$5,"(ÁIG)","0981111",L1001),Adat!$E:$E)*-1</f>
        <v>0</v>
      </c>
    </row>
    <row r="1067" spans="2:9" x14ac:dyDescent="0.2">
      <c r="B1067" s="160">
        <v>64</v>
      </c>
      <c r="C1067" s="305" t="s">
        <v>1406</v>
      </c>
      <c r="D1067" s="82" t="s">
        <v>1407</v>
      </c>
      <c r="E1067" s="72">
        <f>SUMIF(Adat!$AG:$AG,CONCATENATE(61,Info!$D$5,"0981121",L1001),Adat!$E:$E)*-1</f>
        <v>0</v>
      </c>
      <c r="F1067" s="72">
        <f>SUMIF(Adat!$AG:$AG,CONCATENATE(60,Info!$D$5,"0981121",L1001),Adat!$E:$E)*-1+E1067</f>
        <v>0</v>
      </c>
      <c r="G1067" s="72">
        <f>SUMIF(Adat!$AH:$AH,CONCATENATE(Info!$D$5,"(KÖT)","0981121",L1001),Adat!$E:$E)*-1</f>
        <v>0</v>
      </c>
      <c r="H1067" s="72">
        <f>SUMIF(Adat!$AH:$AH,CONCATENATE(Info!$D$5,"(ÖNV)","0981121",L1001),Adat!$E:$E)*-1</f>
        <v>0</v>
      </c>
      <c r="I1067" s="72">
        <f>SUMIF(Adat!$AH:$AH,CONCATENATE(Info!$D$5,"(ÁIG)","0981121",L1001),Adat!$E:$E)*-1</f>
        <v>0</v>
      </c>
    </row>
    <row r="1068" spans="2:9" x14ac:dyDescent="0.2">
      <c r="B1068" s="160">
        <v>65</v>
      </c>
      <c r="C1068" s="305" t="s">
        <v>1408</v>
      </c>
      <c r="D1068" s="82" t="s">
        <v>1409</v>
      </c>
      <c r="E1068" s="72">
        <f>SUMIF(Adat!$AG:$AG,CONCATENATE(61,Info!$D$5,"0981131",L1001),Adat!$E:$E)*-1</f>
        <v>0</v>
      </c>
      <c r="F1068" s="72">
        <f>SUMIF(Adat!$AG:$AG,CONCATENATE(60,Info!$D$5,"0981131",L1001),Adat!$E:$E)*-1+E1068</f>
        <v>0</v>
      </c>
      <c r="G1068" s="72">
        <f>SUMIF(Adat!$AH:$AH,CONCATENATE(Info!$D$5,"(KÖT)","0981131",L1001),Adat!$E:$E)*-1</f>
        <v>0</v>
      </c>
      <c r="H1068" s="72">
        <f>SUMIF(Adat!$AH:$AH,CONCATENATE(Info!$D$5,"(ÖNV)","0981131",L1001),Adat!$E:$E)*-1</f>
        <v>0</v>
      </c>
      <c r="I1068" s="72">
        <f>SUMIF(Adat!$AH:$AH,CONCATENATE(Info!$D$5,"(ÁIG)","0981131",L1001),Adat!$E:$E)*-1</f>
        <v>0</v>
      </c>
    </row>
    <row r="1069" spans="2:9" x14ac:dyDescent="0.25">
      <c r="B1069" s="160">
        <v>66</v>
      </c>
      <c r="C1069" s="154" t="s">
        <v>1410</v>
      </c>
      <c r="D1069" s="85" t="s">
        <v>574</v>
      </c>
      <c r="E1069" s="71">
        <f>SUM(E1070:E1073)</f>
        <v>0</v>
      </c>
      <c r="F1069" s="71">
        <f t="shared" ref="F1069" si="114">SUM(F1070:F1073)</f>
        <v>0</v>
      </c>
      <c r="G1069" s="71">
        <f>SUM(G1070:G1073)</f>
        <v>0</v>
      </c>
      <c r="H1069" s="71">
        <f>SUM(H1070:H1073)</f>
        <v>0</v>
      </c>
      <c r="I1069" s="71">
        <f>SUM(I1070:I1073)</f>
        <v>0</v>
      </c>
    </row>
    <row r="1070" spans="2:9" x14ac:dyDescent="0.2">
      <c r="B1070" s="160">
        <v>67</v>
      </c>
      <c r="C1070" s="305" t="s">
        <v>1411</v>
      </c>
      <c r="D1070" s="82" t="s">
        <v>1412</v>
      </c>
      <c r="E1070" s="72">
        <f>SUMIF(Adat!$AG:$AG,CONCATENATE(61,Info!$D$5,"0981211",L1001),Adat!$E:$E)*-1</f>
        <v>0</v>
      </c>
      <c r="F1070" s="72">
        <f>SUMIF(Adat!$AG:$AG,CONCATENATE(60,Info!$D$5,"0981211",L1001),Adat!$E:$E)*-1+E1070</f>
        <v>0</v>
      </c>
      <c r="G1070" s="72">
        <f>SUMIF(Adat!$AH:$AH,CONCATENATE(Info!$D$5,"(KÖT)","0981211",L1001),Adat!$E:$E)*-1</f>
        <v>0</v>
      </c>
      <c r="H1070" s="72">
        <f>SUMIF(Adat!$AH:$AH,CONCATENATE(Info!$D$5,"(ÖNV)","0981211",L1001),Adat!$E:$E)*-1</f>
        <v>0</v>
      </c>
      <c r="I1070" s="72">
        <f>SUMIF(Adat!$AH:$AH,CONCATENATE(Info!$D$5,"(ÁIG)","0981211",L1001),Adat!$E:$E)*-1</f>
        <v>0</v>
      </c>
    </row>
    <row r="1071" spans="2:9" x14ac:dyDescent="0.2">
      <c r="B1071" s="160">
        <v>68</v>
      </c>
      <c r="C1071" s="305" t="s">
        <v>1413</v>
      </c>
      <c r="D1071" s="82" t="s">
        <v>1414</v>
      </c>
      <c r="E1071" s="72">
        <f>SUMIF(Adat!$AG:$AG,CONCATENATE(61,Info!$D$5,"0981221",L1001),Adat!$E:$E)*-1</f>
        <v>0</v>
      </c>
      <c r="F1071" s="72">
        <f>SUMIF(Adat!$AG:$AG,CONCATENATE(60,Info!$D$5,"0981221",L1001),Adat!$E:$E)*-1+E1071</f>
        <v>0</v>
      </c>
      <c r="G1071" s="72">
        <f>SUMIF(Adat!$AH:$AH,CONCATENATE(Info!$D$5,"(KÖT)","0981221",L1001),Adat!$E:$E)*-1</f>
        <v>0</v>
      </c>
      <c r="H1071" s="72">
        <f>SUMIF(Adat!$AH:$AH,CONCATENATE(Info!$D$5,"(ÖNV)","0981221",L1001),Adat!$E:$E)*-1</f>
        <v>0</v>
      </c>
      <c r="I1071" s="72">
        <f>SUMIF(Adat!$AH:$AH,CONCATENATE(Info!$D$5,"(ÁIG)","0981221",L1001),Adat!$E:$E)*-1</f>
        <v>0</v>
      </c>
    </row>
    <row r="1072" spans="2:9" x14ac:dyDescent="0.2">
      <c r="B1072" s="160">
        <v>69</v>
      </c>
      <c r="C1072" s="305" t="s">
        <v>1313</v>
      </c>
      <c r="D1072" s="82" t="s">
        <v>1415</v>
      </c>
      <c r="E1072" s="72">
        <f>SUMIF(Adat!$AG:$AG,CONCATENATE(61,Info!$D$5,"0981231",L1001),Adat!$E:$E)*-1</f>
        <v>0</v>
      </c>
      <c r="F1072" s="72">
        <f>SUMIF(Adat!$AG:$AG,CONCATENATE(60,Info!$D$5,"0981231",L1001),Adat!$E:$E)*-1+E1072</f>
        <v>0</v>
      </c>
      <c r="G1072" s="72">
        <f>SUMIF(Adat!$AH:$AH,CONCATENATE(Info!$D$5,"(KÖT)","0981231",L1001),Adat!$E:$E)*-1</f>
        <v>0</v>
      </c>
      <c r="H1072" s="72">
        <f>SUMIF(Adat!$AH:$AH,CONCATENATE(Info!$D$5,"(ÖNV)","0981231",L1001),Adat!$E:$E)*-1</f>
        <v>0</v>
      </c>
      <c r="I1072" s="72">
        <f>SUMIF(Adat!$AH:$AH,CONCATENATE(Info!$D$5,"(ÁIG)","0981231",L1001),Adat!$E:$E)*-1</f>
        <v>0</v>
      </c>
    </row>
    <row r="1073" spans="2:9" x14ac:dyDescent="0.25">
      <c r="B1073" s="160">
        <v>70</v>
      </c>
      <c r="C1073" s="305" t="s">
        <v>1416</v>
      </c>
      <c r="D1073" s="84" t="s">
        <v>1417</v>
      </c>
      <c r="E1073" s="72">
        <f>SUMIF(Adat!$AG:$AG,CONCATENATE(61,Info!$D$5,"0981241",L1001),Adat!$E:$E)*-1</f>
        <v>0</v>
      </c>
      <c r="F1073" s="72">
        <f>SUMIF(Adat!$AG:$AG,CONCATENATE(60,Info!$D$5,"0981241",L1001),Adat!$E:$E)*-1+E1073</f>
        <v>0</v>
      </c>
      <c r="G1073" s="72">
        <f>SUMIF(Adat!$AH:$AH,CONCATENATE(Info!$D$5,"(KÖT)","0981241",L1001),Adat!$E:$E)*-1</f>
        <v>0</v>
      </c>
      <c r="H1073" s="72">
        <f>SUMIF(Adat!$AH:$AH,CONCATENATE(Info!$D$5,"(ÖNV)","0981241",L1001),Adat!$E:$E)*-1</f>
        <v>0</v>
      </c>
      <c r="I1073" s="72">
        <f>SUMIF(Adat!$AH:$AH,CONCATENATE(Info!$D$5,"(ÁIG)","0981241",L1001),Adat!$E:$E)*-1</f>
        <v>0</v>
      </c>
    </row>
    <row r="1074" spans="2:9" x14ac:dyDescent="0.25">
      <c r="B1074" s="160">
        <v>71</v>
      </c>
      <c r="C1074" s="154" t="s">
        <v>1418</v>
      </c>
      <c r="D1074" s="85" t="s">
        <v>575</v>
      </c>
      <c r="E1074" s="71">
        <f>SUM(E1075:E1076)</f>
        <v>0</v>
      </c>
      <c r="F1074" s="71">
        <f t="shared" ref="F1074" si="115">SUM(F1075:F1076)</f>
        <v>0</v>
      </c>
      <c r="G1074" s="71">
        <f>SUM(G1075:G1076)</f>
        <v>0</v>
      </c>
      <c r="H1074" s="71">
        <f>SUM(H1075:H1076)</f>
        <v>0</v>
      </c>
      <c r="I1074" s="71">
        <f>SUM(I1075:I1076)</f>
        <v>0</v>
      </c>
    </row>
    <row r="1075" spans="2:9" x14ac:dyDescent="0.2">
      <c r="B1075" s="160">
        <v>72</v>
      </c>
      <c r="C1075" s="305" t="s">
        <v>1274</v>
      </c>
      <c r="D1075" s="82" t="s">
        <v>1419</v>
      </c>
      <c r="E1075" s="72">
        <f>SUMIF(Adat!$AG:$AG,CONCATENATE(61,Info!$D$5,"0981311",L1001),Adat!$E:$E)*-1</f>
        <v>0</v>
      </c>
      <c r="F1075" s="72">
        <f>SUMIF(Adat!$AG:$AG,CONCATENATE(60,Info!$D$5,"0981311",L1001),Adat!$E:$E)*-1+E1075</f>
        <v>0</v>
      </c>
      <c r="G1075" s="72">
        <f>SUMIF(Adat!$AH:$AH,CONCATENATE(Info!$D$5,"(KÖT)","0981311",L1001),Adat!$E:$E)*-1</f>
        <v>0</v>
      </c>
      <c r="H1075" s="72">
        <f>SUMIF(Adat!$AH:$AH,CONCATENATE(Info!$D$5,"(ÖNV)","0981311",L1001),Adat!$E:$E)*-1</f>
        <v>0</v>
      </c>
      <c r="I1075" s="72">
        <f>SUMIF(Adat!$AH:$AH,CONCATENATE(Info!$D$5,"(ÁIG)","0981311",L1001),Adat!$E:$E)*-1</f>
        <v>0</v>
      </c>
    </row>
    <row r="1076" spans="2:9" x14ac:dyDescent="0.25">
      <c r="B1076" s="160">
        <v>73</v>
      </c>
      <c r="C1076" s="305" t="s">
        <v>1420</v>
      </c>
      <c r="D1076" s="84" t="s">
        <v>1421</v>
      </c>
      <c r="E1076" s="72">
        <f>SUMIF(Adat!$AG:$AG,CONCATENATE(61,Info!$D$5,"0981321",L1001),Adat!$E:$E)*-1</f>
        <v>0</v>
      </c>
      <c r="F1076" s="72">
        <f>SUMIF(Adat!$AG:$AG,CONCATENATE(60,Info!$D$5,"0981321",L1001),Adat!$E:$E)*-1+E1076</f>
        <v>0</v>
      </c>
      <c r="G1076" s="72">
        <f>SUMIF(Adat!$AH:$AH,CONCATENATE(Info!$D$5,"(KÖT)","0981321",L1001),Adat!$E:$E)*-1</f>
        <v>0</v>
      </c>
      <c r="H1076" s="72">
        <f>SUMIF(Adat!$AH:$AH,CONCATENATE(Info!$D$5,"(ÖNV)","0981321",L1001),Adat!$E:$E)*-1</f>
        <v>0</v>
      </c>
      <c r="I1076" s="72">
        <f>SUMIF(Adat!$AH:$AH,CONCATENATE(Info!$D$5,"(ÁIG)","0981321",L1001),Adat!$E:$E)*-1</f>
        <v>0</v>
      </c>
    </row>
    <row r="1077" spans="2:9" s="42" customFormat="1" x14ac:dyDescent="0.25">
      <c r="B1077" s="160">
        <v>74</v>
      </c>
      <c r="C1077" s="154" t="s">
        <v>1496</v>
      </c>
      <c r="D1077" s="85" t="s">
        <v>576</v>
      </c>
      <c r="E1077" s="71">
        <f>SUM(E1078:E1080)</f>
        <v>0</v>
      </c>
      <c r="F1077" s="71">
        <f t="shared" ref="F1077" si="116">SUM(F1078:F1080)</f>
        <v>0</v>
      </c>
      <c r="G1077" s="71">
        <f>SUM(G1078:G1080)</f>
        <v>0</v>
      </c>
      <c r="H1077" s="71">
        <f>SUM(H1078:H1080)</f>
        <v>0</v>
      </c>
      <c r="I1077" s="71">
        <f>SUM(I1078:I1080)</f>
        <v>0</v>
      </c>
    </row>
    <row r="1078" spans="2:9" x14ac:dyDescent="0.2">
      <c r="B1078" s="160">
        <v>75</v>
      </c>
      <c r="C1078" s="305" t="s">
        <v>1301</v>
      </c>
      <c r="D1078" s="82" t="s">
        <v>1422</v>
      </c>
      <c r="E1078" s="72">
        <f>SUMIF(Adat!$AG:$AG,CONCATENATE(61,Info!$D$5,"098141",L1001),Adat!$E:$E)*-1</f>
        <v>0</v>
      </c>
      <c r="F1078" s="72">
        <f>SUMIF(Adat!$AG:$AG,CONCATENATE(60,Info!$D$5,"098141",L1001),Adat!$E:$E)*-1+E1078</f>
        <v>0</v>
      </c>
      <c r="G1078" s="72">
        <f>SUMIF(Adat!$AH:$AH,CONCATENATE(Info!$D$5,"(KÖT)","098141",L1001),Adat!$E:$E)*-1</f>
        <v>0</v>
      </c>
      <c r="H1078" s="72">
        <f>SUMIF(Adat!$AH:$AH,CONCATENATE(Info!$D$5,"(ÖNV)","098141",L1001),Adat!$E:$E)*-1</f>
        <v>0</v>
      </c>
      <c r="I1078" s="72">
        <f>SUMIF(Adat!$AH:$AH,CONCATENATE(Info!$D$5,"(ÁIG)","098141",L1001),Adat!$E:$E)*-1</f>
        <v>0</v>
      </c>
    </row>
    <row r="1079" spans="2:9" x14ac:dyDescent="0.2">
      <c r="B1079" s="160">
        <v>76</v>
      </c>
      <c r="C1079" s="305" t="s">
        <v>1423</v>
      </c>
      <c r="D1079" s="82" t="s">
        <v>1424</v>
      </c>
      <c r="E1079" s="72">
        <f>SUMIF(Adat!$AG:$AG,CONCATENATE(61,Info!$D$5,"098151",L1001),Adat!$E:$E)*-1</f>
        <v>0</v>
      </c>
      <c r="F1079" s="72">
        <f>SUMIF(Adat!$AG:$AG,CONCATENATE(60,Info!$D$5,"098151",L1001),Adat!$E:$E)*-1+E1079</f>
        <v>0</v>
      </c>
      <c r="G1079" s="72">
        <f>SUMIF(Adat!$AH:$AH,CONCATENATE(Info!$D$5,"(KÖT)","098151",L1001),Adat!$E:$E)*-1</f>
        <v>0</v>
      </c>
      <c r="H1079" s="72">
        <f>SUMIF(Adat!$AH:$AH,CONCATENATE(Info!$D$5,"(ÖNV)","098151",L1001),Adat!$E:$E)*-1</f>
        <v>0</v>
      </c>
      <c r="I1079" s="72">
        <f>SUMIF(Adat!$AH:$AH,CONCATENATE(Info!$D$5,"(ÁIG)","098151",L1001),Adat!$E:$E)*-1</f>
        <v>0</v>
      </c>
    </row>
    <row r="1080" spans="2:9" x14ac:dyDescent="0.25">
      <c r="B1080" s="160">
        <v>77</v>
      </c>
      <c r="C1080" s="305" t="s">
        <v>1425</v>
      </c>
      <c r="D1080" s="84" t="s">
        <v>1426</v>
      </c>
      <c r="E1080" s="72">
        <f>SUMIF(Adat!$AG:$AG,CONCATENATE(61,Info!$D$5,"098171",L1001),Adat!$E:$E)*-1</f>
        <v>0</v>
      </c>
      <c r="F1080" s="72">
        <f>SUMIF(Adat!$AG:$AG,CONCATENATE(60,Info!$D$5,"098171",L1001),Adat!$E:$E)*-1+E1080</f>
        <v>0</v>
      </c>
      <c r="G1080" s="72">
        <f>SUMIF(Adat!$AH:$AH,CONCATENATE(Info!$D$5,"(KÖT)","098171",L1001),Adat!$E:$E)*-1</f>
        <v>0</v>
      </c>
      <c r="H1080" s="72">
        <f>SUMIF(Adat!$AH:$AH,CONCATENATE(Info!$D$5,"(ÖNV)","098171",L1001),Adat!$E:$E)*-1</f>
        <v>0</v>
      </c>
      <c r="I1080" s="72">
        <f>SUMIF(Adat!$AH:$AH,CONCATENATE(Info!$D$5,"(ÁIG)","098171",L1001),Adat!$E:$E)*-1</f>
        <v>0</v>
      </c>
    </row>
    <row r="1081" spans="2:9" x14ac:dyDescent="0.25">
      <c r="B1081" s="160">
        <v>78</v>
      </c>
      <c r="C1081" s="154" t="s">
        <v>1427</v>
      </c>
      <c r="D1081" s="85" t="s">
        <v>577</v>
      </c>
      <c r="E1081" s="71">
        <f>SUM(E1082:E1086)</f>
        <v>0</v>
      </c>
      <c r="F1081" s="71">
        <f t="shared" ref="F1081" si="117">SUM(F1082:F1086)</f>
        <v>0</v>
      </c>
      <c r="G1081" s="71">
        <f>SUM(G1082:G1086)</f>
        <v>0</v>
      </c>
      <c r="H1081" s="71">
        <f>SUM(H1082:H1086)</f>
        <v>0</v>
      </c>
      <c r="I1081" s="71">
        <f>SUM(I1082:I1086)</f>
        <v>0</v>
      </c>
    </row>
    <row r="1082" spans="2:9" x14ac:dyDescent="0.2">
      <c r="B1082" s="160">
        <v>79</v>
      </c>
      <c r="C1082" s="89" t="s">
        <v>1428</v>
      </c>
      <c r="D1082" s="82" t="s">
        <v>1429</v>
      </c>
      <c r="E1082" s="72">
        <f>SUMIF(Adat!$AG:$AG,CONCATENATE(61,Info!$D$5,"098211",L1001),Adat!$E:$E)*-1</f>
        <v>0</v>
      </c>
      <c r="F1082" s="72">
        <f>SUMIF(Adat!$AG:$AG,CONCATENATE(60,Info!$D$5,"098211",L1001),Adat!$E:$E)*-1+E1082</f>
        <v>0</v>
      </c>
      <c r="G1082" s="72">
        <f>SUMIF(Adat!$AH:$AH,CONCATENATE(Info!$D$5,"(KÖT)","098211",L1001),Adat!$E:$E)*-1</f>
        <v>0</v>
      </c>
      <c r="H1082" s="72">
        <f>SUMIF(Adat!$AH:$AH,CONCATENATE(Info!$D$5,"(ÖNV)","098211",L1001),Adat!$E:$E)*-1</f>
        <v>0</v>
      </c>
      <c r="I1082" s="72">
        <f>SUMIF(Adat!$AH:$AH,CONCATENATE(Info!$D$5,"(ÁIG)","098211",L1001),Adat!$E:$E)*-1</f>
        <v>0</v>
      </c>
    </row>
    <row r="1083" spans="2:9" x14ac:dyDescent="0.2">
      <c r="B1083" s="160">
        <v>80</v>
      </c>
      <c r="C1083" s="89" t="s">
        <v>1430</v>
      </c>
      <c r="D1083" s="82" t="s">
        <v>1431</v>
      </c>
      <c r="E1083" s="72">
        <f>SUMIF(Adat!$AG:$AG,CONCATENATE(61,Info!$D$5,"098221",L1001),Adat!$E:$E)*-1</f>
        <v>0</v>
      </c>
      <c r="F1083" s="72">
        <f>SUMIF(Adat!$AG:$AG,CONCATENATE(60,Info!$D$5,"098221",L1001),Adat!$E:$E)*-1+E1083</f>
        <v>0</v>
      </c>
      <c r="G1083" s="72">
        <f>SUMIF(Adat!$AH:$AH,CONCATENATE(Info!$D$5,"(KÖT)","098221",L1001),Adat!$E:$E)*-1</f>
        <v>0</v>
      </c>
      <c r="H1083" s="72">
        <f>SUMIF(Adat!$AH:$AH,CONCATENATE(Info!$D$5,"(ÖNV)","098221",L1001),Adat!$E:$E)*-1</f>
        <v>0</v>
      </c>
      <c r="I1083" s="72">
        <f>SUMIF(Adat!$AH:$AH,CONCATENATE(Info!$D$5,"(ÁIG)","098221",L1001),Adat!$E:$E)*-1</f>
        <v>0</v>
      </c>
    </row>
    <row r="1084" spans="2:9" x14ac:dyDescent="0.2">
      <c r="B1084" s="160">
        <v>81</v>
      </c>
      <c r="C1084" s="89" t="s">
        <v>1432</v>
      </c>
      <c r="D1084" s="82" t="s">
        <v>1433</v>
      </c>
      <c r="E1084" s="72">
        <f>SUMIF(Adat!$AG:$AG,CONCATENATE(61,Info!$D$5,"098231",L1001),Adat!$E:$E)*-1</f>
        <v>0</v>
      </c>
      <c r="F1084" s="72">
        <f>SUMIF(Adat!$AG:$AG,CONCATENATE(60,Info!$D$5,"098231",L1001),Adat!$E:$E)*-1+E1084</f>
        <v>0</v>
      </c>
      <c r="G1084" s="72">
        <f>SUMIF(Adat!$AH:$AH,CONCATENATE(Info!$D$5,"(KÖT)","098231",L1001),Adat!$E:$E)*-1</f>
        <v>0</v>
      </c>
      <c r="H1084" s="72">
        <f>SUMIF(Adat!$AH:$AH,CONCATENATE(Info!$D$5,"(ÖNV)","098231",L1001),Adat!$E:$E)*-1</f>
        <v>0</v>
      </c>
      <c r="I1084" s="72">
        <f>SUMIF(Adat!$AH:$AH,CONCATENATE(Info!$D$5,"(ÁIG)","098231",L1001),Adat!$E:$E)*-1</f>
        <v>0</v>
      </c>
    </row>
    <row r="1085" spans="2:9" x14ac:dyDescent="0.2">
      <c r="B1085" s="160">
        <v>82</v>
      </c>
      <c r="C1085" s="89" t="s">
        <v>1434</v>
      </c>
      <c r="D1085" s="82" t="s">
        <v>1435</v>
      </c>
      <c r="E1085" s="72">
        <f>SUMIF(Adat!$AG:$AG,CONCATENATE(61,Info!$D$5,"098241",L1001),Adat!$E:$E)*-1</f>
        <v>0</v>
      </c>
      <c r="F1085" s="72">
        <f>SUMIF(Adat!$AG:$AG,CONCATENATE(60,Info!$D$5,"098241",L1001),Adat!$E:$E)*-1+E1085</f>
        <v>0</v>
      </c>
      <c r="G1085" s="72">
        <f>SUMIF(Adat!$AH:$AH,CONCATENATE(Info!$D$5,"(KÖT)","098241",L1001),Adat!$E:$E)*-1</f>
        <v>0</v>
      </c>
      <c r="H1085" s="72">
        <f>SUMIF(Adat!$AH:$AH,CONCATENATE(Info!$D$5,"(ÖNV)","098241",L1001),Adat!$E:$E)*-1</f>
        <v>0</v>
      </c>
      <c r="I1085" s="72">
        <f>SUMIF(Adat!$AH:$AH,CONCATENATE(Info!$D$5,"(ÁIG)","098241",L1001),Adat!$E:$E)*-1</f>
        <v>0</v>
      </c>
    </row>
    <row r="1086" spans="2:9" s="42" customFormat="1" x14ac:dyDescent="0.2">
      <c r="B1086" s="160">
        <v>83</v>
      </c>
      <c r="C1086" s="89" t="s">
        <v>1436</v>
      </c>
      <c r="D1086" s="84" t="s">
        <v>1437</v>
      </c>
      <c r="E1086" s="72">
        <f>SUMIF(Adat!$AG:$AG,CONCATENATE(61,Info!$D$5,"098251",L1001),Adat!$E:$E)*-1</f>
        <v>0</v>
      </c>
      <c r="F1086" s="72">
        <f>SUMIF(Adat!$AG:$AG,CONCATENATE(60,Info!$D$5,"098251",L1001),Adat!$E:$E)*-1+E1086</f>
        <v>0</v>
      </c>
      <c r="G1086" s="72">
        <f>SUMIF(Adat!$AH:$AH,CONCATENATE(Info!$D$5,"(KÖT)","098251",L1001),Adat!$E:$E)*-1</f>
        <v>0</v>
      </c>
      <c r="H1086" s="72">
        <f>SUMIF(Adat!$AH:$AH,CONCATENATE(Info!$D$5,"(ÖNV)","098251",L1001),Adat!$E:$E)*-1</f>
        <v>0</v>
      </c>
      <c r="I1086" s="72">
        <f>SUMIF(Adat!$AH:$AH,CONCATENATE(Info!$D$5,"(ÁIG)","098251",L1001),Adat!$E:$E)*-1</f>
        <v>0</v>
      </c>
    </row>
    <row r="1087" spans="2:9" s="42" customFormat="1" x14ac:dyDescent="0.2">
      <c r="B1087" s="160">
        <v>84</v>
      </c>
      <c r="C1087" s="309" t="s">
        <v>1438</v>
      </c>
      <c r="D1087" s="85" t="s">
        <v>1439</v>
      </c>
      <c r="E1087" s="71">
        <f>SUMIF(Adat!$AG:$AG,CONCATENATE(61,Info!$D$5,"09831",L1001),Adat!$E:$E)*-1</f>
        <v>0</v>
      </c>
      <c r="F1087" s="71">
        <f>SUMIF(Adat!$AG:$AG,CONCATENATE(60,Info!$D$5,"09831",L1001),Adat!$E:$E)*-1+E1087</f>
        <v>0</v>
      </c>
      <c r="G1087" s="71">
        <f>SUMIF(Adat!$AH:$AH,CONCATENATE(Info!$D$5,"(KÖT)","09831",L1001),Adat!$E:$E)*-1</f>
        <v>0</v>
      </c>
      <c r="H1087" s="71">
        <f>SUMIF(Adat!$AH:$AH,CONCATENATE(Info!$D$5,"(ÖNV)","09831",L1001),Adat!$E:$E)*-1</f>
        <v>0</v>
      </c>
      <c r="I1087" s="71">
        <f>SUMIF(Adat!$AH:$AH,CONCATENATE(Info!$D$5,"(ÁIG)","09831",L1001),Adat!$E:$E)*-1</f>
        <v>0</v>
      </c>
    </row>
    <row r="1088" spans="2:9" s="42" customFormat="1" x14ac:dyDescent="0.25">
      <c r="B1088" s="160">
        <v>85</v>
      </c>
      <c r="C1088" s="154" t="s">
        <v>1440</v>
      </c>
      <c r="D1088" s="85" t="s">
        <v>1441</v>
      </c>
      <c r="E1088" s="71">
        <f>SUMIF(Adat!$AG:$AG,CONCATENATE(61,Info!$D$5,"09841",L1001),Adat!$E:$E)*-1</f>
        <v>0</v>
      </c>
      <c r="F1088" s="71">
        <f>SUMIF(Adat!$AG:$AG,CONCATENATE(60,Info!$D$5,"09841",L1001),Adat!$E:$E)*-1+E1088</f>
        <v>0</v>
      </c>
      <c r="G1088" s="71">
        <f>SUMIF(Adat!$AH:$AH,CONCATENATE(Info!$D$5,"(KÖT)","09841",L1001),Adat!$E:$E)*-1</f>
        <v>0</v>
      </c>
      <c r="H1088" s="71">
        <f>SUMIF(Adat!$AH:$AH,CONCATENATE(Info!$D$5,"(ÖNV)","09841",L1001),Adat!$E:$E)*-1</f>
        <v>0</v>
      </c>
      <c r="I1088" s="71">
        <f>SUMIF(Adat!$AH:$AH,CONCATENATE(Info!$D$5,"(ÁIG)","09841",L1001),Adat!$E:$E)*-1</f>
        <v>0</v>
      </c>
    </row>
    <row r="1089" spans="2:12" s="42" customFormat="1" x14ac:dyDescent="0.25">
      <c r="B1089" s="160">
        <v>86</v>
      </c>
      <c r="C1089" s="154" t="s">
        <v>358</v>
      </c>
      <c r="D1089" s="87" t="s">
        <v>1442</v>
      </c>
      <c r="E1089" s="71">
        <f>+E1065+E1069+E1074+E1077+E1081+E1088+E1087</f>
        <v>0</v>
      </c>
      <c r="F1089" s="71">
        <f t="shared" ref="F1089" si="118">+F1065+F1069+F1074+F1077+F1081+F1088+F1087</f>
        <v>0</v>
      </c>
      <c r="G1089" s="71">
        <f>+G1065+G1069+G1074+G1077+G1081+G1088+G1087</f>
        <v>0</v>
      </c>
      <c r="H1089" s="71">
        <f>+H1065+H1069+H1074+H1077+H1081+H1088+H1087</f>
        <v>0</v>
      </c>
      <c r="I1089" s="71">
        <f>+I1065+I1069+I1074+I1077+I1081+I1088+I1087</f>
        <v>0</v>
      </c>
    </row>
    <row r="1090" spans="2:12" s="42" customFormat="1" x14ac:dyDescent="0.25">
      <c r="B1090" s="160">
        <v>87</v>
      </c>
      <c r="C1090" s="154" t="s">
        <v>364</v>
      </c>
      <c r="D1090" s="87" t="s">
        <v>1497</v>
      </c>
      <c r="E1090" s="71">
        <f>+E1064+E1089</f>
        <v>0</v>
      </c>
      <c r="F1090" s="71">
        <f t="shared" ref="F1090" si="119">+F1064+F1089</f>
        <v>0</v>
      </c>
      <c r="G1090" s="71">
        <f>+G1064+G1089</f>
        <v>0</v>
      </c>
      <c r="H1090" s="71">
        <f>+H1064+H1089</f>
        <v>0</v>
      </c>
      <c r="I1090" s="71">
        <f>+I1064+I1089</f>
        <v>0</v>
      </c>
    </row>
    <row r="1091" spans="2:12" s="38" customFormat="1" ht="15.75" x14ac:dyDescent="0.25">
      <c r="C1091" s="156"/>
      <c r="E1091" s="140"/>
      <c r="F1091" s="140"/>
      <c r="G1091" s="140"/>
      <c r="H1091" s="140"/>
      <c r="I1091" s="140"/>
    </row>
    <row r="1092" spans="2:12" s="10" customFormat="1" ht="15.75" customHeight="1" x14ac:dyDescent="0.25">
      <c r="B1092" s="201" t="str">
        <f>CONCATENATE("16. Kiadási jogcímek"," - ",L1092," részletező")</f>
        <v>16. Kiadási jogcímek -  részletező</v>
      </c>
      <c r="C1092" s="101"/>
      <c r="D1092" s="101"/>
      <c r="E1092" s="101"/>
      <c r="F1092" s="101"/>
      <c r="G1092" s="198"/>
      <c r="H1092" s="198"/>
      <c r="I1092" s="198"/>
      <c r="L1092" s="384"/>
    </row>
    <row r="1093" spans="2:12" s="38" customFormat="1" ht="15.75" x14ac:dyDescent="0.25">
      <c r="C1093" s="156"/>
      <c r="E1093" s="140"/>
      <c r="F1093" s="140"/>
      <c r="G1093" s="140"/>
      <c r="H1093" s="140"/>
      <c r="I1093" s="140"/>
    </row>
    <row r="1094" spans="2:12" s="40" customFormat="1" x14ac:dyDescent="0.25">
      <c r="B1094" s="77"/>
      <c r="C1094" s="77" t="s">
        <v>350</v>
      </c>
      <c r="D1094" s="77" t="s">
        <v>351</v>
      </c>
      <c r="E1094" s="77" t="s">
        <v>470</v>
      </c>
      <c r="F1094" s="77" t="s">
        <v>471</v>
      </c>
      <c r="G1094" s="77" t="s">
        <v>44</v>
      </c>
      <c r="H1094" s="77" t="s">
        <v>42</v>
      </c>
      <c r="I1094" s="77" t="s">
        <v>511</v>
      </c>
    </row>
    <row r="1095" spans="2:12" s="41" customFormat="1" ht="38.25" x14ac:dyDescent="0.25">
      <c r="B1095" s="160">
        <v>1</v>
      </c>
      <c r="C1095" s="154" t="s">
        <v>593</v>
      </c>
      <c r="D1095" s="154" t="s">
        <v>488</v>
      </c>
      <c r="E1095" s="163" t="str">
        <f>CONCATENATE(PAR!$H$3," évi
eredeti 
előirányzat")</f>
        <v>2025. évi
eredeti 
előirányzat</v>
      </c>
      <c r="F1095" s="163" t="str">
        <f>CONCATENATE(PAR!$H$3," évi
módosított 
előirányzat")</f>
        <v>2025. évi
módosított 
előirányzat</v>
      </c>
      <c r="G1095" s="69" t="s">
        <v>666</v>
      </c>
      <c r="H1095" s="69" t="s">
        <v>667</v>
      </c>
      <c r="I1095" s="69" t="s">
        <v>668</v>
      </c>
    </row>
    <row r="1096" spans="2:12" s="42" customFormat="1" x14ac:dyDescent="0.25">
      <c r="B1096" s="160">
        <v>2</v>
      </c>
      <c r="C1096" s="78" t="s">
        <v>352</v>
      </c>
      <c r="D1096" s="92" t="s">
        <v>2663</v>
      </c>
      <c r="E1096" s="71">
        <f>SUM(E1097:E1102)</f>
        <v>0</v>
      </c>
      <c r="F1096" s="71">
        <f>SUM(F1097:F1102)</f>
        <v>0</v>
      </c>
      <c r="G1096" s="71">
        <f>SUM(G1097:G1102)</f>
        <v>0</v>
      </c>
      <c r="H1096" s="71">
        <f>+H1097+H1098+H1099+H1100+H1101+H1102</f>
        <v>0</v>
      </c>
      <c r="I1096" s="71">
        <f>+I1097+I1098+I1099+I1100+I1101+I1102</f>
        <v>0</v>
      </c>
    </row>
    <row r="1097" spans="2:12" x14ac:dyDescent="0.25">
      <c r="B1097" s="160">
        <v>3</v>
      </c>
      <c r="C1097" s="305" t="s">
        <v>315</v>
      </c>
      <c r="D1097" s="161" t="s">
        <v>342</v>
      </c>
      <c r="E1097" s="72">
        <f>SUMIF(Adat!$AI:$AI,CONCATENATE(61,Info!$D$5,"051",L1092),Adat!$E:$E)</f>
        <v>0</v>
      </c>
      <c r="F1097" s="72">
        <f>SUMIF(Adat!$AI:$AI,CONCATENATE(60,Info!$D$5,"051",L1092),Adat!$E:$E)+E1097</f>
        <v>0</v>
      </c>
      <c r="G1097" s="72">
        <f>SUMIF(Adat!$AJ:$AJ,CONCATENATE(Info!$D$5,"051","(KÖT)",L1092),Adat!$E:$E)</f>
        <v>0</v>
      </c>
      <c r="H1097" s="72">
        <f>SUMIF(Adat!$AJ:$AJ,CONCATENATE(Info!$D$5,"051","(ÖNV)",L1092),Adat!$E:$E)</f>
        <v>0</v>
      </c>
      <c r="I1097" s="72">
        <f>SUMIF(Adat!$AJ:$AJ,CONCATENATE(Info!$D$5,"051","(ÁIG)",L1092),Adat!$E:$E)</f>
        <v>0</v>
      </c>
    </row>
    <row r="1098" spans="2:12" x14ac:dyDescent="0.25">
      <c r="B1098" s="160">
        <v>4</v>
      </c>
      <c r="C1098" s="305" t="s">
        <v>317</v>
      </c>
      <c r="D1098" s="161" t="s">
        <v>395</v>
      </c>
      <c r="E1098" s="72">
        <f>SUMIF(Adat!$AI:$AI,CONCATENATE(61,Info!$D$5,"052",L1092),Adat!$E:$E)</f>
        <v>0</v>
      </c>
      <c r="F1098" s="72">
        <f>SUMIF(Adat!$AI:$AI,CONCATENATE(60,Info!$D$5,"052",L1092),Adat!$E:$E)+E1098</f>
        <v>0</v>
      </c>
      <c r="G1098" s="72">
        <f>SUMIF(Adat!$AJ:$AJ,CONCATENATE(Info!$D$5,"052","(KÖT)",L1092),Adat!$E:$E)</f>
        <v>0</v>
      </c>
      <c r="H1098" s="72">
        <f>SUMIF(Adat!$AJ:$AJ,CONCATENATE(Info!$D$5,"052","(ÖNV)",L1092),Adat!$E:$E)</f>
        <v>0</v>
      </c>
      <c r="I1098" s="72">
        <f>SUMIF(Adat!$AJ:$AJ,CONCATENATE(Info!$D$5,"052","(ÁIG)",L1092),Adat!$E:$E)</f>
        <v>0</v>
      </c>
    </row>
    <row r="1099" spans="2:12" x14ac:dyDescent="0.25">
      <c r="B1099" s="160">
        <v>5</v>
      </c>
      <c r="C1099" s="305" t="s">
        <v>4</v>
      </c>
      <c r="D1099" s="161" t="s">
        <v>344</v>
      </c>
      <c r="E1099" s="72">
        <f>SUMIF(Adat!$AI:$AI,CONCATENATE(61,Info!$D$5,"053",L1092),Adat!$E:$E)</f>
        <v>0</v>
      </c>
      <c r="F1099" s="72">
        <f>SUMIF(Adat!$AI:$AI,CONCATENATE(60,Info!$D$5,"053",L1092),Adat!$E:$E)+E1099</f>
        <v>0</v>
      </c>
      <c r="G1099" s="72">
        <f>SUMIF(Adat!$AJ:$AJ,CONCATENATE(Info!$D$5,"053","(KÖT)",L1092),Adat!$E:$E)</f>
        <v>0</v>
      </c>
      <c r="H1099" s="72">
        <f>SUMIF(Adat!$AJ:$AJ,CONCATENATE(Info!$D$5,"053","(ÖNV)",L1092),Adat!$E:$E)</f>
        <v>0</v>
      </c>
      <c r="I1099" s="72">
        <f>SUMIF(Adat!$AJ:$AJ,CONCATENATE(Info!$D$5,"053","(ÁIG)",L1092),Adat!$E:$E)</f>
        <v>0</v>
      </c>
    </row>
    <row r="1100" spans="2:12" x14ac:dyDescent="0.25">
      <c r="B1100" s="160">
        <v>6</v>
      </c>
      <c r="C1100" s="305" t="s">
        <v>6</v>
      </c>
      <c r="D1100" s="161" t="s">
        <v>345</v>
      </c>
      <c r="E1100" s="72">
        <f>SUMIF(Adat!$AI:$AI,CONCATENATE(61,Info!$D$5,"054",L1092),Adat!$E:$E)</f>
        <v>0</v>
      </c>
      <c r="F1100" s="72">
        <f>SUMIF(Adat!$AI:$AI,CONCATENATE(60,Info!$D$5,"054",L1092),Adat!$E:$E)+E1100</f>
        <v>0</v>
      </c>
      <c r="G1100" s="72">
        <f>SUMIF(Adat!$AJ:$AJ,CONCATENATE(Info!$D$5,"054","(KÖT)",L1092),Adat!$E:$E)</f>
        <v>0</v>
      </c>
      <c r="H1100" s="72">
        <f>SUMIF(Adat!$AJ:$AJ,CONCATENATE(Info!$D$5,"054","(ÖNV)",L1092),Adat!$E:$E)</f>
        <v>0</v>
      </c>
      <c r="I1100" s="72">
        <f>SUMIF(Adat!$AJ:$AJ,CONCATENATE(Info!$D$5,"054","(ÁIG)",L1092),Adat!$E:$E)</f>
        <v>0</v>
      </c>
    </row>
    <row r="1101" spans="2:12" x14ac:dyDescent="0.25">
      <c r="B1101" s="160">
        <v>7</v>
      </c>
      <c r="C1101" s="305" t="s">
        <v>8</v>
      </c>
      <c r="D1101" s="161" t="s">
        <v>321</v>
      </c>
      <c r="E1101" s="72">
        <f>SUMIF(Adat!$AI:$AI,CONCATENATE(61,Info!$D$5,"055",L1092),Adat!$E:$E)-E1102</f>
        <v>0</v>
      </c>
      <c r="F1101" s="72">
        <f>SUMIF(Adat!$AI:$AI,CONCATENATE(60,Info!$D$5,"055",L1092),Adat!$E:$E)+E1101-F1102+E1102</f>
        <v>0</v>
      </c>
      <c r="G1101" s="72">
        <f>SUMIF(Adat!$AJ:$AJ,CONCATENATE(Info!$D$5,"055","(KÖT)",L1092),Adat!$E:$E)-G1102</f>
        <v>0</v>
      </c>
      <c r="H1101" s="72">
        <f>SUMIF(Adat!$AJ:$AJ,CONCATENATE(Info!$D$5,"055","(ÖNV)",L1092),Adat!$E:$E)-H1102</f>
        <v>0</v>
      </c>
      <c r="I1101" s="72">
        <f>SUMIF(Adat!$AJ:$AJ,CONCATENATE(Info!$D$5,"055","(ÁIG)",L1092),Adat!$E:$E)-I1102</f>
        <v>0</v>
      </c>
    </row>
    <row r="1102" spans="2:12" x14ac:dyDescent="0.25">
      <c r="B1102" s="160">
        <v>8</v>
      </c>
      <c r="C1102" s="305" t="s">
        <v>1283</v>
      </c>
      <c r="D1102" s="161" t="s">
        <v>397</v>
      </c>
      <c r="E1102" s="72">
        <f>SUMIF(Adat!$AG:$AG,CONCATENATE(61,Info!$D$5,"055131",L1092),Adat!$E:$E)</f>
        <v>0</v>
      </c>
      <c r="F1102" s="72">
        <f>SUMIF(Adat!$AG:$AG,CONCATENATE(60,Info!$D$5,"055131",L1092),Adat!$E:$E)+E1102</f>
        <v>0</v>
      </c>
      <c r="G1102" s="72">
        <f>SUMIF(Adat!$AH:$AH,CONCATENATE(Info!$D$5,"(KÖT)","055131",L1092),Adat!$E:$E)</f>
        <v>0</v>
      </c>
      <c r="H1102" s="72">
        <f>SUMIF(Adat!$AH:$AH,CONCATENATE(Info!$D$5,"(ÖNV)","055131",L1092),Adat!$E:$E)*-1</f>
        <v>0</v>
      </c>
      <c r="I1102" s="72">
        <f>SUMIF(Adat!$AH:$AH,CONCATENATE(Info!$D$5,"(ÁIG)","055131",L1092),Adat!$E:$E)*-1</f>
        <v>0</v>
      </c>
    </row>
    <row r="1103" spans="2:12" x14ac:dyDescent="0.25">
      <c r="B1103" s="160">
        <v>9</v>
      </c>
      <c r="C1103" s="305" t="s">
        <v>1283</v>
      </c>
      <c r="D1103" s="93" t="s">
        <v>1445</v>
      </c>
      <c r="E1103" s="72">
        <v>0</v>
      </c>
      <c r="F1103" s="72">
        <f>SUM(G1103:I1103)</f>
        <v>0</v>
      </c>
      <c r="G1103" s="72">
        <v>0</v>
      </c>
      <c r="H1103" s="72">
        <v>0</v>
      </c>
      <c r="I1103" s="72">
        <v>0</v>
      </c>
    </row>
    <row r="1104" spans="2:12" x14ac:dyDescent="0.25">
      <c r="B1104" s="160">
        <v>10</v>
      </c>
      <c r="C1104" s="305" t="s">
        <v>1283</v>
      </c>
      <c r="D1104" s="93" t="s">
        <v>1446</v>
      </c>
      <c r="E1104" s="72">
        <v>0</v>
      </c>
      <c r="F1104" s="72">
        <f>SUM(G1104:I1104)</f>
        <v>0</v>
      </c>
      <c r="G1104" s="72">
        <v>0</v>
      </c>
      <c r="H1104" s="72">
        <v>0</v>
      </c>
      <c r="I1104" s="72">
        <v>0</v>
      </c>
    </row>
    <row r="1105" spans="2:9" x14ac:dyDescent="0.25">
      <c r="B1105" s="160">
        <v>11</v>
      </c>
      <c r="C1105" s="78" t="s">
        <v>358</v>
      </c>
      <c r="D1105" s="92" t="s">
        <v>2664</v>
      </c>
      <c r="E1105" s="71">
        <f>+E1106+E1108+E1110</f>
        <v>0</v>
      </c>
      <c r="F1105" s="71">
        <f>+F1106+F1108+F1110</f>
        <v>0</v>
      </c>
      <c r="G1105" s="71">
        <f>+G1106+G1108+G1110</f>
        <v>0</v>
      </c>
      <c r="H1105" s="71">
        <f>+H1106+H1108+H1110</f>
        <v>0</v>
      </c>
      <c r="I1105" s="71">
        <f>+I1106+I1108+I1110</f>
        <v>0</v>
      </c>
    </row>
    <row r="1106" spans="2:9" x14ac:dyDescent="0.25">
      <c r="B1106" s="160">
        <v>12</v>
      </c>
      <c r="C1106" s="305" t="s">
        <v>10</v>
      </c>
      <c r="D1106" s="317" t="s">
        <v>322</v>
      </c>
      <c r="E1106" s="72">
        <f>SUMIF(Adat!$AI:$AI,CONCATENATE(61,Info!$D$5,"056",L1092),Adat!$E:$E)</f>
        <v>0</v>
      </c>
      <c r="F1106" s="72">
        <f>SUMIF(Adat!$AI:$AI,CONCATENATE(60,Info!$D$5,"056",L1092),Adat!$E:$E)+E1106</f>
        <v>0</v>
      </c>
      <c r="G1106" s="72">
        <f>SUMIF(Adat!$AJ:$AJ,CONCATENATE(Info!$D$5,"056","(KÖT)",L1092),Adat!$E:$E)</f>
        <v>0</v>
      </c>
      <c r="H1106" s="72">
        <f>SUMIF(Adat!$AJ:$AJ,CONCATENATE(Info!$D$5,"056","(ÖNV)",L1092),Adat!$E:$E)</f>
        <v>0</v>
      </c>
      <c r="I1106" s="72">
        <f>SUMIF(Adat!$AJ:$AJ,CONCATENATE(Info!$D$5,"056","(ÁIG)",L1092),Adat!$E:$E)</f>
        <v>0</v>
      </c>
    </row>
    <row r="1107" spans="2:9" x14ac:dyDescent="0.25">
      <c r="B1107" s="160">
        <v>13</v>
      </c>
      <c r="C1107" s="305" t="s">
        <v>10</v>
      </c>
      <c r="D1107" s="317" t="s">
        <v>1448</v>
      </c>
      <c r="E1107" s="72">
        <v>0</v>
      </c>
      <c r="F1107" s="72">
        <f>SUM(G1107:I1107)</f>
        <v>0</v>
      </c>
      <c r="G1107" s="72">
        <v>0</v>
      </c>
      <c r="H1107" s="72">
        <v>0</v>
      </c>
      <c r="I1107" s="72">
        <v>0</v>
      </c>
    </row>
    <row r="1108" spans="2:9" x14ac:dyDescent="0.25">
      <c r="B1108" s="160">
        <v>14</v>
      </c>
      <c r="C1108" s="305" t="s">
        <v>12</v>
      </c>
      <c r="D1108" s="317" t="s">
        <v>323</v>
      </c>
      <c r="E1108" s="72">
        <f>SUMIF(Adat!$AI:$AI,CONCATENATE(61,Info!$D$5,"057",L1092),Adat!$E:$E)</f>
        <v>0</v>
      </c>
      <c r="F1108" s="72">
        <f>SUMIF(Adat!$AI:$AI,CONCATENATE(60,Info!$D$5,"057",L1092),Adat!$E:$E)+E1108</f>
        <v>0</v>
      </c>
      <c r="G1108" s="72">
        <f>SUMIF(Adat!$AJ:$AJ,CONCATENATE(Info!$D$5,"057","(KÖT)",L1092),Adat!$E:$E)</f>
        <v>0</v>
      </c>
      <c r="H1108" s="72">
        <f>SUMIF(Adat!$AJ:$AJ,CONCATENATE(Info!$D$5,"057","(ÖNV)",L1092),Adat!$E:$E)</f>
        <v>0</v>
      </c>
      <c r="I1108" s="72">
        <f>SUMIF(Adat!$AJ:$AJ,CONCATENATE(Info!$D$5,"057","(ÁIG)",L1092),Adat!$E:$E)</f>
        <v>0</v>
      </c>
    </row>
    <row r="1109" spans="2:9" x14ac:dyDescent="0.25">
      <c r="B1109" s="160">
        <v>15</v>
      </c>
      <c r="C1109" s="305" t="s">
        <v>12</v>
      </c>
      <c r="D1109" s="317" t="s">
        <v>1449</v>
      </c>
      <c r="E1109" s="72">
        <v>0</v>
      </c>
      <c r="F1109" s="72">
        <f>SUM(G1109:I1109)</f>
        <v>0</v>
      </c>
      <c r="G1109" s="72">
        <v>0</v>
      </c>
      <c r="H1109" s="72">
        <v>0</v>
      </c>
      <c r="I1109" s="72">
        <v>0</v>
      </c>
    </row>
    <row r="1110" spans="2:9" x14ac:dyDescent="0.25">
      <c r="B1110" s="160">
        <v>16</v>
      </c>
      <c r="C1110" s="305" t="s">
        <v>15</v>
      </c>
      <c r="D1110" s="317" t="s">
        <v>324</v>
      </c>
      <c r="E1110" s="72">
        <f>SUMIF(Adat!$AI:$AI,CONCATENATE(61,Info!$D$5,"058",L1092),Adat!$E:$E)</f>
        <v>0</v>
      </c>
      <c r="F1110" s="72">
        <f>SUMIF(Adat!$AI:$AI,CONCATENATE(60,Info!$D$5,"058",L1092),Adat!$E:$E)+E1110</f>
        <v>0</v>
      </c>
      <c r="G1110" s="72">
        <f>SUMIF(Adat!$AJ:$AJ,CONCATENATE(Info!$D$5,"058","(KÖT)",L1092),Adat!$E:$E)</f>
        <v>0</v>
      </c>
      <c r="H1110" s="72">
        <f>SUMIF(Adat!$AJ:$AJ,CONCATENATE(Info!$D$5,"058","(ÖNV)",L1092),Adat!$E:$E)</f>
        <v>0</v>
      </c>
      <c r="I1110" s="72">
        <f>SUMIF(Adat!$AJ:$AJ,CONCATENATE(Info!$D$5,"058","(ÁIG)",L1092),Adat!$E:$E)</f>
        <v>0</v>
      </c>
    </row>
    <row r="1111" spans="2:9" x14ac:dyDescent="0.25">
      <c r="B1111" s="160">
        <v>17</v>
      </c>
      <c r="C1111" s="78" t="s">
        <v>364</v>
      </c>
      <c r="D1111" s="86" t="s">
        <v>402</v>
      </c>
      <c r="E1111" s="71">
        <f>+E1096+E1105</f>
        <v>0</v>
      </c>
      <c r="F1111" s="71">
        <f>+F1096+F1105</f>
        <v>0</v>
      </c>
      <c r="G1111" s="71">
        <f>+G1096+G1105</f>
        <v>0</v>
      </c>
      <c r="H1111" s="71">
        <f>+H1096+H1105</f>
        <v>0</v>
      </c>
      <c r="I1111" s="71">
        <f>+I1096+I1105</f>
        <v>0</v>
      </c>
    </row>
    <row r="1112" spans="2:9" x14ac:dyDescent="0.25">
      <c r="B1112" s="160">
        <v>18</v>
      </c>
      <c r="C1112" s="78" t="s">
        <v>403</v>
      </c>
      <c r="D1112" s="86" t="s">
        <v>1450</v>
      </c>
      <c r="E1112" s="71">
        <f>+E1113+E1114+E1115</f>
        <v>0</v>
      </c>
      <c r="F1112" s="71">
        <f>+F1113+F1114+F1115</f>
        <v>0</v>
      </c>
      <c r="G1112" s="71">
        <f>+G1113+G1114+G1115</f>
        <v>0</v>
      </c>
      <c r="H1112" s="71">
        <f>+H1113+H1114+H1115</f>
        <v>0</v>
      </c>
      <c r="I1112" s="71">
        <f>+I1113+I1114+I1115</f>
        <v>0</v>
      </c>
    </row>
    <row r="1113" spans="2:9" s="42" customFormat="1" x14ac:dyDescent="0.25">
      <c r="B1113" s="160">
        <v>19</v>
      </c>
      <c r="C1113" s="305" t="s">
        <v>1451</v>
      </c>
      <c r="D1113" s="161" t="s">
        <v>490</v>
      </c>
      <c r="E1113" s="72">
        <f>SUMIF(Adat!$AG:$AG,CONCATENATE(61,Info!$D$5,"0591111",L1092),Adat!$E:$E)</f>
        <v>0</v>
      </c>
      <c r="F1113" s="72">
        <f>SUMIF(Adat!$AG:$AG,CONCATENATE(60,Info!$D$5,"0591111",L1092),Adat!$E:$E)+E1113</f>
        <v>0</v>
      </c>
      <c r="G1113" s="72">
        <f>SUMIF(Adat!$AH:$AH,CONCATENATE(Info!$D$5,"(KÖT)","0591111",L1092),Adat!$E:$E)</f>
        <v>0</v>
      </c>
      <c r="H1113" s="72">
        <f>SUMIF(Adat!$AH:$AH,CONCATENATE(Info!$D$5,"(ÖNV)","0591111",L1092),Adat!$E:$E)</f>
        <v>0</v>
      </c>
      <c r="I1113" s="72">
        <f>SUMIF(Adat!$AH:$AH,CONCATENATE(Info!$D$5,"(ÁIG)","0591111",L1092),Adat!$E:$E)</f>
        <v>0</v>
      </c>
    </row>
    <row r="1114" spans="2:9" x14ac:dyDescent="0.25">
      <c r="B1114" s="160">
        <v>20</v>
      </c>
      <c r="C1114" s="305" t="s">
        <v>1453</v>
      </c>
      <c r="D1114" s="161" t="s">
        <v>406</v>
      </c>
      <c r="E1114" s="72">
        <f>SUMIF(Adat!$AG:$AG,CONCATENATE(61,Info!$D$5,"0591121",L1092),Adat!$E:$E)</f>
        <v>0</v>
      </c>
      <c r="F1114" s="72">
        <f>SUMIF(Adat!$AG:$AG,CONCATENATE(60,Info!$D$5,"0591121",L1092),Adat!$E:$E)+E1114</f>
        <v>0</v>
      </c>
      <c r="G1114" s="72">
        <f>SUMIF(Adat!$AH:$AH,CONCATENATE(Info!$D$5,"(KÖT)","0591121",L1092),Adat!$E:$E)</f>
        <v>0</v>
      </c>
      <c r="H1114" s="72">
        <f>SUMIF(Adat!$AH:$AH,CONCATENATE(Info!$D$5,"(ÖNV)","0591121",L1092),Adat!$E:$E)</f>
        <v>0</v>
      </c>
      <c r="I1114" s="72">
        <f>SUMIF(Adat!$AH:$AH,CONCATENATE(Info!$D$5,"(ÁIG)","0591121",L1092),Adat!$E:$E)</f>
        <v>0</v>
      </c>
    </row>
    <row r="1115" spans="2:9" x14ac:dyDescent="0.25">
      <c r="B1115" s="160">
        <v>21</v>
      </c>
      <c r="C1115" s="305" t="s">
        <v>1455</v>
      </c>
      <c r="D1115" s="161" t="s">
        <v>491</v>
      </c>
      <c r="E1115" s="72">
        <f>SUMIF(Adat!$AG:$AG,CONCATENATE(61,Info!$D$5,"0591131",L1092),Adat!$E:$E)</f>
        <v>0</v>
      </c>
      <c r="F1115" s="72">
        <f>SUMIF(Adat!$AG:$AG,CONCATENATE(60,Info!$D$5,"0591131",L1092),Adat!$E:$E)+E1115</f>
        <v>0</v>
      </c>
      <c r="G1115" s="72">
        <f>SUMIF(Adat!$AH:$AH,CONCATENATE(Info!$D$5,"(KÖT)","0591131",L1092),Adat!$E:$E)</f>
        <v>0</v>
      </c>
      <c r="H1115" s="72">
        <f>SUMIF(Adat!$AH:$AH,CONCATENATE(Info!$D$5,"(ÖNV)","0591131",L1092),Adat!$E:$E)</f>
        <v>0</v>
      </c>
      <c r="I1115" s="72">
        <f>SUMIF(Adat!$AH:$AH,CONCATENATE(Info!$D$5,"(ÁIG)","0591131",L1092),Adat!$E:$E)</f>
        <v>0</v>
      </c>
    </row>
    <row r="1116" spans="2:9" x14ac:dyDescent="0.25">
      <c r="B1116" s="160">
        <v>22</v>
      </c>
      <c r="C1116" s="78" t="s">
        <v>372</v>
      </c>
      <c r="D1116" s="86" t="s">
        <v>1457</v>
      </c>
      <c r="E1116" s="71">
        <f>+E1117+E1118+E1119+E1120+E1121+E1122</f>
        <v>0</v>
      </c>
      <c r="F1116" s="71">
        <f>+F1117+F1118+F1119+F1120+F1121+F1122</f>
        <v>0</v>
      </c>
      <c r="G1116" s="71">
        <f>+G1117+G1118+G1119+G1120+G1121+G1122</f>
        <v>0</v>
      </c>
      <c r="H1116" s="71">
        <f>+H1117+H1118+H1119+H1120+H1121+H1122</f>
        <v>0</v>
      </c>
      <c r="I1116" s="71">
        <f>+I1117+I1118+I1119+I1120+I1121+I1122</f>
        <v>0</v>
      </c>
    </row>
    <row r="1117" spans="2:9" x14ac:dyDescent="0.25">
      <c r="B1117" s="160">
        <v>23</v>
      </c>
      <c r="C1117" s="305" t="s">
        <v>1458</v>
      </c>
      <c r="D1117" s="161" t="s">
        <v>409</v>
      </c>
      <c r="E1117" s="72">
        <f>SUMIF(Adat!$AG:$AG,CONCATENATE(61,Info!$D$5,"0591211",L1092),Adat!$E:$E)</f>
        <v>0</v>
      </c>
      <c r="F1117" s="72">
        <f>SUMIF(Adat!$AG:$AG,CONCATENATE(60,Info!$D$5,"0591211",L1092),Adat!$E:$E)+E1117</f>
        <v>0</v>
      </c>
      <c r="G1117" s="72">
        <f>SUMIF(Adat!$AH:$AH,CONCATENATE(Info!$D$5,"(KÖT)","0591211",L1092),Adat!$E:$E)</f>
        <v>0</v>
      </c>
      <c r="H1117" s="72">
        <f>SUMIF(Adat!$AH:$AH,CONCATENATE(Info!$D$5,"(ÖNV)","0591211",L1092),Adat!$E:$E)</f>
        <v>0</v>
      </c>
      <c r="I1117" s="72">
        <f>SUMIF(Adat!$AH:$AH,CONCATENATE(Info!$D$5,"(ÁIG)","0591211",L1092),Adat!$E:$E)</f>
        <v>0</v>
      </c>
    </row>
    <row r="1118" spans="2:9" x14ac:dyDescent="0.25">
      <c r="B1118" s="160">
        <v>24</v>
      </c>
      <c r="C1118" s="305" t="s">
        <v>1460</v>
      </c>
      <c r="D1118" s="161" t="s">
        <v>410</v>
      </c>
      <c r="E1118" s="72">
        <f>SUMIF(Adat!$AG:$AG,CONCATENATE(61,Info!$D$5,"0591221",L1092),Adat!$E:$E)</f>
        <v>0</v>
      </c>
      <c r="F1118" s="72">
        <f>SUMIF(Adat!$AG:$AG,CONCATENATE(60,Info!$D$5,"0591221",L1092),Adat!$E:$E)+E1118</f>
        <v>0</v>
      </c>
      <c r="G1118" s="72">
        <f>SUMIF(Adat!$AH:$AH,CONCATENATE(Info!$D$5,"(KÖT)","0591221",L1092),Adat!$E:$E)</f>
        <v>0</v>
      </c>
      <c r="H1118" s="72">
        <f>SUMIF(Adat!$AH:$AH,CONCATENATE(Info!$D$5,"(ÖNV)","0591221",L1092),Adat!$E:$E)</f>
        <v>0</v>
      </c>
      <c r="I1118" s="72">
        <f>SUMIF(Adat!$AH:$AH,CONCATENATE(Info!$D$5,"(ÁIG)","0591221",L1092),Adat!$E:$E)</f>
        <v>0</v>
      </c>
    </row>
    <row r="1119" spans="2:9" x14ac:dyDescent="0.25">
      <c r="B1119" s="160">
        <v>25</v>
      </c>
      <c r="C1119" s="305" t="s">
        <v>1462</v>
      </c>
      <c r="D1119" s="161" t="s">
        <v>411</v>
      </c>
      <c r="E1119" s="72">
        <f>SUMIF(Adat!$AG:$AG,CONCATENATE(61,Info!$D$5,"0591231",L1092),Adat!$E:$E)</f>
        <v>0</v>
      </c>
      <c r="F1119" s="72">
        <f>SUMIF(Adat!$AG:$AG,CONCATENATE(60,Info!$D$5,"0591231",L1092),Adat!$E:$E)+E1119</f>
        <v>0</v>
      </c>
      <c r="G1119" s="72">
        <f>SUMIF(Adat!$AH:$AH,CONCATENATE(Info!$D$5,"(KÖT)","0591231",L1092),Adat!$E:$E)</f>
        <v>0</v>
      </c>
      <c r="H1119" s="72">
        <f>SUMIF(Adat!$AH:$AH,CONCATENATE(Info!$D$5,"(ÖNV)","0591231",L1092),Adat!$E:$E)</f>
        <v>0</v>
      </c>
      <c r="I1119" s="72">
        <f>SUMIF(Adat!$AH:$AH,CONCATENATE(Info!$D$5,"(ÁIG)","0591231",L1092),Adat!$E:$E)</f>
        <v>0</v>
      </c>
    </row>
    <row r="1120" spans="2:9" x14ac:dyDescent="0.25">
      <c r="B1120" s="160">
        <v>26</v>
      </c>
      <c r="C1120" s="305" t="s">
        <v>1464</v>
      </c>
      <c r="D1120" s="161" t="s">
        <v>492</v>
      </c>
      <c r="E1120" s="72">
        <f>SUMIF(Adat!$AG:$AG,CONCATENATE(61,Info!$D$5,"0591241",L1092),Adat!$E:$E)</f>
        <v>0</v>
      </c>
      <c r="F1120" s="72">
        <f>SUMIF(Adat!$AG:$AG,CONCATENATE(60,Info!$D$5,"0591241",L1092),Adat!$E:$E)+E1120</f>
        <v>0</v>
      </c>
      <c r="G1120" s="72">
        <f>SUMIF(Adat!$AH:$AH,CONCATENATE(Info!$D$5,"(KÖT)","0591241",L1092),Adat!$E:$E)</f>
        <v>0</v>
      </c>
      <c r="H1120" s="72">
        <f>SUMIF(Adat!$AH:$AH,CONCATENATE(Info!$D$5,"(ÖNV)","0591241",L1092),Adat!$E:$E)</f>
        <v>0</v>
      </c>
      <c r="I1120" s="72">
        <f>SUMIF(Adat!$AH:$AH,CONCATENATE(Info!$D$5,"(ÁIG)","0591241",L1092),Adat!$E:$E)</f>
        <v>0</v>
      </c>
    </row>
    <row r="1121" spans="2:18" x14ac:dyDescent="0.25">
      <c r="B1121" s="160">
        <v>27</v>
      </c>
      <c r="C1121" s="305" t="s">
        <v>1466</v>
      </c>
      <c r="D1121" s="161" t="s">
        <v>413</v>
      </c>
      <c r="E1121" s="72">
        <f>SUMIF(Adat!$AG:$AG,CONCATENATE(61,Info!$D$5,"0591251",L1092),Adat!$E:$E)</f>
        <v>0</v>
      </c>
      <c r="F1121" s="72">
        <f>SUMIF(Adat!$AG:$AG,CONCATENATE(60,Info!$D$5,"0591251",L1092),Adat!$E:$E)+E1121</f>
        <v>0</v>
      </c>
      <c r="G1121" s="72">
        <f>SUMIF(Adat!$AH:$AH,CONCATENATE(Info!$D$5,"(KÖT)","0591251",L1092),Adat!$E:$E)</f>
        <v>0</v>
      </c>
      <c r="H1121" s="72">
        <f>SUMIF(Adat!$AH:$AH,CONCATENATE(Info!$D$5,"(ÖNV)","0591251",L1092),Adat!$E:$E)</f>
        <v>0</v>
      </c>
      <c r="I1121" s="72">
        <f>SUMIF(Adat!$AH:$AH,CONCATENATE(Info!$D$5,"(ÁIG)","0591251",L1092),Adat!$E:$E)</f>
        <v>0</v>
      </c>
    </row>
    <row r="1122" spans="2:18" s="42" customFormat="1" x14ac:dyDescent="0.25">
      <c r="B1122" s="160">
        <v>28</v>
      </c>
      <c r="C1122" s="305" t="s">
        <v>1468</v>
      </c>
      <c r="D1122" s="161" t="s">
        <v>414</v>
      </c>
      <c r="E1122" s="72">
        <f>SUMIF(Adat!$AG:$AG,CONCATENATE(61,Info!$D$5,"0591261",L1092),Adat!$E:$E)</f>
        <v>0</v>
      </c>
      <c r="F1122" s="72">
        <f>SUMIF(Adat!$AG:$AG,CONCATENATE(60,Info!$D$5,"0591261",L1092),Adat!$E:$E)+E1122</f>
        <v>0</v>
      </c>
      <c r="G1122" s="72">
        <f>SUMIF(Adat!$AH:$AH,CONCATENATE(Info!$D$5,"(KÖT)","0591261",L1092),Adat!$E:$E)</f>
        <v>0</v>
      </c>
      <c r="H1122" s="72">
        <f>SUMIF(Adat!$AH:$AH,CONCATENATE(Info!$D$5,"(ÖNV)","0591261",L1092),Adat!$E:$E)</f>
        <v>0</v>
      </c>
      <c r="I1122" s="72">
        <f>SUMIF(Adat!$AH:$AH,CONCATENATE(Info!$D$5,"(ÁIG)","0591261",L1092),Adat!$E:$E)</f>
        <v>0</v>
      </c>
    </row>
    <row r="1123" spans="2:18" x14ac:dyDescent="0.25">
      <c r="B1123" s="160">
        <v>29</v>
      </c>
      <c r="C1123" s="78" t="s">
        <v>379</v>
      </c>
      <c r="D1123" s="86" t="s">
        <v>1470</v>
      </c>
      <c r="E1123" s="71">
        <f>+E1124+E1125+E1127+E1128+E1126</f>
        <v>0</v>
      </c>
      <c r="F1123" s="71">
        <f>+F1124+F1125+F1127+F1128+F1126</f>
        <v>0</v>
      </c>
      <c r="G1123" s="71">
        <f>+G1124+G1125+G1127+G1128+G1126</f>
        <v>0</v>
      </c>
      <c r="H1123" s="71">
        <f>+H1124+H1125+H1127+H1128+H1126</f>
        <v>0</v>
      </c>
      <c r="I1123" s="71">
        <f>+I1124+I1125+I1127+I1128+I1126</f>
        <v>0</v>
      </c>
      <c r="R1123" s="43"/>
    </row>
    <row r="1124" spans="2:18" x14ac:dyDescent="0.25">
      <c r="B1124" s="160">
        <v>30</v>
      </c>
      <c r="C1124" s="305" t="s">
        <v>1471</v>
      </c>
      <c r="D1124" s="161" t="s">
        <v>416</v>
      </c>
      <c r="E1124" s="72">
        <f>SUMIF(Adat!$AG:$AG,CONCATENATE(61,Info!$D$5,"059131",L1092),Adat!$E:$E)</f>
        <v>0</v>
      </c>
      <c r="F1124" s="72">
        <f>SUMIF(Adat!$AG:$AG,CONCATENATE(60,Info!$D$5,"059131",L1092),Adat!$E:$E)+E1124</f>
        <v>0</v>
      </c>
      <c r="G1124" s="72">
        <f>SUMIF(Adat!$AH:$AH,CONCATENATE(Info!$D$5,"(KÖT)","059131",L1092),Adat!$E:$E)</f>
        <v>0</v>
      </c>
      <c r="H1124" s="72">
        <f>SUMIF(Adat!$AH:$AH,CONCATENATE(Info!$D$5,"(ÖNV)","059131",L1092),Adat!$E:$E)</f>
        <v>0</v>
      </c>
      <c r="I1124" s="72">
        <f>SUMIF(Adat!$AH:$AH,CONCATENATE(Info!$D$5,"(ÁIG)","059131",L1092),Adat!$E:$E)</f>
        <v>0</v>
      </c>
    </row>
    <row r="1125" spans="2:18" x14ac:dyDescent="0.25">
      <c r="B1125" s="160">
        <v>31</v>
      </c>
      <c r="C1125" s="305" t="s">
        <v>1287</v>
      </c>
      <c r="D1125" s="161" t="s">
        <v>417</v>
      </c>
      <c r="E1125" s="72">
        <f>SUMIF(Adat!$AG:$AG,CONCATENATE(61,Info!$D$5,"059141",L1092),Adat!$E:$E)</f>
        <v>0</v>
      </c>
      <c r="F1125" s="72">
        <f>SUMIF(Adat!$AG:$AG,CONCATENATE(60,Info!$D$5,"059141",L1092),Adat!$E:$E)+E1125</f>
        <v>0</v>
      </c>
      <c r="G1125" s="72">
        <f>SUMIF(Adat!$AH:$AH,CONCATENATE(Info!$D$5,"(KÖT)","059141",L1092),Adat!$E:$E)</f>
        <v>0</v>
      </c>
      <c r="H1125" s="72">
        <f>SUMIF(Adat!$AH:$AH,CONCATENATE(Info!$D$5,"(ÖNV)","059141",L1092),Adat!$E:$E)</f>
        <v>0</v>
      </c>
      <c r="I1125" s="72">
        <f>SUMIF(Adat!$AH:$AH,CONCATENATE(Info!$D$5,"(ÁIG)","059141",L1092),Adat!$E:$E)</f>
        <v>0</v>
      </c>
    </row>
    <row r="1126" spans="2:18" x14ac:dyDescent="0.25">
      <c r="B1126" s="160">
        <v>32</v>
      </c>
      <c r="C1126" s="316" t="s">
        <v>1253</v>
      </c>
      <c r="D1126" s="161" t="s">
        <v>493</v>
      </c>
      <c r="E1126" s="72">
        <f>SUMIF(Adat!$AG:$AG,CONCATENATE(61,Info!$D$5,"059151",L1092),Adat!$E:$E)</f>
        <v>0</v>
      </c>
      <c r="F1126" s="72">
        <f>SUMIF(Adat!$AG:$AG,CONCATENATE(60,Info!$D$5,"059151",L1092),Adat!$E:$E)+E1126</f>
        <v>0</v>
      </c>
      <c r="G1126" s="72">
        <f>SUMIF(Adat!$AH:$AH,CONCATENATE(Info!$D$5,"(KÖT)","059151",L1092),Adat!$E:$E)</f>
        <v>0</v>
      </c>
      <c r="H1126" s="72">
        <f>SUMIF(Adat!$AH:$AH,CONCATENATE(Info!$D$5,"(ÖNV)","059151",L1092),Adat!$E:$E)</f>
        <v>0</v>
      </c>
      <c r="I1126" s="72">
        <f>SUMIF(Adat!$AH:$AH,CONCATENATE(Info!$D$5,"(ÁIG)","059151",L1092),Adat!$E:$E)</f>
        <v>0</v>
      </c>
    </row>
    <row r="1127" spans="2:18" s="42" customFormat="1" x14ac:dyDescent="0.25">
      <c r="B1127" s="160">
        <v>33</v>
      </c>
      <c r="C1127" s="305" t="s">
        <v>1474</v>
      </c>
      <c r="D1127" s="161" t="s">
        <v>418</v>
      </c>
      <c r="E1127" s="72">
        <f>SUMIF(Adat!$AG:$AG,CONCATENATE(61,Info!$D$5,"059161",L1092),Adat!$E:$E)</f>
        <v>0</v>
      </c>
      <c r="F1127" s="72">
        <f>SUMIF(Adat!$AG:$AG,CONCATENATE(60,Info!$D$5,"059161",L1092),Adat!$E:$E)+E1127</f>
        <v>0</v>
      </c>
      <c r="G1127" s="72">
        <f>SUMIF(Adat!$AH:$AH,CONCATENATE(Info!$D$5,"(KÖT)","059161",L1092),Adat!$E:$E)</f>
        <v>0</v>
      </c>
      <c r="H1127" s="72">
        <f>SUMIF(Adat!$AH:$AH,CONCATENATE(Info!$D$5,"(ÖNV)","059161",L1092),Adat!$E:$E)</f>
        <v>0</v>
      </c>
      <c r="I1127" s="72">
        <f>SUMIF(Adat!$AH:$AH,CONCATENATE(Info!$D$5,"(ÁIG)","059161",L1092),Adat!$E:$E)</f>
        <v>0</v>
      </c>
    </row>
    <row r="1128" spans="2:18" s="42" customFormat="1" x14ac:dyDescent="0.25">
      <c r="B1128" s="160">
        <v>34</v>
      </c>
      <c r="C1128" s="305" t="s">
        <v>1476</v>
      </c>
      <c r="D1128" s="161" t="s">
        <v>419</v>
      </c>
      <c r="E1128" s="72">
        <f>SUMIF(Adat!$AG:$AG,CONCATENATE(61,Info!$D$5,"059171",L1092),Adat!$E:$E)</f>
        <v>0</v>
      </c>
      <c r="F1128" s="72">
        <f>SUMIF(Adat!$AG:$AG,CONCATENATE(60,Info!$D$5,"059171",L1092),Adat!$E:$E)+E1128</f>
        <v>0</v>
      </c>
      <c r="G1128" s="72">
        <f>SUMIF(Adat!$AH:$AH,CONCATENATE(Info!$D$5,"(KÖT)","059171",L1092),Adat!$E:$E)</f>
        <v>0</v>
      </c>
      <c r="H1128" s="72">
        <f>SUMIF(Adat!$AH:$AH,CONCATENATE(Info!$D$5,"(ÖNV)","059171",L1092),Adat!$E:$E)</f>
        <v>0</v>
      </c>
      <c r="I1128" s="72">
        <f>SUMIF(Adat!$AH:$AH,CONCATENATE(Info!$D$5,"(ÁIG)","059171",L1092),Adat!$E:$E)</f>
        <v>0</v>
      </c>
    </row>
    <row r="1129" spans="2:18" s="42" customFormat="1" x14ac:dyDescent="0.25">
      <c r="B1129" s="160">
        <v>35</v>
      </c>
      <c r="C1129" s="78" t="s">
        <v>420</v>
      </c>
      <c r="D1129" s="86" t="s">
        <v>1478</v>
      </c>
      <c r="E1129" s="73">
        <f>+E1130+E1131+E1132+E1133+E1134</f>
        <v>0</v>
      </c>
      <c r="F1129" s="73">
        <f>+F1130+F1131+F1132+F1133+F1134</f>
        <v>0</v>
      </c>
      <c r="G1129" s="73">
        <f>+G1130+G1131+G1132+G1133+G1134</f>
        <v>0</v>
      </c>
      <c r="H1129" s="73">
        <f>+H1130+H1131+H1132+H1133+H1134</f>
        <v>0</v>
      </c>
      <c r="I1129" s="73">
        <f>+I1130+I1131+I1132+I1133+I1134</f>
        <v>0</v>
      </c>
    </row>
    <row r="1130" spans="2:18" s="42" customFormat="1" x14ac:dyDescent="0.25">
      <c r="B1130" s="160">
        <v>36</v>
      </c>
      <c r="C1130" s="305" t="s">
        <v>1479</v>
      </c>
      <c r="D1130" s="161" t="s">
        <v>422</v>
      </c>
      <c r="E1130" s="72">
        <f>SUMIF(Adat!$AG:$AG,CONCATENATE(61,Info!$D$5,"059211",L1092),Adat!$E:$E)</f>
        <v>0</v>
      </c>
      <c r="F1130" s="72">
        <f>SUMIF(Adat!$AG:$AG,CONCATENATE(60,Info!$D$5,"059211",L1092),Adat!$E:$E)+E1130</f>
        <v>0</v>
      </c>
      <c r="G1130" s="72">
        <f>SUMIF(Adat!$AH:$AH,CONCATENATE(Info!$D$5,"(KÖT)","059211",L1092),Adat!$E:$E)</f>
        <v>0</v>
      </c>
      <c r="H1130" s="72">
        <f>SUMIF(Adat!$AH:$AH,CONCATENATE(Info!$D$5,"(ÖNV)","059211",L1092),Adat!$E:$E)</f>
        <v>0</v>
      </c>
      <c r="I1130" s="72">
        <f>SUMIF(Adat!$AH:$AH,CONCATENATE(Info!$D$5,"(ÁIG)","059211",L1092),Adat!$E:$E)</f>
        <v>0</v>
      </c>
    </row>
    <row r="1131" spans="2:18" s="42" customFormat="1" x14ac:dyDescent="0.25">
      <c r="B1131" s="160">
        <v>37</v>
      </c>
      <c r="C1131" s="305" t="s">
        <v>1481</v>
      </c>
      <c r="D1131" s="161" t="s">
        <v>423</v>
      </c>
      <c r="E1131" s="72">
        <f>SUMIF(Adat!$AG:$AG,CONCATENATE(61,Info!$D$5,"059221",L1092),Adat!$E:$E)</f>
        <v>0</v>
      </c>
      <c r="F1131" s="72">
        <f>SUMIF(Adat!$AG:$AG,CONCATENATE(60,Info!$D$5,"059221",L1092),Adat!$E:$E)+E1131</f>
        <v>0</v>
      </c>
      <c r="G1131" s="72">
        <f>SUMIF(Adat!$AH:$AH,CONCATENATE(Info!$D$5,"(KÖT)","059221",L1092),Adat!$E:$E)</f>
        <v>0</v>
      </c>
      <c r="H1131" s="72">
        <f>SUMIF(Adat!$AH:$AH,CONCATENATE(Info!$D$5,"(ÖNV)","059221",L1092),Adat!$E:$E)</f>
        <v>0</v>
      </c>
      <c r="I1131" s="72">
        <f>SUMIF(Adat!$AH:$AH,CONCATENATE(Info!$D$5,"(ÁIG)","059221",L1092),Adat!$E:$E)</f>
        <v>0</v>
      </c>
    </row>
    <row r="1132" spans="2:18" s="42" customFormat="1" x14ac:dyDescent="0.25">
      <c r="B1132" s="160">
        <v>38</v>
      </c>
      <c r="C1132" s="305" t="s">
        <v>1483</v>
      </c>
      <c r="D1132" s="161" t="s">
        <v>424</v>
      </c>
      <c r="E1132" s="72">
        <f>SUMIF(Adat!$AG:$AG,CONCATENATE(61,Info!$D$5,"059231",L1092),Adat!$E:$E)</f>
        <v>0</v>
      </c>
      <c r="F1132" s="72">
        <f>SUMIF(Adat!$AG:$AG,CONCATENATE(60,Info!$D$5,"059231",L1092),Adat!$E:$E)+E1132</f>
        <v>0</v>
      </c>
      <c r="G1132" s="72">
        <f>SUMIF(Adat!$AH:$AH,CONCATENATE(Info!$D$5,"(KÖT)","059231",L1092),Adat!$E:$E)</f>
        <v>0</v>
      </c>
      <c r="H1132" s="72">
        <f>SUMIF(Adat!$AH:$AH,CONCATENATE(Info!$D$5,"(ÖNV)","059231",L1092),Adat!$E:$E)</f>
        <v>0</v>
      </c>
      <c r="I1132" s="72">
        <f>SUMIF(Adat!$AH:$AH,CONCATENATE(Info!$D$5,"(ÁIG)","059231",L1092),Adat!$E:$E)</f>
        <v>0</v>
      </c>
    </row>
    <row r="1133" spans="2:18" s="42" customFormat="1" x14ac:dyDescent="0.25">
      <c r="B1133" s="160">
        <v>39</v>
      </c>
      <c r="C1133" s="305" t="s">
        <v>1485</v>
      </c>
      <c r="D1133" s="161" t="s">
        <v>494</v>
      </c>
      <c r="E1133" s="72">
        <f>SUMIF(Adat!$AG:$AG,CONCATENATE(61,Info!$D$5,"059241",L1092),Adat!$E:$E)</f>
        <v>0</v>
      </c>
      <c r="F1133" s="72">
        <f>SUMIF(Adat!$AG:$AG,CONCATENATE(60,Info!$D$5,"059241",L1092),Adat!$E:$E)+E1133</f>
        <v>0</v>
      </c>
      <c r="G1133" s="72">
        <f>SUMIF(Adat!$AH:$AH,CONCATENATE(Info!$D$5,"(KÖT)","059241",L1092),Adat!$E:$E)</f>
        <v>0</v>
      </c>
      <c r="H1133" s="72">
        <f>SUMIF(Adat!$AH:$AH,CONCATENATE(Info!$D$5,"(ÖNV)","059241",L1092),Adat!$E:$E)</f>
        <v>0</v>
      </c>
      <c r="I1133" s="72">
        <f>SUMIF(Adat!$AH:$AH,CONCATENATE(Info!$D$5,"(ÁIG)","059241",L1092),Adat!$E:$E)</f>
        <v>0</v>
      </c>
    </row>
    <row r="1134" spans="2:18" x14ac:dyDescent="0.25">
      <c r="B1134" s="160">
        <v>40</v>
      </c>
      <c r="C1134" s="305" t="s">
        <v>1487</v>
      </c>
      <c r="D1134" s="161" t="s">
        <v>427</v>
      </c>
      <c r="E1134" s="72">
        <f>SUMIF(Adat!$AG:$AG,CONCATENATE(61,Info!$D$5,"059251",L1092),Adat!$E:$E)</f>
        <v>0</v>
      </c>
      <c r="F1134" s="72">
        <f>SUMIF(Adat!$AG:$AG,CONCATENATE(60,Info!$D$5,"059251",L1092),Adat!$E:$E)+E1134</f>
        <v>0</v>
      </c>
      <c r="G1134" s="72">
        <f>SUMIF(Adat!$AH:$AH,CONCATENATE(Info!$D$5,"(KÖT)","059251",L1092),Adat!$E:$E)</f>
        <v>0</v>
      </c>
      <c r="H1134" s="72">
        <f>SUMIF(Adat!$AH:$AH,CONCATENATE(Info!$D$5,"(ÖNV)","059251",L1092),Adat!$E:$E)</f>
        <v>0</v>
      </c>
      <c r="I1134" s="72">
        <f>SUMIF(Adat!$AH:$AH,CONCATENATE(Info!$D$5,"(ÁIG)","059251",L1092),Adat!$E:$E)</f>
        <v>0</v>
      </c>
    </row>
    <row r="1135" spans="2:18" x14ac:dyDescent="0.25">
      <c r="B1135" s="160">
        <v>41</v>
      </c>
      <c r="C1135" s="162" t="s">
        <v>390</v>
      </c>
      <c r="D1135" s="86" t="s">
        <v>428</v>
      </c>
      <c r="E1135" s="72">
        <f>SUMIF(Adat!$AG:$AG,CONCATENATE(61,Info!$D$5,"05931",L1092),Adat!$E:$E)</f>
        <v>0</v>
      </c>
      <c r="F1135" s="72">
        <f>SUMIF(Adat!$AG:$AG,CONCATENATE(60,Info!$D$5,"05931",L1092),Adat!$E:$E)+E1135</f>
        <v>0</v>
      </c>
      <c r="G1135" s="72">
        <f>SUMIF(Adat!$AH:$AH,CONCATENATE(Info!$D$5,"(KÖT)","05931",L1092),Adat!$E:$E)</f>
        <v>0</v>
      </c>
      <c r="H1135" s="72">
        <f>SUMIF(Adat!$AH:$AH,CONCATENATE(Info!$D$5,"(ÖNV)","05931",L1092),Adat!$E:$E)</f>
        <v>0</v>
      </c>
      <c r="I1135" s="72">
        <f>SUMIF(Adat!$AH:$AH,CONCATENATE(Info!$D$5,"(ÁIG)","05931",L1092),Adat!$E:$E)</f>
        <v>0</v>
      </c>
    </row>
    <row r="1136" spans="2:18" x14ac:dyDescent="0.25">
      <c r="B1136" s="160">
        <v>42</v>
      </c>
      <c r="C1136" s="162" t="s">
        <v>429</v>
      </c>
      <c r="D1136" s="86" t="s">
        <v>430</v>
      </c>
      <c r="E1136" s="72">
        <f>SUMIF(Adat!$AG:$AG,CONCATENATE(61,Info!$D$5,"05941",L1092),Adat!$E:$E)</f>
        <v>0</v>
      </c>
      <c r="F1136" s="72">
        <f>SUMIF(Adat!$AG:$AG,CONCATENATE(60,Info!$D$5,"05941",L1092),Adat!$E:$E)+E1136</f>
        <v>0</v>
      </c>
      <c r="G1136" s="72">
        <f>SUMIF(Adat!$AH:$AH,CONCATENATE(Info!$D$5,"(KÖT)","05941",L1092),Adat!$E:$E)</f>
        <v>0</v>
      </c>
      <c r="H1136" s="72">
        <f>SUMIF(Adat!$AH:$AH,CONCATENATE(Info!$D$5,"(ÖNV)","05941",L1092),Adat!$E:$E)</f>
        <v>0</v>
      </c>
      <c r="I1136" s="72">
        <f>SUMIF(Adat!$AH:$AH,CONCATENATE(Info!$D$5,"(ÁIG)","05941",L1092),Adat!$E:$E)</f>
        <v>0</v>
      </c>
    </row>
    <row r="1137" spans="2:12" x14ac:dyDescent="0.25">
      <c r="B1137" s="160">
        <v>43</v>
      </c>
      <c r="C1137" s="78" t="s">
        <v>431</v>
      </c>
      <c r="D1137" s="86" t="s">
        <v>432</v>
      </c>
      <c r="E1137" s="74">
        <f>+E1112+E1116+E1123+E1129+E1135+E1136</f>
        <v>0</v>
      </c>
      <c r="F1137" s="74">
        <f>+F1112+F1116+F1123+F1129+F1135+F1136</f>
        <v>0</v>
      </c>
      <c r="G1137" s="74">
        <f>+G1112+G1116+G1123+G1129+G1135+G1136</f>
        <v>0</v>
      </c>
      <c r="H1137" s="74">
        <f>+H1112+H1116+H1123+H1129+H1135+H1136</f>
        <v>0</v>
      </c>
      <c r="I1137" s="74">
        <f>+I1112+I1116+I1123+I1129+I1135+I1136</f>
        <v>0</v>
      </c>
    </row>
    <row r="1138" spans="2:12" x14ac:dyDescent="0.25">
      <c r="B1138" s="160">
        <v>44</v>
      </c>
      <c r="C1138" s="154" t="s">
        <v>433</v>
      </c>
      <c r="D1138" s="159" t="s">
        <v>434</v>
      </c>
      <c r="E1138" s="74">
        <f>+E1111+E1137</f>
        <v>0</v>
      </c>
      <c r="F1138" s="74">
        <f>+F1111+F1137</f>
        <v>0</v>
      </c>
      <c r="G1138" s="74">
        <f>+G1111+G1137</f>
        <v>0</v>
      </c>
      <c r="H1138" s="74">
        <f>+H1111+H1137</f>
        <v>0</v>
      </c>
      <c r="I1138" s="74">
        <f>+I1111+I1137</f>
        <v>0</v>
      </c>
    </row>
    <row r="1139" spans="2:12" s="37" customFormat="1" ht="15.75" x14ac:dyDescent="0.25">
      <c r="C1139" s="529"/>
      <c r="D1139" s="529"/>
      <c r="E1139" s="529"/>
      <c r="F1139" s="200"/>
      <c r="G1139" s="200"/>
      <c r="H1139" s="200"/>
      <c r="I1139" s="200"/>
    </row>
    <row r="1140" spans="2:12" s="38" customFormat="1" ht="15.75" x14ac:dyDescent="0.25">
      <c r="B1140" s="525" t="str">
        <f>PAR!$E$3</f>
        <v>Nagymaros Város Önkormányzata</v>
      </c>
      <c r="C1140" s="525"/>
      <c r="D1140" s="525"/>
      <c r="E1140" s="525"/>
      <c r="F1140" s="525"/>
      <c r="G1140" s="525"/>
      <c r="H1140" s="525"/>
      <c r="I1140" s="525"/>
    </row>
    <row r="1141" spans="2:12" s="38" customFormat="1" ht="15.75" x14ac:dyDescent="0.25">
      <c r="B1141" s="525" t="s">
        <v>2660</v>
      </c>
      <c r="C1141" s="525"/>
      <c r="D1141" s="525"/>
      <c r="E1141" s="525"/>
      <c r="F1141" s="525"/>
      <c r="G1141" s="525"/>
      <c r="H1141" s="525"/>
      <c r="I1141" s="525"/>
    </row>
    <row r="1142" spans="2:12" s="38" customFormat="1" ht="15.75" x14ac:dyDescent="0.25">
      <c r="C1142" s="156"/>
      <c r="E1142" s="140"/>
      <c r="F1142" s="140"/>
      <c r="G1142" s="140"/>
      <c r="H1142" s="140"/>
      <c r="I1142" s="140"/>
    </row>
    <row r="1143" spans="2:12" s="10" customFormat="1" ht="15.75" customHeight="1" x14ac:dyDescent="0.25">
      <c r="B1143" s="201" t="str">
        <f>CONCATENATE("17. Bevételi jogcímek"," - ",L1143," részletező")</f>
        <v>17. Bevételi jogcímek -  részletező</v>
      </c>
      <c r="C1143" s="101"/>
      <c r="D1143" s="101"/>
      <c r="E1143" s="101"/>
      <c r="F1143" s="101"/>
      <c r="G1143" s="198"/>
      <c r="H1143" s="198"/>
      <c r="I1143" s="198"/>
      <c r="L1143" s="384"/>
    </row>
    <row r="1144" spans="2:12" s="38" customFormat="1" ht="15.75" x14ac:dyDescent="0.25">
      <c r="C1144" s="156"/>
      <c r="E1144" s="140"/>
      <c r="F1144" s="140"/>
      <c r="G1144" s="140"/>
      <c r="H1144" s="140"/>
      <c r="I1144" s="140"/>
    </row>
    <row r="1145" spans="2:12" s="40" customFormat="1" x14ac:dyDescent="0.25">
      <c r="B1145" s="77"/>
      <c r="C1145" s="77" t="s">
        <v>350</v>
      </c>
      <c r="D1145" s="77" t="s">
        <v>351</v>
      </c>
      <c r="E1145" s="77" t="s">
        <v>470</v>
      </c>
      <c r="F1145" s="77" t="s">
        <v>471</v>
      </c>
      <c r="G1145" s="77" t="s">
        <v>44</v>
      </c>
      <c r="H1145" s="77" t="s">
        <v>42</v>
      </c>
      <c r="I1145" s="77" t="s">
        <v>511</v>
      </c>
    </row>
    <row r="1146" spans="2:12" ht="38.25" x14ac:dyDescent="0.25">
      <c r="B1146" s="160">
        <v>1</v>
      </c>
      <c r="C1146" s="154" t="s">
        <v>593</v>
      </c>
      <c r="D1146" s="154" t="s">
        <v>488</v>
      </c>
      <c r="E1146" s="163" t="str">
        <f>CONCATENATE(PAR!$H$3," évi
eredeti 
előirányzat")</f>
        <v>2025. évi
eredeti 
előirányzat</v>
      </c>
      <c r="F1146" s="163" t="str">
        <f>CONCATENATE(PAR!$H$3," évi
módosított 
előirányzat")</f>
        <v>2025. évi
módosított 
előirányzat</v>
      </c>
      <c r="G1146" s="69" t="s">
        <v>666</v>
      </c>
      <c r="H1146" s="69" t="s">
        <v>667</v>
      </c>
      <c r="I1146" s="69" t="s">
        <v>668</v>
      </c>
    </row>
    <row r="1147" spans="2:12" s="41" customFormat="1" x14ac:dyDescent="0.25">
      <c r="B1147" s="160">
        <v>2</v>
      </c>
      <c r="C1147" s="78" t="s">
        <v>1324</v>
      </c>
      <c r="D1147" s="79" t="s">
        <v>562</v>
      </c>
      <c r="E1147" s="71">
        <f>SUM(E1148:E1154)</f>
        <v>0</v>
      </c>
      <c r="F1147" s="71">
        <f t="shared" ref="F1147:I1147" si="120">SUM(F1148:F1154)</f>
        <v>0</v>
      </c>
      <c r="G1147" s="71">
        <f t="shared" si="120"/>
        <v>0</v>
      </c>
      <c r="H1147" s="71">
        <f t="shared" si="120"/>
        <v>0</v>
      </c>
      <c r="I1147" s="71">
        <f t="shared" si="120"/>
        <v>0</v>
      </c>
    </row>
    <row r="1148" spans="2:12" s="42" customFormat="1" x14ac:dyDescent="0.2">
      <c r="B1148" s="160">
        <v>3</v>
      </c>
      <c r="C1148" s="305" t="s">
        <v>1288</v>
      </c>
      <c r="D1148" s="82" t="s">
        <v>1325</v>
      </c>
      <c r="E1148" s="72">
        <f>SUMIF(Adat!$AG:$AG,CONCATENATE(61,Info!$D$5,"091111",L1143),Adat!$E:$E)*-1</f>
        <v>0</v>
      </c>
      <c r="F1148" s="72">
        <f>SUMIF(Adat!$AG:$AG,CONCATENATE(60,Info!$D$5,"091111",L1143),Adat!$E:$E)*(-1)+E1148</f>
        <v>0</v>
      </c>
      <c r="G1148" s="72">
        <f>SUMIF(Adat!$AH:$AH,CONCATENATE(Info!$D$5,"(KÖT)","091111",L1143),Adat!$E:$E)*-1</f>
        <v>0</v>
      </c>
      <c r="H1148" s="72">
        <f>SUMIF(Adat!$AH:$AH,CONCATENATE(Info!$D$5,"(ÖNV)","091111",L1143),Adat!$E:$E)*-1</f>
        <v>0</v>
      </c>
      <c r="I1148" s="72">
        <f>SUMIF(Adat!$AH:$AH,CONCATENATE(Info!$D$5,"(ÁIG)","091111",L1143),Adat!$E:$E)*-1</f>
        <v>0</v>
      </c>
    </row>
    <row r="1149" spans="2:12" x14ac:dyDescent="0.2">
      <c r="B1149" s="160">
        <v>4</v>
      </c>
      <c r="C1149" s="305" t="s">
        <v>1289</v>
      </c>
      <c r="D1149" s="82" t="s">
        <v>735</v>
      </c>
      <c r="E1149" s="72">
        <f>SUMIF(Adat!$AG:$AG,CONCATENATE(61,Info!$D$5,"091121",L1143),Adat!$E:$E)*-1</f>
        <v>0</v>
      </c>
      <c r="F1149" s="72">
        <f>SUMIF(Adat!$AG:$AG,CONCATENATE(60,Info!$D$5,"091121",L1143),Adat!$E:$E)*-1+E1149</f>
        <v>0</v>
      </c>
      <c r="G1149" s="72">
        <f>SUMIF(Adat!$AH:$AH,CONCATENATE(Info!$D$5,"(KÖT)","091121",L1143),Adat!$E:$E)*-1</f>
        <v>0</v>
      </c>
      <c r="H1149" s="72">
        <f>SUMIF(Adat!$AH:$AH,CONCATENATE(Info!$D$5,"(ÖNV)","091121",L1143),Adat!$E:$E)*-1</f>
        <v>0</v>
      </c>
      <c r="I1149" s="72">
        <f>SUMIF(Adat!$AH:$AH,CONCATENATE(Info!$D$5,"(ÁIG)","091121",L1143),Adat!$E:$E)*-1</f>
        <v>0</v>
      </c>
    </row>
    <row r="1150" spans="2:12" x14ac:dyDescent="0.2">
      <c r="B1150" s="160">
        <v>5</v>
      </c>
      <c r="C1150" s="305" t="s">
        <v>1290</v>
      </c>
      <c r="D1150" s="82" t="s">
        <v>1326</v>
      </c>
      <c r="E1150" s="72">
        <f>SUMIF(Adat!$AG:$AG,CONCATENATE(61,Info!$D$5,"0911311",L1143),Adat!$E:$E)*-1</f>
        <v>0</v>
      </c>
      <c r="F1150" s="72">
        <f>SUMIF(Adat!$AG:$AG,CONCATENATE(60,Info!$D$5,"0911311",L1143),Adat!$E:$E)*-1+E1150</f>
        <v>0</v>
      </c>
      <c r="G1150" s="72">
        <f>SUMIF(Adat!$AH:$AH,CONCATENATE(Info!$D$5,"(KÖT)","0911311",L1143),Adat!$E:$E)*-1</f>
        <v>0</v>
      </c>
      <c r="H1150" s="72">
        <f>SUMIF(Adat!$AH:$AH,CONCATENATE(Info!$D$5,"(ÖNV)","0911311",L1143),Adat!$E:$E)*-1</f>
        <v>0</v>
      </c>
      <c r="I1150" s="72">
        <f>SUMIF(Adat!$AH:$AH,CONCATENATE(Info!$D$5,"(ÁIG)","0911311",L1143),Adat!$E:$E)*-1</f>
        <v>0</v>
      </c>
    </row>
    <row r="1151" spans="2:12" x14ac:dyDescent="0.2">
      <c r="B1151" s="160">
        <v>6</v>
      </c>
      <c r="C1151" s="305" t="s">
        <v>1254</v>
      </c>
      <c r="D1151" s="82" t="s">
        <v>736</v>
      </c>
      <c r="E1151" s="72">
        <f>SUMIF(Adat!$AG:$AG,CONCATENATE(61,Info!$D$5,"0911321",L1143),Adat!$E:$E)*-1</f>
        <v>0</v>
      </c>
      <c r="F1151" s="72">
        <f>SUMIF(Adat!$AG:$AG,CONCATENATE(60,Info!$D$5,"0911321",L1143),Adat!$E:$E)*-1+E1151</f>
        <v>0</v>
      </c>
      <c r="G1151" s="72">
        <f>SUMIF(Adat!$AH:$AH,CONCATENATE(Info!$D$5,"(KÖT)","0911321",L1143),Adat!$E:$E)*-1</f>
        <v>0</v>
      </c>
      <c r="H1151" s="72">
        <f>SUMIF(Adat!$AH:$AH,CONCATENATE(Info!$D$5,"(ÖNV)","0911321",L1143),Adat!$E:$E)*-1</f>
        <v>0</v>
      </c>
      <c r="I1151" s="72">
        <f>SUMIF(Adat!$AH:$AH,CONCATENATE(Info!$D$5,"(ÁIG)","0911321",L1143),Adat!$E:$E)*-1</f>
        <v>0</v>
      </c>
    </row>
    <row r="1152" spans="2:12" x14ac:dyDescent="0.25">
      <c r="B1152" s="160">
        <v>7</v>
      </c>
      <c r="C1152" s="305" t="s">
        <v>1291</v>
      </c>
      <c r="D1152" s="84" t="s">
        <v>737</v>
      </c>
      <c r="E1152" s="72">
        <f>SUMIF(Adat!$AG:$AG,CONCATENATE(61,Info!$D$5,"091141",L1143),Adat!$E:$E)*-1</f>
        <v>0</v>
      </c>
      <c r="F1152" s="72">
        <f>SUMIF(Adat!$AG:$AG,CONCATENATE(60,Info!$D$5,"091141",L1143),Adat!$E:$E)*-1+E1152</f>
        <v>0</v>
      </c>
      <c r="G1152" s="72">
        <f>SUMIF(Adat!$AH:$AH,CONCATENATE(Info!$D$5,"(KÖT)","091141",L1143),Adat!$E:$E)*-1</f>
        <v>0</v>
      </c>
      <c r="H1152" s="72">
        <f>SUMIF(Adat!$AH:$AH,CONCATENATE(Info!$D$5,"(ÖNV)","091141",L1143),Adat!$E:$E)*-1</f>
        <v>0</v>
      </c>
      <c r="I1152" s="72">
        <f>SUMIF(Adat!$AH:$AH,CONCATENATE(Info!$D$5,"(ÁIG)","091141",L1143),Adat!$E:$E)*-1</f>
        <v>0</v>
      </c>
    </row>
    <row r="1153" spans="2:9" x14ac:dyDescent="0.25">
      <c r="B1153" s="160">
        <v>8</v>
      </c>
      <c r="C1153" s="305" t="s">
        <v>1312</v>
      </c>
      <c r="D1153" s="84" t="s">
        <v>738</v>
      </c>
      <c r="E1153" s="72">
        <f>SUMIF(Adat!$AG:$AG,CONCATENATE(61,Info!$D$5,"091151",L1143),Adat!$E:$E)*-1</f>
        <v>0</v>
      </c>
      <c r="F1153" s="72">
        <f>SUMIF(Adat!$AG:$AG,CONCATENATE(60,Info!$D$5,"091151",L1143),Adat!$E:$E)*-1+E1153</f>
        <v>0</v>
      </c>
      <c r="G1153" s="72">
        <f>SUMIF(Adat!$AH:$AH,CONCATENATE(Info!$D$5,"(KÖT)","091151",L1143),Adat!$E:$E)*-1</f>
        <v>0</v>
      </c>
      <c r="H1153" s="72">
        <f>SUMIF(Adat!$AH:$AH,CONCATENATE(Info!$D$5,"(ÖNV)","091151",L1143),Adat!$E:$E)*-1</f>
        <v>0</v>
      </c>
      <c r="I1153" s="72">
        <f>SUMIF(Adat!$AH:$AH,CONCATENATE(Info!$D$5,"(ÁIG)","091151",L1143),Adat!$E:$E)*-1</f>
        <v>0</v>
      </c>
    </row>
    <row r="1154" spans="2:9" s="42" customFormat="1" x14ac:dyDescent="0.25">
      <c r="B1154" s="160">
        <v>9</v>
      </c>
      <c r="C1154" s="305" t="s">
        <v>1308</v>
      </c>
      <c r="D1154" s="84" t="s">
        <v>233</v>
      </c>
      <c r="E1154" s="72">
        <f>SUMIF(Adat!$AG:$AG,CONCATENATE(61,Info!$D$5,"091161",L1143),Adat!$E:$E)*-1</f>
        <v>0</v>
      </c>
      <c r="F1154" s="72">
        <f>SUMIF(Adat!$AG:$AG,CONCATENATE(60,Info!$D$5,"091161",L1143),Adat!$E:$E)*-1+E1154</f>
        <v>0</v>
      </c>
      <c r="G1154" s="72">
        <f>SUMIF(Adat!$AH:$AH,CONCATENATE(Info!$D$5,"(KÖT)","091161",L1143),Adat!$E:$E)*-1</f>
        <v>0</v>
      </c>
      <c r="H1154" s="72">
        <f>SUMIF(Adat!$AH:$AH,CONCATENATE(Info!$D$5,"(ÖNV)","091161",L1143),Adat!$E:$E)*-1</f>
        <v>0</v>
      </c>
      <c r="I1154" s="72">
        <f>SUMIF(Adat!$AH:$AH,CONCATENATE(Info!$D$5,"(ÁIG)","091161",L1143),Adat!$E:$E)*-1</f>
        <v>0</v>
      </c>
    </row>
    <row r="1155" spans="2:9" s="42" customFormat="1" x14ac:dyDescent="0.25">
      <c r="B1155" s="160">
        <v>10</v>
      </c>
      <c r="C1155" s="78" t="s">
        <v>1328</v>
      </c>
      <c r="D1155" s="85" t="s">
        <v>437</v>
      </c>
      <c r="E1155" s="71">
        <f>SUM(E1156:E1160)</f>
        <v>0</v>
      </c>
      <c r="F1155" s="71">
        <f t="shared" ref="F1155" si="121">SUM(F1156:F1160)</f>
        <v>0</v>
      </c>
      <c r="G1155" s="71">
        <f>SUM(G1156:G1160)</f>
        <v>0</v>
      </c>
      <c r="H1155" s="71">
        <f t="shared" ref="H1155:I1155" si="122">SUM(H1156:H1160)</f>
        <v>0</v>
      </c>
      <c r="I1155" s="71">
        <f t="shared" si="122"/>
        <v>0</v>
      </c>
    </row>
    <row r="1156" spans="2:9" s="42" customFormat="1" x14ac:dyDescent="0.2">
      <c r="B1156" s="160">
        <v>11</v>
      </c>
      <c r="C1156" s="305" t="s">
        <v>1329</v>
      </c>
      <c r="D1156" s="82" t="s">
        <v>1330</v>
      </c>
      <c r="E1156" s="72">
        <f>SUMIF(Adat!$AG:$AG,CONCATENATE(61,Info!$D$5,"09121",L1143),Adat!$E:$E)*-1</f>
        <v>0</v>
      </c>
      <c r="F1156" s="72">
        <f>SUMIF(Adat!$AG:$AG,CONCATENATE(60,Info!$D$5,"09121",L1143),Adat!$E:$E)*-1+E1156</f>
        <v>0</v>
      </c>
      <c r="G1156" s="72">
        <f>SUMIF(Adat!$AH:$AH,CONCATENATE(Info!$D$5,"(KÖT)","09121",L1143),Adat!$E:$E)*-1</f>
        <v>0</v>
      </c>
      <c r="H1156" s="72">
        <f>SUMIF(Adat!$AH:$AH,CONCATENATE(Info!$D$5,"(ÖNV)","09121",L1143),Adat!$E:$E)*-1</f>
        <v>0</v>
      </c>
      <c r="I1156" s="72">
        <f>SUMIF(Adat!$AH:$AH,CONCATENATE(Info!$D$5,"(ÁIG)","09121",L1143),Adat!$E:$E)*-1</f>
        <v>0</v>
      </c>
    </row>
    <row r="1157" spans="2:9" s="42" customFormat="1" x14ac:dyDescent="0.2">
      <c r="B1157" s="160">
        <v>12</v>
      </c>
      <c r="C1157" s="305" t="s">
        <v>1331</v>
      </c>
      <c r="D1157" s="82" t="s">
        <v>1332</v>
      </c>
      <c r="E1157" s="72">
        <f>SUMIF(Adat!$AG:$AG,CONCATENATE(61,Info!$D$5,"09131",L1143),Adat!$E:$E)*-1</f>
        <v>0</v>
      </c>
      <c r="F1157" s="72">
        <f>SUMIF(Adat!$AG:$AG,CONCATENATE(60,Info!$D$5,"09131",L1143),Adat!$E:$E)*-1+E1157</f>
        <v>0</v>
      </c>
      <c r="G1157" s="72">
        <f>SUMIF(Adat!$AH:$AH,CONCATENATE(Info!$D$5,"(KÖT)","09131",L1143),Adat!$E:$E)*-1</f>
        <v>0</v>
      </c>
      <c r="H1157" s="72">
        <f>SUMIF(Adat!$AH:$AH,CONCATENATE(Info!$D$5,"(ÖNV)","09131",L1143),Adat!$E:$E)*-1</f>
        <v>0</v>
      </c>
      <c r="I1157" s="72">
        <f>SUMIF(Adat!$AH:$AH,CONCATENATE(Info!$D$5,"(ÁIG)","09131",L1143),Adat!$E:$E)*-1</f>
        <v>0</v>
      </c>
    </row>
    <row r="1158" spans="2:9" s="42" customFormat="1" x14ac:dyDescent="0.2">
      <c r="B1158" s="160">
        <v>13</v>
      </c>
      <c r="C1158" s="305" t="s">
        <v>1333</v>
      </c>
      <c r="D1158" s="82" t="s">
        <v>1334</v>
      </c>
      <c r="E1158" s="72">
        <f>SUMIF(Adat!$AG:$AG,CONCATENATE(61,Info!$D$5,"09141",L1143),Adat!$E:$E)*-1</f>
        <v>0</v>
      </c>
      <c r="F1158" s="72">
        <f>SUMIF(Adat!$AG:$AG,CONCATENATE(60,Info!$D$5,"09141",L1143),Adat!$E:$E)*-1+E1158</f>
        <v>0</v>
      </c>
      <c r="G1158" s="72">
        <f>SUMIF(Adat!$AH:$AH,CONCATENATE(Info!$D$5,"(KÖT)","09141",L1143),Adat!$E:$E)*-1</f>
        <v>0</v>
      </c>
      <c r="H1158" s="72">
        <f>SUMIF(Adat!$AH:$AH,CONCATENATE(Info!$D$5,"(ÖNV)","09141",L1143),Adat!$E:$E)*-1</f>
        <v>0</v>
      </c>
      <c r="I1158" s="72">
        <f>SUMIF(Adat!$AH:$AH,CONCATENATE(Info!$D$5,"(ÁIG)","09141",L1143),Adat!$E:$E)*-1</f>
        <v>0</v>
      </c>
    </row>
    <row r="1159" spans="2:9" s="42" customFormat="1" x14ac:dyDescent="0.2">
      <c r="B1159" s="160">
        <v>14</v>
      </c>
      <c r="C1159" s="305" t="s">
        <v>1335</v>
      </c>
      <c r="D1159" s="82" t="s">
        <v>1336</v>
      </c>
      <c r="E1159" s="72">
        <f>SUMIF(Adat!$AG:$AG,CONCATENATE(61,Info!$D$5,"09151",L1143),Adat!$E:$E)*-1</f>
        <v>0</v>
      </c>
      <c r="F1159" s="72">
        <f>SUMIF(Adat!$AG:$AG,CONCATENATE(60,Info!$D$5,"09151",L1143),Adat!$E:$E)*-1+E1159</f>
        <v>0</v>
      </c>
      <c r="G1159" s="72">
        <f>SUMIF(Adat!$AH:$AH,CONCATENATE(Info!$D$5,"(KÖT)","09151",L1143),Adat!$E:$E)*-1</f>
        <v>0</v>
      </c>
      <c r="H1159" s="72">
        <f>SUMIF(Adat!$AH:$AH,CONCATENATE(Info!$D$5,"(ÖNV)","09151",L1143),Adat!$E:$E)*-1</f>
        <v>0</v>
      </c>
      <c r="I1159" s="72">
        <f>SUMIF(Adat!$AH:$AH,CONCATENATE(Info!$D$5,"(ÁIG)","09151",L1143),Adat!$E:$E)*-1</f>
        <v>0</v>
      </c>
    </row>
    <row r="1160" spans="2:9" s="42" customFormat="1" x14ac:dyDescent="0.2">
      <c r="B1160" s="160">
        <v>15</v>
      </c>
      <c r="C1160" s="305" t="s">
        <v>1278</v>
      </c>
      <c r="D1160" s="82" t="s">
        <v>1337</v>
      </c>
      <c r="E1160" s="72">
        <f>SUMIF(Adat!$AG:$AG,CONCATENATE(61,Info!$D$5,"09161",L1143),Adat!$E:$E)*-1</f>
        <v>0</v>
      </c>
      <c r="F1160" s="72">
        <f>SUMIF(Adat!$AG:$AG,CONCATENATE(60,Info!$D$5,"09161",L1143),Adat!$E:$E)*-1+E1160</f>
        <v>0</v>
      </c>
      <c r="G1160" s="72">
        <f>SUMIF(Adat!$AH:$AH,CONCATENATE(Info!$D$5,"(KÖT)","09161",L1143),Adat!$E:$E)*-1</f>
        <v>0</v>
      </c>
      <c r="H1160" s="72">
        <f>SUMIF(Adat!$AH:$AH,CONCATENATE(Info!$D$5,"(ÖNV)","09161",L1143),Adat!$E:$E)*-1</f>
        <v>0</v>
      </c>
      <c r="I1160" s="72">
        <f>SUMIF(Adat!$AH:$AH,CONCATENATE(Info!$D$5,"(ÁIG)","09161",L1143),Adat!$E:$E)*-1</f>
        <v>0</v>
      </c>
    </row>
    <row r="1161" spans="2:9" x14ac:dyDescent="0.25">
      <c r="B1161" s="160">
        <v>16</v>
      </c>
      <c r="C1161" s="79" t="s">
        <v>24</v>
      </c>
      <c r="D1161" s="79" t="s">
        <v>449</v>
      </c>
      <c r="E1161" s="71">
        <f t="shared" ref="E1161:F1161" si="123">SUM(E1162:E1166)</f>
        <v>0</v>
      </c>
      <c r="F1161" s="71">
        <f t="shared" si="123"/>
        <v>0</v>
      </c>
      <c r="G1161" s="71">
        <f>SUM(G1162:G1166)</f>
        <v>0</v>
      </c>
      <c r="H1161" s="71">
        <f t="shared" ref="H1161:I1161" si="124">SUM(H1162:H1166)</f>
        <v>0</v>
      </c>
      <c r="I1161" s="71">
        <f t="shared" si="124"/>
        <v>0</v>
      </c>
    </row>
    <row r="1162" spans="2:9" x14ac:dyDescent="0.2">
      <c r="B1162" s="160">
        <v>17</v>
      </c>
      <c r="C1162" s="305" t="s">
        <v>1339</v>
      </c>
      <c r="D1162" s="82" t="s">
        <v>1340</v>
      </c>
      <c r="E1162" s="72">
        <f>SUMIF(Adat!$AG:$AG,CONCATENATE(61,Info!$D$5,"09211",L1143),Adat!$E:$E)*-1</f>
        <v>0</v>
      </c>
      <c r="F1162" s="72">
        <f>SUMIF(Adat!$AG:$AG,CONCATENATE(60,Info!$D$5,"09211",L1143),Adat!$E:$E)*-1+E1162</f>
        <v>0</v>
      </c>
      <c r="G1162" s="72">
        <f>SUMIF(Adat!$AH:$AH,CONCATENATE(Info!$D$5,"(KÖT)","09211",L1143),Adat!$E:$E)*-1</f>
        <v>0</v>
      </c>
      <c r="H1162" s="72">
        <f>SUMIF(Adat!$AH:$AH,CONCATENATE(Info!$D$5,"(ÖNV)","09211",L1143),Adat!$E:$E)*-1</f>
        <v>0</v>
      </c>
      <c r="I1162" s="72">
        <f>SUMIF(Adat!$AH:$AH,CONCATENATE(Info!$D$5,"(ÁIG)","09211",L1143),Adat!$E:$E)*-1</f>
        <v>0</v>
      </c>
    </row>
    <row r="1163" spans="2:9" s="42" customFormat="1" x14ac:dyDescent="0.2">
      <c r="B1163" s="160">
        <v>18</v>
      </c>
      <c r="C1163" s="305" t="s">
        <v>1341</v>
      </c>
      <c r="D1163" s="82" t="s">
        <v>1342</v>
      </c>
      <c r="E1163" s="72">
        <f>SUMIF(Adat!$AG:$AG,CONCATENATE(61,Info!$D$5,"09221",L1143),Adat!$E:$E)*-1</f>
        <v>0</v>
      </c>
      <c r="F1163" s="72">
        <f>SUMIF(Adat!$AG:$AG,CONCATENATE(60,Info!$D$5,"09221",L1143),Adat!$E:$E)*-1+E1163</f>
        <v>0</v>
      </c>
      <c r="G1163" s="72">
        <f>SUMIF(Adat!$AH:$AH,CONCATENATE(Info!$D$5,"(KÖT)","09221",L1143),Adat!$E:$E)*-1</f>
        <v>0</v>
      </c>
      <c r="H1163" s="72">
        <f>SUMIF(Adat!$AH:$AH,CONCATENATE(Info!$D$5,"(ÖNV)","09221",L1143),Adat!$E:$E)*-1</f>
        <v>0</v>
      </c>
      <c r="I1163" s="72">
        <f>SUMIF(Adat!$AH:$AH,CONCATENATE(Info!$D$5,"(ÁIG)","09221",L1143),Adat!$E:$E)*-1</f>
        <v>0</v>
      </c>
    </row>
    <row r="1164" spans="2:9" x14ac:dyDescent="0.2">
      <c r="B1164" s="160">
        <v>19</v>
      </c>
      <c r="C1164" s="305" t="s">
        <v>1343</v>
      </c>
      <c r="D1164" s="82" t="s">
        <v>1344</v>
      </c>
      <c r="E1164" s="72">
        <f>SUMIF(Adat!$AG:$AG,CONCATENATE(61,Info!$D$5,"09231",L1143),Adat!$E:$E)*-1</f>
        <v>0</v>
      </c>
      <c r="F1164" s="72">
        <f>SUMIF(Adat!$AG:$AG,CONCATENATE(60,Info!$D$5,"09231",L1143),Adat!$E:$E)*-1+E1164</f>
        <v>0</v>
      </c>
      <c r="G1164" s="72">
        <f>SUMIF(Adat!$AH:$AH,CONCATENATE(Info!$D$5,"(KÖT)","09231",L1143),Adat!$E:$E)*-1</f>
        <v>0</v>
      </c>
      <c r="H1164" s="72">
        <f>SUMIF(Adat!$AH:$AH,CONCATENATE(Info!$D$5,"(ÖNV)","09231",L1143),Adat!$E:$E)*-1</f>
        <v>0</v>
      </c>
      <c r="I1164" s="72">
        <f>SUMIF(Adat!$AH:$AH,CONCATENATE(Info!$D$5,"(ÁIG)","09231",L1143),Adat!$E:$E)*-1</f>
        <v>0</v>
      </c>
    </row>
    <row r="1165" spans="2:9" x14ac:dyDescent="0.2">
      <c r="B1165" s="160">
        <v>20</v>
      </c>
      <c r="C1165" s="305" t="s">
        <v>1345</v>
      </c>
      <c r="D1165" s="82" t="s">
        <v>1346</v>
      </c>
      <c r="E1165" s="72">
        <f>SUMIF(Adat!$AG:$AG,CONCATENATE(61,Info!$D$5,"09241",L1143),Adat!$E:$E)*-1</f>
        <v>0</v>
      </c>
      <c r="F1165" s="72">
        <f>SUMIF(Adat!$AG:$AG,CONCATENATE(60,Info!$D$5,"09241",L1143),Adat!$E:$E)*-1+E1165</f>
        <v>0</v>
      </c>
      <c r="G1165" s="72">
        <f>SUMIF(Adat!$AH:$AH,CONCATENATE(Info!$D$5,"(KÖT)","09241",L1143),Adat!$E:$E)*-1</f>
        <v>0</v>
      </c>
      <c r="H1165" s="72">
        <f>SUMIF(Adat!$AH:$AH,CONCATENATE(Info!$D$5,"(ÖNV)","09241",L1143),Adat!$E:$E)*-1</f>
        <v>0</v>
      </c>
      <c r="I1165" s="72">
        <f>SUMIF(Adat!$AH:$AH,CONCATENATE(Info!$D$5,"(ÁIG)","09241",L1143),Adat!$E:$E)*-1</f>
        <v>0</v>
      </c>
    </row>
    <row r="1166" spans="2:9" x14ac:dyDescent="0.2">
      <c r="B1166" s="160">
        <v>21</v>
      </c>
      <c r="C1166" s="305" t="s">
        <v>1255</v>
      </c>
      <c r="D1166" s="82" t="s">
        <v>1347</v>
      </c>
      <c r="E1166" s="72">
        <f>SUMIF(Adat!$AG:$AG,CONCATENATE(61,Info!$D$5,"09251",L1143),Adat!$E:$E)*-1</f>
        <v>0</v>
      </c>
      <c r="F1166" s="72">
        <f>SUMIF(Adat!$AG:$AG,CONCATENATE(60,Info!$D$5,"09251",L1143),Adat!$E:$E)*-1+E1166</f>
        <v>0</v>
      </c>
      <c r="G1166" s="72">
        <f>SUMIF(Adat!$AH:$AH,CONCATENATE(Info!$D$5,"(KÖT)","09251",L1143),Adat!$E:$E)*-1</f>
        <v>0</v>
      </c>
      <c r="H1166" s="72">
        <f>SUMIF(Adat!$AH:$AH,CONCATENATE(Info!$D$5,"(ÖNV)","09251",L1143),Adat!$E:$E)*-1</f>
        <v>0</v>
      </c>
      <c r="I1166" s="72">
        <f>SUMIF(Adat!$AH:$AH,CONCATENATE(Info!$D$5,"(ÁIG)","09251",L1143),Adat!$E:$E)*-1</f>
        <v>0</v>
      </c>
    </row>
    <row r="1167" spans="2:9" x14ac:dyDescent="0.25">
      <c r="B1167" s="160">
        <v>22</v>
      </c>
      <c r="C1167" s="79" t="s">
        <v>27</v>
      </c>
      <c r="D1167" s="79" t="s">
        <v>328</v>
      </c>
      <c r="E1167" s="71">
        <f>SUM(E1168:E1173)</f>
        <v>0</v>
      </c>
      <c r="F1167" s="71">
        <f>SUM(F1168:F1173)</f>
        <v>0</v>
      </c>
      <c r="G1167" s="71">
        <f>SUM(G1168:G1173)</f>
        <v>0</v>
      </c>
      <c r="H1167" s="71">
        <f>SUM(H1168:H1173)</f>
        <v>0</v>
      </c>
      <c r="I1167" s="71">
        <f>SUM(I1168:I1173)</f>
        <v>0</v>
      </c>
    </row>
    <row r="1168" spans="2:9" x14ac:dyDescent="0.2">
      <c r="B1168" s="160">
        <v>23</v>
      </c>
      <c r="C1168" s="305" t="s">
        <v>1348</v>
      </c>
      <c r="D1168" s="82" t="s">
        <v>1349</v>
      </c>
      <c r="E1168" s="72">
        <f>SUMIF(Adat!$AG:$AG,CONCATENATE(61,Info!$D$5,"093111",L1143),Adat!$E:$E)*-1</f>
        <v>0</v>
      </c>
      <c r="F1168" s="72">
        <f>SUMIF(Adat!$AG:$AG,CONCATENATE(60,Info!$D$5,"093111",L1143),Adat!$E:$E)*-1+E1168</f>
        <v>0</v>
      </c>
      <c r="G1168" s="72">
        <f>SUMIF(Adat!$AH:$AH,CONCATENATE(Info!$D$5,"(KÖT)","093111",L1143),Adat!$E:$E)*-1</f>
        <v>0</v>
      </c>
      <c r="H1168" s="72">
        <f>SUMIF(Adat!$AH:$AH,CONCATENATE(Info!$D$5,"(ÖNV)","093111",L1143),Adat!$E:$E)*-1</f>
        <v>0</v>
      </c>
      <c r="I1168" s="72">
        <f>SUMIF(Adat!$AH:$AH,CONCATENATE(Info!$D$5,"(ÁIG)","093111",L1143),Adat!$E:$E)*-1</f>
        <v>0</v>
      </c>
    </row>
    <row r="1169" spans="2:9" x14ac:dyDescent="0.2">
      <c r="B1169" s="160">
        <v>24</v>
      </c>
      <c r="C1169" s="305" t="s">
        <v>1259</v>
      </c>
      <c r="D1169" s="82" t="s">
        <v>1350</v>
      </c>
      <c r="E1169" s="72">
        <f>SUMIF(Adat!$AG:$AG,CONCATENATE(61,Info!$D$5,"09341",L1143),Adat!$E:$E)*-1</f>
        <v>0</v>
      </c>
      <c r="F1169" s="72">
        <f>SUMIF(Adat!$AG:$AG,CONCATENATE(60,Info!$D$5,"09341",L1143),Adat!$E:$E)*-1+E1169</f>
        <v>0</v>
      </c>
      <c r="G1169" s="72">
        <f>SUMIF(Adat!$AH:$AH,CONCATENATE(Info!$D$5,"(KÖT)","09341",L1143),Adat!$E:$E)*-1</f>
        <v>0</v>
      </c>
      <c r="H1169" s="72">
        <f>SUMIF(Adat!$AH:$AH,CONCATENATE(Info!$D$5,"(ÖNV)","09341",L1143),Adat!$E:$E)*-1</f>
        <v>0</v>
      </c>
      <c r="I1169" s="72">
        <f>SUMIF(Adat!$AH:$AH,CONCATENATE(Info!$D$5,"(ÁIG)","09341",L1143),Adat!$E:$E)*-1</f>
        <v>0</v>
      </c>
    </row>
    <row r="1170" spans="2:9" x14ac:dyDescent="0.2">
      <c r="B1170" s="160">
        <v>25</v>
      </c>
      <c r="C1170" s="305" t="s">
        <v>1260</v>
      </c>
      <c r="D1170" s="82" t="s">
        <v>1351</v>
      </c>
      <c r="E1170" s="72">
        <f>SUMIF(Adat!$AG:$AG,CONCATENATE(61,Info!$D$5,"093511",L1143),Adat!$E:$E)*-1</f>
        <v>0</v>
      </c>
      <c r="F1170" s="72">
        <f>SUMIF(Adat!$AG:$AG,CONCATENATE(60,Info!$D$5,"093511",L1143),Adat!$E:$E)*-1+E1170</f>
        <v>0</v>
      </c>
      <c r="G1170" s="72">
        <f>SUMIF(Adat!$AH:$AH,CONCATENATE(Info!$D$5,"(KÖT)","093511",L1143),Adat!$E:$E)*-1</f>
        <v>0</v>
      </c>
      <c r="H1170" s="72">
        <f>SUMIF(Adat!$AH:$AH,CONCATENATE(Info!$D$5,"(ÖNV)","093511",L1143),Adat!$E:$E)*-1</f>
        <v>0</v>
      </c>
      <c r="I1170" s="72">
        <f>SUMIF(Adat!$AH:$AH,CONCATENATE(Info!$D$5,"(ÁIG)","093511",L1143),Adat!$E:$E)*-1</f>
        <v>0</v>
      </c>
    </row>
    <row r="1171" spans="2:9" x14ac:dyDescent="0.2">
      <c r="B1171" s="160">
        <v>26</v>
      </c>
      <c r="C1171" s="305" t="s">
        <v>1352</v>
      </c>
      <c r="D1171" s="82" t="s">
        <v>1353</v>
      </c>
      <c r="E1171" s="72">
        <f>SUMIF(Adat!$AG:$AG,CONCATENATE(61,Info!$D$5,"093521",L1143),Adat!$E:$E)*-1</f>
        <v>0</v>
      </c>
      <c r="F1171" s="72">
        <f>SUMIF(Adat!$AG:$AG,CONCATENATE(60,Info!$D$5,"093521",L1143),Adat!$E:$E)*-1+E1171</f>
        <v>0</v>
      </c>
      <c r="G1171" s="72">
        <f>SUMIF(Adat!$AH:$AH,CONCATENATE(Info!$D$5,"(KÖT)","093521",L1143),Adat!$E:$E)*-1</f>
        <v>0</v>
      </c>
      <c r="H1171" s="72">
        <f>SUMIF(Adat!$AH:$AH,CONCATENATE(Info!$D$5,"(ÖNV)","093521",L1143),Adat!$E:$E)*-1</f>
        <v>0</v>
      </c>
      <c r="I1171" s="72">
        <f>SUMIF(Adat!$AH:$AH,CONCATENATE(Info!$D$5,"(ÁIG)","093521",L1143),Adat!$E:$E)*-1</f>
        <v>0</v>
      </c>
    </row>
    <row r="1172" spans="2:9" x14ac:dyDescent="0.2">
      <c r="B1172" s="160">
        <v>27</v>
      </c>
      <c r="C1172" s="305" t="s">
        <v>1292</v>
      </c>
      <c r="D1172" s="82" t="s">
        <v>1354</v>
      </c>
      <c r="E1172" s="72">
        <f>SUMIF(Adat!$AG:$AG,CONCATENATE(61,Info!$D$5,"093551",L1143),Adat!$E:$E)*-1</f>
        <v>0</v>
      </c>
      <c r="F1172" s="72">
        <f>SUMIF(Adat!$AG:$AG,CONCATENATE(60,Info!$D$5,"093551",L1143),Adat!$E:$E)*-1+E1172</f>
        <v>0</v>
      </c>
      <c r="G1172" s="72">
        <f>SUMIF(Adat!$AH:$AH,CONCATENATE(Info!$D$5,"(KÖT)","093551",L1143),Adat!$E:$E)*-1</f>
        <v>0</v>
      </c>
      <c r="H1172" s="72">
        <f>SUMIF(Adat!$AH:$AH,CONCATENATE(Info!$D$5,"(ÖNV)","093551",L1143),Adat!$E:$E)*-1</f>
        <v>0</v>
      </c>
      <c r="I1172" s="72">
        <f>SUMIF(Adat!$AH:$AH,CONCATENATE(Info!$D$5,"(ÁIG)","093551",L1143),Adat!$E:$E)*-1</f>
        <v>0</v>
      </c>
    </row>
    <row r="1173" spans="2:9" x14ac:dyDescent="0.2">
      <c r="B1173" s="160">
        <v>28</v>
      </c>
      <c r="C1173" s="305" t="s">
        <v>1293</v>
      </c>
      <c r="D1173" s="82" t="s">
        <v>1355</v>
      </c>
      <c r="E1173" s="72">
        <f>SUMIF(Adat!$AG:$AG,CONCATENATE(61,Info!$D$5,"09361",L1143),Adat!$E:$E)*-1</f>
        <v>0</v>
      </c>
      <c r="F1173" s="72">
        <f>SUMIF(Adat!$AG:$AG,CONCATENATE(60,Info!$D$5,"09361",L1143),Adat!$E:$E)*-1+E1173</f>
        <v>0</v>
      </c>
      <c r="G1173" s="72">
        <f>SUMIF(Adat!$AH:$AH,CONCATENATE(Info!$D$5,"(KÖT)","09361",L1143),Adat!$E:$E)*-1</f>
        <v>0</v>
      </c>
      <c r="H1173" s="72">
        <f>SUMIF(Adat!$AH:$AH,CONCATENATE(Info!$D$5,"(ÖNV)","09361",L1143),Adat!$E:$E)*-1</f>
        <v>0</v>
      </c>
      <c r="I1173" s="72">
        <f>SUMIF(Adat!$AH:$AH,CONCATENATE(Info!$D$5,"(ÁIG)","09361",L1143),Adat!$E:$E)*-1</f>
        <v>0</v>
      </c>
    </row>
    <row r="1174" spans="2:9" x14ac:dyDescent="0.25">
      <c r="B1174" s="160">
        <v>29</v>
      </c>
      <c r="C1174" s="79" t="s">
        <v>30</v>
      </c>
      <c r="D1174" s="79" t="s">
        <v>329</v>
      </c>
      <c r="E1174" s="71">
        <f>SUM(E1175:E1187)</f>
        <v>0</v>
      </c>
      <c r="F1174" s="71">
        <f t="shared" ref="F1174:I1174" si="125">SUM(F1175:F1187)</f>
        <v>0</v>
      </c>
      <c r="G1174" s="71">
        <f t="shared" si="125"/>
        <v>0</v>
      </c>
      <c r="H1174" s="71">
        <f t="shared" si="125"/>
        <v>0</v>
      </c>
      <c r="I1174" s="71">
        <f t="shared" si="125"/>
        <v>0</v>
      </c>
    </row>
    <row r="1175" spans="2:9" x14ac:dyDescent="0.2">
      <c r="B1175" s="160">
        <v>30</v>
      </c>
      <c r="C1175" s="305" t="s">
        <v>1309</v>
      </c>
      <c r="D1175" s="82" t="s">
        <v>1356</v>
      </c>
      <c r="E1175" s="72">
        <f>SUMIF(Adat!$AG:$AG,CONCATENATE(61,Info!$D$5,"094011",L1143),Adat!$E:$E)*-1</f>
        <v>0</v>
      </c>
      <c r="F1175" s="72">
        <f>SUMIF(Adat!$AG:$AG,CONCATENATE(60,Info!$D$5,"094011",L1143),Adat!$E:$E)*-1+E1175</f>
        <v>0</v>
      </c>
      <c r="G1175" s="72">
        <f>SUMIF(Adat!$AH:$AH,CONCATENATE(Info!$D$5,"(KÖT)","094011",L1143),Adat!$E:$E)*-1</f>
        <v>0</v>
      </c>
      <c r="H1175" s="72">
        <f>SUMIF(Adat!$AH:$AH,CONCATENATE(Info!$D$5,"(ÖNV)","094011",L1143),Adat!$E:$E)*-1</f>
        <v>0</v>
      </c>
      <c r="I1175" s="72">
        <f>SUMIF(Adat!$AH:$AH,CONCATENATE(Info!$D$5,"(ÁIG)","094011",L1143),Adat!$E:$E)*-1</f>
        <v>0</v>
      </c>
    </row>
    <row r="1176" spans="2:9" x14ac:dyDescent="0.2">
      <c r="B1176" s="160">
        <v>31</v>
      </c>
      <c r="C1176" s="305" t="s">
        <v>1279</v>
      </c>
      <c r="D1176" s="82" t="s">
        <v>1357</v>
      </c>
      <c r="E1176" s="72">
        <f>SUMIF(Adat!$AG:$AG,CONCATENATE(61,Info!$D$5,"094021",L1143),Adat!$E:$E)*-1</f>
        <v>0</v>
      </c>
      <c r="F1176" s="72">
        <f>SUMIF(Adat!$AG:$AG,CONCATENATE(60,Info!$D$5,"094021",L1143),Adat!$E:$E)*-1+E1176</f>
        <v>0</v>
      </c>
      <c r="G1176" s="72">
        <f>SUMIF(Adat!$AH:$AH,CONCATENATE(Info!$D$5,"(KÖT)","094021",L1143),Adat!$E:$E)*-1</f>
        <v>0</v>
      </c>
      <c r="H1176" s="72">
        <f>SUMIF(Adat!$AH:$AH,CONCATENATE(Info!$D$5,"(ÖNV)","094021",L1143),Adat!$E:$E)*-1</f>
        <v>0</v>
      </c>
      <c r="I1176" s="72">
        <f>SUMIF(Adat!$AH:$AH,CONCATENATE(Info!$D$5,"(ÁIG)","094021",L1143),Adat!$E:$E)*-1</f>
        <v>0</v>
      </c>
    </row>
    <row r="1177" spans="2:9" x14ac:dyDescent="0.2">
      <c r="B1177" s="160">
        <v>32</v>
      </c>
      <c r="C1177" s="305" t="s">
        <v>1272</v>
      </c>
      <c r="D1177" s="82" t="s">
        <v>1358</v>
      </c>
      <c r="E1177" s="72">
        <f>SUMIF(Adat!$AG:$AG,CONCATENATE(61,Info!$D$5,"094031",L1143),Adat!$E:$E)*-1</f>
        <v>0</v>
      </c>
      <c r="F1177" s="72">
        <f>SUMIF(Adat!$AG:$AG,CONCATENATE(60,Info!$D$5,"094031",L1143),Adat!$E:$E)*-1+E1177</f>
        <v>0</v>
      </c>
      <c r="G1177" s="72">
        <f>SUMIF(Adat!$AH:$AH,CONCATENATE(Info!$D$5,"(KÖT)","094031",L1143),Adat!$E:$E)*-1</f>
        <v>0</v>
      </c>
      <c r="H1177" s="72">
        <f>SUMIF(Adat!$AH:$AH,CONCATENATE(Info!$D$5,"(ÖNV)","094031",L1143),Adat!$E:$E)*-1</f>
        <v>0</v>
      </c>
      <c r="I1177" s="72">
        <f>SUMIF(Adat!$AH:$AH,CONCATENATE(Info!$D$5,"(ÁIG)","094031",L1143),Adat!$E:$E)*-1</f>
        <v>0</v>
      </c>
    </row>
    <row r="1178" spans="2:9" x14ac:dyDescent="0.2">
      <c r="B1178" s="160">
        <v>33</v>
      </c>
      <c r="C1178" s="305" t="s">
        <v>1359</v>
      </c>
      <c r="D1178" s="82" t="s">
        <v>1360</v>
      </c>
      <c r="E1178" s="72">
        <f>SUMIF(Adat!$AG:$AG,CONCATENATE(61,Info!$D$5,"094041",L1143),Adat!$E:$E)*-1</f>
        <v>0</v>
      </c>
      <c r="F1178" s="72">
        <f>SUMIF(Adat!$AG:$AG,CONCATENATE(60,Info!$D$5,"094041",L1143),Adat!$E:$E)*-1+E1178</f>
        <v>0</v>
      </c>
      <c r="G1178" s="72">
        <f>SUMIF(Adat!$AH:$AH,CONCATENATE(Info!$D$5,"(KÖT)","094041",L1143),Adat!$E:$E)*-1</f>
        <v>0</v>
      </c>
      <c r="H1178" s="72">
        <f>SUMIF(Adat!$AH:$AH,CONCATENATE(Info!$D$5,"(ÖNV)","094041",L1143),Adat!$E:$E)*-1</f>
        <v>0</v>
      </c>
      <c r="I1178" s="72">
        <f>SUMIF(Adat!$AH:$AH,CONCATENATE(Info!$D$5,"(ÁIG)","094041",L1143),Adat!$E:$E)*-1</f>
        <v>0</v>
      </c>
    </row>
    <row r="1179" spans="2:9" x14ac:dyDescent="0.2">
      <c r="B1179" s="160">
        <v>34</v>
      </c>
      <c r="C1179" s="305" t="s">
        <v>1261</v>
      </c>
      <c r="D1179" s="82" t="s">
        <v>1361</v>
      </c>
      <c r="E1179" s="72">
        <f>SUMIF(Adat!$AG:$AG,CONCATENATE(61,Info!$D$5,"094051",L1143),Adat!$E:$E)*-1</f>
        <v>0</v>
      </c>
      <c r="F1179" s="72">
        <f>SUMIF(Adat!$AG:$AG,CONCATENATE(60,Info!$D$5,"094051",L1143),Adat!$E:$E)*-1+E1179</f>
        <v>0</v>
      </c>
      <c r="G1179" s="72">
        <f>SUMIF(Adat!$AH:$AH,CONCATENATE(Info!$D$5,"(KÖT)","094051",L1143),Adat!$E:$E)*-1</f>
        <v>0</v>
      </c>
      <c r="H1179" s="72">
        <f>SUMIF(Adat!$AH:$AH,CONCATENATE(Info!$D$5,"(ÖNV)","094051",L1143),Adat!$E:$E)*-1</f>
        <v>0</v>
      </c>
      <c r="I1179" s="72">
        <f>SUMIF(Adat!$AH:$AH,CONCATENATE(Info!$D$5,"(ÁIG)","094051",L1143),Adat!$E:$E)*-1</f>
        <v>0</v>
      </c>
    </row>
    <row r="1180" spans="2:9" x14ac:dyDescent="0.2">
      <c r="B1180" s="160">
        <v>35</v>
      </c>
      <c r="C1180" s="305" t="s">
        <v>1273</v>
      </c>
      <c r="D1180" s="82" t="s">
        <v>1362</v>
      </c>
      <c r="E1180" s="72">
        <f>SUMIF(Adat!$AG:$AG,CONCATENATE(61,Info!$D$5,"094061",L1143),Adat!$E:$E)*-1</f>
        <v>0</v>
      </c>
      <c r="F1180" s="72">
        <f>SUMIF(Adat!$AG:$AG,CONCATENATE(60,Info!$D$5,"094061",L1143),Adat!$E:$E)*-1+E1180</f>
        <v>0</v>
      </c>
      <c r="G1180" s="72">
        <f>SUMIF(Adat!$AH:$AH,CONCATENATE(Info!$D$5,"(KÖT)","094061",L1143),Adat!$E:$E)*-1</f>
        <v>0</v>
      </c>
      <c r="H1180" s="72">
        <f>SUMIF(Adat!$AH:$AH,CONCATENATE(Info!$D$5,"(ÖNV)","094061",L1143),Adat!$E:$E)*-1</f>
        <v>0</v>
      </c>
      <c r="I1180" s="72">
        <f>SUMIF(Adat!$AH:$AH,CONCATENATE(Info!$D$5,"(ÁIG)","094061",L1143),Adat!$E:$E)*-1</f>
        <v>0</v>
      </c>
    </row>
    <row r="1181" spans="2:9" x14ac:dyDescent="0.2">
      <c r="B1181" s="160">
        <v>36</v>
      </c>
      <c r="C1181" s="305" t="s">
        <v>1363</v>
      </c>
      <c r="D1181" s="82" t="s">
        <v>1364</v>
      </c>
      <c r="E1181" s="72">
        <f>SUMIF(Adat!$AG:$AG,CONCATENATE(61,Info!$D$5,"094071",L1143),Adat!$E:$E)*-1</f>
        <v>0</v>
      </c>
      <c r="F1181" s="72">
        <f>SUMIF(Adat!$AG:$AG,CONCATENATE(60,Info!$D$5,"094071",L1143),Adat!$E:$E)*-1+E1181</f>
        <v>0</v>
      </c>
      <c r="G1181" s="72">
        <f>SUMIF(Adat!$AH:$AH,CONCATENATE(Info!$D$5,"(KÖT)","094071",L1143),Adat!$E:$E)*-1</f>
        <v>0</v>
      </c>
      <c r="H1181" s="72">
        <f>SUMIF(Adat!$AH:$AH,CONCATENATE(Info!$D$5,"(ÖNV)","094071",L1143),Adat!$E:$E)*-1</f>
        <v>0</v>
      </c>
      <c r="I1181" s="72">
        <f>SUMIF(Adat!$AH:$AH,CONCATENATE(Info!$D$5,"(ÁIG)","094071",L1143),Adat!$E:$E)*-1</f>
        <v>0</v>
      </c>
    </row>
    <row r="1182" spans="2:9" x14ac:dyDescent="0.2">
      <c r="B1182" s="160">
        <v>37</v>
      </c>
      <c r="C1182" s="305" t="s">
        <v>1306</v>
      </c>
      <c r="D1182" s="82" t="s">
        <v>1365</v>
      </c>
      <c r="E1182" s="72">
        <f>SUMIF(Adat!$AG:$AG,CONCATENATE(61,Info!$D$5,"0940811",L1143),Adat!$E:$E)*-1</f>
        <v>0</v>
      </c>
      <c r="F1182" s="72">
        <f>SUMIF(Adat!$AG:$AG,CONCATENATE(60,Info!$D$5,"0940811",L1143),Adat!$E:$E)*-1+E1182</f>
        <v>0</v>
      </c>
      <c r="G1182" s="72">
        <f>SUMIF(Adat!$AH:$AH,CONCATENATE(Info!$D$5,"(KÖT)","0940811",L1143),Adat!$E:$E)*-1</f>
        <v>0</v>
      </c>
      <c r="H1182" s="72">
        <f>SUMIF(Adat!$AH:$AH,CONCATENATE(Info!$D$5,"(ÖNV)","0940811",L1143),Adat!$E:$E)*-1</f>
        <v>0</v>
      </c>
      <c r="I1182" s="72">
        <f>SUMIF(Adat!$AH:$AH,CONCATENATE(Info!$D$5,"(ÁIG)","0940811",L1143),Adat!$E:$E)*-1</f>
        <v>0</v>
      </c>
    </row>
    <row r="1183" spans="2:9" x14ac:dyDescent="0.2">
      <c r="B1183" s="160">
        <v>38</v>
      </c>
      <c r="C1183" s="305" t="s">
        <v>1295</v>
      </c>
      <c r="D1183" s="82" t="s">
        <v>1366</v>
      </c>
      <c r="E1183" s="72">
        <f>SUMIF(Adat!$AG:$AG,CONCATENATE(61,Info!$D$5,"0940821",L1143),Adat!$E:$E)*-1</f>
        <v>0</v>
      </c>
      <c r="F1183" s="72">
        <f>SUMIF(Adat!$AG:$AG,CONCATENATE(60,Info!$D$5,"0940821",L1143),Adat!$E:$E)*-1+E1183</f>
        <v>0</v>
      </c>
      <c r="G1183" s="72">
        <f>SUMIF(Adat!$AH:$AH,CONCATENATE(Info!$D$5,"(KÖT)","0940821",L1143),Adat!$E:$E)*-1</f>
        <v>0</v>
      </c>
      <c r="H1183" s="72">
        <f>SUMIF(Adat!$AH:$AH,CONCATENATE(Info!$D$5,"(ÖNV)","0940821",L1143),Adat!$E:$E)*-1</f>
        <v>0</v>
      </c>
      <c r="I1183" s="72">
        <f>SUMIF(Adat!$AH:$AH,CONCATENATE(Info!$D$5,"(ÁIG)","0940821",L1143),Adat!$E:$E)*-1</f>
        <v>0</v>
      </c>
    </row>
    <row r="1184" spans="2:9" x14ac:dyDescent="0.2">
      <c r="B1184" s="160">
        <v>39</v>
      </c>
      <c r="C1184" s="305" t="s">
        <v>1367</v>
      </c>
      <c r="D1184" s="82" t="s">
        <v>1368</v>
      </c>
      <c r="E1184" s="72">
        <f>SUMIF(Adat!$AG:$AG,CONCATENATE(61,Info!$D$5,"0940911",L1143),Adat!$E:$E)*-1</f>
        <v>0</v>
      </c>
      <c r="F1184" s="72">
        <f>SUMIF(Adat!$AG:$AG,CONCATENATE(60,Info!$D$5,"0940911",L1143),Adat!$E:$E)*-1+E1184</f>
        <v>0</v>
      </c>
      <c r="G1184" s="72">
        <f>SUMIF(Adat!$AH:$AH,CONCATENATE(Info!$D$5,"(KÖT)","0940911",L1143),Adat!$E:$E)*-1</f>
        <v>0</v>
      </c>
      <c r="H1184" s="72">
        <f>SUMIF(Adat!$AH:$AH,CONCATENATE(Info!$D$5,"(ÖNV)","0940911",L1143),Adat!$E:$E)*-1</f>
        <v>0</v>
      </c>
      <c r="I1184" s="72">
        <f>SUMIF(Adat!$AH:$AH,CONCATENATE(Info!$D$5,"(ÁIG)","0940911",L1143),Adat!$E:$E)*-1</f>
        <v>0</v>
      </c>
    </row>
    <row r="1185" spans="2:9" x14ac:dyDescent="0.2">
      <c r="B1185" s="160">
        <v>40</v>
      </c>
      <c r="C1185" s="305" t="s">
        <v>1369</v>
      </c>
      <c r="D1185" s="82" t="s">
        <v>1370</v>
      </c>
      <c r="E1185" s="72">
        <f>SUMIF(Adat!$AG:$AG,CONCATENATE(61,Info!$D$5,"0940921",L1143),Adat!$E:$E)*-1</f>
        <v>0</v>
      </c>
      <c r="F1185" s="72">
        <f>SUMIF(Adat!$AG:$AG,CONCATENATE(60,Info!$D$5,"0940921",L1143),Adat!$E:$E)*-1+E1185</f>
        <v>0</v>
      </c>
      <c r="G1185" s="72">
        <f>SUMIF(Adat!$AH:$AH,CONCATENATE(Info!$D$5,"(KÖT)","0940921",L1143),Adat!$E:$E)*-1</f>
        <v>0</v>
      </c>
      <c r="H1185" s="72">
        <f>SUMIF(Adat!$AH:$AH,CONCATENATE(Info!$D$5,"(ÖNV)","0940921",L1143),Adat!$E:$E)*-1</f>
        <v>0</v>
      </c>
      <c r="I1185" s="72">
        <f>SUMIF(Adat!$AH:$AH,CONCATENATE(Info!$D$5,"(ÁIG)","0940921",L1143),Adat!$E:$E)*-1</f>
        <v>0</v>
      </c>
    </row>
    <row r="1186" spans="2:9" x14ac:dyDescent="0.2">
      <c r="B1186" s="160">
        <v>41</v>
      </c>
      <c r="C1186" s="305" t="s">
        <v>1296</v>
      </c>
      <c r="D1186" s="82" t="s">
        <v>1371</v>
      </c>
      <c r="E1186" s="72">
        <f>SUMIF(Adat!$AG:$AG,CONCATENATE(61,Info!$D$5,"094101",L1143),Adat!$E:$E)*-1</f>
        <v>0</v>
      </c>
      <c r="F1186" s="72">
        <f>SUMIF(Adat!$AG:$AG,CONCATENATE(60,Info!$D$5,"094101",L1143),Adat!$E:$E)*-1+E1186</f>
        <v>0</v>
      </c>
      <c r="G1186" s="72">
        <f>SUMIF(Adat!$AH:$AH,CONCATENATE(Info!$D$5,"(KÖT)","094101",L1143),Adat!$E:$E)*-1</f>
        <v>0</v>
      </c>
      <c r="H1186" s="72">
        <f>SUMIF(Adat!$AH:$AH,CONCATENATE(Info!$D$5,"(ÖNV)","094101",L1143),Adat!$E:$E)*-1</f>
        <v>0</v>
      </c>
      <c r="I1186" s="72">
        <f>SUMIF(Adat!$AH:$AH,CONCATENATE(Info!$D$5,"(ÁIG)","094101",L1143),Adat!$E:$E)*-1</f>
        <v>0</v>
      </c>
    </row>
    <row r="1187" spans="2:9" x14ac:dyDescent="0.25">
      <c r="B1187" s="160">
        <v>42</v>
      </c>
      <c r="C1187" s="305" t="s">
        <v>1297</v>
      </c>
      <c r="D1187" s="84" t="s">
        <v>1372</v>
      </c>
      <c r="E1187" s="72">
        <f>SUMIF(Adat!$AG:$AG,CONCATENATE(61,Info!$D$5,"094111",L1143),Adat!$E:$E)*-1</f>
        <v>0</v>
      </c>
      <c r="F1187" s="72">
        <f>SUMIF(Adat!$AG:$AG,CONCATENATE(60,Info!$D$5,"094111",L1143),Adat!$E:$E)*-1+E1187</f>
        <v>0</v>
      </c>
      <c r="G1187" s="72">
        <f>SUMIF(Adat!$AH:$AH,CONCATENATE(Info!$D$5,"(KÖT)","094111",L1143),Adat!$E:$E)*-1</f>
        <v>0</v>
      </c>
      <c r="H1187" s="72">
        <f>SUMIF(Adat!$AH:$AH,CONCATENATE(Info!$D$5,"(ÖNV)","094111",L1143),Adat!$E:$E)*-1</f>
        <v>0</v>
      </c>
      <c r="I1187" s="72">
        <f>SUMIF(Adat!$AH:$AH,CONCATENATE(Info!$D$5,"(ÁIG)","094111",L1143),Adat!$E:$E)*-1</f>
        <v>0</v>
      </c>
    </row>
    <row r="1188" spans="2:9" x14ac:dyDescent="0.25">
      <c r="B1188" s="160">
        <v>43</v>
      </c>
      <c r="C1188" s="79" t="s">
        <v>33</v>
      </c>
      <c r="D1188" s="79" t="s">
        <v>330</v>
      </c>
      <c r="E1188" s="71">
        <f>SUM(E1189:E1193)</f>
        <v>0</v>
      </c>
      <c r="F1188" s="71">
        <f>SUM(F1189:F1193)</f>
        <v>0</v>
      </c>
      <c r="G1188" s="71">
        <f>SUM(G1189:G1193)</f>
        <v>0</v>
      </c>
      <c r="H1188" s="71">
        <f>SUM(H1189:H1193)</f>
        <v>0</v>
      </c>
      <c r="I1188" s="71">
        <f>SUM(I1189:I1193)</f>
        <v>0</v>
      </c>
    </row>
    <row r="1189" spans="2:9" x14ac:dyDescent="0.2">
      <c r="B1189" s="160">
        <v>44</v>
      </c>
      <c r="C1189" s="305" t="s">
        <v>1373</v>
      </c>
      <c r="D1189" s="82" t="s">
        <v>1374</v>
      </c>
      <c r="E1189" s="72">
        <f>SUMIF(Adat!$AG:$AG,CONCATENATE(61,Info!$D$5,"09511",L1143),Adat!$E:$E)*-1</f>
        <v>0</v>
      </c>
      <c r="F1189" s="72">
        <f>SUMIF(Adat!$AG:$AG,CONCATENATE(60,Info!$D$5,"09511",L1143),Adat!$E:$E)*-1+E1189</f>
        <v>0</v>
      </c>
      <c r="G1189" s="72">
        <f>SUMIF(Adat!$AH:$AH,CONCATENATE(Info!$D$5,"(KÖT)","09511",L1143),Adat!$E:$E)*-1</f>
        <v>0</v>
      </c>
      <c r="H1189" s="72">
        <f>SUMIF(Adat!$AH:$AH,CONCATENATE(Info!$D$5,"(ÖNV)","09511",L1143),Adat!$E:$E)*-1</f>
        <v>0</v>
      </c>
      <c r="I1189" s="72">
        <f>SUMIF(Adat!$AH:$AH,CONCATENATE(Info!$D$5,"(ÁIG)","09511",L1143),Adat!$E:$E)*-1</f>
        <v>0</v>
      </c>
    </row>
    <row r="1190" spans="2:9" x14ac:dyDescent="0.2">
      <c r="B1190" s="160">
        <v>45</v>
      </c>
      <c r="C1190" s="305" t="s">
        <v>1294</v>
      </c>
      <c r="D1190" s="82" t="s">
        <v>1375</v>
      </c>
      <c r="E1190" s="72">
        <f>SUMIF(Adat!$AG:$AG,CONCATENATE(61,Info!$D$5,"09521",L1143),Adat!$E:$E)*-1</f>
        <v>0</v>
      </c>
      <c r="F1190" s="72">
        <f>SUMIF(Adat!$AG:$AG,CONCATENATE(60,Info!$D$5,"09521",L1143),Adat!$E:$E)*-1+E1190</f>
        <v>0</v>
      </c>
      <c r="G1190" s="72">
        <f>SUMIF(Adat!$AH:$AH,CONCATENATE(Info!$D$5,"(KÖT)","09521",L1143),Adat!$E:$E)*-1</f>
        <v>0</v>
      </c>
      <c r="H1190" s="72">
        <f>SUMIF(Adat!$AH:$AH,CONCATENATE(Info!$D$5,"(ÖNV)","09521",L1143),Adat!$E:$E)*-1</f>
        <v>0</v>
      </c>
      <c r="I1190" s="72">
        <f>SUMIF(Adat!$AH:$AH,CONCATENATE(Info!$D$5,"(ÁIG)","09521",L1143),Adat!$E:$E)*-1</f>
        <v>0</v>
      </c>
    </row>
    <row r="1191" spans="2:9" x14ac:dyDescent="0.2">
      <c r="B1191" s="160">
        <v>46</v>
      </c>
      <c r="C1191" s="305" t="s">
        <v>1376</v>
      </c>
      <c r="D1191" s="82" t="s">
        <v>1377</v>
      </c>
      <c r="E1191" s="72">
        <f>SUMIF(Adat!$AG:$AG,CONCATENATE(61,Info!$D$5,"09531",L1143),Adat!$E:$E)*-1</f>
        <v>0</v>
      </c>
      <c r="F1191" s="72">
        <f>SUMIF(Adat!$AG:$AG,CONCATENATE(60,Info!$D$5,"09531",L1143),Adat!$E:$E)*-1+E1191</f>
        <v>0</v>
      </c>
      <c r="G1191" s="72">
        <f>SUMIF(Adat!$AH:$AH,CONCATENATE(Info!$D$5,"(KÖT)","09531",L1143),Adat!$E:$E)*-1</f>
        <v>0</v>
      </c>
      <c r="H1191" s="72">
        <f>SUMIF(Adat!$AH:$AH,CONCATENATE(Info!$D$5,"(ÖNV)","09531",L1143),Adat!$E:$E)*-1</f>
        <v>0</v>
      </c>
      <c r="I1191" s="72">
        <f>SUMIF(Adat!$AH:$AH,CONCATENATE(Info!$D$5,"(ÁIG)","09531",L1143),Adat!$E:$E)*-1</f>
        <v>0</v>
      </c>
    </row>
    <row r="1192" spans="2:9" x14ac:dyDescent="0.2">
      <c r="B1192" s="160">
        <v>47</v>
      </c>
      <c r="C1192" s="305" t="s">
        <v>1378</v>
      </c>
      <c r="D1192" s="82" t="s">
        <v>1379</v>
      </c>
      <c r="E1192" s="72">
        <f>SUMIF(Adat!$AG:$AG,CONCATENATE(61,Info!$D$5,"09541",L1143),Adat!$E:$E)*-1</f>
        <v>0</v>
      </c>
      <c r="F1192" s="72">
        <f>SUMIF(Adat!$AG:$AG,CONCATENATE(60,Info!$D$5,"09541",L1143),Adat!$E:$E)*-1+E1192</f>
        <v>0</v>
      </c>
      <c r="G1192" s="72">
        <f>SUMIF(Adat!$AH:$AH,CONCATENATE(Info!$D$5,"(KÖT)","09541",L1143),Adat!$E:$E)*-1</f>
        <v>0</v>
      </c>
      <c r="H1192" s="72">
        <f>SUMIF(Adat!$AH:$AH,CONCATENATE(Info!$D$5,"(ÖNV)","09541",L1143),Adat!$E:$E)*-1</f>
        <v>0</v>
      </c>
      <c r="I1192" s="72">
        <f>SUMIF(Adat!$AH:$AH,CONCATENATE(Info!$D$5,"(ÁIG)","09541",L1143),Adat!$E:$E)*-1</f>
        <v>0</v>
      </c>
    </row>
    <row r="1193" spans="2:9" x14ac:dyDescent="0.25">
      <c r="B1193" s="160">
        <v>48</v>
      </c>
      <c r="C1193" s="305" t="s">
        <v>1380</v>
      </c>
      <c r="D1193" s="84" t="s">
        <v>1381</v>
      </c>
      <c r="E1193" s="72">
        <f>SUMIF(Adat!$AG:$AG,CONCATENATE(61,Info!$D$5,"09551",L1143),Adat!$E:$E)*-1</f>
        <v>0</v>
      </c>
      <c r="F1193" s="72">
        <f>SUMIF(Adat!$AG:$AG,CONCATENATE(60,Info!$D$5,"09551",L1143),Adat!$E:$E)*-1+E1193</f>
        <v>0</v>
      </c>
      <c r="G1193" s="72">
        <f>SUMIF(Adat!$AH:$AH,CONCATENATE(Info!$D$5,"(KÖT)","09551",L1143),Adat!$E:$E)*-1</f>
        <v>0</v>
      </c>
      <c r="H1193" s="72">
        <f>SUMIF(Adat!$AH:$AH,CONCATENATE(Info!$D$5,"(ÖNV)","09551",L1143),Adat!$E:$E)*-1</f>
        <v>0</v>
      </c>
      <c r="I1193" s="72">
        <f>SUMIF(Adat!$AH:$AH,CONCATENATE(Info!$D$5,"(ÁIG)","09551",L1143),Adat!$E:$E)*-1</f>
        <v>0</v>
      </c>
    </row>
    <row r="1194" spans="2:9" x14ac:dyDescent="0.25">
      <c r="B1194" s="160">
        <v>49</v>
      </c>
      <c r="C1194" s="79" t="s">
        <v>36</v>
      </c>
      <c r="D1194" s="79" t="s">
        <v>331</v>
      </c>
      <c r="E1194" s="71">
        <f>SUM(E1195:E1199)</f>
        <v>0</v>
      </c>
      <c r="F1194" s="71">
        <f t="shared" ref="F1194:I1194" si="126">SUM(F1195:F1199)</f>
        <v>0</v>
      </c>
      <c r="G1194" s="71">
        <f t="shared" si="126"/>
        <v>0</v>
      </c>
      <c r="H1194" s="71">
        <f t="shared" si="126"/>
        <v>0</v>
      </c>
      <c r="I1194" s="71">
        <f t="shared" si="126"/>
        <v>0</v>
      </c>
    </row>
    <row r="1195" spans="2:9" x14ac:dyDescent="0.2">
      <c r="B1195" s="160">
        <v>50</v>
      </c>
      <c r="C1195" s="305" t="s">
        <v>1382</v>
      </c>
      <c r="D1195" s="82" t="s">
        <v>1383</v>
      </c>
      <c r="E1195" s="72">
        <f>SUMIF(Adat!$AG:$AG,CONCATENATE(61,Info!$D$5,"09611",L1143),Adat!$E:$E)*-1</f>
        <v>0</v>
      </c>
      <c r="F1195" s="72">
        <f>SUMIF(Adat!$AG:$AG,CONCATENATE(60,Info!$D$5,"09611",L1143),Adat!$E:$E)*-1+E1195</f>
        <v>0</v>
      </c>
      <c r="G1195" s="72">
        <f>SUMIF(Adat!$AH:$AH,CONCATENATE(Info!$D$5,"(KÖT)","09611",L1143),Adat!$E:$E)*-1</f>
        <v>0</v>
      </c>
      <c r="H1195" s="72">
        <f>SUMIF(Adat!$AH:$AH,CONCATENATE(Info!$D$5,"(ÖNV)","09611",L1143),Adat!$E:$E)*-1</f>
        <v>0</v>
      </c>
      <c r="I1195" s="72">
        <f>SUMIF(Adat!$AH:$AH,CONCATENATE(Info!$D$5,"(ÁIG)","09611",L1143),Adat!$E:$E)*-1</f>
        <v>0</v>
      </c>
    </row>
    <row r="1196" spans="2:9" x14ac:dyDescent="0.2">
      <c r="B1196" s="160">
        <v>51</v>
      </c>
      <c r="C1196" s="305" t="s">
        <v>1384</v>
      </c>
      <c r="D1196" s="82" t="s">
        <v>1385</v>
      </c>
      <c r="E1196" s="72">
        <f>SUMIF(Adat!$AG:$AG,CONCATENATE(61,Info!$D$5,"09621",L1143),Adat!$E:$E)*-1</f>
        <v>0</v>
      </c>
      <c r="F1196" s="72">
        <f>SUMIF(Adat!$AG:$AG,CONCATENATE(60,Info!$D$5,"09621",L1143),Adat!$E:$E)*-1+E1196</f>
        <v>0</v>
      </c>
      <c r="G1196" s="72">
        <f>SUMIF(Adat!$AH:$AH,CONCATENATE(Info!$D$5,"(KÖT)","09621",L1143),Adat!$E:$E)*-1</f>
        <v>0</v>
      </c>
      <c r="H1196" s="72">
        <f>SUMIF(Adat!$AH:$AH,CONCATENATE(Info!$D$5,"(ÖNV)","09621",L1143),Adat!$E:$E)*-1</f>
        <v>0</v>
      </c>
      <c r="I1196" s="72">
        <f>SUMIF(Adat!$AH:$AH,CONCATENATE(Info!$D$5,"(ÁIG)","09621",L1143),Adat!$E:$E)*-1</f>
        <v>0</v>
      </c>
    </row>
    <row r="1197" spans="2:9" x14ac:dyDescent="0.2">
      <c r="B1197" s="160">
        <v>52</v>
      </c>
      <c r="C1197" s="305" t="s">
        <v>1386</v>
      </c>
      <c r="D1197" s="82" t="s">
        <v>1387</v>
      </c>
      <c r="E1197" s="72">
        <f>SUMIF(Adat!$AG:$AG,CONCATENATE(61,Info!$D$5,"09631",L1143),Adat!$E:$E)*-1</f>
        <v>0</v>
      </c>
      <c r="F1197" s="72">
        <f>SUMIF(Adat!$AG:$AG,CONCATENATE(60,Info!$D$5,"09631",L1143),Adat!$E:$E)*-1+E1197</f>
        <v>0</v>
      </c>
      <c r="G1197" s="72">
        <f>SUMIF(Adat!$AH:$AH,CONCATENATE(Info!$D$5,"(KÖT)","09631",L1143),Adat!$E:$E)*-1</f>
        <v>0</v>
      </c>
      <c r="H1197" s="72">
        <f>SUMIF(Adat!$AH:$AH,CONCATENATE(Info!$D$5,"(ÖNV)","09631",L1143),Adat!$E:$E)*-1</f>
        <v>0</v>
      </c>
      <c r="I1197" s="72">
        <f>SUMIF(Adat!$AH:$AH,CONCATENATE(Info!$D$5,"(ÁIG)","09631",L1143),Adat!$E:$E)*-1</f>
        <v>0</v>
      </c>
    </row>
    <row r="1198" spans="2:9" x14ac:dyDescent="0.2">
      <c r="B1198" s="160">
        <v>53</v>
      </c>
      <c r="C1198" s="305" t="s">
        <v>1388</v>
      </c>
      <c r="D1198" s="82" t="s">
        <v>1389</v>
      </c>
      <c r="E1198" s="72">
        <f>SUMIF(Adat!$AG:$AG,CONCATENATE(61,Info!$D$5,"09641",L1143),Adat!$E:$E)*-1</f>
        <v>0</v>
      </c>
      <c r="F1198" s="72">
        <f>SUMIF(Adat!$AG:$AG,CONCATENATE(60,Info!$D$5,"09641",L1143),Adat!$E:$E)*-1+E1198</f>
        <v>0</v>
      </c>
      <c r="G1198" s="72">
        <f>SUMIF(Adat!$AH:$AH,CONCATENATE(Info!$D$5,"(KÖT)","09641",L1143),Adat!$E:$E)*-1</f>
        <v>0</v>
      </c>
      <c r="H1198" s="72">
        <f>SUMIF(Adat!$AH:$AH,CONCATENATE(Info!$D$5,"(ÖNV)","09641",L1143),Adat!$E:$E)*-1</f>
        <v>0</v>
      </c>
      <c r="I1198" s="72">
        <f>SUMIF(Adat!$AH:$AH,CONCATENATE(Info!$D$5,"(ÁIG)","09641",L1143),Adat!$E:$E)*-1</f>
        <v>0</v>
      </c>
    </row>
    <row r="1199" spans="2:9" x14ac:dyDescent="0.2">
      <c r="B1199" s="160">
        <v>54</v>
      </c>
      <c r="C1199" s="305" t="s">
        <v>1310</v>
      </c>
      <c r="D1199" s="82" t="s">
        <v>1390</v>
      </c>
      <c r="E1199" s="72">
        <f>SUMIF(Adat!$AG:$AG,CONCATENATE(61,Info!$D$5,"09651",L1143),Adat!$E:$E)*-1</f>
        <v>0</v>
      </c>
      <c r="F1199" s="72">
        <f>SUMIF(Adat!$AG:$AG,CONCATENATE(60,Info!$D$5,"09651",L1143),Adat!$E:$E)*-1+E1199</f>
        <v>0</v>
      </c>
      <c r="G1199" s="72">
        <f>SUMIF(Adat!$AH:$AH,CONCATENATE(Info!$D$5,"(KÖT)","09651",L1143),Adat!$E:$E)*-1</f>
        <v>0</v>
      </c>
      <c r="H1199" s="72">
        <f>SUMIF(Adat!$AH:$AH,CONCATENATE(Info!$D$5,"(ÖNV)","09651",L1143),Adat!$E:$E)*-1</f>
        <v>0</v>
      </c>
      <c r="I1199" s="72">
        <f>SUMIF(Adat!$AH:$AH,CONCATENATE(Info!$D$5,"(ÁIG)","09651",L1143),Adat!$E:$E)*-1</f>
        <v>0</v>
      </c>
    </row>
    <row r="1200" spans="2:9" x14ac:dyDescent="0.25">
      <c r="B1200" s="160">
        <v>55</v>
      </c>
      <c r="C1200" s="79" t="s">
        <v>38</v>
      </c>
      <c r="D1200" s="85" t="s">
        <v>332</v>
      </c>
      <c r="E1200" s="71">
        <f>SUM(E1201:E1205)</f>
        <v>0</v>
      </c>
      <c r="F1200" s="71">
        <f t="shared" ref="F1200:I1200" si="127">SUM(F1201:F1205)</f>
        <v>0</v>
      </c>
      <c r="G1200" s="71">
        <f t="shared" si="127"/>
        <v>0</v>
      </c>
      <c r="H1200" s="71">
        <f t="shared" si="127"/>
        <v>0</v>
      </c>
      <c r="I1200" s="71">
        <f t="shared" si="127"/>
        <v>0</v>
      </c>
    </row>
    <row r="1201" spans="2:9" x14ac:dyDescent="0.2">
      <c r="B1201" s="160">
        <v>56</v>
      </c>
      <c r="C1201" s="305" t="s">
        <v>1391</v>
      </c>
      <c r="D1201" s="82" t="s">
        <v>1392</v>
      </c>
      <c r="E1201" s="72">
        <f>SUMIF(Adat!$AG:$AG,CONCATENATE(61,Info!$D$5,"09711",L1143),Adat!$E:$E)*-1</f>
        <v>0</v>
      </c>
      <c r="F1201" s="72">
        <f>SUMIF(Adat!$AG:$AG,CONCATENATE(60,Info!$D$5,"09711",L1143),Adat!$E:$E)*-1+E1201</f>
        <v>0</v>
      </c>
      <c r="G1201" s="72">
        <f>SUMIF(Adat!$AH:$AH,CONCATENATE(Info!$D$5,"(KÖT)","09711",L1143),Adat!$E:$E)*-1</f>
        <v>0</v>
      </c>
      <c r="H1201" s="72">
        <f>SUMIF(Adat!$AH:$AH,CONCATENATE(Info!$D$5,"(ÖNV)","09711",L1143),Adat!$E:$E)*-1</f>
        <v>0</v>
      </c>
      <c r="I1201" s="72">
        <f>SUMIF(Adat!$AH:$AH,CONCATENATE(Info!$D$5,"(ÁIG)","09711",L1143),Adat!$E:$E)*-1</f>
        <v>0</v>
      </c>
    </row>
    <row r="1202" spans="2:9" x14ac:dyDescent="0.2">
      <c r="B1202" s="160">
        <v>57</v>
      </c>
      <c r="C1202" s="305" t="s">
        <v>1393</v>
      </c>
      <c r="D1202" s="82" t="s">
        <v>1394</v>
      </c>
      <c r="E1202" s="72">
        <f>SUMIF(Adat!$AG:$AG,CONCATENATE(61,Info!$D$5,"09721",L1143),Adat!$E:$E)*-1</f>
        <v>0</v>
      </c>
      <c r="F1202" s="72">
        <f>SUMIF(Adat!$AG:$AG,CONCATENATE(60,Info!$D$5,"09721",L1143),Adat!$E:$E)*-1+E1202</f>
        <v>0</v>
      </c>
      <c r="G1202" s="72">
        <f>SUMIF(Adat!$AH:$AH,CONCATENATE(Info!$D$5,"(KÖT)","09721",L1143),Adat!$E:$E)*-1</f>
        <v>0</v>
      </c>
      <c r="H1202" s="72">
        <f>SUMIF(Adat!$AH:$AH,CONCATENATE(Info!$D$5,"(ÖNV)","09721",L1143),Adat!$E:$E)*-1</f>
        <v>0</v>
      </c>
      <c r="I1202" s="72">
        <f>SUMIF(Adat!$AH:$AH,CONCATENATE(Info!$D$5,"(ÁIG)","09721",L1143),Adat!$E:$E)*-1</f>
        <v>0</v>
      </c>
    </row>
    <row r="1203" spans="2:9" x14ac:dyDescent="0.2">
      <c r="B1203" s="160">
        <v>58</v>
      </c>
      <c r="C1203" s="305" t="s">
        <v>1395</v>
      </c>
      <c r="D1203" s="82" t="s">
        <v>1396</v>
      </c>
      <c r="E1203" s="72">
        <f>SUMIF(Adat!$AG:$AG,CONCATENATE(61,Info!$D$5,"09731",L1143),Adat!$E:$E)*-1</f>
        <v>0</v>
      </c>
      <c r="F1203" s="72">
        <f>SUMIF(Adat!$AG:$AG,CONCATENATE(60,Info!$D$5,"09731",L1143),Adat!$E:$E)*-1+E1203</f>
        <v>0</v>
      </c>
      <c r="G1203" s="72">
        <f>SUMIF(Adat!$AH:$AH,CONCATENATE(Info!$D$5,"(KÖT)","09731",L1143),Adat!$E:$E)*-1</f>
        <v>0</v>
      </c>
      <c r="H1203" s="72">
        <f>SUMIF(Adat!$AH:$AH,CONCATENATE(Info!$D$5,"(ÖNV)","09731",L1143),Adat!$E:$E)*-1</f>
        <v>0</v>
      </c>
      <c r="I1203" s="72">
        <f>SUMIF(Adat!$AH:$AH,CONCATENATE(Info!$D$5,"(ÁIG)","09731",L1143),Adat!$E:$E)*-1</f>
        <v>0</v>
      </c>
    </row>
    <row r="1204" spans="2:9" x14ac:dyDescent="0.2">
      <c r="B1204" s="160">
        <v>59</v>
      </c>
      <c r="C1204" s="305" t="s">
        <v>1397</v>
      </c>
      <c r="D1204" s="82" t="s">
        <v>1398</v>
      </c>
      <c r="E1204" s="72">
        <f>SUMIF(Adat!$AG:$AG,CONCATENATE(61,Info!$D$5,"09741",L1143),Adat!$E:$E)*-1</f>
        <v>0</v>
      </c>
      <c r="F1204" s="72">
        <f>SUMIF(Adat!$AG:$AG,CONCATENATE(60,Info!$D$5,"09741",L1143),Adat!$E:$E)*-1+E1204</f>
        <v>0</v>
      </c>
      <c r="G1204" s="72">
        <f>SUMIF(Adat!$AH:$AH,CONCATENATE(Info!$D$5,"(KÖT)","09741",L1143),Adat!$E:$E)*-1</f>
        <v>0</v>
      </c>
      <c r="H1204" s="72">
        <f>SUMIF(Adat!$AH:$AH,CONCATENATE(Info!$D$5,"(ÖNV)","09741",L1143),Adat!$E:$E)*-1</f>
        <v>0</v>
      </c>
      <c r="I1204" s="72">
        <f>SUMIF(Adat!$AH:$AH,CONCATENATE(Info!$D$5,"(ÁIG)","09741",L1143),Adat!$E:$E)*-1</f>
        <v>0</v>
      </c>
    </row>
    <row r="1205" spans="2:9" x14ac:dyDescent="0.25">
      <c r="B1205" s="160">
        <v>60</v>
      </c>
      <c r="C1205" s="305" t="s">
        <v>1399</v>
      </c>
      <c r="D1205" s="84" t="s">
        <v>1400</v>
      </c>
      <c r="E1205" s="72">
        <f>SUMIF(Adat!$AG:$AG,CONCATENATE(61,Info!$D$5,"09751",L1143),Adat!$E:$E)*-1</f>
        <v>0</v>
      </c>
      <c r="F1205" s="72">
        <f>SUMIF(Adat!$AG:$AG,CONCATENATE(60,Info!$D$5,"09751",L1143),Adat!$E:$E)*-1+E1205</f>
        <v>0</v>
      </c>
      <c r="G1205" s="72">
        <f>SUMIF(Adat!$AH:$AH,CONCATENATE(Info!$D$5,"(KÖT)","09751",L1143),Adat!$E:$E)*-1</f>
        <v>0</v>
      </c>
      <c r="H1205" s="72">
        <f>SUMIF(Adat!$AH:$AH,CONCATENATE(Info!$D$5,"(ÖNV)","09751",L1143),Adat!$E:$E)*-1</f>
        <v>0</v>
      </c>
      <c r="I1205" s="72">
        <f>SUMIF(Adat!$AH:$AH,CONCATENATE(Info!$D$5,"(ÁIG)","09751",L1143),Adat!$E:$E)*-1</f>
        <v>0</v>
      </c>
    </row>
    <row r="1206" spans="2:9" x14ac:dyDescent="0.25">
      <c r="B1206" s="160">
        <v>61</v>
      </c>
      <c r="C1206" s="78" t="s">
        <v>352</v>
      </c>
      <c r="D1206" s="86" t="s">
        <v>1401</v>
      </c>
      <c r="E1206" s="71">
        <f>+E1147+E1155+E1161+E1167+E1174+E1188+E1194+E1200</f>
        <v>0</v>
      </c>
      <c r="F1206" s="71">
        <f>+F1147+F1155+F1161+F1167+F1174+F1188+F1194+F1200</f>
        <v>0</v>
      </c>
      <c r="G1206" s="71">
        <f>+G1147+G1155+G1161+G1167+G1174+G1188+G1194+G1200</f>
        <v>0</v>
      </c>
      <c r="H1206" s="71">
        <f>+H1147+H1155+H1161+H1167+H1174+H1188+H1194+H1200</f>
        <v>0</v>
      </c>
      <c r="I1206" s="71">
        <f>+I1147+I1155+I1161+I1167+I1174+I1188+I1194+I1200</f>
        <v>0</v>
      </c>
    </row>
    <row r="1207" spans="2:9" x14ac:dyDescent="0.25">
      <c r="B1207" s="160">
        <v>62</v>
      </c>
      <c r="C1207" s="154" t="s">
        <v>1402</v>
      </c>
      <c r="D1207" s="85" t="s">
        <v>1403</v>
      </c>
      <c r="E1207" s="71">
        <f t="shared" ref="E1207:G1207" si="128">SUM(E1208:E1210)</f>
        <v>0</v>
      </c>
      <c r="F1207" s="71">
        <f t="shared" si="128"/>
        <v>0</v>
      </c>
      <c r="G1207" s="71">
        <f t="shared" si="128"/>
        <v>0</v>
      </c>
      <c r="H1207" s="71">
        <f>SUM(H1208:H1210)</f>
        <v>0</v>
      </c>
      <c r="I1207" s="71">
        <f>SUM(I1208:I1210)</f>
        <v>0</v>
      </c>
    </row>
    <row r="1208" spans="2:9" x14ac:dyDescent="0.2">
      <c r="B1208" s="160">
        <v>63</v>
      </c>
      <c r="C1208" s="305" t="s">
        <v>1404</v>
      </c>
      <c r="D1208" s="82" t="s">
        <v>1405</v>
      </c>
      <c r="E1208" s="72">
        <f>SUMIF(Adat!$AG:$AG,CONCATENATE(61,Info!$D$5,"0981111",L1143),Adat!$E:$E)*-1</f>
        <v>0</v>
      </c>
      <c r="F1208" s="72">
        <f>SUMIF(Adat!$AG:$AG,CONCATENATE(60,Info!$D$5,"0981111",L1143),Adat!$E:$E)*-1+E1208</f>
        <v>0</v>
      </c>
      <c r="G1208" s="72">
        <f>SUMIF(Adat!$AH:$AH,CONCATENATE(Info!$D$5,"(KÖT)","0981111",L1143),Adat!$E:$E)*-1</f>
        <v>0</v>
      </c>
      <c r="H1208" s="72">
        <f>SUMIF(Adat!$AH:$AH,CONCATENATE(Info!$D$5,"(ÖNV)","0981111",L1143),Adat!$E:$E)*-1</f>
        <v>0</v>
      </c>
      <c r="I1208" s="72">
        <f>SUMIF(Adat!$AH:$AH,CONCATENATE(Info!$D$5,"(ÁIG)","0981111",L1143),Adat!$E:$E)*-1</f>
        <v>0</v>
      </c>
    </row>
    <row r="1209" spans="2:9" x14ac:dyDescent="0.2">
      <c r="B1209" s="160">
        <v>64</v>
      </c>
      <c r="C1209" s="305" t="s">
        <v>1406</v>
      </c>
      <c r="D1209" s="82" t="s">
        <v>1407</v>
      </c>
      <c r="E1209" s="72">
        <f>SUMIF(Adat!$AG:$AG,CONCATENATE(61,Info!$D$5,"0981121",L1143),Adat!$E:$E)*-1</f>
        <v>0</v>
      </c>
      <c r="F1209" s="72">
        <f>SUMIF(Adat!$AG:$AG,CONCATENATE(60,Info!$D$5,"0981121",L1143),Adat!$E:$E)*-1+E1209</f>
        <v>0</v>
      </c>
      <c r="G1209" s="72">
        <f>SUMIF(Adat!$AH:$AH,CONCATENATE(Info!$D$5,"(KÖT)","0981121",L1143),Adat!$E:$E)*-1</f>
        <v>0</v>
      </c>
      <c r="H1209" s="72">
        <f>SUMIF(Adat!$AH:$AH,CONCATENATE(Info!$D$5,"(ÖNV)","0981121",L1143),Adat!$E:$E)*-1</f>
        <v>0</v>
      </c>
      <c r="I1209" s="72">
        <f>SUMIF(Adat!$AH:$AH,CONCATENATE(Info!$D$5,"(ÁIG)","0981121",L1143),Adat!$E:$E)*-1</f>
        <v>0</v>
      </c>
    </row>
    <row r="1210" spans="2:9" x14ac:dyDescent="0.2">
      <c r="B1210" s="160">
        <v>65</v>
      </c>
      <c r="C1210" s="305" t="s">
        <v>1408</v>
      </c>
      <c r="D1210" s="82" t="s">
        <v>1409</v>
      </c>
      <c r="E1210" s="72">
        <f>SUMIF(Adat!$AG:$AG,CONCATENATE(61,Info!$D$5,"0981131",L1143),Adat!$E:$E)*-1</f>
        <v>0</v>
      </c>
      <c r="F1210" s="72">
        <f>SUMIF(Adat!$AG:$AG,CONCATENATE(60,Info!$D$5,"0981131",L1143),Adat!$E:$E)*-1+E1210</f>
        <v>0</v>
      </c>
      <c r="G1210" s="72">
        <f>SUMIF(Adat!$AH:$AH,CONCATENATE(Info!$D$5,"(KÖT)","0981131",L1143),Adat!$E:$E)*-1</f>
        <v>0</v>
      </c>
      <c r="H1210" s="72">
        <f>SUMIF(Adat!$AH:$AH,CONCATENATE(Info!$D$5,"(ÖNV)","0981131",L1143),Adat!$E:$E)*-1</f>
        <v>0</v>
      </c>
      <c r="I1210" s="72">
        <f>SUMIF(Adat!$AH:$AH,CONCATENATE(Info!$D$5,"(ÁIG)","0981131",L1143),Adat!$E:$E)*-1</f>
        <v>0</v>
      </c>
    </row>
    <row r="1211" spans="2:9" x14ac:dyDescent="0.25">
      <c r="B1211" s="160">
        <v>66</v>
      </c>
      <c r="C1211" s="154" t="s">
        <v>1410</v>
      </c>
      <c r="D1211" s="85" t="s">
        <v>574</v>
      </c>
      <c r="E1211" s="71">
        <f>SUM(E1212:E1215)</f>
        <v>0</v>
      </c>
      <c r="F1211" s="71">
        <f t="shared" ref="F1211" si="129">SUM(F1212:F1215)</f>
        <v>0</v>
      </c>
      <c r="G1211" s="71">
        <f>SUM(G1212:G1215)</f>
        <v>0</v>
      </c>
      <c r="H1211" s="71">
        <f>SUM(H1212:H1215)</f>
        <v>0</v>
      </c>
      <c r="I1211" s="71">
        <f>SUM(I1212:I1215)</f>
        <v>0</v>
      </c>
    </row>
    <row r="1212" spans="2:9" x14ac:dyDescent="0.2">
      <c r="B1212" s="160">
        <v>67</v>
      </c>
      <c r="C1212" s="305" t="s">
        <v>1411</v>
      </c>
      <c r="D1212" s="82" t="s">
        <v>1412</v>
      </c>
      <c r="E1212" s="72">
        <f>SUMIF(Adat!$AG:$AG,CONCATENATE(61,Info!$D$5,"0981211",L1143),Adat!$E:$E)*-1</f>
        <v>0</v>
      </c>
      <c r="F1212" s="72">
        <f>SUMIF(Adat!$AG:$AG,CONCATENATE(60,Info!$D$5,"0981211",L1143),Adat!$E:$E)*-1+E1212</f>
        <v>0</v>
      </c>
      <c r="G1212" s="72">
        <f>SUMIF(Adat!$AH:$AH,CONCATENATE(Info!$D$5,"(KÖT)","0981211",L1143),Adat!$E:$E)*-1</f>
        <v>0</v>
      </c>
      <c r="H1212" s="72">
        <f>SUMIF(Adat!$AH:$AH,CONCATENATE(Info!$D$5,"(ÖNV)","0981211",L1143),Adat!$E:$E)*-1</f>
        <v>0</v>
      </c>
      <c r="I1212" s="72">
        <f>SUMIF(Adat!$AH:$AH,CONCATENATE(Info!$D$5,"(ÁIG)","0981211",L1143),Adat!$E:$E)*-1</f>
        <v>0</v>
      </c>
    </row>
    <row r="1213" spans="2:9" x14ac:dyDescent="0.2">
      <c r="B1213" s="160">
        <v>68</v>
      </c>
      <c r="C1213" s="305" t="s">
        <v>1413</v>
      </c>
      <c r="D1213" s="82" t="s">
        <v>1414</v>
      </c>
      <c r="E1213" s="72">
        <f>SUMIF(Adat!$AG:$AG,CONCATENATE(61,Info!$D$5,"0981221",L1143),Adat!$E:$E)*-1</f>
        <v>0</v>
      </c>
      <c r="F1213" s="72">
        <f>SUMIF(Adat!$AG:$AG,CONCATENATE(60,Info!$D$5,"0981221",L1143),Adat!$E:$E)*-1+E1213</f>
        <v>0</v>
      </c>
      <c r="G1213" s="72">
        <f>SUMIF(Adat!$AH:$AH,CONCATENATE(Info!$D$5,"(KÖT)","0981221",L1143),Adat!$E:$E)*-1</f>
        <v>0</v>
      </c>
      <c r="H1213" s="72">
        <f>SUMIF(Adat!$AH:$AH,CONCATENATE(Info!$D$5,"(ÖNV)","0981221",L1143),Adat!$E:$E)*-1</f>
        <v>0</v>
      </c>
      <c r="I1213" s="72">
        <f>SUMIF(Adat!$AH:$AH,CONCATENATE(Info!$D$5,"(ÁIG)","0981221",L1143),Adat!$E:$E)*-1</f>
        <v>0</v>
      </c>
    </row>
    <row r="1214" spans="2:9" x14ac:dyDescent="0.2">
      <c r="B1214" s="160">
        <v>69</v>
      </c>
      <c r="C1214" s="305" t="s">
        <v>1313</v>
      </c>
      <c r="D1214" s="82" t="s">
        <v>1415</v>
      </c>
      <c r="E1214" s="72">
        <f>SUMIF(Adat!$AG:$AG,CONCATENATE(61,Info!$D$5,"0981231",L1143),Adat!$E:$E)*-1</f>
        <v>0</v>
      </c>
      <c r="F1214" s="72">
        <f>SUMIF(Adat!$AG:$AG,CONCATENATE(60,Info!$D$5,"0981231",L1143),Adat!$E:$E)*-1+E1214</f>
        <v>0</v>
      </c>
      <c r="G1214" s="72">
        <f>SUMIF(Adat!$AH:$AH,CONCATENATE(Info!$D$5,"(KÖT)","0981231",L1143),Adat!$E:$E)*-1</f>
        <v>0</v>
      </c>
      <c r="H1214" s="72">
        <f>SUMIF(Adat!$AH:$AH,CONCATENATE(Info!$D$5,"(ÖNV)","0981231",L1143),Adat!$E:$E)*-1</f>
        <v>0</v>
      </c>
      <c r="I1214" s="72">
        <f>SUMIF(Adat!$AH:$AH,CONCATENATE(Info!$D$5,"(ÁIG)","0981231",L1143),Adat!$E:$E)*-1</f>
        <v>0</v>
      </c>
    </row>
    <row r="1215" spans="2:9" x14ac:dyDescent="0.25">
      <c r="B1215" s="160">
        <v>70</v>
      </c>
      <c r="C1215" s="305" t="s">
        <v>1416</v>
      </c>
      <c r="D1215" s="84" t="s">
        <v>1417</v>
      </c>
      <c r="E1215" s="72">
        <f>SUMIF(Adat!$AG:$AG,CONCATENATE(61,Info!$D$5,"0981241",L1143),Adat!$E:$E)*-1</f>
        <v>0</v>
      </c>
      <c r="F1215" s="72">
        <f>SUMIF(Adat!$AG:$AG,CONCATENATE(60,Info!$D$5,"0981241",L1143),Adat!$E:$E)*-1+E1215</f>
        <v>0</v>
      </c>
      <c r="G1215" s="72">
        <f>SUMIF(Adat!$AH:$AH,CONCATENATE(Info!$D$5,"(KÖT)","0981241",L1143),Adat!$E:$E)*-1</f>
        <v>0</v>
      </c>
      <c r="H1215" s="72">
        <f>SUMIF(Adat!$AH:$AH,CONCATENATE(Info!$D$5,"(ÖNV)","0981241",L1143),Adat!$E:$E)*-1</f>
        <v>0</v>
      </c>
      <c r="I1215" s="72">
        <f>SUMIF(Adat!$AH:$AH,CONCATENATE(Info!$D$5,"(ÁIG)","0981241",L1143),Adat!$E:$E)*-1</f>
        <v>0</v>
      </c>
    </row>
    <row r="1216" spans="2:9" x14ac:dyDescent="0.25">
      <c r="B1216" s="160">
        <v>71</v>
      </c>
      <c r="C1216" s="154" t="s">
        <v>1418</v>
      </c>
      <c r="D1216" s="85" t="s">
        <v>575</v>
      </c>
      <c r="E1216" s="71">
        <f>SUM(E1217:E1218)</f>
        <v>0</v>
      </c>
      <c r="F1216" s="71">
        <f t="shared" ref="F1216" si="130">SUM(F1217:F1218)</f>
        <v>0</v>
      </c>
      <c r="G1216" s="71">
        <f>SUM(G1217:G1218)</f>
        <v>0</v>
      </c>
      <c r="H1216" s="71">
        <f>SUM(H1217:H1218)</f>
        <v>0</v>
      </c>
      <c r="I1216" s="71">
        <f>SUM(I1217:I1218)</f>
        <v>0</v>
      </c>
    </row>
    <row r="1217" spans="2:9" x14ac:dyDescent="0.2">
      <c r="B1217" s="160">
        <v>72</v>
      </c>
      <c r="C1217" s="305" t="s">
        <v>1274</v>
      </c>
      <c r="D1217" s="82" t="s">
        <v>1419</v>
      </c>
      <c r="E1217" s="72">
        <f>SUMIF(Adat!$AG:$AG,CONCATENATE(61,Info!$D$5,"0981311",L1143),Adat!$E:$E)*-1</f>
        <v>0</v>
      </c>
      <c r="F1217" s="72">
        <f>SUMIF(Adat!$AG:$AG,CONCATENATE(60,Info!$D$5,"0981311",L1143),Adat!$E:$E)*-1+E1217</f>
        <v>0</v>
      </c>
      <c r="G1217" s="72">
        <f>SUMIF(Adat!$AH:$AH,CONCATENATE(Info!$D$5,"(KÖT)","0981311",L1143),Adat!$E:$E)*-1</f>
        <v>0</v>
      </c>
      <c r="H1217" s="72">
        <f>SUMIF(Adat!$AH:$AH,CONCATENATE(Info!$D$5,"(ÖNV)","0981311",L1143),Adat!$E:$E)*-1</f>
        <v>0</v>
      </c>
      <c r="I1217" s="72">
        <f>SUMIF(Adat!$AH:$AH,CONCATENATE(Info!$D$5,"(ÁIG)","0981311",L1143),Adat!$E:$E)*-1</f>
        <v>0</v>
      </c>
    </row>
    <row r="1218" spans="2:9" x14ac:dyDescent="0.25">
      <c r="B1218" s="160">
        <v>73</v>
      </c>
      <c r="C1218" s="305" t="s">
        <v>1420</v>
      </c>
      <c r="D1218" s="84" t="s">
        <v>1421</v>
      </c>
      <c r="E1218" s="72">
        <f>SUMIF(Adat!$AG:$AG,CONCATENATE(61,Info!$D$5,"0981321",L1143),Adat!$E:$E)*-1</f>
        <v>0</v>
      </c>
      <c r="F1218" s="72">
        <f>SUMIF(Adat!$AG:$AG,CONCATENATE(60,Info!$D$5,"0981321",L1143),Adat!$E:$E)*-1+E1218</f>
        <v>0</v>
      </c>
      <c r="G1218" s="72">
        <f>SUMIF(Adat!$AH:$AH,CONCATENATE(Info!$D$5,"(KÖT)","0981321",L1143),Adat!$E:$E)*-1</f>
        <v>0</v>
      </c>
      <c r="H1218" s="72">
        <f>SUMIF(Adat!$AH:$AH,CONCATENATE(Info!$D$5,"(ÖNV)","0981321",L1143),Adat!$E:$E)*-1</f>
        <v>0</v>
      </c>
      <c r="I1218" s="72">
        <f>SUMIF(Adat!$AH:$AH,CONCATENATE(Info!$D$5,"(ÁIG)","0981321",L1143),Adat!$E:$E)*-1</f>
        <v>0</v>
      </c>
    </row>
    <row r="1219" spans="2:9" s="42" customFormat="1" x14ac:dyDescent="0.25">
      <c r="B1219" s="160">
        <v>74</v>
      </c>
      <c r="C1219" s="154" t="s">
        <v>1496</v>
      </c>
      <c r="D1219" s="85" t="s">
        <v>576</v>
      </c>
      <c r="E1219" s="71">
        <f>SUM(E1220:E1222)</f>
        <v>0</v>
      </c>
      <c r="F1219" s="71">
        <f t="shared" ref="F1219" si="131">SUM(F1220:F1222)</f>
        <v>0</v>
      </c>
      <c r="G1219" s="71">
        <f>SUM(G1220:G1222)</f>
        <v>0</v>
      </c>
      <c r="H1219" s="71">
        <f>SUM(H1220:H1222)</f>
        <v>0</v>
      </c>
      <c r="I1219" s="71">
        <f>SUM(I1220:I1222)</f>
        <v>0</v>
      </c>
    </row>
    <row r="1220" spans="2:9" x14ac:dyDescent="0.2">
      <c r="B1220" s="160">
        <v>75</v>
      </c>
      <c r="C1220" s="305" t="s">
        <v>1301</v>
      </c>
      <c r="D1220" s="82" t="s">
        <v>1422</v>
      </c>
      <c r="E1220" s="72">
        <f>SUMIF(Adat!$AG:$AG,CONCATENATE(61,Info!$D$5,"098141",L1143),Adat!$E:$E)*-1</f>
        <v>0</v>
      </c>
      <c r="F1220" s="72">
        <f>SUMIF(Adat!$AG:$AG,CONCATENATE(60,Info!$D$5,"098141",L1143),Adat!$E:$E)*-1+E1220</f>
        <v>0</v>
      </c>
      <c r="G1220" s="72">
        <f>SUMIF(Adat!$AH:$AH,CONCATENATE(Info!$D$5,"(KÖT)","098141",L1143),Adat!$E:$E)*-1</f>
        <v>0</v>
      </c>
      <c r="H1220" s="72">
        <f>SUMIF(Adat!$AH:$AH,CONCATENATE(Info!$D$5,"(ÖNV)","098141",L1143),Adat!$E:$E)*-1</f>
        <v>0</v>
      </c>
      <c r="I1220" s="72">
        <f>SUMIF(Adat!$AH:$AH,CONCATENATE(Info!$D$5,"(ÁIG)","098141",L1143),Adat!$E:$E)*-1</f>
        <v>0</v>
      </c>
    </row>
    <row r="1221" spans="2:9" x14ac:dyDescent="0.2">
      <c r="B1221" s="160">
        <v>76</v>
      </c>
      <c r="C1221" s="305" t="s">
        <v>1423</v>
      </c>
      <c r="D1221" s="82" t="s">
        <v>1424</v>
      </c>
      <c r="E1221" s="72">
        <f>SUMIF(Adat!$AG:$AG,CONCATENATE(61,Info!$D$5,"098151",L1143),Adat!$E:$E)*-1</f>
        <v>0</v>
      </c>
      <c r="F1221" s="72">
        <f>SUMIF(Adat!$AG:$AG,CONCATENATE(60,Info!$D$5,"098151",L1143),Adat!$E:$E)*-1+E1221</f>
        <v>0</v>
      </c>
      <c r="G1221" s="72">
        <f>SUMIF(Adat!$AH:$AH,CONCATENATE(Info!$D$5,"(KÖT)","098151",L1143),Adat!$E:$E)*-1</f>
        <v>0</v>
      </c>
      <c r="H1221" s="72">
        <f>SUMIF(Adat!$AH:$AH,CONCATENATE(Info!$D$5,"(ÖNV)","098151",L1143),Adat!$E:$E)*-1</f>
        <v>0</v>
      </c>
      <c r="I1221" s="72">
        <f>SUMIF(Adat!$AH:$AH,CONCATENATE(Info!$D$5,"(ÁIG)","098151",L1143),Adat!$E:$E)*-1</f>
        <v>0</v>
      </c>
    </row>
    <row r="1222" spans="2:9" x14ac:dyDescent="0.25">
      <c r="B1222" s="160">
        <v>77</v>
      </c>
      <c r="C1222" s="305" t="s">
        <v>1425</v>
      </c>
      <c r="D1222" s="84" t="s">
        <v>1426</v>
      </c>
      <c r="E1222" s="72">
        <f>SUMIF(Adat!$AG:$AG,CONCATENATE(61,Info!$D$5,"098171",L1143),Adat!$E:$E)*-1</f>
        <v>0</v>
      </c>
      <c r="F1222" s="72">
        <f>SUMIF(Adat!$AG:$AG,CONCATENATE(60,Info!$D$5,"098171",L1143),Adat!$E:$E)*-1+E1222</f>
        <v>0</v>
      </c>
      <c r="G1222" s="72">
        <f>SUMIF(Adat!$AH:$AH,CONCATENATE(Info!$D$5,"(KÖT)","098171",L1143),Adat!$E:$E)*-1</f>
        <v>0</v>
      </c>
      <c r="H1222" s="72">
        <f>SUMIF(Adat!$AH:$AH,CONCATENATE(Info!$D$5,"(ÖNV)","098171",L1143),Adat!$E:$E)*-1</f>
        <v>0</v>
      </c>
      <c r="I1222" s="72">
        <f>SUMIF(Adat!$AH:$AH,CONCATENATE(Info!$D$5,"(ÁIG)","098171",L1143),Adat!$E:$E)*-1</f>
        <v>0</v>
      </c>
    </row>
    <row r="1223" spans="2:9" x14ac:dyDescent="0.25">
      <c r="B1223" s="160">
        <v>78</v>
      </c>
      <c r="C1223" s="154" t="s">
        <v>1427</v>
      </c>
      <c r="D1223" s="85" t="s">
        <v>577</v>
      </c>
      <c r="E1223" s="71">
        <f>SUM(E1224:E1228)</f>
        <v>0</v>
      </c>
      <c r="F1223" s="71">
        <f t="shared" ref="F1223" si="132">SUM(F1224:F1228)</f>
        <v>0</v>
      </c>
      <c r="G1223" s="71">
        <f>SUM(G1224:G1228)</f>
        <v>0</v>
      </c>
      <c r="H1223" s="71">
        <f>SUM(H1224:H1228)</f>
        <v>0</v>
      </c>
      <c r="I1223" s="71">
        <f>SUM(I1224:I1228)</f>
        <v>0</v>
      </c>
    </row>
    <row r="1224" spans="2:9" x14ac:dyDescent="0.2">
      <c r="B1224" s="160">
        <v>79</v>
      </c>
      <c r="C1224" s="89" t="s">
        <v>1428</v>
      </c>
      <c r="D1224" s="82" t="s">
        <v>1429</v>
      </c>
      <c r="E1224" s="72">
        <f>SUMIF(Adat!$AG:$AG,CONCATENATE(61,Info!$D$5,"098211",L1143),Adat!$E:$E)*-1</f>
        <v>0</v>
      </c>
      <c r="F1224" s="72">
        <f>SUMIF(Adat!$AG:$AG,CONCATENATE(60,Info!$D$5,"098211",L1143),Adat!$E:$E)*-1+E1224</f>
        <v>0</v>
      </c>
      <c r="G1224" s="72">
        <f>SUMIF(Adat!$AH:$AH,CONCATENATE(Info!$D$5,"(KÖT)","098211",L1143),Adat!$E:$E)*-1</f>
        <v>0</v>
      </c>
      <c r="H1224" s="72">
        <f>SUMIF(Adat!$AH:$AH,CONCATENATE(Info!$D$5,"(ÖNV)","098211",L1143),Adat!$E:$E)*-1</f>
        <v>0</v>
      </c>
      <c r="I1224" s="72">
        <f>SUMIF(Adat!$AH:$AH,CONCATENATE(Info!$D$5,"(ÁIG)","098211",L1143),Adat!$E:$E)*-1</f>
        <v>0</v>
      </c>
    </row>
    <row r="1225" spans="2:9" x14ac:dyDescent="0.2">
      <c r="B1225" s="160">
        <v>80</v>
      </c>
      <c r="C1225" s="89" t="s">
        <v>1430</v>
      </c>
      <c r="D1225" s="82" t="s">
        <v>1431</v>
      </c>
      <c r="E1225" s="72">
        <f>SUMIF(Adat!$AG:$AG,CONCATENATE(61,Info!$D$5,"098221",L1143),Adat!$E:$E)*-1</f>
        <v>0</v>
      </c>
      <c r="F1225" s="72">
        <f>SUMIF(Adat!$AG:$AG,CONCATENATE(60,Info!$D$5,"098221",L1143),Adat!$E:$E)*-1+E1225</f>
        <v>0</v>
      </c>
      <c r="G1225" s="72">
        <f>SUMIF(Adat!$AH:$AH,CONCATENATE(Info!$D$5,"(KÖT)","098221",L1143),Adat!$E:$E)*-1</f>
        <v>0</v>
      </c>
      <c r="H1225" s="72">
        <f>SUMIF(Adat!$AH:$AH,CONCATENATE(Info!$D$5,"(ÖNV)","098221",L1143),Adat!$E:$E)*-1</f>
        <v>0</v>
      </c>
      <c r="I1225" s="72">
        <f>SUMIF(Adat!$AH:$AH,CONCATENATE(Info!$D$5,"(ÁIG)","098221",L1143),Adat!$E:$E)*-1</f>
        <v>0</v>
      </c>
    </row>
    <row r="1226" spans="2:9" x14ac:dyDescent="0.2">
      <c r="B1226" s="160">
        <v>81</v>
      </c>
      <c r="C1226" s="89" t="s">
        <v>1432</v>
      </c>
      <c r="D1226" s="82" t="s">
        <v>1433</v>
      </c>
      <c r="E1226" s="72">
        <f>SUMIF(Adat!$AG:$AG,CONCATENATE(61,Info!$D$5,"098231",L1143),Adat!$E:$E)*-1</f>
        <v>0</v>
      </c>
      <c r="F1226" s="72">
        <f>SUMIF(Adat!$AG:$AG,CONCATENATE(60,Info!$D$5,"098231",L1143),Adat!$E:$E)*-1+E1226</f>
        <v>0</v>
      </c>
      <c r="G1226" s="72">
        <f>SUMIF(Adat!$AH:$AH,CONCATENATE(Info!$D$5,"(KÖT)","098231",L1143),Adat!$E:$E)*-1</f>
        <v>0</v>
      </c>
      <c r="H1226" s="72">
        <f>SUMIF(Adat!$AH:$AH,CONCATENATE(Info!$D$5,"(ÖNV)","098231",L1143),Adat!$E:$E)*-1</f>
        <v>0</v>
      </c>
      <c r="I1226" s="72">
        <f>SUMIF(Adat!$AH:$AH,CONCATENATE(Info!$D$5,"(ÁIG)","098231",L1143),Adat!$E:$E)*-1</f>
        <v>0</v>
      </c>
    </row>
    <row r="1227" spans="2:9" x14ac:dyDescent="0.2">
      <c r="B1227" s="160">
        <v>82</v>
      </c>
      <c r="C1227" s="89" t="s">
        <v>1434</v>
      </c>
      <c r="D1227" s="82" t="s">
        <v>1435</v>
      </c>
      <c r="E1227" s="72">
        <f>SUMIF(Adat!$AG:$AG,CONCATENATE(61,Info!$D$5,"098241",L1143),Adat!$E:$E)*-1</f>
        <v>0</v>
      </c>
      <c r="F1227" s="72">
        <f>SUMIF(Adat!$AG:$AG,CONCATENATE(60,Info!$D$5,"098241",L1143),Adat!$E:$E)*-1+E1227</f>
        <v>0</v>
      </c>
      <c r="G1227" s="72">
        <f>SUMIF(Adat!$AH:$AH,CONCATENATE(Info!$D$5,"(KÖT)","098241",L1143),Adat!$E:$E)*-1</f>
        <v>0</v>
      </c>
      <c r="H1227" s="72">
        <f>SUMIF(Adat!$AH:$AH,CONCATENATE(Info!$D$5,"(ÖNV)","098241",L1143),Adat!$E:$E)*-1</f>
        <v>0</v>
      </c>
      <c r="I1227" s="72">
        <f>SUMIF(Adat!$AH:$AH,CONCATENATE(Info!$D$5,"(ÁIG)","098241",L1143),Adat!$E:$E)*-1</f>
        <v>0</v>
      </c>
    </row>
    <row r="1228" spans="2:9" s="42" customFormat="1" x14ac:dyDescent="0.2">
      <c r="B1228" s="160">
        <v>83</v>
      </c>
      <c r="C1228" s="89" t="s">
        <v>1436</v>
      </c>
      <c r="D1228" s="84" t="s">
        <v>1437</v>
      </c>
      <c r="E1228" s="72">
        <f>SUMIF(Adat!$AG:$AG,CONCATENATE(61,Info!$D$5,"098251",L1143),Adat!$E:$E)*-1</f>
        <v>0</v>
      </c>
      <c r="F1228" s="72">
        <f>SUMIF(Adat!$AG:$AG,CONCATENATE(60,Info!$D$5,"098251",L1143),Adat!$E:$E)*-1+E1228</f>
        <v>0</v>
      </c>
      <c r="G1228" s="72">
        <f>SUMIF(Adat!$AH:$AH,CONCATENATE(Info!$D$5,"(KÖT)","098251",L1143),Adat!$E:$E)*-1</f>
        <v>0</v>
      </c>
      <c r="H1228" s="72">
        <f>SUMIF(Adat!$AH:$AH,CONCATENATE(Info!$D$5,"(ÖNV)","098251",L1143),Adat!$E:$E)*-1</f>
        <v>0</v>
      </c>
      <c r="I1228" s="72">
        <f>SUMIF(Adat!$AH:$AH,CONCATENATE(Info!$D$5,"(ÁIG)","098251",L1143),Adat!$E:$E)*-1</f>
        <v>0</v>
      </c>
    </row>
    <row r="1229" spans="2:9" s="42" customFormat="1" x14ac:dyDescent="0.2">
      <c r="B1229" s="160">
        <v>84</v>
      </c>
      <c r="C1229" s="309" t="s">
        <v>1438</v>
      </c>
      <c r="D1229" s="85" t="s">
        <v>1439</v>
      </c>
      <c r="E1229" s="71">
        <f>SUMIF(Adat!$AG:$AG,CONCATENATE(61,Info!$D$5,"09831",L1143),Adat!$E:$E)*-1</f>
        <v>0</v>
      </c>
      <c r="F1229" s="71">
        <f>SUMIF(Adat!$AG:$AG,CONCATENATE(60,Info!$D$5,"09831",L1143),Adat!$E:$E)*-1+E1229</f>
        <v>0</v>
      </c>
      <c r="G1229" s="71">
        <f>SUMIF(Adat!$AH:$AH,CONCATENATE(Info!$D$5,"(KÖT)","09831",L1143),Adat!$E:$E)*-1</f>
        <v>0</v>
      </c>
      <c r="H1229" s="71">
        <f>SUMIF(Adat!$AH:$AH,CONCATENATE(Info!$D$5,"(ÖNV)","09831",L1143),Adat!$E:$E)*-1</f>
        <v>0</v>
      </c>
      <c r="I1229" s="71">
        <f>SUMIF(Adat!$AH:$AH,CONCATENATE(Info!$D$5,"(ÁIG)","09831",L1143),Adat!$E:$E)*-1</f>
        <v>0</v>
      </c>
    </row>
    <row r="1230" spans="2:9" s="42" customFormat="1" x14ac:dyDescent="0.25">
      <c r="B1230" s="160">
        <v>85</v>
      </c>
      <c r="C1230" s="154" t="s">
        <v>1440</v>
      </c>
      <c r="D1230" s="85" t="s">
        <v>1441</v>
      </c>
      <c r="E1230" s="71">
        <f>SUMIF(Adat!$AG:$AG,CONCATENATE(61,Info!$D$5,"09841",L1143),Adat!$E:$E)*-1</f>
        <v>0</v>
      </c>
      <c r="F1230" s="71">
        <f>SUMIF(Adat!$AG:$AG,CONCATENATE(60,Info!$D$5,"09841",L1143),Adat!$E:$E)*-1+E1230</f>
        <v>0</v>
      </c>
      <c r="G1230" s="71">
        <f>SUMIF(Adat!$AH:$AH,CONCATENATE(Info!$D$5,"(KÖT)","09841",L1143),Adat!$E:$E)*-1</f>
        <v>0</v>
      </c>
      <c r="H1230" s="71">
        <f>SUMIF(Adat!$AH:$AH,CONCATENATE(Info!$D$5,"(ÖNV)","09841",L1143),Adat!$E:$E)*-1</f>
        <v>0</v>
      </c>
      <c r="I1230" s="71">
        <f>SUMIF(Adat!$AH:$AH,CONCATENATE(Info!$D$5,"(ÁIG)","09841",L1143),Adat!$E:$E)*-1</f>
        <v>0</v>
      </c>
    </row>
    <row r="1231" spans="2:9" s="42" customFormat="1" x14ac:dyDescent="0.25">
      <c r="B1231" s="160">
        <v>86</v>
      </c>
      <c r="C1231" s="154" t="s">
        <v>358</v>
      </c>
      <c r="D1231" s="87" t="s">
        <v>1442</v>
      </c>
      <c r="E1231" s="71">
        <f>+E1207+E1211+E1216+E1219+E1223+E1230+E1229</f>
        <v>0</v>
      </c>
      <c r="F1231" s="71">
        <f t="shared" ref="F1231" si="133">+F1207+F1211+F1216+F1219+F1223+F1230+F1229</f>
        <v>0</v>
      </c>
      <c r="G1231" s="71">
        <f>+G1207+G1211+G1216+G1219+G1223+G1230+G1229</f>
        <v>0</v>
      </c>
      <c r="H1231" s="71">
        <f>+H1207+H1211+H1216+H1219+H1223+H1230+H1229</f>
        <v>0</v>
      </c>
      <c r="I1231" s="71">
        <f>+I1207+I1211+I1216+I1219+I1223+I1230+I1229</f>
        <v>0</v>
      </c>
    </row>
    <row r="1232" spans="2:9" s="42" customFormat="1" x14ac:dyDescent="0.25">
      <c r="B1232" s="160">
        <v>87</v>
      </c>
      <c r="C1232" s="154" t="s">
        <v>364</v>
      </c>
      <c r="D1232" s="87" t="s">
        <v>1497</v>
      </c>
      <c r="E1232" s="71">
        <f>+E1206+E1231</f>
        <v>0</v>
      </c>
      <c r="F1232" s="71">
        <f t="shared" ref="F1232" si="134">+F1206+F1231</f>
        <v>0</v>
      </c>
      <c r="G1232" s="71">
        <f>+G1206+G1231</f>
        <v>0</v>
      </c>
      <c r="H1232" s="71">
        <f>+H1206+H1231</f>
        <v>0</v>
      </c>
      <c r="I1232" s="71">
        <f>+I1206+I1231</f>
        <v>0</v>
      </c>
    </row>
    <row r="1233" spans="2:12" s="38" customFormat="1" ht="15.75" x14ac:dyDescent="0.25">
      <c r="C1233" s="156"/>
      <c r="E1233" s="140"/>
      <c r="F1233" s="140"/>
      <c r="G1233" s="140"/>
      <c r="H1233" s="140"/>
      <c r="I1233" s="140"/>
    </row>
    <row r="1234" spans="2:12" s="10" customFormat="1" ht="15.75" customHeight="1" x14ac:dyDescent="0.25">
      <c r="B1234" s="201" t="str">
        <f>CONCATENATE("18. Kiadási jogcímek"," - ",L1234," részletező")</f>
        <v>18. Kiadási jogcímek -  részletező</v>
      </c>
      <c r="C1234" s="101"/>
      <c r="D1234" s="101"/>
      <c r="E1234" s="101"/>
      <c r="F1234" s="101"/>
      <c r="G1234" s="198"/>
      <c r="H1234" s="198"/>
      <c r="I1234" s="198"/>
      <c r="L1234" s="384"/>
    </row>
    <row r="1235" spans="2:12" s="38" customFormat="1" ht="15.75" x14ac:dyDescent="0.25">
      <c r="C1235" s="156"/>
      <c r="E1235" s="140"/>
      <c r="F1235" s="140"/>
      <c r="G1235" s="140"/>
      <c r="H1235" s="140"/>
      <c r="I1235" s="140"/>
    </row>
    <row r="1236" spans="2:12" s="40" customFormat="1" x14ac:dyDescent="0.25">
      <c r="B1236" s="77"/>
      <c r="C1236" s="77" t="s">
        <v>350</v>
      </c>
      <c r="D1236" s="77" t="s">
        <v>351</v>
      </c>
      <c r="E1236" s="77" t="s">
        <v>470</v>
      </c>
      <c r="F1236" s="77" t="s">
        <v>471</v>
      </c>
      <c r="G1236" s="77" t="s">
        <v>44</v>
      </c>
      <c r="H1236" s="77" t="s">
        <v>42</v>
      </c>
      <c r="I1236" s="77" t="s">
        <v>511</v>
      </c>
    </row>
    <row r="1237" spans="2:12" s="41" customFormat="1" ht="38.25" x14ac:dyDescent="0.25">
      <c r="B1237" s="160">
        <v>1</v>
      </c>
      <c r="C1237" s="154" t="s">
        <v>593</v>
      </c>
      <c r="D1237" s="154" t="s">
        <v>488</v>
      </c>
      <c r="E1237" s="163" t="str">
        <f>CONCATENATE(PAR!$H$3," évi
eredeti 
előirányzat")</f>
        <v>2025. évi
eredeti 
előirányzat</v>
      </c>
      <c r="F1237" s="163" t="str">
        <f>CONCATENATE(PAR!$H$3," évi
módosított 
előirányzat")</f>
        <v>2025. évi
módosított 
előirányzat</v>
      </c>
      <c r="G1237" s="69" t="s">
        <v>666</v>
      </c>
      <c r="H1237" s="69" t="s">
        <v>667</v>
      </c>
      <c r="I1237" s="69" t="s">
        <v>668</v>
      </c>
    </row>
    <row r="1238" spans="2:12" s="42" customFormat="1" x14ac:dyDescent="0.25">
      <c r="B1238" s="160">
        <v>2</v>
      </c>
      <c r="C1238" s="78" t="s">
        <v>352</v>
      </c>
      <c r="D1238" s="92" t="s">
        <v>2663</v>
      </c>
      <c r="E1238" s="71">
        <f>SUM(E1239:E1244)</f>
        <v>0</v>
      </c>
      <c r="F1238" s="71">
        <f>SUM(F1239:F1244)</f>
        <v>0</v>
      </c>
      <c r="G1238" s="71">
        <f>SUM(G1239:G1244)</f>
        <v>0</v>
      </c>
      <c r="H1238" s="71">
        <f>+H1239+H1240+H1241+H1242+H1243+H1244</f>
        <v>0</v>
      </c>
      <c r="I1238" s="71">
        <f>+I1239+I1240+I1241+I1242+I1243+I1244</f>
        <v>0</v>
      </c>
    </row>
    <row r="1239" spans="2:12" x14ac:dyDescent="0.25">
      <c r="B1239" s="160">
        <v>3</v>
      </c>
      <c r="C1239" s="305" t="s">
        <v>315</v>
      </c>
      <c r="D1239" s="161" t="s">
        <v>342</v>
      </c>
      <c r="E1239" s="72">
        <f>SUMIF(Adat!$AI:$AI,CONCATENATE(61,Info!$D$5,"051",L1234),Adat!$E:$E)</f>
        <v>0</v>
      </c>
      <c r="F1239" s="72">
        <f>SUMIF(Adat!$AI:$AI,CONCATENATE(60,Info!$D$5,"051",L1234),Adat!$E:$E)+E1239</f>
        <v>0</v>
      </c>
      <c r="G1239" s="72">
        <f>SUMIF(Adat!$AJ:$AJ,CONCATENATE(Info!$D$5,"051","(KÖT)",L1234),Adat!$E:$E)</f>
        <v>0</v>
      </c>
      <c r="H1239" s="72">
        <f>SUMIF(Adat!$AJ:$AJ,CONCATENATE(Info!$D$5,"051","(ÖNV)",L1234),Adat!$E:$E)</f>
        <v>0</v>
      </c>
      <c r="I1239" s="72">
        <f>SUMIF(Adat!$AJ:$AJ,CONCATENATE(Info!$D$5,"051","(ÁIG)",L1234),Adat!$E:$E)</f>
        <v>0</v>
      </c>
    </row>
    <row r="1240" spans="2:12" x14ac:dyDescent="0.25">
      <c r="B1240" s="160">
        <v>4</v>
      </c>
      <c r="C1240" s="305" t="s">
        <v>317</v>
      </c>
      <c r="D1240" s="161" t="s">
        <v>395</v>
      </c>
      <c r="E1240" s="72">
        <f>SUMIF(Adat!$AI:$AI,CONCATENATE(61,Info!$D$5,"052",L1234),Adat!$E:$E)</f>
        <v>0</v>
      </c>
      <c r="F1240" s="72">
        <f>SUMIF(Adat!$AI:$AI,CONCATENATE(60,Info!$D$5,"052",L1234),Adat!$E:$E)+E1240</f>
        <v>0</v>
      </c>
      <c r="G1240" s="72">
        <f>SUMIF(Adat!$AJ:$AJ,CONCATENATE(Info!$D$5,"052","(KÖT)",L1234),Adat!$E:$E)</f>
        <v>0</v>
      </c>
      <c r="H1240" s="72">
        <f>SUMIF(Adat!$AJ:$AJ,CONCATENATE(Info!$D$5,"052","(ÖNV)",L1234),Adat!$E:$E)</f>
        <v>0</v>
      </c>
      <c r="I1240" s="72">
        <f>SUMIF(Adat!$AJ:$AJ,CONCATENATE(Info!$D$5,"052","(ÁIG)",L1234),Adat!$E:$E)</f>
        <v>0</v>
      </c>
    </row>
    <row r="1241" spans="2:12" x14ac:dyDescent="0.25">
      <c r="B1241" s="160">
        <v>5</v>
      </c>
      <c r="C1241" s="305" t="s">
        <v>4</v>
      </c>
      <c r="D1241" s="161" t="s">
        <v>344</v>
      </c>
      <c r="E1241" s="72">
        <f>SUMIF(Adat!$AI:$AI,CONCATENATE(61,Info!$D$5,"053",L1234),Adat!$E:$E)</f>
        <v>0</v>
      </c>
      <c r="F1241" s="72">
        <f>SUMIF(Adat!$AI:$AI,CONCATENATE(60,Info!$D$5,"053",L1234),Adat!$E:$E)+E1241</f>
        <v>0</v>
      </c>
      <c r="G1241" s="72">
        <f>SUMIF(Adat!$AJ:$AJ,CONCATENATE(Info!$D$5,"053","(KÖT)",L1234),Adat!$E:$E)</f>
        <v>0</v>
      </c>
      <c r="H1241" s="72">
        <f>SUMIF(Adat!$AJ:$AJ,CONCATENATE(Info!$D$5,"053","(ÖNV)",L1234),Adat!$E:$E)</f>
        <v>0</v>
      </c>
      <c r="I1241" s="72">
        <f>SUMIF(Adat!$AJ:$AJ,CONCATENATE(Info!$D$5,"053","(ÁIG)",L1234),Adat!$E:$E)</f>
        <v>0</v>
      </c>
    </row>
    <row r="1242" spans="2:12" x14ac:dyDescent="0.25">
      <c r="B1242" s="160">
        <v>6</v>
      </c>
      <c r="C1242" s="305" t="s">
        <v>6</v>
      </c>
      <c r="D1242" s="161" t="s">
        <v>345</v>
      </c>
      <c r="E1242" s="72">
        <f>SUMIF(Adat!$AI:$AI,CONCATENATE(61,Info!$D$5,"054",L1234),Adat!$E:$E)</f>
        <v>0</v>
      </c>
      <c r="F1242" s="72">
        <f>SUMIF(Adat!$AI:$AI,CONCATENATE(60,Info!$D$5,"054",L1234),Adat!$E:$E)+E1242</f>
        <v>0</v>
      </c>
      <c r="G1242" s="72">
        <f>SUMIF(Adat!$AJ:$AJ,CONCATENATE(Info!$D$5,"054","(KÖT)",L1234),Adat!$E:$E)</f>
        <v>0</v>
      </c>
      <c r="H1242" s="72">
        <f>SUMIF(Adat!$AJ:$AJ,CONCATENATE(Info!$D$5,"054","(ÖNV)",L1234),Adat!$E:$E)</f>
        <v>0</v>
      </c>
      <c r="I1242" s="72">
        <f>SUMIF(Adat!$AJ:$AJ,CONCATENATE(Info!$D$5,"054","(ÁIG)",L1234),Adat!$E:$E)</f>
        <v>0</v>
      </c>
    </row>
    <row r="1243" spans="2:12" x14ac:dyDescent="0.25">
      <c r="B1243" s="160">
        <v>7</v>
      </c>
      <c r="C1243" s="305" t="s">
        <v>8</v>
      </c>
      <c r="D1243" s="161" t="s">
        <v>321</v>
      </c>
      <c r="E1243" s="72">
        <f>SUMIF(Adat!$AI:$AI,CONCATENATE(61,Info!$D$5,"055",L1234),Adat!$E:$E)-E1244</f>
        <v>0</v>
      </c>
      <c r="F1243" s="72">
        <f>SUMIF(Adat!$AI:$AI,CONCATENATE(60,Info!$D$5,"055",L1234),Adat!$E:$E)+E1243-F1244+E1244</f>
        <v>0</v>
      </c>
      <c r="G1243" s="72">
        <f>SUMIF(Adat!$AJ:$AJ,CONCATENATE(Info!$D$5,"055","(KÖT)",L1234),Adat!$E:$E)-G1244</f>
        <v>0</v>
      </c>
      <c r="H1243" s="72">
        <f>SUMIF(Adat!$AJ:$AJ,CONCATENATE(Info!$D$5,"055","(ÖNV)",L1234),Adat!$E:$E)-H1244</f>
        <v>0</v>
      </c>
      <c r="I1243" s="72">
        <f>SUMIF(Adat!$AJ:$AJ,CONCATENATE(Info!$D$5,"055","(ÁIG)",L1234),Adat!$E:$E)-I1244</f>
        <v>0</v>
      </c>
    </row>
    <row r="1244" spans="2:12" x14ac:dyDescent="0.25">
      <c r="B1244" s="160">
        <v>8</v>
      </c>
      <c r="C1244" s="305" t="s">
        <v>1283</v>
      </c>
      <c r="D1244" s="161" t="s">
        <v>397</v>
      </c>
      <c r="E1244" s="72">
        <f>SUMIF(Adat!$AG:$AG,CONCATENATE(61,Info!$D$5,"055131",L1234),Adat!$E:$E)</f>
        <v>0</v>
      </c>
      <c r="F1244" s="72">
        <f>SUMIF(Adat!$AG:$AG,CONCATENATE(60,Info!$D$5,"055131",L1234),Adat!$E:$E)+E1244</f>
        <v>0</v>
      </c>
      <c r="G1244" s="72">
        <f>SUMIF(Adat!$AH:$AH,CONCATENATE(Info!$D$5,"(KÖT)","055131",L1234),Adat!$E:$E)</f>
        <v>0</v>
      </c>
      <c r="H1244" s="72">
        <f>SUMIF(Adat!$AH:$AH,CONCATENATE(Info!$D$5,"(ÖNV)","055131",L1234),Adat!$E:$E)*-1</f>
        <v>0</v>
      </c>
      <c r="I1244" s="72">
        <f>SUMIF(Adat!$AH:$AH,CONCATENATE(Info!$D$5,"(ÁIG)","055131",L1234),Adat!$E:$E)*-1</f>
        <v>0</v>
      </c>
    </row>
    <row r="1245" spans="2:12" x14ac:dyDescent="0.25">
      <c r="B1245" s="160">
        <v>9</v>
      </c>
      <c r="C1245" s="305" t="s">
        <v>1283</v>
      </c>
      <c r="D1245" s="93" t="s">
        <v>1445</v>
      </c>
      <c r="E1245" s="72">
        <v>0</v>
      </c>
      <c r="F1245" s="72">
        <f>SUM(G1245:I1245)</f>
        <v>0</v>
      </c>
      <c r="G1245" s="72">
        <v>0</v>
      </c>
      <c r="H1245" s="72">
        <v>0</v>
      </c>
      <c r="I1245" s="72">
        <v>0</v>
      </c>
    </row>
    <row r="1246" spans="2:12" x14ac:dyDescent="0.25">
      <c r="B1246" s="160">
        <v>10</v>
      </c>
      <c r="C1246" s="305" t="s">
        <v>1283</v>
      </c>
      <c r="D1246" s="93" t="s">
        <v>1446</v>
      </c>
      <c r="E1246" s="72">
        <v>0</v>
      </c>
      <c r="F1246" s="72">
        <f>SUM(G1246:I1246)</f>
        <v>0</v>
      </c>
      <c r="G1246" s="72">
        <v>0</v>
      </c>
      <c r="H1246" s="72">
        <v>0</v>
      </c>
      <c r="I1246" s="72">
        <v>0</v>
      </c>
    </row>
    <row r="1247" spans="2:12" x14ac:dyDescent="0.25">
      <c r="B1247" s="160">
        <v>11</v>
      </c>
      <c r="C1247" s="78" t="s">
        <v>358</v>
      </c>
      <c r="D1247" s="92" t="s">
        <v>2664</v>
      </c>
      <c r="E1247" s="71">
        <f>+E1248+E1250+E1252</f>
        <v>0</v>
      </c>
      <c r="F1247" s="71">
        <f>+F1248+F1250+F1252</f>
        <v>0</v>
      </c>
      <c r="G1247" s="71">
        <f>+G1248+G1250+G1252</f>
        <v>0</v>
      </c>
      <c r="H1247" s="71">
        <f>+H1248+H1250+H1252</f>
        <v>0</v>
      </c>
      <c r="I1247" s="71">
        <f>+I1248+I1250+I1252</f>
        <v>0</v>
      </c>
    </row>
    <row r="1248" spans="2:12" x14ac:dyDescent="0.25">
      <c r="B1248" s="160">
        <v>12</v>
      </c>
      <c r="C1248" s="305" t="s">
        <v>10</v>
      </c>
      <c r="D1248" s="317" t="s">
        <v>322</v>
      </c>
      <c r="E1248" s="72">
        <f>SUMIF(Adat!$AI:$AI,CONCATENATE(61,Info!$D$5,"056",L1234),Adat!$E:$E)</f>
        <v>0</v>
      </c>
      <c r="F1248" s="72">
        <f>SUMIF(Adat!$AI:$AI,CONCATENATE(60,Info!$D$5,"056",L1234),Adat!$E:$E)+E1248</f>
        <v>0</v>
      </c>
      <c r="G1248" s="72">
        <f>SUMIF(Adat!$AJ:$AJ,CONCATENATE(Info!$D$5,"056","(KÖT)",L1234),Adat!$E:$E)</f>
        <v>0</v>
      </c>
      <c r="H1248" s="72">
        <f>SUMIF(Adat!$AJ:$AJ,CONCATENATE(Info!$D$5,"056","(ÖNV)",L1234),Adat!$E:$E)</f>
        <v>0</v>
      </c>
      <c r="I1248" s="72">
        <f>SUMIF(Adat!$AJ:$AJ,CONCATENATE(Info!$D$5,"056","(ÁIG)",L1234),Adat!$E:$E)</f>
        <v>0</v>
      </c>
    </row>
    <row r="1249" spans="2:9" x14ac:dyDescent="0.25">
      <c r="B1249" s="160">
        <v>13</v>
      </c>
      <c r="C1249" s="305" t="s">
        <v>10</v>
      </c>
      <c r="D1249" s="317" t="s">
        <v>1448</v>
      </c>
      <c r="E1249" s="72">
        <v>0</v>
      </c>
      <c r="F1249" s="72">
        <f>SUM(G1249:I1249)</f>
        <v>0</v>
      </c>
      <c r="G1249" s="72">
        <v>0</v>
      </c>
      <c r="H1249" s="72">
        <v>0</v>
      </c>
      <c r="I1249" s="72">
        <v>0</v>
      </c>
    </row>
    <row r="1250" spans="2:9" x14ac:dyDescent="0.25">
      <c r="B1250" s="160">
        <v>14</v>
      </c>
      <c r="C1250" s="305" t="s">
        <v>12</v>
      </c>
      <c r="D1250" s="317" t="s">
        <v>323</v>
      </c>
      <c r="E1250" s="72">
        <f>SUMIF(Adat!$AI:$AI,CONCATENATE(61,Info!$D$5,"057",L1234),Adat!$E:$E)</f>
        <v>0</v>
      </c>
      <c r="F1250" s="72">
        <f>SUMIF(Adat!$AI:$AI,CONCATENATE(60,Info!$D$5,"057",L1234),Adat!$E:$E)+E1250</f>
        <v>0</v>
      </c>
      <c r="G1250" s="72">
        <f>SUMIF(Adat!$AJ:$AJ,CONCATENATE(Info!$D$5,"057","(KÖT)",L1234),Adat!$E:$E)</f>
        <v>0</v>
      </c>
      <c r="H1250" s="72">
        <f>SUMIF(Adat!$AJ:$AJ,CONCATENATE(Info!$D$5,"057","(ÖNV)",L1234),Adat!$E:$E)</f>
        <v>0</v>
      </c>
      <c r="I1250" s="72">
        <f>SUMIF(Adat!$AJ:$AJ,CONCATENATE(Info!$D$5,"057","(ÁIG)",L1234),Adat!$E:$E)</f>
        <v>0</v>
      </c>
    </row>
    <row r="1251" spans="2:9" x14ac:dyDescent="0.25">
      <c r="B1251" s="160">
        <v>15</v>
      </c>
      <c r="C1251" s="305" t="s">
        <v>12</v>
      </c>
      <c r="D1251" s="317" t="s">
        <v>1449</v>
      </c>
      <c r="E1251" s="72">
        <v>0</v>
      </c>
      <c r="F1251" s="72">
        <f>SUM(G1251:I1251)</f>
        <v>0</v>
      </c>
      <c r="G1251" s="72">
        <v>0</v>
      </c>
      <c r="H1251" s="72">
        <v>0</v>
      </c>
      <c r="I1251" s="72">
        <v>0</v>
      </c>
    </row>
    <row r="1252" spans="2:9" x14ac:dyDescent="0.25">
      <c r="B1252" s="160">
        <v>16</v>
      </c>
      <c r="C1252" s="305" t="s">
        <v>15</v>
      </c>
      <c r="D1252" s="317" t="s">
        <v>324</v>
      </c>
      <c r="E1252" s="72">
        <f>SUMIF(Adat!$AI:$AI,CONCATENATE(61,Info!$D$5,"058",L1234),Adat!$E:$E)</f>
        <v>0</v>
      </c>
      <c r="F1252" s="72">
        <f>SUMIF(Adat!$AI:$AI,CONCATENATE(60,Info!$D$5,"058",L1234),Adat!$E:$E)+E1252</f>
        <v>0</v>
      </c>
      <c r="G1252" s="72">
        <f>SUMIF(Adat!$AJ:$AJ,CONCATENATE(Info!$D$5,"058","(KÖT)",L1234),Adat!$E:$E)</f>
        <v>0</v>
      </c>
      <c r="H1252" s="72">
        <f>SUMIF(Adat!$AJ:$AJ,CONCATENATE(Info!$D$5,"058","(ÖNV)",L1234),Adat!$E:$E)</f>
        <v>0</v>
      </c>
      <c r="I1252" s="72">
        <f>SUMIF(Adat!$AJ:$AJ,CONCATENATE(Info!$D$5,"058","(ÁIG)",L1234),Adat!$E:$E)</f>
        <v>0</v>
      </c>
    </row>
    <row r="1253" spans="2:9" x14ac:dyDescent="0.25">
      <c r="B1253" s="160">
        <v>17</v>
      </c>
      <c r="C1253" s="78" t="s">
        <v>364</v>
      </c>
      <c r="D1253" s="86" t="s">
        <v>402</v>
      </c>
      <c r="E1253" s="71">
        <f>+E1238+E1247</f>
        <v>0</v>
      </c>
      <c r="F1253" s="71">
        <f>+F1238+F1247</f>
        <v>0</v>
      </c>
      <c r="G1253" s="71">
        <f>+G1238+G1247</f>
        <v>0</v>
      </c>
      <c r="H1253" s="71">
        <f>+H1238+H1247</f>
        <v>0</v>
      </c>
      <c r="I1253" s="71">
        <f>+I1238+I1247</f>
        <v>0</v>
      </c>
    </row>
    <row r="1254" spans="2:9" x14ac:dyDescent="0.25">
      <c r="B1254" s="160">
        <v>18</v>
      </c>
      <c r="C1254" s="78" t="s">
        <v>403</v>
      </c>
      <c r="D1254" s="86" t="s">
        <v>1450</v>
      </c>
      <c r="E1254" s="71">
        <f>+E1255+E1256+E1257</f>
        <v>0</v>
      </c>
      <c r="F1254" s="71">
        <f>+F1255+F1256+F1257</f>
        <v>0</v>
      </c>
      <c r="G1254" s="71">
        <f>+G1255+G1256+G1257</f>
        <v>0</v>
      </c>
      <c r="H1254" s="71">
        <f>+H1255+H1256+H1257</f>
        <v>0</v>
      </c>
      <c r="I1254" s="71">
        <f>+I1255+I1256+I1257</f>
        <v>0</v>
      </c>
    </row>
    <row r="1255" spans="2:9" s="42" customFormat="1" x14ac:dyDescent="0.25">
      <c r="B1255" s="160">
        <v>19</v>
      </c>
      <c r="C1255" s="305" t="s">
        <v>1451</v>
      </c>
      <c r="D1255" s="161" t="s">
        <v>490</v>
      </c>
      <c r="E1255" s="72">
        <f>SUMIF(Adat!$AG:$AG,CONCATENATE(61,Info!$D$5,"0591111",L1234),Adat!$E:$E)</f>
        <v>0</v>
      </c>
      <c r="F1255" s="72">
        <f>SUMIF(Adat!$AG:$AG,CONCATENATE(60,Info!$D$5,"0591111",L1234),Adat!$E:$E)+E1255</f>
        <v>0</v>
      </c>
      <c r="G1255" s="72">
        <f>SUMIF(Adat!$AH:$AH,CONCATENATE(Info!$D$5,"(KÖT)","0591111",L1234),Adat!$E:$E)</f>
        <v>0</v>
      </c>
      <c r="H1255" s="72">
        <f>SUMIF(Adat!$AH:$AH,CONCATENATE(Info!$D$5,"(ÖNV)","0591111",L1234),Adat!$E:$E)</f>
        <v>0</v>
      </c>
      <c r="I1255" s="72">
        <f>SUMIF(Adat!$AH:$AH,CONCATENATE(Info!$D$5,"(ÁIG)","0591111",L1234),Adat!$E:$E)</f>
        <v>0</v>
      </c>
    </row>
    <row r="1256" spans="2:9" x14ac:dyDescent="0.25">
      <c r="B1256" s="160">
        <v>20</v>
      </c>
      <c r="C1256" s="305" t="s">
        <v>1453</v>
      </c>
      <c r="D1256" s="161" t="s">
        <v>406</v>
      </c>
      <c r="E1256" s="72">
        <f>SUMIF(Adat!$AG:$AG,CONCATENATE(61,Info!$D$5,"0591121",L1234),Adat!$E:$E)</f>
        <v>0</v>
      </c>
      <c r="F1256" s="72">
        <f>SUMIF(Adat!$AG:$AG,CONCATENATE(60,Info!$D$5,"0591121",L1234),Adat!$E:$E)+E1256</f>
        <v>0</v>
      </c>
      <c r="G1256" s="72">
        <f>SUMIF(Adat!$AH:$AH,CONCATENATE(Info!$D$5,"(KÖT)","0591121",L1234),Adat!$E:$E)</f>
        <v>0</v>
      </c>
      <c r="H1256" s="72">
        <f>SUMIF(Adat!$AH:$AH,CONCATENATE(Info!$D$5,"(ÖNV)","0591121",L1234),Adat!$E:$E)</f>
        <v>0</v>
      </c>
      <c r="I1256" s="72">
        <f>SUMIF(Adat!$AH:$AH,CONCATENATE(Info!$D$5,"(ÁIG)","0591121",L1234),Adat!$E:$E)</f>
        <v>0</v>
      </c>
    </row>
    <row r="1257" spans="2:9" x14ac:dyDescent="0.25">
      <c r="B1257" s="160">
        <v>21</v>
      </c>
      <c r="C1257" s="305" t="s">
        <v>1455</v>
      </c>
      <c r="D1257" s="161" t="s">
        <v>491</v>
      </c>
      <c r="E1257" s="72">
        <f>SUMIF(Adat!$AG:$AG,CONCATENATE(61,Info!$D$5,"0591131",L1234),Adat!$E:$E)</f>
        <v>0</v>
      </c>
      <c r="F1257" s="72">
        <f>SUMIF(Adat!$AG:$AG,CONCATENATE(60,Info!$D$5,"0591131",L1234),Adat!$E:$E)+E1257</f>
        <v>0</v>
      </c>
      <c r="G1257" s="72">
        <f>SUMIF(Adat!$AH:$AH,CONCATENATE(Info!$D$5,"(KÖT)","0591131",L1234),Adat!$E:$E)</f>
        <v>0</v>
      </c>
      <c r="H1257" s="72">
        <f>SUMIF(Adat!$AH:$AH,CONCATENATE(Info!$D$5,"(ÖNV)","0591131",L1234),Adat!$E:$E)</f>
        <v>0</v>
      </c>
      <c r="I1257" s="72">
        <f>SUMIF(Adat!$AH:$AH,CONCATENATE(Info!$D$5,"(ÁIG)","0591131",L1234),Adat!$E:$E)</f>
        <v>0</v>
      </c>
    </row>
    <row r="1258" spans="2:9" x14ac:dyDescent="0.25">
      <c r="B1258" s="160">
        <v>22</v>
      </c>
      <c r="C1258" s="78" t="s">
        <v>372</v>
      </c>
      <c r="D1258" s="86" t="s">
        <v>1457</v>
      </c>
      <c r="E1258" s="71">
        <f>+E1259+E1260+E1261+E1262+E1263+E1264</f>
        <v>0</v>
      </c>
      <c r="F1258" s="71">
        <f>+F1259+F1260+F1261+F1262+F1263+F1264</f>
        <v>0</v>
      </c>
      <c r="G1258" s="71">
        <f>+G1259+G1260+G1261+G1262+G1263+G1264</f>
        <v>0</v>
      </c>
      <c r="H1258" s="71">
        <f>+H1259+H1260+H1261+H1262+H1263+H1264</f>
        <v>0</v>
      </c>
      <c r="I1258" s="71">
        <f>+I1259+I1260+I1261+I1262+I1263+I1264</f>
        <v>0</v>
      </c>
    </row>
    <row r="1259" spans="2:9" x14ac:dyDescent="0.25">
      <c r="B1259" s="160">
        <v>23</v>
      </c>
      <c r="C1259" s="305" t="s">
        <v>1458</v>
      </c>
      <c r="D1259" s="161" t="s">
        <v>409</v>
      </c>
      <c r="E1259" s="72">
        <f>SUMIF(Adat!$AG:$AG,CONCATENATE(61,Info!$D$5,"0591211",L1234),Adat!$E:$E)</f>
        <v>0</v>
      </c>
      <c r="F1259" s="72">
        <f>SUMIF(Adat!$AG:$AG,CONCATENATE(60,Info!$D$5,"0591211",L1234),Adat!$E:$E)+E1259</f>
        <v>0</v>
      </c>
      <c r="G1259" s="72">
        <f>SUMIF(Adat!$AH:$AH,CONCATENATE(Info!$D$5,"(KÖT)","0591211",L1234),Adat!$E:$E)</f>
        <v>0</v>
      </c>
      <c r="H1259" s="72">
        <f>SUMIF(Adat!$AH:$AH,CONCATENATE(Info!$D$5,"(ÖNV)","0591211",L1234),Adat!$E:$E)</f>
        <v>0</v>
      </c>
      <c r="I1259" s="72">
        <f>SUMIF(Adat!$AH:$AH,CONCATENATE(Info!$D$5,"(ÁIG)","0591211",L1234),Adat!$E:$E)</f>
        <v>0</v>
      </c>
    </row>
    <row r="1260" spans="2:9" x14ac:dyDescent="0.25">
      <c r="B1260" s="160">
        <v>24</v>
      </c>
      <c r="C1260" s="305" t="s">
        <v>1460</v>
      </c>
      <c r="D1260" s="161" t="s">
        <v>410</v>
      </c>
      <c r="E1260" s="72">
        <f>SUMIF(Adat!$AG:$AG,CONCATENATE(61,Info!$D$5,"0591221",L1234),Adat!$E:$E)</f>
        <v>0</v>
      </c>
      <c r="F1260" s="72">
        <f>SUMIF(Adat!$AG:$AG,CONCATENATE(60,Info!$D$5,"0591221",L1234),Adat!$E:$E)+E1260</f>
        <v>0</v>
      </c>
      <c r="G1260" s="72">
        <f>SUMIF(Adat!$AH:$AH,CONCATENATE(Info!$D$5,"(KÖT)","0591221",L1234),Adat!$E:$E)</f>
        <v>0</v>
      </c>
      <c r="H1260" s="72">
        <f>SUMIF(Adat!$AH:$AH,CONCATENATE(Info!$D$5,"(ÖNV)","0591221",L1234),Adat!$E:$E)</f>
        <v>0</v>
      </c>
      <c r="I1260" s="72">
        <f>SUMIF(Adat!$AH:$AH,CONCATENATE(Info!$D$5,"(ÁIG)","0591221",L1234),Adat!$E:$E)</f>
        <v>0</v>
      </c>
    </row>
    <row r="1261" spans="2:9" x14ac:dyDescent="0.25">
      <c r="B1261" s="160">
        <v>25</v>
      </c>
      <c r="C1261" s="305" t="s">
        <v>1462</v>
      </c>
      <c r="D1261" s="161" t="s">
        <v>411</v>
      </c>
      <c r="E1261" s="72">
        <f>SUMIF(Adat!$AG:$AG,CONCATENATE(61,Info!$D$5,"0591231",L1234),Adat!$E:$E)</f>
        <v>0</v>
      </c>
      <c r="F1261" s="72">
        <f>SUMIF(Adat!$AG:$AG,CONCATENATE(60,Info!$D$5,"0591231",L1234),Adat!$E:$E)+E1261</f>
        <v>0</v>
      </c>
      <c r="G1261" s="72">
        <f>SUMIF(Adat!$AH:$AH,CONCATENATE(Info!$D$5,"(KÖT)","0591231",L1234),Adat!$E:$E)</f>
        <v>0</v>
      </c>
      <c r="H1261" s="72">
        <f>SUMIF(Adat!$AH:$AH,CONCATENATE(Info!$D$5,"(ÖNV)","0591231",L1234),Adat!$E:$E)</f>
        <v>0</v>
      </c>
      <c r="I1261" s="72">
        <f>SUMIF(Adat!$AH:$AH,CONCATENATE(Info!$D$5,"(ÁIG)","0591231",L1234),Adat!$E:$E)</f>
        <v>0</v>
      </c>
    </row>
    <row r="1262" spans="2:9" x14ac:dyDescent="0.25">
      <c r="B1262" s="160">
        <v>26</v>
      </c>
      <c r="C1262" s="305" t="s">
        <v>1464</v>
      </c>
      <c r="D1262" s="161" t="s">
        <v>492</v>
      </c>
      <c r="E1262" s="72">
        <f>SUMIF(Adat!$AG:$AG,CONCATENATE(61,Info!$D$5,"0591241",L1234),Adat!$E:$E)</f>
        <v>0</v>
      </c>
      <c r="F1262" s="72">
        <f>SUMIF(Adat!$AG:$AG,CONCATENATE(60,Info!$D$5,"0591241",L1234),Adat!$E:$E)+E1262</f>
        <v>0</v>
      </c>
      <c r="G1262" s="72">
        <f>SUMIF(Adat!$AH:$AH,CONCATENATE(Info!$D$5,"(KÖT)","0591241",L1234),Adat!$E:$E)</f>
        <v>0</v>
      </c>
      <c r="H1262" s="72">
        <f>SUMIF(Adat!$AH:$AH,CONCATENATE(Info!$D$5,"(ÖNV)","0591241",L1234),Adat!$E:$E)</f>
        <v>0</v>
      </c>
      <c r="I1262" s="72">
        <f>SUMIF(Adat!$AH:$AH,CONCATENATE(Info!$D$5,"(ÁIG)","0591241",L1234),Adat!$E:$E)</f>
        <v>0</v>
      </c>
    </row>
    <row r="1263" spans="2:9" x14ac:dyDescent="0.25">
      <c r="B1263" s="160">
        <v>27</v>
      </c>
      <c r="C1263" s="305" t="s">
        <v>1466</v>
      </c>
      <c r="D1263" s="161" t="s">
        <v>413</v>
      </c>
      <c r="E1263" s="72">
        <f>SUMIF(Adat!$AG:$AG,CONCATENATE(61,Info!$D$5,"0591251",L1234),Adat!$E:$E)</f>
        <v>0</v>
      </c>
      <c r="F1263" s="72">
        <f>SUMIF(Adat!$AG:$AG,CONCATENATE(60,Info!$D$5,"0591251",L1234),Adat!$E:$E)+E1263</f>
        <v>0</v>
      </c>
      <c r="G1263" s="72">
        <f>SUMIF(Adat!$AH:$AH,CONCATENATE(Info!$D$5,"(KÖT)","0591251",L1234),Adat!$E:$E)</f>
        <v>0</v>
      </c>
      <c r="H1263" s="72">
        <f>SUMIF(Adat!$AH:$AH,CONCATENATE(Info!$D$5,"(ÖNV)","0591251",L1234),Adat!$E:$E)</f>
        <v>0</v>
      </c>
      <c r="I1263" s="72">
        <f>SUMIF(Adat!$AH:$AH,CONCATENATE(Info!$D$5,"(ÁIG)","0591251",L1234),Adat!$E:$E)</f>
        <v>0</v>
      </c>
    </row>
    <row r="1264" spans="2:9" s="42" customFormat="1" x14ac:dyDescent="0.25">
      <c r="B1264" s="160">
        <v>28</v>
      </c>
      <c r="C1264" s="305" t="s">
        <v>1468</v>
      </c>
      <c r="D1264" s="161" t="s">
        <v>414</v>
      </c>
      <c r="E1264" s="72">
        <f>SUMIF(Adat!$AG:$AG,CONCATENATE(61,Info!$D$5,"0591261",L1234),Adat!$E:$E)</f>
        <v>0</v>
      </c>
      <c r="F1264" s="72">
        <f>SUMIF(Adat!$AG:$AG,CONCATENATE(60,Info!$D$5,"0591261",L1234),Adat!$E:$E)+E1264</f>
        <v>0</v>
      </c>
      <c r="G1264" s="72">
        <f>SUMIF(Adat!$AH:$AH,CONCATENATE(Info!$D$5,"(KÖT)","0591261",L1234),Adat!$E:$E)</f>
        <v>0</v>
      </c>
      <c r="H1264" s="72">
        <f>SUMIF(Adat!$AH:$AH,CONCATENATE(Info!$D$5,"(ÖNV)","0591261",L1234),Adat!$E:$E)</f>
        <v>0</v>
      </c>
      <c r="I1264" s="72">
        <f>SUMIF(Adat!$AH:$AH,CONCATENATE(Info!$D$5,"(ÁIG)","0591261",L1234),Adat!$E:$E)</f>
        <v>0</v>
      </c>
    </row>
    <row r="1265" spans="2:18" x14ac:dyDescent="0.25">
      <c r="B1265" s="160">
        <v>29</v>
      </c>
      <c r="C1265" s="78" t="s">
        <v>379</v>
      </c>
      <c r="D1265" s="86" t="s">
        <v>1470</v>
      </c>
      <c r="E1265" s="71">
        <f>+E1266+E1267+E1269+E1270+E1268</f>
        <v>0</v>
      </c>
      <c r="F1265" s="71">
        <f>+F1266+F1267+F1269+F1270+F1268</f>
        <v>0</v>
      </c>
      <c r="G1265" s="71">
        <f>+G1266+G1267+G1269+G1270+G1268</f>
        <v>0</v>
      </c>
      <c r="H1265" s="71">
        <f>+H1266+H1267+H1269+H1270+H1268</f>
        <v>0</v>
      </c>
      <c r="I1265" s="71">
        <f>+I1266+I1267+I1269+I1270+I1268</f>
        <v>0</v>
      </c>
      <c r="R1265" s="43"/>
    </row>
    <row r="1266" spans="2:18" x14ac:dyDescent="0.25">
      <c r="B1266" s="160">
        <v>30</v>
      </c>
      <c r="C1266" s="305" t="s">
        <v>1471</v>
      </c>
      <c r="D1266" s="161" t="s">
        <v>416</v>
      </c>
      <c r="E1266" s="72">
        <f>SUMIF(Adat!$AG:$AG,CONCATENATE(61,Info!$D$5,"059131",L1234),Adat!$E:$E)</f>
        <v>0</v>
      </c>
      <c r="F1266" s="72">
        <f>SUMIF(Adat!$AG:$AG,CONCATENATE(60,Info!$D$5,"059131",L1234),Adat!$E:$E)+E1266</f>
        <v>0</v>
      </c>
      <c r="G1266" s="72">
        <f>SUMIF(Adat!$AH:$AH,CONCATENATE(Info!$D$5,"(KÖT)","059131",L1234),Adat!$E:$E)</f>
        <v>0</v>
      </c>
      <c r="H1266" s="72">
        <f>SUMIF(Adat!$AH:$AH,CONCATENATE(Info!$D$5,"(ÖNV)","059131",L1234),Adat!$E:$E)</f>
        <v>0</v>
      </c>
      <c r="I1266" s="72">
        <f>SUMIF(Adat!$AH:$AH,CONCATENATE(Info!$D$5,"(ÁIG)","059131",L1234),Adat!$E:$E)</f>
        <v>0</v>
      </c>
    </row>
    <row r="1267" spans="2:18" x14ac:dyDescent="0.25">
      <c r="B1267" s="160">
        <v>31</v>
      </c>
      <c r="C1267" s="305" t="s">
        <v>1287</v>
      </c>
      <c r="D1267" s="161" t="s">
        <v>417</v>
      </c>
      <c r="E1267" s="72">
        <f>SUMIF(Adat!$AG:$AG,CONCATENATE(61,Info!$D$5,"059141",L1234),Adat!$E:$E)</f>
        <v>0</v>
      </c>
      <c r="F1267" s="72">
        <f>SUMIF(Adat!$AG:$AG,CONCATENATE(60,Info!$D$5,"059141",L1234),Adat!$E:$E)+E1267</f>
        <v>0</v>
      </c>
      <c r="G1267" s="72">
        <f>SUMIF(Adat!$AH:$AH,CONCATENATE(Info!$D$5,"(KÖT)","059141",L1234),Adat!$E:$E)</f>
        <v>0</v>
      </c>
      <c r="H1267" s="72">
        <f>SUMIF(Adat!$AH:$AH,CONCATENATE(Info!$D$5,"(ÖNV)","059141",L1234),Adat!$E:$E)</f>
        <v>0</v>
      </c>
      <c r="I1267" s="72">
        <f>SUMIF(Adat!$AH:$AH,CONCATENATE(Info!$D$5,"(ÁIG)","059141",L1234),Adat!$E:$E)</f>
        <v>0</v>
      </c>
    </row>
    <row r="1268" spans="2:18" x14ac:dyDescent="0.25">
      <c r="B1268" s="160">
        <v>32</v>
      </c>
      <c r="C1268" s="316" t="s">
        <v>1253</v>
      </c>
      <c r="D1268" s="161" t="s">
        <v>493</v>
      </c>
      <c r="E1268" s="72">
        <f>SUMIF(Adat!$AG:$AG,CONCATENATE(61,Info!$D$5,"059151",L1234),Adat!$E:$E)</f>
        <v>0</v>
      </c>
      <c r="F1268" s="72">
        <f>SUMIF(Adat!$AG:$AG,CONCATENATE(60,Info!$D$5,"059151",L1234),Adat!$E:$E)+E1268</f>
        <v>0</v>
      </c>
      <c r="G1268" s="72">
        <f>SUMIF(Adat!$AH:$AH,CONCATENATE(Info!$D$5,"(KÖT)","059151",L1234),Adat!$E:$E)</f>
        <v>0</v>
      </c>
      <c r="H1268" s="72">
        <f>SUMIF(Adat!$AH:$AH,CONCATENATE(Info!$D$5,"(ÖNV)","059151",L1234),Adat!$E:$E)</f>
        <v>0</v>
      </c>
      <c r="I1268" s="72">
        <f>SUMIF(Adat!$AH:$AH,CONCATENATE(Info!$D$5,"(ÁIG)","059151",L1234),Adat!$E:$E)</f>
        <v>0</v>
      </c>
    </row>
    <row r="1269" spans="2:18" s="42" customFormat="1" x14ac:dyDescent="0.25">
      <c r="B1269" s="160">
        <v>33</v>
      </c>
      <c r="C1269" s="305" t="s">
        <v>1474</v>
      </c>
      <c r="D1269" s="161" t="s">
        <v>418</v>
      </c>
      <c r="E1269" s="72">
        <f>SUMIF(Adat!$AG:$AG,CONCATENATE(61,Info!$D$5,"059161",L1234),Adat!$E:$E)</f>
        <v>0</v>
      </c>
      <c r="F1269" s="72">
        <f>SUMIF(Adat!$AG:$AG,CONCATENATE(60,Info!$D$5,"059161",L1234),Adat!$E:$E)+E1269</f>
        <v>0</v>
      </c>
      <c r="G1269" s="72">
        <f>SUMIF(Adat!$AH:$AH,CONCATENATE(Info!$D$5,"(KÖT)","059161",L1234),Adat!$E:$E)</f>
        <v>0</v>
      </c>
      <c r="H1269" s="72">
        <f>SUMIF(Adat!$AH:$AH,CONCATENATE(Info!$D$5,"(ÖNV)","059161",L1234),Adat!$E:$E)</f>
        <v>0</v>
      </c>
      <c r="I1269" s="72">
        <f>SUMIF(Adat!$AH:$AH,CONCATENATE(Info!$D$5,"(ÁIG)","059161",L1234),Adat!$E:$E)</f>
        <v>0</v>
      </c>
    </row>
    <row r="1270" spans="2:18" s="42" customFormat="1" x14ac:dyDescent="0.25">
      <c r="B1270" s="160">
        <v>34</v>
      </c>
      <c r="C1270" s="305" t="s">
        <v>1476</v>
      </c>
      <c r="D1270" s="161" t="s">
        <v>419</v>
      </c>
      <c r="E1270" s="72">
        <f>SUMIF(Adat!$AG:$AG,CONCATENATE(61,Info!$D$5,"059171",L1234),Adat!$E:$E)</f>
        <v>0</v>
      </c>
      <c r="F1270" s="72">
        <f>SUMIF(Adat!$AG:$AG,CONCATENATE(60,Info!$D$5,"059171",L1234),Adat!$E:$E)+E1270</f>
        <v>0</v>
      </c>
      <c r="G1270" s="72">
        <f>SUMIF(Adat!$AH:$AH,CONCATENATE(Info!$D$5,"(KÖT)","059171",L1234),Adat!$E:$E)</f>
        <v>0</v>
      </c>
      <c r="H1270" s="72">
        <f>SUMIF(Adat!$AH:$AH,CONCATENATE(Info!$D$5,"(ÖNV)","059171",L1234),Adat!$E:$E)</f>
        <v>0</v>
      </c>
      <c r="I1270" s="72">
        <f>SUMIF(Adat!$AH:$AH,CONCATENATE(Info!$D$5,"(ÁIG)","059171",L1234),Adat!$E:$E)</f>
        <v>0</v>
      </c>
    </row>
    <row r="1271" spans="2:18" s="42" customFormat="1" x14ac:dyDescent="0.25">
      <c r="B1271" s="160">
        <v>35</v>
      </c>
      <c r="C1271" s="78" t="s">
        <v>420</v>
      </c>
      <c r="D1271" s="86" t="s">
        <v>1478</v>
      </c>
      <c r="E1271" s="73">
        <f>+E1272+E1273+E1274+E1275+E1276</f>
        <v>0</v>
      </c>
      <c r="F1271" s="73">
        <f>+F1272+F1273+F1274+F1275+F1276</f>
        <v>0</v>
      </c>
      <c r="G1271" s="73">
        <f>+G1272+G1273+G1274+G1275+G1276</f>
        <v>0</v>
      </c>
      <c r="H1271" s="73">
        <f>+H1272+H1273+H1274+H1275+H1276</f>
        <v>0</v>
      </c>
      <c r="I1271" s="73">
        <f>+I1272+I1273+I1274+I1275+I1276</f>
        <v>0</v>
      </c>
    </row>
    <row r="1272" spans="2:18" s="42" customFormat="1" x14ac:dyDescent="0.25">
      <c r="B1272" s="160">
        <v>36</v>
      </c>
      <c r="C1272" s="305" t="s">
        <v>1479</v>
      </c>
      <c r="D1272" s="161" t="s">
        <v>422</v>
      </c>
      <c r="E1272" s="72">
        <f>SUMIF(Adat!$AG:$AG,CONCATENATE(61,Info!$D$5,"059211",L1234),Adat!$E:$E)</f>
        <v>0</v>
      </c>
      <c r="F1272" s="72">
        <f>SUMIF(Adat!$AG:$AG,CONCATENATE(60,Info!$D$5,"059211",L1234),Adat!$E:$E)+E1272</f>
        <v>0</v>
      </c>
      <c r="G1272" s="72">
        <f>SUMIF(Adat!$AH:$AH,CONCATENATE(Info!$D$5,"(KÖT)","059211",L1234),Adat!$E:$E)</f>
        <v>0</v>
      </c>
      <c r="H1272" s="72">
        <f>SUMIF(Adat!$AH:$AH,CONCATENATE(Info!$D$5,"(ÖNV)","059211",L1234),Adat!$E:$E)</f>
        <v>0</v>
      </c>
      <c r="I1272" s="72">
        <f>SUMIF(Adat!$AH:$AH,CONCATENATE(Info!$D$5,"(ÁIG)","059211",L1234),Adat!$E:$E)</f>
        <v>0</v>
      </c>
    </row>
    <row r="1273" spans="2:18" s="42" customFormat="1" x14ac:dyDescent="0.25">
      <c r="B1273" s="160">
        <v>37</v>
      </c>
      <c r="C1273" s="305" t="s">
        <v>1481</v>
      </c>
      <c r="D1273" s="161" t="s">
        <v>423</v>
      </c>
      <c r="E1273" s="72">
        <f>SUMIF(Adat!$AG:$AG,CONCATENATE(61,Info!$D$5,"059221",L1234),Adat!$E:$E)</f>
        <v>0</v>
      </c>
      <c r="F1273" s="72">
        <f>SUMIF(Adat!$AG:$AG,CONCATENATE(60,Info!$D$5,"059221",L1234),Adat!$E:$E)+E1273</f>
        <v>0</v>
      </c>
      <c r="G1273" s="72">
        <f>SUMIF(Adat!$AH:$AH,CONCATENATE(Info!$D$5,"(KÖT)","059221",L1234),Adat!$E:$E)</f>
        <v>0</v>
      </c>
      <c r="H1273" s="72">
        <f>SUMIF(Adat!$AH:$AH,CONCATENATE(Info!$D$5,"(ÖNV)","059221",L1234),Adat!$E:$E)</f>
        <v>0</v>
      </c>
      <c r="I1273" s="72">
        <f>SUMIF(Adat!$AH:$AH,CONCATENATE(Info!$D$5,"(ÁIG)","059221",L1234),Adat!$E:$E)</f>
        <v>0</v>
      </c>
    </row>
    <row r="1274" spans="2:18" s="42" customFormat="1" x14ac:dyDescent="0.25">
      <c r="B1274" s="160">
        <v>38</v>
      </c>
      <c r="C1274" s="305" t="s">
        <v>1483</v>
      </c>
      <c r="D1274" s="161" t="s">
        <v>424</v>
      </c>
      <c r="E1274" s="72">
        <f>SUMIF(Adat!$AG:$AG,CONCATENATE(61,Info!$D$5,"059231",L1234),Adat!$E:$E)</f>
        <v>0</v>
      </c>
      <c r="F1274" s="72">
        <f>SUMIF(Adat!$AG:$AG,CONCATENATE(60,Info!$D$5,"059231",L1234),Adat!$E:$E)+E1274</f>
        <v>0</v>
      </c>
      <c r="G1274" s="72">
        <f>SUMIF(Adat!$AH:$AH,CONCATENATE(Info!$D$5,"(KÖT)","059231",L1234),Adat!$E:$E)</f>
        <v>0</v>
      </c>
      <c r="H1274" s="72">
        <f>SUMIF(Adat!$AH:$AH,CONCATENATE(Info!$D$5,"(ÖNV)","059231",L1234),Adat!$E:$E)</f>
        <v>0</v>
      </c>
      <c r="I1274" s="72">
        <f>SUMIF(Adat!$AH:$AH,CONCATENATE(Info!$D$5,"(ÁIG)","059231",L1234),Adat!$E:$E)</f>
        <v>0</v>
      </c>
    </row>
    <row r="1275" spans="2:18" s="42" customFormat="1" x14ac:dyDescent="0.25">
      <c r="B1275" s="160">
        <v>39</v>
      </c>
      <c r="C1275" s="305" t="s">
        <v>1485</v>
      </c>
      <c r="D1275" s="161" t="s">
        <v>494</v>
      </c>
      <c r="E1275" s="72">
        <f>SUMIF(Adat!$AG:$AG,CONCATENATE(61,Info!$D$5,"059241",L1234),Adat!$E:$E)</f>
        <v>0</v>
      </c>
      <c r="F1275" s="72">
        <f>SUMIF(Adat!$AG:$AG,CONCATENATE(60,Info!$D$5,"059241",L1234),Adat!$E:$E)+E1275</f>
        <v>0</v>
      </c>
      <c r="G1275" s="72">
        <f>SUMIF(Adat!$AH:$AH,CONCATENATE(Info!$D$5,"(KÖT)","059241",L1234),Adat!$E:$E)</f>
        <v>0</v>
      </c>
      <c r="H1275" s="72">
        <f>SUMIF(Adat!$AH:$AH,CONCATENATE(Info!$D$5,"(ÖNV)","059241",L1234),Adat!$E:$E)</f>
        <v>0</v>
      </c>
      <c r="I1275" s="72">
        <f>SUMIF(Adat!$AH:$AH,CONCATENATE(Info!$D$5,"(ÁIG)","059241",L1234),Adat!$E:$E)</f>
        <v>0</v>
      </c>
    </row>
    <row r="1276" spans="2:18" x14ac:dyDescent="0.25">
      <c r="B1276" s="160">
        <v>40</v>
      </c>
      <c r="C1276" s="305" t="s">
        <v>1487</v>
      </c>
      <c r="D1276" s="161" t="s">
        <v>427</v>
      </c>
      <c r="E1276" s="72">
        <f>SUMIF(Adat!$AG:$AG,CONCATENATE(61,Info!$D$5,"059251",L1234),Adat!$E:$E)</f>
        <v>0</v>
      </c>
      <c r="F1276" s="72">
        <f>SUMIF(Adat!$AG:$AG,CONCATENATE(60,Info!$D$5,"059251",L1234),Adat!$E:$E)+E1276</f>
        <v>0</v>
      </c>
      <c r="G1276" s="72">
        <f>SUMIF(Adat!$AH:$AH,CONCATENATE(Info!$D$5,"(KÖT)","059251",L1234),Adat!$E:$E)</f>
        <v>0</v>
      </c>
      <c r="H1276" s="72">
        <f>SUMIF(Adat!$AH:$AH,CONCATENATE(Info!$D$5,"(ÖNV)","059251",L1234),Adat!$E:$E)</f>
        <v>0</v>
      </c>
      <c r="I1276" s="72">
        <f>SUMIF(Adat!$AH:$AH,CONCATENATE(Info!$D$5,"(ÁIG)","059251",L1234),Adat!$E:$E)</f>
        <v>0</v>
      </c>
    </row>
    <row r="1277" spans="2:18" x14ac:dyDescent="0.25">
      <c r="B1277" s="160">
        <v>41</v>
      </c>
      <c r="C1277" s="162" t="s">
        <v>390</v>
      </c>
      <c r="D1277" s="86" t="s">
        <v>428</v>
      </c>
      <c r="E1277" s="72">
        <f>SUMIF(Adat!$AG:$AG,CONCATENATE(61,Info!$D$5,"05931",L1234),Adat!$E:$E)</f>
        <v>0</v>
      </c>
      <c r="F1277" s="72">
        <f>SUMIF(Adat!$AG:$AG,CONCATENATE(60,Info!$D$5,"05931",L1234),Adat!$E:$E)+E1277</f>
        <v>0</v>
      </c>
      <c r="G1277" s="72">
        <f>SUMIF(Adat!$AH:$AH,CONCATENATE(Info!$D$5,"(KÖT)","05931",L1234),Adat!$E:$E)</f>
        <v>0</v>
      </c>
      <c r="H1277" s="72">
        <f>SUMIF(Adat!$AH:$AH,CONCATENATE(Info!$D$5,"(ÖNV)","05931",L1234),Adat!$E:$E)</f>
        <v>0</v>
      </c>
      <c r="I1277" s="72">
        <f>SUMIF(Adat!$AH:$AH,CONCATENATE(Info!$D$5,"(ÁIG)","05931",L1234),Adat!$E:$E)</f>
        <v>0</v>
      </c>
    </row>
    <row r="1278" spans="2:18" x14ac:dyDescent="0.25">
      <c r="B1278" s="160">
        <v>42</v>
      </c>
      <c r="C1278" s="162" t="s">
        <v>429</v>
      </c>
      <c r="D1278" s="86" t="s">
        <v>430</v>
      </c>
      <c r="E1278" s="72">
        <f>SUMIF(Adat!$AG:$AG,CONCATENATE(61,Info!$D$5,"05941",L1234),Adat!$E:$E)</f>
        <v>0</v>
      </c>
      <c r="F1278" s="72">
        <f>SUMIF(Adat!$AG:$AG,CONCATENATE(60,Info!$D$5,"05941",L1234),Adat!$E:$E)+E1278</f>
        <v>0</v>
      </c>
      <c r="G1278" s="72">
        <f>SUMIF(Adat!$AH:$AH,CONCATENATE(Info!$D$5,"(KÖT)","05941",L1234),Adat!$E:$E)</f>
        <v>0</v>
      </c>
      <c r="H1278" s="72">
        <f>SUMIF(Adat!$AH:$AH,CONCATENATE(Info!$D$5,"(ÖNV)","05941",L1234),Adat!$E:$E)</f>
        <v>0</v>
      </c>
      <c r="I1278" s="72">
        <f>SUMIF(Adat!$AH:$AH,CONCATENATE(Info!$D$5,"(ÁIG)","05941",L1234),Adat!$E:$E)</f>
        <v>0</v>
      </c>
    </row>
    <row r="1279" spans="2:18" x14ac:dyDescent="0.25">
      <c r="B1279" s="160">
        <v>43</v>
      </c>
      <c r="C1279" s="78" t="s">
        <v>431</v>
      </c>
      <c r="D1279" s="86" t="s">
        <v>432</v>
      </c>
      <c r="E1279" s="74">
        <f>+E1254+E1258+E1265+E1271+E1277+E1278</f>
        <v>0</v>
      </c>
      <c r="F1279" s="74">
        <f>+F1254+F1258+F1265+F1271+F1277+F1278</f>
        <v>0</v>
      </c>
      <c r="G1279" s="74">
        <f>+G1254+G1258+G1265+G1271+G1277+G1278</f>
        <v>0</v>
      </c>
      <c r="H1279" s="74">
        <f>+H1254+H1258+H1265+H1271+H1277+H1278</f>
        <v>0</v>
      </c>
      <c r="I1279" s="74">
        <f>+I1254+I1258+I1265+I1271+I1277+I1278</f>
        <v>0</v>
      </c>
    </row>
    <row r="1280" spans="2:18" x14ac:dyDescent="0.25">
      <c r="B1280" s="160">
        <v>44</v>
      </c>
      <c r="C1280" s="154" t="s">
        <v>433</v>
      </c>
      <c r="D1280" s="159" t="s">
        <v>434</v>
      </c>
      <c r="E1280" s="74">
        <f>+E1253+E1279</f>
        <v>0</v>
      </c>
      <c r="F1280" s="74">
        <f>+F1253+F1279</f>
        <v>0</v>
      </c>
      <c r="G1280" s="74">
        <f>+G1253+G1279</f>
        <v>0</v>
      </c>
      <c r="H1280" s="74">
        <f>+H1253+H1279</f>
        <v>0</v>
      </c>
      <c r="I1280" s="74">
        <f>+I1253+I1279</f>
        <v>0</v>
      </c>
    </row>
    <row r="1281" spans="2:12" s="37" customFormat="1" ht="15.75" x14ac:dyDescent="0.25">
      <c r="C1281" s="529"/>
      <c r="D1281" s="529"/>
      <c r="E1281" s="529"/>
      <c r="F1281" s="200"/>
      <c r="G1281" s="200"/>
      <c r="H1281" s="200"/>
      <c r="I1281" s="200"/>
    </row>
    <row r="1282" spans="2:12" s="38" customFormat="1" ht="15.75" x14ac:dyDescent="0.25">
      <c r="B1282" s="525" t="str">
        <f>PAR!$E$3</f>
        <v>Nagymaros Város Önkormányzata</v>
      </c>
      <c r="C1282" s="525"/>
      <c r="D1282" s="525"/>
      <c r="E1282" s="525"/>
      <c r="F1282" s="525"/>
      <c r="G1282" s="525"/>
      <c r="H1282" s="525"/>
      <c r="I1282" s="525"/>
    </row>
    <row r="1283" spans="2:12" s="38" customFormat="1" ht="15.75" x14ac:dyDescent="0.25">
      <c r="B1283" s="525" t="s">
        <v>2660</v>
      </c>
      <c r="C1283" s="525"/>
      <c r="D1283" s="525"/>
      <c r="E1283" s="525"/>
      <c r="F1283" s="525"/>
      <c r="G1283" s="525"/>
      <c r="H1283" s="525"/>
      <c r="I1283" s="525"/>
    </row>
    <row r="1284" spans="2:12" s="38" customFormat="1" ht="15.75" x14ac:dyDescent="0.25">
      <c r="C1284" s="156"/>
      <c r="E1284" s="140"/>
      <c r="F1284" s="140"/>
      <c r="G1284" s="140"/>
      <c r="H1284" s="140"/>
      <c r="I1284" s="140"/>
    </row>
    <row r="1285" spans="2:12" s="10" customFormat="1" ht="15.75" customHeight="1" x14ac:dyDescent="0.25">
      <c r="B1285" s="201" t="str">
        <f>CONCATENATE("19. Bevételi jogcímek"," - ",L1285," részletező")</f>
        <v>19. Bevételi jogcímek -  részletező</v>
      </c>
      <c r="C1285" s="101"/>
      <c r="D1285" s="101"/>
      <c r="E1285" s="101"/>
      <c r="F1285" s="101"/>
      <c r="G1285" s="198"/>
      <c r="H1285" s="198"/>
      <c r="I1285" s="198"/>
      <c r="L1285" s="384"/>
    </row>
    <row r="1286" spans="2:12" s="38" customFormat="1" ht="15.75" x14ac:dyDescent="0.25">
      <c r="C1286" s="156"/>
      <c r="E1286" s="140"/>
      <c r="F1286" s="140"/>
      <c r="G1286" s="140"/>
      <c r="H1286" s="140"/>
      <c r="I1286" s="140"/>
    </row>
    <row r="1287" spans="2:12" s="40" customFormat="1" x14ac:dyDescent="0.25">
      <c r="B1287" s="77"/>
      <c r="C1287" s="77" t="s">
        <v>350</v>
      </c>
      <c r="D1287" s="77" t="s">
        <v>351</v>
      </c>
      <c r="E1287" s="77" t="s">
        <v>470</v>
      </c>
      <c r="F1287" s="77" t="s">
        <v>471</v>
      </c>
      <c r="G1287" s="77" t="s">
        <v>44</v>
      </c>
      <c r="H1287" s="77" t="s">
        <v>42</v>
      </c>
      <c r="I1287" s="77" t="s">
        <v>511</v>
      </c>
    </row>
    <row r="1288" spans="2:12" ht="38.25" x14ac:dyDescent="0.25">
      <c r="B1288" s="160">
        <v>1</v>
      </c>
      <c r="C1288" s="154" t="s">
        <v>593</v>
      </c>
      <c r="D1288" s="154" t="s">
        <v>488</v>
      </c>
      <c r="E1288" s="163" t="str">
        <f>CONCATENATE(PAR!$H$3," évi
eredeti 
előirányzat")</f>
        <v>2025. évi
eredeti 
előirányzat</v>
      </c>
      <c r="F1288" s="163" t="str">
        <f>CONCATENATE(PAR!$H$3," évi
módosított 
előirányzat")</f>
        <v>2025. évi
módosított 
előirányzat</v>
      </c>
      <c r="G1288" s="69" t="s">
        <v>666</v>
      </c>
      <c r="H1288" s="69" t="s">
        <v>667</v>
      </c>
      <c r="I1288" s="69" t="s">
        <v>668</v>
      </c>
    </row>
    <row r="1289" spans="2:12" s="41" customFormat="1" x14ac:dyDescent="0.25">
      <c r="B1289" s="160">
        <v>2</v>
      </c>
      <c r="C1289" s="78" t="s">
        <v>1324</v>
      </c>
      <c r="D1289" s="79" t="s">
        <v>562</v>
      </c>
      <c r="E1289" s="71">
        <f>SUM(E1290:E1296)</f>
        <v>0</v>
      </c>
      <c r="F1289" s="71">
        <f t="shared" ref="F1289:I1289" si="135">SUM(F1290:F1296)</f>
        <v>0</v>
      </c>
      <c r="G1289" s="71">
        <f t="shared" si="135"/>
        <v>0</v>
      </c>
      <c r="H1289" s="71">
        <f t="shared" si="135"/>
        <v>0</v>
      </c>
      <c r="I1289" s="71">
        <f t="shared" si="135"/>
        <v>0</v>
      </c>
    </row>
    <row r="1290" spans="2:12" s="42" customFormat="1" x14ac:dyDescent="0.2">
      <c r="B1290" s="160">
        <v>3</v>
      </c>
      <c r="C1290" s="305" t="s">
        <v>1288</v>
      </c>
      <c r="D1290" s="82" t="s">
        <v>1325</v>
      </c>
      <c r="E1290" s="72">
        <f>SUMIF(Adat!$AG:$AG,CONCATENATE(61,Info!$D$5,"091111",L1285),Adat!$E:$E)*-1</f>
        <v>0</v>
      </c>
      <c r="F1290" s="72">
        <f>SUMIF(Adat!$AG:$AG,CONCATENATE(60,Info!$D$5,"091111",L1285),Adat!$E:$E)*(-1)+E1290</f>
        <v>0</v>
      </c>
      <c r="G1290" s="72">
        <f>SUMIF(Adat!$AH:$AH,CONCATENATE(Info!$D$5,"(KÖT)","091111",L1285),Adat!$E:$E)*-1</f>
        <v>0</v>
      </c>
      <c r="H1290" s="72">
        <f>SUMIF(Adat!$AH:$AH,CONCATENATE(Info!$D$5,"(ÖNV)","091111",L1285),Adat!$E:$E)*-1</f>
        <v>0</v>
      </c>
      <c r="I1290" s="72">
        <f>SUMIF(Adat!$AH:$AH,CONCATENATE(Info!$D$5,"(ÁIG)","091111",L1285),Adat!$E:$E)*-1</f>
        <v>0</v>
      </c>
    </row>
    <row r="1291" spans="2:12" x14ac:dyDescent="0.2">
      <c r="B1291" s="160">
        <v>4</v>
      </c>
      <c r="C1291" s="305" t="s">
        <v>1289</v>
      </c>
      <c r="D1291" s="82" t="s">
        <v>735</v>
      </c>
      <c r="E1291" s="72">
        <f>SUMIF(Adat!$AG:$AG,CONCATENATE(61,Info!$D$5,"091121",L1285),Adat!$E:$E)*-1</f>
        <v>0</v>
      </c>
      <c r="F1291" s="72">
        <f>SUMIF(Adat!$AG:$AG,CONCATENATE(60,Info!$D$5,"091121",L1285),Adat!$E:$E)*-1+E1291</f>
        <v>0</v>
      </c>
      <c r="G1291" s="72">
        <f>SUMIF(Adat!$AH:$AH,CONCATENATE(Info!$D$5,"(KÖT)","091121",L1285),Adat!$E:$E)*-1</f>
        <v>0</v>
      </c>
      <c r="H1291" s="72">
        <f>SUMIF(Adat!$AH:$AH,CONCATENATE(Info!$D$5,"(ÖNV)","091121",L1285),Adat!$E:$E)*-1</f>
        <v>0</v>
      </c>
      <c r="I1291" s="72">
        <f>SUMIF(Adat!$AH:$AH,CONCATENATE(Info!$D$5,"(ÁIG)","091121",L1285),Adat!$E:$E)*-1</f>
        <v>0</v>
      </c>
    </row>
    <row r="1292" spans="2:12" x14ac:dyDescent="0.2">
      <c r="B1292" s="160">
        <v>5</v>
      </c>
      <c r="C1292" s="305" t="s">
        <v>1290</v>
      </c>
      <c r="D1292" s="82" t="s">
        <v>1326</v>
      </c>
      <c r="E1292" s="72">
        <f>SUMIF(Adat!$AG:$AG,CONCATENATE(61,Info!$D$5,"0911311",L1285),Adat!$E:$E)*-1</f>
        <v>0</v>
      </c>
      <c r="F1292" s="72">
        <f>SUMIF(Adat!$AG:$AG,CONCATENATE(60,Info!$D$5,"0911311",L1285),Adat!$E:$E)*-1+E1292</f>
        <v>0</v>
      </c>
      <c r="G1292" s="72">
        <f>SUMIF(Adat!$AH:$AH,CONCATENATE(Info!$D$5,"(KÖT)","0911311",L1285),Adat!$E:$E)*-1</f>
        <v>0</v>
      </c>
      <c r="H1292" s="72">
        <f>SUMIF(Adat!$AH:$AH,CONCATENATE(Info!$D$5,"(ÖNV)","0911311",L1285),Adat!$E:$E)*-1</f>
        <v>0</v>
      </c>
      <c r="I1292" s="72">
        <f>SUMIF(Adat!$AH:$AH,CONCATENATE(Info!$D$5,"(ÁIG)","0911311",L1285),Adat!$E:$E)*-1</f>
        <v>0</v>
      </c>
    </row>
    <row r="1293" spans="2:12" x14ac:dyDescent="0.2">
      <c r="B1293" s="160">
        <v>6</v>
      </c>
      <c r="C1293" s="305" t="s">
        <v>1254</v>
      </c>
      <c r="D1293" s="82" t="s">
        <v>736</v>
      </c>
      <c r="E1293" s="72">
        <f>SUMIF(Adat!$AG:$AG,CONCATENATE(61,Info!$D$5,"0911321",L1285),Adat!$E:$E)*-1</f>
        <v>0</v>
      </c>
      <c r="F1293" s="72">
        <f>SUMIF(Adat!$AG:$AG,CONCATENATE(60,Info!$D$5,"0911321",L1285),Adat!$E:$E)*-1+E1293</f>
        <v>0</v>
      </c>
      <c r="G1293" s="72">
        <f>SUMIF(Adat!$AH:$AH,CONCATENATE(Info!$D$5,"(KÖT)","0911321",L1285),Adat!$E:$E)*-1</f>
        <v>0</v>
      </c>
      <c r="H1293" s="72">
        <f>SUMIF(Adat!$AH:$AH,CONCATENATE(Info!$D$5,"(ÖNV)","0911321",L1285),Adat!$E:$E)*-1</f>
        <v>0</v>
      </c>
      <c r="I1293" s="72">
        <f>SUMIF(Adat!$AH:$AH,CONCATENATE(Info!$D$5,"(ÁIG)","0911321",L1285),Adat!$E:$E)*-1</f>
        <v>0</v>
      </c>
    </row>
    <row r="1294" spans="2:12" x14ac:dyDescent="0.25">
      <c r="B1294" s="160">
        <v>7</v>
      </c>
      <c r="C1294" s="305" t="s">
        <v>1291</v>
      </c>
      <c r="D1294" s="84" t="s">
        <v>737</v>
      </c>
      <c r="E1294" s="72">
        <f>SUMIF(Adat!$AG:$AG,CONCATENATE(61,Info!$D$5,"091141",L1285),Adat!$E:$E)*-1</f>
        <v>0</v>
      </c>
      <c r="F1294" s="72">
        <f>SUMIF(Adat!$AG:$AG,CONCATENATE(60,Info!$D$5,"091141",L1285),Adat!$E:$E)*-1+E1294</f>
        <v>0</v>
      </c>
      <c r="G1294" s="72">
        <f>SUMIF(Adat!$AH:$AH,CONCATENATE(Info!$D$5,"(KÖT)","091141",L1285),Adat!$E:$E)*-1</f>
        <v>0</v>
      </c>
      <c r="H1294" s="72">
        <f>SUMIF(Adat!$AH:$AH,CONCATENATE(Info!$D$5,"(ÖNV)","091141",L1285),Adat!$E:$E)*-1</f>
        <v>0</v>
      </c>
      <c r="I1294" s="72">
        <f>SUMIF(Adat!$AH:$AH,CONCATENATE(Info!$D$5,"(ÁIG)","091141",L1285),Adat!$E:$E)*-1</f>
        <v>0</v>
      </c>
    </row>
    <row r="1295" spans="2:12" x14ac:dyDescent="0.25">
      <c r="B1295" s="160">
        <v>8</v>
      </c>
      <c r="C1295" s="305" t="s">
        <v>1312</v>
      </c>
      <c r="D1295" s="84" t="s">
        <v>738</v>
      </c>
      <c r="E1295" s="72">
        <f>SUMIF(Adat!$AG:$AG,CONCATENATE(61,Info!$D$5,"091151",L1285),Adat!$E:$E)*-1</f>
        <v>0</v>
      </c>
      <c r="F1295" s="72">
        <f>SUMIF(Adat!$AG:$AG,CONCATENATE(60,Info!$D$5,"091151",L1285),Adat!$E:$E)*-1+E1295</f>
        <v>0</v>
      </c>
      <c r="G1295" s="72">
        <f>SUMIF(Adat!$AH:$AH,CONCATENATE(Info!$D$5,"(KÖT)","091151",L1285),Adat!$E:$E)*-1</f>
        <v>0</v>
      </c>
      <c r="H1295" s="72">
        <f>SUMIF(Adat!$AH:$AH,CONCATENATE(Info!$D$5,"(ÖNV)","091151",L1285),Adat!$E:$E)*-1</f>
        <v>0</v>
      </c>
      <c r="I1295" s="72">
        <f>SUMIF(Adat!$AH:$AH,CONCATENATE(Info!$D$5,"(ÁIG)","091151",L1285),Adat!$E:$E)*-1</f>
        <v>0</v>
      </c>
    </row>
    <row r="1296" spans="2:12" s="42" customFormat="1" x14ac:dyDescent="0.25">
      <c r="B1296" s="160">
        <v>9</v>
      </c>
      <c r="C1296" s="305" t="s">
        <v>1308</v>
      </c>
      <c r="D1296" s="84" t="s">
        <v>233</v>
      </c>
      <c r="E1296" s="72">
        <f>SUMIF(Adat!$AG:$AG,CONCATENATE(61,Info!$D$5,"091161",L1285),Adat!$E:$E)*-1</f>
        <v>0</v>
      </c>
      <c r="F1296" s="72">
        <f>SUMIF(Adat!$AG:$AG,CONCATENATE(60,Info!$D$5,"091161",L1285),Adat!$E:$E)*-1+E1296</f>
        <v>0</v>
      </c>
      <c r="G1296" s="72">
        <f>SUMIF(Adat!$AH:$AH,CONCATENATE(Info!$D$5,"(KÖT)","091161",L1285),Adat!$E:$E)*-1</f>
        <v>0</v>
      </c>
      <c r="H1296" s="72">
        <f>SUMIF(Adat!$AH:$AH,CONCATENATE(Info!$D$5,"(ÖNV)","091161",L1285),Adat!$E:$E)*-1</f>
        <v>0</v>
      </c>
      <c r="I1296" s="72">
        <f>SUMIF(Adat!$AH:$AH,CONCATENATE(Info!$D$5,"(ÁIG)","091161",L1285),Adat!$E:$E)*-1</f>
        <v>0</v>
      </c>
    </row>
    <row r="1297" spans="2:9" s="42" customFormat="1" x14ac:dyDescent="0.25">
      <c r="B1297" s="160">
        <v>10</v>
      </c>
      <c r="C1297" s="78" t="s">
        <v>1328</v>
      </c>
      <c r="D1297" s="85" t="s">
        <v>437</v>
      </c>
      <c r="E1297" s="71">
        <f>SUM(E1298:E1302)</f>
        <v>0</v>
      </c>
      <c r="F1297" s="71">
        <f t="shared" ref="F1297" si="136">SUM(F1298:F1302)</f>
        <v>0</v>
      </c>
      <c r="G1297" s="71">
        <f>SUM(G1298:G1302)</f>
        <v>0</v>
      </c>
      <c r="H1297" s="71">
        <f t="shared" ref="H1297:I1297" si="137">SUM(H1298:H1302)</f>
        <v>0</v>
      </c>
      <c r="I1297" s="71">
        <f t="shared" si="137"/>
        <v>0</v>
      </c>
    </row>
    <row r="1298" spans="2:9" s="42" customFormat="1" x14ac:dyDescent="0.2">
      <c r="B1298" s="160">
        <v>11</v>
      </c>
      <c r="C1298" s="305" t="s">
        <v>1329</v>
      </c>
      <c r="D1298" s="82" t="s">
        <v>1330</v>
      </c>
      <c r="E1298" s="72">
        <f>SUMIF(Adat!$AG:$AG,CONCATENATE(61,Info!$D$5,"09121",L1285),Adat!$E:$E)*-1</f>
        <v>0</v>
      </c>
      <c r="F1298" s="72">
        <f>SUMIF(Adat!$AG:$AG,CONCATENATE(60,Info!$D$5,"09121",L1285),Adat!$E:$E)*-1+E1298</f>
        <v>0</v>
      </c>
      <c r="G1298" s="72">
        <f>SUMIF(Adat!$AH:$AH,CONCATENATE(Info!$D$5,"(KÖT)","09121",L1285),Adat!$E:$E)*-1</f>
        <v>0</v>
      </c>
      <c r="H1298" s="72">
        <f>SUMIF(Adat!$AH:$AH,CONCATENATE(Info!$D$5,"(ÖNV)","09121",L1285),Adat!$E:$E)*-1</f>
        <v>0</v>
      </c>
      <c r="I1298" s="72">
        <f>SUMIF(Adat!$AH:$AH,CONCATENATE(Info!$D$5,"(ÁIG)","09121",L1285),Adat!$E:$E)*-1</f>
        <v>0</v>
      </c>
    </row>
    <row r="1299" spans="2:9" s="42" customFormat="1" x14ac:dyDescent="0.2">
      <c r="B1299" s="160">
        <v>12</v>
      </c>
      <c r="C1299" s="305" t="s">
        <v>1331</v>
      </c>
      <c r="D1299" s="82" t="s">
        <v>1332</v>
      </c>
      <c r="E1299" s="72">
        <f>SUMIF(Adat!$AG:$AG,CONCATENATE(61,Info!$D$5,"09131",L1285),Adat!$E:$E)*-1</f>
        <v>0</v>
      </c>
      <c r="F1299" s="72">
        <f>SUMIF(Adat!$AG:$AG,CONCATENATE(60,Info!$D$5,"09131",L1285),Adat!$E:$E)*-1+E1299</f>
        <v>0</v>
      </c>
      <c r="G1299" s="72">
        <f>SUMIF(Adat!$AH:$AH,CONCATENATE(Info!$D$5,"(KÖT)","09131",L1285),Adat!$E:$E)*-1</f>
        <v>0</v>
      </c>
      <c r="H1299" s="72">
        <f>SUMIF(Adat!$AH:$AH,CONCATENATE(Info!$D$5,"(ÖNV)","09131",L1285),Adat!$E:$E)*-1</f>
        <v>0</v>
      </c>
      <c r="I1299" s="72">
        <f>SUMIF(Adat!$AH:$AH,CONCATENATE(Info!$D$5,"(ÁIG)","09131",L1285),Adat!$E:$E)*-1</f>
        <v>0</v>
      </c>
    </row>
    <row r="1300" spans="2:9" s="42" customFormat="1" x14ac:dyDescent="0.2">
      <c r="B1300" s="160">
        <v>13</v>
      </c>
      <c r="C1300" s="305" t="s">
        <v>1333</v>
      </c>
      <c r="D1300" s="82" t="s">
        <v>1334</v>
      </c>
      <c r="E1300" s="72">
        <f>SUMIF(Adat!$AG:$AG,CONCATENATE(61,Info!$D$5,"09141",L1285),Adat!$E:$E)*-1</f>
        <v>0</v>
      </c>
      <c r="F1300" s="72">
        <f>SUMIF(Adat!$AG:$AG,CONCATENATE(60,Info!$D$5,"09141",L1285),Adat!$E:$E)*-1+E1300</f>
        <v>0</v>
      </c>
      <c r="G1300" s="72">
        <f>SUMIF(Adat!$AH:$AH,CONCATENATE(Info!$D$5,"(KÖT)","09141",L1285),Adat!$E:$E)*-1</f>
        <v>0</v>
      </c>
      <c r="H1300" s="72">
        <f>SUMIF(Adat!$AH:$AH,CONCATENATE(Info!$D$5,"(ÖNV)","09141",L1285),Adat!$E:$E)*-1</f>
        <v>0</v>
      </c>
      <c r="I1300" s="72">
        <f>SUMIF(Adat!$AH:$AH,CONCATENATE(Info!$D$5,"(ÁIG)","09141",L1285),Adat!$E:$E)*-1</f>
        <v>0</v>
      </c>
    </row>
    <row r="1301" spans="2:9" s="42" customFormat="1" x14ac:dyDescent="0.2">
      <c r="B1301" s="160">
        <v>14</v>
      </c>
      <c r="C1301" s="305" t="s">
        <v>1335</v>
      </c>
      <c r="D1301" s="82" t="s">
        <v>1336</v>
      </c>
      <c r="E1301" s="72">
        <f>SUMIF(Adat!$AG:$AG,CONCATENATE(61,Info!$D$5,"09151",L1285),Adat!$E:$E)*-1</f>
        <v>0</v>
      </c>
      <c r="F1301" s="72">
        <f>SUMIF(Adat!$AG:$AG,CONCATENATE(60,Info!$D$5,"09151",L1285),Adat!$E:$E)*-1+E1301</f>
        <v>0</v>
      </c>
      <c r="G1301" s="72">
        <f>SUMIF(Adat!$AH:$AH,CONCATENATE(Info!$D$5,"(KÖT)","09151",L1285),Adat!$E:$E)*-1</f>
        <v>0</v>
      </c>
      <c r="H1301" s="72">
        <f>SUMIF(Adat!$AH:$AH,CONCATENATE(Info!$D$5,"(ÖNV)","09151",L1285),Adat!$E:$E)*-1</f>
        <v>0</v>
      </c>
      <c r="I1301" s="72">
        <f>SUMIF(Adat!$AH:$AH,CONCATENATE(Info!$D$5,"(ÁIG)","09151",L1285),Adat!$E:$E)*-1</f>
        <v>0</v>
      </c>
    </row>
    <row r="1302" spans="2:9" s="42" customFormat="1" x14ac:dyDescent="0.2">
      <c r="B1302" s="160">
        <v>15</v>
      </c>
      <c r="C1302" s="305" t="s">
        <v>1278</v>
      </c>
      <c r="D1302" s="82" t="s">
        <v>1337</v>
      </c>
      <c r="E1302" s="72">
        <f>SUMIF(Adat!$AG:$AG,CONCATENATE(61,Info!$D$5,"09161",L1285),Adat!$E:$E)*-1</f>
        <v>0</v>
      </c>
      <c r="F1302" s="72">
        <f>SUMIF(Adat!$AG:$AG,CONCATENATE(60,Info!$D$5,"09161",L1285),Adat!$E:$E)*-1+E1302</f>
        <v>0</v>
      </c>
      <c r="G1302" s="72">
        <f>SUMIF(Adat!$AH:$AH,CONCATENATE(Info!$D$5,"(KÖT)","09161",L1285),Adat!$E:$E)*-1</f>
        <v>0</v>
      </c>
      <c r="H1302" s="72">
        <f>SUMIF(Adat!$AH:$AH,CONCATENATE(Info!$D$5,"(ÖNV)","09161",L1285),Adat!$E:$E)*-1</f>
        <v>0</v>
      </c>
      <c r="I1302" s="72">
        <f>SUMIF(Adat!$AH:$AH,CONCATENATE(Info!$D$5,"(ÁIG)","09161",L1285),Adat!$E:$E)*-1</f>
        <v>0</v>
      </c>
    </row>
    <row r="1303" spans="2:9" x14ac:dyDescent="0.25">
      <c r="B1303" s="160">
        <v>16</v>
      </c>
      <c r="C1303" s="79" t="s">
        <v>24</v>
      </c>
      <c r="D1303" s="79" t="s">
        <v>449</v>
      </c>
      <c r="E1303" s="71">
        <f t="shared" ref="E1303:F1303" si="138">SUM(E1304:E1308)</f>
        <v>0</v>
      </c>
      <c r="F1303" s="71">
        <f t="shared" si="138"/>
        <v>0</v>
      </c>
      <c r="G1303" s="71">
        <f>SUM(G1304:G1308)</f>
        <v>0</v>
      </c>
      <c r="H1303" s="71">
        <f t="shared" ref="H1303:I1303" si="139">SUM(H1304:H1308)</f>
        <v>0</v>
      </c>
      <c r="I1303" s="71">
        <f t="shared" si="139"/>
        <v>0</v>
      </c>
    </row>
    <row r="1304" spans="2:9" x14ac:dyDescent="0.2">
      <c r="B1304" s="160">
        <v>17</v>
      </c>
      <c r="C1304" s="305" t="s">
        <v>1339</v>
      </c>
      <c r="D1304" s="82" t="s">
        <v>1340</v>
      </c>
      <c r="E1304" s="72">
        <f>SUMIF(Adat!$AG:$AG,CONCATENATE(61,Info!$D$5,"09211",L1285),Adat!$E:$E)*-1</f>
        <v>0</v>
      </c>
      <c r="F1304" s="72">
        <f>SUMIF(Adat!$AG:$AG,CONCATENATE(60,Info!$D$5,"09211",L1285),Adat!$E:$E)*-1+E1304</f>
        <v>0</v>
      </c>
      <c r="G1304" s="72">
        <f>SUMIF(Adat!$AH:$AH,CONCATENATE(Info!$D$5,"(KÖT)","09211",L1285),Adat!$E:$E)*-1</f>
        <v>0</v>
      </c>
      <c r="H1304" s="72">
        <f>SUMIF(Adat!$AH:$AH,CONCATENATE(Info!$D$5,"(ÖNV)","09211",L1285),Adat!$E:$E)*-1</f>
        <v>0</v>
      </c>
      <c r="I1304" s="72">
        <f>SUMIF(Adat!$AH:$AH,CONCATENATE(Info!$D$5,"(ÁIG)","09211",L1285),Adat!$E:$E)*-1</f>
        <v>0</v>
      </c>
    </row>
    <row r="1305" spans="2:9" s="42" customFormat="1" x14ac:dyDescent="0.2">
      <c r="B1305" s="160">
        <v>18</v>
      </c>
      <c r="C1305" s="305" t="s">
        <v>1341</v>
      </c>
      <c r="D1305" s="82" t="s">
        <v>1342</v>
      </c>
      <c r="E1305" s="72">
        <f>SUMIF(Adat!$AG:$AG,CONCATENATE(61,Info!$D$5,"09221",L1285),Adat!$E:$E)*-1</f>
        <v>0</v>
      </c>
      <c r="F1305" s="72">
        <f>SUMIF(Adat!$AG:$AG,CONCATENATE(60,Info!$D$5,"09221",L1285),Adat!$E:$E)*-1+E1305</f>
        <v>0</v>
      </c>
      <c r="G1305" s="72">
        <f>SUMIF(Adat!$AH:$AH,CONCATENATE(Info!$D$5,"(KÖT)","09221",L1285),Adat!$E:$E)*-1</f>
        <v>0</v>
      </c>
      <c r="H1305" s="72">
        <f>SUMIF(Adat!$AH:$AH,CONCATENATE(Info!$D$5,"(ÖNV)","09221",L1285),Adat!$E:$E)*-1</f>
        <v>0</v>
      </c>
      <c r="I1305" s="72">
        <f>SUMIF(Adat!$AH:$AH,CONCATENATE(Info!$D$5,"(ÁIG)","09221",L1285),Adat!$E:$E)*-1</f>
        <v>0</v>
      </c>
    </row>
    <row r="1306" spans="2:9" x14ac:dyDescent="0.2">
      <c r="B1306" s="160">
        <v>19</v>
      </c>
      <c r="C1306" s="305" t="s">
        <v>1343</v>
      </c>
      <c r="D1306" s="82" t="s">
        <v>1344</v>
      </c>
      <c r="E1306" s="72">
        <f>SUMIF(Adat!$AG:$AG,CONCATENATE(61,Info!$D$5,"09231",L1285),Adat!$E:$E)*-1</f>
        <v>0</v>
      </c>
      <c r="F1306" s="72">
        <f>SUMIF(Adat!$AG:$AG,CONCATENATE(60,Info!$D$5,"09231",L1285),Adat!$E:$E)*-1+E1306</f>
        <v>0</v>
      </c>
      <c r="G1306" s="72">
        <f>SUMIF(Adat!$AH:$AH,CONCATENATE(Info!$D$5,"(KÖT)","09231",L1285),Adat!$E:$E)*-1</f>
        <v>0</v>
      </c>
      <c r="H1306" s="72">
        <f>SUMIF(Adat!$AH:$AH,CONCATENATE(Info!$D$5,"(ÖNV)","09231",L1285),Adat!$E:$E)*-1</f>
        <v>0</v>
      </c>
      <c r="I1306" s="72">
        <f>SUMIF(Adat!$AH:$AH,CONCATENATE(Info!$D$5,"(ÁIG)","09231",L1285),Adat!$E:$E)*-1</f>
        <v>0</v>
      </c>
    </row>
    <row r="1307" spans="2:9" x14ac:dyDescent="0.2">
      <c r="B1307" s="160">
        <v>20</v>
      </c>
      <c r="C1307" s="305" t="s">
        <v>1345</v>
      </c>
      <c r="D1307" s="82" t="s">
        <v>1346</v>
      </c>
      <c r="E1307" s="72">
        <f>SUMIF(Adat!$AG:$AG,CONCATENATE(61,Info!$D$5,"09241",L1285),Adat!$E:$E)*-1</f>
        <v>0</v>
      </c>
      <c r="F1307" s="72">
        <f>SUMIF(Adat!$AG:$AG,CONCATENATE(60,Info!$D$5,"09241",L1285),Adat!$E:$E)*-1+E1307</f>
        <v>0</v>
      </c>
      <c r="G1307" s="72">
        <f>SUMIF(Adat!$AH:$AH,CONCATENATE(Info!$D$5,"(KÖT)","09241",L1285),Adat!$E:$E)*-1</f>
        <v>0</v>
      </c>
      <c r="H1307" s="72">
        <f>SUMIF(Adat!$AH:$AH,CONCATENATE(Info!$D$5,"(ÖNV)","09241",L1285),Adat!$E:$E)*-1</f>
        <v>0</v>
      </c>
      <c r="I1307" s="72">
        <f>SUMIF(Adat!$AH:$AH,CONCATENATE(Info!$D$5,"(ÁIG)","09241",L1285),Adat!$E:$E)*-1</f>
        <v>0</v>
      </c>
    </row>
    <row r="1308" spans="2:9" x14ac:dyDescent="0.2">
      <c r="B1308" s="160">
        <v>21</v>
      </c>
      <c r="C1308" s="305" t="s">
        <v>1255</v>
      </c>
      <c r="D1308" s="82" t="s">
        <v>1347</v>
      </c>
      <c r="E1308" s="72">
        <f>SUMIF(Adat!$AG:$AG,CONCATENATE(61,Info!$D$5,"09251",L1285),Adat!$E:$E)*-1</f>
        <v>0</v>
      </c>
      <c r="F1308" s="72">
        <f>SUMIF(Adat!$AG:$AG,CONCATENATE(60,Info!$D$5,"09251",L1285),Adat!$E:$E)*-1+E1308</f>
        <v>0</v>
      </c>
      <c r="G1308" s="72">
        <f>SUMIF(Adat!$AH:$AH,CONCATENATE(Info!$D$5,"(KÖT)","09251",L1285),Adat!$E:$E)*-1</f>
        <v>0</v>
      </c>
      <c r="H1308" s="72">
        <f>SUMIF(Adat!$AH:$AH,CONCATENATE(Info!$D$5,"(ÖNV)","09251",L1285),Adat!$E:$E)*-1</f>
        <v>0</v>
      </c>
      <c r="I1308" s="72">
        <f>SUMIF(Adat!$AH:$AH,CONCATENATE(Info!$D$5,"(ÁIG)","09251",L1285),Adat!$E:$E)*-1</f>
        <v>0</v>
      </c>
    </row>
    <row r="1309" spans="2:9" x14ac:dyDescent="0.25">
      <c r="B1309" s="160">
        <v>22</v>
      </c>
      <c r="C1309" s="79" t="s">
        <v>27</v>
      </c>
      <c r="D1309" s="79" t="s">
        <v>328</v>
      </c>
      <c r="E1309" s="71">
        <f>SUM(E1310:E1315)</f>
        <v>0</v>
      </c>
      <c r="F1309" s="71">
        <f>SUM(F1310:F1315)</f>
        <v>0</v>
      </c>
      <c r="G1309" s="71">
        <f>SUM(G1310:G1315)</f>
        <v>0</v>
      </c>
      <c r="H1309" s="71">
        <f>SUM(H1310:H1315)</f>
        <v>0</v>
      </c>
      <c r="I1309" s="71">
        <f>SUM(I1310:I1315)</f>
        <v>0</v>
      </c>
    </row>
    <row r="1310" spans="2:9" x14ac:dyDescent="0.2">
      <c r="B1310" s="160">
        <v>23</v>
      </c>
      <c r="C1310" s="305" t="s">
        <v>1348</v>
      </c>
      <c r="D1310" s="82" t="s">
        <v>1349</v>
      </c>
      <c r="E1310" s="72">
        <f>SUMIF(Adat!$AG:$AG,CONCATENATE(61,Info!$D$5,"093111",L1285),Adat!$E:$E)*-1</f>
        <v>0</v>
      </c>
      <c r="F1310" s="72">
        <f>SUMIF(Adat!$AG:$AG,CONCATENATE(60,Info!$D$5,"093111",L1285),Adat!$E:$E)*-1+E1310</f>
        <v>0</v>
      </c>
      <c r="G1310" s="72">
        <f>SUMIF(Adat!$AH:$AH,CONCATENATE(Info!$D$5,"(KÖT)","093111",L1285),Adat!$E:$E)*-1</f>
        <v>0</v>
      </c>
      <c r="H1310" s="72">
        <f>SUMIF(Adat!$AH:$AH,CONCATENATE(Info!$D$5,"(ÖNV)","093111",L1285),Adat!$E:$E)*-1</f>
        <v>0</v>
      </c>
      <c r="I1310" s="72">
        <f>SUMIF(Adat!$AH:$AH,CONCATENATE(Info!$D$5,"(ÁIG)","093111",L1285),Adat!$E:$E)*-1</f>
        <v>0</v>
      </c>
    </row>
    <row r="1311" spans="2:9" x14ac:dyDescent="0.2">
      <c r="B1311" s="160">
        <v>24</v>
      </c>
      <c r="C1311" s="305" t="s">
        <v>1259</v>
      </c>
      <c r="D1311" s="82" t="s">
        <v>1350</v>
      </c>
      <c r="E1311" s="72">
        <f>SUMIF(Adat!$AG:$AG,CONCATENATE(61,Info!$D$5,"09341",L1285),Adat!$E:$E)*-1</f>
        <v>0</v>
      </c>
      <c r="F1311" s="72">
        <f>SUMIF(Adat!$AG:$AG,CONCATENATE(60,Info!$D$5,"09341",L1285),Adat!$E:$E)*-1+E1311</f>
        <v>0</v>
      </c>
      <c r="G1311" s="72">
        <f>SUMIF(Adat!$AH:$AH,CONCATENATE(Info!$D$5,"(KÖT)","09341",L1285),Adat!$E:$E)*-1</f>
        <v>0</v>
      </c>
      <c r="H1311" s="72">
        <f>SUMIF(Adat!$AH:$AH,CONCATENATE(Info!$D$5,"(ÖNV)","09341",L1285),Adat!$E:$E)*-1</f>
        <v>0</v>
      </c>
      <c r="I1311" s="72">
        <f>SUMIF(Adat!$AH:$AH,CONCATENATE(Info!$D$5,"(ÁIG)","09341",L1285),Adat!$E:$E)*-1</f>
        <v>0</v>
      </c>
    </row>
    <row r="1312" spans="2:9" x14ac:dyDescent="0.2">
      <c r="B1312" s="160">
        <v>25</v>
      </c>
      <c r="C1312" s="305" t="s">
        <v>1260</v>
      </c>
      <c r="D1312" s="82" t="s">
        <v>1351</v>
      </c>
      <c r="E1312" s="72">
        <f>SUMIF(Adat!$AG:$AG,CONCATENATE(61,Info!$D$5,"093511",L1285),Adat!$E:$E)*-1</f>
        <v>0</v>
      </c>
      <c r="F1312" s="72">
        <f>SUMIF(Adat!$AG:$AG,CONCATENATE(60,Info!$D$5,"093511",L1285),Adat!$E:$E)*-1+E1312</f>
        <v>0</v>
      </c>
      <c r="G1312" s="72">
        <f>SUMIF(Adat!$AH:$AH,CONCATENATE(Info!$D$5,"(KÖT)","093511",L1285),Adat!$E:$E)*-1</f>
        <v>0</v>
      </c>
      <c r="H1312" s="72">
        <f>SUMIF(Adat!$AH:$AH,CONCATENATE(Info!$D$5,"(ÖNV)","093511",L1285),Adat!$E:$E)*-1</f>
        <v>0</v>
      </c>
      <c r="I1312" s="72">
        <f>SUMIF(Adat!$AH:$AH,CONCATENATE(Info!$D$5,"(ÁIG)","093511",L1285),Adat!$E:$E)*-1</f>
        <v>0</v>
      </c>
    </row>
    <row r="1313" spans="2:9" x14ac:dyDescent="0.2">
      <c r="B1313" s="160">
        <v>26</v>
      </c>
      <c r="C1313" s="305" t="s">
        <v>1352</v>
      </c>
      <c r="D1313" s="82" t="s">
        <v>1353</v>
      </c>
      <c r="E1313" s="72">
        <f>SUMIF(Adat!$AG:$AG,CONCATENATE(61,Info!$D$5,"093521",L1285),Adat!$E:$E)*-1</f>
        <v>0</v>
      </c>
      <c r="F1313" s="72">
        <f>SUMIF(Adat!$AG:$AG,CONCATENATE(60,Info!$D$5,"093521",L1285),Adat!$E:$E)*-1+E1313</f>
        <v>0</v>
      </c>
      <c r="G1313" s="72">
        <f>SUMIF(Adat!$AH:$AH,CONCATENATE(Info!$D$5,"(KÖT)","093521",L1285),Adat!$E:$E)*-1</f>
        <v>0</v>
      </c>
      <c r="H1313" s="72">
        <f>SUMIF(Adat!$AH:$AH,CONCATENATE(Info!$D$5,"(ÖNV)","093521",L1285),Adat!$E:$E)*-1</f>
        <v>0</v>
      </c>
      <c r="I1313" s="72">
        <f>SUMIF(Adat!$AH:$AH,CONCATENATE(Info!$D$5,"(ÁIG)","093521",L1285),Adat!$E:$E)*-1</f>
        <v>0</v>
      </c>
    </row>
    <row r="1314" spans="2:9" x14ac:dyDescent="0.2">
      <c r="B1314" s="160">
        <v>27</v>
      </c>
      <c r="C1314" s="305" t="s">
        <v>1292</v>
      </c>
      <c r="D1314" s="82" t="s">
        <v>1354</v>
      </c>
      <c r="E1314" s="72">
        <f>SUMIF(Adat!$AG:$AG,CONCATENATE(61,Info!$D$5,"093551",L1285),Adat!$E:$E)*-1</f>
        <v>0</v>
      </c>
      <c r="F1314" s="72">
        <f>SUMIF(Adat!$AG:$AG,CONCATENATE(60,Info!$D$5,"093551",L1285),Adat!$E:$E)*-1+E1314</f>
        <v>0</v>
      </c>
      <c r="G1314" s="72">
        <f>SUMIF(Adat!$AH:$AH,CONCATENATE(Info!$D$5,"(KÖT)","093551",L1285),Adat!$E:$E)*-1</f>
        <v>0</v>
      </c>
      <c r="H1314" s="72">
        <f>SUMIF(Adat!$AH:$AH,CONCATENATE(Info!$D$5,"(ÖNV)","093551",L1285),Adat!$E:$E)*-1</f>
        <v>0</v>
      </c>
      <c r="I1314" s="72">
        <f>SUMIF(Adat!$AH:$AH,CONCATENATE(Info!$D$5,"(ÁIG)","093551",L1285),Adat!$E:$E)*-1</f>
        <v>0</v>
      </c>
    </row>
    <row r="1315" spans="2:9" x14ac:dyDescent="0.2">
      <c r="B1315" s="160">
        <v>28</v>
      </c>
      <c r="C1315" s="305" t="s">
        <v>1293</v>
      </c>
      <c r="D1315" s="82" t="s">
        <v>1355</v>
      </c>
      <c r="E1315" s="72">
        <f>SUMIF(Adat!$AG:$AG,CONCATENATE(61,Info!$D$5,"09361",L1285),Adat!$E:$E)*-1</f>
        <v>0</v>
      </c>
      <c r="F1315" s="72">
        <f>SUMIF(Adat!$AG:$AG,CONCATENATE(60,Info!$D$5,"09361",L1285),Adat!$E:$E)*-1+E1315</f>
        <v>0</v>
      </c>
      <c r="G1315" s="72">
        <f>SUMIF(Adat!$AH:$AH,CONCATENATE(Info!$D$5,"(KÖT)","09361",L1285),Adat!$E:$E)*-1</f>
        <v>0</v>
      </c>
      <c r="H1315" s="72">
        <f>SUMIF(Adat!$AH:$AH,CONCATENATE(Info!$D$5,"(ÖNV)","09361",L1285),Adat!$E:$E)*-1</f>
        <v>0</v>
      </c>
      <c r="I1315" s="72">
        <f>SUMIF(Adat!$AH:$AH,CONCATENATE(Info!$D$5,"(ÁIG)","09361",L1285),Adat!$E:$E)*-1</f>
        <v>0</v>
      </c>
    </row>
    <row r="1316" spans="2:9" x14ac:dyDescent="0.25">
      <c r="B1316" s="160">
        <v>29</v>
      </c>
      <c r="C1316" s="79" t="s">
        <v>30</v>
      </c>
      <c r="D1316" s="79" t="s">
        <v>329</v>
      </c>
      <c r="E1316" s="71">
        <f>SUM(E1317:E1329)</f>
        <v>0</v>
      </c>
      <c r="F1316" s="71">
        <f t="shared" ref="F1316:I1316" si="140">SUM(F1317:F1329)</f>
        <v>0</v>
      </c>
      <c r="G1316" s="71">
        <f t="shared" si="140"/>
        <v>0</v>
      </c>
      <c r="H1316" s="71">
        <f t="shared" si="140"/>
        <v>0</v>
      </c>
      <c r="I1316" s="71">
        <f t="shared" si="140"/>
        <v>0</v>
      </c>
    </row>
    <row r="1317" spans="2:9" x14ac:dyDescent="0.2">
      <c r="B1317" s="160">
        <v>30</v>
      </c>
      <c r="C1317" s="305" t="s">
        <v>1309</v>
      </c>
      <c r="D1317" s="82" t="s">
        <v>1356</v>
      </c>
      <c r="E1317" s="72">
        <f>SUMIF(Adat!$AG:$AG,CONCATENATE(61,Info!$D$5,"094011",L1285),Adat!$E:$E)*-1</f>
        <v>0</v>
      </c>
      <c r="F1317" s="72">
        <f>SUMIF(Adat!$AG:$AG,CONCATENATE(60,Info!$D$5,"094011",L1285),Adat!$E:$E)*-1+E1317</f>
        <v>0</v>
      </c>
      <c r="G1317" s="72">
        <f>SUMIF(Adat!$AH:$AH,CONCATENATE(Info!$D$5,"(KÖT)","094011",L1285),Adat!$E:$E)*-1</f>
        <v>0</v>
      </c>
      <c r="H1317" s="72">
        <f>SUMIF(Adat!$AH:$AH,CONCATENATE(Info!$D$5,"(ÖNV)","094011",L1285),Adat!$E:$E)*-1</f>
        <v>0</v>
      </c>
      <c r="I1317" s="72">
        <f>SUMIF(Adat!$AH:$AH,CONCATENATE(Info!$D$5,"(ÁIG)","094011",L1285),Adat!$E:$E)*-1</f>
        <v>0</v>
      </c>
    </row>
    <row r="1318" spans="2:9" x14ac:dyDescent="0.2">
      <c r="B1318" s="160">
        <v>31</v>
      </c>
      <c r="C1318" s="305" t="s">
        <v>1279</v>
      </c>
      <c r="D1318" s="82" t="s">
        <v>1357</v>
      </c>
      <c r="E1318" s="72">
        <f>SUMIF(Adat!$AG:$AG,CONCATENATE(61,Info!$D$5,"094021",L1285),Adat!$E:$E)*-1</f>
        <v>0</v>
      </c>
      <c r="F1318" s="72">
        <f>SUMIF(Adat!$AG:$AG,CONCATENATE(60,Info!$D$5,"094021",L1285),Adat!$E:$E)*-1+E1318</f>
        <v>0</v>
      </c>
      <c r="G1318" s="72">
        <f>SUMIF(Adat!$AH:$AH,CONCATENATE(Info!$D$5,"(KÖT)","094021",L1285),Adat!$E:$E)*-1</f>
        <v>0</v>
      </c>
      <c r="H1318" s="72">
        <f>SUMIF(Adat!$AH:$AH,CONCATENATE(Info!$D$5,"(ÖNV)","094021",L1285),Adat!$E:$E)*-1</f>
        <v>0</v>
      </c>
      <c r="I1318" s="72">
        <f>SUMIF(Adat!$AH:$AH,CONCATENATE(Info!$D$5,"(ÁIG)","094021",L1285),Adat!$E:$E)*-1</f>
        <v>0</v>
      </c>
    </row>
    <row r="1319" spans="2:9" x14ac:dyDescent="0.2">
      <c r="B1319" s="160">
        <v>32</v>
      </c>
      <c r="C1319" s="305" t="s">
        <v>1272</v>
      </c>
      <c r="D1319" s="82" t="s">
        <v>1358</v>
      </c>
      <c r="E1319" s="72">
        <f>SUMIF(Adat!$AG:$AG,CONCATENATE(61,Info!$D$5,"094031",L1285),Adat!$E:$E)*-1</f>
        <v>0</v>
      </c>
      <c r="F1319" s="72">
        <f>SUMIF(Adat!$AG:$AG,CONCATENATE(60,Info!$D$5,"094031",L1285),Adat!$E:$E)*-1+E1319</f>
        <v>0</v>
      </c>
      <c r="G1319" s="72">
        <f>SUMIF(Adat!$AH:$AH,CONCATENATE(Info!$D$5,"(KÖT)","094031",L1285),Adat!$E:$E)*-1</f>
        <v>0</v>
      </c>
      <c r="H1319" s="72">
        <f>SUMIF(Adat!$AH:$AH,CONCATENATE(Info!$D$5,"(ÖNV)","094031",L1285),Adat!$E:$E)*-1</f>
        <v>0</v>
      </c>
      <c r="I1319" s="72">
        <f>SUMIF(Adat!$AH:$AH,CONCATENATE(Info!$D$5,"(ÁIG)","094031",L1285),Adat!$E:$E)*-1</f>
        <v>0</v>
      </c>
    </row>
    <row r="1320" spans="2:9" x14ac:dyDescent="0.2">
      <c r="B1320" s="160">
        <v>33</v>
      </c>
      <c r="C1320" s="305" t="s">
        <v>1359</v>
      </c>
      <c r="D1320" s="82" t="s">
        <v>1360</v>
      </c>
      <c r="E1320" s="72">
        <f>SUMIF(Adat!$AG:$AG,CONCATENATE(61,Info!$D$5,"094041",L1285),Adat!$E:$E)*-1</f>
        <v>0</v>
      </c>
      <c r="F1320" s="72">
        <f>SUMIF(Adat!$AG:$AG,CONCATENATE(60,Info!$D$5,"094041",L1285),Adat!$E:$E)*-1+E1320</f>
        <v>0</v>
      </c>
      <c r="G1320" s="72">
        <f>SUMIF(Adat!$AH:$AH,CONCATENATE(Info!$D$5,"(KÖT)","094041",L1285),Adat!$E:$E)*-1</f>
        <v>0</v>
      </c>
      <c r="H1320" s="72">
        <f>SUMIF(Adat!$AH:$AH,CONCATENATE(Info!$D$5,"(ÖNV)","094041",L1285),Adat!$E:$E)*-1</f>
        <v>0</v>
      </c>
      <c r="I1320" s="72">
        <f>SUMIF(Adat!$AH:$AH,CONCATENATE(Info!$D$5,"(ÁIG)","094041",L1285),Adat!$E:$E)*-1</f>
        <v>0</v>
      </c>
    </row>
    <row r="1321" spans="2:9" x14ac:dyDescent="0.2">
      <c r="B1321" s="160">
        <v>34</v>
      </c>
      <c r="C1321" s="305" t="s">
        <v>1261</v>
      </c>
      <c r="D1321" s="82" t="s">
        <v>1361</v>
      </c>
      <c r="E1321" s="72">
        <f>SUMIF(Adat!$AG:$AG,CONCATENATE(61,Info!$D$5,"094051",L1285),Adat!$E:$E)*-1</f>
        <v>0</v>
      </c>
      <c r="F1321" s="72">
        <f>SUMIF(Adat!$AG:$AG,CONCATENATE(60,Info!$D$5,"094051",L1285),Adat!$E:$E)*-1+E1321</f>
        <v>0</v>
      </c>
      <c r="G1321" s="72">
        <f>SUMIF(Adat!$AH:$AH,CONCATENATE(Info!$D$5,"(KÖT)","094051",L1285),Adat!$E:$E)*-1</f>
        <v>0</v>
      </c>
      <c r="H1321" s="72">
        <f>SUMIF(Adat!$AH:$AH,CONCATENATE(Info!$D$5,"(ÖNV)","094051",L1285),Adat!$E:$E)*-1</f>
        <v>0</v>
      </c>
      <c r="I1321" s="72">
        <f>SUMIF(Adat!$AH:$AH,CONCATENATE(Info!$D$5,"(ÁIG)","094051",L1285),Adat!$E:$E)*-1</f>
        <v>0</v>
      </c>
    </row>
    <row r="1322" spans="2:9" x14ac:dyDescent="0.2">
      <c r="B1322" s="160">
        <v>35</v>
      </c>
      <c r="C1322" s="305" t="s">
        <v>1273</v>
      </c>
      <c r="D1322" s="82" t="s">
        <v>1362</v>
      </c>
      <c r="E1322" s="72">
        <f>SUMIF(Adat!$AG:$AG,CONCATENATE(61,Info!$D$5,"094061",L1285),Adat!$E:$E)*-1</f>
        <v>0</v>
      </c>
      <c r="F1322" s="72">
        <f>SUMIF(Adat!$AG:$AG,CONCATENATE(60,Info!$D$5,"094061",L1285),Adat!$E:$E)*-1+E1322</f>
        <v>0</v>
      </c>
      <c r="G1322" s="72">
        <f>SUMIF(Adat!$AH:$AH,CONCATENATE(Info!$D$5,"(KÖT)","094061",L1285),Adat!$E:$E)*-1</f>
        <v>0</v>
      </c>
      <c r="H1322" s="72">
        <f>SUMIF(Adat!$AH:$AH,CONCATENATE(Info!$D$5,"(ÖNV)","094061",L1285),Adat!$E:$E)*-1</f>
        <v>0</v>
      </c>
      <c r="I1322" s="72">
        <f>SUMIF(Adat!$AH:$AH,CONCATENATE(Info!$D$5,"(ÁIG)","094061",L1285),Adat!$E:$E)*-1</f>
        <v>0</v>
      </c>
    </row>
    <row r="1323" spans="2:9" x14ac:dyDescent="0.2">
      <c r="B1323" s="160">
        <v>36</v>
      </c>
      <c r="C1323" s="305" t="s">
        <v>1363</v>
      </c>
      <c r="D1323" s="82" t="s">
        <v>1364</v>
      </c>
      <c r="E1323" s="72">
        <f>SUMIF(Adat!$AG:$AG,CONCATENATE(61,Info!$D$5,"094071",L1285),Adat!$E:$E)*-1</f>
        <v>0</v>
      </c>
      <c r="F1323" s="72">
        <f>SUMIF(Adat!$AG:$AG,CONCATENATE(60,Info!$D$5,"094071",L1285),Adat!$E:$E)*-1+E1323</f>
        <v>0</v>
      </c>
      <c r="G1323" s="72">
        <f>SUMIF(Adat!$AH:$AH,CONCATENATE(Info!$D$5,"(KÖT)","094071",L1285),Adat!$E:$E)*-1</f>
        <v>0</v>
      </c>
      <c r="H1323" s="72">
        <f>SUMIF(Adat!$AH:$AH,CONCATENATE(Info!$D$5,"(ÖNV)","094071",L1285),Adat!$E:$E)*-1</f>
        <v>0</v>
      </c>
      <c r="I1323" s="72">
        <f>SUMIF(Adat!$AH:$AH,CONCATENATE(Info!$D$5,"(ÁIG)","094071",L1285),Adat!$E:$E)*-1</f>
        <v>0</v>
      </c>
    </row>
    <row r="1324" spans="2:9" x14ac:dyDescent="0.2">
      <c r="B1324" s="160">
        <v>37</v>
      </c>
      <c r="C1324" s="305" t="s">
        <v>1306</v>
      </c>
      <c r="D1324" s="82" t="s">
        <v>1365</v>
      </c>
      <c r="E1324" s="72">
        <f>SUMIF(Adat!$AG:$AG,CONCATENATE(61,Info!$D$5,"0940811",L1285),Adat!$E:$E)*-1</f>
        <v>0</v>
      </c>
      <c r="F1324" s="72">
        <f>SUMIF(Adat!$AG:$AG,CONCATENATE(60,Info!$D$5,"0940811",L1285),Adat!$E:$E)*-1+E1324</f>
        <v>0</v>
      </c>
      <c r="G1324" s="72">
        <f>SUMIF(Adat!$AH:$AH,CONCATENATE(Info!$D$5,"(KÖT)","0940811",L1285),Adat!$E:$E)*-1</f>
        <v>0</v>
      </c>
      <c r="H1324" s="72">
        <f>SUMIF(Adat!$AH:$AH,CONCATENATE(Info!$D$5,"(ÖNV)","0940811",L1285),Adat!$E:$E)*-1</f>
        <v>0</v>
      </c>
      <c r="I1324" s="72">
        <f>SUMIF(Adat!$AH:$AH,CONCATENATE(Info!$D$5,"(ÁIG)","0940811",L1285),Adat!$E:$E)*-1</f>
        <v>0</v>
      </c>
    </row>
    <row r="1325" spans="2:9" x14ac:dyDescent="0.2">
      <c r="B1325" s="160">
        <v>38</v>
      </c>
      <c r="C1325" s="305" t="s">
        <v>1295</v>
      </c>
      <c r="D1325" s="82" t="s">
        <v>1366</v>
      </c>
      <c r="E1325" s="72">
        <f>SUMIF(Adat!$AG:$AG,CONCATENATE(61,Info!$D$5,"0940821",L1285),Adat!$E:$E)*-1</f>
        <v>0</v>
      </c>
      <c r="F1325" s="72">
        <f>SUMIF(Adat!$AG:$AG,CONCATENATE(60,Info!$D$5,"0940821",L1285),Adat!$E:$E)*-1+E1325</f>
        <v>0</v>
      </c>
      <c r="G1325" s="72">
        <f>SUMIF(Adat!$AH:$AH,CONCATENATE(Info!$D$5,"(KÖT)","0940821",L1285),Adat!$E:$E)*-1</f>
        <v>0</v>
      </c>
      <c r="H1325" s="72">
        <f>SUMIF(Adat!$AH:$AH,CONCATENATE(Info!$D$5,"(ÖNV)","0940821",L1285),Adat!$E:$E)*-1</f>
        <v>0</v>
      </c>
      <c r="I1325" s="72">
        <f>SUMIF(Adat!$AH:$AH,CONCATENATE(Info!$D$5,"(ÁIG)","0940821",L1285),Adat!$E:$E)*-1</f>
        <v>0</v>
      </c>
    </row>
    <row r="1326" spans="2:9" x14ac:dyDescent="0.2">
      <c r="B1326" s="160">
        <v>39</v>
      </c>
      <c r="C1326" s="305" t="s">
        <v>1367</v>
      </c>
      <c r="D1326" s="82" t="s">
        <v>1368</v>
      </c>
      <c r="E1326" s="72">
        <f>SUMIF(Adat!$AG:$AG,CONCATENATE(61,Info!$D$5,"0940911",L1285),Adat!$E:$E)*-1</f>
        <v>0</v>
      </c>
      <c r="F1326" s="72">
        <f>SUMIF(Adat!$AG:$AG,CONCATENATE(60,Info!$D$5,"0940911",L1285),Adat!$E:$E)*-1+E1326</f>
        <v>0</v>
      </c>
      <c r="G1326" s="72">
        <f>SUMIF(Adat!$AH:$AH,CONCATENATE(Info!$D$5,"(KÖT)","0940911",L1285),Adat!$E:$E)*-1</f>
        <v>0</v>
      </c>
      <c r="H1326" s="72">
        <f>SUMIF(Adat!$AH:$AH,CONCATENATE(Info!$D$5,"(ÖNV)","0940911",L1285),Adat!$E:$E)*-1</f>
        <v>0</v>
      </c>
      <c r="I1326" s="72">
        <f>SUMIF(Adat!$AH:$AH,CONCATENATE(Info!$D$5,"(ÁIG)","0940911",L1285),Adat!$E:$E)*-1</f>
        <v>0</v>
      </c>
    </row>
    <row r="1327" spans="2:9" x14ac:dyDescent="0.2">
      <c r="B1327" s="160">
        <v>40</v>
      </c>
      <c r="C1327" s="305" t="s">
        <v>1369</v>
      </c>
      <c r="D1327" s="82" t="s">
        <v>1370</v>
      </c>
      <c r="E1327" s="72">
        <f>SUMIF(Adat!$AG:$AG,CONCATENATE(61,Info!$D$5,"0940921",L1285),Adat!$E:$E)*-1</f>
        <v>0</v>
      </c>
      <c r="F1327" s="72">
        <f>SUMIF(Adat!$AG:$AG,CONCATENATE(60,Info!$D$5,"0940921",L1285),Adat!$E:$E)*-1+E1327</f>
        <v>0</v>
      </c>
      <c r="G1327" s="72">
        <f>SUMIF(Adat!$AH:$AH,CONCATENATE(Info!$D$5,"(KÖT)","0940921",L1285),Adat!$E:$E)*-1</f>
        <v>0</v>
      </c>
      <c r="H1327" s="72">
        <f>SUMIF(Adat!$AH:$AH,CONCATENATE(Info!$D$5,"(ÖNV)","0940921",L1285),Adat!$E:$E)*-1</f>
        <v>0</v>
      </c>
      <c r="I1327" s="72">
        <f>SUMIF(Adat!$AH:$AH,CONCATENATE(Info!$D$5,"(ÁIG)","0940921",L1285),Adat!$E:$E)*-1</f>
        <v>0</v>
      </c>
    </row>
    <row r="1328" spans="2:9" x14ac:dyDescent="0.2">
      <c r="B1328" s="160">
        <v>41</v>
      </c>
      <c r="C1328" s="305" t="s">
        <v>1296</v>
      </c>
      <c r="D1328" s="82" t="s">
        <v>1371</v>
      </c>
      <c r="E1328" s="72">
        <f>SUMIF(Adat!$AG:$AG,CONCATENATE(61,Info!$D$5,"094101",L1285),Adat!$E:$E)*-1</f>
        <v>0</v>
      </c>
      <c r="F1328" s="72">
        <f>SUMIF(Adat!$AG:$AG,CONCATENATE(60,Info!$D$5,"094101",L1285),Adat!$E:$E)*-1+E1328</f>
        <v>0</v>
      </c>
      <c r="G1328" s="72">
        <f>SUMIF(Adat!$AH:$AH,CONCATENATE(Info!$D$5,"(KÖT)","094101",L1285),Adat!$E:$E)*-1</f>
        <v>0</v>
      </c>
      <c r="H1328" s="72">
        <f>SUMIF(Adat!$AH:$AH,CONCATENATE(Info!$D$5,"(ÖNV)","094101",L1285),Adat!$E:$E)*-1</f>
        <v>0</v>
      </c>
      <c r="I1328" s="72">
        <f>SUMIF(Adat!$AH:$AH,CONCATENATE(Info!$D$5,"(ÁIG)","094101",L1285),Adat!$E:$E)*-1</f>
        <v>0</v>
      </c>
    </row>
    <row r="1329" spans="2:9" x14ac:dyDescent="0.25">
      <c r="B1329" s="160">
        <v>42</v>
      </c>
      <c r="C1329" s="305" t="s">
        <v>1297</v>
      </c>
      <c r="D1329" s="84" t="s">
        <v>1372</v>
      </c>
      <c r="E1329" s="72">
        <f>SUMIF(Adat!$AG:$AG,CONCATENATE(61,Info!$D$5,"094111",L1285),Adat!$E:$E)*-1</f>
        <v>0</v>
      </c>
      <c r="F1329" s="72">
        <f>SUMIF(Adat!$AG:$AG,CONCATENATE(60,Info!$D$5,"094111",L1285),Adat!$E:$E)*-1+E1329</f>
        <v>0</v>
      </c>
      <c r="G1329" s="72">
        <f>SUMIF(Adat!$AH:$AH,CONCATENATE(Info!$D$5,"(KÖT)","094111",L1285),Adat!$E:$E)*-1</f>
        <v>0</v>
      </c>
      <c r="H1329" s="72">
        <f>SUMIF(Adat!$AH:$AH,CONCATENATE(Info!$D$5,"(ÖNV)","094111",L1285),Adat!$E:$E)*-1</f>
        <v>0</v>
      </c>
      <c r="I1329" s="72">
        <f>SUMIF(Adat!$AH:$AH,CONCATENATE(Info!$D$5,"(ÁIG)","094111",L1285),Adat!$E:$E)*-1</f>
        <v>0</v>
      </c>
    </row>
    <row r="1330" spans="2:9" x14ac:dyDescent="0.25">
      <c r="B1330" s="160">
        <v>43</v>
      </c>
      <c r="C1330" s="79" t="s">
        <v>33</v>
      </c>
      <c r="D1330" s="79" t="s">
        <v>330</v>
      </c>
      <c r="E1330" s="71">
        <f>SUM(E1331:E1335)</f>
        <v>0</v>
      </c>
      <c r="F1330" s="71">
        <f>SUM(F1331:F1335)</f>
        <v>0</v>
      </c>
      <c r="G1330" s="71">
        <f>SUM(G1331:G1335)</f>
        <v>0</v>
      </c>
      <c r="H1330" s="71">
        <f>SUM(H1331:H1335)</f>
        <v>0</v>
      </c>
      <c r="I1330" s="71">
        <f>SUM(I1331:I1335)</f>
        <v>0</v>
      </c>
    </row>
    <row r="1331" spans="2:9" x14ac:dyDescent="0.2">
      <c r="B1331" s="160">
        <v>44</v>
      </c>
      <c r="C1331" s="305" t="s">
        <v>1373</v>
      </c>
      <c r="D1331" s="82" t="s">
        <v>1374</v>
      </c>
      <c r="E1331" s="72">
        <f>SUMIF(Adat!$AG:$AG,CONCATENATE(61,Info!$D$5,"09511",L1285),Adat!$E:$E)*-1</f>
        <v>0</v>
      </c>
      <c r="F1331" s="72">
        <f>SUMIF(Adat!$AG:$AG,CONCATENATE(60,Info!$D$5,"09511",L1285),Adat!$E:$E)*-1+E1331</f>
        <v>0</v>
      </c>
      <c r="G1331" s="72">
        <f>SUMIF(Adat!$AH:$AH,CONCATENATE(Info!$D$5,"(KÖT)","09511",L1285),Adat!$E:$E)*-1</f>
        <v>0</v>
      </c>
      <c r="H1331" s="72">
        <f>SUMIF(Adat!$AH:$AH,CONCATENATE(Info!$D$5,"(ÖNV)","09511",L1285),Adat!$E:$E)*-1</f>
        <v>0</v>
      </c>
      <c r="I1331" s="72">
        <f>SUMIF(Adat!$AH:$AH,CONCATENATE(Info!$D$5,"(ÁIG)","09511",L1285),Adat!$E:$E)*-1</f>
        <v>0</v>
      </c>
    </row>
    <row r="1332" spans="2:9" x14ac:dyDescent="0.2">
      <c r="B1332" s="160">
        <v>45</v>
      </c>
      <c r="C1332" s="305" t="s">
        <v>1294</v>
      </c>
      <c r="D1332" s="82" t="s">
        <v>1375</v>
      </c>
      <c r="E1332" s="72">
        <f>SUMIF(Adat!$AG:$AG,CONCATENATE(61,Info!$D$5,"09521",L1285),Adat!$E:$E)*-1</f>
        <v>0</v>
      </c>
      <c r="F1332" s="72">
        <f>SUMIF(Adat!$AG:$AG,CONCATENATE(60,Info!$D$5,"09521",L1285),Adat!$E:$E)*-1+E1332</f>
        <v>0</v>
      </c>
      <c r="G1332" s="72">
        <f>SUMIF(Adat!$AH:$AH,CONCATENATE(Info!$D$5,"(KÖT)","09521",L1285),Adat!$E:$E)*-1</f>
        <v>0</v>
      </c>
      <c r="H1332" s="72">
        <f>SUMIF(Adat!$AH:$AH,CONCATENATE(Info!$D$5,"(ÖNV)","09521",L1285),Adat!$E:$E)*-1</f>
        <v>0</v>
      </c>
      <c r="I1332" s="72">
        <f>SUMIF(Adat!$AH:$AH,CONCATENATE(Info!$D$5,"(ÁIG)","09521",L1285),Adat!$E:$E)*-1</f>
        <v>0</v>
      </c>
    </row>
    <row r="1333" spans="2:9" x14ac:dyDescent="0.2">
      <c r="B1333" s="160">
        <v>46</v>
      </c>
      <c r="C1333" s="305" t="s">
        <v>1376</v>
      </c>
      <c r="D1333" s="82" t="s">
        <v>1377</v>
      </c>
      <c r="E1333" s="72">
        <f>SUMIF(Adat!$AG:$AG,CONCATENATE(61,Info!$D$5,"09531",L1285),Adat!$E:$E)*-1</f>
        <v>0</v>
      </c>
      <c r="F1333" s="72">
        <f>SUMIF(Adat!$AG:$AG,CONCATENATE(60,Info!$D$5,"09531",L1285),Adat!$E:$E)*-1+E1333</f>
        <v>0</v>
      </c>
      <c r="G1333" s="72">
        <f>SUMIF(Adat!$AH:$AH,CONCATENATE(Info!$D$5,"(KÖT)","09531",L1285),Adat!$E:$E)*-1</f>
        <v>0</v>
      </c>
      <c r="H1333" s="72">
        <f>SUMIF(Adat!$AH:$AH,CONCATENATE(Info!$D$5,"(ÖNV)","09531",L1285),Adat!$E:$E)*-1</f>
        <v>0</v>
      </c>
      <c r="I1333" s="72">
        <f>SUMIF(Adat!$AH:$AH,CONCATENATE(Info!$D$5,"(ÁIG)","09531",L1285),Adat!$E:$E)*-1</f>
        <v>0</v>
      </c>
    </row>
    <row r="1334" spans="2:9" x14ac:dyDescent="0.2">
      <c r="B1334" s="160">
        <v>47</v>
      </c>
      <c r="C1334" s="305" t="s">
        <v>1378</v>
      </c>
      <c r="D1334" s="82" t="s">
        <v>1379</v>
      </c>
      <c r="E1334" s="72">
        <f>SUMIF(Adat!$AG:$AG,CONCATENATE(61,Info!$D$5,"09541",L1285),Adat!$E:$E)*-1</f>
        <v>0</v>
      </c>
      <c r="F1334" s="72">
        <f>SUMIF(Adat!$AG:$AG,CONCATENATE(60,Info!$D$5,"09541",L1285),Adat!$E:$E)*-1+E1334</f>
        <v>0</v>
      </c>
      <c r="G1334" s="72">
        <f>SUMIF(Adat!$AH:$AH,CONCATENATE(Info!$D$5,"(KÖT)","09541",L1285),Adat!$E:$E)*-1</f>
        <v>0</v>
      </c>
      <c r="H1334" s="72">
        <f>SUMIF(Adat!$AH:$AH,CONCATENATE(Info!$D$5,"(ÖNV)","09541",L1285),Adat!$E:$E)*-1</f>
        <v>0</v>
      </c>
      <c r="I1334" s="72">
        <f>SUMIF(Adat!$AH:$AH,CONCATENATE(Info!$D$5,"(ÁIG)","09541",L1285),Adat!$E:$E)*-1</f>
        <v>0</v>
      </c>
    </row>
    <row r="1335" spans="2:9" x14ac:dyDescent="0.25">
      <c r="B1335" s="160">
        <v>48</v>
      </c>
      <c r="C1335" s="305" t="s">
        <v>1380</v>
      </c>
      <c r="D1335" s="84" t="s">
        <v>1381</v>
      </c>
      <c r="E1335" s="72">
        <f>SUMIF(Adat!$AG:$AG,CONCATENATE(61,Info!$D$5,"09551",L1285),Adat!$E:$E)*-1</f>
        <v>0</v>
      </c>
      <c r="F1335" s="72">
        <f>SUMIF(Adat!$AG:$AG,CONCATENATE(60,Info!$D$5,"09551",L1285),Adat!$E:$E)*-1+E1335</f>
        <v>0</v>
      </c>
      <c r="G1335" s="72">
        <f>SUMIF(Adat!$AH:$AH,CONCATENATE(Info!$D$5,"(KÖT)","09551",L1285),Adat!$E:$E)*-1</f>
        <v>0</v>
      </c>
      <c r="H1335" s="72">
        <f>SUMIF(Adat!$AH:$AH,CONCATENATE(Info!$D$5,"(ÖNV)","09551",L1285),Adat!$E:$E)*-1</f>
        <v>0</v>
      </c>
      <c r="I1335" s="72">
        <f>SUMIF(Adat!$AH:$AH,CONCATENATE(Info!$D$5,"(ÁIG)","09551",L1285),Adat!$E:$E)*-1</f>
        <v>0</v>
      </c>
    </row>
    <row r="1336" spans="2:9" x14ac:dyDescent="0.25">
      <c r="B1336" s="160">
        <v>49</v>
      </c>
      <c r="C1336" s="79" t="s">
        <v>36</v>
      </c>
      <c r="D1336" s="79" t="s">
        <v>331</v>
      </c>
      <c r="E1336" s="71">
        <f>SUM(E1337:E1341)</f>
        <v>0</v>
      </c>
      <c r="F1336" s="71">
        <f t="shared" ref="F1336:I1336" si="141">SUM(F1337:F1341)</f>
        <v>0</v>
      </c>
      <c r="G1336" s="71">
        <f t="shared" si="141"/>
        <v>0</v>
      </c>
      <c r="H1336" s="71">
        <f t="shared" si="141"/>
        <v>0</v>
      </c>
      <c r="I1336" s="71">
        <f t="shared" si="141"/>
        <v>0</v>
      </c>
    </row>
    <row r="1337" spans="2:9" x14ac:dyDescent="0.2">
      <c r="B1337" s="160">
        <v>50</v>
      </c>
      <c r="C1337" s="305" t="s">
        <v>1382</v>
      </c>
      <c r="D1337" s="82" t="s">
        <v>1383</v>
      </c>
      <c r="E1337" s="72">
        <f>SUMIF(Adat!$AG:$AG,CONCATENATE(61,Info!$D$5,"09611",L1285),Adat!$E:$E)*-1</f>
        <v>0</v>
      </c>
      <c r="F1337" s="72">
        <f>SUMIF(Adat!$AG:$AG,CONCATENATE(60,Info!$D$5,"09611",L1285),Adat!$E:$E)*-1+E1337</f>
        <v>0</v>
      </c>
      <c r="G1337" s="72">
        <f>SUMIF(Adat!$AH:$AH,CONCATENATE(Info!$D$5,"(KÖT)","09611",L1285),Adat!$E:$E)*-1</f>
        <v>0</v>
      </c>
      <c r="H1337" s="72">
        <f>SUMIF(Adat!$AH:$AH,CONCATENATE(Info!$D$5,"(ÖNV)","09611",L1285),Adat!$E:$E)*-1</f>
        <v>0</v>
      </c>
      <c r="I1337" s="72">
        <f>SUMIF(Adat!$AH:$AH,CONCATENATE(Info!$D$5,"(ÁIG)","09611",L1285),Adat!$E:$E)*-1</f>
        <v>0</v>
      </c>
    </row>
    <row r="1338" spans="2:9" x14ac:dyDescent="0.2">
      <c r="B1338" s="160">
        <v>51</v>
      </c>
      <c r="C1338" s="305" t="s">
        <v>1384</v>
      </c>
      <c r="D1338" s="82" t="s">
        <v>1385</v>
      </c>
      <c r="E1338" s="72">
        <f>SUMIF(Adat!$AG:$AG,CONCATENATE(61,Info!$D$5,"09621",L1285),Adat!$E:$E)*-1</f>
        <v>0</v>
      </c>
      <c r="F1338" s="72">
        <f>SUMIF(Adat!$AG:$AG,CONCATENATE(60,Info!$D$5,"09621",L1285),Adat!$E:$E)*-1+E1338</f>
        <v>0</v>
      </c>
      <c r="G1338" s="72">
        <f>SUMIF(Adat!$AH:$AH,CONCATENATE(Info!$D$5,"(KÖT)","09621",L1285),Adat!$E:$E)*-1</f>
        <v>0</v>
      </c>
      <c r="H1338" s="72">
        <f>SUMIF(Adat!$AH:$AH,CONCATENATE(Info!$D$5,"(ÖNV)","09621",L1285),Adat!$E:$E)*-1</f>
        <v>0</v>
      </c>
      <c r="I1338" s="72">
        <f>SUMIF(Adat!$AH:$AH,CONCATENATE(Info!$D$5,"(ÁIG)","09621",L1285),Adat!$E:$E)*-1</f>
        <v>0</v>
      </c>
    </row>
    <row r="1339" spans="2:9" x14ac:dyDescent="0.2">
      <c r="B1339" s="160">
        <v>52</v>
      </c>
      <c r="C1339" s="305" t="s">
        <v>1386</v>
      </c>
      <c r="D1339" s="82" t="s">
        <v>1387</v>
      </c>
      <c r="E1339" s="72">
        <f>SUMIF(Adat!$AG:$AG,CONCATENATE(61,Info!$D$5,"09631",L1285),Adat!$E:$E)*-1</f>
        <v>0</v>
      </c>
      <c r="F1339" s="72">
        <f>SUMIF(Adat!$AG:$AG,CONCATENATE(60,Info!$D$5,"09631",L1285),Adat!$E:$E)*-1+E1339</f>
        <v>0</v>
      </c>
      <c r="G1339" s="72">
        <f>SUMIF(Adat!$AH:$AH,CONCATENATE(Info!$D$5,"(KÖT)","09631",L1285),Adat!$E:$E)*-1</f>
        <v>0</v>
      </c>
      <c r="H1339" s="72">
        <f>SUMIF(Adat!$AH:$AH,CONCATENATE(Info!$D$5,"(ÖNV)","09631",L1285),Adat!$E:$E)*-1</f>
        <v>0</v>
      </c>
      <c r="I1339" s="72">
        <f>SUMIF(Adat!$AH:$AH,CONCATENATE(Info!$D$5,"(ÁIG)","09631",L1285),Adat!$E:$E)*-1</f>
        <v>0</v>
      </c>
    </row>
    <row r="1340" spans="2:9" x14ac:dyDescent="0.2">
      <c r="B1340" s="160">
        <v>53</v>
      </c>
      <c r="C1340" s="305" t="s">
        <v>1388</v>
      </c>
      <c r="D1340" s="82" t="s">
        <v>1389</v>
      </c>
      <c r="E1340" s="72">
        <f>SUMIF(Adat!$AG:$AG,CONCATENATE(61,Info!$D$5,"09641",L1285),Adat!$E:$E)*-1</f>
        <v>0</v>
      </c>
      <c r="F1340" s="72">
        <f>SUMIF(Adat!$AG:$AG,CONCATENATE(60,Info!$D$5,"09641",L1285),Adat!$E:$E)*-1+E1340</f>
        <v>0</v>
      </c>
      <c r="G1340" s="72">
        <f>SUMIF(Adat!$AH:$AH,CONCATENATE(Info!$D$5,"(KÖT)","09641",L1285),Adat!$E:$E)*-1</f>
        <v>0</v>
      </c>
      <c r="H1340" s="72">
        <f>SUMIF(Adat!$AH:$AH,CONCATENATE(Info!$D$5,"(ÖNV)","09641",L1285),Adat!$E:$E)*-1</f>
        <v>0</v>
      </c>
      <c r="I1340" s="72">
        <f>SUMIF(Adat!$AH:$AH,CONCATENATE(Info!$D$5,"(ÁIG)","09641",L1285),Adat!$E:$E)*-1</f>
        <v>0</v>
      </c>
    </row>
    <row r="1341" spans="2:9" x14ac:dyDescent="0.2">
      <c r="B1341" s="160">
        <v>54</v>
      </c>
      <c r="C1341" s="305" t="s">
        <v>1310</v>
      </c>
      <c r="D1341" s="82" t="s">
        <v>1390</v>
      </c>
      <c r="E1341" s="72">
        <f>SUMIF(Adat!$AG:$AG,CONCATENATE(61,Info!$D$5,"09651",L1285),Adat!$E:$E)*-1</f>
        <v>0</v>
      </c>
      <c r="F1341" s="72">
        <f>SUMIF(Adat!$AG:$AG,CONCATENATE(60,Info!$D$5,"09651",L1285),Adat!$E:$E)*-1+E1341</f>
        <v>0</v>
      </c>
      <c r="G1341" s="72">
        <f>SUMIF(Adat!$AH:$AH,CONCATENATE(Info!$D$5,"(KÖT)","09651",L1285),Adat!$E:$E)*-1</f>
        <v>0</v>
      </c>
      <c r="H1341" s="72">
        <f>SUMIF(Adat!$AH:$AH,CONCATENATE(Info!$D$5,"(ÖNV)","09651",L1285),Adat!$E:$E)*-1</f>
        <v>0</v>
      </c>
      <c r="I1341" s="72">
        <f>SUMIF(Adat!$AH:$AH,CONCATENATE(Info!$D$5,"(ÁIG)","09651",L1285),Adat!$E:$E)*-1</f>
        <v>0</v>
      </c>
    </row>
    <row r="1342" spans="2:9" x14ac:dyDescent="0.25">
      <c r="B1342" s="160">
        <v>55</v>
      </c>
      <c r="C1342" s="79" t="s">
        <v>38</v>
      </c>
      <c r="D1342" s="85" t="s">
        <v>332</v>
      </c>
      <c r="E1342" s="71">
        <f>SUM(E1343:E1347)</f>
        <v>0</v>
      </c>
      <c r="F1342" s="71">
        <f t="shared" ref="F1342:I1342" si="142">SUM(F1343:F1347)</f>
        <v>0</v>
      </c>
      <c r="G1342" s="71">
        <f t="shared" si="142"/>
        <v>0</v>
      </c>
      <c r="H1342" s="71">
        <f t="shared" si="142"/>
        <v>0</v>
      </c>
      <c r="I1342" s="71">
        <f t="shared" si="142"/>
        <v>0</v>
      </c>
    </row>
    <row r="1343" spans="2:9" x14ac:dyDescent="0.2">
      <c r="B1343" s="160">
        <v>56</v>
      </c>
      <c r="C1343" s="305" t="s">
        <v>1391</v>
      </c>
      <c r="D1343" s="82" t="s">
        <v>1392</v>
      </c>
      <c r="E1343" s="72">
        <f>SUMIF(Adat!$AG:$AG,CONCATENATE(61,Info!$D$5,"09711",L1285),Adat!$E:$E)*-1</f>
        <v>0</v>
      </c>
      <c r="F1343" s="72">
        <f>SUMIF(Adat!$AG:$AG,CONCATENATE(60,Info!$D$5,"09711",L1285),Adat!$E:$E)*-1+E1343</f>
        <v>0</v>
      </c>
      <c r="G1343" s="72">
        <f>SUMIF(Adat!$AH:$AH,CONCATENATE(Info!$D$5,"(KÖT)","09711",L1285),Adat!$E:$E)*-1</f>
        <v>0</v>
      </c>
      <c r="H1343" s="72">
        <f>SUMIF(Adat!$AH:$AH,CONCATENATE(Info!$D$5,"(ÖNV)","09711",L1285),Adat!$E:$E)*-1</f>
        <v>0</v>
      </c>
      <c r="I1343" s="72">
        <f>SUMIF(Adat!$AH:$AH,CONCATENATE(Info!$D$5,"(ÁIG)","09711",L1285),Adat!$E:$E)*-1</f>
        <v>0</v>
      </c>
    </row>
    <row r="1344" spans="2:9" x14ac:dyDescent="0.2">
      <c r="B1344" s="160">
        <v>57</v>
      </c>
      <c r="C1344" s="305" t="s">
        <v>1393</v>
      </c>
      <c r="D1344" s="82" t="s">
        <v>1394</v>
      </c>
      <c r="E1344" s="72">
        <f>SUMIF(Adat!$AG:$AG,CONCATENATE(61,Info!$D$5,"09721",L1285),Adat!$E:$E)*-1</f>
        <v>0</v>
      </c>
      <c r="F1344" s="72">
        <f>SUMIF(Adat!$AG:$AG,CONCATENATE(60,Info!$D$5,"09721",L1285),Adat!$E:$E)*-1+E1344</f>
        <v>0</v>
      </c>
      <c r="G1344" s="72">
        <f>SUMIF(Adat!$AH:$AH,CONCATENATE(Info!$D$5,"(KÖT)","09721",L1285),Adat!$E:$E)*-1</f>
        <v>0</v>
      </c>
      <c r="H1344" s="72">
        <f>SUMIF(Adat!$AH:$AH,CONCATENATE(Info!$D$5,"(ÖNV)","09721",L1285),Adat!$E:$E)*-1</f>
        <v>0</v>
      </c>
      <c r="I1344" s="72">
        <f>SUMIF(Adat!$AH:$AH,CONCATENATE(Info!$D$5,"(ÁIG)","09721",L1285),Adat!$E:$E)*-1</f>
        <v>0</v>
      </c>
    </row>
    <row r="1345" spans="2:9" x14ac:dyDescent="0.2">
      <c r="B1345" s="160">
        <v>58</v>
      </c>
      <c r="C1345" s="305" t="s">
        <v>1395</v>
      </c>
      <c r="D1345" s="82" t="s">
        <v>1396</v>
      </c>
      <c r="E1345" s="72">
        <f>SUMIF(Adat!$AG:$AG,CONCATENATE(61,Info!$D$5,"09731",L1285),Adat!$E:$E)*-1</f>
        <v>0</v>
      </c>
      <c r="F1345" s="72">
        <f>SUMIF(Adat!$AG:$AG,CONCATENATE(60,Info!$D$5,"09731",L1285),Adat!$E:$E)*-1+E1345</f>
        <v>0</v>
      </c>
      <c r="G1345" s="72">
        <f>SUMIF(Adat!$AH:$AH,CONCATENATE(Info!$D$5,"(KÖT)","09731",L1285),Adat!$E:$E)*-1</f>
        <v>0</v>
      </c>
      <c r="H1345" s="72">
        <f>SUMIF(Adat!$AH:$AH,CONCATENATE(Info!$D$5,"(ÖNV)","09731",L1285),Adat!$E:$E)*-1</f>
        <v>0</v>
      </c>
      <c r="I1345" s="72">
        <f>SUMIF(Adat!$AH:$AH,CONCATENATE(Info!$D$5,"(ÁIG)","09731",L1285),Adat!$E:$E)*-1</f>
        <v>0</v>
      </c>
    </row>
    <row r="1346" spans="2:9" x14ac:dyDescent="0.2">
      <c r="B1346" s="160">
        <v>59</v>
      </c>
      <c r="C1346" s="305" t="s">
        <v>1397</v>
      </c>
      <c r="D1346" s="82" t="s">
        <v>1398</v>
      </c>
      <c r="E1346" s="72">
        <f>SUMIF(Adat!$AG:$AG,CONCATENATE(61,Info!$D$5,"09741",L1285),Adat!$E:$E)*-1</f>
        <v>0</v>
      </c>
      <c r="F1346" s="72">
        <f>SUMIF(Adat!$AG:$AG,CONCATENATE(60,Info!$D$5,"09741",L1285),Adat!$E:$E)*-1+E1346</f>
        <v>0</v>
      </c>
      <c r="G1346" s="72">
        <f>SUMIF(Adat!$AH:$AH,CONCATENATE(Info!$D$5,"(KÖT)","09741",L1285),Adat!$E:$E)*-1</f>
        <v>0</v>
      </c>
      <c r="H1346" s="72">
        <f>SUMIF(Adat!$AH:$AH,CONCATENATE(Info!$D$5,"(ÖNV)","09741",L1285),Adat!$E:$E)*-1</f>
        <v>0</v>
      </c>
      <c r="I1346" s="72">
        <f>SUMIF(Adat!$AH:$AH,CONCATENATE(Info!$D$5,"(ÁIG)","09741",L1285),Adat!$E:$E)*-1</f>
        <v>0</v>
      </c>
    </row>
    <row r="1347" spans="2:9" x14ac:dyDescent="0.25">
      <c r="B1347" s="160">
        <v>60</v>
      </c>
      <c r="C1347" s="305" t="s">
        <v>1399</v>
      </c>
      <c r="D1347" s="84" t="s">
        <v>1400</v>
      </c>
      <c r="E1347" s="72">
        <f>SUMIF(Adat!$AG:$AG,CONCATENATE(61,Info!$D$5,"09751",L1285),Adat!$E:$E)*-1</f>
        <v>0</v>
      </c>
      <c r="F1347" s="72">
        <f>SUMIF(Adat!$AG:$AG,CONCATENATE(60,Info!$D$5,"09751",L1285),Adat!$E:$E)*-1+E1347</f>
        <v>0</v>
      </c>
      <c r="G1347" s="72">
        <f>SUMIF(Adat!$AH:$AH,CONCATENATE(Info!$D$5,"(KÖT)","09751",L1285),Adat!$E:$E)*-1</f>
        <v>0</v>
      </c>
      <c r="H1347" s="72">
        <f>SUMIF(Adat!$AH:$AH,CONCATENATE(Info!$D$5,"(ÖNV)","09751",L1285),Adat!$E:$E)*-1</f>
        <v>0</v>
      </c>
      <c r="I1347" s="72">
        <f>SUMIF(Adat!$AH:$AH,CONCATENATE(Info!$D$5,"(ÁIG)","09751",L1285),Adat!$E:$E)*-1</f>
        <v>0</v>
      </c>
    </row>
    <row r="1348" spans="2:9" x14ac:dyDescent="0.25">
      <c r="B1348" s="160">
        <v>61</v>
      </c>
      <c r="C1348" s="78" t="s">
        <v>352</v>
      </c>
      <c r="D1348" s="86" t="s">
        <v>1401</v>
      </c>
      <c r="E1348" s="71">
        <f>+E1289+E1297+E1303+E1309+E1316+E1330+E1336+E1342</f>
        <v>0</v>
      </c>
      <c r="F1348" s="71">
        <f>+F1289+F1297+F1303+F1309+F1316+F1330+F1336+F1342</f>
        <v>0</v>
      </c>
      <c r="G1348" s="71">
        <f>+G1289+G1297+G1303+G1309+G1316+G1330+G1336+G1342</f>
        <v>0</v>
      </c>
      <c r="H1348" s="71">
        <f>+H1289+H1297+H1303+H1309+H1316+H1330+H1336+H1342</f>
        <v>0</v>
      </c>
      <c r="I1348" s="71">
        <f>+I1289+I1297+I1303+I1309+I1316+I1330+I1336+I1342</f>
        <v>0</v>
      </c>
    </row>
    <row r="1349" spans="2:9" x14ac:dyDescent="0.25">
      <c r="B1349" s="160">
        <v>62</v>
      </c>
      <c r="C1349" s="154" t="s">
        <v>1402</v>
      </c>
      <c r="D1349" s="85" t="s">
        <v>1403</v>
      </c>
      <c r="E1349" s="71">
        <f t="shared" ref="E1349:G1349" si="143">SUM(E1350:E1352)</f>
        <v>0</v>
      </c>
      <c r="F1349" s="71">
        <f t="shared" si="143"/>
        <v>0</v>
      </c>
      <c r="G1349" s="71">
        <f t="shared" si="143"/>
        <v>0</v>
      </c>
      <c r="H1349" s="71">
        <f>SUM(H1350:H1352)</f>
        <v>0</v>
      </c>
      <c r="I1349" s="71">
        <f>SUM(I1350:I1352)</f>
        <v>0</v>
      </c>
    </row>
    <row r="1350" spans="2:9" x14ac:dyDescent="0.2">
      <c r="B1350" s="160">
        <v>63</v>
      </c>
      <c r="C1350" s="305" t="s">
        <v>1404</v>
      </c>
      <c r="D1350" s="82" t="s">
        <v>1405</v>
      </c>
      <c r="E1350" s="72">
        <f>SUMIF(Adat!$AG:$AG,CONCATENATE(61,Info!$D$5,"0981111",L1285),Adat!$E:$E)*-1</f>
        <v>0</v>
      </c>
      <c r="F1350" s="72">
        <f>SUMIF(Adat!$AG:$AG,CONCATENATE(60,Info!$D$5,"0981111",L1285),Adat!$E:$E)*-1+E1350</f>
        <v>0</v>
      </c>
      <c r="G1350" s="72">
        <f>SUMIF(Adat!$AH:$AH,CONCATENATE(Info!$D$5,"(KÖT)","0981111",L1285),Adat!$E:$E)*-1</f>
        <v>0</v>
      </c>
      <c r="H1350" s="72">
        <f>SUMIF(Adat!$AH:$AH,CONCATENATE(Info!$D$5,"(ÖNV)","0981111",L1285),Adat!$E:$E)*-1</f>
        <v>0</v>
      </c>
      <c r="I1350" s="72">
        <f>SUMIF(Adat!$AH:$AH,CONCATENATE(Info!$D$5,"(ÁIG)","0981111",L1285),Adat!$E:$E)*-1</f>
        <v>0</v>
      </c>
    </row>
    <row r="1351" spans="2:9" x14ac:dyDescent="0.2">
      <c r="B1351" s="160">
        <v>64</v>
      </c>
      <c r="C1351" s="305" t="s">
        <v>1406</v>
      </c>
      <c r="D1351" s="82" t="s">
        <v>1407</v>
      </c>
      <c r="E1351" s="72">
        <f>SUMIF(Adat!$AG:$AG,CONCATENATE(61,Info!$D$5,"0981121",L1285),Adat!$E:$E)*-1</f>
        <v>0</v>
      </c>
      <c r="F1351" s="72">
        <f>SUMIF(Adat!$AG:$AG,CONCATENATE(60,Info!$D$5,"0981121",L1285),Adat!$E:$E)*-1+E1351</f>
        <v>0</v>
      </c>
      <c r="G1351" s="72">
        <f>SUMIF(Adat!$AH:$AH,CONCATENATE(Info!$D$5,"(KÖT)","0981121",L1285),Adat!$E:$E)*-1</f>
        <v>0</v>
      </c>
      <c r="H1351" s="72">
        <f>SUMIF(Adat!$AH:$AH,CONCATENATE(Info!$D$5,"(ÖNV)","0981121",L1285),Adat!$E:$E)*-1</f>
        <v>0</v>
      </c>
      <c r="I1351" s="72">
        <f>SUMIF(Adat!$AH:$AH,CONCATENATE(Info!$D$5,"(ÁIG)","0981121",L1285),Adat!$E:$E)*-1</f>
        <v>0</v>
      </c>
    </row>
    <row r="1352" spans="2:9" x14ac:dyDescent="0.2">
      <c r="B1352" s="160">
        <v>65</v>
      </c>
      <c r="C1352" s="305" t="s">
        <v>1408</v>
      </c>
      <c r="D1352" s="82" t="s">
        <v>1409</v>
      </c>
      <c r="E1352" s="72">
        <f>SUMIF(Adat!$AG:$AG,CONCATENATE(61,Info!$D$5,"0981131",L1285),Adat!$E:$E)*-1</f>
        <v>0</v>
      </c>
      <c r="F1352" s="72">
        <f>SUMIF(Adat!$AG:$AG,CONCATENATE(60,Info!$D$5,"0981131",L1285),Adat!$E:$E)*-1+E1352</f>
        <v>0</v>
      </c>
      <c r="G1352" s="72">
        <f>SUMIF(Adat!$AH:$AH,CONCATENATE(Info!$D$5,"(KÖT)","0981131",L1285),Adat!$E:$E)*-1</f>
        <v>0</v>
      </c>
      <c r="H1352" s="72">
        <f>SUMIF(Adat!$AH:$AH,CONCATENATE(Info!$D$5,"(ÖNV)","0981131",L1285),Adat!$E:$E)*-1</f>
        <v>0</v>
      </c>
      <c r="I1352" s="72">
        <f>SUMIF(Adat!$AH:$AH,CONCATENATE(Info!$D$5,"(ÁIG)","0981131",L1285),Adat!$E:$E)*-1</f>
        <v>0</v>
      </c>
    </row>
    <row r="1353" spans="2:9" x14ac:dyDescent="0.25">
      <c r="B1353" s="160">
        <v>66</v>
      </c>
      <c r="C1353" s="154" t="s">
        <v>1410</v>
      </c>
      <c r="D1353" s="85" t="s">
        <v>574</v>
      </c>
      <c r="E1353" s="71">
        <f>SUM(E1354:E1357)</f>
        <v>0</v>
      </c>
      <c r="F1353" s="71">
        <f t="shared" ref="F1353" si="144">SUM(F1354:F1357)</f>
        <v>0</v>
      </c>
      <c r="G1353" s="71">
        <f>SUM(G1354:G1357)</f>
        <v>0</v>
      </c>
      <c r="H1353" s="71">
        <f>SUM(H1354:H1357)</f>
        <v>0</v>
      </c>
      <c r="I1353" s="71">
        <f>SUM(I1354:I1357)</f>
        <v>0</v>
      </c>
    </row>
    <row r="1354" spans="2:9" x14ac:dyDescent="0.2">
      <c r="B1354" s="160">
        <v>67</v>
      </c>
      <c r="C1354" s="305" t="s">
        <v>1411</v>
      </c>
      <c r="D1354" s="82" t="s">
        <v>1412</v>
      </c>
      <c r="E1354" s="72">
        <f>SUMIF(Adat!$AG:$AG,CONCATENATE(61,Info!$D$5,"0981211",L1285),Adat!$E:$E)*-1</f>
        <v>0</v>
      </c>
      <c r="F1354" s="72">
        <f>SUMIF(Adat!$AG:$AG,CONCATENATE(60,Info!$D$5,"0981211",L1285),Adat!$E:$E)*-1+E1354</f>
        <v>0</v>
      </c>
      <c r="G1354" s="72">
        <f>SUMIF(Adat!$AH:$AH,CONCATENATE(Info!$D$5,"(KÖT)","0981211",L1285),Adat!$E:$E)*-1</f>
        <v>0</v>
      </c>
      <c r="H1354" s="72">
        <f>SUMIF(Adat!$AH:$AH,CONCATENATE(Info!$D$5,"(ÖNV)","0981211",L1285),Adat!$E:$E)*-1</f>
        <v>0</v>
      </c>
      <c r="I1354" s="72">
        <f>SUMIF(Adat!$AH:$AH,CONCATENATE(Info!$D$5,"(ÁIG)","0981211",L1285),Adat!$E:$E)*-1</f>
        <v>0</v>
      </c>
    </row>
    <row r="1355" spans="2:9" x14ac:dyDescent="0.2">
      <c r="B1355" s="160">
        <v>68</v>
      </c>
      <c r="C1355" s="305" t="s">
        <v>1413</v>
      </c>
      <c r="D1355" s="82" t="s">
        <v>1414</v>
      </c>
      <c r="E1355" s="72">
        <f>SUMIF(Adat!$AG:$AG,CONCATENATE(61,Info!$D$5,"0981221",L1285),Adat!$E:$E)*-1</f>
        <v>0</v>
      </c>
      <c r="F1355" s="72">
        <f>SUMIF(Adat!$AG:$AG,CONCATENATE(60,Info!$D$5,"0981221",L1285),Adat!$E:$E)*-1+E1355</f>
        <v>0</v>
      </c>
      <c r="G1355" s="72">
        <f>SUMIF(Adat!$AH:$AH,CONCATENATE(Info!$D$5,"(KÖT)","0981221",L1285),Adat!$E:$E)*-1</f>
        <v>0</v>
      </c>
      <c r="H1355" s="72">
        <f>SUMIF(Adat!$AH:$AH,CONCATENATE(Info!$D$5,"(ÖNV)","0981221",L1285),Adat!$E:$E)*-1</f>
        <v>0</v>
      </c>
      <c r="I1355" s="72">
        <f>SUMIF(Adat!$AH:$AH,CONCATENATE(Info!$D$5,"(ÁIG)","0981221",L1285),Adat!$E:$E)*-1</f>
        <v>0</v>
      </c>
    </row>
    <row r="1356" spans="2:9" x14ac:dyDescent="0.2">
      <c r="B1356" s="160">
        <v>69</v>
      </c>
      <c r="C1356" s="305" t="s">
        <v>1313</v>
      </c>
      <c r="D1356" s="82" t="s">
        <v>1415</v>
      </c>
      <c r="E1356" s="72">
        <f>SUMIF(Adat!$AG:$AG,CONCATENATE(61,Info!$D$5,"0981231",L1285),Adat!$E:$E)*-1</f>
        <v>0</v>
      </c>
      <c r="F1356" s="72">
        <f>SUMIF(Adat!$AG:$AG,CONCATENATE(60,Info!$D$5,"0981231",L1285),Adat!$E:$E)*-1+E1356</f>
        <v>0</v>
      </c>
      <c r="G1356" s="72">
        <f>SUMIF(Adat!$AH:$AH,CONCATENATE(Info!$D$5,"(KÖT)","0981231",L1285),Adat!$E:$E)*-1</f>
        <v>0</v>
      </c>
      <c r="H1356" s="72">
        <f>SUMIF(Adat!$AH:$AH,CONCATENATE(Info!$D$5,"(ÖNV)","0981231",L1285),Adat!$E:$E)*-1</f>
        <v>0</v>
      </c>
      <c r="I1356" s="72">
        <f>SUMIF(Adat!$AH:$AH,CONCATENATE(Info!$D$5,"(ÁIG)","0981231",L1285),Adat!$E:$E)*-1</f>
        <v>0</v>
      </c>
    </row>
    <row r="1357" spans="2:9" x14ac:dyDescent="0.25">
      <c r="B1357" s="160">
        <v>70</v>
      </c>
      <c r="C1357" s="305" t="s">
        <v>1416</v>
      </c>
      <c r="D1357" s="84" t="s">
        <v>1417</v>
      </c>
      <c r="E1357" s="72">
        <f>SUMIF(Adat!$AG:$AG,CONCATENATE(61,Info!$D$5,"0981241",L1285),Adat!$E:$E)*-1</f>
        <v>0</v>
      </c>
      <c r="F1357" s="72">
        <f>SUMIF(Adat!$AG:$AG,CONCATENATE(60,Info!$D$5,"0981241",L1285),Adat!$E:$E)*-1+E1357</f>
        <v>0</v>
      </c>
      <c r="G1357" s="72">
        <f>SUMIF(Adat!$AH:$AH,CONCATENATE(Info!$D$5,"(KÖT)","0981241",L1285),Adat!$E:$E)*-1</f>
        <v>0</v>
      </c>
      <c r="H1357" s="72">
        <f>SUMIF(Adat!$AH:$AH,CONCATENATE(Info!$D$5,"(ÖNV)","0981241",L1285),Adat!$E:$E)*-1</f>
        <v>0</v>
      </c>
      <c r="I1357" s="72">
        <f>SUMIF(Adat!$AH:$AH,CONCATENATE(Info!$D$5,"(ÁIG)","0981241",L1285),Adat!$E:$E)*-1</f>
        <v>0</v>
      </c>
    </row>
    <row r="1358" spans="2:9" x14ac:dyDescent="0.25">
      <c r="B1358" s="160">
        <v>71</v>
      </c>
      <c r="C1358" s="154" t="s">
        <v>1418</v>
      </c>
      <c r="D1358" s="85" t="s">
        <v>575</v>
      </c>
      <c r="E1358" s="71">
        <f>SUM(E1359:E1360)</f>
        <v>0</v>
      </c>
      <c r="F1358" s="71">
        <f t="shared" ref="F1358" si="145">SUM(F1359:F1360)</f>
        <v>0</v>
      </c>
      <c r="G1358" s="71">
        <f>SUM(G1359:G1360)</f>
        <v>0</v>
      </c>
      <c r="H1358" s="71">
        <f>SUM(H1359:H1360)</f>
        <v>0</v>
      </c>
      <c r="I1358" s="71">
        <f>SUM(I1359:I1360)</f>
        <v>0</v>
      </c>
    </row>
    <row r="1359" spans="2:9" x14ac:dyDescent="0.2">
      <c r="B1359" s="160">
        <v>72</v>
      </c>
      <c r="C1359" s="305" t="s">
        <v>1274</v>
      </c>
      <c r="D1359" s="82" t="s">
        <v>1419</v>
      </c>
      <c r="E1359" s="72">
        <f>SUMIF(Adat!$AG:$AG,CONCATENATE(61,Info!$D$5,"0981311",L1285),Adat!$E:$E)*-1</f>
        <v>0</v>
      </c>
      <c r="F1359" s="72">
        <f>SUMIF(Adat!$AG:$AG,CONCATENATE(60,Info!$D$5,"0981311",L1285),Adat!$E:$E)*-1+E1359</f>
        <v>0</v>
      </c>
      <c r="G1359" s="72">
        <f>SUMIF(Adat!$AH:$AH,CONCATENATE(Info!$D$5,"(KÖT)","0981311",L1285),Adat!$E:$E)*-1</f>
        <v>0</v>
      </c>
      <c r="H1359" s="72">
        <f>SUMIF(Adat!$AH:$AH,CONCATENATE(Info!$D$5,"(ÖNV)","0981311",L1285),Adat!$E:$E)*-1</f>
        <v>0</v>
      </c>
      <c r="I1359" s="72">
        <f>SUMIF(Adat!$AH:$AH,CONCATENATE(Info!$D$5,"(ÁIG)","0981311",L1285),Adat!$E:$E)*-1</f>
        <v>0</v>
      </c>
    </row>
    <row r="1360" spans="2:9" x14ac:dyDescent="0.25">
      <c r="B1360" s="160">
        <v>73</v>
      </c>
      <c r="C1360" s="305" t="s">
        <v>1420</v>
      </c>
      <c r="D1360" s="84" t="s">
        <v>1421</v>
      </c>
      <c r="E1360" s="72">
        <f>SUMIF(Adat!$AG:$AG,CONCATENATE(61,Info!$D$5,"0981321",L1285),Adat!$E:$E)*-1</f>
        <v>0</v>
      </c>
      <c r="F1360" s="72">
        <f>SUMIF(Adat!$AG:$AG,CONCATENATE(60,Info!$D$5,"0981321",L1285),Adat!$E:$E)*-1+E1360</f>
        <v>0</v>
      </c>
      <c r="G1360" s="72">
        <f>SUMIF(Adat!$AH:$AH,CONCATENATE(Info!$D$5,"(KÖT)","0981321",L1285),Adat!$E:$E)*-1</f>
        <v>0</v>
      </c>
      <c r="H1360" s="72">
        <f>SUMIF(Adat!$AH:$AH,CONCATENATE(Info!$D$5,"(ÖNV)","0981321",L1285),Adat!$E:$E)*-1</f>
        <v>0</v>
      </c>
      <c r="I1360" s="72">
        <f>SUMIF(Adat!$AH:$AH,CONCATENATE(Info!$D$5,"(ÁIG)","0981321",L1285),Adat!$E:$E)*-1</f>
        <v>0</v>
      </c>
    </row>
    <row r="1361" spans="2:12" s="42" customFormat="1" x14ac:dyDescent="0.25">
      <c r="B1361" s="160">
        <v>74</v>
      </c>
      <c r="C1361" s="154" t="s">
        <v>1496</v>
      </c>
      <c r="D1361" s="85" t="s">
        <v>576</v>
      </c>
      <c r="E1361" s="71">
        <f>SUM(E1362:E1364)</f>
        <v>0</v>
      </c>
      <c r="F1361" s="71">
        <f t="shared" ref="F1361" si="146">SUM(F1362:F1364)</f>
        <v>0</v>
      </c>
      <c r="G1361" s="71">
        <f>SUM(G1362:G1364)</f>
        <v>0</v>
      </c>
      <c r="H1361" s="71">
        <f>SUM(H1362:H1364)</f>
        <v>0</v>
      </c>
      <c r="I1361" s="71">
        <f>SUM(I1362:I1364)</f>
        <v>0</v>
      </c>
    </row>
    <row r="1362" spans="2:12" x14ac:dyDescent="0.2">
      <c r="B1362" s="160">
        <v>75</v>
      </c>
      <c r="C1362" s="305" t="s">
        <v>1301</v>
      </c>
      <c r="D1362" s="82" t="s">
        <v>1422</v>
      </c>
      <c r="E1362" s="72">
        <f>SUMIF(Adat!$AG:$AG,CONCATENATE(61,Info!$D$5,"098141",L1285),Adat!$E:$E)*-1</f>
        <v>0</v>
      </c>
      <c r="F1362" s="72">
        <f>SUMIF(Adat!$AG:$AG,CONCATENATE(60,Info!$D$5,"098141",L1285),Adat!$E:$E)*-1+E1362</f>
        <v>0</v>
      </c>
      <c r="G1362" s="72">
        <f>SUMIF(Adat!$AH:$AH,CONCATENATE(Info!$D$5,"(KÖT)","098141",L1285),Adat!$E:$E)*-1</f>
        <v>0</v>
      </c>
      <c r="H1362" s="72">
        <f>SUMIF(Adat!$AH:$AH,CONCATENATE(Info!$D$5,"(ÖNV)","098141",L1285),Adat!$E:$E)*-1</f>
        <v>0</v>
      </c>
      <c r="I1362" s="72">
        <f>SUMIF(Adat!$AH:$AH,CONCATENATE(Info!$D$5,"(ÁIG)","098141",L1285),Adat!$E:$E)*-1</f>
        <v>0</v>
      </c>
    </row>
    <row r="1363" spans="2:12" x14ac:dyDescent="0.2">
      <c r="B1363" s="160">
        <v>76</v>
      </c>
      <c r="C1363" s="305" t="s">
        <v>1423</v>
      </c>
      <c r="D1363" s="82" t="s">
        <v>1424</v>
      </c>
      <c r="E1363" s="72">
        <f>SUMIF(Adat!$AG:$AG,CONCATENATE(61,Info!$D$5,"098151",L1285),Adat!$E:$E)*-1</f>
        <v>0</v>
      </c>
      <c r="F1363" s="72">
        <f>SUMIF(Adat!$AG:$AG,CONCATENATE(60,Info!$D$5,"098151",L1285),Adat!$E:$E)*-1+E1363</f>
        <v>0</v>
      </c>
      <c r="G1363" s="72">
        <f>SUMIF(Adat!$AH:$AH,CONCATENATE(Info!$D$5,"(KÖT)","098151",L1285),Adat!$E:$E)*-1</f>
        <v>0</v>
      </c>
      <c r="H1363" s="72">
        <f>SUMIF(Adat!$AH:$AH,CONCATENATE(Info!$D$5,"(ÖNV)","098151",L1285),Adat!$E:$E)*-1</f>
        <v>0</v>
      </c>
      <c r="I1363" s="72">
        <f>SUMIF(Adat!$AH:$AH,CONCATENATE(Info!$D$5,"(ÁIG)","098151",L1285),Adat!$E:$E)*-1</f>
        <v>0</v>
      </c>
    </row>
    <row r="1364" spans="2:12" x14ac:dyDescent="0.25">
      <c r="B1364" s="160">
        <v>77</v>
      </c>
      <c r="C1364" s="305" t="s">
        <v>1425</v>
      </c>
      <c r="D1364" s="84" t="s">
        <v>1426</v>
      </c>
      <c r="E1364" s="72">
        <f>SUMIF(Adat!$AG:$AG,CONCATENATE(61,Info!$D$5,"098171",L1285),Adat!$E:$E)*-1</f>
        <v>0</v>
      </c>
      <c r="F1364" s="72">
        <f>SUMIF(Adat!$AG:$AG,CONCATENATE(60,Info!$D$5,"098171",L1285),Adat!$E:$E)*-1+E1364</f>
        <v>0</v>
      </c>
      <c r="G1364" s="72">
        <f>SUMIF(Adat!$AH:$AH,CONCATENATE(Info!$D$5,"(KÖT)","098171",L1285),Adat!$E:$E)*-1</f>
        <v>0</v>
      </c>
      <c r="H1364" s="72">
        <f>SUMIF(Adat!$AH:$AH,CONCATENATE(Info!$D$5,"(ÖNV)","098171",L1285),Adat!$E:$E)*-1</f>
        <v>0</v>
      </c>
      <c r="I1364" s="72">
        <f>SUMIF(Adat!$AH:$AH,CONCATENATE(Info!$D$5,"(ÁIG)","098171",L1285),Adat!$E:$E)*-1</f>
        <v>0</v>
      </c>
    </row>
    <row r="1365" spans="2:12" x14ac:dyDescent="0.25">
      <c r="B1365" s="160">
        <v>78</v>
      </c>
      <c r="C1365" s="154" t="s">
        <v>1427</v>
      </c>
      <c r="D1365" s="85" t="s">
        <v>577</v>
      </c>
      <c r="E1365" s="71">
        <f>SUM(E1366:E1370)</f>
        <v>0</v>
      </c>
      <c r="F1365" s="71">
        <f t="shared" ref="F1365" si="147">SUM(F1366:F1370)</f>
        <v>0</v>
      </c>
      <c r="G1365" s="71">
        <f>SUM(G1366:G1370)</f>
        <v>0</v>
      </c>
      <c r="H1365" s="71">
        <f>SUM(H1366:H1370)</f>
        <v>0</v>
      </c>
      <c r="I1365" s="71">
        <f>SUM(I1366:I1370)</f>
        <v>0</v>
      </c>
    </row>
    <row r="1366" spans="2:12" x14ac:dyDescent="0.2">
      <c r="B1366" s="160">
        <v>79</v>
      </c>
      <c r="C1366" s="89" t="s">
        <v>1428</v>
      </c>
      <c r="D1366" s="82" t="s">
        <v>1429</v>
      </c>
      <c r="E1366" s="72">
        <f>SUMIF(Adat!$AG:$AG,CONCATENATE(61,Info!$D$5,"098211",L1285),Adat!$E:$E)*-1</f>
        <v>0</v>
      </c>
      <c r="F1366" s="72">
        <f>SUMIF(Adat!$AG:$AG,CONCATENATE(60,Info!$D$5,"098211",L1285),Adat!$E:$E)*-1+E1366</f>
        <v>0</v>
      </c>
      <c r="G1366" s="72">
        <f>SUMIF(Adat!$AH:$AH,CONCATENATE(Info!$D$5,"(KÖT)","098211",L1285),Adat!$E:$E)*-1</f>
        <v>0</v>
      </c>
      <c r="H1366" s="72">
        <f>SUMIF(Adat!$AH:$AH,CONCATENATE(Info!$D$5,"(ÖNV)","098211",L1285),Adat!$E:$E)*-1</f>
        <v>0</v>
      </c>
      <c r="I1366" s="72">
        <f>SUMIF(Adat!$AH:$AH,CONCATENATE(Info!$D$5,"(ÁIG)","098211",L1285),Adat!$E:$E)*-1</f>
        <v>0</v>
      </c>
    </row>
    <row r="1367" spans="2:12" x14ac:dyDescent="0.2">
      <c r="B1367" s="160">
        <v>80</v>
      </c>
      <c r="C1367" s="89" t="s">
        <v>1430</v>
      </c>
      <c r="D1367" s="82" t="s">
        <v>1431</v>
      </c>
      <c r="E1367" s="72">
        <f>SUMIF(Adat!$AG:$AG,CONCATENATE(61,Info!$D$5,"098221",L1285),Adat!$E:$E)*-1</f>
        <v>0</v>
      </c>
      <c r="F1367" s="72">
        <f>SUMIF(Adat!$AG:$AG,CONCATENATE(60,Info!$D$5,"098221",L1285),Adat!$E:$E)*-1+E1367</f>
        <v>0</v>
      </c>
      <c r="G1367" s="72">
        <f>SUMIF(Adat!$AH:$AH,CONCATENATE(Info!$D$5,"(KÖT)","098221",L1285),Adat!$E:$E)*-1</f>
        <v>0</v>
      </c>
      <c r="H1367" s="72">
        <f>SUMIF(Adat!$AH:$AH,CONCATENATE(Info!$D$5,"(ÖNV)","098221",L1285),Adat!$E:$E)*-1</f>
        <v>0</v>
      </c>
      <c r="I1367" s="72">
        <f>SUMIF(Adat!$AH:$AH,CONCATENATE(Info!$D$5,"(ÁIG)","098221",L1285),Adat!$E:$E)*-1</f>
        <v>0</v>
      </c>
    </row>
    <row r="1368" spans="2:12" x14ac:dyDescent="0.2">
      <c r="B1368" s="160">
        <v>81</v>
      </c>
      <c r="C1368" s="89" t="s">
        <v>1432</v>
      </c>
      <c r="D1368" s="82" t="s">
        <v>1433</v>
      </c>
      <c r="E1368" s="72">
        <f>SUMIF(Adat!$AG:$AG,CONCATENATE(61,Info!$D$5,"098231",L1285),Adat!$E:$E)*-1</f>
        <v>0</v>
      </c>
      <c r="F1368" s="72">
        <f>SUMIF(Adat!$AG:$AG,CONCATENATE(60,Info!$D$5,"098231",L1285),Adat!$E:$E)*-1+E1368</f>
        <v>0</v>
      </c>
      <c r="G1368" s="72">
        <f>SUMIF(Adat!$AH:$AH,CONCATENATE(Info!$D$5,"(KÖT)","098231",L1285),Adat!$E:$E)*-1</f>
        <v>0</v>
      </c>
      <c r="H1368" s="72">
        <f>SUMIF(Adat!$AH:$AH,CONCATENATE(Info!$D$5,"(ÖNV)","098231",L1285),Adat!$E:$E)*-1</f>
        <v>0</v>
      </c>
      <c r="I1368" s="72">
        <f>SUMIF(Adat!$AH:$AH,CONCATENATE(Info!$D$5,"(ÁIG)","098231",L1285),Adat!$E:$E)*-1</f>
        <v>0</v>
      </c>
    </row>
    <row r="1369" spans="2:12" x14ac:dyDescent="0.2">
      <c r="B1369" s="160">
        <v>82</v>
      </c>
      <c r="C1369" s="89" t="s">
        <v>1434</v>
      </c>
      <c r="D1369" s="82" t="s">
        <v>1435</v>
      </c>
      <c r="E1369" s="72">
        <f>SUMIF(Adat!$AG:$AG,CONCATENATE(61,Info!$D$5,"098241",L1285),Adat!$E:$E)*-1</f>
        <v>0</v>
      </c>
      <c r="F1369" s="72">
        <f>SUMIF(Adat!$AG:$AG,CONCATENATE(60,Info!$D$5,"098241",L1285),Adat!$E:$E)*-1+E1369</f>
        <v>0</v>
      </c>
      <c r="G1369" s="72">
        <f>SUMIF(Adat!$AH:$AH,CONCATENATE(Info!$D$5,"(KÖT)","098241",L1285),Adat!$E:$E)*-1</f>
        <v>0</v>
      </c>
      <c r="H1369" s="72">
        <f>SUMIF(Adat!$AH:$AH,CONCATENATE(Info!$D$5,"(ÖNV)","098241",L1285),Adat!$E:$E)*-1</f>
        <v>0</v>
      </c>
      <c r="I1369" s="72">
        <f>SUMIF(Adat!$AH:$AH,CONCATENATE(Info!$D$5,"(ÁIG)","098241",L1285),Adat!$E:$E)*-1</f>
        <v>0</v>
      </c>
    </row>
    <row r="1370" spans="2:12" s="42" customFormat="1" x14ac:dyDescent="0.2">
      <c r="B1370" s="160">
        <v>83</v>
      </c>
      <c r="C1370" s="89" t="s">
        <v>1436</v>
      </c>
      <c r="D1370" s="84" t="s">
        <v>1437</v>
      </c>
      <c r="E1370" s="72">
        <f>SUMIF(Adat!$AG:$AG,CONCATENATE(61,Info!$D$5,"098251",L1285),Adat!$E:$E)*-1</f>
        <v>0</v>
      </c>
      <c r="F1370" s="72">
        <f>SUMIF(Adat!$AG:$AG,CONCATENATE(60,Info!$D$5,"098251",L1285),Adat!$E:$E)*-1+E1370</f>
        <v>0</v>
      </c>
      <c r="G1370" s="72">
        <f>SUMIF(Adat!$AH:$AH,CONCATENATE(Info!$D$5,"(KÖT)","098251",L1285),Adat!$E:$E)*-1</f>
        <v>0</v>
      </c>
      <c r="H1370" s="72">
        <f>SUMIF(Adat!$AH:$AH,CONCATENATE(Info!$D$5,"(ÖNV)","098251",L1285),Adat!$E:$E)*-1</f>
        <v>0</v>
      </c>
      <c r="I1370" s="72">
        <f>SUMIF(Adat!$AH:$AH,CONCATENATE(Info!$D$5,"(ÁIG)","098251",L1285),Adat!$E:$E)*-1</f>
        <v>0</v>
      </c>
    </row>
    <row r="1371" spans="2:12" s="42" customFormat="1" x14ac:dyDescent="0.2">
      <c r="B1371" s="160">
        <v>84</v>
      </c>
      <c r="C1371" s="309" t="s">
        <v>1438</v>
      </c>
      <c r="D1371" s="85" t="s">
        <v>1439</v>
      </c>
      <c r="E1371" s="71">
        <f>SUMIF(Adat!$AG:$AG,CONCATENATE(61,Info!$D$5,"09831",L1285),Adat!$E:$E)*-1</f>
        <v>0</v>
      </c>
      <c r="F1371" s="71">
        <f>SUMIF(Adat!$AG:$AG,CONCATENATE(60,Info!$D$5,"09831",L1285),Adat!$E:$E)*-1+E1371</f>
        <v>0</v>
      </c>
      <c r="G1371" s="71">
        <f>SUMIF(Adat!$AH:$AH,CONCATENATE(Info!$D$5,"(KÖT)","09831",L1285),Adat!$E:$E)*-1</f>
        <v>0</v>
      </c>
      <c r="H1371" s="71">
        <f>SUMIF(Adat!$AH:$AH,CONCATENATE(Info!$D$5,"(ÖNV)","09831",L1285),Adat!$E:$E)*-1</f>
        <v>0</v>
      </c>
      <c r="I1371" s="71">
        <f>SUMIF(Adat!$AH:$AH,CONCATENATE(Info!$D$5,"(ÁIG)","09831",L1285),Adat!$E:$E)*-1</f>
        <v>0</v>
      </c>
    </row>
    <row r="1372" spans="2:12" s="42" customFormat="1" x14ac:dyDescent="0.25">
      <c r="B1372" s="160">
        <v>85</v>
      </c>
      <c r="C1372" s="154" t="s">
        <v>1440</v>
      </c>
      <c r="D1372" s="85" t="s">
        <v>1441</v>
      </c>
      <c r="E1372" s="71">
        <f>SUMIF(Adat!$AG:$AG,CONCATENATE(61,Info!$D$5,"09841",L1285),Adat!$E:$E)*-1</f>
        <v>0</v>
      </c>
      <c r="F1372" s="71">
        <f>SUMIF(Adat!$AG:$AG,CONCATENATE(60,Info!$D$5,"09841",L1285),Adat!$E:$E)*-1+E1372</f>
        <v>0</v>
      </c>
      <c r="G1372" s="71">
        <f>SUMIF(Adat!$AH:$AH,CONCATENATE(Info!$D$5,"(KÖT)","09841",L1285),Adat!$E:$E)*-1</f>
        <v>0</v>
      </c>
      <c r="H1372" s="71">
        <f>SUMIF(Adat!$AH:$AH,CONCATENATE(Info!$D$5,"(ÖNV)","09841",L1285),Adat!$E:$E)*-1</f>
        <v>0</v>
      </c>
      <c r="I1372" s="71">
        <f>SUMIF(Adat!$AH:$AH,CONCATENATE(Info!$D$5,"(ÁIG)","09841",L1285),Adat!$E:$E)*-1</f>
        <v>0</v>
      </c>
    </row>
    <row r="1373" spans="2:12" s="42" customFormat="1" x14ac:dyDescent="0.25">
      <c r="B1373" s="160">
        <v>86</v>
      </c>
      <c r="C1373" s="154" t="s">
        <v>358</v>
      </c>
      <c r="D1373" s="87" t="s">
        <v>1442</v>
      </c>
      <c r="E1373" s="71">
        <f>+E1349+E1353+E1358+E1361+E1365+E1372+E1371</f>
        <v>0</v>
      </c>
      <c r="F1373" s="71">
        <f t="shared" ref="F1373" si="148">+F1349+F1353+F1358+F1361+F1365+F1372+F1371</f>
        <v>0</v>
      </c>
      <c r="G1373" s="71">
        <f>+G1349+G1353+G1358+G1361+G1365+G1372+G1371</f>
        <v>0</v>
      </c>
      <c r="H1373" s="71">
        <f>+H1349+H1353+H1358+H1361+H1365+H1372+H1371</f>
        <v>0</v>
      </c>
      <c r="I1373" s="71">
        <f>+I1349+I1353+I1358+I1361+I1365+I1372+I1371</f>
        <v>0</v>
      </c>
    </row>
    <row r="1374" spans="2:12" s="42" customFormat="1" x14ac:dyDescent="0.25">
      <c r="B1374" s="160">
        <v>87</v>
      </c>
      <c r="C1374" s="154" t="s">
        <v>364</v>
      </c>
      <c r="D1374" s="87" t="s">
        <v>1497</v>
      </c>
      <c r="E1374" s="71">
        <f>+E1348+E1373</f>
        <v>0</v>
      </c>
      <c r="F1374" s="71">
        <f t="shared" ref="F1374" si="149">+F1348+F1373</f>
        <v>0</v>
      </c>
      <c r="G1374" s="71">
        <f>+G1348+G1373</f>
        <v>0</v>
      </c>
      <c r="H1374" s="71">
        <f>+H1348+H1373</f>
        <v>0</v>
      </c>
      <c r="I1374" s="71">
        <f>+I1348+I1373</f>
        <v>0</v>
      </c>
    </row>
    <row r="1375" spans="2:12" s="38" customFormat="1" ht="15.75" x14ac:dyDescent="0.25">
      <c r="C1375" s="156"/>
      <c r="E1375" s="140"/>
      <c r="F1375" s="140"/>
      <c r="G1375" s="140"/>
      <c r="H1375" s="140"/>
      <c r="I1375" s="140"/>
    </row>
    <row r="1376" spans="2:12" s="10" customFormat="1" ht="15.75" customHeight="1" x14ac:dyDescent="0.25">
      <c r="B1376" s="201" t="str">
        <f>CONCATENATE("20. Kiadási jogcímek"," - ",L1376," részletező")</f>
        <v>20. Kiadási jogcímek -  részletező</v>
      </c>
      <c r="C1376" s="101"/>
      <c r="D1376" s="101"/>
      <c r="E1376" s="101"/>
      <c r="F1376" s="101"/>
      <c r="G1376" s="198"/>
      <c r="H1376" s="198"/>
      <c r="I1376" s="198"/>
      <c r="L1376" s="384"/>
    </row>
    <row r="1377" spans="2:9" s="38" customFormat="1" ht="15.75" x14ac:dyDescent="0.25">
      <c r="C1377" s="156"/>
      <c r="E1377" s="140"/>
      <c r="F1377" s="140"/>
      <c r="G1377" s="140"/>
      <c r="H1377" s="140"/>
      <c r="I1377" s="140"/>
    </row>
    <row r="1378" spans="2:9" s="40" customFormat="1" x14ac:dyDescent="0.25">
      <c r="B1378" s="77"/>
      <c r="C1378" s="77" t="s">
        <v>350</v>
      </c>
      <c r="D1378" s="77" t="s">
        <v>351</v>
      </c>
      <c r="E1378" s="77" t="s">
        <v>470</v>
      </c>
      <c r="F1378" s="77" t="s">
        <v>471</v>
      </c>
      <c r="G1378" s="77" t="s">
        <v>44</v>
      </c>
      <c r="H1378" s="77" t="s">
        <v>42</v>
      </c>
      <c r="I1378" s="77" t="s">
        <v>511</v>
      </c>
    </row>
    <row r="1379" spans="2:9" s="41" customFormat="1" ht="38.25" x14ac:dyDescent="0.25">
      <c r="B1379" s="160">
        <v>1</v>
      </c>
      <c r="C1379" s="154" t="s">
        <v>593</v>
      </c>
      <c r="D1379" s="154" t="s">
        <v>488</v>
      </c>
      <c r="E1379" s="163" t="str">
        <f>CONCATENATE(PAR!$H$3," évi
eredeti 
előirányzat")</f>
        <v>2025. évi
eredeti 
előirányzat</v>
      </c>
      <c r="F1379" s="163" t="str">
        <f>CONCATENATE(PAR!$H$3," évi
módosított 
előirányzat")</f>
        <v>2025. évi
módosított 
előirányzat</v>
      </c>
      <c r="G1379" s="69" t="s">
        <v>666</v>
      </c>
      <c r="H1379" s="69" t="s">
        <v>667</v>
      </c>
      <c r="I1379" s="69" t="s">
        <v>668</v>
      </c>
    </row>
    <row r="1380" spans="2:9" s="42" customFormat="1" x14ac:dyDescent="0.25">
      <c r="B1380" s="160">
        <v>2</v>
      </c>
      <c r="C1380" s="78" t="s">
        <v>352</v>
      </c>
      <c r="D1380" s="92" t="s">
        <v>2663</v>
      </c>
      <c r="E1380" s="71">
        <f>SUM(E1381:E1386)</f>
        <v>0</v>
      </c>
      <c r="F1380" s="71">
        <f>SUM(F1381:F1386)</f>
        <v>0</v>
      </c>
      <c r="G1380" s="71">
        <f>SUM(G1381:G1386)</f>
        <v>0</v>
      </c>
      <c r="H1380" s="71">
        <f>+H1381+H1382+H1383+H1384+H1385+H1386</f>
        <v>0</v>
      </c>
      <c r="I1380" s="71">
        <f>+I1381+I1382+I1383+I1384+I1385+I1386</f>
        <v>0</v>
      </c>
    </row>
    <row r="1381" spans="2:9" x14ac:dyDescent="0.25">
      <c r="B1381" s="160">
        <v>3</v>
      </c>
      <c r="C1381" s="305" t="s">
        <v>315</v>
      </c>
      <c r="D1381" s="161" t="s">
        <v>342</v>
      </c>
      <c r="E1381" s="72">
        <f>SUMIF(Adat!$AI:$AI,CONCATENATE(61,Info!$D$5,"051",L1376),Adat!$E:$E)</f>
        <v>0</v>
      </c>
      <c r="F1381" s="72">
        <f>SUMIF(Adat!$AI:$AI,CONCATENATE(60,Info!$D$5,"051",L1376),Adat!$E:$E)+E1381</f>
        <v>0</v>
      </c>
      <c r="G1381" s="72">
        <f>SUMIF(Adat!$AJ:$AJ,CONCATENATE(Info!$D$5,"051","(KÖT)",L1376),Adat!$E:$E)</f>
        <v>0</v>
      </c>
      <c r="H1381" s="72">
        <f>SUMIF(Adat!$AJ:$AJ,CONCATENATE(Info!$D$5,"051","(ÖNV)",L1376),Adat!$E:$E)</f>
        <v>0</v>
      </c>
      <c r="I1381" s="72">
        <f>SUMIF(Adat!$AJ:$AJ,CONCATENATE(Info!$D$5,"051","(ÁIG)",L1376),Adat!$E:$E)</f>
        <v>0</v>
      </c>
    </row>
    <row r="1382" spans="2:9" x14ac:dyDescent="0.25">
      <c r="B1382" s="160">
        <v>4</v>
      </c>
      <c r="C1382" s="305" t="s">
        <v>317</v>
      </c>
      <c r="D1382" s="161" t="s">
        <v>395</v>
      </c>
      <c r="E1382" s="72">
        <f>SUMIF(Adat!$AI:$AI,CONCATENATE(61,Info!$D$5,"052",L1376),Adat!$E:$E)</f>
        <v>0</v>
      </c>
      <c r="F1382" s="72">
        <f>SUMIF(Adat!$AI:$AI,CONCATENATE(60,Info!$D$5,"052",L1376),Adat!$E:$E)+E1382</f>
        <v>0</v>
      </c>
      <c r="G1382" s="72">
        <f>SUMIF(Adat!$AJ:$AJ,CONCATENATE(Info!$D$5,"052","(KÖT)",L1376),Adat!$E:$E)</f>
        <v>0</v>
      </c>
      <c r="H1382" s="72">
        <f>SUMIF(Adat!$AJ:$AJ,CONCATENATE(Info!$D$5,"052","(ÖNV)",L1376),Adat!$E:$E)</f>
        <v>0</v>
      </c>
      <c r="I1382" s="72">
        <f>SUMIF(Adat!$AJ:$AJ,CONCATENATE(Info!$D$5,"052","(ÁIG)",L1376),Adat!$E:$E)</f>
        <v>0</v>
      </c>
    </row>
    <row r="1383" spans="2:9" x14ac:dyDescent="0.25">
      <c r="B1383" s="160">
        <v>5</v>
      </c>
      <c r="C1383" s="305" t="s">
        <v>4</v>
      </c>
      <c r="D1383" s="161" t="s">
        <v>344</v>
      </c>
      <c r="E1383" s="72">
        <f>SUMIF(Adat!$AI:$AI,CONCATENATE(61,Info!$D$5,"053",L1376),Adat!$E:$E)</f>
        <v>0</v>
      </c>
      <c r="F1383" s="72">
        <f>SUMIF(Adat!$AI:$AI,CONCATENATE(60,Info!$D$5,"053",L1376),Adat!$E:$E)+E1383</f>
        <v>0</v>
      </c>
      <c r="G1383" s="72">
        <f>SUMIF(Adat!$AJ:$AJ,CONCATENATE(Info!$D$5,"053","(KÖT)",L1376),Adat!$E:$E)</f>
        <v>0</v>
      </c>
      <c r="H1383" s="72">
        <f>SUMIF(Adat!$AJ:$AJ,CONCATENATE(Info!$D$5,"053","(ÖNV)",L1376),Adat!$E:$E)</f>
        <v>0</v>
      </c>
      <c r="I1383" s="72">
        <f>SUMIF(Adat!$AJ:$AJ,CONCATENATE(Info!$D$5,"053","(ÁIG)",L1376),Adat!$E:$E)</f>
        <v>0</v>
      </c>
    </row>
    <row r="1384" spans="2:9" x14ac:dyDescent="0.25">
      <c r="B1384" s="160">
        <v>6</v>
      </c>
      <c r="C1384" s="305" t="s">
        <v>6</v>
      </c>
      <c r="D1384" s="161" t="s">
        <v>345</v>
      </c>
      <c r="E1384" s="72">
        <f>SUMIF(Adat!$AI:$AI,CONCATENATE(61,Info!$D$5,"054",L1376),Adat!$E:$E)</f>
        <v>0</v>
      </c>
      <c r="F1384" s="72">
        <f>SUMIF(Adat!$AI:$AI,CONCATENATE(60,Info!$D$5,"054",L1376),Adat!$E:$E)+E1384</f>
        <v>0</v>
      </c>
      <c r="G1384" s="72">
        <f>SUMIF(Adat!$AJ:$AJ,CONCATENATE(Info!$D$5,"054","(KÖT)",L1376),Adat!$E:$E)</f>
        <v>0</v>
      </c>
      <c r="H1384" s="72">
        <f>SUMIF(Adat!$AJ:$AJ,CONCATENATE(Info!$D$5,"054","(ÖNV)",L1376),Adat!$E:$E)</f>
        <v>0</v>
      </c>
      <c r="I1384" s="72">
        <f>SUMIF(Adat!$AJ:$AJ,CONCATENATE(Info!$D$5,"054","(ÁIG)",L1376),Adat!$E:$E)</f>
        <v>0</v>
      </c>
    </row>
    <row r="1385" spans="2:9" x14ac:dyDescent="0.25">
      <c r="B1385" s="160">
        <v>7</v>
      </c>
      <c r="C1385" s="305" t="s">
        <v>8</v>
      </c>
      <c r="D1385" s="161" t="s">
        <v>321</v>
      </c>
      <c r="E1385" s="72">
        <f>SUMIF(Adat!$AI:$AI,CONCATENATE(61,Info!$D$5,"055",L1376),Adat!$E:$E)-E1386</f>
        <v>0</v>
      </c>
      <c r="F1385" s="72">
        <f>SUMIF(Adat!$AI:$AI,CONCATENATE(60,Info!$D$5,"055",L1376),Adat!$E:$E)+E1385-F1386+E1386</f>
        <v>0</v>
      </c>
      <c r="G1385" s="72">
        <f>SUMIF(Adat!$AJ:$AJ,CONCATENATE(Info!$D$5,"055","(KÖT)",L1376),Adat!$E:$E)-G1386</f>
        <v>0</v>
      </c>
      <c r="H1385" s="72">
        <f>SUMIF(Adat!$AJ:$AJ,CONCATENATE(Info!$D$5,"055","(ÖNV)",L1376),Adat!$E:$E)-H1386</f>
        <v>0</v>
      </c>
      <c r="I1385" s="72">
        <f>SUMIF(Adat!$AJ:$AJ,CONCATENATE(Info!$D$5,"055","(ÁIG)",L1376),Adat!$E:$E)-I1386</f>
        <v>0</v>
      </c>
    </row>
    <row r="1386" spans="2:9" x14ac:dyDescent="0.25">
      <c r="B1386" s="160">
        <v>8</v>
      </c>
      <c r="C1386" s="305" t="s">
        <v>1283</v>
      </c>
      <c r="D1386" s="161" t="s">
        <v>397</v>
      </c>
      <c r="E1386" s="72">
        <f>SUMIF(Adat!$AG:$AG,CONCATENATE(61,Info!$D$5,"055131",L1376),Adat!$E:$E)</f>
        <v>0</v>
      </c>
      <c r="F1386" s="72">
        <f>SUMIF(Adat!$AG:$AG,CONCATENATE(60,Info!$D$5,"055131",L1376),Adat!$E:$E)+E1386</f>
        <v>0</v>
      </c>
      <c r="G1386" s="72">
        <f>SUMIF(Adat!$AH:$AH,CONCATENATE(Info!$D$5,"(KÖT)","055131",L1376),Adat!$E:$E)</f>
        <v>0</v>
      </c>
      <c r="H1386" s="72">
        <f>SUMIF(Adat!$AH:$AH,CONCATENATE(Info!$D$5,"(ÖNV)","055131",L1376),Adat!$E:$E)*-1</f>
        <v>0</v>
      </c>
      <c r="I1386" s="72">
        <f>SUMIF(Adat!$AH:$AH,CONCATENATE(Info!$D$5,"(ÁIG)","055131",L1376),Adat!$E:$E)*-1</f>
        <v>0</v>
      </c>
    </row>
    <row r="1387" spans="2:9" x14ac:dyDescent="0.25">
      <c r="B1387" s="160">
        <v>9</v>
      </c>
      <c r="C1387" s="305" t="s">
        <v>1283</v>
      </c>
      <c r="D1387" s="93" t="s">
        <v>1445</v>
      </c>
      <c r="E1387" s="72">
        <v>0</v>
      </c>
      <c r="F1387" s="72">
        <f>SUM(G1387:I1387)</f>
        <v>0</v>
      </c>
      <c r="G1387" s="72">
        <v>0</v>
      </c>
      <c r="H1387" s="72">
        <v>0</v>
      </c>
      <c r="I1387" s="72">
        <v>0</v>
      </c>
    </row>
    <row r="1388" spans="2:9" x14ac:dyDescent="0.25">
      <c r="B1388" s="160">
        <v>10</v>
      </c>
      <c r="C1388" s="305" t="s">
        <v>1283</v>
      </c>
      <c r="D1388" s="93" t="s">
        <v>1446</v>
      </c>
      <c r="E1388" s="72">
        <v>0</v>
      </c>
      <c r="F1388" s="72">
        <f>SUM(G1388:I1388)</f>
        <v>0</v>
      </c>
      <c r="G1388" s="72">
        <v>0</v>
      </c>
      <c r="H1388" s="72">
        <v>0</v>
      </c>
      <c r="I1388" s="72">
        <v>0</v>
      </c>
    </row>
    <row r="1389" spans="2:9" x14ac:dyDescent="0.25">
      <c r="B1389" s="160">
        <v>11</v>
      </c>
      <c r="C1389" s="78" t="s">
        <v>358</v>
      </c>
      <c r="D1389" s="92" t="s">
        <v>2664</v>
      </c>
      <c r="E1389" s="71">
        <f>+E1390+E1392+E1394</f>
        <v>0</v>
      </c>
      <c r="F1389" s="71">
        <f>+F1390+F1392+F1394</f>
        <v>0</v>
      </c>
      <c r="G1389" s="71">
        <f>+G1390+G1392+G1394</f>
        <v>0</v>
      </c>
      <c r="H1389" s="71">
        <f>+H1390+H1392+H1394</f>
        <v>0</v>
      </c>
      <c r="I1389" s="71">
        <f>+I1390+I1392+I1394</f>
        <v>0</v>
      </c>
    </row>
    <row r="1390" spans="2:9" x14ac:dyDescent="0.25">
      <c r="B1390" s="160">
        <v>12</v>
      </c>
      <c r="C1390" s="305" t="s">
        <v>10</v>
      </c>
      <c r="D1390" s="317" t="s">
        <v>322</v>
      </c>
      <c r="E1390" s="72">
        <f>SUMIF(Adat!$AI:$AI,CONCATENATE(61,Info!$D$5,"056",L1376),Adat!$E:$E)</f>
        <v>0</v>
      </c>
      <c r="F1390" s="72">
        <f>SUMIF(Adat!$AI:$AI,CONCATENATE(60,Info!$D$5,"056",L1376),Adat!$E:$E)+E1390</f>
        <v>0</v>
      </c>
      <c r="G1390" s="72">
        <f>SUMIF(Adat!$AJ:$AJ,CONCATENATE(Info!$D$5,"056","(KÖT)",L1376),Adat!$E:$E)</f>
        <v>0</v>
      </c>
      <c r="H1390" s="72">
        <f>SUMIF(Adat!$AJ:$AJ,CONCATENATE(Info!$D$5,"056","(ÖNV)",L1376),Adat!$E:$E)</f>
        <v>0</v>
      </c>
      <c r="I1390" s="72">
        <f>SUMIF(Adat!$AJ:$AJ,CONCATENATE(Info!$D$5,"056","(ÁIG)",L1376),Adat!$E:$E)</f>
        <v>0</v>
      </c>
    </row>
    <row r="1391" spans="2:9" x14ac:dyDescent="0.25">
      <c r="B1391" s="160">
        <v>13</v>
      </c>
      <c r="C1391" s="305" t="s">
        <v>10</v>
      </c>
      <c r="D1391" s="317" t="s">
        <v>1448</v>
      </c>
      <c r="E1391" s="72">
        <v>0</v>
      </c>
      <c r="F1391" s="72">
        <f>SUM(G1391:I1391)</f>
        <v>0</v>
      </c>
      <c r="G1391" s="72">
        <v>0</v>
      </c>
      <c r="H1391" s="72">
        <v>0</v>
      </c>
      <c r="I1391" s="72">
        <v>0</v>
      </c>
    </row>
    <row r="1392" spans="2:9" x14ac:dyDescent="0.25">
      <c r="B1392" s="160">
        <v>14</v>
      </c>
      <c r="C1392" s="305" t="s">
        <v>12</v>
      </c>
      <c r="D1392" s="317" t="s">
        <v>323</v>
      </c>
      <c r="E1392" s="72">
        <f>SUMIF(Adat!$AI:$AI,CONCATENATE(61,Info!$D$5,"057",L1376),Adat!$E:$E)</f>
        <v>0</v>
      </c>
      <c r="F1392" s="72">
        <f>SUMIF(Adat!$AI:$AI,CONCATENATE(60,Info!$D$5,"057",L1376),Adat!$E:$E)+E1392</f>
        <v>0</v>
      </c>
      <c r="G1392" s="72">
        <f>SUMIF(Adat!$AJ:$AJ,CONCATENATE(Info!$D$5,"057","(KÖT)",L1376),Adat!$E:$E)</f>
        <v>0</v>
      </c>
      <c r="H1392" s="72">
        <f>SUMIF(Adat!$AJ:$AJ,CONCATENATE(Info!$D$5,"057","(ÖNV)",L1376),Adat!$E:$E)</f>
        <v>0</v>
      </c>
      <c r="I1392" s="72">
        <f>SUMIF(Adat!$AJ:$AJ,CONCATENATE(Info!$D$5,"057","(ÁIG)",L1376),Adat!$E:$E)</f>
        <v>0</v>
      </c>
    </row>
    <row r="1393" spans="2:18" x14ac:dyDescent="0.25">
      <c r="B1393" s="160">
        <v>15</v>
      </c>
      <c r="C1393" s="305" t="s">
        <v>12</v>
      </c>
      <c r="D1393" s="317" t="s">
        <v>1449</v>
      </c>
      <c r="E1393" s="72">
        <v>0</v>
      </c>
      <c r="F1393" s="72">
        <f>SUM(G1393:I1393)</f>
        <v>0</v>
      </c>
      <c r="G1393" s="72">
        <v>0</v>
      </c>
      <c r="H1393" s="72">
        <v>0</v>
      </c>
      <c r="I1393" s="72">
        <v>0</v>
      </c>
    </row>
    <row r="1394" spans="2:18" x14ac:dyDescent="0.25">
      <c r="B1394" s="160">
        <v>16</v>
      </c>
      <c r="C1394" s="305" t="s">
        <v>15</v>
      </c>
      <c r="D1394" s="317" t="s">
        <v>324</v>
      </c>
      <c r="E1394" s="72">
        <f>SUMIF(Adat!$AI:$AI,CONCATENATE(61,Info!$D$5,"058",L1376),Adat!$E:$E)</f>
        <v>0</v>
      </c>
      <c r="F1394" s="72">
        <f>SUMIF(Adat!$AI:$AI,CONCATENATE(60,Info!$D$5,"058",L1376),Adat!$E:$E)+E1394</f>
        <v>0</v>
      </c>
      <c r="G1394" s="72">
        <f>SUMIF(Adat!$AJ:$AJ,CONCATENATE(Info!$D$5,"058","(KÖT)",L1376),Adat!$E:$E)</f>
        <v>0</v>
      </c>
      <c r="H1394" s="72">
        <f>SUMIF(Adat!$AJ:$AJ,CONCATENATE(Info!$D$5,"058","(ÖNV)",L1376),Adat!$E:$E)</f>
        <v>0</v>
      </c>
      <c r="I1394" s="72">
        <f>SUMIF(Adat!$AJ:$AJ,CONCATENATE(Info!$D$5,"058","(ÁIG)",L1376),Adat!$E:$E)</f>
        <v>0</v>
      </c>
    </row>
    <row r="1395" spans="2:18" x14ac:dyDescent="0.25">
      <c r="B1395" s="160">
        <v>17</v>
      </c>
      <c r="C1395" s="78" t="s">
        <v>364</v>
      </c>
      <c r="D1395" s="86" t="s">
        <v>402</v>
      </c>
      <c r="E1395" s="71">
        <f>+E1380+E1389</f>
        <v>0</v>
      </c>
      <c r="F1395" s="71">
        <f>+F1380+F1389</f>
        <v>0</v>
      </c>
      <c r="G1395" s="71">
        <f>+G1380+G1389</f>
        <v>0</v>
      </c>
      <c r="H1395" s="71">
        <f>+H1380+H1389</f>
        <v>0</v>
      </c>
      <c r="I1395" s="71">
        <f>+I1380+I1389</f>
        <v>0</v>
      </c>
    </row>
    <row r="1396" spans="2:18" x14ac:dyDescent="0.25">
      <c r="B1396" s="160">
        <v>18</v>
      </c>
      <c r="C1396" s="78" t="s">
        <v>403</v>
      </c>
      <c r="D1396" s="86" t="s">
        <v>1450</v>
      </c>
      <c r="E1396" s="71">
        <f>+E1397+E1398+E1399</f>
        <v>0</v>
      </c>
      <c r="F1396" s="71">
        <f>+F1397+F1398+F1399</f>
        <v>0</v>
      </c>
      <c r="G1396" s="71">
        <f>+G1397+G1398+G1399</f>
        <v>0</v>
      </c>
      <c r="H1396" s="71">
        <f>+H1397+H1398+H1399</f>
        <v>0</v>
      </c>
      <c r="I1396" s="71">
        <f>+I1397+I1398+I1399</f>
        <v>0</v>
      </c>
    </row>
    <row r="1397" spans="2:18" s="42" customFormat="1" x14ac:dyDescent="0.25">
      <c r="B1397" s="160">
        <v>19</v>
      </c>
      <c r="C1397" s="305" t="s">
        <v>1451</v>
      </c>
      <c r="D1397" s="161" t="s">
        <v>490</v>
      </c>
      <c r="E1397" s="72">
        <f>SUMIF(Adat!$AG:$AG,CONCATENATE(61,Info!$D$5,"0591111",L1376),Adat!$E:$E)</f>
        <v>0</v>
      </c>
      <c r="F1397" s="72">
        <f>SUMIF(Adat!$AG:$AG,CONCATENATE(60,Info!$D$5,"0591111",L1376),Adat!$E:$E)+E1397</f>
        <v>0</v>
      </c>
      <c r="G1397" s="72">
        <f>SUMIF(Adat!$AH:$AH,CONCATENATE(Info!$D$5,"(KÖT)","0591111",L1376),Adat!$E:$E)</f>
        <v>0</v>
      </c>
      <c r="H1397" s="72">
        <f>SUMIF(Adat!$AH:$AH,CONCATENATE(Info!$D$5,"(ÖNV)","0591111",L1376),Adat!$E:$E)</f>
        <v>0</v>
      </c>
      <c r="I1397" s="72">
        <f>SUMIF(Adat!$AH:$AH,CONCATENATE(Info!$D$5,"(ÁIG)","0591111",L1376),Adat!$E:$E)</f>
        <v>0</v>
      </c>
    </row>
    <row r="1398" spans="2:18" x14ac:dyDescent="0.25">
      <c r="B1398" s="160">
        <v>20</v>
      </c>
      <c r="C1398" s="305" t="s">
        <v>1453</v>
      </c>
      <c r="D1398" s="161" t="s">
        <v>406</v>
      </c>
      <c r="E1398" s="72">
        <f>SUMIF(Adat!$AG:$AG,CONCATENATE(61,Info!$D$5,"0591121",L1376),Adat!$E:$E)</f>
        <v>0</v>
      </c>
      <c r="F1398" s="72">
        <f>SUMIF(Adat!$AG:$AG,CONCATENATE(60,Info!$D$5,"0591121",L1376),Adat!$E:$E)+E1398</f>
        <v>0</v>
      </c>
      <c r="G1398" s="72">
        <f>SUMIF(Adat!$AH:$AH,CONCATENATE(Info!$D$5,"(KÖT)","0591121",L1376),Adat!$E:$E)</f>
        <v>0</v>
      </c>
      <c r="H1398" s="72">
        <f>SUMIF(Adat!$AH:$AH,CONCATENATE(Info!$D$5,"(ÖNV)","0591121",L1376),Adat!$E:$E)</f>
        <v>0</v>
      </c>
      <c r="I1398" s="72">
        <f>SUMIF(Adat!$AH:$AH,CONCATENATE(Info!$D$5,"(ÁIG)","0591121",L1376),Adat!$E:$E)</f>
        <v>0</v>
      </c>
    </row>
    <row r="1399" spans="2:18" x14ac:dyDescent="0.25">
      <c r="B1399" s="160">
        <v>21</v>
      </c>
      <c r="C1399" s="305" t="s">
        <v>1455</v>
      </c>
      <c r="D1399" s="161" t="s">
        <v>491</v>
      </c>
      <c r="E1399" s="72">
        <f>SUMIF(Adat!$AG:$AG,CONCATENATE(61,Info!$D$5,"0591131",L1376),Adat!$E:$E)</f>
        <v>0</v>
      </c>
      <c r="F1399" s="72">
        <f>SUMIF(Adat!$AG:$AG,CONCATENATE(60,Info!$D$5,"0591131",L1376),Adat!$E:$E)+E1399</f>
        <v>0</v>
      </c>
      <c r="G1399" s="72">
        <f>SUMIF(Adat!$AH:$AH,CONCATENATE(Info!$D$5,"(KÖT)","0591131",L1376),Adat!$E:$E)</f>
        <v>0</v>
      </c>
      <c r="H1399" s="72">
        <f>SUMIF(Adat!$AH:$AH,CONCATENATE(Info!$D$5,"(ÖNV)","0591131",L1376),Adat!$E:$E)</f>
        <v>0</v>
      </c>
      <c r="I1399" s="72">
        <f>SUMIF(Adat!$AH:$AH,CONCATENATE(Info!$D$5,"(ÁIG)","0591131",L1376),Adat!$E:$E)</f>
        <v>0</v>
      </c>
    </row>
    <row r="1400" spans="2:18" x14ac:dyDescent="0.25">
      <c r="B1400" s="160">
        <v>22</v>
      </c>
      <c r="C1400" s="78" t="s">
        <v>372</v>
      </c>
      <c r="D1400" s="86" t="s">
        <v>1457</v>
      </c>
      <c r="E1400" s="71">
        <f>+E1401+E1402+E1403+E1404+E1405+E1406</f>
        <v>0</v>
      </c>
      <c r="F1400" s="71">
        <f>+F1401+F1402+F1403+F1404+F1405+F1406</f>
        <v>0</v>
      </c>
      <c r="G1400" s="71">
        <f>+G1401+G1402+G1403+G1404+G1405+G1406</f>
        <v>0</v>
      </c>
      <c r="H1400" s="71">
        <f>+H1401+H1402+H1403+H1404+H1405+H1406</f>
        <v>0</v>
      </c>
      <c r="I1400" s="71">
        <f>+I1401+I1402+I1403+I1404+I1405+I1406</f>
        <v>0</v>
      </c>
    </row>
    <row r="1401" spans="2:18" x14ac:dyDescent="0.25">
      <c r="B1401" s="160">
        <v>23</v>
      </c>
      <c r="C1401" s="305" t="s">
        <v>1458</v>
      </c>
      <c r="D1401" s="161" t="s">
        <v>409</v>
      </c>
      <c r="E1401" s="72">
        <f>SUMIF(Adat!$AG:$AG,CONCATENATE(61,Info!$D$5,"0591211",L1376),Adat!$E:$E)</f>
        <v>0</v>
      </c>
      <c r="F1401" s="72">
        <f>SUMIF(Adat!$AG:$AG,CONCATENATE(60,Info!$D$5,"0591211",L1376),Adat!$E:$E)+E1401</f>
        <v>0</v>
      </c>
      <c r="G1401" s="72">
        <f>SUMIF(Adat!$AH:$AH,CONCATENATE(Info!$D$5,"(KÖT)","0591211",L1376),Adat!$E:$E)</f>
        <v>0</v>
      </c>
      <c r="H1401" s="72">
        <f>SUMIF(Adat!$AH:$AH,CONCATENATE(Info!$D$5,"(ÖNV)","0591211",L1376),Adat!$E:$E)</f>
        <v>0</v>
      </c>
      <c r="I1401" s="72">
        <f>SUMIF(Adat!$AH:$AH,CONCATENATE(Info!$D$5,"(ÁIG)","0591211",L1376),Adat!$E:$E)</f>
        <v>0</v>
      </c>
    </row>
    <row r="1402" spans="2:18" x14ac:dyDescent="0.25">
      <c r="B1402" s="160">
        <v>24</v>
      </c>
      <c r="C1402" s="305" t="s">
        <v>1460</v>
      </c>
      <c r="D1402" s="161" t="s">
        <v>410</v>
      </c>
      <c r="E1402" s="72">
        <f>SUMIF(Adat!$AG:$AG,CONCATENATE(61,Info!$D$5,"0591221",L1376),Adat!$E:$E)</f>
        <v>0</v>
      </c>
      <c r="F1402" s="72">
        <f>SUMIF(Adat!$AG:$AG,CONCATENATE(60,Info!$D$5,"0591221",L1376),Adat!$E:$E)+E1402</f>
        <v>0</v>
      </c>
      <c r="G1402" s="72">
        <f>SUMIF(Adat!$AH:$AH,CONCATENATE(Info!$D$5,"(KÖT)","0591221",L1376),Adat!$E:$E)</f>
        <v>0</v>
      </c>
      <c r="H1402" s="72">
        <f>SUMIF(Adat!$AH:$AH,CONCATENATE(Info!$D$5,"(ÖNV)","0591221",L1376),Adat!$E:$E)</f>
        <v>0</v>
      </c>
      <c r="I1402" s="72">
        <f>SUMIF(Adat!$AH:$AH,CONCATENATE(Info!$D$5,"(ÁIG)","0591221",L1376),Adat!$E:$E)</f>
        <v>0</v>
      </c>
    </row>
    <row r="1403" spans="2:18" x14ac:dyDescent="0.25">
      <c r="B1403" s="160">
        <v>25</v>
      </c>
      <c r="C1403" s="305" t="s">
        <v>1462</v>
      </c>
      <c r="D1403" s="161" t="s">
        <v>411</v>
      </c>
      <c r="E1403" s="72">
        <f>SUMIF(Adat!$AG:$AG,CONCATENATE(61,Info!$D$5,"0591231",L1376),Adat!$E:$E)</f>
        <v>0</v>
      </c>
      <c r="F1403" s="72">
        <f>SUMIF(Adat!$AG:$AG,CONCATENATE(60,Info!$D$5,"0591231",L1376),Adat!$E:$E)+E1403</f>
        <v>0</v>
      </c>
      <c r="G1403" s="72">
        <f>SUMIF(Adat!$AH:$AH,CONCATENATE(Info!$D$5,"(KÖT)","0591231",L1376),Adat!$E:$E)</f>
        <v>0</v>
      </c>
      <c r="H1403" s="72">
        <f>SUMIF(Adat!$AH:$AH,CONCATENATE(Info!$D$5,"(ÖNV)","0591231",L1376),Adat!$E:$E)</f>
        <v>0</v>
      </c>
      <c r="I1403" s="72">
        <f>SUMIF(Adat!$AH:$AH,CONCATENATE(Info!$D$5,"(ÁIG)","0591231",L1376),Adat!$E:$E)</f>
        <v>0</v>
      </c>
    </row>
    <row r="1404" spans="2:18" x14ac:dyDescent="0.25">
      <c r="B1404" s="160">
        <v>26</v>
      </c>
      <c r="C1404" s="305" t="s">
        <v>1464</v>
      </c>
      <c r="D1404" s="161" t="s">
        <v>492</v>
      </c>
      <c r="E1404" s="72">
        <f>SUMIF(Adat!$AG:$AG,CONCATENATE(61,Info!$D$5,"0591241",L1376),Adat!$E:$E)</f>
        <v>0</v>
      </c>
      <c r="F1404" s="72">
        <f>SUMIF(Adat!$AG:$AG,CONCATENATE(60,Info!$D$5,"0591241",L1376),Adat!$E:$E)+E1404</f>
        <v>0</v>
      </c>
      <c r="G1404" s="72">
        <f>SUMIF(Adat!$AH:$AH,CONCATENATE(Info!$D$5,"(KÖT)","0591241",L1376),Adat!$E:$E)</f>
        <v>0</v>
      </c>
      <c r="H1404" s="72">
        <f>SUMIF(Adat!$AH:$AH,CONCATENATE(Info!$D$5,"(ÖNV)","0591241",L1376),Adat!$E:$E)</f>
        <v>0</v>
      </c>
      <c r="I1404" s="72">
        <f>SUMIF(Adat!$AH:$AH,CONCATENATE(Info!$D$5,"(ÁIG)","0591241",L1376),Adat!$E:$E)</f>
        <v>0</v>
      </c>
    </row>
    <row r="1405" spans="2:18" x14ac:dyDescent="0.25">
      <c r="B1405" s="160">
        <v>27</v>
      </c>
      <c r="C1405" s="305" t="s">
        <v>1466</v>
      </c>
      <c r="D1405" s="161" t="s">
        <v>413</v>
      </c>
      <c r="E1405" s="72">
        <f>SUMIF(Adat!$AG:$AG,CONCATENATE(61,Info!$D$5,"0591251",L1376),Adat!$E:$E)</f>
        <v>0</v>
      </c>
      <c r="F1405" s="72">
        <f>SUMIF(Adat!$AG:$AG,CONCATENATE(60,Info!$D$5,"0591251",L1376),Adat!$E:$E)+E1405</f>
        <v>0</v>
      </c>
      <c r="G1405" s="72">
        <f>SUMIF(Adat!$AH:$AH,CONCATENATE(Info!$D$5,"(KÖT)","0591251",L1376),Adat!$E:$E)</f>
        <v>0</v>
      </c>
      <c r="H1405" s="72">
        <f>SUMIF(Adat!$AH:$AH,CONCATENATE(Info!$D$5,"(ÖNV)","0591251",L1376),Adat!$E:$E)</f>
        <v>0</v>
      </c>
      <c r="I1405" s="72">
        <f>SUMIF(Adat!$AH:$AH,CONCATENATE(Info!$D$5,"(ÁIG)","0591251",L1376),Adat!$E:$E)</f>
        <v>0</v>
      </c>
    </row>
    <row r="1406" spans="2:18" s="42" customFormat="1" x14ac:dyDescent="0.25">
      <c r="B1406" s="160">
        <v>28</v>
      </c>
      <c r="C1406" s="305" t="s">
        <v>1468</v>
      </c>
      <c r="D1406" s="161" t="s">
        <v>414</v>
      </c>
      <c r="E1406" s="72">
        <f>SUMIF(Adat!$AG:$AG,CONCATENATE(61,Info!$D$5,"0591261",L1376),Adat!$E:$E)</f>
        <v>0</v>
      </c>
      <c r="F1406" s="72">
        <f>SUMIF(Adat!$AG:$AG,CONCATENATE(60,Info!$D$5,"0591261",L1376),Adat!$E:$E)+E1406</f>
        <v>0</v>
      </c>
      <c r="G1406" s="72">
        <f>SUMIF(Adat!$AH:$AH,CONCATENATE(Info!$D$5,"(KÖT)","0591261",L1376),Adat!$E:$E)</f>
        <v>0</v>
      </c>
      <c r="H1406" s="72">
        <f>SUMIF(Adat!$AH:$AH,CONCATENATE(Info!$D$5,"(ÖNV)","0591261",L1376),Adat!$E:$E)</f>
        <v>0</v>
      </c>
      <c r="I1406" s="72">
        <f>SUMIF(Adat!$AH:$AH,CONCATENATE(Info!$D$5,"(ÁIG)","0591261",L1376),Adat!$E:$E)</f>
        <v>0</v>
      </c>
    </row>
    <row r="1407" spans="2:18" x14ac:dyDescent="0.25">
      <c r="B1407" s="160">
        <v>29</v>
      </c>
      <c r="C1407" s="78" t="s">
        <v>379</v>
      </c>
      <c r="D1407" s="86" t="s">
        <v>1470</v>
      </c>
      <c r="E1407" s="71">
        <f>+E1408+E1409+E1411+E1412+E1410</f>
        <v>0</v>
      </c>
      <c r="F1407" s="71">
        <f>+F1408+F1409+F1411+F1412+F1410</f>
        <v>0</v>
      </c>
      <c r="G1407" s="71">
        <f>+G1408+G1409+G1411+G1412+G1410</f>
        <v>0</v>
      </c>
      <c r="H1407" s="71">
        <f>+H1408+H1409+H1411+H1412+H1410</f>
        <v>0</v>
      </c>
      <c r="I1407" s="71">
        <f>+I1408+I1409+I1411+I1412+I1410</f>
        <v>0</v>
      </c>
      <c r="R1407" s="43"/>
    </row>
    <row r="1408" spans="2:18" x14ac:dyDescent="0.25">
      <c r="B1408" s="160">
        <v>30</v>
      </c>
      <c r="C1408" s="305" t="s">
        <v>1471</v>
      </c>
      <c r="D1408" s="161" t="s">
        <v>416</v>
      </c>
      <c r="E1408" s="72">
        <f>SUMIF(Adat!$AG:$AG,CONCATENATE(61,Info!$D$5,"059131",L1376),Adat!$E:$E)</f>
        <v>0</v>
      </c>
      <c r="F1408" s="72">
        <f>SUMIF(Adat!$AG:$AG,CONCATENATE(60,Info!$D$5,"059131",L1376),Adat!$E:$E)+E1408</f>
        <v>0</v>
      </c>
      <c r="G1408" s="72">
        <f>SUMIF(Adat!$AH:$AH,CONCATENATE(Info!$D$5,"(KÖT)","059131",L1376),Adat!$E:$E)</f>
        <v>0</v>
      </c>
      <c r="H1408" s="72">
        <f>SUMIF(Adat!$AH:$AH,CONCATENATE(Info!$D$5,"(ÖNV)","059131",L1376),Adat!$E:$E)</f>
        <v>0</v>
      </c>
      <c r="I1408" s="72">
        <f>SUMIF(Adat!$AH:$AH,CONCATENATE(Info!$D$5,"(ÁIG)","059131",L1376),Adat!$E:$E)</f>
        <v>0</v>
      </c>
    </row>
    <row r="1409" spans="2:9" x14ac:dyDescent="0.25">
      <c r="B1409" s="160">
        <v>31</v>
      </c>
      <c r="C1409" s="305" t="s">
        <v>1287</v>
      </c>
      <c r="D1409" s="161" t="s">
        <v>417</v>
      </c>
      <c r="E1409" s="72">
        <f>SUMIF(Adat!$AG:$AG,CONCATENATE(61,Info!$D$5,"059141",L1376),Adat!$E:$E)</f>
        <v>0</v>
      </c>
      <c r="F1409" s="72">
        <f>SUMIF(Adat!$AG:$AG,CONCATENATE(60,Info!$D$5,"059141",L1376),Adat!$E:$E)+E1409</f>
        <v>0</v>
      </c>
      <c r="G1409" s="72">
        <f>SUMIF(Adat!$AH:$AH,CONCATENATE(Info!$D$5,"(KÖT)","059141",L1376),Adat!$E:$E)</f>
        <v>0</v>
      </c>
      <c r="H1409" s="72">
        <f>SUMIF(Adat!$AH:$AH,CONCATENATE(Info!$D$5,"(ÖNV)","059141",L1376),Adat!$E:$E)</f>
        <v>0</v>
      </c>
      <c r="I1409" s="72">
        <f>SUMIF(Adat!$AH:$AH,CONCATENATE(Info!$D$5,"(ÁIG)","059141",L1376),Adat!$E:$E)</f>
        <v>0</v>
      </c>
    </row>
    <row r="1410" spans="2:9" x14ac:dyDescent="0.25">
      <c r="B1410" s="160">
        <v>32</v>
      </c>
      <c r="C1410" s="316" t="s">
        <v>1253</v>
      </c>
      <c r="D1410" s="161" t="s">
        <v>493</v>
      </c>
      <c r="E1410" s="72">
        <f>SUMIF(Adat!$AG:$AG,CONCATENATE(61,Info!$D$5,"059151",L1376),Adat!$E:$E)</f>
        <v>0</v>
      </c>
      <c r="F1410" s="72">
        <f>SUMIF(Adat!$AG:$AG,CONCATENATE(60,Info!$D$5,"059151",L1376),Adat!$E:$E)+E1410</f>
        <v>0</v>
      </c>
      <c r="G1410" s="72">
        <f>SUMIF(Adat!$AH:$AH,CONCATENATE(Info!$D$5,"(KÖT)","059151",L1376),Adat!$E:$E)</f>
        <v>0</v>
      </c>
      <c r="H1410" s="72">
        <f>SUMIF(Adat!$AH:$AH,CONCATENATE(Info!$D$5,"(ÖNV)","059151",L1376),Adat!$E:$E)</f>
        <v>0</v>
      </c>
      <c r="I1410" s="72">
        <f>SUMIF(Adat!$AH:$AH,CONCATENATE(Info!$D$5,"(ÁIG)","059151",L1376),Adat!$E:$E)</f>
        <v>0</v>
      </c>
    </row>
    <row r="1411" spans="2:9" s="42" customFormat="1" x14ac:dyDescent="0.25">
      <c r="B1411" s="160">
        <v>33</v>
      </c>
      <c r="C1411" s="305" t="s">
        <v>1474</v>
      </c>
      <c r="D1411" s="161" t="s">
        <v>418</v>
      </c>
      <c r="E1411" s="72">
        <f>SUMIF(Adat!$AG:$AG,CONCATENATE(61,Info!$D$5,"059161",L1376),Adat!$E:$E)</f>
        <v>0</v>
      </c>
      <c r="F1411" s="72">
        <f>SUMIF(Adat!$AG:$AG,CONCATENATE(60,Info!$D$5,"059161",L1376),Adat!$E:$E)+E1411</f>
        <v>0</v>
      </c>
      <c r="G1411" s="72">
        <f>SUMIF(Adat!$AH:$AH,CONCATENATE(Info!$D$5,"(KÖT)","059161",L1376),Adat!$E:$E)</f>
        <v>0</v>
      </c>
      <c r="H1411" s="72">
        <f>SUMIF(Adat!$AH:$AH,CONCATENATE(Info!$D$5,"(ÖNV)","059161",L1376),Adat!$E:$E)</f>
        <v>0</v>
      </c>
      <c r="I1411" s="72">
        <f>SUMIF(Adat!$AH:$AH,CONCATENATE(Info!$D$5,"(ÁIG)","059161",L1376),Adat!$E:$E)</f>
        <v>0</v>
      </c>
    </row>
    <row r="1412" spans="2:9" s="42" customFormat="1" x14ac:dyDescent="0.25">
      <c r="B1412" s="160">
        <v>34</v>
      </c>
      <c r="C1412" s="305" t="s">
        <v>1476</v>
      </c>
      <c r="D1412" s="161" t="s">
        <v>419</v>
      </c>
      <c r="E1412" s="72">
        <f>SUMIF(Adat!$AG:$AG,CONCATENATE(61,Info!$D$5,"059171",L1376),Adat!$E:$E)</f>
        <v>0</v>
      </c>
      <c r="F1412" s="72">
        <f>SUMIF(Adat!$AG:$AG,CONCATENATE(60,Info!$D$5,"059171",L1376),Adat!$E:$E)+E1412</f>
        <v>0</v>
      </c>
      <c r="G1412" s="72">
        <f>SUMIF(Adat!$AH:$AH,CONCATENATE(Info!$D$5,"(KÖT)","059171",L1376),Adat!$E:$E)</f>
        <v>0</v>
      </c>
      <c r="H1412" s="72">
        <f>SUMIF(Adat!$AH:$AH,CONCATENATE(Info!$D$5,"(ÖNV)","059171",L1376),Adat!$E:$E)</f>
        <v>0</v>
      </c>
      <c r="I1412" s="72">
        <f>SUMIF(Adat!$AH:$AH,CONCATENATE(Info!$D$5,"(ÁIG)","059171",L1376),Adat!$E:$E)</f>
        <v>0</v>
      </c>
    </row>
    <row r="1413" spans="2:9" s="42" customFormat="1" x14ac:dyDescent="0.25">
      <c r="B1413" s="160">
        <v>35</v>
      </c>
      <c r="C1413" s="78" t="s">
        <v>420</v>
      </c>
      <c r="D1413" s="86" t="s">
        <v>1478</v>
      </c>
      <c r="E1413" s="73">
        <f>+E1414+E1415+E1416+E1417+E1418</f>
        <v>0</v>
      </c>
      <c r="F1413" s="73">
        <f>+F1414+F1415+F1416+F1417+F1418</f>
        <v>0</v>
      </c>
      <c r="G1413" s="73">
        <f>+G1414+G1415+G1416+G1417+G1418</f>
        <v>0</v>
      </c>
      <c r="H1413" s="73">
        <f>+H1414+H1415+H1416+H1417+H1418</f>
        <v>0</v>
      </c>
      <c r="I1413" s="73">
        <f>+I1414+I1415+I1416+I1417+I1418</f>
        <v>0</v>
      </c>
    </row>
    <row r="1414" spans="2:9" s="42" customFormat="1" x14ac:dyDescent="0.25">
      <c r="B1414" s="160">
        <v>36</v>
      </c>
      <c r="C1414" s="305" t="s">
        <v>1479</v>
      </c>
      <c r="D1414" s="161" t="s">
        <v>422</v>
      </c>
      <c r="E1414" s="72">
        <f>SUMIF(Adat!$AG:$AG,CONCATENATE(61,Info!$D$5,"059211",L1376),Adat!$E:$E)</f>
        <v>0</v>
      </c>
      <c r="F1414" s="72">
        <f>SUMIF(Adat!$AG:$AG,CONCATENATE(60,Info!$D$5,"059211",L1376),Adat!$E:$E)+E1414</f>
        <v>0</v>
      </c>
      <c r="G1414" s="72">
        <f>SUMIF(Adat!$AH:$AH,CONCATENATE(Info!$D$5,"(KÖT)","059211",L1376),Adat!$E:$E)</f>
        <v>0</v>
      </c>
      <c r="H1414" s="72">
        <f>SUMIF(Adat!$AH:$AH,CONCATENATE(Info!$D$5,"(ÖNV)","059211",L1376),Adat!$E:$E)</f>
        <v>0</v>
      </c>
      <c r="I1414" s="72">
        <f>SUMIF(Adat!$AH:$AH,CONCATENATE(Info!$D$5,"(ÁIG)","059211",L1376),Adat!$E:$E)</f>
        <v>0</v>
      </c>
    </row>
    <row r="1415" spans="2:9" s="42" customFormat="1" x14ac:dyDescent="0.25">
      <c r="B1415" s="160">
        <v>37</v>
      </c>
      <c r="C1415" s="305" t="s">
        <v>1481</v>
      </c>
      <c r="D1415" s="161" t="s">
        <v>423</v>
      </c>
      <c r="E1415" s="72">
        <f>SUMIF(Adat!$AG:$AG,CONCATENATE(61,Info!$D$5,"059221",L1376),Adat!$E:$E)</f>
        <v>0</v>
      </c>
      <c r="F1415" s="72">
        <f>SUMIF(Adat!$AG:$AG,CONCATENATE(60,Info!$D$5,"059221",L1376),Adat!$E:$E)+E1415</f>
        <v>0</v>
      </c>
      <c r="G1415" s="72">
        <f>SUMIF(Adat!$AH:$AH,CONCATENATE(Info!$D$5,"(KÖT)","059221",L1376),Adat!$E:$E)</f>
        <v>0</v>
      </c>
      <c r="H1415" s="72">
        <f>SUMIF(Adat!$AH:$AH,CONCATENATE(Info!$D$5,"(ÖNV)","059221",L1376),Adat!$E:$E)</f>
        <v>0</v>
      </c>
      <c r="I1415" s="72">
        <f>SUMIF(Adat!$AH:$AH,CONCATENATE(Info!$D$5,"(ÁIG)","059221",L1376),Adat!$E:$E)</f>
        <v>0</v>
      </c>
    </row>
    <row r="1416" spans="2:9" s="42" customFormat="1" x14ac:dyDescent="0.25">
      <c r="B1416" s="160">
        <v>38</v>
      </c>
      <c r="C1416" s="305" t="s">
        <v>1483</v>
      </c>
      <c r="D1416" s="161" t="s">
        <v>424</v>
      </c>
      <c r="E1416" s="72">
        <f>SUMIF(Adat!$AG:$AG,CONCATENATE(61,Info!$D$5,"059231",L1376),Adat!$E:$E)</f>
        <v>0</v>
      </c>
      <c r="F1416" s="72">
        <f>SUMIF(Adat!$AG:$AG,CONCATENATE(60,Info!$D$5,"059231",L1376),Adat!$E:$E)+E1416</f>
        <v>0</v>
      </c>
      <c r="G1416" s="72">
        <f>SUMIF(Adat!$AH:$AH,CONCATENATE(Info!$D$5,"(KÖT)","059231",L1376),Adat!$E:$E)</f>
        <v>0</v>
      </c>
      <c r="H1416" s="72">
        <f>SUMIF(Adat!$AH:$AH,CONCATENATE(Info!$D$5,"(ÖNV)","059231",L1376),Adat!$E:$E)</f>
        <v>0</v>
      </c>
      <c r="I1416" s="72">
        <f>SUMIF(Adat!$AH:$AH,CONCATENATE(Info!$D$5,"(ÁIG)","059231",L1376),Adat!$E:$E)</f>
        <v>0</v>
      </c>
    </row>
    <row r="1417" spans="2:9" s="42" customFormat="1" x14ac:dyDescent="0.25">
      <c r="B1417" s="160">
        <v>39</v>
      </c>
      <c r="C1417" s="305" t="s">
        <v>1485</v>
      </c>
      <c r="D1417" s="161" t="s">
        <v>494</v>
      </c>
      <c r="E1417" s="72">
        <f>SUMIF(Adat!$AG:$AG,CONCATENATE(61,Info!$D$5,"059241",L1376),Adat!$E:$E)</f>
        <v>0</v>
      </c>
      <c r="F1417" s="72">
        <f>SUMIF(Adat!$AG:$AG,CONCATENATE(60,Info!$D$5,"059241",L1376),Adat!$E:$E)+E1417</f>
        <v>0</v>
      </c>
      <c r="G1417" s="72">
        <f>SUMIF(Adat!$AH:$AH,CONCATENATE(Info!$D$5,"(KÖT)","059241",L1376),Adat!$E:$E)</f>
        <v>0</v>
      </c>
      <c r="H1417" s="72">
        <f>SUMIF(Adat!$AH:$AH,CONCATENATE(Info!$D$5,"(ÖNV)","059241",L1376),Adat!$E:$E)</f>
        <v>0</v>
      </c>
      <c r="I1417" s="72">
        <f>SUMIF(Adat!$AH:$AH,CONCATENATE(Info!$D$5,"(ÁIG)","059241",L1376),Adat!$E:$E)</f>
        <v>0</v>
      </c>
    </row>
    <row r="1418" spans="2:9" x14ac:dyDescent="0.25">
      <c r="B1418" s="160">
        <v>40</v>
      </c>
      <c r="C1418" s="305" t="s">
        <v>1487</v>
      </c>
      <c r="D1418" s="161" t="s">
        <v>427</v>
      </c>
      <c r="E1418" s="72">
        <f>SUMIF(Adat!$AG:$AG,CONCATENATE(61,Info!$D$5,"059251",L1376),Adat!$E:$E)</f>
        <v>0</v>
      </c>
      <c r="F1418" s="72">
        <f>SUMIF(Adat!$AG:$AG,CONCATENATE(60,Info!$D$5,"059251",L1376),Adat!$E:$E)+E1418</f>
        <v>0</v>
      </c>
      <c r="G1418" s="72">
        <f>SUMIF(Adat!$AH:$AH,CONCATENATE(Info!$D$5,"(KÖT)","059251",L1376),Adat!$E:$E)</f>
        <v>0</v>
      </c>
      <c r="H1418" s="72">
        <f>SUMIF(Adat!$AH:$AH,CONCATENATE(Info!$D$5,"(ÖNV)","059251",L1376),Adat!$E:$E)</f>
        <v>0</v>
      </c>
      <c r="I1418" s="72">
        <f>SUMIF(Adat!$AH:$AH,CONCATENATE(Info!$D$5,"(ÁIG)","059251",L1376),Adat!$E:$E)</f>
        <v>0</v>
      </c>
    </row>
    <row r="1419" spans="2:9" x14ac:dyDescent="0.25">
      <c r="B1419" s="160">
        <v>41</v>
      </c>
      <c r="C1419" s="162" t="s">
        <v>390</v>
      </c>
      <c r="D1419" s="86" t="s">
        <v>428</v>
      </c>
      <c r="E1419" s="72">
        <f>SUMIF(Adat!$AG:$AG,CONCATENATE(61,Info!$D$5,"05931",L1376),Adat!$E:$E)</f>
        <v>0</v>
      </c>
      <c r="F1419" s="72">
        <f>SUMIF(Adat!$AG:$AG,CONCATENATE(60,Info!$D$5,"05931",L1376),Adat!$E:$E)+E1419</f>
        <v>0</v>
      </c>
      <c r="G1419" s="72">
        <f>SUMIF(Adat!$AH:$AH,CONCATENATE(Info!$D$5,"(KÖT)","05931",L1376),Adat!$E:$E)</f>
        <v>0</v>
      </c>
      <c r="H1419" s="72">
        <f>SUMIF(Adat!$AH:$AH,CONCATENATE(Info!$D$5,"(ÖNV)","05931",L1376),Adat!$E:$E)</f>
        <v>0</v>
      </c>
      <c r="I1419" s="72">
        <f>SUMIF(Adat!$AH:$AH,CONCATENATE(Info!$D$5,"(ÁIG)","05931",L1376),Adat!$E:$E)</f>
        <v>0</v>
      </c>
    </row>
    <row r="1420" spans="2:9" x14ac:dyDescent="0.25">
      <c r="B1420" s="160">
        <v>42</v>
      </c>
      <c r="C1420" s="162" t="s">
        <v>429</v>
      </c>
      <c r="D1420" s="86" t="s">
        <v>430</v>
      </c>
      <c r="E1420" s="72">
        <f>SUMIF(Adat!$AG:$AG,CONCATENATE(61,Info!$D$5,"05941",L1376),Adat!$E:$E)</f>
        <v>0</v>
      </c>
      <c r="F1420" s="72">
        <f>SUMIF(Adat!$AG:$AG,CONCATENATE(60,Info!$D$5,"05941",L1376),Adat!$E:$E)+E1420</f>
        <v>0</v>
      </c>
      <c r="G1420" s="72">
        <f>SUMIF(Adat!$AH:$AH,CONCATENATE(Info!$D$5,"(KÖT)","05941",L1376),Adat!$E:$E)</f>
        <v>0</v>
      </c>
      <c r="H1420" s="72">
        <f>SUMIF(Adat!$AH:$AH,CONCATENATE(Info!$D$5,"(ÖNV)","05941",L1376),Adat!$E:$E)</f>
        <v>0</v>
      </c>
      <c r="I1420" s="72">
        <f>SUMIF(Adat!$AH:$AH,CONCATENATE(Info!$D$5,"(ÁIG)","05941",L1376),Adat!$E:$E)</f>
        <v>0</v>
      </c>
    </row>
    <row r="1421" spans="2:9" x14ac:dyDescent="0.25">
      <c r="B1421" s="160">
        <v>43</v>
      </c>
      <c r="C1421" s="78" t="s">
        <v>431</v>
      </c>
      <c r="D1421" s="86" t="s">
        <v>432</v>
      </c>
      <c r="E1421" s="74">
        <f>+E1396+E1400+E1407+E1413+E1419+E1420</f>
        <v>0</v>
      </c>
      <c r="F1421" s="74">
        <f>+F1396+F1400+F1407+F1413+F1419+F1420</f>
        <v>0</v>
      </c>
      <c r="G1421" s="74">
        <f>+G1396+G1400+G1407+G1413+G1419+G1420</f>
        <v>0</v>
      </c>
      <c r="H1421" s="74">
        <f>+H1396+H1400+H1407+H1413+H1419+H1420</f>
        <v>0</v>
      </c>
      <c r="I1421" s="74">
        <f>+I1396+I1400+I1407+I1413+I1419+I1420</f>
        <v>0</v>
      </c>
    </row>
    <row r="1422" spans="2:9" x14ac:dyDescent="0.25">
      <c r="B1422" s="160">
        <v>44</v>
      </c>
      <c r="C1422" s="154" t="s">
        <v>433</v>
      </c>
      <c r="D1422" s="159" t="s">
        <v>434</v>
      </c>
      <c r="E1422" s="74">
        <f>+E1395+E1421</f>
        <v>0</v>
      </c>
      <c r="F1422" s="74">
        <f>+F1395+F1421</f>
        <v>0</v>
      </c>
      <c r="G1422" s="74">
        <f>+G1395+G1421</f>
        <v>0</v>
      </c>
      <c r="H1422" s="74">
        <f>+H1395+H1421</f>
        <v>0</v>
      </c>
      <c r="I1422" s="74">
        <f>+I1395+I1421</f>
        <v>0</v>
      </c>
    </row>
    <row r="1423" spans="2:9" s="37" customFormat="1" ht="15.75" x14ac:dyDescent="0.25">
      <c r="C1423" s="529"/>
      <c r="D1423" s="529"/>
      <c r="E1423" s="529"/>
      <c r="F1423" s="200"/>
      <c r="G1423" s="200"/>
      <c r="H1423" s="200"/>
      <c r="I1423" s="200"/>
    </row>
    <row r="1424" spans="2:9" s="38" customFormat="1" ht="15.75" x14ac:dyDescent="0.25">
      <c r="B1424" s="525" t="str">
        <f>PAR!$E$3</f>
        <v>Nagymaros Város Önkormányzata</v>
      </c>
      <c r="C1424" s="525"/>
      <c r="D1424" s="525"/>
      <c r="E1424" s="525"/>
      <c r="F1424" s="525"/>
      <c r="G1424" s="525"/>
      <c r="H1424" s="525"/>
      <c r="I1424" s="525"/>
    </row>
    <row r="1425" spans="2:12" s="38" customFormat="1" ht="15.75" x14ac:dyDescent="0.25">
      <c r="B1425" s="525" t="s">
        <v>2660</v>
      </c>
      <c r="C1425" s="525"/>
      <c r="D1425" s="525"/>
      <c r="E1425" s="525"/>
      <c r="F1425" s="525"/>
      <c r="G1425" s="525"/>
      <c r="H1425" s="525"/>
      <c r="I1425" s="525"/>
    </row>
    <row r="1426" spans="2:12" s="38" customFormat="1" ht="15.75" x14ac:dyDescent="0.25">
      <c r="C1426" s="156"/>
      <c r="E1426" s="140"/>
      <c r="F1426" s="140"/>
      <c r="G1426" s="140"/>
      <c r="H1426" s="140"/>
      <c r="I1426" s="140"/>
    </row>
    <row r="1427" spans="2:12" s="10" customFormat="1" ht="15.75" customHeight="1" x14ac:dyDescent="0.25">
      <c r="B1427" s="201" t="str">
        <f>CONCATENATE("21. Bevételi jogcímek"," - ",L1427," részletező")</f>
        <v>21. Bevételi jogcímek -  részletező</v>
      </c>
      <c r="C1427" s="101"/>
      <c r="D1427" s="101"/>
      <c r="E1427" s="101"/>
      <c r="F1427" s="101"/>
      <c r="G1427" s="198"/>
      <c r="H1427" s="198"/>
      <c r="I1427" s="198"/>
      <c r="L1427" s="384"/>
    </row>
    <row r="1428" spans="2:12" s="38" customFormat="1" ht="15.75" x14ac:dyDescent="0.25">
      <c r="C1428" s="156"/>
      <c r="E1428" s="140"/>
      <c r="F1428" s="140"/>
      <c r="G1428" s="140"/>
      <c r="H1428" s="140"/>
      <c r="I1428" s="140"/>
    </row>
    <row r="1429" spans="2:12" s="40" customFormat="1" x14ac:dyDescent="0.25">
      <c r="B1429" s="77"/>
      <c r="C1429" s="77" t="s">
        <v>350</v>
      </c>
      <c r="D1429" s="77" t="s">
        <v>351</v>
      </c>
      <c r="E1429" s="77" t="s">
        <v>470</v>
      </c>
      <c r="F1429" s="77" t="s">
        <v>471</v>
      </c>
      <c r="G1429" s="77" t="s">
        <v>44</v>
      </c>
      <c r="H1429" s="77" t="s">
        <v>42</v>
      </c>
      <c r="I1429" s="77" t="s">
        <v>511</v>
      </c>
    </row>
    <row r="1430" spans="2:12" ht="38.25" x14ac:dyDescent="0.25">
      <c r="B1430" s="160">
        <v>1</v>
      </c>
      <c r="C1430" s="154" t="s">
        <v>593</v>
      </c>
      <c r="D1430" s="154" t="s">
        <v>488</v>
      </c>
      <c r="E1430" s="163" t="str">
        <f>CONCATENATE(PAR!$H$3," évi
eredeti 
előirányzat")</f>
        <v>2025. évi
eredeti 
előirányzat</v>
      </c>
      <c r="F1430" s="163" t="str">
        <f>CONCATENATE(PAR!$H$3," évi
módosított 
előirányzat")</f>
        <v>2025. évi
módosított 
előirányzat</v>
      </c>
      <c r="G1430" s="69" t="s">
        <v>666</v>
      </c>
      <c r="H1430" s="69" t="s">
        <v>667</v>
      </c>
      <c r="I1430" s="69" t="s">
        <v>668</v>
      </c>
    </row>
    <row r="1431" spans="2:12" s="41" customFormat="1" x14ac:dyDescent="0.25">
      <c r="B1431" s="160">
        <v>2</v>
      </c>
      <c r="C1431" s="78" t="s">
        <v>1324</v>
      </c>
      <c r="D1431" s="79" t="s">
        <v>562</v>
      </c>
      <c r="E1431" s="71">
        <f>SUM(E1432:E1438)</f>
        <v>0</v>
      </c>
      <c r="F1431" s="71">
        <f t="shared" ref="F1431:I1431" si="150">SUM(F1432:F1438)</f>
        <v>0</v>
      </c>
      <c r="G1431" s="71">
        <f t="shared" si="150"/>
        <v>0</v>
      </c>
      <c r="H1431" s="71">
        <f t="shared" si="150"/>
        <v>0</v>
      </c>
      <c r="I1431" s="71">
        <f t="shared" si="150"/>
        <v>0</v>
      </c>
    </row>
    <row r="1432" spans="2:12" s="42" customFormat="1" x14ac:dyDescent="0.2">
      <c r="B1432" s="160">
        <v>3</v>
      </c>
      <c r="C1432" s="305" t="s">
        <v>1288</v>
      </c>
      <c r="D1432" s="82" t="s">
        <v>1325</v>
      </c>
      <c r="E1432" s="72">
        <f>SUMIF(Adat!$AG:$AG,CONCATENATE(61,Info!$D$5,"091111",L1427),Adat!$E:$E)*-1</f>
        <v>0</v>
      </c>
      <c r="F1432" s="72">
        <f>SUMIF(Adat!$AG:$AG,CONCATENATE(60,Info!$D$5,"091111",L1427),Adat!$E:$E)*(-1)+E1432</f>
        <v>0</v>
      </c>
      <c r="G1432" s="72">
        <f>SUMIF(Adat!$AH:$AH,CONCATENATE(Info!$D$5,"(KÖT)","091111",L1427),Adat!$E:$E)*-1</f>
        <v>0</v>
      </c>
      <c r="H1432" s="72">
        <f>SUMIF(Adat!$AH:$AH,CONCATENATE(Info!$D$5,"(ÖNV)","091111",L1427),Adat!$E:$E)*-1</f>
        <v>0</v>
      </c>
      <c r="I1432" s="72">
        <f>SUMIF(Adat!$AH:$AH,CONCATENATE(Info!$D$5,"(ÁIG)","091111",L1427),Adat!$E:$E)*-1</f>
        <v>0</v>
      </c>
    </row>
    <row r="1433" spans="2:12" x14ac:dyDescent="0.2">
      <c r="B1433" s="160">
        <v>4</v>
      </c>
      <c r="C1433" s="305" t="s">
        <v>1289</v>
      </c>
      <c r="D1433" s="82" t="s">
        <v>735</v>
      </c>
      <c r="E1433" s="72">
        <f>SUMIF(Adat!$AG:$AG,CONCATENATE(61,Info!$D$5,"091121",L1427),Adat!$E:$E)*-1</f>
        <v>0</v>
      </c>
      <c r="F1433" s="72">
        <f>SUMIF(Adat!$AG:$AG,CONCATENATE(60,Info!$D$5,"091121",L1427),Adat!$E:$E)*-1+E1433</f>
        <v>0</v>
      </c>
      <c r="G1433" s="72">
        <f>SUMIF(Adat!$AH:$AH,CONCATENATE(Info!$D$5,"(KÖT)","091121",L1427),Adat!$E:$E)*-1</f>
        <v>0</v>
      </c>
      <c r="H1433" s="72">
        <f>SUMIF(Adat!$AH:$AH,CONCATENATE(Info!$D$5,"(ÖNV)","091121",L1427),Adat!$E:$E)*-1</f>
        <v>0</v>
      </c>
      <c r="I1433" s="72">
        <f>SUMIF(Adat!$AH:$AH,CONCATENATE(Info!$D$5,"(ÁIG)","091121",L1427),Adat!$E:$E)*-1</f>
        <v>0</v>
      </c>
    </row>
    <row r="1434" spans="2:12" x14ac:dyDescent="0.2">
      <c r="B1434" s="160">
        <v>5</v>
      </c>
      <c r="C1434" s="305" t="s">
        <v>1290</v>
      </c>
      <c r="D1434" s="82" t="s">
        <v>1326</v>
      </c>
      <c r="E1434" s="72">
        <f>SUMIF(Adat!$AG:$AG,CONCATENATE(61,Info!$D$5,"0911311",L1427),Adat!$E:$E)*-1</f>
        <v>0</v>
      </c>
      <c r="F1434" s="72">
        <f>SUMIF(Adat!$AG:$AG,CONCATENATE(60,Info!$D$5,"0911311",L1427),Adat!$E:$E)*-1+E1434</f>
        <v>0</v>
      </c>
      <c r="G1434" s="72">
        <f>SUMIF(Adat!$AH:$AH,CONCATENATE(Info!$D$5,"(KÖT)","0911311",L1427),Adat!$E:$E)*-1</f>
        <v>0</v>
      </c>
      <c r="H1434" s="72">
        <f>SUMIF(Adat!$AH:$AH,CONCATENATE(Info!$D$5,"(ÖNV)","0911311",L1427),Adat!$E:$E)*-1</f>
        <v>0</v>
      </c>
      <c r="I1434" s="72">
        <f>SUMIF(Adat!$AH:$AH,CONCATENATE(Info!$D$5,"(ÁIG)","0911311",L1427),Adat!$E:$E)*-1</f>
        <v>0</v>
      </c>
    </row>
    <row r="1435" spans="2:12" x14ac:dyDescent="0.2">
      <c r="B1435" s="160">
        <v>6</v>
      </c>
      <c r="C1435" s="305" t="s">
        <v>1254</v>
      </c>
      <c r="D1435" s="82" t="s">
        <v>736</v>
      </c>
      <c r="E1435" s="72">
        <f>SUMIF(Adat!$AG:$AG,CONCATENATE(61,Info!$D$5,"0911321",L1427),Adat!$E:$E)*-1</f>
        <v>0</v>
      </c>
      <c r="F1435" s="72">
        <f>SUMIF(Adat!$AG:$AG,CONCATENATE(60,Info!$D$5,"0911321",L1427),Adat!$E:$E)*-1+E1435</f>
        <v>0</v>
      </c>
      <c r="G1435" s="72">
        <f>SUMIF(Adat!$AH:$AH,CONCATENATE(Info!$D$5,"(KÖT)","0911321",L1427),Adat!$E:$E)*-1</f>
        <v>0</v>
      </c>
      <c r="H1435" s="72">
        <f>SUMIF(Adat!$AH:$AH,CONCATENATE(Info!$D$5,"(ÖNV)","0911321",L1427),Adat!$E:$E)*-1</f>
        <v>0</v>
      </c>
      <c r="I1435" s="72">
        <f>SUMIF(Adat!$AH:$AH,CONCATENATE(Info!$D$5,"(ÁIG)","0911321",L1427),Adat!$E:$E)*-1</f>
        <v>0</v>
      </c>
    </row>
    <row r="1436" spans="2:12" x14ac:dyDescent="0.25">
      <c r="B1436" s="160">
        <v>7</v>
      </c>
      <c r="C1436" s="305" t="s">
        <v>1291</v>
      </c>
      <c r="D1436" s="84" t="s">
        <v>737</v>
      </c>
      <c r="E1436" s="72">
        <f>SUMIF(Adat!$AG:$AG,CONCATENATE(61,Info!$D$5,"091141",L1427),Adat!$E:$E)*-1</f>
        <v>0</v>
      </c>
      <c r="F1436" s="72">
        <f>SUMIF(Adat!$AG:$AG,CONCATENATE(60,Info!$D$5,"091141",L1427),Adat!$E:$E)*-1+E1436</f>
        <v>0</v>
      </c>
      <c r="G1436" s="72">
        <f>SUMIF(Adat!$AH:$AH,CONCATENATE(Info!$D$5,"(KÖT)","091141",L1427),Adat!$E:$E)*-1</f>
        <v>0</v>
      </c>
      <c r="H1436" s="72">
        <f>SUMIF(Adat!$AH:$AH,CONCATENATE(Info!$D$5,"(ÖNV)","091141",L1427),Adat!$E:$E)*-1</f>
        <v>0</v>
      </c>
      <c r="I1436" s="72">
        <f>SUMIF(Adat!$AH:$AH,CONCATENATE(Info!$D$5,"(ÁIG)","091141",L1427),Adat!$E:$E)*-1</f>
        <v>0</v>
      </c>
    </row>
    <row r="1437" spans="2:12" x14ac:dyDescent="0.25">
      <c r="B1437" s="160">
        <v>8</v>
      </c>
      <c r="C1437" s="305" t="s">
        <v>1312</v>
      </c>
      <c r="D1437" s="84" t="s">
        <v>738</v>
      </c>
      <c r="E1437" s="72">
        <f>SUMIF(Adat!$AG:$AG,CONCATENATE(61,Info!$D$5,"091151",L1427),Adat!$E:$E)*-1</f>
        <v>0</v>
      </c>
      <c r="F1437" s="72">
        <f>SUMIF(Adat!$AG:$AG,CONCATENATE(60,Info!$D$5,"091151",L1427),Adat!$E:$E)*-1+E1437</f>
        <v>0</v>
      </c>
      <c r="G1437" s="72">
        <f>SUMIF(Adat!$AH:$AH,CONCATENATE(Info!$D$5,"(KÖT)","091151",L1427),Adat!$E:$E)*-1</f>
        <v>0</v>
      </c>
      <c r="H1437" s="72">
        <f>SUMIF(Adat!$AH:$AH,CONCATENATE(Info!$D$5,"(ÖNV)","091151",L1427),Adat!$E:$E)*-1</f>
        <v>0</v>
      </c>
      <c r="I1437" s="72">
        <f>SUMIF(Adat!$AH:$AH,CONCATENATE(Info!$D$5,"(ÁIG)","091151",L1427),Adat!$E:$E)*-1</f>
        <v>0</v>
      </c>
    </row>
    <row r="1438" spans="2:12" s="42" customFormat="1" x14ac:dyDescent="0.25">
      <c r="B1438" s="160">
        <v>9</v>
      </c>
      <c r="C1438" s="305" t="s">
        <v>1308</v>
      </c>
      <c r="D1438" s="84" t="s">
        <v>233</v>
      </c>
      <c r="E1438" s="72">
        <f>SUMIF(Adat!$AG:$AG,CONCATENATE(61,Info!$D$5,"091161",L1427),Adat!$E:$E)*-1</f>
        <v>0</v>
      </c>
      <c r="F1438" s="72">
        <f>SUMIF(Adat!$AG:$AG,CONCATENATE(60,Info!$D$5,"091161",L1427),Adat!$E:$E)*-1+E1438</f>
        <v>0</v>
      </c>
      <c r="G1438" s="72">
        <f>SUMIF(Adat!$AH:$AH,CONCATENATE(Info!$D$5,"(KÖT)","091161",L1427),Adat!$E:$E)*-1</f>
        <v>0</v>
      </c>
      <c r="H1438" s="72">
        <f>SUMIF(Adat!$AH:$AH,CONCATENATE(Info!$D$5,"(ÖNV)","091161",L1427),Adat!$E:$E)*-1</f>
        <v>0</v>
      </c>
      <c r="I1438" s="72">
        <f>SUMIF(Adat!$AH:$AH,CONCATENATE(Info!$D$5,"(ÁIG)","091161",L1427),Adat!$E:$E)*-1</f>
        <v>0</v>
      </c>
    </row>
    <row r="1439" spans="2:12" s="42" customFormat="1" x14ac:dyDescent="0.25">
      <c r="B1439" s="160">
        <v>10</v>
      </c>
      <c r="C1439" s="78" t="s">
        <v>1328</v>
      </c>
      <c r="D1439" s="85" t="s">
        <v>437</v>
      </c>
      <c r="E1439" s="71">
        <f>SUM(E1440:E1444)</f>
        <v>0</v>
      </c>
      <c r="F1439" s="71">
        <f t="shared" ref="F1439" si="151">SUM(F1440:F1444)</f>
        <v>0</v>
      </c>
      <c r="G1439" s="71">
        <f>SUM(G1440:G1444)</f>
        <v>0</v>
      </c>
      <c r="H1439" s="71">
        <f t="shared" ref="H1439:I1439" si="152">SUM(H1440:H1444)</f>
        <v>0</v>
      </c>
      <c r="I1439" s="71">
        <f t="shared" si="152"/>
        <v>0</v>
      </c>
    </row>
    <row r="1440" spans="2:12" s="42" customFormat="1" x14ac:dyDescent="0.2">
      <c r="B1440" s="160">
        <v>11</v>
      </c>
      <c r="C1440" s="305" t="s">
        <v>1329</v>
      </c>
      <c r="D1440" s="82" t="s">
        <v>1330</v>
      </c>
      <c r="E1440" s="72">
        <f>SUMIF(Adat!$AG:$AG,CONCATENATE(61,Info!$D$5,"09121",L1427),Adat!$E:$E)*-1</f>
        <v>0</v>
      </c>
      <c r="F1440" s="72">
        <f>SUMIF(Adat!$AG:$AG,CONCATENATE(60,Info!$D$5,"09121",L1427),Adat!$E:$E)*-1+E1440</f>
        <v>0</v>
      </c>
      <c r="G1440" s="72">
        <f>SUMIF(Adat!$AH:$AH,CONCATENATE(Info!$D$5,"(KÖT)","09121",L1427),Adat!$E:$E)*-1</f>
        <v>0</v>
      </c>
      <c r="H1440" s="72">
        <f>SUMIF(Adat!$AH:$AH,CONCATENATE(Info!$D$5,"(ÖNV)","09121",L1427),Adat!$E:$E)*-1</f>
        <v>0</v>
      </c>
      <c r="I1440" s="72">
        <f>SUMIF(Adat!$AH:$AH,CONCATENATE(Info!$D$5,"(ÁIG)","09121",L1427),Adat!$E:$E)*-1</f>
        <v>0</v>
      </c>
    </row>
    <row r="1441" spans="2:9" s="42" customFormat="1" x14ac:dyDescent="0.2">
      <c r="B1441" s="160">
        <v>12</v>
      </c>
      <c r="C1441" s="305" t="s">
        <v>1331</v>
      </c>
      <c r="D1441" s="82" t="s">
        <v>1332</v>
      </c>
      <c r="E1441" s="72">
        <f>SUMIF(Adat!$AG:$AG,CONCATENATE(61,Info!$D$5,"09131",L1427),Adat!$E:$E)*-1</f>
        <v>0</v>
      </c>
      <c r="F1441" s="72">
        <f>SUMIF(Adat!$AG:$AG,CONCATENATE(60,Info!$D$5,"09131",L1427),Adat!$E:$E)*-1+E1441</f>
        <v>0</v>
      </c>
      <c r="G1441" s="72">
        <f>SUMIF(Adat!$AH:$AH,CONCATENATE(Info!$D$5,"(KÖT)","09131",L1427),Adat!$E:$E)*-1</f>
        <v>0</v>
      </c>
      <c r="H1441" s="72">
        <f>SUMIF(Adat!$AH:$AH,CONCATENATE(Info!$D$5,"(ÖNV)","09131",L1427),Adat!$E:$E)*-1</f>
        <v>0</v>
      </c>
      <c r="I1441" s="72">
        <f>SUMIF(Adat!$AH:$AH,CONCATENATE(Info!$D$5,"(ÁIG)","09131",L1427),Adat!$E:$E)*-1</f>
        <v>0</v>
      </c>
    </row>
    <row r="1442" spans="2:9" s="42" customFormat="1" x14ac:dyDescent="0.2">
      <c r="B1442" s="160">
        <v>13</v>
      </c>
      <c r="C1442" s="305" t="s">
        <v>1333</v>
      </c>
      <c r="D1442" s="82" t="s">
        <v>1334</v>
      </c>
      <c r="E1442" s="72">
        <f>SUMIF(Adat!$AG:$AG,CONCATENATE(61,Info!$D$5,"09141",L1427),Adat!$E:$E)*-1</f>
        <v>0</v>
      </c>
      <c r="F1442" s="72">
        <f>SUMIF(Adat!$AG:$AG,CONCATENATE(60,Info!$D$5,"09141",L1427),Adat!$E:$E)*-1+E1442</f>
        <v>0</v>
      </c>
      <c r="G1442" s="72">
        <f>SUMIF(Adat!$AH:$AH,CONCATENATE(Info!$D$5,"(KÖT)","09141",L1427),Adat!$E:$E)*-1</f>
        <v>0</v>
      </c>
      <c r="H1442" s="72">
        <f>SUMIF(Adat!$AH:$AH,CONCATENATE(Info!$D$5,"(ÖNV)","09141",L1427),Adat!$E:$E)*-1</f>
        <v>0</v>
      </c>
      <c r="I1442" s="72">
        <f>SUMIF(Adat!$AH:$AH,CONCATENATE(Info!$D$5,"(ÁIG)","09141",L1427),Adat!$E:$E)*-1</f>
        <v>0</v>
      </c>
    </row>
    <row r="1443" spans="2:9" s="42" customFormat="1" x14ac:dyDescent="0.2">
      <c r="B1443" s="160">
        <v>14</v>
      </c>
      <c r="C1443" s="305" t="s">
        <v>1335</v>
      </c>
      <c r="D1443" s="82" t="s">
        <v>1336</v>
      </c>
      <c r="E1443" s="72">
        <f>SUMIF(Adat!$AG:$AG,CONCATENATE(61,Info!$D$5,"09151",L1427),Adat!$E:$E)*-1</f>
        <v>0</v>
      </c>
      <c r="F1443" s="72">
        <f>SUMIF(Adat!$AG:$AG,CONCATENATE(60,Info!$D$5,"09151",L1427),Adat!$E:$E)*-1+E1443</f>
        <v>0</v>
      </c>
      <c r="G1443" s="72">
        <f>SUMIF(Adat!$AH:$AH,CONCATENATE(Info!$D$5,"(KÖT)","09151",L1427),Adat!$E:$E)*-1</f>
        <v>0</v>
      </c>
      <c r="H1443" s="72">
        <f>SUMIF(Adat!$AH:$AH,CONCATENATE(Info!$D$5,"(ÖNV)","09151",L1427),Adat!$E:$E)*-1</f>
        <v>0</v>
      </c>
      <c r="I1443" s="72">
        <f>SUMIF(Adat!$AH:$AH,CONCATENATE(Info!$D$5,"(ÁIG)","09151",L1427),Adat!$E:$E)*-1</f>
        <v>0</v>
      </c>
    </row>
    <row r="1444" spans="2:9" s="42" customFormat="1" x14ac:dyDescent="0.2">
      <c r="B1444" s="160">
        <v>15</v>
      </c>
      <c r="C1444" s="305" t="s">
        <v>1278</v>
      </c>
      <c r="D1444" s="82" t="s">
        <v>1337</v>
      </c>
      <c r="E1444" s="72">
        <f>SUMIF(Adat!$AG:$AG,CONCATENATE(61,Info!$D$5,"09161",L1427),Adat!$E:$E)*-1</f>
        <v>0</v>
      </c>
      <c r="F1444" s="72">
        <f>SUMIF(Adat!$AG:$AG,CONCATENATE(60,Info!$D$5,"09161",L1427),Adat!$E:$E)*-1+E1444</f>
        <v>0</v>
      </c>
      <c r="G1444" s="72">
        <f>SUMIF(Adat!$AH:$AH,CONCATENATE(Info!$D$5,"(KÖT)","09161",L1427),Adat!$E:$E)*-1</f>
        <v>0</v>
      </c>
      <c r="H1444" s="72">
        <f>SUMIF(Adat!$AH:$AH,CONCATENATE(Info!$D$5,"(ÖNV)","09161",L1427),Adat!$E:$E)*-1</f>
        <v>0</v>
      </c>
      <c r="I1444" s="72">
        <f>SUMIF(Adat!$AH:$AH,CONCATENATE(Info!$D$5,"(ÁIG)","09161",L1427),Adat!$E:$E)*-1</f>
        <v>0</v>
      </c>
    </row>
    <row r="1445" spans="2:9" x14ac:dyDescent="0.25">
      <c r="B1445" s="160">
        <v>16</v>
      </c>
      <c r="C1445" s="79" t="s">
        <v>24</v>
      </c>
      <c r="D1445" s="79" t="s">
        <v>449</v>
      </c>
      <c r="E1445" s="71">
        <f t="shared" ref="E1445:F1445" si="153">SUM(E1446:E1450)</f>
        <v>0</v>
      </c>
      <c r="F1445" s="71">
        <f t="shared" si="153"/>
        <v>0</v>
      </c>
      <c r="G1445" s="71">
        <f>SUM(G1446:G1450)</f>
        <v>0</v>
      </c>
      <c r="H1445" s="71">
        <f t="shared" ref="H1445:I1445" si="154">SUM(H1446:H1450)</f>
        <v>0</v>
      </c>
      <c r="I1445" s="71">
        <f t="shared" si="154"/>
        <v>0</v>
      </c>
    </row>
    <row r="1446" spans="2:9" x14ac:dyDescent="0.2">
      <c r="B1446" s="160">
        <v>17</v>
      </c>
      <c r="C1446" s="305" t="s">
        <v>1339</v>
      </c>
      <c r="D1446" s="82" t="s">
        <v>1340</v>
      </c>
      <c r="E1446" s="72">
        <f>SUMIF(Adat!$AG:$AG,CONCATENATE(61,Info!$D$5,"09211",L1427),Adat!$E:$E)*-1</f>
        <v>0</v>
      </c>
      <c r="F1446" s="72">
        <f>SUMIF(Adat!$AG:$AG,CONCATENATE(60,Info!$D$5,"09211",L1427),Adat!$E:$E)*-1+E1446</f>
        <v>0</v>
      </c>
      <c r="G1446" s="72">
        <f>SUMIF(Adat!$AH:$AH,CONCATENATE(Info!$D$5,"(KÖT)","09211",L1427),Adat!$E:$E)*-1</f>
        <v>0</v>
      </c>
      <c r="H1446" s="72">
        <f>SUMIF(Adat!$AH:$AH,CONCATENATE(Info!$D$5,"(ÖNV)","09211",L1427),Adat!$E:$E)*-1</f>
        <v>0</v>
      </c>
      <c r="I1446" s="72">
        <f>SUMIF(Adat!$AH:$AH,CONCATENATE(Info!$D$5,"(ÁIG)","09211",L1427),Adat!$E:$E)*-1</f>
        <v>0</v>
      </c>
    </row>
    <row r="1447" spans="2:9" s="42" customFormat="1" x14ac:dyDescent="0.2">
      <c r="B1447" s="160">
        <v>18</v>
      </c>
      <c r="C1447" s="305" t="s">
        <v>1341</v>
      </c>
      <c r="D1447" s="82" t="s">
        <v>1342</v>
      </c>
      <c r="E1447" s="72">
        <f>SUMIF(Adat!$AG:$AG,CONCATENATE(61,Info!$D$5,"09221",L1427),Adat!$E:$E)*-1</f>
        <v>0</v>
      </c>
      <c r="F1447" s="72">
        <f>SUMIF(Adat!$AG:$AG,CONCATENATE(60,Info!$D$5,"09221",L1427),Adat!$E:$E)*-1+E1447</f>
        <v>0</v>
      </c>
      <c r="G1447" s="72">
        <f>SUMIF(Adat!$AH:$AH,CONCATENATE(Info!$D$5,"(KÖT)","09221",L1427),Adat!$E:$E)*-1</f>
        <v>0</v>
      </c>
      <c r="H1447" s="72">
        <f>SUMIF(Adat!$AH:$AH,CONCATENATE(Info!$D$5,"(ÖNV)","09221",L1427),Adat!$E:$E)*-1</f>
        <v>0</v>
      </c>
      <c r="I1447" s="72">
        <f>SUMIF(Adat!$AH:$AH,CONCATENATE(Info!$D$5,"(ÁIG)","09221",L1427),Adat!$E:$E)*-1</f>
        <v>0</v>
      </c>
    </row>
    <row r="1448" spans="2:9" x14ac:dyDescent="0.2">
      <c r="B1448" s="160">
        <v>19</v>
      </c>
      <c r="C1448" s="305" t="s">
        <v>1343</v>
      </c>
      <c r="D1448" s="82" t="s">
        <v>1344</v>
      </c>
      <c r="E1448" s="72">
        <f>SUMIF(Adat!$AG:$AG,CONCATENATE(61,Info!$D$5,"09231",L1427),Adat!$E:$E)*-1</f>
        <v>0</v>
      </c>
      <c r="F1448" s="72">
        <f>SUMIF(Adat!$AG:$AG,CONCATENATE(60,Info!$D$5,"09231",L1427),Adat!$E:$E)*-1+E1448</f>
        <v>0</v>
      </c>
      <c r="G1448" s="72">
        <f>SUMIF(Adat!$AH:$AH,CONCATENATE(Info!$D$5,"(KÖT)","09231",L1427),Adat!$E:$E)*-1</f>
        <v>0</v>
      </c>
      <c r="H1448" s="72">
        <f>SUMIF(Adat!$AH:$AH,CONCATENATE(Info!$D$5,"(ÖNV)","09231",L1427),Adat!$E:$E)*-1</f>
        <v>0</v>
      </c>
      <c r="I1448" s="72">
        <f>SUMIF(Adat!$AH:$AH,CONCATENATE(Info!$D$5,"(ÁIG)","09231",L1427),Adat!$E:$E)*-1</f>
        <v>0</v>
      </c>
    </row>
    <row r="1449" spans="2:9" x14ac:dyDescent="0.2">
      <c r="B1449" s="160">
        <v>20</v>
      </c>
      <c r="C1449" s="305" t="s">
        <v>1345</v>
      </c>
      <c r="D1449" s="82" t="s">
        <v>1346</v>
      </c>
      <c r="E1449" s="72">
        <f>SUMIF(Adat!$AG:$AG,CONCATENATE(61,Info!$D$5,"09241",L1427),Adat!$E:$E)*-1</f>
        <v>0</v>
      </c>
      <c r="F1449" s="72">
        <f>SUMIF(Adat!$AG:$AG,CONCATENATE(60,Info!$D$5,"09241",L1427),Adat!$E:$E)*-1+E1449</f>
        <v>0</v>
      </c>
      <c r="G1449" s="72">
        <f>SUMIF(Adat!$AH:$AH,CONCATENATE(Info!$D$5,"(KÖT)","09241",L1427),Adat!$E:$E)*-1</f>
        <v>0</v>
      </c>
      <c r="H1449" s="72">
        <f>SUMIF(Adat!$AH:$AH,CONCATENATE(Info!$D$5,"(ÖNV)","09241",L1427),Adat!$E:$E)*-1</f>
        <v>0</v>
      </c>
      <c r="I1449" s="72">
        <f>SUMIF(Adat!$AH:$AH,CONCATENATE(Info!$D$5,"(ÁIG)","09241",L1427),Adat!$E:$E)*-1</f>
        <v>0</v>
      </c>
    </row>
    <row r="1450" spans="2:9" x14ac:dyDescent="0.2">
      <c r="B1450" s="160">
        <v>21</v>
      </c>
      <c r="C1450" s="305" t="s">
        <v>1255</v>
      </c>
      <c r="D1450" s="82" t="s">
        <v>1347</v>
      </c>
      <c r="E1450" s="72">
        <f>SUMIF(Adat!$AG:$AG,CONCATENATE(61,Info!$D$5,"09251",L1427),Adat!$E:$E)*-1</f>
        <v>0</v>
      </c>
      <c r="F1450" s="72">
        <f>SUMIF(Adat!$AG:$AG,CONCATENATE(60,Info!$D$5,"09251",L1427),Adat!$E:$E)*-1+E1450</f>
        <v>0</v>
      </c>
      <c r="G1450" s="72">
        <f>SUMIF(Adat!$AH:$AH,CONCATENATE(Info!$D$5,"(KÖT)","09251",L1427),Adat!$E:$E)*-1</f>
        <v>0</v>
      </c>
      <c r="H1450" s="72">
        <f>SUMIF(Adat!$AH:$AH,CONCATENATE(Info!$D$5,"(ÖNV)","09251",L1427),Adat!$E:$E)*-1</f>
        <v>0</v>
      </c>
      <c r="I1450" s="72">
        <f>SUMIF(Adat!$AH:$AH,CONCATENATE(Info!$D$5,"(ÁIG)","09251",L1427),Adat!$E:$E)*-1</f>
        <v>0</v>
      </c>
    </row>
    <row r="1451" spans="2:9" x14ac:dyDescent="0.25">
      <c r="B1451" s="160">
        <v>22</v>
      </c>
      <c r="C1451" s="79" t="s">
        <v>27</v>
      </c>
      <c r="D1451" s="79" t="s">
        <v>328</v>
      </c>
      <c r="E1451" s="71">
        <f>SUM(E1452:E1457)</f>
        <v>0</v>
      </c>
      <c r="F1451" s="71">
        <f>SUM(F1452:F1457)</f>
        <v>0</v>
      </c>
      <c r="G1451" s="71">
        <f>SUM(G1452:G1457)</f>
        <v>0</v>
      </c>
      <c r="H1451" s="71">
        <f>SUM(H1452:H1457)</f>
        <v>0</v>
      </c>
      <c r="I1451" s="71">
        <f>SUM(I1452:I1457)</f>
        <v>0</v>
      </c>
    </row>
    <row r="1452" spans="2:9" x14ac:dyDescent="0.2">
      <c r="B1452" s="160">
        <v>23</v>
      </c>
      <c r="C1452" s="305" t="s">
        <v>1348</v>
      </c>
      <c r="D1452" s="82" t="s">
        <v>1349</v>
      </c>
      <c r="E1452" s="72">
        <f>SUMIF(Adat!$AG:$AG,CONCATENATE(61,Info!$D$5,"093111",L1427),Adat!$E:$E)*-1</f>
        <v>0</v>
      </c>
      <c r="F1452" s="72">
        <f>SUMIF(Adat!$AG:$AG,CONCATENATE(60,Info!$D$5,"093111",L1427),Adat!$E:$E)*-1+E1452</f>
        <v>0</v>
      </c>
      <c r="G1452" s="72">
        <f>SUMIF(Adat!$AH:$AH,CONCATENATE(Info!$D$5,"(KÖT)","093111",L1427),Adat!$E:$E)*-1</f>
        <v>0</v>
      </c>
      <c r="H1452" s="72">
        <f>SUMIF(Adat!$AH:$AH,CONCATENATE(Info!$D$5,"(ÖNV)","093111",L1427),Adat!$E:$E)*-1</f>
        <v>0</v>
      </c>
      <c r="I1452" s="72">
        <f>SUMIF(Adat!$AH:$AH,CONCATENATE(Info!$D$5,"(ÁIG)","093111",L1427),Adat!$E:$E)*-1</f>
        <v>0</v>
      </c>
    </row>
    <row r="1453" spans="2:9" x14ac:dyDescent="0.2">
      <c r="B1453" s="160">
        <v>24</v>
      </c>
      <c r="C1453" s="305" t="s">
        <v>1259</v>
      </c>
      <c r="D1453" s="82" t="s">
        <v>1350</v>
      </c>
      <c r="E1453" s="72">
        <f>SUMIF(Adat!$AG:$AG,CONCATENATE(61,Info!$D$5,"09341",L1427),Adat!$E:$E)*-1</f>
        <v>0</v>
      </c>
      <c r="F1453" s="72">
        <f>SUMIF(Adat!$AG:$AG,CONCATENATE(60,Info!$D$5,"09341",L1427),Adat!$E:$E)*-1+E1453</f>
        <v>0</v>
      </c>
      <c r="G1453" s="72">
        <f>SUMIF(Adat!$AH:$AH,CONCATENATE(Info!$D$5,"(KÖT)","09341",L1427),Adat!$E:$E)*-1</f>
        <v>0</v>
      </c>
      <c r="H1453" s="72">
        <f>SUMIF(Adat!$AH:$AH,CONCATENATE(Info!$D$5,"(ÖNV)","09341",L1427),Adat!$E:$E)*-1</f>
        <v>0</v>
      </c>
      <c r="I1453" s="72">
        <f>SUMIF(Adat!$AH:$AH,CONCATENATE(Info!$D$5,"(ÁIG)","09341",L1427),Adat!$E:$E)*-1</f>
        <v>0</v>
      </c>
    </row>
    <row r="1454" spans="2:9" x14ac:dyDescent="0.2">
      <c r="B1454" s="160">
        <v>25</v>
      </c>
      <c r="C1454" s="305" t="s">
        <v>1260</v>
      </c>
      <c r="D1454" s="82" t="s">
        <v>1351</v>
      </c>
      <c r="E1454" s="72">
        <f>SUMIF(Adat!$AG:$AG,CONCATENATE(61,Info!$D$5,"093511",L1427),Adat!$E:$E)*-1</f>
        <v>0</v>
      </c>
      <c r="F1454" s="72">
        <f>SUMIF(Adat!$AG:$AG,CONCATENATE(60,Info!$D$5,"093511",L1427),Adat!$E:$E)*-1+E1454</f>
        <v>0</v>
      </c>
      <c r="G1454" s="72">
        <f>SUMIF(Adat!$AH:$AH,CONCATENATE(Info!$D$5,"(KÖT)","093511",L1427),Adat!$E:$E)*-1</f>
        <v>0</v>
      </c>
      <c r="H1454" s="72">
        <f>SUMIF(Adat!$AH:$AH,CONCATENATE(Info!$D$5,"(ÖNV)","093511",L1427),Adat!$E:$E)*-1</f>
        <v>0</v>
      </c>
      <c r="I1454" s="72">
        <f>SUMIF(Adat!$AH:$AH,CONCATENATE(Info!$D$5,"(ÁIG)","093511",L1427),Adat!$E:$E)*-1</f>
        <v>0</v>
      </c>
    </row>
    <row r="1455" spans="2:9" x14ac:dyDescent="0.2">
      <c r="B1455" s="160">
        <v>26</v>
      </c>
      <c r="C1455" s="305" t="s">
        <v>1352</v>
      </c>
      <c r="D1455" s="82" t="s">
        <v>1353</v>
      </c>
      <c r="E1455" s="72">
        <f>SUMIF(Adat!$AG:$AG,CONCATENATE(61,Info!$D$5,"093521",L1427),Adat!$E:$E)*-1</f>
        <v>0</v>
      </c>
      <c r="F1455" s="72">
        <f>SUMIF(Adat!$AG:$AG,CONCATENATE(60,Info!$D$5,"093521",L1427),Adat!$E:$E)*-1+E1455</f>
        <v>0</v>
      </c>
      <c r="G1455" s="72">
        <f>SUMIF(Adat!$AH:$AH,CONCATENATE(Info!$D$5,"(KÖT)","093521",L1427),Adat!$E:$E)*-1</f>
        <v>0</v>
      </c>
      <c r="H1455" s="72">
        <f>SUMIF(Adat!$AH:$AH,CONCATENATE(Info!$D$5,"(ÖNV)","093521",L1427),Adat!$E:$E)*-1</f>
        <v>0</v>
      </c>
      <c r="I1455" s="72">
        <f>SUMIF(Adat!$AH:$AH,CONCATENATE(Info!$D$5,"(ÁIG)","093521",L1427),Adat!$E:$E)*-1</f>
        <v>0</v>
      </c>
    </row>
    <row r="1456" spans="2:9" x14ac:dyDescent="0.2">
      <c r="B1456" s="160">
        <v>27</v>
      </c>
      <c r="C1456" s="305" t="s">
        <v>1292</v>
      </c>
      <c r="D1456" s="82" t="s">
        <v>1354</v>
      </c>
      <c r="E1456" s="72">
        <f>SUMIF(Adat!$AG:$AG,CONCATENATE(61,Info!$D$5,"093551",L1427),Adat!$E:$E)*-1</f>
        <v>0</v>
      </c>
      <c r="F1456" s="72">
        <f>SUMIF(Adat!$AG:$AG,CONCATENATE(60,Info!$D$5,"093551",L1427),Adat!$E:$E)*-1+E1456</f>
        <v>0</v>
      </c>
      <c r="G1456" s="72">
        <f>SUMIF(Adat!$AH:$AH,CONCATENATE(Info!$D$5,"(KÖT)","093551",L1427),Adat!$E:$E)*-1</f>
        <v>0</v>
      </c>
      <c r="H1456" s="72">
        <f>SUMIF(Adat!$AH:$AH,CONCATENATE(Info!$D$5,"(ÖNV)","093551",L1427),Adat!$E:$E)*-1</f>
        <v>0</v>
      </c>
      <c r="I1456" s="72">
        <f>SUMIF(Adat!$AH:$AH,CONCATENATE(Info!$D$5,"(ÁIG)","093551",L1427),Adat!$E:$E)*-1</f>
        <v>0</v>
      </c>
    </row>
    <row r="1457" spans="2:9" x14ac:dyDescent="0.2">
      <c r="B1457" s="160">
        <v>28</v>
      </c>
      <c r="C1457" s="305" t="s">
        <v>1293</v>
      </c>
      <c r="D1457" s="82" t="s">
        <v>1355</v>
      </c>
      <c r="E1457" s="72">
        <f>SUMIF(Adat!$AG:$AG,CONCATENATE(61,Info!$D$5,"09361",L1427),Adat!$E:$E)*-1</f>
        <v>0</v>
      </c>
      <c r="F1457" s="72">
        <f>SUMIF(Adat!$AG:$AG,CONCATENATE(60,Info!$D$5,"09361",L1427),Adat!$E:$E)*-1+E1457</f>
        <v>0</v>
      </c>
      <c r="G1457" s="72">
        <f>SUMIF(Adat!$AH:$AH,CONCATENATE(Info!$D$5,"(KÖT)","09361",L1427),Adat!$E:$E)*-1</f>
        <v>0</v>
      </c>
      <c r="H1457" s="72">
        <f>SUMIF(Adat!$AH:$AH,CONCATENATE(Info!$D$5,"(ÖNV)","09361",L1427),Adat!$E:$E)*-1</f>
        <v>0</v>
      </c>
      <c r="I1457" s="72">
        <f>SUMIF(Adat!$AH:$AH,CONCATENATE(Info!$D$5,"(ÁIG)","09361",L1427),Adat!$E:$E)*-1</f>
        <v>0</v>
      </c>
    </row>
    <row r="1458" spans="2:9" x14ac:dyDescent="0.25">
      <c r="B1458" s="160">
        <v>29</v>
      </c>
      <c r="C1458" s="79" t="s">
        <v>30</v>
      </c>
      <c r="D1458" s="79" t="s">
        <v>329</v>
      </c>
      <c r="E1458" s="71">
        <f>SUM(E1459:E1471)</f>
        <v>0</v>
      </c>
      <c r="F1458" s="71">
        <f t="shared" ref="F1458:I1458" si="155">SUM(F1459:F1471)</f>
        <v>0</v>
      </c>
      <c r="G1458" s="71">
        <f t="shared" si="155"/>
        <v>0</v>
      </c>
      <c r="H1458" s="71">
        <f t="shared" si="155"/>
        <v>0</v>
      </c>
      <c r="I1458" s="71">
        <f t="shared" si="155"/>
        <v>0</v>
      </c>
    </row>
    <row r="1459" spans="2:9" x14ac:dyDescent="0.2">
      <c r="B1459" s="160">
        <v>30</v>
      </c>
      <c r="C1459" s="305" t="s">
        <v>1309</v>
      </c>
      <c r="D1459" s="82" t="s">
        <v>1356</v>
      </c>
      <c r="E1459" s="72">
        <f>SUMIF(Adat!$AG:$AG,CONCATENATE(61,Info!$D$5,"094011",L1427),Adat!$E:$E)*-1</f>
        <v>0</v>
      </c>
      <c r="F1459" s="72">
        <f>SUMIF(Adat!$AG:$AG,CONCATENATE(60,Info!$D$5,"094011",L1427),Adat!$E:$E)*-1+E1459</f>
        <v>0</v>
      </c>
      <c r="G1459" s="72">
        <f>SUMIF(Adat!$AH:$AH,CONCATENATE(Info!$D$5,"(KÖT)","094011",L1427),Adat!$E:$E)*-1</f>
        <v>0</v>
      </c>
      <c r="H1459" s="72">
        <f>SUMIF(Adat!$AH:$AH,CONCATENATE(Info!$D$5,"(ÖNV)","094011",L1427),Adat!$E:$E)*-1</f>
        <v>0</v>
      </c>
      <c r="I1459" s="72">
        <f>SUMIF(Adat!$AH:$AH,CONCATENATE(Info!$D$5,"(ÁIG)","094011",L1427),Adat!$E:$E)*-1</f>
        <v>0</v>
      </c>
    </row>
    <row r="1460" spans="2:9" x14ac:dyDescent="0.2">
      <c r="B1460" s="160">
        <v>31</v>
      </c>
      <c r="C1460" s="305" t="s">
        <v>1279</v>
      </c>
      <c r="D1460" s="82" t="s">
        <v>1357</v>
      </c>
      <c r="E1460" s="72">
        <f>SUMIF(Adat!$AG:$AG,CONCATENATE(61,Info!$D$5,"094021",L1427),Adat!$E:$E)*-1</f>
        <v>0</v>
      </c>
      <c r="F1460" s="72">
        <f>SUMIF(Adat!$AG:$AG,CONCATENATE(60,Info!$D$5,"094021",L1427),Adat!$E:$E)*-1+E1460</f>
        <v>0</v>
      </c>
      <c r="G1460" s="72">
        <f>SUMIF(Adat!$AH:$AH,CONCATENATE(Info!$D$5,"(KÖT)","094021",L1427),Adat!$E:$E)*-1</f>
        <v>0</v>
      </c>
      <c r="H1460" s="72">
        <f>SUMIF(Adat!$AH:$AH,CONCATENATE(Info!$D$5,"(ÖNV)","094021",L1427),Adat!$E:$E)*-1</f>
        <v>0</v>
      </c>
      <c r="I1460" s="72">
        <f>SUMIF(Adat!$AH:$AH,CONCATENATE(Info!$D$5,"(ÁIG)","094021",L1427),Adat!$E:$E)*-1</f>
        <v>0</v>
      </c>
    </row>
    <row r="1461" spans="2:9" x14ac:dyDescent="0.2">
      <c r="B1461" s="160">
        <v>32</v>
      </c>
      <c r="C1461" s="305" t="s">
        <v>1272</v>
      </c>
      <c r="D1461" s="82" t="s">
        <v>1358</v>
      </c>
      <c r="E1461" s="72">
        <f>SUMIF(Adat!$AG:$AG,CONCATENATE(61,Info!$D$5,"094031",L1427),Adat!$E:$E)*-1</f>
        <v>0</v>
      </c>
      <c r="F1461" s="72">
        <f>SUMIF(Adat!$AG:$AG,CONCATENATE(60,Info!$D$5,"094031",L1427),Adat!$E:$E)*-1+E1461</f>
        <v>0</v>
      </c>
      <c r="G1461" s="72">
        <f>SUMIF(Adat!$AH:$AH,CONCATENATE(Info!$D$5,"(KÖT)","094031",L1427),Adat!$E:$E)*-1</f>
        <v>0</v>
      </c>
      <c r="H1461" s="72">
        <f>SUMIF(Adat!$AH:$AH,CONCATENATE(Info!$D$5,"(ÖNV)","094031",L1427),Adat!$E:$E)*-1</f>
        <v>0</v>
      </c>
      <c r="I1461" s="72">
        <f>SUMIF(Adat!$AH:$AH,CONCATENATE(Info!$D$5,"(ÁIG)","094031",L1427),Adat!$E:$E)*-1</f>
        <v>0</v>
      </c>
    </row>
    <row r="1462" spans="2:9" x14ac:dyDescent="0.2">
      <c r="B1462" s="160">
        <v>33</v>
      </c>
      <c r="C1462" s="305" t="s">
        <v>1359</v>
      </c>
      <c r="D1462" s="82" t="s">
        <v>1360</v>
      </c>
      <c r="E1462" s="72">
        <f>SUMIF(Adat!$AG:$AG,CONCATENATE(61,Info!$D$5,"094041",L1427),Adat!$E:$E)*-1</f>
        <v>0</v>
      </c>
      <c r="F1462" s="72">
        <f>SUMIF(Adat!$AG:$AG,CONCATENATE(60,Info!$D$5,"094041",L1427),Adat!$E:$E)*-1+E1462</f>
        <v>0</v>
      </c>
      <c r="G1462" s="72">
        <f>SUMIF(Adat!$AH:$AH,CONCATENATE(Info!$D$5,"(KÖT)","094041",L1427),Adat!$E:$E)*-1</f>
        <v>0</v>
      </c>
      <c r="H1462" s="72">
        <f>SUMIF(Adat!$AH:$AH,CONCATENATE(Info!$D$5,"(ÖNV)","094041",L1427),Adat!$E:$E)*-1</f>
        <v>0</v>
      </c>
      <c r="I1462" s="72">
        <f>SUMIF(Adat!$AH:$AH,CONCATENATE(Info!$D$5,"(ÁIG)","094041",L1427),Adat!$E:$E)*-1</f>
        <v>0</v>
      </c>
    </row>
    <row r="1463" spans="2:9" x14ac:dyDescent="0.2">
      <c r="B1463" s="160">
        <v>34</v>
      </c>
      <c r="C1463" s="305" t="s">
        <v>1261</v>
      </c>
      <c r="D1463" s="82" t="s">
        <v>1361</v>
      </c>
      <c r="E1463" s="72">
        <f>SUMIF(Adat!$AG:$AG,CONCATENATE(61,Info!$D$5,"094051",L1427),Adat!$E:$E)*-1</f>
        <v>0</v>
      </c>
      <c r="F1463" s="72">
        <f>SUMIF(Adat!$AG:$AG,CONCATENATE(60,Info!$D$5,"094051",L1427),Adat!$E:$E)*-1+E1463</f>
        <v>0</v>
      </c>
      <c r="G1463" s="72">
        <f>SUMIF(Adat!$AH:$AH,CONCATENATE(Info!$D$5,"(KÖT)","094051",L1427),Adat!$E:$E)*-1</f>
        <v>0</v>
      </c>
      <c r="H1463" s="72">
        <f>SUMIF(Adat!$AH:$AH,CONCATENATE(Info!$D$5,"(ÖNV)","094051",L1427),Adat!$E:$E)*-1</f>
        <v>0</v>
      </c>
      <c r="I1463" s="72">
        <f>SUMIF(Adat!$AH:$AH,CONCATENATE(Info!$D$5,"(ÁIG)","094051",L1427),Adat!$E:$E)*-1</f>
        <v>0</v>
      </c>
    </row>
    <row r="1464" spans="2:9" x14ac:dyDescent="0.2">
      <c r="B1464" s="160">
        <v>35</v>
      </c>
      <c r="C1464" s="305" t="s">
        <v>1273</v>
      </c>
      <c r="D1464" s="82" t="s">
        <v>1362</v>
      </c>
      <c r="E1464" s="72">
        <f>SUMIF(Adat!$AG:$AG,CONCATENATE(61,Info!$D$5,"094061",L1427),Adat!$E:$E)*-1</f>
        <v>0</v>
      </c>
      <c r="F1464" s="72">
        <f>SUMIF(Adat!$AG:$AG,CONCATENATE(60,Info!$D$5,"094061",L1427),Adat!$E:$E)*-1+E1464</f>
        <v>0</v>
      </c>
      <c r="G1464" s="72">
        <f>SUMIF(Adat!$AH:$AH,CONCATENATE(Info!$D$5,"(KÖT)","094061",L1427),Adat!$E:$E)*-1</f>
        <v>0</v>
      </c>
      <c r="H1464" s="72">
        <f>SUMIF(Adat!$AH:$AH,CONCATENATE(Info!$D$5,"(ÖNV)","094061",L1427),Adat!$E:$E)*-1</f>
        <v>0</v>
      </c>
      <c r="I1464" s="72">
        <f>SUMIF(Adat!$AH:$AH,CONCATENATE(Info!$D$5,"(ÁIG)","094061",L1427),Adat!$E:$E)*-1</f>
        <v>0</v>
      </c>
    </row>
    <row r="1465" spans="2:9" x14ac:dyDescent="0.2">
      <c r="B1465" s="160">
        <v>36</v>
      </c>
      <c r="C1465" s="305" t="s">
        <v>1363</v>
      </c>
      <c r="D1465" s="82" t="s">
        <v>1364</v>
      </c>
      <c r="E1465" s="72">
        <f>SUMIF(Adat!$AG:$AG,CONCATENATE(61,Info!$D$5,"094071",L1427),Adat!$E:$E)*-1</f>
        <v>0</v>
      </c>
      <c r="F1465" s="72">
        <f>SUMIF(Adat!$AG:$AG,CONCATENATE(60,Info!$D$5,"094071",L1427),Adat!$E:$E)*-1+E1465</f>
        <v>0</v>
      </c>
      <c r="G1465" s="72">
        <f>SUMIF(Adat!$AH:$AH,CONCATENATE(Info!$D$5,"(KÖT)","094071",L1427),Adat!$E:$E)*-1</f>
        <v>0</v>
      </c>
      <c r="H1465" s="72">
        <f>SUMIF(Adat!$AH:$AH,CONCATENATE(Info!$D$5,"(ÖNV)","094071",L1427),Adat!$E:$E)*-1</f>
        <v>0</v>
      </c>
      <c r="I1465" s="72">
        <f>SUMIF(Adat!$AH:$AH,CONCATENATE(Info!$D$5,"(ÁIG)","094071",L1427),Adat!$E:$E)*-1</f>
        <v>0</v>
      </c>
    </row>
    <row r="1466" spans="2:9" x14ac:dyDescent="0.2">
      <c r="B1466" s="160">
        <v>37</v>
      </c>
      <c r="C1466" s="305" t="s">
        <v>1306</v>
      </c>
      <c r="D1466" s="82" t="s">
        <v>1365</v>
      </c>
      <c r="E1466" s="72">
        <f>SUMIF(Adat!$AG:$AG,CONCATENATE(61,Info!$D$5,"0940811",L1427),Adat!$E:$E)*-1</f>
        <v>0</v>
      </c>
      <c r="F1466" s="72">
        <f>SUMIF(Adat!$AG:$AG,CONCATENATE(60,Info!$D$5,"0940811",L1427),Adat!$E:$E)*-1+E1466</f>
        <v>0</v>
      </c>
      <c r="G1466" s="72">
        <f>SUMIF(Adat!$AH:$AH,CONCATENATE(Info!$D$5,"(KÖT)","0940811",L1427),Adat!$E:$E)*-1</f>
        <v>0</v>
      </c>
      <c r="H1466" s="72">
        <f>SUMIF(Adat!$AH:$AH,CONCATENATE(Info!$D$5,"(ÖNV)","0940811",L1427),Adat!$E:$E)*-1</f>
        <v>0</v>
      </c>
      <c r="I1466" s="72">
        <f>SUMIF(Adat!$AH:$AH,CONCATENATE(Info!$D$5,"(ÁIG)","0940811",L1427),Adat!$E:$E)*-1</f>
        <v>0</v>
      </c>
    </row>
    <row r="1467" spans="2:9" x14ac:dyDescent="0.2">
      <c r="B1467" s="160">
        <v>38</v>
      </c>
      <c r="C1467" s="305" t="s">
        <v>1295</v>
      </c>
      <c r="D1467" s="82" t="s">
        <v>1366</v>
      </c>
      <c r="E1467" s="72">
        <f>SUMIF(Adat!$AG:$AG,CONCATENATE(61,Info!$D$5,"0940821",L1427),Adat!$E:$E)*-1</f>
        <v>0</v>
      </c>
      <c r="F1467" s="72">
        <f>SUMIF(Adat!$AG:$AG,CONCATENATE(60,Info!$D$5,"0940821",L1427),Adat!$E:$E)*-1+E1467</f>
        <v>0</v>
      </c>
      <c r="G1467" s="72">
        <f>SUMIF(Adat!$AH:$AH,CONCATENATE(Info!$D$5,"(KÖT)","0940821",L1427),Adat!$E:$E)*-1</f>
        <v>0</v>
      </c>
      <c r="H1467" s="72">
        <f>SUMIF(Adat!$AH:$AH,CONCATENATE(Info!$D$5,"(ÖNV)","0940821",L1427),Adat!$E:$E)*-1</f>
        <v>0</v>
      </c>
      <c r="I1467" s="72">
        <f>SUMIF(Adat!$AH:$AH,CONCATENATE(Info!$D$5,"(ÁIG)","0940821",L1427),Adat!$E:$E)*-1</f>
        <v>0</v>
      </c>
    </row>
    <row r="1468" spans="2:9" x14ac:dyDescent="0.2">
      <c r="B1468" s="160">
        <v>39</v>
      </c>
      <c r="C1468" s="305" t="s">
        <v>1367</v>
      </c>
      <c r="D1468" s="82" t="s">
        <v>1368</v>
      </c>
      <c r="E1468" s="72">
        <f>SUMIF(Adat!$AG:$AG,CONCATENATE(61,Info!$D$5,"0940911",L1427),Adat!$E:$E)*-1</f>
        <v>0</v>
      </c>
      <c r="F1468" s="72">
        <f>SUMIF(Adat!$AG:$AG,CONCATENATE(60,Info!$D$5,"0940911",L1427),Adat!$E:$E)*-1+E1468</f>
        <v>0</v>
      </c>
      <c r="G1468" s="72">
        <f>SUMIF(Adat!$AH:$AH,CONCATENATE(Info!$D$5,"(KÖT)","0940911",L1427),Adat!$E:$E)*-1</f>
        <v>0</v>
      </c>
      <c r="H1468" s="72">
        <f>SUMIF(Adat!$AH:$AH,CONCATENATE(Info!$D$5,"(ÖNV)","0940911",L1427),Adat!$E:$E)*-1</f>
        <v>0</v>
      </c>
      <c r="I1468" s="72">
        <f>SUMIF(Adat!$AH:$AH,CONCATENATE(Info!$D$5,"(ÁIG)","0940911",L1427),Adat!$E:$E)*-1</f>
        <v>0</v>
      </c>
    </row>
    <row r="1469" spans="2:9" x14ac:dyDescent="0.2">
      <c r="B1469" s="160">
        <v>40</v>
      </c>
      <c r="C1469" s="305" t="s">
        <v>1369</v>
      </c>
      <c r="D1469" s="82" t="s">
        <v>1370</v>
      </c>
      <c r="E1469" s="72">
        <f>SUMIF(Adat!$AG:$AG,CONCATENATE(61,Info!$D$5,"0940921",L1427),Adat!$E:$E)*-1</f>
        <v>0</v>
      </c>
      <c r="F1469" s="72">
        <f>SUMIF(Adat!$AG:$AG,CONCATENATE(60,Info!$D$5,"0940921",L1427),Adat!$E:$E)*-1+E1469</f>
        <v>0</v>
      </c>
      <c r="G1469" s="72">
        <f>SUMIF(Adat!$AH:$AH,CONCATENATE(Info!$D$5,"(KÖT)","0940921",L1427),Adat!$E:$E)*-1</f>
        <v>0</v>
      </c>
      <c r="H1469" s="72">
        <f>SUMIF(Adat!$AH:$AH,CONCATENATE(Info!$D$5,"(ÖNV)","0940921",L1427),Adat!$E:$E)*-1</f>
        <v>0</v>
      </c>
      <c r="I1469" s="72">
        <f>SUMIF(Adat!$AH:$AH,CONCATENATE(Info!$D$5,"(ÁIG)","0940921",L1427),Adat!$E:$E)*-1</f>
        <v>0</v>
      </c>
    </row>
    <row r="1470" spans="2:9" x14ac:dyDescent="0.2">
      <c r="B1470" s="160">
        <v>41</v>
      </c>
      <c r="C1470" s="305" t="s">
        <v>1296</v>
      </c>
      <c r="D1470" s="82" t="s">
        <v>1371</v>
      </c>
      <c r="E1470" s="72">
        <f>SUMIF(Adat!$AG:$AG,CONCATENATE(61,Info!$D$5,"094101",L1427),Adat!$E:$E)*-1</f>
        <v>0</v>
      </c>
      <c r="F1470" s="72">
        <f>SUMIF(Adat!$AG:$AG,CONCATENATE(60,Info!$D$5,"094101",L1427),Adat!$E:$E)*-1+E1470</f>
        <v>0</v>
      </c>
      <c r="G1470" s="72">
        <f>SUMIF(Adat!$AH:$AH,CONCATENATE(Info!$D$5,"(KÖT)","094101",L1427),Adat!$E:$E)*-1</f>
        <v>0</v>
      </c>
      <c r="H1470" s="72">
        <f>SUMIF(Adat!$AH:$AH,CONCATENATE(Info!$D$5,"(ÖNV)","094101",L1427),Adat!$E:$E)*-1</f>
        <v>0</v>
      </c>
      <c r="I1470" s="72">
        <f>SUMIF(Adat!$AH:$AH,CONCATENATE(Info!$D$5,"(ÁIG)","094101",L1427),Adat!$E:$E)*-1</f>
        <v>0</v>
      </c>
    </row>
    <row r="1471" spans="2:9" x14ac:dyDescent="0.25">
      <c r="B1471" s="160">
        <v>42</v>
      </c>
      <c r="C1471" s="305" t="s">
        <v>1297</v>
      </c>
      <c r="D1471" s="84" t="s">
        <v>1372</v>
      </c>
      <c r="E1471" s="72">
        <f>SUMIF(Adat!$AG:$AG,CONCATENATE(61,Info!$D$5,"094111",L1427),Adat!$E:$E)*-1</f>
        <v>0</v>
      </c>
      <c r="F1471" s="72">
        <f>SUMIF(Adat!$AG:$AG,CONCATENATE(60,Info!$D$5,"094111",L1427),Adat!$E:$E)*-1+E1471</f>
        <v>0</v>
      </c>
      <c r="G1471" s="72">
        <f>SUMIF(Adat!$AH:$AH,CONCATENATE(Info!$D$5,"(KÖT)","094111",L1427),Adat!$E:$E)*-1</f>
        <v>0</v>
      </c>
      <c r="H1471" s="72">
        <f>SUMIF(Adat!$AH:$AH,CONCATENATE(Info!$D$5,"(ÖNV)","094111",L1427),Adat!$E:$E)*-1</f>
        <v>0</v>
      </c>
      <c r="I1471" s="72">
        <f>SUMIF(Adat!$AH:$AH,CONCATENATE(Info!$D$5,"(ÁIG)","094111",L1427),Adat!$E:$E)*-1</f>
        <v>0</v>
      </c>
    </row>
    <row r="1472" spans="2:9" x14ac:dyDescent="0.25">
      <c r="B1472" s="160">
        <v>43</v>
      </c>
      <c r="C1472" s="79" t="s">
        <v>33</v>
      </c>
      <c r="D1472" s="79" t="s">
        <v>330</v>
      </c>
      <c r="E1472" s="71">
        <f>SUM(E1473:E1477)</f>
        <v>0</v>
      </c>
      <c r="F1472" s="71">
        <f>SUM(F1473:F1477)</f>
        <v>0</v>
      </c>
      <c r="G1472" s="71">
        <f>SUM(G1473:G1477)</f>
        <v>0</v>
      </c>
      <c r="H1472" s="71">
        <f>SUM(H1473:H1477)</f>
        <v>0</v>
      </c>
      <c r="I1472" s="71">
        <f>SUM(I1473:I1477)</f>
        <v>0</v>
      </c>
    </row>
    <row r="1473" spans="2:9" x14ac:dyDescent="0.2">
      <c r="B1473" s="160">
        <v>44</v>
      </c>
      <c r="C1473" s="305" t="s">
        <v>1373</v>
      </c>
      <c r="D1473" s="82" t="s">
        <v>1374</v>
      </c>
      <c r="E1473" s="72">
        <f>SUMIF(Adat!$AG:$AG,CONCATENATE(61,Info!$D$5,"09511",L1427),Adat!$E:$E)*-1</f>
        <v>0</v>
      </c>
      <c r="F1473" s="72">
        <f>SUMIF(Adat!$AG:$AG,CONCATENATE(60,Info!$D$5,"09511",L1427),Adat!$E:$E)*-1+E1473</f>
        <v>0</v>
      </c>
      <c r="G1473" s="72">
        <f>SUMIF(Adat!$AH:$AH,CONCATENATE(Info!$D$5,"(KÖT)","09511",L1427),Adat!$E:$E)*-1</f>
        <v>0</v>
      </c>
      <c r="H1473" s="72">
        <f>SUMIF(Adat!$AH:$AH,CONCATENATE(Info!$D$5,"(ÖNV)","09511",L1427),Adat!$E:$E)*-1</f>
        <v>0</v>
      </c>
      <c r="I1473" s="72">
        <f>SUMIF(Adat!$AH:$AH,CONCATENATE(Info!$D$5,"(ÁIG)","09511",L1427),Adat!$E:$E)*-1</f>
        <v>0</v>
      </c>
    </row>
    <row r="1474" spans="2:9" x14ac:dyDescent="0.2">
      <c r="B1474" s="160">
        <v>45</v>
      </c>
      <c r="C1474" s="305" t="s">
        <v>1294</v>
      </c>
      <c r="D1474" s="82" t="s">
        <v>1375</v>
      </c>
      <c r="E1474" s="72">
        <f>SUMIF(Adat!$AG:$AG,CONCATENATE(61,Info!$D$5,"09521",L1427),Adat!$E:$E)*-1</f>
        <v>0</v>
      </c>
      <c r="F1474" s="72">
        <f>SUMIF(Adat!$AG:$AG,CONCATENATE(60,Info!$D$5,"09521",L1427),Adat!$E:$E)*-1+E1474</f>
        <v>0</v>
      </c>
      <c r="G1474" s="72">
        <f>SUMIF(Adat!$AH:$AH,CONCATENATE(Info!$D$5,"(KÖT)","09521",L1427),Adat!$E:$E)*-1</f>
        <v>0</v>
      </c>
      <c r="H1474" s="72">
        <f>SUMIF(Adat!$AH:$AH,CONCATENATE(Info!$D$5,"(ÖNV)","09521",L1427),Adat!$E:$E)*-1</f>
        <v>0</v>
      </c>
      <c r="I1474" s="72">
        <f>SUMIF(Adat!$AH:$AH,CONCATENATE(Info!$D$5,"(ÁIG)","09521",L1427),Adat!$E:$E)*-1</f>
        <v>0</v>
      </c>
    </row>
    <row r="1475" spans="2:9" x14ac:dyDescent="0.2">
      <c r="B1475" s="160">
        <v>46</v>
      </c>
      <c r="C1475" s="305" t="s">
        <v>1376</v>
      </c>
      <c r="D1475" s="82" t="s">
        <v>1377</v>
      </c>
      <c r="E1475" s="72">
        <f>SUMIF(Adat!$AG:$AG,CONCATENATE(61,Info!$D$5,"09531",L1427),Adat!$E:$E)*-1</f>
        <v>0</v>
      </c>
      <c r="F1475" s="72">
        <f>SUMIF(Adat!$AG:$AG,CONCATENATE(60,Info!$D$5,"09531",L1427),Adat!$E:$E)*-1+E1475</f>
        <v>0</v>
      </c>
      <c r="G1475" s="72">
        <f>SUMIF(Adat!$AH:$AH,CONCATENATE(Info!$D$5,"(KÖT)","09531",L1427),Adat!$E:$E)*-1</f>
        <v>0</v>
      </c>
      <c r="H1475" s="72">
        <f>SUMIF(Adat!$AH:$AH,CONCATENATE(Info!$D$5,"(ÖNV)","09531",L1427),Adat!$E:$E)*-1</f>
        <v>0</v>
      </c>
      <c r="I1475" s="72">
        <f>SUMIF(Adat!$AH:$AH,CONCATENATE(Info!$D$5,"(ÁIG)","09531",L1427),Adat!$E:$E)*-1</f>
        <v>0</v>
      </c>
    </row>
    <row r="1476" spans="2:9" x14ac:dyDescent="0.2">
      <c r="B1476" s="160">
        <v>47</v>
      </c>
      <c r="C1476" s="305" t="s">
        <v>1378</v>
      </c>
      <c r="D1476" s="82" t="s">
        <v>1379</v>
      </c>
      <c r="E1476" s="72">
        <f>SUMIF(Adat!$AG:$AG,CONCATENATE(61,Info!$D$5,"09541",L1427),Adat!$E:$E)*-1</f>
        <v>0</v>
      </c>
      <c r="F1476" s="72">
        <f>SUMIF(Adat!$AG:$AG,CONCATENATE(60,Info!$D$5,"09541",L1427),Adat!$E:$E)*-1+E1476</f>
        <v>0</v>
      </c>
      <c r="G1476" s="72">
        <f>SUMIF(Adat!$AH:$AH,CONCATENATE(Info!$D$5,"(KÖT)","09541",L1427),Adat!$E:$E)*-1</f>
        <v>0</v>
      </c>
      <c r="H1476" s="72">
        <f>SUMIF(Adat!$AH:$AH,CONCATENATE(Info!$D$5,"(ÖNV)","09541",L1427),Adat!$E:$E)*-1</f>
        <v>0</v>
      </c>
      <c r="I1476" s="72">
        <f>SUMIF(Adat!$AH:$AH,CONCATENATE(Info!$D$5,"(ÁIG)","09541",L1427),Adat!$E:$E)*-1</f>
        <v>0</v>
      </c>
    </row>
    <row r="1477" spans="2:9" x14ac:dyDescent="0.25">
      <c r="B1477" s="160">
        <v>48</v>
      </c>
      <c r="C1477" s="305" t="s">
        <v>1380</v>
      </c>
      <c r="D1477" s="84" t="s">
        <v>1381</v>
      </c>
      <c r="E1477" s="72">
        <f>SUMIF(Adat!$AG:$AG,CONCATENATE(61,Info!$D$5,"09551",L1427),Adat!$E:$E)*-1</f>
        <v>0</v>
      </c>
      <c r="F1477" s="72">
        <f>SUMIF(Adat!$AG:$AG,CONCATENATE(60,Info!$D$5,"09551",L1427),Adat!$E:$E)*-1+E1477</f>
        <v>0</v>
      </c>
      <c r="G1477" s="72">
        <f>SUMIF(Adat!$AH:$AH,CONCATENATE(Info!$D$5,"(KÖT)","09551",L1427),Adat!$E:$E)*-1</f>
        <v>0</v>
      </c>
      <c r="H1477" s="72">
        <f>SUMIF(Adat!$AH:$AH,CONCATENATE(Info!$D$5,"(ÖNV)","09551",L1427),Adat!$E:$E)*-1</f>
        <v>0</v>
      </c>
      <c r="I1477" s="72">
        <f>SUMIF(Adat!$AH:$AH,CONCATENATE(Info!$D$5,"(ÁIG)","09551",L1427),Adat!$E:$E)*-1</f>
        <v>0</v>
      </c>
    </row>
    <row r="1478" spans="2:9" x14ac:dyDescent="0.25">
      <c r="B1478" s="160">
        <v>49</v>
      </c>
      <c r="C1478" s="79" t="s">
        <v>36</v>
      </c>
      <c r="D1478" s="79" t="s">
        <v>331</v>
      </c>
      <c r="E1478" s="71">
        <f>SUM(E1479:E1483)</f>
        <v>0</v>
      </c>
      <c r="F1478" s="71">
        <f t="shared" ref="F1478:I1478" si="156">SUM(F1479:F1483)</f>
        <v>0</v>
      </c>
      <c r="G1478" s="71">
        <f t="shared" si="156"/>
        <v>0</v>
      </c>
      <c r="H1478" s="71">
        <f t="shared" si="156"/>
        <v>0</v>
      </c>
      <c r="I1478" s="71">
        <f t="shared" si="156"/>
        <v>0</v>
      </c>
    </row>
    <row r="1479" spans="2:9" x14ac:dyDescent="0.2">
      <c r="B1479" s="160">
        <v>50</v>
      </c>
      <c r="C1479" s="305" t="s">
        <v>1382</v>
      </c>
      <c r="D1479" s="82" t="s">
        <v>1383</v>
      </c>
      <c r="E1479" s="72">
        <f>SUMIF(Adat!$AG:$AG,CONCATENATE(61,Info!$D$5,"09611",L1427),Adat!$E:$E)*-1</f>
        <v>0</v>
      </c>
      <c r="F1479" s="72">
        <f>SUMIF(Adat!$AG:$AG,CONCATENATE(60,Info!$D$5,"09611",L1427),Adat!$E:$E)*-1+E1479</f>
        <v>0</v>
      </c>
      <c r="G1479" s="72">
        <f>SUMIF(Adat!$AH:$AH,CONCATENATE(Info!$D$5,"(KÖT)","09611",L1427),Adat!$E:$E)*-1</f>
        <v>0</v>
      </c>
      <c r="H1479" s="72">
        <f>SUMIF(Adat!$AH:$AH,CONCATENATE(Info!$D$5,"(ÖNV)","09611",L1427),Adat!$E:$E)*-1</f>
        <v>0</v>
      </c>
      <c r="I1479" s="72">
        <f>SUMIF(Adat!$AH:$AH,CONCATENATE(Info!$D$5,"(ÁIG)","09611",L1427),Adat!$E:$E)*-1</f>
        <v>0</v>
      </c>
    </row>
    <row r="1480" spans="2:9" x14ac:dyDescent="0.2">
      <c r="B1480" s="160">
        <v>51</v>
      </c>
      <c r="C1480" s="305" t="s">
        <v>1384</v>
      </c>
      <c r="D1480" s="82" t="s">
        <v>1385</v>
      </c>
      <c r="E1480" s="72">
        <f>SUMIF(Adat!$AG:$AG,CONCATENATE(61,Info!$D$5,"09621",L1427),Adat!$E:$E)*-1</f>
        <v>0</v>
      </c>
      <c r="F1480" s="72">
        <f>SUMIF(Adat!$AG:$AG,CONCATENATE(60,Info!$D$5,"09621",L1427),Adat!$E:$E)*-1+E1480</f>
        <v>0</v>
      </c>
      <c r="G1480" s="72">
        <f>SUMIF(Adat!$AH:$AH,CONCATENATE(Info!$D$5,"(KÖT)","09621",L1427),Adat!$E:$E)*-1</f>
        <v>0</v>
      </c>
      <c r="H1480" s="72">
        <f>SUMIF(Adat!$AH:$AH,CONCATENATE(Info!$D$5,"(ÖNV)","09621",L1427),Adat!$E:$E)*-1</f>
        <v>0</v>
      </c>
      <c r="I1480" s="72">
        <f>SUMIF(Adat!$AH:$AH,CONCATENATE(Info!$D$5,"(ÁIG)","09621",L1427),Adat!$E:$E)*-1</f>
        <v>0</v>
      </c>
    </row>
    <row r="1481" spans="2:9" x14ac:dyDescent="0.2">
      <c r="B1481" s="160">
        <v>52</v>
      </c>
      <c r="C1481" s="305" t="s">
        <v>1386</v>
      </c>
      <c r="D1481" s="82" t="s">
        <v>1387</v>
      </c>
      <c r="E1481" s="72">
        <f>SUMIF(Adat!$AG:$AG,CONCATENATE(61,Info!$D$5,"09631",L1427),Adat!$E:$E)*-1</f>
        <v>0</v>
      </c>
      <c r="F1481" s="72">
        <f>SUMIF(Adat!$AG:$AG,CONCATENATE(60,Info!$D$5,"09631",L1427),Adat!$E:$E)*-1+E1481</f>
        <v>0</v>
      </c>
      <c r="G1481" s="72">
        <f>SUMIF(Adat!$AH:$AH,CONCATENATE(Info!$D$5,"(KÖT)","09631",L1427),Adat!$E:$E)*-1</f>
        <v>0</v>
      </c>
      <c r="H1481" s="72">
        <f>SUMIF(Adat!$AH:$AH,CONCATENATE(Info!$D$5,"(ÖNV)","09631",L1427),Adat!$E:$E)*-1</f>
        <v>0</v>
      </c>
      <c r="I1481" s="72">
        <f>SUMIF(Adat!$AH:$AH,CONCATENATE(Info!$D$5,"(ÁIG)","09631",L1427),Adat!$E:$E)*-1</f>
        <v>0</v>
      </c>
    </row>
    <row r="1482" spans="2:9" x14ac:dyDescent="0.2">
      <c r="B1482" s="160">
        <v>53</v>
      </c>
      <c r="C1482" s="305" t="s">
        <v>1388</v>
      </c>
      <c r="D1482" s="82" t="s">
        <v>1389</v>
      </c>
      <c r="E1482" s="72">
        <f>SUMIF(Adat!$AG:$AG,CONCATENATE(61,Info!$D$5,"09641",L1427),Adat!$E:$E)*-1</f>
        <v>0</v>
      </c>
      <c r="F1482" s="72">
        <f>SUMIF(Adat!$AG:$AG,CONCATENATE(60,Info!$D$5,"09641",L1427),Adat!$E:$E)*-1+E1482</f>
        <v>0</v>
      </c>
      <c r="G1482" s="72">
        <f>SUMIF(Adat!$AH:$AH,CONCATENATE(Info!$D$5,"(KÖT)","09641",L1427),Adat!$E:$E)*-1</f>
        <v>0</v>
      </c>
      <c r="H1482" s="72">
        <f>SUMIF(Adat!$AH:$AH,CONCATENATE(Info!$D$5,"(ÖNV)","09641",L1427),Adat!$E:$E)*-1</f>
        <v>0</v>
      </c>
      <c r="I1482" s="72">
        <f>SUMIF(Adat!$AH:$AH,CONCATENATE(Info!$D$5,"(ÁIG)","09641",L1427),Adat!$E:$E)*-1</f>
        <v>0</v>
      </c>
    </row>
    <row r="1483" spans="2:9" x14ac:dyDescent="0.2">
      <c r="B1483" s="160">
        <v>54</v>
      </c>
      <c r="C1483" s="305" t="s">
        <v>1310</v>
      </c>
      <c r="D1483" s="82" t="s">
        <v>1390</v>
      </c>
      <c r="E1483" s="72">
        <f>SUMIF(Adat!$AG:$AG,CONCATENATE(61,Info!$D$5,"09651",L1427),Adat!$E:$E)*-1</f>
        <v>0</v>
      </c>
      <c r="F1483" s="72">
        <f>SUMIF(Adat!$AG:$AG,CONCATENATE(60,Info!$D$5,"09651",L1427),Adat!$E:$E)*-1+E1483</f>
        <v>0</v>
      </c>
      <c r="G1483" s="72">
        <f>SUMIF(Adat!$AH:$AH,CONCATENATE(Info!$D$5,"(KÖT)","09651",L1427),Adat!$E:$E)*-1</f>
        <v>0</v>
      </c>
      <c r="H1483" s="72">
        <f>SUMIF(Adat!$AH:$AH,CONCATENATE(Info!$D$5,"(ÖNV)","09651",L1427),Adat!$E:$E)*-1</f>
        <v>0</v>
      </c>
      <c r="I1483" s="72">
        <f>SUMIF(Adat!$AH:$AH,CONCATENATE(Info!$D$5,"(ÁIG)","09651",L1427),Adat!$E:$E)*-1</f>
        <v>0</v>
      </c>
    </row>
    <row r="1484" spans="2:9" x14ac:dyDescent="0.25">
      <c r="B1484" s="160">
        <v>55</v>
      </c>
      <c r="C1484" s="79" t="s">
        <v>38</v>
      </c>
      <c r="D1484" s="85" t="s">
        <v>332</v>
      </c>
      <c r="E1484" s="71">
        <f>SUM(E1485:E1489)</f>
        <v>0</v>
      </c>
      <c r="F1484" s="71">
        <f t="shared" ref="F1484:I1484" si="157">SUM(F1485:F1489)</f>
        <v>0</v>
      </c>
      <c r="G1484" s="71">
        <f t="shared" si="157"/>
        <v>0</v>
      </c>
      <c r="H1484" s="71">
        <f t="shared" si="157"/>
        <v>0</v>
      </c>
      <c r="I1484" s="71">
        <f t="shared" si="157"/>
        <v>0</v>
      </c>
    </row>
    <row r="1485" spans="2:9" x14ac:dyDescent="0.2">
      <c r="B1485" s="160">
        <v>56</v>
      </c>
      <c r="C1485" s="305" t="s">
        <v>1391</v>
      </c>
      <c r="D1485" s="82" t="s">
        <v>1392</v>
      </c>
      <c r="E1485" s="72">
        <f>SUMIF(Adat!$AG:$AG,CONCATENATE(61,Info!$D$5,"09711",L1427),Adat!$E:$E)*-1</f>
        <v>0</v>
      </c>
      <c r="F1485" s="72">
        <f>SUMIF(Adat!$AG:$AG,CONCATENATE(60,Info!$D$5,"09711",L1427),Adat!$E:$E)*-1+E1485</f>
        <v>0</v>
      </c>
      <c r="G1485" s="72">
        <f>SUMIF(Adat!$AH:$AH,CONCATENATE(Info!$D$5,"(KÖT)","09711",L1427),Adat!$E:$E)*-1</f>
        <v>0</v>
      </c>
      <c r="H1485" s="72">
        <f>SUMIF(Adat!$AH:$AH,CONCATENATE(Info!$D$5,"(ÖNV)","09711",L1427),Adat!$E:$E)*-1</f>
        <v>0</v>
      </c>
      <c r="I1485" s="72">
        <f>SUMIF(Adat!$AH:$AH,CONCATENATE(Info!$D$5,"(ÁIG)","09711",L1427),Adat!$E:$E)*-1</f>
        <v>0</v>
      </c>
    </row>
    <row r="1486" spans="2:9" x14ac:dyDescent="0.2">
      <c r="B1486" s="160">
        <v>57</v>
      </c>
      <c r="C1486" s="305" t="s">
        <v>1393</v>
      </c>
      <c r="D1486" s="82" t="s">
        <v>1394</v>
      </c>
      <c r="E1486" s="72">
        <f>SUMIF(Adat!$AG:$AG,CONCATENATE(61,Info!$D$5,"09721",L1427),Adat!$E:$E)*-1</f>
        <v>0</v>
      </c>
      <c r="F1486" s="72">
        <f>SUMIF(Adat!$AG:$AG,CONCATENATE(60,Info!$D$5,"09721",L1427),Adat!$E:$E)*-1+E1486</f>
        <v>0</v>
      </c>
      <c r="G1486" s="72">
        <f>SUMIF(Adat!$AH:$AH,CONCATENATE(Info!$D$5,"(KÖT)","09721",L1427),Adat!$E:$E)*-1</f>
        <v>0</v>
      </c>
      <c r="H1486" s="72">
        <f>SUMIF(Adat!$AH:$AH,CONCATENATE(Info!$D$5,"(ÖNV)","09721",L1427),Adat!$E:$E)*-1</f>
        <v>0</v>
      </c>
      <c r="I1486" s="72">
        <f>SUMIF(Adat!$AH:$AH,CONCATENATE(Info!$D$5,"(ÁIG)","09721",L1427),Adat!$E:$E)*-1</f>
        <v>0</v>
      </c>
    </row>
    <row r="1487" spans="2:9" x14ac:dyDescent="0.2">
      <c r="B1487" s="160">
        <v>58</v>
      </c>
      <c r="C1487" s="305" t="s">
        <v>1395</v>
      </c>
      <c r="D1487" s="82" t="s">
        <v>1396</v>
      </c>
      <c r="E1487" s="72">
        <f>SUMIF(Adat!$AG:$AG,CONCATENATE(61,Info!$D$5,"09731",L1427),Adat!$E:$E)*-1</f>
        <v>0</v>
      </c>
      <c r="F1487" s="72">
        <f>SUMIF(Adat!$AG:$AG,CONCATENATE(60,Info!$D$5,"09731",L1427),Adat!$E:$E)*-1+E1487</f>
        <v>0</v>
      </c>
      <c r="G1487" s="72">
        <f>SUMIF(Adat!$AH:$AH,CONCATENATE(Info!$D$5,"(KÖT)","09731",L1427),Adat!$E:$E)*-1</f>
        <v>0</v>
      </c>
      <c r="H1487" s="72">
        <f>SUMIF(Adat!$AH:$AH,CONCATENATE(Info!$D$5,"(ÖNV)","09731",L1427),Adat!$E:$E)*-1</f>
        <v>0</v>
      </c>
      <c r="I1487" s="72">
        <f>SUMIF(Adat!$AH:$AH,CONCATENATE(Info!$D$5,"(ÁIG)","09731",L1427),Adat!$E:$E)*-1</f>
        <v>0</v>
      </c>
    </row>
    <row r="1488" spans="2:9" x14ac:dyDescent="0.2">
      <c r="B1488" s="160">
        <v>59</v>
      </c>
      <c r="C1488" s="305" t="s">
        <v>1397</v>
      </c>
      <c r="D1488" s="82" t="s">
        <v>1398</v>
      </c>
      <c r="E1488" s="72">
        <f>SUMIF(Adat!$AG:$AG,CONCATENATE(61,Info!$D$5,"09741",L1427),Adat!$E:$E)*-1</f>
        <v>0</v>
      </c>
      <c r="F1488" s="72">
        <f>SUMIF(Adat!$AG:$AG,CONCATENATE(60,Info!$D$5,"09741",L1427),Adat!$E:$E)*-1+E1488</f>
        <v>0</v>
      </c>
      <c r="G1488" s="72">
        <f>SUMIF(Adat!$AH:$AH,CONCATENATE(Info!$D$5,"(KÖT)","09741",L1427),Adat!$E:$E)*-1</f>
        <v>0</v>
      </c>
      <c r="H1488" s="72">
        <f>SUMIF(Adat!$AH:$AH,CONCATENATE(Info!$D$5,"(ÖNV)","09741",L1427),Adat!$E:$E)*-1</f>
        <v>0</v>
      </c>
      <c r="I1488" s="72">
        <f>SUMIF(Adat!$AH:$AH,CONCATENATE(Info!$D$5,"(ÁIG)","09741",L1427),Adat!$E:$E)*-1</f>
        <v>0</v>
      </c>
    </row>
    <row r="1489" spans="2:9" x14ac:dyDescent="0.25">
      <c r="B1489" s="160">
        <v>60</v>
      </c>
      <c r="C1489" s="305" t="s">
        <v>1399</v>
      </c>
      <c r="D1489" s="84" t="s">
        <v>1400</v>
      </c>
      <c r="E1489" s="72">
        <f>SUMIF(Adat!$AG:$AG,CONCATENATE(61,Info!$D$5,"09751",L1427),Adat!$E:$E)*-1</f>
        <v>0</v>
      </c>
      <c r="F1489" s="72">
        <f>SUMIF(Adat!$AG:$AG,CONCATENATE(60,Info!$D$5,"09751",L1427),Adat!$E:$E)*-1+E1489</f>
        <v>0</v>
      </c>
      <c r="G1489" s="72">
        <f>SUMIF(Adat!$AH:$AH,CONCATENATE(Info!$D$5,"(KÖT)","09751",L1427),Adat!$E:$E)*-1</f>
        <v>0</v>
      </c>
      <c r="H1489" s="72">
        <f>SUMIF(Adat!$AH:$AH,CONCATENATE(Info!$D$5,"(ÖNV)","09751",L1427),Adat!$E:$E)*-1</f>
        <v>0</v>
      </c>
      <c r="I1489" s="72">
        <f>SUMIF(Adat!$AH:$AH,CONCATENATE(Info!$D$5,"(ÁIG)","09751",L1427),Adat!$E:$E)*-1</f>
        <v>0</v>
      </c>
    </row>
    <row r="1490" spans="2:9" x14ac:dyDescent="0.25">
      <c r="B1490" s="160">
        <v>61</v>
      </c>
      <c r="C1490" s="78" t="s">
        <v>352</v>
      </c>
      <c r="D1490" s="86" t="s">
        <v>1401</v>
      </c>
      <c r="E1490" s="71">
        <f>+E1431+E1439+E1445+E1451+E1458+E1472+E1478+E1484</f>
        <v>0</v>
      </c>
      <c r="F1490" s="71">
        <f>+F1431+F1439+F1445+F1451+F1458+F1472+F1478+F1484</f>
        <v>0</v>
      </c>
      <c r="G1490" s="71">
        <f>+G1431+G1439+G1445+G1451+G1458+G1472+G1478+G1484</f>
        <v>0</v>
      </c>
      <c r="H1490" s="71">
        <f>+H1431+H1439+H1445+H1451+H1458+H1472+H1478+H1484</f>
        <v>0</v>
      </c>
      <c r="I1490" s="71">
        <f>+I1431+I1439+I1445+I1451+I1458+I1472+I1478+I1484</f>
        <v>0</v>
      </c>
    </row>
    <row r="1491" spans="2:9" x14ac:dyDescent="0.25">
      <c r="B1491" s="160">
        <v>62</v>
      </c>
      <c r="C1491" s="154" t="s">
        <v>1402</v>
      </c>
      <c r="D1491" s="85" t="s">
        <v>1403</v>
      </c>
      <c r="E1491" s="71">
        <f t="shared" ref="E1491:G1491" si="158">SUM(E1492:E1494)</f>
        <v>0</v>
      </c>
      <c r="F1491" s="71">
        <f t="shared" si="158"/>
        <v>0</v>
      </c>
      <c r="G1491" s="71">
        <f t="shared" si="158"/>
        <v>0</v>
      </c>
      <c r="H1491" s="71">
        <f>SUM(H1492:H1494)</f>
        <v>0</v>
      </c>
      <c r="I1491" s="71">
        <f>SUM(I1492:I1494)</f>
        <v>0</v>
      </c>
    </row>
    <row r="1492" spans="2:9" x14ac:dyDescent="0.2">
      <c r="B1492" s="160">
        <v>63</v>
      </c>
      <c r="C1492" s="305" t="s">
        <v>1404</v>
      </c>
      <c r="D1492" s="82" t="s">
        <v>1405</v>
      </c>
      <c r="E1492" s="72">
        <f>SUMIF(Adat!$AG:$AG,CONCATENATE(61,Info!$D$5,"0981111",L1427),Adat!$E:$E)*-1</f>
        <v>0</v>
      </c>
      <c r="F1492" s="72">
        <f>SUMIF(Adat!$AG:$AG,CONCATENATE(60,Info!$D$5,"0981111",L1427),Adat!$E:$E)*-1+E1492</f>
        <v>0</v>
      </c>
      <c r="G1492" s="72">
        <f>SUMIF(Adat!$AH:$AH,CONCATENATE(Info!$D$5,"(KÖT)","0981111",L1427),Adat!$E:$E)*-1</f>
        <v>0</v>
      </c>
      <c r="H1492" s="72">
        <f>SUMIF(Adat!$AH:$AH,CONCATENATE(Info!$D$5,"(ÖNV)","0981111",L1427),Adat!$E:$E)*-1</f>
        <v>0</v>
      </c>
      <c r="I1492" s="72">
        <f>SUMIF(Adat!$AH:$AH,CONCATENATE(Info!$D$5,"(ÁIG)","0981111",L1427),Adat!$E:$E)*-1</f>
        <v>0</v>
      </c>
    </row>
    <row r="1493" spans="2:9" x14ac:dyDescent="0.2">
      <c r="B1493" s="160">
        <v>64</v>
      </c>
      <c r="C1493" s="305" t="s">
        <v>1406</v>
      </c>
      <c r="D1493" s="82" t="s">
        <v>1407</v>
      </c>
      <c r="E1493" s="72">
        <f>SUMIF(Adat!$AG:$AG,CONCATENATE(61,Info!$D$5,"0981121",L1427),Adat!$E:$E)*-1</f>
        <v>0</v>
      </c>
      <c r="F1493" s="72">
        <f>SUMIF(Adat!$AG:$AG,CONCATENATE(60,Info!$D$5,"0981121",L1427),Adat!$E:$E)*-1+E1493</f>
        <v>0</v>
      </c>
      <c r="G1493" s="72">
        <f>SUMIF(Adat!$AH:$AH,CONCATENATE(Info!$D$5,"(KÖT)","0981121",L1427),Adat!$E:$E)*-1</f>
        <v>0</v>
      </c>
      <c r="H1493" s="72">
        <f>SUMIF(Adat!$AH:$AH,CONCATENATE(Info!$D$5,"(ÖNV)","0981121",L1427),Adat!$E:$E)*-1</f>
        <v>0</v>
      </c>
      <c r="I1493" s="72">
        <f>SUMIF(Adat!$AH:$AH,CONCATENATE(Info!$D$5,"(ÁIG)","0981121",L1427),Adat!$E:$E)*-1</f>
        <v>0</v>
      </c>
    </row>
    <row r="1494" spans="2:9" x14ac:dyDescent="0.2">
      <c r="B1494" s="160">
        <v>65</v>
      </c>
      <c r="C1494" s="305" t="s">
        <v>1408</v>
      </c>
      <c r="D1494" s="82" t="s">
        <v>1409</v>
      </c>
      <c r="E1494" s="72">
        <f>SUMIF(Adat!$AG:$AG,CONCATENATE(61,Info!$D$5,"0981131",L1427),Adat!$E:$E)*-1</f>
        <v>0</v>
      </c>
      <c r="F1494" s="72">
        <f>SUMIF(Adat!$AG:$AG,CONCATENATE(60,Info!$D$5,"0981131",L1427),Adat!$E:$E)*-1+E1494</f>
        <v>0</v>
      </c>
      <c r="G1494" s="72">
        <f>SUMIF(Adat!$AH:$AH,CONCATENATE(Info!$D$5,"(KÖT)","0981131",L1427),Adat!$E:$E)*-1</f>
        <v>0</v>
      </c>
      <c r="H1494" s="72">
        <f>SUMIF(Adat!$AH:$AH,CONCATENATE(Info!$D$5,"(ÖNV)","0981131",L1427),Adat!$E:$E)*-1</f>
        <v>0</v>
      </c>
      <c r="I1494" s="72">
        <f>SUMIF(Adat!$AH:$AH,CONCATENATE(Info!$D$5,"(ÁIG)","0981131",L1427),Adat!$E:$E)*-1</f>
        <v>0</v>
      </c>
    </row>
    <row r="1495" spans="2:9" x14ac:dyDescent="0.25">
      <c r="B1495" s="160">
        <v>66</v>
      </c>
      <c r="C1495" s="154" t="s">
        <v>1410</v>
      </c>
      <c r="D1495" s="85" t="s">
        <v>574</v>
      </c>
      <c r="E1495" s="71">
        <f>SUM(E1496:E1499)</f>
        <v>0</v>
      </c>
      <c r="F1495" s="71">
        <f t="shared" ref="F1495" si="159">SUM(F1496:F1499)</f>
        <v>0</v>
      </c>
      <c r="G1495" s="71">
        <f>SUM(G1496:G1499)</f>
        <v>0</v>
      </c>
      <c r="H1495" s="71">
        <f>SUM(H1496:H1499)</f>
        <v>0</v>
      </c>
      <c r="I1495" s="71">
        <f>SUM(I1496:I1499)</f>
        <v>0</v>
      </c>
    </row>
    <row r="1496" spans="2:9" x14ac:dyDescent="0.2">
      <c r="B1496" s="160">
        <v>67</v>
      </c>
      <c r="C1496" s="305" t="s">
        <v>1411</v>
      </c>
      <c r="D1496" s="82" t="s">
        <v>1412</v>
      </c>
      <c r="E1496" s="72">
        <f>SUMIF(Adat!$AG:$AG,CONCATENATE(61,Info!$D$5,"0981211",L1427),Adat!$E:$E)*-1</f>
        <v>0</v>
      </c>
      <c r="F1496" s="72">
        <f>SUMIF(Adat!$AG:$AG,CONCATENATE(60,Info!$D$5,"0981211",L1427),Adat!$E:$E)*-1+E1496</f>
        <v>0</v>
      </c>
      <c r="G1496" s="72">
        <f>SUMIF(Adat!$AH:$AH,CONCATENATE(Info!$D$5,"(KÖT)","0981211",L1427),Adat!$E:$E)*-1</f>
        <v>0</v>
      </c>
      <c r="H1496" s="72">
        <f>SUMIF(Adat!$AH:$AH,CONCATENATE(Info!$D$5,"(ÖNV)","0981211",L1427),Adat!$E:$E)*-1</f>
        <v>0</v>
      </c>
      <c r="I1496" s="72">
        <f>SUMIF(Adat!$AH:$AH,CONCATENATE(Info!$D$5,"(ÁIG)","0981211",L1427),Adat!$E:$E)*-1</f>
        <v>0</v>
      </c>
    </row>
    <row r="1497" spans="2:9" x14ac:dyDescent="0.2">
      <c r="B1497" s="160">
        <v>68</v>
      </c>
      <c r="C1497" s="305" t="s">
        <v>1413</v>
      </c>
      <c r="D1497" s="82" t="s">
        <v>1414</v>
      </c>
      <c r="E1497" s="72">
        <f>SUMIF(Adat!$AG:$AG,CONCATENATE(61,Info!$D$5,"0981221",L1427),Adat!$E:$E)*-1</f>
        <v>0</v>
      </c>
      <c r="F1497" s="72">
        <f>SUMIF(Adat!$AG:$AG,CONCATENATE(60,Info!$D$5,"0981221",L1427),Adat!$E:$E)*-1+E1497</f>
        <v>0</v>
      </c>
      <c r="G1497" s="72">
        <f>SUMIF(Adat!$AH:$AH,CONCATENATE(Info!$D$5,"(KÖT)","0981221",L1427),Adat!$E:$E)*-1</f>
        <v>0</v>
      </c>
      <c r="H1497" s="72">
        <f>SUMIF(Adat!$AH:$AH,CONCATENATE(Info!$D$5,"(ÖNV)","0981221",L1427),Adat!$E:$E)*-1</f>
        <v>0</v>
      </c>
      <c r="I1497" s="72">
        <f>SUMIF(Adat!$AH:$AH,CONCATENATE(Info!$D$5,"(ÁIG)","0981221",L1427),Adat!$E:$E)*-1</f>
        <v>0</v>
      </c>
    </row>
    <row r="1498" spans="2:9" x14ac:dyDescent="0.2">
      <c r="B1498" s="160">
        <v>69</v>
      </c>
      <c r="C1498" s="305" t="s">
        <v>1313</v>
      </c>
      <c r="D1498" s="82" t="s">
        <v>1415</v>
      </c>
      <c r="E1498" s="72">
        <f>SUMIF(Adat!$AG:$AG,CONCATENATE(61,Info!$D$5,"0981231",L1427),Adat!$E:$E)*-1</f>
        <v>0</v>
      </c>
      <c r="F1498" s="72">
        <f>SUMIF(Adat!$AG:$AG,CONCATENATE(60,Info!$D$5,"0981231",L1427),Adat!$E:$E)*-1+E1498</f>
        <v>0</v>
      </c>
      <c r="G1498" s="72">
        <f>SUMIF(Adat!$AH:$AH,CONCATENATE(Info!$D$5,"(KÖT)","0981231",L1427),Adat!$E:$E)*-1</f>
        <v>0</v>
      </c>
      <c r="H1498" s="72">
        <f>SUMIF(Adat!$AH:$AH,CONCATENATE(Info!$D$5,"(ÖNV)","0981231",L1427),Adat!$E:$E)*-1</f>
        <v>0</v>
      </c>
      <c r="I1498" s="72">
        <f>SUMIF(Adat!$AH:$AH,CONCATENATE(Info!$D$5,"(ÁIG)","0981231",L1427),Adat!$E:$E)*-1</f>
        <v>0</v>
      </c>
    </row>
    <row r="1499" spans="2:9" x14ac:dyDescent="0.25">
      <c r="B1499" s="160">
        <v>70</v>
      </c>
      <c r="C1499" s="305" t="s">
        <v>1416</v>
      </c>
      <c r="D1499" s="84" t="s">
        <v>1417</v>
      </c>
      <c r="E1499" s="72">
        <f>SUMIF(Adat!$AG:$AG,CONCATENATE(61,Info!$D$5,"0981241",L1427),Adat!$E:$E)*-1</f>
        <v>0</v>
      </c>
      <c r="F1499" s="72">
        <f>SUMIF(Adat!$AG:$AG,CONCATENATE(60,Info!$D$5,"0981241",L1427),Adat!$E:$E)*-1+E1499</f>
        <v>0</v>
      </c>
      <c r="G1499" s="72">
        <f>SUMIF(Adat!$AH:$AH,CONCATENATE(Info!$D$5,"(KÖT)","0981241",L1427),Adat!$E:$E)*-1</f>
        <v>0</v>
      </c>
      <c r="H1499" s="72">
        <f>SUMIF(Adat!$AH:$AH,CONCATENATE(Info!$D$5,"(ÖNV)","0981241",L1427),Adat!$E:$E)*-1</f>
        <v>0</v>
      </c>
      <c r="I1499" s="72">
        <f>SUMIF(Adat!$AH:$AH,CONCATENATE(Info!$D$5,"(ÁIG)","0981241",L1427),Adat!$E:$E)*-1</f>
        <v>0</v>
      </c>
    </row>
    <row r="1500" spans="2:9" x14ac:dyDescent="0.25">
      <c r="B1500" s="160">
        <v>71</v>
      </c>
      <c r="C1500" s="154" t="s">
        <v>1418</v>
      </c>
      <c r="D1500" s="85" t="s">
        <v>575</v>
      </c>
      <c r="E1500" s="71">
        <f>SUM(E1501:E1502)</f>
        <v>0</v>
      </c>
      <c r="F1500" s="71">
        <f t="shared" ref="F1500" si="160">SUM(F1501:F1502)</f>
        <v>0</v>
      </c>
      <c r="G1500" s="71">
        <f>SUM(G1501:G1502)</f>
        <v>0</v>
      </c>
      <c r="H1500" s="71">
        <f>SUM(H1501:H1502)</f>
        <v>0</v>
      </c>
      <c r="I1500" s="71">
        <f>SUM(I1501:I1502)</f>
        <v>0</v>
      </c>
    </row>
    <row r="1501" spans="2:9" x14ac:dyDescent="0.2">
      <c r="B1501" s="160">
        <v>72</v>
      </c>
      <c r="C1501" s="305" t="s">
        <v>1274</v>
      </c>
      <c r="D1501" s="82" t="s">
        <v>1419</v>
      </c>
      <c r="E1501" s="72">
        <f>SUMIF(Adat!$AG:$AG,CONCATENATE(61,Info!$D$5,"0981311",L1427),Adat!$E:$E)*-1</f>
        <v>0</v>
      </c>
      <c r="F1501" s="72">
        <f>SUMIF(Adat!$AG:$AG,CONCATENATE(60,Info!$D$5,"0981311",L1427),Adat!$E:$E)*-1+E1501</f>
        <v>0</v>
      </c>
      <c r="G1501" s="72">
        <f>SUMIF(Adat!$AH:$AH,CONCATENATE(Info!$D$5,"(KÖT)","0981311",L1427),Adat!$E:$E)*-1</f>
        <v>0</v>
      </c>
      <c r="H1501" s="72">
        <f>SUMIF(Adat!$AH:$AH,CONCATENATE(Info!$D$5,"(ÖNV)","0981311",L1427),Adat!$E:$E)*-1</f>
        <v>0</v>
      </c>
      <c r="I1501" s="72">
        <f>SUMIF(Adat!$AH:$AH,CONCATENATE(Info!$D$5,"(ÁIG)","0981311",L1427),Adat!$E:$E)*-1</f>
        <v>0</v>
      </c>
    </row>
    <row r="1502" spans="2:9" x14ac:dyDescent="0.25">
      <c r="B1502" s="160">
        <v>73</v>
      </c>
      <c r="C1502" s="305" t="s">
        <v>1420</v>
      </c>
      <c r="D1502" s="84" t="s">
        <v>1421</v>
      </c>
      <c r="E1502" s="72">
        <f>SUMIF(Adat!$AG:$AG,CONCATENATE(61,Info!$D$5,"0981321",L1427),Adat!$E:$E)*-1</f>
        <v>0</v>
      </c>
      <c r="F1502" s="72">
        <f>SUMIF(Adat!$AG:$AG,CONCATENATE(60,Info!$D$5,"0981321",L1427),Adat!$E:$E)*-1+E1502</f>
        <v>0</v>
      </c>
      <c r="G1502" s="72">
        <f>SUMIF(Adat!$AH:$AH,CONCATENATE(Info!$D$5,"(KÖT)","0981321",L1427),Adat!$E:$E)*-1</f>
        <v>0</v>
      </c>
      <c r="H1502" s="72">
        <f>SUMIF(Adat!$AH:$AH,CONCATENATE(Info!$D$5,"(ÖNV)","0981321",L1427),Adat!$E:$E)*-1</f>
        <v>0</v>
      </c>
      <c r="I1502" s="72">
        <f>SUMIF(Adat!$AH:$AH,CONCATENATE(Info!$D$5,"(ÁIG)","0981321",L1427),Adat!$E:$E)*-1</f>
        <v>0</v>
      </c>
    </row>
    <row r="1503" spans="2:9" s="42" customFormat="1" x14ac:dyDescent="0.25">
      <c r="B1503" s="160">
        <v>74</v>
      </c>
      <c r="C1503" s="154" t="s">
        <v>1496</v>
      </c>
      <c r="D1503" s="85" t="s">
        <v>576</v>
      </c>
      <c r="E1503" s="71">
        <f>SUM(E1504:E1506)</f>
        <v>0</v>
      </c>
      <c r="F1503" s="71">
        <f t="shared" ref="F1503" si="161">SUM(F1504:F1506)</f>
        <v>0</v>
      </c>
      <c r="G1503" s="71">
        <f>SUM(G1504:G1506)</f>
        <v>0</v>
      </c>
      <c r="H1503" s="71">
        <f>SUM(H1504:H1506)</f>
        <v>0</v>
      </c>
      <c r="I1503" s="71">
        <f>SUM(I1504:I1506)</f>
        <v>0</v>
      </c>
    </row>
    <row r="1504" spans="2:9" x14ac:dyDescent="0.2">
      <c r="B1504" s="160">
        <v>75</v>
      </c>
      <c r="C1504" s="305" t="s">
        <v>1301</v>
      </c>
      <c r="D1504" s="82" t="s">
        <v>1422</v>
      </c>
      <c r="E1504" s="72">
        <f>SUMIF(Adat!$AG:$AG,CONCATENATE(61,Info!$D$5,"098141",L1427),Adat!$E:$E)*-1</f>
        <v>0</v>
      </c>
      <c r="F1504" s="72">
        <f>SUMIF(Adat!$AG:$AG,CONCATENATE(60,Info!$D$5,"098141",L1427),Adat!$E:$E)*-1+E1504</f>
        <v>0</v>
      </c>
      <c r="G1504" s="72">
        <f>SUMIF(Adat!$AH:$AH,CONCATENATE(Info!$D$5,"(KÖT)","098141",L1427),Adat!$E:$E)*-1</f>
        <v>0</v>
      </c>
      <c r="H1504" s="72">
        <f>SUMIF(Adat!$AH:$AH,CONCATENATE(Info!$D$5,"(ÖNV)","098141",L1427),Adat!$E:$E)*-1</f>
        <v>0</v>
      </c>
      <c r="I1504" s="72">
        <f>SUMIF(Adat!$AH:$AH,CONCATENATE(Info!$D$5,"(ÁIG)","098141",L1427),Adat!$E:$E)*-1</f>
        <v>0</v>
      </c>
    </row>
    <row r="1505" spans="2:12" x14ac:dyDescent="0.2">
      <c r="B1505" s="160">
        <v>76</v>
      </c>
      <c r="C1505" s="305" t="s">
        <v>1423</v>
      </c>
      <c r="D1505" s="82" t="s">
        <v>1424</v>
      </c>
      <c r="E1505" s="72">
        <f>SUMIF(Adat!$AG:$AG,CONCATENATE(61,Info!$D$5,"098151",L1427),Adat!$E:$E)*-1</f>
        <v>0</v>
      </c>
      <c r="F1505" s="72">
        <f>SUMIF(Adat!$AG:$AG,CONCATENATE(60,Info!$D$5,"098151",L1427),Adat!$E:$E)*-1+E1505</f>
        <v>0</v>
      </c>
      <c r="G1505" s="72">
        <f>SUMIF(Adat!$AH:$AH,CONCATENATE(Info!$D$5,"(KÖT)","098151",L1427),Adat!$E:$E)*-1</f>
        <v>0</v>
      </c>
      <c r="H1505" s="72">
        <f>SUMIF(Adat!$AH:$AH,CONCATENATE(Info!$D$5,"(ÖNV)","098151",L1427),Adat!$E:$E)*-1</f>
        <v>0</v>
      </c>
      <c r="I1505" s="72">
        <f>SUMIF(Adat!$AH:$AH,CONCATENATE(Info!$D$5,"(ÁIG)","098151",L1427),Adat!$E:$E)*-1</f>
        <v>0</v>
      </c>
    </row>
    <row r="1506" spans="2:12" x14ac:dyDescent="0.25">
      <c r="B1506" s="160">
        <v>77</v>
      </c>
      <c r="C1506" s="305" t="s">
        <v>1425</v>
      </c>
      <c r="D1506" s="84" t="s">
        <v>1426</v>
      </c>
      <c r="E1506" s="72">
        <f>SUMIF(Adat!$AG:$AG,CONCATENATE(61,Info!$D$5,"098171",L1427),Adat!$E:$E)*-1</f>
        <v>0</v>
      </c>
      <c r="F1506" s="72">
        <f>SUMIF(Adat!$AG:$AG,CONCATENATE(60,Info!$D$5,"098171",L1427),Adat!$E:$E)*-1+E1506</f>
        <v>0</v>
      </c>
      <c r="G1506" s="72">
        <f>SUMIF(Adat!$AH:$AH,CONCATENATE(Info!$D$5,"(KÖT)","098171",L1427),Adat!$E:$E)*-1</f>
        <v>0</v>
      </c>
      <c r="H1506" s="72">
        <f>SUMIF(Adat!$AH:$AH,CONCATENATE(Info!$D$5,"(ÖNV)","098171",L1427),Adat!$E:$E)*-1</f>
        <v>0</v>
      </c>
      <c r="I1506" s="72">
        <f>SUMIF(Adat!$AH:$AH,CONCATENATE(Info!$D$5,"(ÁIG)","098171",L1427),Adat!$E:$E)*-1</f>
        <v>0</v>
      </c>
    </row>
    <row r="1507" spans="2:12" x14ac:dyDescent="0.25">
      <c r="B1507" s="160">
        <v>78</v>
      </c>
      <c r="C1507" s="154" t="s">
        <v>1427</v>
      </c>
      <c r="D1507" s="85" t="s">
        <v>577</v>
      </c>
      <c r="E1507" s="71">
        <f>SUM(E1508:E1512)</f>
        <v>0</v>
      </c>
      <c r="F1507" s="71">
        <f t="shared" ref="F1507" si="162">SUM(F1508:F1512)</f>
        <v>0</v>
      </c>
      <c r="G1507" s="71">
        <f>SUM(G1508:G1512)</f>
        <v>0</v>
      </c>
      <c r="H1507" s="71">
        <f>SUM(H1508:H1512)</f>
        <v>0</v>
      </c>
      <c r="I1507" s="71">
        <f>SUM(I1508:I1512)</f>
        <v>0</v>
      </c>
    </row>
    <row r="1508" spans="2:12" x14ac:dyDescent="0.2">
      <c r="B1508" s="160">
        <v>79</v>
      </c>
      <c r="C1508" s="89" t="s">
        <v>1428</v>
      </c>
      <c r="D1508" s="82" t="s">
        <v>1429</v>
      </c>
      <c r="E1508" s="72">
        <f>SUMIF(Adat!$AG:$AG,CONCATENATE(61,Info!$D$5,"098211",L1427),Adat!$E:$E)*-1</f>
        <v>0</v>
      </c>
      <c r="F1508" s="72">
        <f>SUMIF(Adat!$AG:$AG,CONCATENATE(60,Info!$D$5,"098211",L1427),Adat!$E:$E)*-1+E1508</f>
        <v>0</v>
      </c>
      <c r="G1508" s="72">
        <f>SUMIF(Adat!$AH:$AH,CONCATENATE(Info!$D$5,"(KÖT)","098211",L1427),Adat!$E:$E)*-1</f>
        <v>0</v>
      </c>
      <c r="H1508" s="72">
        <f>SUMIF(Adat!$AH:$AH,CONCATENATE(Info!$D$5,"(ÖNV)","098211",L1427),Adat!$E:$E)*-1</f>
        <v>0</v>
      </c>
      <c r="I1508" s="72">
        <f>SUMIF(Adat!$AH:$AH,CONCATENATE(Info!$D$5,"(ÁIG)","098211",L1427),Adat!$E:$E)*-1</f>
        <v>0</v>
      </c>
    </row>
    <row r="1509" spans="2:12" x14ac:dyDescent="0.2">
      <c r="B1509" s="160">
        <v>80</v>
      </c>
      <c r="C1509" s="89" t="s">
        <v>1430</v>
      </c>
      <c r="D1509" s="82" t="s">
        <v>1431</v>
      </c>
      <c r="E1509" s="72">
        <f>SUMIF(Adat!$AG:$AG,CONCATENATE(61,Info!$D$5,"098221",L1427),Adat!$E:$E)*-1</f>
        <v>0</v>
      </c>
      <c r="F1509" s="72">
        <f>SUMIF(Adat!$AG:$AG,CONCATENATE(60,Info!$D$5,"098221",L1427),Adat!$E:$E)*-1+E1509</f>
        <v>0</v>
      </c>
      <c r="G1509" s="72">
        <f>SUMIF(Adat!$AH:$AH,CONCATENATE(Info!$D$5,"(KÖT)","098221",L1427),Adat!$E:$E)*-1</f>
        <v>0</v>
      </c>
      <c r="H1509" s="72">
        <f>SUMIF(Adat!$AH:$AH,CONCATENATE(Info!$D$5,"(ÖNV)","098221",L1427),Adat!$E:$E)*-1</f>
        <v>0</v>
      </c>
      <c r="I1509" s="72">
        <f>SUMIF(Adat!$AH:$AH,CONCATENATE(Info!$D$5,"(ÁIG)","098221",L1427),Adat!$E:$E)*-1</f>
        <v>0</v>
      </c>
    </row>
    <row r="1510" spans="2:12" x14ac:dyDescent="0.2">
      <c r="B1510" s="160">
        <v>81</v>
      </c>
      <c r="C1510" s="89" t="s">
        <v>1432</v>
      </c>
      <c r="D1510" s="82" t="s">
        <v>1433</v>
      </c>
      <c r="E1510" s="72">
        <f>SUMIF(Adat!$AG:$AG,CONCATENATE(61,Info!$D$5,"098231",L1427),Adat!$E:$E)*-1</f>
        <v>0</v>
      </c>
      <c r="F1510" s="72">
        <f>SUMIF(Adat!$AG:$AG,CONCATENATE(60,Info!$D$5,"098231",L1427),Adat!$E:$E)*-1+E1510</f>
        <v>0</v>
      </c>
      <c r="G1510" s="72">
        <f>SUMIF(Adat!$AH:$AH,CONCATENATE(Info!$D$5,"(KÖT)","098231",L1427),Adat!$E:$E)*-1</f>
        <v>0</v>
      </c>
      <c r="H1510" s="72">
        <f>SUMIF(Adat!$AH:$AH,CONCATENATE(Info!$D$5,"(ÖNV)","098231",L1427),Adat!$E:$E)*-1</f>
        <v>0</v>
      </c>
      <c r="I1510" s="72">
        <f>SUMIF(Adat!$AH:$AH,CONCATENATE(Info!$D$5,"(ÁIG)","098231",L1427),Adat!$E:$E)*-1</f>
        <v>0</v>
      </c>
    </row>
    <row r="1511" spans="2:12" x14ac:dyDescent="0.2">
      <c r="B1511" s="160">
        <v>82</v>
      </c>
      <c r="C1511" s="89" t="s">
        <v>1434</v>
      </c>
      <c r="D1511" s="82" t="s">
        <v>1435</v>
      </c>
      <c r="E1511" s="72">
        <f>SUMIF(Adat!$AG:$AG,CONCATENATE(61,Info!$D$5,"098241",L1427),Adat!$E:$E)*-1</f>
        <v>0</v>
      </c>
      <c r="F1511" s="72">
        <f>SUMIF(Adat!$AG:$AG,CONCATENATE(60,Info!$D$5,"098241",L1427),Adat!$E:$E)*-1+E1511</f>
        <v>0</v>
      </c>
      <c r="G1511" s="72">
        <f>SUMIF(Adat!$AH:$AH,CONCATENATE(Info!$D$5,"(KÖT)","098241",L1427),Adat!$E:$E)*-1</f>
        <v>0</v>
      </c>
      <c r="H1511" s="72">
        <f>SUMIF(Adat!$AH:$AH,CONCATENATE(Info!$D$5,"(ÖNV)","098241",L1427),Adat!$E:$E)*-1</f>
        <v>0</v>
      </c>
      <c r="I1511" s="72">
        <f>SUMIF(Adat!$AH:$AH,CONCATENATE(Info!$D$5,"(ÁIG)","098241",L1427),Adat!$E:$E)*-1</f>
        <v>0</v>
      </c>
    </row>
    <row r="1512" spans="2:12" s="42" customFormat="1" x14ac:dyDescent="0.2">
      <c r="B1512" s="160">
        <v>83</v>
      </c>
      <c r="C1512" s="89" t="s">
        <v>1436</v>
      </c>
      <c r="D1512" s="84" t="s">
        <v>1437</v>
      </c>
      <c r="E1512" s="72">
        <f>SUMIF(Adat!$AG:$AG,CONCATENATE(61,Info!$D$5,"098251",L1427),Adat!$E:$E)*-1</f>
        <v>0</v>
      </c>
      <c r="F1512" s="72">
        <f>SUMIF(Adat!$AG:$AG,CONCATENATE(60,Info!$D$5,"098251",L1427),Adat!$E:$E)*-1+E1512</f>
        <v>0</v>
      </c>
      <c r="G1512" s="72">
        <f>SUMIF(Adat!$AH:$AH,CONCATENATE(Info!$D$5,"(KÖT)","098251",L1427),Adat!$E:$E)*-1</f>
        <v>0</v>
      </c>
      <c r="H1512" s="72">
        <f>SUMIF(Adat!$AH:$AH,CONCATENATE(Info!$D$5,"(ÖNV)","098251",L1427),Adat!$E:$E)*-1</f>
        <v>0</v>
      </c>
      <c r="I1512" s="72">
        <f>SUMIF(Adat!$AH:$AH,CONCATENATE(Info!$D$5,"(ÁIG)","098251",L1427),Adat!$E:$E)*-1</f>
        <v>0</v>
      </c>
    </row>
    <row r="1513" spans="2:12" s="42" customFormat="1" x14ac:dyDescent="0.2">
      <c r="B1513" s="160">
        <v>84</v>
      </c>
      <c r="C1513" s="309" t="s">
        <v>1438</v>
      </c>
      <c r="D1513" s="85" t="s">
        <v>1439</v>
      </c>
      <c r="E1513" s="71">
        <f>SUMIF(Adat!$AG:$AG,CONCATENATE(61,Info!$D$5,"09831",L1427),Adat!$E:$E)*-1</f>
        <v>0</v>
      </c>
      <c r="F1513" s="71">
        <f>SUMIF(Adat!$AG:$AG,CONCATENATE(60,Info!$D$5,"09831",L1427),Adat!$E:$E)*-1+E1513</f>
        <v>0</v>
      </c>
      <c r="G1513" s="71">
        <f>SUMIF(Adat!$AH:$AH,CONCATENATE(Info!$D$5,"(KÖT)","09831",L1427),Adat!$E:$E)*-1</f>
        <v>0</v>
      </c>
      <c r="H1513" s="71">
        <f>SUMIF(Adat!$AH:$AH,CONCATENATE(Info!$D$5,"(ÖNV)","09831",L1427),Adat!$E:$E)*-1</f>
        <v>0</v>
      </c>
      <c r="I1513" s="71">
        <f>SUMIF(Adat!$AH:$AH,CONCATENATE(Info!$D$5,"(ÁIG)","09831",L1427),Adat!$E:$E)*-1</f>
        <v>0</v>
      </c>
    </row>
    <row r="1514" spans="2:12" s="42" customFormat="1" x14ac:dyDescent="0.25">
      <c r="B1514" s="160">
        <v>85</v>
      </c>
      <c r="C1514" s="154" t="s">
        <v>1440</v>
      </c>
      <c r="D1514" s="85" t="s">
        <v>1441</v>
      </c>
      <c r="E1514" s="71">
        <f>SUMIF(Adat!$AG:$AG,CONCATENATE(61,Info!$D$5,"09841",L1427),Adat!$E:$E)*-1</f>
        <v>0</v>
      </c>
      <c r="F1514" s="71">
        <f>SUMIF(Adat!$AG:$AG,CONCATENATE(60,Info!$D$5,"09841",L1427),Adat!$E:$E)*-1+E1514</f>
        <v>0</v>
      </c>
      <c r="G1514" s="71">
        <f>SUMIF(Adat!$AH:$AH,CONCATENATE(Info!$D$5,"(KÖT)","09841",L1427),Adat!$E:$E)*-1</f>
        <v>0</v>
      </c>
      <c r="H1514" s="71">
        <f>SUMIF(Adat!$AH:$AH,CONCATENATE(Info!$D$5,"(ÖNV)","09841",L1427),Adat!$E:$E)*-1</f>
        <v>0</v>
      </c>
      <c r="I1514" s="71">
        <f>SUMIF(Adat!$AH:$AH,CONCATENATE(Info!$D$5,"(ÁIG)","09841",L1427),Adat!$E:$E)*-1</f>
        <v>0</v>
      </c>
    </row>
    <row r="1515" spans="2:12" s="42" customFormat="1" x14ac:dyDescent="0.25">
      <c r="B1515" s="160">
        <v>86</v>
      </c>
      <c r="C1515" s="154" t="s">
        <v>358</v>
      </c>
      <c r="D1515" s="87" t="s">
        <v>1442</v>
      </c>
      <c r="E1515" s="71">
        <f>+E1491+E1495+E1500+E1503+E1507+E1514+E1513</f>
        <v>0</v>
      </c>
      <c r="F1515" s="71">
        <f t="shared" ref="F1515" si="163">+F1491+F1495+F1500+F1503+F1507+F1514+F1513</f>
        <v>0</v>
      </c>
      <c r="G1515" s="71">
        <f>+G1491+G1495+G1500+G1503+G1507+G1514+G1513</f>
        <v>0</v>
      </c>
      <c r="H1515" s="71">
        <f>+H1491+H1495+H1500+H1503+H1507+H1514+H1513</f>
        <v>0</v>
      </c>
      <c r="I1515" s="71">
        <f>+I1491+I1495+I1500+I1503+I1507+I1514+I1513</f>
        <v>0</v>
      </c>
    </row>
    <row r="1516" spans="2:12" s="42" customFormat="1" x14ac:dyDescent="0.25">
      <c r="B1516" s="160">
        <v>87</v>
      </c>
      <c r="C1516" s="154" t="s">
        <v>364</v>
      </c>
      <c r="D1516" s="87" t="s">
        <v>1497</v>
      </c>
      <c r="E1516" s="71">
        <f>+E1490+E1515</f>
        <v>0</v>
      </c>
      <c r="F1516" s="71">
        <f t="shared" ref="F1516" si="164">+F1490+F1515</f>
        <v>0</v>
      </c>
      <c r="G1516" s="71">
        <f>+G1490+G1515</f>
        <v>0</v>
      </c>
      <c r="H1516" s="71">
        <f>+H1490+H1515</f>
        <v>0</v>
      </c>
      <c r="I1516" s="71">
        <f>+I1490+I1515</f>
        <v>0</v>
      </c>
    </row>
    <row r="1517" spans="2:12" s="38" customFormat="1" ht="15.75" x14ac:dyDescent="0.25">
      <c r="C1517" s="156"/>
      <c r="E1517" s="140"/>
      <c r="F1517" s="140"/>
      <c r="G1517" s="140"/>
      <c r="H1517" s="140"/>
      <c r="I1517" s="140"/>
    </row>
    <row r="1518" spans="2:12" s="10" customFormat="1" ht="15.75" customHeight="1" x14ac:dyDescent="0.25">
      <c r="B1518" s="201" t="str">
        <f>CONCATENATE("22. Kiadási jogcímek"," - ",L1518," részletező")</f>
        <v>22. Kiadási jogcímek -  részletező</v>
      </c>
      <c r="C1518" s="101"/>
      <c r="D1518" s="101"/>
      <c r="E1518" s="101"/>
      <c r="F1518" s="101"/>
      <c r="G1518" s="198"/>
      <c r="H1518" s="198"/>
      <c r="I1518" s="198"/>
      <c r="L1518" s="384"/>
    </row>
    <row r="1519" spans="2:12" s="38" customFormat="1" ht="15.75" x14ac:dyDescent="0.25">
      <c r="C1519" s="156"/>
      <c r="E1519" s="140"/>
      <c r="F1519" s="140"/>
      <c r="G1519" s="140"/>
      <c r="H1519" s="140"/>
      <c r="I1519" s="140"/>
    </row>
    <row r="1520" spans="2:12" s="40" customFormat="1" x14ac:dyDescent="0.25">
      <c r="B1520" s="77"/>
      <c r="C1520" s="77" t="s">
        <v>350</v>
      </c>
      <c r="D1520" s="77" t="s">
        <v>351</v>
      </c>
      <c r="E1520" s="77" t="s">
        <v>470</v>
      </c>
      <c r="F1520" s="77" t="s">
        <v>471</v>
      </c>
      <c r="G1520" s="77" t="s">
        <v>44</v>
      </c>
      <c r="H1520" s="77" t="s">
        <v>42</v>
      </c>
      <c r="I1520" s="77" t="s">
        <v>511</v>
      </c>
    </row>
    <row r="1521" spans="2:9" s="41" customFormat="1" ht="38.25" x14ac:dyDescent="0.25">
      <c r="B1521" s="160">
        <v>1</v>
      </c>
      <c r="C1521" s="154" t="s">
        <v>593</v>
      </c>
      <c r="D1521" s="154" t="s">
        <v>488</v>
      </c>
      <c r="E1521" s="163" t="str">
        <f>CONCATENATE(PAR!$H$3," évi
eredeti 
előirányzat")</f>
        <v>2025. évi
eredeti 
előirányzat</v>
      </c>
      <c r="F1521" s="163" t="str">
        <f>CONCATENATE(PAR!$H$3," évi
módosított 
előirányzat")</f>
        <v>2025. évi
módosított 
előirányzat</v>
      </c>
      <c r="G1521" s="69" t="s">
        <v>666</v>
      </c>
      <c r="H1521" s="69" t="s">
        <v>667</v>
      </c>
      <c r="I1521" s="69" t="s">
        <v>668</v>
      </c>
    </row>
    <row r="1522" spans="2:9" s="42" customFormat="1" x14ac:dyDescent="0.25">
      <c r="B1522" s="160">
        <v>2</v>
      </c>
      <c r="C1522" s="78" t="s">
        <v>352</v>
      </c>
      <c r="D1522" s="92" t="s">
        <v>2663</v>
      </c>
      <c r="E1522" s="71">
        <f>SUM(E1523:E1528)</f>
        <v>0</v>
      </c>
      <c r="F1522" s="71">
        <f>SUM(F1523:F1528)</f>
        <v>0</v>
      </c>
      <c r="G1522" s="71">
        <f>SUM(G1523:G1528)</f>
        <v>0</v>
      </c>
      <c r="H1522" s="71">
        <f>+H1523+H1524+H1525+H1526+H1527+H1528</f>
        <v>0</v>
      </c>
      <c r="I1522" s="71">
        <f>+I1523+I1524+I1525+I1526+I1527+I1528</f>
        <v>0</v>
      </c>
    </row>
    <row r="1523" spans="2:9" x14ac:dyDescent="0.25">
      <c r="B1523" s="160">
        <v>3</v>
      </c>
      <c r="C1523" s="305" t="s">
        <v>315</v>
      </c>
      <c r="D1523" s="161" t="s">
        <v>342</v>
      </c>
      <c r="E1523" s="72">
        <f>SUMIF(Adat!$AI:$AI,CONCATENATE(61,Info!$D$5,"051",L1518),Adat!$E:$E)</f>
        <v>0</v>
      </c>
      <c r="F1523" s="72">
        <f>SUMIF(Adat!$AI:$AI,CONCATENATE(60,Info!$D$5,"051",L1518),Adat!$E:$E)+E1523</f>
        <v>0</v>
      </c>
      <c r="G1523" s="72">
        <f>SUMIF(Adat!$AJ:$AJ,CONCATENATE(Info!$D$5,"051","(KÖT)",L1518),Adat!$E:$E)</f>
        <v>0</v>
      </c>
      <c r="H1523" s="72">
        <f>SUMIF(Adat!$AJ:$AJ,CONCATENATE(Info!$D$5,"051","(ÖNV)",L1518),Adat!$E:$E)</f>
        <v>0</v>
      </c>
      <c r="I1523" s="72">
        <f>SUMIF(Adat!$AJ:$AJ,CONCATENATE(Info!$D$5,"051","(ÁIG)",L1518),Adat!$E:$E)</f>
        <v>0</v>
      </c>
    </row>
    <row r="1524" spans="2:9" x14ac:dyDescent="0.25">
      <c r="B1524" s="160">
        <v>4</v>
      </c>
      <c r="C1524" s="305" t="s">
        <v>317</v>
      </c>
      <c r="D1524" s="161" t="s">
        <v>395</v>
      </c>
      <c r="E1524" s="72">
        <f>SUMIF(Adat!$AI:$AI,CONCATENATE(61,Info!$D$5,"052",L1518),Adat!$E:$E)</f>
        <v>0</v>
      </c>
      <c r="F1524" s="72">
        <f>SUMIF(Adat!$AI:$AI,CONCATENATE(60,Info!$D$5,"052",L1518),Adat!$E:$E)+E1524</f>
        <v>0</v>
      </c>
      <c r="G1524" s="72">
        <f>SUMIF(Adat!$AJ:$AJ,CONCATENATE(Info!$D$5,"052","(KÖT)",L1518),Adat!$E:$E)</f>
        <v>0</v>
      </c>
      <c r="H1524" s="72">
        <f>SUMIF(Adat!$AJ:$AJ,CONCATENATE(Info!$D$5,"052","(ÖNV)",L1518),Adat!$E:$E)</f>
        <v>0</v>
      </c>
      <c r="I1524" s="72">
        <f>SUMIF(Adat!$AJ:$AJ,CONCATENATE(Info!$D$5,"052","(ÁIG)",L1518),Adat!$E:$E)</f>
        <v>0</v>
      </c>
    </row>
    <row r="1525" spans="2:9" x14ac:dyDescent="0.25">
      <c r="B1525" s="160">
        <v>5</v>
      </c>
      <c r="C1525" s="305" t="s">
        <v>4</v>
      </c>
      <c r="D1525" s="161" t="s">
        <v>344</v>
      </c>
      <c r="E1525" s="72">
        <f>SUMIF(Adat!$AI:$AI,CONCATENATE(61,Info!$D$5,"053",L1518),Adat!$E:$E)</f>
        <v>0</v>
      </c>
      <c r="F1525" s="72">
        <f>SUMIF(Adat!$AI:$AI,CONCATENATE(60,Info!$D$5,"053",L1518),Adat!$E:$E)+E1525</f>
        <v>0</v>
      </c>
      <c r="G1525" s="72">
        <f>SUMIF(Adat!$AJ:$AJ,CONCATENATE(Info!$D$5,"053","(KÖT)",L1518),Adat!$E:$E)</f>
        <v>0</v>
      </c>
      <c r="H1525" s="72">
        <f>SUMIF(Adat!$AJ:$AJ,CONCATENATE(Info!$D$5,"053","(ÖNV)",L1518),Adat!$E:$E)</f>
        <v>0</v>
      </c>
      <c r="I1525" s="72">
        <f>SUMIF(Adat!$AJ:$AJ,CONCATENATE(Info!$D$5,"053","(ÁIG)",L1518),Adat!$E:$E)</f>
        <v>0</v>
      </c>
    </row>
    <row r="1526" spans="2:9" x14ac:dyDescent="0.25">
      <c r="B1526" s="160">
        <v>6</v>
      </c>
      <c r="C1526" s="305" t="s">
        <v>6</v>
      </c>
      <c r="D1526" s="161" t="s">
        <v>345</v>
      </c>
      <c r="E1526" s="72">
        <f>SUMIF(Adat!$AI:$AI,CONCATENATE(61,Info!$D$5,"054",L1518),Adat!$E:$E)</f>
        <v>0</v>
      </c>
      <c r="F1526" s="72">
        <f>SUMIF(Adat!$AI:$AI,CONCATENATE(60,Info!$D$5,"054",L1518),Adat!$E:$E)+E1526</f>
        <v>0</v>
      </c>
      <c r="G1526" s="72">
        <f>SUMIF(Adat!$AJ:$AJ,CONCATENATE(Info!$D$5,"054","(KÖT)",L1518),Adat!$E:$E)</f>
        <v>0</v>
      </c>
      <c r="H1526" s="72">
        <f>SUMIF(Adat!$AJ:$AJ,CONCATENATE(Info!$D$5,"054","(ÖNV)",L1518),Adat!$E:$E)</f>
        <v>0</v>
      </c>
      <c r="I1526" s="72">
        <f>SUMIF(Adat!$AJ:$AJ,CONCATENATE(Info!$D$5,"054","(ÁIG)",L1518),Adat!$E:$E)</f>
        <v>0</v>
      </c>
    </row>
    <row r="1527" spans="2:9" x14ac:dyDescent="0.25">
      <c r="B1527" s="160">
        <v>7</v>
      </c>
      <c r="C1527" s="305" t="s">
        <v>8</v>
      </c>
      <c r="D1527" s="161" t="s">
        <v>321</v>
      </c>
      <c r="E1527" s="72">
        <f>SUMIF(Adat!$AI:$AI,CONCATENATE(61,Info!$D$5,"055",L1518),Adat!$E:$E)-E1528</f>
        <v>0</v>
      </c>
      <c r="F1527" s="72">
        <f>SUMIF(Adat!$AI:$AI,CONCATENATE(60,Info!$D$5,"055",L1518),Adat!$E:$E)+E1527-F1528+E1528</f>
        <v>0</v>
      </c>
      <c r="G1527" s="72">
        <f>SUMIF(Adat!$AJ:$AJ,CONCATENATE(Info!$D$5,"055","(KÖT)",L1518),Adat!$E:$E)-G1528</f>
        <v>0</v>
      </c>
      <c r="H1527" s="72">
        <f>SUMIF(Adat!$AJ:$AJ,CONCATENATE(Info!$D$5,"055","(ÖNV)",L1518),Adat!$E:$E)-H1528</f>
        <v>0</v>
      </c>
      <c r="I1527" s="72">
        <f>SUMIF(Adat!$AJ:$AJ,CONCATENATE(Info!$D$5,"055","(ÁIG)",L1518),Adat!$E:$E)-I1528</f>
        <v>0</v>
      </c>
    </row>
    <row r="1528" spans="2:9" x14ac:dyDescent="0.25">
      <c r="B1528" s="160">
        <v>8</v>
      </c>
      <c r="C1528" s="305" t="s">
        <v>1283</v>
      </c>
      <c r="D1528" s="161" t="s">
        <v>397</v>
      </c>
      <c r="E1528" s="72">
        <f>SUMIF(Adat!$AG:$AG,CONCATENATE(61,Info!$D$5,"055131",L1518),Adat!$E:$E)</f>
        <v>0</v>
      </c>
      <c r="F1528" s="72">
        <f>SUMIF(Adat!$AG:$AG,CONCATENATE(60,Info!$D$5,"055131",L1518),Adat!$E:$E)+E1528</f>
        <v>0</v>
      </c>
      <c r="G1528" s="72">
        <f>SUMIF(Adat!$AH:$AH,CONCATENATE(Info!$D$5,"(KÖT)","055131",L1518),Adat!$E:$E)</f>
        <v>0</v>
      </c>
      <c r="H1528" s="72">
        <f>SUMIF(Adat!$AH:$AH,CONCATENATE(Info!$D$5,"(ÖNV)","055131",L1518),Adat!$E:$E)*-1</f>
        <v>0</v>
      </c>
      <c r="I1528" s="72">
        <f>SUMIF(Adat!$AH:$AH,CONCATENATE(Info!$D$5,"(ÁIG)","055131",L1518),Adat!$E:$E)*-1</f>
        <v>0</v>
      </c>
    </row>
    <row r="1529" spans="2:9" x14ac:dyDescent="0.25">
      <c r="B1529" s="160">
        <v>9</v>
      </c>
      <c r="C1529" s="305" t="s">
        <v>1283</v>
      </c>
      <c r="D1529" s="93" t="s">
        <v>1445</v>
      </c>
      <c r="E1529" s="72">
        <v>0</v>
      </c>
      <c r="F1529" s="72">
        <f>SUM(G1529:I1529)</f>
        <v>0</v>
      </c>
      <c r="G1529" s="72">
        <v>0</v>
      </c>
      <c r="H1529" s="72">
        <v>0</v>
      </c>
      <c r="I1529" s="72">
        <v>0</v>
      </c>
    </row>
    <row r="1530" spans="2:9" x14ac:dyDescent="0.25">
      <c r="B1530" s="160">
        <v>10</v>
      </c>
      <c r="C1530" s="305" t="s">
        <v>1283</v>
      </c>
      <c r="D1530" s="93" t="s">
        <v>1446</v>
      </c>
      <c r="E1530" s="72">
        <v>0</v>
      </c>
      <c r="F1530" s="72">
        <f>SUM(G1530:I1530)</f>
        <v>0</v>
      </c>
      <c r="G1530" s="72">
        <v>0</v>
      </c>
      <c r="H1530" s="72">
        <v>0</v>
      </c>
      <c r="I1530" s="72">
        <v>0</v>
      </c>
    </row>
    <row r="1531" spans="2:9" x14ac:dyDescent="0.25">
      <c r="B1531" s="160">
        <v>11</v>
      </c>
      <c r="C1531" s="78" t="s">
        <v>358</v>
      </c>
      <c r="D1531" s="92" t="s">
        <v>2664</v>
      </c>
      <c r="E1531" s="71">
        <f>+E1532+E1534+E1536</f>
        <v>0</v>
      </c>
      <c r="F1531" s="71">
        <f>+F1532+F1534+F1536</f>
        <v>0</v>
      </c>
      <c r="G1531" s="71">
        <f>+G1532+G1534+G1536</f>
        <v>0</v>
      </c>
      <c r="H1531" s="71">
        <f>+H1532+H1534+H1536</f>
        <v>0</v>
      </c>
      <c r="I1531" s="71">
        <f>+I1532+I1534+I1536</f>
        <v>0</v>
      </c>
    </row>
    <row r="1532" spans="2:9" x14ac:dyDescent="0.25">
      <c r="B1532" s="160">
        <v>12</v>
      </c>
      <c r="C1532" s="305" t="s">
        <v>10</v>
      </c>
      <c r="D1532" s="317" t="s">
        <v>322</v>
      </c>
      <c r="E1532" s="72">
        <f>SUMIF(Adat!$AI:$AI,CONCATENATE(61,Info!$D$5,"056",L1518),Adat!$E:$E)</f>
        <v>0</v>
      </c>
      <c r="F1532" s="72">
        <f>SUMIF(Adat!$AI:$AI,CONCATENATE(60,Info!$D$5,"056",L1518),Adat!$E:$E)+E1532</f>
        <v>0</v>
      </c>
      <c r="G1532" s="72">
        <f>SUMIF(Adat!$AJ:$AJ,CONCATENATE(Info!$D$5,"056","(KÖT)",L1518),Adat!$E:$E)</f>
        <v>0</v>
      </c>
      <c r="H1532" s="72">
        <f>SUMIF(Adat!$AJ:$AJ,CONCATENATE(Info!$D$5,"056","(ÖNV)",L1518),Adat!$E:$E)</f>
        <v>0</v>
      </c>
      <c r="I1532" s="72">
        <f>SUMIF(Adat!$AJ:$AJ,CONCATENATE(Info!$D$5,"056","(ÁIG)",L1518),Adat!$E:$E)</f>
        <v>0</v>
      </c>
    </row>
    <row r="1533" spans="2:9" x14ac:dyDescent="0.25">
      <c r="B1533" s="160">
        <v>13</v>
      </c>
      <c r="C1533" s="305" t="s">
        <v>10</v>
      </c>
      <c r="D1533" s="317" t="s">
        <v>1448</v>
      </c>
      <c r="E1533" s="72">
        <v>0</v>
      </c>
      <c r="F1533" s="72">
        <f>SUM(G1533:I1533)</f>
        <v>0</v>
      </c>
      <c r="G1533" s="72">
        <v>0</v>
      </c>
      <c r="H1533" s="72">
        <v>0</v>
      </c>
      <c r="I1533" s="72">
        <v>0</v>
      </c>
    </row>
    <row r="1534" spans="2:9" x14ac:dyDescent="0.25">
      <c r="B1534" s="160">
        <v>14</v>
      </c>
      <c r="C1534" s="305" t="s">
        <v>12</v>
      </c>
      <c r="D1534" s="317" t="s">
        <v>323</v>
      </c>
      <c r="E1534" s="72">
        <f>SUMIF(Adat!$AI:$AI,CONCATENATE(61,Info!$D$5,"057",L1518),Adat!$E:$E)</f>
        <v>0</v>
      </c>
      <c r="F1534" s="72">
        <f>SUMIF(Adat!$AI:$AI,CONCATENATE(60,Info!$D$5,"057",L1518),Adat!$E:$E)+E1534</f>
        <v>0</v>
      </c>
      <c r="G1534" s="72">
        <f>SUMIF(Adat!$AJ:$AJ,CONCATENATE(Info!$D$5,"057","(KÖT)",L1518),Adat!$E:$E)</f>
        <v>0</v>
      </c>
      <c r="H1534" s="72">
        <f>SUMIF(Adat!$AJ:$AJ,CONCATENATE(Info!$D$5,"057","(ÖNV)",L1518),Adat!$E:$E)</f>
        <v>0</v>
      </c>
      <c r="I1534" s="72">
        <f>SUMIF(Adat!$AJ:$AJ,CONCATENATE(Info!$D$5,"057","(ÁIG)",L1518),Adat!$E:$E)</f>
        <v>0</v>
      </c>
    </row>
    <row r="1535" spans="2:9" x14ac:dyDescent="0.25">
      <c r="B1535" s="160">
        <v>15</v>
      </c>
      <c r="C1535" s="305" t="s">
        <v>12</v>
      </c>
      <c r="D1535" s="317" t="s">
        <v>1449</v>
      </c>
      <c r="E1535" s="72">
        <v>0</v>
      </c>
      <c r="F1535" s="72">
        <f>SUM(G1535:I1535)</f>
        <v>0</v>
      </c>
      <c r="G1535" s="72">
        <v>0</v>
      </c>
      <c r="H1535" s="72">
        <v>0</v>
      </c>
      <c r="I1535" s="72">
        <v>0</v>
      </c>
    </row>
    <row r="1536" spans="2:9" x14ac:dyDescent="0.25">
      <c r="B1536" s="160">
        <v>16</v>
      </c>
      <c r="C1536" s="305" t="s">
        <v>15</v>
      </c>
      <c r="D1536" s="317" t="s">
        <v>324</v>
      </c>
      <c r="E1536" s="72">
        <f>SUMIF(Adat!$AI:$AI,CONCATENATE(61,Info!$D$5,"058",L1518),Adat!$E:$E)</f>
        <v>0</v>
      </c>
      <c r="F1536" s="72">
        <f>SUMIF(Adat!$AI:$AI,CONCATENATE(60,Info!$D$5,"058",L1518),Adat!$E:$E)+E1536</f>
        <v>0</v>
      </c>
      <c r="G1536" s="72">
        <f>SUMIF(Adat!$AJ:$AJ,CONCATENATE(Info!$D$5,"058","(KÖT)",L1518),Adat!$E:$E)</f>
        <v>0</v>
      </c>
      <c r="H1536" s="72">
        <f>SUMIF(Adat!$AJ:$AJ,CONCATENATE(Info!$D$5,"058","(ÖNV)",L1518),Adat!$E:$E)</f>
        <v>0</v>
      </c>
      <c r="I1536" s="72">
        <f>SUMIF(Adat!$AJ:$AJ,CONCATENATE(Info!$D$5,"058","(ÁIG)",L1518),Adat!$E:$E)</f>
        <v>0</v>
      </c>
    </row>
    <row r="1537" spans="2:18" x14ac:dyDescent="0.25">
      <c r="B1537" s="160">
        <v>17</v>
      </c>
      <c r="C1537" s="78" t="s">
        <v>364</v>
      </c>
      <c r="D1537" s="86" t="s">
        <v>402</v>
      </c>
      <c r="E1537" s="71">
        <f>+E1522+E1531</f>
        <v>0</v>
      </c>
      <c r="F1537" s="71">
        <f>+F1522+F1531</f>
        <v>0</v>
      </c>
      <c r="G1537" s="71">
        <f>+G1522+G1531</f>
        <v>0</v>
      </c>
      <c r="H1537" s="71">
        <f>+H1522+H1531</f>
        <v>0</v>
      </c>
      <c r="I1537" s="71">
        <f>+I1522+I1531</f>
        <v>0</v>
      </c>
    </row>
    <row r="1538" spans="2:18" x14ac:dyDescent="0.25">
      <c r="B1538" s="160">
        <v>18</v>
      </c>
      <c r="C1538" s="78" t="s">
        <v>403</v>
      </c>
      <c r="D1538" s="86" t="s">
        <v>1450</v>
      </c>
      <c r="E1538" s="71">
        <f>+E1539+E1540+E1541</f>
        <v>0</v>
      </c>
      <c r="F1538" s="71">
        <f>+F1539+F1540+F1541</f>
        <v>0</v>
      </c>
      <c r="G1538" s="71">
        <f>+G1539+G1540+G1541</f>
        <v>0</v>
      </c>
      <c r="H1538" s="71">
        <f>+H1539+H1540+H1541</f>
        <v>0</v>
      </c>
      <c r="I1538" s="71">
        <f>+I1539+I1540+I1541</f>
        <v>0</v>
      </c>
    </row>
    <row r="1539" spans="2:18" s="42" customFormat="1" x14ac:dyDescent="0.25">
      <c r="B1539" s="160">
        <v>19</v>
      </c>
      <c r="C1539" s="305" t="s">
        <v>1451</v>
      </c>
      <c r="D1539" s="161" t="s">
        <v>490</v>
      </c>
      <c r="E1539" s="72">
        <f>SUMIF(Adat!$AG:$AG,CONCATENATE(61,Info!$D$5,"0591111",L1518),Adat!$E:$E)</f>
        <v>0</v>
      </c>
      <c r="F1539" s="72">
        <f>SUMIF(Adat!$AG:$AG,CONCATENATE(60,Info!$D$5,"0591111",L1518),Adat!$E:$E)+E1539</f>
        <v>0</v>
      </c>
      <c r="G1539" s="72">
        <f>SUMIF(Adat!$AH:$AH,CONCATENATE(Info!$D$5,"(KÖT)","0591111",L1518),Adat!$E:$E)</f>
        <v>0</v>
      </c>
      <c r="H1539" s="72">
        <f>SUMIF(Adat!$AH:$AH,CONCATENATE(Info!$D$5,"(ÖNV)","0591111",L1518),Adat!$E:$E)</f>
        <v>0</v>
      </c>
      <c r="I1539" s="72">
        <f>SUMIF(Adat!$AH:$AH,CONCATENATE(Info!$D$5,"(ÁIG)","0591111",L1518),Adat!$E:$E)</f>
        <v>0</v>
      </c>
    </row>
    <row r="1540" spans="2:18" x14ac:dyDescent="0.25">
      <c r="B1540" s="160">
        <v>20</v>
      </c>
      <c r="C1540" s="305" t="s">
        <v>1453</v>
      </c>
      <c r="D1540" s="161" t="s">
        <v>406</v>
      </c>
      <c r="E1540" s="72">
        <f>SUMIF(Adat!$AG:$AG,CONCATENATE(61,Info!$D$5,"0591121",L1518),Adat!$E:$E)</f>
        <v>0</v>
      </c>
      <c r="F1540" s="72">
        <f>SUMIF(Adat!$AG:$AG,CONCATENATE(60,Info!$D$5,"0591121",L1518),Adat!$E:$E)+E1540</f>
        <v>0</v>
      </c>
      <c r="G1540" s="72">
        <f>SUMIF(Adat!$AH:$AH,CONCATENATE(Info!$D$5,"(KÖT)","0591121",L1518),Adat!$E:$E)</f>
        <v>0</v>
      </c>
      <c r="H1540" s="72">
        <f>SUMIF(Adat!$AH:$AH,CONCATENATE(Info!$D$5,"(ÖNV)","0591121",L1518),Adat!$E:$E)</f>
        <v>0</v>
      </c>
      <c r="I1540" s="72">
        <f>SUMIF(Adat!$AH:$AH,CONCATENATE(Info!$D$5,"(ÁIG)","0591121",L1518),Adat!$E:$E)</f>
        <v>0</v>
      </c>
    </row>
    <row r="1541" spans="2:18" x14ac:dyDescent="0.25">
      <c r="B1541" s="160">
        <v>21</v>
      </c>
      <c r="C1541" s="305" t="s">
        <v>1455</v>
      </c>
      <c r="D1541" s="161" t="s">
        <v>491</v>
      </c>
      <c r="E1541" s="72">
        <f>SUMIF(Adat!$AG:$AG,CONCATENATE(61,Info!$D$5,"0591131",L1518),Adat!$E:$E)</f>
        <v>0</v>
      </c>
      <c r="F1541" s="72">
        <f>SUMIF(Adat!$AG:$AG,CONCATENATE(60,Info!$D$5,"0591131",L1518),Adat!$E:$E)+E1541</f>
        <v>0</v>
      </c>
      <c r="G1541" s="72">
        <f>SUMIF(Adat!$AH:$AH,CONCATENATE(Info!$D$5,"(KÖT)","0591131",L1518),Adat!$E:$E)</f>
        <v>0</v>
      </c>
      <c r="H1541" s="72">
        <f>SUMIF(Adat!$AH:$AH,CONCATENATE(Info!$D$5,"(ÖNV)","0591131",L1518),Adat!$E:$E)</f>
        <v>0</v>
      </c>
      <c r="I1541" s="72">
        <f>SUMIF(Adat!$AH:$AH,CONCATENATE(Info!$D$5,"(ÁIG)","0591131",L1518),Adat!$E:$E)</f>
        <v>0</v>
      </c>
    </row>
    <row r="1542" spans="2:18" x14ac:dyDescent="0.25">
      <c r="B1542" s="160">
        <v>22</v>
      </c>
      <c r="C1542" s="78" t="s">
        <v>372</v>
      </c>
      <c r="D1542" s="86" t="s">
        <v>1457</v>
      </c>
      <c r="E1542" s="71">
        <f>+E1543+E1544+E1545+E1546+E1547+E1548</f>
        <v>0</v>
      </c>
      <c r="F1542" s="71">
        <f>+F1543+F1544+F1545+F1546+F1547+F1548</f>
        <v>0</v>
      </c>
      <c r="G1542" s="71">
        <f>+G1543+G1544+G1545+G1546+G1547+G1548</f>
        <v>0</v>
      </c>
      <c r="H1542" s="71">
        <f>+H1543+H1544+H1545+H1546+H1547+H1548</f>
        <v>0</v>
      </c>
      <c r="I1542" s="71">
        <f>+I1543+I1544+I1545+I1546+I1547+I1548</f>
        <v>0</v>
      </c>
    </row>
    <row r="1543" spans="2:18" x14ac:dyDescent="0.25">
      <c r="B1543" s="160">
        <v>23</v>
      </c>
      <c r="C1543" s="305" t="s">
        <v>1458</v>
      </c>
      <c r="D1543" s="161" t="s">
        <v>409</v>
      </c>
      <c r="E1543" s="72">
        <f>SUMIF(Adat!$AG:$AG,CONCATENATE(61,Info!$D$5,"0591211",L1518),Adat!$E:$E)</f>
        <v>0</v>
      </c>
      <c r="F1543" s="72">
        <f>SUMIF(Adat!$AG:$AG,CONCATENATE(60,Info!$D$5,"0591211",L1518),Adat!$E:$E)+E1543</f>
        <v>0</v>
      </c>
      <c r="G1543" s="72">
        <f>SUMIF(Adat!$AH:$AH,CONCATENATE(Info!$D$5,"(KÖT)","0591211",L1518),Adat!$E:$E)</f>
        <v>0</v>
      </c>
      <c r="H1543" s="72">
        <f>SUMIF(Adat!$AH:$AH,CONCATENATE(Info!$D$5,"(ÖNV)","0591211",L1518),Adat!$E:$E)</f>
        <v>0</v>
      </c>
      <c r="I1543" s="72">
        <f>SUMIF(Adat!$AH:$AH,CONCATENATE(Info!$D$5,"(ÁIG)","0591211",L1518),Adat!$E:$E)</f>
        <v>0</v>
      </c>
    </row>
    <row r="1544" spans="2:18" x14ac:dyDescent="0.25">
      <c r="B1544" s="160">
        <v>24</v>
      </c>
      <c r="C1544" s="305" t="s">
        <v>1460</v>
      </c>
      <c r="D1544" s="161" t="s">
        <v>410</v>
      </c>
      <c r="E1544" s="72">
        <f>SUMIF(Adat!$AG:$AG,CONCATENATE(61,Info!$D$5,"0591221",L1518),Adat!$E:$E)</f>
        <v>0</v>
      </c>
      <c r="F1544" s="72">
        <f>SUMIF(Adat!$AG:$AG,CONCATENATE(60,Info!$D$5,"0591221",L1518),Adat!$E:$E)+E1544</f>
        <v>0</v>
      </c>
      <c r="G1544" s="72">
        <f>SUMIF(Adat!$AH:$AH,CONCATENATE(Info!$D$5,"(KÖT)","0591221",L1518),Adat!$E:$E)</f>
        <v>0</v>
      </c>
      <c r="H1544" s="72">
        <f>SUMIF(Adat!$AH:$AH,CONCATENATE(Info!$D$5,"(ÖNV)","0591221",L1518),Adat!$E:$E)</f>
        <v>0</v>
      </c>
      <c r="I1544" s="72">
        <f>SUMIF(Adat!$AH:$AH,CONCATENATE(Info!$D$5,"(ÁIG)","0591221",L1518),Adat!$E:$E)</f>
        <v>0</v>
      </c>
    </row>
    <row r="1545" spans="2:18" x14ac:dyDescent="0.25">
      <c r="B1545" s="160">
        <v>25</v>
      </c>
      <c r="C1545" s="305" t="s">
        <v>1462</v>
      </c>
      <c r="D1545" s="161" t="s">
        <v>411</v>
      </c>
      <c r="E1545" s="72">
        <f>SUMIF(Adat!$AG:$AG,CONCATENATE(61,Info!$D$5,"0591231",L1518),Adat!$E:$E)</f>
        <v>0</v>
      </c>
      <c r="F1545" s="72">
        <f>SUMIF(Adat!$AG:$AG,CONCATENATE(60,Info!$D$5,"0591231",L1518),Adat!$E:$E)+E1545</f>
        <v>0</v>
      </c>
      <c r="G1545" s="72">
        <f>SUMIF(Adat!$AH:$AH,CONCATENATE(Info!$D$5,"(KÖT)","0591231",L1518),Adat!$E:$E)</f>
        <v>0</v>
      </c>
      <c r="H1545" s="72">
        <f>SUMIF(Adat!$AH:$AH,CONCATENATE(Info!$D$5,"(ÖNV)","0591231",L1518),Adat!$E:$E)</f>
        <v>0</v>
      </c>
      <c r="I1545" s="72">
        <f>SUMIF(Adat!$AH:$AH,CONCATENATE(Info!$D$5,"(ÁIG)","0591231",L1518),Adat!$E:$E)</f>
        <v>0</v>
      </c>
    </row>
    <row r="1546" spans="2:18" x14ac:dyDescent="0.25">
      <c r="B1546" s="160">
        <v>26</v>
      </c>
      <c r="C1546" s="305" t="s">
        <v>1464</v>
      </c>
      <c r="D1546" s="161" t="s">
        <v>492</v>
      </c>
      <c r="E1546" s="72">
        <f>SUMIF(Adat!$AG:$AG,CONCATENATE(61,Info!$D$5,"0591241",L1518),Adat!$E:$E)</f>
        <v>0</v>
      </c>
      <c r="F1546" s="72">
        <f>SUMIF(Adat!$AG:$AG,CONCATENATE(60,Info!$D$5,"0591241",L1518),Adat!$E:$E)+E1546</f>
        <v>0</v>
      </c>
      <c r="G1546" s="72">
        <f>SUMIF(Adat!$AH:$AH,CONCATENATE(Info!$D$5,"(KÖT)","0591241",L1518),Adat!$E:$E)</f>
        <v>0</v>
      </c>
      <c r="H1546" s="72">
        <f>SUMIF(Adat!$AH:$AH,CONCATENATE(Info!$D$5,"(ÖNV)","0591241",L1518),Adat!$E:$E)</f>
        <v>0</v>
      </c>
      <c r="I1546" s="72">
        <f>SUMIF(Adat!$AH:$AH,CONCATENATE(Info!$D$5,"(ÁIG)","0591241",L1518),Adat!$E:$E)</f>
        <v>0</v>
      </c>
    </row>
    <row r="1547" spans="2:18" x14ac:dyDescent="0.25">
      <c r="B1547" s="160">
        <v>27</v>
      </c>
      <c r="C1547" s="305" t="s">
        <v>1466</v>
      </c>
      <c r="D1547" s="161" t="s">
        <v>413</v>
      </c>
      <c r="E1547" s="72">
        <f>SUMIF(Adat!$AG:$AG,CONCATENATE(61,Info!$D$5,"0591251",L1518),Adat!$E:$E)</f>
        <v>0</v>
      </c>
      <c r="F1547" s="72">
        <f>SUMIF(Adat!$AG:$AG,CONCATENATE(60,Info!$D$5,"0591251",L1518),Adat!$E:$E)+E1547</f>
        <v>0</v>
      </c>
      <c r="G1547" s="72">
        <f>SUMIF(Adat!$AH:$AH,CONCATENATE(Info!$D$5,"(KÖT)","0591251",L1518),Adat!$E:$E)</f>
        <v>0</v>
      </c>
      <c r="H1547" s="72">
        <f>SUMIF(Adat!$AH:$AH,CONCATENATE(Info!$D$5,"(ÖNV)","0591251",L1518),Adat!$E:$E)</f>
        <v>0</v>
      </c>
      <c r="I1547" s="72">
        <f>SUMIF(Adat!$AH:$AH,CONCATENATE(Info!$D$5,"(ÁIG)","0591251",L1518),Adat!$E:$E)</f>
        <v>0</v>
      </c>
    </row>
    <row r="1548" spans="2:18" s="42" customFormat="1" x14ac:dyDescent="0.25">
      <c r="B1548" s="160">
        <v>28</v>
      </c>
      <c r="C1548" s="305" t="s">
        <v>1468</v>
      </c>
      <c r="D1548" s="161" t="s">
        <v>414</v>
      </c>
      <c r="E1548" s="72">
        <f>SUMIF(Adat!$AG:$AG,CONCATENATE(61,Info!$D$5,"0591261",L1518),Adat!$E:$E)</f>
        <v>0</v>
      </c>
      <c r="F1548" s="72">
        <f>SUMIF(Adat!$AG:$AG,CONCATENATE(60,Info!$D$5,"0591261",L1518),Adat!$E:$E)+E1548</f>
        <v>0</v>
      </c>
      <c r="G1548" s="72">
        <f>SUMIF(Adat!$AH:$AH,CONCATENATE(Info!$D$5,"(KÖT)","0591261",L1518),Adat!$E:$E)</f>
        <v>0</v>
      </c>
      <c r="H1548" s="72">
        <f>SUMIF(Adat!$AH:$AH,CONCATENATE(Info!$D$5,"(ÖNV)","0591261",L1518),Adat!$E:$E)</f>
        <v>0</v>
      </c>
      <c r="I1548" s="72">
        <f>SUMIF(Adat!$AH:$AH,CONCATENATE(Info!$D$5,"(ÁIG)","0591261",L1518),Adat!$E:$E)</f>
        <v>0</v>
      </c>
    </row>
    <row r="1549" spans="2:18" x14ac:dyDescent="0.25">
      <c r="B1549" s="160">
        <v>29</v>
      </c>
      <c r="C1549" s="78" t="s">
        <v>379</v>
      </c>
      <c r="D1549" s="86" t="s">
        <v>1470</v>
      </c>
      <c r="E1549" s="71">
        <f>+E1550+E1551+E1553+E1554+E1552</f>
        <v>0</v>
      </c>
      <c r="F1549" s="71">
        <f>+F1550+F1551+F1553+F1554+F1552</f>
        <v>0</v>
      </c>
      <c r="G1549" s="71">
        <f>+G1550+G1551+G1553+G1554+G1552</f>
        <v>0</v>
      </c>
      <c r="H1549" s="71">
        <f>+H1550+H1551+H1553+H1554+H1552</f>
        <v>0</v>
      </c>
      <c r="I1549" s="71">
        <f>+I1550+I1551+I1553+I1554+I1552</f>
        <v>0</v>
      </c>
      <c r="R1549" s="43"/>
    </row>
    <row r="1550" spans="2:18" x14ac:dyDescent="0.25">
      <c r="B1550" s="160">
        <v>30</v>
      </c>
      <c r="C1550" s="305" t="s">
        <v>1471</v>
      </c>
      <c r="D1550" s="161" t="s">
        <v>416</v>
      </c>
      <c r="E1550" s="72">
        <f>SUMIF(Adat!$AG:$AG,CONCATENATE(61,Info!$D$5,"059131",L1518),Adat!$E:$E)</f>
        <v>0</v>
      </c>
      <c r="F1550" s="72">
        <f>SUMIF(Adat!$AG:$AG,CONCATENATE(60,Info!$D$5,"059131",L1518),Adat!$E:$E)+E1550</f>
        <v>0</v>
      </c>
      <c r="G1550" s="72">
        <f>SUMIF(Adat!$AH:$AH,CONCATENATE(Info!$D$5,"(KÖT)","059131",L1518),Adat!$E:$E)</f>
        <v>0</v>
      </c>
      <c r="H1550" s="72">
        <f>SUMIF(Adat!$AH:$AH,CONCATENATE(Info!$D$5,"(ÖNV)","059131",L1518),Adat!$E:$E)</f>
        <v>0</v>
      </c>
      <c r="I1550" s="72">
        <f>SUMIF(Adat!$AH:$AH,CONCATENATE(Info!$D$5,"(ÁIG)","059131",L1518),Adat!$E:$E)</f>
        <v>0</v>
      </c>
    </row>
    <row r="1551" spans="2:18" x14ac:dyDescent="0.25">
      <c r="B1551" s="160">
        <v>31</v>
      </c>
      <c r="C1551" s="305" t="s">
        <v>1287</v>
      </c>
      <c r="D1551" s="161" t="s">
        <v>417</v>
      </c>
      <c r="E1551" s="72">
        <f>SUMIF(Adat!$AG:$AG,CONCATENATE(61,Info!$D$5,"059141",L1518),Adat!$E:$E)</f>
        <v>0</v>
      </c>
      <c r="F1551" s="72">
        <f>SUMIF(Adat!$AG:$AG,CONCATENATE(60,Info!$D$5,"059141",L1518),Adat!$E:$E)+E1551</f>
        <v>0</v>
      </c>
      <c r="G1551" s="72">
        <f>SUMIF(Adat!$AH:$AH,CONCATENATE(Info!$D$5,"(KÖT)","059141",L1518),Adat!$E:$E)</f>
        <v>0</v>
      </c>
      <c r="H1551" s="72">
        <f>SUMIF(Adat!$AH:$AH,CONCATENATE(Info!$D$5,"(ÖNV)","059141",L1518),Adat!$E:$E)</f>
        <v>0</v>
      </c>
      <c r="I1551" s="72">
        <f>SUMIF(Adat!$AH:$AH,CONCATENATE(Info!$D$5,"(ÁIG)","059141",L1518),Adat!$E:$E)</f>
        <v>0</v>
      </c>
    </row>
    <row r="1552" spans="2:18" x14ac:dyDescent="0.25">
      <c r="B1552" s="160">
        <v>32</v>
      </c>
      <c r="C1552" s="316" t="s">
        <v>1253</v>
      </c>
      <c r="D1552" s="161" t="s">
        <v>493</v>
      </c>
      <c r="E1552" s="72">
        <f>SUMIF(Adat!$AG:$AG,CONCATENATE(61,Info!$D$5,"059151",L1518),Adat!$E:$E)</f>
        <v>0</v>
      </c>
      <c r="F1552" s="72">
        <f>SUMIF(Adat!$AG:$AG,CONCATENATE(60,Info!$D$5,"059151",L1518),Adat!$E:$E)+E1552</f>
        <v>0</v>
      </c>
      <c r="G1552" s="72">
        <f>SUMIF(Adat!$AH:$AH,CONCATENATE(Info!$D$5,"(KÖT)","059151",L1518),Adat!$E:$E)</f>
        <v>0</v>
      </c>
      <c r="H1552" s="72">
        <f>SUMIF(Adat!$AH:$AH,CONCATENATE(Info!$D$5,"(ÖNV)","059151",L1518),Adat!$E:$E)</f>
        <v>0</v>
      </c>
      <c r="I1552" s="72">
        <f>SUMIF(Adat!$AH:$AH,CONCATENATE(Info!$D$5,"(ÁIG)","059151",L1518),Adat!$E:$E)</f>
        <v>0</v>
      </c>
    </row>
    <row r="1553" spans="2:9" s="42" customFormat="1" x14ac:dyDescent="0.25">
      <c r="B1553" s="160">
        <v>33</v>
      </c>
      <c r="C1553" s="305" t="s">
        <v>1474</v>
      </c>
      <c r="D1553" s="161" t="s">
        <v>418</v>
      </c>
      <c r="E1553" s="72">
        <f>SUMIF(Adat!$AG:$AG,CONCATENATE(61,Info!$D$5,"059161",L1518),Adat!$E:$E)</f>
        <v>0</v>
      </c>
      <c r="F1553" s="72">
        <f>SUMIF(Adat!$AG:$AG,CONCATENATE(60,Info!$D$5,"059161",L1518),Adat!$E:$E)+E1553</f>
        <v>0</v>
      </c>
      <c r="G1553" s="72">
        <f>SUMIF(Adat!$AH:$AH,CONCATENATE(Info!$D$5,"(KÖT)","059161",L1518),Adat!$E:$E)</f>
        <v>0</v>
      </c>
      <c r="H1553" s="72">
        <f>SUMIF(Adat!$AH:$AH,CONCATENATE(Info!$D$5,"(ÖNV)","059161",L1518),Adat!$E:$E)</f>
        <v>0</v>
      </c>
      <c r="I1553" s="72">
        <f>SUMIF(Adat!$AH:$AH,CONCATENATE(Info!$D$5,"(ÁIG)","059161",L1518),Adat!$E:$E)</f>
        <v>0</v>
      </c>
    </row>
    <row r="1554" spans="2:9" s="42" customFormat="1" x14ac:dyDescent="0.25">
      <c r="B1554" s="160">
        <v>34</v>
      </c>
      <c r="C1554" s="305" t="s">
        <v>1476</v>
      </c>
      <c r="D1554" s="161" t="s">
        <v>419</v>
      </c>
      <c r="E1554" s="72">
        <f>SUMIF(Adat!$AG:$AG,CONCATENATE(61,Info!$D$5,"059171",L1518),Adat!$E:$E)</f>
        <v>0</v>
      </c>
      <c r="F1554" s="72">
        <f>SUMIF(Adat!$AG:$AG,CONCATENATE(60,Info!$D$5,"059171",L1518),Adat!$E:$E)+E1554</f>
        <v>0</v>
      </c>
      <c r="G1554" s="72">
        <f>SUMIF(Adat!$AH:$AH,CONCATENATE(Info!$D$5,"(KÖT)","059171",L1518),Adat!$E:$E)</f>
        <v>0</v>
      </c>
      <c r="H1554" s="72">
        <f>SUMIF(Adat!$AH:$AH,CONCATENATE(Info!$D$5,"(ÖNV)","059171",L1518),Adat!$E:$E)</f>
        <v>0</v>
      </c>
      <c r="I1554" s="72">
        <f>SUMIF(Adat!$AH:$AH,CONCATENATE(Info!$D$5,"(ÁIG)","059171",L1518),Adat!$E:$E)</f>
        <v>0</v>
      </c>
    </row>
    <row r="1555" spans="2:9" s="42" customFormat="1" x14ac:dyDescent="0.25">
      <c r="B1555" s="160">
        <v>35</v>
      </c>
      <c r="C1555" s="78" t="s">
        <v>420</v>
      </c>
      <c r="D1555" s="86" t="s">
        <v>1478</v>
      </c>
      <c r="E1555" s="73">
        <f>+E1556+E1557+E1558+E1559+E1560</f>
        <v>0</v>
      </c>
      <c r="F1555" s="73">
        <f>+F1556+F1557+F1558+F1559+F1560</f>
        <v>0</v>
      </c>
      <c r="G1555" s="73">
        <f>+G1556+G1557+G1558+G1559+G1560</f>
        <v>0</v>
      </c>
      <c r="H1555" s="73">
        <f>+H1556+H1557+H1558+H1559+H1560</f>
        <v>0</v>
      </c>
      <c r="I1555" s="73">
        <f>+I1556+I1557+I1558+I1559+I1560</f>
        <v>0</v>
      </c>
    </row>
    <row r="1556" spans="2:9" s="42" customFormat="1" x14ac:dyDescent="0.25">
      <c r="B1556" s="160">
        <v>36</v>
      </c>
      <c r="C1556" s="305" t="s">
        <v>1479</v>
      </c>
      <c r="D1556" s="161" t="s">
        <v>422</v>
      </c>
      <c r="E1556" s="72">
        <f>SUMIF(Adat!$AG:$AG,CONCATENATE(61,Info!$D$5,"059211",L1518),Adat!$E:$E)</f>
        <v>0</v>
      </c>
      <c r="F1556" s="72">
        <f>SUMIF(Adat!$AG:$AG,CONCATENATE(60,Info!$D$5,"059211",L1518),Adat!$E:$E)+E1556</f>
        <v>0</v>
      </c>
      <c r="G1556" s="72">
        <f>SUMIF(Adat!$AH:$AH,CONCATENATE(Info!$D$5,"(KÖT)","059211",L1518),Adat!$E:$E)</f>
        <v>0</v>
      </c>
      <c r="H1556" s="72">
        <f>SUMIF(Adat!$AH:$AH,CONCATENATE(Info!$D$5,"(ÖNV)","059211",L1518),Adat!$E:$E)</f>
        <v>0</v>
      </c>
      <c r="I1556" s="72">
        <f>SUMIF(Adat!$AH:$AH,CONCATENATE(Info!$D$5,"(ÁIG)","059211",L1518),Adat!$E:$E)</f>
        <v>0</v>
      </c>
    </row>
    <row r="1557" spans="2:9" s="42" customFormat="1" x14ac:dyDescent="0.25">
      <c r="B1557" s="160">
        <v>37</v>
      </c>
      <c r="C1557" s="305" t="s">
        <v>1481</v>
      </c>
      <c r="D1557" s="161" t="s">
        <v>423</v>
      </c>
      <c r="E1557" s="72">
        <f>SUMIF(Adat!$AG:$AG,CONCATENATE(61,Info!$D$5,"059221",L1518),Adat!$E:$E)</f>
        <v>0</v>
      </c>
      <c r="F1557" s="72">
        <f>SUMIF(Adat!$AG:$AG,CONCATENATE(60,Info!$D$5,"059221",L1518),Adat!$E:$E)+E1557</f>
        <v>0</v>
      </c>
      <c r="G1557" s="72">
        <f>SUMIF(Adat!$AH:$AH,CONCATENATE(Info!$D$5,"(KÖT)","059221",L1518),Adat!$E:$E)</f>
        <v>0</v>
      </c>
      <c r="H1557" s="72">
        <f>SUMIF(Adat!$AH:$AH,CONCATENATE(Info!$D$5,"(ÖNV)","059221",L1518),Adat!$E:$E)</f>
        <v>0</v>
      </c>
      <c r="I1557" s="72">
        <f>SUMIF(Adat!$AH:$AH,CONCATENATE(Info!$D$5,"(ÁIG)","059221",L1518),Adat!$E:$E)</f>
        <v>0</v>
      </c>
    </row>
    <row r="1558" spans="2:9" s="42" customFormat="1" x14ac:dyDescent="0.25">
      <c r="B1558" s="160">
        <v>38</v>
      </c>
      <c r="C1558" s="305" t="s">
        <v>1483</v>
      </c>
      <c r="D1558" s="161" t="s">
        <v>424</v>
      </c>
      <c r="E1558" s="72">
        <f>SUMIF(Adat!$AG:$AG,CONCATENATE(61,Info!$D$5,"059231",L1518),Adat!$E:$E)</f>
        <v>0</v>
      </c>
      <c r="F1558" s="72">
        <f>SUMIF(Adat!$AG:$AG,CONCATENATE(60,Info!$D$5,"059231",L1518),Adat!$E:$E)+E1558</f>
        <v>0</v>
      </c>
      <c r="G1558" s="72">
        <f>SUMIF(Adat!$AH:$AH,CONCATENATE(Info!$D$5,"(KÖT)","059231",L1518),Adat!$E:$E)</f>
        <v>0</v>
      </c>
      <c r="H1558" s="72">
        <f>SUMIF(Adat!$AH:$AH,CONCATENATE(Info!$D$5,"(ÖNV)","059231",L1518),Adat!$E:$E)</f>
        <v>0</v>
      </c>
      <c r="I1558" s="72">
        <f>SUMIF(Adat!$AH:$AH,CONCATENATE(Info!$D$5,"(ÁIG)","059231",L1518),Adat!$E:$E)</f>
        <v>0</v>
      </c>
    </row>
    <row r="1559" spans="2:9" s="42" customFormat="1" x14ac:dyDescent="0.25">
      <c r="B1559" s="160">
        <v>39</v>
      </c>
      <c r="C1559" s="305" t="s">
        <v>1485</v>
      </c>
      <c r="D1559" s="161" t="s">
        <v>494</v>
      </c>
      <c r="E1559" s="72">
        <f>SUMIF(Adat!$AG:$AG,CONCATENATE(61,Info!$D$5,"059241",L1518),Adat!$E:$E)</f>
        <v>0</v>
      </c>
      <c r="F1559" s="72">
        <f>SUMIF(Adat!$AG:$AG,CONCATENATE(60,Info!$D$5,"059241",L1518),Adat!$E:$E)+E1559</f>
        <v>0</v>
      </c>
      <c r="G1559" s="72">
        <f>SUMIF(Adat!$AH:$AH,CONCATENATE(Info!$D$5,"(KÖT)","059241",L1518),Adat!$E:$E)</f>
        <v>0</v>
      </c>
      <c r="H1559" s="72">
        <f>SUMIF(Adat!$AH:$AH,CONCATENATE(Info!$D$5,"(ÖNV)","059241",L1518),Adat!$E:$E)</f>
        <v>0</v>
      </c>
      <c r="I1559" s="72">
        <f>SUMIF(Adat!$AH:$AH,CONCATENATE(Info!$D$5,"(ÁIG)","059241",L1518),Adat!$E:$E)</f>
        <v>0</v>
      </c>
    </row>
    <row r="1560" spans="2:9" x14ac:dyDescent="0.25">
      <c r="B1560" s="160">
        <v>40</v>
      </c>
      <c r="C1560" s="305" t="s">
        <v>1487</v>
      </c>
      <c r="D1560" s="161" t="s">
        <v>427</v>
      </c>
      <c r="E1560" s="72">
        <f>SUMIF(Adat!$AG:$AG,CONCATENATE(61,Info!$D$5,"059251",L1518),Adat!$E:$E)</f>
        <v>0</v>
      </c>
      <c r="F1560" s="72">
        <f>SUMIF(Adat!$AG:$AG,CONCATENATE(60,Info!$D$5,"059251",L1518),Adat!$E:$E)+E1560</f>
        <v>0</v>
      </c>
      <c r="G1560" s="72">
        <f>SUMIF(Adat!$AH:$AH,CONCATENATE(Info!$D$5,"(KÖT)","059251",L1518),Adat!$E:$E)</f>
        <v>0</v>
      </c>
      <c r="H1560" s="72">
        <f>SUMIF(Adat!$AH:$AH,CONCATENATE(Info!$D$5,"(ÖNV)","059251",L1518),Adat!$E:$E)</f>
        <v>0</v>
      </c>
      <c r="I1560" s="72">
        <f>SUMIF(Adat!$AH:$AH,CONCATENATE(Info!$D$5,"(ÁIG)","059251",L1518),Adat!$E:$E)</f>
        <v>0</v>
      </c>
    </row>
    <row r="1561" spans="2:9" x14ac:dyDescent="0.25">
      <c r="B1561" s="160">
        <v>41</v>
      </c>
      <c r="C1561" s="162" t="s">
        <v>390</v>
      </c>
      <c r="D1561" s="86" t="s">
        <v>428</v>
      </c>
      <c r="E1561" s="72">
        <f>SUMIF(Adat!$AG:$AG,CONCATENATE(61,Info!$D$5,"05931",L1518),Adat!$E:$E)</f>
        <v>0</v>
      </c>
      <c r="F1561" s="72">
        <f>SUMIF(Adat!$AG:$AG,CONCATENATE(60,Info!$D$5,"05931",L1518),Adat!$E:$E)+E1561</f>
        <v>0</v>
      </c>
      <c r="G1561" s="72">
        <f>SUMIF(Adat!$AH:$AH,CONCATENATE(Info!$D$5,"(KÖT)","05931",L1518),Adat!$E:$E)</f>
        <v>0</v>
      </c>
      <c r="H1561" s="72">
        <f>SUMIF(Adat!$AH:$AH,CONCATENATE(Info!$D$5,"(ÖNV)","05931",L1518),Adat!$E:$E)</f>
        <v>0</v>
      </c>
      <c r="I1561" s="72">
        <f>SUMIF(Adat!$AH:$AH,CONCATENATE(Info!$D$5,"(ÁIG)","05931",L1518),Adat!$E:$E)</f>
        <v>0</v>
      </c>
    </row>
    <row r="1562" spans="2:9" x14ac:dyDescent="0.25">
      <c r="B1562" s="160">
        <v>42</v>
      </c>
      <c r="C1562" s="162" t="s">
        <v>429</v>
      </c>
      <c r="D1562" s="86" t="s">
        <v>430</v>
      </c>
      <c r="E1562" s="72">
        <f>SUMIF(Adat!$AG:$AG,CONCATENATE(61,Info!$D$5,"05941",L1518),Adat!$E:$E)</f>
        <v>0</v>
      </c>
      <c r="F1562" s="72">
        <f>SUMIF(Adat!$AG:$AG,CONCATENATE(60,Info!$D$5,"05941",L1518),Adat!$E:$E)+E1562</f>
        <v>0</v>
      </c>
      <c r="G1562" s="72">
        <f>SUMIF(Adat!$AH:$AH,CONCATENATE(Info!$D$5,"(KÖT)","05941",L1518),Adat!$E:$E)</f>
        <v>0</v>
      </c>
      <c r="H1562" s="72">
        <f>SUMIF(Adat!$AH:$AH,CONCATENATE(Info!$D$5,"(ÖNV)","05941",L1518),Adat!$E:$E)</f>
        <v>0</v>
      </c>
      <c r="I1562" s="72">
        <f>SUMIF(Adat!$AH:$AH,CONCATENATE(Info!$D$5,"(ÁIG)","05941",L1518),Adat!$E:$E)</f>
        <v>0</v>
      </c>
    </row>
    <row r="1563" spans="2:9" x14ac:dyDescent="0.25">
      <c r="B1563" s="160">
        <v>43</v>
      </c>
      <c r="C1563" s="78" t="s">
        <v>431</v>
      </c>
      <c r="D1563" s="86" t="s">
        <v>432</v>
      </c>
      <c r="E1563" s="74">
        <f>+E1538+E1542+E1549+E1555+E1561+E1562</f>
        <v>0</v>
      </c>
      <c r="F1563" s="74">
        <f>+F1538+F1542+F1549+F1555+F1561+F1562</f>
        <v>0</v>
      </c>
      <c r="G1563" s="74">
        <f>+G1538+G1542+G1549+G1555+G1561+G1562</f>
        <v>0</v>
      </c>
      <c r="H1563" s="74">
        <f>+H1538+H1542+H1549+H1555+H1561+H1562</f>
        <v>0</v>
      </c>
      <c r="I1563" s="74">
        <f>+I1538+I1542+I1549+I1555+I1561+I1562</f>
        <v>0</v>
      </c>
    </row>
    <row r="1564" spans="2:9" x14ac:dyDescent="0.25">
      <c r="B1564" s="160">
        <v>44</v>
      </c>
      <c r="C1564" s="154" t="s">
        <v>433</v>
      </c>
      <c r="D1564" s="159" t="s">
        <v>434</v>
      </c>
      <c r="E1564" s="74">
        <f>+E1537+E1563</f>
        <v>0</v>
      </c>
      <c r="F1564" s="74">
        <f>+F1537+F1563</f>
        <v>0</v>
      </c>
      <c r="G1564" s="74">
        <f>+G1537+G1563</f>
        <v>0</v>
      </c>
      <c r="H1564" s="74">
        <f>+H1537+H1563</f>
        <v>0</v>
      </c>
      <c r="I1564" s="74">
        <f>+I1537+I1563</f>
        <v>0</v>
      </c>
    </row>
    <row r="1565" spans="2:9" s="37" customFormat="1" ht="15.75" x14ac:dyDescent="0.25">
      <c r="C1565" s="529"/>
      <c r="D1565" s="529"/>
      <c r="E1565" s="529"/>
      <c r="F1565" s="200"/>
      <c r="G1565" s="200"/>
      <c r="H1565" s="200"/>
      <c r="I1565" s="200"/>
    </row>
    <row r="1566" spans="2:9" s="38" customFormat="1" ht="15.75" x14ac:dyDescent="0.25">
      <c r="B1566" s="525" t="str">
        <f>PAR!$E$3</f>
        <v>Nagymaros Város Önkormányzata</v>
      </c>
      <c r="C1566" s="525"/>
      <c r="D1566" s="525"/>
      <c r="E1566" s="525"/>
      <c r="F1566" s="525"/>
      <c r="G1566" s="525"/>
      <c r="H1566" s="525"/>
      <c r="I1566" s="525"/>
    </row>
    <row r="1567" spans="2:9" s="38" customFormat="1" ht="15.75" x14ac:dyDescent="0.25">
      <c r="B1567" s="525" t="s">
        <v>2660</v>
      </c>
      <c r="C1567" s="525"/>
      <c r="D1567" s="525"/>
      <c r="E1567" s="525"/>
      <c r="F1567" s="525"/>
      <c r="G1567" s="525"/>
      <c r="H1567" s="525"/>
      <c r="I1567" s="525"/>
    </row>
    <row r="1568" spans="2:9" s="38" customFormat="1" ht="15.75" x14ac:dyDescent="0.25">
      <c r="C1568" s="156"/>
      <c r="E1568" s="140"/>
      <c r="F1568" s="140"/>
      <c r="G1568" s="140"/>
      <c r="H1568" s="140"/>
      <c r="I1568" s="140"/>
    </row>
    <row r="1569" spans="2:12" s="10" customFormat="1" ht="15.75" customHeight="1" x14ac:dyDescent="0.25">
      <c r="B1569" s="201" t="str">
        <f>CONCATENATE("23. Bevételi jogcímek"," - ",L1569," részletező")</f>
        <v>23. Bevételi jogcímek -  részletező</v>
      </c>
      <c r="C1569" s="101"/>
      <c r="D1569" s="101"/>
      <c r="E1569" s="101"/>
      <c r="F1569" s="101"/>
      <c r="G1569" s="198"/>
      <c r="H1569" s="198"/>
      <c r="I1569" s="198"/>
      <c r="L1569" s="384"/>
    </row>
    <row r="1570" spans="2:12" s="38" customFormat="1" ht="15.75" x14ac:dyDescent="0.25">
      <c r="C1570" s="156"/>
      <c r="E1570" s="140"/>
      <c r="F1570" s="140"/>
      <c r="G1570" s="140"/>
      <c r="H1570" s="140"/>
      <c r="I1570" s="140"/>
    </row>
    <row r="1571" spans="2:12" s="40" customFormat="1" x14ac:dyDescent="0.25">
      <c r="B1571" s="77"/>
      <c r="C1571" s="77" t="s">
        <v>350</v>
      </c>
      <c r="D1571" s="77" t="s">
        <v>351</v>
      </c>
      <c r="E1571" s="77" t="s">
        <v>470</v>
      </c>
      <c r="F1571" s="77" t="s">
        <v>471</v>
      </c>
      <c r="G1571" s="77" t="s">
        <v>44</v>
      </c>
      <c r="H1571" s="77" t="s">
        <v>42</v>
      </c>
      <c r="I1571" s="77" t="s">
        <v>511</v>
      </c>
    </row>
    <row r="1572" spans="2:12" ht="38.25" x14ac:dyDescent="0.25">
      <c r="B1572" s="160">
        <v>1</v>
      </c>
      <c r="C1572" s="154" t="s">
        <v>593</v>
      </c>
      <c r="D1572" s="154" t="s">
        <v>488</v>
      </c>
      <c r="E1572" s="163" t="str">
        <f>CONCATENATE(PAR!$H$3," évi
eredeti 
előirányzat")</f>
        <v>2025. évi
eredeti 
előirányzat</v>
      </c>
      <c r="F1572" s="163" t="str">
        <f>CONCATENATE(PAR!$H$3," évi
módosított 
előirányzat")</f>
        <v>2025. évi
módosított 
előirányzat</v>
      </c>
      <c r="G1572" s="69" t="s">
        <v>666</v>
      </c>
      <c r="H1572" s="69" t="s">
        <v>667</v>
      </c>
      <c r="I1572" s="69" t="s">
        <v>668</v>
      </c>
    </row>
    <row r="1573" spans="2:12" s="41" customFormat="1" x14ac:dyDescent="0.25">
      <c r="B1573" s="160">
        <v>2</v>
      </c>
      <c r="C1573" s="78" t="s">
        <v>1324</v>
      </c>
      <c r="D1573" s="79" t="s">
        <v>562</v>
      </c>
      <c r="E1573" s="71">
        <f>SUM(E1574:E1580)</f>
        <v>0</v>
      </c>
      <c r="F1573" s="71">
        <f t="shared" ref="F1573:I1573" si="165">SUM(F1574:F1580)</f>
        <v>0</v>
      </c>
      <c r="G1573" s="71">
        <f t="shared" si="165"/>
        <v>0</v>
      </c>
      <c r="H1573" s="71">
        <f t="shared" si="165"/>
        <v>0</v>
      </c>
      <c r="I1573" s="71">
        <f t="shared" si="165"/>
        <v>0</v>
      </c>
    </row>
    <row r="1574" spans="2:12" s="42" customFormat="1" x14ac:dyDescent="0.2">
      <c r="B1574" s="160">
        <v>3</v>
      </c>
      <c r="C1574" s="305" t="s">
        <v>1288</v>
      </c>
      <c r="D1574" s="82" t="s">
        <v>1325</v>
      </c>
      <c r="E1574" s="72">
        <f>SUMIF(Adat!$AG:$AG,CONCATENATE(61,Info!$D$5,"091111",L1569),Adat!$E:$E)*-1</f>
        <v>0</v>
      </c>
      <c r="F1574" s="72">
        <f>SUMIF(Adat!$AG:$AG,CONCATENATE(60,Info!$D$5,"091111",L1569),Adat!$E:$E)*(-1)+E1574</f>
        <v>0</v>
      </c>
      <c r="G1574" s="72">
        <f>SUMIF(Adat!$AH:$AH,CONCATENATE(Info!$D$5,"(KÖT)","091111",L1569),Adat!$E:$E)*-1</f>
        <v>0</v>
      </c>
      <c r="H1574" s="72">
        <f>SUMIF(Adat!$AH:$AH,CONCATENATE(Info!$D$5,"(ÖNV)","091111",L1569),Adat!$E:$E)*-1</f>
        <v>0</v>
      </c>
      <c r="I1574" s="72">
        <f>SUMIF(Adat!$AH:$AH,CONCATENATE(Info!$D$5,"(ÁIG)","091111",L1569),Adat!$E:$E)*-1</f>
        <v>0</v>
      </c>
    </row>
    <row r="1575" spans="2:12" x14ac:dyDescent="0.2">
      <c r="B1575" s="160">
        <v>4</v>
      </c>
      <c r="C1575" s="305" t="s">
        <v>1289</v>
      </c>
      <c r="D1575" s="82" t="s">
        <v>735</v>
      </c>
      <c r="E1575" s="72">
        <f>SUMIF(Adat!$AG:$AG,CONCATENATE(61,Info!$D$5,"091121",L1569),Adat!$E:$E)*-1</f>
        <v>0</v>
      </c>
      <c r="F1575" s="72">
        <f>SUMIF(Adat!$AG:$AG,CONCATENATE(60,Info!$D$5,"091121",L1569),Adat!$E:$E)*-1+E1575</f>
        <v>0</v>
      </c>
      <c r="G1575" s="72">
        <f>SUMIF(Adat!$AH:$AH,CONCATENATE(Info!$D$5,"(KÖT)","091121",L1569),Adat!$E:$E)*-1</f>
        <v>0</v>
      </c>
      <c r="H1575" s="72">
        <f>SUMIF(Adat!$AH:$AH,CONCATENATE(Info!$D$5,"(ÖNV)","091121",L1569),Adat!$E:$E)*-1</f>
        <v>0</v>
      </c>
      <c r="I1575" s="72">
        <f>SUMIF(Adat!$AH:$AH,CONCATENATE(Info!$D$5,"(ÁIG)","091121",L1569),Adat!$E:$E)*-1</f>
        <v>0</v>
      </c>
    </row>
    <row r="1576" spans="2:12" x14ac:dyDescent="0.2">
      <c r="B1576" s="160">
        <v>5</v>
      </c>
      <c r="C1576" s="305" t="s">
        <v>1290</v>
      </c>
      <c r="D1576" s="82" t="s">
        <v>1326</v>
      </c>
      <c r="E1576" s="72">
        <f>SUMIF(Adat!$AG:$AG,CONCATENATE(61,Info!$D$5,"0911311",L1569),Adat!$E:$E)*-1</f>
        <v>0</v>
      </c>
      <c r="F1576" s="72">
        <f>SUMIF(Adat!$AG:$AG,CONCATENATE(60,Info!$D$5,"0911311",L1569),Adat!$E:$E)*-1+E1576</f>
        <v>0</v>
      </c>
      <c r="G1576" s="72">
        <f>SUMIF(Adat!$AH:$AH,CONCATENATE(Info!$D$5,"(KÖT)","0911311",L1569),Adat!$E:$E)*-1</f>
        <v>0</v>
      </c>
      <c r="H1576" s="72">
        <f>SUMIF(Adat!$AH:$AH,CONCATENATE(Info!$D$5,"(ÖNV)","0911311",L1569),Adat!$E:$E)*-1</f>
        <v>0</v>
      </c>
      <c r="I1576" s="72">
        <f>SUMIF(Adat!$AH:$AH,CONCATENATE(Info!$D$5,"(ÁIG)","0911311",L1569),Adat!$E:$E)*-1</f>
        <v>0</v>
      </c>
    </row>
    <row r="1577" spans="2:12" x14ac:dyDescent="0.2">
      <c r="B1577" s="160">
        <v>6</v>
      </c>
      <c r="C1577" s="305" t="s">
        <v>1254</v>
      </c>
      <c r="D1577" s="82" t="s">
        <v>736</v>
      </c>
      <c r="E1577" s="72">
        <f>SUMIF(Adat!$AG:$AG,CONCATENATE(61,Info!$D$5,"0911321",L1569),Adat!$E:$E)*-1</f>
        <v>0</v>
      </c>
      <c r="F1577" s="72">
        <f>SUMIF(Adat!$AG:$AG,CONCATENATE(60,Info!$D$5,"0911321",L1569),Adat!$E:$E)*-1+E1577</f>
        <v>0</v>
      </c>
      <c r="G1577" s="72">
        <f>SUMIF(Adat!$AH:$AH,CONCATENATE(Info!$D$5,"(KÖT)","0911321",L1569),Adat!$E:$E)*-1</f>
        <v>0</v>
      </c>
      <c r="H1577" s="72">
        <f>SUMIF(Adat!$AH:$AH,CONCATENATE(Info!$D$5,"(ÖNV)","0911321",L1569),Adat!$E:$E)*-1</f>
        <v>0</v>
      </c>
      <c r="I1577" s="72">
        <f>SUMIF(Adat!$AH:$AH,CONCATENATE(Info!$D$5,"(ÁIG)","0911321",L1569),Adat!$E:$E)*-1</f>
        <v>0</v>
      </c>
    </row>
    <row r="1578" spans="2:12" x14ac:dyDescent="0.25">
      <c r="B1578" s="160">
        <v>7</v>
      </c>
      <c r="C1578" s="305" t="s">
        <v>1291</v>
      </c>
      <c r="D1578" s="84" t="s">
        <v>737</v>
      </c>
      <c r="E1578" s="72">
        <f>SUMIF(Adat!$AG:$AG,CONCATENATE(61,Info!$D$5,"091141",L1569),Adat!$E:$E)*-1</f>
        <v>0</v>
      </c>
      <c r="F1578" s="72">
        <f>SUMIF(Adat!$AG:$AG,CONCATENATE(60,Info!$D$5,"091141",L1569),Adat!$E:$E)*-1+E1578</f>
        <v>0</v>
      </c>
      <c r="G1578" s="72">
        <f>SUMIF(Adat!$AH:$AH,CONCATENATE(Info!$D$5,"(KÖT)","091141",L1569),Adat!$E:$E)*-1</f>
        <v>0</v>
      </c>
      <c r="H1578" s="72">
        <f>SUMIF(Adat!$AH:$AH,CONCATENATE(Info!$D$5,"(ÖNV)","091141",L1569),Adat!$E:$E)*-1</f>
        <v>0</v>
      </c>
      <c r="I1578" s="72">
        <f>SUMIF(Adat!$AH:$AH,CONCATENATE(Info!$D$5,"(ÁIG)","091141",L1569),Adat!$E:$E)*-1</f>
        <v>0</v>
      </c>
    </row>
    <row r="1579" spans="2:12" x14ac:dyDescent="0.25">
      <c r="B1579" s="160">
        <v>8</v>
      </c>
      <c r="C1579" s="305" t="s">
        <v>1312</v>
      </c>
      <c r="D1579" s="84" t="s">
        <v>738</v>
      </c>
      <c r="E1579" s="72">
        <f>SUMIF(Adat!$AG:$AG,CONCATENATE(61,Info!$D$5,"091151",L1569),Adat!$E:$E)*-1</f>
        <v>0</v>
      </c>
      <c r="F1579" s="72">
        <f>SUMIF(Adat!$AG:$AG,CONCATENATE(60,Info!$D$5,"091151",L1569),Adat!$E:$E)*-1+E1579</f>
        <v>0</v>
      </c>
      <c r="G1579" s="72">
        <f>SUMIF(Adat!$AH:$AH,CONCATENATE(Info!$D$5,"(KÖT)","091151",L1569),Adat!$E:$E)*-1</f>
        <v>0</v>
      </c>
      <c r="H1579" s="72">
        <f>SUMIF(Adat!$AH:$AH,CONCATENATE(Info!$D$5,"(ÖNV)","091151",L1569),Adat!$E:$E)*-1</f>
        <v>0</v>
      </c>
      <c r="I1579" s="72">
        <f>SUMIF(Adat!$AH:$AH,CONCATENATE(Info!$D$5,"(ÁIG)","091151",L1569),Adat!$E:$E)*-1</f>
        <v>0</v>
      </c>
    </row>
    <row r="1580" spans="2:12" s="42" customFormat="1" x14ac:dyDescent="0.25">
      <c r="B1580" s="160">
        <v>9</v>
      </c>
      <c r="C1580" s="305" t="s">
        <v>1308</v>
      </c>
      <c r="D1580" s="84" t="s">
        <v>233</v>
      </c>
      <c r="E1580" s="72">
        <f>SUMIF(Adat!$AG:$AG,CONCATENATE(61,Info!$D$5,"091161",L1569),Adat!$E:$E)*-1</f>
        <v>0</v>
      </c>
      <c r="F1580" s="72">
        <f>SUMIF(Adat!$AG:$AG,CONCATENATE(60,Info!$D$5,"091161",L1569),Adat!$E:$E)*-1+E1580</f>
        <v>0</v>
      </c>
      <c r="G1580" s="72">
        <f>SUMIF(Adat!$AH:$AH,CONCATENATE(Info!$D$5,"(KÖT)","091161",L1569),Adat!$E:$E)*-1</f>
        <v>0</v>
      </c>
      <c r="H1580" s="72">
        <f>SUMIF(Adat!$AH:$AH,CONCATENATE(Info!$D$5,"(ÖNV)","091161",L1569),Adat!$E:$E)*-1</f>
        <v>0</v>
      </c>
      <c r="I1580" s="72">
        <f>SUMIF(Adat!$AH:$AH,CONCATENATE(Info!$D$5,"(ÁIG)","091161",L1569),Adat!$E:$E)*-1</f>
        <v>0</v>
      </c>
    </row>
    <row r="1581" spans="2:12" s="42" customFormat="1" x14ac:dyDescent="0.25">
      <c r="B1581" s="160">
        <v>10</v>
      </c>
      <c r="C1581" s="78" t="s">
        <v>1328</v>
      </c>
      <c r="D1581" s="85" t="s">
        <v>437</v>
      </c>
      <c r="E1581" s="71">
        <f>SUM(E1582:E1586)</f>
        <v>0</v>
      </c>
      <c r="F1581" s="71">
        <f t="shared" ref="F1581" si="166">SUM(F1582:F1586)</f>
        <v>0</v>
      </c>
      <c r="G1581" s="71">
        <f>SUM(G1582:G1586)</f>
        <v>0</v>
      </c>
      <c r="H1581" s="71">
        <f t="shared" ref="H1581:I1581" si="167">SUM(H1582:H1586)</f>
        <v>0</v>
      </c>
      <c r="I1581" s="71">
        <f t="shared" si="167"/>
        <v>0</v>
      </c>
    </row>
    <row r="1582" spans="2:12" s="42" customFormat="1" x14ac:dyDescent="0.2">
      <c r="B1582" s="160">
        <v>11</v>
      </c>
      <c r="C1582" s="305" t="s">
        <v>1329</v>
      </c>
      <c r="D1582" s="82" t="s">
        <v>1330</v>
      </c>
      <c r="E1582" s="72">
        <f>SUMIF(Adat!$AG:$AG,CONCATENATE(61,Info!$D$5,"09121",L1569),Adat!$E:$E)*-1</f>
        <v>0</v>
      </c>
      <c r="F1582" s="72">
        <f>SUMIF(Adat!$AG:$AG,CONCATENATE(60,Info!$D$5,"09121",L1569),Adat!$E:$E)*-1+E1582</f>
        <v>0</v>
      </c>
      <c r="G1582" s="72">
        <f>SUMIF(Adat!$AH:$AH,CONCATENATE(Info!$D$5,"(KÖT)","09121",L1569),Adat!$E:$E)*-1</f>
        <v>0</v>
      </c>
      <c r="H1582" s="72">
        <f>SUMIF(Adat!$AH:$AH,CONCATENATE(Info!$D$5,"(ÖNV)","09121",L1569),Adat!$E:$E)*-1</f>
        <v>0</v>
      </c>
      <c r="I1582" s="72">
        <f>SUMIF(Adat!$AH:$AH,CONCATENATE(Info!$D$5,"(ÁIG)","09121",L1569),Adat!$E:$E)*-1</f>
        <v>0</v>
      </c>
    </row>
    <row r="1583" spans="2:12" s="42" customFormat="1" x14ac:dyDescent="0.2">
      <c r="B1583" s="160">
        <v>12</v>
      </c>
      <c r="C1583" s="305" t="s">
        <v>1331</v>
      </c>
      <c r="D1583" s="82" t="s">
        <v>1332</v>
      </c>
      <c r="E1583" s="72">
        <f>SUMIF(Adat!$AG:$AG,CONCATENATE(61,Info!$D$5,"09131",L1569),Adat!$E:$E)*-1</f>
        <v>0</v>
      </c>
      <c r="F1583" s="72">
        <f>SUMIF(Adat!$AG:$AG,CONCATENATE(60,Info!$D$5,"09131",L1569),Adat!$E:$E)*-1+E1583</f>
        <v>0</v>
      </c>
      <c r="G1583" s="72">
        <f>SUMIF(Adat!$AH:$AH,CONCATENATE(Info!$D$5,"(KÖT)","09131",L1569),Adat!$E:$E)*-1</f>
        <v>0</v>
      </c>
      <c r="H1583" s="72">
        <f>SUMIF(Adat!$AH:$AH,CONCATENATE(Info!$D$5,"(ÖNV)","09131",L1569),Adat!$E:$E)*-1</f>
        <v>0</v>
      </c>
      <c r="I1583" s="72">
        <f>SUMIF(Adat!$AH:$AH,CONCATENATE(Info!$D$5,"(ÁIG)","09131",L1569),Adat!$E:$E)*-1</f>
        <v>0</v>
      </c>
    </row>
    <row r="1584" spans="2:12" s="42" customFormat="1" x14ac:dyDescent="0.2">
      <c r="B1584" s="160">
        <v>13</v>
      </c>
      <c r="C1584" s="305" t="s">
        <v>1333</v>
      </c>
      <c r="D1584" s="82" t="s">
        <v>1334</v>
      </c>
      <c r="E1584" s="72">
        <f>SUMIF(Adat!$AG:$AG,CONCATENATE(61,Info!$D$5,"09141",L1569),Adat!$E:$E)*-1</f>
        <v>0</v>
      </c>
      <c r="F1584" s="72">
        <f>SUMIF(Adat!$AG:$AG,CONCATENATE(60,Info!$D$5,"09141",L1569),Adat!$E:$E)*-1+E1584</f>
        <v>0</v>
      </c>
      <c r="G1584" s="72">
        <f>SUMIF(Adat!$AH:$AH,CONCATENATE(Info!$D$5,"(KÖT)","09141",L1569),Adat!$E:$E)*-1</f>
        <v>0</v>
      </c>
      <c r="H1584" s="72">
        <f>SUMIF(Adat!$AH:$AH,CONCATENATE(Info!$D$5,"(ÖNV)","09141",L1569),Adat!$E:$E)*-1</f>
        <v>0</v>
      </c>
      <c r="I1584" s="72">
        <f>SUMIF(Adat!$AH:$AH,CONCATENATE(Info!$D$5,"(ÁIG)","09141",L1569),Adat!$E:$E)*-1</f>
        <v>0</v>
      </c>
    </row>
    <row r="1585" spans="2:9" s="42" customFormat="1" x14ac:dyDescent="0.2">
      <c r="B1585" s="160">
        <v>14</v>
      </c>
      <c r="C1585" s="305" t="s">
        <v>1335</v>
      </c>
      <c r="D1585" s="82" t="s">
        <v>1336</v>
      </c>
      <c r="E1585" s="72">
        <f>SUMIF(Adat!$AG:$AG,CONCATENATE(61,Info!$D$5,"09151",L1569),Adat!$E:$E)*-1</f>
        <v>0</v>
      </c>
      <c r="F1585" s="72">
        <f>SUMIF(Adat!$AG:$AG,CONCATENATE(60,Info!$D$5,"09151",L1569),Adat!$E:$E)*-1+E1585</f>
        <v>0</v>
      </c>
      <c r="G1585" s="72">
        <f>SUMIF(Adat!$AH:$AH,CONCATENATE(Info!$D$5,"(KÖT)","09151",L1569),Adat!$E:$E)*-1</f>
        <v>0</v>
      </c>
      <c r="H1585" s="72">
        <f>SUMIF(Adat!$AH:$AH,CONCATENATE(Info!$D$5,"(ÖNV)","09151",L1569),Adat!$E:$E)*-1</f>
        <v>0</v>
      </c>
      <c r="I1585" s="72">
        <f>SUMIF(Adat!$AH:$AH,CONCATENATE(Info!$D$5,"(ÁIG)","09151",L1569),Adat!$E:$E)*-1</f>
        <v>0</v>
      </c>
    </row>
    <row r="1586" spans="2:9" s="42" customFormat="1" x14ac:dyDescent="0.2">
      <c r="B1586" s="160">
        <v>15</v>
      </c>
      <c r="C1586" s="305" t="s">
        <v>1278</v>
      </c>
      <c r="D1586" s="82" t="s">
        <v>1337</v>
      </c>
      <c r="E1586" s="72">
        <f>SUMIF(Adat!$AG:$AG,CONCATENATE(61,Info!$D$5,"09161",L1569),Adat!$E:$E)*-1</f>
        <v>0</v>
      </c>
      <c r="F1586" s="72">
        <f>SUMIF(Adat!$AG:$AG,CONCATENATE(60,Info!$D$5,"09161",L1569),Adat!$E:$E)*-1+E1586</f>
        <v>0</v>
      </c>
      <c r="G1586" s="72">
        <f>SUMIF(Adat!$AH:$AH,CONCATENATE(Info!$D$5,"(KÖT)","09161",L1569),Adat!$E:$E)*-1</f>
        <v>0</v>
      </c>
      <c r="H1586" s="72">
        <f>SUMIF(Adat!$AH:$AH,CONCATENATE(Info!$D$5,"(ÖNV)","09161",L1569),Adat!$E:$E)*-1</f>
        <v>0</v>
      </c>
      <c r="I1586" s="72">
        <f>SUMIF(Adat!$AH:$AH,CONCATENATE(Info!$D$5,"(ÁIG)","09161",L1569),Adat!$E:$E)*-1</f>
        <v>0</v>
      </c>
    </row>
    <row r="1587" spans="2:9" x14ac:dyDescent="0.25">
      <c r="B1587" s="160">
        <v>16</v>
      </c>
      <c r="C1587" s="79" t="s">
        <v>24</v>
      </c>
      <c r="D1587" s="79" t="s">
        <v>449</v>
      </c>
      <c r="E1587" s="71">
        <f t="shared" ref="E1587:F1587" si="168">SUM(E1588:E1592)</f>
        <v>0</v>
      </c>
      <c r="F1587" s="71">
        <f t="shared" si="168"/>
        <v>0</v>
      </c>
      <c r="G1587" s="71">
        <f>SUM(G1588:G1592)</f>
        <v>0</v>
      </c>
      <c r="H1587" s="71">
        <f t="shared" ref="H1587:I1587" si="169">SUM(H1588:H1592)</f>
        <v>0</v>
      </c>
      <c r="I1587" s="71">
        <f t="shared" si="169"/>
        <v>0</v>
      </c>
    </row>
    <row r="1588" spans="2:9" x14ac:dyDescent="0.2">
      <c r="B1588" s="160">
        <v>17</v>
      </c>
      <c r="C1588" s="305" t="s">
        <v>1339</v>
      </c>
      <c r="D1588" s="82" t="s">
        <v>1340</v>
      </c>
      <c r="E1588" s="72">
        <f>SUMIF(Adat!$AG:$AG,CONCATENATE(61,Info!$D$5,"09211",L1569),Adat!$E:$E)*-1</f>
        <v>0</v>
      </c>
      <c r="F1588" s="72">
        <f>SUMIF(Adat!$AG:$AG,CONCATENATE(60,Info!$D$5,"09211",L1569),Adat!$E:$E)*-1+E1588</f>
        <v>0</v>
      </c>
      <c r="G1588" s="72">
        <f>SUMIF(Adat!$AH:$AH,CONCATENATE(Info!$D$5,"(KÖT)","09211",L1569),Adat!$E:$E)*-1</f>
        <v>0</v>
      </c>
      <c r="H1588" s="72">
        <f>SUMIF(Adat!$AH:$AH,CONCATENATE(Info!$D$5,"(ÖNV)","09211",L1569),Adat!$E:$E)*-1</f>
        <v>0</v>
      </c>
      <c r="I1588" s="72">
        <f>SUMIF(Adat!$AH:$AH,CONCATENATE(Info!$D$5,"(ÁIG)","09211",L1569),Adat!$E:$E)*-1</f>
        <v>0</v>
      </c>
    </row>
    <row r="1589" spans="2:9" s="42" customFormat="1" x14ac:dyDescent="0.2">
      <c r="B1589" s="160">
        <v>18</v>
      </c>
      <c r="C1589" s="305" t="s">
        <v>1341</v>
      </c>
      <c r="D1589" s="82" t="s">
        <v>1342</v>
      </c>
      <c r="E1589" s="72">
        <f>SUMIF(Adat!$AG:$AG,CONCATENATE(61,Info!$D$5,"09221",L1569),Adat!$E:$E)*-1</f>
        <v>0</v>
      </c>
      <c r="F1589" s="72">
        <f>SUMIF(Adat!$AG:$AG,CONCATENATE(60,Info!$D$5,"09221",L1569),Adat!$E:$E)*-1+E1589</f>
        <v>0</v>
      </c>
      <c r="G1589" s="72">
        <f>SUMIF(Adat!$AH:$AH,CONCATENATE(Info!$D$5,"(KÖT)","09221",L1569),Adat!$E:$E)*-1</f>
        <v>0</v>
      </c>
      <c r="H1589" s="72">
        <f>SUMIF(Adat!$AH:$AH,CONCATENATE(Info!$D$5,"(ÖNV)","09221",L1569),Adat!$E:$E)*-1</f>
        <v>0</v>
      </c>
      <c r="I1589" s="72">
        <f>SUMIF(Adat!$AH:$AH,CONCATENATE(Info!$D$5,"(ÁIG)","09221",L1569),Adat!$E:$E)*-1</f>
        <v>0</v>
      </c>
    </row>
    <row r="1590" spans="2:9" x14ac:dyDescent="0.2">
      <c r="B1590" s="160">
        <v>19</v>
      </c>
      <c r="C1590" s="305" t="s">
        <v>1343</v>
      </c>
      <c r="D1590" s="82" t="s">
        <v>1344</v>
      </c>
      <c r="E1590" s="72">
        <f>SUMIF(Adat!$AG:$AG,CONCATENATE(61,Info!$D$5,"09231",L1569),Adat!$E:$E)*-1</f>
        <v>0</v>
      </c>
      <c r="F1590" s="72">
        <f>SUMIF(Adat!$AG:$AG,CONCATENATE(60,Info!$D$5,"09231",L1569),Adat!$E:$E)*-1+E1590</f>
        <v>0</v>
      </c>
      <c r="G1590" s="72">
        <f>SUMIF(Adat!$AH:$AH,CONCATENATE(Info!$D$5,"(KÖT)","09231",L1569),Adat!$E:$E)*-1</f>
        <v>0</v>
      </c>
      <c r="H1590" s="72">
        <f>SUMIF(Adat!$AH:$AH,CONCATENATE(Info!$D$5,"(ÖNV)","09231",L1569),Adat!$E:$E)*-1</f>
        <v>0</v>
      </c>
      <c r="I1590" s="72">
        <f>SUMIF(Adat!$AH:$AH,CONCATENATE(Info!$D$5,"(ÁIG)","09231",L1569),Adat!$E:$E)*-1</f>
        <v>0</v>
      </c>
    </row>
    <row r="1591" spans="2:9" x14ac:dyDescent="0.2">
      <c r="B1591" s="160">
        <v>20</v>
      </c>
      <c r="C1591" s="305" t="s">
        <v>1345</v>
      </c>
      <c r="D1591" s="82" t="s">
        <v>1346</v>
      </c>
      <c r="E1591" s="72">
        <f>SUMIF(Adat!$AG:$AG,CONCATENATE(61,Info!$D$5,"09241",L1569),Adat!$E:$E)*-1</f>
        <v>0</v>
      </c>
      <c r="F1591" s="72">
        <f>SUMIF(Adat!$AG:$AG,CONCATENATE(60,Info!$D$5,"09241",L1569),Adat!$E:$E)*-1+E1591</f>
        <v>0</v>
      </c>
      <c r="G1591" s="72">
        <f>SUMIF(Adat!$AH:$AH,CONCATENATE(Info!$D$5,"(KÖT)","09241",L1569),Adat!$E:$E)*-1</f>
        <v>0</v>
      </c>
      <c r="H1591" s="72">
        <f>SUMIF(Adat!$AH:$AH,CONCATENATE(Info!$D$5,"(ÖNV)","09241",L1569),Adat!$E:$E)*-1</f>
        <v>0</v>
      </c>
      <c r="I1591" s="72">
        <f>SUMIF(Adat!$AH:$AH,CONCATENATE(Info!$D$5,"(ÁIG)","09241",L1569),Adat!$E:$E)*-1</f>
        <v>0</v>
      </c>
    </row>
    <row r="1592" spans="2:9" x14ac:dyDescent="0.2">
      <c r="B1592" s="160">
        <v>21</v>
      </c>
      <c r="C1592" s="305" t="s">
        <v>1255</v>
      </c>
      <c r="D1592" s="82" t="s">
        <v>1347</v>
      </c>
      <c r="E1592" s="72">
        <f>SUMIF(Adat!$AG:$AG,CONCATENATE(61,Info!$D$5,"09251",L1569),Adat!$E:$E)*-1</f>
        <v>0</v>
      </c>
      <c r="F1592" s="72">
        <f>SUMIF(Adat!$AG:$AG,CONCATENATE(60,Info!$D$5,"09251",L1569),Adat!$E:$E)*-1+E1592</f>
        <v>0</v>
      </c>
      <c r="G1592" s="72">
        <f>SUMIF(Adat!$AH:$AH,CONCATENATE(Info!$D$5,"(KÖT)","09251",L1569),Adat!$E:$E)*-1</f>
        <v>0</v>
      </c>
      <c r="H1592" s="72">
        <f>SUMIF(Adat!$AH:$AH,CONCATENATE(Info!$D$5,"(ÖNV)","09251",L1569),Adat!$E:$E)*-1</f>
        <v>0</v>
      </c>
      <c r="I1592" s="72">
        <f>SUMIF(Adat!$AH:$AH,CONCATENATE(Info!$D$5,"(ÁIG)","09251",L1569),Adat!$E:$E)*-1</f>
        <v>0</v>
      </c>
    </row>
    <row r="1593" spans="2:9" x14ac:dyDescent="0.25">
      <c r="B1593" s="160">
        <v>22</v>
      </c>
      <c r="C1593" s="79" t="s">
        <v>27</v>
      </c>
      <c r="D1593" s="79" t="s">
        <v>328</v>
      </c>
      <c r="E1593" s="71">
        <f>SUM(E1594:E1599)</f>
        <v>0</v>
      </c>
      <c r="F1593" s="71">
        <f>SUM(F1594:F1599)</f>
        <v>0</v>
      </c>
      <c r="G1593" s="71">
        <f>SUM(G1594:G1599)</f>
        <v>0</v>
      </c>
      <c r="H1593" s="71">
        <f>SUM(H1594:H1599)</f>
        <v>0</v>
      </c>
      <c r="I1593" s="71">
        <f>SUM(I1594:I1599)</f>
        <v>0</v>
      </c>
    </row>
    <row r="1594" spans="2:9" x14ac:dyDescent="0.2">
      <c r="B1594" s="160">
        <v>23</v>
      </c>
      <c r="C1594" s="305" t="s">
        <v>1348</v>
      </c>
      <c r="D1594" s="82" t="s">
        <v>1349</v>
      </c>
      <c r="E1594" s="72">
        <f>SUMIF(Adat!$AG:$AG,CONCATENATE(61,Info!$D$5,"093111",L1569),Adat!$E:$E)*-1</f>
        <v>0</v>
      </c>
      <c r="F1594" s="72">
        <f>SUMIF(Adat!$AG:$AG,CONCATENATE(60,Info!$D$5,"093111",L1569),Adat!$E:$E)*-1+E1594</f>
        <v>0</v>
      </c>
      <c r="G1594" s="72">
        <f>SUMIF(Adat!$AH:$AH,CONCATENATE(Info!$D$5,"(KÖT)","093111",L1569),Adat!$E:$E)*-1</f>
        <v>0</v>
      </c>
      <c r="H1594" s="72">
        <f>SUMIF(Adat!$AH:$AH,CONCATENATE(Info!$D$5,"(ÖNV)","093111",L1569),Adat!$E:$E)*-1</f>
        <v>0</v>
      </c>
      <c r="I1594" s="72">
        <f>SUMIF(Adat!$AH:$AH,CONCATENATE(Info!$D$5,"(ÁIG)","093111",L1569),Adat!$E:$E)*-1</f>
        <v>0</v>
      </c>
    </row>
    <row r="1595" spans="2:9" x14ac:dyDescent="0.2">
      <c r="B1595" s="160">
        <v>24</v>
      </c>
      <c r="C1595" s="305" t="s">
        <v>1259</v>
      </c>
      <c r="D1595" s="82" t="s">
        <v>1350</v>
      </c>
      <c r="E1595" s="72">
        <f>SUMIF(Adat!$AG:$AG,CONCATENATE(61,Info!$D$5,"09341",L1569),Adat!$E:$E)*-1</f>
        <v>0</v>
      </c>
      <c r="F1595" s="72">
        <f>SUMIF(Adat!$AG:$AG,CONCATENATE(60,Info!$D$5,"09341",L1569),Adat!$E:$E)*-1+E1595</f>
        <v>0</v>
      </c>
      <c r="G1595" s="72">
        <f>SUMIF(Adat!$AH:$AH,CONCATENATE(Info!$D$5,"(KÖT)","09341",L1569),Adat!$E:$E)*-1</f>
        <v>0</v>
      </c>
      <c r="H1595" s="72">
        <f>SUMIF(Adat!$AH:$AH,CONCATENATE(Info!$D$5,"(ÖNV)","09341",L1569),Adat!$E:$E)*-1</f>
        <v>0</v>
      </c>
      <c r="I1595" s="72">
        <f>SUMIF(Adat!$AH:$AH,CONCATENATE(Info!$D$5,"(ÁIG)","09341",L1569),Adat!$E:$E)*-1</f>
        <v>0</v>
      </c>
    </row>
    <row r="1596" spans="2:9" x14ac:dyDescent="0.2">
      <c r="B1596" s="160">
        <v>25</v>
      </c>
      <c r="C1596" s="305" t="s">
        <v>1260</v>
      </c>
      <c r="D1596" s="82" t="s">
        <v>1351</v>
      </c>
      <c r="E1596" s="72">
        <f>SUMIF(Adat!$AG:$AG,CONCATENATE(61,Info!$D$5,"093511",L1569),Adat!$E:$E)*-1</f>
        <v>0</v>
      </c>
      <c r="F1596" s="72">
        <f>SUMIF(Adat!$AG:$AG,CONCATENATE(60,Info!$D$5,"093511",L1569),Adat!$E:$E)*-1+E1596</f>
        <v>0</v>
      </c>
      <c r="G1596" s="72">
        <f>SUMIF(Adat!$AH:$AH,CONCATENATE(Info!$D$5,"(KÖT)","093511",L1569),Adat!$E:$E)*-1</f>
        <v>0</v>
      </c>
      <c r="H1596" s="72">
        <f>SUMIF(Adat!$AH:$AH,CONCATENATE(Info!$D$5,"(ÖNV)","093511",L1569),Adat!$E:$E)*-1</f>
        <v>0</v>
      </c>
      <c r="I1596" s="72">
        <f>SUMIF(Adat!$AH:$AH,CONCATENATE(Info!$D$5,"(ÁIG)","093511",L1569),Adat!$E:$E)*-1</f>
        <v>0</v>
      </c>
    </row>
    <row r="1597" spans="2:9" x14ac:dyDescent="0.2">
      <c r="B1597" s="160">
        <v>26</v>
      </c>
      <c r="C1597" s="305" t="s">
        <v>1352</v>
      </c>
      <c r="D1597" s="82" t="s">
        <v>1353</v>
      </c>
      <c r="E1597" s="72">
        <f>SUMIF(Adat!$AG:$AG,CONCATENATE(61,Info!$D$5,"093521",L1569),Adat!$E:$E)*-1</f>
        <v>0</v>
      </c>
      <c r="F1597" s="72">
        <f>SUMIF(Adat!$AG:$AG,CONCATENATE(60,Info!$D$5,"093521",L1569),Adat!$E:$E)*-1+E1597</f>
        <v>0</v>
      </c>
      <c r="G1597" s="72">
        <f>SUMIF(Adat!$AH:$AH,CONCATENATE(Info!$D$5,"(KÖT)","093521",L1569),Adat!$E:$E)*-1</f>
        <v>0</v>
      </c>
      <c r="H1597" s="72">
        <f>SUMIF(Adat!$AH:$AH,CONCATENATE(Info!$D$5,"(ÖNV)","093521",L1569),Adat!$E:$E)*-1</f>
        <v>0</v>
      </c>
      <c r="I1597" s="72">
        <f>SUMIF(Adat!$AH:$AH,CONCATENATE(Info!$D$5,"(ÁIG)","093521",L1569),Adat!$E:$E)*-1</f>
        <v>0</v>
      </c>
    </row>
    <row r="1598" spans="2:9" x14ac:dyDescent="0.2">
      <c r="B1598" s="160">
        <v>27</v>
      </c>
      <c r="C1598" s="305" t="s">
        <v>1292</v>
      </c>
      <c r="D1598" s="82" t="s">
        <v>1354</v>
      </c>
      <c r="E1598" s="72">
        <f>SUMIF(Adat!$AG:$AG,CONCATENATE(61,Info!$D$5,"093551",L1569),Adat!$E:$E)*-1</f>
        <v>0</v>
      </c>
      <c r="F1598" s="72">
        <f>SUMIF(Adat!$AG:$AG,CONCATENATE(60,Info!$D$5,"093551",L1569),Adat!$E:$E)*-1+E1598</f>
        <v>0</v>
      </c>
      <c r="G1598" s="72">
        <f>SUMIF(Adat!$AH:$AH,CONCATENATE(Info!$D$5,"(KÖT)","093551",L1569),Adat!$E:$E)*-1</f>
        <v>0</v>
      </c>
      <c r="H1598" s="72">
        <f>SUMIF(Adat!$AH:$AH,CONCATENATE(Info!$D$5,"(ÖNV)","093551",L1569),Adat!$E:$E)*-1</f>
        <v>0</v>
      </c>
      <c r="I1598" s="72">
        <f>SUMIF(Adat!$AH:$AH,CONCATENATE(Info!$D$5,"(ÁIG)","093551",L1569),Adat!$E:$E)*-1</f>
        <v>0</v>
      </c>
    </row>
    <row r="1599" spans="2:9" x14ac:dyDescent="0.2">
      <c r="B1599" s="160">
        <v>28</v>
      </c>
      <c r="C1599" s="305" t="s">
        <v>1293</v>
      </c>
      <c r="D1599" s="82" t="s">
        <v>1355</v>
      </c>
      <c r="E1599" s="72">
        <f>SUMIF(Adat!$AG:$AG,CONCATENATE(61,Info!$D$5,"09361",L1569),Adat!$E:$E)*-1</f>
        <v>0</v>
      </c>
      <c r="F1599" s="72">
        <f>SUMIF(Adat!$AG:$AG,CONCATENATE(60,Info!$D$5,"09361",L1569),Adat!$E:$E)*-1+E1599</f>
        <v>0</v>
      </c>
      <c r="G1599" s="72">
        <f>SUMIF(Adat!$AH:$AH,CONCATENATE(Info!$D$5,"(KÖT)","09361",L1569),Adat!$E:$E)*-1</f>
        <v>0</v>
      </c>
      <c r="H1599" s="72">
        <f>SUMIF(Adat!$AH:$AH,CONCATENATE(Info!$D$5,"(ÖNV)","09361",L1569),Adat!$E:$E)*-1</f>
        <v>0</v>
      </c>
      <c r="I1599" s="72">
        <f>SUMIF(Adat!$AH:$AH,CONCATENATE(Info!$D$5,"(ÁIG)","09361",L1569),Adat!$E:$E)*-1</f>
        <v>0</v>
      </c>
    </row>
    <row r="1600" spans="2:9" x14ac:dyDescent="0.25">
      <c r="B1600" s="160">
        <v>29</v>
      </c>
      <c r="C1600" s="79" t="s">
        <v>30</v>
      </c>
      <c r="D1600" s="79" t="s">
        <v>329</v>
      </c>
      <c r="E1600" s="71">
        <f>SUM(E1601:E1613)</f>
        <v>0</v>
      </c>
      <c r="F1600" s="71">
        <f t="shared" ref="F1600:I1600" si="170">SUM(F1601:F1613)</f>
        <v>0</v>
      </c>
      <c r="G1600" s="71">
        <f t="shared" si="170"/>
        <v>0</v>
      </c>
      <c r="H1600" s="71">
        <f t="shared" si="170"/>
        <v>0</v>
      </c>
      <c r="I1600" s="71">
        <f t="shared" si="170"/>
        <v>0</v>
      </c>
    </row>
    <row r="1601" spans="2:9" x14ac:dyDescent="0.2">
      <c r="B1601" s="160">
        <v>30</v>
      </c>
      <c r="C1601" s="305" t="s">
        <v>1309</v>
      </c>
      <c r="D1601" s="82" t="s">
        <v>1356</v>
      </c>
      <c r="E1601" s="72">
        <f>SUMIF(Adat!$AG:$AG,CONCATENATE(61,Info!$D$5,"094011",L1569),Adat!$E:$E)*-1</f>
        <v>0</v>
      </c>
      <c r="F1601" s="72">
        <f>SUMIF(Adat!$AG:$AG,CONCATENATE(60,Info!$D$5,"094011",L1569),Adat!$E:$E)*-1+E1601</f>
        <v>0</v>
      </c>
      <c r="G1601" s="72">
        <f>SUMIF(Adat!$AH:$AH,CONCATENATE(Info!$D$5,"(KÖT)","094011",L1569),Adat!$E:$E)*-1</f>
        <v>0</v>
      </c>
      <c r="H1601" s="72">
        <f>SUMIF(Adat!$AH:$AH,CONCATENATE(Info!$D$5,"(ÖNV)","094011",L1569),Adat!$E:$E)*-1</f>
        <v>0</v>
      </c>
      <c r="I1601" s="72">
        <f>SUMIF(Adat!$AH:$AH,CONCATENATE(Info!$D$5,"(ÁIG)","094011",L1569),Adat!$E:$E)*-1</f>
        <v>0</v>
      </c>
    </row>
    <row r="1602" spans="2:9" x14ac:dyDescent="0.2">
      <c r="B1602" s="160">
        <v>31</v>
      </c>
      <c r="C1602" s="305" t="s">
        <v>1279</v>
      </c>
      <c r="D1602" s="82" t="s">
        <v>1357</v>
      </c>
      <c r="E1602" s="72">
        <f>SUMIF(Adat!$AG:$AG,CONCATENATE(61,Info!$D$5,"094021",L1569),Adat!$E:$E)*-1</f>
        <v>0</v>
      </c>
      <c r="F1602" s="72">
        <f>SUMIF(Adat!$AG:$AG,CONCATENATE(60,Info!$D$5,"094021",L1569),Adat!$E:$E)*-1+E1602</f>
        <v>0</v>
      </c>
      <c r="G1602" s="72">
        <f>SUMIF(Adat!$AH:$AH,CONCATENATE(Info!$D$5,"(KÖT)","094021",L1569),Adat!$E:$E)*-1</f>
        <v>0</v>
      </c>
      <c r="H1602" s="72">
        <f>SUMIF(Adat!$AH:$AH,CONCATENATE(Info!$D$5,"(ÖNV)","094021",L1569),Adat!$E:$E)*-1</f>
        <v>0</v>
      </c>
      <c r="I1602" s="72">
        <f>SUMIF(Adat!$AH:$AH,CONCATENATE(Info!$D$5,"(ÁIG)","094021",L1569),Adat!$E:$E)*-1</f>
        <v>0</v>
      </c>
    </row>
    <row r="1603" spans="2:9" x14ac:dyDescent="0.2">
      <c r="B1603" s="160">
        <v>32</v>
      </c>
      <c r="C1603" s="305" t="s">
        <v>1272</v>
      </c>
      <c r="D1603" s="82" t="s">
        <v>1358</v>
      </c>
      <c r="E1603" s="72">
        <f>SUMIF(Adat!$AG:$AG,CONCATENATE(61,Info!$D$5,"094031",L1569),Adat!$E:$E)*-1</f>
        <v>0</v>
      </c>
      <c r="F1603" s="72">
        <f>SUMIF(Adat!$AG:$AG,CONCATENATE(60,Info!$D$5,"094031",L1569),Adat!$E:$E)*-1+E1603</f>
        <v>0</v>
      </c>
      <c r="G1603" s="72">
        <f>SUMIF(Adat!$AH:$AH,CONCATENATE(Info!$D$5,"(KÖT)","094031",L1569),Adat!$E:$E)*-1</f>
        <v>0</v>
      </c>
      <c r="H1603" s="72">
        <f>SUMIF(Adat!$AH:$AH,CONCATENATE(Info!$D$5,"(ÖNV)","094031",L1569),Adat!$E:$E)*-1</f>
        <v>0</v>
      </c>
      <c r="I1603" s="72">
        <f>SUMIF(Adat!$AH:$AH,CONCATENATE(Info!$D$5,"(ÁIG)","094031",L1569),Adat!$E:$E)*-1</f>
        <v>0</v>
      </c>
    </row>
    <row r="1604" spans="2:9" x14ac:dyDescent="0.2">
      <c r="B1604" s="160">
        <v>33</v>
      </c>
      <c r="C1604" s="305" t="s">
        <v>1359</v>
      </c>
      <c r="D1604" s="82" t="s">
        <v>1360</v>
      </c>
      <c r="E1604" s="72">
        <f>SUMIF(Adat!$AG:$AG,CONCATENATE(61,Info!$D$5,"094041",L1569),Adat!$E:$E)*-1</f>
        <v>0</v>
      </c>
      <c r="F1604" s="72">
        <f>SUMIF(Adat!$AG:$AG,CONCATENATE(60,Info!$D$5,"094041",L1569),Adat!$E:$E)*-1+E1604</f>
        <v>0</v>
      </c>
      <c r="G1604" s="72">
        <f>SUMIF(Adat!$AH:$AH,CONCATENATE(Info!$D$5,"(KÖT)","094041",L1569),Adat!$E:$E)*-1</f>
        <v>0</v>
      </c>
      <c r="H1604" s="72">
        <f>SUMIF(Adat!$AH:$AH,CONCATENATE(Info!$D$5,"(ÖNV)","094041",L1569),Adat!$E:$E)*-1</f>
        <v>0</v>
      </c>
      <c r="I1604" s="72">
        <f>SUMIF(Adat!$AH:$AH,CONCATENATE(Info!$D$5,"(ÁIG)","094041",L1569),Adat!$E:$E)*-1</f>
        <v>0</v>
      </c>
    </row>
    <row r="1605" spans="2:9" x14ac:dyDescent="0.2">
      <c r="B1605" s="160">
        <v>34</v>
      </c>
      <c r="C1605" s="305" t="s">
        <v>1261</v>
      </c>
      <c r="D1605" s="82" t="s">
        <v>1361</v>
      </c>
      <c r="E1605" s="72">
        <f>SUMIF(Adat!$AG:$AG,CONCATENATE(61,Info!$D$5,"094051",L1569),Adat!$E:$E)*-1</f>
        <v>0</v>
      </c>
      <c r="F1605" s="72">
        <f>SUMIF(Adat!$AG:$AG,CONCATENATE(60,Info!$D$5,"094051",L1569),Adat!$E:$E)*-1+E1605</f>
        <v>0</v>
      </c>
      <c r="G1605" s="72">
        <f>SUMIF(Adat!$AH:$AH,CONCATENATE(Info!$D$5,"(KÖT)","094051",L1569),Adat!$E:$E)*-1</f>
        <v>0</v>
      </c>
      <c r="H1605" s="72">
        <f>SUMIF(Adat!$AH:$AH,CONCATENATE(Info!$D$5,"(ÖNV)","094051",L1569),Adat!$E:$E)*-1</f>
        <v>0</v>
      </c>
      <c r="I1605" s="72">
        <f>SUMIF(Adat!$AH:$AH,CONCATENATE(Info!$D$5,"(ÁIG)","094051",L1569),Adat!$E:$E)*-1</f>
        <v>0</v>
      </c>
    </row>
    <row r="1606" spans="2:9" x14ac:dyDescent="0.2">
      <c r="B1606" s="160">
        <v>35</v>
      </c>
      <c r="C1606" s="305" t="s">
        <v>1273</v>
      </c>
      <c r="D1606" s="82" t="s">
        <v>1362</v>
      </c>
      <c r="E1606" s="72">
        <f>SUMIF(Adat!$AG:$AG,CONCATENATE(61,Info!$D$5,"094061",L1569),Adat!$E:$E)*-1</f>
        <v>0</v>
      </c>
      <c r="F1606" s="72">
        <f>SUMIF(Adat!$AG:$AG,CONCATENATE(60,Info!$D$5,"094061",L1569),Adat!$E:$E)*-1+E1606</f>
        <v>0</v>
      </c>
      <c r="G1606" s="72">
        <f>SUMIF(Adat!$AH:$AH,CONCATENATE(Info!$D$5,"(KÖT)","094061",L1569),Adat!$E:$E)*-1</f>
        <v>0</v>
      </c>
      <c r="H1606" s="72">
        <f>SUMIF(Adat!$AH:$AH,CONCATENATE(Info!$D$5,"(ÖNV)","094061",L1569),Adat!$E:$E)*-1</f>
        <v>0</v>
      </c>
      <c r="I1606" s="72">
        <f>SUMIF(Adat!$AH:$AH,CONCATENATE(Info!$D$5,"(ÁIG)","094061",L1569),Adat!$E:$E)*-1</f>
        <v>0</v>
      </c>
    </row>
    <row r="1607" spans="2:9" x14ac:dyDescent="0.2">
      <c r="B1607" s="160">
        <v>36</v>
      </c>
      <c r="C1607" s="305" t="s">
        <v>1363</v>
      </c>
      <c r="D1607" s="82" t="s">
        <v>1364</v>
      </c>
      <c r="E1607" s="72">
        <f>SUMIF(Adat!$AG:$AG,CONCATENATE(61,Info!$D$5,"094071",L1569),Adat!$E:$E)*-1</f>
        <v>0</v>
      </c>
      <c r="F1607" s="72">
        <f>SUMIF(Adat!$AG:$AG,CONCATENATE(60,Info!$D$5,"094071",L1569),Adat!$E:$E)*-1+E1607</f>
        <v>0</v>
      </c>
      <c r="G1607" s="72">
        <f>SUMIF(Adat!$AH:$AH,CONCATENATE(Info!$D$5,"(KÖT)","094071",L1569),Adat!$E:$E)*-1</f>
        <v>0</v>
      </c>
      <c r="H1607" s="72">
        <f>SUMIF(Adat!$AH:$AH,CONCATENATE(Info!$D$5,"(ÖNV)","094071",L1569),Adat!$E:$E)*-1</f>
        <v>0</v>
      </c>
      <c r="I1607" s="72">
        <f>SUMIF(Adat!$AH:$AH,CONCATENATE(Info!$D$5,"(ÁIG)","094071",L1569),Adat!$E:$E)*-1</f>
        <v>0</v>
      </c>
    </row>
    <row r="1608" spans="2:9" x14ac:dyDescent="0.2">
      <c r="B1608" s="160">
        <v>37</v>
      </c>
      <c r="C1608" s="305" t="s">
        <v>1306</v>
      </c>
      <c r="D1608" s="82" t="s">
        <v>1365</v>
      </c>
      <c r="E1608" s="72">
        <f>SUMIF(Adat!$AG:$AG,CONCATENATE(61,Info!$D$5,"0940811",L1569),Adat!$E:$E)*-1</f>
        <v>0</v>
      </c>
      <c r="F1608" s="72">
        <f>SUMIF(Adat!$AG:$AG,CONCATENATE(60,Info!$D$5,"0940811",L1569),Adat!$E:$E)*-1+E1608</f>
        <v>0</v>
      </c>
      <c r="G1608" s="72">
        <f>SUMIF(Adat!$AH:$AH,CONCATENATE(Info!$D$5,"(KÖT)","0940811",L1569),Adat!$E:$E)*-1</f>
        <v>0</v>
      </c>
      <c r="H1608" s="72">
        <f>SUMIF(Adat!$AH:$AH,CONCATENATE(Info!$D$5,"(ÖNV)","0940811",L1569),Adat!$E:$E)*-1</f>
        <v>0</v>
      </c>
      <c r="I1608" s="72">
        <f>SUMIF(Adat!$AH:$AH,CONCATENATE(Info!$D$5,"(ÁIG)","0940811",L1569),Adat!$E:$E)*-1</f>
        <v>0</v>
      </c>
    </row>
    <row r="1609" spans="2:9" x14ac:dyDescent="0.2">
      <c r="B1609" s="160">
        <v>38</v>
      </c>
      <c r="C1609" s="305" t="s">
        <v>1295</v>
      </c>
      <c r="D1609" s="82" t="s">
        <v>1366</v>
      </c>
      <c r="E1609" s="72">
        <f>SUMIF(Adat!$AG:$AG,CONCATENATE(61,Info!$D$5,"0940821",L1569),Adat!$E:$E)*-1</f>
        <v>0</v>
      </c>
      <c r="F1609" s="72">
        <f>SUMIF(Adat!$AG:$AG,CONCATENATE(60,Info!$D$5,"0940821",L1569),Adat!$E:$E)*-1+E1609</f>
        <v>0</v>
      </c>
      <c r="G1609" s="72">
        <f>SUMIF(Adat!$AH:$AH,CONCATENATE(Info!$D$5,"(KÖT)","0940821",L1569),Adat!$E:$E)*-1</f>
        <v>0</v>
      </c>
      <c r="H1609" s="72">
        <f>SUMIF(Adat!$AH:$AH,CONCATENATE(Info!$D$5,"(ÖNV)","0940821",L1569),Adat!$E:$E)*-1</f>
        <v>0</v>
      </c>
      <c r="I1609" s="72">
        <f>SUMIF(Adat!$AH:$AH,CONCATENATE(Info!$D$5,"(ÁIG)","0940821",L1569),Adat!$E:$E)*-1</f>
        <v>0</v>
      </c>
    </row>
    <row r="1610" spans="2:9" x14ac:dyDescent="0.2">
      <c r="B1610" s="160">
        <v>39</v>
      </c>
      <c r="C1610" s="305" t="s">
        <v>1367</v>
      </c>
      <c r="D1610" s="82" t="s">
        <v>1368</v>
      </c>
      <c r="E1610" s="72">
        <f>SUMIF(Adat!$AG:$AG,CONCATENATE(61,Info!$D$5,"0940911",L1569),Adat!$E:$E)*-1</f>
        <v>0</v>
      </c>
      <c r="F1610" s="72">
        <f>SUMIF(Adat!$AG:$AG,CONCATENATE(60,Info!$D$5,"0940911",L1569),Adat!$E:$E)*-1+E1610</f>
        <v>0</v>
      </c>
      <c r="G1610" s="72">
        <f>SUMIF(Adat!$AH:$AH,CONCATENATE(Info!$D$5,"(KÖT)","0940911",L1569),Adat!$E:$E)*-1</f>
        <v>0</v>
      </c>
      <c r="H1610" s="72">
        <f>SUMIF(Adat!$AH:$AH,CONCATENATE(Info!$D$5,"(ÖNV)","0940911",L1569),Adat!$E:$E)*-1</f>
        <v>0</v>
      </c>
      <c r="I1610" s="72">
        <f>SUMIF(Adat!$AH:$AH,CONCATENATE(Info!$D$5,"(ÁIG)","0940911",L1569),Adat!$E:$E)*-1</f>
        <v>0</v>
      </c>
    </row>
    <row r="1611" spans="2:9" x14ac:dyDescent="0.2">
      <c r="B1611" s="160">
        <v>40</v>
      </c>
      <c r="C1611" s="305" t="s">
        <v>1369</v>
      </c>
      <c r="D1611" s="82" t="s">
        <v>1370</v>
      </c>
      <c r="E1611" s="72">
        <f>SUMIF(Adat!$AG:$AG,CONCATENATE(61,Info!$D$5,"0940921",L1569),Adat!$E:$E)*-1</f>
        <v>0</v>
      </c>
      <c r="F1611" s="72">
        <f>SUMIF(Adat!$AG:$AG,CONCATENATE(60,Info!$D$5,"0940921",L1569),Adat!$E:$E)*-1+E1611</f>
        <v>0</v>
      </c>
      <c r="G1611" s="72">
        <f>SUMIF(Adat!$AH:$AH,CONCATENATE(Info!$D$5,"(KÖT)","0940921",L1569),Adat!$E:$E)*-1</f>
        <v>0</v>
      </c>
      <c r="H1611" s="72">
        <f>SUMIF(Adat!$AH:$AH,CONCATENATE(Info!$D$5,"(ÖNV)","0940921",L1569),Adat!$E:$E)*-1</f>
        <v>0</v>
      </c>
      <c r="I1611" s="72">
        <f>SUMIF(Adat!$AH:$AH,CONCATENATE(Info!$D$5,"(ÁIG)","0940921",L1569),Adat!$E:$E)*-1</f>
        <v>0</v>
      </c>
    </row>
    <row r="1612" spans="2:9" x14ac:dyDescent="0.2">
      <c r="B1612" s="160">
        <v>41</v>
      </c>
      <c r="C1612" s="305" t="s">
        <v>1296</v>
      </c>
      <c r="D1612" s="82" t="s">
        <v>1371</v>
      </c>
      <c r="E1612" s="72">
        <f>SUMIF(Adat!$AG:$AG,CONCATENATE(61,Info!$D$5,"094101",L1569),Adat!$E:$E)*-1</f>
        <v>0</v>
      </c>
      <c r="F1612" s="72">
        <f>SUMIF(Adat!$AG:$AG,CONCATENATE(60,Info!$D$5,"094101",L1569),Adat!$E:$E)*-1+E1612</f>
        <v>0</v>
      </c>
      <c r="G1612" s="72">
        <f>SUMIF(Adat!$AH:$AH,CONCATENATE(Info!$D$5,"(KÖT)","094101",L1569),Adat!$E:$E)*-1</f>
        <v>0</v>
      </c>
      <c r="H1612" s="72">
        <f>SUMIF(Adat!$AH:$AH,CONCATENATE(Info!$D$5,"(ÖNV)","094101",L1569),Adat!$E:$E)*-1</f>
        <v>0</v>
      </c>
      <c r="I1612" s="72">
        <f>SUMIF(Adat!$AH:$AH,CONCATENATE(Info!$D$5,"(ÁIG)","094101",L1569),Adat!$E:$E)*-1</f>
        <v>0</v>
      </c>
    </row>
    <row r="1613" spans="2:9" x14ac:dyDescent="0.25">
      <c r="B1613" s="160">
        <v>42</v>
      </c>
      <c r="C1613" s="305" t="s">
        <v>1297</v>
      </c>
      <c r="D1613" s="84" t="s">
        <v>1372</v>
      </c>
      <c r="E1613" s="72">
        <f>SUMIF(Adat!$AG:$AG,CONCATENATE(61,Info!$D$5,"094111",L1569),Adat!$E:$E)*-1</f>
        <v>0</v>
      </c>
      <c r="F1613" s="72">
        <f>SUMIF(Adat!$AG:$AG,CONCATENATE(60,Info!$D$5,"094111",L1569),Adat!$E:$E)*-1+E1613</f>
        <v>0</v>
      </c>
      <c r="G1613" s="72">
        <f>SUMIF(Adat!$AH:$AH,CONCATENATE(Info!$D$5,"(KÖT)","094111",L1569),Adat!$E:$E)*-1</f>
        <v>0</v>
      </c>
      <c r="H1613" s="72">
        <f>SUMIF(Adat!$AH:$AH,CONCATENATE(Info!$D$5,"(ÖNV)","094111",L1569),Adat!$E:$E)*-1</f>
        <v>0</v>
      </c>
      <c r="I1613" s="72">
        <f>SUMIF(Adat!$AH:$AH,CONCATENATE(Info!$D$5,"(ÁIG)","094111",L1569),Adat!$E:$E)*-1</f>
        <v>0</v>
      </c>
    </row>
    <row r="1614" spans="2:9" x14ac:dyDescent="0.25">
      <c r="B1614" s="160">
        <v>43</v>
      </c>
      <c r="C1614" s="79" t="s">
        <v>33</v>
      </c>
      <c r="D1614" s="79" t="s">
        <v>330</v>
      </c>
      <c r="E1614" s="71">
        <f>SUM(E1615:E1619)</f>
        <v>0</v>
      </c>
      <c r="F1614" s="71">
        <f>SUM(F1615:F1619)</f>
        <v>0</v>
      </c>
      <c r="G1614" s="71">
        <f>SUM(G1615:G1619)</f>
        <v>0</v>
      </c>
      <c r="H1614" s="71">
        <f>SUM(H1615:H1619)</f>
        <v>0</v>
      </c>
      <c r="I1614" s="71">
        <f>SUM(I1615:I1619)</f>
        <v>0</v>
      </c>
    </row>
    <row r="1615" spans="2:9" x14ac:dyDescent="0.2">
      <c r="B1615" s="160">
        <v>44</v>
      </c>
      <c r="C1615" s="305" t="s">
        <v>1373</v>
      </c>
      <c r="D1615" s="82" t="s">
        <v>1374</v>
      </c>
      <c r="E1615" s="72">
        <f>SUMIF(Adat!$AG:$AG,CONCATENATE(61,Info!$D$5,"09511",L1569),Adat!$E:$E)*-1</f>
        <v>0</v>
      </c>
      <c r="F1615" s="72">
        <f>SUMIF(Adat!$AG:$AG,CONCATENATE(60,Info!$D$5,"09511",L1569),Adat!$E:$E)*-1+E1615</f>
        <v>0</v>
      </c>
      <c r="G1615" s="72">
        <f>SUMIF(Adat!$AH:$AH,CONCATENATE(Info!$D$5,"(KÖT)","09511",L1569),Adat!$E:$E)*-1</f>
        <v>0</v>
      </c>
      <c r="H1615" s="72">
        <f>SUMIF(Adat!$AH:$AH,CONCATENATE(Info!$D$5,"(ÖNV)","09511",L1569),Adat!$E:$E)*-1</f>
        <v>0</v>
      </c>
      <c r="I1615" s="72">
        <f>SUMIF(Adat!$AH:$AH,CONCATENATE(Info!$D$5,"(ÁIG)","09511",L1569),Adat!$E:$E)*-1</f>
        <v>0</v>
      </c>
    </row>
    <row r="1616" spans="2:9" x14ac:dyDescent="0.2">
      <c r="B1616" s="160">
        <v>45</v>
      </c>
      <c r="C1616" s="305" t="s">
        <v>1294</v>
      </c>
      <c r="D1616" s="82" t="s">
        <v>1375</v>
      </c>
      <c r="E1616" s="72">
        <f>SUMIF(Adat!$AG:$AG,CONCATENATE(61,Info!$D$5,"09521",L1569),Adat!$E:$E)*-1</f>
        <v>0</v>
      </c>
      <c r="F1616" s="72">
        <f>SUMIF(Adat!$AG:$AG,CONCATENATE(60,Info!$D$5,"09521",L1569),Adat!$E:$E)*-1+E1616</f>
        <v>0</v>
      </c>
      <c r="G1616" s="72">
        <f>SUMIF(Adat!$AH:$AH,CONCATENATE(Info!$D$5,"(KÖT)","09521",L1569),Adat!$E:$E)*-1</f>
        <v>0</v>
      </c>
      <c r="H1616" s="72">
        <f>SUMIF(Adat!$AH:$AH,CONCATENATE(Info!$D$5,"(ÖNV)","09521",L1569),Adat!$E:$E)*-1</f>
        <v>0</v>
      </c>
      <c r="I1616" s="72">
        <f>SUMIF(Adat!$AH:$AH,CONCATENATE(Info!$D$5,"(ÁIG)","09521",L1569),Adat!$E:$E)*-1</f>
        <v>0</v>
      </c>
    </row>
    <row r="1617" spans="2:9" x14ac:dyDescent="0.2">
      <c r="B1617" s="160">
        <v>46</v>
      </c>
      <c r="C1617" s="305" t="s">
        <v>1376</v>
      </c>
      <c r="D1617" s="82" t="s">
        <v>1377</v>
      </c>
      <c r="E1617" s="72">
        <f>SUMIF(Adat!$AG:$AG,CONCATENATE(61,Info!$D$5,"09531",L1569),Adat!$E:$E)*-1</f>
        <v>0</v>
      </c>
      <c r="F1617" s="72">
        <f>SUMIF(Adat!$AG:$AG,CONCATENATE(60,Info!$D$5,"09531",L1569),Adat!$E:$E)*-1+E1617</f>
        <v>0</v>
      </c>
      <c r="G1617" s="72">
        <f>SUMIF(Adat!$AH:$AH,CONCATENATE(Info!$D$5,"(KÖT)","09531",L1569),Adat!$E:$E)*-1</f>
        <v>0</v>
      </c>
      <c r="H1617" s="72">
        <f>SUMIF(Adat!$AH:$AH,CONCATENATE(Info!$D$5,"(ÖNV)","09531",L1569),Adat!$E:$E)*-1</f>
        <v>0</v>
      </c>
      <c r="I1617" s="72">
        <f>SUMIF(Adat!$AH:$AH,CONCATENATE(Info!$D$5,"(ÁIG)","09531",L1569),Adat!$E:$E)*-1</f>
        <v>0</v>
      </c>
    </row>
    <row r="1618" spans="2:9" x14ac:dyDescent="0.2">
      <c r="B1618" s="160">
        <v>47</v>
      </c>
      <c r="C1618" s="305" t="s">
        <v>1378</v>
      </c>
      <c r="D1618" s="82" t="s">
        <v>1379</v>
      </c>
      <c r="E1618" s="72">
        <f>SUMIF(Adat!$AG:$AG,CONCATENATE(61,Info!$D$5,"09541",L1569),Adat!$E:$E)*-1</f>
        <v>0</v>
      </c>
      <c r="F1618" s="72">
        <f>SUMIF(Adat!$AG:$AG,CONCATENATE(60,Info!$D$5,"09541",L1569),Adat!$E:$E)*-1+E1618</f>
        <v>0</v>
      </c>
      <c r="G1618" s="72">
        <f>SUMIF(Adat!$AH:$AH,CONCATENATE(Info!$D$5,"(KÖT)","09541",L1569),Adat!$E:$E)*-1</f>
        <v>0</v>
      </c>
      <c r="H1618" s="72">
        <f>SUMIF(Adat!$AH:$AH,CONCATENATE(Info!$D$5,"(ÖNV)","09541",L1569),Adat!$E:$E)*-1</f>
        <v>0</v>
      </c>
      <c r="I1618" s="72">
        <f>SUMIF(Adat!$AH:$AH,CONCATENATE(Info!$D$5,"(ÁIG)","09541",L1569),Adat!$E:$E)*-1</f>
        <v>0</v>
      </c>
    </row>
    <row r="1619" spans="2:9" x14ac:dyDescent="0.25">
      <c r="B1619" s="160">
        <v>48</v>
      </c>
      <c r="C1619" s="305" t="s">
        <v>1380</v>
      </c>
      <c r="D1619" s="84" t="s">
        <v>1381</v>
      </c>
      <c r="E1619" s="72">
        <f>SUMIF(Adat!$AG:$AG,CONCATENATE(61,Info!$D$5,"09551",L1569),Adat!$E:$E)*-1</f>
        <v>0</v>
      </c>
      <c r="F1619" s="72">
        <f>SUMIF(Adat!$AG:$AG,CONCATENATE(60,Info!$D$5,"09551",L1569),Adat!$E:$E)*-1+E1619</f>
        <v>0</v>
      </c>
      <c r="G1619" s="72">
        <f>SUMIF(Adat!$AH:$AH,CONCATENATE(Info!$D$5,"(KÖT)","09551",L1569),Adat!$E:$E)*-1</f>
        <v>0</v>
      </c>
      <c r="H1619" s="72">
        <f>SUMIF(Adat!$AH:$AH,CONCATENATE(Info!$D$5,"(ÖNV)","09551",L1569),Adat!$E:$E)*-1</f>
        <v>0</v>
      </c>
      <c r="I1619" s="72">
        <f>SUMIF(Adat!$AH:$AH,CONCATENATE(Info!$D$5,"(ÁIG)","09551",L1569),Adat!$E:$E)*-1</f>
        <v>0</v>
      </c>
    </row>
    <row r="1620" spans="2:9" x14ac:dyDescent="0.25">
      <c r="B1620" s="160">
        <v>49</v>
      </c>
      <c r="C1620" s="79" t="s">
        <v>36</v>
      </c>
      <c r="D1620" s="79" t="s">
        <v>331</v>
      </c>
      <c r="E1620" s="71">
        <f>SUM(E1621:E1625)</f>
        <v>0</v>
      </c>
      <c r="F1620" s="71">
        <f t="shared" ref="F1620:I1620" si="171">SUM(F1621:F1625)</f>
        <v>0</v>
      </c>
      <c r="G1620" s="71">
        <f t="shared" si="171"/>
        <v>0</v>
      </c>
      <c r="H1620" s="71">
        <f t="shared" si="171"/>
        <v>0</v>
      </c>
      <c r="I1620" s="71">
        <f t="shared" si="171"/>
        <v>0</v>
      </c>
    </row>
    <row r="1621" spans="2:9" x14ac:dyDescent="0.2">
      <c r="B1621" s="160">
        <v>50</v>
      </c>
      <c r="C1621" s="305" t="s">
        <v>1382</v>
      </c>
      <c r="D1621" s="82" t="s">
        <v>1383</v>
      </c>
      <c r="E1621" s="72">
        <f>SUMIF(Adat!$AG:$AG,CONCATENATE(61,Info!$D$5,"09611",L1569),Adat!$E:$E)*-1</f>
        <v>0</v>
      </c>
      <c r="F1621" s="72">
        <f>SUMIF(Adat!$AG:$AG,CONCATENATE(60,Info!$D$5,"09611",L1569),Adat!$E:$E)*-1+E1621</f>
        <v>0</v>
      </c>
      <c r="G1621" s="72">
        <f>SUMIF(Adat!$AH:$AH,CONCATENATE(Info!$D$5,"(KÖT)","09611",L1569),Adat!$E:$E)*-1</f>
        <v>0</v>
      </c>
      <c r="H1621" s="72">
        <f>SUMIF(Adat!$AH:$AH,CONCATENATE(Info!$D$5,"(ÖNV)","09611",L1569),Adat!$E:$E)*-1</f>
        <v>0</v>
      </c>
      <c r="I1621" s="72">
        <f>SUMIF(Adat!$AH:$AH,CONCATENATE(Info!$D$5,"(ÁIG)","09611",L1569),Adat!$E:$E)*-1</f>
        <v>0</v>
      </c>
    </row>
    <row r="1622" spans="2:9" x14ac:dyDescent="0.2">
      <c r="B1622" s="160">
        <v>51</v>
      </c>
      <c r="C1622" s="305" t="s">
        <v>1384</v>
      </c>
      <c r="D1622" s="82" t="s">
        <v>1385</v>
      </c>
      <c r="E1622" s="72">
        <f>SUMIF(Adat!$AG:$AG,CONCATENATE(61,Info!$D$5,"09621",L1569),Adat!$E:$E)*-1</f>
        <v>0</v>
      </c>
      <c r="F1622" s="72">
        <f>SUMIF(Adat!$AG:$AG,CONCATENATE(60,Info!$D$5,"09621",L1569),Adat!$E:$E)*-1+E1622</f>
        <v>0</v>
      </c>
      <c r="G1622" s="72">
        <f>SUMIF(Adat!$AH:$AH,CONCATENATE(Info!$D$5,"(KÖT)","09621",L1569),Adat!$E:$E)*-1</f>
        <v>0</v>
      </c>
      <c r="H1622" s="72">
        <f>SUMIF(Adat!$AH:$AH,CONCATENATE(Info!$D$5,"(ÖNV)","09621",L1569),Adat!$E:$E)*-1</f>
        <v>0</v>
      </c>
      <c r="I1622" s="72">
        <f>SUMIF(Adat!$AH:$AH,CONCATENATE(Info!$D$5,"(ÁIG)","09621",L1569),Adat!$E:$E)*-1</f>
        <v>0</v>
      </c>
    </row>
    <row r="1623" spans="2:9" x14ac:dyDescent="0.2">
      <c r="B1623" s="160">
        <v>52</v>
      </c>
      <c r="C1623" s="305" t="s">
        <v>1386</v>
      </c>
      <c r="D1623" s="82" t="s">
        <v>1387</v>
      </c>
      <c r="E1623" s="72">
        <f>SUMIF(Adat!$AG:$AG,CONCATENATE(61,Info!$D$5,"09631",L1569),Adat!$E:$E)*-1</f>
        <v>0</v>
      </c>
      <c r="F1623" s="72">
        <f>SUMIF(Adat!$AG:$AG,CONCATENATE(60,Info!$D$5,"09631",L1569),Adat!$E:$E)*-1+E1623</f>
        <v>0</v>
      </c>
      <c r="G1623" s="72">
        <f>SUMIF(Adat!$AH:$AH,CONCATENATE(Info!$D$5,"(KÖT)","09631",L1569),Adat!$E:$E)*-1</f>
        <v>0</v>
      </c>
      <c r="H1623" s="72">
        <f>SUMIF(Adat!$AH:$AH,CONCATENATE(Info!$D$5,"(ÖNV)","09631",L1569),Adat!$E:$E)*-1</f>
        <v>0</v>
      </c>
      <c r="I1623" s="72">
        <f>SUMIF(Adat!$AH:$AH,CONCATENATE(Info!$D$5,"(ÁIG)","09631",L1569),Adat!$E:$E)*-1</f>
        <v>0</v>
      </c>
    </row>
    <row r="1624" spans="2:9" x14ac:dyDescent="0.2">
      <c r="B1624" s="160">
        <v>53</v>
      </c>
      <c r="C1624" s="305" t="s">
        <v>1388</v>
      </c>
      <c r="D1624" s="82" t="s">
        <v>1389</v>
      </c>
      <c r="E1624" s="72">
        <f>SUMIF(Adat!$AG:$AG,CONCATENATE(61,Info!$D$5,"09641",L1569),Adat!$E:$E)*-1</f>
        <v>0</v>
      </c>
      <c r="F1624" s="72">
        <f>SUMIF(Adat!$AG:$AG,CONCATENATE(60,Info!$D$5,"09641",L1569),Adat!$E:$E)*-1+E1624</f>
        <v>0</v>
      </c>
      <c r="G1624" s="72">
        <f>SUMIF(Adat!$AH:$AH,CONCATENATE(Info!$D$5,"(KÖT)","09641",L1569),Adat!$E:$E)*-1</f>
        <v>0</v>
      </c>
      <c r="H1624" s="72">
        <f>SUMIF(Adat!$AH:$AH,CONCATENATE(Info!$D$5,"(ÖNV)","09641",L1569),Adat!$E:$E)*-1</f>
        <v>0</v>
      </c>
      <c r="I1624" s="72">
        <f>SUMIF(Adat!$AH:$AH,CONCATENATE(Info!$D$5,"(ÁIG)","09641",L1569),Adat!$E:$E)*-1</f>
        <v>0</v>
      </c>
    </row>
    <row r="1625" spans="2:9" x14ac:dyDescent="0.2">
      <c r="B1625" s="160">
        <v>54</v>
      </c>
      <c r="C1625" s="305" t="s">
        <v>1310</v>
      </c>
      <c r="D1625" s="82" t="s">
        <v>1390</v>
      </c>
      <c r="E1625" s="72">
        <f>SUMIF(Adat!$AG:$AG,CONCATENATE(61,Info!$D$5,"09651",L1569),Adat!$E:$E)*-1</f>
        <v>0</v>
      </c>
      <c r="F1625" s="72">
        <f>SUMIF(Adat!$AG:$AG,CONCATENATE(60,Info!$D$5,"09651",L1569),Adat!$E:$E)*-1+E1625</f>
        <v>0</v>
      </c>
      <c r="G1625" s="72">
        <f>SUMIF(Adat!$AH:$AH,CONCATENATE(Info!$D$5,"(KÖT)","09651",L1569),Adat!$E:$E)*-1</f>
        <v>0</v>
      </c>
      <c r="H1625" s="72">
        <f>SUMIF(Adat!$AH:$AH,CONCATENATE(Info!$D$5,"(ÖNV)","09651",L1569),Adat!$E:$E)*-1</f>
        <v>0</v>
      </c>
      <c r="I1625" s="72">
        <f>SUMIF(Adat!$AH:$AH,CONCATENATE(Info!$D$5,"(ÁIG)","09651",L1569),Adat!$E:$E)*-1</f>
        <v>0</v>
      </c>
    </row>
    <row r="1626" spans="2:9" x14ac:dyDescent="0.25">
      <c r="B1626" s="160">
        <v>55</v>
      </c>
      <c r="C1626" s="79" t="s">
        <v>38</v>
      </c>
      <c r="D1626" s="85" t="s">
        <v>332</v>
      </c>
      <c r="E1626" s="71">
        <f>SUM(E1627:E1631)</f>
        <v>0</v>
      </c>
      <c r="F1626" s="71">
        <f t="shared" ref="F1626:I1626" si="172">SUM(F1627:F1631)</f>
        <v>0</v>
      </c>
      <c r="G1626" s="71">
        <f t="shared" si="172"/>
        <v>0</v>
      </c>
      <c r="H1626" s="71">
        <f t="shared" si="172"/>
        <v>0</v>
      </c>
      <c r="I1626" s="71">
        <f t="shared" si="172"/>
        <v>0</v>
      </c>
    </row>
    <row r="1627" spans="2:9" x14ac:dyDescent="0.2">
      <c r="B1627" s="160">
        <v>56</v>
      </c>
      <c r="C1627" s="305" t="s">
        <v>1391</v>
      </c>
      <c r="D1627" s="82" t="s">
        <v>1392</v>
      </c>
      <c r="E1627" s="72">
        <f>SUMIF(Adat!$AG:$AG,CONCATENATE(61,Info!$D$5,"09711",L1569),Adat!$E:$E)*-1</f>
        <v>0</v>
      </c>
      <c r="F1627" s="72">
        <f>SUMIF(Adat!$AG:$AG,CONCATENATE(60,Info!$D$5,"09711",L1569),Adat!$E:$E)*-1+E1627</f>
        <v>0</v>
      </c>
      <c r="G1627" s="72">
        <f>SUMIF(Adat!$AH:$AH,CONCATENATE(Info!$D$5,"(KÖT)","09711",L1569),Adat!$E:$E)*-1</f>
        <v>0</v>
      </c>
      <c r="H1627" s="72">
        <f>SUMIF(Adat!$AH:$AH,CONCATENATE(Info!$D$5,"(ÖNV)","09711",L1569),Adat!$E:$E)*-1</f>
        <v>0</v>
      </c>
      <c r="I1627" s="72">
        <f>SUMIF(Adat!$AH:$AH,CONCATENATE(Info!$D$5,"(ÁIG)","09711",L1569),Adat!$E:$E)*-1</f>
        <v>0</v>
      </c>
    </row>
    <row r="1628" spans="2:9" x14ac:dyDescent="0.2">
      <c r="B1628" s="160">
        <v>57</v>
      </c>
      <c r="C1628" s="305" t="s">
        <v>1393</v>
      </c>
      <c r="D1628" s="82" t="s">
        <v>1394</v>
      </c>
      <c r="E1628" s="72">
        <f>SUMIF(Adat!$AG:$AG,CONCATENATE(61,Info!$D$5,"09721",L1569),Adat!$E:$E)*-1</f>
        <v>0</v>
      </c>
      <c r="F1628" s="72">
        <f>SUMIF(Adat!$AG:$AG,CONCATENATE(60,Info!$D$5,"09721",L1569),Adat!$E:$E)*-1+E1628</f>
        <v>0</v>
      </c>
      <c r="G1628" s="72">
        <f>SUMIF(Adat!$AH:$AH,CONCATENATE(Info!$D$5,"(KÖT)","09721",L1569),Adat!$E:$E)*-1</f>
        <v>0</v>
      </c>
      <c r="H1628" s="72">
        <f>SUMIF(Adat!$AH:$AH,CONCATENATE(Info!$D$5,"(ÖNV)","09721",L1569),Adat!$E:$E)*-1</f>
        <v>0</v>
      </c>
      <c r="I1628" s="72">
        <f>SUMIF(Adat!$AH:$AH,CONCATENATE(Info!$D$5,"(ÁIG)","09721",L1569),Adat!$E:$E)*-1</f>
        <v>0</v>
      </c>
    </row>
    <row r="1629" spans="2:9" x14ac:dyDescent="0.2">
      <c r="B1629" s="160">
        <v>58</v>
      </c>
      <c r="C1629" s="305" t="s">
        <v>1395</v>
      </c>
      <c r="D1629" s="82" t="s">
        <v>1396</v>
      </c>
      <c r="E1629" s="72">
        <f>SUMIF(Adat!$AG:$AG,CONCATENATE(61,Info!$D$5,"09731",L1569),Adat!$E:$E)*-1</f>
        <v>0</v>
      </c>
      <c r="F1629" s="72">
        <f>SUMIF(Adat!$AG:$AG,CONCATENATE(60,Info!$D$5,"09731",L1569),Adat!$E:$E)*-1+E1629</f>
        <v>0</v>
      </c>
      <c r="G1629" s="72">
        <f>SUMIF(Adat!$AH:$AH,CONCATENATE(Info!$D$5,"(KÖT)","09731",L1569),Adat!$E:$E)*-1</f>
        <v>0</v>
      </c>
      <c r="H1629" s="72">
        <f>SUMIF(Adat!$AH:$AH,CONCATENATE(Info!$D$5,"(ÖNV)","09731",L1569),Adat!$E:$E)*-1</f>
        <v>0</v>
      </c>
      <c r="I1629" s="72">
        <f>SUMIF(Adat!$AH:$AH,CONCATENATE(Info!$D$5,"(ÁIG)","09731",L1569),Adat!$E:$E)*-1</f>
        <v>0</v>
      </c>
    </row>
    <row r="1630" spans="2:9" x14ac:dyDescent="0.2">
      <c r="B1630" s="160">
        <v>59</v>
      </c>
      <c r="C1630" s="305" t="s">
        <v>1397</v>
      </c>
      <c r="D1630" s="82" t="s">
        <v>1398</v>
      </c>
      <c r="E1630" s="72">
        <f>SUMIF(Adat!$AG:$AG,CONCATENATE(61,Info!$D$5,"09741",L1569),Adat!$E:$E)*-1</f>
        <v>0</v>
      </c>
      <c r="F1630" s="72">
        <f>SUMIF(Adat!$AG:$AG,CONCATENATE(60,Info!$D$5,"09741",L1569),Adat!$E:$E)*-1+E1630</f>
        <v>0</v>
      </c>
      <c r="G1630" s="72">
        <f>SUMIF(Adat!$AH:$AH,CONCATENATE(Info!$D$5,"(KÖT)","09741",L1569),Adat!$E:$E)*-1</f>
        <v>0</v>
      </c>
      <c r="H1630" s="72">
        <f>SUMIF(Adat!$AH:$AH,CONCATENATE(Info!$D$5,"(ÖNV)","09741",L1569),Adat!$E:$E)*-1</f>
        <v>0</v>
      </c>
      <c r="I1630" s="72">
        <f>SUMIF(Adat!$AH:$AH,CONCATENATE(Info!$D$5,"(ÁIG)","09741",L1569),Adat!$E:$E)*-1</f>
        <v>0</v>
      </c>
    </row>
    <row r="1631" spans="2:9" x14ac:dyDescent="0.25">
      <c r="B1631" s="160">
        <v>60</v>
      </c>
      <c r="C1631" s="305" t="s">
        <v>1399</v>
      </c>
      <c r="D1631" s="84" t="s">
        <v>1400</v>
      </c>
      <c r="E1631" s="72">
        <f>SUMIF(Adat!$AG:$AG,CONCATENATE(61,Info!$D$5,"09751",L1569),Adat!$E:$E)*-1</f>
        <v>0</v>
      </c>
      <c r="F1631" s="72">
        <f>SUMIF(Adat!$AG:$AG,CONCATENATE(60,Info!$D$5,"09751",L1569),Adat!$E:$E)*-1+E1631</f>
        <v>0</v>
      </c>
      <c r="G1631" s="72">
        <f>SUMIF(Adat!$AH:$AH,CONCATENATE(Info!$D$5,"(KÖT)","09751",L1569),Adat!$E:$E)*-1</f>
        <v>0</v>
      </c>
      <c r="H1631" s="72">
        <f>SUMIF(Adat!$AH:$AH,CONCATENATE(Info!$D$5,"(ÖNV)","09751",L1569),Adat!$E:$E)*-1</f>
        <v>0</v>
      </c>
      <c r="I1631" s="72">
        <f>SUMIF(Adat!$AH:$AH,CONCATENATE(Info!$D$5,"(ÁIG)","09751",L1569),Adat!$E:$E)*-1</f>
        <v>0</v>
      </c>
    </row>
    <row r="1632" spans="2:9" x14ac:dyDescent="0.25">
      <c r="B1632" s="160">
        <v>61</v>
      </c>
      <c r="C1632" s="78" t="s">
        <v>352</v>
      </c>
      <c r="D1632" s="86" t="s">
        <v>1401</v>
      </c>
      <c r="E1632" s="71">
        <f>+E1573+E1581+E1587+E1593+E1600+E1614+E1620+E1626</f>
        <v>0</v>
      </c>
      <c r="F1632" s="71">
        <f>+F1573+F1581+F1587+F1593+F1600+F1614+F1620+F1626</f>
        <v>0</v>
      </c>
      <c r="G1632" s="71">
        <f>+G1573+G1581+G1587+G1593+G1600+G1614+G1620+G1626</f>
        <v>0</v>
      </c>
      <c r="H1632" s="71">
        <f>+H1573+H1581+H1587+H1593+H1600+H1614+H1620+H1626</f>
        <v>0</v>
      </c>
      <c r="I1632" s="71">
        <f>+I1573+I1581+I1587+I1593+I1600+I1614+I1620+I1626</f>
        <v>0</v>
      </c>
    </row>
    <row r="1633" spans="2:9" x14ac:dyDescent="0.25">
      <c r="B1633" s="160">
        <v>62</v>
      </c>
      <c r="C1633" s="154" t="s">
        <v>1402</v>
      </c>
      <c r="D1633" s="85" t="s">
        <v>1403</v>
      </c>
      <c r="E1633" s="71">
        <f t="shared" ref="E1633:G1633" si="173">SUM(E1634:E1636)</f>
        <v>0</v>
      </c>
      <c r="F1633" s="71">
        <f t="shared" si="173"/>
        <v>0</v>
      </c>
      <c r="G1633" s="71">
        <f t="shared" si="173"/>
        <v>0</v>
      </c>
      <c r="H1633" s="71">
        <f>SUM(H1634:H1636)</f>
        <v>0</v>
      </c>
      <c r="I1633" s="71">
        <f>SUM(I1634:I1636)</f>
        <v>0</v>
      </c>
    </row>
    <row r="1634" spans="2:9" x14ac:dyDescent="0.2">
      <c r="B1634" s="160">
        <v>63</v>
      </c>
      <c r="C1634" s="305" t="s">
        <v>1404</v>
      </c>
      <c r="D1634" s="82" t="s">
        <v>1405</v>
      </c>
      <c r="E1634" s="72">
        <f>SUMIF(Adat!$AG:$AG,CONCATENATE(61,Info!$D$5,"0981111",L1569),Adat!$E:$E)*-1</f>
        <v>0</v>
      </c>
      <c r="F1634" s="72">
        <f>SUMIF(Adat!$AG:$AG,CONCATENATE(60,Info!$D$5,"0981111",L1569),Adat!$E:$E)*-1+E1634</f>
        <v>0</v>
      </c>
      <c r="G1634" s="72">
        <f>SUMIF(Adat!$AH:$AH,CONCATENATE(Info!$D$5,"(KÖT)","0981111",L1569),Adat!$E:$E)*-1</f>
        <v>0</v>
      </c>
      <c r="H1634" s="72">
        <f>SUMIF(Adat!$AH:$AH,CONCATENATE(Info!$D$5,"(ÖNV)","0981111",L1569),Adat!$E:$E)*-1</f>
        <v>0</v>
      </c>
      <c r="I1634" s="72">
        <f>SUMIF(Adat!$AH:$AH,CONCATENATE(Info!$D$5,"(ÁIG)","0981111",L1569),Adat!$E:$E)*-1</f>
        <v>0</v>
      </c>
    </row>
    <row r="1635" spans="2:9" x14ac:dyDescent="0.2">
      <c r="B1635" s="160">
        <v>64</v>
      </c>
      <c r="C1635" s="305" t="s">
        <v>1406</v>
      </c>
      <c r="D1635" s="82" t="s">
        <v>1407</v>
      </c>
      <c r="E1635" s="72">
        <f>SUMIF(Adat!$AG:$AG,CONCATENATE(61,Info!$D$5,"0981121",L1569),Adat!$E:$E)*-1</f>
        <v>0</v>
      </c>
      <c r="F1635" s="72">
        <f>SUMIF(Adat!$AG:$AG,CONCATENATE(60,Info!$D$5,"0981121",L1569),Adat!$E:$E)*-1+E1635</f>
        <v>0</v>
      </c>
      <c r="G1635" s="72">
        <f>SUMIF(Adat!$AH:$AH,CONCATENATE(Info!$D$5,"(KÖT)","0981121",L1569),Adat!$E:$E)*-1</f>
        <v>0</v>
      </c>
      <c r="H1635" s="72">
        <f>SUMIF(Adat!$AH:$AH,CONCATENATE(Info!$D$5,"(ÖNV)","0981121",L1569),Adat!$E:$E)*-1</f>
        <v>0</v>
      </c>
      <c r="I1635" s="72">
        <f>SUMIF(Adat!$AH:$AH,CONCATENATE(Info!$D$5,"(ÁIG)","0981121",L1569),Adat!$E:$E)*-1</f>
        <v>0</v>
      </c>
    </row>
    <row r="1636" spans="2:9" x14ac:dyDescent="0.2">
      <c r="B1636" s="160">
        <v>65</v>
      </c>
      <c r="C1636" s="305" t="s">
        <v>1408</v>
      </c>
      <c r="D1636" s="82" t="s">
        <v>1409</v>
      </c>
      <c r="E1636" s="72">
        <f>SUMIF(Adat!$AG:$AG,CONCATENATE(61,Info!$D$5,"0981131",L1569),Adat!$E:$E)*-1</f>
        <v>0</v>
      </c>
      <c r="F1636" s="72">
        <f>SUMIF(Adat!$AG:$AG,CONCATENATE(60,Info!$D$5,"0981131",L1569),Adat!$E:$E)*-1+E1636</f>
        <v>0</v>
      </c>
      <c r="G1636" s="72">
        <f>SUMIF(Adat!$AH:$AH,CONCATENATE(Info!$D$5,"(KÖT)","0981131",L1569),Adat!$E:$E)*-1</f>
        <v>0</v>
      </c>
      <c r="H1636" s="72">
        <f>SUMIF(Adat!$AH:$AH,CONCATENATE(Info!$D$5,"(ÖNV)","0981131",L1569),Adat!$E:$E)*-1</f>
        <v>0</v>
      </c>
      <c r="I1636" s="72">
        <f>SUMIF(Adat!$AH:$AH,CONCATENATE(Info!$D$5,"(ÁIG)","0981131",L1569),Adat!$E:$E)*-1</f>
        <v>0</v>
      </c>
    </row>
    <row r="1637" spans="2:9" x14ac:dyDescent="0.25">
      <c r="B1637" s="160">
        <v>66</v>
      </c>
      <c r="C1637" s="154" t="s">
        <v>1410</v>
      </c>
      <c r="D1637" s="85" t="s">
        <v>574</v>
      </c>
      <c r="E1637" s="71">
        <f>SUM(E1638:E1641)</f>
        <v>0</v>
      </c>
      <c r="F1637" s="71">
        <f t="shared" ref="F1637" si="174">SUM(F1638:F1641)</f>
        <v>0</v>
      </c>
      <c r="G1637" s="71">
        <f>SUM(G1638:G1641)</f>
        <v>0</v>
      </c>
      <c r="H1637" s="71">
        <f>SUM(H1638:H1641)</f>
        <v>0</v>
      </c>
      <c r="I1637" s="71">
        <f>SUM(I1638:I1641)</f>
        <v>0</v>
      </c>
    </row>
    <row r="1638" spans="2:9" x14ac:dyDescent="0.2">
      <c r="B1638" s="160">
        <v>67</v>
      </c>
      <c r="C1638" s="305" t="s">
        <v>1411</v>
      </c>
      <c r="D1638" s="82" t="s">
        <v>1412</v>
      </c>
      <c r="E1638" s="72">
        <f>SUMIF(Adat!$AG:$AG,CONCATENATE(61,Info!$D$5,"0981211",L1569),Adat!$E:$E)*-1</f>
        <v>0</v>
      </c>
      <c r="F1638" s="72">
        <f>SUMIF(Adat!$AG:$AG,CONCATENATE(60,Info!$D$5,"0981211",L1569),Adat!$E:$E)*-1+E1638</f>
        <v>0</v>
      </c>
      <c r="G1638" s="72">
        <f>SUMIF(Adat!$AH:$AH,CONCATENATE(Info!$D$5,"(KÖT)","0981211",L1569),Adat!$E:$E)*-1</f>
        <v>0</v>
      </c>
      <c r="H1638" s="72">
        <f>SUMIF(Adat!$AH:$AH,CONCATENATE(Info!$D$5,"(ÖNV)","0981211",L1569),Adat!$E:$E)*-1</f>
        <v>0</v>
      </c>
      <c r="I1638" s="72">
        <f>SUMIF(Adat!$AH:$AH,CONCATENATE(Info!$D$5,"(ÁIG)","0981211",L1569),Adat!$E:$E)*-1</f>
        <v>0</v>
      </c>
    </row>
    <row r="1639" spans="2:9" x14ac:dyDescent="0.2">
      <c r="B1639" s="160">
        <v>68</v>
      </c>
      <c r="C1639" s="305" t="s">
        <v>1413</v>
      </c>
      <c r="D1639" s="82" t="s">
        <v>1414</v>
      </c>
      <c r="E1639" s="72">
        <f>SUMIF(Adat!$AG:$AG,CONCATENATE(61,Info!$D$5,"0981221",L1569),Adat!$E:$E)*-1</f>
        <v>0</v>
      </c>
      <c r="F1639" s="72">
        <f>SUMIF(Adat!$AG:$AG,CONCATENATE(60,Info!$D$5,"0981221",L1569),Adat!$E:$E)*-1+E1639</f>
        <v>0</v>
      </c>
      <c r="G1639" s="72">
        <f>SUMIF(Adat!$AH:$AH,CONCATENATE(Info!$D$5,"(KÖT)","0981221",L1569),Adat!$E:$E)*-1</f>
        <v>0</v>
      </c>
      <c r="H1639" s="72">
        <f>SUMIF(Adat!$AH:$AH,CONCATENATE(Info!$D$5,"(ÖNV)","0981221",L1569),Adat!$E:$E)*-1</f>
        <v>0</v>
      </c>
      <c r="I1639" s="72">
        <f>SUMIF(Adat!$AH:$AH,CONCATENATE(Info!$D$5,"(ÁIG)","0981221",L1569),Adat!$E:$E)*-1</f>
        <v>0</v>
      </c>
    </row>
    <row r="1640" spans="2:9" x14ac:dyDescent="0.2">
      <c r="B1640" s="160">
        <v>69</v>
      </c>
      <c r="C1640" s="305" t="s">
        <v>1313</v>
      </c>
      <c r="D1640" s="82" t="s">
        <v>1415</v>
      </c>
      <c r="E1640" s="72">
        <f>SUMIF(Adat!$AG:$AG,CONCATENATE(61,Info!$D$5,"0981231",L1569),Adat!$E:$E)*-1</f>
        <v>0</v>
      </c>
      <c r="F1640" s="72">
        <f>SUMIF(Adat!$AG:$AG,CONCATENATE(60,Info!$D$5,"0981231",L1569),Adat!$E:$E)*-1+E1640</f>
        <v>0</v>
      </c>
      <c r="G1640" s="72">
        <f>SUMIF(Adat!$AH:$AH,CONCATENATE(Info!$D$5,"(KÖT)","0981231",L1569),Adat!$E:$E)*-1</f>
        <v>0</v>
      </c>
      <c r="H1640" s="72">
        <f>SUMIF(Adat!$AH:$AH,CONCATENATE(Info!$D$5,"(ÖNV)","0981231",L1569),Adat!$E:$E)*-1</f>
        <v>0</v>
      </c>
      <c r="I1640" s="72">
        <f>SUMIF(Adat!$AH:$AH,CONCATENATE(Info!$D$5,"(ÁIG)","0981231",L1569),Adat!$E:$E)*-1</f>
        <v>0</v>
      </c>
    </row>
    <row r="1641" spans="2:9" x14ac:dyDescent="0.25">
      <c r="B1641" s="160">
        <v>70</v>
      </c>
      <c r="C1641" s="305" t="s">
        <v>1416</v>
      </c>
      <c r="D1641" s="84" t="s">
        <v>1417</v>
      </c>
      <c r="E1641" s="72">
        <f>SUMIF(Adat!$AG:$AG,CONCATENATE(61,Info!$D$5,"0981241",L1569),Adat!$E:$E)*-1</f>
        <v>0</v>
      </c>
      <c r="F1641" s="72">
        <f>SUMIF(Adat!$AG:$AG,CONCATENATE(60,Info!$D$5,"0981241",L1569),Adat!$E:$E)*-1+E1641</f>
        <v>0</v>
      </c>
      <c r="G1641" s="72">
        <f>SUMIF(Adat!$AH:$AH,CONCATENATE(Info!$D$5,"(KÖT)","0981241",L1569),Adat!$E:$E)*-1</f>
        <v>0</v>
      </c>
      <c r="H1641" s="72">
        <f>SUMIF(Adat!$AH:$AH,CONCATENATE(Info!$D$5,"(ÖNV)","0981241",L1569),Adat!$E:$E)*-1</f>
        <v>0</v>
      </c>
      <c r="I1641" s="72">
        <f>SUMIF(Adat!$AH:$AH,CONCATENATE(Info!$D$5,"(ÁIG)","0981241",L1569),Adat!$E:$E)*-1</f>
        <v>0</v>
      </c>
    </row>
    <row r="1642" spans="2:9" x14ac:dyDescent="0.25">
      <c r="B1642" s="160">
        <v>71</v>
      </c>
      <c r="C1642" s="154" t="s">
        <v>1418</v>
      </c>
      <c r="D1642" s="85" t="s">
        <v>575</v>
      </c>
      <c r="E1642" s="71">
        <f>SUM(E1643:E1644)</f>
        <v>0</v>
      </c>
      <c r="F1642" s="71">
        <f t="shared" ref="F1642" si="175">SUM(F1643:F1644)</f>
        <v>0</v>
      </c>
      <c r="G1642" s="71">
        <f>SUM(G1643:G1644)</f>
        <v>0</v>
      </c>
      <c r="H1642" s="71">
        <f>SUM(H1643:H1644)</f>
        <v>0</v>
      </c>
      <c r="I1642" s="71">
        <f>SUM(I1643:I1644)</f>
        <v>0</v>
      </c>
    </row>
    <row r="1643" spans="2:9" x14ac:dyDescent="0.2">
      <c r="B1643" s="160">
        <v>72</v>
      </c>
      <c r="C1643" s="305" t="s">
        <v>1274</v>
      </c>
      <c r="D1643" s="82" t="s">
        <v>1419</v>
      </c>
      <c r="E1643" s="72">
        <f>SUMIF(Adat!$AG:$AG,CONCATENATE(61,Info!$D$5,"0981311",L1569),Adat!$E:$E)*-1</f>
        <v>0</v>
      </c>
      <c r="F1643" s="72">
        <f>SUMIF(Adat!$AG:$AG,CONCATENATE(60,Info!$D$5,"0981311",L1569),Adat!$E:$E)*-1+E1643</f>
        <v>0</v>
      </c>
      <c r="G1643" s="72">
        <f>SUMIF(Adat!$AH:$AH,CONCATENATE(Info!$D$5,"(KÖT)","0981311",L1569),Adat!$E:$E)*-1</f>
        <v>0</v>
      </c>
      <c r="H1643" s="72">
        <f>SUMIF(Adat!$AH:$AH,CONCATENATE(Info!$D$5,"(ÖNV)","0981311",L1569),Adat!$E:$E)*-1</f>
        <v>0</v>
      </c>
      <c r="I1643" s="72">
        <f>SUMIF(Adat!$AH:$AH,CONCATENATE(Info!$D$5,"(ÁIG)","0981311",L1569),Adat!$E:$E)*-1</f>
        <v>0</v>
      </c>
    </row>
    <row r="1644" spans="2:9" x14ac:dyDescent="0.25">
      <c r="B1644" s="160">
        <v>73</v>
      </c>
      <c r="C1644" s="305" t="s">
        <v>1420</v>
      </c>
      <c r="D1644" s="84" t="s">
        <v>1421</v>
      </c>
      <c r="E1644" s="72">
        <f>SUMIF(Adat!$AG:$AG,CONCATENATE(61,Info!$D$5,"0981321",L1569),Adat!$E:$E)*-1</f>
        <v>0</v>
      </c>
      <c r="F1644" s="72">
        <f>SUMIF(Adat!$AG:$AG,CONCATENATE(60,Info!$D$5,"0981321",L1569),Adat!$E:$E)*-1+E1644</f>
        <v>0</v>
      </c>
      <c r="G1644" s="72">
        <f>SUMIF(Adat!$AH:$AH,CONCATENATE(Info!$D$5,"(KÖT)","0981321",L1569),Adat!$E:$E)*-1</f>
        <v>0</v>
      </c>
      <c r="H1644" s="72">
        <f>SUMIF(Adat!$AH:$AH,CONCATENATE(Info!$D$5,"(ÖNV)","0981321",L1569),Adat!$E:$E)*-1</f>
        <v>0</v>
      </c>
      <c r="I1644" s="72">
        <f>SUMIF(Adat!$AH:$AH,CONCATENATE(Info!$D$5,"(ÁIG)","0981321",L1569),Adat!$E:$E)*-1</f>
        <v>0</v>
      </c>
    </row>
    <row r="1645" spans="2:9" s="42" customFormat="1" x14ac:dyDescent="0.25">
      <c r="B1645" s="160">
        <v>74</v>
      </c>
      <c r="C1645" s="154" t="s">
        <v>1496</v>
      </c>
      <c r="D1645" s="85" t="s">
        <v>576</v>
      </c>
      <c r="E1645" s="71">
        <f>SUM(E1646:E1648)</f>
        <v>0</v>
      </c>
      <c r="F1645" s="71">
        <f t="shared" ref="F1645" si="176">SUM(F1646:F1648)</f>
        <v>0</v>
      </c>
      <c r="G1645" s="71">
        <f>SUM(G1646:G1648)</f>
        <v>0</v>
      </c>
      <c r="H1645" s="71">
        <f>SUM(H1646:H1648)</f>
        <v>0</v>
      </c>
      <c r="I1645" s="71">
        <f>SUM(I1646:I1648)</f>
        <v>0</v>
      </c>
    </row>
    <row r="1646" spans="2:9" x14ac:dyDescent="0.2">
      <c r="B1646" s="160">
        <v>75</v>
      </c>
      <c r="C1646" s="305" t="s">
        <v>1301</v>
      </c>
      <c r="D1646" s="82" t="s">
        <v>1422</v>
      </c>
      <c r="E1646" s="72">
        <f>SUMIF(Adat!$AG:$AG,CONCATENATE(61,Info!$D$5,"098141",L1569),Adat!$E:$E)*-1</f>
        <v>0</v>
      </c>
      <c r="F1646" s="72">
        <f>SUMIF(Adat!$AG:$AG,CONCATENATE(60,Info!$D$5,"098141",L1569),Adat!$E:$E)*-1+E1646</f>
        <v>0</v>
      </c>
      <c r="G1646" s="72">
        <f>SUMIF(Adat!$AH:$AH,CONCATENATE(Info!$D$5,"(KÖT)","098141",L1569),Adat!$E:$E)*-1</f>
        <v>0</v>
      </c>
      <c r="H1646" s="72">
        <f>SUMIF(Adat!$AH:$AH,CONCATENATE(Info!$D$5,"(ÖNV)","098141",L1569),Adat!$E:$E)*-1</f>
        <v>0</v>
      </c>
      <c r="I1646" s="72">
        <f>SUMIF(Adat!$AH:$AH,CONCATENATE(Info!$D$5,"(ÁIG)","098141",L1569),Adat!$E:$E)*-1</f>
        <v>0</v>
      </c>
    </row>
    <row r="1647" spans="2:9" x14ac:dyDescent="0.2">
      <c r="B1647" s="160">
        <v>76</v>
      </c>
      <c r="C1647" s="305" t="s">
        <v>1423</v>
      </c>
      <c r="D1647" s="82" t="s">
        <v>1424</v>
      </c>
      <c r="E1647" s="72">
        <f>SUMIF(Adat!$AG:$AG,CONCATENATE(61,Info!$D$5,"098151",L1569),Adat!$E:$E)*-1</f>
        <v>0</v>
      </c>
      <c r="F1647" s="72">
        <f>SUMIF(Adat!$AG:$AG,CONCATENATE(60,Info!$D$5,"098151",L1569),Adat!$E:$E)*-1+E1647</f>
        <v>0</v>
      </c>
      <c r="G1647" s="72">
        <f>SUMIF(Adat!$AH:$AH,CONCATENATE(Info!$D$5,"(KÖT)","098151",L1569),Adat!$E:$E)*-1</f>
        <v>0</v>
      </c>
      <c r="H1647" s="72">
        <f>SUMIF(Adat!$AH:$AH,CONCATENATE(Info!$D$5,"(ÖNV)","098151",L1569),Adat!$E:$E)*-1</f>
        <v>0</v>
      </c>
      <c r="I1647" s="72">
        <f>SUMIF(Adat!$AH:$AH,CONCATENATE(Info!$D$5,"(ÁIG)","098151",L1569),Adat!$E:$E)*-1</f>
        <v>0</v>
      </c>
    </row>
    <row r="1648" spans="2:9" x14ac:dyDescent="0.25">
      <c r="B1648" s="160">
        <v>77</v>
      </c>
      <c r="C1648" s="305" t="s">
        <v>1425</v>
      </c>
      <c r="D1648" s="84" t="s">
        <v>1426</v>
      </c>
      <c r="E1648" s="72">
        <f>SUMIF(Adat!$AG:$AG,CONCATENATE(61,Info!$D$5,"098171",L1569),Adat!$E:$E)*-1</f>
        <v>0</v>
      </c>
      <c r="F1648" s="72">
        <f>SUMIF(Adat!$AG:$AG,CONCATENATE(60,Info!$D$5,"098171",L1569),Adat!$E:$E)*-1+E1648</f>
        <v>0</v>
      </c>
      <c r="G1648" s="72">
        <f>SUMIF(Adat!$AH:$AH,CONCATENATE(Info!$D$5,"(KÖT)","098171",L1569),Adat!$E:$E)*-1</f>
        <v>0</v>
      </c>
      <c r="H1648" s="72">
        <f>SUMIF(Adat!$AH:$AH,CONCATENATE(Info!$D$5,"(ÖNV)","098171",L1569),Adat!$E:$E)*-1</f>
        <v>0</v>
      </c>
      <c r="I1648" s="72">
        <f>SUMIF(Adat!$AH:$AH,CONCATENATE(Info!$D$5,"(ÁIG)","098171",L1569),Adat!$E:$E)*-1</f>
        <v>0</v>
      </c>
    </row>
    <row r="1649" spans="2:12" x14ac:dyDescent="0.25">
      <c r="B1649" s="160">
        <v>78</v>
      </c>
      <c r="C1649" s="154" t="s">
        <v>1427</v>
      </c>
      <c r="D1649" s="85" t="s">
        <v>577</v>
      </c>
      <c r="E1649" s="71">
        <f>SUM(E1650:E1654)</f>
        <v>0</v>
      </c>
      <c r="F1649" s="71">
        <f t="shared" ref="F1649" si="177">SUM(F1650:F1654)</f>
        <v>0</v>
      </c>
      <c r="G1649" s="71">
        <f>SUM(G1650:G1654)</f>
        <v>0</v>
      </c>
      <c r="H1649" s="71">
        <f>SUM(H1650:H1654)</f>
        <v>0</v>
      </c>
      <c r="I1649" s="71">
        <f>SUM(I1650:I1654)</f>
        <v>0</v>
      </c>
    </row>
    <row r="1650" spans="2:12" x14ac:dyDescent="0.2">
      <c r="B1650" s="160">
        <v>79</v>
      </c>
      <c r="C1650" s="89" t="s">
        <v>1428</v>
      </c>
      <c r="D1650" s="82" t="s">
        <v>1429</v>
      </c>
      <c r="E1650" s="72">
        <f>SUMIF(Adat!$AG:$AG,CONCATENATE(61,Info!$D$5,"098211",L1569),Adat!$E:$E)*-1</f>
        <v>0</v>
      </c>
      <c r="F1650" s="72">
        <f>SUMIF(Adat!$AG:$AG,CONCATENATE(60,Info!$D$5,"098211",L1569),Adat!$E:$E)*-1+E1650</f>
        <v>0</v>
      </c>
      <c r="G1650" s="72">
        <f>SUMIF(Adat!$AH:$AH,CONCATENATE(Info!$D$5,"(KÖT)","098211",L1569),Adat!$E:$E)*-1</f>
        <v>0</v>
      </c>
      <c r="H1650" s="72">
        <f>SUMIF(Adat!$AH:$AH,CONCATENATE(Info!$D$5,"(ÖNV)","098211",L1569),Adat!$E:$E)*-1</f>
        <v>0</v>
      </c>
      <c r="I1650" s="72">
        <f>SUMIF(Adat!$AH:$AH,CONCATENATE(Info!$D$5,"(ÁIG)","098211",L1569),Adat!$E:$E)*-1</f>
        <v>0</v>
      </c>
    </row>
    <row r="1651" spans="2:12" x14ac:dyDescent="0.2">
      <c r="B1651" s="160">
        <v>80</v>
      </c>
      <c r="C1651" s="89" t="s">
        <v>1430</v>
      </c>
      <c r="D1651" s="82" t="s">
        <v>1431</v>
      </c>
      <c r="E1651" s="72">
        <f>SUMIF(Adat!$AG:$AG,CONCATENATE(61,Info!$D$5,"098221",L1569),Adat!$E:$E)*-1</f>
        <v>0</v>
      </c>
      <c r="F1651" s="72">
        <f>SUMIF(Adat!$AG:$AG,CONCATENATE(60,Info!$D$5,"098221",L1569),Adat!$E:$E)*-1+E1651</f>
        <v>0</v>
      </c>
      <c r="G1651" s="72">
        <f>SUMIF(Adat!$AH:$AH,CONCATENATE(Info!$D$5,"(KÖT)","098221",L1569),Adat!$E:$E)*-1</f>
        <v>0</v>
      </c>
      <c r="H1651" s="72">
        <f>SUMIF(Adat!$AH:$AH,CONCATENATE(Info!$D$5,"(ÖNV)","098221",L1569),Adat!$E:$E)*-1</f>
        <v>0</v>
      </c>
      <c r="I1651" s="72">
        <f>SUMIF(Adat!$AH:$AH,CONCATENATE(Info!$D$5,"(ÁIG)","098221",L1569),Adat!$E:$E)*-1</f>
        <v>0</v>
      </c>
    </row>
    <row r="1652" spans="2:12" x14ac:dyDescent="0.2">
      <c r="B1652" s="160">
        <v>81</v>
      </c>
      <c r="C1652" s="89" t="s">
        <v>1432</v>
      </c>
      <c r="D1652" s="82" t="s">
        <v>1433</v>
      </c>
      <c r="E1652" s="72">
        <f>SUMIF(Adat!$AG:$AG,CONCATENATE(61,Info!$D$5,"098231",L1569),Adat!$E:$E)*-1</f>
        <v>0</v>
      </c>
      <c r="F1652" s="72">
        <f>SUMIF(Adat!$AG:$AG,CONCATENATE(60,Info!$D$5,"098231",L1569),Adat!$E:$E)*-1+E1652</f>
        <v>0</v>
      </c>
      <c r="G1652" s="72">
        <f>SUMIF(Adat!$AH:$AH,CONCATENATE(Info!$D$5,"(KÖT)","098231",L1569),Adat!$E:$E)*-1</f>
        <v>0</v>
      </c>
      <c r="H1652" s="72">
        <f>SUMIF(Adat!$AH:$AH,CONCATENATE(Info!$D$5,"(ÖNV)","098231",L1569),Adat!$E:$E)*-1</f>
        <v>0</v>
      </c>
      <c r="I1652" s="72">
        <f>SUMIF(Adat!$AH:$AH,CONCATENATE(Info!$D$5,"(ÁIG)","098231",L1569),Adat!$E:$E)*-1</f>
        <v>0</v>
      </c>
    </row>
    <row r="1653" spans="2:12" x14ac:dyDescent="0.2">
      <c r="B1653" s="160">
        <v>82</v>
      </c>
      <c r="C1653" s="89" t="s">
        <v>1434</v>
      </c>
      <c r="D1653" s="82" t="s">
        <v>1435</v>
      </c>
      <c r="E1653" s="72">
        <f>SUMIF(Adat!$AG:$AG,CONCATENATE(61,Info!$D$5,"098241",L1569),Adat!$E:$E)*-1</f>
        <v>0</v>
      </c>
      <c r="F1653" s="72">
        <f>SUMIF(Adat!$AG:$AG,CONCATENATE(60,Info!$D$5,"098241",L1569),Adat!$E:$E)*-1+E1653</f>
        <v>0</v>
      </c>
      <c r="G1653" s="72">
        <f>SUMIF(Adat!$AH:$AH,CONCATENATE(Info!$D$5,"(KÖT)","098241",L1569),Adat!$E:$E)*-1</f>
        <v>0</v>
      </c>
      <c r="H1653" s="72">
        <f>SUMIF(Adat!$AH:$AH,CONCATENATE(Info!$D$5,"(ÖNV)","098241",L1569),Adat!$E:$E)*-1</f>
        <v>0</v>
      </c>
      <c r="I1653" s="72">
        <f>SUMIF(Adat!$AH:$AH,CONCATENATE(Info!$D$5,"(ÁIG)","098241",L1569),Adat!$E:$E)*-1</f>
        <v>0</v>
      </c>
    </row>
    <row r="1654" spans="2:12" s="42" customFormat="1" x14ac:dyDescent="0.2">
      <c r="B1654" s="160">
        <v>83</v>
      </c>
      <c r="C1654" s="89" t="s">
        <v>1436</v>
      </c>
      <c r="D1654" s="84" t="s">
        <v>1437</v>
      </c>
      <c r="E1654" s="72">
        <f>SUMIF(Adat!$AG:$AG,CONCATENATE(61,Info!$D$5,"098251",L1569),Adat!$E:$E)*-1</f>
        <v>0</v>
      </c>
      <c r="F1654" s="72">
        <f>SUMIF(Adat!$AG:$AG,CONCATENATE(60,Info!$D$5,"098251",L1569),Adat!$E:$E)*-1+E1654</f>
        <v>0</v>
      </c>
      <c r="G1654" s="72">
        <f>SUMIF(Adat!$AH:$AH,CONCATENATE(Info!$D$5,"(KÖT)","098251",L1569),Adat!$E:$E)*-1</f>
        <v>0</v>
      </c>
      <c r="H1654" s="72">
        <f>SUMIF(Adat!$AH:$AH,CONCATENATE(Info!$D$5,"(ÖNV)","098251",L1569),Adat!$E:$E)*-1</f>
        <v>0</v>
      </c>
      <c r="I1654" s="72">
        <f>SUMIF(Adat!$AH:$AH,CONCATENATE(Info!$D$5,"(ÁIG)","098251",L1569),Adat!$E:$E)*-1</f>
        <v>0</v>
      </c>
    </row>
    <row r="1655" spans="2:12" s="42" customFormat="1" x14ac:dyDescent="0.2">
      <c r="B1655" s="160">
        <v>84</v>
      </c>
      <c r="C1655" s="309" t="s">
        <v>1438</v>
      </c>
      <c r="D1655" s="85" t="s">
        <v>1439</v>
      </c>
      <c r="E1655" s="71">
        <f>SUMIF(Adat!$AG:$AG,CONCATENATE(61,Info!$D$5,"09831",L1569),Adat!$E:$E)*-1</f>
        <v>0</v>
      </c>
      <c r="F1655" s="71">
        <f>SUMIF(Adat!$AG:$AG,CONCATENATE(60,Info!$D$5,"09831",L1569),Adat!$E:$E)*-1+E1655</f>
        <v>0</v>
      </c>
      <c r="G1655" s="71">
        <f>SUMIF(Adat!$AH:$AH,CONCATENATE(Info!$D$5,"(KÖT)","09831",L1569),Adat!$E:$E)*-1</f>
        <v>0</v>
      </c>
      <c r="H1655" s="71">
        <f>SUMIF(Adat!$AH:$AH,CONCATENATE(Info!$D$5,"(ÖNV)","09831",L1569),Adat!$E:$E)*-1</f>
        <v>0</v>
      </c>
      <c r="I1655" s="71">
        <f>SUMIF(Adat!$AH:$AH,CONCATENATE(Info!$D$5,"(ÁIG)","09831",L1569),Adat!$E:$E)*-1</f>
        <v>0</v>
      </c>
    </row>
    <row r="1656" spans="2:12" s="42" customFormat="1" x14ac:dyDescent="0.25">
      <c r="B1656" s="160">
        <v>85</v>
      </c>
      <c r="C1656" s="154" t="s">
        <v>1440</v>
      </c>
      <c r="D1656" s="85" t="s">
        <v>1441</v>
      </c>
      <c r="E1656" s="71">
        <f>SUMIF(Adat!$AG:$AG,CONCATENATE(61,Info!$D$5,"09841",L1569),Adat!$E:$E)*-1</f>
        <v>0</v>
      </c>
      <c r="F1656" s="71">
        <f>SUMIF(Adat!$AG:$AG,CONCATENATE(60,Info!$D$5,"09841",L1569),Adat!$E:$E)*-1+E1656</f>
        <v>0</v>
      </c>
      <c r="G1656" s="71">
        <f>SUMIF(Adat!$AH:$AH,CONCATENATE(Info!$D$5,"(KÖT)","09841",L1569),Adat!$E:$E)*-1</f>
        <v>0</v>
      </c>
      <c r="H1656" s="71">
        <f>SUMIF(Adat!$AH:$AH,CONCATENATE(Info!$D$5,"(ÖNV)","09841",L1569),Adat!$E:$E)*-1</f>
        <v>0</v>
      </c>
      <c r="I1656" s="71">
        <f>SUMIF(Adat!$AH:$AH,CONCATENATE(Info!$D$5,"(ÁIG)","09841",L1569),Adat!$E:$E)*-1</f>
        <v>0</v>
      </c>
    </row>
    <row r="1657" spans="2:12" s="42" customFormat="1" x14ac:dyDescent="0.25">
      <c r="B1657" s="160">
        <v>86</v>
      </c>
      <c r="C1657" s="154" t="s">
        <v>358</v>
      </c>
      <c r="D1657" s="87" t="s">
        <v>1442</v>
      </c>
      <c r="E1657" s="71">
        <f>+E1633+E1637+E1642+E1645+E1649+E1656+E1655</f>
        <v>0</v>
      </c>
      <c r="F1657" s="71">
        <f t="shared" ref="F1657" si="178">+F1633+F1637+F1642+F1645+F1649+F1656+F1655</f>
        <v>0</v>
      </c>
      <c r="G1657" s="71">
        <f>+G1633+G1637+G1642+G1645+G1649+G1656+G1655</f>
        <v>0</v>
      </c>
      <c r="H1657" s="71">
        <f>+H1633+H1637+H1642+H1645+H1649+H1656+H1655</f>
        <v>0</v>
      </c>
      <c r="I1657" s="71">
        <f>+I1633+I1637+I1642+I1645+I1649+I1656+I1655</f>
        <v>0</v>
      </c>
    </row>
    <row r="1658" spans="2:12" s="42" customFormat="1" x14ac:dyDescent="0.25">
      <c r="B1658" s="160">
        <v>87</v>
      </c>
      <c r="C1658" s="154" t="s">
        <v>364</v>
      </c>
      <c r="D1658" s="87" t="s">
        <v>1497</v>
      </c>
      <c r="E1658" s="71">
        <f>+E1632+E1657</f>
        <v>0</v>
      </c>
      <c r="F1658" s="71">
        <f t="shared" ref="F1658" si="179">+F1632+F1657</f>
        <v>0</v>
      </c>
      <c r="G1658" s="71">
        <f>+G1632+G1657</f>
        <v>0</v>
      </c>
      <c r="H1658" s="71">
        <f>+H1632+H1657</f>
        <v>0</v>
      </c>
      <c r="I1658" s="71">
        <f>+I1632+I1657</f>
        <v>0</v>
      </c>
    </row>
    <row r="1659" spans="2:12" s="38" customFormat="1" ht="15.75" x14ac:dyDescent="0.25">
      <c r="C1659" s="156"/>
      <c r="E1659" s="140"/>
      <c r="F1659" s="140"/>
      <c r="G1659" s="140"/>
      <c r="H1659" s="140"/>
      <c r="I1659" s="140"/>
    </row>
    <row r="1660" spans="2:12" s="10" customFormat="1" ht="15.75" customHeight="1" x14ac:dyDescent="0.25">
      <c r="B1660" s="201" t="str">
        <f>CONCATENATE("24. Kiadási jogcímek"," - ",L1660," részletező")</f>
        <v>24. Kiadási jogcímek -  részletező</v>
      </c>
      <c r="C1660" s="101"/>
      <c r="D1660" s="101"/>
      <c r="E1660" s="101"/>
      <c r="F1660" s="101"/>
      <c r="G1660" s="198"/>
      <c r="H1660" s="198"/>
      <c r="I1660" s="198"/>
      <c r="L1660" s="384"/>
    </row>
    <row r="1661" spans="2:12" s="38" customFormat="1" ht="15.75" x14ac:dyDescent="0.25">
      <c r="C1661" s="156"/>
      <c r="E1661" s="140"/>
      <c r="F1661" s="140"/>
      <c r="G1661" s="140"/>
      <c r="H1661" s="140"/>
      <c r="I1661" s="140"/>
    </row>
    <row r="1662" spans="2:12" s="40" customFormat="1" x14ac:dyDescent="0.25">
      <c r="B1662" s="77"/>
      <c r="C1662" s="77" t="s">
        <v>350</v>
      </c>
      <c r="D1662" s="77" t="s">
        <v>351</v>
      </c>
      <c r="E1662" s="77" t="s">
        <v>470</v>
      </c>
      <c r="F1662" s="77" t="s">
        <v>471</v>
      </c>
      <c r="G1662" s="77" t="s">
        <v>44</v>
      </c>
      <c r="H1662" s="77" t="s">
        <v>42</v>
      </c>
      <c r="I1662" s="77" t="s">
        <v>511</v>
      </c>
    </row>
    <row r="1663" spans="2:12" s="41" customFormat="1" ht="38.25" x14ac:dyDescent="0.25">
      <c r="B1663" s="160">
        <v>1</v>
      </c>
      <c r="C1663" s="154" t="s">
        <v>593</v>
      </c>
      <c r="D1663" s="154" t="s">
        <v>488</v>
      </c>
      <c r="E1663" s="163" t="str">
        <f>CONCATENATE(PAR!$H$3," évi
eredeti 
előirányzat")</f>
        <v>2025. évi
eredeti 
előirányzat</v>
      </c>
      <c r="F1663" s="163" t="str">
        <f>CONCATENATE(PAR!$H$3," évi
módosított 
előirányzat")</f>
        <v>2025. évi
módosított 
előirányzat</v>
      </c>
      <c r="G1663" s="69" t="s">
        <v>666</v>
      </c>
      <c r="H1663" s="69" t="s">
        <v>667</v>
      </c>
      <c r="I1663" s="69" t="s">
        <v>668</v>
      </c>
    </row>
    <row r="1664" spans="2:12" s="42" customFormat="1" x14ac:dyDescent="0.25">
      <c r="B1664" s="160">
        <v>2</v>
      </c>
      <c r="C1664" s="78" t="s">
        <v>352</v>
      </c>
      <c r="D1664" s="92" t="s">
        <v>2663</v>
      </c>
      <c r="E1664" s="71">
        <f>SUM(E1665:E1670)</f>
        <v>0</v>
      </c>
      <c r="F1664" s="71">
        <f>SUM(F1665:F1670)</f>
        <v>0</v>
      </c>
      <c r="G1664" s="71">
        <f>SUM(G1665:G1670)</f>
        <v>0</v>
      </c>
      <c r="H1664" s="71">
        <f>+H1665+H1666+H1667+H1668+H1669+H1670</f>
        <v>0</v>
      </c>
      <c r="I1664" s="71">
        <f>+I1665+I1666+I1667+I1668+I1669+I1670</f>
        <v>0</v>
      </c>
    </row>
    <row r="1665" spans="2:9" x14ac:dyDescent="0.25">
      <c r="B1665" s="160">
        <v>3</v>
      </c>
      <c r="C1665" s="305" t="s">
        <v>315</v>
      </c>
      <c r="D1665" s="161" t="s">
        <v>342</v>
      </c>
      <c r="E1665" s="72">
        <f>SUMIF(Adat!$AI:$AI,CONCATENATE(61,Info!$D$5,"051",L1660),Adat!$E:$E)</f>
        <v>0</v>
      </c>
      <c r="F1665" s="72">
        <f>SUMIF(Adat!$AI:$AI,CONCATENATE(60,Info!$D$5,"051",L1660),Adat!$E:$E)+E1665</f>
        <v>0</v>
      </c>
      <c r="G1665" s="72">
        <f>SUMIF(Adat!$AJ:$AJ,CONCATENATE(Info!$D$5,"051","(KÖT)",L1660),Adat!$E:$E)</f>
        <v>0</v>
      </c>
      <c r="H1665" s="72">
        <f>SUMIF(Adat!$AJ:$AJ,CONCATENATE(Info!$D$5,"051","(ÖNV)",L1660),Adat!$E:$E)</f>
        <v>0</v>
      </c>
      <c r="I1665" s="72">
        <f>SUMIF(Adat!$AJ:$AJ,CONCATENATE(Info!$D$5,"051","(ÁIG)",L1660),Adat!$E:$E)</f>
        <v>0</v>
      </c>
    </row>
    <row r="1666" spans="2:9" x14ac:dyDescent="0.25">
      <c r="B1666" s="160">
        <v>4</v>
      </c>
      <c r="C1666" s="305" t="s">
        <v>317</v>
      </c>
      <c r="D1666" s="161" t="s">
        <v>395</v>
      </c>
      <c r="E1666" s="72">
        <f>SUMIF(Adat!$AI:$AI,CONCATENATE(61,Info!$D$5,"052",L1660),Adat!$E:$E)</f>
        <v>0</v>
      </c>
      <c r="F1666" s="72">
        <f>SUMIF(Adat!$AI:$AI,CONCATENATE(60,Info!$D$5,"052",L1660),Adat!$E:$E)+E1666</f>
        <v>0</v>
      </c>
      <c r="G1666" s="72">
        <f>SUMIF(Adat!$AJ:$AJ,CONCATENATE(Info!$D$5,"052","(KÖT)",L1660),Adat!$E:$E)</f>
        <v>0</v>
      </c>
      <c r="H1666" s="72">
        <f>SUMIF(Adat!$AJ:$AJ,CONCATENATE(Info!$D$5,"052","(ÖNV)",L1660),Adat!$E:$E)</f>
        <v>0</v>
      </c>
      <c r="I1666" s="72">
        <f>SUMIF(Adat!$AJ:$AJ,CONCATENATE(Info!$D$5,"052","(ÁIG)",L1660),Adat!$E:$E)</f>
        <v>0</v>
      </c>
    </row>
    <row r="1667" spans="2:9" x14ac:dyDescent="0.25">
      <c r="B1667" s="160">
        <v>5</v>
      </c>
      <c r="C1667" s="305" t="s">
        <v>4</v>
      </c>
      <c r="D1667" s="161" t="s">
        <v>344</v>
      </c>
      <c r="E1667" s="72">
        <f>SUMIF(Adat!$AI:$AI,CONCATENATE(61,Info!$D$5,"053",L1660),Adat!$E:$E)</f>
        <v>0</v>
      </c>
      <c r="F1667" s="72">
        <f>SUMIF(Adat!$AI:$AI,CONCATENATE(60,Info!$D$5,"053",L1660),Adat!$E:$E)+E1667</f>
        <v>0</v>
      </c>
      <c r="G1667" s="72">
        <f>SUMIF(Adat!$AJ:$AJ,CONCATENATE(Info!$D$5,"053","(KÖT)",L1660),Adat!$E:$E)</f>
        <v>0</v>
      </c>
      <c r="H1667" s="72">
        <f>SUMIF(Adat!$AJ:$AJ,CONCATENATE(Info!$D$5,"053","(ÖNV)",L1660),Adat!$E:$E)</f>
        <v>0</v>
      </c>
      <c r="I1667" s="72">
        <f>SUMIF(Adat!$AJ:$AJ,CONCATENATE(Info!$D$5,"053","(ÁIG)",L1660),Adat!$E:$E)</f>
        <v>0</v>
      </c>
    </row>
    <row r="1668" spans="2:9" x14ac:dyDescent="0.25">
      <c r="B1668" s="160">
        <v>6</v>
      </c>
      <c r="C1668" s="305" t="s">
        <v>6</v>
      </c>
      <c r="D1668" s="161" t="s">
        <v>345</v>
      </c>
      <c r="E1668" s="72">
        <f>SUMIF(Adat!$AI:$AI,CONCATENATE(61,Info!$D$5,"054",L1660),Adat!$E:$E)</f>
        <v>0</v>
      </c>
      <c r="F1668" s="72">
        <f>SUMIF(Adat!$AI:$AI,CONCATENATE(60,Info!$D$5,"054",L1660),Adat!$E:$E)+E1668</f>
        <v>0</v>
      </c>
      <c r="G1668" s="72">
        <f>SUMIF(Adat!$AJ:$AJ,CONCATENATE(Info!$D$5,"054","(KÖT)",L1660),Adat!$E:$E)</f>
        <v>0</v>
      </c>
      <c r="H1668" s="72">
        <f>SUMIF(Adat!$AJ:$AJ,CONCATENATE(Info!$D$5,"054","(ÖNV)",L1660),Adat!$E:$E)</f>
        <v>0</v>
      </c>
      <c r="I1668" s="72">
        <f>SUMIF(Adat!$AJ:$AJ,CONCATENATE(Info!$D$5,"054","(ÁIG)",L1660),Adat!$E:$E)</f>
        <v>0</v>
      </c>
    </row>
    <row r="1669" spans="2:9" x14ac:dyDescent="0.25">
      <c r="B1669" s="160">
        <v>7</v>
      </c>
      <c r="C1669" s="305" t="s">
        <v>8</v>
      </c>
      <c r="D1669" s="161" t="s">
        <v>321</v>
      </c>
      <c r="E1669" s="72">
        <f>SUMIF(Adat!$AI:$AI,CONCATENATE(61,Info!$D$5,"055",L1660),Adat!$E:$E)-E1670</f>
        <v>0</v>
      </c>
      <c r="F1669" s="72">
        <f>SUMIF(Adat!$AI:$AI,CONCATENATE(60,Info!$D$5,"055",L1660),Adat!$E:$E)+E1669-F1670+E1670</f>
        <v>0</v>
      </c>
      <c r="G1669" s="72">
        <f>SUMIF(Adat!$AJ:$AJ,CONCATENATE(Info!$D$5,"055","(KÖT)",L1660),Adat!$E:$E)-G1670</f>
        <v>0</v>
      </c>
      <c r="H1669" s="72">
        <f>SUMIF(Adat!$AJ:$AJ,CONCATENATE(Info!$D$5,"055","(ÖNV)",L1660),Adat!$E:$E)-H1670</f>
        <v>0</v>
      </c>
      <c r="I1669" s="72">
        <f>SUMIF(Adat!$AJ:$AJ,CONCATENATE(Info!$D$5,"055","(ÁIG)",L1660),Adat!$E:$E)-I1670</f>
        <v>0</v>
      </c>
    </row>
    <row r="1670" spans="2:9" x14ac:dyDescent="0.25">
      <c r="B1670" s="160">
        <v>8</v>
      </c>
      <c r="C1670" s="305" t="s">
        <v>1283</v>
      </c>
      <c r="D1670" s="161" t="s">
        <v>397</v>
      </c>
      <c r="E1670" s="72">
        <f>SUMIF(Adat!$AG:$AG,CONCATENATE(61,Info!$D$5,"055131",L1660),Adat!$E:$E)</f>
        <v>0</v>
      </c>
      <c r="F1670" s="72">
        <f>SUMIF(Adat!$AG:$AG,CONCATENATE(60,Info!$D$5,"055131",L1660),Adat!$E:$E)+E1670</f>
        <v>0</v>
      </c>
      <c r="G1670" s="72">
        <f>SUMIF(Adat!$AH:$AH,CONCATENATE(Info!$D$5,"(KÖT)","055131",L1660),Adat!$E:$E)</f>
        <v>0</v>
      </c>
      <c r="H1670" s="72">
        <f>SUMIF(Adat!$AH:$AH,CONCATENATE(Info!$D$5,"(ÖNV)","055131",L1660),Adat!$E:$E)*-1</f>
        <v>0</v>
      </c>
      <c r="I1670" s="72">
        <f>SUMIF(Adat!$AH:$AH,CONCATENATE(Info!$D$5,"(ÁIG)","055131",L1660),Adat!$E:$E)*-1</f>
        <v>0</v>
      </c>
    </row>
    <row r="1671" spans="2:9" x14ac:dyDescent="0.25">
      <c r="B1671" s="160">
        <v>9</v>
      </c>
      <c r="C1671" s="305" t="s">
        <v>1283</v>
      </c>
      <c r="D1671" s="93" t="s">
        <v>1445</v>
      </c>
      <c r="E1671" s="72">
        <v>0</v>
      </c>
      <c r="F1671" s="72">
        <f>SUM(G1671:I1671)</f>
        <v>0</v>
      </c>
      <c r="G1671" s="72">
        <v>0</v>
      </c>
      <c r="H1671" s="72">
        <v>0</v>
      </c>
      <c r="I1671" s="72">
        <v>0</v>
      </c>
    </row>
    <row r="1672" spans="2:9" x14ac:dyDescent="0.25">
      <c r="B1672" s="160">
        <v>10</v>
      </c>
      <c r="C1672" s="305" t="s">
        <v>1283</v>
      </c>
      <c r="D1672" s="93" t="s">
        <v>1446</v>
      </c>
      <c r="E1672" s="72">
        <v>0</v>
      </c>
      <c r="F1672" s="72">
        <f>SUM(G1672:I1672)</f>
        <v>0</v>
      </c>
      <c r="G1672" s="72">
        <v>0</v>
      </c>
      <c r="H1672" s="72">
        <v>0</v>
      </c>
      <c r="I1672" s="72">
        <v>0</v>
      </c>
    </row>
    <row r="1673" spans="2:9" x14ac:dyDescent="0.25">
      <c r="B1673" s="160">
        <v>11</v>
      </c>
      <c r="C1673" s="78" t="s">
        <v>358</v>
      </c>
      <c r="D1673" s="92" t="s">
        <v>2664</v>
      </c>
      <c r="E1673" s="71">
        <f>+E1674+E1676+E1678</f>
        <v>0</v>
      </c>
      <c r="F1673" s="71">
        <f>+F1674+F1676+F1678</f>
        <v>0</v>
      </c>
      <c r="G1673" s="71">
        <f>+G1674+G1676+G1678</f>
        <v>0</v>
      </c>
      <c r="H1673" s="71">
        <f>+H1674+H1676+H1678</f>
        <v>0</v>
      </c>
      <c r="I1673" s="71">
        <f>+I1674+I1676+I1678</f>
        <v>0</v>
      </c>
    </row>
    <row r="1674" spans="2:9" x14ac:dyDescent="0.25">
      <c r="B1674" s="160">
        <v>12</v>
      </c>
      <c r="C1674" s="305" t="s">
        <v>10</v>
      </c>
      <c r="D1674" s="317" t="s">
        <v>322</v>
      </c>
      <c r="E1674" s="72">
        <f>SUMIF(Adat!$AI:$AI,CONCATENATE(61,Info!$D$5,"056",L1660),Adat!$E:$E)</f>
        <v>0</v>
      </c>
      <c r="F1674" s="72">
        <f>SUMIF(Adat!$AI:$AI,CONCATENATE(60,Info!$D$5,"056",L1660),Adat!$E:$E)+E1674</f>
        <v>0</v>
      </c>
      <c r="G1674" s="72">
        <f>SUMIF(Adat!$AJ:$AJ,CONCATENATE(Info!$D$5,"056","(KÖT)",L1660),Adat!$E:$E)</f>
        <v>0</v>
      </c>
      <c r="H1674" s="72">
        <f>SUMIF(Adat!$AJ:$AJ,CONCATENATE(Info!$D$5,"056","(ÖNV)",L1660),Adat!$E:$E)</f>
        <v>0</v>
      </c>
      <c r="I1674" s="72">
        <f>SUMIF(Adat!$AJ:$AJ,CONCATENATE(Info!$D$5,"056","(ÁIG)",L1660),Adat!$E:$E)</f>
        <v>0</v>
      </c>
    </row>
    <row r="1675" spans="2:9" x14ac:dyDescent="0.25">
      <c r="B1675" s="160">
        <v>13</v>
      </c>
      <c r="C1675" s="305" t="s">
        <v>10</v>
      </c>
      <c r="D1675" s="317" t="s">
        <v>1448</v>
      </c>
      <c r="E1675" s="72">
        <v>0</v>
      </c>
      <c r="F1675" s="72">
        <f>SUM(G1675:I1675)</f>
        <v>0</v>
      </c>
      <c r="G1675" s="72">
        <v>0</v>
      </c>
      <c r="H1675" s="72">
        <v>0</v>
      </c>
      <c r="I1675" s="72">
        <v>0</v>
      </c>
    </row>
    <row r="1676" spans="2:9" x14ac:dyDescent="0.25">
      <c r="B1676" s="160">
        <v>14</v>
      </c>
      <c r="C1676" s="305" t="s">
        <v>12</v>
      </c>
      <c r="D1676" s="317" t="s">
        <v>323</v>
      </c>
      <c r="E1676" s="72">
        <f>SUMIF(Adat!$AI:$AI,CONCATENATE(61,Info!$D$5,"057",L1660),Adat!$E:$E)</f>
        <v>0</v>
      </c>
      <c r="F1676" s="72">
        <f>SUMIF(Adat!$AI:$AI,CONCATENATE(60,Info!$D$5,"057",L1660),Adat!$E:$E)+E1676</f>
        <v>0</v>
      </c>
      <c r="G1676" s="72">
        <f>SUMIF(Adat!$AJ:$AJ,CONCATENATE(Info!$D$5,"057","(KÖT)",L1660),Adat!$E:$E)</f>
        <v>0</v>
      </c>
      <c r="H1676" s="72">
        <f>SUMIF(Adat!$AJ:$AJ,CONCATENATE(Info!$D$5,"057","(ÖNV)",L1660),Adat!$E:$E)</f>
        <v>0</v>
      </c>
      <c r="I1676" s="72">
        <f>SUMIF(Adat!$AJ:$AJ,CONCATENATE(Info!$D$5,"057","(ÁIG)",L1660),Adat!$E:$E)</f>
        <v>0</v>
      </c>
    </row>
    <row r="1677" spans="2:9" x14ac:dyDescent="0.25">
      <c r="B1677" s="160">
        <v>15</v>
      </c>
      <c r="C1677" s="305" t="s">
        <v>12</v>
      </c>
      <c r="D1677" s="317" t="s">
        <v>1449</v>
      </c>
      <c r="E1677" s="72">
        <v>0</v>
      </c>
      <c r="F1677" s="72">
        <f>SUM(G1677:I1677)</f>
        <v>0</v>
      </c>
      <c r="G1677" s="72">
        <v>0</v>
      </c>
      <c r="H1677" s="72">
        <v>0</v>
      </c>
      <c r="I1677" s="72">
        <v>0</v>
      </c>
    </row>
    <row r="1678" spans="2:9" x14ac:dyDescent="0.25">
      <c r="B1678" s="160">
        <v>16</v>
      </c>
      <c r="C1678" s="305" t="s">
        <v>15</v>
      </c>
      <c r="D1678" s="317" t="s">
        <v>324</v>
      </c>
      <c r="E1678" s="72">
        <f>SUMIF(Adat!$AI:$AI,CONCATENATE(61,Info!$D$5,"058",L1660),Adat!$E:$E)</f>
        <v>0</v>
      </c>
      <c r="F1678" s="72">
        <f>SUMIF(Adat!$AI:$AI,CONCATENATE(60,Info!$D$5,"058",L1660),Adat!$E:$E)+E1678</f>
        <v>0</v>
      </c>
      <c r="G1678" s="72">
        <f>SUMIF(Adat!$AJ:$AJ,CONCATENATE(Info!$D$5,"058","(KÖT)",L1660),Adat!$E:$E)</f>
        <v>0</v>
      </c>
      <c r="H1678" s="72">
        <f>SUMIF(Adat!$AJ:$AJ,CONCATENATE(Info!$D$5,"058","(ÖNV)",L1660),Adat!$E:$E)</f>
        <v>0</v>
      </c>
      <c r="I1678" s="72">
        <f>SUMIF(Adat!$AJ:$AJ,CONCATENATE(Info!$D$5,"058","(ÁIG)",L1660),Adat!$E:$E)</f>
        <v>0</v>
      </c>
    </row>
    <row r="1679" spans="2:9" x14ac:dyDescent="0.25">
      <c r="B1679" s="160">
        <v>17</v>
      </c>
      <c r="C1679" s="78" t="s">
        <v>364</v>
      </c>
      <c r="D1679" s="86" t="s">
        <v>402</v>
      </c>
      <c r="E1679" s="71">
        <f>+E1664+E1673</f>
        <v>0</v>
      </c>
      <c r="F1679" s="71">
        <f>+F1664+F1673</f>
        <v>0</v>
      </c>
      <c r="G1679" s="71">
        <f>+G1664+G1673</f>
        <v>0</v>
      </c>
      <c r="H1679" s="71">
        <f>+H1664+H1673</f>
        <v>0</v>
      </c>
      <c r="I1679" s="71">
        <f>+I1664+I1673</f>
        <v>0</v>
      </c>
    </row>
    <row r="1680" spans="2:9" x14ac:dyDescent="0.25">
      <c r="B1680" s="160">
        <v>18</v>
      </c>
      <c r="C1680" s="78" t="s">
        <v>403</v>
      </c>
      <c r="D1680" s="86" t="s">
        <v>1450</v>
      </c>
      <c r="E1680" s="71">
        <f>+E1681+E1682+E1683</f>
        <v>0</v>
      </c>
      <c r="F1680" s="71">
        <f>+F1681+F1682+F1683</f>
        <v>0</v>
      </c>
      <c r="G1680" s="71">
        <f>+G1681+G1682+G1683</f>
        <v>0</v>
      </c>
      <c r="H1680" s="71">
        <f>+H1681+H1682+H1683</f>
        <v>0</v>
      </c>
      <c r="I1680" s="71">
        <f>+I1681+I1682+I1683</f>
        <v>0</v>
      </c>
    </row>
    <row r="1681" spans="2:18" s="42" customFormat="1" x14ac:dyDescent="0.25">
      <c r="B1681" s="160">
        <v>19</v>
      </c>
      <c r="C1681" s="305" t="s">
        <v>1451</v>
      </c>
      <c r="D1681" s="161" t="s">
        <v>490</v>
      </c>
      <c r="E1681" s="72">
        <f>SUMIF(Adat!$AG:$AG,CONCATENATE(61,Info!$D$5,"0591111",L1660),Adat!$E:$E)</f>
        <v>0</v>
      </c>
      <c r="F1681" s="72">
        <f>SUMIF(Adat!$AG:$AG,CONCATENATE(60,Info!$D$5,"0591111",L1660),Adat!$E:$E)+E1681</f>
        <v>0</v>
      </c>
      <c r="G1681" s="72">
        <f>SUMIF(Adat!$AH:$AH,CONCATENATE(Info!$D$5,"(KÖT)","0591111",L1660),Adat!$E:$E)</f>
        <v>0</v>
      </c>
      <c r="H1681" s="72">
        <f>SUMIF(Adat!$AH:$AH,CONCATENATE(Info!$D$5,"(ÖNV)","0591111",L1660),Adat!$E:$E)</f>
        <v>0</v>
      </c>
      <c r="I1681" s="72">
        <f>SUMIF(Adat!$AH:$AH,CONCATENATE(Info!$D$5,"(ÁIG)","0591111",L1660),Adat!$E:$E)</f>
        <v>0</v>
      </c>
    </row>
    <row r="1682" spans="2:18" x14ac:dyDescent="0.25">
      <c r="B1682" s="160">
        <v>20</v>
      </c>
      <c r="C1682" s="305" t="s">
        <v>1453</v>
      </c>
      <c r="D1682" s="161" t="s">
        <v>406</v>
      </c>
      <c r="E1682" s="72">
        <f>SUMIF(Adat!$AG:$AG,CONCATENATE(61,Info!$D$5,"0591121",L1660),Adat!$E:$E)</f>
        <v>0</v>
      </c>
      <c r="F1682" s="72">
        <f>SUMIF(Adat!$AG:$AG,CONCATENATE(60,Info!$D$5,"0591121",L1660),Adat!$E:$E)+E1682</f>
        <v>0</v>
      </c>
      <c r="G1682" s="72">
        <f>SUMIF(Adat!$AH:$AH,CONCATENATE(Info!$D$5,"(KÖT)","0591121",L1660),Adat!$E:$E)</f>
        <v>0</v>
      </c>
      <c r="H1682" s="72">
        <f>SUMIF(Adat!$AH:$AH,CONCATENATE(Info!$D$5,"(ÖNV)","0591121",L1660),Adat!$E:$E)</f>
        <v>0</v>
      </c>
      <c r="I1682" s="72">
        <f>SUMIF(Adat!$AH:$AH,CONCATENATE(Info!$D$5,"(ÁIG)","0591121",L1660),Adat!$E:$E)</f>
        <v>0</v>
      </c>
    </row>
    <row r="1683" spans="2:18" x14ac:dyDescent="0.25">
      <c r="B1683" s="160">
        <v>21</v>
      </c>
      <c r="C1683" s="305" t="s">
        <v>1455</v>
      </c>
      <c r="D1683" s="161" t="s">
        <v>491</v>
      </c>
      <c r="E1683" s="72">
        <f>SUMIF(Adat!$AG:$AG,CONCATENATE(61,Info!$D$5,"0591131",L1660),Adat!$E:$E)</f>
        <v>0</v>
      </c>
      <c r="F1683" s="72">
        <f>SUMIF(Adat!$AG:$AG,CONCATENATE(60,Info!$D$5,"0591131",L1660),Adat!$E:$E)+E1683</f>
        <v>0</v>
      </c>
      <c r="G1683" s="72">
        <f>SUMIF(Adat!$AH:$AH,CONCATENATE(Info!$D$5,"(KÖT)","0591131",L1660),Adat!$E:$E)</f>
        <v>0</v>
      </c>
      <c r="H1683" s="72">
        <f>SUMIF(Adat!$AH:$AH,CONCATENATE(Info!$D$5,"(ÖNV)","0591131",L1660),Adat!$E:$E)</f>
        <v>0</v>
      </c>
      <c r="I1683" s="72">
        <f>SUMIF(Adat!$AH:$AH,CONCATENATE(Info!$D$5,"(ÁIG)","0591131",L1660),Adat!$E:$E)</f>
        <v>0</v>
      </c>
    </row>
    <row r="1684" spans="2:18" x14ac:dyDescent="0.25">
      <c r="B1684" s="160">
        <v>22</v>
      </c>
      <c r="C1684" s="78" t="s">
        <v>372</v>
      </c>
      <c r="D1684" s="86" t="s">
        <v>1457</v>
      </c>
      <c r="E1684" s="71">
        <f>+E1685+E1686+E1687+E1688+E1689+E1690</f>
        <v>0</v>
      </c>
      <c r="F1684" s="71">
        <f>+F1685+F1686+F1687+F1688+F1689+F1690</f>
        <v>0</v>
      </c>
      <c r="G1684" s="71">
        <f>+G1685+G1686+G1687+G1688+G1689+G1690</f>
        <v>0</v>
      </c>
      <c r="H1684" s="71">
        <f>+H1685+H1686+H1687+H1688+H1689+H1690</f>
        <v>0</v>
      </c>
      <c r="I1684" s="71">
        <f>+I1685+I1686+I1687+I1688+I1689+I1690</f>
        <v>0</v>
      </c>
    </row>
    <row r="1685" spans="2:18" x14ac:dyDescent="0.25">
      <c r="B1685" s="160">
        <v>23</v>
      </c>
      <c r="C1685" s="305" t="s">
        <v>1458</v>
      </c>
      <c r="D1685" s="161" t="s">
        <v>409</v>
      </c>
      <c r="E1685" s="72">
        <f>SUMIF(Adat!$AG:$AG,CONCATENATE(61,Info!$D$5,"0591211",L1660),Adat!$E:$E)</f>
        <v>0</v>
      </c>
      <c r="F1685" s="72">
        <f>SUMIF(Adat!$AG:$AG,CONCATENATE(60,Info!$D$5,"0591211",L1660),Adat!$E:$E)+E1685</f>
        <v>0</v>
      </c>
      <c r="G1685" s="72">
        <f>SUMIF(Adat!$AH:$AH,CONCATENATE(Info!$D$5,"(KÖT)","0591211",L1660),Adat!$E:$E)</f>
        <v>0</v>
      </c>
      <c r="H1685" s="72">
        <f>SUMIF(Adat!$AH:$AH,CONCATENATE(Info!$D$5,"(ÖNV)","0591211",L1660),Adat!$E:$E)</f>
        <v>0</v>
      </c>
      <c r="I1685" s="72">
        <f>SUMIF(Adat!$AH:$AH,CONCATENATE(Info!$D$5,"(ÁIG)","0591211",L1660),Adat!$E:$E)</f>
        <v>0</v>
      </c>
    </row>
    <row r="1686" spans="2:18" x14ac:dyDescent="0.25">
      <c r="B1686" s="160">
        <v>24</v>
      </c>
      <c r="C1686" s="305" t="s">
        <v>1460</v>
      </c>
      <c r="D1686" s="161" t="s">
        <v>410</v>
      </c>
      <c r="E1686" s="72">
        <f>SUMIF(Adat!$AG:$AG,CONCATENATE(61,Info!$D$5,"0591221",L1660),Adat!$E:$E)</f>
        <v>0</v>
      </c>
      <c r="F1686" s="72">
        <f>SUMIF(Adat!$AG:$AG,CONCATENATE(60,Info!$D$5,"0591221",L1660),Adat!$E:$E)+E1686</f>
        <v>0</v>
      </c>
      <c r="G1686" s="72">
        <f>SUMIF(Adat!$AH:$AH,CONCATENATE(Info!$D$5,"(KÖT)","0591221",L1660),Adat!$E:$E)</f>
        <v>0</v>
      </c>
      <c r="H1686" s="72">
        <f>SUMIF(Adat!$AH:$AH,CONCATENATE(Info!$D$5,"(ÖNV)","0591221",L1660),Adat!$E:$E)</f>
        <v>0</v>
      </c>
      <c r="I1686" s="72">
        <f>SUMIF(Adat!$AH:$AH,CONCATENATE(Info!$D$5,"(ÁIG)","0591221",L1660),Adat!$E:$E)</f>
        <v>0</v>
      </c>
    </row>
    <row r="1687" spans="2:18" x14ac:dyDescent="0.25">
      <c r="B1687" s="160">
        <v>25</v>
      </c>
      <c r="C1687" s="305" t="s">
        <v>1462</v>
      </c>
      <c r="D1687" s="161" t="s">
        <v>411</v>
      </c>
      <c r="E1687" s="72">
        <f>SUMIF(Adat!$AG:$AG,CONCATENATE(61,Info!$D$5,"0591231",L1660),Adat!$E:$E)</f>
        <v>0</v>
      </c>
      <c r="F1687" s="72">
        <f>SUMIF(Adat!$AG:$AG,CONCATENATE(60,Info!$D$5,"0591231",L1660),Adat!$E:$E)+E1687</f>
        <v>0</v>
      </c>
      <c r="G1687" s="72">
        <f>SUMIF(Adat!$AH:$AH,CONCATENATE(Info!$D$5,"(KÖT)","0591231",L1660),Adat!$E:$E)</f>
        <v>0</v>
      </c>
      <c r="H1687" s="72">
        <f>SUMIF(Adat!$AH:$AH,CONCATENATE(Info!$D$5,"(ÖNV)","0591231",L1660),Adat!$E:$E)</f>
        <v>0</v>
      </c>
      <c r="I1687" s="72">
        <f>SUMIF(Adat!$AH:$AH,CONCATENATE(Info!$D$5,"(ÁIG)","0591231",L1660),Adat!$E:$E)</f>
        <v>0</v>
      </c>
    </row>
    <row r="1688" spans="2:18" x14ac:dyDescent="0.25">
      <c r="B1688" s="160">
        <v>26</v>
      </c>
      <c r="C1688" s="305" t="s">
        <v>1464</v>
      </c>
      <c r="D1688" s="161" t="s">
        <v>492</v>
      </c>
      <c r="E1688" s="72">
        <f>SUMIF(Adat!$AG:$AG,CONCATENATE(61,Info!$D$5,"0591241",L1660),Adat!$E:$E)</f>
        <v>0</v>
      </c>
      <c r="F1688" s="72">
        <f>SUMIF(Adat!$AG:$AG,CONCATENATE(60,Info!$D$5,"0591241",L1660),Adat!$E:$E)+E1688</f>
        <v>0</v>
      </c>
      <c r="G1688" s="72">
        <f>SUMIF(Adat!$AH:$AH,CONCATENATE(Info!$D$5,"(KÖT)","0591241",L1660),Adat!$E:$E)</f>
        <v>0</v>
      </c>
      <c r="H1688" s="72">
        <f>SUMIF(Adat!$AH:$AH,CONCATENATE(Info!$D$5,"(ÖNV)","0591241",L1660),Adat!$E:$E)</f>
        <v>0</v>
      </c>
      <c r="I1688" s="72">
        <f>SUMIF(Adat!$AH:$AH,CONCATENATE(Info!$D$5,"(ÁIG)","0591241",L1660),Adat!$E:$E)</f>
        <v>0</v>
      </c>
    </row>
    <row r="1689" spans="2:18" x14ac:dyDescent="0.25">
      <c r="B1689" s="160">
        <v>27</v>
      </c>
      <c r="C1689" s="305" t="s">
        <v>1466</v>
      </c>
      <c r="D1689" s="161" t="s">
        <v>413</v>
      </c>
      <c r="E1689" s="72">
        <f>SUMIF(Adat!$AG:$AG,CONCATENATE(61,Info!$D$5,"0591251",L1660),Adat!$E:$E)</f>
        <v>0</v>
      </c>
      <c r="F1689" s="72">
        <f>SUMIF(Adat!$AG:$AG,CONCATENATE(60,Info!$D$5,"0591251",L1660),Adat!$E:$E)+E1689</f>
        <v>0</v>
      </c>
      <c r="G1689" s="72">
        <f>SUMIF(Adat!$AH:$AH,CONCATENATE(Info!$D$5,"(KÖT)","0591251",L1660),Adat!$E:$E)</f>
        <v>0</v>
      </c>
      <c r="H1689" s="72">
        <f>SUMIF(Adat!$AH:$AH,CONCATENATE(Info!$D$5,"(ÖNV)","0591251",L1660),Adat!$E:$E)</f>
        <v>0</v>
      </c>
      <c r="I1689" s="72">
        <f>SUMIF(Adat!$AH:$AH,CONCATENATE(Info!$D$5,"(ÁIG)","0591251",L1660),Adat!$E:$E)</f>
        <v>0</v>
      </c>
    </row>
    <row r="1690" spans="2:18" s="42" customFormat="1" x14ac:dyDescent="0.25">
      <c r="B1690" s="160">
        <v>28</v>
      </c>
      <c r="C1690" s="305" t="s">
        <v>1468</v>
      </c>
      <c r="D1690" s="161" t="s">
        <v>414</v>
      </c>
      <c r="E1690" s="72">
        <f>SUMIF(Adat!$AG:$AG,CONCATENATE(61,Info!$D$5,"0591261",L1660),Adat!$E:$E)</f>
        <v>0</v>
      </c>
      <c r="F1690" s="72">
        <f>SUMIF(Adat!$AG:$AG,CONCATENATE(60,Info!$D$5,"0591261",L1660),Adat!$E:$E)+E1690</f>
        <v>0</v>
      </c>
      <c r="G1690" s="72">
        <f>SUMIF(Adat!$AH:$AH,CONCATENATE(Info!$D$5,"(KÖT)","0591261",L1660),Adat!$E:$E)</f>
        <v>0</v>
      </c>
      <c r="H1690" s="72">
        <f>SUMIF(Adat!$AH:$AH,CONCATENATE(Info!$D$5,"(ÖNV)","0591261",L1660),Adat!$E:$E)</f>
        <v>0</v>
      </c>
      <c r="I1690" s="72">
        <f>SUMIF(Adat!$AH:$AH,CONCATENATE(Info!$D$5,"(ÁIG)","0591261",L1660),Adat!$E:$E)</f>
        <v>0</v>
      </c>
    </row>
    <row r="1691" spans="2:18" x14ac:dyDescent="0.25">
      <c r="B1691" s="160">
        <v>29</v>
      </c>
      <c r="C1691" s="78" t="s">
        <v>379</v>
      </c>
      <c r="D1691" s="86" t="s">
        <v>1470</v>
      </c>
      <c r="E1691" s="71">
        <f>+E1692+E1693+E1695+E1696+E1694</f>
        <v>0</v>
      </c>
      <c r="F1691" s="71">
        <f>+F1692+F1693+F1695+F1696+F1694</f>
        <v>0</v>
      </c>
      <c r="G1691" s="71">
        <f>+G1692+G1693+G1695+G1696+G1694</f>
        <v>0</v>
      </c>
      <c r="H1691" s="71">
        <f>+H1692+H1693+H1695+H1696+H1694</f>
        <v>0</v>
      </c>
      <c r="I1691" s="71">
        <f>+I1692+I1693+I1695+I1696+I1694</f>
        <v>0</v>
      </c>
      <c r="R1691" s="43"/>
    </row>
    <row r="1692" spans="2:18" x14ac:dyDescent="0.25">
      <c r="B1692" s="160">
        <v>30</v>
      </c>
      <c r="C1692" s="305" t="s">
        <v>1471</v>
      </c>
      <c r="D1692" s="161" t="s">
        <v>416</v>
      </c>
      <c r="E1692" s="72">
        <f>SUMIF(Adat!$AG:$AG,CONCATENATE(61,Info!$D$5,"059131",L1660),Adat!$E:$E)</f>
        <v>0</v>
      </c>
      <c r="F1692" s="72">
        <f>SUMIF(Adat!$AG:$AG,CONCATENATE(60,Info!$D$5,"059131",L1660),Adat!$E:$E)+E1692</f>
        <v>0</v>
      </c>
      <c r="G1692" s="72">
        <f>SUMIF(Adat!$AH:$AH,CONCATENATE(Info!$D$5,"(KÖT)","059131",L1660),Adat!$E:$E)</f>
        <v>0</v>
      </c>
      <c r="H1692" s="72">
        <f>SUMIF(Adat!$AH:$AH,CONCATENATE(Info!$D$5,"(ÖNV)","059131",L1660),Adat!$E:$E)</f>
        <v>0</v>
      </c>
      <c r="I1692" s="72">
        <f>SUMIF(Adat!$AH:$AH,CONCATENATE(Info!$D$5,"(ÁIG)","059131",L1660),Adat!$E:$E)</f>
        <v>0</v>
      </c>
    </row>
    <row r="1693" spans="2:18" x14ac:dyDescent="0.25">
      <c r="B1693" s="160">
        <v>31</v>
      </c>
      <c r="C1693" s="305" t="s">
        <v>1287</v>
      </c>
      <c r="D1693" s="161" t="s">
        <v>417</v>
      </c>
      <c r="E1693" s="72">
        <f>SUMIF(Adat!$AG:$AG,CONCATENATE(61,Info!$D$5,"059141",L1660),Adat!$E:$E)</f>
        <v>0</v>
      </c>
      <c r="F1693" s="72">
        <f>SUMIF(Adat!$AG:$AG,CONCATENATE(60,Info!$D$5,"059141",L1660),Adat!$E:$E)+E1693</f>
        <v>0</v>
      </c>
      <c r="G1693" s="72">
        <f>SUMIF(Adat!$AH:$AH,CONCATENATE(Info!$D$5,"(KÖT)","059141",L1660),Adat!$E:$E)</f>
        <v>0</v>
      </c>
      <c r="H1693" s="72">
        <f>SUMIF(Adat!$AH:$AH,CONCATENATE(Info!$D$5,"(ÖNV)","059141",L1660),Adat!$E:$E)</f>
        <v>0</v>
      </c>
      <c r="I1693" s="72">
        <f>SUMIF(Adat!$AH:$AH,CONCATENATE(Info!$D$5,"(ÁIG)","059141",L1660),Adat!$E:$E)</f>
        <v>0</v>
      </c>
    </row>
    <row r="1694" spans="2:18" x14ac:dyDescent="0.25">
      <c r="B1694" s="160">
        <v>32</v>
      </c>
      <c r="C1694" s="316" t="s">
        <v>1253</v>
      </c>
      <c r="D1694" s="161" t="s">
        <v>493</v>
      </c>
      <c r="E1694" s="72">
        <f>SUMIF(Adat!$AG:$AG,CONCATENATE(61,Info!$D$5,"059151",L1660),Adat!$E:$E)</f>
        <v>0</v>
      </c>
      <c r="F1694" s="72">
        <f>SUMIF(Adat!$AG:$AG,CONCATENATE(60,Info!$D$5,"059151",L1660),Adat!$E:$E)+E1694</f>
        <v>0</v>
      </c>
      <c r="G1694" s="72">
        <f>SUMIF(Adat!$AH:$AH,CONCATENATE(Info!$D$5,"(KÖT)","059151",L1660),Adat!$E:$E)</f>
        <v>0</v>
      </c>
      <c r="H1694" s="72">
        <f>SUMIF(Adat!$AH:$AH,CONCATENATE(Info!$D$5,"(ÖNV)","059151",L1660),Adat!$E:$E)</f>
        <v>0</v>
      </c>
      <c r="I1694" s="72">
        <f>SUMIF(Adat!$AH:$AH,CONCATENATE(Info!$D$5,"(ÁIG)","059151",L1660),Adat!$E:$E)</f>
        <v>0</v>
      </c>
    </row>
    <row r="1695" spans="2:18" s="42" customFormat="1" x14ac:dyDescent="0.25">
      <c r="B1695" s="160">
        <v>33</v>
      </c>
      <c r="C1695" s="305" t="s">
        <v>1474</v>
      </c>
      <c r="D1695" s="161" t="s">
        <v>418</v>
      </c>
      <c r="E1695" s="72">
        <f>SUMIF(Adat!$AG:$AG,CONCATENATE(61,Info!$D$5,"059161",L1660),Adat!$E:$E)</f>
        <v>0</v>
      </c>
      <c r="F1695" s="72">
        <f>SUMIF(Adat!$AG:$AG,CONCATENATE(60,Info!$D$5,"059161",L1660),Adat!$E:$E)+E1695</f>
        <v>0</v>
      </c>
      <c r="G1695" s="72">
        <f>SUMIF(Adat!$AH:$AH,CONCATENATE(Info!$D$5,"(KÖT)","059161",L1660),Adat!$E:$E)</f>
        <v>0</v>
      </c>
      <c r="H1695" s="72">
        <f>SUMIF(Adat!$AH:$AH,CONCATENATE(Info!$D$5,"(ÖNV)","059161",L1660),Adat!$E:$E)</f>
        <v>0</v>
      </c>
      <c r="I1695" s="72">
        <f>SUMIF(Adat!$AH:$AH,CONCATENATE(Info!$D$5,"(ÁIG)","059161",L1660),Adat!$E:$E)</f>
        <v>0</v>
      </c>
    </row>
    <row r="1696" spans="2:18" s="42" customFormat="1" x14ac:dyDescent="0.25">
      <c r="B1696" s="160">
        <v>34</v>
      </c>
      <c r="C1696" s="305" t="s">
        <v>1476</v>
      </c>
      <c r="D1696" s="161" t="s">
        <v>419</v>
      </c>
      <c r="E1696" s="72">
        <f>SUMIF(Adat!$AG:$AG,CONCATENATE(61,Info!$D$5,"059171",L1660),Adat!$E:$E)</f>
        <v>0</v>
      </c>
      <c r="F1696" s="72">
        <f>SUMIF(Adat!$AG:$AG,CONCATENATE(60,Info!$D$5,"059171",L1660),Adat!$E:$E)+E1696</f>
        <v>0</v>
      </c>
      <c r="G1696" s="72">
        <f>SUMIF(Adat!$AH:$AH,CONCATENATE(Info!$D$5,"(KÖT)","059171",L1660),Adat!$E:$E)</f>
        <v>0</v>
      </c>
      <c r="H1696" s="72">
        <f>SUMIF(Adat!$AH:$AH,CONCATENATE(Info!$D$5,"(ÖNV)","059171",L1660),Adat!$E:$E)</f>
        <v>0</v>
      </c>
      <c r="I1696" s="72">
        <f>SUMIF(Adat!$AH:$AH,CONCATENATE(Info!$D$5,"(ÁIG)","059171",L1660),Adat!$E:$E)</f>
        <v>0</v>
      </c>
    </row>
    <row r="1697" spans="2:12" s="42" customFormat="1" x14ac:dyDescent="0.25">
      <c r="B1697" s="160">
        <v>35</v>
      </c>
      <c r="C1697" s="78" t="s">
        <v>420</v>
      </c>
      <c r="D1697" s="86" t="s">
        <v>1478</v>
      </c>
      <c r="E1697" s="73">
        <f>+E1698+E1699+E1700+E1701+E1702</f>
        <v>0</v>
      </c>
      <c r="F1697" s="73">
        <f>+F1698+F1699+F1700+F1701+F1702</f>
        <v>0</v>
      </c>
      <c r="G1697" s="73">
        <f>+G1698+G1699+G1700+G1701+G1702</f>
        <v>0</v>
      </c>
      <c r="H1697" s="73">
        <f>+H1698+H1699+H1700+H1701+H1702</f>
        <v>0</v>
      </c>
      <c r="I1697" s="73">
        <f>+I1698+I1699+I1700+I1701+I1702</f>
        <v>0</v>
      </c>
    </row>
    <row r="1698" spans="2:12" s="42" customFormat="1" x14ac:dyDescent="0.25">
      <c r="B1698" s="160">
        <v>36</v>
      </c>
      <c r="C1698" s="305" t="s">
        <v>1479</v>
      </c>
      <c r="D1698" s="161" t="s">
        <v>422</v>
      </c>
      <c r="E1698" s="72">
        <f>SUMIF(Adat!$AG:$AG,CONCATENATE(61,Info!$D$5,"059211",L1660),Adat!$E:$E)</f>
        <v>0</v>
      </c>
      <c r="F1698" s="72">
        <f>SUMIF(Adat!$AG:$AG,CONCATENATE(60,Info!$D$5,"059211",L1660),Adat!$E:$E)+E1698</f>
        <v>0</v>
      </c>
      <c r="G1698" s="72">
        <f>SUMIF(Adat!$AH:$AH,CONCATENATE(Info!$D$5,"(KÖT)","059211",L1660),Adat!$E:$E)</f>
        <v>0</v>
      </c>
      <c r="H1698" s="72">
        <f>SUMIF(Adat!$AH:$AH,CONCATENATE(Info!$D$5,"(ÖNV)","059211",L1660),Adat!$E:$E)</f>
        <v>0</v>
      </c>
      <c r="I1698" s="72">
        <f>SUMIF(Adat!$AH:$AH,CONCATENATE(Info!$D$5,"(ÁIG)","059211",L1660),Adat!$E:$E)</f>
        <v>0</v>
      </c>
    </row>
    <row r="1699" spans="2:12" s="42" customFormat="1" x14ac:dyDescent="0.25">
      <c r="B1699" s="160">
        <v>37</v>
      </c>
      <c r="C1699" s="305" t="s">
        <v>1481</v>
      </c>
      <c r="D1699" s="161" t="s">
        <v>423</v>
      </c>
      <c r="E1699" s="72">
        <f>SUMIF(Adat!$AG:$AG,CONCATENATE(61,Info!$D$5,"059221",L1660),Adat!$E:$E)</f>
        <v>0</v>
      </c>
      <c r="F1699" s="72">
        <f>SUMIF(Adat!$AG:$AG,CONCATENATE(60,Info!$D$5,"059221",L1660),Adat!$E:$E)+E1699</f>
        <v>0</v>
      </c>
      <c r="G1699" s="72">
        <f>SUMIF(Adat!$AH:$AH,CONCATENATE(Info!$D$5,"(KÖT)","059221",L1660),Adat!$E:$E)</f>
        <v>0</v>
      </c>
      <c r="H1699" s="72">
        <f>SUMIF(Adat!$AH:$AH,CONCATENATE(Info!$D$5,"(ÖNV)","059221",L1660),Adat!$E:$E)</f>
        <v>0</v>
      </c>
      <c r="I1699" s="72">
        <f>SUMIF(Adat!$AH:$AH,CONCATENATE(Info!$D$5,"(ÁIG)","059221",L1660),Adat!$E:$E)</f>
        <v>0</v>
      </c>
    </row>
    <row r="1700" spans="2:12" s="42" customFormat="1" x14ac:dyDescent="0.25">
      <c r="B1700" s="160">
        <v>38</v>
      </c>
      <c r="C1700" s="305" t="s">
        <v>1483</v>
      </c>
      <c r="D1700" s="161" t="s">
        <v>424</v>
      </c>
      <c r="E1700" s="72">
        <f>SUMIF(Adat!$AG:$AG,CONCATENATE(61,Info!$D$5,"059231",L1660),Adat!$E:$E)</f>
        <v>0</v>
      </c>
      <c r="F1700" s="72">
        <f>SUMIF(Adat!$AG:$AG,CONCATENATE(60,Info!$D$5,"059231",L1660),Adat!$E:$E)+E1700</f>
        <v>0</v>
      </c>
      <c r="G1700" s="72">
        <f>SUMIF(Adat!$AH:$AH,CONCATENATE(Info!$D$5,"(KÖT)","059231",L1660),Adat!$E:$E)</f>
        <v>0</v>
      </c>
      <c r="H1700" s="72">
        <f>SUMIF(Adat!$AH:$AH,CONCATENATE(Info!$D$5,"(ÖNV)","059231",L1660),Adat!$E:$E)</f>
        <v>0</v>
      </c>
      <c r="I1700" s="72">
        <f>SUMIF(Adat!$AH:$AH,CONCATENATE(Info!$D$5,"(ÁIG)","059231",L1660),Adat!$E:$E)</f>
        <v>0</v>
      </c>
    </row>
    <row r="1701" spans="2:12" s="42" customFormat="1" x14ac:dyDescent="0.25">
      <c r="B1701" s="160">
        <v>39</v>
      </c>
      <c r="C1701" s="305" t="s">
        <v>1485</v>
      </c>
      <c r="D1701" s="161" t="s">
        <v>494</v>
      </c>
      <c r="E1701" s="72">
        <f>SUMIF(Adat!$AG:$AG,CONCATENATE(61,Info!$D$5,"059241",L1660),Adat!$E:$E)</f>
        <v>0</v>
      </c>
      <c r="F1701" s="72">
        <f>SUMIF(Adat!$AG:$AG,CONCATENATE(60,Info!$D$5,"059241",L1660),Adat!$E:$E)+E1701</f>
        <v>0</v>
      </c>
      <c r="G1701" s="72">
        <f>SUMIF(Adat!$AH:$AH,CONCATENATE(Info!$D$5,"(KÖT)","059241",L1660),Adat!$E:$E)</f>
        <v>0</v>
      </c>
      <c r="H1701" s="72">
        <f>SUMIF(Adat!$AH:$AH,CONCATENATE(Info!$D$5,"(ÖNV)","059241",L1660),Adat!$E:$E)</f>
        <v>0</v>
      </c>
      <c r="I1701" s="72">
        <f>SUMIF(Adat!$AH:$AH,CONCATENATE(Info!$D$5,"(ÁIG)","059241",L1660),Adat!$E:$E)</f>
        <v>0</v>
      </c>
    </row>
    <row r="1702" spans="2:12" x14ac:dyDescent="0.25">
      <c r="B1702" s="160">
        <v>40</v>
      </c>
      <c r="C1702" s="305" t="s">
        <v>1487</v>
      </c>
      <c r="D1702" s="161" t="s">
        <v>427</v>
      </c>
      <c r="E1702" s="72">
        <f>SUMIF(Adat!$AG:$AG,CONCATENATE(61,Info!$D$5,"059251",L1660),Adat!$E:$E)</f>
        <v>0</v>
      </c>
      <c r="F1702" s="72">
        <f>SUMIF(Adat!$AG:$AG,CONCATENATE(60,Info!$D$5,"059251",L1660),Adat!$E:$E)+E1702</f>
        <v>0</v>
      </c>
      <c r="G1702" s="72">
        <f>SUMIF(Adat!$AH:$AH,CONCATENATE(Info!$D$5,"(KÖT)","059251",L1660),Adat!$E:$E)</f>
        <v>0</v>
      </c>
      <c r="H1702" s="72">
        <f>SUMIF(Adat!$AH:$AH,CONCATENATE(Info!$D$5,"(ÖNV)","059251",L1660),Adat!$E:$E)</f>
        <v>0</v>
      </c>
      <c r="I1702" s="72">
        <f>SUMIF(Adat!$AH:$AH,CONCATENATE(Info!$D$5,"(ÁIG)","059251",L1660),Adat!$E:$E)</f>
        <v>0</v>
      </c>
    </row>
    <row r="1703" spans="2:12" x14ac:dyDescent="0.25">
      <c r="B1703" s="160">
        <v>41</v>
      </c>
      <c r="C1703" s="162" t="s">
        <v>390</v>
      </c>
      <c r="D1703" s="86" t="s">
        <v>428</v>
      </c>
      <c r="E1703" s="72">
        <f>SUMIF(Adat!$AG:$AG,CONCATENATE(61,Info!$D$5,"05931",L1660),Adat!$E:$E)</f>
        <v>0</v>
      </c>
      <c r="F1703" s="72">
        <f>SUMIF(Adat!$AG:$AG,CONCATENATE(60,Info!$D$5,"05931",L1660),Adat!$E:$E)+E1703</f>
        <v>0</v>
      </c>
      <c r="G1703" s="72">
        <f>SUMIF(Adat!$AH:$AH,CONCATENATE(Info!$D$5,"(KÖT)","05931",L1660),Adat!$E:$E)</f>
        <v>0</v>
      </c>
      <c r="H1703" s="72">
        <f>SUMIF(Adat!$AH:$AH,CONCATENATE(Info!$D$5,"(ÖNV)","05931",L1660),Adat!$E:$E)</f>
        <v>0</v>
      </c>
      <c r="I1703" s="72">
        <f>SUMIF(Adat!$AH:$AH,CONCATENATE(Info!$D$5,"(ÁIG)","05931",L1660),Adat!$E:$E)</f>
        <v>0</v>
      </c>
    </row>
    <row r="1704" spans="2:12" x14ac:dyDescent="0.25">
      <c r="B1704" s="160">
        <v>42</v>
      </c>
      <c r="C1704" s="162" t="s">
        <v>429</v>
      </c>
      <c r="D1704" s="86" t="s">
        <v>430</v>
      </c>
      <c r="E1704" s="72">
        <f>SUMIF(Adat!$AG:$AG,CONCATENATE(61,Info!$D$5,"05941",L1660),Adat!$E:$E)</f>
        <v>0</v>
      </c>
      <c r="F1704" s="72">
        <f>SUMIF(Adat!$AG:$AG,CONCATENATE(60,Info!$D$5,"05941",L1660),Adat!$E:$E)+E1704</f>
        <v>0</v>
      </c>
      <c r="G1704" s="72">
        <f>SUMIF(Adat!$AH:$AH,CONCATENATE(Info!$D$5,"(KÖT)","05941",L1660),Adat!$E:$E)</f>
        <v>0</v>
      </c>
      <c r="H1704" s="72">
        <f>SUMIF(Adat!$AH:$AH,CONCATENATE(Info!$D$5,"(ÖNV)","05941",L1660),Adat!$E:$E)</f>
        <v>0</v>
      </c>
      <c r="I1704" s="72">
        <f>SUMIF(Adat!$AH:$AH,CONCATENATE(Info!$D$5,"(ÁIG)","05941",L1660),Adat!$E:$E)</f>
        <v>0</v>
      </c>
    </row>
    <row r="1705" spans="2:12" x14ac:dyDescent="0.25">
      <c r="B1705" s="160">
        <v>43</v>
      </c>
      <c r="C1705" s="78" t="s">
        <v>431</v>
      </c>
      <c r="D1705" s="86" t="s">
        <v>432</v>
      </c>
      <c r="E1705" s="74">
        <f>+E1680+E1684+E1691+E1697+E1703+E1704</f>
        <v>0</v>
      </c>
      <c r="F1705" s="74">
        <f>+F1680+F1684+F1691+F1697+F1703+F1704</f>
        <v>0</v>
      </c>
      <c r="G1705" s="74">
        <f>+G1680+G1684+G1691+G1697+G1703+G1704</f>
        <v>0</v>
      </c>
      <c r="H1705" s="74">
        <f>+H1680+H1684+H1691+H1697+H1703+H1704</f>
        <v>0</v>
      </c>
      <c r="I1705" s="74">
        <f>+I1680+I1684+I1691+I1697+I1703+I1704</f>
        <v>0</v>
      </c>
    </row>
    <row r="1706" spans="2:12" x14ac:dyDescent="0.25">
      <c r="B1706" s="160">
        <v>44</v>
      </c>
      <c r="C1706" s="154" t="s">
        <v>433</v>
      </c>
      <c r="D1706" s="159" t="s">
        <v>434</v>
      </c>
      <c r="E1706" s="74">
        <f>+E1679+E1705</f>
        <v>0</v>
      </c>
      <c r="F1706" s="74">
        <f>+F1679+F1705</f>
        <v>0</v>
      </c>
      <c r="G1706" s="74">
        <f>+G1679+G1705</f>
        <v>0</v>
      </c>
      <c r="H1706" s="74">
        <f>+H1679+H1705</f>
        <v>0</v>
      </c>
      <c r="I1706" s="74">
        <f>+I1679+I1705</f>
        <v>0</v>
      </c>
    </row>
    <row r="1707" spans="2:12" s="37" customFormat="1" ht="15.75" x14ac:dyDescent="0.25">
      <c r="C1707" s="529"/>
      <c r="D1707" s="529"/>
      <c r="E1707" s="529"/>
      <c r="F1707" s="200"/>
      <c r="G1707" s="200"/>
      <c r="H1707" s="200"/>
      <c r="I1707" s="200"/>
    </row>
    <row r="1708" spans="2:12" s="38" customFormat="1" ht="15.75" x14ac:dyDescent="0.25">
      <c r="B1708" s="525" t="str">
        <f>PAR!$E$3</f>
        <v>Nagymaros Város Önkormányzata</v>
      </c>
      <c r="C1708" s="525"/>
      <c r="D1708" s="525"/>
      <c r="E1708" s="525"/>
      <c r="F1708" s="525"/>
      <c r="G1708" s="525"/>
      <c r="H1708" s="525"/>
      <c r="I1708" s="525"/>
    </row>
    <row r="1709" spans="2:12" s="38" customFormat="1" ht="15.75" x14ac:dyDescent="0.25">
      <c r="B1709" s="525" t="s">
        <v>2660</v>
      </c>
      <c r="C1709" s="525"/>
      <c r="D1709" s="525"/>
      <c r="E1709" s="525"/>
      <c r="F1709" s="525"/>
      <c r="G1709" s="525"/>
      <c r="H1709" s="525"/>
      <c r="I1709" s="525"/>
    </row>
    <row r="1710" spans="2:12" s="38" customFormat="1" ht="15.75" x14ac:dyDescent="0.25">
      <c r="C1710" s="156"/>
      <c r="E1710" s="140"/>
      <c r="F1710" s="140"/>
      <c r="G1710" s="140"/>
      <c r="H1710" s="140"/>
      <c r="I1710" s="140"/>
    </row>
    <row r="1711" spans="2:12" s="10" customFormat="1" ht="15.75" customHeight="1" x14ac:dyDescent="0.25">
      <c r="B1711" s="201" t="str">
        <f>CONCATENATE("25. Bevételi jogcímek"," - ",L1711," részletező")</f>
        <v>25. Bevételi jogcímek -  részletező</v>
      </c>
      <c r="C1711" s="101"/>
      <c r="D1711" s="101"/>
      <c r="E1711" s="101"/>
      <c r="F1711" s="101"/>
      <c r="G1711" s="198"/>
      <c r="H1711" s="198"/>
      <c r="I1711" s="198"/>
      <c r="L1711" s="384"/>
    </row>
    <row r="1712" spans="2:12" s="38" customFormat="1" ht="15.75" x14ac:dyDescent="0.25">
      <c r="C1712" s="156"/>
      <c r="E1712" s="140"/>
      <c r="F1712" s="140"/>
      <c r="G1712" s="140"/>
      <c r="H1712" s="140"/>
      <c r="I1712" s="140"/>
    </row>
    <row r="1713" spans="2:9" s="40" customFormat="1" x14ac:dyDescent="0.25">
      <c r="B1713" s="77"/>
      <c r="C1713" s="77" t="s">
        <v>350</v>
      </c>
      <c r="D1713" s="77" t="s">
        <v>351</v>
      </c>
      <c r="E1713" s="77" t="s">
        <v>470</v>
      </c>
      <c r="F1713" s="77" t="s">
        <v>471</v>
      </c>
      <c r="G1713" s="77" t="s">
        <v>44</v>
      </c>
      <c r="H1713" s="77" t="s">
        <v>42</v>
      </c>
      <c r="I1713" s="77" t="s">
        <v>511</v>
      </c>
    </row>
    <row r="1714" spans="2:9" ht="38.25" x14ac:dyDescent="0.25">
      <c r="B1714" s="160">
        <v>1</v>
      </c>
      <c r="C1714" s="154" t="s">
        <v>593</v>
      </c>
      <c r="D1714" s="154" t="s">
        <v>488</v>
      </c>
      <c r="E1714" s="163" t="str">
        <f>CONCATENATE(PAR!$H$3," évi
eredeti 
előirányzat")</f>
        <v>2025. évi
eredeti 
előirányzat</v>
      </c>
      <c r="F1714" s="163" t="str">
        <f>CONCATENATE(PAR!$H$3," évi
módosított 
előirányzat")</f>
        <v>2025. évi
módosított 
előirányzat</v>
      </c>
      <c r="G1714" s="69" t="s">
        <v>666</v>
      </c>
      <c r="H1714" s="69" t="s">
        <v>667</v>
      </c>
      <c r="I1714" s="69" t="s">
        <v>668</v>
      </c>
    </row>
    <row r="1715" spans="2:9" s="41" customFormat="1" x14ac:dyDescent="0.25">
      <c r="B1715" s="160">
        <v>2</v>
      </c>
      <c r="C1715" s="78" t="s">
        <v>1324</v>
      </c>
      <c r="D1715" s="79" t="s">
        <v>562</v>
      </c>
      <c r="E1715" s="71">
        <f>SUM(E1716:E1722)</f>
        <v>0</v>
      </c>
      <c r="F1715" s="71">
        <f t="shared" ref="F1715:I1715" si="180">SUM(F1716:F1722)</f>
        <v>0</v>
      </c>
      <c r="G1715" s="71">
        <f t="shared" si="180"/>
        <v>0</v>
      </c>
      <c r="H1715" s="71">
        <f t="shared" si="180"/>
        <v>0</v>
      </c>
      <c r="I1715" s="71">
        <f t="shared" si="180"/>
        <v>0</v>
      </c>
    </row>
    <row r="1716" spans="2:9" s="42" customFormat="1" x14ac:dyDescent="0.2">
      <c r="B1716" s="160">
        <v>3</v>
      </c>
      <c r="C1716" s="305" t="s">
        <v>1288</v>
      </c>
      <c r="D1716" s="82" t="s">
        <v>1325</v>
      </c>
      <c r="E1716" s="72">
        <f>SUMIF(Adat!$AG:$AG,CONCATENATE(61,Info!$D$5,"091111",L1711),Adat!$E:$E)*-1</f>
        <v>0</v>
      </c>
      <c r="F1716" s="72">
        <f>SUMIF(Adat!$AG:$AG,CONCATENATE(60,Info!$D$5,"091111",L1711),Adat!$E:$E)*(-1)+E1716</f>
        <v>0</v>
      </c>
      <c r="G1716" s="72">
        <f>SUMIF(Adat!$AH:$AH,CONCATENATE(Info!$D$5,"(KÖT)","091111",L1711),Adat!$E:$E)*-1</f>
        <v>0</v>
      </c>
      <c r="H1716" s="72">
        <f>SUMIF(Adat!$AH:$AH,CONCATENATE(Info!$D$5,"(ÖNV)","091111",L1711),Adat!$E:$E)*-1</f>
        <v>0</v>
      </c>
      <c r="I1716" s="72">
        <f>SUMIF(Adat!$AH:$AH,CONCATENATE(Info!$D$5,"(ÁIG)","091111",L1711),Adat!$E:$E)*-1</f>
        <v>0</v>
      </c>
    </row>
    <row r="1717" spans="2:9" x14ac:dyDescent="0.2">
      <c r="B1717" s="160">
        <v>4</v>
      </c>
      <c r="C1717" s="305" t="s">
        <v>1289</v>
      </c>
      <c r="D1717" s="82" t="s">
        <v>735</v>
      </c>
      <c r="E1717" s="72">
        <f>SUMIF(Adat!$AG:$AG,CONCATENATE(61,Info!$D$5,"091121",L1711),Adat!$E:$E)*-1</f>
        <v>0</v>
      </c>
      <c r="F1717" s="72">
        <f>SUMIF(Adat!$AG:$AG,CONCATENATE(60,Info!$D$5,"091121",L1711),Adat!$E:$E)*-1+E1717</f>
        <v>0</v>
      </c>
      <c r="G1717" s="72">
        <f>SUMIF(Adat!$AH:$AH,CONCATENATE(Info!$D$5,"(KÖT)","091121",L1711),Adat!$E:$E)*-1</f>
        <v>0</v>
      </c>
      <c r="H1717" s="72">
        <f>SUMIF(Adat!$AH:$AH,CONCATENATE(Info!$D$5,"(ÖNV)","091121",L1711),Adat!$E:$E)*-1</f>
        <v>0</v>
      </c>
      <c r="I1717" s="72">
        <f>SUMIF(Adat!$AH:$AH,CONCATENATE(Info!$D$5,"(ÁIG)","091121",L1711),Adat!$E:$E)*-1</f>
        <v>0</v>
      </c>
    </row>
    <row r="1718" spans="2:9" x14ac:dyDescent="0.2">
      <c r="B1718" s="160">
        <v>5</v>
      </c>
      <c r="C1718" s="305" t="s">
        <v>1290</v>
      </c>
      <c r="D1718" s="82" t="s">
        <v>1326</v>
      </c>
      <c r="E1718" s="72">
        <f>SUMIF(Adat!$AG:$AG,CONCATENATE(61,Info!$D$5,"0911311",L1711),Adat!$E:$E)*-1</f>
        <v>0</v>
      </c>
      <c r="F1718" s="72">
        <f>SUMIF(Adat!$AG:$AG,CONCATENATE(60,Info!$D$5,"0911311",L1711),Adat!$E:$E)*-1+E1718</f>
        <v>0</v>
      </c>
      <c r="G1718" s="72">
        <f>SUMIF(Adat!$AH:$AH,CONCATENATE(Info!$D$5,"(KÖT)","0911311",L1711),Adat!$E:$E)*-1</f>
        <v>0</v>
      </c>
      <c r="H1718" s="72">
        <f>SUMIF(Adat!$AH:$AH,CONCATENATE(Info!$D$5,"(ÖNV)","0911311",L1711),Adat!$E:$E)*-1</f>
        <v>0</v>
      </c>
      <c r="I1718" s="72">
        <f>SUMIF(Adat!$AH:$AH,CONCATENATE(Info!$D$5,"(ÁIG)","0911311",L1711),Adat!$E:$E)*-1</f>
        <v>0</v>
      </c>
    </row>
    <row r="1719" spans="2:9" x14ac:dyDescent="0.2">
      <c r="B1719" s="160">
        <v>6</v>
      </c>
      <c r="C1719" s="305" t="s">
        <v>1254</v>
      </c>
      <c r="D1719" s="82" t="s">
        <v>736</v>
      </c>
      <c r="E1719" s="72">
        <f>SUMIF(Adat!$AG:$AG,CONCATENATE(61,Info!$D$5,"0911321",L1711),Adat!$E:$E)*-1</f>
        <v>0</v>
      </c>
      <c r="F1719" s="72">
        <f>SUMIF(Adat!$AG:$AG,CONCATENATE(60,Info!$D$5,"0911321",L1711),Adat!$E:$E)*-1+E1719</f>
        <v>0</v>
      </c>
      <c r="G1719" s="72">
        <f>SUMIF(Adat!$AH:$AH,CONCATENATE(Info!$D$5,"(KÖT)","0911321",L1711),Adat!$E:$E)*-1</f>
        <v>0</v>
      </c>
      <c r="H1719" s="72">
        <f>SUMIF(Adat!$AH:$AH,CONCATENATE(Info!$D$5,"(ÖNV)","0911321",L1711),Adat!$E:$E)*-1</f>
        <v>0</v>
      </c>
      <c r="I1719" s="72">
        <f>SUMIF(Adat!$AH:$AH,CONCATENATE(Info!$D$5,"(ÁIG)","0911321",L1711),Adat!$E:$E)*-1</f>
        <v>0</v>
      </c>
    </row>
    <row r="1720" spans="2:9" x14ac:dyDescent="0.25">
      <c r="B1720" s="160">
        <v>7</v>
      </c>
      <c r="C1720" s="305" t="s">
        <v>1291</v>
      </c>
      <c r="D1720" s="84" t="s">
        <v>737</v>
      </c>
      <c r="E1720" s="72">
        <f>SUMIF(Adat!$AG:$AG,CONCATENATE(61,Info!$D$5,"091141",L1711),Adat!$E:$E)*-1</f>
        <v>0</v>
      </c>
      <c r="F1720" s="72">
        <f>SUMIF(Adat!$AG:$AG,CONCATENATE(60,Info!$D$5,"091141",L1711),Adat!$E:$E)*-1+E1720</f>
        <v>0</v>
      </c>
      <c r="G1720" s="72">
        <f>SUMIF(Adat!$AH:$AH,CONCATENATE(Info!$D$5,"(KÖT)","091141",L1711),Adat!$E:$E)*-1</f>
        <v>0</v>
      </c>
      <c r="H1720" s="72">
        <f>SUMIF(Adat!$AH:$AH,CONCATENATE(Info!$D$5,"(ÖNV)","091141",L1711),Adat!$E:$E)*-1</f>
        <v>0</v>
      </c>
      <c r="I1720" s="72">
        <f>SUMIF(Adat!$AH:$AH,CONCATENATE(Info!$D$5,"(ÁIG)","091141",L1711),Adat!$E:$E)*-1</f>
        <v>0</v>
      </c>
    </row>
    <row r="1721" spans="2:9" x14ac:dyDescent="0.25">
      <c r="B1721" s="160">
        <v>8</v>
      </c>
      <c r="C1721" s="305" t="s">
        <v>1312</v>
      </c>
      <c r="D1721" s="84" t="s">
        <v>738</v>
      </c>
      <c r="E1721" s="72">
        <f>SUMIF(Adat!$AG:$AG,CONCATENATE(61,Info!$D$5,"091151",L1711),Adat!$E:$E)*-1</f>
        <v>0</v>
      </c>
      <c r="F1721" s="72">
        <f>SUMIF(Adat!$AG:$AG,CONCATENATE(60,Info!$D$5,"091151",L1711),Adat!$E:$E)*-1+E1721</f>
        <v>0</v>
      </c>
      <c r="G1721" s="72">
        <f>SUMIF(Adat!$AH:$AH,CONCATENATE(Info!$D$5,"(KÖT)","091151",L1711),Adat!$E:$E)*-1</f>
        <v>0</v>
      </c>
      <c r="H1721" s="72">
        <f>SUMIF(Adat!$AH:$AH,CONCATENATE(Info!$D$5,"(ÖNV)","091151",L1711),Adat!$E:$E)*-1</f>
        <v>0</v>
      </c>
      <c r="I1721" s="72">
        <f>SUMIF(Adat!$AH:$AH,CONCATENATE(Info!$D$5,"(ÁIG)","091151",L1711),Adat!$E:$E)*-1</f>
        <v>0</v>
      </c>
    </row>
    <row r="1722" spans="2:9" s="42" customFormat="1" x14ac:dyDescent="0.25">
      <c r="B1722" s="160">
        <v>9</v>
      </c>
      <c r="C1722" s="305" t="s">
        <v>1308</v>
      </c>
      <c r="D1722" s="84" t="s">
        <v>233</v>
      </c>
      <c r="E1722" s="72">
        <f>SUMIF(Adat!$AG:$AG,CONCATENATE(61,Info!$D$5,"091161",L1711),Adat!$E:$E)*-1</f>
        <v>0</v>
      </c>
      <c r="F1722" s="72">
        <f>SUMIF(Adat!$AG:$AG,CONCATENATE(60,Info!$D$5,"091161",L1711),Adat!$E:$E)*-1+E1722</f>
        <v>0</v>
      </c>
      <c r="G1722" s="72">
        <f>SUMIF(Adat!$AH:$AH,CONCATENATE(Info!$D$5,"(KÖT)","091161",L1711),Adat!$E:$E)*-1</f>
        <v>0</v>
      </c>
      <c r="H1722" s="72">
        <f>SUMIF(Adat!$AH:$AH,CONCATENATE(Info!$D$5,"(ÖNV)","091161",L1711),Adat!$E:$E)*-1</f>
        <v>0</v>
      </c>
      <c r="I1722" s="72">
        <f>SUMIF(Adat!$AH:$AH,CONCATENATE(Info!$D$5,"(ÁIG)","091161",L1711),Adat!$E:$E)*-1</f>
        <v>0</v>
      </c>
    </row>
    <row r="1723" spans="2:9" s="42" customFormat="1" x14ac:dyDescent="0.25">
      <c r="B1723" s="160">
        <v>10</v>
      </c>
      <c r="C1723" s="78" t="s">
        <v>1328</v>
      </c>
      <c r="D1723" s="85" t="s">
        <v>437</v>
      </c>
      <c r="E1723" s="71">
        <f>SUM(E1724:E1728)</f>
        <v>0</v>
      </c>
      <c r="F1723" s="71">
        <f t="shared" ref="F1723" si="181">SUM(F1724:F1728)</f>
        <v>0</v>
      </c>
      <c r="G1723" s="71">
        <f>SUM(G1724:G1728)</f>
        <v>0</v>
      </c>
      <c r="H1723" s="71">
        <f t="shared" ref="H1723:I1723" si="182">SUM(H1724:H1728)</f>
        <v>0</v>
      </c>
      <c r="I1723" s="71">
        <f t="shared" si="182"/>
        <v>0</v>
      </c>
    </row>
    <row r="1724" spans="2:9" s="42" customFormat="1" x14ac:dyDescent="0.2">
      <c r="B1724" s="160">
        <v>11</v>
      </c>
      <c r="C1724" s="305" t="s">
        <v>1329</v>
      </c>
      <c r="D1724" s="82" t="s">
        <v>1330</v>
      </c>
      <c r="E1724" s="72">
        <f>SUMIF(Adat!$AG:$AG,CONCATENATE(61,Info!$D$5,"09121",L1711),Adat!$E:$E)*-1</f>
        <v>0</v>
      </c>
      <c r="F1724" s="72">
        <f>SUMIF(Adat!$AG:$AG,CONCATENATE(60,Info!$D$5,"09121",L1711),Adat!$E:$E)*-1+E1724</f>
        <v>0</v>
      </c>
      <c r="G1724" s="72">
        <f>SUMIF(Adat!$AH:$AH,CONCATENATE(Info!$D$5,"(KÖT)","09121",L1711),Adat!$E:$E)*-1</f>
        <v>0</v>
      </c>
      <c r="H1724" s="72">
        <f>SUMIF(Adat!$AH:$AH,CONCATENATE(Info!$D$5,"(ÖNV)","09121",L1711),Adat!$E:$E)*-1</f>
        <v>0</v>
      </c>
      <c r="I1724" s="72">
        <f>SUMIF(Adat!$AH:$AH,CONCATENATE(Info!$D$5,"(ÁIG)","09121",L1711),Adat!$E:$E)*-1</f>
        <v>0</v>
      </c>
    </row>
    <row r="1725" spans="2:9" s="42" customFormat="1" x14ac:dyDescent="0.2">
      <c r="B1725" s="160">
        <v>12</v>
      </c>
      <c r="C1725" s="305" t="s">
        <v>1331</v>
      </c>
      <c r="D1725" s="82" t="s">
        <v>1332</v>
      </c>
      <c r="E1725" s="72">
        <f>SUMIF(Adat!$AG:$AG,CONCATENATE(61,Info!$D$5,"09131",L1711),Adat!$E:$E)*-1</f>
        <v>0</v>
      </c>
      <c r="F1725" s="72">
        <f>SUMIF(Adat!$AG:$AG,CONCATENATE(60,Info!$D$5,"09131",L1711),Adat!$E:$E)*-1+E1725</f>
        <v>0</v>
      </c>
      <c r="G1725" s="72">
        <f>SUMIF(Adat!$AH:$AH,CONCATENATE(Info!$D$5,"(KÖT)","09131",L1711),Adat!$E:$E)*-1</f>
        <v>0</v>
      </c>
      <c r="H1725" s="72">
        <f>SUMIF(Adat!$AH:$AH,CONCATENATE(Info!$D$5,"(ÖNV)","09131",L1711),Adat!$E:$E)*-1</f>
        <v>0</v>
      </c>
      <c r="I1725" s="72">
        <f>SUMIF(Adat!$AH:$AH,CONCATENATE(Info!$D$5,"(ÁIG)","09131",L1711),Adat!$E:$E)*-1</f>
        <v>0</v>
      </c>
    </row>
    <row r="1726" spans="2:9" s="42" customFormat="1" x14ac:dyDescent="0.2">
      <c r="B1726" s="160">
        <v>13</v>
      </c>
      <c r="C1726" s="305" t="s">
        <v>1333</v>
      </c>
      <c r="D1726" s="82" t="s">
        <v>1334</v>
      </c>
      <c r="E1726" s="72">
        <f>SUMIF(Adat!$AG:$AG,CONCATENATE(61,Info!$D$5,"09141",L1711),Adat!$E:$E)*-1</f>
        <v>0</v>
      </c>
      <c r="F1726" s="72">
        <f>SUMIF(Adat!$AG:$AG,CONCATENATE(60,Info!$D$5,"09141",L1711),Adat!$E:$E)*-1+E1726</f>
        <v>0</v>
      </c>
      <c r="G1726" s="72">
        <f>SUMIF(Adat!$AH:$AH,CONCATENATE(Info!$D$5,"(KÖT)","09141",L1711),Adat!$E:$E)*-1</f>
        <v>0</v>
      </c>
      <c r="H1726" s="72">
        <f>SUMIF(Adat!$AH:$AH,CONCATENATE(Info!$D$5,"(ÖNV)","09141",L1711),Adat!$E:$E)*-1</f>
        <v>0</v>
      </c>
      <c r="I1726" s="72">
        <f>SUMIF(Adat!$AH:$AH,CONCATENATE(Info!$D$5,"(ÁIG)","09141",L1711),Adat!$E:$E)*-1</f>
        <v>0</v>
      </c>
    </row>
    <row r="1727" spans="2:9" s="42" customFormat="1" x14ac:dyDescent="0.2">
      <c r="B1727" s="160">
        <v>14</v>
      </c>
      <c r="C1727" s="305" t="s">
        <v>1335</v>
      </c>
      <c r="D1727" s="82" t="s">
        <v>1336</v>
      </c>
      <c r="E1727" s="72">
        <f>SUMIF(Adat!$AG:$AG,CONCATENATE(61,Info!$D$5,"09151",L1711),Adat!$E:$E)*-1</f>
        <v>0</v>
      </c>
      <c r="F1727" s="72">
        <f>SUMIF(Adat!$AG:$AG,CONCATENATE(60,Info!$D$5,"09151",L1711),Adat!$E:$E)*-1+E1727</f>
        <v>0</v>
      </c>
      <c r="G1727" s="72">
        <f>SUMIF(Adat!$AH:$AH,CONCATENATE(Info!$D$5,"(KÖT)","09151",L1711),Adat!$E:$E)*-1</f>
        <v>0</v>
      </c>
      <c r="H1727" s="72">
        <f>SUMIF(Adat!$AH:$AH,CONCATENATE(Info!$D$5,"(ÖNV)","09151",L1711),Adat!$E:$E)*-1</f>
        <v>0</v>
      </c>
      <c r="I1727" s="72">
        <f>SUMIF(Adat!$AH:$AH,CONCATENATE(Info!$D$5,"(ÁIG)","09151",L1711),Adat!$E:$E)*-1</f>
        <v>0</v>
      </c>
    </row>
    <row r="1728" spans="2:9" s="42" customFormat="1" x14ac:dyDescent="0.2">
      <c r="B1728" s="160">
        <v>15</v>
      </c>
      <c r="C1728" s="305" t="s">
        <v>1278</v>
      </c>
      <c r="D1728" s="82" t="s">
        <v>1337</v>
      </c>
      <c r="E1728" s="72">
        <f>SUMIF(Adat!$AG:$AG,CONCATENATE(61,Info!$D$5,"09161",L1711),Adat!$E:$E)*-1</f>
        <v>0</v>
      </c>
      <c r="F1728" s="72">
        <f>SUMIF(Adat!$AG:$AG,CONCATENATE(60,Info!$D$5,"09161",L1711),Adat!$E:$E)*-1+E1728</f>
        <v>0</v>
      </c>
      <c r="G1728" s="72">
        <f>SUMIF(Adat!$AH:$AH,CONCATENATE(Info!$D$5,"(KÖT)","09161",L1711),Adat!$E:$E)*-1</f>
        <v>0</v>
      </c>
      <c r="H1728" s="72">
        <f>SUMIF(Adat!$AH:$AH,CONCATENATE(Info!$D$5,"(ÖNV)","09161",L1711),Adat!$E:$E)*-1</f>
        <v>0</v>
      </c>
      <c r="I1728" s="72">
        <f>SUMIF(Adat!$AH:$AH,CONCATENATE(Info!$D$5,"(ÁIG)","09161",L1711),Adat!$E:$E)*-1</f>
        <v>0</v>
      </c>
    </row>
    <row r="1729" spans="2:9" x14ac:dyDescent="0.25">
      <c r="B1729" s="160">
        <v>16</v>
      </c>
      <c r="C1729" s="79" t="s">
        <v>24</v>
      </c>
      <c r="D1729" s="79" t="s">
        <v>449</v>
      </c>
      <c r="E1729" s="71">
        <f t="shared" ref="E1729:F1729" si="183">SUM(E1730:E1734)</f>
        <v>0</v>
      </c>
      <c r="F1729" s="71">
        <f t="shared" si="183"/>
        <v>0</v>
      </c>
      <c r="G1729" s="71">
        <f>SUM(G1730:G1734)</f>
        <v>0</v>
      </c>
      <c r="H1729" s="71">
        <f t="shared" ref="H1729:I1729" si="184">SUM(H1730:H1734)</f>
        <v>0</v>
      </c>
      <c r="I1729" s="71">
        <f t="shared" si="184"/>
        <v>0</v>
      </c>
    </row>
    <row r="1730" spans="2:9" x14ac:dyDescent="0.2">
      <c r="B1730" s="160">
        <v>17</v>
      </c>
      <c r="C1730" s="305" t="s">
        <v>1339</v>
      </c>
      <c r="D1730" s="82" t="s">
        <v>1340</v>
      </c>
      <c r="E1730" s="72">
        <f>SUMIF(Adat!$AG:$AG,CONCATENATE(61,Info!$D$5,"09211",L1711),Adat!$E:$E)*-1</f>
        <v>0</v>
      </c>
      <c r="F1730" s="72">
        <f>SUMIF(Adat!$AG:$AG,CONCATENATE(60,Info!$D$5,"09211",L1711),Adat!$E:$E)*-1+E1730</f>
        <v>0</v>
      </c>
      <c r="G1730" s="72">
        <f>SUMIF(Adat!$AH:$AH,CONCATENATE(Info!$D$5,"(KÖT)","09211",L1711),Adat!$E:$E)*-1</f>
        <v>0</v>
      </c>
      <c r="H1730" s="72">
        <f>SUMIF(Adat!$AH:$AH,CONCATENATE(Info!$D$5,"(ÖNV)","09211",L1711),Adat!$E:$E)*-1</f>
        <v>0</v>
      </c>
      <c r="I1730" s="72">
        <f>SUMIF(Adat!$AH:$AH,CONCATENATE(Info!$D$5,"(ÁIG)","09211",L1711),Adat!$E:$E)*-1</f>
        <v>0</v>
      </c>
    </row>
    <row r="1731" spans="2:9" s="42" customFormat="1" x14ac:dyDescent="0.2">
      <c r="B1731" s="160">
        <v>18</v>
      </c>
      <c r="C1731" s="305" t="s">
        <v>1341</v>
      </c>
      <c r="D1731" s="82" t="s">
        <v>1342</v>
      </c>
      <c r="E1731" s="72">
        <f>SUMIF(Adat!$AG:$AG,CONCATENATE(61,Info!$D$5,"09221",L1711),Adat!$E:$E)*-1</f>
        <v>0</v>
      </c>
      <c r="F1731" s="72">
        <f>SUMIF(Adat!$AG:$AG,CONCATENATE(60,Info!$D$5,"09221",L1711),Adat!$E:$E)*-1+E1731</f>
        <v>0</v>
      </c>
      <c r="G1731" s="72">
        <f>SUMIF(Adat!$AH:$AH,CONCATENATE(Info!$D$5,"(KÖT)","09221",L1711),Adat!$E:$E)*-1</f>
        <v>0</v>
      </c>
      <c r="H1731" s="72">
        <f>SUMIF(Adat!$AH:$AH,CONCATENATE(Info!$D$5,"(ÖNV)","09221",L1711),Adat!$E:$E)*-1</f>
        <v>0</v>
      </c>
      <c r="I1731" s="72">
        <f>SUMIF(Adat!$AH:$AH,CONCATENATE(Info!$D$5,"(ÁIG)","09221",L1711),Adat!$E:$E)*-1</f>
        <v>0</v>
      </c>
    </row>
    <row r="1732" spans="2:9" x14ac:dyDescent="0.2">
      <c r="B1732" s="160">
        <v>19</v>
      </c>
      <c r="C1732" s="305" t="s">
        <v>1343</v>
      </c>
      <c r="D1732" s="82" t="s">
        <v>1344</v>
      </c>
      <c r="E1732" s="72">
        <f>SUMIF(Adat!$AG:$AG,CONCATENATE(61,Info!$D$5,"09231",L1711),Adat!$E:$E)*-1</f>
        <v>0</v>
      </c>
      <c r="F1732" s="72">
        <f>SUMIF(Adat!$AG:$AG,CONCATENATE(60,Info!$D$5,"09231",L1711),Adat!$E:$E)*-1+E1732</f>
        <v>0</v>
      </c>
      <c r="G1732" s="72">
        <f>SUMIF(Adat!$AH:$AH,CONCATENATE(Info!$D$5,"(KÖT)","09231",L1711),Adat!$E:$E)*-1</f>
        <v>0</v>
      </c>
      <c r="H1732" s="72">
        <f>SUMIF(Adat!$AH:$AH,CONCATENATE(Info!$D$5,"(ÖNV)","09231",L1711),Adat!$E:$E)*-1</f>
        <v>0</v>
      </c>
      <c r="I1732" s="72">
        <f>SUMIF(Adat!$AH:$AH,CONCATENATE(Info!$D$5,"(ÁIG)","09231",L1711),Adat!$E:$E)*-1</f>
        <v>0</v>
      </c>
    </row>
    <row r="1733" spans="2:9" x14ac:dyDescent="0.2">
      <c r="B1733" s="160">
        <v>20</v>
      </c>
      <c r="C1733" s="305" t="s">
        <v>1345</v>
      </c>
      <c r="D1733" s="82" t="s">
        <v>1346</v>
      </c>
      <c r="E1733" s="72">
        <f>SUMIF(Adat!$AG:$AG,CONCATENATE(61,Info!$D$5,"09241",L1711),Adat!$E:$E)*-1</f>
        <v>0</v>
      </c>
      <c r="F1733" s="72">
        <f>SUMIF(Adat!$AG:$AG,CONCATENATE(60,Info!$D$5,"09241",L1711),Adat!$E:$E)*-1+E1733</f>
        <v>0</v>
      </c>
      <c r="G1733" s="72">
        <f>SUMIF(Adat!$AH:$AH,CONCATENATE(Info!$D$5,"(KÖT)","09241",L1711),Adat!$E:$E)*-1</f>
        <v>0</v>
      </c>
      <c r="H1733" s="72">
        <f>SUMIF(Adat!$AH:$AH,CONCATENATE(Info!$D$5,"(ÖNV)","09241",L1711),Adat!$E:$E)*-1</f>
        <v>0</v>
      </c>
      <c r="I1733" s="72">
        <f>SUMIF(Adat!$AH:$AH,CONCATENATE(Info!$D$5,"(ÁIG)","09241",L1711),Adat!$E:$E)*-1</f>
        <v>0</v>
      </c>
    </row>
    <row r="1734" spans="2:9" x14ac:dyDescent="0.2">
      <c r="B1734" s="160">
        <v>21</v>
      </c>
      <c r="C1734" s="305" t="s">
        <v>1255</v>
      </c>
      <c r="D1734" s="82" t="s">
        <v>1347</v>
      </c>
      <c r="E1734" s="72">
        <f>SUMIF(Adat!$AG:$AG,CONCATENATE(61,Info!$D$5,"09251",L1711),Adat!$E:$E)*-1</f>
        <v>0</v>
      </c>
      <c r="F1734" s="72">
        <f>SUMIF(Adat!$AG:$AG,CONCATENATE(60,Info!$D$5,"09251",L1711),Adat!$E:$E)*-1+E1734</f>
        <v>0</v>
      </c>
      <c r="G1734" s="72">
        <f>SUMIF(Adat!$AH:$AH,CONCATENATE(Info!$D$5,"(KÖT)","09251",L1711),Adat!$E:$E)*-1</f>
        <v>0</v>
      </c>
      <c r="H1734" s="72">
        <f>SUMIF(Adat!$AH:$AH,CONCATENATE(Info!$D$5,"(ÖNV)","09251",L1711),Adat!$E:$E)*-1</f>
        <v>0</v>
      </c>
      <c r="I1734" s="72">
        <f>SUMIF(Adat!$AH:$AH,CONCATENATE(Info!$D$5,"(ÁIG)","09251",L1711),Adat!$E:$E)*-1</f>
        <v>0</v>
      </c>
    </row>
    <row r="1735" spans="2:9" x14ac:dyDescent="0.25">
      <c r="B1735" s="160">
        <v>22</v>
      </c>
      <c r="C1735" s="79" t="s">
        <v>27</v>
      </c>
      <c r="D1735" s="79" t="s">
        <v>328</v>
      </c>
      <c r="E1735" s="71">
        <f>SUM(E1736:E1741)</f>
        <v>0</v>
      </c>
      <c r="F1735" s="71">
        <f>SUM(F1736:F1741)</f>
        <v>0</v>
      </c>
      <c r="G1735" s="71">
        <f>SUM(G1736:G1741)</f>
        <v>0</v>
      </c>
      <c r="H1735" s="71">
        <f>SUM(H1736:H1741)</f>
        <v>0</v>
      </c>
      <c r="I1735" s="71">
        <f>SUM(I1736:I1741)</f>
        <v>0</v>
      </c>
    </row>
    <row r="1736" spans="2:9" x14ac:dyDescent="0.2">
      <c r="B1736" s="160">
        <v>23</v>
      </c>
      <c r="C1736" s="305" t="s">
        <v>1348</v>
      </c>
      <c r="D1736" s="82" t="s">
        <v>1349</v>
      </c>
      <c r="E1736" s="72">
        <f>SUMIF(Adat!$AG:$AG,CONCATENATE(61,Info!$D$5,"093111",L1711),Adat!$E:$E)*-1</f>
        <v>0</v>
      </c>
      <c r="F1736" s="72">
        <f>SUMIF(Adat!$AG:$AG,CONCATENATE(60,Info!$D$5,"093111",L1711),Adat!$E:$E)*-1+E1736</f>
        <v>0</v>
      </c>
      <c r="G1736" s="72">
        <f>SUMIF(Adat!$AH:$AH,CONCATENATE(Info!$D$5,"(KÖT)","093111",L1711),Adat!$E:$E)*-1</f>
        <v>0</v>
      </c>
      <c r="H1736" s="72">
        <f>SUMIF(Adat!$AH:$AH,CONCATENATE(Info!$D$5,"(ÖNV)","093111",L1711),Adat!$E:$E)*-1</f>
        <v>0</v>
      </c>
      <c r="I1736" s="72">
        <f>SUMIF(Adat!$AH:$AH,CONCATENATE(Info!$D$5,"(ÁIG)","093111",L1711),Adat!$E:$E)*-1</f>
        <v>0</v>
      </c>
    </row>
    <row r="1737" spans="2:9" x14ac:dyDescent="0.2">
      <c r="B1737" s="160">
        <v>24</v>
      </c>
      <c r="C1737" s="305" t="s">
        <v>1259</v>
      </c>
      <c r="D1737" s="82" t="s">
        <v>1350</v>
      </c>
      <c r="E1737" s="72">
        <f>SUMIF(Adat!$AG:$AG,CONCATENATE(61,Info!$D$5,"09341",L1711),Adat!$E:$E)*-1</f>
        <v>0</v>
      </c>
      <c r="F1737" s="72">
        <f>SUMIF(Adat!$AG:$AG,CONCATENATE(60,Info!$D$5,"09341",L1711),Adat!$E:$E)*-1+E1737</f>
        <v>0</v>
      </c>
      <c r="G1737" s="72">
        <f>SUMIF(Adat!$AH:$AH,CONCATENATE(Info!$D$5,"(KÖT)","09341",L1711),Adat!$E:$E)*-1</f>
        <v>0</v>
      </c>
      <c r="H1737" s="72">
        <f>SUMIF(Adat!$AH:$AH,CONCATENATE(Info!$D$5,"(ÖNV)","09341",L1711),Adat!$E:$E)*-1</f>
        <v>0</v>
      </c>
      <c r="I1737" s="72">
        <f>SUMIF(Adat!$AH:$AH,CONCATENATE(Info!$D$5,"(ÁIG)","09341",L1711),Adat!$E:$E)*-1</f>
        <v>0</v>
      </c>
    </row>
    <row r="1738" spans="2:9" x14ac:dyDescent="0.2">
      <c r="B1738" s="160">
        <v>25</v>
      </c>
      <c r="C1738" s="305" t="s">
        <v>1260</v>
      </c>
      <c r="D1738" s="82" t="s">
        <v>1351</v>
      </c>
      <c r="E1738" s="72">
        <f>SUMIF(Adat!$AG:$AG,CONCATENATE(61,Info!$D$5,"093511",L1711),Adat!$E:$E)*-1</f>
        <v>0</v>
      </c>
      <c r="F1738" s="72">
        <f>SUMIF(Adat!$AG:$AG,CONCATENATE(60,Info!$D$5,"093511",L1711),Adat!$E:$E)*-1+E1738</f>
        <v>0</v>
      </c>
      <c r="G1738" s="72">
        <f>SUMIF(Adat!$AH:$AH,CONCATENATE(Info!$D$5,"(KÖT)","093511",L1711),Adat!$E:$E)*-1</f>
        <v>0</v>
      </c>
      <c r="H1738" s="72">
        <f>SUMIF(Adat!$AH:$AH,CONCATENATE(Info!$D$5,"(ÖNV)","093511",L1711),Adat!$E:$E)*-1</f>
        <v>0</v>
      </c>
      <c r="I1738" s="72">
        <f>SUMIF(Adat!$AH:$AH,CONCATENATE(Info!$D$5,"(ÁIG)","093511",L1711),Adat!$E:$E)*-1</f>
        <v>0</v>
      </c>
    </row>
    <row r="1739" spans="2:9" x14ac:dyDescent="0.2">
      <c r="B1739" s="160">
        <v>26</v>
      </c>
      <c r="C1739" s="305" t="s">
        <v>1352</v>
      </c>
      <c r="D1739" s="82" t="s">
        <v>1353</v>
      </c>
      <c r="E1739" s="72">
        <f>SUMIF(Adat!$AG:$AG,CONCATENATE(61,Info!$D$5,"093521",L1711),Adat!$E:$E)*-1</f>
        <v>0</v>
      </c>
      <c r="F1739" s="72">
        <f>SUMIF(Adat!$AG:$AG,CONCATENATE(60,Info!$D$5,"093521",L1711),Adat!$E:$E)*-1+E1739</f>
        <v>0</v>
      </c>
      <c r="G1739" s="72">
        <f>SUMIF(Adat!$AH:$AH,CONCATENATE(Info!$D$5,"(KÖT)","093521",L1711),Adat!$E:$E)*-1</f>
        <v>0</v>
      </c>
      <c r="H1739" s="72">
        <f>SUMIF(Adat!$AH:$AH,CONCATENATE(Info!$D$5,"(ÖNV)","093521",L1711),Adat!$E:$E)*-1</f>
        <v>0</v>
      </c>
      <c r="I1739" s="72">
        <f>SUMIF(Adat!$AH:$AH,CONCATENATE(Info!$D$5,"(ÁIG)","093521",L1711),Adat!$E:$E)*-1</f>
        <v>0</v>
      </c>
    </row>
    <row r="1740" spans="2:9" x14ac:dyDescent="0.2">
      <c r="B1740" s="160">
        <v>27</v>
      </c>
      <c r="C1740" s="305" t="s">
        <v>1292</v>
      </c>
      <c r="D1740" s="82" t="s">
        <v>1354</v>
      </c>
      <c r="E1740" s="72">
        <f>SUMIF(Adat!$AG:$AG,CONCATENATE(61,Info!$D$5,"093551",L1711),Adat!$E:$E)*-1</f>
        <v>0</v>
      </c>
      <c r="F1740" s="72">
        <f>SUMIF(Adat!$AG:$AG,CONCATENATE(60,Info!$D$5,"093551",L1711),Adat!$E:$E)*-1+E1740</f>
        <v>0</v>
      </c>
      <c r="G1740" s="72">
        <f>SUMIF(Adat!$AH:$AH,CONCATENATE(Info!$D$5,"(KÖT)","093551",L1711),Adat!$E:$E)*-1</f>
        <v>0</v>
      </c>
      <c r="H1740" s="72">
        <f>SUMIF(Adat!$AH:$AH,CONCATENATE(Info!$D$5,"(ÖNV)","093551",L1711),Adat!$E:$E)*-1</f>
        <v>0</v>
      </c>
      <c r="I1740" s="72">
        <f>SUMIF(Adat!$AH:$AH,CONCATENATE(Info!$D$5,"(ÁIG)","093551",L1711),Adat!$E:$E)*-1</f>
        <v>0</v>
      </c>
    </row>
    <row r="1741" spans="2:9" x14ac:dyDescent="0.2">
      <c r="B1741" s="160">
        <v>28</v>
      </c>
      <c r="C1741" s="305" t="s">
        <v>1293</v>
      </c>
      <c r="D1741" s="82" t="s">
        <v>1355</v>
      </c>
      <c r="E1741" s="72">
        <f>SUMIF(Adat!$AG:$AG,CONCATENATE(61,Info!$D$5,"09361",L1711),Adat!$E:$E)*-1</f>
        <v>0</v>
      </c>
      <c r="F1741" s="72">
        <f>SUMIF(Adat!$AG:$AG,CONCATENATE(60,Info!$D$5,"09361",L1711),Adat!$E:$E)*-1+E1741</f>
        <v>0</v>
      </c>
      <c r="G1741" s="72">
        <f>SUMIF(Adat!$AH:$AH,CONCATENATE(Info!$D$5,"(KÖT)","09361",L1711),Adat!$E:$E)*-1</f>
        <v>0</v>
      </c>
      <c r="H1741" s="72">
        <f>SUMIF(Adat!$AH:$AH,CONCATENATE(Info!$D$5,"(ÖNV)","09361",L1711),Adat!$E:$E)*-1</f>
        <v>0</v>
      </c>
      <c r="I1741" s="72">
        <f>SUMIF(Adat!$AH:$AH,CONCATENATE(Info!$D$5,"(ÁIG)","09361",L1711),Adat!$E:$E)*-1</f>
        <v>0</v>
      </c>
    </row>
    <row r="1742" spans="2:9" x14ac:dyDescent="0.25">
      <c r="B1742" s="160">
        <v>29</v>
      </c>
      <c r="C1742" s="79" t="s">
        <v>30</v>
      </c>
      <c r="D1742" s="79" t="s">
        <v>329</v>
      </c>
      <c r="E1742" s="71">
        <f>SUM(E1743:E1755)</f>
        <v>0</v>
      </c>
      <c r="F1742" s="71">
        <f t="shared" ref="F1742:I1742" si="185">SUM(F1743:F1755)</f>
        <v>0</v>
      </c>
      <c r="G1742" s="71">
        <f t="shared" si="185"/>
        <v>0</v>
      </c>
      <c r="H1742" s="71">
        <f t="shared" si="185"/>
        <v>0</v>
      </c>
      <c r="I1742" s="71">
        <f t="shared" si="185"/>
        <v>0</v>
      </c>
    </row>
    <row r="1743" spans="2:9" x14ac:dyDescent="0.2">
      <c r="B1743" s="160">
        <v>30</v>
      </c>
      <c r="C1743" s="305" t="s">
        <v>1309</v>
      </c>
      <c r="D1743" s="82" t="s">
        <v>1356</v>
      </c>
      <c r="E1743" s="72">
        <f>SUMIF(Adat!$AG:$AG,CONCATENATE(61,Info!$D$5,"094011",L1711),Adat!$E:$E)*-1</f>
        <v>0</v>
      </c>
      <c r="F1743" s="72">
        <f>SUMIF(Adat!$AG:$AG,CONCATENATE(60,Info!$D$5,"094011",L1711),Adat!$E:$E)*-1+E1743</f>
        <v>0</v>
      </c>
      <c r="G1743" s="72">
        <f>SUMIF(Adat!$AH:$AH,CONCATENATE(Info!$D$5,"(KÖT)","094011",L1711),Adat!$E:$E)*-1</f>
        <v>0</v>
      </c>
      <c r="H1743" s="72">
        <f>SUMIF(Adat!$AH:$AH,CONCATENATE(Info!$D$5,"(ÖNV)","094011",L1711),Adat!$E:$E)*-1</f>
        <v>0</v>
      </c>
      <c r="I1743" s="72">
        <f>SUMIF(Adat!$AH:$AH,CONCATENATE(Info!$D$5,"(ÁIG)","094011",L1711),Adat!$E:$E)*-1</f>
        <v>0</v>
      </c>
    </row>
    <row r="1744" spans="2:9" x14ac:dyDescent="0.2">
      <c r="B1744" s="160">
        <v>31</v>
      </c>
      <c r="C1744" s="305" t="s">
        <v>1279</v>
      </c>
      <c r="D1744" s="82" t="s">
        <v>1357</v>
      </c>
      <c r="E1744" s="72">
        <f>SUMIF(Adat!$AG:$AG,CONCATENATE(61,Info!$D$5,"094021",L1711),Adat!$E:$E)*-1</f>
        <v>0</v>
      </c>
      <c r="F1744" s="72">
        <f>SUMIF(Adat!$AG:$AG,CONCATENATE(60,Info!$D$5,"094021",L1711),Adat!$E:$E)*-1+E1744</f>
        <v>0</v>
      </c>
      <c r="G1744" s="72">
        <f>SUMIF(Adat!$AH:$AH,CONCATENATE(Info!$D$5,"(KÖT)","094021",L1711),Adat!$E:$E)*-1</f>
        <v>0</v>
      </c>
      <c r="H1744" s="72">
        <f>SUMIF(Adat!$AH:$AH,CONCATENATE(Info!$D$5,"(ÖNV)","094021",L1711),Adat!$E:$E)*-1</f>
        <v>0</v>
      </c>
      <c r="I1744" s="72">
        <f>SUMIF(Adat!$AH:$AH,CONCATENATE(Info!$D$5,"(ÁIG)","094021",L1711),Adat!$E:$E)*-1</f>
        <v>0</v>
      </c>
    </row>
    <row r="1745" spans="2:9" x14ac:dyDescent="0.2">
      <c r="B1745" s="160">
        <v>32</v>
      </c>
      <c r="C1745" s="305" t="s">
        <v>1272</v>
      </c>
      <c r="D1745" s="82" t="s">
        <v>1358</v>
      </c>
      <c r="E1745" s="72">
        <f>SUMIF(Adat!$AG:$AG,CONCATENATE(61,Info!$D$5,"094031",L1711),Adat!$E:$E)*-1</f>
        <v>0</v>
      </c>
      <c r="F1745" s="72">
        <f>SUMIF(Adat!$AG:$AG,CONCATENATE(60,Info!$D$5,"094031",L1711),Adat!$E:$E)*-1+E1745</f>
        <v>0</v>
      </c>
      <c r="G1745" s="72">
        <f>SUMIF(Adat!$AH:$AH,CONCATENATE(Info!$D$5,"(KÖT)","094031",L1711),Adat!$E:$E)*-1</f>
        <v>0</v>
      </c>
      <c r="H1745" s="72">
        <f>SUMIF(Adat!$AH:$AH,CONCATENATE(Info!$D$5,"(ÖNV)","094031",L1711),Adat!$E:$E)*-1</f>
        <v>0</v>
      </c>
      <c r="I1745" s="72">
        <f>SUMIF(Adat!$AH:$AH,CONCATENATE(Info!$D$5,"(ÁIG)","094031",L1711),Adat!$E:$E)*-1</f>
        <v>0</v>
      </c>
    </row>
    <row r="1746" spans="2:9" x14ac:dyDescent="0.2">
      <c r="B1746" s="160">
        <v>33</v>
      </c>
      <c r="C1746" s="305" t="s">
        <v>1359</v>
      </c>
      <c r="D1746" s="82" t="s">
        <v>1360</v>
      </c>
      <c r="E1746" s="72">
        <f>SUMIF(Adat!$AG:$AG,CONCATENATE(61,Info!$D$5,"094041",L1711),Adat!$E:$E)*-1</f>
        <v>0</v>
      </c>
      <c r="F1746" s="72">
        <f>SUMIF(Adat!$AG:$AG,CONCATENATE(60,Info!$D$5,"094041",L1711),Adat!$E:$E)*-1+E1746</f>
        <v>0</v>
      </c>
      <c r="G1746" s="72">
        <f>SUMIF(Adat!$AH:$AH,CONCATENATE(Info!$D$5,"(KÖT)","094041",L1711),Adat!$E:$E)*-1</f>
        <v>0</v>
      </c>
      <c r="H1746" s="72">
        <f>SUMIF(Adat!$AH:$AH,CONCATENATE(Info!$D$5,"(ÖNV)","094041",L1711),Adat!$E:$E)*-1</f>
        <v>0</v>
      </c>
      <c r="I1746" s="72">
        <f>SUMIF(Adat!$AH:$AH,CONCATENATE(Info!$D$5,"(ÁIG)","094041",L1711),Adat!$E:$E)*-1</f>
        <v>0</v>
      </c>
    </row>
    <row r="1747" spans="2:9" x14ac:dyDescent="0.2">
      <c r="B1747" s="160">
        <v>34</v>
      </c>
      <c r="C1747" s="305" t="s">
        <v>1261</v>
      </c>
      <c r="D1747" s="82" t="s">
        <v>1361</v>
      </c>
      <c r="E1747" s="72">
        <f>SUMIF(Adat!$AG:$AG,CONCATENATE(61,Info!$D$5,"094051",L1711),Adat!$E:$E)*-1</f>
        <v>0</v>
      </c>
      <c r="F1747" s="72">
        <f>SUMIF(Adat!$AG:$AG,CONCATENATE(60,Info!$D$5,"094051",L1711),Adat!$E:$E)*-1+E1747</f>
        <v>0</v>
      </c>
      <c r="G1747" s="72">
        <f>SUMIF(Adat!$AH:$AH,CONCATENATE(Info!$D$5,"(KÖT)","094051",L1711),Adat!$E:$E)*-1</f>
        <v>0</v>
      </c>
      <c r="H1747" s="72">
        <f>SUMIF(Adat!$AH:$AH,CONCATENATE(Info!$D$5,"(ÖNV)","094051",L1711),Adat!$E:$E)*-1</f>
        <v>0</v>
      </c>
      <c r="I1747" s="72">
        <f>SUMIF(Adat!$AH:$AH,CONCATENATE(Info!$D$5,"(ÁIG)","094051",L1711),Adat!$E:$E)*-1</f>
        <v>0</v>
      </c>
    </row>
    <row r="1748" spans="2:9" x14ac:dyDescent="0.2">
      <c r="B1748" s="160">
        <v>35</v>
      </c>
      <c r="C1748" s="305" t="s">
        <v>1273</v>
      </c>
      <c r="D1748" s="82" t="s">
        <v>1362</v>
      </c>
      <c r="E1748" s="72">
        <f>SUMIF(Adat!$AG:$AG,CONCATENATE(61,Info!$D$5,"094061",L1711),Adat!$E:$E)*-1</f>
        <v>0</v>
      </c>
      <c r="F1748" s="72">
        <f>SUMIF(Adat!$AG:$AG,CONCATENATE(60,Info!$D$5,"094061",L1711),Adat!$E:$E)*-1+E1748</f>
        <v>0</v>
      </c>
      <c r="G1748" s="72">
        <f>SUMIF(Adat!$AH:$AH,CONCATENATE(Info!$D$5,"(KÖT)","094061",L1711),Adat!$E:$E)*-1</f>
        <v>0</v>
      </c>
      <c r="H1748" s="72">
        <f>SUMIF(Adat!$AH:$AH,CONCATENATE(Info!$D$5,"(ÖNV)","094061",L1711),Adat!$E:$E)*-1</f>
        <v>0</v>
      </c>
      <c r="I1748" s="72">
        <f>SUMIF(Adat!$AH:$AH,CONCATENATE(Info!$D$5,"(ÁIG)","094061",L1711),Adat!$E:$E)*-1</f>
        <v>0</v>
      </c>
    </row>
    <row r="1749" spans="2:9" x14ac:dyDescent="0.2">
      <c r="B1749" s="160">
        <v>36</v>
      </c>
      <c r="C1749" s="305" t="s">
        <v>1363</v>
      </c>
      <c r="D1749" s="82" t="s">
        <v>1364</v>
      </c>
      <c r="E1749" s="72">
        <f>SUMIF(Adat!$AG:$AG,CONCATENATE(61,Info!$D$5,"094071",L1711),Adat!$E:$E)*-1</f>
        <v>0</v>
      </c>
      <c r="F1749" s="72">
        <f>SUMIF(Adat!$AG:$AG,CONCATENATE(60,Info!$D$5,"094071",L1711),Adat!$E:$E)*-1+E1749</f>
        <v>0</v>
      </c>
      <c r="G1749" s="72">
        <f>SUMIF(Adat!$AH:$AH,CONCATENATE(Info!$D$5,"(KÖT)","094071",L1711),Adat!$E:$E)*-1</f>
        <v>0</v>
      </c>
      <c r="H1749" s="72">
        <f>SUMIF(Adat!$AH:$AH,CONCATENATE(Info!$D$5,"(ÖNV)","094071",L1711),Adat!$E:$E)*-1</f>
        <v>0</v>
      </c>
      <c r="I1749" s="72">
        <f>SUMIF(Adat!$AH:$AH,CONCATENATE(Info!$D$5,"(ÁIG)","094071",L1711),Adat!$E:$E)*-1</f>
        <v>0</v>
      </c>
    </row>
    <row r="1750" spans="2:9" x14ac:dyDescent="0.2">
      <c r="B1750" s="160">
        <v>37</v>
      </c>
      <c r="C1750" s="305" t="s">
        <v>1306</v>
      </c>
      <c r="D1750" s="82" t="s">
        <v>1365</v>
      </c>
      <c r="E1750" s="72">
        <f>SUMIF(Adat!$AG:$AG,CONCATENATE(61,Info!$D$5,"0940811",L1711),Adat!$E:$E)*-1</f>
        <v>0</v>
      </c>
      <c r="F1750" s="72">
        <f>SUMIF(Adat!$AG:$AG,CONCATENATE(60,Info!$D$5,"0940811",L1711),Adat!$E:$E)*-1+E1750</f>
        <v>0</v>
      </c>
      <c r="G1750" s="72">
        <f>SUMIF(Adat!$AH:$AH,CONCATENATE(Info!$D$5,"(KÖT)","0940811",L1711),Adat!$E:$E)*-1</f>
        <v>0</v>
      </c>
      <c r="H1750" s="72">
        <f>SUMIF(Adat!$AH:$AH,CONCATENATE(Info!$D$5,"(ÖNV)","0940811",L1711),Adat!$E:$E)*-1</f>
        <v>0</v>
      </c>
      <c r="I1750" s="72">
        <f>SUMIF(Adat!$AH:$AH,CONCATENATE(Info!$D$5,"(ÁIG)","0940811",L1711),Adat!$E:$E)*-1</f>
        <v>0</v>
      </c>
    </row>
    <row r="1751" spans="2:9" x14ac:dyDescent="0.2">
      <c r="B1751" s="160">
        <v>38</v>
      </c>
      <c r="C1751" s="305" t="s">
        <v>1295</v>
      </c>
      <c r="D1751" s="82" t="s">
        <v>1366</v>
      </c>
      <c r="E1751" s="72">
        <f>SUMIF(Adat!$AG:$AG,CONCATENATE(61,Info!$D$5,"0940821",L1711),Adat!$E:$E)*-1</f>
        <v>0</v>
      </c>
      <c r="F1751" s="72">
        <f>SUMIF(Adat!$AG:$AG,CONCATENATE(60,Info!$D$5,"0940821",L1711),Adat!$E:$E)*-1+E1751</f>
        <v>0</v>
      </c>
      <c r="G1751" s="72">
        <f>SUMIF(Adat!$AH:$AH,CONCATENATE(Info!$D$5,"(KÖT)","0940821",L1711),Adat!$E:$E)*-1</f>
        <v>0</v>
      </c>
      <c r="H1751" s="72">
        <f>SUMIF(Adat!$AH:$AH,CONCATENATE(Info!$D$5,"(ÖNV)","0940821",L1711),Adat!$E:$E)*-1</f>
        <v>0</v>
      </c>
      <c r="I1751" s="72">
        <f>SUMIF(Adat!$AH:$AH,CONCATENATE(Info!$D$5,"(ÁIG)","0940821",L1711),Adat!$E:$E)*-1</f>
        <v>0</v>
      </c>
    </row>
    <row r="1752" spans="2:9" x14ac:dyDescent="0.2">
      <c r="B1752" s="160">
        <v>39</v>
      </c>
      <c r="C1752" s="305" t="s">
        <v>1367</v>
      </c>
      <c r="D1752" s="82" t="s">
        <v>1368</v>
      </c>
      <c r="E1752" s="72">
        <f>SUMIF(Adat!$AG:$AG,CONCATENATE(61,Info!$D$5,"0940911",L1711),Adat!$E:$E)*-1</f>
        <v>0</v>
      </c>
      <c r="F1752" s="72">
        <f>SUMIF(Adat!$AG:$AG,CONCATENATE(60,Info!$D$5,"0940911",L1711),Adat!$E:$E)*-1+E1752</f>
        <v>0</v>
      </c>
      <c r="G1752" s="72">
        <f>SUMIF(Adat!$AH:$AH,CONCATENATE(Info!$D$5,"(KÖT)","0940911",L1711),Adat!$E:$E)*-1</f>
        <v>0</v>
      </c>
      <c r="H1752" s="72">
        <f>SUMIF(Adat!$AH:$AH,CONCATENATE(Info!$D$5,"(ÖNV)","0940911",L1711),Adat!$E:$E)*-1</f>
        <v>0</v>
      </c>
      <c r="I1752" s="72">
        <f>SUMIF(Adat!$AH:$AH,CONCATENATE(Info!$D$5,"(ÁIG)","0940911",L1711),Adat!$E:$E)*-1</f>
        <v>0</v>
      </c>
    </row>
    <row r="1753" spans="2:9" x14ac:dyDescent="0.2">
      <c r="B1753" s="160">
        <v>40</v>
      </c>
      <c r="C1753" s="305" t="s">
        <v>1369</v>
      </c>
      <c r="D1753" s="82" t="s">
        <v>1370</v>
      </c>
      <c r="E1753" s="72">
        <f>SUMIF(Adat!$AG:$AG,CONCATENATE(61,Info!$D$5,"0940921",L1711),Adat!$E:$E)*-1</f>
        <v>0</v>
      </c>
      <c r="F1753" s="72">
        <f>SUMIF(Adat!$AG:$AG,CONCATENATE(60,Info!$D$5,"0940921",L1711),Adat!$E:$E)*-1+E1753</f>
        <v>0</v>
      </c>
      <c r="G1753" s="72">
        <f>SUMIF(Adat!$AH:$AH,CONCATENATE(Info!$D$5,"(KÖT)","0940921",L1711),Adat!$E:$E)*-1</f>
        <v>0</v>
      </c>
      <c r="H1753" s="72">
        <f>SUMIF(Adat!$AH:$AH,CONCATENATE(Info!$D$5,"(ÖNV)","0940921",L1711),Adat!$E:$E)*-1</f>
        <v>0</v>
      </c>
      <c r="I1753" s="72">
        <f>SUMIF(Adat!$AH:$AH,CONCATENATE(Info!$D$5,"(ÁIG)","0940921",L1711),Adat!$E:$E)*-1</f>
        <v>0</v>
      </c>
    </row>
    <row r="1754" spans="2:9" x14ac:dyDescent="0.2">
      <c r="B1754" s="160">
        <v>41</v>
      </c>
      <c r="C1754" s="305" t="s">
        <v>1296</v>
      </c>
      <c r="D1754" s="82" t="s">
        <v>1371</v>
      </c>
      <c r="E1754" s="72">
        <f>SUMIF(Adat!$AG:$AG,CONCATENATE(61,Info!$D$5,"094101",L1711),Adat!$E:$E)*-1</f>
        <v>0</v>
      </c>
      <c r="F1754" s="72">
        <f>SUMIF(Adat!$AG:$AG,CONCATENATE(60,Info!$D$5,"094101",L1711),Adat!$E:$E)*-1+E1754</f>
        <v>0</v>
      </c>
      <c r="G1754" s="72">
        <f>SUMIF(Adat!$AH:$AH,CONCATENATE(Info!$D$5,"(KÖT)","094101",L1711),Adat!$E:$E)*-1</f>
        <v>0</v>
      </c>
      <c r="H1754" s="72">
        <f>SUMIF(Adat!$AH:$AH,CONCATENATE(Info!$D$5,"(ÖNV)","094101",L1711),Adat!$E:$E)*-1</f>
        <v>0</v>
      </c>
      <c r="I1754" s="72">
        <f>SUMIF(Adat!$AH:$AH,CONCATENATE(Info!$D$5,"(ÁIG)","094101",L1711),Adat!$E:$E)*-1</f>
        <v>0</v>
      </c>
    </row>
    <row r="1755" spans="2:9" x14ac:dyDescent="0.25">
      <c r="B1755" s="160">
        <v>42</v>
      </c>
      <c r="C1755" s="305" t="s">
        <v>1297</v>
      </c>
      <c r="D1755" s="84" t="s">
        <v>1372</v>
      </c>
      <c r="E1755" s="72">
        <f>SUMIF(Adat!$AG:$AG,CONCATENATE(61,Info!$D$5,"094111",L1711),Adat!$E:$E)*-1</f>
        <v>0</v>
      </c>
      <c r="F1755" s="72">
        <f>SUMIF(Adat!$AG:$AG,CONCATENATE(60,Info!$D$5,"094111",L1711),Adat!$E:$E)*-1+E1755</f>
        <v>0</v>
      </c>
      <c r="G1755" s="72">
        <f>SUMIF(Adat!$AH:$AH,CONCATENATE(Info!$D$5,"(KÖT)","094111",L1711),Adat!$E:$E)*-1</f>
        <v>0</v>
      </c>
      <c r="H1755" s="72">
        <f>SUMIF(Adat!$AH:$AH,CONCATENATE(Info!$D$5,"(ÖNV)","094111",L1711),Adat!$E:$E)*-1</f>
        <v>0</v>
      </c>
      <c r="I1755" s="72">
        <f>SUMIF(Adat!$AH:$AH,CONCATENATE(Info!$D$5,"(ÁIG)","094111",L1711),Adat!$E:$E)*-1</f>
        <v>0</v>
      </c>
    </row>
    <row r="1756" spans="2:9" x14ac:dyDescent="0.25">
      <c r="B1756" s="160">
        <v>43</v>
      </c>
      <c r="C1756" s="79" t="s">
        <v>33</v>
      </c>
      <c r="D1756" s="79" t="s">
        <v>330</v>
      </c>
      <c r="E1756" s="71">
        <f>SUM(E1757:E1761)</f>
        <v>0</v>
      </c>
      <c r="F1756" s="71">
        <f>SUM(F1757:F1761)</f>
        <v>0</v>
      </c>
      <c r="G1756" s="71">
        <f>SUM(G1757:G1761)</f>
        <v>0</v>
      </c>
      <c r="H1756" s="71">
        <f>SUM(H1757:H1761)</f>
        <v>0</v>
      </c>
      <c r="I1756" s="71">
        <f>SUM(I1757:I1761)</f>
        <v>0</v>
      </c>
    </row>
    <row r="1757" spans="2:9" x14ac:dyDescent="0.2">
      <c r="B1757" s="160">
        <v>44</v>
      </c>
      <c r="C1757" s="305" t="s">
        <v>1373</v>
      </c>
      <c r="D1757" s="82" t="s">
        <v>1374</v>
      </c>
      <c r="E1757" s="72">
        <f>SUMIF(Adat!$AG:$AG,CONCATENATE(61,Info!$D$5,"09511",L1711),Adat!$E:$E)*-1</f>
        <v>0</v>
      </c>
      <c r="F1757" s="72">
        <f>SUMIF(Adat!$AG:$AG,CONCATENATE(60,Info!$D$5,"09511",L1711),Adat!$E:$E)*-1+E1757</f>
        <v>0</v>
      </c>
      <c r="G1757" s="72">
        <f>SUMIF(Adat!$AH:$AH,CONCATENATE(Info!$D$5,"(KÖT)","09511",L1711),Adat!$E:$E)*-1</f>
        <v>0</v>
      </c>
      <c r="H1757" s="72">
        <f>SUMIF(Adat!$AH:$AH,CONCATENATE(Info!$D$5,"(ÖNV)","09511",L1711),Adat!$E:$E)*-1</f>
        <v>0</v>
      </c>
      <c r="I1757" s="72">
        <f>SUMIF(Adat!$AH:$AH,CONCATENATE(Info!$D$5,"(ÁIG)","09511",L1711),Adat!$E:$E)*-1</f>
        <v>0</v>
      </c>
    </row>
    <row r="1758" spans="2:9" x14ac:dyDescent="0.2">
      <c r="B1758" s="160">
        <v>45</v>
      </c>
      <c r="C1758" s="305" t="s">
        <v>1294</v>
      </c>
      <c r="D1758" s="82" t="s">
        <v>1375</v>
      </c>
      <c r="E1758" s="72">
        <f>SUMIF(Adat!$AG:$AG,CONCATENATE(61,Info!$D$5,"09521",L1711),Adat!$E:$E)*-1</f>
        <v>0</v>
      </c>
      <c r="F1758" s="72">
        <f>SUMIF(Adat!$AG:$AG,CONCATENATE(60,Info!$D$5,"09521",L1711),Adat!$E:$E)*-1+E1758</f>
        <v>0</v>
      </c>
      <c r="G1758" s="72">
        <f>SUMIF(Adat!$AH:$AH,CONCATENATE(Info!$D$5,"(KÖT)","09521",L1711),Adat!$E:$E)*-1</f>
        <v>0</v>
      </c>
      <c r="H1758" s="72">
        <f>SUMIF(Adat!$AH:$AH,CONCATENATE(Info!$D$5,"(ÖNV)","09521",L1711),Adat!$E:$E)*-1</f>
        <v>0</v>
      </c>
      <c r="I1758" s="72">
        <f>SUMIF(Adat!$AH:$AH,CONCATENATE(Info!$D$5,"(ÁIG)","09521",L1711),Adat!$E:$E)*-1</f>
        <v>0</v>
      </c>
    </row>
    <row r="1759" spans="2:9" x14ac:dyDescent="0.2">
      <c r="B1759" s="160">
        <v>46</v>
      </c>
      <c r="C1759" s="305" t="s">
        <v>1376</v>
      </c>
      <c r="D1759" s="82" t="s">
        <v>1377</v>
      </c>
      <c r="E1759" s="72">
        <f>SUMIF(Adat!$AG:$AG,CONCATENATE(61,Info!$D$5,"09531",L1711),Adat!$E:$E)*-1</f>
        <v>0</v>
      </c>
      <c r="F1759" s="72">
        <f>SUMIF(Adat!$AG:$AG,CONCATENATE(60,Info!$D$5,"09531",L1711),Adat!$E:$E)*-1+E1759</f>
        <v>0</v>
      </c>
      <c r="G1759" s="72">
        <f>SUMIF(Adat!$AH:$AH,CONCATENATE(Info!$D$5,"(KÖT)","09531",L1711),Adat!$E:$E)*-1</f>
        <v>0</v>
      </c>
      <c r="H1759" s="72">
        <f>SUMIF(Adat!$AH:$AH,CONCATENATE(Info!$D$5,"(ÖNV)","09531",L1711),Adat!$E:$E)*-1</f>
        <v>0</v>
      </c>
      <c r="I1759" s="72">
        <f>SUMIF(Adat!$AH:$AH,CONCATENATE(Info!$D$5,"(ÁIG)","09531",L1711),Adat!$E:$E)*-1</f>
        <v>0</v>
      </c>
    </row>
    <row r="1760" spans="2:9" x14ac:dyDescent="0.2">
      <c r="B1760" s="160">
        <v>47</v>
      </c>
      <c r="C1760" s="305" t="s">
        <v>1378</v>
      </c>
      <c r="D1760" s="82" t="s">
        <v>1379</v>
      </c>
      <c r="E1760" s="72">
        <f>SUMIF(Adat!$AG:$AG,CONCATENATE(61,Info!$D$5,"09541",L1711),Adat!$E:$E)*-1</f>
        <v>0</v>
      </c>
      <c r="F1760" s="72">
        <f>SUMIF(Adat!$AG:$AG,CONCATENATE(60,Info!$D$5,"09541",L1711),Adat!$E:$E)*-1+E1760</f>
        <v>0</v>
      </c>
      <c r="G1760" s="72">
        <f>SUMIF(Adat!$AH:$AH,CONCATENATE(Info!$D$5,"(KÖT)","09541",L1711),Adat!$E:$E)*-1</f>
        <v>0</v>
      </c>
      <c r="H1760" s="72">
        <f>SUMIF(Adat!$AH:$AH,CONCATENATE(Info!$D$5,"(ÖNV)","09541",L1711),Adat!$E:$E)*-1</f>
        <v>0</v>
      </c>
      <c r="I1760" s="72">
        <f>SUMIF(Adat!$AH:$AH,CONCATENATE(Info!$D$5,"(ÁIG)","09541",L1711),Adat!$E:$E)*-1</f>
        <v>0</v>
      </c>
    </row>
    <row r="1761" spans="2:9" x14ac:dyDescent="0.25">
      <c r="B1761" s="160">
        <v>48</v>
      </c>
      <c r="C1761" s="305" t="s">
        <v>1380</v>
      </c>
      <c r="D1761" s="84" t="s">
        <v>1381</v>
      </c>
      <c r="E1761" s="72">
        <f>SUMIF(Adat!$AG:$AG,CONCATENATE(61,Info!$D$5,"09551",L1711),Adat!$E:$E)*-1</f>
        <v>0</v>
      </c>
      <c r="F1761" s="72">
        <f>SUMIF(Adat!$AG:$AG,CONCATENATE(60,Info!$D$5,"09551",L1711),Adat!$E:$E)*-1+E1761</f>
        <v>0</v>
      </c>
      <c r="G1761" s="72">
        <f>SUMIF(Adat!$AH:$AH,CONCATENATE(Info!$D$5,"(KÖT)","09551",L1711),Adat!$E:$E)*-1</f>
        <v>0</v>
      </c>
      <c r="H1761" s="72">
        <f>SUMIF(Adat!$AH:$AH,CONCATENATE(Info!$D$5,"(ÖNV)","09551",L1711),Adat!$E:$E)*-1</f>
        <v>0</v>
      </c>
      <c r="I1761" s="72">
        <f>SUMIF(Adat!$AH:$AH,CONCATENATE(Info!$D$5,"(ÁIG)","09551",L1711),Adat!$E:$E)*-1</f>
        <v>0</v>
      </c>
    </row>
    <row r="1762" spans="2:9" x14ac:dyDescent="0.25">
      <c r="B1762" s="160">
        <v>49</v>
      </c>
      <c r="C1762" s="79" t="s">
        <v>36</v>
      </c>
      <c r="D1762" s="79" t="s">
        <v>331</v>
      </c>
      <c r="E1762" s="71">
        <f>SUM(E1763:E1767)</f>
        <v>0</v>
      </c>
      <c r="F1762" s="71">
        <f t="shared" ref="F1762:I1762" si="186">SUM(F1763:F1767)</f>
        <v>0</v>
      </c>
      <c r="G1762" s="71">
        <f t="shared" si="186"/>
        <v>0</v>
      </c>
      <c r="H1762" s="71">
        <f t="shared" si="186"/>
        <v>0</v>
      </c>
      <c r="I1762" s="71">
        <f t="shared" si="186"/>
        <v>0</v>
      </c>
    </row>
    <row r="1763" spans="2:9" x14ac:dyDescent="0.2">
      <c r="B1763" s="160">
        <v>50</v>
      </c>
      <c r="C1763" s="305" t="s">
        <v>1382</v>
      </c>
      <c r="D1763" s="82" t="s">
        <v>1383</v>
      </c>
      <c r="E1763" s="72">
        <f>SUMIF(Adat!$AG:$AG,CONCATENATE(61,Info!$D$5,"09611",L1711),Adat!$E:$E)*-1</f>
        <v>0</v>
      </c>
      <c r="F1763" s="72">
        <f>SUMIF(Adat!$AG:$AG,CONCATENATE(60,Info!$D$5,"09611",L1711),Adat!$E:$E)*-1+E1763</f>
        <v>0</v>
      </c>
      <c r="G1763" s="72">
        <f>SUMIF(Adat!$AH:$AH,CONCATENATE(Info!$D$5,"(KÖT)","09611",L1711),Adat!$E:$E)*-1</f>
        <v>0</v>
      </c>
      <c r="H1763" s="72">
        <f>SUMIF(Adat!$AH:$AH,CONCATENATE(Info!$D$5,"(ÖNV)","09611",L1711),Adat!$E:$E)*-1</f>
        <v>0</v>
      </c>
      <c r="I1763" s="72">
        <f>SUMIF(Adat!$AH:$AH,CONCATENATE(Info!$D$5,"(ÁIG)","09611",L1711),Adat!$E:$E)*-1</f>
        <v>0</v>
      </c>
    </row>
    <row r="1764" spans="2:9" x14ac:dyDescent="0.2">
      <c r="B1764" s="160">
        <v>51</v>
      </c>
      <c r="C1764" s="305" t="s">
        <v>1384</v>
      </c>
      <c r="D1764" s="82" t="s">
        <v>1385</v>
      </c>
      <c r="E1764" s="72">
        <f>SUMIF(Adat!$AG:$AG,CONCATENATE(61,Info!$D$5,"09621",L1711),Adat!$E:$E)*-1</f>
        <v>0</v>
      </c>
      <c r="F1764" s="72">
        <f>SUMIF(Adat!$AG:$AG,CONCATENATE(60,Info!$D$5,"09621",L1711),Adat!$E:$E)*-1+E1764</f>
        <v>0</v>
      </c>
      <c r="G1764" s="72">
        <f>SUMIF(Adat!$AH:$AH,CONCATENATE(Info!$D$5,"(KÖT)","09621",L1711),Adat!$E:$E)*-1</f>
        <v>0</v>
      </c>
      <c r="H1764" s="72">
        <f>SUMIF(Adat!$AH:$AH,CONCATENATE(Info!$D$5,"(ÖNV)","09621",L1711),Adat!$E:$E)*-1</f>
        <v>0</v>
      </c>
      <c r="I1764" s="72">
        <f>SUMIF(Adat!$AH:$AH,CONCATENATE(Info!$D$5,"(ÁIG)","09621",L1711),Adat!$E:$E)*-1</f>
        <v>0</v>
      </c>
    </row>
    <row r="1765" spans="2:9" x14ac:dyDescent="0.2">
      <c r="B1765" s="160">
        <v>52</v>
      </c>
      <c r="C1765" s="305" t="s">
        <v>1386</v>
      </c>
      <c r="D1765" s="82" t="s">
        <v>1387</v>
      </c>
      <c r="E1765" s="72">
        <f>SUMIF(Adat!$AG:$AG,CONCATENATE(61,Info!$D$5,"09631",L1711),Adat!$E:$E)*-1</f>
        <v>0</v>
      </c>
      <c r="F1765" s="72">
        <f>SUMIF(Adat!$AG:$AG,CONCATENATE(60,Info!$D$5,"09631",L1711),Adat!$E:$E)*-1+E1765</f>
        <v>0</v>
      </c>
      <c r="G1765" s="72">
        <f>SUMIF(Adat!$AH:$AH,CONCATENATE(Info!$D$5,"(KÖT)","09631",L1711),Adat!$E:$E)*-1</f>
        <v>0</v>
      </c>
      <c r="H1765" s="72">
        <f>SUMIF(Adat!$AH:$AH,CONCATENATE(Info!$D$5,"(ÖNV)","09631",L1711),Adat!$E:$E)*-1</f>
        <v>0</v>
      </c>
      <c r="I1765" s="72">
        <f>SUMIF(Adat!$AH:$AH,CONCATENATE(Info!$D$5,"(ÁIG)","09631",L1711),Adat!$E:$E)*-1</f>
        <v>0</v>
      </c>
    </row>
    <row r="1766" spans="2:9" x14ac:dyDescent="0.2">
      <c r="B1766" s="160">
        <v>53</v>
      </c>
      <c r="C1766" s="305" t="s">
        <v>1388</v>
      </c>
      <c r="D1766" s="82" t="s">
        <v>1389</v>
      </c>
      <c r="E1766" s="72">
        <f>SUMIF(Adat!$AG:$AG,CONCATENATE(61,Info!$D$5,"09641",L1711),Adat!$E:$E)*-1</f>
        <v>0</v>
      </c>
      <c r="F1766" s="72">
        <f>SUMIF(Adat!$AG:$AG,CONCATENATE(60,Info!$D$5,"09641",L1711),Adat!$E:$E)*-1+E1766</f>
        <v>0</v>
      </c>
      <c r="G1766" s="72">
        <f>SUMIF(Adat!$AH:$AH,CONCATENATE(Info!$D$5,"(KÖT)","09641",L1711),Adat!$E:$E)*-1</f>
        <v>0</v>
      </c>
      <c r="H1766" s="72">
        <f>SUMIF(Adat!$AH:$AH,CONCATENATE(Info!$D$5,"(ÖNV)","09641",L1711),Adat!$E:$E)*-1</f>
        <v>0</v>
      </c>
      <c r="I1766" s="72">
        <f>SUMIF(Adat!$AH:$AH,CONCATENATE(Info!$D$5,"(ÁIG)","09641",L1711),Adat!$E:$E)*-1</f>
        <v>0</v>
      </c>
    </row>
    <row r="1767" spans="2:9" x14ac:dyDescent="0.2">
      <c r="B1767" s="160">
        <v>54</v>
      </c>
      <c r="C1767" s="305" t="s">
        <v>1310</v>
      </c>
      <c r="D1767" s="82" t="s">
        <v>1390</v>
      </c>
      <c r="E1767" s="72">
        <f>SUMIF(Adat!$AG:$AG,CONCATENATE(61,Info!$D$5,"09651",L1711),Adat!$E:$E)*-1</f>
        <v>0</v>
      </c>
      <c r="F1767" s="72">
        <f>SUMIF(Adat!$AG:$AG,CONCATENATE(60,Info!$D$5,"09651",L1711),Adat!$E:$E)*-1+E1767</f>
        <v>0</v>
      </c>
      <c r="G1767" s="72">
        <f>SUMIF(Adat!$AH:$AH,CONCATENATE(Info!$D$5,"(KÖT)","09651",L1711),Adat!$E:$E)*-1</f>
        <v>0</v>
      </c>
      <c r="H1767" s="72">
        <f>SUMIF(Adat!$AH:$AH,CONCATENATE(Info!$D$5,"(ÖNV)","09651",L1711),Adat!$E:$E)*-1</f>
        <v>0</v>
      </c>
      <c r="I1767" s="72">
        <f>SUMIF(Adat!$AH:$AH,CONCATENATE(Info!$D$5,"(ÁIG)","09651",L1711),Adat!$E:$E)*-1</f>
        <v>0</v>
      </c>
    </row>
    <row r="1768" spans="2:9" x14ac:dyDescent="0.25">
      <c r="B1768" s="160">
        <v>55</v>
      </c>
      <c r="C1768" s="79" t="s">
        <v>38</v>
      </c>
      <c r="D1768" s="85" t="s">
        <v>332</v>
      </c>
      <c r="E1768" s="71">
        <f>SUM(E1769:E1773)</f>
        <v>0</v>
      </c>
      <c r="F1768" s="71">
        <f t="shared" ref="F1768:I1768" si="187">SUM(F1769:F1773)</f>
        <v>0</v>
      </c>
      <c r="G1768" s="71">
        <f t="shared" si="187"/>
        <v>0</v>
      </c>
      <c r="H1768" s="71">
        <f t="shared" si="187"/>
        <v>0</v>
      </c>
      <c r="I1768" s="71">
        <f t="shared" si="187"/>
        <v>0</v>
      </c>
    </row>
    <row r="1769" spans="2:9" x14ac:dyDescent="0.2">
      <c r="B1769" s="160">
        <v>56</v>
      </c>
      <c r="C1769" s="305" t="s">
        <v>1391</v>
      </c>
      <c r="D1769" s="82" t="s">
        <v>1392</v>
      </c>
      <c r="E1769" s="72">
        <f>SUMIF(Adat!$AG:$AG,CONCATENATE(61,Info!$D$5,"09711",L1711),Adat!$E:$E)*-1</f>
        <v>0</v>
      </c>
      <c r="F1769" s="72">
        <f>SUMIF(Adat!$AG:$AG,CONCATENATE(60,Info!$D$5,"09711",L1711),Adat!$E:$E)*-1+E1769</f>
        <v>0</v>
      </c>
      <c r="G1769" s="72">
        <f>SUMIF(Adat!$AH:$AH,CONCATENATE(Info!$D$5,"(KÖT)","09711",L1711),Adat!$E:$E)*-1</f>
        <v>0</v>
      </c>
      <c r="H1769" s="72">
        <f>SUMIF(Adat!$AH:$AH,CONCATENATE(Info!$D$5,"(ÖNV)","09711",L1711),Adat!$E:$E)*-1</f>
        <v>0</v>
      </c>
      <c r="I1769" s="72">
        <f>SUMIF(Adat!$AH:$AH,CONCATENATE(Info!$D$5,"(ÁIG)","09711",L1711),Adat!$E:$E)*-1</f>
        <v>0</v>
      </c>
    </row>
    <row r="1770" spans="2:9" x14ac:dyDescent="0.2">
      <c r="B1770" s="160">
        <v>57</v>
      </c>
      <c r="C1770" s="305" t="s">
        <v>1393</v>
      </c>
      <c r="D1770" s="82" t="s">
        <v>1394</v>
      </c>
      <c r="E1770" s="72">
        <f>SUMIF(Adat!$AG:$AG,CONCATENATE(61,Info!$D$5,"09721",L1711),Adat!$E:$E)*-1</f>
        <v>0</v>
      </c>
      <c r="F1770" s="72">
        <f>SUMIF(Adat!$AG:$AG,CONCATENATE(60,Info!$D$5,"09721",L1711),Adat!$E:$E)*-1+E1770</f>
        <v>0</v>
      </c>
      <c r="G1770" s="72">
        <f>SUMIF(Adat!$AH:$AH,CONCATENATE(Info!$D$5,"(KÖT)","09721",L1711),Adat!$E:$E)*-1</f>
        <v>0</v>
      </c>
      <c r="H1770" s="72">
        <f>SUMIF(Adat!$AH:$AH,CONCATENATE(Info!$D$5,"(ÖNV)","09721",L1711),Adat!$E:$E)*-1</f>
        <v>0</v>
      </c>
      <c r="I1770" s="72">
        <f>SUMIF(Adat!$AH:$AH,CONCATENATE(Info!$D$5,"(ÁIG)","09721",L1711),Adat!$E:$E)*-1</f>
        <v>0</v>
      </c>
    </row>
    <row r="1771" spans="2:9" x14ac:dyDescent="0.2">
      <c r="B1771" s="160">
        <v>58</v>
      </c>
      <c r="C1771" s="305" t="s">
        <v>1395</v>
      </c>
      <c r="D1771" s="82" t="s">
        <v>1396</v>
      </c>
      <c r="E1771" s="72">
        <f>SUMIF(Adat!$AG:$AG,CONCATENATE(61,Info!$D$5,"09731",L1711),Adat!$E:$E)*-1</f>
        <v>0</v>
      </c>
      <c r="F1771" s="72">
        <f>SUMIF(Adat!$AG:$AG,CONCATENATE(60,Info!$D$5,"09731",L1711),Adat!$E:$E)*-1+E1771</f>
        <v>0</v>
      </c>
      <c r="G1771" s="72">
        <f>SUMIF(Adat!$AH:$AH,CONCATENATE(Info!$D$5,"(KÖT)","09731",L1711),Adat!$E:$E)*-1</f>
        <v>0</v>
      </c>
      <c r="H1771" s="72">
        <f>SUMIF(Adat!$AH:$AH,CONCATENATE(Info!$D$5,"(ÖNV)","09731",L1711),Adat!$E:$E)*-1</f>
        <v>0</v>
      </c>
      <c r="I1771" s="72">
        <f>SUMIF(Adat!$AH:$AH,CONCATENATE(Info!$D$5,"(ÁIG)","09731",L1711),Adat!$E:$E)*-1</f>
        <v>0</v>
      </c>
    </row>
    <row r="1772" spans="2:9" x14ac:dyDescent="0.2">
      <c r="B1772" s="160">
        <v>59</v>
      </c>
      <c r="C1772" s="305" t="s">
        <v>1397</v>
      </c>
      <c r="D1772" s="82" t="s">
        <v>1398</v>
      </c>
      <c r="E1772" s="72">
        <f>SUMIF(Adat!$AG:$AG,CONCATENATE(61,Info!$D$5,"09741",L1711),Adat!$E:$E)*-1</f>
        <v>0</v>
      </c>
      <c r="F1772" s="72">
        <f>SUMIF(Adat!$AG:$AG,CONCATENATE(60,Info!$D$5,"09741",L1711),Adat!$E:$E)*-1+E1772</f>
        <v>0</v>
      </c>
      <c r="G1772" s="72">
        <f>SUMIF(Adat!$AH:$AH,CONCATENATE(Info!$D$5,"(KÖT)","09741",L1711),Adat!$E:$E)*-1</f>
        <v>0</v>
      </c>
      <c r="H1772" s="72">
        <f>SUMIF(Adat!$AH:$AH,CONCATENATE(Info!$D$5,"(ÖNV)","09741",L1711),Adat!$E:$E)*-1</f>
        <v>0</v>
      </c>
      <c r="I1772" s="72">
        <f>SUMIF(Adat!$AH:$AH,CONCATENATE(Info!$D$5,"(ÁIG)","09741",L1711),Adat!$E:$E)*-1</f>
        <v>0</v>
      </c>
    </row>
    <row r="1773" spans="2:9" x14ac:dyDescent="0.25">
      <c r="B1773" s="160">
        <v>60</v>
      </c>
      <c r="C1773" s="305" t="s">
        <v>1399</v>
      </c>
      <c r="D1773" s="84" t="s">
        <v>1400</v>
      </c>
      <c r="E1773" s="72">
        <f>SUMIF(Adat!$AG:$AG,CONCATENATE(61,Info!$D$5,"09751",L1711),Adat!$E:$E)*-1</f>
        <v>0</v>
      </c>
      <c r="F1773" s="72">
        <f>SUMIF(Adat!$AG:$AG,CONCATENATE(60,Info!$D$5,"09751",L1711),Adat!$E:$E)*-1+E1773</f>
        <v>0</v>
      </c>
      <c r="G1773" s="72">
        <f>SUMIF(Adat!$AH:$AH,CONCATENATE(Info!$D$5,"(KÖT)","09751",L1711),Adat!$E:$E)*-1</f>
        <v>0</v>
      </c>
      <c r="H1773" s="72">
        <f>SUMIF(Adat!$AH:$AH,CONCATENATE(Info!$D$5,"(ÖNV)","09751",L1711),Adat!$E:$E)*-1</f>
        <v>0</v>
      </c>
      <c r="I1773" s="72">
        <f>SUMIF(Adat!$AH:$AH,CONCATENATE(Info!$D$5,"(ÁIG)","09751",L1711),Adat!$E:$E)*-1</f>
        <v>0</v>
      </c>
    </row>
    <row r="1774" spans="2:9" x14ac:dyDescent="0.25">
      <c r="B1774" s="160">
        <v>61</v>
      </c>
      <c r="C1774" s="78" t="s">
        <v>352</v>
      </c>
      <c r="D1774" s="86" t="s">
        <v>1401</v>
      </c>
      <c r="E1774" s="71">
        <f>+E1715+E1723+E1729+E1735+E1742+E1756+E1762+E1768</f>
        <v>0</v>
      </c>
      <c r="F1774" s="71">
        <f>+F1715+F1723+F1729+F1735+F1742+F1756+F1762+F1768</f>
        <v>0</v>
      </c>
      <c r="G1774" s="71">
        <f>+G1715+G1723+G1729+G1735+G1742+G1756+G1762+G1768</f>
        <v>0</v>
      </c>
      <c r="H1774" s="71">
        <f>+H1715+H1723+H1729+H1735+H1742+H1756+H1762+H1768</f>
        <v>0</v>
      </c>
      <c r="I1774" s="71">
        <f>+I1715+I1723+I1729+I1735+I1742+I1756+I1762+I1768</f>
        <v>0</v>
      </c>
    </row>
    <row r="1775" spans="2:9" x14ac:dyDescent="0.25">
      <c r="B1775" s="160">
        <v>62</v>
      </c>
      <c r="C1775" s="154" t="s">
        <v>1402</v>
      </c>
      <c r="D1775" s="85" t="s">
        <v>1403</v>
      </c>
      <c r="E1775" s="71">
        <f t="shared" ref="E1775:G1775" si="188">SUM(E1776:E1778)</f>
        <v>0</v>
      </c>
      <c r="F1775" s="71">
        <f t="shared" si="188"/>
        <v>0</v>
      </c>
      <c r="G1775" s="71">
        <f t="shared" si="188"/>
        <v>0</v>
      </c>
      <c r="H1775" s="71">
        <f>SUM(H1776:H1778)</f>
        <v>0</v>
      </c>
      <c r="I1775" s="71">
        <f>SUM(I1776:I1778)</f>
        <v>0</v>
      </c>
    </row>
    <row r="1776" spans="2:9" x14ac:dyDescent="0.2">
      <c r="B1776" s="160">
        <v>63</v>
      </c>
      <c r="C1776" s="305" t="s">
        <v>1404</v>
      </c>
      <c r="D1776" s="82" t="s">
        <v>1405</v>
      </c>
      <c r="E1776" s="72">
        <f>SUMIF(Adat!$AG:$AG,CONCATENATE(61,Info!$D$5,"0981111",L1711),Adat!$E:$E)*-1</f>
        <v>0</v>
      </c>
      <c r="F1776" s="72">
        <f>SUMIF(Adat!$AG:$AG,CONCATENATE(60,Info!$D$5,"0981111",L1711),Adat!$E:$E)*-1+E1776</f>
        <v>0</v>
      </c>
      <c r="G1776" s="72">
        <f>SUMIF(Adat!$AH:$AH,CONCATENATE(Info!$D$5,"(KÖT)","0981111",L1711),Adat!$E:$E)*-1</f>
        <v>0</v>
      </c>
      <c r="H1776" s="72">
        <f>SUMIF(Adat!$AH:$AH,CONCATENATE(Info!$D$5,"(ÖNV)","0981111",L1711),Adat!$E:$E)*-1</f>
        <v>0</v>
      </c>
      <c r="I1776" s="72">
        <f>SUMIF(Adat!$AH:$AH,CONCATENATE(Info!$D$5,"(ÁIG)","0981111",L1711),Adat!$E:$E)*-1</f>
        <v>0</v>
      </c>
    </row>
    <row r="1777" spans="2:9" x14ac:dyDescent="0.2">
      <c r="B1777" s="160">
        <v>64</v>
      </c>
      <c r="C1777" s="305" t="s">
        <v>1406</v>
      </c>
      <c r="D1777" s="82" t="s">
        <v>1407</v>
      </c>
      <c r="E1777" s="72">
        <f>SUMIF(Adat!$AG:$AG,CONCATENATE(61,Info!$D$5,"0981121",L1711),Adat!$E:$E)*-1</f>
        <v>0</v>
      </c>
      <c r="F1777" s="72">
        <f>SUMIF(Adat!$AG:$AG,CONCATENATE(60,Info!$D$5,"0981121",L1711),Adat!$E:$E)*-1+E1777</f>
        <v>0</v>
      </c>
      <c r="G1777" s="72">
        <f>SUMIF(Adat!$AH:$AH,CONCATENATE(Info!$D$5,"(KÖT)","0981121",L1711),Adat!$E:$E)*-1</f>
        <v>0</v>
      </c>
      <c r="H1777" s="72">
        <f>SUMIF(Adat!$AH:$AH,CONCATENATE(Info!$D$5,"(ÖNV)","0981121",L1711),Adat!$E:$E)*-1</f>
        <v>0</v>
      </c>
      <c r="I1777" s="72">
        <f>SUMIF(Adat!$AH:$AH,CONCATENATE(Info!$D$5,"(ÁIG)","0981121",L1711),Adat!$E:$E)*-1</f>
        <v>0</v>
      </c>
    </row>
    <row r="1778" spans="2:9" x14ac:dyDescent="0.2">
      <c r="B1778" s="160">
        <v>65</v>
      </c>
      <c r="C1778" s="305" t="s">
        <v>1408</v>
      </c>
      <c r="D1778" s="82" t="s">
        <v>1409</v>
      </c>
      <c r="E1778" s="72">
        <f>SUMIF(Adat!$AG:$AG,CONCATENATE(61,Info!$D$5,"0981131",L1711),Adat!$E:$E)*-1</f>
        <v>0</v>
      </c>
      <c r="F1778" s="72">
        <f>SUMIF(Adat!$AG:$AG,CONCATENATE(60,Info!$D$5,"0981131",L1711),Adat!$E:$E)*-1+E1778</f>
        <v>0</v>
      </c>
      <c r="G1778" s="72">
        <f>SUMIF(Adat!$AH:$AH,CONCATENATE(Info!$D$5,"(KÖT)","0981131",L1711),Adat!$E:$E)*-1</f>
        <v>0</v>
      </c>
      <c r="H1778" s="72">
        <f>SUMIF(Adat!$AH:$AH,CONCATENATE(Info!$D$5,"(ÖNV)","0981131",L1711),Adat!$E:$E)*-1</f>
        <v>0</v>
      </c>
      <c r="I1778" s="72">
        <f>SUMIF(Adat!$AH:$AH,CONCATENATE(Info!$D$5,"(ÁIG)","0981131",L1711),Adat!$E:$E)*-1</f>
        <v>0</v>
      </c>
    </row>
    <row r="1779" spans="2:9" x14ac:dyDescent="0.25">
      <c r="B1779" s="160">
        <v>66</v>
      </c>
      <c r="C1779" s="154" t="s">
        <v>1410</v>
      </c>
      <c r="D1779" s="85" t="s">
        <v>574</v>
      </c>
      <c r="E1779" s="71">
        <f>SUM(E1780:E1783)</f>
        <v>0</v>
      </c>
      <c r="F1779" s="71">
        <f t="shared" ref="F1779" si="189">SUM(F1780:F1783)</f>
        <v>0</v>
      </c>
      <c r="G1779" s="71">
        <f>SUM(G1780:G1783)</f>
        <v>0</v>
      </c>
      <c r="H1779" s="71">
        <f>SUM(H1780:H1783)</f>
        <v>0</v>
      </c>
      <c r="I1779" s="71">
        <f>SUM(I1780:I1783)</f>
        <v>0</v>
      </c>
    </row>
    <row r="1780" spans="2:9" x14ac:dyDescent="0.2">
      <c r="B1780" s="160">
        <v>67</v>
      </c>
      <c r="C1780" s="305" t="s">
        <v>1411</v>
      </c>
      <c r="D1780" s="82" t="s">
        <v>1412</v>
      </c>
      <c r="E1780" s="72">
        <f>SUMIF(Adat!$AG:$AG,CONCATENATE(61,Info!$D$5,"0981211",L1711),Adat!$E:$E)*-1</f>
        <v>0</v>
      </c>
      <c r="F1780" s="72">
        <f>SUMIF(Adat!$AG:$AG,CONCATENATE(60,Info!$D$5,"0981211",L1711),Adat!$E:$E)*-1+E1780</f>
        <v>0</v>
      </c>
      <c r="G1780" s="72">
        <f>SUMIF(Adat!$AH:$AH,CONCATENATE(Info!$D$5,"(KÖT)","0981211",L1711),Adat!$E:$E)*-1</f>
        <v>0</v>
      </c>
      <c r="H1780" s="72">
        <f>SUMIF(Adat!$AH:$AH,CONCATENATE(Info!$D$5,"(ÖNV)","0981211",L1711),Adat!$E:$E)*-1</f>
        <v>0</v>
      </c>
      <c r="I1780" s="72">
        <f>SUMIF(Adat!$AH:$AH,CONCATENATE(Info!$D$5,"(ÁIG)","0981211",L1711),Adat!$E:$E)*-1</f>
        <v>0</v>
      </c>
    </row>
    <row r="1781" spans="2:9" x14ac:dyDescent="0.2">
      <c r="B1781" s="160">
        <v>68</v>
      </c>
      <c r="C1781" s="305" t="s">
        <v>1413</v>
      </c>
      <c r="D1781" s="82" t="s">
        <v>1414</v>
      </c>
      <c r="E1781" s="72">
        <f>SUMIF(Adat!$AG:$AG,CONCATENATE(61,Info!$D$5,"0981221",L1711),Adat!$E:$E)*-1</f>
        <v>0</v>
      </c>
      <c r="F1781" s="72">
        <f>SUMIF(Adat!$AG:$AG,CONCATENATE(60,Info!$D$5,"0981221",L1711),Adat!$E:$E)*-1+E1781</f>
        <v>0</v>
      </c>
      <c r="G1781" s="72">
        <f>SUMIF(Adat!$AH:$AH,CONCATENATE(Info!$D$5,"(KÖT)","0981221",L1711),Adat!$E:$E)*-1</f>
        <v>0</v>
      </c>
      <c r="H1781" s="72">
        <f>SUMIF(Adat!$AH:$AH,CONCATENATE(Info!$D$5,"(ÖNV)","0981221",L1711),Adat!$E:$E)*-1</f>
        <v>0</v>
      </c>
      <c r="I1781" s="72">
        <f>SUMIF(Adat!$AH:$AH,CONCATENATE(Info!$D$5,"(ÁIG)","0981221",L1711),Adat!$E:$E)*-1</f>
        <v>0</v>
      </c>
    </row>
    <row r="1782" spans="2:9" x14ac:dyDescent="0.2">
      <c r="B1782" s="160">
        <v>69</v>
      </c>
      <c r="C1782" s="305" t="s">
        <v>1313</v>
      </c>
      <c r="D1782" s="82" t="s">
        <v>1415</v>
      </c>
      <c r="E1782" s="72">
        <f>SUMIF(Adat!$AG:$AG,CONCATENATE(61,Info!$D$5,"0981231",L1711),Adat!$E:$E)*-1</f>
        <v>0</v>
      </c>
      <c r="F1782" s="72">
        <f>SUMIF(Adat!$AG:$AG,CONCATENATE(60,Info!$D$5,"0981231",L1711),Adat!$E:$E)*-1+E1782</f>
        <v>0</v>
      </c>
      <c r="G1782" s="72">
        <f>SUMIF(Adat!$AH:$AH,CONCATENATE(Info!$D$5,"(KÖT)","0981231",L1711),Adat!$E:$E)*-1</f>
        <v>0</v>
      </c>
      <c r="H1782" s="72">
        <f>SUMIF(Adat!$AH:$AH,CONCATENATE(Info!$D$5,"(ÖNV)","0981231",L1711),Adat!$E:$E)*-1</f>
        <v>0</v>
      </c>
      <c r="I1782" s="72">
        <f>SUMIF(Adat!$AH:$AH,CONCATENATE(Info!$D$5,"(ÁIG)","0981231",L1711),Adat!$E:$E)*-1</f>
        <v>0</v>
      </c>
    </row>
    <row r="1783" spans="2:9" x14ac:dyDescent="0.25">
      <c r="B1783" s="160">
        <v>70</v>
      </c>
      <c r="C1783" s="305" t="s">
        <v>1416</v>
      </c>
      <c r="D1783" s="84" t="s">
        <v>1417</v>
      </c>
      <c r="E1783" s="72">
        <f>SUMIF(Adat!$AG:$AG,CONCATENATE(61,Info!$D$5,"0981241",L1711),Adat!$E:$E)*-1</f>
        <v>0</v>
      </c>
      <c r="F1783" s="72">
        <f>SUMIF(Adat!$AG:$AG,CONCATENATE(60,Info!$D$5,"0981241",L1711),Adat!$E:$E)*-1+E1783</f>
        <v>0</v>
      </c>
      <c r="G1783" s="72">
        <f>SUMIF(Adat!$AH:$AH,CONCATENATE(Info!$D$5,"(KÖT)","0981241",L1711),Adat!$E:$E)*-1</f>
        <v>0</v>
      </c>
      <c r="H1783" s="72">
        <f>SUMIF(Adat!$AH:$AH,CONCATENATE(Info!$D$5,"(ÖNV)","0981241",L1711),Adat!$E:$E)*-1</f>
        <v>0</v>
      </c>
      <c r="I1783" s="72">
        <f>SUMIF(Adat!$AH:$AH,CONCATENATE(Info!$D$5,"(ÁIG)","0981241",L1711),Adat!$E:$E)*-1</f>
        <v>0</v>
      </c>
    </row>
    <row r="1784" spans="2:9" x14ac:dyDescent="0.25">
      <c r="B1784" s="160">
        <v>71</v>
      </c>
      <c r="C1784" s="154" t="s">
        <v>1418</v>
      </c>
      <c r="D1784" s="85" t="s">
        <v>575</v>
      </c>
      <c r="E1784" s="71">
        <f>SUM(E1785:E1786)</f>
        <v>0</v>
      </c>
      <c r="F1784" s="71">
        <f t="shared" ref="F1784" si="190">SUM(F1785:F1786)</f>
        <v>0</v>
      </c>
      <c r="G1784" s="71">
        <f>SUM(G1785:G1786)</f>
        <v>0</v>
      </c>
      <c r="H1784" s="71">
        <f>SUM(H1785:H1786)</f>
        <v>0</v>
      </c>
      <c r="I1784" s="71">
        <f>SUM(I1785:I1786)</f>
        <v>0</v>
      </c>
    </row>
    <row r="1785" spans="2:9" x14ac:dyDescent="0.2">
      <c r="B1785" s="160">
        <v>72</v>
      </c>
      <c r="C1785" s="305" t="s">
        <v>1274</v>
      </c>
      <c r="D1785" s="82" t="s">
        <v>1419</v>
      </c>
      <c r="E1785" s="72">
        <f>SUMIF(Adat!$AG:$AG,CONCATENATE(61,Info!$D$5,"0981311",L1711),Adat!$E:$E)*-1</f>
        <v>0</v>
      </c>
      <c r="F1785" s="72">
        <f>SUMIF(Adat!$AG:$AG,CONCATENATE(60,Info!$D$5,"0981311",L1711),Adat!$E:$E)*-1+E1785</f>
        <v>0</v>
      </c>
      <c r="G1785" s="72">
        <f>SUMIF(Adat!$AH:$AH,CONCATENATE(Info!$D$5,"(KÖT)","0981311",L1711),Adat!$E:$E)*-1</f>
        <v>0</v>
      </c>
      <c r="H1785" s="72">
        <f>SUMIF(Adat!$AH:$AH,CONCATENATE(Info!$D$5,"(ÖNV)","0981311",L1711),Adat!$E:$E)*-1</f>
        <v>0</v>
      </c>
      <c r="I1785" s="72">
        <f>SUMIF(Adat!$AH:$AH,CONCATENATE(Info!$D$5,"(ÁIG)","0981311",L1711),Adat!$E:$E)*-1</f>
        <v>0</v>
      </c>
    </row>
    <row r="1786" spans="2:9" x14ac:dyDescent="0.25">
      <c r="B1786" s="160">
        <v>73</v>
      </c>
      <c r="C1786" s="305" t="s">
        <v>1420</v>
      </c>
      <c r="D1786" s="84" t="s">
        <v>1421</v>
      </c>
      <c r="E1786" s="72">
        <f>SUMIF(Adat!$AG:$AG,CONCATENATE(61,Info!$D$5,"0981321",L1711),Adat!$E:$E)*-1</f>
        <v>0</v>
      </c>
      <c r="F1786" s="72">
        <f>SUMIF(Adat!$AG:$AG,CONCATENATE(60,Info!$D$5,"0981321",L1711),Adat!$E:$E)*-1+E1786</f>
        <v>0</v>
      </c>
      <c r="G1786" s="72">
        <f>SUMIF(Adat!$AH:$AH,CONCATENATE(Info!$D$5,"(KÖT)","0981321",L1711),Adat!$E:$E)*-1</f>
        <v>0</v>
      </c>
      <c r="H1786" s="72">
        <f>SUMIF(Adat!$AH:$AH,CONCATENATE(Info!$D$5,"(ÖNV)","0981321",L1711),Adat!$E:$E)*-1</f>
        <v>0</v>
      </c>
      <c r="I1786" s="72">
        <f>SUMIF(Adat!$AH:$AH,CONCATENATE(Info!$D$5,"(ÁIG)","0981321",L1711),Adat!$E:$E)*-1</f>
        <v>0</v>
      </c>
    </row>
    <row r="1787" spans="2:9" s="42" customFormat="1" x14ac:dyDescent="0.25">
      <c r="B1787" s="160">
        <v>74</v>
      </c>
      <c r="C1787" s="154" t="s">
        <v>1496</v>
      </c>
      <c r="D1787" s="85" t="s">
        <v>576</v>
      </c>
      <c r="E1787" s="71">
        <f>SUM(E1788:E1790)</f>
        <v>0</v>
      </c>
      <c r="F1787" s="71">
        <f t="shared" ref="F1787" si="191">SUM(F1788:F1790)</f>
        <v>0</v>
      </c>
      <c r="G1787" s="71">
        <f>SUM(G1788:G1790)</f>
        <v>0</v>
      </c>
      <c r="H1787" s="71">
        <f>SUM(H1788:H1790)</f>
        <v>0</v>
      </c>
      <c r="I1787" s="71">
        <f>SUM(I1788:I1790)</f>
        <v>0</v>
      </c>
    </row>
    <row r="1788" spans="2:9" x14ac:dyDescent="0.2">
      <c r="B1788" s="160">
        <v>75</v>
      </c>
      <c r="C1788" s="305" t="s">
        <v>1301</v>
      </c>
      <c r="D1788" s="82" t="s">
        <v>1422</v>
      </c>
      <c r="E1788" s="72">
        <f>SUMIF(Adat!$AG:$AG,CONCATENATE(61,Info!$D$5,"098141",L1711),Adat!$E:$E)*-1</f>
        <v>0</v>
      </c>
      <c r="F1788" s="72">
        <f>SUMIF(Adat!$AG:$AG,CONCATENATE(60,Info!$D$5,"098141",L1711),Adat!$E:$E)*-1+E1788</f>
        <v>0</v>
      </c>
      <c r="G1788" s="72">
        <f>SUMIF(Adat!$AH:$AH,CONCATENATE(Info!$D$5,"(KÖT)","098141",L1711),Adat!$E:$E)*-1</f>
        <v>0</v>
      </c>
      <c r="H1788" s="72">
        <f>SUMIF(Adat!$AH:$AH,CONCATENATE(Info!$D$5,"(ÖNV)","098141",L1711),Adat!$E:$E)*-1</f>
        <v>0</v>
      </c>
      <c r="I1788" s="72">
        <f>SUMIF(Adat!$AH:$AH,CONCATENATE(Info!$D$5,"(ÁIG)","098141",L1711),Adat!$E:$E)*-1</f>
        <v>0</v>
      </c>
    </row>
    <row r="1789" spans="2:9" x14ac:dyDescent="0.2">
      <c r="B1789" s="160">
        <v>76</v>
      </c>
      <c r="C1789" s="305" t="s">
        <v>1423</v>
      </c>
      <c r="D1789" s="82" t="s">
        <v>1424</v>
      </c>
      <c r="E1789" s="72">
        <f>SUMIF(Adat!$AG:$AG,CONCATENATE(61,Info!$D$5,"098151",L1711),Adat!$E:$E)*-1</f>
        <v>0</v>
      </c>
      <c r="F1789" s="72">
        <f>SUMIF(Adat!$AG:$AG,CONCATENATE(60,Info!$D$5,"098151",L1711),Adat!$E:$E)*-1+E1789</f>
        <v>0</v>
      </c>
      <c r="G1789" s="72">
        <f>SUMIF(Adat!$AH:$AH,CONCATENATE(Info!$D$5,"(KÖT)","098151",L1711),Adat!$E:$E)*-1</f>
        <v>0</v>
      </c>
      <c r="H1789" s="72">
        <f>SUMIF(Adat!$AH:$AH,CONCATENATE(Info!$D$5,"(ÖNV)","098151",L1711),Adat!$E:$E)*-1</f>
        <v>0</v>
      </c>
      <c r="I1789" s="72">
        <f>SUMIF(Adat!$AH:$AH,CONCATENATE(Info!$D$5,"(ÁIG)","098151",L1711),Adat!$E:$E)*-1</f>
        <v>0</v>
      </c>
    </row>
    <row r="1790" spans="2:9" x14ac:dyDescent="0.25">
      <c r="B1790" s="160">
        <v>77</v>
      </c>
      <c r="C1790" s="305" t="s">
        <v>1425</v>
      </c>
      <c r="D1790" s="84" t="s">
        <v>1426</v>
      </c>
      <c r="E1790" s="72">
        <f>SUMIF(Adat!$AG:$AG,CONCATENATE(61,Info!$D$5,"098171",L1711),Adat!$E:$E)*-1</f>
        <v>0</v>
      </c>
      <c r="F1790" s="72">
        <f>SUMIF(Adat!$AG:$AG,CONCATENATE(60,Info!$D$5,"098171",L1711),Adat!$E:$E)*-1+E1790</f>
        <v>0</v>
      </c>
      <c r="G1790" s="72">
        <f>SUMIF(Adat!$AH:$AH,CONCATENATE(Info!$D$5,"(KÖT)","098171",L1711),Adat!$E:$E)*-1</f>
        <v>0</v>
      </c>
      <c r="H1790" s="72">
        <f>SUMIF(Adat!$AH:$AH,CONCATENATE(Info!$D$5,"(ÖNV)","098171",L1711),Adat!$E:$E)*-1</f>
        <v>0</v>
      </c>
      <c r="I1790" s="72">
        <f>SUMIF(Adat!$AH:$AH,CONCATENATE(Info!$D$5,"(ÁIG)","098171",L1711),Adat!$E:$E)*-1</f>
        <v>0</v>
      </c>
    </row>
    <row r="1791" spans="2:9" x14ac:dyDescent="0.25">
      <c r="B1791" s="160">
        <v>78</v>
      </c>
      <c r="C1791" s="154" t="s">
        <v>1427</v>
      </c>
      <c r="D1791" s="85" t="s">
        <v>577</v>
      </c>
      <c r="E1791" s="71">
        <f>SUM(E1792:E1796)</f>
        <v>0</v>
      </c>
      <c r="F1791" s="71">
        <f t="shared" ref="F1791" si="192">SUM(F1792:F1796)</f>
        <v>0</v>
      </c>
      <c r="G1791" s="71">
        <f>SUM(G1792:G1796)</f>
        <v>0</v>
      </c>
      <c r="H1791" s="71">
        <f>SUM(H1792:H1796)</f>
        <v>0</v>
      </c>
      <c r="I1791" s="71">
        <f>SUM(I1792:I1796)</f>
        <v>0</v>
      </c>
    </row>
    <row r="1792" spans="2:9" x14ac:dyDescent="0.2">
      <c r="B1792" s="160">
        <v>79</v>
      </c>
      <c r="C1792" s="89" t="s">
        <v>1428</v>
      </c>
      <c r="D1792" s="82" t="s">
        <v>1429</v>
      </c>
      <c r="E1792" s="72">
        <f>SUMIF(Adat!$AG:$AG,CONCATENATE(61,Info!$D$5,"098211",L1711),Adat!$E:$E)*-1</f>
        <v>0</v>
      </c>
      <c r="F1792" s="72">
        <f>SUMIF(Adat!$AG:$AG,CONCATENATE(60,Info!$D$5,"098211",L1711),Adat!$E:$E)*-1+E1792</f>
        <v>0</v>
      </c>
      <c r="G1792" s="72">
        <f>SUMIF(Adat!$AH:$AH,CONCATENATE(Info!$D$5,"(KÖT)","098211",L1711),Adat!$E:$E)*-1</f>
        <v>0</v>
      </c>
      <c r="H1792" s="72">
        <f>SUMIF(Adat!$AH:$AH,CONCATENATE(Info!$D$5,"(ÖNV)","098211",L1711),Adat!$E:$E)*-1</f>
        <v>0</v>
      </c>
      <c r="I1792" s="72">
        <f>SUMIF(Adat!$AH:$AH,CONCATENATE(Info!$D$5,"(ÁIG)","098211",L1711),Adat!$E:$E)*-1</f>
        <v>0</v>
      </c>
    </row>
    <row r="1793" spans="2:12" x14ac:dyDescent="0.2">
      <c r="B1793" s="160">
        <v>80</v>
      </c>
      <c r="C1793" s="89" t="s">
        <v>1430</v>
      </c>
      <c r="D1793" s="82" t="s">
        <v>1431</v>
      </c>
      <c r="E1793" s="72">
        <f>SUMIF(Adat!$AG:$AG,CONCATENATE(61,Info!$D$5,"098221",L1711),Adat!$E:$E)*-1</f>
        <v>0</v>
      </c>
      <c r="F1793" s="72">
        <f>SUMIF(Adat!$AG:$AG,CONCATENATE(60,Info!$D$5,"098221",L1711),Adat!$E:$E)*-1+E1793</f>
        <v>0</v>
      </c>
      <c r="G1793" s="72">
        <f>SUMIF(Adat!$AH:$AH,CONCATENATE(Info!$D$5,"(KÖT)","098221",L1711),Adat!$E:$E)*-1</f>
        <v>0</v>
      </c>
      <c r="H1793" s="72">
        <f>SUMIF(Adat!$AH:$AH,CONCATENATE(Info!$D$5,"(ÖNV)","098221",L1711),Adat!$E:$E)*-1</f>
        <v>0</v>
      </c>
      <c r="I1793" s="72">
        <f>SUMIF(Adat!$AH:$AH,CONCATENATE(Info!$D$5,"(ÁIG)","098221",L1711),Adat!$E:$E)*-1</f>
        <v>0</v>
      </c>
    </row>
    <row r="1794" spans="2:12" x14ac:dyDescent="0.2">
      <c r="B1794" s="160">
        <v>81</v>
      </c>
      <c r="C1794" s="89" t="s">
        <v>1432</v>
      </c>
      <c r="D1794" s="82" t="s">
        <v>1433</v>
      </c>
      <c r="E1794" s="72">
        <f>SUMIF(Adat!$AG:$AG,CONCATENATE(61,Info!$D$5,"098231",L1711),Adat!$E:$E)*-1</f>
        <v>0</v>
      </c>
      <c r="F1794" s="72">
        <f>SUMIF(Adat!$AG:$AG,CONCATENATE(60,Info!$D$5,"098231",L1711),Adat!$E:$E)*-1+E1794</f>
        <v>0</v>
      </c>
      <c r="G1794" s="72">
        <f>SUMIF(Adat!$AH:$AH,CONCATENATE(Info!$D$5,"(KÖT)","098231",L1711),Adat!$E:$E)*-1</f>
        <v>0</v>
      </c>
      <c r="H1794" s="72">
        <f>SUMIF(Adat!$AH:$AH,CONCATENATE(Info!$D$5,"(ÖNV)","098231",L1711),Adat!$E:$E)*-1</f>
        <v>0</v>
      </c>
      <c r="I1794" s="72">
        <f>SUMIF(Adat!$AH:$AH,CONCATENATE(Info!$D$5,"(ÁIG)","098231",L1711),Adat!$E:$E)*-1</f>
        <v>0</v>
      </c>
    </row>
    <row r="1795" spans="2:12" x14ac:dyDescent="0.2">
      <c r="B1795" s="160">
        <v>82</v>
      </c>
      <c r="C1795" s="89" t="s">
        <v>1434</v>
      </c>
      <c r="D1795" s="82" t="s">
        <v>1435</v>
      </c>
      <c r="E1795" s="72">
        <f>SUMIF(Adat!$AG:$AG,CONCATENATE(61,Info!$D$5,"098241",L1711),Adat!$E:$E)*-1</f>
        <v>0</v>
      </c>
      <c r="F1795" s="72">
        <f>SUMIF(Adat!$AG:$AG,CONCATENATE(60,Info!$D$5,"098241",L1711),Adat!$E:$E)*-1+E1795</f>
        <v>0</v>
      </c>
      <c r="G1795" s="72">
        <f>SUMIF(Adat!$AH:$AH,CONCATENATE(Info!$D$5,"(KÖT)","098241",L1711),Adat!$E:$E)*-1</f>
        <v>0</v>
      </c>
      <c r="H1795" s="72">
        <f>SUMIF(Adat!$AH:$AH,CONCATENATE(Info!$D$5,"(ÖNV)","098241",L1711),Adat!$E:$E)*-1</f>
        <v>0</v>
      </c>
      <c r="I1795" s="72">
        <f>SUMIF(Adat!$AH:$AH,CONCATENATE(Info!$D$5,"(ÁIG)","098241",L1711),Adat!$E:$E)*-1</f>
        <v>0</v>
      </c>
    </row>
    <row r="1796" spans="2:12" s="42" customFormat="1" x14ac:dyDescent="0.2">
      <c r="B1796" s="160">
        <v>83</v>
      </c>
      <c r="C1796" s="89" t="s">
        <v>1436</v>
      </c>
      <c r="D1796" s="84" t="s">
        <v>1437</v>
      </c>
      <c r="E1796" s="72">
        <f>SUMIF(Adat!$AG:$AG,CONCATENATE(61,Info!$D$5,"098251",L1711),Adat!$E:$E)*-1</f>
        <v>0</v>
      </c>
      <c r="F1796" s="72">
        <f>SUMIF(Adat!$AG:$AG,CONCATENATE(60,Info!$D$5,"098251",L1711),Adat!$E:$E)*-1+E1796</f>
        <v>0</v>
      </c>
      <c r="G1796" s="72">
        <f>SUMIF(Adat!$AH:$AH,CONCATENATE(Info!$D$5,"(KÖT)","098251",L1711),Adat!$E:$E)*-1</f>
        <v>0</v>
      </c>
      <c r="H1796" s="72">
        <f>SUMIF(Adat!$AH:$AH,CONCATENATE(Info!$D$5,"(ÖNV)","098251",L1711),Adat!$E:$E)*-1</f>
        <v>0</v>
      </c>
      <c r="I1796" s="72">
        <f>SUMIF(Adat!$AH:$AH,CONCATENATE(Info!$D$5,"(ÁIG)","098251",L1711),Adat!$E:$E)*-1</f>
        <v>0</v>
      </c>
    </row>
    <row r="1797" spans="2:12" s="42" customFormat="1" x14ac:dyDescent="0.2">
      <c r="B1797" s="160">
        <v>84</v>
      </c>
      <c r="C1797" s="309" t="s">
        <v>1438</v>
      </c>
      <c r="D1797" s="85" t="s">
        <v>1439</v>
      </c>
      <c r="E1797" s="71">
        <f>SUMIF(Adat!$AG:$AG,CONCATENATE(61,Info!$D$5,"09831",L1711),Adat!$E:$E)*-1</f>
        <v>0</v>
      </c>
      <c r="F1797" s="71">
        <f>SUMIF(Adat!$AG:$AG,CONCATENATE(60,Info!$D$5,"09831",L1711),Adat!$E:$E)*-1+E1797</f>
        <v>0</v>
      </c>
      <c r="G1797" s="71">
        <f>SUMIF(Adat!$AH:$AH,CONCATENATE(Info!$D$5,"(KÖT)","09831",L1711),Adat!$E:$E)*-1</f>
        <v>0</v>
      </c>
      <c r="H1797" s="71">
        <f>SUMIF(Adat!$AH:$AH,CONCATENATE(Info!$D$5,"(ÖNV)","09831",L1711),Adat!$E:$E)*-1</f>
        <v>0</v>
      </c>
      <c r="I1797" s="71">
        <f>SUMIF(Adat!$AH:$AH,CONCATENATE(Info!$D$5,"(ÁIG)","09831",L1711),Adat!$E:$E)*-1</f>
        <v>0</v>
      </c>
    </row>
    <row r="1798" spans="2:12" s="42" customFormat="1" x14ac:dyDescent="0.25">
      <c r="B1798" s="160">
        <v>85</v>
      </c>
      <c r="C1798" s="154" t="s">
        <v>1440</v>
      </c>
      <c r="D1798" s="85" t="s">
        <v>1441</v>
      </c>
      <c r="E1798" s="71">
        <f>SUMIF(Adat!$AG:$AG,CONCATENATE(61,Info!$D$5,"09841",L1711),Adat!$E:$E)*-1</f>
        <v>0</v>
      </c>
      <c r="F1798" s="71">
        <f>SUMIF(Adat!$AG:$AG,CONCATENATE(60,Info!$D$5,"09841",L1711),Adat!$E:$E)*-1+E1798</f>
        <v>0</v>
      </c>
      <c r="G1798" s="71">
        <f>SUMIF(Adat!$AH:$AH,CONCATENATE(Info!$D$5,"(KÖT)","09841",L1711),Adat!$E:$E)*-1</f>
        <v>0</v>
      </c>
      <c r="H1798" s="71">
        <f>SUMIF(Adat!$AH:$AH,CONCATENATE(Info!$D$5,"(ÖNV)","09841",L1711),Adat!$E:$E)*-1</f>
        <v>0</v>
      </c>
      <c r="I1798" s="71">
        <f>SUMIF(Adat!$AH:$AH,CONCATENATE(Info!$D$5,"(ÁIG)","09841",L1711),Adat!$E:$E)*-1</f>
        <v>0</v>
      </c>
    </row>
    <row r="1799" spans="2:12" s="42" customFormat="1" x14ac:dyDescent="0.25">
      <c r="B1799" s="160">
        <v>86</v>
      </c>
      <c r="C1799" s="154" t="s">
        <v>358</v>
      </c>
      <c r="D1799" s="87" t="s">
        <v>1442</v>
      </c>
      <c r="E1799" s="71">
        <f>+E1775+E1779+E1784+E1787+E1791+E1798+E1797</f>
        <v>0</v>
      </c>
      <c r="F1799" s="71">
        <f t="shared" ref="F1799" si="193">+F1775+F1779+F1784+F1787+F1791+F1798+F1797</f>
        <v>0</v>
      </c>
      <c r="G1799" s="71">
        <f>+G1775+G1779+G1784+G1787+G1791+G1798+G1797</f>
        <v>0</v>
      </c>
      <c r="H1799" s="71">
        <f>+H1775+H1779+H1784+H1787+H1791+H1798+H1797</f>
        <v>0</v>
      </c>
      <c r="I1799" s="71">
        <f>+I1775+I1779+I1784+I1787+I1791+I1798+I1797</f>
        <v>0</v>
      </c>
    </row>
    <row r="1800" spans="2:12" s="42" customFormat="1" x14ac:dyDescent="0.25">
      <c r="B1800" s="160">
        <v>87</v>
      </c>
      <c r="C1800" s="154" t="s">
        <v>364</v>
      </c>
      <c r="D1800" s="87" t="s">
        <v>1497</v>
      </c>
      <c r="E1800" s="71">
        <f>+E1774+E1799</f>
        <v>0</v>
      </c>
      <c r="F1800" s="71">
        <f t="shared" ref="F1800" si="194">+F1774+F1799</f>
        <v>0</v>
      </c>
      <c r="G1800" s="71">
        <f>+G1774+G1799</f>
        <v>0</v>
      </c>
      <c r="H1800" s="71">
        <f>+H1774+H1799</f>
        <v>0</v>
      </c>
      <c r="I1800" s="71">
        <f>+I1774+I1799</f>
        <v>0</v>
      </c>
    </row>
    <row r="1801" spans="2:12" s="38" customFormat="1" ht="15.75" x14ac:dyDescent="0.25">
      <c r="C1801" s="156"/>
      <c r="E1801" s="140"/>
      <c r="F1801" s="140"/>
      <c r="G1801" s="140"/>
      <c r="H1801" s="140"/>
      <c r="I1801" s="140"/>
    </row>
    <row r="1802" spans="2:12" s="10" customFormat="1" ht="15.75" customHeight="1" x14ac:dyDescent="0.25">
      <c r="B1802" s="201" t="str">
        <f>CONCATENATE("26. Kiadási jogcímek"," - ",L1802," részletező")</f>
        <v>26. Kiadási jogcímek -  részletező</v>
      </c>
      <c r="C1802" s="101"/>
      <c r="D1802" s="101"/>
      <c r="E1802" s="101"/>
      <c r="F1802" s="101"/>
      <c r="G1802" s="198"/>
      <c r="H1802" s="198"/>
      <c r="I1802" s="198"/>
      <c r="L1802" s="384"/>
    </row>
    <row r="1803" spans="2:12" s="38" customFormat="1" ht="15.75" x14ac:dyDescent="0.25">
      <c r="C1803" s="156"/>
      <c r="E1803" s="140"/>
      <c r="F1803" s="140"/>
      <c r="G1803" s="140"/>
      <c r="H1803" s="140"/>
      <c r="I1803" s="140"/>
    </row>
    <row r="1804" spans="2:12" s="40" customFormat="1" x14ac:dyDescent="0.25">
      <c r="B1804" s="77"/>
      <c r="C1804" s="77" t="s">
        <v>350</v>
      </c>
      <c r="D1804" s="77" t="s">
        <v>351</v>
      </c>
      <c r="E1804" s="77" t="s">
        <v>470</v>
      </c>
      <c r="F1804" s="77" t="s">
        <v>471</v>
      </c>
      <c r="G1804" s="77" t="s">
        <v>44</v>
      </c>
      <c r="H1804" s="77" t="s">
        <v>42</v>
      </c>
      <c r="I1804" s="77" t="s">
        <v>511</v>
      </c>
    </row>
    <row r="1805" spans="2:12" s="41" customFormat="1" ht="38.25" x14ac:dyDescent="0.25">
      <c r="B1805" s="160">
        <v>1</v>
      </c>
      <c r="C1805" s="154" t="s">
        <v>593</v>
      </c>
      <c r="D1805" s="154" t="s">
        <v>488</v>
      </c>
      <c r="E1805" s="163" t="str">
        <f>CONCATENATE(PAR!$H$3," évi
eredeti 
előirányzat")</f>
        <v>2025. évi
eredeti 
előirányzat</v>
      </c>
      <c r="F1805" s="163" t="str">
        <f>CONCATENATE(PAR!$H$3," évi
módosított 
előirányzat")</f>
        <v>2025. évi
módosított 
előirányzat</v>
      </c>
      <c r="G1805" s="69" t="s">
        <v>666</v>
      </c>
      <c r="H1805" s="69" t="s">
        <v>667</v>
      </c>
      <c r="I1805" s="69" t="s">
        <v>668</v>
      </c>
    </row>
    <row r="1806" spans="2:12" s="42" customFormat="1" x14ac:dyDescent="0.25">
      <c r="B1806" s="160">
        <v>2</v>
      </c>
      <c r="C1806" s="78" t="s">
        <v>352</v>
      </c>
      <c r="D1806" s="92" t="s">
        <v>2663</v>
      </c>
      <c r="E1806" s="71">
        <f>SUM(E1807:E1812)</f>
        <v>0</v>
      </c>
      <c r="F1806" s="71">
        <f>SUM(F1807:F1812)</f>
        <v>0</v>
      </c>
      <c r="G1806" s="71">
        <f>SUM(G1807:G1812)</f>
        <v>0</v>
      </c>
      <c r="H1806" s="71">
        <f>+H1807+H1808+H1809+H1810+H1811+H1812</f>
        <v>0</v>
      </c>
      <c r="I1806" s="71">
        <f>+I1807+I1808+I1809+I1810+I1811+I1812</f>
        <v>0</v>
      </c>
    </row>
    <row r="1807" spans="2:12" x14ac:dyDescent="0.25">
      <c r="B1807" s="160">
        <v>3</v>
      </c>
      <c r="C1807" s="305" t="s">
        <v>315</v>
      </c>
      <c r="D1807" s="161" t="s">
        <v>342</v>
      </c>
      <c r="E1807" s="72">
        <f>SUMIF(Adat!$AI:$AI,CONCATENATE(61,Info!$D$5,"051",L1802),Adat!$E:$E)</f>
        <v>0</v>
      </c>
      <c r="F1807" s="72">
        <f>SUMIF(Adat!$AI:$AI,CONCATENATE(60,Info!$D$5,"051",L1802),Adat!$E:$E)+E1807</f>
        <v>0</v>
      </c>
      <c r="G1807" s="72">
        <f>SUMIF(Adat!$AJ:$AJ,CONCATENATE(Info!$D$5,"051","(KÖT)",L1802),Adat!$E:$E)</f>
        <v>0</v>
      </c>
      <c r="H1807" s="72">
        <f>SUMIF(Adat!$AJ:$AJ,CONCATENATE(Info!$D$5,"051","(ÖNV)",L1802),Adat!$E:$E)</f>
        <v>0</v>
      </c>
      <c r="I1807" s="72">
        <f>SUMIF(Adat!$AJ:$AJ,CONCATENATE(Info!$D$5,"051","(ÁIG)",L1802),Adat!$E:$E)</f>
        <v>0</v>
      </c>
    </row>
    <row r="1808" spans="2:12" x14ac:dyDescent="0.25">
      <c r="B1808" s="160">
        <v>4</v>
      </c>
      <c r="C1808" s="305" t="s">
        <v>317</v>
      </c>
      <c r="D1808" s="161" t="s">
        <v>395</v>
      </c>
      <c r="E1808" s="72">
        <f>SUMIF(Adat!$AI:$AI,CONCATENATE(61,Info!$D$5,"052",L1802),Adat!$E:$E)</f>
        <v>0</v>
      </c>
      <c r="F1808" s="72">
        <f>SUMIF(Adat!$AI:$AI,CONCATENATE(60,Info!$D$5,"052",L1802),Adat!$E:$E)+E1808</f>
        <v>0</v>
      </c>
      <c r="G1808" s="72">
        <f>SUMIF(Adat!$AJ:$AJ,CONCATENATE(Info!$D$5,"052","(KÖT)",L1802),Adat!$E:$E)</f>
        <v>0</v>
      </c>
      <c r="H1808" s="72">
        <f>SUMIF(Adat!$AJ:$AJ,CONCATENATE(Info!$D$5,"052","(ÖNV)",L1802),Adat!$E:$E)</f>
        <v>0</v>
      </c>
      <c r="I1808" s="72">
        <f>SUMIF(Adat!$AJ:$AJ,CONCATENATE(Info!$D$5,"052","(ÁIG)",L1802),Adat!$E:$E)</f>
        <v>0</v>
      </c>
    </row>
    <row r="1809" spans="2:9" x14ac:dyDescent="0.25">
      <c r="B1809" s="160">
        <v>5</v>
      </c>
      <c r="C1809" s="305" t="s">
        <v>4</v>
      </c>
      <c r="D1809" s="161" t="s">
        <v>344</v>
      </c>
      <c r="E1809" s="72">
        <f>SUMIF(Adat!$AI:$AI,CONCATENATE(61,Info!$D$5,"053",L1802),Adat!$E:$E)</f>
        <v>0</v>
      </c>
      <c r="F1809" s="72">
        <f>SUMIF(Adat!$AI:$AI,CONCATENATE(60,Info!$D$5,"053",L1802),Adat!$E:$E)+E1809</f>
        <v>0</v>
      </c>
      <c r="G1809" s="72">
        <f>SUMIF(Adat!$AJ:$AJ,CONCATENATE(Info!$D$5,"053","(KÖT)",L1802),Adat!$E:$E)</f>
        <v>0</v>
      </c>
      <c r="H1809" s="72">
        <f>SUMIF(Adat!$AJ:$AJ,CONCATENATE(Info!$D$5,"053","(ÖNV)",L1802),Adat!$E:$E)</f>
        <v>0</v>
      </c>
      <c r="I1809" s="72">
        <f>SUMIF(Adat!$AJ:$AJ,CONCATENATE(Info!$D$5,"053","(ÁIG)",L1802),Adat!$E:$E)</f>
        <v>0</v>
      </c>
    </row>
    <row r="1810" spans="2:9" x14ac:dyDescent="0.25">
      <c r="B1810" s="160">
        <v>6</v>
      </c>
      <c r="C1810" s="305" t="s">
        <v>6</v>
      </c>
      <c r="D1810" s="161" t="s">
        <v>345</v>
      </c>
      <c r="E1810" s="72">
        <f>SUMIF(Adat!$AI:$AI,CONCATENATE(61,Info!$D$5,"054",L1802),Adat!$E:$E)</f>
        <v>0</v>
      </c>
      <c r="F1810" s="72">
        <f>SUMIF(Adat!$AI:$AI,CONCATENATE(60,Info!$D$5,"054",L1802),Adat!$E:$E)+E1810</f>
        <v>0</v>
      </c>
      <c r="G1810" s="72">
        <f>SUMIF(Adat!$AJ:$AJ,CONCATENATE(Info!$D$5,"054","(KÖT)",L1802),Adat!$E:$E)</f>
        <v>0</v>
      </c>
      <c r="H1810" s="72">
        <f>SUMIF(Adat!$AJ:$AJ,CONCATENATE(Info!$D$5,"054","(ÖNV)",L1802),Adat!$E:$E)</f>
        <v>0</v>
      </c>
      <c r="I1810" s="72">
        <f>SUMIF(Adat!$AJ:$AJ,CONCATENATE(Info!$D$5,"054","(ÁIG)",L1802),Adat!$E:$E)</f>
        <v>0</v>
      </c>
    </row>
    <row r="1811" spans="2:9" x14ac:dyDescent="0.25">
      <c r="B1811" s="160">
        <v>7</v>
      </c>
      <c r="C1811" s="305" t="s">
        <v>8</v>
      </c>
      <c r="D1811" s="161" t="s">
        <v>321</v>
      </c>
      <c r="E1811" s="72">
        <f>SUMIF(Adat!$AI:$AI,CONCATENATE(61,Info!$D$5,"055",L1802),Adat!$E:$E)-E1812</f>
        <v>0</v>
      </c>
      <c r="F1811" s="72">
        <f>SUMIF(Adat!$AI:$AI,CONCATENATE(60,Info!$D$5,"055",L1802),Adat!$E:$E)+E1811-F1812+E1812</f>
        <v>0</v>
      </c>
      <c r="G1811" s="72">
        <f>SUMIF(Adat!$AJ:$AJ,CONCATENATE(Info!$D$5,"055","(KÖT)",L1802),Adat!$E:$E)-G1812</f>
        <v>0</v>
      </c>
      <c r="H1811" s="72">
        <f>SUMIF(Adat!$AJ:$AJ,CONCATENATE(Info!$D$5,"055","(ÖNV)",L1802),Adat!$E:$E)-H1812</f>
        <v>0</v>
      </c>
      <c r="I1811" s="72">
        <f>SUMIF(Adat!$AJ:$AJ,CONCATENATE(Info!$D$5,"055","(ÁIG)",L1802),Adat!$E:$E)-I1812</f>
        <v>0</v>
      </c>
    </row>
    <row r="1812" spans="2:9" x14ac:dyDescent="0.25">
      <c r="B1812" s="160">
        <v>8</v>
      </c>
      <c r="C1812" s="305" t="s">
        <v>1283</v>
      </c>
      <c r="D1812" s="161" t="s">
        <v>397</v>
      </c>
      <c r="E1812" s="72">
        <f>SUMIF(Adat!$AG:$AG,CONCATENATE(61,Info!$D$5,"055131",L1802),Adat!$E:$E)</f>
        <v>0</v>
      </c>
      <c r="F1812" s="72">
        <f>SUMIF(Adat!$AG:$AG,CONCATENATE(60,Info!$D$5,"055131",L1802),Adat!$E:$E)+E1812</f>
        <v>0</v>
      </c>
      <c r="G1812" s="72">
        <f>SUMIF(Adat!$AH:$AH,CONCATENATE(Info!$D$5,"(KÖT)","055131",L1802),Adat!$E:$E)</f>
        <v>0</v>
      </c>
      <c r="H1812" s="72">
        <f>SUMIF(Adat!$AH:$AH,CONCATENATE(Info!$D$5,"(ÖNV)","055131",L1802),Adat!$E:$E)*-1</f>
        <v>0</v>
      </c>
      <c r="I1812" s="72">
        <f>SUMIF(Adat!$AH:$AH,CONCATENATE(Info!$D$5,"(ÁIG)","055131",L1802),Adat!$E:$E)*-1</f>
        <v>0</v>
      </c>
    </row>
    <row r="1813" spans="2:9" x14ac:dyDescent="0.25">
      <c r="B1813" s="160">
        <v>9</v>
      </c>
      <c r="C1813" s="305" t="s">
        <v>1283</v>
      </c>
      <c r="D1813" s="93" t="s">
        <v>1445</v>
      </c>
      <c r="E1813" s="72">
        <v>0</v>
      </c>
      <c r="F1813" s="72">
        <f>SUM(G1813:I1813)</f>
        <v>0</v>
      </c>
      <c r="G1813" s="72">
        <v>0</v>
      </c>
      <c r="H1813" s="72">
        <v>0</v>
      </c>
      <c r="I1813" s="72">
        <v>0</v>
      </c>
    </row>
    <row r="1814" spans="2:9" x14ac:dyDescent="0.25">
      <c r="B1814" s="160">
        <v>10</v>
      </c>
      <c r="C1814" s="305" t="s">
        <v>1283</v>
      </c>
      <c r="D1814" s="93" t="s">
        <v>1446</v>
      </c>
      <c r="E1814" s="72">
        <v>0</v>
      </c>
      <c r="F1814" s="72">
        <f>SUM(G1814:I1814)</f>
        <v>0</v>
      </c>
      <c r="G1814" s="72">
        <v>0</v>
      </c>
      <c r="H1814" s="72">
        <v>0</v>
      </c>
      <c r="I1814" s="72">
        <v>0</v>
      </c>
    </row>
    <row r="1815" spans="2:9" x14ac:dyDescent="0.25">
      <c r="B1815" s="160">
        <v>11</v>
      </c>
      <c r="C1815" s="78" t="s">
        <v>358</v>
      </c>
      <c r="D1815" s="92" t="s">
        <v>2664</v>
      </c>
      <c r="E1815" s="71">
        <f>+E1816+E1818+E1820</f>
        <v>0</v>
      </c>
      <c r="F1815" s="71">
        <f>+F1816+F1818+F1820</f>
        <v>0</v>
      </c>
      <c r="G1815" s="71">
        <f>+G1816+G1818+G1820</f>
        <v>0</v>
      </c>
      <c r="H1815" s="71">
        <f>+H1816+H1818+H1820</f>
        <v>0</v>
      </c>
      <c r="I1815" s="71">
        <f>+I1816+I1818+I1820</f>
        <v>0</v>
      </c>
    </row>
    <row r="1816" spans="2:9" x14ac:dyDescent="0.25">
      <c r="B1816" s="160">
        <v>12</v>
      </c>
      <c r="C1816" s="305" t="s">
        <v>10</v>
      </c>
      <c r="D1816" s="317" t="s">
        <v>322</v>
      </c>
      <c r="E1816" s="72">
        <f>SUMIF(Adat!$AI:$AI,CONCATENATE(61,Info!$D$5,"056",L1802),Adat!$E:$E)</f>
        <v>0</v>
      </c>
      <c r="F1816" s="72">
        <f>SUMIF(Adat!$AI:$AI,CONCATENATE(60,Info!$D$5,"056",L1802),Adat!$E:$E)+E1816</f>
        <v>0</v>
      </c>
      <c r="G1816" s="72">
        <f>SUMIF(Adat!$AJ:$AJ,CONCATENATE(Info!$D$5,"056","(KÖT)",L1802),Adat!$E:$E)</f>
        <v>0</v>
      </c>
      <c r="H1816" s="72">
        <f>SUMIF(Adat!$AJ:$AJ,CONCATENATE(Info!$D$5,"056","(ÖNV)",L1802),Adat!$E:$E)</f>
        <v>0</v>
      </c>
      <c r="I1816" s="72">
        <f>SUMIF(Adat!$AJ:$AJ,CONCATENATE(Info!$D$5,"056","(ÁIG)",L1802),Adat!$E:$E)</f>
        <v>0</v>
      </c>
    </row>
    <row r="1817" spans="2:9" x14ac:dyDescent="0.25">
      <c r="B1817" s="160">
        <v>13</v>
      </c>
      <c r="C1817" s="305" t="s">
        <v>10</v>
      </c>
      <c r="D1817" s="317" t="s">
        <v>1448</v>
      </c>
      <c r="E1817" s="72">
        <v>0</v>
      </c>
      <c r="F1817" s="72">
        <f>SUM(G1817:I1817)</f>
        <v>0</v>
      </c>
      <c r="G1817" s="72">
        <v>0</v>
      </c>
      <c r="H1817" s="72">
        <v>0</v>
      </c>
      <c r="I1817" s="72">
        <v>0</v>
      </c>
    </row>
    <row r="1818" spans="2:9" x14ac:dyDescent="0.25">
      <c r="B1818" s="160">
        <v>14</v>
      </c>
      <c r="C1818" s="305" t="s">
        <v>12</v>
      </c>
      <c r="D1818" s="317" t="s">
        <v>323</v>
      </c>
      <c r="E1818" s="72">
        <f>SUMIF(Adat!$AI:$AI,CONCATENATE(61,Info!$D$5,"057",L1802),Adat!$E:$E)</f>
        <v>0</v>
      </c>
      <c r="F1818" s="72">
        <f>SUMIF(Adat!$AI:$AI,CONCATENATE(60,Info!$D$5,"057",L1802),Adat!$E:$E)+E1818</f>
        <v>0</v>
      </c>
      <c r="G1818" s="72">
        <f>SUMIF(Adat!$AJ:$AJ,CONCATENATE(Info!$D$5,"057","(KÖT)",L1802),Adat!$E:$E)</f>
        <v>0</v>
      </c>
      <c r="H1818" s="72">
        <f>SUMIF(Adat!$AJ:$AJ,CONCATENATE(Info!$D$5,"057","(ÖNV)",L1802),Adat!$E:$E)</f>
        <v>0</v>
      </c>
      <c r="I1818" s="72">
        <f>SUMIF(Adat!$AJ:$AJ,CONCATENATE(Info!$D$5,"057","(ÁIG)",L1802),Adat!$E:$E)</f>
        <v>0</v>
      </c>
    </row>
    <row r="1819" spans="2:9" x14ac:dyDescent="0.25">
      <c r="B1819" s="160">
        <v>15</v>
      </c>
      <c r="C1819" s="305" t="s">
        <v>12</v>
      </c>
      <c r="D1819" s="317" t="s">
        <v>1449</v>
      </c>
      <c r="E1819" s="72">
        <v>0</v>
      </c>
      <c r="F1819" s="72">
        <f>SUM(G1819:I1819)</f>
        <v>0</v>
      </c>
      <c r="G1819" s="72">
        <v>0</v>
      </c>
      <c r="H1819" s="72">
        <v>0</v>
      </c>
      <c r="I1819" s="72">
        <v>0</v>
      </c>
    </row>
    <row r="1820" spans="2:9" x14ac:dyDescent="0.25">
      <c r="B1820" s="160">
        <v>16</v>
      </c>
      <c r="C1820" s="305" t="s">
        <v>15</v>
      </c>
      <c r="D1820" s="317" t="s">
        <v>324</v>
      </c>
      <c r="E1820" s="72">
        <f>SUMIF(Adat!$AI:$AI,CONCATENATE(61,Info!$D$5,"058",L1802),Adat!$E:$E)</f>
        <v>0</v>
      </c>
      <c r="F1820" s="72">
        <f>SUMIF(Adat!$AI:$AI,CONCATENATE(60,Info!$D$5,"058",L1802),Adat!$E:$E)+E1820</f>
        <v>0</v>
      </c>
      <c r="G1820" s="72">
        <f>SUMIF(Adat!$AJ:$AJ,CONCATENATE(Info!$D$5,"058","(KÖT)",L1802),Adat!$E:$E)</f>
        <v>0</v>
      </c>
      <c r="H1820" s="72">
        <f>SUMIF(Adat!$AJ:$AJ,CONCATENATE(Info!$D$5,"058","(ÖNV)",L1802),Adat!$E:$E)</f>
        <v>0</v>
      </c>
      <c r="I1820" s="72">
        <f>SUMIF(Adat!$AJ:$AJ,CONCATENATE(Info!$D$5,"058","(ÁIG)",L1802),Adat!$E:$E)</f>
        <v>0</v>
      </c>
    </row>
    <row r="1821" spans="2:9" x14ac:dyDescent="0.25">
      <c r="B1821" s="160">
        <v>17</v>
      </c>
      <c r="C1821" s="78" t="s">
        <v>364</v>
      </c>
      <c r="D1821" s="86" t="s">
        <v>402</v>
      </c>
      <c r="E1821" s="71">
        <f>+E1806+E1815</f>
        <v>0</v>
      </c>
      <c r="F1821" s="71">
        <f>+F1806+F1815</f>
        <v>0</v>
      </c>
      <c r="G1821" s="71">
        <f>+G1806+G1815</f>
        <v>0</v>
      </c>
      <c r="H1821" s="71">
        <f>+H1806+H1815</f>
        <v>0</v>
      </c>
      <c r="I1821" s="71">
        <f>+I1806+I1815</f>
        <v>0</v>
      </c>
    </row>
    <row r="1822" spans="2:9" x14ac:dyDescent="0.25">
      <c r="B1822" s="160">
        <v>18</v>
      </c>
      <c r="C1822" s="78" t="s">
        <v>403</v>
      </c>
      <c r="D1822" s="86" t="s">
        <v>1450</v>
      </c>
      <c r="E1822" s="71">
        <f>+E1823+E1824+E1825</f>
        <v>0</v>
      </c>
      <c r="F1822" s="71">
        <f>+F1823+F1824+F1825</f>
        <v>0</v>
      </c>
      <c r="G1822" s="71">
        <f>+G1823+G1824+G1825</f>
        <v>0</v>
      </c>
      <c r="H1822" s="71">
        <f>+H1823+H1824+H1825</f>
        <v>0</v>
      </c>
      <c r="I1822" s="71">
        <f>+I1823+I1824+I1825</f>
        <v>0</v>
      </c>
    </row>
    <row r="1823" spans="2:9" s="42" customFormat="1" x14ac:dyDescent="0.25">
      <c r="B1823" s="160">
        <v>19</v>
      </c>
      <c r="C1823" s="305" t="s">
        <v>1451</v>
      </c>
      <c r="D1823" s="161" t="s">
        <v>490</v>
      </c>
      <c r="E1823" s="72">
        <f>SUMIF(Adat!$AG:$AG,CONCATENATE(61,Info!$D$5,"0591111",L1802),Adat!$E:$E)</f>
        <v>0</v>
      </c>
      <c r="F1823" s="72">
        <f>SUMIF(Adat!$AG:$AG,CONCATENATE(60,Info!$D$5,"0591111",L1802),Adat!$E:$E)+E1823</f>
        <v>0</v>
      </c>
      <c r="G1823" s="72">
        <f>SUMIF(Adat!$AH:$AH,CONCATENATE(Info!$D$5,"(KÖT)","0591111",L1802),Adat!$E:$E)</f>
        <v>0</v>
      </c>
      <c r="H1823" s="72">
        <f>SUMIF(Adat!$AH:$AH,CONCATENATE(Info!$D$5,"(ÖNV)","0591111",L1802),Adat!$E:$E)</f>
        <v>0</v>
      </c>
      <c r="I1823" s="72">
        <f>SUMIF(Adat!$AH:$AH,CONCATENATE(Info!$D$5,"(ÁIG)","0591111",L1802),Adat!$E:$E)</f>
        <v>0</v>
      </c>
    </row>
    <row r="1824" spans="2:9" x14ac:dyDescent="0.25">
      <c r="B1824" s="160">
        <v>20</v>
      </c>
      <c r="C1824" s="305" t="s">
        <v>1453</v>
      </c>
      <c r="D1824" s="161" t="s">
        <v>406</v>
      </c>
      <c r="E1824" s="72">
        <f>SUMIF(Adat!$AG:$AG,CONCATENATE(61,Info!$D$5,"0591121",L1802),Adat!$E:$E)</f>
        <v>0</v>
      </c>
      <c r="F1824" s="72">
        <f>SUMIF(Adat!$AG:$AG,CONCATENATE(60,Info!$D$5,"0591121",L1802),Adat!$E:$E)+E1824</f>
        <v>0</v>
      </c>
      <c r="G1824" s="72">
        <f>SUMIF(Adat!$AH:$AH,CONCATENATE(Info!$D$5,"(KÖT)","0591121",L1802),Adat!$E:$E)</f>
        <v>0</v>
      </c>
      <c r="H1824" s="72">
        <f>SUMIF(Adat!$AH:$AH,CONCATENATE(Info!$D$5,"(ÖNV)","0591121",L1802),Adat!$E:$E)</f>
        <v>0</v>
      </c>
      <c r="I1824" s="72">
        <f>SUMIF(Adat!$AH:$AH,CONCATENATE(Info!$D$5,"(ÁIG)","0591121",L1802),Adat!$E:$E)</f>
        <v>0</v>
      </c>
    </row>
    <row r="1825" spans="2:18" x14ac:dyDescent="0.25">
      <c r="B1825" s="160">
        <v>21</v>
      </c>
      <c r="C1825" s="305" t="s">
        <v>1455</v>
      </c>
      <c r="D1825" s="161" t="s">
        <v>491</v>
      </c>
      <c r="E1825" s="72">
        <f>SUMIF(Adat!$AG:$AG,CONCATENATE(61,Info!$D$5,"0591131",L1802),Adat!$E:$E)</f>
        <v>0</v>
      </c>
      <c r="F1825" s="72">
        <f>SUMIF(Adat!$AG:$AG,CONCATENATE(60,Info!$D$5,"0591131",L1802),Adat!$E:$E)+E1825</f>
        <v>0</v>
      </c>
      <c r="G1825" s="72">
        <f>SUMIF(Adat!$AH:$AH,CONCATENATE(Info!$D$5,"(KÖT)","0591131",L1802),Adat!$E:$E)</f>
        <v>0</v>
      </c>
      <c r="H1825" s="72">
        <f>SUMIF(Adat!$AH:$AH,CONCATENATE(Info!$D$5,"(ÖNV)","0591131",L1802),Adat!$E:$E)</f>
        <v>0</v>
      </c>
      <c r="I1825" s="72">
        <f>SUMIF(Adat!$AH:$AH,CONCATENATE(Info!$D$5,"(ÁIG)","0591131",L1802),Adat!$E:$E)</f>
        <v>0</v>
      </c>
    </row>
    <row r="1826" spans="2:18" x14ac:dyDescent="0.25">
      <c r="B1826" s="160">
        <v>22</v>
      </c>
      <c r="C1826" s="78" t="s">
        <v>372</v>
      </c>
      <c r="D1826" s="86" t="s">
        <v>1457</v>
      </c>
      <c r="E1826" s="71">
        <f>+E1827+E1828+E1829+E1830+E1831+E1832</f>
        <v>0</v>
      </c>
      <c r="F1826" s="71">
        <f>+F1827+F1828+F1829+F1830+F1831+F1832</f>
        <v>0</v>
      </c>
      <c r="G1826" s="71">
        <f>+G1827+G1828+G1829+G1830+G1831+G1832</f>
        <v>0</v>
      </c>
      <c r="H1826" s="71">
        <f>+H1827+H1828+H1829+H1830+H1831+H1832</f>
        <v>0</v>
      </c>
      <c r="I1826" s="71">
        <f>+I1827+I1828+I1829+I1830+I1831+I1832</f>
        <v>0</v>
      </c>
    </row>
    <row r="1827" spans="2:18" x14ac:dyDescent="0.25">
      <c r="B1827" s="160">
        <v>23</v>
      </c>
      <c r="C1827" s="305" t="s">
        <v>1458</v>
      </c>
      <c r="D1827" s="161" t="s">
        <v>409</v>
      </c>
      <c r="E1827" s="72">
        <f>SUMIF(Adat!$AG:$AG,CONCATENATE(61,Info!$D$5,"0591211",L1802),Adat!$E:$E)</f>
        <v>0</v>
      </c>
      <c r="F1827" s="72">
        <f>SUMIF(Adat!$AG:$AG,CONCATENATE(60,Info!$D$5,"0591211",L1802),Adat!$E:$E)+E1827</f>
        <v>0</v>
      </c>
      <c r="G1827" s="72">
        <f>SUMIF(Adat!$AH:$AH,CONCATENATE(Info!$D$5,"(KÖT)","0591211",L1802),Adat!$E:$E)</f>
        <v>0</v>
      </c>
      <c r="H1827" s="72">
        <f>SUMIF(Adat!$AH:$AH,CONCATENATE(Info!$D$5,"(ÖNV)","0591211",L1802),Adat!$E:$E)</f>
        <v>0</v>
      </c>
      <c r="I1827" s="72">
        <f>SUMIF(Adat!$AH:$AH,CONCATENATE(Info!$D$5,"(ÁIG)","0591211",L1802),Adat!$E:$E)</f>
        <v>0</v>
      </c>
    </row>
    <row r="1828" spans="2:18" x14ac:dyDescent="0.25">
      <c r="B1828" s="160">
        <v>24</v>
      </c>
      <c r="C1828" s="305" t="s">
        <v>1460</v>
      </c>
      <c r="D1828" s="161" t="s">
        <v>410</v>
      </c>
      <c r="E1828" s="72">
        <f>SUMIF(Adat!$AG:$AG,CONCATENATE(61,Info!$D$5,"0591221",L1802),Adat!$E:$E)</f>
        <v>0</v>
      </c>
      <c r="F1828" s="72">
        <f>SUMIF(Adat!$AG:$AG,CONCATENATE(60,Info!$D$5,"0591221",L1802),Adat!$E:$E)+E1828</f>
        <v>0</v>
      </c>
      <c r="G1828" s="72">
        <f>SUMIF(Adat!$AH:$AH,CONCATENATE(Info!$D$5,"(KÖT)","0591221",L1802),Adat!$E:$E)</f>
        <v>0</v>
      </c>
      <c r="H1828" s="72">
        <f>SUMIF(Adat!$AH:$AH,CONCATENATE(Info!$D$5,"(ÖNV)","0591221",L1802),Adat!$E:$E)</f>
        <v>0</v>
      </c>
      <c r="I1828" s="72">
        <f>SUMIF(Adat!$AH:$AH,CONCATENATE(Info!$D$5,"(ÁIG)","0591221",L1802),Adat!$E:$E)</f>
        <v>0</v>
      </c>
    </row>
    <row r="1829" spans="2:18" x14ac:dyDescent="0.25">
      <c r="B1829" s="160">
        <v>25</v>
      </c>
      <c r="C1829" s="305" t="s">
        <v>1462</v>
      </c>
      <c r="D1829" s="161" t="s">
        <v>411</v>
      </c>
      <c r="E1829" s="72">
        <f>SUMIF(Adat!$AG:$AG,CONCATENATE(61,Info!$D$5,"0591231",L1802),Adat!$E:$E)</f>
        <v>0</v>
      </c>
      <c r="F1829" s="72">
        <f>SUMIF(Adat!$AG:$AG,CONCATENATE(60,Info!$D$5,"0591231",L1802),Adat!$E:$E)+E1829</f>
        <v>0</v>
      </c>
      <c r="G1829" s="72">
        <f>SUMIF(Adat!$AH:$AH,CONCATENATE(Info!$D$5,"(KÖT)","0591231",L1802),Adat!$E:$E)</f>
        <v>0</v>
      </c>
      <c r="H1829" s="72">
        <f>SUMIF(Adat!$AH:$AH,CONCATENATE(Info!$D$5,"(ÖNV)","0591231",L1802),Adat!$E:$E)</f>
        <v>0</v>
      </c>
      <c r="I1829" s="72">
        <f>SUMIF(Adat!$AH:$AH,CONCATENATE(Info!$D$5,"(ÁIG)","0591231",L1802),Adat!$E:$E)</f>
        <v>0</v>
      </c>
    </row>
    <row r="1830" spans="2:18" x14ac:dyDescent="0.25">
      <c r="B1830" s="160">
        <v>26</v>
      </c>
      <c r="C1830" s="305" t="s">
        <v>1464</v>
      </c>
      <c r="D1830" s="161" t="s">
        <v>492</v>
      </c>
      <c r="E1830" s="72">
        <f>SUMIF(Adat!$AG:$AG,CONCATENATE(61,Info!$D$5,"0591241",L1802),Adat!$E:$E)</f>
        <v>0</v>
      </c>
      <c r="F1830" s="72">
        <f>SUMIF(Adat!$AG:$AG,CONCATENATE(60,Info!$D$5,"0591241",L1802),Adat!$E:$E)+E1830</f>
        <v>0</v>
      </c>
      <c r="G1830" s="72">
        <f>SUMIF(Adat!$AH:$AH,CONCATENATE(Info!$D$5,"(KÖT)","0591241",L1802),Adat!$E:$E)</f>
        <v>0</v>
      </c>
      <c r="H1830" s="72">
        <f>SUMIF(Adat!$AH:$AH,CONCATENATE(Info!$D$5,"(ÖNV)","0591241",L1802),Adat!$E:$E)</f>
        <v>0</v>
      </c>
      <c r="I1830" s="72">
        <f>SUMIF(Adat!$AH:$AH,CONCATENATE(Info!$D$5,"(ÁIG)","0591241",L1802),Adat!$E:$E)</f>
        <v>0</v>
      </c>
    </row>
    <row r="1831" spans="2:18" x14ac:dyDescent="0.25">
      <c r="B1831" s="160">
        <v>27</v>
      </c>
      <c r="C1831" s="305" t="s">
        <v>1466</v>
      </c>
      <c r="D1831" s="161" t="s">
        <v>413</v>
      </c>
      <c r="E1831" s="72">
        <f>SUMIF(Adat!$AG:$AG,CONCATENATE(61,Info!$D$5,"0591251",L1802),Adat!$E:$E)</f>
        <v>0</v>
      </c>
      <c r="F1831" s="72">
        <f>SUMIF(Adat!$AG:$AG,CONCATENATE(60,Info!$D$5,"0591251",L1802),Adat!$E:$E)+E1831</f>
        <v>0</v>
      </c>
      <c r="G1831" s="72">
        <f>SUMIF(Adat!$AH:$AH,CONCATENATE(Info!$D$5,"(KÖT)","0591251",L1802),Adat!$E:$E)</f>
        <v>0</v>
      </c>
      <c r="H1831" s="72">
        <f>SUMIF(Adat!$AH:$AH,CONCATENATE(Info!$D$5,"(ÖNV)","0591251",L1802),Adat!$E:$E)</f>
        <v>0</v>
      </c>
      <c r="I1831" s="72">
        <f>SUMIF(Adat!$AH:$AH,CONCATENATE(Info!$D$5,"(ÁIG)","0591251",L1802),Adat!$E:$E)</f>
        <v>0</v>
      </c>
    </row>
    <row r="1832" spans="2:18" s="42" customFormat="1" x14ac:dyDescent="0.25">
      <c r="B1832" s="160">
        <v>28</v>
      </c>
      <c r="C1832" s="305" t="s">
        <v>1468</v>
      </c>
      <c r="D1832" s="161" t="s">
        <v>414</v>
      </c>
      <c r="E1832" s="72">
        <f>SUMIF(Adat!$AG:$AG,CONCATENATE(61,Info!$D$5,"0591261",L1802),Adat!$E:$E)</f>
        <v>0</v>
      </c>
      <c r="F1832" s="72">
        <f>SUMIF(Adat!$AG:$AG,CONCATENATE(60,Info!$D$5,"0591261",L1802),Adat!$E:$E)+E1832</f>
        <v>0</v>
      </c>
      <c r="G1832" s="72">
        <f>SUMIF(Adat!$AH:$AH,CONCATENATE(Info!$D$5,"(KÖT)","0591261",L1802),Adat!$E:$E)</f>
        <v>0</v>
      </c>
      <c r="H1832" s="72">
        <f>SUMIF(Adat!$AH:$AH,CONCATENATE(Info!$D$5,"(ÖNV)","0591261",L1802),Adat!$E:$E)</f>
        <v>0</v>
      </c>
      <c r="I1832" s="72">
        <f>SUMIF(Adat!$AH:$AH,CONCATENATE(Info!$D$5,"(ÁIG)","0591261",L1802),Adat!$E:$E)</f>
        <v>0</v>
      </c>
    </row>
    <row r="1833" spans="2:18" x14ac:dyDescent="0.25">
      <c r="B1833" s="160">
        <v>29</v>
      </c>
      <c r="C1833" s="78" t="s">
        <v>379</v>
      </c>
      <c r="D1833" s="86" t="s">
        <v>1470</v>
      </c>
      <c r="E1833" s="71">
        <f>+E1834+E1835+E1837+E1838+E1836</f>
        <v>0</v>
      </c>
      <c r="F1833" s="71">
        <f>+F1834+F1835+F1837+F1838+F1836</f>
        <v>0</v>
      </c>
      <c r="G1833" s="71">
        <f>+G1834+G1835+G1837+G1838+G1836</f>
        <v>0</v>
      </c>
      <c r="H1833" s="71">
        <f>+H1834+H1835+H1837+H1838+H1836</f>
        <v>0</v>
      </c>
      <c r="I1833" s="71">
        <f>+I1834+I1835+I1837+I1838+I1836</f>
        <v>0</v>
      </c>
      <c r="R1833" s="43"/>
    </row>
    <row r="1834" spans="2:18" x14ac:dyDescent="0.25">
      <c r="B1834" s="160">
        <v>30</v>
      </c>
      <c r="C1834" s="305" t="s">
        <v>1471</v>
      </c>
      <c r="D1834" s="161" t="s">
        <v>416</v>
      </c>
      <c r="E1834" s="72">
        <f>SUMIF(Adat!$AG:$AG,CONCATENATE(61,Info!$D$5,"059131",L1802),Adat!$E:$E)</f>
        <v>0</v>
      </c>
      <c r="F1834" s="72">
        <f>SUMIF(Adat!$AG:$AG,CONCATENATE(60,Info!$D$5,"059131",L1802),Adat!$E:$E)+E1834</f>
        <v>0</v>
      </c>
      <c r="G1834" s="72">
        <f>SUMIF(Adat!$AH:$AH,CONCATENATE(Info!$D$5,"(KÖT)","059131",L1802),Adat!$E:$E)</f>
        <v>0</v>
      </c>
      <c r="H1834" s="72">
        <f>SUMIF(Adat!$AH:$AH,CONCATENATE(Info!$D$5,"(ÖNV)","059131",L1802),Adat!$E:$E)</f>
        <v>0</v>
      </c>
      <c r="I1834" s="72">
        <f>SUMIF(Adat!$AH:$AH,CONCATENATE(Info!$D$5,"(ÁIG)","059131",L1802),Adat!$E:$E)</f>
        <v>0</v>
      </c>
    </row>
    <row r="1835" spans="2:18" x14ac:dyDescent="0.25">
      <c r="B1835" s="160">
        <v>31</v>
      </c>
      <c r="C1835" s="305" t="s">
        <v>1287</v>
      </c>
      <c r="D1835" s="161" t="s">
        <v>417</v>
      </c>
      <c r="E1835" s="72">
        <f>SUMIF(Adat!$AG:$AG,CONCATENATE(61,Info!$D$5,"059141",L1802),Adat!$E:$E)</f>
        <v>0</v>
      </c>
      <c r="F1835" s="72">
        <f>SUMIF(Adat!$AG:$AG,CONCATENATE(60,Info!$D$5,"059141",L1802),Adat!$E:$E)+E1835</f>
        <v>0</v>
      </c>
      <c r="G1835" s="72">
        <f>SUMIF(Adat!$AH:$AH,CONCATENATE(Info!$D$5,"(KÖT)","059141",L1802),Adat!$E:$E)</f>
        <v>0</v>
      </c>
      <c r="H1835" s="72">
        <f>SUMIF(Adat!$AH:$AH,CONCATENATE(Info!$D$5,"(ÖNV)","059141",L1802),Adat!$E:$E)</f>
        <v>0</v>
      </c>
      <c r="I1835" s="72">
        <f>SUMIF(Adat!$AH:$AH,CONCATENATE(Info!$D$5,"(ÁIG)","059141",L1802),Adat!$E:$E)</f>
        <v>0</v>
      </c>
    </row>
    <row r="1836" spans="2:18" x14ac:dyDescent="0.25">
      <c r="B1836" s="160">
        <v>32</v>
      </c>
      <c r="C1836" s="316" t="s">
        <v>1253</v>
      </c>
      <c r="D1836" s="161" t="s">
        <v>493</v>
      </c>
      <c r="E1836" s="72">
        <f>SUMIF(Adat!$AG:$AG,CONCATENATE(61,Info!$D$5,"059151",L1802),Adat!$E:$E)</f>
        <v>0</v>
      </c>
      <c r="F1836" s="72">
        <f>SUMIF(Adat!$AG:$AG,CONCATENATE(60,Info!$D$5,"059151",L1802),Adat!$E:$E)+E1836</f>
        <v>0</v>
      </c>
      <c r="G1836" s="72">
        <f>SUMIF(Adat!$AH:$AH,CONCATENATE(Info!$D$5,"(KÖT)","059151",L1802),Adat!$E:$E)</f>
        <v>0</v>
      </c>
      <c r="H1836" s="72">
        <f>SUMIF(Adat!$AH:$AH,CONCATENATE(Info!$D$5,"(ÖNV)","059151",L1802),Adat!$E:$E)</f>
        <v>0</v>
      </c>
      <c r="I1836" s="72">
        <f>SUMIF(Adat!$AH:$AH,CONCATENATE(Info!$D$5,"(ÁIG)","059151",L1802),Adat!$E:$E)</f>
        <v>0</v>
      </c>
    </row>
    <row r="1837" spans="2:18" s="42" customFormat="1" x14ac:dyDescent="0.25">
      <c r="B1837" s="160">
        <v>33</v>
      </c>
      <c r="C1837" s="305" t="s">
        <v>1474</v>
      </c>
      <c r="D1837" s="161" t="s">
        <v>418</v>
      </c>
      <c r="E1837" s="72">
        <f>SUMIF(Adat!$AG:$AG,CONCATENATE(61,Info!$D$5,"059161",L1802),Adat!$E:$E)</f>
        <v>0</v>
      </c>
      <c r="F1837" s="72">
        <f>SUMIF(Adat!$AG:$AG,CONCATENATE(60,Info!$D$5,"059161",L1802),Adat!$E:$E)+E1837</f>
        <v>0</v>
      </c>
      <c r="G1837" s="72">
        <f>SUMIF(Adat!$AH:$AH,CONCATENATE(Info!$D$5,"(KÖT)","059161",L1802),Adat!$E:$E)</f>
        <v>0</v>
      </c>
      <c r="H1837" s="72">
        <f>SUMIF(Adat!$AH:$AH,CONCATENATE(Info!$D$5,"(ÖNV)","059161",L1802),Adat!$E:$E)</f>
        <v>0</v>
      </c>
      <c r="I1837" s="72">
        <f>SUMIF(Adat!$AH:$AH,CONCATENATE(Info!$D$5,"(ÁIG)","059161",L1802),Adat!$E:$E)</f>
        <v>0</v>
      </c>
    </row>
    <row r="1838" spans="2:18" s="42" customFormat="1" x14ac:dyDescent="0.25">
      <c r="B1838" s="160">
        <v>34</v>
      </c>
      <c r="C1838" s="305" t="s">
        <v>1476</v>
      </c>
      <c r="D1838" s="161" t="s">
        <v>419</v>
      </c>
      <c r="E1838" s="72">
        <f>SUMIF(Adat!$AG:$AG,CONCATENATE(61,Info!$D$5,"059171",L1802),Adat!$E:$E)</f>
        <v>0</v>
      </c>
      <c r="F1838" s="72">
        <f>SUMIF(Adat!$AG:$AG,CONCATENATE(60,Info!$D$5,"059171",L1802),Adat!$E:$E)+E1838</f>
        <v>0</v>
      </c>
      <c r="G1838" s="72">
        <f>SUMIF(Adat!$AH:$AH,CONCATENATE(Info!$D$5,"(KÖT)","059171",L1802),Adat!$E:$E)</f>
        <v>0</v>
      </c>
      <c r="H1838" s="72">
        <f>SUMIF(Adat!$AH:$AH,CONCATENATE(Info!$D$5,"(ÖNV)","059171",L1802),Adat!$E:$E)</f>
        <v>0</v>
      </c>
      <c r="I1838" s="72">
        <f>SUMIF(Adat!$AH:$AH,CONCATENATE(Info!$D$5,"(ÁIG)","059171",L1802),Adat!$E:$E)</f>
        <v>0</v>
      </c>
    </row>
    <row r="1839" spans="2:18" s="42" customFormat="1" x14ac:dyDescent="0.25">
      <c r="B1839" s="160">
        <v>35</v>
      </c>
      <c r="C1839" s="78" t="s">
        <v>420</v>
      </c>
      <c r="D1839" s="86" t="s">
        <v>1478</v>
      </c>
      <c r="E1839" s="73">
        <f>+E1840+E1841+E1842+E1843+E1844</f>
        <v>0</v>
      </c>
      <c r="F1839" s="73">
        <f>+F1840+F1841+F1842+F1843+F1844</f>
        <v>0</v>
      </c>
      <c r="G1839" s="73">
        <f>+G1840+G1841+G1842+G1843+G1844</f>
        <v>0</v>
      </c>
      <c r="H1839" s="73">
        <f>+H1840+H1841+H1842+H1843+H1844</f>
        <v>0</v>
      </c>
      <c r="I1839" s="73">
        <f>+I1840+I1841+I1842+I1843+I1844</f>
        <v>0</v>
      </c>
    </row>
    <row r="1840" spans="2:18" s="42" customFormat="1" x14ac:dyDescent="0.25">
      <c r="B1840" s="160">
        <v>36</v>
      </c>
      <c r="C1840" s="305" t="s">
        <v>1479</v>
      </c>
      <c r="D1840" s="161" t="s">
        <v>422</v>
      </c>
      <c r="E1840" s="72">
        <f>SUMIF(Adat!$AG:$AG,CONCATENATE(61,Info!$D$5,"059211",L1802),Adat!$E:$E)</f>
        <v>0</v>
      </c>
      <c r="F1840" s="72">
        <f>SUMIF(Adat!$AG:$AG,CONCATENATE(60,Info!$D$5,"059211",L1802),Adat!$E:$E)+E1840</f>
        <v>0</v>
      </c>
      <c r="G1840" s="72">
        <f>SUMIF(Adat!$AH:$AH,CONCATENATE(Info!$D$5,"(KÖT)","059211",L1802),Adat!$E:$E)</f>
        <v>0</v>
      </c>
      <c r="H1840" s="72">
        <f>SUMIF(Adat!$AH:$AH,CONCATENATE(Info!$D$5,"(ÖNV)","059211",L1802),Adat!$E:$E)</f>
        <v>0</v>
      </c>
      <c r="I1840" s="72">
        <f>SUMIF(Adat!$AH:$AH,CONCATENATE(Info!$D$5,"(ÁIG)","059211",L1802),Adat!$E:$E)</f>
        <v>0</v>
      </c>
    </row>
    <row r="1841" spans="2:12" s="42" customFormat="1" x14ac:dyDescent="0.25">
      <c r="B1841" s="160">
        <v>37</v>
      </c>
      <c r="C1841" s="305" t="s">
        <v>1481</v>
      </c>
      <c r="D1841" s="161" t="s">
        <v>423</v>
      </c>
      <c r="E1841" s="72">
        <f>SUMIF(Adat!$AG:$AG,CONCATENATE(61,Info!$D$5,"059221",L1802),Adat!$E:$E)</f>
        <v>0</v>
      </c>
      <c r="F1841" s="72">
        <f>SUMIF(Adat!$AG:$AG,CONCATENATE(60,Info!$D$5,"059221",L1802),Adat!$E:$E)+E1841</f>
        <v>0</v>
      </c>
      <c r="G1841" s="72">
        <f>SUMIF(Adat!$AH:$AH,CONCATENATE(Info!$D$5,"(KÖT)","059221",L1802),Adat!$E:$E)</f>
        <v>0</v>
      </c>
      <c r="H1841" s="72">
        <f>SUMIF(Adat!$AH:$AH,CONCATENATE(Info!$D$5,"(ÖNV)","059221",L1802),Adat!$E:$E)</f>
        <v>0</v>
      </c>
      <c r="I1841" s="72">
        <f>SUMIF(Adat!$AH:$AH,CONCATENATE(Info!$D$5,"(ÁIG)","059221",L1802),Adat!$E:$E)</f>
        <v>0</v>
      </c>
    </row>
    <row r="1842" spans="2:12" s="42" customFormat="1" x14ac:dyDescent="0.25">
      <c r="B1842" s="160">
        <v>38</v>
      </c>
      <c r="C1842" s="305" t="s">
        <v>1483</v>
      </c>
      <c r="D1842" s="161" t="s">
        <v>424</v>
      </c>
      <c r="E1842" s="72">
        <f>SUMIF(Adat!$AG:$AG,CONCATENATE(61,Info!$D$5,"059231",L1802),Adat!$E:$E)</f>
        <v>0</v>
      </c>
      <c r="F1842" s="72">
        <f>SUMIF(Adat!$AG:$AG,CONCATENATE(60,Info!$D$5,"059231",L1802),Adat!$E:$E)+E1842</f>
        <v>0</v>
      </c>
      <c r="G1842" s="72">
        <f>SUMIF(Adat!$AH:$AH,CONCATENATE(Info!$D$5,"(KÖT)","059231",L1802),Adat!$E:$E)</f>
        <v>0</v>
      </c>
      <c r="H1842" s="72">
        <f>SUMIF(Adat!$AH:$AH,CONCATENATE(Info!$D$5,"(ÖNV)","059231",L1802),Adat!$E:$E)</f>
        <v>0</v>
      </c>
      <c r="I1842" s="72">
        <f>SUMIF(Adat!$AH:$AH,CONCATENATE(Info!$D$5,"(ÁIG)","059231",L1802),Adat!$E:$E)</f>
        <v>0</v>
      </c>
    </row>
    <row r="1843" spans="2:12" s="42" customFormat="1" x14ac:dyDescent="0.25">
      <c r="B1843" s="160">
        <v>39</v>
      </c>
      <c r="C1843" s="305" t="s">
        <v>1485</v>
      </c>
      <c r="D1843" s="161" t="s">
        <v>494</v>
      </c>
      <c r="E1843" s="72">
        <f>SUMIF(Adat!$AG:$AG,CONCATENATE(61,Info!$D$5,"059241",L1802),Adat!$E:$E)</f>
        <v>0</v>
      </c>
      <c r="F1843" s="72">
        <f>SUMIF(Adat!$AG:$AG,CONCATENATE(60,Info!$D$5,"059241",L1802),Adat!$E:$E)+E1843</f>
        <v>0</v>
      </c>
      <c r="G1843" s="72">
        <f>SUMIF(Adat!$AH:$AH,CONCATENATE(Info!$D$5,"(KÖT)","059241",L1802),Adat!$E:$E)</f>
        <v>0</v>
      </c>
      <c r="H1843" s="72">
        <f>SUMIF(Adat!$AH:$AH,CONCATENATE(Info!$D$5,"(ÖNV)","059241",L1802),Adat!$E:$E)</f>
        <v>0</v>
      </c>
      <c r="I1843" s="72">
        <f>SUMIF(Adat!$AH:$AH,CONCATENATE(Info!$D$5,"(ÁIG)","059241",L1802),Adat!$E:$E)</f>
        <v>0</v>
      </c>
    </row>
    <row r="1844" spans="2:12" x14ac:dyDescent="0.25">
      <c r="B1844" s="160">
        <v>40</v>
      </c>
      <c r="C1844" s="305" t="s">
        <v>1487</v>
      </c>
      <c r="D1844" s="161" t="s">
        <v>427</v>
      </c>
      <c r="E1844" s="72">
        <f>SUMIF(Adat!$AG:$AG,CONCATENATE(61,Info!$D$5,"059251",L1802),Adat!$E:$E)</f>
        <v>0</v>
      </c>
      <c r="F1844" s="72">
        <f>SUMIF(Adat!$AG:$AG,CONCATENATE(60,Info!$D$5,"059251",L1802),Adat!$E:$E)+E1844</f>
        <v>0</v>
      </c>
      <c r="G1844" s="72">
        <f>SUMIF(Adat!$AH:$AH,CONCATENATE(Info!$D$5,"(KÖT)","059251",L1802),Adat!$E:$E)</f>
        <v>0</v>
      </c>
      <c r="H1844" s="72">
        <f>SUMIF(Adat!$AH:$AH,CONCATENATE(Info!$D$5,"(ÖNV)","059251",L1802),Adat!$E:$E)</f>
        <v>0</v>
      </c>
      <c r="I1844" s="72">
        <f>SUMIF(Adat!$AH:$AH,CONCATENATE(Info!$D$5,"(ÁIG)","059251",L1802),Adat!$E:$E)</f>
        <v>0</v>
      </c>
    </row>
    <row r="1845" spans="2:12" x14ac:dyDescent="0.25">
      <c r="B1845" s="160">
        <v>41</v>
      </c>
      <c r="C1845" s="162" t="s">
        <v>390</v>
      </c>
      <c r="D1845" s="86" t="s">
        <v>428</v>
      </c>
      <c r="E1845" s="72">
        <f>SUMIF(Adat!$AG:$AG,CONCATENATE(61,Info!$D$5,"05931",L1802),Adat!$E:$E)</f>
        <v>0</v>
      </c>
      <c r="F1845" s="72">
        <f>SUMIF(Adat!$AG:$AG,CONCATENATE(60,Info!$D$5,"05931",L1802),Adat!$E:$E)+E1845</f>
        <v>0</v>
      </c>
      <c r="G1845" s="72">
        <f>SUMIF(Adat!$AH:$AH,CONCATENATE(Info!$D$5,"(KÖT)","05931",L1802),Adat!$E:$E)</f>
        <v>0</v>
      </c>
      <c r="H1845" s="72">
        <f>SUMIF(Adat!$AH:$AH,CONCATENATE(Info!$D$5,"(ÖNV)","05931",L1802),Adat!$E:$E)</f>
        <v>0</v>
      </c>
      <c r="I1845" s="72">
        <f>SUMIF(Adat!$AH:$AH,CONCATENATE(Info!$D$5,"(ÁIG)","05931",L1802),Adat!$E:$E)</f>
        <v>0</v>
      </c>
    </row>
    <row r="1846" spans="2:12" x14ac:dyDescent="0.25">
      <c r="B1846" s="160">
        <v>42</v>
      </c>
      <c r="C1846" s="162" t="s">
        <v>429</v>
      </c>
      <c r="D1846" s="86" t="s">
        <v>430</v>
      </c>
      <c r="E1846" s="72">
        <f>SUMIF(Adat!$AG:$AG,CONCATENATE(61,Info!$D$5,"05941",L1802),Adat!$E:$E)</f>
        <v>0</v>
      </c>
      <c r="F1846" s="72">
        <f>SUMIF(Adat!$AG:$AG,CONCATENATE(60,Info!$D$5,"05941",L1802),Adat!$E:$E)+E1846</f>
        <v>0</v>
      </c>
      <c r="G1846" s="72">
        <f>SUMIF(Adat!$AH:$AH,CONCATENATE(Info!$D$5,"(KÖT)","05941",L1802),Adat!$E:$E)</f>
        <v>0</v>
      </c>
      <c r="H1846" s="72">
        <f>SUMIF(Adat!$AH:$AH,CONCATENATE(Info!$D$5,"(ÖNV)","05941",L1802),Adat!$E:$E)</f>
        <v>0</v>
      </c>
      <c r="I1846" s="72">
        <f>SUMIF(Adat!$AH:$AH,CONCATENATE(Info!$D$5,"(ÁIG)","05941",L1802),Adat!$E:$E)</f>
        <v>0</v>
      </c>
    </row>
    <row r="1847" spans="2:12" x14ac:dyDescent="0.25">
      <c r="B1847" s="160">
        <v>43</v>
      </c>
      <c r="C1847" s="78" t="s">
        <v>431</v>
      </c>
      <c r="D1847" s="86" t="s">
        <v>432</v>
      </c>
      <c r="E1847" s="74">
        <f>+E1822+E1826+E1833+E1839+E1845+E1846</f>
        <v>0</v>
      </c>
      <c r="F1847" s="74">
        <f>+F1822+F1826+F1833+F1839+F1845+F1846</f>
        <v>0</v>
      </c>
      <c r="G1847" s="74">
        <f>+G1822+G1826+G1833+G1839+G1845+G1846</f>
        <v>0</v>
      </c>
      <c r="H1847" s="74">
        <f>+H1822+H1826+H1833+H1839+H1845+H1846</f>
        <v>0</v>
      </c>
      <c r="I1847" s="74">
        <f>+I1822+I1826+I1833+I1839+I1845+I1846</f>
        <v>0</v>
      </c>
    </row>
    <row r="1848" spans="2:12" x14ac:dyDescent="0.25">
      <c r="B1848" s="160">
        <v>44</v>
      </c>
      <c r="C1848" s="154" t="s">
        <v>433</v>
      </c>
      <c r="D1848" s="159" t="s">
        <v>434</v>
      </c>
      <c r="E1848" s="74">
        <f>+E1821+E1847</f>
        <v>0</v>
      </c>
      <c r="F1848" s="74">
        <f>+F1821+F1847</f>
        <v>0</v>
      </c>
      <c r="G1848" s="74">
        <f>+G1821+G1847</f>
        <v>0</v>
      </c>
      <c r="H1848" s="74">
        <f>+H1821+H1847</f>
        <v>0</v>
      </c>
      <c r="I1848" s="74">
        <f>+I1821+I1847</f>
        <v>0</v>
      </c>
    </row>
    <row r="1849" spans="2:12" s="37" customFormat="1" ht="15.75" x14ac:dyDescent="0.25">
      <c r="C1849" s="529"/>
      <c r="D1849" s="529"/>
      <c r="E1849" s="529"/>
      <c r="F1849" s="200"/>
      <c r="G1849" s="200"/>
      <c r="H1849" s="200"/>
      <c r="I1849" s="200"/>
    </row>
    <row r="1850" spans="2:12" s="38" customFormat="1" ht="15.75" x14ac:dyDescent="0.25">
      <c r="B1850" s="525" t="str">
        <f>PAR!$E$3</f>
        <v>Nagymaros Város Önkormányzata</v>
      </c>
      <c r="C1850" s="525"/>
      <c r="D1850" s="525"/>
      <c r="E1850" s="525"/>
      <c r="F1850" s="525"/>
      <c r="G1850" s="525"/>
      <c r="H1850" s="525"/>
      <c r="I1850" s="525"/>
    </row>
    <row r="1851" spans="2:12" s="38" customFormat="1" ht="15.75" x14ac:dyDescent="0.25">
      <c r="B1851" s="525" t="s">
        <v>2660</v>
      </c>
      <c r="C1851" s="525"/>
      <c r="D1851" s="525"/>
      <c r="E1851" s="525"/>
      <c r="F1851" s="525"/>
      <c r="G1851" s="525"/>
      <c r="H1851" s="525"/>
      <c r="I1851" s="525"/>
    </row>
    <row r="1852" spans="2:12" s="38" customFormat="1" ht="15.75" x14ac:dyDescent="0.25">
      <c r="C1852" s="156"/>
      <c r="E1852" s="140"/>
      <c r="F1852" s="140"/>
      <c r="G1852" s="140"/>
      <c r="H1852" s="140"/>
      <c r="I1852" s="140"/>
    </row>
    <row r="1853" spans="2:12" s="10" customFormat="1" ht="15.75" customHeight="1" x14ac:dyDescent="0.25">
      <c r="B1853" s="201" t="str">
        <f>CONCATENATE("27. Bevételi jogcímek"," - ",L1853," részletező")</f>
        <v>27. Bevételi jogcímek -  részletező</v>
      </c>
      <c r="C1853" s="101"/>
      <c r="D1853" s="101"/>
      <c r="E1853" s="101"/>
      <c r="F1853" s="101"/>
      <c r="G1853" s="198"/>
      <c r="H1853" s="198"/>
      <c r="I1853" s="198"/>
      <c r="L1853" s="384"/>
    </row>
    <row r="1854" spans="2:12" s="38" customFormat="1" ht="15.75" x14ac:dyDescent="0.25">
      <c r="C1854" s="156"/>
      <c r="E1854" s="140"/>
      <c r="F1854" s="140"/>
      <c r="G1854" s="140"/>
      <c r="H1854" s="140"/>
      <c r="I1854" s="140"/>
    </row>
    <row r="1855" spans="2:12" s="40" customFormat="1" x14ac:dyDescent="0.25">
      <c r="B1855" s="77"/>
      <c r="C1855" s="77" t="s">
        <v>350</v>
      </c>
      <c r="D1855" s="77" t="s">
        <v>351</v>
      </c>
      <c r="E1855" s="77" t="s">
        <v>470</v>
      </c>
      <c r="F1855" s="77" t="s">
        <v>471</v>
      </c>
      <c r="G1855" s="77" t="s">
        <v>44</v>
      </c>
      <c r="H1855" s="77" t="s">
        <v>42</v>
      </c>
      <c r="I1855" s="77" t="s">
        <v>511</v>
      </c>
    </row>
    <row r="1856" spans="2:12" ht="38.25" x14ac:dyDescent="0.25">
      <c r="B1856" s="160">
        <v>1</v>
      </c>
      <c r="C1856" s="154" t="s">
        <v>593</v>
      </c>
      <c r="D1856" s="154" t="s">
        <v>488</v>
      </c>
      <c r="E1856" s="163" t="str">
        <f>CONCATENATE(PAR!$H$3," évi
eredeti 
előirányzat")</f>
        <v>2025. évi
eredeti 
előirányzat</v>
      </c>
      <c r="F1856" s="163" t="str">
        <f>CONCATENATE(PAR!$H$3," évi
módosított 
előirányzat")</f>
        <v>2025. évi
módosított 
előirányzat</v>
      </c>
      <c r="G1856" s="69" t="s">
        <v>666</v>
      </c>
      <c r="H1856" s="69" t="s">
        <v>667</v>
      </c>
      <c r="I1856" s="69" t="s">
        <v>668</v>
      </c>
    </row>
    <row r="1857" spans="2:9" s="41" customFormat="1" x14ac:dyDescent="0.25">
      <c r="B1857" s="160">
        <v>2</v>
      </c>
      <c r="C1857" s="78" t="s">
        <v>1324</v>
      </c>
      <c r="D1857" s="79" t="s">
        <v>562</v>
      </c>
      <c r="E1857" s="71">
        <f>SUM(E1858:E1864)</f>
        <v>0</v>
      </c>
      <c r="F1857" s="71">
        <f t="shared" ref="F1857:I1857" si="195">SUM(F1858:F1864)</f>
        <v>0</v>
      </c>
      <c r="G1857" s="71">
        <f t="shared" si="195"/>
        <v>0</v>
      </c>
      <c r="H1857" s="71">
        <f t="shared" si="195"/>
        <v>0</v>
      </c>
      <c r="I1857" s="71">
        <f t="shared" si="195"/>
        <v>0</v>
      </c>
    </row>
    <row r="1858" spans="2:9" s="42" customFormat="1" x14ac:dyDescent="0.2">
      <c r="B1858" s="160">
        <v>3</v>
      </c>
      <c r="C1858" s="305" t="s">
        <v>1288</v>
      </c>
      <c r="D1858" s="82" t="s">
        <v>1325</v>
      </c>
      <c r="E1858" s="72">
        <f>SUMIF(Adat!$AG:$AG,CONCATENATE(61,Info!$D$5,"091111",L1853),Adat!$E:$E)*-1</f>
        <v>0</v>
      </c>
      <c r="F1858" s="72">
        <f>SUMIF(Adat!$AG:$AG,CONCATENATE(60,Info!$D$5,"091111",L1853),Adat!$E:$E)*(-1)+E1858</f>
        <v>0</v>
      </c>
      <c r="G1858" s="72">
        <f>SUMIF(Adat!$AH:$AH,CONCATENATE(Info!$D$5,"(KÖT)","091111",L1853),Adat!$E:$E)*-1</f>
        <v>0</v>
      </c>
      <c r="H1858" s="72">
        <f>SUMIF(Adat!$AH:$AH,CONCATENATE(Info!$D$5,"(ÖNV)","091111",L1853),Adat!$E:$E)*-1</f>
        <v>0</v>
      </c>
      <c r="I1858" s="72">
        <f>SUMIF(Adat!$AH:$AH,CONCATENATE(Info!$D$5,"(ÁIG)","091111",L1853),Adat!$E:$E)*-1</f>
        <v>0</v>
      </c>
    </row>
    <row r="1859" spans="2:9" x14ac:dyDescent="0.2">
      <c r="B1859" s="160">
        <v>4</v>
      </c>
      <c r="C1859" s="305" t="s">
        <v>1289</v>
      </c>
      <c r="D1859" s="82" t="s">
        <v>735</v>
      </c>
      <c r="E1859" s="72">
        <f>SUMIF(Adat!$AG:$AG,CONCATENATE(61,Info!$D$5,"091121",L1853),Adat!$E:$E)*-1</f>
        <v>0</v>
      </c>
      <c r="F1859" s="72">
        <f>SUMIF(Adat!$AG:$AG,CONCATENATE(60,Info!$D$5,"091121",L1853),Adat!$E:$E)*-1+E1859</f>
        <v>0</v>
      </c>
      <c r="G1859" s="72">
        <f>SUMIF(Adat!$AH:$AH,CONCATENATE(Info!$D$5,"(KÖT)","091121",L1853),Adat!$E:$E)*-1</f>
        <v>0</v>
      </c>
      <c r="H1859" s="72">
        <f>SUMIF(Adat!$AH:$AH,CONCATENATE(Info!$D$5,"(ÖNV)","091121",L1853),Adat!$E:$E)*-1</f>
        <v>0</v>
      </c>
      <c r="I1859" s="72">
        <f>SUMIF(Adat!$AH:$AH,CONCATENATE(Info!$D$5,"(ÁIG)","091121",L1853),Adat!$E:$E)*-1</f>
        <v>0</v>
      </c>
    </row>
    <row r="1860" spans="2:9" x14ac:dyDescent="0.2">
      <c r="B1860" s="160">
        <v>5</v>
      </c>
      <c r="C1860" s="305" t="s">
        <v>1290</v>
      </c>
      <c r="D1860" s="82" t="s">
        <v>1326</v>
      </c>
      <c r="E1860" s="72">
        <f>SUMIF(Adat!$AG:$AG,CONCATENATE(61,Info!$D$5,"0911311",L1853),Adat!$E:$E)*-1</f>
        <v>0</v>
      </c>
      <c r="F1860" s="72">
        <f>SUMIF(Adat!$AG:$AG,CONCATENATE(60,Info!$D$5,"0911311",L1853),Adat!$E:$E)*-1+E1860</f>
        <v>0</v>
      </c>
      <c r="G1860" s="72">
        <f>SUMIF(Adat!$AH:$AH,CONCATENATE(Info!$D$5,"(KÖT)","0911311",L1853),Adat!$E:$E)*-1</f>
        <v>0</v>
      </c>
      <c r="H1860" s="72">
        <f>SUMIF(Adat!$AH:$AH,CONCATENATE(Info!$D$5,"(ÖNV)","0911311",L1853),Adat!$E:$E)*-1</f>
        <v>0</v>
      </c>
      <c r="I1860" s="72">
        <f>SUMIF(Adat!$AH:$AH,CONCATENATE(Info!$D$5,"(ÁIG)","0911311",L1853),Adat!$E:$E)*-1</f>
        <v>0</v>
      </c>
    </row>
    <row r="1861" spans="2:9" x14ac:dyDescent="0.2">
      <c r="B1861" s="160">
        <v>6</v>
      </c>
      <c r="C1861" s="305" t="s">
        <v>1254</v>
      </c>
      <c r="D1861" s="82" t="s">
        <v>736</v>
      </c>
      <c r="E1861" s="72">
        <f>SUMIF(Adat!$AG:$AG,CONCATENATE(61,Info!$D$5,"0911321",L1853),Adat!$E:$E)*-1</f>
        <v>0</v>
      </c>
      <c r="F1861" s="72">
        <f>SUMIF(Adat!$AG:$AG,CONCATENATE(60,Info!$D$5,"0911321",L1853),Adat!$E:$E)*-1+E1861</f>
        <v>0</v>
      </c>
      <c r="G1861" s="72">
        <f>SUMIF(Adat!$AH:$AH,CONCATENATE(Info!$D$5,"(KÖT)","0911321",L1853),Adat!$E:$E)*-1</f>
        <v>0</v>
      </c>
      <c r="H1861" s="72">
        <f>SUMIF(Adat!$AH:$AH,CONCATENATE(Info!$D$5,"(ÖNV)","0911321",L1853),Adat!$E:$E)*-1</f>
        <v>0</v>
      </c>
      <c r="I1861" s="72">
        <f>SUMIF(Adat!$AH:$AH,CONCATENATE(Info!$D$5,"(ÁIG)","0911321",L1853),Adat!$E:$E)*-1</f>
        <v>0</v>
      </c>
    </row>
    <row r="1862" spans="2:9" x14ac:dyDescent="0.25">
      <c r="B1862" s="160">
        <v>7</v>
      </c>
      <c r="C1862" s="305" t="s">
        <v>1291</v>
      </c>
      <c r="D1862" s="84" t="s">
        <v>737</v>
      </c>
      <c r="E1862" s="72">
        <f>SUMIF(Adat!$AG:$AG,CONCATENATE(61,Info!$D$5,"091141",L1853),Adat!$E:$E)*-1</f>
        <v>0</v>
      </c>
      <c r="F1862" s="72">
        <f>SUMIF(Adat!$AG:$AG,CONCATENATE(60,Info!$D$5,"091141",L1853),Adat!$E:$E)*-1+E1862</f>
        <v>0</v>
      </c>
      <c r="G1862" s="72">
        <f>SUMIF(Adat!$AH:$AH,CONCATENATE(Info!$D$5,"(KÖT)","091141",L1853),Adat!$E:$E)*-1</f>
        <v>0</v>
      </c>
      <c r="H1862" s="72">
        <f>SUMIF(Adat!$AH:$AH,CONCATENATE(Info!$D$5,"(ÖNV)","091141",L1853),Adat!$E:$E)*-1</f>
        <v>0</v>
      </c>
      <c r="I1862" s="72">
        <f>SUMIF(Adat!$AH:$AH,CONCATENATE(Info!$D$5,"(ÁIG)","091141",L1853),Adat!$E:$E)*-1</f>
        <v>0</v>
      </c>
    </row>
    <row r="1863" spans="2:9" x14ac:dyDescent="0.25">
      <c r="B1863" s="160">
        <v>8</v>
      </c>
      <c r="C1863" s="305" t="s">
        <v>1312</v>
      </c>
      <c r="D1863" s="84" t="s">
        <v>738</v>
      </c>
      <c r="E1863" s="72">
        <f>SUMIF(Adat!$AG:$AG,CONCATENATE(61,Info!$D$5,"091151",L1853),Adat!$E:$E)*-1</f>
        <v>0</v>
      </c>
      <c r="F1863" s="72">
        <f>SUMIF(Adat!$AG:$AG,CONCATENATE(60,Info!$D$5,"091151",L1853),Adat!$E:$E)*-1+E1863</f>
        <v>0</v>
      </c>
      <c r="G1863" s="72">
        <f>SUMIF(Adat!$AH:$AH,CONCATENATE(Info!$D$5,"(KÖT)","091151",L1853),Adat!$E:$E)*-1</f>
        <v>0</v>
      </c>
      <c r="H1863" s="72">
        <f>SUMIF(Adat!$AH:$AH,CONCATENATE(Info!$D$5,"(ÖNV)","091151",L1853),Adat!$E:$E)*-1</f>
        <v>0</v>
      </c>
      <c r="I1863" s="72">
        <f>SUMIF(Adat!$AH:$AH,CONCATENATE(Info!$D$5,"(ÁIG)","091151",L1853),Adat!$E:$E)*-1</f>
        <v>0</v>
      </c>
    </row>
    <row r="1864" spans="2:9" s="42" customFormat="1" x14ac:dyDescent="0.25">
      <c r="B1864" s="160">
        <v>9</v>
      </c>
      <c r="C1864" s="305" t="s">
        <v>1308</v>
      </c>
      <c r="D1864" s="84" t="s">
        <v>233</v>
      </c>
      <c r="E1864" s="72">
        <f>SUMIF(Adat!$AG:$AG,CONCATENATE(61,Info!$D$5,"091161",L1853),Adat!$E:$E)*-1</f>
        <v>0</v>
      </c>
      <c r="F1864" s="72">
        <f>SUMIF(Adat!$AG:$AG,CONCATENATE(60,Info!$D$5,"091161",L1853),Adat!$E:$E)*-1+E1864</f>
        <v>0</v>
      </c>
      <c r="G1864" s="72">
        <f>SUMIF(Adat!$AH:$AH,CONCATENATE(Info!$D$5,"(KÖT)","091161",L1853),Adat!$E:$E)*-1</f>
        <v>0</v>
      </c>
      <c r="H1864" s="72">
        <f>SUMIF(Adat!$AH:$AH,CONCATENATE(Info!$D$5,"(ÖNV)","091161",L1853),Adat!$E:$E)*-1</f>
        <v>0</v>
      </c>
      <c r="I1864" s="72">
        <f>SUMIF(Adat!$AH:$AH,CONCATENATE(Info!$D$5,"(ÁIG)","091161",L1853),Adat!$E:$E)*-1</f>
        <v>0</v>
      </c>
    </row>
    <row r="1865" spans="2:9" s="42" customFormat="1" x14ac:dyDescent="0.25">
      <c r="B1865" s="160">
        <v>10</v>
      </c>
      <c r="C1865" s="78" t="s">
        <v>1328</v>
      </c>
      <c r="D1865" s="85" t="s">
        <v>437</v>
      </c>
      <c r="E1865" s="71">
        <f>SUM(E1866:E1870)</f>
        <v>0</v>
      </c>
      <c r="F1865" s="71">
        <f t="shared" ref="F1865" si="196">SUM(F1866:F1870)</f>
        <v>0</v>
      </c>
      <c r="G1865" s="71">
        <f>SUM(G1866:G1870)</f>
        <v>0</v>
      </c>
      <c r="H1865" s="71">
        <f t="shared" ref="H1865:I1865" si="197">SUM(H1866:H1870)</f>
        <v>0</v>
      </c>
      <c r="I1865" s="71">
        <f t="shared" si="197"/>
        <v>0</v>
      </c>
    </row>
    <row r="1866" spans="2:9" s="42" customFormat="1" x14ac:dyDescent="0.2">
      <c r="B1866" s="160">
        <v>11</v>
      </c>
      <c r="C1866" s="305" t="s">
        <v>1329</v>
      </c>
      <c r="D1866" s="82" t="s">
        <v>1330</v>
      </c>
      <c r="E1866" s="72">
        <f>SUMIF(Adat!$AG:$AG,CONCATENATE(61,Info!$D$5,"09121",L1853),Adat!$E:$E)*-1</f>
        <v>0</v>
      </c>
      <c r="F1866" s="72">
        <f>SUMIF(Adat!$AG:$AG,CONCATENATE(60,Info!$D$5,"09121",L1853),Adat!$E:$E)*-1+E1866</f>
        <v>0</v>
      </c>
      <c r="G1866" s="72">
        <f>SUMIF(Adat!$AH:$AH,CONCATENATE(Info!$D$5,"(KÖT)","09121",L1853),Adat!$E:$E)*-1</f>
        <v>0</v>
      </c>
      <c r="H1866" s="72">
        <f>SUMIF(Adat!$AH:$AH,CONCATENATE(Info!$D$5,"(ÖNV)","09121",L1853),Adat!$E:$E)*-1</f>
        <v>0</v>
      </c>
      <c r="I1866" s="72">
        <f>SUMIF(Adat!$AH:$AH,CONCATENATE(Info!$D$5,"(ÁIG)","09121",L1853),Adat!$E:$E)*-1</f>
        <v>0</v>
      </c>
    </row>
    <row r="1867" spans="2:9" s="42" customFormat="1" x14ac:dyDescent="0.2">
      <c r="B1867" s="160">
        <v>12</v>
      </c>
      <c r="C1867" s="305" t="s">
        <v>1331</v>
      </c>
      <c r="D1867" s="82" t="s">
        <v>1332</v>
      </c>
      <c r="E1867" s="72">
        <f>SUMIF(Adat!$AG:$AG,CONCATENATE(61,Info!$D$5,"09131",L1853),Adat!$E:$E)*-1</f>
        <v>0</v>
      </c>
      <c r="F1867" s="72">
        <f>SUMIF(Adat!$AG:$AG,CONCATENATE(60,Info!$D$5,"09131",L1853),Adat!$E:$E)*-1+E1867</f>
        <v>0</v>
      </c>
      <c r="G1867" s="72">
        <f>SUMIF(Adat!$AH:$AH,CONCATENATE(Info!$D$5,"(KÖT)","09131",L1853),Adat!$E:$E)*-1</f>
        <v>0</v>
      </c>
      <c r="H1867" s="72">
        <f>SUMIF(Adat!$AH:$AH,CONCATENATE(Info!$D$5,"(ÖNV)","09131",L1853),Adat!$E:$E)*-1</f>
        <v>0</v>
      </c>
      <c r="I1867" s="72">
        <f>SUMIF(Adat!$AH:$AH,CONCATENATE(Info!$D$5,"(ÁIG)","09131",L1853),Adat!$E:$E)*-1</f>
        <v>0</v>
      </c>
    </row>
    <row r="1868" spans="2:9" s="42" customFormat="1" x14ac:dyDescent="0.2">
      <c r="B1868" s="160">
        <v>13</v>
      </c>
      <c r="C1868" s="305" t="s">
        <v>1333</v>
      </c>
      <c r="D1868" s="82" t="s">
        <v>1334</v>
      </c>
      <c r="E1868" s="72">
        <f>SUMIF(Adat!$AG:$AG,CONCATENATE(61,Info!$D$5,"09141",L1853),Adat!$E:$E)*-1</f>
        <v>0</v>
      </c>
      <c r="F1868" s="72">
        <f>SUMIF(Adat!$AG:$AG,CONCATENATE(60,Info!$D$5,"09141",L1853),Adat!$E:$E)*-1+E1868</f>
        <v>0</v>
      </c>
      <c r="G1868" s="72">
        <f>SUMIF(Adat!$AH:$AH,CONCATENATE(Info!$D$5,"(KÖT)","09141",L1853),Adat!$E:$E)*-1</f>
        <v>0</v>
      </c>
      <c r="H1868" s="72">
        <f>SUMIF(Adat!$AH:$AH,CONCATENATE(Info!$D$5,"(ÖNV)","09141",L1853),Adat!$E:$E)*-1</f>
        <v>0</v>
      </c>
      <c r="I1868" s="72">
        <f>SUMIF(Adat!$AH:$AH,CONCATENATE(Info!$D$5,"(ÁIG)","09141",L1853),Adat!$E:$E)*-1</f>
        <v>0</v>
      </c>
    </row>
    <row r="1869" spans="2:9" s="42" customFormat="1" x14ac:dyDescent="0.2">
      <c r="B1869" s="160">
        <v>14</v>
      </c>
      <c r="C1869" s="305" t="s">
        <v>1335</v>
      </c>
      <c r="D1869" s="82" t="s">
        <v>1336</v>
      </c>
      <c r="E1869" s="72">
        <f>SUMIF(Adat!$AG:$AG,CONCATENATE(61,Info!$D$5,"09151",L1853),Adat!$E:$E)*-1</f>
        <v>0</v>
      </c>
      <c r="F1869" s="72">
        <f>SUMIF(Adat!$AG:$AG,CONCATENATE(60,Info!$D$5,"09151",L1853),Adat!$E:$E)*-1+E1869</f>
        <v>0</v>
      </c>
      <c r="G1869" s="72">
        <f>SUMIF(Adat!$AH:$AH,CONCATENATE(Info!$D$5,"(KÖT)","09151",L1853),Adat!$E:$E)*-1</f>
        <v>0</v>
      </c>
      <c r="H1869" s="72">
        <f>SUMIF(Adat!$AH:$AH,CONCATENATE(Info!$D$5,"(ÖNV)","09151",L1853),Adat!$E:$E)*-1</f>
        <v>0</v>
      </c>
      <c r="I1869" s="72">
        <f>SUMIF(Adat!$AH:$AH,CONCATENATE(Info!$D$5,"(ÁIG)","09151",L1853),Adat!$E:$E)*-1</f>
        <v>0</v>
      </c>
    </row>
    <row r="1870" spans="2:9" s="42" customFormat="1" x14ac:dyDescent="0.2">
      <c r="B1870" s="160">
        <v>15</v>
      </c>
      <c r="C1870" s="305" t="s">
        <v>1278</v>
      </c>
      <c r="D1870" s="82" t="s">
        <v>1337</v>
      </c>
      <c r="E1870" s="72">
        <f>SUMIF(Adat!$AG:$AG,CONCATENATE(61,Info!$D$5,"09161",L1853),Adat!$E:$E)*-1</f>
        <v>0</v>
      </c>
      <c r="F1870" s="72">
        <f>SUMIF(Adat!$AG:$AG,CONCATENATE(60,Info!$D$5,"09161",L1853),Adat!$E:$E)*-1+E1870</f>
        <v>0</v>
      </c>
      <c r="G1870" s="72">
        <f>SUMIF(Adat!$AH:$AH,CONCATENATE(Info!$D$5,"(KÖT)","09161",L1853),Adat!$E:$E)*-1</f>
        <v>0</v>
      </c>
      <c r="H1870" s="72">
        <f>SUMIF(Adat!$AH:$AH,CONCATENATE(Info!$D$5,"(ÖNV)","09161",L1853),Adat!$E:$E)*-1</f>
        <v>0</v>
      </c>
      <c r="I1870" s="72">
        <f>SUMIF(Adat!$AH:$AH,CONCATENATE(Info!$D$5,"(ÁIG)","09161",L1853),Adat!$E:$E)*-1</f>
        <v>0</v>
      </c>
    </row>
    <row r="1871" spans="2:9" x14ac:dyDescent="0.25">
      <c r="B1871" s="160">
        <v>16</v>
      </c>
      <c r="C1871" s="79" t="s">
        <v>24</v>
      </c>
      <c r="D1871" s="79" t="s">
        <v>449</v>
      </c>
      <c r="E1871" s="71">
        <f t="shared" ref="E1871:F1871" si="198">SUM(E1872:E1876)</f>
        <v>0</v>
      </c>
      <c r="F1871" s="71">
        <f t="shared" si="198"/>
        <v>0</v>
      </c>
      <c r="G1871" s="71">
        <f>SUM(G1872:G1876)</f>
        <v>0</v>
      </c>
      <c r="H1871" s="71">
        <f t="shared" ref="H1871:I1871" si="199">SUM(H1872:H1876)</f>
        <v>0</v>
      </c>
      <c r="I1871" s="71">
        <f t="shared" si="199"/>
        <v>0</v>
      </c>
    </row>
    <row r="1872" spans="2:9" x14ac:dyDescent="0.2">
      <c r="B1872" s="160">
        <v>17</v>
      </c>
      <c r="C1872" s="305" t="s">
        <v>1339</v>
      </c>
      <c r="D1872" s="82" t="s">
        <v>1340</v>
      </c>
      <c r="E1872" s="72">
        <f>SUMIF(Adat!$AG:$AG,CONCATENATE(61,Info!$D$5,"09211",L1853),Adat!$E:$E)*-1</f>
        <v>0</v>
      </c>
      <c r="F1872" s="72">
        <f>SUMIF(Adat!$AG:$AG,CONCATENATE(60,Info!$D$5,"09211",L1853),Adat!$E:$E)*-1+E1872</f>
        <v>0</v>
      </c>
      <c r="G1872" s="72">
        <f>SUMIF(Adat!$AH:$AH,CONCATENATE(Info!$D$5,"(KÖT)","09211",L1853),Adat!$E:$E)*-1</f>
        <v>0</v>
      </c>
      <c r="H1872" s="72">
        <f>SUMIF(Adat!$AH:$AH,CONCATENATE(Info!$D$5,"(ÖNV)","09211",L1853),Adat!$E:$E)*-1</f>
        <v>0</v>
      </c>
      <c r="I1872" s="72">
        <f>SUMIF(Adat!$AH:$AH,CONCATENATE(Info!$D$5,"(ÁIG)","09211",L1853),Adat!$E:$E)*-1</f>
        <v>0</v>
      </c>
    </row>
    <row r="1873" spans="2:9" s="42" customFormat="1" x14ac:dyDescent="0.2">
      <c r="B1873" s="160">
        <v>18</v>
      </c>
      <c r="C1873" s="305" t="s">
        <v>1341</v>
      </c>
      <c r="D1873" s="82" t="s">
        <v>1342</v>
      </c>
      <c r="E1873" s="72">
        <f>SUMIF(Adat!$AG:$AG,CONCATENATE(61,Info!$D$5,"09221",L1853),Adat!$E:$E)*-1</f>
        <v>0</v>
      </c>
      <c r="F1873" s="72">
        <f>SUMIF(Adat!$AG:$AG,CONCATENATE(60,Info!$D$5,"09221",L1853),Adat!$E:$E)*-1+E1873</f>
        <v>0</v>
      </c>
      <c r="G1873" s="72">
        <f>SUMIF(Adat!$AH:$AH,CONCATENATE(Info!$D$5,"(KÖT)","09221",L1853),Adat!$E:$E)*-1</f>
        <v>0</v>
      </c>
      <c r="H1873" s="72">
        <f>SUMIF(Adat!$AH:$AH,CONCATENATE(Info!$D$5,"(ÖNV)","09221",L1853),Adat!$E:$E)*-1</f>
        <v>0</v>
      </c>
      <c r="I1873" s="72">
        <f>SUMIF(Adat!$AH:$AH,CONCATENATE(Info!$D$5,"(ÁIG)","09221",L1853),Adat!$E:$E)*-1</f>
        <v>0</v>
      </c>
    </row>
    <row r="1874" spans="2:9" x14ac:dyDescent="0.2">
      <c r="B1874" s="160">
        <v>19</v>
      </c>
      <c r="C1874" s="305" t="s">
        <v>1343</v>
      </c>
      <c r="D1874" s="82" t="s">
        <v>1344</v>
      </c>
      <c r="E1874" s="72">
        <f>SUMIF(Adat!$AG:$AG,CONCATENATE(61,Info!$D$5,"09231",L1853),Adat!$E:$E)*-1</f>
        <v>0</v>
      </c>
      <c r="F1874" s="72">
        <f>SUMIF(Adat!$AG:$AG,CONCATENATE(60,Info!$D$5,"09231",L1853),Adat!$E:$E)*-1+E1874</f>
        <v>0</v>
      </c>
      <c r="G1874" s="72">
        <f>SUMIF(Adat!$AH:$AH,CONCATENATE(Info!$D$5,"(KÖT)","09231",L1853),Adat!$E:$E)*-1</f>
        <v>0</v>
      </c>
      <c r="H1874" s="72">
        <f>SUMIF(Adat!$AH:$AH,CONCATENATE(Info!$D$5,"(ÖNV)","09231",L1853),Adat!$E:$E)*-1</f>
        <v>0</v>
      </c>
      <c r="I1874" s="72">
        <f>SUMIF(Adat!$AH:$AH,CONCATENATE(Info!$D$5,"(ÁIG)","09231",L1853),Adat!$E:$E)*-1</f>
        <v>0</v>
      </c>
    </row>
    <row r="1875" spans="2:9" x14ac:dyDescent="0.2">
      <c r="B1875" s="160">
        <v>20</v>
      </c>
      <c r="C1875" s="305" t="s">
        <v>1345</v>
      </c>
      <c r="D1875" s="82" t="s">
        <v>1346</v>
      </c>
      <c r="E1875" s="72">
        <f>SUMIF(Adat!$AG:$AG,CONCATENATE(61,Info!$D$5,"09241",L1853),Adat!$E:$E)*-1</f>
        <v>0</v>
      </c>
      <c r="F1875" s="72">
        <f>SUMIF(Adat!$AG:$AG,CONCATENATE(60,Info!$D$5,"09241",L1853),Adat!$E:$E)*-1+E1875</f>
        <v>0</v>
      </c>
      <c r="G1875" s="72">
        <f>SUMIF(Adat!$AH:$AH,CONCATENATE(Info!$D$5,"(KÖT)","09241",L1853),Adat!$E:$E)*-1</f>
        <v>0</v>
      </c>
      <c r="H1875" s="72">
        <f>SUMIF(Adat!$AH:$AH,CONCATENATE(Info!$D$5,"(ÖNV)","09241",L1853),Adat!$E:$E)*-1</f>
        <v>0</v>
      </c>
      <c r="I1875" s="72">
        <f>SUMIF(Adat!$AH:$AH,CONCATENATE(Info!$D$5,"(ÁIG)","09241",L1853),Adat!$E:$E)*-1</f>
        <v>0</v>
      </c>
    </row>
    <row r="1876" spans="2:9" x14ac:dyDescent="0.2">
      <c r="B1876" s="160">
        <v>21</v>
      </c>
      <c r="C1876" s="305" t="s">
        <v>1255</v>
      </c>
      <c r="D1876" s="82" t="s">
        <v>1347</v>
      </c>
      <c r="E1876" s="72">
        <f>SUMIF(Adat!$AG:$AG,CONCATENATE(61,Info!$D$5,"09251",L1853),Adat!$E:$E)*-1</f>
        <v>0</v>
      </c>
      <c r="F1876" s="72">
        <f>SUMIF(Adat!$AG:$AG,CONCATENATE(60,Info!$D$5,"09251",L1853),Adat!$E:$E)*-1+E1876</f>
        <v>0</v>
      </c>
      <c r="G1876" s="72">
        <f>SUMIF(Adat!$AH:$AH,CONCATENATE(Info!$D$5,"(KÖT)","09251",L1853),Adat!$E:$E)*-1</f>
        <v>0</v>
      </c>
      <c r="H1876" s="72">
        <f>SUMIF(Adat!$AH:$AH,CONCATENATE(Info!$D$5,"(ÖNV)","09251",L1853),Adat!$E:$E)*-1</f>
        <v>0</v>
      </c>
      <c r="I1876" s="72">
        <f>SUMIF(Adat!$AH:$AH,CONCATENATE(Info!$D$5,"(ÁIG)","09251",L1853),Adat!$E:$E)*-1</f>
        <v>0</v>
      </c>
    </row>
    <row r="1877" spans="2:9" x14ac:dyDescent="0.25">
      <c r="B1877" s="160">
        <v>22</v>
      </c>
      <c r="C1877" s="79" t="s">
        <v>27</v>
      </c>
      <c r="D1877" s="79" t="s">
        <v>328</v>
      </c>
      <c r="E1877" s="71">
        <f>SUM(E1878:E1883)</f>
        <v>0</v>
      </c>
      <c r="F1877" s="71">
        <f>SUM(F1878:F1883)</f>
        <v>0</v>
      </c>
      <c r="G1877" s="71">
        <f>SUM(G1878:G1883)</f>
        <v>0</v>
      </c>
      <c r="H1877" s="71">
        <f>SUM(H1878:H1883)</f>
        <v>0</v>
      </c>
      <c r="I1877" s="71">
        <f>SUM(I1878:I1883)</f>
        <v>0</v>
      </c>
    </row>
    <row r="1878" spans="2:9" x14ac:dyDescent="0.2">
      <c r="B1878" s="160">
        <v>23</v>
      </c>
      <c r="C1878" s="305" t="s">
        <v>1348</v>
      </c>
      <c r="D1878" s="82" t="s">
        <v>1349</v>
      </c>
      <c r="E1878" s="72">
        <f>SUMIF(Adat!$AG:$AG,CONCATENATE(61,Info!$D$5,"093111",L1853),Adat!$E:$E)*-1</f>
        <v>0</v>
      </c>
      <c r="F1878" s="72">
        <f>SUMIF(Adat!$AG:$AG,CONCATENATE(60,Info!$D$5,"093111",L1853),Adat!$E:$E)*-1+E1878</f>
        <v>0</v>
      </c>
      <c r="G1878" s="72">
        <f>SUMIF(Adat!$AH:$AH,CONCATENATE(Info!$D$5,"(KÖT)","093111",L1853),Adat!$E:$E)*-1</f>
        <v>0</v>
      </c>
      <c r="H1878" s="72">
        <f>SUMIF(Adat!$AH:$AH,CONCATENATE(Info!$D$5,"(ÖNV)","093111",L1853),Adat!$E:$E)*-1</f>
        <v>0</v>
      </c>
      <c r="I1878" s="72">
        <f>SUMIF(Adat!$AH:$AH,CONCATENATE(Info!$D$5,"(ÁIG)","093111",L1853),Adat!$E:$E)*-1</f>
        <v>0</v>
      </c>
    </row>
    <row r="1879" spans="2:9" x14ac:dyDescent="0.2">
      <c r="B1879" s="160">
        <v>24</v>
      </c>
      <c r="C1879" s="305" t="s">
        <v>1259</v>
      </c>
      <c r="D1879" s="82" t="s">
        <v>1350</v>
      </c>
      <c r="E1879" s="72">
        <f>SUMIF(Adat!$AG:$AG,CONCATENATE(61,Info!$D$5,"09341",L1853),Adat!$E:$E)*-1</f>
        <v>0</v>
      </c>
      <c r="F1879" s="72">
        <f>SUMIF(Adat!$AG:$AG,CONCATENATE(60,Info!$D$5,"09341",L1853),Adat!$E:$E)*-1+E1879</f>
        <v>0</v>
      </c>
      <c r="G1879" s="72">
        <f>SUMIF(Adat!$AH:$AH,CONCATENATE(Info!$D$5,"(KÖT)","09341",L1853),Adat!$E:$E)*-1</f>
        <v>0</v>
      </c>
      <c r="H1879" s="72">
        <f>SUMIF(Adat!$AH:$AH,CONCATENATE(Info!$D$5,"(ÖNV)","09341",L1853),Adat!$E:$E)*-1</f>
        <v>0</v>
      </c>
      <c r="I1879" s="72">
        <f>SUMIF(Adat!$AH:$AH,CONCATENATE(Info!$D$5,"(ÁIG)","09341",L1853),Adat!$E:$E)*-1</f>
        <v>0</v>
      </c>
    </row>
    <row r="1880" spans="2:9" x14ac:dyDescent="0.2">
      <c r="B1880" s="160">
        <v>25</v>
      </c>
      <c r="C1880" s="305" t="s">
        <v>1260</v>
      </c>
      <c r="D1880" s="82" t="s">
        <v>1351</v>
      </c>
      <c r="E1880" s="72">
        <f>SUMIF(Adat!$AG:$AG,CONCATENATE(61,Info!$D$5,"093511",L1853),Adat!$E:$E)*-1</f>
        <v>0</v>
      </c>
      <c r="F1880" s="72">
        <f>SUMIF(Adat!$AG:$AG,CONCATENATE(60,Info!$D$5,"093511",L1853),Adat!$E:$E)*-1+E1880</f>
        <v>0</v>
      </c>
      <c r="G1880" s="72">
        <f>SUMIF(Adat!$AH:$AH,CONCATENATE(Info!$D$5,"(KÖT)","093511",L1853),Adat!$E:$E)*-1</f>
        <v>0</v>
      </c>
      <c r="H1880" s="72">
        <f>SUMIF(Adat!$AH:$AH,CONCATENATE(Info!$D$5,"(ÖNV)","093511",L1853),Adat!$E:$E)*-1</f>
        <v>0</v>
      </c>
      <c r="I1880" s="72">
        <f>SUMIF(Adat!$AH:$AH,CONCATENATE(Info!$D$5,"(ÁIG)","093511",L1853),Adat!$E:$E)*-1</f>
        <v>0</v>
      </c>
    </row>
    <row r="1881" spans="2:9" x14ac:dyDescent="0.2">
      <c r="B1881" s="160">
        <v>26</v>
      </c>
      <c r="C1881" s="305" t="s">
        <v>1352</v>
      </c>
      <c r="D1881" s="82" t="s">
        <v>1353</v>
      </c>
      <c r="E1881" s="72">
        <f>SUMIF(Adat!$AG:$AG,CONCATENATE(61,Info!$D$5,"093521",L1853),Adat!$E:$E)*-1</f>
        <v>0</v>
      </c>
      <c r="F1881" s="72">
        <f>SUMIF(Adat!$AG:$AG,CONCATENATE(60,Info!$D$5,"093521",L1853),Adat!$E:$E)*-1+E1881</f>
        <v>0</v>
      </c>
      <c r="G1881" s="72">
        <f>SUMIF(Adat!$AH:$AH,CONCATENATE(Info!$D$5,"(KÖT)","093521",L1853),Adat!$E:$E)*-1</f>
        <v>0</v>
      </c>
      <c r="H1881" s="72">
        <f>SUMIF(Adat!$AH:$AH,CONCATENATE(Info!$D$5,"(ÖNV)","093521",L1853),Adat!$E:$E)*-1</f>
        <v>0</v>
      </c>
      <c r="I1881" s="72">
        <f>SUMIF(Adat!$AH:$AH,CONCATENATE(Info!$D$5,"(ÁIG)","093521",L1853),Adat!$E:$E)*-1</f>
        <v>0</v>
      </c>
    </row>
    <row r="1882" spans="2:9" x14ac:dyDescent="0.2">
      <c r="B1882" s="160">
        <v>27</v>
      </c>
      <c r="C1882" s="305" t="s">
        <v>1292</v>
      </c>
      <c r="D1882" s="82" t="s">
        <v>1354</v>
      </c>
      <c r="E1882" s="72">
        <f>SUMIF(Adat!$AG:$AG,CONCATENATE(61,Info!$D$5,"093551",L1853),Adat!$E:$E)*-1</f>
        <v>0</v>
      </c>
      <c r="F1882" s="72">
        <f>SUMIF(Adat!$AG:$AG,CONCATENATE(60,Info!$D$5,"093551",L1853),Adat!$E:$E)*-1+E1882</f>
        <v>0</v>
      </c>
      <c r="G1882" s="72">
        <f>SUMIF(Adat!$AH:$AH,CONCATENATE(Info!$D$5,"(KÖT)","093551",L1853),Adat!$E:$E)*-1</f>
        <v>0</v>
      </c>
      <c r="H1882" s="72">
        <f>SUMIF(Adat!$AH:$AH,CONCATENATE(Info!$D$5,"(ÖNV)","093551",L1853),Adat!$E:$E)*-1</f>
        <v>0</v>
      </c>
      <c r="I1882" s="72">
        <f>SUMIF(Adat!$AH:$AH,CONCATENATE(Info!$D$5,"(ÁIG)","093551",L1853),Adat!$E:$E)*-1</f>
        <v>0</v>
      </c>
    </row>
    <row r="1883" spans="2:9" x14ac:dyDescent="0.2">
      <c r="B1883" s="160">
        <v>28</v>
      </c>
      <c r="C1883" s="305" t="s">
        <v>1293</v>
      </c>
      <c r="D1883" s="82" t="s">
        <v>1355</v>
      </c>
      <c r="E1883" s="72">
        <f>SUMIF(Adat!$AG:$AG,CONCATENATE(61,Info!$D$5,"09361",L1853),Adat!$E:$E)*-1</f>
        <v>0</v>
      </c>
      <c r="F1883" s="72">
        <f>SUMIF(Adat!$AG:$AG,CONCATENATE(60,Info!$D$5,"09361",L1853),Adat!$E:$E)*-1+E1883</f>
        <v>0</v>
      </c>
      <c r="G1883" s="72">
        <f>SUMIF(Adat!$AH:$AH,CONCATENATE(Info!$D$5,"(KÖT)","09361",L1853),Adat!$E:$E)*-1</f>
        <v>0</v>
      </c>
      <c r="H1883" s="72">
        <f>SUMIF(Adat!$AH:$AH,CONCATENATE(Info!$D$5,"(ÖNV)","09361",L1853),Adat!$E:$E)*-1</f>
        <v>0</v>
      </c>
      <c r="I1883" s="72">
        <f>SUMIF(Adat!$AH:$AH,CONCATENATE(Info!$D$5,"(ÁIG)","09361",L1853),Adat!$E:$E)*-1</f>
        <v>0</v>
      </c>
    </row>
    <row r="1884" spans="2:9" x14ac:dyDescent="0.25">
      <c r="B1884" s="160">
        <v>29</v>
      </c>
      <c r="C1884" s="79" t="s">
        <v>30</v>
      </c>
      <c r="D1884" s="79" t="s">
        <v>329</v>
      </c>
      <c r="E1884" s="71">
        <f>SUM(E1885:E1897)</f>
        <v>0</v>
      </c>
      <c r="F1884" s="71">
        <f t="shared" ref="F1884:I1884" si="200">SUM(F1885:F1897)</f>
        <v>0</v>
      </c>
      <c r="G1884" s="71">
        <f t="shared" si="200"/>
        <v>0</v>
      </c>
      <c r="H1884" s="71">
        <f t="shared" si="200"/>
        <v>0</v>
      </c>
      <c r="I1884" s="71">
        <f t="shared" si="200"/>
        <v>0</v>
      </c>
    </row>
    <row r="1885" spans="2:9" x14ac:dyDescent="0.2">
      <c r="B1885" s="160">
        <v>30</v>
      </c>
      <c r="C1885" s="305" t="s">
        <v>1309</v>
      </c>
      <c r="D1885" s="82" t="s">
        <v>1356</v>
      </c>
      <c r="E1885" s="72">
        <f>SUMIF(Adat!$AG:$AG,CONCATENATE(61,Info!$D$5,"094011",L1853),Adat!$E:$E)*-1</f>
        <v>0</v>
      </c>
      <c r="F1885" s="72">
        <f>SUMIF(Adat!$AG:$AG,CONCATENATE(60,Info!$D$5,"094011",L1853),Adat!$E:$E)*-1+E1885</f>
        <v>0</v>
      </c>
      <c r="G1885" s="72">
        <f>SUMIF(Adat!$AH:$AH,CONCATENATE(Info!$D$5,"(KÖT)","094011",L1853),Adat!$E:$E)*-1</f>
        <v>0</v>
      </c>
      <c r="H1885" s="72">
        <f>SUMIF(Adat!$AH:$AH,CONCATENATE(Info!$D$5,"(ÖNV)","094011",L1853),Adat!$E:$E)*-1</f>
        <v>0</v>
      </c>
      <c r="I1885" s="72">
        <f>SUMIF(Adat!$AH:$AH,CONCATENATE(Info!$D$5,"(ÁIG)","094011",L1853),Adat!$E:$E)*-1</f>
        <v>0</v>
      </c>
    </row>
    <row r="1886" spans="2:9" x14ac:dyDescent="0.2">
      <c r="B1886" s="160">
        <v>31</v>
      </c>
      <c r="C1886" s="305" t="s">
        <v>1279</v>
      </c>
      <c r="D1886" s="82" t="s">
        <v>1357</v>
      </c>
      <c r="E1886" s="72">
        <f>SUMIF(Adat!$AG:$AG,CONCATENATE(61,Info!$D$5,"094021",L1853),Adat!$E:$E)*-1</f>
        <v>0</v>
      </c>
      <c r="F1886" s="72">
        <f>SUMIF(Adat!$AG:$AG,CONCATENATE(60,Info!$D$5,"094021",L1853),Adat!$E:$E)*-1+E1886</f>
        <v>0</v>
      </c>
      <c r="G1886" s="72">
        <f>SUMIF(Adat!$AH:$AH,CONCATENATE(Info!$D$5,"(KÖT)","094021",L1853),Adat!$E:$E)*-1</f>
        <v>0</v>
      </c>
      <c r="H1886" s="72">
        <f>SUMIF(Adat!$AH:$AH,CONCATENATE(Info!$D$5,"(ÖNV)","094021",L1853),Adat!$E:$E)*-1</f>
        <v>0</v>
      </c>
      <c r="I1886" s="72">
        <f>SUMIF(Adat!$AH:$AH,CONCATENATE(Info!$D$5,"(ÁIG)","094021",L1853),Adat!$E:$E)*-1</f>
        <v>0</v>
      </c>
    </row>
    <row r="1887" spans="2:9" x14ac:dyDescent="0.2">
      <c r="B1887" s="160">
        <v>32</v>
      </c>
      <c r="C1887" s="305" t="s">
        <v>1272</v>
      </c>
      <c r="D1887" s="82" t="s">
        <v>1358</v>
      </c>
      <c r="E1887" s="72">
        <f>SUMIF(Adat!$AG:$AG,CONCATENATE(61,Info!$D$5,"094031",L1853),Adat!$E:$E)*-1</f>
        <v>0</v>
      </c>
      <c r="F1887" s="72">
        <f>SUMIF(Adat!$AG:$AG,CONCATENATE(60,Info!$D$5,"094031",L1853),Adat!$E:$E)*-1+E1887</f>
        <v>0</v>
      </c>
      <c r="G1887" s="72">
        <f>SUMIF(Adat!$AH:$AH,CONCATENATE(Info!$D$5,"(KÖT)","094031",L1853),Adat!$E:$E)*-1</f>
        <v>0</v>
      </c>
      <c r="H1887" s="72">
        <f>SUMIF(Adat!$AH:$AH,CONCATENATE(Info!$D$5,"(ÖNV)","094031",L1853),Adat!$E:$E)*-1</f>
        <v>0</v>
      </c>
      <c r="I1887" s="72">
        <f>SUMIF(Adat!$AH:$AH,CONCATENATE(Info!$D$5,"(ÁIG)","094031",L1853),Adat!$E:$E)*-1</f>
        <v>0</v>
      </c>
    </row>
    <row r="1888" spans="2:9" x14ac:dyDescent="0.2">
      <c r="B1888" s="160">
        <v>33</v>
      </c>
      <c r="C1888" s="305" t="s">
        <v>1359</v>
      </c>
      <c r="D1888" s="82" t="s">
        <v>1360</v>
      </c>
      <c r="E1888" s="72">
        <f>SUMIF(Adat!$AG:$AG,CONCATENATE(61,Info!$D$5,"094041",L1853),Adat!$E:$E)*-1</f>
        <v>0</v>
      </c>
      <c r="F1888" s="72">
        <f>SUMIF(Adat!$AG:$AG,CONCATENATE(60,Info!$D$5,"094041",L1853),Adat!$E:$E)*-1+E1888</f>
        <v>0</v>
      </c>
      <c r="G1888" s="72">
        <f>SUMIF(Adat!$AH:$AH,CONCATENATE(Info!$D$5,"(KÖT)","094041",L1853),Adat!$E:$E)*-1</f>
        <v>0</v>
      </c>
      <c r="H1888" s="72">
        <f>SUMIF(Adat!$AH:$AH,CONCATENATE(Info!$D$5,"(ÖNV)","094041",L1853),Adat!$E:$E)*-1</f>
        <v>0</v>
      </c>
      <c r="I1888" s="72">
        <f>SUMIF(Adat!$AH:$AH,CONCATENATE(Info!$D$5,"(ÁIG)","094041",L1853),Adat!$E:$E)*-1</f>
        <v>0</v>
      </c>
    </row>
    <row r="1889" spans="2:9" x14ac:dyDescent="0.2">
      <c r="B1889" s="160">
        <v>34</v>
      </c>
      <c r="C1889" s="305" t="s">
        <v>1261</v>
      </c>
      <c r="D1889" s="82" t="s">
        <v>1361</v>
      </c>
      <c r="E1889" s="72">
        <f>SUMIF(Adat!$AG:$AG,CONCATENATE(61,Info!$D$5,"094051",L1853),Adat!$E:$E)*-1</f>
        <v>0</v>
      </c>
      <c r="F1889" s="72">
        <f>SUMIF(Adat!$AG:$AG,CONCATENATE(60,Info!$D$5,"094051",L1853),Adat!$E:$E)*-1+E1889</f>
        <v>0</v>
      </c>
      <c r="G1889" s="72">
        <f>SUMIF(Adat!$AH:$AH,CONCATENATE(Info!$D$5,"(KÖT)","094051",L1853),Adat!$E:$E)*-1</f>
        <v>0</v>
      </c>
      <c r="H1889" s="72">
        <f>SUMIF(Adat!$AH:$AH,CONCATENATE(Info!$D$5,"(ÖNV)","094051",L1853),Adat!$E:$E)*-1</f>
        <v>0</v>
      </c>
      <c r="I1889" s="72">
        <f>SUMIF(Adat!$AH:$AH,CONCATENATE(Info!$D$5,"(ÁIG)","094051",L1853),Adat!$E:$E)*-1</f>
        <v>0</v>
      </c>
    </row>
    <row r="1890" spans="2:9" x14ac:dyDescent="0.2">
      <c r="B1890" s="160">
        <v>35</v>
      </c>
      <c r="C1890" s="305" t="s">
        <v>1273</v>
      </c>
      <c r="D1890" s="82" t="s">
        <v>1362</v>
      </c>
      <c r="E1890" s="72">
        <f>SUMIF(Adat!$AG:$AG,CONCATENATE(61,Info!$D$5,"094061",L1853),Adat!$E:$E)*-1</f>
        <v>0</v>
      </c>
      <c r="F1890" s="72">
        <f>SUMIF(Adat!$AG:$AG,CONCATENATE(60,Info!$D$5,"094061",L1853),Adat!$E:$E)*-1+E1890</f>
        <v>0</v>
      </c>
      <c r="G1890" s="72">
        <f>SUMIF(Adat!$AH:$AH,CONCATENATE(Info!$D$5,"(KÖT)","094061",L1853),Adat!$E:$E)*-1</f>
        <v>0</v>
      </c>
      <c r="H1890" s="72">
        <f>SUMIF(Adat!$AH:$AH,CONCATENATE(Info!$D$5,"(ÖNV)","094061",L1853),Adat!$E:$E)*-1</f>
        <v>0</v>
      </c>
      <c r="I1890" s="72">
        <f>SUMIF(Adat!$AH:$AH,CONCATENATE(Info!$D$5,"(ÁIG)","094061",L1853),Adat!$E:$E)*-1</f>
        <v>0</v>
      </c>
    </row>
    <row r="1891" spans="2:9" x14ac:dyDescent="0.2">
      <c r="B1891" s="160">
        <v>36</v>
      </c>
      <c r="C1891" s="305" t="s">
        <v>1363</v>
      </c>
      <c r="D1891" s="82" t="s">
        <v>1364</v>
      </c>
      <c r="E1891" s="72">
        <f>SUMIF(Adat!$AG:$AG,CONCATENATE(61,Info!$D$5,"094071",L1853),Adat!$E:$E)*-1</f>
        <v>0</v>
      </c>
      <c r="F1891" s="72">
        <f>SUMIF(Adat!$AG:$AG,CONCATENATE(60,Info!$D$5,"094071",L1853),Adat!$E:$E)*-1+E1891</f>
        <v>0</v>
      </c>
      <c r="G1891" s="72">
        <f>SUMIF(Adat!$AH:$AH,CONCATENATE(Info!$D$5,"(KÖT)","094071",L1853),Adat!$E:$E)*-1</f>
        <v>0</v>
      </c>
      <c r="H1891" s="72">
        <f>SUMIF(Adat!$AH:$AH,CONCATENATE(Info!$D$5,"(ÖNV)","094071",L1853),Adat!$E:$E)*-1</f>
        <v>0</v>
      </c>
      <c r="I1891" s="72">
        <f>SUMIF(Adat!$AH:$AH,CONCATENATE(Info!$D$5,"(ÁIG)","094071",L1853),Adat!$E:$E)*-1</f>
        <v>0</v>
      </c>
    </row>
    <row r="1892" spans="2:9" x14ac:dyDescent="0.2">
      <c r="B1892" s="160">
        <v>37</v>
      </c>
      <c r="C1892" s="305" t="s">
        <v>1306</v>
      </c>
      <c r="D1892" s="82" t="s">
        <v>1365</v>
      </c>
      <c r="E1892" s="72">
        <f>SUMIF(Adat!$AG:$AG,CONCATENATE(61,Info!$D$5,"0940811",L1853),Adat!$E:$E)*-1</f>
        <v>0</v>
      </c>
      <c r="F1892" s="72">
        <f>SUMIF(Adat!$AG:$AG,CONCATENATE(60,Info!$D$5,"0940811",L1853),Adat!$E:$E)*-1+E1892</f>
        <v>0</v>
      </c>
      <c r="G1892" s="72">
        <f>SUMIF(Adat!$AH:$AH,CONCATENATE(Info!$D$5,"(KÖT)","0940811",L1853),Adat!$E:$E)*-1</f>
        <v>0</v>
      </c>
      <c r="H1892" s="72">
        <f>SUMIF(Adat!$AH:$AH,CONCATENATE(Info!$D$5,"(ÖNV)","0940811",L1853),Adat!$E:$E)*-1</f>
        <v>0</v>
      </c>
      <c r="I1892" s="72">
        <f>SUMIF(Adat!$AH:$AH,CONCATENATE(Info!$D$5,"(ÁIG)","0940811",L1853),Adat!$E:$E)*-1</f>
        <v>0</v>
      </c>
    </row>
    <row r="1893" spans="2:9" x14ac:dyDescent="0.2">
      <c r="B1893" s="160">
        <v>38</v>
      </c>
      <c r="C1893" s="305" t="s">
        <v>1295</v>
      </c>
      <c r="D1893" s="82" t="s">
        <v>1366</v>
      </c>
      <c r="E1893" s="72">
        <f>SUMIF(Adat!$AG:$AG,CONCATENATE(61,Info!$D$5,"0940821",L1853),Adat!$E:$E)*-1</f>
        <v>0</v>
      </c>
      <c r="F1893" s="72">
        <f>SUMIF(Adat!$AG:$AG,CONCATENATE(60,Info!$D$5,"0940821",L1853),Adat!$E:$E)*-1+E1893</f>
        <v>0</v>
      </c>
      <c r="G1893" s="72">
        <f>SUMIF(Adat!$AH:$AH,CONCATENATE(Info!$D$5,"(KÖT)","0940821",L1853),Adat!$E:$E)*-1</f>
        <v>0</v>
      </c>
      <c r="H1893" s="72">
        <f>SUMIF(Adat!$AH:$AH,CONCATENATE(Info!$D$5,"(ÖNV)","0940821",L1853),Adat!$E:$E)*-1</f>
        <v>0</v>
      </c>
      <c r="I1893" s="72">
        <f>SUMIF(Adat!$AH:$AH,CONCATENATE(Info!$D$5,"(ÁIG)","0940821",L1853),Adat!$E:$E)*-1</f>
        <v>0</v>
      </c>
    </row>
    <row r="1894" spans="2:9" x14ac:dyDescent="0.2">
      <c r="B1894" s="160">
        <v>39</v>
      </c>
      <c r="C1894" s="305" t="s">
        <v>1367</v>
      </c>
      <c r="D1894" s="82" t="s">
        <v>1368</v>
      </c>
      <c r="E1894" s="72">
        <f>SUMIF(Adat!$AG:$AG,CONCATENATE(61,Info!$D$5,"0940911",L1853),Adat!$E:$E)*-1</f>
        <v>0</v>
      </c>
      <c r="F1894" s="72">
        <f>SUMIF(Adat!$AG:$AG,CONCATENATE(60,Info!$D$5,"0940911",L1853),Adat!$E:$E)*-1+E1894</f>
        <v>0</v>
      </c>
      <c r="G1894" s="72">
        <f>SUMIF(Adat!$AH:$AH,CONCATENATE(Info!$D$5,"(KÖT)","0940911",L1853),Adat!$E:$E)*-1</f>
        <v>0</v>
      </c>
      <c r="H1894" s="72">
        <f>SUMIF(Adat!$AH:$AH,CONCATENATE(Info!$D$5,"(ÖNV)","0940911",L1853),Adat!$E:$E)*-1</f>
        <v>0</v>
      </c>
      <c r="I1894" s="72">
        <f>SUMIF(Adat!$AH:$AH,CONCATENATE(Info!$D$5,"(ÁIG)","0940911",L1853),Adat!$E:$E)*-1</f>
        <v>0</v>
      </c>
    </row>
    <row r="1895" spans="2:9" x14ac:dyDescent="0.2">
      <c r="B1895" s="160">
        <v>40</v>
      </c>
      <c r="C1895" s="305" t="s">
        <v>1369</v>
      </c>
      <c r="D1895" s="82" t="s">
        <v>1370</v>
      </c>
      <c r="E1895" s="72">
        <f>SUMIF(Adat!$AG:$AG,CONCATENATE(61,Info!$D$5,"0940921",L1853),Adat!$E:$E)*-1</f>
        <v>0</v>
      </c>
      <c r="F1895" s="72">
        <f>SUMIF(Adat!$AG:$AG,CONCATENATE(60,Info!$D$5,"0940921",L1853),Adat!$E:$E)*-1+E1895</f>
        <v>0</v>
      </c>
      <c r="G1895" s="72">
        <f>SUMIF(Adat!$AH:$AH,CONCATENATE(Info!$D$5,"(KÖT)","0940921",L1853),Adat!$E:$E)*-1</f>
        <v>0</v>
      </c>
      <c r="H1895" s="72">
        <f>SUMIF(Adat!$AH:$AH,CONCATENATE(Info!$D$5,"(ÖNV)","0940921",L1853),Adat!$E:$E)*-1</f>
        <v>0</v>
      </c>
      <c r="I1895" s="72">
        <f>SUMIF(Adat!$AH:$AH,CONCATENATE(Info!$D$5,"(ÁIG)","0940921",L1853),Adat!$E:$E)*-1</f>
        <v>0</v>
      </c>
    </row>
    <row r="1896" spans="2:9" x14ac:dyDescent="0.2">
      <c r="B1896" s="160">
        <v>41</v>
      </c>
      <c r="C1896" s="305" t="s">
        <v>1296</v>
      </c>
      <c r="D1896" s="82" t="s">
        <v>1371</v>
      </c>
      <c r="E1896" s="72">
        <f>SUMIF(Adat!$AG:$AG,CONCATENATE(61,Info!$D$5,"094101",L1853),Adat!$E:$E)*-1</f>
        <v>0</v>
      </c>
      <c r="F1896" s="72">
        <f>SUMIF(Adat!$AG:$AG,CONCATENATE(60,Info!$D$5,"094101",L1853),Adat!$E:$E)*-1+E1896</f>
        <v>0</v>
      </c>
      <c r="G1896" s="72">
        <f>SUMIF(Adat!$AH:$AH,CONCATENATE(Info!$D$5,"(KÖT)","094101",L1853),Adat!$E:$E)*-1</f>
        <v>0</v>
      </c>
      <c r="H1896" s="72">
        <f>SUMIF(Adat!$AH:$AH,CONCATENATE(Info!$D$5,"(ÖNV)","094101",L1853),Adat!$E:$E)*-1</f>
        <v>0</v>
      </c>
      <c r="I1896" s="72">
        <f>SUMIF(Adat!$AH:$AH,CONCATENATE(Info!$D$5,"(ÁIG)","094101",L1853),Adat!$E:$E)*-1</f>
        <v>0</v>
      </c>
    </row>
    <row r="1897" spans="2:9" x14ac:dyDescent="0.25">
      <c r="B1897" s="160">
        <v>42</v>
      </c>
      <c r="C1897" s="305" t="s">
        <v>1297</v>
      </c>
      <c r="D1897" s="84" t="s">
        <v>1372</v>
      </c>
      <c r="E1897" s="72">
        <f>SUMIF(Adat!$AG:$AG,CONCATENATE(61,Info!$D$5,"094111",L1853),Adat!$E:$E)*-1</f>
        <v>0</v>
      </c>
      <c r="F1897" s="72">
        <f>SUMIF(Adat!$AG:$AG,CONCATENATE(60,Info!$D$5,"094111",L1853),Adat!$E:$E)*-1+E1897</f>
        <v>0</v>
      </c>
      <c r="G1897" s="72">
        <f>SUMIF(Adat!$AH:$AH,CONCATENATE(Info!$D$5,"(KÖT)","094111",L1853),Adat!$E:$E)*-1</f>
        <v>0</v>
      </c>
      <c r="H1897" s="72">
        <f>SUMIF(Adat!$AH:$AH,CONCATENATE(Info!$D$5,"(ÖNV)","094111",L1853),Adat!$E:$E)*-1</f>
        <v>0</v>
      </c>
      <c r="I1897" s="72">
        <f>SUMIF(Adat!$AH:$AH,CONCATENATE(Info!$D$5,"(ÁIG)","094111",L1853),Adat!$E:$E)*-1</f>
        <v>0</v>
      </c>
    </row>
    <row r="1898" spans="2:9" x14ac:dyDescent="0.25">
      <c r="B1898" s="160">
        <v>43</v>
      </c>
      <c r="C1898" s="79" t="s">
        <v>33</v>
      </c>
      <c r="D1898" s="79" t="s">
        <v>330</v>
      </c>
      <c r="E1898" s="71">
        <f>SUM(E1899:E1903)</f>
        <v>0</v>
      </c>
      <c r="F1898" s="71">
        <f>SUM(F1899:F1903)</f>
        <v>0</v>
      </c>
      <c r="G1898" s="71">
        <f>SUM(G1899:G1903)</f>
        <v>0</v>
      </c>
      <c r="H1898" s="71">
        <f>SUM(H1899:H1903)</f>
        <v>0</v>
      </c>
      <c r="I1898" s="71">
        <f>SUM(I1899:I1903)</f>
        <v>0</v>
      </c>
    </row>
    <row r="1899" spans="2:9" x14ac:dyDescent="0.2">
      <c r="B1899" s="160">
        <v>44</v>
      </c>
      <c r="C1899" s="305" t="s">
        <v>1373</v>
      </c>
      <c r="D1899" s="82" t="s">
        <v>1374</v>
      </c>
      <c r="E1899" s="72">
        <f>SUMIF(Adat!$AG:$AG,CONCATENATE(61,Info!$D$5,"09511",L1853),Adat!$E:$E)*-1</f>
        <v>0</v>
      </c>
      <c r="F1899" s="72">
        <f>SUMIF(Adat!$AG:$AG,CONCATENATE(60,Info!$D$5,"09511",L1853),Adat!$E:$E)*-1+E1899</f>
        <v>0</v>
      </c>
      <c r="G1899" s="72">
        <f>SUMIF(Adat!$AH:$AH,CONCATENATE(Info!$D$5,"(KÖT)","09511",L1853),Adat!$E:$E)*-1</f>
        <v>0</v>
      </c>
      <c r="H1899" s="72">
        <f>SUMIF(Adat!$AH:$AH,CONCATENATE(Info!$D$5,"(ÖNV)","09511",L1853),Adat!$E:$E)*-1</f>
        <v>0</v>
      </c>
      <c r="I1899" s="72">
        <f>SUMIF(Adat!$AH:$AH,CONCATENATE(Info!$D$5,"(ÁIG)","09511",L1853),Adat!$E:$E)*-1</f>
        <v>0</v>
      </c>
    </row>
    <row r="1900" spans="2:9" x14ac:dyDescent="0.2">
      <c r="B1900" s="160">
        <v>45</v>
      </c>
      <c r="C1900" s="305" t="s">
        <v>1294</v>
      </c>
      <c r="D1900" s="82" t="s">
        <v>1375</v>
      </c>
      <c r="E1900" s="72">
        <f>SUMIF(Adat!$AG:$AG,CONCATENATE(61,Info!$D$5,"09521",L1853),Adat!$E:$E)*-1</f>
        <v>0</v>
      </c>
      <c r="F1900" s="72">
        <f>SUMIF(Adat!$AG:$AG,CONCATENATE(60,Info!$D$5,"09521",L1853),Adat!$E:$E)*-1+E1900</f>
        <v>0</v>
      </c>
      <c r="G1900" s="72">
        <f>SUMIF(Adat!$AH:$AH,CONCATENATE(Info!$D$5,"(KÖT)","09521",L1853),Adat!$E:$E)*-1</f>
        <v>0</v>
      </c>
      <c r="H1900" s="72">
        <f>SUMIF(Adat!$AH:$AH,CONCATENATE(Info!$D$5,"(ÖNV)","09521",L1853),Adat!$E:$E)*-1</f>
        <v>0</v>
      </c>
      <c r="I1900" s="72">
        <f>SUMIF(Adat!$AH:$AH,CONCATENATE(Info!$D$5,"(ÁIG)","09521",L1853),Adat!$E:$E)*-1</f>
        <v>0</v>
      </c>
    </row>
    <row r="1901" spans="2:9" x14ac:dyDescent="0.2">
      <c r="B1901" s="160">
        <v>46</v>
      </c>
      <c r="C1901" s="305" t="s">
        <v>1376</v>
      </c>
      <c r="D1901" s="82" t="s">
        <v>1377</v>
      </c>
      <c r="E1901" s="72">
        <f>SUMIF(Adat!$AG:$AG,CONCATENATE(61,Info!$D$5,"09531",L1853),Adat!$E:$E)*-1</f>
        <v>0</v>
      </c>
      <c r="F1901" s="72">
        <f>SUMIF(Adat!$AG:$AG,CONCATENATE(60,Info!$D$5,"09531",L1853),Adat!$E:$E)*-1+E1901</f>
        <v>0</v>
      </c>
      <c r="G1901" s="72">
        <f>SUMIF(Adat!$AH:$AH,CONCATENATE(Info!$D$5,"(KÖT)","09531",L1853),Adat!$E:$E)*-1</f>
        <v>0</v>
      </c>
      <c r="H1901" s="72">
        <f>SUMIF(Adat!$AH:$AH,CONCATENATE(Info!$D$5,"(ÖNV)","09531",L1853),Adat!$E:$E)*-1</f>
        <v>0</v>
      </c>
      <c r="I1901" s="72">
        <f>SUMIF(Adat!$AH:$AH,CONCATENATE(Info!$D$5,"(ÁIG)","09531",L1853),Adat!$E:$E)*-1</f>
        <v>0</v>
      </c>
    </row>
    <row r="1902" spans="2:9" x14ac:dyDescent="0.2">
      <c r="B1902" s="160">
        <v>47</v>
      </c>
      <c r="C1902" s="305" t="s">
        <v>1378</v>
      </c>
      <c r="D1902" s="82" t="s">
        <v>1379</v>
      </c>
      <c r="E1902" s="72">
        <f>SUMIF(Adat!$AG:$AG,CONCATENATE(61,Info!$D$5,"09541",L1853),Adat!$E:$E)*-1</f>
        <v>0</v>
      </c>
      <c r="F1902" s="72">
        <f>SUMIF(Adat!$AG:$AG,CONCATENATE(60,Info!$D$5,"09541",L1853),Adat!$E:$E)*-1+E1902</f>
        <v>0</v>
      </c>
      <c r="G1902" s="72">
        <f>SUMIF(Adat!$AH:$AH,CONCATENATE(Info!$D$5,"(KÖT)","09541",L1853),Adat!$E:$E)*-1</f>
        <v>0</v>
      </c>
      <c r="H1902" s="72">
        <f>SUMIF(Adat!$AH:$AH,CONCATENATE(Info!$D$5,"(ÖNV)","09541",L1853),Adat!$E:$E)*-1</f>
        <v>0</v>
      </c>
      <c r="I1902" s="72">
        <f>SUMIF(Adat!$AH:$AH,CONCATENATE(Info!$D$5,"(ÁIG)","09541",L1853),Adat!$E:$E)*-1</f>
        <v>0</v>
      </c>
    </row>
    <row r="1903" spans="2:9" x14ac:dyDescent="0.25">
      <c r="B1903" s="160">
        <v>48</v>
      </c>
      <c r="C1903" s="305" t="s">
        <v>1380</v>
      </c>
      <c r="D1903" s="84" t="s">
        <v>1381</v>
      </c>
      <c r="E1903" s="72">
        <f>SUMIF(Adat!$AG:$AG,CONCATENATE(61,Info!$D$5,"09551",L1853),Adat!$E:$E)*-1</f>
        <v>0</v>
      </c>
      <c r="F1903" s="72">
        <f>SUMIF(Adat!$AG:$AG,CONCATENATE(60,Info!$D$5,"09551",L1853),Adat!$E:$E)*-1+E1903</f>
        <v>0</v>
      </c>
      <c r="G1903" s="72">
        <f>SUMIF(Adat!$AH:$AH,CONCATENATE(Info!$D$5,"(KÖT)","09551",L1853),Adat!$E:$E)*-1</f>
        <v>0</v>
      </c>
      <c r="H1903" s="72">
        <f>SUMIF(Adat!$AH:$AH,CONCATENATE(Info!$D$5,"(ÖNV)","09551",L1853),Adat!$E:$E)*-1</f>
        <v>0</v>
      </c>
      <c r="I1903" s="72">
        <f>SUMIF(Adat!$AH:$AH,CONCATENATE(Info!$D$5,"(ÁIG)","09551",L1853),Adat!$E:$E)*-1</f>
        <v>0</v>
      </c>
    </row>
    <row r="1904" spans="2:9" x14ac:dyDescent="0.25">
      <c r="B1904" s="160">
        <v>49</v>
      </c>
      <c r="C1904" s="79" t="s">
        <v>36</v>
      </c>
      <c r="D1904" s="79" t="s">
        <v>331</v>
      </c>
      <c r="E1904" s="71">
        <f>SUM(E1905:E1909)</f>
        <v>0</v>
      </c>
      <c r="F1904" s="71">
        <f t="shared" ref="F1904:I1904" si="201">SUM(F1905:F1909)</f>
        <v>0</v>
      </c>
      <c r="G1904" s="71">
        <f t="shared" si="201"/>
        <v>0</v>
      </c>
      <c r="H1904" s="71">
        <f t="shared" si="201"/>
        <v>0</v>
      </c>
      <c r="I1904" s="71">
        <f t="shared" si="201"/>
        <v>0</v>
      </c>
    </row>
    <row r="1905" spans="2:9" x14ac:dyDescent="0.2">
      <c r="B1905" s="160">
        <v>50</v>
      </c>
      <c r="C1905" s="305" t="s">
        <v>1382</v>
      </c>
      <c r="D1905" s="82" t="s">
        <v>1383</v>
      </c>
      <c r="E1905" s="72">
        <f>SUMIF(Adat!$AG:$AG,CONCATENATE(61,Info!$D$5,"09611",L1853),Adat!$E:$E)*-1</f>
        <v>0</v>
      </c>
      <c r="F1905" s="72">
        <f>SUMIF(Adat!$AG:$AG,CONCATENATE(60,Info!$D$5,"09611",L1853),Adat!$E:$E)*-1+E1905</f>
        <v>0</v>
      </c>
      <c r="G1905" s="72">
        <f>SUMIF(Adat!$AH:$AH,CONCATENATE(Info!$D$5,"(KÖT)","09611",L1853),Adat!$E:$E)*-1</f>
        <v>0</v>
      </c>
      <c r="H1905" s="72">
        <f>SUMIF(Adat!$AH:$AH,CONCATENATE(Info!$D$5,"(ÖNV)","09611",L1853),Adat!$E:$E)*-1</f>
        <v>0</v>
      </c>
      <c r="I1905" s="72">
        <f>SUMIF(Adat!$AH:$AH,CONCATENATE(Info!$D$5,"(ÁIG)","09611",L1853),Adat!$E:$E)*-1</f>
        <v>0</v>
      </c>
    </row>
    <row r="1906" spans="2:9" x14ac:dyDescent="0.2">
      <c r="B1906" s="160">
        <v>51</v>
      </c>
      <c r="C1906" s="305" t="s">
        <v>1384</v>
      </c>
      <c r="D1906" s="82" t="s">
        <v>1385</v>
      </c>
      <c r="E1906" s="72">
        <f>SUMIF(Adat!$AG:$AG,CONCATENATE(61,Info!$D$5,"09621",L1853),Adat!$E:$E)*-1</f>
        <v>0</v>
      </c>
      <c r="F1906" s="72">
        <f>SUMIF(Adat!$AG:$AG,CONCATENATE(60,Info!$D$5,"09621",L1853),Adat!$E:$E)*-1+E1906</f>
        <v>0</v>
      </c>
      <c r="G1906" s="72">
        <f>SUMIF(Adat!$AH:$AH,CONCATENATE(Info!$D$5,"(KÖT)","09621",L1853),Adat!$E:$E)*-1</f>
        <v>0</v>
      </c>
      <c r="H1906" s="72">
        <f>SUMIF(Adat!$AH:$AH,CONCATENATE(Info!$D$5,"(ÖNV)","09621",L1853),Adat!$E:$E)*-1</f>
        <v>0</v>
      </c>
      <c r="I1906" s="72">
        <f>SUMIF(Adat!$AH:$AH,CONCATENATE(Info!$D$5,"(ÁIG)","09621",L1853),Adat!$E:$E)*-1</f>
        <v>0</v>
      </c>
    </row>
    <row r="1907" spans="2:9" x14ac:dyDescent="0.2">
      <c r="B1907" s="160">
        <v>52</v>
      </c>
      <c r="C1907" s="305" t="s">
        <v>1386</v>
      </c>
      <c r="D1907" s="82" t="s">
        <v>1387</v>
      </c>
      <c r="E1907" s="72">
        <f>SUMIF(Adat!$AG:$AG,CONCATENATE(61,Info!$D$5,"09631",L1853),Adat!$E:$E)*-1</f>
        <v>0</v>
      </c>
      <c r="F1907" s="72">
        <f>SUMIF(Adat!$AG:$AG,CONCATENATE(60,Info!$D$5,"09631",L1853),Adat!$E:$E)*-1+E1907</f>
        <v>0</v>
      </c>
      <c r="G1907" s="72">
        <f>SUMIF(Adat!$AH:$AH,CONCATENATE(Info!$D$5,"(KÖT)","09631",L1853),Adat!$E:$E)*-1</f>
        <v>0</v>
      </c>
      <c r="H1907" s="72">
        <f>SUMIF(Adat!$AH:$AH,CONCATENATE(Info!$D$5,"(ÖNV)","09631",L1853),Adat!$E:$E)*-1</f>
        <v>0</v>
      </c>
      <c r="I1907" s="72">
        <f>SUMIF(Adat!$AH:$AH,CONCATENATE(Info!$D$5,"(ÁIG)","09631",L1853),Adat!$E:$E)*-1</f>
        <v>0</v>
      </c>
    </row>
    <row r="1908" spans="2:9" x14ac:dyDescent="0.2">
      <c r="B1908" s="160">
        <v>53</v>
      </c>
      <c r="C1908" s="305" t="s">
        <v>1388</v>
      </c>
      <c r="D1908" s="82" t="s">
        <v>1389</v>
      </c>
      <c r="E1908" s="72">
        <f>SUMIF(Adat!$AG:$AG,CONCATENATE(61,Info!$D$5,"09641",L1853),Adat!$E:$E)*-1</f>
        <v>0</v>
      </c>
      <c r="F1908" s="72">
        <f>SUMIF(Adat!$AG:$AG,CONCATENATE(60,Info!$D$5,"09641",L1853),Adat!$E:$E)*-1+E1908</f>
        <v>0</v>
      </c>
      <c r="G1908" s="72">
        <f>SUMIF(Adat!$AH:$AH,CONCATENATE(Info!$D$5,"(KÖT)","09641",L1853),Adat!$E:$E)*-1</f>
        <v>0</v>
      </c>
      <c r="H1908" s="72">
        <f>SUMIF(Adat!$AH:$AH,CONCATENATE(Info!$D$5,"(ÖNV)","09641",L1853),Adat!$E:$E)*-1</f>
        <v>0</v>
      </c>
      <c r="I1908" s="72">
        <f>SUMIF(Adat!$AH:$AH,CONCATENATE(Info!$D$5,"(ÁIG)","09641",L1853),Adat!$E:$E)*-1</f>
        <v>0</v>
      </c>
    </row>
    <row r="1909" spans="2:9" x14ac:dyDescent="0.2">
      <c r="B1909" s="160">
        <v>54</v>
      </c>
      <c r="C1909" s="305" t="s">
        <v>1310</v>
      </c>
      <c r="D1909" s="82" t="s">
        <v>1390</v>
      </c>
      <c r="E1909" s="72">
        <f>SUMIF(Adat!$AG:$AG,CONCATENATE(61,Info!$D$5,"09651",L1853),Adat!$E:$E)*-1</f>
        <v>0</v>
      </c>
      <c r="F1909" s="72">
        <f>SUMIF(Adat!$AG:$AG,CONCATENATE(60,Info!$D$5,"09651",L1853),Adat!$E:$E)*-1+E1909</f>
        <v>0</v>
      </c>
      <c r="G1909" s="72">
        <f>SUMIF(Adat!$AH:$AH,CONCATENATE(Info!$D$5,"(KÖT)","09651",L1853),Adat!$E:$E)*-1</f>
        <v>0</v>
      </c>
      <c r="H1909" s="72">
        <f>SUMIF(Adat!$AH:$AH,CONCATENATE(Info!$D$5,"(ÖNV)","09651",L1853),Adat!$E:$E)*-1</f>
        <v>0</v>
      </c>
      <c r="I1909" s="72">
        <f>SUMIF(Adat!$AH:$AH,CONCATENATE(Info!$D$5,"(ÁIG)","09651",L1853),Adat!$E:$E)*-1</f>
        <v>0</v>
      </c>
    </row>
    <row r="1910" spans="2:9" x14ac:dyDescent="0.25">
      <c r="B1910" s="160">
        <v>55</v>
      </c>
      <c r="C1910" s="79" t="s">
        <v>38</v>
      </c>
      <c r="D1910" s="85" t="s">
        <v>332</v>
      </c>
      <c r="E1910" s="71">
        <f>SUM(E1911:E1915)</f>
        <v>0</v>
      </c>
      <c r="F1910" s="71">
        <f t="shared" ref="F1910:I1910" si="202">SUM(F1911:F1915)</f>
        <v>0</v>
      </c>
      <c r="G1910" s="71">
        <f t="shared" si="202"/>
        <v>0</v>
      </c>
      <c r="H1910" s="71">
        <f t="shared" si="202"/>
        <v>0</v>
      </c>
      <c r="I1910" s="71">
        <f t="shared" si="202"/>
        <v>0</v>
      </c>
    </row>
    <row r="1911" spans="2:9" x14ac:dyDescent="0.2">
      <c r="B1911" s="160">
        <v>56</v>
      </c>
      <c r="C1911" s="305" t="s">
        <v>1391</v>
      </c>
      <c r="D1911" s="82" t="s">
        <v>1392</v>
      </c>
      <c r="E1911" s="72">
        <f>SUMIF(Adat!$AG:$AG,CONCATENATE(61,Info!$D$5,"09711",L1853),Adat!$E:$E)*-1</f>
        <v>0</v>
      </c>
      <c r="F1911" s="72">
        <f>SUMIF(Adat!$AG:$AG,CONCATENATE(60,Info!$D$5,"09711",L1853),Adat!$E:$E)*-1+E1911</f>
        <v>0</v>
      </c>
      <c r="G1911" s="72">
        <f>SUMIF(Adat!$AH:$AH,CONCATENATE(Info!$D$5,"(KÖT)","09711",L1853),Adat!$E:$E)*-1</f>
        <v>0</v>
      </c>
      <c r="H1911" s="72">
        <f>SUMIF(Adat!$AH:$AH,CONCATENATE(Info!$D$5,"(ÖNV)","09711",L1853),Adat!$E:$E)*-1</f>
        <v>0</v>
      </c>
      <c r="I1911" s="72">
        <f>SUMIF(Adat!$AH:$AH,CONCATENATE(Info!$D$5,"(ÁIG)","09711",L1853),Adat!$E:$E)*-1</f>
        <v>0</v>
      </c>
    </row>
    <row r="1912" spans="2:9" x14ac:dyDescent="0.2">
      <c r="B1912" s="160">
        <v>57</v>
      </c>
      <c r="C1912" s="305" t="s">
        <v>1393</v>
      </c>
      <c r="D1912" s="82" t="s">
        <v>1394</v>
      </c>
      <c r="E1912" s="72">
        <f>SUMIF(Adat!$AG:$AG,CONCATENATE(61,Info!$D$5,"09721",L1853),Adat!$E:$E)*-1</f>
        <v>0</v>
      </c>
      <c r="F1912" s="72">
        <f>SUMIF(Adat!$AG:$AG,CONCATENATE(60,Info!$D$5,"09721",L1853),Adat!$E:$E)*-1+E1912</f>
        <v>0</v>
      </c>
      <c r="G1912" s="72">
        <f>SUMIF(Adat!$AH:$AH,CONCATENATE(Info!$D$5,"(KÖT)","09721",L1853),Adat!$E:$E)*-1</f>
        <v>0</v>
      </c>
      <c r="H1912" s="72">
        <f>SUMIF(Adat!$AH:$AH,CONCATENATE(Info!$D$5,"(ÖNV)","09721",L1853),Adat!$E:$E)*-1</f>
        <v>0</v>
      </c>
      <c r="I1912" s="72">
        <f>SUMIF(Adat!$AH:$AH,CONCATENATE(Info!$D$5,"(ÁIG)","09721",L1853),Adat!$E:$E)*-1</f>
        <v>0</v>
      </c>
    </row>
    <row r="1913" spans="2:9" x14ac:dyDescent="0.2">
      <c r="B1913" s="160">
        <v>58</v>
      </c>
      <c r="C1913" s="305" t="s">
        <v>1395</v>
      </c>
      <c r="D1913" s="82" t="s">
        <v>1396</v>
      </c>
      <c r="E1913" s="72">
        <f>SUMIF(Adat!$AG:$AG,CONCATENATE(61,Info!$D$5,"09731",L1853),Adat!$E:$E)*-1</f>
        <v>0</v>
      </c>
      <c r="F1913" s="72">
        <f>SUMIF(Adat!$AG:$AG,CONCATENATE(60,Info!$D$5,"09731",L1853),Adat!$E:$E)*-1+E1913</f>
        <v>0</v>
      </c>
      <c r="G1913" s="72">
        <f>SUMIF(Adat!$AH:$AH,CONCATENATE(Info!$D$5,"(KÖT)","09731",L1853),Adat!$E:$E)*-1</f>
        <v>0</v>
      </c>
      <c r="H1913" s="72">
        <f>SUMIF(Adat!$AH:$AH,CONCATENATE(Info!$D$5,"(ÖNV)","09731",L1853),Adat!$E:$E)*-1</f>
        <v>0</v>
      </c>
      <c r="I1913" s="72">
        <f>SUMIF(Adat!$AH:$AH,CONCATENATE(Info!$D$5,"(ÁIG)","09731",L1853),Adat!$E:$E)*-1</f>
        <v>0</v>
      </c>
    </row>
    <row r="1914" spans="2:9" x14ac:dyDescent="0.2">
      <c r="B1914" s="160">
        <v>59</v>
      </c>
      <c r="C1914" s="305" t="s">
        <v>1397</v>
      </c>
      <c r="D1914" s="82" t="s">
        <v>1398</v>
      </c>
      <c r="E1914" s="72">
        <f>SUMIF(Adat!$AG:$AG,CONCATENATE(61,Info!$D$5,"09741",L1853),Adat!$E:$E)*-1</f>
        <v>0</v>
      </c>
      <c r="F1914" s="72">
        <f>SUMIF(Adat!$AG:$AG,CONCATENATE(60,Info!$D$5,"09741",L1853),Adat!$E:$E)*-1+E1914</f>
        <v>0</v>
      </c>
      <c r="G1914" s="72">
        <f>SUMIF(Adat!$AH:$AH,CONCATENATE(Info!$D$5,"(KÖT)","09741",L1853),Adat!$E:$E)*-1</f>
        <v>0</v>
      </c>
      <c r="H1914" s="72">
        <f>SUMIF(Adat!$AH:$AH,CONCATENATE(Info!$D$5,"(ÖNV)","09741",L1853),Adat!$E:$E)*-1</f>
        <v>0</v>
      </c>
      <c r="I1914" s="72">
        <f>SUMIF(Adat!$AH:$AH,CONCATENATE(Info!$D$5,"(ÁIG)","09741",L1853),Adat!$E:$E)*-1</f>
        <v>0</v>
      </c>
    </row>
    <row r="1915" spans="2:9" x14ac:dyDescent="0.25">
      <c r="B1915" s="160">
        <v>60</v>
      </c>
      <c r="C1915" s="305" t="s">
        <v>1399</v>
      </c>
      <c r="D1915" s="84" t="s">
        <v>1400</v>
      </c>
      <c r="E1915" s="72">
        <f>SUMIF(Adat!$AG:$AG,CONCATENATE(61,Info!$D$5,"09751",L1853),Adat!$E:$E)*-1</f>
        <v>0</v>
      </c>
      <c r="F1915" s="72">
        <f>SUMIF(Adat!$AG:$AG,CONCATENATE(60,Info!$D$5,"09751",L1853),Adat!$E:$E)*-1+E1915</f>
        <v>0</v>
      </c>
      <c r="G1915" s="72">
        <f>SUMIF(Adat!$AH:$AH,CONCATENATE(Info!$D$5,"(KÖT)","09751",L1853),Adat!$E:$E)*-1</f>
        <v>0</v>
      </c>
      <c r="H1915" s="72">
        <f>SUMIF(Adat!$AH:$AH,CONCATENATE(Info!$D$5,"(ÖNV)","09751",L1853),Adat!$E:$E)*-1</f>
        <v>0</v>
      </c>
      <c r="I1915" s="72">
        <f>SUMIF(Adat!$AH:$AH,CONCATENATE(Info!$D$5,"(ÁIG)","09751",L1853),Adat!$E:$E)*-1</f>
        <v>0</v>
      </c>
    </row>
    <row r="1916" spans="2:9" x14ac:dyDescent="0.25">
      <c r="B1916" s="160">
        <v>61</v>
      </c>
      <c r="C1916" s="78" t="s">
        <v>352</v>
      </c>
      <c r="D1916" s="86" t="s">
        <v>1401</v>
      </c>
      <c r="E1916" s="71">
        <f>+E1857+E1865+E1871+E1877+E1884+E1898+E1904+E1910</f>
        <v>0</v>
      </c>
      <c r="F1916" s="71">
        <f>+F1857+F1865+F1871+F1877+F1884+F1898+F1904+F1910</f>
        <v>0</v>
      </c>
      <c r="G1916" s="71">
        <f>+G1857+G1865+G1871+G1877+G1884+G1898+G1904+G1910</f>
        <v>0</v>
      </c>
      <c r="H1916" s="71">
        <f>+H1857+H1865+H1871+H1877+H1884+H1898+H1904+H1910</f>
        <v>0</v>
      </c>
      <c r="I1916" s="71">
        <f>+I1857+I1865+I1871+I1877+I1884+I1898+I1904+I1910</f>
        <v>0</v>
      </c>
    </row>
    <row r="1917" spans="2:9" x14ac:dyDescent="0.25">
      <c r="B1917" s="160">
        <v>62</v>
      </c>
      <c r="C1917" s="154" t="s">
        <v>1402</v>
      </c>
      <c r="D1917" s="85" t="s">
        <v>1403</v>
      </c>
      <c r="E1917" s="71">
        <f t="shared" ref="E1917:G1917" si="203">SUM(E1918:E1920)</f>
        <v>0</v>
      </c>
      <c r="F1917" s="71">
        <f t="shared" si="203"/>
        <v>0</v>
      </c>
      <c r="G1917" s="71">
        <f t="shared" si="203"/>
        <v>0</v>
      </c>
      <c r="H1917" s="71">
        <f>SUM(H1918:H1920)</f>
        <v>0</v>
      </c>
      <c r="I1917" s="71">
        <f>SUM(I1918:I1920)</f>
        <v>0</v>
      </c>
    </row>
    <row r="1918" spans="2:9" x14ac:dyDescent="0.2">
      <c r="B1918" s="160">
        <v>63</v>
      </c>
      <c r="C1918" s="305" t="s">
        <v>1404</v>
      </c>
      <c r="D1918" s="82" t="s">
        <v>1405</v>
      </c>
      <c r="E1918" s="72">
        <f>SUMIF(Adat!$AG:$AG,CONCATENATE(61,Info!$D$5,"0981111",L1853),Adat!$E:$E)*-1</f>
        <v>0</v>
      </c>
      <c r="F1918" s="72">
        <f>SUMIF(Adat!$AG:$AG,CONCATENATE(60,Info!$D$5,"0981111",L1853),Adat!$E:$E)*-1+E1918</f>
        <v>0</v>
      </c>
      <c r="G1918" s="72">
        <f>SUMIF(Adat!$AH:$AH,CONCATENATE(Info!$D$5,"(KÖT)","0981111",L1853),Adat!$E:$E)*-1</f>
        <v>0</v>
      </c>
      <c r="H1918" s="72">
        <f>SUMIF(Adat!$AH:$AH,CONCATENATE(Info!$D$5,"(ÖNV)","0981111",L1853),Adat!$E:$E)*-1</f>
        <v>0</v>
      </c>
      <c r="I1918" s="72">
        <f>SUMIF(Adat!$AH:$AH,CONCATENATE(Info!$D$5,"(ÁIG)","0981111",L1853),Adat!$E:$E)*-1</f>
        <v>0</v>
      </c>
    </row>
    <row r="1919" spans="2:9" x14ac:dyDescent="0.2">
      <c r="B1919" s="160">
        <v>64</v>
      </c>
      <c r="C1919" s="305" t="s">
        <v>1406</v>
      </c>
      <c r="D1919" s="82" t="s">
        <v>1407</v>
      </c>
      <c r="E1919" s="72">
        <f>SUMIF(Adat!$AG:$AG,CONCATENATE(61,Info!$D$5,"0981121",L1853),Adat!$E:$E)*-1</f>
        <v>0</v>
      </c>
      <c r="F1919" s="72">
        <f>SUMIF(Adat!$AG:$AG,CONCATENATE(60,Info!$D$5,"0981121",L1853),Adat!$E:$E)*-1+E1919</f>
        <v>0</v>
      </c>
      <c r="G1919" s="72">
        <f>SUMIF(Adat!$AH:$AH,CONCATENATE(Info!$D$5,"(KÖT)","0981121",L1853),Adat!$E:$E)*-1</f>
        <v>0</v>
      </c>
      <c r="H1919" s="72">
        <f>SUMIF(Adat!$AH:$AH,CONCATENATE(Info!$D$5,"(ÖNV)","0981121",L1853),Adat!$E:$E)*-1</f>
        <v>0</v>
      </c>
      <c r="I1919" s="72">
        <f>SUMIF(Adat!$AH:$AH,CONCATENATE(Info!$D$5,"(ÁIG)","0981121",L1853),Adat!$E:$E)*-1</f>
        <v>0</v>
      </c>
    </row>
    <row r="1920" spans="2:9" x14ac:dyDescent="0.2">
      <c r="B1920" s="160">
        <v>65</v>
      </c>
      <c r="C1920" s="305" t="s">
        <v>1408</v>
      </c>
      <c r="D1920" s="82" t="s">
        <v>1409</v>
      </c>
      <c r="E1920" s="72">
        <f>SUMIF(Adat!$AG:$AG,CONCATENATE(61,Info!$D$5,"0981131",L1853),Adat!$E:$E)*-1</f>
        <v>0</v>
      </c>
      <c r="F1920" s="72">
        <f>SUMIF(Adat!$AG:$AG,CONCATENATE(60,Info!$D$5,"0981131",L1853),Adat!$E:$E)*-1+E1920</f>
        <v>0</v>
      </c>
      <c r="G1920" s="72">
        <f>SUMIF(Adat!$AH:$AH,CONCATENATE(Info!$D$5,"(KÖT)","0981131",L1853),Adat!$E:$E)*-1</f>
        <v>0</v>
      </c>
      <c r="H1920" s="72">
        <f>SUMIF(Adat!$AH:$AH,CONCATENATE(Info!$D$5,"(ÖNV)","0981131",L1853),Adat!$E:$E)*-1</f>
        <v>0</v>
      </c>
      <c r="I1920" s="72">
        <f>SUMIF(Adat!$AH:$AH,CONCATENATE(Info!$D$5,"(ÁIG)","0981131",L1853),Adat!$E:$E)*-1</f>
        <v>0</v>
      </c>
    </row>
    <row r="1921" spans="2:9" x14ac:dyDescent="0.25">
      <c r="B1921" s="160">
        <v>66</v>
      </c>
      <c r="C1921" s="154" t="s">
        <v>1410</v>
      </c>
      <c r="D1921" s="85" t="s">
        <v>574</v>
      </c>
      <c r="E1921" s="71">
        <f>SUM(E1922:E1925)</f>
        <v>0</v>
      </c>
      <c r="F1921" s="71">
        <f t="shared" ref="F1921" si="204">SUM(F1922:F1925)</f>
        <v>0</v>
      </c>
      <c r="G1921" s="71">
        <f>SUM(G1922:G1925)</f>
        <v>0</v>
      </c>
      <c r="H1921" s="71">
        <f>SUM(H1922:H1925)</f>
        <v>0</v>
      </c>
      <c r="I1921" s="71">
        <f>SUM(I1922:I1925)</f>
        <v>0</v>
      </c>
    </row>
    <row r="1922" spans="2:9" x14ac:dyDescent="0.2">
      <c r="B1922" s="160">
        <v>67</v>
      </c>
      <c r="C1922" s="305" t="s">
        <v>1411</v>
      </c>
      <c r="D1922" s="82" t="s">
        <v>1412</v>
      </c>
      <c r="E1922" s="72">
        <f>SUMIF(Adat!$AG:$AG,CONCATENATE(61,Info!$D$5,"0981211",L1853),Adat!$E:$E)*-1</f>
        <v>0</v>
      </c>
      <c r="F1922" s="72">
        <f>SUMIF(Adat!$AG:$AG,CONCATENATE(60,Info!$D$5,"0981211",L1853),Adat!$E:$E)*-1+E1922</f>
        <v>0</v>
      </c>
      <c r="G1922" s="72">
        <f>SUMIF(Adat!$AH:$AH,CONCATENATE(Info!$D$5,"(KÖT)","0981211",L1853),Adat!$E:$E)*-1</f>
        <v>0</v>
      </c>
      <c r="H1922" s="72">
        <f>SUMIF(Adat!$AH:$AH,CONCATENATE(Info!$D$5,"(ÖNV)","0981211",L1853),Adat!$E:$E)*-1</f>
        <v>0</v>
      </c>
      <c r="I1922" s="72">
        <f>SUMIF(Adat!$AH:$AH,CONCATENATE(Info!$D$5,"(ÁIG)","0981211",L1853),Adat!$E:$E)*-1</f>
        <v>0</v>
      </c>
    </row>
    <row r="1923" spans="2:9" x14ac:dyDescent="0.2">
      <c r="B1923" s="160">
        <v>68</v>
      </c>
      <c r="C1923" s="305" t="s">
        <v>1413</v>
      </c>
      <c r="D1923" s="82" t="s">
        <v>1414</v>
      </c>
      <c r="E1923" s="72">
        <f>SUMIF(Adat!$AG:$AG,CONCATENATE(61,Info!$D$5,"0981221",L1853),Adat!$E:$E)*-1</f>
        <v>0</v>
      </c>
      <c r="F1923" s="72">
        <f>SUMIF(Adat!$AG:$AG,CONCATENATE(60,Info!$D$5,"0981221",L1853),Adat!$E:$E)*-1+E1923</f>
        <v>0</v>
      </c>
      <c r="G1923" s="72">
        <f>SUMIF(Adat!$AH:$AH,CONCATENATE(Info!$D$5,"(KÖT)","0981221",L1853),Adat!$E:$E)*-1</f>
        <v>0</v>
      </c>
      <c r="H1923" s="72">
        <f>SUMIF(Adat!$AH:$AH,CONCATENATE(Info!$D$5,"(ÖNV)","0981221",L1853),Adat!$E:$E)*-1</f>
        <v>0</v>
      </c>
      <c r="I1923" s="72">
        <f>SUMIF(Adat!$AH:$AH,CONCATENATE(Info!$D$5,"(ÁIG)","0981221",L1853),Adat!$E:$E)*-1</f>
        <v>0</v>
      </c>
    </row>
    <row r="1924" spans="2:9" x14ac:dyDescent="0.2">
      <c r="B1924" s="160">
        <v>69</v>
      </c>
      <c r="C1924" s="305" t="s">
        <v>1313</v>
      </c>
      <c r="D1924" s="82" t="s">
        <v>1415</v>
      </c>
      <c r="E1924" s="72">
        <f>SUMIF(Adat!$AG:$AG,CONCATENATE(61,Info!$D$5,"0981231",L1853),Adat!$E:$E)*-1</f>
        <v>0</v>
      </c>
      <c r="F1924" s="72">
        <f>SUMIF(Adat!$AG:$AG,CONCATENATE(60,Info!$D$5,"0981231",L1853),Adat!$E:$E)*-1+E1924</f>
        <v>0</v>
      </c>
      <c r="G1924" s="72">
        <f>SUMIF(Adat!$AH:$AH,CONCATENATE(Info!$D$5,"(KÖT)","0981231",L1853),Adat!$E:$E)*-1</f>
        <v>0</v>
      </c>
      <c r="H1924" s="72">
        <f>SUMIF(Adat!$AH:$AH,CONCATENATE(Info!$D$5,"(ÖNV)","0981231",L1853),Adat!$E:$E)*-1</f>
        <v>0</v>
      </c>
      <c r="I1924" s="72">
        <f>SUMIF(Adat!$AH:$AH,CONCATENATE(Info!$D$5,"(ÁIG)","0981231",L1853),Adat!$E:$E)*-1</f>
        <v>0</v>
      </c>
    </row>
    <row r="1925" spans="2:9" x14ac:dyDescent="0.25">
      <c r="B1925" s="160">
        <v>70</v>
      </c>
      <c r="C1925" s="305" t="s">
        <v>1416</v>
      </c>
      <c r="D1925" s="84" t="s">
        <v>1417</v>
      </c>
      <c r="E1925" s="72">
        <f>SUMIF(Adat!$AG:$AG,CONCATENATE(61,Info!$D$5,"0981241",L1853),Adat!$E:$E)*-1</f>
        <v>0</v>
      </c>
      <c r="F1925" s="72">
        <f>SUMIF(Adat!$AG:$AG,CONCATENATE(60,Info!$D$5,"0981241",L1853),Adat!$E:$E)*-1+E1925</f>
        <v>0</v>
      </c>
      <c r="G1925" s="72">
        <f>SUMIF(Adat!$AH:$AH,CONCATENATE(Info!$D$5,"(KÖT)","0981241",L1853),Adat!$E:$E)*-1</f>
        <v>0</v>
      </c>
      <c r="H1925" s="72">
        <f>SUMIF(Adat!$AH:$AH,CONCATENATE(Info!$D$5,"(ÖNV)","0981241",L1853),Adat!$E:$E)*-1</f>
        <v>0</v>
      </c>
      <c r="I1925" s="72">
        <f>SUMIF(Adat!$AH:$AH,CONCATENATE(Info!$D$5,"(ÁIG)","0981241",L1853),Adat!$E:$E)*-1</f>
        <v>0</v>
      </c>
    </row>
    <row r="1926" spans="2:9" x14ac:dyDescent="0.25">
      <c r="B1926" s="160">
        <v>71</v>
      </c>
      <c r="C1926" s="154" t="s">
        <v>1418</v>
      </c>
      <c r="D1926" s="85" t="s">
        <v>575</v>
      </c>
      <c r="E1926" s="71">
        <f>SUM(E1927:E1928)</f>
        <v>0</v>
      </c>
      <c r="F1926" s="71">
        <f t="shared" ref="F1926" si="205">SUM(F1927:F1928)</f>
        <v>0</v>
      </c>
      <c r="G1926" s="71">
        <f>SUM(G1927:G1928)</f>
        <v>0</v>
      </c>
      <c r="H1926" s="71">
        <f>SUM(H1927:H1928)</f>
        <v>0</v>
      </c>
      <c r="I1926" s="71">
        <f>SUM(I1927:I1928)</f>
        <v>0</v>
      </c>
    </row>
    <row r="1927" spans="2:9" x14ac:dyDescent="0.2">
      <c r="B1927" s="160">
        <v>72</v>
      </c>
      <c r="C1927" s="305" t="s">
        <v>1274</v>
      </c>
      <c r="D1927" s="82" t="s">
        <v>1419</v>
      </c>
      <c r="E1927" s="72">
        <f>SUMIF(Adat!$AG:$AG,CONCATENATE(61,Info!$D$5,"0981311",L1853),Adat!$E:$E)*-1</f>
        <v>0</v>
      </c>
      <c r="F1927" s="72">
        <f>SUMIF(Adat!$AG:$AG,CONCATENATE(60,Info!$D$5,"0981311",L1853),Adat!$E:$E)*-1+E1927</f>
        <v>0</v>
      </c>
      <c r="G1927" s="72">
        <f>SUMIF(Adat!$AH:$AH,CONCATENATE(Info!$D$5,"(KÖT)","0981311",L1853),Adat!$E:$E)*-1</f>
        <v>0</v>
      </c>
      <c r="H1927" s="72">
        <f>SUMIF(Adat!$AH:$AH,CONCATENATE(Info!$D$5,"(ÖNV)","0981311",L1853),Adat!$E:$E)*-1</f>
        <v>0</v>
      </c>
      <c r="I1927" s="72">
        <f>SUMIF(Adat!$AH:$AH,CONCATENATE(Info!$D$5,"(ÁIG)","0981311",L1853),Adat!$E:$E)*-1</f>
        <v>0</v>
      </c>
    </row>
    <row r="1928" spans="2:9" x14ac:dyDescent="0.25">
      <c r="B1928" s="160">
        <v>73</v>
      </c>
      <c r="C1928" s="305" t="s">
        <v>1420</v>
      </c>
      <c r="D1928" s="84" t="s">
        <v>1421</v>
      </c>
      <c r="E1928" s="72">
        <f>SUMIF(Adat!$AG:$AG,CONCATENATE(61,Info!$D$5,"0981321",L1853),Adat!$E:$E)*-1</f>
        <v>0</v>
      </c>
      <c r="F1928" s="72">
        <f>SUMIF(Adat!$AG:$AG,CONCATENATE(60,Info!$D$5,"0981321",L1853),Adat!$E:$E)*-1+E1928</f>
        <v>0</v>
      </c>
      <c r="G1928" s="72">
        <f>SUMIF(Adat!$AH:$AH,CONCATENATE(Info!$D$5,"(KÖT)","0981321",L1853),Adat!$E:$E)*-1</f>
        <v>0</v>
      </c>
      <c r="H1928" s="72">
        <f>SUMIF(Adat!$AH:$AH,CONCATENATE(Info!$D$5,"(ÖNV)","0981321",L1853),Adat!$E:$E)*-1</f>
        <v>0</v>
      </c>
      <c r="I1928" s="72">
        <f>SUMIF(Adat!$AH:$AH,CONCATENATE(Info!$D$5,"(ÁIG)","0981321",L1853),Adat!$E:$E)*-1</f>
        <v>0</v>
      </c>
    </row>
    <row r="1929" spans="2:9" s="42" customFormat="1" x14ac:dyDescent="0.25">
      <c r="B1929" s="160">
        <v>74</v>
      </c>
      <c r="C1929" s="154" t="s">
        <v>1496</v>
      </c>
      <c r="D1929" s="85" t="s">
        <v>576</v>
      </c>
      <c r="E1929" s="71">
        <f>SUM(E1930:E1932)</f>
        <v>0</v>
      </c>
      <c r="F1929" s="71">
        <f t="shared" ref="F1929" si="206">SUM(F1930:F1932)</f>
        <v>0</v>
      </c>
      <c r="G1929" s="71">
        <f>SUM(G1930:G1932)</f>
        <v>0</v>
      </c>
      <c r="H1929" s="71">
        <f>SUM(H1930:H1932)</f>
        <v>0</v>
      </c>
      <c r="I1929" s="71">
        <f>SUM(I1930:I1932)</f>
        <v>0</v>
      </c>
    </row>
    <row r="1930" spans="2:9" x14ac:dyDescent="0.2">
      <c r="B1930" s="160">
        <v>75</v>
      </c>
      <c r="C1930" s="305" t="s">
        <v>1301</v>
      </c>
      <c r="D1930" s="82" t="s">
        <v>1422</v>
      </c>
      <c r="E1930" s="72">
        <f>SUMIF(Adat!$AG:$AG,CONCATENATE(61,Info!$D$5,"098141",L1853),Adat!$E:$E)*-1</f>
        <v>0</v>
      </c>
      <c r="F1930" s="72">
        <f>SUMIF(Adat!$AG:$AG,CONCATENATE(60,Info!$D$5,"098141",L1853),Adat!$E:$E)*-1+E1930</f>
        <v>0</v>
      </c>
      <c r="G1930" s="72">
        <f>SUMIF(Adat!$AH:$AH,CONCATENATE(Info!$D$5,"(KÖT)","098141",L1853),Adat!$E:$E)*-1</f>
        <v>0</v>
      </c>
      <c r="H1930" s="72">
        <f>SUMIF(Adat!$AH:$AH,CONCATENATE(Info!$D$5,"(ÖNV)","098141",L1853),Adat!$E:$E)*-1</f>
        <v>0</v>
      </c>
      <c r="I1930" s="72">
        <f>SUMIF(Adat!$AH:$AH,CONCATENATE(Info!$D$5,"(ÁIG)","098141",L1853),Adat!$E:$E)*-1</f>
        <v>0</v>
      </c>
    </row>
    <row r="1931" spans="2:9" x14ac:dyDescent="0.2">
      <c r="B1931" s="160">
        <v>76</v>
      </c>
      <c r="C1931" s="305" t="s">
        <v>1423</v>
      </c>
      <c r="D1931" s="82" t="s">
        <v>1424</v>
      </c>
      <c r="E1931" s="72">
        <f>SUMIF(Adat!$AG:$AG,CONCATENATE(61,Info!$D$5,"098151",L1853),Adat!$E:$E)*-1</f>
        <v>0</v>
      </c>
      <c r="F1931" s="72">
        <f>SUMIF(Adat!$AG:$AG,CONCATENATE(60,Info!$D$5,"098151",L1853),Adat!$E:$E)*-1+E1931</f>
        <v>0</v>
      </c>
      <c r="G1931" s="72">
        <f>SUMIF(Adat!$AH:$AH,CONCATENATE(Info!$D$5,"(KÖT)","098151",L1853),Adat!$E:$E)*-1</f>
        <v>0</v>
      </c>
      <c r="H1931" s="72">
        <f>SUMIF(Adat!$AH:$AH,CONCATENATE(Info!$D$5,"(ÖNV)","098151",L1853),Adat!$E:$E)*-1</f>
        <v>0</v>
      </c>
      <c r="I1931" s="72">
        <f>SUMIF(Adat!$AH:$AH,CONCATENATE(Info!$D$5,"(ÁIG)","098151",L1853),Adat!$E:$E)*-1</f>
        <v>0</v>
      </c>
    </row>
    <row r="1932" spans="2:9" x14ac:dyDescent="0.25">
      <c r="B1932" s="160">
        <v>77</v>
      </c>
      <c r="C1932" s="305" t="s">
        <v>1425</v>
      </c>
      <c r="D1932" s="84" t="s">
        <v>1426</v>
      </c>
      <c r="E1932" s="72">
        <f>SUMIF(Adat!$AG:$AG,CONCATENATE(61,Info!$D$5,"098171",L1853),Adat!$E:$E)*-1</f>
        <v>0</v>
      </c>
      <c r="F1932" s="72">
        <f>SUMIF(Adat!$AG:$AG,CONCATENATE(60,Info!$D$5,"098171",L1853),Adat!$E:$E)*-1+E1932</f>
        <v>0</v>
      </c>
      <c r="G1932" s="72">
        <f>SUMIF(Adat!$AH:$AH,CONCATENATE(Info!$D$5,"(KÖT)","098171",L1853),Adat!$E:$E)*-1</f>
        <v>0</v>
      </c>
      <c r="H1932" s="72">
        <f>SUMIF(Adat!$AH:$AH,CONCATENATE(Info!$D$5,"(ÖNV)","098171",L1853),Adat!$E:$E)*-1</f>
        <v>0</v>
      </c>
      <c r="I1932" s="72">
        <f>SUMIF(Adat!$AH:$AH,CONCATENATE(Info!$D$5,"(ÁIG)","098171",L1853),Adat!$E:$E)*-1</f>
        <v>0</v>
      </c>
    </row>
    <row r="1933" spans="2:9" x14ac:dyDescent="0.25">
      <c r="B1933" s="160">
        <v>78</v>
      </c>
      <c r="C1933" s="154" t="s">
        <v>1427</v>
      </c>
      <c r="D1933" s="85" t="s">
        <v>577</v>
      </c>
      <c r="E1933" s="71">
        <f>SUM(E1934:E1938)</f>
        <v>0</v>
      </c>
      <c r="F1933" s="71">
        <f t="shared" ref="F1933" si="207">SUM(F1934:F1938)</f>
        <v>0</v>
      </c>
      <c r="G1933" s="71">
        <f>SUM(G1934:G1938)</f>
        <v>0</v>
      </c>
      <c r="H1933" s="71">
        <f>SUM(H1934:H1938)</f>
        <v>0</v>
      </c>
      <c r="I1933" s="71">
        <f>SUM(I1934:I1938)</f>
        <v>0</v>
      </c>
    </row>
    <row r="1934" spans="2:9" x14ac:dyDescent="0.2">
      <c r="B1934" s="160">
        <v>79</v>
      </c>
      <c r="C1934" s="89" t="s">
        <v>1428</v>
      </c>
      <c r="D1934" s="82" t="s">
        <v>1429</v>
      </c>
      <c r="E1934" s="72">
        <f>SUMIF(Adat!$AG:$AG,CONCATENATE(61,Info!$D$5,"098211",L1853),Adat!$E:$E)*-1</f>
        <v>0</v>
      </c>
      <c r="F1934" s="72">
        <f>SUMIF(Adat!$AG:$AG,CONCATENATE(60,Info!$D$5,"098211",L1853),Adat!$E:$E)*-1+E1934</f>
        <v>0</v>
      </c>
      <c r="G1934" s="72">
        <f>SUMIF(Adat!$AH:$AH,CONCATENATE(Info!$D$5,"(KÖT)","098211",L1853),Adat!$E:$E)*-1</f>
        <v>0</v>
      </c>
      <c r="H1934" s="72">
        <f>SUMIF(Adat!$AH:$AH,CONCATENATE(Info!$D$5,"(ÖNV)","098211",L1853),Adat!$E:$E)*-1</f>
        <v>0</v>
      </c>
      <c r="I1934" s="72">
        <f>SUMIF(Adat!$AH:$AH,CONCATENATE(Info!$D$5,"(ÁIG)","098211",L1853),Adat!$E:$E)*-1</f>
        <v>0</v>
      </c>
    </row>
    <row r="1935" spans="2:9" x14ac:dyDescent="0.2">
      <c r="B1935" s="160">
        <v>80</v>
      </c>
      <c r="C1935" s="89" t="s">
        <v>1430</v>
      </c>
      <c r="D1935" s="82" t="s">
        <v>1431</v>
      </c>
      <c r="E1935" s="72">
        <f>SUMIF(Adat!$AG:$AG,CONCATENATE(61,Info!$D$5,"098221",L1853),Adat!$E:$E)*-1</f>
        <v>0</v>
      </c>
      <c r="F1935" s="72">
        <f>SUMIF(Adat!$AG:$AG,CONCATENATE(60,Info!$D$5,"098221",L1853),Adat!$E:$E)*-1+E1935</f>
        <v>0</v>
      </c>
      <c r="G1935" s="72">
        <f>SUMIF(Adat!$AH:$AH,CONCATENATE(Info!$D$5,"(KÖT)","098221",L1853),Adat!$E:$E)*-1</f>
        <v>0</v>
      </c>
      <c r="H1935" s="72">
        <f>SUMIF(Adat!$AH:$AH,CONCATENATE(Info!$D$5,"(ÖNV)","098221",L1853),Adat!$E:$E)*-1</f>
        <v>0</v>
      </c>
      <c r="I1935" s="72">
        <f>SUMIF(Adat!$AH:$AH,CONCATENATE(Info!$D$5,"(ÁIG)","098221",L1853),Adat!$E:$E)*-1</f>
        <v>0</v>
      </c>
    </row>
    <row r="1936" spans="2:9" x14ac:dyDescent="0.2">
      <c r="B1936" s="160">
        <v>81</v>
      </c>
      <c r="C1936" s="89" t="s">
        <v>1432</v>
      </c>
      <c r="D1936" s="82" t="s">
        <v>1433</v>
      </c>
      <c r="E1936" s="72">
        <f>SUMIF(Adat!$AG:$AG,CONCATENATE(61,Info!$D$5,"098231",L1853),Adat!$E:$E)*-1</f>
        <v>0</v>
      </c>
      <c r="F1936" s="72">
        <f>SUMIF(Adat!$AG:$AG,CONCATENATE(60,Info!$D$5,"098231",L1853),Adat!$E:$E)*-1+E1936</f>
        <v>0</v>
      </c>
      <c r="G1936" s="72">
        <f>SUMIF(Adat!$AH:$AH,CONCATENATE(Info!$D$5,"(KÖT)","098231",L1853),Adat!$E:$E)*-1</f>
        <v>0</v>
      </c>
      <c r="H1936" s="72">
        <f>SUMIF(Adat!$AH:$AH,CONCATENATE(Info!$D$5,"(ÖNV)","098231",L1853),Adat!$E:$E)*-1</f>
        <v>0</v>
      </c>
      <c r="I1936" s="72">
        <f>SUMIF(Adat!$AH:$AH,CONCATENATE(Info!$D$5,"(ÁIG)","098231",L1853),Adat!$E:$E)*-1</f>
        <v>0</v>
      </c>
    </row>
    <row r="1937" spans="2:12" x14ac:dyDescent="0.2">
      <c r="B1937" s="160">
        <v>82</v>
      </c>
      <c r="C1937" s="89" t="s">
        <v>1434</v>
      </c>
      <c r="D1937" s="82" t="s">
        <v>1435</v>
      </c>
      <c r="E1937" s="72">
        <f>SUMIF(Adat!$AG:$AG,CONCATENATE(61,Info!$D$5,"098241",L1853),Adat!$E:$E)*-1</f>
        <v>0</v>
      </c>
      <c r="F1937" s="72">
        <f>SUMIF(Adat!$AG:$AG,CONCATENATE(60,Info!$D$5,"098241",L1853),Adat!$E:$E)*-1+E1937</f>
        <v>0</v>
      </c>
      <c r="G1937" s="72">
        <f>SUMIF(Adat!$AH:$AH,CONCATENATE(Info!$D$5,"(KÖT)","098241",L1853),Adat!$E:$E)*-1</f>
        <v>0</v>
      </c>
      <c r="H1937" s="72">
        <f>SUMIF(Adat!$AH:$AH,CONCATENATE(Info!$D$5,"(ÖNV)","098241",L1853),Adat!$E:$E)*-1</f>
        <v>0</v>
      </c>
      <c r="I1937" s="72">
        <f>SUMIF(Adat!$AH:$AH,CONCATENATE(Info!$D$5,"(ÁIG)","098241",L1853),Adat!$E:$E)*-1</f>
        <v>0</v>
      </c>
    </row>
    <row r="1938" spans="2:12" s="42" customFormat="1" x14ac:dyDescent="0.2">
      <c r="B1938" s="160">
        <v>83</v>
      </c>
      <c r="C1938" s="89" t="s">
        <v>1436</v>
      </c>
      <c r="D1938" s="84" t="s">
        <v>1437</v>
      </c>
      <c r="E1938" s="72">
        <f>SUMIF(Adat!$AG:$AG,CONCATENATE(61,Info!$D$5,"098251",L1853),Adat!$E:$E)*-1</f>
        <v>0</v>
      </c>
      <c r="F1938" s="72">
        <f>SUMIF(Adat!$AG:$AG,CONCATENATE(60,Info!$D$5,"098251",L1853),Adat!$E:$E)*-1+E1938</f>
        <v>0</v>
      </c>
      <c r="G1938" s="72">
        <f>SUMIF(Adat!$AH:$AH,CONCATENATE(Info!$D$5,"(KÖT)","098251",L1853),Adat!$E:$E)*-1</f>
        <v>0</v>
      </c>
      <c r="H1938" s="72">
        <f>SUMIF(Adat!$AH:$AH,CONCATENATE(Info!$D$5,"(ÖNV)","098251",L1853),Adat!$E:$E)*-1</f>
        <v>0</v>
      </c>
      <c r="I1938" s="72">
        <f>SUMIF(Adat!$AH:$AH,CONCATENATE(Info!$D$5,"(ÁIG)","098251",L1853),Adat!$E:$E)*-1</f>
        <v>0</v>
      </c>
    </row>
    <row r="1939" spans="2:12" s="42" customFormat="1" x14ac:dyDescent="0.2">
      <c r="B1939" s="160">
        <v>84</v>
      </c>
      <c r="C1939" s="309" t="s">
        <v>1438</v>
      </c>
      <c r="D1939" s="85" t="s">
        <v>1439</v>
      </c>
      <c r="E1939" s="71">
        <f>SUMIF(Adat!$AG:$AG,CONCATENATE(61,Info!$D$5,"09831",L1853),Adat!$E:$E)*-1</f>
        <v>0</v>
      </c>
      <c r="F1939" s="71">
        <f>SUMIF(Adat!$AG:$AG,CONCATENATE(60,Info!$D$5,"09831",L1853),Adat!$E:$E)*-1+E1939</f>
        <v>0</v>
      </c>
      <c r="G1939" s="71">
        <f>SUMIF(Adat!$AH:$AH,CONCATENATE(Info!$D$5,"(KÖT)","09831",L1853),Adat!$E:$E)*-1</f>
        <v>0</v>
      </c>
      <c r="H1939" s="71">
        <f>SUMIF(Adat!$AH:$AH,CONCATENATE(Info!$D$5,"(ÖNV)","09831",L1853),Adat!$E:$E)*-1</f>
        <v>0</v>
      </c>
      <c r="I1939" s="71">
        <f>SUMIF(Adat!$AH:$AH,CONCATENATE(Info!$D$5,"(ÁIG)","09831",L1853),Adat!$E:$E)*-1</f>
        <v>0</v>
      </c>
    </row>
    <row r="1940" spans="2:12" s="42" customFormat="1" x14ac:dyDescent="0.25">
      <c r="B1940" s="160">
        <v>85</v>
      </c>
      <c r="C1940" s="154" t="s">
        <v>1440</v>
      </c>
      <c r="D1940" s="85" t="s">
        <v>1441</v>
      </c>
      <c r="E1940" s="71">
        <f>SUMIF(Adat!$AG:$AG,CONCATENATE(61,Info!$D$5,"09841",L1853),Adat!$E:$E)*-1</f>
        <v>0</v>
      </c>
      <c r="F1940" s="71">
        <f>SUMIF(Adat!$AG:$AG,CONCATENATE(60,Info!$D$5,"09841",L1853),Adat!$E:$E)*-1+E1940</f>
        <v>0</v>
      </c>
      <c r="G1940" s="71">
        <f>SUMIF(Adat!$AH:$AH,CONCATENATE(Info!$D$5,"(KÖT)","09841",L1853),Adat!$E:$E)*-1</f>
        <v>0</v>
      </c>
      <c r="H1940" s="71">
        <f>SUMIF(Adat!$AH:$AH,CONCATENATE(Info!$D$5,"(ÖNV)","09841",L1853),Adat!$E:$E)*-1</f>
        <v>0</v>
      </c>
      <c r="I1940" s="71">
        <f>SUMIF(Adat!$AH:$AH,CONCATENATE(Info!$D$5,"(ÁIG)","09841",L1853),Adat!$E:$E)*-1</f>
        <v>0</v>
      </c>
    </row>
    <row r="1941" spans="2:12" s="42" customFormat="1" x14ac:dyDescent="0.25">
      <c r="B1941" s="160">
        <v>86</v>
      </c>
      <c r="C1941" s="154" t="s">
        <v>358</v>
      </c>
      <c r="D1941" s="87" t="s">
        <v>1442</v>
      </c>
      <c r="E1941" s="71">
        <f>+E1917+E1921+E1926+E1929+E1933+E1940+E1939</f>
        <v>0</v>
      </c>
      <c r="F1941" s="71">
        <f t="shared" ref="F1941" si="208">+F1917+F1921+F1926+F1929+F1933+F1940+F1939</f>
        <v>0</v>
      </c>
      <c r="G1941" s="71">
        <f>+G1917+G1921+G1926+G1929+G1933+G1940+G1939</f>
        <v>0</v>
      </c>
      <c r="H1941" s="71">
        <f>+H1917+H1921+H1926+H1929+H1933+H1940+H1939</f>
        <v>0</v>
      </c>
      <c r="I1941" s="71">
        <f>+I1917+I1921+I1926+I1929+I1933+I1940+I1939</f>
        <v>0</v>
      </c>
    </row>
    <row r="1942" spans="2:12" s="42" customFormat="1" x14ac:dyDescent="0.25">
      <c r="B1942" s="160">
        <v>87</v>
      </c>
      <c r="C1942" s="154" t="s">
        <v>364</v>
      </c>
      <c r="D1942" s="87" t="s">
        <v>1497</v>
      </c>
      <c r="E1942" s="71">
        <f>+E1916+E1941</f>
        <v>0</v>
      </c>
      <c r="F1942" s="71">
        <f t="shared" ref="F1942" si="209">+F1916+F1941</f>
        <v>0</v>
      </c>
      <c r="G1942" s="71">
        <f>+G1916+G1941</f>
        <v>0</v>
      </c>
      <c r="H1942" s="71">
        <f>+H1916+H1941</f>
        <v>0</v>
      </c>
      <c r="I1942" s="71">
        <f>+I1916+I1941</f>
        <v>0</v>
      </c>
    </row>
    <row r="1943" spans="2:12" s="38" customFormat="1" ht="15.75" x14ac:dyDescent="0.25">
      <c r="C1943" s="156"/>
      <c r="E1943" s="140"/>
      <c r="F1943" s="140"/>
      <c r="G1943" s="140"/>
      <c r="H1943" s="140"/>
      <c r="I1943" s="140"/>
    </row>
    <row r="1944" spans="2:12" s="10" customFormat="1" ht="15.75" customHeight="1" x14ac:dyDescent="0.25">
      <c r="B1944" s="201" t="str">
        <f>CONCATENATE("28. Kiadási jogcímek"," - ",L1944," részletező")</f>
        <v>28. Kiadási jogcímek -  részletező</v>
      </c>
      <c r="C1944" s="101"/>
      <c r="D1944" s="101"/>
      <c r="E1944" s="101"/>
      <c r="F1944" s="101"/>
      <c r="G1944" s="198"/>
      <c r="H1944" s="198"/>
      <c r="I1944" s="198"/>
      <c r="L1944" s="384"/>
    </row>
    <row r="1945" spans="2:12" s="38" customFormat="1" ht="15.75" x14ac:dyDescent="0.25">
      <c r="C1945" s="156"/>
      <c r="E1945" s="140"/>
      <c r="F1945" s="140"/>
      <c r="G1945" s="140"/>
      <c r="H1945" s="140"/>
      <c r="I1945" s="140"/>
    </row>
    <row r="1946" spans="2:12" s="40" customFormat="1" x14ac:dyDescent="0.25">
      <c r="B1946" s="77"/>
      <c r="C1946" s="77" t="s">
        <v>350</v>
      </c>
      <c r="D1946" s="77" t="s">
        <v>351</v>
      </c>
      <c r="E1946" s="77" t="s">
        <v>470</v>
      </c>
      <c r="F1946" s="77" t="s">
        <v>471</v>
      </c>
      <c r="G1946" s="77" t="s">
        <v>44</v>
      </c>
      <c r="H1946" s="77" t="s">
        <v>42</v>
      </c>
      <c r="I1946" s="77" t="s">
        <v>511</v>
      </c>
    </row>
    <row r="1947" spans="2:12" s="41" customFormat="1" ht="38.25" x14ac:dyDescent="0.25">
      <c r="B1947" s="160">
        <v>1</v>
      </c>
      <c r="C1947" s="154" t="s">
        <v>593</v>
      </c>
      <c r="D1947" s="154" t="s">
        <v>488</v>
      </c>
      <c r="E1947" s="163" t="str">
        <f>CONCATENATE(PAR!$H$3," évi
eredeti 
előirányzat")</f>
        <v>2025. évi
eredeti 
előirányzat</v>
      </c>
      <c r="F1947" s="163" t="str">
        <f>CONCATENATE(PAR!$H$3," évi
módosított 
előirányzat")</f>
        <v>2025. évi
módosított 
előirányzat</v>
      </c>
      <c r="G1947" s="69" t="s">
        <v>666</v>
      </c>
      <c r="H1947" s="69" t="s">
        <v>667</v>
      </c>
      <c r="I1947" s="69" t="s">
        <v>668</v>
      </c>
    </row>
    <row r="1948" spans="2:12" s="42" customFormat="1" x14ac:dyDescent="0.25">
      <c r="B1948" s="160">
        <v>2</v>
      </c>
      <c r="C1948" s="78" t="s">
        <v>352</v>
      </c>
      <c r="D1948" s="92" t="s">
        <v>2663</v>
      </c>
      <c r="E1948" s="71">
        <f>SUM(E1949:E1954)</f>
        <v>0</v>
      </c>
      <c r="F1948" s="71">
        <f>SUM(F1949:F1954)</f>
        <v>0</v>
      </c>
      <c r="G1948" s="71">
        <f>SUM(G1949:G1954)</f>
        <v>0</v>
      </c>
      <c r="H1948" s="71">
        <f>+H1949+H1950+H1951+H1952+H1953+H1954</f>
        <v>0</v>
      </c>
      <c r="I1948" s="71">
        <f>+I1949+I1950+I1951+I1952+I1953+I1954</f>
        <v>0</v>
      </c>
    </row>
    <row r="1949" spans="2:12" x14ac:dyDescent="0.25">
      <c r="B1949" s="160">
        <v>3</v>
      </c>
      <c r="C1949" s="305" t="s">
        <v>315</v>
      </c>
      <c r="D1949" s="161" t="s">
        <v>342</v>
      </c>
      <c r="E1949" s="72">
        <f>SUMIF(Adat!$AI:$AI,CONCATENATE(61,Info!$D$5,"051",L1944),Adat!$E:$E)</f>
        <v>0</v>
      </c>
      <c r="F1949" s="72">
        <f>SUMIF(Adat!$AI:$AI,CONCATENATE(60,Info!$D$5,"051",L1944),Adat!$E:$E)+E1949</f>
        <v>0</v>
      </c>
      <c r="G1949" s="72">
        <f>SUMIF(Adat!$AJ:$AJ,CONCATENATE(Info!$D$5,"051","(KÖT)",L1944),Adat!$E:$E)</f>
        <v>0</v>
      </c>
      <c r="H1949" s="72">
        <f>SUMIF(Adat!$AJ:$AJ,CONCATENATE(Info!$D$5,"051","(ÖNV)",L1944),Adat!$E:$E)</f>
        <v>0</v>
      </c>
      <c r="I1949" s="72">
        <f>SUMIF(Adat!$AJ:$AJ,CONCATENATE(Info!$D$5,"051","(ÁIG)",L1944),Adat!$E:$E)</f>
        <v>0</v>
      </c>
    </row>
    <row r="1950" spans="2:12" x14ac:dyDescent="0.25">
      <c r="B1950" s="160">
        <v>4</v>
      </c>
      <c r="C1950" s="305" t="s">
        <v>317</v>
      </c>
      <c r="D1950" s="161" t="s">
        <v>395</v>
      </c>
      <c r="E1950" s="72">
        <f>SUMIF(Adat!$AI:$AI,CONCATENATE(61,Info!$D$5,"052",L1944),Adat!$E:$E)</f>
        <v>0</v>
      </c>
      <c r="F1950" s="72">
        <f>SUMIF(Adat!$AI:$AI,CONCATENATE(60,Info!$D$5,"052",L1944),Adat!$E:$E)+E1950</f>
        <v>0</v>
      </c>
      <c r="G1950" s="72">
        <f>SUMIF(Adat!$AJ:$AJ,CONCATENATE(Info!$D$5,"052","(KÖT)",L1944),Adat!$E:$E)</f>
        <v>0</v>
      </c>
      <c r="H1950" s="72">
        <f>SUMIF(Adat!$AJ:$AJ,CONCATENATE(Info!$D$5,"052","(ÖNV)",L1944),Adat!$E:$E)</f>
        <v>0</v>
      </c>
      <c r="I1950" s="72">
        <f>SUMIF(Adat!$AJ:$AJ,CONCATENATE(Info!$D$5,"052","(ÁIG)",L1944),Adat!$E:$E)</f>
        <v>0</v>
      </c>
    </row>
    <row r="1951" spans="2:12" x14ac:dyDescent="0.25">
      <c r="B1951" s="160">
        <v>5</v>
      </c>
      <c r="C1951" s="305" t="s">
        <v>4</v>
      </c>
      <c r="D1951" s="161" t="s">
        <v>344</v>
      </c>
      <c r="E1951" s="72">
        <f>SUMIF(Adat!$AI:$AI,CONCATENATE(61,Info!$D$5,"053",L1944),Adat!$E:$E)</f>
        <v>0</v>
      </c>
      <c r="F1951" s="72">
        <f>SUMIF(Adat!$AI:$AI,CONCATENATE(60,Info!$D$5,"053",L1944),Adat!$E:$E)+E1951</f>
        <v>0</v>
      </c>
      <c r="G1951" s="72">
        <f>SUMIF(Adat!$AJ:$AJ,CONCATENATE(Info!$D$5,"053","(KÖT)",L1944),Adat!$E:$E)</f>
        <v>0</v>
      </c>
      <c r="H1951" s="72">
        <f>SUMIF(Adat!$AJ:$AJ,CONCATENATE(Info!$D$5,"053","(ÖNV)",L1944),Adat!$E:$E)</f>
        <v>0</v>
      </c>
      <c r="I1951" s="72">
        <f>SUMIF(Adat!$AJ:$AJ,CONCATENATE(Info!$D$5,"053","(ÁIG)",L1944),Adat!$E:$E)</f>
        <v>0</v>
      </c>
    </row>
    <row r="1952" spans="2:12" x14ac:dyDescent="0.25">
      <c r="B1952" s="160">
        <v>6</v>
      </c>
      <c r="C1952" s="305" t="s">
        <v>6</v>
      </c>
      <c r="D1952" s="161" t="s">
        <v>345</v>
      </c>
      <c r="E1952" s="72">
        <f>SUMIF(Adat!$AI:$AI,CONCATENATE(61,Info!$D$5,"054",L1944),Adat!$E:$E)</f>
        <v>0</v>
      </c>
      <c r="F1952" s="72">
        <f>SUMIF(Adat!$AI:$AI,CONCATENATE(60,Info!$D$5,"054",L1944),Adat!$E:$E)+E1952</f>
        <v>0</v>
      </c>
      <c r="G1952" s="72">
        <f>SUMIF(Adat!$AJ:$AJ,CONCATENATE(Info!$D$5,"054","(KÖT)",L1944),Adat!$E:$E)</f>
        <v>0</v>
      </c>
      <c r="H1952" s="72">
        <f>SUMIF(Adat!$AJ:$AJ,CONCATENATE(Info!$D$5,"054","(ÖNV)",L1944),Adat!$E:$E)</f>
        <v>0</v>
      </c>
      <c r="I1952" s="72">
        <f>SUMIF(Adat!$AJ:$AJ,CONCATENATE(Info!$D$5,"054","(ÁIG)",L1944),Adat!$E:$E)</f>
        <v>0</v>
      </c>
    </row>
    <row r="1953" spans="2:9" x14ac:dyDescent="0.25">
      <c r="B1953" s="160">
        <v>7</v>
      </c>
      <c r="C1953" s="305" t="s">
        <v>8</v>
      </c>
      <c r="D1953" s="161" t="s">
        <v>321</v>
      </c>
      <c r="E1953" s="72">
        <f>SUMIF(Adat!$AI:$AI,CONCATENATE(61,Info!$D$5,"055",L1944),Adat!$E:$E)-E1954</f>
        <v>0</v>
      </c>
      <c r="F1953" s="72">
        <f>SUMIF(Adat!$AI:$AI,CONCATENATE(60,Info!$D$5,"055",L1944),Adat!$E:$E)+E1953-F1954+E1954</f>
        <v>0</v>
      </c>
      <c r="G1953" s="72">
        <f>SUMIF(Adat!$AJ:$AJ,CONCATENATE(Info!$D$5,"055","(KÖT)",L1944),Adat!$E:$E)-G1954</f>
        <v>0</v>
      </c>
      <c r="H1953" s="72">
        <f>SUMIF(Adat!$AJ:$AJ,CONCATENATE(Info!$D$5,"055","(ÖNV)",L1944),Adat!$E:$E)-H1954</f>
        <v>0</v>
      </c>
      <c r="I1953" s="72">
        <f>SUMIF(Adat!$AJ:$AJ,CONCATENATE(Info!$D$5,"055","(ÁIG)",L1944),Adat!$E:$E)-I1954</f>
        <v>0</v>
      </c>
    </row>
    <row r="1954" spans="2:9" x14ac:dyDescent="0.25">
      <c r="B1954" s="160">
        <v>8</v>
      </c>
      <c r="C1954" s="305" t="s">
        <v>1283</v>
      </c>
      <c r="D1954" s="161" t="s">
        <v>397</v>
      </c>
      <c r="E1954" s="72">
        <f>SUMIF(Adat!$AG:$AG,CONCATENATE(61,Info!$D$5,"055131",L1944),Adat!$E:$E)</f>
        <v>0</v>
      </c>
      <c r="F1954" s="72">
        <f>SUMIF(Adat!$AG:$AG,CONCATENATE(60,Info!$D$5,"055131",L1944),Adat!$E:$E)+E1954</f>
        <v>0</v>
      </c>
      <c r="G1954" s="72">
        <f>SUMIF(Adat!$AH:$AH,CONCATENATE(Info!$D$5,"(KÖT)","055131",L1944),Adat!$E:$E)</f>
        <v>0</v>
      </c>
      <c r="H1954" s="72">
        <f>SUMIF(Adat!$AH:$AH,CONCATENATE(Info!$D$5,"(ÖNV)","055131",L1944),Adat!$E:$E)*-1</f>
        <v>0</v>
      </c>
      <c r="I1954" s="72">
        <f>SUMIF(Adat!$AH:$AH,CONCATENATE(Info!$D$5,"(ÁIG)","055131",L1944),Adat!$E:$E)*-1</f>
        <v>0</v>
      </c>
    </row>
    <row r="1955" spans="2:9" x14ac:dyDescent="0.25">
      <c r="B1955" s="160">
        <v>9</v>
      </c>
      <c r="C1955" s="305" t="s">
        <v>1283</v>
      </c>
      <c r="D1955" s="93" t="s">
        <v>1445</v>
      </c>
      <c r="E1955" s="72">
        <v>0</v>
      </c>
      <c r="F1955" s="72">
        <f>SUM(G1955:I1955)</f>
        <v>0</v>
      </c>
      <c r="G1955" s="72">
        <v>0</v>
      </c>
      <c r="H1955" s="72">
        <v>0</v>
      </c>
      <c r="I1955" s="72">
        <v>0</v>
      </c>
    </row>
    <row r="1956" spans="2:9" x14ac:dyDescent="0.25">
      <c r="B1956" s="160">
        <v>10</v>
      </c>
      <c r="C1956" s="305" t="s">
        <v>1283</v>
      </c>
      <c r="D1956" s="93" t="s">
        <v>1446</v>
      </c>
      <c r="E1956" s="72">
        <v>0</v>
      </c>
      <c r="F1956" s="72">
        <f>SUM(G1956:I1956)</f>
        <v>0</v>
      </c>
      <c r="G1956" s="72">
        <v>0</v>
      </c>
      <c r="H1956" s="72">
        <v>0</v>
      </c>
      <c r="I1956" s="72">
        <v>0</v>
      </c>
    </row>
    <row r="1957" spans="2:9" x14ac:dyDescent="0.25">
      <c r="B1957" s="160">
        <v>11</v>
      </c>
      <c r="C1957" s="78" t="s">
        <v>358</v>
      </c>
      <c r="D1957" s="92" t="s">
        <v>2664</v>
      </c>
      <c r="E1957" s="71">
        <f>+E1958+E1960+E1962</f>
        <v>0</v>
      </c>
      <c r="F1957" s="71">
        <f>+F1958+F1960+F1962</f>
        <v>0</v>
      </c>
      <c r="G1957" s="71">
        <f>+G1958+G1960+G1962</f>
        <v>0</v>
      </c>
      <c r="H1957" s="71">
        <f>+H1958+H1960+H1962</f>
        <v>0</v>
      </c>
      <c r="I1957" s="71">
        <f>+I1958+I1960+I1962</f>
        <v>0</v>
      </c>
    </row>
    <row r="1958" spans="2:9" x14ac:dyDescent="0.25">
      <c r="B1958" s="160">
        <v>12</v>
      </c>
      <c r="C1958" s="305" t="s">
        <v>10</v>
      </c>
      <c r="D1958" s="317" t="s">
        <v>322</v>
      </c>
      <c r="E1958" s="72">
        <f>SUMIF(Adat!$AI:$AI,CONCATENATE(61,Info!$D$5,"056",L1944),Adat!$E:$E)</f>
        <v>0</v>
      </c>
      <c r="F1958" s="72">
        <f>SUMIF(Adat!$AI:$AI,CONCATENATE(60,Info!$D$5,"056",L1944),Adat!$E:$E)+E1958</f>
        <v>0</v>
      </c>
      <c r="G1958" s="72">
        <f>SUMIF(Adat!$AJ:$AJ,CONCATENATE(Info!$D$5,"056","(KÖT)",L1944),Adat!$E:$E)</f>
        <v>0</v>
      </c>
      <c r="H1958" s="72">
        <f>SUMIF(Adat!$AJ:$AJ,CONCATENATE(Info!$D$5,"056","(ÖNV)",L1944),Adat!$E:$E)</f>
        <v>0</v>
      </c>
      <c r="I1958" s="72">
        <f>SUMIF(Adat!$AJ:$AJ,CONCATENATE(Info!$D$5,"056","(ÁIG)",L1944),Adat!$E:$E)</f>
        <v>0</v>
      </c>
    </row>
    <row r="1959" spans="2:9" x14ac:dyDescent="0.25">
      <c r="B1959" s="160">
        <v>13</v>
      </c>
      <c r="C1959" s="305" t="s">
        <v>10</v>
      </c>
      <c r="D1959" s="317" t="s">
        <v>1448</v>
      </c>
      <c r="E1959" s="72">
        <v>0</v>
      </c>
      <c r="F1959" s="72">
        <f>SUM(G1959:I1959)</f>
        <v>0</v>
      </c>
      <c r="G1959" s="72">
        <v>0</v>
      </c>
      <c r="H1959" s="72">
        <v>0</v>
      </c>
      <c r="I1959" s="72">
        <v>0</v>
      </c>
    </row>
    <row r="1960" spans="2:9" x14ac:dyDescent="0.25">
      <c r="B1960" s="160">
        <v>14</v>
      </c>
      <c r="C1960" s="305" t="s">
        <v>12</v>
      </c>
      <c r="D1960" s="317" t="s">
        <v>323</v>
      </c>
      <c r="E1960" s="72">
        <f>SUMIF(Adat!$AI:$AI,CONCATENATE(61,Info!$D$5,"057",L1944),Adat!$E:$E)</f>
        <v>0</v>
      </c>
      <c r="F1960" s="72">
        <f>SUMIF(Adat!$AI:$AI,CONCATENATE(60,Info!$D$5,"057",L1944),Adat!$E:$E)+E1960</f>
        <v>0</v>
      </c>
      <c r="G1960" s="72">
        <f>SUMIF(Adat!$AJ:$AJ,CONCATENATE(Info!$D$5,"057","(KÖT)",L1944),Adat!$E:$E)</f>
        <v>0</v>
      </c>
      <c r="H1960" s="72">
        <f>SUMIF(Adat!$AJ:$AJ,CONCATENATE(Info!$D$5,"057","(ÖNV)",L1944),Adat!$E:$E)</f>
        <v>0</v>
      </c>
      <c r="I1960" s="72">
        <f>SUMIF(Adat!$AJ:$AJ,CONCATENATE(Info!$D$5,"057","(ÁIG)",L1944),Adat!$E:$E)</f>
        <v>0</v>
      </c>
    </row>
    <row r="1961" spans="2:9" x14ac:dyDescent="0.25">
      <c r="B1961" s="160">
        <v>15</v>
      </c>
      <c r="C1961" s="305" t="s">
        <v>12</v>
      </c>
      <c r="D1961" s="317" t="s">
        <v>1449</v>
      </c>
      <c r="E1961" s="72">
        <v>0</v>
      </c>
      <c r="F1961" s="72">
        <f>SUM(G1961:I1961)</f>
        <v>0</v>
      </c>
      <c r="G1961" s="72">
        <v>0</v>
      </c>
      <c r="H1961" s="72">
        <v>0</v>
      </c>
      <c r="I1961" s="72">
        <v>0</v>
      </c>
    </row>
    <row r="1962" spans="2:9" x14ac:dyDescent="0.25">
      <c r="B1962" s="160">
        <v>16</v>
      </c>
      <c r="C1962" s="305" t="s">
        <v>15</v>
      </c>
      <c r="D1962" s="317" t="s">
        <v>324</v>
      </c>
      <c r="E1962" s="72">
        <f>SUMIF(Adat!$AI:$AI,CONCATENATE(61,Info!$D$5,"058",L1944),Adat!$E:$E)</f>
        <v>0</v>
      </c>
      <c r="F1962" s="72">
        <f>SUMIF(Adat!$AI:$AI,CONCATENATE(60,Info!$D$5,"058",L1944),Adat!$E:$E)+E1962</f>
        <v>0</v>
      </c>
      <c r="G1962" s="72">
        <f>SUMIF(Adat!$AJ:$AJ,CONCATENATE(Info!$D$5,"058","(KÖT)",L1944),Adat!$E:$E)</f>
        <v>0</v>
      </c>
      <c r="H1962" s="72">
        <f>SUMIF(Adat!$AJ:$AJ,CONCATENATE(Info!$D$5,"058","(ÖNV)",L1944),Adat!$E:$E)</f>
        <v>0</v>
      </c>
      <c r="I1962" s="72">
        <f>SUMIF(Adat!$AJ:$AJ,CONCATENATE(Info!$D$5,"058","(ÁIG)",L1944),Adat!$E:$E)</f>
        <v>0</v>
      </c>
    </row>
    <row r="1963" spans="2:9" x14ac:dyDescent="0.25">
      <c r="B1963" s="160">
        <v>17</v>
      </c>
      <c r="C1963" s="78" t="s">
        <v>364</v>
      </c>
      <c r="D1963" s="86" t="s">
        <v>402</v>
      </c>
      <c r="E1963" s="71">
        <f>+E1948+E1957</f>
        <v>0</v>
      </c>
      <c r="F1963" s="71">
        <f>+F1948+F1957</f>
        <v>0</v>
      </c>
      <c r="G1963" s="71">
        <f>+G1948+G1957</f>
        <v>0</v>
      </c>
      <c r="H1963" s="71">
        <f>+H1948+H1957</f>
        <v>0</v>
      </c>
      <c r="I1963" s="71">
        <f>+I1948+I1957</f>
        <v>0</v>
      </c>
    </row>
    <row r="1964" spans="2:9" x14ac:dyDescent="0.25">
      <c r="B1964" s="160">
        <v>18</v>
      </c>
      <c r="C1964" s="78" t="s">
        <v>403</v>
      </c>
      <c r="D1964" s="86" t="s">
        <v>1450</v>
      </c>
      <c r="E1964" s="71">
        <f>+E1965+E1966+E1967</f>
        <v>0</v>
      </c>
      <c r="F1964" s="71">
        <f>+F1965+F1966+F1967</f>
        <v>0</v>
      </c>
      <c r="G1964" s="71">
        <f>+G1965+G1966+G1967</f>
        <v>0</v>
      </c>
      <c r="H1964" s="71">
        <f>+H1965+H1966+H1967</f>
        <v>0</v>
      </c>
      <c r="I1964" s="71">
        <f>+I1965+I1966+I1967</f>
        <v>0</v>
      </c>
    </row>
    <row r="1965" spans="2:9" s="42" customFormat="1" x14ac:dyDescent="0.25">
      <c r="B1965" s="160">
        <v>19</v>
      </c>
      <c r="C1965" s="305" t="s">
        <v>1451</v>
      </c>
      <c r="D1965" s="161" t="s">
        <v>490</v>
      </c>
      <c r="E1965" s="72">
        <f>SUMIF(Adat!$AG:$AG,CONCATENATE(61,Info!$D$5,"0591111",L1944),Adat!$E:$E)</f>
        <v>0</v>
      </c>
      <c r="F1965" s="72">
        <f>SUMIF(Adat!$AG:$AG,CONCATENATE(60,Info!$D$5,"0591111",L1944),Adat!$E:$E)+E1965</f>
        <v>0</v>
      </c>
      <c r="G1965" s="72">
        <f>SUMIF(Adat!$AH:$AH,CONCATENATE(Info!$D$5,"(KÖT)","0591111",L1944),Adat!$E:$E)</f>
        <v>0</v>
      </c>
      <c r="H1965" s="72">
        <f>SUMIF(Adat!$AH:$AH,CONCATENATE(Info!$D$5,"(ÖNV)","0591111",L1944),Adat!$E:$E)</f>
        <v>0</v>
      </c>
      <c r="I1965" s="72">
        <f>SUMIF(Adat!$AH:$AH,CONCATENATE(Info!$D$5,"(ÁIG)","0591111",L1944),Adat!$E:$E)</f>
        <v>0</v>
      </c>
    </row>
    <row r="1966" spans="2:9" x14ac:dyDescent="0.25">
      <c r="B1966" s="160">
        <v>20</v>
      </c>
      <c r="C1966" s="305" t="s">
        <v>1453</v>
      </c>
      <c r="D1966" s="161" t="s">
        <v>406</v>
      </c>
      <c r="E1966" s="72">
        <f>SUMIF(Adat!$AG:$AG,CONCATENATE(61,Info!$D$5,"0591121",L1944),Adat!$E:$E)</f>
        <v>0</v>
      </c>
      <c r="F1966" s="72">
        <f>SUMIF(Adat!$AG:$AG,CONCATENATE(60,Info!$D$5,"0591121",L1944),Adat!$E:$E)+E1966</f>
        <v>0</v>
      </c>
      <c r="G1966" s="72">
        <f>SUMIF(Adat!$AH:$AH,CONCATENATE(Info!$D$5,"(KÖT)","0591121",L1944),Adat!$E:$E)</f>
        <v>0</v>
      </c>
      <c r="H1966" s="72">
        <f>SUMIF(Adat!$AH:$AH,CONCATENATE(Info!$D$5,"(ÖNV)","0591121",L1944),Adat!$E:$E)</f>
        <v>0</v>
      </c>
      <c r="I1966" s="72">
        <f>SUMIF(Adat!$AH:$AH,CONCATENATE(Info!$D$5,"(ÁIG)","0591121",L1944),Adat!$E:$E)</f>
        <v>0</v>
      </c>
    </row>
    <row r="1967" spans="2:9" x14ac:dyDescent="0.25">
      <c r="B1967" s="160">
        <v>21</v>
      </c>
      <c r="C1967" s="305" t="s">
        <v>1455</v>
      </c>
      <c r="D1967" s="161" t="s">
        <v>491</v>
      </c>
      <c r="E1967" s="72">
        <f>SUMIF(Adat!$AG:$AG,CONCATENATE(61,Info!$D$5,"0591131",L1944),Adat!$E:$E)</f>
        <v>0</v>
      </c>
      <c r="F1967" s="72">
        <f>SUMIF(Adat!$AG:$AG,CONCATENATE(60,Info!$D$5,"0591131",L1944),Adat!$E:$E)+E1967</f>
        <v>0</v>
      </c>
      <c r="G1967" s="72">
        <f>SUMIF(Adat!$AH:$AH,CONCATENATE(Info!$D$5,"(KÖT)","0591131",L1944),Adat!$E:$E)</f>
        <v>0</v>
      </c>
      <c r="H1967" s="72">
        <f>SUMIF(Adat!$AH:$AH,CONCATENATE(Info!$D$5,"(ÖNV)","0591131",L1944),Adat!$E:$E)</f>
        <v>0</v>
      </c>
      <c r="I1967" s="72">
        <f>SUMIF(Adat!$AH:$AH,CONCATENATE(Info!$D$5,"(ÁIG)","0591131",L1944),Adat!$E:$E)</f>
        <v>0</v>
      </c>
    </row>
    <row r="1968" spans="2:9" x14ac:dyDescent="0.25">
      <c r="B1968" s="160">
        <v>22</v>
      </c>
      <c r="C1968" s="78" t="s">
        <v>372</v>
      </c>
      <c r="D1968" s="86" t="s">
        <v>1457</v>
      </c>
      <c r="E1968" s="71">
        <f>+E1969+E1970+E1971+E1972+E1973+E1974</f>
        <v>0</v>
      </c>
      <c r="F1968" s="71">
        <f>+F1969+F1970+F1971+F1972+F1973+F1974</f>
        <v>0</v>
      </c>
      <c r="G1968" s="71">
        <f>+G1969+G1970+G1971+G1972+G1973+G1974</f>
        <v>0</v>
      </c>
      <c r="H1968" s="71">
        <f>+H1969+H1970+H1971+H1972+H1973+H1974</f>
        <v>0</v>
      </c>
      <c r="I1968" s="71">
        <f>+I1969+I1970+I1971+I1972+I1973+I1974</f>
        <v>0</v>
      </c>
    </row>
    <row r="1969" spans="2:18" x14ac:dyDescent="0.25">
      <c r="B1969" s="160">
        <v>23</v>
      </c>
      <c r="C1969" s="305" t="s">
        <v>1458</v>
      </c>
      <c r="D1969" s="161" t="s">
        <v>409</v>
      </c>
      <c r="E1969" s="72">
        <f>SUMIF(Adat!$AG:$AG,CONCATENATE(61,Info!$D$5,"0591211",L1944),Adat!$E:$E)</f>
        <v>0</v>
      </c>
      <c r="F1969" s="72">
        <f>SUMIF(Adat!$AG:$AG,CONCATENATE(60,Info!$D$5,"0591211",L1944),Adat!$E:$E)+E1969</f>
        <v>0</v>
      </c>
      <c r="G1969" s="72">
        <f>SUMIF(Adat!$AH:$AH,CONCATENATE(Info!$D$5,"(KÖT)","0591211",L1944),Adat!$E:$E)</f>
        <v>0</v>
      </c>
      <c r="H1969" s="72">
        <f>SUMIF(Adat!$AH:$AH,CONCATENATE(Info!$D$5,"(ÖNV)","0591211",L1944),Adat!$E:$E)</f>
        <v>0</v>
      </c>
      <c r="I1969" s="72">
        <f>SUMIF(Adat!$AH:$AH,CONCATENATE(Info!$D$5,"(ÁIG)","0591211",L1944),Adat!$E:$E)</f>
        <v>0</v>
      </c>
    </row>
    <row r="1970" spans="2:18" x14ac:dyDescent="0.25">
      <c r="B1970" s="160">
        <v>24</v>
      </c>
      <c r="C1970" s="305" t="s">
        <v>1460</v>
      </c>
      <c r="D1970" s="161" t="s">
        <v>410</v>
      </c>
      <c r="E1970" s="72">
        <f>SUMIF(Adat!$AG:$AG,CONCATENATE(61,Info!$D$5,"0591221",L1944),Adat!$E:$E)</f>
        <v>0</v>
      </c>
      <c r="F1970" s="72">
        <f>SUMIF(Adat!$AG:$AG,CONCATENATE(60,Info!$D$5,"0591221",L1944),Adat!$E:$E)+E1970</f>
        <v>0</v>
      </c>
      <c r="G1970" s="72">
        <f>SUMIF(Adat!$AH:$AH,CONCATENATE(Info!$D$5,"(KÖT)","0591221",L1944),Adat!$E:$E)</f>
        <v>0</v>
      </c>
      <c r="H1970" s="72">
        <f>SUMIF(Adat!$AH:$AH,CONCATENATE(Info!$D$5,"(ÖNV)","0591221",L1944),Adat!$E:$E)</f>
        <v>0</v>
      </c>
      <c r="I1970" s="72">
        <f>SUMIF(Adat!$AH:$AH,CONCATENATE(Info!$D$5,"(ÁIG)","0591221",L1944),Adat!$E:$E)</f>
        <v>0</v>
      </c>
    </row>
    <row r="1971" spans="2:18" x14ac:dyDescent="0.25">
      <c r="B1971" s="160">
        <v>25</v>
      </c>
      <c r="C1971" s="305" t="s">
        <v>1462</v>
      </c>
      <c r="D1971" s="161" t="s">
        <v>411</v>
      </c>
      <c r="E1971" s="72">
        <f>SUMIF(Adat!$AG:$AG,CONCATENATE(61,Info!$D$5,"0591231",L1944),Adat!$E:$E)</f>
        <v>0</v>
      </c>
      <c r="F1971" s="72">
        <f>SUMIF(Adat!$AG:$AG,CONCATENATE(60,Info!$D$5,"0591231",L1944),Adat!$E:$E)+E1971</f>
        <v>0</v>
      </c>
      <c r="G1971" s="72">
        <f>SUMIF(Adat!$AH:$AH,CONCATENATE(Info!$D$5,"(KÖT)","0591231",L1944),Adat!$E:$E)</f>
        <v>0</v>
      </c>
      <c r="H1971" s="72">
        <f>SUMIF(Adat!$AH:$AH,CONCATENATE(Info!$D$5,"(ÖNV)","0591231",L1944),Adat!$E:$E)</f>
        <v>0</v>
      </c>
      <c r="I1971" s="72">
        <f>SUMIF(Adat!$AH:$AH,CONCATENATE(Info!$D$5,"(ÁIG)","0591231",L1944),Adat!$E:$E)</f>
        <v>0</v>
      </c>
    </row>
    <row r="1972" spans="2:18" x14ac:dyDescent="0.25">
      <c r="B1972" s="160">
        <v>26</v>
      </c>
      <c r="C1972" s="305" t="s">
        <v>1464</v>
      </c>
      <c r="D1972" s="161" t="s">
        <v>492</v>
      </c>
      <c r="E1972" s="72">
        <f>SUMIF(Adat!$AG:$AG,CONCATENATE(61,Info!$D$5,"0591241",L1944),Adat!$E:$E)</f>
        <v>0</v>
      </c>
      <c r="F1972" s="72">
        <f>SUMIF(Adat!$AG:$AG,CONCATENATE(60,Info!$D$5,"0591241",L1944),Adat!$E:$E)+E1972</f>
        <v>0</v>
      </c>
      <c r="G1972" s="72">
        <f>SUMIF(Adat!$AH:$AH,CONCATENATE(Info!$D$5,"(KÖT)","0591241",L1944),Adat!$E:$E)</f>
        <v>0</v>
      </c>
      <c r="H1972" s="72">
        <f>SUMIF(Adat!$AH:$AH,CONCATENATE(Info!$D$5,"(ÖNV)","0591241",L1944),Adat!$E:$E)</f>
        <v>0</v>
      </c>
      <c r="I1972" s="72">
        <f>SUMIF(Adat!$AH:$AH,CONCATENATE(Info!$D$5,"(ÁIG)","0591241",L1944),Adat!$E:$E)</f>
        <v>0</v>
      </c>
    </row>
    <row r="1973" spans="2:18" x14ac:dyDescent="0.25">
      <c r="B1973" s="160">
        <v>27</v>
      </c>
      <c r="C1973" s="305" t="s">
        <v>1466</v>
      </c>
      <c r="D1973" s="161" t="s">
        <v>413</v>
      </c>
      <c r="E1973" s="72">
        <f>SUMIF(Adat!$AG:$AG,CONCATENATE(61,Info!$D$5,"0591251",L1944),Adat!$E:$E)</f>
        <v>0</v>
      </c>
      <c r="F1973" s="72">
        <f>SUMIF(Adat!$AG:$AG,CONCATENATE(60,Info!$D$5,"0591251",L1944),Adat!$E:$E)+E1973</f>
        <v>0</v>
      </c>
      <c r="G1973" s="72">
        <f>SUMIF(Adat!$AH:$AH,CONCATENATE(Info!$D$5,"(KÖT)","0591251",L1944),Adat!$E:$E)</f>
        <v>0</v>
      </c>
      <c r="H1973" s="72">
        <f>SUMIF(Adat!$AH:$AH,CONCATENATE(Info!$D$5,"(ÖNV)","0591251",L1944),Adat!$E:$E)</f>
        <v>0</v>
      </c>
      <c r="I1973" s="72">
        <f>SUMIF(Adat!$AH:$AH,CONCATENATE(Info!$D$5,"(ÁIG)","0591251",L1944),Adat!$E:$E)</f>
        <v>0</v>
      </c>
    </row>
    <row r="1974" spans="2:18" s="42" customFormat="1" x14ac:dyDescent="0.25">
      <c r="B1974" s="160">
        <v>28</v>
      </c>
      <c r="C1974" s="305" t="s">
        <v>1468</v>
      </c>
      <c r="D1974" s="161" t="s">
        <v>414</v>
      </c>
      <c r="E1974" s="72">
        <f>SUMIF(Adat!$AG:$AG,CONCATENATE(61,Info!$D$5,"0591261",L1944),Adat!$E:$E)</f>
        <v>0</v>
      </c>
      <c r="F1974" s="72">
        <f>SUMIF(Adat!$AG:$AG,CONCATENATE(60,Info!$D$5,"0591261",L1944),Adat!$E:$E)+E1974</f>
        <v>0</v>
      </c>
      <c r="G1974" s="72">
        <f>SUMIF(Adat!$AH:$AH,CONCATENATE(Info!$D$5,"(KÖT)","0591261",L1944),Adat!$E:$E)</f>
        <v>0</v>
      </c>
      <c r="H1974" s="72">
        <f>SUMIF(Adat!$AH:$AH,CONCATENATE(Info!$D$5,"(ÖNV)","0591261",L1944),Adat!$E:$E)</f>
        <v>0</v>
      </c>
      <c r="I1974" s="72">
        <f>SUMIF(Adat!$AH:$AH,CONCATENATE(Info!$D$5,"(ÁIG)","0591261",L1944),Adat!$E:$E)</f>
        <v>0</v>
      </c>
    </row>
    <row r="1975" spans="2:18" x14ac:dyDescent="0.25">
      <c r="B1975" s="160">
        <v>29</v>
      </c>
      <c r="C1975" s="78" t="s">
        <v>379</v>
      </c>
      <c r="D1975" s="86" t="s">
        <v>1470</v>
      </c>
      <c r="E1975" s="71">
        <f>+E1976+E1977+E1979+E1980+E1978</f>
        <v>0</v>
      </c>
      <c r="F1975" s="71">
        <f>+F1976+F1977+F1979+F1980+F1978</f>
        <v>0</v>
      </c>
      <c r="G1975" s="71">
        <f>+G1976+G1977+G1979+G1980+G1978</f>
        <v>0</v>
      </c>
      <c r="H1975" s="71">
        <f>+H1976+H1977+H1979+H1980+H1978</f>
        <v>0</v>
      </c>
      <c r="I1975" s="71">
        <f>+I1976+I1977+I1979+I1980+I1978</f>
        <v>0</v>
      </c>
      <c r="R1975" s="43"/>
    </row>
    <row r="1976" spans="2:18" x14ac:dyDescent="0.25">
      <c r="B1976" s="160">
        <v>30</v>
      </c>
      <c r="C1976" s="305" t="s">
        <v>1471</v>
      </c>
      <c r="D1976" s="161" t="s">
        <v>416</v>
      </c>
      <c r="E1976" s="72">
        <f>SUMIF(Adat!$AG:$AG,CONCATENATE(61,Info!$D$5,"059131",L1944),Adat!$E:$E)</f>
        <v>0</v>
      </c>
      <c r="F1976" s="72">
        <f>SUMIF(Adat!$AG:$AG,CONCATENATE(60,Info!$D$5,"059131",L1944),Adat!$E:$E)+E1976</f>
        <v>0</v>
      </c>
      <c r="G1976" s="72">
        <f>SUMIF(Adat!$AH:$AH,CONCATENATE(Info!$D$5,"(KÖT)","059131",L1944),Adat!$E:$E)</f>
        <v>0</v>
      </c>
      <c r="H1976" s="72">
        <f>SUMIF(Adat!$AH:$AH,CONCATENATE(Info!$D$5,"(ÖNV)","059131",L1944),Adat!$E:$E)</f>
        <v>0</v>
      </c>
      <c r="I1976" s="72">
        <f>SUMIF(Adat!$AH:$AH,CONCATENATE(Info!$D$5,"(ÁIG)","059131",L1944),Adat!$E:$E)</f>
        <v>0</v>
      </c>
    </row>
    <row r="1977" spans="2:18" x14ac:dyDescent="0.25">
      <c r="B1977" s="160">
        <v>31</v>
      </c>
      <c r="C1977" s="305" t="s">
        <v>1287</v>
      </c>
      <c r="D1977" s="161" t="s">
        <v>417</v>
      </c>
      <c r="E1977" s="72">
        <f>SUMIF(Adat!$AG:$AG,CONCATENATE(61,Info!$D$5,"059141",L1944),Adat!$E:$E)</f>
        <v>0</v>
      </c>
      <c r="F1977" s="72">
        <f>SUMIF(Adat!$AG:$AG,CONCATENATE(60,Info!$D$5,"059141",L1944),Adat!$E:$E)+E1977</f>
        <v>0</v>
      </c>
      <c r="G1977" s="72">
        <f>SUMIF(Adat!$AH:$AH,CONCATENATE(Info!$D$5,"(KÖT)","059141",L1944),Adat!$E:$E)</f>
        <v>0</v>
      </c>
      <c r="H1977" s="72">
        <f>SUMIF(Adat!$AH:$AH,CONCATENATE(Info!$D$5,"(ÖNV)","059141",L1944),Adat!$E:$E)</f>
        <v>0</v>
      </c>
      <c r="I1977" s="72">
        <f>SUMIF(Adat!$AH:$AH,CONCATENATE(Info!$D$5,"(ÁIG)","059141",L1944),Adat!$E:$E)</f>
        <v>0</v>
      </c>
    </row>
    <row r="1978" spans="2:18" x14ac:dyDescent="0.25">
      <c r="B1978" s="160">
        <v>32</v>
      </c>
      <c r="C1978" s="316" t="s">
        <v>1253</v>
      </c>
      <c r="D1978" s="161" t="s">
        <v>493</v>
      </c>
      <c r="E1978" s="72">
        <f>SUMIF(Adat!$AG:$AG,CONCATENATE(61,Info!$D$5,"059151",L1944),Adat!$E:$E)</f>
        <v>0</v>
      </c>
      <c r="F1978" s="72">
        <f>SUMIF(Adat!$AG:$AG,CONCATENATE(60,Info!$D$5,"059151",L1944),Adat!$E:$E)+E1978</f>
        <v>0</v>
      </c>
      <c r="G1978" s="72">
        <f>SUMIF(Adat!$AH:$AH,CONCATENATE(Info!$D$5,"(KÖT)","059151",L1944),Adat!$E:$E)</f>
        <v>0</v>
      </c>
      <c r="H1978" s="72">
        <f>SUMIF(Adat!$AH:$AH,CONCATENATE(Info!$D$5,"(ÖNV)","059151",L1944),Adat!$E:$E)</f>
        <v>0</v>
      </c>
      <c r="I1978" s="72">
        <f>SUMIF(Adat!$AH:$AH,CONCATENATE(Info!$D$5,"(ÁIG)","059151",L1944),Adat!$E:$E)</f>
        <v>0</v>
      </c>
    </row>
    <row r="1979" spans="2:18" s="42" customFormat="1" x14ac:dyDescent="0.25">
      <c r="B1979" s="160">
        <v>33</v>
      </c>
      <c r="C1979" s="305" t="s">
        <v>1474</v>
      </c>
      <c r="D1979" s="161" t="s">
        <v>418</v>
      </c>
      <c r="E1979" s="72">
        <f>SUMIF(Adat!$AG:$AG,CONCATENATE(61,Info!$D$5,"059161",L1944),Adat!$E:$E)</f>
        <v>0</v>
      </c>
      <c r="F1979" s="72">
        <f>SUMIF(Adat!$AG:$AG,CONCATENATE(60,Info!$D$5,"059161",L1944),Adat!$E:$E)+E1979</f>
        <v>0</v>
      </c>
      <c r="G1979" s="72">
        <f>SUMIF(Adat!$AH:$AH,CONCATENATE(Info!$D$5,"(KÖT)","059161",L1944),Adat!$E:$E)</f>
        <v>0</v>
      </c>
      <c r="H1979" s="72">
        <f>SUMIF(Adat!$AH:$AH,CONCATENATE(Info!$D$5,"(ÖNV)","059161",L1944),Adat!$E:$E)</f>
        <v>0</v>
      </c>
      <c r="I1979" s="72">
        <f>SUMIF(Adat!$AH:$AH,CONCATENATE(Info!$D$5,"(ÁIG)","059161",L1944),Adat!$E:$E)</f>
        <v>0</v>
      </c>
    </row>
    <row r="1980" spans="2:18" s="42" customFormat="1" x14ac:dyDescent="0.25">
      <c r="B1980" s="160">
        <v>34</v>
      </c>
      <c r="C1980" s="305" t="s">
        <v>1476</v>
      </c>
      <c r="D1980" s="161" t="s">
        <v>419</v>
      </c>
      <c r="E1980" s="72">
        <f>SUMIF(Adat!$AG:$AG,CONCATENATE(61,Info!$D$5,"059171",L1944),Adat!$E:$E)</f>
        <v>0</v>
      </c>
      <c r="F1980" s="72">
        <f>SUMIF(Adat!$AG:$AG,CONCATENATE(60,Info!$D$5,"059171",L1944),Adat!$E:$E)+E1980</f>
        <v>0</v>
      </c>
      <c r="G1980" s="72">
        <f>SUMIF(Adat!$AH:$AH,CONCATENATE(Info!$D$5,"(KÖT)","059171",L1944),Adat!$E:$E)</f>
        <v>0</v>
      </c>
      <c r="H1980" s="72">
        <f>SUMIF(Adat!$AH:$AH,CONCATENATE(Info!$D$5,"(ÖNV)","059171",L1944),Adat!$E:$E)</f>
        <v>0</v>
      </c>
      <c r="I1980" s="72">
        <f>SUMIF(Adat!$AH:$AH,CONCATENATE(Info!$D$5,"(ÁIG)","059171",L1944),Adat!$E:$E)</f>
        <v>0</v>
      </c>
    </row>
    <row r="1981" spans="2:18" s="42" customFormat="1" x14ac:dyDescent="0.25">
      <c r="B1981" s="160">
        <v>35</v>
      </c>
      <c r="C1981" s="78" t="s">
        <v>420</v>
      </c>
      <c r="D1981" s="86" t="s">
        <v>1478</v>
      </c>
      <c r="E1981" s="73">
        <f>+E1982+E1983+E1984+E1985+E1986</f>
        <v>0</v>
      </c>
      <c r="F1981" s="73">
        <f>+F1982+F1983+F1984+F1985+F1986</f>
        <v>0</v>
      </c>
      <c r="G1981" s="73">
        <f>+G1982+G1983+G1984+G1985+G1986</f>
        <v>0</v>
      </c>
      <c r="H1981" s="73">
        <f>+H1982+H1983+H1984+H1985+H1986</f>
        <v>0</v>
      </c>
      <c r="I1981" s="73">
        <f>+I1982+I1983+I1984+I1985+I1986</f>
        <v>0</v>
      </c>
    </row>
    <row r="1982" spans="2:18" s="42" customFormat="1" x14ac:dyDescent="0.25">
      <c r="B1982" s="160">
        <v>36</v>
      </c>
      <c r="C1982" s="305" t="s">
        <v>1479</v>
      </c>
      <c r="D1982" s="161" t="s">
        <v>422</v>
      </c>
      <c r="E1982" s="72">
        <f>SUMIF(Adat!$AG:$AG,CONCATENATE(61,Info!$D$5,"059211",L1944),Adat!$E:$E)</f>
        <v>0</v>
      </c>
      <c r="F1982" s="72">
        <f>SUMIF(Adat!$AG:$AG,CONCATENATE(60,Info!$D$5,"059211",L1944),Adat!$E:$E)+E1982</f>
        <v>0</v>
      </c>
      <c r="G1982" s="72">
        <f>SUMIF(Adat!$AH:$AH,CONCATENATE(Info!$D$5,"(KÖT)","059211",L1944),Adat!$E:$E)</f>
        <v>0</v>
      </c>
      <c r="H1982" s="72">
        <f>SUMIF(Adat!$AH:$AH,CONCATENATE(Info!$D$5,"(ÖNV)","059211",L1944),Adat!$E:$E)</f>
        <v>0</v>
      </c>
      <c r="I1982" s="72">
        <f>SUMIF(Adat!$AH:$AH,CONCATENATE(Info!$D$5,"(ÁIG)","059211",L1944),Adat!$E:$E)</f>
        <v>0</v>
      </c>
    </row>
    <row r="1983" spans="2:18" s="42" customFormat="1" x14ac:dyDescent="0.25">
      <c r="B1983" s="160">
        <v>37</v>
      </c>
      <c r="C1983" s="305" t="s">
        <v>1481</v>
      </c>
      <c r="D1983" s="161" t="s">
        <v>423</v>
      </c>
      <c r="E1983" s="72">
        <f>SUMIF(Adat!$AG:$AG,CONCATENATE(61,Info!$D$5,"059221",L1944),Adat!$E:$E)</f>
        <v>0</v>
      </c>
      <c r="F1983" s="72">
        <f>SUMIF(Adat!$AG:$AG,CONCATENATE(60,Info!$D$5,"059221",L1944),Adat!$E:$E)+E1983</f>
        <v>0</v>
      </c>
      <c r="G1983" s="72">
        <f>SUMIF(Adat!$AH:$AH,CONCATENATE(Info!$D$5,"(KÖT)","059221",L1944),Adat!$E:$E)</f>
        <v>0</v>
      </c>
      <c r="H1983" s="72">
        <f>SUMIF(Adat!$AH:$AH,CONCATENATE(Info!$D$5,"(ÖNV)","059221",L1944),Adat!$E:$E)</f>
        <v>0</v>
      </c>
      <c r="I1983" s="72">
        <f>SUMIF(Adat!$AH:$AH,CONCATENATE(Info!$D$5,"(ÁIG)","059221",L1944),Adat!$E:$E)</f>
        <v>0</v>
      </c>
    </row>
    <row r="1984" spans="2:18" s="42" customFormat="1" x14ac:dyDescent="0.25">
      <c r="B1984" s="160">
        <v>38</v>
      </c>
      <c r="C1984" s="305" t="s">
        <v>1483</v>
      </c>
      <c r="D1984" s="161" t="s">
        <v>424</v>
      </c>
      <c r="E1984" s="72">
        <f>SUMIF(Adat!$AG:$AG,CONCATENATE(61,Info!$D$5,"059231",L1944),Adat!$E:$E)</f>
        <v>0</v>
      </c>
      <c r="F1984" s="72">
        <f>SUMIF(Adat!$AG:$AG,CONCATENATE(60,Info!$D$5,"059231",L1944),Adat!$E:$E)+E1984</f>
        <v>0</v>
      </c>
      <c r="G1984" s="72">
        <f>SUMIF(Adat!$AH:$AH,CONCATENATE(Info!$D$5,"(KÖT)","059231",L1944),Adat!$E:$E)</f>
        <v>0</v>
      </c>
      <c r="H1984" s="72">
        <f>SUMIF(Adat!$AH:$AH,CONCATENATE(Info!$D$5,"(ÖNV)","059231",L1944),Adat!$E:$E)</f>
        <v>0</v>
      </c>
      <c r="I1984" s="72">
        <f>SUMIF(Adat!$AH:$AH,CONCATENATE(Info!$D$5,"(ÁIG)","059231",L1944),Adat!$E:$E)</f>
        <v>0</v>
      </c>
    </row>
    <row r="1985" spans="2:12" s="42" customFormat="1" x14ac:dyDescent="0.25">
      <c r="B1985" s="160">
        <v>39</v>
      </c>
      <c r="C1985" s="305" t="s">
        <v>1485</v>
      </c>
      <c r="D1985" s="161" t="s">
        <v>494</v>
      </c>
      <c r="E1985" s="72">
        <f>SUMIF(Adat!$AG:$AG,CONCATENATE(61,Info!$D$5,"059241",L1944),Adat!$E:$E)</f>
        <v>0</v>
      </c>
      <c r="F1985" s="72">
        <f>SUMIF(Adat!$AG:$AG,CONCATENATE(60,Info!$D$5,"059241",L1944),Adat!$E:$E)+E1985</f>
        <v>0</v>
      </c>
      <c r="G1985" s="72">
        <f>SUMIF(Adat!$AH:$AH,CONCATENATE(Info!$D$5,"(KÖT)","059241",L1944),Adat!$E:$E)</f>
        <v>0</v>
      </c>
      <c r="H1985" s="72">
        <f>SUMIF(Adat!$AH:$AH,CONCATENATE(Info!$D$5,"(ÖNV)","059241",L1944),Adat!$E:$E)</f>
        <v>0</v>
      </c>
      <c r="I1985" s="72">
        <f>SUMIF(Adat!$AH:$AH,CONCATENATE(Info!$D$5,"(ÁIG)","059241",L1944),Adat!$E:$E)</f>
        <v>0</v>
      </c>
    </row>
    <row r="1986" spans="2:12" x14ac:dyDescent="0.25">
      <c r="B1986" s="160">
        <v>40</v>
      </c>
      <c r="C1986" s="305" t="s">
        <v>1487</v>
      </c>
      <c r="D1986" s="161" t="s">
        <v>427</v>
      </c>
      <c r="E1986" s="72">
        <f>SUMIF(Adat!$AG:$AG,CONCATENATE(61,Info!$D$5,"059251",L1944),Adat!$E:$E)</f>
        <v>0</v>
      </c>
      <c r="F1986" s="72">
        <f>SUMIF(Adat!$AG:$AG,CONCATENATE(60,Info!$D$5,"059251",L1944),Adat!$E:$E)+E1986</f>
        <v>0</v>
      </c>
      <c r="G1986" s="72">
        <f>SUMIF(Adat!$AH:$AH,CONCATENATE(Info!$D$5,"(KÖT)","059251",L1944),Adat!$E:$E)</f>
        <v>0</v>
      </c>
      <c r="H1986" s="72">
        <f>SUMIF(Adat!$AH:$AH,CONCATENATE(Info!$D$5,"(ÖNV)","059251",L1944),Adat!$E:$E)</f>
        <v>0</v>
      </c>
      <c r="I1986" s="72">
        <f>SUMIF(Adat!$AH:$AH,CONCATENATE(Info!$D$5,"(ÁIG)","059251",L1944),Adat!$E:$E)</f>
        <v>0</v>
      </c>
    </row>
    <row r="1987" spans="2:12" x14ac:dyDescent="0.25">
      <c r="B1987" s="160">
        <v>41</v>
      </c>
      <c r="C1987" s="162" t="s">
        <v>390</v>
      </c>
      <c r="D1987" s="86" t="s">
        <v>428</v>
      </c>
      <c r="E1987" s="72">
        <f>SUMIF(Adat!$AG:$AG,CONCATENATE(61,Info!$D$5,"05931",L1944),Adat!$E:$E)</f>
        <v>0</v>
      </c>
      <c r="F1987" s="72">
        <f>SUMIF(Adat!$AG:$AG,CONCATENATE(60,Info!$D$5,"05931",L1944),Adat!$E:$E)+E1987</f>
        <v>0</v>
      </c>
      <c r="G1987" s="72">
        <f>SUMIF(Adat!$AH:$AH,CONCATENATE(Info!$D$5,"(KÖT)","05931",L1944),Adat!$E:$E)</f>
        <v>0</v>
      </c>
      <c r="H1987" s="72">
        <f>SUMIF(Adat!$AH:$AH,CONCATENATE(Info!$D$5,"(ÖNV)","05931",L1944),Adat!$E:$E)</f>
        <v>0</v>
      </c>
      <c r="I1987" s="72">
        <f>SUMIF(Adat!$AH:$AH,CONCATENATE(Info!$D$5,"(ÁIG)","05931",L1944),Adat!$E:$E)</f>
        <v>0</v>
      </c>
    </row>
    <row r="1988" spans="2:12" x14ac:dyDescent="0.25">
      <c r="B1988" s="160">
        <v>42</v>
      </c>
      <c r="C1988" s="162" t="s">
        <v>429</v>
      </c>
      <c r="D1988" s="86" t="s">
        <v>430</v>
      </c>
      <c r="E1988" s="72">
        <f>SUMIF(Adat!$AG:$AG,CONCATENATE(61,Info!$D$5,"05941",L1944),Adat!$E:$E)</f>
        <v>0</v>
      </c>
      <c r="F1988" s="72">
        <f>SUMIF(Adat!$AG:$AG,CONCATENATE(60,Info!$D$5,"05941",L1944),Adat!$E:$E)+E1988</f>
        <v>0</v>
      </c>
      <c r="G1988" s="72">
        <f>SUMIF(Adat!$AH:$AH,CONCATENATE(Info!$D$5,"(KÖT)","05941",L1944),Adat!$E:$E)</f>
        <v>0</v>
      </c>
      <c r="H1988" s="72">
        <f>SUMIF(Adat!$AH:$AH,CONCATENATE(Info!$D$5,"(ÖNV)","05941",L1944),Adat!$E:$E)</f>
        <v>0</v>
      </c>
      <c r="I1988" s="72">
        <f>SUMIF(Adat!$AH:$AH,CONCATENATE(Info!$D$5,"(ÁIG)","05941",L1944),Adat!$E:$E)</f>
        <v>0</v>
      </c>
    </row>
    <row r="1989" spans="2:12" x14ac:dyDescent="0.25">
      <c r="B1989" s="160">
        <v>43</v>
      </c>
      <c r="C1989" s="78" t="s">
        <v>431</v>
      </c>
      <c r="D1989" s="86" t="s">
        <v>432</v>
      </c>
      <c r="E1989" s="74">
        <f>+E1964+E1968+E1975+E1981+E1987+E1988</f>
        <v>0</v>
      </c>
      <c r="F1989" s="74">
        <f>+F1964+F1968+F1975+F1981+F1987+F1988</f>
        <v>0</v>
      </c>
      <c r="G1989" s="74">
        <f>+G1964+G1968+G1975+G1981+G1987+G1988</f>
        <v>0</v>
      </c>
      <c r="H1989" s="74">
        <f>+H1964+H1968+H1975+H1981+H1987+H1988</f>
        <v>0</v>
      </c>
      <c r="I1989" s="74">
        <f>+I1964+I1968+I1975+I1981+I1987+I1988</f>
        <v>0</v>
      </c>
    </row>
    <row r="1990" spans="2:12" x14ac:dyDescent="0.25">
      <c r="B1990" s="160">
        <v>44</v>
      </c>
      <c r="C1990" s="154" t="s">
        <v>433</v>
      </c>
      <c r="D1990" s="159" t="s">
        <v>434</v>
      </c>
      <c r="E1990" s="74">
        <f>+E1963+E1989</f>
        <v>0</v>
      </c>
      <c r="F1990" s="74">
        <f>+F1963+F1989</f>
        <v>0</v>
      </c>
      <c r="G1990" s="74">
        <f>+G1963+G1989</f>
        <v>0</v>
      </c>
      <c r="H1990" s="74">
        <f>+H1963+H1989</f>
        <v>0</v>
      </c>
      <c r="I1990" s="74">
        <f>+I1963+I1989</f>
        <v>0</v>
      </c>
    </row>
    <row r="1991" spans="2:12" s="37" customFormat="1" ht="15.75" x14ac:dyDescent="0.25">
      <c r="C1991" s="529"/>
      <c r="D1991" s="529"/>
      <c r="E1991" s="529"/>
      <c r="F1991" s="200"/>
      <c r="G1991" s="200"/>
      <c r="H1991" s="200"/>
      <c r="I1991" s="200"/>
    </row>
    <row r="1992" spans="2:12" s="38" customFormat="1" ht="15.75" x14ac:dyDescent="0.25">
      <c r="B1992" s="525" t="str">
        <f>PAR!$E$3</f>
        <v>Nagymaros Város Önkormányzata</v>
      </c>
      <c r="C1992" s="525"/>
      <c r="D1992" s="525"/>
      <c r="E1992" s="525"/>
      <c r="F1992" s="525"/>
      <c r="G1992" s="525"/>
      <c r="H1992" s="525"/>
      <c r="I1992" s="525"/>
    </row>
    <row r="1993" spans="2:12" s="38" customFormat="1" ht="15.75" x14ac:dyDescent="0.25">
      <c r="B1993" s="525" t="s">
        <v>2660</v>
      </c>
      <c r="C1993" s="525"/>
      <c r="D1993" s="525"/>
      <c r="E1993" s="525"/>
      <c r="F1993" s="525"/>
      <c r="G1993" s="525"/>
      <c r="H1993" s="525"/>
      <c r="I1993" s="525"/>
    </row>
    <row r="1994" spans="2:12" s="38" customFormat="1" ht="15.75" x14ac:dyDescent="0.25">
      <c r="C1994" s="156"/>
      <c r="E1994" s="140"/>
      <c r="F1994" s="140"/>
      <c r="G1994" s="140"/>
      <c r="H1994" s="140"/>
      <c r="I1994" s="140"/>
    </row>
    <row r="1995" spans="2:12" s="10" customFormat="1" ht="15.75" customHeight="1" x14ac:dyDescent="0.25">
      <c r="B1995" s="201" t="str">
        <f>CONCATENATE("29. Bevételi jogcímek"," - ",L1995," részletező")</f>
        <v>29. Bevételi jogcímek -  részletező</v>
      </c>
      <c r="C1995" s="101"/>
      <c r="D1995" s="101"/>
      <c r="E1995" s="101"/>
      <c r="F1995" s="101"/>
      <c r="G1995" s="198"/>
      <c r="H1995" s="198"/>
      <c r="I1995" s="198"/>
      <c r="L1995" s="384"/>
    </row>
    <row r="1996" spans="2:12" s="38" customFormat="1" ht="15.75" x14ac:dyDescent="0.25">
      <c r="C1996" s="156"/>
      <c r="E1996" s="140"/>
      <c r="F1996" s="140"/>
      <c r="G1996" s="140"/>
      <c r="H1996" s="140"/>
      <c r="I1996" s="140"/>
    </row>
    <row r="1997" spans="2:12" s="40" customFormat="1" x14ac:dyDescent="0.25">
      <c r="B1997" s="77"/>
      <c r="C1997" s="77" t="s">
        <v>350</v>
      </c>
      <c r="D1997" s="77" t="s">
        <v>351</v>
      </c>
      <c r="E1997" s="77" t="s">
        <v>470</v>
      </c>
      <c r="F1997" s="77" t="s">
        <v>471</v>
      </c>
      <c r="G1997" s="77" t="s">
        <v>44</v>
      </c>
      <c r="H1997" s="77" t="s">
        <v>42</v>
      </c>
      <c r="I1997" s="77" t="s">
        <v>511</v>
      </c>
    </row>
    <row r="1998" spans="2:12" ht="38.25" x14ac:dyDescent="0.25">
      <c r="B1998" s="160">
        <v>1</v>
      </c>
      <c r="C1998" s="154" t="s">
        <v>593</v>
      </c>
      <c r="D1998" s="154" t="s">
        <v>488</v>
      </c>
      <c r="E1998" s="163" t="str">
        <f>CONCATENATE(PAR!$H$3," évi
eredeti 
előirányzat")</f>
        <v>2025. évi
eredeti 
előirányzat</v>
      </c>
      <c r="F1998" s="163" t="str">
        <f>CONCATENATE(PAR!$H$3," évi
módosított 
előirányzat")</f>
        <v>2025. évi
módosított 
előirányzat</v>
      </c>
      <c r="G1998" s="69" t="s">
        <v>666</v>
      </c>
      <c r="H1998" s="69" t="s">
        <v>667</v>
      </c>
      <c r="I1998" s="69" t="s">
        <v>668</v>
      </c>
    </row>
    <row r="1999" spans="2:12" s="41" customFormat="1" x14ac:dyDescent="0.25">
      <c r="B1999" s="160">
        <v>2</v>
      </c>
      <c r="C1999" s="78" t="s">
        <v>1324</v>
      </c>
      <c r="D1999" s="79" t="s">
        <v>562</v>
      </c>
      <c r="E1999" s="71">
        <f>SUM(E2000:E2006)</f>
        <v>0</v>
      </c>
      <c r="F1999" s="71">
        <f t="shared" ref="F1999:I1999" si="210">SUM(F2000:F2006)</f>
        <v>0</v>
      </c>
      <c r="G1999" s="71">
        <f t="shared" si="210"/>
        <v>0</v>
      </c>
      <c r="H1999" s="71">
        <f t="shared" si="210"/>
        <v>0</v>
      </c>
      <c r="I1999" s="71">
        <f t="shared" si="210"/>
        <v>0</v>
      </c>
    </row>
    <row r="2000" spans="2:12" s="42" customFormat="1" x14ac:dyDescent="0.2">
      <c r="B2000" s="160">
        <v>3</v>
      </c>
      <c r="C2000" s="305" t="s">
        <v>1288</v>
      </c>
      <c r="D2000" s="82" t="s">
        <v>1325</v>
      </c>
      <c r="E2000" s="72">
        <f>SUMIF(Adat!$AG:$AG,CONCATENATE(61,Info!$D$5,"091111",L1995),Adat!$E:$E)*-1</f>
        <v>0</v>
      </c>
      <c r="F2000" s="72">
        <f>SUMIF(Adat!$AG:$AG,CONCATENATE(60,Info!$D$5,"091111",L1995),Adat!$E:$E)*(-1)+E2000</f>
        <v>0</v>
      </c>
      <c r="G2000" s="72">
        <f>SUMIF(Adat!$AH:$AH,CONCATENATE(Info!$D$5,"(KÖT)","091111",L1995),Adat!$E:$E)*-1</f>
        <v>0</v>
      </c>
      <c r="H2000" s="72">
        <f>SUMIF(Adat!$AH:$AH,CONCATENATE(Info!$D$5,"(ÖNV)","091111",L1995),Adat!$E:$E)*-1</f>
        <v>0</v>
      </c>
      <c r="I2000" s="72">
        <f>SUMIF(Adat!$AH:$AH,CONCATENATE(Info!$D$5,"(ÁIG)","091111",L1995),Adat!$E:$E)*-1</f>
        <v>0</v>
      </c>
    </row>
    <row r="2001" spans="2:9" x14ac:dyDescent="0.2">
      <c r="B2001" s="160">
        <v>4</v>
      </c>
      <c r="C2001" s="305" t="s">
        <v>1289</v>
      </c>
      <c r="D2001" s="82" t="s">
        <v>735</v>
      </c>
      <c r="E2001" s="72">
        <f>SUMIF(Adat!$AG:$AG,CONCATENATE(61,Info!$D$5,"091121",L1995),Adat!$E:$E)*-1</f>
        <v>0</v>
      </c>
      <c r="F2001" s="72">
        <f>SUMIF(Adat!$AG:$AG,CONCATENATE(60,Info!$D$5,"091121",L1995),Adat!$E:$E)*-1+E2001</f>
        <v>0</v>
      </c>
      <c r="G2001" s="72">
        <f>SUMIF(Adat!$AH:$AH,CONCATENATE(Info!$D$5,"(KÖT)","091121",L1995),Adat!$E:$E)*-1</f>
        <v>0</v>
      </c>
      <c r="H2001" s="72">
        <f>SUMIF(Adat!$AH:$AH,CONCATENATE(Info!$D$5,"(ÖNV)","091121",L1995),Adat!$E:$E)*-1</f>
        <v>0</v>
      </c>
      <c r="I2001" s="72">
        <f>SUMIF(Adat!$AH:$AH,CONCATENATE(Info!$D$5,"(ÁIG)","091121",L1995),Adat!$E:$E)*-1</f>
        <v>0</v>
      </c>
    </row>
    <row r="2002" spans="2:9" x14ac:dyDescent="0.2">
      <c r="B2002" s="160">
        <v>5</v>
      </c>
      <c r="C2002" s="305" t="s">
        <v>1290</v>
      </c>
      <c r="D2002" s="82" t="s">
        <v>1326</v>
      </c>
      <c r="E2002" s="72">
        <f>SUMIF(Adat!$AG:$AG,CONCATENATE(61,Info!$D$5,"0911311",L1995),Adat!$E:$E)*-1</f>
        <v>0</v>
      </c>
      <c r="F2002" s="72">
        <f>SUMIF(Adat!$AG:$AG,CONCATENATE(60,Info!$D$5,"0911311",L1995),Adat!$E:$E)*-1+E2002</f>
        <v>0</v>
      </c>
      <c r="G2002" s="72">
        <f>SUMIF(Adat!$AH:$AH,CONCATENATE(Info!$D$5,"(KÖT)","0911311",L1995),Adat!$E:$E)*-1</f>
        <v>0</v>
      </c>
      <c r="H2002" s="72">
        <f>SUMIF(Adat!$AH:$AH,CONCATENATE(Info!$D$5,"(ÖNV)","0911311",L1995),Adat!$E:$E)*-1</f>
        <v>0</v>
      </c>
      <c r="I2002" s="72">
        <f>SUMIF(Adat!$AH:$AH,CONCATENATE(Info!$D$5,"(ÁIG)","0911311",L1995),Adat!$E:$E)*-1</f>
        <v>0</v>
      </c>
    </row>
    <row r="2003" spans="2:9" x14ac:dyDescent="0.2">
      <c r="B2003" s="160">
        <v>6</v>
      </c>
      <c r="C2003" s="305" t="s">
        <v>1254</v>
      </c>
      <c r="D2003" s="82" t="s">
        <v>736</v>
      </c>
      <c r="E2003" s="72">
        <f>SUMIF(Adat!$AG:$AG,CONCATENATE(61,Info!$D$5,"0911321",L1995),Adat!$E:$E)*-1</f>
        <v>0</v>
      </c>
      <c r="F2003" s="72">
        <f>SUMIF(Adat!$AG:$AG,CONCATENATE(60,Info!$D$5,"0911321",L1995),Adat!$E:$E)*-1+E2003</f>
        <v>0</v>
      </c>
      <c r="G2003" s="72">
        <f>SUMIF(Adat!$AH:$AH,CONCATENATE(Info!$D$5,"(KÖT)","0911321",L1995),Adat!$E:$E)*-1</f>
        <v>0</v>
      </c>
      <c r="H2003" s="72">
        <f>SUMIF(Adat!$AH:$AH,CONCATENATE(Info!$D$5,"(ÖNV)","0911321",L1995),Adat!$E:$E)*-1</f>
        <v>0</v>
      </c>
      <c r="I2003" s="72">
        <f>SUMIF(Adat!$AH:$AH,CONCATENATE(Info!$D$5,"(ÁIG)","0911321",L1995),Adat!$E:$E)*-1</f>
        <v>0</v>
      </c>
    </row>
    <row r="2004" spans="2:9" x14ac:dyDescent="0.25">
      <c r="B2004" s="160">
        <v>7</v>
      </c>
      <c r="C2004" s="305" t="s">
        <v>1291</v>
      </c>
      <c r="D2004" s="84" t="s">
        <v>737</v>
      </c>
      <c r="E2004" s="72">
        <f>SUMIF(Adat!$AG:$AG,CONCATENATE(61,Info!$D$5,"091141",L1995),Adat!$E:$E)*-1</f>
        <v>0</v>
      </c>
      <c r="F2004" s="72">
        <f>SUMIF(Adat!$AG:$AG,CONCATENATE(60,Info!$D$5,"091141",L1995),Adat!$E:$E)*-1+E2004</f>
        <v>0</v>
      </c>
      <c r="G2004" s="72">
        <f>SUMIF(Adat!$AH:$AH,CONCATENATE(Info!$D$5,"(KÖT)","091141",L1995),Adat!$E:$E)*-1</f>
        <v>0</v>
      </c>
      <c r="H2004" s="72">
        <f>SUMIF(Adat!$AH:$AH,CONCATENATE(Info!$D$5,"(ÖNV)","091141",L1995),Adat!$E:$E)*-1</f>
        <v>0</v>
      </c>
      <c r="I2004" s="72">
        <f>SUMIF(Adat!$AH:$AH,CONCATENATE(Info!$D$5,"(ÁIG)","091141",L1995),Adat!$E:$E)*-1</f>
        <v>0</v>
      </c>
    </row>
    <row r="2005" spans="2:9" x14ac:dyDescent="0.25">
      <c r="B2005" s="160">
        <v>8</v>
      </c>
      <c r="C2005" s="305" t="s">
        <v>1312</v>
      </c>
      <c r="D2005" s="84" t="s">
        <v>738</v>
      </c>
      <c r="E2005" s="72">
        <f>SUMIF(Adat!$AG:$AG,CONCATENATE(61,Info!$D$5,"091151",L1995),Adat!$E:$E)*-1</f>
        <v>0</v>
      </c>
      <c r="F2005" s="72">
        <f>SUMIF(Adat!$AG:$AG,CONCATENATE(60,Info!$D$5,"091151",L1995),Adat!$E:$E)*-1+E2005</f>
        <v>0</v>
      </c>
      <c r="G2005" s="72">
        <f>SUMIF(Adat!$AH:$AH,CONCATENATE(Info!$D$5,"(KÖT)","091151",L1995),Adat!$E:$E)*-1</f>
        <v>0</v>
      </c>
      <c r="H2005" s="72">
        <f>SUMIF(Adat!$AH:$AH,CONCATENATE(Info!$D$5,"(ÖNV)","091151",L1995),Adat!$E:$E)*-1</f>
        <v>0</v>
      </c>
      <c r="I2005" s="72">
        <f>SUMIF(Adat!$AH:$AH,CONCATENATE(Info!$D$5,"(ÁIG)","091151",L1995),Adat!$E:$E)*-1</f>
        <v>0</v>
      </c>
    </row>
    <row r="2006" spans="2:9" s="42" customFormat="1" x14ac:dyDescent="0.25">
      <c r="B2006" s="160">
        <v>9</v>
      </c>
      <c r="C2006" s="305" t="s">
        <v>1308</v>
      </c>
      <c r="D2006" s="84" t="s">
        <v>233</v>
      </c>
      <c r="E2006" s="72">
        <f>SUMIF(Adat!$AG:$AG,CONCATENATE(61,Info!$D$5,"091161",L1995),Adat!$E:$E)*-1</f>
        <v>0</v>
      </c>
      <c r="F2006" s="72">
        <f>SUMIF(Adat!$AG:$AG,CONCATENATE(60,Info!$D$5,"091161",L1995),Adat!$E:$E)*-1+E2006</f>
        <v>0</v>
      </c>
      <c r="G2006" s="72">
        <f>SUMIF(Adat!$AH:$AH,CONCATENATE(Info!$D$5,"(KÖT)","091161",L1995),Adat!$E:$E)*-1</f>
        <v>0</v>
      </c>
      <c r="H2006" s="72">
        <f>SUMIF(Adat!$AH:$AH,CONCATENATE(Info!$D$5,"(ÖNV)","091161",L1995),Adat!$E:$E)*-1</f>
        <v>0</v>
      </c>
      <c r="I2006" s="72">
        <f>SUMIF(Adat!$AH:$AH,CONCATENATE(Info!$D$5,"(ÁIG)","091161",L1995),Adat!$E:$E)*-1</f>
        <v>0</v>
      </c>
    </row>
    <row r="2007" spans="2:9" s="42" customFormat="1" x14ac:dyDescent="0.25">
      <c r="B2007" s="160">
        <v>10</v>
      </c>
      <c r="C2007" s="78" t="s">
        <v>1328</v>
      </c>
      <c r="D2007" s="85" t="s">
        <v>437</v>
      </c>
      <c r="E2007" s="71">
        <f>SUM(E2008:E2012)</f>
        <v>0</v>
      </c>
      <c r="F2007" s="71">
        <f t="shared" ref="F2007" si="211">SUM(F2008:F2012)</f>
        <v>0</v>
      </c>
      <c r="G2007" s="71">
        <f>SUM(G2008:G2012)</f>
        <v>0</v>
      </c>
      <c r="H2007" s="71">
        <f t="shared" ref="H2007:I2007" si="212">SUM(H2008:H2012)</f>
        <v>0</v>
      </c>
      <c r="I2007" s="71">
        <f t="shared" si="212"/>
        <v>0</v>
      </c>
    </row>
    <row r="2008" spans="2:9" s="42" customFormat="1" x14ac:dyDescent="0.2">
      <c r="B2008" s="160">
        <v>11</v>
      </c>
      <c r="C2008" s="305" t="s">
        <v>1329</v>
      </c>
      <c r="D2008" s="82" t="s">
        <v>1330</v>
      </c>
      <c r="E2008" s="72">
        <f>SUMIF(Adat!$AG:$AG,CONCATENATE(61,Info!$D$5,"09121",L1995),Adat!$E:$E)*-1</f>
        <v>0</v>
      </c>
      <c r="F2008" s="72">
        <f>SUMIF(Adat!$AG:$AG,CONCATENATE(60,Info!$D$5,"09121",L1995),Adat!$E:$E)*-1+E2008</f>
        <v>0</v>
      </c>
      <c r="G2008" s="72">
        <f>SUMIF(Adat!$AH:$AH,CONCATENATE(Info!$D$5,"(KÖT)","09121",L1995),Adat!$E:$E)*-1</f>
        <v>0</v>
      </c>
      <c r="H2008" s="72">
        <f>SUMIF(Adat!$AH:$AH,CONCATENATE(Info!$D$5,"(ÖNV)","09121",L1995),Adat!$E:$E)*-1</f>
        <v>0</v>
      </c>
      <c r="I2008" s="72">
        <f>SUMIF(Adat!$AH:$AH,CONCATENATE(Info!$D$5,"(ÁIG)","09121",L1995),Adat!$E:$E)*-1</f>
        <v>0</v>
      </c>
    </row>
    <row r="2009" spans="2:9" s="42" customFormat="1" x14ac:dyDescent="0.2">
      <c r="B2009" s="160">
        <v>12</v>
      </c>
      <c r="C2009" s="305" t="s">
        <v>1331</v>
      </c>
      <c r="D2009" s="82" t="s">
        <v>1332</v>
      </c>
      <c r="E2009" s="72">
        <f>SUMIF(Adat!$AG:$AG,CONCATENATE(61,Info!$D$5,"09131",L1995),Adat!$E:$E)*-1</f>
        <v>0</v>
      </c>
      <c r="F2009" s="72">
        <f>SUMIF(Adat!$AG:$AG,CONCATENATE(60,Info!$D$5,"09131",L1995),Adat!$E:$E)*-1+E2009</f>
        <v>0</v>
      </c>
      <c r="G2009" s="72">
        <f>SUMIF(Adat!$AH:$AH,CONCATENATE(Info!$D$5,"(KÖT)","09131",L1995),Adat!$E:$E)*-1</f>
        <v>0</v>
      </c>
      <c r="H2009" s="72">
        <f>SUMIF(Adat!$AH:$AH,CONCATENATE(Info!$D$5,"(ÖNV)","09131",L1995),Adat!$E:$E)*-1</f>
        <v>0</v>
      </c>
      <c r="I2009" s="72">
        <f>SUMIF(Adat!$AH:$AH,CONCATENATE(Info!$D$5,"(ÁIG)","09131",L1995),Adat!$E:$E)*-1</f>
        <v>0</v>
      </c>
    </row>
    <row r="2010" spans="2:9" s="42" customFormat="1" x14ac:dyDescent="0.2">
      <c r="B2010" s="160">
        <v>13</v>
      </c>
      <c r="C2010" s="305" t="s">
        <v>1333</v>
      </c>
      <c r="D2010" s="82" t="s">
        <v>1334</v>
      </c>
      <c r="E2010" s="72">
        <f>SUMIF(Adat!$AG:$AG,CONCATENATE(61,Info!$D$5,"09141",L1995),Adat!$E:$E)*-1</f>
        <v>0</v>
      </c>
      <c r="F2010" s="72">
        <f>SUMIF(Adat!$AG:$AG,CONCATENATE(60,Info!$D$5,"09141",L1995),Adat!$E:$E)*-1+E2010</f>
        <v>0</v>
      </c>
      <c r="G2010" s="72">
        <f>SUMIF(Adat!$AH:$AH,CONCATENATE(Info!$D$5,"(KÖT)","09141",L1995),Adat!$E:$E)*-1</f>
        <v>0</v>
      </c>
      <c r="H2010" s="72">
        <f>SUMIF(Adat!$AH:$AH,CONCATENATE(Info!$D$5,"(ÖNV)","09141",L1995),Adat!$E:$E)*-1</f>
        <v>0</v>
      </c>
      <c r="I2010" s="72">
        <f>SUMIF(Adat!$AH:$AH,CONCATENATE(Info!$D$5,"(ÁIG)","09141",L1995),Adat!$E:$E)*-1</f>
        <v>0</v>
      </c>
    </row>
    <row r="2011" spans="2:9" s="42" customFormat="1" x14ac:dyDescent="0.2">
      <c r="B2011" s="160">
        <v>14</v>
      </c>
      <c r="C2011" s="305" t="s">
        <v>1335</v>
      </c>
      <c r="D2011" s="82" t="s">
        <v>1336</v>
      </c>
      <c r="E2011" s="72">
        <f>SUMIF(Adat!$AG:$AG,CONCATENATE(61,Info!$D$5,"09151",L1995),Adat!$E:$E)*-1</f>
        <v>0</v>
      </c>
      <c r="F2011" s="72">
        <f>SUMIF(Adat!$AG:$AG,CONCATENATE(60,Info!$D$5,"09151",L1995),Adat!$E:$E)*-1+E2011</f>
        <v>0</v>
      </c>
      <c r="G2011" s="72">
        <f>SUMIF(Adat!$AH:$AH,CONCATENATE(Info!$D$5,"(KÖT)","09151",L1995),Adat!$E:$E)*-1</f>
        <v>0</v>
      </c>
      <c r="H2011" s="72">
        <f>SUMIF(Adat!$AH:$AH,CONCATENATE(Info!$D$5,"(ÖNV)","09151",L1995),Adat!$E:$E)*-1</f>
        <v>0</v>
      </c>
      <c r="I2011" s="72">
        <f>SUMIF(Adat!$AH:$AH,CONCATENATE(Info!$D$5,"(ÁIG)","09151",L1995),Adat!$E:$E)*-1</f>
        <v>0</v>
      </c>
    </row>
    <row r="2012" spans="2:9" s="42" customFormat="1" x14ac:dyDescent="0.2">
      <c r="B2012" s="160">
        <v>15</v>
      </c>
      <c r="C2012" s="305" t="s">
        <v>1278</v>
      </c>
      <c r="D2012" s="82" t="s">
        <v>1337</v>
      </c>
      <c r="E2012" s="72">
        <f>SUMIF(Adat!$AG:$AG,CONCATENATE(61,Info!$D$5,"09161",L1995),Adat!$E:$E)*-1</f>
        <v>0</v>
      </c>
      <c r="F2012" s="72">
        <f>SUMIF(Adat!$AG:$AG,CONCATENATE(60,Info!$D$5,"09161",L1995),Adat!$E:$E)*-1+E2012</f>
        <v>0</v>
      </c>
      <c r="G2012" s="72">
        <f>SUMIF(Adat!$AH:$AH,CONCATENATE(Info!$D$5,"(KÖT)","09161",L1995),Adat!$E:$E)*-1</f>
        <v>0</v>
      </c>
      <c r="H2012" s="72">
        <f>SUMIF(Adat!$AH:$AH,CONCATENATE(Info!$D$5,"(ÖNV)","09161",L1995),Adat!$E:$E)*-1</f>
        <v>0</v>
      </c>
      <c r="I2012" s="72">
        <f>SUMIF(Adat!$AH:$AH,CONCATENATE(Info!$D$5,"(ÁIG)","09161",L1995),Adat!$E:$E)*-1</f>
        <v>0</v>
      </c>
    </row>
    <row r="2013" spans="2:9" x14ac:dyDescent="0.25">
      <c r="B2013" s="160">
        <v>16</v>
      </c>
      <c r="C2013" s="79" t="s">
        <v>24</v>
      </c>
      <c r="D2013" s="79" t="s">
        <v>449</v>
      </c>
      <c r="E2013" s="71">
        <f t="shared" ref="E2013:F2013" si="213">SUM(E2014:E2018)</f>
        <v>0</v>
      </c>
      <c r="F2013" s="71">
        <f t="shared" si="213"/>
        <v>0</v>
      </c>
      <c r="G2013" s="71">
        <f>SUM(G2014:G2018)</f>
        <v>0</v>
      </c>
      <c r="H2013" s="71">
        <f t="shared" ref="H2013:I2013" si="214">SUM(H2014:H2018)</f>
        <v>0</v>
      </c>
      <c r="I2013" s="71">
        <f t="shared" si="214"/>
        <v>0</v>
      </c>
    </row>
    <row r="2014" spans="2:9" x14ac:dyDescent="0.2">
      <c r="B2014" s="160">
        <v>17</v>
      </c>
      <c r="C2014" s="305" t="s">
        <v>1339</v>
      </c>
      <c r="D2014" s="82" t="s">
        <v>1340</v>
      </c>
      <c r="E2014" s="72">
        <f>SUMIF(Adat!$AG:$AG,CONCATENATE(61,Info!$D$5,"09211",L1995),Adat!$E:$E)*-1</f>
        <v>0</v>
      </c>
      <c r="F2014" s="72">
        <f>SUMIF(Adat!$AG:$AG,CONCATENATE(60,Info!$D$5,"09211",L1995),Adat!$E:$E)*-1+E2014</f>
        <v>0</v>
      </c>
      <c r="G2014" s="72">
        <f>SUMIF(Adat!$AH:$AH,CONCATENATE(Info!$D$5,"(KÖT)","09211",L1995),Adat!$E:$E)*-1</f>
        <v>0</v>
      </c>
      <c r="H2014" s="72">
        <f>SUMIF(Adat!$AH:$AH,CONCATENATE(Info!$D$5,"(ÖNV)","09211",L1995),Adat!$E:$E)*-1</f>
        <v>0</v>
      </c>
      <c r="I2014" s="72">
        <f>SUMIF(Adat!$AH:$AH,CONCATENATE(Info!$D$5,"(ÁIG)","09211",L1995),Adat!$E:$E)*-1</f>
        <v>0</v>
      </c>
    </row>
    <row r="2015" spans="2:9" s="42" customFormat="1" x14ac:dyDescent="0.2">
      <c r="B2015" s="160">
        <v>18</v>
      </c>
      <c r="C2015" s="305" t="s">
        <v>1341</v>
      </c>
      <c r="D2015" s="82" t="s">
        <v>1342</v>
      </c>
      <c r="E2015" s="72">
        <f>SUMIF(Adat!$AG:$AG,CONCATENATE(61,Info!$D$5,"09221",L1995),Adat!$E:$E)*-1</f>
        <v>0</v>
      </c>
      <c r="F2015" s="72">
        <f>SUMIF(Adat!$AG:$AG,CONCATENATE(60,Info!$D$5,"09221",L1995),Adat!$E:$E)*-1+E2015</f>
        <v>0</v>
      </c>
      <c r="G2015" s="72">
        <f>SUMIF(Adat!$AH:$AH,CONCATENATE(Info!$D$5,"(KÖT)","09221",L1995),Adat!$E:$E)*-1</f>
        <v>0</v>
      </c>
      <c r="H2015" s="72">
        <f>SUMIF(Adat!$AH:$AH,CONCATENATE(Info!$D$5,"(ÖNV)","09221",L1995),Adat!$E:$E)*-1</f>
        <v>0</v>
      </c>
      <c r="I2015" s="72">
        <f>SUMIF(Adat!$AH:$AH,CONCATENATE(Info!$D$5,"(ÁIG)","09221",L1995),Adat!$E:$E)*-1</f>
        <v>0</v>
      </c>
    </row>
    <row r="2016" spans="2:9" x14ac:dyDescent="0.2">
      <c r="B2016" s="160">
        <v>19</v>
      </c>
      <c r="C2016" s="305" t="s">
        <v>1343</v>
      </c>
      <c r="D2016" s="82" t="s">
        <v>1344</v>
      </c>
      <c r="E2016" s="72">
        <f>SUMIF(Adat!$AG:$AG,CONCATENATE(61,Info!$D$5,"09231",L1995),Adat!$E:$E)*-1</f>
        <v>0</v>
      </c>
      <c r="F2016" s="72">
        <f>SUMIF(Adat!$AG:$AG,CONCATENATE(60,Info!$D$5,"09231",L1995),Adat!$E:$E)*-1+E2016</f>
        <v>0</v>
      </c>
      <c r="G2016" s="72">
        <f>SUMIF(Adat!$AH:$AH,CONCATENATE(Info!$D$5,"(KÖT)","09231",L1995),Adat!$E:$E)*-1</f>
        <v>0</v>
      </c>
      <c r="H2016" s="72">
        <f>SUMIF(Adat!$AH:$AH,CONCATENATE(Info!$D$5,"(ÖNV)","09231",L1995),Adat!$E:$E)*-1</f>
        <v>0</v>
      </c>
      <c r="I2016" s="72">
        <f>SUMIF(Adat!$AH:$AH,CONCATENATE(Info!$D$5,"(ÁIG)","09231",L1995),Adat!$E:$E)*-1</f>
        <v>0</v>
      </c>
    </row>
    <row r="2017" spans="2:9" x14ac:dyDescent="0.2">
      <c r="B2017" s="160">
        <v>20</v>
      </c>
      <c r="C2017" s="305" t="s">
        <v>1345</v>
      </c>
      <c r="D2017" s="82" t="s">
        <v>1346</v>
      </c>
      <c r="E2017" s="72">
        <f>SUMIF(Adat!$AG:$AG,CONCATENATE(61,Info!$D$5,"09241",L1995),Adat!$E:$E)*-1</f>
        <v>0</v>
      </c>
      <c r="F2017" s="72">
        <f>SUMIF(Adat!$AG:$AG,CONCATENATE(60,Info!$D$5,"09241",L1995),Adat!$E:$E)*-1+E2017</f>
        <v>0</v>
      </c>
      <c r="G2017" s="72">
        <f>SUMIF(Adat!$AH:$AH,CONCATENATE(Info!$D$5,"(KÖT)","09241",L1995),Adat!$E:$E)*-1</f>
        <v>0</v>
      </c>
      <c r="H2017" s="72">
        <f>SUMIF(Adat!$AH:$AH,CONCATENATE(Info!$D$5,"(ÖNV)","09241",L1995),Adat!$E:$E)*-1</f>
        <v>0</v>
      </c>
      <c r="I2017" s="72">
        <f>SUMIF(Adat!$AH:$AH,CONCATENATE(Info!$D$5,"(ÁIG)","09241",L1995),Adat!$E:$E)*-1</f>
        <v>0</v>
      </c>
    </row>
    <row r="2018" spans="2:9" x14ac:dyDescent="0.2">
      <c r="B2018" s="160">
        <v>21</v>
      </c>
      <c r="C2018" s="305" t="s">
        <v>1255</v>
      </c>
      <c r="D2018" s="82" t="s">
        <v>1347</v>
      </c>
      <c r="E2018" s="72">
        <f>SUMIF(Adat!$AG:$AG,CONCATENATE(61,Info!$D$5,"09251",L1995),Adat!$E:$E)*-1</f>
        <v>0</v>
      </c>
      <c r="F2018" s="72">
        <f>SUMIF(Adat!$AG:$AG,CONCATENATE(60,Info!$D$5,"09251",L1995),Adat!$E:$E)*-1+E2018</f>
        <v>0</v>
      </c>
      <c r="G2018" s="72">
        <f>SUMIF(Adat!$AH:$AH,CONCATENATE(Info!$D$5,"(KÖT)","09251",L1995),Adat!$E:$E)*-1</f>
        <v>0</v>
      </c>
      <c r="H2018" s="72">
        <f>SUMIF(Adat!$AH:$AH,CONCATENATE(Info!$D$5,"(ÖNV)","09251",L1995),Adat!$E:$E)*-1</f>
        <v>0</v>
      </c>
      <c r="I2018" s="72">
        <f>SUMIF(Adat!$AH:$AH,CONCATENATE(Info!$D$5,"(ÁIG)","09251",L1995),Adat!$E:$E)*-1</f>
        <v>0</v>
      </c>
    </row>
    <row r="2019" spans="2:9" x14ac:dyDescent="0.25">
      <c r="B2019" s="160">
        <v>22</v>
      </c>
      <c r="C2019" s="79" t="s">
        <v>27</v>
      </c>
      <c r="D2019" s="79" t="s">
        <v>328</v>
      </c>
      <c r="E2019" s="71">
        <f>SUM(E2020:E2025)</f>
        <v>0</v>
      </c>
      <c r="F2019" s="71">
        <f>SUM(F2020:F2025)</f>
        <v>0</v>
      </c>
      <c r="G2019" s="71">
        <f>SUM(G2020:G2025)</f>
        <v>0</v>
      </c>
      <c r="H2019" s="71">
        <f>SUM(H2020:H2025)</f>
        <v>0</v>
      </c>
      <c r="I2019" s="71">
        <f>SUM(I2020:I2025)</f>
        <v>0</v>
      </c>
    </row>
    <row r="2020" spans="2:9" x14ac:dyDescent="0.2">
      <c r="B2020" s="160">
        <v>23</v>
      </c>
      <c r="C2020" s="305" t="s">
        <v>1348</v>
      </c>
      <c r="D2020" s="82" t="s">
        <v>1349</v>
      </c>
      <c r="E2020" s="72">
        <f>SUMIF(Adat!$AG:$AG,CONCATENATE(61,Info!$D$5,"093111",L1995),Adat!$E:$E)*-1</f>
        <v>0</v>
      </c>
      <c r="F2020" s="72">
        <f>SUMIF(Adat!$AG:$AG,CONCATENATE(60,Info!$D$5,"093111",L1995),Adat!$E:$E)*-1+E2020</f>
        <v>0</v>
      </c>
      <c r="G2020" s="72">
        <f>SUMIF(Adat!$AH:$AH,CONCATENATE(Info!$D$5,"(KÖT)","093111",L1995),Adat!$E:$E)*-1</f>
        <v>0</v>
      </c>
      <c r="H2020" s="72">
        <f>SUMIF(Adat!$AH:$AH,CONCATENATE(Info!$D$5,"(ÖNV)","093111",L1995),Adat!$E:$E)*-1</f>
        <v>0</v>
      </c>
      <c r="I2020" s="72">
        <f>SUMIF(Adat!$AH:$AH,CONCATENATE(Info!$D$5,"(ÁIG)","093111",L1995),Adat!$E:$E)*-1</f>
        <v>0</v>
      </c>
    </row>
    <row r="2021" spans="2:9" x14ac:dyDescent="0.2">
      <c r="B2021" s="160">
        <v>24</v>
      </c>
      <c r="C2021" s="305" t="s">
        <v>1259</v>
      </c>
      <c r="D2021" s="82" t="s">
        <v>1350</v>
      </c>
      <c r="E2021" s="72">
        <f>SUMIF(Adat!$AG:$AG,CONCATENATE(61,Info!$D$5,"09341",L1995),Adat!$E:$E)*-1</f>
        <v>0</v>
      </c>
      <c r="F2021" s="72">
        <f>SUMIF(Adat!$AG:$AG,CONCATENATE(60,Info!$D$5,"09341",L1995),Adat!$E:$E)*-1+E2021</f>
        <v>0</v>
      </c>
      <c r="G2021" s="72">
        <f>SUMIF(Adat!$AH:$AH,CONCATENATE(Info!$D$5,"(KÖT)","09341",L1995),Adat!$E:$E)*-1</f>
        <v>0</v>
      </c>
      <c r="H2021" s="72">
        <f>SUMIF(Adat!$AH:$AH,CONCATENATE(Info!$D$5,"(ÖNV)","09341",L1995),Adat!$E:$E)*-1</f>
        <v>0</v>
      </c>
      <c r="I2021" s="72">
        <f>SUMIF(Adat!$AH:$AH,CONCATENATE(Info!$D$5,"(ÁIG)","09341",L1995),Adat!$E:$E)*-1</f>
        <v>0</v>
      </c>
    </row>
    <row r="2022" spans="2:9" x14ac:dyDescent="0.2">
      <c r="B2022" s="160">
        <v>25</v>
      </c>
      <c r="C2022" s="305" t="s">
        <v>1260</v>
      </c>
      <c r="D2022" s="82" t="s">
        <v>1351</v>
      </c>
      <c r="E2022" s="72">
        <f>SUMIF(Adat!$AG:$AG,CONCATENATE(61,Info!$D$5,"093511",L1995),Adat!$E:$E)*-1</f>
        <v>0</v>
      </c>
      <c r="F2022" s="72">
        <f>SUMIF(Adat!$AG:$AG,CONCATENATE(60,Info!$D$5,"093511",L1995),Adat!$E:$E)*-1+E2022</f>
        <v>0</v>
      </c>
      <c r="G2022" s="72">
        <f>SUMIF(Adat!$AH:$AH,CONCATENATE(Info!$D$5,"(KÖT)","093511",L1995),Adat!$E:$E)*-1</f>
        <v>0</v>
      </c>
      <c r="H2022" s="72">
        <f>SUMIF(Adat!$AH:$AH,CONCATENATE(Info!$D$5,"(ÖNV)","093511",L1995),Adat!$E:$E)*-1</f>
        <v>0</v>
      </c>
      <c r="I2022" s="72">
        <f>SUMIF(Adat!$AH:$AH,CONCATENATE(Info!$D$5,"(ÁIG)","093511",L1995),Adat!$E:$E)*-1</f>
        <v>0</v>
      </c>
    </row>
    <row r="2023" spans="2:9" x14ac:dyDescent="0.2">
      <c r="B2023" s="160">
        <v>26</v>
      </c>
      <c r="C2023" s="305" t="s">
        <v>1352</v>
      </c>
      <c r="D2023" s="82" t="s">
        <v>1353</v>
      </c>
      <c r="E2023" s="72">
        <f>SUMIF(Adat!$AG:$AG,CONCATENATE(61,Info!$D$5,"093521",L1995),Adat!$E:$E)*-1</f>
        <v>0</v>
      </c>
      <c r="F2023" s="72">
        <f>SUMIF(Adat!$AG:$AG,CONCATENATE(60,Info!$D$5,"093521",L1995),Adat!$E:$E)*-1+E2023</f>
        <v>0</v>
      </c>
      <c r="G2023" s="72">
        <f>SUMIF(Adat!$AH:$AH,CONCATENATE(Info!$D$5,"(KÖT)","093521",L1995),Adat!$E:$E)*-1</f>
        <v>0</v>
      </c>
      <c r="H2023" s="72">
        <f>SUMIF(Adat!$AH:$AH,CONCATENATE(Info!$D$5,"(ÖNV)","093521",L1995),Adat!$E:$E)*-1</f>
        <v>0</v>
      </c>
      <c r="I2023" s="72">
        <f>SUMIF(Adat!$AH:$AH,CONCATENATE(Info!$D$5,"(ÁIG)","093521",L1995),Adat!$E:$E)*-1</f>
        <v>0</v>
      </c>
    </row>
    <row r="2024" spans="2:9" x14ac:dyDescent="0.2">
      <c r="B2024" s="160">
        <v>27</v>
      </c>
      <c r="C2024" s="305" t="s">
        <v>1292</v>
      </c>
      <c r="D2024" s="82" t="s">
        <v>1354</v>
      </c>
      <c r="E2024" s="72">
        <f>SUMIF(Adat!$AG:$AG,CONCATENATE(61,Info!$D$5,"093551",L1995),Adat!$E:$E)*-1</f>
        <v>0</v>
      </c>
      <c r="F2024" s="72">
        <f>SUMIF(Adat!$AG:$AG,CONCATENATE(60,Info!$D$5,"093551",L1995),Adat!$E:$E)*-1+E2024</f>
        <v>0</v>
      </c>
      <c r="G2024" s="72">
        <f>SUMIF(Adat!$AH:$AH,CONCATENATE(Info!$D$5,"(KÖT)","093551",L1995),Adat!$E:$E)*-1</f>
        <v>0</v>
      </c>
      <c r="H2024" s="72">
        <f>SUMIF(Adat!$AH:$AH,CONCATENATE(Info!$D$5,"(ÖNV)","093551",L1995),Adat!$E:$E)*-1</f>
        <v>0</v>
      </c>
      <c r="I2024" s="72">
        <f>SUMIF(Adat!$AH:$AH,CONCATENATE(Info!$D$5,"(ÁIG)","093551",L1995),Adat!$E:$E)*-1</f>
        <v>0</v>
      </c>
    </row>
    <row r="2025" spans="2:9" x14ac:dyDescent="0.2">
      <c r="B2025" s="160">
        <v>28</v>
      </c>
      <c r="C2025" s="305" t="s">
        <v>1293</v>
      </c>
      <c r="D2025" s="82" t="s">
        <v>1355</v>
      </c>
      <c r="E2025" s="72">
        <f>SUMIF(Adat!$AG:$AG,CONCATENATE(61,Info!$D$5,"09361",L1995),Adat!$E:$E)*-1</f>
        <v>0</v>
      </c>
      <c r="F2025" s="72">
        <f>SUMIF(Adat!$AG:$AG,CONCATENATE(60,Info!$D$5,"09361",L1995),Adat!$E:$E)*-1+E2025</f>
        <v>0</v>
      </c>
      <c r="G2025" s="72">
        <f>SUMIF(Adat!$AH:$AH,CONCATENATE(Info!$D$5,"(KÖT)","09361",L1995),Adat!$E:$E)*-1</f>
        <v>0</v>
      </c>
      <c r="H2025" s="72">
        <f>SUMIF(Adat!$AH:$AH,CONCATENATE(Info!$D$5,"(ÖNV)","09361",L1995),Adat!$E:$E)*-1</f>
        <v>0</v>
      </c>
      <c r="I2025" s="72">
        <f>SUMIF(Adat!$AH:$AH,CONCATENATE(Info!$D$5,"(ÁIG)","09361",L1995),Adat!$E:$E)*-1</f>
        <v>0</v>
      </c>
    </row>
    <row r="2026" spans="2:9" x14ac:dyDescent="0.25">
      <c r="B2026" s="160">
        <v>29</v>
      </c>
      <c r="C2026" s="79" t="s">
        <v>30</v>
      </c>
      <c r="D2026" s="79" t="s">
        <v>329</v>
      </c>
      <c r="E2026" s="71">
        <f>SUM(E2027:E2039)</f>
        <v>0</v>
      </c>
      <c r="F2026" s="71">
        <f t="shared" ref="F2026:I2026" si="215">SUM(F2027:F2039)</f>
        <v>0</v>
      </c>
      <c r="G2026" s="71">
        <f t="shared" si="215"/>
        <v>0</v>
      </c>
      <c r="H2026" s="71">
        <f t="shared" si="215"/>
        <v>0</v>
      </c>
      <c r="I2026" s="71">
        <f t="shared" si="215"/>
        <v>0</v>
      </c>
    </row>
    <row r="2027" spans="2:9" x14ac:dyDescent="0.2">
      <c r="B2027" s="160">
        <v>30</v>
      </c>
      <c r="C2027" s="305" t="s">
        <v>1309</v>
      </c>
      <c r="D2027" s="82" t="s">
        <v>1356</v>
      </c>
      <c r="E2027" s="72">
        <f>SUMIF(Adat!$AG:$AG,CONCATENATE(61,Info!$D$5,"094011",L1995),Adat!$E:$E)*-1</f>
        <v>0</v>
      </c>
      <c r="F2027" s="72">
        <f>SUMIF(Adat!$AG:$AG,CONCATENATE(60,Info!$D$5,"094011",L1995),Adat!$E:$E)*-1+E2027</f>
        <v>0</v>
      </c>
      <c r="G2027" s="72">
        <f>SUMIF(Adat!$AH:$AH,CONCATENATE(Info!$D$5,"(KÖT)","094011",L1995),Adat!$E:$E)*-1</f>
        <v>0</v>
      </c>
      <c r="H2027" s="72">
        <f>SUMIF(Adat!$AH:$AH,CONCATENATE(Info!$D$5,"(ÖNV)","094011",L1995),Adat!$E:$E)*-1</f>
        <v>0</v>
      </c>
      <c r="I2027" s="72">
        <f>SUMIF(Adat!$AH:$AH,CONCATENATE(Info!$D$5,"(ÁIG)","094011",L1995),Adat!$E:$E)*-1</f>
        <v>0</v>
      </c>
    </row>
    <row r="2028" spans="2:9" x14ac:dyDescent="0.2">
      <c r="B2028" s="160">
        <v>31</v>
      </c>
      <c r="C2028" s="305" t="s">
        <v>1279</v>
      </c>
      <c r="D2028" s="82" t="s">
        <v>1357</v>
      </c>
      <c r="E2028" s="72">
        <f>SUMIF(Adat!$AG:$AG,CONCATENATE(61,Info!$D$5,"094021",L1995),Adat!$E:$E)*-1</f>
        <v>0</v>
      </c>
      <c r="F2028" s="72">
        <f>SUMIF(Adat!$AG:$AG,CONCATENATE(60,Info!$D$5,"094021",L1995),Adat!$E:$E)*-1+E2028</f>
        <v>0</v>
      </c>
      <c r="G2028" s="72">
        <f>SUMIF(Adat!$AH:$AH,CONCATENATE(Info!$D$5,"(KÖT)","094021",L1995),Adat!$E:$E)*-1</f>
        <v>0</v>
      </c>
      <c r="H2028" s="72">
        <f>SUMIF(Adat!$AH:$AH,CONCATENATE(Info!$D$5,"(ÖNV)","094021",L1995),Adat!$E:$E)*-1</f>
        <v>0</v>
      </c>
      <c r="I2028" s="72">
        <f>SUMIF(Adat!$AH:$AH,CONCATENATE(Info!$D$5,"(ÁIG)","094021",L1995),Adat!$E:$E)*-1</f>
        <v>0</v>
      </c>
    </row>
    <row r="2029" spans="2:9" x14ac:dyDescent="0.2">
      <c r="B2029" s="160">
        <v>32</v>
      </c>
      <c r="C2029" s="305" t="s">
        <v>1272</v>
      </c>
      <c r="D2029" s="82" t="s">
        <v>1358</v>
      </c>
      <c r="E2029" s="72">
        <f>SUMIF(Adat!$AG:$AG,CONCATENATE(61,Info!$D$5,"094031",L1995),Adat!$E:$E)*-1</f>
        <v>0</v>
      </c>
      <c r="F2029" s="72">
        <f>SUMIF(Adat!$AG:$AG,CONCATENATE(60,Info!$D$5,"094031",L1995),Adat!$E:$E)*-1+E2029</f>
        <v>0</v>
      </c>
      <c r="G2029" s="72">
        <f>SUMIF(Adat!$AH:$AH,CONCATENATE(Info!$D$5,"(KÖT)","094031",L1995),Adat!$E:$E)*-1</f>
        <v>0</v>
      </c>
      <c r="H2029" s="72">
        <f>SUMIF(Adat!$AH:$AH,CONCATENATE(Info!$D$5,"(ÖNV)","094031",L1995),Adat!$E:$E)*-1</f>
        <v>0</v>
      </c>
      <c r="I2029" s="72">
        <f>SUMIF(Adat!$AH:$AH,CONCATENATE(Info!$D$5,"(ÁIG)","094031",L1995),Adat!$E:$E)*-1</f>
        <v>0</v>
      </c>
    </row>
    <row r="2030" spans="2:9" x14ac:dyDescent="0.2">
      <c r="B2030" s="160">
        <v>33</v>
      </c>
      <c r="C2030" s="305" t="s">
        <v>1359</v>
      </c>
      <c r="D2030" s="82" t="s">
        <v>1360</v>
      </c>
      <c r="E2030" s="72">
        <f>SUMIF(Adat!$AG:$AG,CONCATENATE(61,Info!$D$5,"094041",L1995),Adat!$E:$E)*-1</f>
        <v>0</v>
      </c>
      <c r="F2030" s="72">
        <f>SUMIF(Adat!$AG:$AG,CONCATENATE(60,Info!$D$5,"094041",L1995),Adat!$E:$E)*-1+E2030</f>
        <v>0</v>
      </c>
      <c r="G2030" s="72">
        <f>SUMIF(Adat!$AH:$AH,CONCATENATE(Info!$D$5,"(KÖT)","094041",L1995),Adat!$E:$E)*-1</f>
        <v>0</v>
      </c>
      <c r="H2030" s="72">
        <f>SUMIF(Adat!$AH:$AH,CONCATENATE(Info!$D$5,"(ÖNV)","094041",L1995),Adat!$E:$E)*-1</f>
        <v>0</v>
      </c>
      <c r="I2030" s="72">
        <f>SUMIF(Adat!$AH:$AH,CONCATENATE(Info!$D$5,"(ÁIG)","094041",L1995),Adat!$E:$E)*-1</f>
        <v>0</v>
      </c>
    </row>
    <row r="2031" spans="2:9" x14ac:dyDescent="0.2">
      <c r="B2031" s="160">
        <v>34</v>
      </c>
      <c r="C2031" s="305" t="s">
        <v>1261</v>
      </c>
      <c r="D2031" s="82" t="s">
        <v>1361</v>
      </c>
      <c r="E2031" s="72">
        <f>SUMIF(Adat!$AG:$AG,CONCATENATE(61,Info!$D$5,"094051",L1995),Adat!$E:$E)*-1</f>
        <v>0</v>
      </c>
      <c r="F2031" s="72">
        <f>SUMIF(Adat!$AG:$AG,CONCATENATE(60,Info!$D$5,"094051",L1995),Adat!$E:$E)*-1+E2031</f>
        <v>0</v>
      </c>
      <c r="G2031" s="72">
        <f>SUMIF(Adat!$AH:$AH,CONCATENATE(Info!$D$5,"(KÖT)","094051",L1995),Adat!$E:$E)*-1</f>
        <v>0</v>
      </c>
      <c r="H2031" s="72">
        <f>SUMIF(Adat!$AH:$AH,CONCATENATE(Info!$D$5,"(ÖNV)","094051",L1995),Adat!$E:$E)*-1</f>
        <v>0</v>
      </c>
      <c r="I2031" s="72">
        <f>SUMIF(Adat!$AH:$AH,CONCATENATE(Info!$D$5,"(ÁIG)","094051",L1995),Adat!$E:$E)*-1</f>
        <v>0</v>
      </c>
    </row>
    <row r="2032" spans="2:9" x14ac:dyDescent="0.2">
      <c r="B2032" s="160">
        <v>35</v>
      </c>
      <c r="C2032" s="305" t="s">
        <v>1273</v>
      </c>
      <c r="D2032" s="82" t="s">
        <v>1362</v>
      </c>
      <c r="E2032" s="72">
        <f>SUMIF(Adat!$AG:$AG,CONCATENATE(61,Info!$D$5,"094061",L1995),Adat!$E:$E)*-1</f>
        <v>0</v>
      </c>
      <c r="F2032" s="72">
        <f>SUMIF(Adat!$AG:$AG,CONCATENATE(60,Info!$D$5,"094061",L1995),Adat!$E:$E)*-1+E2032</f>
        <v>0</v>
      </c>
      <c r="G2032" s="72">
        <f>SUMIF(Adat!$AH:$AH,CONCATENATE(Info!$D$5,"(KÖT)","094061",L1995),Adat!$E:$E)*-1</f>
        <v>0</v>
      </c>
      <c r="H2032" s="72">
        <f>SUMIF(Adat!$AH:$AH,CONCATENATE(Info!$D$5,"(ÖNV)","094061",L1995),Adat!$E:$E)*-1</f>
        <v>0</v>
      </c>
      <c r="I2032" s="72">
        <f>SUMIF(Adat!$AH:$AH,CONCATENATE(Info!$D$5,"(ÁIG)","094061",L1995),Adat!$E:$E)*-1</f>
        <v>0</v>
      </c>
    </row>
    <row r="2033" spans="2:9" x14ac:dyDescent="0.2">
      <c r="B2033" s="160">
        <v>36</v>
      </c>
      <c r="C2033" s="305" t="s">
        <v>1363</v>
      </c>
      <c r="D2033" s="82" t="s">
        <v>1364</v>
      </c>
      <c r="E2033" s="72">
        <f>SUMIF(Adat!$AG:$AG,CONCATENATE(61,Info!$D$5,"094071",L1995),Adat!$E:$E)*-1</f>
        <v>0</v>
      </c>
      <c r="F2033" s="72">
        <f>SUMIF(Adat!$AG:$AG,CONCATENATE(60,Info!$D$5,"094071",L1995),Adat!$E:$E)*-1+E2033</f>
        <v>0</v>
      </c>
      <c r="G2033" s="72">
        <f>SUMIF(Adat!$AH:$AH,CONCATENATE(Info!$D$5,"(KÖT)","094071",L1995),Adat!$E:$E)*-1</f>
        <v>0</v>
      </c>
      <c r="H2033" s="72">
        <f>SUMIF(Adat!$AH:$AH,CONCATENATE(Info!$D$5,"(ÖNV)","094071",L1995),Adat!$E:$E)*-1</f>
        <v>0</v>
      </c>
      <c r="I2033" s="72">
        <f>SUMIF(Adat!$AH:$AH,CONCATENATE(Info!$D$5,"(ÁIG)","094071",L1995),Adat!$E:$E)*-1</f>
        <v>0</v>
      </c>
    </row>
    <row r="2034" spans="2:9" x14ac:dyDescent="0.2">
      <c r="B2034" s="160">
        <v>37</v>
      </c>
      <c r="C2034" s="305" t="s">
        <v>1306</v>
      </c>
      <c r="D2034" s="82" t="s">
        <v>1365</v>
      </c>
      <c r="E2034" s="72">
        <f>SUMIF(Adat!$AG:$AG,CONCATENATE(61,Info!$D$5,"0940811",L1995),Adat!$E:$E)*-1</f>
        <v>0</v>
      </c>
      <c r="F2034" s="72">
        <f>SUMIF(Adat!$AG:$AG,CONCATENATE(60,Info!$D$5,"0940811",L1995),Adat!$E:$E)*-1+E2034</f>
        <v>0</v>
      </c>
      <c r="G2034" s="72">
        <f>SUMIF(Adat!$AH:$AH,CONCATENATE(Info!$D$5,"(KÖT)","0940811",L1995),Adat!$E:$E)*-1</f>
        <v>0</v>
      </c>
      <c r="H2034" s="72">
        <f>SUMIF(Adat!$AH:$AH,CONCATENATE(Info!$D$5,"(ÖNV)","0940811",L1995),Adat!$E:$E)*-1</f>
        <v>0</v>
      </c>
      <c r="I2034" s="72">
        <f>SUMIF(Adat!$AH:$AH,CONCATENATE(Info!$D$5,"(ÁIG)","0940811",L1995),Adat!$E:$E)*-1</f>
        <v>0</v>
      </c>
    </row>
    <row r="2035" spans="2:9" x14ac:dyDescent="0.2">
      <c r="B2035" s="160">
        <v>38</v>
      </c>
      <c r="C2035" s="305" t="s">
        <v>1295</v>
      </c>
      <c r="D2035" s="82" t="s">
        <v>1366</v>
      </c>
      <c r="E2035" s="72">
        <f>SUMIF(Adat!$AG:$AG,CONCATENATE(61,Info!$D$5,"0940821",L1995),Adat!$E:$E)*-1</f>
        <v>0</v>
      </c>
      <c r="F2035" s="72">
        <f>SUMIF(Adat!$AG:$AG,CONCATENATE(60,Info!$D$5,"0940821",L1995),Adat!$E:$E)*-1+E2035</f>
        <v>0</v>
      </c>
      <c r="G2035" s="72">
        <f>SUMIF(Adat!$AH:$AH,CONCATENATE(Info!$D$5,"(KÖT)","0940821",L1995),Adat!$E:$E)*-1</f>
        <v>0</v>
      </c>
      <c r="H2035" s="72">
        <f>SUMIF(Adat!$AH:$AH,CONCATENATE(Info!$D$5,"(ÖNV)","0940821",L1995),Adat!$E:$E)*-1</f>
        <v>0</v>
      </c>
      <c r="I2035" s="72">
        <f>SUMIF(Adat!$AH:$AH,CONCATENATE(Info!$D$5,"(ÁIG)","0940821",L1995),Adat!$E:$E)*-1</f>
        <v>0</v>
      </c>
    </row>
    <row r="2036" spans="2:9" x14ac:dyDescent="0.2">
      <c r="B2036" s="160">
        <v>39</v>
      </c>
      <c r="C2036" s="305" t="s">
        <v>1367</v>
      </c>
      <c r="D2036" s="82" t="s">
        <v>1368</v>
      </c>
      <c r="E2036" s="72">
        <f>SUMIF(Adat!$AG:$AG,CONCATENATE(61,Info!$D$5,"0940911",L1995),Adat!$E:$E)*-1</f>
        <v>0</v>
      </c>
      <c r="F2036" s="72">
        <f>SUMIF(Adat!$AG:$AG,CONCATENATE(60,Info!$D$5,"0940911",L1995),Adat!$E:$E)*-1+E2036</f>
        <v>0</v>
      </c>
      <c r="G2036" s="72">
        <f>SUMIF(Adat!$AH:$AH,CONCATENATE(Info!$D$5,"(KÖT)","0940911",L1995),Adat!$E:$E)*-1</f>
        <v>0</v>
      </c>
      <c r="H2036" s="72">
        <f>SUMIF(Adat!$AH:$AH,CONCATENATE(Info!$D$5,"(ÖNV)","0940911",L1995),Adat!$E:$E)*-1</f>
        <v>0</v>
      </c>
      <c r="I2036" s="72">
        <f>SUMIF(Adat!$AH:$AH,CONCATENATE(Info!$D$5,"(ÁIG)","0940911",L1995),Adat!$E:$E)*-1</f>
        <v>0</v>
      </c>
    </row>
    <row r="2037" spans="2:9" x14ac:dyDescent="0.2">
      <c r="B2037" s="160">
        <v>40</v>
      </c>
      <c r="C2037" s="305" t="s">
        <v>1369</v>
      </c>
      <c r="D2037" s="82" t="s">
        <v>1370</v>
      </c>
      <c r="E2037" s="72">
        <f>SUMIF(Adat!$AG:$AG,CONCATENATE(61,Info!$D$5,"0940921",L1995),Adat!$E:$E)*-1</f>
        <v>0</v>
      </c>
      <c r="F2037" s="72">
        <f>SUMIF(Adat!$AG:$AG,CONCATENATE(60,Info!$D$5,"0940921",L1995),Adat!$E:$E)*-1+E2037</f>
        <v>0</v>
      </c>
      <c r="G2037" s="72">
        <f>SUMIF(Adat!$AH:$AH,CONCATENATE(Info!$D$5,"(KÖT)","0940921",L1995),Adat!$E:$E)*-1</f>
        <v>0</v>
      </c>
      <c r="H2037" s="72">
        <f>SUMIF(Adat!$AH:$AH,CONCATENATE(Info!$D$5,"(ÖNV)","0940921",L1995),Adat!$E:$E)*-1</f>
        <v>0</v>
      </c>
      <c r="I2037" s="72">
        <f>SUMIF(Adat!$AH:$AH,CONCATENATE(Info!$D$5,"(ÁIG)","0940921",L1995),Adat!$E:$E)*-1</f>
        <v>0</v>
      </c>
    </row>
    <row r="2038" spans="2:9" x14ac:dyDescent="0.2">
      <c r="B2038" s="160">
        <v>41</v>
      </c>
      <c r="C2038" s="305" t="s">
        <v>1296</v>
      </c>
      <c r="D2038" s="82" t="s">
        <v>1371</v>
      </c>
      <c r="E2038" s="72">
        <f>SUMIF(Adat!$AG:$AG,CONCATENATE(61,Info!$D$5,"094101",L1995),Adat!$E:$E)*-1</f>
        <v>0</v>
      </c>
      <c r="F2038" s="72">
        <f>SUMIF(Adat!$AG:$AG,CONCATENATE(60,Info!$D$5,"094101",L1995),Adat!$E:$E)*-1+E2038</f>
        <v>0</v>
      </c>
      <c r="G2038" s="72">
        <f>SUMIF(Adat!$AH:$AH,CONCATENATE(Info!$D$5,"(KÖT)","094101",L1995),Adat!$E:$E)*-1</f>
        <v>0</v>
      </c>
      <c r="H2038" s="72">
        <f>SUMIF(Adat!$AH:$AH,CONCATENATE(Info!$D$5,"(ÖNV)","094101",L1995),Adat!$E:$E)*-1</f>
        <v>0</v>
      </c>
      <c r="I2038" s="72">
        <f>SUMIF(Adat!$AH:$AH,CONCATENATE(Info!$D$5,"(ÁIG)","094101",L1995),Adat!$E:$E)*-1</f>
        <v>0</v>
      </c>
    </row>
    <row r="2039" spans="2:9" x14ac:dyDescent="0.25">
      <c r="B2039" s="160">
        <v>42</v>
      </c>
      <c r="C2039" s="305" t="s">
        <v>1297</v>
      </c>
      <c r="D2039" s="84" t="s">
        <v>1372</v>
      </c>
      <c r="E2039" s="72">
        <f>SUMIF(Adat!$AG:$AG,CONCATENATE(61,Info!$D$5,"094111",L1995),Adat!$E:$E)*-1</f>
        <v>0</v>
      </c>
      <c r="F2039" s="72">
        <f>SUMIF(Adat!$AG:$AG,CONCATENATE(60,Info!$D$5,"094111",L1995),Adat!$E:$E)*-1+E2039</f>
        <v>0</v>
      </c>
      <c r="G2039" s="72">
        <f>SUMIF(Adat!$AH:$AH,CONCATENATE(Info!$D$5,"(KÖT)","094111",L1995),Adat!$E:$E)*-1</f>
        <v>0</v>
      </c>
      <c r="H2039" s="72">
        <f>SUMIF(Adat!$AH:$AH,CONCATENATE(Info!$D$5,"(ÖNV)","094111",L1995),Adat!$E:$E)*-1</f>
        <v>0</v>
      </c>
      <c r="I2039" s="72">
        <f>SUMIF(Adat!$AH:$AH,CONCATENATE(Info!$D$5,"(ÁIG)","094111",L1995),Adat!$E:$E)*-1</f>
        <v>0</v>
      </c>
    </row>
    <row r="2040" spans="2:9" x14ac:dyDescent="0.25">
      <c r="B2040" s="160">
        <v>43</v>
      </c>
      <c r="C2040" s="79" t="s">
        <v>33</v>
      </c>
      <c r="D2040" s="79" t="s">
        <v>330</v>
      </c>
      <c r="E2040" s="71">
        <f>SUM(E2041:E2045)</f>
        <v>0</v>
      </c>
      <c r="F2040" s="71">
        <f>SUM(F2041:F2045)</f>
        <v>0</v>
      </c>
      <c r="G2040" s="71">
        <f>SUM(G2041:G2045)</f>
        <v>0</v>
      </c>
      <c r="H2040" s="71">
        <f>SUM(H2041:H2045)</f>
        <v>0</v>
      </c>
      <c r="I2040" s="71">
        <f>SUM(I2041:I2045)</f>
        <v>0</v>
      </c>
    </row>
    <row r="2041" spans="2:9" x14ac:dyDescent="0.2">
      <c r="B2041" s="160">
        <v>44</v>
      </c>
      <c r="C2041" s="305" t="s">
        <v>1373</v>
      </c>
      <c r="D2041" s="82" t="s">
        <v>1374</v>
      </c>
      <c r="E2041" s="72">
        <f>SUMIF(Adat!$AG:$AG,CONCATENATE(61,Info!$D$5,"09511",L1995),Adat!$E:$E)*-1</f>
        <v>0</v>
      </c>
      <c r="F2041" s="72">
        <f>SUMIF(Adat!$AG:$AG,CONCATENATE(60,Info!$D$5,"09511",L1995),Adat!$E:$E)*-1+E2041</f>
        <v>0</v>
      </c>
      <c r="G2041" s="72">
        <f>SUMIF(Adat!$AH:$AH,CONCATENATE(Info!$D$5,"(KÖT)","09511",L1995),Adat!$E:$E)*-1</f>
        <v>0</v>
      </c>
      <c r="H2041" s="72">
        <f>SUMIF(Adat!$AH:$AH,CONCATENATE(Info!$D$5,"(ÖNV)","09511",L1995),Adat!$E:$E)*-1</f>
        <v>0</v>
      </c>
      <c r="I2041" s="72">
        <f>SUMIF(Adat!$AH:$AH,CONCATENATE(Info!$D$5,"(ÁIG)","09511",L1995),Adat!$E:$E)*-1</f>
        <v>0</v>
      </c>
    </row>
    <row r="2042" spans="2:9" x14ac:dyDescent="0.2">
      <c r="B2042" s="160">
        <v>45</v>
      </c>
      <c r="C2042" s="305" t="s">
        <v>1294</v>
      </c>
      <c r="D2042" s="82" t="s">
        <v>1375</v>
      </c>
      <c r="E2042" s="72">
        <f>SUMIF(Adat!$AG:$AG,CONCATENATE(61,Info!$D$5,"09521",L1995),Adat!$E:$E)*-1</f>
        <v>0</v>
      </c>
      <c r="F2042" s="72">
        <f>SUMIF(Adat!$AG:$AG,CONCATENATE(60,Info!$D$5,"09521",L1995),Adat!$E:$E)*-1+E2042</f>
        <v>0</v>
      </c>
      <c r="G2042" s="72">
        <f>SUMIF(Adat!$AH:$AH,CONCATENATE(Info!$D$5,"(KÖT)","09521",L1995),Adat!$E:$E)*-1</f>
        <v>0</v>
      </c>
      <c r="H2042" s="72">
        <f>SUMIF(Adat!$AH:$AH,CONCATENATE(Info!$D$5,"(ÖNV)","09521",L1995),Adat!$E:$E)*-1</f>
        <v>0</v>
      </c>
      <c r="I2042" s="72">
        <f>SUMIF(Adat!$AH:$AH,CONCATENATE(Info!$D$5,"(ÁIG)","09521",L1995),Adat!$E:$E)*-1</f>
        <v>0</v>
      </c>
    </row>
    <row r="2043" spans="2:9" x14ac:dyDescent="0.2">
      <c r="B2043" s="160">
        <v>46</v>
      </c>
      <c r="C2043" s="305" t="s">
        <v>1376</v>
      </c>
      <c r="D2043" s="82" t="s">
        <v>1377</v>
      </c>
      <c r="E2043" s="72">
        <f>SUMIF(Adat!$AG:$AG,CONCATENATE(61,Info!$D$5,"09531",L1995),Adat!$E:$E)*-1</f>
        <v>0</v>
      </c>
      <c r="F2043" s="72">
        <f>SUMIF(Adat!$AG:$AG,CONCATENATE(60,Info!$D$5,"09531",L1995),Adat!$E:$E)*-1+E2043</f>
        <v>0</v>
      </c>
      <c r="G2043" s="72">
        <f>SUMIF(Adat!$AH:$AH,CONCATENATE(Info!$D$5,"(KÖT)","09531",L1995),Adat!$E:$E)*-1</f>
        <v>0</v>
      </c>
      <c r="H2043" s="72">
        <f>SUMIF(Adat!$AH:$AH,CONCATENATE(Info!$D$5,"(ÖNV)","09531",L1995),Adat!$E:$E)*-1</f>
        <v>0</v>
      </c>
      <c r="I2043" s="72">
        <f>SUMIF(Adat!$AH:$AH,CONCATENATE(Info!$D$5,"(ÁIG)","09531",L1995),Adat!$E:$E)*-1</f>
        <v>0</v>
      </c>
    </row>
    <row r="2044" spans="2:9" x14ac:dyDescent="0.2">
      <c r="B2044" s="160">
        <v>47</v>
      </c>
      <c r="C2044" s="305" t="s">
        <v>1378</v>
      </c>
      <c r="D2044" s="82" t="s">
        <v>1379</v>
      </c>
      <c r="E2044" s="72">
        <f>SUMIF(Adat!$AG:$AG,CONCATENATE(61,Info!$D$5,"09541",L1995),Adat!$E:$E)*-1</f>
        <v>0</v>
      </c>
      <c r="F2044" s="72">
        <f>SUMIF(Adat!$AG:$AG,CONCATENATE(60,Info!$D$5,"09541",L1995),Adat!$E:$E)*-1+E2044</f>
        <v>0</v>
      </c>
      <c r="G2044" s="72">
        <f>SUMIF(Adat!$AH:$AH,CONCATENATE(Info!$D$5,"(KÖT)","09541",L1995),Adat!$E:$E)*-1</f>
        <v>0</v>
      </c>
      <c r="H2044" s="72">
        <f>SUMIF(Adat!$AH:$AH,CONCATENATE(Info!$D$5,"(ÖNV)","09541",L1995),Adat!$E:$E)*-1</f>
        <v>0</v>
      </c>
      <c r="I2044" s="72">
        <f>SUMIF(Adat!$AH:$AH,CONCATENATE(Info!$D$5,"(ÁIG)","09541",L1995),Adat!$E:$E)*-1</f>
        <v>0</v>
      </c>
    </row>
    <row r="2045" spans="2:9" x14ac:dyDescent="0.25">
      <c r="B2045" s="160">
        <v>48</v>
      </c>
      <c r="C2045" s="305" t="s">
        <v>1380</v>
      </c>
      <c r="D2045" s="84" t="s">
        <v>1381</v>
      </c>
      <c r="E2045" s="72">
        <f>SUMIF(Adat!$AG:$AG,CONCATENATE(61,Info!$D$5,"09551",L1995),Adat!$E:$E)*-1</f>
        <v>0</v>
      </c>
      <c r="F2045" s="72">
        <f>SUMIF(Adat!$AG:$AG,CONCATENATE(60,Info!$D$5,"09551",L1995),Adat!$E:$E)*-1+E2045</f>
        <v>0</v>
      </c>
      <c r="G2045" s="72">
        <f>SUMIF(Adat!$AH:$AH,CONCATENATE(Info!$D$5,"(KÖT)","09551",L1995),Adat!$E:$E)*-1</f>
        <v>0</v>
      </c>
      <c r="H2045" s="72">
        <f>SUMIF(Adat!$AH:$AH,CONCATENATE(Info!$D$5,"(ÖNV)","09551",L1995),Adat!$E:$E)*-1</f>
        <v>0</v>
      </c>
      <c r="I2045" s="72">
        <f>SUMIF(Adat!$AH:$AH,CONCATENATE(Info!$D$5,"(ÁIG)","09551",L1995),Adat!$E:$E)*-1</f>
        <v>0</v>
      </c>
    </row>
    <row r="2046" spans="2:9" x14ac:dyDescent="0.25">
      <c r="B2046" s="160">
        <v>49</v>
      </c>
      <c r="C2046" s="79" t="s">
        <v>36</v>
      </c>
      <c r="D2046" s="79" t="s">
        <v>331</v>
      </c>
      <c r="E2046" s="71">
        <f>SUM(E2047:E2051)</f>
        <v>0</v>
      </c>
      <c r="F2046" s="71">
        <f t="shared" ref="F2046:I2046" si="216">SUM(F2047:F2051)</f>
        <v>0</v>
      </c>
      <c r="G2046" s="71">
        <f t="shared" si="216"/>
        <v>0</v>
      </c>
      <c r="H2046" s="71">
        <f t="shared" si="216"/>
        <v>0</v>
      </c>
      <c r="I2046" s="71">
        <f t="shared" si="216"/>
        <v>0</v>
      </c>
    </row>
    <row r="2047" spans="2:9" x14ac:dyDescent="0.2">
      <c r="B2047" s="160">
        <v>50</v>
      </c>
      <c r="C2047" s="305" t="s">
        <v>1382</v>
      </c>
      <c r="D2047" s="82" t="s">
        <v>1383</v>
      </c>
      <c r="E2047" s="72">
        <f>SUMIF(Adat!$AG:$AG,CONCATENATE(61,Info!$D$5,"09611",L1995),Adat!$E:$E)*-1</f>
        <v>0</v>
      </c>
      <c r="F2047" s="72">
        <f>SUMIF(Adat!$AG:$AG,CONCATENATE(60,Info!$D$5,"09611",L1995),Adat!$E:$E)*-1+E2047</f>
        <v>0</v>
      </c>
      <c r="G2047" s="72">
        <f>SUMIF(Adat!$AH:$AH,CONCATENATE(Info!$D$5,"(KÖT)","09611",L1995),Adat!$E:$E)*-1</f>
        <v>0</v>
      </c>
      <c r="H2047" s="72">
        <f>SUMIF(Adat!$AH:$AH,CONCATENATE(Info!$D$5,"(ÖNV)","09611",L1995),Adat!$E:$E)*-1</f>
        <v>0</v>
      </c>
      <c r="I2047" s="72">
        <f>SUMIF(Adat!$AH:$AH,CONCATENATE(Info!$D$5,"(ÁIG)","09611",L1995),Adat!$E:$E)*-1</f>
        <v>0</v>
      </c>
    </row>
    <row r="2048" spans="2:9" x14ac:dyDescent="0.2">
      <c r="B2048" s="160">
        <v>51</v>
      </c>
      <c r="C2048" s="305" t="s">
        <v>1384</v>
      </c>
      <c r="D2048" s="82" t="s">
        <v>1385</v>
      </c>
      <c r="E2048" s="72">
        <f>SUMIF(Adat!$AG:$AG,CONCATENATE(61,Info!$D$5,"09621",L1995),Adat!$E:$E)*-1</f>
        <v>0</v>
      </c>
      <c r="F2048" s="72">
        <f>SUMIF(Adat!$AG:$AG,CONCATENATE(60,Info!$D$5,"09621",L1995),Adat!$E:$E)*-1+E2048</f>
        <v>0</v>
      </c>
      <c r="G2048" s="72">
        <f>SUMIF(Adat!$AH:$AH,CONCATENATE(Info!$D$5,"(KÖT)","09621",L1995),Adat!$E:$E)*-1</f>
        <v>0</v>
      </c>
      <c r="H2048" s="72">
        <f>SUMIF(Adat!$AH:$AH,CONCATENATE(Info!$D$5,"(ÖNV)","09621",L1995),Adat!$E:$E)*-1</f>
        <v>0</v>
      </c>
      <c r="I2048" s="72">
        <f>SUMIF(Adat!$AH:$AH,CONCATENATE(Info!$D$5,"(ÁIG)","09621",L1995),Adat!$E:$E)*-1</f>
        <v>0</v>
      </c>
    </row>
    <row r="2049" spans="2:9" x14ac:dyDescent="0.2">
      <c r="B2049" s="160">
        <v>52</v>
      </c>
      <c r="C2049" s="305" t="s">
        <v>1386</v>
      </c>
      <c r="D2049" s="82" t="s">
        <v>1387</v>
      </c>
      <c r="E2049" s="72">
        <f>SUMIF(Adat!$AG:$AG,CONCATENATE(61,Info!$D$5,"09631",L1995),Adat!$E:$E)*-1</f>
        <v>0</v>
      </c>
      <c r="F2049" s="72">
        <f>SUMIF(Adat!$AG:$AG,CONCATENATE(60,Info!$D$5,"09631",L1995),Adat!$E:$E)*-1+E2049</f>
        <v>0</v>
      </c>
      <c r="G2049" s="72">
        <f>SUMIF(Adat!$AH:$AH,CONCATENATE(Info!$D$5,"(KÖT)","09631",L1995),Adat!$E:$E)*-1</f>
        <v>0</v>
      </c>
      <c r="H2049" s="72">
        <f>SUMIF(Adat!$AH:$AH,CONCATENATE(Info!$D$5,"(ÖNV)","09631",L1995),Adat!$E:$E)*-1</f>
        <v>0</v>
      </c>
      <c r="I2049" s="72">
        <f>SUMIF(Adat!$AH:$AH,CONCATENATE(Info!$D$5,"(ÁIG)","09631",L1995),Adat!$E:$E)*-1</f>
        <v>0</v>
      </c>
    </row>
    <row r="2050" spans="2:9" x14ac:dyDescent="0.2">
      <c r="B2050" s="160">
        <v>53</v>
      </c>
      <c r="C2050" s="305" t="s">
        <v>1388</v>
      </c>
      <c r="D2050" s="82" t="s">
        <v>1389</v>
      </c>
      <c r="E2050" s="72">
        <f>SUMIF(Adat!$AG:$AG,CONCATENATE(61,Info!$D$5,"09641",L1995),Adat!$E:$E)*-1</f>
        <v>0</v>
      </c>
      <c r="F2050" s="72">
        <f>SUMIF(Adat!$AG:$AG,CONCATENATE(60,Info!$D$5,"09641",L1995),Adat!$E:$E)*-1+E2050</f>
        <v>0</v>
      </c>
      <c r="G2050" s="72">
        <f>SUMIF(Adat!$AH:$AH,CONCATENATE(Info!$D$5,"(KÖT)","09641",L1995),Adat!$E:$E)*-1</f>
        <v>0</v>
      </c>
      <c r="H2050" s="72">
        <f>SUMIF(Adat!$AH:$AH,CONCATENATE(Info!$D$5,"(ÖNV)","09641",L1995),Adat!$E:$E)*-1</f>
        <v>0</v>
      </c>
      <c r="I2050" s="72">
        <f>SUMIF(Adat!$AH:$AH,CONCATENATE(Info!$D$5,"(ÁIG)","09641",L1995),Adat!$E:$E)*-1</f>
        <v>0</v>
      </c>
    </row>
    <row r="2051" spans="2:9" x14ac:dyDescent="0.2">
      <c r="B2051" s="160">
        <v>54</v>
      </c>
      <c r="C2051" s="305" t="s">
        <v>1310</v>
      </c>
      <c r="D2051" s="82" t="s">
        <v>1390</v>
      </c>
      <c r="E2051" s="72">
        <f>SUMIF(Adat!$AG:$AG,CONCATENATE(61,Info!$D$5,"09651",L1995),Adat!$E:$E)*-1</f>
        <v>0</v>
      </c>
      <c r="F2051" s="72">
        <f>SUMIF(Adat!$AG:$AG,CONCATENATE(60,Info!$D$5,"09651",L1995),Adat!$E:$E)*-1+E2051</f>
        <v>0</v>
      </c>
      <c r="G2051" s="72">
        <f>SUMIF(Adat!$AH:$AH,CONCATENATE(Info!$D$5,"(KÖT)","09651",L1995),Adat!$E:$E)*-1</f>
        <v>0</v>
      </c>
      <c r="H2051" s="72">
        <f>SUMIF(Adat!$AH:$AH,CONCATENATE(Info!$D$5,"(ÖNV)","09651",L1995),Adat!$E:$E)*-1</f>
        <v>0</v>
      </c>
      <c r="I2051" s="72">
        <f>SUMIF(Adat!$AH:$AH,CONCATENATE(Info!$D$5,"(ÁIG)","09651",L1995),Adat!$E:$E)*-1</f>
        <v>0</v>
      </c>
    </row>
    <row r="2052" spans="2:9" x14ac:dyDescent="0.25">
      <c r="B2052" s="160">
        <v>55</v>
      </c>
      <c r="C2052" s="79" t="s">
        <v>38</v>
      </c>
      <c r="D2052" s="85" t="s">
        <v>332</v>
      </c>
      <c r="E2052" s="71">
        <f>SUM(E2053:E2057)</f>
        <v>0</v>
      </c>
      <c r="F2052" s="71">
        <f t="shared" ref="F2052:I2052" si="217">SUM(F2053:F2057)</f>
        <v>0</v>
      </c>
      <c r="G2052" s="71">
        <f t="shared" si="217"/>
        <v>0</v>
      </c>
      <c r="H2052" s="71">
        <f t="shared" si="217"/>
        <v>0</v>
      </c>
      <c r="I2052" s="71">
        <f t="shared" si="217"/>
        <v>0</v>
      </c>
    </row>
    <row r="2053" spans="2:9" x14ac:dyDescent="0.2">
      <c r="B2053" s="160">
        <v>56</v>
      </c>
      <c r="C2053" s="305" t="s">
        <v>1391</v>
      </c>
      <c r="D2053" s="82" t="s">
        <v>1392</v>
      </c>
      <c r="E2053" s="72">
        <f>SUMIF(Adat!$AG:$AG,CONCATENATE(61,Info!$D$5,"09711",L1995),Adat!$E:$E)*-1</f>
        <v>0</v>
      </c>
      <c r="F2053" s="72">
        <f>SUMIF(Adat!$AG:$AG,CONCATENATE(60,Info!$D$5,"09711",L1995),Adat!$E:$E)*-1+E2053</f>
        <v>0</v>
      </c>
      <c r="G2053" s="72">
        <f>SUMIF(Adat!$AH:$AH,CONCATENATE(Info!$D$5,"(KÖT)","09711",L1995),Adat!$E:$E)*-1</f>
        <v>0</v>
      </c>
      <c r="H2053" s="72">
        <f>SUMIF(Adat!$AH:$AH,CONCATENATE(Info!$D$5,"(ÖNV)","09711",L1995),Adat!$E:$E)*-1</f>
        <v>0</v>
      </c>
      <c r="I2053" s="72">
        <f>SUMIF(Adat!$AH:$AH,CONCATENATE(Info!$D$5,"(ÁIG)","09711",L1995),Adat!$E:$E)*-1</f>
        <v>0</v>
      </c>
    </row>
    <row r="2054" spans="2:9" x14ac:dyDescent="0.2">
      <c r="B2054" s="160">
        <v>57</v>
      </c>
      <c r="C2054" s="305" t="s">
        <v>1393</v>
      </c>
      <c r="D2054" s="82" t="s">
        <v>1394</v>
      </c>
      <c r="E2054" s="72">
        <f>SUMIF(Adat!$AG:$AG,CONCATENATE(61,Info!$D$5,"09721",L1995),Adat!$E:$E)*-1</f>
        <v>0</v>
      </c>
      <c r="F2054" s="72">
        <f>SUMIF(Adat!$AG:$AG,CONCATENATE(60,Info!$D$5,"09721",L1995),Adat!$E:$E)*-1+E2054</f>
        <v>0</v>
      </c>
      <c r="G2054" s="72">
        <f>SUMIF(Adat!$AH:$AH,CONCATENATE(Info!$D$5,"(KÖT)","09721",L1995),Adat!$E:$E)*-1</f>
        <v>0</v>
      </c>
      <c r="H2054" s="72">
        <f>SUMIF(Adat!$AH:$AH,CONCATENATE(Info!$D$5,"(ÖNV)","09721",L1995),Adat!$E:$E)*-1</f>
        <v>0</v>
      </c>
      <c r="I2054" s="72">
        <f>SUMIF(Adat!$AH:$AH,CONCATENATE(Info!$D$5,"(ÁIG)","09721",L1995),Adat!$E:$E)*-1</f>
        <v>0</v>
      </c>
    </row>
    <row r="2055" spans="2:9" x14ac:dyDescent="0.2">
      <c r="B2055" s="160">
        <v>58</v>
      </c>
      <c r="C2055" s="305" t="s">
        <v>1395</v>
      </c>
      <c r="D2055" s="82" t="s">
        <v>1396</v>
      </c>
      <c r="E2055" s="72">
        <f>SUMIF(Adat!$AG:$AG,CONCATENATE(61,Info!$D$5,"09731",L1995),Adat!$E:$E)*-1</f>
        <v>0</v>
      </c>
      <c r="F2055" s="72">
        <f>SUMIF(Adat!$AG:$AG,CONCATENATE(60,Info!$D$5,"09731",L1995),Adat!$E:$E)*-1+E2055</f>
        <v>0</v>
      </c>
      <c r="G2055" s="72">
        <f>SUMIF(Adat!$AH:$AH,CONCATENATE(Info!$D$5,"(KÖT)","09731",L1995),Adat!$E:$E)*-1</f>
        <v>0</v>
      </c>
      <c r="H2055" s="72">
        <f>SUMIF(Adat!$AH:$AH,CONCATENATE(Info!$D$5,"(ÖNV)","09731",L1995),Adat!$E:$E)*-1</f>
        <v>0</v>
      </c>
      <c r="I2055" s="72">
        <f>SUMIF(Adat!$AH:$AH,CONCATENATE(Info!$D$5,"(ÁIG)","09731",L1995),Adat!$E:$E)*-1</f>
        <v>0</v>
      </c>
    </row>
    <row r="2056" spans="2:9" x14ac:dyDescent="0.2">
      <c r="B2056" s="160">
        <v>59</v>
      </c>
      <c r="C2056" s="305" t="s">
        <v>1397</v>
      </c>
      <c r="D2056" s="82" t="s">
        <v>1398</v>
      </c>
      <c r="E2056" s="72">
        <f>SUMIF(Adat!$AG:$AG,CONCATENATE(61,Info!$D$5,"09741",L1995),Adat!$E:$E)*-1</f>
        <v>0</v>
      </c>
      <c r="F2056" s="72">
        <f>SUMIF(Adat!$AG:$AG,CONCATENATE(60,Info!$D$5,"09741",L1995),Adat!$E:$E)*-1+E2056</f>
        <v>0</v>
      </c>
      <c r="G2056" s="72">
        <f>SUMIF(Adat!$AH:$AH,CONCATENATE(Info!$D$5,"(KÖT)","09741",L1995),Adat!$E:$E)*-1</f>
        <v>0</v>
      </c>
      <c r="H2056" s="72">
        <f>SUMIF(Adat!$AH:$AH,CONCATENATE(Info!$D$5,"(ÖNV)","09741",L1995),Adat!$E:$E)*-1</f>
        <v>0</v>
      </c>
      <c r="I2056" s="72">
        <f>SUMIF(Adat!$AH:$AH,CONCATENATE(Info!$D$5,"(ÁIG)","09741",L1995),Adat!$E:$E)*-1</f>
        <v>0</v>
      </c>
    </row>
    <row r="2057" spans="2:9" x14ac:dyDescent="0.25">
      <c r="B2057" s="160">
        <v>60</v>
      </c>
      <c r="C2057" s="305" t="s">
        <v>1399</v>
      </c>
      <c r="D2057" s="84" t="s">
        <v>1400</v>
      </c>
      <c r="E2057" s="72">
        <f>SUMIF(Adat!$AG:$AG,CONCATENATE(61,Info!$D$5,"09751",L1995),Adat!$E:$E)*-1</f>
        <v>0</v>
      </c>
      <c r="F2057" s="72">
        <f>SUMIF(Adat!$AG:$AG,CONCATENATE(60,Info!$D$5,"09751",L1995),Adat!$E:$E)*-1+E2057</f>
        <v>0</v>
      </c>
      <c r="G2057" s="72">
        <f>SUMIF(Adat!$AH:$AH,CONCATENATE(Info!$D$5,"(KÖT)","09751",L1995),Adat!$E:$E)*-1</f>
        <v>0</v>
      </c>
      <c r="H2057" s="72">
        <f>SUMIF(Adat!$AH:$AH,CONCATENATE(Info!$D$5,"(ÖNV)","09751",L1995),Adat!$E:$E)*-1</f>
        <v>0</v>
      </c>
      <c r="I2057" s="72">
        <f>SUMIF(Adat!$AH:$AH,CONCATENATE(Info!$D$5,"(ÁIG)","09751",L1995),Adat!$E:$E)*-1</f>
        <v>0</v>
      </c>
    </row>
    <row r="2058" spans="2:9" x14ac:dyDescent="0.25">
      <c r="B2058" s="160">
        <v>61</v>
      </c>
      <c r="C2058" s="78" t="s">
        <v>352</v>
      </c>
      <c r="D2058" s="86" t="s">
        <v>1401</v>
      </c>
      <c r="E2058" s="71">
        <f>+E1999+E2007+E2013+E2019+E2026+E2040+E2046+E2052</f>
        <v>0</v>
      </c>
      <c r="F2058" s="71">
        <f>+F1999+F2007+F2013+F2019+F2026+F2040+F2046+F2052</f>
        <v>0</v>
      </c>
      <c r="G2058" s="71">
        <f>+G1999+G2007+G2013+G2019+G2026+G2040+G2046+G2052</f>
        <v>0</v>
      </c>
      <c r="H2058" s="71">
        <f>+H1999+H2007+H2013+H2019+H2026+H2040+H2046+H2052</f>
        <v>0</v>
      </c>
      <c r="I2058" s="71">
        <f>+I1999+I2007+I2013+I2019+I2026+I2040+I2046+I2052</f>
        <v>0</v>
      </c>
    </row>
    <row r="2059" spans="2:9" x14ac:dyDescent="0.25">
      <c r="B2059" s="160">
        <v>62</v>
      </c>
      <c r="C2059" s="154" t="s">
        <v>1402</v>
      </c>
      <c r="D2059" s="85" t="s">
        <v>1403</v>
      </c>
      <c r="E2059" s="71">
        <f t="shared" ref="E2059:G2059" si="218">SUM(E2060:E2062)</f>
        <v>0</v>
      </c>
      <c r="F2059" s="71">
        <f t="shared" si="218"/>
        <v>0</v>
      </c>
      <c r="G2059" s="71">
        <f t="shared" si="218"/>
        <v>0</v>
      </c>
      <c r="H2059" s="71">
        <f>SUM(H2060:H2062)</f>
        <v>0</v>
      </c>
      <c r="I2059" s="71">
        <f>SUM(I2060:I2062)</f>
        <v>0</v>
      </c>
    </row>
    <row r="2060" spans="2:9" x14ac:dyDescent="0.2">
      <c r="B2060" s="160">
        <v>63</v>
      </c>
      <c r="C2060" s="305" t="s">
        <v>1404</v>
      </c>
      <c r="D2060" s="82" t="s">
        <v>1405</v>
      </c>
      <c r="E2060" s="72">
        <f>SUMIF(Adat!$AG:$AG,CONCATENATE(61,Info!$D$5,"0981111",L1995),Adat!$E:$E)*-1</f>
        <v>0</v>
      </c>
      <c r="F2060" s="72">
        <f>SUMIF(Adat!$AG:$AG,CONCATENATE(60,Info!$D$5,"0981111",L1995),Adat!$E:$E)*-1+E2060</f>
        <v>0</v>
      </c>
      <c r="G2060" s="72">
        <f>SUMIF(Adat!$AH:$AH,CONCATENATE(Info!$D$5,"(KÖT)","0981111",L1995),Adat!$E:$E)*-1</f>
        <v>0</v>
      </c>
      <c r="H2060" s="72">
        <f>SUMIF(Adat!$AH:$AH,CONCATENATE(Info!$D$5,"(ÖNV)","0981111",L1995),Adat!$E:$E)*-1</f>
        <v>0</v>
      </c>
      <c r="I2060" s="72">
        <f>SUMIF(Adat!$AH:$AH,CONCATENATE(Info!$D$5,"(ÁIG)","0981111",L1995),Adat!$E:$E)*-1</f>
        <v>0</v>
      </c>
    </row>
    <row r="2061" spans="2:9" x14ac:dyDescent="0.2">
      <c r="B2061" s="160">
        <v>64</v>
      </c>
      <c r="C2061" s="305" t="s">
        <v>1406</v>
      </c>
      <c r="D2061" s="82" t="s">
        <v>1407</v>
      </c>
      <c r="E2061" s="72">
        <f>SUMIF(Adat!$AG:$AG,CONCATENATE(61,Info!$D$5,"0981121",L1995),Adat!$E:$E)*-1</f>
        <v>0</v>
      </c>
      <c r="F2061" s="72">
        <f>SUMIF(Adat!$AG:$AG,CONCATENATE(60,Info!$D$5,"0981121",L1995),Adat!$E:$E)*-1+E2061</f>
        <v>0</v>
      </c>
      <c r="G2061" s="72">
        <f>SUMIF(Adat!$AH:$AH,CONCATENATE(Info!$D$5,"(KÖT)","0981121",L1995),Adat!$E:$E)*-1</f>
        <v>0</v>
      </c>
      <c r="H2061" s="72">
        <f>SUMIF(Adat!$AH:$AH,CONCATENATE(Info!$D$5,"(ÖNV)","0981121",L1995),Adat!$E:$E)*-1</f>
        <v>0</v>
      </c>
      <c r="I2061" s="72">
        <f>SUMIF(Adat!$AH:$AH,CONCATENATE(Info!$D$5,"(ÁIG)","0981121",L1995),Adat!$E:$E)*-1</f>
        <v>0</v>
      </c>
    </row>
    <row r="2062" spans="2:9" x14ac:dyDescent="0.2">
      <c r="B2062" s="160">
        <v>65</v>
      </c>
      <c r="C2062" s="305" t="s">
        <v>1408</v>
      </c>
      <c r="D2062" s="82" t="s">
        <v>1409</v>
      </c>
      <c r="E2062" s="72">
        <f>SUMIF(Adat!$AG:$AG,CONCATENATE(61,Info!$D$5,"0981131",L1995),Adat!$E:$E)*-1</f>
        <v>0</v>
      </c>
      <c r="F2062" s="72">
        <f>SUMIF(Adat!$AG:$AG,CONCATENATE(60,Info!$D$5,"0981131",L1995),Adat!$E:$E)*-1+E2062</f>
        <v>0</v>
      </c>
      <c r="G2062" s="72">
        <f>SUMIF(Adat!$AH:$AH,CONCATENATE(Info!$D$5,"(KÖT)","0981131",L1995),Adat!$E:$E)*-1</f>
        <v>0</v>
      </c>
      <c r="H2062" s="72">
        <f>SUMIF(Adat!$AH:$AH,CONCATENATE(Info!$D$5,"(ÖNV)","0981131",L1995),Adat!$E:$E)*-1</f>
        <v>0</v>
      </c>
      <c r="I2062" s="72">
        <f>SUMIF(Adat!$AH:$AH,CONCATENATE(Info!$D$5,"(ÁIG)","0981131",L1995),Adat!$E:$E)*-1</f>
        <v>0</v>
      </c>
    </row>
    <row r="2063" spans="2:9" x14ac:dyDescent="0.25">
      <c r="B2063" s="160">
        <v>66</v>
      </c>
      <c r="C2063" s="154" t="s">
        <v>1410</v>
      </c>
      <c r="D2063" s="85" t="s">
        <v>574</v>
      </c>
      <c r="E2063" s="71">
        <f>SUM(E2064:E2067)</f>
        <v>0</v>
      </c>
      <c r="F2063" s="71">
        <f t="shared" ref="F2063" si="219">SUM(F2064:F2067)</f>
        <v>0</v>
      </c>
      <c r="G2063" s="71">
        <f>SUM(G2064:G2067)</f>
        <v>0</v>
      </c>
      <c r="H2063" s="71">
        <f>SUM(H2064:H2067)</f>
        <v>0</v>
      </c>
      <c r="I2063" s="71">
        <f>SUM(I2064:I2067)</f>
        <v>0</v>
      </c>
    </row>
    <row r="2064" spans="2:9" x14ac:dyDescent="0.2">
      <c r="B2064" s="160">
        <v>67</v>
      </c>
      <c r="C2064" s="305" t="s">
        <v>1411</v>
      </c>
      <c r="D2064" s="82" t="s">
        <v>1412</v>
      </c>
      <c r="E2064" s="72">
        <f>SUMIF(Adat!$AG:$AG,CONCATENATE(61,Info!$D$5,"0981211",L1995),Adat!$E:$E)*-1</f>
        <v>0</v>
      </c>
      <c r="F2064" s="72">
        <f>SUMIF(Adat!$AG:$AG,CONCATENATE(60,Info!$D$5,"0981211",L1995),Adat!$E:$E)*-1+E2064</f>
        <v>0</v>
      </c>
      <c r="G2064" s="72">
        <f>SUMIF(Adat!$AH:$AH,CONCATENATE(Info!$D$5,"(KÖT)","0981211",L1995),Adat!$E:$E)*-1</f>
        <v>0</v>
      </c>
      <c r="H2064" s="72">
        <f>SUMIF(Adat!$AH:$AH,CONCATENATE(Info!$D$5,"(ÖNV)","0981211",L1995),Adat!$E:$E)*-1</f>
        <v>0</v>
      </c>
      <c r="I2064" s="72">
        <f>SUMIF(Adat!$AH:$AH,CONCATENATE(Info!$D$5,"(ÁIG)","0981211",L1995),Adat!$E:$E)*-1</f>
        <v>0</v>
      </c>
    </row>
    <row r="2065" spans="2:9" x14ac:dyDescent="0.2">
      <c r="B2065" s="160">
        <v>68</v>
      </c>
      <c r="C2065" s="305" t="s">
        <v>1413</v>
      </c>
      <c r="D2065" s="82" t="s">
        <v>1414</v>
      </c>
      <c r="E2065" s="72">
        <f>SUMIF(Adat!$AG:$AG,CONCATENATE(61,Info!$D$5,"0981221",L1995),Adat!$E:$E)*-1</f>
        <v>0</v>
      </c>
      <c r="F2065" s="72">
        <f>SUMIF(Adat!$AG:$AG,CONCATENATE(60,Info!$D$5,"0981221",L1995),Adat!$E:$E)*-1+E2065</f>
        <v>0</v>
      </c>
      <c r="G2065" s="72">
        <f>SUMIF(Adat!$AH:$AH,CONCATENATE(Info!$D$5,"(KÖT)","0981221",L1995),Adat!$E:$E)*-1</f>
        <v>0</v>
      </c>
      <c r="H2065" s="72">
        <f>SUMIF(Adat!$AH:$AH,CONCATENATE(Info!$D$5,"(ÖNV)","0981221",L1995),Adat!$E:$E)*-1</f>
        <v>0</v>
      </c>
      <c r="I2065" s="72">
        <f>SUMIF(Adat!$AH:$AH,CONCATENATE(Info!$D$5,"(ÁIG)","0981221",L1995),Adat!$E:$E)*-1</f>
        <v>0</v>
      </c>
    </row>
    <row r="2066" spans="2:9" x14ac:dyDescent="0.2">
      <c r="B2066" s="160">
        <v>69</v>
      </c>
      <c r="C2066" s="305" t="s">
        <v>1313</v>
      </c>
      <c r="D2066" s="82" t="s">
        <v>1415</v>
      </c>
      <c r="E2066" s="72">
        <f>SUMIF(Adat!$AG:$AG,CONCATENATE(61,Info!$D$5,"0981231",L1995),Adat!$E:$E)*-1</f>
        <v>0</v>
      </c>
      <c r="F2066" s="72">
        <f>SUMIF(Adat!$AG:$AG,CONCATENATE(60,Info!$D$5,"0981231",L1995),Adat!$E:$E)*-1+E2066</f>
        <v>0</v>
      </c>
      <c r="G2066" s="72">
        <f>SUMIF(Adat!$AH:$AH,CONCATENATE(Info!$D$5,"(KÖT)","0981231",L1995),Adat!$E:$E)*-1</f>
        <v>0</v>
      </c>
      <c r="H2066" s="72">
        <f>SUMIF(Adat!$AH:$AH,CONCATENATE(Info!$D$5,"(ÖNV)","0981231",L1995),Adat!$E:$E)*-1</f>
        <v>0</v>
      </c>
      <c r="I2066" s="72">
        <f>SUMIF(Adat!$AH:$AH,CONCATENATE(Info!$D$5,"(ÁIG)","0981231",L1995),Adat!$E:$E)*-1</f>
        <v>0</v>
      </c>
    </row>
    <row r="2067" spans="2:9" x14ac:dyDescent="0.25">
      <c r="B2067" s="160">
        <v>70</v>
      </c>
      <c r="C2067" s="305" t="s">
        <v>1416</v>
      </c>
      <c r="D2067" s="84" t="s">
        <v>1417</v>
      </c>
      <c r="E2067" s="72">
        <f>SUMIF(Adat!$AG:$AG,CONCATENATE(61,Info!$D$5,"0981241",L1995),Adat!$E:$E)*-1</f>
        <v>0</v>
      </c>
      <c r="F2067" s="72">
        <f>SUMIF(Adat!$AG:$AG,CONCATENATE(60,Info!$D$5,"0981241",L1995),Adat!$E:$E)*-1+E2067</f>
        <v>0</v>
      </c>
      <c r="G2067" s="72">
        <f>SUMIF(Adat!$AH:$AH,CONCATENATE(Info!$D$5,"(KÖT)","0981241",L1995),Adat!$E:$E)*-1</f>
        <v>0</v>
      </c>
      <c r="H2067" s="72">
        <f>SUMIF(Adat!$AH:$AH,CONCATENATE(Info!$D$5,"(ÖNV)","0981241",L1995),Adat!$E:$E)*-1</f>
        <v>0</v>
      </c>
      <c r="I2067" s="72">
        <f>SUMIF(Adat!$AH:$AH,CONCATENATE(Info!$D$5,"(ÁIG)","0981241",L1995),Adat!$E:$E)*-1</f>
        <v>0</v>
      </c>
    </row>
    <row r="2068" spans="2:9" x14ac:dyDescent="0.25">
      <c r="B2068" s="160">
        <v>71</v>
      </c>
      <c r="C2068" s="154" t="s">
        <v>1418</v>
      </c>
      <c r="D2068" s="85" t="s">
        <v>575</v>
      </c>
      <c r="E2068" s="71">
        <f>SUM(E2069:E2070)</f>
        <v>0</v>
      </c>
      <c r="F2068" s="71">
        <f t="shared" ref="F2068" si="220">SUM(F2069:F2070)</f>
        <v>0</v>
      </c>
      <c r="G2068" s="71">
        <f>SUM(G2069:G2070)</f>
        <v>0</v>
      </c>
      <c r="H2068" s="71">
        <f>SUM(H2069:H2070)</f>
        <v>0</v>
      </c>
      <c r="I2068" s="71">
        <f>SUM(I2069:I2070)</f>
        <v>0</v>
      </c>
    </row>
    <row r="2069" spans="2:9" x14ac:dyDescent="0.2">
      <c r="B2069" s="160">
        <v>72</v>
      </c>
      <c r="C2069" s="305" t="s">
        <v>1274</v>
      </c>
      <c r="D2069" s="82" t="s">
        <v>1419</v>
      </c>
      <c r="E2069" s="72">
        <f>SUMIF(Adat!$AG:$AG,CONCATENATE(61,Info!$D$5,"0981311",L1995),Adat!$E:$E)*-1</f>
        <v>0</v>
      </c>
      <c r="F2069" s="72">
        <f>SUMIF(Adat!$AG:$AG,CONCATENATE(60,Info!$D$5,"0981311",L1995),Adat!$E:$E)*-1+E2069</f>
        <v>0</v>
      </c>
      <c r="G2069" s="72">
        <f>SUMIF(Adat!$AH:$AH,CONCATENATE(Info!$D$5,"(KÖT)","0981311",L1995),Adat!$E:$E)*-1</f>
        <v>0</v>
      </c>
      <c r="H2069" s="72">
        <f>SUMIF(Adat!$AH:$AH,CONCATENATE(Info!$D$5,"(ÖNV)","0981311",L1995),Adat!$E:$E)*-1</f>
        <v>0</v>
      </c>
      <c r="I2069" s="72">
        <f>SUMIF(Adat!$AH:$AH,CONCATENATE(Info!$D$5,"(ÁIG)","0981311",L1995),Adat!$E:$E)*-1</f>
        <v>0</v>
      </c>
    </row>
    <row r="2070" spans="2:9" x14ac:dyDescent="0.25">
      <c r="B2070" s="160">
        <v>73</v>
      </c>
      <c r="C2070" s="305" t="s">
        <v>1420</v>
      </c>
      <c r="D2070" s="84" t="s">
        <v>1421</v>
      </c>
      <c r="E2070" s="72">
        <f>SUMIF(Adat!$AG:$AG,CONCATENATE(61,Info!$D$5,"0981321",L1995),Adat!$E:$E)*-1</f>
        <v>0</v>
      </c>
      <c r="F2070" s="72">
        <f>SUMIF(Adat!$AG:$AG,CONCATENATE(60,Info!$D$5,"0981321",L1995),Adat!$E:$E)*-1+E2070</f>
        <v>0</v>
      </c>
      <c r="G2070" s="72">
        <f>SUMIF(Adat!$AH:$AH,CONCATENATE(Info!$D$5,"(KÖT)","0981321",L1995),Adat!$E:$E)*-1</f>
        <v>0</v>
      </c>
      <c r="H2070" s="72">
        <f>SUMIF(Adat!$AH:$AH,CONCATENATE(Info!$D$5,"(ÖNV)","0981321",L1995),Adat!$E:$E)*-1</f>
        <v>0</v>
      </c>
      <c r="I2070" s="72">
        <f>SUMIF(Adat!$AH:$AH,CONCATENATE(Info!$D$5,"(ÁIG)","0981321",L1995),Adat!$E:$E)*-1</f>
        <v>0</v>
      </c>
    </row>
    <row r="2071" spans="2:9" s="42" customFormat="1" x14ac:dyDescent="0.25">
      <c r="B2071" s="160">
        <v>74</v>
      </c>
      <c r="C2071" s="154" t="s">
        <v>1496</v>
      </c>
      <c r="D2071" s="85" t="s">
        <v>576</v>
      </c>
      <c r="E2071" s="71">
        <f>SUM(E2072:E2074)</f>
        <v>0</v>
      </c>
      <c r="F2071" s="71">
        <f t="shared" ref="F2071" si="221">SUM(F2072:F2074)</f>
        <v>0</v>
      </c>
      <c r="G2071" s="71">
        <f>SUM(G2072:G2074)</f>
        <v>0</v>
      </c>
      <c r="H2071" s="71">
        <f>SUM(H2072:H2074)</f>
        <v>0</v>
      </c>
      <c r="I2071" s="71">
        <f>SUM(I2072:I2074)</f>
        <v>0</v>
      </c>
    </row>
    <row r="2072" spans="2:9" x14ac:dyDescent="0.2">
      <c r="B2072" s="160">
        <v>75</v>
      </c>
      <c r="C2072" s="305" t="s">
        <v>1301</v>
      </c>
      <c r="D2072" s="82" t="s">
        <v>1422</v>
      </c>
      <c r="E2072" s="72">
        <f>SUMIF(Adat!$AG:$AG,CONCATENATE(61,Info!$D$5,"098141",L1995),Adat!$E:$E)*-1</f>
        <v>0</v>
      </c>
      <c r="F2072" s="72">
        <f>SUMIF(Adat!$AG:$AG,CONCATENATE(60,Info!$D$5,"098141",L1995),Adat!$E:$E)*-1+E2072</f>
        <v>0</v>
      </c>
      <c r="G2072" s="72">
        <f>SUMIF(Adat!$AH:$AH,CONCATENATE(Info!$D$5,"(KÖT)","098141",L1995),Adat!$E:$E)*-1</f>
        <v>0</v>
      </c>
      <c r="H2072" s="72">
        <f>SUMIF(Adat!$AH:$AH,CONCATENATE(Info!$D$5,"(ÖNV)","098141",L1995),Adat!$E:$E)*-1</f>
        <v>0</v>
      </c>
      <c r="I2072" s="72">
        <f>SUMIF(Adat!$AH:$AH,CONCATENATE(Info!$D$5,"(ÁIG)","098141",L1995),Adat!$E:$E)*-1</f>
        <v>0</v>
      </c>
    </row>
    <row r="2073" spans="2:9" x14ac:dyDescent="0.2">
      <c r="B2073" s="160">
        <v>76</v>
      </c>
      <c r="C2073" s="305" t="s">
        <v>1423</v>
      </c>
      <c r="D2073" s="82" t="s">
        <v>1424</v>
      </c>
      <c r="E2073" s="72">
        <f>SUMIF(Adat!$AG:$AG,CONCATENATE(61,Info!$D$5,"098151",L1995),Adat!$E:$E)*-1</f>
        <v>0</v>
      </c>
      <c r="F2073" s="72">
        <f>SUMIF(Adat!$AG:$AG,CONCATENATE(60,Info!$D$5,"098151",L1995),Adat!$E:$E)*-1+E2073</f>
        <v>0</v>
      </c>
      <c r="G2073" s="72">
        <f>SUMIF(Adat!$AH:$AH,CONCATENATE(Info!$D$5,"(KÖT)","098151",L1995),Adat!$E:$E)*-1</f>
        <v>0</v>
      </c>
      <c r="H2073" s="72">
        <f>SUMIF(Adat!$AH:$AH,CONCATENATE(Info!$D$5,"(ÖNV)","098151",L1995),Adat!$E:$E)*-1</f>
        <v>0</v>
      </c>
      <c r="I2073" s="72">
        <f>SUMIF(Adat!$AH:$AH,CONCATENATE(Info!$D$5,"(ÁIG)","098151",L1995),Adat!$E:$E)*-1</f>
        <v>0</v>
      </c>
    </row>
    <row r="2074" spans="2:9" x14ac:dyDescent="0.25">
      <c r="B2074" s="160">
        <v>77</v>
      </c>
      <c r="C2074" s="305" t="s">
        <v>1425</v>
      </c>
      <c r="D2074" s="84" t="s">
        <v>1426</v>
      </c>
      <c r="E2074" s="72">
        <f>SUMIF(Adat!$AG:$AG,CONCATENATE(61,Info!$D$5,"098171",L1995),Adat!$E:$E)*-1</f>
        <v>0</v>
      </c>
      <c r="F2074" s="72">
        <f>SUMIF(Adat!$AG:$AG,CONCATENATE(60,Info!$D$5,"098171",L1995),Adat!$E:$E)*-1+E2074</f>
        <v>0</v>
      </c>
      <c r="G2074" s="72">
        <f>SUMIF(Adat!$AH:$AH,CONCATENATE(Info!$D$5,"(KÖT)","098171",L1995),Adat!$E:$E)*-1</f>
        <v>0</v>
      </c>
      <c r="H2074" s="72">
        <f>SUMIF(Adat!$AH:$AH,CONCATENATE(Info!$D$5,"(ÖNV)","098171",L1995),Adat!$E:$E)*-1</f>
        <v>0</v>
      </c>
      <c r="I2074" s="72">
        <f>SUMIF(Adat!$AH:$AH,CONCATENATE(Info!$D$5,"(ÁIG)","098171",L1995),Adat!$E:$E)*-1</f>
        <v>0</v>
      </c>
    </row>
    <row r="2075" spans="2:9" x14ac:dyDescent="0.25">
      <c r="B2075" s="160">
        <v>78</v>
      </c>
      <c r="C2075" s="154" t="s">
        <v>1427</v>
      </c>
      <c r="D2075" s="85" t="s">
        <v>577</v>
      </c>
      <c r="E2075" s="71">
        <f>SUM(E2076:E2080)</f>
        <v>0</v>
      </c>
      <c r="F2075" s="71">
        <f t="shared" ref="F2075" si="222">SUM(F2076:F2080)</f>
        <v>0</v>
      </c>
      <c r="G2075" s="71">
        <f>SUM(G2076:G2080)</f>
        <v>0</v>
      </c>
      <c r="H2075" s="71">
        <f>SUM(H2076:H2080)</f>
        <v>0</v>
      </c>
      <c r="I2075" s="71">
        <f>SUM(I2076:I2080)</f>
        <v>0</v>
      </c>
    </row>
    <row r="2076" spans="2:9" x14ac:dyDescent="0.2">
      <c r="B2076" s="160">
        <v>79</v>
      </c>
      <c r="C2076" s="89" t="s">
        <v>1428</v>
      </c>
      <c r="D2076" s="82" t="s">
        <v>1429</v>
      </c>
      <c r="E2076" s="72">
        <f>SUMIF(Adat!$AG:$AG,CONCATENATE(61,Info!$D$5,"098211",L1995),Adat!$E:$E)*-1</f>
        <v>0</v>
      </c>
      <c r="F2076" s="72">
        <f>SUMIF(Adat!$AG:$AG,CONCATENATE(60,Info!$D$5,"098211",L1995),Adat!$E:$E)*-1+E2076</f>
        <v>0</v>
      </c>
      <c r="G2076" s="72">
        <f>SUMIF(Adat!$AH:$AH,CONCATENATE(Info!$D$5,"(KÖT)","098211",L1995),Adat!$E:$E)*-1</f>
        <v>0</v>
      </c>
      <c r="H2076" s="72">
        <f>SUMIF(Adat!$AH:$AH,CONCATENATE(Info!$D$5,"(ÖNV)","098211",L1995),Adat!$E:$E)*-1</f>
        <v>0</v>
      </c>
      <c r="I2076" s="72">
        <f>SUMIF(Adat!$AH:$AH,CONCATENATE(Info!$D$5,"(ÁIG)","098211",L1995),Adat!$E:$E)*-1</f>
        <v>0</v>
      </c>
    </row>
    <row r="2077" spans="2:9" x14ac:dyDescent="0.2">
      <c r="B2077" s="160">
        <v>80</v>
      </c>
      <c r="C2077" s="89" t="s">
        <v>1430</v>
      </c>
      <c r="D2077" s="82" t="s">
        <v>1431</v>
      </c>
      <c r="E2077" s="72">
        <f>SUMIF(Adat!$AG:$AG,CONCATENATE(61,Info!$D$5,"098221",L1995),Adat!$E:$E)*-1</f>
        <v>0</v>
      </c>
      <c r="F2077" s="72">
        <f>SUMIF(Adat!$AG:$AG,CONCATENATE(60,Info!$D$5,"098221",L1995),Adat!$E:$E)*-1+E2077</f>
        <v>0</v>
      </c>
      <c r="G2077" s="72">
        <f>SUMIF(Adat!$AH:$AH,CONCATENATE(Info!$D$5,"(KÖT)","098221",L1995),Adat!$E:$E)*-1</f>
        <v>0</v>
      </c>
      <c r="H2077" s="72">
        <f>SUMIF(Adat!$AH:$AH,CONCATENATE(Info!$D$5,"(ÖNV)","098221",L1995),Adat!$E:$E)*-1</f>
        <v>0</v>
      </c>
      <c r="I2077" s="72">
        <f>SUMIF(Adat!$AH:$AH,CONCATENATE(Info!$D$5,"(ÁIG)","098221",L1995),Adat!$E:$E)*-1</f>
        <v>0</v>
      </c>
    </row>
    <row r="2078" spans="2:9" x14ac:dyDescent="0.2">
      <c r="B2078" s="160">
        <v>81</v>
      </c>
      <c r="C2078" s="89" t="s">
        <v>1432</v>
      </c>
      <c r="D2078" s="82" t="s">
        <v>1433</v>
      </c>
      <c r="E2078" s="72">
        <f>SUMIF(Adat!$AG:$AG,CONCATENATE(61,Info!$D$5,"098231",L1995),Adat!$E:$E)*-1</f>
        <v>0</v>
      </c>
      <c r="F2078" s="72">
        <f>SUMIF(Adat!$AG:$AG,CONCATENATE(60,Info!$D$5,"098231",L1995),Adat!$E:$E)*-1+E2078</f>
        <v>0</v>
      </c>
      <c r="G2078" s="72">
        <f>SUMIF(Adat!$AH:$AH,CONCATENATE(Info!$D$5,"(KÖT)","098231",L1995),Adat!$E:$E)*-1</f>
        <v>0</v>
      </c>
      <c r="H2078" s="72">
        <f>SUMIF(Adat!$AH:$AH,CONCATENATE(Info!$D$5,"(ÖNV)","098231",L1995),Adat!$E:$E)*-1</f>
        <v>0</v>
      </c>
      <c r="I2078" s="72">
        <f>SUMIF(Adat!$AH:$AH,CONCATENATE(Info!$D$5,"(ÁIG)","098231",L1995),Adat!$E:$E)*-1</f>
        <v>0</v>
      </c>
    </row>
    <row r="2079" spans="2:9" x14ac:dyDescent="0.2">
      <c r="B2079" s="160">
        <v>82</v>
      </c>
      <c r="C2079" s="89" t="s">
        <v>1434</v>
      </c>
      <c r="D2079" s="82" t="s">
        <v>1435</v>
      </c>
      <c r="E2079" s="72">
        <f>SUMIF(Adat!$AG:$AG,CONCATENATE(61,Info!$D$5,"098241",L1995),Adat!$E:$E)*-1</f>
        <v>0</v>
      </c>
      <c r="F2079" s="72">
        <f>SUMIF(Adat!$AG:$AG,CONCATENATE(60,Info!$D$5,"098241",L1995),Adat!$E:$E)*-1+E2079</f>
        <v>0</v>
      </c>
      <c r="G2079" s="72">
        <f>SUMIF(Adat!$AH:$AH,CONCATENATE(Info!$D$5,"(KÖT)","098241",L1995),Adat!$E:$E)*-1</f>
        <v>0</v>
      </c>
      <c r="H2079" s="72">
        <f>SUMIF(Adat!$AH:$AH,CONCATENATE(Info!$D$5,"(ÖNV)","098241",L1995),Adat!$E:$E)*-1</f>
        <v>0</v>
      </c>
      <c r="I2079" s="72">
        <f>SUMIF(Adat!$AH:$AH,CONCATENATE(Info!$D$5,"(ÁIG)","098241",L1995),Adat!$E:$E)*-1</f>
        <v>0</v>
      </c>
    </row>
    <row r="2080" spans="2:9" s="42" customFormat="1" x14ac:dyDescent="0.2">
      <c r="B2080" s="160">
        <v>83</v>
      </c>
      <c r="C2080" s="89" t="s">
        <v>1436</v>
      </c>
      <c r="D2080" s="84" t="s">
        <v>1437</v>
      </c>
      <c r="E2080" s="72">
        <f>SUMIF(Adat!$AG:$AG,CONCATENATE(61,Info!$D$5,"098251",L1995),Adat!$E:$E)*-1</f>
        <v>0</v>
      </c>
      <c r="F2080" s="72">
        <f>SUMIF(Adat!$AG:$AG,CONCATENATE(60,Info!$D$5,"098251",L1995),Adat!$E:$E)*-1+E2080</f>
        <v>0</v>
      </c>
      <c r="G2080" s="72">
        <f>SUMIF(Adat!$AH:$AH,CONCATENATE(Info!$D$5,"(KÖT)","098251",L1995),Adat!$E:$E)*-1</f>
        <v>0</v>
      </c>
      <c r="H2080" s="72">
        <f>SUMIF(Adat!$AH:$AH,CONCATENATE(Info!$D$5,"(ÖNV)","098251",L1995),Adat!$E:$E)*-1</f>
        <v>0</v>
      </c>
      <c r="I2080" s="72">
        <f>SUMIF(Adat!$AH:$AH,CONCATENATE(Info!$D$5,"(ÁIG)","098251",L1995),Adat!$E:$E)*-1</f>
        <v>0</v>
      </c>
    </row>
    <row r="2081" spans="2:12" s="42" customFormat="1" x14ac:dyDescent="0.2">
      <c r="B2081" s="160">
        <v>84</v>
      </c>
      <c r="C2081" s="309" t="s">
        <v>1438</v>
      </c>
      <c r="D2081" s="85" t="s">
        <v>1439</v>
      </c>
      <c r="E2081" s="71">
        <f>SUMIF(Adat!$AG:$AG,CONCATENATE(61,Info!$D$5,"09831",L1995),Adat!$E:$E)*-1</f>
        <v>0</v>
      </c>
      <c r="F2081" s="71">
        <f>SUMIF(Adat!$AG:$AG,CONCATENATE(60,Info!$D$5,"09831",L1995),Adat!$E:$E)*-1+E2081</f>
        <v>0</v>
      </c>
      <c r="G2081" s="71">
        <f>SUMIF(Adat!$AH:$AH,CONCATENATE(Info!$D$5,"(KÖT)","09831",L1995),Adat!$E:$E)*-1</f>
        <v>0</v>
      </c>
      <c r="H2081" s="71">
        <f>SUMIF(Adat!$AH:$AH,CONCATENATE(Info!$D$5,"(ÖNV)","09831",L1995),Adat!$E:$E)*-1</f>
        <v>0</v>
      </c>
      <c r="I2081" s="71">
        <f>SUMIF(Adat!$AH:$AH,CONCATENATE(Info!$D$5,"(ÁIG)","09831",L1995),Adat!$E:$E)*-1</f>
        <v>0</v>
      </c>
    </row>
    <row r="2082" spans="2:12" s="42" customFormat="1" x14ac:dyDescent="0.25">
      <c r="B2082" s="160">
        <v>85</v>
      </c>
      <c r="C2082" s="154" t="s">
        <v>1440</v>
      </c>
      <c r="D2082" s="85" t="s">
        <v>1441</v>
      </c>
      <c r="E2082" s="71">
        <f>SUMIF(Adat!$AG:$AG,CONCATENATE(61,Info!$D$5,"09841",L1995),Adat!$E:$E)*-1</f>
        <v>0</v>
      </c>
      <c r="F2082" s="71">
        <f>SUMIF(Adat!$AG:$AG,CONCATENATE(60,Info!$D$5,"09841",L1995),Adat!$E:$E)*-1+E2082</f>
        <v>0</v>
      </c>
      <c r="G2082" s="71">
        <f>SUMIF(Adat!$AH:$AH,CONCATENATE(Info!$D$5,"(KÖT)","09841",L1995),Adat!$E:$E)*-1</f>
        <v>0</v>
      </c>
      <c r="H2082" s="71">
        <f>SUMIF(Adat!$AH:$AH,CONCATENATE(Info!$D$5,"(ÖNV)","09841",L1995),Adat!$E:$E)*-1</f>
        <v>0</v>
      </c>
      <c r="I2082" s="71">
        <f>SUMIF(Adat!$AH:$AH,CONCATENATE(Info!$D$5,"(ÁIG)","09841",L1995),Adat!$E:$E)*-1</f>
        <v>0</v>
      </c>
    </row>
    <row r="2083" spans="2:12" s="42" customFormat="1" x14ac:dyDescent="0.25">
      <c r="B2083" s="160">
        <v>86</v>
      </c>
      <c r="C2083" s="154" t="s">
        <v>358</v>
      </c>
      <c r="D2083" s="87" t="s">
        <v>1442</v>
      </c>
      <c r="E2083" s="71">
        <f>+E2059+E2063+E2068+E2071+E2075+E2082+E2081</f>
        <v>0</v>
      </c>
      <c r="F2083" s="71">
        <f t="shared" ref="F2083" si="223">+F2059+F2063+F2068+F2071+F2075+F2082+F2081</f>
        <v>0</v>
      </c>
      <c r="G2083" s="71">
        <f>+G2059+G2063+G2068+G2071+G2075+G2082+G2081</f>
        <v>0</v>
      </c>
      <c r="H2083" s="71">
        <f>+H2059+H2063+H2068+H2071+H2075+H2082+H2081</f>
        <v>0</v>
      </c>
      <c r="I2083" s="71">
        <f>+I2059+I2063+I2068+I2071+I2075+I2082+I2081</f>
        <v>0</v>
      </c>
    </row>
    <row r="2084" spans="2:12" s="42" customFormat="1" x14ac:dyDescent="0.25">
      <c r="B2084" s="160">
        <v>87</v>
      </c>
      <c r="C2084" s="154" t="s">
        <v>364</v>
      </c>
      <c r="D2084" s="87" t="s">
        <v>1497</v>
      </c>
      <c r="E2084" s="71">
        <f>+E2058+E2083</f>
        <v>0</v>
      </c>
      <c r="F2084" s="71">
        <f t="shared" ref="F2084" si="224">+F2058+F2083</f>
        <v>0</v>
      </c>
      <c r="G2084" s="71">
        <f>+G2058+G2083</f>
        <v>0</v>
      </c>
      <c r="H2084" s="71">
        <f>+H2058+H2083</f>
        <v>0</v>
      </c>
      <c r="I2084" s="71">
        <f>+I2058+I2083</f>
        <v>0</v>
      </c>
    </row>
    <row r="2085" spans="2:12" s="38" customFormat="1" ht="15.75" x14ac:dyDescent="0.25">
      <c r="C2085" s="156"/>
      <c r="E2085" s="140"/>
      <c r="F2085" s="140"/>
      <c r="G2085" s="140"/>
      <c r="H2085" s="140"/>
      <c r="I2085" s="140"/>
    </row>
    <row r="2086" spans="2:12" s="10" customFormat="1" ht="15.75" customHeight="1" x14ac:dyDescent="0.25">
      <c r="B2086" s="201" t="str">
        <f>CONCATENATE("30. Kiadási jogcímek"," - ",L2086," részletező")</f>
        <v>30. Kiadási jogcímek -  részletező</v>
      </c>
      <c r="C2086" s="101"/>
      <c r="D2086" s="101"/>
      <c r="E2086" s="101"/>
      <c r="F2086" s="101"/>
      <c r="G2086" s="198"/>
      <c r="H2086" s="198"/>
      <c r="I2086" s="198"/>
      <c r="L2086" s="384"/>
    </row>
    <row r="2087" spans="2:12" s="38" customFormat="1" ht="15.75" x14ac:dyDescent="0.25">
      <c r="C2087" s="156"/>
      <c r="E2087" s="140"/>
      <c r="F2087" s="140"/>
      <c r="G2087" s="140"/>
      <c r="H2087" s="140"/>
      <c r="I2087" s="140"/>
    </row>
    <row r="2088" spans="2:12" s="40" customFormat="1" x14ac:dyDescent="0.25">
      <c r="B2088" s="77"/>
      <c r="C2088" s="77" t="s">
        <v>350</v>
      </c>
      <c r="D2088" s="77" t="s">
        <v>351</v>
      </c>
      <c r="E2088" s="77" t="s">
        <v>470</v>
      </c>
      <c r="F2088" s="77" t="s">
        <v>471</v>
      </c>
      <c r="G2088" s="77" t="s">
        <v>44</v>
      </c>
      <c r="H2088" s="77" t="s">
        <v>42</v>
      </c>
      <c r="I2088" s="77" t="s">
        <v>511</v>
      </c>
    </row>
    <row r="2089" spans="2:12" s="41" customFormat="1" ht="38.25" x14ac:dyDescent="0.25">
      <c r="B2089" s="160">
        <v>1</v>
      </c>
      <c r="C2089" s="154" t="s">
        <v>593</v>
      </c>
      <c r="D2089" s="154" t="s">
        <v>488</v>
      </c>
      <c r="E2089" s="163" t="str">
        <f>CONCATENATE(PAR!$H$3," évi
eredeti 
előirányzat")</f>
        <v>2025. évi
eredeti 
előirányzat</v>
      </c>
      <c r="F2089" s="163" t="str">
        <f>CONCATENATE(PAR!$H$3," évi
módosított 
előirányzat")</f>
        <v>2025. évi
módosított 
előirányzat</v>
      </c>
      <c r="G2089" s="69" t="s">
        <v>666</v>
      </c>
      <c r="H2089" s="69" t="s">
        <v>667</v>
      </c>
      <c r="I2089" s="69" t="s">
        <v>668</v>
      </c>
    </row>
    <row r="2090" spans="2:12" s="42" customFormat="1" x14ac:dyDescent="0.25">
      <c r="B2090" s="160">
        <v>2</v>
      </c>
      <c r="C2090" s="78" t="s">
        <v>352</v>
      </c>
      <c r="D2090" s="92" t="s">
        <v>2663</v>
      </c>
      <c r="E2090" s="71">
        <f>SUM(E2091:E2096)</f>
        <v>0</v>
      </c>
      <c r="F2090" s="71">
        <f>SUM(F2091:F2096)</f>
        <v>0</v>
      </c>
      <c r="G2090" s="71">
        <f>SUM(G2091:G2096)</f>
        <v>0</v>
      </c>
      <c r="H2090" s="71">
        <f>+H2091+H2092+H2093+H2094+H2095+H2096</f>
        <v>0</v>
      </c>
      <c r="I2090" s="71">
        <f>+I2091+I2092+I2093+I2094+I2095+I2096</f>
        <v>0</v>
      </c>
    </row>
    <row r="2091" spans="2:12" x14ac:dyDescent="0.25">
      <c r="B2091" s="160">
        <v>3</v>
      </c>
      <c r="C2091" s="305" t="s">
        <v>315</v>
      </c>
      <c r="D2091" s="161" t="s">
        <v>342</v>
      </c>
      <c r="E2091" s="72">
        <f>SUMIF(Adat!$AI:$AI,CONCATENATE(61,Info!$D$5,"051",L2086),Adat!$E:$E)</f>
        <v>0</v>
      </c>
      <c r="F2091" s="72">
        <f>SUMIF(Adat!$AI:$AI,CONCATENATE(60,Info!$D$5,"051",L2086),Adat!$E:$E)+E2091</f>
        <v>0</v>
      </c>
      <c r="G2091" s="72">
        <f>SUMIF(Adat!$AJ:$AJ,CONCATENATE(Info!$D$5,"051","(KÖT)",L2086),Adat!$E:$E)</f>
        <v>0</v>
      </c>
      <c r="H2091" s="72">
        <f>SUMIF(Adat!$AJ:$AJ,CONCATENATE(Info!$D$5,"051","(ÖNV)",L2086),Adat!$E:$E)</f>
        <v>0</v>
      </c>
      <c r="I2091" s="72">
        <f>SUMIF(Adat!$AJ:$AJ,CONCATENATE(Info!$D$5,"051","(ÁIG)",L2086),Adat!$E:$E)</f>
        <v>0</v>
      </c>
    </row>
    <row r="2092" spans="2:12" x14ac:dyDescent="0.25">
      <c r="B2092" s="160">
        <v>4</v>
      </c>
      <c r="C2092" s="305" t="s">
        <v>317</v>
      </c>
      <c r="D2092" s="161" t="s">
        <v>395</v>
      </c>
      <c r="E2092" s="72">
        <f>SUMIF(Adat!$AI:$AI,CONCATENATE(61,Info!$D$5,"052",L2086),Adat!$E:$E)</f>
        <v>0</v>
      </c>
      <c r="F2092" s="72">
        <f>SUMIF(Adat!$AI:$AI,CONCATENATE(60,Info!$D$5,"052",L2086),Adat!$E:$E)+E2092</f>
        <v>0</v>
      </c>
      <c r="G2092" s="72">
        <f>SUMIF(Adat!$AJ:$AJ,CONCATENATE(Info!$D$5,"052","(KÖT)",L2086),Adat!$E:$E)</f>
        <v>0</v>
      </c>
      <c r="H2092" s="72">
        <f>SUMIF(Adat!$AJ:$AJ,CONCATENATE(Info!$D$5,"052","(ÖNV)",L2086),Adat!$E:$E)</f>
        <v>0</v>
      </c>
      <c r="I2092" s="72">
        <f>SUMIF(Adat!$AJ:$AJ,CONCATENATE(Info!$D$5,"052","(ÁIG)",L2086),Adat!$E:$E)</f>
        <v>0</v>
      </c>
    </row>
    <row r="2093" spans="2:12" x14ac:dyDescent="0.25">
      <c r="B2093" s="160">
        <v>5</v>
      </c>
      <c r="C2093" s="305" t="s">
        <v>4</v>
      </c>
      <c r="D2093" s="161" t="s">
        <v>344</v>
      </c>
      <c r="E2093" s="72">
        <f>SUMIF(Adat!$AI:$AI,CONCATENATE(61,Info!$D$5,"053",L2086),Adat!$E:$E)</f>
        <v>0</v>
      </c>
      <c r="F2093" s="72">
        <f>SUMIF(Adat!$AI:$AI,CONCATENATE(60,Info!$D$5,"053",L2086),Adat!$E:$E)+E2093</f>
        <v>0</v>
      </c>
      <c r="G2093" s="72">
        <f>SUMIF(Adat!$AJ:$AJ,CONCATENATE(Info!$D$5,"053","(KÖT)",L2086),Adat!$E:$E)</f>
        <v>0</v>
      </c>
      <c r="H2093" s="72">
        <f>SUMIF(Adat!$AJ:$AJ,CONCATENATE(Info!$D$5,"053","(ÖNV)",L2086),Adat!$E:$E)</f>
        <v>0</v>
      </c>
      <c r="I2093" s="72">
        <f>SUMIF(Adat!$AJ:$AJ,CONCATENATE(Info!$D$5,"053","(ÁIG)",L2086),Adat!$E:$E)</f>
        <v>0</v>
      </c>
    </row>
    <row r="2094" spans="2:12" x14ac:dyDescent="0.25">
      <c r="B2094" s="160">
        <v>6</v>
      </c>
      <c r="C2094" s="305" t="s">
        <v>6</v>
      </c>
      <c r="D2094" s="161" t="s">
        <v>345</v>
      </c>
      <c r="E2094" s="72">
        <f>SUMIF(Adat!$AI:$AI,CONCATENATE(61,Info!$D$5,"054",L2086),Adat!$E:$E)</f>
        <v>0</v>
      </c>
      <c r="F2094" s="72">
        <f>SUMIF(Adat!$AI:$AI,CONCATENATE(60,Info!$D$5,"054",L2086),Adat!$E:$E)+E2094</f>
        <v>0</v>
      </c>
      <c r="G2094" s="72">
        <f>SUMIF(Adat!$AJ:$AJ,CONCATENATE(Info!$D$5,"054","(KÖT)",L2086),Adat!$E:$E)</f>
        <v>0</v>
      </c>
      <c r="H2094" s="72">
        <f>SUMIF(Adat!$AJ:$AJ,CONCATENATE(Info!$D$5,"054","(ÖNV)",L2086),Adat!$E:$E)</f>
        <v>0</v>
      </c>
      <c r="I2094" s="72">
        <f>SUMIF(Adat!$AJ:$AJ,CONCATENATE(Info!$D$5,"054","(ÁIG)",L2086),Adat!$E:$E)</f>
        <v>0</v>
      </c>
    </row>
    <row r="2095" spans="2:12" x14ac:dyDescent="0.25">
      <c r="B2095" s="160">
        <v>7</v>
      </c>
      <c r="C2095" s="305" t="s">
        <v>8</v>
      </c>
      <c r="D2095" s="161" t="s">
        <v>321</v>
      </c>
      <c r="E2095" s="72">
        <f>SUMIF(Adat!$AI:$AI,CONCATENATE(61,Info!$D$5,"055",L2086),Adat!$E:$E)-E2096</f>
        <v>0</v>
      </c>
      <c r="F2095" s="72">
        <f>SUMIF(Adat!$AI:$AI,CONCATENATE(60,Info!$D$5,"055",L2086),Adat!$E:$E)+E2095-F2096+E2096</f>
        <v>0</v>
      </c>
      <c r="G2095" s="72">
        <f>SUMIF(Adat!$AJ:$AJ,CONCATENATE(Info!$D$5,"055","(KÖT)",L2086),Adat!$E:$E)-G2096</f>
        <v>0</v>
      </c>
      <c r="H2095" s="72">
        <f>SUMIF(Adat!$AJ:$AJ,CONCATENATE(Info!$D$5,"055","(ÖNV)",L2086),Adat!$E:$E)-H2096</f>
        <v>0</v>
      </c>
      <c r="I2095" s="72">
        <f>SUMIF(Adat!$AJ:$AJ,CONCATENATE(Info!$D$5,"055","(ÁIG)",L2086),Adat!$E:$E)-I2096</f>
        <v>0</v>
      </c>
    </row>
    <row r="2096" spans="2:12" x14ac:dyDescent="0.25">
      <c r="B2096" s="160">
        <v>8</v>
      </c>
      <c r="C2096" s="305" t="s">
        <v>1283</v>
      </c>
      <c r="D2096" s="161" t="s">
        <v>397</v>
      </c>
      <c r="E2096" s="72">
        <f>SUMIF(Adat!$AG:$AG,CONCATENATE(61,Info!$D$5,"055131",L2086),Adat!$E:$E)</f>
        <v>0</v>
      </c>
      <c r="F2096" s="72">
        <f>SUMIF(Adat!$AG:$AG,CONCATENATE(60,Info!$D$5,"055131",L2086),Adat!$E:$E)+E2096</f>
        <v>0</v>
      </c>
      <c r="G2096" s="72">
        <f>SUMIF(Adat!$AH:$AH,CONCATENATE(Info!$D$5,"(KÖT)","055131",L2086),Adat!$E:$E)</f>
        <v>0</v>
      </c>
      <c r="H2096" s="72">
        <f>SUMIF(Adat!$AH:$AH,CONCATENATE(Info!$D$5,"(ÖNV)","055131",L2086),Adat!$E:$E)*-1</f>
        <v>0</v>
      </c>
      <c r="I2096" s="72">
        <f>SUMIF(Adat!$AH:$AH,CONCATENATE(Info!$D$5,"(ÁIG)","055131",L2086),Adat!$E:$E)*-1</f>
        <v>0</v>
      </c>
    </row>
    <row r="2097" spans="2:9" x14ac:dyDescent="0.25">
      <c r="B2097" s="160">
        <v>9</v>
      </c>
      <c r="C2097" s="305" t="s">
        <v>1283</v>
      </c>
      <c r="D2097" s="93" t="s">
        <v>1445</v>
      </c>
      <c r="E2097" s="72">
        <v>0</v>
      </c>
      <c r="F2097" s="72">
        <f>SUM(G2097:I2097)</f>
        <v>0</v>
      </c>
      <c r="G2097" s="72">
        <v>0</v>
      </c>
      <c r="H2097" s="72">
        <v>0</v>
      </c>
      <c r="I2097" s="72">
        <v>0</v>
      </c>
    </row>
    <row r="2098" spans="2:9" x14ac:dyDescent="0.25">
      <c r="B2098" s="160">
        <v>10</v>
      </c>
      <c r="C2098" s="305" t="s">
        <v>1283</v>
      </c>
      <c r="D2098" s="93" t="s">
        <v>1446</v>
      </c>
      <c r="E2098" s="72">
        <v>0</v>
      </c>
      <c r="F2098" s="72">
        <f>SUM(G2098:I2098)</f>
        <v>0</v>
      </c>
      <c r="G2098" s="72">
        <v>0</v>
      </c>
      <c r="H2098" s="72">
        <v>0</v>
      </c>
      <c r="I2098" s="72">
        <v>0</v>
      </c>
    </row>
    <row r="2099" spans="2:9" x14ac:dyDescent="0.25">
      <c r="B2099" s="160">
        <v>11</v>
      </c>
      <c r="C2099" s="78" t="s">
        <v>358</v>
      </c>
      <c r="D2099" s="92" t="s">
        <v>2664</v>
      </c>
      <c r="E2099" s="71">
        <f>+E2100+E2102+E2104</f>
        <v>0</v>
      </c>
      <c r="F2099" s="71">
        <f>+F2100+F2102+F2104</f>
        <v>0</v>
      </c>
      <c r="G2099" s="71">
        <f>+G2100+G2102+G2104</f>
        <v>0</v>
      </c>
      <c r="H2099" s="71">
        <f>+H2100+H2102+H2104</f>
        <v>0</v>
      </c>
      <c r="I2099" s="71">
        <f>+I2100+I2102+I2104</f>
        <v>0</v>
      </c>
    </row>
    <row r="2100" spans="2:9" x14ac:dyDescent="0.25">
      <c r="B2100" s="160">
        <v>12</v>
      </c>
      <c r="C2100" s="305" t="s">
        <v>10</v>
      </c>
      <c r="D2100" s="317" t="s">
        <v>322</v>
      </c>
      <c r="E2100" s="72">
        <f>SUMIF(Adat!$AI:$AI,CONCATENATE(61,Info!$D$5,"056",L2086),Adat!$E:$E)</f>
        <v>0</v>
      </c>
      <c r="F2100" s="72">
        <f>SUMIF(Adat!$AI:$AI,CONCATENATE(60,Info!$D$5,"056",L2086),Adat!$E:$E)+E2100</f>
        <v>0</v>
      </c>
      <c r="G2100" s="72">
        <f>SUMIF(Adat!$AJ:$AJ,CONCATENATE(Info!$D$5,"056","(KÖT)",L2086),Adat!$E:$E)</f>
        <v>0</v>
      </c>
      <c r="H2100" s="72">
        <f>SUMIF(Adat!$AJ:$AJ,CONCATENATE(Info!$D$5,"056","(ÖNV)",L2086),Adat!$E:$E)</f>
        <v>0</v>
      </c>
      <c r="I2100" s="72">
        <f>SUMIF(Adat!$AJ:$AJ,CONCATENATE(Info!$D$5,"056","(ÁIG)",L2086),Adat!$E:$E)</f>
        <v>0</v>
      </c>
    </row>
    <row r="2101" spans="2:9" x14ac:dyDescent="0.25">
      <c r="B2101" s="160">
        <v>13</v>
      </c>
      <c r="C2101" s="305" t="s">
        <v>10</v>
      </c>
      <c r="D2101" s="317" t="s">
        <v>1448</v>
      </c>
      <c r="E2101" s="72">
        <v>0</v>
      </c>
      <c r="F2101" s="72">
        <f>SUM(G2101:I2101)</f>
        <v>0</v>
      </c>
      <c r="G2101" s="72">
        <v>0</v>
      </c>
      <c r="H2101" s="72">
        <v>0</v>
      </c>
      <c r="I2101" s="72">
        <v>0</v>
      </c>
    </row>
    <row r="2102" spans="2:9" x14ac:dyDescent="0.25">
      <c r="B2102" s="160">
        <v>14</v>
      </c>
      <c r="C2102" s="305" t="s">
        <v>12</v>
      </c>
      <c r="D2102" s="317" t="s">
        <v>323</v>
      </c>
      <c r="E2102" s="72">
        <f>SUMIF(Adat!$AI:$AI,CONCATENATE(61,Info!$D$5,"057",L2086),Adat!$E:$E)</f>
        <v>0</v>
      </c>
      <c r="F2102" s="72">
        <f>SUMIF(Adat!$AI:$AI,CONCATENATE(60,Info!$D$5,"057",L2086),Adat!$E:$E)+E2102</f>
        <v>0</v>
      </c>
      <c r="G2102" s="72">
        <f>SUMIF(Adat!$AJ:$AJ,CONCATENATE(Info!$D$5,"057","(KÖT)",L2086),Adat!$E:$E)</f>
        <v>0</v>
      </c>
      <c r="H2102" s="72">
        <f>SUMIF(Adat!$AJ:$AJ,CONCATENATE(Info!$D$5,"057","(ÖNV)",L2086),Adat!$E:$E)</f>
        <v>0</v>
      </c>
      <c r="I2102" s="72">
        <f>SUMIF(Adat!$AJ:$AJ,CONCATENATE(Info!$D$5,"057","(ÁIG)",L2086),Adat!$E:$E)</f>
        <v>0</v>
      </c>
    </row>
    <row r="2103" spans="2:9" x14ac:dyDescent="0.25">
      <c r="B2103" s="160">
        <v>15</v>
      </c>
      <c r="C2103" s="305" t="s">
        <v>12</v>
      </c>
      <c r="D2103" s="317" t="s">
        <v>1449</v>
      </c>
      <c r="E2103" s="72">
        <v>0</v>
      </c>
      <c r="F2103" s="72">
        <f>SUM(G2103:I2103)</f>
        <v>0</v>
      </c>
      <c r="G2103" s="72">
        <v>0</v>
      </c>
      <c r="H2103" s="72">
        <v>0</v>
      </c>
      <c r="I2103" s="72">
        <v>0</v>
      </c>
    </row>
    <row r="2104" spans="2:9" x14ac:dyDescent="0.25">
      <c r="B2104" s="160">
        <v>16</v>
      </c>
      <c r="C2104" s="305" t="s">
        <v>15</v>
      </c>
      <c r="D2104" s="317" t="s">
        <v>324</v>
      </c>
      <c r="E2104" s="72">
        <f>SUMIF(Adat!$AI:$AI,CONCATENATE(61,Info!$D$5,"058",L2086),Adat!$E:$E)</f>
        <v>0</v>
      </c>
      <c r="F2104" s="72">
        <f>SUMIF(Adat!$AI:$AI,CONCATENATE(60,Info!$D$5,"058",L2086),Adat!$E:$E)+E2104</f>
        <v>0</v>
      </c>
      <c r="G2104" s="72">
        <f>SUMIF(Adat!$AJ:$AJ,CONCATENATE(Info!$D$5,"058","(KÖT)",L2086),Adat!$E:$E)</f>
        <v>0</v>
      </c>
      <c r="H2104" s="72">
        <f>SUMIF(Adat!$AJ:$AJ,CONCATENATE(Info!$D$5,"058","(ÖNV)",L2086),Adat!$E:$E)</f>
        <v>0</v>
      </c>
      <c r="I2104" s="72">
        <f>SUMIF(Adat!$AJ:$AJ,CONCATENATE(Info!$D$5,"058","(ÁIG)",L2086),Adat!$E:$E)</f>
        <v>0</v>
      </c>
    </row>
    <row r="2105" spans="2:9" x14ac:dyDescent="0.25">
      <c r="B2105" s="160">
        <v>17</v>
      </c>
      <c r="C2105" s="78" t="s">
        <v>364</v>
      </c>
      <c r="D2105" s="86" t="s">
        <v>402</v>
      </c>
      <c r="E2105" s="71">
        <f>+E2090+E2099</f>
        <v>0</v>
      </c>
      <c r="F2105" s="71">
        <f>+F2090+F2099</f>
        <v>0</v>
      </c>
      <c r="G2105" s="71">
        <f>+G2090+G2099</f>
        <v>0</v>
      </c>
      <c r="H2105" s="71">
        <f>+H2090+H2099</f>
        <v>0</v>
      </c>
      <c r="I2105" s="71">
        <f>+I2090+I2099</f>
        <v>0</v>
      </c>
    </row>
    <row r="2106" spans="2:9" x14ac:dyDescent="0.25">
      <c r="B2106" s="160">
        <v>18</v>
      </c>
      <c r="C2106" s="78" t="s">
        <v>403</v>
      </c>
      <c r="D2106" s="86" t="s">
        <v>1450</v>
      </c>
      <c r="E2106" s="71">
        <f>+E2107+E2108+E2109</f>
        <v>0</v>
      </c>
      <c r="F2106" s="71">
        <f>+F2107+F2108+F2109</f>
        <v>0</v>
      </c>
      <c r="G2106" s="71">
        <f>+G2107+G2108+G2109</f>
        <v>0</v>
      </c>
      <c r="H2106" s="71">
        <f>+H2107+H2108+H2109</f>
        <v>0</v>
      </c>
      <c r="I2106" s="71">
        <f>+I2107+I2108+I2109</f>
        <v>0</v>
      </c>
    </row>
    <row r="2107" spans="2:9" s="42" customFormat="1" x14ac:dyDescent="0.25">
      <c r="B2107" s="160">
        <v>19</v>
      </c>
      <c r="C2107" s="305" t="s">
        <v>1451</v>
      </c>
      <c r="D2107" s="161" t="s">
        <v>490</v>
      </c>
      <c r="E2107" s="72">
        <f>SUMIF(Adat!$AG:$AG,CONCATENATE(61,Info!$D$5,"0591111",L2086),Adat!$E:$E)</f>
        <v>0</v>
      </c>
      <c r="F2107" s="72">
        <f>SUMIF(Adat!$AG:$AG,CONCATENATE(60,Info!$D$5,"0591111",L2086),Adat!$E:$E)+E2107</f>
        <v>0</v>
      </c>
      <c r="G2107" s="72">
        <f>SUMIF(Adat!$AH:$AH,CONCATENATE(Info!$D$5,"(KÖT)","0591111",L2086),Adat!$E:$E)</f>
        <v>0</v>
      </c>
      <c r="H2107" s="72">
        <f>SUMIF(Adat!$AH:$AH,CONCATENATE(Info!$D$5,"(ÖNV)","0591111",L2086),Adat!$E:$E)</f>
        <v>0</v>
      </c>
      <c r="I2107" s="72">
        <f>SUMIF(Adat!$AH:$AH,CONCATENATE(Info!$D$5,"(ÁIG)","0591111",L2086),Adat!$E:$E)</f>
        <v>0</v>
      </c>
    </row>
    <row r="2108" spans="2:9" x14ac:dyDescent="0.25">
      <c r="B2108" s="160">
        <v>20</v>
      </c>
      <c r="C2108" s="305" t="s">
        <v>1453</v>
      </c>
      <c r="D2108" s="161" t="s">
        <v>406</v>
      </c>
      <c r="E2108" s="72">
        <f>SUMIF(Adat!$AG:$AG,CONCATENATE(61,Info!$D$5,"0591121",L2086),Adat!$E:$E)</f>
        <v>0</v>
      </c>
      <c r="F2108" s="72">
        <f>SUMIF(Adat!$AG:$AG,CONCATENATE(60,Info!$D$5,"0591121",L2086),Adat!$E:$E)+E2108</f>
        <v>0</v>
      </c>
      <c r="G2108" s="72">
        <f>SUMIF(Adat!$AH:$AH,CONCATENATE(Info!$D$5,"(KÖT)","0591121",L2086),Adat!$E:$E)</f>
        <v>0</v>
      </c>
      <c r="H2108" s="72">
        <f>SUMIF(Adat!$AH:$AH,CONCATENATE(Info!$D$5,"(ÖNV)","0591121",L2086),Adat!$E:$E)</f>
        <v>0</v>
      </c>
      <c r="I2108" s="72">
        <f>SUMIF(Adat!$AH:$AH,CONCATENATE(Info!$D$5,"(ÁIG)","0591121",L2086),Adat!$E:$E)</f>
        <v>0</v>
      </c>
    </row>
    <row r="2109" spans="2:9" x14ac:dyDescent="0.25">
      <c r="B2109" s="160">
        <v>21</v>
      </c>
      <c r="C2109" s="305" t="s">
        <v>1455</v>
      </c>
      <c r="D2109" s="161" t="s">
        <v>491</v>
      </c>
      <c r="E2109" s="72">
        <f>SUMIF(Adat!$AG:$AG,CONCATENATE(61,Info!$D$5,"0591131",L2086),Adat!$E:$E)</f>
        <v>0</v>
      </c>
      <c r="F2109" s="72">
        <f>SUMIF(Adat!$AG:$AG,CONCATENATE(60,Info!$D$5,"0591131",L2086),Adat!$E:$E)+E2109</f>
        <v>0</v>
      </c>
      <c r="G2109" s="72">
        <f>SUMIF(Adat!$AH:$AH,CONCATENATE(Info!$D$5,"(KÖT)","0591131",L2086),Adat!$E:$E)</f>
        <v>0</v>
      </c>
      <c r="H2109" s="72">
        <f>SUMIF(Adat!$AH:$AH,CONCATENATE(Info!$D$5,"(ÖNV)","0591131",L2086),Adat!$E:$E)</f>
        <v>0</v>
      </c>
      <c r="I2109" s="72">
        <f>SUMIF(Adat!$AH:$AH,CONCATENATE(Info!$D$5,"(ÁIG)","0591131",L2086),Adat!$E:$E)</f>
        <v>0</v>
      </c>
    </row>
    <row r="2110" spans="2:9" x14ac:dyDescent="0.25">
      <c r="B2110" s="160">
        <v>22</v>
      </c>
      <c r="C2110" s="78" t="s">
        <v>372</v>
      </c>
      <c r="D2110" s="86" t="s">
        <v>1457</v>
      </c>
      <c r="E2110" s="71">
        <f>+E2111+E2112+E2113+E2114+E2115+E2116</f>
        <v>0</v>
      </c>
      <c r="F2110" s="71">
        <f>+F2111+F2112+F2113+F2114+F2115+F2116</f>
        <v>0</v>
      </c>
      <c r="G2110" s="71">
        <f>+G2111+G2112+G2113+G2114+G2115+G2116</f>
        <v>0</v>
      </c>
      <c r="H2110" s="71">
        <f>+H2111+H2112+H2113+H2114+H2115+H2116</f>
        <v>0</v>
      </c>
      <c r="I2110" s="71">
        <f>+I2111+I2112+I2113+I2114+I2115+I2116</f>
        <v>0</v>
      </c>
    </row>
    <row r="2111" spans="2:9" x14ac:dyDescent="0.25">
      <c r="B2111" s="160">
        <v>23</v>
      </c>
      <c r="C2111" s="305" t="s">
        <v>1458</v>
      </c>
      <c r="D2111" s="161" t="s">
        <v>409</v>
      </c>
      <c r="E2111" s="72">
        <f>SUMIF(Adat!$AG:$AG,CONCATENATE(61,Info!$D$5,"0591211",L2086),Adat!$E:$E)</f>
        <v>0</v>
      </c>
      <c r="F2111" s="72">
        <f>SUMIF(Adat!$AG:$AG,CONCATENATE(60,Info!$D$5,"0591211",L2086),Adat!$E:$E)+E2111</f>
        <v>0</v>
      </c>
      <c r="G2111" s="72">
        <f>SUMIF(Adat!$AH:$AH,CONCATENATE(Info!$D$5,"(KÖT)","0591211",L2086),Adat!$E:$E)</f>
        <v>0</v>
      </c>
      <c r="H2111" s="72">
        <f>SUMIF(Adat!$AH:$AH,CONCATENATE(Info!$D$5,"(ÖNV)","0591211",L2086),Adat!$E:$E)</f>
        <v>0</v>
      </c>
      <c r="I2111" s="72">
        <f>SUMIF(Adat!$AH:$AH,CONCATENATE(Info!$D$5,"(ÁIG)","0591211",L2086),Adat!$E:$E)</f>
        <v>0</v>
      </c>
    </row>
    <row r="2112" spans="2:9" x14ac:dyDescent="0.25">
      <c r="B2112" s="160">
        <v>24</v>
      </c>
      <c r="C2112" s="305" t="s">
        <v>1460</v>
      </c>
      <c r="D2112" s="161" t="s">
        <v>410</v>
      </c>
      <c r="E2112" s="72">
        <f>SUMIF(Adat!$AG:$AG,CONCATENATE(61,Info!$D$5,"0591221",L2086),Adat!$E:$E)</f>
        <v>0</v>
      </c>
      <c r="F2112" s="72">
        <f>SUMIF(Adat!$AG:$AG,CONCATENATE(60,Info!$D$5,"0591221",L2086),Adat!$E:$E)+E2112</f>
        <v>0</v>
      </c>
      <c r="G2112" s="72">
        <f>SUMIF(Adat!$AH:$AH,CONCATENATE(Info!$D$5,"(KÖT)","0591221",L2086),Adat!$E:$E)</f>
        <v>0</v>
      </c>
      <c r="H2112" s="72">
        <f>SUMIF(Adat!$AH:$AH,CONCATENATE(Info!$D$5,"(ÖNV)","0591221",L2086),Adat!$E:$E)</f>
        <v>0</v>
      </c>
      <c r="I2112" s="72">
        <f>SUMIF(Adat!$AH:$AH,CONCATENATE(Info!$D$5,"(ÁIG)","0591221",L2086),Adat!$E:$E)</f>
        <v>0</v>
      </c>
    </row>
    <row r="2113" spans="2:18" x14ac:dyDescent="0.25">
      <c r="B2113" s="160">
        <v>25</v>
      </c>
      <c r="C2113" s="305" t="s">
        <v>1462</v>
      </c>
      <c r="D2113" s="161" t="s">
        <v>411</v>
      </c>
      <c r="E2113" s="72">
        <f>SUMIF(Adat!$AG:$AG,CONCATENATE(61,Info!$D$5,"0591231",L2086),Adat!$E:$E)</f>
        <v>0</v>
      </c>
      <c r="F2113" s="72">
        <f>SUMIF(Adat!$AG:$AG,CONCATENATE(60,Info!$D$5,"0591231",L2086),Adat!$E:$E)+E2113</f>
        <v>0</v>
      </c>
      <c r="G2113" s="72">
        <f>SUMIF(Adat!$AH:$AH,CONCATENATE(Info!$D$5,"(KÖT)","0591231",L2086),Adat!$E:$E)</f>
        <v>0</v>
      </c>
      <c r="H2113" s="72">
        <f>SUMIF(Adat!$AH:$AH,CONCATENATE(Info!$D$5,"(ÖNV)","0591231",L2086),Adat!$E:$E)</f>
        <v>0</v>
      </c>
      <c r="I2113" s="72">
        <f>SUMIF(Adat!$AH:$AH,CONCATENATE(Info!$D$5,"(ÁIG)","0591231",L2086),Adat!$E:$E)</f>
        <v>0</v>
      </c>
    </row>
    <row r="2114" spans="2:18" x14ac:dyDescent="0.25">
      <c r="B2114" s="160">
        <v>26</v>
      </c>
      <c r="C2114" s="305" t="s">
        <v>1464</v>
      </c>
      <c r="D2114" s="161" t="s">
        <v>492</v>
      </c>
      <c r="E2114" s="72">
        <f>SUMIF(Adat!$AG:$AG,CONCATENATE(61,Info!$D$5,"0591241",L2086),Adat!$E:$E)</f>
        <v>0</v>
      </c>
      <c r="F2114" s="72">
        <f>SUMIF(Adat!$AG:$AG,CONCATENATE(60,Info!$D$5,"0591241",L2086),Adat!$E:$E)+E2114</f>
        <v>0</v>
      </c>
      <c r="G2114" s="72">
        <f>SUMIF(Adat!$AH:$AH,CONCATENATE(Info!$D$5,"(KÖT)","0591241",L2086),Adat!$E:$E)</f>
        <v>0</v>
      </c>
      <c r="H2114" s="72">
        <f>SUMIF(Adat!$AH:$AH,CONCATENATE(Info!$D$5,"(ÖNV)","0591241",L2086),Adat!$E:$E)</f>
        <v>0</v>
      </c>
      <c r="I2114" s="72">
        <f>SUMIF(Adat!$AH:$AH,CONCATENATE(Info!$D$5,"(ÁIG)","0591241",L2086),Adat!$E:$E)</f>
        <v>0</v>
      </c>
    </row>
    <row r="2115" spans="2:18" x14ac:dyDescent="0.25">
      <c r="B2115" s="160">
        <v>27</v>
      </c>
      <c r="C2115" s="305" t="s">
        <v>1466</v>
      </c>
      <c r="D2115" s="161" t="s">
        <v>413</v>
      </c>
      <c r="E2115" s="72">
        <f>SUMIF(Adat!$AG:$AG,CONCATENATE(61,Info!$D$5,"0591251",L2086),Adat!$E:$E)</f>
        <v>0</v>
      </c>
      <c r="F2115" s="72">
        <f>SUMIF(Adat!$AG:$AG,CONCATENATE(60,Info!$D$5,"0591251",L2086),Adat!$E:$E)+E2115</f>
        <v>0</v>
      </c>
      <c r="G2115" s="72">
        <f>SUMIF(Adat!$AH:$AH,CONCATENATE(Info!$D$5,"(KÖT)","0591251",L2086),Adat!$E:$E)</f>
        <v>0</v>
      </c>
      <c r="H2115" s="72">
        <f>SUMIF(Adat!$AH:$AH,CONCATENATE(Info!$D$5,"(ÖNV)","0591251",L2086),Adat!$E:$E)</f>
        <v>0</v>
      </c>
      <c r="I2115" s="72">
        <f>SUMIF(Adat!$AH:$AH,CONCATENATE(Info!$D$5,"(ÁIG)","0591251",L2086),Adat!$E:$E)</f>
        <v>0</v>
      </c>
    </row>
    <row r="2116" spans="2:18" s="42" customFormat="1" x14ac:dyDescent="0.25">
      <c r="B2116" s="160">
        <v>28</v>
      </c>
      <c r="C2116" s="305" t="s">
        <v>1468</v>
      </c>
      <c r="D2116" s="161" t="s">
        <v>414</v>
      </c>
      <c r="E2116" s="72">
        <f>SUMIF(Adat!$AG:$AG,CONCATENATE(61,Info!$D$5,"0591261",L2086),Adat!$E:$E)</f>
        <v>0</v>
      </c>
      <c r="F2116" s="72">
        <f>SUMIF(Adat!$AG:$AG,CONCATENATE(60,Info!$D$5,"0591261",L2086),Adat!$E:$E)+E2116</f>
        <v>0</v>
      </c>
      <c r="G2116" s="72">
        <f>SUMIF(Adat!$AH:$AH,CONCATENATE(Info!$D$5,"(KÖT)","0591261",L2086),Adat!$E:$E)</f>
        <v>0</v>
      </c>
      <c r="H2116" s="72">
        <f>SUMIF(Adat!$AH:$AH,CONCATENATE(Info!$D$5,"(ÖNV)","0591261",L2086),Adat!$E:$E)</f>
        <v>0</v>
      </c>
      <c r="I2116" s="72">
        <f>SUMIF(Adat!$AH:$AH,CONCATENATE(Info!$D$5,"(ÁIG)","0591261",L2086),Adat!$E:$E)</f>
        <v>0</v>
      </c>
    </row>
    <row r="2117" spans="2:18" x14ac:dyDescent="0.25">
      <c r="B2117" s="160">
        <v>29</v>
      </c>
      <c r="C2117" s="78" t="s">
        <v>379</v>
      </c>
      <c r="D2117" s="86" t="s">
        <v>1470</v>
      </c>
      <c r="E2117" s="71">
        <f>+E2118+E2119+E2121+E2122+E2120</f>
        <v>0</v>
      </c>
      <c r="F2117" s="71">
        <f>+F2118+F2119+F2121+F2122+F2120</f>
        <v>0</v>
      </c>
      <c r="G2117" s="71">
        <f>+G2118+G2119+G2121+G2122+G2120</f>
        <v>0</v>
      </c>
      <c r="H2117" s="71">
        <f>+H2118+H2119+H2121+H2122+H2120</f>
        <v>0</v>
      </c>
      <c r="I2117" s="71">
        <f>+I2118+I2119+I2121+I2122+I2120</f>
        <v>0</v>
      </c>
      <c r="R2117" s="43"/>
    </row>
    <row r="2118" spans="2:18" x14ac:dyDescent="0.25">
      <c r="B2118" s="160">
        <v>30</v>
      </c>
      <c r="C2118" s="305" t="s">
        <v>1471</v>
      </c>
      <c r="D2118" s="161" t="s">
        <v>416</v>
      </c>
      <c r="E2118" s="72">
        <f>SUMIF(Adat!$AG:$AG,CONCATENATE(61,Info!$D$5,"059131",L2086),Adat!$E:$E)</f>
        <v>0</v>
      </c>
      <c r="F2118" s="72">
        <f>SUMIF(Adat!$AG:$AG,CONCATENATE(60,Info!$D$5,"059131",L2086),Adat!$E:$E)+E2118</f>
        <v>0</v>
      </c>
      <c r="G2118" s="72">
        <f>SUMIF(Adat!$AH:$AH,CONCATENATE(Info!$D$5,"(KÖT)","059131",L2086),Adat!$E:$E)</f>
        <v>0</v>
      </c>
      <c r="H2118" s="72">
        <f>SUMIF(Adat!$AH:$AH,CONCATENATE(Info!$D$5,"(ÖNV)","059131",L2086),Adat!$E:$E)</f>
        <v>0</v>
      </c>
      <c r="I2118" s="72">
        <f>SUMIF(Adat!$AH:$AH,CONCATENATE(Info!$D$5,"(ÁIG)","059131",L2086),Adat!$E:$E)</f>
        <v>0</v>
      </c>
    </row>
    <row r="2119" spans="2:18" x14ac:dyDescent="0.25">
      <c r="B2119" s="160">
        <v>31</v>
      </c>
      <c r="C2119" s="305" t="s">
        <v>1287</v>
      </c>
      <c r="D2119" s="161" t="s">
        <v>417</v>
      </c>
      <c r="E2119" s="72">
        <f>SUMIF(Adat!$AG:$AG,CONCATENATE(61,Info!$D$5,"059141",L2086),Adat!$E:$E)</f>
        <v>0</v>
      </c>
      <c r="F2119" s="72">
        <f>SUMIF(Adat!$AG:$AG,CONCATENATE(60,Info!$D$5,"059141",L2086),Adat!$E:$E)+E2119</f>
        <v>0</v>
      </c>
      <c r="G2119" s="72">
        <f>SUMIF(Adat!$AH:$AH,CONCATENATE(Info!$D$5,"(KÖT)","059141",L2086),Adat!$E:$E)</f>
        <v>0</v>
      </c>
      <c r="H2119" s="72">
        <f>SUMIF(Adat!$AH:$AH,CONCATENATE(Info!$D$5,"(ÖNV)","059141",L2086),Adat!$E:$E)</f>
        <v>0</v>
      </c>
      <c r="I2119" s="72">
        <f>SUMIF(Adat!$AH:$AH,CONCATENATE(Info!$D$5,"(ÁIG)","059141",L2086),Adat!$E:$E)</f>
        <v>0</v>
      </c>
    </row>
    <row r="2120" spans="2:18" x14ac:dyDescent="0.25">
      <c r="B2120" s="160">
        <v>32</v>
      </c>
      <c r="C2120" s="316" t="s">
        <v>1253</v>
      </c>
      <c r="D2120" s="161" t="s">
        <v>493</v>
      </c>
      <c r="E2120" s="72">
        <f>SUMIF(Adat!$AG:$AG,CONCATENATE(61,Info!$D$5,"059151",L2086),Adat!$E:$E)</f>
        <v>0</v>
      </c>
      <c r="F2120" s="72">
        <f>SUMIF(Adat!$AG:$AG,CONCATENATE(60,Info!$D$5,"059151",L2086),Adat!$E:$E)+E2120</f>
        <v>0</v>
      </c>
      <c r="G2120" s="72">
        <f>SUMIF(Adat!$AH:$AH,CONCATENATE(Info!$D$5,"(KÖT)","059151",L2086),Adat!$E:$E)</f>
        <v>0</v>
      </c>
      <c r="H2120" s="72">
        <f>SUMIF(Adat!$AH:$AH,CONCATENATE(Info!$D$5,"(ÖNV)","059151",L2086),Adat!$E:$E)</f>
        <v>0</v>
      </c>
      <c r="I2120" s="72">
        <f>SUMIF(Adat!$AH:$AH,CONCATENATE(Info!$D$5,"(ÁIG)","059151",L2086),Adat!$E:$E)</f>
        <v>0</v>
      </c>
    </row>
    <row r="2121" spans="2:18" s="42" customFormat="1" x14ac:dyDescent="0.25">
      <c r="B2121" s="160">
        <v>33</v>
      </c>
      <c r="C2121" s="305" t="s">
        <v>1474</v>
      </c>
      <c r="D2121" s="161" t="s">
        <v>418</v>
      </c>
      <c r="E2121" s="72">
        <f>SUMIF(Adat!$AG:$AG,CONCATENATE(61,Info!$D$5,"059161",L2086),Adat!$E:$E)</f>
        <v>0</v>
      </c>
      <c r="F2121" s="72">
        <f>SUMIF(Adat!$AG:$AG,CONCATENATE(60,Info!$D$5,"059161",L2086),Adat!$E:$E)+E2121</f>
        <v>0</v>
      </c>
      <c r="G2121" s="72">
        <f>SUMIF(Adat!$AH:$AH,CONCATENATE(Info!$D$5,"(KÖT)","059161",L2086),Adat!$E:$E)</f>
        <v>0</v>
      </c>
      <c r="H2121" s="72">
        <f>SUMIF(Adat!$AH:$AH,CONCATENATE(Info!$D$5,"(ÖNV)","059161",L2086),Adat!$E:$E)</f>
        <v>0</v>
      </c>
      <c r="I2121" s="72">
        <f>SUMIF(Adat!$AH:$AH,CONCATENATE(Info!$D$5,"(ÁIG)","059161",L2086),Adat!$E:$E)</f>
        <v>0</v>
      </c>
    </row>
    <row r="2122" spans="2:18" s="42" customFormat="1" x14ac:dyDescent="0.25">
      <c r="B2122" s="160">
        <v>34</v>
      </c>
      <c r="C2122" s="305" t="s">
        <v>1476</v>
      </c>
      <c r="D2122" s="161" t="s">
        <v>419</v>
      </c>
      <c r="E2122" s="72">
        <f>SUMIF(Adat!$AG:$AG,CONCATENATE(61,Info!$D$5,"059171",L2086),Adat!$E:$E)</f>
        <v>0</v>
      </c>
      <c r="F2122" s="72">
        <f>SUMIF(Adat!$AG:$AG,CONCATENATE(60,Info!$D$5,"059171",L2086),Adat!$E:$E)+E2122</f>
        <v>0</v>
      </c>
      <c r="G2122" s="72">
        <f>SUMIF(Adat!$AH:$AH,CONCATENATE(Info!$D$5,"(KÖT)","059171",L2086),Adat!$E:$E)</f>
        <v>0</v>
      </c>
      <c r="H2122" s="72">
        <f>SUMIF(Adat!$AH:$AH,CONCATENATE(Info!$D$5,"(ÖNV)","059171",L2086),Adat!$E:$E)</f>
        <v>0</v>
      </c>
      <c r="I2122" s="72">
        <f>SUMIF(Adat!$AH:$AH,CONCATENATE(Info!$D$5,"(ÁIG)","059171",L2086),Adat!$E:$E)</f>
        <v>0</v>
      </c>
    </row>
    <row r="2123" spans="2:18" s="42" customFormat="1" x14ac:dyDescent="0.25">
      <c r="B2123" s="160">
        <v>35</v>
      </c>
      <c r="C2123" s="78" t="s">
        <v>420</v>
      </c>
      <c r="D2123" s="86" t="s">
        <v>1478</v>
      </c>
      <c r="E2123" s="73">
        <f>+E2124+E2125+E2126+E2127+E2128</f>
        <v>0</v>
      </c>
      <c r="F2123" s="73">
        <f>+F2124+F2125+F2126+F2127+F2128</f>
        <v>0</v>
      </c>
      <c r="G2123" s="73">
        <f>+G2124+G2125+G2126+G2127+G2128</f>
        <v>0</v>
      </c>
      <c r="H2123" s="73">
        <f>+H2124+H2125+H2126+H2127+H2128</f>
        <v>0</v>
      </c>
      <c r="I2123" s="73">
        <f>+I2124+I2125+I2126+I2127+I2128</f>
        <v>0</v>
      </c>
    </row>
    <row r="2124" spans="2:18" s="42" customFormat="1" x14ac:dyDescent="0.25">
      <c r="B2124" s="160">
        <v>36</v>
      </c>
      <c r="C2124" s="305" t="s">
        <v>1479</v>
      </c>
      <c r="D2124" s="161" t="s">
        <v>422</v>
      </c>
      <c r="E2124" s="72">
        <f>SUMIF(Adat!$AG:$AG,CONCATENATE(61,Info!$D$5,"059211",L2086),Adat!$E:$E)</f>
        <v>0</v>
      </c>
      <c r="F2124" s="72">
        <f>SUMIF(Adat!$AG:$AG,CONCATENATE(60,Info!$D$5,"059211",L2086),Adat!$E:$E)+E2124</f>
        <v>0</v>
      </c>
      <c r="G2124" s="72">
        <f>SUMIF(Adat!$AH:$AH,CONCATENATE(Info!$D$5,"(KÖT)","059211",L2086),Adat!$E:$E)</f>
        <v>0</v>
      </c>
      <c r="H2124" s="72">
        <f>SUMIF(Adat!$AH:$AH,CONCATENATE(Info!$D$5,"(ÖNV)","059211",L2086),Adat!$E:$E)</f>
        <v>0</v>
      </c>
      <c r="I2124" s="72">
        <f>SUMIF(Adat!$AH:$AH,CONCATENATE(Info!$D$5,"(ÁIG)","059211",L2086),Adat!$E:$E)</f>
        <v>0</v>
      </c>
    </row>
    <row r="2125" spans="2:18" s="42" customFormat="1" x14ac:dyDescent="0.25">
      <c r="B2125" s="160">
        <v>37</v>
      </c>
      <c r="C2125" s="305" t="s">
        <v>1481</v>
      </c>
      <c r="D2125" s="161" t="s">
        <v>423</v>
      </c>
      <c r="E2125" s="72">
        <f>SUMIF(Adat!$AG:$AG,CONCATENATE(61,Info!$D$5,"059221",L2086),Adat!$E:$E)</f>
        <v>0</v>
      </c>
      <c r="F2125" s="72">
        <f>SUMIF(Adat!$AG:$AG,CONCATENATE(60,Info!$D$5,"059221",L2086),Adat!$E:$E)+E2125</f>
        <v>0</v>
      </c>
      <c r="G2125" s="72">
        <f>SUMIF(Adat!$AH:$AH,CONCATENATE(Info!$D$5,"(KÖT)","059221",L2086),Adat!$E:$E)</f>
        <v>0</v>
      </c>
      <c r="H2125" s="72">
        <f>SUMIF(Adat!$AH:$AH,CONCATENATE(Info!$D$5,"(ÖNV)","059221",L2086),Adat!$E:$E)</f>
        <v>0</v>
      </c>
      <c r="I2125" s="72">
        <f>SUMIF(Adat!$AH:$AH,CONCATENATE(Info!$D$5,"(ÁIG)","059221",L2086),Adat!$E:$E)</f>
        <v>0</v>
      </c>
    </row>
    <row r="2126" spans="2:18" s="42" customFormat="1" x14ac:dyDescent="0.25">
      <c r="B2126" s="160">
        <v>38</v>
      </c>
      <c r="C2126" s="305" t="s">
        <v>1483</v>
      </c>
      <c r="D2126" s="161" t="s">
        <v>424</v>
      </c>
      <c r="E2126" s="72">
        <f>SUMIF(Adat!$AG:$AG,CONCATENATE(61,Info!$D$5,"059231",L2086),Adat!$E:$E)</f>
        <v>0</v>
      </c>
      <c r="F2126" s="72">
        <f>SUMIF(Adat!$AG:$AG,CONCATENATE(60,Info!$D$5,"059231",L2086),Adat!$E:$E)+E2126</f>
        <v>0</v>
      </c>
      <c r="G2126" s="72">
        <f>SUMIF(Adat!$AH:$AH,CONCATENATE(Info!$D$5,"(KÖT)","059231",L2086),Adat!$E:$E)</f>
        <v>0</v>
      </c>
      <c r="H2126" s="72">
        <f>SUMIF(Adat!$AH:$AH,CONCATENATE(Info!$D$5,"(ÖNV)","059231",L2086),Adat!$E:$E)</f>
        <v>0</v>
      </c>
      <c r="I2126" s="72">
        <f>SUMIF(Adat!$AH:$AH,CONCATENATE(Info!$D$5,"(ÁIG)","059231",L2086),Adat!$E:$E)</f>
        <v>0</v>
      </c>
    </row>
    <row r="2127" spans="2:18" s="42" customFormat="1" x14ac:dyDescent="0.25">
      <c r="B2127" s="160">
        <v>39</v>
      </c>
      <c r="C2127" s="305" t="s">
        <v>1485</v>
      </c>
      <c r="D2127" s="161" t="s">
        <v>494</v>
      </c>
      <c r="E2127" s="72">
        <f>SUMIF(Adat!$AG:$AG,CONCATENATE(61,Info!$D$5,"059241",L2086),Adat!$E:$E)</f>
        <v>0</v>
      </c>
      <c r="F2127" s="72">
        <f>SUMIF(Adat!$AG:$AG,CONCATENATE(60,Info!$D$5,"059241",L2086),Adat!$E:$E)+E2127</f>
        <v>0</v>
      </c>
      <c r="G2127" s="72">
        <f>SUMIF(Adat!$AH:$AH,CONCATENATE(Info!$D$5,"(KÖT)","059241",L2086),Adat!$E:$E)</f>
        <v>0</v>
      </c>
      <c r="H2127" s="72">
        <f>SUMIF(Adat!$AH:$AH,CONCATENATE(Info!$D$5,"(ÖNV)","059241",L2086),Adat!$E:$E)</f>
        <v>0</v>
      </c>
      <c r="I2127" s="72">
        <f>SUMIF(Adat!$AH:$AH,CONCATENATE(Info!$D$5,"(ÁIG)","059241",L2086),Adat!$E:$E)</f>
        <v>0</v>
      </c>
    </row>
    <row r="2128" spans="2:18" x14ac:dyDescent="0.25">
      <c r="B2128" s="160">
        <v>40</v>
      </c>
      <c r="C2128" s="305" t="s">
        <v>1487</v>
      </c>
      <c r="D2128" s="161" t="s">
        <v>427</v>
      </c>
      <c r="E2128" s="72">
        <f>SUMIF(Adat!$AG:$AG,CONCATENATE(61,Info!$D$5,"059251",L2086),Adat!$E:$E)</f>
        <v>0</v>
      </c>
      <c r="F2128" s="72">
        <f>SUMIF(Adat!$AG:$AG,CONCATENATE(60,Info!$D$5,"059251",L2086),Adat!$E:$E)+E2128</f>
        <v>0</v>
      </c>
      <c r="G2128" s="72">
        <f>SUMIF(Adat!$AH:$AH,CONCATENATE(Info!$D$5,"(KÖT)","059251",L2086),Adat!$E:$E)</f>
        <v>0</v>
      </c>
      <c r="H2128" s="72">
        <f>SUMIF(Adat!$AH:$AH,CONCATENATE(Info!$D$5,"(ÖNV)","059251",L2086),Adat!$E:$E)</f>
        <v>0</v>
      </c>
      <c r="I2128" s="72">
        <f>SUMIF(Adat!$AH:$AH,CONCATENATE(Info!$D$5,"(ÁIG)","059251",L2086),Adat!$E:$E)</f>
        <v>0</v>
      </c>
    </row>
    <row r="2129" spans="2:12" x14ac:dyDescent="0.25">
      <c r="B2129" s="160">
        <v>41</v>
      </c>
      <c r="C2129" s="162" t="s">
        <v>390</v>
      </c>
      <c r="D2129" s="86" t="s">
        <v>428</v>
      </c>
      <c r="E2129" s="72">
        <f>SUMIF(Adat!$AG:$AG,CONCATENATE(61,Info!$D$5,"05931",L2086),Adat!$E:$E)</f>
        <v>0</v>
      </c>
      <c r="F2129" s="72">
        <f>SUMIF(Adat!$AG:$AG,CONCATENATE(60,Info!$D$5,"05931",L2086),Adat!$E:$E)+E2129</f>
        <v>0</v>
      </c>
      <c r="G2129" s="72">
        <f>SUMIF(Adat!$AH:$AH,CONCATENATE(Info!$D$5,"(KÖT)","05931",L2086),Adat!$E:$E)</f>
        <v>0</v>
      </c>
      <c r="H2129" s="72">
        <f>SUMIF(Adat!$AH:$AH,CONCATENATE(Info!$D$5,"(ÖNV)","05931",L2086),Adat!$E:$E)</f>
        <v>0</v>
      </c>
      <c r="I2129" s="72">
        <f>SUMIF(Adat!$AH:$AH,CONCATENATE(Info!$D$5,"(ÁIG)","05931",L2086),Adat!$E:$E)</f>
        <v>0</v>
      </c>
    </row>
    <row r="2130" spans="2:12" x14ac:dyDescent="0.25">
      <c r="B2130" s="160">
        <v>42</v>
      </c>
      <c r="C2130" s="162" t="s">
        <v>429</v>
      </c>
      <c r="D2130" s="86" t="s">
        <v>430</v>
      </c>
      <c r="E2130" s="72">
        <f>SUMIF(Adat!$AG:$AG,CONCATENATE(61,Info!$D$5,"05941",L2086),Adat!$E:$E)</f>
        <v>0</v>
      </c>
      <c r="F2130" s="72">
        <f>SUMIF(Adat!$AG:$AG,CONCATENATE(60,Info!$D$5,"05941",L2086),Adat!$E:$E)+E2130</f>
        <v>0</v>
      </c>
      <c r="G2130" s="72">
        <f>SUMIF(Adat!$AH:$AH,CONCATENATE(Info!$D$5,"(KÖT)","05941",L2086),Adat!$E:$E)</f>
        <v>0</v>
      </c>
      <c r="H2130" s="72">
        <f>SUMIF(Adat!$AH:$AH,CONCATENATE(Info!$D$5,"(ÖNV)","05941",L2086),Adat!$E:$E)</f>
        <v>0</v>
      </c>
      <c r="I2130" s="72">
        <f>SUMIF(Adat!$AH:$AH,CONCATENATE(Info!$D$5,"(ÁIG)","05941",L2086),Adat!$E:$E)</f>
        <v>0</v>
      </c>
    </row>
    <row r="2131" spans="2:12" x14ac:dyDescent="0.25">
      <c r="B2131" s="160">
        <v>43</v>
      </c>
      <c r="C2131" s="78" t="s">
        <v>431</v>
      </c>
      <c r="D2131" s="86" t="s">
        <v>432</v>
      </c>
      <c r="E2131" s="74">
        <f>+E2106+E2110+E2117+E2123+E2129+E2130</f>
        <v>0</v>
      </c>
      <c r="F2131" s="74">
        <f>+F2106+F2110+F2117+F2123+F2129+F2130</f>
        <v>0</v>
      </c>
      <c r="G2131" s="74">
        <f>+G2106+G2110+G2117+G2123+G2129+G2130</f>
        <v>0</v>
      </c>
      <c r="H2131" s="74">
        <f>+H2106+H2110+H2117+H2123+H2129+H2130</f>
        <v>0</v>
      </c>
      <c r="I2131" s="74">
        <f>+I2106+I2110+I2117+I2123+I2129+I2130</f>
        <v>0</v>
      </c>
    </row>
    <row r="2132" spans="2:12" x14ac:dyDescent="0.25">
      <c r="B2132" s="160">
        <v>44</v>
      </c>
      <c r="C2132" s="154" t="s">
        <v>433</v>
      </c>
      <c r="D2132" s="159" t="s">
        <v>434</v>
      </c>
      <c r="E2132" s="74">
        <f>+E2105+E2131</f>
        <v>0</v>
      </c>
      <c r="F2132" s="74">
        <f>+F2105+F2131</f>
        <v>0</v>
      </c>
      <c r="G2132" s="74">
        <f>+G2105+G2131</f>
        <v>0</v>
      </c>
      <c r="H2132" s="74">
        <f>+H2105+H2131</f>
        <v>0</v>
      </c>
      <c r="I2132" s="74">
        <f>+I2105+I2131</f>
        <v>0</v>
      </c>
    </row>
    <row r="2133" spans="2:12" s="37" customFormat="1" ht="15.75" x14ac:dyDescent="0.25">
      <c r="C2133" s="529"/>
      <c r="D2133" s="529"/>
      <c r="E2133" s="529"/>
      <c r="F2133" s="200"/>
      <c r="G2133" s="200"/>
      <c r="H2133" s="200"/>
      <c r="I2133" s="200"/>
    </row>
    <row r="2134" spans="2:12" s="38" customFormat="1" ht="15.75" x14ac:dyDescent="0.25">
      <c r="B2134" s="525" t="str">
        <f>PAR!$E$3</f>
        <v>Nagymaros Város Önkormányzata</v>
      </c>
      <c r="C2134" s="525"/>
      <c r="D2134" s="525"/>
      <c r="E2134" s="525"/>
      <c r="F2134" s="525"/>
      <c r="G2134" s="525"/>
      <c r="H2134" s="525"/>
      <c r="I2134" s="525"/>
    </row>
    <row r="2135" spans="2:12" s="38" customFormat="1" ht="15.75" x14ac:dyDescent="0.25">
      <c r="B2135" s="525" t="s">
        <v>2660</v>
      </c>
      <c r="C2135" s="525"/>
      <c r="D2135" s="525"/>
      <c r="E2135" s="525"/>
      <c r="F2135" s="525"/>
      <c r="G2135" s="525"/>
      <c r="H2135" s="525"/>
      <c r="I2135" s="525"/>
    </row>
    <row r="2136" spans="2:12" s="38" customFormat="1" ht="15.75" x14ac:dyDescent="0.25">
      <c r="C2136" s="156"/>
      <c r="E2136" s="140"/>
      <c r="F2136" s="140"/>
      <c r="G2136" s="140"/>
      <c r="H2136" s="140"/>
      <c r="I2136" s="140"/>
    </row>
    <row r="2137" spans="2:12" s="10" customFormat="1" ht="15.75" customHeight="1" x14ac:dyDescent="0.25">
      <c r="B2137" s="201" t="str">
        <f>CONCATENATE("31. Bevételi jogcímek"," - ",L2137," részletező")</f>
        <v>31. Bevételi jogcímek -  részletező</v>
      </c>
      <c r="C2137" s="101"/>
      <c r="D2137" s="101"/>
      <c r="E2137" s="101"/>
      <c r="F2137" s="101"/>
      <c r="G2137" s="198"/>
      <c r="H2137" s="198"/>
      <c r="I2137" s="198"/>
      <c r="L2137" s="384"/>
    </row>
    <row r="2138" spans="2:12" s="38" customFormat="1" ht="15.75" x14ac:dyDescent="0.25">
      <c r="C2138" s="156"/>
      <c r="E2138" s="140"/>
      <c r="F2138" s="140"/>
      <c r="G2138" s="140"/>
      <c r="H2138" s="140"/>
      <c r="I2138" s="140"/>
    </row>
    <row r="2139" spans="2:12" s="40" customFormat="1" x14ac:dyDescent="0.25">
      <c r="B2139" s="77"/>
      <c r="C2139" s="77" t="s">
        <v>350</v>
      </c>
      <c r="D2139" s="77" t="s">
        <v>351</v>
      </c>
      <c r="E2139" s="77" t="s">
        <v>470</v>
      </c>
      <c r="F2139" s="77" t="s">
        <v>471</v>
      </c>
      <c r="G2139" s="77" t="s">
        <v>44</v>
      </c>
      <c r="H2139" s="77" t="s">
        <v>42</v>
      </c>
      <c r="I2139" s="77" t="s">
        <v>511</v>
      </c>
    </row>
    <row r="2140" spans="2:12" ht="38.25" x14ac:dyDescent="0.25">
      <c r="B2140" s="160">
        <v>1</v>
      </c>
      <c r="C2140" s="154" t="s">
        <v>593</v>
      </c>
      <c r="D2140" s="154" t="s">
        <v>488</v>
      </c>
      <c r="E2140" s="163" t="str">
        <f>CONCATENATE(PAR!$H$3," évi
eredeti 
előirányzat")</f>
        <v>2025. évi
eredeti 
előirányzat</v>
      </c>
      <c r="F2140" s="163" t="str">
        <f>CONCATENATE(PAR!$H$3," évi
módosított 
előirányzat")</f>
        <v>2025. évi
módosított 
előirányzat</v>
      </c>
      <c r="G2140" s="69" t="s">
        <v>666</v>
      </c>
      <c r="H2140" s="69" t="s">
        <v>667</v>
      </c>
      <c r="I2140" s="69" t="s">
        <v>668</v>
      </c>
    </row>
    <row r="2141" spans="2:12" s="41" customFormat="1" x14ac:dyDescent="0.25">
      <c r="B2141" s="160">
        <v>2</v>
      </c>
      <c r="C2141" s="78" t="s">
        <v>1324</v>
      </c>
      <c r="D2141" s="79" t="s">
        <v>562</v>
      </c>
      <c r="E2141" s="71">
        <f>SUM(E2142:E2148)</f>
        <v>0</v>
      </c>
      <c r="F2141" s="71">
        <f t="shared" ref="F2141:I2141" si="225">SUM(F2142:F2148)</f>
        <v>0</v>
      </c>
      <c r="G2141" s="71">
        <f t="shared" si="225"/>
        <v>0</v>
      </c>
      <c r="H2141" s="71">
        <f t="shared" si="225"/>
        <v>0</v>
      </c>
      <c r="I2141" s="71">
        <f t="shared" si="225"/>
        <v>0</v>
      </c>
    </row>
    <row r="2142" spans="2:12" s="42" customFormat="1" x14ac:dyDescent="0.2">
      <c r="B2142" s="160">
        <v>3</v>
      </c>
      <c r="C2142" s="305" t="s">
        <v>1288</v>
      </c>
      <c r="D2142" s="82" t="s">
        <v>1325</v>
      </c>
      <c r="E2142" s="72">
        <f>SUMIF(Adat!$AG:$AG,CONCATENATE(61,Info!$D$5,"091111",L2137),Adat!$E:$E)*-1</f>
        <v>0</v>
      </c>
      <c r="F2142" s="72">
        <f>SUMIF(Adat!$AG:$AG,CONCATENATE(60,Info!$D$5,"091111",L2137),Adat!$E:$E)*(-1)+E2142</f>
        <v>0</v>
      </c>
      <c r="G2142" s="72">
        <f>SUMIF(Adat!$AH:$AH,CONCATENATE(Info!$D$5,"(KÖT)","091111",L2137),Adat!$E:$E)*-1</f>
        <v>0</v>
      </c>
      <c r="H2142" s="72">
        <f>SUMIF(Adat!$AH:$AH,CONCATENATE(Info!$D$5,"(ÖNV)","091111",L2137),Adat!$E:$E)*-1</f>
        <v>0</v>
      </c>
      <c r="I2142" s="72">
        <f>SUMIF(Adat!$AH:$AH,CONCATENATE(Info!$D$5,"(ÁIG)","091111",L2137),Adat!$E:$E)*-1</f>
        <v>0</v>
      </c>
    </row>
    <row r="2143" spans="2:12" x14ac:dyDescent="0.2">
      <c r="B2143" s="160">
        <v>4</v>
      </c>
      <c r="C2143" s="305" t="s">
        <v>1289</v>
      </c>
      <c r="D2143" s="82" t="s">
        <v>735</v>
      </c>
      <c r="E2143" s="72">
        <f>SUMIF(Adat!$AG:$AG,CONCATENATE(61,Info!$D$5,"091121",L2137),Adat!$E:$E)*-1</f>
        <v>0</v>
      </c>
      <c r="F2143" s="72">
        <f>SUMIF(Adat!$AG:$AG,CONCATENATE(60,Info!$D$5,"091121",L2137),Adat!$E:$E)*-1+E2143</f>
        <v>0</v>
      </c>
      <c r="G2143" s="72">
        <f>SUMIF(Adat!$AH:$AH,CONCATENATE(Info!$D$5,"(KÖT)","091121",L2137),Adat!$E:$E)*-1</f>
        <v>0</v>
      </c>
      <c r="H2143" s="72">
        <f>SUMIF(Adat!$AH:$AH,CONCATENATE(Info!$D$5,"(ÖNV)","091121",L2137),Adat!$E:$E)*-1</f>
        <v>0</v>
      </c>
      <c r="I2143" s="72">
        <f>SUMIF(Adat!$AH:$AH,CONCATENATE(Info!$D$5,"(ÁIG)","091121",L2137),Adat!$E:$E)*-1</f>
        <v>0</v>
      </c>
    </row>
    <row r="2144" spans="2:12" x14ac:dyDescent="0.2">
      <c r="B2144" s="160">
        <v>5</v>
      </c>
      <c r="C2144" s="305" t="s">
        <v>1290</v>
      </c>
      <c r="D2144" s="82" t="s">
        <v>1326</v>
      </c>
      <c r="E2144" s="72">
        <f>SUMIF(Adat!$AG:$AG,CONCATENATE(61,Info!$D$5,"0911311",L2137),Adat!$E:$E)*-1</f>
        <v>0</v>
      </c>
      <c r="F2144" s="72">
        <f>SUMIF(Adat!$AG:$AG,CONCATENATE(60,Info!$D$5,"0911311",L2137),Adat!$E:$E)*-1+E2144</f>
        <v>0</v>
      </c>
      <c r="G2144" s="72">
        <f>SUMIF(Adat!$AH:$AH,CONCATENATE(Info!$D$5,"(KÖT)","0911311",L2137),Adat!$E:$E)*-1</f>
        <v>0</v>
      </c>
      <c r="H2144" s="72">
        <f>SUMIF(Adat!$AH:$AH,CONCATENATE(Info!$D$5,"(ÖNV)","0911311",L2137),Adat!$E:$E)*-1</f>
        <v>0</v>
      </c>
      <c r="I2144" s="72">
        <f>SUMIF(Adat!$AH:$AH,CONCATENATE(Info!$D$5,"(ÁIG)","0911311",L2137),Adat!$E:$E)*-1</f>
        <v>0</v>
      </c>
    </row>
    <row r="2145" spans="2:9" x14ac:dyDescent="0.2">
      <c r="B2145" s="160">
        <v>6</v>
      </c>
      <c r="C2145" s="305" t="s">
        <v>1254</v>
      </c>
      <c r="D2145" s="82" t="s">
        <v>736</v>
      </c>
      <c r="E2145" s="72">
        <f>SUMIF(Adat!$AG:$AG,CONCATENATE(61,Info!$D$5,"0911321",L2137),Adat!$E:$E)*-1</f>
        <v>0</v>
      </c>
      <c r="F2145" s="72">
        <f>SUMIF(Adat!$AG:$AG,CONCATENATE(60,Info!$D$5,"0911321",L2137),Adat!$E:$E)*-1+E2145</f>
        <v>0</v>
      </c>
      <c r="G2145" s="72">
        <f>SUMIF(Adat!$AH:$AH,CONCATENATE(Info!$D$5,"(KÖT)","0911321",L2137),Adat!$E:$E)*-1</f>
        <v>0</v>
      </c>
      <c r="H2145" s="72">
        <f>SUMIF(Adat!$AH:$AH,CONCATENATE(Info!$D$5,"(ÖNV)","0911321",L2137),Adat!$E:$E)*-1</f>
        <v>0</v>
      </c>
      <c r="I2145" s="72">
        <f>SUMIF(Adat!$AH:$AH,CONCATENATE(Info!$D$5,"(ÁIG)","0911321",L2137),Adat!$E:$E)*-1</f>
        <v>0</v>
      </c>
    </row>
    <row r="2146" spans="2:9" x14ac:dyDescent="0.25">
      <c r="B2146" s="160">
        <v>7</v>
      </c>
      <c r="C2146" s="305" t="s">
        <v>1291</v>
      </c>
      <c r="D2146" s="84" t="s">
        <v>737</v>
      </c>
      <c r="E2146" s="72">
        <f>SUMIF(Adat!$AG:$AG,CONCATENATE(61,Info!$D$5,"091141",L2137),Adat!$E:$E)*-1</f>
        <v>0</v>
      </c>
      <c r="F2146" s="72">
        <f>SUMIF(Adat!$AG:$AG,CONCATENATE(60,Info!$D$5,"091141",L2137),Adat!$E:$E)*-1+E2146</f>
        <v>0</v>
      </c>
      <c r="G2146" s="72">
        <f>SUMIF(Adat!$AH:$AH,CONCATENATE(Info!$D$5,"(KÖT)","091141",L2137),Adat!$E:$E)*-1</f>
        <v>0</v>
      </c>
      <c r="H2146" s="72">
        <f>SUMIF(Adat!$AH:$AH,CONCATENATE(Info!$D$5,"(ÖNV)","091141",L2137),Adat!$E:$E)*-1</f>
        <v>0</v>
      </c>
      <c r="I2146" s="72">
        <f>SUMIF(Adat!$AH:$AH,CONCATENATE(Info!$D$5,"(ÁIG)","091141",L2137),Adat!$E:$E)*-1</f>
        <v>0</v>
      </c>
    </row>
    <row r="2147" spans="2:9" x14ac:dyDescent="0.25">
      <c r="B2147" s="160">
        <v>8</v>
      </c>
      <c r="C2147" s="305" t="s">
        <v>1312</v>
      </c>
      <c r="D2147" s="84" t="s">
        <v>738</v>
      </c>
      <c r="E2147" s="72">
        <f>SUMIF(Adat!$AG:$AG,CONCATENATE(61,Info!$D$5,"091151",L2137),Adat!$E:$E)*-1</f>
        <v>0</v>
      </c>
      <c r="F2147" s="72">
        <f>SUMIF(Adat!$AG:$AG,CONCATENATE(60,Info!$D$5,"091151",L2137),Adat!$E:$E)*-1+E2147</f>
        <v>0</v>
      </c>
      <c r="G2147" s="72">
        <f>SUMIF(Adat!$AH:$AH,CONCATENATE(Info!$D$5,"(KÖT)","091151",L2137),Adat!$E:$E)*-1</f>
        <v>0</v>
      </c>
      <c r="H2147" s="72">
        <f>SUMIF(Adat!$AH:$AH,CONCATENATE(Info!$D$5,"(ÖNV)","091151",L2137),Adat!$E:$E)*-1</f>
        <v>0</v>
      </c>
      <c r="I2147" s="72">
        <f>SUMIF(Adat!$AH:$AH,CONCATENATE(Info!$D$5,"(ÁIG)","091151",L2137),Adat!$E:$E)*-1</f>
        <v>0</v>
      </c>
    </row>
    <row r="2148" spans="2:9" s="42" customFormat="1" x14ac:dyDescent="0.25">
      <c r="B2148" s="160">
        <v>9</v>
      </c>
      <c r="C2148" s="305" t="s">
        <v>1308</v>
      </c>
      <c r="D2148" s="84" t="s">
        <v>233</v>
      </c>
      <c r="E2148" s="72">
        <f>SUMIF(Adat!$AG:$AG,CONCATENATE(61,Info!$D$5,"091161",L2137),Adat!$E:$E)*-1</f>
        <v>0</v>
      </c>
      <c r="F2148" s="72">
        <f>SUMIF(Adat!$AG:$AG,CONCATENATE(60,Info!$D$5,"091161",L2137),Adat!$E:$E)*-1+E2148</f>
        <v>0</v>
      </c>
      <c r="G2148" s="72">
        <f>SUMIF(Adat!$AH:$AH,CONCATENATE(Info!$D$5,"(KÖT)","091161",L2137),Adat!$E:$E)*-1</f>
        <v>0</v>
      </c>
      <c r="H2148" s="72">
        <f>SUMIF(Adat!$AH:$AH,CONCATENATE(Info!$D$5,"(ÖNV)","091161",L2137),Adat!$E:$E)*-1</f>
        <v>0</v>
      </c>
      <c r="I2148" s="72">
        <f>SUMIF(Adat!$AH:$AH,CONCATENATE(Info!$D$5,"(ÁIG)","091161",L2137),Adat!$E:$E)*-1</f>
        <v>0</v>
      </c>
    </row>
    <row r="2149" spans="2:9" s="42" customFormat="1" x14ac:dyDescent="0.25">
      <c r="B2149" s="160">
        <v>10</v>
      </c>
      <c r="C2149" s="78" t="s">
        <v>1328</v>
      </c>
      <c r="D2149" s="85" t="s">
        <v>437</v>
      </c>
      <c r="E2149" s="71">
        <f>SUM(E2150:E2154)</f>
        <v>0</v>
      </c>
      <c r="F2149" s="71">
        <f t="shared" ref="F2149" si="226">SUM(F2150:F2154)</f>
        <v>0</v>
      </c>
      <c r="G2149" s="71">
        <f>SUM(G2150:G2154)</f>
        <v>0</v>
      </c>
      <c r="H2149" s="71">
        <f t="shared" ref="H2149:I2149" si="227">SUM(H2150:H2154)</f>
        <v>0</v>
      </c>
      <c r="I2149" s="71">
        <f t="shared" si="227"/>
        <v>0</v>
      </c>
    </row>
    <row r="2150" spans="2:9" s="42" customFormat="1" x14ac:dyDescent="0.2">
      <c r="B2150" s="160">
        <v>11</v>
      </c>
      <c r="C2150" s="305" t="s">
        <v>1329</v>
      </c>
      <c r="D2150" s="82" t="s">
        <v>1330</v>
      </c>
      <c r="E2150" s="72">
        <f>SUMIF(Adat!$AG:$AG,CONCATENATE(61,Info!$D$5,"09121",L2137),Adat!$E:$E)*-1</f>
        <v>0</v>
      </c>
      <c r="F2150" s="72">
        <f>SUMIF(Adat!$AG:$AG,CONCATENATE(60,Info!$D$5,"09121",L2137),Adat!$E:$E)*-1+E2150</f>
        <v>0</v>
      </c>
      <c r="G2150" s="72">
        <f>SUMIF(Adat!$AH:$AH,CONCATENATE(Info!$D$5,"(KÖT)","09121",L2137),Adat!$E:$E)*-1</f>
        <v>0</v>
      </c>
      <c r="H2150" s="72">
        <f>SUMIF(Adat!$AH:$AH,CONCATENATE(Info!$D$5,"(ÖNV)","09121",L2137),Adat!$E:$E)*-1</f>
        <v>0</v>
      </c>
      <c r="I2150" s="72">
        <f>SUMIF(Adat!$AH:$AH,CONCATENATE(Info!$D$5,"(ÁIG)","09121",L2137),Adat!$E:$E)*-1</f>
        <v>0</v>
      </c>
    </row>
    <row r="2151" spans="2:9" s="42" customFormat="1" x14ac:dyDescent="0.2">
      <c r="B2151" s="160">
        <v>12</v>
      </c>
      <c r="C2151" s="305" t="s">
        <v>1331</v>
      </c>
      <c r="D2151" s="82" t="s">
        <v>1332</v>
      </c>
      <c r="E2151" s="72">
        <f>SUMIF(Adat!$AG:$AG,CONCATENATE(61,Info!$D$5,"09131",L2137),Adat!$E:$E)*-1</f>
        <v>0</v>
      </c>
      <c r="F2151" s="72">
        <f>SUMIF(Adat!$AG:$AG,CONCATENATE(60,Info!$D$5,"09131",L2137),Adat!$E:$E)*-1+E2151</f>
        <v>0</v>
      </c>
      <c r="G2151" s="72">
        <f>SUMIF(Adat!$AH:$AH,CONCATENATE(Info!$D$5,"(KÖT)","09131",L2137),Adat!$E:$E)*-1</f>
        <v>0</v>
      </c>
      <c r="H2151" s="72">
        <f>SUMIF(Adat!$AH:$AH,CONCATENATE(Info!$D$5,"(ÖNV)","09131",L2137),Adat!$E:$E)*-1</f>
        <v>0</v>
      </c>
      <c r="I2151" s="72">
        <f>SUMIF(Adat!$AH:$AH,CONCATENATE(Info!$D$5,"(ÁIG)","09131",L2137),Adat!$E:$E)*-1</f>
        <v>0</v>
      </c>
    </row>
    <row r="2152" spans="2:9" s="42" customFormat="1" x14ac:dyDescent="0.2">
      <c r="B2152" s="160">
        <v>13</v>
      </c>
      <c r="C2152" s="305" t="s">
        <v>1333</v>
      </c>
      <c r="D2152" s="82" t="s">
        <v>1334</v>
      </c>
      <c r="E2152" s="72">
        <f>SUMIF(Adat!$AG:$AG,CONCATENATE(61,Info!$D$5,"09141",L2137),Adat!$E:$E)*-1</f>
        <v>0</v>
      </c>
      <c r="F2152" s="72">
        <f>SUMIF(Adat!$AG:$AG,CONCATENATE(60,Info!$D$5,"09141",L2137),Adat!$E:$E)*-1+E2152</f>
        <v>0</v>
      </c>
      <c r="G2152" s="72">
        <f>SUMIF(Adat!$AH:$AH,CONCATENATE(Info!$D$5,"(KÖT)","09141",L2137),Adat!$E:$E)*-1</f>
        <v>0</v>
      </c>
      <c r="H2152" s="72">
        <f>SUMIF(Adat!$AH:$AH,CONCATENATE(Info!$D$5,"(ÖNV)","09141",L2137),Adat!$E:$E)*-1</f>
        <v>0</v>
      </c>
      <c r="I2152" s="72">
        <f>SUMIF(Adat!$AH:$AH,CONCATENATE(Info!$D$5,"(ÁIG)","09141",L2137),Adat!$E:$E)*-1</f>
        <v>0</v>
      </c>
    </row>
    <row r="2153" spans="2:9" s="42" customFormat="1" x14ac:dyDescent="0.2">
      <c r="B2153" s="160">
        <v>14</v>
      </c>
      <c r="C2153" s="305" t="s">
        <v>1335</v>
      </c>
      <c r="D2153" s="82" t="s">
        <v>1336</v>
      </c>
      <c r="E2153" s="72">
        <f>SUMIF(Adat!$AG:$AG,CONCATENATE(61,Info!$D$5,"09151",L2137),Adat!$E:$E)*-1</f>
        <v>0</v>
      </c>
      <c r="F2153" s="72">
        <f>SUMIF(Adat!$AG:$AG,CONCATENATE(60,Info!$D$5,"09151",L2137),Adat!$E:$E)*-1+E2153</f>
        <v>0</v>
      </c>
      <c r="G2153" s="72">
        <f>SUMIF(Adat!$AH:$AH,CONCATENATE(Info!$D$5,"(KÖT)","09151",L2137),Adat!$E:$E)*-1</f>
        <v>0</v>
      </c>
      <c r="H2153" s="72">
        <f>SUMIF(Adat!$AH:$AH,CONCATENATE(Info!$D$5,"(ÖNV)","09151",L2137),Adat!$E:$E)*-1</f>
        <v>0</v>
      </c>
      <c r="I2153" s="72">
        <f>SUMIF(Adat!$AH:$AH,CONCATENATE(Info!$D$5,"(ÁIG)","09151",L2137),Adat!$E:$E)*-1</f>
        <v>0</v>
      </c>
    </row>
    <row r="2154" spans="2:9" s="42" customFormat="1" x14ac:dyDescent="0.2">
      <c r="B2154" s="160">
        <v>15</v>
      </c>
      <c r="C2154" s="305" t="s">
        <v>1278</v>
      </c>
      <c r="D2154" s="82" t="s">
        <v>1337</v>
      </c>
      <c r="E2154" s="72">
        <f>SUMIF(Adat!$AG:$AG,CONCATENATE(61,Info!$D$5,"09161",L2137),Adat!$E:$E)*-1</f>
        <v>0</v>
      </c>
      <c r="F2154" s="72">
        <f>SUMIF(Adat!$AG:$AG,CONCATENATE(60,Info!$D$5,"09161",L2137),Adat!$E:$E)*-1+E2154</f>
        <v>0</v>
      </c>
      <c r="G2154" s="72">
        <f>SUMIF(Adat!$AH:$AH,CONCATENATE(Info!$D$5,"(KÖT)","09161",L2137),Adat!$E:$E)*-1</f>
        <v>0</v>
      </c>
      <c r="H2154" s="72">
        <f>SUMIF(Adat!$AH:$AH,CONCATENATE(Info!$D$5,"(ÖNV)","09161",L2137),Adat!$E:$E)*-1</f>
        <v>0</v>
      </c>
      <c r="I2154" s="72">
        <f>SUMIF(Adat!$AH:$AH,CONCATENATE(Info!$D$5,"(ÁIG)","09161",L2137),Adat!$E:$E)*-1</f>
        <v>0</v>
      </c>
    </row>
    <row r="2155" spans="2:9" x14ac:dyDescent="0.25">
      <c r="B2155" s="160">
        <v>16</v>
      </c>
      <c r="C2155" s="79" t="s">
        <v>24</v>
      </c>
      <c r="D2155" s="79" t="s">
        <v>449</v>
      </c>
      <c r="E2155" s="71">
        <f t="shared" ref="E2155:F2155" si="228">SUM(E2156:E2160)</f>
        <v>0</v>
      </c>
      <c r="F2155" s="71">
        <f t="shared" si="228"/>
        <v>0</v>
      </c>
      <c r="G2155" s="71">
        <f>SUM(G2156:G2160)</f>
        <v>0</v>
      </c>
      <c r="H2155" s="71">
        <f t="shared" ref="H2155:I2155" si="229">SUM(H2156:H2160)</f>
        <v>0</v>
      </c>
      <c r="I2155" s="71">
        <f t="shared" si="229"/>
        <v>0</v>
      </c>
    </row>
    <row r="2156" spans="2:9" x14ac:dyDescent="0.2">
      <c r="B2156" s="160">
        <v>17</v>
      </c>
      <c r="C2156" s="305" t="s">
        <v>1339</v>
      </c>
      <c r="D2156" s="82" t="s">
        <v>1340</v>
      </c>
      <c r="E2156" s="72">
        <f>SUMIF(Adat!$AG:$AG,CONCATENATE(61,Info!$D$5,"09211",L2137),Adat!$E:$E)*-1</f>
        <v>0</v>
      </c>
      <c r="F2156" s="72">
        <f>SUMIF(Adat!$AG:$AG,CONCATENATE(60,Info!$D$5,"09211",L2137),Adat!$E:$E)*-1+E2156</f>
        <v>0</v>
      </c>
      <c r="G2156" s="72">
        <f>SUMIF(Adat!$AH:$AH,CONCATENATE(Info!$D$5,"(KÖT)","09211",L2137),Adat!$E:$E)*-1</f>
        <v>0</v>
      </c>
      <c r="H2156" s="72">
        <f>SUMIF(Adat!$AH:$AH,CONCATENATE(Info!$D$5,"(ÖNV)","09211",L2137),Adat!$E:$E)*-1</f>
        <v>0</v>
      </c>
      <c r="I2156" s="72">
        <f>SUMIF(Adat!$AH:$AH,CONCATENATE(Info!$D$5,"(ÁIG)","09211",L2137),Adat!$E:$E)*-1</f>
        <v>0</v>
      </c>
    </row>
    <row r="2157" spans="2:9" s="42" customFormat="1" x14ac:dyDescent="0.2">
      <c r="B2157" s="160">
        <v>18</v>
      </c>
      <c r="C2157" s="305" t="s">
        <v>1341</v>
      </c>
      <c r="D2157" s="82" t="s">
        <v>1342</v>
      </c>
      <c r="E2157" s="72">
        <f>SUMIF(Adat!$AG:$AG,CONCATENATE(61,Info!$D$5,"09221",L2137),Adat!$E:$E)*-1</f>
        <v>0</v>
      </c>
      <c r="F2157" s="72">
        <f>SUMIF(Adat!$AG:$AG,CONCATENATE(60,Info!$D$5,"09221",L2137),Adat!$E:$E)*-1+E2157</f>
        <v>0</v>
      </c>
      <c r="G2157" s="72">
        <f>SUMIF(Adat!$AH:$AH,CONCATENATE(Info!$D$5,"(KÖT)","09221",L2137),Adat!$E:$E)*-1</f>
        <v>0</v>
      </c>
      <c r="H2157" s="72">
        <f>SUMIF(Adat!$AH:$AH,CONCATENATE(Info!$D$5,"(ÖNV)","09221",L2137),Adat!$E:$E)*-1</f>
        <v>0</v>
      </c>
      <c r="I2157" s="72">
        <f>SUMIF(Adat!$AH:$AH,CONCATENATE(Info!$D$5,"(ÁIG)","09221",L2137),Adat!$E:$E)*-1</f>
        <v>0</v>
      </c>
    </row>
    <row r="2158" spans="2:9" x14ac:dyDescent="0.2">
      <c r="B2158" s="160">
        <v>19</v>
      </c>
      <c r="C2158" s="305" t="s">
        <v>1343</v>
      </c>
      <c r="D2158" s="82" t="s">
        <v>1344</v>
      </c>
      <c r="E2158" s="72">
        <f>SUMIF(Adat!$AG:$AG,CONCATENATE(61,Info!$D$5,"09231",L2137),Adat!$E:$E)*-1</f>
        <v>0</v>
      </c>
      <c r="F2158" s="72">
        <f>SUMIF(Adat!$AG:$AG,CONCATENATE(60,Info!$D$5,"09231",L2137),Adat!$E:$E)*-1+E2158</f>
        <v>0</v>
      </c>
      <c r="G2158" s="72">
        <f>SUMIF(Adat!$AH:$AH,CONCATENATE(Info!$D$5,"(KÖT)","09231",L2137),Adat!$E:$E)*-1</f>
        <v>0</v>
      </c>
      <c r="H2158" s="72">
        <f>SUMIF(Adat!$AH:$AH,CONCATENATE(Info!$D$5,"(ÖNV)","09231",L2137),Adat!$E:$E)*-1</f>
        <v>0</v>
      </c>
      <c r="I2158" s="72">
        <f>SUMIF(Adat!$AH:$AH,CONCATENATE(Info!$D$5,"(ÁIG)","09231",L2137),Adat!$E:$E)*-1</f>
        <v>0</v>
      </c>
    </row>
    <row r="2159" spans="2:9" x14ac:dyDescent="0.2">
      <c r="B2159" s="160">
        <v>20</v>
      </c>
      <c r="C2159" s="305" t="s">
        <v>1345</v>
      </c>
      <c r="D2159" s="82" t="s">
        <v>1346</v>
      </c>
      <c r="E2159" s="72">
        <f>SUMIF(Adat!$AG:$AG,CONCATENATE(61,Info!$D$5,"09241",L2137),Adat!$E:$E)*-1</f>
        <v>0</v>
      </c>
      <c r="F2159" s="72">
        <f>SUMIF(Adat!$AG:$AG,CONCATENATE(60,Info!$D$5,"09241",L2137),Adat!$E:$E)*-1+E2159</f>
        <v>0</v>
      </c>
      <c r="G2159" s="72">
        <f>SUMIF(Adat!$AH:$AH,CONCATENATE(Info!$D$5,"(KÖT)","09241",L2137),Adat!$E:$E)*-1</f>
        <v>0</v>
      </c>
      <c r="H2159" s="72">
        <f>SUMIF(Adat!$AH:$AH,CONCATENATE(Info!$D$5,"(ÖNV)","09241",L2137),Adat!$E:$E)*-1</f>
        <v>0</v>
      </c>
      <c r="I2159" s="72">
        <f>SUMIF(Adat!$AH:$AH,CONCATENATE(Info!$D$5,"(ÁIG)","09241",L2137),Adat!$E:$E)*-1</f>
        <v>0</v>
      </c>
    </row>
    <row r="2160" spans="2:9" x14ac:dyDescent="0.2">
      <c r="B2160" s="160">
        <v>21</v>
      </c>
      <c r="C2160" s="305" t="s">
        <v>1255</v>
      </c>
      <c r="D2160" s="82" t="s">
        <v>1347</v>
      </c>
      <c r="E2160" s="72">
        <f>SUMIF(Adat!$AG:$AG,CONCATENATE(61,Info!$D$5,"09251",L2137),Adat!$E:$E)*-1</f>
        <v>0</v>
      </c>
      <c r="F2160" s="72">
        <f>SUMIF(Adat!$AG:$AG,CONCATENATE(60,Info!$D$5,"09251",L2137),Adat!$E:$E)*-1+E2160</f>
        <v>0</v>
      </c>
      <c r="G2160" s="72">
        <f>SUMIF(Adat!$AH:$AH,CONCATENATE(Info!$D$5,"(KÖT)","09251",L2137),Adat!$E:$E)*-1</f>
        <v>0</v>
      </c>
      <c r="H2160" s="72">
        <f>SUMIF(Adat!$AH:$AH,CONCATENATE(Info!$D$5,"(ÖNV)","09251",L2137),Adat!$E:$E)*-1</f>
        <v>0</v>
      </c>
      <c r="I2160" s="72">
        <f>SUMIF(Adat!$AH:$AH,CONCATENATE(Info!$D$5,"(ÁIG)","09251",L2137),Adat!$E:$E)*-1</f>
        <v>0</v>
      </c>
    </row>
    <row r="2161" spans="2:9" x14ac:dyDescent="0.25">
      <c r="B2161" s="160">
        <v>22</v>
      </c>
      <c r="C2161" s="79" t="s">
        <v>27</v>
      </c>
      <c r="D2161" s="79" t="s">
        <v>328</v>
      </c>
      <c r="E2161" s="71">
        <f>SUM(E2162:E2167)</f>
        <v>0</v>
      </c>
      <c r="F2161" s="71">
        <f>SUM(F2162:F2167)</f>
        <v>0</v>
      </c>
      <c r="G2161" s="71">
        <f>SUM(G2162:G2167)</f>
        <v>0</v>
      </c>
      <c r="H2161" s="71">
        <f>SUM(H2162:H2167)</f>
        <v>0</v>
      </c>
      <c r="I2161" s="71">
        <f>SUM(I2162:I2167)</f>
        <v>0</v>
      </c>
    </row>
    <row r="2162" spans="2:9" x14ac:dyDescent="0.2">
      <c r="B2162" s="160">
        <v>23</v>
      </c>
      <c r="C2162" s="305" t="s">
        <v>1348</v>
      </c>
      <c r="D2162" s="82" t="s">
        <v>1349</v>
      </c>
      <c r="E2162" s="72">
        <f>SUMIF(Adat!$AG:$AG,CONCATENATE(61,Info!$D$5,"093111",L2137),Adat!$E:$E)*-1</f>
        <v>0</v>
      </c>
      <c r="F2162" s="72">
        <f>SUMIF(Adat!$AG:$AG,CONCATENATE(60,Info!$D$5,"093111",L2137),Adat!$E:$E)*-1+E2162</f>
        <v>0</v>
      </c>
      <c r="G2162" s="72">
        <f>SUMIF(Adat!$AH:$AH,CONCATENATE(Info!$D$5,"(KÖT)","093111",L2137),Adat!$E:$E)*-1</f>
        <v>0</v>
      </c>
      <c r="H2162" s="72">
        <f>SUMIF(Adat!$AH:$AH,CONCATENATE(Info!$D$5,"(ÖNV)","093111",L2137),Adat!$E:$E)*-1</f>
        <v>0</v>
      </c>
      <c r="I2162" s="72">
        <f>SUMIF(Adat!$AH:$AH,CONCATENATE(Info!$D$5,"(ÁIG)","093111",L2137),Adat!$E:$E)*-1</f>
        <v>0</v>
      </c>
    </row>
    <row r="2163" spans="2:9" x14ac:dyDescent="0.2">
      <c r="B2163" s="160">
        <v>24</v>
      </c>
      <c r="C2163" s="305" t="s">
        <v>1259</v>
      </c>
      <c r="D2163" s="82" t="s">
        <v>1350</v>
      </c>
      <c r="E2163" s="72">
        <f>SUMIF(Adat!$AG:$AG,CONCATENATE(61,Info!$D$5,"09341",L2137),Adat!$E:$E)*-1</f>
        <v>0</v>
      </c>
      <c r="F2163" s="72">
        <f>SUMIF(Adat!$AG:$AG,CONCATENATE(60,Info!$D$5,"09341",L2137),Adat!$E:$E)*-1+E2163</f>
        <v>0</v>
      </c>
      <c r="G2163" s="72">
        <f>SUMIF(Adat!$AH:$AH,CONCATENATE(Info!$D$5,"(KÖT)","09341",L2137),Adat!$E:$E)*-1</f>
        <v>0</v>
      </c>
      <c r="H2163" s="72">
        <f>SUMIF(Adat!$AH:$AH,CONCATENATE(Info!$D$5,"(ÖNV)","09341",L2137),Adat!$E:$E)*-1</f>
        <v>0</v>
      </c>
      <c r="I2163" s="72">
        <f>SUMIF(Adat!$AH:$AH,CONCATENATE(Info!$D$5,"(ÁIG)","09341",L2137),Adat!$E:$E)*-1</f>
        <v>0</v>
      </c>
    </row>
    <row r="2164" spans="2:9" x14ac:dyDescent="0.2">
      <c r="B2164" s="160">
        <v>25</v>
      </c>
      <c r="C2164" s="305" t="s">
        <v>1260</v>
      </c>
      <c r="D2164" s="82" t="s">
        <v>1351</v>
      </c>
      <c r="E2164" s="72">
        <f>SUMIF(Adat!$AG:$AG,CONCATENATE(61,Info!$D$5,"093511",L2137),Adat!$E:$E)*-1</f>
        <v>0</v>
      </c>
      <c r="F2164" s="72">
        <f>SUMIF(Adat!$AG:$AG,CONCATENATE(60,Info!$D$5,"093511",L2137),Adat!$E:$E)*-1+E2164</f>
        <v>0</v>
      </c>
      <c r="G2164" s="72">
        <f>SUMIF(Adat!$AH:$AH,CONCATENATE(Info!$D$5,"(KÖT)","093511",L2137),Adat!$E:$E)*-1</f>
        <v>0</v>
      </c>
      <c r="H2164" s="72">
        <f>SUMIF(Adat!$AH:$AH,CONCATENATE(Info!$D$5,"(ÖNV)","093511",L2137),Adat!$E:$E)*-1</f>
        <v>0</v>
      </c>
      <c r="I2164" s="72">
        <f>SUMIF(Adat!$AH:$AH,CONCATENATE(Info!$D$5,"(ÁIG)","093511",L2137),Adat!$E:$E)*-1</f>
        <v>0</v>
      </c>
    </row>
    <row r="2165" spans="2:9" x14ac:dyDescent="0.2">
      <c r="B2165" s="160">
        <v>26</v>
      </c>
      <c r="C2165" s="305" t="s">
        <v>1352</v>
      </c>
      <c r="D2165" s="82" t="s">
        <v>1353</v>
      </c>
      <c r="E2165" s="72">
        <f>SUMIF(Adat!$AG:$AG,CONCATENATE(61,Info!$D$5,"093521",L2137),Adat!$E:$E)*-1</f>
        <v>0</v>
      </c>
      <c r="F2165" s="72">
        <f>SUMIF(Adat!$AG:$AG,CONCATENATE(60,Info!$D$5,"093521",L2137),Adat!$E:$E)*-1+E2165</f>
        <v>0</v>
      </c>
      <c r="G2165" s="72">
        <f>SUMIF(Adat!$AH:$AH,CONCATENATE(Info!$D$5,"(KÖT)","093521",L2137),Adat!$E:$E)*-1</f>
        <v>0</v>
      </c>
      <c r="H2165" s="72">
        <f>SUMIF(Adat!$AH:$AH,CONCATENATE(Info!$D$5,"(ÖNV)","093521",L2137),Adat!$E:$E)*-1</f>
        <v>0</v>
      </c>
      <c r="I2165" s="72">
        <f>SUMIF(Adat!$AH:$AH,CONCATENATE(Info!$D$5,"(ÁIG)","093521",L2137),Adat!$E:$E)*-1</f>
        <v>0</v>
      </c>
    </row>
    <row r="2166" spans="2:9" x14ac:dyDescent="0.2">
      <c r="B2166" s="160">
        <v>27</v>
      </c>
      <c r="C2166" s="305" t="s">
        <v>1292</v>
      </c>
      <c r="D2166" s="82" t="s">
        <v>1354</v>
      </c>
      <c r="E2166" s="72">
        <f>SUMIF(Adat!$AG:$AG,CONCATENATE(61,Info!$D$5,"093551",L2137),Adat!$E:$E)*-1</f>
        <v>0</v>
      </c>
      <c r="F2166" s="72">
        <f>SUMIF(Adat!$AG:$AG,CONCATENATE(60,Info!$D$5,"093551",L2137),Adat!$E:$E)*-1+E2166</f>
        <v>0</v>
      </c>
      <c r="G2166" s="72">
        <f>SUMIF(Adat!$AH:$AH,CONCATENATE(Info!$D$5,"(KÖT)","093551",L2137),Adat!$E:$E)*-1</f>
        <v>0</v>
      </c>
      <c r="H2166" s="72">
        <f>SUMIF(Adat!$AH:$AH,CONCATENATE(Info!$D$5,"(ÖNV)","093551",L2137),Adat!$E:$E)*-1</f>
        <v>0</v>
      </c>
      <c r="I2166" s="72">
        <f>SUMIF(Adat!$AH:$AH,CONCATENATE(Info!$D$5,"(ÁIG)","093551",L2137),Adat!$E:$E)*-1</f>
        <v>0</v>
      </c>
    </row>
    <row r="2167" spans="2:9" x14ac:dyDescent="0.2">
      <c r="B2167" s="160">
        <v>28</v>
      </c>
      <c r="C2167" s="305" t="s">
        <v>1293</v>
      </c>
      <c r="D2167" s="82" t="s">
        <v>1355</v>
      </c>
      <c r="E2167" s="72">
        <f>SUMIF(Adat!$AG:$AG,CONCATENATE(61,Info!$D$5,"09361",L2137),Adat!$E:$E)*-1</f>
        <v>0</v>
      </c>
      <c r="F2167" s="72">
        <f>SUMIF(Adat!$AG:$AG,CONCATENATE(60,Info!$D$5,"09361",L2137),Adat!$E:$E)*-1+E2167</f>
        <v>0</v>
      </c>
      <c r="G2167" s="72">
        <f>SUMIF(Adat!$AH:$AH,CONCATENATE(Info!$D$5,"(KÖT)","09361",L2137),Adat!$E:$E)*-1</f>
        <v>0</v>
      </c>
      <c r="H2167" s="72">
        <f>SUMIF(Adat!$AH:$AH,CONCATENATE(Info!$D$5,"(ÖNV)","09361",L2137),Adat!$E:$E)*-1</f>
        <v>0</v>
      </c>
      <c r="I2167" s="72">
        <f>SUMIF(Adat!$AH:$AH,CONCATENATE(Info!$D$5,"(ÁIG)","09361",L2137),Adat!$E:$E)*-1</f>
        <v>0</v>
      </c>
    </row>
    <row r="2168" spans="2:9" x14ac:dyDescent="0.25">
      <c r="B2168" s="160">
        <v>29</v>
      </c>
      <c r="C2168" s="79" t="s">
        <v>30</v>
      </c>
      <c r="D2168" s="79" t="s">
        <v>329</v>
      </c>
      <c r="E2168" s="71">
        <f>SUM(E2169:E2181)</f>
        <v>0</v>
      </c>
      <c r="F2168" s="71">
        <f t="shared" ref="F2168:I2168" si="230">SUM(F2169:F2181)</f>
        <v>0</v>
      </c>
      <c r="G2168" s="71">
        <f t="shared" si="230"/>
        <v>0</v>
      </c>
      <c r="H2168" s="71">
        <f t="shared" si="230"/>
        <v>0</v>
      </c>
      <c r="I2168" s="71">
        <f t="shared" si="230"/>
        <v>0</v>
      </c>
    </row>
    <row r="2169" spans="2:9" x14ac:dyDescent="0.2">
      <c r="B2169" s="160">
        <v>30</v>
      </c>
      <c r="C2169" s="305" t="s">
        <v>1309</v>
      </c>
      <c r="D2169" s="82" t="s">
        <v>1356</v>
      </c>
      <c r="E2169" s="72">
        <f>SUMIF(Adat!$AG:$AG,CONCATENATE(61,Info!$D$5,"094011",L2137),Adat!$E:$E)*-1</f>
        <v>0</v>
      </c>
      <c r="F2169" s="72">
        <f>SUMIF(Adat!$AG:$AG,CONCATENATE(60,Info!$D$5,"094011",L2137),Adat!$E:$E)*-1+E2169</f>
        <v>0</v>
      </c>
      <c r="G2169" s="72">
        <f>SUMIF(Adat!$AH:$AH,CONCATENATE(Info!$D$5,"(KÖT)","094011",L2137),Adat!$E:$E)*-1</f>
        <v>0</v>
      </c>
      <c r="H2169" s="72">
        <f>SUMIF(Adat!$AH:$AH,CONCATENATE(Info!$D$5,"(ÖNV)","094011",L2137),Adat!$E:$E)*-1</f>
        <v>0</v>
      </c>
      <c r="I2169" s="72">
        <f>SUMIF(Adat!$AH:$AH,CONCATENATE(Info!$D$5,"(ÁIG)","094011",L2137),Adat!$E:$E)*-1</f>
        <v>0</v>
      </c>
    </row>
    <row r="2170" spans="2:9" x14ac:dyDescent="0.2">
      <c r="B2170" s="160">
        <v>31</v>
      </c>
      <c r="C2170" s="305" t="s">
        <v>1279</v>
      </c>
      <c r="D2170" s="82" t="s">
        <v>1357</v>
      </c>
      <c r="E2170" s="72">
        <f>SUMIF(Adat!$AG:$AG,CONCATENATE(61,Info!$D$5,"094021",L2137),Adat!$E:$E)*-1</f>
        <v>0</v>
      </c>
      <c r="F2170" s="72">
        <f>SUMIF(Adat!$AG:$AG,CONCATENATE(60,Info!$D$5,"094021",L2137),Adat!$E:$E)*-1+E2170</f>
        <v>0</v>
      </c>
      <c r="G2170" s="72">
        <f>SUMIF(Adat!$AH:$AH,CONCATENATE(Info!$D$5,"(KÖT)","094021",L2137),Adat!$E:$E)*-1</f>
        <v>0</v>
      </c>
      <c r="H2170" s="72">
        <f>SUMIF(Adat!$AH:$AH,CONCATENATE(Info!$D$5,"(ÖNV)","094021",L2137),Adat!$E:$E)*-1</f>
        <v>0</v>
      </c>
      <c r="I2170" s="72">
        <f>SUMIF(Adat!$AH:$AH,CONCATENATE(Info!$D$5,"(ÁIG)","094021",L2137),Adat!$E:$E)*-1</f>
        <v>0</v>
      </c>
    </row>
    <row r="2171" spans="2:9" x14ac:dyDescent="0.2">
      <c r="B2171" s="160">
        <v>32</v>
      </c>
      <c r="C2171" s="305" t="s">
        <v>1272</v>
      </c>
      <c r="D2171" s="82" t="s">
        <v>1358</v>
      </c>
      <c r="E2171" s="72">
        <f>SUMIF(Adat!$AG:$AG,CONCATENATE(61,Info!$D$5,"094031",L2137),Adat!$E:$E)*-1</f>
        <v>0</v>
      </c>
      <c r="F2171" s="72">
        <f>SUMIF(Adat!$AG:$AG,CONCATENATE(60,Info!$D$5,"094031",L2137),Adat!$E:$E)*-1+E2171</f>
        <v>0</v>
      </c>
      <c r="G2171" s="72">
        <f>SUMIF(Adat!$AH:$AH,CONCATENATE(Info!$D$5,"(KÖT)","094031",L2137),Adat!$E:$E)*-1</f>
        <v>0</v>
      </c>
      <c r="H2171" s="72">
        <f>SUMIF(Adat!$AH:$AH,CONCATENATE(Info!$D$5,"(ÖNV)","094031",L2137),Adat!$E:$E)*-1</f>
        <v>0</v>
      </c>
      <c r="I2171" s="72">
        <f>SUMIF(Adat!$AH:$AH,CONCATENATE(Info!$D$5,"(ÁIG)","094031",L2137),Adat!$E:$E)*-1</f>
        <v>0</v>
      </c>
    </row>
    <row r="2172" spans="2:9" x14ac:dyDescent="0.2">
      <c r="B2172" s="160">
        <v>33</v>
      </c>
      <c r="C2172" s="305" t="s">
        <v>1359</v>
      </c>
      <c r="D2172" s="82" t="s">
        <v>1360</v>
      </c>
      <c r="E2172" s="72">
        <f>SUMIF(Adat!$AG:$AG,CONCATENATE(61,Info!$D$5,"094041",L2137),Adat!$E:$E)*-1</f>
        <v>0</v>
      </c>
      <c r="F2172" s="72">
        <f>SUMIF(Adat!$AG:$AG,CONCATENATE(60,Info!$D$5,"094041",L2137),Adat!$E:$E)*-1+E2172</f>
        <v>0</v>
      </c>
      <c r="G2172" s="72">
        <f>SUMIF(Adat!$AH:$AH,CONCATENATE(Info!$D$5,"(KÖT)","094041",L2137),Adat!$E:$E)*-1</f>
        <v>0</v>
      </c>
      <c r="H2172" s="72">
        <f>SUMIF(Adat!$AH:$AH,CONCATENATE(Info!$D$5,"(ÖNV)","094041",L2137),Adat!$E:$E)*-1</f>
        <v>0</v>
      </c>
      <c r="I2172" s="72">
        <f>SUMIF(Adat!$AH:$AH,CONCATENATE(Info!$D$5,"(ÁIG)","094041",L2137),Adat!$E:$E)*-1</f>
        <v>0</v>
      </c>
    </row>
    <row r="2173" spans="2:9" x14ac:dyDescent="0.2">
      <c r="B2173" s="160">
        <v>34</v>
      </c>
      <c r="C2173" s="305" t="s">
        <v>1261</v>
      </c>
      <c r="D2173" s="82" t="s">
        <v>1361</v>
      </c>
      <c r="E2173" s="72">
        <f>SUMIF(Adat!$AG:$AG,CONCATENATE(61,Info!$D$5,"094051",L2137),Adat!$E:$E)*-1</f>
        <v>0</v>
      </c>
      <c r="F2173" s="72">
        <f>SUMIF(Adat!$AG:$AG,CONCATENATE(60,Info!$D$5,"094051",L2137),Adat!$E:$E)*-1+E2173</f>
        <v>0</v>
      </c>
      <c r="G2173" s="72">
        <f>SUMIF(Adat!$AH:$AH,CONCATENATE(Info!$D$5,"(KÖT)","094051",L2137),Adat!$E:$E)*-1</f>
        <v>0</v>
      </c>
      <c r="H2173" s="72">
        <f>SUMIF(Adat!$AH:$AH,CONCATENATE(Info!$D$5,"(ÖNV)","094051",L2137),Adat!$E:$E)*-1</f>
        <v>0</v>
      </c>
      <c r="I2173" s="72">
        <f>SUMIF(Adat!$AH:$AH,CONCATENATE(Info!$D$5,"(ÁIG)","094051",L2137),Adat!$E:$E)*-1</f>
        <v>0</v>
      </c>
    </row>
    <row r="2174" spans="2:9" x14ac:dyDescent="0.2">
      <c r="B2174" s="160">
        <v>35</v>
      </c>
      <c r="C2174" s="305" t="s">
        <v>1273</v>
      </c>
      <c r="D2174" s="82" t="s">
        <v>1362</v>
      </c>
      <c r="E2174" s="72">
        <f>SUMIF(Adat!$AG:$AG,CONCATENATE(61,Info!$D$5,"094061",L2137),Adat!$E:$E)*-1</f>
        <v>0</v>
      </c>
      <c r="F2174" s="72">
        <f>SUMIF(Adat!$AG:$AG,CONCATENATE(60,Info!$D$5,"094061",L2137),Adat!$E:$E)*-1+E2174</f>
        <v>0</v>
      </c>
      <c r="G2174" s="72">
        <f>SUMIF(Adat!$AH:$AH,CONCATENATE(Info!$D$5,"(KÖT)","094061",L2137),Adat!$E:$E)*-1</f>
        <v>0</v>
      </c>
      <c r="H2174" s="72">
        <f>SUMIF(Adat!$AH:$AH,CONCATENATE(Info!$D$5,"(ÖNV)","094061",L2137),Adat!$E:$E)*-1</f>
        <v>0</v>
      </c>
      <c r="I2174" s="72">
        <f>SUMIF(Adat!$AH:$AH,CONCATENATE(Info!$D$5,"(ÁIG)","094061",L2137),Adat!$E:$E)*-1</f>
        <v>0</v>
      </c>
    </row>
    <row r="2175" spans="2:9" x14ac:dyDescent="0.2">
      <c r="B2175" s="160">
        <v>36</v>
      </c>
      <c r="C2175" s="305" t="s">
        <v>1363</v>
      </c>
      <c r="D2175" s="82" t="s">
        <v>1364</v>
      </c>
      <c r="E2175" s="72">
        <f>SUMIF(Adat!$AG:$AG,CONCATENATE(61,Info!$D$5,"094071",L2137),Adat!$E:$E)*-1</f>
        <v>0</v>
      </c>
      <c r="F2175" s="72">
        <f>SUMIF(Adat!$AG:$AG,CONCATENATE(60,Info!$D$5,"094071",L2137),Adat!$E:$E)*-1+E2175</f>
        <v>0</v>
      </c>
      <c r="G2175" s="72">
        <f>SUMIF(Adat!$AH:$AH,CONCATENATE(Info!$D$5,"(KÖT)","094071",L2137),Adat!$E:$E)*-1</f>
        <v>0</v>
      </c>
      <c r="H2175" s="72">
        <f>SUMIF(Adat!$AH:$AH,CONCATENATE(Info!$D$5,"(ÖNV)","094071",L2137),Adat!$E:$E)*-1</f>
        <v>0</v>
      </c>
      <c r="I2175" s="72">
        <f>SUMIF(Adat!$AH:$AH,CONCATENATE(Info!$D$5,"(ÁIG)","094071",L2137),Adat!$E:$E)*-1</f>
        <v>0</v>
      </c>
    </row>
    <row r="2176" spans="2:9" x14ac:dyDescent="0.2">
      <c r="B2176" s="160">
        <v>37</v>
      </c>
      <c r="C2176" s="305" t="s">
        <v>1306</v>
      </c>
      <c r="D2176" s="82" t="s">
        <v>1365</v>
      </c>
      <c r="E2176" s="72">
        <f>SUMIF(Adat!$AG:$AG,CONCATENATE(61,Info!$D$5,"0940811",L2137),Adat!$E:$E)*-1</f>
        <v>0</v>
      </c>
      <c r="F2176" s="72">
        <f>SUMIF(Adat!$AG:$AG,CONCATENATE(60,Info!$D$5,"0940811",L2137),Adat!$E:$E)*-1+E2176</f>
        <v>0</v>
      </c>
      <c r="G2176" s="72">
        <f>SUMIF(Adat!$AH:$AH,CONCATENATE(Info!$D$5,"(KÖT)","0940811",L2137),Adat!$E:$E)*-1</f>
        <v>0</v>
      </c>
      <c r="H2176" s="72">
        <f>SUMIF(Adat!$AH:$AH,CONCATENATE(Info!$D$5,"(ÖNV)","0940811",L2137),Adat!$E:$E)*-1</f>
        <v>0</v>
      </c>
      <c r="I2176" s="72">
        <f>SUMIF(Adat!$AH:$AH,CONCATENATE(Info!$D$5,"(ÁIG)","0940811",L2137),Adat!$E:$E)*-1</f>
        <v>0</v>
      </c>
    </row>
    <row r="2177" spans="2:9" x14ac:dyDescent="0.2">
      <c r="B2177" s="160">
        <v>38</v>
      </c>
      <c r="C2177" s="305" t="s">
        <v>1295</v>
      </c>
      <c r="D2177" s="82" t="s">
        <v>1366</v>
      </c>
      <c r="E2177" s="72">
        <f>SUMIF(Adat!$AG:$AG,CONCATENATE(61,Info!$D$5,"0940821",L2137),Adat!$E:$E)*-1</f>
        <v>0</v>
      </c>
      <c r="F2177" s="72">
        <f>SUMIF(Adat!$AG:$AG,CONCATENATE(60,Info!$D$5,"0940821",L2137),Adat!$E:$E)*-1+E2177</f>
        <v>0</v>
      </c>
      <c r="G2177" s="72">
        <f>SUMIF(Adat!$AH:$AH,CONCATENATE(Info!$D$5,"(KÖT)","0940821",L2137),Adat!$E:$E)*-1</f>
        <v>0</v>
      </c>
      <c r="H2177" s="72">
        <f>SUMIF(Adat!$AH:$AH,CONCATENATE(Info!$D$5,"(ÖNV)","0940821",L2137),Adat!$E:$E)*-1</f>
        <v>0</v>
      </c>
      <c r="I2177" s="72">
        <f>SUMIF(Adat!$AH:$AH,CONCATENATE(Info!$D$5,"(ÁIG)","0940821",L2137),Adat!$E:$E)*-1</f>
        <v>0</v>
      </c>
    </row>
    <row r="2178" spans="2:9" x14ac:dyDescent="0.2">
      <c r="B2178" s="160">
        <v>39</v>
      </c>
      <c r="C2178" s="305" t="s">
        <v>1367</v>
      </c>
      <c r="D2178" s="82" t="s">
        <v>1368</v>
      </c>
      <c r="E2178" s="72">
        <f>SUMIF(Adat!$AG:$AG,CONCATENATE(61,Info!$D$5,"0940911",L2137),Adat!$E:$E)*-1</f>
        <v>0</v>
      </c>
      <c r="F2178" s="72">
        <f>SUMIF(Adat!$AG:$AG,CONCATENATE(60,Info!$D$5,"0940911",L2137),Adat!$E:$E)*-1+E2178</f>
        <v>0</v>
      </c>
      <c r="G2178" s="72">
        <f>SUMIF(Adat!$AH:$AH,CONCATENATE(Info!$D$5,"(KÖT)","0940911",L2137),Adat!$E:$E)*-1</f>
        <v>0</v>
      </c>
      <c r="H2178" s="72">
        <f>SUMIF(Adat!$AH:$AH,CONCATENATE(Info!$D$5,"(ÖNV)","0940911",L2137),Adat!$E:$E)*-1</f>
        <v>0</v>
      </c>
      <c r="I2178" s="72">
        <f>SUMIF(Adat!$AH:$AH,CONCATENATE(Info!$D$5,"(ÁIG)","0940911",L2137),Adat!$E:$E)*-1</f>
        <v>0</v>
      </c>
    </row>
    <row r="2179" spans="2:9" x14ac:dyDescent="0.2">
      <c r="B2179" s="160">
        <v>40</v>
      </c>
      <c r="C2179" s="305" t="s">
        <v>1369</v>
      </c>
      <c r="D2179" s="82" t="s">
        <v>1370</v>
      </c>
      <c r="E2179" s="72">
        <f>SUMIF(Adat!$AG:$AG,CONCATENATE(61,Info!$D$5,"0940921",L2137),Adat!$E:$E)*-1</f>
        <v>0</v>
      </c>
      <c r="F2179" s="72">
        <f>SUMIF(Adat!$AG:$AG,CONCATENATE(60,Info!$D$5,"0940921",L2137),Adat!$E:$E)*-1+E2179</f>
        <v>0</v>
      </c>
      <c r="G2179" s="72">
        <f>SUMIF(Adat!$AH:$AH,CONCATENATE(Info!$D$5,"(KÖT)","0940921",L2137),Adat!$E:$E)*-1</f>
        <v>0</v>
      </c>
      <c r="H2179" s="72">
        <f>SUMIF(Adat!$AH:$AH,CONCATENATE(Info!$D$5,"(ÖNV)","0940921",L2137),Adat!$E:$E)*-1</f>
        <v>0</v>
      </c>
      <c r="I2179" s="72">
        <f>SUMIF(Adat!$AH:$AH,CONCATENATE(Info!$D$5,"(ÁIG)","0940921",L2137),Adat!$E:$E)*-1</f>
        <v>0</v>
      </c>
    </row>
    <row r="2180" spans="2:9" x14ac:dyDescent="0.2">
      <c r="B2180" s="160">
        <v>41</v>
      </c>
      <c r="C2180" s="305" t="s">
        <v>1296</v>
      </c>
      <c r="D2180" s="82" t="s">
        <v>1371</v>
      </c>
      <c r="E2180" s="72">
        <f>SUMIF(Adat!$AG:$AG,CONCATENATE(61,Info!$D$5,"094101",L2137),Adat!$E:$E)*-1</f>
        <v>0</v>
      </c>
      <c r="F2180" s="72">
        <f>SUMIF(Adat!$AG:$AG,CONCATENATE(60,Info!$D$5,"094101",L2137),Adat!$E:$E)*-1+E2180</f>
        <v>0</v>
      </c>
      <c r="G2180" s="72">
        <f>SUMIF(Adat!$AH:$AH,CONCATENATE(Info!$D$5,"(KÖT)","094101",L2137),Adat!$E:$E)*-1</f>
        <v>0</v>
      </c>
      <c r="H2180" s="72">
        <f>SUMIF(Adat!$AH:$AH,CONCATENATE(Info!$D$5,"(ÖNV)","094101",L2137),Adat!$E:$E)*-1</f>
        <v>0</v>
      </c>
      <c r="I2180" s="72">
        <f>SUMIF(Adat!$AH:$AH,CONCATENATE(Info!$D$5,"(ÁIG)","094101",L2137),Adat!$E:$E)*-1</f>
        <v>0</v>
      </c>
    </row>
    <row r="2181" spans="2:9" x14ac:dyDescent="0.25">
      <c r="B2181" s="160">
        <v>42</v>
      </c>
      <c r="C2181" s="305" t="s">
        <v>1297</v>
      </c>
      <c r="D2181" s="84" t="s">
        <v>1372</v>
      </c>
      <c r="E2181" s="72">
        <f>SUMIF(Adat!$AG:$AG,CONCATENATE(61,Info!$D$5,"094111",L2137),Adat!$E:$E)*-1</f>
        <v>0</v>
      </c>
      <c r="F2181" s="72">
        <f>SUMIF(Adat!$AG:$AG,CONCATENATE(60,Info!$D$5,"094111",L2137),Adat!$E:$E)*-1+E2181</f>
        <v>0</v>
      </c>
      <c r="G2181" s="72">
        <f>SUMIF(Adat!$AH:$AH,CONCATENATE(Info!$D$5,"(KÖT)","094111",L2137),Adat!$E:$E)*-1</f>
        <v>0</v>
      </c>
      <c r="H2181" s="72">
        <f>SUMIF(Adat!$AH:$AH,CONCATENATE(Info!$D$5,"(ÖNV)","094111",L2137),Adat!$E:$E)*-1</f>
        <v>0</v>
      </c>
      <c r="I2181" s="72">
        <f>SUMIF(Adat!$AH:$AH,CONCATENATE(Info!$D$5,"(ÁIG)","094111",L2137),Adat!$E:$E)*-1</f>
        <v>0</v>
      </c>
    </row>
    <row r="2182" spans="2:9" x14ac:dyDescent="0.25">
      <c r="B2182" s="160">
        <v>43</v>
      </c>
      <c r="C2182" s="79" t="s">
        <v>33</v>
      </c>
      <c r="D2182" s="79" t="s">
        <v>330</v>
      </c>
      <c r="E2182" s="71">
        <f>SUM(E2183:E2187)</f>
        <v>0</v>
      </c>
      <c r="F2182" s="71">
        <f>SUM(F2183:F2187)</f>
        <v>0</v>
      </c>
      <c r="G2182" s="71">
        <f>SUM(G2183:G2187)</f>
        <v>0</v>
      </c>
      <c r="H2182" s="71">
        <f>SUM(H2183:H2187)</f>
        <v>0</v>
      </c>
      <c r="I2182" s="71">
        <f>SUM(I2183:I2187)</f>
        <v>0</v>
      </c>
    </row>
    <row r="2183" spans="2:9" x14ac:dyDescent="0.2">
      <c r="B2183" s="160">
        <v>44</v>
      </c>
      <c r="C2183" s="305" t="s">
        <v>1373</v>
      </c>
      <c r="D2183" s="82" t="s">
        <v>1374</v>
      </c>
      <c r="E2183" s="72">
        <f>SUMIF(Adat!$AG:$AG,CONCATENATE(61,Info!$D$5,"09511",L2137),Adat!$E:$E)*-1</f>
        <v>0</v>
      </c>
      <c r="F2183" s="72">
        <f>SUMIF(Adat!$AG:$AG,CONCATENATE(60,Info!$D$5,"09511",L2137),Adat!$E:$E)*-1+E2183</f>
        <v>0</v>
      </c>
      <c r="G2183" s="72">
        <f>SUMIF(Adat!$AH:$AH,CONCATENATE(Info!$D$5,"(KÖT)","09511",L2137),Adat!$E:$E)*-1</f>
        <v>0</v>
      </c>
      <c r="H2183" s="72">
        <f>SUMIF(Adat!$AH:$AH,CONCATENATE(Info!$D$5,"(ÖNV)","09511",L2137),Adat!$E:$E)*-1</f>
        <v>0</v>
      </c>
      <c r="I2183" s="72">
        <f>SUMIF(Adat!$AH:$AH,CONCATENATE(Info!$D$5,"(ÁIG)","09511",L2137),Adat!$E:$E)*-1</f>
        <v>0</v>
      </c>
    </row>
    <row r="2184" spans="2:9" x14ac:dyDescent="0.2">
      <c r="B2184" s="160">
        <v>45</v>
      </c>
      <c r="C2184" s="305" t="s">
        <v>1294</v>
      </c>
      <c r="D2184" s="82" t="s">
        <v>1375</v>
      </c>
      <c r="E2184" s="72">
        <f>SUMIF(Adat!$AG:$AG,CONCATENATE(61,Info!$D$5,"09521",L2137),Adat!$E:$E)*-1</f>
        <v>0</v>
      </c>
      <c r="F2184" s="72">
        <f>SUMIF(Adat!$AG:$AG,CONCATENATE(60,Info!$D$5,"09521",L2137),Adat!$E:$E)*-1+E2184</f>
        <v>0</v>
      </c>
      <c r="G2184" s="72">
        <f>SUMIF(Adat!$AH:$AH,CONCATENATE(Info!$D$5,"(KÖT)","09521",L2137),Adat!$E:$E)*-1</f>
        <v>0</v>
      </c>
      <c r="H2184" s="72">
        <f>SUMIF(Adat!$AH:$AH,CONCATENATE(Info!$D$5,"(ÖNV)","09521",L2137),Adat!$E:$E)*-1</f>
        <v>0</v>
      </c>
      <c r="I2184" s="72">
        <f>SUMIF(Adat!$AH:$AH,CONCATENATE(Info!$D$5,"(ÁIG)","09521",L2137),Adat!$E:$E)*-1</f>
        <v>0</v>
      </c>
    </row>
    <row r="2185" spans="2:9" x14ac:dyDescent="0.2">
      <c r="B2185" s="160">
        <v>46</v>
      </c>
      <c r="C2185" s="305" t="s">
        <v>1376</v>
      </c>
      <c r="D2185" s="82" t="s">
        <v>1377</v>
      </c>
      <c r="E2185" s="72">
        <f>SUMIF(Adat!$AG:$AG,CONCATENATE(61,Info!$D$5,"09531",L2137),Adat!$E:$E)*-1</f>
        <v>0</v>
      </c>
      <c r="F2185" s="72">
        <f>SUMIF(Adat!$AG:$AG,CONCATENATE(60,Info!$D$5,"09531",L2137),Adat!$E:$E)*-1+E2185</f>
        <v>0</v>
      </c>
      <c r="G2185" s="72">
        <f>SUMIF(Adat!$AH:$AH,CONCATENATE(Info!$D$5,"(KÖT)","09531",L2137),Adat!$E:$E)*-1</f>
        <v>0</v>
      </c>
      <c r="H2185" s="72">
        <f>SUMIF(Adat!$AH:$AH,CONCATENATE(Info!$D$5,"(ÖNV)","09531",L2137),Adat!$E:$E)*-1</f>
        <v>0</v>
      </c>
      <c r="I2185" s="72">
        <f>SUMIF(Adat!$AH:$AH,CONCATENATE(Info!$D$5,"(ÁIG)","09531",L2137),Adat!$E:$E)*-1</f>
        <v>0</v>
      </c>
    </row>
    <row r="2186" spans="2:9" x14ac:dyDescent="0.2">
      <c r="B2186" s="160">
        <v>47</v>
      </c>
      <c r="C2186" s="305" t="s">
        <v>1378</v>
      </c>
      <c r="D2186" s="82" t="s">
        <v>1379</v>
      </c>
      <c r="E2186" s="72">
        <f>SUMIF(Adat!$AG:$AG,CONCATENATE(61,Info!$D$5,"09541",L2137),Adat!$E:$E)*-1</f>
        <v>0</v>
      </c>
      <c r="F2186" s="72">
        <f>SUMIF(Adat!$AG:$AG,CONCATENATE(60,Info!$D$5,"09541",L2137),Adat!$E:$E)*-1+E2186</f>
        <v>0</v>
      </c>
      <c r="G2186" s="72">
        <f>SUMIF(Adat!$AH:$AH,CONCATENATE(Info!$D$5,"(KÖT)","09541",L2137),Adat!$E:$E)*-1</f>
        <v>0</v>
      </c>
      <c r="H2186" s="72">
        <f>SUMIF(Adat!$AH:$AH,CONCATENATE(Info!$D$5,"(ÖNV)","09541",L2137),Adat!$E:$E)*-1</f>
        <v>0</v>
      </c>
      <c r="I2186" s="72">
        <f>SUMIF(Adat!$AH:$AH,CONCATENATE(Info!$D$5,"(ÁIG)","09541",L2137),Adat!$E:$E)*-1</f>
        <v>0</v>
      </c>
    </row>
    <row r="2187" spans="2:9" x14ac:dyDescent="0.25">
      <c r="B2187" s="160">
        <v>48</v>
      </c>
      <c r="C2187" s="305" t="s">
        <v>1380</v>
      </c>
      <c r="D2187" s="84" t="s">
        <v>1381</v>
      </c>
      <c r="E2187" s="72">
        <f>SUMIF(Adat!$AG:$AG,CONCATENATE(61,Info!$D$5,"09551",L2137),Adat!$E:$E)*-1</f>
        <v>0</v>
      </c>
      <c r="F2187" s="72">
        <f>SUMIF(Adat!$AG:$AG,CONCATENATE(60,Info!$D$5,"09551",L2137),Adat!$E:$E)*-1+E2187</f>
        <v>0</v>
      </c>
      <c r="G2187" s="72">
        <f>SUMIF(Adat!$AH:$AH,CONCATENATE(Info!$D$5,"(KÖT)","09551",L2137),Adat!$E:$E)*-1</f>
        <v>0</v>
      </c>
      <c r="H2187" s="72">
        <f>SUMIF(Adat!$AH:$AH,CONCATENATE(Info!$D$5,"(ÖNV)","09551",L2137),Adat!$E:$E)*-1</f>
        <v>0</v>
      </c>
      <c r="I2187" s="72">
        <f>SUMIF(Adat!$AH:$AH,CONCATENATE(Info!$D$5,"(ÁIG)","09551",L2137),Adat!$E:$E)*-1</f>
        <v>0</v>
      </c>
    </row>
    <row r="2188" spans="2:9" x14ac:dyDescent="0.25">
      <c r="B2188" s="160">
        <v>49</v>
      </c>
      <c r="C2188" s="79" t="s">
        <v>36</v>
      </c>
      <c r="D2188" s="79" t="s">
        <v>331</v>
      </c>
      <c r="E2188" s="71">
        <f>SUM(E2189:E2193)</f>
        <v>0</v>
      </c>
      <c r="F2188" s="71">
        <f t="shared" ref="F2188:I2188" si="231">SUM(F2189:F2193)</f>
        <v>0</v>
      </c>
      <c r="G2188" s="71">
        <f t="shared" si="231"/>
        <v>0</v>
      </c>
      <c r="H2188" s="71">
        <f t="shared" si="231"/>
        <v>0</v>
      </c>
      <c r="I2188" s="71">
        <f t="shared" si="231"/>
        <v>0</v>
      </c>
    </row>
    <row r="2189" spans="2:9" x14ac:dyDescent="0.2">
      <c r="B2189" s="160">
        <v>50</v>
      </c>
      <c r="C2189" s="305" t="s">
        <v>1382</v>
      </c>
      <c r="D2189" s="82" t="s">
        <v>1383</v>
      </c>
      <c r="E2189" s="72">
        <f>SUMIF(Adat!$AG:$AG,CONCATENATE(61,Info!$D$5,"09611",L2137),Adat!$E:$E)*-1</f>
        <v>0</v>
      </c>
      <c r="F2189" s="72">
        <f>SUMIF(Adat!$AG:$AG,CONCATENATE(60,Info!$D$5,"09611",L2137),Adat!$E:$E)*-1+E2189</f>
        <v>0</v>
      </c>
      <c r="G2189" s="72">
        <f>SUMIF(Adat!$AH:$AH,CONCATENATE(Info!$D$5,"(KÖT)","09611",L2137),Adat!$E:$E)*-1</f>
        <v>0</v>
      </c>
      <c r="H2189" s="72">
        <f>SUMIF(Adat!$AH:$AH,CONCATENATE(Info!$D$5,"(ÖNV)","09611",L2137),Adat!$E:$E)*-1</f>
        <v>0</v>
      </c>
      <c r="I2189" s="72">
        <f>SUMIF(Adat!$AH:$AH,CONCATENATE(Info!$D$5,"(ÁIG)","09611",L2137),Adat!$E:$E)*-1</f>
        <v>0</v>
      </c>
    </row>
    <row r="2190" spans="2:9" x14ac:dyDescent="0.2">
      <c r="B2190" s="160">
        <v>51</v>
      </c>
      <c r="C2190" s="305" t="s">
        <v>1384</v>
      </c>
      <c r="D2190" s="82" t="s">
        <v>1385</v>
      </c>
      <c r="E2190" s="72">
        <f>SUMIF(Adat!$AG:$AG,CONCATENATE(61,Info!$D$5,"09621",L2137),Adat!$E:$E)*-1</f>
        <v>0</v>
      </c>
      <c r="F2190" s="72">
        <f>SUMIF(Adat!$AG:$AG,CONCATENATE(60,Info!$D$5,"09621",L2137),Adat!$E:$E)*-1+E2190</f>
        <v>0</v>
      </c>
      <c r="G2190" s="72">
        <f>SUMIF(Adat!$AH:$AH,CONCATENATE(Info!$D$5,"(KÖT)","09621",L2137),Adat!$E:$E)*-1</f>
        <v>0</v>
      </c>
      <c r="H2190" s="72">
        <f>SUMIF(Adat!$AH:$AH,CONCATENATE(Info!$D$5,"(ÖNV)","09621",L2137),Adat!$E:$E)*-1</f>
        <v>0</v>
      </c>
      <c r="I2190" s="72">
        <f>SUMIF(Adat!$AH:$AH,CONCATENATE(Info!$D$5,"(ÁIG)","09621",L2137),Adat!$E:$E)*-1</f>
        <v>0</v>
      </c>
    </row>
    <row r="2191" spans="2:9" x14ac:dyDescent="0.2">
      <c r="B2191" s="160">
        <v>52</v>
      </c>
      <c r="C2191" s="305" t="s">
        <v>1386</v>
      </c>
      <c r="D2191" s="82" t="s">
        <v>1387</v>
      </c>
      <c r="E2191" s="72">
        <f>SUMIF(Adat!$AG:$AG,CONCATENATE(61,Info!$D$5,"09631",L2137),Adat!$E:$E)*-1</f>
        <v>0</v>
      </c>
      <c r="F2191" s="72">
        <f>SUMIF(Adat!$AG:$AG,CONCATENATE(60,Info!$D$5,"09631",L2137),Adat!$E:$E)*-1+E2191</f>
        <v>0</v>
      </c>
      <c r="G2191" s="72">
        <f>SUMIF(Adat!$AH:$AH,CONCATENATE(Info!$D$5,"(KÖT)","09631",L2137),Adat!$E:$E)*-1</f>
        <v>0</v>
      </c>
      <c r="H2191" s="72">
        <f>SUMIF(Adat!$AH:$AH,CONCATENATE(Info!$D$5,"(ÖNV)","09631",L2137),Adat!$E:$E)*-1</f>
        <v>0</v>
      </c>
      <c r="I2191" s="72">
        <f>SUMIF(Adat!$AH:$AH,CONCATENATE(Info!$D$5,"(ÁIG)","09631",L2137),Adat!$E:$E)*-1</f>
        <v>0</v>
      </c>
    </row>
    <row r="2192" spans="2:9" x14ac:dyDescent="0.2">
      <c r="B2192" s="160">
        <v>53</v>
      </c>
      <c r="C2192" s="305" t="s">
        <v>1388</v>
      </c>
      <c r="D2192" s="82" t="s">
        <v>1389</v>
      </c>
      <c r="E2192" s="72">
        <f>SUMIF(Adat!$AG:$AG,CONCATENATE(61,Info!$D$5,"09641",L2137),Adat!$E:$E)*-1</f>
        <v>0</v>
      </c>
      <c r="F2192" s="72">
        <f>SUMIF(Adat!$AG:$AG,CONCATENATE(60,Info!$D$5,"09641",L2137),Adat!$E:$E)*-1+E2192</f>
        <v>0</v>
      </c>
      <c r="G2192" s="72">
        <f>SUMIF(Adat!$AH:$AH,CONCATENATE(Info!$D$5,"(KÖT)","09641",L2137),Adat!$E:$E)*-1</f>
        <v>0</v>
      </c>
      <c r="H2192" s="72">
        <f>SUMIF(Adat!$AH:$AH,CONCATENATE(Info!$D$5,"(ÖNV)","09641",L2137),Adat!$E:$E)*-1</f>
        <v>0</v>
      </c>
      <c r="I2192" s="72">
        <f>SUMIF(Adat!$AH:$AH,CONCATENATE(Info!$D$5,"(ÁIG)","09641",L2137),Adat!$E:$E)*-1</f>
        <v>0</v>
      </c>
    </row>
    <row r="2193" spans="2:9" x14ac:dyDescent="0.2">
      <c r="B2193" s="160">
        <v>54</v>
      </c>
      <c r="C2193" s="305" t="s">
        <v>1310</v>
      </c>
      <c r="D2193" s="82" t="s">
        <v>1390</v>
      </c>
      <c r="E2193" s="72">
        <f>SUMIF(Adat!$AG:$AG,CONCATENATE(61,Info!$D$5,"09651",L2137),Adat!$E:$E)*-1</f>
        <v>0</v>
      </c>
      <c r="F2193" s="72">
        <f>SUMIF(Adat!$AG:$AG,CONCATENATE(60,Info!$D$5,"09651",L2137),Adat!$E:$E)*-1+E2193</f>
        <v>0</v>
      </c>
      <c r="G2193" s="72">
        <f>SUMIF(Adat!$AH:$AH,CONCATENATE(Info!$D$5,"(KÖT)","09651",L2137),Adat!$E:$E)*-1</f>
        <v>0</v>
      </c>
      <c r="H2193" s="72">
        <f>SUMIF(Adat!$AH:$AH,CONCATENATE(Info!$D$5,"(ÖNV)","09651",L2137),Adat!$E:$E)*-1</f>
        <v>0</v>
      </c>
      <c r="I2193" s="72">
        <f>SUMIF(Adat!$AH:$AH,CONCATENATE(Info!$D$5,"(ÁIG)","09651",L2137),Adat!$E:$E)*-1</f>
        <v>0</v>
      </c>
    </row>
    <row r="2194" spans="2:9" x14ac:dyDescent="0.25">
      <c r="B2194" s="160">
        <v>55</v>
      </c>
      <c r="C2194" s="79" t="s">
        <v>38</v>
      </c>
      <c r="D2194" s="85" t="s">
        <v>332</v>
      </c>
      <c r="E2194" s="71">
        <f>SUM(E2195:E2199)</f>
        <v>0</v>
      </c>
      <c r="F2194" s="71">
        <f t="shared" ref="F2194:I2194" si="232">SUM(F2195:F2199)</f>
        <v>0</v>
      </c>
      <c r="G2194" s="71">
        <f t="shared" si="232"/>
        <v>0</v>
      </c>
      <c r="H2194" s="71">
        <f t="shared" si="232"/>
        <v>0</v>
      </c>
      <c r="I2194" s="71">
        <f t="shared" si="232"/>
        <v>0</v>
      </c>
    </row>
    <row r="2195" spans="2:9" x14ac:dyDescent="0.2">
      <c r="B2195" s="160">
        <v>56</v>
      </c>
      <c r="C2195" s="305" t="s">
        <v>1391</v>
      </c>
      <c r="D2195" s="82" t="s">
        <v>1392</v>
      </c>
      <c r="E2195" s="72">
        <f>SUMIF(Adat!$AG:$AG,CONCATENATE(61,Info!$D$5,"09711",L2137),Adat!$E:$E)*-1</f>
        <v>0</v>
      </c>
      <c r="F2195" s="72">
        <f>SUMIF(Adat!$AG:$AG,CONCATENATE(60,Info!$D$5,"09711",L2137),Adat!$E:$E)*-1+E2195</f>
        <v>0</v>
      </c>
      <c r="G2195" s="72">
        <f>SUMIF(Adat!$AH:$AH,CONCATENATE(Info!$D$5,"(KÖT)","09711",L2137),Adat!$E:$E)*-1</f>
        <v>0</v>
      </c>
      <c r="H2195" s="72">
        <f>SUMIF(Adat!$AH:$AH,CONCATENATE(Info!$D$5,"(ÖNV)","09711",L2137),Adat!$E:$E)*-1</f>
        <v>0</v>
      </c>
      <c r="I2195" s="72">
        <f>SUMIF(Adat!$AH:$AH,CONCATENATE(Info!$D$5,"(ÁIG)","09711",L2137),Adat!$E:$E)*-1</f>
        <v>0</v>
      </c>
    </row>
    <row r="2196" spans="2:9" x14ac:dyDescent="0.2">
      <c r="B2196" s="160">
        <v>57</v>
      </c>
      <c r="C2196" s="305" t="s">
        <v>1393</v>
      </c>
      <c r="D2196" s="82" t="s">
        <v>1394</v>
      </c>
      <c r="E2196" s="72">
        <f>SUMIF(Adat!$AG:$AG,CONCATENATE(61,Info!$D$5,"09721",L2137),Adat!$E:$E)*-1</f>
        <v>0</v>
      </c>
      <c r="F2196" s="72">
        <f>SUMIF(Adat!$AG:$AG,CONCATENATE(60,Info!$D$5,"09721",L2137),Adat!$E:$E)*-1+E2196</f>
        <v>0</v>
      </c>
      <c r="G2196" s="72">
        <f>SUMIF(Adat!$AH:$AH,CONCATENATE(Info!$D$5,"(KÖT)","09721",L2137),Adat!$E:$E)*-1</f>
        <v>0</v>
      </c>
      <c r="H2196" s="72">
        <f>SUMIF(Adat!$AH:$AH,CONCATENATE(Info!$D$5,"(ÖNV)","09721",L2137),Adat!$E:$E)*-1</f>
        <v>0</v>
      </c>
      <c r="I2196" s="72">
        <f>SUMIF(Adat!$AH:$AH,CONCATENATE(Info!$D$5,"(ÁIG)","09721",L2137),Adat!$E:$E)*-1</f>
        <v>0</v>
      </c>
    </row>
    <row r="2197" spans="2:9" x14ac:dyDescent="0.2">
      <c r="B2197" s="160">
        <v>58</v>
      </c>
      <c r="C2197" s="305" t="s">
        <v>1395</v>
      </c>
      <c r="D2197" s="82" t="s">
        <v>1396</v>
      </c>
      <c r="E2197" s="72">
        <f>SUMIF(Adat!$AG:$AG,CONCATENATE(61,Info!$D$5,"09731",L2137),Adat!$E:$E)*-1</f>
        <v>0</v>
      </c>
      <c r="F2197" s="72">
        <f>SUMIF(Adat!$AG:$AG,CONCATENATE(60,Info!$D$5,"09731",L2137),Adat!$E:$E)*-1+E2197</f>
        <v>0</v>
      </c>
      <c r="G2197" s="72">
        <f>SUMIF(Adat!$AH:$AH,CONCATENATE(Info!$D$5,"(KÖT)","09731",L2137),Adat!$E:$E)*-1</f>
        <v>0</v>
      </c>
      <c r="H2197" s="72">
        <f>SUMIF(Adat!$AH:$AH,CONCATENATE(Info!$D$5,"(ÖNV)","09731",L2137),Adat!$E:$E)*-1</f>
        <v>0</v>
      </c>
      <c r="I2197" s="72">
        <f>SUMIF(Adat!$AH:$AH,CONCATENATE(Info!$D$5,"(ÁIG)","09731",L2137),Adat!$E:$E)*-1</f>
        <v>0</v>
      </c>
    </row>
    <row r="2198" spans="2:9" x14ac:dyDescent="0.2">
      <c r="B2198" s="160">
        <v>59</v>
      </c>
      <c r="C2198" s="305" t="s">
        <v>1397</v>
      </c>
      <c r="D2198" s="82" t="s">
        <v>1398</v>
      </c>
      <c r="E2198" s="72">
        <f>SUMIF(Adat!$AG:$AG,CONCATENATE(61,Info!$D$5,"09741",L2137),Adat!$E:$E)*-1</f>
        <v>0</v>
      </c>
      <c r="F2198" s="72">
        <f>SUMIF(Adat!$AG:$AG,CONCATENATE(60,Info!$D$5,"09741",L2137),Adat!$E:$E)*-1+E2198</f>
        <v>0</v>
      </c>
      <c r="G2198" s="72">
        <f>SUMIF(Adat!$AH:$AH,CONCATENATE(Info!$D$5,"(KÖT)","09741",L2137),Adat!$E:$E)*-1</f>
        <v>0</v>
      </c>
      <c r="H2198" s="72">
        <f>SUMIF(Adat!$AH:$AH,CONCATENATE(Info!$D$5,"(ÖNV)","09741",L2137),Adat!$E:$E)*-1</f>
        <v>0</v>
      </c>
      <c r="I2198" s="72">
        <f>SUMIF(Adat!$AH:$AH,CONCATENATE(Info!$D$5,"(ÁIG)","09741",L2137),Adat!$E:$E)*-1</f>
        <v>0</v>
      </c>
    </row>
    <row r="2199" spans="2:9" x14ac:dyDescent="0.25">
      <c r="B2199" s="160">
        <v>60</v>
      </c>
      <c r="C2199" s="305" t="s">
        <v>1399</v>
      </c>
      <c r="D2199" s="84" t="s">
        <v>1400</v>
      </c>
      <c r="E2199" s="72">
        <f>SUMIF(Adat!$AG:$AG,CONCATENATE(61,Info!$D$5,"09751",L2137),Adat!$E:$E)*-1</f>
        <v>0</v>
      </c>
      <c r="F2199" s="72">
        <f>SUMIF(Adat!$AG:$AG,CONCATENATE(60,Info!$D$5,"09751",L2137),Adat!$E:$E)*-1+E2199</f>
        <v>0</v>
      </c>
      <c r="G2199" s="72">
        <f>SUMIF(Adat!$AH:$AH,CONCATENATE(Info!$D$5,"(KÖT)","09751",L2137),Adat!$E:$E)*-1</f>
        <v>0</v>
      </c>
      <c r="H2199" s="72">
        <f>SUMIF(Adat!$AH:$AH,CONCATENATE(Info!$D$5,"(ÖNV)","09751",L2137),Adat!$E:$E)*-1</f>
        <v>0</v>
      </c>
      <c r="I2199" s="72">
        <f>SUMIF(Adat!$AH:$AH,CONCATENATE(Info!$D$5,"(ÁIG)","09751",L2137),Adat!$E:$E)*-1</f>
        <v>0</v>
      </c>
    </row>
    <row r="2200" spans="2:9" x14ac:dyDescent="0.25">
      <c r="B2200" s="160">
        <v>61</v>
      </c>
      <c r="C2200" s="78" t="s">
        <v>352</v>
      </c>
      <c r="D2200" s="86" t="s">
        <v>1401</v>
      </c>
      <c r="E2200" s="71">
        <f>+E2141+E2149+E2155+E2161+E2168+E2182+E2188+E2194</f>
        <v>0</v>
      </c>
      <c r="F2200" s="71">
        <f>+F2141+F2149+F2155+F2161+F2168+F2182+F2188+F2194</f>
        <v>0</v>
      </c>
      <c r="G2200" s="71">
        <f>+G2141+G2149+G2155+G2161+G2168+G2182+G2188+G2194</f>
        <v>0</v>
      </c>
      <c r="H2200" s="71">
        <f>+H2141+H2149+H2155+H2161+H2168+H2182+H2188+H2194</f>
        <v>0</v>
      </c>
      <c r="I2200" s="71">
        <f>+I2141+I2149+I2155+I2161+I2168+I2182+I2188+I2194</f>
        <v>0</v>
      </c>
    </row>
    <row r="2201" spans="2:9" x14ac:dyDescent="0.25">
      <c r="B2201" s="160">
        <v>62</v>
      </c>
      <c r="C2201" s="154" t="s">
        <v>1402</v>
      </c>
      <c r="D2201" s="85" t="s">
        <v>1403</v>
      </c>
      <c r="E2201" s="71">
        <f t="shared" ref="E2201:G2201" si="233">SUM(E2202:E2204)</f>
        <v>0</v>
      </c>
      <c r="F2201" s="71">
        <f t="shared" si="233"/>
        <v>0</v>
      </c>
      <c r="G2201" s="71">
        <f t="shared" si="233"/>
        <v>0</v>
      </c>
      <c r="H2201" s="71">
        <f>SUM(H2202:H2204)</f>
        <v>0</v>
      </c>
      <c r="I2201" s="71">
        <f>SUM(I2202:I2204)</f>
        <v>0</v>
      </c>
    </row>
    <row r="2202" spans="2:9" x14ac:dyDescent="0.2">
      <c r="B2202" s="160">
        <v>63</v>
      </c>
      <c r="C2202" s="305" t="s">
        <v>1404</v>
      </c>
      <c r="D2202" s="82" t="s">
        <v>1405</v>
      </c>
      <c r="E2202" s="72">
        <f>SUMIF(Adat!$AG:$AG,CONCATENATE(61,Info!$D$5,"0981111",L2137),Adat!$E:$E)*-1</f>
        <v>0</v>
      </c>
      <c r="F2202" s="72">
        <f>SUMIF(Adat!$AG:$AG,CONCATENATE(60,Info!$D$5,"0981111",L2137),Adat!$E:$E)*-1+E2202</f>
        <v>0</v>
      </c>
      <c r="G2202" s="72">
        <f>SUMIF(Adat!$AH:$AH,CONCATENATE(Info!$D$5,"(KÖT)","0981111",L2137),Adat!$E:$E)*-1</f>
        <v>0</v>
      </c>
      <c r="H2202" s="72">
        <f>SUMIF(Adat!$AH:$AH,CONCATENATE(Info!$D$5,"(ÖNV)","0981111",L2137),Adat!$E:$E)*-1</f>
        <v>0</v>
      </c>
      <c r="I2202" s="72">
        <f>SUMIF(Adat!$AH:$AH,CONCATENATE(Info!$D$5,"(ÁIG)","0981111",L2137),Adat!$E:$E)*-1</f>
        <v>0</v>
      </c>
    </row>
    <row r="2203" spans="2:9" x14ac:dyDescent="0.2">
      <c r="B2203" s="160">
        <v>64</v>
      </c>
      <c r="C2203" s="305" t="s">
        <v>1406</v>
      </c>
      <c r="D2203" s="82" t="s">
        <v>1407</v>
      </c>
      <c r="E2203" s="72">
        <f>SUMIF(Adat!$AG:$AG,CONCATENATE(61,Info!$D$5,"0981121",L2137),Adat!$E:$E)*-1</f>
        <v>0</v>
      </c>
      <c r="F2203" s="72">
        <f>SUMIF(Adat!$AG:$AG,CONCATENATE(60,Info!$D$5,"0981121",L2137),Adat!$E:$E)*-1+E2203</f>
        <v>0</v>
      </c>
      <c r="G2203" s="72">
        <f>SUMIF(Adat!$AH:$AH,CONCATENATE(Info!$D$5,"(KÖT)","0981121",L2137),Adat!$E:$E)*-1</f>
        <v>0</v>
      </c>
      <c r="H2203" s="72">
        <f>SUMIF(Adat!$AH:$AH,CONCATENATE(Info!$D$5,"(ÖNV)","0981121",L2137),Adat!$E:$E)*-1</f>
        <v>0</v>
      </c>
      <c r="I2203" s="72">
        <f>SUMIF(Adat!$AH:$AH,CONCATENATE(Info!$D$5,"(ÁIG)","0981121",L2137),Adat!$E:$E)*-1</f>
        <v>0</v>
      </c>
    </row>
    <row r="2204" spans="2:9" x14ac:dyDescent="0.2">
      <c r="B2204" s="160">
        <v>65</v>
      </c>
      <c r="C2204" s="305" t="s">
        <v>1408</v>
      </c>
      <c r="D2204" s="82" t="s">
        <v>1409</v>
      </c>
      <c r="E2204" s="72">
        <f>SUMIF(Adat!$AG:$AG,CONCATENATE(61,Info!$D$5,"0981131",L2137),Adat!$E:$E)*-1</f>
        <v>0</v>
      </c>
      <c r="F2204" s="72">
        <f>SUMIF(Adat!$AG:$AG,CONCATENATE(60,Info!$D$5,"0981131",L2137),Adat!$E:$E)*-1+E2204</f>
        <v>0</v>
      </c>
      <c r="G2204" s="72">
        <f>SUMIF(Adat!$AH:$AH,CONCATENATE(Info!$D$5,"(KÖT)","0981131",L2137),Adat!$E:$E)*-1</f>
        <v>0</v>
      </c>
      <c r="H2204" s="72">
        <f>SUMIF(Adat!$AH:$AH,CONCATENATE(Info!$D$5,"(ÖNV)","0981131",L2137),Adat!$E:$E)*-1</f>
        <v>0</v>
      </c>
      <c r="I2204" s="72">
        <f>SUMIF(Adat!$AH:$AH,CONCATENATE(Info!$D$5,"(ÁIG)","0981131",L2137),Adat!$E:$E)*-1</f>
        <v>0</v>
      </c>
    </row>
    <row r="2205" spans="2:9" x14ac:dyDescent="0.25">
      <c r="B2205" s="160">
        <v>66</v>
      </c>
      <c r="C2205" s="154" t="s">
        <v>1410</v>
      </c>
      <c r="D2205" s="85" t="s">
        <v>574</v>
      </c>
      <c r="E2205" s="71">
        <f>SUM(E2206:E2209)</f>
        <v>0</v>
      </c>
      <c r="F2205" s="71">
        <f t="shared" ref="F2205" si="234">SUM(F2206:F2209)</f>
        <v>0</v>
      </c>
      <c r="G2205" s="71">
        <f>SUM(G2206:G2209)</f>
        <v>0</v>
      </c>
      <c r="H2205" s="71">
        <f>SUM(H2206:H2209)</f>
        <v>0</v>
      </c>
      <c r="I2205" s="71">
        <f>SUM(I2206:I2209)</f>
        <v>0</v>
      </c>
    </row>
    <row r="2206" spans="2:9" x14ac:dyDescent="0.2">
      <c r="B2206" s="160">
        <v>67</v>
      </c>
      <c r="C2206" s="305" t="s">
        <v>1411</v>
      </c>
      <c r="D2206" s="82" t="s">
        <v>1412</v>
      </c>
      <c r="E2206" s="72">
        <f>SUMIF(Adat!$AG:$AG,CONCATENATE(61,Info!$D$5,"0981211",L2137),Adat!$E:$E)*-1</f>
        <v>0</v>
      </c>
      <c r="F2206" s="72">
        <f>SUMIF(Adat!$AG:$AG,CONCATENATE(60,Info!$D$5,"0981211",L2137),Adat!$E:$E)*-1+E2206</f>
        <v>0</v>
      </c>
      <c r="G2206" s="72">
        <f>SUMIF(Adat!$AH:$AH,CONCATENATE(Info!$D$5,"(KÖT)","0981211",L2137),Adat!$E:$E)*-1</f>
        <v>0</v>
      </c>
      <c r="H2206" s="72">
        <f>SUMIF(Adat!$AH:$AH,CONCATENATE(Info!$D$5,"(ÖNV)","0981211",L2137),Adat!$E:$E)*-1</f>
        <v>0</v>
      </c>
      <c r="I2206" s="72">
        <f>SUMIF(Adat!$AH:$AH,CONCATENATE(Info!$D$5,"(ÁIG)","0981211",L2137),Adat!$E:$E)*-1</f>
        <v>0</v>
      </c>
    </row>
    <row r="2207" spans="2:9" x14ac:dyDescent="0.2">
      <c r="B2207" s="160">
        <v>68</v>
      </c>
      <c r="C2207" s="305" t="s">
        <v>1413</v>
      </c>
      <c r="D2207" s="82" t="s">
        <v>1414</v>
      </c>
      <c r="E2207" s="72">
        <f>SUMIF(Adat!$AG:$AG,CONCATENATE(61,Info!$D$5,"0981221",L2137),Adat!$E:$E)*-1</f>
        <v>0</v>
      </c>
      <c r="F2207" s="72">
        <f>SUMIF(Adat!$AG:$AG,CONCATENATE(60,Info!$D$5,"0981221",L2137),Adat!$E:$E)*-1+E2207</f>
        <v>0</v>
      </c>
      <c r="G2207" s="72">
        <f>SUMIF(Adat!$AH:$AH,CONCATENATE(Info!$D$5,"(KÖT)","0981221",L2137),Adat!$E:$E)*-1</f>
        <v>0</v>
      </c>
      <c r="H2207" s="72">
        <f>SUMIF(Adat!$AH:$AH,CONCATENATE(Info!$D$5,"(ÖNV)","0981221",L2137),Adat!$E:$E)*-1</f>
        <v>0</v>
      </c>
      <c r="I2207" s="72">
        <f>SUMIF(Adat!$AH:$AH,CONCATENATE(Info!$D$5,"(ÁIG)","0981221",L2137),Adat!$E:$E)*-1</f>
        <v>0</v>
      </c>
    </row>
    <row r="2208" spans="2:9" x14ac:dyDescent="0.2">
      <c r="B2208" s="160">
        <v>69</v>
      </c>
      <c r="C2208" s="305" t="s">
        <v>1313</v>
      </c>
      <c r="D2208" s="82" t="s">
        <v>1415</v>
      </c>
      <c r="E2208" s="72">
        <f>SUMIF(Adat!$AG:$AG,CONCATENATE(61,Info!$D$5,"0981231",L2137),Adat!$E:$E)*-1</f>
        <v>0</v>
      </c>
      <c r="F2208" s="72">
        <f>SUMIF(Adat!$AG:$AG,CONCATENATE(60,Info!$D$5,"0981231",L2137),Adat!$E:$E)*-1+E2208</f>
        <v>0</v>
      </c>
      <c r="G2208" s="72">
        <f>SUMIF(Adat!$AH:$AH,CONCATENATE(Info!$D$5,"(KÖT)","0981231",L2137),Adat!$E:$E)*-1</f>
        <v>0</v>
      </c>
      <c r="H2208" s="72">
        <f>SUMIF(Adat!$AH:$AH,CONCATENATE(Info!$D$5,"(ÖNV)","0981231",L2137),Adat!$E:$E)*-1</f>
        <v>0</v>
      </c>
      <c r="I2208" s="72">
        <f>SUMIF(Adat!$AH:$AH,CONCATENATE(Info!$D$5,"(ÁIG)","0981231",L2137),Adat!$E:$E)*-1</f>
        <v>0</v>
      </c>
    </row>
    <row r="2209" spans="2:9" x14ac:dyDescent="0.25">
      <c r="B2209" s="160">
        <v>70</v>
      </c>
      <c r="C2209" s="305" t="s">
        <v>1416</v>
      </c>
      <c r="D2209" s="84" t="s">
        <v>1417</v>
      </c>
      <c r="E2209" s="72">
        <f>SUMIF(Adat!$AG:$AG,CONCATENATE(61,Info!$D$5,"0981241",L2137),Adat!$E:$E)*-1</f>
        <v>0</v>
      </c>
      <c r="F2209" s="72">
        <f>SUMIF(Adat!$AG:$AG,CONCATENATE(60,Info!$D$5,"0981241",L2137),Adat!$E:$E)*-1+E2209</f>
        <v>0</v>
      </c>
      <c r="G2209" s="72">
        <f>SUMIF(Adat!$AH:$AH,CONCATENATE(Info!$D$5,"(KÖT)","0981241",L2137),Adat!$E:$E)*-1</f>
        <v>0</v>
      </c>
      <c r="H2209" s="72">
        <f>SUMIF(Adat!$AH:$AH,CONCATENATE(Info!$D$5,"(ÖNV)","0981241",L2137),Adat!$E:$E)*-1</f>
        <v>0</v>
      </c>
      <c r="I2209" s="72">
        <f>SUMIF(Adat!$AH:$AH,CONCATENATE(Info!$D$5,"(ÁIG)","0981241",L2137),Adat!$E:$E)*-1</f>
        <v>0</v>
      </c>
    </row>
    <row r="2210" spans="2:9" x14ac:dyDescent="0.25">
      <c r="B2210" s="160">
        <v>71</v>
      </c>
      <c r="C2210" s="154" t="s">
        <v>1418</v>
      </c>
      <c r="D2210" s="85" t="s">
        <v>575</v>
      </c>
      <c r="E2210" s="71">
        <f>SUM(E2211:E2212)</f>
        <v>0</v>
      </c>
      <c r="F2210" s="71">
        <f t="shared" ref="F2210" si="235">SUM(F2211:F2212)</f>
        <v>0</v>
      </c>
      <c r="G2210" s="71">
        <f>SUM(G2211:G2212)</f>
        <v>0</v>
      </c>
      <c r="H2210" s="71">
        <f>SUM(H2211:H2212)</f>
        <v>0</v>
      </c>
      <c r="I2210" s="71">
        <f>SUM(I2211:I2212)</f>
        <v>0</v>
      </c>
    </row>
    <row r="2211" spans="2:9" x14ac:dyDescent="0.2">
      <c r="B2211" s="160">
        <v>72</v>
      </c>
      <c r="C2211" s="305" t="s">
        <v>1274</v>
      </c>
      <c r="D2211" s="82" t="s">
        <v>1419</v>
      </c>
      <c r="E2211" s="72">
        <f>SUMIF(Adat!$AG:$AG,CONCATENATE(61,Info!$D$5,"0981311",L2137),Adat!$E:$E)*-1</f>
        <v>0</v>
      </c>
      <c r="F2211" s="72">
        <f>SUMIF(Adat!$AG:$AG,CONCATENATE(60,Info!$D$5,"0981311",L2137),Adat!$E:$E)*-1+E2211</f>
        <v>0</v>
      </c>
      <c r="G2211" s="72">
        <f>SUMIF(Adat!$AH:$AH,CONCATENATE(Info!$D$5,"(KÖT)","0981311",L2137),Adat!$E:$E)*-1</f>
        <v>0</v>
      </c>
      <c r="H2211" s="72">
        <f>SUMIF(Adat!$AH:$AH,CONCATENATE(Info!$D$5,"(ÖNV)","0981311",L2137),Adat!$E:$E)*-1</f>
        <v>0</v>
      </c>
      <c r="I2211" s="72">
        <f>SUMIF(Adat!$AH:$AH,CONCATENATE(Info!$D$5,"(ÁIG)","0981311",L2137),Adat!$E:$E)*-1</f>
        <v>0</v>
      </c>
    </row>
    <row r="2212" spans="2:9" x14ac:dyDescent="0.25">
      <c r="B2212" s="160">
        <v>73</v>
      </c>
      <c r="C2212" s="305" t="s">
        <v>1420</v>
      </c>
      <c r="D2212" s="84" t="s">
        <v>1421</v>
      </c>
      <c r="E2212" s="72">
        <f>SUMIF(Adat!$AG:$AG,CONCATENATE(61,Info!$D$5,"0981321",L2137),Adat!$E:$E)*-1</f>
        <v>0</v>
      </c>
      <c r="F2212" s="72">
        <f>SUMIF(Adat!$AG:$AG,CONCATENATE(60,Info!$D$5,"0981321",L2137),Adat!$E:$E)*-1+E2212</f>
        <v>0</v>
      </c>
      <c r="G2212" s="72">
        <f>SUMIF(Adat!$AH:$AH,CONCATENATE(Info!$D$5,"(KÖT)","0981321",L2137),Adat!$E:$E)*-1</f>
        <v>0</v>
      </c>
      <c r="H2212" s="72">
        <f>SUMIF(Adat!$AH:$AH,CONCATENATE(Info!$D$5,"(ÖNV)","0981321",L2137),Adat!$E:$E)*-1</f>
        <v>0</v>
      </c>
      <c r="I2212" s="72">
        <f>SUMIF(Adat!$AH:$AH,CONCATENATE(Info!$D$5,"(ÁIG)","0981321",L2137),Adat!$E:$E)*-1</f>
        <v>0</v>
      </c>
    </row>
    <row r="2213" spans="2:9" s="42" customFormat="1" x14ac:dyDescent="0.25">
      <c r="B2213" s="160">
        <v>74</v>
      </c>
      <c r="C2213" s="154" t="s">
        <v>1496</v>
      </c>
      <c r="D2213" s="85" t="s">
        <v>576</v>
      </c>
      <c r="E2213" s="71">
        <f>SUM(E2214:E2216)</f>
        <v>0</v>
      </c>
      <c r="F2213" s="71">
        <f t="shared" ref="F2213" si="236">SUM(F2214:F2216)</f>
        <v>0</v>
      </c>
      <c r="G2213" s="71">
        <f>SUM(G2214:G2216)</f>
        <v>0</v>
      </c>
      <c r="H2213" s="71">
        <f>SUM(H2214:H2216)</f>
        <v>0</v>
      </c>
      <c r="I2213" s="71">
        <f>SUM(I2214:I2216)</f>
        <v>0</v>
      </c>
    </row>
    <row r="2214" spans="2:9" x14ac:dyDescent="0.2">
      <c r="B2214" s="160">
        <v>75</v>
      </c>
      <c r="C2214" s="305" t="s">
        <v>1301</v>
      </c>
      <c r="D2214" s="82" t="s">
        <v>1422</v>
      </c>
      <c r="E2214" s="72">
        <f>SUMIF(Adat!$AG:$AG,CONCATENATE(61,Info!$D$5,"098141",L2137),Adat!$E:$E)*-1</f>
        <v>0</v>
      </c>
      <c r="F2214" s="72">
        <f>SUMIF(Adat!$AG:$AG,CONCATENATE(60,Info!$D$5,"098141",L2137),Adat!$E:$E)*-1+E2214</f>
        <v>0</v>
      </c>
      <c r="G2214" s="72">
        <f>SUMIF(Adat!$AH:$AH,CONCATENATE(Info!$D$5,"(KÖT)","098141",L2137),Adat!$E:$E)*-1</f>
        <v>0</v>
      </c>
      <c r="H2214" s="72">
        <f>SUMIF(Adat!$AH:$AH,CONCATENATE(Info!$D$5,"(ÖNV)","098141",L2137),Adat!$E:$E)*-1</f>
        <v>0</v>
      </c>
      <c r="I2214" s="72">
        <f>SUMIF(Adat!$AH:$AH,CONCATENATE(Info!$D$5,"(ÁIG)","098141",L2137),Adat!$E:$E)*-1</f>
        <v>0</v>
      </c>
    </row>
    <row r="2215" spans="2:9" x14ac:dyDescent="0.2">
      <c r="B2215" s="160">
        <v>76</v>
      </c>
      <c r="C2215" s="305" t="s">
        <v>1423</v>
      </c>
      <c r="D2215" s="82" t="s">
        <v>1424</v>
      </c>
      <c r="E2215" s="72">
        <f>SUMIF(Adat!$AG:$AG,CONCATENATE(61,Info!$D$5,"098151",L2137),Adat!$E:$E)*-1</f>
        <v>0</v>
      </c>
      <c r="F2215" s="72">
        <f>SUMIF(Adat!$AG:$AG,CONCATENATE(60,Info!$D$5,"098151",L2137),Adat!$E:$E)*-1+E2215</f>
        <v>0</v>
      </c>
      <c r="G2215" s="72">
        <f>SUMIF(Adat!$AH:$AH,CONCATENATE(Info!$D$5,"(KÖT)","098151",L2137),Adat!$E:$E)*-1</f>
        <v>0</v>
      </c>
      <c r="H2215" s="72">
        <f>SUMIF(Adat!$AH:$AH,CONCATENATE(Info!$D$5,"(ÖNV)","098151",L2137),Adat!$E:$E)*-1</f>
        <v>0</v>
      </c>
      <c r="I2215" s="72">
        <f>SUMIF(Adat!$AH:$AH,CONCATENATE(Info!$D$5,"(ÁIG)","098151",L2137),Adat!$E:$E)*-1</f>
        <v>0</v>
      </c>
    </row>
    <row r="2216" spans="2:9" x14ac:dyDescent="0.25">
      <c r="B2216" s="160">
        <v>77</v>
      </c>
      <c r="C2216" s="305" t="s">
        <v>1425</v>
      </c>
      <c r="D2216" s="84" t="s">
        <v>1426</v>
      </c>
      <c r="E2216" s="72">
        <f>SUMIF(Adat!$AG:$AG,CONCATENATE(61,Info!$D$5,"098171",L2137),Adat!$E:$E)*-1</f>
        <v>0</v>
      </c>
      <c r="F2216" s="72">
        <f>SUMIF(Adat!$AG:$AG,CONCATENATE(60,Info!$D$5,"098171",L2137),Adat!$E:$E)*-1+E2216</f>
        <v>0</v>
      </c>
      <c r="G2216" s="72">
        <f>SUMIF(Adat!$AH:$AH,CONCATENATE(Info!$D$5,"(KÖT)","098171",L2137),Adat!$E:$E)*-1</f>
        <v>0</v>
      </c>
      <c r="H2216" s="72">
        <f>SUMIF(Adat!$AH:$AH,CONCATENATE(Info!$D$5,"(ÖNV)","098171",L2137),Adat!$E:$E)*-1</f>
        <v>0</v>
      </c>
      <c r="I2216" s="72">
        <f>SUMIF(Adat!$AH:$AH,CONCATENATE(Info!$D$5,"(ÁIG)","098171",L2137),Adat!$E:$E)*-1</f>
        <v>0</v>
      </c>
    </row>
    <row r="2217" spans="2:9" x14ac:dyDescent="0.25">
      <c r="B2217" s="160">
        <v>78</v>
      </c>
      <c r="C2217" s="154" t="s">
        <v>1427</v>
      </c>
      <c r="D2217" s="85" t="s">
        <v>577</v>
      </c>
      <c r="E2217" s="71">
        <f>SUM(E2218:E2222)</f>
        <v>0</v>
      </c>
      <c r="F2217" s="71">
        <f t="shared" ref="F2217" si="237">SUM(F2218:F2222)</f>
        <v>0</v>
      </c>
      <c r="G2217" s="71">
        <f>SUM(G2218:G2222)</f>
        <v>0</v>
      </c>
      <c r="H2217" s="71">
        <f>SUM(H2218:H2222)</f>
        <v>0</v>
      </c>
      <c r="I2217" s="71">
        <f>SUM(I2218:I2222)</f>
        <v>0</v>
      </c>
    </row>
    <row r="2218" spans="2:9" x14ac:dyDescent="0.2">
      <c r="B2218" s="160">
        <v>79</v>
      </c>
      <c r="C2218" s="89" t="s">
        <v>1428</v>
      </c>
      <c r="D2218" s="82" t="s">
        <v>1429</v>
      </c>
      <c r="E2218" s="72">
        <f>SUMIF(Adat!$AG:$AG,CONCATENATE(61,Info!$D$5,"098211",L2137),Adat!$E:$E)*-1</f>
        <v>0</v>
      </c>
      <c r="F2218" s="72">
        <f>SUMIF(Adat!$AG:$AG,CONCATENATE(60,Info!$D$5,"098211",L2137),Adat!$E:$E)*-1+E2218</f>
        <v>0</v>
      </c>
      <c r="G2218" s="72">
        <f>SUMIF(Adat!$AH:$AH,CONCATENATE(Info!$D$5,"(KÖT)","098211",L2137),Adat!$E:$E)*-1</f>
        <v>0</v>
      </c>
      <c r="H2218" s="72">
        <f>SUMIF(Adat!$AH:$AH,CONCATENATE(Info!$D$5,"(ÖNV)","098211",L2137),Adat!$E:$E)*-1</f>
        <v>0</v>
      </c>
      <c r="I2218" s="72">
        <f>SUMIF(Adat!$AH:$AH,CONCATENATE(Info!$D$5,"(ÁIG)","098211",L2137),Adat!$E:$E)*-1</f>
        <v>0</v>
      </c>
    </row>
    <row r="2219" spans="2:9" x14ac:dyDescent="0.2">
      <c r="B2219" s="160">
        <v>80</v>
      </c>
      <c r="C2219" s="89" t="s">
        <v>1430</v>
      </c>
      <c r="D2219" s="82" t="s">
        <v>1431</v>
      </c>
      <c r="E2219" s="72">
        <f>SUMIF(Adat!$AG:$AG,CONCATENATE(61,Info!$D$5,"098221",L2137),Adat!$E:$E)*-1</f>
        <v>0</v>
      </c>
      <c r="F2219" s="72">
        <f>SUMIF(Adat!$AG:$AG,CONCATENATE(60,Info!$D$5,"098221",L2137),Adat!$E:$E)*-1+E2219</f>
        <v>0</v>
      </c>
      <c r="G2219" s="72">
        <f>SUMIF(Adat!$AH:$AH,CONCATENATE(Info!$D$5,"(KÖT)","098221",L2137),Adat!$E:$E)*-1</f>
        <v>0</v>
      </c>
      <c r="H2219" s="72">
        <f>SUMIF(Adat!$AH:$AH,CONCATENATE(Info!$D$5,"(ÖNV)","098221",L2137),Adat!$E:$E)*-1</f>
        <v>0</v>
      </c>
      <c r="I2219" s="72">
        <f>SUMIF(Adat!$AH:$AH,CONCATENATE(Info!$D$5,"(ÁIG)","098221",L2137),Adat!$E:$E)*-1</f>
        <v>0</v>
      </c>
    </row>
    <row r="2220" spans="2:9" x14ac:dyDescent="0.2">
      <c r="B2220" s="160">
        <v>81</v>
      </c>
      <c r="C2220" s="89" t="s">
        <v>1432</v>
      </c>
      <c r="D2220" s="82" t="s">
        <v>1433</v>
      </c>
      <c r="E2220" s="72">
        <f>SUMIF(Adat!$AG:$AG,CONCATENATE(61,Info!$D$5,"098231",L2137),Adat!$E:$E)*-1</f>
        <v>0</v>
      </c>
      <c r="F2220" s="72">
        <f>SUMIF(Adat!$AG:$AG,CONCATENATE(60,Info!$D$5,"098231",L2137),Adat!$E:$E)*-1+E2220</f>
        <v>0</v>
      </c>
      <c r="G2220" s="72">
        <f>SUMIF(Adat!$AH:$AH,CONCATENATE(Info!$D$5,"(KÖT)","098231",L2137),Adat!$E:$E)*-1</f>
        <v>0</v>
      </c>
      <c r="H2220" s="72">
        <f>SUMIF(Adat!$AH:$AH,CONCATENATE(Info!$D$5,"(ÖNV)","098231",L2137),Adat!$E:$E)*-1</f>
        <v>0</v>
      </c>
      <c r="I2220" s="72">
        <f>SUMIF(Adat!$AH:$AH,CONCATENATE(Info!$D$5,"(ÁIG)","098231",L2137),Adat!$E:$E)*-1</f>
        <v>0</v>
      </c>
    </row>
    <row r="2221" spans="2:9" x14ac:dyDescent="0.2">
      <c r="B2221" s="160">
        <v>82</v>
      </c>
      <c r="C2221" s="89" t="s">
        <v>1434</v>
      </c>
      <c r="D2221" s="82" t="s">
        <v>1435</v>
      </c>
      <c r="E2221" s="72">
        <f>SUMIF(Adat!$AG:$AG,CONCATENATE(61,Info!$D$5,"098241",L2137),Adat!$E:$E)*-1</f>
        <v>0</v>
      </c>
      <c r="F2221" s="72">
        <f>SUMIF(Adat!$AG:$AG,CONCATENATE(60,Info!$D$5,"098241",L2137),Adat!$E:$E)*-1+E2221</f>
        <v>0</v>
      </c>
      <c r="G2221" s="72">
        <f>SUMIF(Adat!$AH:$AH,CONCATENATE(Info!$D$5,"(KÖT)","098241",L2137),Adat!$E:$E)*-1</f>
        <v>0</v>
      </c>
      <c r="H2221" s="72">
        <f>SUMIF(Adat!$AH:$AH,CONCATENATE(Info!$D$5,"(ÖNV)","098241",L2137),Adat!$E:$E)*-1</f>
        <v>0</v>
      </c>
      <c r="I2221" s="72">
        <f>SUMIF(Adat!$AH:$AH,CONCATENATE(Info!$D$5,"(ÁIG)","098241",L2137),Adat!$E:$E)*-1</f>
        <v>0</v>
      </c>
    </row>
    <row r="2222" spans="2:9" s="42" customFormat="1" x14ac:dyDescent="0.2">
      <c r="B2222" s="160">
        <v>83</v>
      </c>
      <c r="C2222" s="89" t="s">
        <v>1436</v>
      </c>
      <c r="D2222" s="84" t="s">
        <v>1437</v>
      </c>
      <c r="E2222" s="72">
        <f>SUMIF(Adat!$AG:$AG,CONCATENATE(61,Info!$D$5,"098251",L2137),Adat!$E:$E)*-1</f>
        <v>0</v>
      </c>
      <c r="F2222" s="72">
        <f>SUMIF(Adat!$AG:$AG,CONCATENATE(60,Info!$D$5,"098251",L2137),Adat!$E:$E)*-1+E2222</f>
        <v>0</v>
      </c>
      <c r="G2222" s="72">
        <f>SUMIF(Adat!$AH:$AH,CONCATENATE(Info!$D$5,"(KÖT)","098251",L2137),Adat!$E:$E)*-1</f>
        <v>0</v>
      </c>
      <c r="H2222" s="72">
        <f>SUMIF(Adat!$AH:$AH,CONCATENATE(Info!$D$5,"(ÖNV)","098251",L2137),Adat!$E:$E)*-1</f>
        <v>0</v>
      </c>
      <c r="I2222" s="72">
        <f>SUMIF(Adat!$AH:$AH,CONCATENATE(Info!$D$5,"(ÁIG)","098251",L2137),Adat!$E:$E)*-1</f>
        <v>0</v>
      </c>
    </row>
    <row r="2223" spans="2:9" s="42" customFormat="1" x14ac:dyDescent="0.2">
      <c r="B2223" s="160">
        <v>84</v>
      </c>
      <c r="C2223" s="309" t="s">
        <v>1438</v>
      </c>
      <c r="D2223" s="85" t="s">
        <v>1439</v>
      </c>
      <c r="E2223" s="71">
        <f>SUMIF(Adat!$AG:$AG,CONCATENATE(61,Info!$D$5,"09831",L2137),Adat!$E:$E)*-1</f>
        <v>0</v>
      </c>
      <c r="F2223" s="71">
        <f>SUMIF(Adat!$AG:$AG,CONCATENATE(60,Info!$D$5,"09831",L2137),Adat!$E:$E)*-1+E2223</f>
        <v>0</v>
      </c>
      <c r="G2223" s="71">
        <f>SUMIF(Adat!$AH:$AH,CONCATENATE(Info!$D$5,"(KÖT)","09831",L2137),Adat!$E:$E)*-1</f>
        <v>0</v>
      </c>
      <c r="H2223" s="71">
        <f>SUMIF(Adat!$AH:$AH,CONCATENATE(Info!$D$5,"(ÖNV)","09831",L2137),Adat!$E:$E)*-1</f>
        <v>0</v>
      </c>
      <c r="I2223" s="71">
        <f>SUMIF(Adat!$AH:$AH,CONCATENATE(Info!$D$5,"(ÁIG)","09831",L2137),Adat!$E:$E)*-1</f>
        <v>0</v>
      </c>
    </row>
    <row r="2224" spans="2:9" s="42" customFormat="1" x14ac:dyDescent="0.25">
      <c r="B2224" s="160">
        <v>85</v>
      </c>
      <c r="C2224" s="154" t="s">
        <v>1440</v>
      </c>
      <c r="D2224" s="85" t="s">
        <v>1441</v>
      </c>
      <c r="E2224" s="71">
        <f>SUMIF(Adat!$AG:$AG,CONCATENATE(61,Info!$D$5,"09841",L2137),Adat!$E:$E)*-1</f>
        <v>0</v>
      </c>
      <c r="F2224" s="71">
        <f>SUMIF(Adat!$AG:$AG,CONCATENATE(60,Info!$D$5,"09841",L2137),Adat!$E:$E)*-1+E2224</f>
        <v>0</v>
      </c>
      <c r="G2224" s="71">
        <f>SUMIF(Adat!$AH:$AH,CONCATENATE(Info!$D$5,"(KÖT)","09841",L2137),Adat!$E:$E)*-1</f>
        <v>0</v>
      </c>
      <c r="H2224" s="71">
        <f>SUMIF(Adat!$AH:$AH,CONCATENATE(Info!$D$5,"(ÖNV)","09841",L2137),Adat!$E:$E)*-1</f>
        <v>0</v>
      </c>
      <c r="I2224" s="71">
        <f>SUMIF(Adat!$AH:$AH,CONCATENATE(Info!$D$5,"(ÁIG)","09841",L2137),Adat!$E:$E)*-1</f>
        <v>0</v>
      </c>
    </row>
    <row r="2225" spans="2:12" s="42" customFormat="1" x14ac:dyDescent="0.25">
      <c r="B2225" s="160">
        <v>86</v>
      </c>
      <c r="C2225" s="154" t="s">
        <v>358</v>
      </c>
      <c r="D2225" s="87" t="s">
        <v>1442</v>
      </c>
      <c r="E2225" s="71">
        <f>+E2201+E2205+E2210+E2213+E2217+E2224+E2223</f>
        <v>0</v>
      </c>
      <c r="F2225" s="71">
        <f t="shared" ref="F2225" si="238">+F2201+F2205+F2210+F2213+F2217+F2224+F2223</f>
        <v>0</v>
      </c>
      <c r="G2225" s="71">
        <f>+G2201+G2205+G2210+G2213+G2217+G2224+G2223</f>
        <v>0</v>
      </c>
      <c r="H2225" s="71">
        <f>+H2201+H2205+H2210+H2213+H2217+H2224+H2223</f>
        <v>0</v>
      </c>
      <c r="I2225" s="71">
        <f>+I2201+I2205+I2210+I2213+I2217+I2224+I2223</f>
        <v>0</v>
      </c>
    </row>
    <row r="2226" spans="2:12" s="42" customFormat="1" x14ac:dyDescent="0.25">
      <c r="B2226" s="160">
        <v>87</v>
      </c>
      <c r="C2226" s="154" t="s">
        <v>364</v>
      </c>
      <c r="D2226" s="87" t="s">
        <v>1497</v>
      </c>
      <c r="E2226" s="71">
        <f>+E2200+E2225</f>
        <v>0</v>
      </c>
      <c r="F2226" s="71">
        <f t="shared" ref="F2226" si="239">+F2200+F2225</f>
        <v>0</v>
      </c>
      <c r="G2226" s="71">
        <f>+G2200+G2225</f>
        <v>0</v>
      </c>
      <c r="H2226" s="71">
        <f>+H2200+H2225</f>
        <v>0</v>
      </c>
      <c r="I2226" s="71">
        <f>+I2200+I2225</f>
        <v>0</v>
      </c>
    </row>
    <row r="2227" spans="2:12" s="38" customFormat="1" ht="15.75" x14ac:dyDescent="0.25">
      <c r="C2227" s="156"/>
      <c r="E2227" s="140"/>
      <c r="F2227" s="140"/>
      <c r="G2227" s="140"/>
      <c r="H2227" s="140"/>
      <c r="I2227" s="140"/>
    </row>
    <row r="2228" spans="2:12" s="10" customFormat="1" ht="15.75" customHeight="1" x14ac:dyDescent="0.25">
      <c r="B2228" s="201" t="str">
        <f>CONCATENATE("32. Kiadási jogcímek"," - ",L2228," részletező")</f>
        <v>32. Kiadási jogcímek -  részletező</v>
      </c>
      <c r="C2228" s="101"/>
      <c r="D2228" s="101"/>
      <c r="E2228" s="101"/>
      <c r="F2228" s="101"/>
      <c r="G2228" s="198"/>
      <c r="H2228" s="198"/>
      <c r="I2228" s="198"/>
      <c r="L2228" s="384"/>
    </row>
    <row r="2229" spans="2:12" s="38" customFormat="1" ht="15.75" x14ac:dyDescent="0.25">
      <c r="C2229" s="156"/>
      <c r="E2229" s="140"/>
      <c r="F2229" s="140"/>
      <c r="G2229" s="140"/>
      <c r="H2229" s="140"/>
      <c r="I2229" s="140"/>
    </row>
    <row r="2230" spans="2:12" s="40" customFormat="1" x14ac:dyDescent="0.25">
      <c r="B2230" s="77"/>
      <c r="C2230" s="77" t="s">
        <v>350</v>
      </c>
      <c r="D2230" s="77" t="s">
        <v>351</v>
      </c>
      <c r="E2230" s="77" t="s">
        <v>470</v>
      </c>
      <c r="F2230" s="77" t="s">
        <v>471</v>
      </c>
      <c r="G2230" s="77" t="s">
        <v>44</v>
      </c>
      <c r="H2230" s="77" t="s">
        <v>42</v>
      </c>
      <c r="I2230" s="77" t="s">
        <v>511</v>
      </c>
    </row>
    <row r="2231" spans="2:12" s="41" customFormat="1" ht="38.25" x14ac:dyDescent="0.25">
      <c r="B2231" s="160">
        <v>1</v>
      </c>
      <c r="C2231" s="154" t="s">
        <v>593</v>
      </c>
      <c r="D2231" s="154" t="s">
        <v>488</v>
      </c>
      <c r="E2231" s="163" t="str">
        <f>CONCATENATE(PAR!$H$3," évi
eredeti 
előirányzat")</f>
        <v>2025. évi
eredeti 
előirányzat</v>
      </c>
      <c r="F2231" s="163" t="str">
        <f>CONCATENATE(PAR!$H$3," évi
módosított 
előirányzat")</f>
        <v>2025. évi
módosított 
előirányzat</v>
      </c>
      <c r="G2231" s="69" t="s">
        <v>666</v>
      </c>
      <c r="H2231" s="69" t="s">
        <v>667</v>
      </c>
      <c r="I2231" s="69" t="s">
        <v>668</v>
      </c>
    </row>
    <row r="2232" spans="2:12" s="42" customFormat="1" x14ac:dyDescent="0.25">
      <c r="B2232" s="160">
        <v>2</v>
      </c>
      <c r="C2232" s="78" t="s">
        <v>352</v>
      </c>
      <c r="D2232" s="92" t="s">
        <v>2663</v>
      </c>
      <c r="E2232" s="71">
        <f>SUM(E2233:E2238)</f>
        <v>0</v>
      </c>
      <c r="F2232" s="71">
        <f>SUM(F2233:F2238)</f>
        <v>0</v>
      </c>
      <c r="G2232" s="71">
        <f>SUM(G2233:G2238)</f>
        <v>0</v>
      </c>
      <c r="H2232" s="71">
        <f>+H2233+H2234+H2235+H2236+H2237+H2238</f>
        <v>0</v>
      </c>
      <c r="I2232" s="71">
        <f>+I2233+I2234+I2235+I2236+I2237+I2238</f>
        <v>0</v>
      </c>
    </row>
    <row r="2233" spans="2:12" x14ac:dyDescent="0.25">
      <c r="B2233" s="160">
        <v>3</v>
      </c>
      <c r="C2233" s="305" t="s">
        <v>315</v>
      </c>
      <c r="D2233" s="161" t="s">
        <v>342</v>
      </c>
      <c r="E2233" s="72">
        <f>SUMIF(Adat!$AI:$AI,CONCATENATE(61,Info!$D$5,"051",L2228),Adat!$E:$E)</f>
        <v>0</v>
      </c>
      <c r="F2233" s="72">
        <f>SUMIF(Adat!$AI:$AI,CONCATENATE(60,Info!$D$5,"051",L2228),Adat!$E:$E)+E2233</f>
        <v>0</v>
      </c>
      <c r="G2233" s="72">
        <f>SUMIF(Adat!$AJ:$AJ,CONCATENATE(Info!$D$5,"051","(KÖT)",L2228),Adat!$E:$E)</f>
        <v>0</v>
      </c>
      <c r="H2233" s="72">
        <f>SUMIF(Adat!$AJ:$AJ,CONCATENATE(Info!$D$5,"051","(ÖNV)",L2228),Adat!$E:$E)</f>
        <v>0</v>
      </c>
      <c r="I2233" s="72">
        <f>SUMIF(Adat!$AJ:$AJ,CONCATENATE(Info!$D$5,"051","(ÁIG)",L2228),Adat!$E:$E)</f>
        <v>0</v>
      </c>
    </row>
    <row r="2234" spans="2:12" x14ac:dyDescent="0.25">
      <c r="B2234" s="160">
        <v>4</v>
      </c>
      <c r="C2234" s="305" t="s">
        <v>317</v>
      </c>
      <c r="D2234" s="161" t="s">
        <v>395</v>
      </c>
      <c r="E2234" s="72">
        <f>SUMIF(Adat!$AI:$AI,CONCATENATE(61,Info!$D$5,"052",L2228),Adat!$E:$E)</f>
        <v>0</v>
      </c>
      <c r="F2234" s="72">
        <f>SUMIF(Adat!$AI:$AI,CONCATENATE(60,Info!$D$5,"052",L2228),Adat!$E:$E)+E2234</f>
        <v>0</v>
      </c>
      <c r="G2234" s="72">
        <f>SUMIF(Adat!$AJ:$AJ,CONCATENATE(Info!$D$5,"052","(KÖT)",L2228),Adat!$E:$E)</f>
        <v>0</v>
      </c>
      <c r="H2234" s="72">
        <f>SUMIF(Adat!$AJ:$AJ,CONCATENATE(Info!$D$5,"052","(ÖNV)",L2228),Adat!$E:$E)</f>
        <v>0</v>
      </c>
      <c r="I2234" s="72">
        <f>SUMIF(Adat!$AJ:$AJ,CONCATENATE(Info!$D$5,"052","(ÁIG)",L2228),Adat!$E:$E)</f>
        <v>0</v>
      </c>
    </row>
    <row r="2235" spans="2:12" x14ac:dyDescent="0.25">
      <c r="B2235" s="160">
        <v>5</v>
      </c>
      <c r="C2235" s="305" t="s">
        <v>4</v>
      </c>
      <c r="D2235" s="161" t="s">
        <v>344</v>
      </c>
      <c r="E2235" s="72">
        <f>SUMIF(Adat!$AI:$AI,CONCATENATE(61,Info!$D$5,"053",L2228),Adat!$E:$E)</f>
        <v>0</v>
      </c>
      <c r="F2235" s="72">
        <f>SUMIF(Adat!$AI:$AI,CONCATENATE(60,Info!$D$5,"053",L2228),Adat!$E:$E)+E2235</f>
        <v>0</v>
      </c>
      <c r="G2235" s="72">
        <f>SUMIF(Adat!$AJ:$AJ,CONCATENATE(Info!$D$5,"053","(KÖT)",L2228),Adat!$E:$E)</f>
        <v>0</v>
      </c>
      <c r="H2235" s="72">
        <f>SUMIF(Adat!$AJ:$AJ,CONCATENATE(Info!$D$5,"053","(ÖNV)",L2228),Adat!$E:$E)</f>
        <v>0</v>
      </c>
      <c r="I2235" s="72">
        <f>SUMIF(Adat!$AJ:$AJ,CONCATENATE(Info!$D$5,"053","(ÁIG)",L2228),Adat!$E:$E)</f>
        <v>0</v>
      </c>
    </row>
    <row r="2236" spans="2:12" x14ac:dyDescent="0.25">
      <c r="B2236" s="160">
        <v>6</v>
      </c>
      <c r="C2236" s="305" t="s">
        <v>6</v>
      </c>
      <c r="D2236" s="161" t="s">
        <v>345</v>
      </c>
      <c r="E2236" s="72">
        <f>SUMIF(Adat!$AI:$AI,CONCATENATE(61,Info!$D$5,"054",L2228),Adat!$E:$E)</f>
        <v>0</v>
      </c>
      <c r="F2236" s="72">
        <f>SUMIF(Adat!$AI:$AI,CONCATENATE(60,Info!$D$5,"054",L2228),Adat!$E:$E)+E2236</f>
        <v>0</v>
      </c>
      <c r="G2236" s="72">
        <f>SUMIF(Adat!$AJ:$AJ,CONCATENATE(Info!$D$5,"054","(KÖT)",L2228),Adat!$E:$E)</f>
        <v>0</v>
      </c>
      <c r="H2236" s="72">
        <f>SUMIF(Adat!$AJ:$AJ,CONCATENATE(Info!$D$5,"054","(ÖNV)",L2228),Adat!$E:$E)</f>
        <v>0</v>
      </c>
      <c r="I2236" s="72">
        <f>SUMIF(Adat!$AJ:$AJ,CONCATENATE(Info!$D$5,"054","(ÁIG)",L2228),Adat!$E:$E)</f>
        <v>0</v>
      </c>
    </row>
    <row r="2237" spans="2:12" x14ac:dyDescent="0.25">
      <c r="B2237" s="160">
        <v>7</v>
      </c>
      <c r="C2237" s="305" t="s">
        <v>8</v>
      </c>
      <c r="D2237" s="161" t="s">
        <v>321</v>
      </c>
      <c r="E2237" s="72">
        <f>SUMIF(Adat!$AI:$AI,CONCATENATE(61,Info!$D$5,"055",L2228),Adat!$E:$E)-E2238</f>
        <v>0</v>
      </c>
      <c r="F2237" s="72">
        <f>SUMIF(Adat!$AI:$AI,CONCATENATE(60,Info!$D$5,"055",L2228),Adat!$E:$E)+E2237-F2238+E2238</f>
        <v>0</v>
      </c>
      <c r="G2237" s="72">
        <f>SUMIF(Adat!$AJ:$AJ,CONCATENATE(Info!$D$5,"055","(KÖT)",L2228),Adat!$E:$E)-G2238</f>
        <v>0</v>
      </c>
      <c r="H2237" s="72">
        <f>SUMIF(Adat!$AJ:$AJ,CONCATENATE(Info!$D$5,"055","(ÖNV)",L2228),Adat!$E:$E)-H2238</f>
        <v>0</v>
      </c>
      <c r="I2237" s="72">
        <f>SUMIF(Adat!$AJ:$AJ,CONCATENATE(Info!$D$5,"055","(ÁIG)",L2228),Adat!$E:$E)-I2238</f>
        <v>0</v>
      </c>
    </row>
    <row r="2238" spans="2:12" x14ac:dyDescent="0.25">
      <c r="B2238" s="160">
        <v>8</v>
      </c>
      <c r="C2238" s="305" t="s">
        <v>1283</v>
      </c>
      <c r="D2238" s="161" t="s">
        <v>397</v>
      </c>
      <c r="E2238" s="72">
        <f>SUMIF(Adat!$AG:$AG,CONCATENATE(61,Info!$D$5,"055131",L2228),Adat!$E:$E)</f>
        <v>0</v>
      </c>
      <c r="F2238" s="72">
        <f>SUMIF(Adat!$AG:$AG,CONCATENATE(60,Info!$D$5,"055131",L2228),Adat!$E:$E)+E2238</f>
        <v>0</v>
      </c>
      <c r="G2238" s="72">
        <f>SUMIF(Adat!$AH:$AH,CONCATENATE(Info!$D$5,"(KÖT)","055131",L2228),Adat!$E:$E)</f>
        <v>0</v>
      </c>
      <c r="H2238" s="72">
        <f>SUMIF(Adat!$AH:$AH,CONCATENATE(Info!$D$5,"(ÖNV)","055131",L2228),Adat!$E:$E)*-1</f>
        <v>0</v>
      </c>
      <c r="I2238" s="72">
        <f>SUMIF(Adat!$AH:$AH,CONCATENATE(Info!$D$5,"(ÁIG)","055131",L2228),Adat!$E:$E)*-1</f>
        <v>0</v>
      </c>
    </row>
    <row r="2239" spans="2:12" x14ac:dyDescent="0.25">
      <c r="B2239" s="160">
        <v>9</v>
      </c>
      <c r="C2239" s="305" t="s">
        <v>1283</v>
      </c>
      <c r="D2239" s="93" t="s">
        <v>1445</v>
      </c>
      <c r="E2239" s="72">
        <v>0</v>
      </c>
      <c r="F2239" s="72">
        <f>SUM(G2239:I2239)</f>
        <v>0</v>
      </c>
      <c r="G2239" s="72">
        <v>0</v>
      </c>
      <c r="H2239" s="72">
        <v>0</v>
      </c>
      <c r="I2239" s="72">
        <v>0</v>
      </c>
    </row>
    <row r="2240" spans="2:12" x14ac:dyDescent="0.25">
      <c r="B2240" s="160">
        <v>10</v>
      </c>
      <c r="C2240" s="305" t="s">
        <v>1283</v>
      </c>
      <c r="D2240" s="93" t="s">
        <v>1446</v>
      </c>
      <c r="E2240" s="72">
        <v>0</v>
      </c>
      <c r="F2240" s="72">
        <f>SUM(G2240:I2240)</f>
        <v>0</v>
      </c>
      <c r="G2240" s="72">
        <v>0</v>
      </c>
      <c r="H2240" s="72">
        <v>0</v>
      </c>
      <c r="I2240" s="72">
        <v>0</v>
      </c>
    </row>
    <row r="2241" spans="2:9" x14ac:dyDescent="0.25">
      <c r="B2241" s="160">
        <v>11</v>
      </c>
      <c r="C2241" s="78" t="s">
        <v>358</v>
      </c>
      <c r="D2241" s="92" t="s">
        <v>2664</v>
      </c>
      <c r="E2241" s="71">
        <f>+E2242+E2244+E2246</f>
        <v>0</v>
      </c>
      <c r="F2241" s="71">
        <f>+F2242+F2244+F2246</f>
        <v>0</v>
      </c>
      <c r="G2241" s="71">
        <f>+G2242+G2244+G2246</f>
        <v>0</v>
      </c>
      <c r="H2241" s="71">
        <f>+H2242+H2244+H2246</f>
        <v>0</v>
      </c>
      <c r="I2241" s="71">
        <f>+I2242+I2244+I2246</f>
        <v>0</v>
      </c>
    </row>
    <row r="2242" spans="2:9" x14ac:dyDescent="0.25">
      <c r="B2242" s="160">
        <v>12</v>
      </c>
      <c r="C2242" s="305" t="s">
        <v>10</v>
      </c>
      <c r="D2242" s="317" t="s">
        <v>322</v>
      </c>
      <c r="E2242" s="72">
        <f>SUMIF(Adat!$AI:$AI,CONCATENATE(61,Info!$D$5,"056",L2228),Adat!$E:$E)</f>
        <v>0</v>
      </c>
      <c r="F2242" s="72">
        <f>SUMIF(Adat!$AI:$AI,CONCATENATE(60,Info!$D$5,"056",L2228),Adat!$E:$E)+E2242</f>
        <v>0</v>
      </c>
      <c r="G2242" s="72">
        <f>SUMIF(Adat!$AJ:$AJ,CONCATENATE(Info!$D$5,"056","(KÖT)",L2228),Adat!$E:$E)</f>
        <v>0</v>
      </c>
      <c r="H2242" s="72">
        <f>SUMIF(Adat!$AJ:$AJ,CONCATENATE(Info!$D$5,"056","(ÖNV)",L2228),Adat!$E:$E)</f>
        <v>0</v>
      </c>
      <c r="I2242" s="72">
        <f>SUMIF(Adat!$AJ:$AJ,CONCATENATE(Info!$D$5,"056","(ÁIG)",L2228),Adat!$E:$E)</f>
        <v>0</v>
      </c>
    </row>
    <row r="2243" spans="2:9" x14ac:dyDescent="0.25">
      <c r="B2243" s="160">
        <v>13</v>
      </c>
      <c r="C2243" s="305" t="s">
        <v>10</v>
      </c>
      <c r="D2243" s="317" t="s">
        <v>1448</v>
      </c>
      <c r="E2243" s="72">
        <v>0</v>
      </c>
      <c r="F2243" s="72">
        <f>SUM(G2243:I2243)</f>
        <v>0</v>
      </c>
      <c r="G2243" s="72">
        <v>0</v>
      </c>
      <c r="H2243" s="72">
        <v>0</v>
      </c>
      <c r="I2243" s="72">
        <v>0</v>
      </c>
    </row>
    <row r="2244" spans="2:9" x14ac:dyDescent="0.25">
      <c r="B2244" s="160">
        <v>14</v>
      </c>
      <c r="C2244" s="305" t="s">
        <v>12</v>
      </c>
      <c r="D2244" s="317" t="s">
        <v>323</v>
      </c>
      <c r="E2244" s="72">
        <f>SUMIF(Adat!$AI:$AI,CONCATENATE(61,Info!$D$5,"057",L2228),Adat!$E:$E)</f>
        <v>0</v>
      </c>
      <c r="F2244" s="72">
        <f>SUMIF(Adat!$AI:$AI,CONCATENATE(60,Info!$D$5,"057",L2228),Adat!$E:$E)+E2244</f>
        <v>0</v>
      </c>
      <c r="G2244" s="72">
        <f>SUMIF(Adat!$AJ:$AJ,CONCATENATE(Info!$D$5,"057","(KÖT)",L2228),Adat!$E:$E)</f>
        <v>0</v>
      </c>
      <c r="H2244" s="72">
        <f>SUMIF(Adat!$AJ:$AJ,CONCATENATE(Info!$D$5,"057","(ÖNV)",L2228),Adat!$E:$E)</f>
        <v>0</v>
      </c>
      <c r="I2244" s="72">
        <f>SUMIF(Adat!$AJ:$AJ,CONCATENATE(Info!$D$5,"057","(ÁIG)",L2228),Adat!$E:$E)</f>
        <v>0</v>
      </c>
    </row>
    <row r="2245" spans="2:9" x14ac:dyDescent="0.25">
      <c r="B2245" s="160">
        <v>15</v>
      </c>
      <c r="C2245" s="305" t="s">
        <v>12</v>
      </c>
      <c r="D2245" s="317" t="s">
        <v>1449</v>
      </c>
      <c r="E2245" s="72">
        <v>0</v>
      </c>
      <c r="F2245" s="72">
        <f>SUM(G2245:I2245)</f>
        <v>0</v>
      </c>
      <c r="G2245" s="72">
        <v>0</v>
      </c>
      <c r="H2245" s="72">
        <v>0</v>
      </c>
      <c r="I2245" s="72">
        <v>0</v>
      </c>
    </row>
    <row r="2246" spans="2:9" x14ac:dyDescent="0.25">
      <c r="B2246" s="160">
        <v>16</v>
      </c>
      <c r="C2246" s="305" t="s">
        <v>15</v>
      </c>
      <c r="D2246" s="317" t="s">
        <v>324</v>
      </c>
      <c r="E2246" s="72">
        <f>SUMIF(Adat!$AI:$AI,CONCATENATE(61,Info!$D$5,"058",L2228),Adat!$E:$E)</f>
        <v>0</v>
      </c>
      <c r="F2246" s="72">
        <f>SUMIF(Adat!$AI:$AI,CONCATENATE(60,Info!$D$5,"058",L2228),Adat!$E:$E)+E2246</f>
        <v>0</v>
      </c>
      <c r="G2246" s="72">
        <f>SUMIF(Adat!$AJ:$AJ,CONCATENATE(Info!$D$5,"058","(KÖT)",L2228),Adat!$E:$E)</f>
        <v>0</v>
      </c>
      <c r="H2246" s="72">
        <f>SUMIF(Adat!$AJ:$AJ,CONCATENATE(Info!$D$5,"058","(ÖNV)",L2228),Adat!$E:$E)</f>
        <v>0</v>
      </c>
      <c r="I2246" s="72">
        <f>SUMIF(Adat!$AJ:$AJ,CONCATENATE(Info!$D$5,"058","(ÁIG)",L2228),Adat!$E:$E)</f>
        <v>0</v>
      </c>
    </row>
    <row r="2247" spans="2:9" x14ac:dyDescent="0.25">
      <c r="B2247" s="160">
        <v>17</v>
      </c>
      <c r="C2247" s="78" t="s">
        <v>364</v>
      </c>
      <c r="D2247" s="86" t="s">
        <v>402</v>
      </c>
      <c r="E2247" s="71">
        <f>+E2232+E2241</f>
        <v>0</v>
      </c>
      <c r="F2247" s="71">
        <f>+F2232+F2241</f>
        <v>0</v>
      </c>
      <c r="G2247" s="71">
        <f>+G2232+G2241</f>
        <v>0</v>
      </c>
      <c r="H2247" s="71">
        <f>+H2232+H2241</f>
        <v>0</v>
      </c>
      <c r="I2247" s="71">
        <f>+I2232+I2241</f>
        <v>0</v>
      </c>
    </row>
    <row r="2248" spans="2:9" x14ac:dyDescent="0.25">
      <c r="B2248" s="160">
        <v>18</v>
      </c>
      <c r="C2248" s="78" t="s">
        <v>403</v>
      </c>
      <c r="D2248" s="86" t="s">
        <v>1450</v>
      </c>
      <c r="E2248" s="71">
        <f>+E2249+E2250+E2251</f>
        <v>0</v>
      </c>
      <c r="F2248" s="71">
        <f>+F2249+F2250+F2251</f>
        <v>0</v>
      </c>
      <c r="G2248" s="71">
        <f>+G2249+G2250+G2251</f>
        <v>0</v>
      </c>
      <c r="H2248" s="71">
        <f>+H2249+H2250+H2251</f>
        <v>0</v>
      </c>
      <c r="I2248" s="71">
        <f>+I2249+I2250+I2251</f>
        <v>0</v>
      </c>
    </row>
    <row r="2249" spans="2:9" s="42" customFormat="1" x14ac:dyDescent="0.25">
      <c r="B2249" s="160">
        <v>19</v>
      </c>
      <c r="C2249" s="305" t="s">
        <v>1451</v>
      </c>
      <c r="D2249" s="161" t="s">
        <v>490</v>
      </c>
      <c r="E2249" s="72">
        <f>SUMIF(Adat!$AG:$AG,CONCATENATE(61,Info!$D$5,"0591111",L2228),Adat!$E:$E)</f>
        <v>0</v>
      </c>
      <c r="F2249" s="72">
        <f>SUMIF(Adat!$AG:$AG,CONCATENATE(60,Info!$D$5,"0591111",L2228),Adat!$E:$E)+E2249</f>
        <v>0</v>
      </c>
      <c r="G2249" s="72">
        <f>SUMIF(Adat!$AH:$AH,CONCATENATE(Info!$D$5,"(KÖT)","0591111",L2228),Adat!$E:$E)</f>
        <v>0</v>
      </c>
      <c r="H2249" s="72">
        <f>SUMIF(Adat!$AH:$AH,CONCATENATE(Info!$D$5,"(ÖNV)","0591111",L2228),Adat!$E:$E)</f>
        <v>0</v>
      </c>
      <c r="I2249" s="72">
        <f>SUMIF(Adat!$AH:$AH,CONCATENATE(Info!$D$5,"(ÁIG)","0591111",L2228),Adat!$E:$E)</f>
        <v>0</v>
      </c>
    </row>
    <row r="2250" spans="2:9" x14ac:dyDescent="0.25">
      <c r="B2250" s="160">
        <v>20</v>
      </c>
      <c r="C2250" s="305" t="s">
        <v>1453</v>
      </c>
      <c r="D2250" s="161" t="s">
        <v>406</v>
      </c>
      <c r="E2250" s="72">
        <f>SUMIF(Adat!$AG:$AG,CONCATENATE(61,Info!$D$5,"0591121",L2228),Adat!$E:$E)</f>
        <v>0</v>
      </c>
      <c r="F2250" s="72">
        <f>SUMIF(Adat!$AG:$AG,CONCATENATE(60,Info!$D$5,"0591121",L2228),Adat!$E:$E)+E2250</f>
        <v>0</v>
      </c>
      <c r="G2250" s="72">
        <f>SUMIF(Adat!$AH:$AH,CONCATENATE(Info!$D$5,"(KÖT)","0591121",L2228),Adat!$E:$E)</f>
        <v>0</v>
      </c>
      <c r="H2250" s="72">
        <f>SUMIF(Adat!$AH:$AH,CONCATENATE(Info!$D$5,"(ÖNV)","0591121",L2228),Adat!$E:$E)</f>
        <v>0</v>
      </c>
      <c r="I2250" s="72">
        <f>SUMIF(Adat!$AH:$AH,CONCATENATE(Info!$D$5,"(ÁIG)","0591121",L2228),Adat!$E:$E)</f>
        <v>0</v>
      </c>
    </row>
    <row r="2251" spans="2:9" x14ac:dyDescent="0.25">
      <c r="B2251" s="160">
        <v>21</v>
      </c>
      <c r="C2251" s="305" t="s">
        <v>1455</v>
      </c>
      <c r="D2251" s="161" t="s">
        <v>491</v>
      </c>
      <c r="E2251" s="72">
        <f>SUMIF(Adat!$AG:$AG,CONCATENATE(61,Info!$D$5,"0591131",L2228),Adat!$E:$E)</f>
        <v>0</v>
      </c>
      <c r="F2251" s="72">
        <f>SUMIF(Adat!$AG:$AG,CONCATENATE(60,Info!$D$5,"0591131",L2228),Adat!$E:$E)+E2251</f>
        <v>0</v>
      </c>
      <c r="G2251" s="72">
        <f>SUMIF(Adat!$AH:$AH,CONCATENATE(Info!$D$5,"(KÖT)","0591131",L2228),Adat!$E:$E)</f>
        <v>0</v>
      </c>
      <c r="H2251" s="72">
        <f>SUMIF(Adat!$AH:$AH,CONCATENATE(Info!$D$5,"(ÖNV)","0591131",L2228),Adat!$E:$E)</f>
        <v>0</v>
      </c>
      <c r="I2251" s="72">
        <f>SUMIF(Adat!$AH:$AH,CONCATENATE(Info!$D$5,"(ÁIG)","0591131",L2228),Adat!$E:$E)</f>
        <v>0</v>
      </c>
    </row>
    <row r="2252" spans="2:9" x14ac:dyDescent="0.25">
      <c r="B2252" s="160">
        <v>22</v>
      </c>
      <c r="C2252" s="78" t="s">
        <v>372</v>
      </c>
      <c r="D2252" s="86" t="s">
        <v>1457</v>
      </c>
      <c r="E2252" s="71">
        <f>+E2253+E2254+E2255+E2256+E2257+E2258</f>
        <v>0</v>
      </c>
      <c r="F2252" s="71">
        <f>+F2253+F2254+F2255+F2256+F2257+F2258</f>
        <v>0</v>
      </c>
      <c r="G2252" s="71">
        <f>+G2253+G2254+G2255+G2256+G2257+G2258</f>
        <v>0</v>
      </c>
      <c r="H2252" s="71">
        <f>+H2253+H2254+H2255+H2256+H2257+H2258</f>
        <v>0</v>
      </c>
      <c r="I2252" s="71">
        <f>+I2253+I2254+I2255+I2256+I2257+I2258</f>
        <v>0</v>
      </c>
    </row>
    <row r="2253" spans="2:9" x14ac:dyDescent="0.25">
      <c r="B2253" s="160">
        <v>23</v>
      </c>
      <c r="C2253" s="305" t="s">
        <v>1458</v>
      </c>
      <c r="D2253" s="161" t="s">
        <v>409</v>
      </c>
      <c r="E2253" s="72">
        <f>SUMIF(Adat!$AG:$AG,CONCATENATE(61,Info!$D$5,"0591211",L2228),Adat!$E:$E)</f>
        <v>0</v>
      </c>
      <c r="F2253" s="72">
        <f>SUMIF(Adat!$AG:$AG,CONCATENATE(60,Info!$D$5,"0591211",L2228),Adat!$E:$E)+E2253</f>
        <v>0</v>
      </c>
      <c r="G2253" s="72">
        <f>SUMIF(Adat!$AH:$AH,CONCATENATE(Info!$D$5,"(KÖT)","0591211",L2228),Adat!$E:$E)</f>
        <v>0</v>
      </c>
      <c r="H2253" s="72">
        <f>SUMIF(Adat!$AH:$AH,CONCATENATE(Info!$D$5,"(ÖNV)","0591211",L2228),Adat!$E:$E)</f>
        <v>0</v>
      </c>
      <c r="I2253" s="72">
        <f>SUMIF(Adat!$AH:$AH,CONCATENATE(Info!$D$5,"(ÁIG)","0591211",L2228),Adat!$E:$E)</f>
        <v>0</v>
      </c>
    </row>
    <row r="2254" spans="2:9" x14ac:dyDescent="0.25">
      <c r="B2254" s="160">
        <v>24</v>
      </c>
      <c r="C2254" s="305" t="s">
        <v>1460</v>
      </c>
      <c r="D2254" s="161" t="s">
        <v>410</v>
      </c>
      <c r="E2254" s="72">
        <f>SUMIF(Adat!$AG:$AG,CONCATENATE(61,Info!$D$5,"0591221",L2228),Adat!$E:$E)</f>
        <v>0</v>
      </c>
      <c r="F2254" s="72">
        <f>SUMIF(Adat!$AG:$AG,CONCATENATE(60,Info!$D$5,"0591221",L2228),Adat!$E:$E)+E2254</f>
        <v>0</v>
      </c>
      <c r="G2254" s="72">
        <f>SUMIF(Adat!$AH:$AH,CONCATENATE(Info!$D$5,"(KÖT)","0591221",L2228),Adat!$E:$E)</f>
        <v>0</v>
      </c>
      <c r="H2254" s="72">
        <f>SUMIF(Adat!$AH:$AH,CONCATENATE(Info!$D$5,"(ÖNV)","0591221",L2228),Adat!$E:$E)</f>
        <v>0</v>
      </c>
      <c r="I2254" s="72">
        <f>SUMIF(Adat!$AH:$AH,CONCATENATE(Info!$D$5,"(ÁIG)","0591221",L2228),Adat!$E:$E)</f>
        <v>0</v>
      </c>
    </row>
    <row r="2255" spans="2:9" x14ac:dyDescent="0.25">
      <c r="B2255" s="160">
        <v>25</v>
      </c>
      <c r="C2255" s="305" t="s">
        <v>1462</v>
      </c>
      <c r="D2255" s="161" t="s">
        <v>411</v>
      </c>
      <c r="E2255" s="72">
        <f>SUMIF(Adat!$AG:$AG,CONCATENATE(61,Info!$D$5,"0591231",L2228),Adat!$E:$E)</f>
        <v>0</v>
      </c>
      <c r="F2255" s="72">
        <f>SUMIF(Adat!$AG:$AG,CONCATENATE(60,Info!$D$5,"0591231",L2228),Adat!$E:$E)+E2255</f>
        <v>0</v>
      </c>
      <c r="G2255" s="72">
        <f>SUMIF(Adat!$AH:$AH,CONCATENATE(Info!$D$5,"(KÖT)","0591231",L2228),Adat!$E:$E)</f>
        <v>0</v>
      </c>
      <c r="H2255" s="72">
        <f>SUMIF(Adat!$AH:$AH,CONCATENATE(Info!$D$5,"(ÖNV)","0591231",L2228),Adat!$E:$E)</f>
        <v>0</v>
      </c>
      <c r="I2255" s="72">
        <f>SUMIF(Adat!$AH:$AH,CONCATENATE(Info!$D$5,"(ÁIG)","0591231",L2228),Adat!$E:$E)</f>
        <v>0</v>
      </c>
    </row>
    <row r="2256" spans="2:9" x14ac:dyDescent="0.25">
      <c r="B2256" s="160">
        <v>26</v>
      </c>
      <c r="C2256" s="305" t="s">
        <v>1464</v>
      </c>
      <c r="D2256" s="161" t="s">
        <v>492</v>
      </c>
      <c r="E2256" s="72">
        <f>SUMIF(Adat!$AG:$AG,CONCATENATE(61,Info!$D$5,"0591241",L2228),Adat!$E:$E)</f>
        <v>0</v>
      </c>
      <c r="F2256" s="72">
        <f>SUMIF(Adat!$AG:$AG,CONCATENATE(60,Info!$D$5,"0591241",L2228),Adat!$E:$E)+E2256</f>
        <v>0</v>
      </c>
      <c r="G2256" s="72">
        <f>SUMIF(Adat!$AH:$AH,CONCATENATE(Info!$D$5,"(KÖT)","0591241",L2228),Adat!$E:$E)</f>
        <v>0</v>
      </c>
      <c r="H2256" s="72">
        <f>SUMIF(Adat!$AH:$AH,CONCATENATE(Info!$D$5,"(ÖNV)","0591241",L2228),Adat!$E:$E)</f>
        <v>0</v>
      </c>
      <c r="I2256" s="72">
        <f>SUMIF(Adat!$AH:$AH,CONCATENATE(Info!$D$5,"(ÁIG)","0591241",L2228),Adat!$E:$E)</f>
        <v>0</v>
      </c>
    </row>
    <row r="2257" spans="2:18" x14ac:dyDescent="0.25">
      <c r="B2257" s="160">
        <v>27</v>
      </c>
      <c r="C2257" s="305" t="s">
        <v>1466</v>
      </c>
      <c r="D2257" s="161" t="s">
        <v>413</v>
      </c>
      <c r="E2257" s="72">
        <f>SUMIF(Adat!$AG:$AG,CONCATENATE(61,Info!$D$5,"0591251",L2228),Adat!$E:$E)</f>
        <v>0</v>
      </c>
      <c r="F2257" s="72">
        <f>SUMIF(Adat!$AG:$AG,CONCATENATE(60,Info!$D$5,"0591251",L2228),Adat!$E:$E)+E2257</f>
        <v>0</v>
      </c>
      <c r="G2257" s="72">
        <f>SUMIF(Adat!$AH:$AH,CONCATENATE(Info!$D$5,"(KÖT)","0591251",L2228),Adat!$E:$E)</f>
        <v>0</v>
      </c>
      <c r="H2257" s="72">
        <f>SUMIF(Adat!$AH:$AH,CONCATENATE(Info!$D$5,"(ÖNV)","0591251",L2228),Adat!$E:$E)</f>
        <v>0</v>
      </c>
      <c r="I2257" s="72">
        <f>SUMIF(Adat!$AH:$AH,CONCATENATE(Info!$D$5,"(ÁIG)","0591251",L2228),Adat!$E:$E)</f>
        <v>0</v>
      </c>
    </row>
    <row r="2258" spans="2:18" s="42" customFormat="1" x14ac:dyDescent="0.25">
      <c r="B2258" s="160">
        <v>28</v>
      </c>
      <c r="C2258" s="305" t="s">
        <v>1468</v>
      </c>
      <c r="D2258" s="161" t="s">
        <v>414</v>
      </c>
      <c r="E2258" s="72">
        <f>SUMIF(Adat!$AG:$AG,CONCATENATE(61,Info!$D$5,"0591261",L2228),Adat!$E:$E)</f>
        <v>0</v>
      </c>
      <c r="F2258" s="72">
        <f>SUMIF(Adat!$AG:$AG,CONCATENATE(60,Info!$D$5,"0591261",L2228),Adat!$E:$E)+E2258</f>
        <v>0</v>
      </c>
      <c r="G2258" s="72">
        <f>SUMIF(Adat!$AH:$AH,CONCATENATE(Info!$D$5,"(KÖT)","0591261",L2228),Adat!$E:$E)</f>
        <v>0</v>
      </c>
      <c r="H2258" s="72">
        <f>SUMIF(Adat!$AH:$AH,CONCATENATE(Info!$D$5,"(ÖNV)","0591261",L2228),Adat!$E:$E)</f>
        <v>0</v>
      </c>
      <c r="I2258" s="72">
        <f>SUMIF(Adat!$AH:$AH,CONCATENATE(Info!$D$5,"(ÁIG)","0591261",L2228),Adat!$E:$E)</f>
        <v>0</v>
      </c>
    </row>
    <row r="2259" spans="2:18" x14ac:dyDescent="0.25">
      <c r="B2259" s="160">
        <v>29</v>
      </c>
      <c r="C2259" s="78" t="s">
        <v>379</v>
      </c>
      <c r="D2259" s="86" t="s">
        <v>1470</v>
      </c>
      <c r="E2259" s="71">
        <f>+E2260+E2261+E2263+E2264+E2262</f>
        <v>0</v>
      </c>
      <c r="F2259" s="71">
        <f>+F2260+F2261+F2263+F2264+F2262</f>
        <v>0</v>
      </c>
      <c r="G2259" s="71">
        <f>+G2260+G2261+G2263+G2264+G2262</f>
        <v>0</v>
      </c>
      <c r="H2259" s="71">
        <f>+H2260+H2261+H2263+H2264+H2262</f>
        <v>0</v>
      </c>
      <c r="I2259" s="71">
        <f>+I2260+I2261+I2263+I2264+I2262</f>
        <v>0</v>
      </c>
      <c r="R2259" s="43"/>
    </row>
    <row r="2260" spans="2:18" x14ac:dyDescent="0.25">
      <c r="B2260" s="160">
        <v>30</v>
      </c>
      <c r="C2260" s="305" t="s">
        <v>1471</v>
      </c>
      <c r="D2260" s="161" t="s">
        <v>416</v>
      </c>
      <c r="E2260" s="72">
        <f>SUMIF(Adat!$AG:$AG,CONCATENATE(61,Info!$D$5,"059131",L2228),Adat!$E:$E)</f>
        <v>0</v>
      </c>
      <c r="F2260" s="72">
        <f>SUMIF(Adat!$AG:$AG,CONCATENATE(60,Info!$D$5,"059131",L2228),Adat!$E:$E)+E2260</f>
        <v>0</v>
      </c>
      <c r="G2260" s="72">
        <f>SUMIF(Adat!$AH:$AH,CONCATENATE(Info!$D$5,"(KÖT)","059131",L2228),Adat!$E:$E)</f>
        <v>0</v>
      </c>
      <c r="H2260" s="72">
        <f>SUMIF(Adat!$AH:$AH,CONCATENATE(Info!$D$5,"(ÖNV)","059131",L2228),Adat!$E:$E)</f>
        <v>0</v>
      </c>
      <c r="I2260" s="72">
        <f>SUMIF(Adat!$AH:$AH,CONCATENATE(Info!$D$5,"(ÁIG)","059131",L2228),Adat!$E:$E)</f>
        <v>0</v>
      </c>
    </row>
    <row r="2261" spans="2:18" x14ac:dyDescent="0.25">
      <c r="B2261" s="160">
        <v>31</v>
      </c>
      <c r="C2261" s="305" t="s">
        <v>1287</v>
      </c>
      <c r="D2261" s="161" t="s">
        <v>417</v>
      </c>
      <c r="E2261" s="72">
        <f>SUMIF(Adat!$AG:$AG,CONCATENATE(61,Info!$D$5,"059141",L2228),Adat!$E:$E)</f>
        <v>0</v>
      </c>
      <c r="F2261" s="72">
        <f>SUMIF(Adat!$AG:$AG,CONCATENATE(60,Info!$D$5,"059141",L2228),Adat!$E:$E)+E2261</f>
        <v>0</v>
      </c>
      <c r="G2261" s="72">
        <f>SUMIF(Adat!$AH:$AH,CONCATENATE(Info!$D$5,"(KÖT)","059141",L2228),Adat!$E:$E)</f>
        <v>0</v>
      </c>
      <c r="H2261" s="72">
        <f>SUMIF(Adat!$AH:$AH,CONCATENATE(Info!$D$5,"(ÖNV)","059141",L2228),Adat!$E:$E)</f>
        <v>0</v>
      </c>
      <c r="I2261" s="72">
        <f>SUMIF(Adat!$AH:$AH,CONCATENATE(Info!$D$5,"(ÁIG)","059141",L2228),Adat!$E:$E)</f>
        <v>0</v>
      </c>
    </row>
    <row r="2262" spans="2:18" x14ac:dyDescent="0.25">
      <c r="B2262" s="160">
        <v>32</v>
      </c>
      <c r="C2262" s="316" t="s">
        <v>1253</v>
      </c>
      <c r="D2262" s="161" t="s">
        <v>493</v>
      </c>
      <c r="E2262" s="72">
        <f>SUMIF(Adat!$AG:$AG,CONCATENATE(61,Info!$D$5,"059151",L2228),Adat!$E:$E)</f>
        <v>0</v>
      </c>
      <c r="F2262" s="72">
        <f>SUMIF(Adat!$AG:$AG,CONCATENATE(60,Info!$D$5,"059151",L2228),Adat!$E:$E)+E2262</f>
        <v>0</v>
      </c>
      <c r="G2262" s="72">
        <f>SUMIF(Adat!$AH:$AH,CONCATENATE(Info!$D$5,"(KÖT)","059151",L2228),Adat!$E:$E)</f>
        <v>0</v>
      </c>
      <c r="H2262" s="72">
        <f>SUMIF(Adat!$AH:$AH,CONCATENATE(Info!$D$5,"(ÖNV)","059151",L2228),Adat!$E:$E)</f>
        <v>0</v>
      </c>
      <c r="I2262" s="72">
        <f>SUMIF(Adat!$AH:$AH,CONCATENATE(Info!$D$5,"(ÁIG)","059151",L2228),Adat!$E:$E)</f>
        <v>0</v>
      </c>
    </row>
    <row r="2263" spans="2:18" s="42" customFormat="1" x14ac:dyDescent="0.25">
      <c r="B2263" s="160">
        <v>33</v>
      </c>
      <c r="C2263" s="305" t="s">
        <v>1474</v>
      </c>
      <c r="D2263" s="161" t="s">
        <v>418</v>
      </c>
      <c r="E2263" s="72">
        <f>SUMIF(Adat!$AG:$AG,CONCATENATE(61,Info!$D$5,"059161",L2228),Adat!$E:$E)</f>
        <v>0</v>
      </c>
      <c r="F2263" s="72">
        <f>SUMIF(Adat!$AG:$AG,CONCATENATE(60,Info!$D$5,"059161",L2228),Adat!$E:$E)+E2263</f>
        <v>0</v>
      </c>
      <c r="G2263" s="72">
        <f>SUMIF(Adat!$AH:$AH,CONCATENATE(Info!$D$5,"(KÖT)","059161",L2228),Adat!$E:$E)</f>
        <v>0</v>
      </c>
      <c r="H2263" s="72">
        <f>SUMIF(Adat!$AH:$AH,CONCATENATE(Info!$D$5,"(ÖNV)","059161",L2228),Adat!$E:$E)</f>
        <v>0</v>
      </c>
      <c r="I2263" s="72">
        <f>SUMIF(Adat!$AH:$AH,CONCATENATE(Info!$D$5,"(ÁIG)","059161",L2228),Adat!$E:$E)</f>
        <v>0</v>
      </c>
    </row>
    <row r="2264" spans="2:18" s="42" customFormat="1" x14ac:dyDescent="0.25">
      <c r="B2264" s="160">
        <v>34</v>
      </c>
      <c r="C2264" s="305" t="s">
        <v>1476</v>
      </c>
      <c r="D2264" s="161" t="s">
        <v>419</v>
      </c>
      <c r="E2264" s="72">
        <f>SUMIF(Adat!$AG:$AG,CONCATENATE(61,Info!$D$5,"059171",L2228),Adat!$E:$E)</f>
        <v>0</v>
      </c>
      <c r="F2264" s="72">
        <f>SUMIF(Adat!$AG:$AG,CONCATENATE(60,Info!$D$5,"059171",L2228),Adat!$E:$E)+E2264</f>
        <v>0</v>
      </c>
      <c r="G2264" s="72">
        <f>SUMIF(Adat!$AH:$AH,CONCATENATE(Info!$D$5,"(KÖT)","059171",L2228),Adat!$E:$E)</f>
        <v>0</v>
      </c>
      <c r="H2264" s="72">
        <f>SUMIF(Adat!$AH:$AH,CONCATENATE(Info!$D$5,"(ÖNV)","059171",L2228),Adat!$E:$E)</f>
        <v>0</v>
      </c>
      <c r="I2264" s="72">
        <f>SUMIF(Adat!$AH:$AH,CONCATENATE(Info!$D$5,"(ÁIG)","059171",L2228),Adat!$E:$E)</f>
        <v>0</v>
      </c>
    </row>
    <row r="2265" spans="2:18" s="42" customFormat="1" x14ac:dyDescent="0.25">
      <c r="B2265" s="160">
        <v>35</v>
      </c>
      <c r="C2265" s="78" t="s">
        <v>420</v>
      </c>
      <c r="D2265" s="86" t="s">
        <v>1478</v>
      </c>
      <c r="E2265" s="73">
        <f>+E2266+E2267+E2268+E2269+E2270</f>
        <v>0</v>
      </c>
      <c r="F2265" s="73">
        <f>+F2266+F2267+F2268+F2269+F2270</f>
        <v>0</v>
      </c>
      <c r="G2265" s="73">
        <f>+G2266+G2267+G2268+G2269+G2270</f>
        <v>0</v>
      </c>
      <c r="H2265" s="73">
        <f>+H2266+H2267+H2268+H2269+H2270</f>
        <v>0</v>
      </c>
      <c r="I2265" s="73">
        <f>+I2266+I2267+I2268+I2269+I2270</f>
        <v>0</v>
      </c>
    </row>
    <row r="2266" spans="2:18" s="42" customFormat="1" x14ac:dyDescent="0.25">
      <c r="B2266" s="160">
        <v>36</v>
      </c>
      <c r="C2266" s="305" t="s">
        <v>1479</v>
      </c>
      <c r="D2266" s="161" t="s">
        <v>422</v>
      </c>
      <c r="E2266" s="72">
        <f>SUMIF(Adat!$AG:$AG,CONCATENATE(61,Info!$D$5,"059211",L2228),Adat!$E:$E)</f>
        <v>0</v>
      </c>
      <c r="F2266" s="72">
        <f>SUMIF(Adat!$AG:$AG,CONCATENATE(60,Info!$D$5,"059211",L2228),Adat!$E:$E)+E2266</f>
        <v>0</v>
      </c>
      <c r="G2266" s="72">
        <f>SUMIF(Adat!$AH:$AH,CONCATENATE(Info!$D$5,"(KÖT)","059211",L2228),Adat!$E:$E)</f>
        <v>0</v>
      </c>
      <c r="H2266" s="72">
        <f>SUMIF(Adat!$AH:$AH,CONCATENATE(Info!$D$5,"(ÖNV)","059211",L2228),Adat!$E:$E)</f>
        <v>0</v>
      </c>
      <c r="I2266" s="72">
        <f>SUMIF(Adat!$AH:$AH,CONCATENATE(Info!$D$5,"(ÁIG)","059211",L2228),Adat!$E:$E)</f>
        <v>0</v>
      </c>
    </row>
    <row r="2267" spans="2:18" s="42" customFormat="1" x14ac:dyDescent="0.25">
      <c r="B2267" s="160">
        <v>37</v>
      </c>
      <c r="C2267" s="305" t="s">
        <v>1481</v>
      </c>
      <c r="D2267" s="161" t="s">
        <v>423</v>
      </c>
      <c r="E2267" s="72">
        <f>SUMIF(Adat!$AG:$AG,CONCATENATE(61,Info!$D$5,"059221",L2228),Adat!$E:$E)</f>
        <v>0</v>
      </c>
      <c r="F2267" s="72">
        <f>SUMIF(Adat!$AG:$AG,CONCATENATE(60,Info!$D$5,"059221",L2228),Adat!$E:$E)+E2267</f>
        <v>0</v>
      </c>
      <c r="G2267" s="72">
        <f>SUMIF(Adat!$AH:$AH,CONCATENATE(Info!$D$5,"(KÖT)","059221",L2228),Adat!$E:$E)</f>
        <v>0</v>
      </c>
      <c r="H2267" s="72">
        <f>SUMIF(Adat!$AH:$AH,CONCATENATE(Info!$D$5,"(ÖNV)","059221",L2228),Adat!$E:$E)</f>
        <v>0</v>
      </c>
      <c r="I2267" s="72">
        <f>SUMIF(Adat!$AH:$AH,CONCATENATE(Info!$D$5,"(ÁIG)","059221",L2228),Adat!$E:$E)</f>
        <v>0</v>
      </c>
    </row>
    <row r="2268" spans="2:18" s="42" customFormat="1" x14ac:dyDescent="0.25">
      <c r="B2268" s="160">
        <v>38</v>
      </c>
      <c r="C2268" s="305" t="s">
        <v>1483</v>
      </c>
      <c r="D2268" s="161" t="s">
        <v>424</v>
      </c>
      <c r="E2268" s="72">
        <f>SUMIF(Adat!$AG:$AG,CONCATENATE(61,Info!$D$5,"059231",L2228),Adat!$E:$E)</f>
        <v>0</v>
      </c>
      <c r="F2268" s="72">
        <f>SUMIF(Adat!$AG:$AG,CONCATENATE(60,Info!$D$5,"059231",L2228),Adat!$E:$E)+E2268</f>
        <v>0</v>
      </c>
      <c r="G2268" s="72">
        <f>SUMIF(Adat!$AH:$AH,CONCATENATE(Info!$D$5,"(KÖT)","059231",L2228),Adat!$E:$E)</f>
        <v>0</v>
      </c>
      <c r="H2268" s="72">
        <f>SUMIF(Adat!$AH:$AH,CONCATENATE(Info!$D$5,"(ÖNV)","059231",L2228),Adat!$E:$E)</f>
        <v>0</v>
      </c>
      <c r="I2268" s="72">
        <f>SUMIF(Adat!$AH:$AH,CONCATENATE(Info!$D$5,"(ÁIG)","059231",L2228),Adat!$E:$E)</f>
        <v>0</v>
      </c>
    </row>
    <row r="2269" spans="2:18" s="42" customFormat="1" x14ac:dyDescent="0.25">
      <c r="B2269" s="160">
        <v>39</v>
      </c>
      <c r="C2269" s="305" t="s">
        <v>1485</v>
      </c>
      <c r="D2269" s="161" t="s">
        <v>494</v>
      </c>
      <c r="E2269" s="72">
        <f>SUMIF(Adat!$AG:$AG,CONCATENATE(61,Info!$D$5,"059241",L2228),Adat!$E:$E)</f>
        <v>0</v>
      </c>
      <c r="F2269" s="72">
        <f>SUMIF(Adat!$AG:$AG,CONCATENATE(60,Info!$D$5,"059241",L2228),Adat!$E:$E)+E2269</f>
        <v>0</v>
      </c>
      <c r="G2269" s="72">
        <f>SUMIF(Adat!$AH:$AH,CONCATENATE(Info!$D$5,"(KÖT)","059241",L2228),Adat!$E:$E)</f>
        <v>0</v>
      </c>
      <c r="H2269" s="72">
        <f>SUMIF(Adat!$AH:$AH,CONCATENATE(Info!$D$5,"(ÖNV)","059241",L2228),Adat!$E:$E)</f>
        <v>0</v>
      </c>
      <c r="I2269" s="72">
        <f>SUMIF(Adat!$AH:$AH,CONCATENATE(Info!$D$5,"(ÁIG)","059241",L2228),Adat!$E:$E)</f>
        <v>0</v>
      </c>
    </row>
    <row r="2270" spans="2:18" x14ac:dyDescent="0.25">
      <c r="B2270" s="160">
        <v>40</v>
      </c>
      <c r="C2270" s="305" t="s">
        <v>1487</v>
      </c>
      <c r="D2270" s="161" t="s">
        <v>427</v>
      </c>
      <c r="E2270" s="72">
        <f>SUMIF(Adat!$AG:$AG,CONCATENATE(61,Info!$D$5,"059251",L2228),Adat!$E:$E)</f>
        <v>0</v>
      </c>
      <c r="F2270" s="72">
        <f>SUMIF(Adat!$AG:$AG,CONCATENATE(60,Info!$D$5,"059251",L2228),Adat!$E:$E)+E2270</f>
        <v>0</v>
      </c>
      <c r="G2270" s="72">
        <f>SUMIF(Adat!$AH:$AH,CONCATENATE(Info!$D$5,"(KÖT)","059251",L2228),Adat!$E:$E)</f>
        <v>0</v>
      </c>
      <c r="H2270" s="72">
        <f>SUMIF(Adat!$AH:$AH,CONCATENATE(Info!$D$5,"(ÖNV)","059251",L2228),Adat!$E:$E)</f>
        <v>0</v>
      </c>
      <c r="I2270" s="72">
        <f>SUMIF(Adat!$AH:$AH,CONCATENATE(Info!$D$5,"(ÁIG)","059251",L2228),Adat!$E:$E)</f>
        <v>0</v>
      </c>
    </row>
    <row r="2271" spans="2:18" x14ac:dyDescent="0.25">
      <c r="B2271" s="160">
        <v>41</v>
      </c>
      <c r="C2271" s="162" t="s">
        <v>390</v>
      </c>
      <c r="D2271" s="86" t="s">
        <v>428</v>
      </c>
      <c r="E2271" s="72">
        <f>SUMIF(Adat!$AG:$AG,CONCATENATE(61,Info!$D$5,"05931",L2228),Adat!$E:$E)</f>
        <v>0</v>
      </c>
      <c r="F2271" s="72">
        <f>SUMIF(Adat!$AG:$AG,CONCATENATE(60,Info!$D$5,"05931",L2228),Adat!$E:$E)+E2271</f>
        <v>0</v>
      </c>
      <c r="G2271" s="72">
        <f>SUMIF(Adat!$AH:$AH,CONCATENATE(Info!$D$5,"(KÖT)","05931",L2228),Adat!$E:$E)</f>
        <v>0</v>
      </c>
      <c r="H2271" s="72">
        <f>SUMIF(Adat!$AH:$AH,CONCATENATE(Info!$D$5,"(ÖNV)","05931",L2228),Adat!$E:$E)</f>
        <v>0</v>
      </c>
      <c r="I2271" s="72">
        <f>SUMIF(Adat!$AH:$AH,CONCATENATE(Info!$D$5,"(ÁIG)","05931",L2228),Adat!$E:$E)</f>
        <v>0</v>
      </c>
    </row>
    <row r="2272" spans="2:18" x14ac:dyDescent="0.25">
      <c r="B2272" s="160">
        <v>42</v>
      </c>
      <c r="C2272" s="162" t="s">
        <v>429</v>
      </c>
      <c r="D2272" s="86" t="s">
        <v>430</v>
      </c>
      <c r="E2272" s="72">
        <f>SUMIF(Adat!$AG:$AG,CONCATENATE(61,Info!$D$5,"05941",L2228),Adat!$E:$E)</f>
        <v>0</v>
      </c>
      <c r="F2272" s="72">
        <f>SUMIF(Adat!$AG:$AG,CONCATENATE(60,Info!$D$5,"05941",L2228),Adat!$E:$E)+E2272</f>
        <v>0</v>
      </c>
      <c r="G2272" s="72">
        <f>SUMIF(Adat!$AH:$AH,CONCATENATE(Info!$D$5,"(KÖT)","05941",L2228),Adat!$E:$E)</f>
        <v>0</v>
      </c>
      <c r="H2272" s="72">
        <f>SUMIF(Adat!$AH:$AH,CONCATENATE(Info!$D$5,"(ÖNV)","05941",L2228),Adat!$E:$E)</f>
        <v>0</v>
      </c>
      <c r="I2272" s="72">
        <f>SUMIF(Adat!$AH:$AH,CONCATENATE(Info!$D$5,"(ÁIG)","05941",L2228),Adat!$E:$E)</f>
        <v>0</v>
      </c>
    </row>
    <row r="2273" spans="2:12" x14ac:dyDescent="0.25">
      <c r="B2273" s="160">
        <v>43</v>
      </c>
      <c r="C2273" s="78" t="s">
        <v>431</v>
      </c>
      <c r="D2273" s="86" t="s">
        <v>432</v>
      </c>
      <c r="E2273" s="74">
        <f>+E2248+E2252+E2259+E2265+E2271+E2272</f>
        <v>0</v>
      </c>
      <c r="F2273" s="74">
        <f>+F2248+F2252+F2259+F2265+F2271+F2272</f>
        <v>0</v>
      </c>
      <c r="G2273" s="74">
        <f>+G2248+G2252+G2259+G2265+G2271+G2272</f>
        <v>0</v>
      </c>
      <c r="H2273" s="74">
        <f>+H2248+H2252+H2259+H2265+H2271+H2272</f>
        <v>0</v>
      </c>
      <c r="I2273" s="74">
        <f>+I2248+I2252+I2259+I2265+I2271+I2272</f>
        <v>0</v>
      </c>
    </row>
    <row r="2274" spans="2:12" x14ac:dyDescent="0.25">
      <c r="B2274" s="160">
        <v>44</v>
      </c>
      <c r="C2274" s="154" t="s">
        <v>433</v>
      </c>
      <c r="D2274" s="159" t="s">
        <v>434</v>
      </c>
      <c r="E2274" s="74">
        <f>+E2247+E2273</f>
        <v>0</v>
      </c>
      <c r="F2274" s="74">
        <f>+F2247+F2273</f>
        <v>0</v>
      </c>
      <c r="G2274" s="74">
        <f>+G2247+G2273</f>
        <v>0</v>
      </c>
      <c r="H2274" s="74">
        <f>+H2247+H2273</f>
        <v>0</v>
      </c>
      <c r="I2274" s="74">
        <f>+I2247+I2273</f>
        <v>0</v>
      </c>
    </row>
    <row r="2275" spans="2:12" s="37" customFormat="1" ht="15.75" x14ac:dyDescent="0.25">
      <c r="C2275" s="529"/>
      <c r="D2275" s="529"/>
      <c r="E2275" s="529"/>
      <c r="F2275" s="200"/>
      <c r="G2275" s="200"/>
      <c r="H2275" s="200"/>
      <c r="I2275" s="200"/>
    </row>
    <row r="2276" spans="2:12" s="38" customFormat="1" ht="15.75" x14ac:dyDescent="0.25">
      <c r="B2276" s="525" t="str">
        <f>PAR!$E$3</f>
        <v>Nagymaros Város Önkormányzata</v>
      </c>
      <c r="C2276" s="525"/>
      <c r="D2276" s="525"/>
      <c r="E2276" s="525"/>
      <c r="F2276" s="525"/>
      <c r="G2276" s="525"/>
      <c r="H2276" s="525"/>
      <c r="I2276" s="525"/>
    </row>
    <row r="2277" spans="2:12" s="38" customFormat="1" ht="15.75" x14ac:dyDescent="0.25">
      <c r="B2277" s="525" t="s">
        <v>2660</v>
      </c>
      <c r="C2277" s="525"/>
      <c r="D2277" s="525"/>
      <c r="E2277" s="525"/>
      <c r="F2277" s="525"/>
      <c r="G2277" s="525"/>
      <c r="H2277" s="525"/>
      <c r="I2277" s="525"/>
    </row>
    <row r="2278" spans="2:12" s="38" customFormat="1" ht="15.75" x14ac:dyDescent="0.25">
      <c r="C2278" s="156"/>
      <c r="E2278" s="140"/>
      <c r="F2278" s="140"/>
      <c r="G2278" s="140"/>
      <c r="H2278" s="140"/>
      <c r="I2278" s="140"/>
    </row>
    <row r="2279" spans="2:12" s="10" customFormat="1" ht="15.75" customHeight="1" x14ac:dyDescent="0.25">
      <c r="B2279" s="201" t="str">
        <f>CONCATENATE("33. Bevételi jogcímek"," - ",L2279," részletező")</f>
        <v>33. Bevételi jogcímek -  részletező</v>
      </c>
      <c r="C2279" s="101"/>
      <c r="D2279" s="101"/>
      <c r="E2279" s="101"/>
      <c r="F2279" s="101"/>
      <c r="G2279" s="198"/>
      <c r="H2279" s="198"/>
      <c r="I2279" s="198"/>
      <c r="L2279" s="384"/>
    </row>
    <row r="2280" spans="2:12" s="38" customFormat="1" ht="15.75" x14ac:dyDescent="0.25">
      <c r="C2280" s="156"/>
      <c r="E2280" s="140"/>
      <c r="F2280" s="140"/>
      <c r="G2280" s="140"/>
      <c r="H2280" s="140"/>
      <c r="I2280" s="140"/>
    </row>
    <row r="2281" spans="2:12" s="40" customFormat="1" x14ac:dyDescent="0.25">
      <c r="B2281" s="77"/>
      <c r="C2281" s="77" t="s">
        <v>350</v>
      </c>
      <c r="D2281" s="77" t="s">
        <v>351</v>
      </c>
      <c r="E2281" s="77" t="s">
        <v>470</v>
      </c>
      <c r="F2281" s="77" t="s">
        <v>471</v>
      </c>
      <c r="G2281" s="77" t="s">
        <v>44</v>
      </c>
      <c r="H2281" s="77" t="s">
        <v>42</v>
      </c>
      <c r="I2281" s="77" t="s">
        <v>511</v>
      </c>
    </row>
    <row r="2282" spans="2:12" ht="38.25" x14ac:dyDescent="0.25">
      <c r="B2282" s="160">
        <v>1</v>
      </c>
      <c r="C2282" s="154" t="s">
        <v>593</v>
      </c>
      <c r="D2282" s="154" t="s">
        <v>488</v>
      </c>
      <c r="E2282" s="163" t="str">
        <f>CONCATENATE(PAR!$H$3," évi
eredeti 
előirányzat")</f>
        <v>2025. évi
eredeti 
előirányzat</v>
      </c>
      <c r="F2282" s="163" t="str">
        <f>CONCATENATE(PAR!$H$3," évi
módosított 
előirányzat")</f>
        <v>2025. évi
módosított 
előirányzat</v>
      </c>
      <c r="G2282" s="69" t="s">
        <v>666</v>
      </c>
      <c r="H2282" s="69" t="s">
        <v>667</v>
      </c>
      <c r="I2282" s="69" t="s">
        <v>668</v>
      </c>
    </row>
    <row r="2283" spans="2:12" s="41" customFormat="1" x14ac:dyDescent="0.25">
      <c r="B2283" s="160">
        <v>2</v>
      </c>
      <c r="C2283" s="78" t="s">
        <v>1324</v>
      </c>
      <c r="D2283" s="79" t="s">
        <v>562</v>
      </c>
      <c r="E2283" s="71">
        <f>SUM(E2284:E2290)</f>
        <v>0</v>
      </c>
      <c r="F2283" s="71">
        <f t="shared" ref="F2283:I2283" si="240">SUM(F2284:F2290)</f>
        <v>0</v>
      </c>
      <c r="G2283" s="71">
        <f t="shared" si="240"/>
        <v>0</v>
      </c>
      <c r="H2283" s="71">
        <f t="shared" si="240"/>
        <v>0</v>
      </c>
      <c r="I2283" s="71">
        <f t="shared" si="240"/>
        <v>0</v>
      </c>
    </row>
    <row r="2284" spans="2:12" s="42" customFormat="1" x14ac:dyDescent="0.2">
      <c r="B2284" s="160">
        <v>3</v>
      </c>
      <c r="C2284" s="305" t="s">
        <v>1288</v>
      </c>
      <c r="D2284" s="82" t="s">
        <v>1325</v>
      </c>
      <c r="E2284" s="72">
        <f>SUMIF(Adat!$AG:$AG,CONCATENATE(61,Info!$D$5,"091111",L2279),Adat!$E:$E)*-1</f>
        <v>0</v>
      </c>
      <c r="F2284" s="72">
        <f>SUMIF(Adat!$AG:$AG,CONCATENATE(60,Info!$D$5,"091111",L2279),Adat!$E:$E)*(-1)+E2284</f>
        <v>0</v>
      </c>
      <c r="G2284" s="72">
        <f>SUMIF(Adat!$AH:$AH,CONCATENATE(Info!$D$5,"(KÖT)","091111",L2279),Adat!$E:$E)*-1</f>
        <v>0</v>
      </c>
      <c r="H2284" s="72">
        <f>SUMIF(Adat!$AH:$AH,CONCATENATE(Info!$D$5,"(ÖNV)","091111",L2279),Adat!$E:$E)*-1</f>
        <v>0</v>
      </c>
      <c r="I2284" s="72">
        <f>SUMIF(Adat!$AH:$AH,CONCATENATE(Info!$D$5,"(ÁIG)","091111",L2279),Adat!$E:$E)*-1</f>
        <v>0</v>
      </c>
    </row>
    <row r="2285" spans="2:12" x14ac:dyDescent="0.2">
      <c r="B2285" s="160">
        <v>4</v>
      </c>
      <c r="C2285" s="305" t="s">
        <v>1289</v>
      </c>
      <c r="D2285" s="82" t="s">
        <v>735</v>
      </c>
      <c r="E2285" s="72">
        <f>SUMIF(Adat!$AG:$AG,CONCATENATE(61,Info!$D$5,"091121",L2279),Adat!$E:$E)*-1</f>
        <v>0</v>
      </c>
      <c r="F2285" s="72">
        <f>SUMIF(Adat!$AG:$AG,CONCATENATE(60,Info!$D$5,"091121",L2279),Adat!$E:$E)*-1+E2285</f>
        <v>0</v>
      </c>
      <c r="G2285" s="72">
        <f>SUMIF(Adat!$AH:$AH,CONCATENATE(Info!$D$5,"(KÖT)","091121",L2279),Adat!$E:$E)*-1</f>
        <v>0</v>
      </c>
      <c r="H2285" s="72">
        <f>SUMIF(Adat!$AH:$AH,CONCATENATE(Info!$D$5,"(ÖNV)","091121",L2279),Adat!$E:$E)*-1</f>
        <v>0</v>
      </c>
      <c r="I2285" s="72">
        <f>SUMIF(Adat!$AH:$AH,CONCATENATE(Info!$D$5,"(ÁIG)","091121",L2279),Adat!$E:$E)*-1</f>
        <v>0</v>
      </c>
    </row>
    <row r="2286" spans="2:12" x14ac:dyDescent="0.2">
      <c r="B2286" s="160">
        <v>5</v>
      </c>
      <c r="C2286" s="305" t="s">
        <v>1290</v>
      </c>
      <c r="D2286" s="82" t="s">
        <v>1326</v>
      </c>
      <c r="E2286" s="72">
        <f>SUMIF(Adat!$AG:$AG,CONCATENATE(61,Info!$D$5,"0911311",L2279),Adat!$E:$E)*-1</f>
        <v>0</v>
      </c>
      <c r="F2286" s="72">
        <f>SUMIF(Adat!$AG:$AG,CONCATENATE(60,Info!$D$5,"0911311",L2279),Adat!$E:$E)*-1+E2286</f>
        <v>0</v>
      </c>
      <c r="G2286" s="72">
        <f>SUMIF(Adat!$AH:$AH,CONCATENATE(Info!$D$5,"(KÖT)","0911311",L2279),Adat!$E:$E)*-1</f>
        <v>0</v>
      </c>
      <c r="H2286" s="72">
        <f>SUMIF(Adat!$AH:$AH,CONCATENATE(Info!$D$5,"(ÖNV)","0911311",L2279),Adat!$E:$E)*-1</f>
        <v>0</v>
      </c>
      <c r="I2286" s="72">
        <f>SUMIF(Adat!$AH:$AH,CONCATENATE(Info!$D$5,"(ÁIG)","0911311",L2279),Adat!$E:$E)*-1</f>
        <v>0</v>
      </c>
    </row>
    <row r="2287" spans="2:12" x14ac:dyDescent="0.2">
      <c r="B2287" s="160">
        <v>6</v>
      </c>
      <c r="C2287" s="305" t="s">
        <v>1254</v>
      </c>
      <c r="D2287" s="82" t="s">
        <v>736</v>
      </c>
      <c r="E2287" s="72">
        <f>SUMIF(Adat!$AG:$AG,CONCATENATE(61,Info!$D$5,"0911321",L2279),Adat!$E:$E)*-1</f>
        <v>0</v>
      </c>
      <c r="F2287" s="72">
        <f>SUMIF(Adat!$AG:$AG,CONCATENATE(60,Info!$D$5,"0911321",L2279),Adat!$E:$E)*-1+E2287</f>
        <v>0</v>
      </c>
      <c r="G2287" s="72">
        <f>SUMIF(Adat!$AH:$AH,CONCATENATE(Info!$D$5,"(KÖT)","0911321",L2279),Adat!$E:$E)*-1</f>
        <v>0</v>
      </c>
      <c r="H2287" s="72">
        <f>SUMIF(Adat!$AH:$AH,CONCATENATE(Info!$D$5,"(ÖNV)","0911321",L2279),Adat!$E:$E)*-1</f>
        <v>0</v>
      </c>
      <c r="I2287" s="72">
        <f>SUMIF(Adat!$AH:$AH,CONCATENATE(Info!$D$5,"(ÁIG)","0911321",L2279),Adat!$E:$E)*-1</f>
        <v>0</v>
      </c>
    </row>
    <row r="2288" spans="2:12" x14ac:dyDescent="0.25">
      <c r="B2288" s="160">
        <v>7</v>
      </c>
      <c r="C2288" s="305" t="s">
        <v>1291</v>
      </c>
      <c r="D2288" s="84" t="s">
        <v>737</v>
      </c>
      <c r="E2288" s="72">
        <f>SUMIF(Adat!$AG:$AG,CONCATENATE(61,Info!$D$5,"091141",L2279),Adat!$E:$E)*-1</f>
        <v>0</v>
      </c>
      <c r="F2288" s="72">
        <f>SUMIF(Adat!$AG:$AG,CONCATENATE(60,Info!$D$5,"091141",L2279),Adat!$E:$E)*-1+E2288</f>
        <v>0</v>
      </c>
      <c r="G2288" s="72">
        <f>SUMIF(Adat!$AH:$AH,CONCATENATE(Info!$D$5,"(KÖT)","091141",L2279),Adat!$E:$E)*-1</f>
        <v>0</v>
      </c>
      <c r="H2288" s="72">
        <f>SUMIF(Adat!$AH:$AH,CONCATENATE(Info!$D$5,"(ÖNV)","091141",L2279),Adat!$E:$E)*-1</f>
        <v>0</v>
      </c>
      <c r="I2288" s="72">
        <f>SUMIF(Adat!$AH:$AH,CONCATENATE(Info!$D$5,"(ÁIG)","091141",L2279),Adat!$E:$E)*-1</f>
        <v>0</v>
      </c>
    </row>
    <row r="2289" spans="2:9" x14ac:dyDescent="0.25">
      <c r="B2289" s="160">
        <v>8</v>
      </c>
      <c r="C2289" s="305" t="s">
        <v>1312</v>
      </c>
      <c r="D2289" s="84" t="s">
        <v>738</v>
      </c>
      <c r="E2289" s="72">
        <f>SUMIF(Adat!$AG:$AG,CONCATENATE(61,Info!$D$5,"091151",L2279),Adat!$E:$E)*-1</f>
        <v>0</v>
      </c>
      <c r="F2289" s="72">
        <f>SUMIF(Adat!$AG:$AG,CONCATENATE(60,Info!$D$5,"091151",L2279),Adat!$E:$E)*-1+E2289</f>
        <v>0</v>
      </c>
      <c r="G2289" s="72">
        <f>SUMIF(Adat!$AH:$AH,CONCATENATE(Info!$D$5,"(KÖT)","091151",L2279),Adat!$E:$E)*-1</f>
        <v>0</v>
      </c>
      <c r="H2289" s="72">
        <f>SUMIF(Adat!$AH:$AH,CONCATENATE(Info!$D$5,"(ÖNV)","091151",L2279),Adat!$E:$E)*-1</f>
        <v>0</v>
      </c>
      <c r="I2289" s="72">
        <f>SUMIF(Adat!$AH:$AH,CONCATENATE(Info!$D$5,"(ÁIG)","091151",L2279),Adat!$E:$E)*-1</f>
        <v>0</v>
      </c>
    </row>
    <row r="2290" spans="2:9" s="42" customFormat="1" x14ac:dyDescent="0.25">
      <c r="B2290" s="160">
        <v>9</v>
      </c>
      <c r="C2290" s="305" t="s">
        <v>1308</v>
      </c>
      <c r="D2290" s="84" t="s">
        <v>233</v>
      </c>
      <c r="E2290" s="72">
        <f>SUMIF(Adat!$AG:$AG,CONCATENATE(61,Info!$D$5,"091161",L2279),Adat!$E:$E)*-1</f>
        <v>0</v>
      </c>
      <c r="F2290" s="72">
        <f>SUMIF(Adat!$AG:$AG,CONCATENATE(60,Info!$D$5,"091161",L2279),Adat!$E:$E)*-1+E2290</f>
        <v>0</v>
      </c>
      <c r="G2290" s="72">
        <f>SUMIF(Adat!$AH:$AH,CONCATENATE(Info!$D$5,"(KÖT)","091161",L2279),Adat!$E:$E)*-1</f>
        <v>0</v>
      </c>
      <c r="H2290" s="72">
        <f>SUMIF(Adat!$AH:$AH,CONCATENATE(Info!$D$5,"(ÖNV)","091161",L2279),Adat!$E:$E)*-1</f>
        <v>0</v>
      </c>
      <c r="I2290" s="72">
        <f>SUMIF(Adat!$AH:$AH,CONCATENATE(Info!$D$5,"(ÁIG)","091161",L2279),Adat!$E:$E)*-1</f>
        <v>0</v>
      </c>
    </row>
    <row r="2291" spans="2:9" s="42" customFormat="1" x14ac:dyDescent="0.25">
      <c r="B2291" s="160">
        <v>10</v>
      </c>
      <c r="C2291" s="78" t="s">
        <v>1328</v>
      </c>
      <c r="D2291" s="85" t="s">
        <v>437</v>
      </c>
      <c r="E2291" s="71">
        <f>SUM(E2292:E2296)</f>
        <v>0</v>
      </c>
      <c r="F2291" s="71">
        <f t="shared" ref="F2291" si="241">SUM(F2292:F2296)</f>
        <v>0</v>
      </c>
      <c r="G2291" s="71">
        <f>SUM(G2292:G2296)</f>
        <v>0</v>
      </c>
      <c r="H2291" s="71">
        <f t="shared" ref="H2291:I2291" si="242">SUM(H2292:H2296)</f>
        <v>0</v>
      </c>
      <c r="I2291" s="71">
        <f t="shared" si="242"/>
        <v>0</v>
      </c>
    </row>
    <row r="2292" spans="2:9" s="42" customFormat="1" x14ac:dyDescent="0.2">
      <c r="B2292" s="160">
        <v>11</v>
      </c>
      <c r="C2292" s="305" t="s">
        <v>1329</v>
      </c>
      <c r="D2292" s="82" t="s">
        <v>1330</v>
      </c>
      <c r="E2292" s="72">
        <f>SUMIF(Adat!$AG:$AG,CONCATENATE(61,Info!$D$5,"09121",L2279),Adat!$E:$E)*-1</f>
        <v>0</v>
      </c>
      <c r="F2292" s="72">
        <f>SUMIF(Adat!$AG:$AG,CONCATENATE(60,Info!$D$5,"09121",L2279),Adat!$E:$E)*-1+E2292</f>
        <v>0</v>
      </c>
      <c r="G2292" s="72">
        <f>SUMIF(Adat!$AH:$AH,CONCATENATE(Info!$D$5,"(KÖT)","09121",L2279),Adat!$E:$E)*-1</f>
        <v>0</v>
      </c>
      <c r="H2292" s="72">
        <f>SUMIF(Adat!$AH:$AH,CONCATENATE(Info!$D$5,"(ÖNV)","09121",L2279),Adat!$E:$E)*-1</f>
        <v>0</v>
      </c>
      <c r="I2292" s="72">
        <f>SUMIF(Adat!$AH:$AH,CONCATENATE(Info!$D$5,"(ÁIG)","09121",L2279),Adat!$E:$E)*-1</f>
        <v>0</v>
      </c>
    </row>
    <row r="2293" spans="2:9" s="42" customFormat="1" x14ac:dyDescent="0.2">
      <c r="B2293" s="160">
        <v>12</v>
      </c>
      <c r="C2293" s="305" t="s">
        <v>1331</v>
      </c>
      <c r="D2293" s="82" t="s">
        <v>1332</v>
      </c>
      <c r="E2293" s="72">
        <f>SUMIF(Adat!$AG:$AG,CONCATENATE(61,Info!$D$5,"09131",L2279),Adat!$E:$E)*-1</f>
        <v>0</v>
      </c>
      <c r="F2293" s="72">
        <f>SUMIF(Adat!$AG:$AG,CONCATENATE(60,Info!$D$5,"09131",L2279),Adat!$E:$E)*-1+E2293</f>
        <v>0</v>
      </c>
      <c r="G2293" s="72">
        <f>SUMIF(Adat!$AH:$AH,CONCATENATE(Info!$D$5,"(KÖT)","09131",L2279),Adat!$E:$E)*-1</f>
        <v>0</v>
      </c>
      <c r="H2293" s="72">
        <f>SUMIF(Adat!$AH:$AH,CONCATENATE(Info!$D$5,"(ÖNV)","09131",L2279),Adat!$E:$E)*-1</f>
        <v>0</v>
      </c>
      <c r="I2293" s="72">
        <f>SUMIF(Adat!$AH:$AH,CONCATENATE(Info!$D$5,"(ÁIG)","09131",L2279),Adat!$E:$E)*-1</f>
        <v>0</v>
      </c>
    </row>
    <row r="2294" spans="2:9" s="42" customFormat="1" x14ac:dyDescent="0.2">
      <c r="B2294" s="160">
        <v>13</v>
      </c>
      <c r="C2294" s="305" t="s">
        <v>1333</v>
      </c>
      <c r="D2294" s="82" t="s">
        <v>1334</v>
      </c>
      <c r="E2294" s="72">
        <f>SUMIF(Adat!$AG:$AG,CONCATENATE(61,Info!$D$5,"09141",L2279),Adat!$E:$E)*-1</f>
        <v>0</v>
      </c>
      <c r="F2294" s="72">
        <f>SUMIF(Adat!$AG:$AG,CONCATENATE(60,Info!$D$5,"09141",L2279),Adat!$E:$E)*-1+E2294</f>
        <v>0</v>
      </c>
      <c r="G2294" s="72">
        <f>SUMIF(Adat!$AH:$AH,CONCATENATE(Info!$D$5,"(KÖT)","09141",L2279),Adat!$E:$E)*-1</f>
        <v>0</v>
      </c>
      <c r="H2294" s="72">
        <f>SUMIF(Adat!$AH:$AH,CONCATENATE(Info!$D$5,"(ÖNV)","09141",L2279),Adat!$E:$E)*-1</f>
        <v>0</v>
      </c>
      <c r="I2294" s="72">
        <f>SUMIF(Adat!$AH:$AH,CONCATENATE(Info!$D$5,"(ÁIG)","09141",L2279),Adat!$E:$E)*-1</f>
        <v>0</v>
      </c>
    </row>
    <row r="2295" spans="2:9" s="42" customFormat="1" x14ac:dyDescent="0.2">
      <c r="B2295" s="160">
        <v>14</v>
      </c>
      <c r="C2295" s="305" t="s">
        <v>1335</v>
      </c>
      <c r="D2295" s="82" t="s">
        <v>1336</v>
      </c>
      <c r="E2295" s="72">
        <f>SUMIF(Adat!$AG:$AG,CONCATENATE(61,Info!$D$5,"09151",L2279),Adat!$E:$E)*-1</f>
        <v>0</v>
      </c>
      <c r="F2295" s="72">
        <f>SUMIF(Adat!$AG:$AG,CONCATENATE(60,Info!$D$5,"09151",L2279),Adat!$E:$E)*-1+E2295</f>
        <v>0</v>
      </c>
      <c r="G2295" s="72">
        <f>SUMIF(Adat!$AH:$AH,CONCATENATE(Info!$D$5,"(KÖT)","09151",L2279),Adat!$E:$E)*-1</f>
        <v>0</v>
      </c>
      <c r="H2295" s="72">
        <f>SUMIF(Adat!$AH:$AH,CONCATENATE(Info!$D$5,"(ÖNV)","09151",L2279),Adat!$E:$E)*-1</f>
        <v>0</v>
      </c>
      <c r="I2295" s="72">
        <f>SUMIF(Adat!$AH:$AH,CONCATENATE(Info!$D$5,"(ÁIG)","09151",L2279),Adat!$E:$E)*-1</f>
        <v>0</v>
      </c>
    </row>
    <row r="2296" spans="2:9" s="42" customFormat="1" x14ac:dyDescent="0.2">
      <c r="B2296" s="160">
        <v>15</v>
      </c>
      <c r="C2296" s="305" t="s">
        <v>1278</v>
      </c>
      <c r="D2296" s="82" t="s">
        <v>1337</v>
      </c>
      <c r="E2296" s="72">
        <f>SUMIF(Adat!$AG:$AG,CONCATENATE(61,Info!$D$5,"09161",L2279),Adat!$E:$E)*-1</f>
        <v>0</v>
      </c>
      <c r="F2296" s="72">
        <f>SUMIF(Adat!$AG:$AG,CONCATENATE(60,Info!$D$5,"09161",L2279),Adat!$E:$E)*-1+E2296</f>
        <v>0</v>
      </c>
      <c r="G2296" s="72">
        <f>SUMIF(Adat!$AH:$AH,CONCATENATE(Info!$D$5,"(KÖT)","09161",L2279),Adat!$E:$E)*-1</f>
        <v>0</v>
      </c>
      <c r="H2296" s="72">
        <f>SUMIF(Adat!$AH:$AH,CONCATENATE(Info!$D$5,"(ÖNV)","09161",L2279),Adat!$E:$E)*-1</f>
        <v>0</v>
      </c>
      <c r="I2296" s="72">
        <f>SUMIF(Adat!$AH:$AH,CONCATENATE(Info!$D$5,"(ÁIG)","09161",L2279),Adat!$E:$E)*-1</f>
        <v>0</v>
      </c>
    </row>
    <row r="2297" spans="2:9" x14ac:dyDescent="0.25">
      <c r="B2297" s="160">
        <v>16</v>
      </c>
      <c r="C2297" s="79" t="s">
        <v>24</v>
      </c>
      <c r="D2297" s="79" t="s">
        <v>449</v>
      </c>
      <c r="E2297" s="71">
        <f t="shared" ref="E2297:F2297" si="243">SUM(E2298:E2302)</f>
        <v>0</v>
      </c>
      <c r="F2297" s="71">
        <f t="shared" si="243"/>
        <v>0</v>
      </c>
      <c r="G2297" s="71">
        <f>SUM(G2298:G2302)</f>
        <v>0</v>
      </c>
      <c r="H2297" s="71">
        <f t="shared" ref="H2297:I2297" si="244">SUM(H2298:H2302)</f>
        <v>0</v>
      </c>
      <c r="I2297" s="71">
        <f t="shared" si="244"/>
        <v>0</v>
      </c>
    </row>
    <row r="2298" spans="2:9" x14ac:dyDescent="0.2">
      <c r="B2298" s="160">
        <v>17</v>
      </c>
      <c r="C2298" s="305" t="s">
        <v>1339</v>
      </c>
      <c r="D2298" s="82" t="s">
        <v>1340</v>
      </c>
      <c r="E2298" s="72">
        <f>SUMIF(Adat!$AG:$AG,CONCATENATE(61,Info!$D$5,"09211",L2279),Adat!$E:$E)*-1</f>
        <v>0</v>
      </c>
      <c r="F2298" s="72">
        <f>SUMIF(Adat!$AG:$AG,CONCATENATE(60,Info!$D$5,"09211",L2279),Adat!$E:$E)*-1+E2298</f>
        <v>0</v>
      </c>
      <c r="G2298" s="72">
        <f>SUMIF(Adat!$AH:$AH,CONCATENATE(Info!$D$5,"(KÖT)","09211",L2279),Adat!$E:$E)*-1</f>
        <v>0</v>
      </c>
      <c r="H2298" s="72">
        <f>SUMIF(Adat!$AH:$AH,CONCATENATE(Info!$D$5,"(ÖNV)","09211",L2279),Adat!$E:$E)*-1</f>
        <v>0</v>
      </c>
      <c r="I2298" s="72">
        <f>SUMIF(Adat!$AH:$AH,CONCATENATE(Info!$D$5,"(ÁIG)","09211",L2279),Adat!$E:$E)*-1</f>
        <v>0</v>
      </c>
    </row>
    <row r="2299" spans="2:9" s="42" customFormat="1" x14ac:dyDescent="0.2">
      <c r="B2299" s="160">
        <v>18</v>
      </c>
      <c r="C2299" s="305" t="s">
        <v>1341</v>
      </c>
      <c r="D2299" s="82" t="s">
        <v>1342</v>
      </c>
      <c r="E2299" s="72">
        <f>SUMIF(Adat!$AG:$AG,CONCATENATE(61,Info!$D$5,"09221",L2279),Adat!$E:$E)*-1</f>
        <v>0</v>
      </c>
      <c r="F2299" s="72">
        <f>SUMIF(Adat!$AG:$AG,CONCATENATE(60,Info!$D$5,"09221",L2279),Adat!$E:$E)*-1+E2299</f>
        <v>0</v>
      </c>
      <c r="G2299" s="72">
        <f>SUMIF(Adat!$AH:$AH,CONCATENATE(Info!$D$5,"(KÖT)","09221",L2279),Adat!$E:$E)*-1</f>
        <v>0</v>
      </c>
      <c r="H2299" s="72">
        <f>SUMIF(Adat!$AH:$AH,CONCATENATE(Info!$D$5,"(ÖNV)","09221",L2279),Adat!$E:$E)*-1</f>
        <v>0</v>
      </c>
      <c r="I2299" s="72">
        <f>SUMIF(Adat!$AH:$AH,CONCATENATE(Info!$D$5,"(ÁIG)","09221",L2279),Adat!$E:$E)*-1</f>
        <v>0</v>
      </c>
    </row>
    <row r="2300" spans="2:9" x14ac:dyDescent="0.2">
      <c r="B2300" s="160">
        <v>19</v>
      </c>
      <c r="C2300" s="305" t="s">
        <v>1343</v>
      </c>
      <c r="D2300" s="82" t="s">
        <v>1344</v>
      </c>
      <c r="E2300" s="72">
        <f>SUMIF(Adat!$AG:$AG,CONCATENATE(61,Info!$D$5,"09231",L2279),Adat!$E:$E)*-1</f>
        <v>0</v>
      </c>
      <c r="F2300" s="72">
        <f>SUMIF(Adat!$AG:$AG,CONCATENATE(60,Info!$D$5,"09231",L2279),Adat!$E:$E)*-1+E2300</f>
        <v>0</v>
      </c>
      <c r="G2300" s="72">
        <f>SUMIF(Adat!$AH:$AH,CONCATENATE(Info!$D$5,"(KÖT)","09231",L2279),Adat!$E:$E)*-1</f>
        <v>0</v>
      </c>
      <c r="H2300" s="72">
        <f>SUMIF(Adat!$AH:$AH,CONCATENATE(Info!$D$5,"(ÖNV)","09231",L2279),Adat!$E:$E)*-1</f>
        <v>0</v>
      </c>
      <c r="I2300" s="72">
        <f>SUMIF(Adat!$AH:$AH,CONCATENATE(Info!$D$5,"(ÁIG)","09231",L2279),Adat!$E:$E)*-1</f>
        <v>0</v>
      </c>
    </row>
    <row r="2301" spans="2:9" x14ac:dyDescent="0.2">
      <c r="B2301" s="160">
        <v>20</v>
      </c>
      <c r="C2301" s="305" t="s">
        <v>1345</v>
      </c>
      <c r="D2301" s="82" t="s">
        <v>1346</v>
      </c>
      <c r="E2301" s="72">
        <f>SUMIF(Adat!$AG:$AG,CONCATENATE(61,Info!$D$5,"09241",L2279),Adat!$E:$E)*-1</f>
        <v>0</v>
      </c>
      <c r="F2301" s="72">
        <f>SUMIF(Adat!$AG:$AG,CONCATENATE(60,Info!$D$5,"09241",L2279),Adat!$E:$E)*-1+E2301</f>
        <v>0</v>
      </c>
      <c r="G2301" s="72">
        <f>SUMIF(Adat!$AH:$AH,CONCATENATE(Info!$D$5,"(KÖT)","09241",L2279),Adat!$E:$E)*-1</f>
        <v>0</v>
      </c>
      <c r="H2301" s="72">
        <f>SUMIF(Adat!$AH:$AH,CONCATENATE(Info!$D$5,"(ÖNV)","09241",L2279),Adat!$E:$E)*-1</f>
        <v>0</v>
      </c>
      <c r="I2301" s="72">
        <f>SUMIF(Adat!$AH:$AH,CONCATENATE(Info!$D$5,"(ÁIG)","09241",L2279),Adat!$E:$E)*-1</f>
        <v>0</v>
      </c>
    </row>
    <row r="2302" spans="2:9" x14ac:dyDescent="0.2">
      <c r="B2302" s="160">
        <v>21</v>
      </c>
      <c r="C2302" s="305" t="s">
        <v>1255</v>
      </c>
      <c r="D2302" s="82" t="s">
        <v>1347</v>
      </c>
      <c r="E2302" s="72">
        <f>SUMIF(Adat!$AG:$AG,CONCATENATE(61,Info!$D$5,"09251",L2279),Adat!$E:$E)*-1</f>
        <v>0</v>
      </c>
      <c r="F2302" s="72">
        <f>SUMIF(Adat!$AG:$AG,CONCATENATE(60,Info!$D$5,"09251",L2279),Adat!$E:$E)*-1+E2302</f>
        <v>0</v>
      </c>
      <c r="G2302" s="72">
        <f>SUMIF(Adat!$AH:$AH,CONCATENATE(Info!$D$5,"(KÖT)","09251",L2279),Adat!$E:$E)*-1</f>
        <v>0</v>
      </c>
      <c r="H2302" s="72">
        <f>SUMIF(Adat!$AH:$AH,CONCATENATE(Info!$D$5,"(ÖNV)","09251",L2279),Adat!$E:$E)*-1</f>
        <v>0</v>
      </c>
      <c r="I2302" s="72">
        <f>SUMIF(Adat!$AH:$AH,CONCATENATE(Info!$D$5,"(ÁIG)","09251",L2279),Adat!$E:$E)*-1</f>
        <v>0</v>
      </c>
    </row>
    <row r="2303" spans="2:9" x14ac:dyDescent="0.25">
      <c r="B2303" s="160">
        <v>22</v>
      </c>
      <c r="C2303" s="79" t="s">
        <v>27</v>
      </c>
      <c r="D2303" s="79" t="s">
        <v>328</v>
      </c>
      <c r="E2303" s="71">
        <f>SUM(E2304:E2309)</f>
        <v>0</v>
      </c>
      <c r="F2303" s="71">
        <f>SUM(F2304:F2309)</f>
        <v>0</v>
      </c>
      <c r="G2303" s="71">
        <f>SUM(G2304:G2309)</f>
        <v>0</v>
      </c>
      <c r="H2303" s="71">
        <f>SUM(H2304:H2309)</f>
        <v>0</v>
      </c>
      <c r="I2303" s="71">
        <f>SUM(I2304:I2309)</f>
        <v>0</v>
      </c>
    </row>
    <row r="2304" spans="2:9" x14ac:dyDescent="0.2">
      <c r="B2304" s="160">
        <v>23</v>
      </c>
      <c r="C2304" s="305" t="s">
        <v>1348</v>
      </c>
      <c r="D2304" s="82" t="s">
        <v>1349</v>
      </c>
      <c r="E2304" s="72">
        <f>SUMIF(Adat!$AG:$AG,CONCATENATE(61,Info!$D$5,"093111",L2279),Adat!$E:$E)*-1</f>
        <v>0</v>
      </c>
      <c r="F2304" s="72">
        <f>SUMIF(Adat!$AG:$AG,CONCATENATE(60,Info!$D$5,"093111",L2279),Adat!$E:$E)*-1+E2304</f>
        <v>0</v>
      </c>
      <c r="G2304" s="72">
        <f>SUMIF(Adat!$AH:$AH,CONCATENATE(Info!$D$5,"(KÖT)","093111",L2279),Adat!$E:$E)*-1</f>
        <v>0</v>
      </c>
      <c r="H2304" s="72">
        <f>SUMIF(Adat!$AH:$AH,CONCATENATE(Info!$D$5,"(ÖNV)","093111",L2279),Adat!$E:$E)*-1</f>
        <v>0</v>
      </c>
      <c r="I2304" s="72">
        <f>SUMIF(Adat!$AH:$AH,CONCATENATE(Info!$D$5,"(ÁIG)","093111",L2279),Adat!$E:$E)*-1</f>
        <v>0</v>
      </c>
    </row>
    <row r="2305" spans="2:9" x14ac:dyDescent="0.2">
      <c r="B2305" s="160">
        <v>24</v>
      </c>
      <c r="C2305" s="305" t="s">
        <v>1259</v>
      </c>
      <c r="D2305" s="82" t="s">
        <v>1350</v>
      </c>
      <c r="E2305" s="72">
        <f>SUMIF(Adat!$AG:$AG,CONCATENATE(61,Info!$D$5,"09341",L2279),Adat!$E:$E)*-1</f>
        <v>0</v>
      </c>
      <c r="F2305" s="72">
        <f>SUMIF(Adat!$AG:$AG,CONCATENATE(60,Info!$D$5,"09341",L2279),Adat!$E:$E)*-1+E2305</f>
        <v>0</v>
      </c>
      <c r="G2305" s="72">
        <f>SUMIF(Adat!$AH:$AH,CONCATENATE(Info!$D$5,"(KÖT)","09341",L2279),Adat!$E:$E)*-1</f>
        <v>0</v>
      </c>
      <c r="H2305" s="72">
        <f>SUMIF(Adat!$AH:$AH,CONCATENATE(Info!$D$5,"(ÖNV)","09341",L2279),Adat!$E:$E)*-1</f>
        <v>0</v>
      </c>
      <c r="I2305" s="72">
        <f>SUMIF(Adat!$AH:$AH,CONCATENATE(Info!$D$5,"(ÁIG)","09341",L2279),Adat!$E:$E)*-1</f>
        <v>0</v>
      </c>
    </row>
    <row r="2306" spans="2:9" x14ac:dyDescent="0.2">
      <c r="B2306" s="160">
        <v>25</v>
      </c>
      <c r="C2306" s="305" t="s">
        <v>1260</v>
      </c>
      <c r="D2306" s="82" t="s">
        <v>1351</v>
      </c>
      <c r="E2306" s="72">
        <f>SUMIF(Adat!$AG:$AG,CONCATENATE(61,Info!$D$5,"093511",L2279),Adat!$E:$E)*-1</f>
        <v>0</v>
      </c>
      <c r="F2306" s="72">
        <f>SUMIF(Adat!$AG:$AG,CONCATENATE(60,Info!$D$5,"093511",L2279),Adat!$E:$E)*-1+E2306</f>
        <v>0</v>
      </c>
      <c r="G2306" s="72">
        <f>SUMIF(Adat!$AH:$AH,CONCATENATE(Info!$D$5,"(KÖT)","093511",L2279),Adat!$E:$E)*-1</f>
        <v>0</v>
      </c>
      <c r="H2306" s="72">
        <f>SUMIF(Adat!$AH:$AH,CONCATENATE(Info!$D$5,"(ÖNV)","093511",L2279),Adat!$E:$E)*-1</f>
        <v>0</v>
      </c>
      <c r="I2306" s="72">
        <f>SUMIF(Adat!$AH:$AH,CONCATENATE(Info!$D$5,"(ÁIG)","093511",L2279),Adat!$E:$E)*-1</f>
        <v>0</v>
      </c>
    </row>
    <row r="2307" spans="2:9" x14ac:dyDescent="0.2">
      <c r="B2307" s="160">
        <v>26</v>
      </c>
      <c r="C2307" s="305" t="s">
        <v>1352</v>
      </c>
      <c r="D2307" s="82" t="s">
        <v>1353</v>
      </c>
      <c r="E2307" s="72">
        <f>SUMIF(Adat!$AG:$AG,CONCATENATE(61,Info!$D$5,"093521",L2279),Adat!$E:$E)*-1</f>
        <v>0</v>
      </c>
      <c r="F2307" s="72">
        <f>SUMIF(Adat!$AG:$AG,CONCATENATE(60,Info!$D$5,"093521",L2279),Adat!$E:$E)*-1+E2307</f>
        <v>0</v>
      </c>
      <c r="G2307" s="72">
        <f>SUMIF(Adat!$AH:$AH,CONCATENATE(Info!$D$5,"(KÖT)","093521",L2279),Adat!$E:$E)*-1</f>
        <v>0</v>
      </c>
      <c r="H2307" s="72">
        <f>SUMIF(Adat!$AH:$AH,CONCATENATE(Info!$D$5,"(ÖNV)","093521",L2279),Adat!$E:$E)*-1</f>
        <v>0</v>
      </c>
      <c r="I2307" s="72">
        <f>SUMIF(Adat!$AH:$AH,CONCATENATE(Info!$D$5,"(ÁIG)","093521",L2279),Adat!$E:$E)*-1</f>
        <v>0</v>
      </c>
    </row>
    <row r="2308" spans="2:9" x14ac:dyDescent="0.2">
      <c r="B2308" s="160">
        <v>27</v>
      </c>
      <c r="C2308" s="305" t="s">
        <v>1292</v>
      </c>
      <c r="D2308" s="82" t="s">
        <v>1354</v>
      </c>
      <c r="E2308" s="72">
        <f>SUMIF(Adat!$AG:$AG,CONCATENATE(61,Info!$D$5,"093551",L2279),Adat!$E:$E)*-1</f>
        <v>0</v>
      </c>
      <c r="F2308" s="72">
        <f>SUMIF(Adat!$AG:$AG,CONCATENATE(60,Info!$D$5,"093551",L2279),Adat!$E:$E)*-1+E2308</f>
        <v>0</v>
      </c>
      <c r="G2308" s="72">
        <f>SUMIF(Adat!$AH:$AH,CONCATENATE(Info!$D$5,"(KÖT)","093551",L2279),Adat!$E:$E)*-1</f>
        <v>0</v>
      </c>
      <c r="H2308" s="72">
        <f>SUMIF(Adat!$AH:$AH,CONCATENATE(Info!$D$5,"(ÖNV)","093551",L2279),Adat!$E:$E)*-1</f>
        <v>0</v>
      </c>
      <c r="I2308" s="72">
        <f>SUMIF(Adat!$AH:$AH,CONCATENATE(Info!$D$5,"(ÁIG)","093551",L2279),Adat!$E:$E)*-1</f>
        <v>0</v>
      </c>
    </row>
    <row r="2309" spans="2:9" x14ac:dyDescent="0.2">
      <c r="B2309" s="160">
        <v>28</v>
      </c>
      <c r="C2309" s="305" t="s">
        <v>1293</v>
      </c>
      <c r="D2309" s="82" t="s">
        <v>1355</v>
      </c>
      <c r="E2309" s="72">
        <f>SUMIF(Adat!$AG:$AG,CONCATENATE(61,Info!$D$5,"09361",L2279),Adat!$E:$E)*-1</f>
        <v>0</v>
      </c>
      <c r="F2309" s="72">
        <f>SUMIF(Adat!$AG:$AG,CONCATENATE(60,Info!$D$5,"09361",L2279),Adat!$E:$E)*-1+E2309</f>
        <v>0</v>
      </c>
      <c r="G2309" s="72">
        <f>SUMIF(Adat!$AH:$AH,CONCATENATE(Info!$D$5,"(KÖT)","09361",L2279),Adat!$E:$E)*-1</f>
        <v>0</v>
      </c>
      <c r="H2309" s="72">
        <f>SUMIF(Adat!$AH:$AH,CONCATENATE(Info!$D$5,"(ÖNV)","09361",L2279),Adat!$E:$E)*-1</f>
        <v>0</v>
      </c>
      <c r="I2309" s="72">
        <f>SUMIF(Adat!$AH:$AH,CONCATENATE(Info!$D$5,"(ÁIG)","09361",L2279),Adat!$E:$E)*-1</f>
        <v>0</v>
      </c>
    </row>
    <row r="2310" spans="2:9" x14ac:dyDescent="0.25">
      <c r="B2310" s="160">
        <v>29</v>
      </c>
      <c r="C2310" s="79" t="s">
        <v>30</v>
      </c>
      <c r="D2310" s="79" t="s">
        <v>329</v>
      </c>
      <c r="E2310" s="71">
        <f>SUM(E2311:E2323)</f>
        <v>0</v>
      </c>
      <c r="F2310" s="71">
        <f t="shared" ref="F2310:I2310" si="245">SUM(F2311:F2323)</f>
        <v>0</v>
      </c>
      <c r="G2310" s="71">
        <f t="shared" si="245"/>
        <v>0</v>
      </c>
      <c r="H2310" s="71">
        <f t="shared" si="245"/>
        <v>0</v>
      </c>
      <c r="I2310" s="71">
        <f t="shared" si="245"/>
        <v>0</v>
      </c>
    </row>
    <row r="2311" spans="2:9" x14ac:dyDescent="0.2">
      <c r="B2311" s="160">
        <v>30</v>
      </c>
      <c r="C2311" s="305" t="s">
        <v>1309</v>
      </c>
      <c r="D2311" s="82" t="s">
        <v>1356</v>
      </c>
      <c r="E2311" s="72">
        <f>SUMIF(Adat!$AG:$AG,CONCATENATE(61,Info!$D$5,"094011",L2279),Adat!$E:$E)*-1</f>
        <v>0</v>
      </c>
      <c r="F2311" s="72">
        <f>SUMIF(Adat!$AG:$AG,CONCATENATE(60,Info!$D$5,"094011",L2279),Adat!$E:$E)*-1+E2311</f>
        <v>0</v>
      </c>
      <c r="G2311" s="72">
        <f>SUMIF(Adat!$AH:$AH,CONCATENATE(Info!$D$5,"(KÖT)","094011",L2279),Adat!$E:$E)*-1</f>
        <v>0</v>
      </c>
      <c r="H2311" s="72">
        <f>SUMIF(Adat!$AH:$AH,CONCATENATE(Info!$D$5,"(ÖNV)","094011",L2279),Adat!$E:$E)*-1</f>
        <v>0</v>
      </c>
      <c r="I2311" s="72">
        <f>SUMIF(Adat!$AH:$AH,CONCATENATE(Info!$D$5,"(ÁIG)","094011",L2279),Adat!$E:$E)*-1</f>
        <v>0</v>
      </c>
    </row>
    <row r="2312" spans="2:9" x14ac:dyDescent="0.2">
      <c r="B2312" s="160">
        <v>31</v>
      </c>
      <c r="C2312" s="305" t="s">
        <v>1279</v>
      </c>
      <c r="D2312" s="82" t="s">
        <v>1357</v>
      </c>
      <c r="E2312" s="72">
        <f>SUMIF(Adat!$AG:$AG,CONCATENATE(61,Info!$D$5,"094021",L2279),Adat!$E:$E)*-1</f>
        <v>0</v>
      </c>
      <c r="F2312" s="72">
        <f>SUMIF(Adat!$AG:$AG,CONCATENATE(60,Info!$D$5,"094021",L2279),Adat!$E:$E)*-1+E2312</f>
        <v>0</v>
      </c>
      <c r="G2312" s="72">
        <f>SUMIF(Adat!$AH:$AH,CONCATENATE(Info!$D$5,"(KÖT)","094021",L2279),Adat!$E:$E)*-1</f>
        <v>0</v>
      </c>
      <c r="H2312" s="72">
        <f>SUMIF(Adat!$AH:$AH,CONCATENATE(Info!$D$5,"(ÖNV)","094021",L2279),Adat!$E:$E)*-1</f>
        <v>0</v>
      </c>
      <c r="I2312" s="72">
        <f>SUMIF(Adat!$AH:$AH,CONCATENATE(Info!$D$5,"(ÁIG)","094021",L2279),Adat!$E:$E)*-1</f>
        <v>0</v>
      </c>
    </row>
    <row r="2313" spans="2:9" x14ac:dyDescent="0.2">
      <c r="B2313" s="160">
        <v>32</v>
      </c>
      <c r="C2313" s="305" t="s">
        <v>1272</v>
      </c>
      <c r="D2313" s="82" t="s">
        <v>1358</v>
      </c>
      <c r="E2313" s="72">
        <f>SUMIF(Adat!$AG:$AG,CONCATENATE(61,Info!$D$5,"094031",L2279),Adat!$E:$E)*-1</f>
        <v>0</v>
      </c>
      <c r="F2313" s="72">
        <f>SUMIF(Adat!$AG:$AG,CONCATENATE(60,Info!$D$5,"094031",L2279),Adat!$E:$E)*-1+E2313</f>
        <v>0</v>
      </c>
      <c r="G2313" s="72">
        <f>SUMIF(Adat!$AH:$AH,CONCATENATE(Info!$D$5,"(KÖT)","094031",L2279),Adat!$E:$E)*-1</f>
        <v>0</v>
      </c>
      <c r="H2313" s="72">
        <f>SUMIF(Adat!$AH:$AH,CONCATENATE(Info!$D$5,"(ÖNV)","094031",L2279),Adat!$E:$E)*-1</f>
        <v>0</v>
      </c>
      <c r="I2313" s="72">
        <f>SUMIF(Adat!$AH:$AH,CONCATENATE(Info!$D$5,"(ÁIG)","094031",L2279),Adat!$E:$E)*-1</f>
        <v>0</v>
      </c>
    </row>
    <row r="2314" spans="2:9" x14ac:dyDescent="0.2">
      <c r="B2314" s="160">
        <v>33</v>
      </c>
      <c r="C2314" s="305" t="s">
        <v>1359</v>
      </c>
      <c r="D2314" s="82" t="s">
        <v>1360</v>
      </c>
      <c r="E2314" s="72">
        <f>SUMIF(Adat!$AG:$AG,CONCATENATE(61,Info!$D$5,"094041",L2279),Adat!$E:$E)*-1</f>
        <v>0</v>
      </c>
      <c r="F2314" s="72">
        <f>SUMIF(Adat!$AG:$AG,CONCATENATE(60,Info!$D$5,"094041",L2279),Adat!$E:$E)*-1+E2314</f>
        <v>0</v>
      </c>
      <c r="G2314" s="72">
        <f>SUMIF(Adat!$AH:$AH,CONCATENATE(Info!$D$5,"(KÖT)","094041",L2279),Adat!$E:$E)*-1</f>
        <v>0</v>
      </c>
      <c r="H2314" s="72">
        <f>SUMIF(Adat!$AH:$AH,CONCATENATE(Info!$D$5,"(ÖNV)","094041",L2279),Adat!$E:$E)*-1</f>
        <v>0</v>
      </c>
      <c r="I2314" s="72">
        <f>SUMIF(Adat!$AH:$AH,CONCATENATE(Info!$D$5,"(ÁIG)","094041",L2279),Adat!$E:$E)*-1</f>
        <v>0</v>
      </c>
    </row>
    <row r="2315" spans="2:9" x14ac:dyDescent="0.2">
      <c r="B2315" s="160">
        <v>34</v>
      </c>
      <c r="C2315" s="305" t="s">
        <v>1261</v>
      </c>
      <c r="D2315" s="82" t="s">
        <v>1361</v>
      </c>
      <c r="E2315" s="72">
        <f>SUMIF(Adat!$AG:$AG,CONCATENATE(61,Info!$D$5,"094051",L2279),Adat!$E:$E)*-1</f>
        <v>0</v>
      </c>
      <c r="F2315" s="72">
        <f>SUMIF(Adat!$AG:$AG,CONCATENATE(60,Info!$D$5,"094051",L2279),Adat!$E:$E)*-1+E2315</f>
        <v>0</v>
      </c>
      <c r="G2315" s="72">
        <f>SUMIF(Adat!$AH:$AH,CONCATENATE(Info!$D$5,"(KÖT)","094051",L2279),Adat!$E:$E)*-1</f>
        <v>0</v>
      </c>
      <c r="H2315" s="72">
        <f>SUMIF(Adat!$AH:$AH,CONCATENATE(Info!$D$5,"(ÖNV)","094051",L2279),Adat!$E:$E)*-1</f>
        <v>0</v>
      </c>
      <c r="I2315" s="72">
        <f>SUMIF(Adat!$AH:$AH,CONCATENATE(Info!$D$5,"(ÁIG)","094051",L2279),Adat!$E:$E)*-1</f>
        <v>0</v>
      </c>
    </row>
    <row r="2316" spans="2:9" x14ac:dyDescent="0.2">
      <c r="B2316" s="160">
        <v>35</v>
      </c>
      <c r="C2316" s="305" t="s">
        <v>1273</v>
      </c>
      <c r="D2316" s="82" t="s">
        <v>1362</v>
      </c>
      <c r="E2316" s="72">
        <f>SUMIF(Adat!$AG:$AG,CONCATENATE(61,Info!$D$5,"094061",L2279),Adat!$E:$E)*-1</f>
        <v>0</v>
      </c>
      <c r="F2316" s="72">
        <f>SUMIF(Adat!$AG:$AG,CONCATENATE(60,Info!$D$5,"094061",L2279),Adat!$E:$E)*-1+E2316</f>
        <v>0</v>
      </c>
      <c r="G2316" s="72">
        <f>SUMIF(Adat!$AH:$AH,CONCATENATE(Info!$D$5,"(KÖT)","094061",L2279),Adat!$E:$E)*-1</f>
        <v>0</v>
      </c>
      <c r="H2316" s="72">
        <f>SUMIF(Adat!$AH:$AH,CONCATENATE(Info!$D$5,"(ÖNV)","094061",L2279),Adat!$E:$E)*-1</f>
        <v>0</v>
      </c>
      <c r="I2316" s="72">
        <f>SUMIF(Adat!$AH:$AH,CONCATENATE(Info!$D$5,"(ÁIG)","094061",L2279),Adat!$E:$E)*-1</f>
        <v>0</v>
      </c>
    </row>
    <row r="2317" spans="2:9" x14ac:dyDescent="0.2">
      <c r="B2317" s="160">
        <v>36</v>
      </c>
      <c r="C2317" s="305" t="s">
        <v>1363</v>
      </c>
      <c r="D2317" s="82" t="s">
        <v>1364</v>
      </c>
      <c r="E2317" s="72">
        <f>SUMIF(Adat!$AG:$AG,CONCATENATE(61,Info!$D$5,"094071",L2279),Adat!$E:$E)*-1</f>
        <v>0</v>
      </c>
      <c r="F2317" s="72">
        <f>SUMIF(Adat!$AG:$AG,CONCATENATE(60,Info!$D$5,"094071",L2279),Adat!$E:$E)*-1+E2317</f>
        <v>0</v>
      </c>
      <c r="G2317" s="72">
        <f>SUMIF(Adat!$AH:$AH,CONCATENATE(Info!$D$5,"(KÖT)","094071",L2279),Adat!$E:$E)*-1</f>
        <v>0</v>
      </c>
      <c r="H2317" s="72">
        <f>SUMIF(Adat!$AH:$AH,CONCATENATE(Info!$D$5,"(ÖNV)","094071",L2279),Adat!$E:$E)*-1</f>
        <v>0</v>
      </c>
      <c r="I2317" s="72">
        <f>SUMIF(Adat!$AH:$AH,CONCATENATE(Info!$D$5,"(ÁIG)","094071",L2279),Adat!$E:$E)*-1</f>
        <v>0</v>
      </c>
    </row>
    <row r="2318" spans="2:9" x14ac:dyDescent="0.2">
      <c r="B2318" s="160">
        <v>37</v>
      </c>
      <c r="C2318" s="305" t="s">
        <v>1306</v>
      </c>
      <c r="D2318" s="82" t="s">
        <v>1365</v>
      </c>
      <c r="E2318" s="72">
        <f>SUMIF(Adat!$AG:$AG,CONCATENATE(61,Info!$D$5,"0940811",L2279),Adat!$E:$E)*-1</f>
        <v>0</v>
      </c>
      <c r="F2318" s="72">
        <f>SUMIF(Adat!$AG:$AG,CONCATENATE(60,Info!$D$5,"0940811",L2279),Adat!$E:$E)*-1+E2318</f>
        <v>0</v>
      </c>
      <c r="G2318" s="72">
        <f>SUMIF(Adat!$AH:$AH,CONCATENATE(Info!$D$5,"(KÖT)","0940811",L2279),Adat!$E:$E)*-1</f>
        <v>0</v>
      </c>
      <c r="H2318" s="72">
        <f>SUMIF(Adat!$AH:$AH,CONCATENATE(Info!$D$5,"(ÖNV)","0940811",L2279),Adat!$E:$E)*-1</f>
        <v>0</v>
      </c>
      <c r="I2318" s="72">
        <f>SUMIF(Adat!$AH:$AH,CONCATENATE(Info!$D$5,"(ÁIG)","0940811",L2279),Adat!$E:$E)*-1</f>
        <v>0</v>
      </c>
    </row>
    <row r="2319" spans="2:9" x14ac:dyDescent="0.2">
      <c r="B2319" s="160">
        <v>38</v>
      </c>
      <c r="C2319" s="305" t="s">
        <v>1295</v>
      </c>
      <c r="D2319" s="82" t="s">
        <v>1366</v>
      </c>
      <c r="E2319" s="72">
        <f>SUMIF(Adat!$AG:$AG,CONCATENATE(61,Info!$D$5,"0940821",L2279),Adat!$E:$E)*-1</f>
        <v>0</v>
      </c>
      <c r="F2319" s="72">
        <f>SUMIF(Adat!$AG:$AG,CONCATENATE(60,Info!$D$5,"0940821",L2279),Adat!$E:$E)*-1+E2319</f>
        <v>0</v>
      </c>
      <c r="G2319" s="72">
        <f>SUMIF(Adat!$AH:$AH,CONCATENATE(Info!$D$5,"(KÖT)","0940821",L2279),Adat!$E:$E)*-1</f>
        <v>0</v>
      </c>
      <c r="H2319" s="72">
        <f>SUMIF(Adat!$AH:$AH,CONCATENATE(Info!$D$5,"(ÖNV)","0940821",L2279),Adat!$E:$E)*-1</f>
        <v>0</v>
      </c>
      <c r="I2319" s="72">
        <f>SUMIF(Adat!$AH:$AH,CONCATENATE(Info!$D$5,"(ÁIG)","0940821",L2279),Adat!$E:$E)*-1</f>
        <v>0</v>
      </c>
    </row>
    <row r="2320" spans="2:9" x14ac:dyDescent="0.2">
      <c r="B2320" s="160">
        <v>39</v>
      </c>
      <c r="C2320" s="305" t="s">
        <v>1367</v>
      </c>
      <c r="D2320" s="82" t="s">
        <v>1368</v>
      </c>
      <c r="E2320" s="72">
        <f>SUMIF(Adat!$AG:$AG,CONCATENATE(61,Info!$D$5,"0940911",L2279),Adat!$E:$E)*-1</f>
        <v>0</v>
      </c>
      <c r="F2320" s="72">
        <f>SUMIF(Adat!$AG:$AG,CONCATENATE(60,Info!$D$5,"0940911",L2279),Adat!$E:$E)*-1+E2320</f>
        <v>0</v>
      </c>
      <c r="G2320" s="72">
        <f>SUMIF(Adat!$AH:$AH,CONCATENATE(Info!$D$5,"(KÖT)","0940911",L2279),Adat!$E:$E)*-1</f>
        <v>0</v>
      </c>
      <c r="H2320" s="72">
        <f>SUMIF(Adat!$AH:$AH,CONCATENATE(Info!$D$5,"(ÖNV)","0940911",L2279),Adat!$E:$E)*-1</f>
        <v>0</v>
      </c>
      <c r="I2320" s="72">
        <f>SUMIF(Adat!$AH:$AH,CONCATENATE(Info!$D$5,"(ÁIG)","0940911",L2279),Adat!$E:$E)*-1</f>
        <v>0</v>
      </c>
    </row>
    <row r="2321" spans="2:9" x14ac:dyDescent="0.2">
      <c r="B2321" s="160">
        <v>40</v>
      </c>
      <c r="C2321" s="305" t="s">
        <v>1369</v>
      </c>
      <c r="D2321" s="82" t="s">
        <v>1370</v>
      </c>
      <c r="E2321" s="72">
        <f>SUMIF(Adat!$AG:$AG,CONCATENATE(61,Info!$D$5,"0940921",L2279),Adat!$E:$E)*-1</f>
        <v>0</v>
      </c>
      <c r="F2321" s="72">
        <f>SUMIF(Adat!$AG:$AG,CONCATENATE(60,Info!$D$5,"0940921",L2279),Adat!$E:$E)*-1+E2321</f>
        <v>0</v>
      </c>
      <c r="G2321" s="72">
        <f>SUMIF(Adat!$AH:$AH,CONCATENATE(Info!$D$5,"(KÖT)","0940921",L2279),Adat!$E:$E)*-1</f>
        <v>0</v>
      </c>
      <c r="H2321" s="72">
        <f>SUMIF(Adat!$AH:$AH,CONCATENATE(Info!$D$5,"(ÖNV)","0940921",L2279),Adat!$E:$E)*-1</f>
        <v>0</v>
      </c>
      <c r="I2321" s="72">
        <f>SUMIF(Adat!$AH:$AH,CONCATENATE(Info!$D$5,"(ÁIG)","0940921",L2279),Adat!$E:$E)*-1</f>
        <v>0</v>
      </c>
    </row>
    <row r="2322" spans="2:9" x14ac:dyDescent="0.2">
      <c r="B2322" s="160">
        <v>41</v>
      </c>
      <c r="C2322" s="305" t="s">
        <v>1296</v>
      </c>
      <c r="D2322" s="82" t="s">
        <v>1371</v>
      </c>
      <c r="E2322" s="72">
        <f>SUMIF(Adat!$AG:$AG,CONCATENATE(61,Info!$D$5,"094101",L2279),Adat!$E:$E)*-1</f>
        <v>0</v>
      </c>
      <c r="F2322" s="72">
        <f>SUMIF(Adat!$AG:$AG,CONCATENATE(60,Info!$D$5,"094101",L2279),Adat!$E:$E)*-1+E2322</f>
        <v>0</v>
      </c>
      <c r="G2322" s="72">
        <f>SUMIF(Adat!$AH:$AH,CONCATENATE(Info!$D$5,"(KÖT)","094101",L2279),Adat!$E:$E)*-1</f>
        <v>0</v>
      </c>
      <c r="H2322" s="72">
        <f>SUMIF(Adat!$AH:$AH,CONCATENATE(Info!$D$5,"(ÖNV)","094101",L2279),Adat!$E:$E)*-1</f>
        <v>0</v>
      </c>
      <c r="I2322" s="72">
        <f>SUMIF(Adat!$AH:$AH,CONCATENATE(Info!$D$5,"(ÁIG)","094101",L2279),Adat!$E:$E)*-1</f>
        <v>0</v>
      </c>
    </row>
    <row r="2323" spans="2:9" x14ac:dyDescent="0.25">
      <c r="B2323" s="160">
        <v>42</v>
      </c>
      <c r="C2323" s="305" t="s">
        <v>1297</v>
      </c>
      <c r="D2323" s="84" t="s">
        <v>1372</v>
      </c>
      <c r="E2323" s="72">
        <f>SUMIF(Adat!$AG:$AG,CONCATENATE(61,Info!$D$5,"094111",L2279),Adat!$E:$E)*-1</f>
        <v>0</v>
      </c>
      <c r="F2323" s="72">
        <f>SUMIF(Adat!$AG:$AG,CONCATENATE(60,Info!$D$5,"094111",L2279),Adat!$E:$E)*-1+E2323</f>
        <v>0</v>
      </c>
      <c r="G2323" s="72">
        <f>SUMIF(Adat!$AH:$AH,CONCATENATE(Info!$D$5,"(KÖT)","094111",L2279),Adat!$E:$E)*-1</f>
        <v>0</v>
      </c>
      <c r="H2323" s="72">
        <f>SUMIF(Adat!$AH:$AH,CONCATENATE(Info!$D$5,"(ÖNV)","094111",L2279),Adat!$E:$E)*-1</f>
        <v>0</v>
      </c>
      <c r="I2323" s="72">
        <f>SUMIF(Adat!$AH:$AH,CONCATENATE(Info!$D$5,"(ÁIG)","094111",L2279),Adat!$E:$E)*-1</f>
        <v>0</v>
      </c>
    </row>
    <row r="2324" spans="2:9" x14ac:dyDescent="0.25">
      <c r="B2324" s="160">
        <v>43</v>
      </c>
      <c r="C2324" s="79" t="s">
        <v>33</v>
      </c>
      <c r="D2324" s="79" t="s">
        <v>330</v>
      </c>
      <c r="E2324" s="71">
        <f>SUM(E2325:E2329)</f>
        <v>0</v>
      </c>
      <c r="F2324" s="71">
        <f>SUM(F2325:F2329)</f>
        <v>0</v>
      </c>
      <c r="G2324" s="71">
        <f>SUM(G2325:G2329)</f>
        <v>0</v>
      </c>
      <c r="H2324" s="71">
        <f>SUM(H2325:H2329)</f>
        <v>0</v>
      </c>
      <c r="I2324" s="71">
        <f>SUM(I2325:I2329)</f>
        <v>0</v>
      </c>
    </row>
    <row r="2325" spans="2:9" x14ac:dyDescent="0.2">
      <c r="B2325" s="160">
        <v>44</v>
      </c>
      <c r="C2325" s="305" t="s">
        <v>1373</v>
      </c>
      <c r="D2325" s="82" t="s">
        <v>1374</v>
      </c>
      <c r="E2325" s="72">
        <f>SUMIF(Adat!$AG:$AG,CONCATENATE(61,Info!$D$5,"09511",L2279),Adat!$E:$E)*-1</f>
        <v>0</v>
      </c>
      <c r="F2325" s="72">
        <f>SUMIF(Adat!$AG:$AG,CONCATENATE(60,Info!$D$5,"09511",L2279),Adat!$E:$E)*-1+E2325</f>
        <v>0</v>
      </c>
      <c r="G2325" s="72">
        <f>SUMIF(Adat!$AH:$AH,CONCATENATE(Info!$D$5,"(KÖT)","09511",L2279),Adat!$E:$E)*-1</f>
        <v>0</v>
      </c>
      <c r="H2325" s="72">
        <f>SUMIF(Adat!$AH:$AH,CONCATENATE(Info!$D$5,"(ÖNV)","09511",L2279),Adat!$E:$E)*-1</f>
        <v>0</v>
      </c>
      <c r="I2325" s="72">
        <f>SUMIF(Adat!$AH:$AH,CONCATENATE(Info!$D$5,"(ÁIG)","09511",L2279),Adat!$E:$E)*-1</f>
        <v>0</v>
      </c>
    </row>
    <row r="2326" spans="2:9" x14ac:dyDescent="0.2">
      <c r="B2326" s="160">
        <v>45</v>
      </c>
      <c r="C2326" s="305" t="s">
        <v>1294</v>
      </c>
      <c r="D2326" s="82" t="s">
        <v>1375</v>
      </c>
      <c r="E2326" s="72">
        <f>SUMIF(Adat!$AG:$AG,CONCATENATE(61,Info!$D$5,"09521",L2279),Adat!$E:$E)*-1</f>
        <v>0</v>
      </c>
      <c r="F2326" s="72">
        <f>SUMIF(Adat!$AG:$AG,CONCATENATE(60,Info!$D$5,"09521",L2279),Adat!$E:$E)*-1+E2326</f>
        <v>0</v>
      </c>
      <c r="G2326" s="72">
        <f>SUMIF(Adat!$AH:$AH,CONCATENATE(Info!$D$5,"(KÖT)","09521",L2279),Adat!$E:$E)*-1</f>
        <v>0</v>
      </c>
      <c r="H2326" s="72">
        <f>SUMIF(Adat!$AH:$AH,CONCATENATE(Info!$D$5,"(ÖNV)","09521",L2279),Adat!$E:$E)*-1</f>
        <v>0</v>
      </c>
      <c r="I2326" s="72">
        <f>SUMIF(Adat!$AH:$AH,CONCATENATE(Info!$D$5,"(ÁIG)","09521",L2279),Adat!$E:$E)*-1</f>
        <v>0</v>
      </c>
    </row>
    <row r="2327" spans="2:9" x14ac:dyDescent="0.2">
      <c r="B2327" s="160">
        <v>46</v>
      </c>
      <c r="C2327" s="305" t="s">
        <v>1376</v>
      </c>
      <c r="D2327" s="82" t="s">
        <v>1377</v>
      </c>
      <c r="E2327" s="72">
        <f>SUMIF(Adat!$AG:$AG,CONCATENATE(61,Info!$D$5,"09531",L2279),Adat!$E:$E)*-1</f>
        <v>0</v>
      </c>
      <c r="F2327" s="72">
        <f>SUMIF(Adat!$AG:$AG,CONCATENATE(60,Info!$D$5,"09531",L2279),Adat!$E:$E)*-1+E2327</f>
        <v>0</v>
      </c>
      <c r="G2327" s="72">
        <f>SUMIF(Adat!$AH:$AH,CONCATENATE(Info!$D$5,"(KÖT)","09531",L2279),Adat!$E:$E)*-1</f>
        <v>0</v>
      </c>
      <c r="H2327" s="72">
        <f>SUMIF(Adat!$AH:$AH,CONCATENATE(Info!$D$5,"(ÖNV)","09531",L2279),Adat!$E:$E)*-1</f>
        <v>0</v>
      </c>
      <c r="I2327" s="72">
        <f>SUMIF(Adat!$AH:$AH,CONCATENATE(Info!$D$5,"(ÁIG)","09531",L2279),Adat!$E:$E)*-1</f>
        <v>0</v>
      </c>
    </row>
    <row r="2328" spans="2:9" x14ac:dyDescent="0.2">
      <c r="B2328" s="160">
        <v>47</v>
      </c>
      <c r="C2328" s="305" t="s">
        <v>1378</v>
      </c>
      <c r="D2328" s="82" t="s">
        <v>1379</v>
      </c>
      <c r="E2328" s="72">
        <f>SUMIF(Adat!$AG:$AG,CONCATENATE(61,Info!$D$5,"09541",L2279),Adat!$E:$E)*-1</f>
        <v>0</v>
      </c>
      <c r="F2328" s="72">
        <f>SUMIF(Adat!$AG:$AG,CONCATENATE(60,Info!$D$5,"09541",L2279),Adat!$E:$E)*-1+E2328</f>
        <v>0</v>
      </c>
      <c r="G2328" s="72">
        <f>SUMIF(Adat!$AH:$AH,CONCATENATE(Info!$D$5,"(KÖT)","09541",L2279),Adat!$E:$E)*-1</f>
        <v>0</v>
      </c>
      <c r="H2328" s="72">
        <f>SUMIF(Adat!$AH:$AH,CONCATENATE(Info!$D$5,"(ÖNV)","09541",L2279),Adat!$E:$E)*-1</f>
        <v>0</v>
      </c>
      <c r="I2328" s="72">
        <f>SUMIF(Adat!$AH:$AH,CONCATENATE(Info!$D$5,"(ÁIG)","09541",L2279),Adat!$E:$E)*-1</f>
        <v>0</v>
      </c>
    </row>
    <row r="2329" spans="2:9" x14ac:dyDescent="0.25">
      <c r="B2329" s="160">
        <v>48</v>
      </c>
      <c r="C2329" s="305" t="s">
        <v>1380</v>
      </c>
      <c r="D2329" s="84" t="s">
        <v>1381</v>
      </c>
      <c r="E2329" s="72">
        <f>SUMIF(Adat!$AG:$AG,CONCATENATE(61,Info!$D$5,"09551",L2279),Adat!$E:$E)*-1</f>
        <v>0</v>
      </c>
      <c r="F2329" s="72">
        <f>SUMIF(Adat!$AG:$AG,CONCATENATE(60,Info!$D$5,"09551",L2279),Adat!$E:$E)*-1+E2329</f>
        <v>0</v>
      </c>
      <c r="G2329" s="72">
        <f>SUMIF(Adat!$AH:$AH,CONCATENATE(Info!$D$5,"(KÖT)","09551",L2279),Adat!$E:$E)*-1</f>
        <v>0</v>
      </c>
      <c r="H2329" s="72">
        <f>SUMIF(Adat!$AH:$AH,CONCATENATE(Info!$D$5,"(ÖNV)","09551",L2279),Adat!$E:$E)*-1</f>
        <v>0</v>
      </c>
      <c r="I2329" s="72">
        <f>SUMIF(Adat!$AH:$AH,CONCATENATE(Info!$D$5,"(ÁIG)","09551",L2279),Adat!$E:$E)*-1</f>
        <v>0</v>
      </c>
    </row>
    <row r="2330" spans="2:9" x14ac:dyDescent="0.25">
      <c r="B2330" s="160">
        <v>49</v>
      </c>
      <c r="C2330" s="79" t="s">
        <v>36</v>
      </c>
      <c r="D2330" s="79" t="s">
        <v>331</v>
      </c>
      <c r="E2330" s="71">
        <f>SUM(E2331:E2335)</f>
        <v>0</v>
      </c>
      <c r="F2330" s="71">
        <f t="shared" ref="F2330:I2330" si="246">SUM(F2331:F2335)</f>
        <v>0</v>
      </c>
      <c r="G2330" s="71">
        <f t="shared" si="246"/>
        <v>0</v>
      </c>
      <c r="H2330" s="71">
        <f t="shared" si="246"/>
        <v>0</v>
      </c>
      <c r="I2330" s="71">
        <f t="shared" si="246"/>
        <v>0</v>
      </c>
    </row>
    <row r="2331" spans="2:9" x14ac:dyDescent="0.2">
      <c r="B2331" s="160">
        <v>50</v>
      </c>
      <c r="C2331" s="305" t="s">
        <v>1382</v>
      </c>
      <c r="D2331" s="82" t="s">
        <v>1383</v>
      </c>
      <c r="E2331" s="72">
        <f>SUMIF(Adat!$AG:$AG,CONCATENATE(61,Info!$D$5,"09611",L2279),Adat!$E:$E)*-1</f>
        <v>0</v>
      </c>
      <c r="F2331" s="72">
        <f>SUMIF(Adat!$AG:$AG,CONCATENATE(60,Info!$D$5,"09611",L2279),Adat!$E:$E)*-1+E2331</f>
        <v>0</v>
      </c>
      <c r="G2331" s="72">
        <f>SUMIF(Adat!$AH:$AH,CONCATENATE(Info!$D$5,"(KÖT)","09611",L2279),Adat!$E:$E)*-1</f>
        <v>0</v>
      </c>
      <c r="H2331" s="72">
        <f>SUMIF(Adat!$AH:$AH,CONCATENATE(Info!$D$5,"(ÖNV)","09611",L2279),Adat!$E:$E)*-1</f>
        <v>0</v>
      </c>
      <c r="I2331" s="72">
        <f>SUMIF(Adat!$AH:$AH,CONCATENATE(Info!$D$5,"(ÁIG)","09611",L2279),Adat!$E:$E)*-1</f>
        <v>0</v>
      </c>
    </row>
    <row r="2332" spans="2:9" x14ac:dyDescent="0.2">
      <c r="B2332" s="160">
        <v>51</v>
      </c>
      <c r="C2332" s="305" t="s">
        <v>1384</v>
      </c>
      <c r="D2332" s="82" t="s">
        <v>1385</v>
      </c>
      <c r="E2332" s="72">
        <f>SUMIF(Adat!$AG:$AG,CONCATENATE(61,Info!$D$5,"09621",L2279),Adat!$E:$E)*-1</f>
        <v>0</v>
      </c>
      <c r="F2332" s="72">
        <f>SUMIF(Adat!$AG:$AG,CONCATENATE(60,Info!$D$5,"09621",L2279),Adat!$E:$E)*-1+E2332</f>
        <v>0</v>
      </c>
      <c r="G2332" s="72">
        <f>SUMIF(Adat!$AH:$AH,CONCATENATE(Info!$D$5,"(KÖT)","09621",L2279),Adat!$E:$E)*-1</f>
        <v>0</v>
      </c>
      <c r="H2332" s="72">
        <f>SUMIF(Adat!$AH:$AH,CONCATENATE(Info!$D$5,"(ÖNV)","09621",L2279),Adat!$E:$E)*-1</f>
        <v>0</v>
      </c>
      <c r="I2332" s="72">
        <f>SUMIF(Adat!$AH:$AH,CONCATENATE(Info!$D$5,"(ÁIG)","09621",L2279),Adat!$E:$E)*-1</f>
        <v>0</v>
      </c>
    </row>
    <row r="2333" spans="2:9" x14ac:dyDescent="0.2">
      <c r="B2333" s="160">
        <v>52</v>
      </c>
      <c r="C2333" s="305" t="s">
        <v>1386</v>
      </c>
      <c r="D2333" s="82" t="s">
        <v>1387</v>
      </c>
      <c r="E2333" s="72">
        <f>SUMIF(Adat!$AG:$AG,CONCATENATE(61,Info!$D$5,"09631",L2279),Adat!$E:$E)*-1</f>
        <v>0</v>
      </c>
      <c r="F2333" s="72">
        <f>SUMIF(Adat!$AG:$AG,CONCATENATE(60,Info!$D$5,"09631",L2279),Adat!$E:$E)*-1+E2333</f>
        <v>0</v>
      </c>
      <c r="G2333" s="72">
        <f>SUMIF(Adat!$AH:$AH,CONCATENATE(Info!$D$5,"(KÖT)","09631",L2279),Adat!$E:$E)*-1</f>
        <v>0</v>
      </c>
      <c r="H2333" s="72">
        <f>SUMIF(Adat!$AH:$AH,CONCATENATE(Info!$D$5,"(ÖNV)","09631",L2279),Adat!$E:$E)*-1</f>
        <v>0</v>
      </c>
      <c r="I2333" s="72">
        <f>SUMIF(Adat!$AH:$AH,CONCATENATE(Info!$D$5,"(ÁIG)","09631",L2279),Adat!$E:$E)*-1</f>
        <v>0</v>
      </c>
    </row>
    <row r="2334" spans="2:9" x14ac:dyDescent="0.2">
      <c r="B2334" s="160">
        <v>53</v>
      </c>
      <c r="C2334" s="305" t="s">
        <v>1388</v>
      </c>
      <c r="D2334" s="82" t="s">
        <v>1389</v>
      </c>
      <c r="E2334" s="72">
        <f>SUMIF(Adat!$AG:$AG,CONCATENATE(61,Info!$D$5,"09641",L2279),Adat!$E:$E)*-1</f>
        <v>0</v>
      </c>
      <c r="F2334" s="72">
        <f>SUMIF(Adat!$AG:$AG,CONCATENATE(60,Info!$D$5,"09641",L2279),Adat!$E:$E)*-1+E2334</f>
        <v>0</v>
      </c>
      <c r="G2334" s="72">
        <f>SUMIF(Adat!$AH:$AH,CONCATENATE(Info!$D$5,"(KÖT)","09641",L2279),Adat!$E:$E)*-1</f>
        <v>0</v>
      </c>
      <c r="H2334" s="72">
        <f>SUMIF(Adat!$AH:$AH,CONCATENATE(Info!$D$5,"(ÖNV)","09641",L2279),Adat!$E:$E)*-1</f>
        <v>0</v>
      </c>
      <c r="I2334" s="72">
        <f>SUMIF(Adat!$AH:$AH,CONCATENATE(Info!$D$5,"(ÁIG)","09641",L2279),Adat!$E:$E)*-1</f>
        <v>0</v>
      </c>
    </row>
    <row r="2335" spans="2:9" x14ac:dyDescent="0.2">
      <c r="B2335" s="160">
        <v>54</v>
      </c>
      <c r="C2335" s="305" t="s">
        <v>1310</v>
      </c>
      <c r="D2335" s="82" t="s">
        <v>1390</v>
      </c>
      <c r="E2335" s="72">
        <f>SUMIF(Adat!$AG:$AG,CONCATENATE(61,Info!$D$5,"09651",L2279),Adat!$E:$E)*-1</f>
        <v>0</v>
      </c>
      <c r="F2335" s="72">
        <f>SUMIF(Adat!$AG:$AG,CONCATENATE(60,Info!$D$5,"09651",L2279),Adat!$E:$E)*-1+E2335</f>
        <v>0</v>
      </c>
      <c r="G2335" s="72">
        <f>SUMIF(Adat!$AH:$AH,CONCATENATE(Info!$D$5,"(KÖT)","09651",L2279),Adat!$E:$E)*-1</f>
        <v>0</v>
      </c>
      <c r="H2335" s="72">
        <f>SUMIF(Adat!$AH:$AH,CONCATENATE(Info!$D$5,"(ÖNV)","09651",L2279),Adat!$E:$E)*-1</f>
        <v>0</v>
      </c>
      <c r="I2335" s="72">
        <f>SUMIF(Adat!$AH:$AH,CONCATENATE(Info!$D$5,"(ÁIG)","09651",L2279),Adat!$E:$E)*-1</f>
        <v>0</v>
      </c>
    </row>
    <row r="2336" spans="2:9" x14ac:dyDescent="0.25">
      <c r="B2336" s="160">
        <v>55</v>
      </c>
      <c r="C2336" s="79" t="s">
        <v>38</v>
      </c>
      <c r="D2336" s="85" t="s">
        <v>332</v>
      </c>
      <c r="E2336" s="71">
        <f>SUM(E2337:E2341)</f>
        <v>0</v>
      </c>
      <c r="F2336" s="71">
        <f t="shared" ref="F2336:I2336" si="247">SUM(F2337:F2341)</f>
        <v>0</v>
      </c>
      <c r="G2336" s="71">
        <f t="shared" si="247"/>
        <v>0</v>
      </c>
      <c r="H2336" s="71">
        <f t="shared" si="247"/>
        <v>0</v>
      </c>
      <c r="I2336" s="71">
        <f t="shared" si="247"/>
        <v>0</v>
      </c>
    </row>
    <row r="2337" spans="2:9" x14ac:dyDescent="0.2">
      <c r="B2337" s="160">
        <v>56</v>
      </c>
      <c r="C2337" s="305" t="s">
        <v>1391</v>
      </c>
      <c r="D2337" s="82" t="s">
        <v>1392</v>
      </c>
      <c r="E2337" s="72">
        <f>SUMIF(Adat!$AG:$AG,CONCATENATE(61,Info!$D$5,"09711",L2279),Adat!$E:$E)*-1</f>
        <v>0</v>
      </c>
      <c r="F2337" s="72">
        <f>SUMIF(Adat!$AG:$AG,CONCATENATE(60,Info!$D$5,"09711",L2279),Adat!$E:$E)*-1+E2337</f>
        <v>0</v>
      </c>
      <c r="G2337" s="72">
        <f>SUMIF(Adat!$AH:$AH,CONCATENATE(Info!$D$5,"(KÖT)","09711",L2279),Adat!$E:$E)*-1</f>
        <v>0</v>
      </c>
      <c r="H2337" s="72">
        <f>SUMIF(Adat!$AH:$AH,CONCATENATE(Info!$D$5,"(ÖNV)","09711",L2279),Adat!$E:$E)*-1</f>
        <v>0</v>
      </c>
      <c r="I2337" s="72">
        <f>SUMIF(Adat!$AH:$AH,CONCATENATE(Info!$D$5,"(ÁIG)","09711",L2279),Adat!$E:$E)*-1</f>
        <v>0</v>
      </c>
    </row>
    <row r="2338" spans="2:9" x14ac:dyDescent="0.2">
      <c r="B2338" s="160">
        <v>57</v>
      </c>
      <c r="C2338" s="305" t="s">
        <v>1393</v>
      </c>
      <c r="D2338" s="82" t="s">
        <v>1394</v>
      </c>
      <c r="E2338" s="72">
        <f>SUMIF(Adat!$AG:$AG,CONCATENATE(61,Info!$D$5,"09721",L2279),Adat!$E:$E)*-1</f>
        <v>0</v>
      </c>
      <c r="F2338" s="72">
        <f>SUMIF(Adat!$AG:$AG,CONCATENATE(60,Info!$D$5,"09721",L2279),Adat!$E:$E)*-1+E2338</f>
        <v>0</v>
      </c>
      <c r="G2338" s="72">
        <f>SUMIF(Adat!$AH:$AH,CONCATENATE(Info!$D$5,"(KÖT)","09721",L2279),Adat!$E:$E)*-1</f>
        <v>0</v>
      </c>
      <c r="H2338" s="72">
        <f>SUMIF(Adat!$AH:$AH,CONCATENATE(Info!$D$5,"(ÖNV)","09721",L2279),Adat!$E:$E)*-1</f>
        <v>0</v>
      </c>
      <c r="I2338" s="72">
        <f>SUMIF(Adat!$AH:$AH,CONCATENATE(Info!$D$5,"(ÁIG)","09721",L2279),Adat!$E:$E)*-1</f>
        <v>0</v>
      </c>
    </row>
    <row r="2339" spans="2:9" x14ac:dyDescent="0.2">
      <c r="B2339" s="160">
        <v>58</v>
      </c>
      <c r="C2339" s="305" t="s">
        <v>1395</v>
      </c>
      <c r="D2339" s="82" t="s">
        <v>1396</v>
      </c>
      <c r="E2339" s="72">
        <f>SUMIF(Adat!$AG:$AG,CONCATENATE(61,Info!$D$5,"09731",L2279),Adat!$E:$E)*-1</f>
        <v>0</v>
      </c>
      <c r="F2339" s="72">
        <f>SUMIF(Adat!$AG:$AG,CONCATENATE(60,Info!$D$5,"09731",L2279),Adat!$E:$E)*-1+E2339</f>
        <v>0</v>
      </c>
      <c r="G2339" s="72">
        <f>SUMIF(Adat!$AH:$AH,CONCATENATE(Info!$D$5,"(KÖT)","09731",L2279),Adat!$E:$E)*-1</f>
        <v>0</v>
      </c>
      <c r="H2339" s="72">
        <f>SUMIF(Adat!$AH:$AH,CONCATENATE(Info!$D$5,"(ÖNV)","09731",L2279),Adat!$E:$E)*-1</f>
        <v>0</v>
      </c>
      <c r="I2339" s="72">
        <f>SUMIF(Adat!$AH:$AH,CONCATENATE(Info!$D$5,"(ÁIG)","09731",L2279),Adat!$E:$E)*-1</f>
        <v>0</v>
      </c>
    </row>
    <row r="2340" spans="2:9" x14ac:dyDescent="0.2">
      <c r="B2340" s="160">
        <v>59</v>
      </c>
      <c r="C2340" s="305" t="s">
        <v>1397</v>
      </c>
      <c r="D2340" s="82" t="s">
        <v>1398</v>
      </c>
      <c r="E2340" s="72">
        <f>SUMIF(Adat!$AG:$AG,CONCATENATE(61,Info!$D$5,"09741",L2279),Adat!$E:$E)*-1</f>
        <v>0</v>
      </c>
      <c r="F2340" s="72">
        <f>SUMIF(Adat!$AG:$AG,CONCATENATE(60,Info!$D$5,"09741",L2279),Adat!$E:$E)*-1+E2340</f>
        <v>0</v>
      </c>
      <c r="G2340" s="72">
        <f>SUMIF(Adat!$AH:$AH,CONCATENATE(Info!$D$5,"(KÖT)","09741",L2279),Adat!$E:$E)*-1</f>
        <v>0</v>
      </c>
      <c r="H2340" s="72">
        <f>SUMIF(Adat!$AH:$AH,CONCATENATE(Info!$D$5,"(ÖNV)","09741",L2279),Adat!$E:$E)*-1</f>
        <v>0</v>
      </c>
      <c r="I2340" s="72">
        <f>SUMIF(Adat!$AH:$AH,CONCATENATE(Info!$D$5,"(ÁIG)","09741",L2279),Adat!$E:$E)*-1</f>
        <v>0</v>
      </c>
    </row>
    <row r="2341" spans="2:9" x14ac:dyDescent="0.25">
      <c r="B2341" s="160">
        <v>60</v>
      </c>
      <c r="C2341" s="305" t="s">
        <v>1399</v>
      </c>
      <c r="D2341" s="84" t="s">
        <v>1400</v>
      </c>
      <c r="E2341" s="72">
        <f>SUMIF(Adat!$AG:$AG,CONCATENATE(61,Info!$D$5,"09751",L2279),Adat!$E:$E)*-1</f>
        <v>0</v>
      </c>
      <c r="F2341" s="72">
        <f>SUMIF(Adat!$AG:$AG,CONCATENATE(60,Info!$D$5,"09751",L2279),Adat!$E:$E)*-1+E2341</f>
        <v>0</v>
      </c>
      <c r="G2341" s="72">
        <f>SUMIF(Adat!$AH:$AH,CONCATENATE(Info!$D$5,"(KÖT)","09751",L2279),Adat!$E:$E)*-1</f>
        <v>0</v>
      </c>
      <c r="H2341" s="72">
        <f>SUMIF(Adat!$AH:$AH,CONCATENATE(Info!$D$5,"(ÖNV)","09751",L2279),Adat!$E:$E)*-1</f>
        <v>0</v>
      </c>
      <c r="I2341" s="72">
        <f>SUMIF(Adat!$AH:$AH,CONCATENATE(Info!$D$5,"(ÁIG)","09751",L2279),Adat!$E:$E)*-1</f>
        <v>0</v>
      </c>
    </row>
    <row r="2342" spans="2:9" x14ac:dyDescent="0.25">
      <c r="B2342" s="160">
        <v>61</v>
      </c>
      <c r="C2342" s="78" t="s">
        <v>352</v>
      </c>
      <c r="D2342" s="86" t="s">
        <v>1401</v>
      </c>
      <c r="E2342" s="71">
        <f>+E2283+E2291+E2297+E2303+E2310+E2324+E2330+E2336</f>
        <v>0</v>
      </c>
      <c r="F2342" s="71">
        <f>+F2283+F2291+F2297+F2303+F2310+F2324+F2330+F2336</f>
        <v>0</v>
      </c>
      <c r="G2342" s="71">
        <f>+G2283+G2291+G2297+G2303+G2310+G2324+G2330+G2336</f>
        <v>0</v>
      </c>
      <c r="H2342" s="71">
        <f>+H2283+H2291+H2297+H2303+H2310+H2324+H2330+H2336</f>
        <v>0</v>
      </c>
      <c r="I2342" s="71">
        <f>+I2283+I2291+I2297+I2303+I2310+I2324+I2330+I2336</f>
        <v>0</v>
      </c>
    </row>
    <row r="2343" spans="2:9" x14ac:dyDescent="0.25">
      <c r="B2343" s="160">
        <v>62</v>
      </c>
      <c r="C2343" s="154" t="s">
        <v>1402</v>
      </c>
      <c r="D2343" s="85" t="s">
        <v>1403</v>
      </c>
      <c r="E2343" s="71">
        <f t="shared" ref="E2343:G2343" si="248">SUM(E2344:E2346)</f>
        <v>0</v>
      </c>
      <c r="F2343" s="71">
        <f t="shared" si="248"/>
        <v>0</v>
      </c>
      <c r="G2343" s="71">
        <f t="shared" si="248"/>
        <v>0</v>
      </c>
      <c r="H2343" s="71">
        <f>SUM(H2344:H2346)</f>
        <v>0</v>
      </c>
      <c r="I2343" s="71">
        <f>SUM(I2344:I2346)</f>
        <v>0</v>
      </c>
    </row>
    <row r="2344" spans="2:9" x14ac:dyDescent="0.2">
      <c r="B2344" s="160">
        <v>63</v>
      </c>
      <c r="C2344" s="305" t="s">
        <v>1404</v>
      </c>
      <c r="D2344" s="82" t="s">
        <v>1405</v>
      </c>
      <c r="E2344" s="72">
        <f>SUMIF(Adat!$AG:$AG,CONCATENATE(61,Info!$D$5,"0981111",L2279),Adat!$E:$E)*-1</f>
        <v>0</v>
      </c>
      <c r="F2344" s="72">
        <f>SUMIF(Adat!$AG:$AG,CONCATENATE(60,Info!$D$5,"0981111",L2279),Adat!$E:$E)*-1+E2344</f>
        <v>0</v>
      </c>
      <c r="G2344" s="72">
        <f>SUMIF(Adat!$AH:$AH,CONCATENATE(Info!$D$5,"(KÖT)","0981111",L2279),Adat!$E:$E)*-1</f>
        <v>0</v>
      </c>
      <c r="H2344" s="72">
        <f>SUMIF(Adat!$AH:$AH,CONCATENATE(Info!$D$5,"(ÖNV)","0981111",L2279),Adat!$E:$E)*-1</f>
        <v>0</v>
      </c>
      <c r="I2344" s="72">
        <f>SUMIF(Adat!$AH:$AH,CONCATENATE(Info!$D$5,"(ÁIG)","0981111",L2279),Adat!$E:$E)*-1</f>
        <v>0</v>
      </c>
    </row>
    <row r="2345" spans="2:9" x14ac:dyDescent="0.2">
      <c r="B2345" s="160">
        <v>64</v>
      </c>
      <c r="C2345" s="305" t="s">
        <v>1406</v>
      </c>
      <c r="D2345" s="82" t="s">
        <v>1407</v>
      </c>
      <c r="E2345" s="72">
        <f>SUMIF(Adat!$AG:$AG,CONCATENATE(61,Info!$D$5,"0981121",L2279),Adat!$E:$E)*-1</f>
        <v>0</v>
      </c>
      <c r="F2345" s="72">
        <f>SUMIF(Adat!$AG:$AG,CONCATENATE(60,Info!$D$5,"0981121",L2279),Adat!$E:$E)*-1+E2345</f>
        <v>0</v>
      </c>
      <c r="G2345" s="72">
        <f>SUMIF(Adat!$AH:$AH,CONCATENATE(Info!$D$5,"(KÖT)","0981121",L2279),Adat!$E:$E)*-1</f>
        <v>0</v>
      </c>
      <c r="H2345" s="72">
        <f>SUMIF(Adat!$AH:$AH,CONCATENATE(Info!$D$5,"(ÖNV)","0981121",L2279),Adat!$E:$E)*-1</f>
        <v>0</v>
      </c>
      <c r="I2345" s="72">
        <f>SUMIF(Adat!$AH:$AH,CONCATENATE(Info!$D$5,"(ÁIG)","0981121",L2279),Adat!$E:$E)*-1</f>
        <v>0</v>
      </c>
    </row>
    <row r="2346" spans="2:9" x14ac:dyDescent="0.2">
      <c r="B2346" s="160">
        <v>65</v>
      </c>
      <c r="C2346" s="305" t="s">
        <v>1408</v>
      </c>
      <c r="D2346" s="82" t="s">
        <v>1409</v>
      </c>
      <c r="E2346" s="72">
        <f>SUMIF(Adat!$AG:$AG,CONCATENATE(61,Info!$D$5,"0981131",L2279),Adat!$E:$E)*-1</f>
        <v>0</v>
      </c>
      <c r="F2346" s="72">
        <f>SUMIF(Adat!$AG:$AG,CONCATENATE(60,Info!$D$5,"0981131",L2279),Adat!$E:$E)*-1+E2346</f>
        <v>0</v>
      </c>
      <c r="G2346" s="72">
        <f>SUMIF(Adat!$AH:$AH,CONCATENATE(Info!$D$5,"(KÖT)","0981131",L2279),Adat!$E:$E)*-1</f>
        <v>0</v>
      </c>
      <c r="H2346" s="72">
        <f>SUMIF(Adat!$AH:$AH,CONCATENATE(Info!$D$5,"(ÖNV)","0981131",L2279),Adat!$E:$E)*-1</f>
        <v>0</v>
      </c>
      <c r="I2346" s="72">
        <f>SUMIF(Adat!$AH:$AH,CONCATENATE(Info!$D$5,"(ÁIG)","0981131",L2279),Adat!$E:$E)*-1</f>
        <v>0</v>
      </c>
    </row>
    <row r="2347" spans="2:9" x14ac:dyDescent="0.25">
      <c r="B2347" s="160">
        <v>66</v>
      </c>
      <c r="C2347" s="154" t="s">
        <v>1410</v>
      </c>
      <c r="D2347" s="85" t="s">
        <v>574</v>
      </c>
      <c r="E2347" s="71">
        <f>SUM(E2348:E2351)</f>
        <v>0</v>
      </c>
      <c r="F2347" s="71">
        <f t="shared" ref="F2347" si="249">SUM(F2348:F2351)</f>
        <v>0</v>
      </c>
      <c r="G2347" s="71">
        <f>SUM(G2348:G2351)</f>
        <v>0</v>
      </c>
      <c r="H2347" s="71">
        <f>SUM(H2348:H2351)</f>
        <v>0</v>
      </c>
      <c r="I2347" s="71">
        <f>SUM(I2348:I2351)</f>
        <v>0</v>
      </c>
    </row>
    <row r="2348" spans="2:9" x14ac:dyDescent="0.2">
      <c r="B2348" s="160">
        <v>67</v>
      </c>
      <c r="C2348" s="305" t="s">
        <v>1411</v>
      </c>
      <c r="D2348" s="82" t="s">
        <v>1412</v>
      </c>
      <c r="E2348" s="72">
        <f>SUMIF(Adat!$AG:$AG,CONCATENATE(61,Info!$D$5,"0981211",L2279),Adat!$E:$E)*-1</f>
        <v>0</v>
      </c>
      <c r="F2348" s="72">
        <f>SUMIF(Adat!$AG:$AG,CONCATENATE(60,Info!$D$5,"0981211",L2279),Adat!$E:$E)*-1+E2348</f>
        <v>0</v>
      </c>
      <c r="G2348" s="72">
        <f>SUMIF(Adat!$AH:$AH,CONCATENATE(Info!$D$5,"(KÖT)","0981211",L2279),Adat!$E:$E)*-1</f>
        <v>0</v>
      </c>
      <c r="H2348" s="72">
        <f>SUMIF(Adat!$AH:$AH,CONCATENATE(Info!$D$5,"(ÖNV)","0981211",L2279),Adat!$E:$E)*-1</f>
        <v>0</v>
      </c>
      <c r="I2348" s="72">
        <f>SUMIF(Adat!$AH:$AH,CONCATENATE(Info!$D$5,"(ÁIG)","0981211",L2279),Adat!$E:$E)*-1</f>
        <v>0</v>
      </c>
    </row>
    <row r="2349" spans="2:9" x14ac:dyDescent="0.2">
      <c r="B2349" s="160">
        <v>68</v>
      </c>
      <c r="C2349" s="305" t="s">
        <v>1413</v>
      </c>
      <c r="D2349" s="82" t="s">
        <v>1414</v>
      </c>
      <c r="E2349" s="72">
        <f>SUMIF(Adat!$AG:$AG,CONCATENATE(61,Info!$D$5,"0981221",L2279),Adat!$E:$E)*-1</f>
        <v>0</v>
      </c>
      <c r="F2349" s="72">
        <f>SUMIF(Adat!$AG:$AG,CONCATENATE(60,Info!$D$5,"0981221",L2279),Adat!$E:$E)*-1+E2349</f>
        <v>0</v>
      </c>
      <c r="G2349" s="72">
        <f>SUMIF(Adat!$AH:$AH,CONCATENATE(Info!$D$5,"(KÖT)","0981221",L2279),Adat!$E:$E)*-1</f>
        <v>0</v>
      </c>
      <c r="H2349" s="72">
        <f>SUMIF(Adat!$AH:$AH,CONCATENATE(Info!$D$5,"(ÖNV)","0981221",L2279),Adat!$E:$E)*-1</f>
        <v>0</v>
      </c>
      <c r="I2349" s="72">
        <f>SUMIF(Adat!$AH:$AH,CONCATENATE(Info!$D$5,"(ÁIG)","0981221",L2279),Adat!$E:$E)*-1</f>
        <v>0</v>
      </c>
    </row>
    <row r="2350" spans="2:9" x14ac:dyDescent="0.2">
      <c r="B2350" s="160">
        <v>69</v>
      </c>
      <c r="C2350" s="305" t="s">
        <v>1313</v>
      </c>
      <c r="D2350" s="82" t="s">
        <v>1415</v>
      </c>
      <c r="E2350" s="72">
        <f>SUMIF(Adat!$AG:$AG,CONCATENATE(61,Info!$D$5,"0981231",L2279),Adat!$E:$E)*-1</f>
        <v>0</v>
      </c>
      <c r="F2350" s="72">
        <f>SUMIF(Adat!$AG:$AG,CONCATENATE(60,Info!$D$5,"0981231",L2279),Adat!$E:$E)*-1+E2350</f>
        <v>0</v>
      </c>
      <c r="G2350" s="72">
        <f>SUMIF(Adat!$AH:$AH,CONCATENATE(Info!$D$5,"(KÖT)","0981231",L2279),Adat!$E:$E)*-1</f>
        <v>0</v>
      </c>
      <c r="H2350" s="72">
        <f>SUMIF(Adat!$AH:$AH,CONCATENATE(Info!$D$5,"(ÖNV)","0981231",L2279),Adat!$E:$E)*-1</f>
        <v>0</v>
      </c>
      <c r="I2350" s="72">
        <f>SUMIF(Adat!$AH:$AH,CONCATENATE(Info!$D$5,"(ÁIG)","0981231",L2279),Adat!$E:$E)*-1</f>
        <v>0</v>
      </c>
    </row>
    <row r="2351" spans="2:9" x14ac:dyDescent="0.25">
      <c r="B2351" s="160">
        <v>70</v>
      </c>
      <c r="C2351" s="305" t="s">
        <v>1416</v>
      </c>
      <c r="D2351" s="84" t="s">
        <v>1417</v>
      </c>
      <c r="E2351" s="72">
        <f>SUMIF(Adat!$AG:$AG,CONCATENATE(61,Info!$D$5,"0981241",L2279),Adat!$E:$E)*-1</f>
        <v>0</v>
      </c>
      <c r="F2351" s="72">
        <f>SUMIF(Adat!$AG:$AG,CONCATENATE(60,Info!$D$5,"0981241",L2279),Adat!$E:$E)*-1+E2351</f>
        <v>0</v>
      </c>
      <c r="G2351" s="72">
        <f>SUMIF(Adat!$AH:$AH,CONCATENATE(Info!$D$5,"(KÖT)","0981241",L2279),Adat!$E:$E)*-1</f>
        <v>0</v>
      </c>
      <c r="H2351" s="72">
        <f>SUMIF(Adat!$AH:$AH,CONCATENATE(Info!$D$5,"(ÖNV)","0981241",L2279),Adat!$E:$E)*-1</f>
        <v>0</v>
      </c>
      <c r="I2351" s="72">
        <f>SUMIF(Adat!$AH:$AH,CONCATENATE(Info!$D$5,"(ÁIG)","0981241",L2279),Adat!$E:$E)*-1</f>
        <v>0</v>
      </c>
    </row>
    <row r="2352" spans="2:9" x14ac:dyDescent="0.25">
      <c r="B2352" s="160">
        <v>71</v>
      </c>
      <c r="C2352" s="154" t="s">
        <v>1418</v>
      </c>
      <c r="D2352" s="85" t="s">
        <v>575</v>
      </c>
      <c r="E2352" s="71">
        <f>SUM(E2353:E2354)</f>
        <v>0</v>
      </c>
      <c r="F2352" s="71">
        <f t="shared" ref="F2352" si="250">SUM(F2353:F2354)</f>
        <v>0</v>
      </c>
      <c r="G2352" s="71">
        <f>SUM(G2353:G2354)</f>
        <v>0</v>
      </c>
      <c r="H2352" s="71">
        <f>SUM(H2353:H2354)</f>
        <v>0</v>
      </c>
      <c r="I2352" s="71">
        <f>SUM(I2353:I2354)</f>
        <v>0</v>
      </c>
    </row>
    <row r="2353" spans="2:9" x14ac:dyDescent="0.2">
      <c r="B2353" s="160">
        <v>72</v>
      </c>
      <c r="C2353" s="305" t="s">
        <v>1274</v>
      </c>
      <c r="D2353" s="82" t="s">
        <v>1419</v>
      </c>
      <c r="E2353" s="72">
        <f>SUMIF(Adat!$AG:$AG,CONCATENATE(61,Info!$D$5,"0981311",L2279),Adat!$E:$E)*-1</f>
        <v>0</v>
      </c>
      <c r="F2353" s="72">
        <f>SUMIF(Adat!$AG:$AG,CONCATENATE(60,Info!$D$5,"0981311",L2279),Adat!$E:$E)*-1+E2353</f>
        <v>0</v>
      </c>
      <c r="G2353" s="72">
        <f>SUMIF(Adat!$AH:$AH,CONCATENATE(Info!$D$5,"(KÖT)","0981311",L2279),Adat!$E:$E)*-1</f>
        <v>0</v>
      </c>
      <c r="H2353" s="72">
        <f>SUMIF(Adat!$AH:$AH,CONCATENATE(Info!$D$5,"(ÖNV)","0981311",L2279),Adat!$E:$E)*-1</f>
        <v>0</v>
      </c>
      <c r="I2353" s="72">
        <f>SUMIF(Adat!$AH:$AH,CONCATENATE(Info!$D$5,"(ÁIG)","0981311",L2279),Adat!$E:$E)*-1</f>
        <v>0</v>
      </c>
    </row>
    <row r="2354" spans="2:9" x14ac:dyDescent="0.25">
      <c r="B2354" s="160">
        <v>73</v>
      </c>
      <c r="C2354" s="305" t="s">
        <v>1420</v>
      </c>
      <c r="D2354" s="84" t="s">
        <v>1421</v>
      </c>
      <c r="E2354" s="72">
        <f>SUMIF(Adat!$AG:$AG,CONCATENATE(61,Info!$D$5,"0981321",L2279),Adat!$E:$E)*-1</f>
        <v>0</v>
      </c>
      <c r="F2354" s="72">
        <f>SUMIF(Adat!$AG:$AG,CONCATENATE(60,Info!$D$5,"0981321",L2279),Adat!$E:$E)*-1+E2354</f>
        <v>0</v>
      </c>
      <c r="G2354" s="72">
        <f>SUMIF(Adat!$AH:$AH,CONCATENATE(Info!$D$5,"(KÖT)","0981321",L2279),Adat!$E:$E)*-1</f>
        <v>0</v>
      </c>
      <c r="H2354" s="72">
        <f>SUMIF(Adat!$AH:$AH,CONCATENATE(Info!$D$5,"(ÖNV)","0981321",L2279),Adat!$E:$E)*-1</f>
        <v>0</v>
      </c>
      <c r="I2354" s="72">
        <f>SUMIF(Adat!$AH:$AH,CONCATENATE(Info!$D$5,"(ÁIG)","0981321",L2279),Adat!$E:$E)*-1</f>
        <v>0</v>
      </c>
    </row>
    <row r="2355" spans="2:9" s="42" customFormat="1" x14ac:dyDescent="0.25">
      <c r="B2355" s="160">
        <v>74</v>
      </c>
      <c r="C2355" s="154" t="s">
        <v>1496</v>
      </c>
      <c r="D2355" s="85" t="s">
        <v>576</v>
      </c>
      <c r="E2355" s="71">
        <f>SUM(E2356:E2358)</f>
        <v>0</v>
      </c>
      <c r="F2355" s="71">
        <f t="shared" ref="F2355" si="251">SUM(F2356:F2358)</f>
        <v>0</v>
      </c>
      <c r="G2355" s="71">
        <f>SUM(G2356:G2358)</f>
        <v>0</v>
      </c>
      <c r="H2355" s="71">
        <f>SUM(H2356:H2358)</f>
        <v>0</v>
      </c>
      <c r="I2355" s="71">
        <f>SUM(I2356:I2358)</f>
        <v>0</v>
      </c>
    </row>
    <row r="2356" spans="2:9" x14ac:dyDescent="0.2">
      <c r="B2356" s="160">
        <v>75</v>
      </c>
      <c r="C2356" s="305" t="s">
        <v>1301</v>
      </c>
      <c r="D2356" s="82" t="s">
        <v>1422</v>
      </c>
      <c r="E2356" s="72">
        <f>SUMIF(Adat!$AG:$AG,CONCATENATE(61,Info!$D$5,"098141",L2279),Adat!$E:$E)*-1</f>
        <v>0</v>
      </c>
      <c r="F2356" s="72">
        <f>SUMIF(Adat!$AG:$AG,CONCATENATE(60,Info!$D$5,"098141",L2279),Adat!$E:$E)*-1+E2356</f>
        <v>0</v>
      </c>
      <c r="G2356" s="72">
        <f>SUMIF(Adat!$AH:$AH,CONCATENATE(Info!$D$5,"(KÖT)","098141",L2279),Adat!$E:$E)*-1</f>
        <v>0</v>
      </c>
      <c r="H2356" s="72">
        <f>SUMIF(Adat!$AH:$AH,CONCATENATE(Info!$D$5,"(ÖNV)","098141",L2279),Adat!$E:$E)*-1</f>
        <v>0</v>
      </c>
      <c r="I2356" s="72">
        <f>SUMIF(Adat!$AH:$AH,CONCATENATE(Info!$D$5,"(ÁIG)","098141",L2279),Adat!$E:$E)*-1</f>
        <v>0</v>
      </c>
    </row>
    <row r="2357" spans="2:9" x14ac:dyDescent="0.2">
      <c r="B2357" s="160">
        <v>76</v>
      </c>
      <c r="C2357" s="305" t="s">
        <v>1423</v>
      </c>
      <c r="D2357" s="82" t="s">
        <v>1424</v>
      </c>
      <c r="E2357" s="72">
        <f>SUMIF(Adat!$AG:$AG,CONCATENATE(61,Info!$D$5,"098151",L2279),Adat!$E:$E)*-1</f>
        <v>0</v>
      </c>
      <c r="F2357" s="72">
        <f>SUMIF(Adat!$AG:$AG,CONCATENATE(60,Info!$D$5,"098151",L2279),Adat!$E:$E)*-1+E2357</f>
        <v>0</v>
      </c>
      <c r="G2357" s="72">
        <f>SUMIF(Adat!$AH:$AH,CONCATENATE(Info!$D$5,"(KÖT)","098151",L2279),Adat!$E:$E)*-1</f>
        <v>0</v>
      </c>
      <c r="H2357" s="72">
        <f>SUMIF(Adat!$AH:$AH,CONCATENATE(Info!$D$5,"(ÖNV)","098151",L2279),Adat!$E:$E)*-1</f>
        <v>0</v>
      </c>
      <c r="I2357" s="72">
        <f>SUMIF(Adat!$AH:$AH,CONCATENATE(Info!$D$5,"(ÁIG)","098151",L2279),Adat!$E:$E)*-1</f>
        <v>0</v>
      </c>
    </row>
    <row r="2358" spans="2:9" x14ac:dyDescent="0.25">
      <c r="B2358" s="160">
        <v>77</v>
      </c>
      <c r="C2358" s="305" t="s">
        <v>1425</v>
      </c>
      <c r="D2358" s="84" t="s">
        <v>1426</v>
      </c>
      <c r="E2358" s="72">
        <f>SUMIF(Adat!$AG:$AG,CONCATENATE(61,Info!$D$5,"098171",L2279),Adat!$E:$E)*-1</f>
        <v>0</v>
      </c>
      <c r="F2358" s="72">
        <f>SUMIF(Adat!$AG:$AG,CONCATENATE(60,Info!$D$5,"098171",L2279),Adat!$E:$E)*-1+E2358</f>
        <v>0</v>
      </c>
      <c r="G2358" s="72">
        <f>SUMIF(Adat!$AH:$AH,CONCATENATE(Info!$D$5,"(KÖT)","098171",L2279),Adat!$E:$E)*-1</f>
        <v>0</v>
      </c>
      <c r="H2358" s="72">
        <f>SUMIF(Adat!$AH:$AH,CONCATENATE(Info!$D$5,"(ÖNV)","098171",L2279),Adat!$E:$E)*-1</f>
        <v>0</v>
      </c>
      <c r="I2358" s="72">
        <f>SUMIF(Adat!$AH:$AH,CONCATENATE(Info!$D$5,"(ÁIG)","098171",L2279),Adat!$E:$E)*-1</f>
        <v>0</v>
      </c>
    </row>
    <row r="2359" spans="2:9" x14ac:dyDescent="0.25">
      <c r="B2359" s="160">
        <v>78</v>
      </c>
      <c r="C2359" s="154" t="s">
        <v>1427</v>
      </c>
      <c r="D2359" s="85" t="s">
        <v>577</v>
      </c>
      <c r="E2359" s="71">
        <f>SUM(E2360:E2364)</f>
        <v>0</v>
      </c>
      <c r="F2359" s="71">
        <f t="shared" ref="F2359" si="252">SUM(F2360:F2364)</f>
        <v>0</v>
      </c>
      <c r="G2359" s="71">
        <f>SUM(G2360:G2364)</f>
        <v>0</v>
      </c>
      <c r="H2359" s="71">
        <f>SUM(H2360:H2364)</f>
        <v>0</v>
      </c>
      <c r="I2359" s="71">
        <f>SUM(I2360:I2364)</f>
        <v>0</v>
      </c>
    </row>
    <row r="2360" spans="2:9" x14ac:dyDescent="0.2">
      <c r="B2360" s="160">
        <v>79</v>
      </c>
      <c r="C2360" s="89" t="s">
        <v>1428</v>
      </c>
      <c r="D2360" s="82" t="s">
        <v>1429</v>
      </c>
      <c r="E2360" s="72">
        <f>SUMIF(Adat!$AG:$AG,CONCATENATE(61,Info!$D$5,"098211",L2279),Adat!$E:$E)*-1</f>
        <v>0</v>
      </c>
      <c r="F2360" s="72">
        <f>SUMIF(Adat!$AG:$AG,CONCATENATE(60,Info!$D$5,"098211",L2279),Adat!$E:$E)*-1+E2360</f>
        <v>0</v>
      </c>
      <c r="G2360" s="72">
        <f>SUMIF(Adat!$AH:$AH,CONCATENATE(Info!$D$5,"(KÖT)","098211",L2279),Adat!$E:$E)*-1</f>
        <v>0</v>
      </c>
      <c r="H2360" s="72">
        <f>SUMIF(Adat!$AH:$AH,CONCATENATE(Info!$D$5,"(ÖNV)","098211",L2279),Adat!$E:$E)*-1</f>
        <v>0</v>
      </c>
      <c r="I2360" s="72">
        <f>SUMIF(Adat!$AH:$AH,CONCATENATE(Info!$D$5,"(ÁIG)","098211",L2279),Adat!$E:$E)*-1</f>
        <v>0</v>
      </c>
    </row>
    <row r="2361" spans="2:9" x14ac:dyDescent="0.2">
      <c r="B2361" s="160">
        <v>80</v>
      </c>
      <c r="C2361" s="89" t="s">
        <v>1430</v>
      </c>
      <c r="D2361" s="82" t="s">
        <v>1431</v>
      </c>
      <c r="E2361" s="72">
        <f>SUMIF(Adat!$AG:$AG,CONCATENATE(61,Info!$D$5,"098221",L2279),Adat!$E:$E)*-1</f>
        <v>0</v>
      </c>
      <c r="F2361" s="72">
        <f>SUMIF(Adat!$AG:$AG,CONCATENATE(60,Info!$D$5,"098221",L2279),Adat!$E:$E)*-1+E2361</f>
        <v>0</v>
      </c>
      <c r="G2361" s="72">
        <f>SUMIF(Adat!$AH:$AH,CONCATENATE(Info!$D$5,"(KÖT)","098221",L2279),Adat!$E:$E)*-1</f>
        <v>0</v>
      </c>
      <c r="H2361" s="72">
        <f>SUMIF(Adat!$AH:$AH,CONCATENATE(Info!$D$5,"(ÖNV)","098221",L2279),Adat!$E:$E)*-1</f>
        <v>0</v>
      </c>
      <c r="I2361" s="72">
        <f>SUMIF(Adat!$AH:$AH,CONCATENATE(Info!$D$5,"(ÁIG)","098221",L2279),Adat!$E:$E)*-1</f>
        <v>0</v>
      </c>
    </row>
    <row r="2362" spans="2:9" x14ac:dyDescent="0.2">
      <c r="B2362" s="160">
        <v>81</v>
      </c>
      <c r="C2362" s="89" t="s">
        <v>1432</v>
      </c>
      <c r="D2362" s="82" t="s">
        <v>1433</v>
      </c>
      <c r="E2362" s="72">
        <f>SUMIF(Adat!$AG:$AG,CONCATENATE(61,Info!$D$5,"098231",L2279),Adat!$E:$E)*-1</f>
        <v>0</v>
      </c>
      <c r="F2362" s="72">
        <f>SUMIF(Adat!$AG:$AG,CONCATENATE(60,Info!$D$5,"098231",L2279),Adat!$E:$E)*-1+E2362</f>
        <v>0</v>
      </c>
      <c r="G2362" s="72">
        <f>SUMIF(Adat!$AH:$AH,CONCATENATE(Info!$D$5,"(KÖT)","098231",L2279),Adat!$E:$E)*-1</f>
        <v>0</v>
      </c>
      <c r="H2362" s="72">
        <f>SUMIF(Adat!$AH:$AH,CONCATENATE(Info!$D$5,"(ÖNV)","098231",L2279),Adat!$E:$E)*-1</f>
        <v>0</v>
      </c>
      <c r="I2362" s="72">
        <f>SUMIF(Adat!$AH:$AH,CONCATENATE(Info!$D$5,"(ÁIG)","098231",L2279),Adat!$E:$E)*-1</f>
        <v>0</v>
      </c>
    </row>
    <row r="2363" spans="2:9" x14ac:dyDescent="0.2">
      <c r="B2363" s="160">
        <v>82</v>
      </c>
      <c r="C2363" s="89" t="s">
        <v>1434</v>
      </c>
      <c r="D2363" s="82" t="s">
        <v>1435</v>
      </c>
      <c r="E2363" s="72">
        <f>SUMIF(Adat!$AG:$AG,CONCATENATE(61,Info!$D$5,"098241",L2279),Adat!$E:$E)*-1</f>
        <v>0</v>
      </c>
      <c r="F2363" s="72">
        <f>SUMIF(Adat!$AG:$AG,CONCATENATE(60,Info!$D$5,"098241",L2279),Adat!$E:$E)*-1+E2363</f>
        <v>0</v>
      </c>
      <c r="G2363" s="72">
        <f>SUMIF(Adat!$AH:$AH,CONCATENATE(Info!$D$5,"(KÖT)","098241",L2279),Adat!$E:$E)*-1</f>
        <v>0</v>
      </c>
      <c r="H2363" s="72">
        <f>SUMIF(Adat!$AH:$AH,CONCATENATE(Info!$D$5,"(ÖNV)","098241",L2279),Adat!$E:$E)*-1</f>
        <v>0</v>
      </c>
      <c r="I2363" s="72">
        <f>SUMIF(Adat!$AH:$AH,CONCATENATE(Info!$D$5,"(ÁIG)","098241",L2279),Adat!$E:$E)*-1</f>
        <v>0</v>
      </c>
    </row>
    <row r="2364" spans="2:9" s="42" customFormat="1" x14ac:dyDescent="0.2">
      <c r="B2364" s="160">
        <v>83</v>
      </c>
      <c r="C2364" s="89" t="s">
        <v>1436</v>
      </c>
      <c r="D2364" s="84" t="s">
        <v>1437</v>
      </c>
      <c r="E2364" s="72">
        <f>SUMIF(Adat!$AG:$AG,CONCATENATE(61,Info!$D$5,"098251",L2279),Adat!$E:$E)*-1</f>
        <v>0</v>
      </c>
      <c r="F2364" s="72">
        <f>SUMIF(Adat!$AG:$AG,CONCATENATE(60,Info!$D$5,"098251",L2279),Adat!$E:$E)*-1+E2364</f>
        <v>0</v>
      </c>
      <c r="G2364" s="72">
        <f>SUMIF(Adat!$AH:$AH,CONCATENATE(Info!$D$5,"(KÖT)","098251",L2279),Adat!$E:$E)*-1</f>
        <v>0</v>
      </c>
      <c r="H2364" s="72">
        <f>SUMIF(Adat!$AH:$AH,CONCATENATE(Info!$D$5,"(ÖNV)","098251",L2279),Adat!$E:$E)*-1</f>
        <v>0</v>
      </c>
      <c r="I2364" s="72">
        <f>SUMIF(Adat!$AH:$AH,CONCATENATE(Info!$D$5,"(ÁIG)","098251",L2279),Adat!$E:$E)*-1</f>
        <v>0</v>
      </c>
    </row>
    <row r="2365" spans="2:9" s="42" customFormat="1" x14ac:dyDescent="0.2">
      <c r="B2365" s="160">
        <v>84</v>
      </c>
      <c r="C2365" s="309" t="s">
        <v>1438</v>
      </c>
      <c r="D2365" s="85" t="s">
        <v>1439</v>
      </c>
      <c r="E2365" s="71">
        <f>SUMIF(Adat!$AG:$AG,CONCATENATE(61,Info!$D$5,"09831",L2279),Adat!$E:$E)*-1</f>
        <v>0</v>
      </c>
      <c r="F2365" s="71">
        <f>SUMIF(Adat!$AG:$AG,CONCATENATE(60,Info!$D$5,"09831",L2279),Adat!$E:$E)*-1+E2365</f>
        <v>0</v>
      </c>
      <c r="G2365" s="71">
        <f>SUMIF(Adat!$AH:$AH,CONCATENATE(Info!$D$5,"(KÖT)","09831",L2279),Adat!$E:$E)*-1</f>
        <v>0</v>
      </c>
      <c r="H2365" s="71">
        <f>SUMIF(Adat!$AH:$AH,CONCATENATE(Info!$D$5,"(ÖNV)","09831",L2279),Adat!$E:$E)*-1</f>
        <v>0</v>
      </c>
      <c r="I2365" s="71">
        <f>SUMIF(Adat!$AH:$AH,CONCATENATE(Info!$D$5,"(ÁIG)","09831",L2279),Adat!$E:$E)*-1</f>
        <v>0</v>
      </c>
    </row>
    <row r="2366" spans="2:9" s="42" customFormat="1" x14ac:dyDescent="0.25">
      <c r="B2366" s="160">
        <v>85</v>
      </c>
      <c r="C2366" s="154" t="s">
        <v>1440</v>
      </c>
      <c r="D2366" s="85" t="s">
        <v>1441</v>
      </c>
      <c r="E2366" s="71">
        <f>SUMIF(Adat!$AG:$AG,CONCATENATE(61,Info!$D$5,"09841",L2279),Adat!$E:$E)*-1</f>
        <v>0</v>
      </c>
      <c r="F2366" s="71">
        <f>SUMIF(Adat!$AG:$AG,CONCATENATE(60,Info!$D$5,"09841",L2279),Adat!$E:$E)*-1+E2366</f>
        <v>0</v>
      </c>
      <c r="G2366" s="71">
        <f>SUMIF(Adat!$AH:$AH,CONCATENATE(Info!$D$5,"(KÖT)","09841",L2279),Adat!$E:$E)*-1</f>
        <v>0</v>
      </c>
      <c r="H2366" s="71">
        <f>SUMIF(Adat!$AH:$AH,CONCATENATE(Info!$D$5,"(ÖNV)","09841",L2279),Adat!$E:$E)*-1</f>
        <v>0</v>
      </c>
      <c r="I2366" s="71">
        <f>SUMIF(Adat!$AH:$AH,CONCATENATE(Info!$D$5,"(ÁIG)","09841",L2279),Adat!$E:$E)*-1</f>
        <v>0</v>
      </c>
    </row>
    <row r="2367" spans="2:9" s="42" customFormat="1" x14ac:dyDescent="0.25">
      <c r="B2367" s="160">
        <v>86</v>
      </c>
      <c r="C2367" s="154" t="s">
        <v>358</v>
      </c>
      <c r="D2367" s="87" t="s">
        <v>1442</v>
      </c>
      <c r="E2367" s="71">
        <f>+E2343+E2347+E2352+E2355+E2359+E2366+E2365</f>
        <v>0</v>
      </c>
      <c r="F2367" s="71">
        <f t="shared" ref="F2367" si="253">+F2343+F2347+F2352+F2355+F2359+F2366+F2365</f>
        <v>0</v>
      </c>
      <c r="G2367" s="71">
        <f>+G2343+G2347+G2352+G2355+G2359+G2366+G2365</f>
        <v>0</v>
      </c>
      <c r="H2367" s="71">
        <f>+H2343+H2347+H2352+H2355+H2359+H2366+H2365</f>
        <v>0</v>
      </c>
      <c r="I2367" s="71">
        <f>+I2343+I2347+I2352+I2355+I2359+I2366+I2365</f>
        <v>0</v>
      </c>
    </row>
    <row r="2368" spans="2:9" s="42" customFormat="1" x14ac:dyDescent="0.25">
      <c r="B2368" s="160">
        <v>87</v>
      </c>
      <c r="C2368" s="154" t="s">
        <v>364</v>
      </c>
      <c r="D2368" s="87" t="s">
        <v>1497</v>
      </c>
      <c r="E2368" s="71">
        <f>+E2342+E2367</f>
        <v>0</v>
      </c>
      <c r="F2368" s="71">
        <f t="shared" ref="F2368" si="254">+F2342+F2367</f>
        <v>0</v>
      </c>
      <c r="G2368" s="71">
        <f>+G2342+G2367</f>
        <v>0</v>
      </c>
      <c r="H2368" s="71">
        <f>+H2342+H2367</f>
        <v>0</v>
      </c>
      <c r="I2368" s="71">
        <f>+I2342+I2367</f>
        <v>0</v>
      </c>
    </row>
    <row r="2369" spans="2:12" s="38" customFormat="1" ht="15.75" x14ac:dyDescent="0.25">
      <c r="C2369" s="156"/>
      <c r="E2369" s="140"/>
      <c r="F2369" s="140"/>
      <c r="G2369" s="140"/>
      <c r="H2369" s="140"/>
      <c r="I2369" s="140"/>
    </row>
    <row r="2370" spans="2:12" s="10" customFormat="1" ht="15.75" customHeight="1" x14ac:dyDescent="0.25">
      <c r="B2370" s="201" t="str">
        <f>CONCATENATE("34. Kiadási jogcímek"," - ",L2370," részletező")</f>
        <v>34. Kiadási jogcímek -  részletező</v>
      </c>
      <c r="C2370" s="101"/>
      <c r="D2370" s="101"/>
      <c r="E2370" s="101"/>
      <c r="F2370" s="101"/>
      <c r="G2370" s="198"/>
      <c r="H2370" s="198"/>
      <c r="I2370" s="198"/>
      <c r="L2370" s="384"/>
    </row>
    <row r="2371" spans="2:12" s="38" customFormat="1" ht="15.75" x14ac:dyDescent="0.25">
      <c r="C2371" s="156"/>
      <c r="E2371" s="140"/>
      <c r="F2371" s="140"/>
      <c r="G2371" s="140"/>
      <c r="H2371" s="140"/>
      <c r="I2371" s="140"/>
    </row>
    <row r="2372" spans="2:12" s="40" customFormat="1" x14ac:dyDescent="0.25">
      <c r="B2372" s="77"/>
      <c r="C2372" s="77" t="s">
        <v>350</v>
      </c>
      <c r="D2372" s="77" t="s">
        <v>351</v>
      </c>
      <c r="E2372" s="77" t="s">
        <v>470</v>
      </c>
      <c r="F2372" s="77" t="s">
        <v>471</v>
      </c>
      <c r="G2372" s="77" t="s">
        <v>44</v>
      </c>
      <c r="H2372" s="77" t="s">
        <v>42</v>
      </c>
      <c r="I2372" s="77" t="s">
        <v>511</v>
      </c>
    </row>
    <row r="2373" spans="2:12" s="41" customFormat="1" ht="38.25" x14ac:dyDescent="0.25">
      <c r="B2373" s="160">
        <v>1</v>
      </c>
      <c r="C2373" s="154" t="s">
        <v>593</v>
      </c>
      <c r="D2373" s="154" t="s">
        <v>488</v>
      </c>
      <c r="E2373" s="163" t="str">
        <f>CONCATENATE(PAR!$H$3," évi
eredeti 
előirányzat")</f>
        <v>2025. évi
eredeti 
előirányzat</v>
      </c>
      <c r="F2373" s="163" t="str">
        <f>CONCATENATE(PAR!$H$3," évi
módosított 
előirányzat")</f>
        <v>2025. évi
módosított 
előirányzat</v>
      </c>
      <c r="G2373" s="69" t="s">
        <v>666</v>
      </c>
      <c r="H2373" s="69" t="s">
        <v>667</v>
      </c>
      <c r="I2373" s="69" t="s">
        <v>668</v>
      </c>
    </row>
    <row r="2374" spans="2:12" s="42" customFormat="1" x14ac:dyDescent="0.25">
      <c r="B2374" s="160">
        <v>2</v>
      </c>
      <c r="C2374" s="78" t="s">
        <v>352</v>
      </c>
      <c r="D2374" s="92" t="s">
        <v>2663</v>
      </c>
      <c r="E2374" s="71">
        <f>SUM(E2375:E2380)</f>
        <v>0</v>
      </c>
      <c r="F2374" s="71">
        <f>SUM(F2375:F2380)</f>
        <v>0</v>
      </c>
      <c r="G2374" s="71">
        <f>SUM(G2375:G2380)</f>
        <v>0</v>
      </c>
      <c r="H2374" s="71">
        <f>+H2375+H2376+H2377+H2378+H2379+H2380</f>
        <v>0</v>
      </c>
      <c r="I2374" s="71">
        <f>+I2375+I2376+I2377+I2378+I2379+I2380</f>
        <v>0</v>
      </c>
    </row>
    <row r="2375" spans="2:12" x14ac:dyDescent="0.25">
      <c r="B2375" s="160">
        <v>3</v>
      </c>
      <c r="C2375" s="305" t="s">
        <v>315</v>
      </c>
      <c r="D2375" s="161" t="s">
        <v>342</v>
      </c>
      <c r="E2375" s="72">
        <f>SUMIF(Adat!$AI:$AI,CONCATENATE(61,Info!$D$5,"051",L2370),Adat!$E:$E)</f>
        <v>0</v>
      </c>
      <c r="F2375" s="72">
        <f>SUMIF(Adat!$AI:$AI,CONCATENATE(60,Info!$D$5,"051",L2370),Adat!$E:$E)+E2375</f>
        <v>0</v>
      </c>
      <c r="G2375" s="72">
        <f>SUMIF(Adat!$AJ:$AJ,CONCATENATE(Info!$D$5,"051","(KÖT)",L2370),Adat!$E:$E)</f>
        <v>0</v>
      </c>
      <c r="H2375" s="72">
        <f>SUMIF(Adat!$AJ:$AJ,CONCATENATE(Info!$D$5,"051","(ÖNV)",L2370),Adat!$E:$E)</f>
        <v>0</v>
      </c>
      <c r="I2375" s="72">
        <f>SUMIF(Adat!$AJ:$AJ,CONCATENATE(Info!$D$5,"051","(ÁIG)",L2370),Adat!$E:$E)</f>
        <v>0</v>
      </c>
    </row>
    <row r="2376" spans="2:12" x14ac:dyDescent="0.25">
      <c r="B2376" s="160">
        <v>4</v>
      </c>
      <c r="C2376" s="305" t="s">
        <v>317</v>
      </c>
      <c r="D2376" s="161" t="s">
        <v>395</v>
      </c>
      <c r="E2376" s="72">
        <f>SUMIF(Adat!$AI:$AI,CONCATENATE(61,Info!$D$5,"052",L2370),Adat!$E:$E)</f>
        <v>0</v>
      </c>
      <c r="F2376" s="72">
        <f>SUMIF(Adat!$AI:$AI,CONCATENATE(60,Info!$D$5,"052",L2370),Adat!$E:$E)+E2376</f>
        <v>0</v>
      </c>
      <c r="G2376" s="72">
        <f>SUMIF(Adat!$AJ:$AJ,CONCATENATE(Info!$D$5,"052","(KÖT)",L2370),Adat!$E:$E)</f>
        <v>0</v>
      </c>
      <c r="H2376" s="72">
        <f>SUMIF(Adat!$AJ:$AJ,CONCATENATE(Info!$D$5,"052","(ÖNV)",L2370),Adat!$E:$E)</f>
        <v>0</v>
      </c>
      <c r="I2376" s="72">
        <f>SUMIF(Adat!$AJ:$AJ,CONCATENATE(Info!$D$5,"052","(ÁIG)",L2370),Adat!$E:$E)</f>
        <v>0</v>
      </c>
    </row>
    <row r="2377" spans="2:12" x14ac:dyDescent="0.25">
      <c r="B2377" s="160">
        <v>5</v>
      </c>
      <c r="C2377" s="305" t="s">
        <v>4</v>
      </c>
      <c r="D2377" s="161" t="s">
        <v>344</v>
      </c>
      <c r="E2377" s="72">
        <f>SUMIF(Adat!$AI:$AI,CONCATENATE(61,Info!$D$5,"053",L2370),Adat!$E:$E)</f>
        <v>0</v>
      </c>
      <c r="F2377" s="72">
        <f>SUMIF(Adat!$AI:$AI,CONCATENATE(60,Info!$D$5,"053",L2370),Adat!$E:$E)+E2377</f>
        <v>0</v>
      </c>
      <c r="G2377" s="72">
        <f>SUMIF(Adat!$AJ:$AJ,CONCATENATE(Info!$D$5,"053","(KÖT)",L2370),Adat!$E:$E)</f>
        <v>0</v>
      </c>
      <c r="H2377" s="72">
        <f>SUMIF(Adat!$AJ:$AJ,CONCATENATE(Info!$D$5,"053","(ÖNV)",L2370),Adat!$E:$E)</f>
        <v>0</v>
      </c>
      <c r="I2377" s="72">
        <f>SUMIF(Adat!$AJ:$AJ,CONCATENATE(Info!$D$5,"053","(ÁIG)",L2370),Adat!$E:$E)</f>
        <v>0</v>
      </c>
    </row>
    <row r="2378" spans="2:12" x14ac:dyDescent="0.25">
      <c r="B2378" s="160">
        <v>6</v>
      </c>
      <c r="C2378" s="305" t="s">
        <v>6</v>
      </c>
      <c r="D2378" s="161" t="s">
        <v>345</v>
      </c>
      <c r="E2378" s="72">
        <f>SUMIF(Adat!$AI:$AI,CONCATENATE(61,Info!$D$5,"054",L2370),Adat!$E:$E)</f>
        <v>0</v>
      </c>
      <c r="F2378" s="72">
        <f>SUMIF(Adat!$AI:$AI,CONCATENATE(60,Info!$D$5,"054",L2370),Adat!$E:$E)+E2378</f>
        <v>0</v>
      </c>
      <c r="G2378" s="72">
        <f>SUMIF(Adat!$AJ:$AJ,CONCATENATE(Info!$D$5,"054","(KÖT)",L2370),Adat!$E:$E)</f>
        <v>0</v>
      </c>
      <c r="H2378" s="72">
        <f>SUMIF(Adat!$AJ:$AJ,CONCATENATE(Info!$D$5,"054","(ÖNV)",L2370),Adat!$E:$E)</f>
        <v>0</v>
      </c>
      <c r="I2378" s="72">
        <f>SUMIF(Adat!$AJ:$AJ,CONCATENATE(Info!$D$5,"054","(ÁIG)",L2370),Adat!$E:$E)</f>
        <v>0</v>
      </c>
    </row>
    <row r="2379" spans="2:12" x14ac:dyDescent="0.25">
      <c r="B2379" s="160">
        <v>7</v>
      </c>
      <c r="C2379" s="305" t="s">
        <v>8</v>
      </c>
      <c r="D2379" s="161" t="s">
        <v>321</v>
      </c>
      <c r="E2379" s="72">
        <f>SUMIF(Adat!$AI:$AI,CONCATENATE(61,Info!$D$5,"055",L2370),Adat!$E:$E)-E2380</f>
        <v>0</v>
      </c>
      <c r="F2379" s="72">
        <f>SUMIF(Adat!$AI:$AI,CONCATENATE(60,Info!$D$5,"055",L2370),Adat!$E:$E)+E2379-F2380+E2380</f>
        <v>0</v>
      </c>
      <c r="G2379" s="72">
        <f>SUMIF(Adat!$AJ:$AJ,CONCATENATE(Info!$D$5,"055","(KÖT)",L2370),Adat!$E:$E)-G2380</f>
        <v>0</v>
      </c>
      <c r="H2379" s="72">
        <f>SUMIF(Adat!$AJ:$AJ,CONCATENATE(Info!$D$5,"055","(ÖNV)",L2370),Adat!$E:$E)-H2380</f>
        <v>0</v>
      </c>
      <c r="I2379" s="72">
        <f>SUMIF(Adat!$AJ:$AJ,CONCATENATE(Info!$D$5,"055","(ÁIG)",L2370),Adat!$E:$E)-I2380</f>
        <v>0</v>
      </c>
    </row>
    <row r="2380" spans="2:12" x14ac:dyDescent="0.25">
      <c r="B2380" s="160">
        <v>8</v>
      </c>
      <c r="C2380" s="305" t="s">
        <v>1283</v>
      </c>
      <c r="D2380" s="161" t="s">
        <v>397</v>
      </c>
      <c r="E2380" s="72">
        <f>SUMIF(Adat!$AG:$AG,CONCATENATE(61,Info!$D$5,"055131",L2370),Adat!$E:$E)</f>
        <v>0</v>
      </c>
      <c r="F2380" s="72">
        <f>SUMIF(Adat!$AG:$AG,CONCATENATE(60,Info!$D$5,"055131",L2370),Adat!$E:$E)+E2380</f>
        <v>0</v>
      </c>
      <c r="G2380" s="72">
        <f>SUMIF(Adat!$AH:$AH,CONCATENATE(Info!$D$5,"(KÖT)","055131",L2370),Adat!$E:$E)</f>
        <v>0</v>
      </c>
      <c r="H2380" s="72">
        <f>SUMIF(Adat!$AH:$AH,CONCATENATE(Info!$D$5,"(ÖNV)","055131",L2370),Adat!$E:$E)*-1</f>
        <v>0</v>
      </c>
      <c r="I2380" s="72">
        <f>SUMIF(Adat!$AH:$AH,CONCATENATE(Info!$D$5,"(ÁIG)","055131",L2370),Adat!$E:$E)*-1</f>
        <v>0</v>
      </c>
    </row>
    <row r="2381" spans="2:12" x14ac:dyDescent="0.25">
      <c r="B2381" s="160">
        <v>9</v>
      </c>
      <c r="C2381" s="305" t="s">
        <v>1283</v>
      </c>
      <c r="D2381" s="93" t="s">
        <v>1445</v>
      </c>
      <c r="E2381" s="72">
        <v>0</v>
      </c>
      <c r="F2381" s="72">
        <f>SUM(G2381:I2381)</f>
        <v>0</v>
      </c>
      <c r="G2381" s="72">
        <v>0</v>
      </c>
      <c r="H2381" s="72">
        <v>0</v>
      </c>
      <c r="I2381" s="72">
        <v>0</v>
      </c>
    </row>
    <row r="2382" spans="2:12" x14ac:dyDescent="0.25">
      <c r="B2382" s="160">
        <v>10</v>
      </c>
      <c r="C2382" s="305" t="s">
        <v>1283</v>
      </c>
      <c r="D2382" s="93" t="s">
        <v>1446</v>
      </c>
      <c r="E2382" s="72">
        <v>0</v>
      </c>
      <c r="F2382" s="72">
        <f>SUM(G2382:I2382)</f>
        <v>0</v>
      </c>
      <c r="G2382" s="72">
        <v>0</v>
      </c>
      <c r="H2382" s="72">
        <v>0</v>
      </c>
      <c r="I2382" s="72">
        <v>0</v>
      </c>
    </row>
    <row r="2383" spans="2:12" x14ac:dyDescent="0.25">
      <c r="B2383" s="160">
        <v>11</v>
      </c>
      <c r="C2383" s="78" t="s">
        <v>358</v>
      </c>
      <c r="D2383" s="92" t="s">
        <v>2664</v>
      </c>
      <c r="E2383" s="71">
        <f>+E2384+E2386+E2388</f>
        <v>0</v>
      </c>
      <c r="F2383" s="71">
        <f>+F2384+F2386+F2388</f>
        <v>0</v>
      </c>
      <c r="G2383" s="71">
        <f>+G2384+G2386+G2388</f>
        <v>0</v>
      </c>
      <c r="H2383" s="71">
        <f>+H2384+H2386+H2388</f>
        <v>0</v>
      </c>
      <c r="I2383" s="71">
        <f>+I2384+I2386+I2388</f>
        <v>0</v>
      </c>
    </row>
    <row r="2384" spans="2:12" x14ac:dyDescent="0.25">
      <c r="B2384" s="160">
        <v>12</v>
      </c>
      <c r="C2384" s="305" t="s">
        <v>10</v>
      </c>
      <c r="D2384" s="317" t="s">
        <v>322</v>
      </c>
      <c r="E2384" s="72">
        <f>SUMIF(Adat!$AI:$AI,CONCATENATE(61,Info!$D$5,"056",L2370),Adat!$E:$E)</f>
        <v>0</v>
      </c>
      <c r="F2384" s="72">
        <f>SUMIF(Adat!$AI:$AI,CONCATENATE(60,Info!$D$5,"056",L2370),Adat!$E:$E)+E2384</f>
        <v>0</v>
      </c>
      <c r="G2384" s="72">
        <f>SUMIF(Adat!$AJ:$AJ,CONCATENATE(Info!$D$5,"056","(KÖT)",L2370),Adat!$E:$E)</f>
        <v>0</v>
      </c>
      <c r="H2384" s="72">
        <f>SUMIF(Adat!$AJ:$AJ,CONCATENATE(Info!$D$5,"056","(ÖNV)",L2370),Adat!$E:$E)</f>
        <v>0</v>
      </c>
      <c r="I2384" s="72">
        <f>SUMIF(Adat!$AJ:$AJ,CONCATENATE(Info!$D$5,"056","(ÁIG)",L2370),Adat!$E:$E)</f>
        <v>0</v>
      </c>
    </row>
    <row r="2385" spans="2:9" x14ac:dyDescent="0.25">
      <c r="B2385" s="160">
        <v>13</v>
      </c>
      <c r="C2385" s="305" t="s">
        <v>10</v>
      </c>
      <c r="D2385" s="317" t="s">
        <v>1448</v>
      </c>
      <c r="E2385" s="72">
        <v>0</v>
      </c>
      <c r="F2385" s="72">
        <f>SUM(G2385:I2385)</f>
        <v>0</v>
      </c>
      <c r="G2385" s="72">
        <v>0</v>
      </c>
      <c r="H2385" s="72">
        <v>0</v>
      </c>
      <c r="I2385" s="72">
        <v>0</v>
      </c>
    </row>
    <row r="2386" spans="2:9" x14ac:dyDescent="0.25">
      <c r="B2386" s="160">
        <v>14</v>
      </c>
      <c r="C2386" s="305" t="s">
        <v>12</v>
      </c>
      <c r="D2386" s="317" t="s">
        <v>323</v>
      </c>
      <c r="E2386" s="72">
        <f>SUMIF(Adat!$AI:$AI,CONCATENATE(61,Info!$D$5,"057",L2370),Adat!$E:$E)</f>
        <v>0</v>
      </c>
      <c r="F2386" s="72">
        <f>SUMIF(Adat!$AI:$AI,CONCATENATE(60,Info!$D$5,"057",L2370),Adat!$E:$E)+E2386</f>
        <v>0</v>
      </c>
      <c r="G2386" s="72">
        <f>SUMIF(Adat!$AJ:$AJ,CONCATENATE(Info!$D$5,"057","(KÖT)",L2370),Adat!$E:$E)</f>
        <v>0</v>
      </c>
      <c r="H2386" s="72">
        <f>SUMIF(Adat!$AJ:$AJ,CONCATENATE(Info!$D$5,"057","(ÖNV)",L2370),Adat!$E:$E)</f>
        <v>0</v>
      </c>
      <c r="I2386" s="72">
        <f>SUMIF(Adat!$AJ:$AJ,CONCATENATE(Info!$D$5,"057","(ÁIG)",L2370),Adat!$E:$E)</f>
        <v>0</v>
      </c>
    </row>
    <row r="2387" spans="2:9" x14ac:dyDescent="0.25">
      <c r="B2387" s="160">
        <v>15</v>
      </c>
      <c r="C2387" s="305" t="s">
        <v>12</v>
      </c>
      <c r="D2387" s="317" t="s">
        <v>1449</v>
      </c>
      <c r="E2387" s="72">
        <v>0</v>
      </c>
      <c r="F2387" s="72">
        <f>SUM(G2387:I2387)</f>
        <v>0</v>
      </c>
      <c r="G2387" s="72">
        <v>0</v>
      </c>
      <c r="H2387" s="72">
        <v>0</v>
      </c>
      <c r="I2387" s="72">
        <v>0</v>
      </c>
    </row>
    <row r="2388" spans="2:9" x14ac:dyDescent="0.25">
      <c r="B2388" s="160">
        <v>16</v>
      </c>
      <c r="C2388" s="305" t="s">
        <v>15</v>
      </c>
      <c r="D2388" s="317" t="s">
        <v>324</v>
      </c>
      <c r="E2388" s="72">
        <f>SUMIF(Adat!$AI:$AI,CONCATENATE(61,Info!$D$5,"058",L2370),Adat!$E:$E)</f>
        <v>0</v>
      </c>
      <c r="F2388" s="72">
        <f>SUMIF(Adat!$AI:$AI,CONCATENATE(60,Info!$D$5,"058",L2370),Adat!$E:$E)+E2388</f>
        <v>0</v>
      </c>
      <c r="G2388" s="72">
        <f>SUMIF(Adat!$AJ:$AJ,CONCATENATE(Info!$D$5,"058","(KÖT)",L2370),Adat!$E:$E)</f>
        <v>0</v>
      </c>
      <c r="H2388" s="72">
        <f>SUMIF(Adat!$AJ:$AJ,CONCATENATE(Info!$D$5,"058","(ÖNV)",L2370),Adat!$E:$E)</f>
        <v>0</v>
      </c>
      <c r="I2388" s="72">
        <f>SUMIF(Adat!$AJ:$AJ,CONCATENATE(Info!$D$5,"058","(ÁIG)",L2370),Adat!$E:$E)</f>
        <v>0</v>
      </c>
    </row>
    <row r="2389" spans="2:9" x14ac:dyDescent="0.25">
      <c r="B2389" s="160">
        <v>17</v>
      </c>
      <c r="C2389" s="78" t="s">
        <v>364</v>
      </c>
      <c r="D2389" s="86" t="s">
        <v>402</v>
      </c>
      <c r="E2389" s="71">
        <f>+E2374+E2383</f>
        <v>0</v>
      </c>
      <c r="F2389" s="71">
        <f>+F2374+F2383</f>
        <v>0</v>
      </c>
      <c r="G2389" s="71">
        <f>+G2374+G2383</f>
        <v>0</v>
      </c>
      <c r="H2389" s="71">
        <f>+H2374+H2383</f>
        <v>0</v>
      </c>
      <c r="I2389" s="71">
        <f>+I2374+I2383</f>
        <v>0</v>
      </c>
    </row>
    <row r="2390" spans="2:9" x14ac:dyDescent="0.25">
      <c r="B2390" s="160">
        <v>18</v>
      </c>
      <c r="C2390" s="78" t="s">
        <v>403</v>
      </c>
      <c r="D2390" s="86" t="s">
        <v>1450</v>
      </c>
      <c r="E2390" s="71">
        <f>+E2391+E2392+E2393</f>
        <v>0</v>
      </c>
      <c r="F2390" s="71">
        <f>+F2391+F2392+F2393</f>
        <v>0</v>
      </c>
      <c r="G2390" s="71">
        <f>+G2391+G2392+G2393</f>
        <v>0</v>
      </c>
      <c r="H2390" s="71">
        <f>+H2391+H2392+H2393</f>
        <v>0</v>
      </c>
      <c r="I2390" s="71">
        <f>+I2391+I2392+I2393</f>
        <v>0</v>
      </c>
    </row>
    <row r="2391" spans="2:9" s="42" customFormat="1" x14ac:dyDescent="0.25">
      <c r="B2391" s="160">
        <v>19</v>
      </c>
      <c r="C2391" s="305" t="s">
        <v>1451</v>
      </c>
      <c r="D2391" s="161" t="s">
        <v>490</v>
      </c>
      <c r="E2391" s="72">
        <f>SUMIF(Adat!$AG:$AG,CONCATENATE(61,Info!$D$5,"0591111",L2370),Adat!$E:$E)</f>
        <v>0</v>
      </c>
      <c r="F2391" s="72">
        <f>SUMIF(Adat!$AG:$AG,CONCATENATE(60,Info!$D$5,"0591111",L2370),Adat!$E:$E)+E2391</f>
        <v>0</v>
      </c>
      <c r="G2391" s="72">
        <f>SUMIF(Adat!$AH:$AH,CONCATENATE(Info!$D$5,"(KÖT)","0591111",L2370),Adat!$E:$E)</f>
        <v>0</v>
      </c>
      <c r="H2391" s="72">
        <f>SUMIF(Adat!$AH:$AH,CONCATENATE(Info!$D$5,"(ÖNV)","0591111",L2370),Adat!$E:$E)</f>
        <v>0</v>
      </c>
      <c r="I2391" s="72">
        <f>SUMIF(Adat!$AH:$AH,CONCATENATE(Info!$D$5,"(ÁIG)","0591111",L2370),Adat!$E:$E)</f>
        <v>0</v>
      </c>
    </row>
    <row r="2392" spans="2:9" x14ac:dyDescent="0.25">
      <c r="B2392" s="160">
        <v>20</v>
      </c>
      <c r="C2392" s="305" t="s">
        <v>1453</v>
      </c>
      <c r="D2392" s="161" t="s">
        <v>406</v>
      </c>
      <c r="E2392" s="72">
        <f>SUMIF(Adat!$AG:$AG,CONCATENATE(61,Info!$D$5,"0591121",L2370),Adat!$E:$E)</f>
        <v>0</v>
      </c>
      <c r="F2392" s="72">
        <f>SUMIF(Adat!$AG:$AG,CONCATENATE(60,Info!$D$5,"0591121",L2370),Adat!$E:$E)+E2392</f>
        <v>0</v>
      </c>
      <c r="G2392" s="72">
        <f>SUMIF(Adat!$AH:$AH,CONCATENATE(Info!$D$5,"(KÖT)","0591121",L2370),Adat!$E:$E)</f>
        <v>0</v>
      </c>
      <c r="H2392" s="72">
        <f>SUMIF(Adat!$AH:$AH,CONCATENATE(Info!$D$5,"(ÖNV)","0591121",L2370),Adat!$E:$E)</f>
        <v>0</v>
      </c>
      <c r="I2392" s="72">
        <f>SUMIF(Adat!$AH:$AH,CONCATENATE(Info!$D$5,"(ÁIG)","0591121",L2370),Adat!$E:$E)</f>
        <v>0</v>
      </c>
    </row>
    <row r="2393" spans="2:9" x14ac:dyDescent="0.25">
      <c r="B2393" s="160">
        <v>21</v>
      </c>
      <c r="C2393" s="305" t="s">
        <v>1455</v>
      </c>
      <c r="D2393" s="161" t="s">
        <v>491</v>
      </c>
      <c r="E2393" s="72">
        <f>SUMIF(Adat!$AG:$AG,CONCATENATE(61,Info!$D$5,"0591131",L2370),Adat!$E:$E)</f>
        <v>0</v>
      </c>
      <c r="F2393" s="72">
        <f>SUMIF(Adat!$AG:$AG,CONCATENATE(60,Info!$D$5,"0591131",L2370),Adat!$E:$E)+E2393</f>
        <v>0</v>
      </c>
      <c r="G2393" s="72">
        <f>SUMIF(Adat!$AH:$AH,CONCATENATE(Info!$D$5,"(KÖT)","0591131",L2370),Adat!$E:$E)</f>
        <v>0</v>
      </c>
      <c r="H2393" s="72">
        <f>SUMIF(Adat!$AH:$AH,CONCATENATE(Info!$D$5,"(ÖNV)","0591131",L2370),Adat!$E:$E)</f>
        <v>0</v>
      </c>
      <c r="I2393" s="72">
        <f>SUMIF(Adat!$AH:$AH,CONCATENATE(Info!$D$5,"(ÁIG)","0591131",L2370),Adat!$E:$E)</f>
        <v>0</v>
      </c>
    </row>
    <row r="2394" spans="2:9" x14ac:dyDescent="0.25">
      <c r="B2394" s="160">
        <v>22</v>
      </c>
      <c r="C2394" s="78" t="s">
        <v>372</v>
      </c>
      <c r="D2394" s="86" t="s">
        <v>1457</v>
      </c>
      <c r="E2394" s="71">
        <f>+E2395+E2396+E2397+E2398+E2399+E2400</f>
        <v>0</v>
      </c>
      <c r="F2394" s="71">
        <f>+F2395+F2396+F2397+F2398+F2399+F2400</f>
        <v>0</v>
      </c>
      <c r="G2394" s="71">
        <f>+G2395+G2396+G2397+G2398+G2399+G2400</f>
        <v>0</v>
      </c>
      <c r="H2394" s="71">
        <f>+H2395+H2396+H2397+H2398+H2399+H2400</f>
        <v>0</v>
      </c>
      <c r="I2394" s="71">
        <f>+I2395+I2396+I2397+I2398+I2399+I2400</f>
        <v>0</v>
      </c>
    </row>
    <row r="2395" spans="2:9" x14ac:dyDescent="0.25">
      <c r="B2395" s="160">
        <v>23</v>
      </c>
      <c r="C2395" s="305" t="s">
        <v>1458</v>
      </c>
      <c r="D2395" s="161" t="s">
        <v>409</v>
      </c>
      <c r="E2395" s="72">
        <f>SUMIF(Adat!$AG:$AG,CONCATENATE(61,Info!$D$5,"0591211",L2370),Adat!$E:$E)</f>
        <v>0</v>
      </c>
      <c r="F2395" s="72">
        <f>SUMIF(Adat!$AG:$AG,CONCATENATE(60,Info!$D$5,"0591211",L2370),Adat!$E:$E)+E2395</f>
        <v>0</v>
      </c>
      <c r="G2395" s="72">
        <f>SUMIF(Adat!$AH:$AH,CONCATENATE(Info!$D$5,"(KÖT)","0591211",L2370),Adat!$E:$E)</f>
        <v>0</v>
      </c>
      <c r="H2395" s="72">
        <f>SUMIF(Adat!$AH:$AH,CONCATENATE(Info!$D$5,"(ÖNV)","0591211",L2370),Adat!$E:$E)</f>
        <v>0</v>
      </c>
      <c r="I2395" s="72">
        <f>SUMIF(Adat!$AH:$AH,CONCATENATE(Info!$D$5,"(ÁIG)","0591211",L2370),Adat!$E:$E)</f>
        <v>0</v>
      </c>
    </row>
    <row r="2396" spans="2:9" x14ac:dyDescent="0.25">
      <c r="B2396" s="160">
        <v>24</v>
      </c>
      <c r="C2396" s="305" t="s">
        <v>1460</v>
      </c>
      <c r="D2396" s="161" t="s">
        <v>410</v>
      </c>
      <c r="E2396" s="72">
        <f>SUMIF(Adat!$AG:$AG,CONCATENATE(61,Info!$D$5,"0591221",L2370),Adat!$E:$E)</f>
        <v>0</v>
      </c>
      <c r="F2396" s="72">
        <f>SUMIF(Adat!$AG:$AG,CONCATENATE(60,Info!$D$5,"0591221",L2370),Adat!$E:$E)+E2396</f>
        <v>0</v>
      </c>
      <c r="G2396" s="72">
        <f>SUMIF(Adat!$AH:$AH,CONCATENATE(Info!$D$5,"(KÖT)","0591221",L2370),Adat!$E:$E)</f>
        <v>0</v>
      </c>
      <c r="H2396" s="72">
        <f>SUMIF(Adat!$AH:$AH,CONCATENATE(Info!$D$5,"(ÖNV)","0591221",L2370),Adat!$E:$E)</f>
        <v>0</v>
      </c>
      <c r="I2396" s="72">
        <f>SUMIF(Adat!$AH:$AH,CONCATENATE(Info!$D$5,"(ÁIG)","0591221",L2370),Adat!$E:$E)</f>
        <v>0</v>
      </c>
    </row>
    <row r="2397" spans="2:9" x14ac:dyDescent="0.25">
      <c r="B2397" s="160">
        <v>25</v>
      </c>
      <c r="C2397" s="305" t="s">
        <v>1462</v>
      </c>
      <c r="D2397" s="161" t="s">
        <v>411</v>
      </c>
      <c r="E2397" s="72">
        <f>SUMIF(Adat!$AG:$AG,CONCATENATE(61,Info!$D$5,"0591231",L2370),Adat!$E:$E)</f>
        <v>0</v>
      </c>
      <c r="F2397" s="72">
        <f>SUMIF(Adat!$AG:$AG,CONCATENATE(60,Info!$D$5,"0591231",L2370),Adat!$E:$E)+E2397</f>
        <v>0</v>
      </c>
      <c r="G2397" s="72">
        <f>SUMIF(Adat!$AH:$AH,CONCATENATE(Info!$D$5,"(KÖT)","0591231",L2370),Adat!$E:$E)</f>
        <v>0</v>
      </c>
      <c r="H2397" s="72">
        <f>SUMIF(Adat!$AH:$AH,CONCATENATE(Info!$D$5,"(ÖNV)","0591231",L2370),Adat!$E:$E)</f>
        <v>0</v>
      </c>
      <c r="I2397" s="72">
        <f>SUMIF(Adat!$AH:$AH,CONCATENATE(Info!$D$5,"(ÁIG)","0591231",L2370),Adat!$E:$E)</f>
        <v>0</v>
      </c>
    </row>
    <row r="2398" spans="2:9" x14ac:dyDescent="0.25">
      <c r="B2398" s="160">
        <v>26</v>
      </c>
      <c r="C2398" s="305" t="s">
        <v>1464</v>
      </c>
      <c r="D2398" s="161" t="s">
        <v>492</v>
      </c>
      <c r="E2398" s="72">
        <f>SUMIF(Adat!$AG:$AG,CONCATENATE(61,Info!$D$5,"0591241",L2370),Adat!$E:$E)</f>
        <v>0</v>
      </c>
      <c r="F2398" s="72">
        <f>SUMIF(Adat!$AG:$AG,CONCATENATE(60,Info!$D$5,"0591241",L2370),Adat!$E:$E)+E2398</f>
        <v>0</v>
      </c>
      <c r="G2398" s="72">
        <f>SUMIF(Adat!$AH:$AH,CONCATENATE(Info!$D$5,"(KÖT)","0591241",L2370),Adat!$E:$E)</f>
        <v>0</v>
      </c>
      <c r="H2398" s="72">
        <f>SUMIF(Adat!$AH:$AH,CONCATENATE(Info!$D$5,"(ÖNV)","0591241",L2370),Adat!$E:$E)</f>
        <v>0</v>
      </c>
      <c r="I2398" s="72">
        <f>SUMIF(Adat!$AH:$AH,CONCATENATE(Info!$D$5,"(ÁIG)","0591241",L2370),Adat!$E:$E)</f>
        <v>0</v>
      </c>
    </row>
    <row r="2399" spans="2:9" x14ac:dyDescent="0.25">
      <c r="B2399" s="160">
        <v>27</v>
      </c>
      <c r="C2399" s="305" t="s">
        <v>1466</v>
      </c>
      <c r="D2399" s="161" t="s">
        <v>413</v>
      </c>
      <c r="E2399" s="72">
        <f>SUMIF(Adat!$AG:$AG,CONCATENATE(61,Info!$D$5,"0591251",L2370),Adat!$E:$E)</f>
        <v>0</v>
      </c>
      <c r="F2399" s="72">
        <f>SUMIF(Adat!$AG:$AG,CONCATENATE(60,Info!$D$5,"0591251",L2370),Adat!$E:$E)+E2399</f>
        <v>0</v>
      </c>
      <c r="G2399" s="72">
        <f>SUMIF(Adat!$AH:$AH,CONCATENATE(Info!$D$5,"(KÖT)","0591251",L2370),Adat!$E:$E)</f>
        <v>0</v>
      </c>
      <c r="H2399" s="72">
        <f>SUMIF(Adat!$AH:$AH,CONCATENATE(Info!$D$5,"(ÖNV)","0591251",L2370),Adat!$E:$E)</f>
        <v>0</v>
      </c>
      <c r="I2399" s="72">
        <f>SUMIF(Adat!$AH:$AH,CONCATENATE(Info!$D$5,"(ÁIG)","0591251",L2370),Adat!$E:$E)</f>
        <v>0</v>
      </c>
    </row>
    <row r="2400" spans="2:9" s="42" customFormat="1" x14ac:dyDescent="0.25">
      <c r="B2400" s="160">
        <v>28</v>
      </c>
      <c r="C2400" s="305" t="s">
        <v>1468</v>
      </c>
      <c r="D2400" s="161" t="s">
        <v>414</v>
      </c>
      <c r="E2400" s="72">
        <f>SUMIF(Adat!$AG:$AG,CONCATENATE(61,Info!$D$5,"0591261",L2370),Adat!$E:$E)</f>
        <v>0</v>
      </c>
      <c r="F2400" s="72">
        <f>SUMIF(Adat!$AG:$AG,CONCATENATE(60,Info!$D$5,"0591261",L2370),Adat!$E:$E)+E2400</f>
        <v>0</v>
      </c>
      <c r="G2400" s="72">
        <f>SUMIF(Adat!$AH:$AH,CONCATENATE(Info!$D$5,"(KÖT)","0591261",L2370),Adat!$E:$E)</f>
        <v>0</v>
      </c>
      <c r="H2400" s="72">
        <f>SUMIF(Adat!$AH:$AH,CONCATENATE(Info!$D$5,"(ÖNV)","0591261",L2370),Adat!$E:$E)</f>
        <v>0</v>
      </c>
      <c r="I2400" s="72">
        <f>SUMIF(Adat!$AH:$AH,CONCATENATE(Info!$D$5,"(ÁIG)","0591261",L2370),Adat!$E:$E)</f>
        <v>0</v>
      </c>
    </row>
    <row r="2401" spans="2:18" x14ac:dyDescent="0.25">
      <c r="B2401" s="160">
        <v>29</v>
      </c>
      <c r="C2401" s="78" t="s">
        <v>379</v>
      </c>
      <c r="D2401" s="86" t="s">
        <v>1470</v>
      </c>
      <c r="E2401" s="71">
        <f>+E2402+E2403+E2405+E2406+E2404</f>
        <v>0</v>
      </c>
      <c r="F2401" s="71">
        <f>+F2402+F2403+F2405+F2406+F2404</f>
        <v>0</v>
      </c>
      <c r="G2401" s="71">
        <f>+G2402+G2403+G2405+G2406+G2404</f>
        <v>0</v>
      </c>
      <c r="H2401" s="71">
        <f>+H2402+H2403+H2405+H2406+H2404</f>
        <v>0</v>
      </c>
      <c r="I2401" s="71">
        <f>+I2402+I2403+I2405+I2406+I2404</f>
        <v>0</v>
      </c>
      <c r="R2401" s="43"/>
    </row>
    <row r="2402" spans="2:18" x14ac:dyDescent="0.25">
      <c r="B2402" s="160">
        <v>30</v>
      </c>
      <c r="C2402" s="305" t="s">
        <v>1471</v>
      </c>
      <c r="D2402" s="161" t="s">
        <v>416</v>
      </c>
      <c r="E2402" s="72">
        <f>SUMIF(Adat!$AG:$AG,CONCATENATE(61,Info!$D$5,"059131",L2370),Adat!$E:$E)</f>
        <v>0</v>
      </c>
      <c r="F2402" s="72">
        <f>SUMIF(Adat!$AG:$AG,CONCATENATE(60,Info!$D$5,"059131",L2370),Adat!$E:$E)+E2402</f>
        <v>0</v>
      </c>
      <c r="G2402" s="72">
        <f>SUMIF(Adat!$AH:$AH,CONCATENATE(Info!$D$5,"(KÖT)","059131",L2370),Adat!$E:$E)</f>
        <v>0</v>
      </c>
      <c r="H2402" s="72">
        <f>SUMIF(Adat!$AH:$AH,CONCATENATE(Info!$D$5,"(ÖNV)","059131",L2370),Adat!$E:$E)</f>
        <v>0</v>
      </c>
      <c r="I2402" s="72">
        <f>SUMIF(Adat!$AH:$AH,CONCATENATE(Info!$D$5,"(ÁIG)","059131",L2370),Adat!$E:$E)</f>
        <v>0</v>
      </c>
    </row>
    <row r="2403" spans="2:18" x14ac:dyDescent="0.25">
      <c r="B2403" s="160">
        <v>31</v>
      </c>
      <c r="C2403" s="305" t="s">
        <v>1287</v>
      </c>
      <c r="D2403" s="161" t="s">
        <v>417</v>
      </c>
      <c r="E2403" s="72">
        <f>SUMIF(Adat!$AG:$AG,CONCATENATE(61,Info!$D$5,"059141",L2370),Adat!$E:$E)</f>
        <v>0</v>
      </c>
      <c r="F2403" s="72">
        <f>SUMIF(Adat!$AG:$AG,CONCATENATE(60,Info!$D$5,"059141",L2370),Adat!$E:$E)+E2403</f>
        <v>0</v>
      </c>
      <c r="G2403" s="72">
        <f>SUMIF(Adat!$AH:$AH,CONCATENATE(Info!$D$5,"(KÖT)","059141",L2370),Adat!$E:$E)</f>
        <v>0</v>
      </c>
      <c r="H2403" s="72">
        <f>SUMIF(Adat!$AH:$AH,CONCATENATE(Info!$D$5,"(ÖNV)","059141",L2370),Adat!$E:$E)</f>
        <v>0</v>
      </c>
      <c r="I2403" s="72">
        <f>SUMIF(Adat!$AH:$AH,CONCATENATE(Info!$D$5,"(ÁIG)","059141",L2370),Adat!$E:$E)</f>
        <v>0</v>
      </c>
    </row>
    <row r="2404" spans="2:18" x14ac:dyDescent="0.25">
      <c r="B2404" s="160">
        <v>32</v>
      </c>
      <c r="C2404" s="316" t="s">
        <v>1253</v>
      </c>
      <c r="D2404" s="161" t="s">
        <v>493</v>
      </c>
      <c r="E2404" s="72">
        <f>SUMIF(Adat!$AG:$AG,CONCATENATE(61,Info!$D$5,"059151",L2370),Adat!$E:$E)</f>
        <v>0</v>
      </c>
      <c r="F2404" s="72">
        <f>SUMIF(Adat!$AG:$AG,CONCATENATE(60,Info!$D$5,"059151",L2370),Adat!$E:$E)+E2404</f>
        <v>0</v>
      </c>
      <c r="G2404" s="72">
        <f>SUMIF(Adat!$AH:$AH,CONCATENATE(Info!$D$5,"(KÖT)","059151",L2370),Adat!$E:$E)</f>
        <v>0</v>
      </c>
      <c r="H2404" s="72">
        <f>SUMIF(Adat!$AH:$AH,CONCATENATE(Info!$D$5,"(ÖNV)","059151",L2370),Adat!$E:$E)</f>
        <v>0</v>
      </c>
      <c r="I2404" s="72">
        <f>SUMIF(Adat!$AH:$AH,CONCATENATE(Info!$D$5,"(ÁIG)","059151",L2370),Adat!$E:$E)</f>
        <v>0</v>
      </c>
    </row>
    <row r="2405" spans="2:18" s="42" customFormat="1" x14ac:dyDescent="0.25">
      <c r="B2405" s="160">
        <v>33</v>
      </c>
      <c r="C2405" s="305" t="s">
        <v>1474</v>
      </c>
      <c r="D2405" s="161" t="s">
        <v>418</v>
      </c>
      <c r="E2405" s="72">
        <f>SUMIF(Adat!$AG:$AG,CONCATENATE(61,Info!$D$5,"059161",L2370),Adat!$E:$E)</f>
        <v>0</v>
      </c>
      <c r="F2405" s="72">
        <f>SUMIF(Adat!$AG:$AG,CONCATENATE(60,Info!$D$5,"059161",L2370),Adat!$E:$E)+E2405</f>
        <v>0</v>
      </c>
      <c r="G2405" s="72">
        <f>SUMIF(Adat!$AH:$AH,CONCATENATE(Info!$D$5,"(KÖT)","059161",L2370),Adat!$E:$E)</f>
        <v>0</v>
      </c>
      <c r="H2405" s="72">
        <f>SUMIF(Adat!$AH:$AH,CONCATENATE(Info!$D$5,"(ÖNV)","059161",L2370),Adat!$E:$E)</f>
        <v>0</v>
      </c>
      <c r="I2405" s="72">
        <f>SUMIF(Adat!$AH:$AH,CONCATENATE(Info!$D$5,"(ÁIG)","059161",L2370),Adat!$E:$E)</f>
        <v>0</v>
      </c>
    </row>
    <row r="2406" spans="2:18" s="42" customFormat="1" x14ac:dyDescent="0.25">
      <c r="B2406" s="160">
        <v>34</v>
      </c>
      <c r="C2406" s="305" t="s">
        <v>1476</v>
      </c>
      <c r="D2406" s="161" t="s">
        <v>419</v>
      </c>
      <c r="E2406" s="72">
        <f>SUMIF(Adat!$AG:$AG,CONCATENATE(61,Info!$D$5,"059171",L2370),Adat!$E:$E)</f>
        <v>0</v>
      </c>
      <c r="F2406" s="72">
        <f>SUMIF(Adat!$AG:$AG,CONCATENATE(60,Info!$D$5,"059171",L2370),Adat!$E:$E)+E2406</f>
        <v>0</v>
      </c>
      <c r="G2406" s="72">
        <f>SUMIF(Adat!$AH:$AH,CONCATENATE(Info!$D$5,"(KÖT)","059171",L2370),Adat!$E:$E)</f>
        <v>0</v>
      </c>
      <c r="H2406" s="72">
        <f>SUMIF(Adat!$AH:$AH,CONCATENATE(Info!$D$5,"(ÖNV)","059171",L2370),Adat!$E:$E)</f>
        <v>0</v>
      </c>
      <c r="I2406" s="72">
        <f>SUMIF(Adat!$AH:$AH,CONCATENATE(Info!$D$5,"(ÁIG)","059171",L2370),Adat!$E:$E)</f>
        <v>0</v>
      </c>
    </row>
    <row r="2407" spans="2:18" s="42" customFormat="1" x14ac:dyDescent="0.25">
      <c r="B2407" s="160">
        <v>35</v>
      </c>
      <c r="C2407" s="78" t="s">
        <v>420</v>
      </c>
      <c r="D2407" s="86" t="s">
        <v>1478</v>
      </c>
      <c r="E2407" s="73">
        <f>+E2408+E2409+E2410+E2411+E2412</f>
        <v>0</v>
      </c>
      <c r="F2407" s="73">
        <f>+F2408+F2409+F2410+F2411+F2412</f>
        <v>0</v>
      </c>
      <c r="G2407" s="73">
        <f>+G2408+G2409+G2410+G2411+G2412</f>
        <v>0</v>
      </c>
      <c r="H2407" s="73">
        <f>+H2408+H2409+H2410+H2411+H2412</f>
        <v>0</v>
      </c>
      <c r="I2407" s="73">
        <f>+I2408+I2409+I2410+I2411+I2412</f>
        <v>0</v>
      </c>
    </row>
    <row r="2408" spans="2:18" s="42" customFormat="1" x14ac:dyDescent="0.25">
      <c r="B2408" s="160">
        <v>36</v>
      </c>
      <c r="C2408" s="305" t="s">
        <v>1479</v>
      </c>
      <c r="D2408" s="161" t="s">
        <v>422</v>
      </c>
      <c r="E2408" s="72">
        <f>SUMIF(Adat!$AG:$AG,CONCATENATE(61,Info!$D$5,"059211",L2370),Adat!$E:$E)</f>
        <v>0</v>
      </c>
      <c r="F2408" s="72">
        <f>SUMIF(Adat!$AG:$AG,CONCATENATE(60,Info!$D$5,"059211",L2370),Adat!$E:$E)+E2408</f>
        <v>0</v>
      </c>
      <c r="G2408" s="72">
        <f>SUMIF(Adat!$AH:$AH,CONCATENATE(Info!$D$5,"(KÖT)","059211",L2370),Adat!$E:$E)</f>
        <v>0</v>
      </c>
      <c r="H2408" s="72">
        <f>SUMIF(Adat!$AH:$AH,CONCATENATE(Info!$D$5,"(ÖNV)","059211",L2370),Adat!$E:$E)</f>
        <v>0</v>
      </c>
      <c r="I2408" s="72">
        <f>SUMIF(Adat!$AH:$AH,CONCATENATE(Info!$D$5,"(ÁIG)","059211",L2370),Adat!$E:$E)</f>
        <v>0</v>
      </c>
    </row>
    <row r="2409" spans="2:18" s="42" customFormat="1" x14ac:dyDescent="0.25">
      <c r="B2409" s="160">
        <v>37</v>
      </c>
      <c r="C2409" s="305" t="s">
        <v>1481</v>
      </c>
      <c r="D2409" s="161" t="s">
        <v>423</v>
      </c>
      <c r="E2409" s="72">
        <f>SUMIF(Adat!$AG:$AG,CONCATENATE(61,Info!$D$5,"059221",L2370),Adat!$E:$E)</f>
        <v>0</v>
      </c>
      <c r="F2409" s="72">
        <f>SUMIF(Adat!$AG:$AG,CONCATENATE(60,Info!$D$5,"059221",L2370),Adat!$E:$E)+E2409</f>
        <v>0</v>
      </c>
      <c r="G2409" s="72">
        <f>SUMIF(Adat!$AH:$AH,CONCATENATE(Info!$D$5,"(KÖT)","059221",L2370),Adat!$E:$E)</f>
        <v>0</v>
      </c>
      <c r="H2409" s="72">
        <f>SUMIF(Adat!$AH:$AH,CONCATENATE(Info!$D$5,"(ÖNV)","059221",L2370),Adat!$E:$E)</f>
        <v>0</v>
      </c>
      <c r="I2409" s="72">
        <f>SUMIF(Adat!$AH:$AH,CONCATENATE(Info!$D$5,"(ÁIG)","059221",L2370),Adat!$E:$E)</f>
        <v>0</v>
      </c>
    </row>
    <row r="2410" spans="2:18" s="42" customFormat="1" x14ac:dyDescent="0.25">
      <c r="B2410" s="160">
        <v>38</v>
      </c>
      <c r="C2410" s="305" t="s">
        <v>1483</v>
      </c>
      <c r="D2410" s="161" t="s">
        <v>424</v>
      </c>
      <c r="E2410" s="72">
        <f>SUMIF(Adat!$AG:$AG,CONCATENATE(61,Info!$D$5,"059231",L2370),Adat!$E:$E)</f>
        <v>0</v>
      </c>
      <c r="F2410" s="72">
        <f>SUMIF(Adat!$AG:$AG,CONCATENATE(60,Info!$D$5,"059231",L2370),Adat!$E:$E)+E2410</f>
        <v>0</v>
      </c>
      <c r="G2410" s="72">
        <f>SUMIF(Adat!$AH:$AH,CONCATENATE(Info!$D$5,"(KÖT)","059231",L2370),Adat!$E:$E)</f>
        <v>0</v>
      </c>
      <c r="H2410" s="72">
        <f>SUMIF(Adat!$AH:$AH,CONCATENATE(Info!$D$5,"(ÖNV)","059231",L2370),Adat!$E:$E)</f>
        <v>0</v>
      </c>
      <c r="I2410" s="72">
        <f>SUMIF(Adat!$AH:$AH,CONCATENATE(Info!$D$5,"(ÁIG)","059231",L2370),Adat!$E:$E)</f>
        <v>0</v>
      </c>
    </row>
    <row r="2411" spans="2:18" s="42" customFormat="1" x14ac:dyDescent="0.25">
      <c r="B2411" s="160">
        <v>39</v>
      </c>
      <c r="C2411" s="305" t="s">
        <v>1485</v>
      </c>
      <c r="D2411" s="161" t="s">
        <v>494</v>
      </c>
      <c r="E2411" s="72">
        <f>SUMIF(Adat!$AG:$AG,CONCATENATE(61,Info!$D$5,"059241",L2370),Adat!$E:$E)</f>
        <v>0</v>
      </c>
      <c r="F2411" s="72">
        <f>SUMIF(Adat!$AG:$AG,CONCATENATE(60,Info!$D$5,"059241",L2370),Adat!$E:$E)+E2411</f>
        <v>0</v>
      </c>
      <c r="G2411" s="72">
        <f>SUMIF(Adat!$AH:$AH,CONCATENATE(Info!$D$5,"(KÖT)","059241",L2370),Adat!$E:$E)</f>
        <v>0</v>
      </c>
      <c r="H2411" s="72">
        <f>SUMIF(Adat!$AH:$AH,CONCATENATE(Info!$D$5,"(ÖNV)","059241",L2370),Adat!$E:$E)</f>
        <v>0</v>
      </c>
      <c r="I2411" s="72">
        <f>SUMIF(Adat!$AH:$AH,CONCATENATE(Info!$D$5,"(ÁIG)","059241",L2370),Adat!$E:$E)</f>
        <v>0</v>
      </c>
    </row>
    <row r="2412" spans="2:18" x14ac:dyDescent="0.25">
      <c r="B2412" s="160">
        <v>40</v>
      </c>
      <c r="C2412" s="305" t="s">
        <v>1487</v>
      </c>
      <c r="D2412" s="161" t="s">
        <v>427</v>
      </c>
      <c r="E2412" s="72">
        <f>SUMIF(Adat!$AG:$AG,CONCATENATE(61,Info!$D$5,"059251",L2370),Adat!$E:$E)</f>
        <v>0</v>
      </c>
      <c r="F2412" s="72">
        <f>SUMIF(Adat!$AG:$AG,CONCATENATE(60,Info!$D$5,"059251",L2370),Adat!$E:$E)+E2412</f>
        <v>0</v>
      </c>
      <c r="G2412" s="72">
        <f>SUMIF(Adat!$AH:$AH,CONCATENATE(Info!$D$5,"(KÖT)","059251",L2370),Adat!$E:$E)</f>
        <v>0</v>
      </c>
      <c r="H2412" s="72">
        <f>SUMIF(Adat!$AH:$AH,CONCATENATE(Info!$D$5,"(ÖNV)","059251",L2370),Adat!$E:$E)</f>
        <v>0</v>
      </c>
      <c r="I2412" s="72">
        <f>SUMIF(Adat!$AH:$AH,CONCATENATE(Info!$D$5,"(ÁIG)","059251",L2370),Adat!$E:$E)</f>
        <v>0</v>
      </c>
    </row>
    <row r="2413" spans="2:18" x14ac:dyDescent="0.25">
      <c r="B2413" s="160">
        <v>41</v>
      </c>
      <c r="C2413" s="162" t="s">
        <v>390</v>
      </c>
      <c r="D2413" s="86" t="s">
        <v>428</v>
      </c>
      <c r="E2413" s="72">
        <f>SUMIF(Adat!$AG:$AG,CONCATENATE(61,Info!$D$5,"05931",L2370),Adat!$E:$E)</f>
        <v>0</v>
      </c>
      <c r="F2413" s="72">
        <f>SUMIF(Adat!$AG:$AG,CONCATENATE(60,Info!$D$5,"05931",L2370),Adat!$E:$E)+E2413</f>
        <v>0</v>
      </c>
      <c r="G2413" s="72">
        <f>SUMIF(Adat!$AH:$AH,CONCATENATE(Info!$D$5,"(KÖT)","05931",L2370),Adat!$E:$E)</f>
        <v>0</v>
      </c>
      <c r="H2413" s="72">
        <f>SUMIF(Adat!$AH:$AH,CONCATENATE(Info!$D$5,"(ÖNV)","05931",L2370),Adat!$E:$E)</f>
        <v>0</v>
      </c>
      <c r="I2413" s="72">
        <f>SUMIF(Adat!$AH:$AH,CONCATENATE(Info!$D$5,"(ÁIG)","05931",L2370),Adat!$E:$E)</f>
        <v>0</v>
      </c>
    </row>
    <row r="2414" spans="2:18" x14ac:dyDescent="0.25">
      <c r="B2414" s="160">
        <v>42</v>
      </c>
      <c r="C2414" s="162" t="s">
        <v>429</v>
      </c>
      <c r="D2414" s="86" t="s">
        <v>430</v>
      </c>
      <c r="E2414" s="72">
        <f>SUMIF(Adat!$AG:$AG,CONCATENATE(61,Info!$D$5,"05941",L2370),Adat!$E:$E)</f>
        <v>0</v>
      </c>
      <c r="F2414" s="72">
        <f>SUMIF(Adat!$AG:$AG,CONCATENATE(60,Info!$D$5,"05941",L2370),Adat!$E:$E)+E2414</f>
        <v>0</v>
      </c>
      <c r="G2414" s="72">
        <f>SUMIF(Adat!$AH:$AH,CONCATENATE(Info!$D$5,"(KÖT)","05941",L2370),Adat!$E:$E)</f>
        <v>0</v>
      </c>
      <c r="H2414" s="72">
        <f>SUMIF(Adat!$AH:$AH,CONCATENATE(Info!$D$5,"(ÖNV)","05941",L2370),Adat!$E:$E)</f>
        <v>0</v>
      </c>
      <c r="I2414" s="72">
        <f>SUMIF(Adat!$AH:$AH,CONCATENATE(Info!$D$5,"(ÁIG)","05941",L2370),Adat!$E:$E)</f>
        <v>0</v>
      </c>
    </row>
    <row r="2415" spans="2:18" x14ac:dyDescent="0.25">
      <c r="B2415" s="160">
        <v>43</v>
      </c>
      <c r="C2415" s="78" t="s">
        <v>431</v>
      </c>
      <c r="D2415" s="86" t="s">
        <v>432</v>
      </c>
      <c r="E2415" s="74">
        <f>+E2390+E2394+E2401+E2407+E2413+E2414</f>
        <v>0</v>
      </c>
      <c r="F2415" s="74">
        <f>+F2390+F2394+F2401+F2407+F2413+F2414</f>
        <v>0</v>
      </c>
      <c r="G2415" s="74">
        <f>+G2390+G2394+G2401+G2407+G2413+G2414</f>
        <v>0</v>
      </c>
      <c r="H2415" s="74">
        <f>+H2390+H2394+H2401+H2407+H2413+H2414</f>
        <v>0</v>
      </c>
      <c r="I2415" s="74">
        <f>+I2390+I2394+I2401+I2407+I2413+I2414</f>
        <v>0</v>
      </c>
    </row>
    <row r="2416" spans="2:18" x14ac:dyDescent="0.25">
      <c r="B2416" s="160">
        <v>44</v>
      </c>
      <c r="C2416" s="154" t="s">
        <v>433</v>
      </c>
      <c r="D2416" s="159" t="s">
        <v>434</v>
      </c>
      <c r="E2416" s="74">
        <f>+E2389+E2415</f>
        <v>0</v>
      </c>
      <c r="F2416" s="74">
        <f>+F2389+F2415</f>
        <v>0</v>
      </c>
      <c r="G2416" s="74">
        <f>+G2389+G2415</f>
        <v>0</v>
      </c>
      <c r="H2416" s="74">
        <f>+H2389+H2415</f>
        <v>0</v>
      </c>
      <c r="I2416" s="74">
        <f>+I2389+I2415</f>
        <v>0</v>
      </c>
    </row>
    <row r="2417" spans="2:12" s="37" customFormat="1" ht="15.75" x14ac:dyDescent="0.25">
      <c r="C2417" s="529"/>
      <c r="D2417" s="529"/>
      <c r="E2417" s="529"/>
      <c r="F2417" s="200"/>
      <c r="G2417" s="200"/>
      <c r="H2417" s="200"/>
      <c r="I2417" s="200"/>
    </row>
    <row r="2418" spans="2:12" s="38" customFormat="1" ht="15.75" x14ac:dyDescent="0.25">
      <c r="B2418" s="525" t="str">
        <f>PAR!$E$3</f>
        <v>Nagymaros Város Önkormányzata</v>
      </c>
      <c r="C2418" s="525"/>
      <c r="D2418" s="525"/>
      <c r="E2418" s="525"/>
      <c r="F2418" s="525"/>
      <c r="G2418" s="525"/>
      <c r="H2418" s="525"/>
      <c r="I2418" s="525"/>
    </row>
    <row r="2419" spans="2:12" s="38" customFormat="1" ht="15.75" x14ac:dyDescent="0.25">
      <c r="B2419" s="525" t="s">
        <v>2660</v>
      </c>
      <c r="C2419" s="525"/>
      <c r="D2419" s="525"/>
      <c r="E2419" s="525"/>
      <c r="F2419" s="525"/>
      <c r="G2419" s="525"/>
      <c r="H2419" s="525"/>
      <c r="I2419" s="525"/>
    </row>
    <row r="2420" spans="2:12" s="38" customFormat="1" ht="15.75" x14ac:dyDescent="0.25">
      <c r="C2420" s="156"/>
      <c r="E2420" s="140"/>
      <c r="F2420" s="140"/>
      <c r="G2420" s="140"/>
      <c r="H2420" s="140"/>
      <c r="I2420" s="140"/>
    </row>
    <row r="2421" spans="2:12" s="10" customFormat="1" ht="15.75" customHeight="1" x14ac:dyDescent="0.25">
      <c r="B2421" s="201" t="str">
        <f>CONCATENATE("35. Bevételi jogcímek"," - ",L2421," részletező")</f>
        <v>35. Bevételi jogcímek -  részletező</v>
      </c>
      <c r="C2421" s="101"/>
      <c r="D2421" s="101"/>
      <c r="E2421" s="101"/>
      <c r="F2421" s="101"/>
      <c r="G2421" s="198"/>
      <c r="H2421" s="198"/>
      <c r="I2421" s="198"/>
      <c r="L2421" s="384"/>
    </row>
    <row r="2422" spans="2:12" s="38" customFormat="1" ht="15.75" x14ac:dyDescent="0.25">
      <c r="C2422" s="156"/>
      <c r="E2422" s="140"/>
      <c r="F2422" s="140"/>
      <c r="G2422" s="140"/>
      <c r="H2422" s="140"/>
      <c r="I2422" s="140"/>
    </row>
    <row r="2423" spans="2:12" s="40" customFormat="1" x14ac:dyDescent="0.25">
      <c r="B2423" s="77"/>
      <c r="C2423" s="77" t="s">
        <v>350</v>
      </c>
      <c r="D2423" s="77" t="s">
        <v>351</v>
      </c>
      <c r="E2423" s="77" t="s">
        <v>470</v>
      </c>
      <c r="F2423" s="77" t="s">
        <v>471</v>
      </c>
      <c r="G2423" s="77" t="s">
        <v>44</v>
      </c>
      <c r="H2423" s="77" t="s">
        <v>42</v>
      </c>
      <c r="I2423" s="77" t="s">
        <v>511</v>
      </c>
    </row>
    <row r="2424" spans="2:12" ht="38.25" x14ac:dyDescent="0.25">
      <c r="B2424" s="160">
        <v>1</v>
      </c>
      <c r="C2424" s="154" t="s">
        <v>593</v>
      </c>
      <c r="D2424" s="154" t="s">
        <v>488</v>
      </c>
      <c r="E2424" s="163" t="str">
        <f>CONCATENATE(PAR!$H$3," évi
eredeti 
előirányzat")</f>
        <v>2025. évi
eredeti 
előirányzat</v>
      </c>
      <c r="F2424" s="163" t="str">
        <f>CONCATENATE(PAR!$H$3," évi
módosított 
előirányzat")</f>
        <v>2025. évi
módosított 
előirányzat</v>
      </c>
      <c r="G2424" s="69" t="s">
        <v>666</v>
      </c>
      <c r="H2424" s="69" t="s">
        <v>667</v>
      </c>
      <c r="I2424" s="69" t="s">
        <v>668</v>
      </c>
    </row>
    <row r="2425" spans="2:12" s="41" customFormat="1" x14ac:dyDescent="0.25">
      <c r="B2425" s="160">
        <v>2</v>
      </c>
      <c r="C2425" s="78" t="s">
        <v>1324</v>
      </c>
      <c r="D2425" s="79" t="s">
        <v>562</v>
      </c>
      <c r="E2425" s="71">
        <f>SUM(E2426:E2432)</f>
        <v>0</v>
      </c>
      <c r="F2425" s="71">
        <f t="shared" ref="F2425:I2425" si="255">SUM(F2426:F2432)</f>
        <v>0</v>
      </c>
      <c r="G2425" s="71">
        <f t="shared" si="255"/>
        <v>0</v>
      </c>
      <c r="H2425" s="71">
        <f t="shared" si="255"/>
        <v>0</v>
      </c>
      <c r="I2425" s="71">
        <f t="shared" si="255"/>
        <v>0</v>
      </c>
    </row>
    <row r="2426" spans="2:12" s="42" customFormat="1" x14ac:dyDescent="0.2">
      <c r="B2426" s="160">
        <v>3</v>
      </c>
      <c r="C2426" s="305" t="s">
        <v>1288</v>
      </c>
      <c r="D2426" s="82" t="s">
        <v>1325</v>
      </c>
      <c r="E2426" s="72">
        <f>SUMIF(Adat!$AG:$AG,CONCATENATE(61,Info!$D$5,"091111",L2421),Adat!$E:$E)*-1</f>
        <v>0</v>
      </c>
      <c r="F2426" s="72">
        <f>SUMIF(Adat!$AG:$AG,CONCATENATE(60,Info!$D$5,"091111",L2421),Adat!$E:$E)*(-1)+E2426</f>
        <v>0</v>
      </c>
      <c r="G2426" s="72">
        <f>SUMIF(Adat!$AH:$AH,CONCATENATE(Info!$D$5,"(KÖT)","091111",L2421),Adat!$E:$E)*-1</f>
        <v>0</v>
      </c>
      <c r="H2426" s="72">
        <f>SUMIF(Adat!$AH:$AH,CONCATENATE(Info!$D$5,"(ÖNV)","091111",L2421),Adat!$E:$E)*-1</f>
        <v>0</v>
      </c>
      <c r="I2426" s="72">
        <f>SUMIF(Adat!$AH:$AH,CONCATENATE(Info!$D$5,"(ÁIG)","091111",L2421),Adat!$E:$E)*-1</f>
        <v>0</v>
      </c>
    </row>
    <row r="2427" spans="2:12" x14ac:dyDescent="0.2">
      <c r="B2427" s="160">
        <v>4</v>
      </c>
      <c r="C2427" s="305" t="s">
        <v>1289</v>
      </c>
      <c r="D2427" s="82" t="s">
        <v>735</v>
      </c>
      <c r="E2427" s="72">
        <f>SUMIF(Adat!$AG:$AG,CONCATENATE(61,Info!$D$5,"091121",L2421),Adat!$E:$E)*-1</f>
        <v>0</v>
      </c>
      <c r="F2427" s="72">
        <f>SUMIF(Adat!$AG:$AG,CONCATENATE(60,Info!$D$5,"091121",L2421),Adat!$E:$E)*-1+E2427</f>
        <v>0</v>
      </c>
      <c r="G2427" s="72">
        <f>SUMIF(Adat!$AH:$AH,CONCATENATE(Info!$D$5,"(KÖT)","091121",L2421),Adat!$E:$E)*-1</f>
        <v>0</v>
      </c>
      <c r="H2427" s="72">
        <f>SUMIF(Adat!$AH:$AH,CONCATENATE(Info!$D$5,"(ÖNV)","091121",L2421),Adat!$E:$E)*-1</f>
        <v>0</v>
      </c>
      <c r="I2427" s="72">
        <f>SUMIF(Adat!$AH:$AH,CONCATENATE(Info!$D$5,"(ÁIG)","091121",L2421),Adat!$E:$E)*-1</f>
        <v>0</v>
      </c>
    </row>
    <row r="2428" spans="2:12" x14ac:dyDescent="0.2">
      <c r="B2428" s="160">
        <v>5</v>
      </c>
      <c r="C2428" s="305" t="s">
        <v>1290</v>
      </c>
      <c r="D2428" s="82" t="s">
        <v>1326</v>
      </c>
      <c r="E2428" s="72">
        <f>SUMIF(Adat!$AG:$AG,CONCATENATE(61,Info!$D$5,"0911311",L2421),Adat!$E:$E)*-1</f>
        <v>0</v>
      </c>
      <c r="F2428" s="72">
        <f>SUMIF(Adat!$AG:$AG,CONCATENATE(60,Info!$D$5,"0911311",L2421),Adat!$E:$E)*-1+E2428</f>
        <v>0</v>
      </c>
      <c r="G2428" s="72">
        <f>SUMIF(Adat!$AH:$AH,CONCATENATE(Info!$D$5,"(KÖT)","0911311",L2421),Adat!$E:$E)*-1</f>
        <v>0</v>
      </c>
      <c r="H2428" s="72">
        <f>SUMIF(Adat!$AH:$AH,CONCATENATE(Info!$D$5,"(ÖNV)","0911311",L2421),Adat!$E:$E)*-1</f>
        <v>0</v>
      </c>
      <c r="I2428" s="72">
        <f>SUMIF(Adat!$AH:$AH,CONCATENATE(Info!$D$5,"(ÁIG)","0911311",L2421),Adat!$E:$E)*-1</f>
        <v>0</v>
      </c>
    </row>
    <row r="2429" spans="2:12" x14ac:dyDescent="0.2">
      <c r="B2429" s="160">
        <v>6</v>
      </c>
      <c r="C2429" s="305" t="s">
        <v>1254</v>
      </c>
      <c r="D2429" s="82" t="s">
        <v>736</v>
      </c>
      <c r="E2429" s="72">
        <f>SUMIF(Adat!$AG:$AG,CONCATENATE(61,Info!$D$5,"0911321",L2421),Adat!$E:$E)*-1</f>
        <v>0</v>
      </c>
      <c r="F2429" s="72">
        <f>SUMIF(Adat!$AG:$AG,CONCATENATE(60,Info!$D$5,"0911321",L2421),Adat!$E:$E)*-1+E2429</f>
        <v>0</v>
      </c>
      <c r="G2429" s="72">
        <f>SUMIF(Adat!$AH:$AH,CONCATENATE(Info!$D$5,"(KÖT)","0911321",L2421),Adat!$E:$E)*-1</f>
        <v>0</v>
      </c>
      <c r="H2429" s="72">
        <f>SUMIF(Adat!$AH:$AH,CONCATENATE(Info!$D$5,"(ÖNV)","0911321",L2421),Adat!$E:$E)*-1</f>
        <v>0</v>
      </c>
      <c r="I2429" s="72">
        <f>SUMIF(Adat!$AH:$AH,CONCATENATE(Info!$D$5,"(ÁIG)","0911321",L2421),Adat!$E:$E)*-1</f>
        <v>0</v>
      </c>
    </row>
    <row r="2430" spans="2:12" x14ac:dyDescent="0.25">
      <c r="B2430" s="160">
        <v>7</v>
      </c>
      <c r="C2430" s="305" t="s">
        <v>1291</v>
      </c>
      <c r="D2430" s="84" t="s">
        <v>737</v>
      </c>
      <c r="E2430" s="72">
        <f>SUMIF(Adat!$AG:$AG,CONCATENATE(61,Info!$D$5,"091141",L2421),Adat!$E:$E)*-1</f>
        <v>0</v>
      </c>
      <c r="F2430" s="72">
        <f>SUMIF(Adat!$AG:$AG,CONCATENATE(60,Info!$D$5,"091141",L2421),Adat!$E:$E)*-1+E2430</f>
        <v>0</v>
      </c>
      <c r="G2430" s="72">
        <f>SUMIF(Adat!$AH:$AH,CONCATENATE(Info!$D$5,"(KÖT)","091141",L2421),Adat!$E:$E)*-1</f>
        <v>0</v>
      </c>
      <c r="H2430" s="72">
        <f>SUMIF(Adat!$AH:$AH,CONCATENATE(Info!$D$5,"(ÖNV)","091141",L2421),Adat!$E:$E)*-1</f>
        <v>0</v>
      </c>
      <c r="I2430" s="72">
        <f>SUMIF(Adat!$AH:$AH,CONCATENATE(Info!$D$5,"(ÁIG)","091141",L2421),Adat!$E:$E)*-1</f>
        <v>0</v>
      </c>
    </row>
    <row r="2431" spans="2:12" x14ac:dyDescent="0.25">
      <c r="B2431" s="160">
        <v>8</v>
      </c>
      <c r="C2431" s="305" t="s">
        <v>1312</v>
      </c>
      <c r="D2431" s="84" t="s">
        <v>738</v>
      </c>
      <c r="E2431" s="72">
        <f>SUMIF(Adat!$AG:$AG,CONCATENATE(61,Info!$D$5,"091151",L2421),Adat!$E:$E)*-1</f>
        <v>0</v>
      </c>
      <c r="F2431" s="72">
        <f>SUMIF(Adat!$AG:$AG,CONCATENATE(60,Info!$D$5,"091151",L2421),Adat!$E:$E)*-1+E2431</f>
        <v>0</v>
      </c>
      <c r="G2431" s="72">
        <f>SUMIF(Adat!$AH:$AH,CONCATENATE(Info!$D$5,"(KÖT)","091151",L2421),Adat!$E:$E)*-1</f>
        <v>0</v>
      </c>
      <c r="H2431" s="72">
        <f>SUMIF(Adat!$AH:$AH,CONCATENATE(Info!$D$5,"(ÖNV)","091151",L2421),Adat!$E:$E)*-1</f>
        <v>0</v>
      </c>
      <c r="I2431" s="72">
        <f>SUMIF(Adat!$AH:$AH,CONCATENATE(Info!$D$5,"(ÁIG)","091151",L2421),Adat!$E:$E)*-1</f>
        <v>0</v>
      </c>
    </row>
    <row r="2432" spans="2:12" s="42" customFormat="1" x14ac:dyDescent="0.25">
      <c r="B2432" s="160">
        <v>9</v>
      </c>
      <c r="C2432" s="305" t="s">
        <v>1308</v>
      </c>
      <c r="D2432" s="84" t="s">
        <v>233</v>
      </c>
      <c r="E2432" s="72">
        <f>SUMIF(Adat!$AG:$AG,CONCATENATE(61,Info!$D$5,"091161",L2421),Adat!$E:$E)*-1</f>
        <v>0</v>
      </c>
      <c r="F2432" s="72">
        <f>SUMIF(Adat!$AG:$AG,CONCATENATE(60,Info!$D$5,"091161",L2421),Adat!$E:$E)*-1+E2432</f>
        <v>0</v>
      </c>
      <c r="G2432" s="72">
        <f>SUMIF(Adat!$AH:$AH,CONCATENATE(Info!$D$5,"(KÖT)","091161",L2421),Adat!$E:$E)*-1</f>
        <v>0</v>
      </c>
      <c r="H2432" s="72">
        <f>SUMIF(Adat!$AH:$AH,CONCATENATE(Info!$D$5,"(ÖNV)","091161",L2421),Adat!$E:$E)*-1</f>
        <v>0</v>
      </c>
      <c r="I2432" s="72">
        <f>SUMIF(Adat!$AH:$AH,CONCATENATE(Info!$D$5,"(ÁIG)","091161",L2421),Adat!$E:$E)*-1</f>
        <v>0</v>
      </c>
    </row>
    <row r="2433" spans="2:9" s="42" customFormat="1" x14ac:dyDescent="0.25">
      <c r="B2433" s="160">
        <v>10</v>
      </c>
      <c r="C2433" s="78" t="s">
        <v>1328</v>
      </c>
      <c r="D2433" s="85" t="s">
        <v>437</v>
      </c>
      <c r="E2433" s="71">
        <f>SUM(E2434:E2438)</f>
        <v>0</v>
      </c>
      <c r="F2433" s="71">
        <f t="shared" ref="F2433" si="256">SUM(F2434:F2438)</f>
        <v>0</v>
      </c>
      <c r="G2433" s="71">
        <f>SUM(G2434:G2438)</f>
        <v>0</v>
      </c>
      <c r="H2433" s="71">
        <f t="shared" ref="H2433:I2433" si="257">SUM(H2434:H2438)</f>
        <v>0</v>
      </c>
      <c r="I2433" s="71">
        <f t="shared" si="257"/>
        <v>0</v>
      </c>
    </row>
    <row r="2434" spans="2:9" s="42" customFormat="1" x14ac:dyDescent="0.2">
      <c r="B2434" s="160">
        <v>11</v>
      </c>
      <c r="C2434" s="305" t="s">
        <v>1329</v>
      </c>
      <c r="D2434" s="82" t="s">
        <v>1330</v>
      </c>
      <c r="E2434" s="72">
        <f>SUMIF(Adat!$AG:$AG,CONCATENATE(61,Info!$D$5,"09121",L2421),Adat!$E:$E)*-1</f>
        <v>0</v>
      </c>
      <c r="F2434" s="72">
        <f>SUMIF(Adat!$AG:$AG,CONCATENATE(60,Info!$D$5,"09121",L2421),Adat!$E:$E)*-1+E2434</f>
        <v>0</v>
      </c>
      <c r="G2434" s="72">
        <f>SUMIF(Adat!$AH:$AH,CONCATENATE(Info!$D$5,"(KÖT)","09121",L2421),Adat!$E:$E)*-1</f>
        <v>0</v>
      </c>
      <c r="H2434" s="72">
        <f>SUMIF(Adat!$AH:$AH,CONCATENATE(Info!$D$5,"(ÖNV)","09121",L2421),Adat!$E:$E)*-1</f>
        <v>0</v>
      </c>
      <c r="I2434" s="72">
        <f>SUMIF(Adat!$AH:$AH,CONCATENATE(Info!$D$5,"(ÁIG)","09121",L2421),Adat!$E:$E)*-1</f>
        <v>0</v>
      </c>
    </row>
    <row r="2435" spans="2:9" s="42" customFormat="1" x14ac:dyDescent="0.2">
      <c r="B2435" s="160">
        <v>12</v>
      </c>
      <c r="C2435" s="305" t="s">
        <v>1331</v>
      </c>
      <c r="D2435" s="82" t="s">
        <v>1332</v>
      </c>
      <c r="E2435" s="72">
        <f>SUMIF(Adat!$AG:$AG,CONCATENATE(61,Info!$D$5,"09131",L2421),Adat!$E:$E)*-1</f>
        <v>0</v>
      </c>
      <c r="F2435" s="72">
        <f>SUMIF(Adat!$AG:$AG,CONCATENATE(60,Info!$D$5,"09131",L2421),Adat!$E:$E)*-1+E2435</f>
        <v>0</v>
      </c>
      <c r="G2435" s="72">
        <f>SUMIF(Adat!$AH:$AH,CONCATENATE(Info!$D$5,"(KÖT)","09131",L2421),Adat!$E:$E)*-1</f>
        <v>0</v>
      </c>
      <c r="H2435" s="72">
        <f>SUMIF(Adat!$AH:$AH,CONCATENATE(Info!$D$5,"(ÖNV)","09131",L2421),Adat!$E:$E)*-1</f>
        <v>0</v>
      </c>
      <c r="I2435" s="72">
        <f>SUMIF(Adat!$AH:$AH,CONCATENATE(Info!$D$5,"(ÁIG)","09131",L2421),Adat!$E:$E)*-1</f>
        <v>0</v>
      </c>
    </row>
    <row r="2436" spans="2:9" s="42" customFormat="1" x14ac:dyDescent="0.2">
      <c r="B2436" s="160">
        <v>13</v>
      </c>
      <c r="C2436" s="305" t="s">
        <v>1333</v>
      </c>
      <c r="D2436" s="82" t="s">
        <v>1334</v>
      </c>
      <c r="E2436" s="72">
        <f>SUMIF(Adat!$AG:$AG,CONCATENATE(61,Info!$D$5,"09141",L2421),Adat!$E:$E)*-1</f>
        <v>0</v>
      </c>
      <c r="F2436" s="72">
        <f>SUMIF(Adat!$AG:$AG,CONCATENATE(60,Info!$D$5,"09141",L2421),Adat!$E:$E)*-1+E2436</f>
        <v>0</v>
      </c>
      <c r="G2436" s="72">
        <f>SUMIF(Adat!$AH:$AH,CONCATENATE(Info!$D$5,"(KÖT)","09141",L2421),Adat!$E:$E)*-1</f>
        <v>0</v>
      </c>
      <c r="H2436" s="72">
        <f>SUMIF(Adat!$AH:$AH,CONCATENATE(Info!$D$5,"(ÖNV)","09141",L2421),Adat!$E:$E)*-1</f>
        <v>0</v>
      </c>
      <c r="I2436" s="72">
        <f>SUMIF(Adat!$AH:$AH,CONCATENATE(Info!$D$5,"(ÁIG)","09141",L2421),Adat!$E:$E)*-1</f>
        <v>0</v>
      </c>
    </row>
    <row r="2437" spans="2:9" s="42" customFormat="1" x14ac:dyDescent="0.2">
      <c r="B2437" s="160">
        <v>14</v>
      </c>
      <c r="C2437" s="305" t="s">
        <v>1335</v>
      </c>
      <c r="D2437" s="82" t="s">
        <v>1336</v>
      </c>
      <c r="E2437" s="72">
        <f>SUMIF(Adat!$AG:$AG,CONCATENATE(61,Info!$D$5,"09151",L2421),Adat!$E:$E)*-1</f>
        <v>0</v>
      </c>
      <c r="F2437" s="72">
        <f>SUMIF(Adat!$AG:$AG,CONCATENATE(60,Info!$D$5,"09151",L2421),Adat!$E:$E)*-1+E2437</f>
        <v>0</v>
      </c>
      <c r="G2437" s="72">
        <f>SUMIF(Adat!$AH:$AH,CONCATENATE(Info!$D$5,"(KÖT)","09151",L2421),Adat!$E:$E)*-1</f>
        <v>0</v>
      </c>
      <c r="H2437" s="72">
        <f>SUMIF(Adat!$AH:$AH,CONCATENATE(Info!$D$5,"(ÖNV)","09151",L2421),Adat!$E:$E)*-1</f>
        <v>0</v>
      </c>
      <c r="I2437" s="72">
        <f>SUMIF(Adat!$AH:$AH,CONCATENATE(Info!$D$5,"(ÁIG)","09151",L2421),Adat!$E:$E)*-1</f>
        <v>0</v>
      </c>
    </row>
    <row r="2438" spans="2:9" s="42" customFormat="1" x14ac:dyDescent="0.2">
      <c r="B2438" s="160">
        <v>15</v>
      </c>
      <c r="C2438" s="305" t="s">
        <v>1278</v>
      </c>
      <c r="D2438" s="82" t="s">
        <v>1337</v>
      </c>
      <c r="E2438" s="72">
        <f>SUMIF(Adat!$AG:$AG,CONCATENATE(61,Info!$D$5,"09161",L2421),Adat!$E:$E)*-1</f>
        <v>0</v>
      </c>
      <c r="F2438" s="72">
        <f>SUMIF(Adat!$AG:$AG,CONCATENATE(60,Info!$D$5,"09161",L2421),Adat!$E:$E)*-1+E2438</f>
        <v>0</v>
      </c>
      <c r="G2438" s="72">
        <f>SUMIF(Adat!$AH:$AH,CONCATENATE(Info!$D$5,"(KÖT)","09161",L2421),Adat!$E:$E)*-1</f>
        <v>0</v>
      </c>
      <c r="H2438" s="72">
        <f>SUMIF(Adat!$AH:$AH,CONCATENATE(Info!$D$5,"(ÖNV)","09161",L2421),Adat!$E:$E)*-1</f>
        <v>0</v>
      </c>
      <c r="I2438" s="72">
        <f>SUMIF(Adat!$AH:$AH,CONCATENATE(Info!$D$5,"(ÁIG)","09161",L2421),Adat!$E:$E)*-1</f>
        <v>0</v>
      </c>
    </row>
    <row r="2439" spans="2:9" x14ac:dyDescent="0.25">
      <c r="B2439" s="160">
        <v>16</v>
      </c>
      <c r="C2439" s="79" t="s">
        <v>24</v>
      </c>
      <c r="D2439" s="79" t="s">
        <v>449</v>
      </c>
      <c r="E2439" s="71">
        <f t="shared" ref="E2439:F2439" si="258">SUM(E2440:E2444)</f>
        <v>0</v>
      </c>
      <c r="F2439" s="71">
        <f t="shared" si="258"/>
        <v>0</v>
      </c>
      <c r="G2439" s="71">
        <f>SUM(G2440:G2444)</f>
        <v>0</v>
      </c>
      <c r="H2439" s="71">
        <f t="shared" ref="H2439:I2439" si="259">SUM(H2440:H2444)</f>
        <v>0</v>
      </c>
      <c r="I2439" s="71">
        <f t="shared" si="259"/>
        <v>0</v>
      </c>
    </row>
    <row r="2440" spans="2:9" x14ac:dyDescent="0.2">
      <c r="B2440" s="160">
        <v>17</v>
      </c>
      <c r="C2440" s="305" t="s">
        <v>1339</v>
      </c>
      <c r="D2440" s="82" t="s">
        <v>1340</v>
      </c>
      <c r="E2440" s="72">
        <f>SUMIF(Adat!$AG:$AG,CONCATENATE(61,Info!$D$5,"09211",L2421),Adat!$E:$E)*-1</f>
        <v>0</v>
      </c>
      <c r="F2440" s="72">
        <f>SUMIF(Adat!$AG:$AG,CONCATENATE(60,Info!$D$5,"09211",L2421),Adat!$E:$E)*-1+E2440</f>
        <v>0</v>
      </c>
      <c r="G2440" s="72">
        <f>SUMIF(Adat!$AH:$AH,CONCATENATE(Info!$D$5,"(KÖT)","09211",L2421),Adat!$E:$E)*-1</f>
        <v>0</v>
      </c>
      <c r="H2440" s="72">
        <f>SUMIF(Adat!$AH:$AH,CONCATENATE(Info!$D$5,"(ÖNV)","09211",L2421),Adat!$E:$E)*-1</f>
        <v>0</v>
      </c>
      <c r="I2440" s="72">
        <f>SUMIF(Adat!$AH:$AH,CONCATENATE(Info!$D$5,"(ÁIG)","09211",L2421),Adat!$E:$E)*-1</f>
        <v>0</v>
      </c>
    </row>
    <row r="2441" spans="2:9" s="42" customFormat="1" x14ac:dyDescent="0.2">
      <c r="B2441" s="160">
        <v>18</v>
      </c>
      <c r="C2441" s="305" t="s">
        <v>1341</v>
      </c>
      <c r="D2441" s="82" t="s">
        <v>1342</v>
      </c>
      <c r="E2441" s="72">
        <f>SUMIF(Adat!$AG:$AG,CONCATENATE(61,Info!$D$5,"09221",L2421),Adat!$E:$E)*-1</f>
        <v>0</v>
      </c>
      <c r="F2441" s="72">
        <f>SUMIF(Adat!$AG:$AG,CONCATENATE(60,Info!$D$5,"09221",L2421),Adat!$E:$E)*-1+E2441</f>
        <v>0</v>
      </c>
      <c r="G2441" s="72">
        <f>SUMIF(Adat!$AH:$AH,CONCATENATE(Info!$D$5,"(KÖT)","09221",L2421),Adat!$E:$E)*-1</f>
        <v>0</v>
      </c>
      <c r="H2441" s="72">
        <f>SUMIF(Adat!$AH:$AH,CONCATENATE(Info!$D$5,"(ÖNV)","09221",L2421),Adat!$E:$E)*-1</f>
        <v>0</v>
      </c>
      <c r="I2441" s="72">
        <f>SUMIF(Adat!$AH:$AH,CONCATENATE(Info!$D$5,"(ÁIG)","09221",L2421),Adat!$E:$E)*-1</f>
        <v>0</v>
      </c>
    </row>
    <row r="2442" spans="2:9" x14ac:dyDescent="0.2">
      <c r="B2442" s="160">
        <v>19</v>
      </c>
      <c r="C2442" s="305" t="s">
        <v>1343</v>
      </c>
      <c r="D2442" s="82" t="s">
        <v>1344</v>
      </c>
      <c r="E2442" s="72">
        <f>SUMIF(Adat!$AG:$AG,CONCATENATE(61,Info!$D$5,"09231",L2421),Adat!$E:$E)*-1</f>
        <v>0</v>
      </c>
      <c r="F2442" s="72">
        <f>SUMIF(Adat!$AG:$AG,CONCATENATE(60,Info!$D$5,"09231",L2421),Adat!$E:$E)*-1+E2442</f>
        <v>0</v>
      </c>
      <c r="G2442" s="72">
        <f>SUMIF(Adat!$AH:$AH,CONCATENATE(Info!$D$5,"(KÖT)","09231",L2421),Adat!$E:$E)*-1</f>
        <v>0</v>
      </c>
      <c r="H2442" s="72">
        <f>SUMIF(Adat!$AH:$AH,CONCATENATE(Info!$D$5,"(ÖNV)","09231",L2421),Adat!$E:$E)*-1</f>
        <v>0</v>
      </c>
      <c r="I2442" s="72">
        <f>SUMIF(Adat!$AH:$AH,CONCATENATE(Info!$D$5,"(ÁIG)","09231",L2421),Adat!$E:$E)*-1</f>
        <v>0</v>
      </c>
    </row>
    <row r="2443" spans="2:9" x14ac:dyDescent="0.2">
      <c r="B2443" s="160">
        <v>20</v>
      </c>
      <c r="C2443" s="305" t="s">
        <v>1345</v>
      </c>
      <c r="D2443" s="82" t="s">
        <v>1346</v>
      </c>
      <c r="E2443" s="72">
        <f>SUMIF(Adat!$AG:$AG,CONCATENATE(61,Info!$D$5,"09241",L2421),Adat!$E:$E)*-1</f>
        <v>0</v>
      </c>
      <c r="F2443" s="72">
        <f>SUMIF(Adat!$AG:$AG,CONCATENATE(60,Info!$D$5,"09241",L2421),Adat!$E:$E)*-1+E2443</f>
        <v>0</v>
      </c>
      <c r="G2443" s="72">
        <f>SUMIF(Adat!$AH:$AH,CONCATENATE(Info!$D$5,"(KÖT)","09241",L2421),Adat!$E:$E)*-1</f>
        <v>0</v>
      </c>
      <c r="H2443" s="72">
        <f>SUMIF(Adat!$AH:$AH,CONCATENATE(Info!$D$5,"(ÖNV)","09241",L2421),Adat!$E:$E)*-1</f>
        <v>0</v>
      </c>
      <c r="I2443" s="72">
        <f>SUMIF(Adat!$AH:$AH,CONCATENATE(Info!$D$5,"(ÁIG)","09241",L2421),Adat!$E:$E)*-1</f>
        <v>0</v>
      </c>
    </row>
    <row r="2444" spans="2:9" x14ac:dyDescent="0.2">
      <c r="B2444" s="160">
        <v>21</v>
      </c>
      <c r="C2444" s="305" t="s">
        <v>1255</v>
      </c>
      <c r="D2444" s="82" t="s">
        <v>1347</v>
      </c>
      <c r="E2444" s="72">
        <f>SUMIF(Adat!$AG:$AG,CONCATENATE(61,Info!$D$5,"09251",L2421),Adat!$E:$E)*-1</f>
        <v>0</v>
      </c>
      <c r="F2444" s="72">
        <f>SUMIF(Adat!$AG:$AG,CONCATENATE(60,Info!$D$5,"09251",L2421),Adat!$E:$E)*-1+E2444</f>
        <v>0</v>
      </c>
      <c r="G2444" s="72">
        <f>SUMIF(Adat!$AH:$AH,CONCATENATE(Info!$D$5,"(KÖT)","09251",L2421),Adat!$E:$E)*-1</f>
        <v>0</v>
      </c>
      <c r="H2444" s="72">
        <f>SUMIF(Adat!$AH:$AH,CONCATENATE(Info!$D$5,"(ÖNV)","09251",L2421),Adat!$E:$E)*-1</f>
        <v>0</v>
      </c>
      <c r="I2444" s="72">
        <f>SUMIF(Adat!$AH:$AH,CONCATENATE(Info!$D$5,"(ÁIG)","09251",L2421),Adat!$E:$E)*-1</f>
        <v>0</v>
      </c>
    </row>
    <row r="2445" spans="2:9" x14ac:dyDescent="0.25">
      <c r="B2445" s="160">
        <v>22</v>
      </c>
      <c r="C2445" s="79" t="s">
        <v>27</v>
      </c>
      <c r="D2445" s="79" t="s">
        <v>328</v>
      </c>
      <c r="E2445" s="71">
        <f>SUM(E2446:E2451)</f>
        <v>0</v>
      </c>
      <c r="F2445" s="71">
        <f>SUM(F2446:F2451)</f>
        <v>0</v>
      </c>
      <c r="G2445" s="71">
        <f>SUM(G2446:G2451)</f>
        <v>0</v>
      </c>
      <c r="H2445" s="71">
        <f>SUM(H2446:H2451)</f>
        <v>0</v>
      </c>
      <c r="I2445" s="71">
        <f>SUM(I2446:I2451)</f>
        <v>0</v>
      </c>
    </row>
    <row r="2446" spans="2:9" x14ac:dyDescent="0.2">
      <c r="B2446" s="160">
        <v>23</v>
      </c>
      <c r="C2446" s="305" t="s">
        <v>1348</v>
      </c>
      <c r="D2446" s="82" t="s">
        <v>1349</v>
      </c>
      <c r="E2446" s="72">
        <f>SUMIF(Adat!$AG:$AG,CONCATENATE(61,Info!$D$5,"093111",L2421),Adat!$E:$E)*-1</f>
        <v>0</v>
      </c>
      <c r="F2446" s="72">
        <f>SUMIF(Adat!$AG:$AG,CONCATENATE(60,Info!$D$5,"093111",L2421),Adat!$E:$E)*-1+E2446</f>
        <v>0</v>
      </c>
      <c r="G2446" s="72">
        <f>SUMIF(Adat!$AH:$AH,CONCATENATE(Info!$D$5,"(KÖT)","093111",L2421),Adat!$E:$E)*-1</f>
        <v>0</v>
      </c>
      <c r="H2446" s="72">
        <f>SUMIF(Adat!$AH:$AH,CONCATENATE(Info!$D$5,"(ÖNV)","093111",L2421),Adat!$E:$E)*-1</f>
        <v>0</v>
      </c>
      <c r="I2446" s="72">
        <f>SUMIF(Adat!$AH:$AH,CONCATENATE(Info!$D$5,"(ÁIG)","093111",L2421),Adat!$E:$E)*-1</f>
        <v>0</v>
      </c>
    </row>
    <row r="2447" spans="2:9" x14ac:dyDescent="0.2">
      <c r="B2447" s="160">
        <v>24</v>
      </c>
      <c r="C2447" s="305" t="s">
        <v>1259</v>
      </c>
      <c r="D2447" s="82" t="s">
        <v>1350</v>
      </c>
      <c r="E2447" s="72">
        <f>SUMIF(Adat!$AG:$AG,CONCATENATE(61,Info!$D$5,"09341",L2421),Adat!$E:$E)*-1</f>
        <v>0</v>
      </c>
      <c r="F2447" s="72">
        <f>SUMIF(Adat!$AG:$AG,CONCATENATE(60,Info!$D$5,"09341",L2421),Adat!$E:$E)*-1+E2447</f>
        <v>0</v>
      </c>
      <c r="G2447" s="72">
        <f>SUMIF(Adat!$AH:$AH,CONCATENATE(Info!$D$5,"(KÖT)","09341",L2421),Adat!$E:$E)*-1</f>
        <v>0</v>
      </c>
      <c r="H2447" s="72">
        <f>SUMIF(Adat!$AH:$AH,CONCATENATE(Info!$D$5,"(ÖNV)","09341",L2421),Adat!$E:$E)*-1</f>
        <v>0</v>
      </c>
      <c r="I2447" s="72">
        <f>SUMIF(Adat!$AH:$AH,CONCATENATE(Info!$D$5,"(ÁIG)","09341",L2421),Adat!$E:$E)*-1</f>
        <v>0</v>
      </c>
    </row>
    <row r="2448" spans="2:9" x14ac:dyDescent="0.2">
      <c r="B2448" s="160">
        <v>25</v>
      </c>
      <c r="C2448" s="305" t="s">
        <v>1260</v>
      </c>
      <c r="D2448" s="82" t="s">
        <v>1351</v>
      </c>
      <c r="E2448" s="72">
        <f>SUMIF(Adat!$AG:$AG,CONCATENATE(61,Info!$D$5,"093511",L2421),Adat!$E:$E)*-1</f>
        <v>0</v>
      </c>
      <c r="F2448" s="72">
        <f>SUMIF(Adat!$AG:$AG,CONCATENATE(60,Info!$D$5,"093511",L2421),Adat!$E:$E)*-1+E2448</f>
        <v>0</v>
      </c>
      <c r="G2448" s="72">
        <f>SUMIF(Adat!$AH:$AH,CONCATENATE(Info!$D$5,"(KÖT)","093511",L2421),Adat!$E:$E)*-1</f>
        <v>0</v>
      </c>
      <c r="H2448" s="72">
        <f>SUMIF(Adat!$AH:$AH,CONCATENATE(Info!$D$5,"(ÖNV)","093511",L2421),Adat!$E:$E)*-1</f>
        <v>0</v>
      </c>
      <c r="I2448" s="72">
        <f>SUMIF(Adat!$AH:$AH,CONCATENATE(Info!$D$5,"(ÁIG)","093511",L2421),Adat!$E:$E)*-1</f>
        <v>0</v>
      </c>
    </row>
    <row r="2449" spans="2:9" x14ac:dyDescent="0.2">
      <c r="B2449" s="160">
        <v>26</v>
      </c>
      <c r="C2449" s="305" t="s">
        <v>1352</v>
      </c>
      <c r="D2449" s="82" t="s">
        <v>1353</v>
      </c>
      <c r="E2449" s="72">
        <f>SUMIF(Adat!$AG:$AG,CONCATENATE(61,Info!$D$5,"093521",L2421),Adat!$E:$E)*-1</f>
        <v>0</v>
      </c>
      <c r="F2449" s="72">
        <f>SUMIF(Adat!$AG:$AG,CONCATENATE(60,Info!$D$5,"093521",L2421),Adat!$E:$E)*-1+E2449</f>
        <v>0</v>
      </c>
      <c r="G2449" s="72">
        <f>SUMIF(Adat!$AH:$AH,CONCATENATE(Info!$D$5,"(KÖT)","093521",L2421),Adat!$E:$E)*-1</f>
        <v>0</v>
      </c>
      <c r="H2449" s="72">
        <f>SUMIF(Adat!$AH:$AH,CONCATENATE(Info!$D$5,"(ÖNV)","093521",L2421),Adat!$E:$E)*-1</f>
        <v>0</v>
      </c>
      <c r="I2449" s="72">
        <f>SUMIF(Adat!$AH:$AH,CONCATENATE(Info!$D$5,"(ÁIG)","093521",L2421),Adat!$E:$E)*-1</f>
        <v>0</v>
      </c>
    </row>
    <row r="2450" spans="2:9" x14ac:dyDescent="0.2">
      <c r="B2450" s="160">
        <v>27</v>
      </c>
      <c r="C2450" s="305" t="s">
        <v>1292</v>
      </c>
      <c r="D2450" s="82" t="s">
        <v>1354</v>
      </c>
      <c r="E2450" s="72">
        <f>SUMIF(Adat!$AG:$AG,CONCATENATE(61,Info!$D$5,"093551",L2421),Adat!$E:$E)*-1</f>
        <v>0</v>
      </c>
      <c r="F2450" s="72">
        <f>SUMIF(Adat!$AG:$AG,CONCATENATE(60,Info!$D$5,"093551",L2421),Adat!$E:$E)*-1+E2450</f>
        <v>0</v>
      </c>
      <c r="G2450" s="72">
        <f>SUMIF(Adat!$AH:$AH,CONCATENATE(Info!$D$5,"(KÖT)","093551",L2421),Adat!$E:$E)*-1</f>
        <v>0</v>
      </c>
      <c r="H2450" s="72">
        <f>SUMIF(Adat!$AH:$AH,CONCATENATE(Info!$D$5,"(ÖNV)","093551",L2421),Adat!$E:$E)*-1</f>
        <v>0</v>
      </c>
      <c r="I2450" s="72">
        <f>SUMIF(Adat!$AH:$AH,CONCATENATE(Info!$D$5,"(ÁIG)","093551",L2421),Adat!$E:$E)*-1</f>
        <v>0</v>
      </c>
    </row>
    <row r="2451" spans="2:9" x14ac:dyDescent="0.2">
      <c r="B2451" s="160">
        <v>28</v>
      </c>
      <c r="C2451" s="305" t="s">
        <v>1293</v>
      </c>
      <c r="D2451" s="82" t="s">
        <v>1355</v>
      </c>
      <c r="E2451" s="72">
        <f>SUMIF(Adat!$AG:$AG,CONCATENATE(61,Info!$D$5,"09361",L2421),Adat!$E:$E)*-1</f>
        <v>0</v>
      </c>
      <c r="F2451" s="72">
        <f>SUMIF(Adat!$AG:$AG,CONCATENATE(60,Info!$D$5,"09361",L2421),Adat!$E:$E)*-1+E2451</f>
        <v>0</v>
      </c>
      <c r="G2451" s="72">
        <f>SUMIF(Adat!$AH:$AH,CONCATENATE(Info!$D$5,"(KÖT)","09361",L2421),Adat!$E:$E)*-1</f>
        <v>0</v>
      </c>
      <c r="H2451" s="72">
        <f>SUMIF(Adat!$AH:$AH,CONCATENATE(Info!$D$5,"(ÖNV)","09361",L2421),Adat!$E:$E)*-1</f>
        <v>0</v>
      </c>
      <c r="I2451" s="72">
        <f>SUMIF(Adat!$AH:$AH,CONCATENATE(Info!$D$5,"(ÁIG)","09361",L2421),Adat!$E:$E)*-1</f>
        <v>0</v>
      </c>
    </row>
    <row r="2452" spans="2:9" x14ac:dyDescent="0.25">
      <c r="B2452" s="160">
        <v>29</v>
      </c>
      <c r="C2452" s="79" t="s">
        <v>30</v>
      </c>
      <c r="D2452" s="79" t="s">
        <v>329</v>
      </c>
      <c r="E2452" s="71">
        <f>SUM(E2453:E2465)</f>
        <v>0</v>
      </c>
      <c r="F2452" s="71">
        <f t="shared" ref="F2452:I2452" si="260">SUM(F2453:F2465)</f>
        <v>0</v>
      </c>
      <c r="G2452" s="71">
        <f t="shared" si="260"/>
        <v>0</v>
      </c>
      <c r="H2452" s="71">
        <f t="shared" si="260"/>
        <v>0</v>
      </c>
      <c r="I2452" s="71">
        <f t="shared" si="260"/>
        <v>0</v>
      </c>
    </row>
    <row r="2453" spans="2:9" x14ac:dyDescent="0.2">
      <c r="B2453" s="160">
        <v>30</v>
      </c>
      <c r="C2453" s="305" t="s">
        <v>1309</v>
      </c>
      <c r="D2453" s="82" t="s">
        <v>1356</v>
      </c>
      <c r="E2453" s="72">
        <f>SUMIF(Adat!$AG:$AG,CONCATENATE(61,Info!$D$5,"094011",L2421),Adat!$E:$E)*-1</f>
        <v>0</v>
      </c>
      <c r="F2453" s="72">
        <f>SUMIF(Adat!$AG:$AG,CONCATENATE(60,Info!$D$5,"094011",L2421),Adat!$E:$E)*-1+E2453</f>
        <v>0</v>
      </c>
      <c r="G2453" s="72">
        <f>SUMIF(Adat!$AH:$AH,CONCATENATE(Info!$D$5,"(KÖT)","094011",L2421),Adat!$E:$E)*-1</f>
        <v>0</v>
      </c>
      <c r="H2453" s="72">
        <f>SUMIF(Adat!$AH:$AH,CONCATENATE(Info!$D$5,"(ÖNV)","094011",L2421),Adat!$E:$E)*-1</f>
        <v>0</v>
      </c>
      <c r="I2453" s="72">
        <f>SUMIF(Adat!$AH:$AH,CONCATENATE(Info!$D$5,"(ÁIG)","094011",L2421),Adat!$E:$E)*-1</f>
        <v>0</v>
      </c>
    </row>
    <row r="2454" spans="2:9" x14ac:dyDescent="0.2">
      <c r="B2454" s="160">
        <v>31</v>
      </c>
      <c r="C2454" s="305" t="s">
        <v>1279</v>
      </c>
      <c r="D2454" s="82" t="s">
        <v>1357</v>
      </c>
      <c r="E2454" s="72">
        <f>SUMIF(Adat!$AG:$AG,CONCATENATE(61,Info!$D$5,"094021",L2421),Adat!$E:$E)*-1</f>
        <v>0</v>
      </c>
      <c r="F2454" s="72">
        <f>SUMIF(Adat!$AG:$AG,CONCATENATE(60,Info!$D$5,"094021",L2421),Adat!$E:$E)*-1+E2454</f>
        <v>0</v>
      </c>
      <c r="G2454" s="72">
        <f>SUMIF(Adat!$AH:$AH,CONCATENATE(Info!$D$5,"(KÖT)","094021",L2421),Adat!$E:$E)*-1</f>
        <v>0</v>
      </c>
      <c r="H2454" s="72">
        <f>SUMIF(Adat!$AH:$AH,CONCATENATE(Info!$D$5,"(ÖNV)","094021",L2421),Adat!$E:$E)*-1</f>
        <v>0</v>
      </c>
      <c r="I2454" s="72">
        <f>SUMIF(Adat!$AH:$AH,CONCATENATE(Info!$D$5,"(ÁIG)","094021",L2421),Adat!$E:$E)*-1</f>
        <v>0</v>
      </c>
    </row>
    <row r="2455" spans="2:9" x14ac:dyDescent="0.2">
      <c r="B2455" s="160">
        <v>32</v>
      </c>
      <c r="C2455" s="305" t="s">
        <v>1272</v>
      </c>
      <c r="D2455" s="82" t="s">
        <v>1358</v>
      </c>
      <c r="E2455" s="72">
        <f>SUMIF(Adat!$AG:$AG,CONCATENATE(61,Info!$D$5,"094031",L2421),Adat!$E:$E)*-1</f>
        <v>0</v>
      </c>
      <c r="F2455" s="72">
        <f>SUMIF(Adat!$AG:$AG,CONCATENATE(60,Info!$D$5,"094031",L2421),Adat!$E:$E)*-1+E2455</f>
        <v>0</v>
      </c>
      <c r="G2455" s="72">
        <f>SUMIF(Adat!$AH:$AH,CONCATENATE(Info!$D$5,"(KÖT)","094031",L2421),Adat!$E:$E)*-1</f>
        <v>0</v>
      </c>
      <c r="H2455" s="72">
        <f>SUMIF(Adat!$AH:$AH,CONCATENATE(Info!$D$5,"(ÖNV)","094031",L2421),Adat!$E:$E)*-1</f>
        <v>0</v>
      </c>
      <c r="I2455" s="72">
        <f>SUMIF(Adat!$AH:$AH,CONCATENATE(Info!$D$5,"(ÁIG)","094031",L2421),Adat!$E:$E)*-1</f>
        <v>0</v>
      </c>
    </row>
    <row r="2456" spans="2:9" x14ac:dyDescent="0.2">
      <c r="B2456" s="160">
        <v>33</v>
      </c>
      <c r="C2456" s="305" t="s">
        <v>1359</v>
      </c>
      <c r="D2456" s="82" t="s">
        <v>1360</v>
      </c>
      <c r="E2456" s="72">
        <f>SUMIF(Adat!$AG:$AG,CONCATENATE(61,Info!$D$5,"094041",L2421),Adat!$E:$E)*-1</f>
        <v>0</v>
      </c>
      <c r="F2456" s="72">
        <f>SUMIF(Adat!$AG:$AG,CONCATENATE(60,Info!$D$5,"094041",L2421),Adat!$E:$E)*-1+E2456</f>
        <v>0</v>
      </c>
      <c r="G2456" s="72">
        <f>SUMIF(Adat!$AH:$AH,CONCATENATE(Info!$D$5,"(KÖT)","094041",L2421),Adat!$E:$E)*-1</f>
        <v>0</v>
      </c>
      <c r="H2456" s="72">
        <f>SUMIF(Adat!$AH:$AH,CONCATENATE(Info!$D$5,"(ÖNV)","094041",L2421),Adat!$E:$E)*-1</f>
        <v>0</v>
      </c>
      <c r="I2456" s="72">
        <f>SUMIF(Adat!$AH:$AH,CONCATENATE(Info!$D$5,"(ÁIG)","094041",L2421),Adat!$E:$E)*-1</f>
        <v>0</v>
      </c>
    </row>
    <row r="2457" spans="2:9" x14ac:dyDescent="0.2">
      <c r="B2457" s="160">
        <v>34</v>
      </c>
      <c r="C2457" s="305" t="s">
        <v>1261</v>
      </c>
      <c r="D2457" s="82" t="s">
        <v>1361</v>
      </c>
      <c r="E2457" s="72">
        <f>SUMIF(Adat!$AG:$AG,CONCATENATE(61,Info!$D$5,"094051",L2421),Adat!$E:$E)*-1</f>
        <v>0</v>
      </c>
      <c r="F2457" s="72">
        <f>SUMIF(Adat!$AG:$AG,CONCATENATE(60,Info!$D$5,"094051",L2421),Adat!$E:$E)*-1+E2457</f>
        <v>0</v>
      </c>
      <c r="G2457" s="72">
        <f>SUMIF(Adat!$AH:$AH,CONCATENATE(Info!$D$5,"(KÖT)","094051",L2421),Adat!$E:$E)*-1</f>
        <v>0</v>
      </c>
      <c r="H2457" s="72">
        <f>SUMIF(Adat!$AH:$AH,CONCATENATE(Info!$D$5,"(ÖNV)","094051",L2421),Adat!$E:$E)*-1</f>
        <v>0</v>
      </c>
      <c r="I2457" s="72">
        <f>SUMIF(Adat!$AH:$AH,CONCATENATE(Info!$D$5,"(ÁIG)","094051",L2421),Adat!$E:$E)*-1</f>
        <v>0</v>
      </c>
    </row>
    <row r="2458" spans="2:9" x14ac:dyDescent="0.2">
      <c r="B2458" s="160">
        <v>35</v>
      </c>
      <c r="C2458" s="305" t="s">
        <v>1273</v>
      </c>
      <c r="D2458" s="82" t="s">
        <v>1362</v>
      </c>
      <c r="E2458" s="72">
        <f>SUMIF(Adat!$AG:$AG,CONCATENATE(61,Info!$D$5,"094061",L2421),Adat!$E:$E)*-1</f>
        <v>0</v>
      </c>
      <c r="F2458" s="72">
        <f>SUMIF(Adat!$AG:$AG,CONCATENATE(60,Info!$D$5,"094061",L2421),Adat!$E:$E)*-1+E2458</f>
        <v>0</v>
      </c>
      <c r="G2458" s="72">
        <f>SUMIF(Adat!$AH:$AH,CONCATENATE(Info!$D$5,"(KÖT)","094061",L2421),Adat!$E:$E)*-1</f>
        <v>0</v>
      </c>
      <c r="H2458" s="72">
        <f>SUMIF(Adat!$AH:$AH,CONCATENATE(Info!$D$5,"(ÖNV)","094061",L2421),Adat!$E:$E)*-1</f>
        <v>0</v>
      </c>
      <c r="I2458" s="72">
        <f>SUMIF(Adat!$AH:$AH,CONCATENATE(Info!$D$5,"(ÁIG)","094061",L2421),Adat!$E:$E)*-1</f>
        <v>0</v>
      </c>
    </row>
    <row r="2459" spans="2:9" x14ac:dyDescent="0.2">
      <c r="B2459" s="160">
        <v>36</v>
      </c>
      <c r="C2459" s="305" t="s">
        <v>1363</v>
      </c>
      <c r="D2459" s="82" t="s">
        <v>1364</v>
      </c>
      <c r="E2459" s="72">
        <f>SUMIF(Adat!$AG:$AG,CONCATENATE(61,Info!$D$5,"094071",L2421),Adat!$E:$E)*-1</f>
        <v>0</v>
      </c>
      <c r="F2459" s="72">
        <f>SUMIF(Adat!$AG:$AG,CONCATENATE(60,Info!$D$5,"094071",L2421),Adat!$E:$E)*-1+E2459</f>
        <v>0</v>
      </c>
      <c r="G2459" s="72">
        <f>SUMIF(Adat!$AH:$AH,CONCATENATE(Info!$D$5,"(KÖT)","094071",L2421),Adat!$E:$E)*-1</f>
        <v>0</v>
      </c>
      <c r="H2459" s="72">
        <f>SUMIF(Adat!$AH:$AH,CONCATENATE(Info!$D$5,"(ÖNV)","094071",L2421),Adat!$E:$E)*-1</f>
        <v>0</v>
      </c>
      <c r="I2459" s="72">
        <f>SUMIF(Adat!$AH:$AH,CONCATENATE(Info!$D$5,"(ÁIG)","094071",L2421),Adat!$E:$E)*-1</f>
        <v>0</v>
      </c>
    </row>
    <row r="2460" spans="2:9" x14ac:dyDescent="0.2">
      <c r="B2460" s="160">
        <v>37</v>
      </c>
      <c r="C2460" s="305" t="s">
        <v>1306</v>
      </c>
      <c r="D2460" s="82" t="s">
        <v>1365</v>
      </c>
      <c r="E2460" s="72">
        <f>SUMIF(Adat!$AG:$AG,CONCATENATE(61,Info!$D$5,"0940811",L2421),Adat!$E:$E)*-1</f>
        <v>0</v>
      </c>
      <c r="F2460" s="72">
        <f>SUMIF(Adat!$AG:$AG,CONCATENATE(60,Info!$D$5,"0940811",L2421),Adat!$E:$E)*-1+E2460</f>
        <v>0</v>
      </c>
      <c r="G2460" s="72">
        <f>SUMIF(Adat!$AH:$AH,CONCATENATE(Info!$D$5,"(KÖT)","0940811",L2421),Adat!$E:$E)*-1</f>
        <v>0</v>
      </c>
      <c r="H2460" s="72">
        <f>SUMIF(Adat!$AH:$AH,CONCATENATE(Info!$D$5,"(ÖNV)","0940811",L2421),Adat!$E:$E)*-1</f>
        <v>0</v>
      </c>
      <c r="I2460" s="72">
        <f>SUMIF(Adat!$AH:$AH,CONCATENATE(Info!$D$5,"(ÁIG)","0940811",L2421),Adat!$E:$E)*-1</f>
        <v>0</v>
      </c>
    </row>
    <row r="2461" spans="2:9" x14ac:dyDescent="0.2">
      <c r="B2461" s="160">
        <v>38</v>
      </c>
      <c r="C2461" s="305" t="s">
        <v>1295</v>
      </c>
      <c r="D2461" s="82" t="s">
        <v>1366</v>
      </c>
      <c r="E2461" s="72">
        <f>SUMIF(Adat!$AG:$AG,CONCATENATE(61,Info!$D$5,"0940821",L2421),Adat!$E:$E)*-1</f>
        <v>0</v>
      </c>
      <c r="F2461" s="72">
        <f>SUMIF(Adat!$AG:$AG,CONCATENATE(60,Info!$D$5,"0940821",L2421),Adat!$E:$E)*-1+E2461</f>
        <v>0</v>
      </c>
      <c r="G2461" s="72">
        <f>SUMIF(Adat!$AH:$AH,CONCATENATE(Info!$D$5,"(KÖT)","0940821",L2421),Adat!$E:$E)*-1</f>
        <v>0</v>
      </c>
      <c r="H2461" s="72">
        <f>SUMIF(Adat!$AH:$AH,CONCATENATE(Info!$D$5,"(ÖNV)","0940821",L2421),Adat!$E:$E)*-1</f>
        <v>0</v>
      </c>
      <c r="I2461" s="72">
        <f>SUMIF(Adat!$AH:$AH,CONCATENATE(Info!$D$5,"(ÁIG)","0940821",L2421),Adat!$E:$E)*-1</f>
        <v>0</v>
      </c>
    </row>
    <row r="2462" spans="2:9" x14ac:dyDescent="0.2">
      <c r="B2462" s="160">
        <v>39</v>
      </c>
      <c r="C2462" s="305" t="s">
        <v>1367</v>
      </c>
      <c r="D2462" s="82" t="s">
        <v>1368</v>
      </c>
      <c r="E2462" s="72">
        <f>SUMIF(Adat!$AG:$AG,CONCATENATE(61,Info!$D$5,"0940911",L2421),Adat!$E:$E)*-1</f>
        <v>0</v>
      </c>
      <c r="F2462" s="72">
        <f>SUMIF(Adat!$AG:$AG,CONCATENATE(60,Info!$D$5,"0940911",L2421),Adat!$E:$E)*-1+E2462</f>
        <v>0</v>
      </c>
      <c r="G2462" s="72">
        <f>SUMIF(Adat!$AH:$AH,CONCATENATE(Info!$D$5,"(KÖT)","0940911",L2421),Adat!$E:$E)*-1</f>
        <v>0</v>
      </c>
      <c r="H2462" s="72">
        <f>SUMIF(Adat!$AH:$AH,CONCATENATE(Info!$D$5,"(ÖNV)","0940911",L2421),Adat!$E:$E)*-1</f>
        <v>0</v>
      </c>
      <c r="I2462" s="72">
        <f>SUMIF(Adat!$AH:$AH,CONCATENATE(Info!$D$5,"(ÁIG)","0940911",L2421),Adat!$E:$E)*-1</f>
        <v>0</v>
      </c>
    </row>
    <row r="2463" spans="2:9" x14ac:dyDescent="0.2">
      <c r="B2463" s="160">
        <v>40</v>
      </c>
      <c r="C2463" s="305" t="s">
        <v>1369</v>
      </c>
      <c r="D2463" s="82" t="s">
        <v>1370</v>
      </c>
      <c r="E2463" s="72">
        <f>SUMIF(Adat!$AG:$AG,CONCATENATE(61,Info!$D$5,"0940921",L2421),Adat!$E:$E)*-1</f>
        <v>0</v>
      </c>
      <c r="F2463" s="72">
        <f>SUMIF(Adat!$AG:$AG,CONCATENATE(60,Info!$D$5,"0940921",L2421),Adat!$E:$E)*-1+E2463</f>
        <v>0</v>
      </c>
      <c r="G2463" s="72">
        <f>SUMIF(Adat!$AH:$AH,CONCATENATE(Info!$D$5,"(KÖT)","0940921",L2421),Adat!$E:$E)*-1</f>
        <v>0</v>
      </c>
      <c r="H2463" s="72">
        <f>SUMIF(Adat!$AH:$AH,CONCATENATE(Info!$D$5,"(ÖNV)","0940921",L2421),Adat!$E:$E)*-1</f>
        <v>0</v>
      </c>
      <c r="I2463" s="72">
        <f>SUMIF(Adat!$AH:$AH,CONCATENATE(Info!$D$5,"(ÁIG)","0940921",L2421),Adat!$E:$E)*-1</f>
        <v>0</v>
      </c>
    </row>
    <row r="2464" spans="2:9" x14ac:dyDescent="0.2">
      <c r="B2464" s="160">
        <v>41</v>
      </c>
      <c r="C2464" s="305" t="s">
        <v>1296</v>
      </c>
      <c r="D2464" s="82" t="s">
        <v>1371</v>
      </c>
      <c r="E2464" s="72">
        <f>SUMIF(Adat!$AG:$AG,CONCATENATE(61,Info!$D$5,"094101",L2421),Adat!$E:$E)*-1</f>
        <v>0</v>
      </c>
      <c r="F2464" s="72">
        <f>SUMIF(Adat!$AG:$AG,CONCATENATE(60,Info!$D$5,"094101",L2421),Adat!$E:$E)*-1+E2464</f>
        <v>0</v>
      </c>
      <c r="G2464" s="72">
        <f>SUMIF(Adat!$AH:$AH,CONCATENATE(Info!$D$5,"(KÖT)","094101",L2421),Adat!$E:$E)*-1</f>
        <v>0</v>
      </c>
      <c r="H2464" s="72">
        <f>SUMIF(Adat!$AH:$AH,CONCATENATE(Info!$D$5,"(ÖNV)","094101",L2421),Adat!$E:$E)*-1</f>
        <v>0</v>
      </c>
      <c r="I2464" s="72">
        <f>SUMIF(Adat!$AH:$AH,CONCATENATE(Info!$D$5,"(ÁIG)","094101",L2421),Adat!$E:$E)*-1</f>
        <v>0</v>
      </c>
    </row>
    <row r="2465" spans="2:9" x14ac:dyDescent="0.25">
      <c r="B2465" s="160">
        <v>42</v>
      </c>
      <c r="C2465" s="305" t="s">
        <v>1297</v>
      </c>
      <c r="D2465" s="84" t="s">
        <v>1372</v>
      </c>
      <c r="E2465" s="72">
        <f>SUMIF(Adat!$AG:$AG,CONCATENATE(61,Info!$D$5,"094111",L2421),Adat!$E:$E)*-1</f>
        <v>0</v>
      </c>
      <c r="F2465" s="72">
        <f>SUMIF(Adat!$AG:$AG,CONCATENATE(60,Info!$D$5,"094111",L2421),Adat!$E:$E)*-1+E2465</f>
        <v>0</v>
      </c>
      <c r="G2465" s="72">
        <f>SUMIF(Adat!$AH:$AH,CONCATENATE(Info!$D$5,"(KÖT)","094111",L2421),Adat!$E:$E)*-1</f>
        <v>0</v>
      </c>
      <c r="H2465" s="72">
        <f>SUMIF(Adat!$AH:$AH,CONCATENATE(Info!$D$5,"(ÖNV)","094111",L2421),Adat!$E:$E)*-1</f>
        <v>0</v>
      </c>
      <c r="I2465" s="72">
        <f>SUMIF(Adat!$AH:$AH,CONCATENATE(Info!$D$5,"(ÁIG)","094111",L2421),Adat!$E:$E)*-1</f>
        <v>0</v>
      </c>
    </row>
    <row r="2466" spans="2:9" x14ac:dyDescent="0.25">
      <c r="B2466" s="160">
        <v>43</v>
      </c>
      <c r="C2466" s="79" t="s">
        <v>33</v>
      </c>
      <c r="D2466" s="79" t="s">
        <v>330</v>
      </c>
      <c r="E2466" s="71">
        <f>SUM(E2467:E2471)</f>
        <v>0</v>
      </c>
      <c r="F2466" s="71">
        <f>SUM(F2467:F2471)</f>
        <v>0</v>
      </c>
      <c r="G2466" s="71">
        <f>SUM(G2467:G2471)</f>
        <v>0</v>
      </c>
      <c r="H2466" s="71">
        <f>SUM(H2467:H2471)</f>
        <v>0</v>
      </c>
      <c r="I2466" s="71">
        <f>SUM(I2467:I2471)</f>
        <v>0</v>
      </c>
    </row>
    <row r="2467" spans="2:9" x14ac:dyDescent="0.2">
      <c r="B2467" s="160">
        <v>44</v>
      </c>
      <c r="C2467" s="305" t="s">
        <v>1373</v>
      </c>
      <c r="D2467" s="82" t="s">
        <v>1374</v>
      </c>
      <c r="E2467" s="72">
        <f>SUMIF(Adat!$AG:$AG,CONCATENATE(61,Info!$D$5,"09511",L2421),Adat!$E:$E)*-1</f>
        <v>0</v>
      </c>
      <c r="F2467" s="72">
        <f>SUMIF(Adat!$AG:$AG,CONCATENATE(60,Info!$D$5,"09511",L2421),Adat!$E:$E)*-1+E2467</f>
        <v>0</v>
      </c>
      <c r="G2467" s="72">
        <f>SUMIF(Adat!$AH:$AH,CONCATENATE(Info!$D$5,"(KÖT)","09511",L2421),Adat!$E:$E)*-1</f>
        <v>0</v>
      </c>
      <c r="H2467" s="72">
        <f>SUMIF(Adat!$AH:$AH,CONCATENATE(Info!$D$5,"(ÖNV)","09511",L2421),Adat!$E:$E)*-1</f>
        <v>0</v>
      </c>
      <c r="I2467" s="72">
        <f>SUMIF(Adat!$AH:$AH,CONCATENATE(Info!$D$5,"(ÁIG)","09511",L2421),Adat!$E:$E)*-1</f>
        <v>0</v>
      </c>
    </row>
    <row r="2468" spans="2:9" x14ac:dyDescent="0.2">
      <c r="B2468" s="160">
        <v>45</v>
      </c>
      <c r="C2468" s="305" t="s">
        <v>1294</v>
      </c>
      <c r="D2468" s="82" t="s">
        <v>1375</v>
      </c>
      <c r="E2468" s="72">
        <f>SUMIF(Adat!$AG:$AG,CONCATENATE(61,Info!$D$5,"09521",L2421),Adat!$E:$E)*-1</f>
        <v>0</v>
      </c>
      <c r="F2468" s="72">
        <f>SUMIF(Adat!$AG:$AG,CONCATENATE(60,Info!$D$5,"09521",L2421),Adat!$E:$E)*-1+E2468</f>
        <v>0</v>
      </c>
      <c r="G2468" s="72">
        <f>SUMIF(Adat!$AH:$AH,CONCATENATE(Info!$D$5,"(KÖT)","09521",L2421),Adat!$E:$E)*-1</f>
        <v>0</v>
      </c>
      <c r="H2468" s="72">
        <f>SUMIF(Adat!$AH:$AH,CONCATENATE(Info!$D$5,"(ÖNV)","09521",L2421),Adat!$E:$E)*-1</f>
        <v>0</v>
      </c>
      <c r="I2468" s="72">
        <f>SUMIF(Adat!$AH:$AH,CONCATENATE(Info!$D$5,"(ÁIG)","09521",L2421),Adat!$E:$E)*-1</f>
        <v>0</v>
      </c>
    </row>
    <row r="2469" spans="2:9" x14ac:dyDescent="0.2">
      <c r="B2469" s="160">
        <v>46</v>
      </c>
      <c r="C2469" s="305" t="s">
        <v>1376</v>
      </c>
      <c r="D2469" s="82" t="s">
        <v>1377</v>
      </c>
      <c r="E2469" s="72">
        <f>SUMIF(Adat!$AG:$AG,CONCATENATE(61,Info!$D$5,"09531",L2421),Adat!$E:$E)*-1</f>
        <v>0</v>
      </c>
      <c r="F2469" s="72">
        <f>SUMIF(Adat!$AG:$AG,CONCATENATE(60,Info!$D$5,"09531",L2421),Adat!$E:$E)*-1+E2469</f>
        <v>0</v>
      </c>
      <c r="G2469" s="72">
        <f>SUMIF(Adat!$AH:$AH,CONCATENATE(Info!$D$5,"(KÖT)","09531",L2421),Adat!$E:$E)*-1</f>
        <v>0</v>
      </c>
      <c r="H2469" s="72">
        <f>SUMIF(Adat!$AH:$AH,CONCATENATE(Info!$D$5,"(ÖNV)","09531",L2421),Adat!$E:$E)*-1</f>
        <v>0</v>
      </c>
      <c r="I2469" s="72">
        <f>SUMIF(Adat!$AH:$AH,CONCATENATE(Info!$D$5,"(ÁIG)","09531",L2421),Adat!$E:$E)*-1</f>
        <v>0</v>
      </c>
    </row>
    <row r="2470" spans="2:9" x14ac:dyDescent="0.2">
      <c r="B2470" s="160">
        <v>47</v>
      </c>
      <c r="C2470" s="305" t="s">
        <v>1378</v>
      </c>
      <c r="D2470" s="82" t="s">
        <v>1379</v>
      </c>
      <c r="E2470" s="72">
        <f>SUMIF(Adat!$AG:$AG,CONCATENATE(61,Info!$D$5,"09541",L2421),Adat!$E:$E)*-1</f>
        <v>0</v>
      </c>
      <c r="F2470" s="72">
        <f>SUMIF(Adat!$AG:$AG,CONCATENATE(60,Info!$D$5,"09541",L2421),Adat!$E:$E)*-1+E2470</f>
        <v>0</v>
      </c>
      <c r="G2470" s="72">
        <f>SUMIF(Adat!$AH:$AH,CONCATENATE(Info!$D$5,"(KÖT)","09541",L2421),Adat!$E:$E)*-1</f>
        <v>0</v>
      </c>
      <c r="H2470" s="72">
        <f>SUMIF(Adat!$AH:$AH,CONCATENATE(Info!$D$5,"(ÖNV)","09541",L2421),Adat!$E:$E)*-1</f>
        <v>0</v>
      </c>
      <c r="I2470" s="72">
        <f>SUMIF(Adat!$AH:$AH,CONCATENATE(Info!$D$5,"(ÁIG)","09541",L2421),Adat!$E:$E)*-1</f>
        <v>0</v>
      </c>
    </row>
    <row r="2471" spans="2:9" x14ac:dyDescent="0.25">
      <c r="B2471" s="160">
        <v>48</v>
      </c>
      <c r="C2471" s="305" t="s">
        <v>1380</v>
      </c>
      <c r="D2471" s="84" t="s">
        <v>1381</v>
      </c>
      <c r="E2471" s="72">
        <f>SUMIF(Adat!$AG:$AG,CONCATENATE(61,Info!$D$5,"09551",L2421),Adat!$E:$E)*-1</f>
        <v>0</v>
      </c>
      <c r="F2471" s="72">
        <f>SUMIF(Adat!$AG:$AG,CONCATENATE(60,Info!$D$5,"09551",L2421),Adat!$E:$E)*-1+E2471</f>
        <v>0</v>
      </c>
      <c r="G2471" s="72">
        <f>SUMIF(Adat!$AH:$AH,CONCATENATE(Info!$D$5,"(KÖT)","09551",L2421),Adat!$E:$E)*-1</f>
        <v>0</v>
      </c>
      <c r="H2471" s="72">
        <f>SUMIF(Adat!$AH:$AH,CONCATENATE(Info!$D$5,"(ÖNV)","09551",L2421),Adat!$E:$E)*-1</f>
        <v>0</v>
      </c>
      <c r="I2471" s="72">
        <f>SUMIF(Adat!$AH:$AH,CONCATENATE(Info!$D$5,"(ÁIG)","09551",L2421),Adat!$E:$E)*-1</f>
        <v>0</v>
      </c>
    </row>
    <row r="2472" spans="2:9" x14ac:dyDescent="0.25">
      <c r="B2472" s="160">
        <v>49</v>
      </c>
      <c r="C2472" s="79" t="s">
        <v>36</v>
      </c>
      <c r="D2472" s="79" t="s">
        <v>331</v>
      </c>
      <c r="E2472" s="71">
        <f>SUM(E2473:E2477)</f>
        <v>0</v>
      </c>
      <c r="F2472" s="71">
        <f t="shared" ref="F2472:I2472" si="261">SUM(F2473:F2477)</f>
        <v>0</v>
      </c>
      <c r="G2472" s="71">
        <f t="shared" si="261"/>
        <v>0</v>
      </c>
      <c r="H2472" s="71">
        <f t="shared" si="261"/>
        <v>0</v>
      </c>
      <c r="I2472" s="71">
        <f t="shared" si="261"/>
        <v>0</v>
      </c>
    </row>
    <row r="2473" spans="2:9" x14ac:dyDescent="0.2">
      <c r="B2473" s="160">
        <v>50</v>
      </c>
      <c r="C2473" s="305" t="s">
        <v>1382</v>
      </c>
      <c r="D2473" s="82" t="s">
        <v>1383</v>
      </c>
      <c r="E2473" s="72">
        <f>SUMIF(Adat!$AG:$AG,CONCATENATE(61,Info!$D$5,"09611",L2421),Adat!$E:$E)*-1</f>
        <v>0</v>
      </c>
      <c r="F2473" s="72">
        <f>SUMIF(Adat!$AG:$AG,CONCATENATE(60,Info!$D$5,"09611",L2421),Adat!$E:$E)*-1+E2473</f>
        <v>0</v>
      </c>
      <c r="G2473" s="72">
        <f>SUMIF(Adat!$AH:$AH,CONCATENATE(Info!$D$5,"(KÖT)","09611",L2421),Adat!$E:$E)*-1</f>
        <v>0</v>
      </c>
      <c r="H2473" s="72">
        <f>SUMIF(Adat!$AH:$AH,CONCATENATE(Info!$D$5,"(ÖNV)","09611",L2421),Adat!$E:$E)*-1</f>
        <v>0</v>
      </c>
      <c r="I2473" s="72">
        <f>SUMIF(Adat!$AH:$AH,CONCATENATE(Info!$D$5,"(ÁIG)","09611",L2421),Adat!$E:$E)*-1</f>
        <v>0</v>
      </c>
    </row>
    <row r="2474" spans="2:9" x14ac:dyDescent="0.2">
      <c r="B2474" s="160">
        <v>51</v>
      </c>
      <c r="C2474" s="305" t="s">
        <v>1384</v>
      </c>
      <c r="D2474" s="82" t="s">
        <v>1385</v>
      </c>
      <c r="E2474" s="72">
        <f>SUMIF(Adat!$AG:$AG,CONCATENATE(61,Info!$D$5,"09621",L2421),Adat!$E:$E)*-1</f>
        <v>0</v>
      </c>
      <c r="F2474" s="72">
        <f>SUMIF(Adat!$AG:$AG,CONCATENATE(60,Info!$D$5,"09621",L2421),Adat!$E:$E)*-1+E2474</f>
        <v>0</v>
      </c>
      <c r="G2474" s="72">
        <f>SUMIF(Adat!$AH:$AH,CONCATENATE(Info!$D$5,"(KÖT)","09621",L2421),Adat!$E:$E)*-1</f>
        <v>0</v>
      </c>
      <c r="H2474" s="72">
        <f>SUMIF(Adat!$AH:$AH,CONCATENATE(Info!$D$5,"(ÖNV)","09621",L2421),Adat!$E:$E)*-1</f>
        <v>0</v>
      </c>
      <c r="I2474" s="72">
        <f>SUMIF(Adat!$AH:$AH,CONCATENATE(Info!$D$5,"(ÁIG)","09621",L2421),Adat!$E:$E)*-1</f>
        <v>0</v>
      </c>
    </row>
    <row r="2475" spans="2:9" x14ac:dyDescent="0.2">
      <c r="B2475" s="160">
        <v>52</v>
      </c>
      <c r="C2475" s="305" t="s">
        <v>1386</v>
      </c>
      <c r="D2475" s="82" t="s">
        <v>1387</v>
      </c>
      <c r="E2475" s="72">
        <f>SUMIF(Adat!$AG:$AG,CONCATENATE(61,Info!$D$5,"09631",L2421),Adat!$E:$E)*-1</f>
        <v>0</v>
      </c>
      <c r="F2475" s="72">
        <f>SUMIF(Adat!$AG:$AG,CONCATENATE(60,Info!$D$5,"09631",L2421),Adat!$E:$E)*-1+E2475</f>
        <v>0</v>
      </c>
      <c r="G2475" s="72">
        <f>SUMIF(Adat!$AH:$AH,CONCATENATE(Info!$D$5,"(KÖT)","09631",L2421),Adat!$E:$E)*-1</f>
        <v>0</v>
      </c>
      <c r="H2475" s="72">
        <f>SUMIF(Adat!$AH:$AH,CONCATENATE(Info!$D$5,"(ÖNV)","09631",L2421),Adat!$E:$E)*-1</f>
        <v>0</v>
      </c>
      <c r="I2475" s="72">
        <f>SUMIF(Adat!$AH:$AH,CONCATENATE(Info!$D$5,"(ÁIG)","09631",L2421),Adat!$E:$E)*-1</f>
        <v>0</v>
      </c>
    </row>
    <row r="2476" spans="2:9" x14ac:dyDescent="0.2">
      <c r="B2476" s="160">
        <v>53</v>
      </c>
      <c r="C2476" s="305" t="s">
        <v>1388</v>
      </c>
      <c r="D2476" s="82" t="s">
        <v>1389</v>
      </c>
      <c r="E2476" s="72">
        <f>SUMIF(Adat!$AG:$AG,CONCATENATE(61,Info!$D$5,"09641",L2421),Adat!$E:$E)*-1</f>
        <v>0</v>
      </c>
      <c r="F2476" s="72">
        <f>SUMIF(Adat!$AG:$AG,CONCATENATE(60,Info!$D$5,"09641",L2421),Adat!$E:$E)*-1+E2476</f>
        <v>0</v>
      </c>
      <c r="G2476" s="72">
        <f>SUMIF(Adat!$AH:$AH,CONCATENATE(Info!$D$5,"(KÖT)","09641",L2421),Adat!$E:$E)*-1</f>
        <v>0</v>
      </c>
      <c r="H2476" s="72">
        <f>SUMIF(Adat!$AH:$AH,CONCATENATE(Info!$D$5,"(ÖNV)","09641",L2421),Adat!$E:$E)*-1</f>
        <v>0</v>
      </c>
      <c r="I2476" s="72">
        <f>SUMIF(Adat!$AH:$AH,CONCATENATE(Info!$D$5,"(ÁIG)","09641",L2421),Adat!$E:$E)*-1</f>
        <v>0</v>
      </c>
    </row>
    <row r="2477" spans="2:9" x14ac:dyDescent="0.2">
      <c r="B2477" s="160">
        <v>54</v>
      </c>
      <c r="C2477" s="305" t="s">
        <v>1310</v>
      </c>
      <c r="D2477" s="82" t="s">
        <v>1390</v>
      </c>
      <c r="E2477" s="72">
        <f>SUMIF(Adat!$AG:$AG,CONCATENATE(61,Info!$D$5,"09651",L2421),Adat!$E:$E)*-1</f>
        <v>0</v>
      </c>
      <c r="F2477" s="72">
        <f>SUMIF(Adat!$AG:$AG,CONCATENATE(60,Info!$D$5,"09651",L2421),Adat!$E:$E)*-1+E2477</f>
        <v>0</v>
      </c>
      <c r="G2477" s="72">
        <f>SUMIF(Adat!$AH:$AH,CONCATENATE(Info!$D$5,"(KÖT)","09651",L2421),Adat!$E:$E)*-1</f>
        <v>0</v>
      </c>
      <c r="H2477" s="72">
        <f>SUMIF(Adat!$AH:$AH,CONCATENATE(Info!$D$5,"(ÖNV)","09651",L2421),Adat!$E:$E)*-1</f>
        <v>0</v>
      </c>
      <c r="I2477" s="72">
        <f>SUMIF(Adat!$AH:$AH,CONCATENATE(Info!$D$5,"(ÁIG)","09651",L2421),Adat!$E:$E)*-1</f>
        <v>0</v>
      </c>
    </row>
    <row r="2478" spans="2:9" x14ac:dyDescent="0.25">
      <c r="B2478" s="160">
        <v>55</v>
      </c>
      <c r="C2478" s="79" t="s">
        <v>38</v>
      </c>
      <c r="D2478" s="85" t="s">
        <v>332</v>
      </c>
      <c r="E2478" s="71">
        <f>SUM(E2479:E2483)</f>
        <v>0</v>
      </c>
      <c r="F2478" s="71">
        <f t="shared" ref="F2478:I2478" si="262">SUM(F2479:F2483)</f>
        <v>0</v>
      </c>
      <c r="G2478" s="71">
        <f t="shared" si="262"/>
        <v>0</v>
      </c>
      <c r="H2478" s="71">
        <f t="shared" si="262"/>
        <v>0</v>
      </c>
      <c r="I2478" s="71">
        <f t="shared" si="262"/>
        <v>0</v>
      </c>
    </row>
    <row r="2479" spans="2:9" x14ac:dyDescent="0.2">
      <c r="B2479" s="160">
        <v>56</v>
      </c>
      <c r="C2479" s="305" t="s">
        <v>1391</v>
      </c>
      <c r="D2479" s="82" t="s">
        <v>1392</v>
      </c>
      <c r="E2479" s="72">
        <f>SUMIF(Adat!$AG:$AG,CONCATENATE(61,Info!$D$5,"09711",L2421),Adat!$E:$E)*-1</f>
        <v>0</v>
      </c>
      <c r="F2479" s="72">
        <f>SUMIF(Adat!$AG:$AG,CONCATENATE(60,Info!$D$5,"09711",L2421),Adat!$E:$E)*-1+E2479</f>
        <v>0</v>
      </c>
      <c r="G2479" s="72">
        <f>SUMIF(Adat!$AH:$AH,CONCATENATE(Info!$D$5,"(KÖT)","09711",L2421),Adat!$E:$E)*-1</f>
        <v>0</v>
      </c>
      <c r="H2479" s="72">
        <f>SUMIF(Adat!$AH:$AH,CONCATENATE(Info!$D$5,"(ÖNV)","09711",L2421),Adat!$E:$E)*-1</f>
        <v>0</v>
      </c>
      <c r="I2479" s="72">
        <f>SUMIF(Adat!$AH:$AH,CONCATENATE(Info!$D$5,"(ÁIG)","09711",L2421),Adat!$E:$E)*-1</f>
        <v>0</v>
      </c>
    </row>
    <row r="2480" spans="2:9" x14ac:dyDescent="0.2">
      <c r="B2480" s="160">
        <v>57</v>
      </c>
      <c r="C2480" s="305" t="s">
        <v>1393</v>
      </c>
      <c r="D2480" s="82" t="s">
        <v>1394</v>
      </c>
      <c r="E2480" s="72">
        <f>SUMIF(Adat!$AG:$AG,CONCATENATE(61,Info!$D$5,"09721",L2421),Adat!$E:$E)*-1</f>
        <v>0</v>
      </c>
      <c r="F2480" s="72">
        <f>SUMIF(Adat!$AG:$AG,CONCATENATE(60,Info!$D$5,"09721",L2421),Adat!$E:$E)*-1+E2480</f>
        <v>0</v>
      </c>
      <c r="G2480" s="72">
        <f>SUMIF(Adat!$AH:$AH,CONCATENATE(Info!$D$5,"(KÖT)","09721",L2421),Adat!$E:$E)*-1</f>
        <v>0</v>
      </c>
      <c r="H2480" s="72">
        <f>SUMIF(Adat!$AH:$AH,CONCATENATE(Info!$D$5,"(ÖNV)","09721",L2421),Adat!$E:$E)*-1</f>
        <v>0</v>
      </c>
      <c r="I2480" s="72">
        <f>SUMIF(Adat!$AH:$AH,CONCATENATE(Info!$D$5,"(ÁIG)","09721",L2421),Adat!$E:$E)*-1</f>
        <v>0</v>
      </c>
    </row>
    <row r="2481" spans="2:9" x14ac:dyDescent="0.2">
      <c r="B2481" s="160">
        <v>58</v>
      </c>
      <c r="C2481" s="305" t="s">
        <v>1395</v>
      </c>
      <c r="D2481" s="82" t="s">
        <v>1396</v>
      </c>
      <c r="E2481" s="72">
        <f>SUMIF(Adat!$AG:$AG,CONCATENATE(61,Info!$D$5,"09731",L2421),Adat!$E:$E)*-1</f>
        <v>0</v>
      </c>
      <c r="F2481" s="72">
        <f>SUMIF(Adat!$AG:$AG,CONCATENATE(60,Info!$D$5,"09731",L2421),Adat!$E:$E)*-1+E2481</f>
        <v>0</v>
      </c>
      <c r="G2481" s="72">
        <f>SUMIF(Adat!$AH:$AH,CONCATENATE(Info!$D$5,"(KÖT)","09731",L2421),Adat!$E:$E)*-1</f>
        <v>0</v>
      </c>
      <c r="H2481" s="72">
        <f>SUMIF(Adat!$AH:$AH,CONCATENATE(Info!$D$5,"(ÖNV)","09731",L2421),Adat!$E:$E)*-1</f>
        <v>0</v>
      </c>
      <c r="I2481" s="72">
        <f>SUMIF(Adat!$AH:$AH,CONCATENATE(Info!$D$5,"(ÁIG)","09731",L2421),Adat!$E:$E)*-1</f>
        <v>0</v>
      </c>
    </row>
    <row r="2482" spans="2:9" x14ac:dyDescent="0.2">
      <c r="B2482" s="160">
        <v>59</v>
      </c>
      <c r="C2482" s="305" t="s">
        <v>1397</v>
      </c>
      <c r="D2482" s="82" t="s">
        <v>1398</v>
      </c>
      <c r="E2482" s="72">
        <f>SUMIF(Adat!$AG:$AG,CONCATENATE(61,Info!$D$5,"09741",L2421),Adat!$E:$E)*-1</f>
        <v>0</v>
      </c>
      <c r="F2482" s="72">
        <f>SUMIF(Adat!$AG:$AG,CONCATENATE(60,Info!$D$5,"09741",L2421),Adat!$E:$E)*-1+E2482</f>
        <v>0</v>
      </c>
      <c r="G2482" s="72">
        <f>SUMIF(Adat!$AH:$AH,CONCATENATE(Info!$D$5,"(KÖT)","09741",L2421),Adat!$E:$E)*-1</f>
        <v>0</v>
      </c>
      <c r="H2482" s="72">
        <f>SUMIF(Adat!$AH:$AH,CONCATENATE(Info!$D$5,"(ÖNV)","09741",L2421),Adat!$E:$E)*-1</f>
        <v>0</v>
      </c>
      <c r="I2482" s="72">
        <f>SUMIF(Adat!$AH:$AH,CONCATENATE(Info!$D$5,"(ÁIG)","09741",L2421),Adat!$E:$E)*-1</f>
        <v>0</v>
      </c>
    </row>
    <row r="2483" spans="2:9" x14ac:dyDescent="0.25">
      <c r="B2483" s="160">
        <v>60</v>
      </c>
      <c r="C2483" s="305" t="s">
        <v>1399</v>
      </c>
      <c r="D2483" s="84" t="s">
        <v>1400</v>
      </c>
      <c r="E2483" s="72">
        <f>SUMIF(Adat!$AG:$AG,CONCATENATE(61,Info!$D$5,"09751",L2421),Adat!$E:$E)*-1</f>
        <v>0</v>
      </c>
      <c r="F2483" s="72">
        <f>SUMIF(Adat!$AG:$AG,CONCATENATE(60,Info!$D$5,"09751",L2421),Adat!$E:$E)*-1+E2483</f>
        <v>0</v>
      </c>
      <c r="G2483" s="72">
        <f>SUMIF(Adat!$AH:$AH,CONCATENATE(Info!$D$5,"(KÖT)","09751",L2421),Adat!$E:$E)*-1</f>
        <v>0</v>
      </c>
      <c r="H2483" s="72">
        <f>SUMIF(Adat!$AH:$AH,CONCATENATE(Info!$D$5,"(ÖNV)","09751",L2421),Adat!$E:$E)*-1</f>
        <v>0</v>
      </c>
      <c r="I2483" s="72">
        <f>SUMIF(Adat!$AH:$AH,CONCATENATE(Info!$D$5,"(ÁIG)","09751",L2421),Adat!$E:$E)*-1</f>
        <v>0</v>
      </c>
    </row>
    <row r="2484" spans="2:9" x14ac:dyDescent="0.25">
      <c r="B2484" s="160">
        <v>61</v>
      </c>
      <c r="C2484" s="78" t="s">
        <v>352</v>
      </c>
      <c r="D2484" s="86" t="s">
        <v>1401</v>
      </c>
      <c r="E2484" s="71">
        <f>+E2425+E2433+E2439+E2445+E2452+E2466+E2472+E2478</f>
        <v>0</v>
      </c>
      <c r="F2484" s="71">
        <f>+F2425+F2433+F2439+F2445+F2452+F2466+F2472+F2478</f>
        <v>0</v>
      </c>
      <c r="G2484" s="71">
        <f>+G2425+G2433+G2439+G2445+G2452+G2466+G2472+G2478</f>
        <v>0</v>
      </c>
      <c r="H2484" s="71">
        <f>+H2425+H2433+H2439+H2445+H2452+H2466+H2472+H2478</f>
        <v>0</v>
      </c>
      <c r="I2484" s="71">
        <f>+I2425+I2433+I2439+I2445+I2452+I2466+I2472+I2478</f>
        <v>0</v>
      </c>
    </row>
    <row r="2485" spans="2:9" x14ac:dyDescent="0.25">
      <c r="B2485" s="160">
        <v>62</v>
      </c>
      <c r="C2485" s="154" t="s">
        <v>1402</v>
      </c>
      <c r="D2485" s="85" t="s">
        <v>1403</v>
      </c>
      <c r="E2485" s="71">
        <f t="shared" ref="E2485:G2485" si="263">SUM(E2486:E2488)</f>
        <v>0</v>
      </c>
      <c r="F2485" s="71">
        <f t="shared" si="263"/>
        <v>0</v>
      </c>
      <c r="G2485" s="71">
        <f t="shared" si="263"/>
        <v>0</v>
      </c>
      <c r="H2485" s="71">
        <f>SUM(H2486:H2488)</f>
        <v>0</v>
      </c>
      <c r="I2485" s="71">
        <f>SUM(I2486:I2488)</f>
        <v>0</v>
      </c>
    </row>
    <row r="2486" spans="2:9" x14ac:dyDescent="0.2">
      <c r="B2486" s="160">
        <v>63</v>
      </c>
      <c r="C2486" s="305" t="s">
        <v>1404</v>
      </c>
      <c r="D2486" s="82" t="s">
        <v>1405</v>
      </c>
      <c r="E2486" s="72">
        <f>SUMIF(Adat!$AG:$AG,CONCATENATE(61,Info!$D$5,"0981111",L2421),Adat!$E:$E)*-1</f>
        <v>0</v>
      </c>
      <c r="F2486" s="72">
        <f>SUMIF(Adat!$AG:$AG,CONCATENATE(60,Info!$D$5,"0981111",L2421),Adat!$E:$E)*-1+E2486</f>
        <v>0</v>
      </c>
      <c r="G2486" s="72">
        <f>SUMIF(Adat!$AH:$AH,CONCATENATE(Info!$D$5,"(KÖT)","0981111",L2421),Adat!$E:$E)*-1</f>
        <v>0</v>
      </c>
      <c r="H2486" s="72">
        <f>SUMIF(Adat!$AH:$AH,CONCATENATE(Info!$D$5,"(ÖNV)","0981111",L2421),Adat!$E:$E)*-1</f>
        <v>0</v>
      </c>
      <c r="I2486" s="72">
        <f>SUMIF(Adat!$AH:$AH,CONCATENATE(Info!$D$5,"(ÁIG)","0981111",L2421),Adat!$E:$E)*-1</f>
        <v>0</v>
      </c>
    </row>
    <row r="2487" spans="2:9" x14ac:dyDescent="0.2">
      <c r="B2487" s="160">
        <v>64</v>
      </c>
      <c r="C2487" s="305" t="s">
        <v>1406</v>
      </c>
      <c r="D2487" s="82" t="s">
        <v>1407</v>
      </c>
      <c r="E2487" s="72">
        <f>SUMIF(Adat!$AG:$AG,CONCATENATE(61,Info!$D$5,"0981121",L2421),Adat!$E:$E)*-1</f>
        <v>0</v>
      </c>
      <c r="F2487" s="72">
        <f>SUMIF(Adat!$AG:$AG,CONCATENATE(60,Info!$D$5,"0981121",L2421),Adat!$E:$E)*-1+E2487</f>
        <v>0</v>
      </c>
      <c r="G2487" s="72">
        <f>SUMIF(Adat!$AH:$AH,CONCATENATE(Info!$D$5,"(KÖT)","0981121",L2421),Adat!$E:$E)*-1</f>
        <v>0</v>
      </c>
      <c r="H2487" s="72">
        <f>SUMIF(Adat!$AH:$AH,CONCATENATE(Info!$D$5,"(ÖNV)","0981121",L2421),Adat!$E:$E)*-1</f>
        <v>0</v>
      </c>
      <c r="I2487" s="72">
        <f>SUMIF(Adat!$AH:$AH,CONCATENATE(Info!$D$5,"(ÁIG)","0981121",L2421),Adat!$E:$E)*-1</f>
        <v>0</v>
      </c>
    </row>
    <row r="2488" spans="2:9" x14ac:dyDescent="0.2">
      <c r="B2488" s="160">
        <v>65</v>
      </c>
      <c r="C2488" s="305" t="s">
        <v>1408</v>
      </c>
      <c r="D2488" s="82" t="s">
        <v>1409</v>
      </c>
      <c r="E2488" s="72">
        <f>SUMIF(Adat!$AG:$AG,CONCATENATE(61,Info!$D$5,"0981131",L2421),Adat!$E:$E)*-1</f>
        <v>0</v>
      </c>
      <c r="F2488" s="72">
        <f>SUMIF(Adat!$AG:$AG,CONCATENATE(60,Info!$D$5,"0981131",L2421),Adat!$E:$E)*-1+E2488</f>
        <v>0</v>
      </c>
      <c r="G2488" s="72">
        <f>SUMIF(Adat!$AH:$AH,CONCATENATE(Info!$D$5,"(KÖT)","0981131",L2421),Adat!$E:$E)*-1</f>
        <v>0</v>
      </c>
      <c r="H2488" s="72">
        <f>SUMIF(Adat!$AH:$AH,CONCATENATE(Info!$D$5,"(ÖNV)","0981131",L2421),Adat!$E:$E)*-1</f>
        <v>0</v>
      </c>
      <c r="I2488" s="72">
        <f>SUMIF(Adat!$AH:$AH,CONCATENATE(Info!$D$5,"(ÁIG)","0981131",L2421),Adat!$E:$E)*-1</f>
        <v>0</v>
      </c>
    </row>
    <row r="2489" spans="2:9" x14ac:dyDescent="0.25">
      <c r="B2489" s="160">
        <v>66</v>
      </c>
      <c r="C2489" s="154" t="s">
        <v>1410</v>
      </c>
      <c r="D2489" s="85" t="s">
        <v>574</v>
      </c>
      <c r="E2489" s="71">
        <f>SUM(E2490:E2493)</f>
        <v>0</v>
      </c>
      <c r="F2489" s="71">
        <f t="shared" ref="F2489" si="264">SUM(F2490:F2493)</f>
        <v>0</v>
      </c>
      <c r="G2489" s="71">
        <f>SUM(G2490:G2493)</f>
        <v>0</v>
      </c>
      <c r="H2489" s="71">
        <f>SUM(H2490:H2493)</f>
        <v>0</v>
      </c>
      <c r="I2489" s="71">
        <f>SUM(I2490:I2493)</f>
        <v>0</v>
      </c>
    </row>
    <row r="2490" spans="2:9" x14ac:dyDescent="0.2">
      <c r="B2490" s="160">
        <v>67</v>
      </c>
      <c r="C2490" s="305" t="s">
        <v>1411</v>
      </c>
      <c r="D2490" s="82" t="s">
        <v>1412</v>
      </c>
      <c r="E2490" s="72">
        <f>SUMIF(Adat!$AG:$AG,CONCATENATE(61,Info!$D$5,"0981211",L2421),Adat!$E:$E)*-1</f>
        <v>0</v>
      </c>
      <c r="F2490" s="72">
        <f>SUMIF(Adat!$AG:$AG,CONCATENATE(60,Info!$D$5,"0981211",L2421),Adat!$E:$E)*-1+E2490</f>
        <v>0</v>
      </c>
      <c r="G2490" s="72">
        <f>SUMIF(Adat!$AH:$AH,CONCATENATE(Info!$D$5,"(KÖT)","0981211",L2421),Adat!$E:$E)*-1</f>
        <v>0</v>
      </c>
      <c r="H2490" s="72">
        <f>SUMIF(Adat!$AH:$AH,CONCATENATE(Info!$D$5,"(ÖNV)","0981211",L2421),Adat!$E:$E)*-1</f>
        <v>0</v>
      </c>
      <c r="I2490" s="72">
        <f>SUMIF(Adat!$AH:$AH,CONCATENATE(Info!$D$5,"(ÁIG)","0981211",L2421),Adat!$E:$E)*-1</f>
        <v>0</v>
      </c>
    </row>
    <row r="2491" spans="2:9" x14ac:dyDescent="0.2">
      <c r="B2491" s="160">
        <v>68</v>
      </c>
      <c r="C2491" s="305" t="s">
        <v>1413</v>
      </c>
      <c r="D2491" s="82" t="s">
        <v>1414</v>
      </c>
      <c r="E2491" s="72">
        <f>SUMIF(Adat!$AG:$AG,CONCATENATE(61,Info!$D$5,"0981221",L2421),Adat!$E:$E)*-1</f>
        <v>0</v>
      </c>
      <c r="F2491" s="72">
        <f>SUMIF(Adat!$AG:$AG,CONCATENATE(60,Info!$D$5,"0981221",L2421),Adat!$E:$E)*-1+E2491</f>
        <v>0</v>
      </c>
      <c r="G2491" s="72">
        <f>SUMIF(Adat!$AH:$AH,CONCATENATE(Info!$D$5,"(KÖT)","0981221",L2421),Adat!$E:$E)*-1</f>
        <v>0</v>
      </c>
      <c r="H2491" s="72">
        <f>SUMIF(Adat!$AH:$AH,CONCATENATE(Info!$D$5,"(ÖNV)","0981221",L2421),Adat!$E:$E)*-1</f>
        <v>0</v>
      </c>
      <c r="I2491" s="72">
        <f>SUMIF(Adat!$AH:$AH,CONCATENATE(Info!$D$5,"(ÁIG)","0981221",L2421),Adat!$E:$E)*-1</f>
        <v>0</v>
      </c>
    </row>
    <row r="2492" spans="2:9" x14ac:dyDescent="0.2">
      <c r="B2492" s="160">
        <v>69</v>
      </c>
      <c r="C2492" s="305" t="s">
        <v>1313</v>
      </c>
      <c r="D2492" s="82" t="s">
        <v>1415</v>
      </c>
      <c r="E2492" s="72">
        <f>SUMIF(Adat!$AG:$AG,CONCATENATE(61,Info!$D$5,"0981231",L2421),Adat!$E:$E)*-1</f>
        <v>0</v>
      </c>
      <c r="F2492" s="72">
        <f>SUMIF(Adat!$AG:$AG,CONCATENATE(60,Info!$D$5,"0981231",L2421),Adat!$E:$E)*-1+E2492</f>
        <v>0</v>
      </c>
      <c r="G2492" s="72">
        <f>SUMIF(Adat!$AH:$AH,CONCATENATE(Info!$D$5,"(KÖT)","0981231",L2421),Adat!$E:$E)*-1</f>
        <v>0</v>
      </c>
      <c r="H2492" s="72">
        <f>SUMIF(Adat!$AH:$AH,CONCATENATE(Info!$D$5,"(ÖNV)","0981231",L2421),Adat!$E:$E)*-1</f>
        <v>0</v>
      </c>
      <c r="I2492" s="72">
        <f>SUMIF(Adat!$AH:$AH,CONCATENATE(Info!$D$5,"(ÁIG)","0981231",L2421),Adat!$E:$E)*-1</f>
        <v>0</v>
      </c>
    </row>
    <row r="2493" spans="2:9" x14ac:dyDescent="0.25">
      <c r="B2493" s="160">
        <v>70</v>
      </c>
      <c r="C2493" s="305" t="s">
        <v>1416</v>
      </c>
      <c r="D2493" s="84" t="s">
        <v>1417</v>
      </c>
      <c r="E2493" s="72">
        <f>SUMIF(Adat!$AG:$AG,CONCATENATE(61,Info!$D$5,"0981241",L2421),Adat!$E:$E)*-1</f>
        <v>0</v>
      </c>
      <c r="F2493" s="72">
        <f>SUMIF(Adat!$AG:$AG,CONCATENATE(60,Info!$D$5,"0981241",L2421),Adat!$E:$E)*-1+E2493</f>
        <v>0</v>
      </c>
      <c r="G2493" s="72">
        <f>SUMIF(Adat!$AH:$AH,CONCATENATE(Info!$D$5,"(KÖT)","0981241",L2421),Adat!$E:$E)*-1</f>
        <v>0</v>
      </c>
      <c r="H2493" s="72">
        <f>SUMIF(Adat!$AH:$AH,CONCATENATE(Info!$D$5,"(ÖNV)","0981241",L2421),Adat!$E:$E)*-1</f>
        <v>0</v>
      </c>
      <c r="I2493" s="72">
        <f>SUMIF(Adat!$AH:$AH,CONCATENATE(Info!$D$5,"(ÁIG)","0981241",L2421),Adat!$E:$E)*-1</f>
        <v>0</v>
      </c>
    </row>
    <row r="2494" spans="2:9" x14ac:dyDescent="0.25">
      <c r="B2494" s="160">
        <v>71</v>
      </c>
      <c r="C2494" s="154" t="s">
        <v>1418</v>
      </c>
      <c r="D2494" s="85" t="s">
        <v>575</v>
      </c>
      <c r="E2494" s="71">
        <f>SUM(E2495:E2496)</f>
        <v>0</v>
      </c>
      <c r="F2494" s="71">
        <f t="shared" ref="F2494" si="265">SUM(F2495:F2496)</f>
        <v>0</v>
      </c>
      <c r="G2494" s="71">
        <f>SUM(G2495:G2496)</f>
        <v>0</v>
      </c>
      <c r="H2494" s="71">
        <f>SUM(H2495:H2496)</f>
        <v>0</v>
      </c>
      <c r="I2494" s="71">
        <f>SUM(I2495:I2496)</f>
        <v>0</v>
      </c>
    </row>
    <row r="2495" spans="2:9" x14ac:dyDescent="0.2">
      <c r="B2495" s="160">
        <v>72</v>
      </c>
      <c r="C2495" s="305" t="s">
        <v>1274</v>
      </c>
      <c r="D2495" s="82" t="s">
        <v>1419</v>
      </c>
      <c r="E2495" s="72">
        <f>SUMIF(Adat!$AG:$AG,CONCATENATE(61,Info!$D$5,"0981311",L2421),Adat!$E:$E)*-1</f>
        <v>0</v>
      </c>
      <c r="F2495" s="72">
        <f>SUMIF(Adat!$AG:$AG,CONCATENATE(60,Info!$D$5,"0981311",L2421),Adat!$E:$E)*-1+E2495</f>
        <v>0</v>
      </c>
      <c r="G2495" s="72">
        <f>SUMIF(Adat!$AH:$AH,CONCATENATE(Info!$D$5,"(KÖT)","0981311",L2421),Adat!$E:$E)*-1</f>
        <v>0</v>
      </c>
      <c r="H2495" s="72">
        <f>SUMIF(Adat!$AH:$AH,CONCATENATE(Info!$D$5,"(ÖNV)","0981311",L2421),Adat!$E:$E)*-1</f>
        <v>0</v>
      </c>
      <c r="I2495" s="72">
        <f>SUMIF(Adat!$AH:$AH,CONCATENATE(Info!$D$5,"(ÁIG)","0981311",L2421),Adat!$E:$E)*-1</f>
        <v>0</v>
      </c>
    </row>
    <row r="2496" spans="2:9" x14ac:dyDescent="0.25">
      <c r="B2496" s="160">
        <v>73</v>
      </c>
      <c r="C2496" s="305" t="s">
        <v>1420</v>
      </c>
      <c r="D2496" s="84" t="s">
        <v>1421</v>
      </c>
      <c r="E2496" s="72">
        <f>SUMIF(Adat!$AG:$AG,CONCATENATE(61,Info!$D$5,"0981321",L2421),Adat!$E:$E)*-1</f>
        <v>0</v>
      </c>
      <c r="F2496" s="72">
        <f>SUMIF(Adat!$AG:$AG,CONCATENATE(60,Info!$D$5,"0981321",L2421),Adat!$E:$E)*-1+E2496</f>
        <v>0</v>
      </c>
      <c r="G2496" s="72">
        <f>SUMIF(Adat!$AH:$AH,CONCATENATE(Info!$D$5,"(KÖT)","0981321",L2421),Adat!$E:$E)*-1</f>
        <v>0</v>
      </c>
      <c r="H2496" s="72">
        <f>SUMIF(Adat!$AH:$AH,CONCATENATE(Info!$D$5,"(ÖNV)","0981321",L2421),Adat!$E:$E)*-1</f>
        <v>0</v>
      </c>
      <c r="I2496" s="72">
        <f>SUMIF(Adat!$AH:$AH,CONCATENATE(Info!$D$5,"(ÁIG)","0981321",L2421),Adat!$E:$E)*-1</f>
        <v>0</v>
      </c>
    </row>
    <row r="2497" spans="2:12" s="42" customFormat="1" x14ac:dyDescent="0.25">
      <c r="B2497" s="160">
        <v>74</v>
      </c>
      <c r="C2497" s="154" t="s">
        <v>1496</v>
      </c>
      <c r="D2497" s="85" t="s">
        <v>576</v>
      </c>
      <c r="E2497" s="71">
        <f>SUM(E2498:E2500)</f>
        <v>0</v>
      </c>
      <c r="F2497" s="71">
        <f t="shared" ref="F2497" si="266">SUM(F2498:F2500)</f>
        <v>0</v>
      </c>
      <c r="G2497" s="71">
        <f>SUM(G2498:G2500)</f>
        <v>0</v>
      </c>
      <c r="H2497" s="71">
        <f>SUM(H2498:H2500)</f>
        <v>0</v>
      </c>
      <c r="I2497" s="71">
        <f>SUM(I2498:I2500)</f>
        <v>0</v>
      </c>
    </row>
    <row r="2498" spans="2:12" x14ac:dyDescent="0.2">
      <c r="B2498" s="160">
        <v>75</v>
      </c>
      <c r="C2498" s="305" t="s">
        <v>1301</v>
      </c>
      <c r="D2498" s="82" t="s">
        <v>1422</v>
      </c>
      <c r="E2498" s="72">
        <f>SUMIF(Adat!$AG:$AG,CONCATENATE(61,Info!$D$5,"098141",L2421),Adat!$E:$E)*-1</f>
        <v>0</v>
      </c>
      <c r="F2498" s="72">
        <f>SUMIF(Adat!$AG:$AG,CONCATENATE(60,Info!$D$5,"098141",L2421),Adat!$E:$E)*-1+E2498</f>
        <v>0</v>
      </c>
      <c r="G2498" s="72">
        <f>SUMIF(Adat!$AH:$AH,CONCATENATE(Info!$D$5,"(KÖT)","098141",L2421),Adat!$E:$E)*-1</f>
        <v>0</v>
      </c>
      <c r="H2498" s="72">
        <f>SUMIF(Adat!$AH:$AH,CONCATENATE(Info!$D$5,"(ÖNV)","098141",L2421),Adat!$E:$E)*-1</f>
        <v>0</v>
      </c>
      <c r="I2498" s="72">
        <f>SUMIF(Adat!$AH:$AH,CONCATENATE(Info!$D$5,"(ÁIG)","098141",L2421),Adat!$E:$E)*-1</f>
        <v>0</v>
      </c>
    </row>
    <row r="2499" spans="2:12" x14ac:dyDescent="0.2">
      <c r="B2499" s="160">
        <v>76</v>
      </c>
      <c r="C2499" s="305" t="s">
        <v>1423</v>
      </c>
      <c r="D2499" s="82" t="s">
        <v>1424</v>
      </c>
      <c r="E2499" s="72">
        <f>SUMIF(Adat!$AG:$AG,CONCATENATE(61,Info!$D$5,"098151",L2421),Adat!$E:$E)*-1</f>
        <v>0</v>
      </c>
      <c r="F2499" s="72">
        <f>SUMIF(Adat!$AG:$AG,CONCATENATE(60,Info!$D$5,"098151",L2421),Adat!$E:$E)*-1+E2499</f>
        <v>0</v>
      </c>
      <c r="G2499" s="72">
        <f>SUMIF(Adat!$AH:$AH,CONCATENATE(Info!$D$5,"(KÖT)","098151",L2421),Adat!$E:$E)*-1</f>
        <v>0</v>
      </c>
      <c r="H2499" s="72">
        <f>SUMIF(Adat!$AH:$AH,CONCATENATE(Info!$D$5,"(ÖNV)","098151",L2421),Adat!$E:$E)*-1</f>
        <v>0</v>
      </c>
      <c r="I2499" s="72">
        <f>SUMIF(Adat!$AH:$AH,CONCATENATE(Info!$D$5,"(ÁIG)","098151",L2421),Adat!$E:$E)*-1</f>
        <v>0</v>
      </c>
    </row>
    <row r="2500" spans="2:12" x14ac:dyDescent="0.25">
      <c r="B2500" s="160">
        <v>77</v>
      </c>
      <c r="C2500" s="305" t="s">
        <v>1425</v>
      </c>
      <c r="D2500" s="84" t="s">
        <v>1426</v>
      </c>
      <c r="E2500" s="72">
        <f>SUMIF(Adat!$AG:$AG,CONCATENATE(61,Info!$D$5,"098171",L2421),Adat!$E:$E)*-1</f>
        <v>0</v>
      </c>
      <c r="F2500" s="72">
        <f>SUMIF(Adat!$AG:$AG,CONCATENATE(60,Info!$D$5,"098171",L2421),Adat!$E:$E)*-1+E2500</f>
        <v>0</v>
      </c>
      <c r="G2500" s="72">
        <f>SUMIF(Adat!$AH:$AH,CONCATENATE(Info!$D$5,"(KÖT)","098171",L2421),Adat!$E:$E)*-1</f>
        <v>0</v>
      </c>
      <c r="H2500" s="72">
        <f>SUMIF(Adat!$AH:$AH,CONCATENATE(Info!$D$5,"(ÖNV)","098171",L2421),Adat!$E:$E)*-1</f>
        <v>0</v>
      </c>
      <c r="I2500" s="72">
        <f>SUMIF(Adat!$AH:$AH,CONCATENATE(Info!$D$5,"(ÁIG)","098171",L2421),Adat!$E:$E)*-1</f>
        <v>0</v>
      </c>
    </row>
    <row r="2501" spans="2:12" x14ac:dyDescent="0.25">
      <c r="B2501" s="160">
        <v>78</v>
      </c>
      <c r="C2501" s="154" t="s">
        <v>1427</v>
      </c>
      <c r="D2501" s="85" t="s">
        <v>577</v>
      </c>
      <c r="E2501" s="71">
        <f>SUM(E2502:E2506)</f>
        <v>0</v>
      </c>
      <c r="F2501" s="71">
        <f t="shared" ref="F2501" si="267">SUM(F2502:F2506)</f>
        <v>0</v>
      </c>
      <c r="G2501" s="71">
        <f>SUM(G2502:G2506)</f>
        <v>0</v>
      </c>
      <c r="H2501" s="71">
        <f>SUM(H2502:H2506)</f>
        <v>0</v>
      </c>
      <c r="I2501" s="71">
        <f>SUM(I2502:I2506)</f>
        <v>0</v>
      </c>
    </row>
    <row r="2502" spans="2:12" x14ac:dyDescent="0.2">
      <c r="B2502" s="160">
        <v>79</v>
      </c>
      <c r="C2502" s="89" t="s">
        <v>1428</v>
      </c>
      <c r="D2502" s="82" t="s">
        <v>1429</v>
      </c>
      <c r="E2502" s="72">
        <f>SUMIF(Adat!$AG:$AG,CONCATENATE(61,Info!$D$5,"098211",L2421),Adat!$E:$E)*-1</f>
        <v>0</v>
      </c>
      <c r="F2502" s="72">
        <f>SUMIF(Adat!$AG:$AG,CONCATENATE(60,Info!$D$5,"098211",L2421),Adat!$E:$E)*-1+E2502</f>
        <v>0</v>
      </c>
      <c r="G2502" s="72">
        <f>SUMIF(Adat!$AH:$AH,CONCATENATE(Info!$D$5,"(KÖT)","098211",L2421),Adat!$E:$E)*-1</f>
        <v>0</v>
      </c>
      <c r="H2502" s="72">
        <f>SUMIF(Adat!$AH:$AH,CONCATENATE(Info!$D$5,"(ÖNV)","098211",L2421),Adat!$E:$E)*-1</f>
        <v>0</v>
      </c>
      <c r="I2502" s="72">
        <f>SUMIF(Adat!$AH:$AH,CONCATENATE(Info!$D$5,"(ÁIG)","098211",L2421),Adat!$E:$E)*-1</f>
        <v>0</v>
      </c>
    </row>
    <row r="2503" spans="2:12" x14ac:dyDescent="0.2">
      <c r="B2503" s="160">
        <v>80</v>
      </c>
      <c r="C2503" s="89" t="s">
        <v>1430</v>
      </c>
      <c r="D2503" s="82" t="s">
        <v>1431</v>
      </c>
      <c r="E2503" s="72">
        <f>SUMIF(Adat!$AG:$AG,CONCATENATE(61,Info!$D$5,"098221",L2421),Adat!$E:$E)*-1</f>
        <v>0</v>
      </c>
      <c r="F2503" s="72">
        <f>SUMIF(Adat!$AG:$AG,CONCATENATE(60,Info!$D$5,"098221",L2421),Adat!$E:$E)*-1+E2503</f>
        <v>0</v>
      </c>
      <c r="G2503" s="72">
        <f>SUMIF(Adat!$AH:$AH,CONCATENATE(Info!$D$5,"(KÖT)","098221",L2421),Adat!$E:$E)*-1</f>
        <v>0</v>
      </c>
      <c r="H2503" s="72">
        <f>SUMIF(Adat!$AH:$AH,CONCATENATE(Info!$D$5,"(ÖNV)","098221",L2421),Adat!$E:$E)*-1</f>
        <v>0</v>
      </c>
      <c r="I2503" s="72">
        <f>SUMIF(Adat!$AH:$AH,CONCATENATE(Info!$D$5,"(ÁIG)","098221",L2421),Adat!$E:$E)*-1</f>
        <v>0</v>
      </c>
    </row>
    <row r="2504" spans="2:12" x14ac:dyDescent="0.2">
      <c r="B2504" s="160">
        <v>81</v>
      </c>
      <c r="C2504" s="89" t="s">
        <v>1432</v>
      </c>
      <c r="D2504" s="82" t="s">
        <v>1433</v>
      </c>
      <c r="E2504" s="72">
        <f>SUMIF(Adat!$AG:$AG,CONCATENATE(61,Info!$D$5,"098231",L2421),Adat!$E:$E)*-1</f>
        <v>0</v>
      </c>
      <c r="F2504" s="72">
        <f>SUMIF(Adat!$AG:$AG,CONCATENATE(60,Info!$D$5,"098231",L2421),Adat!$E:$E)*-1+E2504</f>
        <v>0</v>
      </c>
      <c r="G2504" s="72">
        <f>SUMIF(Adat!$AH:$AH,CONCATENATE(Info!$D$5,"(KÖT)","098231",L2421),Adat!$E:$E)*-1</f>
        <v>0</v>
      </c>
      <c r="H2504" s="72">
        <f>SUMIF(Adat!$AH:$AH,CONCATENATE(Info!$D$5,"(ÖNV)","098231",L2421),Adat!$E:$E)*-1</f>
        <v>0</v>
      </c>
      <c r="I2504" s="72">
        <f>SUMIF(Adat!$AH:$AH,CONCATENATE(Info!$D$5,"(ÁIG)","098231",L2421),Adat!$E:$E)*-1</f>
        <v>0</v>
      </c>
    </row>
    <row r="2505" spans="2:12" x14ac:dyDescent="0.2">
      <c r="B2505" s="160">
        <v>82</v>
      </c>
      <c r="C2505" s="89" t="s">
        <v>1434</v>
      </c>
      <c r="D2505" s="82" t="s">
        <v>1435</v>
      </c>
      <c r="E2505" s="72">
        <f>SUMIF(Adat!$AG:$AG,CONCATENATE(61,Info!$D$5,"098241",L2421),Adat!$E:$E)*-1</f>
        <v>0</v>
      </c>
      <c r="F2505" s="72">
        <f>SUMIF(Adat!$AG:$AG,CONCATENATE(60,Info!$D$5,"098241",L2421),Adat!$E:$E)*-1+E2505</f>
        <v>0</v>
      </c>
      <c r="G2505" s="72">
        <f>SUMIF(Adat!$AH:$AH,CONCATENATE(Info!$D$5,"(KÖT)","098241",L2421),Adat!$E:$E)*-1</f>
        <v>0</v>
      </c>
      <c r="H2505" s="72">
        <f>SUMIF(Adat!$AH:$AH,CONCATENATE(Info!$D$5,"(ÖNV)","098241",L2421),Adat!$E:$E)*-1</f>
        <v>0</v>
      </c>
      <c r="I2505" s="72">
        <f>SUMIF(Adat!$AH:$AH,CONCATENATE(Info!$D$5,"(ÁIG)","098241",L2421),Adat!$E:$E)*-1</f>
        <v>0</v>
      </c>
    </row>
    <row r="2506" spans="2:12" s="42" customFormat="1" x14ac:dyDescent="0.2">
      <c r="B2506" s="160">
        <v>83</v>
      </c>
      <c r="C2506" s="89" t="s">
        <v>1436</v>
      </c>
      <c r="D2506" s="84" t="s">
        <v>1437</v>
      </c>
      <c r="E2506" s="72">
        <f>SUMIF(Adat!$AG:$AG,CONCATENATE(61,Info!$D$5,"098251",L2421),Adat!$E:$E)*-1</f>
        <v>0</v>
      </c>
      <c r="F2506" s="72">
        <f>SUMIF(Adat!$AG:$AG,CONCATENATE(60,Info!$D$5,"098251",L2421),Adat!$E:$E)*-1+E2506</f>
        <v>0</v>
      </c>
      <c r="G2506" s="72">
        <f>SUMIF(Adat!$AH:$AH,CONCATENATE(Info!$D$5,"(KÖT)","098251",L2421),Adat!$E:$E)*-1</f>
        <v>0</v>
      </c>
      <c r="H2506" s="72">
        <f>SUMIF(Adat!$AH:$AH,CONCATENATE(Info!$D$5,"(ÖNV)","098251",L2421),Adat!$E:$E)*-1</f>
        <v>0</v>
      </c>
      <c r="I2506" s="72">
        <f>SUMIF(Adat!$AH:$AH,CONCATENATE(Info!$D$5,"(ÁIG)","098251",L2421),Adat!$E:$E)*-1</f>
        <v>0</v>
      </c>
    </row>
    <row r="2507" spans="2:12" s="42" customFormat="1" x14ac:dyDescent="0.2">
      <c r="B2507" s="160">
        <v>84</v>
      </c>
      <c r="C2507" s="309" t="s">
        <v>1438</v>
      </c>
      <c r="D2507" s="85" t="s">
        <v>1439</v>
      </c>
      <c r="E2507" s="71">
        <f>SUMIF(Adat!$AG:$AG,CONCATENATE(61,Info!$D$5,"09831",L2421),Adat!$E:$E)*-1</f>
        <v>0</v>
      </c>
      <c r="F2507" s="71">
        <f>SUMIF(Adat!$AG:$AG,CONCATENATE(60,Info!$D$5,"09831",L2421),Adat!$E:$E)*-1+E2507</f>
        <v>0</v>
      </c>
      <c r="G2507" s="71">
        <f>SUMIF(Adat!$AH:$AH,CONCATENATE(Info!$D$5,"(KÖT)","09831",L2421),Adat!$E:$E)*-1</f>
        <v>0</v>
      </c>
      <c r="H2507" s="71">
        <f>SUMIF(Adat!$AH:$AH,CONCATENATE(Info!$D$5,"(ÖNV)","09831",L2421),Adat!$E:$E)*-1</f>
        <v>0</v>
      </c>
      <c r="I2507" s="71">
        <f>SUMIF(Adat!$AH:$AH,CONCATENATE(Info!$D$5,"(ÁIG)","09831",L2421),Adat!$E:$E)*-1</f>
        <v>0</v>
      </c>
    </row>
    <row r="2508" spans="2:12" s="42" customFormat="1" x14ac:dyDescent="0.25">
      <c r="B2508" s="160">
        <v>85</v>
      </c>
      <c r="C2508" s="154" t="s">
        <v>1440</v>
      </c>
      <c r="D2508" s="85" t="s">
        <v>1441</v>
      </c>
      <c r="E2508" s="71">
        <f>SUMIF(Adat!$AG:$AG,CONCATENATE(61,Info!$D$5,"09841",L2421),Adat!$E:$E)*-1</f>
        <v>0</v>
      </c>
      <c r="F2508" s="71">
        <f>SUMIF(Adat!$AG:$AG,CONCATENATE(60,Info!$D$5,"09841",L2421),Adat!$E:$E)*-1+E2508</f>
        <v>0</v>
      </c>
      <c r="G2508" s="71">
        <f>SUMIF(Adat!$AH:$AH,CONCATENATE(Info!$D$5,"(KÖT)","09841",L2421),Adat!$E:$E)*-1</f>
        <v>0</v>
      </c>
      <c r="H2508" s="71">
        <f>SUMIF(Adat!$AH:$AH,CONCATENATE(Info!$D$5,"(ÖNV)","09841",L2421),Adat!$E:$E)*-1</f>
        <v>0</v>
      </c>
      <c r="I2508" s="71">
        <f>SUMIF(Adat!$AH:$AH,CONCATENATE(Info!$D$5,"(ÁIG)","09841",L2421),Adat!$E:$E)*-1</f>
        <v>0</v>
      </c>
    </row>
    <row r="2509" spans="2:12" s="42" customFormat="1" x14ac:dyDescent="0.25">
      <c r="B2509" s="160">
        <v>86</v>
      </c>
      <c r="C2509" s="154" t="s">
        <v>358</v>
      </c>
      <c r="D2509" s="87" t="s">
        <v>1442</v>
      </c>
      <c r="E2509" s="71">
        <f>+E2485+E2489+E2494+E2497+E2501+E2508+E2507</f>
        <v>0</v>
      </c>
      <c r="F2509" s="71">
        <f t="shared" ref="F2509" si="268">+F2485+F2489+F2494+F2497+F2501+F2508+F2507</f>
        <v>0</v>
      </c>
      <c r="G2509" s="71">
        <f>+G2485+G2489+G2494+G2497+G2501+G2508+G2507</f>
        <v>0</v>
      </c>
      <c r="H2509" s="71">
        <f>+H2485+H2489+H2494+H2497+H2501+H2508+H2507</f>
        <v>0</v>
      </c>
      <c r="I2509" s="71">
        <f>+I2485+I2489+I2494+I2497+I2501+I2508+I2507</f>
        <v>0</v>
      </c>
    </row>
    <row r="2510" spans="2:12" s="42" customFormat="1" x14ac:dyDescent="0.25">
      <c r="B2510" s="160">
        <v>87</v>
      </c>
      <c r="C2510" s="154" t="s">
        <v>364</v>
      </c>
      <c r="D2510" s="87" t="s">
        <v>1497</v>
      </c>
      <c r="E2510" s="71">
        <f>+E2484+E2509</f>
        <v>0</v>
      </c>
      <c r="F2510" s="71">
        <f t="shared" ref="F2510" si="269">+F2484+F2509</f>
        <v>0</v>
      </c>
      <c r="G2510" s="71">
        <f>+G2484+G2509</f>
        <v>0</v>
      </c>
      <c r="H2510" s="71">
        <f>+H2484+H2509</f>
        <v>0</v>
      </c>
      <c r="I2510" s="71">
        <f>+I2484+I2509</f>
        <v>0</v>
      </c>
    </row>
    <row r="2511" spans="2:12" s="38" customFormat="1" ht="15.75" x14ac:dyDescent="0.25">
      <c r="C2511" s="156"/>
      <c r="E2511" s="140"/>
      <c r="F2511" s="140"/>
      <c r="G2511" s="140"/>
      <c r="H2511" s="140"/>
      <c r="I2511" s="140"/>
    </row>
    <row r="2512" spans="2:12" s="10" customFormat="1" ht="15.75" customHeight="1" x14ac:dyDescent="0.25">
      <c r="B2512" s="201" t="str">
        <f>CONCATENATE("36. Kiadási jogcímek"," - ",L2512," részletező")</f>
        <v>36. Kiadási jogcímek -  részletező</v>
      </c>
      <c r="C2512" s="101"/>
      <c r="D2512" s="101"/>
      <c r="E2512" s="101"/>
      <c r="F2512" s="101"/>
      <c r="G2512" s="198"/>
      <c r="H2512" s="198"/>
      <c r="I2512" s="198"/>
      <c r="L2512" s="384"/>
    </row>
    <row r="2513" spans="2:9" s="38" customFormat="1" ht="15.75" x14ac:dyDescent="0.25">
      <c r="C2513" s="156"/>
      <c r="E2513" s="140"/>
      <c r="F2513" s="140"/>
      <c r="G2513" s="140"/>
      <c r="H2513" s="140"/>
      <c r="I2513" s="140"/>
    </row>
    <row r="2514" spans="2:9" s="40" customFormat="1" x14ac:dyDescent="0.25">
      <c r="B2514" s="77"/>
      <c r="C2514" s="77" t="s">
        <v>350</v>
      </c>
      <c r="D2514" s="77" t="s">
        <v>351</v>
      </c>
      <c r="E2514" s="77" t="s">
        <v>470</v>
      </c>
      <c r="F2514" s="77" t="s">
        <v>471</v>
      </c>
      <c r="G2514" s="77" t="s">
        <v>44</v>
      </c>
      <c r="H2514" s="77" t="s">
        <v>42</v>
      </c>
      <c r="I2514" s="77" t="s">
        <v>511</v>
      </c>
    </row>
    <row r="2515" spans="2:9" s="41" customFormat="1" ht="38.25" x14ac:dyDescent="0.25">
      <c r="B2515" s="160">
        <v>1</v>
      </c>
      <c r="C2515" s="154" t="s">
        <v>593</v>
      </c>
      <c r="D2515" s="154" t="s">
        <v>488</v>
      </c>
      <c r="E2515" s="163" t="str">
        <f>CONCATENATE(PAR!$H$3," évi
eredeti 
előirányzat")</f>
        <v>2025. évi
eredeti 
előirányzat</v>
      </c>
      <c r="F2515" s="163" t="str">
        <f>CONCATENATE(PAR!$H$3," évi
módosított 
előirányzat")</f>
        <v>2025. évi
módosított 
előirányzat</v>
      </c>
      <c r="G2515" s="69" t="s">
        <v>666</v>
      </c>
      <c r="H2515" s="69" t="s">
        <v>667</v>
      </c>
      <c r="I2515" s="69" t="s">
        <v>668</v>
      </c>
    </row>
    <row r="2516" spans="2:9" s="42" customFormat="1" x14ac:dyDescent="0.25">
      <c r="B2516" s="160">
        <v>2</v>
      </c>
      <c r="C2516" s="78" t="s">
        <v>352</v>
      </c>
      <c r="D2516" s="92" t="s">
        <v>2663</v>
      </c>
      <c r="E2516" s="71">
        <f>SUM(E2517:E2522)</f>
        <v>0</v>
      </c>
      <c r="F2516" s="71">
        <f>SUM(F2517:F2522)</f>
        <v>0</v>
      </c>
      <c r="G2516" s="71">
        <f>SUM(G2517:G2522)</f>
        <v>0</v>
      </c>
      <c r="H2516" s="71">
        <f>+H2517+H2518+H2519+H2520+H2521+H2522</f>
        <v>0</v>
      </c>
      <c r="I2516" s="71">
        <f>+I2517+I2518+I2519+I2520+I2521+I2522</f>
        <v>0</v>
      </c>
    </row>
    <row r="2517" spans="2:9" x14ac:dyDescent="0.25">
      <c r="B2517" s="160">
        <v>3</v>
      </c>
      <c r="C2517" s="305" t="s">
        <v>315</v>
      </c>
      <c r="D2517" s="161" t="s">
        <v>342</v>
      </c>
      <c r="E2517" s="72">
        <f>SUMIF(Adat!$AI:$AI,CONCATENATE(61,Info!$D$5,"051",L2512),Adat!$E:$E)</f>
        <v>0</v>
      </c>
      <c r="F2517" s="72">
        <f>SUMIF(Adat!$AI:$AI,CONCATENATE(60,Info!$D$5,"051",L2512),Adat!$E:$E)+E2517</f>
        <v>0</v>
      </c>
      <c r="G2517" s="72">
        <f>SUMIF(Adat!$AJ:$AJ,CONCATENATE(Info!$D$5,"051","(KÖT)",L2512),Adat!$E:$E)</f>
        <v>0</v>
      </c>
      <c r="H2517" s="72">
        <f>SUMIF(Adat!$AJ:$AJ,CONCATENATE(Info!$D$5,"051","(ÖNV)",L2512),Adat!$E:$E)</f>
        <v>0</v>
      </c>
      <c r="I2517" s="72">
        <f>SUMIF(Adat!$AJ:$AJ,CONCATENATE(Info!$D$5,"051","(ÁIG)",L2512),Adat!$E:$E)</f>
        <v>0</v>
      </c>
    </row>
    <row r="2518" spans="2:9" x14ac:dyDescent="0.25">
      <c r="B2518" s="160">
        <v>4</v>
      </c>
      <c r="C2518" s="305" t="s">
        <v>317</v>
      </c>
      <c r="D2518" s="161" t="s">
        <v>395</v>
      </c>
      <c r="E2518" s="72">
        <f>SUMIF(Adat!$AI:$AI,CONCATENATE(61,Info!$D$5,"052",L2512),Adat!$E:$E)</f>
        <v>0</v>
      </c>
      <c r="F2518" s="72">
        <f>SUMIF(Adat!$AI:$AI,CONCATENATE(60,Info!$D$5,"052",L2512),Adat!$E:$E)+E2518</f>
        <v>0</v>
      </c>
      <c r="G2518" s="72">
        <f>SUMIF(Adat!$AJ:$AJ,CONCATENATE(Info!$D$5,"052","(KÖT)",L2512),Adat!$E:$E)</f>
        <v>0</v>
      </c>
      <c r="H2518" s="72">
        <f>SUMIF(Adat!$AJ:$AJ,CONCATENATE(Info!$D$5,"052","(ÖNV)",L2512),Adat!$E:$E)</f>
        <v>0</v>
      </c>
      <c r="I2518" s="72">
        <f>SUMIF(Adat!$AJ:$AJ,CONCATENATE(Info!$D$5,"052","(ÁIG)",L2512),Adat!$E:$E)</f>
        <v>0</v>
      </c>
    </row>
    <row r="2519" spans="2:9" x14ac:dyDescent="0.25">
      <c r="B2519" s="160">
        <v>5</v>
      </c>
      <c r="C2519" s="305" t="s">
        <v>4</v>
      </c>
      <c r="D2519" s="161" t="s">
        <v>344</v>
      </c>
      <c r="E2519" s="72">
        <f>SUMIF(Adat!$AI:$AI,CONCATENATE(61,Info!$D$5,"053",L2512),Adat!$E:$E)</f>
        <v>0</v>
      </c>
      <c r="F2519" s="72">
        <f>SUMIF(Adat!$AI:$AI,CONCATENATE(60,Info!$D$5,"053",L2512),Adat!$E:$E)+E2519</f>
        <v>0</v>
      </c>
      <c r="G2519" s="72">
        <f>SUMIF(Adat!$AJ:$AJ,CONCATENATE(Info!$D$5,"053","(KÖT)",L2512),Adat!$E:$E)</f>
        <v>0</v>
      </c>
      <c r="H2519" s="72">
        <f>SUMIF(Adat!$AJ:$AJ,CONCATENATE(Info!$D$5,"053","(ÖNV)",L2512),Adat!$E:$E)</f>
        <v>0</v>
      </c>
      <c r="I2519" s="72">
        <f>SUMIF(Adat!$AJ:$AJ,CONCATENATE(Info!$D$5,"053","(ÁIG)",L2512),Adat!$E:$E)</f>
        <v>0</v>
      </c>
    </row>
    <row r="2520" spans="2:9" x14ac:dyDescent="0.25">
      <c r="B2520" s="160">
        <v>6</v>
      </c>
      <c r="C2520" s="305" t="s">
        <v>6</v>
      </c>
      <c r="D2520" s="161" t="s">
        <v>345</v>
      </c>
      <c r="E2520" s="72">
        <f>SUMIF(Adat!$AI:$AI,CONCATENATE(61,Info!$D$5,"054",L2512),Adat!$E:$E)</f>
        <v>0</v>
      </c>
      <c r="F2520" s="72">
        <f>SUMIF(Adat!$AI:$AI,CONCATENATE(60,Info!$D$5,"054",L2512),Adat!$E:$E)+E2520</f>
        <v>0</v>
      </c>
      <c r="G2520" s="72">
        <f>SUMIF(Adat!$AJ:$AJ,CONCATENATE(Info!$D$5,"054","(KÖT)",L2512),Adat!$E:$E)</f>
        <v>0</v>
      </c>
      <c r="H2520" s="72">
        <f>SUMIF(Adat!$AJ:$AJ,CONCATENATE(Info!$D$5,"054","(ÖNV)",L2512),Adat!$E:$E)</f>
        <v>0</v>
      </c>
      <c r="I2520" s="72">
        <f>SUMIF(Adat!$AJ:$AJ,CONCATENATE(Info!$D$5,"054","(ÁIG)",L2512),Adat!$E:$E)</f>
        <v>0</v>
      </c>
    </row>
    <row r="2521" spans="2:9" x14ac:dyDescent="0.25">
      <c r="B2521" s="160">
        <v>7</v>
      </c>
      <c r="C2521" s="305" t="s">
        <v>8</v>
      </c>
      <c r="D2521" s="161" t="s">
        <v>321</v>
      </c>
      <c r="E2521" s="72">
        <f>SUMIF(Adat!$AI:$AI,CONCATENATE(61,Info!$D$5,"055",L2512),Adat!$E:$E)-E2522</f>
        <v>0</v>
      </c>
      <c r="F2521" s="72">
        <f>SUMIF(Adat!$AI:$AI,CONCATENATE(60,Info!$D$5,"055",L2512),Adat!$E:$E)+E2521-F2522+E2522</f>
        <v>0</v>
      </c>
      <c r="G2521" s="72">
        <f>SUMIF(Adat!$AJ:$AJ,CONCATENATE(Info!$D$5,"055","(KÖT)",L2512),Adat!$E:$E)-G2522</f>
        <v>0</v>
      </c>
      <c r="H2521" s="72">
        <f>SUMIF(Adat!$AJ:$AJ,CONCATENATE(Info!$D$5,"055","(ÖNV)",L2512),Adat!$E:$E)-H2522</f>
        <v>0</v>
      </c>
      <c r="I2521" s="72">
        <f>SUMIF(Adat!$AJ:$AJ,CONCATENATE(Info!$D$5,"055","(ÁIG)",L2512),Adat!$E:$E)-I2522</f>
        <v>0</v>
      </c>
    </row>
    <row r="2522" spans="2:9" x14ac:dyDescent="0.25">
      <c r="B2522" s="160">
        <v>8</v>
      </c>
      <c r="C2522" s="305" t="s">
        <v>1283</v>
      </c>
      <c r="D2522" s="161" t="s">
        <v>397</v>
      </c>
      <c r="E2522" s="72">
        <f>SUMIF(Adat!$AG:$AG,CONCATENATE(61,Info!$D$5,"055131",L2512),Adat!$E:$E)</f>
        <v>0</v>
      </c>
      <c r="F2522" s="72">
        <f>SUMIF(Adat!$AG:$AG,CONCATENATE(60,Info!$D$5,"055131",L2512),Adat!$E:$E)+E2522</f>
        <v>0</v>
      </c>
      <c r="G2522" s="72">
        <f>SUMIF(Adat!$AH:$AH,CONCATENATE(Info!$D$5,"(KÖT)","055131",L2512),Adat!$E:$E)</f>
        <v>0</v>
      </c>
      <c r="H2522" s="72">
        <f>SUMIF(Adat!$AH:$AH,CONCATENATE(Info!$D$5,"(ÖNV)","055131",L2512),Adat!$E:$E)*-1</f>
        <v>0</v>
      </c>
      <c r="I2522" s="72">
        <f>SUMIF(Adat!$AH:$AH,CONCATENATE(Info!$D$5,"(ÁIG)","055131",L2512),Adat!$E:$E)*-1</f>
        <v>0</v>
      </c>
    </row>
    <row r="2523" spans="2:9" x14ac:dyDescent="0.25">
      <c r="B2523" s="160">
        <v>9</v>
      </c>
      <c r="C2523" s="305" t="s">
        <v>1283</v>
      </c>
      <c r="D2523" s="93" t="s">
        <v>1445</v>
      </c>
      <c r="E2523" s="72">
        <v>0</v>
      </c>
      <c r="F2523" s="72">
        <f>SUM(G2523:I2523)</f>
        <v>0</v>
      </c>
      <c r="G2523" s="72">
        <v>0</v>
      </c>
      <c r="H2523" s="72">
        <v>0</v>
      </c>
      <c r="I2523" s="72">
        <v>0</v>
      </c>
    </row>
    <row r="2524" spans="2:9" x14ac:dyDescent="0.25">
      <c r="B2524" s="160">
        <v>10</v>
      </c>
      <c r="C2524" s="305" t="s">
        <v>1283</v>
      </c>
      <c r="D2524" s="93" t="s">
        <v>1446</v>
      </c>
      <c r="E2524" s="72">
        <v>0</v>
      </c>
      <c r="F2524" s="72">
        <f>SUM(G2524:I2524)</f>
        <v>0</v>
      </c>
      <c r="G2524" s="72">
        <v>0</v>
      </c>
      <c r="H2524" s="72">
        <v>0</v>
      </c>
      <c r="I2524" s="72">
        <v>0</v>
      </c>
    </row>
    <row r="2525" spans="2:9" x14ac:dyDescent="0.25">
      <c r="B2525" s="160">
        <v>11</v>
      </c>
      <c r="C2525" s="78" t="s">
        <v>358</v>
      </c>
      <c r="D2525" s="92" t="s">
        <v>2664</v>
      </c>
      <c r="E2525" s="71">
        <f>+E2526+E2528+E2530</f>
        <v>0</v>
      </c>
      <c r="F2525" s="71">
        <f>+F2526+F2528+F2530</f>
        <v>0</v>
      </c>
      <c r="G2525" s="71">
        <f>+G2526+G2528+G2530</f>
        <v>0</v>
      </c>
      <c r="H2525" s="71">
        <f>+H2526+H2528+H2530</f>
        <v>0</v>
      </c>
      <c r="I2525" s="71">
        <f>+I2526+I2528+I2530</f>
        <v>0</v>
      </c>
    </row>
    <row r="2526" spans="2:9" x14ac:dyDescent="0.25">
      <c r="B2526" s="160">
        <v>12</v>
      </c>
      <c r="C2526" s="305" t="s">
        <v>10</v>
      </c>
      <c r="D2526" s="317" t="s">
        <v>322</v>
      </c>
      <c r="E2526" s="72">
        <f>SUMIF(Adat!$AI:$AI,CONCATENATE(61,Info!$D$5,"056",L2512),Adat!$E:$E)</f>
        <v>0</v>
      </c>
      <c r="F2526" s="72">
        <f>SUMIF(Adat!$AI:$AI,CONCATENATE(60,Info!$D$5,"056",L2512),Adat!$E:$E)+E2526</f>
        <v>0</v>
      </c>
      <c r="G2526" s="72">
        <f>SUMIF(Adat!$AJ:$AJ,CONCATENATE(Info!$D$5,"056","(KÖT)",L2512),Adat!$E:$E)</f>
        <v>0</v>
      </c>
      <c r="H2526" s="72">
        <f>SUMIF(Adat!$AJ:$AJ,CONCATENATE(Info!$D$5,"056","(ÖNV)",L2512),Adat!$E:$E)</f>
        <v>0</v>
      </c>
      <c r="I2526" s="72">
        <f>SUMIF(Adat!$AJ:$AJ,CONCATENATE(Info!$D$5,"056","(ÁIG)",L2512),Adat!$E:$E)</f>
        <v>0</v>
      </c>
    </row>
    <row r="2527" spans="2:9" x14ac:dyDescent="0.25">
      <c r="B2527" s="160">
        <v>13</v>
      </c>
      <c r="C2527" s="305" t="s">
        <v>10</v>
      </c>
      <c r="D2527" s="317" t="s">
        <v>1448</v>
      </c>
      <c r="E2527" s="72">
        <v>0</v>
      </c>
      <c r="F2527" s="72">
        <f>SUM(G2527:I2527)</f>
        <v>0</v>
      </c>
      <c r="G2527" s="72">
        <v>0</v>
      </c>
      <c r="H2527" s="72">
        <v>0</v>
      </c>
      <c r="I2527" s="72">
        <v>0</v>
      </c>
    </row>
    <row r="2528" spans="2:9" x14ac:dyDescent="0.25">
      <c r="B2528" s="160">
        <v>14</v>
      </c>
      <c r="C2528" s="305" t="s">
        <v>12</v>
      </c>
      <c r="D2528" s="317" t="s">
        <v>323</v>
      </c>
      <c r="E2528" s="72">
        <f>SUMIF(Adat!$AI:$AI,CONCATENATE(61,Info!$D$5,"057",L2512),Adat!$E:$E)</f>
        <v>0</v>
      </c>
      <c r="F2528" s="72">
        <f>SUMIF(Adat!$AI:$AI,CONCATENATE(60,Info!$D$5,"057",L2512),Adat!$E:$E)+E2528</f>
        <v>0</v>
      </c>
      <c r="G2528" s="72">
        <f>SUMIF(Adat!$AJ:$AJ,CONCATENATE(Info!$D$5,"057","(KÖT)",L2512),Adat!$E:$E)</f>
        <v>0</v>
      </c>
      <c r="H2528" s="72">
        <f>SUMIF(Adat!$AJ:$AJ,CONCATENATE(Info!$D$5,"057","(ÖNV)",L2512),Adat!$E:$E)</f>
        <v>0</v>
      </c>
      <c r="I2528" s="72">
        <f>SUMIF(Adat!$AJ:$AJ,CONCATENATE(Info!$D$5,"057","(ÁIG)",L2512),Adat!$E:$E)</f>
        <v>0</v>
      </c>
    </row>
    <row r="2529" spans="2:18" x14ac:dyDescent="0.25">
      <c r="B2529" s="160">
        <v>15</v>
      </c>
      <c r="C2529" s="305" t="s">
        <v>12</v>
      </c>
      <c r="D2529" s="317" t="s">
        <v>1449</v>
      </c>
      <c r="E2529" s="72">
        <v>0</v>
      </c>
      <c r="F2529" s="72">
        <f>SUM(G2529:I2529)</f>
        <v>0</v>
      </c>
      <c r="G2529" s="72">
        <v>0</v>
      </c>
      <c r="H2529" s="72">
        <v>0</v>
      </c>
      <c r="I2529" s="72">
        <v>0</v>
      </c>
    </row>
    <row r="2530" spans="2:18" x14ac:dyDescent="0.25">
      <c r="B2530" s="160">
        <v>16</v>
      </c>
      <c r="C2530" s="305" t="s">
        <v>15</v>
      </c>
      <c r="D2530" s="317" t="s">
        <v>324</v>
      </c>
      <c r="E2530" s="72">
        <f>SUMIF(Adat!$AI:$AI,CONCATENATE(61,Info!$D$5,"058",L2512),Adat!$E:$E)</f>
        <v>0</v>
      </c>
      <c r="F2530" s="72">
        <f>SUMIF(Adat!$AI:$AI,CONCATENATE(60,Info!$D$5,"058",L2512),Adat!$E:$E)+E2530</f>
        <v>0</v>
      </c>
      <c r="G2530" s="72">
        <f>SUMIF(Adat!$AJ:$AJ,CONCATENATE(Info!$D$5,"058","(KÖT)",L2512),Adat!$E:$E)</f>
        <v>0</v>
      </c>
      <c r="H2530" s="72">
        <f>SUMIF(Adat!$AJ:$AJ,CONCATENATE(Info!$D$5,"058","(ÖNV)",L2512),Adat!$E:$E)</f>
        <v>0</v>
      </c>
      <c r="I2530" s="72">
        <f>SUMIF(Adat!$AJ:$AJ,CONCATENATE(Info!$D$5,"058","(ÁIG)",L2512),Adat!$E:$E)</f>
        <v>0</v>
      </c>
    </row>
    <row r="2531" spans="2:18" x14ac:dyDescent="0.25">
      <c r="B2531" s="160">
        <v>17</v>
      </c>
      <c r="C2531" s="78" t="s">
        <v>364</v>
      </c>
      <c r="D2531" s="86" t="s">
        <v>402</v>
      </c>
      <c r="E2531" s="71">
        <f>+E2516+E2525</f>
        <v>0</v>
      </c>
      <c r="F2531" s="71">
        <f>+F2516+F2525</f>
        <v>0</v>
      </c>
      <c r="G2531" s="71">
        <f>+G2516+G2525</f>
        <v>0</v>
      </c>
      <c r="H2531" s="71">
        <f>+H2516+H2525</f>
        <v>0</v>
      </c>
      <c r="I2531" s="71">
        <f>+I2516+I2525</f>
        <v>0</v>
      </c>
    </row>
    <row r="2532" spans="2:18" x14ac:dyDescent="0.25">
      <c r="B2532" s="160">
        <v>18</v>
      </c>
      <c r="C2532" s="78" t="s">
        <v>403</v>
      </c>
      <c r="D2532" s="86" t="s">
        <v>1450</v>
      </c>
      <c r="E2532" s="71">
        <f>+E2533+E2534+E2535</f>
        <v>0</v>
      </c>
      <c r="F2532" s="71">
        <f>+F2533+F2534+F2535</f>
        <v>0</v>
      </c>
      <c r="G2532" s="71">
        <f>+G2533+G2534+G2535</f>
        <v>0</v>
      </c>
      <c r="H2532" s="71">
        <f>+H2533+H2534+H2535</f>
        <v>0</v>
      </c>
      <c r="I2532" s="71">
        <f>+I2533+I2534+I2535</f>
        <v>0</v>
      </c>
    </row>
    <row r="2533" spans="2:18" s="42" customFormat="1" x14ac:dyDescent="0.25">
      <c r="B2533" s="160">
        <v>19</v>
      </c>
      <c r="C2533" s="305" t="s">
        <v>1451</v>
      </c>
      <c r="D2533" s="161" t="s">
        <v>490</v>
      </c>
      <c r="E2533" s="72">
        <f>SUMIF(Adat!$AG:$AG,CONCATENATE(61,Info!$D$5,"0591111",L2512),Adat!$E:$E)</f>
        <v>0</v>
      </c>
      <c r="F2533" s="72">
        <f>SUMIF(Adat!$AG:$AG,CONCATENATE(60,Info!$D$5,"0591111",L2512),Adat!$E:$E)+E2533</f>
        <v>0</v>
      </c>
      <c r="G2533" s="72">
        <f>SUMIF(Adat!$AH:$AH,CONCATENATE(Info!$D$5,"(KÖT)","0591111",L2512),Adat!$E:$E)</f>
        <v>0</v>
      </c>
      <c r="H2533" s="72">
        <f>SUMIF(Adat!$AH:$AH,CONCATENATE(Info!$D$5,"(ÖNV)","0591111",L2512),Adat!$E:$E)</f>
        <v>0</v>
      </c>
      <c r="I2533" s="72">
        <f>SUMIF(Adat!$AH:$AH,CONCATENATE(Info!$D$5,"(ÁIG)","0591111",L2512),Adat!$E:$E)</f>
        <v>0</v>
      </c>
    </row>
    <row r="2534" spans="2:18" x14ac:dyDescent="0.25">
      <c r="B2534" s="160">
        <v>20</v>
      </c>
      <c r="C2534" s="305" t="s">
        <v>1453</v>
      </c>
      <c r="D2534" s="161" t="s">
        <v>406</v>
      </c>
      <c r="E2534" s="72">
        <f>SUMIF(Adat!$AG:$AG,CONCATENATE(61,Info!$D$5,"0591121",L2512),Adat!$E:$E)</f>
        <v>0</v>
      </c>
      <c r="F2534" s="72">
        <f>SUMIF(Adat!$AG:$AG,CONCATENATE(60,Info!$D$5,"0591121",L2512),Adat!$E:$E)+E2534</f>
        <v>0</v>
      </c>
      <c r="G2534" s="72">
        <f>SUMIF(Adat!$AH:$AH,CONCATENATE(Info!$D$5,"(KÖT)","0591121",L2512),Adat!$E:$E)</f>
        <v>0</v>
      </c>
      <c r="H2534" s="72">
        <f>SUMIF(Adat!$AH:$AH,CONCATENATE(Info!$D$5,"(ÖNV)","0591121",L2512),Adat!$E:$E)</f>
        <v>0</v>
      </c>
      <c r="I2534" s="72">
        <f>SUMIF(Adat!$AH:$AH,CONCATENATE(Info!$D$5,"(ÁIG)","0591121",L2512),Adat!$E:$E)</f>
        <v>0</v>
      </c>
    </row>
    <row r="2535" spans="2:18" x14ac:dyDescent="0.25">
      <c r="B2535" s="160">
        <v>21</v>
      </c>
      <c r="C2535" s="305" t="s">
        <v>1455</v>
      </c>
      <c r="D2535" s="161" t="s">
        <v>491</v>
      </c>
      <c r="E2535" s="72">
        <f>SUMIF(Adat!$AG:$AG,CONCATENATE(61,Info!$D$5,"0591131",L2512),Adat!$E:$E)</f>
        <v>0</v>
      </c>
      <c r="F2535" s="72">
        <f>SUMIF(Adat!$AG:$AG,CONCATENATE(60,Info!$D$5,"0591131",L2512),Adat!$E:$E)+E2535</f>
        <v>0</v>
      </c>
      <c r="G2535" s="72">
        <f>SUMIF(Adat!$AH:$AH,CONCATENATE(Info!$D$5,"(KÖT)","0591131",L2512),Adat!$E:$E)</f>
        <v>0</v>
      </c>
      <c r="H2535" s="72">
        <f>SUMIF(Adat!$AH:$AH,CONCATENATE(Info!$D$5,"(ÖNV)","0591131",L2512),Adat!$E:$E)</f>
        <v>0</v>
      </c>
      <c r="I2535" s="72">
        <f>SUMIF(Adat!$AH:$AH,CONCATENATE(Info!$D$5,"(ÁIG)","0591131",L2512),Adat!$E:$E)</f>
        <v>0</v>
      </c>
    </row>
    <row r="2536" spans="2:18" x14ac:dyDescent="0.25">
      <c r="B2536" s="160">
        <v>22</v>
      </c>
      <c r="C2536" s="78" t="s">
        <v>372</v>
      </c>
      <c r="D2536" s="86" t="s">
        <v>1457</v>
      </c>
      <c r="E2536" s="71">
        <f>+E2537+E2538+E2539+E2540+E2541+E2542</f>
        <v>0</v>
      </c>
      <c r="F2536" s="71">
        <f>+F2537+F2538+F2539+F2540+F2541+F2542</f>
        <v>0</v>
      </c>
      <c r="G2536" s="71">
        <f>+G2537+G2538+G2539+G2540+G2541+G2542</f>
        <v>0</v>
      </c>
      <c r="H2536" s="71">
        <f>+H2537+H2538+H2539+H2540+H2541+H2542</f>
        <v>0</v>
      </c>
      <c r="I2536" s="71">
        <f>+I2537+I2538+I2539+I2540+I2541+I2542</f>
        <v>0</v>
      </c>
    </row>
    <row r="2537" spans="2:18" x14ac:dyDescent="0.25">
      <c r="B2537" s="160">
        <v>23</v>
      </c>
      <c r="C2537" s="305" t="s">
        <v>1458</v>
      </c>
      <c r="D2537" s="161" t="s">
        <v>409</v>
      </c>
      <c r="E2537" s="72">
        <f>SUMIF(Adat!$AG:$AG,CONCATENATE(61,Info!$D$5,"0591211",L2512),Adat!$E:$E)</f>
        <v>0</v>
      </c>
      <c r="F2537" s="72">
        <f>SUMIF(Adat!$AG:$AG,CONCATENATE(60,Info!$D$5,"0591211",L2512),Adat!$E:$E)+E2537</f>
        <v>0</v>
      </c>
      <c r="G2537" s="72">
        <f>SUMIF(Adat!$AH:$AH,CONCATENATE(Info!$D$5,"(KÖT)","0591211",L2512),Adat!$E:$E)</f>
        <v>0</v>
      </c>
      <c r="H2537" s="72">
        <f>SUMIF(Adat!$AH:$AH,CONCATENATE(Info!$D$5,"(ÖNV)","0591211",L2512),Adat!$E:$E)</f>
        <v>0</v>
      </c>
      <c r="I2537" s="72">
        <f>SUMIF(Adat!$AH:$AH,CONCATENATE(Info!$D$5,"(ÁIG)","0591211",L2512),Adat!$E:$E)</f>
        <v>0</v>
      </c>
    </row>
    <row r="2538" spans="2:18" x14ac:dyDescent="0.25">
      <c r="B2538" s="160">
        <v>24</v>
      </c>
      <c r="C2538" s="305" t="s">
        <v>1460</v>
      </c>
      <c r="D2538" s="161" t="s">
        <v>410</v>
      </c>
      <c r="E2538" s="72">
        <f>SUMIF(Adat!$AG:$AG,CONCATENATE(61,Info!$D$5,"0591221",L2512),Adat!$E:$E)</f>
        <v>0</v>
      </c>
      <c r="F2538" s="72">
        <f>SUMIF(Adat!$AG:$AG,CONCATENATE(60,Info!$D$5,"0591221",L2512),Adat!$E:$E)+E2538</f>
        <v>0</v>
      </c>
      <c r="G2538" s="72">
        <f>SUMIF(Adat!$AH:$AH,CONCATENATE(Info!$D$5,"(KÖT)","0591221",L2512),Adat!$E:$E)</f>
        <v>0</v>
      </c>
      <c r="H2538" s="72">
        <f>SUMIF(Adat!$AH:$AH,CONCATENATE(Info!$D$5,"(ÖNV)","0591221",L2512),Adat!$E:$E)</f>
        <v>0</v>
      </c>
      <c r="I2538" s="72">
        <f>SUMIF(Adat!$AH:$AH,CONCATENATE(Info!$D$5,"(ÁIG)","0591221",L2512),Adat!$E:$E)</f>
        <v>0</v>
      </c>
    </row>
    <row r="2539" spans="2:18" x14ac:dyDescent="0.25">
      <c r="B2539" s="160">
        <v>25</v>
      </c>
      <c r="C2539" s="305" t="s">
        <v>1462</v>
      </c>
      <c r="D2539" s="161" t="s">
        <v>411</v>
      </c>
      <c r="E2539" s="72">
        <f>SUMIF(Adat!$AG:$AG,CONCATENATE(61,Info!$D$5,"0591231",L2512),Adat!$E:$E)</f>
        <v>0</v>
      </c>
      <c r="F2539" s="72">
        <f>SUMIF(Adat!$AG:$AG,CONCATENATE(60,Info!$D$5,"0591231",L2512),Adat!$E:$E)+E2539</f>
        <v>0</v>
      </c>
      <c r="G2539" s="72">
        <f>SUMIF(Adat!$AH:$AH,CONCATENATE(Info!$D$5,"(KÖT)","0591231",L2512),Adat!$E:$E)</f>
        <v>0</v>
      </c>
      <c r="H2539" s="72">
        <f>SUMIF(Adat!$AH:$AH,CONCATENATE(Info!$D$5,"(ÖNV)","0591231",L2512),Adat!$E:$E)</f>
        <v>0</v>
      </c>
      <c r="I2539" s="72">
        <f>SUMIF(Adat!$AH:$AH,CONCATENATE(Info!$D$5,"(ÁIG)","0591231",L2512),Adat!$E:$E)</f>
        <v>0</v>
      </c>
    </row>
    <row r="2540" spans="2:18" x14ac:dyDescent="0.25">
      <c r="B2540" s="160">
        <v>26</v>
      </c>
      <c r="C2540" s="305" t="s">
        <v>1464</v>
      </c>
      <c r="D2540" s="161" t="s">
        <v>492</v>
      </c>
      <c r="E2540" s="72">
        <f>SUMIF(Adat!$AG:$AG,CONCATENATE(61,Info!$D$5,"0591241",L2512),Adat!$E:$E)</f>
        <v>0</v>
      </c>
      <c r="F2540" s="72">
        <f>SUMIF(Adat!$AG:$AG,CONCATENATE(60,Info!$D$5,"0591241",L2512),Adat!$E:$E)+E2540</f>
        <v>0</v>
      </c>
      <c r="G2540" s="72">
        <f>SUMIF(Adat!$AH:$AH,CONCATENATE(Info!$D$5,"(KÖT)","0591241",L2512),Adat!$E:$E)</f>
        <v>0</v>
      </c>
      <c r="H2540" s="72">
        <f>SUMIF(Adat!$AH:$AH,CONCATENATE(Info!$D$5,"(ÖNV)","0591241",L2512),Adat!$E:$E)</f>
        <v>0</v>
      </c>
      <c r="I2540" s="72">
        <f>SUMIF(Adat!$AH:$AH,CONCATENATE(Info!$D$5,"(ÁIG)","0591241",L2512),Adat!$E:$E)</f>
        <v>0</v>
      </c>
    </row>
    <row r="2541" spans="2:18" x14ac:dyDescent="0.25">
      <c r="B2541" s="160">
        <v>27</v>
      </c>
      <c r="C2541" s="305" t="s">
        <v>1466</v>
      </c>
      <c r="D2541" s="161" t="s">
        <v>413</v>
      </c>
      <c r="E2541" s="72">
        <f>SUMIF(Adat!$AG:$AG,CONCATENATE(61,Info!$D$5,"0591251",L2512),Adat!$E:$E)</f>
        <v>0</v>
      </c>
      <c r="F2541" s="72">
        <f>SUMIF(Adat!$AG:$AG,CONCATENATE(60,Info!$D$5,"0591251",L2512),Adat!$E:$E)+E2541</f>
        <v>0</v>
      </c>
      <c r="G2541" s="72">
        <f>SUMIF(Adat!$AH:$AH,CONCATENATE(Info!$D$5,"(KÖT)","0591251",L2512),Adat!$E:$E)</f>
        <v>0</v>
      </c>
      <c r="H2541" s="72">
        <f>SUMIF(Adat!$AH:$AH,CONCATENATE(Info!$D$5,"(ÖNV)","0591251",L2512),Adat!$E:$E)</f>
        <v>0</v>
      </c>
      <c r="I2541" s="72">
        <f>SUMIF(Adat!$AH:$AH,CONCATENATE(Info!$D$5,"(ÁIG)","0591251",L2512),Adat!$E:$E)</f>
        <v>0</v>
      </c>
    </row>
    <row r="2542" spans="2:18" s="42" customFormat="1" x14ac:dyDescent="0.25">
      <c r="B2542" s="160">
        <v>28</v>
      </c>
      <c r="C2542" s="305" t="s">
        <v>1468</v>
      </c>
      <c r="D2542" s="161" t="s">
        <v>414</v>
      </c>
      <c r="E2542" s="72">
        <f>SUMIF(Adat!$AG:$AG,CONCATENATE(61,Info!$D$5,"0591261",L2512),Adat!$E:$E)</f>
        <v>0</v>
      </c>
      <c r="F2542" s="72">
        <f>SUMIF(Adat!$AG:$AG,CONCATENATE(60,Info!$D$5,"0591261",L2512),Adat!$E:$E)+E2542</f>
        <v>0</v>
      </c>
      <c r="G2542" s="72">
        <f>SUMIF(Adat!$AH:$AH,CONCATENATE(Info!$D$5,"(KÖT)","0591261",L2512),Adat!$E:$E)</f>
        <v>0</v>
      </c>
      <c r="H2542" s="72">
        <f>SUMIF(Adat!$AH:$AH,CONCATENATE(Info!$D$5,"(ÖNV)","0591261",L2512),Adat!$E:$E)</f>
        <v>0</v>
      </c>
      <c r="I2542" s="72">
        <f>SUMIF(Adat!$AH:$AH,CONCATENATE(Info!$D$5,"(ÁIG)","0591261",L2512),Adat!$E:$E)</f>
        <v>0</v>
      </c>
    </row>
    <row r="2543" spans="2:18" x14ac:dyDescent="0.25">
      <c r="B2543" s="160">
        <v>29</v>
      </c>
      <c r="C2543" s="78" t="s">
        <v>379</v>
      </c>
      <c r="D2543" s="86" t="s">
        <v>1470</v>
      </c>
      <c r="E2543" s="71">
        <f>+E2544+E2545+E2547+E2548+E2546</f>
        <v>0</v>
      </c>
      <c r="F2543" s="71">
        <f>+F2544+F2545+F2547+F2548+F2546</f>
        <v>0</v>
      </c>
      <c r="G2543" s="71">
        <f>+G2544+G2545+G2547+G2548+G2546</f>
        <v>0</v>
      </c>
      <c r="H2543" s="71">
        <f>+H2544+H2545+H2547+H2548+H2546</f>
        <v>0</v>
      </c>
      <c r="I2543" s="71">
        <f>+I2544+I2545+I2547+I2548+I2546</f>
        <v>0</v>
      </c>
      <c r="R2543" s="43"/>
    </row>
    <row r="2544" spans="2:18" x14ac:dyDescent="0.25">
      <c r="B2544" s="160">
        <v>30</v>
      </c>
      <c r="C2544" s="305" t="s">
        <v>1471</v>
      </c>
      <c r="D2544" s="161" t="s">
        <v>416</v>
      </c>
      <c r="E2544" s="72">
        <f>SUMIF(Adat!$AG:$AG,CONCATENATE(61,Info!$D$5,"059131",L2512),Adat!$E:$E)</f>
        <v>0</v>
      </c>
      <c r="F2544" s="72">
        <f>SUMIF(Adat!$AG:$AG,CONCATENATE(60,Info!$D$5,"059131",L2512),Adat!$E:$E)+E2544</f>
        <v>0</v>
      </c>
      <c r="G2544" s="72">
        <f>SUMIF(Adat!$AH:$AH,CONCATENATE(Info!$D$5,"(KÖT)","059131",L2512),Adat!$E:$E)</f>
        <v>0</v>
      </c>
      <c r="H2544" s="72">
        <f>SUMIF(Adat!$AH:$AH,CONCATENATE(Info!$D$5,"(ÖNV)","059131",L2512),Adat!$E:$E)</f>
        <v>0</v>
      </c>
      <c r="I2544" s="72">
        <f>SUMIF(Adat!$AH:$AH,CONCATENATE(Info!$D$5,"(ÁIG)","059131",L2512),Adat!$E:$E)</f>
        <v>0</v>
      </c>
    </row>
    <row r="2545" spans="2:9" x14ac:dyDescent="0.25">
      <c r="B2545" s="160">
        <v>31</v>
      </c>
      <c r="C2545" s="305" t="s">
        <v>1287</v>
      </c>
      <c r="D2545" s="161" t="s">
        <v>417</v>
      </c>
      <c r="E2545" s="72">
        <f>SUMIF(Adat!$AG:$AG,CONCATENATE(61,Info!$D$5,"059141",L2512),Adat!$E:$E)</f>
        <v>0</v>
      </c>
      <c r="F2545" s="72">
        <f>SUMIF(Adat!$AG:$AG,CONCATENATE(60,Info!$D$5,"059141",L2512),Adat!$E:$E)+E2545</f>
        <v>0</v>
      </c>
      <c r="G2545" s="72">
        <f>SUMIF(Adat!$AH:$AH,CONCATENATE(Info!$D$5,"(KÖT)","059141",L2512),Adat!$E:$E)</f>
        <v>0</v>
      </c>
      <c r="H2545" s="72">
        <f>SUMIF(Adat!$AH:$AH,CONCATENATE(Info!$D$5,"(ÖNV)","059141",L2512),Adat!$E:$E)</f>
        <v>0</v>
      </c>
      <c r="I2545" s="72">
        <f>SUMIF(Adat!$AH:$AH,CONCATENATE(Info!$D$5,"(ÁIG)","059141",L2512),Adat!$E:$E)</f>
        <v>0</v>
      </c>
    </row>
    <row r="2546" spans="2:9" x14ac:dyDescent="0.25">
      <c r="B2546" s="160">
        <v>32</v>
      </c>
      <c r="C2546" s="316" t="s">
        <v>1253</v>
      </c>
      <c r="D2546" s="161" t="s">
        <v>493</v>
      </c>
      <c r="E2546" s="72">
        <f>SUMIF(Adat!$AG:$AG,CONCATENATE(61,Info!$D$5,"059151",L2512),Adat!$E:$E)</f>
        <v>0</v>
      </c>
      <c r="F2546" s="72">
        <f>SUMIF(Adat!$AG:$AG,CONCATENATE(60,Info!$D$5,"059151",L2512),Adat!$E:$E)+E2546</f>
        <v>0</v>
      </c>
      <c r="G2546" s="72">
        <f>SUMIF(Adat!$AH:$AH,CONCATENATE(Info!$D$5,"(KÖT)","059151",L2512),Adat!$E:$E)</f>
        <v>0</v>
      </c>
      <c r="H2546" s="72">
        <f>SUMIF(Adat!$AH:$AH,CONCATENATE(Info!$D$5,"(ÖNV)","059151",L2512),Adat!$E:$E)</f>
        <v>0</v>
      </c>
      <c r="I2546" s="72">
        <f>SUMIF(Adat!$AH:$AH,CONCATENATE(Info!$D$5,"(ÁIG)","059151",L2512),Adat!$E:$E)</f>
        <v>0</v>
      </c>
    </row>
    <row r="2547" spans="2:9" s="42" customFormat="1" x14ac:dyDescent="0.25">
      <c r="B2547" s="160">
        <v>33</v>
      </c>
      <c r="C2547" s="305" t="s">
        <v>1474</v>
      </c>
      <c r="D2547" s="161" t="s">
        <v>418</v>
      </c>
      <c r="E2547" s="72">
        <f>SUMIF(Adat!$AG:$AG,CONCATENATE(61,Info!$D$5,"059161",L2512),Adat!$E:$E)</f>
        <v>0</v>
      </c>
      <c r="F2547" s="72">
        <f>SUMIF(Adat!$AG:$AG,CONCATENATE(60,Info!$D$5,"059161",L2512),Adat!$E:$E)+E2547</f>
        <v>0</v>
      </c>
      <c r="G2547" s="72">
        <f>SUMIF(Adat!$AH:$AH,CONCATENATE(Info!$D$5,"(KÖT)","059161",L2512),Adat!$E:$E)</f>
        <v>0</v>
      </c>
      <c r="H2547" s="72">
        <f>SUMIF(Adat!$AH:$AH,CONCATENATE(Info!$D$5,"(ÖNV)","059161",L2512),Adat!$E:$E)</f>
        <v>0</v>
      </c>
      <c r="I2547" s="72">
        <f>SUMIF(Adat!$AH:$AH,CONCATENATE(Info!$D$5,"(ÁIG)","059161",L2512),Adat!$E:$E)</f>
        <v>0</v>
      </c>
    </row>
    <row r="2548" spans="2:9" s="42" customFormat="1" x14ac:dyDescent="0.25">
      <c r="B2548" s="160">
        <v>34</v>
      </c>
      <c r="C2548" s="305" t="s">
        <v>1476</v>
      </c>
      <c r="D2548" s="161" t="s">
        <v>419</v>
      </c>
      <c r="E2548" s="72">
        <f>SUMIF(Adat!$AG:$AG,CONCATENATE(61,Info!$D$5,"059171",L2512),Adat!$E:$E)</f>
        <v>0</v>
      </c>
      <c r="F2548" s="72">
        <f>SUMIF(Adat!$AG:$AG,CONCATENATE(60,Info!$D$5,"059171",L2512),Adat!$E:$E)+E2548</f>
        <v>0</v>
      </c>
      <c r="G2548" s="72">
        <f>SUMIF(Adat!$AH:$AH,CONCATENATE(Info!$D$5,"(KÖT)","059171",L2512),Adat!$E:$E)</f>
        <v>0</v>
      </c>
      <c r="H2548" s="72">
        <f>SUMIF(Adat!$AH:$AH,CONCATENATE(Info!$D$5,"(ÖNV)","059171",L2512),Adat!$E:$E)</f>
        <v>0</v>
      </c>
      <c r="I2548" s="72">
        <f>SUMIF(Adat!$AH:$AH,CONCATENATE(Info!$D$5,"(ÁIG)","059171",L2512),Adat!$E:$E)</f>
        <v>0</v>
      </c>
    </row>
    <row r="2549" spans="2:9" s="42" customFormat="1" x14ac:dyDescent="0.25">
      <c r="B2549" s="160">
        <v>35</v>
      </c>
      <c r="C2549" s="78" t="s">
        <v>420</v>
      </c>
      <c r="D2549" s="86" t="s">
        <v>1478</v>
      </c>
      <c r="E2549" s="73">
        <f>+E2550+E2551+E2552+E2553+E2554</f>
        <v>0</v>
      </c>
      <c r="F2549" s="73">
        <f>+F2550+F2551+F2552+F2553+F2554</f>
        <v>0</v>
      </c>
      <c r="G2549" s="73">
        <f>+G2550+G2551+G2552+G2553+G2554</f>
        <v>0</v>
      </c>
      <c r="H2549" s="73">
        <f>+H2550+H2551+H2552+H2553+H2554</f>
        <v>0</v>
      </c>
      <c r="I2549" s="73">
        <f>+I2550+I2551+I2552+I2553+I2554</f>
        <v>0</v>
      </c>
    </row>
    <row r="2550" spans="2:9" s="42" customFormat="1" x14ac:dyDescent="0.25">
      <c r="B2550" s="160">
        <v>36</v>
      </c>
      <c r="C2550" s="305" t="s">
        <v>1479</v>
      </c>
      <c r="D2550" s="161" t="s">
        <v>422</v>
      </c>
      <c r="E2550" s="72">
        <f>SUMIF(Adat!$AG:$AG,CONCATENATE(61,Info!$D$5,"059211",L2512),Adat!$E:$E)</f>
        <v>0</v>
      </c>
      <c r="F2550" s="72">
        <f>SUMIF(Adat!$AG:$AG,CONCATENATE(60,Info!$D$5,"059211",L2512),Adat!$E:$E)+E2550</f>
        <v>0</v>
      </c>
      <c r="G2550" s="72">
        <f>SUMIF(Adat!$AH:$AH,CONCATENATE(Info!$D$5,"(KÖT)","059211",L2512),Adat!$E:$E)</f>
        <v>0</v>
      </c>
      <c r="H2550" s="72">
        <f>SUMIF(Adat!$AH:$AH,CONCATENATE(Info!$D$5,"(ÖNV)","059211",L2512),Adat!$E:$E)</f>
        <v>0</v>
      </c>
      <c r="I2550" s="72">
        <f>SUMIF(Adat!$AH:$AH,CONCATENATE(Info!$D$5,"(ÁIG)","059211",L2512),Adat!$E:$E)</f>
        <v>0</v>
      </c>
    </row>
    <row r="2551" spans="2:9" s="42" customFormat="1" x14ac:dyDescent="0.25">
      <c r="B2551" s="160">
        <v>37</v>
      </c>
      <c r="C2551" s="305" t="s">
        <v>1481</v>
      </c>
      <c r="D2551" s="161" t="s">
        <v>423</v>
      </c>
      <c r="E2551" s="72">
        <f>SUMIF(Adat!$AG:$AG,CONCATENATE(61,Info!$D$5,"059221",L2512),Adat!$E:$E)</f>
        <v>0</v>
      </c>
      <c r="F2551" s="72">
        <f>SUMIF(Adat!$AG:$AG,CONCATENATE(60,Info!$D$5,"059221",L2512),Adat!$E:$E)+E2551</f>
        <v>0</v>
      </c>
      <c r="G2551" s="72">
        <f>SUMIF(Adat!$AH:$AH,CONCATENATE(Info!$D$5,"(KÖT)","059221",L2512),Adat!$E:$E)</f>
        <v>0</v>
      </c>
      <c r="H2551" s="72">
        <f>SUMIF(Adat!$AH:$AH,CONCATENATE(Info!$D$5,"(ÖNV)","059221",L2512),Adat!$E:$E)</f>
        <v>0</v>
      </c>
      <c r="I2551" s="72">
        <f>SUMIF(Adat!$AH:$AH,CONCATENATE(Info!$D$5,"(ÁIG)","059221",L2512),Adat!$E:$E)</f>
        <v>0</v>
      </c>
    </row>
    <row r="2552" spans="2:9" s="42" customFormat="1" x14ac:dyDescent="0.25">
      <c r="B2552" s="160">
        <v>38</v>
      </c>
      <c r="C2552" s="305" t="s">
        <v>1483</v>
      </c>
      <c r="D2552" s="161" t="s">
        <v>424</v>
      </c>
      <c r="E2552" s="72">
        <f>SUMIF(Adat!$AG:$AG,CONCATENATE(61,Info!$D$5,"059231",L2512),Adat!$E:$E)</f>
        <v>0</v>
      </c>
      <c r="F2552" s="72">
        <f>SUMIF(Adat!$AG:$AG,CONCATENATE(60,Info!$D$5,"059231",L2512),Adat!$E:$E)+E2552</f>
        <v>0</v>
      </c>
      <c r="G2552" s="72">
        <f>SUMIF(Adat!$AH:$AH,CONCATENATE(Info!$D$5,"(KÖT)","059231",L2512),Adat!$E:$E)</f>
        <v>0</v>
      </c>
      <c r="H2552" s="72">
        <f>SUMIF(Adat!$AH:$AH,CONCATENATE(Info!$D$5,"(ÖNV)","059231",L2512),Adat!$E:$E)</f>
        <v>0</v>
      </c>
      <c r="I2552" s="72">
        <f>SUMIF(Adat!$AH:$AH,CONCATENATE(Info!$D$5,"(ÁIG)","059231",L2512),Adat!$E:$E)</f>
        <v>0</v>
      </c>
    </row>
    <row r="2553" spans="2:9" s="42" customFormat="1" x14ac:dyDescent="0.25">
      <c r="B2553" s="160">
        <v>39</v>
      </c>
      <c r="C2553" s="305" t="s">
        <v>1485</v>
      </c>
      <c r="D2553" s="161" t="s">
        <v>494</v>
      </c>
      <c r="E2553" s="72">
        <f>SUMIF(Adat!$AG:$AG,CONCATENATE(61,Info!$D$5,"059241",L2512),Adat!$E:$E)</f>
        <v>0</v>
      </c>
      <c r="F2553" s="72">
        <f>SUMIF(Adat!$AG:$AG,CONCATENATE(60,Info!$D$5,"059241",L2512),Adat!$E:$E)+E2553</f>
        <v>0</v>
      </c>
      <c r="G2553" s="72">
        <f>SUMIF(Adat!$AH:$AH,CONCATENATE(Info!$D$5,"(KÖT)","059241",L2512),Adat!$E:$E)</f>
        <v>0</v>
      </c>
      <c r="H2553" s="72">
        <f>SUMIF(Adat!$AH:$AH,CONCATENATE(Info!$D$5,"(ÖNV)","059241",L2512),Adat!$E:$E)</f>
        <v>0</v>
      </c>
      <c r="I2553" s="72">
        <f>SUMIF(Adat!$AH:$AH,CONCATENATE(Info!$D$5,"(ÁIG)","059241",L2512),Adat!$E:$E)</f>
        <v>0</v>
      </c>
    </row>
    <row r="2554" spans="2:9" x14ac:dyDescent="0.25">
      <c r="B2554" s="160">
        <v>40</v>
      </c>
      <c r="C2554" s="305" t="s">
        <v>1487</v>
      </c>
      <c r="D2554" s="161" t="s">
        <v>427</v>
      </c>
      <c r="E2554" s="72">
        <f>SUMIF(Adat!$AG:$AG,CONCATENATE(61,Info!$D$5,"059251",L2512),Adat!$E:$E)</f>
        <v>0</v>
      </c>
      <c r="F2554" s="72">
        <f>SUMIF(Adat!$AG:$AG,CONCATENATE(60,Info!$D$5,"059251",L2512),Adat!$E:$E)+E2554</f>
        <v>0</v>
      </c>
      <c r="G2554" s="72">
        <f>SUMIF(Adat!$AH:$AH,CONCATENATE(Info!$D$5,"(KÖT)","059251",L2512),Adat!$E:$E)</f>
        <v>0</v>
      </c>
      <c r="H2554" s="72">
        <f>SUMIF(Adat!$AH:$AH,CONCATENATE(Info!$D$5,"(ÖNV)","059251",L2512),Adat!$E:$E)</f>
        <v>0</v>
      </c>
      <c r="I2554" s="72">
        <f>SUMIF(Adat!$AH:$AH,CONCATENATE(Info!$D$5,"(ÁIG)","059251",L2512),Adat!$E:$E)</f>
        <v>0</v>
      </c>
    </row>
    <row r="2555" spans="2:9" x14ac:dyDescent="0.25">
      <c r="B2555" s="160">
        <v>41</v>
      </c>
      <c r="C2555" s="162" t="s">
        <v>390</v>
      </c>
      <c r="D2555" s="86" t="s">
        <v>428</v>
      </c>
      <c r="E2555" s="72">
        <f>SUMIF(Adat!$AG:$AG,CONCATENATE(61,Info!$D$5,"05931",L2512),Adat!$E:$E)</f>
        <v>0</v>
      </c>
      <c r="F2555" s="72">
        <f>SUMIF(Adat!$AG:$AG,CONCATENATE(60,Info!$D$5,"05931",L2512),Adat!$E:$E)+E2555</f>
        <v>0</v>
      </c>
      <c r="G2555" s="72">
        <f>SUMIF(Adat!$AH:$AH,CONCATENATE(Info!$D$5,"(KÖT)","05931",L2512),Adat!$E:$E)</f>
        <v>0</v>
      </c>
      <c r="H2555" s="72">
        <f>SUMIF(Adat!$AH:$AH,CONCATENATE(Info!$D$5,"(ÖNV)","05931",L2512),Adat!$E:$E)</f>
        <v>0</v>
      </c>
      <c r="I2555" s="72">
        <f>SUMIF(Adat!$AH:$AH,CONCATENATE(Info!$D$5,"(ÁIG)","05931",L2512),Adat!$E:$E)</f>
        <v>0</v>
      </c>
    </row>
    <row r="2556" spans="2:9" x14ac:dyDescent="0.25">
      <c r="B2556" s="160">
        <v>42</v>
      </c>
      <c r="C2556" s="162" t="s">
        <v>429</v>
      </c>
      <c r="D2556" s="86" t="s">
        <v>430</v>
      </c>
      <c r="E2556" s="72">
        <f>SUMIF(Adat!$AG:$AG,CONCATENATE(61,Info!$D$5,"05941",L2512),Adat!$E:$E)</f>
        <v>0</v>
      </c>
      <c r="F2556" s="72">
        <f>SUMIF(Adat!$AG:$AG,CONCATENATE(60,Info!$D$5,"05941",L2512),Adat!$E:$E)+E2556</f>
        <v>0</v>
      </c>
      <c r="G2556" s="72">
        <f>SUMIF(Adat!$AH:$AH,CONCATENATE(Info!$D$5,"(KÖT)","05941",L2512),Adat!$E:$E)</f>
        <v>0</v>
      </c>
      <c r="H2556" s="72">
        <f>SUMIF(Adat!$AH:$AH,CONCATENATE(Info!$D$5,"(ÖNV)","05941",L2512),Adat!$E:$E)</f>
        <v>0</v>
      </c>
      <c r="I2556" s="72">
        <f>SUMIF(Adat!$AH:$AH,CONCATENATE(Info!$D$5,"(ÁIG)","05941",L2512),Adat!$E:$E)</f>
        <v>0</v>
      </c>
    </row>
    <row r="2557" spans="2:9" x14ac:dyDescent="0.25">
      <c r="B2557" s="160">
        <v>43</v>
      </c>
      <c r="C2557" s="78" t="s">
        <v>431</v>
      </c>
      <c r="D2557" s="86" t="s">
        <v>432</v>
      </c>
      <c r="E2557" s="74">
        <f>+E2532+E2536+E2543+E2549+E2555+E2556</f>
        <v>0</v>
      </c>
      <c r="F2557" s="74">
        <f>+F2532+F2536+F2543+F2549+F2555+F2556</f>
        <v>0</v>
      </c>
      <c r="G2557" s="74">
        <f>+G2532+G2536+G2543+G2549+G2555+G2556</f>
        <v>0</v>
      </c>
      <c r="H2557" s="74">
        <f>+H2532+H2536+H2543+H2549+H2555+H2556</f>
        <v>0</v>
      </c>
      <c r="I2557" s="74">
        <f>+I2532+I2536+I2543+I2549+I2555+I2556</f>
        <v>0</v>
      </c>
    </row>
    <row r="2558" spans="2:9" x14ac:dyDescent="0.25">
      <c r="B2558" s="160">
        <v>44</v>
      </c>
      <c r="C2558" s="154" t="s">
        <v>433</v>
      </c>
      <c r="D2558" s="159" t="s">
        <v>434</v>
      </c>
      <c r="E2558" s="74">
        <f>+E2531+E2557</f>
        <v>0</v>
      </c>
      <c r="F2558" s="74">
        <f>+F2531+F2557</f>
        <v>0</v>
      </c>
      <c r="G2558" s="74">
        <f>+G2531+G2557</f>
        <v>0</v>
      </c>
      <c r="H2558" s="74">
        <f>+H2531+H2557</f>
        <v>0</v>
      </c>
      <c r="I2558" s="74">
        <f>+I2531+I2557</f>
        <v>0</v>
      </c>
    </row>
    <row r="2559" spans="2:9" s="37" customFormat="1" ht="15.75" x14ac:dyDescent="0.25">
      <c r="C2559" s="529"/>
      <c r="D2559" s="529"/>
      <c r="E2559" s="529"/>
      <c r="F2559" s="200"/>
      <c r="G2559" s="200"/>
      <c r="H2559" s="200"/>
      <c r="I2559" s="200"/>
    </row>
    <row r="2560" spans="2:9" s="38" customFormat="1" ht="15.75" x14ac:dyDescent="0.25">
      <c r="B2560" s="525" t="str">
        <f>PAR!$E$3</f>
        <v>Nagymaros Város Önkormányzata</v>
      </c>
      <c r="C2560" s="525"/>
      <c r="D2560" s="525"/>
      <c r="E2560" s="525"/>
      <c r="F2560" s="525"/>
      <c r="G2560" s="525"/>
      <c r="H2560" s="525"/>
      <c r="I2560" s="525"/>
    </row>
    <row r="2561" spans="2:12" s="38" customFormat="1" ht="15.75" x14ac:dyDescent="0.25">
      <c r="B2561" s="525" t="s">
        <v>2660</v>
      </c>
      <c r="C2561" s="525"/>
      <c r="D2561" s="525"/>
      <c r="E2561" s="525"/>
      <c r="F2561" s="525"/>
      <c r="G2561" s="525"/>
      <c r="H2561" s="525"/>
      <c r="I2561" s="525"/>
    </row>
    <row r="2562" spans="2:12" s="38" customFormat="1" ht="15.75" x14ac:dyDescent="0.25">
      <c r="C2562" s="156"/>
      <c r="E2562" s="140"/>
      <c r="F2562" s="140"/>
      <c r="G2562" s="140"/>
      <c r="H2562" s="140"/>
      <c r="I2562" s="140"/>
    </row>
    <row r="2563" spans="2:12" s="10" customFormat="1" ht="15.75" customHeight="1" x14ac:dyDescent="0.25">
      <c r="B2563" s="201" t="str">
        <f>CONCATENATE("37. Bevételi jogcímek"," - ",L2563," részletező")</f>
        <v>37. Bevételi jogcímek -  részletező</v>
      </c>
      <c r="C2563" s="101"/>
      <c r="D2563" s="101"/>
      <c r="E2563" s="101"/>
      <c r="F2563" s="101"/>
      <c r="G2563" s="198"/>
      <c r="H2563" s="198"/>
      <c r="I2563" s="198"/>
      <c r="L2563" s="384"/>
    </row>
    <row r="2564" spans="2:12" s="38" customFormat="1" ht="15.75" x14ac:dyDescent="0.25">
      <c r="C2564" s="156"/>
      <c r="E2564" s="140"/>
      <c r="F2564" s="140"/>
      <c r="G2564" s="140"/>
      <c r="H2564" s="140"/>
      <c r="I2564" s="140"/>
    </row>
    <row r="2565" spans="2:12" s="40" customFormat="1" x14ac:dyDescent="0.25">
      <c r="B2565" s="77"/>
      <c r="C2565" s="77" t="s">
        <v>350</v>
      </c>
      <c r="D2565" s="77" t="s">
        <v>351</v>
      </c>
      <c r="E2565" s="77" t="s">
        <v>470</v>
      </c>
      <c r="F2565" s="77" t="s">
        <v>471</v>
      </c>
      <c r="G2565" s="77" t="s">
        <v>44</v>
      </c>
      <c r="H2565" s="77" t="s">
        <v>42</v>
      </c>
      <c r="I2565" s="77" t="s">
        <v>511</v>
      </c>
    </row>
    <row r="2566" spans="2:12" ht="38.25" x14ac:dyDescent="0.25">
      <c r="B2566" s="160">
        <v>1</v>
      </c>
      <c r="C2566" s="154" t="s">
        <v>593</v>
      </c>
      <c r="D2566" s="154" t="s">
        <v>488</v>
      </c>
      <c r="E2566" s="163" t="str">
        <f>CONCATENATE(PAR!$H$3," évi
eredeti 
előirányzat")</f>
        <v>2025. évi
eredeti 
előirányzat</v>
      </c>
      <c r="F2566" s="163" t="str">
        <f>CONCATENATE(PAR!$H$3," évi
módosított 
előirányzat")</f>
        <v>2025. évi
módosított 
előirányzat</v>
      </c>
      <c r="G2566" s="69" t="s">
        <v>666</v>
      </c>
      <c r="H2566" s="69" t="s">
        <v>667</v>
      </c>
      <c r="I2566" s="69" t="s">
        <v>668</v>
      </c>
    </row>
    <row r="2567" spans="2:12" s="41" customFormat="1" x14ac:dyDescent="0.25">
      <c r="B2567" s="160">
        <v>2</v>
      </c>
      <c r="C2567" s="78" t="s">
        <v>1324</v>
      </c>
      <c r="D2567" s="79" t="s">
        <v>562</v>
      </c>
      <c r="E2567" s="71">
        <f>SUM(E2568:E2574)</f>
        <v>0</v>
      </c>
      <c r="F2567" s="71">
        <f t="shared" ref="F2567:I2567" si="270">SUM(F2568:F2574)</f>
        <v>0</v>
      </c>
      <c r="G2567" s="71">
        <f t="shared" si="270"/>
        <v>0</v>
      </c>
      <c r="H2567" s="71">
        <f t="shared" si="270"/>
        <v>0</v>
      </c>
      <c r="I2567" s="71">
        <f t="shared" si="270"/>
        <v>0</v>
      </c>
    </row>
    <row r="2568" spans="2:12" s="42" customFormat="1" x14ac:dyDescent="0.2">
      <c r="B2568" s="160">
        <v>3</v>
      </c>
      <c r="C2568" s="305" t="s">
        <v>1288</v>
      </c>
      <c r="D2568" s="82" t="s">
        <v>1325</v>
      </c>
      <c r="E2568" s="72">
        <f>SUMIF(Adat!$AG:$AG,CONCATENATE(61,Info!$D$5,"091111",L2563),Adat!$E:$E)*-1</f>
        <v>0</v>
      </c>
      <c r="F2568" s="72">
        <f>SUMIF(Adat!$AG:$AG,CONCATENATE(60,Info!$D$5,"091111",L2563),Adat!$E:$E)*(-1)+E2568</f>
        <v>0</v>
      </c>
      <c r="G2568" s="72">
        <f>SUMIF(Adat!$AH:$AH,CONCATENATE(Info!$D$5,"(KÖT)","091111",L2563),Adat!$E:$E)*-1</f>
        <v>0</v>
      </c>
      <c r="H2568" s="72">
        <f>SUMIF(Adat!$AH:$AH,CONCATENATE(Info!$D$5,"(ÖNV)","091111",L2563),Adat!$E:$E)*-1</f>
        <v>0</v>
      </c>
      <c r="I2568" s="72">
        <f>SUMIF(Adat!$AH:$AH,CONCATENATE(Info!$D$5,"(ÁIG)","091111",L2563),Adat!$E:$E)*-1</f>
        <v>0</v>
      </c>
    </row>
    <row r="2569" spans="2:12" x14ac:dyDescent="0.2">
      <c r="B2569" s="160">
        <v>4</v>
      </c>
      <c r="C2569" s="305" t="s">
        <v>1289</v>
      </c>
      <c r="D2569" s="82" t="s">
        <v>735</v>
      </c>
      <c r="E2569" s="72">
        <f>SUMIF(Adat!$AG:$AG,CONCATENATE(61,Info!$D$5,"091121",L2563),Adat!$E:$E)*-1</f>
        <v>0</v>
      </c>
      <c r="F2569" s="72">
        <f>SUMIF(Adat!$AG:$AG,CONCATENATE(60,Info!$D$5,"091121",L2563),Adat!$E:$E)*-1+E2569</f>
        <v>0</v>
      </c>
      <c r="G2569" s="72">
        <f>SUMIF(Adat!$AH:$AH,CONCATENATE(Info!$D$5,"(KÖT)","091121",L2563),Adat!$E:$E)*-1</f>
        <v>0</v>
      </c>
      <c r="H2569" s="72">
        <f>SUMIF(Adat!$AH:$AH,CONCATENATE(Info!$D$5,"(ÖNV)","091121",L2563),Adat!$E:$E)*-1</f>
        <v>0</v>
      </c>
      <c r="I2569" s="72">
        <f>SUMIF(Adat!$AH:$AH,CONCATENATE(Info!$D$5,"(ÁIG)","091121",L2563),Adat!$E:$E)*-1</f>
        <v>0</v>
      </c>
    </row>
    <row r="2570" spans="2:12" x14ac:dyDescent="0.2">
      <c r="B2570" s="160">
        <v>5</v>
      </c>
      <c r="C2570" s="305" t="s">
        <v>1290</v>
      </c>
      <c r="D2570" s="82" t="s">
        <v>1326</v>
      </c>
      <c r="E2570" s="72">
        <f>SUMIF(Adat!$AG:$AG,CONCATENATE(61,Info!$D$5,"0911311",L2563),Adat!$E:$E)*-1</f>
        <v>0</v>
      </c>
      <c r="F2570" s="72">
        <f>SUMIF(Adat!$AG:$AG,CONCATENATE(60,Info!$D$5,"0911311",L2563),Adat!$E:$E)*-1+E2570</f>
        <v>0</v>
      </c>
      <c r="G2570" s="72">
        <f>SUMIF(Adat!$AH:$AH,CONCATENATE(Info!$D$5,"(KÖT)","0911311",L2563),Adat!$E:$E)*-1</f>
        <v>0</v>
      </c>
      <c r="H2570" s="72">
        <f>SUMIF(Adat!$AH:$AH,CONCATENATE(Info!$D$5,"(ÖNV)","0911311",L2563),Adat!$E:$E)*-1</f>
        <v>0</v>
      </c>
      <c r="I2570" s="72">
        <f>SUMIF(Adat!$AH:$AH,CONCATENATE(Info!$D$5,"(ÁIG)","0911311",L2563),Adat!$E:$E)*-1</f>
        <v>0</v>
      </c>
    </row>
    <row r="2571" spans="2:12" x14ac:dyDescent="0.2">
      <c r="B2571" s="160">
        <v>6</v>
      </c>
      <c r="C2571" s="305" t="s">
        <v>1254</v>
      </c>
      <c r="D2571" s="82" t="s">
        <v>736</v>
      </c>
      <c r="E2571" s="72">
        <f>SUMIF(Adat!$AG:$AG,CONCATENATE(61,Info!$D$5,"0911321",L2563),Adat!$E:$E)*-1</f>
        <v>0</v>
      </c>
      <c r="F2571" s="72">
        <f>SUMIF(Adat!$AG:$AG,CONCATENATE(60,Info!$D$5,"0911321",L2563),Adat!$E:$E)*-1+E2571</f>
        <v>0</v>
      </c>
      <c r="G2571" s="72">
        <f>SUMIF(Adat!$AH:$AH,CONCATENATE(Info!$D$5,"(KÖT)","0911321",L2563),Adat!$E:$E)*-1</f>
        <v>0</v>
      </c>
      <c r="H2571" s="72">
        <f>SUMIF(Adat!$AH:$AH,CONCATENATE(Info!$D$5,"(ÖNV)","0911321",L2563),Adat!$E:$E)*-1</f>
        <v>0</v>
      </c>
      <c r="I2571" s="72">
        <f>SUMIF(Adat!$AH:$AH,CONCATENATE(Info!$D$5,"(ÁIG)","0911321",L2563),Adat!$E:$E)*-1</f>
        <v>0</v>
      </c>
    </row>
    <row r="2572" spans="2:12" x14ac:dyDescent="0.25">
      <c r="B2572" s="160">
        <v>7</v>
      </c>
      <c r="C2572" s="305" t="s">
        <v>1291</v>
      </c>
      <c r="D2572" s="84" t="s">
        <v>737</v>
      </c>
      <c r="E2572" s="72">
        <f>SUMIF(Adat!$AG:$AG,CONCATENATE(61,Info!$D$5,"091141",L2563),Adat!$E:$E)*-1</f>
        <v>0</v>
      </c>
      <c r="F2572" s="72">
        <f>SUMIF(Adat!$AG:$AG,CONCATENATE(60,Info!$D$5,"091141",L2563),Adat!$E:$E)*-1+E2572</f>
        <v>0</v>
      </c>
      <c r="G2572" s="72">
        <f>SUMIF(Adat!$AH:$AH,CONCATENATE(Info!$D$5,"(KÖT)","091141",L2563),Adat!$E:$E)*-1</f>
        <v>0</v>
      </c>
      <c r="H2572" s="72">
        <f>SUMIF(Adat!$AH:$AH,CONCATENATE(Info!$D$5,"(ÖNV)","091141",L2563),Adat!$E:$E)*-1</f>
        <v>0</v>
      </c>
      <c r="I2572" s="72">
        <f>SUMIF(Adat!$AH:$AH,CONCATENATE(Info!$D$5,"(ÁIG)","091141",L2563),Adat!$E:$E)*-1</f>
        <v>0</v>
      </c>
    </row>
    <row r="2573" spans="2:12" x14ac:dyDescent="0.25">
      <c r="B2573" s="160">
        <v>8</v>
      </c>
      <c r="C2573" s="305" t="s">
        <v>1312</v>
      </c>
      <c r="D2573" s="84" t="s">
        <v>738</v>
      </c>
      <c r="E2573" s="72">
        <f>SUMIF(Adat!$AG:$AG,CONCATENATE(61,Info!$D$5,"091151",L2563),Adat!$E:$E)*-1</f>
        <v>0</v>
      </c>
      <c r="F2573" s="72">
        <f>SUMIF(Adat!$AG:$AG,CONCATENATE(60,Info!$D$5,"091151",L2563),Adat!$E:$E)*-1+E2573</f>
        <v>0</v>
      </c>
      <c r="G2573" s="72">
        <f>SUMIF(Adat!$AH:$AH,CONCATENATE(Info!$D$5,"(KÖT)","091151",L2563),Adat!$E:$E)*-1</f>
        <v>0</v>
      </c>
      <c r="H2573" s="72">
        <f>SUMIF(Adat!$AH:$AH,CONCATENATE(Info!$D$5,"(ÖNV)","091151",L2563),Adat!$E:$E)*-1</f>
        <v>0</v>
      </c>
      <c r="I2573" s="72">
        <f>SUMIF(Adat!$AH:$AH,CONCATENATE(Info!$D$5,"(ÁIG)","091151",L2563),Adat!$E:$E)*-1</f>
        <v>0</v>
      </c>
    </row>
    <row r="2574" spans="2:12" s="42" customFormat="1" x14ac:dyDescent="0.25">
      <c r="B2574" s="160">
        <v>9</v>
      </c>
      <c r="C2574" s="305" t="s">
        <v>1308</v>
      </c>
      <c r="D2574" s="84" t="s">
        <v>233</v>
      </c>
      <c r="E2574" s="72">
        <f>SUMIF(Adat!$AG:$AG,CONCATENATE(61,Info!$D$5,"091161",L2563),Adat!$E:$E)*-1</f>
        <v>0</v>
      </c>
      <c r="F2574" s="72">
        <f>SUMIF(Adat!$AG:$AG,CONCATENATE(60,Info!$D$5,"091161",L2563),Adat!$E:$E)*-1+E2574</f>
        <v>0</v>
      </c>
      <c r="G2574" s="72">
        <f>SUMIF(Adat!$AH:$AH,CONCATENATE(Info!$D$5,"(KÖT)","091161",L2563),Adat!$E:$E)*-1</f>
        <v>0</v>
      </c>
      <c r="H2574" s="72">
        <f>SUMIF(Adat!$AH:$AH,CONCATENATE(Info!$D$5,"(ÖNV)","091161",L2563),Adat!$E:$E)*-1</f>
        <v>0</v>
      </c>
      <c r="I2574" s="72">
        <f>SUMIF(Adat!$AH:$AH,CONCATENATE(Info!$D$5,"(ÁIG)","091161",L2563),Adat!$E:$E)*-1</f>
        <v>0</v>
      </c>
    </row>
    <row r="2575" spans="2:12" s="42" customFormat="1" x14ac:dyDescent="0.25">
      <c r="B2575" s="160">
        <v>10</v>
      </c>
      <c r="C2575" s="78" t="s">
        <v>1328</v>
      </c>
      <c r="D2575" s="85" t="s">
        <v>437</v>
      </c>
      <c r="E2575" s="71">
        <f>SUM(E2576:E2580)</f>
        <v>0</v>
      </c>
      <c r="F2575" s="71">
        <f t="shared" ref="F2575" si="271">SUM(F2576:F2580)</f>
        <v>0</v>
      </c>
      <c r="G2575" s="71">
        <f>SUM(G2576:G2580)</f>
        <v>0</v>
      </c>
      <c r="H2575" s="71">
        <f t="shared" ref="H2575:I2575" si="272">SUM(H2576:H2580)</f>
        <v>0</v>
      </c>
      <c r="I2575" s="71">
        <f t="shared" si="272"/>
        <v>0</v>
      </c>
    </row>
    <row r="2576" spans="2:12" s="42" customFormat="1" x14ac:dyDescent="0.2">
      <c r="B2576" s="160">
        <v>11</v>
      </c>
      <c r="C2576" s="305" t="s">
        <v>1329</v>
      </c>
      <c r="D2576" s="82" t="s">
        <v>1330</v>
      </c>
      <c r="E2576" s="72">
        <f>SUMIF(Adat!$AG:$AG,CONCATENATE(61,Info!$D$5,"09121",L2563),Adat!$E:$E)*-1</f>
        <v>0</v>
      </c>
      <c r="F2576" s="72">
        <f>SUMIF(Adat!$AG:$AG,CONCATENATE(60,Info!$D$5,"09121",L2563),Adat!$E:$E)*-1+E2576</f>
        <v>0</v>
      </c>
      <c r="G2576" s="72">
        <f>SUMIF(Adat!$AH:$AH,CONCATENATE(Info!$D$5,"(KÖT)","09121",L2563),Adat!$E:$E)*-1</f>
        <v>0</v>
      </c>
      <c r="H2576" s="72">
        <f>SUMIF(Adat!$AH:$AH,CONCATENATE(Info!$D$5,"(ÖNV)","09121",L2563),Adat!$E:$E)*-1</f>
        <v>0</v>
      </c>
      <c r="I2576" s="72">
        <f>SUMIF(Adat!$AH:$AH,CONCATENATE(Info!$D$5,"(ÁIG)","09121",L2563),Adat!$E:$E)*-1</f>
        <v>0</v>
      </c>
    </row>
    <row r="2577" spans="2:9" s="42" customFormat="1" x14ac:dyDescent="0.2">
      <c r="B2577" s="160">
        <v>12</v>
      </c>
      <c r="C2577" s="305" t="s">
        <v>1331</v>
      </c>
      <c r="D2577" s="82" t="s">
        <v>1332</v>
      </c>
      <c r="E2577" s="72">
        <f>SUMIF(Adat!$AG:$AG,CONCATENATE(61,Info!$D$5,"09131",L2563),Adat!$E:$E)*-1</f>
        <v>0</v>
      </c>
      <c r="F2577" s="72">
        <f>SUMIF(Adat!$AG:$AG,CONCATENATE(60,Info!$D$5,"09131",L2563),Adat!$E:$E)*-1+E2577</f>
        <v>0</v>
      </c>
      <c r="G2577" s="72">
        <f>SUMIF(Adat!$AH:$AH,CONCATENATE(Info!$D$5,"(KÖT)","09131",L2563),Adat!$E:$E)*-1</f>
        <v>0</v>
      </c>
      <c r="H2577" s="72">
        <f>SUMIF(Adat!$AH:$AH,CONCATENATE(Info!$D$5,"(ÖNV)","09131",L2563),Adat!$E:$E)*-1</f>
        <v>0</v>
      </c>
      <c r="I2577" s="72">
        <f>SUMIF(Adat!$AH:$AH,CONCATENATE(Info!$D$5,"(ÁIG)","09131",L2563),Adat!$E:$E)*-1</f>
        <v>0</v>
      </c>
    </row>
    <row r="2578" spans="2:9" s="42" customFormat="1" x14ac:dyDescent="0.2">
      <c r="B2578" s="160">
        <v>13</v>
      </c>
      <c r="C2578" s="305" t="s">
        <v>1333</v>
      </c>
      <c r="D2578" s="82" t="s">
        <v>1334</v>
      </c>
      <c r="E2578" s="72">
        <f>SUMIF(Adat!$AG:$AG,CONCATENATE(61,Info!$D$5,"09141",L2563),Adat!$E:$E)*-1</f>
        <v>0</v>
      </c>
      <c r="F2578" s="72">
        <f>SUMIF(Adat!$AG:$AG,CONCATENATE(60,Info!$D$5,"09141",L2563),Adat!$E:$E)*-1+E2578</f>
        <v>0</v>
      </c>
      <c r="G2578" s="72">
        <f>SUMIF(Adat!$AH:$AH,CONCATENATE(Info!$D$5,"(KÖT)","09141",L2563),Adat!$E:$E)*-1</f>
        <v>0</v>
      </c>
      <c r="H2578" s="72">
        <f>SUMIF(Adat!$AH:$AH,CONCATENATE(Info!$D$5,"(ÖNV)","09141",L2563),Adat!$E:$E)*-1</f>
        <v>0</v>
      </c>
      <c r="I2578" s="72">
        <f>SUMIF(Adat!$AH:$AH,CONCATENATE(Info!$D$5,"(ÁIG)","09141",L2563),Adat!$E:$E)*-1</f>
        <v>0</v>
      </c>
    </row>
    <row r="2579" spans="2:9" s="42" customFormat="1" x14ac:dyDescent="0.2">
      <c r="B2579" s="160">
        <v>14</v>
      </c>
      <c r="C2579" s="305" t="s">
        <v>1335</v>
      </c>
      <c r="D2579" s="82" t="s">
        <v>1336</v>
      </c>
      <c r="E2579" s="72">
        <f>SUMIF(Adat!$AG:$AG,CONCATENATE(61,Info!$D$5,"09151",L2563),Adat!$E:$E)*-1</f>
        <v>0</v>
      </c>
      <c r="F2579" s="72">
        <f>SUMIF(Adat!$AG:$AG,CONCATENATE(60,Info!$D$5,"09151",L2563),Adat!$E:$E)*-1+E2579</f>
        <v>0</v>
      </c>
      <c r="G2579" s="72">
        <f>SUMIF(Adat!$AH:$AH,CONCATENATE(Info!$D$5,"(KÖT)","09151",L2563),Adat!$E:$E)*-1</f>
        <v>0</v>
      </c>
      <c r="H2579" s="72">
        <f>SUMIF(Adat!$AH:$AH,CONCATENATE(Info!$D$5,"(ÖNV)","09151",L2563),Adat!$E:$E)*-1</f>
        <v>0</v>
      </c>
      <c r="I2579" s="72">
        <f>SUMIF(Adat!$AH:$AH,CONCATENATE(Info!$D$5,"(ÁIG)","09151",L2563),Adat!$E:$E)*-1</f>
        <v>0</v>
      </c>
    </row>
    <row r="2580" spans="2:9" s="42" customFormat="1" x14ac:dyDescent="0.2">
      <c r="B2580" s="160">
        <v>15</v>
      </c>
      <c r="C2580" s="305" t="s">
        <v>1278</v>
      </c>
      <c r="D2580" s="82" t="s">
        <v>1337</v>
      </c>
      <c r="E2580" s="72">
        <f>SUMIF(Adat!$AG:$AG,CONCATENATE(61,Info!$D$5,"09161",L2563),Adat!$E:$E)*-1</f>
        <v>0</v>
      </c>
      <c r="F2580" s="72">
        <f>SUMIF(Adat!$AG:$AG,CONCATENATE(60,Info!$D$5,"09161",L2563),Adat!$E:$E)*-1+E2580</f>
        <v>0</v>
      </c>
      <c r="G2580" s="72">
        <f>SUMIF(Adat!$AH:$AH,CONCATENATE(Info!$D$5,"(KÖT)","09161",L2563),Adat!$E:$E)*-1</f>
        <v>0</v>
      </c>
      <c r="H2580" s="72">
        <f>SUMIF(Adat!$AH:$AH,CONCATENATE(Info!$D$5,"(ÖNV)","09161",L2563),Adat!$E:$E)*-1</f>
        <v>0</v>
      </c>
      <c r="I2580" s="72">
        <f>SUMIF(Adat!$AH:$AH,CONCATENATE(Info!$D$5,"(ÁIG)","09161",L2563),Adat!$E:$E)*-1</f>
        <v>0</v>
      </c>
    </row>
    <row r="2581" spans="2:9" x14ac:dyDescent="0.25">
      <c r="B2581" s="160">
        <v>16</v>
      </c>
      <c r="C2581" s="79" t="s">
        <v>24</v>
      </c>
      <c r="D2581" s="79" t="s">
        <v>449</v>
      </c>
      <c r="E2581" s="71">
        <f t="shared" ref="E2581:F2581" si="273">SUM(E2582:E2586)</f>
        <v>0</v>
      </c>
      <c r="F2581" s="71">
        <f t="shared" si="273"/>
        <v>0</v>
      </c>
      <c r="G2581" s="71">
        <f>SUM(G2582:G2586)</f>
        <v>0</v>
      </c>
      <c r="H2581" s="71">
        <f t="shared" ref="H2581:I2581" si="274">SUM(H2582:H2586)</f>
        <v>0</v>
      </c>
      <c r="I2581" s="71">
        <f t="shared" si="274"/>
        <v>0</v>
      </c>
    </row>
    <row r="2582" spans="2:9" x14ac:dyDescent="0.2">
      <c r="B2582" s="160">
        <v>17</v>
      </c>
      <c r="C2582" s="305" t="s">
        <v>1339</v>
      </c>
      <c r="D2582" s="82" t="s">
        <v>1340</v>
      </c>
      <c r="E2582" s="72">
        <f>SUMIF(Adat!$AG:$AG,CONCATENATE(61,Info!$D$5,"09211",L2563),Adat!$E:$E)*-1</f>
        <v>0</v>
      </c>
      <c r="F2582" s="72">
        <f>SUMIF(Adat!$AG:$AG,CONCATENATE(60,Info!$D$5,"09211",L2563),Adat!$E:$E)*-1+E2582</f>
        <v>0</v>
      </c>
      <c r="G2582" s="72">
        <f>SUMIF(Adat!$AH:$AH,CONCATENATE(Info!$D$5,"(KÖT)","09211",L2563),Adat!$E:$E)*-1</f>
        <v>0</v>
      </c>
      <c r="H2582" s="72">
        <f>SUMIF(Adat!$AH:$AH,CONCATENATE(Info!$D$5,"(ÖNV)","09211",L2563),Adat!$E:$E)*-1</f>
        <v>0</v>
      </c>
      <c r="I2582" s="72">
        <f>SUMIF(Adat!$AH:$AH,CONCATENATE(Info!$D$5,"(ÁIG)","09211",L2563),Adat!$E:$E)*-1</f>
        <v>0</v>
      </c>
    </row>
    <row r="2583" spans="2:9" s="42" customFormat="1" x14ac:dyDescent="0.2">
      <c r="B2583" s="160">
        <v>18</v>
      </c>
      <c r="C2583" s="305" t="s">
        <v>1341</v>
      </c>
      <c r="D2583" s="82" t="s">
        <v>1342</v>
      </c>
      <c r="E2583" s="72">
        <f>SUMIF(Adat!$AG:$AG,CONCATENATE(61,Info!$D$5,"09221",L2563),Adat!$E:$E)*-1</f>
        <v>0</v>
      </c>
      <c r="F2583" s="72">
        <f>SUMIF(Adat!$AG:$AG,CONCATENATE(60,Info!$D$5,"09221",L2563),Adat!$E:$E)*-1+E2583</f>
        <v>0</v>
      </c>
      <c r="G2583" s="72">
        <f>SUMIF(Adat!$AH:$AH,CONCATENATE(Info!$D$5,"(KÖT)","09221",L2563),Adat!$E:$E)*-1</f>
        <v>0</v>
      </c>
      <c r="H2583" s="72">
        <f>SUMIF(Adat!$AH:$AH,CONCATENATE(Info!$D$5,"(ÖNV)","09221",L2563),Adat!$E:$E)*-1</f>
        <v>0</v>
      </c>
      <c r="I2583" s="72">
        <f>SUMIF(Adat!$AH:$AH,CONCATENATE(Info!$D$5,"(ÁIG)","09221",L2563),Adat!$E:$E)*-1</f>
        <v>0</v>
      </c>
    </row>
    <row r="2584" spans="2:9" x14ac:dyDescent="0.2">
      <c r="B2584" s="160">
        <v>19</v>
      </c>
      <c r="C2584" s="305" t="s">
        <v>1343</v>
      </c>
      <c r="D2584" s="82" t="s">
        <v>1344</v>
      </c>
      <c r="E2584" s="72">
        <f>SUMIF(Adat!$AG:$AG,CONCATENATE(61,Info!$D$5,"09231",L2563),Adat!$E:$E)*-1</f>
        <v>0</v>
      </c>
      <c r="F2584" s="72">
        <f>SUMIF(Adat!$AG:$AG,CONCATENATE(60,Info!$D$5,"09231",L2563),Adat!$E:$E)*-1+E2584</f>
        <v>0</v>
      </c>
      <c r="G2584" s="72">
        <f>SUMIF(Adat!$AH:$AH,CONCATENATE(Info!$D$5,"(KÖT)","09231",L2563),Adat!$E:$E)*-1</f>
        <v>0</v>
      </c>
      <c r="H2584" s="72">
        <f>SUMIF(Adat!$AH:$AH,CONCATENATE(Info!$D$5,"(ÖNV)","09231",L2563),Adat!$E:$E)*-1</f>
        <v>0</v>
      </c>
      <c r="I2584" s="72">
        <f>SUMIF(Adat!$AH:$AH,CONCATENATE(Info!$D$5,"(ÁIG)","09231",L2563),Adat!$E:$E)*-1</f>
        <v>0</v>
      </c>
    </row>
    <row r="2585" spans="2:9" x14ac:dyDescent="0.2">
      <c r="B2585" s="160">
        <v>20</v>
      </c>
      <c r="C2585" s="305" t="s">
        <v>1345</v>
      </c>
      <c r="D2585" s="82" t="s">
        <v>1346</v>
      </c>
      <c r="E2585" s="72">
        <f>SUMIF(Adat!$AG:$AG,CONCATENATE(61,Info!$D$5,"09241",L2563),Adat!$E:$E)*-1</f>
        <v>0</v>
      </c>
      <c r="F2585" s="72">
        <f>SUMIF(Adat!$AG:$AG,CONCATENATE(60,Info!$D$5,"09241",L2563),Adat!$E:$E)*-1+E2585</f>
        <v>0</v>
      </c>
      <c r="G2585" s="72">
        <f>SUMIF(Adat!$AH:$AH,CONCATENATE(Info!$D$5,"(KÖT)","09241",L2563),Adat!$E:$E)*-1</f>
        <v>0</v>
      </c>
      <c r="H2585" s="72">
        <f>SUMIF(Adat!$AH:$AH,CONCATENATE(Info!$D$5,"(ÖNV)","09241",L2563),Adat!$E:$E)*-1</f>
        <v>0</v>
      </c>
      <c r="I2585" s="72">
        <f>SUMIF(Adat!$AH:$AH,CONCATENATE(Info!$D$5,"(ÁIG)","09241",L2563),Adat!$E:$E)*-1</f>
        <v>0</v>
      </c>
    </row>
    <row r="2586" spans="2:9" x14ac:dyDescent="0.2">
      <c r="B2586" s="160">
        <v>21</v>
      </c>
      <c r="C2586" s="305" t="s">
        <v>1255</v>
      </c>
      <c r="D2586" s="82" t="s">
        <v>1347</v>
      </c>
      <c r="E2586" s="72">
        <f>SUMIF(Adat!$AG:$AG,CONCATENATE(61,Info!$D$5,"09251",L2563),Adat!$E:$E)*-1</f>
        <v>0</v>
      </c>
      <c r="F2586" s="72">
        <f>SUMIF(Adat!$AG:$AG,CONCATENATE(60,Info!$D$5,"09251",L2563),Adat!$E:$E)*-1+E2586</f>
        <v>0</v>
      </c>
      <c r="G2586" s="72">
        <f>SUMIF(Adat!$AH:$AH,CONCATENATE(Info!$D$5,"(KÖT)","09251",L2563),Adat!$E:$E)*-1</f>
        <v>0</v>
      </c>
      <c r="H2586" s="72">
        <f>SUMIF(Adat!$AH:$AH,CONCATENATE(Info!$D$5,"(ÖNV)","09251",L2563),Adat!$E:$E)*-1</f>
        <v>0</v>
      </c>
      <c r="I2586" s="72">
        <f>SUMIF(Adat!$AH:$AH,CONCATENATE(Info!$D$5,"(ÁIG)","09251",L2563),Adat!$E:$E)*-1</f>
        <v>0</v>
      </c>
    </row>
    <row r="2587" spans="2:9" x14ac:dyDescent="0.25">
      <c r="B2587" s="160">
        <v>22</v>
      </c>
      <c r="C2587" s="79" t="s">
        <v>27</v>
      </c>
      <c r="D2587" s="79" t="s">
        <v>328</v>
      </c>
      <c r="E2587" s="71">
        <f>SUM(E2588:E2593)</f>
        <v>0</v>
      </c>
      <c r="F2587" s="71">
        <f>SUM(F2588:F2593)</f>
        <v>0</v>
      </c>
      <c r="G2587" s="71">
        <f>SUM(G2588:G2593)</f>
        <v>0</v>
      </c>
      <c r="H2587" s="71">
        <f>SUM(H2588:H2593)</f>
        <v>0</v>
      </c>
      <c r="I2587" s="71">
        <f>SUM(I2588:I2593)</f>
        <v>0</v>
      </c>
    </row>
    <row r="2588" spans="2:9" x14ac:dyDescent="0.2">
      <c r="B2588" s="160">
        <v>23</v>
      </c>
      <c r="C2588" s="305" t="s">
        <v>1348</v>
      </c>
      <c r="D2588" s="82" t="s">
        <v>1349</v>
      </c>
      <c r="E2588" s="72">
        <f>SUMIF(Adat!$AG:$AG,CONCATENATE(61,Info!$D$5,"093111",L2563),Adat!$E:$E)*-1</f>
        <v>0</v>
      </c>
      <c r="F2588" s="72">
        <f>SUMIF(Adat!$AG:$AG,CONCATENATE(60,Info!$D$5,"093111",L2563),Adat!$E:$E)*-1+E2588</f>
        <v>0</v>
      </c>
      <c r="G2588" s="72">
        <f>SUMIF(Adat!$AH:$AH,CONCATENATE(Info!$D$5,"(KÖT)","093111",L2563),Adat!$E:$E)*-1</f>
        <v>0</v>
      </c>
      <c r="H2588" s="72">
        <f>SUMIF(Adat!$AH:$AH,CONCATENATE(Info!$D$5,"(ÖNV)","093111",L2563),Adat!$E:$E)*-1</f>
        <v>0</v>
      </c>
      <c r="I2588" s="72">
        <f>SUMIF(Adat!$AH:$AH,CONCATENATE(Info!$D$5,"(ÁIG)","093111",L2563),Adat!$E:$E)*-1</f>
        <v>0</v>
      </c>
    </row>
    <row r="2589" spans="2:9" x14ac:dyDescent="0.2">
      <c r="B2589" s="160">
        <v>24</v>
      </c>
      <c r="C2589" s="305" t="s">
        <v>1259</v>
      </c>
      <c r="D2589" s="82" t="s">
        <v>1350</v>
      </c>
      <c r="E2589" s="72">
        <f>SUMIF(Adat!$AG:$AG,CONCATENATE(61,Info!$D$5,"09341",L2563),Adat!$E:$E)*-1</f>
        <v>0</v>
      </c>
      <c r="F2589" s="72">
        <f>SUMIF(Adat!$AG:$AG,CONCATENATE(60,Info!$D$5,"09341",L2563),Adat!$E:$E)*-1+E2589</f>
        <v>0</v>
      </c>
      <c r="G2589" s="72">
        <f>SUMIF(Adat!$AH:$AH,CONCATENATE(Info!$D$5,"(KÖT)","09341",L2563),Adat!$E:$E)*-1</f>
        <v>0</v>
      </c>
      <c r="H2589" s="72">
        <f>SUMIF(Adat!$AH:$AH,CONCATENATE(Info!$D$5,"(ÖNV)","09341",L2563),Adat!$E:$E)*-1</f>
        <v>0</v>
      </c>
      <c r="I2589" s="72">
        <f>SUMIF(Adat!$AH:$AH,CONCATENATE(Info!$D$5,"(ÁIG)","09341",L2563),Adat!$E:$E)*-1</f>
        <v>0</v>
      </c>
    </row>
    <row r="2590" spans="2:9" x14ac:dyDescent="0.2">
      <c r="B2590" s="160">
        <v>25</v>
      </c>
      <c r="C2590" s="305" t="s">
        <v>1260</v>
      </c>
      <c r="D2590" s="82" t="s">
        <v>1351</v>
      </c>
      <c r="E2590" s="72">
        <f>SUMIF(Adat!$AG:$AG,CONCATENATE(61,Info!$D$5,"093511",L2563),Adat!$E:$E)*-1</f>
        <v>0</v>
      </c>
      <c r="F2590" s="72">
        <f>SUMIF(Adat!$AG:$AG,CONCATENATE(60,Info!$D$5,"093511",L2563),Adat!$E:$E)*-1+E2590</f>
        <v>0</v>
      </c>
      <c r="G2590" s="72">
        <f>SUMIF(Adat!$AH:$AH,CONCATENATE(Info!$D$5,"(KÖT)","093511",L2563),Adat!$E:$E)*-1</f>
        <v>0</v>
      </c>
      <c r="H2590" s="72">
        <f>SUMIF(Adat!$AH:$AH,CONCATENATE(Info!$D$5,"(ÖNV)","093511",L2563),Adat!$E:$E)*-1</f>
        <v>0</v>
      </c>
      <c r="I2590" s="72">
        <f>SUMIF(Adat!$AH:$AH,CONCATENATE(Info!$D$5,"(ÁIG)","093511",L2563),Adat!$E:$E)*-1</f>
        <v>0</v>
      </c>
    </row>
    <row r="2591" spans="2:9" x14ac:dyDescent="0.2">
      <c r="B2591" s="160">
        <v>26</v>
      </c>
      <c r="C2591" s="305" t="s">
        <v>1352</v>
      </c>
      <c r="D2591" s="82" t="s">
        <v>1353</v>
      </c>
      <c r="E2591" s="72">
        <f>SUMIF(Adat!$AG:$AG,CONCATENATE(61,Info!$D$5,"093521",L2563),Adat!$E:$E)*-1</f>
        <v>0</v>
      </c>
      <c r="F2591" s="72">
        <f>SUMIF(Adat!$AG:$AG,CONCATENATE(60,Info!$D$5,"093521",L2563),Adat!$E:$E)*-1+E2591</f>
        <v>0</v>
      </c>
      <c r="G2591" s="72">
        <f>SUMIF(Adat!$AH:$AH,CONCATENATE(Info!$D$5,"(KÖT)","093521",L2563),Adat!$E:$E)*-1</f>
        <v>0</v>
      </c>
      <c r="H2591" s="72">
        <f>SUMIF(Adat!$AH:$AH,CONCATENATE(Info!$D$5,"(ÖNV)","093521",L2563),Adat!$E:$E)*-1</f>
        <v>0</v>
      </c>
      <c r="I2591" s="72">
        <f>SUMIF(Adat!$AH:$AH,CONCATENATE(Info!$D$5,"(ÁIG)","093521",L2563),Adat!$E:$E)*-1</f>
        <v>0</v>
      </c>
    </row>
    <row r="2592" spans="2:9" x14ac:dyDescent="0.2">
      <c r="B2592" s="160">
        <v>27</v>
      </c>
      <c r="C2592" s="305" t="s">
        <v>1292</v>
      </c>
      <c r="D2592" s="82" t="s">
        <v>1354</v>
      </c>
      <c r="E2592" s="72">
        <f>SUMIF(Adat!$AG:$AG,CONCATENATE(61,Info!$D$5,"093551",L2563),Adat!$E:$E)*-1</f>
        <v>0</v>
      </c>
      <c r="F2592" s="72">
        <f>SUMIF(Adat!$AG:$AG,CONCATENATE(60,Info!$D$5,"093551",L2563),Adat!$E:$E)*-1+E2592</f>
        <v>0</v>
      </c>
      <c r="G2592" s="72">
        <f>SUMIF(Adat!$AH:$AH,CONCATENATE(Info!$D$5,"(KÖT)","093551",L2563),Adat!$E:$E)*-1</f>
        <v>0</v>
      </c>
      <c r="H2592" s="72">
        <f>SUMIF(Adat!$AH:$AH,CONCATENATE(Info!$D$5,"(ÖNV)","093551",L2563),Adat!$E:$E)*-1</f>
        <v>0</v>
      </c>
      <c r="I2592" s="72">
        <f>SUMIF(Adat!$AH:$AH,CONCATENATE(Info!$D$5,"(ÁIG)","093551",L2563),Adat!$E:$E)*-1</f>
        <v>0</v>
      </c>
    </row>
    <row r="2593" spans="2:9" x14ac:dyDescent="0.2">
      <c r="B2593" s="160">
        <v>28</v>
      </c>
      <c r="C2593" s="305" t="s">
        <v>1293</v>
      </c>
      <c r="D2593" s="82" t="s">
        <v>1355</v>
      </c>
      <c r="E2593" s="72">
        <f>SUMIF(Adat!$AG:$AG,CONCATENATE(61,Info!$D$5,"09361",L2563),Adat!$E:$E)*-1</f>
        <v>0</v>
      </c>
      <c r="F2593" s="72">
        <f>SUMIF(Adat!$AG:$AG,CONCATENATE(60,Info!$D$5,"09361",L2563),Adat!$E:$E)*-1+E2593</f>
        <v>0</v>
      </c>
      <c r="G2593" s="72">
        <f>SUMIF(Adat!$AH:$AH,CONCATENATE(Info!$D$5,"(KÖT)","09361",L2563),Adat!$E:$E)*-1</f>
        <v>0</v>
      </c>
      <c r="H2593" s="72">
        <f>SUMIF(Adat!$AH:$AH,CONCATENATE(Info!$D$5,"(ÖNV)","09361",L2563),Adat!$E:$E)*-1</f>
        <v>0</v>
      </c>
      <c r="I2593" s="72">
        <f>SUMIF(Adat!$AH:$AH,CONCATENATE(Info!$D$5,"(ÁIG)","09361",L2563),Adat!$E:$E)*-1</f>
        <v>0</v>
      </c>
    </row>
    <row r="2594" spans="2:9" x14ac:dyDescent="0.25">
      <c r="B2594" s="160">
        <v>29</v>
      </c>
      <c r="C2594" s="79" t="s">
        <v>30</v>
      </c>
      <c r="D2594" s="79" t="s">
        <v>329</v>
      </c>
      <c r="E2594" s="71">
        <f>SUM(E2595:E2607)</f>
        <v>0</v>
      </c>
      <c r="F2594" s="71">
        <f t="shared" ref="F2594:I2594" si="275">SUM(F2595:F2607)</f>
        <v>0</v>
      </c>
      <c r="G2594" s="71">
        <f t="shared" si="275"/>
        <v>0</v>
      </c>
      <c r="H2594" s="71">
        <f t="shared" si="275"/>
        <v>0</v>
      </c>
      <c r="I2594" s="71">
        <f t="shared" si="275"/>
        <v>0</v>
      </c>
    </row>
    <row r="2595" spans="2:9" x14ac:dyDescent="0.2">
      <c r="B2595" s="160">
        <v>30</v>
      </c>
      <c r="C2595" s="305" t="s">
        <v>1309</v>
      </c>
      <c r="D2595" s="82" t="s">
        <v>1356</v>
      </c>
      <c r="E2595" s="72">
        <f>SUMIF(Adat!$AG:$AG,CONCATENATE(61,Info!$D$5,"094011",L2563),Adat!$E:$E)*-1</f>
        <v>0</v>
      </c>
      <c r="F2595" s="72">
        <f>SUMIF(Adat!$AG:$AG,CONCATENATE(60,Info!$D$5,"094011",L2563),Adat!$E:$E)*-1+E2595</f>
        <v>0</v>
      </c>
      <c r="G2595" s="72">
        <f>SUMIF(Adat!$AH:$AH,CONCATENATE(Info!$D$5,"(KÖT)","094011",L2563),Adat!$E:$E)*-1</f>
        <v>0</v>
      </c>
      <c r="H2595" s="72">
        <f>SUMIF(Adat!$AH:$AH,CONCATENATE(Info!$D$5,"(ÖNV)","094011",L2563),Adat!$E:$E)*-1</f>
        <v>0</v>
      </c>
      <c r="I2595" s="72">
        <f>SUMIF(Adat!$AH:$AH,CONCATENATE(Info!$D$5,"(ÁIG)","094011",L2563),Adat!$E:$E)*-1</f>
        <v>0</v>
      </c>
    </row>
    <row r="2596" spans="2:9" x14ac:dyDescent="0.2">
      <c r="B2596" s="160">
        <v>31</v>
      </c>
      <c r="C2596" s="305" t="s">
        <v>1279</v>
      </c>
      <c r="D2596" s="82" t="s">
        <v>1357</v>
      </c>
      <c r="E2596" s="72">
        <f>SUMIF(Adat!$AG:$AG,CONCATENATE(61,Info!$D$5,"094021",L2563),Adat!$E:$E)*-1</f>
        <v>0</v>
      </c>
      <c r="F2596" s="72">
        <f>SUMIF(Adat!$AG:$AG,CONCATENATE(60,Info!$D$5,"094021",L2563),Adat!$E:$E)*-1+E2596</f>
        <v>0</v>
      </c>
      <c r="G2596" s="72">
        <f>SUMIF(Adat!$AH:$AH,CONCATENATE(Info!$D$5,"(KÖT)","094021",L2563),Adat!$E:$E)*-1</f>
        <v>0</v>
      </c>
      <c r="H2596" s="72">
        <f>SUMIF(Adat!$AH:$AH,CONCATENATE(Info!$D$5,"(ÖNV)","094021",L2563),Adat!$E:$E)*-1</f>
        <v>0</v>
      </c>
      <c r="I2596" s="72">
        <f>SUMIF(Adat!$AH:$AH,CONCATENATE(Info!$D$5,"(ÁIG)","094021",L2563),Adat!$E:$E)*-1</f>
        <v>0</v>
      </c>
    </row>
    <row r="2597" spans="2:9" x14ac:dyDescent="0.2">
      <c r="B2597" s="160">
        <v>32</v>
      </c>
      <c r="C2597" s="305" t="s">
        <v>1272</v>
      </c>
      <c r="D2597" s="82" t="s">
        <v>1358</v>
      </c>
      <c r="E2597" s="72">
        <f>SUMIF(Adat!$AG:$AG,CONCATENATE(61,Info!$D$5,"094031",L2563),Adat!$E:$E)*-1</f>
        <v>0</v>
      </c>
      <c r="F2597" s="72">
        <f>SUMIF(Adat!$AG:$AG,CONCATENATE(60,Info!$D$5,"094031",L2563),Adat!$E:$E)*-1+E2597</f>
        <v>0</v>
      </c>
      <c r="G2597" s="72">
        <f>SUMIF(Adat!$AH:$AH,CONCATENATE(Info!$D$5,"(KÖT)","094031",L2563),Adat!$E:$E)*-1</f>
        <v>0</v>
      </c>
      <c r="H2597" s="72">
        <f>SUMIF(Adat!$AH:$AH,CONCATENATE(Info!$D$5,"(ÖNV)","094031",L2563),Adat!$E:$E)*-1</f>
        <v>0</v>
      </c>
      <c r="I2597" s="72">
        <f>SUMIF(Adat!$AH:$AH,CONCATENATE(Info!$D$5,"(ÁIG)","094031",L2563),Adat!$E:$E)*-1</f>
        <v>0</v>
      </c>
    </row>
    <row r="2598" spans="2:9" x14ac:dyDescent="0.2">
      <c r="B2598" s="160">
        <v>33</v>
      </c>
      <c r="C2598" s="305" t="s">
        <v>1359</v>
      </c>
      <c r="D2598" s="82" t="s">
        <v>1360</v>
      </c>
      <c r="E2598" s="72">
        <f>SUMIF(Adat!$AG:$AG,CONCATENATE(61,Info!$D$5,"094041",L2563),Adat!$E:$E)*-1</f>
        <v>0</v>
      </c>
      <c r="F2598" s="72">
        <f>SUMIF(Adat!$AG:$AG,CONCATENATE(60,Info!$D$5,"094041",L2563),Adat!$E:$E)*-1+E2598</f>
        <v>0</v>
      </c>
      <c r="G2598" s="72">
        <f>SUMIF(Adat!$AH:$AH,CONCATENATE(Info!$D$5,"(KÖT)","094041",L2563),Adat!$E:$E)*-1</f>
        <v>0</v>
      </c>
      <c r="H2598" s="72">
        <f>SUMIF(Adat!$AH:$AH,CONCATENATE(Info!$D$5,"(ÖNV)","094041",L2563),Adat!$E:$E)*-1</f>
        <v>0</v>
      </c>
      <c r="I2598" s="72">
        <f>SUMIF(Adat!$AH:$AH,CONCATENATE(Info!$D$5,"(ÁIG)","094041",L2563),Adat!$E:$E)*-1</f>
        <v>0</v>
      </c>
    </row>
    <row r="2599" spans="2:9" x14ac:dyDescent="0.2">
      <c r="B2599" s="160">
        <v>34</v>
      </c>
      <c r="C2599" s="305" t="s">
        <v>1261</v>
      </c>
      <c r="D2599" s="82" t="s">
        <v>1361</v>
      </c>
      <c r="E2599" s="72">
        <f>SUMIF(Adat!$AG:$AG,CONCATENATE(61,Info!$D$5,"094051",L2563),Adat!$E:$E)*-1</f>
        <v>0</v>
      </c>
      <c r="F2599" s="72">
        <f>SUMIF(Adat!$AG:$AG,CONCATENATE(60,Info!$D$5,"094051",L2563),Adat!$E:$E)*-1+E2599</f>
        <v>0</v>
      </c>
      <c r="G2599" s="72">
        <f>SUMIF(Adat!$AH:$AH,CONCATENATE(Info!$D$5,"(KÖT)","094051",L2563),Adat!$E:$E)*-1</f>
        <v>0</v>
      </c>
      <c r="H2599" s="72">
        <f>SUMIF(Adat!$AH:$AH,CONCATENATE(Info!$D$5,"(ÖNV)","094051",L2563),Adat!$E:$E)*-1</f>
        <v>0</v>
      </c>
      <c r="I2599" s="72">
        <f>SUMIF(Adat!$AH:$AH,CONCATENATE(Info!$D$5,"(ÁIG)","094051",L2563),Adat!$E:$E)*-1</f>
        <v>0</v>
      </c>
    </row>
    <row r="2600" spans="2:9" x14ac:dyDescent="0.2">
      <c r="B2600" s="160">
        <v>35</v>
      </c>
      <c r="C2600" s="305" t="s">
        <v>1273</v>
      </c>
      <c r="D2600" s="82" t="s">
        <v>1362</v>
      </c>
      <c r="E2600" s="72">
        <f>SUMIF(Adat!$AG:$AG,CONCATENATE(61,Info!$D$5,"094061",L2563),Adat!$E:$E)*-1</f>
        <v>0</v>
      </c>
      <c r="F2600" s="72">
        <f>SUMIF(Adat!$AG:$AG,CONCATENATE(60,Info!$D$5,"094061",L2563),Adat!$E:$E)*-1+E2600</f>
        <v>0</v>
      </c>
      <c r="G2600" s="72">
        <f>SUMIF(Adat!$AH:$AH,CONCATENATE(Info!$D$5,"(KÖT)","094061",L2563),Adat!$E:$E)*-1</f>
        <v>0</v>
      </c>
      <c r="H2600" s="72">
        <f>SUMIF(Adat!$AH:$AH,CONCATENATE(Info!$D$5,"(ÖNV)","094061",L2563),Adat!$E:$E)*-1</f>
        <v>0</v>
      </c>
      <c r="I2600" s="72">
        <f>SUMIF(Adat!$AH:$AH,CONCATENATE(Info!$D$5,"(ÁIG)","094061",L2563),Adat!$E:$E)*-1</f>
        <v>0</v>
      </c>
    </row>
    <row r="2601" spans="2:9" x14ac:dyDescent="0.2">
      <c r="B2601" s="160">
        <v>36</v>
      </c>
      <c r="C2601" s="305" t="s">
        <v>1363</v>
      </c>
      <c r="D2601" s="82" t="s">
        <v>1364</v>
      </c>
      <c r="E2601" s="72">
        <f>SUMIF(Adat!$AG:$AG,CONCATENATE(61,Info!$D$5,"094071",L2563),Adat!$E:$E)*-1</f>
        <v>0</v>
      </c>
      <c r="F2601" s="72">
        <f>SUMIF(Adat!$AG:$AG,CONCATENATE(60,Info!$D$5,"094071",L2563),Adat!$E:$E)*-1+E2601</f>
        <v>0</v>
      </c>
      <c r="G2601" s="72">
        <f>SUMIF(Adat!$AH:$AH,CONCATENATE(Info!$D$5,"(KÖT)","094071",L2563),Adat!$E:$E)*-1</f>
        <v>0</v>
      </c>
      <c r="H2601" s="72">
        <f>SUMIF(Adat!$AH:$AH,CONCATENATE(Info!$D$5,"(ÖNV)","094071",L2563),Adat!$E:$E)*-1</f>
        <v>0</v>
      </c>
      <c r="I2601" s="72">
        <f>SUMIF(Adat!$AH:$AH,CONCATENATE(Info!$D$5,"(ÁIG)","094071",L2563),Adat!$E:$E)*-1</f>
        <v>0</v>
      </c>
    </row>
    <row r="2602" spans="2:9" x14ac:dyDescent="0.2">
      <c r="B2602" s="160">
        <v>37</v>
      </c>
      <c r="C2602" s="305" t="s">
        <v>1306</v>
      </c>
      <c r="D2602" s="82" t="s">
        <v>1365</v>
      </c>
      <c r="E2602" s="72">
        <f>SUMIF(Adat!$AG:$AG,CONCATENATE(61,Info!$D$5,"0940811",L2563),Adat!$E:$E)*-1</f>
        <v>0</v>
      </c>
      <c r="F2602" s="72">
        <f>SUMIF(Adat!$AG:$AG,CONCATENATE(60,Info!$D$5,"0940811",L2563),Adat!$E:$E)*-1+E2602</f>
        <v>0</v>
      </c>
      <c r="G2602" s="72">
        <f>SUMIF(Adat!$AH:$AH,CONCATENATE(Info!$D$5,"(KÖT)","0940811",L2563),Adat!$E:$E)*-1</f>
        <v>0</v>
      </c>
      <c r="H2602" s="72">
        <f>SUMIF(Adat!$AH:$AH,CONCATENATE(Info!$D$5,"(ÖNV)","0940811",L2563),Adat!$E:$E)*-1</f>
        <v>0</v>
      </c>
      <c r="I2602" s="72">
        <f>SUMIF(Adat!$AH:$AH,CONCATENATE(Info!$D$5,"(ÁIG)","0940811",L2563),Adat!$E:$E)*-1</f>
        <v>0</v>
      </c>
    </row>
    <row r="2603" spans="2:9" x14ac:dyDescent="0.2">
      <c r="B2603" s="160">
        <v>38</v>
      </c>
      <c r="C2603" s="305" t="s">
        <v>1295</v>
      </c>
      <c r="D2603" s="82" t="s">
        <v>1366</v>
      </c>
      <c r="E2603" s="72">
        <f>SUMIF(Adat!$AG:$AG,CONCATENATE(61,Info!$D$5,"0940821",L2563),Adat!$E:$E)*-1</f>
        <v>0</v>
      </c>
      <c r="F2603" s="72">
        <f>SUMIF(Adat!$AG:$AG,CONCATENATE(60,Info!$D$5,"0940821",L2563),Adat!$E:$E)*-1+E2603</f>
        <v>0</v>
      </c>
      <c r="G2603" s="72">
        <f>SUMIF(Adat!$AH:$AH,CONCATENATE(Info!$D$5,"(KÖT)","0940821",L2563),Adat!$E:$E)*-1</f>
        <v>0</v>
      </c>
      <c r="H2603" s="72">
        <f>SUMIF(Adat!$AH:$AH,CONCATENATE(Info!$D$5,"(ÖNV)","0940821",L2563),Adat!$E:$E)*-1</f>
        <v>0</v>
      </c>
      <c r="I2603" s="72">
        <f>SUMIF(Adat!$AH:$AH,CONCATENATE(Info!$D$5,"(ÁIG)","0940821",L2563),Adat!$E:$E)*-1</f>
        <v>0</v>
      </c>
    </row>
    <row r="2604" spans="2:9" x14ac:dyDescent="0.2">
      <c r="B2604" s="160">
        <v>39</v>
      </c>
      <c r="C2604" s="305" t="s">
        <v>1367</v>
      </c>
      <c r="D2604" s="82" t="s">
        <v>1368</v>
      </c>
      <c r="E2604" s="72">
        <f>SUMIF(Adat!$AG:$AG,CONCATENATE(61,Info!$D$5,"0940911",L2563),Adat!$E:$E)*-1</f>
        <v>0</v>
      </c>
      <c r="F2604" s="72">
        <f>SUMIF(Adat!$AG:$AG,CONCATENATE(60,Info!$D$5,"0940911",L2563),Adat!$E:$E)*-1+E2604</f>
        <v>0</v>
      </c>
      <c r="G2604" s="72">
        <f>SUMIF(Adat!$AH:$AH,CONCATENATE(Info!$D$5,"(KÖT)","0940911",L2563),Adat!$E:$E)*-1</f>
        <v>0</v>
      </c>
      <c r="H2604" s="72">
        <f>SUMIF(Adat!$AH:$AH,CONCATENATE(Info!$D$5,"(ÖNV)","0940911",L2563),Adat!$E:$E)*-1</f>
        <v>0</v>
      </c>
      <c r="I2604" s="72">
        <f>SUMIF(Adat!$AH:$AH,CONCATENATE(Info!$D$5,"(ÁIG)","0940911",L2563),Adat!$E:$E)*-1</f>
        <v>0</v>
      </c>
    </row>
    <row r="2605" spans="2:9" x14ac:dyDescent="0.2">
      <c r="B2605" s="160">
        <v>40</v>
      </c>
      <c r="C2605" s="305" t="s">
        <v>1369</v>
      </c>
      <c r="D2605" s="82" t="s">
        <v>1370</v>
      </c>
      <c r="E2605" s="72">
        <f>SUMIF(Adat!$AG:$AG,CONCATENATE(61,Info!$D$5,"0940921",L2563),Adat!$E:$E)*-1</f>
        <v>0</v>
      </c>
      <c r="F2605" s="72">
        <f>SUMIF(Adat!$AG:$AG,CONCATENATE(60,Info!$D$5,"0940921",L2563),Adat!$E:$E)*-1+E2605</f>
        <v>0</v>
      </c>
      <c r="G2605" s="72">
        <f>SUMIF(Adat!$AH:$AH,CONCATENATE(Info!$D$5,"(KÖT)","0940921",L2563),Adat!$E:$E)*-1</f>
        <v>0</v>
      </c>
      <c r="H2605" s="72">
        <f>SUMIF(Adat!$AH:$AH,CONCATENATE(Info!$D$5,"(ÖNV)","0940921",L2563),Adat!$E:$E)*-1</f>
        <v>0</v>
      </c>
      <c r="I2605" s="72">
        <f>SUMIF(Adat!$AH:$AH,CONCATENATE(Info!$D$5,"(ÁIG)","0940921",L2563),Adat!$E:$E)*-1</f>
        <v>0</v>
      </c>
    </row>
    <row r="2606" spans="2:9" x14ac:dyDescent="0.2">
      <c r="B2606" s="160">
        <v>41</v>
      </c>
      <c r="C2606" s="305" t="s">
        <v>1296</v>
      </c>
      <c r="D2606" s="82" t="s">
        <v>1371</v>
      </c>
      <c r="E2606" s="72">
        <f>SUMIF(Adat!$AG:$AG,CONCATENATE(61,Info!$D$5,"094101",L2563),Adat!$E:$E)*-1</f>
        <v>0</v>
      </c>
      <c r="F2606" s="72">
        <f>SUMIF(Adat!$AG:$AG,CONCATENATE(60,Info!$D$5,"094101",L2563),Adat!$E:$E)*-1+E2606</f>
        <v>0</v>
      </c>
      <c r="G2606" s="72">
        <f>SUMIF(Adat!$AH:$AH,CONCATENATE(Info!$D$5,"(KÖT)","094101",L2563),Adat!$E:$E)*-1</f>
        <v>0</v>
      </c>
      <c r="H2606" s="72">
        <f>SUMIF(Adat!$AH:$AH,CONCATENATE(Info!$D$5,"(ÖNV)","094101",L2563),Adat!$E:$E)*-1</f>
        <v>0</v>
      </c>
      <c r="I2606" s="72">
        <f>SUMIF(Adat!$AH:$AH,CONCATENATE(Info!$D$5,"(ÁIG)","094101",L2563),Adat!$E:$E)*-1</f>
        <v>0</v>
      </c>
    </row>
    <row r="2607" spans="2:9" x14ac:dyDescent="0.25">
      <c r="B2607" s="160">
        <v>42</v>
      </c>
      <c r="C2607" s="305" t="s">
        <v>1297</v>
      </c>
      <c r="D2607" s="84" t="s">
        <v>1372</v>
      </c>
      <c r="E2607" s="72">
        <f>SUMIF(Adat!$AG:$AG,CONCATENATE(61,Info!$D$5,"094111",L2563),Adat!$E:$E)*-1</f>
        <v>0</v>
      </c>
      <c r="F2607" s="72">
        <f>SUMIF(Adat!$AG:$AG,CONCATENATE(60,Info!$D$5,"094111",L2563),Adat!$E:$E)*-1+E2607</f>
        <v>0</v>
      </c>
      <c r="G2607" s="72">
        <f>SUMIF(Adat!$AH:$AH,CONCATENATE(Info!$D$5,"(KÖT)","094111",L2563),Adat!$E:$E)*-1</f>
        <v>0</v>
      </c>
      <c r="H2607" s="72">
        <f>SUMIF(Adat!$AH:$AH,CONCATENATE(Info!$D$5,"(ÖNV)","094111",L2563),Adat!$E:$E)*-1</f>
        <v>0</v>
      </c>
      <c r="I2607" s="72">
        <f>SUMIF(Adat!$AH:$AH,CONCATENATE(Info!$D$5,"(ÁIG)","094111",L2563),Adat!$E:$E)*-1</f>
        <v>0</v>
      </c>
    </row>
    <row r="2608" spans="2:9" x14ac:dyDescent="0.25">
      <c r="B2608" s="160">
        <v>43</v>
      </c>
      <c r="C2608" s="79" t="s">
        <v>33</v>
      </c>
      <c r="D2608" s="79" t="s">
        <v>330</v>
      </c>
      <c r="E2608" s="71">
        <f>SUM(E2609:E2613)</f>
        <v>0</v>
      </c>
      <c r="F2608" s="71">
        <f>SUM(F2609:F2613)</f>
        <v>0</v>
      </c>
      <c r="G2608" s="71">
        <f>SUM(G2609:G2613)</f>
        <v>0</v>
      </c>
      <c r="H2608" s="71">
        <f>SUM(H2609:H2613)</f>
        <v>0</v>
      </c>
      <c r="I2608" s="71">
        <f>SUM(I2609:I2613)</f>
        <v>0</v>
      </c>
    </row>
    <row r="2609" spans="2:9" x14ac:dyDescent="0.2">
      <c r="B2609" s="160">
        <v>44</v>
      </c>
      <c r="C2609" s="305" t="s">
        <v>1373</v>
      </c>
      <c r="D2609" s="82" t="s">
        <v>1374</v>
      </c>
      <c r="E2609" s="72">
        <f>SUMIF(Adat!$AG:$AG,CONCATENATE(61,Info!$D$5,"09511",L2563),Adat!$E:$E)*-1</f>
        <v>0</v>
      </c>
      <c r="F2609" s="72">
        <f>SUMIF(Adat!$AG:$AG,CONCATENATE(60,Info!$D$5,"09511",L2563),Adat!$E:$E)*-1+E2609</f>
        <v>0</v>
      </c>
      <c r="G2609" s="72">
        <f>SUMIF(Adat!$AH:$AH,CONCATENATE(Info!$D$5,"(KÖT)","09511",L2563),Adat!$E:$E)*-1</f>
        <v>0</v>
      </c>
      <c r="H2609" s="72">
        <f>SUMIF(Adat!$AH:$AH,CONCATENATE(Info!$D$5,"(ÖNV)","09511",L2563),Adat!$E:$E)*-1</f>
        <v>0</v>
      </c>
      <c r="I2609" s="72">
        <f>SUMIF(Adat!$AH:$AH,CONCATENATE(Info!$D$5,"(ÁIG)","09511",L2563),Adat!$E:$E)*-1</f>
        <v>0</v>
      </c>
    </row>
    <row r="2610" spans="2:9" x14ac:dyDescent="0.2">
      <c r="B2610" s="160">
        <v>45</v>
      </c>
      <c r="C2610" s="305" t="s">
        <v>1294</v>
      </c>
      <c r="D2610" s="82" t="s">
        <v>1375</v>
      </c>
      <c r="E2610" s="72">
        <f>SUMIF(Adat!$AG:$AG,CONCATENATE(61,Info!$D$5,"09521",L2563),Adat!$E:$E)*-1</f>
        <v>0</v>
      </c>
      <c r="F2610" s="72">
        <f>SUMIF(Adat!$AG:$AG,CONCATENATE(60,Info!$D$5,"09521",L2563),Adat!$E:$E)*-1+E2610</f>
        <v>0</v>
      </c>
      <c r="G2610" s="72">
        <f>SUMIF(Adat!$AH:$AH,CONCATENATE(Info!$D$5,"(KÖT)","09521",L2563),Adat!$E:$E)*-1</f>
        <v>0</v>
      </c>
      <c r="H2610" s="72">
        <f>SUMIF(Adat!$AH:$AH,CONCATENATE(Info!$D$5,"(ÖNV)","09521",L2563),Adat!$E:$E)*-1</f>
        <v>0</v>
      </c>
      <c r="I2610" s="72">
        <f>SUMIF(Adat!$AH:$AH,CONCATENATE(Info!$D$5,"(ÁIG)","09521",L2563),Adat!$E:$E)*-1</f>
        <v>0</v>
      </c>
    </row>
    <row r="2611" spans="2:9" x14ac:dyDescent="0.2">
      <c r="B2611" s="160">
        <v>46</v>
      </c>
      <c r="C2611" s="305" t="s">
        <v>1376</v>
      </c>
      <c r="D2611" s="82" t="s">
        <v>1377</v>
      </c>
      <c r="E2611" s="72">
        <f>SUMIF(Adat!$AG:$AG,CONCATENATE(61,Info!$D$5,"09531",L2563),Adat!$E:$E)*-1</f>
        <v>0</v>
      </c>
      <c r="F2611" s="72">
        <f>SUMIF(Adat!$AG:$AG,CONCATENATE(60,Info!$D$5,"09531",L2563),Adat!$E:$E)*-1+E2611</f>
        <v>0</v>
      </c>
      <c r="G2611" s="72">
        <f>SUMIF(Adat!$AH:$AH,CONCATENATE(Info!$D$5,"(KÖT)","09531",L2563),Adat!$E:$E)*-1</f>
        <v>0</v>
      </c>
      <c r="H2611" s="72">
        <f>SUMIF(Adat!$AH:$AH,CONCATENATE(Info!$D$5,"(ÖNV)","09531",L2563),Adat!$E:$E)*-1</f>
        <v>0</v>
      </c>
      <c r="I2611" s="72">
        <f>SUMIF(Adat!$AH:$AH,CONCATENATE(Info!$D$5,"(ÁIG)","09531",L2563),Adat!$E:$E)*-1</f>
        <v>0</v>
      </c>
    </row>
    <row r="2612" spans="2:9" x14ac:dyDescent="0.2">
      <c r="B2612" s="160">
        <v>47</v>
      </c>
      <c r="C2612" s="305" t="s">
        <v>1378</v>
      </c>
      <c r="D2612" s="82" t="s">
        <v>1379</v>
      </c>
      <c r="E2612" s="72">
        <f>SUMIF(Adat!$AG:$AG,CONCATENATE(61,Info!$D$5,"09541",L2563),Adat!$E:$E)*-1</f>
        <v>0</v>
      </c>
      <c r="F2612" s="72">
        <f>SUMIF(Adat!$AG:$AG,CONCATENATE(60,Info!$D$5,"09541",L2563),Adat!$E:$E)*-1+E2612</f>
        <v>0</v>
      </c>
      <c r="G2612" s="72">
        <f>SUMIF(Adat!$AH:$AH,CONCATENATE(Info!$D$5,"(KÖT)","09541",L2563),Adat!$E:$E)*-1</f>
        <v>0</v>
      </c>
      <c r="H2612" s="72">
        <f>SUMIF(Adat!$AH:$AH,CONCATENATE(Info!$D$5,"(ÖNV)","09541",L2563),Adat!$E:$E)*-1</f>
        <v>0</v>
      </c>
      <c r="I2612" s="72">
        <f>SUMIF(Adat!$AH:$AH,CONCATENATE(Info!$D$5,"(ÁIG)","09541",L2563),Adat!$E:$E)*-1</f>
        <v>0</v>
      </c>
    </row>
    <row r="2613" spans="2:9" x14ac:dyDescent="0.25">
      <c r="B2613" s="160">
        <v>48</v>
      </c>
      <c r="C2613" s="305" t="s">
        <v>1380</v>
      </c>
      <c r="D2613" s="84" t="s">
        <v>1381</v>
      </c>
      <c r="E2613" s="72">
        <f>SUMIF(Adat!$AG:$AG,CONCATENATE(61,Info!$D$5,"09551",L2563),Adat!$E:$E)*-1</f>
        <v>0</v>
      </c>
      <c r="F2613" s="72">
        <f>SUMIF(Adat!$AG:$AG,CONCATENATE(60,Info!$D$5,"09551",L2563),Adat!$E:$E)*-1+E2613</f>
        <v>0</v>
      </c>
      <c r="G2613" s="72">
        <f>SUMIF(Adat!$AH:$AH,CONCATENATE(Info!$D$5,"(KÖT)","09551",L2563),Adat!$E:$E)*-1</f>
        <v>0</v>
      </c>
      <c r="H2613" s="72">
        <f>SUMIF(Adat!$AH:$AH,CONCATENATE(Info!$D$5,"(ÖNV)","09551",L2563),Adat!$E:$E)*-1</f>
        <v>0</v>
      </c>
      <c r="I2613" s="72">
        <f>SUMIF(Adat!$AH:$AH,CONCATENATE(Info!$D$5,"(ÁIG)","09551",L2563),Adat!$E:$E)*-1</f>
        <v>0</v>
      </c>
    </row>
    <row r="2614" spans="2:9" x14ac:dyDescent="0.25">
      <c r="B2614" s="160">
        <v>49</v>
      </c>
      <c r="C2614" s="79" t="s">
        <v>36</v>
      </c>
      <c r="D2614" s="79" t="s">
        <v>331</v>
      </c>
      <c r="E2614" s="71">
        <f>SUM(E2615:E2619)</f>
        <v>0</v>
      </c>
      <c r="F2614" s="71">
        <f t="shared" ref="F2614:I2614" si="276">SUM(F2615:F2619)</f>
        <v>0</v>
      </c>
      <c r="G2614" s="71">
        <f t="shared" si="276"/>
        <v>0</v>
      </c>
      <c r="H2614" s="71">
        <f t="shared" si="276"/>
        <v>0</v>
      </c>
      <c r="I2614" s="71">
        <f t="shared" si="276"/>
        <v>0</v>
      </c>
    </row>
    <row r="2615" spans="2:9" x14ac:dyDescent="0.2">
      <c r="B2615" s="160">
        <v>50</v>
      </c>
      <c r="C2615" s="305" t="s">
        <v>1382</v>
      </c>
      <c r="D2615" s="82" t="s">
        <v>1383</v>
      </c>
      <c r="E2615" s="72">
        <f>SUMIF(Adat!$AG:$AG,CONCATENATE(61,Info!$D$5,"09611",L2563),Adat!$E:$E)*-1</f>
        <v>0</v>
      </c>
      <c r="F2615" s="72">
        <f>SUMIF(Adat!$AG:$AG,CONCATENATE(60,Info!$D$5,"09611",L2563),Adat!$E:$E)*-1+E2615</f>
        <v>0</v>
      </c>
      <c r="G2615" s="72">
        <f>SUMIF(Adat!$AH:$AH,CONCATENATE(Info!$D$5,"(KÖT)","09611",L2563),Adat!$E:$E)*-1</f>
        <v>0</v>
      </c>
      <c r="H2615" s="72">
        <f>SUMIF(Adat!$AH:$AH,CONCATENATE(Info!$D$5,"(ÖNV)","09611",L2563),Adat!$E:$E)*-1</f>
        <v>0</v>
      </c>
      <c r="I2615" s="72">
        <f>SUMIF(Adat!$AH:$AH,CONCATENATE(Info!$D$5,"(ÁIG)","09611",L2563),Adat!$E:$E)*-1</f>
        <v>0</v>
      </c>
    </row>
    <row r="2616" spans="2:9" x14ac:dyDescent="0.2">
      <c r="B2616" s="160">
        <v>51</v>
      </c>
      <c r="C2616" s="305" t="s">
        <v>1384</v>
      </c>
      <c r="D2616" s="82" t="s">
        <v>1385</v>
      </c>
      <c r="E2616" s="72">
        <f>SUMIF(Adat!$AG:$AG,CONCATENATE(61,Info!$D$5,"09621",L2563),Adat!$E:$E)*-1</f>
        <v>0</v>
      </c>
      <c r="F2616" s="72">
        <f>SUMIF(Adat!$AG:$AG,CONCATENATE(60,Info!$D$5,"09621",L2563),Adat!$E:$E)*-1+E2616</f>
        <v>0</v>
      </c>
      <c r="G2616" s="72">
        <f>SUMIF(Adat!$AH:$AH,CONCATENATE(Info!$D$5,"(KÖT)","09621",L2563),Adat!$E:$E)*-1</f>
        <v>0</v>
      </c>
      <c r="H2616" s="72">
        <f>SUMIF(Adat!$AH:$AH,CONCATENATE(Info!$D$5,"(ÖNV)","09621",L2563),Adat!$E:$E)*-1</f>
        <v>0</v>
      </c>
      <c r="I2616" s="72">
        <f>SUMIF(Adat!$AH:$AH,CONCATENATE(Info!$D$5,"(ÁIG)","09621",L2563),Adat!$E:$E)*-1</f>
        <v>0</v>
      </c>
    </row>
    <row r="2617" spans="2:9" x14ac:dyDescent="0.2">
      <c r="B2617" s="160">
        <v>52</v>
      </c>
      <c r="C2617" s="305" t="s">
        <v>1386</v>
      </c>
      <c r="D2617" s="82" t="s">
        <v>1387</v>
      </c>
      <c r="E2617" s="72">
        <f>SUMIF(Adat!$AG:$AG,CONCATENATE(61,Info!$D$5,"09631",L2563),Adat!$E:$E)*-1</f>
        <v>0</v>
      </c>
      <c r="F2617" s="72">
        <f>SUMIF(Adat!$AG:$AG,CONCATENATE(60,Info!$D$5,"09631",L2563),Adat!$E:$E)*-1+E2617</f>
        <v>0</v>
      </c>
      <c r="G2617" s="72">
        <f>SUMIF(Adat!$AH:$AH,CONCATENATE(Info!$D$5,"(KÖT)","09631",L2563),Adat!$E:$E)*-1</f>
        <v>0</v>
      </c>
      <c r="H2617" s="72">
        <f>SUMIF(Adat!$AH:$AH,CONCATENATE(Info!$D$5,"(ÖNV)","09631",L2563),Adat!$E:$E)*-1</f>
        <v>0</v>
      </c>
      <c r="I2617" s="72">
        <f>SUMIF(Adat!$AH:$AH,CONCATENATE(Info!$D$5,"(ÁIG)","09631",L2563),Adat!$E:$E)*-1</f>
        <v>0</v>
      </c>
    </row>
    <row r="2618" spans="2:9" x14ac:dyDescent="0.2">
      <c r="B2618" s="160">
        <v>53</v>
      </c>
      <c r="C2618" s="305" t="s">
        <v>1388</v>
      </c>
      <c r="D2618" s="82" t="s">
        <v>1389</v>
      </c>
      <c r="E2618" s="72">
        <f>SUMIF(Adat!$AG:$AG,CONCATENATE(61,Info!$D$5,"09641",L2563),Adat!$E:$E)*-1</f>
        <v>0</v>
      </c>
      <c r="F2618" s="72">
        <f>SUMIF(Adat!$AG:$AG,CONCATENATE(60,Info!$D$5,"09641",L2563),Adat!$E:$E)*-1+E2618</f>
        <v>0</v>
      </c>
      <c r="G2618" s="72">
        <f>SUMIF(Adat!$AH:$AH,CONCATENATE(Info!$D$5,"(KÖT)","09641",L2563),Adat!$E:$E)*-1</f>
        <v>0</v>
      </c>
      <c r="H2618" s="72">
        <f>SUMIF(Adat!$AH:$AH,CONCATENATE(Info!$D$5,"(ÖNV)","09641",L2563),Adat!$E:$E)*-1</f>
        <v>0</v>
      </c>
      <c r="I2618" s="72">
        <f>SUMIF(Adat!$AH:$AH,CONCATENATE(Info!$D$5,"(ÁIG)","09641",L2563),Adat!$E:$E)*-1</f>
        <v>0</v>
      </c>
    </row>
    <row r="2619" spans="2:9" x14ac:dyDescent="0.2">
      <c r="B2619" s="160">
        <v>54</v>
      </c>
      <c r="C2619" s="305" t="s">
        <v>1310</v>
      </c>
      <c r="D2619" s="82" t="s">
        <v>1390</v>
      </c>
      <c r="E2619" s="72">
        <f>SUMIF(Adat!$AG:$AG,CONCATENATE(61,Info!$D$5,"09651",L2563),Adat!$E:$E)*-1</f>
        <v>0</v>
      </c>
      <c r="F2619" s="72">
        <f>SUMIF(Adat!$AG:$AG,CONCATENATE(60,Info!$D$5,"09651",L2563),Adat!$E:$E)*-1+E2619</f>
        <v>0</v>
      </c>
      <c r="G2619" s="72">
        <f>SUMIF(Adat!$AH:$AH,CONCATENATE(Info!$D$5,"(KÖT)","09651",L2563),Adat!$E:$E)*-1</f>
        <v>0</v>
      </c>
      <c r="H2619" s="72">
        <f>SUMIF(Adat!$AH:$AH,CONCATENATE(Info!$D$5,"(ÖNV)","09651",L2563),Adat!$E:$E)*-1</f>
        <v>0</v>
      </c>
      <c r="I2619" s="72">
        <f>SUMIF(Adat!$AH:$AH,CONCATENATE(Info!$D$5,"(ÁIG)","09651",L2563),Adat!$E:$E)*-1</f>
        <v>0</v>
      </c>
    </row>
    <row r="2620" spans="2:9" x14ac:dyDescent="0.25">
      <c r="B2620" s="160">
        <v>55</v>
      </c>
      <c r="C2620" s="79" t="s">
        <v>38</v>
      </c>
      <c r="D2620" s="85" t="s">
        <v>332</v>
      </c>
      <c r="E2620" s="71">
        <f>SUM(E2621:E2625)</f>
        <v>0</v>
      </c>
      <c r="F2620" s="71">
        <f t="shared" ref="F2620:I2620" si="277">SUM(F2621:F2625)</f>
        <v>0</v>
      </c>
      <c r="G2620" s="71">
        <f t="shared" si="277"/>
        <v>0</v>
      </c>
      <c r="H2620" s="71">
        <f t="shared" si="277"/>
        <v>0</v>
      </c>
      <c r="I2620" s="71">
        <f t="shared" si="277"/>
        <v>0</v>
      </c>
    </row>
    <row r="2621" spans="2:9" x14ac:dyDescent="0.2">
      <c r="B2621" s="160">
        <v>56</v>
      </c>
      <c r="C2621" s="305" t="s">
        <v>1391</v>
      </c>
      <c r="D2621" s="82" t="s">
        <v>1392</v>
      </c>
      <c r="E2621" s="72">
        <f>SUMIF(Adat!$AG:$AG,CONCATENATE(61,Info!$D$5,"09711",L2563),Adat!$E:$E)*-1</f>
        <v>0</v>
      </c>
      <c r="F2621" s="72">
        <f>SUMIF(Adat!$AG:$AG,CONCATENATE(60,Info!$D$5,"09711",L2563),Adat!$E:$E)*-1+E2621</f>
        <v>0</v>
      </c>
      <c r="G2621" s="72">
        <f>SUMIF(Adat!$AH:$AH,CONCATENATE(Info!$D$5,"(KÖT)","09711",L2563),Adat!$E:$E)*-1</f>
        <v>0</v>
      </c>
      <c r="H2621" s="72">
        <f>SUMIF(Adat!$AH:$AH,CONCATENATE(Info!$D$5,"(ÖNV)","09711",L2563),Adat!$E:$E)*-1</f>
        <v>0</v>
      </c>
      <c r="I2621" s="72">
        <f>SUMIF(Adat!$AH:$AH,CONCATENATE(Info!$D$5,"(ÁIG)","09711",L2563),Adat!$E:$E)*-1</f>
        <v>0</v>
      </c>
    </row>
    <row r="2622" spans="2:9" x14ac:dyDescent="0.2">
      <c r="B2622" s="160">
        <v>57</v>
      </c>
      <c r="C2622" s="305" t="s">
        <v>1393</v>
      </c>
      <c r="D2622" s="82" t="s">
        <v>1394</v>
      </c>
      <c r="E2622" s="72">
        <f>SUMIF(Adat!$AG:$AG,CONCATENATE(61,Info!$D$5,"09721",L2563),Adat!$E:$E)*-1</f>
        <v>0</v>
      </c>
      <c r="F2622" s="72">
        <f>SUMIF(Adat!$AG:$AG,CONCATENATE(60,Info!$D$5,"09721",L2563),Adat!$E:$E)*-1+E2622</f>
        <v>0</v>
      </c>
      <c r="G2622" s="72">
        <f>SUMIF(Adat!$AH:$AH,CONCATENATE(Info!$D$5,"(KÖT)","09721",L2563),Adat!$E:$E)*-1</f>
        <v>0</v>
      </c>
      <c r="H2622" s="72">
        <f>SUMIF(Adat!$AH:$AH,CONCATENATE(Info!$D$5,"(ÖNV)","09721",L2563),Adat!$E:$E)*-1</f>
        <v>0</v>
      </c>
      <c r="I2622" s="72">
        <f>SUMIF(Adat!$AH:$AH,CONCATENATE(Info!$D$5,"(ÁIG)","09721",L2563),Adat!$E:$E)*-1</f>
        <v>0</v>
      </c>
    </row>
    <row r="2623" spans="2:9" x14ac:dyDescent="0.2">
      <c r="B2623" s="160">
        <v>58</v>
      </c>
      <c r="C2623" s="305" t="s">
        <v>1395</v>
      </c>
      <c r="D2623" s="82" t="s">
        <v>1396</v>
      </c>
      <c r="E2623" s="72">
        <f>SUMIF(Adat!$AG:$AG,CONCATENATE(61,Info!$D$5,"09731",L2563),Adat!$E:$E)*-1</f>
        <v>0</v>
      </c>
      <c r="F2623" s="72">
        <f>SUMIF(Adat!$AG:$AG,CONCATENATE(60,Info!$D$5,"09731",L2563),Adat!$E:$E)*-1+E2623</f>
        <v>0</v>
      </c>
      <c r="G2623" s="72">
        <f>SUMIF(Adat!$AH:$AH,CONCATENATE(Info!$D$5,"(KÖT)","09731",L2563),Adat!$E:$E)*-1</f>
        <v>0</v>
      </c>
      <c r="H2623" s="72">
        <f>SUMIF(Adat!$AH:$AH,CONCATENATE(Info!$D$5,"(ÖNV)","09731",L2563),Adat!$E:$E)*-1</f>
        <v>0</v>
      </c>
      <c r="I2623" s="72">
        <f>SUMIF(Adat!$AH:$AH,CONCATENATE(Info!$D$5,"(ÁIG)","09731",L2563),Adat!$E:$E)*-1</f>
        <v>0</v>
      </c>
    </row>
    <row r="2624" spans="2:9" x14ac:dyDescent="0.2">
      <c r="B2624" s="160">
        <v>59</v>
      </c>
      <c r="C2624" s="305" t="s">
        <v>1397</v>
      </c>
      <c r="D2624" s="82" t="s">
        <v>1398</v>
      </c>
      <c r="E2624" s="72">
        <f>SUMIF(Adat!$AG:$AG,CONCATENATE(61,Info!$D$5,"09741",L2563),Adat!$E:$E)*-1</f>
        <v>0</v>
      </c>
      <c r="F2624" s="72">
        <f>SUMIF(Adat!$AG:$AG,CONCATENATE(60,Info!$D$5,"09741",L2563),Adat!$E:$E)*-1+E2624</f>
        <v>0</v>
      </c>
      <c r="G2624" s="72">
        <f>SUMIF(Adat!$AH:$AH,CONCATENATE(Info!$D$5,"(KÖT)","09741",L2563),Adat!$E:$E)*-1</f>
        <v>0</v>
      </c>
      <c r="H2624" s="72">
        <f>SUMIF(Adat!$AH:$AH,CONCATENATE(Info!$D$5,"(ÖNV)","09741",L2563),Adat!$E:$E)*-1</f>
        <v>0</v>
      </c>
      <c r="I2624" s="72">
        <f>SUMIF(Adat!$AH:$AH,CONCATENATE(Info!$D$5,"(ÁIG)","09741",L2563),Adat!$E:$E)*-1</f>
        <v>0</v>
      </c>
    </row>
    <row r="2625" spans="2:9" x14ac:dyDescent="0.25">
      <c r="B2625" s="160">
        <v>60</v>
      </c>
      <c r="C2625" s="305" t="s">
        <v>1399</v>
      </c>
      <c r="D2625" s="84" t="s">
        <v>1400</v>
      </c>
      <c r="E2625" s="72">
        <f>SUMIF(Adat!$AG:$AG,CONCATENATE(61,Info!$D$5,"09751",L2563),Adat!$E:$E)*-1</f>
        <v>0</v>
      </c>
      <c r="F2625" s="72">
        <f>SUMIF(Adat!$AG:$AG,CONCATENATE(60,Info!$D$5,"09751",L2563),Adat!$E:$E)*-1+E2625</f>
        <v>0</v>
      </c>
      <c r="G2625" s="72">
        <f>SUMIF(Adat!$AH:$AH,CONCATENATE(Info!$D$5,"(KÖT)","09751",L2563),Adat!$E:$E)*-1</f>
        <v>0</v>
      </c>
      <c r="H2625" s="72">
        <f>SUMIF(Adat!$AH:$AH,CONCATENATE(Info!$D$5,"(ÖNV)","09751",L2563),Adat!$E:$E)*-1</f>
        <v>0</v>
      </c>
      <c r="I2625" s="72">
        <f>SUMIF(Adat!$AH:$AH,CONCATENATE(Info!$D$5,"(ÁIG)","09751",L2563),Adat!$E:$E)*-1</f>
        <v>0</v>
      </c>
    </row>
    <row r="2626" spans="2:9" x14ac:dyDescent="0.25">
      <c r="B2626" s="160">
        <v>61</v>
      </c>
      <c r="C2626" s="78" t="s">
        <v>352</v>
      </c>
      <c r="D2626" s="86" t="s">
        <v>1401</v>
      </c>
      <c r="E2626" s="71">
        <f>+E2567+E2575+E2581+E2587+E2594+E2608+E2614+E2620</f>
        <v>0</v>
      </c>
      <c r="F2626" s="71">
        <f>+F2567+F2575+F2581+F2587+F2594+F2608+F2614+F2620</f>
        <v>0</v>
      </c>
      <c r="G2626" s="71">
        <f>+G2567+G2575+G2581+G2587+G2594+G2608+G2614+G2620</f>
        <v>0</v>
      </c>
      <c r="H2626" s="71">
        <f>+H2567+H2575+H2581+H2587+H2594+H2608+H2614+H2620</f>
        <v>0</v>
      </c>
      <c r="I2626" s="71">
        <f>+I2567+I2575+I2581+I2587+I2594+I2608+I2614+I2620</f>
        <v>0</v>
      </c>
    </row>
    <row r="2627" spans="2:9" x14ac:dyDescent="0.25">
      <c r="B2627" s="160">
        <v>62</v>
      </c>
      <c r="C2627" s="154" t="s">
        <v>1402</v>
      </c>
      <c r="D2627" s="85" t="s">
        <v>1403</v>
      </c>
      <c r="E2627" s="71">
        <f t="shared" ref="E2627:G2627" si="278">SUM(E2628:E2630)</f>
        <v>0</v>
      </c>
      <c r="F2627" s="71">
        <f t="shared" si="278"/>
        <v>0</v>
      </c>
      <c r="G2627" s="71">
        <f t="shared" si="278"/>
        <v>0</v>
      </c>
      <c r="H2627" s="71">
        <f>SUM(H2628:H2630)</f>
        <v>0</v>
      </c>
      <c r="I2627" s="71">
        <f>SUM(I2628:I2630)</f>
        <v>0</v>
      </c>
    </row>
    <row r="2628" spans="2:9" x14ac:dyDescent="0.2">
      <c r="B2628" s="160">
        <v>63</v>
      </c>
      <c r="C2628" s="305" t="s">
        <v>1404</v>
      </c>
      <c r="D2628" s="82" t="s">
        <v>1405</v>
      </c>
      <c r="E2628" s="72">
        <f>SUMIF(Adat!$AG:$AG,CONCATENATE(61,Info!$D$5,"0981111",L2563),Adat!$E:$E)*-1</f>
        <v>0</v>
      </c>
      <c r="F2628" s="72">
        <f>SUMIF(Adat!$AG:$AG,CONCATENATE(60,Info!$D$5,"0981111",L2563),Adat!$E:$E)*-1+E2628</f>
        <v>0</v>
      </c>
      <c r="G2628" s="72">
        <f>SUMIF(Adat!$AH:$AH,CONCATENATE(Info!$D$5,"(KÖT)","0981111",L2563),Adat!$E:$E)*-1</f>
        <v>0</v>
      </c>
      <c r="H2628" s="72">
        <f>SUMIF(Adat!$AH:$AH,CONCATENATE(Info!$D$5,"(ÖNV)","0981111",L2563),Adat!$E:$E)*-1</f>
        <v>0</v>
      </c>
      <c r="I2628" s="72">
        <f>SUMIF(Adat!$AH:$AH,CONCATENATE(Info!$D$5,"(ÁIG)","0981111",L2563),Adat!$E:$E)*-1</f>
        <v>0</v>
      </c>
    </row>
    <row r="2629" spans="2:9" x14ac:dyDescent="0.2">
      <c r="B2629" s="160">
        <v>64</v>
      </c>
      <c r="C2629" s="305" t="s">
        <v>1406</v>
      </c>
      <c r="D2629" s="82" t="s">
        <v>1407</v>
      </c>
      <c r="E2629" s="72">
        <f>SUMIF(Adat!$AG:$AG,CONCATENATE(61,Info!$D$5,"0981121",L2563),Adat!$E:$E)*-1</f>
        <v>0</v>
      </c>
      <c r="F2629" s="72">
        <f>SUMIF(Adat!$AG:$AG,CONCATENATE(60,Info!$D$5,"0981121",L2563),Adat!$E:$E)*-1+E2629</f>
        <v>0</v>
      </c>
      <c r="G2629" s="72">
        <f>SUMIF(Adat!$AH:$AH,CONCATENATE(Info!$D$5,"(KÖT)","0981121",L2563),Adat!$E:$E)*-1</f>
        <v>0</v>
      </c>
      <c r="H2629" s="72">
        <f>SUMIF(Adat!$AH:$AH,CONCATENATE(Info!$D$5,"(ÖNV)","0981121",L2563),Adat!$E:$E)*-1</f>
        <v>0</v>
      </c>
      <c r="I2629" s="72">
        <f>SUMIF(Adat!$AH:$AH,CONCATENATE(Info!$D$5,"(ÁIG)","0981121",L2563),Adat!$E:$E)*-1</f>
        <v>0</v>
      </c>
    </row>
    <row r="2630" spans="2:9" x14ac:dyDescent="0.2">
      <c r="B2630" s="160">
        <v>65</v>
      </c>
      <c r="C2630" s="305" t="s">
        <v>1408</v>
      </c>
      <c r="D2630" s="82" t="s">
        <v>1409</v>
      </c>
      <c r="E2630" s="72">
        <f>SUMIF(Adat!$AG:$AG,CONCATENATE(61,Info!$D$5,"0981131",L2563),Adat!$E:$E)*-1</f>
        <v>0</v>
      </c>
      <c r="F2630" s="72">
        <f>SUMIF(Adat!$AG:$AG,CONCATENATE(60,Info!$D$5,"0981131",L2563),Adat!$E:$E)*-1+E2630</f>
        <v>0</v>
      </c>
      <c r="G2630" s="72">
        <f>SUMIF(Adat!$AH:$AH,CONCATENATE(Info!$D$5,"(KÖT)","0981131",L2563),Adat!$E:$E)*-1</f>
        <v>0</v>
      </c>
      <c r="H2630" s="72">
        <f>SUMIF(Adat!$AH:$AH,CONCATENATE(Info!$D$5,"(ÖNV)","0981131",L2563),Adat!$E:$E)*-1</f>
        <v>0</v>
      </c>
      <c r="I2630" s="72">
        <f>SUMIF(Adat!$AH:$AH,CONCATENATE(Info!$D$5,"(ÁIG)","0981131",L2563),Adat!$E:$E)*-1</f>
        <v>0</v>
      </c>
    </row>
    <row r="2631" spans="2:9" x14ac:dyDescent="0.25">
      <c r="B2631" s="160">
        <v>66</v>
      </c>
      <c r="C2631" s="154" t="s">
        <v>1410</v>
      </c>
      <c r="D2631" s="85" t="s">
        <v>574</v>
      </c>
      <c r="E2631" s="71">
        <f>SUM(E2632:E2635)</f>
        <v>0</v>
      </c>
      <c r="F2631" s="71">
        <f t="shared" ref="F2631" si="279">SUM(F2632:F2635)</f>
        <v>0</v>
      </c>
      <c r="G2631" s="71">
        <f>SUM(G2632:G2635)</f>
        <v>0</v>
      </c>
      <c r="H2631" s="71">
        <f>SUM(H2632:H2635)</f>
        <v>0</v>
      </c>
      <c r="I2631" s="71">
        <f>SUM(I2632:I2635)</f>
        <v>0</v>
      </c>
    </row>
    <row r="2632" spans="2:9" x14ac:dyDescent="0.2">
      <c r="B2632" s="160">
        <v>67</v>
      </c>
      <c r="C2632" s="305" t="s">
        <v>1411</v>
      </c>
      <c r="D2632" s="82" t="s">
        <v>1412</v>
      </c>
      <c r="E2632" s="72">
        <f>SUMIF(Adat!$AG:$AG,CONCATENATE(61,Info!$D$5,"0981211",L2563),Adat!$E:$E)*-1</f>
        <v>0</v>
      </c>
      <c r="F2632" s="72">
        <f>SUMIF(Adat!$AG:$AG,CONCATENATE(60,Info!$D$5,"0981211",L2563),Adat!$E:$E)*-1+E2632</f>
        <v>0</v>
      </c>
      <c r="G2632" s="72">
        <f>SUMIF(Adat!$AH:$AH,CONCATENATE(Info!$D$5,"(KÖT)","0981211",L2563),Adat!$E:$E)*-1</f>
        <v>0</v>
      </c>
      <c r="H2632" s="72">
        <f>SUMIF(Adat!$AH:$AH,CONCATENATE(Info!$D$5,"(ÖNV)","0981211",L2563),Adat!$E:$E)*-1</f>
        <v>0</v>
      </c>
      <c r="I2632" s="72">
        <f>SUMIF(Adat!$AH:$AH,CONCATENATE(Info!$D$5,"(ÁIG)","0981211",L2563),Adat!$E:$E)*-1</f>
        <v>0</v>
      </c>
    </row>
    <row r="2633" spans="2:9" x14ac:dyDescent="0.2">
      <c r="B2633" s="160">
        <v>68</v>
      </c>
      <c r="C2633" s="305" t="s">
        <v>1413</v>
      </c>
      <c r="D2633" s="82" t="s">
        <v>1414</v>
      </c>
      <c r="E2633" s="72">
        <f>SUMIF(Adat!$AG:$AG,CONCATENATE(61,Info!$D$5,"0981221",L2563),Adat!$E:$E)*-1</f>
        <v>0</v>
      </c>
      <c r="F2633" s="72">
        <f>SUMIF(Adat!$AG:$AG,CONCATENATE(60,Info!$D$5,"0981221",L2563),Adat!$E:$E)*-1+E2633</f>
        <v>0</v>
      </c>
      <c r="G2633" s="72">
        <f>SUMIF(Adat!$AH:$AH,CONCATENATE(Info!$D$5,"(KÖT)","0981221",L2563),Adat!$E:$E)*-1</f>
        <v>0</v>
      </c>
      <c r="H2633" s="72">
        <f>SUMIF(Adat!$AH:$AH,CONCATENATE(Info!$D$5,"(ÖNV)","0981221",L2563),Adat!$E:$E)*-1</f>
        <v>0</v>
      </c>
      <c r="I2633" s="72">
        <f>SUMIF(Adat!$AH:$AH,CONCATENATE(Info!$D$5,"(ÁIG)","0981221",L2563),Adat!$E:$E)*-1</f>
        <v>0</v>
      </c>
    </row>
    <row r="2634" spans="2:9" x14ac:dyDescent="0.2">
      <c r="B2634" s="160">
        <v>69</v>
      </c>
      <c r="C2634" s="305" t="s">
        <v>1313</v>
      </c>
      <c r="D2634" s="82" t="s">
        <v>1415</v>
      </c>
      <c r="E2634" s="72">
        <f>SUMIF(Adat!$AG:$AG,CONCATENATE(61,Info!$D$5,"0981231",L2563),Adat!$E:$E)*-1</f>
        <v>0</v>
      </c>
      <c r="F2634" s="72">
        <f>SUMIF(Adat!$AG:$AG,CONCATENATE(60,Info!$D$5,"0981231",L2563),Adat!$E:$E)*-1+E2634</f>
        <v>0</v>
      </c>
      <c r="G2634" s="72">
        <f>SUMIF(Adat!$AH:$AH,CONCATENATE(Info!$D$5,"(KÖT)","0981231",L2563),Adat!$E:$E)*-1</f>
        <v>0</v>
      </c>
      <c r="H2634" s="72">
        <f>SUMIF(Adat!$AH:$AH,CONCATENATE(Info!$D$5,"(ÖNV)","0981231",L2563),Adat!$E:$E)*-1</f>
        <v>0</v>
      </c>
      <c r="I2634" s="72">
        <f>SUMIF(Adat!$AH:$AH,CONCATENATE(Info!$D$5,"(ÁIG)","0981231",L2563),Adat!$E:$E)*-1</f>
        <v>0</v>
      </c>
    </row>
    <row r="2635" spans="2:9" x14ac:dyDescent="0.25">
      <c r="B2635" s="160">
        <v>70</v>
      </c>
      <c r="C2635" s="305" t="s">
        <v>1416</v>
      </c>
      <c r="D2635" s="84" t="s">
        <v>1417</v>
      </c>
      <c r="E2635" s="72">
        <f>SUMIF(Adat!$AG:$AG,CONCATENATE(61,Info!$D$5,"0981241",L2563),Adat!$E:$E)*-1</f>
        <v>0</v>
      </c>
      <c r="F2635" s="72">
        <f>SUMIF(Adat!$AG:$AG,CONCATENATE(60,Info!$D$5,"0981241",L2563),Adat!$E:$E)*-1+E2635</f>
        <v>0</v>
      </c>
      <c r="G2635" s="72">
        <f>SUMIF(Adat!$AH:$AH,CONCATENATE(Info!$D$5,"(KÖT)","0981241",L2563),Adat!$E:$E)*-1</f>
        <v>0</v>
      </c>
      <c r="H2635" s="72">
        <f>SUMIF(Adat!$AH:$AH,CONCATENATE(Info!$D$5,"(ÖNV)","0981241",L2563),Adat!$E:$E)*-1</f>
        <v>0</v>
      </c>
      <c r="I2635" s="72">
        <f>SUMIF(Adat!$AH:$AH,CONCATENATE(Info!$D$5,"(ÁIG)","0981241",L2563),Adat!$E:$E)*-1</f>
        <v>0</v>
      </c>
    </row>
    <row r="2636" spans="2:9" x14ac:dyDescent="0.25">
      <c r="B2636" s="160">
        <v>71</v>
      </c>
      <c r="C2636" s="154" t="s">
        <v>1418</v>
      </c>
      <c r="D2636" s="85" t="s">
        <v>575</v>
      </c>
      <c r="E2636" s="71">
        <f>SUM(E2637:E2638)</f>
        <v>0</v>
      </c>
      <c r="F2636" s="71">
        <f t="shared" ref="F2636" si="280">SUM(F2637:F2638)</f>
        <v>0</v>
      </c>
      <c r="G2636" s="71">
        <f>SUM(G2637:G2638)</f>
        <v>0</v>
      </c>
      <c r="H2636" s="71">
        <f>SUM(H2637:H2638)</f>
        <v>0</v>
      </c>
      <c r="I2636" s="71">
        <f>SUM(I2637:I2638)</f>
        <v>0</v>
      </c>
    </row>
    <row r="2637" spans="2:9" x14ac:dyDescent="0.2">
      <c r="B2637" s="160">
        <v>72</v>
      </c>
      <c r="C2637" s="305" t="s">
        <v>1274</v>
      </c>
      <c r="D2637" s="82" t="s">
        <v>1419</v>
      </c>
      <c r="E2637" s="72">
        <f>SUMIF(Adat!$AG:$AG,CONCATENATE(61,Info!$D$5,"0981311",L2563),Adat!$E:$E)*-1</f>
        <v>0</v>
      </c>
      <c r="F2637" s="72">
        <f>SUMIF(Adat!$AG:$AG,CONCATENATE(60,Info!$D$5,"0981311",L2563),Adat!$E:$E)*-1+E2637</f>
        <v>0</v>
      </c>
      <c r="G2637" s="72">
        <f>SUMIF(Adat!$AH:$AH,CONCATENATE(Info!$D$5,"(KÖT)","0981311",L2563),Adat!$E:$E)*-1</f>
        <v>0</v>
      </c>
      <c r="H2637" s="72">
        <f>SUMIF(Adat!$AH:$AH,CONCATENATE(Info!$D$5,"(ÖNV)","0981311",L2563),Adat!$E:$E)*-1</f>
        <v>0</v>
      </c>
      <c r="I2637" s="72">
        <f>SUMIF(Adat!$AH:$AH,CONCATENATE(Info!$D$5,"(ÁIG)","0981311",L2563),Adat!$E:$E)*-1</f>
        <v>0</v>
      </c>
    </row>
    <row r="2638" spans="2:9" x14ac:dyDescent="0.25">
      <c r="B2638" s="160">
        <v>73</v>
      </c>
      <c r="C2638" s="305" t="s">
        <v>1420</v>
      </c>
      <c r="D2638" s="84" t="s">
        <v>1421</v>
      </c>
      <c r="E2638" s="72">
        <f>SUMIF(Adat!$AG:$AG,CONCATENATE(61,Info!$D$5,"0981321",L2563),Adat!$E:$E)*-1</f>
        <v>0</v>
      </c>
      <c r="F2638" s="72">
        <f>SUMIF(Adat!$AG:$AG,CONCATENATE(60,Info!$D$5,"0981321",L2563),Adat!$E:$E)*-1+E2638</f>
        <v>0</v>
      </c>
      <c r="G2638" s="72">
        <f>SUMIF(Adat!$AH:$AH,CONCATENATE(Info!$D$5,"(KÖT)","0981321",L2563),Adat!$E:$E)*-1</f>
        <v>0</v>
      </c>
      <c r="H2638" s="72">
        <f>SUMIF(Adat!$AH:$AH,CONCATENATE(Info!$D$5,"(ÖNV)","0981321",L2563),Adat!$E:$E)*-1</f>
        <v>0</v>
      </c>
      <c r="I2638" s="72">
        <f>SUMIF(Adat!$AH:$AH,CONCATENATE(Info!$D$5,"(ÁIG)","0981321",L2563),Adat!$E:$E)*-1</f>
        <v>0</v>
      </c>
    </row>
    <row r="2639" spans="2:9" s="42" customFormat="1" x14ac:dyDescent="0.25">
      <c r="B2639" s="160">
        <v>74</v>
      </c>
      <c r="C2639" s="154" t="s">
        <v>1496</v>
      </c>
      <c r="D2639" s="85" t="s">
        <v>576</v>
      </c>
      <c r="E2639" s="71">
        <f>SUM(E2640:E2642)</f>
        <v>0</v>
      </c>
      <c r="F2639" s="71">
        <f t="shared" ref="F2639" si="281">SUM(F2640:F2642)</f>
        <v>0</v>
      </c>
      <c r="G2639" s="71">
        <f>SUM(G2640:G2642)</f>
        <v>0</v>
      </c>
      <c r="H2639" s="71">
        <f>SUM(H2640:H2642)</f>
        <v>0</v>
      </c>
      <c r="I2639" s="71">
        <f>SUM(I2640:I2642)</f>
        <v>0</v>
      </c>
    </row>
    <row r="2640" spans="2:9" x14ac:dyDescent="0.2">
      <c r="B2640" s="160">
        <v>75</v>
      </c>
      <c r="C2640" s="305" t="s">
        <v>1301</v>
      </c>
      <c r="D2640" s="82" t="s">
        <v>1422</v>
      </c>
      <c r="E2640" s="72">
        <f>SUMIF(Adat!$AG:$AG,CONCATENATE(61,Info!$D$5,"098141",L2563),Adat!$E:$E)*-1</f>
        <v>0</v>
      </c>
      <c r="F2640" s="72">
        <f>SUMIF(Adat!$AG:$AG,CONCATENATE(60,Info!$D$5,"098141",L2563),Adat!$E:$E)*-1+E2640</f>
        <v>0</v>
      </c>
      <c r="G2640" s="72">
        <f>SUMIF(Adat!$AH:$AH,CONCATENATE(Info!$D$5,"(KÖT)","098141",L2563),Adat!$E:$E)*-1</f>
        <v>0</v>
      </c>
      <c r="H2640" s="72">
        <f>SUMIF(Adat!$AH:$AH,CONCATENATE(Info!$D$5,"(ÖNV)","098141",L2563),Adat!$E:$E)*-1</f>
        <v>0</v>
      </c>
      <c r="I2640" s="72">
        <f>SUMIF(Adat!$AH:$AH,CONCATENATE(Info!$D$5,"(ÁIG)","098141",L2563),Adat!$E:$E)*-1</f>
        <v>0</v>
      </c>
    </row>
    <row r="2641" spans="2:12" x14ac:dyDescent="0.2">
      <c r="B2641" s="160">
        <v>76</v>
      </c>
      <c r="C2641" s="305" t="s">
        <v>1423</v>
      </c>
      <c r="D2641" s="82" t="s">
        <v>1424</v>
      </c>
      <c r="E2641" s="72">
        <f>SUMIF(Adat!$AG:$AG,CONCATENATE(61,Info!$D$5,"098151",L2563),Adat!$E:$E)*-1</f>
        <v>0</v>
      </c>
      <c r="F2641" s="72">
        <f>SUMIF(Adat!$AG:$AG,CONCATENATE(60,Info!$D$5,"098151",L2563),Adat!$E:$E)*-1+E2641</f>
        <v>0</v>
      </c>
      <c r="G2641" s="72">
        <f>SUMIF(Adat!$AH:$AH,CONCATENATE(Info!$D$5,"(KÖT)","098151",L2563),Adat!$E:$E)*-1</f>
        <v>0</v>
      </c>
      <c r="H2641" s="72">
        <f>SUMIF(Adat!$AH:$AH,CONCATENATE(Info!$D$5,"(ÖNV)","098151",L2563),Adat!$E:$E)*-1</f>
        <v>0</v>
      </c>
      <c r="I2641" s="72">
        <f>SUMIF(Adat!$AH:$AH,CONCATENATE(Info!$D$5,"(ÁIG)","098151",L2563),Adat!$E:$E)*-1</f>
        <v>0</v>
      </c>
    </row>
    <row r="2642" spans="2:12" x14ac:dyDescent="0.25">
      <c r="B2642" s="160">
        <v>77</v>
      </c>
      <c r="C2642" s="305" t="s">
        <v>1425</v>
      </c>
      <c r="D2642" s="84" t="s">
        <v>1426</v>
      </c>
      <c r="E2642" s="72">
        <f>SUMIF(Adat!$AG:$AG,CONCATENATE(61,Info!$D$5,"098171",L2563),Adat!$E:$E)*-1</f>
        <v>0</v>
      </c>
      <c r="F2642" s="72">
        <f>SUMIF(Adat!$AG:$AG,CONCATENATE(60,Info!$D$5,"098171",L2563),Adat!$E:$E)*-1+E2642</f>
        <v>0</v>
      </c>
      <c r="G2642" s="72">
        <f>SUMIF(Adat!$AH:$AH,CONCATENATE(Info!$D$5,"(KÖT)","098171",L2563),Adat!$E:$E)*-1</f>
        <v>0</v>
      </c>
      <c r="H2642" s="72">
        <f>SUMIF(Adat!$AH:$AH,CONCATENATE(Info!$D$5,"(ÖNV)","098171",L2563),Adat!$E:$E)*-1</f>
        <v>0</v>
      </c>
      <c r="I2642" s="72">
        <f>SUMIF(Adat!$AH:$AH,CONCATENATE(Info!$D$5,"(ÁIG)","098171",L2563),Adat!$E:$E)*-1</f>
        <v>0</v>
      </c>
    </row>
    <row r="2643" spans="2:12" x14ac:dyDescent="0.25">
      <c r="B2643" s="160">
        <v>78</v>
      </c>
      <c r="C2643" s="154" t="s">
        <v>1427</v>
      </c>
      <c r="D2643" s="85" t="s">
        <v>577</v>
      </c>
      <c r="E2643" s="71">
        <f>SUM(E2644:E2648)</f>
        <v>0</v>
      </c>
      <c r="F2643" s="71">
        <f t="shared" ref="F2643" si="282">SUM(F2644:F2648)</f>
        <v>0</v>
      </c>
      <c r="G2643" s="71">
        <f>SUM(G2644:G2648)</f>
        <v>0</v>
      </c>
      <c r="H2643" s="71">
        <f>SUM(H2644:H2648)</f>
        <v>0</v>
      </c>
      <c r="I2643" s="71">
        <f>SUM(I2644:I2648)</f>
        <v>0</v>
      </c>
    </row>
    <row r="2644" spans="2:12" x14ac:dyDescent="0.2">
      <c r="B2644" s="160">
        <v>79</v>
      </c>
      <c r="C2644" s="89" t="s">
        <v>1428</v>
      </c>
      <c r="D2644" s="82" t="s">
        <v>1429</v>
      </c>
      <c r="E2644" s="72">
        <f>SUMIF(Adat!$AG:$AG,CONCATENATE(61,Info!$D$5,"098211",L2563),Adat!$E:$E)*-1</f>
        <v>0</v>
      </c>
      <c r="F2644" s="72">
        <f>SUMIF(Adat!$AG:$AG,CONCATENATE(60,Info!$D$5,"098211",L2563),Adat!$E:$E)*-1+E2644</f>
        <v>0</v>
      </c>
      <c r="G2644" s="72">
        <f>SUMIF(Adat!$AH:$AH,CONCATENATE(Info!$D$5,"(KÖT)","098211",L2563),Adat!$E:$E)*-1</f>
        <v>0</v>
      </c>
      <c r="H2644" s="72">
        <f>SUMIF(Adat!$AH:$AH,CONCATENATE(Info!$D$5,"(ÖNV)","098211",L2563),Adat!$E:$E)*-1</f>
        <v>0</v>
      </c>
      <c r="I2644" s="72">
        <f>SUMIF(Adat!$AH:$AH,CONCATENATE(Info!$D$5,"(ÁIG)","098211",L2563),Adat!$E:$E)*-1</f>
        <v>0</v>
      </c>
    </row>
    <row r="2645" spans="2:12" x14ac:dyDescent="0.2">
      <c r="B2645" s="160">
        <v>80</v>
      </c>
      <c r="C2645" s="89" t="s">
        <v>1430</v>
      </c>
      <c r="D2645" s="82" t="s">
        <v>1431</v>
      </c>
      <c r="E2645" s="72">
        <f>SUMIF(Adat!$AG:$AG,CONCATENATE(61,Info!$D$5,"098221",L2563),Adat!$E:$E)*-1</f>
        <v>0</v>
      </c>
      <c r="F2645" s="72">
        <f>SUMIF(Adat!$AG:$AG,CONCATENATE(60,Info!$D$5,"098221",L2563),Adat!$E:$E)*-1+E2645</f>
        <v>0</v>
      </c>
      <c r="G2645" s="72">
        <f>SUMIF(Adat!$AH:$AH,CONCATENATE(Info!$D$5,"(KÖT)","098221",L2563),Adat!$E:$E)*-1</f>
        <v>0</v>
      </c>
      <c r="H2645" s="72">
        <f>SUMIF(Adat!$AH:$AH,CONCATENATE(Info!$D$5,"(ÖNV)","098221",L2563),Adat!$E:$E)*-1</f>
        <v>0</v>
      </c>
      <c r="I2645" s="72">
        <f>SUMIF(Adat!$AH:$AH,CONCATENATE(Info!$D$5,"(ÁIG)","098221",L2563),Adat!$E:$E)*-1</f>
        <v>0</v>
      </c>
    </row>
    <row r="2646" spans="2:12" x14ac:dyDescent="0.2">
      <c r="B2646" s="160">
        <v>81</v>
      </c>
      <c r="C2646" s="89" t="s">
        <v>1432</v>
      </c>
      <c r="D2646" s="82" t="s">
        <v>1433</v>
      </c>
      <c r="E2646" s="72">
        <f>SUMIF(Adat!$AG:$AG,CONCATENATE(61,Info!$D$5,"098231",L2563),Adat!$E:$E)*-1</f>
        <v>0</v>
      </c>
      <c r="F2646" s="72">
        <f>SUMIF(Adat!$AG:$AG,CONCATENATE(60,Info!$D$5,"098231",L2563),Adat!$E:$E)*-1+E2646</f>
        <v>0</v>
      </c>
      <c r="G2646" s="72">
        <f>SUMIF(Adat!$AH:$AH,CONCATENATE(Info!$D$5,"(KÖT)","098231",L2563),Adat!$E:$E)*-1</f>
        <v>0</v>
      </c>
      <c r="H2646" s="72">
        <f>SUMIF(Adat!$AH:$AH,CONCATENATE(Info!$D$5,"(ÖNV)","098231",L2563),Adat!$E:$E)*-1</f>
        <v>0</v>
      </c>
      <c r="I2646" s="72">
        <f>SUMIF(Adat!$AH:$AH,CONCATENATE(Info!$D$5,"(ÁIG)","098231",L2563),Adat!$E:$E)*-1</f>
        <v>0</v>
      </c>
    </row>
    <row r="2647" spans="2:12" x14ac:dyDescent="0.2">
      <c r="B2647" s="160">
        <v>82</v>
      </c>
      <c r="C2647" s="89" t="s">
        <v>1434</v>
      </c>
      <c r="D2647" s="82" t="s">
        <v>1435</v>
      </c>
      <c r="E2647" s="72">
        <f>SUMIF(Adat!$AG:$AG,CONCATENATE(61,Info!$D$5,"098241",L2563),Adat!$E:$E)*-1</f>
        <v>0</v>
      </c>
      <c r="F2647" s="72">
        <f>SUMIF(Adat!$AG:$AG,CONCATENATE(60,Info!$D$5,"098241",L2563),Adat!$E:$E)*-1+E2647</f>
        <v>0</v>
      </c>
      <c r="G2647" s="72">
        <f>SUMIF(Adat!$AH:$AH,CONCATENATE(Info!$D$5,"(KÖT)","098241",L2563),Adat!$E:$E)*-1</f>
        <v>0</v>
      </c>
      <c r="H2647" s="72">
        <f>SUMIF(Adat!$AH:$AH,CONCATENATE(Info!$D$5,"(ÖNV)","098241",L2563),Adat!$E:$E)*-1</f>
        <v>0</v>
      </c>
      <c r="I2647" s="72">
        <f>SUMIF(Adat!$AH:$AH,CONCATENATE(Info!$D$5,"(ÁIG)","098241",L2563),Adat!$E:$E)*-1</f>
        <v>0</v>
      </c>
    </row>
    <row r="2648" spans="2:12" s="42" customFormat="1" x14ac:dyDescent="0.2">
      <c r="B2648" s="160">
        <v>83</v>
      </c>
      <c r="C2648" s="89" t="s">
        <v>1436</v>
      </c>
      <c r="D2648" s="84" t="s">
        <v>1437</v>
      </c>
      <c r="E2648" s="72">
        <f>SUMIF(Adat!$AG:$AG,CONCATENATE(61,Info!$D$5,"098251",L2563),Adat!$E:$E)*-1</f>
        <v>0</v>
      </c>
      <c r="F2648" s="72">
        <f>SUMIF(Adat!$AG:$AG,CONCATENATE(60,Info!$D$5,"098251",L2563),Adat!$E:$E)*-1+E2648</f>
        <v>0</v>
      </c>
      <c r="G2648" s="72">
        <f>SUMIF(Adat!$AH:$AH,CONCATENATE(Info!$D$5,"(KÖT)","098251",L2563),Adat!$E:$E)*-1</f>
        <v>0</v>
      </c>
      <c r="H2648" s="72">
        <f>SUMIF(Adat!$AH:$AH,CONCATENATE(Info!$D$5,"(ÖNV)","098251",L2563),Adat!$E:$E)*-1</f>
        <v>0</v>
      </c>
      <c r="I2648" s="72">
        <f>SUMIF(Adat!$AH:$AH,CONCATENATE(Info!$D$5,"(ÁIG)","098251",L2563),Adat!$E:$E)*-1</f>
        <v>0</v>
      </c>
    </row>
    <row r="2649" spans="2:12" s="42" customFormat="1" x14ac:dyDescent="0.2">
      <c r="B2649" s="160">
        <v>84</v>
      </c>
      <c r="C2649" s="309" t="s">
        <v>1438</v>
      </c>
      <c r="D2649" s="85" t="s">
        <v>1439</v>
      </c>
      <c r="E2649" s="71">
        <f>SUMIF(Adat!$AG:$AG,CONCATENATE(61,Info!$D$5,"09831",L2563),Adat!$E:$E)*-1</f>
        <v>0</v>
      </c>
      <c r="F2649" s="71">
        <f>SUMIF(Adat!$AG:$AG,CONCATENATE(60,Info!$D$5,"09831",L2563),Adat!$E:$E)*-1+E2649</f>
        <v>0</v>
      </c>
      <c r="G2649" s="71">
        <f>SUMIF(Adat!$AH:$AH,CONCATENATE(Info!$D$5,"(KÖT)","09831",L2563),Adat!$E:$E)*-1</f>
        <v>0</v>
      </c>
      <c r="H2649" s="71">
        <f>SUMIF(Adat!$AH:$AH,CONCATENATE(Info!$D$5,"(ÖNV)","09831",L2563),Adat!$E:$E)*-1</f>
        <v>0</v>
      </c>
      <c r="I2649" s="71">
        <f>SUMIF(Adat!$AH:$AH,CONCATENATE(Info!$D$5,"(ÁIG)","09831",L2563),Adat!$E:$E)*-1</f>
        <v>0</v>
      </c>
    </row>
    <row r="2650" spans="2:12" s="42" customFormat="1" x14ac:dyDescent="0.25">
      <c r="B2650" s="160">
        <v>85</v>
      </c>
      <c r="C2650" s="154" t="s">
        <v>1440</v>
      </c>
      <c r="D2650" s="85" t="s">
        <v>1441</v>
      </c>
      <c r="E2650" s="71">
        <f>SUMIF(Adat!$AG:$AG,CONCATENATE(61,Info!$D$5,"09841",L2563),Adat!$E:$E)*-1</f>
        <v>0</v>
      </c>
      <c r="F2650" s="71">
        <f>SUMIF(Adat!$AG:$AG,CONCATENATE(60,Info!$D$5,"09841",L2563),Adat!$E:$E)*-1+E2650</f>
        <v>0</v>
      </c>
      <c r="G2650" s="71">
        <f>SUMIF(Adat!$AH:$AH,CONCATENATE(Info!$D$5,"(KÖT)","09841",L2563),Adat!$E:$E)*-1</f>
        <v>0</v>
      </c>
      <c r="H2650" s="71">
        <f>SUMIF(Adat!$AH:$AH,CONCATENATE(Info!$D$5,"(ÖNV)","09841",L2563),Adat!$E:$E)*-1</f>
        <v>0</v>
      </c>
      <c r="I2650" s="71">
        <f>SUMIF(Adat!$AH:$AH,CONCATENATE(Info!$D$5,"(ÁIG)","09841",L2563),Adat!$E:$E)*-1</f>
        <v>0</v>
      </c>
    </row>
    <row r="2651" spans="2:12" s="42" customFormat="1" x14ac:dyDescent="0.25">
      <c r="B2651" s="160">
        <v>86</v>
      </c>
      <c r="C2651" s="154" t="s">
        <v>358</v>
      </c>
      <c r="D2651" s="87" t="s">
        <v>1442</v>
      </c>
      <c r="E2651" s="71">
        <f>+E2627+E2631+E2636+E2639+E2643+E2650+E2649</f>
        <v>0</v>
      </c>
      <c r="F2651" s="71">
        <f t="shared" ref="F2651" si="283">+F2627+F2631+F2636+F2639+F2643+F2650+F2649</f>
        <v>0</v>
      </c>
      <c r="G2651" s="71">
        <f>+G2627+G2631+G2636+G2639+G2643+G2650+G2649</f>
        <v>0</v>
      </c>
      <c r="H2651" s="71">
        <f>+H2627+H2631+H2636+H2639+H2643+H2650+H2649</f>
        <v>0</v>
      </c>
      <c r="I2651" s="71">
        <f>+I2627+I2631+I2636+I2639+I2643+I2650+I2649</f>
        <v>0</v>
      </c>
    </row>
    <row r="2652" spans="2:12" s="42" customFormat="1" x14ac:dyDescent="0.25">
      <c r="B2652" s="160">
        <v>87</v>
      </c>
      <c r="C2652" s="154" t="s">
        <v>364</v>
      </c>
      <c r="D2652" s="87" t="s">
        <v>1497</v>
      </c>
      <c r="E2652" s="71">
        <f>+E2626+E2651</f>
        <v>0</v>
      </c>
      <c r="F2652" s="71">
        <f t="shared" ref="F2652" si="284">+F2626+F2651</f>
        <v>0</v>
      </c>
      <c r="G2652" s="71">
        <f>+G2626+G2651</f>
        <v>0</v>
      </c>
      <c r="H2652" s="71">
        <f>+H2626+H2651</f>
        <v>0</v>
      </c>
      <c r="I2652" s="71">
        <f>+I2626+I2651</f>
        <v>0</v>
      </c>
    </row>
    <row r="2653" spans="2:12" s="38" customFormat="1" ht="15.75" x14ac:dyDescent="0.25">
      <c r="C2653" s="156"/>
      <c r="E2653" s="140"/>
      <c r="F2653" s="140"/>
      <c r="G2653" s="140"/>
      <c r="H2653" s="140"/>
      <c r="I2653" s="140"/>
    </row>
    <row r="2654" spans="2:12" s="10" customFormat="1" ht="15.75" customHeight="1" x14ac:dyDescent="0.25">
      <c r="B2654" s="201" t="str">
        <f>CONCATENATE("38. Kiadási jogcímek"," - ",L2654," részletező")</f>
        <v>38. Kiadási jogcímek -  részletező</v>
      </c>
      <c r="C2654" s="101"/>
      <c r="D2654" s="101"/>
      <c r="E2654" s="101"/>
      <c r="F2654" s="101"/>
      <c r="G2654" s="198"/>
      <c r="H2654" s="198"/>
      <c r="I2654" s="198"/>
      <c r="L2654" s="384"/>
    </row>
    <row r="2655" spans="2:12" s="38" customFormat="1" ht="15.75" x14ac:dyDescent="0.25">
      <c r="C2655" s="156"/>
      <c r="E2655" s="140"/>
      <c r="F2655" s="140"/>
      <c r="G2655" s="140"/>
      <c r="H2655" s="140"/>
      <c r="I2655" s="140"/>
    </row>
    <row r="2656" spans="2:12" s="40" customFormat="1" x14ac:dyDescent="0.25">
      <c r="B2656" s="77"/>
      <c r="C2656" s="77" t="s">
        <v>350</v>
      </c>
      <c r="D2656" s="77" t="s">
        <v>351</v>
      </c>
      <c r="E2656" s="77" t="s">
        <v>470</v>
      </c>
      <c r="F2656" s="77" t="s">
        <v>471</v>
      </c>
      <c r="G2656" s="77" t="s">
        <v>44</v>
      </c>
      <c r="H2656" s="77" t="s">
        <v>42</v>
      </c>
      <c r="I2656" s="77" t="s">
        <v>511</v>
      </c>
    </row>
    <row r="2657" spans="2:9" s="41" customFormat="1" ht="38.25" x14ac:dyDescent="0.25">
      <c r="B2657" s="160">
        <v>1</v>
      </c>
      <c r="C2657" s="154" t="s">
        <v>593</v>
      </c>
      <c r="D2657" s="154" t="s">
        <v>488</v>
      </c>
      <c r="E2657" s="163" t="str">
        <f>CONCATENATE(PAR!$H$3," évi
eredeti 
előirányzat")</f>
        <v>2025. évi
eredeti 
előirányzat</v>
      </c>
      <c r="F2657" s="163" t="str">
        <f>CONCATENATE(PAR!$H$3," évi
módosított 
előirányzat")</f>
        <v>2025. évi
módosított 
előirányzat</v>
      </c>
      <c r="G2657" s="69" t="s">
        <v>666</v>
      </c>
      <c r="H2657" s="69" t="s">
        <v>667</v>
      </c>
      <c r="I2657" s="69" t="s">
        <v>668</v>
      </c>
    </row>
    <row r="2658" spans="2:9" s="42" customFormat="1" x14ac:dyDescent="0.25">
      <c r="B2658" s="160">
        <v>2</v>
      </c>
      <c r="C2658" s="78" t="s">
        <v>352</v>
      </c>
      <c r="D2658" s="92" t="s">
        <v>2663</v>
      </c>
      <c r="E2658" s="71">
        <f>SUM(E2659:E2664)</f>
        <v>0</v>
      </c>
      <c r="F2658" s="71">
        <f>SUM(F2659:F2664)</f>
        <v>0</v>
      </c>
      <c r="G2658" s="71">
        <f>SUM(G2659:G2664)</f>
        <v>0</v>
      </c>
      <c r="H2658" s="71">
        <f>+H2659+H2660+H2661+H2662+H2663+H2664</f>
        <v>0</v>
      </c>
      <c r="I2658" s="71">
        <f>+I2659+I2660+I2661+I2662+I2663+I2664</f>
        <v>0</v>
      </c>
    </row>
    <row r="2659" spans="2:9" x14ac:dyDescent="0.25">
      <c r="B2659" s="160">
        <v>3</v>
      </c>
      <c r="C2659" s="305" t="s">
        <v>315</v>
      </c>
      <c r="D2659" s="161" t="s">
        <v>342</v>
      </c>
      <c r="E2659" s="72">
        <f>SUMIF(Adat!$AI:$AI,CONCATENATE(61,Info!$D$5,"051",L2654),Adat!$E:$E)</f>
        <v>0</v>
      </c>
      <c r="F2659" s="72">
        <f>SUMIF(Adat!$AI:$AI,CONCATENATE(60,Info!$D$5,"051",L2654),Adat!$E:$E)+E2659</f>
        <v>0</v>
      </c>
      <c r="G2659" s="72">
        <f>SUMIF(Adat!$AJ:$AJ,CONCATENATE(Info!$D$5,"051","(KÖT)",L2654),Adat!$E:$E)</f>
        <v>0</v>
      </c>
      <c r="H2659" s="72">
        <f>SUMIF(Adat!$AJ:$AJ,CONCATENATE(Info!$D$5,"051","(ÖNV)",L2654),Adat!$E:$E)</f>
        <v>0</v>
      </c>
      <c r="I2659" s="72">
        <f>SUMIF(Adat!$AJ:$AJ,CONCATENATE(Info!$D$5,"051","(ÁIG)",L2654),Adat!$E:$E)</f>
        <v>0</v>
      </c>
    </row>
    <row r="2660" spans="2:9" x14ac:dyDescent="0.25">
      <c r="B2660" s="160">
        <v>4</v>
      </c>
      <c r="C2660" s="305" t="s">
        <v>317</v>
      </c>
      <c r="D2660" s="161" t="s">
        <v>395</v>
      </c>
      <c r="E2660" s="72">
        <f>SUMIF(Adat!$AI:$AI,CONCATENATE(61,Info!$D$5,"052",L2654),Adat!$E:$E)</f>
        <v>0</v>
      </c>
      <c r="F2660" s="72">
        <f>SUMIF(Adat!$AI:$AI,CONCATENATE(60,Info!$D$5,"052",L2654),Adat!$E:$E)+E2660</f>
        <v>0</v>
      </c>
      <c r="G2660" s="72">
        <f>SUMIF(Adat!$AJ:$AJ,CONCATENATE(Info!$D$5,"052","(KÖT)",L2654),Adat!$E:$E)</f>
        <v>0</v>
      </c>
      <c r="H2660" s="72">
        <f>SUMIF(Adat!$AJ:$AJ,CONCATENATE(Info!$D$5,"052","(ÖNV)",L2654),Adat!$E:$E)</f>
        <v>0</v>
      </c>
      <c r="I2660" s="72">
        <f>SUMIF(Adat!$AJ:$AJ,CONCATENATE(Info!$D$5,"052","(ÁIG)",L2654),Adat!$E:$E)</f>
        <v>0</v>
      </c>
    </row>
    <row r="2661" spans="2:9" x14ac:dyDescent="0.25">
      <c r="B2661" s="160">
        <v>5</v>
      </c>
      <c r="C2661" s="305" t="s">
        <v>4</v>
      </c>
      <c r="D2661" s="161" t="s">
        <v>344</v>
      </c>
      <c r="E2661" s="72">
        <f>SUMIF(Adat!$AI:$AI,CONCATENATE(61,Info!$D$5,"053",L2654),Adat!$E:$E)</f>
        <v>0</v>
      </c>
      <c r="F2661" s="72">
        <f>SUMIF(Adat!$AI:$AI,CONCATENATE(60,Info!$D$5,"053",L2654),Adat!$E:$E)+E2661</f>
        <v>0</v>
      </c>
      <c r="G2661" s="72">
        <f>SUMIF(Adat!$AJ:$AJ,CONCATENATE(Info!$D$5,"053","(KÖT)",L2654),Adat!$E:$E)</f>
        <v>0</v>
      </c>
      <c r="H2661" s="72">
        <f>SUMIF(Adat!$AJ:$AJ,CONCATENATE(Info!$D$5,"053","(ÖNV)",L2654),Adat!$E:$E)</f>
        <v>0</v>
      </c>
      <c r="I2661" s="72">
        <f>SUMIF(Adat!$AJ:$AJ,CONCATENATE(Info!$D$5,"053","(ÁIG)",L2654),Adat!$E:$E)</f>
        <v>0</v>
      </c>
    </row>
    <row r="2662" spans="2:9" x14ac:dyDescent="0.25">
      <c r="B2662" s="160">
        <v>6</v>
      </c>
      <c r="C2662" s="305" t="s">
        <v>6</v>
      </c>
      <c r="D2662" s="161" t="s">
        <v>345</v>
      </c>
      <c r="E2662" s="72">
        <f>SUMIF(Adat!$AI:$AI,CONCATENATE(61,Info!$D$5,"054",L2654),Adat!$E:$E)</f>
        <v>0</v>
      </c>
      <c r="F2662" s="72">
        <f>SUMIF(Adat!$AI:$AI,CONCATENATE(60,Info!$D$5,"054",L2654),Adat!$E:$E)+E2662</f>
        <v>0</v>
      </c>
      <c r="G2662" s="72">
        <f>SUMIF(Adat!$AJ:$AJ,CONCATENATE(Info!$D$5,"054","(KÖT)",L2654),Adat!$E:$E)</f>
        <v>0</v>
      </c>
      <c r="H2662" s="72">
        <f>SUMIF(Adat!$AJ:$AJ,CONCATENATE(Info!$D$5,"054","(ÖNV)",L2654),Adat!$E:$E)</f>
        <v>0</v>
      </c>
      <c r="I2662" s="72">
        <f>SUMIF(Adat!$AJ:$AJ,CONCATENATE(Info!$D$5,"054","(ÁIG)",L2654),Adat!$E:$E)</f>
        <v>0</v>
      </c>
    </row>
    <row r="2663" spans="2:9" x14ac:dyDescent="0.25">
      <c r="B2663" s="160">
        <v>7</v>
      </c>
      <c r="C2663" s="305" t="s">
        <v>8</v>
      </c>
      <c r="D2663" s="161" t="s">
        <v>321</v>
      </c>
      <c r="E2663" s="72">
        <f>SUMIF(Adat!$AI:$AI,CONCATENATE(61,Info!$D$5,"055",L2654),Adat!$E:$E)-E2664</f>
        <v>0</v>
      </c>
      <c r="F2663" s="72">
        <f>SUMIF(Adat!$AI:$AI,CONCATENATE(60,Info!$D$5,"055",L2654),Adat!$E:$E)+E2663-F2664+E2664</f>
        <v>0</v>
      </c>
      <c r="G2663" s="72">
        <f>SUMIF(Adat!$AJ:$AJ,CONCATENATE(Info!$D$5,"055","(KÖT)",L2654),Adat!$E:$E)-G2664</f>
        <v>0</v>
      </c>
      <c r="H2663" s="72">
        <f>SUMIF(Adat!$AJ:$AJ,CONCATENATE(Info!$D$5,"055","(ÖNV)",L2654),Adat!$E:$E)-H2664</f>
        <v>0</v>
      </c>
      <c r="I2663" s="72">
        <f>SUMIF(Adat!$AJ:$AJ,CONCATENATE(Info!$D$5,"055","(ÁIG)",L2654),Adat!$E:$E)-I2664</f>
        <v>0</v>
      </c>
    </row>
    <row r="2664" spans="2:9" x14ac:dyDescent="0.25">
      <c r="B2664" s="160">
        <v>8</v>
      </c>
      <c r="C2664" s="305" t="s">
        <v>1283</v>
      </c>
      <c r="D2664" s="161" t="s">
        <v>397</v>
      </c>
      <c r="E2664" s="72">
        <f>SUMIF(Adat!$AG:$AG,CONCATENATE(61,Info!$D$5,"055131",L2654),Adat!$E:$E)</f>
        <v>0</v>
      </c>
      <c r="F2664" s="72">
        <f>SUMIF(Adat!$AG:$AG,CONCATENATE(60,Info!$D$5,"055131",L2654),Adat!$E:$E)+E2664</f>
        <v>0</v>
      </c>
      <c r="G2664" s="72">
        <f>SUMIF(Adat!$AH:$AH,CONCATENATE(Info!$D$5,"(KÖT)","055131",L2654),Adat!$E:$E)</f>
        <v>0</v>
      </c>
      <c r="H2664" s="72">
        <f>SUMIF(Adat!$AH:$AH,CONCATENATE(Info!$D$5,"(ÖNV)","055131",L2654),Adat!$E:$E)*-1</f>
        <v>0</v>
      </c>
      <c r="I2664" s="72">
        <f>SUMIF(Adat!$AH:$AH,CONCATENATE(Info!$D$5,"(ÁIG)","055131",L2654),Adat!$E:$E)*-1</f>
        <v>0</v>
      </c>
    </row>
    <row r="2665" spans="2:9" x14ac:dyDescent="0.25">
      <c r="B2665" s="160">
        <v>9</v>
      </c>
      <c r="C2665" s="305" t="s">
        <v>1283</v>
      </c>
      <c r="D2665" s="93" t="s">
        <v>1445</v>
      </c>
      <c r="E2665" s="72">
        <v>0</v>
      </c>
      <c r="F2665" s="72">
        <f>SUM(G2665:I2665)</f>
        <v>0</v>
      </c>
      <c r="G2665" s="72">
        <v>0</v>
      </c>
      <c r="H2665" s="72">
        <v>0</v>
      </c>
      <c r="I2665" s="72">
        <v>0</v>
      </c>
    </row>
    <row r="2666" spans="2:9" x14ac:dyDescent="0.25">
      <c r="B2666" s="160">
        <v>10</v>
      </c>
      <c r="C2666" s="305" t="s">
        <v>1283</v>
      </c>
      <c r="D2666" s="93" t="s">
        <v>1446</v>
      </c>
      <c r="E2666" s="72">
        <v>0</v>
      </c>
      <c r="F2666" s="72">
        <f>SUM(G2666:I2666)</f>
        <v>0</v>
      </c>
      <c r="G2666" s="72">
        <v>0</v>
      </c>
      <c r="H2666" s="72">
        <v>0</v>
      </c>
      <c r="I2666" s="72">
        <v>0</v>
      </c>
    </row>
    <row r="2667" spans="2:9" x14ac:dyDescent="0.25">
      <c r="B2667" s="160">
        <v>11</v>
      </c>
      <c r="C2667" s="78" t="s">
        <v>358</v>
      </c>
      <c r="D2667" s="92" t="s">
        <v>2664</v>
      </c>
      <c r="E2667" s="71">
        <f>+E2668+E2670+E2672</f>
        <v>0</v>
      </c>
      <c r="F2667" s="71">
        <f>+F2668+F2670+F2672</f>
        <v>0</v>
      </c>
      <c r="G2667" s="71">
        <f>+G2668+G2670+G2672</f>
        <v>0</v>
      </c>
      <c r="H2667" s="71">
        <f>+H2668+H2670+H2672</f>
        <v>0</v>
      </c>
      <c r="I2667" s="71">
        <f>+I2668+I2670+I2672</f>
        <v>0</v>
      </c>
    </row>
    <row r="2668" spans="2:9" x14ac:dyDescent="0.25">
      <c r="B2668" s="160">
        <v>12</v>
      </c>
      <c r="C2668" s="305" t="s">
        <v>10</v>
      </c>
      <c r="D2668" s="317" t="s">
        <v>322</v>
      </c>
      <c r="E2668" s="72">
        <f>SUMIF(Adat!$AI:$AI,CONCATENATE(61,Info!$D$5,"056",L2654),Adat!$E:$E)</f>
        <v>0</v>
      </c>
      <c r="F2668" s="72">
        <f>SUMIF(Adat!$AI:$AI,CONCATENATE(60,Info!$D$5,"056",L2654),Adat!$E:$E)+E2668</f>
        <v>0</v>
      </c>
      <c r="G2668" s="72">
        <f>SUMIF(Adat!$AJ:$AJ,CONCATENATE(Info!$D$5,"056","(KÖT)",L2654),Adat!$E:$E)</f>
        <v>0</v>
      </c>
      <c r="H2668" s="72">
        <f>SUMIF(Adat!$AJ:$AJ,CONCATENATE(Info!$D$5,"056","(ÖNV)",L2654),Adat!$E:$E)</f>
        <v>0</v>
      </c>
      <c r="I2668" s="72">
        <f>SUMIF(Adat!$AJ:$AJ,CONCATENATE(Info!$D$5,"056","(ÁIG)",L2654),Adat!$E:$E)</f>
        <v>0</v>
      </c>
    </row>
    <row r="2669" spans="2:9" x14ac:dyDescent="0.25">
      <c r="B2669" s="160">
        <v>13</v>
      </c>
      <c r="C2669" s="305" t="s">
        <v>10</v>
      </c>
      <c r="D2669" s="317" t="s">
        <v>1448</v>
      </c>
      <c r="E2669" s="72">
        <v>0</v>
      </c>
      <c r="F2669" s="72">
        <f>SUM(G2669:I2669)</f>
        <v>0</v>
      </c>
      <c r="G2669" s="72">
        <v>0</v>
      </c>
      <c r="H2669" s="72">
        <v>0</v>
      </c>
      <c r="I2669" s="72">
        <v>0</v>
      </c>
    </row>
    <row r="2670" spans="2:9" x14ac:dyDescent="0.25">
      <c r="B2670" s="160">
        <v>14</v>
      </c>
      <c r="C2670" s="305" t="s">
        <v>12</v>
      </c>
      <c r="D2670" s="317" t="s">
        <v>323</v>
      </c>
      <c r="E2670" s="72">
        <f>SUMIF(Adat!$AI:$AI,CONCATENATE(61,Info!$D$5,"057",L2654),Adat!$E:$E)</f>
        <v>0</v>
      </c>
      <c r="F2670" s="72">
        <f>SUMIF(Adat!$AI:$AI,CONCATENATE(60,Info!$D$5,"057",L2654),Adat!$E:$E)+E2670</f>
        <v>0</v>
      </c>
      <c r="G2670" s="72">
        <f>SUMIF(Adat!$AJ:$AJ,CONCATENATE(Info!$D$5,"057","(KÖT)",L2654),Adat!$E:$E)</f>
        <v>0</v>
      </c>
      <c r="H2670" s="72">
        <f>SUMIF(Adat!$AJ:$AJ,CONCATENATE(Info!$D$5,"057","(ÖNV)",L2654),Adat!$E:$E)</f>
        <v>0</v>
      </c>
      <c r="I2670" s="72">
        <f>SUMIF(Adat!$AJ:$AJ,CONCATENATE(Info!$D$5,"057","(ÁIG)",L2654),Adat!$E:$E)</f>
        <v>0</v>
      </c>
    </row>
    <row r="2671" spans="2:9" x14ac:dyDescent="0.25">
      <c r="B2671" s="160">
        <v>15</v>
      </c>
      <c r="C2671" s="305" t="s">
        <v>12</v>
      </c>
      <c r="D2671" s="317" t="s">
        <v>1449</v>
      </c>
      <c r="E2671" s="72">
        <v>0</v>
      </c>
      <c r="F2671" s="72">
        <f>SUM(G2671:I2671)</f>
        <v>0</v>
      </c>
      <c r="G2671" s="72">
        <v>0</v>
      </c>
      <c r="H2671" s="72">
        <v>0</v>
      </c>
      <c r="I2671" s="72">
        <v>0</v>
      </c>
    </row>
    <row r="2672" spans="2:9" x14ac:dyDescent="0.25">
      <c r="B2672" s="160">
        <v>16</v>
      </c>
      <c r="C2672" s="305" t="s">
        <v>15</v>
      </c>
      <c r="D2672" s="317" t="s">
        <v>324</v>
      </c>
      <c r="E2672" s="72">
        <f>SUMIF(Adat!$AI:$AI,CONCATENATE(61,Info!$D$5,"058",L2654),Adat!$E:$E)</f>
        <v>0</v>
      </c>
      <c r="F2672" s="72">
        <f>SUMIF(Adat!$AI:$AI,CONCATENATE(60,Info!$D$5,"058",L2654),Adat!$E:$E)+E2672</f>
        <v>0</v>
      </c>
      <c r="G2672" s="72">
        <f>SUMIF(Adat!$AJ:$AJ,CONCATENATE(Info!$D$5,"058","(KÖT)",L2654),Adat!$E:$E)</f>
        <v>0</v>
      </c>
      <c r="H2672" s="72">
        <f>SUMIF(Adat!$AJ:$AJ,CONCATENATE(Info!$D$5,"058","(ÖNV)",L2654),Adat!$E:$E)</f>
        <v>0</v>
      </c>
      <c r="I2672" s="72">
        <f>SUMIF(Adat!$AJ:$AJ,CONCATENATE(Info!$D$5,"058","(ÁIG)",L2654),Adat!$E:$E)</f>
        <v>0</v>
      </c>
    </row>
    <row r="2673" spans="2:18" x14ac:dyDescent="0.25">
      <c r="B2673" s="160">
        <v>17</v>
      </c>
      <c r="C2673" s="78" t="s">
        <v>364</v>
      </c>
      <c r="D2673" s="86" t="s">
        <v>402</v>
      </c>
      <c r="E2673" s="71">
        <f>+E2658+E2667</f>
        <v>0</v>
      </c>
      <c r="F2673" s="71">
        <f>+F2658+F2667</f>
        <v>0</v>
      </c>
      <c r="G2673" s="71">
        <f>+G2658+G2667</f>
        <v>0</v>
      </c>
      <c r="H2673" s="71">
        <f>+H2658+H2667</f>
        <v>0</v>
      </c>
      <c r="I2673" s="71">
        <f>+I2658+I2667</f>
        <v>0</v>
      </c>
    </row>
    <row r="2674" spans="2:18" x14ac:dyDescent="0.25">
      <c r="B2674" s="160">
        <v>18</v>
      </c>
      <c r="C2674" s="78" t="s">
        <v>403</v>
      </c>
      <c r="D2674" s="86" t="s">
        <v>1450</v>
      </c>
      <c r="E2674" s="71">
        <f>+E2675+E2676+E2677</f>
        <v>0</v>
      </c>
      <c r="F2674" s="71">
        <f>+F2675+F2676+F2677</f>
        <v>0</v>
      </c>
      <c r="G2674" s="71">
        <f>+G2675+G2676+G2677</f>
        <v>0</v>
      </c>
      <c r="H2674" s="71">
        <f>+H2675+H2676+H2677</f>
        <v>0</v>
      </c>
      <c r="I2674" s="71">
        <f>+I2675+I2676+I2677</f>
        <v>0</v>
      </c>
    </row>
    <row r="2675" spans="2:18" s="42" customFormat="1" x14ac:dyDescent="0.25">
      <c r="B2675" s="160">
        <v>19</v>
      </c>
      <c r="C2675" s="305" t="s">
        <v>1451</v>
      </c>
      <c r="D2675" s="161" t="s">
        <v>490</v>
      </c>
      <c r="E2675" s="72">
        <f>SUMIF(Adat!$AG:$AG,CONCATENATE(61,Info!$D$5,"0591111",L2654),Adat!$E:$E)</f>
        <v>0</v>
      </c>
      <c r="F2675" s="72">
        <f>SUMIF(Adat!$AG:$AG,CONCATENATE(60,Info!$D$5,"0591111",L2654),Adat!$E:$E)+E2675</f>
        <v>0</v>
      </c>
      <c r="G2675" s="72">
        <f>SUMIF(Adat!$AH:$AH,CONCATENATE(Info!$D$5,"(KÖT)","0591111",L2654),Adat!$E:$E)</f>
        <v>0</v>
      </c>
      <c r="H2675" s="72">
        <f>SUMIF(Adat!$AH:$AH,CONCATENATE(Info!$D$5,"(ÖNV)","0591111",L2654),Adat!$E:$E)</f>
        <v>0</v>
      </c>
      <c r="I2675" s="72">
        <f>SUMIF(Adat!$AH:$AH,CONCATENATE(Info!$D$5,"(ÁIG)","0591111",L2654),Adat!$E:$E)</f>
        <v>0</v>
      </c>
    </row>
    <row r="2676" spans="2:18" x14ac:dyDescent="0.25">
      <c r="B2676" s="160">
        <v>20</v>
      </c>
      <c r="C2676" s="305" t="s">
        <v>1453</v>
      </c>
      <c r="D2676" s="161" t="s">
        <v>406</v>
      </c>
      <c r="E2676" s="72">
        <f>SUMIF(Adat!$AG:$AG,CONCATENATE(61,Info!$D$5,"0591121",L2654),Adat!$E:$E)</f>
        <v>0</v>
      </c>
      <c r="F2676" s="72">
        <f>SUMIF(Adat!$AG:$AG,CONCATENATE(60,Info!$D$5,"0591121",L2654),Adat!$E:$E)+E2676</f>
        <v>0</v>
      </c>
      <c r="G2676" s="72">
        <f>SUMIF(Adat!$AH:$AH,CONCATENATE(Info!$D$5,"(KÖT)","0591121",L2654),Adat!$E:$E)</f>
        <v>0</v>
      </c>
      <c r="H2676" s="72">
        <f>SUMIF(Adat!$AH:$AH,CONCATENATE(Info!$D$5,"(ÖNV)","0591121",L2654),Adat!$E:$E)</f>
        <v>0</v>
      </c>
      <c r="I2676" s="72">
        <f>SUMIF(Adat!$AH:$AH,CONCATENATE(Info!$D$5,"(ÁIG)","0591121",L2654),Adat!$E:$E)</f>
        <v>0</v>
      </c>
    </row>
    <row r="2677" spans="2:18" x14ac:dyDescent="0.25">
      <c r="B2677" s="160">
        <v>21</v>
      </c>
      <c r="C2677" s="305" t="s">
        <v>1455</v>
      </c>
      <c r="D2677" s="161" t="s">
        <v>491</v>
      </c>
      <c r="E2677" s="72">
        <f>SUMIF(Adat!$AG:$AG,CONCATENATE(61,Info!$D$5,"0591131",L2654),Adat!$E:$E)</f>
        <v>0</v>
      </c>
      <c r="F2677" s="72">
        <f>SUMIF(Adat!$AG:$AG,CONCATENATE(60,Info!$D$5,"0591131",L2654),Adat!$E:$E)+E2677</f>
        <v>0</v>
      </c>
      <c r="G2677" s="72">
        <f>SUMIF(Adat!$AH:$AH,CONCATENATE(Info!$D$5,"(KÖT)","0591131",L2654),Adat!$E:$E)</f>
        <v>0</v>
      </c>
      <c r="H2677" s="72">
        <f>SUMIF(Adat!$AH:$AH,CONCATENATE(Info!$D$5,"(ÖNV)","0591131",L2654),Adat!$E:$E)</f>
        <v>0</v>
      </c>
      <c r="I2677" s="72">
        <f>SUMIF(Adat!$AH:$AH,CONCATENATE(Info!$D$5,"(ÁIG)","0591131",L2654),Adat!$E:$E)</f>
        <v>0</v>
      </c>
    </row>
    <row r="2678" spans="2:18" x14ac:dyDescent="0.25">
      <c r="B2678" s="160">
        <v>22</v>
      </c>
      <c r="C2678" s="78" t="s">
        <v>372</v>
      </c>
      <c r="D2678" s="86" t="s">
        <v>1457</v>
      </c>
      <c r="E2678" s="71">
        <f>+E2679+E2680+E2681+E2682+E2683+E2684</f>
        <v>0</v>
      </c>
      <c r="F2678" s="71">
        <f>+F2679+F2680+F2681+F2682+F2683+F2684</f>
        <v>0</v>
      </c>
      <c r="G2678" s="71">
        <f>+G2679+G2680+G2681+G2682+G2683+G2684</f>
        <v>0</v>
      </c>
      <c r="H2678" s="71">
        <f>+H2679+H2680+H2681+H2682+H2683+H2684</f>
        <v>0</v>
      </c>
      <c r="I2678" s="71">
        <f>+I2679+I2680+I2681+I2682+I2683+I2684</f>
        <v>0</v>
      </c>
    </row>
    <row r="2679" spans="2:18" x14ac:dyDescent="0.25">
      <c r="B2679" s="160">
        <v>23</v>
      </c>
      <c r="C2679" s="305" t="s">
        <v>1458</v>
      </c>
      <c r="D2679" s="161" t="s">
        <v>409</v>
      </c>
      <c r="E2679" s="72">
        <f>SUMIF(Adat!$AG:$AG,CONCATENATE(61,Info!$D$5,"0591211",L2654),Adat!$E:$E)</f>
        <v>0</v>
      </c>
      <c r="F2679" s="72">
        <f>SUMIF(Adat!$AG:$AG,CONCATENATE(60,Info!$D$5,"0591211",L2654),Adat!$E:$E)+E2679</f>
        <v>0</v>
      </c>
      <c r="G2679" s="72">
        <f>SUMIF(Adat!$AH:$AH,CONCATENATE(Info!$D$5,"(KÖT)","0591211",L2654),Adat!$E:$E)</f>
        <v>0</v>
      </c>
      <c r="H2679" s="72">
        <f>SUMIF(Adat!$AH:$AH,CONCATENATE(Info!$D$5,"(ÖNV)","0591211",L2654),Adat!$E:$E)</f>
        <v>0</v>
      </c>
      <c r="I2679" s="72">
        <f>SUMIF(Adat!$AH:$AH,CONCATENATE(Info!$D$5,"(ÁIG)","0591211",L2654),Adat!$E:$E)</f>
        <v>0</v>
      </c>
    </row>
    <row r="2680" spans="2:18" x14ac:dyDescent="0.25">
      <c r="B2680" s="160">
        <v>24</v>
      </c>
      <c r="C2680" s="305" t="s">
        <v>1460</v>
      </c>
      <c r="D2680" s="161" t="s">
        <v>410</v>
      </c>
      <c r="E2680" s="72">
        <f>SUMIF(Adat!$AG:$AG,CONCATENATE(61,Info!$D$5,"0591221",L2654),Adat!$E:$E)</f>
        <v>0</v>
      </c>
      <c r="F2680" s="72">
        <f>SUMIF(Adat!$AG:$AG,CONCATENATE(60,Info!$D$5,"0591221",L2654),Adat!$E:$E)+E2680</f>
        <v>0</v>
      </c>
      <c r="G2680" s="72">
        <f>SUMIF(Adat!$AH:$AH,CONCATENATE(Info!$D$5,"(KÖT)","0591221",L2654),Adat!$E:$E)</f>
        <v>0</v>
      </c>
      <c r="H2680" s="72">
        <f>SUMIF(Adat!$AH:$AH,CONCATENATE(Info!$D$5,"(ÖNV)","0591221",L2654),Adat!$E:$E)</f>
        <v>0</v>
      </c>
      <c r="I2680" s="72">
        <f>SUMIF(Adat!$AH:$AH,CONCATENATE(Info!$D$5,"(ÁIG)","0591221",L2654),Adat!$E:$E)</f>
        <v>0</v>
      </c>
    </row>
    <row r="2681" spans="2:18" x14ac:dyDescent="0.25">
      <c r="B2681" s="160">
        <v>25</v>
      </c>
      <c r="C2681" s="305" t="s">
        <v>1462</v>
      </c>
      <c r="D2681" s="161" t="s">
        <v>411</v>
      </c>
      <c r="E2681" s="72">
        <f>SUMIF(Adat!$AG:$AG,CONCATENATE(61,Info!$D$5,"0591231",L2654),Adat!$E:$E)</f>
        <v>0</v>
      </c>
      <c r="F2681" s="72">
        <f>SUMIF(Adat!$AG:$AG,CONCATENATE(60,Info!$D$5,"0591231",L2654),Adat!$E:$E)+E2681</f>
        <v>0</v>
      </c>
      <c r="G2681" s="72">
        <f>SUMIF(Adat!$AH:$AH,CONCATENATE(Info!$D$5,"(KÖT)","0591231",L2654),Adat!$E:$E)</f>
        <v>0</v>
      </c>
      <c r="H2681" s="72">
        <f>SUMIF(Adat!$AH:$AH,CONCATENATE(Info!$D$5,"(ÖNV)","0591231",L2654),Adat!$E:$E)</f>
        <v>0</v>
      </c>
      <c r="I2681" s="72">
        <f>SUMIF(Adat!$AH:$AH,CONCATENATE(Info!$D$5,"(ÁIG)","0591231",L2654),Adat!$E:$E)</f>
        <v>0</v>
      </c>
    </row>
    <row r="2682" spans="2:18" x14ac:dyDescent="0.25">
      <c r="B2682" s="160">
        <v>26</v>
      </c>
      <c r="C2682" s="305" t="s">
        <v>1464</v>
      </c>
      <c r="D2682" s="161" t="s">
        <v>492</v>
      </c>
      <c r="E2682" s="72">
        <f>SUMIF(Adat!$AG:$AG,CONCATENATE(61,Info!$D$5,"0591241",L2654),Adat!$E:$E)</f>
        <v>0</v>
      </c>
      <c r="F2682" s="72">
        <f>SUMIF(Adat!$AG:$AG,CONCATENATE(60,Info!$D$5,"0591241",L2654),Adat!$E:$E)+E2682</f>
        <v>0</v>
      </c>
      <c r="G2682" s="72">
        <f>SUMIF(Adat!$AH:$AH,CONCATENATE(Info!$D$5,"(KÖT)","0591241",L2654),Adat!$E:$E)</f>
        <v>0</v>
      </c>
      <c r="H2682" s="72">
        <f>SUMIF(Adat!$AH:$AH,CONCATENATE(Info!$D$5,"(ÖNV)","0591241",L2654),Adat!$E:$E)</f>
        <v>0</v>
      </c>
      <c r="I2682" s="72">
        <f>SUMIF(Adat!$AH:$AH,CONCATENATE(Info!$D$5,"(ÁIG)","0591241",L2654),Adat!$E:$E)</f>
        <v>0</v>
      </c>
    </row>
    <row r="2683" spans="2:18" x14ac:dyDescent="0.25">
      <c r="B2683" s="160">
        <v>27</v>
      </c>
      <c r="C2683" s="305" t="s">
        <v>1466</v>
      </c>
      <c r="D2683" s="161" t="s">
        <v>413</v>
      </c>
      <c r="E2683" s="72">
        <f>SUMIF(Adat!$AG:$AG,CONCATENATE(61,Info!$D$5,"0591251",L2654),Adat!$E:$E)</f>
        <v>0</v>
      </c>
      <c r="F2683" s="72">
        <f>SUMIF(Adat!$AG:$AG,CONCATENATE(60,Info!$D$5,"0591251",L2654),Adat!$E:$E)+E2683</f>
        <v>0</v>
      </c>
      <c r="G2683" s="72">
        <f>SUMIF(Adat!$AH:$AH,CONCATENATE(Info!$D$5,"(KÖT)","0591251",L2654),Adat!$E:$E)</f>
        <v>0</v>
      </c>
      <c r="H2683" s="72">
        <f>SUMIF(Adat!$AH:$AH,CONCATENATE(Info!$D$5,"(ÖNV)","0591251",L2654),Adat!$E:$E)</f>
        <v>0</v>
      </c>
      <c r="I2683" s="72">
        <f>SUMIF(Adat!$AH:$AH,CONCATENATE(Info!$D$5,"(ÁIG)","0591251",L2654),Adat!$E:$E)</f>
        <v>0</v>
      </c>
    </row>
    <row r="2684" spans="2:18" s="42" customFormat="1" x14ac:dyDescent="0.25">
      <c r="B2684" s="160">
        <v>28</v>
      </c>
      <c r="C2684" s="305" t="s">
        <v>1468</v>
      </c>
      <c r="D2684" s="161" t="s">
        <v>414</v>
      </c>
      <c r="E2684" s="72">
        <f>SUMIF(Adat!$AG:$AG,CONCATENATE(61,Info!$D$5,"0591261",L2654),Adat!$E:$E)</f>
        <v>0</v>
      </c>
      <c r="F2684" s="72">
        <f>SUMIF(Adat!$AG:$AG,CONCATENATE(60,Info!$D$5,"0591261",L2654),Adat!$E:$E)+E2684</f>
        <v>0</v>
      </c>
      <c r="G2684" s="72">
        <f>SUMIF(Adat!$AH:$AH,CONCATENATE(Info!$D$5,"(KÖT)","0591261",L2654),Adat!$E:$E)</f>
        <v>0</v>
      </c>
      <c r="H2684" s="72">
        <f>SUMIF(Adat!$AH:$AH,CONCATENATE(Info!$D$5,"(ÖNV)","0591261",L2654),Adat!$E:$E)</f>
        <v>0</v>
      </c>
      <c r="I2684" s="72">
        <f>SUMIF(Adat!$AH:$AH,CONCATENATE(Info!$D$5,"(ÁIG)","0591261",L2654),Adat!$E:$E)</f>
        <v>0</v>
      </c>
    </row>
    <row r="2685" spans="2:18" x14ac:dyDescent="0.25">
      <c r="B2685" s="160">
        <v>29</v>
      </c>
      <c r="C2685" s="78" t="s">
        <v>379</v>
      </c>
      <c r="D2685" s="86" t="s">
        <v>1470</v>
      </c>
      <c r="E2685" s="71">
        <f>+E2686+E2687+E2689+E2690+E2688</f>
        <v>0</v>
      </c>
      <c r="F2685" s="71">
        <f>+F2686+F2687+F2689+F2690+F2688</f>
        <v>0</v>
      </c>
      <c r="G2685" s="71">
        <f>+G2686+G2687+G2689+G2690+G2688</f>
        <v>0</v>
      </c>
      <c r="H2685" s="71">
        <f>+H2686+H2687+H2689+H2690+H2688</f>
        <v>0</v>
      </c>
      <c r="I2685" s="71">
        <f>+I2686+I2687+I2689+I2690+I2688</f>
        <v>0</v>
      </c>
      <c r="R2685" s="43"/>
    </row>
    <row r="2686" spans="2:18" x14ac:dyDescent="0.25">
      <c r="B2686" s="160">
        <v>30</v>
      </c>
      <c r="C2686" s="305" t="s">
        <v>1471</v>
      </c>
      <c r="D2686" s="161" t="s">
        <v>416</v>
      </c>
      <c r="E2686" s="72">
        <f>SUMIF(Adat!$AG:$AG,CONCATENATE(61,Info!$D$5,"059131",L2654),Adat!$E:$E)</f>
        <v>0</v>
      </c>
      <c r="F2686" s="72">
        <f>SUMIF(Adat!$AG:$AG,CONCATENATE(60,Info!$D$5,"059131",L2654),Adat!$E:$E)+E2686</f>
        <v>0</v>
      </c>
      <c r="G2686" s="72">
        <f>SUMIF(Adat!$AH:$AH,CONCATENATE(Info!$D$5,"(KÖT)","059131",L2654),Adat!$E:$E)</f>
        <v>0</v>
      </c>
      <c r="H2686" s="72">
        <f>SUMIF(Adat!$AH:$AH,CONCATENATE(Info!$D$5,"(ÖNV)","059131",L2654),Adat!$E:$E)</f>
        <v>0</v>
      </c>
      <c r="I2686" s="72">
        <f>SUMIF(Adat!$AH:$AH,CONCATENATE(Info!$D$5,"(ÁIG)","059131",L2654),Adat!$E:$E)</f>
        <v>0</v>
      </c>
    </row>
    <row r="2687" spans="2:18" x14ac:dyDescent="0.25">
      <c r="B2687" s="160">
        <v>31</v>
      </c>
      <c r="C2687" s="305" t="s">
        <v>1287</v>
      </c>
      <c r="D2687" s="161" t="s">
        <v>417</v>
      </c>
      <c r="E2687" s="72">
        <f>SUMIF(Adat!$AG:$AG,CONCATENATE(61,Info!$D$5,"059141",L2654),Adat!$E:$E)</f>
        <v>0</v>
      </c>
      <c r="F2687" s="72">
        <f>SUMIF(Adat!$AG:$AG,CONCATENATE(60,Info!$D$5,"059141",L2654),Adat!$E:$E)+E2687</f>
        <v>0</v>
      </c>
      <c r="G2687" s="72">
        <f>SUMIF(Adat!$AH:$AH,CONCATENATE(Info!$D$5,"(KÖT)","059141",L2654),Adat!$E:$E)</f>
        <v>0</v>
      </c>
      <c r="H2687" s="72">
        <f>SUMIF(Adat!$AH:$AH,CONCATENATE(Info!$D$5,"(ÖNV)","059141",L2654),Adat!$E:$E)</f>
        <v>0</v>
      </c>
      <c r="I2687" s="72">
        <f>SUMIF(Adat!$AH:$AH,CONCATENATE(Info!$D$5,"(ÁIG)","059141",L2654),Adat!$E:$E)</f>
        <v>0</v>
      </c>
    </row>
    <row r="2688" spans="2:18" x14ac:dyDescent="0.25">
      <c r="B2688" s="160">
        <v>32</v>
      </c>
      <c r="C2688" s="316" t="s">
        <v>1253</v>
      </c>
      <c r="D2688" s="161" t="s">
        <v>493</v>
      </c>
      <c r="E2688" s="72">
        <f>SUMIF(Adat!$AG:$AG,CONCATENATE(61,Info!$D$5,"059151",L2654),Adat!$E:$E)</f>
        <v>0</v>
      </c>
      <c r="F2688" s="72">
        <f>SUMIF(Adat!$AG:$AG,CONCATENATE(60,Info!$D$5,"059151",L2654),Adat!$E:$E)+E2688</f>
        <v>0</v>
      </c>
      <c r="G2688" s="72">
        <f>SUMIF(Adat!$AH:$AH,CONCATENATE(Info!$D$5,"(KÖT)","059151",L2654),Adat!$E:$E)</f>
        <v>0</v>
      </c>
      <c r="H2688" s="72">
        <f>SUMIF(Adat!$AH:$AH,CONCATENATE(Info!$D$5,"(ÖNV)","059151",L2654),Adat!$E:$E)</f>
        <v>0</v>
      </c>
      <c r="I2688" s="72">
        <f>SUMIF(Adat!$AH:$AH,CONCATENATE(Info!$D$5,"(ÁIG)","059151",L2654),Adat!$E:$E)</f>
        <v>0</v>
      </c>
    </row>
    <row r="2689" spans="2:9" s="42" customFormat="1" x14ac:dyDescent="0.25">
      <c r="B2689" s="160">
        <v>33</v>
      </c>
      <c r="C2689" s="305" t="s">
        <v>1474</v>
      </c>
      <c r="D2689" s="161" t="s">
        <v>418</v>
      </c>
      <c r="E2689" s="72">
        <f>SUMIF(Adat!$AG:$AG,CONCATENATE(61,Info!$D$5,"059161",L2654),Adat!$E:$E)</f>
        <v>0</v>
      </c>
      <c r="F2689" s="72">
        <f>SUMIF(Adat!$AG:$AG,CONCATENATE(60,Info!$D$5,"059161",L2654),Adat!$E:$E)+E2689</f>
        <v>0</v>
      </c>
      <c r="G2689" s="72">
        <f>SUMIF(Adat!$AH:$AH,CONCATENATE(Info!$D$5,"(KÖT)","059161",L2654),Adat!$E:$E)</f>
        <v>0</v>
      </c>
      <c r="H2689" s="72">
        <f>SUMIF(Adat!$AH:$AH,CONCATENATE(Info!$D$5,"(ÖNV)","059161",L2654),Adat!$E:$E)</f>
        <v>0</v>
      </c>
      <c r="I2689" s="72">
        <f>SUMIF(Adat!$AH:$AH,CONCATENATE(Info!$D$5,"(ÁIG)","059161",L2654),Adat!$E:$E)</f>
        <v>0</v>
      </c>
    </row>
    <row r="2690" spans="2:9" s="42" customFormat="1" x14ac:dyDescent="0.25">
      <c r="B2690" s="160">
        <v>34</v>
      </c>
      <c r="C2690" s="305" t="s">
        <v>1476</v>
      </c>
      <c r="D2690" s="161" t="s">
        <v>419</v>
      </c>
      <c r="E2690" s="72">
        <f>SUMIF(Adat!$AG:$AG,CONCATENATE(61,Info!$D$5,"059171",L2654),Adat!$E:$E)</f>
        <v>0</v>
      </c>
      <c r="F2690" s="72">
        <f>SUMIF(Adat!$AG:$AG,CONCATENATE(60,Info!$D$5,"059171",L2654),Adat!$E:$E)+E2690</f>
        <v>0</v>
      </c>
      <c r="G2690" s="72">
        <f>SUMIF(Adat!$AH:$AH,CONCATENATE(Info!$D$5,"(KÖT)","059171",L2654),Adat!$E:$E)</f>
        <v>0</v>
      </c>
      <c r="H2690" s="72">
        <f>SUMIF(Adat!$AH:$AH,CONCATENATE(Info!$D$5,"(ÖNV)","059171",L2654),Adat!$E:$E)</f>
        <v>0</v>
      </c>
      <c r="I2690" s="72">
        <f>SUMIF(Adat!$AH:$AH,CONCATENATE(Info!$D$5,"(ÁIG)","059171",L2654),Adat!$E:$E)</f>
        <v>0</v>
      </c>
    </row>
    <row r="2691" spans="2:9" s="42" customFormat="1" x14ac:dyDescent="0.25">
      <c r="B2691" s="160">
        <v>35</v>
      </c>
      <c r="C2691" s="78" t="s">
        <v>420</v>
      </c>
      <c r="D2691" s="86" t="s">
        <v>1478</v>
      </c>
      <c r="E2691" s="73">
        <f>+E2692+E2693+E2694+E2695+E2696</f>
        <v>0</v>
      </c>
      <c r="F2691" s="73">
        <f>+F2692+F2693+F2694+F2695+F2696</f>
        <v>0</v>
      </c>
      <c r="G2691" s="73">
        <f>+G2692+G2693+G2694+G2695+G2696</f>
        <v>0</v>
      </c>
      <c r="H2691" s="73">
        <f>+H2692+H2693+H2694+H2695+H2696</f>
        <v>0</v>
      </c>
      <c r="I2691" s="73">
        <f>+I2692+I2693+I2694+I2695+I2696</f>
        <v>0</v>
      </c>
    </row>
    <row r="2692" spans="2:9" s="42" customFormat="1" x14ac:dyDescent="0.25">
      <c r="B2692" s="160">
        <v>36</v>
      </c>
      <c r="C2692" s="305" t="s">
        <v>1479</v>
      </c>
      <c r="D2692" s="161" t="s">
        <v>422</v>
      </c>
      <c r="E2692" s="72">
        <f>SUMIF(Adat!$AG:$AG,CONCATENATE(61,Info!$D$5,"059211",L2654),Adat!$E:$E)</f>
        <v>0</v>
      </c>
      <c r="F2692" s="72">
        <f>SUMIF(Adat!$AG:$AG,CONCATENATE(60,Info!$D$5,"059211",L2654),Adat!$E:$E)+E2692</f>
        <v>0</v>
      </c>
      <c r="G2692" s="72">
        <f>SUMIF(Adat!$AH:$AH,CONCATENATE(Info!$D$5,"(KÖT)","059211",L2654),Adat!$E:$E)</f>
        <v>0</v>
      </c>
      <c r="H2692" s="72">
        <f>SUMIF(Adat!$AH:$AH,CONCATENATE(Info!$D$5,"(ÖNV)","059211",L2654),Adat!$E:$E)</f>
        <v>0</v>
      </c>
      <c r="I2692" s="72">
        <f>SUMIF(Adat!$AH:$AH,CONCATENATE(Info!$D$5,"(ÁIG)","059211",L2654),Adat!$E:$E)</f>
        <v>0</v>
      </c>
    </row>
    <row r="2693" spans="2:9" s="42" customFormat="1" x14ac:dyDescent="0.25">
      <c r="B2693" s="160">
        <v>37</v>
      </c>
      <c r="C2693" s="305" t="s">
        <v>1481</v>
      </c>
      <c r="D2693" s="161" t="s">
        <v>423</v>
      </c>
      <c r="E2693" s="72">
        <f>SUMIF(Adat!$AG:$AG,CONCATENATE(61,Info!$D$5,"059221",L2654),Adat!$E:$E)</f>
        <v>0</v>
      </c>
      <c r="F2693" s="72">
        <f>SUMIF(Adat!$AG:$AG,CONCATENATE(60,Info!$D$5,"059221",L2654),Adat!$E:$E)+E2693</f>
        <v>0</v>
      </c>
      <c r="G2693" s="72">
        <f>SUMIF(Adat!$AH:$AH,CONCATENATE(Info!$D$5,"(KÖT)","059221",L2654),Adat!$E:$E)</f>
        <v>0</v>
      </c>
      <c r="H2693" s="72">
        <f>SUMIF(Adat!$AH:$AH,CONCATENATE(Info!$D$5,"(ÖNV)","059221",L2654),Adat!$E:$E)</f>
        <v>0</v>
      </c>
      <c r="I2693" s="72">
        <f>SUMIF(Adat!$AH:$AH,CONCATENATE(Info!$D$5,"(ÁIG)","059221",L2654),Adat!$E:$E)</f>
        <v>0</v>
      </c>
    </row>
    <row r="2694" spans="2:9" s="42" customFormat="1" x14ac:dyDescent="0.25">
      <c r="B2694" s="160">
        <v>38</v>
      </c>
      <c r="C2694" s="305" t="s">
        <v>1483</v>
      </c>
      <c r="D2694" s="161" t="s">
        <v>424</v>
      </c>
      <c r="E2694" s="72">
        <f>SUMIF(Adat!$AG:$AG,CONCATENATE(61,Info!$D$5,"059231",L2654),Adat!$E:$E)</f>
        <v>0</v>
      </c>
      <c r="F2694" s="72">
        <f>SUMIF(Adat!$AG:$AG,CONCATENATE(60,Info!$D$5,"059231",L2654),Adat!$E:$E)+E2694</f>
        <v>0</v>
      </c>
      <c r="G2694" s="72">
        <f>SUMIF(Adat!$AH:$AH,CONCATENATE(Info!$D$5,"(KÖT)","059231",L2654),Adat!$E:$E)</f>
        <v>0</v>
      </c>
      <c r="H2694" s="72">
        <f>SUMIF(Adat!$AH:$AH,CONCATENATE(Info!$D$5,"(ÖNV)","059231",L2654),Adat!$E:$E)</f>
        <v>0</v>
      </c>
      <c r="I2694" s="72">
        <f>SUMIF(Adat!$AH:$AH,CONCATENATE(Info!$D$5,"(ÁIG)","059231",L2654),Adat!$E:$E)</f>
        <v>0</v>
      </c>
    </row>
    <row r="2695" spans="2:9" s="42" customFormat="1" x14ac:dyDescent="0.25">
      <c r="B2695" s="160">
        <v>39</v>
      </c>
      <c r="C2695" s="305" t="s">
        <v>1485</v>
      </c>
      <c r="D2695" s="161" t="s">
        <v>494</v>
      </c>
      <c r="E2695" s="72">
        <f>SUMIF(Adat!$AG:$AG,CONCATENATE(61,Info!$D$5,"059241",L2654),Adat!$E:$E)</f>
        <v>0</v>
      </c>
      <c r="F2695" s="72">
        <f>SUMIF(Adat!$AG:$AG,CONCATENATE(60,Info!$D$5,"059241",L2654),Adat!$E:$E)+E2695</f>
        <v>0</v>
      </c>
      <c r="G2695" s="72">
        <f>SUMIF(Adat!$AH:$AH,CONCATENATE(Info!$D$5,"(KÖT)","059241",L2654),Adat!$E:$E)</f>
        <v>0</v>
      </c>
      <c r="H2695" s="72">
        <f>SUMIF(Adat!$AH:$AH,CONCATENATE(Info!$D$5,"(ÖNV)","059241",L2654),Adat!$E:$E)</f>
        <v>0</v>
      </c>
      <c r="I2695" s="72">
        <f>SUMIF(Adat!$AH:$AH,CONCATENATE(Info!$D$5,"(ÁIG)","059241",L2654),Adat!$E:$E)</f>
        <v>0</v>
      </c>
    </row>
    <row r="2696" spans="2:9" x14ac:dyDescent="0.25">
      <c r="B2696" s="160">
        <v>40</v>
      </c>
      <c r="C2696" s="305" t="s">
        <v>1487</v>
      </c>
      <c r="D2696" s="161" t="s">
        <v>427</v>
      </c>
      <c r="E2696" s="72">
        <f>SUMIF(Adat!$AG:$AG,CONCATENATE(61,Info!$D$5,"059251",L2654),Adat!$E:$E)</f>
        <v>0</v>
      </c>
      <c r="F2696" s="72">
        <f>SUMIF(Adat!$AG:$AG,CONCATENATE(60,Info!$D$5,"059251",L2654),Adat!$E:$E)+E2696</f>
        <v>0</v>
      </c>
      <c r="G2696" s="72">
        <f>SUMIF(Adat!$AH:$AH,CONCATENATE(Info!$D$5,"(KÖT)","059251",L2654),Adat!$E:$E)</f>
        <v>0</v>
      </c>
      <c r="H2696" s="72">
        <f>SUMIF(Adat!$AH:$AH,CONCATENATE(Info!$D$5,"(ÖNV)","059251",L2654),Adat!$E:$E)</f>
        <v>0</v>
      </c>
      <c r="I2696" s="72">
        <f>SUMIF(Adat!$AH:$AH,CONCATENATE(Info!$D$5,"(ÁIG)","059251",L2654),Adat!$E:$E)</f>
        <v>0</v>
      </c>
    </row>
    <row r="2697" spans="2:9" x14ac:dyDescent="0.25">
      <c r="B2697" s="160">
        <v>41</v>
      </c>
      <c r="C2697" s="162" t="s">
        <v>390</v>
      </c>
      <c r="D2697" s="86" t="s">
        <v>428</v>
      </c>
      <c r="E2697" s="72">
        <f>SUMIF(Adat!$AG:$AG,CONCATENATE(61,Info!$D$5,"05931",L2654),Adat!$E:$E)</f>
        <v>0</v>
      </c>
      <c r="F2697" s="72">
        <f>SUMIF(Adat!$AG:$AG,CONCATENATE(60,Info!$D$5,"05931",L2654),Adat!$E:$E)+E2697</f>
        <v>0</v>
      </c>
      <c r="G2697" s="72">
        <f>SUMIF(Adat!$AH:$AH,CONCATENATE(Info!$D$5,"(KÖT)","05931",L2654),Adat!$E:$E)</f>
        <v>0</v>
      </c>
      <c r="H2697" s="72">
        <f>SUMIF(Adat!$AH:$AH,CONCATENATE(Info!$D$5,"(ÖNV)","05931",L2654),Adat!$E:$E)</f>
        <v>0</v>
      </c>
      <c r="I2697" s="72">
        <f>SUMIF(Adat!$AH:$AH,CONCATENATE(Info!$D$5,"(ÁIG)","05931",L2654),Adat!$E:$E)</f>
        <v>0</v>
      </c>
    </row>
    <row r="2698" spans="2:9" x14ac:dyDescent="0.25">
      <c r="B2698" s="160">
        <v>42</v>
      </c>
      <c r="C2698" s="162" t="s">
        <v>429</v>
      </c>
      <c r="D2698" s="86" t="s">
        <v>430</v>
      </c>
      <c r="E2698" s="72">
        <f>SUMIF(Adat!$AG:$AG,CONCATENATE(61,Info!$D$5,"05941",L2654),Adat!$E:$E)</f>
        <v>0</v>
      </c>
      <c r="F2698" s="72">
        <f>SUMIF(Adat!$AG:$AG,CONCATENATE(60,Info!$D$5,"05941",L2654),Adat!$E:$E)+E2698</f>
        <v>0</v>
      </c>
      <c r="G2698" s="72">
        <f>SUMIF(Adat!$AH:$AH,CONCATENATE(Info!$D$5,"(KÖT)","05941",L2654),Adat!$E:$E)</f>
        <v>0</v>
      </c>
      <c r="H2698" s="72">
        <f>SUMIF(Adat!$AH:$AH,CONCATENATE(Info!$D$5,"(ÖNV)","05941",L2654),Adat!$E:$E)</f>
        <v>0</v>
      </c>
      <c r="I2698" s="72">
        <f>SUMIF(Adat!$AH:$AH,CONCATENATE(Info!$D$5,"(ÁIG)","05941",L2654),Adat!$E:$E)</f>
        <v>0</v>
      </c>
    </row>
    <row r="2699" spans="2:9" x14ac:dyDescent="0.25">
      <c r="B2699" s="160">
        <v>43</v>
      </c>
      <c r="C2699" s="78" t="s">
        <v>431</v>
      </c>
      <c r="D2699" s="86" t="s">
        <v>432</v>
      </c>
      <c r="E2699" s="74">
        <f>+E2674+E2678+E2685+E2691+E2697+E2698</f>
        <v>0</v>
      </c>
      <c r="F2699" s="74">
        <f>+F2674+F2678+F2685+F2691+F2697+F2698</f>
        <v>0</v>
      </c>
      <c r="G2699" s="74">
        <f>+G2674+G2678+G2685+G2691+G2697+G2698</f>
        <v>0</v>
      </c>
      <c r="H2699" s="74">
        <f>+H2674+H2678+H2685+H2691+H2697+H2698</f>
        <v>0</v>
      </c>
      <c r="I2699" s="74">
        <f>+I2674+I2678+I2685+I2691+I2697+I2698</f>
        <v>0</v>
      </c>
    </row>
    <row r="2700" spans="2:9" x14ac:dyDescent="0.25">
      <c r="B2700" s="160">
        <v>44</v>
      </c>
      <c r="C2700" s="154" t="s">
        <v>433</v>
      </c>
      <c r="D2700" s="159" t="s">
        <v>434</v>
      </c>
      <c r="E2700" s="74">
        <f>+E2673+E2699</f>
        <v>0</v>
      </c>
      <c r="F2700" s="74">
        <f>+F2673+F2699</f>
        <v>0</v>
      </c>
      <c r="G2700" s="74">
        <f>+G2673+G2699</f>
        <v>0</v>
      </c>
      <c r="H2700" s="74">
        <f>+H2673+H2699</f>
        <v>0</v>
      </c>
      <c r="I2700" s="74">
        <f>+I2673+I2699</f>
        <v>0</v>
      </c>
    </row>
    <row r="2701" spans="2:9" s="37" customFormat="1" ht="15.75" x14ac:dyDescent="0.25">
      <c r="C2701" s="529"/>
      <c r="D2701" s="529"/>
      <c r="E2701" s="529"/>
      <c r="F2701" s="200"/>
      <c r="G2701" s="200"/>
      <c r="H2701" s="200"/>
      <c r="I2701" s="200"/>
    </row>
    <row r="2702" spans="2:9" s="38" customFormat="1" ht="15.75" x14ac:dyDescent="0.25">
      <c r="B2702" s="525" t="str">
        <f>PAR!$E$3</f>
        <v>Nagymaros Város Önkormányzata</v>
      </c>
      <c r="C2702" s="525"/>
      <c r="D2702" s="525"/>
      <c r="E2702" s="525"/>
      <c r="F2702" s="525"/>
      <c r="G2702" s="525"/>
      <c r="H2702" s="525"/>
      <c r="I2702" s="525"/>
    </row>
    <row r="2703" spans="2:9" s="38" customFormat="1" ht="15.75" x14ac:dyDescent="0.25">
      <c r="B2703" s="525" t="s">
        <v>2660</v>
      </c>
      <c r="C2703" s="525"/>
      <c r="D2703" s="525"/>
      <c r="E2703" s="525"/>
      <c r="F2703" s="525"/>
      <c r="G2703" s="525"/>
      <c r="H2703" s="525"/>
      <c r="I2703" s="525"/>
    </row>
    <row r="2704" spans="2:9" s="38" customFormat="1" ht="15.75" x14ac:dyDescent="0.25">
      <c r="C2704" s="156"/>
      <c r="E2704" s="140"/>
      <c r="F2704" s="140"/>
      <c r="G2704" s="140"/>
      <c r="H2704" s="140"/>
      <c r="I2704" s="140"/>
    </row>
    <row r="2705" spans="2:12" s="10" customFormat="1" ht="15.75" customHeight="1" x14ac:dyDescent="0.25">
      <c r="B2705" s="201" t="str">
        <f>CONCATENATE("39. Bevételi jogcímek"," - ",L2705," részletező")</f>
        <v>39. Bevételi jogcímek -  részletező</v>
      </c>
      <c r="C2705" s="101"/>
      <c r="D2705" s="101"/>
      <c r="E2705" s="101"/>
      <c r="F2705" s="101"/>
      <c r="G2705" s="198"/>
      <c r="H2705" s="198"/>
      <c r="I2705" s="198"/>
      <c r="L2705" s="384"/>
    </row>
    <row r="2706" spans="2:12" s="38" customFormat="1" ht="15.75" x14ac:dyDescent="0.25">
      <c r="C2706" s="156"/>
      <c r="E2706" s="140"/>
      <c r="F2706" s="140"/>
      <c r="G2706" s="140"/>
      <c r="H2706" s="140"/>
      <c r="I2706" s="140"/>
    </row>
    <row r="2707" spans="2:12" s="40" customFormat="1" x14ac:dyDescent="0.25">
      <c r="B2707" s="77"/>
      <c r="C2707" s="77" t="s">
        <v>350</v>
      </c>
      <c r="D2707" s="77" t="s">
        <v>351</v>
      </c>
      <c r="E2707" s="77" t="s">
        <v>470</v>
      </c>
      <c r="F2707" s="77" t="s">
        <v>471</v>
      </c>
      <c r="G2707" s="77" t="s">
        <v>44</v>
      </c>
      <c r="H2707" s="77" t="s">
        <v>42</v>
      </c>
      <c r="I2707" s="77" t="s">
        <v>511</v>
      </c>
    </row>
    <row r="2708" spans="2:12" ht="38.25" x14ac:dyDescent="0.25">
      <c r="B2708" s="160">
        <v>1</v>
      </c>
      <c r="C2708" s="154" t="s">
        <v>593</v>
      </c>
      <c r="D2708" s="154" t="s">
        <v>488</v>
      </c>
      <c r="E2708" s="163" t="str">
        <f>CONCATENATE(PAR!$H$3," évi
eredeti 
előirányzat")</f>
        <v>2025. évi
eredeti 
előirányzat</v>
      </c>
      <c r="F2708" s="163" t="str">
        <f>CONCATENATE(PAR!$H$3," évi
módosított 
előirányzat")</f>
        <v>2025. évi
módosított 
előirányzat</v>
      </c>
      <c r="G2708" s="69" t="s">
        <v>666</v>
      </c>
      <c r="H2708" s="69" t="s">
        <v>667</v>
      </c>
      <c r="I2708" s="69" t="s">
        <v>668</v>
      </c>
    </row>
    <row r="2709" spans="2:12" s="41" customFormat="1" x14ac:dyDescent="0.25">
      <c r="B2709" s="160">
        <v>2</v>
      </c>
      <c r="C2709" s="78" t="s">
        <v>1324</v>
      </c>
      <c r="D2709" s="79" t="s">
        <v>562</v>
      </c>
      <c r="E2709" s="71">
        <f>SUM(E2710:E2716)</f>
        <v>0</v>
      </c>
      <c r="F2709" s="71">
        <f t="shared" ref="F2709:I2709" si="285">SUM(F2710:F2716)</f>
        <v>0</v>
      </c>
      <c r="G2709" s="71">
        <f t="shared" si="285"/>
        <v>0</v>
      </c>
      <c r="H2709" s="71">
        <f t="shared" si="285"/>
        <v>0</v>
      </c>
      <c r="I2709" s="71">
        <f t="shared" si="285"/>
        <v>0</v>
      </c>
    </row>
    <row r="2710" spans="2:12" s="42" customFormat="1" x14ac:dyDescent="0.2">
      <c r="B2710" s="160">
        <v>3</v>
      </c>
      <c r="C2710" s="305" t="s">
        <v>1288</v>
      </c>
      <c r="D2710" s="82" t="s">
        <v>1325</v>
      </c>
      <c r="E2710" s="72">
        <f>SUMIF(Adat!$AG:$AG,CONCATENATE(61,Info!$D$5,"091111",L2705),Adat!$E:$E)*-1</f>
        <v>0</v>
      </c>
      <c r="F2710" s="72">
        <f>SUMIF(Adat!$AG:$AG,CONCATENATE(60,Info!$D$5,"091111",L2705),Adat!$E:$E)*(-1)+E2710</f>
        <v>0</v>
      </c>
      <c r="G2710" s="72">
        <f>SUMIF(Adat!$AH:$AH,CONCATENATE(Info!$D$5,"(KÖT)","091111",L2705),Adat!$E:$E)*-1</f>
        <v>0</v>
      </c>
      <c r="H2710" s="72">
        <f>SUMIF(Adat!$AH:$AH,CONCATENATE(Info!$D$5,"(ÖNV)","091111",L2705),Adat!$E:$E)*-1</f>
        <v>0</v>
      </c>
      <c r="I2710" s="72">
        <f>SUMIF(Adat!$AH:$AH,CONCATENATE(Info!$D$5,"(ÁIG)","091111",L2705),Adat!$E:$E)*-1</f>
        <v>0</v>
      </c>
    </row>
    <row r="2711" spans="2:12" x14ac:dyDescent="0.2">
      <c r="B2711" s="160">
        <v>4</v>
      </c>
      <c r="C2711" s="305" t="s">
        <v>1289</v>
      </c>
      <c r="D2711" s="82" t="s">
        <v>735</v>
      </c>
      <c r="E2711" s="72">
        <f>SUMIF(Adat!$AG:$AG,CONCATENATE(61,Info!$D$5,"091121",L2705),Adat!$E:$E)*-1</f>
        <v>0</v>
      </c>
      <c r="F2711" s="72">
        <f>SUMIF(Adat!$AG:$AG,CONCATENATE(60,Info!$D$5,"091121",L2705),Adat!$E:$E)*-1+E2711</f>
        <v>0</v>
      </c>
      <c r="G2711" s="72">
        <f>SUMIF(Adat!$AH:$AH,CONCATENATE(Info!$D$5,"(KÖT)","091121",L2705),Adat!$E:$E)*-1</f>
        <v>0</v>
      </c>
      <c r="H2711" s="72">
        <f>SUMIF(Adat!$AH:$AH,CONCATENATE(Info!$D$5,"(ÖNV)","091121",L2705),Adat!$E:$E)*-1</f>
        <v>0</v>
      </c>
      <c r="I2711" s="72">
        <f>SUMIF(Adat!$AH:$AH,CONCATENATE(Info!$D$5,"(ÁIG)","091121",L2705),Adat!$E:$E)*-1</f>
        <v>0</v>
      </c>
    </row>
    <row r="2712" spans="2:12" x14ac:dyDescent="0.2">
      <c r="B2712" s="160">
        <v>5</v>
      </c>
      <c r="C2712" s="305" t="s">
        <v>1290</v>
      </c>
      <c r="D2712" s="82" t="s">
        <v>1326</v>
      </c>
      <c r="E2712" s="72">
        <f>SUMIF(Adat!$AG:$AG,CONCATENATE(61,Info!$D$5,"0911311",L2705),Adat!$E:$E)*-1</f>
        <v>0</v>
      </c>
      <c r="F2712" s="72">
        <f>SUMIF(Adat!$AG:$AG,CONCATENATE(60,Info!$D$5,"0911311",L2705),Adat!$E:$E)*-1+E2712</f>
        <v>0</v>
      </c>
      <c r="G2712" s="72">
        <f>SUMIF(Adat!$AH:$AH,CONCATENATE(Info!$D$5,"(KÖT)","0911311",L2705),Adat!$E:$E)*-1</f>
        <v>0</v>
      </c>
      <c r="H2712" s="72">
        <f>SUMIF(Adat!$AH:$AH,CONCATENATE(Info!$D$5,"(ÖNV)","0911311",L2705),Adat!$E:$E)*-1</f>
        <v>0</v>
      </c>
      <c r="I2712" s="72">
        <f>SUMIF(Adat!$AH:$AH,CONCATENATE(Info!$D$5,"(ÁIG)","0911311",L2705),Adat!$E:$E)*-1</f>
        <v>0</v>
      </c>
    </row>
    <row r="2713" spans="2:12" x14ac:dyDescent="0.2">
      <c r="B2713" s="160">
        <v>6</v>
      </c>
      <c r="C2713" s="305" t="s">
        <v>1254</v>
      </c>
      <c r="D2713" s="82" t="s">
        <v>736</v>
      </c>
      <c r="E2713" s="72">
        <f>SUMIF(Adat!$AG:$AG,CONCATENATE(61,Info!$D$5,"0911321",L2705),Adat!$E:$E)*-1</f>
        <v>0</v>
      </c>
      <c r="F2713" s="72">
        <f>SUMIF(Adat!$AG:$AG,CONCATENATE(60,Info!$D$5,"0911321",L2705),Adat!$E:$E)*-1+E2713</f>
        <v>0</v>
      </c>
      <c r="G2713" s="72">
        <f>SUMIF(Adat!$AH:$AH,CONCATENATE(Info!$D$5,"(KÖT)","0911321",L2705),Adat!$E:$E)*-1</f>
        <v>0</v>
      </c>
      <c r="H2713" s="72">
        <f>SUMIF(Adat!$AH:$AH,CONCATENATE(Info!$D$5,"(ÖNV)","0911321",L2705),Adat!$E:$E)*-1</f>
        <v>0</v>
      </c>
      <c r="I2713" s="72">
        <f>SUMIF(Adat!$AH:$AH,CONCATENATE(Info!$D$5,"(ÁIG)","0911321",L2705),Adat!$E:$E)*-1</f>
        <v>0</v>
      </c>
    </row>
    <row r="2714" spans="2:12" x14ac:dyDescent="0.25">
      <c r="B2714" s="160">
        <v>7</v>
      </c>
      <c r="C2714" s="305" t="s">
        <v>1291</v>
      </c>
      <c r="D2714" s="84" t="s">
        <v>737</v>
      </c>
      <c r="E2714" s="72">
        <f>SUMIF(Adat!$AG:$AG,CONCATENATE(61,Info!$D$5,"091141",L2705),Adat!$E:$E)*-1</f>
        <v>0</v>
      </c>
      <c r="F2714" s="72">
        <f>SUMIF(Adat!$AG:$AG,CONCATENATE(60,Info!$D$5,"091141",L2705),Adat!$E:$E)*-1+E2714</f>
        <v>0</v>
      </c>
      <c r="G2714" s="72">
        <f>SUMIF(Adat!$AH:$AH,CONCATENATE(Info!$D$5,"(KÖT)","091141",L2705),Adat!$E:$E)*-1</f>
        <v>0</v>
      </c>
      <c r="H2714" s="72">
        <f>SUMIF(Adat!$AH:$AH,CONCATENATE(Info!$D$5,"(ÖNV)","091141",L2705),Adat!$E:$E)*-1</f>
        <v>0</v>
      </c>
      <c r="I2714" s="72">
        <f>SUMIF(Adat!$AH:$AH,CONCATENATE(Info!$D$5,"(ÁIG)","091141",L2705),Adat!$E:$E)*-1</f>
        <v>0</v>
      </c>
    </row>
    <row r="2715" spans="2:12" x14ac:dyDescent="0.25">
      <c r="B2715" s="160">
        <v>8</v>
      </c>
      <c r="C2715" s="305" t="s">
        <v>1312</v>
      </c>
      <c r="D2715" s="84" t="s">
        <v>738</v>
      </c>
      <c r="E2715" s="72">
        <f>SUMIF(Adat!$AG:$AG,CONCATENATE(61,Info!$D$5,"091151",L2705),Adat!$E:$E)*-1</f>
        <v>0</v>
      </c>
      <c r="F2715" s="72">
        <f>SUMIF(Adat!$AG:$AG,CONCATENATE(60,Info!$D$5,"091151",L2705),Adat!$E:$E)*-1+E2715</f>
        <v>0</v>
      </c>
      <c r="G2715" s="72">
        <f>SUMIF(Adat!$AH:$AH,CONCATENATE(Info!$D$5,"(KÖT)","091151",L2705),Adat!$E:$E)*-1</f>
        <v>0</v>
      </c>
      <c r="H2715" s="72">
        <f>SUMIF(Adat!$AH:$AH,CONCATENATE(Info!$D$5,"(ÖNV)","091151",L2705),Adat!$E:$E)*-1</f>
        <v>0</v>
      </c>
      <c r="I2715" s="72">
        <f>SUMIF(Adat!$AH:$AH,CONCATENATE(Info!$D$5,"(ÁIG)","091151",L2705),Adat!$E:$E)*-1</f>
        <v>0</v>
      </c>
    </row>
    <row r="2716" spans="2:12" s="42" customFormat="1" x14ac:dyDescent="0.25">
      <c r="B2716" s="160">
        <v>9</v>
      </c>
      <c r="C2716" s="305" t="s">
        <v>1308</v>
      </c>
      <c r="D2716" s="84" t="s">
        <v>233</v>
      </c>
      <c r="E2716" s="72">
        <f>SUMIF(Adat!$AG:$AG,CONCATENATE(61,Info!$D$5,"091161",L2705),Adat!$E:$E)*-1</f>
        <v>0</v>
      </c>
      <c r="F2716" s="72">
        <f>SUMIF(Adat!$AG:$AG,CONCATENATE(60,Info!$D$5,"091161",L2705),Adat!$E:$E)*-1+E2716</f>
        <v>0</v>
      </c>
      <c r="G2716" s="72">
        <f>SUMIF(Adat!$AH:$AH,CONCATENATE(Info!$D$5,"(KÖT)","091161",L2705),Adat!$E:$E)*-1</f>
        <v>0</v>
      </c>
      <c r="H2716" s="72">
        <f>SUMIF(Adat!$AH:$AH,CONCATENATE(Info!$D$5,"(ÖNV)","091161",L2705),Adat!$E:$E)*-1</f>
        <v>0</v>
      </c>
      <c r="I2716" s="72">
        <f>SUMIF(Adat!$AH:$AH,CONCATENATE(Info!$D$5,"(ÁIG)","091161",L2705),Adat!$E:$E)*-1</f>
        <v>0</v>
      </c>
    </row>
    <row r="2717" spans="2:12" s="42" customFormat="1" x14ac:dyDescent="0.25">
      <c r="B2717" s="160">
        <v>10</v>
      </c>
      <c r="C2717" s="78" t="s">
        <v>1328</v>
      </c>
      <c r="D2717" s="85" t="s">
        <v>437</v>
      </c>
      <c r="E2717" s="71">
        <f>SUM(E2718:E2722)</f>
        <v>0</v>
      </c>
      <c r="F2717" s="71">
        <f t="shared" ref="F2717" si="286">SUM(F2718:F2722)</f>
        <v>0</v>
      </c>
      <c r="G2717" s="71">
        <f>SUM(G2718:G2722)</f>
        <v>0</v>
      </c>
      <c r="H2717" s="71">
        <f t="shared" ref="H2717:I2717" si="287">SUM(H2718:H2722)</f>
        <v>0</v>
      </c>
      <c r="I2717" s="71">
        <f t="shared" si="287"/>
        <v>0</v>
      </c>
    </row>
    <row r="2718" spans="2:12" s="42" customFormat="1" x14ac:dyDescent="0.2">
      <c r="B2718" s="160">
        <v>11</v>
      </c>
      <c r="C2718" s="305" t="s">
        <v>1329</v>
      </c>
      <c r="D2718" s="82" t="s">
        <v>1330</v>
      </c>
      <c r="E2718" s="72">
        <f>SUMIF(Adat!$AG:$AG,CONCATENATE(61,Info!$D$5,"09121",L2705),Adat!$E:$E)*-1</f>
        <v>0</v>
      </c>
      <c r="F2718" s="72">
        <f>SUMIF(Adat!$AG:$AG,CONCATENATE(60,Info!$D$5,"09121",L2705),Adat!$E:$E)*-1+E2718</f>
        <v>0</v>
      </c>
      <c r="G2718" s="72">
        <f>SUMIF(Adat!$AH:$AH,CONCATENATE(Info!$D$5,"(KÖT)","09121",L2705),Adat!$E:$E)*-1</f>
        <v>0</v>
      </c>
      <c r="H2718" s="72">
        <f>SUMIF(Adat!$AH:$AH,CONCATENATE(Info!$D$5,"(ÖNV)","09121",L2705),Adat!$E:$E)*-1</f>
        <v>0</v>
      </c>
      <c r="I2718" s="72">
        <f>SUMIF(Adat!$AH:$AH,CONCATENATE(Info!$D$5,"(ÁIG)","09121",L2705),Adat!$E:$E)*-1</f>
        <v>0</v>
      </c>
    </row>
    <row r="2719" spans="2:12" s="42" customFormat="1" x14ac:dyDescent="0.2">
      <c r="B2719" s="160">
        <v>12</v>
      </c>
      <c r="C2719" s="305" t="s">
        <v>1331</v>
      </c>
      <c r="D2719" s="82" t="s">
        <v>1332</v>
      </c>
      <c r="E2719" s="72">
        <f>SUMIF(Adat!$AG:$AG,CONCATENATE(61,Info!$D$5,"09131",L2705),Adat!$E:$E)*-1</f>
        <v>0</v>
      </c>
      <c r="F2719" s="72">
        <f>SUMIF(Adat!$AG:$AG,CONCATENATE(60,Info!$D$5,"09131",L2705),Adat!$E:$E)*-1+E2719</f>
        <v>0</v>
      </c>
      <c r="G2719" s="72">
        <f>SUMIF(Adat!$AH:$AH,CONCATENATE(Info!$D$5,"(KÖT)","09131",L2705),Adat!$E:$E)*-1</f>
        <v>0</v>
      </c>
      <c r="H2719" s="72">
        <f>SUMIF(Adat!$AH:$AH,CONCATENATE(Info!$D$5,"(ÖNV)","09131",L2705),Adat!$E:$E)*-1</f>
        <v>0</v>
      </c>
      <c r="I2719" s="72">
        <f>SUMIF(Adat!$AH:$AH,CONCATENATE(Info!$D$5,"(ÁIG)","09131",L2705),Adat!$E:$E)*-1</f>
        <v>0</v>
      </c>
    </row>
    <row r="2720" spans="2:12" s="42" customFormat="1" x14ac:dyDescent="0.2">
      <c r="B2720" s="160">
        <v>13</v>
      </c>
      <c r="C2720" s="305" t="s">
        <v>1333</v>
      </c>
      <c r="D2720" s="82" t="s">
        <v>1334</v>
      </c>
      <c r="E2720" s="72">
        <f>SUMIF(Adat!$AG:$AG,CONCATENATE(61,Info!$D$5,"09141",L2705),Adat!$E:$E)*-1</f>
        <v>0</v>
      </c>
      <c r="F2720" s="72">
        <f>SUMIF(Adat!$AG:$AG,CONCATENATE(60,Info!$D$5,"09141",L2705),Adat!$E:$E)*-1+E2720</f>
        <v>0</v>
      </c>
      <c r="G2720" s="72">
        <f>SUMIF(Adat!$AH:$AH,CONCATENATE(Info!$D$5,"(KÖT)","09141",L2705),Adat!$E:$E)*-1</f>
        <v>0</v>
      </c>
      <c r="H2720" s="72">
        <f>SUMIF(Adat!$AH:$AH,CONCATENATE(Info!$D$5,"(ÖNV)","09141",L2705),Adat!$E:$E)*-1</f>
        <v>0</v>
      </c>
      <c r="I2720" s="72">
        <f>SUMIF(Adat!$AH:$AH,CONCATENATE(Info!$D$5,"(ÁIG)","09141",L2705),Adat!$E:$E)*-1</f>
        <v>0</v>
      </c>
    </row>
    <row r="2721" spans="2:9" s="42" customFormat="1" x14ac:dyDescent="0.2">
      <c r="B2721" s="160">
        <v>14</v>
      </c>
      <c r="C2721" s="305" t="s">
        <v>1335</v>
      </c>
      <c r="D2721" s="82" t="s">
        <v>1336</v>
      </c>
      <c r="E2721" s="72">
        <f>SUMIF(Adat!$AG:$AG,CONCATENATE(61,Info!$D$5,"09151",L2705),Adat!$E:$E)*-1</f>
        <v>0</v>
      </c>
      <c r="F2721" s="72">
        <f>SUMIF(Adat!$AG:$AG,CONCATENATE(60,Info!$D$5,"09151",L2705),Adat!$E:$E)*-1+E2721</f>
        <v>0</v>
      </c>
      <c r="G2721" s="72">
        <f>SUMIF(Adat!$AH:$AH,CONCATENATE(Info!$D$5,"(KÖT)","09151",L2705),Adat!$E:$E)*-1</f>
        <v>0</v>
      </c>
      <c r="H2721" s="72">
        <f>SUMIF(Adat!$AH:$AH,CONCATENATE(Info!$D$5,"(ÖNV)","09151",L2705),Adat!$E:$E)*-1</f>
        <v>0</v>
      </c>
      <c r="I2721" s="72">
        <f>SUMIF(Adat!$AH:$AH,CONCATENATE(Info!$D$5,"(ÁIG)","09151",L2705),Adat!$E:$E)*-1</f>
        <v>0</v>
      </c>
    </row>
    <row r="2722" spans="2:9" s="42" customFormat="1" x14ac:dyDescent="0.2">
      <c r="B2722" s="160">
        <v>15</v>
      </c>
      <c r="C2722" s="305" t="s">
        <v>1278</v>
      </c>
      <c r="D2722" s="82" t="s">
        <v>1337</v>
      </c>
      <c r="E2722" s="72">
        <f>SUMIF(Adat!$AG:$AG,CONCATENATE(61,Info!$D$5,"09161",L2705),Adat!$E:$E)*-1</f>
        <v>0</v>
      </c>
      <c r="F2722" s="72">
        <f>SUMIF(Adat!$AG:$AG,CONCATENATE(60,Info!$D$5,"09161",L2705),Adat!$E:$E)*-1+E2722</f>
        <v>0</v>
      </c>
      <c r="G2722" s="72">
        <f>SUMIF(Adat!$AH:$AH,CONCATENATE(Info!$D$5,"(KÖT)","09161",L2705),Adat!$E:$E)*-1</f>
        <v>0</v>
      </c>
      <c r="H2722" s="72">
        <f>SUMIF(Adat!$AH:$AH,CONCATENATE(Info!$D$5,"(ÖNV)","09161",L2705),Adat!$E:$E)*-1</f>
        <v>0</v>
      </c>
      <c r="I2722" s="72">
        <f>SUMIF(Adat!$AH:$AH,CONCATENATE(Info!$D$5,"(ÁIG)","09161",L2705),Adat!$E:$E)*-1</f>
        <v>0</v>
      </c>
    </row>
    <row r="2723" spans="2:9" x14ac:dyDescent="0.25">
      <c r="B2723" s="160">
        <v>16</v>
      </c>
      <c r="C2723" s="79" t="s">
        <v>24</v>
      </c>
      <c r="D2723" s="79" t="s">
        <v>449</v>
      </c>
      <c r="E2723" s="71">
        <f t="shared" ref="E2723:F2723" si="288">SUM(E2724:E2728)</f>
        <v>0</v>
      </c>
      <c r="F2723" s="71">
        <f t="shared" si="288"/>
        <v>0</v>
      </c>
      <c r="G2723" s="71">
        <f>SUM(G2724:G2728)</f>
        <v>0</v>
      </c>
      <c r="H2723" s="71">
        <f t="shared" ref="H2723:I2723" si="289">SUM(H2724:H2728)</f>
        <v>0</v>
      </c>
      <c r="I2723" s="71">
        <f t="shared" si="289"/>
        <v>0</v>
      </c>
    </row>
    <row r="2724" spans="2:9" x14ac:dyDescent="0.2">
      <c r="B2724" s="160">
        <v>17</v>
      </c>
      <c r="C2724" s="305" t="s">
        <v>1339</v>
      </c>
      <c r="D2724" s="82" t="s">
        <v>1340</v>
      </c>
      <c r="E2724" s="72">
        <f>SUMIF(Adat!$AG:$AG,CONCATENATE(61,Info!$D$5,"09211",L2705),Adat!$E:$E)*-1</f>
        <v>0</v>
      </c>
      <c r="F2724" s="72">
        <f>SUMIF(Adat!$AG:$AG,CONCATENATE(60,Info!$D$5,"09211",L2705),Adat!$E:$E)*-1+E2724</f>
        <v>0</v>
      </c>
      <c r="G2724" s="72">
        <f>SUMIF(Adat!$AH:$AH,CONCATENATE(Info!$D$5,"(KÖT)","09211",L2705),Adat!$E:$E)*-1</f>
        <v>0</v>
      </c>
      <c r="H2724" s="72">
        <f>SUMIF(Adat!$AH:$AH,CONCATENATE(Info!$D$5,"(ÖNV)","09211",L2705),Adat!$E:$E)*-1</f>
        <v>0</v>
      </c>
      <c r="I2724" s="72">
        <f>SUMIF(Adat!$AH:$AH,CONCATENATE(Info!$D$5,"(ÁIG)","09211",L2705),Adat!$E:$E)*-1</f>
        <v>0</v>
      </c>
    </row>
    <row r="2725" spans="2:9" s="42" customFormat="1" x14ac:dyDescent="0.2">
      <c r="B2725" s="160">
        <v>18</v>
      </c>
      <c r="C2725" s="305" t="s">
        <v>1341</v>
      </c>
      <c r="D2725" s="82" t="s">
        <v>1342</v>
      </c>
      <c r="E2725" s="72">
        <f>SUMIF(Adat!$AG:$AG,CONCATENATE(61,Info!$D$5,"09221",L2705),Adat!$E:$E)*-1</f>
        <v>0</v>
      </c>
      <c r="F2725" s="72">
        <f>SUMIF(Adat!$AG:$AG,CONCATENATE(60,Info!$D$5,"09221",L2705),Adat!$E:$E)*-1+E2725</f>
        <v>0</v>
      </c>
      <c r="G2725" s="72">
        <f>SUMIF(Adat!$AH:$AH,CONCATENATE(Info!$D$5,"(KÖT)","09221",L2705),Adat!$E:$E)*-1</f>
        <v>0</v>
      </c>
      <c r="H2725" s="72">
        <f>SUMIF(Adat!$AH:$AH,CONCATENATE(Info!$D$5,"(ÖNV)","09221",L2705),Adat!$E:$E)*-1</f>
        <v>0</v>
      </c>
      <c r="I2725" s="72">
        <f>SUMIF(Adat!$AH:$AH,CONCATENATE(Info!$D$5,"(ÁIG)","09221",L2705),Adat!$E:$E)*-1</f>
        <v>0</v>
      </c>
    </row>
    <row r="2726" spans="2:9" x14ac:dyDescent="0.2">
      <c r="B2726" s="160">
        <v>19</v>
      </c>
      <c r="C2726" s="305" t="s">
        <v>1343</v>
      </c>
      <c r="D2726" s="82" t="s">
        <v>1344</v>
      </c>
      <c r="E2726" s="72">
        <f>SUMIF(Adat!$AG:$AG,CONCATENATE(61,Info!$D$5,"09231",L2705),Adat!$E:$E)*-1</f>
        <v>0</v>
      </c>
      <c r="F2726" s="72">
        <f>SUMIF(Adat!$AG:$AG,CONCATENATE(60,Info!$D$5,"09231",L2705),Adat!$E:$E)*-1+E2726</f>
        <v>0</v>
      </c>
      <c r="G2726" s="72">
        <f>SUMIF(Adat!$AH:$AH,CONCATENATE(Info!$D$5,"(KÖT)","09231",L2705),Adat!$E:$E)*-1</f>
        <v>0</v>
      </c>
      <c r="H2726" s="72">
        <f>SUMIF(Adat!$AH:$AH,CONCATENATE(Info!$D$5,"(ÖNV)","09231",L2705),Adat!$E:$E)*-1</f>
        <v>0</v>
      </c>
      <c r="I2726" s="72">
        <f>SUMIF(Adat!$AH:$AH,CONCATENATE(Info!$D$5,"(ÁIG)","09231",L2705),Adat!$E:$E)*-1</f>
        <v>0</v>
      </c>
    </row>
    <row r="2727" spans="2:9" x14ac:dyDescent="0.2">
      <c r="B2727" s="160">
        <v>20</v>
      </c>
      <c r="C2727" s="305" t="s">
        <v>1345</v>
      </c>
      <c r="D2727" s="82" t="s">
        <v>1346</v>
      </c>
      <c r="E2727" s="72">
        <f>SUMIF(Adat!$AG:$AG,CONCATENATE(61,Info!$D$5,"09241",L2705),Adat!$E:$E)*-1</f>
        <v>0</v>
      </c>
      <c r="F2727" s="72">
        <f>SUMIF(Adat!$AG:$AG,CONCATENATE(60,Info!$D$5,"09241",L2705),Adat!$E:$E)*-1+E2727</f>
        <v>0</v>
      </c>
      <c r="G2727" s="72">
        <f>SUMIF(Adat!$AH:$AH,CONCATENATE(Info!$D$5,"(KÖT)","09241",L2705),Adat!$E:$E)*-1</f>
        <v>0</v>
      </c>
      <c r="H2727" s="72">
        <f>SUMIF(Adat!$AH:$AH,CONCATENATE(Info!$D$5,"(ÖNV)","09241",L2705),Adat!$E:$E)*-1</f>
        <v>0</v>
      </c>
      <c r="I2727" s="72">
        <f>SUMIF(Adat!$AH:$AH,CONCATENATE(Info!$D$5,"(ÁIG)","09241",L2705),Adat!$E:$E)*-1</f>
        <v>0</v>
      </c>
    </row>
    <row r="2728" spans="2:9" x14ac:dyDescent="0.2">
      <c r="B2728" s="160">
        <v>21</v>
      </c>
      <c r="C2728" s="305" t="s">
        <v>1255</v>
      </c>
      <c r="D2728" s="82" t="s">
        <v>1347</v>
      </c>
      <c r="E2728" s="72">
        <f>SUMIF(Adat!$AG:$AG,CONCATENATE(61,Info!$D$5,"09251",L2705),Adat!$E:$E)*-1</f>
        <v>0</v>
      </c>
      <c r="F2728" s="72">
        <f>SUMIF(Adat!$AG:$AG,CONCATENATE(60,Info!$D$5,"09251",L2705),Adat!$E:$E)*-1+E2728</f>
        <v>0</v>
      </c>
      <c r="G2728" s="72">
        <f>SUMIF(Adat!$AH:$AH,CONCATENATE(Info!$D$5,"(KÖT)","09251",L2705),Adat!$E:$E)*-1</f>
        <v>0</v>
      </c>
      <c r="H2728" s="72">
        <f>SUMIF(Adat!$AH:$AH,CONCATENATE(Info!$D$5,"(ÖNV)","09251",L2705),Adat!$E:$E)*-1</f>
        <v>0</v>
      </c>
      <c r="I2728" s="72">
        <f>SUMIF(Adat!$AH:$AH,CONCATENATE(Info!$D$5,"(ÁIG)","09251",L2705),Adat!$E:$E)*-1</f>
        <v>0</v>
      </c>
    </row>
    <row r="2729" spans="2:9" x14ac:dyDescent="0.25">
      <c r="B2729" s="160">
        <v>22</v>
      </c>
      <c r="C2729" s="79" t="s">
        <v>27</v>
      </c>
      <c r="D2729" s="79" t="s">
        <v>328</v>
      </c>
      <c r="E2729" s="71">
        <f>SUM(E2730:E2735)</f>
        <v>0</v>
      </c>
      <c r="F2729" s="71">
        <f>SUM(F2730:F2735)</f>
        <v>0</v>
      </c>
      <c r="G2729" s="71">
        <f>SUM(G2730:G2735)</f>
        <v>0</v>
      </c>
      <c r="H2729" s="71">
        <f>SUM(H2730:H2735)</f>
        <v>0</v>
      </c>
      <c r="I2729" s="71">
        <f>SUM(I2730:I2735)</f>
        <v>0</v>
      </c>
    </row>
    <row r="2730" spans="2:9" x14ac:dyDescent="0.2">
      <c r="B2730" s="160">
        <v>23</v>
      </c>
      <c r="C2730" s="305" t="s">
        <v>1348</v>
      </c>
      <c r="D2730" s="82" t="s">
        <v>1349</v>
      </c>
      <c r="E2730" s="72">
        <f>SUMIF(Adat!$AG:$AG,CONCATENATE(61,Info!$D$5,"093111",L2705),Adat!$E:$E)*-1</f>
        <v>0</v>
      </c>
      <c r="F2730" s="72">
        <f>SUMIF(Adat!$AG:$AG,CONCATENATE(60,Info!$D$5,"093111",L2705),Adat!$E:$E)*-1+E2730</f>
        <v>0</v>
      </c>
      <c r="G2730" s="72">
        <f>SUMIF(Adat!$AH:$AH,CONCATENATE(Info!$D$5,"(KÖT)","093111",L2705),Adat!$E:$E)*-1</f>
        <v>0</v>
      </c>
      <c r="H2730" s="72">
        <f>SUMIF(Adat!$AH:$AH,CONCATENATE(Info!$D$5,"(ÖNV)","093111",L2705),Adat!$E:$E)*-1</f>
        <v>0</v>
      </c>
      <c r="I2730" s="72">
        <f>SUMIF(Adat!$AH:$AH,CONCATENATE(Info!$D$5,"(ÁIG)","093111",L2705),Adat!$E:$E)*-1</f>
        <v>0</v>
      </c>
    </row>
    <row r="2731" spans="2:9" x14ac:dyDescent="0.2">
      <c r="B2731" s="160">
        <v>24</v>
      </c>
      <c r="C2731" s="305" t="s">
        <v>1259</v>
      </c>
      <c r="D2731" s="82" t="s">
        <v>1350</v>
      </c>
      <c r="E2731" s="72">
        <f>SUMIF(Adat!$AG:$AG,CONCATENATE(61,Info!$D$5,"09341",L2705),Adat!$E:$E)*-1</f>
        <v>0</v>
      </c>
      <c r="F2731" s="72">
        <f>SUMIF(Adat!$AG:$AG,CONCATENATE(60,Info!$D$5,"09341",L2705),Adat!$E:$E)*-1+E2731</f>
        <v>0</v>
      </c>
      <c r="G2731" s="72">
        <f>SUMIF(Adat!$AH:$AH,CONCATENATE(Info!$D$5,"(KÖT)","09341",L2705),Adat!$E:$E)*-1</f>
        <v>0</v>
      </c>
      <c r="H2731" s="72">
        <f>SUMIF(Adat!$AH:$AH,CONCATENATE(Info!$D$5,"(ÖNV)","09341",L2705),Adat!$E:$E)*-1</f>
        <v>0</v>
      </c>
      <c r="I2731" s="72">
        <f>SUMIF(Adat!$AH:$AH,CONCATENATE(Info!$D$5,"(ÁIG)","09341",L2705),Adat!$E:$E)*-1</f>
        <v>0</v>
      </c>
    </row>
    <row r="2732" spans="2:9" x14ac:dyDescent="0.2">
      <c r="B2732" s="160">
        <v>25</v>
      </c>
      <c r="C2732" s="305" t="s">
        <v>1260</v>
      </c>
      <c r="D2732" s="82" t="s">
        <v>1351</v>
      </c>
      <c r="E2732" s="72">
        <f>SUMIF(Adat!$AG:$AG,CONCATENATE(61,Info!$D$5,"093511",L2705),Adat!$E:$E)*-1</f>
        <v>0</v>
      </c>
      <c r="F2732" s="72">
        <f>SUMIF(Adat!$AG:$AG,CONCATENATE(60,Info!$D$5,"093511",L2705),Adat!$E:$E)*-1+E2732</f>
        <v>0</v>
      </c>
      <c r="G2732" s="72">
        <f>SUMIF(Adat!$AH:$AH,CONCATENATE(Info!$D$5,"(KÖT)","093511",L2705),Adat!$E:$E)*-1</f>
        <v>0</v>
      </c>
      <c r="H2732" s="72">
        <f>SUMIF(Adat!$AH:$AH,CONCATENATE(Info!$D$5,"(ÖNV)","093511",L2705),Adat!$E:$E)*-1</f>
        <v>0</v>
      </c>
      <c r="I2732" s="72">
        <f>SUMIF(Adat!$AH:$AH,CONCATENATE(Info!$D$5,"(ÁIG)","093511",L2705),Adat!$E:$E)*-1</f>
        <v>0</v>
      </c>
    </row>
    <row r="2733" spans="2:9" x14ac:dyDescent="0.2">
      <c r="B2733" s="160">
        <v>26</v>
      </c>
      <c r="C2733" s="305" t="s">
        <v>1352</v>
      </c>
      <c r="D2733" s="82" t="s">
        <v>1353</v>
      </c>
      <c r="E2733" s="72">
        <f>SUMIF(Adat!$AG:$AG,CONCATENATE(61,Info!$D$5,"093521",L2705),Adat!$E:$E)*-1</f>
        <v>0</v>
      </c>
      <c r="F2733" s="72">
        <f>SUMIF(Adat!$AG:$AG,CONCATENATE(60,Info!$D$5,"093521",L2705),Adat!$E:$E)*-1+E2733</f>
        <v>0</v>
      </c>
      <c r="G2733" s="72">
        <f>SUMIF(Adat!$AH:$AH,CONCATENATE(Info!$D$5,"(KÖT)","093521",L2705),Adat!$E:$E)*-1</f>
        <v>0</v>
      </c>
      <c r="H2733" s="72">
        <f>SUMIF(Adat!$AH:$AH,CONCATENATE(Info!$D$5,"(ÖNV)","093521",L2705),Adat!$E:$E)*-1</f>
        <v>0</v>
      </c>
      <c r="I2733" s="72">
        <f>SUMIF(Adat!$AH:$AH,CONCATENATE(Info!$D$5,"(ÁIG)","093521",L2705),Adat!$E:$E)*-1</f>
        <v>0</v>
      </c>
    </row>
    <row r="2734" spans="2:9" x14ac:dyDescent="0.2">
      <c r="B2734" s="160">
        <v>27</v>
      </c>
      <c r="C2734" s="305" t="s">
        <v>1292</v>
      </c>
      <c r="D2734" s="82" t="s">
        <v>1354</v>
      </c>
      <c r="E2734" s="72">
        <f>SUMIF(Adat!$AG:$AG,CONCATENATE(61,Info!$D$5,"093551",L2705),Adat!$E:$E)*-1</f>
        <v>0</v>
      </c>
      <c r="F2734" s="72">
        <f>SUMIF(Adat!$AG:$AG,CONCATENATE(60,Info!$D$5,"093551",L2705),Adat!$E:$E)*-1+E2734</f>
        <v>0</v>
      </c>
      <c r="G2734" s="72">
        <f>SUMIF(Adat!$AH:$AH,CONCATENATE(Info!$D$5,"(KÖT)","093551",L2705),Adat!$E:$E)*-1</f>
        <v>0</v>
      </c>
      <c r="H2734" s="72">
        <f>SUMIF(Adat!$AH:$AH,CONCATENATE(Info!$D$5,"(ÖNV)","093551",L2705),Adat!$E:$E)*-1</f>
        <v>0</v>
      </c>
      <c r="I2734" s="72">
        <f>SUMIF(Adat!$AH:$AH,CONCATENATE(Info!$D$5,"(ÁIG)","093551",L2705),Adat!$E:$E)*-1</f>
        <v>0</v>
      </c>
    </row>
    <row r="2735" spans="2:9" x14ac:dyDescent="0.2">
      <c r="B2735" s="160">
        <v>28</v>
      </c>
      <c r="C2735" s="305" t="s">
        <v>1293</v>
      </c>
      <c r="D2735" s="82" t="s">
        <v>1355</v>
      </c>
      <c r="E2735" s="72">
        <f>SUMIF(Adat!$AG:$AG,CONCATENATE(61,Info!$D$5,"09361",L2705),Adat!$E:$E)*-1</f>
        <v>0</v>
      </c>
      <c r="F2735" s="72">
        <f>SUMIF(Adat!$AG:$AG,CONCATENATE(60,Info!$D$5,"09361",L2705),Adat!$E:$E)*-1+E2735</f>
        <v>0</v>
      </c>
      <c r="G2735" s="72">
        <f>SUMIF(Adat!$AH:$AH,CONCATENATE(Info!$D$5,"(KÖT)","09361",L2705),Adat!$E:$E)*-1</f>
        <v>0</v>
      </c>
      <c r="H2735" s="72">
        <f>SUMIF(Adat!$AH:$AH,CONCATENATE(Info!$D$5,"(ÖNV)","09361",L2705),Adat!$E:$E)*-1</f>
        <v>0</v>
      </c>
      <c r="I2735" s="72">
        <f>SUMIF(Adat!$AH:$AH,CONCATENATE(Info!$D$5,"(ÁIG)","09361",L2705),Adat!$E:$E)*-1</f>
        <v>0</v>
      </c>
    </row>
    <row r="2736" spans="2:9" x14ac:dyDescent="0.25">
      <c r="B2736" s="160">
        <v>29</v>
      </c>
      <c r="C2736" s="79" t="s">
        <v>30</v>
      </c>
      <c r="D2736" s="79" t="s">
        <v>329</v>
      </c>
      <c r="E2736" s="71">
        <f>SUM(E2737:E2749)</f>
        <v>0</v>
      </c>
      <c r="F2736" s="71">
        <f t="shared" ref="F2736:I2736" si="290">SUM(F2737:F2749)</f>
        <v>0</v>
      </c>
      <c r="G2736" s="71">
        <f t="shared" si="290"/>
        <v>0</v>
      </c>
      <c r="H2736" s="71">
        <f t="shared" si="290"/>
        <v>0</v>
      </c>
      <c r="I2736" s="71">
        <f t="shared" si="290"/>
        <v>0</v>
      </c>
    </row>
    <row r="2737" spans="2:9" x14ac:dyDescent="0.2">
      <c r="B2737" s="160">
        <v>30</v>
      </c>
      <c r="C2737" s="305" t="s">
        <v>1309</v>
      </c>
      <c r="D2737" s="82" t="s">
        <v>1356</v>
      </c>
      <c r="E2737" s="72">
        <f>SUMIF(Adat!$AG:$AG,CONCATENATE(61,Info!$D$5,"094011",L2705),Adat!$E:$E)*-1</f>
        <v>0</v>
      </c>
      <c r="F2737" s="72">
        <f>SUMIF(Adat!$AG:$AG,CONCATENATE(60,Info!$D$5,"094011",L2705),Adat!$E:$E)*-1+E2737</f>
        <v>0</v>
      </c>
      <c r="G2737" s="72">
        <f>SUMIF(Adat!$AH:$AH,CONCATENATE(Info!$D$5,"(KÖT)","094011",L2705),Adat!$E:$E)*-1</f>
        <v>0</v>
      </c>
      <c r="H2737" s="72">
        <f>SUMIF(Adat!$AH:$AH,CONCATENATE(Info!$D$5,"(ÖNV)","094011",L2705),Adat!$E:$E)*-1</f>
        <v>0</v>
      </c>
      <c r="I2737" s="72">
        <f>SUMIF(Adat!$AH:$AH,CONCATENATE(Info!$D$5,"(ÁIG)","094011",L2705),Adat!$E:$E)*-1</f>
        <v>0</v>
      </c>
    </row>
    <row r="2738" spans="2:9" x14ac:dyDescent="0.2">
      <c r="B2738" s="160">
        <v>31</v>
      </c>
      <c r="C2738" s="305" t="s">
        <v>1279</v>
      </c>
      <c r="D2738" s="82" t="s">
        <v>1357</v>
      </c>
      <c r="E2738" s="72">
        <f>SUMIF(Adat!$AG:$AG,CONCATENATE(61,Info!$D$5,"094021",L2705),Adat!$E:$E)*-1</f>
        <v>0</v>
      </c>
      <c r="F2738" s="72">
        <f>SUMIF(Adat!$AG:$AG,CONCATENATE(60,Info!$D$5,"094021",L2705),Adat!$E:$E)*-1+E2738</f>
        <v>0</v>
      </c>
      <c r="G2738" s="72">
        <f>SUMIF(Adat!$AH:$AH,CONCATENATE(Info!$D$5,"(KÖT)","094021",L2705),Adat!$E:$E)*-1</f>
        <v>0</v>
      </c>
      <c r="H2738" s="72">
        <f>SUMIF(Adat!$AH:$AH,CONCATENATE(Info!$D$5,"(ÖNV)","094021",L2705),Adat!$E:$E)*-1</f>
        <v>0</v>
      </c>
      <c r="I2738" s="72">
        <f>SUMIF(Adat!$AH:$AH,CONCATENATE(Info!$D$5,"(ÁIG)","094021",L2705),Adat!$E:$E)*-1</f>
        <v>0</v>
      </c>
    </row>
    <row r="2739" spans="2:9" x14ac:dyDescent="0.2">
      <c r="B2739" s="160">
        <v>32</v>
      </c>
      <c r="C2739" s="305" t="s">
        <v>1272</v>
      </c>
      <c r="D2739" s="82" t="s">
        <v>1358</v>
      </c>
      <c r="E2739" s="72">
        <f>SUMIF(Adat!$AG:$AG,CONCATENATE(61,Info!$D$5,"094031",L2705),Adat!$E:$E)*-1</f>
        <v>0</v>
      </c>
      <c r="F2739" s="72">
        <f>SUMIF(Adat!$AG:$AG,CONCATENATE(60,Info!$D$5,"094031",L2705),Adat!$E:$E)*-1+E2739</f>
        <v>0</v>
      </c>
      <c r="G2739" s="72">
        <f>SUMIF(Adat!$AH:$AH,CONCATENATE(Info!$D$5,"(KÖT)","094031",L2705),Adat!$E:$E)*-1</f>
        <v>0</v>
      </c>
      <c r="H2739" s="72">
        <f>SUMIF(Adat!$AH:$AH,CONCATENATE(Info!$D$5,"(ÖNV)","094031",L2705),Adat!$E:$E)*-1</f>
        <v>0</v>
      </c>
      <c r="I2739" s="72">
        <f>SUMIF(Adat!$AH:$AH,CONCATENATE(Info!$D$5,"(ÁIG)","094031",L2705),Adat!$E:$E)*-1</f>
        <v>0</v>
      </c>
    </row>
    <row r="2740" spans="2:9" x14ac:dyDescent="0.2">
      <c r="B2740" s="160">
        <v>33</v>
      </c>
      <c r="C2740" s="305" t="s">
        <v>1359</v>
      </c>
      <c r="D2740" s="82" t="s">
        <v>1360</v>
      </c>
      <c r="E2740" s="72">
        <f>SUMIF(Adat!$AG:$AG,CONCATENATE(61,Info!$D$5,"094041",L2705),Adat!$E:$E)*-1</f>
        <v>0</v>
      </c>
      <c r="F2740" s="72">
        <f>SUMIF(Adat!$AG:$AG,CONCATENATE(60,Info!$D$5,"094041",L2705),Adat!$E:$E)*-1+E2740</f>
        <v>0</v>
      </c>
      <c r="G2740" s="72">
        <f>SUMIF(Adat!$AH:$AH,CONCATENATE(Info!$D$5,"(KÖT)","094041",L2705),Adat!$E:$E)*-1</f>
        <v>0</v>
      </c>
      <c r="H2740" s="72">
        <f>SUMIF(Adat!$AH:$AH,CONCATENATE(Info!$D$5,"(ÖNV)","094041",L2705),Adat!$E:$E)*-1</f>
        <v>0</v>
      </c>
      <c r="I2740" s="72">
        <f>SUMIF(Adat!$AH:$AH,CONCATENATE(Info!$D$5,"(ÁIG)","094041",L2705),Adat!$E:$E)*-1</f>
        <v>0</v>
      </c>
    </row>
    <row r="2741" spans="2:9" x14ac:dyDescent="0.2">
      <c r="B2741" s="160">
        <v>34</v>
      </c>
      <c r="C2741" s="305" t="s">
        <v>1261</v>
      </c>
      <c r="D2741" s="82" t="s">
        <v>1361</v>
      </c>
      <c r="E2741" s="72">
        <f>SUMIF(Adat!$AG:$AG,CONCATENATE(61,Info!$D$5,"094051",L2705),Adat!$E:$E)*-1</f>
        <v>0</v>
      </c>
      <c r="F2741" s="72">
        <f>SUMIF(Adat!$AG:$AG,CONCATENATE(60,Info!$D$5,"094051",L2705),Adat!$E:$E)*-1+E2741</f>
        <v>0</v>
      </c>
      <c r="G2741" s="72">
        <f>SUMIF(Adat!$AH:$AH,CONCATENATE(Info!$D$5,"(KÖT)","094051",L2705),Adat!$E:$E)*-1</f>
        <v>0</v>
      </c>
      <c r="H2741" s="72">
        <f>SUMIF(Adat!$AH:$AH,CONCATENATE(Info!$D$5,"(ÖNV)","094051",L2705),Adat!$E:$E)*-1</f>
        <v>0</v>
      </c>
      <c r="I2741" s="72">
        <f>SUMIF(Adat!$AH:$AH,CONCATENATE(Info!$D$5,"(ÁIG)","094051",L2705),Adat!$E:$E)*-1</f>
        <v>0</v>
      </c>
    </row>
    <row r="2742" spans="2:9" x14ac:dyDescent="0.2">
      <c r="B2742" s="160">
        <v>35</v>
      </c>
      <c r="C2742" s="305" t="s">
        <v>1273</v>
      </c>
      <c r="D2742" s="82" t="s">
        <v>1362</v>
      </c>
      <c r="E2742" s="72">
        <f>SUMIF(Adat!$AG:$AG,CONCATENATE(61,Info!$D$5,"094061",L2705),Adat!$E:$E)*-1</f>
        <v>0</v>
      </c>
      <c r="F2742" s="72">
        <f>SUMIF(Adat!$AG:$AG,CONCATENATE(60,Info!$D$5,"094061",L2705),Adat!$E:$E)*-1+E2742</f>
        <v>0</v>
      </c>
      <c r="G2742" s="72">
        <f>SUMIF(Adat!$AH:$AH,CONCATENATE(Info!$D$5,"(KÖT)","094061",L2705),Adat!$E:$E)*-1</f>
        <v>0</v>
      </c>
      <c r="H2742" s="72">
        <f>SUMIF(Adat!$AH:$AH,CONCATENATE(Info!$D$5,"(ÖNV)","094061",L2705),Adat!$E:$E)*-1</f>
        <v>0</v>
      </c>
      <c r="I2742" s="72">
        <f>SUMIF(Adat!$AH:$AH,CONCATENATE(Info!$D$5,"(ÁIG)","094061",L2705),Adat!$E:$E)*-1</f>
        <v>0</v>
      </c>
    </row>
    <row r="2743" spans="2:9" x14ac:dyDescent="0.2">
      <c r="B2743" s="160">
        <v>36</v>
      </c>
      <c r="C2743" s="305" t="s">
        <v>1363</v>
      </c>
      <c r="D2743" s="82" t="s">
        <v>1364</v>
      </c>
      <c r="E2743" s="72">
        <f>SUMIF(Adat!$AG:$AG,CONCATENATE(61,Info!$D$5,"094071",L2705),Adat!$E:$E)*-1</f>
        <v>0</v>
      </c>
      <c r="F2743" s="72">
        <f>SUMIF(Adat!$AG:$AG,CONCATENATE(60,Info!$D$5,"094071",L2705),Adat!$E:$E)*-1+E2743</f>
        <v>0</v>
      </c>
      <c r="G2743" s="72">
        <f>SUMIF(Adat!$AH:$AH,CONCATENATE(Info!$D$5,"(KÖT)","094071",L2705),Adat!$E:$E)*-1</f>
        <v>0</v>
      </c>
      <c r="H2743" s="72">
        <f>SUMIF(Adat!$AH:$AH,CONCATENATE(Info!$D$5,"(ÖNV)","094071",L2705),Adat!$E:$E)*-1</f>
        <v>0</v>
      </c>
      <c r="I2743" s="72">
        <f>SUMIF(Adat!$AH:$AH,CONCATENATE(Info!$D$5,"(ÁIG)","094071",L2705),Adat!$E:$E)*-1</f>
        <v>0</v>
      </c>
    </row>
    <row r="2744" spans="2:9" x14ac:dyDescent="0.2">
      <c r="B2744" s="160">
        <v>37</v>
      </c>
      <c r="C2744" s="305" t="s">
        <v>1306</v>
      </c>
      <c r="D2744" s="82" t="s">
        <v>1365</v>
      </c>
      <c r="E2744" s="72">
        <f>SUMIF(Adat!$AG:$AG,CONCATENATE(61,Info!$D$5,"0940811",L2705),Adat!$E:$E)*-1</f>
        <v>0</v>
      </c>
      <c r="F2744" s="72">
        <f>SUMIF(Adat!$AG:$AG,CONCATENATE(60,Info!$D$5,"0940811",L2705),Adat!$E:$E)*-1+E2744</f>
        <v>0</v>
      </c>
      <c r="G2744" s="72">
        <f>SUMIF(Adat!$AH:$AH,CONCATENATE(Info!$D$5,"(KÖT)","0940811",L2705),Adat!$E:$E)*-1</f>
        <v>0</v>
      </c>
      <c r="H2744" s="72">
        <f>SUMIF(Adat!$AH:$AH,CONCATENATE(Info!$D$5,"(ÖNV)","0940811",L2705),Adat!$E:$E)*-1</f>
        <v>0</v>
      </c>
      <c r="I2744" s="72">
        <f>SUMIF(Adat!$AH:$AH,CONCATENATE(Info!$D$5,"(ÁIG)","0940811",L2705),Adat!$E:$E)*-1</f>
        <v>0</v>
      </c>
    </row>
    <row r="2745" spans="2:9" x14ac:dyDescent="0.2">
      <c r="B2745" s="160">
        <v>38</v>
      </c>
      <c r="C2745" s="305" t="s">
        <v>1295</v>
      </c>
      <c r="D2745" s="82" t="s">
        <v>1366</v>
      </c>
      <c r="E2745" s="72">
        <f>SUMIF(Adat!$AG:$AG,CONCATENATE(61,Info!$D$5,"0940821",L2705),Adat!$E:$E)*-1</f>
        <v>0</v>
      </c>
      <c r="F2745" s="72">
        <f>SUMIF(Adat!$AG:$AG,CONCATENATE(60,Info!$D$5,"0940821",L2705),Adat!$E:$E)*-1+E2745</f>
        <v>0</v>
      </c>
      <c r="G2745" s="72">
        <f>SUMIF(Adat!$AH:$AH,CONCATENATE(Info!$D$5,"(KÖT)","0940821",L2705),Adat!$E:$E)*-1</f>
        <v>0</v>
      </c>
      <c r="H2745" s="72">
        <f>SUMIF(Adat!$AH:$AH,CONCATENATE(Info!$D$5,"(ÖNV)","0940821",L2705),Adat!$E:$E)*-1</f>
        <v>0</v>
      </c>
      <c r="I2745" s="72">
        <f>SUMIF(Adat!$AH:$AH,CONCATENATE(Info!$D$5,"(ÁIG)","0940821",L2705),Adat!$E:$E)*-1</f>
        <v>0</v>
      </c>
    </row>
    <row r="2746" spans="2:9" x14ac:dyDescent="0.2">
      <c r="B2746" s="160">
        <v>39</v>
      </c>
      <c r="C2746" s="305" t="s">
        <v>1367</v>
      </c>
      <c r="D2746" s="82" t="s">
        <v>1368</v>
      </c>
      <c r="E2746" s="72">
        <f>SUMIF(Adat!$AG:$AG,CONCATENATE(61,Info!$D$5,"0940911",L2705),Adat!$E:$E)*-1</f>
        <v>0</v>
      </c>
      <c r="F2746" s="72">
        <f>SUMIF(Adat!$AG:$AG,CONCATENATE(60,Info!$D$5,"0940911",L2705),Adat!$E:$E)*-1+E2746</f>
        <v>0</v>
      </c>
      <c r="G2746" s="72">
        <f>SUMIF(Adat!$AH:$AH,CONCATENATE(Info!$D$5,"(KÖT)","0940911",L2705),Adat!$E:$E)*-1</f>
        <v>0</v>
      </c>
      <c r="H2746" s="72">
        <f>SUMIF(Adat!$AH:$AH,CONCATENATE(Info!$D$5,"(ÖNV)","0940911",L2705),Adat!$E:$E)*-1</f>
        <v>0</v>
      </c>
      <c r="I2746" s="72">
        <f>SUMIF(Adat!$AH:$AH,CONCATENATE(Info!$D$5,"(ÁIG)","0940911",L2705),Adat!$E:$E)*-1</f>
        <v>0</v>
      </c>
    </row>
    <row r="2747" spans="2:9" x14ac:dyDescent="0.2">
      <c r="B2747" s="160">
        <v>40</v>
      </c>
      <c r="C2747" s="305" t="s">
        <v>1369</v>
      </c>
      <c r="D2747" s="82" t="s">
        <v>1370</v>
      </c>
      <c r="E2747" s="72">
        <f>SUMIF(Adat!$AG:$AG,CONCATENATE(61,Info!$D$5,"0940921",L2705),Adat!$E:$E)*-1</f>
        <v>0</v>
      </c>
      <c r="F2747" s="72">
        <f>SUMIF(Adat!$AG:$AG,CONCATENATE(60,Info!$D$5,"0940921",L2705),Adat!$E:$E)*-1+E2747</f>
        <v>0</v>
      </c>
      <c r="G2747" s="72">
        <f>SUMIF(Adat!$AH:$AH,CONCATENATE(Info!$D$5,"(KÖT)","0940921",L2705),Adat!$E:$E)*-1</f>
        <v>0</v>
      </c>
      <c r="H2747" s="72">
        <f>SUMIF(Adat!$AH:$AH,CONCATENATE(Info!$D$5,"(ÖNV)","0940921",L2705),Adat!$E:$E)*-1</f>
        <v>0</v>
      </c>
      <c r="I2747" s="72">
        <f>SUMIF(Adat!$AH:$AH,CONCATENATE(Info!$D$5,"(ÁIG)","0940921",L2705),Adat!$E:$E)*-1</f>
        <v>0</v>
      </c>
    </row>
    <row r="2748" spans="2:9" x14ac:dyDescent="0.2">
      <c r="B2748" s="160">
        <v>41</v>
      </c>
      <c r="C2748" s="305" t="s">
        <v>1296</v>
      </c>
      <c r="D2748" s="82" t="s">
        <v>1371</v>
      </c>
      <c r="E2748" s="72">
        <f>SUMIF(Adat!$AG:$AG,CONCATENATE(61,Info!$D$5,"094101",L2705),Adat!$E:$E)*-1</f>
        <v>0</v>
      </c>
      <c r="F2748" s="72">
        <f>SUMIF(Adat!$AG:$AG,CONCATENATE(60,Info!$D$5,"094101",L2705),Adat!$E:$E)*-1+E2748</f>
        <v>0</v>
      </c>
      <c r="G2748" s="72">
        <f>SUMIF(Adat!$AH:$AH,CONCATENATE(Info!$D$5,"(KÖT)","094101",L2705),Adat!$E:$E)*-1</f>
        <v>0</v>
      </c>
      <c r="H2748" s="72">
        <f>SUMIF(Adat!$AH:$AH,CONCATENATE(Info!$D$5,"(ÖNV)","094101",L2705),Adat!$E:$E)*-1</f>
        <v>0</v>
      </c>
      <c r="I2748" s="72">
        <f>SUMIF(Adat!$AH:$AH,CONCATENATE(Info!$D$5,"(ÁIG)","094101",L2705),Adat!$E:$E)*-1</f>
        <v>0</v>
      </c>
    </row>
    <row r="2749" spans="2:9" x14ac:dyDescent="0.25">
      <c r="B2749" s="160">
        <v>42</v>
      </c>
      <c r="C2749" s="305" t="s">
        <v>1297</v>
      </c>
      <c r="D2749" s="84" t="s">
        <v>1372</v>
      </c>
      <c r="E2749" s="72">
        <f>SUMIF(Adat!$AG:$AG,CONCATENATE(61,Info!$D$5,"094111",L2705),Adat!$E:$E)*-1</f>
        <v>0</v>
      </c>
      <c r="F2749" s="72">
        <f>SUMIF(Adat!$AG:$AG,CONCATENATE(60,Info!$D$5,"094111",L2705),Adat!$E:$E)*-1+E2749</f>
        <v>0</v>
      </c>
      <c r="G2749" s="72">
        <f>SUMIF(Adat!$AH:$AH,CONCATENATE(Info!$D$5,"(KÖT)","094111",L2705),Adat!$E:$E)*-1</f>
        <v>0</v>
      </c>
      <c r="H2749" s="72">
        <f>SUMIF(Adat!$AH:$AH,CONCATENATE(Info!$D$5,"(ÖNV)","094111",L2705),Adat!$E:$E)*-1</f>
        <v>0</v>
      </c>
      <c r="I2749" s="72">
        <f>SUMIF(Adat!$AH:$AH,CONCATENATE(Info!$D$5,"(ÁIG)","094111",L2705),Adat!$E:$E)*-1</f>
        <v>0</v>
      </c>
    </row>
    <row r="2750" spans="2:9" x14ac:dyDescent="0.25">
      <c r="B2750" s="160">
        <v>43</v>
      </c>
      <c r="C2750" s="79" t="s">
        <v>33</v>
      </c>
      <c r="D2750" s="79" t="s">
        <v>330</v>
      </c>
      <c r="E2750" s="71">
        <f>SUM(E2751:E2755)</f>
        <v>0</v>
      </c>
      <c r="F2750" s="71">
        <f>SUM(F2751:F2755)</f>
        <v>0</v>
      </c>
      <c r="G2750" s="71">
        <f>SUM(G2751:G2755)</f>
        <v>0</v>
      </c>
      <c r="H2750" s="71">
        <f>SUM(H2751:H2755)</f>
        <v>0</v>
      </c>
      <c r="I2750" s="71">
        <f>SUM(I2751:I2755)</f>
        <v>0</v>
      </c>
    </row>
    <row r="2751" spans="2:9" x14ac:dyDescent="0.2">
      <c r="B2751" s="160">
        <v>44</v>
      </c>
      <c r="C2751" s="305" t="s">
        <v>1373</v>
      </c>
      <c r="D2751" s="82" t="s">
        <v>1374</v>
      </c>
      <c r="E2751" s="72">
        <f>SUMIF(Adat!$AG:$AG,CONCATENATE(61,Info!$D$5,"09511",L2705),Adat!$E:$E)*-1</f>
        <v>0</v>
      </c>
      <c r="F2751" s="72">
        <f>SUMIF(Adat!$AG:$AG,CONCATENATE(60,Info!$D$5,"09511",L2705),Adat!$E:$E)*-1+E2751</f>
        <v>0</v>
      </c>
      <c r="G2751" s="72">
        <f>SUMIF(Adat!$AH:$AH,CONCATENATE(Info!$D$5,"(KÖT)","09511",L2705),Adat!$E:$E)*-1</f>
        <v>0</v>
      </c>
      <c r="H2751" s="72">
        <f>SUMIF(Adat!$AH:$AH,CONCATENATE(Info!$D$5,"(ÖNV)","09511",L2705),Adat!$E:$E)*-1</f>
        <v>0</v>
      </c>
      <c r="I2751" s="72">
        <f>SUMIF(Adat!$AH:$AH,CONCATENATE(Info!$D$5,"(ÁIG)","09511",L2705),Adat!$E:$E)*-1</f>
        <v>0</v>
      </c>
    </row>
    <row r="2752" spans="2:9" x14ac:dyDescent="0.2">
      <c r="B2752" s="160">
        <v>45</v>
      </c>
      <c r="C2752" s="305" t="s">
        <v>1294</v>
      </c>
      <c r="D2752" s="82" t="s">
        <v>1375</v>
      </c>
      <c r="E2752" s="72">
        <f>SUMIF(Adat!$AG:$AG,CONCATENATE(61,Info!$D$5,"09521",L2705),Adat!$E:$E)*-1</f>
        <v>0</v>
      </c>
      <c r="F2752" s="72">
        <f>SUMIF(Adat!$AG:$AG,CONCATENATE(60,Info!$D$5,"09521",L2705),Adat!$E:$E)*-1+E2752</f>
        <v>0</v>
      </c>
      <c r="G2752" s="72">
        <f>SUMIF(Adat!$AH:$AH,CONCATENATE(Info!$D$5,"(KÖT)","09521",L2705),Adat!$E:$E)*-1</f>
        <v>0</v>
      </c>
      <c r="H2752" s="72">
        <f>SUMIF(Adat!$AH:$AH,CONCATENATE(Info!$D$5,"(ÖNV)","09521",L2705),Adat!$E:$E)*-1</f>
        <v>0</v>
      </c>
      <c r="I2752" s="72">
        <f>SUMIF(Adat!$AH:$AH,CONCATENATE(Info!$D$5,"(ÁIG)","09521",L2705),Adat!$E:$E)*-1</f>
        <v>0</v>
      </c>
    </row>
    <row r="2753" spans="2:9" x14ac:dyDescent="0.2">
      <c r="B2753" s="160">
        <v>46</v>
      </c>
      <c r="C2753" s="305" t="s">
        <v>1376</v>
      </c>
      <c r="D2753" s="82" t="s">
        <v>1377</v>
      </c>
      <c r="E2753" s="72">
        <f>SUMIF(Adat!$AG:$AG,CONCATENATE(61,Info!$D$5,"09531",L2705),Adat!$E:$E)*-1</f>
        <v>0</v>
      </c>
      <c r="F2753" s="72">
        <f>SUMIF(Adat!$AG:$AG,CONCATENATE(60,Info!$D$5,"09531",L2705),Adat!$E:$E)*-1+E2753</f>
        <v>0</v>
      </c>
      <c r="G2753" s="72">
        <f>SUMIF(Adat!$AH:$AH,CONCATENATE(Info!$D$5,"(KÖT)","09531",L2705),Adat!$E:$E)*-1</f>
        <v>0</v>
      </c>
      <c r="H2753" s="72">
        <f>SUMIF(Adat!$AH:$AH,CONCATENATE(Info!$D$5,"(ÖNV)","09531",L2705),Adat!$E:$E)*-1</f>
        <v>0</v>
      </c>
      <c r="I2753" s="72">
        <f>SUMIF(Adat!$AH:$AH,CONCATENATE(Info!$D$5,"(ÁIG)","09531",L2705),Adat!$E:$E)*-1</f>
        <v>0</v>
      </c>
    </row>
    <row r="2754" spans="2:9" x14ac:dyDescent="0.2">
      <c r="B2754" s="160">
        <v>47</v>
      </c>
      <c r="C2754" s="305" t="s">
        <v>1378</v>
      </c>
      <c r="D2754" s="82" t="s">
        <v>1379</v>
      </c>
      <c r="E2754" s="72">
        <f>SUMIF(Adat!$AG:$AG,CONCATENATE(61,Info!$D$5,"09541",L2705),Adat!$E:$E)*-1</f>
        <v>0</v>
      </c>
      <c r="F2754" s="72">
        <f>SUMIF(Adat!$AG:$AG,CONCATENATE(60,Info!$D$5,"09541",L2705),Adat!$E:$E)*-1+E2754</f>
        <v>0</v>
      </c>
      <c r="G2754" s="72">
        <f>SUMIF(Adat!$AH:$AH,CONCATENATE(Info!$D$5,"(KÖT)","09541",L2705),Adat!$E:$E)*-1</f>
        <v>0</v>
      </c>
      <c r="H2754" s="72">
        <f>SUMIF(Adat!$AH:$AH,CONCATENATE(Info!$D$5,"(ÖNV)","09541",L2705),Adat!$E:$E)*-1</f>
        <v>0</v>
      </c>
      <c r="I2754" s="72">
        <f>SUMIF(Adat!$AH:$AH,CONCATENATE(Info!$D$5,"(ÁIG)","09541",L2705),Adat!$E:$E)*-1</f>
        <v>0</v>
      </c>
    </row>
    <row r="2755" spans="2:9" x14ac:dyDescent="0.25">
      <c r="B2755" s="160">
        <v>48</v>
      </c>
      <c r="C2755" s="305" t="s">
        <v>1380</v>
      </c>
      <c r="D2755" s="84" t="s">
        <v>1381</v>
      </c>
      <c r="E2755" s="72">
        <f>SUMIF(Adat!$AG:$AG,CONCATENATE(61,Info!$D$5,"09551",L2705),Adat!$E:$E)*-1</f>
        <v>0</v>
      </c>
      <c r="F2755" s="72">
        <f>SUMIF(Adat!$AG:$AG,CONCATENATE(60,Info!$D$5,"09551",L2705),Adat!$E:$E)*-1+E2755</f>
        <v>0</v>
      </c>
      <c r="G2755" s="72">
        <f>SUMIF(Adat!$AH:$AH,CONCATENATE(Info!$D$5,"(KÖT)","09551",L2705),Adat!$E:$E)*-1</f>
        <v>0</v>
      </c>
      <c r="H2755" s="72">
        <f>SUMIF(Adat!$AH:$AH,CONCATENATE(Info!$D$5,"(ÖNV)","09551",L2705),Adat!$E:$E)*-1</f>
        <v>0</v>
      </c>
      <c r="I2755" s="72">
        <f>SUMIF(Adat!$AH:$AH,CONCATENATE(Info!$D$5,"(ÁIG)","09551",L2705),Adat!$E:$E)*-1</f>
        <v>0</v>
      </c>
    </row>
    <row r="2756" spans="2:9" x14ac:dyDescent="0.25">
      <c r="B2756" s="160">
        <v>49</v>
      </c>
      <c r="C2756" s="79" t="s">
        <v>36</v>
      </c>
      <c r="D2756" s="79" t="s">
        <v>331</v>
      </c>
      <c r="E2756" s="71">
        <f>SUM(E2757:E2761)</f>
        <v>0</v>
      </c>
      <c r="F2756" s="71">
        <f t="shared" ref="F2756:I2756" si="291">SUM(F2757:F2761)</f>
        <v>0</v>
      </c>
      <c r="G2756" s="71">
        <f t="shared" si="291"/>
        <v>0</v>
      </c>
      <c r="H2756" s="71">
        <f t="shared" si="291"/>
        <v>0</v>
      </c>
      <c r="I2756" s="71">
        <f t="shared" si="291"/>
        <v>0</v>
      </c>
    </row>
    <row r="2757" spans="2:9" x14ac:dyDescent="0.2">
      <c r="B2757" s="160">
        <v>50</v>
      </c>
      <c r="C2757" s="305" t="s">
        <v>1382</v>
      </c>
      <c r="D2757" s="82" t="s">
        <v>1383</v>
      </c>
      <c r="E2757" s="72">
        <f>SUMIF(Adat!$AG:$AG,CONCATENATE(61,Info!$D$5,"09611",L2705),Adat!$E:$E)*-1</f>
        <v>0</v>
      </c>
      <c r="F2757" s="72">
        <f>SUMIF(Adat!$AG:$AG,CONCATENATE(60,Info!$D$5,"09611",L2705),Adat!$E:$E)*-1+E2757</f>
        <v>0</v>
      </c>
      <c r="G2757" s="72">
        <f>SUMIF(Adat!$AH:$AH,CONCATENATE(Info!$D$5,"(KÖT)","09611",L2705),Adat!$E:$E)*-1</f>
        <v>0</v>
      </c>
      <c r="H2757" s="72">
        <f>SUMIF(Adat!$AH:$AH,CONCATENATE(Info!$D$5,"(ÖNV)","09611",L2705),Adat!$E:$E)*-1</f>
        <v>0</v>
      </c>
      <c r="I2757" s="72">
        <f>SUMIF(Adat!$AH:$AH,CONCATENATE(Info!$D$5,"(ÁIG)","09611",L2705),Adat!$E:$E)*-1</f>
        <v>0</v>
      </c>
    </row>
    <row r="2758" spans="2:9" x14ac:dyDescent="0.2">
      <c r="B2758" s="160">
        <v>51</v>
      </c>
      <c r="C2758" s="305" t="s">
        <v>1384</v>
      </c>
      <c r="D2758" s="82" t="s">
        <v>1385</v>
      </c>
      <c r="E2758" s="72">
        <f>SUMIF(Adat!$AG:$AG,CONCATENATE(61,Info!$D$5,"09621",L2705),Adat!$E:$E)*-1</f>
        <v>0</v>
      </c>
      <c r="F2758" s="72">
        <f>SUMIF(Adat!$AG:$AG,CONCATENATE(60,Info!$D$5,"09621",L2705),Adat!$E:$E)*-1+E2758</f>
        <v>0</v>
      </c>
      <c r="G2758" s="72">
        <f>SUMIF(Adat!$AH:$AH,CONCATENATE(Info!$D$5,"(KÖT)","09621",L2705),Adat!$E:$E)*-1</f>
        <v>0</v>
      </c>
      <c r="H2758" s="72">
        <f>SUMIF(Adat!$AH:$AH,CONCATENATE(Info!$D$5,"(ÖNV)","09621",L2705),Adat!$E:$E)*-1</f>
        <v>0</v>
      </c>
      <c r="I2758" s="72">
        <f>SUMIF(Adat!$AH:$AH,CONCATENATE(Info!$D$5,"(ÁIG)","09621",L2705),Adat!$E:$E)*-1</f>
        <v>0</v>
      </c>
    </row>
    <row r="2759" spans="2:9" x14ac:dyDescent="0.2">
      <c r="B2759" s="160">
        <v>52</v>
      </c>
      <c r="C2759" s="305" t="s">
        <v>1386</v>
      </c>
      <c r="D2759" s="82" t="s">
        <v>1387</v>
      </c>
      <c r="E2759" s="72">
        <f>SUMIF(Adat!$AG:$AG,CONCATENATE(61,Info!$D$5,"09631",L2705),Adat!$E:$E)*-1</f>
        <v>0</v>
      </c>
      <c r="F2759" s="72">
        <f>SUMIF(Adat!$AG:$AG,CONCATENATE(60,Info!$D$5,"09631",L2705),Adat!$E:$E)*-1+E2759</f>
        <v>0</v>
      </c>
      <c r="G2759" s="72">
        <f>SUMIF(Adat!$AH:$AH,CONCATENATE(Info!$D$5,"(KÖT)","09631",L2705),Adat!$E:$E)*-1</f>
        <v>0</v>
      </c>
      <c r="H2759" s="72">
        <f>SUMIF(Adat!$AH:$AH,CONCATENATE(Info!$D$5,"(ÖNV)","09631",L2705),Adat!$E:$E)*-1</f>
        <v>0</v>
      </c>
      <c r="I2759" s="72">
        <f>SUMIF(Adat!$AH:$AH,CONCATENATE(Info!$D$5,"(ÁIG)","09631",L2705),Adat!$E:$E)*-1</f>
        <v>0</v>
      </c>
    </row>
    <row r="2760" spans="2:9" x14ac:dyDescent="0.2">
      <c r="B2760" s="160">
        <v>53</v>
      </c>
      <c r="C2760" s="305" t="s">
        <v>1388</v>
      </c>
      <c r="D2760" s="82" t="s">
        <v>1389</v>
      </c>
      <c r="E2760" s="72">
        <f>SUMIF(Adat!$AG:$AG,CONCATENATE(61,Info!$D$5,"09641",L2705),Adat!$E:$E)*-1</f>
        <v>0</v>
      </c>
      <c r="F2760" s="72">
        <f>SUMIF(Adat!$AG:$AG,CONCATENATE(60,Info!$D$5,"09641",L2705),Adat!$E:$E)*-1+E2760</f>
        <v>0</v>
      </c>
      <c r="G2760" s="72">
        <f>SUMIF(Adat!$AH:$AH,CONCATENATE(Info!$D$5,"(KÖT)","09641",L2705),Adat!$E:$E)*-1</f>
        <v>0</v>
      </c>
      <c r="H2760" s="72">
        <f>SUMIF(Adat!$AH:$AH,CONCATENATE(Info!$D$5,"(ÖNV)","09641",L2705),Adat!$E:$E)*-1</f>
        <v>0</v>
      </c>
      <c r="I2760" s="72">
        <f>SUMIF(Adat!$AH:$AH,CONCATENATE(Info!$D$5,"(ÁIG)","09641",L2705),Adat!$E:$E)*-1</f>
        <v>0</v>
      </c>
    </row>
    <row r="2761" spans="2:9" x14ac:dyDescent="0.2">
      <c r="B2761" s="160">
        <v>54</v>
      </c>
      <c r="C2761" s="305" t="s">
        <v>1310</v>
      </c>
      <c r="D2761" s="82" t="s">
        <v>1390</v>
      </c>
      <c r="E2761" s="72">
        <f>SUMIF(Adat!$AG:$AG,CONCATENATE(61,Info!$D$5,"09651",L2705),Adat!$E:$E)*-1</f>
        <v>0</v>
      </c>
      <c r="F2761" s="72">
        <f>SUMIF(Adat!$AG:$AG,CONCATENATE(60,Info!$D$5,"09651",L2705),Adat!$E:$E)*-1+E2761</f>
        <v>0</v>
      </c>
      <c r="G2761" s="72">
        <f>SUMIF(Adat!$AH:$AH,CONCATENATE(Info!$D$5,"(KÖT)","09651",L2705),Adat!$E:$E)*-1</f>
        <v>0</v>
      </c>
      <c r="H2761" s="72">
        <f>SUMIF(Adat!$AH:$AH,CONCATENATE(Info!$D$5,"(ÖNV)","09651",L2705),Adat!$E:$E)*-1</f>
        <v>0</v>
      </c>
      <c r="I2761" s="72">
        <f>SUMIF(Adat!$AH:$AH,CONCATENATE(Info!$D$5,"(ÁIG)","09651",L2705),Adat!$E:$E)*-1</f>
        <v>0</v>
      </c>
    </row>
    <row r="2762" spans="2:9" x14ac:dyDescent="0.25">
      <c r="B2762" s="160">
        <v>55</v>
      </c>
      <c r="C2762" s="79" t="s">
        <v>38</v>
      </c>
      <c r="D2762" s="85" t="s">
        <v>332</v>
      </c>
      <c r="E2762" s="71">
        <f>SUM(E2763:E2767)</f>
        <v>0</v>
      </c>
      <c r="F2762" s="71">
        <f t="shared" ref="F2762:I2762" si="292">SUM(F2763:F2767)</f>
        <v>0</v>
      </c>
      <c r="G2762" s="71">
        <f t="shared" si="292"/>
        <v>0</v>
      </c>
      <c r="H2762" s="71">
        <f t="shared" si="292"/>
        <v>0</v>
      </c>
      <c r="I2762" s="71">
        <f t="shared" si="292"/>
        <v>0</v>
      </c>
    </row>
    <row r="2763" spans="2:9" x14ac:dyDescent="0.2">
      <c r="B2763" s="160">
        <v>56</v>
      </c>
      <c r="C2763" s="305" t="s">
        <v>1391</v>
      </c>
      <c r="D2763" s="82" t="s">
        <v>1392</v>
      </c>
      <c r="E2763" s="72">
        <f>SUMIF(Adat!$AG:$AG,CONCATENATE(61,Info!$D$5,"09711",L2705),Adat!$E:$E)*-1</f>
        <v>0</v>
      </c>
      <c r="F2763" s="72">
        <f>SUMIF(Adat!$AG:$AG,CONCATENATE(60,Info!$D$5,"09711",L2705),Adat!$E:$E)*-1+E2763</f>
        <v>0</v>
      </c>
      <c r="G2763" s="72">
        <f>SUMIF(Adat!$AH:$AH,CONCATENATE(Info!$D$5,"(KÖT)","09711",L2705),Adat!$E:$E)*-1</f>
        <v>0</v>
      </c>
      <c r="H2763" s="72">
        <f>SUMIF(Adat!$AH:$AH,CONCATENATE(Info!$D$5,"(ÖNV)","09711",L2705),Adat!$E:$E)*-1</f>
        <v>0</v>
      </c>
      <c r="I2763" s="72">
        <f>SUMIF(Adat!$AH:$AH,CONCATENATE(Info!$D$5,"(ÁIG)","09711",L2705),Adat!$E:$E)*-1</f>
        <v>0</v>
      </c>
    </row>
    <row r="2764" spans="2:9" x14ac:dyDescent="0.2">
      <c r="B2764" s="160">
        <v>57</v>
      </c>
      <c r="C2764" s="305" t="s">
        <v>1393</v>
      </c>
      <c r="D2764" s="82" t="s">
        <v>1394</v>
      </c>
      <c r="E2764" s="72">
        <f>SUMIF(Adat!$AG:$AG,CONCATENATE(61,Info!$D$5,"09721",L2705),Adat!$E:$E)*-1</f>
        <v>0</v>
      </c>
      <c r="F2764" s="72">
        <f>SUMIF(Adat!$AG:$AG,CONCATENATE(60,Info!$D$5,"09721",L2705),Adat!$E:$E)*-1+E2764</f>
        <v>0</v>
      </c>
      <c r="G2764" s="72">
        <f>SUMIF(Adat!$AH:$AH,CONCATENATE(Info!$D$5,"(KÖT)","09721",L2705),Adat!$E:$E)*-1</f>
        <v>0</v>
      </c>
      <c r="H2764" s="72">
        <f>SUMIF(Adat!$AH:$AH,CONCATENATE(Info!$D$5,"(ÖNV)","09721",L2705),Adat!$E:$E)*-1</f>
        <v>0</v>
      </c>
      <c r="I2764" s="72">
        <f>SUMIF(Adat!$AH:$AH,CONCATENATE(Info!$D$5,"(ÁIG)","09721",L2705),Adat!$E:$E)*-1</f>
        <v>0</v>
      </c>
    </row>
    <row r="2765" spans="2:9" x14ac:dyDescent="0.2">
      <c r="B2765" s="160">
        <v>58</v>
      </c>
      <c r="C2765" s="305" t="s">
        <v>1395</v>
      </c>
      <c r="D2765" s="82" t="s">
        <v>1396</v>
      </c>
      <c r="E2765" s="72">
        <f>SUMIF(Adat!$AG:$AG,CONCATENATE(61,Info!$D$5,"09731",L2705),Adat!$E:$E)*-1</f>
        <v>0</v>
      </c>
      <c r="F2765" s="72">
        <f>SUMIF(Adat!$AG:$AG,CONCATENATE(60,Info!$D$5,"09731",L2705),Adat!$E:$E)*-1+E2765</f>
        <v>0</v>
      </c>
      <c r="G2765" s="72">
        <f>SUMIF(Adat!$AH:$AH,CONCATENATE(Info!$D$5,"(KÖT)","09731",L2705),Adat!$E:$E)*-1</f>
        <v>0</v>
      </c>
      <c r="H2765" s="72">
        <f>SUMIF(Adat!$AH:$AH,CONCATENATE(Info!$D$5,"(ÖNV)","09731",L2705),Adat!$E:$E)*-1</f>
        <v>0</v>
      </c>
      <c r="I2765" s="72">
        <f>SUMIF(Adat!$AH:$AH,CONCATENATE(Info!$D$5,"(ÁIG)","09731",L2705),Adat!$E:$E)*-1</f>
        <v>0</v>
      </c>
    </row>
    <row r="2766" spans="2:9" x14ac:dyDescent="0.2">
      <c r="B2766" s="160">
        <v>59</v>
      </c>
      <c r="C2766" s="305" t="s">
        <v>1397</v>
      </c>
      <c r="D2766" s="82" t="s">
        <v>1398</v>
      </c>
      <c r="E2766" s="72">
        <f>SUMIF(Adat!$AG:$AG,CONCATENATE(61,Info!$D$5,"09741",L2705),Adat!$E:$E)*-1</f>
        <v>0</v>
      </c>
      <c r="F2766" s="72">
        <f>SUMIF(Adat!$AG:$AG,CONCATENATE(60,Info!$D$5,"09741",L2705),Adat!$E:$E)*-1+E2766</f>
        <v>0</v>
      </c>
      <c r="G2766" s="72">
        <f>SUMIF(Adat!$AH:$AH,CONCATENATE(Info!$D$5,"(KÖT)","09741",L2705),Adat!$E:$E)*-1</f>
        <v>0</v>
      </c>
      <c r="H2766" s="72">
        <f>SUMIF(Adat!$AH:$AH,CONCATENATE(Info!$D$5,"(ÖNV)","09741",L2705),Adat!$E:$E)*-1</f>
        <v>0</v>
      </c>
      <c r="I2766" s="72">
        <f>SUMIF(Adat!$AH:$AH,CONCATENATE(Info!$D$5,"(ÁIG)","09741",L2705),Adat!$E:$E)*-1</f>
        <v>0</v>
      </c>
    </row>
    <row r="2767" spans="2:9" x14ac:dyDescent="0.25">
      <c r="B2767" s="160">
        <v>60</v>
      </c>
      <c r="C2767" s="305" t="s">
        <v>1399</v>
      </c>
      <c r="D2767" s="84" t="s">
        <v>1400</v>
      </c>
      <c r="E2767" s="72">
        <f>SUMIF(Adat!$AG:$AG,CONCATENATE(61,Info!$D$5,"09751",L2705),Adat!$E:$E)*-1</f>
        <v>0</v>
      </c>
      <c r="F2767" s="72">
        <f>SUMIF(Adat!$AG:$AG,CONCATENATE(60,Info!$D$5,"09751",L2705),Adat!$E:$E)*-1+E2767</f>
        <v>0</v>
      </c>
      <c r="G2767" s="72">
        <f>SUMIF(Adat!$AH:$AH,CONCATENATE(Info!$D$5,"(KÖT)","09751",L2705),Adat!$E:$E)*-1</f>
        <v>0</v>
      </c>
      <c r="H2767" s="72">
        <f>SUMIF(Adat!$AH:$AH,CONCATENATE(Info!$D$5,"(ÖNV)","09751",L2705),Adat!$E:$E)*-1</f>
        <v>0</v>
      </c>
      <c r="I2767" s="72">
        <f>SUMIF(Adat!$AH:$AH,CONCATENATE(Info!$D$5,"(ÁIG)","09751",L2705),Adat!$E:$E)*-1</f>
        <v>0</v>
      </c>
    </row>
    <row r="2768" spans="2:9" x14ac:dyDescent="0.25">
      <c r="B2768" s="160">
        <v>61</v>
      </c>
      <c r="C2768" s="78" t="s">
        <v>352</v>
      </c>
      <c r="D2768" s="86" t="s">
        <v>1401</v>
      </c>
      <c r="E2768" s="71">
        <f>+E2709+E2717+E2723+E2729+E2736+E2750+E2756+E2762</f>
        <v>0</v>
      </c>
      <c r="F2768" s="71">
        <f>+F2709+F2717+F2723+F2729+F2736+F2750+F2756+F2762</f>
        <v>0</v>
      </c>
      <c r="G2768" s="71">
        <f>+G2709+G2717+G2723+G2729+G2736+G2750+G2756+G2762</f>
        <v>0</v>
      </c>
      <c r="H2768" s="71">
        <f>+H2709+H2717+H2723+H2729+H2736+H2750+H2756+H2762</f>
        <v>0</v>
      </c>
      <c r="I2768" s="71">
        <f>+I2709+I2717+I2723+I2729+I2736+I2750+I2756+I2762</f>
        <v>0</v>
      </c>
    </row>
    <row r="2769" spans="2:9" x14ac:dyDescent="0.25">
      <c r="B2769" s="160">
        <v>62</v>
      </c>
      <c r="C2769" s="154" t="s">
        <v>1402</v>
      </c>
      <c r="D2769" s="85" t="s">
        <v>1403</v>
      </c>
      <c r="E2769" s="71">
        <f t="shared" ref="E2769:G2769" si="293">SUM(E2770:E2772)</f>
        <v>0</v>
      </c>
      <c r="F2769" s="71">
        <f t="shared" si="293"/>
        <v>0</v>
      </c>
      <c r="G2769" s="71">
        <f t="shared" si="293"/>
        <v>0</v>
      </c>
      <c r="H2769" s="71">
        <f>SUM(H2770:H2772)</f>
        <v>0</v>
      </c>
      <c r="I2769" s="71">
        <f>SUM(I2770:I2772)</f>
        <v>0</v>
      </c>
    </row>
    <row r="2770" spans="2:9" x14ac:dyDescent="0.2">
      <c r="B2770" s="160">
        <v>63</v>
      </c>
      <c r="C2770" s="305" t="s">
        <v>1404</v>
      </c>
      <c r="D2770" s="82" t="s">
        <v>1405</v>
      </c>
      <c r="E2770" s="72">
        <f>SUMIF(Adat!$AG:$AG,CONCATENATE(61,Info!$D$5,"0981111",L2705),Adat!$E:$E)*-1</f>
        <v>0</v>
      </c>
      <c r="F2770" s="72">
        <f>SUMIF(Adat!$AG:$AG,CONCATENATE(60,Info!$D$5,"0981111",L2705),Adat!$E:$E)*-1+E2770</f>
        <v>0</v>
      </c>
      <c r="G2770" s="72">
        <f>SUMIF(Adat!$AH:$AH,CONCATENATE(Info!$D$5,"(KÖT)","0981111",L2705),Adat!$E:$E)*-1</f>
        <v>0</v>
      </c>
      <c r="H2770" s="72">
        <f>SUMIF(Adat!$AH:$AH,CONCATENATE(Info!$D$5,"(ÖNV)","0981111",L2705),Adat!$E:$E)*-1</f>
        <v>0</v>
      </c>
      <c r="I2770" s="72">
        <f>SUMIF(Adat!$AH:$AH,CONCATENATE(Info!$D$5,"(ÁIG)","0981111",L2705),Adat!$E:$E)*-1</f>
        <v>0</v>
      </c>
    </row>
    <row r="2771" spans="2:9" x14ac:dyDescent="0.2">
      <c r="B2771" s="160">
        <v>64</v>
      </c>
      <c r="C2771" s="305" t="s">
        <v>1406</v>
      </c>
      <c r="D2771" s="82" t="s">
        <v>1407</v>
      </c>
      <c r="E2771" s="72">
        <f>SUMIF(Adat!$AG:$AG,CONCATENATE(61,Info!$D$5,"0981121",L2705),Adat!$E:$E)*-1</f>
        <v>0</v>
      </c>
      <c r="F2771" s="72">
        <f>SUMIF(Adat!$AG:$AG,CONCATENATE(60,Info!$D$5,"0981121",L2705),Adat!$E:$E)*-1+E2771</f>
        <v>0</v>
      </c>
      <c r="G2771" s="72">
        <f>SUMIF(Adat!$AH:$AH,CONCATENATE(Info!$D$5,"(KÖT)","0981121",L2705),Adat!$E:$E)*-1</f>
        <v>0</v>
      </c>
      <c r="H2771" s="72">
        <f>SUMIF(Adat!$AH:$AH,CONCATENATE(Info!$D$5,"(ÖNV)","0981121",L2705),Adat!$E:$E)*-1</f>
        <v>0</v>
      </c>
      <c r="I2771" s="72">
        <f>SUMIF(Adat!$AH:$AH,CONCATENATE(Info!$D$5,"(ÁIG)","0981121",L2705),Adat!$E:$E)*-1</f>
        <v>0</v>
      </c>
    </row>
    <row r="2772" spans="2:9" x14ac:dyDescent="0.2">
      <c r="B2772" s="160">
        <v>65</v>
      </c>
      <c r="C2772" s="305" t="s">
        <v>1408</v>
      </c>
      <c r="D2772" s="82" t="s">
        <v>1409</v>
      </c>
      <c r="E2772" s="72">
        <f>SUMIF(Adat!$AG:$AG,CONCATENATE(61,Info!$D$5,"0981131",L2705),Adat!$E:$E)*-1</f>
        <v>0</v>
      </c>
      <c r="F2772" s="72">
        <f>SUMIF(Adat!$AG:$AG,CONCATENATE(60,Info!$D$5,"0981131",L2705),Adat!$E:$E)*-1+E2772</f>
        <v>0</v>
      </c>
      <c r="G2772" s="72">
        <f>SUMIF(Adat!$AH:$AH,CONCATENATE(Info!$D$5,"(KÖT)","0981131",L2705),Adat!$E:$E)*-1</f>
        <v>0</v>
      </c>
      <c r="H2772" s="72">
        <f>SUMIF(Adat!$AH:$AH,CONCATENATE(Info!$D$5,"(ÖNV)","0981131",L2705),Adat!$E:$E)*-1</f>
        <v>0</v>
      </c>
      <c r="I2772" s="72">
        <f>SUMIF(Adat!$AH:$AH,CONCATENATE(Info!$D$5,"(ÁIG)","0981131",L2705),Adat!$E:$E)*-1</f>
        <v>0</v>
      </c>
    </row>
    <row r="2773" spans="2:9" x14ac:dyDescent="0.25">
      <c r="B2773" s="160">
        <v>66</v>
      </c>
      <c r="C2773" s="154" t="s">
        <v>1410</v>
      </c>
      <c r="D2773" s="85" t="s">
        <v>574</v>
      </c>
      <c r="E2773" s="71">
        <f>SUM(E2774:E2777)</f>
        <v>0</v>
      </c>
      <c r="F2773" s="71">
        <f t="shared" ref="F2773" si="294">SUM(F2774:F2777)</f>
        <v>0</v>
      </c>
      <c r="G2773" s="71">
        <f>SUM(G2774:G2777)</f>
        <v>0</v>
      </c>
      <c r="H2773" s="71">
        <f>SUM(H2774:H2777)</f>
        <v>0</v>
      </c>
      <c r="I2773" s="71">
        <f>SUM(I2774:I2777)</f>
        <v>0</v>
      </c>
    </row>
    <row r="2774" spans="2:9" x14ac:dyDescent="0.2">
      <c r="B2774" s="160">
        <v>67</v>
      </c>
      <c r="C2774" s="305" t="s">
        <v>1411</v>
      </c>
      <c r="D2774" s="82" t="s">
        <v>1412</v>
      </c>
      <c r="E2774" s="72">
        <f>SUMIF(Adat!$AG:$AG,CONCATENATE(61,Info!$D$5,"0981211",L2705),Adat!$E:$E)*-1</f>
        <v>0</v>
      </c>
      <c r="F2774" s="72">
        <f>SUMIF(Adat!$AG:$AG,CONCATENATE(60,Info!$D$5,"0981211",L2705),Adat!$E:$E)*-1+E2774</f>
        <v>0</v>
      </c>
      <c r="G2774" s="72">
        <f>SUMIF(Adat!$AH:$AH,CONCATENATE(Info!$D$5,"(KÖT)","0981211",L2705),Adat!$E:$E)*-1</f>
        <v>0</v>
      </c>
      <c r="H2774" s="72">
        <f>SUMIF(Adat!$AH:$AH,CONCATENATE(Info!$D$5,"(ÖNV)","0981211",L2705),Adat!$E:$E)*-1</f>
        <v>0</v>
      </c>
      <c r="I2774" s="72">
        <f>SUMIF(Adat!$AH:$AH,CONCATENATE(Info!$D$5,"(ÁIG)","0981211",L2705),Adat!$E:$E)*-1</f>
        <v>0</v>
      </c>
    </row>
    <row r="2775" spans="2:9" x14ac:dyDescent="0.2">
      <c r="B2775" s="160">
        <v>68</v>
      </c>
      <c r="C2775" s="305" t="s">
        <v>1413</v>
      </c>
      <c r="D2775" s="82" t="s">
        <v>1414</v>
      </c>
      <c r="E2775" s="72">
        <f>SUMIF(Adat!$AG:$AG,CONCATENATE(61,Info!$D$5,"0981221",L2705),Adat!$E:$E)*-1</f>
        <v>0</v>
      </c>
      <c r="F2775" s="72">
        <f>SUMIF(Adat!$AG:$AG,CONCATENATE(60,Info!$D$5,"0981221",L2705),Adat!$E:$E)*-1+E2775</f>
        <v>0</v>
      </c>
      <c r="G2775" s="72">
        <f>SUMIF(Adat!$AH:$AH,CONCATENATE(Info!$D$5,"(KÖT)","0981221",L2705),Adat!$E:$E)*-1</f>
        <v>0</v>
      </c>
      <c r="H2775" s="72">
        <f>SUMIF(Adat!$AH:$AH,CONCATENATE(Info!$D$5,"(ÖNV)","0981221",L2705),Adat!$E:$E)*-1</f>
        <v>0</v>
      </c>
      <c r="I2775" s="72">
        <f>SUMIF(Adat!$AH:$AH,CONCATENATE(Info!$D$5,"(ÁIG)","0981221",L2705),Adat!$E:$E)*-1</f>
        <v>0</v>
      </c>
    </row>
    <row r="2776" spans="2:9" x14ac:dyDescent="0.2">
      <c r="B2776" s="160">
        <v>69</v>
      </c>
      <c r="C2776" s="305" t="s">
        <v>1313</v>
      </c>
      <c r="D2776" s="82" t="s">
        <v>1415</v>
      </c>
      <c r="E2776" s="72">
        <f>SUMIF(Adat!$AG:$AG,CONCATENATE(61,Info!$D$5,"0981231",L2705),Adat!$E:$E)*-1</f>
        <v>0</v>
      </c>
      <c r="F2776" s="72">
        <f>SUMIF(Adat!$AG:$AG,CONCATENATE(60,Info!$D$5,"0981231",L2705),Adat!$E:$E)*-1+E2776</f>
        <v>0</v>
      </c>
      <c r="G2776" s="72">
        <f>SUMIF(Adat!$AH:$AH,CONCATENATE(Info!$D$5,"(KÖT)","0981231",L2705),Adat!$E:$E)*-1</f>
        <v>0</v>
      </c>
      <c r="H2776" s="72">
        <f>SUMIF(Adat!$AH:$AH,CONCATENATE(Info!$D$5,"(ÖNV)","0981231",L2705),Adat!$E:$E)*-1</f>
        <v>0</v>
      </c>
      <c r="I2776" s="72">
        <f>SUMIF(Adat!$AH:$AH,CONCATENATE(Info!$D$5,"(ÁIG)","0981231",L2705),Adat!$E:$E)*-1</f>
        <v>0</v>
      </c>
    </row>
    <row r="2777" spans="2:9" x14ac:dyDescent="0.25">
      <c r="B2777" s="160">
        <v>70</v>
      </c>
      <c r="C2777" s="305" t="s">
        <v>1416</v>
      </c>
      <c r="D2777" s="84" t="s">
        <v>1417</v>
      </c>
      <c r="E2777" s="72">
        <f>SUMIF(Adat!$AG:$AG,CONCATENATE(61,Info!$D$5,"0981241",L2705),Adat!$E:$E)*-1</f>
        <v>0</v>
      </c>
      <c r="F2777" s="72">
        <f>SUMIF(Adat!$AG:$AG,CONCATENATE(60,Info!$D$5,"0981241",L2705),Adat!$E:$E)*-1+E2777</f>
        <v>0</v>
      </c>
      <c r="G2777" s="72">
        <f>SUMIF(Adat!$AH:$AH,CONCATENATE(Info!$D$5,"(KÖT)","0981241",L2705),Adat!$E:$E)*-1</f>
        <v>0</v>
      </c>
      <c r="H2777" s="72">
        <f>SUMIF(Adat!$AH:$AH,CONCATENATE(Info!$D$5,"(ÖNV)","0981241",L2705),Adat!$E:$E)*-1</f>
        <v>0</v>
      </c>
      <c r="I2777" s="72">
        <f>SUMIF(Adat!$AH:$AH,CONCATENATE(Info!$D$5,"(ÁIG)","0981241",L2705),Adat!$E:$E)*-1</f>
        <v>0</v>
      </c>
    </row>
    <row r="2778" spans="2:9" x14ac:dyDescent="0.25">
      <c r="B2778" s="160">
        <v>71</v>
      </c>
      <c r="C2778" s="154" t="s">
        <v>1418</v>
      </c>
      <c r="D2778" s="85" t="s">
        <v>575</v>
      </c>
      <c r="E2778" s="71">
        <f>SUM(E2779:E2780)</f>
        <v>0</v>
      </c>
      <c r="F2778" s="71">
        <f t="shared" ref="F2778" si="295">SUM(F2779:F2780)</f>
        <v>0</v>
      </c>
      <c r="G2778" s="71">
        <f>SUM(G2779:G2780)</f>
        <v>0</v>
      </c>
      <c r="H2778" s="71">
        <f>SUM(H2779:H2780)</f>
        <v>0</v>
      </c>
      <c r="I2778" s="71">
        <f>SUM(I2779:I2780)</f>
        <v>0</v>
      </c>
    </row>
    <row r="2779" spans="2:9" x14ac:dyDescent="0.2">
      <c r="B2779" s="160">
        <v>72</v>
      </c>
      <c r="C2779" s="305" t="s">
        <v>1274</v>
      </c>
      <c r="D2779" s="82" t="s">
        <v>1419</v>
      </c>
      <c r="E2779" s="72">
        <f>SUMIF(Adat!$AG:$AG,CONCATENATE(61,Info!$D$5,"0981311",L2705),Adat!$E:$E)*-1</f>
        <v>0</v>
      </c>
      <c r="F2779" s="72">
        <f>SUMIF(Adat!$AG:$AG,CONCATENATE(60,Info!$D$5,"0981311",L2705),Adat!$E:$E)*-1+E2779</f>
        <v>0</v>
      </c>
      <c r="G2779" s="72">
        <f>SUMIF(Adat!$AH:$AH,CONCATENATE(Info!$D$5,"(KÖT)","0981311",L2705),Adat!$E:$E)*-1</f>
        <v>0</v>
      </c>
      <c r="H2779" s="72">
        <f>SUMIF(Adat!$AH:$AH,CONCATENATE(Info!$D$5,"(ÖNV)","0981311",L2705),Adat!$E:$E)*-1</f>
        <v>0</v>
      </c>
      <c r="I2779" s="72">
        <f>SUMIF(Adat!$AH:$AH,CONCATENATE(Info!$D$5,"(ÁIG)","0981311",L2705),Adat!$E:$E)*-1</f>
        <v>0</v>
      </c>
    </row>
    <row r="2780" spans="2:9" x14ac:dyDescent="0.25">
      <c r="B2780" s="160">
        <v>73</v>
      </c>
      <c r="C2780" s="305" t="s">
        <v>1420</v>
      </c>
      <c r="D2780" s="84" t="s">
        <v>1421</v>
      </c>
      <c r="E2780" s="72">
        <f>SUMIF(Adat!$AG:$AG,CONCATENATE(61,Info!$D$5,"0981321",L2705),Adat!$E:$E)*-1</f>
        <v>0</v>
      </c>
      <c r="F2780" s="72">
        <f>SUMIF(Adat!$AG:$AG,CONCATENATE(60,Info!$D$5,"0981321",L2705),Adat!$E:$E)*-1+E2780</f>
        <v>0</v>
      </c>
      <c r="G2780" s="72">
        <f>SUMIF(Adat!$AH:$AH,CONCATENATE(Info!$D$5,"(KÖT)","0981321",L2705),Adat!$E:$E)*-1</f>
        <v>0</v>
      </c>
      <c r="H2780" s="72">
        <f>SUMIF(Adat!$AH:$AH,CONCATENATE(Info!$D$5,"(ÖNV)","0981321",L2705),Adat!$E:$E)*-1</f>
        <v>0</v>
      </c>
      <c r="I2780" s="72">
        <f>SUMIF(Adat!$AH:$AH,CONCATENATE(Info!$D$5,"(ÁIG)","0981321",L2705),Adat!$E:$E)*-1</f>
        <v>0</v>
      </c>
    </row>
    <row r="2781" spans="2:9" s="42" customFormat="1" x14ac:dyDescent="0.25">
      <c r="B2781" s="160">
        <v>74</v>
      </c>
      <c r="C2781" s="154" t="s">
        <v>1496</v>
      </c>
      <c r="D2781" s="85" t="s">
        <v>576</v>
      </c>
      <c r="E2781" s="71">
        <f>SUM(E2782:E2784)</f>
        <v>0</v>
      </c>
      <c r="F2781" s="71">
        <f t="shared" ref="F2781" si="296">SUM(F2782:F2784)</f>
        <v>0</v>
      </c>
      <c r="G2781" s="71">
        <f>SUM(G2782:G2784)</f>
        <v>0</v>
      </c>
      <c r="H2781" s="71">
        <f>SUM(H2782:H2784)</f>
        <v>0</v>
      </c>
      <c r="I2781" s="71">
        <f>SUM(I2782:I2784)</f>
        <v>0</v>
      </c>
    </row>
    <row r="2782" spans="2:9" x14ac:dyDescent="0.2">
      <c r="B2782" s="160">
        <v>75</v>
      </c>
      <c r="C2782" s="305" t="s">
        <v>1301</v>
      </c>
      <c r="D2782" s="82" t="s">
        <v>1422</v>
      </c>
      <c r="E2782" s="72">
        <f>SUMIF(Adat!$AG:$AG,CONCATENATE(61,Info!$D$5,"098141",L2705),Adat!$E:$E)*-1</f>
        <v>0</v>
      </c>
      <c r="F2782" s="72">
        <f>SUMIF(Adat!$AG:$AG,CONCATENATE(60,Info!$D$5,"098141",L2705),Adat!$E:$E)*-1+E2782</f>
        <v>0</v>
      </c>
      <c r="G2782" s="72">
        <f>SUMIF(Adat!$AH:$AH,CONCATENATE(Info!$D$5,"(KÖT)","098141",L2705),Adat!$E:$E)*-1</f>
        <v>0</v>
      </c>
      <c r="H2782" s="72">
        <f>SUMIF(Adat!$AH:$AH,CONCATENATE(Info!$D$5,"(ÖNV)","098141",L2705),Adat!$E:$E)*-1</f>
        <v>0</v>
      </c>
      <c r="I2782" s="72">
        <f>SUMIF(Adat!$AH:$AH,CONCATENATE(Info!$D$5,"(ÁIG)","098141",L2705),Adat!$E:$E)*-1</f>
        <v>0</v>
      </c>
    </row>
    <row r="2783" spans="2:9" x14ac:dyDescent="0.2">
      <c r="B2783" s="160">
        <v>76</v>
      </c>
      <c r="C2783" s="305" t="s">
        <v>1423</v>
      </c>
      <c r="D2783" s="82" t="s">
        <v>1424</v>
      </c>
      <c r="E2783" s="72">
        <f>SUMIF(Adat!$AG:$AG,CONCATENATE(61,Info!$D$5,"098151",L2705),Adat!$E:$E)*-1</f>
        <v>0</v>
      </c>
      <c r="F2783" s="72">
        <f>SUMIF(Adat!$AG:$AG,CONCATENATE(60,Info!$D$5,"098151",L2705),Adat!$E:$E)*-1+E2783</f>
        <v>0</v>
      </c>
      <c r="G2783" s="72">
        <f>SUMIF(Adat!$AH:$AH,CONCATENATE(Info!$D$5,"(KÖT)","098151",L2705),Adat!$E:$E)*-1</f>
        <v>0</v>
      </c>
      <c r="H2783" s="72">
        <f>SUMIF(Adat!$AH:$AH,CONCATENATE(Info!$D$5,"(ÖNV)","098151",L2705),Adat!$E:$E)*-1</f>
        <v>0</v>
      </c>
      <c r="I2783" s="72">
        <f>SUMIF(Adat!$AH:$AH,CONCATENATE(Info!$D$5,"(ÁIG)","098151",L2705),Adat!$E:$E)*-1</f>
        <v>0</v>
      </c>
    </row>
    <row r="2784" spans="2:9" x14ac:dyDescent="0.25">
      <c r="B2784" s="160">
        <v>77</v>
      </c>
      <c r="C2784" s="305" t="s">
        <v>1425</v>
      </c>
      <c r="D2784" s="84" t="s">
        <v>1426</v>
      </c>
      <c r="E2784" s="72">
        <f>SUMIF(Adat!$AG:$AG,CONCATENATE(61,Info!$D$5,"098171",L2705),Adat!$E:$E)*-1</f>
        <v>0</v>
      </c>
      <c r="F2784" s="72">
        <f>SUMIF(Adat!$AG:$AG,CONCATENATE(60,Info!$D$5,"098171",L2705),Adat!$E:$E)*-1+E2784</f>
        <v>0</v>
      </c>
      <c r="G2784" s="72">
        <f>SUMIF(Adat!$AH:$AH,CONCATENATE(Info!$D$5,"(KÖT)","098171",L2705),Adat!$E:$E)*-1</f>
        <v>0</v>
      </c>
      <c r="H2784" s="72">
        <f>SUMIF(Adat!$AH:$AH,CONCATENATE(Info!$D$5,"(ÖNV)","098171",L2705),Adat!$E:$E)*-1</f>
        <v>0</v>
      </c>
      <c r="I2784" s="72">
        <f>SUMIF(Adat!$AH:$AH,CONCATENATE(Info!$D$5,"(ÁIG)","098171",L2705),Adat!$E:$E)*-1</f>
        <v>0</v>
      </c>
    </row>
    <row r="2785" spans="2:12" x14ac:dyDescent="0.25">
      <c r="B2785" s="160">
        <v>78</v>
      </c>
      <c r="C2785" s="154" t="s">
        <v>1427</v>
      </c>
      <c r="D2785" s="85" t="s">
        <v>577</v>
      </c>
      <c r="E2785" s="71">
        <f>SUM(E2786:E2790)</f>
        <v>0</v>
      </c>
      <c r="F2785" s="71">
        <f t="shared" ref="F2785" si="297">SUM(F2786:F2790)</f>
        <v>0</v>
      </c>
      <c r="G2785" s="71">
        <f>SUM(G2786:G2790)</f>
        <v>0</v>
      </c>
      <c r="H2785" s="71">
        <f>SUM(H2786:H2790)</f>
        <v>0</v>
      </c>
      <c r="I2785" s="71">
        <f>SUM(I2786:I2790)</f>
        <v>0</v>
      </c>
    </row>
    <row r="2786" spans="2:12" x14ac:dyDescent="0.2">
      <c r="B2786" s="160">
        <v>79</v>
      </c>
      <c r="C2786" s="89" t="s">
        <v>1428</v>
      </c>
      <c r="D2786" s="82" t="s">
        <v>1429</v>
      </c>
      <c r="E2786" s="72">
        <f>SUMIF(Adat!$AG:$AG,CONCATENATE(61,Info!$D$5,"098211",L2705),Adat!$E:$E)*-1</f>
        <v>0</v>
      </c>
      <c r="F2786" s="72">
        <f>SUMIF(Adat!$AG:$AG,CONCATENATE(60,Info!$D$5,"098211",L2705),Adat!$E:$E)*-1+E2786</f>
        <v>0</v>
      </c>
      <c r="G2786" s="72">
        <f>SUMIF(Adat!$AH:$AH,CONCATENATE(Info!$D$5,"(KÖT)","098211",L2705),Adat!$E:$E)*-1</f>
        <v>0</v>
      </c>
      <c r="H2786" s="72">
        <f>SUMIF(Adat!$AH:$AH,CONCATENATE(Info!$D$5,"(ÖNV)","098211",L2705),Adat!$E:$E)*-1</f>
        <v>0</v>
      </c>
      <c r="I2786" s="72">
        <f>SUMIF(Adat!$AH:$AH,CONCATENATE(Info!$D$5,"(ÁIG)","098211",L2705),Adat!$E:$E)*-1</f>
        <v>0</v>
      </c>
    </row>
    <row r="2787" spans="2:12" x14ac:dyDescent="0.2">
      <c r="B2787" s="160">
        <v>80</v>
      </c>
      <c r="C2787" s="89" t="s">
        <v>1430</v>
      </c>
      <c r="D2787" s="82" t="s">
        <v>1431</v>
      </c>
      <c r="E2787" s="72">
        <f>SUMIF(Adat!$AG:$AG,CONCATENATE(61,Info!$D$5,"098221",L2705),Adat!$E:$E)*-1</f>
        <v>0</v>
      </c>
      <c r="F2787" s="72">
        <f>SUMIF(Adat!$AG:$AG,CONCATENATE(60,Info!$D$5,"098221",L2705),Adat!$E:$E)*-1+E2787</f>
        <v>0</v>
      </c>
      <c r="G2787" s="72">
        <f>SUMIF(Adat!$AH:$AH,CONCATENATE(Info!$D$5,"(KÖT)","098221",L2705),Adat!$E:$E)*-1</f>
        <v>0</v>
      </c>
      <c r="H2787" s="72">
        <f>SUMIF(Adat!$AH:$AH,CONCATENATE(Info!$D$5,"(ÖNV)","098221",L2705),Adat!$E:$E)*-1</f>
        <v>0</v>
      </c>
      <c r="I2787" s="72">
        <f>SUMIF(Adat!$AH:$AH,CONCATENATE(Info!$D$5,"(ÁIG)","098221",L2705),Adat!$E:$E)*-1</f>
        <v>0</v>
      </c>
    </row>
    <row r="2788" spans="2:12" x14ac:dyDescent="0.2">
      <c r="B2788" s="160">
        <v>81</v>
      </c>
      <c r="C2788" s="89" t="s">
        <v>1432</v>
      </c>
      <c r="D2788" s="82" t="s">
        <v>1433</v>
      </c>
      <c r="E2788" s="72">
        <f>SUMIF(Adat!$AG:$AG,CONCATENATE(61,Info!$D$5,"098231",L2705),Adat!$E:$E)*-1</f>
        <v>0</v>
      </c>
      <c r="F2788" s="72">
        <f>SUMIF(Adat!$AG:$AG,CONCATENATE(60,Info!$D$5,"098231",L2705),Adat!$E:$E)*-1+E2788</f>
        <v>0</v>
      </c>
      <c r="G2788" s="72">
        <f>SUMIF(Adat!$AH:$AH,CONCATENATE(Info!$D$5,"(KÖT)","098231",L2705),Adat!$E:$E)*-1</f>
        <v>0</v>
      </c>
      <c r="H2788" s="72">
        <f>SUMIF(Adat!$AH:$AH,CONCATENATE(Info!$D$5,"(ÖNV)","098231",L2705),Adat!$E:$E)*-1</f>
        <v>0</v>
      </c>
      <c r="I2788" s="72">
        <f>SUMIF(Adat!$AH:$AH,CONCATENATE(Info!$D$5,"(ÁIG)","098231",L2705),Adat!$E:$E)*-1</f>
        <v>0</v>
      </c>
    </row>
    <row r="2789" spans="2:12" x14ac:dyDescent="0.2">
      <c r="B2789" s="160">
        <v>82</v>
      </c>
      <c r="C2789" s="89" t="s">
        <v>1434</v>
      </c>
      <c r="D2789" s="82" t="s">
        <v>1435</v>
      </c>
      <c r="E2789" s="72">
        <f>SUMIF(Adat!$AG:$AG,CONCATENATE(61,Info!$D$5,"098241",L2705),Adat!$E:$E)*-1</f>
        <v>0</v>
      </c>
      <c r="F2789" s="72">
        <f>SUMIF(Adat!$AG:$AG,CONCATENATE(60,Info!$D$5,"098241",L2705),Adat!$E:$E)*-1+E2789</f>
        <v>0</v>
      </c>
      <c r="G2789" s="72">
        <f>SUMIF(Adat!$AH:$AH,CONCATENATE(Info!$D$5,"(KÖT)","098241",L2705),Adat!$E:$E)*-1</f>
        <v>0</v>
      </c>
      <c r="H2789" s="72">
        <f>SUMIF(Adat!$AH:$AH,CONCATENATE(Info!$D$5,"(ÖNV)","098241",L2705),Adat!$E:$E)*-1</f>
        <v>0</v>
      </c>
      <c r="I2789" s="72">
        <f>SUMIF(Adat!$AH:$AH,CONCATENATE(Info!$D$5,"(ÁIG)","098241",L2705),Adat!$E:$E)*-1</f>
        <v>0</v>
      </c>
    </row>
    <row r="2790" spans="2:12" s="42" customFormat="1" x14ac:dyDescent="0.2">
      <c r="B2790" s="160">
        <v>83</v>
      </c>
      <c r="C2790" s="89" t="s">
        <v>1436</v>
      </c>
      <c r="D2790" s="84" t="s">
        <v>1437</v>
      </c>
      <c r="E2790" s="72">
        <f>SUMIF(Adat!$AG:$AG,CONCATENATE(61,Info!$D$5,"098251",L2705),Adat!$E:$E)*-1</f>
        <v>0</v>
      </c>
      <c r="F2790" s="72">
        <f>SUMIF(Adat!$AG:$AG,CONCATENATE(60,Info!$D$5,"098251",L2705),Adat!$E:$E)*-1+E2790</f>
        <v>0</v>
      </c>
      <c r="G2790" s="72">
        <f>SUMIF(Adat!$AH:$AH,CONCATENATE(Info!$D$5,"(KÖT)","098251",L2705),Adat!$E:$E)*-1</f>
        <v>0</v>
      </c>
      <c r="H2790" s="72">
        <f>SUMIF(Adat!$AH:$AH,CONCATENATE(Info!$D$5,"(ÖNV)","098251",L2705),Adat!$E:$E)*-1</f>
        <v>0</v>
      </c>
      <c r="I2790" s="72">
        <f>SUMIF(Adat!$AH:$AH,CONCATENATE(Info!$D$5,"(ÁIG)","098251",L2705),Adat!$E:$E)*-1</f>
        <v>0</v>
      </c>
    </row>
    <row r="2791" spans="2:12" s="42" customFormat="1" x14ac:dyDescent="0.2">
      <c r="B2791" s="160">
        <v>84</v>
      </c>
      <c r="C2791" s="309" t="s">
        <v>1438</v>
      </c>
      <c r="D2791" s="85" t="s">
        <v>1439</v>
      </c>
      <c r="E2791" s="71">
        <f>SUMIF(Adat!$AG:$AG,CONCATENATE(61,Info!$D$5,"09831",L2705),Adat!$E:$E)*-1</f>
        <v>0</v>
      </c>
      <c r="F2791" s="71">
        <f>SUMIF(Adat!$AG:$AG,CONCATENATE(60,Info!$D$5,"09831",L2705),Adat!$E:$E)*-1+E2791</f>
        <v>0</v>
      </c>
      <c r="G2791" s="71">
        <f>SUMIF(Adat!$AH:$AH,CONCATENATE(Info!$D$5,"(KÖT)","09831",L2705),Adat!$E:$E)*-1</f>
        <v>0</v>
      </c>
      <c r="H2791" s="71">
        <f>SUMIF(Adat!$AH:$AH,CONCATENATE(Info!$D$5,"(ÖNV)","09831",L2705),Adat!$E:$E)*-1</f>
        <v>0</v>
      </c>
      <c r="I2791" s="71">
        <f>SUMIF(Adat!$AH:$AH,CONCATENATE(Info!$D$5,"(ÁIG)","09831",L2705),Adat!$E:$E)*-1</f>
        <v>0</v>
      </c>
    </row>
    <row r="2792" spans="2:12" s="42" customFormat="1" x14ac:dyDescent="0.25">
      <c r="B2792" s="160">
        <v>85</v>
      </c>
      <c r="C2792" s="154" t="s">
        <v>1440</v>
      </c>
      <c r="D2792" s="85" t="s">
        <v>1441</v>
      </c>
      <c r="E2792" s="71">
        <f>SUMIF(Adat!$AG:$AG,CONCATENATE(61,Info!$D$5,"09841",L2705),Adat!$E:$E)*-1</f>
        <v>0</v>
      </c>
      <c r="F2792" s="71">
        <f>SUMIF(Adat!$AG:$AG,CONCATENATE(60,Info!$D$5,"09841",L2705),Adat!$E:$E)*-1+E2792</f>
        <v>0</v>
      </c>
      <c r="G2792" s="71">
        <f>SUMIF(Adat!$AH:$AH,CONCATENATE(Info!$D$5,"(KÖT)","09841",L2705),Adat!$E:$E)*-1</f>
        <v>0</v>
      </c>
      <c r="H2792" s="71">
        <f>SUMIF(Adat!$AH:$AH,CONCATENATE(Info!$D$5,"(ÖNV)","09841",L2705),Adat!$E:$E)*-1</f>
        <v>0</v>
      </c>
      <c r="I2792" s="71">
        <f>SUMIF(Adat!$AH:$AH,CONCATENATE(Info!$D$5,"(ÁIG)","09841",L2705),Adat!$E:$E)*-1</f>
        <v>0</v>
      </c>
    </row>
    <row r="2793" spans="2:12" s="42" customFormat="1" x14ac:dyDescent="0.25">
      <c r="B2793" s="160">
        <v>86</v>
      </c>
      <c r="C2793" s="154" t="s">
        <v>358</v>
      </c>
      <c r="D2793" s="87" t="s">
        <v>1442</v>
      </c>
      <c r="E2793" s="71">
        <f>+E2769+E2773+E2778+E2781+E2785+E2792+E2791</f>
        <v>0</v>
      </c>
      <c r="F2793" s="71">
        <f t="shared" ref="F2793" si="298">+F2769+F2773+F2778+F2781+F2785+F2792+F2791</f>
        <v>0</v>
      </c>
      <c r="G2793" s="71">
        <f>+G2769+G2773+G2778+G2781+G2785+G2792+G2791</f>
        <v>0</v>
      </c>
      <c r="H2793" s="71">
        <f>+H2769+H2773+H2778+H2781+H2785+H2792+H2791</f>
        <v>0</v>
      </c>
      <c r="I2793" s="71">
        <f>+I2769+I2773+I2778+I2781+I2785+I2792+I2791</f>
        <v>0</v>
      </c>
    </row>
    <row r="2794" spans="2:12" s="42" customFormat="1" x14ac:dyDescent="0.25">
      <c r="B2794" s="160">
        <v>87</v>
      </c>
      <c r="C2794" s="154" t="s">
        <v>364</v>
      </c>
      <c r="D2794" s="87" t="s">
        <v>1497</v>
      </c>
      <c r="E2794" s="71">
        <f>+E2768+E2793</f>
        <v>0</v>
      </c>
      <c r="F2794" s="71">
        <f t="shared" ref="F2794" si="299">+F2768+F2793</f>
        <v>0</v>
      </c>
      <c r="G2794" s="71">
        <f>+G2768+G2793</f>
        <v>0</v>
      </c>
      <c r="H2794" s="71">
        <f>+H2768+H2793</f>
        <v>0</v>
      </c>
      <c r="I2794" s="71">
        <f>+I2768+I2793</f>
        <v>0</v>
      </c>
    </row>
    <row r="2795" spans="2:12" s="38" customFormat="1" ht="15.75" x14ac:dyDescent="0.25">
      <c r="C2795" s="156"/>
      <c r="E2795" s="140"/>
      <c r="F2795" s="140"/>
      <c r="G2795" s="140"/>
      <c r="H2795" s="140"/>
      <c r="I2795" s="140"/>
    </row>
    <row r="2796" spans="2:12" s="10" customFormat="1" ht="15.75" customHeight="1" x14ac:dyDescent="0.25">
      <c r="B2796" s="201" t="str">
        <f>CONCATENATE("40. Kiadási jogcímek"," - ",L2796," részletező")</f>
        <v>40. Kiadási jogcímek -  részletező</v>
      </c>
      <c r="C2796" s="101"/>
      <c r="D2796" s="101"/>
      <c r="E2796" s="101"/>
      <c r="F2796" s="101"/>
      <c r="G2796" s="198"/>
      <c r="H2796" s="198"/>
      <c r="I2796" s="198"/>
      <c r="L2796" s="384"/>
    </row>
    <row r="2797" spans="2:12" s="38" customFormat="1" ht="15.75" x14ac:dyDescent="0.25">
      <c r="C2797" s="156"/>
      <c r="E2797" s="140"/>
      <c r="F2797" s="140"/>
      <c r="G2797" s="140"/>
      <c r="H2797" s="140"/>
      <c r="I2797" s="140"/>
    </row>
    <row r="2798" spans="2:12" s="40" customFormat="1" x14ac:dyDescent="0.25">
      <c r="B2798" s="77"/>
      <c r="C2798" s="77" t="s">
        <v>350</v>
      </c>
      <c r="D2798" s="77" t="s">
        <v>351</v>
      </c>
      <c r="E2798" s="77" t="s">
        <v>470</v>
      </c>
      <c r="F2798" s="77" t="s">
        <v>471</v>
      </c>
      <c r="G2798" s="77" t="s">
        <v>44</v>
      </c>
      <c r="H2798" s="77" t="s">
        <v>42</v>
      </c>
      <c r="I2798" s="77" t="s">
        <v>511</v>
      </c>
    </row>
    <row r="2799" spans="2:12" s="41" customFormat="1" ht="38.25" x14ac:dyDescent="0.25">
      <c r="B2799" s="160">
        <v>1</v>
      </c>
      <c r="C2799" s="154" t="s">
        <v>593</v>
      </c>
      <c r="D2799" s="154" t="s">
        <v>488</v>
      </c>
      <c r="E2799" s="163" t="str">
        <f>CONCATENATE(PAR!$H$3," évi
eredeti 
előirányzat")</f>
        <v>2025. évi
eredeti 
előirányzat</v>
      </c>
      <c r="F2799" s="163" t="str">
        <f>CONCATENATE(PAR!$H$3," évi
módosított 
előirányzat")</f>
        <v>2025. évi
módosított 
előirányzat</v>
      </c>
      <c r="G2799" s="69" t="s">
        <v>666</v>
      </c>
      <c r="H2799" s="69" t="s">
        <v>667</v>
      </c>
      <c r="I2799" s="69" t="s">
        <v>668</v>
      </c>
    </row>
    <row r="2800" spans="2:12" s="42" customFormat="1" x14ac:dyDescent="0.25">
      <c r="B2800" s="160">
        <v>2</v>
      </c>
      <c r="C2800" s="78" t="s">
        <v>352</v>
      </c>
      <c r="D2800" s="92" t="s">
        <v>2663</v>
      </c>
      <c r="E2800" s="71">
        <f>SUM(E2801:E2806)</f>
        <v>0</v>
      </c>
      <c r="F2800" s="71">
        <f>SUM(F2801:F2806)</f>
        <v>0</v>
      </c>
      <c r="G2800" s="71">
        <f>SUM(G2801:G2806)</f>
        <v>0</v>
      </c>
      <c r="H2800" s="71">
        <f>+H2801+H2802+H2803+H2804+H2805+H2806</f>
        <v>0</v>
      </c>
      <c r="I2800" s="71">
        <f>+I2801+I2802+I2803+I2804+I2805+I2806</f>
        <v>0</v>
      </c>
    </row>
    <row r="2801" spans="2:9" x14ac:dyDescent="0.25">
      <c r="B2801" s="160">
        <v>3</v>
      </c>
      <c r="C2801" s="305" t="s">
        <v>315</v>
      </c>
      <c r="D2801" s="161" t="s">
        <v>342</v>
      </c>
      <c r="E2801" s="72">
        <f>SUMIF(Adat!$AI:$AI,CONCATENATE(61,Info!$D$5,"051",L2796),Adat!$E:$E)</f>
        <v>0</v>
      </c>
      <c r="F2801" s="72">
        <f>SUMIF(Adat!$AI:$AI,CONCATENATE(60,Info!$D$5,"051",L2796),Adat!$E:$E)+E2801</f>
        <v>0</v>
      </c>
      <c r="G2801" s="72">
        <f>SUMIF(Adat!$AJ:$AJ,CONCATENATE(Info!$D$5,"051","(KÖT)",L2796),Adat!$E:$E)</f>
        <v>0</v>
      </c>
      <c r="H2801" s="72">
        <f>SUMIF(Adat!$AJ:$AJ,CONCATENATE(Info!$D$5,"051","(ÖNV)",L2796),Adat!$E:$E)</f>
        <v>0</v>
      </c>
      <c r="I2801" s="72">
        <f>SUMIF(Adat!$AJ:$AJ,CONCATENATE(Info!$D$5,"051","(ÁIG)",L2796),Adat!$E:$E)</f>
        <v>0</v>
      </c>
    </row>
    <row r="2802" spans="2:9" x14ac:dyDescent="0.25">
      <c r="B2802" s="160">
        <v>4</v>
      </c>
      <c r="C2802" s="305" t="s">
        <v>317</v>
      </c>
      <c r="D2802" s="161" t="s">
        <v>395</v>
      </c>
      <c r="E2802" s="72">
        <f>SUMIF(Adat!$AI:$AI,CONCATENATE(61,Info!$D$5,"052",L2796),Adat!$E:$E)</f>
        <v>0</v>
      </c>
      <c r="F2802" s="72">
        <f>SUMIF(Adat!$AI:$AI,CONCATENATE(60,Info!$D$5,"052",L2796),Adat!$E:$E)+E2802</f>
        <v>0</v>
      </c>
      <c r="G2802" s="72">
        <f>SUMIF(Adat!$AJ:$AJ,CONCATENATE(Info!$D$5,"052","(KÖT)",L2796),Adat!$E:$E)</f>
        <v>0</v>
      </c>
      <c r="H2802" s="72">
        <f>SUMIF(Adat!$AJ:$AJ,CONCATENATE(Info!$D$5,"052","(ÖNV)",L2796),Adat!$E:$E)</f>
        <v>0</v>
      </c>
      <c r="I2802" s="72">
        <f>SUMIF(Adat!$AJ:$AJ,CONCATENATE(Info!$D$5,"052","(ÁIG)",L2796),Adat!$E:$E)</f>
        <v>0</v>
      </c>
    </row>
    <row r="2803" spans="2:9" x14ac:dyDescent="0.25">
      <c r="B2803" s="160">
        <v>5</v>
      </c>
      <c r="C2803" s="305" t="s">
        <v>4</v>
      </c>
      <c r="D2803" s="161" t="s">
        <v>344</v>
      </c>
      <c r="E2803" s="72">
        <f>SUMIF(Adat!$AI:$AI,CONCATENATE(61,Info!$D$5,"053",L2796),Adat!$E:$E)</f>
        <v>0</v>
      </c>
      <c r="F2803" s="72">
        <f>SUMIF(Adat!$AI:$AI,CONCATENATE(60,Info!$D$5,"053",L2796),Adat!$E:$E)+E2803</f>
        <v>0</v>
      </c>
      <c r="G2803" s="72">
        <f>SUMIF(Adat!$AJ:$AJ,CONCATENATE(Info!$D$5,"053","(KÖT)",L2796),Adat!$E:$E)</f>
        <v>0</v>
      </c>
      <c r="H2803" s="72">
        <f>SUMIF(Adat!$AJ:$AJ,CONCATENATE(Info!$D$5,"053","(ÖNV)",L2796),Adat!$E:$E)</f>
        <v>0</v>
      </c>
      <c r="I2803" s="72">
        <f>SUMIF(Adat!$AJ:$AJ,CONCATENATE(Info!$D$5,"053","(ÁIG)",L2796),Adat!$E:$E)</f>
        <v>0</v>
      </c>
    </row>
    <row r="2804" spans="2:9" x14ac:dyDescent="0.25">
      <c r="B2804" s="160">
        <v>6</v>
      </c>
      <c r="C2804" s="305" t="s">
        <v>6</v>
      </c>
      <c r="D2804" s="161" t="s">
        <v>345</v>
      </c>
      <c r="E2804" s="72">
        <f>SUMIF(Adat!$AI:$AI,CONCATENATE(61,Info!$D$5,"054",L2796),Adat!$E:$E)</f>
        <v>0</v>
      </c>
      <c r="F2804" s="72">
        <f>SUMIF(Adat!$AI:$AI,CONCATENATE(60,Info!$D$5,"054",L2796),Adat!$E:$E)+E2804</f>
        <v>0</v>
      </c>
      <c r="G2804" s="72">
        <f>SUMIF(Adat!$AJ:$AJ,CONCATENATE(Info!$D$5,"054","(KÖT)",L2796),Adat!$E:$E)</f>
        <v>0</v>
      </c>
      <c r="H2804" s="72">
        <f>SUMIF(Adat!$AJ:$AJ,CONCATENATE(Info!$D$5,"054","(ÖNV)",L2796),Adat!$E:$E)</f>
        <v>0</v>
      </c>
      <c r="I2804" s="72">
        <f>SUMIF(Adat!$AJ:$AJ,CONCATENATE(Info!$D$5,"054","(ÁIG)",L2796),Adat!$E:$E)</f>
        <v>0</v>
      </c>
    </row>
    <row r="2805" spans="2:9" x14ac:dyDescent="0.25">
      <c r="B2805" s="160">
        <v>7</v>
      </c>
      <c r="C2805" s="305" t="s">
        <v>8</v>
      </c>
      <c r="D2805" s="161" t="s">
        <v>321</v>
      </c>
      <c r="E2805" s="72">
        <f>SUMIF(Adat!$AI:$AI,CONCATENATE(61,Info!$D$5,"055",L2796),Adat!$E:$E)-E2806</f>
        <v>0</v>
      </c>
      <c r="F2805" s="72">
        <f>SUMIF(Adat!$AI:$AI,CONCATENATE(60,Info!$D$5,"055",L2796),Adat!$E:$E)+E2805-F2806+E2806</f>
        <v>0</v>
      </c>
      <c r="G2805" s="72">
        <f>SUMIF(Adat!$AJ:$AJ,CONCATENATE(Info!$D$5,"055","(KÖT)",L2796),Adat!$E:$E)-G2806</f>
        <v>0</v>
      </c>
      <c r="H2805" s="72">
        <f>SUMIF(Adat!$AJ:$AJ,CONCATENATE(Info!$D$5,"055","(ÖNV)",L2796),Adat!$E:$E)-H2806</f>
        <v>0</v>
      </c>
      <c r="I2805" s="72">
        <f>SUMIF(Adat!$AJ:$AJ,CONCATENATE(Info!$D$5,"055","(ÁIG)",L2796),Adat!$E:$E)-I2806</f>
        <v>0</v>
      </c>
    </row>
    <row r="2806" spans="2:9" x14ac:dyDescent="0.25">
      <c r="B2806" s="160">
        <v>8</v>
      </c>
      <c r="C2806" s="305" t="s">
        <v>1283</v>
      </c>
      <c r="D2806" s="161" t="s">
        <v>397</v>
      </c>
      <c r="E2806" s="72">
        <f>SUMIF(Adat!$AG:$AG,CONCATENATE(61,Info!$D$5,"055131",L2796),Adat!$E:$E)</f>
        <v>0</v>
      </c>
      <c r="F2806" s="72">
        <f>SUMIF(Adat!$AG:$AG,CONCATENATE(60,Info!$D$5,"055131",L2796),Adat!$E:$E)+E2806</f>
        <v>0</v>
      </c>
      <c r="G2806" s="72">
        <f>SUMIF(Adat!$AH:$AH,CONCATENATE(Info!$D$5,"(KÖT)","055131",L2796),Adat!$E:$E)</f>
        <v>0</v>
      </c>
      <c r="H2806" s="72">
        <f>SUMIF(Adat!$AH:$AH,CONCATENATE(Info!$D$5,"(ÖNV)","055131",L2796),Adat!$E:$E)*-1</f>
        <v>0</v>
      </c>
      <c r="I2806" s="72">
        <f>SUMIF(Adat!$AH:$AH,CONCATENATE(Info!$D$5,"(ÁIG)","055131",L2796),Adat!$E:$E)*-1</f>
        <v>0</v>
      </c>
    </row>
    <row r="2807" spans="2:9" x14ac:dyDescent="0.25">
      <c r="B2807" s="160">
        <v>9</v>
      </c>
      <c r="C2807" s="305" t="s">
        <v>1283</v>
      </c>
      <c r="D2807" s="93" t="s">
        <v>1445</v>
      </c>
      <c r="E2807" s="72">
        <v>0</v>
      </c>
      <c r="F2807" s="72">
        <f>SUM(G2807:I2807)</f>
        <v>0</v>
      </c>
      <c r="G2807" s="72">
        <v>0</v>
      </c>
      <c r="H2807" s="72">
        <v>0</v>
      </c>
      <c r="I2807" s="72">
        <v>0</v>
      </c>
    </row>
    <row r="2808" spans="2:9" x14ac:dyDescent="0.25">
      <c r="B2808" s="160">
        <v>10</v>
      </c>
      <c r="C2808" s="305" t="s">
        <v>1283</v>
      </c>
      <c r="D2808" s="93" t="s">
        <v>1446</v>
      </c>
      <c r="E2808" s="72">
        <v>0</v>
      </c>
      <c r="F2808" s="72">
        <f>SUM(G2808:I2808)</f>
        <v>0</v>
      </c>
      <c r="G2808" s="72">
        <v>0</v>
      </c>
      <c r="H2808" s="72">
        <v>0</v>
      </c>
      <c r="I2808" s="72">
        <v>0</v>
      </c>
    </row>
    <row r="2809" spans="2:9" x14ac:dyDescent="0.25">
      <c r="B2809" s="160">
        <v>11</v>
      </c>
      <c r="C2809" s="78" t="s">
        <v>358</v>
      </c>
      <c r="D2809" s="92" t="s">
        <v>2664</v>
      </c>
      <c r="E2809" s="71">
        <f>+E2810+E2812+E2814</f>
        <v>0</v>
      </c>
      <c r="F2809" s="71">
        <f>+F2810+F2812+F2814</f>
        <v>0</v>
      </c>
      <c r="G2809" s="71">
        <f>+G2810+G2812+G2814</f>
        <v>0</v>
      </c>
      <c r="H2809" s="71">
        <f>+H2810+H2812+H2814</f>
        <v>0</v>
      </c>
      <c r="I2809" s="71">
        <f>+I2810+I2812+I2814</f>
        <v>0</v>
      </c>
    </row>
    <row r="2810" spans="2:9" x14ac:dyDescent="0.25">
      <c r="B2810" s="160">
        <v>12</v>
      </c>
      <c r="C2810" s="305" t="s">
        <v>10</v>
      </c>
      <c r="D2810" s="317" t="s">
        <v>322</v>
      </c>
      <c r="E2810" s="72">
        <f>SUMIF(Adat!$AI:$AI,CONCATENATE(61,Info!$D$5,"056",L2796),Adat!$E:$E)</f>
        <v>0</v>
      </c>
      <c r="F2810" s="72">
        <f>SUMIF(Adat!$AI:$AI,CONCATENATE(60,Info!$D$5,"056",L2796),Adat!$E:$E)+E2810</f>
        <v>0</v>
      </c>
      <c r="G2810" s="72">
        <f>SUMIF(Adat!$AJ:$AJ,CONCATENATE(Info!$D$5,"056","(KÖT)",L2796),Adat!$E:$E)</f>
        <v>0</v>
      </c>
      <c r="H2810" s="72">
        <f>SUMIF(Adat!$AJ:$AJ,CONCATENATE(Info!$D$5,"056","(ÖNV)",L2796),Adat!$E:$E)</f>
        <v>0</v>
      </c>
      <c r="I2810" s="72">
        <f>SUMIF(Adat!$AJ:$AJ,CONCATENATE(Info!$D$5,"056","(ÁIG)",L2796),Adat!$E:$E)</f>
        <v>0</v>
      </c>
    </row>
    <row r="2811" spans="2:9" x14ac:dyDescent="0.25">
      <c r="B2811" s="160">
        <v>13</v>
      </c>
      <c r="C2811" s="305" t="s">
        <v>10</v>
      </c>
      <c r="D2811" s="317" t="s">
        <v>1448</v>
      </c>
      <c r="E2811" s="72">
        <v>0</v>
      </c>
      <c r="F2811" s="72">
        <f>SUM(G2811:I2811)</f>
        <v>0</v>
      </c>
      <c r="G2811" s="72">
        <v>0</v>
      </c>
      <c r="H2811" s="72">
        <v>0</v>
      </c>
      <c r="I2811" s="72">
        <v>0</v>
      </c>
    </row>
    <row r="2812" spans="2:9" x14ac:dyDescent="0.25">
      <c r="B2812" s="160">
        <v>14</v>
      </c>
      <c r="C2812" s="305" t="s">
        <v>12</v>
      </c>
      <c r="D2812" s="317" t="s">
        <v>323</v>
      </c>
      <c r="E2812" s="72">
        <f>SUMIF(Adat!$AI:$AI,CONCATENATE(61,Info!$D$5,"057",L2796),Adat!$E:$E)</f>
        <v>0</v>
      </c>
      <c r="F2812" s="72">
        <f>SUMIF(Adat!$AI:$AI,CONCATENATE(60,Info!$D$5,"057",L2796),Adat!$E:$E)+E2812</f>
        <v>0</v>
      </c>
      <c r="G2812" s="72">
        <f>SUMIF(Adat!$AJ:$AJ,CONCATENATE(Info!$D$5,"057","(KÖT)",L2796),Adat!$E:$E)</f>
        <v>0</v>
      </c>
      <c r="H2812" s="72">
        <f>SUMIF(Adat!$AJ:$AJ,CONCATENATE(Info!$D$5,"057","(ÖNV)",L2796),Adat!$E:$E)</f>
        <v>0</v>
      </c>
      <c r="I2812" s="72">
        <f>SUMIF(Adat!$AJ:$AJ,CONCATENATE(Info!$D$5,"057","(ÁIG)",L2796),Adat!$E:$E)</f>
        <v>0</v>
      </c>
    </row>
    <row r="2813" spans="2:9" x14ac:dyDescent="0.25">
      <c r="B2813" s="160">
        <v>15</v>
      </c>
      <c r="C2813" s="305" t="s">
        <v>12</v>
      </c>
      <c r="D2813" s="317" t="s">
        <v>1449</v>
      </c>
      <c r="E2813" s="72">
        <v>0</v>
      </c>
      <c r="F2813" s="72">
        <f>SUM(G2813:I2813)</f>
        <v>0</v>
      </c>
      <c r="G2813" s="72">
        <v>0</v>
      </c>
      <c r="H2813" s="72">
        <v>0</v>
      </c>
      <c r="I2813" s="72">
        <v>0</v>
      </c>
    </row>
    <row r="2814" spans="2:9" x14ac:dyDescent="0.25">
      <c r="B2814" s="160">
        <v>16</v>
      </c>
      <c r="C2814" s="305" t="s">
        <v>15</v>
      </c>
      <c r="D2814" s="317" t="s">
        <v>324</v>
      </c>
      <c r="E2814" s="72">
        <f>SUMIF(Adat!$AI:$AI,CONCATENATE(61,Info!$D$5,"058",L2796),Adat!$E:$E)</f>
        <v>0</v>
      </c>
      <c r="F2814" s="72">
        <f>SUMIF(Adat!$AI:$AI,CONCATENATE(60,Info!$D$5,"058",L2796),Adat!$E:$E)+E2814</f>
        <v>0</v>
      </c>
      <c r="G2814" s="72">
        <f>SUMIF(Adat!$AJ:$AJ,CONCATENATE(Info!$D$5,"058","(KÖT)",L2796),Adat!$E:$E)</f>
        <v>0</v>
      </c>
      <c r="H2814" s="72">
        <f>SUMIF(Adat!$AJ:$AJ,CONCATENATE(Info!$D$5,"058","(ÖNV)",L2796),Adat!$E:$E)</f>
        <v>0</v>
      </c>
      <c r="I2814" s="72">
        <f>SUMIF(Adat!$AJ:$AJ,CONCATENATE(Info!$D$5,"058","(ÁIG)",L2796),Adat!$E:$E)</f>
        <v>0</v>
      </c>
    </row>
    <row r="2815" spans="2:9" x14ac:dyDescent="0.25">
      <c r="B2815" s="160">
        <v>17</v>
      </c>
      <c r="C2815" s="78" t="s">
        <v>364</v>
      </c>
      <c r="D2815" s="86" t="s">
        <v>402</v>
      </c>
      <c r="E2815" s="71">
        <f>+E2800+E2809</f>
        <v>0</v>
      </c>
      <c r="F2815" s="71">
        <f>+F2800+F2809</f>
        <v>0</v>
      </c>
      <c r="G2815" s="71">
        <f>+G2800+G2809</f>
        <v>0</v>
      </c>
      <c r="H2815" s="71">
        <f>+H2800+H2809</f>
        <v>0</v>
      </c>
      <c r="I2815" s="71">
        <f>+I2800+I2809</f>
        <v>0</v>
      </c>
    </row>
    <row r="2816" spans="2:9" x14ac:dyDescent="0.25">
      <c r="B2816" s="160">
        <v>18</v>
      </c>
      <c r="C2816" s="78" t="s">
        <v>403</v>
      </c>
      <c r="D2816" s="86" t="s">
        <v>1450</v>
      </c>
      <c r="E2816" s="71">
        <f>+E2817+E2818+E2819</f>
        <v>0</v>
      </c>
      <c r="F2816" s="71">
        <f>+F2817+F2818+F2819</f>
        <v>0</v>
      </c>
      <c r="G2816" s="71">
        <f>+G2817+G2818+G2819</f>
        <v>0</v>
      </c>
      <c r="H2816" s="71">
        <f>+H2817+H2818+H2819</f>
        <v>0</v>
      </c>
      <c r="I2816" s="71">
        <f>+I2817+I2818+I2819</f>
        <v>0</v>
      </c>
    </row>
    <row r="2817" spans="2:18" s="42" customFormat="1" x14ac:dyDescent="0.25">
      <c r="B2817" s="160">
        <v>19</v>
      </c>
      <c r="C2817" s="305" t="s">
        <v>1451</v>
      </c>
      <c r="D2817" s="161" t="s">
        <v>490</v>
      </c>
      <c r="E2817" s="72">
        <f>SUMIF(Adat!$AG:$AG,CONCATENATE(61,Info!$D$5,"0591111",L2796),Adat!$E:$E)</f>
        <v>0</v>
      </c>
      <c r="F2817" s="72">
        <f>SUMIF(Adat!$AG:$AG,CONCATENATE(60,Info!$D$5,"0591111",L2796),Adat!$E:$E)+E2817</f>
        <v>0</v>
      </c>
      <c r="G2817" s="72">
        <f>SUMIF(Adat!$AH:$AH,CONCATENATE(Info!$D$5,"(KÖT)","0591111",L2796),Adat!$E:$E)</f>
        <v>0</v>
      </c>
      <c r="H2817" s="72">
        <f>SUMIF(Adat!$AH:$AH,CONCATENATE(Info!$D$5,"(ÖNV)","0591111",L2796),Adat!$E:$E)</f>
        <v>0</v>
      </c>
      <c r="I2817" s="72">
        <f>SUMIF(Adat!$AH:$AH,CONCATENATE(Info!$D$5,"(ÁIG)","0591111",L2796),Adat!$E:$E)</f>
        <v>0</v>
      </c>
    </row>
    <row r="2818" spans="2:18" x14ac:dyDescent="0.25">
      <c r="B2818" s="160">
        <v>20</v>
      </c>
      <c r="C2818" s="305" t="s">
        <v>1453</v>
      </c>
      <c r="D2818" s="161" t="s">
        <v>406</v>
      </c>
      <c r="E2818" s="72">
        <f>SUMIF(Adat!$AG:$AG,CONCATENATE(61,Info!$D$5,"0591121",L2796),Adat!$E:$E)</f>
        <v>0</v>
      </c>
      <c r="F2818" s="72">
        <f>SUMIF(Adat!$AG:$AG,CONCATENATE(60,Info!$D$5,"0591121",L2796),Adat!$E:$E)+E2818</f>
        <v>0</v>
      </c>
      <c r="G2818" s="72">
        <f>SUMIF(Adat!$AH:$AH,CONCATENATE(Info!$D$5,"(KÖT)","0591121",L2796),Adat!$E:$E)</f>
        <v>0</v>
      </c>
      <c r="H2818" s="72">
        <f>SUMIF(Adat!$AH:$AH,CONCATENATE(Info!$D$5,"(ÖNV)","0591121",L2796),Adat!$E:$E)</f>
        <v>0</v>
      </c>
      <c r="I2818" s="72">
        <f>SUMIF(Adat!$AH:$AH,CONCATENATE(Info!$D$5,"(ÁIG)","0591121",L2796),Adat!$E:$E)</f>
        <v>0</v>
      </c>
    </row>
    <row r="2819" spans="2:18" x14ac:dyDescent="0.25">
      <c r="B2819" s="160">
        <v>21</v>
      </c>
      <c r="C2819" s="305" t="s">
        <v>1455</v>
      </c>
      <c r="D2819" s="161" t="s">
        <v>491</v>
      </c>
      <c r="E2819" s="72">
        <f>SUMIF(Adat!$AG:$AG,CONCATENATE(61,Info!$D$5,"0591131",L2796),Adat!$E:$E)</f>
        <v>0</v>
      </c>
      <c r="F2819" s="72">
        <f>SUMIF(Adat!$AG:$AG,CONCATENATE(60,Info!$D$5,"0591131",L2796),Adat!$E:$E)+E2819</f>
        <v>0</v>
      </c>
      <c r="G2819" s="72">
        <f>SUMIF(Adat!$AH:$AH,CONCATENATE(Info!$D$5,"(KÖT)","0591131",L2796),Adat!$E:$E)</f>
        <v>0</v>
      </c>
      <c r="H2819" s="72">
        <f>SUMIF(Adat!$AH:$AH,CONCATENATE(Info!$D$5,"(ÖNV)","0591131",L2796),Adat!$E:$E)</f>
        <v>0</v>
      </c>
      <c r="I2819" s="72">
        <f>SUMIF(Adat!$AH:$AH,CONCATENATE(Info!$D$5,"(ÁIG)","0591131",L2796),Adat!$E:$E)</f>
        <v>0</v>
      </c>
    </row>
    <row r="2820" spans="2:18" x14ac:dyDescent="0.25">
      <c r="B2820" s="160">
        <v>22</v>
      </c>
      <c r="C2820" s="78" t="s">
        <v>372</v>
      </c>
      <c r="D2820" s="86" t="s">
        <v>1457</v>
      </c>
      <c r="E2820" s="71">
        <f>+E2821+E2822+E2823+E2824+E2825+E2826</f>
        <v>0</v>
      </c>
      <c r="F2820" s="71">
        <f>+F2821+F2822+F2823+F2824+F2825+F2826</f>
        <v>0</v>
      </c>
      <c r="G2820" s="71">
        <f>+G2821+G2822+G2823+G2824+G2825+G2826</f>
        <v>0</v>
      </c>
      <c r="H2820" s="71">
        <f>+H2821+H2822+H2823+H2824+H2825+H2826</f>
        <v>0</v>
      </c>
      <c r="I2820" s="71">
        <f>+I2821+I2822+I2823+I2824+I2825+I2826</f>
        <v>0</v>
      </c>
    </row>
    <row r="2821" spans="2:18" x14ac:dyDescent="0.25">
      <c r="B2821" s="160">
        <v>23</v>
      </c>
      <c r="C2821" s="305" t="s">
        <v>1458</v>
      </c>
      <c r="D2821" s="161" t="s">
        <v>409</v>
      </c>
      <c r="E2821" s="72">
        <f>SUMIF(Adat!$AG:$AG,CONCATENATE(61,Info!$D$5,"0591211",L2796),Adat!$E:$E)</f>
        <v>0</v>
      </c>
      <c r="F2821" s="72">
        <f>SUMIF(Adat!$AG:$AG,CONCATENATE(60,Info!$D$5,"0591211",L2796),Adat!$E:$E)+E2821</f>
        <v>0</v>
      </c>
      <c r="G2821" s="72">
        <f>SUMIF(Adat!$AH:$AH,CONCATENATE(Info!$D$5,"(KÖT)","0591211",L2796),Adat!$E:$E)</f>
        <v>0</v>
      </c>
      <c r="H2821" s="72">
        <f>SUMIF(Adat!$AH:$AH,CONCATENATE(Info!$D$5,"(ÖNV)","0591211",L2796),Adat!$E:$E)</f>
        <v>0</v>
      </c>
      <c r="I2821" s="72">
        <f>SUMIF(Adat!$AH:$AH,CONCATENATE(Info!$D$5,"(ÁIG)","0591211",L2796),Adat!$E:$E)</f>
        <v>0</v>
      </c>
    </row>
    <row r="2822" spans="2:18" x14ac:dyDescent="0.25">
      <c r="B2822" s="160">
        <v>24</v>
      </c>
      <c r="C2822" s="305" t="s">
        <v>1460</v>
      </c>
      <c r="D2822" s="161" t="s">
        <v>410</v>
      </c>
      <c r="E2822" s="72">
        <f>SUMIF(Adat!$AG:$AG,CONCATENATE(61,Info!$D$5,"0591221",L2796),Adat!$E:$E)</f>
        <v>0</v>
      </c>
      <c r="F2822" s="72">
        <f>SUMIF(Adat!$AG:$AG,CONCATENATE(60,Info!$D$5,"0591221",L2796),Adat!$E:$E)+E2822</f>
        <v>0</v>
      </c>
      <c r="G2822" s="72">
        <f>SUMIF(Adat!$AH:$AH,CONCATENATE(Info!$D$5,"(KÖT)","0591221",L2796),Adat!$E:$E)</f>
        <v>0</v>
      </c>
      <c r="H2822" s="72">
        <f>SUMIF(Adat!$AH:$AH,CONCATENATE(Info!$D$5,"(ÖNV)","0591221",L2796),Adat!$E:$E)</f>
        <v>0</v>
      </c>
      <c r="I2822" s="72">
        <f>SUMIF(Adat!$AH:$AH,CONCATENATE(Info!$D$5,"(ÁIG)","0591221",L2796),Adat!$E:$E)</f>
        <v>0</v>
      </c>
    </row>
    <row r="2823" spans="2:18" x14ac:dyDescent="0.25">
      <c r="B2823" s="160">
        <v>25</v>
      </c>
      <c r="C2823" s="305" t="s">
        <v>1462</v>
      </c>
      <c r="D2823" s="161" t="s">
        <v>411</v>
      </c>
      <c r="E2823" s="72">
        <f>SUMIF(Adat!$AG:$AG,CONCATENATE(61,Info!$D$5,"0591231",L2796),Adat!$E:$E)</f>
        <v>0</v>
      </c>
      <c r="F2823" s="72">
        <f>SUMIF(Adat!$AG:$AG,CONCATENATE(60,Info!$D$5,"0591231",L2796),Adat!$E:$E)+E2823</f>
        <v>0</v>
      </c>
      <c r="G2823" s="72">
        <f>SUMIF(Adat!$AH:$AH,CONCATENATE(Info!$D$5,"(KÖT)","0591231",L2796),Adat!$E:$E)</f>
        <v>0</v>
      </c>
      <c r="H2823" s="72">
        <f>SUMIF(Adat!$AH:$AH,CONCATENATE(Info!$D$5,"(ÖNV)","0591231",L2796),Adat!$E:$E)</f>
        <v>0</v>
      </c>
      <c r="I2823" s="72">
        <f>SUMIF(Adat!$AH:$AH,CONCATENATE(Info!$D$5,"(ÁIG)","0591231",L2796),Adat!$E:$E)</f>
        <v>0</v>
      </c>
    </row>
    <row r="2824" spans="2:18" x14ac:dyDescent="0.25">
      <c r="B2824" s="160">
        <v>26</v>
      </c>
      <c r="C2824" s="305" t="s">
        <v>1464</v>
      </c>
      <c r="D2824" s="161" t="s">
        <v>492</v>
      </c>
      <c r="E2824" s="72">
        <f>SUMIF(Adat!$AG:$AG,CONCATENATE(61,Info!$D$5,"0591241",L2796),Adat!$E:$E)</f>
        <v>0</v>
      </c>
      <c r="F2824" s="72">
        <f>SUMIF(Adat!$AG:$AG,CONCATENATE(60,Info!$D$5,"0591241",L2796),Adat!$E:$E)+E2824</f>
        <v>0</v>
      </c>
      <c r="G2824" s="72">
        <f>SUMIF(Adat!$AH:$AH,CONCATENATE(Info!$D$5,"(KÖT)","0591241",L2796),Adat!$E:$E)</f>
        <v>0</v>
      </c>
      <c r="H2824" s="72">
        <f>SUMIF(Adat!$AH:$AH,CONCATENATE(Info!$D$5,"(ÖNV)","0591241",L2796),Adat!$E:$E)</f>
        <v>0</v>
      </c>
      <c r="I2824" s="72">
        <f>SUMIF(Adat!$AH:$AH,CONCATENATE(Info!$D$5,"(ÁIG)","0591241",L2796),Adat!$E:$E)</f>
        <v>0</v>
      </c>
    </row>
    <row r="2825" spans="2:18" x14ac:dyDescent="0.25">
      <c r="B2825" s="160">
        <v>27</v>
      </c>
      <c r="C2825" s="305" t="s">
        <v>1466</v>
      </c>
      <c r="D2825" s="161" t="s">
        <v>413</v>
      </c>
      <c r="E2825" s="72">
        <f>SUMIF(Adat!$AG:$AG,CONCATENATE(61,Info!$D$5,"0591251",L2796),Adat!$E:$E)</f>
        <v>0</v>
      </c>
      <c r="F2825" s="72">
        <f>SUMIF(Adat!$AG:$AG,CONCATENATE(60,Info!$D$5,"0591251",L2796),Adat!$E:$E)+E2825</f>
        <v>0</v>
      </c>
      <c r="G2825" s="72">
        <f>SUMIF(Adat!$AH:$AH,CONCATENATE(Info!$D$5,"(KÖT)","0591251",L2796),Adat!$E:$E)</f>
        <v>0</v>
      </c>
      <c r="H2825" s="72">
        <f>SUMIF(Adat!$AH:$AH,CONCATENATE(Info!$D$5,"(ÖNV)","0591251",L2796),Adat!$E:$E)</f>
        <v>0</v>
      </c>
      <c r="I2825" s="72">
        <f>SUMIF(Adat!$AH:$AH,CONCATENATE(Info!$D$5,"(ÁIG)","0591251",L2796),Adat!$E:$E)</f>
        <v>0</v>
      </c>
    </row>
    <row r="2826" spans="2:18" s="42" customFormat="1" x14ac:dyDescent="0.25">
      <c r="B2826" s="160">
        <v>28</v>
      </c>
      <c r="C2826" s="305" t="s">
        <v>1468</v>
      </c>
      <c r="D2826" s="161" t="s">
        <v>414</v>
      </c>
      <c r="E2826" s="72">
        <f>SUMIF(Adat!$AG:$AG,CONCATENATE(61,Info!$D$5,"0591261",L2796),Adat!$E:$E)</f>
        <v>0</v>
      </c>
      <c r="F2826" s="72">
        <f>SUMIF(Adat!$AG:$AG,CONCATENATE(60,Info!$D$5,"0591261",L2796),Adat!$E:$E)+E2826</f>
        <v>0</v>
      </c>
      <c r="G2826" s="72">
        <f>SUMIF(Adat!$AH:$AH,CONCATENATE(Info!$D$5,"(KÖT)","0591261",L2796),Adat!$E:$E)</f>
        <v>0</v>
      </c>
      <c r="H2826" s="72">
        <f>SUMIF(Adat!$AH:$AH,CONCATENATE(Info!$D$5,"(ÖNV)","0591261",L2796),Adat!$E:$E)</f>
        <v>0</v>
      </c>
      <c r="I2826" s="72">
        <f>SUMIF(Adat!$AH:$AH,CONCATENATE(Info!$D$5,"(ÁIG)","0591261",L2796),Adat!$E:$E)</f>
        <v>0</v>
      </c>
    </row>
    <row r="2827" spans="2:18" x14ac:dyDescent="0.25">
      <c r="B2827" s="160">
        <v>29</v>
      </c>
      <c r="C2827" s="78" t="s">
        <v>379</v>
      </c>
      <c r="D2827" s="86" t="s">
        <v>1470</v>
      </c>
      <c r="E2827" s="71">
        <f>+E2828+E2829+E2831+E2832+E2830</f>
        <v>0</v>
      </c>
      <c r="F2827" s="71">
        <f>+F2828+F2829+F2831+F2832+F2830</f>
        <v>0</v>
      </c>
      <c r="G2827" s="71">
        <f>+G2828+G2829+G2831+G2832+G2830</f>
        <v>0</v>
      </c>
      <c r="H2827" s="71">
        <f>+H2828+H2829+H2831+H2832+H2830</f>
        <v>0</v>
      </c>
      <c r="I2827" s="71">
        <f>+I2828+I2829+I2831+I2832+I2830</f>
        <v>0</v>
      </c>
      <c r="R2827" s="43"/>
    </row>
    <row r="2828" spans="2:18" x14ac:dyDescent="0.25">
      <c r="B2828" s="160">
        <v>30</v>
      </c>
      <c r="C2828" s="305" t="s">
        <v>1471</v>
      </c>
      <c r="D2828" s="161" t="s">
        <v>416</v>
      </c>
      <c r="E2828" s="72">
        <f>SUMIF(Adat!$AG:$AG,CONCATENATE(61,Info!$D$5,"059131",L2796),Adat!$E:$E)</f>
        <v>0</v>
      </c>
      <c r="F2828" s="72">
        <f>SUMIF(Adat!$AG:$AG,CONCATENATE(60,Info!$D$5,"059131",L2796),Adat!$E:$E)+E2828</f>
        <v>0</v>
      </c>
      <c r="G2828" s="72">
        <f>SUMIF(Adat!$AH:$AH,CONCATENATE(Info!$D$5,"(KÖT)","059131",L2796),Adat!$E:$E)</f>
        <v>0</v>
      </c>
      <c r="H2828" s="72">
        <f>SUMIF(Adat!$AH:$AH,CONCATENATE(Info!$D$5,"(ÖNV)","059131",L2796),Adat!$E:$E)</f>
        <v>0</v>
      </c>
      <c r="I2828" s="72">
        <f>SUMIF(Adat!$AH:$AH,CONCATENATE(Info!$D$5,"(ÁIG)","059131",L2796),Adat!$E:$E)</f>
        <v>0</v>
      </c>
    </row>
    <row r="2829" spans="2:18" x14ac:dyDescent="0.25">
      <c r="B2829" s="160">
        <v>31</v>
      </c>
      <c r="C2829" s="305" t="s">
        <v>1287</v>
      </c>
      <c r="D2829" s="161" t="s">
        <v>417</v>
      </c>
      <c r="E2829" s="72">
        <f>SUMIF(Adat!$AG:$AG,CONCATENATE(61,Info!$D$5,"059141",L2796),Adat!$E:$E)</f>
        <v>0</v>
      </c>
      <c r="F2829" s="72">
        <f>SUMIF(Adat!$AG:$AG,CONCATENATE(60,Info!$D$5,"059141",L2796),Adat!$E:$E)+E2829</f>
        <v>0</v>
      </c>
      <c r="G2829" s="72">
        <f>SUMIF(Adat!$AH:$AH,CONCATENATE(Info!$D$5,"(KÖT)","059141",L2796),Adat!$E:$E)</f>
        <v>0</v>
      </c>
      <c r="H2829" s="72">
        <f>SUMIF(Adat!$AH:$AH,CONCATENATE(Info!$D$5,"(ÖNV)","059141",L2796),Adat!$E:$E)</f>
        <v>0</v>
      </c>
      <c r="I2829" s="72">
        <f>SUMIF(Adat!$AH:$AH,CONCATENATE(Info!$D$5,"(ÁIG)","059141",L2796),Adat!$E:$E)</f>
        <v>0</v>
      </c>
    </row>
    <row r="2830" spans="2:18" x14ac:dyDescent="0.25">
      <c r="B2830" s="160">
        <v>32</v>
      </c>
      <c r="C2830" s="316" t="s">
        <v>1253</v>
      </c>
      <c r="D2830" s="161" t="s">
        <v>493</v>
      </c>
      <c r="E2830" s="72">
        <f>SUMIF(Adat!$AG:$AG,CONCATENATE(61,Info!$D$5,"059151",L2796),Adat!$E:$E)</f>
        <v>0</v>
      </c>
      <c r="F2830" s="72">
        <f>SUMIF(Adat!$AG:$AG,CONCATENATE(60,Info!$D$5,"059151",L2796),Adat!$E:$E)+E2830</f>
        <v>0</v>
      </c>
      <c r="G2830" s="72">
        <f>SUMIF(Adat!$AH:$AH,CONCATENATE(Info!$D$5,"(KÖT)","059151",L2796),Adat!$E:$E)</f>
        <v>0</v>
      </c>
      <c r="H2830" s="72">
        <f>SUMIF(Adat!$AH:$AH,CONCATENATE(Info!$D$5,"(ÖNV)","059151",L2796),Adat!$E:$E)</f>
        <v>0</v>
      </c>
      <c r="I2830" s="72">
        <f>SUMIF(Adat!$AH:$AH,CONCATENATE(Info!$D$5,"(ÁIG)","059151",L2796),Adat!$E:$E)</f>
        <v>0</v>
      </c>
    </row>
    <row r="2831" spans="2:18" s="42" customFormat="1" x14ac:dyDescent="0.25">
      <c r="B2831" s="160">
        <v>33</v>
      </c>
      <c r="C2831" s="305" t="s">
        <v>1474</v>
      </c>
      <c r="D2831" s="161" t="s">
        <v>418</v>
      </c>
      <c r="E2831" s="72">
        <f>SUMIF(Adat!$AG:$AG,CONCATENATE(61,Info!$D$5,"059161",L2796),Adat!$E:$E)</f>
        <v>0</v>
      </c>
      <c r="F2831" s="72">
        <f>SUMIF(Adat!$AG:$AG,CONCATENATE(60,Info!$D$5,"059161",L2796),Adat!$E:$E)+E2831</f>
        <v>0</v>
      </c>
      <c r="G2831" s="72">
        <f>SUMIF(Adat!$AH:$AH,CONCATENATE(Info!$D$5,"(KÖT)","059161",L2796),Adat!$E:$E)</f>
        <v>0</v>
      </c>
      <c r="H2831" s="72">
        <f>SUMIF(Adat!$AH:$AH,CONCATENATE(Info!$D$5,"(ÖNV)","059161",L2796),Adat!$E:$E)</f>
        <v>0</v>
      </c>
      <c r="I2831" s="72">
        <f>SUMIF(Adat!$AH:$AH,CONCATENATE(Info!$D$5,"(ÁIG)","059161",L2796),Adat!$E:$E)</f>
        <v>0</v>
      </c>
    </row>
    <row r="2832" spans="2:18" s="42" customFormat="1" x14ac:dyDescent="0.25">
      <c r="B2832" s="160">
        <v>34</v>
      </c>
      <c r="C2832" s="305" t="s">
        <v>1476</v>
      </c>
      <c r="D2832" s="161" t="s">
        <v>419</v>
      </c>
      <c r="E2832" s="72">
        <f>SUMIF(Adat!$AG:$AG,CONCATENATE(61,Info!$D$5,"059171",L2796),Adat!$E:$E)</f>
        <v>0</v>
      </c>
      <c r="F2832" s="72">
        <f>SUMIF(Adat!$AG:$AG,CONCATENATE(60,Info!$D$5,"059171",L2796),Adat!$E:$E)+E2832</f>
        <v>0</v>
      </c>
      <c r="G2832" s="72">
        <f>SUMIF(Adat!$AH:$AH,CONCATENATE(Info!$D$5,"(KÖT)","059171",L2796),Adat!$E:$E)</f>
        <v>0</v>
      </c>
      <c r="H2832" s="72">
        <f>SUMIF(Adat!$AH:$AH,CONCATENATE(Info!$D$5,"(ÖNV)","059171",L2796),Adat!$E:$E)</f>
        <v>0</v>
      </c>
      <c r="I2832" s="72">
        <f>SUMIF(Adat!$AH:$AH,CONCATENATE(Info!$D$5,"(ÁIG)","059171",L2796),Adat!$E:$E)</f>
        <v>0</v>
      </c>
    </row>
    <row r="2833" spans="2:12" s="42" customFormat="1" x14ac:dyDescent="0.25">
      <c r="B2833" s="160">
        <v>35</v>
      </c>
      <c r="C2833" s="78" t="s">
        <v>420</v>
      </c>
      <c r="D2833" s="86" t="s">
        <v>1478</v>
      </c>
      <c r="E2833" s="73">
        <f>+E2834+E2835+E2836+E2837+E2838</f>
        <v>0</v>
      </c>
      <c r="F2833" s="73">
        <f>+F2834+F2835+F2836+F2837+F2838</f>
        <v>0</v>
      </c>
      <c r="G2833" s="73">
        <f>+G2834+G2835+G2836+G2837+G2838</f>
        <v>0</v>
      </c>
      <c r="H2833" s="73">
        <f>+H2834+H2835+H2836+H2837+H2838</f>
        <v>0</v>
      </c>
      <c r="I2833" s="73">
        <f>+I2834+I2835+I2836+I2837+I2838</f>
        <v>0</v>
      </c>
    </row>
    <row r="2834" spans="2:12" s="42" customFormat="1" x14ac:dyDescent="0.25">
      <c r="B2834" s="160">
        <v>36</v>
      </c>
      <c r="C2834" s="305" t="s">
        <v>1479</v>
      </c>
      <c r="D2834" s="161" t="s">
        <v>422</v>
      </c>
      <c r="E2834" s="72">
        <f>SUMIF(Adat!$AG:$AG,CONCATENATE(61,Info!$D$5,"059211",L2796),Adat!$E:$E)</f>
        <v>0</v>
      </c>
      <c r="F2834" s="72">
        <f>SUMIF(Adat!$AG:$AG,CONCATENATE(60,Info!$D$5,"059211",L2796),Adat!$E:$E)+E2834</f>
        <v>0</v>
      </c>
      <c r="G2834" s="72">
        <f>SUMIF(Adat!$AH:$AH,CONCATENATE(Info!$D$5,"(KÖT)","059211",L2796),Adat!$E:$E)</f>
        <v>0</v>
      </c>
      <c r="H2834" s="72">
        <f>SUMIF(Adat!$AH:$AH,CONCATENATE(Info!$D$5,"(ÖNV)","059211",L2796),Adat!$E:$E)</f>
        <v>0</v>
      </c>
      <c r="I2834" s="72">
        <f>SUMIF(Adat!$AH:$AH,CONCATENATE(Info!$D$5,"(ÁIG)","059211",L2796),Adat!$E:$E)</f>
        <v>0</v>
      </c>
    </row>
    <row r="2835" spans="2:12" s="42" customFormat="1" x14ac:dyDescent="0.25">
      <c r="B2835" s="160">
        <v>37</v>
      </c>
      <c r="C2835" s="305" t="s">
        <v>1481</v>
      </c>
      <c r="D2835" s="161" t="s">
        <v>423</v>
      </c>
      <c r="E2835" s="72">
        <f>SUMIF(Adat!$AG:$AG,CONCATENATE(61,Info!$D$5,"059221",L2796),Adat!$E:$E)</f>
        <v>0</v>
      </c>
      <c r="F2835" s="72">
        <f>SUMIF(Adat!$AG:$AG,CONCATENATE(60,Info!$D$5,"059221",L2796),Adat!$E:$E)+E2835</f>
        <v>0</v>
      </c>
      <c r="G2835" s="72">
        <f>SUMIF(Adat!$AH:$AH,CONCATENATE(Info!$D$5,"(KÖT)","059221",L2796),Adat!$E:$E)</f>
        <v>0</v>
      </c>
      <c r="H2835" s="72">
        <f>SUMIF(Adat!$AH:$AH,CONCATENATE(Info!$D$5,"(ÖNV)","059221",L2796),Adat!$E:$E)</f>
        <v>0</v>
      </c>
      <c r="I2835" s="72">
        <f>SUMIF(Adat!$AH:$AH,CONCATENATE(Info!$D$5,"(ÁIG)","059221",L2796),Adat!$E:$E)</f>
        <v>0</v>
      </c>
    </row>
    <row r="2836" spans="2:12" s="42" customFormat="1" x14ac:dyDescent="0.25">
      <c r="B2836" s="160">
        <v>38</v>
      </c>
      <c r="C2836" s="305" t="s">
        <v>1483</v>
      </c>
      <c r="D2836" s="161" t="s">
        <v>424</v>
      </c>
      <c r="E2836" s="72">
        <f>SUMIF(Adat!$AG:$AG,CONCATENATE(61,Info!$D$5,"059231",L2796),Adat!$E:$E)</f>
        <v>0</v>
      </c>
      <c r="F2836" s="72">
        <f>SUMIF(Adat!$AG:$AG,CONCATENATE(60,Info!$D$5,"059231",L2796),Adat!$E:$E)+E2836</f>
        <v>0</v>
      </c>
      <c r="G2836" s="72">
        <f>SUMIF(Adat!$AH:$AH,CONCATENATE(Info!$D$5,"(KÖT)","059231",L2796),Adat!$E:$E)</f>
        <v>0</v>
      </c>
      <c r="H2836" s="72">
        <f>SUMIF(Adat!$AH:$AH,CONCATENATE(Info!$D$5,"(ÖNV)","059231",L2796),Adat!$E:$E)</f>
        <v>0</v>
      </c>
      <c r="I2836" s="72">
        <f>SUMIF(Adat!$AH:$AH,CONCATENATE(Info!$D$5,"(ÁIG)","059231",L2796),Adat!$E:$E)</f>
        <v>0</v>
      </c>
    </row>
    <row r="2837" spans="2:12" s="42" customFormat="1" x14ac:dyDescent="0.25">
      <c r="B2837" s="160">
        <v>39</v>
      </c>
      <c r="C2837" s="305" t="s">
        <v>1485</v>
      </c>
      <c r="D2837" s="161" t="s">
        <v>494</v>
      </c>
      <c r="E2837" s="72">
        <f>SUMIF(Adat!$AG:$AG,CONCATENATE(61,Info!$D$5,"059241",L2796),Adat!$E:$E)</f>
        <v>0</v>
      </c>
      <c r="F2837" s="72">
        <f>SUMIF(Adat!$AG:$AG,CONCATENATE(60,Info!$D$5,"059241",L2796),Adat!$E:$E)+E2837</f>
        <v>0</v>
      </c>
      <c r="G2837" s="72">
        <f>SUMIF(Adat!$AH:$AH,CONCATENATE(Info!$D$5,"(KÖT)","059241",L2796),Adat!$E:$E)</f>
        <v>0</v>
      </c>
      <c r="H2837" s="72">
        <f>SUMIF(Adat!$AH:$AH,CONCATENATE(Info!$D$5,"(ÖNV)","059241",L2796),Adat!$E:$E)</f>
        <v>0</v>
      </c>
      <c r="I2837" s="72">
        <f>SUMIF(Adat!$AH:$AH,CONCATENATE(Info!$D$5,"(ÁIG)","059241",L2796),Adat!$E:$E)</f>
        <v>0</v>
      </c>
    </row>
    <row r="2838" spans="2:12" x14ac:dyDescent="0.25">
      <c r="B2838" s="160">
        <v>40</v>
      </c>
      <c r="C2838" s="305" t="s">
        <v>1487</v>
      </c>
      <c r="D2838" s="161" t="s">
        <v>427</v>
      </c>
      <c r="E2838" s="72">
        <f>SUMIF(Adat!$AG:$AG,CONCATENATE(61,Info!$D$5,"059251",L2796),Adat!$E:$E)</f>
        <v>0</v>
      </c>
      <c r="F2838" s="72">
        <f>SUMIF(Adat!$AG:$AG,CONCATENATE(60,Info!$D$5,"059251",L2796),Adat!$E:$E)+E2838</f>
        <v>0</v>
      </c>
      <c r="G2838" s="72">
        <f>SUMIF(Adat!$AH:$AH,CONCATENATE(Info!$D$5,"(KÖT)","059251",L2796),Adat!$E:$E)</f>
        <v>0</v>
      </c>
      <c r="H2838" s="72">
        <f>SUMIF(Adat!$AH:$AH,CONCATENATE(Info!$D$5,"(ÖNV)","059251",L2796),Adat!$E:$E)</f>
        <v>0</v>
      </c>
      <c r="I2838" s="72">
        <f>SUMIF(Adat!$AH:$AH,CONCATENATE(Info!$D$5,"(ÁIG)","059251",L2796),Adat!$E:$E)</f>
        <v>0</v>
      </c>
    </row>
    <row r="2839" spans="2:12" x14ac:dyDescent="0.25">
      <c r="B2839" s="160">
        <v>41</v>
      </c>
      <c r="C2839" s="162" t="s">
        <v>390</v>
      </c>
      <c r="D2839" s="86" t="s">
        <v>428</v>
      </c>
      <c r="E2839" s="72">
        <f>SUMIF(Adat!$AG:$AG,CONCATENATE(61,Info!$D$5,"05931",L2796),Adat!$E:$E)</f>
        <v>0</v>
      </c>
      <c r="F2839" s="72">
        <f>SUMIF(Adat!$AG:$AG,CONCATENATE(60,Info!$D$5,"05931",L2796),Adat!$E:$E)+E2839</f>
        <v>0</v>
      </c>
      <c r="G2839" s="72">
        <f>SUMIF(Adat!$AH:$AH,CONCATENATE(Info!$D$5,"(KÖT)","05931",L2796),Adat!$E:$E)</f>
        <v>0</v>
      </c>
      <c r="H2839" s="72">
        <f>SUMIF(Adat!$AH:$AH,CONCATENATE(Info!$D$5,"(ÖNV)","05931",L2796),Adat!$E:$E)</f>
        <v>0</v>
      </c>
      <c r="I2839" s="72">
        <f>SUMIF(Adat!$AH:$AH,CONCATENATE(Info!$D$5,"(ÁIG)","05931",L2796),Adat!$E:$E)</f>
        <v>0</v>
      </c>
    </row>
    <row r="2840" spans="2:12" x14ac:dyDescent="0.25">
      <c r="B2840" s="160">
        <v>42</v>
      </c>
      <c r="C2840" s="162" t="s">
        <v>429</v>
      </c>
      <c r="D2840" s="86" t="s">
        <v>430</v>
      </c>
      <c r="E2840" s="72">
        <f>SUMIF(Adat!$AG:$AG,CONCATENATE(61,Info!$D$5,"05941",L2796),Adat!$E:$E)</f>
        <v>0</v>
      </c>
      <c r="F2840" s="72">
        <f>SUMIF(Adat!$AG:$AG,CONCATENATE(60,Info!$D$5,"05941",L2796),Adat!$E:$E)+E2840</f>
        <v>0</v>
      </c>
      <c r="G2840" s="72">
        <f>SUMIF(Adat!$AH:$AH,CONCATENATE(Info!$D$5,"(KÖT)","05941",L2796),Adat!$E:$E)</f>
        <v>0</v>
      </c>
      <c r="H2840" s="72">
        <f>SUMIF(Adat!$AH:$AH,CONCATENATE(Info!$D$5,"(ÖNV)","05941",L2796),Adat!$E:$E)</f>
        <v>0</v>
      </c>
      <c r="I2840" s="72">
        <f>SUMIF(Adat!$AH:$AH,CONCATENATE(Info!$D$5,"(ÁIG)","05941",L2796),Adat!$E:$E)</f>
        <v>0</v>
      </c>
    </row>
    <row r="2841" spans="2:12" x14ac:dyDescent="0.25">
      <c r="B2841" s="160">
        <v>43</v>
      </c>
      <c r="C2841" s="78" t="s">
        <v>431</v>
      </c>
      <c r="D2841" s="86" t="s">
        <v>432</v>
      </c>
      <c r="E2841" s="74">
        <f>+E2816+E2820+E2827+E2833+E2839+E2840</f>
        <v>0</v>
      </c>
      <c r="F2841" s="74">
        <f>+F2816+F2820+F2827+F2833+F2839+F2840</f>
        <v>0</v>
      </c>
      <c r="G2841" s="74">
        <f>+G2816+G2820+G2827+G2833+G2839+G2840</f>
        <v>0</v>
      </c>
      <c r="H2841" s="74">
        <f>+H2816+H2820+H2827+H2833+H2839+H2840</f>
        <v>0</v>
      </c>
      <c r="I2841" s="74">
        <f>+I2816+I2820+I2827+I2833+I2839+I2840</f>
        <v>0</v>
      </c>
    </row>
    <row r="2842" spans="2:12" x14ac:dyDescent="0.25">
      <c r="B2842" s="160">
        <v>44</v>
      </c>
      <c r="C2842" s="154" t="s">
        <v>433</v>
      </c>
      <c r="D2842" s="159" t="s">
        <v>434</v>
      </c>
      <c r="E2842" s="74">
        <f>+E2815+E2841</f>
        <v>0</v>
      </c>
      <c r="F2842" s="74">
        <f>+F2815+F2841</f>
        <v>0</v>
      </c>
      <c r="G2842" s="74">
        <f>+G2815+G2841</f>
        <v>0</v>
      </c>
      <c r="H2842" s="74">
        <f>+H2815+H2841</f>
        <v>0</v>
      </c>
      <c r="I2842" s="74">
        <f>+I2815+I2841</f>
        <v>0</v>
      </c>
    </row>
    <row r="2843" spans="2:12" s="37" customFormat="1" ht="15.75" x14ac:dyDescent="0.25">
      <c r="C2843" s="529"/>
      <c r="D2843" s="529"/>
      <c r="E2843" s="529"/>
      <c r="F2843" s="200"/>
      <c r="G2843" s="200"/>
      <c r="H2843" s="200"/>
      <c r="I2843" s="200"/>
    </row>
    <row r="2844" spans="2:12" s="38" customFormat="1" ht="15.75" x14ac:dyDescent="0.25">
      <c r="B2844" s="525" t="str">
        <f>PAR!$E$3</f>
        <v>Nagymaros Város Önkormányzata</v>
      </c>
      <c r="C2844" s="525"/>
      <c r="D2844" s="525"/>
      <c r="E2844" s="525"/>
      <c r="F2844" s="525"/>
      <c r="G2844" s="525"/>
      <c r="H2844" s="525"/>
      <c r="I2844" s="525"/>
    </row>
    <row r="2845" spans="2:12" s="38" customFormat="1" ht="15.75" x14ac:dyDescent="0.25">
      <c r="B2845" s="525" t="s">
        <v>2660</v>
      </c>
      <c r="C2845" s="525"/>
      <c r="D2845" s="525"/>
      <c r="E2845" s="525"/>
      <c r="F2845" s="525"/>
      <c r="G2845" s="525"/>
      <c r="H2845" s="525"/>
      <c r="I2845" s="525"/>
    </row>
    <row r="2846" spans="2:12" s="38" customFormat="1" ht="15.75" x14ac:dyDescent="0.25">
      <c r="C2846" s="156"/>
      <c r="E2846" s="140"/>
      <c r="F2846" s="140"/>
      <c r="G2846" s="140"/>
      <c r="H2846" s="140"/>
      <c r="I2846" s="140"/>
    </row>
    <row r="2847" spans="2:12" s="10" customFormat="1" ht="15.75" customHeight="1" x14ac:dyDescent="0.25">
      <c r="B2847" s="201" t="str">
        <f>CONCATENATE("41. Bevételi jogcímek"," - ",L2847," részletező")</f>
        <v>41. Bevételi jogcímek -  részletező</v>
      </c>
      <c r="C2847" s="101"/>
      <c r="D2847" s="101"/>
      <c r="E2847" s="101"/>
      <c r="F2847" s="101"/>
      <c r="G2847" s="198"/>
      <c r="H2847" s="198"/>
      <c r="I2847" s="198"/>
      <c r="L2847" s="384"/>
    </row>
    <row r="2848" spans="2:12" s="38" customFormat="1" ht="15.75" x14ac:dyDescent="0.25">
      <c r="C2848" s="156"/>
      <c r="E2848" s="140"/>
      <c r="F2848" s="140"/>
      <c r="G2848" s="140"/>
      <c r="H2848" s="140"/>
      <c r="I2848" s="140"/>
    </row>
    <row r="2849" spans="2:9" s="40" customFormat="1" x14ac:dyDescent="0.25">
      <c r="B2849" s="77"/>
      <c r="C2849" s="77" t="s">
        <v>350</v>
      </c>
      <c r="D2849" s="77" t="s">
        <v>351</v>
      </c>
      <c r="E2849" s="77" t="s">
        <v>470</v>
      </c>
      <c r="F2849" s="77" t="s">
        <v>471</v>
      </c>
      <c r="G2849" s="77" t="s">
        <v>44</v>
      </c>
      <c r="H2849" s="77" t="s">
        <v>42</v>
      </c>
      <c r="I2849" s="77" t="s">
        <v>511</v>
      </c>
    </row>
    <row r="2850" spans="2:9" ht="38.25" x14ac:dyDescent="0.25">
      <c r="B2850" s="160">
        <v>1</v>
      </c>
      <c r="C2850" s="154" t="s">
        <v>593</v>
      </c>
      <c r="D2850" s="154" t="s">
        <v>488</v>
      </c>
      <c r="E2850" s="163" t="str">
        <f>CONCATENATE(PAR!$H$3," évi
eredeti 
előirányzat")</f>
        <v>2025. évi
eredeti 
előirányzat</v>
      </c>
      <c r="F2850" s="163" t="str">
        <f>CONCATENATE(PAR!$H$3," évi
módosított 
előirányzat")</f>
        <v>2025. évi
módosított 
előirányzat</v>
      </c>
      <c r="G2850" s="69" t="s">
        <v>666</v>
      </c>
      <c r="H2850" s="69" t="s">
        <v>667</v>
      </c>
      <c r="I2850" s="69" t="s">
        <v>668</v>
      </c>
    </row>
    <row r="2851" spans="2:9" s="41" customFormat="1" x14ac:dyDescent="0.25">
      <c r="B2851" s="160">
        <v>2</v>
      </c>
      <c r="C2851" s="78" t="s">
        <v>1324</v>
      </c>
      <c r="D2851" s="79" t="s">
        <v>562</v>
      </c>
      <c r="E2851" s="71">
        <f>SUM(E2852:E2858)</f>
        <v>0</v>
      </c>
      <c r="F2851" s="71">
        <f t="shared" ref="F2851:I2851" si="300">SUM(F2852:F2858)</f>
        <v>0</v>
      </c>
      <c r="G2851" s="71">
        <f t="shared" si="300"/>
        <v>0</v>
      </c>
      <c r="H2851" s="71">
        <f t="shared" si="300"/>
        <v>0</v>
      </c>
      <c r="I2851" s="71">
        <f t="shared" si="300"/>
        <v>0</v>
      </c>
    </row>
    <row r="2852" spans="2:9" s="42" customFormat="1" x14ac:dyDescent="0.2">
      <c r="B2852" s="160">
        <v>3</v>
      </c>
      <c r="C2852" s="305" t="s">
        <v>1288</v>
      </c>
      <c r="D2852" s="82" t="s">
        <v>1325</v>
      </c>
      <c r="E2852" s="72">
        <f>SUMIF(Adat!$AG:$AG,CONCATENATE(61,Info!$D$5,"091111",L2847),Adat!$E:$E)*-1</f>
        <v>0</v>
      </c>
      <c r="F2852" s="72">
        <f>SUMIF(Adat!$AG:$AG,CONCATENATE(60,Info!$D$5,"091111",L2847),Adat!$E:$E)*(-1)+E2852</f>
        <v>0</v>
      </c>
      <c r="G2852" s="72">
        <f>SUMIF(Adat!$AH:$AH,CONCATENATE(Info!$D$5,"(KÖT)","091111",L2847),Adat!$E:$E)*-1</f>
        <v>0</v>
      </c>
      <c r="H2852" s="72">
        <f>SUMIF(Adat!$AH:$AH,CONCATENATE(Info!$D$5,"(ÖNV)","091111",L2847),Adat!$E:$E)*-1</f>
        <v>0</v>
      </c>
      <c r="I2852" s="72">
        <f>SUMIF(Adat!$AH:$AH,CONCATENATE(Info!$D$5,"(ÁIG)","091111",L2847),Adat!$E:$E)*-1</f>
        <v>0</v>
      </c>
    </row>
    <row r="2853" spans="2:9" x14ac:dyDescent="0.2">
      <c r="B2853" s="160">
        <v>4</v>
      </c>
      <c r="C2853" s="305" t="s">
        <v>1289</v>
      </c>
      <c r="D2853" s="82" t="s">
        <v>735</v>
      </c>
      <c r="E2853" s="72">
        <f>SUMIF(Adat!$AG:$AG,CONCATENATE(61,Info!$D$5,"091121",L2847),Adat!$E:$E)*-1</f>
        <v>0</v>
      </c>
      <c r="F2853" s="72">
        <f>SUMIF(Adat!$AG:$AG,CONCATENATE(60,Info!$D$5,"091121",L2847),Adat!$E:$E)*-1+E2853</f>
        <v>0</v>
      </c>
      <c r="G2853" s="72">
        <f>SUMIF(Adat!$AH:$AH,CONCATENATE(Info!$D$5,"(KÖT)","091121",L2847),Adat!$E:$E)*-1</f>
        <v>0</v>
      </c>
      <c r="H2853" s="72">
        <f>SUMIF(Adat!$AH:$AH,CONCATENATE(Info!$D$5,"(ÖNV)","091121",L2847),Adat!$E:$E)*-1</f>
        <v>0</v>
      </c>
      <c r="I2853" s="72">
        <f>SUMIF(Adat!$AH:$AH,CONCATENATE(Info!$D$5,"(ÁIG)","091121",L2847),Adat!$E:$E)*-1</f>
        <v>0</v>
      </c>
    </row>
    <row r="2854" spans="2:9" x14ac:dyDescent="0.2">
      <c r="B2854" s="160">
        <v>5</v>
      </c>
      <c r="C2854" s="305" t="s">
        <v>1290</v>
      </c>
      <c r="D2854" s="82" t="s">
        <v>1326</v>
      </c>
      <c r="E2854" s="72">
        <f>SUMIF(Adat!$AG:$AG,CONCATENATE(61,Info!$D$5,"0911311",L2847),Adat!$E:$E)*-1</f>
        <v>0</v>
      </c>
      <c r="F2854" s="72">
        <f>SUMIF(Adat!$AG:$AG,CONCATENATE(60,Info!$D$5,"0911311",L2847),Adat!$E:$E)*-1+E2854</f>
        <v>0</v>
      </c>
      <c r="G2854" s="72">
        <f>SUMIF(Adat!$AH:$AH,CONCATENATE(Info!$D$5,"(KÖT)","0911311",L2847),Adat!$E:$E)*-1</f>
        <v>0</v>
      </c>
      <c r="H2854" s="72">
        <f>SUMIF(Adat!$AH:$AH,CONCATENATE(Info!$D$5,"(ÖNV)","0911311",L2847),Adat!$E:$E)*-1</f>
        <v>0</v>
      </c>
      <c r="I2854" s="72">
        <f>SUMIF(Adat!$AH:$AH,CONCATENATE(Info!$D$5,"(ÁIG)","0911311",L2847),Adat!$E:$E)*-1</f>
        <v>0</v>
      </c>
    </row>
    <row r="2855" spans="2:9" x14ac:dyDescent="0.2">
      <c r="B2855" s="160">
        <v>6</v>
      </c>
      <c r="C2855" s="305" t="s">
        <v>1254</v>
      </c>
      <c r="D2855" s="82" t="s">
        <v>736</v>
      </c>
      <c r="E2855" s="72">
        <f>SUMIF(Adat!$AG:$AG,CONCATENATE(61,Info!$D$5,"0911321",L2847),Adat!$E:$E)*-1</f>
        <v>0</v>
      </c>
      <c r="F2855" s="72">
        <f>SUMIF(Adat!$AG:$AG,CONCATENATE(60,Info!$D$5,"0911321",L2847),Adat!$E:$E)*-1+E2855</f>
        <v>0</v>
      </c>
      <c r="G2855" s="72">
        <f>SUMIF(Adat!$AH:$AH,CONCATENATE(Info!$D$5,"(KÖT)","0911321",L2847),Adat!$E:$E)*-1</f>
        <v>0</v>
      </c>
      <c r="H2855" s="72">
        <f>SUMIF(Adat!$AH:$AH,CONCATENATE(Info!$D$5,"(ÖNV)","0911321",L2847),Adat!$E:$E)*-1</f>
        <v>0</v>
      </c>
      <c r="I2855" s="72">
        <f>SUMIF(Adat!$AH:$AH,CONCATENATE(Info!$D$5,"(ÁIG)","0911321",L2847),Adat!$E:$E)*-1</f>
        <v>0</v>
      </c>
    </row>
    <row r="2856" spans="2:9" x14ac:dyDescent="0.25">
      <c r="B2856" s="160">
        <v>7</v>
      </c>
      <c r="C2856" s="305" t="s">
        <v>1291</v>
      </c>
      <c r="D2856" s="84" t="s">
        <v>737</v>
      </c>
      <c r="E2856" s="72">
        <f>SUMIF(Adat!$AG:$AG,CONCATENATE(61,Info!$D$5,"091141",L2847),Adat!$E:$E)*-1</f>
        <v>0</v>
      </c>
      <c r="F2856" s="72">
        <f>SUMIF(Adat!$AG:$AG,CONCATENATE(60,Info!$D$5,"091141",L2847),Adat!$E:$E)*-1+E2856</f>
        <v>0</v>
      </c>
      <c r="G2856" s="72">
        <f>SUMIF(Adat!$AH:$AH,CONCATENATE(Info!$D$5,"(KÖT)","091141",L2847),Adat!$E:$E)*-1</f>
        <v>0</v>
      </c>
      <c r="H2856" s="72">
        <f>SUMIF(Adat!$AH:$AH,CONCATENATE(Info!$D$5,"(ÖNV)","091141",L2847),Adat!$E:$E)*-1</f>
        <v>0</v>
      </c>
      <c r="I2856" s="72">
        <f>SUMIF(Adat!$AH:$AH,CONCATENATE(Info!$D$5,"(ÁIG)","091141",L2847),Adat!$E:$E)*-1</f>
        <v>0</v>
      </c>
    </row>
    <row r="2857" spans="2:9" x14ac:dyDescent="0.25">
      <c r="B2857" s="160">
        <v>8</v>
      </c>
      <c r="C2857" s="305" t="s">
        <v>1312</v>
      </c>
      <c r="D2857" s="84" t="s">
        <v>738</v>
      </c>
      <c r="E2857" s="72">
        <f>SUMIF(Adat!$AG:$AG,CONCATENATE(61,Info!$D$5,"091151",L2847),Adat!$E:$E)*-1</f>
        <v>0</v>
      </c>
      <c r="F2857" s="72">
        <f>SUMIF(Adat!$AG:$AG,CONCATENATE(60,Info!$D$5,"091151",L2847),Adat!$E:$E)*-1+E2857</f>
        <v>0</v>
      </c>
      <c r="G2857" s="72">
        <f>SUMIF(Adat!$AH:$AH,CONCATENATE(Info!$D$5,"(KÖT)","091151",L2847),Adat!$E:$E)*-1</f>
        <v>0</v>
      </c>
      <c r="H2857" s="72">
        <f>SUMIF(Adat!$AH:$AH,CONCATENATE(Info!$D$5,"(ÖNV)","091151",L2847),Adat!$E:$E)*-1</f>
        <v>0</v>
      </c>
      <c r="I2857" s="72">
        <f>SUMIF(Adat!$AH:$AH,CONCATENATE(Info!$D$5,"(ÁIG)","091151",L2847),Adat!$E:$E)*-1</f>
        <v>0</v>
      </c>
    </row>
    <row r="2858" spans="2:9" s="42" customFormat="1" x14ac:dyDescent="0.25">
      <c r="B2858" s="160">
        <v>9</v>
      </c>
      <c r="C2858" s="305" t="s">
        <v>1308</v>
      </c>
      <c r="D2858" s="84" t="s">
        <v>233</v>
      </c>
      <c r="E2858" s="72">
        <f>SUMIF(Adat!$AG:$AG,CONCATENATE(61,Info!$D$5,"091161",L2847),Adat!$E:$E)*-1</f>
        <v>0</v>
      </c>
      <c r="F2858" s="72">
        <f>SUMIF(Adat!$AG:$AG,CONCATENATE(60,Info!$D$5,"091161",L2847),Adat!$E:$E)*-1+E2858</f>
        <v>0</v>
      </c>
      <c r="G2858" s="72">
        <f>SUMIF(Adat!$AH:$AH,CONCATENATE(Info!$D$5,"(KÖT)","091161",L2847),Adat!$E:$E)*-1</f>
        <v>0</v>
      </c>
      <c r="H2858" s="72">
        <f>SUMIF(Adat!$AH:$AH,CONCATENATE(Info!$D$5,"(ÖNV)","091161",L2847),Adat!$E:$E)*-1</f>
        <v>0</v>
      </c>
      <c r="I2858" s="72">
        <f>SUMIF(Adat!$AH:$AH,CONCATENATE(Info!$D$5,"(ÁIG)","091161",L2847),Adat!$E:$E)*-1</f>
        <v>0</v>
      </c>
    </row>
    <row r="2859" spans="2:9" s="42" customFormat="1" x14ac:dyDescent="0.25">
      <c r="B2859" s="160">
        <v>10</v>
      </c>
      <c r="C2859" s="78" t="s">
        <v>1328</v>
      </c>
      <c r="D2859" s="85" t="s">
        <v>437</v>
      </c>
      <c r="E2859" s="71">
        <f>SUM(E2860:E2864)</f>
        <v>0</v>
      </c>
      <c r="F2859" s="71">
        <f t="shared" ref="F2859" si="301">SUM(F2860:F2864)</f>
        <v>0</v>
      </c>
      <c r="G2859" s="71">
        <f>SUM(G2860:G2864)</f>
        <v>0</v>
      </c>
      <c r="H2859" s="71">
        <f t="shared" ref="H2859:I2859" si="302">SUM(H2860:H2864)</f>
        <v>0</v>
      </c>
      <c r="I2859" s="71">
        <f t="shared" si="302"/>
        <v>0</v>
      </c>
    </row>
    <row r="2860" spans="2:9" s="42" customFormat="1" x14ac:dyDescent="0.2">
      <c r="B2860" s="160">
        <v>11</v>
      </c>
      <c r="C2860" s="305" t="s">
        <v>1329</v>
      </c>
      <c r="D2860" s="82" t="s">
        <v>1330</v>
      </c>
      <c r="E2860" s="72">
        <f>SUMIF(Adat!$AG:$AG,CONCATENATE(61,Info!$D$5,"09121",L2847),Adat!$E:$E)*-1</f>
        <v>0</v>
      </c>
      <c r="F2860" s="72">
        <f>SUMIF(Adat!$AG:$AG,CONCATENATE(60,Info!$D$5,"09121",L2847),Adat!$E:$E)*-1+E2860</f>
        <v>0</v>
      </c>
      <c r="G2860" s="72">
        <f>SUMIF(Adat!$AH:$AH,CONCATENATE(Info!$D$5,"(KÖT)","09121",L2847),Adat!$E:$E)*-1</f>
        <v>0</v>
      </c>
      <c r="H2860" s="72">
        <f>SUMIF(Adat!$AH:$AH,CONCATENATE(Info!$D$5,"(ÖNV)","09121",L2847),Adat!$E:$E)*-1</f>
        <v>0</v>
      </c>
      <c r="I2860" s="72">
        <f>SUMIF(Adat!$AH:$AH,CONCATENATE(Info!$D$5,"(ÁIG)","09121",L2847),Adat!$E:$E)*-1</f>
        <v>0</v>
      </c>
    </row>
    <row r="2861" spans="2:9" s="42" customFormat="1" x14ac:dyDescent="0.2">
      <c r="B2861" s="160">
        <v>12</v>
      </c>
      <c r="C2861" s="305" t="s">
        <v>1331</v>
      </c>
      <c r="D2861" s="82" t="s">
        <v>1332</v>
      </c>
      <c r="E2861" s="72">
        <f>SUMIF(Adat!$AG:$AG,CONCATENATE(61,Info!$D$5,"09131",L2847),Adat!$E:$E)*-1</f>
        <v>0</v>
      </c>
      <c r="F2861" s="72">
        <f>SUMIF(Adat!$AG:$AG,CONCATENATE(60,Info!$D$5,"09131",L2847),Adat!$E:$E)*-1+E2861</f>
        <v>0</v>
      </c>
      <c r="G2861" s="72">
        <f>SUMIF(Adat!$AH:$AH,CONCATENATE(Info!$D$5,"(KÖT)","09131",L2847),Adat!$E:$E)*-1</f>
        <v>0</v>
      </c>
      <c r="H2861" s="72">
        <f>SUMIF(Adat!$AH:$AH,CONCATENATE(Info!$D$5,"(ÖNV)","09131",L2847),Adat!$E:$E)*-1</f>
        <v>0</v>
      </c>
      <c r="I2861" s="72">
        <f>SUMIF(Adat!$AH:$AH,CONCATENATE(Info!$D$5,"(ÁIG)","09131",L2847),Adat!$E:$E)*-1</f>
        <v>0</v>
      </c>
    </row>
    <row r="2862" spans="2:9" s="42" customFormat="1" x14ac:dyDescent="0.2">
      <c r="B2862" s="160">
        <v>13</v>
      </c>
      <c r="C2862" s="305" t="s">
        <v>1333</v>
      </c>
      <c r="D2862" s="82" t="s">
        <v>1334</v>
      </c>
      <c r="E2862" s="72">
        <f>SUMIF(Adat!$AG:$AG,CONCATENATE(61,Info!$D$5,"09141",L2847),Adat!$E:$E)*-1</f>
        <v>0</v>
      </c>
      <c r="F2862" s="72">
        <f>SUMIF(Adat!$AG:$AG,CONCATENATE(60,Info!$D$5,"09141",L2847),Adat!$E:$E)*-1+E2862</f>
        <v>0</v>
      </c>
      <c r="G2862" s="72">
        <f>SUMIF(Adat!$AH:$AH,CONCATENATE(Info!$D$5,"(KÖT)","09141",L2847),Adat!$E:$E)*-1</f>
        <v>0</v>
      </c>
      <c r="H2862" s="72">
        <f>SUMIF(Adat!$AH:$AH,CONCATENATE(Info!$D$5,"(ÖNV)","09141",L2847),Adat!$E:$E)*-1</f>
        <v>0</v>
      </c>
      <c r="I2862" s="72">
        <f>SUMIF(Adat!$AH:$AH,CONCATENATE(Info!$D$5,"(ÁIG)","09141",L2847),Adat!$E:$E)*-1</f>
        <v>0</v>
      </c>
    </row>
    <row r="2863" spans="2:9" s="42" customFormat="1" x14ac:dyDescent="0.2">
      <c r="B2863" s="160">
        <v>14</v>
      </c>
      <c r="C2863" s="305" t="s">
        <v>1335</v>
      </c>
      <c r="D2863" s="82" t="s">
        <v>1336</v>
      </c>
      <c r="E2863" s="72">
        <f>SUMIF(Adat!$AG:$AG,CONCATENATE(61,Info!$D$5,"09151",L2847),Adat!$E:$E)*-1</f>
        <v>0</v>
      </c>
      <c r="F2863" s="72">
        <f>SUMIF(Adat!$AG:$AG,CONCATENATE(60,Info!$D$5,"09151",L2847),Adat!$E:$E)*-1+E2863</f>
        <v>0</v>
      </c>
      <c r="G2863" s="72">
        <f>SUMIF(Adat!$AH:$AH,CONCATENATE(Info!$D$5,"(KÖT)","09151",L2847),Adat!$E:$E)*-1</f>
        <v>0</v>
      </c>
      <c r="H2863" s="72">
        <f>SUMIF(Adat!$AH:$AH,CONCATENATE(Info!$D$5,"(ÖNV)","09151",L2847),Adat!$E:$E)*-1</f>
        <v>0</v>
      </c>
      <c r="I2863" s="72">
        <f>SUMIF(Adat!$AH:$AH,CONCATENATE(Info!$D$5,"(ÁIG)","09151",L2847),Adat!$E:$E)*-1</f>
        <v>0</v>
      </c>
    </row>
    <row r="2864" spans="2:9" s="42" customFormat="1" x14ac:dyDescent="0.2">
      <c r="B2864" s="160">
        <v>15</v>
      </c>
      <c r="C2864" s="305" t="s">
        <v>1278</v>
      </c>
      <c r="D2864" s="82" t="s">
        <v>1337</v>
      </c>
      <c r="E2864" s="72">
        <f>SUMIF(Adat!$AG:$AG,CONCATENATE(61,Info!$D$5,"09161",L2847),Adat!$E:$E)*-1</f>
        <v>0</v>
      </c>
      <c r="F2864" s="72">
        <f>SUMIF(Adat!$AG:$AG,CONCATENATE(60,Info!$D$5,"09161",L2847),Adat!$E:$E)*-1+E2864</f>
        <v>0</v>
      </c>
      <c r="G2864" s="72">
        <f>SUMIF(Adat!$AH:$AH,CONCATENATE(Info!$D$5,"(KÖT)","09161",L2847),Adat!$E:$E)*-1</f>
        <v>0</v>
      </c>
      <c r="H2864" s="72">
        <f>SUMIF(Adat!$AH:$AH,CONCATENATE(Info!$D$5,"(ÖNV)","09161",L2847),Adat!$E:$E)*-1</f>
        <v>0</v>
      </c>
      <c r="I2864" s="72">
        <f>SUMIF(Adat!$AH:$AH,CONCATENATE(Info!$D$5,"(ÁIG)","09161",L2847),Adat!$E:$E)*-1</f>
        <v>0</v>
      </c>
    </row>
    <row r="2865" spans="2:9" x14ac:dyDescent="0.25">
      <c r="B2865" s="160">
        <v>16</v>
      </c>
      <c r="C2865" s="79" t="s">
        <v>24</v>
      </c>
      <c r="D2865" s="79" t="s">
        <v>449</v>
      </c>
      <c r="E2865" s="71">
        <f t="shared" ref="E2865:F2865" si="303">SUM(E2866:E2870)</f>
        <v>0</v>
      </c>
      <c r="F2865" s="71">
        <f t="shared" si="303"/>
        <v>0</v>
      </c>
      <c r="G2865" s="71">
        <f>SUM(G2866:G2870)</f>
        <v>0</v>
      </c>
      <c r="H2865" s="71">
        <f t="shared" ref="H2865:I2865" si="304">SUM(H2866:H2870)</f>
        <v>0</v>
      </c>
      <c r="I2865" s="71">
        <f t="shared" si="304"/>
        <v>0</v>
      </c>
    </row>
    <row r="2866" spans="2:9" x14ac:dyDescent="0.2">
      <c r="B2866" s="160">
        <v>17</v>
      </c>
      <c r="C2866" s="305" t="s">
        <v>1339</v>
      </c>
      <c r="D2866" s="82" t="s">
        <v>1340</v>
      </c>
      <c r="E2866" s="72">
        <f>SUMIF(Adat!$AG:$AG,CONCATENATE(61,Info!$D$5,"09211",L2847),Adat!$E:$E)*-1</f>
        <v>0</v>
      </c>
      <c r="F2866" s="72">
        <f>SUMIF(Adat!$AG:$AG,CONCATENATE(60,Info!$D$5,"09211",L2847),Adat!$E:$E)*-1+E2866</f>
        <v>0</v>
      </c>
      <c r="G2866" s="72">
        <f>SUMIF(Adat!$AH:$AH,CONCATENATE(Info!$D$5,"(KÖT)","09211",L2847),Adat!$E:$E)*-1</f>
        <v>0</v>
      </c>
      <c r="H2866" s="72">
        <f>SUMIF(Adat!$AH:$AH,CONCATENATE(Info!$D$5,"(ÖNV)","09211",L2847),Adat!$E:$E)*-1</f>
        <v>0</v>
      </c>
      <c r="I2866" s="72">
        <f>SUMIF(Adat!$AH:$AH,CONCATENATE(Info!$D$5,"(ÁIG)","09211",L2847),Adat!$E:$E)*-1</f>
        <v>0</v>
      </c>
    </row>
    <row r="2867" spans="2:9" s="42" customFormat="1" x14ac:dyDescent="0.2">
      <c r="B2867" s="160">
        <v>18</v>
      </c>
      <c r="C2867" s="305" t="s">
        <v>1341</v>
      </c>
      <c r="D2867" s="82" t="s">
        <v>1342</v>
      </c>
      <c r="E2867" s="72">
        <f>SUMIF(Adat!$AG:$AG,CONCATENATE(61,Info!$D$5,"09221",L2847),Adat!$E:$E)*-1</f>
        <v>0</v>
      </c>
      <c r="F2867" s="72">
        <f>SUMIF(Adat!$AG:$AG,CONCATENATE(60,Info!$D$5,"09221",L2847),Adat!$E:$E)*-1+E2867</f>
        <v>0</v>
      </c>
      <c r="G2867" s="72">
        <f>SUMIF(Adat!$AH:$AH,CONCATENATE(Info!$D$5,"(KÖT)","09221",L2847),Adat!$E:$E)*-1</f>
        <v>0</v>
      </c>
      <c r="H2867" s="72">
        <f>SUMIF(Adat!$AH:$AH,CONCATENATE(Info!$D$5,"(ÖNV)","09221",L2847),Adat!$E:$E)*-1</f>
        <v>0</v>
      </c>
      <c r="I2867" s="72">
        <f>SUMIF(Adat!$AH:$AH,CONCATENATE(Info!$D$5,"(ÁIG)","09221",L2847),Adat!$E:$E)*-1</f>
        <v>0</v>
      </c>
    </row>
    <row r="2868" spans="2:9" x14ac:dyDescent="0.2">
      <c r="B2868" s="160">
        <v>19</v>
      </c>
      <c r="C2868" s="305" t="s">
        <v>1343</v>
      </c>
      <c r="D2868" s="82" t="s">
        <v>1344</v>
      </c>
      <c r="E2868" s="72">
        <f>SUMIF(Adat!$AG:$AG,CONCATENATE(61,Info!$D$5,"09231",L2847),Adat!$E:$E)*-1</f>
        <v>0</v>
      </c>
      <c r="F2868" s="72">
        <f>SUMIF(Adat!$AG:$AG,CONCATENATE(60,Info!$D$5,"09231",L2847),Adat!$E:$E)*-1+E2868</f>
        <v>0</v>
      </c>
      <c r="G2868" s="72">
        <f>SUMIF(Adat!$AH:$AH,CONCATENATE(Info!$D$5,"(KÖT)","09231",L2847),Adat!$E:$E)*-1</f>
        <v>0</v>
      </c>
      <c r="H2868" s="72">
        <f>SUMIF(Adat!$AH:$AH,CONCATENATE(Info!$D$5,"(ÖNV)","09231",L2847),Adat!$E:$E)*-1</f>
        <v>0</v>
      </c>
      <c r="I2868" s="72">
        <f>SUMIF(Adat!$AH:$AH,CONCATENATE(Info!$D$5,"(ÁIG)","09231",L2847),Adat!$E:$E)*-1</f>
        <v>0</v>
      </c>
    </row>
    <row r="2869" spans="2:9" x14ac:dyDescent="0.2">
      <c r="B2869" s="160">
        <v>20</v>
      </c>
      <c r="C2869" s="305" t="s">
        <v>1345</v>
      </c>
      <c r="D2869" s="82" t="s">
        <v>1346</v>
      </c>
      <c r="E2869" s="72">
        <f>SUMIF(Adat!$AG:$AG,CONCATENATE(61,Info!$D$5,"09241",L2847),Adat!$E:$E)*-1</f>
        <v>0</v>
      </c>
      <c r="F2869" s="72">
        <f>SUMIF(Adat!$AG:$AG,CONCATENATE(60,Info!$D$5,"09241",L2847),Adat!$E:$E)*-1+E2869</f>
        <v>0</v>
      </c>
      <c r="G2869" s="72">
        <f>SUMIF(Adat!$AH:$AH,CONCATENATE(Info!$D$5,"(KÖT)","09241",L2847),Adat!$E:$E)*-1</f>
        <v>0</v>
      </c>
      <c r="H2869" s="72">
        <f>SUMIF(Adat!$AH:$AH,CONCATENATE(Info!$D$5,"(ÖNV)","09241",L2847),Adat!$E:$E)*-1</f>
        <v>0</v>
      </c>
      <c r="I2869" s="72">
        <f>SUMIF(Adat!$AH:$AH,CONCATENATE(Info!$D$5,"(ÁIG)","09241",L2847),Adat!$E:$E)*-1</f>
        <v>0</v>
      </c>
    </row>
    <row r="2870" spans="2:9" x14ac:dyDescent="0.2">
      <c r="B2870" s="160">
        <v>21</v>
      </c>
      <c r="C2870" s="305" t="s">
        <v>1255</v>
      </c>
      <c r="D2870" s="82" t="s">
        <v>1347</v>
      </c>
      <c r="E2870" s="72">
        <f>SUMIF(Adat!$AG:$AG,CONCATENATE(61,Info!$D$5,"09251",L2847),Adat!$E:$E)*-1</f>
        <v>0</v>
      </c>
      <c r="F2870" s="72">
        <f>SUMIF(Adat!$AG:$AG,CONCATENATE(60,Info!$D$5,"09251",L2847),Adat!$E:$E)*-1+E2870</f>
        <v>0</v>
      </c>
      <c r="G2870" s="72">
        <f>SUMIF(Adat!$AH:$AH,CONCATENATE(Info!$D$5,"(KÖT)","09251",L2847),Adat!$E:$E)*-1</f>
        <v>0</v>
      </c>
      <c r="H2870" s="72">
        <f>SUMIF(Adat!$AH:$AH,CONCATENATE(Info!$D$5,"(ÖNV)","09251",L2847),Adat!$E:$E)*-1</f>
        <v>0</v>
      </c>
      <c r="I2870" s="72">
        <f>SUMIF(Adat!$AH:$AH,CONCATENATE(Info!$D$5,"(ÁIG)","09251",L2847),Adat!$E:$E)*-1</f>
        <v>0</v>
      </c>
    </row>
    <row r="2871" spans="2:9" x14ac:dyDescent="0.25">
      <c r="B2871" s="160">
        <v>22</v>
      </c>
      <c r="C2871" s="79" t="s">
        <v>27</v>
      </c>
      <c r="D2871" s="79" t="s">
        <v>328</v>
      </c>
      <c r="E2871" s="71">
        <f>SUM(E2872:E2877)</f>
        <v>0</v>
      </c>
      <c r="F2871" s="71">
        <f>SUM(F2872:F2877)</f>
        <v>0</v>
      </c>
      <c r="G2871" s="71">
        <f>SUM(G2872:G2877)</f>
        <v>0</v>
      </c>
      <c r="H2871" s="71">
        <f>SUM(H2872:H2877)</f>
        <v>0</v>
      </c>
      <c r="I2871" s="71">
        <f>SUM(I2872:I2877)</f>
        <v>0</v>
      </c>
    </row>
    <row r="2872" spans="2:9" x14ac:dyDescent="0.2">
      <c r="B2872" s="160">
        <v>23</v>
      </c>
      <c r="C2872" s="305" t="s">
        <v>1348</v>
      </c>
      <c r="D2872" s="82" t="s">
        <v>1349</v>
      </c>
      <c r="E2872" s="72">
        <f>SUMIF(Adat!$AG:$AG,CONCATENATE(61,Info!$D$5,"093111",L2847),Adat!$E:$E)*-1</f>
        <v>0</v>
      </c>
      <c r="F2872" s="72">
        <f>SUMIF(Adat!$AG:$AG,CONCATENATE(60,Info!$D$5,"093111",L2847),Adat!$E:$E)*-1+E2872</f>
        <v>0</v>
      </c>
      <c r="G2872" s="72">
        <f>SUMIF(Adat!$AH:$AH,CONCATENATE(Info!$D$5,"(KÖT)","093111",L2847),Adat!$E:$E)*-1</f>
        <v>0</v>
      </c>
      <c r="H2872" s="72">
        <f>SUMIF(Adat!$AH:$AH,CONCATENATE(Info!$D$5,"(ÖNV)","093111",L2847),Adat!$E:$E)*-1</f>
        <v>0</v>
      </c>
      <c r="I2872" s="72">
        <f>SUMIF(Adat!$AH:$AH,CONCATENATE(Info!$D$5,"(ÁIG)","093111",L2847),Adat!$E:$E)*-1</f>
        <v>0</v>
      </c>
    </row>
    <row r="2873" spans="2:9" x14ac:dyDescent="0.2">
      <c r="B2873" s="160">
        <v>24</v>
      </c>
      <c r="C2873" s="305" t="s">
        <v>1259</v>
      </c>
      <c r="D2873" s="82" t="s">
        <v>1350</v>
      </c>
      <c r="E2873" s="72">
        <f>SUMIF(Adat!$AG:$AG,CONCATENATE(61,Info!$D$5,"09341",L2847),Adat!$E:$E)*-1</f>
        <v>0</v>
      </c>
      <c r="F2873" s="72">
        <f>SUMIF(Adat!$AG:$AG,CONCATENATE(60,Info!$D$5,"09341",L2847),Adat!$E:$E)*-1+E2873</f>
        <v>0</v>
      </c>
      <c r="G2873" s="72">
        <f>SUMIF(Adat!$AH:$AH,CONCATENATE(Info!$D$5,"(KÖT)","09341",L2847),Adat!$E:$E)*-1</f>
        <v>0</v>
      </c>
      <c r="H2873" s="72">
        <f>SUMIF(Adat!$AH:$AH,CONCATENATE(Info!$D$5,"(ÖNV)","09341",L2847),Adat!$E:$E)*-1</f>
        <v>0</v>
      </c>
      <c r="I2873" s="72">
        <f>SUMIF(Adat!$AH:$AH,CONCATENATE(Info!$D$5,"(ÁIG)","09341",L2847),Adat!$E:$E)*-1</f>
        <v>0</v>
      </c>
    </row>
    <row r="2874" spans="2:9" x14ac:dyDescent="0.2">
      <c r="B2874" s="160">
        <v>25</v>
      </c>
      <c r="C2874" s="305" t="s">
        <v>1260</v>
      </c>
      <c r="D2874" s="82" t="s">
        <v>1351</v>
      </c>
      <c r="E2874" s="72">
        <f>SUMIF(Adat!$AG:$AG,CONCATENATE(61,Info!$D$5,"093511",L2847),Adat!$E:$E)*-1</f>
        <v>0</v>
      </c>
      <c r="F2874" s="72">
        <f>SUMIF(Adat!$AG:$AG,CONCATENATE(60,Info!$D$5,"093511",L2847),Adat!$E:$E)*-1+E2874</f>
        <v>0</v>
      </c>
      <c r="G2874" s="72">
        <f>SUMIF(Adat!$AH:$AH,CONCATENATE(Info!$D$5,"(KÖT)","093511",L2847),Adat!$E:$E)*-1</f>
        <v>0</v>
      </c>
      <c r="H2874" s="72">
        <f>SUMIF(Adat!$AH:$AH,CONCATENATE(Info!$D$5,"(ÖNV)","093511",L2847),Adat!$E:$E)*-1</f>
        <v>0</v>
      </c>
      <c r="I2874" s="72">
        <f>SUMIF(Adat!$AH:$AH,CONCATENATE(Info!$D$5,"(ÁIG)","093511",L2847),Adat!$E:$E)*-1</f>
        <v>0</v>
      </c>
    </row>
    <row r="2875" spans="2:9" x14ac:dyDescent="0.2">
      <c r="B2875" s="160">
        <v>26</v>
      </c>
      <c r="C2875" s="305" t="s">
        <v>1352</v>
      </c>
      <c r="D2875" s="82" t="s">
        <v>1353</v>
      </c>
      <c r="E2875" s="72">
        <f>SUMIF(Adat!$AG:$AG,CONCATENATE(61,Info!$D$5,"093521",L2847),Adat!$E:$E)*-1</f>
        <v>0</v>
      </c>
      <c r="F2875" s="72">
        <f>SUMIF(Adat!$AG:$AG,CONCATENATE(60,Info!$D$5,"093521",L2847),Adat!$E:$E)*-1+E2875</f>
        <v>0</v>
      </c>
      <c r="G2875" s="72">
        <f>SUMIF(Adat!$AH:$AH,CONCATENATE(Info!$D$5,"(KÖT)","093521",L2847),Adat!$E:$E)*-1</f>
        <v>0</v>
      </c>
      <c r="H2875" s="72">
        <f>SUMIF(Adat!$AH:$AH,CONCATENATE(Info!$D$5,"(ÖNV)","093521",L2847),Adat!$E:$E)*-1</f>
        <v>0</v>
      </c>
      <c r="I2875" s="72">
        <f>SUMIF(Adat!$AH:$AH,CONCATENATE(Info!$D$5,"(ÁIG)","093521",L2847),Adat!$E:$E)*-1</f>
        <v>0</v>
      </c>
    </row>
    <row r="2876" spans="2:9" x14ac:dyDescent="0.2">
      <c r="B2876" s="160">
        <v>27</v>
      </c>
      <c r="C2876" s="305" t="s">
        <v>1292</v>
      </c>
      <c r="D2876" s="82" t="s">
        <v>1354</v>
      </c>
      <c r="E2876" s="72">
        <f>SUMIF(Adat!$AG:$AG,CONCATENATE(61,Info!$D$5,"093551",L2847),Adat!$E:$E)*-1</f>
        <v>0</v>
      </c>
      <c r="F2876" s="72">
        <f>SUMIF(Adat!$AG:$AG,CONCATENATE(60,Info!$D$5,"093551",L2847),Adat!$E:$E)*-1+E2876</f>
        <v>0</v>
      </c>
      <c r="G2876" s="72">
        <f>SUMIF(Adat!$AH:$AH,CONCATENATE(Info!$D$5,"(KÖT)","093551",L2847),Adat!$E:$E)*-1</f>
        <v>0</v>
      </c>
      <c r="H2876" s="72">
        <f>SUMIF(Adat!$AH:$AH,CONCATENATE(Info!$D$5,"(ÖNV)","093551",L2847),Adat!$E:$E)*-1</f>
        <v>0</v>
      </c>
      <c r="I2876" s="72">
        <f>SUMIF(Adat!$AH:$AH,CONCATENATE(Info!$D$5,"(ÁIG)","093551",L2847),Adat!$E:$E)*-1</f>
        <v>0</v>
      </c>
    </row>
    <row r="2877" spans="2:9" x14ac:dyDescent="0.2">
      <c r="B2877" s="160">
        <v>28</v>
      </c>
      <c r="C2877" s="305" t="s">
        <v>1293</v>
      </c>
      <c r="D2877" s="82" t="s">
        <v>1355</v>
      </c>
      <c r="E2877" s="72">
        <f>SUMIF(Adat!$AG:$AG,CONCATENATE(61,Info!$D$5,"09361",L2847),Adat!$E:$E)*-1</f>
        <v>0</v>
      </c>
      <c r="F2877" s="72">
        <f>SUMIF(Adat!$AG:$AG,CONCATENATE(60,Info!$D$5,"09361",L2847),Adat!$E:$E)*-1+E2877</f>
        <v>0</v>
      </c>
      <c r="G2877" s="72">
        <f>SUMIF(Adat!$AH:$AH,CONCATENATE(Info!$D$5,"(KÖT)","09361",L2847),Adat!$E:$E)*-1</f>
        <v>0</v>
      </c>
      <c r="H2877" s="72">
        <f>SUMIF(Adat!$AH:$AH,CONCATENATE(Info!$D$5,"(ÖNV)","09361",L2847),Adat!$E:$E)*-1</f>
        <v>0</v>
      </c>
      <c r="I2877" s="72">
        <f>SUMIF(Adat!$AH:$AH,CONCATENATE(Info!$D$5,"(ÁIG)","09361",L2847),Adat!$E:$E)*-1</f>
        <v>0</v>
      </c>
    </row>
    <row r="2878" spans="2:9" x14ac:dyDescent="0.25">
      <c r="B2878" s="160">
        <v>29</v>
      </c>
      <c r="C2878" s="79" t="s">
        <v>30</v>
      </c>
      <c r="D2878" s="79" t="s">
        <v>329</v>
      </c>
      <c r="E2878" s="71">
        <f>SUM(E2879:E2891)</f>
        <v>0</v>
      </c>
      <c r="F2878" s="71">
        <f t="shared" ref="F2878:I2878" si="305">SUM(F2879:F2891)</f>
        <v>0</v>
      </c>
      <c r="G2878" s="71">
        <f t="shared" si="305"/>
        <v>0</v>
      </c>
      <c r="H2878" s="71">
        <f t="shared" si="305"/>
        <v>0</v>
      </c>
      <c r="I2878" s="71">
        <f t="shared" si="305"/>
        <v>0</v>
      </c>
    </row>
    <row r="2879" spans="2:9" x14ac:dyDescent="0.2">
      <c r="B2879" s="160">
        <v>30</v>
      </c>
      <c r="C2879" s="305" t="s">
        <v>1309</v>
      </c>
      <c r="D2879" s="82" t="s">
        <v>1356</v>
      </c>
      <c r="E2879" s="72">
        <f>SUMIF(Adat!$AG:$AG,CONCATENATE(61,Info!$D$5,"094011",L2847),Adat!$E:$E)*-1</f>
        <v>0</v>
      </c>
      <c r="F2879" s="72">
        <f>SUMIF(Adat!$AG:$AG,CONCATENATE(60,Info!$D$5,"094011",L2847),Adat!$E:$E)*-1+E2879</f>
        <v>0</v>
      </c>
      <c r="G2879" s="72">
        <f>SUMIF(Adat!$AH:$AH,CONCATENATE(Info!$D$5,"(KÖT)","094011",L2847),Adat!$E:$E)*-1</f>
        <v>0</v>
      </c>
      <c r="H2879" s="72">
        <f>SUMIF(Adat!$AH:$AH,CONCATENATE(Info!$D$5,"(ÖNV)","094011",L2847),Adat!$E:$E)*-1</f>
        <v>0</v>
      </c>
      <c r="I2879" s="72">
        <f>SUMIF(Adat!$AH:$AH,CONCATENATE(Info!$D$5,"(ÁIG)","094011",L2847),Adat!$E:$E)*-1</f>
        <v>0</v>
      </c>
    </row>
    <row r="2880" spans="2:9" x14ac:dyDescent="0.2">
      <c r="B2880" s="160">
        <v>31</v>
      </c>
      <c r="C2880" s="305" t="s">
        <v>1279</v>
      </c>
      <c r="D2880" s="82" t="s">
        <v>1357</v>
      </c>
      <c r="E2880" s="72">
        <f>SUMIF(Adat!$AG:$AG,CONCATENATE(61,Info!$D$5,"094021",L2847),Adat!$E:$E)*-1</f>
        <v>0</v>
      </c>
      <c r="F2880" s="72">
        <f>SUMIF(Adat!$AG:$AG,CONCATENATE(60,Info!$D$5,"094021",L2847),Adat!$E:$E)*-1+E2880</f>
        <v>0</v>
      </c>
      <c r="G2880" s="72">
        <f>SUMIF(Adat!$AH:$AH,CONCATENATE(Info!$D$5,"(KÖT)","094021",L2847),Adat!$E:$E)*-1</f>
        <v>0</v>
      </c>
      <c r="H2880" s="72">
        <f>SUMIF(Adat!$AH:$AH,CONCATENATE(Info!$D$5,"(ÖNV)","094021",L2847),Adat!$E:$E)*-1</f>
        <v>0</v>
      </c>
      <c r="I2880" s="72">
        <f>SUMIF(Adat!$AH:$AH,CONCATENATE(Info!$D$5,"(ÁIG)","094021",L2847),Adat!$E:$E)*-1</f>
        <v>0</v>
      </c>
    </row>
    <row r="2881" spans="2:9" x14ac:dyDescent="0.2">
      <c r="B2881" s="160">
        <v>32</v>
      </c>
      <c r="C2881" s="305" t="s">
        <v>1272</v>
      </c>
      <c r="D2881" s="82" t="s">
        <v>1358</v>
      </c>
      <c r="E2881" s="72">
        <f>SUMIF(Adat!$AG:$AG,CONCATENATE(61,Info!$D$5,"094031",L2847),Adat!$E:$E)*-1</f>
        <v>0</v>
      </c>
      <c r="F2881" s="72">
        <f>SUMIF(Adat!$AG:$AG,CONCATENATE(60,Info!$D$5,"094031",L2847),Adat!$E:$E)*-1+E2881</f>
        <v>0</v>
      </c>
      <c r="G2881" s="72">
        <f>SUMIF(Adat!$AH:$AH,CONCATENATE(Info!$D$5,"(KÖT)","094031",L2847),Adat!$E:$E)*-1</f>
        <v>0</v>
      </c>
      <c r="H2881" s="72">
        <f>SUMIF(Adat!$AH:$AH,CONCATENATE(Info!$D$5,"(ÖNV)","094031",L2847),Adat!$E:$E)*-1</f>
        <v>0</v>
      </c>
      <c r="I2881" s="72">
        <f>SUMIF(Adat!$AH:$AH,CONCATENATE(Info!$D$5,"(ÁIG)","094031",L2847),Adat!$E:$E)*-1</f>
        <v>0</v>
      </c>
    </row>
    <row r="2882" spans="2:9" x14ac:dyDescent="0.2">
      <c r="B2882" s="160">
        <v>33</v>
      </c>
      <c r="C2882" s="305" t="s">
        <v>1359</v>
      </c>
      <c r="D2882" s="82" t="s">
        <v>1360</v>
      </c>
      <c r="E2882" s="72">
        <f>SUMIF(Adat!$AG:$AG,CONCATENATE(61,Info!$D$5,"094041",L2847),Adat!$E:$E)*-1</f>
        <v>0</v>
      </c>
      <c r="F2882" s="72">
        <f>SUMIF(Adat!$AG:$AG,CONCATENATE(60,Info!$D$5,"094041",L2847),Adat!$E:$E)*-1+E2882</f>
        <v>0</v>
      </c>
      <c r="G2882" s="72">
        <f>SUMIF(Adat!$AH:$AH,CONCATENATE(Info!$D$5,"(KÖT)","094041",L2847),Adat!$E:$E)*-1</f>
        <v>0</v>
      </c>
      <c r="H2882" s="72">
        <f>SUMIF(Adat!$AH:$AH,CONCATENATE(Info!$D$5,"(ÖNV)","094041",L2847),Adat!$E:$E)*-1</f>
        <v>0</v>
      </c>
      <c r="I2882" s="72">
        <f>SUMIF(Adat!$AH:$AH,CONCATENATE(Info!$D$5,"(ÁIG)","094041",L2847),Adat!$E:$E)*-1</f>
        <v>0</v>
      </c>
    </row>
    <row r="2883" spans="2:9" x14ac:dyDescent="0.2">
      <c r="B2883" s="160">
        <v>34</v>
      </c>
      <c r="C2883" s="305" t="s">
        <v>1261</v>
      </c>
      <c r="D2883" s="82" t="s">
        <v>1361</v>
      </c>
      <c r="E2883" s="72">
        <f>SUMIF(Adat!$AG:$AG,CONCATENATE(61,Info!$D$5,"094051",L2847),Adat!$E:$E)*-1</f>
        <v>0</v>
      </c>
      <c r="F2883" s="72">
        <f>SUMIF(Adat!$AG:$AG,CONCATENATE(60,Info!$D$5,"094051",L2847),Adat!$E:$E)*-1+E2883</f>
        <v>0</v>
      </c>
      <c r="G2883" s="72">
        <f>SUMIF(Adat!$AH:$AH,CONCATENATE(Info!$D$5,"(KÖT)","094051",L2847),Adat!$E:$E)*-1</f>
        <v>0</v>
      </c>
      <c r="H2883" s="72">
        <f>SUMIF(Adat!$AH:$AH,CONCATENATE(Info!$D$5,"(ÖNV)","094051",L2847),Adat!$E:$E)*-1</f>
        <v>0</v>
      </c>
      <c r="I2883" s="72">
        <f>SUMIF(Adat!$AH:$AH,CONCATENATE(Info!$D$5,"(ÁIG)","094051",L2847),Adat!$E:$E)*-1</f>
        <v>0</v>
      </c>
    </row>
    <row r="2884" spans="2:9" x14ac:dyDescent="0.2">
      <c r="B2884" s="160">
        <v>35</v>
      </c>
      <c r="C2884" s="305" t="s">
        <v>1273</v>
      </c>
      <c r="D2884" s="82" t="s">
        <v>1362</v>
      </c>
      <c r="E2884" s="72">
        <f>SUMIF(Adat!$AG:$AG,CONCATENATE(61,Info!$D$5,"094061",L2847),Adat!$E:$E)*-1</f>
        <v>0</v>
      </c>
      <c r="F2884" s="72">
        <f>SUMIF(Adat!$AG:$AG,CONCATENATE(60,Info!$D$5,"094061",L2847),Adat!$E:$E)*-1+E2884</f>
        <v>0</v>
      </c>
      <c r="G2884" s="72">
        <f>SUMIF(Adat!$AH:$AH,CONCATENATE(Info!$D$5,"(KÖT)","094061",L2847),Adat!$E:$E)*-1</f>
        <v>0</v>
      </c>
      <c r="H2884" s="72">
        <f>SUMIF(Adat!$AH:$AH,CONCATENATE(Info!$D$5,"(ÖNV)","094061",L2847),Adat!$E:$E)*-1</f>
        <v>0</v>
      </c>
      <c r="I2884" s="72">
        <f>SUMIF(Adat!$AH:$AH,CONCATENATE(Info!$D$5,"(ÁIG)","094061",L2847),Adat!$E:$E)*-1</f>
        <v>0</v>
      </c>
    </row>
    <row r="2885" spans="2:9" x14ac:dyDescent="0.2">
      <c r="B2885" s="160">
        <v>36</v>
      </c>
      <c r="C2885" s="305" t="s">
        <v>1363</v>
      </c>
      <c r="D2885" s="82" t="s">
        <v>1364</v>
      </c>
      <c r="E2885" s="72">
        <f>SUMIF(Adat!$AG:$AG,CONCATENATE(61,Info!$D$5,"094071",L2847),Adat!$E:$E)*-1</f>
        <v>0</v>
      </c>
      <c r="F2885" s="72">
        <f>SUMIF(Adat!$AG:$AG,CONCATENATE(60,Info!$D$5,"094071",L2847),Adat!$E:$E)*-1+E2885</f>
        <v>0</v>
      </c>
      <c r="G2885" s="72">
        <f>SUMIF(Adat!$AH:$AH,CONCATENATE(Info!$D$5,"(KÖT)","094071",L2847),Adat!$E:$E)*-1</f>
        <v>0</v>
      </c>
      <c r="H2885" s="72">
        <f>SUMIF(Adat!$AH:$AH,CONCATENATE(Info!$D$5,"(ÖNV)","094071",L2847),Adat!$E:$E)*-1</f>
        <v>0</v>
      </c>
      <c r="I2885" s="72">
        <f>SUMIF(Adat!$AH:$AH,CONCATENATE(Info!$D$5,"(ÁIG)","094071",L2847),Adat!$E:$E)*-1</f>
        <v>0</v>
      </c>
    </row>
    <row r="2886" spans="2:9" x14ac:dyDescent="0.2">
      <c r="B2886" s="160">
        <v>37</v>
      </c>
      <c r="C2886" s="305" t="s">
        <v>1306</v>
      </c>
      <c r="D2886" s="82" t="s">
        <v>1365</v>
      </c>
      <c r="E2886" s="72">
        <f>SUMIF(Adat!$AG:$AG,CONCATENATE(61,Info!$D$5,"0940811",L2847),Adat!$E:$E)*-1</f>
        <v>0</v>
      </c>
      <c r="F2886" s="72">
        <f>SUMIF(Adat!$AG:$AG,CONCATENATE(60,Info!$D$5,"0940811",L2847),Adat!$E:$E)*-1+E2886</f>
        <v>0</v>
      </c>
      <c r="G2886" s="72">
        <f>SUMIF(Adat!$AH:$AH,CONCATENATE(Info!$D$5,"(KÖT)","0940811",L2847),Adat!$E:$E)*-1</f>
        <v>0</v>
      </c>
      <c r="H2886" s="72">
        <f>SUMIF(Adat!$AH:$AH,CONCATENATE(Info!$D$5,"(ÖNV)","0940811",L2847),Adat!$E:$E)*-1</f>
        <v>0</v>
      </c>
      <c r="I2886" s="72">
        <f>SUMIF(Adat!$AH:$AH,CONCATENATE(Info!$D$5,"(ÁIG)","0940811",L2847),Adat!$E:$E)*-1</f>
        <v>0</v>
      </c>
    </row>
    <row r="2887" spans="2:9" x14ac:dyDescent="0.2">
      <c r="B2887" s="160">
        <v>38</v>
      </c>
      <c r="C2887" s="305" t="s">
        <v>1295</v>
      </c>
      <c r="D2887" s="82" t="s">
        <v>1366</v>
      </c>
      <c r="E2887" s="72">
        <f>SUMIF(Adat!$AG:$AG,CONCATENATE(61,Info!$D$5,"0940821",L2847),Adat!$E:$E)*-1</f>
        <v>0</v>
      </c>
      <c r="F2887" s="72">
        <f>SUMIF(Adat!$AG:$AG,CONCATENATE(60,Info!$D$5,"0940821",L2847),Adat!$E:$E)*-1+E2887</f>
        <v>0</v>
      </c>
      <c r="G2887" s="72">
        <f>SUMIF(Adat!$AH:$AH,CONCATENATE(Info!$D$5,"(KÖT)","0940821",L2847),Adat!$E:$E)*-1</f>
        <v>0</v>
      </c>
      <c r="H2887" s="72">
        <f>SUMIF(Adat!$AH:$AH,CONCATENATE(Info!$D$5,"(ÖNV)","0940821",L2847),Adat!$E:$E)*-1</f>
        <v>0</v>
      </c>
      <c r="I2887" s="72">
        <f>SUMIF(Adat!$AH:$AH,CONCATENATE(Info!$D$5,"(ÁIG)","0940821",L2847),Adat!$E:$E)*-1</f>
        <v>0</v>
      </c>
    </row>
    <row r="2888" spans="2:9" x14ac:dyDescent="0.2">
      <c r="B2888" s="160">
        <v>39</v>
      </c>
      <c r="C2888" s="305" t="s">
        <v>1367</v>
      </c>
      <c r="D2888" s="82" t="s">
        <v>1368</v>
      </c>
      <c r="E2888" s="72">
        <f>SUMIF(Adat!$AG:$AG,CONCATENATE(61,Info!$D$5,"0940911",L2847),Adat!$E:$E)*-1</f>
        <v>0</v>
      </c>
      <c r="F2888" s="72">
        <f>SUMIF(Adat!$AG:$AG,CONCATENATE(60,Info!$D$5,"0940911",L2847),Adat!$E:$E)*-1+E2888</f>
        <v>0</v>
      </c>
      <c r="G2888" s="72">
        <f>SUMIF(Adat!$AH:$AH,CONCATENATE(Info!$D$5,"(KÖT)","0940911",L2847),Adat!$E:$E)*-1</f>
        <v>0</v>
      </c>
      <c r="H2888" s="72">
        <f>SUMIF(Adat!$AH:$AH,CONCATENATE(Info!$D$5,"(ÖNV)","0940911",L2847),Adat!$E:$E)*-1</f>
        <v>0</v>
      </c>
      <c r="I2888" s="72">
        <f>SUMIF(Adat!$AH:$AH,CONCATENATE(Info!$D$5,"(ÁIG)","0940911",L2847),Adat!$E:$E)*-1</f>
        <v>0</v>
      </c>
    </row>
    <row r="2889" spans="2:9" x14ac:dyDescent="0.2">
      <c r="B2889" s="160">
        <v>40</v>
      </c>
      <c r="C2889" s="305" t="s">
        <v>1369</v>
      </c>
      <c r="D2889" s="82" t="s">
        <v>1370</v>
      </c>
      <c r="E2889" s="72">
        <f>SUMIF(Adat!$AG:$AG,CONCATENATE(61,Info!$D$5,"0940921",L2847),Adat!$E:$E)*-1</f>
        <v>0</v>
      </c>
      <c r="F2889" s="72">
        <f>SUMIF(Adat!$AG:$AG,CONCATENATE(60,Info!$D$5,"0940921",L2847),Adat!$E:$E)*-1+E2889</f>
        <v>0</v>
      </c>
      <c r="G2889" s="72">
        <f>SUMIF(Adat!$AH:$AH,CONCATENATE(Info!$D$5,"(KÖT)","0940921",L2847),Adat!$E:$E)*-1</f>
        <v>0</v>
      </c>
      <c r="H2889" s="72">
        <f>SUMIF(Adat!$AH:$AH,CONCATENATE(Info!$D$5,"(ÖNV)","0940921",L2847),Adat!$E:$E)*-1</f>
        <v>0</v>
      </c>
      <c r="I2889" s="72">
        <f>SUMIF(Adat!$AH:$AH,CONCATENATE(Info!$D$5,"(ÁIG)","0940921",L2847),Adat!$E:$E)*-1</f>
        <v>0</v>
      </c>
    </row>
    <row r="2890" spans="2:9" x14ac:dyDescent="0.2">
      <c r="B2890" s="160">
        <v>41</v>
      </c>
      <c r="C2890" s="305" t="s">
        <v>1296</v>
      </c>
      <c r="D2890" s="82" t="s">
        <v>1371</v>
      </c>
      <c r="E2890" s="72">
        <f>SUMIF(Adat!$AG:$AG,CONCATENATE(61,Info!$D$5,"094101",L2847),Adat!$E:$E)*-1</f>
        <v>0</v>
      </c>
      <c r="F2890" s="72">
        <f>SUMIF(Adat!$AG:$AG,CONCATENATE(60,Info!$D$5,"094101",L2847),Adat!$E:$E)*-1+E2890</f>
        <v>0</v>
      </c>
      <c r="G2890" s="72">
        <f>SUMIF(Adat!$AH:$AH,CONCATENATE(Info!$D$5,"(KÖT)","094101",L2847),Adat!$E:$E)*-1</f>
        <v>0</v>
      </c>
      <c r="H2890" s="72">
        <f>SUMIF(Adat!$AH:$AH,CONCATENATE(Info!$D$5,"(ÖNV)","094101",L2847),Adat!$E:$E)*-1</f>
        <v>0</v>
      </c>
      <c r="I2890" s="72">
        <f>SUMIF(Adat!$AH:$AH,CONCATENATE(Info!$D$5,"(ÁIG)","094101",L2847),Adat!$E:$E)*-1</f>
        <v>0</v>
      </c>
    </row>
    <row r="2891" spans="2:9" x14ac:dyDescent="0.25">
      <c r="B2891" s="160">
        <v>42</v>
      </c>
      <c r="C2891" s="305" t="s">
        <v>1297</v>
      </c>
      <c r="D2891" s="84" t="s">
        <v>1372</v>
      </c>
      <c r="E2891" s="72">
        <f>SUMIF(Adat!$AG:$AG,CONCATENATE(61,Info!$D$5,"094111",L2847),Adat!$E:$E)*-1</f>
        <v>0</v>
      </c>
      <c r="F2891" s="72">
        <f>SUMIF(Adat!$AG:$AG,CONCATENATE(60,Info!$D$5,"094111",L2847),Adat!$E:$E)*-1+E2891</f>
        <v>0</v>
      </c>
      <c r="G2891" s="72">
        <f>SUMIF(Adat!$AH:$AH,CONCATENATE(Info!$D$5,"(KÖT)","094111",L2847),Adat!$E:$E)*-1</f>
        <v>0</v>
      </c>
      <c r="H2891" s="72">
        <f>SUMIF(Adat!$AH:$AH,CONCATENATE(Info!$D$5,"(ÖNV)","094111",L2847),Adat!$E:$E)*-1</f>
        <v>0</v>
      </c>
      <c r="I2891" s="72">
        <f>SUMIF(Adat!$AH:$AH,CONCATENATE(Info!$D$5,"(ÁIG)","094111",L2847),Adat!$E:$E)*-1</f>
        <v>0</v>
      </c>
    </row>
    <row r="2892" spans="2:9" x14ac:dyDescent="0.25">
      <c r="B2892" s="160">
        <v>43</v>
      </c>
      <c r="C2892" s="79" t="s">
        <v>33</v>
      </c>
      <c r="D2892" s="79" t="s">
        <v>330</v>
      </c>
      <c r="E2892" s="71">
        <f>SUM(E2893:E2897)</f>
        <v>0</v>
      </c>
      <c r="F2892" s="71">
        <f>SUM(F2893:F2897)</f>
        <v>0</v>
      </c>
      <c r="G2892" s="71">
        <f>SUM(G2893:G2897)</f>
        <v>0</v>
      </c>
      <c r="H2892" s="71">
        <f>SUM(H2893:H2897)</f>
        <v>0</v>
      </c>
      <c r="I2892" s="71">
        <f>SUM(I2893:I2897)</f>
        <v>0</v>
      </c>
    </row>
    <row r="2893" spans="2:9" x14ac:dyDescent="0.2">
      <c r="B2893" s="160">
        <v>44</v>
      </c>
      <c r="C2893" s="305" t="s">
        <v>1373</v>
      </c>
      <c r="D2893" s="82" t="s">
        <v>1374</v>
      </c>
      <c r="E2893" s="72">
        <f>SUMIF(Adat!$AG:$AG,CONCATENATE(61,Info!$D$5,"09511",L2847),Adat!$E:$E)*-1</f>
        <v>0</v>
      </c>
      <c r="F2893" s="72">
        <f>SUMIF(Adat!$AG:$AG,CONCATENATE(60,Info!$D$5,"09511",L2847),Adat!$E:$E)*-1+E2893</f>
        <v>0</v>
      </c>
      <c r="G2893" s="72">
        <f>SUMIF(Adat!$AH:$AH,CONCATENATE(Info!$D$5,"(KÖT)","09511",L2847),Adat!$E:$E)*-1</f>
        <v>0</v>
      </c>
      <c r="H2893" s="72">
        <f>SUMIF(Adat!$AH:$AH,CONCATENATE(Info!$D$5,"(ÖNV)","09511",L2847),Adat!$E:$E)*-1</f>
        <v>0</v>
      </c>
      <c r="I2893" s="72">
        <f>SUMIF(Adat!$AH:$AH,CONCATENATE(Info!$D$5,"(ÁIG)","09511",L2847),Adat!$E:$E)*-1</f>
        <v>0</v>
      </c>
    </row>
    <row r="2894" spans="2:9" x14ac:dyDescent="0.2">
      <c r="B2894" s="160">
        <v>45</v>
      </c>
      <c r="C2894" s="305" t="s">
        <v>1294</v>
      </c>
      <c r="D2894" s="82" t="s">
        <v>1375</v>
      </c>
      <c r="E2894" s="72">
        <f>SUMIF(Adat!$AG:$AG,CONCATENATE(61,Info!$D$5,"09521",L2847),Adat!$E:$E)*-1</f>
        <v>0</v>
      </c>
      <c r="F2894" s="72">
        <f>SUMIF(Adat!$AG:$AG,CONCATENATE(60,Info!$D$5,"09521",L2847),Adat!$E:$E)*-1+E2894</f>
        <v>0</v>
      </c>
      <c r="G2894" s="72">
        <f>SUMIF(Adat!$AH:$AH,CONCATENATE(Info!$D$5,"(KÖT)","09521",L2847),Adat!$E:$E)*-1</f>
        <v>0</v>
      </c>
      <c r="H2894" s="72">
        <f>SUMIF(Adat!$AH:$AH,CONCATENATE(Info!$D$5,"(ÖNV)","09521",L2847),Adat!$E:$E)*-1</f>
        <v>0</v>
      </c>
      <c r="I2894" s="72">
        <f>SUMIF(Adat!$AH:$AH,CONCATENATE(Info!$D$5,"(ÁIG)","09521",L2847),Adat!$E:$E)*-1</f>
        <v>0</v>
      </c>
    </row>
    <row r="2895" spans="2:9" x14ac:dyDescent="0.2">
      <c r="B2895" s="160">
        <v>46</v>
      </c>
      <c r="C2895" s="305" t="s">
        <v>1376</v>
      </c>
      <c r="D2895" s="82" t="s">
        <v>1377</v>
      </c>
      <c r="E2895" s="72">
        <f>SUMIF(Adat!$AG:$AG,CONCATENATE(61,Info!$D$5,"09531",L2847),Adat!$E:$E)*-1</f>
        <v>0</v>
      </c>
      <c r="F2895" s="72">
        <f>SUMIF(Adat!$AG:$AG,CONCATENATE(60,Info!$D$5,"09531",L2847),Adat!$E:$E)*-1+E2895</f>
        <v>0</v>
      </c>
      <c r="G2895" s="72">
        <f>SUMIF(Adat!$AH:$AH,CONCATENATE(Info!$D$5,"(KÖT)","09531",L2847),Adat!$E:$E)*-1</f>
        <v>0</v>
      </c>
      <c r="H2895" s="72">
        <f>SUMIF(Adat!$AH:$AH,CONCATENATE(Info!$D$5,"(ÖNV)","09531",L2847),Adat!$E:$E)*-1</f>
        <v>0</v>
      </c>
      <c r="I2895" s="72">
        <f>SUMIF(Adat!$AH:$AH,CONCATENATE(Info!$D$5,"(ÁIG)","09531",L2847),Adat!$E:$E)*-1</f>
        <v>0</v>
      </c>
    </row>
    <row r="2896" spans="2:9" x14ac:dyDescent="0.2">
      <c r="B2896" s="160">
        <v>47</v>
      </c>
      <c r="C2896" s="305" t="s">
        <v>1378</v>
      </c>
      <c r="D2896" s="82" t="s">
        <v>1379</v>
      </c>
      <c r="E2896" s="72">
        <f>SUMIF(Adat!$AG:$AG,CONCATENATE(61,Info!$D$5,"09541",L2847),Adat!$E:$E)*-1</f>
        <v>0</v>
      </c>
      <c r="F2896" s="72">
        <f>SUMIF(Adat!$AG:$AG,CONCATENATE(60,Info!$D$5,"09541",L2847),Adat!$E:$E)*-1+E2896</f>
        <v>0</v>
      </c>
      <c r="G2896" s="72">
        <f>SUMIF(Adat!$AH:$AH,CONCATENATE(Info!$D$5,"(KÖT)","09541",L2847),Adat!$E:$E)*-1</f>
        <v>0</v>
      </c>
      <c r="H2896" s="72">
        <f>SUMIF(Adat!$AH:$AH,CONCATENATE(Info!$D$5,"(ÖNV)","09541",L2847),Adat!$E:$E)*-1</f>
        <v>0</v>
      </c>
      <c r="I2896" s="72">
        <f>SUMIF(Adat!$AH:$AH,CONCATENATE(Info!$D$5,"(ÁIG)","09541",L2847),Adat!$E:$E)*-1</f>
        <v>0</v>
      </c>
    </row>
    <row r="2897" spans="2:9" x14ac:dyDescent="0.25">
      <c r="B2897" s="160">
        <v>48</v>
      </c>
      <c r="C2897" s="305" t="s">
        <v>1380</v>
      </c>
      <c r="D2897" s="84" t="s">
        <v>1381</v>
      </c>
      <c r="E2897" s="72">
        <f>SUMIF(Adat!$AG:$AG,CONCATENATE(61,Info!$D$5,"09551",L2847),Adat!$E:$E)*-1</f>
        <v>0</v>
      </c>
      <c r="F2897" s="72">
        <f>SUMIF(Adat!$AG:$AG,CONCATENATE(60,Info!$D$5,"09551",L2847),Adat!$E:$E)*-1+E2897</f>
        <v>0</v>
      </c>
      <c r="G2897" s="72">
        <f>SUMIF(Adat!$AH:$AH,CONCATENATE(Info!$D$5,"(KÖT)","09551",L2847),Adat!$E:$E)*-1</f>
        <v>0</v>
      </c>
      <c r="H2897" s="72">
        <f>SUMIF(Adat!$AH:$AH,CONCATENATE(Info!$D$5,"(ÖNV)","09551",L2847),Adat!$E:$E)*-1</f>
        <v>0</v>
      </c>
      <c r="I2897" s="72">
        <f>SUMIF(Adat!$AH:$AH,CONCATENATE(Info!$D$5,"(ÁIG)","09551",L2847),Adat!$E:$E)*-1</f>
        <v>0</v>
      </c>
    </row>
    <row r="2898" spans="2:9" x14ac:dyDescent="0.25">
      <c r="B2898" s="160">
        <v>49</v>
      </c>
      <c r="C2898" s="79" t="s">
        <v>36</v>
      </c>
      <c r="D2898" s="79" t="s">
        <v>331</v>
      </c>
      <c r="E2898" s="71">
        <f>SUM(E2899:E2903)</f>
        <v>0</v>
      </c>
      <c r="F2898" s="71">
        <f t="shared" ref="F2898:I2898" si="306">SUM(F2899:F2903)</f>
        <v>0</v>
      </c>
      <c r="G2898" s="71">
        <f t="shared" si="306"/>
        <v>0</v>
      </c>
      <c r="H2898" s="71">
        <f t="shared" si="306"/>
        <v>0</v>
      </c>
      <c r="I2898" s="71">
        <f t="shared" si="306"/>
        <v>0</v>
      </c>
    </row>
    <row r="2899" spans="2:9" x14ac:dyDescent="0.2">
      <c r="B2899" s="160">
        <v>50</v>
      </c>
      <c r="C2899" s="305" t="s">
        <v>1382</v>
      </c>
      <c r="D2899" s="82" t="s">
        <v>1383</v>
      </c>
      <c r="E2899" s="72">
        <f>SUMIF(Adat!$AG:$AG,CONCATENATE(61,Info!$D$5,"09611",L2847),Adat!$E:$E)*-1</f>
        <v>0</v>
      </c>
      <c r="F2899" s="72">
        <f>SUMIF(Adat!$AG:$AG,CONCATENATE(60,Info!$D$5,"09611",L2847),Adat!$E:$E)*-1+E2899</f>
        <v>0</v>
      </c>
      <c r="G2899" s="72">
        <f>SUMIF(Adat!$AH:$AH,CONCATENATE(Info!$D$5,"(KÖT)","09611",L2847),Adat!$E:$E)*-1</f>
        <v>0</v>
      </c>
      <c r="H2899" s="72">
        <f>SUMIF(Adat!$AH:$AH,CONCATENATE(Info!$D$5,"(ÖNV)","09611",L2847),Adat!$E:$E)*-1</f>
        <v>0</v>
      </c>
      <c r="I2899" s="72">
        <f>SUMIF(Adat!$AH:$AH,CONCATENATE(Info!$D$5,"(ÁIG)","09611",L2847),Adat!$E:$E)*-1</f>
        <v>0</v>
      </c>
    </row>
    <row r="2900" spans="2:9" x14ac:dyDescent="0.2">
      <c r="B2900" s="160">
        <v>51</v>
      </c>
      <c r="C2900" s="305" t="s">
        <v>1384</v>
      </c>
      <c r="D2900" s="82" t="s">
        <v>1385</v>
      </c>
      <c r="E2900" s="72">
        <f>SUMIF(Adat!$AG:$AG,CONCATENATE(61,Info!$D$5,"09621",L2847),Adat!$E:$E)*-1</f>
        <v>0</v>
      </c>
      <c r="F2900" s="72">
        <f>SUMIF(Adat!$AG:$AG,CONCATENATE(60,Info!$D$5,"09621",L2847),Adat!$E:$E)*-1+E2900</f>
        <v>0</v>
      </c>
      <c r="G2900" s="72">
        <f>SUMIF(Adat!$AH:$AH,CONCATENATE(Info!$D$5,"(KÖT)","09621",L2847),Adat!$E:$E)*-1</f>
        <v>0</v>
      </c>
      <c r="H2900" s="72">
        <f>SUMIF(Adat!$AH:$AH,CONCATENATE(Info!$D$5,"(ÖNV)","09621",L2847),Adat!$E:$E)*-1</f>
        <v>0</v>
      </c>
      <c r="I2900" s="72">
        <f>SUMIF(Adat!$AH:$AH,CONCATENATE(Info!$D$5,"(ÁIG)","09621",L2847),Adat!$E:$E)*-1</f>
        <v>0</v>
      </c>
    </row>
    <row r="2901" spans="2:9" x14ac:dyDescent="0.2">
      <c r="B2901" s="160">
        <v>52</v>
      </c>
      <c r="C2901" s="305" t="s">
        <v>1386</v>
      </c>
      <c r="D2901" s="82" t="s">
        <v>1387</v>
      </c>
      <c r="E2901" s="72">
        <f>SUMIF(Adat!$AG:$AG,CONCATENATE(61,Info!$D$5,"09631",L2847),Adat!$E:$E)*-1</f>
        <v>0</v>
      </c>
      <c r="F2901" s="72">
        <f>SUMIF(Adat!$AG:$AG,CONCATENATE(60,Info!$D$5,"09631",L2847),Adat!$E:$E)*-1+E2901</f>
        <v>0</v>
      </c>
      <c r="G2901" s="72">
        <f>SUMIF(Adat!$AH:$AH,CONCATENATE(Info!$D$5,"(KÖT)","09631",L2847),Adat!$E:$E)*-1</f>
        <v>0</v>
      </c>
      <c r="H2901" s="72">
        <f>SUMIF(Adat!$AH:$AH,CONCATENATE(Info!$D$5,"(ÖNV)","09631",L2847),Adat!$E:$E)*-1</f>
        <v>0</v>
      </c>
      <c r="I2901" s="72">
        <f>SUMIF(Adat!$AH:$AH,CONCATENATE(Info!$D$5,"(ÁIG)","09631",L2847),Adat!$E:$E)*-1</f>
        <v>0</v>
      </c>
    </row>
    <row r="2902" spans="2:9" x14ac:dyDescent="0.2">
      <c r="B2902" s="160">
        <v>53</v>
      </c>
      <c r="C2902" s="305" t="s">
        <v>1388</v>
      </c>
      <c r="D2902" s="82" t="s">
        <v>1389</v>
      </c>
      <c r="E2902" s="72">
        <f>SUMIF(Adat!$AG:$AG,CONCATENATE(61,Info!$D$5,"09641",L2847),Adat!$E:$E)*-1</f>
        <v>0</v>
      </c>
      <c r="F2902" s="72">
        <f>SUMIF(Adat!$AG:$AG,CONCATENATE(60,Info!$D$5,"09641",L2847),Adat!$E:$E)*-1+E2902</f>
        <v>0</v>
      </c>
      <c r="G2902" s="72">
        <f>SUMIF(Adat!$AH:$AH,CONCATENATE(Info!$D$5,"(KÖT)","09641",L2847),Adat!$E:$E)*-1</f>
        <v>0</v>
      </c>
      <c r="H2902" s="72">
        <f>SUMIF(Adat!$AH:$AH,CONCATENATE(Info!$D$5,"(ÖNV)","09641",L2847),Adat!$E:$E)*-1</f>
        <v>0</v>
      </c>
      <c r="I2902" s="72">
        <f>SUMIF(Adat!$AH:$AH,CONCATENATE(Info!$D$5,"(ÁIG)","09641",L2847),Adat!$E:$E)*-1</f>
        <v>0</v>
      </c>
    </row>
    <row r="2903" spans="2:9" x14ac:dyDescent="0.2">
      <c r="B2903" s="160">
        <v>54</v>
      </c>
      <c r="C2903" s="305" t="s">
        <v>1310</v>
      </c>
      <c r="D2903" s="82" t="s">
        <v>1390</v>
      </c>
      <c r="E2903" s="72">
        <f>SUMIF(Adat!$AG:$AG,CONCATENATE(61,Info!$D$5,"09651",L2847),Adat!$E:$E)*-1</f>
        <v>0</v>
      </c>
      <c r="F2903" s="72">
        <f>SUMIF(Adat!$AG:$AG,CONCATENATE(60,Info!$D$5,"09651",L2847),Adat!$E:$E)*-1+E2903</f>
        <v>0</v>
      </c>
      <c r="G2903" s="72">
        <f>SUMIF(Adat!$AH:$AH,CONCATENATE(Info!$D$5,"(KÖT)","09651",L2847),Adat!$E:$E)*-1</f>
        <v>0</v>
      </c>
      <c r="H2903" s="72">
        <f>SUMIF(Adat!$AH:$AH,CONCATENATE(Info!$D$5,"(ÖNV)","09651",L2847),Adat!$E:$E)*-1</f>
        <v>0</v>
      </c>
      <c r="I2903" s="72">
        <f>SUMIF(Adat!$AH:$AH,CONCATENATE(Info!$D$5,"(ÁIG)","09651",L2847),Adat!$E:$E)*-1</f>
        <v>0</v>
      </c>
    </row>
    <row r="2904" spans="2:9" x14ac:dyDescent="0.25">
      <c r="B2904" s="160">
        <v>55</v>
      </c>
      <c r="C2904" s="79" t="s">
        <v>38</v>
      </c>
      <c r="D2904" s="85" t="s">
        <v>332</v>
      </c>
      <c r="E2904" s="71">
        <f>SUM(E2905:E2909)</f>
        <v>0</v>
      </c>
      <c r="F2904" s="71">
        <f t="shared" ref="F2904:I2904" si="307">SUM(F2905:F2909)</f>
        <v>0</v>
      </c>
      <c r="G2904" s="71">
        <f t="shared" si="307"/>
        <v>0</v>
      </c>
      <c r="H2904" s="71">
        <f t="shared" si="307"/>
        <v>0</v>
      </c>
      <c r="I2904" s="71">
        <f t="shared" si="307"/>
        <v>0</v>
      </c>
    </row>
    <row r="2905" spans="2:9" x14ac:dyDescent="0.2">
      <c r="B2905" s="160">
        <v>56</v>
      </c>
      <c r="C2905" s="305" t="s">
        <v>1391</v>
      </c>
      <c r="D2905" s="82" t="s">
        <v>1392</v>
      </c>
      <c r="E2905" s="72">
        <f>SUMIF(Adat!$AG:$AG,CONCATENATE(61,Info!$D$5,"09711",L2847),Adat!$E:$E)*-1</f>
        <v>0</v>
      </c>
      <c r="F2905" s="72">
        <f>SUMIF(Adat!$AG:$AG,CONCATENATE(60,Info!$D$5,"09711",L2847),Adat!$E:$E)*-1+E2905</f>
        <v>0</v>
      </c>
      <c r="G2905" s="72">
        <f>SUMIF(Adat!$AH:$AH,CONCATENATE(Info!$D$5,"(KÖT)","09711",L2847),Adat!$E:$E)*-1</f>
        <v>0</v>
      </c>
      <c r="H2905" s="72">
        <f>SUMIF(Adat!$AH:$AH,CONCATENATE(Info!$D$5,"(ÖNV)","09711",L2847),Adat!$E:$E)*-1</f>
        <v>0</v>
      </c>
      <c r="I2905" s="72">
        <f>SUMIF(Adat!$AH:$AH,CONCATENATE(Info!$D$5,"(ÁIG)","09711",L2847),Adat!$E:$E)*-1</f>
        <v>0</v>
      </c>
    </row>
    <row r="2906" spans="2:9" x14ac:dyDescent="0.2">
      <c r="B2906" s="160">
        <v>57</v>
      </c>
      <c r="C2906" s="305" t="s">
        <v>1393</v>
      </c>
      <c r="D2906" s="82" t="s">
        <v>1394</v>
      </c>
      <c r="E2906" s="72">
        <f>SUMIF(Adat!$AG:$AG,CONCATENATE(61,Info!$D$5,"09721",L2847),Adat!$E:$E)*-1</f>
        <v>0</v>
      </c>
      <c r="F2906" s="72">
        <f>SUMIF(Adat!$AG:$AG,CONCATENATE(60,Info!$D$5,"09721",L2847),Adat!$E:$E)*-1+E2906</f>
        <v>0</v>
      </c>
      <c r="G2906" s="72">
        <f>SUMIF(Adat!$AH:$AH,CONCATENATE(Info!$D$5,"(KÖT)","09721",L2847),Adat!$E:$E)*-1</f>
        <v>0</v>
      </c>
      <c r="H2906" s="72">
        <f>SUMIF(Adat!$AH:$AH,CONCATENATE(Info!$D$5,"(ÖNV)","09721",L2847),Adat!$E:$E)*-1</f>
        <v>0</v>
      </c>
      <c r="I2906" s="72">
        <f>SUMIF(Adat!$AH:$AH,CONCATENATE(Info!$D$5,"(ÁIG)","09721",L2847),Adat!$E:$E)*-1</f>
        <v>0</v>
      </c>
    </row>
    <row r="2907" spans="2:9" x14ac:dyDescent="0.2">
      <c r="B2907" s="160">
        <v>58</v>
      </c>
      <c r="C2907" s="305" t="s">
        <v>1395</v>
      </c>
      <c r="D2907" s="82" t="s">
        <v>1396</v>
      </c>
      <c r="E2907" s="72">
        <f>SUMIF(Adat!$AG:$AG,CONCATENATE(61,Info!$D$5,"09731",L2847),Adat!$E:$E)*-1</f>
        <v>0</v>
      </c>
      <c r="F2907" s="72">
        <f>SUMIF(Adat!$AG:$AG,CONCATENATE(60,Info!$D$5,"09731",L2847),Adat!$E:$E)*-1+E2907</f>
        <v>0</v>
      </c>
      <c r="G2907" s="72">
        <f>SUMIF(Adat!$AH:$AH,CONCATENATE(Info!$D$5,"(KÖT)","09731",L2847),Adat!$E:$E)*-1</f>
        <v>0</v>
      </c>
      <c r="H2907" s="72">
        <f>SUMIF(Adat!$AH:$AH,CONCATENATE(Info!$D$5,"(ÖNV)","09731",L2847),Adat!$E:$E)*-1</f>
        <v>0</v>
      </c>
      <c r="I2907" s="72">
        <f>SUMIF(Adat!$AH:$AH,CONCATENATE(Info!$D$5,"(ÁIG)","09731",L2847),Adat!$E:$E)*-1</f>
        <v>0</v>
      </c>
    </row>
    <row r="2908" spans="2:9" x14ac:dyDescent="0.2">
      <c r="B2908" s="160">
        <v>59</v>
      </c>
      <c r="C2908" s="305" t="s">
        <v>1397</v>
      </c>
      <c r="D2908" s="82" t="s">
        <v>1398</v>
      </c>
      <c r="E2908" s="72">
        <f>SUMIF(Adat!$AG:$AG,CONCATENATE(61,Info!$D$5,"09741",L2847),Adat!$E:$E)*-1</f>
        <v>0</v>
      </c>
      <c r="F2908" s="72">
        <f>SUMIF(Adat!$AG:$AG,CONCATENATE(60,Info!$D$5,"09741",L2847),Adat!$E:$E)*-1+E2908</f>
        <v>0</v>
      </c>
      <c r="G2908" s="72">
        <f>SUMIF(Adat!$AH:$AH,CONCATENATE(Info!$D$5,"(KÖT)","09741",L2847),Adat!$E:$E)*-1</f>
        <v>0</v>
      </c>
      <c r="H2908" s="72">
        <f>SUMIF(Adat!$AH:$AH,CONCATENATE(Info!$D$5,"(ÖNV)","09741",L2847),Adat!$E:$E)*-1</f>
        <v>0</v>
      </c>
      <c r="I2908" s="72">
        <f>SUMIF(Adat!$AH:$AH,CONCATENATE(Info!$D$5,"(ÁIG)","09741",L2847),Adat!$E:$E)*-1</f>
        <v>0</v>
      </c>
    </row>
    <row r="2909" spans="2:9" x14ac:dyDescent="0.25">
      <c r="B2909" s="160">
        <v>60</v>
      </c>
      <c r="C2909" s="305" t="s">
        <v>1399</v>
      </c>
      <c r="D2909" s="84" t="s">
        <v>1400</v>
      </c>
      <c r="E2909" s="72">
        <f>SUMIF(Adat!$AG:$AG,CONCATENATE(61,Info!$D$5,"09751",L2847),Adat!$E:$E)*-1</f>
        <v>0</v>
      </c>
      <c r="F2909" s="72">
        <f>SUMIF(Adat!$AG:$AG,CONCATENATE(60,Info!$D$5,"09751",L2847),Adat!$E:$E)*-1+E2909</f>
        <v>0</v>
      </c>
      <c r="G2909" s="72">
        <f>SUMIF(Adat!$AH:$AH,CONCATENATE(Info!$D$5,"(KÖT)","09751",L2847),Adat!$E:$E)*-1</f>
        <v>0</v>
      </c>
      <c r="H2909" s="72">
        <f>SUMIF(Adat!$AH:$AH,CONCATENATE(Info!$D$5,"(ÖNV)","09751",L2847),Adat!$E:$E)*-1</f>
        <v>0</v>
      </c>
      <c r="I2909" s="72">
        <f>SUMIF(Adat!$AH:$AH,CONCATENATE(Info!$D$5,"(ÁIG)","09751",L2847),Adat!$E:$E)*-1</f>
        <v>0</v>
      </c>
    </row>
    <row r="2910" spans="2:9" x14ac:dyDescent="0.25">
      <c r="B2910" s="160">
        <v>61</v>
      </c>
      <c r="C2910" s="78" t="s">
        <v>352</v>
      </c>
      <c r="D2910" s="86" t="s">
        <v>1401</v>
      </c>
      <c r="E2910" s="71">
        <f>+E2851+E2859+E2865+E2871+E2878+E2892+E2898+E2904</f>
        <v>0</v>
      </c>
      <c r="F2910" s="71">
        <f>+F2851+F2859+F2865+F2871+F2878+F2892+F2898+F2904</f>
        <v>0</v>
      </c>
      <c r="G2910" s="71">
        <f>+G2851+G2859+G2865+G2871+G2878+G2892+G2898+G2904</f>
        <v>0</v>
      </c>
      <c r="H2910" s="71">
        <f>+H2851+H2859+H2865+H2871+H2878+H2892+H2898+H2904</f>
        <v>0</v>
      </c>
      <c r="I2910" s="71">
        <f>+I2851+I2859+I2865+I2871+I2878+I2892+I2898+I2904</f>
        <v>0</v>
      </c>
    </row>
    <row r="2911" spans="2:9" x14ac:dyDescent="0.25">
      <c r="B2911" s="160">
        <v>62</v>
      </c>
      <c r="C2911" s="154" t="s">
        <v>1402</v>
      </c>
      <c r="D2911" s="85" t="s">
        <v>1403</v>
      </c>
      <c r="E2911" s="71">
        <f t="shared" ref="E2911:G2911" si="308">SUM(E2912:E2914)</f>
        <v>0</v>
      </c>
      <c r="F2911" s="71">
        <f t="shared" si="308"/>
        <v>0</v>
      </c>
      <c r="G2911" s="71">
        <f t="shared" si="308"/>
        <v>0</v>
      </c>
      <c r="H2911" s="71">
        <f>SUM(H2912:H2914)</f>
        <v>0</v>
      </c>
      <c r="I2911" s="71">
        <f>SUM(I2912:I2914)</f>
        <v>0</v>
      </c>
    </row>
    <row r="2912" spans="2:9" x14ac:dyDescent="0.2">
      <c r="B2912" s="160">
        <v>63</v>
      </c>
      <c r="C2912" s="305" t="s">
        <v>1404</v>
      </c>
      <c r="D2912" s="82" t="s">
        <v>1405</v>
      </c>
      <c r="E2912" s="72">
        <f>SUMIF(Adat!$AG:$AG,CONCATENATE(61,Info!$D$5,"0981111",L2847),Adat!$E:$E)*-1</f>
        <v>0</v>
      </c>
      <c r="F2912" s="72">
        <f>SUMIF(Adat!$AG:$AG,CONCATENATE(60,Info!$D$5,"0981111",L2847),Adat!$E:$E)*-1+E2912</f>
        <v>0</v>
      </c>
      <c r="G2912" s="72">
        <f>SUMIF(Adat!$AH:$AH,CONCATENATE(Info!$D$5,"(KÖT)","0981111",L2847),Adat!$E:$E)*-1</f>
        <v>0</v>
      </c>
      <c r="H2912" s="72">
        <f>SUMIF(Adat!$AH:$AH,CONCATENATE(Info!$D$5,"(ÖNV)","0981111",L2847),Adat!$E:$E)*-1</f>
        <v>0</v>
      </c>
      <c r="I2912" s="72">
        <f>SUMIF(Adat!$AH:$AH,CONCATENATE(Info!$D$5,"(ÁIG)","0981111",L2847),Adat!$E:$E)*-1</f>
        <v>0</v>
      </c>
    </row>
    <row r="2913" spans="2:9" x14ac:dyDescent="0.2">
      <c r="B2913" s="160">
        <v>64</v>
      </c>
      <c r="C2913" s="305" t="s">
        <v>1406</v>
      </c>
      <c r="D2913" s="82" t="s">
        <v>1407</v>
      </c>
      <c r="E2913" s="72">
        <f>SUMIF(Adat!$AG:$AG,CONCATENATE(61,Info!$D$5,"0981121",L2847),Adat!$E:$E)*-1</f>
        <v>0</v>
      </c>
      <c r="F2913" s="72">
        <f>SUMIF(Adat!$AG:$AG,CONCATENATE(60,Info!$D$5,"0981121",L2847),Adat!$E:$E)*-1+E2913</f>
        <v>0</v>
      </c>
      <c r="G2913" s="72">
        <f>SUMIF(Adat!$AH:$AH,CONCATENATE(Info!$D$5,"(KÖT)","0981121",L2847),Adat!$E:$E)*-1</f>
        <v>0</v>
      </c>
      <c r="H2913" s="72">
        <f>SUMIF(Adat!$AH:$AH,CONCATENATE(Info!$D$5,"(ÖNV)","0981121",L2847),Adat!$E:$E)*-1</f>
        <v>0</v>
      </c>
      <c r="I2913" s="72">
        <f>SUMIF(Adat!$AH:$AH,CONCATENATE(Info!$D$5,"(ÁIG)","0981121",L2847),Adat!$E:$E)*-1</f>
        <v>0</v>
      </c>
    </row>
    <row r="2914" spans="2:9" x14ac:dyDescent="0.2">
      <c r="B2914" s="160">
        <v>65</v>
      </c>
      <c r="C2914" s="305" t="s">
        <v>1408</v>
      </c>
      <c r="D2914" s="82" t="s">
        <v>1409</v>
      </c>
      <c r="E2914" s="72">
        <f>SUMIF(Adat!$AG:$AG,CONCATENATE(61,Info!$D$5,"0981131",L2847),Adat!$E:$E)*-1</f>
        <v>0</v>
      </c>
      <c r="F2914" s="72">
        <f>SUMIF(Adat!$AG:$AG,CONCATENATE(60,Info!$D$5,"0981131",L2847),Adat!$E:$E)*-1+E2914</f>
        <v>0</v>
      </c>
      <c r="G2914" s="72">
        <f>SUMIF(Adat!$AH:$AH,CONCATENATE(Info!$D$5,"(KÖT)","0981131",L2847),Adat!$E:$E)*-1</f>
        <v>0</v>
      </c>
      <c r="H2914" s="72">
        <f>SUMIF(Adat!$AH:$AH,CONCATENATE(Info!$D$5,"(ÖNV)","0981131",L2847),Adat!$E:$E)*-1</f>
        <v>0</v>
      </c>
      <c r="I2914" s="72">
        <f>SUMIF(Adat!$AH:$AH,CONCATENATE(Info!$D$5,"(ÁIG)","0981131",L2847),Adat!$E:$E)*-1</f>
        <v>0</v>
      </c>
    </row>
    <row r="2915" spans="2:9" x14ac:dyDescent="0.25">
      <c r="B2915" s="160">
        <v>66</v>
      </c>
      <c r="C2915" s="154" t="s">
        <v>1410</v>
      </c>
      <c r="D2915" s="85" t="s">
        <v>574</v>
      </c>
      <c r="E2915" s="71">
        <f>SUM(E2916:E2919)</f>
        <v>0</v>
      </c>
      <c r="F2915" s="71">
        <f t="shared" ref="F2915" si="309">SUM(F2916:F2919)</f>
        <v>0</v>
      </c>
      <c r="G2915" s="71">
        <f>SUM(G2916:G2919)</f>
        <v>0</v>
      </c>
      <c r="H2915" s="71">
        <f>SUM(H2916:H2919)</f>
        <v>0</v>
      </c>
      <c r="I2915" s="71">
        <f>SUM(I2916:I2919)</f>
        <v>0</v>
      </c>
    </row>
    <row r="2916" spans="2:9" x14ac:dyDescent="0.2">
      <c r="B2916" s="160">
        <v>67</v>
      </c>
      <c r="C2916" s="305" t="s">
        <v>1411</v>
      </c>
      <c r="D2916" s="82" t="s">
        <v>1412</v>
      </c>
      <c r="E2916" s="72">
        <f>SUMIF(Adat!$AG:$AG,CONCATENATE(61,Info!$D$5,"0981211",L2847),Adat!$E:$E)*-1</f>
        <v>0</v>
      </c>
      <c r="F2916" s="72">
        <f>SUMIF(Adat!$AG:$AG,CONCATENATE(60,Info!$D$5,"0981211",L2847),Adat!$E:$E)*-1+E2916</f>
        <v>0</v>
      </c>
      <c r="G2916" s="72">
        <f>SUMIF(Adat!$AH:$AH,CONCATENATE(Info!$D$5,"(KÖT)","0981211",L2847),Adat!$E:$E)*-1</f>
        <v>0</v>
      </c>
      <c r="H2916" s="72">
        <f>SUMIF(Adat!$AH:$AH,CONCATENATE(Info!$D$5,"(ÖNV)","0981211",L2847),Adat!$E:$E)*-1</f>
        <v>0</v>
      </c>
      <c r="I2916" s="72">
        <f>SUMIF(Adat!$AH:$AH,CONCATENATE(Info!$D$5,"(ÁIG)","0981211",L2847),Adat!$E:$E)*-1</f>
        <v>0</v>
      </c>
    </row>
    <row r="2917" spans="2:9" x14ac:dyDescent="0.2">
      <c r="B2917" s="160">
        <v>68</v>
      </c>
      <c r="C2917" s="305" t="s">
        <v>1413</v>
      </c>
      <c r="D2917" s="82" t="s">
        <v>1414</v>
      </c>
      <c r="E2917" s="72">
        <f>SUMIF(Adat!$AG:$AG,CONCATENATE(61,Info!$D$5,"0981221",L2847),Adat!$E:$E)*-1</f>
        <v>0</v>
      </c>
      <c r="F2917" s="72">
        <f>SUMIF(Adat!$AG:$AG,CONCATENATE(60,Info!$D$5,"0981221",L2847),Adat!$E:$E)*-1+E2917</f>
        <v>0</v>
      </c>
      <c r="G2917" s="72">
        <f>SUMIF(Adat!$AH:$AH,CONCATENATE(Info!$D$5,"(KÖT)","0981221",L2847),Adat!$E:$E)*-1</f>
        <v>0</v>
      </c>
      <c r="H2917" s="72">
        <f>SUMIF(Adat!$AH:$AH,CONCATENATE(Info!$D$5,"(ÖNV)","0981221",L2847),Adat!$E:$E)*-1</f>
        <v>0</v>
      </c>
      <c r="I2917" s="72">
        <f>SUMIF(Adat!$AH:$AH,CONCATENATE(Info!$D$5,"(ÁIG)","0981221",L2847),Adat!$E:$E)*-1</f>
        <v>0</v>
      </c>
    </row>
    <row r="2918" spans="2:9" x14ac:dyDescent="0.2">
      <c r="B2918" s="160">
        <v>69</v>
      </c>
      <c r="C2918" s="305" t="s">
        <v>1313</v>
      </c>
      <c r="D2918" s="82" t="s">
        <v>1415</v>
      </c>
      <c r="E2918" s="72">
        <f>SUMIF(Adat!$AG:$AG,CONCATENATE(61,Info!$D$5,"0981231",L2847),Adat!$E:$E)*-1</f>
        <v>0</v>
      </c>
      <c r="F2918" s="72">
        <f>SUMIF(Adat!$AG:$AG,CONCATENATE(60,Info!$D$5,"0981231",L2847),Adat!$E:$E)*-1+E2918</f>
        <v>0</v>
      </c>
      <c r="G2918" s="72">
        <f>SUMIF(Adat!$AH:$AH,CONCATENATE(Info!$D$5,"(KÖT)","0981231",L2847),Adat!$E:$E)*-1</f>
        <v>0</v>
      </c>
      <c r="H2918" s="72">
        <f>SUMIF(Adat!$AH:$AH,CONCATENATE(Info!$D$5,"(ÖNV)","0981231",L2847),Adat!$E:$E)*-1</f>
        <v>0</v>
      </c>
      <c r="I2918" s="72">
        <f>SUMIF(Adat!$AH:$AH,CONCATENATE(Info!$D$5,"(ÁIG)","0981231",L2847),Adat!$E:$E)*-1</f>
        <v>0</v>
      </c>
    </row>
    <row r="2919" spans="2:9" x14ac:dyDescent="0.25">
      <c r="B2919" s="160">
        <v>70</v>
      </c>
      <c r="C2919" s="305" t="s">
        <v>1416</v>
      </c>
      <c r="D2919" s="84" t="s">
        <v>1417</v>
      </c>
      <c r="E2919" s="72">
        <f>SUMIF(Adat!$AG:$AG,CONCATENATE(61,Info!$D$5,"0981241",L2847),Adat!$E:$E)*-1</f>
        <v>0</v>
      </c>
      <c r="F2919" s="72">
        <f>SUMIF(Adat!$AG:$AG,CONCATENATE(60,Info!$D$5,"0981241",L2847),Adat!$E:$E)*-1+E2919</f>
        <v>0</v>
      </c>
      <c r="G2919" s="72">
        <f>SUMIF(Adat!$AH:$AH,CONCATENATE(Info!$D$5,"(KÖT)","0981241",L2847),Adat!$E:$E)*-1</f>
        <v>0</v>
      </c>
      <c r="H2919" s="72">
        <f>SUMIF(Adat!$AH:$AH,CONCATENATE(Info!$D$5,"(ÖNV)","0981241",L2847),Adat!$E:$E)*-1</f>
        <v>0</v>
      </c>
      <c r="I2919" s="72">
        <f>SUMIF(Adat!$AH:$AH,CONCATENATE(Info!$D$5,"(ÁIG)","0981241",L2847),Adat!$E:$E)*-1</f>
        <v>0</v>
      </c>
    </row>
    <row r="2920" spans="2:9" x14ac:dyDescent="0.25">
      <c r="B2920" s="160">
        <v>71</v>
      </c>
      <c r="C2920" s="154" t="s">
        <v>1418</v>
      </c>
      <c r="D2920" s="85" t="s">
        <v>575</v>
      </c>
      <c r="E2920" s="71">
        <f>SUM(E2921:E2922)</f>
        <v>0</v>
      </c>
      <c r="F2920" s="71">
        <f t="shared" ref="F2920" si="310">SUM(F2921:F2922)</f>
        <v>0</v>
      </c>
      <c r="G2920" s="71">
        <f>SUM(G2921:G2922)</f>
        <v>0</v>
      </c>
      <c r="H2920" s="71">
        <f>SUM(H2921:H2922)</f>
        <v>0</v>
      </c>
      <c r="I2920" s="71">
        <f>SUM(I2921:I2922)</f>
        <v>0</v>
      </c>
    </row>
    <row r="2921" spans="2:9" x14ac:dyDescent="0.2">
      <c r="B2921" s="160">
        <v>72</v>
      </c>
      <c r="C2921" s="305" t="s">
        <v>1274</v>
      </c>
      <c r="D2921" s="82" t="s">
        <v>1419</v>
      </c>
      <c r="E2921" s="72">
        <f>SUMIF(Adat!$AG:$AG,CONCATENATE(61,Info!$D$5,"0981311",L2847),Adat!$E:$E)*-1</f>
        <v>0</v>
      </c>
      <c r="F2921" s="72">
        <f>SUMIF(Adat!$AG:$AG,CONCATENATE(60,Info!$D$5,"0981311",L2847),Adat!$E:$E)*-1+E2921</f>
        <v>0</v>
      </c>
      <c r="G2921" s="72">
        <f>SUMIF(Adat!$AH:$AH,CONCATENATE(Info!$D$5,"(KÖT)","0981311",L2847),Adat!$E:$E)*-1</f>
        <v>0</v>
      </c>
      <c r="H2921" s="72">
        <f>SUMIF(Adat!$AH:$AH,CONCATENATE(Info!$D$5,"(ÖNV)","0981311",L2847),Adat!$E:$E)*-1</f>
        <v>0</v>
      </c>
      <c r="I2921" s="72">
        <f>SUMIF(Adat!$AH:$AH,CONCATENATE(Info!$D$5,"(ÁIG)","0981311",L2847),Adat!$E:$E)*-1</f>
        <v>0</v>
      </c>
    </row>
    <row r="2922" spans="2:9" x14ac:dyDescent="0.25">
      <c r="B2922" s="160">
        <v>73</v>
      </c>
      <c r="C2922" s="305" t="s">
        <v>1420</v>
      </c>
      <c r="D2922" s="84" t="s">
        <v>1421</v>
      </c>
      <c r="E2922" s="72">
        <f>SUMIF(Adat!$AG:$AG,CONCATENATE(61,Info!$D$5,"0981321",L2847),Adat!$E:$E)*-1</f>
        <v>0</v>
      </c>
      <c r="F2922" s="72">
        <f>SUMIF(Adat!$AG:$AG,CONCATENATE(60,Info!$D$5,"0981321",L2847),Adat!$E:$E)*-1+E2922</f>
        <v>0</v>
      </c>
      <c r="G2922" s="72">
        <f>SUMIF(Adat!$AH:$AH,CONCATENATE(Info!$D$5,"(KÖT)","0981321",L2847),Adat!$E:$E)*-1</f>
        <v>0</v>
      </c>
      <c r="H2922" s="72">
        <f>SUMIF(Adat!$AH:$AH,CONCATENATE(Info!$D$5,"(ÖNV)","0981321",L2847),Adat!$E:$E)*-1</f>
        <v>0</v>
      </c>
      <c r="I2922" s="72">
        <f>SUMIF(Adat!$AH:$AH,CONCATENATE(Info!$D$5,"(ÁIG)","0981321",L2847),Adat!$E:$E)*-1</f>
        <v>0</v>
      </c>
    </row>
    <row r="2923" spans="2:9" s="42" customFormat="1" x14ac:dyDescent="0.25">
      <c r="B2923" s="160">
        <v>74</v>
      </c>
      <c r="C2923" s="154" t="s">
        <v>1496</v>
      </c>
      <c r="D2923" s="85" t="s">
        <v>576</v>
      </c>
      <c r="E2923" s="71">
        <f>SUM(E2924:E2926)</f>
        <v>0</v>
      </c>
      <c r="F2923" s="71">
        <f t="shared" ref="F2923" si="311">SUM(F2924:F2926)</f>
        <v>0</v>
      </c>
      <c r="G2923" s="71">
        <f>SUM(G2924:G2926)</f>
        <v>0</v>
      </c>
      <c r="H2923" s="71">
        <f>SUM(H2924:H2926)</f>
        <v>0</v>
      </c>
      <c r="I2923" s="71">
        <f>SUM(I2924:I2926)</f>
        <v>0</v>
      </c>
    </row>
    <row r="2924" spans="2:9" x14ac:dyDescent="0.2">
      <c r="B2924" s="160">
        <v>75</v>
      </c>
      <c r="C2924" s="305" t="s">
        <v>1301</v>
      </c>
      <c r="D2924" s="82" t="s">
        <v>1422</v>
      </c>
      <c r="E2924" s="72">
        <f>SUMIF(Adat!$AG:$AG,CONCATENATE(61,Info!$D$5,"098141",L2847),Adat!$E:$E)*-1</f>
        <v>0</v>
      </c>
      <c r="F2924" s="72">
        <f>SUMIF(Adat!$AG:$AG,CONCATENATE(60,Info!$D$5,"098141",L2847),Adat!$E:$E)*-1+E2924</f>
        <v>0</v>
      </c>
      <c r="G2924" s="72">
        <f>SUMIF(Adat!$AH:$AH,CONCATENATE(Info!$D$5,"(KÖT)","098141",L2847),Adat!$E:$E)*-1</f>
        <v>0</v>
      </c>
      <c r="H2924" s="72">
        <f>SUMIF(Adat!$AH:$AH,CONCATENATE(Info!$D$5,"(ÖNV)","098141",L2847),Adat!$E:$E)*-1</f>
        <v>0</v>
      </c>
      <c r="I2924" s="72">
        <f>SUMIF(Adat!$AH:$AH,CONCATENATE(Info!$D$5,"(ÁIG)","098141",L2847),Adat!$E:$E)*-1</f>
        <v>0</v>
      </c>
    </row>
    <row r="2925" spans="2:9" x14ac:dyDescent="0.2">
      <c r="B2925" s="160">
        <v>76</v>
      </c>
      <c r="C2925" s="305" t="s">
        <v>1423</v>
      </c>
      <c r="D2925" s="82" t="s">
        <v>1424</v>
      </c>
      <c r="E2925" s="72">
        <f>SUMIF(Adat!$AG:$AG,CONCATENATE(61,Info!$D$5,"098151",L2847),Adat!$E:$E)*-1</f>
        <v>0</v>
      </c>
      <c r="F2925" s="72">
        <f>SUMIF(Adat!$AG:$AG,CONCATENATE(60,Info!$D$5,"098151",L2847),Adat!$E:$E)*-1+E2925</f>
        <v>0</v>
      </c>
      <c r="G2925" s="72">
        <f>SUMIF(Adat!$AH:$AH,CONCATENATE(Info!$D$5,"(KÖT)","098151",L2847),Adat!$E:$E)*-1</f>
        <v>0</v>
      </c>
      <c r="H2925" s="72">
        <f>SUMIF(Adat!$AH:$AH,CONCATENATE(Info!$D$5,"(ÖNV)","098151",L2847),Adat!$E:$E)*-1</f>
        <v>0</v>
      </c>
      <c r="I2925" s="72">
        <f>SUMIF(Adat!$AH:$AH,CONCATENATE(Info!$D$5,"(ÁIG)","098151",L2847),Adat!$E:$E)*-1</f>
        <v>0</v>
      </c>
    </row>
    <row r="2926" spans="2:9" x14ac:dyDescent="0.25">
      <c r="B2926" s="160">
        <v>77</v>
      </c>
      <c r="C2926" s="305" t="s">
        <v>1425</v>
      </c>
      <c r="D2926" s="84" t="s">
        <v>1426</v>
      </c>
      <c r="E2926" s="72">
        <f>SUMIF(Adat!$AG:$AG,CONCATENATE(61,Info!$D$5,"098171",L2847),Adat!$E:$E)*-1</f>
        <v>0</v>
      </c>
      <c r="F2926" s="72">
        <f>SUMIF(Adat!$AG:$AG,CONCATENATE(60,Info!$D$5,"098171",L2847),Adat!$E:$E)*-1+E2926</f>
        <v>0</v>
      </c>
      <c r="G2926" s="72">
        <f>SUMIF(Adat!$AH:$AH,CONCATENATE(Info!$D$5,"(KÖT)","098171",L2847),Adat!$E:$E)*-1</f>
        <v>0</v>
      </c>
      <c r="H2926" s="72">
        <f>SUMIF(Adat!$AH:$AH,CONCATENATE(Info!$D$5,"(ÖNV)","098171",L2847),Adat!$E:$E)*-1</f>
        <v>0</v>
      </c>
      <c r="I2926" s="72">
        <f>SUMIF(Adat!$AH:$AH,CONCATENATE(Info!$D$5,"(ÁIG)","098171",L2847),Adat!$E:$E)*-1</f>
        <v>0</v>
      </c>
    </row>
    <row r="2927" spans="2:9" x14ac:dyDescent="0.25">
      <c r="B2927" s="160">
        <v>78</v>
      </c>
      <c r="C2927" s="154" t="s">
        <v>1427</v>
      </c>
      <c r="D2927" s="85" t="s">
        <v>577</v>
      </c>
      <c r="E2927" s="71">
        <f>SUM(E2928:E2932)</f>
        <v>0</v>
      </c>
      <c r="F2927" s="71">
        <f t="shared" ref="F2927" si="312">SUM(F2928:F2932)</f>
        <v>0</v>
      </c>
      <c r="G2927" s="71">
        <f>SUM(G2928:G2932)</f>
        <v>0</v>
      </c>
      <c r="H2927" s="71">
        <f>SUM(H2928:H2932)</f>
        <v>0</v>
      </c>
      <c r="I2927" s="71">
        <f>SUM(I2928:I2932)</f>
        <v>0</v>
      </c>
    </row>
    <row r="2928" spans="2:9" x14ac:dyDescent="0.2">
      <c r="B2928" s="160">
        <v>79</v>
      </c>
      <c r="C2928" s="89" t="s">
        <v>1428</v>
      </c>
      <c r="D2928" s="82" t="s">
        <v>1429</v>
      </c>
      <c r="E2928" s="72">
        <f>SUMIF(Adat!$AG:$AG,CONCATENATE(61,Info!$D$5,"098211",L2847),Adat!$E:$E)*-1</f>
        <v>0</v>
      </c>
      <c r="F2928" s="72">
        <f>SUMIF(Adat!$AG:$AG,CONCATENATE(60,Info!$D$5,"098211",L2847),Adat!$E:$E)*-1+E2928</f>
        <v>0</v>
      </c>
      <c r="G2928" s="72">
        <f>SUMIF(Adat!$AH:$AH,CONCATENATE(Info!$D$5,"(KÖT)","098211",L2847),Adat!$E:$E)*-1</f>
        <v>0</v>
      </c>
      <c r="H2928" s="72">
        <f>SUMIF(Adat!$AH:$AH,CONCATENATE(Info!$D$5,"(ÖNV)","098211",L2847),Adat!$E:$E)*-1</f>
        <v>0</v>
      </c>
      <c r="I2928" s="72">
        <f>SUMIF(Adat!$AH:$AH,CONCATENATE(Info!$D$5,"(ÁIG)","098211",L2847),Adat!$E:$E)*-1</f>
        <v>0</v>
      </c>
    </row>
    <row r="2929" spans="2:12" x14ac:dyDescent="0.2">
      <c r="B2929" s="160">
        <v>80</v>
      </c>
      <c r="C2929" s="89" t="s">
        <v>1430</v>
      </c>
      <c r="D2929" s="82" t="s">
        <v>1431</v>
      </c>
      <c r="E2929" s="72">
        <f>SUMIF(Adat!$AG:$AG,CONCATENATE(61,Info!$D$5,"098221",L2847),Adat!$E:$E)*-1</f>
        <v>0</v>
      </c>
      <c r="F2929" s="72">
        <f>SUMIF(Adat!$AG:$AG,CONCATENATE(60,Info!$D$5,"098221",L2847),Adat!$E:$E)*-1+E2929</f>
        <v>0</v>
      </c>
      <c r="G2929" s="72">
        <f>SUMIF(Adat!$AH:$AH,CONCATENATE(Info!$D$5,"(KÖT)","098221",L2847),Adat!$E:$E)*-1</f>
        <v>0</v>
      </c>
      <c r="H2929" s="72">
        <f>SUMIF(Adat!$AH:$AH,CONCATENATE(Info!$D$5,"(ÖNV)","098221",L2847),Adat!$E:$E)*-1</f>
        <v>0</v>
      </c>
      <c r="I2929" s="72">
        <f>SUMIF(Adat!$AH:$AH,CONCATENATE(Info!$D$5,"(ÁIG)","098221",L2847),Adat!$E:$E)*-1</f>
        <v>0</v>
      </c>
    </row>
    <row r="2930" spans="2:12" x14ac:dyDescent="0.2">
      <c r="B2930" s="160">
        <v>81</v>
      </c>
      <c r="C2930" s="89" t="s">
        <v>1432</v>
      </c>
      <c r="D2930" s="82" t="s">
        <v>1433</v>
      </c>
      <c r="E2930" s="72">
        <f>SUMIF(Adat!$AG:$AG,CONCATENATE(61,Info!$D$5,"098231",L2847),Adat!$E:$E)*-1</f>
        <v>0</v>
      </c>
      <c r="F2930" s="72">
        <f>SUMIF(Adat!$AG:$AG,CONCATENATE(60,Info!$D$5,"098231",L2847),Adat!$E:$E)*-1+E2930</f>
        <v>0</v>
      </c>
      <c r="G2930" s="72">
        <f>SUMIF(Adat!$AH:$AH,CONCATENATE(Info!$D$5,"(KÖT)","098231",L2847),Adat!$E:$E)*-1</f>
        <v>0</v>
      </c>
      <c r="H2930" s="72">
        <f>SUMIF(Adat!$AH:$AH,CONCATENATE(Info!$D$5,"(ÖNV)","098231",L2847),Adat!$E:$E)*-1</f>
        <v>0</v>
      </c>
      <c r="I2930" s="72">
        <f>SUMIF(Adat!$AH:$AH,CONCATENATE(Info!$D$5,"(ÁIG)","098231",L2847),Adat!$E:$E)*-1</f>
        <v>0</v>
      </c>
    </row>
    <row r="2931" spans="2:12" x14ac:dyDescent="0.2">
      <c r="B2931" s="160">
        <v>82</v>
      </c>
      <c r="C2931" s="89" t="s">
        <v>1434</v>
      </c>
      <c r="D2931" s="82" t="s">
        <v>1435</v>
      </c>
      <c r="E2931" s="72">
        <f>SUMIF(Adat!$AG:$AG,CONCATENATE(61,Info!$D$5,"098241",L2847),Adat!$E:$E)*-1</f>
        <v>0</v>
      </c>
      <c r="F2931" s="72">
        <f>SUMIF(Adat!$AG:$AG,CONCATENATE(60,Info!$D$5,"098241",L2847),Adat!$E:$E)*-1+E2931</f>
        <v>0</v>
      </c>
      <c r="G2931" s="72">
        <f>SUMIF(Adat!$AH:$AH,CONCATENATE(Info!$D$5,"(KÖT)","098241",L2847),Adat!$E:$E)*-1</f>
        <v>0</v>
      </c>
      <c r="H2931" s="72">
        <f>SUMIF(Adat!$AH:$AH,CONCATENATE(Info!$D$5,"(ÖNV)","098241",L2847),Adat!$E:$E)*-1</f>
        <v>0</v>
      </c>
      <c r="I2931" s="72">
        <f>SUMIF(Adat!$AH:$AH,CONCATENATE(Info!$D$5,"(ÁIG)","098241",L2847),Adat!$E:$E)*-1</f>
        <v>0</v>
      </c>
    </row>
    <row r="2932" spans="2:12" s="42" customFormat="1" x14ac:dyDescent="0.2">
      <c r="B2932" s="160">
        <v>83</v>
      </c>
      <c r="C2932" s="89" t="s">
        <v>1436</v>
      </c>
      <c r="D2932" s="84" t="s">
        <v>1437</v>
      </c>
      <c r="E2932" s="72">
        <f>SUMIF(Adat!$AG:$AG,CONCATENATE(61,Info!$D$5,"098251",L2847),Adat!$E:$E)*-1</f>
        <v>0</v>
      </c>
      <c r="F2932" s="72">
        <f>SUMIF(Adat!$AG:$AG,CONCATENATE(60,Info!$D$5,"098251",L2847),Adat!$E:$E)*-1+E2932</f>
        <v>0</v>
      </c>
      <c r="G2932" s="72">
        <f>SUMIF(Adat!$AH:$AH,CONCATENATE(Info!$D$5,"(KÖT)","098251",L2847),Adat!$E:$E)*-1</f>
        <v>0</v>
      </c>
      <c r="H2932" s="72">
        <f>SUMIF(Adat!$AH:$AH,CONCATENATE(Info!$D$5,"(ÖNV)","098251",L2847),Adat!$E:$E)*-1</f>
        <v>0</v>
      </c>
      <c r="I2932" s="72">
        <f>SUMIF(Adat!$AH:$AH,CONCATENATE(Info!$D$5,"(ÁIG)","098251",L2847),Adat!$E:$E)*-1</f>
        <v>0</v>
      </c>
    </row>
    <row r="2933" spans="2:12" s="42" customFormat="1" x14ac:dyDescent="0.2">
      <c r="B2933" s="160">
        <v>84</v>
      </c>
      <c r="C2933" s="309" t="s">
        <v>1438</v>
      </c>
      <c r="D2933" s="85" t="s">
        <v>1439</v>
      </c>
      <c r="E2933" s="71">
        <f>SUMIF(Adat!$AG:$AG,CONCATENATE(61,Info!$D$5,"09831",L2847),Adat!$E:$E)*-1</f>
        <v>0</v>
      </c>
      <c r="F2933" s="71">
        <f>SUMIF(Adat!$AG:$AG,CONCATENATE(60,Info!$D$5,"09831",L2847),Adat!$E:$E)*-1+E2933</f>
        <v>0</v>
      </c>
      <c r="G2933" s="71">
        <f>SUMIF(Adat!$AH:$AH,CONCATENATE(Info!$D$5,"(KÖT)","09831",L2847),Adat!$E:$E)*-1</f>
        <v>0</v>
      </c>
      <c r="H2933" s="71">
        <f>SUMIF(Adat!$AH:$AH,CONCATENATE(Info!$D$5,"(ÖNV)","09831",L2847),Adat!$E:$E)*-1</f>
        <v>0</v>
      </c>
      <c r="I2933" s="71">
        <f>SUMIF(Adat!$AH:$AH,CONCATENATE(Info!$D$5,"(ÁIG)","09831",L2847),Adat!$E:$E)*-1</f>
        <v>0</v>
      </c>
    </row>
    <row r="2934" spans="2:12" s="42" customFormat="1" x14ac:dyDescent="0.25">
      <c r="B2934" s="160">
        <v>85</v>
      </c>
      <c r="C2934" s="154" t="s">
        <v>1440</v>
      </c>
      <c r="D2934" s="85" t="s">
        <v>1441</v>
      </c>
      <c r="E2934" s="71">
        <f>SUMIF(Adat!$AG:$AG,CONCATENATE(61,Info!$D$5,"09841",L2847),Adat!$E:$E)*-1</f>
        <v>0</v>
      </c>
      <c r="F2934" s="71">
        <f>SUMIF(Adat!$AG:$AG,CONCATENATE(60,Info!$D$5,"09841",L2847),Adat!$E:$E)*-1+E2934</f>
        <v>0</v>
      </c>
      <c r="G2934" s="71">
        <f>SUMIF(Adat!$AH:$AH,CONCATENATE(Info!$D$5,"(KÖT)","09841",L2847),Adat!$E:$E)*-1</f>
        <v>0</v>
      </c>
      <c r="H2934" s="71">
        <f>SUMIF(Adat!$AH:$AH,CONCATENATE(Info!$D$5,"(ÖNV)","09841",L2847),Adat!$E:$E)*-1</f>
        <v>0</v>
      </c>
      <c r="I2934" s="71">
        <f>SUMIF(Adat!$AH:$AH,CONCATENATE(Info!$D$5,"(ÁIG)","09841",L2847),Adat!$E:$E)*-1</f>
        <v>0</v>
      </c>
    </row>
    <row r="2935" spans="2:12" s="42" customFormat="1" x14ac:dyDescent="0.25">
      <c r="B2935" s="160">
        <v>86</v>
      </c>
      <c r="C2935" s="154" t="s">
        <v>358</v>
      </c>
      <c r="D2935" s="87" t="s">
        <v>1442</v>
      </c>
      <c r="E2935" s="71">
        <f>+E2911+E2915+E2920+E2923+E2927+E2934+E2933</f>
        <v>0</v>
      </c>
      <c r="F2935" s="71">
        <f t="shared" ref="F2935" si="313">+F2911+F2915+F2920+F2923+F2927+F2934+F2933</f>
        <v>0</v>
      </c>
      <c r="G2935" s="71">
        <f>+G2911+G2915+G2920+G2923+G2927+G2934+G2933</f>
        <v>0</v>
      </c>
      <c r="H2935" s="71">
        <f>+H2911+H2915+H2920+H2923+H2927+H2934+H2933</f>
        <v>0</v>
      </c>
      <c r="I2935" s="71">
        <f>+I2911+I2915+I2920+I2923+I2927+I2934+I2933</f>
        <v>0</v>
      </c>
    </row>
    <row r="2936" spans="2:12" s="42" customFormat="1" x14ac:dyDescent="0.25">
      <c r="B2936" s="160">
        <v>87</v>
      </c>
      <c r="C2936" s="154" t="s">
        <v>364</v>
      </c>
      <c r="D2936" s="87" t="s">
        <v>1497</v>
      </c>
      <c r="E2936" s="71">
        <f>+E2910+E2935</f>
        <v>0</v>
      </c>
      <c r="F2936" s="71">
        <f t="shared" ref="F2936" si="314">+F2910+F2935</f>
        <v>0</v>
      </c>
      <c r="G2936" s="71">
        <f>+G2910+G2935</f>
        <v>0</v>
      </c>
      <c r="H2936" s="71">
        <f>+H2910+H2935</f>
        <v>0</v>
      </c>
      <c r="I2936" s="71">
        <f>+I2910+I2935</f>
        <v>0</v>
      </c>
    </row>
    <row r="2937" spans="2:12" s="38" customFormat="1" ht="15.75" x14ac:dyDescent="0.25">
      <c r="C2937" s="156"/>
      <c r="E2937" s="140"/>
      <c r="F2937" s="140"/>
      <c r="G2937" s="140"/>
      <c r="H2937" s="140"/>
      <c r="I2937" s="140"/>
    </row>
    <row r="2938" spans="2:12" s="10" customFormat="1" ht="15.75" customHeight="1" x14ac:dyDescent="0.25">
      <c r="B2938" s="201" t="str">
        <f>CONCATENATE("42. Kiadási jogcímek"," - ",L2938," részletező")</f>
        <v>42. Kiadási jogcímek -  részletező</v>
      </c>
      <c r="C2938" s="101"/>
      <c r="D2938" s="101"/>
      <c r="E2938" s="101"/>
      <c r="F2938" s="101"/>
      <c r="G2938" s="198"/>
      <c r="H2938" s="198"/>
      <c r="I2938" s="198"/>
      <c r="L2938" s="384"/>
    </row>
    <row r="2939" spans="2:12" s="38" customFormat="1" ht="15.75" x14ac:dyDescent="0.25">
      <c r="C2939" s="156"/>
      <c r="E2939" s="140"/>
      <c r="F2939" s="140"/>
      <c r="G2939" s="140"/>
      <c r="H2939" s="140"/>
      <c r="I2939" s="140"/>
    </row>
    <row r="2940" spans="2:12" s="40" customFormat="1" x14ac:dyDescent="0.25">
      <c r="B2940" s="77"/>
      <c r="C2940" s="77" t="s">
        <v>350</v>
      </c>
      <c r="D2940" s="77" t="s">
        <v>351</v>
      </c>
      <c r="E2940" s="77" t="s">
        <v>470</v>
      </c>
      <c r="F2940" s="77" t="s">
        <v>471</v>
      </c>
      <c r="G2940" s="77" t="s">
        <v>44</v>
      </c>
      <c r="H2940" s="77" t="s">
        <v>42</v>
      </c>
      <c r="I2940" s="77" t="s">
        <v>511</v>
      </c>
    </row>
    <row r="2941" spans="2:12" s="41" customFormat="1" ht="38.25" x14ac:dyDescent="0.25">
      <c r="B2941" s="160">
        <v>1</v>
      </c>
      <c r="C2941" s="154" t="s">
        <v>593</v>
      </c>
      <c r="D2941" s="154" t="s">
        <v>488</v>
      </c>
      <c r="E2941" s="163" t="str">
        <f>CONCATENATE(PAR!$H$3," évi
eredeti 
előirányzat")</f>
        <v>2025. évi
eredeti 
előirányzat</v>
      </c>
      <c r="F2941" s="163" t="str">
        <f>CONCATENATE(PAR!$H$3," évi
módosított 
előirányzat")</f>
        <v>2025. évi
módosított 
előirányzat</v>
      </c>
      <c r="G2941" s="69" t="s">
        <v>666</v>
      </c>
      <c r="H2941" s="69" t="s">
        <v>667</v>
      </c>
      <c r="I2941" s="69" t="s">
        <v>668</v>
      </c>
    </row>
    <row r="2942" spans="2:12" s="42" customFormat="1" x14ac:dyDescent="0.25">
      <c r="B2942" s="160">
        <v>2</v>
      </c>
      <c r="C2942" s="78" t="s">
        <v>352</v>
      </c>
      <c r="D2942" s="92" t="s">
        <v>2663</v>
      </c>
      <c r="E2942" s="71">
        <f>SUM(E2943:E2948)</f>
        <v>0</v>
      </c>
      <c r="F2942" s="71">
        <f>SUM(F2943:F2948)</f>
        <v>0</v>
      </c>
      <c r="G2942" s="71">
        <f>SUM(G2943:G2948)</f>
        <v>0</v>
      </c>
      <c r="H2942" s="71">
        <f>+H2943+H2944+H2945+H2946+H2947+H2948</f>
        <v>0</v>
      </c>
      <c r="I2942" s="71">
        <f>+I2943+I2944+I2945+I2946+I2947+I2948</f>
        <v>0</v>
      </c>
    </row>
    <row r="2943" spans="2:12" x14ac:dyDescent="0.25">
      <c r="B2943" s="160">
        <v>3</v>
      </c>
      <c r="C2943" s="305" t="s">
        <v>315</v>
      </c>
      <c r="D2943" s="161" t="s">
        <v>342</v>
      </c>
      <c r="E2943" s="72">
        <f>SUMIF(Adat!$AI:$AI,CONCATENATE(61,Info!$D$5,"051",L2938),Adat!$E:$E)</f>
        <v>0</v>
      </c>
      <c r="F2943" s="72">
        <f>SUMIF(Adat!$AI:$AI,CONCATENATE(60,Info!$D$5,"051",L2938),Adat!$E:$E)+E2943</f>
        <v>0</v>
      </c>
      <c r="G2943" s="72">
        <f>SUMIF(Adat!$AJ:$AJ,CONCATENATE(Info!$D$5,"051","(KÖT)",L2938),Adat!$E:$E)</f>
        <v>0</v>
      </c>
      <c r="H2943" s="72">
        <f>SUMIF(Adat!$AJ:$AJ,CONCATENATE(Info!$D$5,"051","(ÖNV)",L2938),Adat!$E:$E)</f>
        <v>0</v>
      </c>
      <c r="I2943" s="72">
        <f>SUMIF(Adat!$AJ:$AJ,CONCATENATE(Info!$D$5,"051","(ÁIG)",L2938),Adat!$E:$E)</f>
        <v>0</v>
      </c>
    </row>
    <row r="2944" spans="2:12" x14ac:dyDescent="0.25">
      <c r="B2944" s="160">
        <v>4</v>
      </c>
      <c r="C2944" s="305" t="s">
        <v>317</v>
      </c>
      <c r="D2944" s="161" t="s">
        <v>395</v>
      </c>
      <c r="E2944" s="72">
        <f>SUMIF(Adat!$AI:$AI,CONCATENATE(61,Info!$D$5,"052",L2938),Adat!$E:$E)</f>
        <v>0</v>
      </c>
      <c r="F2944" s="72">
        <f>SUMIF(Adat!$AI:$AI,CONCATENATE(60,Info!$D$5,"052",L2938),Adat!$E:$E)+E2944</f>
        <v>0</v>
      </c>
      <c r="G2944" s="72">
        <f>SUMIF(Adat!$AJ:$AJ,CONCATENATE(Info!$D$5,"052","(KÖT)",L2938),Adat!$E:$E)</f>
        <v>0</v>
      </c>
      <c r="H2944" s="72">
        <f>SUMIF(Adat!$AJ:$AJ,CONCATENATE(Info!$D$5,"052","(ÖNV)",L2938),Adat!$E:$E)</f>
        <v>0</v>
      </c>
      <c r="I2944" s="72">
        <f>SUMIF(Adat!$AJ:$AJ,CONCATENATE(Info!$D$5,"052","(ÁIG)",L2938),Adat!$E:$E)</f>
        <v>0</v>
      </c>
    </row>
    <row r="2945" spans="2:9" x14ac:dyDescent="0.25">
      <c r="B2945" s="160">
        <v>5</v>
      </c>
      <c r="C2945" s="305" t="s">
        <v>4</v>
      </c>
      <c r="D2945" s="161" t="s">
        <v>344</v>
      </c>
      <c r="E2945" s="72">
        <f>SUMIF(Adat!$AI:$AI,CONCATENATE(61,Info!$D$5,"053",L2938),Adat!$E:$E)</f>
        <v>0</v>
      </c>
      <c r="F2945" s="72">
        <f>SUMIF(Adat!$AI:$AI,CONCATENATE(60,Info!$D$5,"053",L2938),Adat!$E:$E)+E2945</f>
        <v>0</v>
      </c>
      <c r="G2945" s="72">
        <f>SUMIF(Adat!$AJ:$AJ,CONCATENATE(Info!$D$5,"053","(KÖT)",L2938),Adat!$E:$E)</f>
        <v>0</v>
      </c>
      <c r="H2945" s="72">
        <f>SUMIF(Adat!$AJ:$AJ,CONCATENATE(Info!$D$5,"053","(ÖNV)",L2938),Adat!$E:$E)</f>
        <v>0</v>
      </c>
      <c r="I2945" s="72">
        <f>SUMIF(Adat!$AJ:$AJ,CONCATENATE(Info!$D$5,"053","(ÁIG)",L2938),Adat!$E:$E)</f>
        <v>0</v>
      </c>
    </row>
    <row r="2946" spans="2:9" x14ac:dyDescent="0.25">
      <c r="B2946" s="160">
        <v>6</v>
      </c>
      <c r="C2946" s="305" t="s">
        <v>6</v>
      </c>
      <c r="D2946" s="161" t="s">
        <v>345</v>
      </c>
      <c r="E2946" s="72">
        <f>SUMIF(Adat!$AI:$AI,CONCATENATE(61,Info!$D$5,"054",L2938),Adat!$E:$E)</f>
        <v>0</v>
      </c>
      <c r="F2946" s="72">
        <f>SUMIF(Adat!$AI:$AI,CONCATENATE(60,Info!$D$5,"054",L2938),Adat!$E:$E)+E2946</f>
        <v>0</v>
      </c>
      <c r="G2946" s="72">
        <f>SUMIF(Adat!$AJ:$AJ,CONCATENATE(Info!$D$5,"054","(KÖT)",L2938),Adat!$E:$E)</f>
        <v>0</v>
      </c>
      <c r="H2946" s="72">
        <f>SUMIF(Adat!$AJ:$AJ,CONCATENATE(Info!$D$5,"054","(ÖNV)",L2938),Adat!$E:$E)</f>
        <v>0</v>
      </c>
      <c r="I2946" s="72">
        <f>SUMIF(Adat!$AJ:$AJ,CONCATENATE(Info!$D$5,"054","(ÁIG)",L2938),Adat!$E:$E)</f>
        <v>0</v>
      </c>
    </row>
    <row r="2947" spans="2:9" x14ac:dyDescent="0.25">
      <c r="B2947" s="160">
        <v>7</v>
      </c>
      <c r="C2947" s="305" t="s">
        <v>8</v>
      </c>
      <c r="D2947" s="161" t="s">
        <v>321</v>
      </c>
      <c r="E2947" s="72">
        <f>SUMIF(Adat!$AI:$AI,CONCATENATE(61,Info!$D$5,"055",L2938),Adat!$E:$E)-E2948</f>
        <v>0</v>
      </c>
      <c r="F2947" s="72">
        <f>SUMIF(Adat!$AI:$AI,CONCATENATE(60,Info!$D$5,"055",L2938),Adat!$E:$E)+E2947-F2948+E2948</f>
        <v>0</v>
      </c>
      <c r="G2947" s="72">
        <f>SUMIF(Adat!$AJ:$AJ,CONCATENATE(Info!$D$5,"055","(KÖT)",L2938),Adat!$E:$E)-G2948</f>
        <v>0</v>
      </c>
      <c r="H2947" s="72">
        <f>SUMIF(Adat!$AJ:$AJ,CONCATENATE(Info!$D$5,"055","(ÖNV)",L2938),Adat!$E:$E)-H2948</f>
        <v>0</v>
      </c>
      <c r="I2947" s="72">
        <f>SUMIF(Adat!$AJ:$AJ,CONCATENATE(Info!$D$5,"055","(ÁIG)",L2938),Adat!$E:$E)-I2948</f>
        <v>0</v>
      </c>
    </row>
    <row r="2948" spans="2:9" x14ac:dyDescent="0.25">
      <c r="B2948" s="160">
        <v>8</v>
      </c>
      <c r="C2948" s="305" t="s">
        <v>1283</v>
      </c>
      <c r="D2948" s="161" t="s">
        <v>397</v>
      </c>
      <c r="E2948" s="72">
        <f>SUMIF(Adat!$AG:$AG,CONCATENATE(61,Info!$D$5,"055131",L2938),Adat!$E:$E)</f>
        <v>0</v>
      </c>
      <c r="F2948" s="72">
        <f>SUMIF(Adat!$AG:$AG,CONCATENATE(60,Info!$D$5,"055131",L2938),Adat!$E:$E)+E2948</f>
        <v>0</v>
      </c>
      <c r="G2948" s="72">
        <f>SUMIF(Adat!$AH:$AH,CONCATENATE(Info!$D$5,"(KÖT)","055131",L2938),Adat!$E:$E)</f>
        <v>0</v>
      </c>
      <c r="H2948" s="72">
        <f>SUMIF(Adat!$AH:$AH,CONCATENATE(Info!$D$5,"(ÖNV)","055131",L2938),Adat!$E:$E)*-1</f>
        <v>0</v>
      </c>
      <c r="I2948" s="72">
        <f>SUMIF(Adat!$AH:$AH,CONCATENATE(Info!$D$5,"(ÁIG)","055131",L2938),Adat!$E:$E)*-1</f>
        <v>0</v>
      </c>
    </row>
    <row r="2949" spans="2:9" x14ac:dyDescent="0.25">
      <c r="B2949" s="160">
        <v>9</v>
      </c>
      <c r="C2949" s="305" t="s">
        <v>1283</v>
      </c>
      <c r="D2949" s="93" t="s">
        <v>1445</v>
      </c>
      <c r="E2949" s="72">
        <v>0</v>
      </c>
      <c r="F2949" s="72">
        <f>SUM(G2949:I2949)</f>
        <v>0</v>
      </c>
      <c r="G2949" s="72">
        <v>0</v>
      </c>
      <c r="H2949" s="72">
        <v>0</v>
      </c>
      <c r="I2949" s="72">
        <v>0</v>
      </c>
    </row>
    <row r="2950" spans="2:9" x14ac:dyDescent="0.25">
      <c r="B2950" s="160">
        <v>10</v>
      </c>
      <c r="C2950" s="305" t="s">
        <v>1283</v>
      </c>
      <c r="D2950" s="93" t="s">
        <v>1446</v>
      </c>
      <c r="E2950" s="72">
        <v>0</v>
      </c>
      <c r="F2950" s="72">
        <f>SUM(G2950:I2950)</f>
        <v>0</v>
      </c>
      <c r="G2950" s="72">
        <v>0</v>
      </c>
      <c r="H2950" s="72">
        <v>0</v>
      </c>
      <c r="I2950" s="72">
        <v>0</v>
      </c>
    </row>
    <row r="2951" spans="2:9" x14ac:dyDescent="0.25">
      <c r="B2951" s="160">
        <v>11</v>
      </c>
      <c r="C2951" s="78" t="s">
        <v>358</v>
      </c>
      <c r="D2951" s="92" t="s">
        <v>2664</v>
      </c>
      <c r="E2951" s="71">
        <f>+E2952+E2954+E2956</f>
        <v>0</v>
      </c>
      <c r="F2951" s="71">
        <f>+F2952+F2954+F2956</f>
        <v>0</v>
      </c>
      <c r="G2951" s="71">
        <f>+G2952+G2954+G2956</f>
        <v>0</v>
      </c>
      <c r="H2951" s="71">
        <f>+H2952+H2954+H2956</f>
        <v>0</v>
      </c>
      <c r="I2951" s="71">
        <f>+I2952+I2954+I2956</f>
        <v>0</v>
      </c>
    </row>
    <row r="2952" spans="2:9" x14ac:dyDescent="0.25">
      <c r="B2952" s="160">
        <v>12</v>
      </c>
      <c r="C2952" s="305" t="s">
        <v>10</v>
      </c>
      <c r="D2952" s="317" t="s">
        <v>322</v>
      </c>
      <c r="E2952" s="72">
        <f>SUMIF(Adat!$AI:$AI,CONCATENATE(61,Info!$D$5,"056",L2938),Adat!$E:$E)</f>
        <v>0</v>
      </c>
      <c r="F2952" s="72">
        <f>SUMIF(Adat!$AI:$AI,CONCATENATE(60,Info!$D$5,"056",L2938),Adat!$E:$E)+E2952</f>
        <v>0</v>
      </c>
      <c r="G2952" s="72">
        <f>SUMIF(Adat!$AJ:$AJ,CONCATENATE(Info!$D$5,"056","(KÖT)",L2938),Adat!$E:$E)</f>
        <v>0</v>
      </c>
      <c r="H2952" s="72">
        <f>SUMIF(Adat!$AJ:$AJ,CONCATENATE(Info!$D$5,"056","(ÖNV)",L2938),Adat!$E:$E)</f>
        <v>0</v>
      </c>
      <c r="I2952" s="72">
        <f>SUMIF(Adat!$AJ:$AJ,CONCATENATE(Info!$D$5,"056","(ÁIG)",L2938),Adat!$E:$E)</f>
        <v>0</v>
      </c>
    </row>
    <row r="2953" spans="2:9" x14ac:dyDescent="0.25">
      <c r="B2953" s="160">
        <v>13</v>
      </c>
      <c r="C2953" s="305" t="s">
        <v>10</v>
      </c>
      <c r="D2953" s="317" t="s">
        <v>1448</v>
      </c>
      <c r="E2953" s="72">
        <v>0</v>
      </c>
      <c r="F2953" s="72">
        <f>SUM(G2953:I2953)</f>
        <v>0</v>
      </c>
      <c r="G2953" s="72">
        <v>0</v>
      </c>
      <c r="H2953" s="72">
        <v>0</v>
      </c>
      <c r="I2953" s="72">
        <v>0</v>
      </c>
    </row>
    <row r="2954" spans="2:9" x14ac:dyDescent="0.25">
      <c r="B2954" s="160">
        <v>14</v>
      </c>
      <c r="C2954" s="305" t="s">
        <v>12</v>
      </c>
      <c r="D2954" s="317" t="s">
        <v>323</v>
      </c>
      <c r="E2954" s="72">
        <f>SUMIF(Adat!$AI:$AI,CONCATENATE(61,Info!$D$5,"057",L2938),Adat!$E:$E)</f>
        <v>0</v>
      </c>
      <c r="F2954" s="72">
        <f>SUMIF(Adat!$AI:$AI,CONCATENATE(60,Info!$D$5,"057",L2938),Adat!$E:$E)+E2954</f>
        <v>0</v>
      </c>
      <c r="G2954" s="72">
        <f>SUMIF(Adat!$AJ:$AJ,CONCATENATE(Info!$D$5,"057","(KÖT)",L2938),Adat!$E:$E)</f>
        <v>0</v>
      </c>
      <c r="H2954" s="72">
        <f>SUMIF(Adat!$AJ:$AJ,CONCATENATE(Info!$D$5,"057","(ÖNV)",L2938),Adat!$E:$E)</f>
        <v>0</v>
      </c>
      <c r="I2954" s="72">
        <f>SUMIF(Adat!$AJ:$AJ,CONCATENATE(Info!$D$5,"057","(ÁIG)",L2938),Adat!$E:$E)</f>
        <v>0</v>
      </c>
    </row>
    <row r="2955" spans="2:9" x14ac:dyDescent="0.25">
      <c r="B2955" s="160">
        <v>15</v>
      </c>
      <c r="C2955" s="305" t="s">
        <v>12</v>
      </c>
      <c r="D2955" s="317" t="s">
        <v>1449</v>
      </c>
      <c r="E2955" s="72">
        <v>0</v>
      </c>
      <c r="F2955" s="72">
        <f>SUM(G2955:I2955)</f>
        <v>0</v>
      </c>
      <c r="G2955" s="72">
        <v>0</v>
      </c>
      <c r="H2955" s="72">
        <v>0</v>
      </c>
      <c r="I2955" s="72">
        <v>0</v>
      </c>
    </row>
    <row r="2956" spans="2:9" x14ac:dyDescent="0.25">
      <c r="B2956" s="160">
        <v>16</v>
      </c>
      <c r="C2956" s="305" t="s">
        <v>15</v>
      </c>
      <c r="D2956" s="317" t="s">
        <v>324</v>
      </c>
      <c r="E2956" s="72">
        <f>SUMIF(Adat!$AI:$AI,CONCATENATE(61,Info!$D$5,"058",L2938),Adat!$E:$E)</f>
        <v>0</v>
      </c>
      <c r="F2956" s="72">
        <f>SUMIF(Adat!$AI:$AI,CONCATENATE(60,Info!$D$5,"058",L2938),Adat!$E:$E)+E2956</f>
        <v>0</v>
      </c>
      <c r="G2956" s="72">
        <f>SUMIF(Adat!$AJ:$AJ,CONCATENATE(Info!$D$5,"058","(KÖT)",L2938),Adat!$E:$E)</f>
        <v>0</v>
      </c>
      <c r="H2956" s="72">
        <f>SUMIF(Adat!$AJ:$AJ,CONCATENATE(Info!$D$5,"058","(ÖNV)",L2938),Adat!$E:$E)</f>
        <v>0</v>
      </c>
      <c r="I2956" s="72">
        <f>SUMIF(Adat!$AJ:$AJ,CONCATENATE(Info!$D$5,"058","(ÁIG)",L2938),Adat!$E:$E)</f>
        <v>0</v>
      </c>
    </row>
    <row r="2957" spans="2:9" x14ac:dyDescent="0.25">
      <c r="B2957" s="160">
        <v>17</v>
      </c>
      <c r="C2957" s="78" t="s">
        <v>364</v>
      </c>
      <c r="D2957" s="86" t="s">
        <v>402</v>
      </c>
      <c r="E2957" s="71">
        <f>+E2942+E2951</f>
        <v>0</v>
      </c>
      <c r="F2957" s="71">
        <f>+F2942+F2951</f>
        <v>0</v>
      </c>
      <c r="G2957" s="71">
        <f>+G2942+G2951</f>
        <v>0</v>
      </c>
      <c r="H2957" s="71">
        <f>+H2942+H2951</f>
        <v>0</v>
      </c>
      <c r="I2957" s="71">
        <f>+I2942+I2951</f>
        <v>0</v>
      </c>
    </row>
    <row r="2958" spans="2:9" x14ac:dyDescent="0.25">
      <c r="B2958" s="160">
        <v>18</v>
      </c>
      <c r="C2958" s="78" t="s">
        <v>403</v>
      </c>
      <c r="D2958" s="86" t="s">
        <v>1450</v>
      </c>
      <c r="E2958" s="71">
        <f>+E2959+E2960+E2961</f>
        <v>0</v>
      </c>
      <c r="F2958" s="71">
        <f>+F2959+F2960+F2961</f>
        <v>0</v>
      </c>
      <c r="G2958" s="71">
        <f>+G2959+G2960+G2961</f>
        <v>0</v>
      </c>
      <c r="H2958" s="71">
        <f>+H2959+H2960+H2961</f>
        <v>0</v>
      </c>
      <c r="I2958" s="71">
        <f>+I2959+I2960+I2961</f>
        <v>0</v>
      </c>
    </row>
    <row r="2959" spans="2:9" s="42" customFormat="1" x14ac:dyDescent="0.25">
      <c r="B2959" s="160">
        <v>19</v>
      </c>
      <c r="C2959" s="305" t="s">
        <v>1451</v>
      </c>
      <c r="D2959" s="161" t="s">
        <v>490</v>
      </c>
      <c r="E2959" s="72">
        <f>SUMIF(Adat!$AG:$AG,CONCATENATE(61,Info!$D$5,"0591111",L2938),Adat!$E:$E)</f>
        <v>0</v>
      </c>
      <c r="F2959" s="72">
        <f>SUMIF(Adat!$AG:$AG,CONCATENATE(60,Info!$D$5,"0591111",L2938),Adat!$E:$E)+E2959</f>
        <v>0</v>
      </c>
      <c r="G2959" s="72">
        <f>SUMIF(Adat!$AH:$AH,CONCATENATE(Info!$D$5,"(KÖT)","0591111",L2938),Adat!$E:$E)</f>
        <v>0</v>
      </c>
      <c r="H2959" s="72">
        <f>SUMIF(Adat!$AH:$AH,CONCATENATE(Info!$D$5,"(ÖNV)","0591111",L2938),Adat!$E:$E)</f>
        <v>0</v>
      </c>
      <c r="I2959" s="72">
        <f>SUMIF(Adat!$AH:$AH,CONCATENATE(Info!$D$5,"(ÁIG)","0591111",L2938),Adat!$E:$E)</f>
        <v>0</v>
      </c>
    </row>
    <row r="2960" spans="2:9" x14ac:dyDescent="0.25">
      <c r="B2960" s="160">
        <v>20</v>
      </c>
      <c r="C2960" s="305" t="s">
        <v>1453</v>
      </c>
      <c r="D2960" s="161" t="s">
        <v>406</v>
      </c>
      <c r="E2960" s="72">
        <f>SUMIF(Adat!$AG:$AG,CONCATENATE(61,Info!$D$5,"0591121",L2938),Adat!$E:$E)</f>
        <v>0</v>
      </c>
      <c r="F2960" s="72">
        <f>SUMIF(Adat!$AG:$AG,CONCATENATE(60,Info!$D$5,"0591121",L2938),Adat!$E:$E)+E2960</f>
        <v>0</v>
      </c>
      <c r="G2960" s="72">
        <f>SUMIF(Adat!$AH:$AH,CONCATENATE(Info!$D$5,"(KÖT)","0591121",L2938),Adat!$E:$E)</f>
        <v>0</v>
      </c>
      <c r="H2960" s="72">
        <f>SUMIF(Adat!$AH:$AH,CONCATENATE(Info!$D$5,"(ÖNV)","0591121",L2938),Adat!$E:$E)</f>
        <v>0</v>
      </c>
      <c r="I2960" s="72">
        <f>SUMIF(Adat!$AH:$AH,CONCATENATE(Info!$D$5,"(ÁIG)","0591121",L2938),Adat!$E:$E)</f>
        <v>0</v>
      </c>
    </row>
    <row r="2961" spans="2:18" x14ac:dyDescent="0.25">
      <c r="B2961" s="160">
        <v>21</v>
      </c>
      <c r="C2961" s="305" t="s">
        <v>1455</v>
      </c>
      <c r="D2961" s="161" t="s">
        <v>491</v>
      </c>
      <c r="E2961" s="72">
        <f>SUMIF(Adat!$AG:$AG,CONCATENATE(61,Info!$D$5,"0591131",L2938),Adat!$E:$E)</f>
        <v>0</v>
      </c>
      <c r="F2961" s="72">
        <f>SUMIF(Adat!$AG:$AG,CONCATENATE(60,Info!$D$5,"0591131",L2938),Adat!$E:$E)+E2961</f>
        <v>0</v>
      </c>
      <c r="G2961" s="72">
        <f>SUMIF(Adat!$AH:$AH,CONCATENATE(Info!$D$5,"(KÖT)","0591131",L2938),Adat!$E:$E)</f>
        <v>0</v>
      </c>
      <c r="H2961" s="72">
        <f>SUMIF(Adat!$AH:$AH,CONCATENATE(Info!$D$5,"(ÖNV)","0591131",L2938),Adat!$E:$E)</f>
        <v>0</v>
      </c>
      <c r="I2961" s="72">
        <f>SUMIF(Adat!$AH:$AH,CONCATENATE(Info!$D$5,"(ÁIG)","0591131",L2938),Adat!$E:$E)</f>
        <v>0</v>
      </c>
    </row>
    <row r="2962" spans="2:18" x14ac:dyDescent="0.25">
      <c r="B2962" s="160">
        <v>22</v>
      </c>
      <c r="C2962" s="78" t="s">
        <v>372</v>
      </c>
      <c r="D2962" s="86" t="s">
        <v>1457</v>
      </c>
      <c r="E2962" s="71">
        <f>+E2963+E2964+E2965+E2966+E2967+E2968</f>
        <v>0</v>
      </c>
      <c r="F2962" s="71">
        <f>+F2963+F2964+F2965+F2966+F2967+F2968</f>
        <v>0</v>
      </c>
      <c r="G2962" s="71">
        <f>+G2963+G2964+G2965+G2966+G2967+G2968</f>
        <v>0</v>
      </c>
      <c r="H2962" s="71">
        <f>+H2963+H2964+H2965+H2966+H2967+H2968</f>
        <v>0</v>
      </c>
      <c r="I2962" s="71">
        <f>+I2963+I2964+I2965+I2966+I2967+I2968</f>
        <v>0</v>
      </c>
    </row>
    <row r="2963" spans="2:18" x14ac:dyDescent="0.25">
      <c r="B2963" s="160">
        <v>23</v>
      </c>
      <c r="C2963" s="305" t="s">
        <v>1458</v>
      </c>
      <c r="D2963" s="161" t="s">
        <v>409</v>
      </c>
      <c r="E2963" s="72">
        <f>SUMIF(Adat!$AG:$AG,CONCATENATE(61,Info!$D$5,"0591211",L2938),Adat!$E:$E)</f>
        <v>0</v>
      </c>
      <c r="F2963" s="72">
        <f>SUMIF(Adat!$AG:$AG,CONCATENATE(60,Info!$D$5,"0591211",L2938),Adat!$E:$E)+E2963</f>
        <v>0</v>
      </c>
      <c r="G2963" s="72">
        <f>SUMIF(Adat!$AH:$AH,CONCATENATE(Info!$D$5,"(KÖT)","0591211",L2938),Adat!$E:$E)</f>
        <v>0</v>
      </c>
      <c r="H2963" s="72">
        <f>SUMIF(Adat!$AH:$AH,CONCATENATE(Info!$D$5,"(ÖNV)","0591211",L2938),Adat!$E:$E)</f>
        <v>0</v>
      </c>
      <c r="I2963" s="72">
        <f>SUMIF(Adat!$AH:$AH,CONCATENATE(Info!$D$5,"(ÁIG)","0591211",L2938),Adat!$E:$E)</f>
        <v>0</v>
      </c>
    </row>
    <row r="2964" spans="2:18" x14ac:dyDescent="0.25">
      <c r="B2964" s="160">
        <v>24</v>
      </c>
      <c r="C2964" s="305" t="s">
        <v>1460</v>
      </c>
      <c r="D2964" s="161" t="s">
        <v>410</v>
      </c>
      <c r="E2964" s="72">
        <f>SUMIF(Adat!$AG:$AG,CONCATENATE(61,Info!$D$5,"0591221",L2938),Adat!$E:$E)</f>
        <v>0</v>
      </c>
      <c r="F2964" s="72">
        <f>SUMIF(Adat!$AG:$AG,CONCATENATE(60,Info!$D$5,"0591221",L2938),Adat!$E:$E)+E2964</f>
        <v>0</v>
      </c>
      <c r="G2964" s="72">
        <f>SUMIF(Adat!$AH:$AH,CONCATENATE(Info!$D$5,"(KÖT)","0591221",L2938),Adat!$E:$E)</f>
        <v>0</v>
      </c>
      <c r="H2964" s="72">
        <f>SUMIF(Adat!$AH:$AH,CONCATENATE(Info!$D$5,"(ÖNV)","0591221",L2938),Adat!$E:$E)</f>
        <v>0</v>
      </c>
      <c r="I2964" s="72">
        <f>SUMIF(Adat!$AH:$AH,CONCATENATE(Info!$D$5,"(ÁIG)","0591221",L2938),Adat!$E:$E)</f>
        <v>0</v>
      </c>
    </row>
    <row r="2965" spans="2:18" x14ac:dyDescent="0.25">
      <c r="B2965" s="160">
        <v>25</v>
      </c>
      <c r="C2965" s="305" t="s">
        <v>1462</v>
      </c>
      <c r="D2965" s="161" t="s">
        <v>411</v>
      </c>
      <c r="E2965" s="72">
        <f>SUMIF(Adat!$AG:$AG,CONCATENATE(61,Info!$D$5,"0591231",L2938),Adat!$E:$E)</f>
        <v>0</v>
      </c>
      <c r="F2965" s="72">
        <f>SUMIF(Adat!$AG:$AG,CONCATENATE(60,Info!$D$5,"0591231",L2938),Adat!$E:$E)+E2965</f>
        <v>0</v>
      </c>
      <c r="G2965" s="72">
        <f>SUMIF(Adat!$AH:$AH,CONCATENATE(Info!$D$5,"(KÖT)","0591231",L2938),Adat!$E:$E)</f>
        <v>0</v>
      </c>
      <c r="H2965" s="72">
        <f>SUMIF(Adat!$AH:$AH,CONCATENATE(Info!$D$5,"(ÖNV)","0591231",L2938),Adat!$E:$E)</f>
        <v>0</v>
      </c>
      <c r="I2965" s="72">
        <f>SUMIF(Adat!$AH:$AH,CONCATENATE(Info!$D$5,"(ÁIG)","0591231",L2938),Adat!$E:$E)</f>
        <v>0</v>
      </c>
    </row>
    <row r="2966" spans="2:18" x14ac:dyDescent="0.25">
      <c r="B2966" s="160">
        <v>26</v>
      </c>
      <c r="C2966" s="305" t="s">
        <v>1464</v>
      </c>
      <c r="D2966" s="161" t="s">
        <v>492</v>
      </c>
      <c r="E2966" s="72">
        <f>SUMIF(Adat!$AG:$AG,CONCATENATE(61,Info!$D$5,"0591241",L2938),Adat!$E:$E)</f>
        <v>0</v>
      </c>
      <c r="F2966" s="72">
        <f>SUMIF(Adat!$AG:$AG,CONCATENATE(60,Info!$D$5,"0591241",L2938),Adat!$E:$E)+E2966</f>
        <v>0</v>
      </c>
      <c r="G2966" s="72">
        <f>SUMIF(Adat!$AH:$AH,CONCATENATE(Info!$D$5,"(KÖT)","0591241",L2938),Adat!$E:$E)</f>
        <v>0</v>
      </c>
      <c r="H2966" s="72">
        <f>SUMIF(Adat!$AH:$AH,CONCATENATE(Info!$D$5,"(ÖNV)","0591241",L2938),Adat!$E:$E)</f>
        <v>0</v>
      </c>
      <c r="I2966" s="72">
        <f>SUMIF(Adat!$AH:$AH,CONCATENATE(Info!$D$5,"(ÁIG)","0591241",L2938),Adat!$E:$E)</f>
        <v>0</v>
      </c>
    </row>
    <row r="2967" spans="2:18" x14ac:dyDescent="0.25">
      <c r="B2967" s="160">
        <v>27</v>
      </c>
      <c r="C2967" s="305" t="s">
        <v>1466</v>
      </c>
      <c r="D2967" s="161" t="s">
        <v>413</v>
      </c>
      <c r="E2967" s="72">
        <f>SUMIF(Adat!$AG:$AG,CONCATENATE(61,Info!$D$5,"0591251",L2938),Adat!$E:$E)</f>
        <v>0</v>
      </c>
      <c r="F2967" s="72">
        <f>SUMIF(Adat!$AG:$AG,CONCATENATE(60,Info!$D$5,"0591251",L2938),Adat!$E:$E)+E2967</f>
        <v>0</v>
      </c>
      <c r="G2967" s="72">
        <f>SUMIF(Adat!$AH:$AH,CONCATENATE(Info!$D$5,"(KÖT)","0591251",L2938),Adat!$E:$E)</f>
        <v>0</v>
      </c>
      <c r="H2967" s="72">
        <f>SUMIF(Adat!$AH:$AH,CONCATENATE(Info!$D$5,"(ÖNV)","0591251",L2938),Adat!$E:$E)</f>
        <v>0</v>
      </c>
      <c r="I2967" s="72">
        <f>SUMIF(Adat!$AH:$AH,CONCATENATE(Info!$D$5,"(ÁIG)","0591251",L2938),Adat!$E:$E)</f>
        <v>0</v>
      </c>
    </row>
    <row r="2968" spans="2:18" s="42" customFormat="1" x14ac:dyDescent="0.25">
      <c r="B2968" s="160">
        <v>28</v>
      </c>
      <c r="C2968" s="305" t="s">
        <v>1468</v>
      </c>
      <c r="D2968" s="161" t="s">
        <v>414</v>
      </c>
      <c r="E2968" s="72">
        <f>SUMIF(Adat!$AG:$AG,CONCATENATE(61,Info!$D$5,"0591261",L2938),Adat!$E:$E)</f>
        <v>0</v>
      </c>
      <c r="F2968" s="72">
        <f>SUMIF(Adat!$AG:$AG,CONCATENATE(60,Info!$D$5,"0591261",L2938),Adat!$E:$E)+E2968</f>
        <v>0</v>
      </c>
      <c r="G2968" s="72">
        <f>SUMIF(Adat!$AH:$AH,CONCATENATE(Info!$D$5,"(KÖT)","0591261",L2938),Adat!$E:$E)</f>
        <v>0</v>
      </c>
      <c r="H2968" s="72">
        <f>SUMIF(Adat!$AH:$AH,CONCATENATE(Info!$D$5,"(ÖNV)","0591261",L2938),Adat!$E:$E)</f>
        <v>0</v>
      </c>
      <c r="I2968" s="72">
        <f>SUMIF(Adat!$AH:$AH,CONCATENATE(Info!$D$5,"(ÁIG)","0591261",L2938),Adat!$E:$E)</f>
        <v>0</v>
      </c>
    </row>
    <row r="2969" spans="2:18" x14ac:dyDescent="0.25">
      <c r="B2969" s="160">
        <v>29</v>
      </c>
      <c r="C2969" s="78" t="s">
        <v>379</v>
      </c>
      <c r="D2969" s="86" t="s">
        <v>1470</v>
      </c>
      <c r="E2969" s="71">
        <f>+E2970+E2971+E2973+E2974+E2972</f>
        <v>0</v>
      </c>
      <c r="F2969" s="71">
        <f>+F2970+F2971+F2973+F2974+F2972</f>
        <v>0</v>
      </c>
      <c r="G2969" s="71">
        <f>+G2970+G2971+G2973+G2974+G2972</f>
        <v>0</v>
      </c>
      <c r="H2969" s="71">
        <f>+H2970+H2971+H2973+H2974+H2972</f>
        <v>0</v>
      </c>
      <c r="I2969" s="71">
        <f>+I2970+I2971+I2973+I2974+I2972</f>
        <v>0</v>
      </c>
      <c r="R2969" s="43"/>
    </row>
    <row r="2970" spans="2:18" x14ac:dyDescent="0.25">
      <c r="B2970" s="160">
        <v>30</v>
      </c>
      <c r="C2970" s="305" t="s">
        <v>1471</v>
      </c>
      <c r="D2970" s="161" t="s">
        <v>416</v>
      </c>
      <c r="E2970" s="72">
        <f>SUMIF(Adat!$AG:$AG,CONCATENATE(61,Info!$D$5,"059131",L2938),Adat!$E:$E)</f>
        <v>0</v>
      </c>
      <c r="F2970" s="72">
        <f>SUMIF(Adat!$AG:$AG,CONCATENATE(60,Info!$D$5,"059131",L2938),Adat!$E:$E)+E2970</f>
        <v>0</v>
      </c>
      <c r="G2970" s="72">
        <f>SUMIF(Adat!$AH:$AH,CONCATENATE(Info!$D$5,"(KÖT)","059131",L2938),Adat!$E:$E)</f>
        <v>0</v>
      </c>
      <c r="H2970" s="72">
        <f>SUMIF(Adat!$AH:$AH,CONCATENATE(Info!$D$5,"(ÖNV)","059131",L2938),Adat!$E:$E)</f>
        <v>0</v>
      </c>
      <c r="I2970" s="72">
        <f>SUMIF(Adat!$AH:$AH,CONCATENATE(Info!$D$5,"(ÁIG)","059131",L2938),Adat!$E:$E)</f>
        <v>0</v>
      </c>
    </row>
    <row r="2971" spans="2:18" x14ac:dyDescent="0.25">
      <c r="B2971" s="160">
        <v>31</v>
      </c>
      <c r="C2971" s="305" t="s">
        <v>1287</v>
      </c>
      <c r="D2971" s="161" t="s">
        <v>417</v>
      </c>
      <c r="E2971" s="72">
        <f>SUMIF(Adat!$AG:$AG,CONCATENATE(61,Info!$D$5,"059141",L2938),Adat!$E:$E)</f>
        <v>0</v>
      </c>
      <c r="F2971" s="72">
        <f>SUMIF(Adat!$AG:$AG,CONCATENATE(60,Info!$D$5,"059141",L2938),Adat!$E:$E)+E2971</f>
        <v>0</v>
      </c>
      <c r="G2971" s="72">
        <f>SUMIF(Adat!$AH:$AH,CONCATENATE(Info!$D$5,"(KÖT)","059141",L2938),Adat!$E:$E)</f>
        <v>0</v>
      </c>
      <c r="H2971" s="72">
        <f>SUMIF(Adat!$AH:$AH,CONCATENATE(Info!$D$5,"(ÖNV)","059141",L2938),Adat!$E:$E)</f>
        <v>0</v>
      </c>
      <c r="I2971" s="72">
        <f>SUMIF(Adat!$AH:$AH,CONCATENATE(Info!$D$5,"(ÁIG)","059141",L2938),Adat!$E:$E)</f>
        <v>0</v>
      </c>
    </row>
    <row r="2972" spans="2:18" x14ac:dyDescent="0.25">
      <c r="B2972" s="160">
        <v>32</v>
      </c>
      <c r="C2972" s="316" t="s">
        <v>1253</v>
      </c>
      <c r="D2972" s="161" t="s">
        <v>493</v>
      </c>
      <c r="E2972" s="72">
        <f>SUMIF(Adat!$AG:$AG,CONCATENATE(61,Info!$D$5,"059151",L2938),Adat!$E:$E)</f>
        <v>0</v>
      </c>
      <c r="F2972" s="72">
        <f>SUMIF(Adat!$AG:$AG,CONCATENATE(60,Info!$D$5,"059151",L2938),Adat!$E:$E)+E2972</f>
        <v>0</v>
      </c>
      <c r="G2972" s="72">
        <f>SUMIF(Adat!$AH:$AH,CONCATENATE(Info!$D$5,"(KÖT)","059151",L2938),Adat!$E:$E)</f>
        <v>0</v>
      </c>
      <c r="H2972" s="72">
        <f>SUMIF(Adat!$AH:$AH,CONCATENATE(Info!$D$5,"(ÖNV)","059151",L2938),Adat!$E:$E)</f>
        <v>0</v>
      </c>
      <c r="I2972" s="72">
        <f>SUMIF(Adat!$AH:$AH,CONCATENATE(Info!$D$5,"(ÁIG)","059151",L2938),Adat!$E:$E)</f>
        <v>0</v>
      </c>
    </row>
    <row r="2973" spans="2:18" s="42" customFormat="1" x14ac:dyDescent="0.25">
      <c r="B2973" s="160">
        <v>33</v>
      </c>
      <c r="C2973" s="305" t="s">
        <v>1474</v>
      </c>
      <c r="D2973" s="161" t="s">
        <v>418</v>
      </c>
      <c r="E2973" s="72">
        <f>SUMIF(Adat!$AG:$AG,CONCATENATE(61,Info!$D$5,"059161",L2938),Adat!$E:$E)</f>
        <v>0</v>
      </c>
      <c r="F2973" s="72">
        <f>SUMIF(Adat!$AG:$AG,CONCATENATE(60,Info!$D$5,"059161",L2938),Adat!$E:$E)+E2973</f>
        <v>0</v>
      </c>
      <c r="G2973" s="72">
        <f>SUMIF(Adat!$AH:$AH,CONCATENATE(Info!$D$5,"(KÖT)","059161",L2938),Adat!$E:$E)</f>
        <v>0</v>
      </c>
      <c r="H2973" s="72">
        <f>SUMIF(Adat!$AH:$AH,CONCATENATE(Info!$D$5,"(ÖNV)","059161",L2938),Adat!$E:$E)</f>
        <v>0</v>
      </c>
      <c r="I2973" s="72">
        <f>SUMIF(Adat!$AH:$AH,CONCATENATE(Info!$D$5,"(ÁIG)","059161",L2938),Adat!$E:$E)</f>
        <v>0</v>
      </c>
    </row>
    <row r="2974" spans="2:18" s="42" customFormat="1" x14ac:dyDescent="0.25">
      <c r="B2974" s="160">
        <v>34</v>
      </c>
      <c r="C2974" s="305" t="s">
        <v>1476</v>
      </c>
      <c r="D2974" s="161" t="s">
        <v>419</v>
      </c>
      <c r="E2974" s="72">
        <f>SUMIF(Adat!$AG:$AG,CONCATENATE(61,Info!$D$5,"059171",L2938),Adat!$E:$E)</f>
        <v>0</v>
      </c>
      <c r="F2974" s="72">
        <f>SUMIF(Adat!$AG:$AG,CONCATENATE(60,Info!$D$5,"059171",L2938),Adat!$E:$E)+E2974</f>
        <v>0</v>
      </c>
      <c r="G2974" s="72">
        <f>SUMIF(Adat!$AH:$AH,CONCATENATE(Info!$D$5,"(KÖT)","059171",L2938),Adat!$E:$E)</f>
        <v>0</v>
      </c>
      <c r="H2974" s="72">
        <f>SUMIF(Adat!$AH:$AH,CONCATENATE(Info!$D$5,"(ÖNV)","059171",L2938),Adat!$E:$E)</f>
        <v>0</v>
      </c>
      <c r="I2974" s="72">
        <f>SUMIF(Adat!$AH:$AH,CONCATENATE(Info!$D$5,"(ÁIG)","059171",L2938),Adat!$E:$E)</f>
        <v>0</v>
      </c>
    </row>
    <row r="2975" spans="2:18" s="42" customFormat="1" x14ac:dyDescent="0.25">
      <c r="B2975" s="160">
        <v>35</v>
      </c>
      <c r="C2975" s="78" t="s">
        <v>420</v>
      </c>
      <c r="D2975" s="86" t="s">
        <v>1478</v>
      </c>
      <c r="E2975" s="73">
        <f>+E2976+E2977+E2978+E2979+E2980</f>
        <v>0</v>
      </c>
      <c r="F2975" s="73">
        <f>+F2976+F2977+F2978+F2979+F2980</f>
        <v>0</v>
      </c>
      <c r="G2975" s="73">
        <f>+G2976+G2977+G2978+G2979+G2980</f>
        <v>0</v>
      </c>
      <c r="H2975" s="73">
        <f>+H2976+H2977+H2978+H2979+H2980</f>
        <v>0</v>
      </c>
      <c r="I2975" s="73">
        <f>+I2976+I2977+I2978+I2979+I2980</f>
        <v>0</v>
      </c>
    </row>
    <row r="2976" spans="2:18" s="42" customFormat="1" x14ac:dyDescent="0.25">
      <c r="B2976" s="160">
        <v>36</v>
      </c>
      <c r="C2976" s="305" t="s">
        <v>1479</v>
      </c>
      <c r="D2976" s="161" t="s">
        <v>422</v>
      </c>
      <c r="E2976" s="72">
        <f>SUMIF(Adat!$AG:$AG,CONCATENATE(61,Info!$D$5,"059211",L2938),Adat!$E:$E)</f>
        <v>0</v>
      </c>
      <c r="F2976" s="72">
        <f>SUMIF(Adat!$AG:$AG,CONCATENATE(60,Info!$D$5,"059211",L2938),Adat!$E:$E)+E2976</f>
        <v>0</v>
      </c>
      <c r="G2976" s="72">
        <f>SUMIF(Adat!$AH:$AH,CONCATENATE(Info!$D$5,"(KÖT)","059211",L2938),Adat!$E:$E)</f>
        <v>0</v>
      </c>
      <c r="H2976" s="72">
        <f>SUMIF(Adat!$AH:$AH,CONCATENATE(Info!$D$5,"(ÖNV)","059211",L2938),Adat!$E:$E)</f>
        <v>0</v>
      </c>
      <c r="I2976" s="72">
        <f>SUMIF(Adat!$AH:$AH,CONCATENATE(Info!$D$5,"(ÁIG)","059211",L2938),Adat!$E:$E)</f>
        <v>0</v>
      </c>
    </row>
    <row r="2977" spans="2:9" s="42" customFormat="1" x14ac:dyDescent="0.25">
      <c r="B2977" s="160">
        <v>37</v>
      </c>
      <c r="C2977" s="305" t="s">
        <v>1481</v>
      </c>
      <c r="D2977" s="161" t="s">
        <v>423</v>
      </c>
      <c r="E2977" s="72">
        <f>SUMIF(Adat!$AG:$AG,CONCATENATE(61,Info!$D$5,"059221",L2938),Adat!$E:$E)</f>
        <v>0</v>
      </c>
      <c r="F2977" s="72">
        <f>SUMIF(Adat!$AG:$AG,CONCATENATE(60,Info!$D$5,"059221",L2938),Adat!$E:$E)+E2977</f>
        <v>0</v>
      </c>
      <c r="G2977" s="72">
        <f>SUMIF(Adat!$AH:$AH,CONCATENATE(Info!$D$5,"(KÖT)","059221",L2938),Adat!$E:$E)</f>
        <v>0</v>
      </c>
      <c r="H2977" s="72">
        <f>SUMIF(Adat!$AH:$AH,CONCATENATE(Info!$D$5,"(ÖNV)","059221",L2938),Adat!$E:$E)</f>
        <v>0</v>
      </c>
      <c r="I2977" s="72">
        <f>SUMIF(Adat!$AH:$AH,CONCATENATE(Info!$D$5,"(ÁIG)","059221",L2938),Adat!$E:$E)</f>
        <v>0</v>
      </c>
    </row>
    <row r="2978" spans="2:9" s="42" customFormat="1" x14ac:dyDescent="0.25">
      <c r="B2978" s="160">
        <v>38</v>
      </c>
      <c r="C2978" s="305" t="s">
        <v>1483</v>
      </c>
      <c r="D2978" s="161" t="s">
        <v>424</v>
      </c>
      <c r="E2978" s="72">
        <f>SUMIF(Adat!$AG:$AG,CONCATENATE(61,Info!$D$5,"059231",L2938),Adat!$E:$E)</f>
        <v>0</v>
      </c>
      <c r="F2978" s="72">
        <f>SUMIF(Adat!$AG:$AG,CONCATENATE(60,Info!$D$5,"059231",L2938),Adat!$E:$E)+E2978</f>
        <v>0</v>
      </c>
      <c r="G2978" s="72">
        <f>SUMIF(Adat!$AH:$AH,CONCATENATE(Info!$D$5,"(KÖT)","059231",L2938),Adat!$E:$E)</f>
        <v>0</v>
      </c>
      <c r="H2978" s="72">
        <f>SUMIF(Adat!$AH:$AH,CONCATENATE(Info!$D$5,"(ÖNV)","059231",L2938),Adat!$E:$E)</f>
        <v>0</v>
      </c>
      <c r="I2978" s="72">
        <f>SUMIF(Adat!$AH:$AH,CONCATENATE(Info!$D$5,"(ÁIG)","059231",L2938),Adat!$E:$E)</f>
        <v>0</v>
      </c>
    </row>
    <row r="2979" spans="2:9" s="42" customFormat="1" x14ac:dyDescent="0.25">
      <c r="B2979" s="160">
        <v>39</v>
      </c>
      <c r="C2979" s="305" t="s">
        <v>1485</v>
      </c>
      <c r="D2979" s="161" t="s">
        <v>494</v>
      </c>
      <c r="E2979" s="72">
        <f>SUMIF(Adat!$AG:$AG,CONCATENATE(61,Info!$D$5,"059241",L2938),Adat!$E:$E)</f>
        <v>0</v>
      </c>
      <c r="F2979" s="72">
        <f>SUMIF(Adat!$AG:$AG,CONCATENATE(60,Info!$D$5,"059241",L2938),Adat!$E:$E)+E2979</f>
        <v>0</v>
      </c>
      <c r="G2979" s="72">
        <f>SUMIF(Adat!$AH:$AH,CONCATENATE(Info!$D$5,"(KÖT)","059241",L2938),Adat!$E:$E)</f>
        <v>0</v>
      </c>
      <c r="H2979" s="72">
        <f>SUMIF(Adat!$AH:$AH,CONCATENATE(Info!$D$5,"(ÖNV)","059241",L2938),Adat!$E:$E)</f>
        <v>0</v>
      </c>
      <c r="I2979" s="72">
        <f>SUMIF(Adat!$AH:$AH,CONCATENATE(Info!$D$5,"(ÁIG)","059241",L2938),Adat!$E:$E)</f>
        <v>0</v>
      </c>
    </row>
    <row r="2980" spans="2:9" x14ac:dyDescent="0.25">
      <c r="B2980" s="160">
        <v>40</v>
      </c>
      <c r="C2980" s="305" t="s">
        <v>1487</v>
      </c>
      <c r="D2980" s="161" t="s">
        <v>427</v>
      </c>
      <c r="E2980" s="72">
        <f>SUMIF(Adat!$AG:$AG,CONCATENATE(61,Info!$D$5,"059251",L2938),Adat!$E:$E)</f>
        <v>0</v>
      </c>
      <c r="F2980" s="72">
        <f>SUMIF(Adat!$AG:$AG,CONCATENATE(60,Info!$D$5,"059251",L2938),Adat!$E:$E)+E2980</f>
        <v>0</v>
      </c>
      <c r="G2980" s="72">
        <f>SUMIF(Adat!$AH:$AH,CONCATENATE(Info!$D$5,"(KÖT)","059251",L2938),Adat!$E:$E)</f>
        <v>0</v>
      </c>
      <c r="H2980" s="72">
        <f>SUMIF(Adat!$AH:$AH,CONCATENATE(Info!$D$5,"(ÖNV)","059251",L2938),Adat!$E:$E)</f>
        <v>0</v>
      </c>
      <c r="I2980" s="72">
        <f>SUMIF(Adat!$AH:$AH,CONCATENATE(Info!$D$5,"(ÁIG)","059251",L2938),Adat!$E:$E)</f>
        <v>0</v>
      </c>
    </row>
    <row r="2981" spans="2:9" x14ac:dyDescent="0.25">
      <c r="B2981" s="160">
        <v>41</v>
      </c>
      <c r="C2981" s="162" t="s">
        <v>390</v>
      </c>
      <c r="D2981" s="86" t="s">
        <v>428</v>
      </c>
      <c r="E2981" s="72">
        <f>SUMIF(Adat!$AG:$AG,CONCATENATE(61,Info!$D$5,"05931",L2938),Adat!$E:$E)</f>
        <v>0</v>
      </c>
      <c r="F2981" s="72">
        <f>SUMIF(Adat!$AG:$AG,CONCATENATE(60,Info!$D$5,"05931",L2938),Adat!$E:$E)+E2981</f>
        <v>0</v>
      </c>
      <c r="G2981" s="72">
        <f>SUMIF(Adat!$AH:$AH,CONCATENATE(Info!$D$5,"(KÖT)","05931",L2938),Adat!$E:$E)</f>
        <v>0</v>
      </c>
      <c r="H2981" s="72">
        <f>SUMIF(Adat!$AH:$AH,CONCATENATE(Info!$D$5,"(ÖNV)","05931",L2938),Adat!$E:$E)</f>
        <v>0</v>
      </c>
      <c r="I2981" s="72">
        <f>SUMIF(Adat!$AH:$AH,CONCATENATE(Info!$D$5,"(ÁIG)","05931",L2938),Adat!$E:$E)</f>
        <v>0</v>
      </c>
    </row>
    <row r="2982" spans="2:9" x14ac:dyDescent="0.25">
      <c r="B2982" s="160">
        <v>42</v>
      </c>
      <c r="C2982" s="162" t="s">
        <v>429</v>
      </c>
      <c r="D2982" s="86" t="s">
        <v>430</v>
      </c>
      <c r="E2982" s="72">
        <f>SUMIF(Adat!$AG:$AG,CONCATENATE(61,Info!$D$5,"05941",L2938),Adat!$E:$E)</f>
        <v>0</v>
      </c>
      <c r="F2982" s="72">
        <f>SUMIF(Adat!$AG:$AG,CONCATENATE(60,Info!$D$5,"05941",L2938),Adat!$E:$E)+E2982</f>
        <v>0</v>
      </c>
      <c r="G2982" s="72">
        <f>SUMIF(Adat!$AH:$AH,CONCATENATE(Info!$D$5,"(KÖT)","05941",L2938),Adat!$E:$E)</f>
        <v>0</v>
      </c>
      <c r="H2982" s="72">
        <f>SUMIF(Adat!$AH:$AH,CONCATENATE(Info!$D$5,"(ÖNV)","05941",L2938),Adat!$E:$E)</f>
        <v>0</v>
      </c>
      <c r="I2982" s="72">
        <f>SUMIF(Adat!$AH:$AH,CONCATENATE(Info!$D$5,"(ÁIG)","05941",L2938),Adat!$E:$E)</f>
        <v>0</v>
      </c>
    </row>
    <row r="2983" spans="2:9" x14ac:dyDescent="0.25">
      <c r="B2983" s="160">
        <v>43</v>
      </c>
      <c r="C2983" s="78" t="s">
        <v>431</v>
      </c>
      <c r="D2983" s="86" t="s">
        <v>432</v>
      </c>
      <c r="E2983" s="74">
        <f>+E2958+E2962+E2969+E2975+E2981+E2982</f>
        <v>0</v>
      </c>
      <c r="F2983" s="74">
        <f>+F2958+F2962+F2969+F2975+F2981+F2982</f>
        <v>0</v>
      </c>
      <c r="G2983" s="74">
        <f>+G2958+G2962+G2969+G2975+G2981+G2982</f>
        <v>0</v>
      </c>
      <c r="H2983" s="74">
        <f>+H2958+H2962+H2969+H2975+H2981+H2982</f>
        <v>0</v>
      </c>
      <c r="I2983" s="74">
        <f>+I2958+I2962+I2969+I2975+I2981+I2982</f>
        <v>0</v>
      </c>
    </row>
    <row r="2984" spans="2:9" x14ac:dyDescent="0.25">
      <c r="B2984" s="160">
        <v>44</v>
      </c>
      <c r="C2984" s="154" t="s">
        <v>433</v>
      </c>
      <c r="D2984" s="159" t="s">
        <v>434</v>
      </c>
      <c r="E2984" s="74">
        <f>+E2957+E2983</f>
        <v>0</v>
      </c>
      <c r="F2984" s="74">
        <f>+F2957+F2983</f>
        <v>0</v>
      </c>
      <c r="G2984" s="74">
        <f>+G2957+G2983</f>
        <v>0</v>
      </c>
      <c r="H2984" s="74">
        <f>+H2957+H2983</f>
        <v>0</v>
      </c>
      <c r="I2984" s="74">
        <f>+I2957+I2983</f>
        <v>0</v>
      </c>
    </row>
  </sheetData>
  <sheetProtection algorithmName="SHA-512" hashValue="6E6oP7qTSsThUmNiT5vXxnPLJQTbyFLGrGfmIh3a/BO0W5yHuRZuQ/naGkEr8cFXWZMFCMdDSNqx2xlg3sZfOQ==" saltValue="aZUWOPjntT0hk0lIerxMOg==" spinCount="100000" sheet="1" formatCells="0" formatColumns="0" formatRows="0"/>
  <mergeCells count="64">
    <mergeCell ref="B2702:I2702"/>
    <mergeCell ref="B2703:I2703"/>
    <mergeCell ref="C2843:E2843"/>
    <mergeCell ref="B2844:I2844"/>
    <mergeCell ref="B2845:I2845"/>
    <mergeCell ref="B2419:I2419"/>
    <mergeCell ref="C2559:E2559"/>
    <mergeCell ref="B2560:I2560"/>
    <mergeCell ref="B2561:I2561"/>
    <mergeCell ref="C2701:E2701"/>
    <mergeCell ref="C2275:E2275"/>
    <mergeCell ref="B2276:I2276"/>
    <mergeCell ref="B2277:I2277"/>
    <mergeCell ref="C2417:E2417"/>
    <mergeCell ref="B2418:I2418"/>
    <mergeCell ref="B1992:I1992"/>
    <mergeCell ref="B1993:I1993"/>
    <mergeCell ref="C2133:E2133"/>
    <mergeCell ref="B2134:I2134"/>
    <mergeCell ref="B2135:I2135"/>
    <mergeCell ref="B1709:I1709"/>
    <mergeCell ref="C1849:E1849"/>
    <mergeCell ref="B1850:I1850"/>
    <mergeCell ref="B1851:I1851"/>
    <mergeCell ref="C1991:E1991"/>
    <mergeCell ref="C1565:E1565"/>
    <mergeCell ref="B1566:I1566"/>
    <mergeCell ref="B1567:I1567"/>
    <mergeCell ref="C1707:E1707"/>
    <mergeCell ref="B1708:I1708"/>
    <mergeCell ref="B2:I2"/>
    <mergeCell ref="C145:E145"/>
    <mergeCell ref="B146:I146"/>
    <mergeCell ref="B147:I147"/>
    <mergeCell ref="C3:E3"/>
    <mergeCell ref="B4:I4"/>
    <mergeCell ref="B5:I5"/>
    <mergeCell ref="C287:E287"/>
    <mergeCell ref="B288:I288"/>
    <mergeCell ref="B289:I289"/>
    <mergeCell ref="C429:E429"/>
    <mergeCell ref="B430:I430"/>
    <mergeCell ref="B431:I431"/>
    <mergeCell ref="C571:E571"/>
    <mergeCell ref="B572:I572"/>
    <mergeCell ref="B573:I573"/>
    <mergeCell ref="C713:E713"/>
    <mergeCell ref="B714:I714"/>
    <mergeCell ref="B715:I715"/>
    <mergeCell ref="C855:E855"/>
    <mergeCell ref="B856:I856"/>
    <mergeCell ref="B857:I857"/>
    <mergeCell ref="C997:E997"/>
    <mergeCell ref="B998:I998"/>
    <mergeCell ref="B999:I999"/>
    <mergeCell ref="C1139:E1139"/>
    <mergeCell ref="B1140:I1140"/>
    <mergeCell ref="B1424:I1424"/>
    <mergeCell ref="B1425:I1425"/>
    <mergeCell ref="B1141:I1141"/>
    <mergeCell ref="C1281:E1281"/>
    <mergeCell ref="B1282:I1282"/>
    <mergeCell ref="B1283:I1283"/>
    <mergeCell ref="C1423:E142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7" fitToHeight="8" orientation="portrait" verticalDpi="300" r:id="rId1"/>
  <headerFooter alignWithMargins="0"/>
  <rowBreaks count="3" manualBreakCount="3">
    <brk id="96" max="9" man="1"/>
    <brk id="144" max="9" man="1"/>
    <brk id="238" max="9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Munka30">
    <tabColor theme="7" tint="0.39997558519241921"/>
    <pageSetUpPr fitToPage="1"/>
  </sheetPr>
  <dimension ref="B1:R684"/>
  <sheetViews>
    <sheetView view="pageBreakPreview" zoomScaleSheetLayoutView="100" workbookViewId="0">
      <selection activeCell="L12" sqref="L12"/>
    </sheetView>
  </sheetViews>
  <sheetFormatPr defaultColWidth="9" defaultRowHeight="12.75" x14ac:dyDescent="0.25"/>
  <cols>
    <col min="1" max="1" width="0.875" style="35" customWidth="1"/>
    <col min="2" max="2" width="5.625" style="35" customWidth="1"/>
    <col min="3" max="3" width="7.625" style="44" customWidth="1"/>
    <col min="4" max="4" width="57.625" style="35" customWidth="1"/>
    <col min="5" max="9" width="12.625" style="35" customWidth="1"/>
    <col min="10" max="11" width="0.875" style="35" customWidth="1"/>
    <col min="12" max="12" width="5.625" style="35" customWidth="1"/>
    <col min="13" max="13" width="8.625" style="35" customWidth="1"/>
    <col min="14" max="17" width="9.125" style="35" customWidth="1"/>
    <col min="18" max="18" width="29.875" style="35" customWidth="1"/>
    <col min="19" max="16384" width="9" style="35"/>
  </cols>
  <sheetData>
    <row r="1" spans="2:14" ht="6" customHeight="1" x14ac:dyDescent="0.25"/>
    <row r="2" spans="2:14" s="37" customFormat="1" ht="15.75" x14ac:dyDescent="0.25">
      <c r="B2" s="524" t="str">
        <f>CONCATENATE(Index!C32," a(z) ",Index!E16," önkormányzati rendelethez")</f>
        <v>13. melléklet a(z) .../2025. (...) önkormányzati rendelethez</v>
      </c>
      <c r="C2" s="524"/>
      <c r="D2" s="524"/>
      <c r="E2" s="524"/>
      <c r="F2" s="524"/>
      <c r="G2" s="524"/>
      <c r="H2" s="524"/>
      <c r="I2" s="524"/>
    </row>
    <row r="3" spans="2:14" s="37" customFormat="1" ht="15.75" x14ac:dyDescent="0.25">
      <c r="C3" s="529"/>
      <c r="D3" s="529"/>
      <c r="E3" s="529"/>
      <c r="F3" s="200"/>
      <c r="G3" s="200"/>
      <c r="H3" s="200"/>
      <c r="I3" s="200"/>
    </row>
    <row r="4" spans="2:14" s="38" customFormat="1" ht="15.75" x14ac:dyDescent="0.25">
      <c r="B4" s="525" t="str">
        <f>$N$4</f>
        <v>Nagymarosi Polgármesteri Hivatal</v>
      </c>
      <c r="C4" s="525"/>
      <c r="D4" s="525"/>
      <c r="E4" s="525"/>
      <c r="F4" s="525"/>
      <c r="G4" s="525"/>
      <c r="H4" s="525"/>
      <c r="I4" s="525"/>
      <c r="L4" s="318">
        <v>2</v>
      </c>
      <c r="M4" s="320" t="str">
        <f>VLOOKUP($L$4,Info!$B$5:$D$55,3)</f>
        <v>P394031</v>
      </c>
      <c r="N4" s="321" t="str">
        <f>VLOOKUP($L$4,Info!$B$5:$D$55,2)</f>
        <v>Nagymarosi Polgármesteri Hivatal</v>
      </c>
    </row>
    <row r="5" spans="2:14" s="38" customFormat="1" ht="15.75" x14ac:dyDescent="0.25">
      <c r="B5" s="525" t="s">
        <v>487</v>
      </c>
      <c r="C5" s="525"/>
      <c r="D5" s="525"/>
      <c r="E5" s="525"/>
      <c r="F5" s="525"/>
      <c r="G5" s="525"/>
      <c r="H5" s="525"/>
      <c r="I5" s="525"/>
    </row>
    <row r="6" spans="2:14" s="38" customFormat="1" ht="15.75" x14ac:dyDescent="0.25">
      <c r="C6" s="156"/>
      <c r="E6" s="140"/>
      <c r="F6" s="140"/>
      <c r="G6" s="140"/>
      <c r="H6" s="140"/>
      <c r="I6" s="140"/>
    </row>
    <row r="7" spans="2:14" s="38" customFormat="1" ht="15.75" x14ac:dyDescent="0.25">
      <c r="B7" s="201" t="s">
        <v>635</v>
      </c>
      <c r="C7" s="201"/>
      <c r="D7" s="201"/>
      <c r="E7" s="201"/>
      <c r="F7" s="201"/>
      <c r="G7" s="198"/>
      <c r="H7" s="198"/>
      <c r="I7" s="198"/>
    </row>
    <row r="8" spans="2:14" s="38" customFormat="1" ht="15.75" x14ac:dyDescent="0.25">
      <c r="C8" s="156"/>
      <c r="E8" s="140"/>
      <c r="F8" s="140"/>
      <c r="G8" s="140"/>
      <c r="H8" s="140"/>
      <c r="I8" s="140"/>
    </row>
    <row r="9" spans="2:14" s="40" customFormat="1" x14ac:dyDescent="0.25">
      <c r="B9" s="77"/>
      <c r="C9" s="77" t="s">
        <v>350</v>
      </c>
      <c r="D9" s="77" t="s">
        <v>351</v>
      </c>
      <c r="E9" s="77" t="s">
        <v>470</v>
      </c>
      <c r="F9" s="77" t="s">
        <v>471</v>
      </c>
      <c r="G9" s="77" t="s">
        <v>44</v>
      </c>
      <c r="H9" s="77" t="s">
        <v>42</v>
      </c>
      <c r="I9" s="77" t="s">
        <v>511</v>
      </c>
    </row>
    <row r="10" spans="2:14" ht="38.25" x14ac:dyDescent="0.25">
      <c r="B10" s="160">
        <v>1</v>
      </c>
      <c r="C10" s="154" t="s">
        <v>593</v>
      </c>
      <c r="D10" s="154" t="s">
        <v>488</v>
      </c>
      <c r="E10" s="163" t="str">
        <f>CONCATENATE(PAR!$H$3," évi
eredeti 
előirányzat")</f>
        <v>2025. évi
eredeti 
előirányzat</v>
      </c>
      <c r="F10" s="163" t="str">
        <f>CONCATENATE(PAR!$H$3," évi
módosított 
előirányzat")</f>
        <v>2025. évi
módosított 
előirányzat</v>
      </c>
      <c r="G10" s="78" t="s">
        <v>666</v>
      </c>
      <c r="H10" s="78" t="s">
        <v>667</v>
      </c>
      <c r="I10" s="78" t="s">
        <v>668</v>
      </c>
    </row>
    <row r="11" spans="2:14" s="42" customFormat="1" x14ac:dyDescent="0.25">
      <c r="B11" s="160">
        <v>2</v>
      </c>
      <c r="C11" s="79" t="s">
        <v>30</v>
      </c>
      <c r="D11" s="79" t="s">
        <v>329</v>
      </c>
      <c r="E11" s="121">
        <f>SUM(E12:E24)</f>
        <v>1000000</v>
      </c>
      <c r="F11" s="121">
        <f t="shared" ref="F11:I11" si="0">SUM(F12:F24)</f>
        <v>1000000</v>
      </c>
      <c r="G11" s="121">
        <f t="shared" si="0"/>
        <v>1000000</v>
      </c>
      <c r="H11" s="121">
        <f t="shared" si="0"/>
        <v>0</v>
      </c>
      <c r="I11" s="121">
        <f t="shared" si="0"/>
        <v>0</v>
      </c>
    </row>
    <row r="12" spans="2:14" s="42" customFormat="1" x14ac:dyDescent="0.2">
      <c r="B12" s="160">
        <v>3</v>
      </c>
      <c r="C12" s="305" t="s">
        <v>1309</v>
      </c>
      <c r="D12" s="82" t="s">
        <v>1356</v>
      </c>
      <c r="E12" s="166">
        <f>SUMIF(Adat!$AC:$AC,CONCATENATE(61,$M$4,"094011"),Adat!$E:$E)*-1</f>
        <v>0</v>
      </c>
      <c r="F12" s="166">
        <f>SUMIF(Adat!$AC:$AC,CONCATENATE(60,$M$4,"094011"),Adat!$E:$E)*-1+E12</f>
        <v>0</v>
      </c>
      <c r="G12" s="166">
        <f>SUMIF(Adat!$AD:$AD,CONCATENATE($M$4,"094011","(KÖT)"),Adat!$E:$E)*-1</f>
        <v>0</v>
      </c>
      <c r="H12" s="166">
        <f>SUMIF(Adat!$AD:$AD,CONCATENATE($M$4,"094011","(ÖNV)"),Adat!$E:$E)*-1</f>
        <v>0</v>
      </c>
      <c r="I12" s="166">
        <f>SUMIF(Adat!$AD:$AD,CONCATENATE($M$4,"094011","(ÁIG)"),Adat!$E:$E)*-1</f>
        <v>0</v>
      </c>
    </row>
    <row r="13" spans="2:14" s="42" customFormat="1" x14ac:dyDescent="0.2">
      <c r="B13" s="160">
        <v>4</v>
      </c>
      <c r="C13" s="305" t="s">
        <v>1279</v>
      </c>
      <c r="D13" s="82" t="s">
        <v>1357</v>
      </c>
      <c r="E13" s="166">
        <f>SUMIF(Adat!$AC:$AC,CONCATENATE(61,$M$4,"094021"),Adat!$E:$E)*-1</f>
        <v>1000000</v>
      </c>
      <c r="F13" s="166">
        <f>SUMIF(Adat!$AC:$AC,CONCATENATE(60,$M$4,"094021"),Adat!$E:$E)*-1+E13</f>
        <v>1000000</v>
      </c>
      <c r="G13" s="166">
        <f>SUMIF(Adat!$AD:$AD,CONCATENATE($M$4,"094021","(KÖT)"),Adat!$E:$E)*-1</f>
        <v>1000000</v>
      </c>
      <c r="H13" s="166">
        <f>SUMIF(Adat!$AD:$AD,CONCATENATE($M$4,"094021","(ÖNV)"),Adat!$E:$E)*-1</f>
        <v>0</v>
      </c>
      <c r="I13" s="166">
        <f>SUMIF(Adat!$AD:$AD,CONCATENATE($M$4,"094021","(ÁIG)"),Adat!$E:$E)*-1</f>
        <v>0</v>
      </c>
    </row>
    <row r="14" spans="2:14" s="42" customFormat="1" x14ac:dyDescent="0.2">
      <c r="B14" s="160">
        <v>5</v>
      </c>
      <c r="C14" s="305" t="s">
        <v>1272</v>
      </c>
      <c r="D14" s="82" t="s">
        <v>1358</v>
      </c>
      <c r="E14" s="166">
        <f>SUMIF(Adat!$AC:$AC,CONCATENATE(61,$M$4,"094031"),Adat!$E:$E)*-1</f>
        <v>0</v>
      </c>
      <c r="F14" s="166">
        <f>SUMIF(Adat!$AC:$AC,CONCATENATE(60,$M$4,"094031"),Adat!$E:$E)*-1+E14</f>
        <v>0</v>
      </c>
      <c r="G14" s="166">
        <f>SUMIF(Adat!$AD:$AD,CONCATENATE($M$4,"094031","(KÖT)"),Adat!$E:$E)*-1</f>
        <v>0</v>
      </c>
      <c r="H14" s="166">
        <f>SUMIF(Adat!$AD:$AD,CONCATENATE($M$4,"094031","(ÖNV)"),Adat!$E:$E)*-1</f>
        <v>0</v>
      </c>
      <c r="I14" s="166">
        <f>SUMIF(Adat!$AD:$AD,CONCATENATE($M$4,"094031","(ÁIG)"),Adat!$E:$E)*-1</f>
        <v>0</v>
      </c>
    </row>
    <row r="15" spans="2:14" s="42" customFormat="1" x14ac:dyDescent="0.2">
      <c r="B15" s="160">
        <v>6</v>
      </c>
      <c r="C15" s="305" t="s">
        <v>1359</v>
      </c>
      <c r="D15" s="82" t="s">
        <v>1360</v>
      </c>
      <c r="E15" s="166">
        <f>SUMIF(Adat!$AC:$AC,CONCATENATE(61,$M$4,"094041"),Adat!$E:$E)*-1</f>
        <v>0</v>
      </c>
      <c r="F15" s="166">
        <f>SUMIF(Adat!$AC:$AC,CONCATENATE(60,$M$4,"094041"),Adat!$E:$E)*-1+E15</f>
        <v>0</v>
      </c>
      <c r="G15" s="166">
        <f>SUMIF(Adat!$AD:$AD,CONCATENATE($M$4,"094041","(KÖT)"),Adat!$E:$E)*-1</f>
        <v>0</v>
      </c>
      <c r="H15" s="166">
        <f>SUMIF(Adat!$AD:$AD,CONCATENATE($M$4,"094041","(ÖNV)"),Adat!$E:$E)*-1</f>
        <v>0</v>
      </c>
      <c r="I15" s="166">
        <f>SUMIF(Adat!$AD:$AD,CONCATENATE($M$4,"094041","(ÁIG)"),Adat!$E:$E)*-1</f>
        <v>0</v>
      </c>
    </row>
    <row r="16" spans="2:14" s="42" customFormat="1" x14ac:dyDescent="0.2">
      <c r="B16" s="160">
        <v>7</v>
      </c>
      <c r="C16" s="305" t="s">
        <v>1261</v>
      </c>
      <c r="D16" s="82" t="s">
        <v>1361</v>
      </c>
      <c r="E16" s="166">
        <f>SUMIF(Adat!$AC:$AC,CONCATENATE(61,$M$4,"094051"),Adat!$E:$E)*-1</f>
        <v>0</v>
      </c>
      <c r="F16" s="166">
        <f>SUMIF(Adat!$AC:$AC,CONCATENATE(60,$M$4,"094051"),Adat!$E:$E)*-1+E16</f>
        <v>0</v>
      </c>
      <c r="G16" s="166">
        <f>SUMIF(Adat!$AD:$AD,CONCATENATE($M$4,"094051","(KÖT)"),Adat!$E:$E)*-1</f>
        <v>0</v>
      </c>
      <c r="H16" s="166">
        <f>SUMIF(Adat!$AD:$AD,CONCATENATE($M$4,"094051","(ÖNV)"),Adat!$E:$E)*-1</f>
        <v>0</v>
      </c>
      <c r="I16" s="166">
        <f>SUMIF(Adat!$AD:$AD,CONCATENATE($M$4,"094051","(ÁIG)"),Adat!$E:$E)*-1</f>
        <v>0</v>
      </c>
    </row>
    <row r="17" spans="2:9" s="42" customFormat="1" x14ac:dyDescent="0.2">
      <c r="B17" s="160">
        <v>8</v>
      </c>
      <c r="C17" s="305" t="s">
        <v>1273</v>
      </c>
      <c r="D17" s="82" t="s">
        <v>1362</v>
      </c>
      <c r="E17" s="166">
        <f>SUMIF(Adat!$AC:$AC,CONCATENATE(61,$M$4,"094061"),Adat!$E:$E)*-1</f>
        <v>0</v>
      </c>
      <c r="F17" s="166">
        <f>SUMIF(Adat!$AC:$AC,CONCATENATE(60,$M$4,"094061"),Adat!$E:$E)*-1+E17</f>
        <v>0</v>
      </c>
      <c r="G17" s="166">
        <f>SUMIF(Adat!$AD:$AD,CONCATENATE($M$4,"094061","(KÖT)"),Adat!$E:$E)*-1</f>
        <v>0</v>
      </c>
      <c r="H17" s="166">
        <f>SUMIF(Adat!$AD:$AD,CONCATENATE($M$4,"094061","(ÖNV)"),Adat!$E:$E)*-1</f>
        <v>0</v>
      </c>
      <c r="I17" s="166">
        <f>SUMIF(Adat!$AD:$AD,CONCATENATE($M$4,"094061","(ÁIG)"),Adat!$E:$E)*-1</f>
        <v>0</v>
      </c>
    </row>
    <row r="18" spans="2:9" s="42" customFormat="1" x14ac:dyDescent="0.2">
      <c r="B18" s="160">
        <v>9</v>
      </c>
      <c r="C18" s="305" t="s">
        <v>1363</v>
      </c>
      <c r="D18" s="82" t="s">
        <v>1364</v>
      </c>
      <c r="E18" s="166">
        <f>SUMIF(Adat!$AC:$AC,CONCATENATE(61,$M$4,"094071"),Adat!$E:$E)*-1</f>
        <v>0</v>
      </c>
      <c r="F18" s="166">
        <f>SUMIF(Adat!$AC:$AC,CONCATENATE(60,$M$4,"094071"),Adat!$E:$E)*-1+E18</f>
        <v>0</v>
      </c>
      <c r="G18" s="166">
        <f>SUMIF(Adat!$AD:$AD,CONCATENATE($M$4,"094071","(KÖT)"),Adat!$E:$E)*-1</f>
        <v>0</v>
      </c>
      <c r="H18" s="166">
        <f>SUMIF(Adat!$AD:$AD,CONCATENATE($M$4,"094071","(ÖNV)"),Adat!$E:$E)*-1</f>
        <v>0</v>
      </c>
      <c r="I18" s="166">
        <f>SUMIF(Adat!$AD:$AD,CONCATENATE($M$4,"094071","(ÁIG)"),Adat!$E:$E)*-1</f>
        <v>0</v>
      </c>
    </row>
    <row r="19" spans="2:9" s="42" customFormat="1" x14ac:dyDescent="0.2">
      <c r="B19" s="160">
        <v>10</v>
      </c>
      <c r="C19" s="305" t="s">
        <v>1306</v>
      </c>
      <c r="D19" s="82" t="s">
        <v>1365</v>
      </c>
      <c r="E19" s="166">
        <f>SUMIF(Adat!$AC:$AC,CONCATENATE(61,$M$4,"0940811"),Adat!$E:$E)*-1</f>
        <v>0</v>
      </c>
      <c r="F19" s="166">
        <f>SUMIF(Adat!$AC:$AC,CONCATENATE(60,$M$4,"0940811"),Adat!$E:$E)*-1+E19</f>
        <v>0</v>
      </c>
      <c r="G19" s="166">
        <f>SUMIF(Adat!$AD:$AD,CONCATENATE($M$4,"0940811","(KÖT)"),Adat!$E:$E)*-1</f>
        <v>0</v>
      </c>
      <c r="H19" s="166">
        <f>SUMIF(Adat!$AD:$AD,CONCATENATE($M$4,"0940811","(ÖNV)"),Adat!$E:$E)*-1</f>
        <v>0</v>
      </c>
      <c r="I19" s="166">
        <f>SUMIF(Adat!$AD:$AD,CONCATENATE($M$4,"0940811","(ÁIG)"),Adat!$E:$E)*-1</f>
        <v>0</v>
      </c>
    </row>
    <row r="20" spans="2:9" x14ac:dyDescent="0.2">
      <c r="B20" s="160">
        <v>11</v>
      </c>
      <c r="C20" s="305" t="s">
        <v>1295</v>
      </c>
      <c r="D20" s="82" t="s">
        <v>1366</v>
      </c>
      <c r="E20" s="166">
        <f>SUMIF(Adat!$AC:$AC,CONCATENATE(61,$M$4,"0940821"),Adat!$E:$E)*-1</f>
        <v>0</v>
      </c>
      <c r="F20" s="166">
        <f>SUMIF(Adat!$AC:$AC,CONCATENATE(60,$M$4,"0940821"),Adat!$E:$E)*-1+E20</f>
        <v>0</v>
      </c>
      <c r="G20" s="166">
        <f>SUMIF(Adat!$AD:$AD,CONCATENATE($M$4,"0940821","(KÖT)"),Adat!$E:$E)*-1</f>
        <v>0</v>
      </c>
      <c r="H20" s="166">
        <f>SUMIF(Adat!$AD:$AD,CONCATENATE($M$4,"0940821","(ÖNV)"),Adat!$E:$E)*-1</f>
        <v>0</v>
      </c>
      <c r="I20" s="166">
        <f>SUMIF(Adat!$AD:$AD,CONCATENATE($M$4,"0940821","(ÁIG)"),Adat!$E:$E)*-1</f>
        <v>0</v>
      </c>
    </row>
    <row r="21" spans="2:9" x14ac:dyDescent="0.2">
      <c r="B21" s="160">
        <v>12</v>
      </c>
      <c r="C21" s="305" t="s">
        <v>1367</v>
      </c>
      <c r="D21" s="82" t="s">
        <v>1368</v>
      </c>
      <c r="E21" s="166">
        <f>SUMIF(Adat!$AC:$AC,CONCATENATE(61,$M$4,"0940911"),Adat!$E:$E)*-1</f>
        <v>0</v>
      </c>
      <c r="F21" s="166">
        <f>SUMIF(Adat!$AC:$AC,CONCATENATE(60,$M$4,"0940911"),Adat!$E:$E)*-1+E21</f>
        <v>0</v>
      </c>
      <c r="G21" s="166">
        <f>SUMIF(Adat!$AD:$AD,CONCATENATE($M$4,"0940911","(KÖT)"),Adat!$E:$E)*-1</f>
        <v>0</v>
      </c>
      <c r="H21" s="166">
        <f>SUMIF(Adat!$AD:$AD,CONCATENATE($M$4,"0940911","(ÖNV)"),Adat!$E:$E)*-1</f>
        <v>0</v>
      </c>
      <c r="I21" s="166">
        <f>SUMIF(Adat!$AD:$AD,CONCATENATE($M$4,"0940911","(ÁIG)"),Adat!$E:$E)*-1</f>
        <v>0</v>
      </c>
    </row>
    <row r="22" spans="2:9" x14ac:dyDescent="0.2">
      <c r="B22" s="160">
        <v>13</v>
      </c>
      <c r="C22" s="305" t="s">
        <v>1369</v>
      </c>
      <c r="D22" s="82" t="s">
        <v>1370</v>
      </c>
      <c r="E22" s="166">
        <f>SUMIF(Adat!$AC:$AC,CONCATENATE(61,$M$4,"0940921"),Adat!$E:$E)*-1</f>
        <v>0</v>
      </c>
      <c r="F22" s="166">
        <f>SUMIF(Adat!$AC:$AC,CONCATENATE(60,$M$4,"0940921"),Adat!$E:$E)*-1+E22</f>
        <v>0</v>
      </c>
      <c r="G22" s="166">
        <f>SUMIF(Adat!$AD:$AD,CONCATENATE($M$4,"0940921","(KÖT)"),Adat!$E:$E)*-1</f>
        <v>0</v>
      </c>
      <c r="H22" s="166">
        <f>SUMIF(Adat!$AD:$AD,CONCATENATE($M$4,"0940921","(ÖNV)"),Adat!$E:$E)*-1</f>
        <v>0</v>
      </c>
      <c r="I22" s="166">
        <f>SUMIF(Adat!$AD:$AD,CONCATENATE($M$4,"0940921","(ÁIG)"),Adat!$E:$E)*-1</f>
        <v>0</v>
      </c>
    </row>
    <row r="23" spans="2:9" x14ac:dyDescent="0.2">
      <c r="B23" s="160">
        <v>14</v>
      </c>
      <c r="C23" s="305" t="s">
        <v>1296</v>
      </c>
      <c r="D23" s="82" t="s">
        <v>1371</v>
      </c>
      <c r="E23" s="166">
        <f>SUMIF(Adat!$AC:$AC,CONCATENATE(61,$M$4,"094101"),Adat!$E:$E)*-1</f>
        <v>0</v>
      </c>
      <c r="F23" s="166">
        <f>SUMIF(Adat!$AC:$AC,CONCATENATE(60,$M$4,"094101"),Adat!$E:$E)*-1+E23</f>
        <v>0</v>
      </c>
      <c r="G23" s="166">
        <f>SUMIF(Adat!$AD:$AD,CONCATENATE($M$4,"094101","(KÖT)"),Adat!$E:$E)*-1</f>
        <v>0</v>
      </c>
      <c r="H23" s="166">
        <f>SUMIF(Adat!$AD:$AD,CONCATENATE($M$4,"094101","(ÖNV)"),Adat!$E:$E)*-1</f>
        <v>0</v>
      </c>
      <c r="I23" s="166">
        <f>SUMIF(Adat!$AD:$AD,CONCATENATE($M$4,"094101","(ÁIG)"),Adat!$E:$E)*-1</f>
        <v>0</v>
      </c>
    </row>
    <row r="24" spans="2:9" x14ac:dyDescent="0.25">
      <c r="B24" s="160">
        <v>15</v>
      </c>
      <c r="C24" s="305" t="s">
        <v>1297</v>
      </c>
      <c r="D24" s="84" t="s">
        <v>1372</v>
      </c>
      <c r="E24" s="166">
        <f>SUMIF(Adat!$AC:$AC,CONCATENATE(61,$M$4,"094111"),Adat!$E:$E)*-1</f>
        <v>0</v>
      </c>
      <c r="F24" s="166">
        <f>SUMIF(Adat!$AC:$AC,CONCATENATE(60,$M$4,"094111"),Adat!$E:$E)*-1+E24</f>
        <v>0</v>
      </c>
      <c r="G24" s="166">
        <f>SUMIF(Adat!$AD:$AD,CONCATENATE($M$4,"094111","(KÖT)"),Adat!$E:$E)*-1</f>
        <v>0</v>
      </c>
      <c r="H24" s="166">
        <f>SUMIF(Adat!$AD:$AD,CONCATENATE($M$4,"094111","(ÖNV)"),Adat!$E:$E)*-1</f>
        <v>0</v>
      </c>
      <c r="I24" s="166">
        <f>SUMIF(Adat!$AD:$AD,CONCATENATE($M$4,"094111","(ÁIG)"),Adat!$E:$E)*-1</f>
        <v>0</v>
      </c>
    </row>
    <row r="25" spans="2:9" s="42" customFormat="1" x14ac:dyDescent="0.25">
      <c r="B25" s="160">
        <v>16</v>
      </c>
      <c r="C25" s="78" t="s">
        <v>1328</v>
      </c>
      <c r="D25" s="85" t="s">
        <v>437</v>
      </c>
      <c r="E25" s="121">
        <f>SUM(E26:E28)</f>
        <v>0</v>
      </c>
      <c r="F25" s="121">
        <f>SUM(F26:F28)</f>
        <v>0</v>
      </c>
      <c r="G25" s="121">
        <f>SUM(G26:G28)</f>
        <v>0</v>
      </c>
      <c r="H25" s="121">
        <f>SUM(H26:H28)</f>
        <v>0</v>
      </c>
      <c r="I25" s="121">
        <f>SUM(I26:I28)</f>
        <v>0</v>
      </c>
    </row>
    <row r="26" spans="2:9" x14ac:dyDescent="0.2">
      <c r="B26" s="160">
        <v>17</v>
      </c>
      <c r="C26" s="305" t="s">
        <v>1329</v>
      </c>
      <c r="D26" s="82" t="s">
        <v>1330</v>
      </c>
      <c r="E26" s="166">
        <f>SUMIF(Adat!$AC:$AC,CONCATENATE(61,$M$4,"09121"),Adat!$E:$E)*-1</f>
        <v>0</v>
      </c>
      <c r="F26" s="166">
        <f>SUMIF(Adat!$AC:$AC,CONCATENATE(60,$M$4,"09121"),Adat!$E:$E)*-1+E26</f>
        <v>0</v>
      </c>
      <c r="G26" s="166">
        <f>SUMIF(Adat!$AD:$AD,CONCATENATE($M$4,"09121","(KÖT)"),Adat!$E:$E)*-1</f>
        <v>0</v>
      </c>
      <c r="H26" s="166">
        <f>SUMIF(Adat!$AD:$AD,CONCATENATE($M$4,"09121","(ÖNV)"),Adat!$E:$E)*-1</f>
        <v>0</v>
      </c>
      <c r="I26" s="166">
        <f>SUMIF(Adat!$AD:$AD,CONCATENATE($M$4,"09121","(ÁIG)"),Adat!$E:$E)*-1</f>
        <v>0</v>
      </c>
    </row>
    <row r="27" spans="2:9" x14ac:dyDescent="0.2">
      <c r="B27" s="160">
        <v>18</v>
      </c>
      <c r="C27" s="305" t="s">
        <v>1335</v>
      </c>
      <c r="D27" s="82" t="s">
        <v>1336</v>
      </c>
      <c r="E27" s="166">
        <f>SUMIF(Adat!$AC:$AC,CONCATENATE(61,$M$4,"09151"),Adat!$E:$E)*-1</f>
        <v>0</v>
      </c>
      <c r="F27" s="166">
        <f>SUMIF(Adat!$AC:$AC,CONCATENATE(60,$M$4,"09151"),Adat!$E:$E)*-1+E27</f>
        <v>0</v>
      </c>
      <c r="G27" s="166">
        <f>SUMIF(Adat!$AD:$AD,CONCATENATE($M$4,"09151","(KÖT)"),Adat!$E:$E)*-1</f>
        <v>0</v>
      </c>
      <c r="H27" s="166">
        <f>SUMIF(Adat!$AD:$AD,CONCATENATE($M$4,"09151","(ÖNV)"),Adat!$E:$E)*-1</f>
        <v>0</v>
      </c>
      <c r="I27" s="166">
        <f>SUMIF(Adat!$AD:$AD,CONCATENATE($M$4,"09151","(ÁIG)"),Adat!$E:$E)*-1</f>
        <v>0</v>
      </c>
    </row>
    <row r="28" spans="2:9" x14ac:dyDescent="0.2">
      <c r="B28" s="160">
        <v>19</v>
      </c>
      <c r="C28" s="305" t="s">
        <v>1278</v>
      </c>
      <c r="D28" s="82" t="s">
        <v>1337</v>
      </c>
      <c r="E28" s="166">
        <f>SUMIF(Adat!$AC:$AC,CONCATENATE(61,$M$4,"09161"),Adat!$E:$E)*-1</f>
        <v>0</v>
      </c>
      <c r="F28" s="166">
        <f>SUMIF(Adat!$AC:$AC,CONCATENATE(60,$M$4,"09161"),Adat!$E:$E)*-1+E28</f>
        <v>0</v>
      </c>
      <c r="G28" s="166">
        <f>SUMIF(Adat!$AD:$AD,CONCATENATE($M$4,"09161","(KÖT)"),Adat!$E:$E)*-1</f>
        <v>0</v>
      </c>
      <c r="H28" s="166">
        <f>SUMIF(Adat!$AD:$AD,CONCATENATE($M$4,"09161","(ÖNV)"),Adat!$E:$E)*-1</f>
        <v>0</v>
      </c>
      <c r="I28" s="166">
        <f>SUMIF(Adat!$AD:$AD,CONCATENATE($M$4,"09161","(ÁIG)"),Adat!$E:$E)*-1</f>
        <v>0</v>
      </c>
    </row>
    <row r="29" spans="2:9" x14ac:dyDescent="0.25">
      <c r="B29" s="160">
        <v>20</v>
      </c>
      <c r="C29" s="79" t="s">
        <v>27</v>
      </c>
      <c r="D29" s="79" t="s">
        <v>328</v>
      </c>
      <c r="E29" s="71">
        <f>SUMIF(Adat!$AE:$AE,CONCATENATE(61,$M$4,"093"),Adat!$E:$E)*-1</f>
        <v>0</v>
      </c>
      <c r="F29" s="71">
        <f>SUMIF(Adat!$AE:$AE,CONCATENATE(60,$M$4,"093"),Adat!$E:$E)*-1+E29</f>
        <v>0</v>
      </c>
      <c r="G29" s="71">
        <f>SUMIF(Adat!$AF:$AF,CONCATENATE($M$4,"093","(KÖT)"),Adat!$E:$E)*-1</f>
        <v>0</v>
      </c>
      <c r="H29" s="71">
        <f>SUMIF(Adat!$AF:$AF,CONCATENATE($M$4,"093","(ÖNV)"),Adat!$E:$E)*-1</f>
        <v>0</v>
      </c>
      <c r="I29" s="71">
        <f>SUMIF(Adat!$AF:$AF,CONCATENATE($M$4,"093","(ÁIG)"),Adat!$E:$E)*-1</f>
        <v>0</v>
      </c>
    </row>
    <row r="30" spans="2:9" x14ac:dyDescent="0.25">
      <c r="B30" s="160">
        <v>21</v>
      </c>
      <c r="C30" s="79" t="s">
        <v>24</v>
      </c>
      <c r="D30" s="79" t="s">
        <v>449</v>
      </c>
      <c r="E30" s="121">
        <f>SUM(E31:E33)</f>
        <v>0</v>
      </c>
      <c r="F30" s="121">
        <f t="shared" ref="F30:I30" si="1">SUM(F31:F33)</f>
        <v>0</v>
      </c>
      <c r="G30" s="121">
        <f t="shared" si="1"/>
        <v>0</v>
      </c>
      <c r="H30" s="121">
        <f t="shared" si="1"/>
        <v>0</v>
      </c>
      <c r="I30" s="121">
        <f t="shared" si="1"/>
        <v>0</v>
      </c>
    </row>
    <row r="31" spans="2:9" x14ac:dyDescent="0.2">
      <c r="B31" s="160">
        <v>22</v>
      </c>
      <c r="C31" s="305" t="s">
        <v>1339</v>
      </c>
      <c r="D31" s="82" t="s">
        <v>1340</v>
      </c>
      <c r="E31" s="166">
        <f>SUMIF(Adat!$AC:$AC,CONCATENATE(61,$M$4,"09211"),Adat!$E:$E)*-1</f>
        <v>0</v>
      </c>
      <c r="F31" s="166">
        <f>SUMIF(Adat!$AC:$AC,CONCATENATE(60,$M$4,"09211"),Adat!$E:$E)*-1+E31</f>
        <v>0</v>
      </c>
      <c r="G31" s="166">
        <f>SUMIF(Adat!$AD:$AD,CONCATENATE($M$4,"09211","(KÖT)"),Adat!$E:$E)*-1</f>
        <v>0</v>
      </c>
      <c r="H31" s="166">
        <f>SUMIF(Adat!$AD:$AD,CONCATENATE($M$4,"09211","(ÖNV)"),Adat!$E:$E)*-1</f>
        <v>0</v>
      </c>
      <c r="I31" s="166">
        <f>SUMIF(Adat!$AD:$AD,CONCATENATE($M$4,"09211","(ÁIG)"),Adat!$E:$E)*-1</f>
        <v>0</v>
      </c>
    </row>
    <row r="32" spans="2:9" x14ac:dyDescent="0.2">
      <c r="B32" s="160">
        <v>23</v>
      </c>
      <c r="C32" s="305" t="s">
        <v>1345</v>
      </c>
      <c r="D32" s="82" t="s">
        <v>1346</v>
      </c>
      <c r="E32" s="166">
        <f>SUMIF(Adat!$AC:$AC,CONCATENATE(61,$M$4,"09241"),Adat!$E:$E)*-1</f>
        <v>0</v>
      </c>
      <c r="F32" s="166">
        <f>SUMIF(Adat!$AC:$AC,CONCATENATE(60,$M$4,"09241"),Adat!$E:$E)*-1+E32</f>
        <v>0</v>
      </c>
      <c r="G32" s="166">
        <f>SUMIF(Adat!$AD:$AD,CONCATENATE($M$4,"09241","(KÖT)"),Adat!$E:$E)*-1</f>
        <v>0</v>
      </c>
      <c r="H32" s="166">
        <f>SUMIF(Adat!$AD:$AD,CONCATENATE($M$4,"09241","(ÖNV)"),Adat!$E:$E)*-1</f>
        <v>0</v>
      </c>
      <c r="I32" s="166">
        <f>SUMIF(Adat!$AD:$AD,CONCATENATE($M$4,"09241","(ÁIG)"),Adat!$E:$E)*-1</f>
        <v>0</v>
      </c>
    </row>
    <row r="33" spans="2:9" x14ac:dyDescent="0.2">
      <c r="B33" s="160">
        <v>24</v>
      </c>
      <c r="C33" s="305" t="s">
        <v>1255</v>
      </c>
      <c r="D33" s="82" t="s">
        <v>1347</v>
      </c>
      <c r="E33" s="166">
        <f>SUMIF(Adat!$AC:$AC,CONCATENATE(61,$M$4,"09251"),Adat!$E:$E)*-1</f>
        <v>0</v>
      </c>
      <c r="F33" s="166">
        <f>SUMIF(Adat!$AC:$AC,CONCATENATE(60,$M$4,"09251"),Adat!$E:$E)*-1+E33</f>
        <v>0</v>
      </c>
      <c r="G33" s="166">
        <f>SUMIF(Adat!$AD:$AD,CONCATENATE($M$4,"09251","(KÖT)"),Adat!$E:$E)*-1</f>
        <v>0</v>
      </c>
      <c r="H33" s="166">
        <f>SUMIF(Adat!$AD:$AD,CONCATENATE($M$4,"09251","(ÖNV)"),Adat!$E:$E)*-1</f>
        <v>0</v>
      </c>
      <c r="I33" s="166">
        <f>SUMIF(Adat!$AD:$AD,CONCATENATE($M$4,"09251","(ÁIG)"),Adat!$E:$E)*-1</f>
        <v>0</v>
      </c>
    </row>
    <row r="34" spans="2:9" x14ac:dyDescent="0.25">
      <c r="B34" s="160">
        <v>25</v>
      </c>
      <c r="C34" s="79" t="s">
        <v>33</v>
      </c>
      <c r="D34" s="79" t="s">
        <v>330</v>
      </c>
      <c r="E34" s="121">
        <f>SUM(E35:E37)</f>
        <v>0</v>
      </c>
      <c r="F34" s="121">
        <f t="shared" ref="F34:I34" si="2">SUM(F35:F37)</f>
        <v>0</v>
      </c>
      <c r="G34" s="121">
        <f t="shared" si="2"/>
        <v>0</v>
      </c>
      <c r="H34" s="121">
        <f t="shared" si="2"/>
        <v>0</v>
      </c>
      <c r="I34" s="121">
        <f t="shared" si="2"/>
        <v>0</v>
      </c>
    </row>
    <row r="35" spans="2:9" x14ac:dyDescent="0.2">
      <c r="B35" s="160">
        <v>26</v>
      </c>
      <c r="C35" s="305" t="s">
        <v>1373</v>
      </c>
      <c r="D35" s="82" t="s">
        <v>1374</v>
      </c>
      <c r="E35" s="166">
        <f>SUMIF(Adat!$AC:$AC,CONCATENATE(61,$M$4,"09511"),Adat!$E:$E)*-1</f>
        <v>0</v>
      </c>
      <c r="F35" s="166">
        <f>SUMIF(Adat!$AC:$AC,CONCATENATE(60,$M$4,"09511"),Adat!$E:$E)*-1+E35</f>
        <v>0</v>
      </c>
      <c r="G35" s="166">
        <f>SUMIF(Adat!$AD:$AD,CONCATENATE($M$4,"09511","(KÖT)"),Adat!$E:$E)*-1</f>
        <v>0</v>
      </c>
      <c r="H35" s="166">
        <f>SUMIF(Adat!$AD:$AD,CONCATENATE($M$4,"09511","(ÖNV)"),Adat!$E:$E)*-1</f>
        <v>0</v>
      </c>
      <c r="I35" s="166">
        <f>SUMIF(Adat!$AD:$AD,CONCATENATE($M$4,"09511","(ÁIG)"),Adat!$E:$E)*-1</f>
        <v>0</v>
      </c>
    </row>
    <row r="36" spans="2:9" x14ac:dyDescent="0.2">
      <c r="B36" s="160">
        <v>27</v>
      </c>
      <c r="C36" s="305" t="s">
        <v>1294</v>
      </c>
      <c r="D36" s="82" t="s">
        <v>1375</v>
      </c>
      <c r="E36" s="166">
        <f>SUMIF(Adat!$AC:$AC,CONCATENATE(61,$M$4,"09521"),Adat!$E:$E)*-1</f>
        <v>0</v>
      </c>
      <c r="F36" s="166">
        <f>SUMIF(Adat!$AC:$AC,CONCATENATE(60,$M$4,"09521"),Adat!$E:$E)*-1+E36</f>
        <v>0</v>
      </c>
      <c r="G36" s="166">
        <f>SUMIF(Adat!$AD:$AD,CONCATENATE($M$4,"09521","(KÖT)"),Adat!$E:$E)*-1</f>
        <v>0</v>
      </c>
      <c r="H36" s="166">
        <f>SUMIF(Adat!$AD:$AD,CONCATENATE($M$4,"09521","(ÖNV)"),Adat!$E:$E)*-1</f>
        <v>0</v>
      </c>
      <c r="I36" s="166">
        <f>SUMIF(Adat!$AD:$AD,CONCATENATE($M$4,"09521","(ÁIG)"),Adat!$E:$E)*-1</f>
        <v>0</v>
      </c>
    </row>
    <row r="37" spans="2:9" x14ac:dyDescent="0.2">
      <c r="B37" s="160">
        <v>28</v>
      </c>
      <c r="C37" s="305" t="s">
        <v>1376</v>
      </c>
      <c r="D37" s="82" t="s">
        <v>1377</v>
      </c>
      <c r="E37" s="166">
        <f>SUMIF(Adat!$AC:$AC,CONCATENATE(61,$M$4,"09531"),Adat!$E:$E)*-1</f>
        <v>0</v>
      </c>
      <c r="F37" s="166">
        <f>SUMIF(Adat!$AC:$AC,CONCATENATE(60,$M$4,"09531"),Adat!$E:$E)*-1+E37</f>
        <v>0</v>
      </c>
      <c r="G37" s="166">
        <f>SUMIF(Adat!$AD:$AD,CONCATENATE($M$4,"09531","(KÖT)"),Adat!$E:$E)*-1</f>
        <v>0</v>
      </c>
      <c r="H37" s="166">
        <f>SUMIF(Adat!$AD:$AD,CONCATENATE($M$4,"09531","(ÖNV)"),Adat!$E:$E)*-1</f>
        <v>0</v>
      </c>
      <c r="I37" s="166">
        <f>SUMIF(Adat!$AD:$AD,CONCATENATE($M$4,"09531","(ÁIG)"),Adat!$E:$E)*-1</f>
        <v>0</v>
      </c>
    </row>
    <row r="38" spans="2:9" s="42" customFormat="1" x14ac:dyDescent="0.25">
      <c r="B38" s="160">
        <v>29</v>
      </c>
      <c r="C38" s="79" t="s">
        <v>36</v>
      </c>
      <c r="D38" s="79" t="s">
        <v>331</v>
      </c>
      <c r="E38" s="71">
        <f>SUMIF(Adat!$AE:$AE,CONCATENATE(61,$M$4,"096"),Adat!$E:$E)*-1</f>
        <v>0</v>
      </c>
      <c r="F38" s="71">
        <f>SUMIF(Adat!$AE:$AE,CONCATENATE(60,$M$4,"096"),Adat!$E:$E)*-1+E38</f>
        <v>0</v>
      </c>
      <c r="G38" s="71">
        <f>SUMIF(Adat!$AF:$AF,CONCATENATE($M$4,"096","(KÖT)"),Adat!$E:$E)*-1</f>
        <v>0</v>
      </c>
      <c r="H38" s="71">
        <f>SUMIF(Adat!$AF:$AF,CONCATENATE($M$4,"096","(ÖNV)"),Adat!$E:$E)*-1</f>
        <v>0</v>
      </c>
      <c r="I38" s="71">
        <f>SUMIF(Adat!$AF:$AF,CONCATENATE($M$4,"096","(ÁIG)"),Adat!$E:$E)*-1</f>
        <v>0</v>
      </c>
    </row>
    <row r="39" spans="2:9" s="42" customFormat="1" x14ac:dyDescent="0.25">
      <c r="B39" s="160">
        <v>30</v>
      </c>
      <c r="C39" s="79" t="s">
        <v>38</v>
      </c>
      <c r="D39" s="85" t="s">
        <v>332</v>
      </c>
      <c r="E39" s="71">
        <f>SUMIF(Adat!$AE:$AE,CONCATENATE(61,$M$4,"097"),Adat!$E:$E)*-1</f>
        <v>0</v>
      </c>
      <c r="F39" s="71">
        <f>SUMIF(Adat!$AE:$AE,CONCATENATE(60,$M$4,"097"),Adat!$E:$E)*-1+E39</f>
        <v>0</v>
      </c>
      <c r="G39" s="71">
        <f>SUMIF(Adat!$AF:$AF,CONCATENATE($M$4,"097","(KÖT)"),Adat!$E:$E)*-1</f>
        <v>0</v>
      </c>
      <c r="H39" s="71">
        <f>SUMIF(Adat!$AF:$AF,CONCATENATE($M$4,"097","(ÖNV)"),Adat!$E:$E)*-1</f>
        <v>0</v>
      </c>
      <c r="I39" s="71">
        <f>SUMIF(Adat!$AF:$AF,CONCATENATE($M$4,"097","(ÁIG)"),Adat!$E:$E)*-1</f>
        <v>0</v>
      </c>
    </row>
    <row r="40" spans="2:9" s="42" customFormat="1" x14ac:dyDescent="0.25">
      <c r="B40" s="160">
        <v>31</v>
      </c>
      <c r="C40" s="154" t="s">
        <v>352</v>
      </c>
      <c r="D40" s="86" t="s">
        <v>1500</v>
      </c>
      <c r="E40" s="121">
        <f>E11+E25+E29+E30+E34+E38+E39</f>
        <v>1000000</v>
      </c>
      <c r="F40" s="121">
        <f>F11+F25+F29+F30+F34+F38+F39</f>
        <v>1000000</v>
      </c>
      <c r="G40" s="121">
        <f>G11+G25+G29+G30+G34+G38+G39</f>
        <v>1000000</v>
      </c>
      <c r="H40" s="121">
        <f>H11+H25+H29+H30+H34+H38+H39</f>
        <v>0</v>
      </c>
      <c r="I40" s="121">
        <f>I11+I25+I29+I30+I34+I38+I39</f>
        <v>0</v>
      </c>
    </row>
    <row r="41" spans="2:9" s="42" customFormat="1" x14ac:dyDescent="0.25">
      <c r="B41" s="160">
        <v>32</v>
      </c>
      <c r="C41" s="154" t="s">
        <v>358</v>
      </c>
      <c r="D41" s="86" t="s">
        <v>333</v>
      </c>
      <c r="E41" s="121">
        <f>SUM(E42:E44)</f>
        <v>255449646</v>
      </c>
      <c r="F41" s="121">
        <f t="shared" ref="F41:I41" si="3">SUM(F42:F44)</f>
        <v>255449646</v>
      </c>
      <c r="G41" s="121">
        <f t="shared" si="3"/>
        <v>255449646</v>
      </c>
      <c r="H41" s="121">
        <f t="shared" si="3"/>
        <v>0</v>
      </c>
      <c r="I41" s="121">
        <f t="shared" si="3"/>
        <v>0</v>
      </c>
    </row>
    <row r="42" spans="2:9" s="42" customFormat="1" x14ac:dyDescent="0.2">
      <c r="B42" s="160">
        <v>33</v>
      </c>
      <c r="C42" s="305" t="s">
        <v>1274</v>
      </c>
      <c r="D42" s="82" t="s">
        <v>1419</v>
      </c>
      <c r="E42" s="166">
        <f>SUMIF(Adat!$AC:$AC,CONCATENATE(61,$M$4,"0981311"),Adat!$E:$E)*-1</f>
        <v>417719</v>
      </c>
      <c r="F42" s="166">
        <f>SUMIF(Adat!$AC:$AC,CONCATENATE(60,$M$4,"0981311"),Adat!$E:$E)*-1+E42</f>
        <v>417719</v>
      </c>
      <c r="G42" s="166">
        <f>SUMIF(Adat!$AD:$AD,CONCATENATE($M$4,"0981311","(KÖT)"),Adat!$E:$E)*-1</f>
        <v>417719</v>
      </c>
      <c r="H42" s="166">
        <f>SUMIF(Adat!$AD:$AD,CONCATENATE($M$4,"0981311","(ÖNV)"),Adat!$E:$E)*-1</f>
        <v>0</v>
      </c>
      <c r="I42" s="166">
        <f>SUMIF(Adat!$AD:$AD,CONCATENATE($M$4,"0981311","(ÁIG)"),Adat!$E:$E)*-1</f>
        <v>0</v>
      </c>
    </row>
    <row r="43" spans="2:9" s="42" customFormat="1" x14ac:dyDescent="0.25">
      <c r="B43" s="160">
        <v>34</v>
      </c>
      <c r="C43" s="305" t="s">
        <v>1420</v>
      </c>
      <c r="D43" s="84" t="s">
        <v>1421</v>
      </c>
      <c r="E43" s="166">
        <f>SUMIF(Adat!$AC:$AC,CONCATENATE(61,$M$4,"0981321"),Adat!$E:$E)*-1</f>
        <v>0</v>
      </c>
      <c r="F43" s="166">
        <f>SUMIF(Adat!$AC:$AC,CONCATENATE(60,$M$4,"0981321"),Adat!$E:$E)*-1+E43</f>
        <v>0</v>
      </c>
      <c r="G43" s="166">
        <f>SUMIF(Adat!$AD:$AD,CONCATENATE($M$4,"0981321","(KÖT)"),Adat!$E:$E)*-1</f>
        <v>0</v>
      </c>
      <c r="H43" s="166">
        <f>SUMIF(Adat!$AD:$AD,CONCATENATE($M$4,"0981321","(ÖNV)"),Adat!$E:$E)*-1</f>
        <v>0</v>
      </c>
      <c r="I43" s="166">
        <f>SUMIF(Adat!$AD:$AD,CONCATENATE($M$4,"0981321","(ÁIG)"),Adat!$E:$E)*-1</f>
        <v>0</v>
      </c>
    </row>
    <row r="44" spans="2:9" x14ac:dyDescent="0.25">
      <c r="B44" s="160">
        <v>35</v>
      </c>
      <c r="C44" s="319" t="s">
        <v>1275</v>
      </c>
      <c r="D44" s="84" t="s">
        <v>1501</v>
      </c>
      <c r="E44" s="166">
        <f>SUMIF(Adat!$AC:$AC,CONCATENATE(61,$M$4,"098161"),Adat!$E:$E)*-1</f>
        <v>255031927</v>
      </c>
      <c r="F44" s="166">
        <f>SUMIF(Adat!$AC:$AC,CONCATENATE(60,$M$4,"098161"),Adat!$E:$E)*-1+E44</f>
        <v>255031927</v>
      </c>
      <c r="G44" s="166">
        <f>SUMIF(Adat!$AD:$AD,CONCATENATE($M$4,"098161","(KÖT)"),Adat!$E:$E)*-1</f>
        <v>255031927</v>
      </c>
      <c r="H44" s="166">
        <f>SUMIF(Adat!$AD:$AD,CONCATENATE($M$4,"098161","(ÖNV)"),Adat!$E:$E)*-1</f>
        <v>0</v>
      </c>
      <c r="I44" s="166">
        <f>SUMIF(Adat!$AD:$AD,CONCATENATE($M$4,"098161","(ÁIG)"),Adat!$E:$E)*-1</f>
        <v>0</v>
      </c>
    </row>
    <row r="45" spans="2:9" x14ac:dyDescent="0.25">
      <c r="B45" s="160">
        <v>36</v>
      </c>
      <c r="C45" s="154" t="s">
        <v>364</v>
      </c>
      <c r="D45" s="159" t="s">
        <v>1502</v>
      </c>
      <c r="E45" s="121">
        <f>+E40+E41</f>
        <v>256449646</v>
      </c>
      <c r="F45" s="121">
        <f>+F40+F41</f>
        <v>256449646</v>
      </c>
      <c r="G45" s="121">
        <f>+G40+G41</f>
        <v>256449646</v>
      </c>
      <c r="H45" s="121">
        <f>+H40+H41</f>
        <v>0</v>
      </c>
      <c r="I45" s="121">
        <f>+I40+I41</f>
        <v>0</v>
      </c>
    </row>
    <row r="46" spans="2:9" s="38" customFormat="1" ht="15.75" x14ac:dyDescent="0.25">
      <c r="C46" s="156"/>
      <c r="E46" s="140"/>
      <c r="F46" s="140"/>
      <c r="G46" s="140"/>
      <c r="H46" s="140"/>
      <c r="I46" s="140"/>
    </row>
    <row r="47" spans="2:9" s="10" customFormat="1" ht="15.75" x14ac:dyDescent="0.25">
      <c r="B47" s="202" t="s">
        <v>636</v>
      </c>
      <c r="C47" s="202"/>
      <c r="D47" s="202"/>
      <c r="E47" s="202"/>
      <c r="F47" s="202"/>
      <c r="G47" s="198"/>
      <c r="H47" s="198"/>
      <c r="I47" s="198"/>
    </row>
    <row r="48" spans="2:9" s="38" customFormat="1" ht="15.75" x14ac:dyDescent="0.25">
      <c r="C48" s="156"/>
      <c r="E48" s="140"/>
      <c r="F48" s="140"/>
      <c r="G48" s="140"/>
      <c r="H48" s="140"/>
      <c r="I48" s="140"/>
    </row>
    <row r="49" spans="2:18" s="40" customFormat="1" x14ac:dyDescent="0.25">
      <c r="B49" s="77"/>
      <c r="C49" s="77" t="s">
        <v>350</v>
      </c>
      <c r="D49" s="77" t="s">
        <v>351</v>
      </c>
      <c r="E49" s="77" t="s">
        <v>470</v>
      </c>
      <c r="F49" s="77" t="s">
        <v>471</v>
      </c>
      <c r="G49" s="77" t="s">
        <v>44</v>
      </c>
      <c r="H49" s="77" t="s">
        <v>42</v>
      </c>
      <c r="I49" s="77" t="s">
        <v>511</v>
      </c>
    </row>
    <row r="50" spans="2:18" s="41" customFormat="1" ht="38.25" x14ac:dyDescent="0.25">
      <c r="B50" s="160">
        <v>1</v>
      </c>
      <c r="C50" s="154" t="s">
        <v>593</v>
      </c>
      <c r="D50" s="154" t="s">
        <v>488</v>
      </c>
      <c r="E50" s="163" t="str">
        <f>CONCATENATE(PAR!$H$3," évi
eredeti 
előirányzat")</f>
        <v>2025. évi
eredeti 
előirányzat</v>
      </c>
      <c r="F50" s="163" t="str">
        <f>CONCATENATE(PAR!$H$3," évi
módosított 
előirányzat")</f>
        <v>2025. évi
módosított 
előirányzat</v>
      </c>
      <c r="G50" s="78" t="s">
        <v>666</v>
      </c>
      <c r="H50" s="78" t="s">
        <v>667</v>
      </c>
      <c r="I50" s="78" t="s">
        <v>668</v>
      </c>
    </row>
    <row r="51" spans="2:18" s="42" customFormat="1" x14ac:dyDescent="0.25">
      <c r="B51" s="160">
        <v>2</v>
      </c>
      <c r="C51" s="78" t="s">
        <v>352</v>
      </c>
      <c r="D51" s="92" t="s">
        <v>1444</v>
      </c>
      <c r="E51" s="121">
        <f>SUM(E52:E56)</f>
        <v>251949646</v>
      </c>
      <c r="F51" s="121">
        <f>SUM(F52:F56)</f>
        <v>251949646</v>
      </c>
      <c r="G51" s="121">
        <f>SUM(G52:G56)</f>
        <v>251949646</v>
      </c>
      <c r="H51" s="121">
        <f>SUM(H52:H56)</f>
        <v>0</v>
      </c>
      <c r="I51" s="121">
        <f>SUM(I52:I56)</f>
        <v>0</v>
      </c>
      <c r="L51" s="35"/>
      <c r="M51" s="35"/>
      <c r="N51" s="35"/>
      <c r="O51" s="35"/>
      <c r="P51" s="35"/>
      <c r="Q51" s="35"/>
      <c r="R51" s="35"/>
    </row>
    <row r="52" spans="2:18" x14ac:dyDescent="0.25">
      <c r="B52" s="160">
        <v>3</v>
      </c>
      <c r="C52" s="305" t="s">
        <v>315</v>
      </c>
      <c r="D52" s="93" t="s">
        <v>342</v>
      </c>
      <c r="E52" s="72">
        <f>SUMIF(Adat!$AE:$AE,CONCATENATE(61,$M$4,"051"),Adat!$E:$E)</f>
        <v>191201440</v>
      </c>
      <c r="F52" s="72">
        <f>SUMIF(Adat!$AE:$AE,CONCATENATE(60,$M$4,"051"),Adat!$E:$E)+E52</f>
        <v>191201440</v>
      </c>
      <c r="G52" s="72">
        <f>SUMIF(Adat!$AF:$AF,CONCATENATE($M$4,"051","(KÖT)"),Adat!$E:$E)</f>
        <v>191201440</v>
      </c>
      <c r="H52" s="72">
        <f>SUMIF(Adat!$AF:$AF,CONCATENATE($M$4,"051","(ÖNV)"),Adat!$E:$E)</f>
        <v>0</v>
      </c>
      <c r="I52" s="72">
        <f>SUMIF(Adat!$AF:$AF,CONCATENATE($M$4,"051","(ÁIG)"),Adat!$E:$E)</f>
        <v>0</v>
      </c>
    </row>
    <row r="53" spans="2:18" x14ac:dyDescent="0.25">
      <c r="B53" s="160">
        <v>4</v>
      </c>
      <c r="C53" s="305" t="s">
        <v>317</v>
      </c>
      <c r="D53" s="93" t="s">
        <v>395</v>
      </c>
      <c r="E53" s="72">
        <f>SUMIF(Adat!$AE:$AE,CONCATENATE(61,$M$4,"052"),Adat!$E:$E)</f>
        <v>24062368</v>
      </c>
      <c r="F53" s="72">
        <f>SUMIF(Adat!$AE:$AE,CONCATENATE(60,$M$4,"052"),Adat!$E:$E)+E53</f>
        <v>24062368</v>
      </c>
      <c r="G53" s="72">
        <f>SUMIF(Adat!$AF:$AF,CONCATENATE($M$4,"052","(KÖT)"),Adat!$E:$E)</f>
        <v>24062368</v>
      </c>
      <c r="H53" s="72">
        <f>SUMIF(Adat!$AF:$AF,CONCATENATE($M$4,"052","(ÖNV)"),Adat!$E:$E)</f>
        <v>0</v>
      </c>
      <c r="I53" s="72">
        <f>SUMIF(Adat!$AF:$AF,CONCATENATE($M$4,"052","(ÁIG)"),Adat!$E:$E)</f>
        <v>0</v>
      </c>
    </row>
    <row r="54" spans="2:18" x14ac:dyDescent="0.25">
      <c r="B54" s="160">
        <v>5</v>
      </c>
      <c r="C54" s="305" t="s">
        <v>4</v>
      </c>
      <c r="D54" s="93" t="s">
        <v>344</v>
      </c>
      <c r="E54" s="72">
        <f>SUMIF(Adat!$AE:$AE,CONCATENATE(61,$M$4,"053"),Adat!$E:$E)</f>
        <v>36685838</v>
      </c>
      <c r="F54" s="72">
        <f>SUMIF(Adat!$AE:$AE,CONCATENATE(60,$M$4,"053"),Adat!$E:$E)+E54</f>
        <v>36685838</v>
      </c>
      <c r="G54" s="72">
        <f>SUMIF(Adat!$AF:$AF,CONCATENATE($M$4,"053","(KÖT)"),Adat!$E:$E)</f>
        <v>36685838</v>
      </c>
      <c r="H54" s="72">
        <f>SUMIF(Adat!$AF:$AF,CONCATENATE($M$4,"053","(ÖNV)"),Adat!$E:$E)</f>
        <v>0</v>
      </c>
      <c r="I54" s="72">
        <f>SUMIF(Adat!$AF:$AF,CONCATENATE($M$4,"053","(ÁIG)"),Adat!$E:$E)</f>
        <v>0</v>
      </c>
    </row>
    <row r="55" spans="2:18" x14ac:dyDescent="0.25">
      <c r="B55" s="160">
        <v>6</v>
      </c>
      <c r="C55" s="305" t="s">
        <v>6</v>
      </c>
      <c r="D55" s="93" t="s">
        <v>345</v>
      </c>
      <c r="E55" s="72">
        <f>SUMIF(Adat!$AE:$AE,CONCATENATE(61,$M$4,"054"),Adat!$E:$E)</f>
        <v>0</v>
      </c>
      <c r="F55" s="72">
        <f>SUMIF(Adat!$AE:$AE,CONCATENATE(60,$M$4,"054"),Adat!$E:$E)+E55</f>
        <v>0</v>
      </c>
      <c r="G55" s="72">
        <f>SUMIF(Adat!$AF:$AF,CONCATENATE($M$4,"054","(KÖT)"),Adat!$E:$E)</f>
        <v>0</v>
      </c>
      <c r="H55" s="72">
        <f>SUMIF(Adat!$AF:$AF,CONCATENATE($M$4,"054","(ÖNV)"),Adat!$E:$E)</f>
        <v>0</v>
      </c>
      <c r="I55" s="72">
        <f>SUMIF(Adat!$AF:$AF,CONCATENATE($M$4,"054","(ÁIG)"),Adat!$E:$E)</f>
        <v>0</v>
      </c>
    </row>
    <row r="56" spans="2:18" x14ac:dyDescent="0.25">
      <c r="B56" s="160">
        <v>7</v>
      </c>
      <c r="C56" s="305" t="s">
        <v>8</v>
      </c>
      <c r="D56" s="93" t="s">
        <v>321</v>
      </c>
      <c r="E56" s="72">
        <f>SUMIF(Adat!$AE:$AE,CONCATENATE(61,$M$4,"055"),Adat!$E:$E)</f>
        <v>0</v>
      </c>
      <c r="F56" s="72">
        <f>SUMIF(Adat!$AE:$AE,CONCATENATE(60,$M$4,"055"),Adat!$E:$E)+E56</f>
        <v>0</v>
      </c>
      <c r="G56" s="72">
        <f>SUMIF(Adat!$AF:$AF,CONCATENATE($M$4,"055","(KÖT)"),Adat!$E:$E)</f>
        <v>0</v>
      </c>
      <c r="H56" s="72">
        <f>SUMIF(Adat!$AF:$AF,CONCATENATE($M$4,"055","(ÖNV)"),Adat!$E:$E)</f>
        <v>0</v>
      </c>
      <c r="I56" s="72">
        <f>SUMIF(Adat!$AF:$AF,CONCATENATE($M$4,"055","(ÁIG)"),Adat!$E:$E)</f>
        <v>0</v>
      </c>
    </row>
    <row r="57" spans="2:18" x14ac:dyDescent="0.25">
      <c r="B57" s="160">
        <v>8</v>
      </c>
      <c r="C57" s="78" t="s">
        <v>358</v>
      </c>
      <c r="D57" s="92" t="s">
        <v>1447</v>
      </c>
      <c r="E57" s="121">
        <f>E58+E60+E62</f>
        <v>4500000</v>
      </c>
      <c r="F57" s="121">
        <f>F58+F60+F62</f>
        <v>4500000</v>
      </c>
      <c r="G57" s="121">
        <f>G58+G60+G62</f>
        <v>4500000</v>
      </c>
      <c r="H57" s="121">
        <f>H58+H60+H62</f>
        <v>0</v>
      </c>
      <c r="I57" s="121">
        <f>I58+I60+I62</f>
        <v>0</v>
      </c>
    </row>
    <row r="58" spans="2:18" s="42" customFormat="1" x14ac:dyDescent="0.25">
      <c r="B58" s="160">
        <v>9</v>
      </c>
      <c r="C58" s="305" t="s">
        <v>10</v>
      </c>
      <c r="D58" s="93" t="s">
        <v>322</v>
      </c>
      <c r="E58" s="72">
        <f>SUMIF(Adat!$AE:$AE,CONCATENATE(61,$M$4,"056"),Adat!$E:$E)</f>
        <v>4500000</v>
      </c>
      <c r="F58" s="72">
        <f>SUMIF(Adat!$AE:$AE,CONCATENATE(60,$M$4,"056"),Adat!$E:$E)+E58</f>
        <v>4500000</v>
      </c>
      <c r="G58" s="72">
        <f>SUMIF(Adat!$AF:$AF,CONCATENATE($M$4,"056","(KÖT)"),Adat!$E:$E)</f>
        <v>4500000</v>
      </c>
      <c r="H58" s="72">
        <f>SUMIF(Adat!$AF:$AF,CONCATENATE($M$4,"056","(ÖNV)"),Adat!$E:$E)</f>
        <v>0</v>
      </c>
      <c r="I58" s="72">
        <f>SUMIF(Adat!$AF:$AF,CONCATENATE($M$4,"056","(ÁIG)"),Adat!$E:$E)</f>
        <v>0</v>
      </c>
      <c r="L58" s="35"/>
      <c r="M58" s="35"/>
      <c r="N58" s="35"/>
      <c r="O58" s="35"/>
      <c r="P58" s="35"/>
      <c r="Q58" s="35"/>
      <c r="R58" s="35"/>
    </row>
    <row r="59" spans="2:18" s="42" customFormat="1" x14ac:dyDescent="0.25">
      <c r="B59" s="160">
        <v>10</v>
      </c>
      <c r="C59" s="305" t="s">
        <v>10</v>
      </c>
      <c r="D59" s="93" t="s">
        <v>1448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L59" s="35"/>
      <c r="M59" s="35"/>
      <c r="N59" s="35"/>
      <c r="O59" s="35"/>
      <c r="P59" s="35"/>
      <c r="Q59" s="35"/>
      <c r="R59" s="35"/>
    </row>
    <row r="60" spans="2:18" x14ac:dyDescent="0.25">
      <c r="B60" s="160">
        <v>11</v>
      </c>
      <c r="C60" s="305" t="s">
        <v>12</v>
      </c>
      <c r="D60" s="93" t="s">
        <v>323</v>
      </c>
      <c r="E60" s="72">
        <f>SUMIF(Adat!$AE:$AE,CONCATENATE(61,$M$4,"057"),Adat!$E:$E)</f>
        <v>0</v>
      </c>
      <c r="F60" s="72">
        <f>SUMIF(Adat!$AE:$AE,CONCATENATE(60,$M$4,"057"),Adat!$E:$E)+E60</f>
        <v>0</v>
      </c>
      <c r="G60" s="72">
        <f>SUMIF(Adat!$AF:$AF,CONCATENATE($M$4,"057","(KÖT)"),Adat!$E:$E)</f>
        <v>0</v>
      </c>
      <c r="H60" s="72">
        <f>SUMIF(Adat!$AF:$AF,CONCATENATE($M$4,"057","(ÖNV)"),Adat!$E:$E)</f>
        <v>0</v>
      </c>
      <c r="I60" s="72">
        <f>SUMIF(Adat!$AF:$AF,CONCATENATE($M$4,"057","(ÁIG)"),Adat!$E:$E)</f>
        <v>0</v>
      </c>
    </row>
    <row r="61" spans="2:18" x14ac:dyDescent="0.25">
      <c r="B61" s="160">
        <v>12</v>
      </c>
      <c r="C61" s="305" t="s">
        <v>12</v>
      </c>
      <c r="D61" s="93" t="s">
        <v>1449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</row>
    <row r="62" spans="2:18" x14ac:dyDescent="0.25">
      <c r="B62" s="160">
        <v>13</v>
      </c>
      <c r="C62" s="305" t="s">
        <v>15</v>
      </c>
      <c r="D62" s="84" t="s">
        <v>324</v>
      </c>
      <c r="E62" s="72">
        <f>SUMIF(Adat!$AE:$AE,CONCATENATE(61,$M$4,"058"),Adat!$E:$E)</f>
        <v>0</v>
      </c>
      <c r="F62" s="72">
        <f>SUMIF(Adat!$AE:$AE,CONCATENATE(60,$M$4,"058"),Adat!$E:$E)+E62</f>
        <v>0</v>
      </c>
      <c r="G62" s="72">
        <f>SUMIF(Adat!$AF:$AF,CONCATENATE($M$4,"058","(KÖT)"),Adat!$E:$E)</f>
        <v>0</v>
      </c>
      <c r="H62" s="72">
        <f>SUMIF(Adat!$AF:$AF,CONCATENATE($M$4,"058","(ÖNV)"),Adat!$E:$E)</f>
        <v>0</v>
      </c>
      <c r="I62" s="72">
        <f>SUMIF(Adat!$AF:$AF,CONCATENATE($M$4,"058","(ÁIG)"),Adat!$E:$E)</f>
        <v>0</v>
      </c>
    </row>
    <row r="63" spans="2:18" x14ac:dyDescent="0.25">
      <c r="B63" s="160">
        <v>14</v>
      </c>
      <c r="C63" s="154" t="s">
        <v>364</v>
      </c>
      <c r="D63" s="86" t="s">
        <v>325</v>
      </c>
      <c r="E63" s="71">
        <f>SUMIF(Adat!$AE:$AE,CONCATENATE(61,$M$4,"059"),Adat!$E:$E)</f>
        <v>0</v>
      </c>
      <c r="F63" s="71">
        <f>SUMIF(Adat!$AE:$AE,CONCATENATE(60,$M$4,"059"),Adat!$E:$E)+E63</f>
        <v>0</v>
      </c>
      <c r="G63" s="71">
        <f>SUMIF(Adat!$AF:$AF,CONCATENATE($M$4,"059","(KÖT)"),Adat!$E:$E)</f>
        <v>0</v>
      </c>
      <c r="H63" s="71">
        <f>SUMIF(Adat!$AF:$AF,CONCATENATE($M$4,"059","(ÖNV)"),Adat!$E:$E)</f>
        <v>0</v>
      </c>
      <c r="I63" s="71">
        <f>SUMIF(Adat!$AF:$AF,CONCATENATE($M$4,"059","(ÁIG)"),Adat!$E:$E)</f>
        <v>0</v>
      </c>
    </row>
    <row r="64" spans="2:18" x14ac:dyDescent="0.25">
      <c r="B64" s="160">
        <v>15</v>
      </c>
      <c r="C64" s="154" t="s">
        <v>403</v>
      </c>
      <c r="D64" s="159" t="s">
        <v>497</v>
      </c>
      <c r="E64" s="121">
        <f>E51+E57+E63</f>
        <v>256449646</v>
      </c>
      <c r="F64" s="121">
        <f>F51+F57+F63</f>
        <v>256449646</v>
      </c>
      <c r="G64" s="121">
        <f>G51+G57+G63</f>
        <v>256449646</v>
      </c>
      <c r="H64" s="121">
        <f>H51+H57+H63</f>
        <v>0</v>
      </c>
      <c r="I64" s="121">
        <f>I51+I57+I63</f>
        <v>0</v>
      </c>
    </row>
    <row r="65" spans="2:12" ht="15.75" x14ac:dyDescent="0.25">
      <c r="B65" s="37"/>
      <c r="C65" s="529"/>
      <c r="D65" s="529"/>
      <c r="E65" s="529"/>
      <c r="F65" s="200"/>
      <c r="G65" s="200"/>
      <c r="H65" s="200"/>
      <c r="I65" s="200"/>
    </row>
    <row r="66" spans="2:12" ht="15.75" x14ac:dyDescent="0.25">
      <c r="B66" s="525" t="str">
        <f>$N$4</f>
        <v>Nagymarosi Polgármesteri Hivatal</v>
      </c>
      <c r="C66" s="525"/>
      <c r="D66" s="525"/>
      <c r="E66" s="525"/>
      <c r="F66" s="525"/>
      <c r="G66" s="525"/>
      <c r="H66" s="525"/>
      <c r="I66" s="525"/>
    </row>
    <row r="67" spans="2:12" ht="15.75" x14ac:dyDescent="0.25">
      <c r="B67" s="525" t="s">
        <v>2660</v>
      </c>
      <c r="C67" s="525"/>
      <c r="D67" s="525"/>
      <c r="E67" s="525"/>
      <c r="F67" s="525"/>
      <c r="G67" s="525"/>
      <c r="H67" s="525"/>
      <c r="I67" s="525"/>
    </row>
    <row r="68" spans="2:12" ht="15.75" x14ac:dyDescent="0.25">
      <c r="B68" s="38"/>
      <c r="C68" s="156"/>
      <c r="D68" s="38"/>
      <c r="E68" s="140"/>
      <c r="F68" s="140"/>
      <c r="G68" s="140"/>
      <c r="H68" s="140"/>
      <c r="I68" s="140"/>
    </row>
    <row r="69" spans="2:12" s="10" customFormat="1" ht="15.75" customHeight="1" x14ac:dyDescent="0.25">
      <c r="B69" s="201" t="str">
        <f>CONCATENATE("3. Bevételi jogcímek"," - ",L69," részletező")</f>
        <v>3. Bevételi jogcímek -  részletező</v>
      </c>
      <c r="C69" s="101"/>
      <c r="D69" s="101"/>
      <c r="E69" s="101"/>
      <c r="F69" s="101"/>
      <c r="G69" s="198"/>
      <c r="H69" s="198"/>
      <c r="I69" s="198"/>
      <c r="L69" s="384"/>
    </row>
    <row r="70" spans="2:12" ht="15.75" x14ac:dyDescent="0.25">
      <c r="B70" s="38"/>
      <c r="C70" s="156"/>
      <c r="D70" s="38"/>
      <c r="E70" s="140"/>
      <c r="F70" s="140"/>
      <c r="G70" s="140"/>
      <c r="H70" s="140"/>
      <c r="I70" s="140"/>
    </row>
    <row r="71" spans="2:12" x14ac:dyDescent="0.25">
      <c r="B71" s="77"/>
      <c r="C71" s="77" t="s">
        <v>350</v>
      </c>
      <c r="D71" s="77" t="s">
        <v>351</v>
      </c>
      <c r="E71" s="77" t="s">
        <v>470</v>
      </c>
      <c r="F71" s="77" t="s">
        <v>471</v>
      </c>
      <c r="G71" s="77" t="s">
        <v>44</v>
      </c>
      <c r="H71" s="77" t="s">
        <v>42</v>
      </c>
      <c r="I71" s="77" t="s">
        <v>511</v>
      </c>
    </row>
    <row r="72" spans="2:12" ht="38.25" x14ac:dyDescent="0.25">
      <c r="B72" s="160">
        <v>1</v>
      </c>
      <c r="C72" s="154" t="s">
        <v>593</v>
      </c>
      <c r="D72" s="154" t="s">
        <v>488</v>
      </c>
      <c r="E72" s="163" t="str">
        <f>CONCATENATE(PAR!$H$3," évi
eredeti 
előirányzat")</f>
        <v>2025. évi
eredeti 
előirányzat</v>
      </c>
      <c r="F72" s="163" t="str">
        <f>CONCATENATE(PAR!$H$3," évi
módosított 
előirányzat")</f>
        <v>2025. évi
módosított 
előirányzat</v>
      </c>
      <c r="G72" s="78" t="s">
        <v>666</v>
      </c>
      <c r="H72" s="78" t="s">
        <v>667</v>
      </c>
      <c r="I72" s="78" t="s">
        <v>668</v>
      </c>
    </row>
    <row r="73" spans="2:12" x14ac:dyDescent="0.25">
      <c r="B73" s="160">
        <v>2</v>
      </c>
      <c r="C73" s="79" t="s">
        <v>30</v>
      </c>
      <c r="D73" s="79" t="s">
        <v>329</v>
      </c>
      <c r="E73" s="121">
        <f>SUM(E74:E86)</f>
        <v>0</v>
      </c>
      <c r="F73" s="121">
        <f t="shared" ref="F73:I73" si="4">SUM(F74:F86)</f>
        <v>0</v>
      </c>
      <c r="G73" s="121">
        <f t="shared" si="4"/>
        <v>0</v>
      </c>
      <c r="H73" s="121">
        <f t="shared" si="4"/>
        <v>0</v>
      </c>
      <c r="I73" s="121">
        <f t="shared" si="4"/>
        <v>0</v>
      </c>
    </row>
    <row r="74" spans="2:12" x14ac:dyDescent="0.2">
      <c r="B74" s="160">
        <v>3</v>
      </c>
      <c r="C74" s="305" t="s">
        <v>1309</v>
      </c>
      <c r="D74" s="82" t="s">
        <v>1356</v>
      </c>
      <c r="E74" s="72">
        <f>SUMIF(Adat!$AG:$AG,CONCATENATE(61,$M$4,"094011",L69),Adat!$E:$E)*-1</f>
        <v>0</v>
      </c>
      <c r="F74" s="72">
        <f>SUMIF(Adat!$AG:$AG,CONCATENATE(60,$M$4,"094011",L69),Adat!$E:$E)*-1+E74</f>
        <v>0</v>
      </c>
      <c r="G74" s="72">
        <f>SUMIF(Adat!$AH:$AH,CONCATENATE($M$4,"(KÖT)","094011",L69),Adat!$E:$E)*-1</f>
        <v>0</v>
      </c>
      <c r="H74" s="72">
        <f>SUMIF(Adat!$AH:$AH,CONCATENATE($M$4,"(ÖNV)","094011",L69),Adat!$E:$E)*-1</f>
        <v>0</v>
      </c>
      <c r="I74" s="72">
        <f>SUMIF(Adat!$AH:$AH,CONCATENATE($M$4,"(ÁIG)","094011",L69),Adat!$E:$E)*-1</f>
        <v>0</v>
      </c>
    </row>
    <row r="75" spans="2:12" x14ac:dyDescent="0.2">
      <c r="B75" s="160">
        <v>4</v>
      </c>
      <c r="C75" s="305" t="s">
        <v>1279</v>
      </c>
      <c r="D75" s="82" t="s">
        <v>1357</v>
      </c>
      <c r="E75" s="72">
        <f>SUMIF(Adat!$AG:$AG,CONCATENATE(61,$M$4,"094021",L69),Adat!$E:$E)*-1</f>
        <v>0</v>
      </c>
      <c r="F75" s="72">
        <f>SUMIF(Adat!$AG:$AG,CONCATENATE(60,$M$4,"094021",L69),Adat!$E:$E)*-1+E75</f>
        <v>0</v>
      </c>
      <c r="G75" s="72">
        <f>SUMIF(Adat!$AH:$AH,CONCATENATE($M$4,"(KÖT)","094021",L69),Adat!$E:$E)*-1</f>
        <v>0</v>
      </c>
      <c r="H75" s="72">
        <f>SUMIF(Adat!$AH:$AH,CONCATENATE($M$4,"(ÖNV)","094021",L69),Adat!$E:$E)*-1</f>
        <v>0</v>
      </c>
      <c r="I75" s="72">
        <f>SUMIF(Adat!$AH:$AH,CONCATENATE($M$4,"(ÁIG)","094021",L69),Adat!$E:$E)*-1</f>
        <v>0</v>
      </c>
    </row>
    <row r="76" spans="2:12" x14ac:dyDescent="0.2">
      <c r="B76" s="160">
        <v>5</v>
      </c>
      <c r="C76" s="305" t="s">
        <v>1272</v>
      </c>
      <c r="D76" s="82" t="s">
        <v>1358</v>
      </c>
      <c r="E76" s="72">
        <f>SUMIF(Adat!$AG:$AG,CONCATENATE(61,$M$4,"094031",L69),Adat!$E:$E)*-1</f>
        <v>0</v>
      </c>
      <c r="F76" s="72">
        <f>SUMIF(Adat!$AG:$AG,CONCATENATE(60,$M$4,"094031",L69),Adat!$E:$E)*-1+E76</f>
        <v>0</v>
      </c>
      <c r="G76" s="72">
        <f>SUMIF(Adat!$AH:$AH,CONCATENATE($M$4,"(KÖT)","094031",L69),Adat!$E:$E)*-1</f>
        <v>0</v>
      </c>
      <c r="H76" s="72">
        <f>SUMIF(Adat!$AH:$AH,CONCATENATE($M$4,"(ÖNV)","094031",L69),Adat!$E:$E)*-1</f>
        <v>0</v>
      </c>
      <c r="I76" s="72">
        <f>SUMIF(Adat!$AH:$AH,CONCATENATE($M$4,"(ÁIG)","094031",L69),Adat!$E:$E)*-1</f>
        <v>0</v>
      </c>
    </row>
    <row r="77" spans="2:12" x14ac:dyDescent="0.2">
      <c r="B77" s="160">
        <v>6</v>
      </c>
      <c r="C77" s="305" t="s">
        <v>1359</v>
      </c>
      <c r="D77" s="82" t="s">
        <v>1360</v>
      </c>
      <c r="E77" s="72">
        <f>SUMIF(Adat!$AG:$AG,CONCATENATE(61,$M$4,"094041",L69),Adat!$E:$E)*-1</f>
        <v>0</v>
      </c>
      <c r="F77" s="72">
        <f>SUMIF(Adat!$AG:$AG,CONCATENATE(60,$M$4,"094041",L69),Adat!$E:$E)*-1+E77</f>
        <v>0</v>
      </c>
      <c r="G77" s="72">
        <f>SUMIF(Adat!$AH:$AH,CONCATENATE($M$4,"(KÖT)","094041",L69),Adat!$E:$E)*-1</f>
        <v>0</v>
      </c>
      <c r="H77" s="72">
        <f>SUMIF(Adat!$AH:$AH,CONCATENATE($M$4,"(ÖNV)","094041",L69),Adat!$E:$E)*-1</f>
        <v>0</v>
      </c>
      <c r="I77" s="72">
        <f>SUMIF(Adat!$AH:$AH,CONCATENATE($M$4,"(ÁIG)","094041",L69),Adat!$E:$E)*-1</f>
        <v>0</v>
      </c>
    </row>
    <row r="78" spans="2:12" x14ac:dyDescent="0.2">
      <c r="B78" s="160">
        <v>7</v>
      </c>
      <c r="C78" s="305" t="s">
        <v>1261</v>
      </c>
      <c r="D78" s="82" t="s">
        <v>1361</v>
      </c>
      <c r="E78" s="72">
        <f>SUMIF(Adat!$AG:$AG,CONCATENATE(61,$M$4,"094051",L69),Adat!$E:$E)*-1</f>
        <v>0</v>
      </c>
      <c r="F78" s="72">
        <f>SUMIF(Adat!$AG:$AG,CONCATENATE(60,$M$4,"094051",L69),Adat!$E:$E)*-1+E78</f>
        <v>0</v>
      </c>
      <c r="G78" s="72">
        <f>SUMIF(Adat!$AH:$AH,CONCATENATE($M$4,"(KÖT)","094051",L69),Adat!$E:$E)*-1</f>
        <v>0</v>
      </c>
      <c r="H78" s="72">
        <f>SUMIF(Adat!$AH:$AH,CONCATENATE($M$4,"(ÖNV)","094051",L69),Adat!$E:$E)*-1</f>
        <v>0</v>
      </c>
      <c r="I78" s="72">
        <f>SUMIF(Adat!$AH:$AH,CONCATENATE($M$4,"(ÁIG)","094051",L69),Adat!$E:$E)*-1</f>
        <v>0</v>
      </c>
    </row>
    <row r="79" spans="2:12" x14ac:dyDescent="0.2">
      <c r="B79" s="160">
        <v>8</v>
      </c>
      <c r="C79" s="305" t="s">
        <v>1273</v>
      </c>
      <c r="D79" s="82" t="s">
        <v>1362</v>
      </c>
      <c r="E79" s="72">
        <f>SUMIF(Adat!$AG:$AG,CONCATENATE(61,$M$4,"094061",L69),Adat!$E:$E)*-1</f>
        <v>0</v>
      </c>
      <c r="F79" s="72">
        <f>SUMIF(Adat!$AG:$AG,CONCATENATE(60,$M$4,"094061",L69),Adat!$E:$E)*-1+E79</f>
        <v>0</v>
      </c>
      <c r="G79" s="72">
        <f>SUMIF(Adat!$AH:$AH,CONCATENATE($M$4,"(KÖT)","094061",L69),Adat!$E:$E)*-1</f>
        <v>0</v>
      </c>
      <c r="H79" s="72">
        <f>SUMIF(Adat!$AH:$AH,CONCATENATE($M$4,"(ÖNV)","094061",L69),Adat!$E:$E)*-1</f>
        <v>0</v>
      </c>
      <c r="I79" s="72">
        <f>SUMIF(Adat!$AH:$AH,CONCATENATE($M$4,"(ÁIG)","094061",L69),Adat!$E:$E)*-1</f>
        <v>0</v>
      </c>
    </row>
    <row r="80" spans="2:12" x14ac:dyDescent="0.2">
      <c r="B80" s="160">
        <v>9</v>
      </c>
      <c r="C80" s="305" t="s">
        <v>1363</v>
      </c>
      <c r="D80" s="82" t="s">
        <v>1364</v>
      </c>
      <c r="E80" s="72">
        <f>SUMIF(Adat!$AG:$AG,CONCATENATE(61,$M$4,"094071",L69),Adat!$E:$E)*-1</f>
        <v>0</v>
      </c>
      <c r="F80" s="72">
        <f>SUMIF(Adat!$AG:$AG,CONCATENATE(60,$M$4,"094071",L69),Adat!$E:$E)*-1+E80</f>
        <v>0</v>
      </c>
      <c r="G80" s="72">
        <f>SUMIF(Adat!$AH:$AH,CONCATENATE($M$4,"(KÖT)","094071",L69),Adat!$E:$E)*-1</f>
        <v>0</v>
      </c>
      <c r="H80" s="72">
        <f>SUMIF(Adat!$AH:$AH,CONCATENATE($M$4,"(ÖNV)","094071",L69),Adat!$E:$E)*-1</f>
        <v>0</v>
      </c>
      <c r="I80" s="72">
        <f>SUMIF(Adat!$AH:$AH,CONCATENATE($M$4,"(ÁIG)","094071",L69),Adat!$E:$E)*-1</f>
        <v>0</v>
      </c>
    </row>
    <row r="81" spans="2:9" x14ac:dyDescent="0.2">
      <c r="B81" s="160">
        <v>10</v>
      </c>
      <c r="C81" s="305" t="s">
        <v>1306</v>
      </c>
      <c r="D81" s="82" t="s">
        <v>1365</v>
      </c>
      <c r="E81" s="72">
        <f>SUMIF(Adat!$AG:$AG,CONCATENATE(61,$M$4,"0940811",L69),Adat!$E:$E)*-1</f>
        <v>0</v>
      </c>
      <c r="F81" s="72">
        <f>SUMIF(Adat!$AG:$AG,CONCATENATE(60,$M$4,"0940811",L69),Adat!$E:$E)*-1+E81</f>
        <v>0</v>
      </c>
      <c r="G81" s="72">
        <f>SUMIF(Adat!$AH:$AH,CONCATENATE($M$4,"(KÖT)","0940811",L69),Adat!$E:$E)*-1</f>
        <v>0</v>
      </c>
      <c r="H81" s="72">
        <f>SUMIF(Adat!$AH:$AH,CONCATENATE($M$4,"(ÖNV)","0940811",L69),Adat!$E:$E)*-1</f>
        <v>0</v>
      </c>
      <c r="I81" s="72">
        <f>SUMIF(Adat!$AH:$AH,CONCATENATE($M$4,"(ÁIG)","0940811",L69),Adat!$E:$E)*-1</f>
        <v>0</v>
      </c>
    </row>
    <row r="82" spans="2:9" x14ac:dyDescent="0.2">
      <c r="B82" s="160">
        <v>11</v>
      </c>
      <c r="C82" s="305" t="s">
        <v>1295</v>
      </c>
      <c r="D82" s="82" t="s">
        <v>1366</v>
      </c>
      <c r="E82" s="72">
        <f>SUMIF(Adat!$AG:$AG,CONCATENATE(61,$M$4,"0940821",L69),Adat!$E:$E)*-1</f>
        <v>0</v>
      </c>
      <c r="F82" s="72">
        <f>SUMIF(Adat!$AG:$AG,CONCATENATE(60,$M$4,"0940821",L69),Adat!$E:$E)*-1+E82</f>
        <v>0</v>
      </c>
      <c r="G82" s="72">
        <f>SUMIF(Adat!$AH:$AH,CONCATENATE($M$4,"(KÖT)","0940821",L69),Adat!$E:$E)*-1</f>
        <v>0</v>
      </c>
      <c r="H82" s="72">
        <f>SUMIF(Adat!$AH:$AH,CONCATENATE($M$4,"(ÖNV)","0940821",L69),Adat!$E:$E)*-1</f>
        <v>0</v>
      </c>
      <c r="I82" s="72">
        <f>SUMIF(Adat!$AH:$AH,CONCATENATE($M$4,"(ÁIG)","0940821",L69),Adat!$E:$E)*-1</f>
        <v>0</v>
      </c>
    </row>
    <row r="83" spans="2:9" x14ac:dyDescent="0.2">
      <c r="B83" s="160">
        <v>12</v>
      </c>
      <c r="C83" s="305" t="s">
        <v>1367</v>
      </c>
      <c r="D83" s="82" t="s">
        <v>1368</v>
      </c>
      <c r="E83" s="72">
        <f>SUMIF(Adat!$AG:$AG,CONCATENATE(61,$M$4,"0940911",L69),Adat!$E:$E)*-1</f>
        <v>0</v>
      </c>
      <c r="F83" s="72">
        <f>SUMIF(Adat!$AG:$AG,CONCATENATE(60,$M$4,"0940911",L69),Adat!$E:$E)*-1+E83</f>
        <v>0</v>
      </c>
      <c r="G83" s="72">
        <f>SUMIF(Adat!$AH:$AH,CONCATENATE($M$4,"(KÖT)","0940911",L69),Adat!$E:$E)*-1</f>
        <v>0</v>
      </c>
      <c r="H83" s="72">
        <f>SUMIF(Adat!$AH:$AH,CONCATENATE($M$4,"(ÖNV)","0940911",L69),Adat!$E:$E)*-1</f>
        <v>0</v>
      </c>
      <c r="I83" s="72">
        <f>SUMIF(Adat!$AH:$AH,CONCATENATE($M$4,"(ÁIG)","0940911",L69),Adat!$E:$E)*-1</f>
        <v>0</v>
      </c>
    </row>
    <row r="84" spans="2:9" x14ac:dyDescent="0.2">
      <c r="B84" s="160">
        <v>13</v>
      </c>
      <c r="C84" s="305" t="s">
        <v>1369</v>
      </c>
      <c r="D84" s="82" t="s">
        <v>1370</v>
      </c>
      <c r="E84" s="72">
        <f>SUMIF(Adat!$AG:$AG,CONCATENATE(61,$M$4,"0940921",L69),Adat!$E:$E)*-1</f>
        <v>0</v>
      </c>
      <c r="F84" s="72">
        <f>SUMIF(Adat!$AG:$AG,CONCATENATE(60,$M$4,"0940921",L69),Adat!$E:$E)*-1+E84</f>
        <v>0</v>
      </c>
      <c r="G84" s="72">
        <f>SUMIF(Adat!$AH:$AH,CONCATENATE($M$4,"(KÖT)","0940921",L69),Adat!$E:$E)*-1</f>
        <v>0</v>
      </c>
      <c r="H84" s="72">
        <f>SUMIF(Adat!$AH:$AH,CONCATENATE($M$4,"(ÖNV)","0940921",L69),Adat!$E:$E)*-1</f>
        <v>0</v>
      </c>
      <c r="I84" s="72">
        <f>SUMIF(Adat!$AH:$AH,CONCATENATE($M$4,"(ÁIG)","0940921",L69),Adat!$E:$E)*-1</f>
        <v>0</v>
      </c>
    </row>
    <row r="85" spans="2:9" x14ac:dyDescent="0.2">
      <c r="B85" s="160">
        <v>14</v>
      </c>
      <c r="C85" s="305" t="s">
        <v>1296</v>
      </c>
      <c r="D85" s="82" t="s">
        <v>1371</v>
      </c>
      <c r="E85" s="72">
        <f>SUMIF(Adat!$AG:$AG,CONCATENATE(61,$M$4,"094101",L69),Adat!$E:$E)*-1</f>
        <v>0</v>
      </c>
      <c r="F85" s="72">
        <f>SUMIF(Adat!$AG:$AG,CONCATENATE(60,$M$4,"094101",L69),Adat!$E:$E)*-1+E85</f>
        <v>0</v>
      </c>
      <c r="G85" s="72">
        <f>SUMIF(Adat!$AH:$AH,CONCATENATE($M$4,"(KÖT)","094101",L69),Adat!$E:$E)*-1</f>
        <v>0</v>
      </c>
      <c r="H85" s="72">
        <f>SUMIF(Adat!$AH:$AH,CONCATENATE($M$4,"(ÖNV)","094101",L69),Adat!$E:$E)*-1</f>
        <v>0</v>
      </c>
      <c r="I85" s="72">
        <f>SUMIF(Adat!$AH:$AH,CONCATENATE($M$4,"(ÁIG)","094101",L69),Adat!$E:$E)*-1</f>
        <v>0</v>
      </c>
    </row>
    <row r="86" spans="2:9" x14ac:dyDescent="0.25">
      <c r="B86" s="160">
        <v>15</v>
      </c>
      <c r="C86" s="305" t="s">
        <v>1297</v>
      </c>
      <c r="D86" s="84" t="s">
        <v>1372</v>
      </c>
      <c r="E86" s="72">
        <f>SUMIF(Adat!$AG:$AG,CONCATENATE(61,$M$4,"094111",L69),Adat!$E:$E)*-1</f>
        <v>0</v>
      </c>
      <c r="F86" s="72">
        <f>SUMIF(Adat!$AG:$AG,CONCATENATE(60,$M$4,"094111",L69),Adat!$E:$E)*-1+E86</f>
        <v>0</v>
      </c>
      <c r="G86" s="72">
        <f>SUMIF(Adat!$AH:$AH,CONCATENATE($M$4,"(KÖT)","094111",L69),Adat!$E:$E)*-1</f>
        <v>0</v>
      </c>
      <c r="H86" s="72">
        <f>SUMIF(Adat!$AH:$AH,CONCATENATE($M$4,"(ÖNV)","094111",L69),Adat!$E:$E)*-1</f>
        <v>0</v>
      </c>
      <c r="I86" s="72">
        <f>SUMIF(Adat!$AH:$AH,CONCATENATE($M$4,"(ÁIG)","094111",L69),Adat!$E:$E)*-1</f>
        <v>0</v>
      </c>
    </row>
    <row r="87" spans="2:9" x14ac:dyDescent="0.25">
      <c r="B87" s="160">
        <v>16</v>
      </c>
      <c r="C87" s="78" t="s">
        <v>1328</v>
      </c>
      <c r="D87" s="85" t="s">
        <v>437</v>
      </c>
      <c r="E87" s="121">
        <f>SUM(E88:E90)</f>
        <v>0</v>
      </c>
      <c r="F87" s="121">
        <f>SUM(F88:F90)</f>
        <v>0</v>
      </c>
      <c r="G87" s="121">
        <f>SUM(G88:G90)</f>
        <v>0</v>
      </c>
      <c r="H87" s="121">
        <f>SUM(H88:H90)</f>
        <v>0</v>
      </c>
      <c r="I87" s="121">
        <f>SUM(I88:I90)</f>
        <v>0</v>
      </c>
    </row>
    <row r="88" spans="2:9" x14ac:dyDescent="0.2">
      <c r="B88" s="160">
        <v>17</v>
      </c>
      <c r="C88" s="305" t="s">
        <v>1329</v>
      </c>
      <c r="D88" s="82" t="s">
        <v>1330</v>
      </c>
      <c r="E88" s="72">
        <f>SUMIF(Adat!$AG:$AG,CONCATENATE(61,$M$4,"09121",L69),Adat!$E:$E)*-1</f>
        <v>0</v>
      </c>
      <c r="F88" s="72">
        <f>SUMIF(Adat!$AG:$AG,CONCATENATE(60,$M$4,"09121",L69),Adat!$E:$E)*-1+E88</f>
        <v>0</v>
      </c>
      <c r="G88" s="72">
        <f>SUMIF(Adat!$AH:$AH,CONCATENATE($M$4,"(KÖT)","09121",L69),Adat!$E:$E)*-1</f>
        <v>0</v>
      </c>
      <c r="H88" s="72">
        <f>SUMIF(Adat!$AH:$AH,CONCATENATE($M$4,"(ÖNV)","09121",L69),Adat!$E:$E)*-1</f>
        <v>0</v>
      </c>
      <c r="I88" s="72">
        <f>SUMIF(Adat!$AH:$AH,CONCATENATE($M$4,"(ÁIG)","09121",L69),Adat!$E:$E)*-1</f>
        <v>0</v>
      </c>
    </row>
    <row r="89" spans="2:9" x14ac:dyDescent="0.2">
      <c r="B89" s="160">
        <v>18</v>
      </c>
      <c r="C89" s="305" t="s">
        <v>1335</v>
      </c>
      <c r="D89" s="82" t="s">
        <v>1336</v>
      </c>
      <c r="E89" s="72">
        <f>SUMIF(Adat!$AG:$AG,CONCATENATE(61,$M$4,"09151",L69),Adat!$E:$E)*-1</f>
        <v>0</v>
      </c>
      <c r="F89" s="72">
        <f>SUMIF(Adat!$AG:$AG,CONCATENATE(60,$M$4,"09151",L69),Adat!$E:$E)*-1+E89</f>
        <v>0</v>
      </c>
      <c r="G89" s="72">
        <f>SUMIF(Adat!$AH:$AH,CONCATENATE($M$4,"(KÖT)","09151",L69),Adat!$E:$E)*-1</f>
        <v>0</v>
      </c>
      <c r="H89" s="72">
        <f>SUMIF(Adat!$AH:$AH,CONCATENATE($M$4,"(ÖNV)","09151",L69),Adat!$E:$E)*-1</f>
        <v>0</v>
      </c>
      <c r="I89" s="72">
        <f>SUMIF(Adat!$AH:$AH,CONCATENATE($M$4,"(ÁIG)","09151",L69),Adat!$E:$E)*-1</f>
        <v>0</v>
      </c>
    </row>
    <row r="90" spans="2:9" x14ac:dyDescent="0.2">
      <c r="B90" s="160">
        <v>19</v>
      </c>
      <c r="C90" s="305" t="s">
        <v>1278</v>
      </c>
      <c r="D90" s="82" t="s">
        <v>1337</v>
      </c>
      <c r="E90" s="72">
        <f>SUMIF(Adat!$AG:$AG,CONCATENATE(61,$M$4,"09161",L69),Adat!$E:$E)*-1</f>
        <v>0</v>
      </c>
      <c r="F90" s="72">
        <f>SUMIF(Adat!$AG:$AG,CONCATENATE(60,$M$4,"09161",L69),Adat!$E:$E)*-1+E90</f>
        <v>0</v>
      </c>
      <c r="G90" s="72">
        <f>SUMIF(Adat!$AH:$AH,CONCATENATE($M$4,"(KÖT)","09161",L69),Adat!$E:$E)*-1</f>
        <v>0</v>
      </c>
      <c r="H90" s="72">
        <f>SUMIF(Adat!$AH:$AH,CONCATENATE($M$4,"(ÖNV)","09161",L69),Adat!$E:$E)*-1</f>
        <v>0</v>
      </c>
      <c r="I90" s="72">
        <f>SUMIF(Adat!$AH:$AH,CONCATENATE($M$4,"(ÁIG)","09161",L69),Adat!$E:$E)*-1</f>
        <v>0</v>
      </c>
    </row>
    <row r="91" spans="2:9" x14ac:dyDescent="0.25">
      <c r="B91" s="160">
        <v>20</v>
      </c>
      <c r="C91" s="79" t="s">
        <v>27</v>
      </c>
      <c r="D91" s="79" t="s">
        <v>328</v>
      </c>
      <c r="E91" s="71">
        <f>SUMIF(Adat!$AI:$AI,CONCATENATE(61,$M$4,"093",L69),Adat!$E:$E)*-1</f>
        <v>0</v>
      </c>
      <c r="F91" s="71">
        <f>SUMIF(Adat!$AI:$AI,CONCATENATE(60,$M$4,"093",L69),Adat!$E:$E)*-1+E91</f>
        <v>0</v>
      </c>
      <c r="G91" s="71">
        <f>SUMIF(Adat!$AJ:$AJ,CONCATENATE($M$4,"093","(KÖT)",L69),Adat!$E:$E)*-1</f>
        <v>0</v>
      </c>
      <c r="H91" s="71">
        <f>SUMIF(Adat!$AJ:$AJ,CONCATENATE($M$4,"093","(ÖNV)",L69),Adat!$E:$E)*-1</f>
        <v>0</v>
      </c>
      <c r="I91" s="71">
        <f>SUMIF(Adat!$AJ:$AJ,CONCATENATE($M$4,"093","(ÁIG)",L69),Adat!$E:$E)*-1</f>
        <v>0</v>
      </c>
    </row>
    <row r="92" spans="2:9" x14ac:dyDescent="0.25">
      <c r="B92" s="160">
        <v>21</v>
      </c>
      <c r="C92" s="79" t="s">
        <v>24</v>
      </c>
      <c r="D92" s="79" t="s">
        <v>449</v>
      </c>
      <c r="E92" s="121">
        <f>SUM(E93:E95)</f>
        <v>0</v>
      </c>
      <c r="F92" s="121">
        <f t="shared" ref="F92:I92" si="5">SUM(F93:F95)</f>
        <v>0</v>
      </c>
      <c r="G92" s="121">
        <f t="shared" si="5"/>
        <v>0</v>
      </c>
      <c r="H92" s="121">
        <f t="shared" si="5"/>
        <v>0</v>
      </c>
      <c r="I92" s="121">
        <f t="shared" si="5"/>
        <v>0</v>
      </c>
    </row>
    <row r="93" spans="2:9" x14ac:dyDescent="0.2">
      <c r="B93" s="160">
        <v>22</v>
      </c>
      <c r="C93" s="305" t="s">
        <v>1339</v>
      </c>
      <c r="D93" s="82" t="s">
        <v>1340</v>
      </c>
      <c r="E93" s="72">
        <f>SUMIF(Adat!$AG:$AG,CONCATENATE(61,$M$4,"09211",L69),Adat!$E:$E)*-1</f>
        <v>0</v>
      </c>
      <c r="F93" s="72">
        <f>SUMIF(Adat!$AG:$AG,CONCATENATE(60,$M$4,"09211",L69),Adat!$E:$E)*-1+E93</f>
        <v>0</v>
      </c>
      <c r="G93" s="72">
        <f>SUMIF(Adat!$AH:$AH,CONCATENATE($M$4,"(KÖT)","09211",L69),Adat!$E:$E)*-1</f>
        <v>0</v>
      </c>
      <c r="H93" s="72">
        <f>SUMIF(Adat!$AH:$AH,CONCATENATE($M$4,"(ÖNV)","09211",L69),Adat!$E:$E)*-1</f>
        <v>0</v>
      </c>
      <c r="I93" s="72">
        <f>SUMIF(Adat!$AH:$AH,CONCATENATE($M$4,"(ÁIG)","09211",L69),Adat!$E:$E)*-1</f>
        <v>0</v>
      </c>
    </row>
    <row r="94" spans="2:9" x14ac:dyDescent="0.2">
      <c r="B94" s="160">
        <v>23</v>
      </c>
      <c r="C94" s="305" t="s">
        <v>1345</v>
      </c>
      <c r="D94" s="82" t="s">
        <v>1346</v>
      </c>
      <c r="E94" s="72">
        <f>SUMIF(Adat!$AG:$AG,CONCATENATE(61,$M$4,"09241",L69),Adat!$E:$E)*-1</f>
        <v>0</v>
      </c>
      <c r="F94" s="72">
        <f>SUMIF(Adat!$AG:$AG,CONCATENATE(60,$M$4,"09241",L69),Adat!$E:$E)*-1+E94</f>
        <v>0</v>
      </c>
      <c r="G94" s="72">
        <f>SUMIF(Adat!$AH:$AH,CONCATENATE($M$4,"(KÖT)","09241",L69),Adat!$E:$E)*-1</f>
        <v>0</v>
      </c>
      <c r="H94" s="72">
        <f>SUMIF(Adat!$AH:$AH,CONCATENATE($M$4,"(ÖNV)","09241",L69),Adat!$E:$E)*-1</f>
        <v>0</v>
      </c>
      <c r="I94" s="72">
        <f>SUMIF(Adat!$AH:$AH,CONCATENATE($M$4,"(ÁIG)","09241",L69),Adat!$E:$E)*-1</f>
        <v>0</v>
      </c>
    </row>
    <row r="95" spans="2:9" x14ac:dyDescent="0.2">
      <c r="B95" s="160">
        <v>24</v>
      </c>
      <c r="C95" s="305" t="s">
        <v>1255</v>
      </c>
      <c r="D95" s="82" t="s">
        <v>1347</v>
      </c>
      <c r="E95" s="72">
        <f>SUMIF(Adat!$AG:$AG,CONCATENATE(61,$M$4,"09251",L69),Adat!$E:$E)*-1</f>
        <v>0</v>
      </c>
      <c r="F95" s="72">
        <f>SUMIF(Adat!$AG:$AG,CONCATENATE(60,$M$4,"09251",L69),Adat!$E:$E)*-1+E95</f>
        <v>0</v>
      </c>
      <c r="G95" s="72">
        <f>SUMIF(Adat!$AH:$AH,CONCATENATE($M$4,"(KÖT)","09251",L69),Adat!$E:$E)*-1</f>
        <v>0</v>
      </c>
      <c r="H95" s="72">
        <f>SUMIF(Adat!$AH:$AH,CONCATENATE($M$4,"(ÖNV)","09251",L69),Adat!$E:$E)*-1</f>
        <v>0</v>
      </c>
      <c r="I95" s="72">
        <f>SUMIF(Adat!$AH:$AH,CONCATENATE($M$4,"(ÁIG)","09251",L69),Adat!$E:$E)*-1</f>
        <v>0</v>
      </c>
    </row>
    <row r="96" spans="2:9" x14ac:dyDescent="0.25">
      <c r="B96" s="160">
        <v>25</v>
      </c>
      <c r="C96" s="79" t="s">
        <v>33</v>
      </c>
      <c r="D96" s="79" t="s">
        <v>330</v>
      </c>
      <c r="E96" s="121">
        <f>SUM(E97:E99)</f>
        <v>0</v>
      </c>
      <c r="F96" s="121">
        <f t="shared" ref="F96:I96" si="6">SUM(F97:F99)</f>
        <v>0</v>
      </c>
      <c r="G96" s="121">
        <f t="shared" si="6"/>
        <v>0</v>
      </c>
      <c r="H96" s="121">
        <f t="shared" si="6"/>
        <v>0</v>
      </c>
      <c r="I96" s="121">
        <f t="shared" si="6"/>
        <v>0</v>
      </c>
    </row>
    <row r="97" spans="2:12" x14ac:dyDescent="0.2">
      <c r="B97" s="160">
        <v>26</v>
      </c>
      <c r="C97" s="305" t="s">
        <v>1373</v>
      </c>
      <c r="D97" s="82" t="s">
        <v>1374</v>
      </c>
      <c r="E97" s="72">
        <f>SUMIF(Adat!$AG:$AG,CONCATENATE(61,$M$4,"09511",L69),Adat!$E:$E)*-1</f>
        <v>0</v>
      </c>
      <c r="F97" s="72">
        <f>SUMIF(Adat!$AG:$AG,CONCATENATE(60,$M$4,"09511",L69),Adat!$E:$E)*-1+E97</f>
        <v>0</v>
      </c>
      <c r="G97" s="72">
        <f>SUMIF(Adat!$AH:$AH,CONCATENATE($M$4,"(KÖT)","09511",L69),Adat!$E:$E)*-1</f>
        <v>0</v>
      </c>
      <c r="H97" s="72">
        <f>SUMIF(Adat!$AH:$AH,CONCATENATE($M$4,"(ÖNV)","09511",L69),Adat!$E:$E)*-1</f>
        <v>0</v>
      </c>
      <c r="I97" s="72">
        <f>SUMIF(Adat!$AH:$AH,CONCATENATE($M$4,"(ÁIG)","09511",L69),Adat!$E:$E)*-1</f>
        <v>0</v>
      </c>
    </row>
    <row r="98" spans="2:12" x14ac:dyDescent="0.2">
      <c r="B98" s="160">
        <v>27</v>
      </c>
      <c r="C98" s="305" t="s">
        <v>1294</v>
      </c>
      <c r="D98" s="82" t="s">
        <v>1375</v>
      </c>
      <c r="E98" s="72">
        <f>SUMIF(Adat!$AG:$AG,CONCATENATE(61,$M$4,"09521",L69),Adat!$E:$E)*-1</f>
        <v>0</v>
      </c>
      <c r="F98" s="72">
        <f>SUMIF(Adat!$AG:$AG,CONCATENATE(60,$M$4,"09521",L69),Adat!$E:$E)*-1+E98</f>
        <v>0</v>
      </c>
      <c r="G98" s="72">
        <f>SUMIF(Adat!$AH:$AH,CONCATENATE($M$4,"(KÖT)","09521",L69),Adat!$E:$E)*-1</f>
        <v>0</v>
      </c>
      <c r="H98" s="72">
        <f>SUMIF(Adat!$AH:$AH,CONCATENATE($M$4,"(ÖNV)","09521",L69),Adat!$E:$E)*-1</f>
        <v>0</v>
      </c>
      <c r="I98" s="72">
        <f>SUMIF(Adat!$AH:$AH,CONCATENATE($M$4,"(ÁIG)","09521",L69),Adat!$E:$E)*-1</f>
        <v>0</v>
      </c>
    </row>
    <row r="99" spans="2:12" x14ac:dyDescent="0.2">
      <c r="B99" s="160">
        <v>28</v>
      </c>
      <c r="C99" s="305" t="s">
        <v>1376</v>
      </c>
      <c r="D99" s="82" t="s">
        <v>1377</v>
      </c>
      <c r="E99" s="72">
        <f>SUMIF(Adat!$AG:$AG,CONCATENATE(61,$M$4,"09531",L69),Adat!$E:$E)*-1</f>
        <v>0</v>
      </c>
      <c r="F99" s="72">
        <f>SUMIF(Adat!$AG:$AG,CONCATENATE(60,$M$4,"09531",L69),Adat!$E:$E)*-1+E99</f>
        <v>0</v>
      </c>
      <c r="G99" s="72">
        <f>SUMIF(Adat!$AH:$AH,CONCATENATE($M$4,"(KÖT)","09531",L69),Adat!$E:$E)*-1</f>
        <v>0</v>
      </c>
      <c r="H99" s="72">
        <f>SUMIF(Adat!$AH:$AH,CONCATENATE($M$4,"(ÖNV)","09531",L69),Adat!$E:$E)*-1</f>
        <v>0</v>
      </c>
      <c r="I99" s="72">
        <f>SUMIF(Adat!$AH:$AH,CONCATENATE($M$4,"(ÁIG)","09531",L69),Adat!$E:$E)*-1</f>
        <v>0</v>
      </c>
    </row>
    <row r="100" spans="2:12" x14ac:dyDescent="0.25">
      <c r="B100" s="160">
        <v>29</v>
      </c>
      <c r="C100" s="79" t="s">
        <v>36</v>
      </c>
      <c r="D100" s="79" t="s">
        <v>331</v>
      </c>
      <c r="E100" s="71">
        <f>SUMIF(Adat!$AI:$AI,CONCATENATE(61,$M$4,"096",L69),Adat!$E:$E)*-1</f>
        <v>0</v>
      </c>
      <c r="F100" s="71">
        <f>SUMIF(Adat!$AI:$AI,CONCATENATE(60,$M$4,"096",L69),Adat!$E:$E)*-1+E100</f>
        <v>0</v>
      </c>
      <c r="G100" s="71">
        <f>SUMIF(Adat!$AJ:$AJ,CONCATENATE($M$4,"096","(KÖT)",L69),Adat!$E:$E)*-1</f>
        <v>0</v>
      </c>
      <c r="H100" s="71">
        <f>SUMIF(Adat!$AJ:$AJ,CONCATENATE($M$4,"096","(ÖNV)",L69),Adat!$E:$E)*-1</f>
        <v>0</v>
      </c>
      <c r="I100" s="71">
        <f>SUMIF(Adat!$AJ:$AJ,CONCATENATE($M$4,"096","(ÁIG)",L69),Adat!$E:$E)*-1</f>
        <v>0</v>
      </c>
    </row>
    <row r="101" spans="2:12" x14ac:dyDescent="0.25">
      <c r="B101" s="160">
        <v>30</v>
      </c>
      <c r="C101" s="79" t="s">
        <v>38</v>
      </c>
      <c r="D101" s="85" t="s">
        <v>332</v>
      </c>
      <c r="E101" s="71">
        <f>SUMIF(Adat!$AI:$AI,CONCATENATE(61,$M$4,"097",L69),Adat!$E:$E)*-1</f>
        <v>0</v>
      </c>
      <c r="F101" s="71">
        <f>SUMIF(Adat!$AI:$AI,CONCATENATE(60,$M$4,"097",L69),Adat!$E:$E)*-1+E101</f>
        <v>0</v>
      </c>
      <c r="G101" s="71">
        <f>SUMIF(Adat!$AJ:$AJ,CONCATENATE($M$4,"097","(KÖT)",L69),Adat!$E:$E)*-1</f>
        <v>0</v>
      </c>
      <c r="H101" s="71">
        <f>SUMIF(Adat!$AJ:$AJ,CONCATENATE($M$4,"097","(ÖNV)",L69),Adat!$E:$E)*-1</f>
        <v>0</v>
      </c>
      <c r="I101" s="71">
        <f>SUMIF(Adat!$AJ:$AJ,CONCATENATE($M$4,"097","(ÁIG)",L69),Adat!$E:$E)*-1</f>
        <v>0</v>
      </c>
    </row>
    <row r="102" spans="2:12" x14ac:dyDescent="0.25">
      <c r="B102" s="160">
        <v>31</v>
      </c>
      <c r="C102" s="154" t="s">
        <v>352</v>
      </c>
      <c r="D102" s="86" t="s">
        <v>1500</v>
      </c>
      <c r="E102" s="121">
        <f>E73+E87+E91+E92+E96+E100+E101</f>
        <v>0</v>
      </c>
      <c r="F102" s="121">
        <f>F73+F87+F91+F92+F96+F100+F101</f>
        <v>0</v>
      </c>
      <c r="G102" s="121">
        <f>G73+G87+G91+G92+G96+G100+G101</f>
        <v>0</v>
      </c>
      <c r="H102" s="121">
        <f>H73+H87+H91+H92+H96+H100+H101</f>
        <v>0</v>
      </c>
      <c r="I102" s="121">
        <f>I73+I87+I91+I92+I96+I100+I101</f>
        <v>0</v>
      </c>
    </row>
    <row r="103" spans="2:12" x14ac:dyDescent="0.25">
      <c r="B103" s="160">
        <v>32</v>
      </c>
      <c r="C103" s="154" t="s">
        <v>358</v>
      </c>
      <c r="D103" s="86" t="s">
        <v>333</v>
      </c>
      <c r="E103" s="121">
        <f>SUM(E104:E106)</f>
        <v>0</v>
      </c>
      <c r="F103" s="121">
        <f t="shared" ref="F103:I103" si="7">SUM(F104:F106)</f>
        <v>0</v>
      </c>
      <c r="G103" s="121">
        <f t="shared" si="7"/>
        <v>0</v>
      </c>
      <c r="H103" s="121">
        <f t="shared" si="7"/>
        <v>0</v>
      </c>
      <c r="I103" s="121">
        <f t="shared" si="7"/>
        <v>0</v>
      </c>
    </row>
    <row r="104" spans="2:12" x14ac:dyDescent="0.2">
      <c r="B104" s="160">
        <v>33</v>
      </c>
      <c r="C104" s="305" t="s">
        <v>1274</v>
      </c>
      <c r="D104" s="82" t="s">
        <v>1419</v>
      </c>
      <c r="E104" s="72">
        <f>SUMIF(Adat!$AG:$AG,CONCATENATE(61,$M$4,"0981311",L69),Adat!$E:$E)*-1</f>
        <v>0</v>
      </c>
      <c r="F104" s="72">
        <f>SUMIF(Adat!$AG:$AG,CONCATENATE(60,$M$4,"0981311",L69),Adat!$E:$E)*-1+E104</f>
        <v>0</v>
      </c>
      <c r="G104" s="72">
        <f>SUMIF(Adat!$AH:$AH,CONCATENATE($M$4,"(KÖT)","0981311",L69),Adat!$E:$E)*-1</f>
        <v>0</v>
      </c>
      <c r="H104" s="72">
        <f>SUMIF(Adat!$AH:$AH,CONCATENATE($M$4,"(ÖNV)","0981311",L69),Adat!$E:$E)*-1</f>
        <v>0</v>
      </c>
      <c r="I104" s="72">
        <f>SUMIF(Adat!$AH:$AH,CONCATENATE($M$4,"(ÁIG)","0981311",L69),Adat!$E:$E)*-1</f>
        <v>0</v>
      </c>
    </row>
    <row r="105" spans="2:12" x14ac:dyDescent="0.25">
      <c r="B105" s="160">
        <v>34</v>
      </c>
      <c r="C105" s="305" t="s">
        <v>1420</v>
      </c>
      <c r="D105" s="84" t="s">
        <v>1421</v>
      </c>
      <c r="E105" s="72">
        <f>SUMIF(Adat!$AG:$AG,CONCATENATE(61,$M$4,"0981321",L69),Adat!$E:$E)*-1</f>
        <v>0</v>
      </c>
      <c r="F105" s="72">
        <f>SUMIF(Adat!$AG:$AG,CONCATENATE(60,$M$4,"0981321",L69),Adat!$E:$E)*-1+E105</f>
        <v>0</v>
      </c>
      <c r="G105" s="72">
        <f>SUMIF(Adat!$AH:$AH,CONCATENATE($M$4,"(KÖT)","0981321",L69),Adat!$E:$E)*-1</f>
        <v>0</v>
      </c>
      <c r="H105" s="72">
        <f>SUMIF(Adat!$AH:$AH,CONCATENATE($M$4,"(ÖNV)","0981321",L69),Adat!$E:$E)*-1</f>
        <v>0</v>
      </c>
      <c r="I105" s="72">
        <f>SUMIF(Adat!$AH:$AH,CONCATENATE($M$4,"(ÁIG)","0981321",L69),Adat!$E:$E)*-1</f>
        <v>0</v>
      </c>
    </row>
    <row r="106" spans="2:12" x14ac:dyDescent="0.25">
      <c r="B106" s="160">
        <v>35</v>
      </c>
      <c r="C106" s="319" t="s">
        <v>1275</v>
      </c>
      <c r="D106" s="84" t="s">
        <v>1501</v>
      </c>
      <c r="E106" s="72">
        <f>SUMIF(Adat!$AG:$AG,CONCATENATE(61,$M$4,"098161",L69),Adat!$E:$E)*-1</f>
        <v>0</v>
      </c>
      <c r="F106" s="72">
        <f>SUMIF(Adat!$AG:$AG,CONCATENATE(60,$M$4,"098161",L69),Adat!$E:$E)*-1+E106</f>
        <v>0</v>
      </c>
      <c r="G106" s="72">
        <f>SUMIF(Adat!$AH:$AH,CONCATENATE($M$4,"(KÖT)","098161",L69),Adat!$E:$E)*-1</f>
        <v>0</v>
      </c>
      <c r="H106" s="72">
        <f>SUMIF(Adat!$AH:$AH,CONCATENATE($M$4,"(ÖNV)","098161",L69),Adat!$E:$E)*-1</f>
        <v>0</v>
      </c>
      <c r="I106" s="72">
        <f>SUMIF(Adat!$AH:$AH,CONCATENATE($M$4,"(ÁIG)","098161",L69),Adat!$E:$E)*-1</f>
        <v>0</v>
      </c>
    </row>
    <row r="107" spans="2:12" x14ac:dyDescent="0.25">
      <c r="B107" s="160">
        <v>36</v>
      </c>
      <c r="C107" s="154" t="s">
        <v>364</v>
      </c>
      <c r="D107" s="159" t="s">
        <v>1502</v>
      </c>
      <c r="E107" s="121">
        <f>+E102+E103</f>
        <v>0</v>
      </c>
      <c r="F107" s="121">
        <f>+F102+F103</f>
        <v>0</v>
      </c>
      <c r="G107" s="121">
        <f>+G102+G103</f>
        <v>0</v>
      </c>
      <c r="H107" s="121">
        <f>+H102+H103</f>
        <v>0</v>
      </c>
      <c r="I107" s="121">
        <f>+I102+I103</f>
        <v>0</v>
      </c>
    </row>
    <row r="108" spans="2:12" ht="15.75" x14ac:dyDescent="0.25">
      <c r="B108" s="38"/>
      <c r="C108" s="156"/>
      <c r="D108" s="38"/>
      <c r="E108" s="140"/>
      <c r="F108" s="430"/>
      <c r="G108" s="140"/>
      <c r="H108" s="140"/>
      <c r="I108" s="140"/>
    </row>
    <row r="109" spans="2:12" s="10" customFormat="1" ht="15.75" customHeight="1" x14ac:dyDescent="0.25">
      <c r="B109" s="201" t="str">
        <f>CONCATENATE("4. Kiadási jogcímek"," - ",L109," részletező")</f>
        <v>4. Kiadási jogcímek -  részletező</v>
      </c>
      <c r="C109" s="101"/>
      <c r="D109" s="101"/>
      <c r="E109" s="101"/>
      <c r="F109" s="101"/>
      <c r="G109" s="198"/>
      <c r="H109" s="198"/>
      <c r="I109" s="198"/>
      <c r="L109" s="384"/>
    </row>
    <row r="110" spans="2:12" ht="15.75" x14ac:dyDescent="0.25">
      <c r="B110" s="38"/>
      <c r="C110" s="156"/>
      <c r="D110" s="38"/>
      <c r="E110" s="140"/>
      <c r="F110" s="140"/>
      <c r="G110" s="140"/>
      <c r="H110" s="140"/>
      <c r="I110" s="140"/>
    </row>
    <row r="111" spans="2:12" x14ac:dyDescent="0.25">
      <c r="B111" s="77"/>
      <c r="C111" s="77" t="s">
        <v>350</v>
      </c>
      <c r="D111" s="77" t="s">
        <v>351</v>
      </c>
      <c r="E111" s="77" t="s">
        <v>470</v>
      </c>
      <c r="F111" s="77" t="s">
        <v>471</v>
      </c>
      <c r="G111" s="77" t="s">
        <v>44</v>
      </c>
      <c r="H111" s="77" t="s">
        <v>42</v>
      </c>
      <c r="I111" s="77" t="s">
        <v>511</v>
      </c>
    </row>
    <row r="112" spans="2:12" ht="38.25" x14ac:dyDescent="0.25">
      <c r="B112" s="160">
        <v>1</v>
      </c>
      <c r="C112" s="154" t="s">
        <v>593</v>
      </c>
      <c r="D112" s="154" t="s">
        <v>488</v>
      </c>
      <c r="E112" s="163" t="str">
        <f>CONCATENATE(PAR!$H$3," évi
eredeti 
előirányzat")</f>
        <v>2025. évi
eredeti 
előirányzat</v>
      </c>
      <c r="F112" s="163" t="str">
        <f>CONCATENATE(PAR!$H$3," évi
módosított 
előirányzat")</f>
        <v>2025. évi
módosított 
előirányzat</v>
      </c>
      <c r="G112" s="78" t="s">
        <v>666</v>
      </c>
      <c r="H112" s="78" t="s">
        <v>667</v>
      </c>
      <c r="I112" s="78" t="s">
        <v>668</v>
      </c>
    </row>
    <row r="113" spans="2:9" x14ac:dyDescent="0.25">
      <c r="B113" s="160">
        <v>2</v>
      </c>
      <c r="C113" s="78" t="s">
        <v>352</v>
      </c>
      <c r="D113" s="92" t="s">
        <v>1444</v>
      </c>
      <c r="E113" s="121">
        <f>SUM(E114:E118)</f>
        <v>0</v>
      </c>
      <c r="F113" s="121">
        <f>SUM(F114:F118)</f>
        <v>0</v>
      </c>
      <c r="G113" s="121">
        <f>SUM(G114:G118)</f>
        <v>0</v>
      </c>
      <c r="H113" s="121">
        <f>SUM(H114:H118)</f>
        <v>0</v>
      </c>
      <c r="I113" s="121">
        <f>SUM(I114:I118)</f>
        <v>0</v>
      </c>
    </row>
    <row r="114" spans="2:9" x14ac:dyDescent="0.25">
      <c r="B114" s="160">
        <v>3</v>
      </c>
      <c r="C114" s="305" t="s">
        <v>315</v>
      </c>
      <c r="D114" s="93" t="s">
        <v>342</v>
      </c>
      <c r="E114" s="72">
        <f>SUMIF(Adat!$AI:$AI,CONCATENATE(61,$M$4,"051",L109),Adat!$E:$E)</f>
        <v>0</v>
      </c>
      <c r="F114" s="72">
        <f>SUMIF(Adat!$AI:$AI,CONCATENATE(60,$M$4,"051",L109),Adat!$E:$E)+E114</f>
        <v>0</v>
      </c>
      <c r="G114" s="72">
        <f>SUMIF(Adat!$AJ:$AJ,CONCATENATE($M$4,"051","(KÖT)",L109),Adat!$E:$E)</f>
        <v>0</v>
      </c>
      <c r="H114" s="72">
        <f>SUMIF(Adat!$AJ:$AJ,CONCATENATE($M$4,"051","(ÖNV)",L109),Adat!$E:$E)</f>
        <v>0</v>
      </c>
      <c r="I114" s="72">
        <f>SUMIF(Adat!$AJ:$AJ,CONCATENATE($M$4,"051","(ÁIG)",L109),Adat!$E:$E)</f>
        <v>0</v>
      </c>
    </row>
    <row r="115" spans="2:9" x14ac:dyDescent="0.25">
      <c r="B115" s="160">
        <v>4</v>
      </c>
      <c r="C115" s="305" t="s">
        <v>317</v>
      </c>
      <c r="D115" s="93" t="s">
        <v>395</v>
      </c>
      <c r="E115" s="72">
        <f>SUMIF(Adat!$AI:$AI,CONCATENATE(61,$M$4,"052",L109),Adat!$E:$E)</f>
        <v>0</v>
      </c>
      <c r="F115" s="72">
        <f>SUMIF(Adat!$AI:$AI,CONCATENATE(60,$M$4,"052",L109),Adat!$E:$E)+E115</f>
        <v>0</v>
      </c>
      <c r="G115" s="72">
        <f>SUMIF(Adat!$AJ:$AJ,CONCATENATE($M$4,"052","(KÖT)",L109),Adat!$E:$E)</f>
        <v>0</v>
      </c>
      <c r="H115" s="72">
        <f>SUMIF(Adat!$AJ:$AJ,CONCATENATE($M$4,"052","(ÖNV)",L109),Adat!$E:$E)</f>
        <v>0</v>
      </c>
      <c r="I115" s="72">
        <f>SUMIF(Adat!$AJ:$AJ,CONCATENATE($M$4,"052","(ÁIG)",L109),Adat!$E:$E)</f>
        <v>0</v>
      </c>
    </row>
    <row r="116" spans="2:9" x14ac:dyDescent="0.25">
      <c r="B116" s="160">
        <v>5</v>
      </c>
      <c r="C116" s="305" t="s">
        <v>4</v>
      </c>
      <c r="D116" s="93" t="s">
        <v>344</v>
      </c>
      <c r="E116" s="72">
        <f>SUMIF(Adat!$AI:$AI,CONCATENATE(61,$M$4,"053",L109),Adat!$E:$E)</f>
        <v>0</v>
      </c>
      <c r="F116" s="72">
        <f>SUMIF(Adat!$AI:$AI,CONCATENATE(60,$M$4,"053",L109),Adat!$E:$E)+E116</f>
        <v>0</v>
      </c>
      <c r="G116" s="72">
        <f>SUMIF(Adat!$AJ:$AJ,CONCATENATE($M$4,"053","(KÖT)",L109),Adat!$E:$E)</f>
        <v>0</v>
      </c>
      <c r="H116" s="72">
        <f>SUMIF(Adat!$AJ:$AJ,CONCATENATE($M$4,"053","(ÖNV)",L109),Adat!$E:$E)</f>
        <v>0</v>
      </c>
      <c r="I116" s="72">
        <f>SUMIF(Adat!$AJ:$AJ,CONCATENATE($M$4,"053","(ÁIG)",L109),Adat!$E:$E)</f>
        <v>0</v>
      </c>
    </row>
    <row r="117" spans="2:9" x14ac:dyDescent="0.25">
      <c r="B117" s="160">
        <v>6</v>
      </c>
      <c r="C117" s="305" t="s">
        <v>6</v>
      </c>
      <c r="D117" s="93" t="s">
        <v>345</v>
      </c>
      <c r="E117" s="72">
        <f>SUMIF(Adat!$AI:$AI,CONCATENATE(61,$M$4,"054",L109),Adat!$E:$E)</f>
        <v>0</v>
      </c>
      <c r="F117" s="72">
        <f>SUMIF(Adat!$AI:$AI,CONCATENATE(60,$M$4,"054",L109),Adat!$E:$E)+E117</f>
        <v>0</v>
      </c>
      <c r="G117" s="72">
        <f>SUMIF(Adat!$AJ:$AJ,CONCATENATE($M$4,"054","(KÖT)",L109),Adat!$E:$E)</f>
        <v>0</v>
      </c>
      <c r="H117" s="72">
        <f>SUMIF(Adat!$AJ:$AJ,CONCATENATE($M$4,"054","(ÖNV)",L109),Adat!$E:$E)</f>
        <v>0</v>
      </c>
      <c r="I117" s="72">
        <f>SUMIF(Adat!$AJ:$AJ,CONCATENATE($M$4,"054","(ÁIG)",L109),Adat!$E:$E)</f>
        <v>0</v>
      </c>
    </row>
    <row r="118" spans="2:9" x14ac:dyDescent="0.25">
      <c r="B118" s="160">
        <v>7</v>
      </c>
      <c r="C118" s="305" t="s">
        <v>8</v>
      </c>
      <c r="D118" s="93" t="s">
        <v>321</v>
      </c>
      <c r="E118" s="72">
        <f>SUMIF(Adat!$AI:$AI,CONCATENATE(61,$M$4,"055",L109),Adat!$E:$E)</f>
        <v>0</v>
      </c>
      <c r="F118" s="72">
        <f>SUMIF(Adat!$AI:$AI,CONCATENATE(60,$M$4,"055",L109),Adat!$E:$E)+E118</f>
        <v>0</v>
      </c>
      <c r="G118" s="72">
        <f>SUMIF(Adat!$AJ:$AJ,CONCATENATE($M$4,"055","(KÖT)",L109),Adat!$E:$E)</f>
        <v>0</v>
      </c>
      <c r="H118" s="72">
        <f>SUMIF(Adat!$AJ:$AJ,CONCATENATE($M$4,"055","(ÖNV)",L109),Adat!$E:$E)</f>
        <v>0</v>
      </c>
      <c r="I118" s="72">
        <f>SUMIF(Adat!$AJ:$AJ,CONCATENATE($M$4,"055","(ÁIG)",L109),Adat!$E:$E)</f>
        <v>0</v>
      </c>
    </row>
    <row r="119" spans="2:9" x14ac:dyDescent="0.25">
      <c r="B119" s="160">
        <v>8</v>
      </c>
      <c r="C119" s="78" t="s">
        <v>358</v>
      </c>
      <c r="D119" s="92" t="s">
        <v>1447</v>
      </c>
      <c r="E119" s="121">
        <f>E120+E122+E124</f>
        <v>0</v>
      </c>
      <c r="F119" s="121">
        <f>F120+F122+F124</f>
        <v>0</v>
      </c>
      <c r="G119" s="121">
        <f>G120+G122+G124</f>
        <v>0</v>
      </c>
      <c r="H119" s="121">
        <f>H120+H122+H124</f>
        <v>0</v>
      </c>
      <c r="I119" s="121">
        <f>I120+I122+I124</f>
        <v>0</v>
      </c>
    </row>
    <row r="120" spans="2:9" x14ac:dyDescent="0.25">
      <c r="B120" s="160">
        <v>9</v>
      </c>
      <c r="C120" s="305" t="s">
        <v>10</v>
      </c>
      <c r="D120" s="93" t="s">
        <v>322</v>
      </c>
      <c r="E120" s="72">
        <f>SUMIF(Adat!$AI:$AI,CONCATENATE(61,$M$4,"056",L109),Adat!$E:$E)</f>
        <v>0</v>
      </c>
      <c r="F120" s="72">
        <f>SUMIF(Adat!$AI:$AI,CONCATENATE(60,$M$4,"056",L109),Adat!$E:$E)+E120</f>
        <v>0</v>
      </c>
      <c r="G120" s="72">
        <f>SUMIF(Adat!$AJ:$AJ,CONCATENATE($M$4,"056","(KÖT)",L109),Adat!$E:$E)</f>
        <v>0</v>
      </c>
      <c r="H120" s="72">
        <f>SUMIF(Adat!$AJ:$AJ,CONCATENATE($M$4,"056","(ÖNV)",L109),Adat!$E:$E)</f>
        <v>0</v>
      </c>
      <c r="I120" s="72">
        <f>SUMIF(Adat!$AJ:$AJ,CONCATENATE($M$4,"056","(ÁIG)",L109),Adat!$E:$E)</f>
        <v>0</v>
      </c>
    </row>
    <row r="121" spans="2:9" x14ac:dyDescent="0.25">
      <c r="B121" s="160">
        <v>10</v>
      </c>
      <c r="C121" s="305" t="s">
        <v>10</v>
      </c>
      <c r="D121" s="93" t="s">
        <v>1448</v>
      </c>
      <c r="E121" s="72">
        <v>0</v>
      </c>
      <c r="F121" s="72">
        <f>SUM(G121:I121)</f>
        <v>0</v>
      </c>
      <c r="G121" s="72">
        <v>0</v>
      </c>
      <c r="H121" s="72">
        <v>0</v>
      </c>
      <c r="I121" s="72">
        <v>0</v>
      </c>
    </row>
    <row r="122" spans="2:9" x14ac:dyDescent="0.25">
      <c r="B122" s="160">
        <v>11</v>
      </c>
      <c r="C122" s="305" t="s">
        <v>12</v>
      </c>
      <c r="D122" s="93" t="s">
        <v>323</v>
      </c>
      <c r="E122" s="72">
        <f>SUMIF(Adat!$AI:$AI,CONCATENATE(61,$M$4,"057",L109),Adat!$E:$E)</f>
        <v>0</v>
      </c>
      <c r="F122" s="72">
        <f>SUMIF(Adat!$AI:$AI,CONCATENATE(60,$M$4,"057",L109),Adat!$E:$E)+E122</f>
        <v>0</v>
      </c>
      <c r="G122" s="72">
        <f>SUMIF(Adat!$AJ:$AJ,CONCATENATE($M$4,"057","(KÖT)",L109),Adat!$E:$E)</f>
        <v>0</v>
      </c>
      <c r="H122" s="72">
        <f>SUMIF(Adat!$AJ:$AJ,CONCATENATE($M$4,"057","(ÖNV)",L109),Adat!$E:$E)</f>
        <v>0</v>
      </c>
      <c r="I122" s="72">
        <f>SUMIF(Adat!$AJ:$AJ,CONCATENATE($M$4,"057","(ÁIG)",L109),Adat!$E:$E)</f>
        <v>0</v>
      </c>
    </row>
    <row r="123" spans="2:9" x14ac:dyDescent="0.25">
      <c r="B123" s="160">
        <v>12</v>
      </c>
      <c r="C123" s="305" t="s">
        <v>12</v>
      </c>
      <c r="D123" s="93" t="s">
        <v>1449</v>
      </c>
      <c r="E123" s="72">
        <v>0</v>
      </c>
      <c r="F123" s="72">
        <f>SUM(G123:I123)</f>
        <v>0</v>
      </c>
      <c r="G123" s="72">
        <v>0</v>
      </c>
      <c r="H123" s="72">
        <v>0</v>
      </c>
      <c r="I123" s="72">
        <v>0</v>
      </c>
    </row>
    <row r="124" spans="2:9" x14ac:dyDescent="0.25">
      <c r="B124" s="160">
        <v>13</v>
      </c>
      <c r="C124" s="305" t="s">
        <v>15</v>
      </c>
      <c r="D124" s="84" t="s">
        <v>324</v>
      </c>
      <c r="E124" s="72">
        <f>SUMIF(Adat!$AI:$AI,CONCATENATE(61,$M$4,"058",L109),Adat!$E:$E)</f>
        <v>0</v>
      </c>
      <c r="F124" s="72">
        <f>SUMIF(Adat!$AI:$AI,CONCATENATE(60,$M$4,"058",L109),Adat!$E:$E)+E124</f>
        <v>0</v>
      </c>
      <c r="G124" s="72">
        <f>SUMIF(Adat!$AJ:$AJ,CONCATENATE($M$4,"058","(KÖT)",L109),Adat!$E:$E)</f>
        <v>0</v>
      </c>
      <c r="H124" s="72">
        <f>SUMIF(Adat!$AJ:$AJ,CONCATENATE($M$4,"058","(ÖNV)",L109),Adat!$E:$E)</f>
        <v>0</v>
      </c>
      <c r="I124" s="72">
        <f>SUMIF(Adat!$AJ:$AJ,CONCATENATE($M$4,"058","(ÁIG)",L109),Adat!$E:$E)</f>
        <v>0</v>
      </c>
    </row>
    <row r="125" spans="2:9" x14ac:dyDescent="0.25">
      <c r="B125" s="160">
        <v>14</v>
      </c>
      <c r="C125" s="154" t="s">
        <v>364</v>
      </c>
      <c r="D125" s="86" t="s">
        <v>325</v>
      </c>
      <c r="E125" s="71">
        <f>SUMIF(Adat!$AI:$AI,CONCATENATE(61,$M$4,"059",L109),Adat!$E:$E)</f>
        <v>0</v>
      </c>
      <c r="F125" s="71">
        <f>SUMIF(Adat!$AI:$AI,CONCATENATE(60,$M$4,"059",L109),Adat!$E:$E)+E125</f>
        <v>0</v>
      </c>
      <c r="G125" s="71">
        <f>SUMIF(Adat!$AJ:$AJ,CONCATENATE($M$4,"059","(KÖT)",L109),Adat!$E:$E)</f>
        <v>0</v>
      </c>
      <c r="H125" s="71">
        <f>SUMIF(Adat!$AJ:$AJ,CONCATENATE($M$4,"059","(ÖNV)",L109),Adat!$E:$E)</f>
        <v>0</v>
      </c>
      <c r="I125" s="71">
        <f>SUMIF(Adat!$AJ:$AJ,CONCATENATE($M$4,"059","(ÁIG)",L109),Adat!$E:$E)</f>
        <v>0</v>
      </c>
    </row>
    <row r="126" spans="2:9" x14ac:dyDescent="0.25">
      <c r="B126" s="160">
        <v>15</v>
      </c>
      <c r="C126" s="154" t="s">
        <v>403</v>
      </c>
      <c r="D126" s="159" t="s">
        <v>497</v>
      </c>
      <c r="E126" s="121">
        <f>E113+E119+E125</f>
        <v>0</v>
      </c>
      <c r="F126" s="121">
        <f>F113+F119+F125</f>
        <v>0</v>
      </c>
      <c r="G126" s="121">
        <f>G113+G119+G125</f>
        <v>0</v>
      </c>
      <c r="H126" s="121">
        <f>H113+H119+H125</f>
        <v>0</v>
      </c>
      <c r="I126" s="121">
        <f>I113+I119+I125</f>
        <v>0</v>
      </c>
    </row>
    <row r="127" spans="2:9" ht="15.75" x14ac:dyDescent="0.25">
      <c r="B127" s="37"/>
      <c r="C127" s="529"/>
      <c r="D127" s="529"/>
      <c r="E127" s="529"/>
      <c r="F127" s="200"/>
      <c r="G127" s="200"/>
      <c r="H127" s="200"/>
      <c r="I127" s="200"/>
    </row>
    <row r="128" spans="2:9" ht="15.75" x14ac:dyDescent="0.25">
      <c r="B128" s="525" t="str">
        <f>$N$4</f>
        <v>Nagymarosi Polgármesteri Hivatal</v>
      </c>
      <c r="C128" s="525"/>
      <c r="D128" s="525"/>
      <c r="E128" s="525"/>
      <c r="F128" s="525"/>
      <c r="G128" s="525"/>
      <c r="H128" s="525"/>
      <c r="I128" s="525"/>
    </row>
    <row r="129" spans="2:12" ht="15.75" x14ac:dyDescent="0.25">
      <c r="B129" s="525" t="s">
        <v>2660</v>
      </c>
      <c r="C129" s="525"/>
      <c r="D129" s="525"/>
      <c r="E129" s="525"/>
      <c r="F129" s="525"/>
      <c r="G129" s="525"/>
      <c r="H129" s="525"/>
      <c r="I129" s="525"/>
    </row>
    <row r="130" spans="2:12" ht="15.75" x14ac:dyDescent="0.25">
      <c r="B130" s="38"/>
      <c r="C130" s="156"/>
      <c r="D130" s="38"/>
      <c r="E130" s="140"/>
      <c r="F130" s="140"/>
      <c r="G130" s="140"/>
      <c r="H130" s="140"/>
      <c r="I130" s="140"/>
    </row>
    <row r="131" spans="2:12" s="10" customFormat="1" ht="15.75" customHeight="1" x14ac:dyDescent="0.25">
      <c r="B131" s="201" t="str">
        <f>CONCATENATE("5. Bevételi jogcímek"," - ",L131," részletező")</f>
        <v>5. Bevételi jogcímek -  részletező</v>
      </c>
      <c r="C131" s="101"/>
      <c r="D131" s="101"/>
      <c r="E131" s="101"/>
      <c r="F131" s="101"/>
      <c r="G131" s="198"/>
      <c r="H131" s="198"/>
      <c r="I131" s="198"/>
      <c r="L131" s="384"/>
    </row>
    <row r="132" spans="2:12" ht="15.75" x14ac:dyDescent="0.25">
      <c r="B132" s="38"/>
      <c r="C132" s="156"/>
      <c r="D132" s="38"/>
      <c r="E132" s="140"/>
      <c r="F132" s="140"/>
      <c r="G132" s="140"/>
      <c r="H132" s="140"/>
      <c r="I132" s="140"/>
    </row>
    <row r="133" spans="2:12" x14ac:dyDescent="0.25">
      <c r="B133" s="77"/>
      <c r="C133" s="77" t="s">
        <v>350</v>
      </c>
      <c r="D133" s="77" t="s">
        <v>351</v>
      </c>
      <c r="E133" s="77" t="s">
        <v>470</v>
      </c>
      <c r="F133" s="77" t="s">
        <v>471</v>
      </c>
      <c r="G133" s="77" t="s">
        <v>44</v>
      </c>
      <c r="H133" s="77" t="s">
        <v>42</v>
      </c>
      <c r="I133" s="77" t="s">
        <v>511</v>
      </c>
    </row>
    <row r="134" spans="2:12" ht="38.25" x14ac:dyDescent="0.25">
      <c r="B134" s="160">
        <v>1</v>
      </c>
      <c r="C134" s="154" t="s">
        <v>593</v>
      </c>
      <c r="D134" s="154" t="s">
        <v>488</v>
      </c>
      <c r="E134" s="163" t="str">
        <f>CONCATENATE(PAR!$H$3," évi
eredeti 
előirányzat")</f>
        <v>2025. évi
eredeti 
előirányzat</v>
      </c>
      <c r="F134" s="163" t="str">
        <f>CONCATENATE(PAR!$H$3," évi
módosított 
előirányzat")</f>
        <v>2025. évi
módosított 
előirányzat</v>
      </c>
      <c r="G134" s="78" t="s">
        <v>666</v>
      </c>
      <c r="H134" s="78" t="s">
        <v>667</v>
      </c>
      <c r="I134" s="78" t="s">
        <v>668</v>
      </c>
    </row>
    <row r="135" spans="2:12" x14ac:dyDescent="0.25">
      <c r="B135" s="160">
        <v>2</v>
      </c>
      <c r="C135" s="79" t="s">
        <v>30</v>
      </c>
      <c r="D135" s="79" t="s">
        <v>329</v>
      </c>
      <c r="E135" s="121">
        <f>SUM(E136:E148)</f>
        <v>0</v>
      </c>
      <c r="F135" s="121">
        <f t="shared" ref="F135:I135" si="8">SUM(F136:F148)</f>
        <v>0</v>
      </c>
      <c r="G135" s="121">
        <f t="shared" si="8"/>
        <v>0</v>
      </c>
      <c r="H135" s="121">
        <f t="shared" si="8"/>
        <v>0</v>
      </c>
      <c r="I135" s="121">
        <f t="shared" si="8"/>
        <v>0</v>
      </c>
    </row>
    <row r="136" spans="2:12" x14ac:dyDescent="0.2">
      <c r="B136" s="160">
        <v>3</v>
      </c>
      <c r="C136" s="305" t="s">
        <v>1309</v>
      </c>
      <c r="D136" s="82" t="s">
        <v>1356</v>
      </c>
      <c r="E136" s="72">
        <f>SUMIF(Adat!$AG:$AG,CONCATENATE(61,$M$4,"094011",L131),Adat!$E:$E)*-1</f>
        <v>0</v>
      </c>
      <c r="F136" s="72">
        <f>SUMIF(Adat!$AG:$AG,CONCATENATE(60,$M$4,"094011",L131),Adat!$E:$E)*-1+E136</f>
        <v>0</v>
      </c>
      <c r="G136" s="72">
        <f>SUMIF(Adat!$AH:$AH,CONCATENATE($M$4,"(KÖT)","094011",L131),Adat!$E:$E)*-1</f>
        <v>0</v>
      </c>
      <c r="H136" s="72">
        <f>SUMIF(Adat!$AH:$AH,CONCATENATE($M$4,"(ÖNV)","094011",L131),Adat!$E:$E)*-1</f>
        <v>0</v>
      </c>
      <c r="I136" s="72">
        <f>SUMIF(Adat!$AH:$AH,CONCATENATE($M$4,"(ÁIG)","094011",L131),Adat!$E:$E)*-1</f>
        <v>0</v>
      </c>
    </row>
    <row r="137" spans="2:12" x14ac:dyDescent="0.2">
      <c r="B137" s="160">
        <v>4</v>
      </c>
      <c r="C137" s="305" t="s">
        <v>1279</v>
      </c>
      <c r="D137" s="82" t="s">
        <v>1357</v>
      </c>
      <c r="E137" s="72">
        <f>SUMIF(Adat!$AG:$AG,CONCATENATE(61,$M$4,"094021",L131),Adat!$E:$E)*-1</f>
        <v>0</v>
      </c>
      <c r="F137" s="72">
        <f>SUMIF(Adat!$AG:$AG,CONCATENATE(60,$M$4,"094021",L131),Adat!$E:$E)*-1+E137</f>
        <v>0</v>
      </c>
      <c r="G137" s="72">
        <f>SUMIF(Adat!$AH:$AH,CONCATENATE($M$4,"(KÖT)","094021",L131),Adat!$E:$E)*-1</f>
        <v>0</v>
      </c>
      <c r="H137" s="72">
        <f>SUMIF(Adat!$AH:$AH,CONCATENATE($M$4,"(ÖNV)","094021",L131),Adat!$E:$E)*-1</f>
        <v>0</v>
      </c>
      <c r="I137" s="72">
        <f>SUMIF(Adat!$AH:$AH,CONCATENATE($M$4,"(ÁIG)","094021",L131),Adat!$E:$E)*-1</f>
        <v>0</v>
      </c>
    </row>
    <row r="138" spans="2:12" x14ac:dyDescent="0.2">
      <c r="B138" s="160">
        <v>5</v>
      </c>
      <c r="C138" s="305" t="s">
        <v>1272</v>
      </c>
      <c r="D138" s="82" t="s">
        <v>1358</v>
      </c>
      <c r="E138" s="72">
        <f>SUMIF(Adat!$AG:$AG,CONCATENATE(61,$M$4,"094031",L131),Adat!$E:$E)*-1</f>
        <v>0</v>
      </c>
      <c r="F138" s="72">
        <f>SUMIF(Adat!$AG:$AG,CONCATENATE(60,$M$4,"094031",L131),Adat!$E:$E)*-1+E138</f>
        <v>0</v>
      </c>
      <c r="G138" s="72">
        <f>SUMIF(Adat!$AH:$AH,CONCATENATE($M$4,"(KÖT)","094031",L131),Adat!$E:$E)*-1</f>
        <v>0</v>
      </c>
      <c r="H138" s="72">
        <f>SUMIF(Adat!$AH:$AH,CONCATENATE($M$4,"(ÖNV)","094031",L131),Adat!$E:$E)*-1</f>
        <v>0</v>
      </c>
      <c r="I138" s="72">
        <f>SUMIF(Adat!$AH:$AH,CONCATENATE($M$4,"(ÁIG)","094031",L131),Adat!$E:$E)*-1</f>
        <v>0</v>
      </c>
    </row>
    <row r="139" spans="2:12" x14ac:dyDescent="0.2">
      <c r="B139" s="160">
        <v>6</v>
      </c>
      <c r="C139" s="305" t="s">
        <v>1359</v>
      </c>
      <c r="D139" s="82" t="s">
        <v>1360</v>
      </c>
      <c r="E139" s="72">
        <f>SUMIF(Adat!$AG:$AG,CONCATENATE(61,$M$4,"094041",L131),Adat!$E:$E)*-1</f>
        <v>0</v>
      </c>
      <c r="F139" s="72">
        <f>SUMIF(Adat!$AG:$AG,CONCATENATE(60,$M$4,"094041",L131),Adat!$E:$E)*-1+E139</f>
        <v>0</v>
      </c>
      <c r="G139" s="72">
        <f>SUMIF(Adat!$AH:$AH,CONCATENATE($M$4,"(KÖT)","094041",L131),Adat!$E:$E)*-1</f>
        <v>0</v>
      </c>
      <c r="H139" s="72">
        <f>SUMIF(Adat!$AH:$AH,CONCATENATE($M$4,"(ÖNV)","094041",L131),Adat!$E:$E)*-1</f>
        <v>0</v>
      </c>
      <c r="I139" s="72">
        <f>SUMIF(Adat!$AH:$AH,CONCATENATE($M$4,"(ÁIG)","094041",L131),Adat!$E:$E)*-1</f>
        <v>0</v>
      </c>
    </row>
    <row r="140" spans="2:12" x14ac:dyDescent="0.2">
      <c r="B140" s="160">
        <v>7</v>
      </c>
      <c r="C140" s="305" t="s">
        <v>1261</v>
      </c>
      <c r="D140" s="82" t="s">
        <v>1361</v>
      </c>
      <c r="E140" s="72">
        <f>SUMIF(Adat!$AG:$AG,CONCATENATE(61,$M$4,"094051",L131),Adat!$E:$E)*-1</f>
        <v>0</v>
      </c>
      <c r="F140" s="72">
        <f>SUMIF(Adat!$AG:$AG,CONCATENATE(60,$M$4,"094051",L131),Adat!$E:$E)*-1+E140</f>
        <v>0</v>
      </c>
      <c r="G140" s="72">
        <f>SUMIF(Adat!$AH:$AH,CONCATENATE($M$4,"(KÖT)","094051",L131),Adat!$E:$E)*-1</f>
        <v>0</v>
      </c>
      <c r="H140" s="72">
        <f>SUMIF(Adat!$AH:$AH,CONCATENATE($M$4,"(ÖNV)","094051",L131),Adat!$E:$E)*-1</f>
        <v>0</v>
      </c>
      <c r="I140" s="72">
        <f>SUMIF(Adat!$AH:$AH,CONCATENATE($M$4,"(ÁIG)","094051",L131),Adat!$E:$E)*-1</f>
        <v>0</v>
      </c>
    </row>
    <row r="141" spans="2:12" x14ac:dyDescent="0.2">
      <c r="B141" s="160">
        <v>8</v>
      </c>
      <c r="C141" s="305" t="s">
        <v>1273</v>
      </c>
      <c r="D141" s="82" t="s">
        <v>1362</v>
      </c>
      <c r="E141" s="72">
        <f>SUMIF(Adat!$AG:$AG,CONCATENATE(61,$M$4,"094061",L131),Adat!$E:$E)*-1</f>
        <v>0</v>
      </c>
      <c r="F141" s="72">
        <f>SUMIF(Adat!$AG:$AG,CONCATENATE(60,$M$4,"094061",L131),Adat!$E:$E)*-1+E141</f>
        <v>0</v>
      </c>
      <c r="G141" s="72">
        <f>SUMIF(Adat!$AH:$AH,CONCATENATE($M$4,"(KÖT)","094061",L131),Adat!$E:$E)*-1</f>
        <v>0</v>
      </c>
      <c r="H141" s="72">
        <f>SUMIF(Adat!$AH:$AH,CONCATENATE($M$4,"(ÖNV)","094061",L131),Adat!$E:$E)*-1</f>
        <v>0</v>
      </c>
      <c r="I141" s="72">
        <f>SUMIF(Adat!$AH:$AH,CONCATENATE($M$4,"(ÁIG)","094061",L131),Adat!$E:$E)*-1</f>
        <v>0</v>
      </c>
    </row>
    <row r="142" spans="2:12" x14ac:dyDescent="0.2">
      <c r="B142" s="160">
        <v>9</v>
      </c>
      <c r="C142" s="305" t="s">
        <v>1363</v>
      </c>
      <c r="D142" s="82" t="s">
        <v>1364</v>
      </c>
      <c r="E142" s="72">
        <f>SUMIF(Adat!$AG:$AG,CONCATENATE(61,$M$4,"094071",L131),Adat!$E:$E)*-1</f>
        <v>0</v>
      </c>
      <c r="F142" s="72">
        <f>SUMIF(Adat!$AG:$AG,CONCATENATE(60,$M$4,"094071",L131),Adat!$E:$E)*-1+E142</f>
        <v>0</v>
      </c>
      <c r="G142" s="72">
        <f>SUMIF(Adat!$AH:$AH,CONCATENATE($M$4,"(KÖT)","094071",L131),Adat!$E:$E)*-1</f>
        <v>0</v>
      </c>
      <c r="H142" s="72">
        <f>SUMIF(Adat!$AH:$AH,CONCATENATE($M$4,"(ÖNV)","094071",L131),Adat!$E:$E)*-1</f>
        <v>0</v>
      </c>
      <c r="I142" s="72">
        <f>SUMIF(Adat!$AH:$AH,CONCATENATE($M$4,"(ÁIG)","094071",L131),Adat!$E:$E)*-1</f>
        <v>0</v>
      </c>
    </row>
    <row r="143" spans="2:12" x14ac:dyDescent="0.2">
      <c r="B143" s="160">
        <v>10</v>
      </c>
      <c r="C143" s="305" t="s">
        <v>1306</v>
      </c>
      <c r="D143" s="82" t="s">
        <v>1365</v>
      </c>
      <c r="E143" s="72">
        <f>SUMIF(Adat!$AG:$AG,CONCATENATE(61,$M$4,"0940811",L131),Adat!$E:$E)*-1</f>
        <v>0</v>
      </c>
      <c r="F143" s="72">
        <f>SUMIF(Adat!$AG:$AG,CONCATENATE(60,$M$4,"0940811",L131),Adat!$E:$E)*-1+E143</f>
        <v>0</v>
      </c>
      <c r="G143" s="72">
        <f>SUMIF(Adat!$AH:$AH,CONCATENATE($M$4,"(KÖT)","0940811",L131),Adat!$E:$E)*-1</f>
        <v>0</v>
      </c>
      <c r="H143" s="72">
        <f>SUMIF(Adat!$AH:$AH,CONCATENATE($M$4,"(ÖNV)","0940811",L131),Adat!$E:$E)*-1</f>
        <v>0</v>
      </c>
      <c r="I143" s="72">
        <f>SUMIF(Adat!$AH:$AH,CONCATENATE($M$4,"(ÁIG)","0940811",L131),Adat!$E:$E)*-1</f>
        <v>0</v>
      </c>
    </row>
    <row r="144" spans="2:12" x14ac:dyDescent="0.2">
      <c r="B144" s="160">
        <v>11</v>
      </c>
      <c r="C144" s="305" t="s">
        <v>1295</v>
      </c>
      <c r="D144" s="82" t="s">
        <v>1366</v>
      </c>
      <c r="E144" s="72">
        <f>SUMIF(Adat!$AG:$AG,CONCATENATE(61,$M$4,"0940821",L131),Adat!$E:$E)*-1</f>
        <v>0</v>
      </c>
      <c r="F144" s="72">
        <f>SUMIF(Adat!$AG:$AG,CONCATENATE(60,$M$4,"0940821",L131),Adat!$E:$E)*-1+E144</f>
        <v>0</v>
      </c>
      <c r="G144" s="72">
        <f>SUMIF(Adat!$AH:$AH,CONCATENATE($M$4,"(KÖT)","0940821",L131),Adat!$E:$E)*-1</f>
        <v>0</v>
      </c>
      <c r="H144" s="72">
        <f>SUMIF(Adat!$AH:$AH,CONCATENATE($M$4,"(ÖNV)","0940821",L131),Adat!$E:$E)*-1</f>
        <v>0</v>
      </c>
      <c r="I144" s="72">
        <f>SUMIF(Adat!$AH:$AH,CONCATENATE($M$4,"(ÁIG)","0940821",L131),Adat!$E:$E)*-1</f>
        <v>0</v>
      </c>
    </row>
    <row r="145" spans="2:9" x14ac:dyDescent="0.2">
      <c r="B145" s="160">
        <v>12</v>
      </c>
      <c r="C145" s="305" t="s">
        <v>1367</v>
      </c>
      <c r="D145" s="82" t="s">
        <v>1368</v>
      </c>
      <c r="E145" s="72">
        <f>SUMIF(Adat!$AG:$AG,CONCATENATE(61,$M$4,"0940911",L131),Adat!$E:$E)*-1</f>
        <v>0</v>
      </c>
      <c r="F145" s="72">
        <f>SUMIF(Adat!$AG:$AG,CONCATENATE(60,$M$4,"0940911",L131),Adat!$E:$E)*-1+E145</f>
        <v>0</v>
      </c>
      <c r="G145" s="72">
        <f>SUMIF(Adat!$AH:$AH,CONCATENATE($M$4,"(KÖT)","0940911",L131),Adat!$E:$E)*-1</f>
        <v>0</v>
      </c>
      <c r="H145" s="72">
        <f>SUMIF(Adat!$AH:$AH,CONCATENATE($M$4,"(ÖNV)","0940911",L131),Adat!$E:$E)*-1</f>
        <v>0</v>
      </c>
      <c r="I145" s="72">
        <f>SUMIF(Adat!$AH:$AH,CONCATENATE($M$4,"(ÁIG)","0940911",L131),Adat!$E:$E)*-1</f>
        <v>0</v>
      </c>
    </row>
    <row r="146" spans="2:9" x14ac:dyDescent="0.2">
      <c r="B146" s="160">
        <v>13</v>
      </c>
      <c r="C146" s="305" t="s">
        <v>1369</v>
      </c>
      <c r="D146" s="82" t="s">
        <v>1370</v>
      </c>
      <c r="E146" s="72">
        <f>SUMIF(Adat!$AG:$AG,CONCATENATE(61,$M$4,"0940921",L131),Adat!$E:$E)*-1</f>
        <v>0</v>
      </c>
      <c r="F146" s="72">
        <f>SUMIF(Adat!$AG:$AG,CONCATENATE(60,$M$4,"0940921",L131),Adat!$E:$E)*-1+E146</f>
        <v>0</v>
      </c>
      <c r="G146" s="72">
        <f>SUMIF(Adat!$AH:$AH,CONCATENATE($M$4,"(KÖT)","0940921",L131),Adat!$E:$E)*-1</f>
        <v>0</v>
      </c>
      <c r="H146" s="72">
        <f>SUMIF(Adat!$AH:$AH,CONCATENATE($M$4,"(ÖNV)","0940921",L131),Adat!$E:$E)*-1</f>
        <v>0</v>
      </c>
      <c r="I146" s="72">
        <f>SUMIF(Adat!$AH:$AH,CONCATENATE($M$4,"(ÁIG)","0940921",L131),Adat!$E:$E)*-1</f>
        <v>0</v>
      </c>
    </row>
    <row r="147" spans="2:9" x14ac:dyDescent="0.2">
      <c r="B147" s="160">
        <v>14</v>
      </c>
      <c r="C147" s="305" t="s">
        <v>1296</v>
      </c>
      <c r="D147" s="82" t="s">
        <v>1371</v>
      </c>
      <c r="E147" s="72">
        <f>SUMIF(Adat!$AG:$AG,CONCATENATE(61,$M$4,"094101",L131),Adat!$E:$E)*-1</f>
        <v>0</v>
      </c>
      <c r="F147" s="72">
        <f>SUMIF(Adat!$AG:$AG,CONCATENATE(60,$M$4,"094101",L131),Adat!$E:$E)*-1+E147</f>
        <v>0</v>
      </c>
      <c r="G147" s="72">
        <f>SUMIF(Adat!$AH:$AH,CONCATENATE($M$4,"(KÖT)","094101",L131),Adat!$E:$E)*-1</f>
        <v>0</v>
      </c>
      <c r="H147" s="72">
        <f>SUMIF(Adat!$AH:$AH,CONCATENATE($M$4,"(ÖNV)","094101",L131),Adat!$E:$E)*-1</f>
        <v>0</v>
      </c>
      <c r="I147" s="72">
        <f>SUMIF(Adat!$AH:$AH,CONCATENATE($M$4,"(ÁIG)","094101",L131),Adat!$E:$E)*-1</f>
        <v>0</v>
      </c>
    </row>
    <row r="148" spans="2:9" x14ac:dyDescent="0.25">
      <c r="B148" s="160">
        <v>15</v>
      </c>
      <c r="C148" s="305" t="s">
        <v>1297</v>
      </c>
      <c r="D148" s="84" t="s">
        <v>1372</v>
      </c>
      <c r="E148" s="72">
        <f>SUMIF(Adat!$AG:$AG,CONCATENATE(61,$M$4,"094111",L131),Adat!$E:$E)*-1</f>
        <v>0</v>
      </c>
      <c r="F148" s="72">
        <f>SUMIF(Adat!$AG:$AG,CONCATENATE(60,$M$4,"094111",L131),Adat!$E:$E)*-1+E148</f>
        <v>0</v>
      </c>
      <c r="G148" s="72">
        <f>SUMIF(Adat!$AH:$AH,CONCATENATE($M$4,"(KÖT)","094111",L131),Adat!$E:$E)*-1</f>
        <v>0</v>
      </c>
      <c r="H148" s="72">
        <f>SUMIF(Adat!$AH:$AH,CONCATENATE($M$4,"(ÖNV)","094111",L131),Adat!$E:$E)*-1</f>
        <v>0</v>
      </c>
      <c r="I148" s="72">
        <f>SUMIF(Adat!$AH:$AH,CONCATENATE($M$4,"(ÁIG)","094111",L131),Adat!$E:$E)*-1</f>
        <v>0</v>
      </c>
    </row>
    <row r="149" spans="2:9" x14ac:dyDescent="0.25">
      <c r="B149" s="160">
        <v>16</v>
      </c>
      <c r="C149" s="78" t="s">
        <v>1328</v>
      </c>
      <c r="D149" s="85" t="s">
        <v>437</v>
      </c>
      <c r="E149" s="121">
        <f>SUM(E150:E152)</f>
        <v>0</v>
      </c>
      <c r="F149" s="121">
        <f>SUM(F150:F152)</f>
        <v>0</v>
      </c>
      <c r="G149" s="121">
        <f>SUM(G150:G152)</f>
        <v>0</v>
      </c>
      <c r="H149" s="121">
        <f>SUM(H150:H152)</f>
        <v>0</v>
      </c>
      <c r="I149" s="121">
        <f>SUM(I150:I152)</f>
        <v>0</v>
      </c>
    </row>
    <row r="150" spans="2:9" x14ac:dyDescent="0.2">
      <c r="B150" s="160">
        <v>17</v>
      </c>
      <c r="C150" s="305" t="s">
        <v>1329</v>
      </c>
      <c r="D150" s="82" t="s">
        <v>1330</v>
      </c>
      <c r="E150" s="72">
        <f>SUMIF(Adat!$AG:$AG,CONCATENATE(61,$M$4,"09121",L131),Adat!$E:$E)*-1</f>
        <v>0</v>
      </c>
      <c r="F150" s="72">
        <f>SUMIF(Adat!$AG:$AG,CONCATENATE(60,$M$4,"09121",L131),Adat!$E:$E)*-1+E150</f>
        <v>0</v>
      </c>
      <c r="G150" s="72">
        <f>SUMIF(Adat!$AH:$AH,CONCATENATE($M$4,"(KÖT)","09121",L131),Adat!$E:$E)*-1</f>
        <v>0</v>
      </c>
      <c r="H150" s="72">
        <f>SUMIF(Adat!$AH:$AH,CONCATENATE($M$4,"(ÖNV)","09121",L131),Adat!$E:$E)*-1</f>
        <v>0</v>
      </c>
      <c r="I150" s="72">
        <f>SUMIF(Adat!$AH:$AH,CONCATENATE($M$4,"(ÁIG)","09121",L131),Adat!$E:$E)*-1</f>
        <v>0</v>
      </c>
    </row>
    <row r="151" spans="2:9" x14ac:dyDescent="0.2">
      <c r="B151" s="160">
        <v>18</v>
      </c>
      <c r="C151" s="305" t="s">
        <v>1335</v>
      </c>
      <c r="D151" s="82" t="s">
        <v>1336</v>
      </c>
      <c r="E151" s="72">
        <f>SUMIF(Adat!$AG:$AG,CONCATENATE(61,$M$4,"09151",L131),Adat!$E:$E)*-1</f>
        <v>0</v>
      </c>
      <c r="F151" s="72">
        <f>SUMIF(Adat!$AG:$AG,CONCATENATE(60,$M$4,"09151",L131),Adat!$E:$E)*-1+E151</f>
        <v>0</v>
      </c>
      <c r="G151" s="72">
        <f>SUMIF(Adat!$AH:$AH,CONCATENATE($M$4,"(KÖT)","09151",L131),Adat!$E:$E)*-1</f>
        <v>0</v>
      </c>
      <c r="H151" s="72">
        <f>SUMIF(Adat!$AH:$AH,CONCATENATE($M$4,"(ÖNV)","09151",L131),Adat!$E:$E)*-1</f>
        <v>0</v>
      </c>
      <c r="I151" s="72">
        <f>SUMIF(Adat!$AH:$AH,CONCATENATE($M$4,"(ÁIG)","09151",L131),Adat!$E:$E)*-1</f>
        <v>0</v>
      </c>
    </row>
    <row r="152" spans="2:9" x14ac:dyDescent="0.2">
      <c r="B152" s="160">
        <v>19</v>
      </c>
      <c r="C152" s="305" t="s">
        <v>1278</v>
      </c>
      <c r="D152" s="82" t="s">
        <v>1337</v>
      </c>
      <c r="E152" s="72">
        <f>SUMIF(Adat!$AG:$AG,CONCATENATE(61,$M$4,"09161",L131),Adat!$E:$E)*-1</f>
        <v>0</v>
      </c>
      <c r="F152" s="72">
        <f>SUMIF(Adat!$AG:$AG,CONCATENATE(60,$M$4,"09161",L131),Adat!$E:$E)*-1+E152</f>
        <v>0</v>
      </c>
      <c r="G152" s="72">
        <f>SUMIF(Adat!$AH:$AH,CONCATENATE($M$4,"(KÖT)","09161",L131),Adat!$E:$E)*-1</f>
        <v>0</v>
      </c>
      <c r="H152" s="72">
        <f>SUMIF(Adat!$AH:$AH,CONCATENATE($M$4,"(ÖNV)","09161",L131),Adat!$E:$E)*-1</f>
        <v>0</v>
      </c>
      <c r="I152" s="72">
        <f>SUMIF(Adat!$AH:$AH,CONCATENATE($M$4,"(ÁIG)","09161",L131),Adat!$E:$E)*-1</f>
        <v>0</v>
      </c>
    </row>
    <row r="153" spans="2:9" x14ac:dyDescent="0.25">
      <c r="B153" s="160">
        <v>20</v>
      </c>
      <c r="C153" s="79" t="s">
        <v>27</v>
      </c>
      <c r="D153" s="79" t="s">
        <v>328</v>
      </c>
      <c r="E153" s="71">
        <f>SUMIF(Adat!$AI:$AI,CONCATENATE(61,$M$4,"093",L131),Adat!$E:$E)*-1</f>
        <v>0</v>
      </c>
      <c r="F153" s="71">
        <f>SUMIF(Adat!$AI:$AI,CONCATENATE(60,$M$4,"093",L131),Adat!$E:$E)*-1+E153</f>
        <v>0</v>
      </c>
      <c r="G153" s="71">
        <f>SUMIF(Adat!$AJ:$AJ,CONCATENATE($M$4,"093","(KÖT)",L131),Adat!$E:$E)*-1</f>
        <v>0</v>
      </c>
      <c r="H153" s="71">
        <f>SUMIF(Adat!$AJ:$AJ,CONCATENATE($M$4,"093","(ÖNV)",L131),Adat!$E:$E)*-1</f>
        <v>0</v>
      </c>
      <c r="I153" s="71">
        <f>SUMIF(Adat!$AJ:$AJ,CONCATENATE($M$4,"093","(ÁIG)",L131),Adat!$E:$E)*-1</f>
        <v>0</v>
      </c>
    </row>
    <row r="154" spans="2:9" x14ac:dyDescent="0.25">
      <c r="B154" s="160">
        <v>21</v>
      </c>
      <c r="C154" s="79" t="s">
        <v>24</v>
      </c>
      <c r="D154" s="79" t="s">
        <v>449</v>
      </c>
      <c r="E154" s="121">
        <f>SUM(E155:E157)</f>
        <v>0</v>
      </c>
      <c r="F154" s="121">
        <f t="shared" ref="F154:I154" si="9">SUM(F155:F157)</f>
        <v>0</v>
      </c>
      <c r="G154" s="121">
        <f t="shared" si="9"/>
        <v>0</v>
      </c>
      <c r="H154" s="121">
        <f t="shared" si="9"/>
        <v>0</v>
      </c>
      <c r="I154" s="121">
        <f t="shared" si="9"/>
        <v>0</v>
      </c>
    </row>
    <row r="155" spans="2:9" x14ac:dyDescent="0.2">
      <c r="B155" s="160">
        <v>22</v>
      </c>
      <c r="C155" s="305" t="s">
        <v>1339</v>
      </c>
      <c r="D155" s="82" t="s">
        <v>1340</v>
      </c>
      <c r="E155" s="72">
        <f>SUMIF(Adat!$AG:$AG,CONCATENATE(61,$M$4,"09211",L131),Adat!$E:$E)*-1</f>
        <v>0</v>
      </c>
      <c r="F155" s="72">
        <f>SUMIF(Adat!$AG:$AG,CONCATENATE(60,$M$4,"09211",L131),Adat!$E:$E)*-1+E155</f>
        <v>0</v>
      </c>
      <c r="G155" s="72">
        <f>SUMIF(Adat!$AH:$AH,CONCATENATE($M$4,"(KÖT)","09211",L131),Adat!$E:$E)*-1</f>
        <v>0</v>
      </c>
      <c r="H155" s="72">
        <f>SUMIF(Adat!$AH:$AH,CONCATENATE($M$4,"(ÖNV)","09211",L131),Adat!$E:$E)*-1</f>
        <v>0</v>
      </c>
      <c r="I155" s="72">
        <f>SUMIF(Adat!$AH:$AH,CONCATENATE($M$4,"(ÁIG)","09211",L131),Adat!$E:$E)*-1</f>
        <v>0</v>
      </c>
    </row>
    <row r="156" spans="2:9" x14ac:dyDescent="0.2">
      <c r="B156" s="160">
        <v>23</v>
      </c>
      <c r="C156" s="305" t="s">
        <v>1345</v>
      </c>
      <c r="D156" s="82" t="s">
        <v>1346</v>
      </c>
      <c r="E156" s="72">
        <f>SUMIF(Adat!$AG:$AG,CONCATENATE(61,$M$4,"09241",L131),Adat!$E:$E)*-1</f>
        <v>0</v>
      </c>
      <c r="F156" s="72">
        <f>SUMIF(Adat!$AG:$AG,CONCATENATE(60,$M$4,"09241",L131),Adat!$E:$E)*-1+E156</f>
        <v>0</v>
      </c>
      <c r="G156" s="72">
        <f>SUMIF(Adat!$AH:$AH,CONCATENATE($M$4,"(KÖT)","09241",L131),Adat!$E:$E)*-1</f>
        <v>0</v>
      </c>
      <c r="H156" s="72">
        <f>SUMIF(Adat!$AH:$AH,CONCATENATE($M$4,"(ÖNV)","09241",L131),Adat!$E:$E)*-1</f>
        <v>0</v>
      </c>
      <c r="I156" s="72">
        <f>SUMIF(Adat!$AH:$AH,CONCATENATE($M$4,"(ÁIG)","09241",L131),Adat!$E:$E)*-1</f>
        <v>0</v>
      </c>
    </row>
    <row r="157" spans="2:9" x14ac:dyDescent="0.2">
      <c r="B157" s="160">
        <v>24</v>
      </c>
      <c r="C157" s="305" t="s">
        <v>1255</v>
      </c>
      <c r="D157" s="82" t="s">
        <v>1347</v>
      </c>
      <c r="E157" s="72">
        <f>SUMIF(Adat!$AG:$AG,CONCATENATE(61,$M$4,"09251",L131),Adat!$E:$E)*-1</f>
        <v>0</v>
      </c>
      <c r="F157" s="72">
        <f>SUMIF(Adat!$AG:$AG,CONCATENATE(60,$M$4,"09251",L131),Adat!$E:$E)*-1+E157</f>
        <v>0</v>
      </c>
      <c r="G157" s="72">
        <f>SUMIF(Adat!$AH:$AH,CONCATENATE($M$4,"(KÖT)","09251",L131),Adat!$E:$E)*-1</f>
        <v>0</v>
      </c>
      <c r="H157" s="72">
        <f>SUMIF(Adat!$AH:$AH,CONCATENATE($M$4,"(ÖNV)","09251",L131),Adat!$E:$E)*-1</f>
        <v>0</v>
      </c>
      <c r="I157" s="72">
        <f>SUMIF(Adat!$AH:$AH,CONCATENATE($M$4,"(ÁIG)","09251",L131),Adat!$E:$E)*-1</f>
        <v>0</v>
      </c>
    </row>
    <row r="158" spans="2:9" x14ac:dyDescent="0.25">
      <c r="B158" s="160">
        <v>25</v>
      </c>
      <c r="C158" s="79" t="s">
        <v>33</v>
      </c>
      <c r="D158" s="79" t="s">
        <v>330</v>
      </c>
      <c r="E158" s="121">
        <f>SUM(E159:E161)</f>
        <v>0</v>
      </c>
      <c r="F158" s="121">
        <f t="shared" ref="F158:I158" si="10">SUM(F159:F161)</f>
        <v>0</v>
      </c>
      <c r="G158" s="121">
        <f t="shared" si="10"/>
        <v>0</v>
      </c>
      <c r="H158" s="121">
        <f t="shared" si="10"/>
        <v>0</v>
      </c>
      <c r="I158" s="121">
        <f t="shared" si="10"/>
        <v>0</v>
      </c>
    </row>
    <row r="159" spans="2:9" x14ac:dyDescent="0.2">
      <c r="B159" s="160">
        <v>26</v>
      </c>
      <c r="C159" s="305" t="s">
        <v>1373</v>
      </c>
      <c r="D159" s="82" t="s">
        <v>1374</v>
      </c>
      <c r="E159" s="72">
        <f>SUMIF(Adat!$AG:$AG,CONCATENATE(61,$M$4,"09511",L131),Adat!$E:$E)*-1</f>
        <v>0</v>
      </c>
      <c r="F159" s="72">
        <f>SUMIF(Adat!$AG:$AG,CONCATENATE(60,$M$4,"09511",L131),Adat!$E:$E)*-1+E159</f>
        <v>0</v>
      </c>
      <c r="G159" s="72">
        <f>SUMIF(Adat!$AH:$AH,CONCATENATE($M$4,"(KÖT)","09511",L131),Adat!$E:$E)*-1</f>
        <v>0</v>
      </c>
      <c r="H159" s="72">
        <f>SUMIF(Adat!$AH:$AH,CONCATENATE($M$4,"(ÖNV)","09511",L131),Adat!$E:$E)*-1</f>
        <v>0</v>
      </c>
      <c r="I159" s="72">
        <f>SUMIF(Adat!$AH:$AH,CONCATENATE($M$4,"(ÁIG)","09511",L131),Adat!$E:$E)*-1</f>
        <v>0</v>
      </c>
    </row>
    <row r="160" spans="2:9" x14ac:dyDescent="0.2">
      <c r="B160" s="160">
        <v>27</v>
      </c>
      <c r="C160" s="305" t="s">
        <v>1294</v>
      </c>
      <c r="D160" s="82" t="s">
        <v>1375</v>
      </c>
      <c r="E160" s="72">
        <f>SUMIF(Adat!$AG:$AG,CONCATENATE(61,$M$4,"09521",L131),Adat!$E:$E)*-1</f>
        <v>0</v>
      </c>
      <c r="F160" s="72">
        <f>SUMIF(Adat!$AG:$AG,CONCATENATE(60,$M$4,"09521",L131),Adat!$E:$E)*-1+E160</f>
        <v>0</v>
      </c>
      <c r="G160" s="72">
        <f>SUMIF(Adat!$AH:$AH,CONCATENATE($M$4,"(KÖT)","09521",L131),Adat!$E:$E)*-1</f>
        <v>0</v>
      </c>
      <c r="H160" s="72">
        <f>SUMIF(Adat!$AH:$AH,CONCATENATE($M$4,"(ÖNV)","09521",L131),Adat!$E:$E)*-1</f>
        <v>0</v>
      </c>
      <c r="I160" s="72">
        <f>SUMIF(Adat!$AH:$AH,CONCATENATE($M$4,"(ÁIG)","09521",L131),Adat!$E:$E)*-1</f>
        <v>0</v>
      </c>
    </row>
    <row r="161" spans="2:12" x14ac:dyDescent="0.2">
      <c r="B161" s="160">
        <v>28</v>
      </c>
      <c r="C161" s="305" t="s">
        <v>1376</v>
      </c>
      <c r="D161" s="82" t="s">
        <v>1377</v>
      </c>
      <c r="E161" s="72">
        <f>SUMIF(Adat!$AG:$AG,CONCATENATE(61,$M$4,"09531",L131),Adat!$E:$E)*-1</f>
        <v>0</v>
      </c>
      <c r="F161" s="72">
        <f>SUMIF(Adat!$AG:$AG,CONCATENATE(60,$M$4,"09531",L131),Adat!$E:$E)*-1+E161</f>
        <v>0</v>
      </c>
      <c r="G161" s="72">
        <f>SUMIF(Adat!$AH:$AH,CONCATENATE($M$4,"(KÖT)","09531",L131),Adat!$E:$E)*-1</f>
        <v>0</v>
      </c>
      <c r="H161" s="72">
        <f>SUMIF(Adat!$AH:$AH,CONCATENATE($M$4,"(ÖNV)","09531",L131),Adat!$E:$E)*-1</f>
        <v>0</v>
      </c>
      <c r="I161" s="72">
        <f>SUMIF(Adat!$AH:$AH,CONCATENATE($M$4,"(ÁIG)","09531",L131),Adat!$E:$E)*-1</f>
        <v>0</v>
      </c>
    </row>
    <row r="162" spans="2:12" x14ac:dyDescent="0.25">
      <c r="B162" s="160">
        <v>29</v>
      </c>
      <c r="C162" s="79" t="s">
        <v>36</v>
      </c>
      <c r="D162" s="79" t="s">
        <v>331</v>
      </c>
      <c r="E162" s="71">
        <f>SUMIF(Adat!$AI:$AI,CONCATENATE(61,$M$4,"096",L131),Adat!$E:$E)*-1</f>
        <v>0</v>
      </c>
      <c r="F162" s="71">
        <f>SUMIF(Adat!$AI:$AI,CONCATENATE(60,$M$4,"096",L131),Adat!$E:$E)*-1+E162</f>
        <v>0</v>
      </c>
      <c r="G162" s="71">
        <f>SUMIF(Adat!$AJ:$AJ,CONCATENATE($M$4,"096","(KÖT)",L131),Adat!$E:$E)*-1</f>
        <v>0</v>
      </c>
      <c r="H162" s="71">
        <f>SUMIF(Adat!$AJ:$AJ,CONCATENATE($M$4,"096","(ÖNV)",L131),Adat!$E:$E)*-1</f>
        <v>0</v>
      </c>
      <c r="I162" s="71">
        <f>SUMIF(Adat!$AJ:$AJ,CONCATENATE($M$4,"096","(ÁIG)",L131),Adat!$E:$E)*-1</f>
        <v>0</v>
      </c>
    </row>
    <row r="163" spans="2:12" x14ac:dyDescent="0.25">
      <c r="B163" s="160">
        <v>30</v>
      </c>
      <c r="C163" s="79" t="s">
        <v>38</v>
      </c>
      <c r="D163" s="85" t="s">
        <v>332</v>
      </c>
      <c r="E163" s="71">
        <f>SUMIF(Adat!$AI:$AI,CONCATENATE(61,$M$4,"097",L131),Adat!$E:$E)*-1</f>
        <v>0</v>
      </c>
      <c r="F163" s="71">
        <f>SUMIF(Adat!$AI:$AI,CONCATENATE(60,$M$4,"097",L131),Adat!$E:$E)*-1+E163</f>
        <v>0</v>
      </c>
      <c r="G163" s="71">
        <f>SUMIF(Adat!$AJ:$AJ,CONCATENATE($M$4,"097","(KÖT)",L131),Adat!$E:$E)*-1</f>
        <v>0</v>
      </c>
      <c r="H163" s="71">
        <f>SUMIF(Adat!$AJ:$AJ,CONCATENATE($M$4,"097","(ÖNV)",L131),Adat!$E:$E)*-1</f>
        <v>0</v>
      </c>
      <c r="I163" s="71">
        <f>SUMIF(Adat!$AJ:$AJ,CONCATENATE($M$4,"097","(ÁIG)",L131),Adat!$E:$E)*-1</f>
        <v>0</v>
      </c>
    </row>
    <row r="164" spans="2:12" x14ac:dyDescent="0.25">
      <c r="B164" s="160">
        <v>31</v>
      </c>
      <c r="C164" s="154" t="s">
        <v>352</v>
      </c>
      <c r="D164" s="86" t="s">
        <v>1500</v>
      </c>
      <c r="E164" s="121">
        <f>E135+E149+E153+E154+E158+E162+E163</f>
        <v>0</v>
      </c>
      <c r="F164" s="121">
        <f>F135+F149+F153+F154+F158+F162+F163</f>
        <v>0</v>
      </c>
      <c r="G164" s="121">
        <f>G135+G149+G153+G154+G158+G162+G163</f>
        <v>0</v>
      </c>
      <c r="H164" s="121">
        <f>H135+H149+H153+H154+H158+H162+H163</f>
        <v>0</v>
      </c>
      <c r="I164" s="121">
        <f>I135+I149+I153+I154+I158+I162+I163</f>
        <v>0</v>
      </c>
    </row>
    <row r="165" spans="2:12" x14ac:dyDescent="0.25">
      <c r="B165" s="160">
        <v>32</v>
      </c>
      <c r="C165" s="154" t="s">
        <v>358</v>
      </c>
      <c r="D165" s="86" t="s">
        <v>333</v>
      </c>
      <c r="E165" s="121">
        <f>SUM(E166:E168)</f>
        <v>0</v>
      </c>
      <c r="F165" s="121">
        <f t="shared" ref="F165:I165" si="11">SUM(F166:F168)</f>
        <v>0</v>
      </c>
      <c r="G165" s="121">
        <f t="shared" si="11"/>
        <v>0</v>
      </c>
      <c r="H165" s="121">
        <f t="shared" si="11"/>
        <v>0</v>
      </c>
      <c r="I165" s="121">
        <f t="shared" si="11"/>
        <v>0</v>
      </c>
    </row>
    <row r="166" spans="2:12" x14ac:dyDescent="0.2">
      <c r="B166" s="160">
        <v>33</v>
      </c>
      <c r="C166" s="305" t="s">
        <v>1274</v>
      </c>
      <c r="D166" s="82" t="s">
        <v>1419</v>
      </c>
      <c r="E166" s="72">
        <f>SUMIF(Adat!$AG:$AG,CONCATENATE(61,$M$4,"0981311",L131),Adat!$E:$E)*-1</f>
        <v>0</v>
      </c>
      <c r="F166" s="72">
        <f>SUMIF(Adat!$AG:$AG,CONCATENATE(60,$M$4,"0981311",L131),Adat!$E:$E)*-1+E166</f>
        <v>0</v>
      </c>
      <c r="G166" s="72">
        <f>SUMIF(Adat!$AH:$AH,CONCATENATE($M$4,"(KÖT)","0981311",L131),Adat!$E:$E)*-1</f>
        <v>0</v>
      </c>
      <c r="H166" s="72">
        <f>SUMIF(Adat!$AH:$AH,CONCATENATE($M$4,"(ÖNV)","0981311",L131),Adat!$E:$E)*-1</f>
        <v>0</v>
      </c>
      <c r="I166" s="72">
        <f>SUMIF(Adat!$AH:$AH,CONCATENATE($M$4,"(ÁIG)","0981311",L131),Adat!$E:$E)*-1</f>
        <v>0</v>
      </c>
    </row>
    <row r="167" spans="2:12" x14ac:dyDescent="0.25">
      <c r="B167" s="160">
        <v>34</v>
      </c>
      <c r="C167" s="305" t="s">
        <v>1420</v>
      </c>
      <c r="D167" s="84" t="s">
        <v>1421</v>
      </c>
      <c r="E167" s="72">
        <f>SUMIF(Adat!$AG:$AG,CONCATENATE(61,$M$4,"0981321",L131),Adat!$E:$E)*-1</f>
        <v>0</v>
      </c>
      <c r="F167" s="72">
        <f>SUMIF(Adat!$AG:$AG,CONCATENATE(60,$M$4,"0981321",L131),Adat!$E:$E)*-1+E167</f>
        <v>0</v>
      </c>
      <c r="G167" s="72">
        <f>SUMIF(Adat!$AH:$AH,CONCATENATE($M$4,"(KÖT)","0981321",L131),Adat!$E:$E)*-1</f>
        <v>0</v>
      </c>
      <c r="H167" s="72">
        <f>SUMIF(Adat!$AH:$AH,CONCATENATE($M$4,"(ÖNV)","0981321",L131),Adat!$E:$E)*-1</f>
        <v>0</v>
      </c>
      <c r="I167" s="72">
        <f>SUMIF(Adat!$AH:$AH,CONCATENATE($M$4,"(ÁIG)","0981321",L131),Adat!$E:$E)*-1</f>
        <v>0</v>
      </c>
    </row>
    <row r="168" spans="2:12" x14ac:dyDescent="0.25">
      <c r="B168" s="160">
        <v>35</v>
      </c>
      <c r="C168" s="319" t="s">
        <v>1275</v>
      </c>
      <c r="D168" s="84" t="s">
        <v>1501</v>
      </c>
      <c r="E168" s="72">
        <f>SUMIF(Adat!$AG:$AG,CONCATENATE(61,$M$4,"098161",L131),Adat!$E:$E)*-1</f>
        <v>0</v>
      </c>
      <c r="F168" s="72">
        <f>SUMIF(Adat!$AG:$AG,CONCATENATE(60,$M$4,"098161",L131),Adat!$E:$E)*-1+E168</f>
        <v>0</v>
      </c>
      <c r="G168" s="72">
        <f>SUMIF(Adat!$AH:$AH,CONCATENATE($M$4,"(KÖT)","098161",L131),Adat!$E:$E)*-1</f>
        <v>0</v>
      </c>
      <c r="H168" s="72">
        <f>SUMIF(Adat!$AH:$AH,CONCATENATE($M$4,"(ÖNV)","098161",L131),Adat!$E:$E)*-1</f>
        <v>0</v>
      </c>
      <c r="I168" s="72">
        <f>SUMIF(Adat!$AH:$AH,CONCATENATE($M$4,"(ÁIG)","098161",L131),Adat!$E:$E)*-1</f>
        <v>0</v>
      </c>
    </row>
    <row r="169" spans="2:12" x14ac:dyDescent="0.25">
      <c r="B169" s="160">
        <v>36</v>
      </c>
      <c r="C169" s="154" t="s">
        <v>364</v>
      </c>
      <c r="D169" s="159" t="s">
        <v>1502</v>
      </c>
      <c r="E169" s="121">
        <f>+E164+E165</f>
        <v>0</v>
      </c>
      <c r="F169" s="121">
        <f>+F164+F165</f>
        <v>0</v>
      </c>
      <c r="G169" s="121">
        <f>+G164+G165</f>
        <v>0</v>
      </c>
      <c r="H169" s="121">
        <f>+H164+H165</f>
        <v>0</v>
      </c>
      <c r="I169" s="121">
        <f>+I164+I165</f>
        <v>0</v>
      </c>
    </row>
    <row r="170" spans="2:12" ht="15.75" x14ac:dyDescent="0.25">
      <c r="B170" s="38"/>
      <c r="C170" s="156"/>
      <c r="D170" s="38"/>
      <c r="E170" s="140"/>
      <c r="F170" s="140"/>
      <c r="G170" s="140"/>
      <c r="H170" s="140"/>
      <c r="I170" s="140"/>
    </row>
    <row r="171" spans="2:12" s="10" customFormat="1" ht="15.75" customHeight="1" x14ac:dyDescent="0.25">
      <c r="B171" s="201" t="str">
        <f>CONCATENATE("6. Kiadási jogcímek"," - ",L171," részletező")</f>
        <v>6. Kiadási jogcímek -  részletező</v>
      </c>
      <c r="C171" s="101"/>
      <c r="D171" s="101"/>
      <c r="E171" s="101"/>
      <c r="F171" s="101"/>
      <c r="G171" s="198"/>
      <c r="H171" s="198"/>
      <c r="I171" s="198"/>
      <c r="L171" s="384"/>
    </row>
    <row r="172" spans="2:12" ht="15.75" x14ac:dyDescent="0.25">
      <c r="B172" s="38"/>
      <c r="C172" s="156"/>
      <c r="D172" s="38"/>
      <c r="E172" s="140"/>
      <c r="F172" s="140"/>
      <c r="G172" s="140"/>
      <c r="H172" s="140"/>
      <c r="I172" s="140"/>
    </row>
    <row r="173" spans="2:12" x14ac:dyDescent="0.25">
      <c r="B173" s="77"/>
      <c r="C173" s="77" t="s">
        <v>350</v>
      </c>
      <c r="D173" s="77" t="s">
        <v>351</v>
      </c>
      <c r="E173" s="77" t="s">
        <v>470</v>
      </c>
      <c r="F173" s="77" t="s">
        <v>471</v>
      </c>
      <c r="G173" s="77" t="s">
        <v>44</v>
      </c>
      <c r="H173" s="77" t="s">
        <v>42</v>
      </c>
      <c r="I173" s="77" t="s">
        <v>511</v>
      </c>
    </row>
    <row r="174" spans="2:12" ht="38.25" x14ac:dyDescent="0.25">
      <c r="B174" s="160">
        <v>1</v>
      </c>
      <c r="C174" s="154" t="s">
        <v>593</v>
      </c>
      <c r="D174" s="154" t="s">
        <v>488</v>
      </c>
      <c r="E174" s="163" t="str">
        <f>CONCATENATE(PAR!$H$3," évi
eredeti 
előirányzat")</f>
        <v>2025. évi
eredeti 
előirányzat</v>
      </c>
      <c r="F174" s="163" t="str">
        <f>CONCATENATE(PAR!$H$3," évi
módosított 
előirányzat")</f>
        <v>2025. évi
módosított 
előirányzat</v>
      </c>
      <c r="G174" s="78" t="s">
        <v>666</v>
      </c>
      <c r="H174" s="78" t="s">
        <v>667</v>
      </c>
      <c r="I174" s="78" t="s">
        <v>668</v>
      </c>
    </row>
    <row r="175" spans="2:12" x14ac:dyDescent="0.25">
      <c r="B175" s="160">
        <v>2</v>
      </c>
      <c r="C175" s="78" t="s">
        <v>352</v>
      </c>
      <c r="D175" s="92" t="s">
        <v>1444</v>
      </c>
      <c r="E175" s="121">
        <f>SUM(E176:E180)</f>
        <v>0</v>
      </c>
      <c r="F175" s="121">
        <f>SUM(F176:F180)</f>
        <v>0</v>
      </c>
      <c r="G175" s="121">
        <f>SUM(G176:G180)</f>
        <v>0</v>
      </c>
      <c r="H175" s="121">
        <f>SUM(H176:H180)</f>
        <v>0</v>
      </c>
      <c r="I175" s="121">
        <f>SUM(I176:I180)</f>
        <v>0</v>
      </c>
    </row>
    <row r="176" spans="2:12" x14ac:dyDescent="0.25">
      <c r="B176" s="160">
        <v>3</v>
      </c>
      <c r="C176" s="305" t="s">
        <v>315</v>
      </c>
      <c r="D176" s="93" t="s">
        <v>342</v>
      </c>
      <c r="E176" s="72">
        <f>SUMIF(Adat!$AI:$AI,CONCATENATE(61,$M$4,"051",L171),Adat!$E:$E)</f>
        <v>0</v>
      </c>
      <c r="F176" s="72">
        <f>SUMIF(Adat!$AI:$AI,CONCATENATE(60,$M$4,"051",L171),Adat!$E:$E)+E176</f>
        <v>0</v>
      </c>
      <c r="G176" s="72">
        <f>SUMIF(Adat!$AJ:$AJ,CONCATENATE($M$4,"051","(KÖT)",L171),Adat!$E:$E)</f>
        <v>0</v>
      </c>
      <c r="H176" s="72">
        <f>SUMIF(Adat!$AJ:$AJ,CONCATENATE($M$4,"051","(ÖNV)",L171),Adat!$E:$E)</f>
        <v>0</v>
      </c>
      <c r="I176" s="72">
        <f>SUMIF(Adat!$AJ:$AJ,CONCATENATE($M$4,"051","(ÁIG)",L171),Adat!$E:$E)</f>
        <v>0</v>
      </c>
    </row>
    <row r="177" spans="2:9" x14ac:dyDescent="0.25">
      <c r="B177" s="160">
        <v>4</v>
      </c>
      <c r="C177" s="305" t="s">
        <v>317</v>
      </c>
      <c r="D177" s="93" t="s">
        <v>395</v>
      </c>
      <c r="E177" s="72">
        <f>SUMIF(Adat!$AI:$AI,CONCATENATE(61,$M$4,"052",L171),Adat!$E:$E)</f>
        <v>0</v>
      </c>
      <c r="F177" s="72">
        <f>SUMIF(Adat!$AI:$AI,CONCATENATE(60,$M$4,"052",L171),Adat!$E:$E)+E177</f>
        <v>0</v>
      </c>
      <c r="G177" s="72">
        <f>SUMIF(Adat!$AJ:$AJ,CONCATENATE($M$4,"052","(KÖT)",L171),Adat!$E:$E)</f>
        <v>0</v>
      </c>
      <c r="H177" s="72">
        <f>SUMIF(Adat!$AJ:$AJ,CONCATENATE($M$4,"052","(ÖNV)",L171),Adat!$E:$E)</f>
        <v>0</v>
      </c>
      <c r="I177" s="72">
        <f>SUMIF(Adat!$AJ:$AJ,CONCATENATE($M$4,"052","(ÁIG)",L171),Adat!$E:$E)</f>
        <v>0</v>
      </c>
    </row>
    <row r="178" spans="2:9" x14ac:dyDescent="0.25">
      <c r="B178" s="160">
        <v>5</v>
      </c>
      <c r="C178" s="305" t="s">
        <v>4</v>
      </c>
      <c r="D178" s="93" t="s">
        <v>344</v>
      </c>
      <c r="E178" s="72">
        <f>SUMIF(Adat!$AI:$AI,CONCATENATE(61,$M$4,"053",L171),Adat!$E:$E)</f>
        <v>0</v>
      </c>
      <c r="F178" s="72">
        <f>SUMIF(Adat!$AI:$AI,CONCATENATE(60,$M$4,"053",L171),Adat!$E:$E)+E178</f>
        <v>0</v>
      </c>
      <c r="G178" s="72">
        <f>SUMIF(Adat!$AJ:$AJ,CONCATENATE($M$4,"053","(KÖT)",L171),Adat!$E:$E)</f>
        <v>0</v>
      </c>
      <c r="H178" s="72">
        <f>SUMIF(Adat!$AJ:$AJ,CONCATENATE($M$4,"053","(ÖNV)",L171),Adat!$E:$E)</f>
        <v>0</v>
      </c>
      <c r="I178" s="72">
        <f>SUMIF(Adat!$AJ:$AJ,CONCATENATE($M$4,"053","(ÁIG)",L171),Adat!$E:$E)</f>
        <v>0</v>
      </c>
    </row>
    <row r="179" spans="2:9" x14ac:dyDescent="0.25">
      <c r="B179" s="160">
        <v>6</v>
      </c>
      <c r="C179" s="305" t="s">
        <v>6</v>
      </c>
      <c r="D179" s="93" t="s">
        <v>345</v>
      </c>
      <c r="E179" s="72">
        <f>SUMIF(Adat!$AI:$AI,CONCATENATE(61,$M$4,"054",L171),Adat!$E:$E)</f>
        <v>0</v>
      </c>
      <c r="F179" s="72">
        <f>SUMIF(Adat!$AI:$AI,CONCATENATE(60,$M$4,"054",L171),Adat!$E:$E)+E179</f>
        <v>0</v>
      </c>
      <c r="G179" s="72">
        <f>SUMIF(Adat!$AJ:$AJ,CONCATENATE($M$4,"054","(KÖT)",L171),Adat!$E:$E)</f>
        <v>0</v>
      </c>
      <c r="H179" s="72">
        <f>SUMIF(Adat!$AJ:$AJ,CONCATENATE($M$4,"054","(ÖNV)",L171),Adat!$E:$E)</f>
        <v>0</v>
      </c>
      <c r="I179" s="72">
        <f>SUMIF(Adat!$AJ:$AJ,CONCATENATE($M$4,"054","(ÁIG)",L171),Adat!$E:$E)</f>
        <v>0</v>
      </c>
    </row>
    <row r="180" spans="2:9" x14ac:dyDescent="0.25">
      <c r="B180" s="160">
        <v>7</v>
      </c>
      <c r="C180" s="305" t="s">
        <v>8</v>
      </c>
      <c r="D180" s="93" t="s">
        <v>321</v>
      </c>
      <c r="E180" s="72">
        <f>SUMIF(Adat!$AI:$AI,CONCATENATE(61,$M$4,"055",L171),Adat!$E:$E)</f>
        <v>0</v>
      </c>
      <c r="F180" s="72">
        <f>SUMIF(Adat!$AI:$AI,CONCATENATE(60,$M$4,"055",L171),Adat!$E:$E)+E180</f>
        <v>0</v>
      </c>
      <c r="G180" s="72">
        <f>SUMIF(Adat!$AJ:$AJ,CONCATENATE($M$4,"055","(KÖT)",L171),Adat!$E:$E)</f>
        <v>0</v>
      </c>
      <c r="H180" s="72">
        <f>SUMIF(Adat!$AJ:$AJ,CONCATENATE($M$4,"055","(ÖNV)",L171),Adat!$E:$E)</f>
        <v>0</v>
      </c>
      <c r="I180" s="72">
        <f>SUMIF(Adat!$AJ:$AJ,CONCATENATE($M$4,"055","(ÁIG)",L171),Adat!$E:$E)</f>
        <v>0</v>
      </c>
    </row>
    <row r="181" spans="2:9" x14ac:dyDescent="0.25">
      <c r="B181" s="160">
        <v>8</v>
      </c>
      <c r="C181" s="78" t="s">
        <v>358</v>
      </c>
      <c r="D181" s="92" t="s">
        <v>1447</v>
      </c>
      <c r="E181" s="121">
        <f>E182+E184+E186</f>
        <v>0</v>
      </c>
      <c r="F181" s="121">
        <f>F182+F184+F186</f>
        <v>0</v>
      </c>
      <c r="G181" s="121">
        <f>G182+G184+G186</f>
        <v>0</v>
      </c>
      <c r="H181" s="121">
        <f>H182+H184+H186</f>
        <v>0</v>
      </c>
      <c r="I181" s="121">
        <f>I182+I184+I186</f>
        <v>0</v>
      </c>
    </row>
    <row r="182" spans="2:9" x14ac:dyDescent="0.25">
      <c r="B182" s="160">
        <v>9</v>
      </c>
      <c r="C182" s="305" t="s">
        <v>10</v>
      </c>
      <c r="D182" s="93" t="s">
        <v>322</v>
      </c>
      <c r="E182" s="72">
        <f>SUMIF(Adat!$AI:$AI,CONCATENATE(61,$M$4,"056",L171),Adat!$E:$E)</f>
        <v>0</v>
      </c>
      <c r="F182" s="72">
        <f>SUMIF(Adat!$AI:$AI,CONCATENATE(60,$M$4,"056",L171),Adat!$E:$E)+E182</f>
        <v>0</v>
      </c>
      <c r="G182" s="72">
        <f>SUMIF(Adat!$AJ:$AJ,CONCATENATE($M$4,"056","(KÖT)",L171),Adat!$E:$E)</f>
        <v>0</v>
      </c>
      <c r="H182" s="72">
        <f>SUMIF(Adat!$AJ:$AJ,CONCATENATE($M$4,"056","(ÖNV)",L171),Adat!$E:$E)</f>
        <v>0</v>
      </c>
      <c r="I182" s="72">
        <f>SUMIF(Adat!$AJ:$AJ,CONCATENATE($M$4,"056","(ÁIG)",L171),Adat!$E:$E)</f>
        <v>0</v>
      </c>
    </row>
    <row r="183" spans="2:9" x14ac:dyDescent="0.25">
      <c r="B183" s="160">
        <v>10</v>
      </c>
      <c r="C183" s="305" t="s">
        <v>10</v>
      </c>
      <c r="D183" s="93" t="s">
        <v>1448</v>
      </c>
      <c r="E183" s="72">
        <v>0</v>
      </c>
      <c r="F183" s="72">
        <f>SUM(G183:I183)</f>
        <v>0</v>
      </c>
      <c r="G183" s="72">
        <v>0</v>
      </c>
      <c r="H183" s="72">
        <v>0</v>
      </c>
      <c r="I183" s="72">
        <v>0</v>
      </c>
    </row>
    <row r="184" spans="2:9" x14ac:dyDescent="0.25">
      <c r="B184" s="160">
        <v>11</v>
      </c>
      <c r="C184" s="305" t="s">
        <v>12</v>
      </c>
      <c r="D184" s="93" t="s">
        <v>323</v>
      </c>
      <c r="E184" s="72">
        <f>SUMIF(Adat!$AI:$AI,CONCATENATE(61,$M$4,"057",L171),Adat!$E:$E)</f>
        <v>0</v>
      </c>
      <c r="F184" s="72">
        <f>SUMIF(Adat!$AI:$AI,CONCATENATE(60,$M$4,"057",L171),Adat!$E:$E)+E184</f>
        <v>0</v>
      </c>
      <c r="G184" s="72">
        <f>SUMIF(Adat!$AJ:$AJ,CONCATENATE($M$4,"057","(KÖT)",L171),Adat!$E:$E)</f>
        <v>0</v>
      </c>
      <c r="H184" s="72">
        <f>SUMIF(Adat!$AJ:$AJ,CONCATENATE($M$4,"057","(ÖNV)",L171),Adat!$E:$E)</f>
        <v>0</v>
      </c>
      <c r="I184" s="72">
        <f>SUMIF(Adat!$AJ:$AJ,CONCATENATE($M$4,"057","(ÁIG)",L171),Adat!$E:$E)</f>
        <v>0</v>
      </c>
    </row>
    <row r="185" spans="2:9" x14ac:dyDescent="0.25">
      <c r="B185" s="160">
        <v>12</v>
      </c>
      <c r="C185" s="305" t="s">
        <v>12</v>
      </c>
      <c r="D185" s="93" t="s">
        <v>1449</v>
      </c>
      <c r="E185" s="72">
        <v>0</v>
      </c>
      <c r="F185" s="72">
        <f>SUM(G185:I185)</f>
        <v>0</v>
      </c>
      <c r="G185" s="72">
        <v>0</v>
      </c>
      <c r="H185" s="72">
        <v>0</v>
      </c>
      <c r="I185" s="72">
        <v>0</v>
      </c>
    </row>
    <row r="186" spans="2:9" x14ac:dyDescent="0.25">
      <c r="B186" s="160">
        <v>13</v>
      </c>
      <c r="C186" s="305" t="s">
        <v>15</v>
      </c>
      <c r="D186" s="84" t="s">
        <v>324</v>
      </c>
      <c r="E186" s="72">
        <f>SUMIF(Adat!$AI:$AI,CONCATENATE(61,$M$4,"058",L171),Adat!$E:$E)</f>
        <v>0</v>
      </c>
      <c r="F186" s="72">
        <f>SUMIF(Adat!$AI:$AI,CONCATENATE(60,$M$4,"058",L171),Adat!$E:$E)+E186</f>
        <v>0</v>
      </c>
      <c r="G186" s="72">
        <f>SUMIF(Adat!$AJ:$AJ,CONCATENATE($M$4,"058","(KÖT)",L171),Adat!$E:$E)</f>
        <v>0</v>
      </c>
      <c r="H186" s="72">
        <f>SUMIF(Adat!$AJ:$AJ,CONCATENATE($M$4,"058","(ÖNV)",L171),Adat!$E:$E)</f>
        <v>0</v>
      </c>
      <c r="I186" s="72">
        <f>SUMIF(Adat!$AJ:$AJ,CONCATENATE($M$4,"058","(ÁIG)",L171),Adat!$E:$E)</f>
        <v>0</v>
      </c>
    </row>
    <row r="187" spans="2:9" x14ac:dyDescent="0.25">
      <c r="B187" s="160">
        <v>14</v>
      </c>
      <c r="C187" s="154" t="s">
        <v>364</v>
      </c>
      <c r="D187" s="86" t="s">
        <v>325</v>
      </c>
      <c r="E187" s="71">
        <f>SUMIF(Adat!$AI:$AI,CONCATENATE(61,$M$4,"059",L171),Adat!$E:$E)</f>
        <v>0</v>
      </c>
      <c r="F187" s="71">
        <f>SUMIF(Adat!$AI:$AI,CONCATENATE(60,$M$4,"059",L171),Adat!$E:$E)+E187</f>
        <v>0</v>
      </c>
      <c r="G187" s="71">
        <f>SUMIF(Adat!$AJ:$AJ,CONCATENATE($M$4,"059","(KÖT)",L171),Adat!$E:$E)</f>
        <v>0</v>
      </c>
      <c r="H187" s="71">
        <f>SUMIF(Adat!$AJ:$AJ,CONCATENATE($M$4,"059","(ÖNV)",L171),Adat!$E:$E)</f>
        <v>0</v>
      </c>
      <c r="I187" s="71">
        <f>SUMIF(Adat!$AJ:$AJ,CONCATENATE($M$4,"059","(ÁIG)",L171),Adat!$E:$E)</f>
        <v>0</v>
      </c>
    </row>
    <row r="188" spans="2:9" x14ac:dyDescent="0.25">
      <c r="B188" s="160">
        <v>15</v>
      </c>
      <c r="C188" s="154" t="s">
        <v>403</v>
      </c>
      <c r="D188" s="159" t="s">
        <v>497</v>
      </c>
      <c r="E188" s="121">
        <f>E175+E181+E187</f>
        <v>0</v>
      </c>
      <c r="F188" s="121">
        <f>F175+F181+F187</f>
        <v>0</v>
      </c>
      <c r="G188" s="121">
        <f>G175+G181+G187</f>
        <v>0</v>
      </c>
      <c r="H188" s="121">
        <f>H175+H181+H187</f>
        <v>0</v>
      </c>
      <c r="I188" s="121">
        <f>I175+I181+I187</f>
        <v>0</v>
      </c>
    </row>
    <row r="189" spans="2:9" ht="15.75" x14ac:dyDescent="0.25">
      <c r="B189" s="37"/>
      <c r="C189" s="529"/>
      <c r="D189" s="529"/>
      <c r="E189" s="529"/>
      <c r="F189" s="200"/>
      <c r="G189" s="200"/>
      <c r="H189" s="200"/>
      <c r="I189" s="200"/>
    </row>
    <row r="190" spans="2:9" ht="15.75" x14ac:dyDescent="0.25">
      <c r="B190" s="525" t="str">
        <f>$N$4</f>
        <v>Nagymarosi Polgármesteri Hivatal</v>
      </c>
      <c r="C190" s="525"/>
      <c r="D190" s="525"/>
      <c r="E190" s="525"/>
      <c r="F190" s="525"/>
      <c r="G190" s="525"/>
      <c r="H190" s="525"/>
      <c r="I190" s="525"/>
    </row>
    <row r="191" spans="2:9" ht="15.75" x14ac:dyDescent="0.25">
      <c r="B191" s="525" t="s">
        <v>2660</v>
      </c>
      <c r="C191" s="525"/>
      <c r="D191" s="525"/>
      <c r="E191" s="525"/>
      <c r="F191" s="525"/>
      <c r="G191" s="525"/>
      <c r="H191" s="525"/>
      <c r="I191" s="525"/>
    </row>
    <row r="192" spans="2:9" ht="15.75" x14ac:dyDescent="0.25">
      <c r="B192" s="38"/>
      <c r="C192" s="156"/>
      <c r="D192" s="38"/>
      <c r="E192" s="140"/>
      <c r="F192" s="140"/>
      <c r="G192" s="140"/>
      <c r="H192" s="140"/>
      <c r="I192" s="140"/>
    </row>
    <row r="193" spans="2:12" s="10" customFormat="1" ht="15.75" customHeight="1" x14ac:dyDescent="0.25">
      <c r="B193" s="201" t="str">
        <f>CONCATENATE("7. Bevételi jogcímek"," - ",L193," részletező")</f>
        <v>7. Bevételi jogcímek -  részletező</v>
      </c>
      <c r="C193" s="101"/>
      <c r="D193" s="101"/>
      <c r="E193" s="101"/>
      <c r="F193" s="101"/>
      <c r="G193" s="198"/>
      <c r="H193" s="198"/>
      <c r="I193" s="198"/>
      <c r="L193" s="384"/>
    </row>
    <row r="194" spans="2:12" ht="15.75" x14ac:dyDescent="0.25">
      <c r="B194" s="38"/>
      <c r="C194" s="156"/>
      <c r="D194" s="38"/>
      <c r="E194" s="140"/>
      <c r="F194" s="140"/>
      <c r="G194" s="140"/>
      <c r="H194" s="140"/>
      <c r="I194" s="140"/>
    </row>
    <row r="195" spans="2:12" x14ac:dyDescent="0.25">
      <c r="B195" s="77"/>
      <c r="C195" s="77" t="s">
        <v>350</v>
      </c>
      <c r="D195" s="77" t="s">
        <v>351</v>
      </c>
      <c r="E195" s="77" t="s">
        <v>470</v>
      </c>
      <c r="F195" s="77" t="s">
        <v>471</v>
      </c>
      <c r="G195" s="77" t="s">
        <v>44</v>
      </c>
      <c r="H195" s="77" t="s">
        <v>42</v>
      </c>
      <c r="I195" s="77" t="s">
        <v>511</v>
      </c>
    </row>
    <row r="196" spans="2:12" ht="38.25" x14ac:dyDescent="0.25">
      <c r="B196" s="160">
        <v>1</v>
      </c>
      <c r="C196" s="154" t="s">
        <v>593</v>
      </c>
      <c r="D196" s="154" t="s">
        <v>488</v>
      </c>
      <c r="E196" s="163" t="str">
        <f>CONCATENATE(PAR!$H$3," évi
eredeti 
előirányzat")</f>
        <v>2025. évi
eredeti 
előirányzat</v>
      </c>
      <c r="F196" s="163" t="str">
        <f>CONCATENATE(PAR!$H$3," évi
módosított 
előirányzat")</f>
        <v>2025. évi
módosított 
előirányzat</v>
      </c>
      <c r="G196" s="78" t="s">
        <v>666</v>
      </c>
      <c r="H196" s="78" t="s">
        <v>667</v>
      </c>
      <c r="I196" s="78" t="s">
        <v>668</v>
      </c>
    </row>
    <row r="197" spans="2:12" x14ac:dyDescent="0.25">
      <c r="B197" s="160">
        <v>2</v>
      </c>
      <c r="C197" s="79" t="s">
        <v>30</v>
      </c>
      <c r="D197" s="79" t="s">
        <v>329</v>
      </c>
      <c r="E197" s="121">
        <f>SUM(E198:E210)</f>
        <v>0</v>
      </c>
      <c r="F197" s="121">
        <f t="shared" ref="F197:I197" si="12">SUM(F198:F210)</f>
        <v>0</v>
      </c>
      <c r="G197" s="121">
        <f t="shared" si="12"/>
        <v>0</v>
      </c>
      <c r="H197" s="121">
        <f t="shared" si="12"/>
        <v>0</v>
      </c>
      <c r="I197" s="121">
        <f t="shared" si="12"/>
        <v>0</v>
      </c>
    </row>
    <row r="198" spans="2:12" x14ac:dyDescent="0.2">
      <c r="B198" s="160">
        <v>3</v>
      </c>
      <c r="C198" s="305" t="s">
        <v>1309</v>
      </c>
      <c r="D198" s="82" t="s">
        <v>1356</v>
      </c>
      <c r="E198" s="72">
        <f>SUMIF(Adat!$AG:$AG,CONCATENATE(61,$M$4,"094011",L193),Adat!$E:$E)*-1</f>
        <v>0</v>
      </c>
      <c r="F198" s="72">
        <f>SUMIF(Adat!$AG:$AG,CONCATENATE(60,$M$4,"094011",L193),Adat!$E:$E)*-1+E198</f>
        <v>0</v>
      </c>
      <c r="G198" s="72">
        <f>SUMIF(Adat!$AH:$AH,CONCATENATE($M$4,"(KÖT)","094011",L193),Adat!$E:$E)*-1</f>
        <v>0</v>
      </c>
      <c r="H198" s="72">
        <f>SUMIF(Adat!$AH:$AH,CONCATENATE($M$4,"(ÖNV)","094011",L193),Adat!$E:$E)*-1</f>
        <v>0</v>
      </c>
      <c r="I198" s="72">
        <f>SUMIF(Adat!$AH:$AH,CONCATENATE($M$4,"(ÁIG)","094011",L193),Adat!$E:$E)*-1</f>
        <v>0</v>
      </c>
    </row>
    <row r="199" spans="2:12" x14ac:dyDescent="0.2">
      <c r="B199" s="160">
        <v>4</v>
      </c>
      <c r="C199" s="305" t="s">
        <v>1279</v>
      </c>
      <c r="D199" s="82" t="s">
        <v>1357</v>
      </c>
      <c r="E199" s="72">
        <f>SUMIF(Adat!$AG:$AG,CONCATENATE(61,$M$4,"094021",L193),Adat!$E:$E)*-1</f>
        <v>0</v>
      </c>
      <c r="F199" s="72">
        <f>SUMIF(Adat!$AG:$AG,CONCATENATE(60,$M$4,"094021",L193),Adat!$E:$E)*-1+E199</f>
        <v>0</v>
      </c>
      <c r="G199" s="72">
        <f>SUMIF(Adat!$AH:$AH,CONCATENATE($M$4,"(KÖT)","094021",L193),Adat!$E:$E)*-1</f>
        <v>0</v>
      </c>
      <c r="H199" s="72">
        <f>SUMIF(Adat!$AH:$AH,CONCATENATE($M$4,"(ÖNV)","094021",L193),Adat!$E:$E)*-1</f>
        <v>0</v>
      </c>
      <c r="I199" s="72">
        <f>SUMIF(Adat!$AH:$AH,CONCATENATE($M$4,"(ÁIG)","094021",L193),Adat!$E:$E)*-1</f>
        <v>0</v>
      </c>
    </row>
    <row r="200" spans="2:12" x14ac:dyDescent="0.2">
      <c r="B200" s="160">
        <v>5</v>
      </c>
      <c r="C200" s="305" t="s">
        <v>1272</v>
      </c>
      <c r="D200" s="82" t="s">
        <v>1358</v>
      </c>
      <c r="E200" s="72">
        <f>SUMIF(Adat!$AG:$AG,CONCATENATE(61,$M$4,"094031",L193),Adat!$E:$E)*-1</f>
        <v>0</v>
      </c>
      <c r="F200" s="72">
        <f>SUMIF(Adat!$AG:$AG,CONCATENATE(60,$M$4,"094031",L193),Adat!$E:$E)*-1+E200</f>
        <v>0</v>
      </c>
      <c r="G200" s="72">
        <f>SUMIF(Adat!$AH:$AH,CONCATENATE($M$4,"(KÖT)","094031",L193),Adat!$E:$E)*-1</f>
        <v>0</v>
      </c>
      <c r="H200" s="72">
        <f>SUMIF(Adat!$AH:$AH,CONCATENATE($M$4,"(ÖNV)","094031",L193),Adat!$E:$E)*-1</f>
        <v>0</v>
      </c>
      <c r="I200" s="72">
        <f>SUMIF(Adat!$AH:$AH,CONCATENATE($M$4,"(ÁIG)","094031",L193),Adat!$E:$E)*-1</f>
        <v>0</v>
      </c>
    </row>
    <row r="201" spans="2:12" x14ac:dyDescent="0.2">
      <c r="B201" s="160">
        <v>6</v>
      </c>
      <c r="C201" s="305" t="s">
        <v>1359</v>
      </c>
      <c r="D201" s="82" t="s">
        <v>1360</v>
      </c>
      <c r="E201" s="72">
        <f>SUMIF(Adat!$AG:$AG,CONCATENATE(61,$M$4,"094041",L193),Adat!$E:$E)*-1</f>
        <v>0</v>
      </c>
      <c r="F201" s="72">
        <f>SUMIF(Adat!$AG:$AG,CONCATENATE(60,$M$4,"094041",L193),Adat!$E:$E)*-1+E201</f>
        <v>0</v>
      </c>
      <c r="G201" s="72">
        <f>SUMIF(Adat!$AH:$AH,CONCATENATE($M$4,"(KÖT)","094041",L193),Adat!$E:$E)*-1</f>
        <v>0</v>
      </c>
      <c r="H201" s="72">
        <f>SUMIF(Adat!$AH:$AH,CONCATENATE($M$4,"(ÖNV)","094041",L193),Adat!$E:$E)*-1</f>
        <v>0</v>
      </c>
      <c r="I201" s="72">
        <f>SUMIF(Adat!$AH:$AH,CONCATENATE($M$4,"(ÁIG)","094041",L193),Adat!$E:$E)*-1</f>
        <v>0</v>
      </c>
    </row>
    <row r="202" spans="2:12" x14ac:dyDescent="0.2">
      <c r="B202" s="160">
        <v>7</v>
      </c>
      <c r="C202" s="305" t="s">
        <v>1261</v>
      </c>
      <c r="D202" s="82" t="s">
        <v>1361</v>
      </c>
      <c r="E202" s="72">
        <f>SUMIF(Adat!$AG:$AG,CONCATENATE(61,$M$4,"094051",L193),Adat!$E:$E)*-1</f>
        <v>0</v>
      </c>
      <c r="F202" s="72">
        <f>SUMIF(Adat!$AG:$AG,CONCATENATE(60,$M$4,"094051",L193),Adat!$E:$E)*-1+E202</f>
        <v>0</v>
      </c>
      <c r="G202" s="72">
        <f>SUMIF(Adat!$AH:$AH,CONCATENATE($M$4,"(KÖT)","094051",L193),Adat!$E:$E)*-1</f>
        <v>0</v>
      </c>
      <c r="H202" s="72">
        <f>SUMIF(Adat!$AH:$AH,CONCATENATE($M$4,"(ÖNV)","094051",L193),Adat!$E:$E)*-1</f>
        <v>0</v>
      </c>
      <c r="I202" s="72">
        <f>SUMIF(Adat!$AH:$AH,CONCATENATE($M$4,"(ÁIG)","094051",L193),Adat!$E:$E)*-1</f>
        <v>0</v>
      </c>
    </row>
    <row r="203" spans="2:12" x14ac:dyDescent="0.2">
      <c r="B203" s="160">
        <v>8</v>
      </c>
      <c r="C203" s="305" t="s">
        <v>1273</v>
      </c>
      <c r="D203" s="82" t="s">
        <v>1362</v>
      </c>
      <c r="E203" s="72">
        <f>SUMIF(Adat!$AG:$AG,CONCATENATE(61,$M$4,"094061",L193),Adat!$E:$E)*-1</f>
        <v>0</v>
      </c>
      <c r="F203" s="72">
        <f>SUMIF(Adat!$AG:$AG,CONCATENATE(60,$M$4,"094061",L193),Adat!$E:$E)*-1+E203</f>
        <v>0</v>
      </c>
      <c r="G203" s="72">
        <f>SUMIF(Adat!$AH:$AH,CONCATENATE($M$4,"(KÖT)","094061",L193),Adat!$E:$E)*-1</f>
        <v>0</v>
      </c>
      <c r="H203" s="72">
        <f>SUMIF(Adat!$AH:$AH,CONCATENATE($M$4,"(ÖNV)","094061",L193),Adat!$E:$E)*-1</f>
        <v>0</v>
      </c>
      <c r="I203" s="72">
        <f>SUMIF(Adat!$AH:$AH,CONCATENATE($M$4,"(ÁIG)","094061",L193),Adat!$E:$E)*-1</f>
        <v>0</v>
      </c>
    </row>
    <row r="204" spans="2:12" x14ac:dyDescent="0.2">
      <c r="B204" s="160">
        <v>9</v>
      </c>
      <c r="C204" s="305" t="s">
        <v>1363</v>
      </c>
      <c r="D204" s="82" t="s">
        <v>1364</v>
      </c>
      <c r="E204" s="72">
        <f>SUMIF(Adat!$AG:$AG,CONCATENATE(61,$M$4,"094071",L193),Adat!$E:$E)*-1</f>
        <v>0</v>
      </c>
      <c r="F204" s="72">
        <f>SUMIF(Adat!$AG:$AG,CONCATENATE(60,$M$4,"094071",L193),Adat!$E:$E)*-1+E204</f>
        <v>0</v>
      </c>
      <c r="G204" s="72">
        <f>SUMIF(Adat!$AH:$AH,CONCATENATE($M$4,"(KÖT)","094071",L193),Adat!$E:$E)*-1</f>
        <v>0</v>
      </c>
      <c r="H204" s="72">
        <f>SUMIF(Adat!$AH:$AH,CONCATENATE($M$4,"(ÖNV)","094071",L193),Adat!$E:$E)*-1</f>
        <v>0</v>
      </c>
      <c r="I204" s="72">
        <f>SUMIF(Adat!$AH:$AH,CONCATENATE($M$4,"(ÁIG)","094071",L193),Adat!$E:$E)*-1</f>
        <v>0</v>
      </c>
    </row>
    <row r="205" spans="2:12" x14ac:dyDescent="0.2">
      <c r="B205" s="160">
        <v>10</v>
      </c>
      <c r="C205" s="305" t="s">
        <v>1306</v>
      </c>
      <c r="D205" s="82" t="s">
        <v>1365</v>
      </c>
      <c r="E205" s="72">
        <f>SUMIF(Adat!$AG:$AG,CONCATENATE(61,$M$4,"0940811",L193),Adat!$E:$E)*-1</f>
        <v>0</v>
      </c>
      <c r="F205" s="72">
        <f>SUMIF(Adat!$AG:$AG,CONCATENATE(60,$M$4,"0940811",L193),Adat!$E:$E)*-1+E205</f>
        <v>0</v>
      </c>
      <c r="G205" s="72">
        <f>SUMIF(Adat!$AH:$AH,CONCATENATE($M$4,"(KÖT)","0940811",L193),Adat!$E:$E)*-1</f>
        <v>0</v>
      </c>
      <c r="H205" s="72">
        <f>SUMIF(Adat!$AH:$AH,CONCATENATE($M$4,"(ÖNV)","0940811",L193),Adat!$E:$E)*-1</f>
        <v>0</v>
      </c>
      <c r="I205" s="72">
        <f>SUMIF(Adat!$AH:$AH,CONCATENATE($M$4,"(ÁIG)","0940811",L193),Adat!$E:$E)*-1</f>
        <v>0</v>
      </c>
    </row>
    <row r="206" spans="2:12" x14ac:dyDescent="0.2">
      <c r="B206" s="160">
        <v>11</v>
      </c>
      <c r="C206" s="305" t="s">
        <v>1295</v>
      </c>
      <c r="D206" s="82" t="s">
        <v>1366</v>
      </c>
      <c r="E206" s="72">
        <f>SUMIF(Adat!$AG:$AG,CONCATENATE(61,$M$4,"0940821",L193),Adat!$E:$E)*-1</f>
        <v>0</v>
      </c>
      <c r="F206" s="72">
        <f>SUMIF(Adat!$AG:$AG,CONCATENATE(60,$M$4,"0940821",L193),Adat!$E:$E)*-1+E206</f>
        <v>0</v>
      </c>
      <c r="G206" s="72">
        <f>SUMIF(Adat!$AH:$AH,CONCATENATE($M$4,"(KÖT)","0940821",L193),Adat!$E:$E)*-1</f>
        <v>0</v>
      </c>
      <c r="H206" s="72">
        <f>SUMIF(Adat!$AH:$AH,CONCATENATE($M$4,"(ÖNV)","0940821",L193),Adat!$E:$E)*-1</f>
        <v>0</v>
      </c>
      <c r="I206" s="72">
        <f>SUMIF(Adat!$AH:$AH,CONCATENATE($M$4,"(ÁIG)","0940821",L193),Adat!$E:$E)*-1</f>
        <v>0</v>
      </c>
    </row>
    <row r="207" spans="2:12" x14ac:dyDescent="0.2">
      <c r="B207" s="160">
        <v>12</v>
      </c>
      <c r="C207" s="305" t="s">
        <v>1367</v>
      </c>
      <c r="D207" s="82" t="s">
        <v>1368</v>
      </c>
      <c r="E207" s="72">
        <f>SUMIF(Adat!$AG:$AG,CONCATENATE(61,$M$4,"0940911",L193),Adat!$E:$E)*-1</f>
        <v>0</v>
      </c>
      <c r="F207" s="72">
        <f>SUMIF(Adat!$AG:$AG,CONCATENATE(60,$M$4,"0940911",L193),Adat!$E:$E)*-1+E207</f>
        <v>0</v>
      </c>
      <c r="G207" s="72">
        <f>SUMIF(Adat!$AH:$AH,CONCATENATE($M$4,"(KÖT)","0940911",L193),Adat!$E:$E)*-1</f>
        <v>0</v>
      </c>
      <c r="H207" s="72">
        <f>SUMIF(Adat!$AH:$AH,CONCATENATE($M$4,"(ÖNV)","0940911",L193),Adat!$E:$E)*-1</f>
        <v>0</v>
      </c>
      <c r="I207" s="72">
        <f>SUMIF(Adat!$AH:$AH,CONCATENATE($M$4,"(ÁIG)","0940911",L193),Adat!$E:$E)*-1</f>
        <v>0</v>
      </c>
    </row>
    <row r="208" spans="2:12" x14ac:dyDescent="0.2">
      <c r="B208" s="160">
        <v>13</v>
      </c>
      <c r="C208" s="305" t="s">
        <v>1369</v>
      </c>
      <c r="D208" s="82" t="s">
        <v>1370</v>
      </c>
      <c r="E208" s="72">
        <f>SUMIF(Adat!$AG:$AG,CONCATENATE(61,$M$4,"0940921",L193),Adat!$E:$E)*-1</f>
        <v>0</v>
      </c>
      <c r="F208" s="72">
        <f>SUMIF(Adat!$AG:$AG,CONCATENATE(60,$M$4,"0940921",L193),Adat!$E:$E)*-1+E208</f>
        <v>0</v>
      </c>
      <c r="G208" s="72">
        <f>SUMIF(Adat!$AH:$AH,CONCATENATE($M$4,"(KÖT)","0940921",L193),Adat!$E:$E)*-1</f>
        <v>0</v>
      </c>
      <c r="H208" s="72">
        <f>SUMIF(Adat!$AH:$AH,CONCATENATE($M$4,"(ÖNV)","0940921",L193),Adat!$E:$E)*-1</f>
        <v>0</v>
      </c>
      <c r="I208" s="72">
        <f>SUMIF(Adat!$AH:$AH,CONCATENATE($M$4,"(ÁIG)","0940921",L193),Adat!$E:$E)*-1</f>
        <v>0</v>
      </c>
    </row>
    <row r="209" spans="2:9" x14ac:dyDescent="0.2">
      <c r="B209" s="160">
        <v>14</v>
      </c>
      <c r="C209" s="305" t="s">
        <v>1296</v>
      </c>
      <c r="D209" s="82" t="s">
        <v>1371</v>
      </c>
      <c r="E209" s="72">
        <f>SUMIF(Adat!$AG:$AG,CONCATENATE(61,$M$4,"094101",L193),Adat!$E:$E)*-1</f>
        <v>0</v>
      </c>
      <c r="F209" s="72">
        <f>SUMIF(Adat!$AG:$AG,CONCATENATE(60,$M$4,"094101",L193),Adat!$E:$E)*-1+E209</f>
        <v>0</v>
      </c>
      <c r="G209" s="72">
        <f>SUMIF(Adat!$AH:$AH,CONCATENATE($M$4,"(KÖT)","094101",L193),Adat!$E:$E)*-1</f>
        <v>0</v>
      </c>
      <c r="H209" s="72">
        <f>SUMIF(Adat!$AH:$AH,CONCATENATE($M$4,"(ÖNV)","094101",L193),Adat!$E:$E)*-1</f>
        <v>0</v>
      </c>
      <c r="I209" s="72">
        <f>SUMIF(Adat!$AH:$AH,CONCATENATE($M$4,"(ÁIG)","094101",L193),Adat!$E:$E)*-1</f>
        <v>0</v>
      </c>
    </row>
    <row r="210" spans="2:9" x14ac:dyDescent="0.25">
      <c r="B210" s="160">
        <v>15</v>
      </c>
      <c r="C210" s="305" t="s">
        <v>1297</v>
      </c>
      <c r="D210" s="84" t="s">
        <v>1372</v>
      </c>
      <c r="E210" s="72">
        <f>SUMIF(Adat!$AG:$AG,CONCATENATE(61,$M$4,"094111",L193),Adat!$E:$E)*-1</f>
        <v>0</v>
      </c>
      <c r="F210" s="72">
        <f>SUMIF(Adat!$AG:$AG,CONCATENATE(60,$M$4,"094111",L193),Adat!$E:$E)*-1+E210</f>
        <v>0</v>
      </c>
      <c r="G210" s="72">
        <f>SUMIF(Adat!$AH:$AH,CONCATENATE($M$4,"(KÖT)","094111",L193),Adat!$E:$E)*-1</f>
        <v>0</v>
      </c>
      <c r="H210" s="72">
        <f>SUMIF(Adat!$AH:$AH,CONCATENATE($M$4,"(ÖNV)","094111",L193),Adat!$E:$E)*-1</f>
        <v>0</v>
      </c>
      <c r="I210" s="72">
        <f>SUMIF(Adat!$AH:$AH,CONCATENATE($M$4,"(ÁIG)","094111",L193),Adat!$E:$E)*-1</f>
        <v>0</v>
      </c>
    </row>
    <row r="211" spans="2:9" x14ac:dyDescent="0.25">
      <c r="B211" s="160">
        <v>16</v>
      </c>
      <c r="C211" s="78" t="s">
        <v>1328</v>
      </c>
      <c r="D211" s="85" t="s">
        <v>437</v>
      </c>
      <c r="E211" s="121">
        <f>SUM(E212:E214)</f>
        <v>0</v>
      </c>
      <c r="F211" s="121">
        <f>SUM(F212:F214)</f>
        <v>0</v>
      </c>
      <c r="G211" s="121">
        <f>SUM(G212:G214)</f>
        <v>0</v>
      </c>
      <c r="H211" s="121">
        <f>SUM(H212:H214)</f>
        <v>0</v>
      </c>
      <c r="I211" s="121">
        <f>SUM(I212:I214)</f>
        <v>0</v>
      </c>
    </row>
    <row r="212" spans="2:9" x14ac:dyDescent="0.2">
      <c r="B212" s="160">
        <v>17</v>
      </c>
      <c r="C212" s="305" t="s">
        <v>1329</v>
      </c>
      <c r="D212" s="82" t="s">
        <v>1330</v>
      </c>
      <c r="E212" s="72">
        <f>SUMIF(Adat!$AG:$AG,CONCATENATE(61,$M$4,"09121",L193),Adat!$E:$E)*-1</f>
        <v>0</v>
      </c>
      <c r="F212" s="72">
        <f>SUMIF(Adat!$AG:$AG,CONCATENATE(60,$M$4,"09121",L193),Adat!$E:$E)*-1+E212</f>
        <v>0</v>
      </c>
      <c r="G212" s="72">
        <f>SUMIF(Adat!$AH:$AH,CONCATENATE($M$4,"(KÖT)","09121",L193),Adat!$E:$E)*-1</f>
        <v>0</v>
      </c>
      <c r="H212" s="72">
        <f>SUMIF(Adat!$AH:$AH,CONCATENATE($M$4,"(ÖNV)","09121",L193),Adat!$E:$E)*-1</f>
        <v>0</v>
      </c>
      <c r="I212" s="72">
        <f>SUMIF(Adat!$AH:$AH,CONCATENATE($M$4,"(ÁIG)","09121",L193),Adat!$E:$E)*-1</f>
        <v>0</v>
      </c>
    </row>
    <row r="213" spans="2:9" x14ac:dyDescent="0.2">
      <c r="B213" s="160">
        <v>18</v>
      </c>
      <c r="C213" s="305" t="s">
        <v>1335</v>
      </c>
      <c r="D213" s="82" t="s">
        <v>1336</v>
      </c>
      <c r="E213" s="72">
        <f>SUMIF(Adat!$AG:$AG,CONCATENATE(61,$M$4,"09151",L193),Adat!$E:$E)*-1</f>
        <v>0</v>
      </c>
      <c r="F213" s="72">
        <f>SUMIF(Adat!$AG:$AG,CONCATENATE(60,$M$4,"09151",L193),Adat!$E:$E)*-1+E213</f>
        <v>0</v>
      </c>
      <c r="G213" s="72">
        <f>SUMIF(Adat!$AH:$AH,CONCATENATE($M$4,"(KÖT)","09151",L193),Adat!$E:$E)*-1</f>
        <v>0</v>
      </c>
      <c r="H213" s="72">
        <f>SUMIF(Adat!$AH:$AH,CONCATENATE($M$4,"(ÖNV)","09151",L193),Adat!$E:$E)*-1</f>
        <v>0</v>
      </c>
      <c r="I213" s="72">
        <f>SUMIF(Adat!$AH:$AH,CONCATENATE($M$4,"(ÁIG)","09151",L193),Adat!$E:$E)*-1</f>
        <v>0</v>
      </c>
    </row>
    <row r="214" spans="2:9" x14ac:dyDescent="0.2">
      <c r="B214" s="160">
        <v>19</v>
      </c>
      <c r="C214" s="305" t="s">
        <v>1278</v>
      </c>
      <c r="D214" s="82" t="s">
        <v>1337</v>
      </c>
      <c r="E214" s="72">
        <f>SUMIF(Adat!$AG:$AG,CONCATENATE(61,$M$4,"09161",L193),Adat!$E:$E)*-1</f>
        <v>0</v>
      </c>
      <c r="F214" s="72">
        <f>SUMIF(Adat!$AG:$AG,CONCATENATE(60,$M$4,"09161",L193),Adat!$E:$E)*-1+E214</f>
        <v>0</v>
      </c>
      <c r="G214" s="72">
        <f>SUMIF(Adat!$AH:$AH,CONCATENATE($M$4,"(KÖT)","09161",L193),Adat!$E:$E)*-1</f>
        <v>0</v>
      </c>
      <c r="H214" s="72">
        <f>SUMIF(Adat!$AH:$AH,CONCATENATE($M$4,"(ÖNV)","09161",L193),Adat!$E:$E)*-1</f>
        <v>0</v>
      </c>
      <c r="I214" s="72">
        <f>SUMIF(Adat!$AH:$AH,CONCATENATE($M$4,"(ÁIG)","09161",L193),Adat!$E:$E)*-1</f>
        <v>0</v>
      </c>
    </row>
    <row r="215" spans="2:9" x14ac:dyDescent="0.25">
      <c r="B215" s="160">
        <v>20</v>
      </c>
      <c r="C215" s="79" t="s">
        <v>27</v>
      </c>
      <c r="D215" s="79" t="s">
        <v>328</v>
      </c>
      <c r="E215" s="71">
        <f>SUMIF(Adat!$AI:$AI,CONCATENATE(61,$M$4,"093",L193),Adat!$E:$E)*-1</f>
        <v>0</v>
      </c>
      <c r="F215" s="71">
        <f>SUMIF(Adat!$AI:$AI,CONCATENATE(60,$M$4,"093",L193),Adat!$E:$E)*-1+E215</f>
        <v>0</v>
      </c>
      <c r="G215" s="71">
        <f>SUMIF(Adat!$AJ:$AJ,CONCATENATE($M$4,"093","(KÖT)",L193),Adat!$E:$E)*-1</f>
        <v>0</v>
      </c>
      <c r="H215" s="71">
        <f>SUMIF(Adat!$AJ:$AJ,CONCATENATE($M$4,"093","(ÖNV)",L193),Adat!$E:$E)*-1</f>
        <v>0</v>
      </c>
      <c r="I215" s="71">
        <f>SUMIF(Adat!$AJ:$AJ,CONCATENATE($M$4,"093","(ÁIG)",L193),Adat!$E:$E)*-1</f>
        <v>0</v>
      </c>
    </row>
    <row r="216" spans="2:9" x14ac:dyDescent="0.25">
      <c r="B216" s="160">
        <v>21</v>
      </c>
      <c r="C216" s="79" t="s">
        <v>24</v>
      </c>
      <c r="D216" s="79" t="s">
        <v>449</v>
      </c>
      <c r="E216" s="121">
        <f>SUM(E217:E219)</f>
        <v>0</v>
      </c>
      <c r="F216" s="121">
        <f t="shared" ref="F216:I216" si="13">SUM(F217:F219)</f>
        <v>0</v>
      </c>
      <c r="G216" s="121">
        <f t="shared" si="13"/>
        <v>0</v>
      </c>
      <c r="H216" s="121">
        <f t="shared" si="13"/>
        <v>0</v>
      </c>
      <c r="I216" s="121">
        <f t="shared" si="13"/>
        <v>0</v>
      </c>
    </row>
    <row r="217" spans="2:9" x14ac:dyDescent="0.2">
      <c r="B217" s="160">
        <v>22</v>
      </c>
      <c r="C217" s="305" t="s">
        <v>1339</v>
      </c>
      <c r="D217" s="82" t="s">
        <v>1340</v>
      </c>
      <c r="E217" s="72">
        <f>SUMIF(Adat!$AG:$AG,CONCATENATE(61,$M$4,"09211",L193),Adat!$E:$E)*-1</f>
        <v>0</v>
      </c>
      <c r="F217" s="72">
        <f>SUMIF(Adat!$AG:$AG,CONCATENATE(60,$M$4,"09211",L193),Adat!$E:$E)*-1+E217</f>
        <v>0</v>
      </c>
      <c r="G217" s="72">
        <f>SUMIF(Adat!$AH:$AH,CONCATENATE($M$4,"(KÖT)","09211",L193),Adat!$E:$E)*-1</f>
        <v>0</v>
      </c>
      <c r="H217" s="72">
        <f>SUMIF(Adat!$AH:$AH,CONCATENATE($M$4,"(ÖNV)","09211",L193),Adat!$E:$E)*-1</f>
        <v>0</v>
      </c>
      <c r="I217" s="72">
        <f>SUMIF(Adat!$AH:$AH,CONCATENATE($M$4,"(ÁIG)","09211",L193),Adat!$E:$E)*-1</f>
        <v>0</v>
      </c>
    </row>
    <row r="218" spans="2:9" x14ac:dyDescent="0.2">
      <c r="B218" s="160">
        <v>23</v>
      </c>
      <c r="C218" s="305" t="s">
        <v>1345</v>
      </c>
      <c r="D218" s="82" t="s">
        <v>1346</v>
      </c>
      <c r="E218" s="72">
        <f>SUMIF(Adat!$AG:$AG,CONCATENATE(61,$M$4,"09241",L193),Adat!$E:$E)*-1</f>
        <v>0</v>
      </c>
      <c r="F218" s="72">
        <f>SUMIF(Adat!$AG:$AG,CONCATENATE(60,$M$4,"09241",L193),Adat!$E:$E)*-1+E218</f>
        <v>0</v>
      </c>
      <c r="G218" s="72">
        <f>SUMIF(Adat!$AH:$AH,CONCATENATE($M$4,"(KÖT)","09241",L193),Adat!$E:$E)*-1</f>
        <v>0</v>
      </c>
      <c r="H218" s="72">
        <f>SUMIF(Adat!$AH:$AH,CONCATENATE($M$4,"(ÖNV)","09241",L193),Adat!$E:$E)*-1</f>
        <v>0</v>
      </c>
      <c r="I218" s="72">
        <f>SUMIF(Adat!$AH:$AH,CONCATENATE($M$4,"(ÁIG)","09241",L193),Adat!$E:$E)*-1</f>
        <v>0</v>
      </c>
    </row>
    <row r="219" spans="2:9" x14ac:dyDescent="0.2">
      <c r="B219" s="160">
        <v>24</v>
      </c>
      <c r="C219" s="305" t="s">
        <v>1255</v>
      </c>
      <c r="D219" s="82" t="s">
        <v>1347</v>
      </c>
      <c r="E219" s="72">
        <f>SUMIF(Adat!$AG:$AG,CONCATENATE(61,$M$4,"09251",L193),Adat!$E:$E)*-1</f>
        <v>0</v>
      </c>
      <c r="F219" s="72">
        <f>SUMIF(Adat!$AG:$AG,CONCATENATE(60,$M$4,"09251",L193),Adat!$E:$E)*-1+E219</f>
        <v>0</v>
      </c>
      <c r="G219" s="72">
        <f>SUMIF(Adat!$AH:$AH,CONCATENATE($M$4,"(KÖT)","09251",L193),Adat!$E:$E)*-1</f>
        <v>0</v>
      </c>
      <c r="H219" s="72">
        <f>SUMIF(Adat!$AH:$AH,CONCATENATE($M$4,"(ÖNV)","09251",L193),Adat!$E:$E)*-1</f>
        <v>0</v>
      </c>
      <c r="I219" s="72">
        <f>SUMIF(Adat!$AH:$AH,CONCATENATE($M$4,"(ÁIG)","09251",L193),Adat!$E:$E)*-1</f>
        <v>0</v>
      </c>
    </row>
    <row r="220" spans="2:9" x14ac:dyDescent="0.25">
      <c r="B220" s="160">
        <v>25</v>
      </c>
      <c r="C220" s="79" t="s">
        <v>33</v>
      </c>
      <c r="D220" s="79" t="s">
        <v>330</v>
      </c>
      <c r="E220" s="121">
        <f>SUM(E221:E223)</f>
        <v>0</v>
      </c>
      <c r="F220" s="121">
        <f t="shared" ref="F220:I220" si="14">SUM(F221:F223)</f>
        <v>0</v>
      </c>
      <c r="G220" s="121">
        <f t="shared" si="14"/>
        <v>0</v>
      </c>
      <c r="H220" s="121">
        <f t="shared" si="14"/>
        <v>0</v>
      </c>
      <c r="I220" s="121">
        <f t="shared" si="14"/>
        <v>0</v>
      </c>
    </row>
    <row r="221" spans="2:9" x14ac:dyDescent="0.2">
      <c r="B221" s="160">
        <v>26</v>
      </c>
      <c r="C221" s="305" t="s">
        <v>1373</v>
      </c>
      <c r="D221" s="82" t="s">
        <v>1374</v>
      </c>
      <c r="E221" s="72">
        <f>SUMIF(Adat!$AG:$AG,CONCATENATE(61,$M$4,"09511",L193),Adat!$E:$E)*-1</f>
        <v>0</v>
      </c>
      <c r="F221" s="72">
        <f>SUMIF(Adat!$AG:$AG,CONCATENATE(60,$M$4,"09511",L193),Adat!$E:$E)*-1+E221</f>
        <v>0</v>
      </c>
      <c r="G221" s="72">
        <f>SUMIF(Adat!$AH:$AH,CONCATENATE($M$4,"(KÖT)","09511",L193),Adat!$E:$E)*-1</f>
        <v>0</v>
      </c>
      <c r="H221" s="72">
        <f>SUMIF(Adat!$AH:$AH,CONCATENATE($M$4,"(ÖNV)","09511",L193),Adat!$E:$E)*-1</f>
        <v>0</v>
      </c>
      <c r="I221" s="72">
        <f>SUMIF(Adat!$AH:$AH,CONCATENATE($M$4,"(ÁIG)","09511",L193),Adat!$E:$E)*-1</f>
        <v>0</v>
      </c>
    </row>
    <row r="222" spans="2:9" x14ac:dyDescent="0.2">
      <c r="B222" s="160">
        <v>27</v>
      </c>
      <c r="C222" s="305" t="s">
        <v>1294</v>
      </c>
      <c r="D222" s="82" t="s">
        <v>1375</v>
      </c>
      <c r="E222" s="72">
        <f>SUMIF(Adat!$AG:$AG,CONCATENATE(61,$M$4,"09521",L193),Adat!$E:$E)*-1</f>
        <v>0</v>
      </c>
      <c r="F222" s="72">
        <f>SUMIF(Adat!$AG:$AG,CONCATENATE(60,$M$4,"09521",L193),Adat!$E:$E)*-1+E222</f>
        <v>0</v>
      </c>
      <c r="G222" s="72">
        <f>SUMIF(Adat!$AH:$AH,CONCATENATE($M$4,"(KÖT)","09521",L193),Adat!$E:$E)*-1</f>
        <v>0</v>
      </c>
      <c r="H222" s="72">
        <f>SUMIF(Adat!$AH:$AH,CONCATENATE($M$4,"(ÖNV)","09521",L193),Adat!$E:$E)*-1</f>
        <v>0</v>
      </c>
      <c r="I222" s="72">
        <f>SUMIF(Adat!$AH:$AH,CONCATENATE($M$4,"(ÁIG)","09521",L193),Adat!$E:$E)*-1</f>
        <v>0</v>
      </c>
    </row>
    <row r="223" spans="2:9" x14ac:dyDescent="0.2">
      <c r="B223" s="160">
        <v>28</v>
      </c>
      <c r="C223" s="305" t="s">
        <v>1376</v>
      </c>
      <c r="D223" s="82" t="s">
        <v>1377</v>
      </c>
      <c r="E223" s="72">
        <f>SUMIF(Adat!$AG:$AG,CONCATENATE(61,$M$4,"09531",L193),Adat!$E:$E)*-1</f>
        <v>0</v>
      </c>
      <c r="F223" s="72">
        <f>SUMIF(Adat!$AG:$AG,CONCATENATE(60,$M$4,"09531",L193),Adat!$E:$E)*-1+E223</f>
        <v>0</v>
      </c>
      <c r="G223" s="72">
        <f>SUMIF(Adat!$AH:$AH,CONCATENATE($M$4,"(KÖT)","09531",L193),Adat!$E:$E)*-1</f>
        <v>0</v>
      </c>
      <c r="H223" s="72">
        <f>SUMIF(Adat!$AH:$AH,CONCATENATE($M$4,"(ÖNV)","09531",L193),Adat!$E:$E)*-1</f>
        <v>0</v>
      </c>
      <c r="I223" s="72">
        <f>SUMIF(Adat!$AH:$AH,CONCATENATE($M$4,"(ÁIG)","09531",L193),Adat!$E:$E)*-1</f>
        <v>0</v>
      </c>
    </row>
    <row r="224" spans="2:9" x14ac:dyDescent="0.25">
      <c r="B224" s="160">
        <v>29</v>
      </c>
      <c r="C224" s="79" t="s">
        <v>36</v>
      </c>
      <c r="D224" s="79" t="s">
        <v>331</v>
      </c>
      <c r="E224" s="71">
        <f>SUMIF(Adat!$AI:$AI,CONCATENATE(61,$M$4,"096",L193),Adat!$E:$E)*-1</f>
        <v>0</v>
      </c>
      <c r="F224" s="71">
        <f>SUMIF(Adat!$AI:$AI,CONCATENATE(60,$M$4,"096",L193),Adat!$E:$E)*-1+E224</f>
        <v>0</v>
      </c>
      <c r="G224" s="71">
        <f>SUMIF(Adat!$AJ:$AJ,CONCATENATE($M$4,"096","(KÖT)",L193),Adat!$E:$E)*-1</f>
        <v>0</v>
      </c>
      <c r="H224" s="71">
        <f>SUMIF(Adat!$AJ:$AJ,CONCATENATE($M$4,"096","(ÖNV)",L193),Adat!$E:$E)*-1</f>
        <v>0</v>
      </c>
      <c r="I224" s="71">
        <f>SUMIF(Adat!$AJ:$AJ,CONCATENATE($M$4,"096","(ÁIG)",L193),Adat!$E:$E)*-1</f>
        <v>0</v>
      </c>
    </row>
    <row r="225" spans="2:12" x14ac:dyDescent="0.25">
      <c r="B225" s="160">
        <v>30</v>
      </c>
      <c r="C225" s="79" t="s">
        <v>38</v>
      </c>
      <c r="D225" s="85" t="s">
        <v>332</v>
      </c>
      <c r="E225" s="71">
        <f>SUMIF(Adat!$AI:$AI,CONCATENATE(61,$M$4,"097",L193),Adat!$E:$E)*-1</f>
        <v>0</v>
      </c>
      <c r="F225" s="71">
        <f>SUMIF(Adat!$AI:$AI,CONCATENATE(60,$M$4,"097",L193),Adat!$E:$E)*-1+E225</f>
        <v>0</v>
      </c>
      <c r="G225" s="71">
        <f>SUMIF(Adat!$AJ:$AJ,CONCATENATE($M$4,"097","(KÖT)",L193),Adat!$E:$E)*-1</f>
        <v>0</v>
      </c>
      <c r="H225" s="71">
        <f>SUMIF(Adat!$AJ:$AJ,CONCATENATE($M$4,"097","(ÖNV)",L193),Adat!$E:$E)*-1</f>
        <v>0</v>
      </c>
      <c r="I225" s="71">
        <f>SUMIF(Adat!$AJ:$AJ,CONCATENATE($M$4,"097","(ÁIG)",L193),Adat!$E:$E)*-1</f>
        <v>0</v>
      </c>
    </row>
    <row r="226" spans="2:12" x14ac:dyDescent="0.25">
      <c r="B226" s="160">
        <v>31</v>
      </c>
      <c r="C226" s="154" t="s">
        <v>352</v>
      </c>
      <c r="D226" s="86" t="s">
        <v>1500</v>
      </c>
      <c r="E226" s="121">
        <f>E197+E211+E215+E216+E220+E224+E225</f>
        <v>0</v>
      </c>
      <c r="F226" s="121">
        <f>F197+F211+F215+F216+F220+F224+F225</f>
        <v>0</v>
      </c>
      <c r="G226" s="121">
        <f>G197+G211+G215+G216+G220+G224+G225</f>
        <v>0</v>
      </c>
      <c r="H226" s="121">
        <f>H197+H211+H215+H216+H220+H224+H225</f>
        <v>0</v>
      </c>
      <c r="I226" s="121">
        <f>I197+I211+I215+I216+I220+I224+I225</f>
        <v>0</v>
      </c>
    </row>
    <row r="227" spans="2:12" x14ac:dyDescent="0.25">
      <c r="B227" s="160">
        <v>32</v>
      </c>
      <c r="C227" s="154" t="s">
        <v>358</v>
      </c>
      <c r="D227" s="86" t="s">
        <v>333</v>
      </c>
      <c r="E227" s="121">
        <f>SUM(E228:E230)</f>
        <v>0</v>
      </c>
      <c r="F227" s="121">
        <f t="shared" ref="F227:I227" si="15">SUM(F228:F230)</f>
        <v>0</v>
      </c>
      <c r="G227" s="121">
        <f t="shared" si="15"/>
        <v>0</v>
      </c>
      <c r="H227" s="121">
        <f t="shared" si="15"/>
        <v>0</v>
      </c>
      <c r="I227" s="121">
        <f t="shared" si="15"/>
        <v>0</v>
      </c>
    </row>
    <row r="228" spans="2:12" x14ac:dyDescent="0.2">
      <c r="B228" s="160">
        <v>33</v>
      </c>
      <c r="C228" s="305" t="s">
        <v>1274</v>
      </c>
      <c r="D228" s="82" t="s">
        <v>1419</v>
      </c>
      <c r="E228" s="72">
        <f>SUMIF(Adat!$AG:$AG,CONCATENATE(61,$M$4,"0981311",L193),Adat!$E:$E)*-1</f>
        <v>0</v>
      </c>
      <c r="F228" s="72">
        <f>SUMIF(Adat!$AG:$AG,CONCATENATE(60,$M$4,"0981311",L193),Adat!$E:$E)*-1+E228</f>
        <v>0</v>
      </c>
      <c r="G228" s="72">
        <f>SUMIF(Adat!$AH:$AH,CONCATENATE($M$4,"(KÖT)","0981311",L193),Adat!$E:$E)*-1</f>
        <v>0</v>
      </c>
      <c r="H228" s="72">
        <f>SUMIF(Adat!$AH:$AH,CONCATENATE($M$4,"(ÖNV)","0981311",L193),Adat!$E:$E)*-1</f>
        <v>0</v>
      </c>
      <c r="I228" s="72">
        <f>SUMIF(Adat!$AH:$AH,CONCATENATE($M$4,"(ÁIG)","0981311",L193),Adat!$E:$E)*-1</f>
        <v>0</v>
      </c>
    </row>
    <row r="229" spans="2:12" x14ac:dyDescent="0.25">
      <c r="B229" s="160">
        <v>34</v>
      </c>
      <c r="C229" s="305" t="s">
        <v>1420</v>
      </c>
      <c r="D229" s="84" t="s">
        <v>1421</v>
      </c>
      <c r="E229" s="72">
        <f>SUMIF(Adat!$AG:$AG,CONCATENATE(61,$M$4,"0981321",L193),Adat!$E:$E)*-1</f>
        <v>0</v>
      </c>
      <c r="F229" s="72">
        <f>SUMIF(Adat!$AG:$AG,CONCATENATE(60,$M$4,"0981321",L193),Adat!$E:$E)*-1+E229</f>
        <v>0</v>
      </c>
      <c r="G229" s="72">
        <f>SUMIF(Adat!$AH:$AH,CONCATENATE($M$4,"(KÖT)","0981321",L193),Adat!$E:$E)*-1</f>
        <v>0</v>
      </c>
      <c r="H229" s="72">
        <f>SUMIF(Adat!$AH:$AH,CONCATENATE($M$4,"(ÖNV)","0981321",L193),Adat!$E:$E)*-1</f>
        <v>0</v>
      </c>
      <c r="I229" s="72">
        <f>SUMIF(Adat!$AH:$AH,CONCATENATE($M$4,"(ÁIG)","0981321",L193),Adat!$E:$E)*-1</f>
        <v>0</v>
      </c>
    </row>
    <row r="230" spans="2:12" x14ac:dyDescent="0.25">
      <c r="B230" s="160">
        <v>35</v>
      </c>
      <c r="C230" s="319" t="s">
        <v>1275</v>
      </c>
      <c r="D230" s="84" t="s">
        <v>1501</v>
      </c>
      <c r="E230" s="72">
        <f>SUMIF(Adat!$AG:$AG,CONCATENATE(61,$M$4,"098161",L193),Adat!$E:$E)*-1</f>
        <v>0</v>
      </c>
      <c r="F230" s="72">
        <f>SUMIF(Adat!$AG:$AG,CONCATENATE(60,$M$4,"098161",L193),Adat!$E:$E)*-1+E230</f>
        <v>0</v>
      </c>
      <c r="G230" s="72">
        <f>SUMIF(Adat!$AH:$AH,CONCATENATE($M$4,"(KÖT)","098161",L193),Adat!$E:$E)*-1</f>
        <v>0</v>
      </c>
      <c r="H230" s="72">
        <f>SUMIF(Adat!$AH:$AH,CONCATENATE($M$4,"(ÖNV)","098161",L193),Adat!$E:$E)*-1</f>
        <v>0</v>
      </c>
      <c r="I230" s="72">
        <f>SUMIF(Adat!$AH:$AH,CONCATENATE($M$4,"(ÁIG)","098161",L193),Adat!$E:$E)*-1</f>
        <v>0</v>
      </c>
    </row>
    <row r="231" spans="2:12" x14ac:dyDescent="0.25">
      <c r="B231" s="160">
        <v>36</v>
      </c>
      <c r="C231" s="154" t="s">
        <v>364</v>
      </c>
      <c r="D231" s="159" t="s">
        <v>1502</v>
      </c>
      <c r="E231" s="121">
        <f>+E226+E227</f>
        <v>0</v>
      </c>
      <c r="F231" s="121">
        <f>+F226+F227</f>
        <v>0</v>
      </c>
      <c r="G231" s="121">
        <f>+G226+G227</f>
        <v>0</v>
      </c>
      <c r="H231" s="121">
        <f>+H226+H227</f>
        <v>0</v>
      </c>
      <c r="I231" s="121">
        <f>+I226+I227</f>
        <v>0</v>
      </c>
    </row>
    <row r="232" spans="2:12" ht="15.75" x14ac:dyDescent="0.25">
      <c r="B232" s="38"/>
      <c r="C232" s="156"/>
      <c r="D232" s="38"/>
      <c r="E232" s="140"/>
      <c r="F232" s="140"/>
      <c r="G232" s="140"/>
      <c r="H232" s="140"/>
      <c r="I232" s="140"/>
    </row>
    <row r="233" spans="2:12" s="10" customFormat="1" ht="15.75" customHeight="1" x14ac:dyDescent="0.25">
      <c r="B233" s="201" t="str">
        <f>CONCATENATE("8. Kiadási jogcímek"," - ",L233," részletező")</f>
        <v>8. Kiadási jogcímek -  részletező</v>
      </c>
      <c r="C233" s="101"/>
      <c r="D233" s="101"/>
      <c r="E233" s="101"/>
      <c r="F233" s="101"/>
      <c r="G233" s="198"/>
      <c r="H233" s="198"/>
      <c r="I233" s="198"/>
      <c r="L233" s="384"/>
    </row>
    <row r="234" spans="2:12" ht="15.75" x14ac:dyDescent="0.25">
      <c r="B234" s="38"/>
      <c r="C234" s="156"/>
      <c r="D234" s="38"/>
      <c r="E234" s="140"/>
      <c r="F234" s="140"/>
      <c r="G234" s="140"/>
      <c r="H234" s="140"/>
      <c r="I234" s="140"/>
    </row>
    <row r="235" spans="2:12" x14ac:dyDescent="0.25">
      <c r="B235" s="77"/>
      <c r="C235" s="77" t="s">
        <v>350</v>
      </c>
      <c r="D235" s="77" t="s">
        <v>351</v>
      </c>
      <c r="E235" s="77" t="s">
        <v>470</v>
      </c>
      <c r="F235" s="77" t="s">
        <v>471</v>
      </c>
      <c r="G235" s="77" t="s">
        <v>44</v>
      </c>
      <c r="H235" s="77" t="s">
        <v>42</v>
      </c>
      <c r="I235" s="77" t="s">
        <v>511</v>
      </c>
    </row>
    <row r="236" spans="2:12" ht="38.25" x14ac:dyDescent="0.25">
      <c r="B236" s="160">
        <v>1</v>
      </c>
      <c r="C236" s="154" t="s">
        <v>593</v>
      </c>
      <c r="D236" s="154" t="s">
        <v>488</v>
      </c>
      <c r="E236" s="163" t="str">
        <f>CONCATENATE(PAR!$H$3," évi
eredeti 
előirányzat")</f>
        <v>2025. évi
eredeti 
előirányzat</v>
      </c>
      <c r="F236" s="163" t="str">
        <f>CONCATENATE(PAR!$H$3," évi
módosított 
előirányzat")</f>
        <v>2025. évi
módosított 
előirányzat</v>
      </c>
      <c r="G236" s="78" t="s">
        <v>666</v>
      </c>
      <c r="H236" s="78" t="s">
        <v>667</v>
      </c>
      <c r="I236" s="78" t="s">
        <v>668</v>
      </c>
    </row>
    <row r="237" spans="2:12" x14ac:dyDescent="0.25">
      <c r="B237" s="160">
        <v>2</v>
      </c>
      <c r="C237" s="78" t="s">
        <v>352</v>
      </c>
      <c r="D237" s="92" t="s">
        <v>1444</v>
      </c>
      <c r="E237" s="121">
        <f>SUM(E238:E242)</f>
        <v>0</v>
      </c>
      <c r="F237" s="121">
        <f>SUM(F238:F242)</f>
        <v>0</v>
      </c>
      <c r="G237" s="121">
        <f>SUM(G238:G242)</f>
        <v>0</v>
      </c>
      <c r="H237" s="121">
        <f>SUM(H238:H242)</f>
        <v>0</v>
      </c>
      <c r="I237" s="121">
        <f>SUM(I238:I242)</f>
        <v>0</v>
      </c>
    </row>
    <row r="238" spans="2:12" x14ac:dyDescent="0.25">
      <c r="B238" s="160">
        <v>3</v>
      </c>
      <c r="C238" s="305" t="s">
        <v>315</v>
      </c>
      <c r="D238" s="93" t="s">
        <v>342</v>
      </c>
      <c r="E238" s="72">
        <f>SUMIF(Adat!$AI:$AI,CONCATENATE(61,$M$4,"051",L233),Adat!$E:$E)</f>
        <v>0</v>
      </c>
      <c r="F238" s="72">
        <f>SUMIF(Adat!$AI:$AI,CONCATENATE(60,$M$4,"051",L233),Adat!$E:$E)+E238</f>
        <v>0</v>
      </c>
      <c r="G238" s="72">
        <f>SUMIF(Adat!$AJ:$AJ,CONCATENATE($M$4,"051","(KÖT)",L233),Adat!$E:$E)</f>
        <v>0</v>
      </c>
      <c r="H238" s="72">
        <f>SUMIF(Adat!$AJ:$AJ,CONCATENATE($M$4,"051","(ÖNV)",L233),Adat!$E:$E)</f>
        <v>0</v>
      </c>
      <c r="I238" s="72">
        <f>SUMIF(Adat!$AJ:$AJ,CONCATENATE($M$4,"051","(ÁIG)",L233),Adat!$E:$E)</f>
        <v>0</v>
      </c>
    </row>
    <row r="239" spans="2:12" x14ac:dyDescent="0.25">
      <c r="B239" s="160">
        <v>4</v>
      </c>
      <c r="C239" s="305" t="s">
        <v>317</v>
      </c>
      <c r="D239" s="93" t="s">
        <v>395</v>
      </c>
      <c r="E239" s="72">
        <f>SUMIF(Adat!$AI:$AI,CONCATENATE(61,$M$4,"052",L233),Adat!$E:$E)</f>
        <v>0</v>
      </c>
      <c r="F239" s="72">
        <f>SUMIF(Adat!$AI:$AI,CONCATENATE(60,$M$4,"052",L233),Adat!$E:$E)+E239</f>
        <v>0</v>
      </c>
      <c r="G239" s="72">
        <f>SUMIF(Adat!$AJ:$AJ,CONCATENATE($M$4,"052","(KÖT)",L233),Adat!$E:$E)</f>
        <v>0</v>
      </c>
      <c r="H239" s="72">
        <f>SUMIF(Adat!$AJ:$AJ,CONCATENATE($M$4,"052","(ÖNV)",L233),Adat!$E:$E)</f>
        <v>0</v>
      </c>
      <c r="I239" s="72">
        <f>SUMIF(Adat!$AJ:$AJ,CONCATENATE($M$4,"052","(ÁIG)",L233),Adat!$E:$E)</f>
        <v>0</v>
      </c>
    </row>
    <row r="240" spans="2:12" x14ac:dyDescent="0.25">
      <c r="B240" s="160">
        <v>5</v>
      </c>
      <c r="C240" s="305" t="s">
        <v>4</v>
      </c>
      <c r="D240" s="93" t="s">
        <v>344</v>
      </c>
      <c r="E240" s="72">
        <f>SUMIF(Adat!$AI:$AI,CONCATENATE(61,$M$4,"053",L233),Adat!$E:$E)</f>
        <v>0</v>
      </c>
      <c r="F240" s="72">
        <f>SUMIF(Adat!$AI:$AI,CONCATENATE(60,$M$4,"053",L233),Adat!$E:$E)+E240</f>
        <v>0</v>
      </c>
      <c r="G240" s="72">
        <f>SUMIF(Adat!$AJ:$AJ,CONCATENATE($M$4,"053","(KÖT)",L233),Adat!$E:$E)</f>
        <v>0</v>
      </c>
      <c r="H240" s="72">
        <f>SUMIF(Adat!$AJ:$AJ,CONCATENATE($M$4,"053","(ÖNV)",L233),Adat!$E:$E)</f>
        <v>0</v>
      </c>
      <c r="I240" s="72">
        <f>SUMIF(Adat!$AJ:$AJ,CONCATENATE($M$4,"053","(ÁIG)",L233),Adat!$E:$E)</f>
        <v>0</v>
      </c>
    </row>
    <row r="241" spans="2:12" x14ac:dyDescent="0.25">
      <c r="B241" s="160">
        <v>6</v>
      </c>
      <c r="C241" s="305" t="s">
        <v>6</v>
      </c>
      <c r="D241" s="93" t="s">
        <v>345</v>
      </c>
      <c r="E241" s="72">
        <f>SUMIF(Adat!$AI:$AI,CONCATENATE(61,$M$4,"054",L233),Adat!$E:$E)</f>
        <v>0</v>
      </c>
      <c r="F241" s="72">
        <f>SUMIF(Adat!$AI:$AI,CONCATENATE(60,$M$4,"054",L233),Adat!$E:$E)+E241</f>
        <v>0</v>
      </c>
      <c r="G241" s="72">
        <f>SUMIF(Adat!$AJ:$AJ,CONCATENATE($M$4,"054","(KÖT)",L233),Adat!$E:$E)</f>
        <v>0</v>
      </c>
      <c r="H241" s="72">
        <f>SUMIF(Adat!$AJ:$AJ,CONCATENATE($M$4,"054","(ÖNV)",L233),Adat!$E:$E)</f>
        <v>0</v>
      </c>
      <c r="I241" s="72">
        <f>SUMIF(Adat!$AJ:$AJ,CONCATENATE($M$4,"054","(ÁIG)",L233),Adat!$E:$E)</f>
        <v>0</v>
      </c>
    </row>
    <row r="242" spans="2:12" x14ac:dyDescent="0.25">
      <c r="B242" s="160">
        <v>7</v>
      </c>
      <c r="C242" s="305" t="s">
        <v>8</v>
      </c>
      <c r="D242" s="93" t="s">
        <v>321</v>
      </c>
      <c r="E242" s="72">
        <f>SUMIF(Adat!$AI:$AI,CONCATENATE(61,$M$4,"055",L233),Adat!$E:$E)</f>
        <v>0</v>
      </c>
      <c r="F242" s="72">
        <f>SUMIF(Adat!$AI:$AI,CONCATENATE(60,$M$4,"055",L233),Adat!$E:$E)+E242</f>
        <v>0</v>
      </c>
      <c r="G242" s="72">
        <f>SUMIF(Adat!$AJ:$AJ,CONCATENATE($M$4,"055","(KÖT)",L233),Adat!$E:$E)</f>
        <v>0</v>
      </c>
      <c r="H242" s="72">
        <f>SUMIF(Adat!$AJ:$AJ,CONCATENATE($M$4,"055","(ÖNV)",L233),Adat!$E:$E)</f>
        <v>0</v>
      </c>
      <c r="I242" s="72">
        <f>SUMIF(Adat!$AJ:$AJ,CONCATENATE($M$4,"055","(ÁIG)",L233),Adat!$E:$E)</f>
        <v>0</v>
      </c>
    </row>
    <row r="243" spans="2:12" x14ac:dyDescent="0.25">
      <c r="B243" s="160">
        <v>8</v>
      </c>
      <c r="C243" s="78" t="s">
        <v>358</v>
      </c>
      <c r="D243" s="92" t="s">
        <v>1447</v>
      </c>
      <c r="E243" s="121">
        <f>E244+E246+E248</f>
        <v>0</v>
      </c>
      <c r="F243" s="121">
        <f>F244+F246+F248</f>
        <v>0</v>
      </c>
      <c r="G243" s="121">
        <f>G244+G246+G248</f>
        <v>0</v>
      </c>
      <c r="H243" s="121">
        <f>H244+H246+H248</f>
        <v>0</v>
      </c>
      <c r="I243" s="121">
        <f>I244+I246+I248</f>
        <v>0</v>
      </c>
    </row>
    <row r="244" spans="2:12" x14ac:dyDescent="0.25">
      <c r="B244" s="160">
        <v>9</v>
      </c>
      <c r="C244" s="305" t="s">
        <v>10</v>
      </c>
      <c r="D244" s="93" t="s">
        <v>322</v>
      </c>
      <c r="E244" s="72">
        <f>SUMIF(Adat!$AI:$AI,CONCATENATE(61,$M$4,"056",L233),Adat!$E:$E)</f>
        <v>0</v>
      </c>
      <c r="F244" s="72">
        <f>SUMIF(Adat!$AI:$AI,CONCATENATE(60,$M$4,"056",L233),Adat!$E:$E)+E244</f>
        <v>0</v>
      </c>
      <c r="G244" s="72">
        <f>SUMIF(Adat!$AJ:$AJ,CONCATENATE($M$4,"056","(KÖT)",L233),Adat!$E:$E)</f>
        <v>0</v>
      </c>
      <c r="H244" s="72">
        <f>SUMIF(Adat!$AJ:$AJ,CONCATENATE($M$4,"056","(ÖNV)",L233),Adat!$E:$E)</f>
        <v>0</v>
      </c>
      <c r="I244" s="72">
        <f>SUMIF(Adat!$AJ:$AJ,CONCATENATE($M$4,"056","(ÁIG)",L233),Adat!$E:$E)</f>
        <v>0</v>
      </c>
    </row>
    <row r="245" spans="2:12" x14ac:dyDescent="0.25">
      <c r="B245" s="160">
        <v>10</v>
      </c>
      <c r="C245" s="305" t="s">
        <v>10</v>
      </c>
      <c r="D245" s="93" t="s">
        <v>1448</v>
      </c>
      <c r="E245" s="72">
        <v>0</v>
      </c>
      <c r="F245" s="72">
        <f>SUM(G245:I245)</f>
        <v>0</v>
      </c>
      <c r="G245" s="72">
        <v>0</v>
      </c>
      <c r="H245" s="72">
        <v>0</v>
      </c>
      <c r="I245" s="72">
        <v>0</v>
      </c>
    </row>
    <row r="246" spans="2:12" x14ac:dyDescent="0.25">
      <c r="B246" s="160">
        <v>11</v>
      </c>
      <c r="C246" s="305" t="s">
        <v>12</v>
      </c>
      <c r="D246" s="93" t="s">
        <v>323</v>
      </c>
      <c r="E246" s="72">
        <f>SUMIF(Adat!$AI:$AI,CONCATENATE(61,$M$4,"057",L233),Adat!$E:$E)</f>
        <v>0</v>
      </c>
      <c r="F246" s="72">
        <f>SUMIF(Adat!$AI:$AI,CONCATENATE(60,$M$4,"057",L233),Adat!$E:$E)+E246</f>
        <v>0</v>
      </c>
      <c r="G246" s="72">
        <f>SUMIF(Adat!$AJ:$AJ,CONCATENATE($M$4,"057","(KÖT)",L233),Adat!$E:$E)</f>
        <v>0</v>
      </c>
      <c r="H246" s="72">
        <f>SUMIF(Adat!$AJ:$AJ,CONCATENATE($M$4,"057","(ÖNV)",L233),Adat!$E:$E)</f>
        <v>0</v>
      </c>
      <c r="I246" s="72">
        <f>SUMIF(Adat!$AJ:$AJ,CONCATENATE($M$4,"057","(ÁIG)",L233),Adat!$E:$E)</f>
        <v>0</v>
      </c>
    </row>
    <row r="247" spans="2:12" x14ac:dyDescent="0.25">
      <c r="B247" s="160">
        <v>12</v>
      </c>
      <c r="C247" s="305" t="s">
        <v>12</v>
      </c>
      <c r="D247" s="93" t="s">
        <v>1449</v>
      </c>
      <c r="E247" s="72">
        <v>0</v>
      </c>
      <c r="F247" s="72">
        <f>SUM(G247:I247)</f>
        <v>0</v>
      </c>
      <c r="G247" s="72">
        <v>0</v>
      </c>
      <c r="H247" s="72">
        <v>0</v>
      </c>
      <c r="I247" s="72">
        <v>0</v>
      </c>
    </row>
    <row r="248" spans="2:12" x14ac:dyDescent="0.25">
      <c r="B248" s="160">
        <v>13</v>
      </c>
      <c r="C248" s="305" t="s">
        <v>15</v>
      </c>
      <c r="D248" s="84" t="s">
        <v>324</v>
      </c>
      <c r="E248" s="72">
        <f>SUMIF(Adat!$AI:$AI,CONCATENATE(61,$M$4,"058",L233),Adat!$E:$E)</f>
        <v>0</v>
      </c>
      <c r="F248" s="72">
        <f>SUMIF(Adat!$AI:$AI,CONCATENATE(60,$M$4,"058",L233),Adat!$E:$E)+E248</f>
        <v>0</v>
      </c>
      <c r="G248" s="72">
        <f>SUMIF(Adat!$AJ:$AJ,CONCATENATE($M$4,"058","(KÖT)",L233),Adat!$E:$E)</f>
        <v>0</v>
      </c>
      <c r="H248" s="72">
        <f>SUMIF(Adat!$AJ:$AJ,CONCATENATE($M$4,"058","(ÖNV)",L233),Adat!$E:$E)</f>
        <v>0</v>
      </c>
      <c r="I248" s="72">
        <f>SUMIF(Adat!$AJ:$AJ,CONCATENATE($M$4,"058","(ÁIG)",L233),Adat!$E:$E)</f>
        <v>0</v>
      </c>
    </row>
    <row r="249" spans="2:12" x14ac:dyDescent="0.25">
      <c r="B249" s="160">
        <v>14</v>
      </c>
      <c r="C249" s="154" t="s">
        <v>364</v>
      </c>
      <c r="D249" s="86" t="s">
        <v>325</v>
      </c>
      <c r="E249" s="71">
        <f>SUMIF(Adat!$AI:$AI,CONCATENATE(61,$M$4,"059",L233),Adat!$E:$E)</f>
        <v>0</v>
      </c>
      <c r="F249" s="71">
        <f>SUMIF(Adat!$AI:$AI,CONCATENATE(60,$M$4,"059",L233),Adat!$E:$E)+E249</f>
        <v>0</v>
      </c>
      <c r="G249" s="71">
        <f>SUMIF(Adat!$AJ:$AJ,CONCATENATE($M$4,"059","(KÖT)",L233),Adat!$E:$E)</f>
        <v>0</v>
      </c>
      <c r="H249" s="71">
        <f>SUMIF(Adat!$AJ:$AJ,CONCATENATE($M$4,"059","(ÖNV)",L233),Adat!$E:$E)</f>
        <v>0</v>
      </c>
      <c r="I249" s="71">
        <f>SUMIF(Adat!$AJ:$AJ,CONCATENATE($M$4,"059","(ÁIG)",L233),Adat!$E:$E)</f>
        <v>0</v>
      </c>
    </row>
    <row r="250" spans="2:12" x14ac:dyDescent="0.25">
      <c r="B250" s="160">
        <v>15</v>
      </c>
      <c r="C250" s="154" t="s">
        <v>403</v>
      </c>
      <c r="D250" s="159" t="s">
        <v>497</v>
      </c>
      <c r="E250" s="121">
        <f>E237+E243+E249</f>
        <v>0</v>
      </c>
      <c r="F250" s="121">
        <f>F237+F243+F249</f>
        <v>0</v>
      </c>
      <c r="G250" s="121">
        <f>G237+G243+G249</f>
        <v>0</v>
      </c>
      <c r="H250" s="121">
        <f>H237+H243+H249</f>
        <v>0</v>
      </c>
      <c r="I250" s="121">
        <f>I237+I243+I249</f>
        <v>0</v>
      </c>
    </row>
    <row r="251" spans="2:12" ht="15.75" x14ac:dyDescent="0.25">
      <c r="B251" s="37"/>
      <c r="C251" s="529"/>
      <c r="D251" s="529"/>
      <c r="E251" s="529"/>
      <c r="F251" s="200"/>
      <c r="G251" s="200"/>
      <c r="H251" s="200"/>
      <c r="I251" s="200"/>
    </row>
    <row r="252" spans="2:12" ht="15.75" x14ac:dyDescent="0.25">
      <c r="B252" s="525" t="str">
        <f>$N$4</f>
        <v>Nagymarosi Polgármesteri Hivatal</v>
      </c>
      <c r="C252" s="525"/>
      <c r="D252" s="525"/>
      <c r="E252" s="525"/>
      <c r="F252" s="525"/>
      <c r="G252" s="525"/>
      <c r="H252" s="525"/>
      <c r="I252" s="525"/>
    </row>
    <row r="253" spans="2:12" ht="15.75" x14ac:dyDescent="0.25">
      <c r="B253" s="525" t="s">
        <v>2660</v>
      </c>
      <c r="C253" s="525"/>
      <c r="D253" s="525"/>
      <c r="E253" s="525"/>
      <c r="F253" s="525"/>
      <c r="G253" s="525"/>
      <c r="H253" s="525"/>
      <c r="I253" s="525"/>
    </row>
    <row r="254" spans="2:12" ht="15.75" x14ac:dyDescent="0.25">
      <c r="B254" s="38"/>
      <c r="C254" s="156"/>
      <c r="D254" s="38"/>
      <c r="E254" s="140"/>
      <c r="F254" s="140"/>
      <c r="G254" s="140"/>
      <c r="H254" s="140"/>
      <c r="I254" s="140"/>
    </row>
    <row r="255" spans="2:12" s="10" customFormat="1" ht="15.75" customHeight="1" x14ac:dyDescent="0.25">
      <c r="B255" s="201" t="str">
        <f>CONCATENATE("9. Bevételi jogcímek"," - ",L255," részletező")</f>
        <v>9. Bevételi jogcímek -  részletező</v>
      </c>
      <c r="C255" s="101"/>
      <c r="D255" s="101"/>
      <c r="E255" s="101"/>
      <c r="F255" s="101"/>
      <c r="G255" s="198"/>
      <c r="H255" s="198"/>
      <c r="I255" s="198"/>
      <c r="L255" s="384"/>
    </row>
    <row r="256" spans="2:12" ht="15.75" x14ac:dyDescent="0.25">
      <c r="B256" s="38"/>
      <c r="C256" s="156"/>
      <c r="D256" s="38"/>
      <c r="E256" s="140"/>
      <c r="F256" s="140"/>
      <c r="G256" s="140"/>
      <c r="H256" s="140"/>
      <c r="I256" s="140"/>
    </row>
    <row r="257" spans="2:9" x14ac:dyDescent="0.25">
      <c r="B257" s="77"/>
      <c r="C257" s="77" t="s">
        <v>350</v>
      </c>
      <c r="D257" s="77" t="s">
        <v>351</v>
      </c>
      <c r="E257" s="77" t="s">
        <v>470</v>
      </c>
      <c r="F257" s="77" t="s">
        <v>471</v>
      </c>
      <c r="G257" s="77" t="s">
        <v>44</v>
      </c>
      <c r="H257" s="77" t="s">
        <v>42</v>
      </c>
      <c r="I257" s="77" t="s">
        <v>511</v>
      </c>
    </row>
    <row r="258" spans="2:9" ht="38.25" x14ac:dyDescent="0.25">
      <c r="B258" s="160">
        <v>1</v>
      </c>
      <c r="C258" s="154" t="s">
        <v>593</v>
      </c>
      <c r="D258" s="154" t="s">
        <v>488</v>
      </c>
      <c r="E258" s="163" t="str">
        <f>CONCATENATE(PAR!$H$3," évi
eredeti 
előirányzat")</f>
        <v>2025. évi
eredeti 
előirányzat</v>
      </c>
      <c r="F258" s="163" t="str">
        <f>CONCATENATE(PAR!$H$3," évi
módosított 
előirányzat")</f>
        <v>2025. évi
módosított 
előirányzat</v>
      </c>
      <c r="G258" s="78" t="s">
        <v>666</v>
      </c>
      <c r="H258" s="78" t="s">
        <v>667</v>
      </c>
      <c r="I258" s="78" t="s">
        <v>668</v>
      </c>
    </row>
    <row r="259" spans="2:9" x14ac:dyDescent="0.25">
      <c r="B259" s="160">
        <v>2</v>
      </c>
      <c r="C259" s="79" t="s">
        <v>30</v>
      </c>
      <c r="D259" s="79" t="s">
        <v>329</v>
      </c>
      <c r="E259" s="121">
        <f>SUM(E260:E272)</f>
        <v>0</v>
      </c>
      <c r="F259" s="121">
        <f t="shared" ref="F259:I259" si="16">SUM(F260:F272)</f>
        <v>0</v>
      </c>
      <c r="G259" s="121">
        <f t="shared" si="16"/>
        <v>0</v>
      </c>
      <c r="H259" s="121">
        <f t="shared" si="16"/>
        <v>0</v>
      </c>
      <c r="I259" s="121">
        <f t="shared" si="16"/>
        <v>0</v>
      </c>
    </row>
    <row r="260" spans="2:9" x14ac:dyDescent="0.2">
      <c r="B260" s="160">
        <v>3</v>
      </c>
      <c r="C260" s="305" t="s">
        <v>1309</v>
      </c>
      <c r="D260" s="82" t="s">
        <v>1356</v>
      </c>
      <c r="E260" s="72">
        <f>SUMIF(Adat!$AG:$AG,CONCATENATE(61,$M$4,"094011",L255),Adat!$E:$E)*-1</f>
        <v>0</v>
      </c>
      <c r="F260" s="72">
        <f>SUMIF(Adat!$AG:$AG,CONCATENATE(60,$M$4,"094011",L255),Adat!$E:$E)*-1+E260</f>
        <v>0</v>
      </c>
      <c r="G260" s="72">
        <f>SUMIF(Adat!$AH:$AH,CONCATENATE($M$4,"(KÖT)","094011",L255),Adat!$E:$E)*-1</f>
        <v>0</v>
      </c>
      <c r="H260" s="72">
        <f>SUMIF(Adat!$AH:$AH,CONCATENATE($M$4,"(ÖNV)","094011",L255),Adat!$E:$E)*-1</f>
        <v>0</v>
      </c>
      <c r="I260" s="72">
        <f>SUMIF(Adat!$AH:$AH,CONCATENATE($M$4,"(ÁIG)","094011",L255),Adat!$E:$E)*-1</f>
        <v>0</v>
      </c>
    </row>
    <row r="261" spans="2:9" x14ac:dyDescent="0.2">
      <c r="B261" s="160">
        <v>4</v>
      </c>
      <c r="C261" s="305" t="s">
        <v>1279</v>
      </c>
      <c r="D261" s="82" t="s">
        <v>1357</v>
      </c>
      <c r="E261" s="72">
        <f>SUMIF(Adat!$AG:$AG,CONCATENATE(61,$M$4,"094021",L255),Adat!$E:$E)*-1</f>
        <v>0</v>
      </c>
      <c r="F261" s="72">
        <f>SUMIF(Adat!$AG:$AG,CONCATENATE(60,$M$4,"094021",L255),Adat!$E:$E)*-1+E261</f>
        <v>0</v>
      </c>
      <c r="G261" s="72">
        <f>SUMIF(Adat!$AH:$AH,CONCATENATE($M$4,"(KÖT)","094021",L255),Adat!$E:$E)*-1</f>
        <v>0</v>
      </c>
      <c r="H261" s="72">
        <f>SUMIF(Adat!$AH:$AH,CONCATENATE($M$4,"(ÖNV)","094021",L255),Adat!$E:$E)*-1</f>
        <v>0</v>
      </c>
      <c r="I261" s="72">
        <f>SUMIF(Adat!$AH:$AH,CONCATENATE($M$4,"(ÁIG)","094021",L255),Adat!$E:$E)*-1</f>
        <v>0</v>
      </c>
    </row>
    <row r="262" spans="2:9" x14ac:dyDescent="0.2">
      <c r="B262" s="160">
        <v>5</v>
      </c>
      <c r="C262" s="305" t="s">
        <v>1272</v>
      </c>
      <c r="D262" s="82" t="s">
        <v>1358</v>
      </c>
      <c r="E262" s="72">
        <f>SUMIF(Adat!$AG:$AG,CONCATENATE(61,$M$4,"094031",L255),Adat!$E:$E)*-1</f>
        <v>0</v>
      </c>
      <c r="F262" s="72">
        <f>SUMIF(Adat!$AG:$AG,CONCATENATE(60,$M$4,"094031",L255),Adat!$E:$E)*-1+E262</f>
        <v>0</v>
      </c>
      <c r="G262" s="72">
        <f>SUMIF(Adat!$AH:$AH,CONCATENATE($M$4,"(KÖT)","094031",L255),Adat!$E:$E)*-1</f>
        <v>0</v>
      </c>
      <c r="H262" s="72">
        <f>SUMIF(Adat!$AH:$AH,CONCATENATE($M$4,"(ÖNV)","094031",L255),Adat!$E:$E)*-1</f>
        <v>0</v>
      </c>
      <c r="I262" s="72">
        <f>SUMIF(Adat!$AH:$AH,CONCATENATE($M$4,"(ÁIG)","094031",L255),Adat!$E:$E)*-1</f>
        <v>0</v>
      </c>
    </row>
    <row r="263" spans="2:9" x14ac:dyDescent="0.2">
      <c r="B263" s="160">
        <v>6</v>
      </c>
      <c r="C263" s="305" t="s">
        <v>1359</v>
      </c>
      <c r="D263" s="82" t="s">
        <v>1360</v>
      </c>
      <c r="E263" s="72">
        <f>SUMIF(Adat!$AG:$AG,CONCATENATE(61,$M$4,"094041",L255),Adat!$E:$E)*-1</f>
        <v>0</v>
      </c>
      <c r="F263" s="72">
        <f>SUMIF(Adat!$AG:$AG,CONCATENATE(60,$M$4,"094041",L255),Adat!$E:$E)*-1+E263</f>
        <v>0</v>
      </c>
      <c r="G263" s="72">
        <f>SUMIF(Adat!$AH:$AH,CONCATENATE($M$4,"(KÖT)","094041",L255),Adat!$E:$E)*-1</f>
        <v>0</v>
      </c>
      <c r="H263" s="72">
        <f>SUMIF(Adat!$AH:$AH,CONCATENATE($M$4,"(ÖNV)","094041",L255),Adat!$E:$E)*-1</f>
        <v>0</v>
      </c>
      <c r="I263" s="72">
        <f>SUMIF(Adat!$AH:$AH,CONCATENATE($M$4,"(ÁIG)","094041",L255),Adat!$E:$E)*-1</f>
        <v>0</v>
      </c>
    </row>
    <row r="264" spans="2:9" x14ac:dyDescent="0.2">
      <c r="B264" s="160">
        <v>7</v>
      </c>
      <c r="C264" s="305" t="s">
        <v>1261</v>
      </c>
      <c r="D264" s="82" t="s">
        <v>1361</v>
      </c>
      <c r="E264" s="72">
        <f>SUMIF(Adat!$AG:$AG,CONCATENATE(61,$M$4,"094051",L255),Adat!$E:$E)*-1</f>
        <v>0</v>
      </c>
      <c r="F264" s="72">
        <f>SUMIF(Adat!$AG:$AG,CONCATENATE(60,$M$4,"094051",L255),Adat!$E:$E)*-1+E264</f>
        <v>0</v>
      </c>
      <c r="G264" s="72">
        <f>SUMIF(Adat!$AH:$AH,CONCATENATE($M$4,"(KÖT)","094051",L255),Adat!$E:$E)*-1</f>
        <v>0</v>
      </c>
      <c r="H264" s="72">
        <f>SUMIF(Adat!$AH:$AH,CONCATENATE($M$4,"(ÖNV)","094051",L255),Adat!$E:$E)*-1</f>
        <v>0</v>
      </c>
      <c r="I264" s="72">
        <f>SUMIF(Adat!$AH:$AH,CONCATENATE($M$4,"(ÁIG)","094051",L255),Adat!$E:$E)*-1</f>
        <v>0</v>
      </c>
    </row>
    <row r="265" spans="2:9" x14ac:dyDescent="0.2">
      <c r="B265" s="160">
        <v>8</v>
      </c>
      <c r="C265" s="305" t="s">
        <v>1273</v>
      </c>
      <c r="D265" s="82" t="s">
        <v>1362</v>
      </c>
      <c r="E265" s="72">
        <f>SUMIF(Adat!$AG:$AG,CONCATENATE(61,$M$4,"094061",L255),Adat!$E:$E)*-1</f>
        <v>0</v>
      </c>
      <c r="F265" s="72">
        <f>SUMIF(Adat!$AG:$AG,CONCATENATE(60,$M$4,"094061",L255),Adat!$E:$E)*-1+E265</f>
        <v>0</v>
      </c>
      <c r="G265" s="72">
        <f>SUMIF(Adat!$AH:$AH,CONCATENATE($M$4,"(KÖT)","094061",L255),Adat!$E:$E)*-1</f>
        <v>0</v>
      </c>
      <c r="H265" s="72">
        <f>SUMIF(Adat!$AH:$AH,CONCATENATE($M$4,"(ÖNV)","094061",L255),Adat!$E:$E)*-1</f>
        <v>0</v>
      </c>
      <c r="I265" s="72">
        <f>SUMIF(Adat!$AH:$AH,CONCATENATE($M$4,"(ÁIG)","094061",L255),Adat!$E:$E)*-1</f>
        <v>0</v>
      </c>
    </row>
    <row r="266" spans="2:9" x14ac:dyDescent="0.2">
      <c r="B266" s="160">
        <v>9</v>
      </c>
      <c r="C266" s="305" t="s">
        <v>1363</v>
      </c>
      <c r="D266" s="82" t="s">
        <v>1364</v>
      </c>
      <c r="E266" s="72">
        <f>SUMIF(Adat!$AG:$AG,CONCATENATE(61,$M$4,"094071",L255),Adat!$E:$E)*-1</f>
        <v>0</v>
      </c>
      <c r="F266" s="72">
        <f>SUMIF(Adat!$AG:$AG,CONCATENATE(60,$M$4,"094071",L255),Adat!$E:$E)*-1+E266</f>
        <v>0</v>
      </c>
      <c r="G266" s="72">
        <f>SUMIF(Adat!$AH:$AH,CONCATENATE($M$4,"(KÖT)","094071",L255),Adat!$E:$E)*-1</f>
        <v>0</v>
      </c>
      <c r="H266" s="72">
        <f>SUMIF(Adat!$AH:$AH,CONCATENATE($M$4,"(ÖNV)","094071",L255),Adat!$E:$E)*-1</f>
        <v>0</v>
      </c>
      <c r="I266" s="72">
        <f>SUMIF(Adat!$AH:$AH,CONCATENATE($M$4,"(ÁIG)","094071",L255),Adat!$E:$E)*-1</f>
        <v>0</v>
      </c>
    </row>
    <row r="267" spans="2:9" x14ac:dyDescent="0.2">
      <c r="B267" s="160">
        <v>10</v>
      </c>
      <c r="C267" s="305" t="s">
        <v>1306</v>
      </c>
      <c r="D267" s="82" t="s">
        <v>1365</v>
      </c>
      <c r="E267" s="72">
        <f>SUMIF(Adat!$AG:$AG,CONCATENATE(61,$M$4,"0940811",L255),Adat!$E:$E)*-1</f>
        <v>0</v>
      </c>
      <c r="F267" s="72">
        <f>SUMIF(Adat!$AG:$AG,CONCATENATE(60,$M$4,"0940811",L255),Adat!$E:$E)*-1+E267</f>
        <v>0</v>
      </c>
      <c r="G267" s="72">
        <f>SUMIF(Adat!$AH:$AH,CONCATENATE($M$4,"(KÖT)","0940811",L255),Adat!$E:$E)*-1</f>
        <v>0</v>
      </c>
      <c r="H267" s="72">
        <f>SUMIF(Adat!$AH:$AH,CONCATENATE($M$4,"(ÖNV)","0940811",L255),Adat!$E:$E)*-1</f>
        <v>0</v>
      </c>
      <c r="I267" s="72">
        <f>SUMIF(Adat!$AH:$AH,CONCATENATE($M$4,"(ÁIG)","0940811",L255),Adat!$E:$E)*-1</f>
        <v>0</v>
      </c>
    </row>
    <row r="268" spans="2:9" x14ac:dyDescent="0.2">
      <c r="B268" s="160">
        <v>11</v>
      </c>
      <c r="C268" s="305" t="s">
        <v>1295</v>
      </c>
      <c r="D268" s="82" t="s">
        <v>1366</v>
      </c>
      <c r="E268" s="72">
        <f>SUMIF(Adat!$AG:$AG,CONCATENATE(61,$M$4,"0940821",L255),Adat!$E:$E)*-1</f>
        <v>0</v>
      </c>
      <c r="F268" s="72">
        <f>SUMIF(Adat!$AG:$AG,CONCATENATE(60,$M$4,"0940821",L255),Adat!$E:$E)*-1+E268</f>
        <v>0</v>
      </c>
      <c r="G268" s="72">
        <f>SUMIF(Adat!$AH:$AH,CONCATENATE($M$4,"(KÖT)","0940821",L255),Adat!$E:$E)*-1</f>
        <v>0</v>
      </c>
      <c r="H268" s="72">
        <f>SUMIF(Adat!$AH:$AH,CONCATENATE($M$4,"(ÖNV)","0940821",L255),Adat!$E:$E)*-1</f>
        <v>0</v>
      </c>
      <c r="I268" s="72">
        <f>SUMIF(Adat!$AH:$AH,CONCATENATE($M$4,"(ÁIG)","0940821",L255),Adat!$E:$E)*-1</f>
        <v>0</v>
      </c>
    </row>
    <row r="269" spans="2:9" x14ac:dyDescent="0.2">
      <c r="B269" s="160">
        <v>12</v>
      </c>
      <c r="C269" s="305" t="s">
        <v>1367</v>
      </c>
      <c r="D269" s="82" t="s">
        <v>1368</v>
      </c>
      <c r="E269" s="72">
        <f>SUMIF(Adat!$AG:$AG,CONCATENATE(61,$M$4,"0940911",L255),Adat!$E:$E)*-1</f>
        <v>0</v>
      </c>
      <c r="F269" s="72">
        <f>SUMIF(Adat!$AG:$AG,CONCATENATE(60,$M$4,"0940911",L255),Adat!$E:$E)*-1+E269</f>
        <v>0</v>
      </c>
      <c r="G269" s="72">
        <f>SUMIF(Adat!$AH:$AH,CONCATENATE($M$4,"(KÖT)","0940911",L255),Adat!$E:$E)*-1</f>
        <v>0</v>
      </c>
      <c r="H269" s="72">
        <f>SUMIF(Adat!$AH:$AH,CONCATENATE($M$4,"(ÖNV)","0940911",L255),Adat!$E:$E)*-1</f>
        <v>0</v>
      </c>
      <c r="I269" s="72">
        <f>SUMIF(Adat!$AH:$AH,CONCATENATE($M$4,"(ÁIG)","0940911",L255),Adat!$E:$E)*-1</f>
        <v>0</v>
      </c>
    </row>
    <row r="270" spans="2:9" x14ac:dyDescent="0.2">
      <c r="B270" s="160">
        <v>13</v>
      </c>
      <c r="C270" s="305" t="s">
        <v>1369</v>
      </c>
      <c r="D270" s="82" t="s">
        <v>1370</v>
      </c>
      <c r="E270" s="72">
        <f>SUMIF(Adat!$AG:$AG,CONCATENATE(61,$M$4,"0940921",L255),Adat!$E:$E)*-1</f>
        <v>0</v>
      </c>
      <c r="F270" s="72">
        <f>SUMIF(Adat!$AG:$AG,CONCATENATE(60,$M$4,"0940921",L255),Adat!$E:$E)*-1+E270</f>
        <v>0</v>
      </c>
      <c r="G270" s="72">
        <f>SUMIF(Adat!$AH:$AH,CONCATENATE($M$4,"(KÖT)","0940921",L255),Adat!$E:$E)*-1</f>
        <v>0</v>
      </c>
      <c r="H270" s="72">
        <f>SUMIF(Adat!$AH:$AH,CONCATENATE($M$4,"(ÖNV)","0940921",L255),Adat!$E:$E)*-1</f>
        <v>0</v>
      </c>
      <c r="I270" s="72">
        <f>SUMIF(Adat!$AH:$AH,CONCATENATE($M$4,"(ÁIG)","0940921",L255),Adat!$E:$E)*-1</f>
        <v>0</v>
      </c>
    </row>
    <row r="271" spans="2:9" x14ac:dyDescent="0.2">
      <c r="B271" s="160">
        <v>14</v>
      </c>
      <c r="C271" s="305" t="s">
        <v>1296</v>
      </c>
      <c r="D271" s="82" t="s">
        <v>1371</v>
      </c>
      <c r="E271" s="72">
        <f>SUMIF(Adat!$AG:$AG,CONCATENATE(61,$M$4,"094101",L255),Adat!$E:$E)*-1</f>
        <v>0</v>
      </c>
      <c r="F271" s="72">
        <f>SUMIF(Adat!$AG:$AG,CONCATENATE(60,$M$4,"094101",L255),Adat!$E:$E)*-1+E271</f>
        <v>0</v>
      </c>
      <c r="G271" s="72">
        <f>SUMIF(Adat!$AH:$AH,CONCATENATE($M$4,"(KÖT)","094101",L255),Adat!$E:$E)*-1</f>
        <v>0</v>
      </c>
      <c r="H271" s="72">
        <f>SUMIF(Adat!$AH:$AH,CONCATENATE($M$4,"(ÖNV)","094101",L255),Adat!$E:$E)*-1</f>
        <v>0</v>
      </c>
      <c r="I271" s="72">
        <f>SUMIF(Adat!$AH:$AH,CONCATENATE($M$4,"(ÁIG)","094101",L255),Adat!$E:$E)*-1</f>
        <v>0</v>
      </c>
    </row>
    <row r="272" spans="2:9" x14ac:dyDescent="0.25">
      <c r="B272" s="160">
        <v>15</v>
      </c>
      <c r="C272" s="305" t="s">
        <v>1297</v>
      </c>
      <c r="D272" s="84" t="s">
        <v>1372</v>
      </c>
      <c r="E272" s="72">
        <f>SUMIF(Adat!$AG:$AG,CONCATENATE(61,$M$4,"094111",L255),Adat!$E:$E)*-1</f>
        <v>0</v>
      </c>
      <c r="F272" s="72">
        <f>SUMIF(Adat!$AG:$AG,CONCATENATE(60,$M$4,"094111",L255),Adat!$E:$E)*-1+E272</f>
        <v>0</v>
      </c>
      <c r="G272" s="72">
        <f>SUMIF(Adat!$AH:$AH,CONCATENATE($M$4,"(KÖT)","094111",L255),Adat!$E:$E)*-1</f>
        <v>0</v>
      </c>
      <c r="H272" s="72">
        <f>SUMIF(Adat!$AH:$AH,CONCATENATE($M$4,"(ÖNV)","094111",L255),Adat!$E:$E)*-1</f>
        <v>0</v>
      </c>
      <c r="I272" s="72">
        <f>SUMIF(Adat!$AH:$AH,CONCATENATE($M$4,"(ÁIG)","094111",L255),Adat!$E:$E)*-1</f>
        <v>0</v>
      </c>
    </row>
    <row r="273" spans="2:9" x14ac:dyDescent="0.25">
      <c r="B273" s="160">
        <v>16</v>
      </c>
      <c r="C273" s="78" t="s">
        <v>1328</v>
      </c>
      <c r="D273" s="85" t="s">
        <v>437</v>
      </c>
      <c r="E273" s="121">
        <f>SUM(E274:E276)</f>
        <v>0</v>
      </c>
      <c r="F273" s="121">
        <f>SUM(F274:F276)</f>
        <v>0</v>
      </c>
      <c r="G273" s="121">
        <f>SUM(G274:G276)</f>
        <v>0</v>
      </c>
      <c r="H273" s="121">
        <f>SUM(H274:H276)</f>
        <v>0</v>
      </c>
      <c r="I273" s="121">
        <f>SUM(I274:I276)</f>
        <v>0</v>
      </c>
    </row>
    <row r="274" spans="2:9" x14ac:dyDescent="0.2">
      <c r="B274" s="160">
        <v>17</v>
      </c>
      <c r="C274" s="305" t="s">
        <v>1329</v>
      </c>
      <c r="D274" s="82" t="s">
        <v>1330</v>
      </c>
      <c r="E274" s="72">
        <f>SUMIF(Adat!$AG:$AG,CONCATENATE(61,$M$4,"09121",L255),Adat!$E:$E)*-1</f>
        <v>0</v>
      </c>
      <c r="F274" s="72">
        <f>SUMIF(Adat!$AG:$AG,CONCATENATE(60,$M$4,"09121",L255),Adat!$E:$E)*-1+E274</f>
        <v>0</v>
      </c>
      <c r="G274" s="72">
        <f>SUMIF(Adat!$AH:$AH,CONCATENATE($M$4,"(KÖT)","09121",L255),Adat!$E:$E)*-1</f>
        <v>0</v>
      </c>
      <c r="H274" s="72">
        <f>SUMIF(Adat!$AH:$AH,CONCATENATE($M$4,"(ÖNV)","09121",L255),Adat!$E:$E)*-1</f>
        <v>0</v>
      </c>
      <c r="I274" s="72">
        <f>SUMIF(Adat!$AH:$AH,CONCATENATE($M$4,"(ÁIG)","09121",L255),Adat!$E:$E)*-1</f>
        <v>0</v>
      </c>
    </row>
    <row r="275" spans="2:9" x14ac:dyDescent="0.2">
      <c r="B275" s="160">
        <v>18</v>
      </c>
      <c r="C275" s="305" t="s">
        <v>1335</v>
      </c>
      <c r="D275" s="82" t="s">
        <v>1336</v>
      </c>
      <c r="E275" s="72">
        <f>SUMIF(Adat!$AG:$AG,CONCATENATE(61,$M$4,"09151",L255),Adat!$E:$E)*-1</f>
        <v>0</v>
      </c>
      <c r="F275" s="72">
        <f>SUMIF(Adat!$AG:$AG,CONCATENATE(60,$M$4,"09151",L255),Adat!$E:$E)*-1+E275</f>
        <v>0</v>
      </c>
      <c r="G275" s="72">
        <f>SUMIF(Adat!$AH:$AH,CONCATENATE($M$4,"(KÖT)","09151",L255),Adat!$E:$E)*-1</f>
        <v>0</v>
      </c>
      <c r="H275" s="72">
        <f>SUMIF(Adat!$AH:$AH,CONCATENATE($M$4,"(ÖNV)","09151",L255),Adat!$E:$E)*-1</f>
        <v>0</v>
      </c>
      <c r="I275" s="72">
        <f>SUMIF(Adat!$AH:$AH,CONCATENATE($M$4,"(ÁIG)","09151",L255),Adat!$E:$E)*-1</f>
        <v>0</v>
      </c>
    </row>
    <row r="276" spans="2:9" x14ac:dyDescent="0.2">
      <c r="B276" s="160">
        <v>19</v>
      </c>
      <c r="C276" s="305" t="s">
        <v>1278</v>
      </c>
      <c r="D276" s="82" t="s">
        <v>1337</v>
      </c>
      <c r="E276" s="72">
        <f>SUMIF(Adat!$AG:$AG,CONCATENATE(61,$M$4,"09161",L255),Adat!$E:$E)*-1</f>
        <v>0</v>
      </c>
      <c r="F276" s="72">
        <f>SUMIF(Adat!$AG:$AG,CONCATENATE(60,$M$4,"09161",L255),Adat!$E:$E)*-1+E276</f>
        <v>0</v>
      </c>
      <c r="G276" s="72">
        <f>SUMIF(Adat!$AH:$AH,CONCATENATE($M$4,"(KÖT)","09161",L255),Adat!$E:$E)*-1</f>
        <v>0</v>
      </c>
      <c r="H276" s="72">
        <f>SUMIF(Adat!$AH:$AH,CONCATENATE($M$4,"(ÖNV)","09161",L255),Adat!$E:$E)*-1</f>
        <v>0</v>
      </c>
      <c r="I276" s="72">
        <f>SUMIF(Adat!$AH:$AH,CONCATENATE($M$4,"(ÁIG)","09161",L255),Adat!$E:$E)*-1</f>
        <v>0</v>
      </c>
    </row>
    <row r="277" spans="2:9" x14ac:dyDescent="0.25">
      <c r="B277" s="160">
        <v>20</v>
      </c>
      <c r="C277" s="79" t="s">
        <v>27</v>
      </c>
      <c r="D277" s="79" t="s">
        <v>328</v>
      </c>
      <c r="E277" s="71">
        <f>SUMIF(Adat!$AI:$AI,CONCATENATE(61,$M$4,"093",L255),Adat!$E:$E)*-1</f>
        <v>0</v>
      </c>
      <c r="F277" s="71">
        <f>SUMIF(Adat!$AI:$AI,CONCATENATE(60,$M$4,"093",L255),Adat!$E:$E)*-1+E277</f>
        <v>0</v>
      </c>
      <c r="G277" s="71">
        <f>SUMIF(Adat!$AJ:$AJ,CONCATENATE($M$4,"093","(KÖT)",L255),Adat!$E:$E)*-1</f>
        <v>0</v>
      </c>
      <c r="H277" s="71">
        <f>SUMIF(Adat!$AJ:$AJ,CONCATENATE($M$4,"093","(ÖNV)",L255),Adat!$E:$E)*-1</f>
        <v>0</v>
      </c>
      <c r="I277" s="71">
        <f>SUMIF(Adat!$AJ:$AJ,CONCATENATE($M$4,"093","(ÁIG)",L255),Adat!$E:$E)*-1</f>
        <v>0</v>
      </c>
    </row>
    <row r="278" spans="2:9" x14ac:dyDescent="0.25">
      <c r="B278" s="160">
        <v>21</v>
      </c>
      <c r="C278" s="79" t="s">
        <v>24</v>
      </c>
      <c r="D278" s="79" t="s">
        <v>449</v>
      </c>
      <c r="E278" s="121">
        <f>SUM(E279:E281)</f>
        <v>0</v>
      </c>
      <c r="F278" s="121">
        <f t="shared" ref="F278:I278" si="17">SUM(F279:F281)</f>
        <v>0</v>
      </c>
      <c r="G278" s="121">
        <f t="shared" si="17"/>
        <v>0</v>
      </c>
      <c r="H278" s="121">
        <f t="shared" si="17"/>
        <v>0</v>
      </c>
      <c r="I278" s="121">
        <f t="shared" si="17"/>
        <v>0</v>
      </c>
    </row>
    <row r="279" spans="2:9" x14ac:dyDescent="0.2">
      <c r="B279" s="160">
        <v>22</v>
      </c>
      <c r="C279" s="305" t="s">
        <v>1339</v>
      </c>
      <c r="D279" s="82" t="s">
        <v>1340</v>
      </c>
      <c r="E279" s="72">
        <f>SUMIF(Adat!$AG:$AG,CONCATENATE(61,$M$4,"09211",L255),Adat!$E:$E)*-1</f>
        <v>0</v>
      </c>
      <c r="F279" s="72">
        <f>SUMIF(Adat!$AG:$AG,CONCATENATE(60,$M$4,"09211",L255),Adat!$E:$E)*-1+E279</f>
        <v>0</v>
      </c>
      <c r="G279" s="72">
        <f>SUMIF(Adat!$AH:$AH,CONCATENATE($M$4,"(KÖT)","09211",L255),Adat!$E:$E)*-1</f>
        <v>0</v>
      </c>
      <c r="H279" s="72">
        <f>SUMIF(Adat!$AH:$AH,CONCATENATE($M$4,"(ÖNV)","09211",L255),Adat!$E:$E)*-1</f>
        <v>0</v>
      </c>
      <c r="I279" s="72">
        <f>SUMIF(Adat!$AH:$AH,CONCATENATE($M$4,"(ÁIG)","09211",L255),Adat!$E:$E)*-1</f>
        <v>0</v>
      </c>
    </row>
    <row r="280" spans="2:9" x14ac:dyDescent="0.2">
      <c r="B280" s="160">
        <v>23</v>
      </c>
      <c r="C280" s="305" t="s">
        <v>1345</v>
      </c>
      <c r="D280" s="82" t="s">
        <v>1346</v>
      </c>
      <c r="E280" s="72">
        <f>SUMIF(Adat!$AG:$AG,CONCATENATE(61,$M$4,"09241",L255),Adat!$E:$E)*-1</f>
        <v>0</v>
      </c>
      <c r="F280" s="72">
        <f>SUMIF(Adat!$AG:$AG,CONCATENATE(60,$M$4,"09241",L255),Adat!$E:$E)*-1+E280</f>
        <v>0</v>
      </c>
      <c r="G280" s="72">
        <f>SUMIF(Adat!$AH:$AH,CONCATENATE($M$4,"(KÖT)","09241",L255),Adat!$E:$E)*-1</f>
        <v>0</v>
      </c>
      <c r="H280" s="72">
        <f>SUMIF(Adat!$AH:$AH,CONCATENATE($M$4,"(ÖNV)","09241",L255),Adat!$E:$E)*-1</f>
        <v>0</v>
      </c>
      <c r="I280" s="72">
        <f>SUMIF(Adat!$AH:$AH,CONCATENATE($M$4,"(ÁIG)","09241",L255),Adat!$E:$E)*-1</f>
        <v>0</v>
      </c>
    </row>
    <row r="281" spans="2:9" x14ac:dyDescent="0.2">
      <c r="B281" s="160">
        <v>24</v>
      </c>
      <c r="C281" s="305" t="s">
        <v>1255</v>
      </c>
      <c r="D281" s="82" t="s">
        <v>1347</v>
      </c>
      <c r="E281" s="72">
        <f>SUMIF(Adat!$AG:$AG,CONCATENATE(61,$M$4,"09251",L255),Adat!$E:$E)*-1</f>
        <v>0</v>
      </c>
      <c r="F281" s="72">
        <f>SUMIF(Adat!$AG:$AG,CONCATENATE(60,$M$4,"09251",L255),Adat!$E:$E)*-1+E281</f>
        <v>0</v>
      </c>
      <c r="G281" s="72">
        <f>SUMIF(Adat!$AH:$AH,CONCATENATE($M$4,"(KÖT)","09251",L255),Adat!$E:$E)*-1</f>
        <v>0</v>
      </c>
      <c r="H281" s="72">
        <f>SUMIF(Adat!$AH:$AH,CONCATENATE($M$4,"(ÖNV)","09251",L255),Adat!$E:$E)*-1</f>
        <v>0</v>
      </c>
      <c r="I281" s="72">
        <f>SUMIF(Adat!$AH:$AH,CONCATENATE($M$4,"(ÁIG)","09251",L255),Adat!$E:$E)*-1</f>
        <v>0</v>
      </c>
    </row>
    <row r="282" spans="2:9" x14ac:dyDescent="0.25">
      <c r="B282" s="160">
        <v>25</v>
      </c>
      <c r="C282" s="79" t="s">
        <v>33</v>
      </c>
      <c r="D282" s="79" t="s">
        <v>330</v>
      </c>
      <c r="E282" s="121">
        <f>SUM(E283:E285)</f>
        <v>0</v>
      </c>
      <c r="F282" s="121">
        <f t="shared" ref="F282:I282" si="18">SUM(F283:F285)</f>
        <v>0</v>
      </c>
      <c r="G282" s="121">
        <f t="shared" si="18"/>
        <v>0</v>
      </c>
      <c r="H282" s="121">
        <f t="shared" si="18"/>
        <v>0</v>
      </c>
      <c r="I282" s="121">
        <f t="shared" si="18"/>
        <v>0</v>
      </c>
    </row>
    <row r="283" spans="2:9" x14ac:dyDescent="0.2">
      <c r="B283" s="160">
        <v>26</v>
      </c>
      <c r="C283" s="305" t="s">
        <v>1373</v>
      </c>
      <c r="D283" s="82" t="s">
        <v>1374</v>
      </c>
      <c r="E283" s="72">
        <f>SUMIF(Adat!$AG:$AG,CONCATENATE(61,$M$4,"09511",L255),Adat!$E:$E)*-1</f>
        <v>0</v>
      </c>
      <c r="F283" s="72">
        <f>SUMIF(Adat!$AG:$AG,CONCATENATE(60,$M$4,"09511",L255),Adat!$E:$E)*-1+E283</f>
        <v>0</v>
      </c>
      <c r="G283" s="72">
        <f>SUMIF(Adat!$AH:$AH,CONCATENATE($M$4,"(KÖT)","09511",L255),Adat!$E:$E)*-1</f>
        <v>0</v>
      </c>
      <c r="H283" s="72">
        <f>SUMIF(Adat!$AH:$AH,CONCATENATE($M$4,"(ÖNV)","09511",L255),Adat!$E:$E)*-1</f>
        <v>0</v>
      </c>
      <c r="I283" s="72">
        <f>SUMIF(Adat!$AH:$AH,CONCATENATE($M$4,"(ÁIG)","09511",L255),Adat!$E:$E)*-1</f>
        <v>0</v>
      </c>
    </row>
    <row r="284" spans="2:9" x14ac:dyDescent="0.2">
      <c r="B284" s="160">
        <v>27</v>
      </c>
      <c r="C284" s="305" t="s">
        <v>1294</v>
      </c>
      <c r="D284" s="82" t="s">
        <v>1375</v>
      </c>
      <c r="E284" s="72">
        <f>SUMIF(Adat!$AG:$AG,CONCATENATE(61,$M$4,"09521",L255),Adat!$E:$E)*-1</f>
        <v>0</v>
      </c>
      <c r="F284" s="72">
        <f>SUMIF(Adat!$AG:$AG,CONCATENATE(60,$M$4,"09521",L255),Adat!$E:$E)*-1+E284</f>
        <v>0</v>
      </c>
      <c r="G284" s="72">
        <f>SUMIF(Adat!$AH:$AH,CONCATENATE($M$4,"(KÖT)","09521",L255),Adat!$E:$E)*-1</f>
        <v>0</v>
      </c>
      <c r="H284" s="72">
        <f>SUMIF(Adat!$AH:$AH,CONCATENATE($M$4,"(ÖNV)","09521",L255),Adat!$E:$E)*-1</f>
        <v>0</v>
      </c>
      <c r="I284" s="72">
        <f>SUMIF(Adat!$AH:$AH,CONCATENATE($M$4,"(ÁIG)","09521",L255),Adat!$E:$E)*-1</f>
        <v>0</v>
      </c>
    </row>
    <row r="285" spans="2:9" x14ac:dyDescent="0.2">
      <c r="B285" s="160">
        <v>28</v>
      </c>
      <c r="C285" s="305" t="s">
        <v>1376</v>
      </c>
      <c r="D285" s="82" t="s">
        <v>1377</v>
      </c>
      <c r="E285" s="72">
        <f>SUMIF(Adat!$AG:$AG,CONCATENATE(61,$M$4,"09531",L255),Adat!$E:$E)*-1</f>
        <v>0</v>
      </c>
      <c r="F285" s="72">
        <f>SUMIF(Adat!$AG:$AG,CONCATENATE(60,$M$4,"09531",L255),Adat!$E:$E)*-1+E285</f>
        <v>0</v>
      </c>
      <c r="G285" s="72">
        <f>SUMIF(Adat!$AH:$AH,CONCATENATE($M$4,"(KÖT)","09531",L255),Adat!$E:$E)*-1</f>
        <v>0</v>
      </c>
      <c r="H285" s="72">
        <f>SUMIF(Adat!$AH:$AH,CONCATENATE($M$4,"(ÖNV)","09531",L255),Adat!$E:$E)*-1</f>
        <v>0</v>
      </c>
      <c r="I285" s="72">
        <f>SUMIF(Adat!$AH:$AH,CONCATENATE($M$4,"(ÁIG)","09531",L255),Adat!$E:$E)*-1</f>
        <v>0</v>
      </c>
    </row>
    <row r="286" spans="2:9" x14ac:dyDescent="0.25">
      <c r="B286" s="160">
        <v>29</v>
      </c>
      <c r="C286" s="79" t="s">
        <v>36</v>
      </c>
      <c r="D286" s="79" t="s">
        <v>331</v>
      </c>
      <c r="E286" s="71">
        <f>SUMIF(Adat!$AI:$AI,CONCATENATE(61,$M$4,"096",L255),Adat!$E:$E)*-1</f>
        <v>0</v>
      </c>
      <c r="F286" s="71">
        <f>SUMIF(Adat!$AI:$AI,CONCATENATE(60,$M$4,"096",L255),Adat!$E:$E)*-1+E286</f>
        <v>0</v>
      </c>
      <c r="G286" s="71">
        <f>SUMIF(Adat!$AJ:$AJ,CONCATENATE($M$4,"096","(KÖT)",L255),Adat!$E:$E)*-1</f>
        <v>0</v>
      </c>
      <c r="H286" s="71">
        <f>SUMIF(Adat!$AJ:$AJ,CONCATENATE($M$4,"096","(ÖNV)",L255),Adat!$E:$E)*-1</f>
        <v>0</v>
      </c>
      <c r="I286" s="71">
        <f>SUMIF(Adat!$AJ:$AJ,CONCATENATE($M$4,"096","(ÁIG)",L255),Adat!$E:$E)*-1</f>
        <v>0</v>
      </c>
    </row>
    <row r="287" spans="2:9" x14ac:dyDescent="0.25">
      <c r="B287" s="160">
        <v>30</v>
      </c>
      <c r="C287" s="79" t="s">
        <v>38</v>
      </c>
      <c r="D287" s="85" t="s">
        <v>332</v>
      </c>
      <c r="E287" s="71">
        <f>SUMIF(Adat!$AI:$AI,CONCATENATE(61,$M$4,"097",L255),Adat!$E:$E)*-1</f>
        <v>0</v>
      </c>
      <c r="F287" s="71">
        <f>SUMIF(Adat!$AI:$AI,CONCATENATE(60,$M$4,"097",L255),Adat!$E:$E)*-1+E287</f>
        <v>0</v>
      </c>
      <c r="G287" s="71">
        <f>SUMIF(Adat!$AJ:$AJ,CONCATENATE($M$4,"097","(KÖT)",L255),Adat!$E:$E)*-1</f>
        <v>0</v>
      </c>
      <c r="H287" s="71">
        <f>SUMIF(Adat!$AJ:$AJ,CONCATENATE($M$4,"097","(ÖNV)",L255),Adat!$E:$E)*-1</f>
        <v>0</v>
      </c>
      <c r="I287" s="71">
        <f>SUMIF(Adat!$AJ:$AJ,CONCATENATE($M$4,"097","(ÁIG)",L255),Adat!$E:$E)*-1</f>
        <v>0</v>
      </c>
    </row>
    <row r="288" spans="2:9" x14ac:dyDescent="0.25">
      <c r="B288" s="160">
        <v>31</v>
      </c>
      <c r="C288" s="154" t="s">
        <v>352</v>
      </c>
      <c r="D288" s="86" t="s">
        <v>1500</v>
      </c>
      <c r="E288" s="121">
        <f>E259+E273+E277+E278+E282+E286+E287</f>
        <v>0</v>
      </c>
      <c r="F288" s="121">
        <f>F259+F273+F277+F278+F282+F286+F287</f>
        <v>0</v>
      </c>
      <c r="G288" s="121">
        <f>G259+G273+G277+G278+G282+G286+G287</f>
        <v>0</v>
      </c>
      <c r="H288" s="121">
        <f>H259+H273+H277+H278+H282+H286+H287</f>
        <v>0</v>
      </c>
      <c r="I288" s="121">
        <f>I259+I273+I277+I278+I282+I286+I287</f>
        <v>0</v>
      </c>
    </row>
    <row r="289" spans="2:12" x14ac:dyDescent="0.25">
      <c r="B289" s="160">
        <v>32</v>
      </c>
      <c r="C289" s="154" t="s">
        <v>358</v>
      </c>
      <c r="D289" s="86" t="s">
        <v>333</v>
      </c>
      <c r="E289" s="121">
        <f>SUM(E290:E292)</f>
        <v>0</v>
      </c>
      <c r="F289" s="121">
        <f t="shared" ref="F289:I289" si="19">SUM(F290:F292)</f>
        <v>0</v>
      </c>
      <c r="G289" s="121">
        <f t="shared" si="19"/>
        <v>0</v>
      </c>
      <c r="H289" s="121">
        <f t="shared" si="19"/>
        <v>0</v>
      </c>
      <c r="I289" s="121">
        <f t="shared" si="19"/>
        <v>0</v>
      </c>
    </row>
    <row r="290" spans="2:12" x14ac:dyDescent="0.2">
      <c r="B290" s="160">
        <v>33</v>
      </c>
      <c r="C290" s="305" t="s">
        <v>1274</v>
      </c>
      <c r="D290" s="82" t="s">
        <v>1419</v>
      </c>
      <c r="E290" s="72">
        <f>SUMIF(Adat!$AG:$AG,CONCATENATE(61,$M$4,"0981311",L255),Adat!$E:$E)*-1</f>
        <v>0</v>
      </c>
      <c r="F290" s="72">
        <f>SUMIF(Adat!$AG:$AG,CONCATENATE(60,$M$4,"0981311",L255),Adat!$E:$E)*-1+E290</f>
        <v>0</v>
      </c>
      <c r="G290" s="72">
        <f>SUMIF(Adat!$AH:$AH,CONCATENATE($M$4,"(KÖT)","0981311",L255),Adat!$E:$E)*-1</f>
        <v>0</v>
      </c>
      <c r="H290" s="72">
        <f>SUMIF(Adat!$AH:$AH,CONCATENATE($M$4,"(ÖNV)","0981311",L255),Adat!$E:$E)*-1</f>
        <v>0</v>
      </c>
      <c r="I290" s="72">
        <f>SUMIF(Adat!$AH:$AH,CONCATENATE($M$4,"(ÁIG)","0981311",L255),Adat!$E:$E)*-1</f>
        <v>0</v>
      </c>
    </row>
    <row r="291" spans="2:12" x14ac:dyDescent="0.25">
      <c r="B291" s="160">
        <v>34</v>
      </c>
      <c r="C291" s="305" t="s">
        <v>1420</v>
      </c>
      <c r="D291" s="84" t="s">
        <v>1421</v>
      </c>
      <c r="E291" s="72">
        <f>SUMIF(Adat!$AG:$AG,CONCATENATE(61,$M$4,"0981321",L255),Adat!$E:$E)*-1</f>
        <v>0</v>
      </c>
      <c r="F291" s="72">
        <f>SUMIF(Adat!$AG:$AG,CONCATENATE(60,$M$4,"0981321",L255),Adat!$E:$E)*-1+E291</f>
        <v>0</v>
      </c>
      <c r="G291" s="72">
        <f>SUMIF(Adat!$AH:$AH,CONCATENATE($M$4,"(KÖT)","0981321",L255),Adat!$E:$E)*-1</f>
        <v>0</v>
      </c>
      <c r="H291" s="72">
        <f>SUMIF(Adat!$AH:$AH,CONCATENATE($M$4,"(ÖNV)","0981321",L255),Adat!$E:$E)*-1</f>
        <v>0</v>
      </c>
      <c r="I291" s="72">
        <f>SUMIF(Adat!$AH:$AH,CONCATENATE($M$4,"(ÁIG)","0981321",L255),Adat!$E:$E)*-1</f>
        <v>0</v>
      </c>
    </row>
    <row r="292" spans="2:12" x14ac:dyDescent="0.25">
      <c r="B292" s="160">
        <v>35</v>
      </c>
      <c r="C292" s="319" t="s">
        <v>1275</v>
      </c>
      <c r="D292" s="84" t="s">
        <v>1501</v>
      </c>
      <c r="E292" s="72">
        <f>SUMIF(Adat!$AG:$AG,CONCATENATE(61,$M$4,"098161",L255),Adat!$E:$E)*-1</f>
        <v>0</v>
      </c>
      <c r="F292" s="72">
        <f>SUMIF(Adat!$AG:$AG,CONCATENATE(60,$M$4,"098161",L255),Adat!$E:$E)*-1+E292</f>
        <v>0</v>
      </c>
      <c r="G292" s="72">
        <f>SUMIF(Adat!$AH:$AH,CONCATENATE($M$4,"(KÖT)","098161",L255),Adat!$E:$E)*-1</f>
        <v>0</v>
      </c>
      <c r="H292" s="72">
        <f>SUMIF(Adat!$AH:$AH,CONCATENATE($M$4,"(ÖNV)","098161",L255),Adat!$E:$E)*-1</f>
        <v>0</v>
      </c>
      <c r="I292" s="72">
        <f>SUMIF(Adat!$AH:$AH,CONCATENATE($M$4,"(ÁIG)","098161",L255),Adat!$E:$E)*-1</f>
        <v>0</v>
      </c>
    </row>
    <row r="293" spans="2:12" x14ac:dyDescent="0.25">
      <c r="B293" s="160">
        <v>36</v>
      </c>
      <c r="C293" s="154" t="s">
        <v>364</v>
      </c>
      <c r="D293" s="159" t="s">
        <v>1502</v>
      </c>
      <c r="E293" s="121">
        <f>+E288+E289</f>
        <v>0</v>
      </c>
      <c r="F293" s="121">
        <f>+F288+F289</f>
        <v>0</v>
      </c>
      <c r="G293" s="121">
        <f>+G288+G289</f>
        <v>0</v>
      </c>
      <c r="H293" s="121">
        <f>+H288+H289</f>
        <v>0</v>
      </c>
      <c r="I293" s="121">
        <f>+I288+I289</f>
        <v>0</v>
      </c>
    </row>
    <row r="294" spans="2:12" ht="15.75" x14ac:dyDescent="0.25">
      <c r="B294" s="38"/>
      <c r="C294" s="156"/>
      <c r="D294" s="38"/>
      <c r="E294" s="140"/>
      <c r="F294" s="140"/>
      <c r="G294" s="140"/>
      <c r="H294" s="140"/>
      <c r="I294" s="140"/>
    </row>
    <row r="295" spans="2:12" s="10" customFormat="1" ht="15.75" customHeight="1" x14ac:dyDescent="0.25">
      <c r="B295" s="201" t="str">
        <f>CONCATENATE("10. Kiadási jogcímek"," - ",L295," részletező")</f>
        <v>10. Kiadási jogcímek -  részletező</v>
      </c>
      <c r="C295" s="101"/>
      <c r="D295" s="101"/>
      <c r="E295" s="101"/>
      <c r="F295" s="101"/>
      <c r="G295" s="198"/>
      <c r="H295" s="198"/>
      <c r="I295" s="198"/>
      <c r="L295" s="384"/>
    </row>
    <row r="296" spans="2:12" ht="15.75" x14ac:dyDescent="0.25">
      <c r="B296" s="38"/>
      <c r="C296" s="156"/>
      <c r="D296" s="38"/>
      <c r="E296" s="140"/>
      <c r="F296" s="140"/>
      <c r="G296" s="140"/>
      <c r="H296" s="140"/>
      <c r="I296" s="140"/>
    </row>
    <row r="297" spans="2:12" x14ac:dyDescent="0.25">
      <c r="B297" s="77"/>
      <c r="C297" s="77" t="s">
        <v>350</v>
      </c>
      <c r="D297" s="77" t="s">
        <v>351</v>
      </c>
      <c r="E297" s="77" t="s">
        <v>470</v>
      </c>
      <c r="F297" s="77" t="s">
        <v>471</v>
      </c>
      <c r="G297" s="77" t="s">
        <v>44</v>
      </c>
      <c r="H297" s="77" t="s">
        <v>42</v>
      </c>
      <c r="I297" s="77" t="s">
        <v>511</v>
      </c>
    </row>
    <row r="298" spans="2:12" ht="38.25" x14ac:dyDescent="0.25">
      <c r="B298" s="160">
        <v>1</v>
      </c>
      <c r="C298" s="154" t="s">
        <v>593</v>
      </c>
      <c r="D298" s="154" t="s">
        <v>488</v>
      </c>
      <c r="E298" s="163" t="str">
        <f>CONCATENATE(PAR!$H$3," évi
eredeti 
előirányzat")</f>
        <v>2025. évi
eredeti 
előirányzat</v>
      </c>
      <c r="F298" s="163" t="str">
        <f>CONCATENATE(PAR!$H$3," évi
módosított 
előirányzat")</f>
        <v>2025. évi
módosított 
előirányzat</v>
      </c>
      <c r="G298" s="78" t="s">
        <v>666</v>
      </c>
      <c r="H298" s="78" t="s">
        <v>667</v>
      </c>
      <c r="I298" s="78" t="s">
        <v>668</v>
      </c>
    </row>
    <row r="299" spans="2:12" x14ac:dyDescent="0.25">
      <c r="B299" s="160">
        <v>2</v>
      </c>
      <c r="C299" s="78" t="s">
        <v>352</v>
      </c>
      <c r="D299" s="92" t="s">
        <v>1444</v>
      </c>
      <c r="E299" s="121">
        <f>SUM(E300:E304)</f>
        <v>0</v>
      </c>
      <c r="F299" s="121">
        <f>SUM(F300:F304)</f>
        <v>0</v>
      </c>
      <c r="G299" s="121">
        <f>SUM(G300:G304)</f>
        <v>0</v>
      </c>
      <c r="H299" s="121">
        <f>SUM(H300:H304)</f>
        <v>0</v>
      </c>
      <c r="I299" s="121">
        <f>SUM(I300:I304)</f>
        <v>0</v>
      </c>
    </row>
    <row r="300" spans="2:12" x14ac:dyDescent="0.25">
      <c r="B300" s="160">
        <v>3</v>
      </c>
      <c r="C300" s="305" t="s">
        <v>315</v>
      </c>
      <c r="D300" s="93" t="s">
        <v>342</v>
      </c>
      <c r="E300" s="72">
        <f>SUMIF(Adat!$AI:$AI,CONCATENATE(61,$M$4,"051",L295),Adat!$E:$E)</f>
        <v>0</v>
      </c>
      <c r="F300" s="72">
        <f>SUMIF(Adat!$AI:$AI,CONCATENATE(60,$M$4,"051",L295),Adat!$E:$E)+E300</f>
        <v>0</v>
      </c>
      <c r="G300" s="72">
        <f>SUMIF(Adat!$AJ:$AJ,CONCATENATE($M$4,"051","(KÖT)",L295),Adat!$E:$E)</f>
        <v>0</v>
      </c>
      <c r="H300" s="72">
        <f>SUMIF(Adat!$AJ:$AJ,CONCATENATE($M$4,"051","(ÖNV)",L295),Adat!$E:$E)</f>
        <v>0</v>
      </c>
      <c r="I300" s="72">
        <f>SUMIF(Adat!$AJ:$AJ,CONCATENATE($M$4,"051","(ÁIG)",L295),Adat!$E:$E)</f>
        <v>0</v>
      </c>
    </row>
    <row r="301" spans="2:12" x14ac:dyDescent="0.25">
      <c r="B301" s="160">
        <v>4</v>
      </c>
      <c r="C301" s="305" t="s">
        <v>317</v>
      </c>
      <c r="D301" s="93" t="s">
        <v>395</v>
      </c>
      <c r="E301" s="72">
        <f>SUMIF(Adat!$AI:$AI,CONCATENATE(61,$M$4,"052",L295),Adat!$E:$E)</f>
        <v>0</v>
      </c>
      <c r="F301" s="72">
        <f>SUMIF(Adat!$AI:$AI,CONCATENATE(60,$M$4,"052",L295),Adat!$E:$E)+E301</f>
        <v>0</v>
      </c>
      <c r="G301" s="72">
        <f>SUMIF(Adat!$AJ:$AJ,CONCATENATE($M$4,"052","(KÖT)",L295),Adat!$E:$E)</f>
        <v>0</v>
      </c>
      <c r="H301" s="72">
        <f>SUMIF(Adat!$AJ:$AJ,CONCATENATE($M$4,"052","(ÖNV)",L295),Adat!$E:$E)</f>
        <v>0</v>
      </c>
      <c r="I301" s="72">
        <f>SUMIF(Adat!$AJ:$AJ,CONCATENATE($M$4,"052","(ÁIG)",L295),Adat!$E:$E)</f>
        <v>0</v>
      </c>
    </row>
    <row r="302" spans="2:12" x14ac:dyDescent="0.25">
      <c r="B302" s="160">
        <v>5</v>
      </c>
      <c r="C302" s="305" t="s">
        <v>4</v>
      </c>
      <c r="D302" s="93" t="s">
        <v>344</v>
      </c>
      <c r="E302" s="72">
        <f>SUMIF(Adat!$AI:$AI,CONCATENATE(61,$M$4,"053",L295),Adat!$E:$E)</f>
        <v>0</v>
      </c>
      <c r="F302" s="72">
        <f>SUMIF(Adat!$AI:$AI,CONCATENATE(60,$M$4,"053",L295),Adat!$E:$E)+E302</f>
        <v>0</v>
      </c>
      <c r="G302" s="72">
        <f>SUMIF(Adat!$AJ:$AJ,CONCATENATE($M$4,"053","(KÖT)",L295),Adat!$E:$E)</f>
        <v>0</v>
      </c>
      <c r="H302" s="72">
        <f>SUMIF(Adat!$AJ:$AJ,CONCATENATE($M$4,"053","(ÖNV)",L295),Adat!$E:$E)</f>
        <v>0</v>
      </c>
      <c r="I302" s="72">
        <f>SUMIF(Adat!$AJ:$AJ,CONCATENATE($M$4,"053","(ÁIG)",L295),Adat!$E:$E)</f>
        <v>0</v>
      </c>
    </row>
    <row r="303" spans="2:12" x14ac:dyDescent="0.25">
      <c r="B303" s="160">
        <v>6</v>
      </c>
      <c r="C303" s="305" t="s">
        <v>6</v>
      </c>
      <c r="D303" s="93" t="s">
        <v>345</v>
      </c>
      <c r="E303" s="72">
        <f>SUMIF(Adat!$AI:$AI,CONCATENATE(61,$M$4,"054",L295),Adat!$E:$E)</f>
        <v>0</v>
      </c>
      <c r="F303" s="72">
        <f>SUMIF(Adat!$AI:$AI,CONCATENATE(60,$M$4,"054",L295),Adat!$E:$E)+E303</f>
        <v>0</v>
      </c>
      <c r="G303" s="72">
        <f>SUMIF(Adat!$AJ:$AJ,CONCATENATE($M$4,"054","(KÖT)",L295),Adat!$E:$E)</f>
        <v>0</v>
      </c>
      <c r="H303" s="72">
        <f>SUMIF(Adat!$AJ:$AJ,CONCATENATE($M$4,"054","(ÖNV)",L295),Adat!$E:$E)</f>
        <v>0</v>
      </c>
      <c r="I303" s="72">
        <f>SUMIF(Adat!$AJ:$AJ,CONCATENATE($M$4,"054","(ÁIG)",L295),Adat!$E:$E)</f>
        <v>0</v>
      </c>
    </row>
    <row r="304" spans="2:12" x14ac:dyDescent="0.25">
      <c r="B304" s="160">
        <v>7</v>
      </c>
      <c r="C304" s="305" t="s">
        <v>8</v>
      </c>
      <c r="D304" s="93" t="s">
        <v>321</v>
      </c>
      <c r="E304" s="72">
        <f>SUMIF(Adat!$AI:$AI,CONCATENATE(61,$M$4,"055",L295),Adat!$E:$E)</f>
        <v>0</v>
      </c>
      <c r="F304" s="72">
        <f>SUMIF(Adat!$AI:$AI,CONCATENATE(60,$M$4,"055",L295),Adat!$E:$E)+E304</f>
        <v>0</v>
      </c>
      <c r="G304" s="72">
        <f>SUMIF(Adat!$AJ:$AJ,CONCATENATE($M$4,"055","(KÖT)",L295),Adat!$E:$E)</f>
        <v>0</v>
      </c>
      <c r="H304" s="72">
        <f>SUMIF(Adat!$AJ:$AJ,CONCATENATE($M$4,"055","(ÖNV)",L295),Adat!$E:$E)</f>
        <v>0</v>
      </c>
      <c r="I304" s="72">
        <f>SUMIF(Adat!$AJ:$AJ,CONCATENATE($M$4,"055","(ÁIG)",L295),Adat!$E:$E)</f>
        <v>0</v>
      </c>
    </row>
    <row r="305" spans="2:12" x14ac:dyDescent="0.25">
      <c r="B305" s="160">
        <v>8</v>
      </c>
      <c r="C305" s="78" t="s">
        <v>358</v>
      </c>
      <c r="D305" s="92" t="s">
        <v>1447</v>
      </c>
      <c r="E305" s="121">
        <f>E306+E308+E310</f>
        <v>0</v>
      </c>
      <c r="F305" s="121">
        <f>F306+F308+F310</f>
        <v>0</v>
      </c>
      <c r="G305" s="121">
        <f>G306+G308+G310</f>
        <v>0</v>
      </c>
      <c r="H305" s="121">
        <f>H306+H308+H310</f>
        <v>0</v>
      </c>
      <c r="I305" s="121">
        <f>I306+I308+I310</f>
        <v>0</v>
      </c>
    </row>
    <row r="306" spans="2:12" x14ac:dyDescent="0.25">
      <c r="B306" s="160">
        <v>9</v>
      </c>
      <c r="C306" s="305" t="s">
        <v>10</v>
      </c>
      <c r="D306" s="93" t="s">
        <v>322</v>
      </c>
      <c r="E306" s="72">
        <f>SUMIF(Adat!$AI:$AI,CONCATENATE(61,$M$4,"056",L295),Adat!$E:$E)</f>
        <v>0</v>
      </c>
      <c r="F306" s="72">
        <f>SUMIF(Adat!$AI:$AI,CONCATENATE(60,$M$4,"056",L295),Adat!$E:$E)+E306</f>
        <v>0</v>
      </c>
      <c r="G306" s="72">
        <f>SUMIF(Adat!$AJ:$AJ,CONCATENATE($M$4,"056","(KÖT)",L295),Adat!$E:$E)</f>
        <v>0</v>
      </c>
      <c r="H306" s="72">
        <f>SUMIF(Adat!$AJ:$AJ,CONCATENATE($M$4,"056","(ÖNV)",L295),Adat!$E:$E)</f>
        <v>0</v>
      </c>
      <c r="I306" s="72">
        <f>SUMIF(Adat!$AJ:$AJ,CONCATENATE($M$4,"056","(ÁIG)",L295),Adat!$E:$E)</f>
        <v>0</v>
      </c>
    </row>
    <row r="307" spans="2:12" x14ac:dyDescent="0.25">
      <c r="B307" s="160">
        <v>10</v>
      </c>
      <c r="C307" s="305" t="s">
        <v>10</v>
      </c>
      <c r="D307" s="93" t="s">
        <v>1448</v>
      </c>
      <c r="E307" s="72">
        <v>0</v>
      </c>
      <c r="F307" s="72">
        <f>SUM(G307:I307)</f>
        <v>0</v>
      </c>
      <c r="G307" s="72">
        <v>0</v>
      </c>
      <c r="H307" s="72">
        <v>0</v>
      </c>
      <c r="I307" s="72">
        <v>0</v>
      </c>
    </row>
    <row r="308" spans="2:12" x14ac:dyDescent="0.25">
      <c r="B308" s="160">
        <v>11</v>
      </c>
      <c r="C308" s="305" t="s">
        <v>12</v>
      </c>
      <c r="D308" s="93" t="s">
        <v>323</v>
      </c>
      <c r="E308" s="72">
        <f>SUMIF(Adat!$AI:$AI,CONCATENATE(61,$M$4,"057",L295),Adat!$E:$E)</f>
        <v>0</v>
      </c>
      <c r="F308" s="72">
        <f>SUMIF(Adat!$AI:$AI,CONCATENATE(60,$M$4,"057",L295),Adat!$E:$E)+E308</f>
        <v>0</v>
      </c>
      <c r="G308" s="72">
        <f>SUMIF(Adat!$AJ:$AJ,CONCATENATE($M$4,"057","(KÖT)",L295),Adat!$E:$E)</f>
        <v>0</v>
      </c>
      <c r="H308" s="72">
        <f>SUMIF(Adat!$AJ:$AJ,CONCATENATE($M$4,"057","(ÖNV)",L295),Adat!$E:$E)</f>
        <v>0</v>
      </c>
      <c r="I308" s="72">
        <f>SUMIF(Adat!$AJ:$AJ,CONCATENATE($M$4,"057","(ÁIG)",L295),Adat!$E:$E)</f>
        <v>0</v>
      </c>
    </row>
    <row r="309" spans="2:12" x14ac:dyDescent="0.25">
      <c r="B309" s="160">
        <v>12</v>
      </c>
      <c r="C309" s="305" t="s">
        <v>12</v>
      </c>
      <c r="D309" s="93" t="s">
        <v>1449</v>
      </c>
      <c r="E309" s="72">
        <v>0</v>
      </c>
      <c r="F309" s="72">
        <f>SUM(G309:I309)</f>
        <v>0</v>
      </c>
      <c r="G309" s="72">
        <v>0</v>
      </c>
      <c r="H309" s="72">
        <v>0</v>
      </c>
      <c r="I309" s="72">
        <v>0</v>
      </c>
    </row>
    <row r="310" spans="2:12" x14ac:dyDescent="0.25">
      <c r="B310" s="160">
        <v>13</v>
      </c>
      <c r="C310" s="305" t="s">
        <v>15</v>
      </c>
      <c r="D310" s="84" t="s">
        <v>324</v>
      </c>
      <c r="E310" s="72">
        <f>SUMIF(Adat!$AI:$AI,CONCATENATE(61,$M$4,"058",L295),Adat!$E:$E)</f>
        <v>0</v>
      </c>
      <c r="F310" s="72">
        <f>SUMIF(Adat!$AI:$AI,CONCATENATE(60,$M$4,"058",L295),Adat!$E:$E)+E310</f>
        <v>0</v>
      </c>
      <c r="G310" s="72">
        <f>SUMIF(Adat!$AJ:$AJ,CONCATENATE($M$4,"058","(KÖT)",L295),Adat!$E:$E)</f>
        <v>0</v>
      </c>
      <c r="H310" s="72">
        <f>SUMIF(Adat!$AJ:$AJ,CONCATENATE($M$4,"058","(ÖNV)",L295),Adat!$E:$E)</f>
        <v>0</v>
      </c>
      <c r="I310" s="72">
        <f>SUMIF(Adat!$AJ:$AJ,CONCATENATE($M$4,"058","(ÁIG)",L295),Adat!$E:$E)</f>
        <v>0</v>
      </c>
    </row>
    <row r="311" spans="2:12" x14ac:dyDescent="0.25">
      <c r="B311" s="160">
        <v>14</v>
      </c>
      <c r="C311" s="154" t="s">
        <v>364</v>
      </c>
      <c r="D311" s="86" t="s">
        <v>325</v>
      </c>
      <c r="E311" s="71">
        <f>SUMIF(Adat!$AI:$AI,CONCATENATE(61,$M$4,"059",L295),Adat!$E:$E)</f>
        <v>0</v>
      </c>
      <c r="F311" s="71">
        <f>SUMIF(Adat!$AI:$AI,CONCATENATE(60,$M$4,"059",L295),Adat!$E:$E)+E311</f>
        <v>0</v>
      </c>
      <c r="G311" s="71">
        <f>SUMIF(Adat!$AJ:$AJ,CONCATENATE($M$4,"059","(KÖT)",L295),Adat!$E:$E)</f>
        <v>0</v>
      </c>
      <c r="H311" s="71">
        <f>SUMIF(Adat!$AJ:$AJ,CONCATENATE($M$4,"059","(ÖNV)",L295),Adat!$E:$E)</f>
        <v>0</v>
      </c>
      <c r="I311" s="71">
        <f>SUMIF(Adat!$AJ:$AJ,CONCATENATE($M$4,"059","(ÁIG)",L295),Adat!$E:$E)</f>
        <v>0</v>
      </c>
    </row>
    <row r="312" spans="2:12" x14ac:dyDescent="0.25">
      <c r="B312" s="160">
        <v>15</v>
      </c>
      <c r="C312" s="154" t="s">
        <v>403</v>
      </c>
      <c r="D312" s="159" t="s">
        <v>497</v>
      </c>
      <c r="E312" s="121">
        <f>E299+E305+E311</f>
        <v>0</v>
      </c>
      <c r="F312" s="121">
        <f>F299+F305+F311</f>
        <v>0</v>
      </c>
      <c r="G312" s="121">
        <f>G299+G305+G311</f>
        <v>0</v>
      </c>
      <c r="H312" s="121">
        <f>H299+H305+H311</f>
        <v>0</v>
      </c>
      <c r="I312" s="121">
        <f>I299+I305+I311</f>
        <v>0</v>
      </c>
    </row>
    <row r="313" spans="2:12" ht="15.75" x14ac:dyDescent="0.25">
      <c r="B313" s="37"/>
      <c r="C313" s="529"/>
      <c r="D313" s="529"/>
      <c r="E313" s="529"/>
      <c r="F313" s="200"/>
      <c r="G313" s="200"/>
      <c r="H313" s="200"/>
      <c r="I313" s="200"/>
    </row>
    <row r="314" spans="2:12" ht="15.75" x14ac:dyDescent="0.25">
      <c r="B314" s="525" t="str">
        <f>$N$4</f>
        <v>Nagymarosi Polgármesteri Hivatal</v>
      </c>
      <c r="C314" s="525"/>
      <c r="D314" s="525"/>
      <c r="E314" s="525"/>
      <c r="F314" s="525"/>
      <c r="G314" s="525"/>
      <c r="H314" s="525"/>
      <c r="I314" s="525"/>
    </row>
    <row r="315" spans="2:12" ht="15.75" x14ac:dyDescent="0.25">
      <c r="B315" s="525" t="s">
        <v>2660</v>
      </c>
      <c r="C315" s="525"/>
      <c r="D315" s="525"/>
      <c r="E315" s="525"/>
      <c r="F315" s="525"/>
      <c r="G315" s="525"/>
      <c r="H315" s="525"/>
      <c r="I315" s="525"/>
    </row>
    <row r="316" spans="2:12" ht="15.75" x14ac:dyDescent="0.25">
      <c r="B316" s="38"/>
      <c r="C316" s="156"/>
      <c r="D316" s="38"/>
      <c r="E316" s="140"/>
      <c r="F316" s="140"/>
      <c r="G316" s="140"/>
      <c r="H316" s="140"/>
      <c r="I316" s="140"/>
    </row>
    <row r="317" spans="2:12" s="10" customFormat="1" ht="15.75" customHeight="1" x14ac:dyDescent="0.25">
      <c r="B317" s="201" t="str">
        <f>CONCATENATE("11. Bevételi jogcímek"," - ",L317," részletező")</f>
        <v>11. Bevételi jogcímek -  részletező</v>
      </c>
      <c r="C317" s="101"/>
      <c r="D317" s="101"/>
      <c r="E317" s="101"/>
      <c r="F317" s="101"/>
      <c r="G317" s="198"/>
      <c r="H317" s="198"/>
      <c r="I317" s="198"/>
      <c r="L317" s="384"/>
    </row>
    <row r="318" spans="2:12" ht="15.75" x14ac:dyDescent="0.25">
      <c r="B318" s="38"/>
      <c r="C318" s="156"/>
      <c r="D318" s="38"/>
      <c r="E318" s="140"/>
      <c r="F318" s="140"/>
      <c r="G318" s="140"/>
      <c r="H318" s="140"/>
      <c r="I318" s="140"/>
    </row>
    <row r="319" spans="2:12" x14ac:dyDescent="0.25">
      <c r="B319" s="77"/>
      <c r="C319" s="77" t="s">
        <v>350</v>
      </c>
      <c r="D319" s="77" t="s">
        <v>351</v>
      </c>
      <c r="E319" s="77" t="s">
        <v>470</v>
      </c>
      <c r="F319" s="77" t="s">
        <v>471</v>
      </c>
      <c r="G319" s="77" t="s">
        <v>44</v>
      </c>
      <c r="H319" s="77" t="s">
        <v>42</v>
      </c>
      <c r="I319" s="77" t="s">
        <v>511</v>
      </c>
    </row>
    <row r="320" spans="2:12" ht="38.25" x14ac:dyDescent="0.25">
      <c r="B320" s="160">
        <v>1</v>
      </c>
      <c r="C320" s="154" t="s">
        <v>593</v>
      </c>
      <c r="D320" s="154" t="s">
        <v>488</v>
      </c>
      <c r="E320" s="163" t="str">
        <f>CONCATENATE(PAR!$H$3," évi
eredeti 
előirányzat")</f>
        <v>2025. évi
eredeti 
előirányzat</v>
      </c>
      <c r="F320" s="163" t="str">
        <f>CONCATENATE(PAR!$H$3," évi
módosított 
előirányzat")</f>
        <v>2025. évi
módosított 
előirányzat</v>
      </c>
      <c r="G320" s="78" t="s">
        <v>666</v>
      </c>
      <c r="H320" s="78" t="s">
        <v>667</v>
      </c>
      <c r="I320" s="78" t="s">
        <v>668</v>
      </c>
    </row>
    <row r="321" spans="2:9" x14ac:dyDescent="0.25">
      <c r="B321" s="160">
        <v>2</v>
      </c>
      <c r="C321" s="79" t="s">
        <v>30</v>
      </c>
      <c r="D321" s="79" t="s">
        <v>329</v>
      </c>
      <c r="E321" s="121">
        <f>SUM(E322:E334)</f>
        <v>0</v>
      </c>
      <c r="F321" s="121">
        <f t="shared" ref="F321:I321" si="20">SUM(F322:F334)</f>
        <v>0</v>
      </c>
      <c r="G321" s="121">
        <f t="shared" si="20"/>
        <v>0</v>
      </c>
      <c r="H321" s="121">
        <f t="shared" si="20"/>
        <v>0</v>
      </c>
      <c r="I321" s="121">
        <f t="shared" si="20"/>
        <v>0</v>
      </c>
    </row>
    <row r="322" spans="2:9" x14ac:dyDescent="0.2">
      <c r="B322" s="160">
        <v>3</v>
      </c>
      <c r="C322" s="305" t="s">
        <v>1309</v>
      </c>
      <c r="D322" s="82" t="s">
        <v>1356</v>
      </c>
      <c r="E322" s="72">
        <f>SUMIF(Adat!$AG:$AG,CONCATENATE(61,$M$4,"094011",L317),Adat!$E:$E)*-1</f>
        <v>0</v>
      </c>
      <c r="F322" s="72">
        <f>SUMIF(Adat!$AG:$AG,CONCATENATE(60,$M$4,"094011",L317),Adat!$E:$E)*-1+E322</f>
        <v>0</v>
      </c>
      <c r="G322" s="72">
        <f>SUMIF(Adat!$AH:$AH,CONCATENATE($M$4,"(KÖT)","094011",L317),Adat!$E:$E)*-1</f>
        <v>0</v>
      </c>
      <c r="H322" s="72">
        <f>SUMIF(Adat!$AH:$AH,CONCATENATE($M$4,"(ÖNV)","094011",L317),Adat!$E:$E)*-1</f>
        <v>0</v>
      </c>
      <c r="I322" s="72">
        <f>SUMIF(Adat!$AH:$AH,CONCATENATE($M$4,"(ÁIG)","094011",L317),Adat!$E:$E)*-1</f>
        <v>0</v>
      </c>
    </row>
    <row r="323" spans="2:9" x14ac:dyDescent="0.2">
      <c r="B323" s="160">
        <v>4</v>
      </c>
      <c r="C323" s="305" t="s">
        <v>1279</v>
      </c>
      <c r="D323" s="82" t="s">
        <v>1357</v>
      </c>
      <c r="E323" s="72">
        <f>SUMIF(Adat!$AG:$AG,CONCATENATE(61,$M$4,"094021",L317),Adat!$E:$E)*-1</f>
        <v>0</v>
      </c>
      <c r="F323" s="72">
        <f>SUMIF(Adat!$AG:$AG,CONCATENATE(60,$M$4,"094021",L317),Adat!$E:$E)*-1+E323</f>
        <v>0</v>
      </c>
      <c r="G323" s="72">
        <f>SUMIF(Adat!$AH:$AH,CONCATENATE($M$4,"(KÖT)","094021",L317),Adat!$E:$E)*-1</f>
        <v>0</v>
      </c>
      <c r="H323" s="72">
        <f>SUMIF(Adat!$AH:$AH,CONCATENATE($M$4,"(ÖNV)","094021",L317),Adat!$E:$E)*-1</f>
        <v>0</v>
      </c>
      <c r="I323" s="72">
        <f>SUMIF(Adat!$AH:$AH,CONCATENATE($M$4,"(ÁIG)","094021",L317),Adat!$E:$E)*-1</f>
        <v>0</v>
      </c>
    </row>
    <row r="324" spans="2:9" x14ac:dyDescent="0.2">
      <c r="B324" s="160">
        <v>5</v>
      </c>
      <c r="C324" s="305" t="s">
        <v>1272</v>
      </c>
      <c r="D324" s="82" t="s">
        <v>1358</v>
      </c>
      <c r="E324" s="72">
        <f>SUMIF(Adat!$AG:$AG,CONCATENATE(61,$M$4,"094031",L317),Adat!$E:$E)*-1</f>
        <v>0</v>
      </c>
      <c r="F324" s="72">
        <f>SUMIF(Adat!$AG:$AG,CONCATENATE(60,$M$4,"094031",L317),Adat!$E:$E)*-1+E324</f>
        <v>0</v>
      </c>
      <c r="G324" s="72">
        <f>SUMIF(Adat!$AH:$AH,CONCATENATE($M$4,"(KÖT)","094031",L317),Adat!$E:$E)*-1</f>
        <v>0</v>
      </c>
      <c r="H324" s="72">
        <f>SUMIF(Adat!$AH:$AH,CONCATENATE($M$4,"(ÖNV)","094031",L317),Adat!$E:$E)*-1</f>
        <v>0</v>
      </c>
      <c r="I324" s="72">
        <f>SUMIF(Adat!$AH:$AH,CONCATENATE($M$4,"(ÁIG)","094031",L317),Adat!$E:$E)*-1</f>
        <v>0</v>
      </c>
    </row>
    <row r="325" spans="2:9" x14ac:dyDescent="0.2">
      <c r="B325" s="160">
        <v>6</v>
      </c>
      <c r="C325" s="305" t="s">
        <v>1359</v>
      </c>
      <c r="D325" s="82" t="s">
        <v>1360</v>
      </c>
      <c r="E325" s="72">
        <f>SUMIF(Adat!$AG:$AG,CONCATENATE(61,$M$4,"094041",L317),Adat!$E:$E)*-1</f>
        <v>0</v>
      </c>
      <c r="F325" s="72">
        <f>SUMIF(Adat!$AG:$AG,CONCATENATE(60,$M$4,"094041",L317),Adat!$E:$E)*-1+E325</f>
        <v>0</v>
      </c>
      <c r="G325" s="72">
        <f>SUMIF(Adat!$AH:$AH,CONCATENATE($M$4,"(KÖT)","094041",L317),Adat!$E:$E)*-1</f>
        <v>0</v>
      </c>
      <c r="H325" s="72">
        <f>SUMIF(Adat!$AH:$AH,CONCATENATE($M$4,"(ÖNV)","094041",L317),Adat!$E:$E)*-1</f>
        <v>0</v>
      </c>
      <c r="I325" s="72">
        <f>SUMIF(Adat!$AH:$AH,CONCATENATE($M$4,"(ÁIG)","094041",L317),Adat!$E:$E)*-1</f>
        <v>0</v>
      </c>
    </row>
    <row r="326" spans="2:9" x14ac:dyDescent="0.2">
      <c r="B326" s="160">
        <v>7</v>
      </c>
      <c r="C326" s="305" t="s">
        <v>1261</v>
      </c>
      <c r="D326" s="82" t="s">
        <v>1361</v>
      </c>
      <c r="E326" s="72">
        <f>SUMIF(Adat!$AG:$AG,CONCATENATE(61,$M$4,"094051",L317),Adat!$E:$E)*-1</f>
        <v>0</v>
      </c>
      <c r="F326" s="72">
        <f>SUMIF(Adat!$AG:$AG,CONCATENATE(60,$M$4,"094051",L317),Adat!$E:$E)*-1+E326</f>
        <v>0</v>
      </c>
      <c r="G326" s="72">
        <f>SUMIF(Adat!$AH:$AH,CONCATENATE($M$4,"(KÖT)","094051",L317),Adat!$E:$E)*-1</f>
        <v>0</v>
      </c>
      <c r="H326" s="72">
        <f>SUMIF(Adat!$AH:$AH,CONCATENATE($M$4,"(ÖNV)","094051",L317),Adat!$E:$E)*-1</f>
        <v>0</v>
      </c>
      <c r="I326" s="72">
        <f>SUMIF(Adat!$AH:$AH,CONCATENATE($M$4,"(ÁIG)","094051",L317),Adat!$E:$E)*-1</f>
        <v>0</v>
      </c>
    </row>
    <row r="327" spans="2:9" x14ac:dyDescent="0.2">
      <c r="B327" s="160">
        <v>8</v>
      </c>
      <c r="C327" s="305" t="s">
        <v>1273</v>
      </c>
      <c r="D327" s="82" t="s">
        <v>1362</v>
      </c>
      <c r="E327" s="72">
        <f>SUMIF(Adat!$AG:$AG,CONCATENATE(61,$M$4,"094061",L317),Adat!$E:$E)*-1</f>
        <v>0</v>
      </c>
      <c r="F327" s="72">
        <f>SUMIF(Adat!$AG:$AG,CONCATENATE(60,$M$4,"094061",L317),Adat!$E:$E)*-1+E327</f>
        <v>0</v>
      </c>
      <c r="G327" s="72">
        <f>SUMIF(Adat!$AH:$AH,CONCATENATE($M$4,"(KÖT)","094061",L317),Adat!$E:$E)*-1</f>
        <v>0</v>
      </c>
      <c r="H327" s="72">
        <f>SUMIF(Adat!$AH:$AH,CONCATENATE($M$4,"(ÖNV)","094061",L317),Adat!$E:$E)*-1</f>
        <v>0</v>
      </c>
      <c r="I327" s="72">
        <f>SUMIF(Adat!$AH:$AH,CONCATENATE($M$4,"(ÁIG)","094061",L317),Adat!$E:$E)*-1</f>
        <v>0</v>
      </c>
    </row>
    <row r="328" spans="2:9" x14ac:dyDescent="0.2">
      <c r="B328" s="160">
        <v>9</v>
      </c>
      <c r="C328" s="305" t="s">
        <v>1363</v>
      </c>
      <c r="D328" s="82" t="s">
        <v>1364</v>
      </c>
      <c r="E328" s="72">
        <f>SUMIF(Adat!$AG:$AG,CONCATENATE(61,$M$4,"094071",L317),Adat!$E:$E)*-1</f>
        <v>0</v>
      </c>
      <c r="F328" s="72">
        <f>SUMIF(Adat!$AG:$AG,CONCATENATE(60,$M$4,"094071",L317),Adat!$E:$E)*-1+E328</f>
        <v>0</v>
      </c>
      <c r="G328" s="72">
        <f>SUMIF(Adat!$AH:$AH,CONCATENATE($M$4,"(KÖT)","094071",L317),Adat!$E:$E)*-1</f>
        <v>0</v>
      </c>
      <c r="H328" s="72">
        <f>SUMIF(Adat!$AH:$AH,CONCATENATE($M$4,"(ÖNV)","094071",L317),Adat!$E:$E)*-1</f>
        <v>0</v>
      </c>
      <c r="I328" s="72">
        <f>SUMIF(Adat!$AH:$AH,CONCATENATE($M$4,"(ÁIG)","094071",L317),Adat!$E:$E)*-1</f>
        <v>0</v>
      </c>
    </row>
    <row r="329" spans="2:9" x14ac:dyDescent="0.2">
      <c r="B329" s="160">
        <v>10</v>
      </c>
      <c r="C329" s="305" t="s">
        <v>1306</v>
      </c>
      <c r="D329" s="82" t="s">
        <v>1365</v>
      </c>
      <c r="E329" s="72">
        <f>SUMIF(Adat!$AG:$AG,CONCATENATE(61,$M$4,"0940811",L317),Adat!$E:$E)*-1</f>
        <v>0</v>
      </c>
      <c r="F329" s="72">
        <f>SUMIF(Adat!$AG:$AG,CONCATENATE(60,$M$4,"0940811",L317),Adat!$E:$E)*-1+E329</f>
        <v>0</v>
      </c>
      <c r="G329" s="72">
        <f>SUMIF(Adat!$AH:$AH,CONCATENATE($M$4,"(KÖT)","0940811",L317),Adat!$E:$E)*-1</f>
        <v>0</v>
      </c>
      <c r="H329" s="72">
        <f>SUMIF(Adat!$AH:$AH,CONCATENATE($M$4,"(ÖNV)","0940811",L317),Adat!$E:$E)*-1</f>
        <v>0</v>
      </c>
      <c r="I329" s="72">
        <f>SUMIF(Adat!$AH:$AH,CONCATENATE($M$4,"(ÁIG)","0940811",L317),Adat!$E:$E)*-1</f>
        <v>0</v>
      </c>
    </row>
    <row r="330" spans="2:9" x14ac:dyDescent="0.2">
      <c r="B330" s="160">
        <v>11</v>
      </c>
      <c r="C330" s="305" t="s">
        <v>1295</v>
      </c>
      <c r="D330" s="82" t="s">
        <v>1366</v>
      </c>
      <c r="E330" s="72">
        <f>SUMIF(Adat!$AG:$AG,CONCATENATE(61,$M$4,"0940821",L317),Adat!$E:$E)*-1</f>
        <v>0</v>
      </c>
      <c r="F330" s="72">
        <f>SUMIF(Adat!$AG:$AG,CONCATENATE(60,$M$4,"0940821",L317),Adat!$E:$E)*-1+E330</f>
        <v>0</v>
      </c>
      <c r="G330" s="72">
        <f>SUMIF(Adat!$AH:$AH,CONCATENATE($M$4,"(KÖT)","0940821",L317),Adat!$E:$E)*-1</f>
        <v>0</v>
      </c>
      <c r="H330" s="72">
        <f>SUMIF(Adat!$AH:$AH,CONCATENATE($M$4,"(ÖNV)","0940821",L317),Adat!$E:$E)*-1</f>
        <v>0</v>
      </c>
      <c r="I330" s="72">
        <f>SUMIF(Adat!$AH:$AH,CONCATENATE($M$4,"(ÁIG)","0940821",L317),Adat!$E:$E)*-1</f>
        <v>0</v>
      </c>
    </row>
    <row r="331" spans="2:9" x14ac:dyDescent="0.2">
      <c r="B331" s="160">
        <v>12</v>
      </c>
      <c r="C331" s="305" t="s">
        <v>1367</v>
      </c>
      <c r="D331" s="82" t="s">
        <v>1368</v>
      </c>
      <c r="E331" s="72">
        <f>SUMIF(Adat!$AG:$AG,CONCATENATE(61,$M$4,"0940911",L317),Adat!$E:$E)*-1</f>
        <v>0</v>
      </c>
      <c r="F331" s="72">
        <f>SUMIF(Adat!$AG:$AG,CONCATENATE(60,$M$4,"0940911",L317),Adat!$E:$E)*-1+E331</f>
        <v>0</v>
      </c>
      <c r="G331" s="72">
        <f>SUMIF(Adat!$AH:$AH,CONCATENATE($M$4,"(KÖT)","0940911",L317),Adat!$E:$E)*-1</f>
        <v>0</v>
      </c>
      <c r="H331" s="72">
        <f>SUMIF(Adat!$AH:$AH,CONCATENATE($M$4,"(ÖNV)","0940911",L317),Adat!$E:$E)*-1</f>
        <v>0</v>
      </c>
      <c r="I331" s="72">
        <f>SUMIF(Adat!$AH:$AH,CONCATENATE($M$4,"(ÁIG)","0940911",L317),Adat!$E:$E)*-1</f>
        <v>0</v>
      </c>
    </row>
    <row r="332" spans="2:9" x14ac:dyDescent="0.2">
      <c r="B332" s="160">
        <v>13</v>
      </c>
      <c r="C332" s="305" t="s">
        <v>1369</v>
      </c>
      <c r="D332" s="82" t="s">
        <v>1370</v>
      </c>
      <c r="E332" s="72">
        <f>SUMIF(Adat!$AG:$AG,CONCATENATE(61,$M$4,"0940921",L317),Adat!$E:$E)*-1</f>
        <v>0</v>
      </c>
      <c r="F332" s="72">
        <f>SUMIF(Adat!$AG:$AG,CONCATENATE(60,$M$4,"0940921",L317),Adat!$E:$E)*-1+E332</f>
        <v>0</v>
      </c>
      <c r="G332" s="72">
        <f>SUMIF(Adat!$AH:$AH,CONCATENATE($M$4,"(KÖT)","0940921",L317),Adat!$E:$E)*-1</f>
        <v>0</v>
      </c>
      <c r="H332" s="72">
        <f>SUMIF(Adat!$AH:$AH,CONCATENATE($M$4,"(ÖNV)","0940921",L317),Adat!$E:$E)*-1</f>
        <v>0</v>
      </c>
      <c r="I332" s="72">
        <f>SUMIF(Adat!$AH:$AH,CONCATENATE($M$4,"(ÁIG)","0940921",L317),Adat!$E:$E)*-1</f>
        <v>0</v>
      </c>
    </row>
    <row r="333" spans="2:9" x14ac:dyDescent="0.2">
      <c r="B333" s="160">
        <v>14</v>
      </c>
      <c r="C333" s="305" t="s">
        <v>1296</v>
      </c>
      <c r="D333" s="82" t="s">
        <v>1371</v>
      </c>
      <c r="E333" s="72">
        <f>SUMIF(Adat!$AG:$AG,CONCATENATE(61,$M$4,"094101",L317),Adat!$E:$E)*-1</f>
        <v>0</v>
      </c>
      <c r="F333" s="72">
        <f>SUMIF(Adat!$AG:$AG,CONCATENATE(60,$M$4,"094101",L317),Adat!$E:$E)*-1+E333</f>
        <v>0</v>
      </c>
      <c r="G333" s="72">
        <f>SUMIF(Adat!$AH:$AH,CONCATENATE($M$4,"(KÖT)","094101",L317),Adat!$E:$E)*-1</f>
        <v>0</v>
      </c>
      <c r="H333" s="72">
        <f>SUMIF(Adat!$AH:$AH,CONCATENATE($M$4,"(ÖNV)","094101",L317),Adat!$E:$E)*-1</f>
        <v>0</v>
      </c>
      <c r="I333" s="72">
        <f>SUMIF(Adat!$AH:$AH,CONCATENATE($M$4,"(ÁIG)","094101",L317),Adat!$E:$E)*-1</f>
        <v>0</v>
      </c>
    </row>
    <row r="334" spans="2:9" x14ac:dyDescent="0.25">
      <c r="B334" s="160">
        <v>15</v>
      </c>
      <c r="C334" s="305" t="s">
        <v>1297</v>
      </c>
      <c r="D334" s="84" t="s">
        <v>1372</v>
      </c>
      <c r="E334" s="72">
        <f>SUMIF(Adat!$AG:$AG,CONCATENATE(61,$M$4,"094111",L317),Adat!$E:$E)*-1</f>
        <v>0</v>
      </c>
      <c r="F334" s="72">
        <f>SUMIF(Adat!$AG:$AG,CONCATENATE(60,$M$4,"094111",L317),Adat!$E:$E)*-1+E334</f>
        <v>0</v>
      </c>
      <c r="G334" s="72">
        <f>SUMIF(Adat!$AH:$AH,CONCATENATE($M$4,"(KÖT)","094111",L317),Adat!$E:$E)*-1</f>
        <v>0</v>
      </c>
      <c r="H334" s="72">
        <f>SUMIF(Adat!$AH:$AH,CONCATENATE($M$4,"(ÖNV)","094111",L317),Adat!$E:$E)*-1</f>
        <v>0</v>
      </c>
      <c r="I334" s="72">
        <f>SUMIF(Adat!$AH:$AH,CONCATENATE($M$4,"(ÁIG)","094111",L317),Adat!$E:$E)*-1</f>
        <v>0</v>
      </c>
    </row>
    <row r="335" spans="2:9" x14ac:dyDescent="0.25">
      <c r="B335" s="160">
        <v>16</v>
      </c>
      <c r="C335" s="78" t="s">
        <v>1328</v>
      </c>
      <c r="D335" s="85" t="s">
        <v>437</v>
      </c>
      <c r="E335" s="121">
        <f>SUM(E336:E338)</f>
        <v>0</v>
      </c>
      <c r="F335" s="121">
        <f>SUM(F336:F338)</f>
        <v>0</v>
      </c>
      <c r="G335" s="121">
        <f>SUM(G336:G338)</f>
        <v>0</v>
      </c>
      <c r="H335" s="121">
        <f>SUM(H336:H338)</f>
        <v>0</v>
      </c>
      <c r="I335" s="121">
        <f>SUM(I336:I338)</f>
        <v>0</v>
      </c>
    </row>
    <row r="336" spans="2:9" x14ac:dyDescent="0.2">
      <c r="B336" s="160">
        <v>17</v>
      </c>
      <c r="C336" s="305" t="s">
        <v>1329</v>
      </c>
      <c r="D336" s="82" t="s">
        <v>1330</v>
      </c>
      <c r="E336" s="72">
        <f>SUMIF(Adat!$AG:$AG,CONCATENATE(61,$M$4,"09121",L317),Adat!$E:$E)*-1</f>
        <v>0</v>
      </c>
      <c r="F336" s="72">
        <f>SUMIF(Adat!$AG:$AG,CONCATENATE(60,$M$4,"09121",L317),Adat!$E:$E)*-1+E336</f>
        <v>0</v>
      </c>
      <c r="G336" s="72">
        <f>SUMIF(Adat!$AH:$AH,CONCATENATE($M$4,"(KÖT)","09121",L317),Adat!$E:$E)*-1</f>
        <v>0</v>
      </c>
      <c r="H336" s="72">
        <f>SUMIF(Adat!$AH:$AH,CONCATENATE($M$4,"(ÖNV)","09121",L317),Adat!$E:$E)*-1</f>
        <v>0</v>
      </c>
      <c r="I336" s="72">
        <f>SUMIF(Adat!$AH:$AH,CONCATENATE($M$4,"(ÁIG)","09121",L317),Adat!$E:$E)*-1</f>
        <v>0</v>
      </c>
    </row>
    <row r="337" spans="2:9" x14ac:dyDescent="0.2">
      <c r="B337" s="160">
        <v>18</v>
      </c>
      <c r="C337" s="305" t="s">
        <v>1335</v>
      </c>
      <c r="D337" s="82" t="s">
        <v>1336</v>
      </c>
      <c r="E337" s="72">
        <f>SUMIF(Adat!$AG:$AG,CONCATENATE(61,$M$4,"09151",L317),Adat!$E:$E)*-1</f>
        <v>0</v>
      </c>
      <c r="F337" s="72">
        <f>SUMIF(Adat!$AG:$AG,CONCATENATE(60,$M$4,"09151",L317),Adat!$E:$E)*-1+E337</f>
        <v>0</v>
      </c>
      <c r="G337" s="72">
        <f>SUMIF(Adat!$AH:$AH,CONCATENATE($M$4,"(KÖT)","09151",L317),Adat!$E:$E)*-1</f>
        <v>0</v>
      </c>
      <c r="H337" s="72">
        <f>SUMIF(Adat!$AH:$AH,CONCATENATE($M$4,"(ÖNV)","09151",L317),Adat!$E:$E)*-1</f>
        <v>0</v>
      </c>
      <c r="I337" s="72">
        <f>SUMIF(Adat!$AH:$AH,CONCATENATE($M$4,"(ÁIG)","09151",L317),Adat!$E:$E)*-1</f>
        <v>0</v>
      </c>
    </row>
    <row r="338" spans="2:9" x14ac:dyDescent="0.2">
      <c r="B338" s="160">
        <v>19</v>
      </c>
      <c r="C338" s="305" t="s">
        <v>1278</v>
      </c>
      <c r="D338" s="82" t="s">
        <v>1337</v>
      </c>
      <c r="E338" s="72">
        <f>SUMIF(Adat!$AG:$AG,CONCATENATE(61,$M$4,"09161",L317),Adat!$E:$E)*-1</f>
        <v>0</v>
      </c>
      <c r="F338" s="72">
        <f>SUMIF(Adat!$AG:$AG,CONCATENATE(60,$M$4,"09161",L317),Adat!$E:$E)*-1+E338</f>
        <v>0</v>
      </c>
      <c r="G338" s="72">
        <f>SUMIF(Adat!$AH:$AH,CONCATENATE($M$4,"(KÖT)","09161",L317),Adat!$E:$E)*-1</f>
        <v>0</v>
      </c>
      <c r="H338" s="72">
        <f>SUMIF(Adat!$AH:$AH,CONCATENATE($M$4,"(ÖNV)","09161",L317),Adat!$E:$E)*-1</f>
        <v>0</v>
      </c>
      <c r="I338" s="72">
        <f>SUMIF(Adat!$AH:$AH,CONCATENATE($M$4,"(ÁIG)","09161",L317),Adat!$E:$E)*-1</f>
        <v>0</v>
      </c>
    </row>
    <row r="339" spans="2:9" x14ac:dyDescent="0.25">
      <c r="B339" s="160">
        <v>20</v>
      </c>
      <c r="C339" s="79" t="s">
        <v>27</v>
      </c>
      <c r="D339" s="79" t="s">
        <v>328</v>
      </c>
      <c r="E339" s="71">
        <f>SUMIF(Adat!$AI:$AI,CONCATENATE(61,$M$4,"093",L317),Adat!$E:$E)*-1</f>
        <v>0</v>
      </c>
      <c r="F339" s="71">
        <f>SUMIF(Adat!$AI:$AI,CONCATENATE(60,$M$4,"093",L317),Adat!$E:$E)*-1+E339</f>
        <v>0</v>
      </c>
      <c r="G339" s="71">
        <f>SUMIF(Adat!$AJ:$AJ,CONCATENATE($M$4,"093","(KÖT)",L317),Adat!$E:$E)*-1</f>
        <v>0</v>
      </c>
      <c r="H339" s="71">
        <f>SUMIF(Adat!$AJ:$AJ,CONCATENATE($M$4,"093","(ÖNV)",L317),Adat!$E:$E)*-1</f>
        <v>0</v>
      </c>
      <c r="I339" s="71">
        <f>SUMIF(Adat!$AJ:$AJ,CONCATENATE($M$4,"093","(ÁIG)",L317),Adat!$E:$E)*-1</f>
        <v>0</v>
      </c>
    </row>
    <row r="340" spans="2:9" x14ac:dyDescent="0.25">
      <c r="B340" s="160">
        <v>21</v>
      </c>
      <c r="C340" s="79" t="s">
        <v>24</v>
      </c>
      <c r="D340" s="79" t="s">
        <v>449</v>
      </c>
      <c r="E340" s="121">
        <f>SUM(E341:E343)</f>
        <v>0</v>
      </c>
      <c r="F340" s="121">
        <f t="shared" ref="F340:I340" si="21">SUM(F341:F343)</f>
        <v>0</v>
      </c>
      <c r="G340" s="121">
        <f t="shared" si="21"/>
        <v>0</v>
      </c>
      <c r="H340" s="121">
        <f t="shared" si="21"/>
        <v>0</v>
      </c>
      <c r="I340" s="121">
        <f t="shared" si="21"/>
        <v>0</v>
      </c>
    </row>
    <row r="341" spans="2:9" x14ac:dyDescent="0.2">
      <c r="B341" s="160">
        <v>22</v>
      </c>
      <c r="C341" s="305" t="s">
        <v>1339</v>
      </c>
      <c r="D341" s="82" t="s">
        <v>1340</v>
      </c>
      <c r="E341" s="72">
        <f>SUMIF(Adat!$AG:$AG,CONCATENATE(61,$M$4,"09211",L317),Adat!$E:$E)*-1</f>
        <v>0</v>
      </c>
      <c r="F341" s="72">
        <f>SUMIF(Adat!$AG:$AG,CONCATENATE(60,$M$4,"09211",L317),Adat!$E:$E)*-1+E341</f>
        <v>0</v>
      </c>
      <c r="G341" s="72">
        <f>SUMIF(Adat!$AH:$AH,CONCATENATE($M$4,"(KÖT)","09211",L317),Adat!$E:$E)*-1</f>
        <v>0</v>
      </c>
      <c r="H341" s="72">
        <f>SUMIF(Adat!$AH:$AH,CONCATENATE($M$4,"(ÖNV)","09211",L317),Adat!$E:$E)*-1</f>
        <v>0</v>
      </c>
      <c r="I341" s="72">
        <f>SUMIF(Adat!$AH:$AH,CONCATENATE($M$4,"(ÁIG)","09211",L317),Adat!$E:$E)*-1</f>
        <v>0</v>
      </c>
    </row>
    <row r="342" spans="2:9" x14ac:dyDescent="0.2">
      <c r="B342" s="160">
        <v>23</v>
      </c>
      <c r="C342" s="305" t="s">
        <v>1345</v>
      </c>
      <c r="D342" s="82" t="s">
        <v>1346</v>
      </c>
      <c r="E342" s="72">
        <f>SUMIF(Adat!$AG:$AG,CONCATENATE(61,$M$4,"09241",L317),Adat!$E:$E)*-1</f>
        <v>0</v>
      </c>
      <c r="F342" s="72">
        <f>SUMIF(Adat!$AG:$AG,CONCATENATE(60,$M$4,"09241",L317),Adat!$E:$E)*-1+E342</f>
        <v>0</v>
      </c>
      <c r="G342" s="72">
        <f>SUMIF(Adat!$AH:$AH,CONCATENATE($M$4,"(KÖT)","09241",L317),Adat!$E:$E)*-1</f>
        <v>0</v>
      </c>
      <c r="H342" s="72">
        <f>SUMIF(Adat!$AH:$AH,CONCATENATE($M$4,"(ÖNV)","09241",L317),Adat!$E:$E)*-1</f>
        <v>0</v>
      </c>
      <c r="I342" s="72">
        <f>SUMIF(Adat!$AH:$AH,CONCATENATE($M$4,"(ÁIG)","09241",L317),Adat!$E:$E)*-1</f>
        <v>0</v>
      </c>
    </row>
    <row r="343" spans="2:9" x14ac:dyDescent="0.2">
      <c r="B343" s="160">
        <v>24</v>
      </c>
      <c r="C343" s="305" t="s">
        <v>1255</v>
      </c>
      <c r="D343" s="82" t="s">
        <v>1347</v>
      </c>
      <c r="E343" s="72">
        <f>SUMIF(Adat!$AG:$AG,CONCATENATE(61,$M$4,"09251",L317),Adat!$E:$E)*-1</f>
        <v>0</v>
      </c>
      <c r="F343" s="72">
        <f>SUMIF(Adat!$AG:$AG,CONCATENATE(60,$M$4,"09251",L317),Adat!$E:$E)*-1+E343</f>
        <v>0</v>
      </c>
      <c r="G343" s="72">
        <f>SUMIF(Adat!$AH:$AH,CONCATENATE($M$4,"(KÖT)","09251",L317),Adat!$E:$E)*-1</f>
        <v>0</v>
      </c>
      <c r="H343" s="72">
        <f>SUMIF(Adat!$AH:$AH,CONCATENATE($M$4,"(ÖNV)","09251",L317),Adat!$E:$E)*-1</f>
        <v>0</v>
      </c>
      <c r="I343" s="72">
        <f>SUMIF(Adat!$AH:$AH,CONCATENATE($M$4,"(ÁIG)","09251",L317),Adat!$E:$E)*-1</f>
        <v>0</v>
      </c>
    </row>
    <row r="344" spans="2:9" x14ac:dyDescent="0.25">
      <c r="B344" s="160">
        <v>25</v>
      </c>
      <c r="C344" s="79" t="s">
        <v>33</v>
      </c>
      <c r="D344" s="79" t="s">
        <v>330</v>
      </c>
      <c r="E344" s="121">
        <f>SUM(E345:E347)</f>
        <v>0</v>
      </c>
      <c r="F344" s="121">
        <f t="shared" ref="F344:I344" si="22">SUM(F345:F347)</f>
        <v>0</v>
      </c>
      <c r="G344" s="121">
        <f t="shared" si="22"/>
        <v>0</v>
      </c>
      <c r="H344" s="121">
        <f t="shared" si="22"/>
        <v>0</v>
      </c>
      <c r="I344" s="121">
        <f t="shared" si="22"/>
        <v>0</v>
      </c>
    </row>
    <row r="345" spans="2:9" x14ac:dyDescent="0.2">
      <c r="B345" s="160">
        <v>26</v>
      </c>
      <c r="C345" s="305" t="s">
        <v>1373</v>
      </c>
      <c r="D345" s="82" t="s">
        <v>1374</v>
      </c>
      <c r="E345" s="72">
        <f>SUMIF(Adat!$AG:$AG,CONCATENATE(61,$M$4,"09511",L317),Adat!$E:$E)*-1</f>
        <v>0</v>
      </c>
      <c r="F345" s="72">
        <f>SUMIF(Adat!$AG:$AG,CONCATENATE(60,$M$4,"09511",L317),Adat!$E:$E)*-1+E345</f>
        <v>0</v>
      </c>
      <c r="G345" s="72">
        <f>SUMIF(Adat!$AH:$AH,CONCATENATE($M$4,"(KÖT)","09511",L317),Adat!$E:$E)*-1</f>
        <v>0</v>
      </c>
      <c r="H345" s="72">
        <f>SUMIF(Adat!$AH:$AH,CONCATENATE($M$4,"(ÖNV)","09511",L317),Adat!$E:$E)*-1</f>
        <v>0</v>
      </c>
      <c r="I345" s="72">
        <f>SUMIF(Adat!$AH:$AH,CONCATENATE($M$4,"(ÁIG)","09511",L317),Adat!$E:$E)*-1</f>
        <v>0</v>
      </c>
    </row>
    <row r="346" spans="2:9" x14ac:dyDescent="0.2">
      <c r="B346" s="160">
        <v>27</v>
      </c>
      <c r="C346" s="305" t="s">
        <v>1294</v>
      </c>
      <c r="D346" s="82" t="s">
        <v>1375</v>
      </c>
      <c r="E346" s="72">
        <f>SUMIF(Adat!$AG:$AG,CONCATENATE(61,$M$4,"09521",L317),Adat!$E:$E)*-1</f>
        <v>0</v>
      </c>
      <c r="F346" s="72">
        <f>SUMIF(Adat!$AG:$AG,CONCATENATE(60,$M$4,"09521",L317),Adat!$E:$E)*-1+E346</f>
        <v>0</v>
      </c>
      <c r="G346" s="72">
        <f>SUMIF(Adat!$AH:$AH,CONCATENATE($M$4,"(KÖT)","09521",L317),Adat!$E:$E)*-1</f>
        <v>0</v>
      </c>
      <c r="H346" s="72">
        <f>SUMIF(Adat!$AH:$AH,CONCATENATE($M$4,"(ÖNV)","09521",L317),Adat!$E:$E)*-1</f>
        <v>0</v>
      </c>
      <c r="I346" s="72">
        <f>SUMIF(Adat!$AH:$AH,CONCATENATE($M$4,"(ÁIG)","09521",L317),Adat!$E:$E)*-1</f>
        <v>0</v>
      </c>
    </row>
    <row r="347" spans="2:9" x14ac:dyDescent="0.2">
      <c r="B347" s="160">
        <v>28</v>
      </c>
      <c r="C347" s="305" t="s">
        <v>1376</v>
      </c>
      <c r="D347" s="82" t="s">
        <v>1377</v>
      </c>
      <c r="E347" s="72">
        <f>SUMIF(Adat!$AG:$AG,CONCATENATE(61,$M$4,"09531",L317),Adat!$E:$E)*-1</f>
        <v>0</v>
      </c>
      <c r="F347" s="72">
        <f>SUMIF(Adat!$AG:$AG,CONCATENATE(60,$M$4,"09531",L317),Adat!$E:$E)*-1+E347</f>
        <v>0</v>
      </c>
      <c r="G347" s="72">
        <f>SUMIF(Adat!$AH:$AH,CONCATENATE($M$4,"(KÖT)","09531",L317),Adat!$E:$E)*-1</f>
        <v>0</v>
      </c>
      <c r="H347" s="72">
        <f>SUMIF(Adat!$AH:$AH,CONCATENATE($M$4,"(ÖNV)","09531",L317),Adat!$E:$E)*-1</f>
        <v>0</v>
      </c>
      <c r="I347" s="72">
        <f>SUMIF(Adat!$AH:$AH,CONCATENATE($M$4,"(ÁIG)","09531",L317),Adat!$E:$E)*-1</f>
        <v>0</v>
      </c>
    </row>
    <row r="348" spans="2:9" x14ac:dyDescent="0.25">
      <c r="B348" s="160">
        <v>29</v>
      </c>
      <c r="C348" s="79" t="s">
        <v>36</v>
      </c>
      <c r="D348" s="79" t="s">
        <v>331</v>
      </c>
      <c r="E348" s="71">
        <f>SUMIF(Adat!$AI:$AI,CONCATENATE(61,$M$4,"096",L317),Adat!$E:$E)*-1</f>
        <v>0</v>
      </c>
      <c r="F348" s="71">
        <f>SUMIF(Adat!$AI:$AI,CONCATENATE(60,$M$4,"096",L317),Adat!$E:$E)*-1+E348</f>
        <v>0</v>
      </c>
      <c r="G348" s="71">
        <f>SUMIF(Adat!$AJ:$AJ,CONCATENATE($M$4,"096","(KÖT)",L317),Adat!$E:$E)*-1</f>
        <v>0</v>
      </c>
      <c r="H348" s="71">
        <f>SUMIF(Adat!$AJ:$AJ,CONCATENATE($M$4,"096","(ÖNV)",L317),Adat!$E:$E)*-1</f>
        <v>0</v>
      </c>
      <c r="I348" s="71">
        <f>SUMIF(Adat!$AJ:$AJ,CONCATENATE($M$4,"096","(ÁIG)",L317),Adat!$E:$E)*-1</f>
        <v>0</v>
      </c>
    </row>
    <row r="349" spans="2:9" x14ac:dyDescent="0.25">
      <c r="B349" s="160">
        <v>30</v>
      </c>
      <c r="C349" s="79" t="s">
        <v>38</v>
      </c>
      <c r="D349" s="85" t="s">
        <v>332</v>
      </c>
      <c r="E349" s="71">
        <f>SUMIF(Adat!$AI:$AI,CONCATENATE(61,$M$4,"097",L317),Adat!$E:$E)*-1</f>
        <v>0</v>
      </c>
      <c r="F349" s="71">
        <f>SUMIF(Adat!$AI:$AI,CONCATENATE(60,$M$4,"097",L317),Adat!$E:$E)*-1+E349</f>
        <v>0</v>
      </c>
      <c r="G349" s="71">
        <f>SUMIF(Adat!$AJ:$AJ,CONCATENATE($M$4,"097","(KÖT)",L317),Adat!$E:$E)*-1</f>
        <v>0</v>
      </c>
      <c r="H349" s="71">
        <f>SUMIF(Adat!$AJ:$AJ,CONCATENATE($M$4,"097","(ÖNV)",L317),Adat!$E:$E)*-1</f>
        <v>0</v>
      </c>
      <c r="I349" s="71">
        <f>SUMIF(Adat!$AJ:$AJ,CONCATENATE($M$4,"097","(ÁIG)",L317),Adat!$E:$E)*-1</f>
        <v>0</v>
      </c>
    </row>
    <row r="350" spans="2:9" x14ac:dyDescent="0.25">
      <c r="B350" s="160">
        <v>31</v>
      </c>
      <c r="C350" s="154" t="s">
        <v>352</v>
      </c>
      <c r="D350" s="86" t="s">
        <v>1500</v>
      </c>
      <c r="E350" s="121">
        <f>E321+E335+E339+E340+E344+E348+E349</f>
        <v>0</v>
      </c>
      <c r="F350" s="121">
        <f>F321+F335+F339+F340+F344+F348+F349</f>
        <v>0</v>
      </c>
      <c r="G350" s="121">
        <f>G321+G335+G339+G340+G344+G348+G349</f>
        <v>0</v>
      </c>
      <c r="H350" s="121">
        <f>H321+H335+H339+H340+H344+H348+H349</f>
        <v>0</v>
      </c>
      <c r="I350" s="121">
        <f>I321+I335+I339+I340+I344+I348+I349</f>
        <v>0</v>
      </c>
    </row>
    <row r="351" spans="2:9" x14ac:dyDescent="0.25">
      <c r="B351" s="160">
        <v>32</v>
      </c>
      <c r="C351" s="154" t="s">
        <v>358</v>
      </c>
      <c r="D351" s="86" t="s">
        <v>333</v>
      </c>
      <c r="E351" s="121">
        <f>SUM(E352:E354)</f>
        <v>0</v>
      </c>
      <c r="F351" s="121">
        <f t="shared" ref="F351:I351" si="23">SUM(F352:F354)</f>
        <v>0</v>
      </c>
      <c r="G351" s="121">
        <f t="shared" si="23"/>
        <v>0</v>
      </c>
      <c r="H351" s="121">
        <f t="shared" si="23"/>
        <v>0</v>
      </c>
      <c r="I351" s="121">
        <f t="shared" si="23"/>
        <v>0</v>
      </c>
    </row>
    <row r="352" spans="2:9" x14ac:dyDescent="0.2">
      <c r="B352" s="160">
        <v>33</v>
      </c>
      <c r="C352" s="305" t="s">
        <v>1274</v>
      </c>
      <c r="D352" s="82" t="s">
        <v>1419</v>
      </c>
      <c r="E352" s="72">
        <f>SUMIF(Adat!$AG:$AG,CONCATENATE(61,$M$4,"0981311",L317),Adat!$E:$E)*-1</f>
        <v>0</v>
      </c>
      <c r="F352" s="72">
        <f>SUMIF(Adat!$AG:$AG,CONCATENATE(60,$M$4,"0981311",L317),Adat!$E:$E)*-1+E352</f>
        <v>0</v>
      </c>
      <c r="G352" s="72">
        <f>SUMIF(Adat!$AH:$AH,CONCATENATE($M$4,"(KÖT)","0981311",L317),Adat!$E:$E)*-1</f>
        <v>0</v>
      </c>
      <c r="H352" s="72">
        <f>SUMIF(Adat!$AH:$AH,CONCATENATE($M$4,"(ÖNV)","0981311",L317),Adat!$E:$E)*-1</f>
        <v>0</v>
      </c>
      <c r="I352" s="72">
        <f>SUMIF(Adat!$AH:$AH,CONCATENATE($M$4,"(ÁIG)","0981311",L317),Adat!$E:$E)*-1</f>
        <v>0</v>
      </c>
    </row>
    <row r="353" spans="2:12" x14ac:dyDescent="0.25">
      <c r="B353" s="160">
        <v>34</v>
      </c>
      <c r="C353" s="305" t="s">
        <v>1420</v>
      </c>
      <c r="D353" s="84" t="s">
        <v>1421</v>
      </c>
      <c r="E353" s="72">
        <f>SUMIF(Adat!$AG:$AG,CONCATENATE(61,$M$4,"0981321",L317),Adat!$E:$E)*-1</f>
        <v>0</v>
      </c>
      <c r="F353" s="72">
        <f>SUMIF(Adat!$AG:$AG,CONCATENATE(60,$M$4,"0981321",L317),Adat!$E:$E)*-1+E353</f>
        <v>0</v>
      </c>
      <c r="G353" s="72">
        <f>SUMIF(Adat!$AH:$AH,CONCATENATE($M$4,"(KÖT)","0981321",L317),Adat!$E:$E)*-1</f>
        <v>0</v>
      </c>
      <c r="H353" s="72">
        <f>SUMIF(Adat!$AH:$AH,CONCATENATE($M$4,"(ÖNV)","0981321",L317),Adat!$E:$E)*-1</f>
        <v>0</v>
      </c>
      <c r="I353" s="72">
        <f>SUMIF(Adat!$AH:$AH,CONCATENATE($M$4,"(ÁIG)","0981321",L317),Adat!$E:$E)*-1</f>
        <v>0</v>
      </c>
    </row>
    <row r="354" spans="2:12" x14ac:dyDescent="0.25">
      <c r="B354" s="160">
        <v>35</v>
      </c>
      <c r="C354" s="319" t="s">
        <v>1275</v>
      </c>
      <c r="D354" s="84" t="s">
        <v>1501</v>
      </c>
      <c r="E354" s="72">
        <f>SUMIF(Adat!$AG:$AG,CONCATENATE(61,$M$4,"098161",L317),Adat!$E:$E)*-1</f>
        <v>0</v>
      </c>
      <c r="F354" s="72">
        <f>SUMIF(Adat!$AG:$AG,CONCATENATE(60,$M$4,"098161",L317),Adat!$E:$E)*-1+E354</f>
        <v>0</v>
      </c>
      <c r="G354" s="72">
        <f>SUMIF(Adat!$AH:$AH,CONCATENATE($M$4,"(KÖT)","098161",L317),Adat!$E:$E)*-1</f>
        <v>0</v>
      </c>
      <c r="H354" s="72">
        <f>SUMIF(Adat!$AH:$AH,CONCATENATE($M$4,"(ÖNV)","098161",L317),Adat!$E:$E)*-1</f>
        <v>0</v>
      </c>
      <c r="I354" s="72">
        <f>SUMIF(Adat!$AH:$AH,CONCATENATE($M$4,"(ÁIG)","098161",L317),Adat!$E:$E)*-1</f>
        <v>0</v>
      </c>
    </row>
    <row r="355" spans="2:12" x14ac:dyDescent="0.25">
      <c r="B355" s="160">
        <v>36</v>
      </c>
      <c r="C355" s="154" t="s">
        <v>364</v>
      </c>
      <c r="D355" s="159" t="s">
        <v>1502</v>
      </c>
      <c r="E355" s="121">
        <f>+E350+E351</f>
        <v>0</v>
      </c>
      <c r="F355" s="121">
        <f>+F350+F351</f>
        <v>0</v>
      </c>
      <c r="G355" s="121">
        <f>+G350+G351</f>
        <v>0</v>
      </c>
      <c r="H355" s="121">
        <f>+H350+H351</f>
        <v>0</v>
      </c>
      <c r="I355" s="121">
        <f>+I350+I351</f>
        <v>0</v>
      </c>
    </row>
    <row r="356" spans="2:12" ht="15.75" x14ac:dyDescent="0.25">
      <c r="B356" s="38"/>
      <c r="C356" s="156"/>
      <c r="D356" s="38"/>
      <c r="E356" s="140"/>
      <c r="F356" s="140"/>
      <c r="G356" s="140"/>
      <c r="H356" s="140"/>
      <c r="I356" s="140"/>
    </row>
    <row r="357" spans="2:12" s="10" customFormat="1" ht="15.75" customHeight="1" x14ac:dyDescent="0.25">
      <c r="B357" s="201" t="str">
        <f>CONCATENATE("12. Kiadási jogcímek"," - ",L357," részletező")</f>
        <v>12. Kiadási jogcímek -  részletező</v>
      </c>
      <c r="C357" s="101"/>
      <c r="D357" s="101"/>
      <c r="E357" s="101"/>
      <c r="F357" s="101"/>
      <c r="G357" s="198"/>
      <c r="H357" s="198"/>
      <c r="I357" s="198"/>
      <c r="L357" s="384"/>
    </row>
    <row r="358" spans="2:12" ht="15.75" x14ac:dyDescent="0.25">
      <c r="B358" s="38"/>
      <c r="C358" s="156"/>
      <c r="D358" s="38"/>
      <c r="E358" s="140"/>
      <c r="F358" s="140"/>
      <c r="G358" s="140"/>
      <c r="H358" s="140"/>
      <c r="I358" s="140"/>
    </row>
    <row r="359" spans="2:12" x14ac:dyDescent="0.25">
      <c r="B359" s="77"/>
      <c r="C359" s="77" t="s">
        <v>350</v>
      </c>
      <c r="D359" s="77" t="s">
        <v>351</v>
      </c>
      <c r="E359" s="77" t="s">
        <v>470</v>
      </c>
      <c r="F359" s="77" t="s">
        <v>471</v>
      </c>
      <c r="G359" s="77" t="s">
        <v>44</v>
      </c>
      <c r="H359" s="77" t="s">
        <v>42</v>
      </c>
      <c r="I359" s="77" t="s">
        <v>511</v>
      </c>
    </row>
    <row r="360" spans="2:12" ht="38.25" x14ac:dyDescent="0.25">
      <c r="B360" s="160">
        <v>1</v>
      </c>
      <c r="C360" s="154" t="s">
        <v>593</v>
      </c>
      <c r="D360" s="154" t="s">
        <v>488</v>
      </c>
      <c r="E360" s="163" t="str">
        <f>CONCATENATE(PAR!$H$3," évi
eredeti 
előirányzat")</f>
        <v>2025. évi
eredeti 
előirányzat</v>
      </c>
      <c r="F360" s="163" t="str">
        <f>CONCATENATE(PAR!$H$3," évi
módosított 
előirányzat")</f>
        <v>2025. évi
módosított 
előirányzat</v>
      </c>
      <c r="G360" s="78" t="s">
        <v>666</v>
      </c>
      <c r="H360" s="78" t="s">
        <v>667</v>
      </c>
      <c r="I360" s="78" t="s">
        <v>668</v>
      </c>
    </row>
    <row r="361" spans="2:12" x14ac:dyDescent="0.25">
      <c r="B361" s="160">
        <v>2</v>
      </c>
      <c r="C361" s="78" t="s">
        <v>352</v>
      </c>
      <c r="D361" s="92" t="s">
        <v>1444</v>
      </c>
      <c r="E361" s="121">
        <f>SUM(E362:E366)</f>
        <v>0</v>
      </c>
      <c r="F361" s="121">
        <f>SUM(F362:F366)</f>
        <v>0</v>
      </c>
      <c r="G361" s="121">
        <f>SUM(G362:G366)</f>
        <v>0</v>
      </c>
      <c r="H361" s="121">
        <f>SUM(H362:H366)</f>
        <v>0</v>
      </c>
      <c r="I361" s="121">
        <f>SUM(I362:I366)</f>
        <v>0</v>
      </c>
    </row>
    <row r="362" spans="2:12" x14ac:dyDescent="0.25">
      <c r="B362" s="160">
        <v>3</v>
      </c>
      <c r="C362" s="305" t="s">
        <v>315</v>
      </c>
      <c r="D362" s="93" t="s">
        <v>342</v>
      </c>
      <c r="E362" s="72">
        <f>SUMIF(Adat!$AI:$AI,CONCATENATE(61,$M$4,"051",L357),Adat!$E:$E)</f>
        <v>0</v>
      </c>
      <c r="F362" s="72">
        <f>SUMIF(Adat!$AI:$AI,CONCATENATE(60,$M$4,"051",L357),Adat!$E:$E)+E362</f>
        <v>0</v>
      </c>
      <c r="G362" s="72">
        <f>SUMIF(Adat!$AJ:$AJ,CONCATENATE($M$4,"051","(KÖT)",L357),Adat!$E:$E)</f>
        <v>0</v>
      </c>
      <c r="H362" s="72">
        <f>SUMIF(Adat!$AJ:$AJ,CONCATENATE($M$4,"051","(ÖNV)",L357),Adat!$E:$E)</f>
        <v>0</v>
      </c>
      <c r="I362" s="72">
        <f>SUMIF(Adat!$AJ:$AJ,CONCATENATE($M$4,"051","(ÁIG)",L357),Adat!$E:$E)</f>
        <v>0</v>
      </c>
    </row>
    <row r="363" spans="2:12" x14ac:dyDescent="0.25">
      <c r="B363" s="160">
        <v>4</v>
      </c>
      <c r="C363" s="305" t="s">
        <v>317</v>
      </c>
      <c r="D363" s="93" t="s">
        <v>395</v>
      </c>
      <c r="E363" s="72">
        <f>SUMIF(Adat!$AI:$AI,CONCATENATE(61,$M$4,"052",L357),Adat!$E:$E)</f>
        <v>0</v>
      </c>
      <c r="F363" s="72">
        <f>SUMIF(Adat!$AI:$AI,CONCATENATE(60,$M$4,"052",L357),Adat!$E:$E)+E363</f>
        <v>0</v>
      </c>
      <c r="G363" s="72">
        <f>SUMIF(Adat!$AJ:$AJ,CONCATENATE($M$4,"052","(KÖT)",L357),Adat!$E:$E)</f>
        <v>0</v>
      </c>
      <c r="H363" s="72">
        <f>SUMIF(Adat!$AJ:$AJ,CONCATENATE($M$4,"052","(ÖNV)",L357),Adat!$E:$E)</f>
        <v>0</v>
      </c>
      <c r="I363" s="72">
        <f>SUMIF(Adat!$AJ:$AJ,CONCATENATE($M$4,"052","(ÁIG)",L357),Adat!$E:$E)</f>
        <v>0</v>
      </c>
    </row>
    <row r="364" spans="2:12" x14ac:dyDescent="0.25">
      <c r="B364" s="160">
        <v>5</v>
      </c>
      <c r="C364" s="305" t="s">
        <v>4</v>
      </c>
      <c r="D364" s="93" t="s">
        <v>344</v>
      </c>
      <c r="E364" s="72">
        <f>SUMIF(Adat!$AI:$AI,CONCATENATE(61,$M$4,"053",L357),Adat!$E:$E)</f>
        <v>0</v>
      </c>
      <c r="F364" s="72">
        <f>SUMIF(Adat!$AI:$AI,CONCATENATE(60,$M$4,"053",L357),Adat!$E:$E)+E364</f>
        <v>0</v>
      </c>
      <c r="G364" s="72">
        <f>SUMIF(Adat!$AJ:$AJ,CONCATENATE($M$4,"053","(KÖT)",L357),Adat!$E:$E)</f>
        <v>0</v>
      </c>
      <c r="H364" s="72">
        <f>SUMIF(Adat!$AJ:$AJ,CONCATENATE($M$4,"053","(ÖNV)",L357),Adat!$E:$E)</f>
        <v>0</v>
      </c>
      <c r="I364" s="72">
        <f>SUMIF(Adat!$AJ:$AJ,CONCATENATE($M$4,"053","(ÁIG)",L357),Adat!$E:$E)</f>
        <v>0</v>
      </c>
    </row>
    <row r="365" spans="2:12" x14ac:dyDescent="0.25">
      <c r="B365" s="160">
        <v>6</v>
      </c>
      <c r="C365" s="305" t="s">
        <v>6</v>
      </c>
      <c r="D365" s="93" t="s">
        <v>345</v>
      </c>
      <c r="E365" s="72">
        <f>SUMIF(Adat!$AI:$AI,CONCATENATE(61,$M$4,"054",L357),Adat!$E:$E)</f>
        <v>0</v>
      </c>
      <c r="F365" s="72">
        <f>SUMIF(Adat!$AI:$AI,CONCATENATE(60,$M$4,"054",L357),Adat!$E:$E)+E365</f>
        <v>0</v>
      </c>
      <c r="G365" s="72">
        <f>SUMIF(Adat!$AJ:$AJ,CONCATENATE($M$4,"054","(KÖT)",L357),Adat!$E:$E)</f>
        <v>0</v>
      </c>
      <c r="H365" s="72">
        <f>SUMIF(Adat!$AJ:$AJ,CONCATENATE($M$4,"054","(ÖNV)",L357),Adat!$E:$E)</f>
        <v>0</v>
      </c>
      <c r="I365" s="72">
        <f>SUMIF(Adat!$AJ:$AJ,CONCATENATE($M$4,"054","(ÁIG)",L357),Adat!$E:$E)</f>
        <v>0</v>
      </c>
    </row>
    <row r="366" spans="2:12" x14ac:dyDescent="0.25">
      <c r="B366" s="160">
        <v>7</v>
      </c>
      <c r="C366" s="305" t="s">
        <v>8</v>
      </c>
      <c r="D366" s="93" t="s">
        <v>321</v>
      </c>
      <c r="E366" s="72">
        <f>SUMIF(Adat!$AI:$AI,CONCATENATE(61,$M$4,"055",L357),Adat!$E:$E)</f>
        <v>0</v>
      </c>
      <c r="F366" s="72">
        <f>SUMIF(Adat!$AI:$AI,CONCATENATE(60,$M$4,"055",L357),Adat!$E:$E)+E366</f>
        <v>0</v>
      </c>
      <c r="G366" s="72">
        <f>SUMIF(Adat!$AJ:$AJ,CONCATENATE($M$4,"055","(KÖT)",L357),Adat!$E:$E)</f>
        <v>0</v>
      </c>
      <c r="H366" s="72">
        <f>SUMIF(Adat!$AJ:$AJ,CONCATENATE($M$4,"055","(ÖNV)",L357),Adat!$E:$E)</f>
        <v>0</v>
      </c>
      <c r="I366" s="72">
        <f>SUMIF(Adat!$AJ:$AJ,CONCATENATE($M$4,"055","(ÁIG)",L357),Adat!$E:$E)</f>
        <v>0</v>
      </c>
    </row>
    <row r="367" spans="2:12" x14ac:dyDescent="0.25">
      <c r="B367" s="160">
        <v>8</v>
      </c>
      <c r="C367" s="78" t="s">
        <v>358</v>
      </c>
      <c r="D367" s="92" t="s">
        <v>1447</v>
      </c>
      <c r="E367" s="121">
        <f>E368+E370+E372</f>
        <v>0</v>
      </c>
      <c r="F367" s="121">
        <f>F368+F370+F372</f>
        <v>0</v>
      </c>
      <c r="G367" s="121">
        <f>G368+G370+G372</f>
        <v>0</v>
      </c>
      <c r="H367" s="121">
        <f>H368+H370+H372</f>
        <v>0</v>
      </c>
      <c r="I367" s="121">
        <f>I368+I370+I372</f>
        <v>0</v>
      </c>
    </row>
    <row r="368" spans="2:12" x14ac:dyDescent="0.25">
      <c r="B368" s="160">
        <v>9</v>
      </c>
      <c r="C368" s="305" t="s">
        <v>10</v>
      </c>
      <c r="D368" s="93" t="s">
        <v>322</v>
      </c>
      <c r="E368" s="72">
        <f>SUMIF(Adat!$AI:$AI,CONCATENATE(61,$M$4,"056",L357),Adat!$E:$E)</f>
        <v>0</v>
      </c>
      <c r="F368" s="72">
        <f>SUMIF(Adat!$AI:$AI,CONCATENATE(60,$M$4,"056",L357),Adat!$E:$E)+E368</f>
        <v>0</v>
      </c>
      <c r="G368" s="72">
        <f>SUMIF(Adat!$AJ:$AJ,CONCATENATE($M$4,"056","(KÖT)",L357),Adat!$E:$E)</f>
        <v>0</v>
      </c>
      <c r="H368" s="72">
        <f>SUMIF(Adat!$AJ:$AJ,CONCATENATE($M$4,"056","(ÖNV)",L357),Adat!$E:$E)</f>
        <v>0</v>
      </c>
      <c r="I368" s="72">
        <f>SUMIF(Adat!$AJ:$AJ,CONCATENATE($M$4,"056","(ÁIG)",L357),Adat!$E:$E)</f>
        <v>0</v>
      </c>
    </row>
    <row r="369" spans="2:12" x14ac:dyDescent="0.25">
      <c r="B369" s="160">
        <v>10</v>
      </c>
      <c r="C369" s="305" t="s">
        <v>10</v>
      </c>
      <c r="D369" s="93" t="s">
        <v>1448</v>
      </c>
      <c r="E369" s="72">
        <v>0</v>
      </c>
      <c r="F369" s="72">
        <f>SUM(G369:I369)</f>
        <v>0</v>
      </c>
      <c r="G369" s="72">
        <v>0</v>
      </c>
      <c r="H369" s="72">
        <v>0</v>
      </c>
      <c r="I369" s="72">
        <v>0</v>
      </c>
    </row>
    <row r="370" spans="2:12" x14ac:dyDescent="0.25">
      <c r="B370" s="160">
        <v>11</v>
      </c>
      <c r="C370" s="305" t="s">
        <v>12</v>
      </c>
      <c r="D370" s="93" t="s">
        <v>323</v>
      </c>
      <c r="E370" s="72">
        <f>SUMIF(Adat!$AI:$AI,CONCATENATE(61,$M$4,"057",L357),Adat!$E:$E)</f>
        <v>0</v>
      </c>
      <c r="F370" s="72">
        <f>SUMIF(Adat!$AI:$AI,CONCATENATE(60,$M$4,"057",L357),Adat!$E:$E)+E370</f>
        <v>0</v>
      </c>
      <c r="G370" s="72">
        <f>SUMIF(Adat!$AJ:$AJ,CONCATENATE($M$4,"057","(KÖT)",L357),Adat!$E:$E)</f>
        <v>0</v>
      </c>
      <c r="H370" s="72">
        <f>SUMIF(Adat!$AJ:$AJ,CONCATENATE($M$4,"057","(ÖNV)",L357),Adat!$E:$E)</f>
        <v>0</v>
      </c>
      <c r="I370" s="72">
        <f>SUMIF(Adat!$AJ:$AJ,CONCATENATE($M$4,"057","(ÁIG)",L357),Adat!$E:$E)</f>
        <v>0</v>
      </c>
    </row>
    <row r="371" spans="2:12" x14ac:dyDescent="0.25">
      <c r="B371" s="160">
        <v>12</v>
      </c>
      <c r="C371" s="305" t="s">
        <v>12</v>
      </c>
      <c r="D371" s="93" t="s">
        <v>1449</v>
      </c>
      <c r="E371" s="72">
        <v>0</v>
      </c>
      <c r="F371" s="72">
        <f>SUM(G371:I371)</f>
        <v>0</v>
      </c>
      <c r="G371" s="72">
        <v>0</v>
      </c>
      <c r="H371" s="72">
        <v>0</v>
      </c>
      <c r="I371" s="72">
        <v>0</v>
      </c>
    </row>
    <row r="372" spans="2:12" x14ac:dyDescent="0.25">
      <c r="B372" s="160">
        <v>13</v>
      </c>
      <c r="C372" s="305" t="s">
        <v>15</v>
      </c>
      <c r="D372" s="84" t="s">
        <v>324</v>
      </c>
      <c r="E372" s="72">
        <f>SUMIF(Adat!$AI:$AI,CONCATENATE(61,$M$4,"058",L357),Adat!$E:$E)</f>
        <v>0</v>
      </c>
      <c r="F372" s="72">
        <f>SUMIF(Adat!$AI:$AI,CONCATENATE(60,$M$4,"058",L357),Adat!$E:$E)+E372</f>
        <v>0</v>
      </c>
      <c r="G372" s="72">
        <f>SUMIF(Adat!$AJ:$AJ,CONCATENATE($M$4,"058","(KÖT)",L357),Adat!$E:$E)</f>
        <v>0</v>
      </c>
      <c r="H372" s="72">
        <f>SUMIF(Adat!$AJ:$AJ,CONCATENATE($M$4,"058","(ÖNV)",L357),Adat!$E:$E)</f>
        <v>0</v>
      </c>
      <c r="I372" s="72">
        <f>SUMIF(Adat!$AJ:$AJ,CONCATENATE($M$4,"058","(ÁIG)",L357),Adat!$E:$E)</f>
        <v>0</v>
      </c>
    </row>
    <row r="373" spans="2:12" x14ac:dyDescent="0.25">
      <c r="B373" s="160">
        <v>14</v>
      </c>
      <c r="C373" s="154" t="s">
        <v>364</v>
      </c>
      <c r="D373" s="86" t="s">
        <v>325</v>
      </c>
      <c r="E373" s="71">
        <f>SUMIF(Adat!$AI:$AI,CONCATENATE(61,$M$4,"059",L357),Adat!$E:$E)</f>
        <v>0</v>
      </c>
      <c r="F373" s="71">
        <f>SUMIF(Adat!$AI:$AI,CONCATENATE(60,$M$4,"059",L357),Adat!$E:$E)+E373</f>
        <v>0</v>
      </c>
      <c r="G373" s="71">
        <f>SUMIF(Adat!$AJ:$AJ,CONCATENATE($M$4,"059","(KÖT)",L357),Adat!$E:$E)</f>
        <v>0</v>
      </c>
      <c r="H373" s="71">
        <f>SUMIF(Adat!$AJ:$AJ,CONCATENATE($M$4,"059","(ÖNV)",L357),Adat!$E:$E)</f>
        <v>0</v>
      </c>
      <c r="I373" s="71">
        <f>SUMIF(Adat!$AJ:$AJ,CONCATENATE($M$4,"059","(ÁIG)",L357),Adat!$E:$E)</f>
        <v>0</v>
      </c>
    </row>
    <row r="374" spans="2:12" x14ac:dyDescent="0.25">
      <c r="B374" s="160">
        <v>15</v>
      </c>
      <c r="C374" s="154" t="s">
        <v>403</v>
      </c>
      <c r="D374" s="159" t="s">
        <v>497</v>
      </c>
      <c r="E374" s="121">
        <f>E361+E367+E373</f>
        <v>0</v>
      </c>
      <c r="F374" s="121">
        <f>F361+F367+F373</f>
        <v>0</v>
      </c>
      <c r="G374" s="121">
        <f>G361+G367+G373</f>
        <v>0</v>
      </c>
      <c r="H374" s="121">
        <f>H361+H367+H373</f>
        <v>0</v>
      </c>
      <c r="I374" s="121">
        <f>I361+I367+I373</f>
        <v>0</v>
      </c>
    </row>
    <row r="375" spans="2:12" ht="15.75" x14ac:dyDescent="0.25">
      <c r="B375" s="37"/>
      <c r="C375" s="529"/>
      <c r="D375" s="529"/>
      <c r="E375" s="529"/>
      <c r="F375" s="200"/>
      <c r="G375" s="200"/>
      <c r="H375" s="200"/>
      <c r="I375" s="200"/>
    </row>
    <row r="376" spans="2:12" ht="15.75" x14ac:dyDescent="0.25">
      <c r="B376" s="525" t="str">
        <f>$N$4</f>
        <v>Nagymarosi Polgármesteri Hivatal</v>
      </c>
      <c r="C376" s="525"/>
      <c r="D376" s="525"/>
      <c r="E376" s="525"/>
      <c r="F376" s="525"/>
      <c r="G376" s="525"/>
      <c r="H376" s="525"/>
      <c r="I376" s="525"/>
    </row>
    <row r="377" spans="2:12" ht="15.75" x14ac:dyDescent="0.25">
      <c r="B377" s="525" t="s">
        <v>2660</v>
      </c>
      <c r="C377" s="525"/>
      <c r="D377" s="525"/>
      <c r="E377" s="525"/>
      <c r="F377" s="525"/>
      <c r="G377" s="525"/>
      <c r="H377" s="525"/>
      <c r="I377" s="525"/>
    </row>
    <row r="378" spans="2:12" ht="15.75" x14ac:dyDescent="0.25">
      <c r="B378" s="38"/>
      <c r="C378" s="156"/>
      <c r="D378" s="38"/>
      <c r="E378" s="140"/>
      <c r="F378" s="140"/>
      <c r="G378" s="140"/>
      <c r="H378" s="140"/>
      <c r="I378" s="140"/>
    </row>
    <row r="379" spans="2:12" s="10" customFormat="1" ht="15.75" customHeight="1" x14ac:dyDescent="0.25">
      <c r="B379" s="201" t="str">
        <f>CONCATENATE("13. Bevételi jogcímek"," - ",L379," részletező")</f>
        <v>13. Bevételi jogcímek -  részletező</v>
      </c>
      <c r="C379" s="101"/>
      <c r="D379" s="101"/>
      <c r="E379" s="101"/>
      <c r="F379" s="101"/>
      <c r="G379" s="198"/>
      <c r="H379" s="198"/>
      <c r="I379" s="198"/>
      <c r="L379" s="384"/>
    </row>
    <row r="380" spans="2:12" ht="15.75" x14ac:dyDescent="0.25">
      <c r="B380" s="38"/>
      <c r="C380" s="156"/>
      <c r="D380" s="38"/>
      <c r="E380" s="140"/>
      <c r="F380" s="140"/>
      <c r="G380" s="140"/>
      <c r="H380" s="140"/>
      <c r="I380" s="140"/>
    </row>
    <row r="381" spans="2:12" x14ac:dyDescent="0.25">
      <c r="B381" s="77"/>
      <c r="C381" s="77" t="s">
        <v>350</v>
      </c>
      <c r="D381" s="77" t="s">
        <v>351</v>
      </c>
      <c r="E381" s="77" t="s">
        <v>470</v>
      </c>
      <c r="F381" s="77" t="s">
        <v>471</v>
      </c>
      <c r="G381" s="77" t="s">
        <v>44</v>
      </c>
      <c r="H381" s="77" t="s">
        <v>42</v>
      </c>
      <c r="I381" s="77" t="s">
        <v>511</v>
      </c>
    </row>
    <row r="382" spans="2:12" ht="38.25" x14ac:dyDescent="0.25">
      <c r="B382" s="160">
        <v>1</v>
      </c>
      <c r="C382" s="154" t="s">
        <v>593</v>
      </c>
      <c r="D382" s="154" t="s">
        <v>488</v>
      </c>
      <c r="E382" s="163" t="str">
        <f>CONCATENATE(PAR!$H$3," évi
eredeti 
előirányzat")</f>
        <v>2025. évi
eredeti 
előirányzat</v>
      </c>
      <c r="F382" s="163" t="str">
        <f>CONCATENATE(PAR!$H$3," évi
módosított 
előirányzat")</f>
        <v>2025. évi
módosított 
előirányzat</v>
      </c>
      <c r="G382" s="78" t="s">
        <v>666</v>
      </c>
      <c r="H382" s="78" t="s">
        <v>667</v>
      </c>
      <c r="I382" s="78" t="s">
        <v>668</v>
      </c>
    </row>
    <row r="383" spans="2:12" x14ac:dyDescent="0.25">
      <c r="B383" s="160">
        <v>2</v>
      </c>
      <c r="C383" s="79" t="s">
        <v>30</v>
      </c>
      <c r="D383" s="79" t="s">
        <v>329</v>
      </c>
      <c r="E383" s="121">
        <f>SUM(E384:E396)</f>
        <v>0</v>
      </c>
      <c r="F383" s="121">
        <f t="shared" ref="F383:I383" si="24">SUM(F384:F396)</f>
        <v>0</v>
      </c>
      <c r="G383" s="121">
        <f t="shared" si="24"/>
        <v>0</v>
      </c>
      <c r="H383" s="121">
        <f t="shared" si="24"/>
        <v>0</v>
      </c>
      <c r="I383" s="121">
        <f t="shared" si="24"/>
        <v>0</v>
      </c>
    </row>
    <row r="384" spans="2:12" x14ac:dyDescent="0.2">
      <c r="B384" s="160">
        <v>3</v>
      </c>
      <c r="C384" s="305" t="s">
        <v>1309</v>
      </c>
      <c r="D384" s="82" t="s">
        <v>1356</v>
      </c>
      <c r="E384" s="72">
        <f>SUMIF(Adat!$AG:$AG,CONCATENATE(61,$M$4,"094011",L379),Adat!$E:$E)*-1</f>
        <v>0</v>
      </c>
      <c r="F384" s="72">
        <f>SUMIF(Adat!$AG:$AG,CONCATENATE(60,$M$4,"094011",L379),Adat!$E:$E)*-1+E384</f>
        <v>0</v>
      </c>
      <c r="G384" s="72">
        <f>SUMIF(Adat!$AH:$AH,CONCATENATE($M$4,"(KÖT)","094011",L379),Adat!$E:$E)*-1</f>
        <v>0</v>
      </c>
      <c r="H384" s="72">
        <f>SUMIF(Adat!$AH:$AH,CONCATENATE($M$4,"(ÖNV)","094011",L379),Adat!$E:$E)*-1</f>
        <v>0</v>
      </c>
      <c r="I384" s="72">
        <f>SUMIF(Adat!$AH:$AH,CONCATENATE($M$4,"(ÁIG)","094011",L379),Adat!$E:$E)*-1</f>
        <v>0</v>
      </c>
    </row>
    <row r="385" spans="2:9" x14ac:dyDescent="0.2">
      <c r="B385" s="160">
        <v>4</v>
      </c>
      <c r="C385" s="305" t="s">
        <v>1279</v>
      </c>
      <c r="D385" s="82" t="s">
        <v>1357</v>
      </c>
      <c r="E385" s="72">
        <f>SUMIF(Adat!$AG:$AG,CONCATENATE(61,$M$4,"094021",L379),Adat!$E:$E)*-1</f>
        <v>0</v>
      </c>
      <c r="F385" s="72">
        <f>SUMIF(Adat!$AG:$AG,CONCATENATE(60,$M$4,"094021",L379),Adat!$E:$E)*-1+E385</f>
        <v>0</v>
      </c>
      <c r="G385" s="72">
        <f>SUMIF(Adat!$AH:$AH,CONCATENATE($M$4,"(KÖT)","094021",L379),Adat!$E:$E)*-1</f>
        <v>0</v>
      </c>
      <c r="H385" s="72">
        <f>SUMIF(Adat!$AH:$AH,CONCATENATE($M$4,"(ÖNV)","094021",L379),Adat!$E:$E)*-1</f>
        <v>0</v>
      </c>
      <c r="I385" s="72">
        <f>SUMIF(Adat!$AH:$AH,CONCATENATE($M$4,"(ÁIG)","094021",L379),Adat!$E:$E)*-1</f>
        <v>0</v>
      </c>
    </row>
    <row r="386" spans="2:9" x14ac:dyDescent="0.2">
      <c r="B386" s="160">
        <v>5</v>
      </c>
      <c r="C386" s="305" t="s">
        <v>1272</v>
      </c>
      <c r="D386" s="82" t="s">
        <v>1358</v>
      </c>
      <c r="E386" s="72">
        <f>SUMIF(Adat!$AG:$AG,CONCATENATE(61,$M$4,"094031",L379),Adat!$E:$E)*-1</f>
        <v>0</v>
      </c>
      <c r="F386" s="72">
        <f>SUMIF(Adat!$AG:$AG,CONCATENATE(60,$M$4,"094031",L379),Adat!$E:$E)*-1+E386</f>
        <v>0</v>
      </c>
      <c r="G386" s="72">
        <f>SUMIF(Adat!$AH:$AH,CONCATENATE($M$4,"(KÖT)","094031",L379),Adat!$E:$E)*-1</f>
        <v>0</v>
      </c>
      <c r="H386" s="72">
        <f>SUMIF(Adat!$AH:$AH,CONCATENATE($M$4,"(ÖNV)","094031",L379),Adat!$E:$E)*-1</f>
        <v>0</v>
      </c>
      <c r="I386" s="72">
        <f>SUMIF(Adat!$AH:$AH,CONCATENATE($M$4,"(ÁIG)","094031",L379),Adat!$E:$E)*-1</f>
        <v>0</v>
      </c>
    </row>
    <row r="387" spans="2:9" x14ac:dyDescent="0.2">
      <c r="B387" s="160">
        <v>6</v>
      </c>
      <c r="C387" s="305" t="s">
        <v>1359</v>
      </c>
      <c r="D387" s="82" t="s">
        <v>1360</v>
      </c>
      <c r="E387" s="72">
        <f>SUMIF(Adat!$AG:$AG,CONCATENATE(61,$M$4,"094041",L379),Adat!$E:$E)*-1</f>
        <v>0</v>
      </c>
      <c r="F387" s="72">
        <f>SUMIF(Adat!$AG:$AG,CONCATENATE(60,$M$4,"094041",L379),Adat!$E:$E)*-1+E387</f>
        <v>0</v>
      </c>
      <c r="G387" s="72">
        <f>SUMIF(Adat!$AH:$AH,CONCATENATE($M$4,"(KÖT)","094041",L379),Adat!$E:$E)*-1</f>
        <v>0</v>
      </c>
      <c r="H387" s="72">
        <f>SUMIF(Adat!$AH:$AH,CONCATENATE($M$4,"(ÖNV)","094041",L379),Adat!$E:$E)*-1</f>
        <v>0</v>
      </c>
      <c r="I387" s="72">
        <f>SUMIF(Adat!$AH:$AH,CONCATENATE($M$4,"(ÁIG)","094041",L379),Adat!$E:$E)*-1</f>
        <v>0</v>
      </c>
    </row>
    <row r="388" spans="2:9" x14ac:dyDescent="0.2">
      <c r="B388" s="160">
        <v>7</v>
      </c>
      <c r="C388" s="305" t="s">
        <v>1261</v>
      </c>
      <c r="D388" s="82" t="s">
        <v>1361</v>
      </c>
      <c r="E388" s="72">
        <f>SUMIF(Adat!$AG:$AG,CONCATENATE(61,$M$4,"094051",L379),Adat!$E:$E)*-1</f>
        <v>0</v>
      </c>
      <c r="F388" s="72">
        <f>SUMIF(Adat!$AG:$AG,CONCATENATE(60,$M$4,"094051",L379),Adat!$E:$E)*-1+E388</f>
        <v>0</v>
      </c>
      <c r="G388" s="72">
        <f>SUMIF(Adat!$AH:$AH,CONCATENATE($M$4,"(KÖT)","094051",L379),Adat!$E:$E)*-1</f>
        <v>0</v>
      </c>
      <c r="H388" s="72">
        <f>SUMIF(Adat!$AH:$AH,CONCATENATE($M$4,"(ÖNV)","094051",L379),Adat!$E:$E)*-1</f>
        <v>0</v>
      </c>
      <c r="I388" s="72">
        <f>SUMIF(Adat!$AH:$AH,CONCATENATE($M$4,"(ÁIG)","094051",L379),Adat!$E:$E)*-1</f>
        <v>0</v>
      </c>
    </row>
    <row r="389" spans="2:9" x14ac:dyDescent="0.2">
      <c r="B389" s="160">
        <v>8</v>
      </c>
      <c r="C389" s="305" t="s">
        <v>1273</v>
      </c>
      <c r="D389" s="82" t="s">
        <v>1362</v>
      </c>
      <c r="E389" s="72">
        <f>SUMIF(Adat!$AG:$AG,CONCATENATE(61,$M$4,"094061",L379),Adat!$E:$E)*-1</f>
        <v>0</v>
      </c>
      <c r="F389" s="72">
        <f>SUMIF(Adat!$AG:$AG,CONCATENATE(60,$M$4,"094061",L379),Adat!$E:$E)*-1+E389</f>
        <v>0</v>
      </c>
      <c r="G389" s="72">
        <f>SUMIF(Adat!$AH:$AH,CONCATENATE($M$4,"(KÖT)","094061",L379),Adat!$E:$E)*-1</f>
        <v>0</v>
      </c>
      <c r="H389" s="72">
        <f>SUMIF(Adat!$AH:$AH,CONCATENATE($M$4,"(ÖNV)","094061",L379),Adat!$E:$E)*-1</f>
        <v>0</v>
      </c>
      <c r="I389" s="72">
        <f>SUMIF(Adat!$AH:$AH,CONCATENATE($M$4,"(ÁIG)","094061",L379),Adat!$E:$E)*-1</f>
        <v>0</v>
      </c>
    </row>
    <row r="390" spans="2:9" x14ac:dyDescent="0.2">
      <c r="B390" s="160">
        <v>9</v>
      </c>
      <c r="C390" s="305" t="s">
        <v>1363</v>
      </c>
      <c r="D390" s="82" t="s">
        <v>1364</v>
      </c>
      <c r="E390" s="72">
        <f>SUMIF(Adat!$AG:$AG,CONCATENATE(61,$M$4,"094071",L379),Adat!$E:$E)*-1</f>
        <v>0</v>
      </c>
      <c r="F390" s="72">
        <f>SUMIF(Adat!$AG:$AG,CONCATENATE(60,$M$4,"094071",L379),Adat!$E:$E)*-1+E390</f>
        <v>0</v>
      </c>
      <c r="G390" s="72">
        <f>SUMIF(Adat!$AH:$AH,CONCATENATE($M$4,"(KÖT)","094071",L379),Adat!$E:$E)*-1</f>
        <v>0</v>
      </c>
      <c r="H390" s="72">
        <f>SUMIF(Adat!$AH:$AH,CONCATENATE($M$4,"(ÖNV)","094071",L379),Adat!$E:$E)*-1</f>
        <v>0</v>
      </c>
      <c r="I390" s="72">
        <f>SUMIF(Adat!$AH:$AH,CONCATENATE($M$4,"(ÁIG)","094071",L379),Adat!$E:$E)*-1</f>
        <v>0</v>
      </c>
    </row>
    <row r="391" spans="2:9" x14ac:dyDescent="0.2">
      <c r="B391" s="160">
        <v>10</v>
      </c>
      <c r="C391" s="305" t="s">
        <v>1306</v>
      </c>
      <c r="D391" s="82" t="s">
        <v>1365</v>
      </c>
      <c r="E391" s="72">
        <f>SUMIF(Adat!$AG:$AG,CONCATENATE(61,$M$4,"0940811",L379),Adat!$E:$E)*-1</f>
        <v>0</v>
      </c>
      <c r="F391" s="72">
        <f>SUMIF(Adat!$AG:$AG,CONCATENATE(60,$M$4,"0940811",L379),Adat!$E:$E)*-1+E391</f>
        <v>0</v>
      </c>
      <c r="G391" s="72">
        <f>SUMIF(Adat!$AH:$AH,CONCATENATE($M$4,"(KÖT)","0940811",L379),Adat!$E:$E)*-1</f>
        <v>0</v>
      </c>
      <c r="H391" s="72">
        <f>SUMIF(Adat!$AH:$AH,CONCATENATE($M$4,"(ÖNV)","0940811",L379),Adat!$E:$E)*-1</f>
        <v>0</v>
      </c>
      <c r="I391" s="72">
        <f>SUMIF(Adat!$AH:$AH,CONCATENATE($M$4,"(ÁIG)","0940811",L379),Adat!$E:$E)*-1</f>
        <v>0</v>
      </c>
    </row>
    <row r="392" spans="2:9" x14ac:dyDescent="0.2">
      <c r="B392" s="160">
        <v>11</v>
      </c>
      <c r="C392" s="305" t="s">
        <v>1295</v>
      </c>
      <c r="D392" s="82" t="s">
        <v>1366</v>
      </c>
      <c r="E392" s="72">
        <f>SUMIF(Adat!$AG:$AG,CONCATENATE(61,$M$4,"0940821",L379),Adat!$E:$E)*-1</f>
        <v>0</v>
      </c>
      <c r="F392" s="72">
        <f>SUMIF(Adat!$AG:$AG,CONCATENATE(60,$M$4,"0940821",L379),Adat!$E:$E)*-1+E392</f>
        <v>0</v>
      </c>
      <c r="G392" s="72">
        <f>SUMIF(Adat!$AH:$AH,CONCATENATE($M$4,"(KÖT)","0940821",L379),Adat!$E:$E)*-1</f>
        <v>0</v>
      </c>
      <c r="H392" s="72">
        <f>SUMIF(Adat!$AH:$AH,CONCATENATE($M$4,"(ÖNV)","0940821",L379),Adat!$E:$E)*-1</f>
        <v>0</v>
      </c>
      <c r="I392" s="72">
        <f>SUMIF(Adat!$AH:$AH,CONCATENATE($M$4,"(ÁIG)","0940821",L379),Adat!$E:$E)*-1</f>
        <v>0</v>
      </c>
    </row>
    <row r="393" spans="2:9" x14ac:dyDescent="0.2">
      <c r="B393" s="160">
        <v>12</v>
      </c>
      <c r="C393" s="305" t="s">
        <v>1367</v>
      </c>
      <c r="D393" s="82" t="s">
        <v>1368</v>
      </c>
      <c r="E393" s="72">
        <f>SUMIF(Adat!$AG:$AG,CONCATENATE(61,$M$4,"0940911",L379),Adat!$E:$E)*-1</f>
        <v>0</v>
      </c>
      <c r="F393" s="72">
        <f>SUMIF(Adat!$AG:$AG,CONCATENATE(60,$M$4,"0940911",L379),Adat!$E:$E)*-1+E393</f>
        <v>0</v>
      </c>
      <c r="G393" s="72">
        <f>SUMIF(Adat!$AH:$AH,CONCATENATE($M$4,"(KÖT)","0940911",L379),Adat!$E:$E)*-1</f>
        <v>0</v>
      </c>
      <c r="H393" s="72">
        <f>SUMIF(Adat!$AH:$AH,CONCATENATE($M$4,"(ÖNV)","0940911",L379),Adat!$E:$E)*-1</f>
        <v>0</v>
      </c>
      <c r="I393" s="72">
        <f>SUMIF(Adat!$AH:$AH,CONCATENATE($M$4,"(ÁIG)","0940911",L379),Adat!$E:$E)*-1</f>
        <v>0</v>
      </c>
    </row>
    <row r="394" spans="2:9" x14ac:dyDescent="0.2">
      <c r="B394" s="160">
        <v>13</v>
      </c>
      <c r="C394" s="305" t="s">
        <v>1369</v>
      </c>
      <c r="D394" s="82" t="s">
        <v>1370</v>
      </c>
      <c r="E394" s="72">
        <f>SUMIF(Adat!$AG:$AG,CONCATENATE(61,$M$4,"0940921",L379),Adat!$E:$E)*-1</f>
        <v>0</v>
      </c>
      <c r="F394" s="72">
        <f>SUMIF(Adat!$AG:$AG,CONCATENATE(60,$M$4,"0940921",L379),Adat!$E:$E)*-1+E394</f>
        <v>0</v>
      </c>
      <c r="G394" s="72">
        <f>SUMIF(Adat!$AH:$AH,CONCATENATE($M$4,"(KÖT)","0940921",L379),Adat!$E:$E)*-1</f>
        <v>0</v>
      </c>
      <c r="H394" s="72">
        <f>SUMIF(Adat!$AH:$AH,CONCATENATE($M$4,"(ÖNV)","0940921",L379),Adat!$E:$E)*-1</f>
        <v>0</v>
      </c>
      <c r="I394" s="72">
        <f>SUMIF(Adat!$AH:$AH,CONCATENATE($M$4,"(ÁIG)","0940921",L379),Adat!$E:$E)*-1</f>
        <v>0</v>
      </c>
    </row>
    <row r="395" spans="2:9" x14ac:dyDescent="0.2">
      <c r="B395" s="160">
        <v>14</v>
      </c>
      <c r="C395" s="305" t="s">
        <v>1296</v>
      </c>
      <c r="D395" s="82" t="s">
        <v>1371</v>
      </c>
      <c r="E395" s="72">
        <f>SUMIF(Adat!$AG:$AG,CONCATENATE(61,$M$4,"094101",L379),Adat!$E:$E)*-1</f>
        <v>0</v>
      </c>
      <c r="F395" s="72">
        <f>SUMIF(Adat!$AG:$AG,CONCATENATE(60,$M$4,"094101",L379),Adat!$E:$E)*-1+E395</f>
        <v>0</v>
      </c>
      <c r="G395" s="72">
        <f>SUMIF(Adat!$AH:$AH,CONCATENATE($M$4,"(KÖT)","094101",L379),Adat!$E:$E)*-1</f>
        <v>0</v>
      </c>
      <c r="H395" s="72">
        <f>SUMIF(Adat!$AH:$AH,CONCATENATE($M$4,"(ÖNV)","094101",L379),Adat!$E:$E)*-1</f>
        <v>0</v>
      </c>
      <c r="I395" s="72">
        <f>SUMIF(Adat!$AH:$AH,CONCATENATE($M$4,"(ÁIG)","094101",L379),Adat!$E:$E)*-1</f>
        <v>0</v>
      </c>
    </row>
    <row r="396" spans="2:9" x14ac:dyDescent="0.25">
      <c r="B396" s="160">
        <v>15</v>
      </c>
      <c r="C396" s="305" t="s">
        <v>1297</v>
      </c>
      <c r="D396" s="84" t="s">
        <v>1372</v>
      </c>
      <c r="E396" s="72">
        <f>SUMIF(Adat!$AG:$AG,CONCATENATE(61,$M$4,"094111",L379),Adat!$E:$E)*-1</f>
        <v>0</v>
      </c>
      <c r="F396" s="72">
        <f>SUMIF(Adat!$AG:$AG,CONCATENATE(60,$M$4,"094111",L379),Adat!$E:$E)*-1+E396</f>
        <v>0</v>
      </c>
      <c r="G396" s="72">
        <f>SUMIF(Adat!$AH:$AH,CONCATENATE($M$4,"(KÖT)","094111",L379),Adat!$E:$E)*-1</f>
        <v>0</v>
      </c>
      <c r="H396" s="72">
        <f>SUMIF(Adat!$AH:$AH,CONCATENATE($M$4,"(ÖNV)","094111",L379),Adat!$E:$E)*-1</f>
        <v>0</v>
      </c>
      <c r="I396" s="72">
        <f>SUMIF(Adat!$AH:$AH,CONCATENATE($M$4,"(ÁIG)","094111",L379),Adat!$E:$E)*-1</f>
        <v>0</v>
      </c>
    </row>
    <row r="397" spans="2:9" x14ac:dyDescent="0.25">
      <c r="B397" s="160">
        <v>16</v>
      </c>
      <c r="C397" s="78" t="s">
        <v>1328</v>
      </c>
      <c r="D397" s="85" t="s">
        <v>437</v>
      </c>
      <c r="E397" s="121">
        <f>SUM(E398:E400)</f>
        <v>0</v>
      </c>
      <c r="F397" s="121">
        <f>SUM(F398:F400)</f>
        <v>0</v>
      </c>
      <c r="G397" s="121">
        <f>SUM(G398:G400)</f>
        <v>0</v>
      </c>
      <c r="H397" s="121">
        <f>SUM(H398:H400)</f>
        <v>0</v>
      </c>
      <c r="I397" s="121">
        <f>SUM(I398:I400)</f>
        <v>0</v>
      </c>
    </row>
    <row r="398" spans="2:9" x14ac:dyDescent="0.2">
      <c r="B398" s="160">
        <v>17</v>
      </c>
      <c r="C398" s="305" t="s">
        <v>1329</v>
      </c>
      <c r="D398" s="82" t="s">
        <v>1330</v>
      </c>
      <c r="E398" s="72">
        <f>SUMIF(Adat!$AG:$AG,CONCATENATE(61,$M$4,"09121",L379),Adat!$E:$E)*-1</f>
        <v>0</v>
      </c>
      <c r="F398" s="72">
        <f>SUMIF(Adat!$AG:$AG,CONCATENATE(60,$M$4,"09121",L379),Adat!$E:$E)*-1+E398</f>
        <v>0</v>
      </c>
      <c r="G398" s="72">
        <f>SUMIF(Adat!$AH:$AH,CONCATENATE($M$4,"(KÖT)","09121",L379),Adat!$E:$E)*-1</f>
        <v>0</v>
      </c>
      <c r="H398" s="72">
        <f>SUMIF(Adat!$AH:$AH,CONCATENATE($M$4,"(ÖNV)","09121",L379),Adat!$E:$E)*-1</f>
        <v>0</v>
      </c>
      <c r="I398" s="72">
        <f>SUMIF(Adat!$AH:$AH,CONCATENATE($M$4,"(ÁIG)","09121",L379),Adat!$E:$E)*-1</f>
        <v>0</v>
      </c>
    </row>
    <row r="399" spans="2:9" x14ac:dyDescent="0.2">
      <c r="B399" s="160">
        <v>18</v>
      </c>
      <c r="C399" s="305" t="s">
        <v>1335</v>
      </c>
      <c r="D399" s="82" t="s">
        <v>1336</v>
      </c>
      <c r="E399" s="72">
        <f>SUMIF(Adat!$AG:$AG,CONCATENATE(61,$M$4,"09151",L379),Adat!$E:$E)*-1</f>
        <v>0</v>
      </c>
      <c r="F399" s="72">
        <f>SUMIF(Adat!$AG:$AG,CONCATENATE(60,$M$4,"09151",L379),Adat!$E:$E)*-1+E399</f>
        <v>0</v>
      </c>
      <c r="G399" s="72">
        <f>SUMIF(Adat!$AH:$AH,CONCATENATE($M$4,"(KÖT)","09151",L379),Adat!$E:$E)*-1</f>
        <v>0</v>
      </c>
      <c r="H399" s="72">
        <f>SUMIF(Adat!$AH:$AH,CONCATENATE($M$4,"(ÖNV)","09151",L379),Adat!$E:$E)*-1</f>
        <v>0</v>
      </c>
      <c r="I399" s="72">
        <f>SUMIF(Adat!$AH:$AH,CONCATENATE($M$4,"(ÁIG)","09151",L379),Adat!$E:$E)*-1</f>
        <v>0</v>
      </c>
    </row>
    <row r="400" spans="2:9" x14ac:dyDescent="0.2">
      <c r="B400" s="160">
        <v>19</v>
      </c>
      <c r="C400" s="305" t="s">
        <v>1278</v>
      </c>
      <c r="D400" s="82" t="s">
        <v>1337</v>
      </c>
      <c r="E400" s="72">
        <f>SUMIF(Adat!$AG:$AG,CONCATENATE(61,$M$4,"09161",L379),Adat!$E:$E)*-1</f>
        <v>0</v>
      </c>
      <c r="F400" s="72">
        <f>SUMIF(Adat!$AG:$AG,CONCATENATE(60,$M$4,"09161",L379),Adat!$E:$E)*-1+E400</f>
        <v>0</v>
      </c>
      <c r="G400" s="72">
        <f>SUMIF(Adat!$AH:$AH,CONCATENATE($M$4,"(KÖT)","09161",L379),Adat!$E:$E)*-1</f>
        <v>0</v>
      </c>
      <c r="H400" s="72">
        <f>SUMIF(Adat!$AH:$AH,CONCATENATE($M$4,"(ÖNV)","09161",L379),Adat!$E:$E)*-1</f>
        <v>0</v>
      </c>
      <c r="I400" s="72">
        <f>SUMIF(Adat!$AH:$AH,CONCATENATE($M$4,"(ÁIG)","09161",L379),Adat!$E:$E)*-1</f>
        <v>0</v>
      </c>
    </row>
    <row r="401" spans="2:9" x14ac:dyDescent="0.25">
      <c r="B401" s="160">
        <v>20</v>
      </c>
      <c r="C401" s="79" t="s">
        <v>27</v>
      </c>
      <c r="D401" s="79" t="s">
        <v>328</v>
      </c>
      <c r="E401" s="71">
        <f>SUMIF(Adat!$AI:$AI,CONCATENATE(61,$M$4,"093",L379),Adat!$E:$E)*-1</f>
        <v>0</v>
      </c>
      <c r="F401" s="71">
        <f>SUMIF(Adat!$AI:$AI,CONCATENATE(60,$M$4,"093",L379),Adat!$E:$E)*-1+E401</f>
        <v>0</v>
      </c>
      <c r="G401" s="71">
        <f>SUMIF(Adat!$AJ:$AJ,CONCATENATE($M$4,"093","(KÖT)",L379),Adat!$E:$E)*-1</f>
        <v>0</v>
      </c>
      <c r="H401" s="71">
        <f>SUMIF(Adat!$AJ:$AJ,CONCATENATE($M$4,"093","(ÖNV)",L379),Adat!$E:$E)*-1</f>
        <v>0</v>
      </c>
      <c r="I401" s="71">
        <f>SUMIF(Adat!$AJ:$AJ,CONCATENATE($M$4,"093","(ÁIG)",L379),Adat!$E:$E)*-1</f>
        <v>0</v>
      </c>
    </row>
    <row r="402" spans="2:9" x14ac:dyDescent="0.25">
      <c r="B402" s="160">
        <v>21</v>
      </c>
      <c r="C402" s="79" t="s">
        <v>24</v>
      </c>
      <c r="D402" s="79" t="s">
        <v>449</v>
      </c>
      <c r="E402" s="121">
        <f>SUM(E403:E405)</f>
        <v>0</v>
      </c>
      <c r="F402" s="121">
        <f t="shared" ref="F402:I402" si="25">SUM(F403:F405)</f>
        <v>0</v>
      </c>
      <c r="G402" s="121">
        <f t="shared" si="25"/>
        <v>0</v>
      </c>
      <c r="H402" s="121">
        <f t="shared" si="25"/>
        <v>0</v>
      </c>
      <c r="I402" s="121">
        <f t="shared" si="25"/>
        <v>0</v>
      </c>
    </row>
    <row r="403" spans="2:9" x14ac:dyDescent="0.2">
      <c r="B403" s="160">
        <v>22</v>
      </c>
      <c r="C403" s="305" t="s">
        <v>1339</v>
      </c>
      <c r="D403" s="82" t="s">
        <v>1340</v>
      </c>
      <c r="E403" s="72">
        <f>SUMIF(Adat!$AG:$AG,CONCATENATE(61,$M$4,"09211",L379),Adat!$E:$E)*-1</f>
        <v>0</v>
      </c>
      <c r="F403" s="72">
        <f>SUMIF(Adat!$AG:$AG,CONCATENATE(60,$M$4,"09211",L379),Adat!$E:$E)*-1+E403</f>
        <v>0</v>
      </c>
      <c r="G403" s="72">
        <f>SUMIF(Adat!$AH:$AH,CONCATENATE($M$4,"(KÖT)","09211",L379),Adat!$E:$E)*-1</f>
        <v>0</v>
      </c>
      <c r="H403" s="72">
        <f>SUMIF(Adat!$AH:$AH,CONCATENATE($M$4,"(ÖNV)","09211",L379),Adat!$E:$E)*-1</f>
        <v>0</v>
      </c>
      <c r="I403" s="72">
        <f>SUMIF(Adat!$AH:$AH,CONCATENATE($M$4,"(ÁIG)","09211",L379),Adat!$E:$E)*-1</f>
        <v>0</v>
      </c>
    </row>
    <row r="404" spans="2:9" x14ac:dyDescent="0.2">
      <c r="B404" s="160">
        <v>23</v>
      </c>
      <c r="C404" s="305" t="s">
        <v>1345</v>
      </c>
      <c r="D404" s="82" t="s">
        <v>1346</v>
      </c>
      <c r="E404" s="72">
        <f>SUMIF(Adat!$AG:$AG,CONCATENATE(61,$M$4,"09241",L379),Adat!$E:$E)*-1</f>
        <v>0</v>
      </c>
      <c r="F404" s="72">
        <f>SUMIF(Adat!$AG:$AG,CONCATENATE(60,$M$4,"09241",L379),Adat!$E:$E)*-1+E404</f>
        <v>0</v>
      </c>
      <c r="G404" s="72">
        <f>SUMIF(Adat!$AH:$AH,CONCATENATE($M$4,"(KÖT)","09241",L379),Adat!$E:$E)*-1</f>
        <v>0</v>
      </c>
      <c r="H404" s="72">
        <f>SUMIF(Adat!$AH:$AH,CONCATENATE($M$4,"(ÖNV)","09241",L379),Adat!$E:$E)*-1</f>
        <v>0</v>
      </c>
      <c r="I404" s="72">
        <f>SUMIF(Adat!$AH:$AH,CONCATENATE($M$4,"(ÁIG)","09241",L379),Adat!$E:$E)*-1</f>
        <v>0</v>
      </c>
    </row>
    <row r="405" spans="2:9" x14ac:dyDescent="0.2">
      <c r="B405" s="160">
        <v>24</v>
      </c>
      <c r="C405" s="305" t="s">
        <v>1255</v>
      </c>
      <c r="D405" s="82" t="s">
        <v>1347</v>
      </c>
      <c r="E405" s="72">
        <f>SUMIF(Adat!$AG:$AG,CONCATENATE(61,$M$4,"09251",L379),Adat!$E:$E)*-1</f>
        <v>0</v>
      </c>
      <c r="F405" s="72">
        <f>SUMIF(Adat!$AG:$AG,CONCATENATE(60,$M$4,"09251",L379),Adat!$E:$E)*-1+E405</f>
        <v>0</v>
      </c>
      <c r="G405" s="72">
        <f>SUMIF(Adat!$AH:$AH,CONCATENATE($M$4,"(KÖT)","09251",L379),Adat!$E:$E)*-1</f>
        <v>0</v>
      </c>
      <c r="H405" s="72">
        <f>SUMIF(Adat!$AH:$AH,CONCATENATE($M$4,"(ÖNV)","09251",L379),Adat!$E:$E)*-1</f>
        <v>0</v>
      </c>
      <c r="I405" s="72">
        <f>SUMIF(Adat!$AH:$AH,CONCATENATE($M$4,"(ÁIG)","09251",L379),Adat!$E:$E)*-1</f>
        <v>0</v>
      </c>
    </row>
    <row r="406" spans="2:9" x14ac:dyDescent="0.25">
      <c r="B406" s="160">
        <v>25</v>
      </c>
      <c r="C406" s="79" t="s">
        <v>33</v>
      </c>
      <c r="D406" s="79" t="s">
        <v>330</v>
      </c>
      <c r="E406" s="121">
        <f>SUM(E407:E409)</f>
        <v>0</v>
      </c>
      <c r="F406" s="121">
        <f t="shared" ref="F406:I406" si="26">SUM(F407:F409)</f>
        <v>0</v>
      </c>
      <c r="G406" s="121">
        <f t="shared" si="26"/>
        <v>0</v>
      </c>
      <c r="H406" s="121">
        <f t="shared" si="26"/>
        <v>0</v>
      </c>
      <c r="I406" s="121">
        <f t="shared" si="26"/>
        <v>0</v>
      </c>
    </row>
    <row r="407" spans="2:9" x14ac:dyDescent="0.2">
      <c r="B407" s="160">
        <v>26</v>
      </c>
      <c r="C407" s="305" t="s">
        <v>1373</v>
      </c>
      <c r="D407" s="82" t="s">
        <v>1374</v>
      </c>
      <c r="E407" s="72">
        <f>SUMIF(Adat!$AG:$AG,CONCATENATE(61,$M$4,"09511",L379),Adat!$E:$E)*-1</f>
        <v>0</v>
      </c>
      <c r="F407" s="72">
        <f>SUMIF(Adat!$AG:$AG,CONCATENATE(60,$M$4,"09511",L379),Adat!$E:$E)*-1+E407</f>
        <v>0</v>
      </c>
      <c r="G407" s="72">
        <f>SUMIF(Adat!$AH:$AH,CONCATENATE($M$4,"(KÖT)","09511",L379),Adat!$E:$E)*-1</f>
        <v>0</v>
      </c>
      <c r="H407" s="72">
        <f>SUMIF(Adat!$AH:$AH,CONCATENATE($M$4,"(ÖNV)","09511",L379),Adat!$E:$E)*-1</f>
        <v>0</v>
      </c>
      <c r="I407" s="72">
        <f>SUMIF(Adat!$AH:$AH,CONCATENATE($M$4,"(ÁIG)","09511",L379),Adat!$E:$E)*-1</f>
        <v>0</v>
      </c>
    </row>
    <row r="408" spans="2:9" x14ac:dyDescent="0.2">
      <c r="B408" s="160">
        <v>27</v>
      </c>
      <c r="C408" s="305" t="s">
        <v>1294</v>
      </c>
      <c r="D408" s="82" t="s">
        <v>1375</v>
      </c>
      <c r="E408" s="72">
        <f>SUMIF(Adat!$AG:$AG,CONCATENATE(61,$M$4,"09521",L379),Adat!$E:$E)*-1</f>
        <v>0</v>
      </c>
      <c r="F408" s="72">
        <f>SUMIF(Adat!$AG:$AG,CONCATENATE(60,$M$4,"09521",L379),Adat!$E:$E)*-1+E408</f>
        <v>0</v>
      </c>
      <c r="G408" s="72">
        <f>SUMIF(Adat!$AH:$AH,CONCATENATE($M$4,"(KÖT)","09521",L379),Adat!$E:$E)*-1</f>
        <v>0</v>
      </c>
      <c r="H408" s="72">
        <f>SUMIF(Adat!$AH:$AH,CONCATENATE($M$4,"(ÖNV)","09521",L379),Adat!$E:$E)*-1</f>
        <v>0</v>
      </c>
      <c r="I408" s="72">
        <f>SUMIF(Adat!$AH:$AH,CONCATENATE($M$4,"(ÁIG)","09521",L379),Adat!$E:$E)*-1</f>
        <v>0</v>
      </c>
    </row>
    <row r="409" spans="2:9" x14ac:dyDescent="0.2">
      <c r="B409" s="160">
        <v>28</v>
      </c>
      <c r="C409" s="305" t="s">
        <v>1376</v>
      </c>
      <c r="D409" s="82" t="s">
        <v>1377</v>
      </c>
      <c r="E409" s="72">
        <f>SUMIF(Adat!$AG:$AG,CONCATENATE(61,$M$4,"09531",L379),Adat!$E:$E)*-1</f>
        <v>0</v>
      </c>
      <c r="F409" s="72">
        <f>SUMIF(Adat!$AG:$AG,CONCATENATE(60,$M$4,"09531",L379),Adat!$E:$E)*-1+E409</f>
        <v>0</v>
      </c>
      <c r="G409" s="72">
        <f>SUMIF(Adat!$AH:$AH,CONCATENATE($M$4,"(KÖT)","09531",L379),Adat!$E:$E)*-1</f>
        <v>0</v>
      </c>
      <c r="H409" s="72">
        <f>SUMIF(Adat!$AH:$AH,CONCATENATE($M$4,"(ÖNV)","09531",L379),Adat!$E:$E)*-1</f>
        <v>0</v>
      </c>
      <c r="I409" s="72">
        <f>SUMIF(Adat!$AH:$AH,CONCATENATE($M$4,"(ÁIG)","09531",L379),Adat!$E:$E)*-1</f>
        <v>0</v>
      </c>
    </row>
    <row r="410" spans="2:9" x14ac:dyDescent="0.25">
      <c r="B410" s="160">
        <v>29</v>
      </c>
      <c r="C410" s="79" t="s">
        <v>36</v>
      </c>
      <c r="D410" s="79" t="s">
        <v>331</v>
      </c>
      <c r="E410" s="71">
        <f>SUMIF(Adat!$AI:$AI,CONCATENATE(61,$M$4,"096",L379),Adat!$E:$E)*-1</f>
        <v>0</v>
      </c>
      <c r="F410" s="71">
        <f>SUMIF(Adat!$AI:$AI,CONCATENATE(60,$M$4,"096",L379),Adat!$E:$E)*-1+E410</f>
        <v>0</v>
      </c>
      <c r="G410" s="71">
        <f>SUMIF(Adat!$AJ:$AJ,CONCATENATE($M$4,"096","(KÖT)",L379),Adat!$E:$E)*-1</f>
        <v>0</v>
      </c>
      <c r="H410" s="71">
        <f>SUMIF(Adat!$AJ:$AJ,CONCATENATE($M$4,"096","(ÖNV)",L379),Adat!$E:$E)*-1</f>
        <v>0</v>
      </c>
      <c r="I410" s="71">
        <f>SUMIF(Adat!$AJ:$AJ,CONCATENATE($M$4,"096","(ÁIG)",L379),Adat!$E:$E)*-1</f>
        <v>0</v>
      </c>
    </row>
    <row r="411" spans="2:9" x14ac:dyDescent="0.25">
      <c r="B411" s="160">
        <v>30</v>
      </c>
      <c r="C411" s="79" t="s">
        <v>38</v>
      </c>
      <c r="D411" s="85" t="s">
        <v>332</v>
      </c>
      <c r="E411" s="71">
        <f>SUMIF(Adat!$AI:$AI,CONCATENATE(61,$M$4,"097",L379),Adat!$E:$E)*-1</f>
        <v>0</v>
      </c>
      <c r="F411" s="71">
        <f>SUMIF(Adat!$AI:$AI,CONCATENATE(60,$M$4,"097",L379),Adat!$E:$E)*-1+E411</f>
        <v>0</v>
      </c>
      <c r="G411" s="71">
        <f>SUMIF(Adat!$AJ:$AJ,CONCATENATE($M$4,"097","(KÖT)",L379),Adat!$E:$E)*-1</f>
        <v>0</v>
      </c>
      <c r="H411" s="71">
        <f>SUMIF(Adat!$AJ:$AJ,CONCATENATE($M$4,"097","(ÖNV)",L379),Adat!$E:$E)*-1</f>
        <v>0</v>
      </c>
      <c r="I411" s="71">
        <f>SUMIF(Adat!$AJ:$AJ,CONCATENATE($M$4,"097","(ÁIG)",L379),Adat!$E:$E)*-1</f>
        <v>0</v>
      </c>
    </row>
    <row r="412" spans="2:9" x14ac:dyDescent="0.25">
      <c r="B412" s="160">
        <v>31</v>
      </c>
      <c r="C412" s="154" t="s">
        <v>352</v>
      </c>
      <c r="D412" s="86" t="s">
        <v>1500</v>
      </c>
      <c r="E412" s="121">
        <f>E383+E397+E401+E402+E406+E410+E411</f>
        <v>0</v>
      </c>
      <c r="F412" s="121">
        <f>F383+F397+F401+F402+F406+F410+F411</f>
        <v>0</v>
      </c>
      <c r="G412" s="121">
        <f>G383+G397+G401+G402+G406+G410+G411</f>
        <v>0</v>
      </c>
      <c r="H412" s="121">
        <f>H383+H397+H401+H402+H406+H410+H411</f>
        <v>0</v>
      </c>
      <c r="I412" s="121">
        <f>I383+I397+I401+I402+I406+I410+I411</f>
        <v>0</v>
      </c>
    </row>
    <row r="413" spans="2:9" x14ac:dyDescent="0.25">
      <c r="B413" s="160">
        <v>32</v>
      </c>
      <c r="C413" s="154" t="s">
        <v>358</v>
      </c>
      <c r="D413" s="86" t="s">
        <v>333</v>
      </c>
      <c r="E413" s="121">
        <f>SUM(E414:E416)</f>
        <v>0</v>
      </c>
      <c r="F413" s="121">
        <f t="shared" ref="F413:I413" si="27">SUM(F414:F416)</f>
        <v>0</v>
      </c>
      <c r="G413" s="121">
        <f t="shared" si="27"/>
        <v>0</v>
      </c>
      <c r="H413" s="121">
        <f t="shared" si="27"/>
        <v>0</v>
      </c>
      <c r="I413" s="121">
        <f t="shared" si="27"/>
        <v>0</v>
      </c>
    </row>
    <row r="414" spans="2:9" x14ac:dyDescent="0.2">
      <c r="B414" s="160">
        <v>33</v>
      </c>
      <c r="C414" s="305" t="s">
        <v>1274</v>
      </c>
      <c r="D414" s="82" t="s">
        <v>1419</v>
      </c>
      <c r="E414" s="72">
        <f>SUMIF(Adat!$AG:$AG,CONCATENATE(61,$M$4,"0981311",L379),Adat!$E:$E)*-1</f>
        <v>0</v>
      </c>
      <c r="F414" s="72">
        <f>SUMIF(Adat!$AG:$AG,CONCATENATE(60,$M$4,"0981311",L379),Adat!$E:$E)*-1+E414</f>
        <v>0</v>
      </c>
      <c r="G414" s="72">
        <f>SUMIF(Adat!$AH:$AH,CONCATENATE($M$4,"(KÖT)","0981311",L379),Adat!$E:$E)*-1</f>
        <v>0</v>
      </c>
      <c r="H414" s="72">
        <f>SUMIF(Adat!$AH:$AH,CONCATENATE($M$4,"(ÖNV)","0981311",L379),Adat!$E:$E)*-1</f>
        <v>0</v>
      </c>
      <c r="I414" s="72">
        <f>SUMIF(Adat!$AH:$AH,CONCATENATE($M$4,"(ÁIG)","0981311",L379),Adat!$E:$E)*-1</f>
        <v>0</v>
      </c>
    </row>
    <row r="415" spans="2:9" x14ac:dyDescent="0.25">
      <c r="B415" s="160">
        <v>34</v>
      </c>
      <c r="C415" s="305" t="s">
        <v>1420</v>
      </c>
      <c r="D415" s="84" t="s">
        <v>1421</v>
      </c>
      <c r="E415" s="72">
        <f>SUMIF(Adat!$AG:$AG,CONCATENATE(61,$M$4,"0981321",L379),Adat!$E:$E)*-1</f>
        <v>0</v>
      </c>
      <c r="F415" s="72">
        <f>SUMIF(Adat!$AG:$AG,CONCATENATE(60,$M$4,"0981321",L379),Adat!$E:$E)*-1+E415</f>
        <v>0</v>
      </c>
      <c r="G415" s="72">
        <f>SUMIF(Adat!$AH:$AH,CONCATENATE($M$4,"(KÖT)","0981321",L379),Adat!$E:$E)*-1</f>
        <v>0</v>
      </c>
      <c r="H415" s="72">
        <f>SUMIF(Adat!$AH:$AH,CONCATENATE($M$4,"(ÖNV)","0981321",L379),Adat!$E:$E)*-1</f>
        <v>0</v>
      </c>
      <c r="I415" s="72">
        <f>SUMIF(Adat!$AH:$AH,CONCATENATE($M$4,"(ÁIG)","0981321",L379),Adat!$E:$E)*-1</f>
        <v>0</v>
      </c>
    </row>
    <row r="416" spans="2:9" x14ac:dyDescent="0.25">
      <c r="B416" s="160">
        <v>35</v>
      </c>
      <c r="C416" s="319" t="s">
        <v>1275</v>
      </c>
      <c r="D416" s="84" t="s">
        <v>1501</v>
      </c>
      <c r="E416" s="72">
        <f>SUMIF(Adat!$AG:$AG,CONCATENATE(61,$M$4,"098161",L379),Adat!$E:$E)*-1</f>
        <v>0</v>
      </c>
      <c r="F416" s="72">
        <f>SUMIF(Adat!$AG:$AG,CONCATENATE(60,$M$4,"098161",L379),Adat!$E:$E)*-1+E416</f>
        <v>0</v>
      </c>
      <c r="G416" s="72">
        <f>SUMIF(Adat!$AH:$AH,CONCATENATE($M$4,"(KÖT)","098161",L379),Adat!$E:$E)*-1</f>
        <v>0</v>
      </c>
      <c r="H416" s="72">
        <f>SUMIF(Adat!$AH:$AH,CONCATENATE($M$4,"(ÖNV)","098161",L379),Adat!$E:$E)*-1</f>
        <v>0</v>
      </c>
      <c r="I416" s="72">
        <f>SUMIF(Adat!$AH:$AH,CONCATENATE($M$4,"(ÁIG)","098161",L379),Adat!$E:$E)*-1</f>
        <v>0</v>
      </c>
    </row>
    <row r="417" spans="2:12" x14ac:dyDescent="0.25">
      <c r="B417" s="160">
        <v>36</v>
      </c>
      <c r="C417" s="154" t="s">
        <v>364</v>
      </c>
      <c r="D417" s="159" t="s">
        <v>1502</v>
      </c>
      <c r="E417" s="121">
        <f>+E412+E413</f>
        <v>0</v>
      </c>
      <c r="F417" s="121">
        <f>+F412+F413</f>
        <v>0</v>
      </c>
      <c r="G417" s="121">
        <f>+G412+G413</f>
        <v>0</v>
      </c>
      <c r="H417" s="121">
        <f>+H412+H413</f>
        <v>0</v>
      </c>
      <c r="I417" s="121">
        <f>+I412+I413</f>
        <v>0</v>
      </c>
    </row>
    <row r="418" spans="2:12" ht="15.75" x14ac:dyDescent="0.25">
      <c r="B418" s="38"/>
      <c r="C418" s="156"/>
      <c r="D418" s="38"/>
      <c r="E418" s="140"/>
      <c r="F418" s="140"/>
      <c r="G418" s="140"/>
      <c r="H418" s="140"/>
      <c r="I418" s="140"/>
    </row>
    <row r="419" spans="2:12" s="10" customFormat="1" ht="15.75" customHeight="1" x14ac:dyDescent="0.25">
      <c r="B419" s="201" t="str">
        <f>CONCATENATE("14. Kiadási jogcímek"," - ",L419," részletező")</f>
        <v>14. Kiadási jogcímek -  részletező</v>
      </c>
      <c r="C419" s="101"/>
      <c r="D419" s="101"/>
      <c r="E419" s="101"/>
      <c r="F419" s="101"/>
      <c r="G419" s="198"/>
      <c r="H419" s="198"/>
      <c r="I419" s="198"/>
      <c r="L419" s="384"/>
    </row>
    <row r="420" spans="2:12" ht="15.75" x14ac:dyDescent="0.25">
      <c r="B420" s="38"/>
      <c r="C420" s="156"/>
      <c r="D420" s="38"/>
      <c r="E420" s="140"/>
      <c r="F420" s="140"/>
      <c r="G420" s="140"/>
      <c r="H420" s="140"/>
      <c r="I420" s="140"/>
    </row>
    <row r="421" spans="2:12" x14ac:dyDescent="0.25">
      <c r="B421" s="77"/>
      <c r="C421" s="77" t="s">
        <v>350</v>
      </c>
      <c r="D421" s="77" t="s">
        <v>351</v>
      </c>
      <c r="E421" s="77" t="s">
        <v>470</v>
      </c>
      <c r="F421" s="77" t="s">
        <v>471</v>
      </c>
      <c r="G421" s="77" t="s">
        <v>44</v>
      </c>
      <c r="H421" s="77" t="s">
        <v>42</v>
      </c>
      <c r="I421" s="77" t="s">
        <v>511</v>
      </c>
    </row>
    <row r="422" spans="2:12" ht="38.25" x14ac:dyDescent="0.25">
      <c r="B422" s="160">
        <v>1</v>
      </c>
      <c r="C422" s="154" t="s">
        <v>593</v>
      </c>
      <c r="D422" s="154" t="s">
        <v>488</v>
      </c>
      <c r="E422" s="163" t="str">
        <f>CONCATENATE(PAR!$H$3," évi
eredeti 
előirányzat")</f>
        <v>2025. évi
eredeti 
előirányzat</v>
      </c>
      <c r="F422" s="163" t="str">
        <f>CONCATENATE(PAR!$H$3," évi
módosított 
előirányzat")</f>
        <v>2025. évi
módosított 
előirányzat</v>
      </c>
      <c r="G422" s="78" t="s">
        <v>666</v>
      </c>
      <c r="H422" s="78" t="s">
        <v>667</v>
      </c>
      <c r="I422" s="78" t="s">
        <v>668</v>
      </c>
    </row>
    <row r="423" spans="2:12" x14ac:dyDescent="0.25">
      <c r="B423" s="160">
        <v>2</v>
      </c>
      <c r="C423" s="78" t="s">
        <v>352</v>
      </c>
      <c r="D423" s="92" t="s">
        <v>1444</v>
      </c>
      <c r="E423" s="121">
        <f>SUM(E424:E428)</f>
        <v>0</v>
      </c>
      <c r="F423" s="121">
        <f>SUM(F424:F428)</f>
        <v>0</v>
      </c>
      <c r="G423" s="121">
        <f>SUM(G424:G428)</f>
        <v>0</v>
      </c>
      <c r="H423" s="121">
        <f>SUM(H424:H428)</f>
        <v>0</v>
      </c>
      <c r="I423" s="121">
        <f>SUM(I424:I428)</f>
        <v>0</v>
      </c>
    </row>
    <row r="424" spans="2:12" x14ac:dyDescent="0.25">
      <c r="B424" s="160">
        <v>3</v>
      </c>
      <c r="C424" s="305" t="s">
        <v>315</v>
      </c>
      <c r="D424" s="93" t="s">
        <v>342</v>
      </c>
      <c r="E424" s="72">
        <f>SUMIF(Adat!$AI:$AI,CONCATENATE(61,$M$4,"051",L419),Adat!$E:$E)</f>
        <v>0</v>
      </c>
      <c r="F424" s="72">
        <f>SUMIF(Adat!$AI:$AI,CONCATENATE(60,$M$4,"051",L419),Adat!$E:$E)+E424</f>
        <v>0</v>
      </c>
      <c r="G424" s="72">
        <f>SUMIF(Adat!$AJ:$AJ,CONCATENATE($M$4,"051","(KÖT)",L419),Adat!$E:$E)</f>
        <v>0</v>
      </c>
      <c r="H424" s="72">
        <f>SUMIF(Adat!$AJ:$AJ,CONCATENATE($M$4,"051","(ÖNV)",L419),Adat!$E:$E)</f>
        <v>0</v>
      </c>
      <c r="I424" s="72">
        <f>SUMIF(Adat!$AJ:$AJ,CONCATENATE($M$4,"051","(ÁIG)",L419),Adat!$E:$E)</f>
        <v>0</v>
      </c>
    </row>
    <row r="425" spans="2:12" x14ac:dyDescent="0.25">
      <c r="B425" s="160">
        <v>4</v>
      </c>
      <c r="C425" s="305" t="s">
        <v>317</v>
      </c>
      <c r="D425" s="93" t="s">
        <v>395</v>
      </c>
      <c r="E425" s="72">
        <f>SUMIF(Adat!$AI:$AI,CONCATENATE(61,$M$4,"052",L419),Adat!$E:$E)</f>
        <v>0</v>
      </c>
      <c r="F425" s="72">
        <f>SUMIF(Adat!$AI:$AI,CONCATENATE(60,$M$4,"052",L419),Adat!$E:$E)+E425</f>
        <v>0</v>
      </c>
      <c r="G425" s="72">
        <f>SUMIF(Adat!$AJ:$AJ,CONCATENATE($M$4,"052","(KÖT)",L419),Adat!$E:$E)</f>
        <v>0</v>
      </c>
      <c r="H425" s="72">
        <f>SUMIF(Adat!$AJ:$AJ,CONCATENATE($M$4,"052","(ÖNV)",L419),Adat!$E:$E)</f>
        <v>0</v>
      </c>
      <c r="I425" s="72">
        <f>SUMIF(Adat!$AJ:$AJ,CONCATENATE($M$4,"052","(ÁIG)",L419),Adat!$E:$E)</f>
        <v>0</v>
      </c>
    </row>
    <row r="426" spans="2:12" x14ac:dyDescent="0.25">
      <c r="B426" s="160">
        <v>5</v>
      </c>
      <c r="C426" s="305" t="s">
        <v>4</v>
      </c>
      <c r="D426" s="93" t="s">
        <v>344</v>
      </c>
      <c r="E426" s="72">
        <f>SUMIF(Adat!$AI:$AI,CONCATENATE(61,$M$4,"053",L419),Adat!$E:$E)</f>
        <v>0</v>
      </c>
      <c r="F426" s="72">
        <f>SUMIF(Adat!$AI:$AI,CONCATENATE(60,$M$4,"053",L419),Adat!$E:$E)+E426</f>
        <v>0</v>
      </c>
      <c r="G426" s="72">
        <f>SUMIF(Adat!$AJ:$AJ,CONCATENATE($M$4,"053","(KÖT)",L419),Adat!$E:$E)</f>
        <v>0</v>
      </c>
      <c r="H426" s="72">
        <f>SUMIF(Adat!$AJ:$AJ,CONCATENATE($M$4,"053","(ÖNV)",L419),Adat!$E:$E)</f>
        <v>0</v>
      </c>
      <c r="I426" s="72">
        <f>SUMIF(Adat!$AJ:$AJ,CONCATENATE($M$4,"053","(ÁIG)",L419),Adat!$E:$E)</f>
        <v>0</v>
      </c>
    </row>
    <row r="427" spans="2:12" x14ac:dyDescent="0.25">
      <c r="B427" s="160">
        <v>6</v>
      </c>
      <c r="C427" s="305" t="s">
        <v>6</v>
      </c>
      <c r="D427" s="93" t="s">
        <v>345</v>
      </c>
      <c r="E427" s="72">
        <f>SUMIF(Adat!$AI:$AI,CONCATENATE(61,$M$4,"054",L419),Adat!$E:$E)</f>
        <v>0</v>
      </c>
      <c r="F427" s="72">
        <f>SUMIF(Adat!$AI:$AI,CONCATENATE(60,$M$4,"054",L419),Adat!$E:$E)+E427</f>
        <v>0</v>
      </c>
      <c r="G427" s="72">
        <f>SUMIF(Adat!$AJ:$AJ,CONCATENATE($M$4,"054","(KÖT)",L419),Adat!$E:$E)</f>
        <v>0</v>
      </c>
      <c r="H427" s="72">
        <f>SUMIF(Adat!$AJ:$AJ,CONCATENATE($M$4,"054","(ÖNV)",L419),Adat!$E:$E)</f>
        <v>0</v>
      </c>
      <c r="I427" s="72">
        <f>SUMIF(Adat!$AJ:$AJ,CONCATENATE($M$4,"054","(ÁIG)",L419),Adat!$E:$E)</f>
        <v>0</v>
      </c>
    </row>
    <row r="428" spans="2:12" x14ac:dyDescent="0.25">
      <c r="B428" s="160">
        <v>7</v>
      </c>
      <c r="C428" s="305" t="s">
        <v>8</v>
      </c>
      <c r="D428" s="93" t="s">
        <v>321</v>
      </c>
      <c r="E428" s="72">
        <f>SUMIF(Adat!$AI:$AI,CONCATENATE(61,$M$4,"055",L419),Adat!$E:$E)</f>
        <v>0</v>
      </c>
      <c r="F428" s="72">
        <f>SUMIF(Adat!$AI:$AI,CONCATENATE(60,$M$4,"055",L419),Adat!$E:$E)+E428</f>
        <v>0</v>
      </c>
      <c r="G428" s="72">
        <f>SUMIF(Adat!$AJ:$AJ,CONCATENATE($M$4,"055","(KÖT)",L419),Adat!$E:$E)</f>
        <v>0</v>
      </c>
      <c r="H428" s="72">
        <f>SUMIF(Adat!$AJ:$AJ,CONCATENATE($M$4,"055","(ÖNV)",L419),Adat!$E:$E)</f>
        <v>0</v>
      </c>
      <c r="I428" s="72">
        <f>SUMIF(Adat!$AJ:$AJ,CONCATENATE($M$4,"055","(ÁIG)",L419),Adat!$E:$E)</f>
        <v>0</v>
      </c>
    </row>
    <row r="429" spans="2:12" x14ac:dyDescent="0.25">
      <c r="B429" s="160">
        <v>8</v>
      </c>
      <c r="C429" s="78" t="s">
        <v>358</v>
      </c>
      <c r="D429" s="92" t="s">
        <v>1447</v>
      </c>
      <c r="E429" s="121">
        <f>E430+E432+E434</f>
        <v>0</v>
      </c>
      <c r="F429" s="121">
        <f>F430+F432+F434</f>
        <v>0</v>
      </c>
      <c r="G429" s="121">
        <f>G430+G432+G434</f>
        <v>0</v>
      </c>
      <c r="H429" s="121">
        <f>H430+H432+H434</f>
        <v>0</v>
      </c>
      <c r="I429" s="121">
        <f>I430+I432+I434</f>
        <v>0</v>
      </c>
    </row>
    <row r="430" spans="2:12" x14ac:dyDescent="0.25">
      <c r="B430" s="160">
        <v>9</v>
      </c>
      <c r="C430" s="305" t="s">
        <v>10</v>
      </c>
      <c r="D430" s="93" t="s">
        <v>322</v>
      </c>
      <c r="E430" s="72">
        <f>SUMIF(Adat!$AI:$AI,CONCATENATE(61,$M$4,"056",L419),Adat!$E:$E)</f>
        <v>0</v>
      </c>
      <c r="F430" s="72">
        <f>SUMIF(Adat!$AI:$AI,CONCATENATE(60,$M$4,"056",L419),Adat!$E:$E)+E430</f>
        <v>0</v>
      </c>
      <c r="G430" s="72">
        <f>SUMIF(Adat!$AJ:$AJ,CONCATENATE($M$4,"056","(KÖT)",L419),Adat!$E:$E)</f>
        <v>0</v>
      </c>
      <c r="H430" s="72">
        <f>SUMIF(Adat!$AJ:$AJ,CONCATENATE($M$4,"056","(ÖNV)",L419),Adat!$E:$E)</f>
        <v>0</v>
      </c>
      <c r="I430" s="72">
        <f>SUMIF(Adat!$AJ:$AJ,CONCATENATE($M$4,"056","(ÁIG)",L419),Adat!$E:$E)</f>
        <v>0</v>
      </c>
    </row>
    <row r="431" spans="2:12" x14ac:dyDescent="0.25">
      <c r="B431" s="160">
        <v>10</v>
      </c>
      <c r="C431" s="305" t="s">
        <v>10</v>
      </c>
      <c r="D431" s="93" t="s">
        <v>1448</v>
      </c>
      <c r="E431" s="72">
        <v>0</v>
      </c>
      <c r="F431" s="72">
        <f>SUM(G431:I431)</f>
        <v>0</v>
      </c>
      <c r="G431" s="72">
        <v>0</v>
      </c>
      <c r="H431" s="72">
        <v>0</v>
      </c>
      <c r="I431" s="72">
        <v>0</v>
      </c>
    </row>
    <row r="432" spans="2:12" x14ac:dyDescent="0.25">
      <c r="B432" s="160">
        <v>11</v>
      </c>
      <c r="C432" s="305" t="s">
        <v>12</v>
      </c>
      <c r="D432" s="93" t="s">
        <v>323</v>
      </c>
      <c r="E432" s="72">
        <f>SUMIF(Adat!$AI:$AI,CONCATENATE(61,$M$4,"057",L419),Adat!$E:$E)</f>
        <v>0</v>
      </c>
      <c r="F432" s="72">
        <f>SUMIF(Adat!$AI:$AI,CONCATENATE(60,$M$4,"057",L419),Adat!$E:$E)+E432</f>
        <v>0</v>
      </c>
      <c r="G432" s="72">
        <f>SUMIF(Adat!$AJ:$AJ,CONCATENATE($M$4,"057","(KÖT)",L419),Adat!$E:$E)</f>
        <v>0</v>
      </c>
      <c r="H432" s="72">
        <f>SUMIF(Adat!$AJ:$AJ,CONCATENATE($M$4,"057","(ÖNV)",L419),Adat!$E:$E)</f>
        <v>0</v>
      </c>
      <c r="I432" s="72">
        <f>SUMIF(Adat!$AJ:$AJ,CONCATENATE($M$4,"057","(ÁIG)",L419),Adat!$E:$E)</f>
        <v>0</v>
      </c>
    </row>
    <row r="433" spans="2:12" x14ac:dyDescent="0.25">
      <c r="B433" s="160">
        <v>12</v>
      </c>
      <c r="C433" s="305" t="s">
        <v>12</v>
      </c>
      <c r="D433" s="93" t="s">
        <v>1449</v>
      </c>
      <c r="E433" s="72">
        <v>0</v>
      </c>
      <c r="F433" s="72">
        <f>SUM(G433:I433)</f>
        <v>0</v>
      </c>
      <c r="G433" s="72">
        <v>0</v>
      </c>
      <c r="H433" s="72">
        <v>0</v>
      </c>
      <c r="I433" s="72">
        <v>0</v>
      </c>
    </row>
    <row r="434" spans="2:12" x14ac:dyDescent="0.25">
      <c r="B434" s="160">
        <v>13</v>
      </c>
      <c r="C434" s="305" t="s">
        <v>15</v>
      </c>
      <c r="D434" s="84" t="s">
        <v>324</v>
      </c>
      <c r="E434" s="72">
        <f>SUMIF(Adat!$AI:$AI,CONCATENATE(61,$M$4,"058",L419),Adat!$E:$E)</f>
        <v>0</v>
      </c>
      <c r="F434" s="72">
        <f>SUMIF(Adat!$AI:$AI,CONCATENATE(60,$M$4,"058",L419),Adat!$E:$E)+E434</f>
        <v>0</v>
      </c>
      <c r="G434" s="72">
        <f>SUMIF(Adat!$AJ:$AJ,CONCATENATE($M$4,"058","(KÖT)",L419),Adat!$E:$E)</f>
        <v>0</v>
      </c>
      <c r="H434" s="72">
        <f>SUMIF(Adat!$AJ:$AJ,CONCATENATE($M$4,"058","(ÖNV)",L419),Adat!$E:$E)</f>
        <v>0</v>
      </c>
      <c r="I434" s="72">
        <f>SUMIF(Adat!$AJ:$AJ,CONCATENATE($M$4,"058","(ÁIG)",L419),Adat!$E:$E)</f>
        <v>0</v>
      </c>
    </row>
    <row r="435" spans="2:12" x14ac:dyDescent="0.25">
      <c r="B435" s="160">
        <v>14</v>
      </c>
      <c r="C435" s="154" t="s">
        <v>364</v>
      </c>
      <c r="D435" s="86" t="s">
        <v>325</v>
      </c>
      <c r="E435" s="71">
        <f>SUMIF(Adat!$AI:$AI,CONCATENATE(61,$M$4,"059",L419),Adat!$E:$E)</f>
        <v>0</v>
      </c>
      <c r="F435" s="71">
        <f>SUMIF(Adat!$AI:$AI,CONCATENATE(60,$M$4,"059",L419),Adat!$E:$E)+E435</f>
        <v>0</v>
      </c>
      <c r="G435" s="71">
        <f>SUMIF(Adat!$AJ:$AJ,CONCATENATE($M$4,"059","(KÖT)",L419),Adat!$E:$E)</f>
        <v>0</v>
      </c>
      <c r="H435" s="71">
        <f>SUMIF(Adat!$AJ:$AJ,CONCATENATE($M$4,"059","(ÖNV)",L419),Adat!$E:$E)</f>
        <v>0</v>
      </c>
      <c r="I435" s="71">
        <f>SUMIF(Adat!$AJ:$AJ,CONCATENATE($M$4,"059","(ÁIG)",L419),Adat!$E:$E)</f>
        <v>0</v>
      </c>
    </row>
    <row r="436" spans="2:12" x14ac:dyDescent="0.25">
      <c r="B436" s="160">
        <v>15</v>
      </c>
      <c r="C436" s="154" t="s">
        <v>403</v>
      </c>
      <c r="D436" s="159" t="s">
        <v>497</v>
      </c>
      <c r="E436" s="121">
        <f>E423+E429+E435</f>
        <v>0</v>
      </c>
      <c r="F436" s="121">
        <f>F423+F429+F435</f>
        <v>0</v>
      </c>
      <c r="G436" s="121">
        <f>G423+G429+G435</f>
        <v>0</v>
      </c>
      <c r="H436" s="121">
        <f>H423+H429+H435</f>
        <v>0</v>
      </c>
      <c r="I436" s="121">
        <f>I423+I429+I435</f>
        <v>0</v>
      </c>
    </row>
    <row r="437" spans="2:12" ht="15.75" x14ac:dyDescent="0.25">
      <c r="B437" s="37"/>
      <c r="C437" s="529"/>
      <c r="D437" s="529"/>
      <c r="E437" s="529"/>
      <c r="F437" s="200"/>
      <c r="G437" s="200"/>
      <c r="H437" s="200"/>
      <c r="I437" s="200"/>
    </row>
    <row r="438" spans="2:12" ht="15.75" x14ac:dyDescent="0.25">
      <c r="B438" s="525" t="str">
        <f>$N$4</f>
        <v>Nagymarosi Polgármesteri Hivatal</v>
      </c>
      <c r="C438" s="525"/>
      <c r="D438" s="525"/>
      <c r="E438" s="525"/>
      <c r="F438" s="525"/>
      <c r="G438" s="525"/>
      <c r="H438" s="525"/>
      <c r="I438" s="525"/>
    </row>
    <row r="439" spans="2:12" ht="15.75" x14ac:dyDescent="0.25">
      <c r="B439" s="525" t="s">
        <v>2660</v>
      </c>
      <c r="C439" s="525"/>
      <c r="D439" s="525"/>
      <c r="E439" s="525"/>
      <c r="F439" s="525"/>
      <c r="G439" s="525"/>
      <c r="H439" s="525"/>
      <c r="I439" s="525"/>
    </row>
    <row r="440" spans="2:12" ht="15.75" x14ac:dyDescent="0.25">
      <c r="B440" s="38"/>
      <c r="C440" s="156"/>
      <c r="D440" s="38"/>
      <c r="E440" s="140"/>
      <c r="F440" s="140"/>
      <c r="G440" s="140"/>
      <c r="H440" s="140"/>
      <c r="I440" s="140"/>
    </row>
    <row r="441" spans="2:12" s="10" customFormat="1" ht="15.75" customHeight="1" x14ac:dyDescent="0.25">
      <c r="B441" s="201" t="str">
        <f>CONCATENATE("15. Bevételi jogcímek"," - ",L441," részletező")</f>
        <v>15. Bevételi jogcímek -  részletező</v>
      </c>
      <c r="C441" s="101"/>
      <c r="D441" s="101"/>
      <c r="E441" s="101"/>
      <c r="F441" s="101"/>
      <c r="G441" s="198"/>
      <c r="H441" s="198"/>
      <c r="I441" s="198"/>
      <c r="L441" s="384"/>
    </row>
    <row r="442" spans="2:12" ht="15.75" x14ac:dyDescent="0.25">
      <c r="B442" s="38"/>
      <c r="C442" s="156"/>
      <c r="D442" s="38"/>
      <c r="E442" s="140"/>
      <c r="F442" s="140"/>
      <c r="G442" s="140"/>
      <c r="H442" s="140"/>
      <c r="I442" s="140"/>
    </row>
    <row r="443" spans="2:12" x14ac:dyDescent="0.25">
      <c r="B443" s="77"/>
      <c r="C443" s="77" t="s">
        <v>350</v>
      </c>
      <c r="D443" s="77" t="s">
        <v>351</v>
      </c>
      <c r="E443" s="77" t="s">
        <v>470</v>
      </c>
      <c r="F443" s="77" t="s">
        <v>471</v>
      </c>
      <c r="G443" s="77" t="s">
        <v>44</v>
      </c>
      <c r="H443" s="77" t="s">
        <v>42</v>
      </c>
      <c r="I443" s="77" t="s">
        <v>511</v>
      </c>
    </row>
    <row r="444" spans="2:12" ht="38.25" x14ac:dyDescent="0.25">
      <c r="B444" s="160">
        <v>1</v>
      </c>
      <c r="C444" s="154" t="s">
        <v>593</v>
      </c>
      <c r="D444" s="154" t="s">
        <v>488</v>
      </c>
      <c r="E444" s="163" t="str">
        <f>CONCATENATE(PAR!$H$3," évi
eredeti 
előirányzat")</f>
        <v>2025. évi
eredeti 
előirányzat</v>
      </c>
      <c r="F444" s="163" t="str">
        <f>CONCATENATE(PAR!$H$3," évi
módosított 
előirányzat")</f>
        <v>2025. évi
módosított 
előirányzat</v>
      </c>
      <c r="G444" s="78" t="s">
        <v>666</v>
      </c>
      <c r="H444" s="78" t="s">
        <v>667</v>
      </c>
      <c r="I444" s="78" t="s">
        <v>668</v>
      </c>
    </row>
    <row r="445" spans="2:12" x14ac:dyDescent="0.25">
      <c r="B445" s="160">
        <v>2</v>
      </c>
      <c r="C445" s="79" t="s">
        <v>30</v>
      </c>
      <c r="D445" s="79" t="s">
        <v>329</v>
      </c>
      <c r="E445" s="121">
        <f>SUM(E446:E458)</f>
        <v>0</v>
      </c>
      <c r="F445" s="121">
        <f t="shared" ref="F445:I445" si="28">SUM(F446:F458)</f>
        <v>0</v>
      </c>
      <c r="G445" s="121">
        <f t="shared" si="28"/>
        <v>0</v>
      </c>
      <c r="H445" s="121">
        <f t="shared" si="28"/>
        <v>0</v>
      </c>
      <c r="I445" s="121">
        <f t="shared" si="28"/>
        <v>0</v>
      </c>
    </row>
    <row r="446" spans="2:12" x14ac:dyDescent="0.2">
      <c r="B446" s="160">
        <v>3</v>
      </c>
      <c r="C446" s="305" t="s">
        <v>1309</v>
      </c>
      <c r="D446" s="82" t="s">
        <v>1356</v>
      </c>
      <c r="E446" s="72">
        <f>SUMIF(Adat!$AG:$AG,CONCATENATE(61,$M$4,"094011",L441),Adat!$E:$E)*-1</f>
        <v>0</v>
      </c>
      <c r="F446" s="72">
        <f>SUMIF(Adat!$AG:$AG,CONCATENATE(60,$M$4,"094011",L441),Adat!$E:$E)*-1+E446</f>
        <v>0</v>
      </c>
      <c r="G446" s="72">
        <f>SUMIF(Adat!$AH:$AH,CONCATENATE($M$4,"(KÖT)","094011",L441),Adat!$E:$E)*-1</f>
        <v>0</v>
      </c>
      <c r="H446" s="72">
        <f>SUMIF(Adat!$AH:$AH,CONCATENATE($M$4,"(ÖNV)","094011",L441),Adat!$E:$E)*-1</f>
        <v>0</v>
      </c>
      <c r="I446" s="72">
        <f>SUMIF(Adat!$AH:$AH,CONCATENATE($M$4,"(ÁIG)","094011",L441),Adat!$E:$E)*-1</f>
        <v>0</v>
      </c>
    </row>
    <row r="447" spans="2:12" x14ac:dyDescent="0.2">
      <c r="B447" s="160">
        <v>4</v>
      </c>
      <c r="C447" s="305" t="s">
        <v>1279</v>
      </c>
      <c r="D447" s="82" t="s">
        <v>1357</v>
      </c>
      <c r="E447" s="72">
        <f>SUMIF(Adat!$AG:$AG,CONCATENATE(61,$M$4,"094021",L441),Adat!$E:$E)*-1</f>
        <v>0</v>
      </c>
      <c r="F447" s="72">
        <f>SUMIF(Adat!$AG:$AG,CONCATENATE(60,$M$4,"094021",L441),Adat!$E:$E)*-1+E447</f>
        <v>0</v>
      </c>
      <c r="G447" s="72">
        <f>SUMIF(Adat!$AH:$AH,CONCATENATE($M$4,"(KÖT)","094021",L441),Adat!$E:$E)*-1</f>
        <v>0</v>
      </c>
      <c r="H447" s="72">
        <f>SUMIF(Adat!$AH:$AH,CONCATENATE($M$4,"(ÖNV)","094021",L441),Adat!$E:$E)*-1</f>
        <v>0</v>
      </c>
      <c r="I447" s="72">
        <f>SUMIF(Adat!$AH:$AH,CONCATENATE($M$4,"(ÁIG)","094021",L441),Adat!$E:$E)*-1</f>
        <v>0</v>
      </c>
    </row>
    <row r="448" spans="2:12" x14ac:dyDescent="0.2">
      <c r="B448" s="160">
        <v>5</v>
      </c>
      <c r="C448" s="305" t="s">
        <v>1272</v>
      </c>
      <c r="D448" s="82" t="s">
        <v>1358</v>
      </c>
      <c r="E448" s="72">
        <f>SUMIF(Adat!$AG:$AG,CONCATENATE(61,$M$4,"094031",L441),Adat!$E:$E)*-1</f>
        <v>0</v>
      </c>
      <c r="F448" s="72">
        <f>SUMIF(Adat!$AG:$AG,CONCATENATE(60,$M$4,"094031",L441),Adat!$E:$E)*-1+E448</f>
        <v>0</v>
      </c>
      <c r="G448" s="72">
        <f>SUMIF(Adat!$AH:$AH,CONCATENATE($M$4,"(KÖT)","094031",L441),Adat!$E:$E)*-1</f>
        <v>0</v>
      </c>
      <c r="H448" s="72">
        <f>SUMIF(Adat!$AH:$AH,CONCATENATE($M$4,"(ÖNV)","094031",L441),Adat!$E:$E)*-1</f>
        <v>0</v>
      </c>
      <c r="I448" s="72">
        <f>SUMIF(Adat!$AH:$AH,CONCATENATE($M$4,"(ÁIG)","094031",L441),Adat!$E:$E)*-1</f>
        <v>0</v>
      </c>
    </row>
    <row r="449" spans="2:9" x14ac:dyDescent="0.2">
      <c r="B449" s="160">
        <v>6</v>
      </c>
      <c r="C449" s="305" t="s">
        <v>1359</v>
      </c>
      <c r="D449" s="82" t="s">
        <v>1360</v>
      </c>
      <c r="E449" s="72">
        <f>SUMIF(Adat!$AG:$AG,CONCATENATE(61,$M$4,"094041",L441),Adat!$E:$E)*-1</f>
        <v>0</v>
      </c>
      <c r="F449" s="72">
        <f>SUMIF(Adat!$AG:$AG,CONCATENATE(60,$M$4,"094041",L441),Adat!$E:$E)*-1+E449</f>
        <v>0</v>
      </c>
      <c r="G449" s="72">
        <f>SUMIF(Adat!$AH:$AH,CONCATENATE($M$4,"(KÖT)","094041",L441),Adat!$E:$E)*-1</f>
        <v>0</v>
      </c>
      <c r="H449" s="72">
        <f>SUMIF(Adat!$AH:$AH,CONCATENATE($M$4,"(ÖNV)","094041",L441),Adat!$E:$E)*-1</f>
        <v>0</v>
      </c>
      <c r="I449" s="72">
        <f>SUMIF(Adat!$AH:$AH,CONCATENATE($M$4,"(ÁIG)","094041",L441),Adat!$E:$E)*-1</f>
        <v>0</v>
      </c>
    </row>
    <row r="450" spans="2:9" x14ac:dyDescent="0.2">
      <c r="B450" s="160">
        <v>7</v>
      </c>
      <c r="C450" s="305" t="s">
        <v>1261</v>
      </c>
      <c r="D450" s="82" t="s">
        <v>1361</v>
      </c>
      <c r="E450" s="72">
        <f>SUMIF(Adat!$AG:$AG,CONCATENATE(61,$M$4,"094051",L441),Adat!$E:$E)*-1</f>
        <v>0</v>
      </c>
      <c r="F450" s="72">
        <f>SUMIF(Adat!$AG:$AG,CONCATENATE(60,$M$4,"094051",L441),Adat!$E:$E)*-1+E450</f>
        <v>0</v>
      </c>
      <c r="G450" s="72">
        <f>SUMIF(Adat!$AH:$AH,CONCATENATE($M$4,"(KÖT)","094051",L441),Adat!$E:$E)*-1</f>
        <v>0</v>
      </c>
      <c r="H450" s="72">
        <f>SUMIF(Adat!$AH:$AH,CONCATENATE($M$4,"(ÖNV)","094051",L441),Adat!$E:$E)*-1</f>
        <v>0</v>
      </c>
      <c r="I450" s="72">
        <f>SUMIF(Adat!$AH:$AH,CONCATENATE($M$4,"(ÁIG)","094051",L441),Adat!$E:$E)*-1</f>
        <v>0</v>
      </c>
    </row>
    <row r="451" spans="2:9" x14ac:dyDescent="0.2">
      <c r="B451" s="160">
        <v>8</v>
      </c>
      <c r="C451" s="305" t="s">
        <v>1273</v>
      </c>
      <c r="D451" s="82" t="s">
        <v>1362</v>
      </c>
      <c r="E451" s="72">
        <f>SUMIF(Adat!$AG:$AG,CONCATENATE(61,$M$4,"094061",L441),Adat!$E:$E)*-1</f>
        <v>0</v>
      </c>
      <c r="F451" s="72">
        <f>SUMIF(Adat!$AG:$AG,CONCATENATE(60,$M$4,"094061",L441),Adat!$E:$E)*-1+E451</f>
        <v>0</v>
      </c>
      <c r="G451" s="72">
        <f>SUMIF(Adat!$AH:$AH,CONCATENATE($M$4,"(KÖT)","094061",L441),Adat!$E:$E)*-1</f>
        <v>0</v>
      </c>
      <c r="H451" s="72">
        <f>SUMIF(Adat!$AH:$AH,CONCATENATE($M$4,"(ÖNV)","094061",L441),Adat!$E:$E)*-1</f>
        <v>0</v>
      </c>
      <c r="I451" s="72">
        <f>SUMIF(Adat!$AH:$AH,CONCATENATE($M$4,"(ÁIG)","094061",L441),Adat!$E:$E)*-1</f>
        <v>0</v>
      </c>
    </row>
    <row r="452" spans="2:9" x14ac:dyDescent="0.2">
      <c r="B452" s="160">
        <v>9</v>
      </c>
      <c r="C452" s="305" t="s">
        <v>1363</v>
      </c>
      <c r="D452" s="82" t="s">
        <v>1364</v>
      </c>
      <c r="E452" s="72">
        <f>SUMIF(Adat!$AG:$AG,CONCATENATE(61,$M$4,"094071",L441),Adat!$E:$E)*-1</f>
        <v>0</v>
      </c>
      <c r="F452" s="72">
        <f>SUMIF(Adat!$AG:$AG,CONCATENATE(60,$M$4,"094071",L441),Adat!$E:$E)*-1+E452</f>
        <v>0</v>
      </c>
      <c r="G452" s="72">
        <f>SUMIF(Adat!$AH:$AH,CONCATENATE($M$4,"(KÖT)","094071",L441),Adat!$E:$E)*-1</f>
        <v>0</v>
      </c>
      <c r="H452" s="72">
        <f>SUMIF(Adat!$AH:$AH,CONCATENATE($M$4,"(ÖNV)","094071",L441),Adat!$E:$E)*-1</f>
        <v>0</v>
      </c>
      <c r="I452" s="72">
        <f>SUMIF(Adat!$AH:$AH,CONCATENATE($M$4,"(ÁIG)","094071",L441),Adat!$E:$E)*-1</f>
        <v>0</v>
      </c>
    </row>
    <row r="453" spans="2:9" x14ac:dyDescent="0.2">
      <c r="B453" s="160">
        <v>10</v>
      </c>
      <c r="C453" s="305" t="s">
        <v>1306</v>
      </c>
      <c r="D453" s="82" t="s">
        <v>1365</v>
      </c>
      <c r="E453" s="72">
        <f>SUMIF(Adat!$AG:$AG,CONCATENATE(61,$M$4,"0940811",L441),Adat!$E:$E)*-1</f>
        <v>0</v>
      </c>
      <c r="F453" s="72">
        <f>SUMIF(Adat!$AG:$AG,CONCATENATE(60,$M$4,"0940811",L441),Adat!$E:$E)*-1+E453</f>
        <v>0</v>
      </c>
      <c r="G453" s="72">
        <f>SUMIF(Adat!$AH:$AH,CONCATENATE($M$4,"(KÖT)","0940811",L441),Adat!$E:$E)*-1</f>
        <v>0</v>
      </c>
      <c r="H453" s="72">
        <f>SUMIF(Adat!$AH:$AH,CONCATENATE($M$4,"(ÖNV)","0940811",L441),Adat!$E:$E)*-1</f>
        <v>0</v>
      </c>
      <c r="I453" s="72">
        <f>SUMIF(Adat!$AH:$AH,CONCATENATE($M$4,"(ÁIG)","0940811",L441),Adat!$E:$E)*-1</f>
        <v>0</v>
      </c>
    </row>
    <row r="454" spans="2:9" x14ac:dyDescent="0.2">
      <c r="B454" s="160">
        <v>11</v>
      </c>
      <c r="C454" s="305" t="s">
        <v>1295</v>
      </c>
      <c r="D454" s="82" t="s">
        <v>1366</v>
      </c>
      <c r="E454" s="72">
        <f>SUMIF(Adat!$AG:$AG,CONCATENATE(61,$M$4,"0940821",L441),Adat!$E:$E)*-1</f>
        <v>0</v>
      </c>
      <c r="F454" s="72">
        <f>SUMIF(Adat!$AG:$AG,CONCATENATE(60,$M$4,"0940821",L441),Adat!$E:$E)*-1+E454</f>
        <v>0</v>
      </c>
      <c r="G454" s="72">
        <f>SUMIF(Adat!$AH:$AH,CONCATENATE($M$4,"(KÖT)","0940821",L441),Adat!$E:$E)*-1</f>
        <v>0</v>
      </c>
      <c r="H454" s="72">
        <f>SUMIF(Adat!$AH:$AH,CONCATENATE($M$4,"(ÖNV)","0940821",L441),Adat!$E:$E)*-1</f>
        <v>0</v>
      </c>
      <c r="I454" s="72">
        <f>SUMIF(Adat!$AH:$AH,CONCATENATE($M$4,"(ÁIG)","0940821",L441),Adat!$E:$E)*-1</f>
        <v>0</v>
      </c>
    </row>
    <row r="455" spans="2:9" x14ac:dyDescent="0.2">
      <c r="B455" s="160">
        <v>12</v>
      </c>
      <c r="C455" s="305" t="s">
        <v>1367</v>
      </c>
      <c r="D455" s="82" t="s">
        <v>1368</v>
      </c>
      <c r="E455" s="72">
        <f>SUMIF(Adat!$AG:$AG,CONCATENATE(61,$M$4,"0940911",L441),Adat!$E:$E)*-1</f>
        <v>0</v>
      </c>
      <c r="F455" s="72">
        <f>SUMIF(Adat!$AG:$AG,CONCATENATE(60,$M$4,"0940911",L441),Adat!$E:$E)*-1+E455</f>
        <v>0</v>
      </c>
      <c r="G455" s="72">
        <f>SUMIF(Adat!$AH:$AH,CONCATENATE($M$4,"(KÖT)","0940911",L441),Adat!$E:$E)*-1</f>
        <v>0</v>
      </c>
      <c r="H455" s="72">
        <f>SUMIF(Adat!$AH:$AH,CONCATENATE($M$4,"(ÖNV)","0940911",L441),Adat!$E:$E)*-1</f>
        <v>0</v>
      </c>
      <c r="I455" s="72">
        <f>SUMIF(Adat!$AH:$AH,CONCATENATE($M$4,"(ÁIG)","0940911",L441),Adat!$E:$E)*-1</f>
        <v>0</v>
      </c>
    </row>
    <row r="456" spans="2:9" x14ac:dyDescent="0.2">
      <c r="B456" s="160">
        <v>13</v>
      </c>
      <c r="C456" s="305" t="s">
        <v>1369</v>
      </c>
      <c r="D456" s="82" t="s">
        <v>1370</v>
      </c>
      <c r="E456" s="72">
        <f>SUMIF(Adat!$AG:$AG,CONCATENATE(61,$M$4,"0940921",L441),Adat!$E:$E)*-1</f>
        <v>0</v>
      </c>
      <c r="F456" s="72">
        <f>SUMIF(Adat!$AG:$AG,CONCATENATE(60,$M$4,"0940921",L441),Adat!$E:$E)*-1+E456</f>
        <v>0</v>
      </c>
      <c r="G456" s="72">
        <f>SUMIF(Adat!$AH:$AH,CONCATENATE($M$4,"(KÖT)","0940921",L441),Adat!$E:$E)*-1</f>
        <v>0</v>
      </c>
      <c r="H456" s="72">
        <f>SUMIF(Adat!$AH:$AH,CONCATENATE($M$4,"(ÖNV)","0940921",L441),Adat!$E:$E)*-1</f>
        <v>0</v>
      </c>
      <c r="I456" s="72">
        <f>SUMIF(Adat!$AH:$AH,CONCATENATE($M$4,"(ÁIG)","0940921",L441),Adat!$E:$E)*-1</f>
        <v>0</v>
      </c>
    </row>
    <row r="457" spans="2:9" x14ac:dyDescent="0.2">
      <c r="B457" s="160">
        <v>14</v>
      </c>
      <c r="C457" s="305" t="s">
        <v>1296</v>
      </c>
      <c r="D457" s="82" t="s">
        <v>1371</v>
      </c>
      <c r="E457" s="72">
        <f>SUMIF(Adat!$AG:$AG,CONCATENATE(61,$M$4,"094101",L441),Adat!$E:$E)*-1</f>
        <v>0</v>
      </c>
      <c r="F457" s="72">
        <f>SUMIF(Adat!$AG:$AG,CONCATENATE(60,$M$4,"094101",L441),Adat!$E:$E)*-1+E457</f>
        <v>0</v>
      </c>
      <c r="G457" s="72">
        <f>SUMIF(Adat!$AH:$AH,CONCATENATE($M$4,"(KÖT)","094101",L441),Adat!$E:$E)*-1</f>
        <v>0</v>
      </c>
      <c r="H457" s="72">
        <f>SUMIF(Adat!$AH:$AH,CONCATENATE($M$4,"(ÖNV)","094101",L441),Adat!$E:$E)*-1</f>
        <v>0</v>
      </c>
      <c r="I457" s="72">
        <f>SUMIF(Adat!$AH:$AH,CONCATENATE($M$4,"(ÁIG)","094101",L441),Adat!$E:$E)*-1</f>
        <v>0</v>
      </c>
    </row>
    <row r="458" spans="2:9" x14ac:dyDescent="0.25">
      <c r="B458" s="160">
        <v>15</v>
      </c>
      <c r="C458" s="305" t="s">
        <v>1297</v>
      </c>
      <c r="D458" s="84" t="s">
        <v>1372</v>
      </c>
      <c r="E458" s="72">
        <f>SUMIF(Adat!$AG:$AG,CONCATENATE(61,$M$4,"094111",L441),Adat!$E:$E)*-1</f>
        <v>0</v>
      </c>
      <c r="F458" s="72">
        <f>SUMIF(Adat!$AG:$AG,CONCATENATE(60,$M$4,"094111",L441),Adat!$E:$E)*-1+E458</f>
        <v>0</v>
      </c>
      <c r="G458" s="72">
        <f>SUMIF(Adat!$AH:$AH,CONCATENATE($M$4,"(KÖT)","094111",L441),Adat!$E:$E)*-1</f>
        <v>0</v>
      </c>
      <c r="H458" s="72">
        <f>SUMIF(Adat!$AH:$AH,CONCATENATE($M$4,"(ÖNV)","094111",L441),Adat!$E:$E)*-1</f>
        <v>0</v>
      </c>
      <c r="I458" s="72">
        <f>SUMIF(Adat!$AH:$AH,CONCATENATE($M$4,"(ÁIG)","094111",L441),Adat!$E:$E)*-1</f>
        <v>0</v>
      </c>
    </row>
    <row r="459" spans="2:9" x14ac:dyDescent="0.25">
      <c r="B459" s="160">
        <v>16</v>
      </c>
      <c r="C459" s="78" t="s">
        <v>1328</v>
      </c>
      <c r="D459" s="85" t="s">
        <v>437</v>
      </c>
      <c r="E459" s="121">
        <f>SUM(E460:E462)</f>
        <v>0</v>
      </c>
      <c r="F459" s="121">
        <f>SUM(F460:F462)</f>
        <v>0</v>
      </c>
      <c r="G459" s="121">
        <f>SUM(G460:G462)</f>
        <v>0</v>
      </c>
      <c r="H459" s="121">
        <f>SUM(H460:H462)</f>
        <v>0</v>
      </c>
      <c r="I459" s="121">
        <f>SUM(I460:I462)</f>
        <v>0</v>
      </c>
    </row>
    <row r="460" spans="2:9" x14ac:dyDescent="0.2">
      <c r="B460" s="160">
        <v>17</v>
      </c>
      <c r="C460" s="305" t="s">
        <v>1329</v>
      </c>
      <c r="D460" s="82" t="s">
        <v>1330</v>
      </c>
      <c r="E460" s="72">
        <f>SUMIF(Adat!$AG:$AG,CONCATENATE(61,$M$4,"09121",L441),Adat!$E:$E)*-1</f>
        <v>0</v>
      </c>
      <c r="F460" s="72">
        <f>SUMIF(Adat!$AG:$AG,CONCATENATE(60,$M$4,"09121",L441),Adat!$E:$E)*-1+E460</f>
        <v>0</v>
      </c>
      <c r="G460" s="72">
        <f>SUMIF(Adat!$AH:$AH,CONCATENATE($M$4,"(KÖT)","09121",L441),Adat!$E:$E)*-1</f>
        <v>0</v>
      </c>
      <c r="H460" s="72">
        <f>SUMIF(Adat!$AH:$AH,CONCATENATE($M$4,"(ÖNV)","09121",L441),Adat!$E:$E)*-1</f>
        <v>0</v>
      </c>
      <c r="I460" s="72">
        <f>SUMIF(Adat!$AH:$AH,CONCATENATE($M$4,"(ÁIG)","09121",L441),Adat!$E:$E)*-1</f>
        <v>0</v>
      </c>
    </row>
    <row r="461" spans="2:9" x14ac:dyDescent="0.2">
      <c r="B461" s="160">
        <v>18</v>
      </c>
      <c r="C461" s="305" t="s">
        <v>1335</v>
      </c>
      <c r="D461" s="82" t="s">
        <v>1336</v>
      </c>
      <c r="E461" s="72">
        <f>SUMIF(Adat!$AG:$AG,CONCATENATE(61,$M$4,"09151",L441),Adat!$E:$E)*-1</f>
        <v>0</v>
      </c>
      <c r="F461" s="72">
        <f>SUMIF(Adat!$AG:$AG,CONCATENATE(60,$M$4,"09151",L441),Adat!$E:$E)*-1+E461</f>
        <v>0</v>
      </c>
      <c r="G461" s="72">
        <f>SUMIF(Adat!$AH:$AH,CONCATENATE($M$4,"(KÖT)","09151",L441),Adat!$E:$E)*-1</f>
        <v>0</v>
      </c>
      <c r="H461" s="72">
        <f>SUMIF(Adat!$AH:$AH,CONCATENATE($M$4,"(ÖNV)","09151",L441),Adat!$E:$E)*-1</f>
        <v>0</v>
      </c>
      <c r="I461" s="72">
        <f>SUMIF(Adat!$AH:$AH,CONCATENATE($M$4,"(ÁIG)","09151",L441),Adat!$E:$E)*-1</f>
        <v>0</v>
      </c>
    </row>
    <row r="462" spans="2:9" x14ac:dyDescent="0.2">
      <c r="B462" s="160">
        <v>19</v>
      </c>
      <c r="C462" s="305" t="s">
        <v>1278</v>
      </c>
      <c r="D462" s="82" t="s">
        <v>1337</v>
      </c>
      <c r="E462" s="72">
        <f>SUMIF(Adat!$AG:$AG,CONCATENATE(61,$M$4,"09161",L441),Adat!$E:$E)*-1</f>
        <v>0</v>
      </c>
      <c r="F462" s="72">
        <f>SUMIF(Adat!$AG:$AG,CONCATENATE(60,$M$4,"09161",L441),Adat!$E:$E)*-1+E462</f>
        <v>0</v>
      </c>
      <c r="G462" s="72">
        <f>SUMIF(Adat!$AH:$AH,CONCATENATE($M$4,"(KÖT)","09161",L441),Adat!$E:$E)*-1</f>
        <v>0</v>
      </c>
      <c r="H462" s="72">
        <f>SUMIF(Adat!$AH:$AH,CONCATENATE($M$4,"(ÖNV)","09161",L441),Adat!$E:$E)*-1</f>
        <v>0</v>
      </c>
      <c r="I462" s="72">
        <f>SUMIF(Adat!$AH:$AH,CONCATENATE($M$4,"(ÁIG)","09161",L441),Adat!$E:$E)*-1</f>
        <v>0</v>
      </c>
    </row>
    <row r="463" spans="2:9" x14ac:dyDescent="0.25">
      <c r="B463" s="160">
        <v>20</v>
      </c>
      <c r="C463" s="79" t="s">
        <v>27</v>
      </c>
      <c r="D463" s="79" t="s">
        <v>328</v>
      </c>
      <c r="E463" s="71">
        <f>SUMIF(Adat!$AI:$AI,CONCATENATE(61,$M$4,"093",L441),Adat!$E:$E)*-1</f>
        <v>0</v>
      </c>
      <c r="F463" s="71">
        <f>SUMIF(Adat!$AI:$AI,CONCATENATE(60,$M$4,"093",L441),Adat!$E:$E)*-1+E463</f>
        <v>0</v>
      </c>
      <c r="G463" s="71">
        <f>SUMIF(Adat!$AJ:$AJ,CONCATENATE($M$4,"093","(KÖT)",L441),Adat!$E:$E)*-1</f>
        <v>0</v>
      </c>
      <c r="H463" s="71">
        <f>SUMIF(Adat!$AJ:$AJ,CONCATENATE($M$4,"093","(ÖNV)",L441),Adat!$E:$E)*-1</f>
        <v>0</v>
      </c>
      <c r="I463" s="71">
        <f>SUMIF(Adat!$AJ:$AJ,CONCATENATE($M$4,"093","(ÁIG)",L441),Adat!$E:$E)*-1</f>
        <v>0</v>
      </c>
    </row>
    <row r="464" spans="2:9" x14ac:dyDescent="0.25">
      <c r="B464" s="160">
        <v>21</v>
      </c>
      <c r="C464" s="79" t="s">
        <v>24</v>
      </c>
      <c r="D464" s="79" t="s">
        <v>449</v>
      </c>
      <c r="E464" s="121">
        <f>SUM(E465:E467)</f>
        <v>0</v>
      </c>
      <c r="F464" s="121">
        <f t="shared" ref="F464:I464" si="29">SUM(F465:F467)</f>
        <v>0</v>
      </c>
      <c r="G464" s="121">
        <f t="shared" si="29"/>
        <v>0</v>
      </c>
      <c r="H464" s="121">
        <f t="shared" si="29"/>
        <v>0</v>
      </c>
      <c r="I464" s="121">
        <f t="shared" si="29"/>
        <v>0</v>
      </c>
    </row>
    <row r="465" spans="2:9" x14ac:dyDescent="0.2">
      <c r="B465" s="160">
        <v>22</v>
      </c>
      <c r="C465" s="305" t="s">
        <v>1339</v>
      </c>
      <c r="D465" s="82" t="s">
        <v>1340</v>
      </c>
      <c r="E465" s="72">
        <f>SUMIF(Adat!$AG:$AG,CONCATENATE(61,$M$4,"09211",L441),Adat!$E:$E)*-1</f>
        <v>0</v>
      </c>
      <c r="F465" s="72">
        <f>SUMIF(Adat!$AG:$AG,CONCATENATE(60,$M$4,"09211",L441),Adat!$E:$E)*-1+E465</f>
        <v>0</v>
      </c>
      <c r="G465" s="72">
        <f>SUMIF(Adat!$AH:$AH,CONCATENATE($M$4,"(KÖT)","09211",L441),Adat!$E:$E)*-1</f>
        <v>0</v>
      </c>
      <c r="H465" s="72">
        <f>SUMIF(Adat!$AH:$AH,CONCATENATE($M$4,"(ÖNV)","09211",L441),Adat!$E:$E)*-1</f>
        <v>0</v>
      </c>
      <c r="I465" s="72">
        <f>SUMIF(Adat!$AH:$AH,CONCATENATE($M$4,"(ÁIG)","09211",L441),Adat!$E:$E)*-1</f>
        <v>0</v>
      </c>
    </row>
    <row r="466" spans="2:9" x14ac:dyDescent="0.2">
      <c r="B466" s="160">
        <v>23</v>
      </c>
      <c r="C466" s="305" t="s">
        <v>1345</v>
      </c>
      <c r="D466" s="82" t="s">
        <v>1346</v>
      </c>
      <c r="E466" s="72">
        <f>SUMIF(Adat!$AG:$AG,CONCATENATE(61,$M$4,"09241",L441),Adat!$E:$E)*-1</f>
        <v>0</v>
      </c>
      <c r="F466" s="72">
        <f>SUMIF(Adat!$AG:$AG,CONCATENATE(60,$M$4,"09241",L441),Adat!$E:$E)*-1+E466</f>
        <v>0</v>
      </c>
      <c r="G466" s="72">
        <f>SUMIF(Adat!$AH:$AH,CONCATENATE($M$4,"(KÖT)","09241",L441),Adat!$E:$E)*-1</f>
        <v>0</v>
      </c>
      <c r="H466" s="72">
        <f>SUMIF(Adat!$AH:$AH,CONCATENATE($M$4,"(ÖNV)","09241",L441),Adat!$E:$E)*-1</f>
        <v>0</v>
      </c>
      <c r="I466" s="72">
        <f>SUMIF(Adat!$AH:$AH,CONCATENATE($M$4,"(ÁIG)","09241",L441),Adat!$E:$E)*-1</f>
        <v>0</v>
      </c>
    </row>
    <row r="467" spans="2:9" x14ac:dyDescent="0.2">
      <c r="B467" s="160">
        <v>24</v>
      </c>
      <c r="C467" s="305" t="s">
        <v>1255</v>
      </c>
      <c r="D467" s="82" t="s">
        <v>1347</v>
      </c>
      <c r="E467" s="72">
        <f>SUMIF(Adat!$AG:$AG,CONCATENATE(61,$M$4,"09251",L441),Adat!$E:$E)*-1</f>
        <v>0</v>
      </c>
      <c r="F467" s="72">
        <f>SUMIF(Adat!$AG:$AG,CONCATENATE(60,$M$4,"09251",L441),Adat!$E:$E)*-1+E467</f>
        <v>0</v>
      </c>
      <c r="G467" s="72">
        <f>SUMIF(Adat!$AH:$AH,CONCATENATE($M$4,"(KÖT)","09251",L441),Adat!$E:$E)*-1</f>
        <v>0</v>
      </c>
      <c r="H467" s="72">
        <f>SUMIF(Adat!$AH:$AH,CONCATENATE($M$4,"(ÖNV)","09251",L441),Adat!$E:$E)*-1</f>
        <v>0</v>
      </c>
      <c r="I467" s="72">
        <f>SUMIF(Adat!$AH:$AH,CONCATENATE($M$4,"(ÁIG)","09251",L441),Adat!$E:$E)*-1</f>
        <v>0</v>
      </c>
    </row>
    <row r="468" spans="2:9" x14ac:dyDescent="0.25">
      <c r="B468" s="160">
        <v>25</v>
      </c>
      <c r="C468" s="79" t="s">
        <v>33</v>
      </c>
      <c r="D468" s="79" t="s">
        <v>330</v>
      </c>
      <c r="E468" s="121">
        <f>SUM(E469:E471)</f>
        <v>0</v>
      </c>
      <c r="F468" s="121">
        <f t="shared" ref="F468:I468" si="30">SUM(F469:F471)</f>
        <v>0</v>
      </c>
      <c r="G468" s="121">
        <f t="shared" si="30"/>
        <v>0</v>
      </c>
      <c r="H468" s="121">
        <f t="shared" si="30"/>
        <v>0</v>
      </c>
      <c r="I468" s="121">
        <f t="shared" si="30"/>
        <v>0</v>
      </c>
    </row>
    <row r="469" spans="2:9" x14ac:dyDescent="0.2">
      <c r="B469" s="160">
        <v>26</v>
      </c>
      <c r="C469" s="305" t="s">
        <v>1373</v>
      </c>
      <c r="D469" s="82" t="s">
        <v>1374</v>
      </c>
      <c r="E469" s="72">
        <f>SUMIF(Adat!$AG:$AG,CONCATENATE(61,$M$4,"09511",L441),Adat!$E:$E)*-1</f>
        <v>0</v>
      </c>
      <c r="F469" s="72">
        <f>SUMIF(Adat!$AG:$AG,CONCATENATE(60,$M$4,"09511",L441),Adat!$E:$E)*-1+E469</f>
        <v>0</v>
      </c>
      <c r="G469" s="72">
        <f>SUMIF(Adat!$AH:$AH,CONCATENATE($M$4,"(KÖT)","09511",L441),Adat!$E:$E)*-1</f>
        <v>0</v>
      </c>
      <c r="H469" s="72">
        <f>SUMIF(Adat!$AH:$AH,CONCATENATE($M$4,"(ÖNV)","09511",L441),Adat!$E:$E)*-1</f>
        <v>0</v>
      </c>
      <c r="I469" s="72">
        <f>SUMIF(Adat!$AH:$AH,CONCATENATE($M$4,"(ÁIG)","09511",L441),Adat!$E:$E)*-1</f>
        <v>0</v>
      </c>
    </row>
    <row r="470" spans="2:9" x14ac:dyDescent="0.2">
      <c r="B470" s="160">
        <v>27</v>
      </c>
      <c r="C470" s="305" t="s">
        <v>1294</v>
      </c>
      <c r="D470" s="82" t="s">
        <v>1375</v>
      </c>
      <c r="E470" s="72">
        <f>SUMIF(Adat!$AG:$AG,CONCATENATE(61,$M$4,"09521",L441),Adat!$E:$E)*-1</f>
        <v>0</v>
      </c>
      <c r="F470" s="72">
        <f>SUMIF(Adat!$AG:$AG,CONCATENATE(60,$M$4,"09521",L441),Adat!$E:$E)*-1+E470</f>
        <v>0</v>
      </c>
      <c r="G470" s="72">
        <f>SUMIF(Adat!$AH:$AH,CONCATENATE($M$4,"(KÖT)","09521",L441),Adat!$E:$E)*-1</f>
        <v>0</v>
      </c>
      <c r="H470" s="72">
        <f>SUMIF(Adat!$AH:$AH,CONCATENATE($M$4,"(ÖNV)","09521",L441),Adat!$E:$E)*-1</f>
        <v>0</v>
      </c>
      <c r="I470" s="72">
        <f>SUMIF(Adat!$AH:$AH,CONCATENATE($M$4,"(ÁIG)","09521",L441),Adat!$E:$E)*-1</f>
        <v>0</v>
      </c>
    </row>
    <row r="471" spans="2:9" x14ac:dyDescent="0.2">
      <c r="B471" s="160">
        <v>28</v>
      </c>
      <c r="C471" s="305" t="s">
        <v>1376</v>
      </c>
      <c r="D471" s="82" t="s">
        <v>1377</v>
      </c>
      <c r="E471" s="72">
        <f>SUMIF(Adat!$AG:$AG,CONCATENATE(61,$M$4,"09531",L441),Adat!$E:$E)*-1</f>
        <v>0</v>
      </c>
      <c r="F471" s="72">
        <f>SUMIF(Adat!$AG:$AG,CONCATENATE(60,$M$4,"09531",L441),Adat!$E:$E)*-1+E471</f>
        <v>0</v>
      </c>
      <c r="G471" s="72">
        <f>SUMIF(Adat!$AH:$AH,CONCATENATE($M$4,"(KÖT)","09531",L441),Adat!$E:$E)*-1</f>
        <v>0</v>
      </c>
      <c r="H471" s="72">
        <f>SUMIF(Adat!$AH:$AH,CONCATENATE($M$4,"(ÖNV)","09531",L441),Adat!$E:$E)*-1</f>
        <v>0</v>
      </c>
      <c r="I471" s="72">
        <f>SUMIF(Adat!$AH:$AH,CONCATENATE($M$4,"(ÁIG)","09531",L441),Adat!$E:$E)*-1</f>
        <v>0</v>
      </c>
    </row>
    <row r="472" spans="2:9" x14ac:dyDescent="0.25">
      <c r="B472" s="160">
        <v>29</v>
      </c>
      <c r="C472" s="79" t="s">
        <v>36</v>
      </c>
      <c r="D472" s="79" t="s">
        <v>331</v>
      </c>
      <c r="E472" s="71">
        <f>SUMIF(Adat!$AI:$AI,CONCATENATE(61,$M$4,"096",L441),Adat!$E:$E)*-1</f>
        <v>0</v>
      </c>
      <c r="F472" s="71">
        <f>SUMIF(Adat!$AI:$AI,CONCATENATE(60,$M$4,"096",L441),Adat!$E:$E)*-1+E472</f>
        <v>0</v>
      </c>
      <c r="G472" s="71">
        <f>SUMIF(Adat!$AJ:$AJ,CONCATENATE($M$4,"096","(KÖT)",L441),Adat!$E:$E)*-1</f>
        <v>0</v>
      </c>
      <c r="H472" s="71">
        <f>SUMIF(Adat!$AJ:$AJ,CONCATENATE($M$4,"096","(ÖNV)",L441),Adat!$E:$E)*-1</f>
        <v>0</v>
      </c>
      <c r="I472" s="71">
        <f>SUMIF(Adat!$AJ:$AJ,CONCATENATE($M$4,"096","(ÁIG)",L441),Adat!$E:$E)*-1</f>
        <v>0</v>
      </c>
    </row>
    <row r="473" spans="2:9" x14ac:dyDescent="0.25">
      <c r="B473" s="160">
        <v>30</v>
      </c>
      <c r="C473" s="79" t="s">
        <v>38</v>
      </c>
      <c r="D473" s="85" t="s">
        <v>332</v>
      </c>
      <c r="E473" s="71">
        <f>SUMIF(Adat!$AI:$AI,CONCATENATE(61,$M$4,"097",L441),Adat!$E:$E)*-1</f>
        <v>0</v>
      </c>
      <c r="F473" s="71">
        <f>SUMIF(Adat!$AI:$AI,CONCATENATE(60,$M$4,"097",L441),Adat!$E:$E)*-1+E473</f>
        <v>0</v>
      </c>
      <c r="G473" s="71">
        <f>SUMIF(Adat!$AJ:$AJ,CONCATENATE($M$4,"097","(KÖT)",L441),Adat!$E:$E)*-1</f>
        <v>0</v>
      </c>
      <c r="H473" s="71">
        <f>SUMIF(Adat!$AJ:$AJ,CONCATENATE($M$4,"097","(ÖNV)",L441),Adat!$E:$E)*-1</f>
        <v>0</v>
      </c>
      <c r="I473" s="71">
        <f>SUMIF(Adat!$AJ:$AJ,CONCATENATE($M$4,"097","(ÁIG)",L441),Adat!$E:$E)*-1</f>
        <v>0</v>
      </c>
    </row>
    <row r="474" spans="2:9" x14ac:dyDescent="0.25">
      <c r="B474" s="160">
        <v>31</v>
      </c>
      <c r="C474" s="154" t="s">
        <v>352</v>
      </c>
      <c r="D474" s="86" t="s">
        <v>1500</v>
      </c>
      <c r="E474" s="121">
        <f>E445+E459+E463+E464+E468+E472+E473</f>
        <v>0</v>
      </c>
      <c r="F474" s="121">
        <f>F445+F459+F463+F464+F468+F472+F473</f>
        <v>0</v>
      </c>
      <c r="G474" s="121">
        <f>G445+G459+G463+G464+G468+G472+G473</f>
        <v>0</v>
      </c>
      <c r="H474" s="121">
        <f>H445+H459+H463+H464+H468+H472+H473</f>
        <v>0</v>
      </c>
      <c r="I474" s="121">
        <f>I445+I459+I463+I464+I468+I472+I473</f>
        <v>0</v>
      </c>
    </row>
    <row r="475" spans="2:9" x14ac:dyDescent="0.25">
      <c r="B475" s="160">
        <v>32</v>
      </c>
      <c r="C475" s="154" t="s">
        <v>358</v>
      </c>
      <c r="D475" s="86" t="s">
        <v>333</v>
      </c>
      <c r="E475" s="121">
        <f>SUM(E476:E478)</f>
        <v>0</v>
      </c>
      <c r="F475" s="121">
        <f t="shared" ref="F475:I475" si="31">SUM(F476:F478)</f>
        <v>0</v>
      </c>
      <c r="G475" s="121">
        <f t="shared" si="31"/>
        <v>0</v>
      </c>
      <c r="H475" s="121">
        <f t="shared" si="31"/>
        <v>0</v>
      </c>
      <c r="I475" s="121">
        <f t="shared" si="31"/>
        <v>0</v>
      </c>
    </row>
    <row r="476" spans="2:9" x14ac:dyDescent="0.2">
      <c r="B476" s="160">
        <v>33</v>
      </c>
      <c r="C476" s="305" t="s">
        <v>1274</v>
      </c>
      <c r="D476" s="82" t="s">
        <v>1419</v>
      </c>
      <c r="E476" s="72">
        <f>SUMIF(Adat!$AG:$AG,CONCATENATE(61,$M$4,"0981311",L441),Adat!$E:$E)*-1</f>
        <v>0</v>
      </c>
      <c r="F476" s="72">
        <f>SUMIF(Adat!$AG:$AG,CONCATENATE(60,$M$4,"0981311",L441),Adat!$E:$E)*-1+E476</f>
        <v>0</v>
      </c>
      <c r="G476" s="72">
        <f>SUMIF(Adat!$AH:$AH,CONCATENATE($M$4,"(KÖT)","0981311",L441),Adat!$E:$E)*-1</f>
        <v>0</v>
      </c>
      <c r="H476" s="72">
        <f>SUMIF(Adat!$AH:$AH,CONCATENATE($M$4,"(ÖNV)","0981311",L441),Adat!$E:$E)*-1</f>
        <v>0</v>
      </c>
      <c r="I476" s="72">
        <f>SUMIF(Adat!$AH:$AH,CONCATENATE($M$4,"(ÁIG)","0981311",L441),Adat!$E:$E)*-1</f>
        <v>0</v>
      </c>
    </row>
    <row r="477" spans="2:9" x14ac:dyDescent="0.25">
      <c r="B477" s="160">
        <v>34</v>
      </c>
      <c r="C477" s="305" t="s">
        <v>1420</v>
      </c>
      <c r="D477" s="84" t="s">
        <v>1421</v>
      </c>
      <c r="E477" s="72">
        <f>SUMIF(Adat!$AG:$AG,CONCATENATE(61,$M$4,"0981321",L441),Adat!$E:$E)*-1</f>
        <v>0</v>
      </c>
      <c r="F477" s="72">
        <f>SUMIF(Adat!$AG:$AG,CONCATENATE(60,$M$4,"0981321",L441),Adat!$E:$E)*-1+E477</f>
        <v>0</v>
      </c>
      <c r="G477" s="72">
        <f>SUMIF(Adat!$AH:$AH,CONCATENATE($M$4,"(KÖT)","0981321",L441),Adat!$E:$E)*-1</f>
        <v>0</v>
      </c>
      <c r="H477" s="72">
        <f>SUMIF(Adat!$AH:$AH,CONCATENATE($M$4,"(ÖNV)","0981321",L441),Adat!$E:$E)*-1</f>
        <v>0</v>
      </c>
      <c r="I477" s="72">
        <f>SUMIF(Adat!$AH:$AH,CONCATENATE($M$4,"(ÁIG)","0981321",L441),Adat!$E:$E)*-1</f>
        <v>0</v>
      </c>
    </row>
    <row r="478" spans="2:9" x14ac:dyDescent="0.25">
      <c r="B478" s="160">
        <v>35</v>
      </c>
      <c r="C478" s="319" t="s">
        <v>1275</v>
      </c>
      <c r="D478" s="84" t="s">
        <v>1501</v>
      </c>
      <c r="E478" s="72">
        <f>SUMIF(Adat!$AG:$AG,CONCATENATE(61,$M$4,"098161",L441),Adat!$E:$E)*-1</f>
        <v>0</v>
      </c>
      <c r="F478" s="72">
        <f>SUMIF(Adat!$AG:$AG,CONCATENATE(60,$M$4,"098161",L441),Adat!$E:$E)*-1+E478</f>
        <v>0</v>
      </c>
      <c r="G478" s="72">
        <f>SUMIF(Adat!$AH:$AH,CONCATENATE($M$4,"(KÖT)","098161",L441),Adat!$E:$E)*-1</f>
        <v>0</v>
      </c>
      <c r="H478" s="72">
        <f>SUMIF(Adat!$AH:$AH,CONCATENATE($M$4,"(ÖNV)","098161",L441),Adat!$E:$E)*-1</f>
        <v>0</v>
      </c>
      <c r="I478" s="72">
        <f>SUMIF(Adat!$AH:$AH,CONCATENATE($M$4,"(ÁIG)","098161",L441),Adat!$E:$E)*-1</f>
        <v>0</v>
      </c>
    </row>
    <row r="479" spans="2:9" x14ac:dyDescent="0.25">
      <c r="B479" s="160">
        <v>36</v>
      </c>
      <c r="C479" s="154" t="s">
        <v>364</v>
      </c>
      <c r="D479" s="159" t="s">
        <v>1502</v>
      </c>
      <c r="E479" s="121">
        <f>+E474+E475</f>
        <v>0</v>
      </c>
      <c r="F479" s="121">
        <f>+F474+F475</f>
        <v>0</v>
      </c>
      <c r="G479" s="121">
        <f>+G474+G475</f>
        <v>0</v>
      </c>
      <c r="H479" s="121">
        <f>+H474+H475</f>
        <v>0</v>
      </c>
      <c r="I479" s="121">
        <f>+I474+I475</f>
        <v>0</v>
      </c>
    </row>
    <row r="480" spans="2:9" ht="15.75" x14ac:dyDescent="0.25">
      <c r="B480" s="38"/>
      <c r="C480" s="156"/>
      <c r="D480" s="38"/>
      <c r="E480" s="140"/>
      <c r="F480" s="140"/>
      <c r="G480" s="140"/>
      <c r="H480" s="140"/>
      <c r="I480" s="140"/>
    </row>
    <row r="481" spans="2:12" s="10" customFormat="1" ht="15.75" customHeight="1" x14ac:dyDescent="0.25">
      <c r="B481" s="201" t="str">
        <f>CONCATENATE("16. Kiadási jogcímek"," - ",L481," részletező")</f>
        <v>16. Kiadási jogcímek -  részletező</v>
      </c>
      <c r="C481" s="101"/>
      <c r="D481" s="101"/>
      <c r="E481" s="101"/>
      <c r="F481" s="101"/>
      <c r="G481" s="198"/>
      <c r="H481" s="198"/>
      <c r="I481" s="198"/>
      <c r="L481" s="384"/>
    </row>
    <row r="482" spans="2:12" ht="15.75" x14ac:dyDescent="0.25">
      <c r="B482" s="38"/>
      <c r="C482" s="156"/>
      <c r="D482" s="38"/>
      <c r="E482" s="140"/>
      <c r="F482" s="140"/>
      <c r="G482" s="140"/>
      <c r="H482" s="140"/>
      <c r="I482" s="140"/>
    </row>
    <row r="483" spans="2:12" x14ac:dyDescent="0.25">
      <c r="B483" s="77"/>
      <c r="C483" s="77" t="s">
        <v>350</v>
      </c>
      <c r="D483" s="77" t="s">
        <v>351</v>
      </c>
      <c r="E483" s="77" t="s">
        <v>470</v>
      </c>
      <c r="F483" s="77" t="s">
        <v>471</v>
      </c>
      <c r="G483" s="77" t="s">
        <v>44</v>
      </c>
      <c r="H483" s="77" t="s">
        <v>42</v>
      </c>
      <c r="I483" s="77" t="s">
        <v>511</v>
      </c>
    </row>
    <row r="484" spans="2:12" ht="38.25" x14ac:dyDescent="0.25">
      <c r="B484" s="160">
        <v>1</v>
      </c>
      <c r="C484" s="154" t="s">
        <v>593</v>
      </c>
      <c r="D484" s="154" t="s">
        <v>488</v>
      </c>
      <c r="E484" s="163" t="str">
        <f>CONCATENATE(PAR!$H$3," évi
eredeti 
előirányzat")</f>
        <v>2025. évi
eredeti 
előirányzat</v>
      </c>
      <c r="F484" s="163" t="str">
        <f>CONCATENATE(PAR!$H$3," évi
módosított 
előirányzat")</f>
        <v>2025. évi
módosított 
előirányzat</v>
      </c>
      <c r="G484" s="78" t="s">
        <v>666</v>
      </c>
      <c r="H484" s="78" t="s">
        <v>667</v>
      </c>
      <c r="I484" s="78" t="s">
        <v>668</v>
      </c>
    </row>
    <row r="485" spans="2:12" x14ac:dyDescent="0.25">
      <c r="B485" s="160">
        <v>2</v>
      </c>
      <c r="C485" s="78" t="s">
        <v>352</v>
      </c>
      <c r="D485" s="92" t="s">
        <v>1444</v>
      </c>
      <c r="E485" s="121">
        <f>SUM(E486:E490)</f>
        <v>0</v>
      </c>
      <c r="F485" s="121">
        <f>SUM(F486:F490)</f>
        <v>0</v>
      </c>
      <c r="G485" s="121">
        <f>SUM(G486:G490)</f>
        <v>0</v>
      </c>
      <c r="H485" s="121">
        <f>SUM(H486:H490)</f>
        <v>0</v>
      </c>
      <c r="I485" s="121">
        <f>SUM(I486:I490)</f>
        <v>0</v>
      </c>
    </row>
    <row r="486" spans="2:12" x14ac:dyDescent="0.25">
      <c r="B486" s="160">
        <v>3</v>
      </c>
      <c r="C486" s="305" t="s">
        <v>315</v>
      </c>
      <c r="D486" s="93" t="s">
        <v>342</v>
      </c>
      <c r="E486" s="72">
        <f>SUMIF(Adat!$AI:$AI,CONCATENATE(61,$M$4,"051",L481),Adat!$E:$E)</f>
        <v>0</v>
      </c>
      <c r="F486" s="72">
        <f>SUMIF(Adat!$AI:$AI,CONCATENATE(60,$M$4,"051",L481),Adat!$E:$E)+E486</f>
        <v>0</v>
      </c>
      <c r="G486" s="72">
        <f>SUMIF(Adat!$AJ:$AJ,CONCATENATE($M$4,"051","(KÖT)",L481),Adat!$E:$E)</f>
        <v>0</v>
      </c>
      <c r="H486" s="72">
        <f>SUMIF(Adat!$AJ:$AJ,CONCATENATE($M$4,"051","(ÖNV)",L481),Adat!$E:$E)</f>
        <v>0</v>
      </c>
      <c r="I486" s="72">
        <f>SUMIF(Adat!$AJ:$AJ,CONCATENATE($M$4,"051","(ÁIG)",L481),Adat!$E:$E)</f>
        <v>0</v>
      </c>
    </row>
    <row r="487" spans="2:12" x14ac:dyDescent="0.25">
      <c r="B487" s="160">
        <v>4</v>
      </c>
      <c r="C487" s="305" t="s">
        <v>317</v>
      </c>
      <c r="D487" s="93" t="s">
        <v>395</v>
      </c>
      <c r="E487" s="72">
        <f>SUMIF(Adat!$AI:$AI,CONCATENATE(61,$M$4,"052",L481),Adat!$E:$E)</f>
        <v>0</v>
      </c>
      <c r="F487" s="72">
        <f>SUMIF(Adat!$AI:$AI,CONCATENATE(60,$M$4,"052",L481),Adat!$E:$E)+E487</f>
        <v>0</v>
      </c>
      <c r="G487" s="72">
        <f>SUMIF(Adat!$AJ:$AJ,CONCATENATE($M$4,"052","(KÖT)",L481),Adat!$E:$E)</f>
        <v>0</v>
      </c>
      <c r="H487" s="72">
        <f>SUMIF(Adat!$AJ:$AJ,CONCATENATE($M$4,"052","(ÖNV)",L481),Adat!$E:$E)</f>
        <v>0</v>
      </c>
      <c r="I487" s="72">
        <f>SUMIF(Adat!$AJ:$AJ,CONCATENATE($M$4,"052","(ÁIG)",L481),Adat!$E:$E)</f>
        <v>0</v>
      </c>
    </row>
    <row r="488" spans="2:12" x14ac:dyDescent="0.25">
      <c r="B488" s="160">
        <v>5</v>
      </c>
      <c r="C488" s="305" t="s">
        <v>4</v>
      </c>
      <c r="D488" s="93" t="s">
        <v>344</v>
      </c>
      <c r="E488" s="72">
        <f>SUMIF(Adat!$AI:$AI,CONCATENATE(61,$M$4,"053",L481),Adat!$E:$E)</f>
        <v>0</v>
      </c>
      <c r="F488" s="72">
        <f>SUMIF(Adat!$AI:$AI,CONCATENATE(60,$M$4,"053",L481),Adat!$E:$E)+E488</f>
        <v>0</v>
      </c>
      <c r="G488" s="72">
        <f>SUMIF(Adat!$AJ:$AJ,CONCATENATE($M$4,"053","(KÖT)",L481),Adat!$E:$E)</f>
        <v>0</v>
      </c>
      <c r="H488" s="72">
        <f>SUMIF(Adat!$AJ:$AJ,CONCATENATE($M$4,"053","(ÖNV)",L481),Adat!$E:$E)</f>
        <v>0</v>
      </c>
      <c r="I488" s="72">
        <f>SUMIF(Adat!$AJ:$AJ,CONCATENATE($M$4,"053","(ÁIG)",L481),Adat!$E:$E)</f>
        <v>0</v>
      </c>
    </row>
    <row r="489" spans="2:12" x14ac:dyDescent="0.25">
      <c r="B489" s="160">
        <v>6</v>
      </c>
      <c r="C489" s="305" t="s">
        <v>6</v>
      </c>
      <c r="D489" s="93" t="s">
        <v>345</v>
      </c>
      <c r="E489" s="72">
        <f>SUMIF(Adat!$AI:$AI,CONCATENATE(61,$M$4,"054",L481),Adat!$E:$E)</f>
        <v>0</v>
      </c>
      <c r="F489" s="72">
        <f>SUMIF(Adat!$AI:$AI,CONCATENATE(60,$M$4,"054",L481),Adat!$E:$E)+E489</f>
        <v>0</v>
      </c>
      <c r="G489" s="72">
        <f>SUMIF(Adat!$AJ:$AJ,CONCATENATE($M$4,"054","(KÖT)",L481),Adat!$E:$E)</f>
        <v>0</v>
      </c>
      <c r="H489" s="72">
        <f>SUMIF(Adat!$AJ:$AJ,CONCATENATE($M$4,"054","(ÖNV)",L481),Adat!$E:$E)</f>
        <v>0</v>
      </c>
      <c r="I489" s="72">
        <f>SUMIF(Adat!$AJ:$AJ,CONCATENATE($M$4,"054","(ÁIG)",L481),Adat!$E:$E)</f>
        <v>0</v>
      </c>
    </row>
    <row r="490" spans="2:12" x14ac:dyDescent="0.25">
      <c r="B490" s="160">
        <v>7</v>
      </c>
      <c r="C490" s="305" t="s">
        <v>8</v>
      </c>
      <c r="D490" s="93" t="s">
        <v>321</v>
      </c>
      <c r="E490" s="72">
        <f>SUMIF(Adat!$AI:$AI,CONCATENATE(61,$M$4,"055",L481),Adat!$E:$E)</f>
        <v>0</v>
      </c>
      <c r="F490" s="72">
        <f>SUMIF(Adat!$AI:$AI,CONCATENATE(60,$M$4,"055",L481),Adat!$E:$E)+E490</f>
        <v>0</v>
      </c>
      <c r="G490" s="72">
        <f>SUMIF(Adat!$AJ:$AJ,CONCATENATE($M$4,"055","(KÖT)",L481),Adat!$E:$E)</f>
        <v>0</v>
      </c>
      <c r="H490" s="72">
        <f>SUMIF(Adat!$AJ:$AJ,CONCATENATE($M$4,"055","(ÖNV)",L481),Adat!$E:$E)</f>
        <v>0</v>
      </c>
      <c r="I490" s="72">
        <f>SUMIF(Adat!$AJ:$AJ,CONCATENATE($M$4,"055","(ÁIG)",L481),Adat!$E:$E)</f>
        <v>0</v>
      </c>
    </row>
    <row r="491" spans="2:12" x14ac:dyDescent="0.25">
      <c r="B491" s="160">
        <v>8</v>
      </c>
      <c r="C491" s="78" t="s">
        <v>358</v>
      </c>
      <c r="D491" s="92" t="s">
        <v>1447</v>
      </c>
      <c r="E491" s="121">
        <f>E492+E494+E496</f>
        <v>0</v>
      </c>
      <c r="F491" s="121">
        <f>F492+F494+F496</f>
        <v>0</v>
      </c>
      <c r="G491" s="121">
        <f>G492+G494+G496</f>
        <v>0</v>
      </c>
      <c r="H491" s="121">
        <f>H492+H494+H496</f>
        <v>0</v>
      </c>
      <c r="I491" s="121">
        <f>I492+I494+I496</f>
        <v>0</v>
      </c>
    </row>
    <row r="492" spans="2:12" x14ac:dyDescent="0.25">
      <c r="B492" s="160">
        <v>9</v>
      </c>
      <c r="C492" s="305" t="s">
        <v>10</v>
      </c>
      <c r="D492" s="93" t="s">
        <v>322</v>
      </c>
      <c r="E492" s="72">
        <f>SUMIF(Adat!$AI:$AI,CONCATENATE(61,$M$4,"056",L481),Adat!$E:$E)</f>
        <v>0</v>
      </c>
      <c r="F492" s="72">
        <f>SUMIF(Adat!$AI:$AI,CONCATENATE(60,$M$4,"056",L481),Adat!$E:$E)+E492</f>
        <v>0</v>
      </c>
      <c r="G492" s="72">
        <f>SUMIF(Adat!$AJ:$AJ,CONCATENATE($M$4,"056","(KÖT)",L481),Adat!$E:$E)</f>
        <v>0</v>
      </c>
      <c r="H492" s="72">
        <f>SUMIF(Adat!$AJ:$AJ,CONCATENATE($M$4,"056","(ÖNV)",L481),Adat!$E:$E)</f>
        <v>0</v>
      </c>
      <c r="I492" s="72">
        <f>SUMIF(Adat!$AJ:$AJ,CONCATENATE($M$4,"056","(ÁIG)",L481),Adat!$E:$E)</f>
        <v>0</v>
      </c>
    </row>
    <row r="493" spans="2:12" x14ac:dyDescent="0.25">
      <c r="B493" s="160">
        <v>10</v>
      </c>
      <c r="C493" s="305" t="s">
        <v>10</v>
      </c>
      <c r="D493" s="93" t="s">
        <v>1448</v>
      </c>
      <c r="E493" s="72">
        <v>0</v>
      </c>
      <c r="F493" s="72">
        <f>SUM(G493:I493)</f>
        <v>0</v>
      </c>
      <c r="G493" s="72">
        <v>0</v>
      </c>
      <c r="H493" s="72">
        <v>0</v>
      </c>
      <c r="I493" s="72">
        <v>0</v>
      </c>
    </row>
    <row r="494" spans="2:12" x14ac:dyDescent="0.25">
      <c r="B494" s="160">
        <v>11</v>
      </c>
      <c r="C494" s="305" t="s">
        <v>12</v>
      </c>
      <c r="D494" s="93" t="s">
        <v>323</v>
      </c>
      <c r="E494" s="72">
        <f>SUMIF(Adat!$AI:$AI,CONCATENATE(61,$M$4,"057",L481),Adat!$E:$E)</f>
        <v>0</v>
      </c>
      <c r="F494" s="72">
        <f>SUMIF(Adat!$AI:$AI,CONCATENATE(60,$M$4,"057",L481),Adat!$E:$E)+E494</f>
        <v>0</v>
      </c>
      <c r="G494" s="72">
        <f>SUMIF(Adat!$AJ:$AJ,CONCATENATE($M$4,"057","(KÖT)",L481),Adat!$E:$E)</f>
        <v>0</v>
      </c>
      <c r="H494" s="72">
        <f>SUMIF(Adat!$AJ:$AJ,CONCATENATE($M$4,"057","(ÖNV)",L481),Adat!$E:$E)</f>
        <v>0</v>
      </c>
      <c r="I494" s="72">
        <f>SUMIF(Adat!$AJ:$AJ,CONCATENATE($M$4,"057","(ÁIG)",L481),Adat!$E:$E)</f>
        <v>0</v>
      </c>
    </row>
    <row r="495" spans="2:12" x14ac:dyDescent="0.25">
      <c r="B495" s="160">
        <v>12</v>
      </c>
      <c r="C495" s="305" t="s">
        <v>12</v>
      </c>
      <c r="D495" s="93" t="s">
        <v>1449</v>
      </c>
      <c r="E495" s="72">
        <v>0</v>
      </c>
      <c r="F495" s="72">
        <f>SUM(G495:I495)</f>
        <v>0</v>
      </c>
      <c r="G495" s="72">
        <v>0</v>
      </c>
      <c r="H495" s="72">
        <v>0</v>
      </c>
      <c r="I495" s="72">
        <v>0</v>
      </c>
    </row>
    <row r="496" spans="2:12" x14ac:dyDescent="0.25">
      <c r="B496" s="160">
        <v>13</v>
      </c>
      <c r="C496" s="305" t="s">
        <v>15</v>
      </c>
      <c r="D496" s="84" t="s">
        <v>324</v>
      </c>
      <c r="E496" s="72">
        <f>SUMIF(Adat!$AI:$AI,CONCATENATE(61,$M$4,"058",L481),Adat!$E:$E)</f>
        <v>0</v>
      </c>
      <c r="F496" s="72">
        <f>SUMIF(Adat!$AI:$AI,CONCATENATE(60,$M$4,"058",L481),Adat!$E:$E)+E496</f>
        <v>0</v>
      </c>
      <c r="G496" s="72">
        <f>SUMIF(Adat!$AJ:$AJ,CONCATENATE($M$4,"058","(KÖT)",L481),Adat!$E:$E)</f>
        <v>0</v>
      </c>
      <c r="H496" s="72">
        <f>SUMIF(Adat!$AJ:$AJ,CONCATENATE($M$4,"058","(ÖNV)",L481),Adat!$E:$E)</f>
        <v>0</v>
      </c>
      <c r="I496" s="72">
        <f>SUMIF(Adat!$AJ:$AJ,CONCATENATE($M$4,"058","(ÁIG)",L481),Adat!$E:$E)</f>
        <v>0</v>
      </c>
    </row>
    <row r="497" spans="2:12" x14ac:dyDescent="0.25">
      <c r="B497" s="160">
        <v>14</v>
      </c>
      <c r="C497" s="154" t="s">
        <v>364</v>
      </c>
      <c r="D497" s="86" t="s">
        <v>325</v>
      </c>
      <c r="E497" s="71">
        <f>SUMIF(Adat!$AI:$AI,CONCATENATE(61,$M$4,"059",L481),Adat!$E:$E)</f>
        <v>0</v>
      </c>
      <c r="F497" s="71">
        <f>SUMIF(Adat!$AI:$AI,CONCATENATE(60,$M$4,"059",L481),Adat!$E:$E)+E497</f>
        <v>0</v>
      </c>
      <c r="G497" s="71">
        <f>SUMIF(Adat!$AJ:$AJ,CONCATENATE($M$4,"059","(KÖT)",L481),Adat!$E:$E)</f>
        <v>0</v>
      </c>
      <c r="H497" s="71">
        <f>SUMIF(Adat!$AJ:$AJ,CONCATENATE($M$4,"059","(ÖNV)",L481),Adat!$E:$E)</f>
        <v>0</v>
      </c>
      <c r="I497" s="71">
        <f>SUMIF(Adat!$AJ:$AJ,CONCATENATE($M$4,"059","(ÁIG)",L481),Adat!$E:$E)</f>
        <v>0</v>
      </c>
    </row>
    <row r="498" spans="2:12" x14ac:dyDescent="0.25">
      <c r="B498" s="160">
        <v>15</v>
      </c>
      <c r="C498" s="154" t="s">
        <v>403</v>
      </c>
      <c r="D498" s="159" t="s">
        <v>497</v>
      </c>
      <c r="E498" s="121">
        <f>E485+E491+E497</f>
        <v>0</v>
      </c>
      <c r="F498" s="121">
        <f>F485+F491+F497</f>
        <v>0</v>
      </c>
      <c r="G498" s="121">
        <f>G485+G491+G497</f>
        <v>0</v>
      </c>
      <c r="H498" s="121">
        <f>H485+H491+H497</f>
        <v>0</v>
      </c>
      <c r="I498" s="121">
        <f>I485+I491+I497</f>
        <v>0</v>
      </c>
    </row>
    <row r="499" spans="2:12" ht="15.75" x14ac:dyDescent="0.25">
      <c r="B499" s="37"/>
      <c r="C499" s="529"/>
      <c r="D499" s="529"/>
      <c r="E499" s="529"/>
      <c r="F499" s="200"/>
      <c r="G499" s="200"/>
      <c r="H499" s="200"/>
      <c r="I499" s="200"/>
    </row>
    <row r="500" spans="2:12" ht="15.75" x14ac:dyDescent="0.25">
      <c r="B500" s="525" t="str">
        <f>$N$4</f>
        <v>Nagymarosi Polgármesteri Hivatal</v>
      </c>
      <c r="C500" s="525"/>
      <c r="D500" s="525"/>
      <c r="E500" s="525"/>
      <c r="F500" s="525"/>
      <c r="G500" s="525"/>
      <c r="H500" s="525"/>
      <c r="I500" s="525"/>
    </row>
    <row r="501" spans="2:12" ht="15.75" x14ac:dyDescent="0.25">
      <c r="B501" s="525" t="s">
        <v>2660</v>
      </c>
      <c r="C501" s="525"/>
      <c r="D501" s="525"/>
      <c r="E501" s="525"/>
      <c r="F501" s="525"/>
      <c r="G501" s="525"/>
      <c r="H501" s="525"/>
      <c r="I501" s="525"/>
    </row>
    <row r="502" spans="2:12" ht="15.75" x14ac:dyDescent="0.25">
      <c r="B502" s="38"/>
      <c r="C502" s="156"/>
      <c r="D502" s="38"/>
      <c r="E502" s="140"/>
      <c r="F502" s="140"/>
      <c r="G502" s="140"/>
      <c r="H502" s="140"/>
      <c r="I502" s="140"/>
    </row>
    <row r="503" spans="2:12" s="10" customFormat="1" ht="15.75" customHeight="1" x14ac:dyDescent="0.25">
      <c r="B503" s="201" t="str">
        <f>CONCATENATE("17. Bevételi jogcímek"," - ",L503," részletező")</f>
        <v>17. Bevételi jogcímek -  részletező</v>
      </c>
      <c r="C503" s="101"/>
      <c r="D503" s="101"/>
      <c r="E503" s="101"/>
      <c r="F503" s="101"/>
      <c r="G503" s="198"/>
      <c r="H503" s="198"/>
      <c r="I503" s="198"/>
      <c r="L503" s="384"/>
    </row>
    <row r="504" spans="2:12" ht="15.75" x14ac:dyDescent="0.25">
      <c r="B504" s="38"/>
      <c r="C504" s="156"/>
      <c r="D504" s="38"/>
      <c r="E504" s="140"/>
      <c r="F504" s="140"/>
      <c r="G504" s="140"/>
      <c r="H504" s="140"/>
      <c r="I504" s="140"/>
    </row>
    <row r="505" spans="2:12" x14ac:dyDescent="0.25">
      <c r="B505" s="77"/>
      <c r="C505" s="77" t="s">
        <v>350</v>
      </c>
      <c r="D505" s="77" t="s">
        <v>351</v>
      </c>
      <c r="E505" s="77" t="s">
        <v>470</v>
      </c>
      <c r="F505" s="77" t="s">
        <v>471</v>
      </c>
      <c r="G505" s="77" t="s">
        <v>44</v>
      </c>
      <c r="H505" s="77" t="s">
        <v>42</v>
      </c>
      <c r="I505" s="77" t="s">
        <v>511</v>
      </c>
    </row>
    <row r="506" spans="2:12" ht="38.25" x14ac:dyDescent="0.25">
      <c r="B506" s="160">
        <v>1</v>
      </c>
      <c r="C506" s="154" t="s">
        <v>593</v>
      </c>
      <c r="D506" s="154" t="s">
        <v>488</v>
      </c>
      <c r="E506" s="163" t="str">
        <f>CONCATENATE(PAR!$H$3," évi
eredeti 
előirányzat")</f>
        <v>2025. évi
eredeti 
előirányzat</v>
      </c>
      <c r="F506" s="163" t="str">
        <f>CONCATENATE(PAR!$H$3," évi
módosított 
előirányzat")</f>
        <v>2025. évi
módosított 
előirányzat</v>
      </c>
      <c r="G506" s="78" t="s">
        <v>666</v>
      </c>
      <c r="H506" s="78" t="s">
        <v>667</v>
      </c>
      <c r="I506" s="78" t="s">
        <v>668</v>
      </c>
    </row>
    <row r="507" spans="2:12" x14ac:dyDescent="0.25">
      <c r="B507" s="160">
        <v>2</v>
      </c>
      <c r="C507" s="79" t="s">
        <v>30</v>
      </c>
      <c r="D507" s="79" t="s">
        <v>329</v>
      </c>
      <c r="E507" s="121">
        <f>SUM(E508:E520)</f>
        <v>0</v>
      </c>
      <c r="F507" s="121">
        <f t="shared" ref="F507:I507" si="32">SUM(F508:F520)</f>
        <v>0</v>
      </c>
      <c r="G507" s="121">
        <f t="shared" si="32"/>
        <v>0</v>
      </c>
      <c r="H507" s="121">
        <f t="shared" si="32"/>
        <v>0</v>
      </c>
      <c r="I507" s="121">
        <f t="shared" si="32"/>
        <v>0</v>
      </c>
    </row>
    <row r="508" spans="2:12" x14ac:dyDescent="0.2">
      <c r="B508" s="160">
        <v>3</v>
      </c>
      <c r="C508" s="305" t="s">
        <v>1309</v>
      </c>
      <c r="D508" s="82" t="s">
        <v>1356</v>
      </c>
      <c r="E508" s="72">
        <f>SUMIF(Adat!$AG:$AG,CONCATENATE(61,$M$4,"094011",L503),Adat!$E:$E)*-1</f>
        <v>0</v>
      </c>
      <c r="F508" s="72">
        <f>SUMIF(Adat!$AG:$AG,CONCATENATE(60,$M$4,"094011",L503),Adat!$E:$E)*-1+E508</f>
        <v>0</v>
      </c>
      <c r="G508" s="72">
        <f>SUMIF(Adat!$AH:$AH,CONCATENATE($M$4,"(KÖT)","094011",L503),Adat!$E:$E)*-1</f>
        <v>0</v>
      </c>
      <c r="H508" s="72">
        <f>SUMIF(Adat!$AH:$AH,CONCATENATE($M$4,"(ÖNV)","094011",L503),Adat!$E:$E)*-1</f>
        <v>0</v>
      </c>
      <c r="I508" s="72">
        <f>SUMIF(Adat!$AH:$AH,CONCATENATE($M$4,"(ÁIG)","094011",L503),Adat!$E:$E)*-1</f>
        <v>0</v>
      </c>
    </row>
    <row r="509" spans="2:12" x14ac:dyDescent="0.2">
      <c r="B509" s="160">
        <v>4</v>
      </c>
      <c r="C509" s="305" t="s">
        <v>1279</v>
      </c>
      <c r="D509" s="82" t="s">
        <v>1357</v>
      </c>
      <c r="E509" s="72">
        <f>SUMIF(Adat!$AG:$AG,CONCATENATE(61,$M$4,"094021",L503),Adat!$E:$E)*-1</f>
        <v>0</v>
      </c>
      <c r="F509" s="72">
        <f>SUMIF(Adat!$AG:$AG,CONCATENATE(60,$M$4,"094021",L503),Adat!$E:$E)*-1+E509</f>
        <v>0</v>
      </c>
      <c r="G509" s="72">
        <f>SUMIF(Adat!$AH:$AH,CONCATENATE($M$4,"(KÖT)","094021",L503),Adat!$E:$E)*-1</f>
        <v>0</v>
      </c>
      <c r="H509" s="72">
        <f>SUMIF(Adat!$AH:$AH,CONCATENATE($M$4,"(ÖNV)","094021",L503),Adat!$E:$E)*-1</f>
        <v>0</v>
      </c>
      <c r="I509" s="72">
        <f>SUMIF(Adat!$AH:$AH,CONCATENATE($M$4,"(ÁIG)","094021",L503),Adat!$E:$E)*-1</f>
        <v>0</v>
      </c>
    </row>
    <row r="510" spans="2:12" x14ac:dyDescent="0.2">
      <c r="B510" s="160">
        <v>5</v>
      </c>
      <c r="C510" s="305" t="s">
        <v>1272</v>
      </c>
      <c r="D510" s="82" t="s">
        <v>1358</v>
      </c>
      <c r="E510" s="72">
        <f>SUMIF(Adat!$AG:$AG,CONCATENATE(61,$M$4,"094031",L503),Adat!$E:$E)*-1</f>
        <v>0</v>
      </c>
      <c r="F510" s="72">
        <f>SUMIF(Adat!$AG:$AG,CONCATENATE(60,$M$4,"094031",L503),Adat!$E:$E)*-1+E510</f>
        <v>0</v>
      </c>
      <c r="G510" s="72">
        <f>SUMIF(Adat!$AH:$AH,CONCATENATE($M$4,"(KÖT)","094031",L503),Adat!$E:$E)*-1</f>
        <v>0</v>
      </c>
      <c r="H510" s="72">
        <f>SUMIF(Adat!$AH:$AH,CONCATENATE($M$4,"(ÖNV)","094031",L503),Adat!$E:$E)*-1</f>
        <v>0</v>
      </c>
      <c r="I510" s="72">
        <f>SUMIF(Adat!$AH:$AH,CONCATENATE($M$4,"(ÁIG)","094031",L503),Adat!$E:$E)*-1</f>
        <v>0</v>
      </c>
    </row>
    <row r="511" spans="2:12" x14ac:dyDescent="0.2">
      <c r="B511" s="160">
        <v>6</v>
      </c>
      <c r="C511" s="305" t="s">
        <v>1359</v>
      </c>
      <c r="D511" s="82" t="s">
        <v>1360</v>
      </c>
      <c r="E511" s="72">
        <f>SUMIF(Adat!$AG:$AG,CONCATENATE(61,$M$4,"094041",L503),Adat!$E:$E)*-1</f>
        <v>0</v>
      </c>
      <c r="F511" s="72">
        <f>SUMIF(Adat!$AG:$AG,CONCATENATE(60,$M$4,"094041",L503),Adat!$E:$E)*-1+E511</f>
        <v>0</v>
      </c>
      <c r="G511" s="72">
        <f>SUMIF(Adat!$AH:$AH,CONCATENATE($M$4,"(KÖT)","094041",L503),Adat!$E:$E)*-1</f>
        <v>0</v>
      </c>
      <c r="H511" s="72">
        <f>SUMIF(Adat!$AH:$AH,CONCATENATE($M$4,"(ÖNV)","094041",L503),Adat!$E:$E)*-1</f>
        <v>0</v>
      </c>
      <c r="I511" s="72">
        <f>SUMIF(Adat!$AH:$AH,CONCATENATE($M$4,"(ÁIG)","094041",L503),Adat!$E:$E)*-1</f>
        <v>0</v>
      </c>
    </row>
    <row r="512" spans="2:12" x14ac:dyDescent="0.2">
      <c r="B512" s="160">
        <v>7</v>
      </c>
      <c r="C512" s="305" t="s">
        <v>1261</v>
      </c>
      <c r="D512" s="82" t="s">
        <v>1361</v>
      </c>
      <c r="E512" s="72">
        <f>SUMIF(Adat!$AG:$AG,CONCATENATE(61,$M$4,"094051",L503),Adat!$E:$E)*-1</f>
        <v>0</v>
      </c>
      <c r="F512" s="72">
        <f>SUMIF(Adat!$AG:$AG,CONCATENATE(60,$M$4,"094051",L503),Adat!$E:$E)*-1+E512</f>
        <v>0</v>
      </c>
      <c r="G512" s="72">
        <f>SUMIF(Adat!$AH:$AH,CONCATENATE($M$4,"(KÖT)","094051",L503),Adat!$E:$E)*-1</f>
        <v>0</v>
      </c>
      <c r="H512" s="72">
        <f>SUMIF(Adat!$AH:$AH,CONCATENATE($M$4,"(ÖNV)","094051",L503),Adat!$E:$E)*-1</f>
        <v>0</v>
      </c>
      <c r="I512" s="72">
        <f>SUMIF(Adat!$AH:$AH,CONCATENATE($M$4,"(ÁIG)","094051",L503),Adat!$E:$E)*-1</f>
        <v>0</v>
      </c>
    </row>
    <row r="513" spans="2:9" x14ac:dyDescent="0.2">
      <c r="B513" s="160">
        <v>8</v>
      </c>
      <c r="C513" s="305" t="s">
        <v>1273</v>
      </c>
      <c r="D513" s="82" t="s">
        <v>1362</v>
      </c>
      <c r="E513" s="72">
        <f>SUMIF(Adat!$AG:$AG,CONCATENATE(61,$M$4,"094061",L503),Adat!$E:$E)*-1</f>
        <v>0</v>
      </c>
      <c r="F513" s="72">
        <f>SUMIF(Adat!$AG:$AG,CONCATENATE(60,$M$4,"094061",L503),Adat!$E:$E)*-1+E513</f>
        <v>0</v>
      </c>
      <c r="G513" s="72">
        <f>SUMIF(Adat!$AH:$AH,CONCATENATE($M$4,"(KÖT)","094061",L503),Adat!$E:$E)*-1</f>
        <v>0</v>
      </c>
      <c r="H513" s="72">
        <f>SUMIF(Adat!$AH:$AH,CONCATENATE($M$4,"(ÖNV)","094061",L503),Adat!$E:$E)*-1</f>
        <v>0</v>
      </c>
      <c r="I513" s="72">
        <f>SUMIF(Adat!$AH:$AH,CONCATENATE($M$4,"(ÁIG)","094061",L503),Adat!$E:$E)*-1</f>
        <v>0</v>
      </c>
    </row>
    <row r="514" spans="2:9" x14ac:dyDescent="0.2">
      <c r="B514" s="160">
        <v>9</v>
      </c>
      <c r="C514" s="305" t="s">
        <v>1363</v>
      </c>
      <c r="D514" s="82" t="s">
        <v>1364</v>
      </c>
      <c r="E514" s="72">
        <f>SUMIF(Adat!$AG:$AG,CONCATENATE(61,$M$4,"094071",L503),Adat!$E:$E)*-1</f>
        <v>0</v>
      </c>
      <c r="F514" s="72">
        <f>SUMIF(Adat!$AG:$AG,CONCATENATE(60,$M$4,"094071",L503),Adat!$E:$E)*-1+E514</f>
        <v>0</v>
      </c>
      <c r="G514" s="72">
        <f>SUMIF(Adat!$AH:$AH,CONCATENATE($M$4,"(KÖT)","094071",L503),Adat!$E:$E)*-1</f>
        <v>0</v>
      </c>
      <c r="H514" s="72">
        <f>SUMIF(Adat!$AH:$AH,CONCATENATE($M$4,"(ÖNV)","094071",L503),Adat!$E:$E)*-1</f>
        <v>0</v>
      </c>
      <c r="I514" s="72">
        <f>SUMIF(Adat!$AH:$AH,CONCATENATE($M$4,"(ÁIG)","094071",L503),Adat!$E:$E)*-1</f>
        <v>0</v>
      </c>
    </row>
    <row r="515" spans="2:9" x14ac:dyDescent="0.2">
      <c r="B515" s="160">
        <v>10</v>
      </c>
      <c r="C515" s="305" t="s">
        <v>1306</v>
      </c>
      <c r="D515" s="82" t="s">
        <v>1365</v>
      </c>
      <c r="E515" s="72">
        <f>SUMIF(Adat!$AG:$AG,CONCATENATE(61,$M$4,"0940811",L503),Adat!$E:$E)*-1</f>
        <v>0</v>
      </c>
      <c r="F515" s="72">
        <f>SUMIF(Adat!$AG:$AG,CONCATENATE(60,$M$4,"0940811",L503),Adat!$E:$E)*-1+E515</f>
        <v>0</v>
      </c>
      <c r="G515" s="72">
        <f>SUMIF(Adat!$AH:$AH,CONCATENATE($M$4,"(KÖT)","0940811",L503),Adat!$E:$E)*-1</f>
        <v>0</v>
      </c>
      <c r="H515" s="72">
        <f>SUMIF(Adat!$AH:$AH,CONCATENATE($M$4,"(ÖNV)","0940811",L503),Adat!$E:$E)*-1</f>
        <v>0</v>
      </c>
      <c r="I515" s="72">
        <f>SUMIF(Adat!$AH:$AH,CONCATENATE($M$4,"(ÁIG)","0940811",L503),Adat!$E:$E)*-1</f>
        <v>0</v>
      </c>
    </row>
    <row r="516" spans="2:9" x14ac:dyDescent="0.2">
      <c r="B516" s="160">
        <v>11</v>
      </c>
      <c r="C516" s="305" t="s">
        <v>1295</v>
      </c>
      <c r="D516" s="82" t="s">
        <v>1366</v>
      </c>
      <c r="E516" s="72">
        <f>SUMIF(Adat!$AG:$AG,CONCATENATE(61,$M$4,"0940821",L503),Adat!$E:$E)*-1</f>
        <v>0</v>
      </c>
      <c r="F516" s="72">
        <f>SUMIF(Adat!$AG:$AG,CONCATENATE(60,$M$4,"0940821",L503),Adat!$E:$E)*-1+E516</f>
        <v>0</v>
      </c>
      <c r="G516" s="72">
        <f>SUMIF(Adat!$AH:$AH,CONCATENATE($M$4,"(KÖT)","0940821",L503),Adat!$E:$E)*-1</f>
        <v>0</v>
      </c>
      <c r="H516" s="72">
        <f>SUMIF(Adat!$AH:$AH,CONCATENATE($M$4,"(ÖNV)","0940821",L503),Adat!$E:$E)*-1</f>
        <v>0</v>
      </c>
      <c r="I516" s="72">
        <f>SUMIF(Adat!$AH:$AH,CONCATENATE($M$4,"(ÁIG)","0940821",L503),Adat!$E:$E)*-1</f>
        <v>0</v>
      </c>
    </row>
    <row r="517" spans="2:9" x14ac:dyDescent="0.2">
      <c r="B517" s="160">
        <v>12</v>
      </c>
      <c r="C517" s="305" t="s">
        <v>1367</v>
      </c>
      <c r="D517" s="82" t="s">
        <v>1368</v>
      </c>
      <c r="E517" s="72">
        <f>SUMIF(Adat!$AG:$AG,CONCATENATE(61,$M$4,"0940911",L503),Adat!$E:$E)*-1</f>
        <v>0</v>
      </c>
      <c r="F517" s="72">
        <f>SUMIF(Adat!$AG:$AG,CONCATENATE(60,$M$4,"0940911",L503),Adat!$E:$E)*-1+E517</f>
        <v>0</v>
      </c>
      <c r="G517" s="72">
        <f>SUMIF(Adat!$AH:$AH,CONCATENATE($M$4,"(KÖT)","0940911",L503),Adat!$E:$E)*-1</f>
        <v>0</v>
      </c>
      <c r="H517" s="72">
        <f>SUMIF(Adat!$AH:$AH,CONCATENATE($M$4,"(ÖNV)","0940911",L503),Adat!$E:$E)*-1</f>
        <v>0</v>
      </c>
      <c r="I517" s="72">
        <f>SUMIF(Adat!$AH:$AH,CONCATENATE($M$4,"(ÁIG)","0940911",L503),Adat!$E:$E)*-1</f>
        <v>0</v>
      </c>
    </row>
    <row r="518" spans="2:9" x14ac:dyDescent="0.2">
      <c r="B518" s="160">
        <v>13</v>
      </c>
      <c r="C518" s="305" t="s">
        <v>1369</v>
      </c>
      <c r="D518" s="82" t="s">
        <v>1370</v>
      </c>
      <c r="E518" s="72">
        <f>SUMIF(Adat!$AG:$AG,CONCATENATE(61,$M$4,"0940921",L503),Adat!$E:$E)*-1</f>
        <v>0</v>
      </c>
      <c r="F518" s="72">
        <f>SUMIF(Adat!$AG:$AG,CONCATENATE(60,$M$4,"0940921",L503),Adat!$E:$E)*-1+E518</f>
        <v>0</v>
      </c>
      <c r="G518" s="72">
        <f>SUMIF(Adat!$AH:$AH,CONCATENATE($M$4,"(KÖT)","0940921",L503),Adat!$E:$E)*-1</f>
        <v>0</v>
      </c>
      <c r="H518" s="72">
        <f>SUMIF(Adat!$AH:$AH,CONCATENATE($M$4,"(ÖNV)","0940921",L503),Adat!$E:$E)*-1</f>
        <v>0</v>
      </c>
      <c r="I518" s="72">
        <f>SUMIF(Adat!$AH:$AH,CONCATENATE($M$4,"(ÁIG)","0940921",L503),Adat!$E:$E)*-1</f>
        <v>0</v>
      </c>
    </row>
    <row r="519" spans="2:9" x14ac:dyDescent="0.2">
      <c r="B519" s="160">
        <v>14</v>
      </c>
      <c r="C519" s="305" t="s">
        <v>1296</v>
      </c>
      <c r="D519" s="82" t="s">
        <v>1371</v>
      </c>
      <c r="E519" s="72">
        <f>SUMIF(Adat!$AG:$AG,CONCATENATE(61,$M$4,"094101",L503),Adat!$E:$E)*-1</f>
        <v>0</v>
      </c>
      <c r="F519" s="72">
        <f>SUMIF(Adat!$AG:$AG,CONCATENATE(60,$M$4,"094101",L503),Adat!$E:$E)*-1+E519</f>
        <v>0</v>
      </c>
      <c r="G519" s="72">
        <f>SUMIF(Adat!$AH:$AH,CONCATENATE($M$4,"(KÖT)","094101",L503),Adat!$E:$E)*-1</f>
        <v>0</v>
      </c>
      <c r="H519" s="72">
        <f>SUMIF(Adat!$AH:$AH,CONCATENATE($M$4,"(ÖNV)","094101",L503),Adat!$E:$E)*-1</f>
        <v>0</v>
      </c>
      <c r="I519" s="72">
        <f>SUMIF(Adat!$AH:$AH,CONCATENATE($M$4,"(ÁIG)","094101",L503),Adat!$E:$E)*-1</f>
        <v>0</v>
      </c>
    </row>
    <row r="520" spans="2:9" x14ac:dyDescent="0.25">
      <c r="B520" s="160">
        <v>15</v>
      </c>
      <c r="C520" s="305" t="s">
        <v>1297</v>
      </c>
      <c r="D520" s="84" t="s">
        <v>1372</v>
      </c>
      <c r="E520" s="72">
        <f>SUMIF(Adat!$AG:$AG,CONCATENATE(61,$M$4,"094111",L503),Adat!$E:$E)*-1</f>
        <v>0</v>
      </c>
      <c r="F520" s="72">
        <f>SUMIF(Adat!$AG:$AG,CONCATENATE(60,$M$4,"094111",L503),Adat!$E:$E)*-1+E520</f>
        <v>0</v>
      </c>
      <c r="G520" s="72">
        <f>SUMIF(Adat!$AH:$AH,CONCATENATE($M$4,"(KÖT)","094111",L503),Adat!$E:$E)*-1</f>
        <v>0</v>
      </c>
      <c r="H520" s="72">
        <f>SUMIF(Adat!$AH:$AH,CONCATENATE($M$4,"(ÖNV)","094111",L503),Adat!$E:$E)*-1</f>
        <v>0</v>
      </c>
      <c r="I520" s="72">
        <f>SUMIF(Adat!$AH:$AH,CONCATENATE($M$4,"(ÁIG)","094111",L503),Adat!$E:$E)*-1</f>
        <v>0</v>
      </c>
    </row>
    <row r="521" spans="2:9" x14ac:dyDescent="0.25">
      <c r="B521" s="160">
        <v>16</v>
      </c>
      <c r="C521" s="78" t="s">
        <v>1328</v>
      </c>
      <c r="D521" s="85" t="s">
        <v>437</v>
      </c>
      <c r="E521" s="121">
        <f>SUM(E522:E524)</f>
        <v>0</v>
      </c>
      <c r="F521" s="121">
        <f>SUM(F522:F524)</f>
        <v>0</v>
      </c>
      <c r="G521" s="121">
        <f>SUM(G522:G524)</f>
        <v>0</v>
      </c>
      <c r="H521" s="121">
        <f>SUM(H522:H524)</f>
        <v>0</v>
      </c>
      <c r="I521" s="121">
        <f>SUM(I522:I524)</f>
        <v>0</v>
      </c>
    </row>
    <row r="522" spans="2:9" x14ac:dyDescent="0.2">
      <c r="B522" s="160">
        <v>17</v>
      </c>
      <c r="C522" s="305" t="s">
        <v>1329</v>
      </c>
      <c r="D522" s="82" t="s">
        <v>1330</v>
      </c>
      <c r="E522" s="72">
        <f>SUMIF(Adat!$AG:$AG,CONCATENATE(61,$M$4,"09121",L503),Adat!$E:$E)*-1</f>
        <v>0</v>
      </c>
      <c r="F522" s="72">
        <f>SUMIF(Adat!$AG:$AG,CONCATENATE(60,$M$4,"09121",L503),Adat!$E:$E)*-1+E522</f>
        <v>0</v>
      </c>
      <c r="G522" s="72">
        <f>SUMIF(Adat!$AH:$AH,CONCATENATE($M$4,"(KÖT)","09121",L503),Adat!$E:$E)*-1</f>
        <v>0</v>
      </c>
      <c r="H522" s="72">
        <f>SUMIF(Adat!$AH:$AH,CONCATENATE($M$4,"(ÖNV)","09121",L503),Adat!$E:$E)*-1</f>
        <v>0</v>
      </c>
      <c r="I522" s="72">
        <f>SUMIF(Adat!$AH:$AH,CONCATENATE($M$4,"(ÁIG)","09121",L503),Adat!$E:$E)*-1</f>
        <v>0</v>
      </c>
    </row>
    <row r="523" spans="2:9" x14ac:dyDescent="0.2">
      <c r="B523" s="160">
        <v>18</v>
      </c>
      <c r="C523" s="305" t="s">
        <v>1335</v>
      </c>
      <c r="D523" s="82" t="s">
        <v>1336</v>
      </c>
      <c r="E523" s="72">
        <f>SUMIF(Adat!$AG:$AG,CONCATENATE(61,$M$4,"09151",L503),Adat!$E:$E)*-1</f>
        <v>0</v>
      </c>
      <c r="F523" s="72">
        <f>SUMIF(Adat!$AG:$AG,CONCATENATE(60,$M$4,"09151",L503),Adat!$E:$E)*-1+E523</f>
        <v>0</v>
      </c>
      <c r="G523" s="72">
        <f>SUMIF(Adat!$AH:$AH,CONCATENATE($M$4,"(KÖT)","09151",L503),Adat!$E:$E)*-1</f>
        <v>0</v>
      </c>
      <c r="H523" s="72">
        <f>SUMIF(Adat!$AH:$AH,CONCATENATE($M$4,"(ÖNV)","09151",L503),Adat!$E:$E)*-1</f>
        <v>0</v>
      </c>
      <c r="I523" s="72">
        <f>SUMIF(Adat!$AH:$AH,CONCATENATE($M$4,"(ÁIG)","09151",L503),Adat!$E:$E)*-1</f>
        <v>0</v>
      </c>
    </row>
    <row r="524" spans="2:9" x14ac:dyDescent="0.2">
      <c r="B524" s="160">
        <v>19</v>
      </c>
      <c r="C524" s="305" t="s">
        <v>1278</v>
      </c>
      <c r="D524" s="82" t="s">
        <v>1337</v>
      </c>
      <c r="E524" s="72">
        <f>SUMIF(Adat!$AG:$AG,CONCATENATE(61,$M$4,"09161",L503),Adat!$E:$E)*-1</f>
        <v>0</v>
      </c>
      <c r="F524" s="72">
        <f>SUMIF(Adat!$AG:$AG,CONCATENATE(60,$M$4,"09161",L503),Adat!$E:$E)*-1+E524</f>
        <v>0</v>
      </c>
      <c r="G524" s="72">
        <f>SUMIF(Adat!$AH:$AH,CONCATENATE($M$4,"(KÖT)","09161",L503),Adat!$E:$E)*-1</f>
        <v>0</v>
      </c>
      <c r="H524" s="72">
        <f>SUMIF(Adat!$AH:$AH,CONCATENATE($M$4,"(ÖNV)","09161",L503),Adat!$E:$E)*-1</f>
        <v>0</v>
      </c>
      <c r="I524" s="72">
        <f>SUMIF(Adat!$AH:$AH,CONCATENATE($M$4,"(ÁIG)","09161",L503),Adat!$E:$E)*-1</f>
        <v>0</v>
      </c>
    </row>
    <row r="525" spans="2:9" x14ac:dyDescent="0.25">
      <c r="B525" s="160">
        <v>20</v>
      </c>
      <c r="C525" s="79" t="s">
        <v>27</v>
      </c>
      <c r="D525" s="79" t="s">
        <v>328</v>
      </c>
      <c r="E525" s="71">
        <f>SUMIF(Adat!$AI:$AI,CONCATENATE(61,$M$4,"093",L503),Adat!$E:$E)*-1</f>
        <v>0</v>
      </c>
      <c r="F525" s="71">
        <f>SUMIF(Adat!$AI:$AI,CONCATENATE(60,$M$4,"093",L503),Adat!$E:$E)*-1+E525</f>
        <v>0</v>
      </c>
      <c r="G525" s="71">
        <f>SUMIF(Adat!$AJ:$AJ,CONCATENATE($M$4,"093","(KÖT)",L503),Adat!$E:$E)*-1</f>
        <v>0</v>
      </c>
      <c r="H525" s="71">
        <f>SUMIF(Adat!$AJ:$AJ,CONCATENATE($M$4,"093","(ÖNV)",L503),Adat!$E:$E)*-1</f>
        <v>0</v>
      </c>
      <c r="I525" s="71">
        <f>SUMIF(Adat!$AJ:$AJ,CONCATENATE($M$4,"093","(ÁIG)",L503),Adat!$E:$E)*-1</f>
        <v>0</v>
      </c>
    </row>
    <row r="526" spans="2:9" x14ac:dyDescent="0.25">
      <c r="B526" s="160">
        <v>21</v>
      </c>
      <c r="C526" s="79" t="s">
        <v>24</v>
      </c>
      <c r="D526" s="79" t="s">
        <v>449</v>
      </c>
      <c r="E526" s="121">
        <f>SUM(E527:E529)</f>
        <v>0</v>
      </c>
      <c r="F526" s="121">
        <f t="shared" ref="F526:I526" si="33">SUM(F527:F529)</f>
        <v>0</v>
      </c>
      <c r="G526" s="121">
        <f t="shared" si="33"/>
        <v>0</v>
      </c>
      <c r="H526" s="121">
        <f t="shared" si="33"/>
        <v>0</v>
      </c>
      <c r="I526" s="121">
        <f t="shared" si="33"/>
        <v>0</v>
      </c>
    </row>
    <row r="527" spans="2:9" x14ac:dyDescent="0.2">
      <c r="B527" s="160">
        <v>22</v>
      </c>
      <c r="C527" s="305" t="s">
        <v>1339</v>
      </c>
      <c r="D527" s="82" t="s">
        <v>1340</v>
      </c>
      <c r="E527" s="72">
        <f>SUMIF(Adat!$AG:$AG,CONCATENATE(61,$M$4,"09211",L503),Adat!$E:$E)*-1</f>
        <v>0</v>
      </c>
      <c r="F527" s="72">
        <f>SUMIF(Adat!$AG:$AG,CONCATENATE(60,$M$4,"09211",L503),Adat!$E:$E)*-1+E527</f>
        <v>0</v>
      </c>
      <c r="G527" s="72">
        <f>SUMIF(Adat!$AH:$AH,CONCATENATE($M$4,"(KÖT)","09211",L503),Adat!$E:$E)*-1</f>
        <v>0</v>
      </c>
      <c r="H527" s="72">
        <f>SUMIF(Adat!$AH:$AH,CONCATENATE($M$4,"(ÖNV)","09211",L503),Adat!$E:$E)*-1</f>
        <v>0</v>
      </c>
      <c r="I527" s="72">
        <f>SUMIF(Adat!$AH:$AH,CONCATENATE($M$4,"(ÁIG)","09211",L503),Adat!$E:$E)*-1</f>
        <v>0</v>
      </c>
    </row>
    <row r="528" spans="2:9" x14ac:dyDescent="0.2">
      <c r="B528" s="160">
        <v>23</v>
      </c>
      <c r="C528" s="305" t="s">
        <v>1345</v>
      </c>
      <c r="D528" s="82" t="s">
        <v>1346</v>
      </c>
      <c r="E528" s="72">
        <f>SUMIF(Adat!$AG:$AG,CONCATENATE(61,$M$4,"09241",L503),Adat!$E:$E)*-1</f>
        <v>0</v>
      </c>
      <c r="F528" s="72">
        <f>SUMIF(Adat!$AG:$AG,CONCATENATE(60,$M$4,"09241",L503),Adat!$E:$E)*-1+E528</f>
        <v>0</v>
      </c>
      <c r="G528" s="72">
        <f>SUMIF(Adat!$AH:$AH,CONCATENATE($M$4,"(KÖT)","09241",L503),Adat!$E:$E)*-1</f>
        <v>0</v>
      </c>
      <c r="H528" s="72">
        <f>SUMIF(Adat!$AH:$AH,CONCATENATE($M$4,"(ÖNV)","09241",L503),Adat!$E:$E)*-1</f>
        <v>0</v>
      </c>
      <c r="I528" s="72">
        <f>SUMIF(Adat!$AH:$AH,CONCATENATE($M$4,"(ÁIG)","09241",L503),Adat!$E:$E)*-1</f>
        <v>0</v>
      </c>
    </row>
    <row r="529" spans="2:12" x14ac:dyDescent="0.2">
      <c r="B529" s="160">
        <v>24</v>
      </c>
      <c r="C529" s="305" t="s">
        <v>1255</v>
      </c>
      <c r="D529" s="82" t="s">
        <v>1347</v>
      </c>
      <c r="E529" s="72">
        <f>SUMIF(Adat!$AG:$AG,CONCATENATE(61,$M$4,"09251",L503),Adat!$E:$E)*-1</f>
        <v>0</v>
      </c>
      <c r="F529" s="72">
        <f>SUMIF(Adat!$AG:$AG,CONCATENATE(60,$M$4,"09251",L503),Adat!$E:$E)*-1+E529</f>
        <v>0</v>
      </c>
      <c r="G529" s="72">
        <f>SUMIF(Adat!$AH:$AH,CONCATENATE($M$4,"(KÖT)","09251",L503),Adat!$E:$E)*-1</f>
        <v>0</v>
      </c>
      <c r="H529" s="72">
        <f>SUMIF(Adat!$AH:$AH,CONCATENATE($M$4,"(ÖNV)","09251",L503),Adat!$E:$E)*-1</f>
        <v>0</v>
      </c>
      <c r="I529" s="72">
        <f>SUMIF(Adat!$AH:$AH,CONCATENATE($M$4,"(ÁIG)","09251",L503),Adat!$E:$E)*-1</f>
        <v>0</v>
      </c>
    </row>
    <row r="530" spans="2:12" x14ac:dyDescent="0.25">
      <c r="B530" s="160">
        <v>25</v>
      </c>
      <c r="C530" s="79" t="s">
        <v>33</v>
      </c>
      <c r="D530" s="79" t="s">
        <v>330</v>
      </c>
      <c r="E530" s="121">
        <f>SUM(E531:E533)</f>
        <v>0</v>
      </c>
      <c r="F530" s="121">
        <f t="shared" ref="F530:I530" si="34">SUM(F531:F533)</f>
        <v>0</v>
      </c>
      <c r="G530" s="121">
        <f t="shared" si="34"/>
        <v>0</v>
      </c>
      <c r="H530" s="121">
        <f t="shared" si="34"/>
        <v>0</v>
      </c>
      <c r="I530" s="121">
        <f t="shared" si="34"/>
        <v>0</v>
      </c>
    </row>
    <row r="531" spans="2:12" x14ac:dyDescent="0.2">
      <c r="B531" s="160">
        <v>26</v>
      </c>
      <c r="C531" s="305" t="s">
        <v>1373</v>
      </c>
      <c r="D531" s="82" t="s">
        <v>1374</v>
      </c>
      <c r="E531" s="72">
        <f>SUMIF(Adat!$AG:$AG,CONCATENATE(61,$M$4,"09511",L503),Adat!$E:$E)*-1</f>
        <v>0</v>
      </c>
      <c r="F531" s="72">
        <f>SUMIF(Adat!$AG:$AG,CONCATENATE(60,$M$4,"09511",L503),Adat!$E:$E)*-1+E531</f>
        <v>0</v>
      </c>
      <c r="G531" s="72">
        <f>SUMIF(Adat!$AH:$AH,CONCATENATE($M$4,"(KÖT)","09511",L503),Adat!$E:$E)*-1</f>
        <v>0</v>
      </c>
      <c r="H531" s="72">
        <f>SUMIF(Adat!$AH:$AH,CONCATENATE($M$4,"(ÖNV)","09511",L503),Adat!$E:$E)*-1</f>
        <v>0</v>
      </c>
      <c r="I531" s="72">
        <f>SUMIF(Adat!$AH:$AH,CONCATENATE($M$4,"(ÁIG)","09511",L503),Adat!$E:$E)*-1</f>
        <v>0</v>
      </c>
    </row>
    <row r="532" spans="2:12" x14ac:dyDescent="0.2">
      <c r="B532" s="160">
        <v>27</v>
      </c>
      <c r="C532" s="305" t="s">
        <v>1294</v>
      </c>
      <c r="D532" s="82" t="s">
        <v>1375</v>
      </c>
      <c r="E532" s="72">
        <f>SUMIF(Adat!$AG:$AG,CONCATENATE(61,$M$4,"09521",L503),Adat!$E:$E)*-1</f>
        <v>0</v>
      </c>
      <c r="F532" s="72">
        <f>SUMIF(Adat!$AG:$AG,CONCATENATE(60,$M$4,"09521",L503),Adat!$E:$E)*-1+E532</f>
        <v>0</v>
      </c>
      <c r="G532" s="72">
        <f>SUMIF(Adat!$AH:$AH,CONCATENATE($M$4,"(KÖT)","09521",L503),Adat!$E:$E)*-1</f>
        <v>0</v>
      </c>
      <c r="H532" s="72">
        <f>SUMIF(Adat!$AH:$AH,CONCATENATE($M$4,"(ÖNV)","09521",L503),Adat!$E:$E)*-1</f>
        <v>0</v>
      </c>
      <c r="I532" s="72">
        <f>SUMIF(Adat!$AH:$AH,CONCATENATE($M$4,"(ÁIG)","09521",L503),Adat!$E:$E)*-1</f>
        <v>0</v>
      </c>
    </row>
    <row r="533" spans="2:12" x14ac:dyDescent="0.2">
      <c r="B533" s="160">
        <v>28</v>
      </c>
      <c r="C533" s="305" t="s">
        <v>1376</v>
      </c>
      <c r="D533" s="82" t="s">
        <v>1377</v>
      </c>
      <c r="E533" s="72">
        <f>SUMIF(Adat!$AG:$AG,CONCATENATE(61,$M$4,"09531",L503),Adat!$E:$E)*-1</f>
        <v>0</v>
      </c>
      <c r="F533" s="72">
        <f>SUMIF(Adat!$AG:$AG,CONCATENATE(60,$M$4,"09531",L503),Adat!$E:$E)*-1+E533</f>
        <v>0</v>
      </c>
      <c r="G533" s="72">
        <f>SUMIF(Adat!$AH:$AH,CONCATENATE($M$4,"(KÖT)","09531",L503),Adat!$E:$E)*-1</f>
        <v>0</v>
      </c>
      <c r="H533" s="72">
        <f>SUMIF(Adat!$AH:$AH,CONCATENATE($M$4,"(ÖNV)","09531",L503),Adat!$E:$E)*-1</f>
        <v>0</v>
      </c>
      <c r="I533" s="72">
        <f>SUMIF(Adat!$AH:$AH,CONCATENATE($M$4,"(ÁIG)","09531",L503),Adat!$E:$E)*-1</f>
        <v>0</v>
      </c>
    </row>
    <row r="534" spans="2:12" x14ac:dyDescent="0.25">
      <c r="B534" s="160">
        <v>29</v>
      </c>
      <c r="C534" s="79" t="s">
        <v>36</v>
      </c>
      <c r="D534" s="79" t="s">
        <v>331</v>
      </c>
      <c r="E534" s="71">
        <f>SUMIF(Adat!$AI:$AI,CONCATENATE(61,$M$4,"096",L503),Adat!$E:$E)*-1</f>
        <v>0</v>
      </c>
      <c r="F534" s="71">
        <f>SUMIF(Adat!$AI:$AI,CONCATENATE(60,$M$4,"096",L503),Adat!$E:$E)*-1+E534</f>
        <v>0</v>
      </c>
      <c r="G534" s="71">
        <f>SUMIF(Adat!$AJ:$AJ,CONCATENATE($M$4,"096","(KÖT)",L503),Adat!$E:$E)*-1</f>
        <v>0</v>
      </c>
      <c r="H534" s="71">
        <f>SUMIF(Adat!$AJ:$AJ,CONCATENATE($M$4,"096","(ÖNV)",L503),Adat!$E:$E)*-1</f>
        <v>0</v>
      </c>
      <c r="I534" s="71">
        <f>SUMIF(Adat!$AJ:$AJ,CONCATENATE($M$4,"096","(ÁIG)",L503),Adat!$E:$E)*-1</f>
        <v>0</v>
      </c>
    </row>
    <row r="535" spans="2:12" x14ac:dyDescent="0.25">
      <c r="B535" s="160">
        <v>30</v>
      </c>
      <c r="C535" s="79" t="s">
        <v>38</v>
      </c>
      <c r="D535" s="85" t="s">
        <v>332</v>
      </c>
      <c r="E535" s="71">
        <f>SUMIF(Adat!$AI:$AI,CONCATENATE(61,$M$4,"097",L503),Adat!$E:$E)*-1</f>
        <v>0</v>
      </c>
      <c r="F535" s="71">
        <f>SUMIF(Adat!$AI:$AI,CONCATENATE(60,$M$4,"097",L503),Adat!$E:$E)*-1+E535</f>
        <v>0</v>
      </c>
      <c r="G535" s="71">
        <f>SUMIF(Adat!$AJ:$AJ,CONCATENATE($M$4,"097","(KÖT)",L503),Adat!$E:$E)*-1</f>
        <v>0</v>
      </c>
      <c r="H535" s="71">
        <f>SUMIF(Adat!$AJ:$AJ,CONCATENATE($M$4,"097","(ÖNV)",L503),Adat!$E:$E)*-1</f>
        <v>0</v>
      </c>
      <c r="I535" s="71">
        <f>SUMIF(Adat!$AJ:$AJ,CONCATENATE($M$4,"097","(ÁIG)",L503),Adat!$E:$E)*-1</f>
        <v>0</v>
      </c>
    </row>
    <row r="536" spans="2:12" x14ac:dyDescent="0.25">
      <c r="B536" s="160">
        <v>31</v>
      </c>
      <c r="C536" s="154" t="s">
        <v>352</v>
      </c>
      <c r="D536" s="86" t="s">
        <v>1500</v>
      </c>
      <c r="E536" s="121">
        <f>E507+E521+E525+E526+E530+E534+E535</f>
        <v>0</v>
      </c>
      <c r="F536" s="121">
        <f>F507+F521+F525+F526+F530+F534+F535</f>
        <v>0</v>
      </c>
      <c r="G536" s="121">
        <f>G507+G521+G525+G526+G530+G534+G535</f>
        <v>0</v>
      </c>
      <c r="H536" s="121">
        <f>H507+H521+H525+H526+H530+H534+H535</f>
        <v>0</v>
      </c>
      <c r="I536" s="121">
        <f>I507+I521+I525+I526+I530+I534+I535</f>
        <v>0</v>
      </c>
    </row>
    <row r="537" spans="2:12" x14ac:dyDescent="0.25">
      <c r="B537" s="160">
        <v>32</v>
      </c>
      <c r="C537" s="154" t="s">
        <v>358</v>
      </c>
      <c r="D537" s="86" t="s">
        <v>333</v>
      </c>
      <c r="E537" s="121">
        <f>SUM(E538:E540)</f>
        <v>0</v>
      </c>
      <c r="F537" s="121">
        <f t="shared" ref="F537:I537" si="35">SUM(F538:F540)</f>
        <v>0</v>
      </c>
      <c r="G537" s="121">
        <f t="shared" si="35"/>
        <v>0</v>
      </c>
      <c r="H537" s="121">
        <f t="shared" si="35"/>
        <v>0</v>
      </c>
      <c r="I537" s="121">
        <f t="shared" si="35"/>
        <v>0</v>
      </c>
    </row>
    <row r="538" spans="2:12" x14ac:dyDescent="0.2">
      <c r="B538" s="160">
        <v>33</v>
      </c>
      <c r="C538" s="305" t="s">
        <v>1274</v>
      </c>
      <c r="D538" s="82" t="s">
        <v>1419</v>
      </c>
      <c r="E538" s="72">
        <f>SUMIF(Adat!$AG:$AG,CONCATENATE(61,$M$4,"0981311",L503),Adat!$E:$E)*-1</f>
        <v>0</v>
      </c>
      <c r="F538" s="72">
        <f>SUMIF(Adat!$AG:$AG,CONCATENATE(60,$M$4,"0981311",L503),Adat!$E:$E)*-1+E538</f>
        <v>0</v>
      </c>
      <c r="G538" s="72">
        <f>SUMIF(Adat!$AH:$AH,CONCATENATE($M$4,"(KÖT)","0981311",L503),Adat!$E:$E)*-1</f>
        <v>0</v>
      </c>
      <c r="H538" s="72">
        <f>SUMIF(Adat!$AH:$AH,CONCATENATE($M$4,"(ÖNV)","0981311",L503),Adat!$E:$E)*-1</f>
        <v>0</v>
      </c>
      <c r="I538" s="72">
        <f>SUMIF(Adat!$AH:$AH,CONCATENATE($M$4,"(ÁIG)","0981311",L503),Adat!$E:$E)*-1</f>
        <v>0</v>
      </c>
    </row>
    <row r="539" spans="2:12" x14ac:dyDescent="0.25">
      <c r="B539" s="160">
        <v>34</v>
      </c>
      <c r="C539" s="305" t="s">
        <v>1420</v>
      </c>
      <c r="D539" s="84" t="s">
        <v>1421</v>
      </c>
      <c r="E539" s="72">
        <f>SUMIF(Adat!$AG:$AG,CONCATENATE(61,$M$4,"0981321",L503),Adat!$E:$E)*-1</f>
        <v>0</v>
      </c>
      <c r="F539" s="72">
        <f>SUMIF(Adat!$AG:$AG,CONCATENATE(60,$M$4,"0981321",L503),Adat!$E:$E)*-1+E539</f>
        <v>0</v>
      </c>
      <c r="G539" s="72">
        <f>SUMIF(Adat!$AH:$AH,CONCATENATE($M$4,"(KÖT)","0981321",L503),Adat!$E:$E)*-1</f>
        <v>0</v>
      </c>
      <c r="H539" s="72">
        <f>SUMIF(Adat!$AH:$AH,CONCATENATE($M$4,"(ÖNV)","0981321",L503),Adat!$E:$E)*-1</f>
        <v>0</v>
      </c>
      <c r="I539" s="72">
        <f>SUMIF(Adat!$AH:$AH,CONCATENATE($M$4,"(ÁIG)","0981321",L503),Adat!$E:$E)*-1</f>
        <v>0</v>
      </c>
    </row>
    <row r="540" spans="2:12" x14ac:dyDescent="0.25">
      <c r="B540" s="160">
        <v>35</v>
      </c>
      <c r="C540" s="319" t="s">
        <v>1275</v>
      </c>
      <c r="D540" s="84" t="s">
        <v>1501</v>
      </c>
      <c r="E540" s="72">
        <f>SUMIF(Adat!$AG:$AG,CONCATENATE(61,$M$4,"098161",L503),Adat!$E:$E)*-1</f>
        <v>0</v>
      </c>
      <c r="F540" s="72">
        <f>SUMIF(Adat!$AG:$AG,CONCATENATE(60,$M$4,"098161",L503),Adat!$E:$E)*-1+E540</f>
        <v>0</v>
      </c>
      <c r="G540" s="72">
        <f>SUMIF(Adat!$AH:$AH,CONCATENATE($M$4,"(KÖT)","098161",L503),Adat!$E:$E)*-1</f>
        <v>0</v>
      </c>
      <c r="H540" s="72">
        <f>SUMIF(Adat!$AH:$AH,CONCATENATE($M$4,"(ÖNV)","098161",L503),Adat!$E:$E)*-1</f>
        <v>0</v>
      </c>
      <c r="I540" s="72">
        <f>SUMIF(Adat!$AH:$AH,CONCATENATE($M$4,"(ÁIG)","098161",L503),Adat!$E:$E)*-1</f>
        <v>0</v>
      </c>
    </row>
    <row r="541" spans="2:12" x14ac:dyDescent="0.25">
      <c r="B541" s="160">
        <v>36</v>
      </c>
      <c r="C541" s="154" t="s">
        <v>364</v>
      </c>
      <c r="D541" s="159" t="s">
        <v>1502</v>
      </c>
      <c r="E541" s="121">
        <f>+E536+E537</f>
        <v>0</v>
      </c>
      <c r="F541" s="121">
        <f>+F536+F537</f>
        <v>0</v>
      </c>
      <c r="G541" s="121">
        <f>+G536+G537</f>
        <v>0</v>
      </c>
      <c r="H541" s="121">
        <f>+H536+H537</f>
        <v>0</v>
      </c>
      <c r="I541" s="121">
        <f>+I536+I537</f>
        <v>0</v>
      </c>
    </row>
    <row r="542" spans="2:12" ht="15.75" x14ac:dyDescent="0.25">
      <c r="B542" s="38"/>
      <c r="C542" s="156"/>
      <c r="D542" s="38"/>
      <c r="E542" s="140"/>
      <c r="F542" s="140"/>
      <c r="G542" s="140"/>
      <c r="H542" s="140"/>
      <c r="I542" s="140"/>
    </row>
    <row r="543" spans="2:12" s="10" customFormat="1" ht="15.75" customHeight="1" x14ac:dyDescent="0.25">
      <c r="B543" s="201" t="str">
        <f>CONCATENATE("18. Kiadási jogcímek"," - ",L543," részletező")</f>
        <v>18. Kiadási jogcímek -  részletező</v>
      </c>
      <c r="C543" s="101"/>
      <c r="D543" s="101"/>
      <c r="E543" s="101"/>
      <c r="F543" s="101"/>
      <c r="G543" s="198"/>
      <c r="H543" s="198"/>
      <c r="I543" s="198"/>
      <c r="L543" s="384"/>
    </row>
    <row r="544" spans="2:12" ht="15.75" x14ac:dyDescent="0.25">
      <c r="B544" s="38"/>
      <c r="C544" s="156"/>
      <c r="D544" s="38"/>
      <c r="E544" s="140"/>
      <c r="F544" s="140"/>
      <c r="G544" s="140"/>
      <c r="H544" s="140"/>
      <c r="I544" s="140"/>
    </row>
    <row r="545" spans="2:9" x14ac:dyDescent="0.25">
      <c r="B545" s="77"/>
      <c r="C545" s="77" t="s">
        <v>350</v>
      </c>
      <c r="D545" s="77" t="s">
        <v>351</v>
      </c>
      <c r="E545" s="77" t="s">
        <v>470</v>
      </c>
      <c r="F545" s="77" t="s">
        <v>471</v>
      </c>
      <c r="G545" s="77" t="s">
        <v>44</v>
      </c>
      <c r="H545" s="77" t="s">
        <v>42</v>
      </c>
      <c r="I545" s="77" t="s">
        <v>511</v>
      </c>
    </row>
    <row r="546" spans="2:9" ht="38.25" x14ac:dyDescent="0.25">
      <c r="B546" s="160">
        <v>1</v>
      </c>
      <c r="C546" s="154" t="s">
        <v>593</v>
      </c>
      <c r="D546" s="154" t="s">
        <v>488</v>
      </c>
      <c r="E546" s="163" t="str">
        <f>CONCATENATE(PAR!$H$3," évi
eredeti 
előirányzat")</f>
        <v>2025. évi
eredeti 
előirányzat</v>
      </c>
      <c r="F546" s="163" t="str">
        <f>CONCATENATE(PAR!$H$3," évi
módosított 
előirányzat")</f>
        <v>2025. évi
módosított 
előirányzat</v>
      </c>
      <c r="G546" s="78" t="s">
        <v>666</v>
      </c>
      <c r="H546" s="78" t="s">
        <v>667</v>
      </c>
      <c r="I546" s="78" t="s">
        <v>668</v>
      </c>
    </row>
    <row r="547" spans="2:9" x14ac:dyDescent="0.25">
      <c r="B547" s="160">
        <v>2</v>
      </c>
      <c r="C547" s="78" t="s">
        <v>352</v>
      </c>
      <c r="D547" s="92" t="s">
        <v>1444</v>
      </c>
      <c r="E547" s="121">
        <f>SUM(E548:E552)</f>
        <v>0</v>
      </c>
      <c r="F547" s="121">
        <f>SUM(F548:F552)</f>
        <v>0</v>
      </c>
      <c r="G547" s="121">
        <f>SUM(G548:G552)</f>
        <v>0</v>
      </c>
      <c r="H547" s="121">
        <f>SUM(H548:H552)</f>
        <v>0</v>
      </c>
      <c r="I547" s="121">
        <f>SUM(I548:I552)</f>
        <v>0</v>
      </c>
    </row>
    <row r="548" spans="2:9" x14ac:dyDescent="0.25">
      <c r="B548" s="160">
        <v>3</v>
      </c>
      <c r="C548" s="305" t="s">
        <v>315</v>
      </c>
      <c r="D548" s="93" t="s">
        <v>342</v>
      </c>
      <c r="E548" s="72">
        <f>SUMIF(Adat!$AI:$AI,CONCATENATE(61,$M$4,"051",L543),Adat!$E:$E)</f>
        <v>0</v>
      </c>
      <c r="F548" s="72">
        <f>SUMIF(Adat!$AI:$AI,CONCATENATE(60,$M$4,"051",L543),Adat!$E:$E)+E548</f>
        <v>0</v>
      </c>
      <c r="G548" s="72">
        <f>SUMIF(Adat!$AJ:$AJ,CONCATENATE($M$4,"051","(KÖT)",L543),Adat!$E:$E)</f>
        <v>0</v>
      </c>
      <c r="H548" s="72">
        <f>SUMIF(Adat!$AJ:$AJ,CONCATENATE($M$4,"051","(ÖNV)",L543),Adat!$E:$E)</f>
        <v>0</v>
      </c>
      <c r="I548" s="72">
        <f>SUMIF(Adat!$AJ:$AJ,CONCATENATE($M$4,"051","(ÁIG)",L543),Adat!$E:$E)</f>
        <v>0</v>
      </c>
    </row>
    <row r="549" spans="2:9" x14ac:dyDescent="0.25">
      <c r="B549" s="160">
        <v>4</v>
      </c>
      <c r="C549" s="305" t="s">
        <v>317</v>
      </c>
      <c r="D549" s="93" t="s">
        <v>395</v>
      </c>
      <c r="E549" s="72">
        <f>SUMIF(Adat!$AI:$AI,CONCATENATE(61,$M$4,"052",L543),Adat!$E:$E)</f>
        <v>0</v>
      </c>
      <c r="F549" s="72">
        <f>SUMIF(Adat!$AI:$AI,CONCATENATE(60,$M$4,"052",L543),Adat!$E:$E)+E549</f>
        <v>0</v>
      </c>
      <c r="G549" s="72">
        <f>SUMIF(Adat!$AJ:$AJ,CONCATENATE($M$4,"052","(KÖT)",L543),Adat!$E:$E)</f>
        <v>0</v>
      </c>
      <c r="H549" s="72">
        <f>SUMIF(Adat!$AJ:$AJ,CONCATENATE($M$4,"052","(ÖNV)",L543),Adat!$E:$E)</f>
        <v>0</v>
      </c>
      <c r="I549" s="72">
        <f>SUMIF(Adat!$AJ:$AJ,CONCATENATE($M$4,"052","(ÁIG)",L543),Adat!$E:$E)</f>
        <v>0</v>
      </c>
    </row>
    <row r="550" spans="2:9" x14ac:dyDescent="0.25">
      <c r="B550" s="160">
        <v>5</v>
      </c>
      <c r="C550" s="305" t="s">
        <v>4</v>
      </c>
      <c r="D550" s="93" t="s">
        <v>344</v>
      </c>
      <c r="E550" s="72">
        <f>SUMIF(Adat!$AI:$AI,CONCATENATE(61,$M$4,"053",L543),Adat!$E:$E)</f>
        <v>0</v>
      </c>
      <c r="F550" s="72">
        <f>SUMIF(Adat!$AI:$AI,CONCATENATE(60,$M$4,"053",L543),Adat!$E:$E)+E550</f>
        <v>0</v>
      </c>
      <c r="G550" s="72">
        <f>SUMIF(Adat!$AJ:$AJ,CONCATENATE($M$4,"053","(KÖT)",L543),Adat!$E:$E)</f>
        <v>0</v>
      </c>
      <c r="H550" s="72">
        <f>SUMIF(Adat!$AJ:$AJ,CONCATENATE($M$4,"053","(ÖNV)",L543),Adat!$E:$E)</f>
        <v>0</v>
      </c>
      <c r="I550" s="72">
        <f>SUMIF(Adat!$AJ:$AJ,CONCATENATE($M$4,"053","(ÁIG)",L543),Adat!$E:$E)</f>
        <v>0</v>
      </c>
    </row>
    <row r="551" spans="2:9" x14ac:dyDescent="0.25">
      <c r="B551" s="160">
        <v>6</v>
      </c>
      <c r="C551" s="305" t="s">
        <v>6</v>
      </c>
      <c r="D551" s="93" t="s">
        <v>345</v>
      </c>
      <c r="E551" s="72">
        <f>SUMIF(Adat!$AI:$AI,CONCATENATE(61,$M$4,"054",L543),Adat!$E:$E)</f>
        <v>0</v>
      </c>
      <c r="F551" s="72">
        <f>SUMIF(Adat!$AI:$AI,CONCATENATE(60,$M$4,"054",L543),Adat!$E:$E)+E551</f>
        <v>0</v>
      </c>
      <c r="G551" s="72">
        <f>SUMIF(Adat!$AJ:$AJ,CONCATENATE($M$4,"054","(KÖT)",L543),Adat!$E:$E)</f>
        <v>0</v>
      </c>
      <c r="H551" s="72">
        <f>SUMIF(Adat!$AJ:$AJ,CONCATENATE($M$4,"054","(ÖNV)",L543),Adat!$E:$E)</f>
        <v>0</v>
      </c>
      <c r="I551" s="72">
        <f>SUMIF(Adat!$AJ:$AJ,CONCATENATE($M$4,"054","(ÁIG)",L543),Adat!$E:$E)</f>
        <v>0</v>
      </c>
    </row>
    <row r="552" spans="2:9" x14ac:dyDescent="0.25">
      <c r="B552" s="160">
        <v>7</v>
      </c>
      <c r="C552" s="305" t="s">
        <v>8</v>
      </c>
      <c r="D552" s="93" t="s">
        <v>321</v>
      </c>
      <c r="E552" s="72">
        <f>SUMIF(Adat!$AI:$AI,CONCATENATE(61,$M$4,"055",L543),Adat!$E:$E)</f>
        <v>0</v>
      </c>
      <c r="F552" s="72">
        <f>SUMIF(Adat!$AI:$AI,CONCATENATE(60,$M$4,"055",L543),Adat!$E:$E)+E552</f>
        <v>0</v>
      </c>
      <c r="G552" s="72">
        <f>SUMIF(Adat!$AJ:$AJ,CONCATENATE($M$4,"055","(KÖT)",L543),Adat!$E:$E)</f>
        <v>0</v>
      </c>
      <c r="H552" s="72">
        <f>SUMIF(Adat!$AJ:$AJ,CONCATENATE($M$4,"055","(ÖNV)",L543),Adat!$E:$E)</f>
        <v>0</v>
      </c>
      <c r="I552" s="72">
        <f>SUMIF(Adat!$AJ:$AJ,CONCATENATE($M$4,"055","(ÁIG)",L543),Adat!$E:$E)</f>
        <v>0</v>
      </c>
    </row>
    <row r="553" spans="2:9" x14ac:dyDescent="0.25">
      <c r="B553" s="160">
        <v>8</v>
      </c>
      <c r="C553" s="78" t="s">
        <v>358</v>
      </c>
      <c r="D553" s="92" t="s">
        <v>1447</v>
      </c>
      <c r="E553" s="121">
        <f>E554+E556+E558</f>
        <v>0</v>
      </c>
      <c r="F553" s="121">
        <f>F554+F556+F558</f>
        <v>0</v>
      </c>
      <c r="G553" s="121">
        <f>G554+G556+G558</f>
        <v>0</v>
      </c>
      <c r="H553" s="121">
        <f>H554+H556+H558</f>
        <v>0</v>
      </c>
      <c r="I553" s="121">
        <f>I554+I556+I558</f>
        <v>0</v>
      </c>
    </row>
    <row r="554" spans="2:9" x14ac:dyDescent="0.25">
      <c r="B554" s="160">
        <v>9</v>
      </c>
      <c r="C554" s="305" t="s">
        <v>10</v>
      </c>
      <c r="D554" s="93" t="s">
        <v>322</v>
      </c>
      <c r="E554" s="72">
        <f>SUMIF(Adat!$AI:$AI,CONCATENATE(61,$M$4,"056",L543),Adat!$E:$E)</f>
        <v>0</v>
      </c>
      <c r="F554" s="72">
        <f>SUMIF(Adat!$AI:$AI,CONCATENATE(60,$M$4,"056",L543),Adat!$E:$E)+E554</f>
        <v>0</v>
      </c>
      <c r="G554" s="72">
        <f>SUMIF(Adat!$AJ:$AJ,CONCATENATE($M$4,"056","(KÖT)",L543),Adat!$E:$E)</f>
        <v>0</v>
      </c>
      <c r="H554" s="72">
        <f>SUMIF(Adat!$AJ:$AJ,CONCATENATE($M$4,"056","(ÖNV)",L543),Adat!$E:$E)</f>
        <v>0</v>
      </c>
      <c r="I554" s="72">
        <f>SUMIF(Adat!$AJ:$AJ,CONCATENATE($M$4,"056","(ÁIG)",L543),Adat!$E:$E)</f>
        <v>0</v>
      </c>
    </row>
    <row r="555" spans="2:9" x14ac:dyDescent="0.25">
      <c r="B555" s="160">
        <v>10</v>
      </c>
      <c r="C555" s="305" t="s">
        <v>10</v>
      </c>
      <c r="D555" s="93" t="s">
        <v>1448</v>
      </c>
      <c r="E555" s="72">
        <v>0</v>
      </c>
      <c r="F555" s="72">
        <f>SUM(G555:I555)</f>
        <v>0</v>
      </c>
      <c r="G555" s="72">
        <v>0</v>
      </c>
      <c r="H555" s="72">
        <v>0</v>
      </c>
      <c r="I555" s="72">
        <v>0</v>
      </c>
    </row>
    <row r="556" spans="2:9" x14ac:dyDescent="0.25">
      <c r="B556" s="160">
        <v>11</v>
      </c>
      <c r="C556" s="305" t="s">
        <v>12</v>
      </c>
      <c r="D556" s="93" t="s">
        <v>323</v>
      </c>
      <c r="E556" s="72">
        <f>SUMIF(Adat!$AI:$AI,CONCATENATE(61,$M$4,"057",L543),Adat!$E:$E)</f>
        <v>0</v>
      </c>
      <c r="F556" s="72">
        <f>SUMIF(Adat!$AI:$AI,CONCATENATE(60,$M$4,"057",L543),Adat!$E:$E)+E556</f>
        <v>0</v>
      </c>
      <c r="G556" s="72">
        <f>SUMIF(Adat!$AJ:$AJ,CONCATENATE($M$4,"057","(KÖT)",L543),Adat!$E:$E)</f>
        <v>0</v>
      </c>
      <c r="H556" s="72">
        <f>SUMIF(Adat!$AJ:$AJ,CONCATENATE($M$4,"057","(ÖNV)",L543),Adat!$E:$E)</f>
        <v>0</v>
      </c>
      <c r="I556" s="72">
        <f>SUMIF(Adat!$AJ:$AJ,CONCATENATE($M$4,"057","(ÁIG)",L543),Adat!$E:$E)</f>
        <v>0</v>
      </c>
    </row>
    <row r="557" spans="2:9" x14ac:dyDescent="0.25">
      <c r="B557" s="160">
        <v>12</v>
      </c>
      <c r="C557" s="305" t="s">
        <v>12</v>
      </c>
      <c r="D557" s="93" t="s">
        <v>1449</v>
      </c>
      <c r="E557" s="72">
        <v>0</v>
      </c>
      <c r="F557" s="72">
        <f>SUM(G557:I557)</f>
        <v>0</v>
      </c>
      <c r="G557" s="72">
        <v>0</v>
      </c>
      <c r="H557" s="72">
        <v>0</v>
      </c>
      <c r="I557" s="72">
        <v>0</v>
      </c>
    </row>
    <row r="558" spans="2:9" x14ac:dyDescent="0.25">
      <c r="B558" s="160">
        <v>13</v>
      </c>
      <c r="C558" s="305" t="s">
        <v>15</v>
      </c>
      <c r="D558" s="84" t="s">
        <v>324</v>
      </c>
      <c r="E558" s="72">
        <f>SUMIF(Adat!$AI:$AI,CONCATENATE(61,$M$4,"058",L543),Adat!$E:$E)</f>
        <v>0</v>
      </c>
      <c r="F558" s="72">
        <f>SUMIF(Adat!$AI:$AI,CONCATENATE(60,$M$4,"058",L543),Adat!$E:$E)+E558</f>
        <v>0</v>
      </c>
      <c r="G558" s="72">
        <f>SUMIF(Adat!$AJ:$AJ,CONCATENATE($M$4,"058","(KÖT)",L543),Adat!$E:$E)</f>
        <v>0</v>
      </c>
      <c r="H558" s="72">
        <f>SUMIF(Adat!$AJ:$AJ,CONCATENATE($M$4,"058","(ÖNV)",L543),Adat!$E:$E)</f>
        <v>0</v>
      </c>
      <c r="I558" s="72">
        <f>SUMIF(Adat!$AJ:$AJ,CONCATENATE($M$4,"058","(ÁIG)",L543),Adat!$E:$E)</f>
        <v>0</v>
      </c>
    </row>
    <row r="559" spans="2:9" x14ac:dyDescent="0.25">
      <c r="B559" s="160">
        <v>14</v>
      </c>
      <c r="C559" s="154" t="s">
        <v>364</v>
      </c>
      <c r="D559" s="86" t="s">
        <v>325</v>
      </c>
      <c r="E559" s="71">
        <f>SUMIF(Adat!$AI:$AI,CONCATENATE(61,$M$4,"059",L543),Adat!$E:$E)</f>
        <v>0</v>
      </c>
      <c r="F559" s="71">
        <f>SUMIF(Adat!$AI:$AI,CONCATENATE(60,$M$4,"059",L543),Adat!$E:$E)+E559</f>
        <v>0</v>
      </c>
      <c r="G559" s="71">
        <f>SUMIF(Adat!$AJ:$AJ,CONCATENATE($M$4,"059","(KÖT)",L543),Adat!$E:$E)</f>
        <v>0</v>
      </c>
      <c r="H559" s="71">
        <f>SUMIF(Adat!$AJ:$AJ,CONCATENATE($M$4,"059","(ÖNV)",L543),Adat!$E:$E)</f>
        <v>0</v>
      </c>
      <c r="I559" s="71">
        <f>SUMIF(Adat!$AJ:$AJ,CONCATENATE($M$4,"059","(ÁIG)",L543),Adat!$E:$E)</f>
        <v>0</v>
      </c>
    </row>
    <row r="560" spans="2:9" x14ac:dyDescent="0.25">
      <c r="B560" s="160">
        <v>15</v>
      </c>
      <c r="C560" s="154" t="s">
        <v>403</v>
      </c>
      <c r="D560" s="159" t="s">
        <v>497</v>
      </c>
      <c r="E560" s="121">
        <f>E547+E553+E559</f>
        <v>0</v>
      </c>
      <c r="F560" s="121">
        <f>F547+F553+F559</f>
        <v>0</v>
      </c>
      <c r="G560" s="121">
        <f>G547+G553+G559</f>
        <v>0</v>
      </c>
      <c r="H560" s="121">
        <f>H547+H553+H559</f>
        <v>0</v>
      </c>
      <c r="I560" s="121">
        <f>I547+I553+I559</f>
        <v>0</v>
      </c>
    </row>
    <row r="561" spans="2:12" ht="15.75" x14ac:dyDescent="0.25">
      <c r="B561" s="37"/>
      <c r="C561" s="529"/>
      <c r="D561" s="529"/>
      <c r="E561" s="529"/>
      <c r="F561" s="200"/>
      <c r="G561" s="200"/>
      <c r="H561" s="200"/>
      <c r="I561" s="200"/>
    </row>
    <row r="562" spans="2:12" ht="15.75" x14ac:dyDescent="0.25">
      <c r="B562" s="525" t="str">
        <f>$N$4</f>
        <v>Nagymarosi Polgármesteri Hivatal</v>
      </c>
      <c r="C562" s="525"/>
      <c r="D562" s="525"/>
      <c r="E562" s="525"/>
      <c r="F562" s="525"/>
      <c r="G562" s="525"/>
      <c r="H562" s="525"/>
      <c r="I562" s="525"/>
    </row>
    <row r="563" spans="2:12" ht="15.75" x14ac:dyDescent="0.25">
      <c r="B563" s="525" t="s">
        <v>2660</v>
      </c>
      <c r="C563" s="525"/>
      <c r="D563" s="525"/>
      <c r="E563" s="525"/>
      <c r="F563" s="525"/>
      <c r="G563" s="525"/>
      <c r="H563" s="525"/>
      <c r="I563" s="525"/>
    </row>
    <row r="564" spans="2:12" ht="15.75" x14ac:dyDescent="0.25">
      <c r="B564" s="38"/>
      <c r="C564" s="156"/>
      <c r="D564" s="38"/>
      <c r="E564" s="140"/>
      <c r="F564" s="140"/>
      <c r="G564" s="140"/>
      <c r="H564" s="140"/>
      <c r="I564" s="140"/>
    </row>
    <row r="565" spans="2:12" s="10" customFormat="1" ht="15.75" customHeight="1" x14ac:dyDescent="0.25">
      <c r="B565" s="201" t="str">
        <f>CONCATENATE("19. Bevételi jogcímek"," - ",L565," részletező")</f>
        <v>19. Bevételi jogcímek -  részletező</v>
      </c>
      <c r="C565" s="101"/>
      <c r="D565" s="101"/>
      <c r="E565" s="101"/>
      <c r="F565" s="101"/>
      <c r="G565" s="198"/>
      <c r="H565" s="198"/>
      <c r="I565" s="198"/>
      <c r="L565" s="384"/>
    </row>
    <row r="566" spans="2:12" ht="15.75" x14ac:dyDescent="0.25">
      <c r="B566" s="38"/>
      <c r="C566" s="156"/>
      <c r="D566" s="38"/>
      <c r="E566" s="140"/>
      <c r="F566" s="140"/>
      <c r="G566" s="140"/>
      <c r="H566" s="140"/>
      <c r="I566" s="140"/>
    </row>
    <row r="567" spans="2:12" x14ac:dyDescent="0.25">
      <c r="B567" s="77"/>
      <c r="C567" s="77" t="s">
        <v>350</v>
      </c>
      <c r="D567" s="77" t="s">
        <v>351</v>
      </c>
      <c r="E567" s="77" t="s">
        <v>470</v>
      </c>
      <c r="F567" s="77" t="s">
        <v>471</v>
      </c>
      <c r="G567" s="77" t="s">
        <v>44</v>
      </c>
      <c r="H567" s="77" t="s">
        <v>42</v>
      </c>
      <c r="I567" s="77" t="s">
        <v>511</v>
      </c>
    </row>
    <row r="568" spans="2:12" ht="38.25" x14ac:dyDescent="0.25">
      <c r="B568" s="160">
        <v>1</v>
      </c>
      <c r="C568" s="154" t="s">
        <v>593</v>
      </c>
      <c r="D568" s="154" t="s">
        <v>488</v>
      </c>
      <c r="E568" s="163" t="str">
        <f>CONCATENATE(PAR!$H$3," évi
eredeti 
előirányzat")</f>
        <v>2025. évi
eredeti 
előirányzat</v>
      </c>
      <c r="F568" s="163" t="str">
        <f>CONCATENATE(PAR!$H$3," évi
módosított 
előirányzat")</f>
        <v>2025. évi
módosított 
előirányzat</v>
      </c>
      <c r="G568" s="78" t="s">
        <v>666</v>
      </c>
      <c r="H568" s="78" t="s">
        <v>667</v>
      </c>
      <c r="I568" s="78" t="s">
        <v>668</v>
      </c>
    </row>
    <row r="569" spans="2:12" x14ac:dyDescent="0.25">
      <c r="B569" s="160">
        <v>2</v>
      </c>
      <c r="C569" s="79" t="s">
        <v>30</v>
      </c>
      <c r="D569" s="79" t="s">
        <v>329</v>
      </c>
      <c r="E569" s="121">
        <f>SUM(E570:E582)</f>
        <v>0</v>
      </c>
      <c r="F569" s="121">
        <f t="shared" ref="F569:I569" si="36">SUM(F570:F582)</f>
        <v>0</v>
      </c>
      <c r="G569" s="121">
        <f t="shared" si="36"/>
        <v>0</v>
      </c>
      <c r="H569" s="121">
        <f t="shared" si="36"/>
        <v>0</v>
      </c>
      <c r="I569" s="121">
        <f t="shared" si="36"/>
        <v>0</v>
      </c>
    </row>
    <row r="570" spans="2:12" x14ac:dyDescent="0.2">
      <c r="B570" s="160">
        <v>3</v>
      </c>
      <c r="C570" s="305" t="s">
        <v>1309</v>
      </c>
      <c r="D570" s="82" t="s">
        <v>1356</v>
      </c>
      <c r="E570" s="72">
        <f>SUMIF(Adat!$AG:$AG,CONCATENATE(61,$M$4,"094011",L565),Adat!$E:$E)*-1</f>
        <v>0</v>
      </c>
      <c r="F570" s="72">
        <f>SUMIF(Adat!$AG:$AG,CONCATENATE(60,$M$4,"094011",L565),Adat!$E:$E)*-1+E570</f>
        <v>0</v>
      </c>
      <c r="G570" s="72">
        <f>SUMIF(Adat!$AH:$AH,CONCATENATE($M$4,"(KÖT)","094011",L565),Adat!$E:$E)*-1</f>
        <v>0</v>
      </c>
      <c r="H570" s="72">
        <f>SUMIF(Adat!$AH:$AH,CONCATENATE($M$4,"(ÖNV)","094011",L565),Adat!$E:$E)*-1</f>
        <v>0</v>
      </c>
      <c r="I570" s="72">
        <f>SUMIF(Adat!$AH:$AH,CONCATENATE($M$4,"(ÁIG)","094011",L565),Adat!$E:$E)*-1</f>
        <v>0</v>
      </c>
    </row>
    <row r="571" spans="2:12" x14ac:dyDescent="0.2">
      <c r="B571" s="160">
        <v>4</v>
      </c>
      <c r="C571" s="305" t="s">
        <v>1279</v>
      </c>
      <c r="D571" s="82" t="s">
        <v>1357</v>
      </c>
      <c r="E571" s="72">
        <f>SUMIF(Adat!$AG:$AG,CONCATENATE(61,$M$4,"094021",L565),Adat!$E:$E)*-1</f>
        <v>0</v>
      </c>
      <c r="F571" s="72">
        <f>SUMIF(Adat!$AG:$AG,CONCATENATE(60,$M$4,"094021",L565),Adat!$E:$E)*-1+E571</f>
        <v>0</v>
      </c>
      <c r="G571" s="72">
        <f>SUMIF(Adat!$AH:$AH,CONCATENATE($M$4,"(KÖT)","094021",L565),Adat!$E:$E)*-1</f>
        <v>0</v>
      </c>
      <c r="H571" s="72">
        <f>SUMIF(Adat!$AH:$AH,CONCATENATE($M$4,"(ÖNV)","094021",L565),Adat!$E:$E)*-1</f>
        <v>0</v>
      </c>
      <c r="I571" s="72">
        <f>SUMIF(Adat!$AH:$AH,CONCATENATE($M$4,"(ÁIG)","094021",L565),Adat!$E:$E)*-1</f>
        <v>0</v>
      </c>
    </row>
    <row r="572" spans="2:12" x14ac:dyDescent="0.2">
      <c r="B572" s="160">
        <v>5</v>
      </c>
      <c r="C572" s="305" t="s">
        <v>1272</v>
      </c>
      <c r="D572" s="82" t="s">
        <v>1358</v>
      </c>
      <c r="E572" s="72">
        <f>SUMIF(Adat!$AG:$AG,CONCATENATE(61,$M$4,"094031",L565),Adat!$E:$E)*-1</f>
        <v>0</v>
      </c>
      <c r="F572" s="72">
        <f>SUMIF(Adat!$AG:$AG,CONCATENATE(60,$M$4,"094031",L565),Adat!$E:$E)*-1+E572</f>
        <v>0</v>
      </c>
      <c r="G572" s="72">
        <f>SUMIF(Adat!$AH:$AH,CONCATENATE($M$4,"(KÖT)","094031",L565),Adat!$E:$E)*-1</f>
        <v>0</v>
      </c>
      <c r="H572" s="72">
        <f>SUMIF(Adat!$AH:$AH,CONCATENATE($M$4,"(ÖNV)","094031",L565),Adat!$E:$E)*-1</f>
        <v>0</v>
      </c>
      <c r="I572" s="72">
        <f>SUMIF(Adat!$AH:$AH,CONCATENATE($M$4,"(ÁIG)","094031",L565),Adat!$E:$E)*-1</f>
        <v>0</v>
      </c>
    </row>
    <row r="573" spans="2:12" x14ac:dyDescent="0.2">
      <c r="B573" s="160">
        <v>6</v>
      </c>
      <c r="C573" s="305" t="s">
        <v>1359</v>
      </c>
      <c r="D573" s="82" t="s">
        <v>1360</v>
      </c>
      <c r="E573" s="72">
        <f>SUMIF(Adat!$AG:$AG,CONCATENATE(61,$M$4,"094041",L565),Adat!$E:$E)*-1</f>
        <v>0</v>
      </c>
      <c r="F573" s="72">
        <f>SUMIF(Adat!$AG:$AG,CONCATENATE(60,$M$4,"094041",L565),Adat!$E:$E)*-1+E573</f>
        <v>0</v>
      </c>
      <c r="G573" s="72">
        <f>SUMIF(Adat!$AH:$AH,CONCATENATE($M$4,"(KÖT)","094041",L565),Adat!$E:$E)*-1</f>
        <v>0</v>
      </c>
      <c r="H573" s="72">
        <f>SUMIF(Adat!$AH:$AH,CONCATENATE($M$4,"(ÖNV)","094041",L565),Adat!$E:$E)*-1</f>
        <v>0</v>
      </c>
      <c r="I573" s="72">
        <f>SUMIF(Adat!$AH:$AH,CONCATENATE($M$4,"(ÁIG)","094041",L565),Adat!$E:$E)*-1</f>
        <v>0</v>
      </c>
    </row>
    <row r="574" spans="2:12" x14ac:dyDescent="0.2">
      <c r="B574" s="160">
        <v>7</v>
      </c>
      <c r="C574" s="305" t="s">
        <v>1261</v>
      </c>
      <c r="D574" s="82" t="s">
        <v>1361</v>
      </c>
      <c r="E574" s="72">
        <f>SUMIF(Adat!$AG:$AG,CONCATENATE(61,$M$4,"094051",L565),Adat!$E:$E)*-1</f>
        <v>0</v>
      </c>
      <c r="F574" s="72">
        <f>SUMIF(Adat!$AG:$AG,CONCATENATE(60,$M$4,"094051",L565),Adat!$E:$E)*-1+E574</f>
        <v>0</v>
      </c>
      <c r="G574" s="72">
        <f>SUMIF(Adat!$AH:$AH,CONCATENATE($M$4,"(KÖT)","094051",L565),Adat!$E:$E)*-1</f>
        <v>0</v>
      </c>
      <c r="H574" s="72">
        <f>SUMIF(Adat!$AH:$AH,CONCATENATE($M$4,"(ÖNV)","094051",L565),Adat!$E:$E)*-1</f>
        <v>0</v>
      </c>
      <c r="I574" s="72">
        <f>SUMIF(Adat!$AH:$AH,CONCATENATE($M$4,"(ÁIG)","094051",L565),Adat!$E:$E)*-1</f>
        <v>0</v>
      </c>
    </row>
    <row r="575" spans="2:12" x14ac:dyDescent="0.2">
      <c r="B575" s="160">
        <v>8</v>
      </c>
      <c r="C575" s="305" t="s">
        <v>1273</v>
      </c>
      <c r="D575" s="82" t="s">
        <v>1362</v>
      </c>
      <c r="E575" s="72">
        <f>SUMIF(Adat!$AG:$AG,CONCATENATE(61,$M$4,"094061",L565),Adat!$E:$E)*-1</f>
        <v>0</v>
      </c>
      <c r="F575" s="72">
        <f>SUMIF(Adat!$AG:$AG,CONCATENATE(60,$M$4,"094061",L565),Adat!$E:$E)*-1+E575</f>
        <v>0</v>
      </c>
      <c r="G575" s="72">
        <f>SUMIF(Adat!$AH:$AH,CONCATENATE($M$4,"(KÖT)","094061",L565),Adat!$E:$E)*-1</f>
        <v>0</v>
      </c>
      <c r="H575" s="72">
        <f>SUMIF(Adat!$AH:$AH,CONCATENATE($M$4,"(ÖNV)","094061",L565),Adat!$E:$E)*-1</f>
        <v>0</v>
      </c>
      <c r="I575" s="72">
        <f>SUMIF(Adat!$AH:$AH,CONCATENATE($M$4,"(ÁIG)","094061",L565),Adat!$E:$E)*-1</f>
        <v>0</v>
      </c>
    </row>
    <row r="576" spans="2:12" x14ac:dyDescent="0.2">
      <c r="B576" s="160">
        <v>9</v>
      </c>
      <c r="C576" s="305" t="s">
        <v>1363</v>
      </c>
      <c r="D576" s="82" t="s">
        <v>1364</v>
      </c>
      <c r="E576" s="72">
        <f>SUMIF(Adat!$AG:$AG,CONCATENATE(61,$M$4,"094071",L565),Adat!$E:$E)*-1</f>
        <v>0</v>
      </c>
      <c r="F576" s="72">
        <f>SUMIF(Adat!$AG:$AG,CONCATENATE(60,$M$4,"094071",L565),Adat!$E:$E)*-1+E576</f>
        <v>0</v>
      </c>
      <c r="G576" s="72">
        <f>SUMIF(Adat!$AH:$AH,CONCATENATE($M$4,"(KÖT)","094071",L565),Adat!$E:$E)*-1</f>
        <v>0</v>
      </c>
      <c r="H576" s="72">
        <f>SUMIF(Adat!$AH:$AH,CONCATENATE($M$4,"(ÖNV)","094071",L565),Adat!$E:$E)*-1</f>
        <v>0</v>
      </c>
      <c r="I576" s="72">
        <f>SUMIF(Adat!$AH:$AH,CONCATENATE($M$4,"(ÁIG)","094071",L565),Adat!$E:$E)*-1</f>
        <v>0</v>
      </c>
    </row>
    <row r="577" spans="2:9" x14ac:dyDescent="0.2">
      <c r="B577" s="160">
        <v>10</v>
      </c>
      <c r="C577" s="305" t="s">
        <v>1306</v>
      </c>
      <c r="D577" s="82" t="s">
        <v>1365</v>
      </c>
      <c r="E577" s="72">
        <f>SUMIF(Adat!$AG:$AG,CONCATENATE(61,$M$4,"0940811",L565),Adat!$E:$E)*-1</f>
        <v>0</v>
      </c>
      <c r="F577" s="72">
        <f>SUMIF(Adat!$AG:$AG,CONCATENATE(60,$M$4,"0940811",L565),Adat!$E:$E)*-1+E577</f>
        <v>0</v>
      </c>
      <c r="G577" s="72">
        <f>SUMIF(Adat!$AH:$AH,CONCATENATE($M$4,"(KÖT)","0940811",L565),Adat!$E:$E)*-1</f>
        <v>0</v>
      </c>
      <c r="H577" s="72">
        <f>SUMIF(Adat!$AH:$AH,CONCATENATE($M$4,"(ÖNV)","0940811",L565),Adat!$E:$E)*-1</f>
        <v>0</v>
      </c>
      <c r="I577" s="72">
        <f>SUMIF(Adat!$AH:$AH,CONCATENATE($M$4,"(ÁIG)","0940811",L565),Adat!$E:$E)*-1</f>
        <v>0</v>
      </c>
    </row>
    <row r="578" spans="2:9" x14ac:dyDescent="0.2">
      <c r="B578" s="160">
        <v>11</v>
      </c>
      <c r="C578" s="305" t="s">
        <v>1295</v>
      </c>
      <c r="D578" s="82" t="s">
        <v>1366</v>
      </c>
      <c r="E578" s="72">
        <f>SUMIF(Adat!$AG:$AG,CONCATENATE(61,$M$4,"0940821",L565),Adat!$E:$E)*-1</f>
        <v>0</v>
      </c>
      <c r="F578" s="72">
        <f>SUMIF(Adat!$AG:$AG,CONCATENATE(60,$M$4,"0940821",L565),Adat!$E:$E)*-1+E578</f>
        <v>0</v>
      </c>
      <c r="G578" s="72">
        <f>SUMIF(Adat!$AH:$AH,CONCATENATE($M$4,"(KÖT)","0940821",L565),Adat!$E:$E)*-1</f>
        <v>0</v>
      </c>
      <c r="H578" s="72">
        <f>SUMIF(Adat!$AH:$AH,CONCATENATE($M$4,"(ÖNV)","0940821",L565),Adat!$E:$E)*-1</f>
        <v>0</v>
      </c>
      <c r="I578" s="72">
        <f>SUMIF(Adat!$AH:$AH,CONCATENATE($M$4,"(ÁIG)","0940821",L565),Adat!$E:$E)*-1</f>
        <v>0</v>
      </c>
    </row>
    <row r="579" spans="2:9" x14ac:dyDescent="0.2">
      <c r="B579" s="160">
        <v>12</v>
      </c>
      <c r="C579" s="305" t="s">
        <v>1367</v>
      </c>
      <c r="D579" s="82" t="s">
        <v>1368</v>
      </c>
      <c r="E579" s="72">
        <f>SUMIF(Adat!$AG:$AG,CONCATENATE(61,$M$4,"0940911",L565),Adat!$E:$E)*-1</f>
        <v>0</v>
      </c>
      <c r="F579" s="72">
        <f>SUMIF(Adat!$AG:$AG,CONCATENATE(60,$M$4,"0940911",L565),Adat!$E:$E)*-1+E579</f>
        <v>0</v>
      </c>
      <c r="G579" s="72">
        <f>SUMIF(Adat!$AH:$AH,CONCATENATE($M$4,"(KÖT)","0940911",L565),Adat!$E:$E)*-1</f>
        <v>0</v>
      </c>
      <c r="H579" s="72">
        <f>SUMIF(Adat!$AH:$AH,CONCATENATE($M$4,"(ÖNV)","0940911",L565),Adat!$E:$E)*-1</f>
        <v>0</v>
      </c>
      <c r="I579" s="72">
        <f>SUMIF(Adat!$AH:$AH,CONCATENATE($M$4,"(ÁIG)","0940911",L565),Adat!$E:$E)*-1</f>
        <v>0</v>
      </c>
    </row>
    <row r="580" spans="2:9" x14ac:dyDescent="0.2">
      <c r="B580" s="160">
        <v>13</v>
      </c>
      <c r="C580" s="305" t="s">
        <v>1369</v>
      </c>
      <c r="D580" s="82" t="s">
        <v>1370</v>
      </c>
      <c r="E580" s="72">
        <f>SUMIF(Adat!$AG:$AG,CONCATENATE(61,$M$4,"0940921",L565),Adat!$E:$E)*-1</f>
        <v>0</v>
      </c>
      <c r="F580" s="72">
        <f>SUMIF(Adat!$AG:$AG,CONCATENATE(60,$M$4,"0940921",L565),Adat!$E:$E)*-1+E580</f>
        <v>0</v>
      </c>
      <c r="G580" s="72">
        <f>SUMIF(Adat!$AH:$AH,CONCATENATE($M$4,"(KÖT)","0940921",L565),Adat!$E:$E)*-1</f>
        <v>0</v>
      </c>
      <c r="H580" s="72">
        <f>SUMIF(Adat!$AH:$AH,CONCATENATE($M$4,"(ÖNV)","0940921",L565),Adat!$E:$E)*-1</f>
        <v>0</v>
      </c>
      <c r="I580" s="72">
        <f>SUMIF(Adat!$AH:$AH,CONCATENATE($M$4,"(ÁIG)","0940921",L565),Adat!$E:$E)*-1</f>
        <v>0</v>
      </c>
    </row>
    <row r="581" spans="2:9" x14ac:dyDescent="0.2">
      <c r="B581" s="160">
        <v>14</v>
      </c>
      <c r="C581" s="305" t="s">
        <v>1296</v>
      </c>
      <c r="D581" s="82" t="s">
        <v>1371</v>
      </c>
      <c r="E581" s="72">
        <f>SUMIF(Adat!$AG:$AG,CONCATENATE(61,$M$4,"094101",L565),Adat!$E:$E)*-1</f>
        <v>0</v>
      </c>
      <c r="F581" s="72">
        <f>SUMIF(Adat!$AG:$AG,CONCATENATE(60,$M$4,"094101",L565),Adat!$E:$E)*-1+E581</f>
        <v>0</v>
      </c>
      <c r="G581" s="72">
        <f>SUMIF(Adat!$AH:$AH,CONCATENATE($M$4,"(KÖT)","094101",L565),Adat!$E:$E)*-1</f>
        <v>0</v>
      </c>
      <c r="H581" s="72">
        <f>SUMIF(Adat!$AH:$AH,CONCATENATE($M$4,"(ÖNV)","094101",L565),Adat!$E:$E)*-1</f>
        <v>0</v>
      </c>
      <c r="I581" s="72">
        <f>SUMIF(Adat!$AH:$AH,CONCATENATE($M$4,"(ÁIG)","094101",L565),Adat!$E:$E)*-1</f>
        <v>0</v>
      </c>
    </row>
    <row r="582" spans="2:9" x14ac:dyDescent="0.25">
      <c r="B582" s="160">
        <v>15</v>
      </c>
      <c r="C582" s="305" t="s">
        <v>1297</v>
      </c>
      <c r="D582" s="84" t="s">
        <v>1372</v>
      </c>
      <c r="E582" s="72">
        <f>SUMIF(Adat!$AG:$AG,CONCATENATE(61,$M$4,"094111",L565),Adat!$E:$E)*-1</f>
        <v>0</v>
      </c>
      <c r="F582" s="72">
        <f>SUMIF(Adat!$AG:$AG,CONCATENATE(60,$M$4,"094111",L565),Adat!$E:$E)*-1+E582</f>
        <v>0</v>
      </c>
      <c r="G582" s="72">
        <f>SUMIF(Adat!$AH:$AH,CONCATENATE($M$4,"(KÖT)","094111",L565),Adat!$E:$E)*-1</f>
        <v>0</v>
      </c>
      <c r="H582" s="72">
        <f>SUMIF(Adat!$AH:$AH,CONCATENATE($M$4,"(ÖNV)","094111",L565),Adat!$E:$E)*-1</f>
        <v>0</v>
      </c>
      <c r="I582" s="72">
        <f>SUMIF(Adat!$AH:$AH,CONCATENATE($M$4,"(ÁIG)","094111",L565),Adat!$E:$E)*-1</f>
        <v>0</v>
      </c>
    </row>
    <row r="583" spans="2:9" x14ac:dyDescent="0.25">
      <c r="B583" s="160">
        <v>16</v>
      </c>
      <c r="C583" s="78" t="s">
        <v>1328</v>
      </c>
      <c r="D583" s="85" t="s">
        <v>437</v>
      </c>
      <c r="E583" s="121">
        <f>SUM(E584:E586)</f>
        <v>0</v>
      </c>
      <c r="F583" s="121">
        <f>SUM(F584:F586)</f>
        <v>0</v>
      </c>
      <c r="G583" s="121">
        <f>SUM(G584:G586)</f>
        <v>0</v>
      </c>
      <c r="H583" s="121">
        <f>SUM(H584:H586)</f>
        <v>0</v>
      </c>
      <c r="I583" s="121">
        <f>SUM(I584:I586)</f>
        <v>0</v>
      </c>
    </row>
    <row r="584" spans="2:9" x14ac:dyDescent="0.2">
      <c r="B584" s="160">
        <v>17</v>
      </c>
      <c r="C584" s="305" t="s">
        <v>1329</v>
      </c>
      <c r="D584" s="82" t="s">
        <v>1330</v>
      </c>
      <c r="E584" s="72">
        <f>SUMIF(Adat!$AG:$AG,CONCATENATE(61,$M$4,"09121",L565),Adat!$E:$E)*-1</f>
        <v>0</v>
      </c>
      <c r="F584" s="72">
        <f>SUMIF(Adat!$AG:$AG,CONCATENATE(60,$M$4,"09121",L565),Adat!$E:$E)*-1+E584</f>
        <v>0</v>
      </c>
      <c r="G584" s="72">
        <f>SUMIF(Adat!$AH:$AH,CONCATENATE($M$4,"(KÖT)","09121",L565),Adat!$E:$E)*-1</f>
        <v>0</v>
      </c>
      <c r="H584" s="72">
        <f>SUMIF(Adat!$AH:$AH,CONCATENATE($M$4,"(ÖNV)","09121",L565),Adat!$E:$E)*-1</f>
        <v>0</v>
      </c>
      <c r="I584" s="72">
        <f>SUMIF(Adat!$AH:$AH,CONCATENATE($M$4,"(ÁIG)","09121",L565),Adat!$E:$E)*-1</f>
        <v>0</v>
      </c>
    </row>
    <row r="585" spans="2:9" x14ac:dyDescent="0.2">
      <c r="B585" s="160">
        <v>18</v>
      </c>
      <c r="C585" s="305" t="s">
        <v>1335</v>
      </c>
      <c r="D585" s="82" t="s">
        <v>1336</v>
      </c>
      <c r="E585" s="72">
        <f>SUMIF(Adat!$AG:$AG,CONCATENATE(61,$M$4,"09151",L565),Adat!$E:$E)*-1</f>
        <v>0</v>
      </c>
      <c r="F585" s="72">
        <f>SUMIF(Adat!$AG:$AG,CONCATENATE(60,$M$4,"09151",L565),Adat!$E:$E)*-1+E585</f>
        <v>0</v>
      </c>
      <c r="G585" s="72">
        <f>SUMIF(Adat!$AH:$AH,CONCATENATE($M$4,"(KÖT)","09151",L565),Adat!$E:$E)*-1</f>
        <v>0</v>
      </c>
      <c r="H585" s="72">
        <f>SUMIF(Adat!$AH:$AH,CONCATENATE($M$4,"(ÖNV)","09151",L565),Adat!$E:$E)*-1</f>
        <v>0</v>
      </c>
      <c r="I585" s="72">
        <f>SUMIF(Adat!$AH:$AH,CONCATENATE($M$4,"(ÁIG)","09151",L565),Adat!$E:$E)*-1</f>
        <v>0</v>
      </c>
    </row>
    <row r="586" spans="2:9" x14ac:dyDescent="0.2">
      <c r="B586" s="160">
        <v>19</v>
      </c>
      <c r="C586" s="305" t="s">
        <v>1278</v>
      </c>
      <c r="D586" s="82" t="s">
        <v>1337</v>
      </c>
      <c r="E586" s="72">
        <f>SUMIF(Adat!$AG:$AG,CONCATENATE(61,$M$4,"09161",L565),Adat!$E:$E)*-1</f>
        <v>0</v>
      </c>
      <c r="F586" s="72">
        <f>SUMIF(Adat!$AG:$AG,CONCATENATE(60,$M$4,"09161",L565),Adat!$E:$E)*-1+E586</f>
        <v>0</v>
      </c>
      <c r="G586" s="72">
        <f>SUMIF(Adat!$AH:$AH,CONCATENATE($M$4,"(KÖT)","09161",L565),Adat!$E:$E)*-1</f>
        <v>0</v>
      </c>
      <c r="H586" s="72">
        <f>SUMIF(Adat!$AH:$AH,CONCATENATE($M$4,"(ÖNV)","09161",L565),Adat!$E:$E)*-1</f>
        <v>0</v>
      </c>
      <c r="I586" s="72">
        <f>SUMIF(Adat!$AH:$AH,CONCATENATE($M$4,"(ÁIG)","09161",L565),Adat!$E:$E)*-1</f>
        <v>0</v>
      </c>
    </row>
    <row r="587" spans="2:9" x14ac:dyDescent="0.25">
      <c r="B587" s="160">
        <v>20</v>
      </c>
      <c r="C587" s="79" t="s">
        <v>27</v>
      </c>
      <c r="D587" s="79" t="s">
        <v>328</v>
      </c>
      <c r="E587" s="71">
        <f>SUMIF(Adat!$AI:$AI,CONCATENATE(61,$M$4,"093",L565),Adat!$E:$E)*-1</f>
        <v>0</v>
      </c>
      <c r="F587" s="71">
        <f>SUMIF(Adat!$AI:$AI,CONCATENATE(60,$M$4,"093",L565),Adat!$E:$E)*-1+E587</f>
        <v>0</v>
      </c>
      <c r="G587" s="71">
        <f>SUMIF(Adat!$AJ:$AJ,CONCATENATE($M$4,"093","(KÖT)",L565),Adat!$E:$E)*-1</f>
        <v>0</v>
      </c>
      <c r="H587" s="71">
        <f>SUMIF(Adat!$AJ:$AJ,CONCATENATE($M$4,"093","(ÖNV)",L565),Adat!$E:$E)*-1</f>
        <v>0</v>
      </c>
      <c r="I587" s="71">
        <f>SUMIF(Adat!$AJ:$AJ,CONCATENATE($M$4,"093","(ÁIG)",L565),Adat!$E:$E)*-1</f>
        <v>0</v>
      </c>
    </row>
    <row r="588" spans="2:9" x14ac:dyDescent="0.25">
      <c r="B588" s="160">
        <v>21</v>
      </c>
      <c r="C588" s="79" t="s">
        <v>24</v>
      </c>
      <c r="D588" s="79" t="s">
        <v>449</v>
      </c>
      <c r="E588" s="121">
        <f>SUM(E589:E591)</f>
        <v>0</v>
      </c>
      <c r="F588" s="121">
        <f t="shared" ref="F588:I588" si="37">SUM(F589:F591)</f>
        <v>0</v>
      </c>
      <c r="G588" s="121">
        <f t="shared" si="37"/>
        <v>0</v>
      </c>
      <c r="H588" s="121">
        <f t="shared" si="37"/>
        <v>0</v>
      </c>
      <c r="I588" s="121">
        <f t="shared" si="37"/>
        <v>0</v>
      </c>
    </row>
    <row r="589" spans="2:9" x14ac:dyDescent="0.2">
      <c r="B589" s="160">
        <v>22</v>
      </c>
      <c r="C589" s="305" t="s">
        <v>1339</v>
      </c>
      <c r="D589" s="82" t="s">
        <v>1340</v>
      </c>
      <c r="E589" s="72">
        <f>SUMIF(Adat!$AG:$AG,CONCATENATE(61,$M$4,"09211",L565),Adat!$E:$E)*-1</f>
        <v>0</v>
      </c>
      <c r="F589" s="72">
        <f>SUMIF(Adat!$AG:$AG,CONCATENATE(60,$M$4,"09211",L565),Adat!$E:$E)*-1+E589</f>
        <v>0</v>
      </c>
      <c r="G589" s="72">
        <f>SUMIF(Adat!$AH:$AH,CONCATENATE($M$4,"(KÖT)","09211",L565),Adat!$E:$E)*-1</f>
        <v>0</v>
      </c>
      <c r="H589" s="72">
        <f>SUMIF(Adat!$AH:$AH,CONCATENATE($M$4,"(ÖNV)","09211",L565),Adat!$E:$E)*-1</f>
        <v>0</v>
      </c>
      <c r="I589" s="72">
        <f>SUMIF(Adat!$AH:$AH,CONCATENATE($M$4,"(ÁIG)","09211",L565),Adat!$E:$E)*-1</f>
        <v>0</v>
      </c>
    </row>
    <row r="590" spans="2:9" x14ac:dyDescent="0.2">
      <c r="B590" s="160">
        <v>23</v>
      </c>
      <c r="C590" s="305" t="s">
        <v>1345</v>
      </c>
      <c r="D590" s="82" t="s">
        <v>1346</v>
      </c>
      <c r="E590" s="72">
        <f>SUMIF(Adat!$AG:$AG,CONCATENATE(61,$M$4,"09241",L565),Adat!$E:$E)*-1</f>
        <v>0</v>
      </c>
      <c r="F590" s="72">
        <f>SUMIF(Adat!$AG:$AG,CONCATENATE(60,$M$4,"09241",L565),Adat!$E:$E)*-1+E590</f>
        <v>0</v>
      </c>
      <c r="G590" s="72">
        <f>SUMIF(Adat!$AH:$AH,CONCATENATE($M$4,"(KÖT)","09241",L565),Adat!$E:$E)*-1</f>
        <v>0</v>
      </c>
      <c r="H590" s="72">
        <f>SUMIF(Adat!$AH:$AH,CONCATENATE($M$4,"(ÖNV)","09241",L565),Adat!$E:$E)*-1</f>
        <v>0</v>
      </c>
      <c r="I590" s="72">
        <f>SUMIF(Adat!$AH:$AH,CONCATENATE($M$4,"(ÁIG)","09241",L565),Adat!$E:$E)*-1</f>
        <v>0</v>
      </c>
    </row>
    <row r="591" spans="2:9" x14ac:dyDescent="0.2">
      <c r="B591" s="160">
        <v>24</v>
      </c>
      <c r="C591" s="305" t="s">
        <v>1255</v>
      </c>
      <c r="D591" s="82" t="s">
        <v>1347</v>
      </c>
      <c r="E591" s="72">
        <f>SUMIF(Adat!$AG:$AG,CONCATENATE(61,$M$4,"09251",L565),Adat!$E:$E)*-1</f>
        <v>0</v>
      </c>
      <c r="F591" s="72">
        <f>SUMIF(Adat!$AG:$AG,CONCATENATE(60,$M$4,"09251",L565),Adat!$E:$E)*-1+E591</f>
        <v>0</v>
      </c>
      <c r="G591" s="72">
        <f>SUMIF(Adat!$AH:$AH,CONCATENATE($M$4,"(KÖT)","09251",L565),Adat!$E:$E)*-1</f>
        <v>0</v>
      </c>
      <c r="H591" s="72">
        <f>SUMIF(Adat!$AH:$AH,CONCATENATE($M$4,"(ÖNV)","09251",L565),Adat!$E:$E)*-1</f>
        <v>0</v>
      </c>
      <c r="I591" s="72">
        <f>SUMIF(Adat!$AH:$AH,CONCATENATE($M$4,"(ÁIG)","09251",L565),Adat!$E:$E)*-1</f>
        <v>0</v>
      </c>
    </row>
    <row r="592" spans="2:9" x14ac:dyDescent="0.25">
      <c r="B592" s="160">
        <v>25</v>
      </c>
      <c r="C592" s="79" t="s">
        <v>33</v>
      </c>
      <c r="D592" s="79" t="s">
        <v>330</v>
      </c>
      <c r="E592" s="121">
        <f>SUM(E593:E595)</f>
        <v>0</v>
      </c>
      <c r="F592" s="121">
        <f t="shared" ref="F592:I592" si="38">SUM(F593:F595)</f>
        <v>0</v>
      </c>
      <c r="G592" s="121">
        <f t="shared" si="38"/>
        <v>0</v>
      </c>
      <c r="H592" s="121">
        <f t="shared" si="38"/>
        <v>0</v>
      </c>
      <c r="I592" s="121">
        <f t="shared" si="38"/>
        <v>0</v>
      </c>
    </row>
    <row r="593" spans="2:12" x14ac:dyDescent="0.2">
      <c r="B593" s="160">
        <v>26</v>
      </c>
      <c r="C593" s="305" t="s">
        <v>1373</v>
      </c>
      <c r="D593" s="82" t="s">
        <v>1374</v>
      </c>
      <c r="E593" s="72">
        <f>SUMIF(Adat!$AG:$AG,CONCATENATE(61,$M$4,"09511",L565),Adat!$E:$E)*-1</f>
        <v>0</v>
      </c>
      <c r="F593" s="72">
        <f>SUMIF(Adat!$AG:$AG,CONCATENATE(60,$M$4,"09511",L565),Adat!$E:$E)*-1+E593</f>
        <v>0</v>
      </c>
      <c r="G593" s="72">
        <f>SUMIF(Adat!$AH:$AH,CONCATENATE($M$4,"(KÖT)","09511",L565),Adat!$E:$E)*-1</f>
        <v>0</v>
      </c>
      <c r="H593" s="72">
        <f>SUMIF(Adat!$AH:$AH,CONCATENATE($M$4,"(ÖNV)","09511",L565),Adat!$E:$E)*-1</f>
        <v>0</v>
      </c>
      <c r="I593" s="72">
        <f>SUMIF(Adat!$AH:$AH,CONCATENATE($M$4,"(ÁIG)","09511",L565),Adat!$E:$E)*-1</f>
        <v>0</v>
      </c>
    </row>
    <row r="594" spans="2:12" x14ac:dyDescent="0.2">
      <c r="B594" s="160">
        <v>27</v>
      </c>
      <c r="C594" s="305" t="s">
        <v>1294</v>
      </c>
      <c r="D594" s="82" t="s">
        <v>1375</v>
      </c>
      <c r="E594" s="72">
        <f>SUMIF(Adat!$AG:$AG,CONCATENATE(61,$M$4,"09521",L565),Adat!$E:$E)*-1</f>
        <v>0</v>
      </c>
      <c r="F594" s="72">
        <f>SUMIF(Adat!$AG:$AG,CONCATENATE(60,$M$4,"09521",L565),Adat!$E:$E)*-1+E594</f>
        <v>0</v>
      </c>
      <c r="G594" s="72">
        <f>SUMIF(Adat!$AH:$AH,CONCATENATE($M$4,"(KÖT)","09521",L565),Adat!$E:$E)*-1</f>
        <v>0</v>
      </c>
      <c r="H594" s="72">
        <f>SUMIF(Adat!$AH:$AH,CONCATENATE($M$4,"(ÖNV)","09521",L565),Adat!$E:$E)*-1</f>
        <v>0</v>
      </c>
      <c r="I594" s="72">
        <f>SUMIF(Adat!$AH:$AH,CONCATENATE($M$4,"(ÁIG)","09521",L565),Adat!$E:$E)*-1</f>
        <v>0</v>
      </c>
    </row>
    <row r="595" spans="2:12" x14ac:dyDescent="0.2">
      <c r="B595" s="160">
        <v>28</v>
      </c>
      <c r="C595" s="305" t="s">
        <v>1376</v>
      </c>
      <c r="D595" s="82" t="s">
        <v>1377</v>
      </c>
      <c r="E595" s="72">
        <f>SUMIF(Adat!$AG:$AG,CONCATENATE(61,$M$4,"09531",L565),Adat!$E:$E)*-1</f>
        <v>0</v>
      </c>
      <c r="F595" s="72">
        <f>SUMIF(Adat!$AG:$AG,CONCATENATE(60,$M$4,"09531",L565),Adat!$E:$E)*-1+E595</f>
        <v>0</v>
      </c>
      <c r="G595" s="72">
        <f>SUMIF(Adat!$AH:$AH,CONCATENATE($M$4,"(KÖT)","09531",L565),Adat!$E:$E)*-1</f>
        <v>0</v>
      </c>
      <c r="H595" s="72">
        <f>SUMIF(Adat!$AH:$AH,CONCATENATE($M$4,"(ÖNV)","09531",L565),Adat!$E:$E)*-1</f>
        <v>0</v>
      </c>
      <c r="I595" s="72">
        <f>SUMIF(Adat!$AH:$AH,CONCATENATE($M$4,"(ÁIG)","09531",L565),Adat!$E:$E)*-1</f>
        <v>0</v>
      </c>
    </row>
    <row r="596" spans="2:12" x14ac:dyDescent="0.25">
      <c r="B596" s="160">
        <v>29</v>
      </c>
      <c r="C596" s="79" t="s">
        <v>36</v>
      </c>
      <c r="D596" s="79" t="s">
        <v>331</v>
      </c>
      <c r="E596" s="71">
        <f>SUMIF(Adat!$AI:$AI,CONCATENATE(61,$M$4,"096",L565),Adat!$E:$E)*-1</f>
        <v>0</v>
      </c>
      <c r="F596" s="71">
        <f>SUMIF(Adat!$AI:$AI,CONCATENATE(60,$M$4,"096",L565),Adat!$E:$E)*-1+E596</f>
        <v>0</v>
      </c>
      <c r="G596" s="71">
        <f>SUMIF(Adat!$AJ:$AJ,CONCATENATE($M$4,"096","(KÖT)",L565),Adat!$E:$E)*-1</f>
        <v>0</v>
      </c>
      <c r="H596" s="71">
        <f>SUMIF(Adat!$AJ:$AJ,CONCATENATE($M$4,"096","(ÖNV)",L565),Adat!$E:$E)*-1</f>
        <v>0</v>
      </c>
      <c r="I596" s="71">
        <f>SUMIF(Adat!$AJ:$AJ,CONCATENATE($M$4,"096","(ÁIG)",L565),Adat!$E:$E)*-1</f>
        <v>0</v>
      </c>
    </row>
    <row r="597" spans="2:12" x14ac:dyDescent="0.25">
      <c r="B597" s="160">
        <v>30</v>
      </c>
      <c r="C597" s="79" t="s">
        <v>38</v>
      </c>
      <c r="D597" s="85" t="s">
        <v>332</v>
      </c>
      <c r="E597" s="71">
        <f>SUMIF(Adat!$AI:$AI,CONCATENATE(61,$M$4,"097",L565),Adat!$E:$E)*-1</f>
        <v>0</v>
      </c>
      <c r="F597" s="71">
        <f>SUMIF(Adat!$AI:$AI,CONCATENATE(60,$M$4,"097",L565),Adat!$E:$E)*-1+E597</f>
        <v>0</v>
      </c>
      <c r="G597" s="71">
        <f>SUMIF(Adat!$AJ:$AJ,CONCATENATE($M$4,"097","(KÖT)",L565),Adat!$E:$E)*-1</f>
        <v>0</v>
      </c>
      <c r="H597" s="71">
        <f>SUMIF(Adat!$AJ:$AJ,CONCATENATE($M$4,"097","(ÖNV)",L565),Adat!$E:$E)*-1</f>
        <v>0</v>
      </c>
      <c r="I597" s="71">
        <f>SUMIF(Adat!$AJ:$AJ,CONCATENATE($M$4,"097","(ÁIG)",L565),Adat!$E:$E)*-1</f>
        <v>0</v>
      </c>
    </row>
    <row r="598" spans="2:12" x14ac:dyDescent="0.25">
      <c r="B598" s="160">
        <v>31</v>
      </c>
      <c r="C598" s="154" t="s">
        <v>352</v>
      </c>
      <c r="D598" s="86" t="s">
        <v>1500</v>
      </c>
      <c r="E598" s="121">
        <f>E569+E583+E587+E588+E592+E596+E597</f>
        <v>0</v>
      </c>
      <c r="F598" s="121">
        <f>F569+F583+F587+F588+F592+F596+F597</f>
        <v>0</v>
      </c>
      <c r="G598" s="121">
        <f>G569+G583+G587+G588+G592+G596+G597</f>
        <v>0</v>
      </c>
      <c r="H598" s="121">
        <f>H569+H583+H587+H588+H592+H596+H597</f>
        <v>0</v>
      </c>
      <c r="I598" s="121">
        <f>I569+I583+I587+I588+I592+I596+I597</f>
        <v>0</v>
      </c>
    </row>
    <row r="599" spans="2:12" x14ac:dyDescent="0.25">
      <c r="B599" s="160">
        <v>32</v>
      </c>
      <c r="C599" s="154" t="s">
        <v>358</v>
      </c>
      <c r="D599" s="86" t="s">
        <v>333</v>
      </c>
      <c r="E599" s="121">
        <f>SUM(E600:E602)</f>
        <v>0</v>
      </c>
      <c r="F599" s="121">
        <f t="shared" ref="F599:I599" si="39">SUM(F600:F602)</f>
        <v>0</v>
      </c>
      <c r="G599" s="121">
        <f t="shared" si="39"/>
        <v>0</v>
      </c>
      <c r="H599" s="121">
        <f t="shared" si="39"/>
        <v>0</v>
      </c>
      <c r="I599" s="121">
        <f t="shared" si="39"/>
        <v>0</v>
      </c>
    </row>
    <row r="600" spans="2:12" x14ac:dyDescent="0.2">
      <c r="B600" s="160">
        <v>33</v>
      </c>
      <c r="C600" s="305" t="s">
        <v>1274</v>
      </c>
      <c r="D600" s="82" t="s">
        <v>1419</v>
      </c>
      <c r="E600" s="72">
        <f>SUMIF(Adat!$AG:$AG,CONCATENATE(61,$M$4,"0981311",L565),Adat!$E:$E)*-1</f>
        <v>0</v>
      </c>
      <c r="F600" s="72">
        <f>SUMIF(Adat!$AG:$AG,CONCATENATE(60,$M$4,"0981311",L565),Adat!$E:$E)*-1+E600</f>
        <v>0</v>
      </c>
      <c r="G600" s="72">
        <f>SUMIF(Adat!$AH:$AH,CONCATENATE($M$4,"(KÖT)","0981311",L565),Adat!$E:$E)*-1</f>
        <v>0</v>
      </c>
      <c r="H600" s="72">
        <f>SUMIF(Adat!$AH:$AH,CONCATENATE($M$4,"(ÖNV)","0981311",L565),Adat!$E:$E)*-1</f>
        <v>0</v>
      </c>
      <c r="I600" s="72">
        <f>SUMIF(Adat!$AH:$AH,CONCATENATE($M$4,"(ÁIG)","0981311",L565),Adat!$E:$E)*-1</f>
        <v>0</v>
      </c>
    </row>
    <row r="601" spans="2:12" x14ac:dyDescent="0.25">
      <c r="B601" s="160">
        <v>34</v>
      </c>
      <c r="C601" s="305" t="s">
        <v>1420</v>
      </c>
      <c r="D601" s="84" t="s">
        <v>1421</v>
      </c>
      <c r="E601" s="72">
        <f>SUMIF(Adat!$AG:$AG,CONCATENATE(61,$M$4,"0981321",L565),Adat!$E:$E)*-1</f>
        <v>0</v>
      </c>
      <c r="F601" s="72">
        <f>SUMIF(Adat!$AG:$AG,CONCATENATE(60,$M$4,"0981321",L565),Adat!$E:$E)*-1+E601</f>
        <v>0</v>
      </c>
      <c r="G601" s="72">
        <f>SUMIF(Adat!$AH:$AH,CONCATENATE($M$4,"(KÖT)","0981321",L565),Adat!$E:$E)*-1</f>
        <v>0</v>
      </c>
      <c r="H601" s="72">
        <f>SUMIF(Adat!$AH:$AH,CONCATENATE($M$4,"(ÖNV)","0981321",L565),Adat!$E:$E)*-1</f>
        <v>0</v>
      </c>
      <c r="I601" s="72">
        <f>SUMIF(Adat!$AH:$AH,CONCATENATE($M$4,"(ÁIG)","0981321",L565),Adat!$E:$E)*-1</f>
        <v>0</v>
      </c>
    </row>
    <row r="602" spans="2:12" x14ac:dyDescent="0.25">
      <c r="B602" s="160">
        <v>35</v>
      </c>
      <c r="C602" s="319" t="s">
        <v>1275</v>
      </c>
      <c r="D602" s="84" t="s">
        <v>1501</v>
      </c>
      <c r="E602" s="72">
        <f>SUMIF(Adat!$AG:$AG,CONCATENATE(61,$M$4,"098161",L565),Adat!$E:$E)*-1</f>
        <v>0</v>
      </c>
      <c r="F602" s="72">
        <f>SUMIF(Adat!$AG:$AG,CONCATENATE(60,$M$4,"098161",L565),Adat!$E:$E)*-1+E602</f>
        <v>0</v>
      </c>
      <c r="G602" s="72">
        <f>SUMIF(Adat!$AH:$AH,CONCATENATE($M$4,"(KÖT)","098161",L565),Adat!$E:$E)*-1</f>
        <v>0</v>
      </c>
      <c r="H602" s="72">
        <f>SUMIF(Adat!$AH:$AH,CONCATENATE($M$4,"(ÖNV)","098161",L565),Adat!$E:$E)*-1</f>
        <v>0</v>
      </c>
      <c r="I602" s="72">
        <f>SUMIF(Adat!$AH:$AH,CONCATENATE($M$4,"(ÁIG)","098161",L565),Adat!$E:$E)*-1</f>
        <v>0</v>
      </c>
    </row>
    <row r="603" spans="2:12" x14ac:dyDescent="0.25">
      <c r="B603" s="160">
        <v>36</v>
      </c>
      <c r="C603" s="154" t="s">
        <v>364</v>
      </c>
      <c r="D603" s="159" t="s">
        <v>1502</v>
      </c>
      <c r="E603" s="121">
        <f>+E598+E599</f>
        <v>0</v>
      </c>
      <c r="F603" s="121">
        <f>+F598+F599</f>
        <v>0</v>
      </c>
      <c r="G603" s="121">
        <f>+G598+G599</f>
        <v>0</v>
      </c>
      <c r="H603" s="121">
        <f>+H598+H599</f>
        <v>0</v>
      </c>
      <c r="I603" s="121">
        <f>+I598+I599</f>
        <v>0</v>
      </c>
    </row>
    <row r="604" spans="2:12" ht="15.75" x14ac:dyDescent="0.25">
      <c r="B604" s="38"/>
      <c r="C604" s="156"/>
      <c r="D604" s="38"/>
      <c r="E604" s="140"/>
      <c r="F604" s="140"/>
      <c r="G604" s="140"/>
      <c r="H604" s="140"/>
      <c r="I604" s="140"/>
    </row>
    <row r="605" spans="2:12" s="10" customFormat="1" ht="15.75" customHeight="1" x14ac:dyDescent="0.25">
      <c r="B605" s="201" t="str">
        <f>CONCATENATE("20. Kiadási jogcímek"," - ",L605," részletező")</f>
        <v>20. Kiadási jogcímek -  részletező</v>
      </c>
      <c r="C605" s="101"/>
      <c r="D605" s="101"/>
      <c r="E605" s="101"/>
      <c r="F605" s="101"/>
      <c r="G605" s="198"/>
      <c r="H605" s="198"/>
      <c r="I605" s="198"/>
      <c r="L605" s="384"/>
    </row>
    <row r="606" spans="2:12" ht="15.75" x14ac:dyDescent="0.25">
      <c r="B606" s="38"/>
      <c r="C606" s="156"/>
      <c r="D606" s="38"/>
      <c r="E606" s="140"/>
      <c r="F606" s="140"/>
      <c r="G606" s="140"/>
      <c r="H606" s="140"/>
      <c r="I606" s="140"/>
    </row>
    <row r="607" spans="2:12" x14ac:dyDescent="0.25">
      <c r="B607" s="77"/>
      <c r="C607" s="77" t="s">
        <v>350</v>
      </c>
      <c r="D607" s="77" t="s">
        <v>351</v>
      </c>
      <c r="E607" s="77" t="s">
        <v>470</v>
      </c>
      <c r="F607" s="77" t="s">
        <v>471</v>
      </c>
      <c r="G607" s="77" t="s">
        <v>44</v>
      </c>
      <c r="H607" s="77" t="s">
        <v>42</v>
      </c>
      <c r="I607" s="77" t="s">
        <v>511</v>
      </c>
    </row>
    <row r="608" spans="2:12" ht="38.25" x14ac:dyDescent="0.25">
      <c r="B608" s="160">
        <v>1</v>
      </c>
      <c r="C608" s="154" t="s">
        <v>593</v>
      </c>
      <c r="D608" s="154" t="s">
        <v>488</v>
      </c>
      <c r="E608" s="163" t="str">
        <f>CONCATENATE(PAR!$H$3," évi
eredeti 
előirányzat")</f>
        <v>2025. évi
eredeti 
előirányzat</v>
      </c>
      <c r="F608" s="163" t="str">
        <f>CONCATENATE(PAR!$H$3," évi
módosított 
előirányzat")</f>
        <v>2025. évi
módosított 
előirányzat</v>
      </c>
      <c r="G608" s="78" t="s">
        <v>666</v>
      </c>
      <c r="H608" s="78" t="s">
        <v>667</v>
      </c>
      <c r="I608" s="78" t="s">
        <v>668</v>
      </c>
    </row>
    <row r="609" spans="2:9" x14ac:dyDescent="0.25">
      <c r="B609" s="160">
        <v>2</v>
      </c>
      <c r="C609" s="78" t="s">
        <v>352</v>
      </c>
      <c r="D609" s="92" t="s">
        <v>1444</v>
      </c>
      <c r="E609" s="121">
        <f>SUM(E610:E614)</f>
        <v>0</v>
      </c>
      <c r="F609" s="121">
        <f>SUM(F610:F614)</f>
        <v>0</v>
      </c>
      <c r="G609" s="121">
        <f>SUM(G610:G614)</f>
        <v>0</v>
      </c>
      <c r="H609" s="121">
        <f>SUM(H610:H614)</f>
        <v>0</v>
      </c>
      <c r="I609" s="121">
        <f>SUM(I610:I614)</f>
        <v>0</v>
      </c>
    </row>
    <row r="610" spans="2:9" x14ac:dyDescent="0.25">
      <c r="B610" s="160">
        <v>3</v>
      </c>
      <c r="C610" s="305" t="s">
        <v>315</v>
      </c>
      <c r="D610" s="93" t="s">
        <v>342</v>
      </c>
      <c r="E610" s="72">
        <f>SUMIF(Adat!$AI:$AI,CONCATENATE(61,$M$4,"051",L605),Adat!$E:$E)</f>
        <v>0</v>
      </c>
      <c r="F610" s="72">
        <f>SUMIF(Adat!$AI:$AI,CONCATENATE(60,$M$4,"051",L605),Adat!$E:$E)+E610</f>
        <v>0</v>
      </c>
      <c r="G610" s="72">
        <f>SUMIF(Adat!$AJ:$AJ,CONCATENATE($M$4,"051","(KÖT)",L605),Adat!$E:$E)</f>
        <v>0</v>
      </c>
      <c r="H610" s="72">
        <f>SUMIF(Adat!$AJ:$AJ,CONCATENATE($M$4,"051","(ÖNV)",L605),Adat!$E:$E)</f>
        <v>0</v>
      </c>
      <c r="I610" s="72">
        <f>SUMIF(Adat!$AJ:$AJ,CONCATENATE($M$4,"051","(ÁIG)",L605),Adat!$E:$E)</f>
        <v>0</v>
      </c>
    </row>
    <row r="611" spans="2:9" x14ac:dyDescent="0.25">
      <c r="B611" s="160">
        <v>4</v>
      </c>
      <c r="C611" s="305" t="s">
        <v>317</v>
      </c>
      <c r="D611" s="93" t="s">
        <v>395</v>
      </c>
      <c r="E611" s="72">
        <f>SUMIF(Adat!$AI:$AI,CONCATENATE(61,$M$4,"052",L605),Adat!$E:$E)</f>
        <v>0</v>
      </c>
      <c r="F611" s="72">
        <f>SUMIF(Adat!$AI:$AI,CONCATENATE(60,$M$4,"052",L605),Adat!$E:$E)+E611</f>
        <v>0</v>
      </c>
      <c r="G611" s="72">
        <f>SUMIF(Adat!$AJ:$AJ,CONCATENATE($M$4,"052","(KÖT)",L605),Adat!$E:$E)</f>
        <v>0</v>
      </c>
      <c r="H611" s="72">
        <f>SUMIF(Adat!$AJ:$AJ,CONCATENATE($M$4,"052","(ÖNV)",L605),Adat!$E:$E)</f>
        <v>0</v>
      </c>
      <c r="I611" s="72">
        <f>SUMIF(Adat!$AJ:$AJ,CONCATENATE($M$4,"052","(ÁIG)",L605),Adat!$E:$E)</f>
        <v>0</v>
      </c>
    </row>
    <row r="612" spans="2:9" x14ac:dyDescent="0.25">
      <c r="B612" s="160">
        <v>5</v>
      </c>
      <c r="C612" s="305" t="s">
        <v>4</v>
      </c>
      <c r="D612" s="93" t="s">
        <v>344</v>
      </c>
      <c r="E612" s="72">
        <f>SUMIF(Adat!$AI:$AI,CONCATENATE(61,$M$4,"053",L605),Adat!$E:$E)</f>
        <v>0</v>
      </c>
      <c r="F612" s="72">
        <f>SUMIF(Adat!$AI:$AI,CONCATENATE(60,$M$4,"053",L605),Adat!$E:$E)+E612</f>
        <v>0</v>
      </c>
      <c r="G612" s="72">
        <f>SUMIF(Adat!$AJ:$AJ,CONCATENATE($M$4,"053","(KÖT)",L605),Adat!$E:$E)</f>
        <v>0</v>
      </c>
      <c r="H612" s="72">
        <f>SUMIF(Adat!$AJ:$AJ,CONCATENATE($M$4,"053","(ÖNV)",L605),Adat!$E:$E)</f>
        <v>0</v>
      </c>
      <c r="I612" s="72">
        <f>SUMIF(Adat!$AJ:$AJ,CONCATENATE($M$4,"053","(ÁIG)",L605),Adat!$E:$E)</f>
        <v>0</v>
      </c>
    </row>
    <row r="613" spans="2:9" x14ac:dyDescent="0.25">
      <c r="B613" s="160">
        <v>6</v>
      </c>
      <c r="C613" s="305" t="s">
        <v>6</v>
      </c>
      <c r="D613" s="93" t="s">
        <v>345</v>
      </c>
      <c r="E613" s="72">
        <f>SUMIF(Adat!$AI:$AI,CONCATENATE(61,$M$4,"054",L605),Adat!$E:$E)</f>
        <v>0</v>
      </c>
      <c r="F613" s="72">
        <f>SUMIF(Adat!$AI:$AI,CONCATENATE(60,$M$4,"054",L605),Adat!$E:$E)+E613</f>
        <v>0</v>
      </c>
      <c r="G613" s="72">
        <f>SUMIF(Adat!$AJ:$AJ,CONCATENATE($M$4,"054","(KÖT)",L605),Adat!$E:$E)</f>
        <v>0</v>
      </c>
      <c r="H613" s="72">
        <f>SUMIF(Adat!$AJ:$AJ,CONCATENATE($M$4,"054","(ÖNV)",L605),Adat!$E:$E)</f>
        <v>0</v>
      </c>
      <c r="I613" s="72">
        <f>SUMIF(Adat!$AJ:$AJ,CONCATENATE($M$4,"054","(ÁIG)",L605),Adat!$E:$E)</f>
        <v>0</v>
      </c>
    </row>
    <row r="614" spans="2:9" x14ac:dyDescent="0.25">
      <c r="B614" s="160">
        <v>7</v>
      </c>
      <c r="C614" s="305" t="s">
        <v>8</v>
      </c>
      <c r="D614" s="93" t="s">
        <v>321</v>
      </c>
      <c r="E614" s="72">
        <f>SUMIF(Adat!$AI:$AI,CONCATENATE(61,$M$4,"055",L605),Adat!$E:$E)</f>
        <v>0</v>
      </c>
      <c r="F614" s="72">
        <f>SUMIF(Adat!$AI:$AI,CONCATENATE(60,$M$4,"055",L605),Adat!$E:$E)+E614</f>
        <v>0</v>
      </c>
      <c r="G614" s="72">
        <f>SUMIF(Adat!$AJ:$AJ,CONCATENATE($M$4,"055","(KÖT)",L605),Adat!$E:$E)</f>
        <v>0</v>
      </c>
      <c r="H614" s="72">
        <f>SUMIF(Adat!$AJ:$AJ,CONCATENATE($M$4,"055","(ÖNV)",L605),Adat!$E:$E)</f>
        <v>0</v>
      </c>
      <c r="I614" s="72">
        <f>SUMIF(Adat!$AJ:$AJ,CONCATENATE($M$4,"055","(ÁIG)",L605),Adat!$E:$E)</f>
        <v>0</v>
      </c>
    </row>
    <row r="615" spans="2:9" x14ac:dyDescent="0.25">
      <c r="B615" s="160">
        <v>8</v>
      </c>
      <c r="C615" s="78" t="s">
        <v>358</v>
      </c>
      <c r="D615" s="92" t="s">
        <v>1447</v>
      </c>
      <c r="E615" s="121">
        <f>E616+E618+E620</f>
        <v>0</v>
      </c>
      <c r="F615" s="121">
        <f>F616+F618+F620</f>
        <v>0</v>
      </c>
      <c r="G615" s="121">
        <f>G616+G618+G620</f>
        <v>0</v>
      </c>
      <c r="H615" s="121">
        <f>H616+H618+H620</f>
        <v>0</v>
      </c>
      <c r="I615" s="121">
        <f>I616+I618+I620</f>
        <v>0</v>
      </c>
    </row>
    <row r="616" spans="2:9" x14ac:dyDescent="0.25">
      <c r="B616" s="160">
        <v>9</v>
      </c>
      <c r="C616" s="305" t="s">
        <v>10</v>
      </c>
      <c r="D616" s="93" t="s">
        <v>322</v>
      </c>
      <c r="E616" s="72">
        <f>SUMIF(Adat!$AI:$AI,CONCATENATE(61,$M$4,"056",L605),Adat!$E:$E)</f>
        <v>0</v>
      </c>
      <c r="F616" s="72">
        <f>SUMIF(Adat!$AI:$AI,CONCATENATE(60,$M$4,"056",L605),Adat!$E:$E)+E616</f>
        <v>0</v>
      </c>
      <c r="G616" s="72">
        <f>SUMIF(Adat!$AJ:$AJ,CONCATENATE($M$4,"056","(KÖT)",L605),Adat!$E:$E)</f>
        <v>0</v>
      </c>
      <c r="H616" s="72">
        <f>SUMIF(Adat!$AJ:$AJ,CONCATENATE($M$4,"056","(ÖNV)",L605),Adat!$E:$E)</f>
        <v>0</v>
      </c>
      <c r="I616" s="72">
        <f>SUMIF(Adat!$AJ:$AJ,CONCATENATE($M$4,"056","(ÁIG)",L605),Adat!$E:$E)</f>
        <v>0</v>
      </c>
    </row>
    <row r="617" spans="2:9" x14ac:dyDescent="0.25">
      <c r="B617" s="160">
        <v>10</v>
      </c>
      <c r="C617" s="305" t="s">
        <v>10</v>
      </c>
      <c r="D617" s="93" t="s">
        <v>1448</v>
      </c>
      <c r="E617" s="72">
        <v>0</v>
      </c>
      <c r="F617" s="72">
        <f>SUM(G617:I617)</f>
        <v>0</v>
      </c>
      <c r="G617" s="72">
        <v>0</v>
      </c>
      <c r="H617" s="72">
        <v>0</v>
      </c>
      <c r="I617" s="72">
        <v>0</v>
      </c>
    </row>
    <row r="618" spans="2:9" x14ac:dyDescent="0.25">
      <c r="B618" s="160">
        <v>11</v>
      </c>
      <c r="C618" s="305" t="s">
        <v>12</v>
      </c>
      <c r="D618" s="93" t="s">
        <v>323</v>
      </c>
      <c r="E618" s="72">
        <f>SUMIF(Adat!$AI:$AI,CONCATENATE(61,$M$4,"057",L605),Adat!$E:$E)</f>
        <v>0</v>
      </c>
      <c r="F618" s="72">
        <f>SUMIF(Adat!$AI:$AI,CONCATENATE(60,$M$4,"057",L605),Adat!$E:$E)+E618</f>
        <v>0</v>
      </c>
      <c r="G618" s="72">
        <f>SUMIF(Adat!$AJ:$AJ,CONCATENATE($M$4,"057","(KÖT)",L605),Adat!$E:$E)</f>
        <v>0</v>
      </c>
      <c r="H618" s="72">
        <f>SUMIF(Adat!$AJ:$AJ,CONCATENATE($M$4,"057","(ÖNV)",L605),Adat!$E:$E)</f>
        <v>0</v>
      </c>
      <c r="I618" s="72">
        <f>SUMIF(Adat!$AJ:$AJ,CONCATENATE($M$4,"057","(ÁIG)",L605),Adat!$E:$E)</f>
        <v>0</v>
      </c>
    </row>
    <row r="619" spans="2:9" x14ac:dyDescent="0.25">
      <c r="B619" s="160">
        <v>12</v>
      </c>
      <c r="C619" s="305" t="s">
        <v>12</v>
      </c>
      <c r="D619" s="93" t="s">
        <v>1449</v>
      </c>
      <c r="E619" s="72">
        <v>0</v>
      </c>
      <c r="F619" s="72">
        <f>SUM(G619:I619)</f>
        <v>0</v>
      </c>
      <c r="G619" s="72">
        <v>0</v>
      </c>
      <c r="H619" s="72">
        <v>0</v>
      </c>
      <c r="I619" s="72">
        <v>0</v>
      </c>
    </row>
    <row r="620" spans="2:9" x14ac:dyDescent="0.25">
      <c r="B620" s="160">
        <v>13</v>
      </c>
      <c r="C620" s="305" t="s">
        <v>15</v>
      </c>
      <c r="D620" s="84" t="s">
        <v>324</v>
      </c>
      <c r="E620" s="72">
        <f>SUMIF(Adat!$AI:$AI,CONCATENATE(61,$M$4,"058",L605),Adat!$E:$E)</f>
        <v>0</v>
      </c>
      <c r="F620" s="72">
        <f>SUMIF(Adat!$AI:$AI,CONCATENATE(60,$M$4,"058",L605),Adat!$E:$E)+E620</f>
        <v>0</v>
      </c>
      <c r="G620" s="72">
        <f>SUMIF(Adat!$AJ:$AJ,CONCATENATE($M$4,"058","(KÖT)",L605),Adat!$E:$E)</f>
        <v>0</v>
      </c>
      <c r="H620" s="72">
        <f>SUMIF(Adat!$AJ:$AJ,CONCATENATE($M$4,"058","(ÖNV)",L605),Adat!$E:$E)</f>
        <v>0</v>
      </c>
      <c r="I620" s="72">
        <f>SUMIF(Adat!$AJ:$AJ,CONCATENATE($M$4,"058","(ÁIG)",L605),Adat!$E:$E)</f>
        <v>0</v>
      </c>
    </row>
    <row r="621" spans="2:9" x14ac:dyDescent="0.25">
      <c r="B621" s="160">
        <v>14</v>
      </c>
      <c r="C621" s="154" t="s">
        <v>364</v>
      </c>
      <c r="D621" s="86" t="s">
        <v>325</v>
      </c>
      <c r="E621" s="71">
        <f>SUMIF(Adat!$AI:$AI,CONCATENATE(61,$M$4,"059",L605),Adat!$E:$E)</f>
        <v>0</v>
      </c>
      <c r="F621" s="71">
        <f>SUMIF(Adat!$AI:$AI,CONCATENATE(60,$M$4,"059",L605),Adat!$E:$E)+E621</f>
        <v>0</v>
      </c>
      <c r="G621" s="71">
        <f>SUMIF(Adat!$AJ:$AJ,CONCATENATE($M$4,"059","(KÖT)",L605),Adat!$E:$E)</f>
        <v>0</v>
      </c>
      <c r="H621" s="71">
        <f>SUMIF(Adat!$AJ:$AJ,CONCATENATE($M$4,"059","(ÖNV)",L605),Adat!$E:$E)</f>
        <v>0</v>
      </c>
      <c r="I621" s="71">
        <f>SUMIF(Adat!$AJ:$AJ,CONCATENATE($M$4,"059","(ÁIG)",L605),Adat!$E:$E)</f>
        <v>0</v>
      </c>
    </row>
    <row r="622" spans="2:9" x14ac:dyDescent="0.25">
      <c r="B622" s="160">
        <v>15</v>
      </c>
      <c r="C622" s="154" t="s">
        <v>403</v>
      </c>
      <c r="D622" s="159" t="s">
        <v>497</v>
      </c>
      <c r="E622" s="121">
        <f>E609+E615+E621</f>
        <v>0</v>
      </c>
      <c r="F622" s="121">
        <f>F609+F615+F621</f>
        <v>0</v>
      </c>
      <c r="G622" s="121">
        <f>G609+G615+G621</f>
        <v>0</v>
      </c>
      <c r="H622" s="121">
        <f>H609+H615+H621</f>
        <v>0</v>
      </c>
      <c r="I622" s="121">
        <f>I609+I615+I621</f>
        <v>0</v>
      </c>
    </row>
    <row r="623" spans="2:9" ht="15.75" x14ac:dyDescent="0.25">
      <c r="B623" s="37"/>
      <c r="C623" s="529"/>
      <c r="D623" s="529"/>
      <c r="E623" s="529"/>
      <c r="F623" s="200"/>
      <c r="G623" s="200"/>
      <c r="H623" s="200"/>
      <c r="I623" s="200"/>
    </row>
    <row r="624" spans="2:9" ht="15.75" x14ac:dyDescent="0.25">
      <c r="B624" s="525" t="str">
        <f>$N$4</f>
        <v>Nagymarosi Polgármesteri Hivatal</v>
      </c>
      <c r="C624" s="525"/>
      <c r="D624" s="525"/>
      <c r="E624" s="525"/>
      <c r="F624" s="525"/>
      <c r="G624" s="525"/>
      <c r="H624" s="525"/>
      <c r="I624" s="525"/>
    </row>
    <row r="625" spans="2:12" ht="15.75" x14ac:dyDescent="0.25">
      <c r="B625" s="525" t="s">
        <v>2660</v>
      </c>
      <c r="C625" s="525"/>
      <c r="D625" s="525"/>
      <c r="E625" s="525"/>
      <c r="F625" s="525"/>
      <c r="G625" s="525"/>
      <c r="H625" s="525"/>
      <c r="I625" s="525"/>
    </row>
    <row r="626" spans="2:12" ht="15.75" x14ac:dyDescent="0.25">
      <c r="B626" s="38"/>
      <c r="C626" s="156"/>
      <c r="D626" s="38"/>
      <c r="E626" s="140"/>
      <c r="F626" s="140"/>
      <c r="G626" s="140"/>
      <c r="H626" s="140"/>
      <c r="I626" s="140"/>
    </row>
    <row r="627" spans="2:12" s="10" customFormat="1" ht="15.75" customHeight="1" x14ac:dyDescent="0.25">
      <c r="B627" s="201" t="str">
        <f>CONCATENATE("21. Bevételi jogcímek"," - ",L627," részletező")</f>
        <v>21. Bevételi jogcímek -  részletező</v>
      </c>
      <c r="C627" s="101"/>
      <c r="D627" s="101"/>
      <c r="E627" s="101"/>
      <c r="F627" s="101"/>
      <c r="G627" s="198"/>
      <c r="H627" s="198"/>
      <c r="I627" s="198"/>
      <c r="L627" s="384"/>
    </row>
    <row r="628" spans="2:12" ht="15.75" x14ac:dyDescent="0.25">
      <c r="B628" s="38"/>
      <c r="C628" s="156"/>
      <c r="D628" s="38"/>
      <c r="E628" s="140"/>
      <c r="F628" s="140"/>
      <c r="G628" s="140"/>
      <c r="H628" s="140"/>
      <c r="I628" s="140"/>
    </row>
    <row r="629" spans="2:12" x14ac:dyDescent="0.25">
      <c r="B629" s="77"/>
      <c r="C629" s="77" t="s">
        <v>350</v>
      </c>
      <c r="D629" s="77" t="s">
        <v>351</v>
      </c>
      <c r="E629" s="77" t="s">
        <v>470</v>
      </c>
      <c r="F629" s="77" t="s">
        <v>471</v>
      </c>
      <c r="G629" s="77" t="s">
        <v>44</v>
      </c>
      <c r="H629" s="77" t="s">
        <v>42</v>
      </c>
      <c r="I629" s="77" t="s">
        <v>511</v>
      </c>
    </row>
    <row r="630" spans="2:12" ht="38.25" x14ac:dyDescent="0.25">
      <c r="B630" s="160">
        <v>1</v>
      </c>
      <c r="C630" s="154" t="s">
        <v>593</v>
      </c>
      <c r="D630" s="154" t="s">
        <v>488</v>
      </c>
      <c r="E630" s="163" t="str">
        <f>CONCATENATE(PAR!$H$3," évi
eredeti 
előirányzat")</f>
        <v>2025. évi
eredeti 
előirányzat</v>
      </c>
      <c r="F630" s="163" t="str">
        <f>CONCATENATE(PAR!$H$3," évi
módosított 
előirányzat")</f>
        <v>2025. évi
módosított 
előirányzat</v>
      </c>
      <c r="G630" s="78" t="s">
        <v>666</v>
      </c>
      <c r="H630" s="78" t="s">
        <v>667</v>
      </c>
      <c r="I630" s="78" t="s">
        <v>668</v>
      </c>
    </row>
    <row r="631" spans="2:12" x14ac:dyDescent="0.25">
      <c r="B631" s="160">
        <v>2</v>
      </c>
      <c r="C631" s="79" t="s">
        <v>30</v>
      </c>
      <c r="D631" s="79" t="s">
        <v>329</v>
      </c>
      <c r="E631" s="121">
        <f>SUM(E632:E644)</f>
        <v>0</v>
      </c>
      <c r="F631" s="121">
        <f t="shared" ref="F631:I631" si="40">SUM(F632:F644)</f>
        <v>0</v>
      </c>
      <c r="G631" s="121">
        <f t="shared" si="40"/>
        <v>0</v>
      </c>
      <c r="H631" s="121">
        <f t="shared" si="40"/>
        <v>0</v>
      </c>
      <c r="I631" s="121">
        <f t="shared" si="40"/>
        <v>0</v>
      </c>
    </row>
    <row r="632" spans="2:12" x14ac:dyDescent="0.2">
      <c r="B632" s="160">
        <v>3</v>
      </c>
      <c r="C632" s="305" t="s">
        <v>1309</v>
      </c>
      <c r="D632" s="82" t="s">
        <v>1356</v>
      </c>
      <c r="E632" s="72">
        <f>SUMIF(Adat!$AG:$AG,CONCATENATE(61,$M$4,"094011",L627),Adat!$E:$E)*-1</f>
        <v>0</v>
      </c>
      <c r="F632" s="72">
        <f>SUMIF(Adat!$AG:$AG,CONCATENATE(60,$M$4,"094011",L627),Adat!$E:$E)*-1+E632</f>
        <v>0</v>
      </c>
      <c r="G632" s="72">
        <f>SUMIF(Adat!$AH:$AH,CONCATENATE($M$4,"(KÖT)","094011",L627),Adat!$E:$E)*-1</f>
        <v>0</v>
      </c>
      <c r="H632" s="72">
        <f>SUMIF(Adat!$AH:$AH,CONCATENATE($M$4,"(ÖNV)","094011",L627),Adat!$E:$E)*-1</f>
        <v>0</v>
      </c>
      <c r="I632" s="72">
        <f>SUMIF(Adat!$AH:$AH,CONCATENATE($M$4,"(ÁIG)","094011",L627),Adat!$E:$E)*-1</f>
        <v>0</v>
      </c>
    </row>
    <row r="633" spans="2:12" x14ac:dyDescent="0.2">
      <c r="B633" s="160">
        <v>4</v>
      </c>
      <c r="C633" s="305" t="s">
        <v>1279</v>
      </c>
      <c r="D633" s="82" t="s">
        <v>1357</v>
      </c>
      <c r="E633" s="72">
        <f>SUMIF(Adat!$AG:$AG,CONCATENATE(61,$M$4,"094021",L627),Adat!$E:$E)*-1</f>
        <v>0</v>
      </c>
      <c r="F633" s="72">
        <f>SUMIF(Adat!$AG:$AG,CONCATENATE(60,$M$4,"094021",L627),Adat!$E:$E)*-1+E633</f>
        <v>0</v>
      </c>
      <c r="G633" s="72">
        <f>SUMIF(Adat!$AH:$AH,CONCATENATE($M$4,"(KÖT)","094021",L627),Adat!$E:$E)*-1</f>
        <v>0</v>
      </c>
      <c r="H633" s="72">
        <f>SUMIF(Adat!$AH:$AH,CONCATENATE($M$4,"(ÖNV)","094021",L627),Adat!$E:$E)*-1</f>
        <v>0</v>
      </c>
      <c r="I633" s="72">
        <f>SUMIF(Adat!$AH:$AH,CONCATENATE($M$4,"(ÁIG)","094021",L627),Adat!$E:$E)*-1</f>
        <v>0</v>
      </c>
    </row>
    <row r="634" spans="2:12" x14ac:dyDescent="0.2">
      <c r="B634" s="160">
        <v>5</v>
      </c>
      <c r="C634" s="305" t="s">
        <v>1272</v>
      </c>
      <c r="D634" s="82" t="s">
        <v>1358</v>
      </c>
      <c r="E634" s="72">
        <f>SUMIF(Adat!$AG:$AG,CONCATENATE(61,$M$4,"094031",L627),Adat!$E:$E)*-1</f>
        <v>0</v>
      </c>
      <c r="F634" s="72">
        <f>SUMIF(Adat!$AG:$AG,CONCATENATE(60,$M$4,"094031",L627),Adat!$E:$E)*-1+E634</f>
        <v>0</v>
      </c>
      <c r="G634" s="72">
        <f>SUMIF(Adat!$AH:$AH,CONCATENATE($M$4,"(KÖT)","094031",L627),Adat!$E:$E)*-1</f>
        <v>0</v>
      </c>
      <c r="H634" s="72">
        <f>SUMIF(Adat!$AH:$AH,CONCATENATE($M$4,"(ÖNV)","094031",L627),Adat!$E:$E)*-1</f>
        <v>0</v>
      </c>
      <c r="I634" s="72">
        <f>SUMIF(Adat!$AH:$AH,CONCATENATE($M$4,"(ÁIG)","094031",L627),Adat!$E:$E)*-1</f>
        <v>0</v>
      </c>
    </row>
    <row r="635" spans="2:12" x14ac:dyDescent="0.2">
      <c r="B635" s="160">
        <v>6</v>
      </c>
      <c r="C635" s="305" t="s">
        <v>1359</v>
      </c>
      <c r="D635" s="82" t="s">
        <v>1360</v>
      </c>
      <c r="E635" s="72">
        <f>SUMIF(Adat!$AG:$AG,CONCATENATE(61,$M$4,"094041",L627),Adat!$E:$E)*-1</f>
        <v>0</v>
      </c>
      <c r="F635" s="72">
        <f>SUMIF(Adat!$AG:$AG,CONCATENATE(60,$M$4,"094041",L627),Adat!$E:$E)*-1+E635</f>
        <v>0</v>
      </c>
      <c r="G635" s="72">
        <f>SUMIF(Adat!$AH:$AH,CONCATENATE($M$4,"(KÖT)","094041",L627),Adat!$E:$E)*-1</f>
        <v>0</v>
      </c>
      <c r="H635" s="72">
        <f>SUMIF(Adat!$AH:$AH,CONCATENATE($M$4,"(ÖNV)","094041",L627),Adat!$E:$E)*-1</f>
        <v>0</v>
      </c>
      <c r="I635" s="72">
        <f>SUMIF(Adat!$AH:$AH,CONCATENATE($M$4,"(ÁIG)","094041",L627),Adat!$E:$E)*-1</f>
        <v>0</v>
      </c>
    </row>
    <row r="636" spans="2:12" x14ac:dyDescent="0.2">
      <c r="B636" s="160">
        <v>7</v>
      </c>
      <c r="C636" s="305" t="s">
        <v>1261</v>
      </c>
      <c r="D636" s="82" t="s">
        <v>1361</v>
      </c>
      <c r="E636" s="72">
        <f>SUMIF(Adat!$AG:$AG,CONCATENATE(61,$M$4,"094051",L627),Adat!$E:$E)*-1</f>
        <v>0</v>
      </c>
      <c r="F636" s="72">
        <f>SUMIF(Adat!$AG:$AG,CONCATENATE(60,$M$4,"094051",L627),Adat!$E:$E)*-1+E636</f>
        <v>0</v>
      </c>
      <c r="G636" s="72">
        <f>SUMIF(Adat!$AH:$AH,CONCATENATE($M$4,"(KÖT)","094051",L627),Adat!$E:$E)*-1</f>
        <v>0</v>
      </c>
      <c r="H636" s="72">
        <f>SUMIF(Adat!$AH:$AH,CONCATENATE($M$4,"(ÖNV)","094051",L627),Adat!$E:$E)*-1</f>
        <v>0</v>
      </c>
      <c r="I636" s="72">
        <f>SUMIF(Adat!$AH:$AH,CONCATENATE($M$4,"(ÁIG)","094051",L627),Adat!$E:$E)*-1</f>
        <v>0</v>
      </c>
    </row>
    <row r="637" spans="2:12" x14ac:dyDescent="0.2">
      <c r="B637" s="160">
        <v>8</v>
      </c>
      <c r="C637" s="305" t="s">
        <v>1273</v>
      </c>
      <c r="D637" s="82" t="s">
        <v>1362</v>
      </c>
      <c r="E637" s="72">
        <f>SUMIF(Adat!$AG:$AG,CONCATENATE(61,$M$4,"094061",L627),Adat!$E:$E)*-1</f>
        <v>0</v>
      </c>
      <c r="F637" s="72">
        <f>SUMIF(Adat!$AG:$AG,CONCATENATE(60,$M$4,"094061",L627),Adat!$E:$E)*-1+E637</f>
        <v>0</v>
      </c>
      <c r="G637" s="72">
        <f>SUMIF(Adat!$AH:$AH,CONCATENATE($M$4,"(KÖT)","094061",L627),Adat!$E:$E)*-1</f>
        <v>0</v>
      </c>
      <c r="H637" s="72">
        <f>SUMIF(Adat!$AH:$AH,CONCATENATE($M$4,"(ÖNV)","094061",L627),Adat!$E:$E)*-1</f>
        <v>0</v>
      </c>
      <c r="I637" s="72">
        <f>SUMIF(Adat!$AH:$AH,CONCATENATE($M$4,"(ÁIG)","094061",L627),Adat!$E:$E)*-1</f>
        <v>0</v>
      </c>
    </row>
    <row r="638" spans="2:12" x14ac:dyDescent="0.2">
      <c r="B638" s="160">
        <v>9</v>
      </c>
      <c r="C638" s="305" t="s">
        <v>1363</v>
      </c>
      <c r="D638" s="82" t="s">
        <v>1364</v>
      </c>
      <c r="E638" s="72">
        <f>SUMIF(Adat!$AG:$AG,CONCATENATE(61,$M$4,"094071",L627),Adat!$E:$E)*-1</f>
        <v>0</v>
      </c>
      <c r="F638" s="72">
        <f>SUMIF(Adat!$AG:$AG,CONCATENATE(60,$M$4,"094071",L627),Adat!$E:$E)*-1+E638</f>
        <v>0</v>
      </c>
      <c r="G638" s="72">
        <f>SUMIF(Adat!$AH:$AH,CONCATENATE($M$4,"(KÖT)","094071",L627),Adat!$E:$E)*-1</f>
        <v>0</v>
      </c>
      <c r="H638" s="72">
        <f>SUMIF(Adat!$AH:$AH,CONCATENATE($M$4,"(ÖNV)","094071",L627),Adat!$E:$E)*-1</f>
        <v>0</v>
      </c>
      <c r="I638" s="72">
        <f>SUMIF(Adat!$AH:$AH,CONCATENATE($M$4,"(ÁIG)","094071",L627),Adat!$E:$E)*-1</f>
        <v>0</v>
      </c>
    </row>
    <row r="639" spans="2:12" x14ac:dyDescent="0.2">
      <c r="B639" s="160">
        <v>10</v>
      </c>
      <c r="C639" s="305" t="s">
        <v>1306</v>
      </c>
      <c r="D639" s="82" t="s">
        <v>1365</v>
      </c>
      <c r="E639" s="72">
        <f>SUMIF(Adat!$AG:$AG,CONCATENATE(61,$M$4,"0940811",L627),Adat!$E:$E)*-1</f>
        <v>0</v>
      </c>
      <c r="F639" s="72">
        <f>SUMIF(Adat!$AG:$AG,CONCATENATE(60,$M$4,"0940811",L627),Adat!$E:$E)*-1+E639</f>
        <v>0</v>
      </c>
      <c r="G639" s="72">
        <f>SUMIF(Adat!$AH:$AH,CONCATENATE($M$4,"(KÖT)","0940811",L627),Adat!$E:$E)*-1</f>
        <v>0</v>
      </c>
      <c r="H639" s="72">
        <f>SUMIF(Adat!$AH:$AH,CONCATENATE($M$4,"(ÖNV)","0940811",L627),Adat!$E:$E)*-1</f>
        <v>0</v>
      </c>
      <c r="I639" s="72">
        <f>SUMIF(Adat!$AH:$AH,CONCATENATE($M$4,"(ÁIG)","0940811",L627),Adat!$E:$E)*-1</f>
        <v>0</v>
      </c>
    </row>
    <row r="640" spans="2:12" x14ac:dyDescent="0.2">
      <c r="B640" s="160">
        <v>11</v>
      </c>
      <c r="C640" s="305" t="s">
        <v>1295</v>
      </c>
      <c r="D640" s="82" t="s">
        <v>1366</v>
      </c>
      <c r="E640" s="72">
        <f>SUMIF(Adat!$AG:$AG,CONCATENATE(61,$M$4,"0940821",L627),Adat!$E:$E)*-1</f>
        <v>0</v>
      </c>
      <c r="F640" s="72">
        <f>SUMIF(Adat!$AG:$AG,CONCATENATE(60,$M$4,"0940821",L627),Adat!$E:$E)*-1+E640</f>
        <v>0</v>
      </c>
      <c r="G640" s="72">
        <f>SUMIF(Adat!$AH:$AH,CONCATENATE($M$4,"(KÖT)","0940821",L627),Adat!$E:$E)*-1</f>
        <v>0</v>
      </c>
      <c r="H640" s="72">
        <f>SUMIF(Adat!$AH:$AH,CONCATENATE($M$4,"(ÖNV)","0940821",L627),Adat!$E:$E)*-1</f>
        <v>0</v>
      </c>
      <c r="I640" s="72">
        <f>SUMIF(Adat!$AH:$AH,CONCATENATE($M$4,"(ÁIG)","0940821",L627),Adat!$E:$E)*-1</f>
        <v>0</v>
      </c>
    </row>
    <row r="641" spans="2:9" x14ac:dyDescent="0.2">
      <c r="B641" s="160">
        <v>12</v>
      </c>
      <c r="C641" s="305" t="s">
        <v>1367</v>
      </c>
      <c r="D641" s="82" t="s">
        <v>1368</v>
      </c>
      <c r="E641" s="72">
        <f>SUMIF(Adat!$AG:$AG,CONCATENATE(61,$M$4,"0940911",L627),Adat!$E:$E)*-1</f>
        <v>0</v>
      </c>
      <c r="F641" s="72">
        <f>SUMIF(Adat!$AG:$AG,CONCATENATE(60,$M$4,"0940911",L627),Adat!$E:$E)*-1+E641</f>
        <v>0</v>
      </c>
      <c r="G641" s="72">
        <f>SUMIF(Adat!$AH:$AH,CONCATENATE($M$4,"(KÖT)","0940911",L627),Adat!$E:$E)*-1</f>
        <v>0</v>
      </c>
      <c r="H641" s="72">
        <f>SUMIF(Adat!$AH:$AH,CONCATENATE($M$4,"(ÖNV)","0940911",L627),Adat!$E:$E)*-1</f>
        <v>0</v>
      </c>
      <c r="I641" s="72">
        <f>SUMIF(Adat!$AH:$AH,CONCATENATE($M$4,"(ÁIG)","0940911",L627),Adat!$E:$E)*-1</f>
        <v>0</v>
      </c>
    </row>
    <row r="642" spans="2:9" x14ac:dyDescent="0.2">
      <c r="B642" s="160">
        <v>13</v>
      </c>
      <c r="C642" s="305" t="s">
        <v>1369</v>
      </c>
      <c r="D642" s="82" t="s">
        <v>1370</v>
      </c>
      <c r="E642" s="72">
        <f>SUMIF(Adat!$AG:$AG,CONCATENATE(61,$M$4,"0940921",L627),Adat!$E:$E)*-1</f>
        <v>0</v>
      </c>
      <c r="F642" s="72">
        <f>SUMIF(Adat!$AG:$AG,CONCATENATE(60,$M$4,"0940921",L627),Adat!$E:$E)*-1+E642</f>
        <v>0</v>
      </c>
      <c r="G642" s="72">
        <f>SUMIF(Adat!$AH:$AH,CONCATENATE($M$4,"(KÖT)","0940921",L627),Adat!$E:$E)*-1</f>
        <v>0</v>
      </c>
      <c r="H642" s="72">
        <f>SUMIF(Adat!$AH:$AH,CONCATENATE($M$4,"(ÖNV)","0940921",L627),Adat!$E:$E)*-1</f>
        <v>0</v>
      </c>
      <c r="I642" s="72">
        <f>SUMIF(Adat!$AH:$AH,CONCATENATE($M$4,"(ÁIG)","0940921",L627),Adat!$E:$E)*-1</f>
        <v>0</v>
      </c>
    </row>
    <row r="643" spans="2:9" x14ac:dyDescent="0.2">
      <c r="B643" s="160">
        <v>14</v>
      </c>
      <c r="C643" s="305" t="s">
        <v>1296</v>
      </c>
      <c r="D643" s="82" t="s">
        <v>1371</v>
      </c>
      <c r="E643" s="72">
        <f>SUMIF(Adat!$AG:$AG,CONCATENATE(61,$M$4,"094101",L627),Adat!$E:$E)*-1</f>
        <v>0</v>
      </c>
      <c r="F643" s="72">
        <f>SUMIF(Adat!$AG:$AG,CONCATENATE(60,$M$4,"094101",L627),Adat!$E:$E)*-1+E643</f>
        <v>0</v>
      </c>
      <c r="G643" s="72">
        <f>SUMIF(Adat!$AH:$AH,CONCATENATE($M$4,"(KÖT)","094101",L627),Adat!$E:$E)*-1</f>
        <v>0</v>
      </c>
      <c r="H643" s="72">
        <f>SUMIF(Adat!$AH:$AH,CONCATENATE($M$4,"(ÖNV)","094101",L627),Adat!$E:$E)*-1</f>
        <v>0</v>
      </c>
      <c r="I643" s="72">
        <f>SUMIF(Adat!$AH:$AH,CONCATENATE($M$4,"(ÁIG)","094101",L627),Adat!$E:$E)*-1</f>
        <v>0</v>
      </c>
    </row>
    <row r="644" spans="2:9" x14ac:dyDescent="0.25">
      <c r="B644" s="160">
        <v>15</v>
      </c>
      <c r="C644" s="305" t="s">
        <v>1297</v>
      </c>
      <c r="D644" s="84" t="s">
        <v>1372</v>
      </c>
      <c r="E644" s="72">
        <f>SUMIF(Adat!$AG:$AG,CONCATENATE(61,$M$4,"094111",L627),Adat!$E:$E)*-1</f>
        <v>0</v>
      </c>
      <c r="F644" s="72">
        <f>SUMIF(Adat!$AG:$AG,CONCATENATE(60,$M$4,"094111",L627),Adat!$E:$E)*-1+E644</f>
        <v>0</v>
      </c>
      <c r="G644" s="72">
        <f>SUMIF(Adat!$AH:$AH,CONCATENATE($M$4,"(KÖT)","094111",L627),Adat!$E:$E)*-1</f>
        <v>0</v>
      </c>
      <c r="H644" s="72">
        <f>SUMIF(Adat!$AH:$AH,CONCATENATE($M$4,"(ÖNV)","094111",L627),Adat!$E:$E)*-1</f>
        <v>0</v>
      </c>
      <c r="I644" s="72">
        <f>SUMIF(Adat!$AH:$AH,CONCATENATE($M$4,"(ÁIG)","094111",L627),Adat!$E:$E)*-1</f>
        <v>0</v>
      </c>
    </row>
    <row r="645" spans="2:9" x14ac:dyDescent="0.25">
      <c r="B645" s="160">
        <v>16</v>
      </c>
      <c r="C645" s="78" t="s">
        <v>1328</v>
      </c>
      <c r="D645" s="85" t="s">
        <v>437</v>
      </c>
      <c r="E645" s="121">
        <f>SUM(E646:E648)</f>
        <v>0</v>
      </c>
      <c r="F645" s="121">
        <f>SUM(F646:F648)</f>
        <v>0</v>
      </c>
      <c r="G645" s="121">
        <f>SUM(G646:G648)</f>
        <v>0</v>
      </c>
      <c r="H645" s="121">
        <f>SUM(H646:H648)</f>
        <v>0</v>
      </c>
      <c r="I645" s="121">
        <f>SUM(I646:I648)</f>
        <v>0</v>
      </c>
    </row>
    <row r="646" spans="2:9" x14ac:dyDescent="0.2">
      <c r="B646" s="160">
        <v>17</v>
      </c>
      <c r="C646" s="305" t="s">
        <v>1329</v>
      </c>
      <c r="D646" s="82" t="s">
        <v>1330</v>
      </c>
      <c r="E646" s="72">
        <f>SUMIF(Adat!$AG:$AG,CONCATENATE(61,$M$4,"09121",L627),Adat!$E:$E)*-1</f>
        <v>0</v>
      </c>
      <c r="F646" s="72">
        <f>SUMIF(Adat!$AG:$AG,CONCATENATE(60,$M$4,"09121",L627),Adat!$E:$E)*-1+E646</f>
        <v>0</v>
      </c>
      <c r="G646" s="72">
        <f>SUMIF(Adat!$AH:$AH,CONCATENATE($M$4,"(KÖT)","09121",L627),Adat!$E:$E)*-1</f>
        <v>0</v>
      </c>
      <c r="H646" s="72">
        <f>SUMIF(Adat!$AH:$AH,CONCATENATE($M$4,"(ÖNV)","09121",L627),Adat!$E:$E)*-1</f>
        <v>0</v>
      </c>
      <c r="I646" s="72">
        <f>SUMIF(Adat!$AH:$AH,CONCATENATE($M$4,"(ÁIG)","09121",L627),Adat!$E:$E)*-1</f>
        <v>0</v>
      </c>
    </row>
    <row r="647" spans="2:9" x14ac:dyDescent="0.2">
      <c r="B647" s="160">
        <v>18</v>
      </c>
      <c r="C647" s="305" t="s">
        <v>1335</v>
      </c>
      <c r="D647" s="82" t="s">
        <v>1336</v>
      </c>
      <c r="E647" s="72">
        <f>SUMIF(Adat!$AG:$AG,CONCATENATE(61,$M$4,"09151",L627),Adat!$E:$E)*-1</f>
        <v>0</v>
      </c>
      <c r="F647" s="72">
        <f>SUMIF(Adat!$AG:$AG,CONCATENATE(60,$M$4,"09151",L627),Adat!$E:$E)*-1+E647</f>
        <v>0</v>
      </c>
      <c r="G647" s="72">
        <f>SUMIF(Adat!$AH:$AH,CONCATENATE($M$4,"(KÖT)","09151",L627),Adat!$E:$E)*-1</f>
        <v>0</v>
      </c>
      <c r="H647" s="72">
        <f>SUMIF(Adat!$AH:$AH,CONCATENATE($M$4,"(ÖNV)","09151",L627),Adat!$E:$E)*-1</f>
        <v>0</v>
      </c>
      <c r="I647" s="72">
        <f>SUMIF(Adat!$AH:$AH,CONCATENATE($M$4,"(ÁIG)","09151",L627),Adat!$E:$E)*-1</f>
        <v>0</v>
      </c>
    </row>
    <row r="648" spans="2:9" x14ac:dyDescent="0.2">
      <c r="B648" s="160">
        <v>19</v>
      </c>
      <c r="C648" s="305" t="s">
        <v>1278</v>
      </c>
      <c r="D648" s="82" t="s">
        <v>1337</v>
      </c>
      <c r="E648" s="72">
        <f>SUMIF(Adat!$AG:$AG,CONCATENATE(61,$M$4,"09161",L627),Adat!$E:$E)*-1</f>
        <v>0</v>
      </c>
      <c r="F648" s="72">
        <f>SUMIF(Adat!$AG:$AG,CONCATENATE(60,$M$4,"09161",L627),Adat!$E:$E)*-1+E648</f>
        <v>0</v>
      </c>
      <c r="G648" s="72">
        <f>SUMIF(Adat!$AH:$AH,CONCATENATE($M$4,"(KÖT)","09161",L627),Adat!$E:$E)*-1</f>
        <v>0</v>
      </c>
      <c r="H648" s="72">
        <f>SUMIF(Adat!$AH:$AH,CONCATENATE($M$4,"(ÖNV)","09161",L627),Adat!$E:$E)*-1</f>
        <v>0</v>
      </c>
      <c r="I648" s="72">
        <f>SUMIF(Adat!$AH:$AH,CONCATENATE($M$4,"(ÁIG)","09161",L627),Adat!$E:$E)*-1</f>
        <v>0</v>
      </c>
    </row>
    <row r="649" spans="2:9" x14ac:dyDescent="0.25">
      <c r="B649" s="160">
        <v>20</v>
      </c>
      <c r="C649" s="79" t="s">
        <v>27</v>
      </c>
      <c r="D649" s="79" t="s">
        <v>328</v>
      </c>
      <c r="E649" s="71">
        <f>SUMIF(Adat!$AI:$AI,CONCATENATE(61,$M$4,"093",L627),Adat!$E:$E)*-1</f>
        <v>0</v>
      </c>
      <c r="F649" s="71">
        <f>SUMIF(Adat!$AI:$AI,CONCATENATE(60,$M$4,"093",L627),Adat!$E:$E)*-1+E649</f>
        <v>0</v>
      </c>
      <c r="G649" s="71">
        <f>SUMIF(Adat!$AJ:$AJ,CONCATENATE($M$4,"093","(KÖT)",L627),Adat!$E:$E)*-1</f>
        <v>0</v>
      </c>
      <c r="H649" s="71">
        <f>SUMIF(Adat!$AJ:$AJ,CONCATENATE($M$4,"093","(ÖNV)",L627),Adat!$E:$E)*-1</f>
        <v>0</v>
      </c>
      <c r="I649" s="71">
        <f>SUMIF(Adat!$AJ:$AJ,CONCATENATE($M$4,"093","(ÁIG)",L627),Adat!$E:$E)*-1</f>
        <v>0</v>
      </c>
    </row>
    <row r="650" spans="2:9" x14ac:dyDescent="0.25">
      <c r="B650" s="160">
        <v>21</v>
      </c>
      <c r="C650" s="79" t="s">
        <v>24</v>
      </c>
      <c r="D650" s="79" t="s">
        <v>449</v>
      </c>
      <c r="E650" s="121">
        <f>SUM(E651:E653)</f>
        <v>0</v>
      </c>
      <c r="F650" s="121">
        <f t="shared" ref="F650:I650" si="41">SUM(F651:F653)</f>
        <v>0</v>
      </c>
      <c r="G650" s="121">
        <f t="shared" si="41"/>
        <v>0</v>
      </c>
      <c r="H650" s="121">
        <f t="shared" si="41"/>
        <v>0</v>
      </c>
      <c r="I650" s="121">
        <f t="shared" si="41"/>
        <v>0</v>
      </c>
    </row>
    <row r="651" spans="2:9" x14ac:dyDescent="0.2">
      <c r="B651" s="160">
        <v>22</v>
      </c>
      <c r="C651" s="305" t="s">
        <v>1339</v>
      </c>
      <c r="D651" s="82" t="s">
        <v>1340</v>
      </c>
      <c r="E651" s="72">
        <f>SUMIF(Adat!$AG:$AG,CONCATENATE(61,$M$4,"09211",L627),Adat!$E:$E)*-1</f>
        <v>0</v>
      </c>
      <c r="F651" s="72">
        <f>SUMIF(Adat!$AG:$AG,CONCATENATE(60,$M$4,"09211",L627),Adat!$E:$E)*-1+E651</f>
        <v>0</v>
      </c>
      <c r="G651" s="72">
        <f>SUMIF(Adat!$AH:$AH,CONCATENATE($M$4,"(KÖT)","09211",L627),Adat!$E:$E)*-1</f>
        <v>0</v>
      </c>
      <c r="H651" s="72">
        <f>SUMIF(Adat!$AH:$AH,CONCATENATE($M$4,"(ÖNV)","09211",L627),Adat!$E:$E)*-1</f>
        <v>0</v>
      </c>
      <c r="I651" s="72">
        <f>SUMIF(Adat!$AH:$AH,CONCATENATE($M$4,"(ÁIG)","09211",L627),Adat!$E:$E)*-1</f>
        <v>0</v>
      </c>
    </row>
    <row r="652" spans="2:9" x14ac:dyDescent="0.2">
      <c r="B652" s="160">
        <v>23</v>
      </c>
      <c r="C652" s="305" t="s">
        <v>1345</v>
      </c>
      <c r="D652" s="82" t="s">
        <v>1346</v>
      </c>
      <c r="E652" s="72">
        <f>SUMIF(Adat!$AG:$AG,CONCATENATE(61,$M$4,"09241",L627),Adat!$E:$E)*-1</f>
        <v>0</v>
      </c>
      <c r="F652" s="72">
        <f>SUMIF(Adat!$AG:$AG,CONCATENATE(60,$M$4,"09241",L627),Adat!$E:$E)*-1+E652</f>
        <v>0</v>
      </c>
      <c r="G652" s="72">
        <f>SUMIF(Adat!$AH:$AH,CONCATENATE($M$4,"(KÖT)","09241",L627),Adat!$E:$E)*-1</f>
        <v>0</v>
      </c>
      <c r="H652" s="72">
        <f>SUMIF(Adat!$AH:$AH,CONCATENATE($M$4,"(ÖNV)","09241",L627),Adat!$E:$E)*-1</f>
        <v>0</v>
      </c>
      <c r="I652" s="72">
        <f>SUMIF(Adat!$AH:$AH,CONCATENATE($M$4,"(ÁIG)","09241",L627),Adat!$E:$E)*-1</f>
        <v>0</v>
      </c>
    </row>
    <row r="653" spans="2:9" x14ac:dyDescent="0.2">
      <c r="B653" s="160">
        <v>24</v>
      </c>
      <c r="C653" s="305" t="s">
        <v>1255</v>
      </c>
      <c r="D653" s="82" t="s">
        <v>1347</v>
      </c>
      <c r="E653" s="72">
        <f>SUMIF(Adat!$AG:$AG,CONCATENATE(61,$M$4,"09251",L627),Adat!$E:$E)*-1</f>
        <v>0</v>
      </c>
      <c r="F653" s="72">
        <f>SUMIF(Adat!$AG:$AG,CONCATENATE(60,$M$4,"09251",L627),Adat!$E:$E)*-1+E653</f>
        <v>0</v>
      </c>
      <c r="G653" s="72">
        <f>SUMIF(Adat!$AH:$AH,CONCATENATE($M$4,"(KÖT)","09251",L627),Adat!$E:$E)*-1</f>
        <v>0</v>
      </c>
      <c r="H653" s="72">
        <f>SUMIF(Adat!$AH:$AH,CONCATENATE($M$4,"(ÖNV)","09251",L627),Adat!$E:$E)*-1</f>
        <v>0</v>
      </c>
      <c r="I653" s="72">
        <f>SUMIF(Adat!$AH:$AH,CONCATENATE($M$4,"(ÁIG)","09251",L627),Adat!$E:$E)*-1</f>
        <v>0</v>
      </c>
    </row>
    <row r="654" spans="2:9" x14ac:dyDescent="0.25">
      <c r="B654" s="160">
        <v>25</v>
      </c>
      <c r="C654" s="79" t="s">
        <v>33</v>
      </c>
      <c r="D654" s="79" t="s">
        <v>330</v>
      </c>
      <c r="E654" s="121">
        <f>SUM(E655:E657)</f>
        <v>0</v>
      </c>
      <c r="F654" s="121">
        <f t="shared" ref="F654:I654" si="42">SUM(F655:F657)</f>
        <v>0</v>
      </c>
      <c r="G654" s="121">
        <f t="shared" si="42"/>
        <v>0</v>
      </c>
      <c r="H654" s="121">
        <f t="shared" si="42"/>
        <v>0</v>
      </c>
      <c r="I654" s="121">
        <f t="shared" si="42"/>
        <v>0</v>
      </c>
    </row>
    <row r="655" spans="2:9" x14ac:dyDescent="0.2">
      <c r="B655" s="160">
        <v>26</v>
      </c>
      <c r="C655" s="305" t="s">
        <v>1373</v>
      </c>
      <c r="D655" s="82" t="s">
        <v>1374</v>
      </c>
      <c r="E655" s="72">
        <f>SUMIF(Adat!$AG:$AG,CONCATENATE(61,$M$4,"09511",L627),Adat!$E:$E)*-1</f>
        <v>0</v>
      </c>
      <c r="F655" s="72">
        <f>SUMIF(Adat!$AG:$AG,CONCATENATE(60,$M$4,"09511",L627),Adat!$E:$E)*-1+E655</f>
        <v>0</v>
      </c>
      <c r="G655" s="72">
        <f>SUMIF(Adat!$AH:$AH,CONCATENATE($M$4,"(KÖT)","09511",L627),Adat!$E:$E)*-1</f>
        <v>0</v>
      </c>
      <c r="H655" s="72">
        <f>SUMIF(Adat!$AH:$AH,CONCATENATE($M$4,"(ÖNV)","09511",L627),Adat!$E:$E)*-1</f>
        <v>0</v>
      </c>
      <c r="I655" s="72">
        <f>SUMIF(Adat!$AH:$AH,CONCATENATE($M$4,"(ÁIG)","09511",L627),Adat!$E:$E)*-1</f>
        <v>0</v>
      </c>
    </row>
    <row r="656" spans="2:9" x14ac:dyDescent="0.2">
      <c r="B656" s="160">
        <v>27</v>
      </c>
      <c r="C656" s="305" t="s">
        <v>1294</v>
      </c>
      <c r="D656" s="82" t="s">
        <v>1375</v>
      </c>
      <c r="E656" s="72">
        <f>SUMIF(Adat!$AG:$AG,CONCATENATE(61,$M$4,"09521",L627),Adat!$E:$E)*-1</f>
        <v>0</v>
      </c>
      <c r="F656" s="72">
        <f>SUMIF(Adat!$AG:$AG,CONCATENATE(60,$M$4,"09521",L627),Adat!$E:$E)*-1+E656</f>
        <v>0</v>
      </c>
      <c r="G656" s="72">
        <f>SUMIF(Adat!$AH:$AH,CONCATENATE($M$4,"(KÖT)","09521",L627),Adat!$E:$E)*-1</f>
        <v>0</v>
      </c>
      <c r="H656" s="72">
        <f>SUMIF(Adat!$AH:$AH,CONCATENATE($M$4,"(ÖNV)","09521",L627),Adat!$E:$E)*-1</f>
        <v>0</v>
      </c>
      <c r="I656" s="72">
        <f>SUMIF(Adat!$AH:$AH,CONCATENATE($M$4,"(ÁIG)","09521",L627),Adat!$E:$E)*-1</f>
        <v>0</v>
      </c>
    </row>
    <row r="657" spans="2:12" x14ac:dyDescent="0.2">
      <c r="B657" s="160">
        <v>28</v>
      </c>
      <c r="C657" s="305" t="s">
        <v>1376</v>
      </c>
      <c r="D657" s="82" t="s">
        <v>1377</v>
      </c>
      <c r="E657" s="72">
        <f>SUMIF(Adat!$AG:$AG,CONCATENATE(61,$M$4,"09531",L627),Adat!$E:$E)*-1</f>
        <v>0</v>
      </c>
      <c r="F657" s="72">
        <f>SUMIF(Adat!$AG:$AG,CONCATENATE(60,$M$4,"09531",L627),Adat!$E:$E)*-1+E657</f>
        <v>0</v>
      </c>
      <c r="G657" s="72">
        <f>SUMIF(Adat!$AH:$AH,CONCATENATE($M$4,"(KÖT)","09531",L627),Adat!$E:$E)*-1</f>
        <v>0</v>
      </c>
      <c r="H657" s="72">
        <f>SUMIF(Adat!$AH:$AH,CONCATENATE($M$4,"(ÖNV)","09531",L627),Adat!$E:$E)*-1</f>
        <v>0</v>
      </c>
      <c r="I657" s="72">
        <f>SUMIF(Adat!$AH:$AH,CONCATENATE($M$4,"(ÁIG)","09531",L627),Adat!$E:$E)*-1</f>
        <v>0</v>
      </c>
    </row>
    <row r="658" spans="2:12" x14ac:dyDescent="0.25">
      <c r="B658" s="160">
        <v>29</v>
      </c>
      <c r="C658" s="79" t="s">
        <v>36</v>
      </c>
      <c r="D658" s="79" t="s">
        <v>331</v>
      </c>
      <c r="E658" s="71">
        <f>SUMIF(Adat!$AI:$AI,CONCATENATE(61,$M$4,"096",L627),Adat!$E:$E)*-1</f>
        <v>0</v>
      </c>
      <c r="F658" s="71">
        <f>SUMIF(Adat!$AI:$AI,CONCATENATE(60,$M$4,"096",L627),Adat!$E:$E)*-1+E658</f>
        <v>0</v>
      </c>
      <c r="G658" s="71">
        <f>SUMIF(Adat!$AJ:$AJ,CONCATENATE($M$4,"096","(KÖT)",L627),Adat!$E:$E)*-1</f>
        <v>0</v>
      </c>
      <c r="H658" s="71">
        <f>SUMIF(Adat!$AJ:$AJ,CONCATENATE($M$4,"096","(ÖNV)",L627),Adat!$E:$E)*-1</f>
        <v>0</v>
      </c>
      <c r="I658" s="71">
        <f>SUMIF(Adat!$AJ:$AJ,CONCATENATE($M$4,"096","(ÁIG)",L627),Adat!$E:$E)*-1</f>
        <v>0</v>
      </c>
    </row>
    <row r="659" spans="2:12" x14ac:dyDescent="0.25">
      <c r="B659" s="160">
        <v>30</v>
      </c>
      <c r="C659" s="79" t="s">
        <v>38</v>
      </c>
      <c r="D659" s="85" t="s">
        <v>332</v>
      </c>
      <c r="E659" s="71">
        <f>SUMIF(Adat!$AI:$AI,CONCATENATE(61,$M$4,"097",L627),Adat!$E:$E)*-1</f>
        <v>0</v>
      </c>
      <c r="F659" s="71">
        <f>SUMIF(Adat!$AI:$AI,CONCATENATE(60,$M$4,"097",L627),Adat!$E:$E)*-1+E659</f>
        <v>0</v>
      </c>
      <c r="G659" s="71">
        <f>SUMIF(Adat!$AJ:$AJ,CONCATENATE($M$4,"097","(KÖT)",L627),Adat!$E:$E)*-1</f>
        <v>0</v>
      </c>
      <c r="H659" s="71">
        <f>SUMIF(Adat!$AJ:$AJ,CONCATENATE($M$4,"097","(ÖNV)",L627),Adat!$E:$E)*-1</f>
        <v>0</v>
      </c>
      <c r="I659" s="71">
        <f>SUMIF(Adat!$AJ:$AJ,CONCATENATE($M$4,"097","(ÁIG)",L627),Adat!$E:$E)*-1</f>
        <v>0</v>
      </c>
    </row>
    <row r="660" spans="2:12" x14ac:dyDescent="0.25">
      <c r="B660" s="160">
        <v>31</v>
      </c>
      <c r="C660" s="154" t="s">
        <v>352</v>
      </c>
      <c r="D660" s="86" t="s">
        <v>1500</v>
      </c>
      <c r="E660" s="121">
        <f>E631+E645+E649+E650+E654+E658+E659</f>
        <v>0</v>
      </c>
      <c r="F660" s="121">
        <f>F631+F645+F649+F650+F654+F658+F659</f>
        <v>0</v>
      </c>
      <c r="G660" s="121">
        <f>G631+G645+G649+G650+G654+G658+G659</f>
        <v>0</v>
      </c>
      <c r="H660" s="121">
        <f>H631+H645+H649+H650+H654+H658+H659</f>
        <v>0</v>
      </c>
      <c r="I660" s="121">
        <f>I631+I645+I649+I650+I654+I658+I659</f>
        <v>0</v>
      </c>
    </row>
    <row r="661" spans="2:12" x14ac:dyDescent="0.25">
      <c r="B661" s="160">
        <v>32</v>
      </c>
      <c r="C661" s="154" t="s">
        <v>358</v>
      </c>
      <c r="D661" s="86" t="s">
        <v>333</v>
      </c>
      <c r="E661" s="121">
        <f>SUM(E662:E664)</f>
        <v>0</v>
      </c>
      <c r="F661" s="121">
        <f t="shared" ref="F661:I661" si="43">SUM(F662:F664)</f>
        <v>0</v>
      </c>
      <c r="G661" s="121">
        <f t="shared" si="43"/>
        <v>0</v>
      </c>
      <c r="H661" s="121">
        <f t="shared" si="43"/>
        <v>0</v>
      </c>
      <c r="I661" s="121">
        <f t="shared" si="43"/>
        <v>0</v>
      </c>
    </row>
    <row r="662" spans="2:12" x14ac:dyDescent="0.2">
      <c r="B662" s="160">
        <v>33</v>
      </c>
      <c r="C662" s="305" t="s">
        <v>1274</v>
      </c>
      <c r="D662" s="82" t="s">
        <v>1419</v>
      </c>
      <c r="E662" s="72">
        <f>SUMIF(Adat!$AG:$AG,CONCATENATE(61,$M$4,"0981311",L627),Adat!$E:$E)*-1</f>
        <v>0</v>
      </c>
      <c r="F662" s="72">
        <f>SUMIF(Adat!$AG:$AG,CONCATENATE(60,$M$4,"0981311",L627),Adat!$E:$E)*-1+E662</f>
        <v>0</v>
      </c>
      <c r="G662" s="72">
        <f>SUMIF(Adat!$AH:$AH,CONCATENATE($M$4,"(KÖT)","0981311",L627),Adat!$E:$E)*-1</f>
        <v>0</v>
      </c>
      <c r="H662" s="72">
        <f>SUMIF(Adat!$AH:$AH,CONCATENATE($M$4,"(ÖNV)","0981311",L627),Adat!$E:$E)*-1</f>
        <v>0</v>
      </c>
      <c r="I662" s="72">
        <f>SUMIF(Adat!$AH:$AH,CONCATENATE($M$4,"(ÁIG)","0981311",L627),Adat!$E:$E)*-1</f>
        <v>0</v>
      </c>
    </row>
    <row r="663" spans="2:12" x14ac:dyDescent="0.25">
      <c r="B663" s="160">
        <v>34</v>
      </c>
      <c r="C663" s="305" t="s">
        <v>1420</v>
      </c>
      <c r="D663" s="84" t="s">
        <v>1421</v>
      </c>
      <c r="E663" s="72">
        <f>SUMIF(Adat!$AG:$AG,CONCATENATE(61,$M$4,"0981321",L627),Adat!$E:$E)*-1</f>
        <v>0</v>
      </c>
      <c r="F663" s="72">
        <f>SUMIF(Adat!$AG:$AG,CONCATENATE(60,$M$4,"0981321",L627),Adat!$E:$E)*-1+E663</f>
        <v>0</v>
      </c>
      <c r="G663" s="72">
        <f>SUMIF(Adat!$AH:$AH,CONCATENATE($M$4,"(KÖT)","0981321",L627),Adat!$E:$E)*-1</f>
        <v>0</v>
      </c>
      <c r="H663" s="72">
        <f>SUMIF(Adat!$AH:$AH,CONCATENATE($M$4,"(ÖNV)","0981321",L627),Adat!$E:$E)*-1</f>
        <v>0</v>
      </c>
      <c r="I663" s="72">
        <f>SUMIF(Adat!$AH:$AH,CONCATENATE($M$4,"(ÁIG)","0981321",L627),Adat!$E:$E)*-1</f>
        <v>0</v>
      </c>
    </row>
    <row r="664" spans="2:12" x14ac:dyDescent="0.25">
      <c r="B664" s="160">
        <v>35</v>
      </c>
      <c r="C664" s="319" t="s">
        <v>1275</v>
      </c>
      <c r="D664" s="84" t="s">
        <v>1501</v>
      </c>
      <c r="E664" s="72">
        <f>SUMIF(Adat!$AG:$AG,CONCATENATE(61,$M$4,"098161",L627),Adat!$E:$E)*-1</f>
        <v>0</v>
      </c>
      <c r="F664" s="72">
        <f>SUMIF(Adat!$AG:$AG,CONCATENATE(60,$M$4,"098161",L627),Adat!$E:$E)*-1+E664</f>
        <v>0</v>
      </c>
      <c r="G664" s="72">
        <f>SUMIF(Adat!$AH:$AH,CONCATENATE($M$4,"(KÖT)","098161",L627),Adat!$E:$E)*-1</f>
        <v>0</v>
      </c>
      <c r="H664" s="72">
        <f>SUMIF(Adat!$AH:$AH,CONCATENATE($M$4,"(ÖNV)","098161",L627),Adat!$E:$E)*-1</f>
        <v>0</v>
      </c>
      <c r="I664" s="72">
        <f>SUMIF(Adat!$AH:$AH,CONCATENATE($M$4,"(ÁIG)","098161",L627),Adat!$E:$E)*-1</f>
        <v>0</v>
      </c>
    </row>
    <row r="665" spans="2:12" x14ac:dyDescent="0.25">
      <c r="B665" s="160">
        <v>36</v>
      </c>
      <c r="C665" s="154" t="s">
        <v>364</v>
      </c>
      <c r="D665" s="159" t="s">
        <v>1502</v>
      </c>
      <c r="E665" s="121">
        <f>+E660+E661</f>
        <v>0</v>
      </c>
      <c r="F665" s="121">
        <f>+F660+F661</f>
        <v>0</v>
      </c>
      <c r="G665" s="121">
        <f>+G660+G661</f>
        <v>0</v>
      </c>
      <c r="H665" s="121">
        <f>+H660+H661</f>
        <v>0</v>
      </c>
      <c r="I665" s="121">
        <f>+I660+I661</f>
        <v>0</v>
      </c>
    </row>
    <row r="666" spans="2:12" ht="15.75" x14ac:dyDescent="0.25">
      <c r="B666" s="38"/>
      <c r="C666" s="156"/>
      <c r="D666" s="38"/>
      <c r="E666" s="140"/>
      <c r="F666" s="140"/>
      <c r="G666" s="140"/>
      <c r="H666" s="140"/>
      <c r="I666" s="140"/>
    </row>
    <row r="667" spans="2:12" s="10" customFormat="1" ht="15.75" customHeight="1" x14ac:dyDescent="0.25">
      <c r="B667" s="201" t="str">
        <f>CONCATENATE("22. Kiadási jogcímek"," - ",L667," részletező")</f>
        <v>22. Kiadási jogcímek -  részletező</v>
      </c>
      <c r="C667" s="101"/>
      <c r="D667" s="101"/>
      <c r="E667" s="101"/>
      <c r="F667" s="101"/>
      <c r="G667" s="198"/>
      <c r="H667" s="198"/>
      <c r="I667" s="198"/>
      <c r="L667" s="384"/>
    </row>
    <row r="668" spans="2:12" ht="15.75" x14ac:dyDescent="0.25">
      <c r="B668" s="38"/>
      <c r="C668" s="156"/>
      <c r="D668" s="38"/>
      <c r="E668" s="140"/>
      <c r="F668" s="140"/>
      <c r="G668" s="140"/>
      <c r="H668" s="140"/>
      <c r="I668" s="140"/>
    </row>
    <row r="669" spans="2:12" x14ac:dyDescent="0.25">
      <c r="B669" s="77"/>
      <c r="C669" s="77" t="s">
        <v>350</v>
      </c>
      <c r="D669" s="77" t="s">
        <v>351</v>
      </c>
      <c r="E669" s="77" t="s">
        <v>470</v>
      </c>
      <c r="F669" s="77" t="s">
        <v>471</v>
      </c>
      <c r="G669" s="77" t="s">
        <v>44</v>
      </c>
      <c r="H669" s="77" t="s">
        <v>42</v>
      </c>
      <c r="I669" s="77" t="s">
        <v>511</v>
      </c>
    </row>
    <row r="670" spans="2:12" ht="38.25" x14ac:dyDescent="0.25">
      <c r="B670" s="160">
        <v>1</v>
      </c>
      <c r="C670" s="154" t="s">
        <v>593</v>
      </c>
      <c r="D670" s="154" t="s">
        <v>488</v>
      </c>
      <c r="E670" s="163" t="str">
        <f>CONCATENATE(PAR!$H$3," évi
eredeti 
előirányzat")</f>
        <v>2025. évi
eredeti 
előirányzat</v>
      </c>
      <c r="F670" s="163" t="str">
        <f>CONCATENATE(PAR!$H$3," évi
módosított 
előirányzat")</f>
        <v>2025. évi
módosított 
előirányzat</v>
      </c>
      <c r="G670" s="78" t="s">
        <v>666</v>
      </c>
      <c r="H670" s="78" t="s">
        <v>667</v>
      </c>
      <c r="I670" s="78" t="s">
        <v>668</v>
      </c>
    </row>
    <row r="671" spans="2:12" x14ac:dyDescent="0.25">
      <c r="B671" s="160">
        <v>2</v>
      </c>
      <c r="C671" s="78" t="s">
        <v>352</v>
      </c>
      <c r="D671" s="92" t="s">
        <v>1444</v>
      </c>
      <c r="E671" s="121">
        <f>SUM(E672:E676)</f>
        <v>0</v>
      </c>
      <c r="F671" s="121">
        <f>SUM(F672:F676)</f>
        <v>0</v>
      </c>
      <c r="G671" s="121">
        <f>SUM(G672:G676)</f>
        <v>0</v>
      </c>
      <c r="H671" s="121">
        <f>SUM(H672:H676)</f>
        <v>0</v>
      </c>
      <c r="I671" s="121">
        <f>SUM(I672:I676)</f>
        <v>0</v>
      </c>
    </row>
    <row r="672" spans="2:12" x14ac:dyDescent="0.25">
      <c r="B672" s="160">
        <v>3</v>
      </c>
      <c r="C672" s="305" t="s">
        <v>315</v>
      </c>
      <c r="D672" s="93" t="s">
        <v>342</v>
      </c>
      <c r="E672" s="72">
        <f>SUMIF(Adat!$AI:$AI,CONCATENATE(61,$M$4,"051",L667),Adat!$E:$E)</f>
        <v>0</v>
      </c>
      <c r="F672" s="72">
        <f>SUMIF(Adat!$AI:$AI,CONCATENATE(60,$M$4,"051",L667),Adat!$E:$E)+E672</f>
        <v>0</v>
      </c>
      <c r="G672" s="72">
        <f>SUMIF(Adat!$AJ:$AJ,CONCATENATE($M$4,"051","(KÖT)",L667),Adat!$E:$E)</f>
        <v>0</v>
      </c>
      <c r="H672" s="72">
        <f>SUMIF(Adat!$AJ:$AJ,CONCATENATE($M$4,"051","(ÖNV)",L667),Adat!$E:$E)</f>
        <v>0</v>
      </c>
      <c r="I672" s="72">
        <f>SUMIF(Adat!$AJ:$AJ,CONCATENATE($M$4,"051","(ÁIG)",L667),Adat!$E:$E)</f>
        <v>0</v>
      </c>
    </row>
    <row r="673" spans="2:9" x14ac:dyDescent="0.25">
      <c r="B673" s="160">
        <v>4</v>
      </c>
      <c r="C673" s="305" t="s">
        <v>317</v>
      </c>
      <c r="D673" s="93" t="s">
        <v>395</v>
      </c>
      <c r="E673" s="72">
        <f>SUMIF(Adat!$AI:$AI,CONCATENATE(61,$M$4,"052",L667),Adat!$E:$E)</f>
        <v>0</v>
      </c>
      <c r="F673" s="72">
        <f>SUMIF(Adat!$AI:$AI,CONCATENATE(60,$M$4,"052",L667),Adat!$E:$E)+E673</f>
        <v>0</v>
      </c>
      <c r="G673" s="72">
        <f>SUMIF(Adat!$AJ:$AJ,CONCATENATE($M$4,"052","(KÖT)",L667),Adat!$E:$E)</f>
        <v>0</v>
      </c>
      <c r="H673" s="72">
        <f>SUMIF(Adat!$AJ:$AJ,CONCATENATE($M$4,"052","(ÖNV)",L667),Adat!$E:$E)</f>
        <v>0</v>
      </c>
      <c r="I673" s="72">
        <f>SUMIF(Adat!$AJ:$AJ,CONCATENATE($M$4,"052","(ÁIG)",L667),Adat!$E:$E)</f>
        <v>0</v>
      </c>
    </row>
    <row r="674" spans="2:9" x14ac:dyDescent="0.25">
      <c r="B674" s="160">
        <v>5</v>
      </c>
      <c r="C674" s="305" t="s">
        <v>4</v>
      </c>
      <c r="D674" s="93" t="s">
        <v>344</v>
      </c>
      <c r="E674" s="72">
        <f>SUMIF(Adat!$AI:$AI,CONCATENATE(61,$M$4,"053",L667),Adat!$E:$E)</f>
        <v>0</v>
      </c>
      <c r="F674" s="72">
        <f>SUMIF(Adat!$AI:$AI,CONCATENATE(60,$M$4,"053",L667),Adat!$E:$E)+E674</f>
        <v>0</v>
      </c>
      <c r="G674" s="72">
        <f>SUMIF(Adat!$AJ:$AJ,CONCATENATE($M$4,"053","(KÖT)",L667),Adat!$E:$E)</f>
        <v>0</v>
      </c>
      <c r="H674" s="72">
        <f>SUMIF(Adat!$AJ:$AJ,CONCATENATE($M$4,"053","(ÖNV)",L667),Adat!$E:$E)</f>
        <v>0</v>
      </c>
      <c r="I674" s="72">
        <f>SUMIF(Adat!$AJ:$AJ,CONCATENATE($M$4,"053","(ÁIG)",L667),Adat!$E:$E)</f>
        <v>0</v>
      </c>
    </row>
    <row r="675" spans="2:9" x14ac:dyDescent="0.25">
      <c r="B675" s="160">
        <v>6</v>
      </c>
      <c r="C675" s="305" t="s">
        <v>6</v>
      </c>
      <c r="D675" s="93" t="s">
        <v>345</v>
      </c>
      <c r="E675" s="72">
        <f>SUMIF(Adat!$AI:$AI,CONCATENATE(61,$M$4,"054",L667),Adat!$E:$E)</f>
        <v>0</v>
      </c>
      <c r="F675" s="72">
        <f>SUMIF(Adat!$AI:$AI,CONCATENATE(60,$M$4,"054",L667),Adat!$E:$E)+E675</f>
        <v>0</v>
      </c>
      <c r="G675" s="72">
        <f>SUMIF(Adat!$AJ:$AJ,CONCATENATE($M$4,"054","(KÖT)",L667),Adat!$E:$E)</f>
        <v>0</v>
      </c>
      <c r="H675" s="72">
        <f>SUMIF(Adat!$AJ:$AJ,CONCATENATE($M$4,"054","(ÖNV)",L667),Adat!$E:$E)</f>
        <v>0</v>
      </c>
      <c r="I675" s="72">
        <f>SUMIF(Adat!$AJ:$AJ,CONCATENATE($M$4,"054","(ÁIG)",L667),Adat!$E:$E)</f>
        <v>0</v>
      </c>
    </row>
    <row r="676" spans="2:9" x14ac:dyDescent="0.25">
      <c r="B676" s="160">
        <v>7</v>
      </c>
      <c r="C676" s="305" t="s">
        <v>8</v>
      </c>
      <c r="D676" s="93" t="s">
        <v>321</v>
      </c>
      <c r="E676" s="72">
        <f>SUMIF(Adat!$AI:$AI,CONCATENATE(61,$M$4,"055",L667),Adat!$E:$E)</f>
        <v>0</v>
      </c>
      <c r="F676" s="72">
        <f>SUMIF(Adat!$AI:$AI,CONCATENATE(60,$M$4,"055",L667),Adat!$E:$E)+E676</f>
        <v>0</v>
      </c>
      <c r="G676" s="72">
        <f>SUMIF(Adat!$AJ:$AJ,CONCATENATE($M$4,"055","(KÖT)",L667),Adat!$E:$E)</f>
        <v>0</v>
      </c>
      <c r="H676" s="72">
        <f>SUMIF(Adat!$AJ:$AJ,CONCATENATE($M$4,"055","(ÖNV)",L667),Adat!$E:$E)</f>
        <v>0</v>
      </c>
      <c r="I676" s="72">
        <f>SUMIF(Adat!$AJ:$AJ,CONCATENATE($M$4,"055","(ÁIG)",L667),Adat!$E:$E)</f>
        <v>0</v>
      </c>
    </row>
    <row r="677" spans="2:9" x14ac:dyDescent="0.25">
      <c r="B677" s="160">
        <v>8</v>
      </c>
      <c r="C677" s="78" t="s">
        <v>358</v>
      </c>
      <c r="D677" s="92" t="s">
        <v>1447</v>
      </c>
      <c r="E677" s="121">
        <f>E678+E680+E682</f>
        <v>0</v>
      </c>
      <c r="F677" s="121">
        <f>F678+F680+F682</f>
        <v>0</v>
      </c>
      <c r="G677" s="121">
        <f>G678+G680+G682</f>
        <v>0</v>
      </c>
      <c r="H677" s="121">
        <f>H678+H680+H682</f>
        <v>0</v>
      </c>
      <c r="I677" s="121">
        <f>I678+I680+I682</f>
        <v>0</v>
      </c>
    </row>
    <row r="678" spans="2:9" x14ac:dyDescent="0.25">
      <c r="B678" s="160">
        <v>9</v>
      </c>
      <c r="C678" s="305" t="s">
        <v>10</v>
      </c>
      <c r="D678" s="93" t="s">
        <v>322</v>
      </c>
      <c r="E678" s="72">
        <f>SUMIF(Adat!$AI:$AI,CONCATENATE(61,$M$4,"056",L667),Adat!$E:$E)</f>
        <v>0</v>
      </c>
      <c r="F678" s="72">
        <f>SUMIF(Adat!$AI:$AI,CONCATENATE(60,$M$4,"056",L667),Adat!$E:$E)+E678</f>
        <v>0</v>
      </c>
      <c r="G678" s="72">
        <f>SUMIF(Adat!$AJ:$AJ,CONCATENATE($M$4,"056","(KÖT)",L667),Adat!$E:$E)</f>
        <v>0</v>
      </c>
      <c r="H678" s="72">
        <f>SUMIF(Adat!$AJ:$AJ,CONCATENATE($M$4,"056","(ÖNV)",L667),Adat!$E:$E)</f>
        <v>0</v>
      </c>
      <c r="I678" s="72">
        <f>SUMIF(Adat!$AJ:$AJ,CONCATENATE($M$4,"056","(ÁIG)",L667),Adat!$E:$E)</f>
        <v>0</v>
      </c>
    </row>
    <row r="679" spans="2:9" x14ac:dyDescent="0.25">
      <c r="B679" s="160">
        <v>10</v>
      </c>
      <c r="C679" s="305" t="s">
        <v>10</v>
      </c>
      <c r="D679" s="93" t="s">
        <v>1448</v>
      </c>
      <c r="E679" s="72">
        <v>0</v>
      </c>
      <c r="F679" s="72">
        <f>SUM(G679:I679)</f>
        <v>0</v>
      </c>
      <c r="G679" s="72">
        <v>0</v>
      </c>
      <c r="H679" s="72">
        <v>0</v>
      </c>
      <c r="I679" s="72">
        <v>0</v>
      </c>
    </row>
    <row r="680" spans="2:9" x14ac:dyDescent="0.25">
      <c r="B680" s="160">
        <v>11</v>
      </c>
      <c r="C680" s="305" t="s">
        <v>12</v>
      </c>
      <c r="D680" s="93" t="s">
        <v>323</v>
      </c>
      <c r="E680" s="72">
        <f>SUMIF(Adat!$AI:$AI,CONCATENATE(61,$M$4,"057",L667),Adat!$E:$E)</f>
        <v>0</v>
      </c>
      <c r="F680" s="72">
        <f>SUMIF(Adat!$AI:$AI,CONCATENATE(60,$M$4,"057",L667),Adat!$E:$E)+E680</f>
        <v>0</v>
      </c>
      <c r="G680" s="72">
        <f>SUMIF(Adat!$AJ:$AJ,CONCATENATE($M$4,"057","(KÖT)",L667),Adat!$E:$E)</f>
        <v>0</v>
      </c>
      <c r="H680" s="72">
        <f>SUMIF(Adat!$AJ:$AJ,CONCATENATE($M$4,"057","(ÖNV)",L667),Adat!$E:$E)</f>
        <v>0</v>
      </c>
      <c r="I680" s="72">
        <f>SUMIF(Adat!$AJ:$AJ,CONCATENATE($M$4,"057","(ÁIG)",L667),Adat!$E:$E)</f>
        <v>0</v>
      </c>
    </row>
    <row r="681" spans="2:9" x14ac:dyDescent="0.25">
      <c r="B681" s="160">
        <v>12</v>
      </c>
      <c r="C681" s="305" t="s">
        <v>12</v>
      </c>
      <c r="D681" s="93" t="s">
        <v>1449</v>
      </c>
      <c r="E681" s="72">
        <v>0</v>
      </c>
      <c r="F681" s="72">
        <f>SUM(G681:I681)</f>
        <v>0</v>
      </c>
      <c r="G681" s="72">
        <v>0</v>
      </c>
      <c r="H681" s="72">
        <v>0</v>
      </c>
      <c r="I681" s="72">
        <v>0</v>
      </c>
    </row>
    <row r="682" spans="2:9" x14ac:dyDescent="0.25">
      <c r="B682" s="160">
        <v>13</v>
      </c>
      <c r="C682" s="305" t="s">
        <v>15</v>
      </c>
      <c r="D682" s="84" t="s">
        <v>324</v>
      </c>
      <c r="E682" s="72">
        <f>SUMIF(Adat!$AI:$AI,CONCATENATE(61,$M$4,"058",L667),Adat!$E:$E)</f>
        <v>0</v>
      </c>
      <c r="F682" s="72">
        <f>SUMIF(Adat!$AI:$AI,CONCATENATE(60,$M$4,"058",L667),Adat!$E:$E)+E682</f>
        <v>0</v>
      </c>
      <c r="G682" s="72">
        <f>SUMIF(Adat!$AJ:$AJ,CONCATENATE($M$4,"058","(KÖT)",L667),Adat!$E:$E)</f>
        <v>0</v>
      </c>
      <c r="H682" s="72">
        <f>SUMIF(Adat!$AJ:$AJ,CONCATENATE($M$4,"058","(ÖNV)",L667),Adat!$E:$E)</f>
        <v>0</v>
      </c>
      <c r="I682" s="72">
        <f>SUMIF(Adat!$AJ:$AJ,CONCATENATE($M$4,"058","(ÁIG)",L667),Adat!$E:$E)</f>
        <v>0</v>
      </c>
    </row>
    <row r="683" spans="2:9" x14ac:dyDescent="0.25">
      <c r="B683" s="160">
        <v>14</v>
      </c>
      <c r="C683" s="154" t="s">
        <v>364</v>
      </c>
      <c r="D683" s="86" t="s">
        <v>325</v>
      </c>
      <c r="E683" s="71">
        <f>SUMIF(Adat!$AI:$AI,CONCATENATE(61,$M$4,"059",L667),Adat!$E:$E)</f>
        <v>0</v>
      </c>
      <c r="F683" s="71">
        <f>SUMIF(Adat!$AI:$AI,CONCATENATE(60,$M$4,"059",L667),Adat!$E:$E)+E683</f>
        <v>0</v>
      </c>
      <c r="G683" s="71">
        <f>SUMIF(Adat!$AJ:$AJ,CONCATENATE($M$4,"059","(KÖT)",L667),Adat!$E:$E)</f>
        <v>0</v>
      </c>
      <c r="H683" s="71">
        <f>SUMIF(Adat!$AJ:$AJ,CONCATENATE($M$4,"059","(ÖNV)",L667),Adat!$E:$E)</f>
        <v>0</v>
      </c>
      <c r="I683" s="71">
        <f>SUMIF(Adat!$AJ:$AJ,CONCATENATE($M$4,"059","(ÁIG)",L667),Adat!$E:$E)</f>
        <v>0</v>
      </c>
    </row>
    <row r="684" spans="2:9" x14ac:dyDescent="0.25">
      <c r="B684" s="160">
        <v>15</v>
      </c>
      <c r="C684" s="154" t="s">
        <v>403</v>
      </c>
      <c r="D684" s="159" t="s">
        <v>497</v>
      </c>
      <c r="E684" s="121">
        <f>E671+E677+E683</f>
        <v>0</v>
      </c>
      <c r="F684" s="121">
        <f>F671+F677+F683</f>
        <v>0</v>
      </c>
      <c r="G684" s="121">
        <f>G671+G677+G683</f>
        <v>0</v>
      </c>
      <c r="H684" s="121">
        <f>H671+H677+H683</f>
        <v>0</v>
      </c>
      <c r="I684" s="121">
        <f>I671+I677+I683</f>
        <v>0</v>
      </c>
    </row>
  </sheetData>
  <sheetProtection algorithmName="SHA-512" hashValue="eaRnd/U2hnwKDXO1GnYAWfwOX3Bqzwi0VixGf4MDhFsNPi9xAM09ekXXc/+5kl5Q3x6XWq2T7lW/6QmlqBnCpQ==" saltValue="5LxDVa1tT2ag413iYvbMiA==" spinCount="100000" sheet="1" formatCells="0" formatColumns="0" formatRows="0"/>
  <mergeCells count="34">
    <mergeCell ref="C189:E189"/>
    <mergeCell ref="B190:I190"/>
    <mergeCell ref="B191:I191"/>
    <mergeCell ref="C3:E3"/>
    <mergeCell ref="B2:I2"/>
    <mergeCell ref="B4:I4"/>
    <mergeCell ref="B5:I5"/>
    <mergeCell ref="C65:E65"/>
    <mergeCell ref="B66:I66"/>
    <mergeCell ref="C127:E127"/>
    <mergeCell ref="B128:I128"/>
    <mergeCell ref="B129:I129"/>
    <mergeCell ref="B67:I67"/>
    <mergeCell ref="B501:I501"/>
    <mergeCell ref="C561:E561"/>
    <mergeCell ref="B315:I315"/>
    <mergeCell ref="C375:E375"/>
    <mergeCell ref="B376:I376"/>
    <mergeCell ref="B377:I377"/>
    <mergeCell ref="C437:E437"/>
    <mergeCell ref="B438:I438"/>
    <mergeCell ref="B439:I439"/>
    <mergeCell ref="C499:E499"/>
    <mergeCell ref="B500:I500"/>
    <mergeCell ref="C251:E251"/>
    <mergeCell ref="B252:I252"/>
    <mergeCell ref="B253:I253"/>
    <mergeCell ref="C313:E313"/>
    <mergeCell ref="B314:I314"/>
    <mergeCell ref="B562:I562"/>
    <mergeCell ref="B563:I563"/>
    <mergeCell ref="C623:E623"/>
    <mergeCell ref="B624:I624"/>
    <mergeCell ref="B625:I62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0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31E8F-4298-4802-B54D-3EFF4F259E45}">
  <sheetPr>
    <tabColor theme="7" tint="0.39997558519241921"/>
    <pageSetUpPr fitToPage="1"/>
  </sheetPr>
  <dimension ref="B1:R684"/>
  <sheetViews>
    <sheetView view="pageBreakPreview" topLeftCell="A38" zoomScaleSheetLayoutView="100" workbookViewId="0"/>
  </sheetViews>
  <sheetFormatPr defaultColWidth="9" defaultRowHeight="12.75" x14ac:dyDescent="0.25"/>
  <cols>
    <col min="1" max="1" width="0.875" style="35" customWidth="1"/>
    <col min="2" max="2" width="5.625" style="35" customWidth="1"/>
    <col min="3" max="3" width="7.625" style="44" customWidth="1"/>
    <col min="4" max="4" width="57.625" style="35" customWidth="1"/>
    <col min="5" max="9" width="12.625" style="35" customWidth="1"/>
    <col min="10" max="11" width="0.875" style="35" customWidth="1"/>
    <col min="12" max="12" width="5.625" style="35" customWidth="1"/>
    <col min="13" max="13" width="8.625" style="35" customWidth="1"/>
    <col min="14" max="17" width="9.125" style="35" customWidth="1"/>
    <col min="18" max="18" width="29.875" style="35" customWidth="1"/>
    <col min="19" max="16384" width="9" style="35"/>
  </cols>
  <sheetData>
    <row r="1" spans="2:14" ht="6" customHeight="1" x14ac:dyDescent="0.25"/>
    <row r="2" spans="2:14" s="37" customFormat="1" ht="15.75" x14ac:dyDescent="0.25">
      <c r="B2" s="524" t="str">
        <f>CONCATENATE(Index!C33," a(z) ",Index!E16," önkormányzati rendelethez")</f>
        <v>14.  melléklet a(z) .../2025. (...) önkormányzati rendelethez</v>
      </c>
      <c r="C2" s="524"/>
      <c r="D2" s="524"/>
      <c r="E2" s="524"/>
      <c r="F2" s="524"/>
      <c r="G2" s="524"/>
      <c r="H2" s="524"/>
      <c r="I2" s="524"/>
    </row>
    <row r="3" spans="2:14" s="37" customFormat="1" ht="15.75" x14ac:dyDescent="0.25">
      <c r="C3" s="529"/>
      <c r="D3" s="529"/>
      <c r="E3" s="529"/>
      <c r="F3" s="200"/>
      <c r="G3" s="200"/>
      <c r="H3" s="200"/>
      <c r="I3" s="200"/>
    </row>
    <row r="4" spans="2:14" s="38" customFormat="1" ht="15.75" x14ac:dyDescent="0.25">
      <c r="B4" s="525" t="str">
        <f>$N$4</f>
        <v>Nagymarosi Napköziotthonos Óvoda és Bölcsőde</v>
      </c>
      <c r="C4" s="525"/>
      <c r="D4" s="525"/>
      <c r="E4" s="525"/>
      <c r="F4" s="525"/>
      <c r="G4" s="525"/>
      <c r="H4" s="525"/>
      <c r="I4" s="525"/>
      <c r="L4" s="318">
        <v>3</v>
      </c>
      <c r="M4" s="320" t="str">
        <f>VLOOKUP($L$4,Info!$B$5:$D$55,3)</f>
        <v>P654427</v>
      </c>
      <c r="N4" s="321" t="str">
        <f>VLOOKUP($L$4,Info!$B$5:$D$55,2)</f>
        <v>Nagymarosi Napköziotthonos Óvoda és Bölcsőde</v>
      </c>
    </row>
    <row r="5" spans="2:14" s="38" customFormat="1" ht="15.75" x14ac:dyDescent="0.25">
      <c r="B5" s="525" t="s">
        <v>487</v>
      </c>
      <c r="C5" s="525"/>
      <c r="D5" s="525"/>
      <c r="E5" s="525"/>
      <c r="F5" s="525"/>
      <c r="G5" s="525"/>
      <c r="H5" s="525"/>
      <c r="I5" s="525"/>
    </row>
    <row r="6" spans="2:14" s="38" customFormat="1" ht="15.75" x14ac:dyDescent="0.25">
      <c r="C6" s="156"/>
      <c r="E6" s="140"/>
      <c r="F6" s="140"/>
      <c r="G6" s="140"/>
      <c r="H6" s="140"/>
      <c r="I6" s="140"/>
    </row>
    <row r="7" spans="2:14" s="38" customFormat="1" ht="15.75" x14ac:dyDescent="0.25">
      <c r="B7" s="201" t="s">
        <v>635</v>
      </c>
      <c r="C7" s="201"/>
      <c r="D7" s="201"/>
      <c r="E7" s="201"/>
      <c r="F7" s="201"/>
      <c r="G7" s="198"/>
      <c r="H7" s="198"/>
      <c r="I7" s="198"/>
    </row>
    <row r="8" spans="2:14" s="38" customFormat="1" ht="15.75" x14ac:dyDescent="0.25">
      <c r="C8" s="156"/>
      <c r="E8" s="140"/>
      <c r="F8" s="140"/>
      <c r="G8" s="140"/>
      <c r="H8" s="140"/>
      <c r="I8" s="140"/>
    </row>
    <row r="9" spans="2:14" s="40" customFormat="1" x14ac:dyDescent="0.25">
      <c r="B9" s="77"/>
      <c r="C9" s="77" t="s">
        <v>350</v>
      </c>
      <c r="D9" s="77" t="s">
        <v>351</v>
      </c>
      <c r="E9" s="77" t="s">
        <v>470</v>
      </c>
      <c r="F9" s="77" t="s">
        <v>471</v>
      </c>
      <c r="G9" s="77" t="s">
        <v>44</v>
      </c>
      <c r="H9" s="77" t="s">
        <v>42</v>
      </c>
      <c r="I9" s="77" t="s">
        <v>511</v>
      </c>
    </row>
    <row r="10" spans="2:14" ht="38.25" x14ac:dyDescent="0.25">
      <c r="B10" s="160">
        <v>1</v>
      </c>
      <c r="C10" s="154" t="s">
        <v>593</v>
      </c>
      <c r="D10" s="154" t="s">
        <v>488</v>
      </c>
      <c r="E10" s="163" t="str">
        <f>CONCATENATE(PAR!$H$3," évi
eredeti 
előirányzat")</f>
        <v>2025. évi
eredeti 
előirányzat</v>
      </c>
      <c r="F10" s="163" t="str">
        <f>CONCATENATE(PAR!$H$3," évi
módosított 
előirányzat")</f>
        <v>2025. évi
módosított 
előirányzat</v>
      </c>
      <c r="G10" s="78" t="s">
        <v>666</v>
      </c>
      <c r="H10" s="78" t="s">
        <v>667</v>
      </c>
      <c r="I10" s="78" t="s">
        <v>668</v>
      </c>
    </row>
    <row r="11" spans="2:14" s="42" customFormat="1" x14ac:dyDescent="0.25">
      <c r="B11" s="160">
        <v>2</v>
      </c>
      <c r="C11" s="79" t="s">
        <v>30</v>
      </c>
      <c r="D11" s="79" t="s">
        <v>329</v>
      </c>
      <c r="E11" s="121">
        <f>SUM(E12:E24)</f>
        <v>540000</v>
      </c>
      <c r="F11" s="121">
        <f t="shared" ref="F11:I11" si="0">SUM(F12:F24)</f>
        <v>540000</v>
      </c>
      <c r="G11" s="121">
        <f t="shared" si="0"/>
        <v>540000</v>
      </c>
      <c r="H11" s="121">
        <f t="shared" si="0"/>
        <v>0</v>
      </c>
      <c r="I11" s="121">
        <f t="shared" si="0"/>
        <v>0</v>
      </c>
    </row>
    <row r="12" spans="2:14" s="42" customFormat="1" x14ac:dyDescent="0.2">
      <c r="B12" s="160">
        <v>3</v>
      </c>
      <c r="C12" s="305" t="s">
        <v>1309</v>
      </c>
      <c r="D12" s="82" t="s">
        <v>1356</v>
      </c>
      <c r="E12" s="166">
        <f>SUMIF(Adat!$AC:$AC,CONCATENATE(61,$M$4,"094011"),Adat!$E:$E)*-1</f>
        <v>0</v>
      </c>
      <c r="F12" s="166">
        <f>SUMIF(Adat!$AC:$AC,CONCATENATE(60,$M$4,"094011"),Adat!$E:$E)*-1+E12</f>
        <v>0</v>
      </c>
      <c r="G12" s="166">
        <f>SUMIF(Adat!$AD:$AD,CONCATENATE($M$4,"094011","(KÖT)"),Adat!$E:$E)*-1</f>
        <v>0</v>
      </c>
      <c r="H12" s="166">
        <f>SUMIF(Adat!$AD:$AD,CONCATENATE($M$4,"094011","(ÖNV)"),Adat!$E:$E)*-1</f>
        <v>0</v>
      </c>
      <c r="I12" s="166">
        <f>SUMIF(Adat!$AD:$AD,CONCATENATE($M$4,"094011","(ÁIG)"),Adat!$E:$E)*-1</f>
        <v>0</v>
      </c>
    </row>
    <row r="13" spans="2:14" s="42" customFormat="1" x14ac:dyDescent="0.2">
      <c r="B13" s="160">
        <v>4</v>
      </c>
      <c r="C13" s="305" t="s">
        <v>1279</v>
      </c>
      <c r="D13" s="82" t="s">
        <v>1357</v>
      </c>
      <c r="E13" s="166">
        <f>SUMIF(Adat!$AC:$AC,CONCATENATE(61,$M$4,"094021"),Adat!$E:$E)*-1</f>
        <v>0</v>
      </c>
      <c r="F13" s="166">
        <f>SUMIF(Adat!$AC:$AC,CONCATENATE(60,$M$4,"094021"),Adat!$E:$E)*-1+E13</f>
        <v>0</v>
      </c>
      <c r="G13" s="166">
        <f>SUMIF(Adat!$AD:$AD,CONCATENATE($M$4,"094021","(KÖT)"),Adat!$E:$E)*-1</f>
        <v>0</v>
      </c>
      <c r="H13" s="166">
        <f>SUMIF(Adat!$AD:$AD,CONCATENATE($M$4,"094021","(ÖNV)"),Adat!$E:$E)*-1</f>
        <v>0</v>
      </c>
      <c r="I13" s="166">
        <f>SUMIF(Adat!$AD:$AD,CONCATENATE($M$4,"094021","(ÁIG)"),Adat!$E:$E)*-1</f>
        <v>0</v>
      </c>
    </row>
    <row r="14" spans="2:14" s="42" customFormat="1" x14ac:dyDescent="0.2">
      <c r="B14" s="160">
        <v>5</v>
      </c>
      <c r="C14" s="305" t="s">
        <v>1272</v>
      </c>
      <c r="D14" s="82" t="s">
        <v>1358</v>
      </c>
      <c r="E14" s="166">
        <f>SUMIF(Adat!$AC:$AC,CONCATENATE(61,$M$4,"094031"),Adat!$E:$E)*-1</f>
        <v>0</v>
      </c>
      <c r="F14" s="166">
        <f>SUMIF(Adat!$AC:$AC,CONCATENATE(60,$M$4,"094031"),Adat!$E:$E)*-1+E14</f>
        <v>0</v>
      </c>
      <c r="G14" s="166">
        <f>SUMIF(Adat!$AD:$AD,CONCATENATE($M$4,"094031","(KÖT)"),Adat!$E:$E)*-1</f>
        <v>0</v>
      </c>
      <c r="H14" s="166">
        <f>SUMIF(Adat!$AD:$AD,CONCATENATE($M$4,"094031","(ÖNV)"),Adat!$E:$E)*-1</f>
        <v>0</v>
      </c>
      <c r="I14" s="166">
        <f>SUMIF(Adat!$AD:$AD,CONCATENATE($M$4,"094031","(ÁIG)"),Adat!$E:$E)*-1</f>
        <v>0</v>
      </c>
    </row>
    <row r="15" spans="2:14" s="42" customFormat="1" x14ac:dyDescent="0.2">
      <c r="B15" s="160">
        <v>6</v>
      </c>
      <c r="C15" s="305" t="s">
        <v>1359</v>
      </c>
      <c r="D15" s="82" t="s">
        <v>1360</v>
      </c>
      <c r="E15" s="166">
        <f>SUMIF(Adat!$AC:$AC,CONCATENATE(61,$M$4,"094041"),Adat!$E:$E)*-1</f>
        <v>0</v>
      </c>
      <c r="F15" s="166">
        <f>SUMIF(Adat!$AC:$AC,CONCATENATE(60,$M$4,"094041"),Adat!$E:$E)*-1+E15</f>
        <v>0</v>
      </c>
      <c r="G15" s="166">
        <f>SUMIF(Adat!$AD:$AD,CONCATENATE($M$4,"094041","(KÖT)"),Adat!$E:$E)*-1</f>
        <v>0</v>
      </c>
      <c r="H15" s="166">
        <f>SUMIF(Adat!$AD:$AD,CONCATENATE($M$4,"094041","(ÖNV)"),Adat!$E:$E)*-1</f>
        <v>0</v>
      </c>
      <c r="I15" s="166">
        <f>SUMIF(Adat!$AD:$AD,CONCATENATE($M$4,"094041","(ÁIG)"),Adat!$E:$E)*-1</f>
        <v>0</v>
      </c>
    </row>
    <row r="16" spans="2:14" s="42" customFormat="1" x14ac:dyDescent="0.2">
      <c r="B16" s="160">
        <v>7</v>
      </c>
      <c r="C16" s="305" t="s">
        <v>1261</v>
      </c>
      <c r="D16" s="82" t="s">
        <v>1361</v>
      </c>
      <c r="E16" s="166">
        <f>SUMIF(Adat!$AC:$AC,CONCATENATE(61,$M$4,"094051"),Adat!$E:$E)*-1</f>
        <v>540000</v>
      </c>
      <c r="F16" s="166">
        <f>SUMIF(Adat!$AC:$AC,CONCATENATE(60,$M$4,"094051"),Adat!$E:$E)*-1+E16</f>
        <v>540000</v>
      </c>
      <c r="G16" s="166">
        <f>SUMIF(Adat!$AD:$AD,CONCATENATE($M$4,"094051","(KÖT)"),Adat!$E:$E)*-1</f>
        <v>540000</v>
      </c>
      <c r="H16" s="166">
        <f>SUMIF(Adat!$AD:$AD,CONCATENATE($M$4,"094051","(ÖNV)"),Adat!$E:$E)*-1</f>
        <v>0</v>
      </c>
      <c r="I16" s="166">
        <f>SUMIF(Adat!$AD:$AD,CONCATENATE($M$4,"094051","(ÁIG)"),Adat!$E:$E)*-1</f>
        <v>0</v>
      </c>
    </row>
    <row r="17" spans="2:9" s="42" customFormat="1" x14ac:dyDescent="0.2">
      <c r="B17" s="160">
        <v>8</v>
      </c>
      <c r="C17" s="305" t="s">
        <v>1273</v>
      </c>
      <c r="D17" s="82" t="s">
        <v>1362</v>
      </c>
      <c r="E17" s="166">
        <f>SUMIF(Adat!$AC:$AC,CONCATENATE(61,$M$4,"094061"),Adat!$E:$E)*-1</f>
        <v>0</v>
      </c>
      <c r="F17" s="166">
        <f>SUMIF(Adat!$AC:$AC,CONCATENATE(60,$M$4,"094061"),Adat!$E:$E)*-1+E17</f>
        <v>0</v>
      </c>
      <c r="G17" s="166">
        <f>SUMIF(Adat!$AD:$AD,CONCATENATE($M$4,"094061","(KÖT)"),Adat!$E:$E)*-1</f>
        <v>0</v>
      </c>
      <c r="H17" s="166">
        <f>SUMIF(Adat!$AD:$AD,CONCATENATE($M$4,"094061","(ÖNV)"),Adat!$E:$E)*-1</f>
        <v>0</v>
      </c>
      <c r="I17" s="166">
        <f>SUMIF(Adat!$AD:$AD,CONCATENATE($M$4,"094061","(ÁIG)"),Adat!$E:$E)*-1</f>
        <v>0</v>
      </c>
    </row>
    <row r="18" spans="2:9" s="42" customFormat="1" x14ac:dyDescent="0.2">
      <c r="B18" s="160">
        <v>9</v>
      </c>
      <c r="C18" s="305" t="s">
        <v>1363</v>
      </c>
      <c r="D18" s="82" t="s">
        <v>1364</v>
      </c>
      <c r="E18" s="166">
        <f>SUMIF(Adat!$AC:$AC,CONCATENATE(61,$M$4,"094071"),Adat!$E:$E)*-1</f>
        <v>0</v>
      </c>
      <c r="F18" s="166">
        <f>SUMIF(Adat!$AC:$AC,CONCATENATE(60,$M$4,"094071"),Adat!$E:$E)*-1+E18</f>
        <v>0</v>
      </c>
      <c r="G18" s="166">
        <f>SUMIF(Adat!$AD:$AD,CONCATENATE($M$4,"094071","(KÖT)"),Adat!$E:$E)*-1</f>
        <v>0</v>
      </c>
      <c r="H18" s="166">
        <f>SUMIF(Adat!$AD:$AD,CONCATENATE($M$4,"094071","(ÖNV)"),Adat!$E:$E)*-1</f>
        <v>0</v>
      </c>
      <c r="I18" s="166">
        <f>SUMIF(Adat!$AD:$AD,CONCATENATE($M$4,"094071","(ÁIG)"),Adat!$E:$E)*-1</f>
        <v>0</v>
      </c>
    </row>
    <row r="19" spans="2:9" s="42" customFormat="1" x14ac:dyDescent="0.2">
      <c r="B19" s="160">
        <v>10</v>
      </c>
      <c r="C19" s="305" t="s">
        <v>1306</v>
      </c>
      <c r="D19" s="82" t="s">
        <v>1365</v>
      </c>
      <c r="E19" s="166">
        <f>SUMIF(Adat!$AC:$AC,CONCATENATE(61,$M$4,"0940811"),Adat!$E:$E)*-1</f>
        <v>0</v>
      </c>
      <c r="F19" s="166">
        <f>SUMIF(Adat!$AC:$AC,CONCATENATE(60,$M$4,"0940811"),Adat!$E:$E)*-1+E19</f>
        <v>0</v>
      </c>
      <c r="G19" s="166">
        <f>SUMIF(Adat!$AD:$AD,CONCATENATE($M$4,"0940811","(KÖT)"),Adat!$E:$E)*-1</f>
        <v>0</v>
      </c>
      <c r="H19" s="166">
        <f>SUMIF(Adat!$AD:$AD,CONCATENATE($M$4,"0940811","(ÖNV)"),Adat!$E:$E)*-1</f>
        <v>0</v>
      </c>
      <c r="I19" s="166">
        <f>SUMIF(Adat!$AD:$AD,CONCATENATE($M$4,"0940811","(ÁIG)"),Adat!$E:$E)*-1</f>
        <v>0</v>
      </c>
    </row>
    <row r="20" spans="2:9" x14ac:dyDescent="0.2">
      <c r="B20" s="160">
        <v>11</v>
      </c>
      <c r="C20" s="305" t="s">
        <v>1295</v>
      </c>
      <c r="D20" s="82" t="s">
        <v>1366</v>
      </c>
      <c r="E20" s="166">
        <f>SUMIF(Adat!$AC:$AC,CONCATENATE(61,$M$4,"0940821"),Adat!$E:$E)*-1</f>
        <v>0</v>
      </c>
      <c r="F20" s="166">
        <f>SUMIF(Adat!$AC:$AC,CONCATENATE(60,$M$4,"0940821"),Adat!$E:$E)*-1+E20</f>
        <v>0</v>
      </c>
      <c r="G20" s="166">
        <f>SUMIF(Adat!$AD:$AD,CONCATENATE($M$4,"0940821","(KÖT)"),Adat!$E:$E)*-1</f>
        <v>0</v>
      </c>
      <c r="H20" s="166">
        <f>SUMIF(Adat!$AD:$AD,CONCATENATE($M$4,"0940821","(ÖNV)"),Adat!$E:$E)*-1</f>
        <v>0</v>
      </c>
      <c r="I20" s="166">
        <f>SUMIF(Adat!$AD:$AD,CONCATENATE($M$4,"0940821","(ÁIG)"),Adat!$E:$E)*-1</f>
        <v>0</v>
      </c>
    </row>
    <row r="21" spans="2:9" x14ac:dyDescent="0.2">
      <c r="B21" s="160">
        <v>12</v>
      </c>
      <c r="C21" s="305" t="s">
        <v>1367</v>
      </c>
      <c r="D21" s="82" t="s">
        <v>1368</v>
      </c>
      <c r="E21" s="166">
        <f>SUMIF(Adat!$AC:$AC,CONCATENATE(61,$M$4,"0940911"),Adat!$E:$E)*-1</f>
        <v>0</v>
      </c>
      <c r="F21" s="166">
        <f>SUMIF(Adat!$AC:$AC,CONCATENATE(60,$M$4,"0940911"),Adat!$E:$E)*-1+E21</f>
        <v>0</v>
      </c>
      <c r="G21" s="166">
        <f>SUMIF(Adat!$AD:$AD,CONCATENATE($M$4,"0940911","(KÖT)"),Adat!$E:$E)*-1</f>
        <v>0</v>
      </c>
      <c r="H21" s="166">
        <f>SUMIF(Adat!$AD:$AD,CONCATENATE($M$4,"0940911","(ÖNV)"),Adat!$E:$E)*-1</f>
        <v>0</v>
      </c>
      <c r="I21" s="166">
        <f>SUMIF(Adat!$AD:$AD,CONCATENATE($M$4,"0940911","(ÁIG)"),Adat!$E:$E)*-1</f>
        <v>0</v>
      </c>
    </row>
    <row r="22" spans="2:9" x14ac:dyDescent="0.2">
      <c r="B22" s="160">
        <v>13</v>
      </c>
      <c r="C22" s="305" t="s">
        <v>1369</v>
      </c>
      <c r="D22" s="82" t="s">
        <v>1370</v>
      </c>
      <c r="E22" s="166">
        <f>SUMIF(Adat!$AC:$AC,CONCATENATE(61,$M$4,"0940921"),Adat!$E:$E)*-1</f>
        <v>0</v>
      </c>
      <c r="F22" s="166">
        <f>SUMIF(Adat!$AC:$AC,CONCATENATE(60,$M$4,"0940921"),Adat!$E:$E)*-1+E22</f>
        <v>0</v>
      </c>
      <c r="G22" s="166">
        <f>SUMIF(Adat!$AD:$AD,CONCATENATE($M$4,"0940921","(KÖT)"),Adat!$E:$E)*-1</f>
        <v>0</v>
      </c>
      <c r="H22" s="166">
        <f>SUMIF(Adat!$AD:$AD,CONCATENATE($M$4,"0940921","(ÖNV)"),Adat!$E:$E)*-1</f>
        <v>0</v>
      </c>
      <c r="I22" s="166">
        <f>SUMIF(Adat!$AD:$AD,CONCATENATE($M$4,"0940921","(ÁIG)"),Adat!$E:$E)*-1</f>
        <v>0</v>
      </c>
    </row>
    <row r="23" spans="2:9" x14ac:dyDescent="0.2">
      <c r="B23" s="160">
        <v>14</v>
      </c>
      <c r="C23" s="305" t="s">
        <v>1296</v>
      </c>
      <c r="D23" s="82" t="s">
        <v>1371</v>
      </c>
      <c r="E23" s="166">
        <f>SUMIF(Adat!$AC:$AC,CONCATENATE(61,$M$4,"094101"),Adat!$E:$E)*-1</f>
        <v>0</v>
      </c>
      <c r="F23" s="166">
        <f>SUMIF(Adat!$AC:$AC,CONCATENATE(60,$M$4,"094101"),Adat!$E:$E)*-1+E23</f>
        <v>0</v>
      </c>
      <c r="G23" s="166">
        <f>SUMIF(Adat!$AD:$AD,CONCATENATE($M$4,"094101","(KÖT)"),Adat!$E:$E)*-1</f>
        <v>0</v>
      </c>
      <c r="H23" s="166">
        <f>SUMIF(Adat!$AD:$AD,CONCATENATE($M$4,"094101","(ÖNV)"),Adat!$E:$E)*-1</f>
        <v>0</v>
      </c>
      <c r="I23" s="166">
        <f>SUMIF(Adat!$AD:$AD,CONCATENATE($M$4,"094101","(ÁIG)"),Adat!$E:$E)*-1</f>
        <v>0</v>
      </c>
    </row>
    <row r="24" spans="2:9" x14ac:dyDescent="0.25">
      <c r="B24" s="160">
        <v>15</v>
      </c>
      <c r="C24" s="305" t="s">
        <v>1297</v>
      </c>
      <c r="D24" s="84" t="s">
        <v>1372</v>
      </c>
      <c r="E24" s="166">
        <f>SUMIF(Adat!$AC:$AC,CONCATENATE(61,$M$4,"094111"),Adat!$E:$E)*-1</f>
        <v>0</v>
      </c>
      <c r="F24" s="166">
        <f>SUMIF(Adat!$AC:$AC,CONCATENATE(60,$M$4,"094111"),Adat!$E:$E)*-1+E24</f>
        <v>0</v>
      </c>
      <c r="G24" s="166">
        <f>SUMIF(Adat!$AD:$AD,CONCATENATE($M$4,"094111","(KÖT)"),Adat!$E:$E)*-1</f>
        <v>0</v>
      </c>
      <c r="H24" s="166">
        <f>SUMIF(Adat!$AD:$AD,CONCATENATE($M$4,"094111","(ÖNV)"),Adat!$E:$E)*-1</f>
        <v>0</v>
      </c>
      <c r="I24" s="166">
        <f>SUMIF(Adat!$AD:$AD,CONCATENATE($M$4,"094111","(ÁIG)"),Adat!$E:$E)*-1</f>
        <v>0</v>
      </c>
    </row>
    <row r="25" spans="2:9" s="42" customFormat="1" x14ac:dyDescent="0.25">
      <c r="B25" s="160">
        <v>16</v>
      </c>
      <c r="C25" s="78" t="s">
        <v>1328</v>
      </c>
      <c r="D25" s="85" t="s">
        <v>437</v>
      </c>
      <c r="E25" s="121">
        <f>SUM(E26:E28)</f>
        <v>0</v>
      </c>
      <c r="F25" s="121">
        <f>SUM(F26:F28)</f>
        <v>0</v>
      </c>
      <c r="G25" s="121">
        <f>SUM(G26:G28)</f>
        <v>0</v>
      </c>
      <c r="H25" s="121">
        <f>SUM(H26:H28)</f>
        <v>0</v>
      </c>
      <c r="I25" s="121">
        <f>SUM(I26:I28)</f>
        <v>0</v>
      </c>
    </row>
    <row r="26" spans="2:9" x14ac:dyDescent="0.2">
      <c r="B26" s="160">
        <v>17</v>
      </c>
      <c r="C26" s="305" t="s">
        <v>1329</v>
      </c>
      <c r="D26" s="82" t="s">
        <v>1330</v>
      </c>
      <c r="E26" s="166">
        <f>SUMIF(Adat!$AC:$AC,CONCATENATE(61,$M$4,"09121"),Adat!$E:$E)*-1</f>
        <v>0</v>
      </c>
      <c r="F26" s="166">
        <f>SUMIF(Adat!$AC:$AC,CONCATENATE(60,$M$4,"09121"),Adat!$E:$E)*-1+E26</f>
        <v>0</v>
      </c>
      <c r="G26" s="166">
        <f>SUMIF(Adat!$AD:$AD,CONCATENATE($M$4,"09121","(KÖT)"),Adat!$E:$E)*-1</f>
        <v>0</v>
      </c>
      <c r="H26" s="166">
        <f>SUMIF(Adat!$AD:$AD,CONCATENATE($M$4,"09121","(ÖNV)"),Adat!$E:$E)*-1</f>
        <v>0</v>
      </c>
      <c r="I26" s="166">
        <f>SUMIF(Adat!$AD:$AD,CONCATENATE($M$4,"09121","(ÁIG)"),Adat!$E:$E)*-1</f>
        <v>0</v>
      </c>
    </row>
    <row r="27" spans="2:9" x14ac:dyDescent="0.2">
      <c r="B27" s="160">
        <v>18</v>
      </c>
      <c r="C27" s="305" t="s">
        <v>1335</v>
      </c>
      <c r="D27" s="82" t="s">
        <v>1336</v>
      </c>
      <c r="E27" s="166">
        <f>SUMIF(Adat!$AC:$AC,CONCATENATE(61,$M$4,"09151"),Adat!$E:$E)*-1</f>
        <v>0</v>
      </c>
      <c r="F27" s="166">
        <f>SUMIF(Adat!$AC:$AC,CONCATENATE(60,$M$4,"09151"),Adat!$E:$E)*-1+E27</f>
        <v>0</v>
      </c>
      <c r="G27" s="166">
        <f>SUMIF(Adat!$AD:$AD,CONCATENATE($M$4,"09151","(KÖT)"),Adat!$E:$E)*-1</f>
        <v>0</v>
      </c>
      <c r="H27" s="166">
        <f>SUMIF(Adat!$AD:$AD,CONCATENATE($M$4,"09151","(ÖNV)"),Adat!$E:$E)*-1</f>
        <v>0</v>
      </c>
      <c r="I27" s="166">
        <f>SUMIF(Adat!$AD:$AD,CONCATENATE($M$4,"09151","(ÁIG)"),Adat!$E:$E)*-1</f>
        <v>0</v>
      </c>
    </row>
    <row r="28" spans="2:9" x14ac:dyDescent="0.2">
      <c r="B28" s="160">
        <v>19</v>
      </c>
      <c r="C28" s="305" t="s">
        <v>1278</v>
      </c>
      <c r="D28" s="82" t="s">
        <v>1337</v>
      </c>
      <c r="E28" s="166">
        <f>SUMIF(Adat!$AC:$AC,CONCATENATE(61,$M$4,"09161"),Adat!$E:$E)*-1</f>
        <v>0</v>
      </c>
      <c r="F28" s="166">
        <f>SUMIF(Adat!$AC:$AC,CONCATENATE(60,$M$4,"09161"),Adat!$E:$E)*-1+E28</f>
        <v>0</v>
      </c>
      <c r="G28" s="166">
        <f>SUMIF(Adat!$AD:$AD,CONCATENATE($M$4,"09161","(KÖT)"),Adat!$E:$E)*-1</f>
        <v>0</v>
      </c>
      <c r="H28" s="166">
        <f>SUMIF(Adat!$AD:$AD,CONCATENATE($M$4,"09161","(ÖNV)"),Adat!$E:$E)*-1</f>
        <v>0</v>
      </c>
      <c r="I28" s="166">
        <f>SUMIF(Adat!$AD:$AD,CONCATENATE($M$4,"09161","(ÁIG)"),Adat!$E:$E)*-1</f>
        <v>0</v>
      </c>
    </row>
    <row r="29" spans="2:9" x14ac:dyDescent="0.25">
      <c r="B29" s="160">
        <v>20</v>
      </c>
      <c r="C29" s="79" t="s">
        <v>27</v>
      </c>
      <c r="D29" s="79" t="s">
        <v>328</v>
      </c>
      <c r="E29" s="71">
        <f>SUMIF(Adat!$AE:$AE,CONCATENATE(61,$M$4,"093"),Adat!$E:$E)*-1</f>
        <v>0</v>
      </c>
      <c r="F29" s="71">
        <f>SUMIF(Adat!$AE:$AE,CONCATENATE(60,$M$4,"093"),Adat!$E:$E)*-1+E29</f>
        <v>0</v>
      </c>
      <c r="G29" s="71">
        <f>SUMIF(Adat!$AF:$AF,CONCATENATE($M$4,"093","(KÖT)"),Adat!$E:$E)*-1</f>
        <v>0</v>
      </c>
      <c r="H29" s="71">
        <f>SUMIF(Adat!$AF:$AF,CONCATENATE($M$4,"093","(ÖNV)"),Adat!$E:$E)*-1</f>
        <v>0</v>
      </c>
      <c r="I29" s="71">
        <f>SUMIF(Adat!$AF:$AF,CONCATENATE($M$4,"093","(ÁIG)"),Adat!$E:$E)*-1</f>
        <v>0</v>
      </c>
    </row>
    <row r="30" spans="2:9" x14ac:dyDescent="0.25">
      <c r="B30" s="160">
        <v>21</v>
      </c>
      <c r="C30" s="79" t="s">
        <v>24</v>
      </c>
      <c r="D30" s="79" t="s">
        <v>449</v>
      </c>
      <c r="E30" s="121">
        <f>SUM(E31:E33)</f>
        <v>0</v>
      </c>
      <c r="F30" s="121">
        <f t="shared" ref="F30:I30" si="1">SUM(F31:F33)</f>
        <v>0</v>
      </c>
      <c r="G30" s="121">
        <f t="shared" si="1"/>
        <v>0</v>
      </c>
      <c r="H30" s="121">
        <f t="shared" si="1"/>
        <v>0</v>
      </c>
      <c r="I30" s="121">
        <f t="shared" si="1"/>
        <v>0</v>
      </c>
    </row>
    <row r="31" spans="2:9" x14ac:dyDescent="0.2">
      <c r="B31" s="160">
        <v>22</v>
      </c>
      <c r="C31" s="305" t="s">
        <v>1339</v>
      </c>
      <c r="D31" s="82" t="s">
        <v>1340</v>
      </c>
      <c r="E31" s="166">
        <f>SUMIF(Adat!$AC:$AC,CONCATENATE(61,$M$4,"09211"),Adat!$E:$E)*-1</f>
        <v>0</v>
      </c>
      <c r="F31" s="166">
        <f>SUMIF(Adat!$AC:$AC,CONCATENATE(60,$M$4,"09211"),Adat!$E:$E)*-1+E31</f>
        <v>0</v>
      </c>
      <c r="G31" s="166">
        <f>SUMIF(Adat!$AD:$AD,CONCATENATE($M$4,"09211","(KÖT)"),Adat!$E:$E)*-1</f>
        <v>0</v>
      </c>
      <c r="H31" s="166">
        <f>SUMIF(Adat!$AD:$AD,CONCATENATE($M$4,"09211","(ÖNV)"),Adat!$E:$E)*-1</f>
        <v>0</v>
      </c>
      <c r="I31" s="166">
        <f>SUMIF(Adat!$AD:$AD,CONCATENATE($M$4,"09211","(ÁIG)"),Adat!$E:$E)*-1</f>
        <v>0</v>
      </c>
    </row>
    <row r="32" spans="2:9" x14ac:dyDescent="0.2">
      <c r="B32" s="160">
        <v>23</v>
      </c>
      <c r="C32" s="305" t="s">
        <v>1345</v>
      </c>
      <c r="D32" s="82" t="s">
        <v>1346</v>
      </c>
      <c r="E32" s="166">
        <f>SUMIF(Adat!$AC:$AC,CONCATENATE(61,$M$4,"09241"),Adat!$E:$E)*-1</f>
        <v>0</v>
      </c>
      <c r="F32" s="166">
        <f>SUMIF(Adat!$AC:$AC,CONCATENATE(60,$M$4,"09241"),Adat!$E:$E)*-1+E32</f>
        <v>0</v>
      </c>
      <c r="G32" s="166">
        <f>SUMIF(Adat!$AD:$AD,CONCATENATE($M$4,"09241","(KÖT)"),Adat!$E:$E)*-1</f>
        <v>0</v>
      </c>
      <c r="H32" s="166">
        <f>SUMIF(Adat!$AD:$AD,CONCATENATE($M$4,"09241","(ÖNV)"),Adat!$E:$E)*-1</f>
        <v>0</v>
      </c>
      <c r="I32" s="166">
        <f>SUMIF(Adat!$AD:$AD,CONCATENATE($M$4,"09241","(ÁIG)"),Adat!$E:$E)*-1</f>
        <v>0</v>
      </c>
    </row>
    <row r="33" spans="2:9" x14ac:dyDescent="0.2">
      <c r="B33" s="160">
        <v>24</v>
      </c>
      <c r="C33" s="305" t="s">
        <v>1255</v>
      </c>
      <c r="D33" s="82" t="s">
        <v>1347</v>
      </c>
      <c r="E33" s="166">
        <f>SUMIF(Adat!$AC:$AC,CONCATENATE(61,$M$4,"09251"),Adat!$E:$E)*-1</f>
        <v>0</v>
      </c>
      <c r="F33" s="166">
        <f>SUMIF(Adat!$AC:$AC,CONCATENATE(60,$M$4,"09251"),Adat!$E:$E)*-1+E33</f>
        <v>0</v>
      </c>
      <c r="G33" s="166">
        <f>SUMIF(Adat!$AD:$AD,CONCATENATE($M$4,"09251","(KÖT)"),Adat!$E:$E)*-1</f>
        <v>0</v>
      </c>
      <c r="H33" s="166">
        <f>SUMIF(Adat!$AD:$AD,CONCATENATE($M$4,"09251","(ÖNV)"),Adat!$E:$E)*-1</f>
        <v>0</v>
      </c>
      <c r="I33" s="166">
        <f>SUMIF(Adat!$AD:$AD,CONCATENATE($M$4,"09251","(ÁIG)"),Adat!$E:$E)*-1</f>
        <v>0</v>
      </c>
    </row>
    <row r="34" spans="2:9" x14ac:dyDescent="0.25">
      <c r="B34" s="160">
        <v>25</v>
      </c>
      <c r="C34" s="79" t="s">
        <v>33</v>
      </c>
      <c r="D34" s="79" t="s">
        <v>330</v>
      </c>
      <c r="E34" s="121">
        <f>SUM(E35:E37)</f>
        <v>0</v>
      </c>
      <c r="F34" s="121">
        <f t="shared" ref="F34:I34" si="2">SUM(F35:F37)</f>
        <v>0</v>
      </c>
      <c r="G34" s="121">
        <f t="shared" si="2"/>
        <v>0</v>
      </c>
      <c r="H34" s="121">
        <f t="shared" si="2"/>
        <v>0</v>
      </c>
      <c r="I34" s="121">
        <f t="shared" si="2"/>
        <v>0</v>
      </c>
    </row>
    <row r="35" spans="2:9" x14ac:dyDescent="0.2">
      <c r="B35" s="160">
        <v>26</v>
      </c>
      <c r="C35" s="305" t="s">
        <v>1373</v>
      </c>
      <c r="D35" s="82" t="s">
        <v>1374</v>
      </c>
      <c r="E35" s="166">
        <f>SUMIF(Adat!$AC:$AC,CONCATENATE(61,$M$4,"09511"),Adat!$E:$E)*-1</f>
        <v>0</v>
      </c>
      <c r="F35" s="166">
        <f>SUMIF(Adat!$AC:$AC,CONCATENATE(60,$M$4,"09511"),Adat!$E:$E)*-1+E35</f>
        <v>0</v>
      </c>
      <c r="G35" s="166">
        <f>SUMIF(Adat!$AD:$AD,CONCATENATE($M$4,"09511","(KÖT)"),Adat!$E:$E)*-1</f>
        <v>0</v>
      </c>
      <c r="H35" s="166">
        <f>SUMIF(Adat!$AD:$AD,CONCATENATE($M$4,"09511","(ÖNV)"),Adat!$E:$E)*-1</f>
        <v>0</v>
      </c>
      <c r="I35" s="166">
        <f>SUMIF(Adat!$AD:$AD,CONCATENATE($M$4,"09511","(ÁIG)"),Adat!$E:$E)*-1</f>
        <v>0</v>
      </c>
    </row>
    <row r="36" spans="2:9" x14ac:dyDescent="0.2">
      <c r="B36" s="160">
        <v>27</v>
      </c>
      <c r="C36" s="305" t="s">
        <v>1294</v>
      </c>
      <c r="D36" s="82" t="s">
        <v>1375</v>
      </c>
      <c r="E36" s="166">
        <f>SUMIF(Adat!$AC:$AC,CONCATENATE(61,$M$4,"09521"),Adat!$E:$E)*-1</f>
        <v>0</v>
      </c>
      <c r="F36" s="166">
        <f>SUMIF(Adat!$AC:$AC,CONCATENATE(60,$M$4,"09521"),Adat!$E:$E)*-1+E36</f>
        <v>0</v>
      </c>
      <c r="G36" s="166">
        <f>SUMIF(Adat!$AD:$AD,CONCATENATE($M$4,"09521","(KÖT)"),Adat!$E:$E)*-1</f>
        <v>0</v>
      </c>
      <c r="H36" s="166">
        <f>SUMIF(Adat!$AD:$AD,CONCATENATE($M$4,"09521","(ÖNV)"),Adat!$E:$E)*-1</f>
        <v>0</v>
      </c>
      <c r="I36" s="166">
        <f>SUMIF(Adat!$AD:$AD,CONCATENATE($M$4,"09521","(ÁIG)"),Adat!$E:$E)*-1</f>
        <v>0</v>
      </c>
    </row>
    <row r="37" spans="2:9" x14ac:dyDescent="0.2">
      <c r="B37" s="160">
        <v>28</v>
      </c>
      <c r="C37" s="305" t="s">
        <v>1376</v>
      </c>
      <c r="D37" s="82" t="s">
        <v>1377</v>
      </c>
      <c r="E37" s="166">
        <f>SUMIF(Adat!$AC:$AC,CONCATENATE(61,$M$4,"09531"),Adat!$E:$E)*-1</f>
        <v>0</v>
      </c>
      <c r="F37" s="166">
        <f>SUMIF(Adat!$AC:$AC,CONCATENATE(60,$M$4,"09531"),Adat!$E:$E)*-1+E37</f>
        <v>0</v>
      </c>
      <c r="G37" s="166">
        <f>SUMIF(Adat!$AD:$AD,CONCATENATE($M$4,"09531","(KÖT)"),Adat!$E:$E)*-1</f>
        <v>0</v>
      </c>
      <c r="H37" s="166">
        <f>SUMIF(Adat!$AD:$AD,CONCATENATE($M$4,"09531","(ÖNV)"),Adat!$E:$E)*-1</f>
        <v>0</v>
      </c>
      <c r="I37" s="166">
        <f>SUMIF(Adat!$AD:$AD,CONCATENATE($M$4,"09531","(ÁIG)"),Adat!$E:$E)*-1</f>
        <v>0</v>
      </c>
    </row>
    <row r="38" spans="2:9" s="42" customFormat="1" x14ac:dyDescent="0.25">
      <c r="B38" s="160">
        <v>29</v>
      </c>
      <c r="C38" s="79" t="s">
        <v>36</v>
      </c>
      <c r="D38" s="79" t="s">
        <v>331</v>
      </c>
      <c r="E38" s="71">
        <f>SUMIF(Adat!$AE:$AE,CONCATENATE(61,$M$4,"096"),Adat!$E:$E)*-1</f>
        <v>0</v>
      </c>
      <c r="F38" s="71">
        <f>SUMIF(Adat!$AE:$AE,CONCATENATE(60,$M$4,"096"),Adat!$E:$E)*-1+E38</f>
        <v>0</v>
      </c>
      <c r="G38" s="71">
        <f>SUMIF(Adat!$AF:$AF,CONCATENATE($M$4,"096","(KÖT)"),Adat!$E:$E)*-1</f>
        <v>0</v>
      </c>
      <c r="H38" s="71">
        <f>SUMIF(Adat!$AF:$AF,CONCATENATE($M$4,"096","(ÖNV)"),Adat!$E:$E)*-1</f>
        <v>0</v>
      </c>
      <c r="I38" s="71">
        <f>SUMIF(Adat!$AF:$AF,CONCATENATE($M$4,"096","(ÁIG)"),Adat!$E:$E)*-1</f>
        <v>0</v>
      </c>
    </row>
    <row r="39" spans="2:9" s="42" customFormat="1" x14ac:dyDescent="0.25">
      <c r="B39" s="160">
        <v>30</v>
      </c>
      <c r="C39" s="79" t="s">
        <v>38</v>
      </c>
      <c r="D39" s="85" t="s">
        <v>332</v>
      </c>
      <c r="E39" s="71">
        <f>SUMIF(Adat!$AE:$AE,CONCATENATE(61,$M$4,"097"),Adat!$E:$E)*-1</f>
        <v>0</v>
      </c>
      <c r="F39" s="71">
        <f>SUMIF(Adat!$AE:$AE,CONCATENATE(60,$M$4,"097"),Adat!$E:$E)*-1+E39</f>
        <v>0</v>
      </c>
      <c r="G39" s="71">
        <f>SUMIF(Adat!$AF:$AF,CONCATENATE($M$4,"097","(KÖT)"),Adat!$E:$E)*-1</f>
        <v>0</v>
      </c>
      <c r="H39" s="71">
        <f>SUMIF(Adat!$AF:$AF,CONCATENATE($M$4,"097","(ÖNV)"),Adat!$E:$E)*-1</f>
        <v>0</v>
      </c>
      <c r="I39" s="71">
        <f>SUMIF(Adat!$AF:$AF,CONCATENATE($M$4,"097","(ÁIG)"),Adat!$E:$E)*-1</f>
        <v>0</v>
      </c>
    </row>
    <row r="40" spans="2:9" s="42" customFormat="1" x14ac:dyDescent="0.25">
      <c r="B40" s="160">
        <v>31</v>
      </c>
      <c r="C40" s="154" t="s">
        <v>352</v>
      </c>
      <c r="D40" s="86" t="s">
        <v>1500</v>
      </c>
      <c r="E40" s="121">
        <f>E11+E25+E29+E30+E34+E38+E39</f>
        <v>540000</v>
      </c>
      <c r="F40" s="121">
        <f>F11+F25+F29+F30+F34+F38+F39</f>
        <v>540000</v>
      </c>
      <c r="G40" s="121">
        <f>G11+G25+G29+G30+G34+G38+G39</f>
        <v>540000</v>
      </c>
      <c r="H40" s="121">
        <f>H11+H25+H29+H30+H34+H38+H39</f>
        <v>0</v>
      </c>
      <c r="I40" s="121">
        <f>I11+I25+I29+I30+I34+I38+I39</f>
        <v>0</v>
      </c>
    </row>
    <row r="41" spans="2:9" s="42" customFormat="1" x14ac:dyDescent="0.25">
      <c r="B41" s="160">
        <v>32</v>
      </c>
      <c r="C41" s="154" t="s">
        <v>358</v>
      </c>
      <c r="D41" s="86" t="s">
        <v>333</v>
      </c>
      <c r="E41" s="121">
        <f>SUM(E42:E44)</f>
        <v>314439011</v>
      </c>
      <c r="F41" s="121">
        <f t="shared" ref="F41:I41" si="3">SUM(F42:F44)</f>
        <v>314439011</v>
      </c>
      <c r="G41" s="121">
        <f t="shared" si="3"/>
        <v>314439011</v>
      </c>
      <c r="H41" s="121">
        <f t="shared" si="3"/>
        <v>0</v>
      </c>
      <c r="I41" s="121">
        <f t="shared" si="3"/>
        <v>0</v>
      </c>
    </row>
    <row r="42" spans="2:9" s="42" customFormat="1" x14ac:dyDescent="0.2">
      <c r="B42" s="160">
        <v>33</v>
      </c>
      <c r="C42" s="305" t="s">
        <v>1274</v>
      </c>
      <c r="D42" s="82" t="s">
        <v>1419</v>
      </c>
      <c r="E42" s="166">
        <f>SUMIF(Adat!$AC:$AC,CONCATENATE(61,$M$4,"0981311"),Adat!$E:$E)*-1</f>
        <v>1583668</v>
      </c>
      <c r="F42" s="166">
        <f>SUMIF(Adat!$AC:$AC,CONCATENATE(60,$M$4,"0981311"),Adat!$E:$E)*-1+E42</f>
        <v>1583668</v>
      </c>
      <c r="G42" s="166">
        <f>SUMIF(Adat!$AD:$AD,CONCATENATE($M$4,"0981311","(KÖT)"),Adat!$E:$E)*-1</f>
        <v>1583668</v>
      </c>
      <c r="H42" s="166">
        <f>SUMIF(Adat!$AD:$AD,CONCATENATE($M$4,"0981311","(ÖNV)"),Adat!$E:$E)*-1</f>
        <v>0</v>
      </c>
      <c r="I42" s="166">
        <f>SUMIF(Adat!$AD:$AD,CONCATENATE($M$4,"0981311","(ÁIG)"),Adat!$E:$E)*-1</f>
        <v>0</v>
      </c>
    </row>
    <row r="43" spans="2:9" s="42" customFormat="1" x14ac:dyDescent="0.25">
      <c r="B43" s="160">
        <v>34</v>
      </c>
      <c r="C43" s="305" t="s">
        <v>1420</v>
      </c>
      <c r="D43" s="84" t="s">
        <v>1421</v>
      </c>
      <c r="E43" s="166">
        <f>SUMIF(Adat!$AC:$AC,CONCATENATE(61,$M$4,"0981321"),Adat!$E:$E)*-1</f>
        <v>0</v>
      </c>
      <c r="F43" s="166">
        <f>SUMIF(Adat!$AC:$AC,CONCATENATE(60,$M$4,"0981321"),Adat!$E:$E)*-1+E43</f>
        <v>0</v>
      </c>
      <c r="G43" s="166">
        <f>SUMIF(Adat!$AD:$AD,CONCATENATE($M$4,"0981321","(KÖT)"),Adat!$E:$E)*-1</f>
        <v>0</v>
      </c>
      <c r="H43" s="166">
        <f>SUMIF(Adat!$AD:$AD,CONCATENATE($M$4,"0981321","(ÖNV)"),Adat!$E:$E)*-1</f>
        <v>0</v>
      </c>
      <c r="I43" s="166">
        <f>SUMIF(Adat!$AD:$AD,CONCATENATE($M$4,"0981321","(ÁIG)"),Adat!$E:$E)*-1</f>
        <v>0</v>
      </c>
    </row>
    <row r="44" spans="2:9" x14ac:dyDescent="0.25">
      <c r="B44" s="160">
        <v>35</v>
      </c>
      <c r="C44" s="319" t="s">
        <v>1275</v>
      </c>
      <c r="D44" s="84" t="s">
        <v>1501</v>
      </c>
      <c r="E44" s="166">
        <f>SUMIF(Adat!$AC:$AC,CONCATENATE(61,$M$4,"098161"),Adat!$E:$E)*-1</f>
        <v>312855343</v>
      </c>
      <c r="F44" s="166">
        <f>SUMIF(Adat!$AC:$AC,CONCATENATE(60,$M$4,"098161"),Adat!$E:$E)*-1+E44</f>
        <v>312855343</v>
      </c>
      <c r="G44" s="166">
        <f>SUMIF(Adat!$AD:$AD,CONCATENATE($M$4,"098161","(KÖT)"),Adat!$E:$E)*-1</f>
        <v>312855343</v>
      </c>
      <c r="H44" s="166">
        <f>SUMIF(Adat!$AD:$AD,CONCATENATE($M$4,"098161","(ÖNV)"),Adat!$E:$E)*-1</f>
        <v>0</v>
      </c>
      <c r="I44" s="166">
        <f>SUMIF(Adat!$AD:$AD,CONCATENATE($M$4,"098161","(ÁIG)"),Adat!$E:$E)*-1</f>
        <v>0</v>
      </c>
    </row>
    <row r="45" spans="2:9" x14ac:dyDescent="0.25">
      <c r="B45" s="160">
        <v>36</v>
      </c>
      <c r="C45" s="154" t="s">
        <v>364</v>
      </c>
      <c r="D45" s="159" t="s">
        <v>1502</v>
      </c>
      <c r="E45" s="121">
        <f>+E40+E41</f>
        <v>314979011</v>
      </c>
      <c r="F45" s="121">
        <f>+F40+F41</f>
        <v>314979011</v>
      </c>
      <c r="G45" s="121">
        <f>+G40+G41</f>
        <v>314979011</v>
      </c>
      <c r="H45" s="121">
        <f>+H40+H41</f>
        <v>0</v>
      </c>
      <c r="I45" s="121">
        <f>+I40+I41</f>
        <v>0</v>
      </c>
    </row>
    <row r="46" spans="2:9" s="38" customFormat="1" ht="15.75" x14ac:dyDescent="0.25">
      <c r="C46" s="156"/>
      <c r="E46" s="140"/>
      <c r="F46" s="140"/>
      <c r="G46" s="140"/>
      <c r="H46" s="140"/>
      <c r="I46" s="140"/>
    </row>
    <row r="47" spans="2:9" s="10" customFormat="1" ht="15.75" x14ac:dyDescent="0.25">
      <c r="B47" s="202" t="s">
        <v>636</v>
      </c>
      <c r="C47" s="202"/>
      <c r="D47" s="202"/>
      <c r="E47" s="202"/>
      <c r="F47" s="202"/>
      <c r="G47" s="198"/>
      <c r="H47" s="198"/>
      <c r="I47" s="198"/>
    </row>
    <row r="48" spans="2:9" s="38" customFormat="1" ht="15.75" x14ac:dyDescent="0.25">
      <c r="C48" s="156"/>
      <c r="E48" s="140"/>
      <c r="F48" s="140"/>
      <c r="G48" s="140"/>
      <c r="H48" s="140"/>
      <c r="I48" s="140"/>
    </row>
    <row r="49" spans="2:18" s="40" customFormat="1" x14ac:dyDescent="0.25">
      <c r="B49" s="77"/>
      <c r="C49" s="77" t="s">
        <v>350</v>
      </c>
      <c r="D49" s="77" t="s">
        <v>351</v>
      </c>
      <c r="E49" s="77" t="s">
        <v>470</v>
      </c>
      <c r="F49" s="77" t="s">
        <v>471</v>
      </c>
      <c r="G49" s="77" t="s">
        <v>44</v>
      </c>
      <c r="H49" s="77" t="s">
        <v>42</v>
      </c>
      <c r="I49" s="77" t="s">
        <v>511</v>
      </c>
    </row>
    <row r="50" spans="2:18" s="41" customFormat="1" ht="38.25" x14ac:dyDescent="0.25">
      <c r="B50" s="160">
        <v>1</v>
      </c>
      <c r="C50" s="154" t="s">
        <v>593</v>
      </c>
      <c r="D50" s="154" t="s">
        <v>488</v>
      </c>
      <c r="E50" s="163" t="str">
        <f>CONCATENATE(PAR!$H$3," évi
eredeti 
előirányzat")</f>
        <v>2025. évi
eredeti 
előirányzat</v>
      </c>
      <c r="F50" s="163" t="str">
        <f>CONCATENATE(PAR!$H$3," évi
módosított 
előirányzat")</f>
        <v>2025. évi
módosított 
előirányzat</v>
      </c>
      <c r="G50" s="78" t="s">
        <v>666</v>
      </c>
      <c r="H50" s="78" t="s">
        <v>667</v>
      </c>
      <c r="I50" s="78" t="s">
        <v>668</v>
      </c>
    </row>
    <row r="51" spans="2:18" s="42" customFormat="1" x14ac:dyDescent="0.25">
      <c r="B51" s="160">
        <v>2</v>
      </c>
      <c r="C51" s="78" t="s">
        <v>352</v>
      </c>
      <c r="D51" s="92" t="s">
        <v>1444</v>
      </c>
      <c r="E51" s="121">
        <f>SUM(E52:E56)</f>
        <v>314979011</v>
      </c>
      <c r="F51" s="121">
        <f>SUM(F52:F56)</f>
        <v>314979011</v>
      </c>
      <c r="G51" s="121">
        <f>SUM(G52:G56)</f>
        <v>314979011</v>
      </c>
      <c r="H51" s="121">
        <f>SUM(H52:H56)</f>
        <v>0</v>
      </c>
      <c r="I51" s="121">
        <f>SUM(I52:I56)</f>
        <v>0</v>
      </c>
      <c r="L51" s="35"/>
      <c r="M51" s="35"/>
      <c r="N51" s="35"/>
      <c r="O51" s="35"/>
      <c r="P51" s="35"/>
      <c r="Q51" s="35"/>
      <c r="R51" s="35"/>
    </row>
    <row r="52" spans="2:18" x14ac:dyDescent="0.25">
      <c r="B52" s="160">
        <v>3</v>
      </c>
      <c r="C52" s="305" t="s">
        <v>315</v>
      </c>
      <c r="D52" s="93" t="s">
        <v>342</v>
      </c>
      <c r="E52" s="72">
        <f>SUMIF(Adat!$AE:$AE,CONCATENATE(61,$M$4,"051"),Adat!$E:$E)</f>
        <v>262028598</v>
      </c>
      <c r="F52" s="72">
        <f>SUMIF(Adat!$AE:$AE,CONCATENATE(60,$M$4,"051"),Adat!$E:$E)+E52</f>
        <v>262028598</v>
      </c>
      <c r="G52" s="72">
        <f>SUMIF(Adat!$AF:$AF,CONCATENATE($M$4,"051","(KÖT)"),Adat!$E:$E)</f>
        <v>262028598</v>
      </c>
      <c r="H52" s="72">
        <f>SUMIF(Adat!$AF:$AF,CONCATENATE($M$4,"051","(ÖNV)"),Adat!$E:$E)</f>
        <v>0</v>
      </c>
      <c r="I52" s="72">
        <f>SUMIF(Adat!$AF:$AF,CONCATENATE($M$4,"051","(ÁIG)"),Adat!$E:$E)</f>
        <v>0</v>
      </c>
    </row>
    <row r="53" spans="2:18" x14ac:dyDescent="0.25">
      <c r="B53" s="160">
        <v>4</v>
      </c>
      <c r="C53" s="305" t="s">
        <v>317</v>
      </c>
      <c r="D53" s="93" t="s">
        <v>395</v>
      </c>
      <c r="E53" s="72">
        <f>SUMIF(Adat!$AE:$AE,CONCATENATE(61,$M$4,"052"),Adat!$E:$E)</f>
        <v>34547629</v>
      </c>
      <c r="F53" s="72">
        <f>SUMIF(Adat!$AE:$AE,CONCATENATE(60,$M$4,"052"),Adat!$E:$E)+E53</f>
        <v>34547629</v>
      </c>
      <c r="G53" s="72">
        <f>SUMIF(Adat!$AF:$AF,CONCATENATE($M$4,"052","(KÖT)"),Adat!$E:$E)</f>
        <v>34547629</v>
      </c>
      <c r="H53" s="72">
        <f>SUMIF(Adat!$AF:$AF,CONCATENATE($M$4,"052","(ÖNV)"),Adat!$E:$E)</f>
        <v>0</v>
      </c>
      <c r="I53" s="72">
        <f>SUMIF(Adat!$AF:$AF,CONCATENATE($M$4,"052","(ÁIG)"),Adat!$E:$E)</f>
        <v>0</v>
      </c>
    </row>
    <row r="54" spans="2:18" x14ac:dyDescent="0.25">
      <c r="B54" s="160">
        <v>5</v>
      </c>
      <c r="C54" s="305" t="s">
        <v>4</v>
      </c>
      <c r="D54" s="93" t="s">
        <v>344</v>
      </c>
      <c r="E54" s="72">
        <f>SUMIF(Adat!$AE:$AE,CONCATENATE(61,$M$4,"053"),Adat!$E:$E)</f>
        <v>18402784</v>
      </c>
      <c r="F54" s="72">
        <f>SUMIF(Adat!$AE:$AE,CONCATENATE(60,$M$4,"053"),Adat!$E:$E)+E54</f>
        <v>18402784</v>
      </c>
      <c r="G54" s="72">
        <f>SUMIF(Adat!$AF:$AF,CONCATENATE($M$4,"053","(KÖT)"),Adat!$E:$E)</f>
        <v>18402784</v>
      </c>
      <c r="H54" s="72">
        <f>SUMIF(Adat!$AF:$AF,CONCATENATE($M$4,"053","(ÖNV)"),Adat!$E:$E)</f>
        <v>0</v>
      </c>
      <c r="I54" s="72">
        <f>SUMIF(Adat!$AF:$AF,CONCATENATE($M$4,"053","(ÁIG)"),Adat!$E:$E)</f>
        <v>0</v>
      </c>
    </row>
    <row r="55" spans="2:18" x14ac:dyDescent="0.25">
      <c r="B55" s="160">
        <v>6</v>
      </c>
      <c r="C55" s="305" t="s">
        <v>6</v>
      </c>
      <c r="D55" s="93" t="s">
        <v>345</v>
      </c>
      <c r="E55" s="72">
        <f>SUMIF(Adat!$AE:$AE,CONCATENATE(61,$M$4,"054"),Adat!$E:$E)</f>
        <v>0</v>
      </c>
      <c r="F55" s="72">
        <f>SUMIF(Adat!$AE:$AE,CONCATENATE(60,$M$4,"054"),Adat!$E:$E)+E55</f>
        <v>0</v>
      </c>
      <c r="G55" s="72">
        <f>SUMIF(Adat!$AF:$AF,CONCATENATE($M$4,"054","(KÖT)"),Adat!$E:$E)</f>
        <v>0</v>
      </c>
      <c r="H55" s="72">
        <f>SUMIF(Adat!$AF:$AF,CONCATENATE($M$4,"054","(ÖNV)"),Adat!$E:$E)</f>
        <v>0</v>
      </c>
      <c r="I55" s="72">
        <f>SUMIF(Adat!$AF:$AF,CONCATENATE($M$4,"054","(ÁIG)"),Adat!$E:$E)</f>
        <v>0</v>
      </c>
    </row>
    <row r="56" spans="2:18" x14ac:dyDescent="0.25">
      <c r="B56" s="160">
        <v>7</v>
      </c>
      <c r="C56" s="305" t="s">
        <v>8</v>
      </c>
      <c r="D56" s="93" t="s">
        <v>321</v>
      </c>
      <c r="E56" s="72">
        <f>SUMIF(Adat!$AE:$AE,CONCATENATE(61,$M$4,"055"),Adat!$E:$E)</f>
        <v>0</v>
      </c>
      <c r="F56" s="72">
        <f>SUMIF(Adat!$AE:$AE,CONCATENATE(60,$M$4,"055"),Adat!$E:$E)+E56</f>
        <v>0</v>
      </c>
      <c r="G56" s="72">
        <f>SUMIF(Adat!$AF:$AF,CONCATENATE($M$4,"055","(KÖT)"),Adat!$E:$E)</f>
        <v>0</v>
      </c>
      <c r="H56" s="72">
        <f>SUMIF(Adat!$AF:$AF,CONCATENATE($M$4,"055","(ÖNV)"),Adat!$E:$E)</f>
        <v>0</v>
      </c>
      <c r="I56" s="72">
        <f>SUMIF(Adat!$AF:$AF,CONCATENATE($M$4,"055","(ÁIG)"),Adat!$E:$E)</f>
        <v>0</v>
      </c>
    </row>
    <row r="57" spans="2:18" x14ac:dyDescent="0.25">
      <c r="B57" s="160">
        <v>8</v>
      </c>
      <c r="C57" s="78" t="s">
        <v>358</v>
      </c>
      <c r="D57" s="92" t="s">
        <v>1447</v>
      </c>
      <c r="E57" s="121">
        <f>E58+E60+E62</f>
        <v>0</v>
      </c>
      <c r="F57" s="121">
        <f>F58+F60+F62</f>
        <v>0</v>
      </c>
      <c r="G57" s="121">
        <f>G58+G60+G62</f>
        <v>0</v>
      </c>
      <c r="H57" s="121">
        <f>H58+H60+H62</f>
        <v>0</v>
      </c>
      <c r="I57" s="121">
        <f>I58+I60+I62</f>
        <v>0</v>
      </c>
    </row>
    <row r="58" spans="2:18" s="42" customFormat="1" x14ac:dyDescent="0.25">
      <c r="B58" s="160">
        <v>9</v>
      </c>
      <c r="C58" s="305" t="s">
        <v>10</v>
      </c>
      <c r="D58" s="93" t="s">
        <v>322</v>
      </c>
      <c r="E58" s="72">
        <f>SUMIF(Adat!$AE:$AE,CONCATENATE(61,$M$4,"056"),Adat!$E:$E)</f>
        <v>0</v>
      </c>
      <c r="F58" s="72">
        <f>SUMIF(Adat!$AE:$AE,CONCATENATE(60,$M$4,"056"),Adat!$E:$E)+E58</f>
        <v>0</v>
      </c>
      <c r="G58" s="72">
        <f>SUMIF(Adat!$AF:$AF,CONCATENATE($M$4,"056","(KÖT)"),Adat!$E:$E)</f>
        <v>0</v>
      </c>
      <c r="H58" s="72">
        <f>SUMIF(Adat!$AF:$AF,CONCATENATE($M$4,"056","(ÖNV)"),Adat!$E:$E)</f>
        <v>0</v>
      </c>
      <c r="I58" s="72">
        <f>SUMIF(Adat!$AF:$AF,CONCATENATE($M$4,"056","(ÁIG)"),Adat!$E:$E)</f>
        <v>0</v>
      </c>
      <c r="L58" s="35"/>
      <c r="M58" s="35"/>
      <c r="N58" s="35"/>
      <c r="O58" s="35"/>
      <c r="P58" s="35"/>
      <c r="Q58" s="35"/>
      <c r="R58" s="35"/>
    </row>
    <row r="59" spans="2:18" s="42" customFormat="1" x14ac:dyDescent="0.25">
      <c r="B59" s="160">
        <v>10</v>
      </c>
      <c r="C59" s="305" t="s">
        <v>10</v>
      </c>
      <c r="D59" s="93" t="s">
        <v>1448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L59" s="35"/>
      <c r="M59" s="35"/>
      <c r="N59" s="35"/>
      <c r="O59" s="35"/>
      <c r="P59" s="35"/>
      <c r="Q59" s="35"/>
      <c r="R59" s="35"/>
    </row>
    <row r="60" spans="2:18" x14ac:dyDescent="0.25">
      <c r="B60" s="160">
        <v>11</v>
      </c>
      <c r="C60" s="305" t="s">
        <v>12</v>
      </c>
      <c r="D60" s="93" t="s">
        <v>323</v>
      </c>
      <c r="E60" s="72">
        <f>SUMIF(Adat!$AE:$AE,CONCATENATE(61,$M$4,"057"),Adat!$E:$E)</f>
        <v>0</v>
      </c>
      <c r="F60" s="72">
        <f>SUMIF(Adat!$AE:$AE,CONCATENATE(60,$M$4,"057"),Adat!$E:$E)+E60</f>
        <v>0</v>
      </c>
      <c r="G60" s="72">
        <f>SUMIF(Adat!$AF:$AF,CONCATENATE($M$4,"057","(KÖT)"),Adat!$E:$E)</f>
        <v>0</v>
      </c>
      <c r="H60" s="72">
        <f>SUMIF(Adat!$AF:$AF,CONCATENATE($M$4,"057","(ÖNV)"),Adat!$E:$E)</f>
        <v>0</v>
      </c>
      <c r="I60" s="72">
        <f>SUMIF(Adat!$AF:$AF,CONCATENATE($M$4,"057","(ÁIG)"),Adat!$E:$E)</f>
        <v>0</v>
      </c>
    </row>
    <row r="61" spans="2:18" x14ac:dyDescent="0.25">
      <c r="B61" s="160">
        <v>12</v>
      </c>
      <c r="C61" s="305" t="s">
        <v>12</v>
      </c>
      <c r="D61" s="93" t="s">
        <v>1449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</row>
    <row r="62" spans="2:18" x14ac:dyDescent="0.25">
      <c r="B62" s="160">
        <v>13</v>
      </c>
      <c r="C62" s="305" t="s">
        <v>15</v>
      </c>
      <c r="D62" s="84" t="s">
        <v>324</v>
      </c>
      <c r="E62" s="72">
        <f>SUMIF(Adat!$AE:$AE,CONCATENATE(61,$M$4,"058"),Adat!$E:$E)</f>
        <v>0</v>
      </c>
      <c r="F62" s="72">
        <f>SUMIF(Adat!$AE:$AE,CONCATENATE(60,$M$4,"058"),Adat!$E:$E)+E62</f>
        <v>0</v>
      </c>
      <c r="G62" s="72">
        <f>SUMIF(Adat!$AF:$AF,CONCATENATE($M$4,"058","(KÖT)"),Adat!$E:$E)</f>
        <v>0</v>
      </c>
      <c r="H62" s="72">
        <f>SUMIF(Adat!$AF:$AF,CONCATENATE($M$4,"058","(ÖNV)"),Adat!$E:$E)</f>
        <v>0</v>
      </c>
      <c r="I62" s="72">
        <f>SUMIF(Adat!$AF:$AF,CONCATENATE($M$4,"058","(ÁIG)"),Adat!$E:$E)</f>
        <v>0</v>
      </c>
    </row>
    <row r="63" spans="2:18" x14ac:dyDescent="0.25">
      <c r="B63" s="160">
        <v>14</v>
      </c>
      <c r="C63" s="154" t="s">
        <v>364</v>
      </c>
      <c r="D63" s="86" t="s">
        <v>325</v>
      </c>
      <c r="E63" s="71">
        <f>SUMIF(Adat!$AE:$AE,CONCATENATE(61,$M$4,"059"),Adat!$E:$E)</f>
        <v>0</v>
      </c>
      <c r="F63" s="71">
        <f>SUMIF(Adat!$AE:$AE,CONCATENATE(60,$M$4,"059"),Adat!$E:$E)+E63</f>
        <v>0</v>
      </c>
      <c r="G63" s="71">
        <f>SUMIF(Adat!$AF:$AF,CONCATENATE($M$4,"059","(KÖT)"),Adat!$E:$E)</f>
        <v>0</v>
      </c>
      <c r="H63" s="71">
        <f>SUMIF(Adat!$AF:$AF,CONCATENATE($M$4,"059","(ÖNV)"),Adat!$E:$E)</f>
        <v>0</v>
      </c>
      <c r="I63" s="71">
        <f>SUMIF(Adat!$AF:$AF,CONCATENATE($M$4,"059","(ÁIG)"),Adat!$E:$E)</f>
        <v>0</v>
      </c>
    </row>
    <row r="64" spans="2:18" x14ac:dyDescent="0.25">
      <c r="B64" s="160">
        <v>15</v>
      </c>
      <c r="C64" s="154" t="s">
        <v>403</v>
      </c>
      <c r="D64" s="159" t="s">
        <v>497</v>
      </c>
      <c r="E64" s="121">
        <f>E51+E57+E63</f>
        <v>314979011</v>
      </c>
      <c r="F64" s="121">
        <f>F51+F57+F63</f>
        <v>314979011</v>
      </c>
      <c r="G64" s="121">
        <f>G51+G57+G63</f>
        <v>314979011</v>
      </c>
      <c r="H64" s="121">
        <f>H51+H57+H63</f>
        <v>0</v>
      </c>
      <c r="I64" s="121">
        <f>I51+I57+I63</f>
        <v>0</v>
      </c>
    </row>
    <row r="65" spans="2:12" ht="15.75" x14ac:dyDescent="0.25">
      <c r="B65" s="37"/>
      <c r="C65" s="529"/>
      <c r="D65" s="529"/>
      <c r="E65" s="529"/>
      <c r="F65" s="200"/>
      <c r="G65" s="200"/>
      <c r="H65" s="200"/>
      <c r="I65" s="200"/>
    </row>
    <row r="66" spans="2:12" ht="15.75" x14ac:dyDescent="0.25">
      <c r="B66" s="525" t="str">
        <f>$N$4</f>
        <v>Nagymarosi Napköziotthonos Óvoda és Bölcsőde</v>
      </c>
      <c r="C66" s="525"/>
      <c r="D66" s="525"/>
      <c r="E66" s="525"/>
      <c r="F66" s="525"/>
      <c r="G66" s="525"/>
      <c r="H66" s="525"/>
      <c r="I66" s="525"/>
    </row>
    <row r="67" spans="2:12" ht="15.75" x14ac:dyDescent="0.25">
      <c r="B67" s="525" t="s">
        <v>2660</v>
      </c>
      <c r="C67" s="525"/>
      <c r="D67" s="525"/>
      <c r="E67" s="525"/>
      <c r="F67" s="525"/>
      <c r="G67" s="525"/>
      <c r="H67" s="525"/>
      <c r="I67" s="525"/>
    </row>
    <row r="68" spans="2:12" ht="15.75" x14ac:dyDescent="0.25">
      <c r="B68" s="38"/>
      <c r="C68" s="156"/>
      <c r="D68" s="38"/>
      <c r="E68" s="140"/>
      <c r="F68" s="140"/>
      <c r="G68" s="140"/>
      <c r="H68" s="140"/>
      <c r="I68" s="140"/>
    </row>
    <row r="69" spans="2:12" s="10" customFormat="1" ht="15.75" customHeight="1" x14ac:dyDescent="0.25">
      <c r="B69" s="201" t="str">
        <f>CONCATENATE("3. Bevételi jogcímek"," - ",L69," részletező")</f>
        <v>3. Bevételi jogcímek -  részletező</v>
      </c>
      <c r="C69" s="101"/>
      <c r="D69" s="101"/>
      <c r="E69" s="101"/>
      <c r="F69" s="101"/>
      <c r="G69" s="198"/>
      <c r="H69" s="198"/>
      <c r="I69" s="198"/>
      <c r="L69" s="384"/>
    </row>
    <row r="70" spans="2:12" ht="15.75" x14ac:dyDescent="0.25">
      <c r="B70" s="38"/>
      <c r="C70" s="156"/>
      <c r="D70" s="38"/>
      <c r="E70" s="140"/>
      <c r="F70" s="140"/>
      <c r="G70" s="140"/>
      <c r="H70" s="140"/>
      <c r="I70" s="140"/>
    </row>
    <row r="71" spans="2:12" x14ac:dyDescent="0.25">
      <c r="B71" s="77"/>
      <c r="C71" s="77" t="s">
        <v>350</v>
      </c>
      <c r="D71" s="77" t="s">
        <v>351</v>
      </c>
      <c r="E71" s="77" t="s">
        <v>470</v>
      </c>
      <c r="F71" s="77" t="s">
        <v>471</v>
      </c>
      <c r="G71" s="77" t="s">
        <v>44</v>
      </c>
      <c r="H71" s="77" t="s">
        <v>42</v>
      </c>
      <c r="I71" s="77" t="s">
        <v>511</v>
      </c>
    </row>
    <row r="72" spans="2:12" ht="38.25" x14ac:dyDescent="0.25">
      <c r="B72" s="160">
        <v>1</v>
      </c>
      <c r="C72" s="154" t="s">
        <v>593</v>
      </c>
      <c r="D72" s="154" t="s">
        <v>488</v>
      </c>
      <c r="E72" s="163" t="str">
        <f>CONCATENATE(PAR!$H$3," évi
eredeti 
előirányzat")</f>
        <v>2025. évi
eredeti 
előirányzat</v>
      </c>
      <c r="F72" s="163" t="str">
        <f>CONCATENATE(PAR!$H$3," évi
módosított 
előirányzat")</f>
        <v>2025. évi
módosított 
előirányzat</v>
      </c>
      <c r="G72" s="78" t="s">
        <v>666</v>
      </c>
      <c r="H72" s="78" t="s">
        <v>667</v>
      </c>
      <c r="I72" s="78" t="s">
        <v>668</v>
      </c>
    </row>
    <row r="73" spans="2:12" x14ac:dyDescent="0.25">
      <c r="B73" s="160">
        <v>2</v>
      </c>
      <c r="C73" s="79" t="s">
        <v>30</v>
      </c>
      <c r="D73" s="79" t="s">
        <v>329</v>
      </c>
      <c r="E73" s="121">
        <f>SUM(E74:E86)</f>
        <v>0</v>
      </c>
      <c r="F73" s="121">
        <f t="shared" ref="F73:I73" si="4">SUM(F74:F86)</f>
        <v>0</v>
      </c>
      <c r="G73" s="121">
        <f t="shared" si="4"/>
        <v>0</v>
      </c>
      <c r="H73" s="121">
        <f t="shared" si="4"/>
        <v>0</v>
      </c>
      <c r="I73" s="121">
        <f t="shared" si="4"/>
        <v>0</v>
      </c>
    </row>
    <row r="74" spans="2:12" x14ac:dyDescent="0.2">
      <c r="B74" s="160">
        <v>3</v>
      </c>
      <c r="C74" s="305" t="s">
        <v>1309</v>
      </c>
      <c r="D74" s="82" t="s">
        <v>1356</v>
      </c>
      <c r="E74" s="72">
        <f>SUMIF(Adat!$AG:$AG,CONCATENATE(61,$M$4,"094011",L69),Adat!$E:$E)*-1</f>
        <v>0</v>
      </c>
      <c r="F74" s="72">
        <f>SUMIF(Adat!$AG:$AG,CONCATENATE(60,$M$4,"094011",L69),Adat!$E:$E)*-1+E74</f>
        <v>0</v>
      </c>
      <c r="G74" s="72">
        <f>SUMIF(Adat!$AH:$AH,CONCATENATE($M$4,"(KÖT)","094011",L69),Adat!$E:$E)*-1</f>
        <v>0</v>
      </c>
      <c r="H74" s="72">
        <f>SUMIF(Adat!$AH:$AH,CONCATENATE($M$4,"(ÖNV)","094011",L69),Adat!$E:$E)*-1</f>
        <v>0</v>
      </c>
      <c r="I74" s="72">
        <f>SUMIF(Adat!$AH:$AH,CONCATENATE($M$4,"(ÁIG)","094011",L69),Adat!$E:$E)*-1</f>
        <v>0</v>
      </c>
    </row>
    <row r="75" spans="2:12" x14ac:dyDescent="0.2">
      <c r="B75" s="160">
        <v>4</v>
      </c>
      <c r="C75" s="305" t="s">
        <v>1279</v>
      </c>
      <c r="D75" s="82" t="s">
        <v>1357</v>
      </c>
      <c r="E75" s="72">
        <f>SUMIF(Adat!$AG:$AG,CONCATENATE(61,$M$4,"094021",L69),Adat!$E:$E)*-1</f>
        <v>0</v>
      </c>
      <c r="F75" s="72">
        <f>SUMIF(Adat!$AG:$AG,CONCATENATE(60,$M$4,"094021",L69),Adat!$E:$E)*-1+E75</f>
        <v>0</v>
      </c>
      <c r="G75" s="72">
        <f>SUMIF(Adat!$AH:$AH,CONCATENATE($M$4,"(KÖT)","094021",L69),Adat!$E:$E)*-1</f>
        <v>0</v>
      </c>
      <c r="H75" s="72">
        <f>SUMIF(Adat!$AH:$AH,CONCATENATE($M$4,"(ÖNV)","094021",L69),Adat!$E:$E)*-1</f>
        <v>0</v>
      </c>
      <c r="I75" s="72">
        <f>SUMIF(Adat!$AH:$AH,CONCATENATE($M$4,"(ÁIG)","094021",L69),Adat!$E:$E)*-1</f>
        <v>0</v>
      </c>
    </row>
    <row r="76" spans="2:12" x14ac:dyDescent="0.2">
      <c r="B76" s="160">
        <v>5</v>
      </c>
      <c r="C76" s="305" t="s">
        <v>1272</v>
      </c>
      <c r="D76" s="82" t="s">
        <v>1358</v>
      </c>
      <c r="E76" s="72">
        <f>SUMIF(Adat!$AG:$AG,CONCATENATE(61,$M$4,"094031",L69),Adat!$E:$E)*-1</f>
        <v>0</v>
      </c>
      <c r="F76" s="72">
        <f>SUMIF(Adat!$AG:$AG,CONCATENATE(60,$M$4,"094031",L69),Adat!$E:$E)*-1+E76</f>
        <v>0</v>
      </c>
      <c r="G76" s="72">
        <f>SUMIF(Adat!$AH:$AH,CONCATENATE($M$4,"(KÖT)","094031",L69),Adat!$E:$E)*-1</f>
        <v>0</v>
      </c>
      <c r="H76" s="72">
        <f>SUMIF(Adat!$AH:$AH,CONCATENATE($M$4,"(ÖNV)","094031",L69),Adat!$E:$E)*-1</f>
        <v>0</v>
      </c>
      <c r="I76" s="72">
        <f>SUMIF(Adat!$AH:$AH,CONCATENATE($M$4,"(ÁIG)","094031",L69),Adat!$E:$E)*-1</f>
        <v>0</v>
      </c>
    </row>
    <row r="77" spans="2:12" x14ac:dyDescent="0.2">
      <c r="B77" s="160">
        <v>6</v>
      </c>
      <c r="C77" s="305" t="s">
        <v>1359</v>
      </c>
      <c r="D77" s="82" t="s">
        <v>1360</v>
      </c>
      <c r="E77" s="72">
        <f>SUMIF(Adat!$AG:$AG,CONCATENATE(61,$M$4,"094041",L69),Adat!$E:$E)*-1</f>
        <v>0</v>
      </c>
      <c r="F77" s="72">
        <f>SUMIF(Adat!$AG:$AG,CONCATENATE(60,$M$4,"094041",L69),Adat!$E:$E)*-1+E77</f>
        <v>0</v>
      </c>
      <c r="G77" s="72">
        <f>SUMIF(Adat!$AH:$AH,CONCATENATE($M$4,"(KÖT)","094041",L69),Adat!$E:$E)*-1</f>
        <v>0</v>
      </c>
      <c r="H77" s="72">
        <f>SUMIF(Adat!$AH:$AH,CONCATENATE($M$4,"(ÖNV)","094041",L69),Adat!$E:$E)*-1</f>
        <v>0</v>
      </c>
      <c r="I77" s="72">
        <f>SUMIF(Adat!$AH:$AH,CONCATENATE($M$4,"(ÁIG)","094041",L69),Adat!$E:$E)*-1</f>
        <v>0</v>
      </c>
    </row>
    <row r="78" spans="2:12" x14ac:dyDescent="0.2">
      <c r="B78" s="160">
        <v>7</v>
      </c>
      <c r="C78" s="305" t="s">
        <v>1261</v>
      </c>
      <c r="D78" s="82" t="s">
        <v>1361</v>
      </c>
      <c r="E78" s="72">
        <f>SUMIF(Adat!$AG:$AG,CONCATENATE(61,$M$4,"094051",L69),Adat!$E:$E)*-1</f>
        <v>0</v>
      </c>
      <c r="F78" s="72">
        <f>SUMIF(Adat!$AG:$AG,CONCATENATE(60,$M$4,"094051",L69),Adat!$E:$E)*-1+E78</f>
        <v>0</v>
      </c>
      <c r="G78" s="72">
        <f>SUMIF(Adat!$AH:$AH,CONCATENATE($M$4,"(KÖT)","094051",L69),Adat!$E:$E)*-1</f>
        <v>0</v>
      </c>
      <c r="H78" s="72">
        <f>SUMIF(Adat!$AH:$AH,CONCATENATE($M$4,"(ÖNV)","094051",L69),Adat!$E:$E)*-1</f>
        <v>0</v>
      </c>
      <c r="I78" s="72">
        <f>SUMIF(Adat!$AH:$AH,CONCATENATE($M$4,"(ÁIG)","094051",L69),Adat!$E:$E)*-1</f>
        <v>0</v>
      </c>
    </row>
    <row r="79" spans="2:12" x14ac:dyDescent="0.2">
      <c r="B79" s="160">
        <v>8</v>
      </c>
      <c r="C79" s="305" t="s">
        <v>1273</v>
      </c>
      <c r="D79" s="82" t="s">
        <v>1362</v>
      </c>
      <c r="E79" s="72">
        <f>SUMIF(Adat!$AG:$AG,CONCATENATE(61,$M$4,"094061",L69),Adat!$E:$E)*-1</f>
        <v>0</v>
      </c>
      <c r="F79" s="72">
        <f>SUMIF(Adat!$AG:$AG,CONCATENATE(60,$M$4,"094061",L69),Adat!$E:$E)*-1+E79</f>
        <v>0</v>
      </c>
      <c r="G79" s="72">
        <f>SUMIF(Adat!$AH:$AH,CONCATENATE($M$4,"(KÖT)","094061",L69),Adat!$E:$E)*-1</f>
        <v>0</v>
      </c>
      <c r="H79" s="72">
        <f>SUMIF(Adat!$AH:$AH,CONCATENATE($M$4,"(ÖNV)","094061",L69),Adat!$E:$E)*-1</f>
        <v>0</v>
      </c>
      <c r="I79" s="72">
        <f>SUMIF(Adat!$AH:$AH,CONCATENATE($M$4,"(ÁIG)","094061",L69),Adat!$E:$E)*-1</f>
        <v>0</v>
      </c>
    </row>
    <row r="80" spans="2:12" x14ac:dyDescent="0.2">
      <c r="B80" s="160">
        <v>9</v>
      </c>
      <c r="C80" s="305" t="s">
        <v>1363</v>
      </c>
      <c r="D80" s="82" t="s">
        <v>1364</v>
      </c>
      <c r="E80" s="72">
        <f>SUMIF(Adat!$AG:$AG,CONCATENATE(61,$M$4,"094071",L69),Adat!$E:$E)*-1</f>
        <v>0</v>
      </c>
      <c r="F80" s="72">
        <f>SUMIF(Adat!$AG:$AG,CONCATENATE(60,$M$4,"094071",L69),Adat!$E:$E)*-1+E80</f>
        <v>0</v>
      </c>
      <c r="G80" s="72">
        <f>SUMIF(Adat!$AH:$AH,CONCATENATE($M$4,"(KÖT)","094071",L69),Adat!$E:$E)*-1</f>
        <v>0</v>
      </c>
      <c r="H80" s="72">
        <f>SUMIF(Adat!$AH:$AH,CONCATENATE($M$4,"(ÖNV)","094071",L69),Adat!$E:$E)*-1</f>
        <v>0</v>
      </c>
      <c r="I80" s="72">
        <f>SUMIF(Adat!$AH:$AH,CONCATENATE($M$4,"(ÁIG)","094071",L69),Adat!$E:$E)*-1</f>
        <v>0</v>
      </c>
    </row>
    <row r="81" spans="2:9" x14ac:dyDescent="0.2">
      <c r="B81" s="160">
        <v>10</v>
      </c>
      <c r="C81" s="305" t="s">
        <v>1306</v>
      </c>
      <c r="D81" s="82" t="s">
        <v>1365</v>
      </c>
      <c r="E81" s="72">
        <f>SUMIF(Adat!$AG:$AG,CONCATENATE(61,$M$4,"0940811",L69),Adat!$E:$E)*-1</f>
        <v>0</v>
      </c>
      <c r="F81" s="72">
        <f>SUMIF(Adat!$AG:$AG,CONCATENATE(60,$M$4,"0940811",L69),Adat!$E:$E)*-1+E81</f>
        <v>0</v>
      </c>
      <c r="G81" s="72">
        <f>SUMIF(Adat!$AH:$AH,CONCATENATE($M$4,"(KÖT)","0940811",L69),Adat!$E:$E)*-1</f>
        <v>0</v>
      </c>
      <c r="H81" s="72">
        <f>SUMIF(Adat!$AH:$AH,CONCATENATE($M$4,"(ÖNV)","0940811",L69),Adat!$E:$E)*-1</f>
        <v>0</v>
      </c>
      <c r="I81" s="72">
        <f>SUMIF(Adat!$AH:$AH,CONCATENATE($M$4,"(ÁIG)","0940811",L69),Adat!$E:$E)*-1</f>
        <v>0</v>
      </c>
    </row>
    <row r="82" spans="2:9" x14ac:dyDescent="0.2">
      <c r="B82" s="160">
        <v>11</v>
      </c>
      <c r="C82" s="305" t="s">
        <v>1295</v>
      </c>
      <c r="D82" s="82" t="s">
        <v>1366</v>
      </c>
      <c r="E82" s="72">
        <f>SUMIF(Adat!$AG:$AG,CONCATENATE(61,$M$4,"0940821",L69),Adat!$E:$E)*-1</f>
        <v>0</v>
      </c>
      <c r="F82" s="72">
        <f>SUMIF(Adat!$AG:$AG,CONCATENATE(60,$M$4,"0940821",L69),Adat!$E:$E)*-1+E82</f>
        <v>0</v>
      </c>
      <c r="G82" s="72">
        <f>SUMIF(Adat!$AH:$AH,CONCATENATE($M$4,"(KÖT)","0940821",L69),Adat!$E:$E)*-1</f>
        <v>0</v>
      </c>
      <c r="H82" s="72">
        <f>SUMIF(Adat!$AH:$AH,CONCATENATE($M$4,"(ÖNV)","0940821",L69),Adat!$E:$E)*-1</f>
        <v>0</v>
      </c>
      <c r="I82" s="72">
        <f>SUMIF(Adat!$AH:$AH,CONCATENATE($M$4,"(ÁIG)","0940821",L69),Adat!$E:$E)*-1</f>
        <v>0</v>
      </c>
    </row>
    <row r="83" spans="2:9" x14ac:dyDescent="0.2">
      <c r="B83" s="160">
        <v>12</v>
      </c>
      <c r="C83" s="305" t="s">
        <v>1367</v>
      </c>
      <c r="D83" s="82" t="s">
        <v>1368</v>
      </c>
      <c r="E83" s="72">
        <f>SUMIF(Adat!$AG:$AG,CONCATENATE(61,$M$4,"0940911",L69),Adat!$E:$E)*-1</f>
        <v>0</v>
      </c>
      <c r="F83" s="72">
        <f>SUMIF(Adat!$AG:$AG,CONCATENATE(60,$M$4,"0940911",L69),Adat!$E:$E)*-1+E83</f>
        <v>0</v>
      </c>
      <c r="G83" s="72">
        <f>SUMIF(Adat!$AH:$AH,CONCATENATE($M$4,"(KÖT)","0940911",L69),Adat!$E:$E)*-1</f>
        <v>0</v>
      </c>
      <c r="H83" s="72">
        <f>SUMIF(Adat!$AH:$AH,CONCATENATE($M$4,"(ÖNV)","0940911",L69),Adat!$E:$E)*-1</f>
        <v>0</v>
      </c>
      <c r="I83" s="72">
        <f>SUMIF(Adat!$AH:$AH,CONCATENATE($M$4,"(ÁIG)","0940911",L69),Adat!$E:$E)*-1</f>
        <v>0</v>
      </c>
    </row>
    <row r="84" spans="2:9" x14ac:dyDescent="0.2">
      <c r="B84" s="160">
        <v>13</v>
      </c>
      <c r="C84" s="305" t="s">
        <v>1369</v>
      </c>
      <c r="D84" s="82" t="s">
        <v>1370</v>
      </c>
      <c r="E84" s="72">
        <f>SUMIF(Adat!$AG:$AG,CONCATENATE(61,$M$4,"0940921",L69),Adat!$E:$E)*-1</f>
        <v>0</v>
      </c>
      <c r="F84" s="72">
        <f>SUMIF(Adat!$AG:$AG,CONCATENATE(60,$M$4,"0940921",L69),Adat!$E:$E)*-1+E84</f>
        <v>0</v>
      </c>
      <c r="G84" s="72">
        <f>SUMIF(Adat!$AH:$AH,CONCATENATE($M$4,"(KÖT)","0940921",L69),Adat!$E:$E)*-1</f>
        <v>0</v>
      </c>
      <c r="H84" s="72">
        <f>SUMIF(Adat!$AH:$AH,CONCATENATE($M$4,"(ÖNV)","0940921",L69),Adat!$E:$E)*-1</f>
        <v>0</v>
      </c>
      <c r="I84" s="72">
        <f>SUMIF(Adat!$AH:$AH,CONCATENATE($M$4,"(ÁIG)","0940921",L69),Adat!$E:$E)*-1</f>
        <v>0</v>
      </c>
    </row>
    <row r="85" spans="2:9" x14ac:dyDescent="0.2">
      <c r="B85" s="160">
        <v>14</v>
      </c>
      <c r="C85" s="305" t="s">
        <v>1296</v>
      </c>
      <c r="D85" s="82" t="s">
        <v>1371</v>
      </c>
      <c r="E85" s="72">
        <f>SUMIF(Adat!$AG:$AG,CONCATENATE(61,$M$4,"094101",L69),Adat!$E:$E)*-1</f>
        <v>0</v>
      </c>
      <c r="F85" s="72">
        <f>SUMIF(Adat!$AG:$AG,CONCATENATE(60,$M$4,"094101",L69),Adat!$E:$E)*-1+E85</f>
        <v>0</v>
      </c>
      <c r="G85" s="72">
        <f>SUMIF(Adat!$AH:$AH,CONCATENATE($M$4,"(KÖT)","094101",L69),Adat!$E:$E)*-1</f>
        <v>0</v>
      </c>
      <c r="H85" s="72">
        <f>SUMIF(Adat!$AH:$AH,CONCATENATE($M$4,"(ÖNV)","094101",L69),Adat!$E:$E)*-1</f>
        <v>0</v>
      </c>
      <c r="I85" s="72">
        <f>SUMIF(Adat!$AH:$AH,CONCATENATE($M$4,"(ÁIG)","094101",L69),Adat!$E:$E)*-1</f>
        <v>0</v>
      </c>
    </row>
    <row r="86" spans="2:9" x14ac:dyDescent="0.25">
      <c r="B86" s="160">
        <v>15</v>
      </c>
      <c r="C86" s="305" t="s">
        <v>1297</v>
      </c>
      <c r="D86" s="84" t="s">
        <v>1372</v>
      </c>
      <c r="E86" s="72">
        <f>SUMIF(Adat!$AG:$AG,CONCATENATE(61,$M$4,"094111",L69),Adat!$E:$E)*-1</f>
        <v>0</v>
      </c>
      <c r="F86" s="72">
        <f>SUMIF(Adat!$AG:$AG,CONCATENATE(60,$M$4,"094111",L69),Adat!$E:$E)*-1+E86</f>
        <v>0</v>
      </c>
      <c r="G86" s="72">
        <f>SUMIF(Adat!$AH:$AH,CONCATENATE($M$4,"(KÖT)","094111",L69),Adat!$E:$E)*-1</f>
        <v>0</v>
      </c>
      <c r="H86" s="72">
        <f>SUMIF(Adat!$AH:$AH,CONCATENATE($M$4,"(ÖNV)","094111",L69),Adat!$E:$E)*-1</f>
        <v>0</v>
      </c>
      <c r="I86" s="72">
        <f>SUMIF(Adat!$AH:$AH,CONCATENATE($M$4,"(ÁIG)","094111",L69),Adat!$E:$E)*-1</f>
        <v>0</v>
      </c>
    </row>
    <row r="87" spans="2:9" x14ac:dyDescent="0.25">
      <c r="B87" s="160">
        <v>16</v>
      </c>
      <c r="C87" s="78" t="s">
        <v>1328</v>
      </c>
      <c r="D87" s="85" t="s">
        <v>437</v>
      </c>
      <c r="E87" s="121">
        <f>SUM(E88:E90)</f>
        <v>0</v>
      </c>
      <c r="F87" s="121">
        <f>SUM(F88:F90)</f>
        <v>0</v>
      </c>
      <c r="G87" s="121">
        <f>SUM(G88:G90)</f>
        <v>0</v>
      </c>
      <c r="H87" s="121">
        <f>SUM(H88:H90)</f>
        <v>0</v>
      </c>
      <c r="I87" s="121">
        <f>SUM(I88:I90)</f>
        <v>0</v>
      </c>
    </row>
    <row r="88" spans="2:9" x14ac:dyDescent="0.2">
      <c r="B88" s="160">
        <v>17</v>
      </c>
      <c r="C88" s="305" t="s">
        <v>1329</v>
      </c>
      <c r="D88" s="82" t="s">
        <v>1330</v>
      </c>
      <c r="E88" s="72">
        <f>SUMIF(Adat!$AG:$AG,CONCATENATE(61,$M$4,"09121",L69),Adat!$E:$E)*-1</f>
        <v>0</v>
      </c>
      <c r="F88" s="72">
        <f>SUMIF(Adat!$AG:$AG,CONCATENATE(60,$M$4,"09121",L69),Adat!$E:$E)*-1+E88</f>
        <v>0</v>
      </c>
      <c r="G88" s="72">
        <f>SUMIF(Adat!$AH:$AH,CONCATENATE($M$4,"(KÖT)","09121",L69),Adat!$E:$E)*-1</f>
        <v>0</v>
      </c>
      <c r="H88" s="72">
        <f>SUMIF(Adat!$AH:$AH,CONCATENATE($M$4,"(ÖNV)","09121",L69),Adat!$E:$E)*-1</f>
        <v>0</v>
      </c>
      <c r="I88" s="72">
        <f>SUMIF(Adat!$AH:$AH,CONCATENATE($M$4,"(ÁIG)","09121",L69),Adat!$E:$E)*-1</f>
        <v>0</v>
      </c>
    </row>
    <row r="89" spans="2:9" x14ac:dyDescent="0.2">
      <c r="B89" s="160">
        <v>18</v>
      </c>
      <c r="C89" s="305" t="s">
        <v>1335</v>
      </c>
      <c r="D89" s="82" t="s">
        <v>1336</v>
      </c>
      <c r="E89" s="72">
        <f>SUMIF(Adat!$AG:$AG,CONCATENATE(61,$M$4,"09151",L69),Adat!$E:$E)*-1</f>
        <v>0</v>
      </c>
      <c r="F89" s="72">
        <f>SUMIF(Adat!$AG:$AG,CONCATENATE(60,$M$4,"09151",L69),Adat!$E:$E)*-1+E89</f>
        <v>0</v>
      </c>
      <c r="G89" s="72">
        <f>SUMIF(Adat!$AH:$AH,CONCATENATE($M$4,"(KÖT)","09151",L69),Adat!$E:$E)*-1</f>
        <v>0</v>
      </c>
      <c r="H89" s="72">
        <f>SUMIF(Adat!$AH:$AH,CONCATENATE($M$4,"(ÖNV)","09151",L69),Adat!$E:$E)*-1</f>
        <v>0</v>
      </c>
      <c r="I89" s="72">
        <f>SUMIF(Adat!$AH:$AH,CONCATENATE($M$4,"(ÁIG)","09151",L69),Adat!$E:$E)*-1</f>
        <v>0</v>
      </c>
    </row>
    <row r="90" spans="2:9" x14ac:dyDescent="0.2">
      <c r="B90" s="160">
        <v>19</v>
      </c>
      <c r="C90" s="305" t="s">
        <v>1278</v>
      </c>
      <c r="D90" s="82" t="s">
        <v>1337</v>
      </c>
      <c r="E90" s="72">
        <f>SUMIF(Adat!$AG:$AG,CONCATENATE(61,$M$4,"09161",L69),Adat!$E:$E)*-1</f>
        <v>0</v>
      </c>
      <c r="F90" s="72">
        <f>SUMIF(Adat!$AG:$AG,CONCATENATE(60,$M$4,"09161",L69),Adat!$E:$E)*-1+E90</f>
        <v>0</v>
      </c>
      <c r="G90" s="72">
        <f>SUMIF(Adat!$AH:$AH,CONCATENATE($M$4,"(KÖT)","09161",L69),Adat!$E:$E)*-1</f>
        <v>0</v>
      </c>
      <c r="H90" s="72">
        <f>SUMIF(Adat!$AH:$AH,CONCATENATE($M$4,"(ÖNV)","09161",L69),Adat!$E:$E)*-1</f>
        <v>0</v>
      </c>
      <c r="I90" s="72">
        <f>SUMIF(Adat!$AH:$AH,CONCATENATE($M$4,"(ÁIG)","09161",L69),Adat!$E:$E)*-1</f>
        <v>0</v>
      </c>
    </row>
    <row r="91" spans="2:9" x14ac:dyDescent="0.25">
      <c r="B91" s="160">
        <v>20</v>
      </c>
      <c r="C91" s="79" t="s">
        <v>27</v>
      </c>
      <c r="D91" s="79" t="s">
        <v>328</v>
      </c>
      <c r="E91" s="71">
        <f>SUMIF(Adat!$AI:$AI,CONCATENATE(61,$M$4,"093",L69),Adat!$E:$E)*-1</f>
        <v>0</v>
      </c>
      <c r="F91" s="71">
        <f>SUMIF(Adat!$AI:$AI,CONCATENATE(60,$M$4,"093",L69),Adat!$E:$E)*-1+E91</f>
        <v>0</v>
      </c>
      <c r="G91" s="71">
        <f>SUMIF(Adat!$AJ:$AJ,CONCATENATE($M$4,"093","(KÖT)",L69),Adat!$E:$E)*-1</f>
        <v>0</v>
      </c>
      <c r="H91" s="71">
        <f>SUMIF(Adat!$AJ:$AJ,CONCATENATE($M$4,"093","(ÖNV)",L69),Adat!$E:$E)*-1</f>
        <v>0</v>
      </c>
      <c r="I91" s="71">
        <f>SUMIF(Adat!$AJ:$AJ,CONCATENATE($M$4,"093","(ÁIG)",L69),Adat!$E:$E)*-1</f>
        <v>0</v>
      </c>
    </row>
    <row r="92" spans="2:9" x14ac:dyDescent="0.25">
      <c r="B92" s="160">
        <v>21</v>
      </c>
      <c r="C92" s="79" t="s">
        <v>24</v>
      </c>
      <c r="D92" s="79" t="s">
        <v>449</v>
      </c>
      <c r="E92" s="121">
        <f>SUM(E93:E95)</f>
        <v>0</v>
      </c>
      <c r="F92" s="121">
        <f t="shared" ref="F92:I92" si="5">SUM(F93:F95)</f>
        <v>0</v>
      </c>
      <c r="G92" s="121">
        <f t="shared" si="5"/>
        <v>0</v>
      </c>
      <c r="H92" s="121">
        <f t="shared" si="5"/>
        <v>0</v>
      </c>
      <c r="I92" s="121">
        <f t="shared" si="5"/>
        <v>0</v>
      </c>
    </row>
    <row r="93" spans="2:9" x14ac:dyDescent="0.2">
      <c r="B93" s="160">
        <v>22</v>
      </c>
      <c r="C93" s="305" t="s">
        <v>1339</v>
      </c>
      <c r="D93" s="82" t="s">
        <v>1340</v>
      </c>
      <c r="E93" s="72">
        <f>SUMIF(Adat!$AG:$AG,CONCATENATE(61,$M$4,"09211",L69),Adat!$E:$E)*-1</f>
        <v>0</v>
      </c>
      <c r="F93" s="72">
        <f>SUMIF(Adat!$AG:$AG,CONCATENATE(60,$M$4,"09211",L69),Adat!$E:$E)*-1+E93</f>
        <v>0</v>
      </c>
      <c r="G93" s="72">
        <f>SUMIF(Adat!$AH:$AH,CONCATENATE($M$4,"(KÖT)","09211",L69),Adat!$E:$E)*-1</f>
        <v>0</v>
      </c>
      <c r="H93" s="72">
        <f>SUMIF(Adat!$AH:$AH,CONCATENATE($M$4,"(ÖNV)","09211",L69),Adat!$E:$E)*-1</f>
        <v>0</v>
      </c>
      <c r="I93" s="72">
        <f>SUMIF(Adat!$AH:$AH,CONCATENATE($M$4,"(ÁIG)","09211",L69),Adat!$E:$E)*-1</f>
        <v>0</v>
      </c>
    </row>
    <row r="94" spans="2:9" x14ac:dyDescent="0.2">
      <c r="B94" s="160">
        <v>23</v>
      </c>
      <c r="C94" s="305" t="s">
        <v>1345</v>
      </c>
      <c r="D94" s="82" t="s">
        <v>1346</v>
      </c>
      <c r="E94" s="72">
        <f>SUMIF(Adat!$AG:$AG,CONCATENATE(61,$M$4,"09241",L69),Adat!$E:$E)*-1</f>
        <v>0</v>
      </c>
      <c r="F94" s="72">
        <f>SUMIF(Adat!$AG:$AG,CONCATENATE(60,$M$4,"09241",L69),Adat!$E:$E)*-1+E94</f>
        <v>0</v>
      </c>
      <c r="G94" s="72">
        <f>SUMIF(Adat!$AH:$AH,CONCATENATE($M$4,"(KÖT)","09241",L69),Adat!$E:$E)*-1</f>
        <v>0</v>
      </c>
      <c r="H94" s="72">
        <f>SUMIF(Adat!$AH:$AH,CONCATENATE($M$4,"(ÖNV)","09241",L69),Adat!$E:$E)*-1</f>
        <v>0</v>
      </c>
      <c r="I94" s="72">
        <f>SUMIF(Adat!$AH:$AH,CONCATENATE($M$4,"(ÁIG)","09241",L69),Adat!$E:$E)*-1</f>
        <v>0</v>
      </c>
    </row>
    <row r="95" spans="2:9" x14ac:dyDescent="0.2">
      <c r="B95" s="160">
        <v>24</v>
      </c>
      <c r="C95" s="305" t="s">
        <v>1255</v>
      </c>
      <c r="D95" s="82" t="s">
        <v>1347</v>
      </c>
      <c r="E95" s="72">
        <f>SUMIF(Adat!$AG:$AG,CONCATENATE(61,$M$4,"09251",L69),Adat!$E:$E)*-1</f>
        <v>0</v>
      </c>
      <c r="F95" s="72">
        <f>SUMIF(Adat!$AG:$AG,CONCATENATE(60,$M$4,"09251",L69),Adat!$E:$E)*-1+E95</f>
        <v>0</v>
      </c>
      <c r="G95" s="72">
        <f>SUMIF(Adat!$AH:$AH,CONCATENATE($M$4,"(KÖT)","09251",L69),Adat!$E:$E)*-1</f>
        <v>0</v>
      </c>
      <c r="H95" s="72">
        <f>SUMIF(Adat!$AH:$AH,CONCATENATE($M$4,"(ÖNV)","09251",L69),Adat!$E:$E)*-1</f>
        <v>0</v>
      </c>
      <c r="I95" s="72">
        <f>SUMIF(Adat!$AH:$AH,CONCATENATE($M$4,"(ÁIG)","09251",L69),Adat!$E:$E)*-1</f>
        <v>0</v>
      </c>
    </row>
    <row r="96" spans="2:9" x14ac:dyDescent="0.25">
      <c r="B96" s="160">
        <v>25</v>
      </c>
      <c r="C96" s="79" t="s">
        <v>33</v>
      </c>
      <c r="D96" s="79" t="s">
        <v>330</v>
      </c>
      <c r="E96" s="121">
        <f>SUM(E97:E99)</f>
        <v>0</v>
      </c>
      <c r="F96" s="121">
        <f t="shared" ref="F96:I96" si="6">SUM(F97:F99)</f>
        <v>0</v>
      </c>
      <c r="G96" s="121">
        <f t="shared" si="6"/>
        <v>0</v>
      </c>
      <c r="H96" s="121">
        <f t="shared" si="6"/>
        <v>0</v>
      </c>
      <c r="I96" s="121">
        <f t="shared" si="6"/>
        <v>0</v>
      </c>
    </row>
    <row r="97" spans="2:12" x14ac:dyDescent="0.2">
      <c r="B97" s="160">
        <v>26</v>
      </c>
      <c r="C97" s="305" t="s">
        <v>1373</v>
      </c>
      <c r="D97" s="82" t="s">
        <v>1374</v>
      </c>
      <c r="E97" s="72">
        <f>SUMIF(Adat!$AG:$AG,CONCATENATE(61,$M$4,"09511",L69),Adat!$E:$E)*-1</f>
        <v>0</v>
      </c>
      <c r="F97" s="72">
        <f>SUMIF(Adat!$AG:$AG,CONCATENATE(60,$M$4,"09511",L69),Adat!$E:$E)*-1+E97</f>
        <v>0</v>
      </c>
      <c r="G97" s="72">
        <f>SUMIF(Adat!$AH:$AH,CONCATENATE($M$4,"(KÖT)","09511",L69),Adat!$E:$E)*-1</f>
        <v>0</v>
      </c>
      <c r="H97" s="72">
        <f>SUMIF(Adat!$AH:$AH,CONCATENATE($M$4,"(ÖNV)","09511",L69),Adat!$E:$E)*-1</f>
        <v>0</v>
      </c>
      <c r="I97" s="72">
        <f>SUMIF(Adat!$AH:$AH,CONCATENATE($M$4,"(ÁIG)","09511",L69),Adat!$E:$E)*-1</f>
        <v>0</v>
      </c>
    </row>
    <row r="98" spans="2:12" x14ac:dyDescent="0.2">
      <c r="B98" s="160">
        <v>27</v>
      </c>
      <c r="C98" s="305" t="s">
        <v>1294</v>
      </c>
      <c r="D98" s="82" t="s">
        <v>1375</v>
      </c>
      <c r="E98" s="72">
        <f>SUMIF(Adat!$AG:$AG,CONCATENATE(61,$M$4,"09521",L69),Adat!$E:$E)*-1</f>
        <v>0</v>
      </c>
      <c r="F98" s="72">
        <f>SUMIF(Adat!$AG:$AG,CONCATENATE(60,$M$4,"09521",L69),Adat!$E:$E)*-1+E98</f>
        <v>0</v>
      </c>
      <c r="G98" s="72">
        <f>SUMIF(Adat!$AH:$AH,CONCATENATE($M$4,"(KÖT)","09521",L69),Adat!$E:$E)*-1</f>
        <v>0</v>
      </c>
      <c r="H98" s="72">
        <f>SUMIF(Adat!$AH:$AH,CONCATENATE($M$4,"(ÖNV)","09521",L69),Adat!$E:$E)*-1</f>
        <v>0</v>
      </c>
      <c r="I98" s="72">
        <f>SUMIF(Adat!$AH:$AH,CONCATENATE($M$4,"(ÁIG)","09521",L69),Adat!$E:$E)*-1</f>
        <v>0</v>
      </c>
    </row>
    <row r="99" spans="2:12" x14ac:dyDescent="0.2">
      <c r="B99" s="160">
        <v>28</v>
      </c>
      <c r="C99" s="305" t="s">
        <v>1376</v>
      </c>
      <c r="D99" s="82" t="s">
        <v>1377</v>
      </c>
      <c r="E99" s="72">
        <f>SUMIF(Adat!$AG:$AG,CONCATENATE(61,$M$4,"09531",L69),Adat!$E:$E)*-1</f>
        <v>0</v>
      </c>
      <c r="F99" s="72">
        <f>SUMIF(Adat!$AG:$AG,CONCATENATE(60,$M$4,"09531",L69),Adat!$E:$E)*-1+E99</f>
        <v>0</v>
      </c>
      <c r="G99" s="72">
        <f>SUMIF(Adat!$AH:$AH,CONCATENATE($M$4,"(KÖT)","09531",L69),Adat!$E:$E)*-1</f>
        <v>0</v>
      </c>
      <c r="H99" s="72">
        <f>SUMIF(Adat!$AH:$AH,CONCATENATE($M$4,"(ÖNV)","09531",L69),Adat!$E:$E)*-1</f>
        <v>0</v>
      </c>
      <c r="I99" s="72">
        <f>SUMIF(Adat!$AH:$AH,CONCATENATE($M$4,"(ÁIG)","09531",L69),Adat!$E:$E)*-1</f>
        <v>0</v>
      </c>
    </row>
    <row r="100" spans="2:12" x14ac:dyDescent="0.25">
      <c r="B100" s="160">
        <v>29</v>
      </c>
      <c r="C100" s="79" t="s">
        <v>36</v>
      </c>
      <c r="D100" s="79" t="s">
        <v>331</v>
      </c>
      <c r="E100" s="71">
        <f>SUMIF(Adat!$AI:$AI,CONCATENATE(61,$M$4,"096",L69),Adat!$E:$E)*-1</f>
        <v>0</v>
      </c>
      <c r="F100" s="71">
        <f>SUMIF(Adat!$AI:$AI,CONCATENATE(60,$M$4,"096",L69),Adat!$E:$E)*-1+E100</f>
        <v>0</v>
      </c>
      <c r="G100" s="71">
        <f>SUMIF(Adat!$AJ:$AJ,CONCATENATE($M$4,"096","(KÖT)",L69),Adat!$E:$E)*-1</f>
        <v>0</v>
      </c>
      <c r="H100" s="71">
        <f>SUMIF(Adat!$AJ:$AJ,CONCATENATE($M$4,"096","(ÖNV)",L69),Adat!$E:$E)*-1</f>
        <v>0</v>
      </c>
      <c r="I100" s="71">
        <f>SUMIF(Adat!$AJ:$AJ,CONCATENATE($M$4,"096","(ÁIG)",L69),Adat!$E:$E)*-1</f>
        <v>0</v>
      </c>
    </row>
    <row r="101" spans="2:12" x14ac:dyDescent="0.25">
      <c r="B101" s="160">
        <v>30</v>
      </c>
      <c r="C101" s="79" t="s">
        <v>38</v>
      </c>
      <c r="D101" s="85" t="s">
        <v>332</v>
      </c>
      <c r="E101" s="71">
        <f>SUMIF(Adat!$AI:$AI,CONCATENATE(61,$M$4,"097",L69),Adat!$E:$E)*-1</f>
        <v>0</v>
      </c>
      <c r="F101" s="71">
        <f>SUMIF(Adat!$AI:$AI,CONCATENATE(60,$M$4,"097",L69),Adat!$E:$E)*-1+E101</f>
        <v>0</v>
      </c>
      <c r="G101" s="71">
        <f>SUMIF(Adat!$AJ:$AJ,CONCATENATE($M$4,"097","(KÖT)",L69),Adat!$E:$E)*-1</f>
        <v>0</v>
      </c>
      <c r="H101" s="71">
        <f>SUMIF(Adat!$AJ:$AJ,CONCATENATE($M$4,"097","(ÖNV)",L69),Adat!$E:$E)*-1</f>
        <v>0</v>
      </c>
      <c r="I101" s="71">
        <f>SUMIF(Adat!$AJ:$AJ,CONCATENATE($M$4,"097","(ÁIG)",L69),Adat!$E:$E)*-1</f>
        <v>0</v>
      </c>
    </row>
    <row r="102" spans="2:12" x14ac:dyDescent="0.25">
      <c r="B102" s="160">
        <v>31</v>
      </c>
      <c r="C102" s="154" t="s">
        <v>352</v>
      </c>
      <c r="D102" s="86" t="s">
        <v>1500</v>
      </c>
      <c r="E102" s="121">
        <f>E73+E87+E91+E92+E96+E100+E101</f>
        <v>0</v>
      </c>
      <c r="F102" s="121">
        <f>F73+F87+F91+F92+F96+F100+F101</f>
        <v>0</v>
      </c>
      <c r="G102" s="121">
        <f>G73+G87+G91+G92+G96+G100+G101</f>
        <v>0</v>
      </c>
      <c r="H102" s="121">
        <f>H73+H87+H91+H92+H96+H100+H101</f>
        <v>0</v>
      </c>
      <c r="I102" s="121">
        <f>I73+I87+I91+I92+I96+I100+I101</f>
        <v>0</v>
      </c>
    </row>
    <row r="103" spans="2:12" x14ac:dyDescent="0.25">
      <c r="B103" s="160">
        <v>32</v>
      </c>
      <c r="C103" s="154" t="s">
        <v>358</v>
      </c>
      <c r="D103" s="86" t="s">
        <v>333</v>
      </c>
      <c r="E103" s="121">
        <f>SUM(E104:E106)</f>
        <v>0</v>
      </c>
      <c r="F103" s="121">
        <f t="shared" ref="F103:I103" si="7">SUM(F104:F106)</f>
        <v>0</v>
      </c>
      <c r="G103" s="121">
        <f t="shared" si="7"/>
        <v>0</v>
      </c>
      <c r="H103" s="121">
        <f t="shared" si="7"/>
        <v>0</v>
      </c>
      <c r="I103" s="121">
        <f t="shared" si="7"/>
        <v>0</v>
      </c>
    </row>
    <row r="104" spans="2:12" x14ac:dyDescent="0.2">
      <c r="B104" s="160">
        <v>33</v>
      </c>
      <c r="C104" s="305" t="s">
        <v>1274</v>
      </c>
      <c r="D104" s="82" t="s">
        <v>1419</v>
      </c>
      <c r="E104" s="72">
        <f>SUMIF(Adat!$AG:$AG,CONCATENATE(61,$M$4,"0981311",L69),Adat!$E:$E)*-1</f>
        <v>0</v>
      </c>
      <c r="F104" s="72">
        <f>SUMIF(Adat!$AG:$AG,CONCATENATE(60,$M$4,"0981311",L69),Adat!$E:$E)*-1+E104</f>
        <v>0</v>
      </c>
      <c r="G104" s="72">
        <f>SUMIF(Adat!$AH:$AH,CONCATENATE($M$4,"(KÖT)","0981311",L69),Adat!$E:$E)*-1</f>
        <v>0</v>
      </c>
      <c r="H104" s="72">
        <f>SUMIF(Adat!$AH:$AH,CONCATENATE($M$4,"(ÖNV)","0981311",L69),Adat!$E:$E)*-1</f>
        <v>0</v>
      </c>
      <c r="I104" s="72">
        <f>SUMIF(Adat!$AH:$AH,CONCATENATE($M$4,"(ÁIG)","0981311",L69),Adat!$E:$E)*-1</f>
        <v>0</v>
      </c>
    </row>
    <row r="105" spans="2:12" x14ac:dyDescent="0.25">
      <c r="B105" s="160">
        <v>34</v>
      </c>
      <c r="C105" s="305" t="s">
        <v>1420</v>
      </c>
      <c r="D105" s="84" t="s">
        <v>1421</v>
      </c>
      <c r="E105" s="72">
        <f>SUMIF(Adat!$AG:$AG,CONCATENATE(61,$M$4,"0981321",L69),Adat!$E:$E)*-1</f>
        <v>0</v>
      </c>
      <c r="F105" s="72">
        <f>SUMIF(Adat!$AG:$AG,CONCATENATE(60,$M$4,"0981321",L69),Adat!$E:$E)*-1+E105</f>
        <v>0</v>
      </c>
      <c r="G105" s="72">
        <f>SUMIF(Adat!$AH:$AH,CONCATENATE($M$4,"(KÖT)","0981321",L69),Adat!$E:$E)*-1</f>
        <v>0</v>
      </c>
      <c r="H105" s="72">
        <f>SUMIF(Adat!$AH:$AH,CONCATENATE($M$4,"(ÖNV)","0981321",L69),Adat!$E:$E)*-1</f>
        <v>0</v>
      </c>
      <c r="I105" s="72">
        <f>SUMIF(Adat!$AH:$AH,CONCATENATE($M$4,"(ÁIG)","0981321",L69),Adat!$E:$E)*-1</f>
        <v>0</v>
      </c>
    </row>
    <row r="106" spans="2:12" x14ac:dyDescent="0.25">
      <c r="B106" s="160">
        <v>35</v>
      </c>
      <c r="C106" s="319" t="s">
        <v>1275</v>
      </c>
      <c r="D106" s="84" t="s">
        <v>1501</v>
      </c>
      <c r="E106" s="72">
        <f>SUMIF(Adat!$AG:$AG,CONCATENATE(61,$M$4,"098161",L69),Adat!$E:$E)*-1</f>
        <v>0</v>
      </c>
      <c r="F106" s="72">
        <f>SUMIF(Adat!$AG:$AG,CONCATENATE(60,$M$4,"098161",L69),Adat!$E:$E)*-1+E106</f>
        <v>0</v>
      </c>
      <c r="G106" s="72">
        <f>SUMIF(Adat!$AH:$AH,CONCATENATE($M$4,"(KÖT)","098161",L69),Adat!$E:$E)*-1</f>
        <v>0</v>
      </c>
      <c r="H106" s="72">
        <f>SUMIF(Adat!$AH:$AH,CONCATENATE($M$4,"(ÖNV)","098161",L69),Adat!$E:$E)*-1</f>
        <v>0</v>
      </c>
      <c r="I106" s="72">
        <f>SUMIF(Adat!$AH:$AH,CONCATENATE($M$4,"(ÁIG)","098161",L69),Adat!$E:$E)*-1</f>
        <v>0</v>
      </c>
    </row>
    <row r="107" spans="2:12" x14ac:dyDescent="0.25">
      <c r="B107" s="160">
        <v>36</v>
      </c>
      <c r="C107" s="154" t="s">
        <v>364</v>
      </c>
      <c r="D107" s="159" t="s">
        <v>1502</v>
      </c>
      <c r="E107" s="121">
        <f>+E102+E103</f>
        <v>0</v>
      </c>
      <c r="F107" s="121">
        <f>+F102+F103</f>
        <v>0</v>
      </c>
      <c r="G107" s="121">
        <f>+G102+G103</f>
        <v>0</v>
      </c>
      <c r="H107" s="121">
        <f>+H102+H103</f>
        <v>0</v>
      </c>
      <c r="I107" s="121">
        <f>+I102+I103</f>
        <v>0</v>
      </c>
    </row>
    <row r="108" spans="2:12" ht="15.75" x14ac:dyDescent="0.25">
      <c r="B108" s="38"/>
      <c r="C108" s="156"/>
      <c r="D108" s="38"/>
      <c r="E108" s="140"/>
      <c r="F108" s="430"/>
      <c r="G108" s="140"/>
      <c r="H108" s="140"/>
      <c r="I108" s="140"/>
    </row>
    <row r="109" spans="2:12" s="10" customFormat="1" ht="15.75" customHeight="1" x14ac:dyDescent="0.25">
      <c r="B109" s="201" t="str">
        <f>CONCATENATE("4. Kiadási jogcímek"," - ",L109," részletező")</f>
        <v>4. Kiadási jogcímek -  részletező</v>
      </c>
      <c r="C109" s="101"/>
      <c r="D109" s="101"/>
      <c r="E109" s="101"/>
      <c r="F109" s="101"/>
      <c r="G109" s="198"/>
      <c r="H109" s="198"/>
      <c r="I109" s="198"/>
      <c r="L109" s="384"/>
    </row>
    <row r="110" spans="2:12" ht="15.75" x14ac:dyDescent="0.25">
      <c r="B110" s="38"/>
      <c r="C110" s="156"/>
      <c r="D110" s="38"/>
      <c r="E110" s="140"/>
      <c r="F110" s="140"/>
      <c r="G110" s="140"/>
      <c r="H110" s="140"/>
      <c r="I110" s="140"/>
    </row>
    <row r="111" spans="2:12" x14ac:dyDescent="0.25">
      <c r="B111" s="77"/>
      <c r="C111" s="77" t="s">
        <v>350</v>
      </c>
      <c r="D111" s="77" t="s">
        <v>351</v>
      </c>
      <c r="E111" s="77" t="s">
        <v>470</v>
      </c>
      <c r="F111" s="77" t="s">
        <v>471</v>
      </c>
      <c r="G111" s="77" t="s">
        <v>44</v>
      </c>
      <c r="H111" s="77" t="s">
        <v>42</v>
      </c>
      <c r="I111" s="77" t="s">
        <v>511</v>
      </c>
    </row>
    <row r="112" spans="2:12" ht="38.25" x14ac:dyDescent="0.25">
      <c r="B112" s="160">
        <v>1</v>
      </c>
      <c r="C112" s="154" t="s">
        <v>593</v>
      </c>
      <c r="D112" s="154" t="s">
        <v>488</v>
      </c>
      <c r="E112" s="163" t="str">
        <f>CONCATENATE(PAR!$H$3," évi
eredeti 
előirányzat")</f>
        <v>2025. évi
eredeti 
előirányzat</v>
      </c>
      <c r="F112" s="163" t="str">
        <f>CONCATENATE(PAR!$H$3," évi
módosított 
előirányzat")</f>
        <v>2025. évi
módosított 
előirányzat</v>
      </c>
      <c r="G112" s="78" t="s">
        <v>666</v>
      </c>
      <c r="H112" s="78" t="s">
        <v>667</v>
      </c>
      <c r="I112" s="78" t="s">
        <v>668</v>
      </c>
    </row>
    <row r="113" spans="2:9" x14ac:dyDescent="0.25">
      <c r="B113" s="160">
        <v>2</v>
      </c>
      <c r="C113" s="78" t="s">
        <v>352</v>
      </c>
      <c r="D113" s="92" t="s">
        <v>1444</v>
      </c>
      <c r="E113" s="121">
        <f>SUM(E114:E118)</f>
        <v>0</v>
      </c>
      <c r="F113" s="121">
        <f>SUM(F114:F118)</f>
        <v>0</v>
      </c>
      <c r="G113" s="121">
        <f>SUM(G114:G118)</f>
        <v>0</v>
      </c>
      <c r="H113" s="121">
        <f>SUM(H114:H118)</f>
        <v>0</v>
      </c>
      <c r="I113" s="121">
        <f>SUM(I114:I118)</f>
        <v>0</v>
      </c>
    </row>
    <row r="114" spans="2:9" x14ac:dyDescent="0.25">
      <c r="B114" s="160">
        <v>3</v>
      </c>
      <c r="C114" s="305" t="s">
        <v>315</v>
      </c>
      <c r="D114" s="93" t="s">
        <v>342</v>
      </c>
      <c r="E114" s="72">
        <f>SUMIF(Adat!$AI:$AI,CONCATENATE(61,$M$4,"051",L109),Adat!$E:$E)</f>
        <v>0</v>
      </c>
      <c r="F114" s="72">
        <f>SUMIF(Adat!$AI:$AI,CONCATENATE(60,$M$4,"051",L109),Adat!$E:$E)+E114</f>
        <v>0</v>
      </c>
      <c r="G114" s="72">
        <f>SUMIF(Adat!$AJ:$AJ,CONCATENATE($M$4,"051","(KÖT)",L109),Adat!$E:$E)</f>
        <v>0</v>
      </c>
      <c r="H114" s="72">
        <f>SUMIF(Adat!$AJ:$AJ,CONCATENATE($M$4,"051","(ÖNV)",L109),Adat!$E:$E)</f>
        <v>0</v>
      </c>
      <c r="I114" s="72">
        <f>SUMIF(Adat!$AJ:$AJ,CONCATENATE($M$4,"051","(ÁIG)",L109),Adat!$E:$E)</f>
        <v>0</v>
      </c>
    </row>
    <row r="115" spans="2:9" x14ac:dyDescent="0.25">
      <c r="B115" s="160">
        <v>4</v>
      </c>
      <c r="C115" s="305" t="s">
        <v>317</v>
      </c>
      <c r="D115" s="93" t="s">
        <v>395</v>
      </c>
      <c r="E115" s="72">
        <f>SUMIF(Adat!$AI:$AI,CONCATENATE(61,$M$4,"052",L109),Adat!$E:$E)</f>
        <v>0</v>
      </c>
      <c r="F115" s="72">
        <f>SUMIF(Adat!$AI:$AI,CONCATENATE(60,$M$4,"052",L109),Adat!$E:$E)+E115</f>
        <v>0</v>
      </c>
      <c r="G115" s="72">
        <f>SUMIF(Adat!$AJ:$AJ,CONCATENATE($M$4,"052","(KÖT)",L109),Adat!$E:$E)</f>
        <v>0</v>
      </c>
      <c r="H115" s="72">
        <f>SUMIF(Adat!$AJ:$AJ,CONCATENATE($M$4,"052","(ÖNV)",L109),Adat!$E:$E)</f>
        <v>0</v>
      </c>
      <c r="I115" s="72">
        <f>SUMIF(Adat!$AJ:$AJ,CONCATENATE($M$4,"052","(ÁIG)",L109),Adat!$E:$E)</f>
        <v>0</v>
      </c>
    </row>
    <row r="116" spans="2:9" x14ac:dyDescent="0.25">
      <c r="B116" s="160">
        <v>5</v>
      </c>
      <c r="C116" s="305" t="s">
        <v>4</v>
      </c>
      <c r="D116" s="93" t="s">
        <v>344</v>
      </c>
      <c r="E116" s="72">
        <f>SUMIF(Adat!$AI:$AI,CONCATENATE(61,$M$4,"053",L109),Adat!$E:$E)</f>
        <v>0</v>
      </c>
      <c r="F116" s="72">
        <f>SUMIF(Adat!$AI:$AI,CONCATENATE(60,$M$4,"053",L109),Adat!$E:$E)+E116</f>
        <v>0</v>
      </c>
      <c r="G116" s="72">
        <f>SUMIF(Adat!$AJ:$AJ,CONCATENATE($M$4,"053","(KÖT)",L109),Adat!$E:$E)</f>
        <v>0</v>
      </c>
      <c r="H116" s="72">
        <f>SUMIF(Adat!$AJ:$AJ,CONCATENATE($M$4,"053","(ÖNV)",L109),Adat!$E:$E)</f>
        <v>0</v>
      </c>
      <c r="I116" s="72">
        <f>SUMIF(Adat!$AJ:$AJ,CONCATENATE($M$4,"053","(ÁIG)",L109),Adat!$E:$E)</f>
        <v>0</v>
      </c>
    </row>
    <row r="117" spans="2:9" x14ac:dyDescent="0.25">
      <c r="B117" s="160">
        <v>6</v>
      </c>
      <c r="C117" s="305" t="s">
        <v>6</v>
      </c>
      <c r="D117" s="93" t="s">
        <v>345</v>
      </c>
      <c r="E117" s="72">
        <f>SUMIF(Adat!$AI:$AI,CONCATENATE(61,$M$4,"054",L109),Adat!$E:$E)</f>
        <v>0</v>
      </c>
      <c r="F117" s="72">
        <f>SUMIF(Adat!$AI:$AI,CONCATENATE(60,$M$4,"054",L109),Adat!$E:$E)+E117</f>
        <v>0</v>
      </c>
      <c r="G117" s="72">
        <f>SUMIF(Adat!$AJ:$AJ,CONCATENATE($M$4,"054","(KÖT)",L109),Adat!$E:$E)</f>
        <v>0</v>
      </c>
      <c r="H117" s="72">
        <f>SUMIF(Adat!$AJ:$AJ,CONCATENATE($M$4,"054","(ÖNV)",L109),Adat!$E:$E)</f>
        <v>0</v>
      </c>
      <c r="I117" s="72">
        <f>SUMIF(Adat!$AJ:$AJ,CONCATENATE($M$4,"054","(ÁIG)",L109),Adat!$E:$E)</f>
        <v>0</v>
      </c>
    </row>
    <row r="118" spans="2:9" x14ac:dyDescent="0.25">
      <c r="B118" s="160">
        <v>7</v>
      </c>
      <c r="C118" s="305" t="s">
        <v>8</v>
      </c>
      <c r="D118" s="93" t="s">
        <v>321</v>
      </c>
      <c r="E118" s="72">
        <f>SUMIF(Adat!$AI:$AI,CONCATENATE(61,$M$4,"055",L109),Adat!$E:$E)</f>
        <v>0</v>
      </c>
      <c r="F118" s="72">
        <f>SUMIF(Adat!$AI:$AI,CONCATENATE(60,$M$4,"055",L109),Adat!$E:$E)+E118</f>
        <v>0</v>
      </c>
      <c r="G118" s="72">
        <f>SUMIF(Adat!$AJ:$AJ,CONCATENATE($M$4,"055","(KÖT)",L109),Adat!$E:$E)</f>
        <v>0</v>
      </c>
      <c r="H118" s="72">
        <f>SUMIF(Adat!$AJ:$AJ,CONCATENATE($M$4,"055","(ÖNV)",L109),Adat!$E:$E)</f>
        <v>0</v>
      </c>
      <c r="I118" s="72">
        <f>SUMIF(Adat!$AJ:$AJ,CONCATENATE($M$4,"055","(ÁIG)",L109),Adat!$E:$E)</f>
        <v>0</v>
      </c>
    </row>
    <row r="119" spans="2:9" x14ac:dyDescent="0.25">
      <c r="B119" s="160">
        <v>8</v>
      </c>
      <c r="C119" s="78" t="s">
        <v>358</v>
      </c>
      <c r="D119" s="92" t="s">
        <v>1447</v>
      </c>
      <c r="E119" s="121">
        <f>E120+E122+E124</f>
        <v>0</v>
      </c>
      <c r="F119" s="121">
        <f>F120+F122+F124</f>
        <v>0</v>
      </c>
      <c r="G119" s="121">
        <f>G120+G122+G124</f>
        <v>0</v>
      </c>
      <c r="H119" s="121">
        <f>H120+H122+H124</f>
        <v>0</v>
      </c>
      <c r="I119" s="121">
        <f>I120+I122+I124</f>
        <v>0</v>
      </c>
    </row>
    <row r="120" spans="2:9" x14ac:dyDescent="0.25">
      <c r="B120" s="160">
        <v>9</v>
      </c>
      <c r="C120" s="305" t="s">
        <v>10</v>
      </c>
      <c r="D120" s="93" t="s">
        <v>322</v>
      </c>
      <c r="E120" s="72">
        <f>SUMIF(Adat!$AI:$AI,CONCATENATE(61,$M$4,"056",L109),Adat!$E:$E)</f>
        <v>0</v>
      </c>
      <c r="F120" s="72">
        <f>SUMIF(Adat!$AI:$AI,CONCATENATE(60,$M$4,"056",L109),Adat!$E:$E)+E120</f>
        <v>0</v>
      </c>
      <c r="G120" s="72">
        <f>SUMIF(Adat!$AJ:$AJ,CONCATENATE($M$4,"056","(KÖT)",L109),Adat!$E:$E)</f>
        <v>0</v>
      </c>
      <c r="H120" s="72">
        <f>SUMIF(Adat!$AJ:$AJ,CONCATENATE($M$4,"056","(ÖNV)",L109),Adat!$E:$E)</f>
        <v>0</v>
      </c>
      <c r="I120" s="72">
        <f>SUMIF(Adat!$AJ:$AJ,CONCATENATE($M$4,"056","(ÁIG)",L109),Adat!$E:$E)</f>
        <v>0</v>
      </c>
    </row>
    <row r="121" spans="2:9" x14ac:dyDescent="0.25">
      <c r="B121" s="160">
        <v>10</v>
      </c>
      <c r="C121" s="305" t="s">
        <v>10</v>
      </c>
      <c r="D121" s="93" t="s">
        <v>1448</v>
      </c>
      <c r="E121" s="72">
        <v>0</v>
      </c>
      <c r="F121" s="72">
        <f>SUM(G121:I121)</f>
        <v>0</v>
      </c>
      <c r="G121" s="72">
        <v>0</v>
      </c>
      <c r="H121" s="72">
        <v>0</v>
      </c>
      <c r="I121" s="72">
        <v>0</v>
      </c>
    </row>
    <row r="122" spans="2:9" x14ac:dyDescent="0.25">
      <c r="B122" s="160">
        <v>11</v>
      </c>
      <c r="C122" s="305" t="s">
        <v>12</v>
      </c>
      <c r="D122" s="93" t="s">
        <v>323</v>
      </c>
      <c r="E122" s="72">
        <f>SUMIF(Adat!$AI:$AI,CONCATENATE(61,$M$4,"057",L109),Adat!$E:$E)</f>
        <v>0</v>
      </c>
      <c r="F122" s="72">
        <f>SUMIF(Adat!$AI:$AI,CONCATENATE(60,$M$4,"057",L109),Adat!$E:$E)+E122</f>
        <v>0</v>
      </c>
      <c r="G122" s="72">
        <f>SUMIF(Adat!$AJ:$AJ,CONCATENATE($M$4,"057","(KÖT)",L109),Adat!$E:$E)</f>
        <v>0</v>
      </c>
      <c r="H122" s="72">
        <f>SUMIF(Adat!$AJ:$AJ,CONCATENATE($M$4,"057","(ÖNV)",L109),Adat!$E:$E)</f>
        <v>0</v>
      </c>
      <c r="I122" s="72">
        <f>SUMIF(Adat!$AJ:$AJ,CONCATENATE($M$4,"057","(ÁIG)",L109),Adat!$E:$E)</f>
        <v>0</v>
      </c>
    </row>
    <row r="123" spans="2:9" x14ac:dyDescent="0.25">
      <c r="B123" s="160">
        <v>12</v>
      </c>
      <c r="C123" s="305" t="s">
        <v>12</v>
      </c>
      <c r="D123" s="93" t="s">
        <v>1449</v>
      </c>
      <c r="E123" s="72">
        <v>0</v>
      </c>
      <c r="F123" s="72">
        <f>SUM(G123:I123)</f>
        <v>0</v>
      </c>
      <c r="G123" s="72">
        <v>0</v>
      </c>
      <c r="H123" s="72">
        <v>0</v>
      </c>
      <c r="I123" s="72">
        <v>0</v>
      </c>
    </row>
    <row r="124" spans="2:9" x14ac:dyDescent="0.25">
      <c r="B124" s="160">
        <v>13</v>
      </c>
      <c r="C124" s="305" t="s">
        <v>15</v>
      </c>
      <c r="D124" s="84" t="s">
        <v>324</v>
      </c>
      <c r="E124" s="72">
        <f>SUMIF(Adat!$AI:$AI,CONCATENATE(61,$M$4,"058",L109),Adat!$E:$E)</f>
        <v>0</v>
      </c>
      <c r="F124" s="72">
        <f>SUMIF(Adat!$AI:$AI,CONCATENATE(60,$M$4,"058",L109),Adat!$E:$E)+E124</f>
        <v>0</v>
      </c>
      <c r="G124" s="72">
        <f>SUMIF(Adat!$AJ:$AJ,CONCATENATE($M$4,"058","(KÖT)",L109),Adat!$E:$E)</f>
        <v>0</v>
      </c>
      <c r="H124" s="72">
        <f>SUMIF(Adat!$AJ:$AJ,CONCATENATE($M$4,"058","(ÖNV)",L109),Adat!$E:$E)</f>
        <v>0</v>
      </c>
      <c r="I124" s="72">
        <f>SUMIF(Adat!$AJ:$AJ,CONCATENATE($M$4,"058","(ÁIG)",L109),Adat!$E:$E)</f>
        <v>0</v>
      </c>
    </row>
    <row r="125" spans="2:9" x14ac:dyDescent="0.25">
      <c r="B125" s="160">
        <v>14</v>
      </c>
      <c r="C125" s="154" t="s">
        <v>364</v>
      </c>
      <c r="D125" s="86" t="s">
        <v>325</v>
      </c>
      <c r="E125" s="71">
        <f>SUMIF(Adat!$AI:$AI,CONCATENATE(61,$M$4,"059",L109),Adat!$E:$E)</f>
        <v>0</v>
      </c>
      <c r="F125" s="71">
        <f>SUMIF(Adat!$AI:$AI,CONCATENATE(60,$M$4,"059",L109),Adat!$E:$E)+E125</f>
        <v>0</v>
      </c>
      <c r="G125" s="71">
        <f>SUMIF(Adat!$AJ:$AJ,CONCATENATE($M$4,"059","(KÖT)",L109),Adat!$E:$E)</f>
        <v>0</v>
      </c>
      <c r="H125" s="71">
        <f>SUMIF(Adat!$AJ:$AJ,CONCATENATE($M$4,"059","(ÖNV)",L109),Adat!$E:$E)</f>
        <v>0</v>
      </c>
      <c r="I125" s="71">
        <f>SUMIF(Adat!$AJ:$AJ,CONCATENATE($M$4,"059","(ÁIG)",L109),Adat!$E:$E)</f>
        <v>0</v>
      </c>
    </row>
    <row r="126" spans="2:9" x14ac:dyDescent="0.25">
      <c r="B126" s="160">
        <v>15</v>
      </c>
      <c r="C126" s="154" t="s">
        <v>403</v>
      </c>
      <c r="D126" s="159" t="s">
        <v>497</v>
      </c>
      <c r="E126" s="121">
        <f>E113+E119+E125</f>
        <v>0</v>
      </c>
      <c r="F126" s="121">
        <f>F113+F119+F125</f>
        <v>0</v>
      </c>
      <c r="G126" s="121">
        <f>G113+G119+G125</f>
        <v>0</v>
      </c>
      <c r="H126" s="121">
        <f>H113+H119+H125</f>
        <v>0</v>
      </c>
      <c r="I126" s="121">
        <f>I113+I119+I125</f>
        <v>0</v>
      </c>
    </row>
    <row r="127" spans="2:9" ht="15.75" x14ac:dyDescent="0.25">
      <c r="B127" s="37"/>
      <c r="C127" s="529"/>
      <c r="D127" s="529"/>
      <c r="E127" s="529"/>
      <c r="F127" s="200"/>
      <c r="G127" s="200"/>
      <c r="H127" s="200"/>
      <c r="I127" s="200"/>
    </row>
    <row r="128" spans="2:9" ht="15.75" x14ac:dyDescent="0.25">
      <c r="B128" s="525" t="str">
        <f>$N$4</f>
        <v>Nagymarosi Napköziotthonos Óvoda és Bölcsőde</v>
      </c>
      <c r="C128" s="525"/>
      <c r="D128" s="525"/>
      <c r="E128" s="525"/>
      <c r="F128" s="525"/>
      <c r="G128" s="525"/>
      <c r="H128" s="525"/>
      <c r="I128" s="525"/>
    </row>
    <row r="129" spans="2:12" ht="15.75" x14ac:dyDescent="0.25">
      <c r="B129" s="525" t="s">
        <v>2660</v>
      </c>
      <c r="C129" s="525"/>
      <c r="D129" s="525"/>
      <c r="E129" s="525"/>
      <c r="F129" s="525"/>
      <c r="G129" s="525"/>
      <c r="H129" s="525"/>
      <c r="I129" s="525"/>
    </row>
    <row r="130" spans="2:12" ht="15.75" x14ac:dyDescent="0.25">
      <c r="B130" s="38"/>
      <c r="C130" s="156"/>
      <c r="D130" s="38"/>
      <c r="E130" s="140"/>
      <c r="F130" s="140"/>
      <c r="G130" s="140"/>
      <c r="H130" s="140"/>
      <c r="I130" s="140"/>
    </row>
    <row r="131" spans="2:12" s="10" customFormat="1" ht="15.75" customHeight="1" x14ac:dyDescent="0.25">
      <c r="B131" s="201" t="str">
        <f>CONCATENATE("5. Bevételi jogcímek"," - ",L131," részletező")</f>
        <v>5. Bevételi jogcímek -  részletező</v>
      </c>
      <c r="C131" s="101"/>
      <c r="D131" s="101"/>
      <c r="E131" s="101"/>
      <c r="F131" s="101"/>
      <c r="G131" s="198"/>
      <c r="H131" s="198"/>
      <c r="I131" s="198"/>
      <c r="L131" s="384"/>
    </row>
    <row r="132" spans="2:12" ht="15.75" x14ac:dyDescent="0.25">
      <c r="B132" s="38"/>
      <c r="C132" s="156"/>
      <c r="D132" s="38"/>
      <c r="E132" s="140"/>
      <c r="F132" s="140"/>
      <c r="G132" s="140"/>
      <c r="H132" s="140"/>
      <c r="I132" s="140"/>
    </row>
    <row r="133" spans="2:12" x14ac:dyDescent="0.25">
      <c r="B133" s="77"/>
      <c r="C133" s="77" t="s">
        <v>350</v>
      </c>
      <c r="D133" s="77" t="s">
        <v>351</v>
      </c>
      <c r="E133" s="77" t="s">
        <v>470</v>
      </c>
      <c r="F133" s="77" t="s">
        <v>471</v>
      </c>
      <c r="G133" s="77" t="s">
        <v>44</v>
      </c>
      <c r="H133" s="77" t="s">
        <v>42</v>
      </c>
      <c r="I133" s="77" t="s">
        <v>511</v>
      </c>
    </row>
    <row r="134" spans="2:12" ht="38.25" x14ac:dyDescent="0.25">
      <c r="B134" s="160">
        <v>1</v>
      </c>
      <c r="C134" s="154" t="s">
        <v>593</v>
      </c>
      <c r="D134" s="154" t="s">
        <v>488</v>
      </c>
      <c r="E134" s="163" t="str">
        <f>CONCATENATE(PAR!$H$3," évi
eredeti 
előirányzat")</f>
        <v>2025. évi
eredeti 
előirányzat</v>
      </c>
      <c r="F134" s="163" t="str">
        <f>CONCATENATE(PAR!$H$3," évi
módosított 
előirányzat")</f>
        <v>2025. évi
módosított 
előirányzat</v>
      </c>
      <c r="G134" s="78" t="s">
        <v>666</v>
      </c>
      <c r="H134" s="78" t="s">
        <v>667</v>
      </c>
      <c r="I134" s="78" t="s">
        <v>668</v>
      </c>
    </row>
    <row r="135" spans="2:12" x14ac:dyDescent="0.25">
      <c r="B135" s="160">
        <v>2</v>
      </c>
      <c r="C135" s="79" t="s">
        <v>30</v>
      </c>
      <c r="D135" s="79" t="s">
        <v>329</v>
      </c>
      <c r="E135" s="121">
        <f>SUM(E136:E148)</f>
        <v>0</v>
      </c>
      <c r="F135" s="121">
        <f t="shared" ref="F135:I135" si="8">SUM(F136:F148)</f>
        <v>0</v>
      </c>
      <c r="G135" s="121">
        <f t="shared" si="8"/>
        <v>0</v>
      </c>
      <c r="H135" s="121">
        <f t="shared" si="8"/>
        <v>0</v>
      </c>
      <c r="I135" s="121">
        <f t="shared" si="8"/>
        <v>0</v>
      </c>
    </row>
    <row r="136" spans="2:12" x14ac:dyDescent="0.2">
      <c r="B136" s="160">
        <v>3</v>
      </c>
      <c r="C136" s="305" t="s">
        <v>1309</v>
      </c>
      <c r="D136" s="82" t="s">
        <v>1356</v>
      </c>
      <c r="E136" s="72">
        <f>SUMIF(Adat!$AG:$AG,CONCATENATE(61,$M$4,"094011",L131),Adat!$E:$E)*-1</f>
        <v>0</v>
      </c>
      <c r="F136" s="72">
        <f>SUMIF(Adat!$AG:$AG,CONCATENATE(60,$M$4,"094011",L131),Adat!$E:$E)*-1+E136</f>
        <v>0</v>
      </c>
      <c r="G136" s="72">
        <f>SUMIF(Adat!$AH:$AH,CONCATENATE($M$4,"(KÖT)","094011",L131),Adat!$E:$E)*-1</f>
        <v>0</v>
      </c>
      <c r="H136" s="72">
        <f>SUMIF(Adat!$AH:$AH,CONCATENATE($M$4,"(ÖNV)","094011",L131),Adat!$E:$E)*-1</f>
        <v>0</v>
      </c>
      <c r="I136" s="72">
        <f>SUMIF(Adat!$AH:$AH,CONCATENATE($M$4,"(ÁIG)","094011",L131),Adat!$E:$E)*-1</f>
        <v>0</v>
      </c>
    </row>
    <row r="137" spans="2:12" x14ac:dyDescent="0.2">
      <c r="B137" s="160">
        <v>4</v>
      </c>
      <c r="C137" s="305" t="s">
        <v>1279</v>
      </c>
      <c r="D137" s="82" t="s">
        <v>1357</v>
      </c>
      <c r="E137" s="72">
        <f>SUMIF(Adat!$AG:$AG,CONCATENATE(61,$M$4,"094021",L131),Adat!$E:$E)*-1</f>
        <v>0</v>
      </c>
      <c r="F137" s="72">
        <f>SUMIF(Adat!$AG:$AG,CONCATENATE(60,$M$4,"094021",L131),Adat!$E:$E)*-1+E137</f>
        <v>0</v>
      </c>
      <c r="G137" s="72">
        <f>SUMIF(Adat!$AH:$AH,CONCATENATE($M$4,"(KÖT)","094021",L131),Adat!$E:$E)*-1</f>
        <v>0</v>
      </c>
      <c r="H137" s="72">
        <f>SUMIF(Adat!$AH:$AH,CONCATENATE($M$4,"(ÖNV)","094021",L131),Adat!$E:$E)*-1</f>
        <v>0</v>
      </c>
      <c r="I137" s="72">
        <f>SUMIF(Adat!$AH:$AH,CONCATENATE($M$4,"(ÁIG)","094021",L131),Adat!$E:$E)*-1</f>
        <v>0</v>
      </c>
    </row>
    <row r="138" spans="2:12" x14ac:dyDescent="0.2">
      <c r="B138" s="160">
        <v>5</v>
      </c>
      <c r="C138" s="305" t="s">
        <v>1272</v>
      </c>
      <c r="D138" s="82" t="s">
        <v>1358</v>
      </c>
      <c r="E138" s="72">
        <f>SUMIF(Adat!$AG:$AG,CONCATENATE(61,$M$4,"094031",L131),Adat!$E:$E)*-1</f>
        <v>0</v>
      </c>
      <c r="F138" s="72">
        <f>SUMIF(Adat!$AG:$AG,CONCATENATE(60,$M$4,"094031",L131),Adat!$E:$E)*-1+E138</f>
        <v>0</v>
      </c>
      <c r="G138" s="72">
        <f>SUMIF(Adat!$AH:$AH,CONCATENATE($M$4,"(KÖT)","094031",L131),Adat!$E:$E)*-1</f>
        <v>0</v>
      </c>
      <c r="H138" s="72">
        <f>SUMIF(Adat!$AH:$AH,CONCATENATE($M$4,"(ÖNV)","094031",L131),Adat!$E:$E)*-1</f>
        <v>0</v>
      </c>
      <c r="I138" s="72">
        <f>SUMIF(Adat!$AH:$AH,CONCATENATE($M$4,"(ÁIG)","094031",L131),Adat!$E:$E)*-1</f>
        <v>0</v>
      </c>
    </row>
    <row r="139" spans="2:12" x14ac:dyDescent="0.2">
      <c r="B139" s="160">
        <v>6</v>
      </c>
      <c r="C139" s="305" t="s">
        <v>1359</v>
      </c>
      <c r="D139" s="82" t="s">
        <v>1360</v>
      </c>
      <c r="E139" s="72">
        <f>SUMIF(Adat!$AG:$AG,CONCATENATE(61,$M$4,"094041",L131),Adat!$E:$E)*-1</f>
        <v>0</v>
      </c>
      <c r="F139" s="72">
        <f>SUMIF(Adat!$AG:$AG,CONCATENATE(60,$M$4,"094041",L131),Adat!$E:$E)*-1+E139</f>
        <v>0</v>
      </c>
      <c r="G139" s="72">
        <f>SUMIF(Adat!$AH:$AH,CONCATENATE($M$4,"(KÖT)","094041",L131),Adat!$E:$E)*-1</f>
        <v>0</v>
      </c>
      <c r="H139" s="72">
        <f>SUMIF(Adat!$AH:$AH,CONCATENATE($M$4,"(ÖNV)","094041",L131),Adat!$E:$E)*-1</f>
        <v>0</v>
      </c>
      <c r="I139" s="72">
        <f>SUMIF(Adat!$AH:$AH,CONCATENATE($M$4,"(ÁIG)","094041",L131),Adat!$E:$E)*-1</f>
        <v>0</v>
      </c>
    </row>
    <row r="140" spans="2:12" x14ac:dyDescent="0.2">
      <c r="B140" s="160">
        <v>7</v>
      </c>
      <c r="C140" s="305" t="s">
        <v>1261</v>
      </c>
      <c r="D140" s="82" t="s">
        <v>1361</v>
      </c>
      <c r="E140" s="72">
        <f>SUMIF(Adat!$AG:$AG,CONCATENATE(61,$M$4,"094051",L131),Adat!$E:$E)*-1</f>
        <v>0</v>
      </c>
      <c r="F140" s="72">
        <f>SUMIF(Adat!$AG:$AG,CONCATENATE(60,$M$4,"094051",L131),Adat!$E:$E)*-1+E140</f>
        <v>0</v>
      </c>
      <c r="G140" s="72">
        <f>SUMIF(Adat!$AH:$AH,CONCATENATE($M$4,"(KÖT)","094051",L131),Adat!$E:$E)*-1</f>
        <v>0</v>
      </c>
      <c r="H140" s="72">
        <f>SUMIF(Adat!$AH:$AH,CONCATENATE($M$4,"(ÖNV)","094051",L131),Adat!$E:$E)*-1</f>
        <v>0</v>
      </c>
      <c r="I140" s="72">
        <f>SUMIF(Adat!$AH:$AH,CONCATENATE($M$4,"(ÁIG)","094051",L131),Adat!$E:$E)*-1</f>
        <v>0</v>
      </c>
    </row>
    <row r="141" spans="2:12" x14ac:dyDescent="0.2">
      <c r="B141" s="160">
        <v>8</v>
      </c>
      <c r="C141" s="305" t="s">
        <v>1273</v>
      </c>
      <c r="D141" s="82" t="s">
        <v>1362</v>
      </c>
      <c r="E141" s="72">
        <f>SUMIF(Adat!$AG:$AG,CONCATENATE(61,$M$4,"094061",L131),Adat!$E:$E)*-1</f>
        <v>0</v>
      </c>
      <c r="F141" s="72">
        <f>SUMIF(Adat!$AG:$AG,CONCATENATE(60,$M$4,"094061",L131),Adat!$E:$E)*-1+E141</f>
        <v>0</v>
      </c>
      <c r="G141" s="72">
        <f>SUMIF(Adat!$AH:$AH,CONCATENATE($M$4,"(KÖT)","094061",L131),Adat!$E:$E)*-1</f>
        <v>0</v>
      </c>
      <c r="H141" s="72">
        <f>SUMIF(Adat!$AH:$AH,CONCATENATE($M$4,"(ÖNV)","094061",L131),Adat!$E:$E)*-1</f>
        <v>0</v>
      </c>
      <c r="I141" s="72">
        <f>SUMIF(Adat!$AH:$AH,CONCATENATE($M$4,"(ÁIG)","094061",L131),Adat!$E:$E)*-1</f>
        <v>0</v>
      </c>
    </row>
    <row r="142" spans="2:12" x14ac:dyDescent="0.2">
      <c r="B142" s="160">
        <v>9</v>
      </c>
      <c r="C142" s="305" t="s">
        <v>1363</v>
      </c>
      <c r="D142" s="82" t="s">
        <v>1364</v>
      </c>
      <c r="E142" s="72">
        <f>SUMIF(Adat!$AG:$AG,CONCATENATE(61,$M$4,"094071",L131),Adat!$E:$E)*-1</f>
        <v>0</v>
      </c>
      <c r="F142" s="72">
        <f>SUMIF(Adat!$AG:$AG,CONCATENATE(60,$M$4,"094071",L131),Adat!$E:$E)*-1+E142</f>
        <v>0</v>
      </c>
      <c r="G142" s="72">
        <f>SUMIF(Adat!$AH:$AH,CONCATENATE($M$4,"(KÖT)","094071",L131),Adat!$E:$E)*-1</f>
        <v>0</v>
      </c>
      <c r="H142" s="72">
        <f>SUMIF(Adat!$AH:$AH,CONCATENATE($M$4,"(ÖNV)","094071",L131),Adat!$E:$E)*-1</f>
        <v>0</v>
      </c>
      <c r="I142" s="72">
        <f>SUMIF(Adat!$AH:$AH,CONCATENATE($M$4,"(ÁIG)","094071",L131),Adat!$E:$E)*-1</f>
        <v>0</v>
      </c>
    </row>
    <row r="143" spans="2:12" x14ac:dyDescent="0.2">
      <c r="B143" s="160">
        <v>10</v>
      </c>
      <c r="C143" s="305" t="s">
        <v>1306</v>
      </c>
      <c r="D143" s="82" t="s">
        <v>1365</v>
      </c>
      <c r="E143" s="72">
        <f>SUMIF(Adat!$AG:$AG,CONCATENATE(61,$M$4,"0940811",L131),Adat!$E:$E)*-1</f>
        <v>0</v>
      </c>
      <c r="F143" s="72">
        <f>SUMIF(Adat!$AG:$AG,CONCATENATE(60,$M$4,"0940811",L131),Adat!$E:$E)*-1+E143</f>
        <v>0</v>
      </c>
      <c r="G143" s="72">
        <f>SUMIF(Adat!$AH:$AH,CONCATENATE($M$4,"(KÖT)","0940811",L131),Adat!$E:$E)*-1</f>
        <v>0</v>
      </c>
      <c r="H143" s="72">
        <f>SUMIF(Adat!$AH:$AH,CONCATENATE($M$4,"(ÖNV)","0940811",L131),Adat!$E:$E)*-1</f>
        <v>0</v>
      </c>
      <c r="I143" s="72">
        <f>SUMIF(Adat!$AH:$AH,CONCATENATE($M$4,"(ÁIG)","0940811",L131),Adat!$E:$E)*-1</f>
        <v>0</v>
      </c>
    </row>
    <row r="144" spans="2:12" x14ac:dyDescent="0.2">
      <c r="B144" s="160">
        <v>11</v>
      </c>
      <c r="C144" s="305" t="s">
        <v>1295</v>
      </c>
      <c r="D144" s="82" t="s">
        <v>1366</v>
      </c>
      <c r="E144" s="72">
        <f>SUMIF(Adat!$AG:$AG,CONCATENATE(61,$M$4,"0940821",L131),Adat!$E:$E)*-1</f>
        <v>0</v>
      </c>
      <c r="F144" s="72">
        <f>SUMIF(Adat!$AG:$AG,CONCATENATE(60,$M$4,"0940821",L131),Adat!$E:$E)*-1+E144</f>
        <v>0</v>
      </c>
      <c r="G144" s="72">
        <f>SUMIF(Adat!$AH:$AH,CONCATENATE($M$4,"(KÖT)","0940821",L131),Adat!$E:$E)*-1</f>
        <v>0</v>
      </c>
      <c r="H144" s="72">
        <f>SUMIF(Adat!$AH:$AH,CONCATENATE($M$4,"(ÖNV)","0940821",L131),Adat!$E:$E)*-1</f>
        <v>0</v>
      </c>
      <c r="I144" s="72">
        <f>SUMIF(Adat!$AH:$AH,CONCATENATE($M$4,"(ÁIG)","0940821",L131),Adat!$E:$E)*-1</f>
        <v>0</v>
      </c>
    </row>
    <row r="145" spans="2:9" x14ac:dyDescent="0.2">
      <c r="B145" s="160">
        <v>12</v>
      </c>
      <c r="C145" s="305" t="s">
        <v>1367</v>
      </c>
      <c r="D145" s="82" t="s">
        <v>1368</v>
      </c>
      <c r="E145" s="72">
        <f>SUMIF(Adat!$AG:$AG,CONCATENATE(61,$M$4,"0940911",L131),Adat!$E:$E)*-1</f>
        <v>0</v>
      </c>
      <c r="F145" s="72">
        <f>SUMIF(Adat!$AG:$AG,CONCATENATE(60,$M$4,"0940911",L131),Adat!$E:$E)*-1+E145</f>
        <v>0</v>
      </c>
      <c r="G145" s="72">
        <f>SUMIF(Adat!$AH:$AH,CONCATENATE($M$4,"(KÖT)","0940911",L131),Adat!$E:$E)*-1</f>
        <v>0</v>
      </c>
      <c r="H145" s="72">
        <f>SUMIF(Adat!$AH:$AH,CONCATENATE($M$4,"(ÖNV)","0940911",L131),Adat!$E:$E)*-1</f>
        <v>0</v>
      </c>
      <c r="I145" s="72">
        <f>SUMIF(Adat!$AH:$AH,CONCATENATE($M$4,"(ÁIG)","0940911",L131),Adat!$E:$E)*-1</f>
        <v>0</v>
      </c>
    </row>
    <row r="146" spans="2:9" x14ac:dyDescent="0.2">
      <c r="B146" s="160">
        <v>13</v>
      </c>
      <c r="C146" s="305" t="s">
        <v>1369</v>
      </c>
      <c r="D146" s="82" t="s">
        <v>1370</v>
      </c>
      <c r="E146" s="72">
        <f>SUMIF(Adat!$AG:$AG,CONCATENATE(61,$M$4,"0940921",L131),Adat!$E:$E)*-1</f>
        <v>0</v>
      </c>
      <c r="F146" s="72">
        <f>SUMIF(Adat!$AG:$AG,CONCATENATE(60,$M$4,"0940921",L131),Adat!$E:$E)*-1+E146</f>
        <v>0</v>
      </c>
      <c r="G146" s="72">
        <f>SUMIF(Adat!$AH:$AH,CONCATENATE($M$4,"(KÖT)","0940921",L131),Adat!$E:$E)*-1</f>
        <v>0</v>
      </c>
      <c r="H146" s="72">
        <f>SUMIF(Adat!$AH:$AH,CONCATENATE($M$4,"(ÖNV)","0940921",L131),Adat!$E:$E)*-1</f>
        <v>0</v>
      </c>
      <c r="I146" s="72">
        <f>SUMIF(Adat!$AH:$AH,CONCATENATE($M$4,"(ÁIG)","0940921",L131),Adat!$E:$E)*-1</f>
        <v>0</v>
      </c>
    </row>
    <row r="147" spans="2:9" x14ac:dyDescent="0.2">
      <c r="B147" s="160">
        <v>14</v>
      </c>
      <c r="C147" s="305" t="s">
        <v>1296</v>
      </c>
      <c r="D147" s="82" t="s">
        <v>1371</v>
      </c>
      <c r="E147" s="72">
        <f>SUMIF(Adat!$AG:$AG,CONCATENATE(61,$M$4,"094101",L131),Adat!$E:$E)*-1</f>
        <v>0</v>
      </c>
      <c r="F147" s="72">
        <f>SUMIF(Adat!$AG:$AG,CONCATENATE(60,$M$4,"094101",L131),Adat!$E:$E)*-1+E147</f>
        <v>0</v>
      </c>
      <c r="G147" s="72">
        <f>SUMIF(Adat!$AH:$AH,CONCATENATE($M$4,"(KÖT)","094101",L131),Adat!$E:$E)*-1</f>
        <v>0</v>
      </c>
      <c r="H147" s="72">
        <f>SUMIF(Adat!$AH:$AH,CONCATENATE($M$4,"(ÖNV)","094101",L131),Adat!$E:$E)*-1</f>
        <v>0</v>
      </c>
      <c r="I147" s="72">
        <f>SUMIF(Adat!$AH:$AH,CONCATENATE($M$4,"(ÁIG)","094101",L131),Adat!$E:$E)*-1</f>
        <v>0</v>
      </c>
    </row>
    <row r="148" spans="2:9" x14ac:dyDescent="0.25">
      <c r="B148" s="160">
        <v>15</v>
      </c>
      <c r="C148" s="305" t="s">
        <v>1297</v>
      </c>
      <c r="D148" s="84" t="s">
        <v>1372</v>
      </c>
      <c r="E148" s="72">
        <f>SUMIF(Adat!$AG:$AG,CONCATENATE(61,$M$4,"094111",L131),Adat!$E:$E)*-1</f>
        <v>0</v>
      </c>
      <c r="F148" s="72">
        <f>SUMIF(Adat!$AG:$AG,CONCATENATE(60,$M$4,"094111",L131),Adat!$E:$E)*-1+E148</f>
        <v>0</v>
      </c>
      <c r="G148" s="72">
        <f>SUMIF(Adat!$AH:$AH,CONCATENATE($M$4,"(KÖT)","094111",L131),Adat!$E:$E)*-1</f>
        <v>0</v>
      </c>
      <c r="H148" s="72">
        <f>SUMIF(Adat!$AH:$AH,CONCATENATE($M$4,"(ÖNV)","094111",L131),Adat!$E:$E)*-1</f>
        <v>0</v>
      </c>
      <c r="I148" s="72">
        <f>SUMIF(Adat!$AH:$AH,CONCATENATE($M$4,"(ÁIG)","094111",L131),Adat!$E:$E)*-1</f>
        <v>0</v>
      </c>
    </row>
    <row r="149" spans="2:9" x14ac:dyDescent="0.25">
      <c r="B149" s="160">
        <v>16</v>
      </c>
      <c r="C149" s="78" t="s">
        <v>1328</v>
      </c>
      <c r="D149" s="85" t="s">
        <v>437</v>
      </c>
      <c r="E149" s="121">
        <f>SUM(E150:E152)</f>
        <v>0</v>
      </c>
      <c r="F149" s="121">
        <f>SUM(F150:F152)</f>
        <v>0</v>
      </c>
      <c r="G149" s="121">
        <f>SUM(G150:G152)</f>
        <v>0</v>
      </c>
      <c r="H149" s="121">
        <f>SUM(H150:H152)</f>
        <v>0</v>
      </c>
      <c r="I149" s="121">
        <f>SUM(I150:I152)</f>
        <v>0</v>
      </c>
    </row>
    <row r="150" spans="2:9" x14ac:dyDescent="0.2">
      <c r="B150" s="160">
        <v>17</v>
      </c>
      <c r="C150" s="305" t="s">
        <v>1329</v>
      </c>
      <c r="D150" s="82" t="s">
        <v>1330</v>
      </c>
      <c r="E150" s="72">
        <f>SUMIF(Adat!$AG:$AG,CONCATENATE(61,$M$4,"09121",L131),Adat!$E:$E)*-1</f>
        <v>0</v>
      </c>
      <c r="F150" s="72">
        <f>SUMIF(Adat!$AG:$AG,CONCATENATE(60,$M$4,"09121",L131),Adat!$E:$E)*-1+E150</f>
        <v>0</v>
      </c>
      <c r="G150" s="72">
        <f>SUMIF(Adat!$AH:$AH,CONCATENATE($M$4,"(KÖT)","09121",L131),Adat!$E:$E)*-1</f>
        <v>0</v>
      </c>
      <c r="H150" s="72">
        <f>SUMIF(Adat!$AH:$AH,CONCATENATE($M$4,"(ÖNV)","09121",L131),Adat!$E:$E)*-1</f>
        <v>0</v>
      </c>
      <c r="I150" s="72">
        <f>SUMIF(Adat!$AH:$AH,CONCATENATE($M$4,"(ÁIG)","09121",L131),Adat!$E:$E)*-1</f>
        <v>0</v>
      </c>
    </row>
    <row r="151" spans="2:9" x14ac:dyDescent="0.2">
      <c r="B151" s="160">
        <v>18</v>
      </c>
      <c r="C151" s="305" t="s">
        <v>1335</v>
      </c>
      <c r="D151" s="82" t="s">
        <v>1336</v>
      </c>
      <c r="E151" s="72">
        <f>SUMIF(Adat!$AG:$AG,CONCATENATE(61,$M$4,"09151",L131),Adat!$E:$E)*-1</f>
        <v>0</v>
      </c>
      <c r="F151" s="72">
        <f>SUMIF(Adat!$AG:$AG,CONCATENATE(60,$M$4,"09151",L131),Adat!$E:$E)*-1+E151</f>
        <v>0</v>
      </c>
      <c r="G151" s="72">
        <f>SUMIF(Adat!$AH:$AH,CONCATENATE($M$4,"(KÖT)","09151",L131),Adat!$E:$E)*-1</f>
        <v>0</v>
      </c>
      <c r="H151" s="72">
        <f>SUMIF(Adat!$AH:$AH,CONCATENATE($M$4,"(ÖNV)","09151",L131),Adat!$E:$E)*-1</f>
        <v>0</v>
      </c>
      <c r="I151" s="72">
        <f>SUMIF(Adat!$AH:$AH,CONCATENATE($M$4,"(ÁIG)","09151",L131),Adat!$E:$E)*-1</f>
        <v>0</v>
      </c>
    </row>
    <row r="152" spans="2:9" x14ac:dyDescent="0.2">
      <c r="B152" s="160">
        <v>19</v>
      </c>
      <c r="C152" s="305" t="s">
        <v>1278</v>
      </c>
      <c r="D152" s="82" t="s">
        <v>1337</v>
      </c>
      <c r="E152" s="72">
        <f>SUMIF(Adat!$AG:$AG,CONCATENATE(61,$M$4,"09161",L131),Adat!$E:$E)*-1</f>
        <v>0</v>
      </c>
      <c r="F152" s="72">
        <f>SUMIF(Adat!$AG:$AG,CONCATENATE(60,$M$4,"09161",L131),Adat!$E:$E)*-1+E152</f>
        <v>0</v>
      </c>
      <c r="G152" s="72">
        <f>SUMIF(Adat!$AH:$AH,CONCATENATE($M$4,"(KÖT)","09161",L131),Adat!$E:$E)*-1</f>
        <v>0</v>
      </c>
      <c r="H152" s="72">
        <f>SUMIF(Adat!$AH:$AH,CONCATENATE($M$4,"(ÖNV)","09161",L131),Adat!$E:$E)*-1</f>
        <v>0</v>
      </c>
      <c r="I152" s="72">
        <f>SUMIF(Adat!$AH:$AH,CONCATENATE($M$4,"(ÁIG)","09161",L131),Adat!$E:$E)*-1</f>
        <v>0</v>
      </c>
    </row>
    <row r="153" spans="2:9" x14ac:dyDescent="0.25">
      <c r="B153" s="160">
        <v>20</v>
      </c>
      <c r="C153" s="79" t="s">
        <v>27</v>
      </c>
      <c r="D153" s="79" t="s">
        <v>328</v>
      </c>
      <c r="E153" s="71">
        <f>SUMIF(Adat!$AI:$AI,CONCATENATE(61,$M$4,"093",L131),Adat!$E:$E)*-1</f>
        <v>0</v>
      </c>
      <c r="F153" s="71">
        <f>SUMIF(Adat!$AI:$AI,CONCATENATE(60,$M$4,"093",L131),Adat!$E:$E)*-1+E153</f>
        <v>0</v>
      </c>
      <c r="G153" s="71">
        <f>SUMIF(Adat!$AJ:$AJ,CONCATENATE($M$4,"093","(KÖT)",L131),Adat!$E:$E)*-1</f>
        <v>0</v>
      </c>
      <c r="H153" s="71">
        <f>SUMIF(Adat!$AJ:$AJ,CONCATENATE($M$4,"093","(ÖNV)",L131),Adat!$E:$E)*-1</f>
        <v>0</v>
      </c>
      <c r="I153" s="71">
        <f>SUMIF(Adat!$AJ:$AJ,CONCATENATE($M$4,"093","(ÁIG)",L131),Adat!$E:$E)*-1</f>
        <v>0</v>
      </c>
    </row>
    <row r="154" spans="2:9" x14ac:dyDescent="0.25">
      <c r="B154" s="160">
        <v>21</v>
      </c>
      <c r="C154" s="79" t="s">
        <v>24</v>
      </c>
      <c r="D154" s="79" t="s">
        <v>449</v>
      </c>
      <c r="E154" s="121">
        <f>SUM(E155:E157)</f>
        <v>0</v>
      </c>
      <c r="F154" s="121">
        <f t="shared" ref="F154:I154" si="9">SUM(F155:F157)</f>
        <v>0</v>
      </c>
      <c r="G154" s="121">
        <f t="shared" si="9"/>
        <v>0</v>
      </c>
      <c r="H154" s="121">
        <f t="shared" si="9"/>
        <v>0</v>
      </c>
      <c r="I154" s="121">
        <f t="shared" si="9"/>
        <v>0</v>
      </c>
    </row>
    <row r="155" spans="2:9" x14ac:dyDescent="0.2">
      <c r="B155" s="160">
        <v>22</v>
      </c>
      <c r="C155" s="305" t="s">
        <v>1339</v>
      </c>
      <c r="D155" s="82" t="s">
        <v>1340</v>
      </c>
      <c r="E155" s="72">
        <f>SUMIF(Adat!$AG:$AG,CONCATENATE(61,$M$4,"09211",L131),Adat!$E:$E)*-1</f>
        <v>0</v>
      </c>
      <c r="F155" s="72">
        <f>SUMIF(Adat!$AG:$AG,CONCATENATE(60,$M$4,"09211",L131),Adat!$E:$E)*-1+E155</f>
        <v>0</v>
      </c>
      <c r="G155" s="72">
        <f>SUMIF(Adat!$AH:$AH,CONCATENATE($M$4,"(KÖT)","09211",L131),Adat!$E:$E)*-1</f>
        <v>0</v>
      </c>
      <c r="H155" s="72">
        <f>SUMIF(Adat!$AH:$AH,CONCATENATE($M$4,"(ÖNV)","09211",L131),Adat!$E:$E)*-1</f>
        <v>0</v>
      </c>
      <c r="I155" s="72">
        <f>SUMIF(Adat!$AH:$AH,CONCATENATE($M$4,"(ÁIG)","09211",L131),Adat!$E:$E)*-1</f>
        <v>0</v>
      </c>
    </row>
    <row r="156" spans="2:9" x14ac:dyDescent="0.2">
      <c r="B156" s="160">
        <v>23</v>
      </c>
      <c r="C156" s="305" t="s">
        <v>1345</v>
      </c>
      <c r="D156" s="82" t="s">
        <v>1346</v>
      </c>
      <c r="E156" s="72">
        <f>SUMIF(Adat!$AG:$AG,CONCATENATE(61,$M$4,"09241",L131),Adat!$E:$E)*-1</f>
        <v>0</v>
      </c>
      <c r="F156" s="72">
        <f>SUMIF(Adat!$AG:$AG,CONCATENATE(60,$M$4,"09241",L131),Adat!$E:$E)*-1+E156</f>
        <v>0</v>
      </c>
      <c r="G156" s="72">
        <f>SUMIF(Adat!$AH:$AH,CONCATENATE($M$4,"(KÖT)","09241",L131),Adat!$E:$E)*-1</f>
        <v>0</v>
      </c>
      <c r="H156" s="72">
        <f>SUMIF(Adat!$AH:$AH,CONCATENATE($M$4,"(ÖNV)","09241",L131),Adat!$E:$E)*-1</f>
        <v>0</v>
      </c>
      <c r="I156" s="72">
        <f>SUMIF(Adat!$AH:$AH,CONCATENATE($M$4,"(ÁIG)","09241",L131),Adat!$E:$E)*-1</f>
        <v>0</v>
      </c>
    </row>
    <row r="157" spans="2:9" x14ac:dyDescent="0.2">
      <c r="B157" s="160">
        <v>24</v>
      </c>
      <c r="C157" s="305" t="s">
        <v>1255</v>
      </c>
      <c r="D157" s="82" t="s">
        <v>1347</v>
      </c>
      <c r="E157" s="72">
        <f>SUMIF(Adat!$AG:$AG,CONCATENATE(61,$M$4,"09251",L131),Adat!$E:$E)*-1</f>
        <v>0</v>
      </c>
      <c r="F157" s="72">
        <f>SUMIF(Adat!$AG:$AG,CONCATENATE(60,$M$4,"09251",L131),Adat!$E:$E)*-1+E157</f>
        <v>0</v>
      </c>
      <c r="G157" s="72">
        <f>SUMIF(Adat!$AH:$AH,CONCATENATE($M$4,"(KÖT)","09251",L131),Adat!$E:$E)*-1</f>
        <v>0</v>
      </c>
      <c r="H157" s="72">
        <f>SUMIF(Adat!$AH:$AH,CONCATENATE($M$4,"(ÖNV)","09251",L131),Adat!$E:$E)*-1</f>
        <v>0</v>
      </c>
      <c r="I157" s="72">
        <f>SUMIF(Adat!$AH:$AH,CONCATENATE($M$4,"(ÁIG)","09251",L131),Adat!$E:$E)*-1</f>
        <v>0</v>
      </c>
    </row>
    <row r="158" spans="2:9" x14ac:dyDescent="0.25">
      <c r="B158" s="160">
        <v>25</v>
      </c>
      <c r="C158" s="79" t="s">
        <v>33</v>
      </c>
      <c r="D158" s="79" t="s">
        <v>330</v>
      </c>
      <c r="E158" s="121">
        <f>SUM(E159:E161)</f>
        <v>0</v>
      </c>
      <c r="F158" s="121">
        <f t="shared" ref="F158:I158" si="10">SUM(F159:F161)</f>
        <v>0</v>
      </c>
      <c r="G158" s="121">
        <f t="shared" si="10"/>
        <v>0</v>
      </c>
      <c r="H158" s="121">
        <f t="shared" si="10"/>
        <v>0</v>
      </c>
      <c r="I158" s="121">
        <f t="shared" si="10"/>
        <v>0</v>
      </c>
    </row>
    <row r="159" spans="2:9" x14ac:dyDescent="0.2">
      <c r="B159" s="160">
        <v>26</v>
      </c>
      <c r="C159" s="305" t="s">
        <v>1373</v>
      </c>
      <c r="D159" s="82" t="s">
        <v>1374</v>
      </c>
      <c r="E159" s="72">
        <f>SUMIF(Adat!$AG:$AG,CONCATENATE(61,$M$4,"09511",L131),Adat!$E:$E)*-1</f>
        <v>0</v>
      </c>
      <c r="F159" s="72">
        <f>SUMIF(Adat!$AG:$AG,CONCATENATE(60,$M$4,"09511",L131),Adat!$E:$E)*-1+E159</f>
        <v>0</v>
      </c>
      <c r="G159" s="72">
        <f>SUMIF(Adat!$AH:$AH,CONCATENATE($M$4,"(KÖT)","09511",L131),Adat!$E:$E)*-1</f>
        <v>0</v>
      </c>
      <c r="H159" s="72">
        <f>SUMIF(Adat!$AH:$AH,CONCATENATE($M$4,"(ÖNV)","09511",L131),Adat!$E:$E)*-1</f>
        <v>0</v>
      </c>
      <c r="I159" s="72">
        <f>SUMIF(Adat!$AH:$AH,CONCATENATE($M$4,"(ÁIG)","09511",L131),Adat!$E:$E)*-1</f>
        <v>0</v>
      </c>
    </row>
    <row r="160" spans="2:9" x14ac:dyDescent="0.2">
      <c r="B160" s="160">
        <v>27</v>
      </c>
      <c r="C160" s="305" t="s">
        <v>1294</v>
      </c>
      <c r="D160" s="82" t="s">
        <v>1375</v>
      </c>
      <c r="E160" s="72">
        <f>SUMIF(Adat!$AG:$AG,CONCATENATE(61,$M$4,"09521",L131),Adat!$E:$E)*-1</f>
        <v>0</v>
      </c>
      <c r="F160" s="72">
        <f>SUMIF(Adat!$AG:$AG,CONCATENATE(60,$M$4,"09521",L131),Adat!$E:$E)*-1+E160</f>
        <v>0</v>
      </c>
      <c r="G160" s="72">
        <f>SUMIF(Adat!$AH:$AH,CONCATENATE($M$4,"(KÖT)","09521",L131),Adat!$E:$E)*-1</f>
        <v>0</v>
      </c>
      <c r="H160" s="72">
        <f>SUMIF(Adat!$AH:$AH,CONCATENATE($M$4,"(ÖNV)","09521",L131),Adat!$E:$E)*-1</f>
        <v>0</v>
      </c>
      <c r="I160" s="72">
        <f>SUMIF(Adat!$AH:$AH,CONCATENATE($M$4,"(ÁIG)","09521",L131),Adat!$E:$E)*-1</f>
        <v>0</v>
      </c>
    </row>
    <row r="161" spans="2:12" x14ac:dyDescent="0.2">
      <c r="B161" s="160">
        <v>28</v>
      </c>
      <c r="C161" s="305" t="s">
        <v>1376</v>
      </c>
      <c r="D161" s="82" t="s">
        <v>1377</v>
      </c>
      <c r="E161" s="72">
        <f>SUMIF(Adat!$AG:$AG,CONCATENATE(61,$M$4,"09531",L131),Adat!$E:$E)*-1</f>
        <v>0</v>
      </c>
      <c r="F161" s="72">
        <f>SUMIF(Adat!$AG:$AG,CONCATENATE(60,$M$4,"09531",L131),Adat!$E:$E)*-1+E161</f>
        <v>0</v>
      </c>
      <c r="G161" s="72">
        <f>SUMIF(Adat!$AH:$AH,CONCATENATE($M$4,"(KÖT)","09531",L131),Adat!$E:$E)*-1</f>
        <v>0</v>
      </c>
      <c r="H161" s="72">
        <f>SUMIF(Adat!$AH:$AH,CONCATENATE($M$4,"(ÖNV)","09531",L131),Adat!$E:$E)*-1</f>
        <v>0</v>
      </c>
      <c r="I161" s="72">
        <f>SUMIF(Adat!$AH:$AH,CONCATENATE($M$4,"(ÁIG)","09531",L131),Adat!$E:$E)*-1</f>
        <v>0</v>
      </c>
    </row>
    <row r="162" spans="2:12" x14ac:dyDescent="0.25">
      <c r="B162" s="160">
        <v>29</v>
      </c>
      <c r="C162" s="79" t="s">
        <v>36</v>
      </c>
      <c r="D162" s="79" t="s">
        <v>331</v>
      </c>
      <c r="E162" s="71">
        <f>SUMIF(Adat!$AI:$AI,CONCATENATE(61,$M$4,"096",L131),Adat!$E:$E)*-1</f>
        <v>0</v>
      </c>
      <c r="F162" s="71">
        <f>SUMIF(Adat!$AI:$AI,CONCATENATE(60,$M$4,"096",L131),Adat!$E:$E)*-1+E162</f>
        <v>0</v>
      </c>
      <c r="G162" s="71">
        <f>SUMIF(Adat!$AJ:$AJ,CONCATENATE($M$4,"096","(KÖT)",L131),Adat!$E:$E)*-1</f>
        <v>0</v>
      </c>
      <c r="H162" s="71">
        <f>SUMIF(Adat!$AJ:$AJ,CONCATENATE($M$4,"096","(ÖNV)",L131),Adat!$E:$E)*-1</f>
        <v>0</v>
      </c>
      <c r="I162" s="71">
        <f>SUMIF(Adat!$AJ:$AJ,CONCATENATE($M$4,"096","(ÁIG)",L131),Adat!$E:$E)*-1</f>
        <v>0</v>
      </c>
    </row>
    <row r="163" spans="2:12" x14ac:dyDescent="0.25">
      <c r="B163" s="160">
        <v>30</v>
      </c>
      <c r="C163" s="79" t="s">
        <v>38</v>
      </c>
      <c r="D163" s="85" t="s">
        <v>332</v>
      </c>
      <c r="E163" s="71">
        <f>SUMIF(Adat!$AI:$AI,CONCATENATE(61,$M$4,"097",L131),Adat!$E:$E)*-1</f>
        <v>0</v>
      </c>
      <c r="F163" s="71">
        <f>SUMIF(Adat!$AI:$AI,CONCATENATE(60,$M$4,"097",L131),Adat!$E:$E)*-1+E163</f>
        <v>0</v>
      </c>
      <c r="G163" s="71">
        <f>SUMIF(Adat!$AJ:$AJ,CONCATENATE($M$4,"097","(KÖT)",L131),Adat!$E:$E)*-1</f>
        <v>0</v>
      </c>
      <c r="H163" s="71">
        <f>SUMIF(Adat!$AJ:$AJ,CONCATENATE($M$4,"097","(ÖNV)",L131),Adat!$E:$E)*-1</f>
        <v>0</v>
      </c>
      <c r="I163" s="71">
        <f>SUMIF(Adat!$AJ:$AJ,CONCATENATE($M$4,"097","(ÁIG)",L131),Adat!$E:$E)*-1</f>
        <v>0</v>
      </c>
    </row>
    <row r="164" spans="2:12" x14ac:dyDescent="0.25">
      <c r="B164" s="160">
        <v>31</v>
      </c>
      <c r="C164" s="154" t="s">
        <v>352</v>
      </c>
      <c r="D164" s="86" t="s">
        <v>1500</v>
      </c>
      <c r="E164" s="121">
        <f>E135+E149+E153+E154+E158+E162+E163</f>
        <v>0</v>
      </c>
      <c r="F164" s="121">
        <f>F135+F149+F153+F154+F158+F162+F163</f>
        <v>0</v>
      </c>
      <c r="G164" s="121">
        <f>G135+G149+G153+G154+G158+G162+G163</f>
        <v>0</v>
      </c>
      <c r="H164" s="121">
        <f>H135+H149+H153+H154+H158+H162+H163</f>
        <v>0</v>
      </c>
      <c r="I164" s="121">
        <f>I135+I149+I153+I154+I158+I162+I163</f>
        <v>0</v>
      </c>
    </row>
    <row r="165" spans="2:12" x14ac:dyDescent="0.25">
      <c r="B165" s="160">
        <v>32</v>
      </c>
      <c r="C165" s="154" t="s">
        <v>358</v>
      </c>
      <c r="D165" s="86" t="s">
        <v>333</v>
      </c>
      <c r="E165" s="121">
        <f>SUM(E166:E168)</f>
        <v>0</v>
      </c>
      <c r="F165" s="121">
        <f t="shared" ref="F165:I165" si="11">SUM(F166:F168)</f>
        <v>0</v>
      </c>
      <c r="G165" s="121">
        <f t="shared" si="11"/>
        <v>0</v>
      </c>
      <c r="H165" s="121">
        <f t="shared" si="11"/>
        <v>0</v>
      </c>
      <c r="I165" s="121">
        <f t="shared" si="11"/>
        <v>0</v>
      </c>
    </row>
    <row r="166" spans="2:12" x14ac:dyDescent="0.2">
      <c r="B166" s="160">
        <v>33</v>
      </c>
      <c r="C166" s="305" t="s">
        <v>1274</v>
      </c>
      <c r="D166" s="82" t="s">
        <v>1419</v>
      </c>
      <c r="E166" s="72">
        <f>SUMIF(Adat!$AG:$AG,CONCATENATE(61,$M$4,"0981311",L131),Adat!$E:$E)*-1</f>
        <v>0</v>
      </c>
      <c r="F166" s="72">
        <f>SUMIF(Adat!$AG:$AG,CONCATENATE(60,$M$4,"0981311",L131),Adat!$E:$E)*-1+E166</f>
        <v>0</v>
      </c>
      <c r="G166" s="72">
        <f>SUMIF(Adat!$AH:$AH,CONCATENATE($M$4,"(KÖT)","0981311",L131),Adat!$E:$E)*-1</f>
        <v>0</v>
      </c>
      <c r="H166" s="72">
        <f>SUMIF(Adat!$AH:$AH,CONCATENATE($M$4,"(ÖNV)","0981311",L131),Adat!$E:$E)*-1</f>
        <v>0</v>
      </c>
      <c r="I166" s="72">
        <f>SUMIF(Adat!$AH:$AH,CONCATENATE($M$4,"(ÁIG)","0981311",L131),Adat!$E:$E)*-1</f>
        <v>0</v>
      </c>
    </row>
    <row r="167" spans="2:12" x14ac:dyDescent="0.25">
      <c r="B167" s="160">
        <v>34</v>
      </c>
      <c r="C167" s="305" t="s">
        <v>1420</v>
      </c>
      <c r="D167" s="84" t="s">
        <v>1421</v>
      </c>
      <c r="E167" s="72">
        <f>SUMIF(Adat!$AG:$AG,CONCATENATE(61,$M$4,"0981321",L131),Adat!$E:$E)*-1</f>
        <v>0</v>
      </c>
      <c r="F167" s="72">
        <f>SUMIF(Adat!$AG:$AG,CONCATENATE(60,$M$4,"0981321",L131),Adat!$E:$E)*-1+E167</f>
        <v>0</v>
      </c>
      <c r="G167" s="72">
        <f>SUMIF(Adat!$AH:$AH,CONCATENATE($M$4,"(KÖT)","0981321",L131),Adat!$E:$E)*-1</f>
        <v>0</v>
      </c>
      <c r="H167" s="72">
        <f>SUMIF(Adat!$AH:$AH,CONCATENATE($M$4,"(ÖNV)","0981321",L131),Adat!$E:$E)*-1</f>
        <v>0</v>
      </c>
      <c r="I167" s="72">
        <f>SUMIF(Adat!$AH:$AH,CONCATENATE($M$4,"(ÁIG)","0981321",L131),Adat!$E:$E)*-1</f>
        <v>0</v>
      </c>
    </row>
    <row r="168" spans="2:12" x14ac:dyDescent="0.25">
      <c r="B168" s="160">
        <v>35</v>
      </c>
      <c r="C168" s="319" t="s">
        <v>1275</v>
      </c>
      <c r="D168" s="84" t="s">
        <v>1501</v>
      </c>
      <c r="E168" s="72">
        <f>SUMIF(Adat!$AG:$AG,CONCATENATE(61,$M$4,"098161",L131),Adat!$E:$E)*-1</f>
        <v>0</v>
      </c>
      <c r="F168" s="72">
        <f>SUMIF(Adat!$AG:$AG,CONCATENATE(60,$M$4,"098161",L131),Adat!$E:$E)*-1+E168</f>
        <v>0</v>
      </c>
      <c r="G168" s="72">
        <f>SUMIF(Adat!$AH:$AH,CONCATENATE($M$4,"(KÖT)","098161",L131),Adat!$E:$E)*-1</f>
        <v>0</v>
      </c>
      <c r="H168" s="72">
        <f>SUMIF(Adat!$AH:$AH,CONCATENATE($M$4,"(ÖNV)","098161",L131),Adat!$E:$E)*-1</f>
        <v>0</v>
      </c>
      <c r="I168" s="72">
        <f>SUMIF(Adat!$AH:$AH,CONCATENATE($M$4,"(ÁIG)","098161",L131),Adat!$E:$E)*-1</f>
        <v>0</v>
      </c>
    </row>
    <row r="169" spans="2:12" x14ac:dyDescent="0.25">
      <c r="B169" s="160">
        <v>36</v>
      </c>
      <c r="C169" s="154" t="s">
        <v>364</v>
      </c>
      <c r="D169" s="159" t="s">
        <v>1502</v>
      </c>
      <c r="E169" s="121">
        <f>+E164+E165</f>
        <v>0</v>
      </c>
      <c r="F169" s="121">
        <f>+F164+F165</f>
        <v>0</v>
      </c>
      <c r="G169" s="121">
        <f>+G164+G165</f>
        <v>0</v>
      </c>
      <c r="H169" s="121">
        <f>+H164+H165</f>
        <v>0</v>
      </c>
      <c r="I169" s="121">
        <f>+I164+I165</f>
        <v>0</v>
      </c>
    </row>
    <row r="170" spans="2:12" ht="15.75" x14ac:dyDescent="0.25">
      <c r="B170" s="38"/>
      <c r="C170" s="156"/>
      <c r="D170" s="38"/>
      <c r="E170" s="140"/>
      <c r="F170" s="140"/>
      <c r="G170" s="140"/>
      <c r="H170" s="140"/>
      <c r="I170" s="140"/>
    </row>
    <row r="171" spans="2:12" s="10" customFormat="1" ht="15.75" customHeight="1" x14ac:dyDescent="0.25">
      <c r="B171" s="201" t="str">
        <f>CONCATENATE("6. Kiadási jogcímek"," - ",L171," részletező")</f>
        <v>6. Kiadási jogcímek -  részletező</v>
      </c>
      <c r="C171" s="101"/>
      <c r="D171" s="101"/>
      <c r="E171" s="101"/>
      <c r="F171" s="101"/>
      <c r="G171" s="198"/>
      <c r="H171" s="198"/>
      <c r="I171" s="198"/>
      <c r="L171" s="384"/>
    </row>
    <row r="172" spans="2:12" ht="15.75" x14ac:dyDescent="0.25">
      <c r="B172" s="38"/>
      <c r="C172" s="156"/>
      <c r="D172" s="38"/>
      <c r="E172" s="140"/>
      <c r="F172" s="140"/>
      <c r="G172" s="140"/>
      <c r="H172" s="140"/>
      <c r="I172" s="140"/>
    </row>
    <row r="173" spans="2:12" x14ac:dyDescent="0.25">
      <c r="B173" s="77"/>
      <c r="C173" s="77" t="s">
        <v>350</v>
      </c>
      <c r="D173" s="77" t="s">
        <v>351</v>
      </c>
      <c r="E173" s="77" t="s">
        <v>470</v>
      </c>
      <c r="F173" s="77" t="s">
        <v>471</v>
      </c>
      <c r="G173" s="77" t="s">
        <v>44</v>
      </c>
      <c r="H173" s="77" t="s">
        <v>42</v>
      </c>
      <c r="I173" s="77" t="s">
        <v>511</v>
      </c>
    </row>
    <row r="174" spans="2:12" ht="38.25" x14ac:dyDescent="0.25">
      <c r="B174" s="160">
        <v>1</v>
      </c>
      <c r="C174" s="154" t="s">
        <v>593</v>
      </c>
      <c r="D174" s="154" t="s">
        <v>488</v>
      </c>
      <c r="E174" s="163" t="str">
        <f>CONCATENATE(PAR!$H$3," évi
eredeti 
előirányzat")</f>
        <v>2025. évi
eredeti 
előirányzat</v>
      </c>
      <c r="F174" s="163" t="str">
        <f>CONCATENATE(PAR!$H$3," évi
módosított 
előirányzat")</f>
        <v>2025. évi
módosított 
előirányzat</v>
      </c>
      <c r="G174" s="78" t="s">
        <v>666</v>
      </c>
      <c r="H174" s="78" t="s">
        <v>667</v>
      </c>
      <c r="I174" s="78" t="s">
        <v>668</v>
      </c>
    </row>
    <row r="175" spans="2:12" x14ac:dyDescent="0.25">
      <c r="B175" s="160">
        <v>2</v>
      </c>
      <c r="C175" s="78" t="s">
        <v>352</v>
      </c>
      <c r="D175" s="92" t="s">
        <v>1444</v>
      </c>
      <c r="E175" s="121">
        <f>SUM(E176:E180)</f>
        <v>0</v>
      </c>
      <c r="F175" s="121">
        <f>SUM(F176:F180)</f>
        <v>0</v>
      </c>
      <c r="G175" s="121">
        <f>SUM(G176:G180)</f>
        <v>0</v>
      </c>
      <c r="H175" s="121">
        <f>SUM(H176:H180)</f>
        <v>0</v>
      </c>
      <c r="I175" s="121">
        <f>SUM(I176:I180)</f>
        <v>0</v>
      </c>
    </row>
    <row r="176" spans="2:12" x14ac:dyDescent="0.25">
      <c r="B176" s="160">
        <v>3</v>
      </c>
      <c r="C176" s="305" t="s">
        <v>315</v>
      </c>
      <c r="D176" s="93" t="s">
        <v>342</v>
      </c>
      <c r="E176" s="72">
        <f>SUMIF(Adat!$AI:$AI,CONCATENATE(61,$M$4,"051",L171),Adat!$E:$E)</f>
        <v>0</v>
      </c>
      <c r="F176" s="72">
        <f>SUMIF(Adat!$AI:$AI,CONCATENATE(60,$M$4,"051",L171),Adat!$E:$E)+E176</f>
        <v>0</v>
      </c>
      <c r="G176" s="72">
        <f>SUMIF(Adat!$AJ:$AJ,CONCATENATE($M$4,"051","(KÖT)",L171),Adat!$E:$E)</f>
        <v>0</v>
      </c>
      <c r="H176" s="72">
        <f>SUMIF(Adat!$AJ:$AJ,CONCATENATE($M$4,"051","(ÖNV)",L171),Adat!$E:$E)</f>
        <v>0</v>
      </c>
      <c r="I176" s="72">
        <f>SUMIF(Adat!$AJ:$AJ,CONCATENATE($M$4,"051","(ÁIG)",L171),Adat!$E:$E)</f>
        <v>0</v>
      </c>
    </row>
    <row r="177" spans="2:9" x14ac:dyDescent="0.25">
      <c r="B177" s="160">
        <v>4</v>
      </c>
      <c r="C177" s="305" t="s">
        <v>317</v>
      </c>
      <c r="D177" s="93" t="s">
        <v>395</v>
      </c>
      <c r="E177" s="72">
        <f>SUMIF(Adat!$AI:$AI,CONCATENATE(61,$M$4,"052",L171),Adat!$E:$E)</f>
        <v>0</v>
      </c>
      <c r="F177" s="72">
        <f>SUMIF(Adat!$AI:$AI,CONCATENATE(60,$M$4,"052",L171),Adat!$E:$E)+E177</f>
        <v>0</v>
      </c>
      <c r="G177" s="72">
        <f>SUMIF(Adat!$AJ:$AJ,CONCATENATE($M$4,"052","(KÖT)",L171),Adat!$E:$E)</f>
        <v>0</v>
      </c>
      <c r="H177" s="72">
        <f>SUMIF(Adat!$AJ:$AJ,CONCATENATE($M$4,"052","(ÖNV)",L171),Adat!$E:$E)</f>
        <v>0</v>
      </c>
      <c r="I177" s="72">
        <f>SUMIF(Adat!$AJ:$AJ,CONCATENATE($M$4,"052","(ÁIG)",L171),Adat!$E:$E)</f>
        <v>0</v>
      </c>
    </row>
    <row r="178" spans="2:9" x14ac:dyDescent="0.25">
      <c r="B178" s="160">
        <v>5</v>
      </c>
      <c r="C178" s="305" t="s">
        <v>4</v>
      </c>
      <c r="D178" s="93" t="s">
        <v>344</v>
      </c>
      <c r="E178" s="72">
        <f>SUMIF(Adat!$AI:$AI,CONCATENATE(61,$M$4,"053",L171),Adat!$E:$E)</f>
        <v>0</v>
      </c>
      <c r="F178" s="72">
        <f>SUMIF(Adat!$AI:$AI,CONCATENATE(60,$M$4,"053",L171),Adat!$E:$E)+E178</f>
        <v>0</v>
      </c>
      <c r="G178" s="72">
        <f>SUMIF(Adat!$AJ:$AJ,CONCATENATE($M$4,"053","(KÖT)",L171),Adat!$E:$E)</f>
        <v>0</v>
      </c>
      <c r="H178" s="72">
        <f>SUMIF(Adat!$AJ:$AJ,CONCATENATE($M$4,"053","(ÖNV)",L171),Adat!$E:$E)</f>
        <v>0</v>
      </c>
      <c r="I178" s="72">
        <f>SUMIF(Adat!$AJ:$AJ,CONCATENATE($M$4,"053","(ÁIG)",L171),Adat!$E:$E)</f>
        <v>0</v>
      </c>
    </row>
    <row r="179" spans="2:9" x14ac:dyDescent="0.25">
      <c r="B179" s="160">
        <v>6</v>
      </c>
      <c r="C179" s="305" t="s">
        <v>6</v>
      </c>
      <c r="D179" s="93" t="s">
        <v>345</v>
      </c>
      <c r="E179" s="72">
        <f>SUMIF(Adat!$AI:$AI,CONCATENATE(61,$M$4,"054",L171),Adat!$E:$E)</f>
        <v>0</v>
      </c>
      <c r="F179" s="72">
        <f>SUMIF(Adat!$AI:$AI,CONCATENATE(60,$M$4,"054",L171),Adat!$E:$E)+E179</f>
        <v>0</v>
      </c>
      <c r="G179" s="72">
        <f>SUMIF(Adat!$AJ:$AJ,CONCATENATE($M$4,"054","(KÖT)",L171),Adat!$E:$E)</f>
        <v>0</v>
      </c>
      <c r="H179" s="72">
        <f>SUMIF(Adat!$AJ:$AJ,CONCATENATE($M$4,"054","(ÖNV)",L171),Adat!$E:$E)</f>
        <v>0</v>
      </c>
      <c r="I179" s="72">
        <f>SUMIF(Adat!$AJ:$AJ,CONCATENATE($M$4,"054","(ÁIG)",L171),Adat!$E:$E)</f>
        <v>0</v>
      </c>
    </row>
    <row r="180" spans="2:9" x14ac:dyDescent="0.25">
      <c r="B180" s="160">
        <v>7</v>
      </c>
      <c r="C180" s="305" t="s">
        <v>8</v>
      </c>
      <c r="D180" s="93" t="s">
        <v>321</v>
      </c>
      <c r="E180" s="72">
        <f>SUMIF(Adat!$AI:$AI,CONCATENATE(61,$M$4,"055",L171),Adat!$E:$E)</f>
        <v>0</v>
      </c>
      <c r="F180" s="72">
        <f>SUMIF(Adat!$AI:$AI,CONCATENATE(60,$M$4,"055",L171),Adat!$E:$E)+E180</f>
        <v>0</v>
      </c>
      <c r="G180" s="72">
        <f>SUMIF(Adat!$AJ:$AJ,CONCATENATE($M$4,"055","(KÖT)",L171),Adat!$E:$E)</f>
        <v>0</v>
      </c>
      <c r="H180" s="72">
        <f>SUMIF(Adat!$AJ:$AJ,CONCATENATE($M$4,"055","(ÖNV)",L171),Adat!$E:$E)</f>
        <v>0</v>
      </c>
      <c r="I180" s="72">
        <f>SUMIF(Adat!$AJ:$AJ,CONCATENATE($M$4,"055","(ÁIG)",L171),Adat!$E:$E)</f>
        <v>0</v>
      </c>
    </row>
    <row r="181" spans="2:9" x14ac:dyDescent="0.25">
      <c r="B181" s="160">
        <v>8</v>
      </c>
      <c r="C181" s="78" t="s">
        <v>358</v>
      </c>
      <c r="D181" s="92" t="s">
        <v>1447</v>
      </c>
      <c r="E181" s="121">
        <f>E182+E184+E186</f>
        <v>0</v>
      </c>
      <c r="F181" s="121">
        <f>F182+F184+F186</f>
        <v>0</v>
      </c>
      <c r="G181" s="121">
        <f>G182+G184+G186</f>
        <v>0</v>
      </c>
      <c r="H181" s="121">
        <f>H182+H184+H186</f>
        <v>0</v>
      </c>
      <c r="I181" s="121">
        <f>I182+I184+I186</f>
        <v>0</v>
      </c>
    </row>
    <row r="182" spans="2:9" x14ac:dyDescent="0.25">
      <c r="B182" s="160">
        <v>9</v>
      </c>
      <c r="C182" s="305" t="s">
        <v>10</v>
      </c>
      <c r="D182" s="93" t="s">
        <v>322</v>
      </c>
      <c r="E182" s="72">
        <f>SUMIF(Adat!$AI:$AI,CONCATENATE(61,$M$4,"056",L171),Adat!$E:$E)</f>
        <v>0</v>
      </c>
      <c r="F182" s="72">
        <f>SUMIF(Adat!$AI:$AI,CONCATENATE(60,$M$4,"056",L171),Adat!$E:$E)+E182</f>
        <v>0</v>
      </c>
      <c r="G182" s="72">
        <f>SUMIF(Adat!$AJ:$AJ,CONCATENATE($M$4,"056","(KÖT)",L171),Adat!$E:$E)</f>
        <v>0</v>
      </c>
      <c r="H182" s="72">
        <f>SUMIF(Adat!$AJ:$AJ,CONCATENATE($M$4,"056","(ÖNV)",L171),Adat!$E:$E)</f>
        <v>0</v>
      </c>
      <c r="I182" s="72">
        <f>SUMIF(Adat!$AJ:$AJ,CONCATENATE($M$4,"056","(ÁIG)",L171),Adat!$E:$E)</f>
        <v>0</v>
      </c>
    </row>
    <row r="183" spans="2:9" x14ac:dyDescent="0.25">
      <c r="B183" s="160">
        <v>10</v>
      </c>
      <c r="C183" s="305" t="s">
        <v>10</v>
      </c>
      <c r="D183" s="93" t="s">
        <v>1448</v>
      </c>
      <c r="E183" s="72">
        <v>0</v>
      </c>
      <c r="F183" s="72">
        <f>SUM(G183:I183)</f>
        <v>0</v>
      </c>
      <c r="G183" s="72">
        <v>0</v>
      </c>
      <c r="H183" s="72">
        <v>0</v>
      </c>
      <c r="I183" s="72">
        <v>0</v>
      </c>
    </row>
    <row r="184" spans="2:9" x14ac:dyDescent="0.25">
      <c r="B184" s="160">
        <v>11</v>
      </c>
      <c r="C184" s="305" t="s">
        <v>12</v>
      </c>
      <c r="D184" s="93" t="s">
        <v>323</v>
      </c>
      <c r="E184" s="72">
        <f>SUMIF(Adat!$AI:$AI,CONCATENATE(61,$M$4,"057",L171),Adat!$E:$E)</f>
        <v>0</v>
      </c>
      <c r="F184" s="72">
        <f>SUMIF(Adat!$AI:$AI,CONCATENATE(60,$M$4,"057",L171),Adat!$E:$E)+E184</f>
        <v>0</v>
      </c>
      <c r="G184" s="72">
        <f>SUMIF(Adat!$AJ:$AJ,CONCATENATE($M$4,"057","(KÖT)",L171),Adat!$E:$E)</f>
        <v>0</v>
      </c>
      <c r="H184" s="72">
        <f>SUMIF(Adat!$AJ:$AJ,CONCATENATE($M$4,"057","(ÖNV)",L171),Adat!$E:$E)</f>
        <v>0</v>
      </c>
      <c r="I184" s="72">
        <f>SUMIF(Adat!$AJ:$AJ,CONCATENATE($M$4,"057","(ÁIG)",L171),Adat!$E:$E)</f>
        <v>0</v>
      </c>
    </row>
    <row r="185" spans="2:9" x14ac:dyDescent="0.25">
      <c r="B185" s="160">
        <v>12</v>
      </c>
      <c r="C185" s="305" t="s">
        <v>12</v>
      </c>
      <c r="D185" s="93" t="s">
        <v>1449</v>
      </c>
      <c r="E185" s="72">
        <v>0</v>
      </c>
      <c r="F185" s="72">
        <f>SUM(G185:I185)</f>
        <v>0</v>
      </c>
      <c r="G185" s="72">
        <v>0</v>
      </c>
      <c r="H185" s="72">
        <v>0</v>
      </c>
      <c r="I185" s="72">
        <v>0</v>
      </c>
    </row>
    <row r="186" spans="2:9" x14ac:dyDescent="0.25">
      <c r="B186" s="160">
        <v>13</v>
      </c>
      <c r="C186" s="305" t="s">
        <v>15</v>
      </c>
      <c r="D186" s="84" t="s">
        <v>324</v>
      </c>
      <c r="E186" s="72">
        <f>SUMIF(Adat!$AI:$AI,CONCATENATE(61,$M$4,"058",L171),Adat!$E:$E)</f>
        <v>0</v>
      </c>
      <c r="F186" s="72">
        <f>SUMIF(Adat!$AI:$AI,CONCATENATE(60,$M$4,"058",L171),Adat!$E:$E)+E186</f>
        <v>0</v>
      </c>
      <c r="G186" s="72">
        <f>SUMIF(Adat!$AJ:$AJ,CONCATENATE($M$4,"058","(KÖT)",L171),Adat!$E:$E)</f>
        <v>0</v>
      </c>
      <c r="H186" s="72">
        <f>SUMIF(Adat!$AJ:$AJ,CONCATENATE($M$4,"058","(ÖNV)",L171),Adat!$E:$E)</f>
        <v>0</v>
      </c>
      <c r="I186" s="72">
        <f>SUMIF(Adat!$AJ:$AJ,CONCATENATE($M$4,"058","(ÁIG)",L171),Adat!$E:$E)</f>
        <v>0</v>
      </c>
    </row>
    <row r="187" spans="2:9" x14ac:dyDescent="0.25">
      <c r="B187" s="160">
        <v>14</v>
      </c>
      <c r="C187" s="154" t="s">
        <v>364</v>
      </c>
      <c r="D187" s="86" t="s">
        <v>325</v>
      </c>
      <c r="E187" s="71">
        <f>SUMIF(Adat!$AI:$AI,CONCATENATE(61,$M$4,"059",L171),Adat!$E:$E)</f>
        <v>0</v>
      </c>
      <c r="F187" s="71">
        <f>SUMIF(Adat!$AI:$AI,CONCATENATE(60,$M$4,"059",L171),Adat!$E:$E)+E187</f>
        <v>0</v>
      </c>
      <c r="G187" s="71">
        <f>SUMIF(Adat!$AJ:$AJ,CONCATENATE($M$4,"059","(KÖT)",L171),Adat!$E:$E)</f>
        <v>0</v>
      </c>
      <c r="H187" s="71">
        <f>SUMIF(Adat!$AJ:$AJ,CONCATENATE($M$4,"059","(ÖNV)",L171),Adat!$E:$E)</f>
        <v>0</v>
      </c>
      <c r="I187" s="71">
        <f>SUMIF(Adat!$AJ:$AJ,CONCATENATE($M$4,"059","(ÁIG)",L171),Adat!$E:$E)</f>
        <v>0</v>
      </c>
    </row>
    <row r="188" spans="2:9" x14ac:dyDescent="0.25">
      <c r="B188" s="160">
        <v>15</v>
      </c>
      <c r="C188" s="154" t="s">
        <v>403</v>
      </c>
      <c r="D188" s="159" t="s">
        <v>497</v>
      </c>
      <c r="E188" s="121">
        <f>E175+E181+E187</f>
        <v>0</v>
      </c>
      <c r="F188" s="121">
        <f>F175+F181+F187</f>
        <v>0</v>
      </c>
      <c r="G188" s="121">
        <f>G175+G181+G187</f>
        <v>0</v>
      </c>
      <c r="H188" s="121">
        <f>H175+H181+H187</f>
        <v>0</v>
      </c>
      <c r="I188" s="121">
        <f>I175+I181+I187</f>
        <v>0</v>
      </c>
    </row>
    <row r="189" spans="2:9" ht="15.75" x14ac:dyDescent="0.25">
      <c r="B189" s="37"/>
      <c r="C189" s="529"/>
      <c r="D189" s="529"/>
      <c r="E189" s="529"/>
      <c r="F189" s="200"/>
      <c r="G189" s="200"/>
      <c r="H189" s="200"/>
      <c r="I189" s="200"/>
    </row>
    <row r="190" spans="2:9" ht="15.75" x14ac:dyDescent="0.25">
      <c r="B190" s="525" t="str">
        <f>$N$4</f>
        <v>Nagymarosi Napköziotthonos Óvoda és Bölcsőde</v>
      </c>
      <c r="C190" s="525"/>
      <c r="D190" s="525"/>
      <c r="E190" s="525"/>
      <c r="F190" s="525"/>
      <c r="G190" s="525"/>
      <c r="H190" s="525"/>
      <c r="I190" s="525"/>
    </row>
    <row r="191" spans="2:9" ht="15.75" x14ac:dyDescent="0.25">
      <c r="B191" s="525" t="s">
        <v>2660</v>
      </c>
      <c r="C191" s="525"/>
      <c r="D191" s="525"/>
      <c r="E191" s="525"/>
      <c r="F191" s="525"/>
      <c r="G191" s="525"/>
      <c r="H191" s="525"/>
      <c r="I191" s="525"/>
    </row>
    <row r="192" spans="2:9" ht="15.75" x14ac:dyDescent="0.25">
      <c r="B192" s="38"/>
      <c r="C192" s="156"/>
      <c r="D192" s="38"/>
      <c r="E192" s="140"/>
      <c r="F192" s="140"/>
      <c r="G192" s="140"/>
      <c r="H192" s="140"/>
      <c r="I192" s="140"/>
    </row>
    <row r="193" spans="2:12" s="10" customFormat="1" ht="15.75" customHeight="1" x14ac:dyDescent="0.25">
      <c r="B193" s="201" t="str">
        <f>CONCATENATE("7. Bevételi jogcímek"," - ",L193," részletező")</f>
        <v>7. Bevételi jogcímek -  részletező</v>
      </c>
      <c r="C193" s="101"/>
      <c r="D193" s="101"/>
      <c r="E193" s="101"/>
      <c r="F193" s="101"/>
      <c r="G193" s="198"/>
      <c r="H193" s="198"/>
      <c r="I193" s="198"/>
      <c r="L193" s="384"/>
    </row>
    <row r="194" spans="2:12" ht="15.75" x14ac:dyDescent="0.25">
      <c r="B194" s="38"/>
      <c r="C194" s="156"/>
      <c r="D194" s="38"/>
      <c r="E194" s="140"/>
      <c r="F194" s="140"/>
      <c r="G194" s="140"/>
      <c r="H194" s="140"/>
      <c r="I194" s="140"/>
    </row>
    <row r="195" spans="2:12" x14ac:dyDescent="0.25">
      <c r="B195" s="77"/>
      <c r="C195" s="77" t="s">
        <v>350</v>
      </c>
      <c r="D195" s="77" t="s">
        <v>351</v>
      </c>
      <c r="E195" s="77" t="s">
        <v>470</v>
      </c>
      <c r="F195" s="77" t="s">
        <v>471</v>
      </c>
      <c r="G195" s="77" t="s">
        <v>44</v>
      </c>
      <c r="H195" s="77" t="s">
        <v>42</v>
      </c>
      <c r="I195" s="77" t="s">
        <v>511</v>
      </c>
    </row>
    <row r="196" spans="2:12" ht="38.25" x14ac:dyDescent="0.25">
      <c r="B196" s="160">
        <v>1</v>
      </c>
      <c r="C196" s="154" t="s">
        <v>593</v>
      </c>
      <c r="D196" s="154" t="s">
        <v>488</v>
      </c>
      <c r="E196" s="163" t="str">
        <f>CONCATENATE(PAR!$H$3," évi
eredeti 
előirányzat")</f>
        <v>2025. évi
eredeti 
előirányzat</v>
      </c>
      <c r="F196" s="163" t="str">
        <f>CONCATENATE(PAR!$H$3," évi
módosított 
előirányzat")</f>
        <v>2025. évi
módosított 
előirányzat</v>
      </c>
      <c r="G196" s="78" t="s">
        <v>666</v>
      </c>
      <c r="H196" s="78" t="s">
        <v>667</v>
      </c>
      <c r="I196" s="78" t="s">
        <v>668</v>
      </c>
    </row>
    <row r="197" spans="2:12" x14ac:dyDescent="0.25">
      <c r="B197" s="160">
        <v>2</v>
      </c>
      <c r="C197" s="79" t="s">
        <v>30</v>
      </c>
      <c r="D197" s="79" t="s">
        <v>329</v>
      </c>
      <c r="E197" s="121">
        <f>SUM(E198:E210)</f>
        <v>0</v>
      </c>
      <c r="F197" s="121">
        <f t="shared" ref="F197:I197" si="12">SUM(F198:F210)</f>
        <v>0</v>
      </c>
      <c r="G197" s="121">
        <f t="shared" si="12"/>
        <v>0</v>
      </c>
      <c r="H197" s="121">
        <f t="shared" si="12"/>
        <v>0</v>
      </c>
      <c r="I197" s="121">
        <f t="shared" si="12"/>
        <v>0</v>
      </c>
    </row>
    <row r="198" spans="2:12" x14ac:dyDescent="0.2">
      <c r="B198" s="160">
        <v>3</v>
      </c>
      <c r="C198" s="305" t="s">
        <v>1309</v>
      </c>
      <c r="D198" s="82" t="s">
        <v>1356</v>
      </c>
      <c r="E198" s="72">
        <f>SUMIF(Adat!$AG:$AG,CONCATENATE(61,$M$4,"094011",L193),Adat!$E:$E)*-1</f>
        <v>0</v>
      </c>
      <c r="F198" s="72">
        <f>SUMIF(Adat!$AG:$AG,CONCATENATE(60,$M$4,"094011",L193),Adat!$E:$E)*-1+E198</f>
        <v>0</v>
      </c>
      <c r="G198" s="72">
        <f>SUMIF(Adat!$AH:$AH,CONCATENATE($M$4,"(KÖT)","094011",L193),Adat!$E:$E)*-1</f>
        <v>0</v>
      </c>
      <c r="H198" s="72">
        <f>SUMIF(Adat!$AH:$AH,CONCATENATE($M$4,"(ÖNV)","094011",L193),Adat!$E:$E)*-1</f>
        <v>0</v>
      </c>
      <c r="I198" s="72">
        <f>SUMIF(Adat!$AH:$AH,CONCATENATE($M$4,"(ÁIG)","094011",L193),Adat!$E:$E)*-1</f>
        <v>0</v>
      </c>
    </row>
    <row r="199" spans="2:12" x14ac:dyDescent="0.2">
      <c r="B199" s="160">
        <v>4</v>
      </c>
      <c r="C199" s="305" t="s">
        <v>1279</v>
      </c>
      <c r="D199" s="82" t="s">
        <v>1357</v>
      </c>
      <c r="E199" s="72">
        <f>SUMIF(Adat!$AG:$AG,CONCATENATE(61,$M$4,"094021",L193),Adat!$E:$E)*-1</f>
        <v>0</v>
      </c>
      <c r="F199" s="72">
        <f>SUMIF(Adat!$AG:$AG,CONCATENATE(60,$M$4,"094021",L193),Adat!$E:$E)*-1+E199</f>
        <v>0</v>
      </c>
      <c r="G199" s="72">
        <f>SUMIF(Adat!$AH:$AH,CONCATENATE($M$4,"(KÖT)","094021",L193),Adat!$E:$E)*-1</f>
        <v>0</v>
      </c>
      <c r="H199" s="72">
        <f>SUMIF(Adat!$AH:$AH,CONCATENATE($M$4,"(ÖNV)","094021",L193),Adat!$E:$E)*-1</f>
        <v>0</v>
      </c>
      <c r="I199" s="72">
        <f>SUMIF(Adat!$AH:$AH,CONCATENATE($M$4,"(ÁIG)","094021",L193),Adat!$E:$E)*-1</f>
        <v>0</v>
      </c>
    </row>
    <row r="200" spans="2:12" x14ac:dyDescent="0.2">
      <c r="B200" s="160">
        <v>5</v>
      </c>
      <c r="C200" s="305" t="s">
        <v>1272</v>
      </c>
      <c r="D200" s="82" t="s">
        <v>1358</v>
      </c>
      <c r="E200" s="72">
        <f>SUMIF(Adat!$AG:$AG,CONCATENATE(61,$M$4,"094031",L193),Adat!$E:$E)*-1</f>
        <v>0</v>
      </c>
      <c r="F200" s="72">
        <f>SUMIF(Adat!$AG:$AG,CONCATENATE(60,$M$4,"094031",L193),Adat!$E:$E)*-1+E200</f>
        <v>0</v>
      </c>
      <c r="G200" s="72">
        <f>SUMIF(Adat!$AH:$AH,CONCATENATE($M$4,"(KÖT)","094031",L193),Adat!$E:$E)*-1</f>
        <v>0</v>
      </c>
      <c r="H200" s="72">
        <f>SUMIF(Adat!$AH:$AH,CONCATENATE($M$4,"(ÖNV)","094031",L193),Adat!$E:$E)*-1</f>
        <v>0</v>
      </c>
      <c r="I200" s="72">
        <f>SUMIF(Adat!$AH:$AH,CONCATENATE($M$4,"(ÁIG)","094031",L193),Adat!$E:$E)*-1</f>
        <v>0</v>
      </c>
    </row>
    <row r="201" spans="2:12" x14ac:dyDescent="0.2">
      <c r="B201" s="160">
        <v>6</v>
      </c>
      <c r="C201" s="305" t="s">
        <v>1359</v>
      </c>
      <c r="D201" s="82" t="s">
        <v>1360</v>
      </c>
      <c r="E201" s="72">
        <f>SUMIF(Adat!$AG:$AG,CONCATENATE(61,$M$4,"094041",L193),Adat!$E:$E)*-1</f>
        <v>0</v>
      </c>
      <c r="F201" s="72">
        <f>SUMIF(Adat!$AG:$AG,CONCATENATE(60,$M$4,"094041",L193),Adat!$E:$E)*-1+E201</f>
        <v>0</v>
      </c>
      <c r="G201" s="72">
        <f>SUMIF(Adat!$AH:$AH,CONCATENATE($M$4,"(KÖT)","094041",L193),Adat!$E:$E)*-1</f>
        <v>0</v>
      </c>
      <c r="H201" s="72">
        <f>SUMIF(Adat!$AH:$AH,CONCATENATE($M$4,"(ÖNV)","094041",L193),Adat!$E:$E)*-1</f>
        <v>0</v>
      </c>
      <c r="I201" s="72">
        <f>SUMIF(Adat!$AH:$AH,CONCATENATE($M$4,"(ÁIG)","094041",L193),Adat!$E:$E)*-1</f>
        <v>0</v>
      </c>
    </row>
    <row r="202" spans="2:12" x14ac:dyDescent="0.2">
      <c r="B202" s="160">
        <v>7</v>
      </c>
      <c r="C202" s="305" t="s">
        <v>1261</v>
      </c>
      <c r="D202" s="82" t="s">
        <v>1361</v>
      </c>
      <c r="E202" s="72">
        <f>SUMIF(Adat!$AG:$AG,CONCATENATE(61,$M$4,"094051",L193),Adat!$E:$E)*-1</f>
        <v>0</v>
      </c>
      <c r="F202" s="72">
        <f>SUMIF(Adat!$AG:$AG,CONCATENATE(60,$M$4,"094051",L193),Adat!$E:$E)*-1+E202</f>
        <v>0</v>
      </c>
      <c r="G202" s="72">
        <f>SUMIF(Adat!$AH:$AH,CONCATENATE($M$4,"(KÖT)","094051",L193),Adat!$E:$E)*-1</f>
        <v>0</v>
      </c>
      <c r="H202" s="72">
        <f>SUMIF(Adat!$AH:$AH,CONCATENATE($M$4,"(ÖNV)","094051",L193),Adat!$E:$E)*-1</f>
        <v>0</v>
      </c>
      <c r="I202" s="72">
        <f>SUMIF(Adat!$AH:$AH,CONCATENATE($M$4,"(ÁIG)","094051",L193),Adat!$E:$E)*-1</f>
        <v>0</v>
      </c>
    </row>
    <row r="203" spans="2:12" x14ac:dyDescent="0.2">
      <c r="B203" s="160">
        <v>8</v>
      </c>
      <c r="C203" s="305" t="s">
        <v>1273</v>
      </c>
      <c r="D203" s="82" t="s">
        <v>1362</v>
      </c>
      <c r="E203" s="72">
        <f>SUMIF(Adat!$AG:$AG,CONCATENATE(61,$M$4,"094061",L193),Adat!$E:$E)*-1</f>
        <v>0</v>
      </c>
      <c r="F203" s="72">
        <f>SUMIF(Adat!$AG:$AG,CONCATENATE(60,$M$4,"094061",L193),Adat!$E:$E)*-1+E203</f>
        <v>0</v>
      </c>
      <c r="G203" s="72">
        <f>SUMIF(Adat!$AH:$AH,CONCATENATE($M$4,"(KÖT)","094061",L193),Adat!$E:$E)*-1</f>
        <v>0</v>
      </c>
      <c r="H203" s="72">
        <f>SUMIF(Adat!$AH:$AH,CONCATENATE($M$4,"(ÖNV)","094061",L193),Adat!$E:$E)*-1</f>
        <v>0</v>
      </c>
      <c r="I203" s="72">
        <f>SUMIF(Adat!$AH:$AH,CONCATENATE($M$4,"(ÁIG)","094061",L193),Adat!$E:$E)*-1</f>
        <v>0</v>
      </c>
    </row>
    <row r="204" spans="2:12" x14ac:dyDescent="0.2">
      <c r="B204" s="160">
        <v>9</v>
      </c>
      <c r="C204" s="305" t="s">
        <v>1363</v>
      </c>
      <c r="D204" s="82" t="s">
        <v>1364</v>
      </c>
      <c r="E204" s="72">
        <f>SUMIF(Adat!$AG:$AG,CONCATENATE(61,$M$4,"094071",L193),Adat!$E:$E)*-1</f>
        <v>0</v>
      </c>
      <c r="F204" s="72">
        <f>SUMIF(Adat!$AG:$AG,CONCATENATE(60,$M$4,"094071",L193),Adat!$E:$E)*-1+E204</f>
        <v>0</v>
      </c>
      <c r="G204" s="72">
        <f>SUMIF(Adat!$AH:$AH,CONCATENATE($M$4,"(KÖT)","094071",L193),Adat!$E:$E)*-1</f>
        <v>0</v>
      </c>
      <c r="H204" s="72">
        <f>SUMIF(Adat!$AH:$AH,CONCATENATE($M$4,"(ÖNV)","094071",L193),Adat!$E:$E)*-1</f>
        <v>0</v>
      </c>
      <c r="I204" s="72">
        <f>SUMIF(Adat!$AH:$AH,CONCATENATE($M$4,"(ÁIG)","094071",L193),Adat!$E:$E)*-1</f>
        <v>0</v>
      </c>
    </row>
    <row r="205" spans="2:12" x14ac:dyDescent="0.2">
      <c r="B205" s="160">
        <v>10</v>
      </c>
      <c r="C205" s="305" t="s">
        <v>1306</v>
      </c>
      <c r="D205" s="82" t="s">
        <v>1365</v>
      </c>
      <c r="E205" s="72">
        <f>SUMIF(Adat!$AG:$AG,CONCATENATE(61,$M$4,"0940811",L193),Adat!$E:$E)*-1</f>
        <v>0</v>
      </c>
      <c r="F205" s="72">
        <f>SUMIF(Adat!$AG:$AG,CONCATENATE(60,$M$4,"0940811",L193),Adat!$E:$E)*-1+E205</f>
        <v>0</v>
      </c>
      <c r="G205" s="72">
        <f>SUMIF(Adat!$AH:$AH,CONCATENATE($M$4,"(KÖT)","0940811",L193),Adat!$E:$E)*-1</f>
        <v>0</v>
      </c>
      <c r="H205" s="72">
        <f>SUMIF(Adat!$AH:$AH,CONCATENATE($M$4,"(ÖNV)","0940811",L193),Adat!$E:$E)*-1</f>
        <v>0</v>
      </c>
      <c r="I205" s="72">
        <f>SUMIF(Adat!$AH:$AH,CONCATENATE($M$4,"(ÁIG)","0940811",L193),Adat!$E:$E)*-1</f>
        <v>0</v>
      </c>
    </row>
    <row r="206" spans="2:12" x14ac:dyDescent="0.2">
      <c r="B206" s="160">
        <v>11</v>
      </c>
      <c r="C206" s="305" t="s">
        <v>1295</v>
      </c>
      <c r="D206" s="82" t="s">
        <v>1366</v>
      </c>
      <c r="E206" s="72">
        <f>SUMIF(Adat!$AG:$AG,CONCATENATE(61,$M$4,"0940821",L193),Adat!$E:$E)*-1</f>
        <v>0</v>
      </c>
      <c r="F206" s="72">
        <f>SUMIF(Adat!$AG:$AG,CONCATENATE(60,$M$4,"0940821",L193),Adat!$E:$E)*-1+E206</f>
        <v>0</v>
      </c>
      <c r="G206" s="72">
        <f>SUMIF(Adat!$AH:$AH,CONCATENATE($M$4,"(KÖT)","0940821",L193),Adat!$E:$E)*-1</f>
        <v>0</v>
      </c>
      <c r="H206" s="72">
        <f>SUMIF(Adat!$AH:$AH,CONCATENATE($M$4,"(ÖNV)","0940821",L193),Adat!$E:$E)*-1</f>
        <v>0</v>
      </c>
      <c r="I206" s="72">
        <f>SUMIF(Adat!$AH:$AH,CONCATENATE($M$4,"(ÁIG)","0940821",L193),Adat!$E:$E)*-1</f>
        <v>0</v>
      </c>
    </row>
    <row r="207" spans="2:12" x14ac:dyDescent="0.2">
      <c r="B207" s="160">
        <v>12</v>
      </c>
      <c r="C207" s="305" t="s">
        <v>1367</v>
      </c>
      <c r="D207" s="82" t="s">
        <v>1368</v>
      </c>
      <c r="E207" s="72">
        <f>SUMIF(Adat!$AG:$AG,CONCATENATE(61,$M$4,"0940911",L193),Adat!$E:$E)*-1</f>
        <v>0</v>
      </c>
      <c r="F207" s="72">
        <f>SUMIF(Adat!$AG:$AG,CONCATENATE(60,$M$4,"0940911",L193),Adat!$E:$E)*-1+E207</f>
        <v>0</v>
      </c>
      <c r="G207" s="72">
        <f>SUMIF(Adat!$AH:$AH,CONCATENATE($M$4,"(KÖT)","0940911",L193),Adat!$E:$E)*-1</f>
        <v>0</v>
      </c>
      <c r="H207" s="72">
        <f>SUMIF(Adat!$AH:$AH,CONCATENATE($M$4,"(ÖNV)","0940911",L193),Adat!$E:$E)*-1</f>
        <v>0</v>
      </c>
      <c r="I207" s="72">
        <f>SUMIF(Adat!$AH:$AH,CONCATENATE($M$4,"(ÁIG)","0940911",L193),Adat!$E:$E)*-1</f>
        <v>0</v>
      </c>
    </row>
    <row r="208" spans="2:12" x14ac:dyDescent="0.2">
      <c r="B208" s="160">
        <v>13</v>
      </c>
      <c r="C208" s="305" t="s">
        <v>1369</v>
      </c>
      <c r="D208" s="82" t="s">
        <v>1370</v>
      </c>
      <c r="E208" s="72">
        <f>SUMIF(Adat!$AG:$AG,CONCATENATE(61,$M$4,"0940921",L193),Adat!$E:$E)*-1</f>
        <v>0</v>
      </c>
      <c r="F208" s="72">
        <f>SUMIF(Adat!$AG:$AG,CONCATENATE(60,$M$4,"0940921",L193),Adat!$E:$E)*-1+E208</f>
        <v>0</v>
      </c>
      <c r="G208" s="72">
        <f>SUMIF(Adat!$AH:$AH,CONCATENATE($M$4,"(KÖT)","0940921",L193),Adat!$E:$E)*-1</f>
        <v>0</v>
      </c>
      <c r="H208" s="72">
        <f>SUMIF(Adat!$AH:$AH,CONCATENATE($M$4,"(ÖNV)","0940921",L193),Adat!$E:$E)*-1</f>
        <v>0</v>
      </c>
      <c r="I208" s="72">
        <f>SUMIF(Adat!$AH:$AH,CONCATENATE($M$4,"(ÁIG)","0940921",L193),Adat!$E:$E)*-1</f>
        <v>0</v>
      </c>
    </row>
    <row r="209" spans="2:9" x14ac:dyDescent="0.2">
      <c r="B209" s="160">
        <v>14</v>
      </c>
      <c r="C209" s="305" t="s">
        <v>1296</v>
      </c>
      <c r="D209" s="82" t="s">
        <v>1371</v>
      </c>
      <c r="E209" s="72">
        <f>SUMIF(Adat!$AG:$AG,CONCATENATE(61,$M$4,"094101",L193),Adat!$E:$E)*-1</f>
        <v>0</v>
      </c>
      <c r="F209" s="72">
        <f>SUMIF(Adat!$AG:$AG,CONCATENATE(60,$M$4,"094101",L193),Adat!$E:$E)*-1+E209</f>
        <v>0</v>
      </c>
      <c r="G209" s="72">
        <f>SUMIF(Adat!$AH:$AH,CONCATENATE($M$4,"(KÖT)","094101",L193),Adat!$E:$E)*-1</f>
        <v>0</v>
      </c>
      <c r="H209" s="72">
        <f>SUMIF(Adat!$AH:$AH,CONCATENATE($M$4,"(ÖNV)","094101",L193),Adat!$E:$E)*-1</f>
        <v>0</v>
      </c>
      <c r="I209" s="72">
        <f>SUMIF(Adat!$AH:$AH,CONCATENATE($M$4,"(ÁIG)","094101",L193),Adat!$E:$E)*-1</f>
        <v>0</v>
      </c>
    </row>
    <row r="210" spans="2:9" x14ac:dyDescent="0.25">
      <c r="B210" s="160">
        <v>15</v>
      </c>
      <c r="C210" s="305" t="s">
        <v>1297</v>
      </c>
      <c r="D210" s="84" t="s">
        <v>1372</v>
      </c>
      <c r="E210" s="72">
        <f>SUMIF(Adat!$AG:$AG,CONCATENATE(61,$M$4,"094111",L193),Adat!$E:$E)*-1</f>
        <v>0</v>
      </c>
      <c r="F210" s="72">
        <f>SUMIF(Adat!$AG:$AG,CONCATENATE(60,$M$4,"094111",L193),Adat!$E:$E)*-1+E210</f>
        <v>0</v>
      </c>
      <c r="G210" s="72">
        <f>SUMIF(Adat!$AH:$AH,CONCATENATE($M$4,"(KÖT)","094111",L193),Adat!$E:$E)*-1</f>
        <v>0</v>
      </c>
      <c r="H210" s="72">
        <f>SUMIF(Adat!$AH:$AH,CONCATENATE($M$4,"(ÖNV)","094111",L193),Adat!$E:$E)*-1</f>
        <v>0</v>
      </c>
      <c r="I210" s="72">
        <f>SUMIF(Adat!$AH:$AH,CONCATENATE($M$4,"(ÁIG)","094111",L193),Adat!$E:$E)*-1</f>
        <v>0</v>
      </c>
    </row>
    <row r="211" spans="2:9" x14ac:dyDescent="0.25">
      <c r="B211" s="160">
        <v>16</v>
      </c>
      <c r="C211" s="78" t="s">
        <v>1328</v>
      </c>
      <c r="D211" s="85" t="s">
        <v>437</v>
      </c>
      <c r="E211" s="121">
        <f>SUM(E212:E214)</f>
        <v>0</v>
      </c>
      <c r="F211" s="121">
        <f>SUM(F212:F214)</f>
        <v>0</v>
      </c>
      <c r="G211" s="121">
        <f>SUM(G212:G214)</f>
        <v>0</v>
      </c>
      <c r="H211" s="121">
        <f>SUM(H212:H214)</f>
        <v>0</v>
      </c>
      <c r="I211" s="121">
        <f>SUM(I212:I214)</f>
        <v>0</v>
      </c>
    </row>
    <row r="212" spans="2:9" x14ac:dyDescent="0.2">
      <c r="B212" s="160">
        <v>17</v>
      </c>
      <c r="C212" s="305" t="s">
        <v>1329</v>
      </c>
      <c r="D212" s="82" t="s">
        <v>1330</v>
      </c>
      <c r="E212" s="72">
        <f>SUMIF(Adat!$AG:$AG,CONCATENATE(61,$M$4,"09121",L193),Adat!$E:$E)*-1</f>
        <v>0</v>
      </c>
      <c r="F212" s="72">
        <f>SUMIF(Adat!$AG:$AG,CONCATENATE(60,$M$4,"09121",L193),Adat!$E:$E)*-1+E212</f>
        <v>0</v>
      </c>
      <c r="G212" s="72">
        <f>SUMIF(Adat!$AH:$AH,CONCATENATE($M$4,"(KÖT)","09121",L193),Adat!$E:$E)*-1</f>
        <v>0</v>
      </c>
      <c r="H212" s="72">
        <f>SUMIF(Adat!$AH:$AH,CONCATENATE($M$4,"(ÖNV)","09121",L193),Adat!$E:$E)*-1</f>
        <v>0</v>
      </c>
      <c r="I212" s="72">
        <f>SUMIF(Adat!$AH:$AH,CONCATENATE($M$4,"(ÁIG)","09121",L193),Adat!$E:$E)*-1</f>
        <v>0</v>
      </c>
    </row>
    <row r="213" spans="2:9" x14ac:dyDescent="0.2">
      <c r="B213" s="160">
        <v>18</v>
      </c>
      <c r="C213" s="305" t="s">
        <v>1335</v>
      </c>
      <c r="D213" s="82" t="s">
        <v>1336</v>
      </c>
      <c r="E213" s="72">
        <f>SUMIF(Adat!$AG:$AG,CONCATENATE(61,$M$4,"09151",L193),Adat!$E:$E)*-1</f>
        <v>0</v>
      </c>
      <c r="F213" s="72">
        <f>SUMIF(Adat!$AG:$AG,CONCATENATE(60,$M$4,"09151",L193),Adat!$E:$E)*-1+E213</f>
        <v>0</v>
      </c>
      <c r="G213" s="72">
        <f>SUMIF(Adat!$AH:$AH,CONCATENATE($M$4,"(KÖT)","09151",L193),Adat!$E:$E)*-1</f>
        <v>0</v>
      </c>
      <c r="H213" s="72">
        <f>SUMIF(Adat!$AH:$AH,CONCATENATE($M$4,"(ÖNV)","09151",L193),Adat!$E:$E)*-1</f>
        <v>0</v>
      </c>
      <c r="I213" s="72">
        <f>SUMIF(Adat!$AH:$AH,CONCATENATE($M$4,"(ÁIG)","09151",L193),Adat!$E:$E)*-1</f>
        <v>0</v>
      </c>
    </row>
    <row r="214" spans="2:9" x14ac:dyDescent="0.2">
      <c r="B214" s="160">
        <v>19</v>
      </c>
      <c r="C214" s="305" t="s">
        <v>1278</v>
      </c>
      <c r="D214" s="82" t="s">
        <v>1337</v>
      </c>
      <c r="E214" s="72">
        <f>SUMIF(Adat!$AG:$AG,CONCATENATE(61,$M$4,"09161",L193),Adat!$E:$E)*-1</f>
        <v>0</v>
      </c>
      <c r="F214" s="72">
        <f>SUMIF(Adat!$AG:$AG,CONCATENATE(60,$M$4,"09161",L193),Adat!$E:$E)*-1+E214</f>
        <v>0</v>
      </c>
      <c r="G214" s="72">
        <f>SUMIF(Adat!$AH:$AH,CONCATENATE($M$4,"(KÖT)","09161",L193),Adat!$E:$E)*-1</f>
        <v>0</v>
      </c>
      <c r="H214" s="72">
        <f>SUMIF(Adat!$AH:$AH,CONCATENATE($M$4,"(ÖNV)","09161",L193),Adat!$E:$E)*-1</f>
        <v>0</v>
      </c>
      <c r="I214" s="72">
        <f>SUMIF(Adat!$AH:$AH,CONCATENATE($M$4,"(ÁIG)","09161",L193),Adat!$E:$E)*-1</f>
        <v>0</v>
      </c>
    </row>
    <row r="215" spans="2:9" x14ac:dyDescent="0.25">
      <c r="B215" s="160">
        <v>20</v>
      </c>
      <c r="C215" s="79" t="s">
        <v>27</v>
      </c>
      <c r="D215" s="79" t="s">
        <v>328</v>
      </c>
      <c r="E215" s="71">
        <f>SUMIF(Adat!$AI:$AI,CONCATENATE(61,$M$4,"093",L193),Adat!$E:$E)*-1</f>
        <v>0</v>
      </c>
      <c r="F215" s="71">
        <f>SUMIF(Adat!$AI:$AI,CONCATENATE(60,$M$4,"093",L193),Adat!$E:$E)*-1+E215</f>
        <v>0</v>
      </c>
      <c r="G215" s="71">
        <f>SUMIF(Adat!$AJ:$AJ,CONCATENATE($M$4,"093","(KÖT)",L193),Adat!$E:$E)*-1</f>
        <v>0</v>
      </c>
      <c r="H215" s="71">
        <f>SUMIF(Adat!$AJ:$AJ,CONCATENATE($M$4,"093","(ÖNV)",L193),Adat!$E:$E)*-1</f>
        <v>0</v>
      </c>
      <c r="I215" s="71">
        <f>SUMIF(Adat!$AJ:$AJ,CONCATENATE($M$4,"093","(ÁIG)",L193),Adat!$E:$E)*-1</f>
        <v>0</v>
      </c>
    </row>
    <row r="216" spans="2:9" x14ac:dyDescent="0.25">
      <c r="B216" s="160">
        <v>21</v>
      </c>
      <c r="C216" s="79" t="s">
        <v>24</v>
      </c>
      <c r="D216" s="79" t="s">
        <v>449</v>
      </c>
      <c r="E216" s="121">
        <f>SUM(E217:E219)</f>
        <v>0</v>
      </c>
      <c r="F216" s="121">
        <f t="shared" ref="F216:I216" si="13">SUM(F217:F219)</f>
        <v>0</v>
      </c>
      <c r="G216" s="121">
        <f t="shared" si="13"/>
        <v>0</v>
      </c>
      <c r="H216" s="121">
        <f t="shared" si="13"/>
        <v>0</v>
      </c>
      <c r="I216" s="121">
        <f t="shared" si="13"/>
        <v>0</v>
      </c>
    </row>
    <row r="217" spans="2:9" x14ac:dyDescent="0.2">
      <c r="B217" s="160">
        <v>22</v>
      </c>
      <c r="C217" s="305" t="s">
        <v>1339</v>
      </c>
      <c r="D217" s="82" t="s">
        <v>1340</v>
      </c>
      <c r="E217" s="72">
        <f>SUMIF(Adat!$AG:$AG,CONCATENATE(61,$M$4,"09211",L193),Adat!$E:$E)*-1</f>
        <v>0</v>
      </c>
      <c r="F217" s="72">
        <f>SUMIF(Adat!$AG:$AG,CONCATENATE(60,$M$4,"09211",L193),Adat!$E:$E)*-1+E217</f>
        <v>0</v>
      </c>
      <c r="G217" s="72">
        <f>SUMIF(Adat!$AH:$AH,CONCATENATE($M$4,"(KÖT)","09211",L193),Adat!$E:$E)*-1</f>
        <v>0</v>
      </c>
      <c r="H217" s="72">
        <f>SUMIF(Adat!$AH:$AH,CONCATENATE($M$4,"(ÖNV)","09211",L193),Adat!$E:$E)*-1</f>
        <v>0</v>
      </c>
      <c r="I217" s="72">
        <f>SUMIF(Adat!$AH:$AH,CONCATENATE($M$4,"(ÁIG)","09211",L193),Adat!$E:$E)*-1</f>
        <v>0</v>
      </c>
    </row>
    <row r="218" spans="2:9" x14ac:dyDescent="0.2">
      <c r="B218" s="160">
        <v>23</v>
      </c>
      <c r="C218" s="305" t="s">
        <v>1345</v>
      </c>
      <c r="D218" s="82" t="s">
        <v>1346</v>
      </c>
      <c r="E218" s="72">
        <f>SUMIF(Adat!$AG:$AG,CONCATENATE(61,$M$4,"09241",L193),Adat!$E:$E)*-1</f>
        <v>0</v>
      </c>
      <c r="F218" s="72">
        <f>SUMIF(Adat!$AG:$AG,CONCATENATE(60,$M$4,"09241",L193),Adat!$E:$E)*-1+E218</f>
        <v>0</v>
      </c>
      <c r="G218" s="72">
        <f>SUMIF(Adat!$AH:$AH,CONCATENATE($M$4,"(KÖT)","09241",L193),Adat!$E:$E)*-1</f>
        <v>0</v>
      </c>
      <c r="H218" s="72">
        <f>SUMIF(Adat!$AH:$AH,CONCATENATE($M$4,"(ÖNV)","09241",L193),Adat!$E:$E)*-1</f>
        <v>0</v>
      </c>
      <c r="I218" s="72">
        <f>SUMIF(Adat!$AH:$AH,CONCATENATE($M$4,"(ÁIG)","09241",L193),Adat!$E:$E)*-1</f>
        <v>0</v>
      </c>
    </row>
    <row r="219" spans="2:9" x14ac:dyDescent="0.2">
      <c r="B219" s="160">
        <v>24</v>
      </c>
      <c r="C219" s="305" t="s">
        <v>1255</v>
      </c>
      <c r="D219" s="82" t="s">
        <v>1347</v>
      </c>
      <c r="E219" s="72">
        <f>SUMIF(Adat!$AG:$AG,CONCATENATE(61,$M$4,"09251",L193),Adat!$E:$E)*-1</f>
        <v>0</v>
      </c>
      <c r="F219" s="72">
        <f>SUMIF(Adat!$AG:$AG,CONCATENATE(60,$M$4,"09251",L193),Adat!$E:$E)*-1+E219</f>
        <v>0</v>
      </c>
      <c r="G219" s="72">
        <f>SUMIF(Adat!$AH:$AH,CONCATENATE($M$4,"(KÖT)","09251",L193),Adat!$E:$E)*-1</f>
        <v>0</v>
      </c>
      <c r="H219" s="72">
        <f>SUMIF(Adat!$AH:$AH,CONCATENATE($M$4,"(ÖNV)","09251",L193),Adat!$E:$E)*-1</f>
        <v>0</v>
      </c>
      <c r="I219" s="72">
        <f>SUMIF(Adat!$AH:$AH,CONCATENATE($M$4,"(ÁIG)","09251",L193),Adat!$E:$E)*-1</f>
        <v>0</v>
      </c>
    </row>
    <row r="220" spans="2:9" x14ac:dyDescent="0.25">
      <c r="B220" s="160">
        <v>25</v>
      </c>
      <c r="C220" s="79" t="s">
        <v>33</v>
      </c>
      <c r="D220" s="79" t="s">
        <v>330</v>
      </c>
      <c r="E220" s="121">
        <f>SUM(E221:E223)</f>
        <v>0</v>
      </c>
      <c r="F220" s="121">
        <f t="shared" ref="F220:I220" si="14">SUM(F221:F223)</f>
        <v>0</v>
      </c>
      <c r="G220" s="121">
        <f t="shared" si="14"/>
        <v>0</v>
      </c>
      <c r="H220" s="121">
        <f t="shared" si="14"/>
        <v>0</v>
      </c>
      <c r="I220" s="121">
        <f t="shared" si="14"/>
        <v>0</v>
      </c>
    </row>
    <row r="221" spans="2:9" x14ac:dyDescent="0.2">
      <c r="B221" s="160">
        <v>26</v>
      </c>
      <c r="C221" s="305" t="s">
        <v>1373</v>
      </c>
      <c r="D221" s="82" t="s">
        <v>1374</v>
      </c>
      <c r="E221" s="72">
        <f>SUMIF(Adat!$AG:$AG,CONCATENATE(61,$M$4,"09511",L193),Adat!$E:$E)*-1</f>
        <v>0</v>
      </c>
      <c r="F221" s="72">
        <f>SUMIF(Adat!$AG:$AG,CONCATENATE(60,$M$4,"09511",L193),Adat!$E:$E)*-1+E221</f>
        <v>0</v>
      </c>
      <c r="G221" s="72">
        <f>SUMIF(Adat!$AH:$AH,CONCATENATE($M$4,"(KÖT)","09511",L193),Adat!$E:$E)*-1</f>
        <v>0</v>
      </c>
      <c r="H221" s="72">
        <f>SUMIF(Adat!$AH:$AH,CONCATENATE($M$4,"(ÖNV)","09511",L193),Adat!$E:$E)*-1</f>
        <v>0</v>
      </c>
      <c r="I221" s="72">
        <f>SUMIF(Adat!$AH:$AH,CONCATENATE($M$4,"(ÁIG)","09511",L193),Adat!$E:$E)*-1</f>
        <v>0</v>
      </c>
    </row>
    <row r="222" spans="2:9" x14ac:dyDescent="0.2">
      <c r="B222" s="160">
        <v>27</v>
      </c>
      <c r="C222" s="305" t="s">
        <v>1294</v>
      </c>
      <c r="D222" s="82" t="s">
        <v>1375</v>
      </c>
      <c r="E222" s="72">
        <f>SUMIF(Adat!$AG:$AG,CONCATENATE(61,$M$4,"09521",L193),Adat!$E:$E)*-1</f>
        <v>0</v>
      </c>
      <c r="F222" s="72">
        <f>SUMIF(Adat!$AG:$AG,CONCATENATE(60,$M$4,"09521",L193),Adat!$E:$E)*-1+E222</f>
        <v>0</v>
      </c>
      <c r="G222" s="72">
        <f>SUMIF(Adat!$AH:$AH,CONCATENATE($M$4,"(KÖT)","09521",L193),Adat!$E:$E)*-1</f>
        <v>0</v>
      </c>
      <c r="H222" s="72">
        <f>SUMIF(Adat!$AH:$AH,CONCATENATE($M$4,"(ÖNV)","09521",L193),Adat!$E:$E)*-1</f>
        <v>0</v>
      </c>
      <c r="I222" s="72">
        <f>SUMIF(Adat!$AH:$AH,CONCATENATE($M$4,"(ÁIG)","09521",L193),Adat!$E:$E)*-1</f>
        <v>0</v>
      </c>
    </row>
    <row r="223" spans="2:9" x14ac:dyDescent="0.2">
      <c r="B223" s="160">
        <v>28</v>
      </c>
      <c r="C223" s="305" t="s">
        <v>1376</v>
      </c>
      <c r="D223" s="82" t="s">
        <v>1377</v>
      </c>
      <c r="E223" s="72">
        <f>SUMIF(Adat!$AG:$AG,CONCATENATE(61,$M$4,"09531",L193),Adat!$E:$E)*-1</f>
        <v>0</v>
      </c>
      <c r="F223" s="72">
        <f>SUMIF(Adat!$AG:$AG,CONCATENATE(60,$M$4,"09531",L193),Adat!$E:$E)*-1+E223</f>
        <v>0</v>
      </c>
      <c r="G223" s="72">
        <f>SUMIF(Adat!$AH:$AH,CONCATENATE($M$4,"(KÖT)","09531",L193),Adat!$E:$E)*-1</f>
        <v>0</v>
      </c>
      <c r="H223" s="72">
        <f>SUMIF(Adat!$AH:$AH,CONCATENATE($M$4,"(ÖNV)","09531",L193),Adat!$E:$E)*-1</f>
        <v>0</v>
      </c>
      <c r="I223" s="72">
        <f>SUMIF(Adat!$AH:$AH,CONCATENATE($M$4,"(ÁIG)","09531",L193),Adat!$E:$E)*-1</f>
        <v>0</v>
      </c>
    </row>
    <row r="224" spans="2:9" x14ac:dyDescent="0.25">
      <c r="B224" s="160">
        <v>29</v>
      </c>
      <c r="C224" s="79" t="s">
        <v>36</v>
      </c>
      <c r="D224" s="79" t="s">
        <v>331</v>
      </c>
      <c r="E224" s="71">
        <f>SUMIF(Adat!$AI:$AI,CONCATENATE(61,$M$4,"096",L193),Adat!$E:$E)*-1</f>
        <v>0</v>
      </c>
      <c r="F224" s="71">
        <f>SUMIF(Adat!$AI:$AI,CONCATENATE(60,$M$4,"096",L193),Adat!$E:$E)*-1+E224</f>
        <v>0</v>
      </c>
      <c r="G224" s="71">
        <f>SUMIF(Adat!$AJ:$AJ,CONCATENATE($M$4,"096","(KÖT)",L193),Adat!$E:$E)*-1</f>
        <v>0</v>
      </c>
      <c r="H224" s="71">
        <f>SUMIF(Adat!$AJ:$AJ,CONCATENATE($M$4,"096","(ÖNV)",L193),Adat!$E:$E)*-1</f>
        <v>0</v>
      </c>
      <c r="I224" s="71">
        <f>SUMIF(Adat!$AJ:$AJ,CONCATENATE($M$4,"096","(ÁIG)",L193),Adat!$E:$E)*-1</f>
        <v>0</v>
      </c>
    </row>
    <row r="225" spans="2:12" x14ac:dyDescent="0.25">
      <c r="B225" s="160">
        <v>30</v>
      </c>
      <c r="C225" s="79" t="s">
        <v>38</v>
      </c>
      <c r="D225" s="85" t="s">
        <v>332</v>
      </c>
      <c r="E225" s="71">
        <f>SUMIF(Adat!$AI:$AI,CONCATENATE(61,$M$4,"097",L193),Adat!$E:$E)*-1</f>
        <v>0</v>
      </c>
      <c r="F225" s="71">
        <f>SUMIF(Adat!$AI:$AI,CONCATENATE(60,$M$4,"097",L193),Adat!$E:$E)*-1+E225</f>
        <v>0</v>
      </c>
      <c r="G225" s="71">
        <f>SUMIF(Adat!$AJ:$AJ,CONCATENATE($M$4,"097","(KÖT)",L193),Adat!$E:$E)*-1</f>
        <v>0</v>
      </c>
      <c r="H225" s="71">
        <f>SUMIF(Adat!$AJ:$AJ,CONCATENATE($M$4,"097","(ÖNV)",L193),Adat!$E:$E)*-1</f>
        <v>0</v>
      </c>
      <c r="I225" s="71">
        <f>SUMIF(Adat!$AJ:$AJ,CONCATENATE($M$4,"097","(ÁIG)",L193),Adat!$E:$E)*-1</f>
        <v>0</v>
      </c>
    </row>
    <row r="226" spans="2:12" x14ac:dyDescent="0.25">
      <c r="B226" s="160">
        <v>31</v>
      </c>
      <c r="C226" s="154" t="s">
        <v>352</v>
      </c>
      <c r="D226" s="86" t="s">
        <v>1500</v>
      </c>
      <c r="E226" s="121">
        <f>E197+E211+E215+E216+E220+E224+E225</f>
        <v>0</v>
      </c>
      <c r="F226" s="121">
        <f>F197+F211+F215+F216+F220+F224+F225</f>
        <v>0</v>
      </c>
      <c r="G226" s="121">
        <f>G197+G211+G215+G216+G220+G224+G225</f>
        <v>0</v>
      </c>
      <c r="H226" s="121">
        <f>H197+H211+H215+H216+H220+H224+H225</f>
        <v>0</v>
      </c>
      <c r="I226" s="121">
        <f>I197+I211+I215+I216+I220+I224+I225</f>
        <v>0</v>
      </c>
    </row>
    <row r="227" spans="2:12" x14ac:dyDescent="0.25">
      <c r="B227" s="160">
        <v>32</v>
      </c>
      <c r="C227" s="154" t="s">
        <v>358</v>
      </c>
      <c r="D227" s="86" t="s">
        <v>333</v>
      </c>
      <c r="E227" s="121">
        <f>SUM(E228:E230)</f>
        <v>0</v>
      </c>
      <c r="F227" s="121">
        <f t="shared" ref="F227:I227" si="15">SUM(F228:F230)</f>
        <v>0</v>
      </c>
      <c r="G227" s="121">
        <f t="shared" si="15"/>
        <v>0</v>
      </c>
      <c r="H227" s="121">
        <f t="shared" si="15"/>
        <v>0</v>
      </c>
      <c r="I227" s="121">
        <f t="shared" si="15"/>
        <v>0</v>
      </c>
    </row>
    <row r="228" spans="2:12" x14ac:dyDescent="0.2">
      <c r="B228" s="160">
        <v>33</v>
      </c>
      <c r="C228" s="305" t="s">
        <v>1274</v>
      </c>
      <c r="D228" s="82" t="s">
        <v>1419</v>
      </c>
      <c r="E228" s="72">
        <f>SUMIF(Adat!$AG:$AG,CONCATENATE(61,$M$4,"0981311",L193),Adat!$E:$E)*-1</f>
        <v>0</v>
      </c>
      <c r="F228" s="72">
        <f>SUMIF(Adat!$AG:$AG,CONCATENATE(60,$M$4,"0981311",L193),Adat!$E:$E)*-1+E228</f>
        <v>0</v>
      </c>
      <c r="G228" s="72">
        <f>SUMIF(Adat!$AH:$AH,CONCATENATE($M$4,"(KÖT)","0981311",L193),Adat!$E:$E)*-1</f>
        <v>0</v>
      </c>
      <c r="H228" s="72">
        <f>SUMIF(Adat!$AH:$AH,CONCATENATE($M$4,"(ÖNV)","0981311",L193),Adat!$E:$E)*-1</f>
        <v>0</v>
      </c>
      <c r="I228" s="72">
        <f>SUMIF(Adat!$AH:$AH,CONCATENATE($M$4,"(ÁIG)","0981311",L193),Adat!$E:$E)*-1</f>
        <v>0</v>
      </c>
    </row>
    <row r="229" spans="2:12" x14ac:dyDescent="0.25">
      <c r="B229" s="160">
        <v>34</v>
      </c>
      <c r="C229" s="305" t="s">
        <v>1420</v>
      </c>
      <c r="D229" s="84" t="s">
        <v>1421</v>
      </c>
      <c r="E229" s="72">
        <f>SUMIF(Adat!$AG:$AG,CONCATENATE(61,$M$4,"0981321",L193),Adat!$E:$E)*-1</f>
        <v>0</v>
      </c>
      <c r="F229" s="72">
        <f>SUMIF(Adat!$AG:$AG,CONCATENATE(60,$M$4,"0981321",L193),Adat!$E:$E)*-1+E229</f>
        <v>0</v>
      </c>
      <c r="G229" s="72">
        <f>SUMIF(Adat!$AH:$AH,CONCATENATE($M$4,"(KÖT)","0981321",L193),Adat!$E:$E)*-1</f>
        <v>0</v>
      </c>
      <c r="H229" s="72">
        <f>SUMIF(Adat!$AH:$AH,CONCATENATE($M$4,"(ÖNV)","0981321",L193),Adat!$E:$E)*-1</f>
        <v>0</v>
      </c>
      <c r="I229" s="72">
        <f>SUMIF(Adat!$AH:$AH,CONCATENATE($M$4,"(ÁIG)","0981321",L193),Adat!$E:$E)*-1</f>
        <v>0</v>
      </c>
    </row>
    <row r="230" spans="2:12" x14ac:dyDescent="0.25">
      <c r="B230" s="160">
        <v>35</v>
      </c>
      <c r="C230" s="319" t="s">
        <v>1275</v>
      </c>
      <c r="D230" s="84" t="s">
        <v>1501</v>
      </c>
      <c r="E230" s="72">
        <f>SUMIF(Adat!$AG:$AG,CONCATENATE(61,$M$4,"098161",L193),Adat!$E:$E)*-1</f>
        <v>0</v>
      </c>
      <c r="F230" s="72">
        <f>SUMIF(Adat!$AG:$AG,CONCATENATE(60,$M$4,"098161",L193),Adat!$E:$E)*-1+E230</f>
        <v>0</v>
      </c>
      <c r="G230" s="72">
        <f>SUMIF(Adat!$AH:$AH,CONCATENATE($M$4,"(KÖT)","098161",L193),Adat!$E:$E)*-1</f>
        <v>0</v>
      </c>
      <c r="H230" s="72">
        <f>SUMIF(Adat!$AH:$AH,CONCATENATE($M$4,"(ÖNV)","098161",L193),Adat!$E:$E)*-1</f>
        <v>0</v>
      </c>
      <c r="I230" s="72">
        <f>SUMIF(Adat!$AH:$AH,CONCATENATE($M$4,"(ÁIG)","098161",L193),Adat!$E:$E)*-1</f>
        <v>0</v>
      </c>
    </row>
    <row r="231" spans="2:12" x14ac:dyDescent="0.25">
      <c r="B231" s="160">
        <v>36</v>
      </c>
      <c r="C231" s="154" t="s">
        <v>364</v>
      </c>
      <c r="D231" s="159" t="s">
        <v>1502</v>
      </c>
      <c r="E231" s="121">
        <f>+E226+E227</f>
        <v>0</v>
      </c>
      <c r="F231" s="121">
        <f>+F226+F227</f>
        <v>0</v>
      </c>
      <c r="G231" s="121">
        <f>+G226+G227</f>
        <v>0</v>
      </c>
      <c r="H231" s="121">
        <f>+H226+H227</f>
        <v>0</v>
      </c>
      <c r="I231" s="121">
        <f>+I226+I227</f>
        <v>0</v>
      </c>
    </row>
    <row r="232" spans="2:12" ht="15.75" x14ac:dyDescent="0.25">
      <c r="B232" s="38"/>
      <c r="C232" s="156"/>
      <c r="D232" s="38"/>
      <c r="E232" s="140"/>
      <c r="F232" s="140"/>
      <c r="G232" s="140"/>
      <c r="H232" s="140"/>
      <c r="I232" s="140"/>
    </row>
    <row r="233" spans="2:12" s="10" customFormat="1" ht="15.75" customHeight="1" x14ac:dyDescent="0.25">
      <c r="B233" s="201" t="str">
        <f>CONCATENATE("8. Kiadási jogcímek"," - ",L233," részletező")</f>
        <v>8. Kiadási jogcímek -  részletező</v>
      </c>
      <c r="C233" s="101"/>
      <c r="D233" s="101"/>
      <c r="E233" s="101"/>
      <c r="F233" s="101"/>
      <c r="G233" s="198"/>
      <c r="H233" s="198"/>
      <c r="I233" s="198"/>
      <c r="L233" s="384"/>
    </row>
    <row r="234" spans="2:12" ht="15.75" x14ac:dyDescent="0.25">
      <c r="B234" s="38"/>
      <c r="C234" s="156"/>
      <c r="D234" s="38"/>
      <c r="E234" s="140"/>
      <c r="F234" s="140"/>
      <c r="G234" s="140"/>
      <c r="H234" s="140"/>
      <c r="I234" s="140"/>
    </row>
    <row r="235" spans="2:12" x14ac:dyDescent="0.25">
      <c r="B235" s="77"/>
      <c r="C235" s="77" t="s">
        <v>350</v>
      </c>
      <c r="D235" s="77" t="s">
        <v>351</v>
      </c>
      <c r="E235" s="77" t="s">
        <v>470</v>
      </c>
      <c r="F235" s="77" t="s">
        <v>471</v>
      </c>
      <c r="G235" s="77" t="s">
        <v>44</v>
      </c>
      <c r="H235" s="77" t="s">
        <v>42</v>
      </c>
      <c r="I235" s="77" t="s">
        <v>511</v>
      </c>
    </row>
    <row r="236" spans="2:12" ht="38.25" x14ac:dyDescent="0.25">
      <c r="B236" s="160">
        <v>1</v>
      </c>
      <c r="C236" s="154" t="s">
        <v>593</v>
      </c>
      <c r="D236" s="154" t="s">
        <v>488</v>
      </c>
      <c r="E236" s="163" t="str">
        <f>CONCATENATE(PAR!$H$3," évi
eredeti 
előirányzat")</f>
        <v>2025. évi
eredeti 
előirányzat</v>
      </c>
      <c r="F236" s="163" t="str">
        <f>CONCATENATE(PAR!$H$3," évi
módosított 
előirányzat")</f>
        <v>2025. évi
módosított 
előirányzat</v>
      </c>
      <c r="G236" s="78" t="s">
        <v>666</v>
      </c>
      <c r="H236" s="78" t="s">
        <v>667</v>
      </c>
      <c r="I236" s="78" t="s">
        <v>668</v>
      </c>
    </row>
    <row r="237" spans="2:12" x14ac:dyDescent="0.25">
      <c r="B237" s="160">
        <v>2</v>
      </c>
      <c r="C237" s="78" t="s">
        <v>352</v>
      </c>
      <c r="D237" s="92" t="s">
        <v>1444</v>
      </c>
      <c r="E237" s="121">
        <f>SUM(E238:E242)</f>
        <v>0</v>
      </c>
      <c r="F237" s="121">
        <f>SUM(F238:F242)</f>
        <v>0</v>
      </c>
      <c r="G237" s="121">
        <f>SUM(G238:G242)</f>
        <v>0</v>
      </c>
      <c r="H237" s="121">
        <f>SUM(H238:H242)</f>
        <v>0</v>
      </c>
      <c r="I237" s="121">
        <f>SUM(I238:I242)</f>
        <v>0</v>
      </c>
    </row>
    <row r="238" spans="2:12" x14ac:dyDescent="0.25">
      <c r="B238" s="160">
        <v>3</v>
      </c>
      <c r="C238" s="305" t="s">
        <v>315</v>
      </c>
      <c r="D238" s="93" t="s">
        <v>342</v>
      </c>
      <c r="E238" s="72">
        <f>SUMIF(Adat!$AI:$AI,CONCATENATE(61,$M$4,"051",L233),Adat!$E:$E)</f>
        <v>0</v>
      </c>
      <c r="F238" s="72">
        <f>SUMIF(Adat!$AI:$AI,CONCATENATE(60,$M$4,"051",L233),Adat!$E:$E)+E238</f>
        <v>0</v>
      </c>
      <c r="G238" s="72">
        <f>SUMIF(Adat!$AJ:$AJ,CONCATENATE($M$4,"051","(KÖT)",L233),Adat!$E:$E)</f>
        <v>0</v>
      </c>
      <c r="H238" s="72">
        <f>SUMIF(Adat!$AJ:$AJ,CONCATENATE($M$4,"051","(ÖNV)",L233),Adat!$E:$E)</f>
        <v>0</v>
      </c>
      <c r="I238" s="72">
        <f>SUMIF(Adat!$AJ:$AJ,CONCATENATE($M$4,"051","(ÁIG)",L233),Adat!$E:$E)</f>
        <v>0</v>
      </c>
    </row>
    <row r="239" spans="2:12" x14ac:dyDescent="0.25">
      <c r="B239" s="160">
        <v>4</v>
      </c>
      <c r="C239" s="305" t="s">
        <v>317</v>
      </c>
      <c r="D239" s="93" t="s">
        <v>395</v>
      </c>
      <c r="E239" s="72">
        <f>SUMIF(Adat!$AI:$AI,CONCATENATE(61,$M$4,"052",L233),Adat!$E:$E)</f>
        <v>0</v>
      </c>
      <c r="F239" s="72">
        <f>SUMIF(Adat!$AI:$AI,CONCATENATE(60,$M$4,"052",L233),Adat!$E:$E)+E239</f>
        <v>0</v>
      </c>
      <c r="G239" s="72">
        <f>SUMIF(Adat!$AJ:$AJ,CONCATENATE($M$4,"052","(KÖT)",L233),Adat!$E:$E)</f>
        <v>0</v>
      </c>
      <c r="H239" s="72">
        <f>SUMIF(Adat!$AJ:$AJ,CONCATENATE($M$4,"052","(ÖNV)",L233),Adat!$E:$E)</f>
        <v>0</v>
      </c>
      <c r="I239" s="72">
        <f>SUMIF(Adat!$AJ:$AJ,CONCATENATE($M$4,"052","(ÁIG)",L233),Adat!$E:$E)</f>
        <v>0</v>
      </c>
    </row>
    <row r="240" spans="2:12" x14ac:dyDescent="0.25">
      <c r="B240" s="160">
        <v>5</v>
      </c>
      <c r="C240" s="305" t="s">
        <v>4</v>
      </c>
      <c r="D240" s="93" t="s">
        <v>344</v>
      </c>
      <c r="E240" s="72">
        <f>SUMIF(Adat!$AI:$AI,CONCATENATE(61,$M$4,"053",L233),Adat!$E:$E)</f>
        <v>0</v>
      </c>
      <c r="F240" s="72">
        <f>SUMIF(Adat!$AI:$AI,CONCATENATE(60,$M$4,"053",L233),Adat!$E:$E)+E240</f>
        <v>0</v>
      </c>
      <c r="G240" s="72">
        <f>SUMIF(Adat!$AJ:$AJ,CONCATENATE($M$4,"053","(KÖT)",L233),Adat!$E:$E)</f>
        <v>0</v>
      </c>
      <c r="H240" s="72">
        <f>SUMIF(Adat!$AJ:$AJ,CONCATENATE($M$4,"053","(ÖNV)",L233),Adat!$E:$E)</f>
        <v>0</v>
      </c>
      <c r="I240" s="72">
        <f>SUMIF(Adat!$AJ:$AJ,CONCATENATE($M$4,"053","(ÁIG)",L233),Adat!$E:$E)</f>
        <v>0</v>
      </c>
    </row>
    <row r="241" spans="2:12" x14ac:dyDescent="0.25">
      <c r="B241" s="160">
        <v>6</v>
      </c>
      <c r="C241" s="305" t="s">
        <v>6</v>
      </c>
      <c r="D241" s="93" t="s">
        <v>345</v>
      </c>
      <c r="E241" s="72">
        <f>SUMIF(Adat!$AI:$AI,CONCATENATE(61,$M$4,"054",L233),Adat!$E:$E)</f>
        <v>0</v>
      </c>
      <c r="F241" s="72">
        <f>SUMIF(Adat!$AI:$AI,CONCATENATE(60,$M$4,"054",L233),Adat!$E:$E)+E241</f>
        <v>0</v>
      </c>
      <c r="G241" s="72">
        <f>SUMIF(Adat!$AJ:$AJ,CONCATENATE($M$4,"054","(KÖT)",L233),Adat!$E:$E)</f>
        <v>0</v>
      </c>
      <c r="H241" s="72">
        <f>SUMIF(Adat!$AJ:$AJ,CONCATENATE($M$4,"054","(ÖNV)",L233),Adat!$E:$E)</f>
        <v>0</v>
      </c>
      <c r="I241" s="72">
        <f>SUMIF(Adat!$AJ:$AJ,CONCATENATE($M$4,"054","(ÁIG)",L233),Adat!$E:$E)</f>
        <v>0</v>
      </c>
    </row>
    <row r="242" spans="2:12" x14ac:dyDescent="0.25">
      <c r="B242" s="160">
        <v>7</v>
      </c>
      <c r="C242" s="305" t="s">
        <v>8</v>
      </c>
      <c r="D242" s="93" t="s">
        <v>321</v>
      </c>
      <c r="E242" s="72">
        <f>SUMIF(Adat!$AI:$AI,CONCATENATE(61,$M$4,"055",L233),Adat!$E:$E)</f>
        <v>0</v>
      </c>
      <c r="F242" s="72">
        <f>SUMIF(Adat!$AI:$AI,CONCATENATE(60,$M$4,"055",L233),Adat!$E:$E)+E242</f>
        <v>0</v>
      </c>
      <c r="G242" s="72">
        <f>SUMIF(Adat!$AJ:$AJ,CONCATENATE($M$4,"055","(KÖT)",L233),Adat!$E:$E)</f>
        <v>0</v>
      </c>
      <c r="H242" s="72">
        <f>SUMIF(Adat!$AJ:$AJ,CONCATENATE($M$4,"055","(ÖNV)",L233),Adat!$E:$E)</f>
        <v>0</v>
      </c>
      <c r="I242" s="72">
        <f>SUMIF(Adat!$AJ:$AJ,CONCATENATE($M$4,"055","(ÁIG)",L233),Adat!$E:$E)</f>
        <v>0</v>
      </c>
    </row>
    <row r="243" spans="2:12" x14ac:dyDescent="0.25">
      <c r="B243" s="160">
        <v>8</v>
      </c>
      <c r="C243" s="78" t="s">
        <v>358</v>
      </c>
      <c r="D243" s="92" t="s">
        <v>1447</v>
      </c>
      <c r="E243" s="121">
        <f>E244+E246+E248</f>
        <v>0</v>
      </c>
      <c r="F243" s="121">
        <f>F244+F246+F248</f>
        <v>0</v>
      </c>
      <c r="G243" s="121">
        <f>G244+G246+G248</f>
        <v>0</v>
      </c>
      <c r="H243" s="121">
        <f>H244+H246+H248</f>
        <v>0</v>
      </c>
      <c r="I243" s="121">
        <f>I244+I246+I248</f>
        <v>0</v>
      </c>
    </row>
    <row r="244" spans="2:12" x14ac:dyDescent="0.25">
      <c r="B244" s="160">
        <v>9</v>
      </c>
      <c r="C244" s="305" t="s">
        <v>10</v>
      </c>
      <c r="D244" s="93" t="s">
        <v>322</v>
      </c>
      <c r="E244" s="72">
        <f>SUMIF(Adat!$AI:$AI,CONCATENATE(61,$M$4,"056",L233),Adat!$E:$E)</f>
        <v>0</v>
      </c>
      <c r="F244" s="72">
        <f>SUMIF(Adat!$AI:$AI,CONCATENATE(60,$M$4,"056",L233),Adat!$E:$E)+E244</f>
        <v>0</v>
      </c>
      <c r="G244" s="72">
        <f>SUMIF(Adat!$AJ:$AJ,CONCATENATE($M$4,"056","(KÖT)",L233),Adat!$E:$E)</f>
        <v>0</v>
      </c>
      <c r="H244" s="72">
        <f>SUMIF(Adat!$AJ:$AJ,CONCATENATE($M$4,"056","(ÖNV)",L233),Adat!$E:$E)</f>
        <v>0</v>
      </c>
      <c r="I244" s="72">
        <f>SUMIF(Adat!$AJ:$AJ,CONCATENATE($M$4,"056","(ÁIG)",L233),Adat!$E:$E)</f>
        <v>0</v>
      </c>
    </row>
    <row r="245" spans="2:12" x14ac:dyDescent="0.25">
      <c r="B245" s="160">
        <v>10</v>
      </c>
      <c r="C245" s="305" t="s">
        <v>10</v>
      </c>
      <c r="D245" s="93" t="s">
        <v>1448</v>
      </c>
      <c r="E245" s="72">
        <v>0</v>
      </c>
      <c r="F245" s="72">
        <f>SUM(G245:I245)</f>
        <v>0</v>
      </c>
      <c r="G245" s="72">
        <v>0</v>
      </c>
      <c r="H245" s="72">
        <v>0</v>
      </c>
      <c r="I245" s="72">
        <v>0</v>
      </c>
    </row>
    <row r="246" spans="2:12" x14ac:dyDescent="0.25">
      <c r="B246" s="160">
        <v>11</v>
      </c>
      <c r="C246" s="305" t="s">
        <v>12</v>
      </c>
      <c r="D246" s="93" t="s">
        <v>323</v>
      </c>
      <c r="E246" s="72">
        <f>SUMIF(Adat!$AI:$AI,CONCATENATE(61,$M$4,"057",L233),Adat!$E:$E)</f>
        <v>0</v>
      </c>
      <c r="F246" s="72">
        <f>SUMIF(Adat!$AI:$AI,CONCATENATE(60,$M$4,"057",L233),Adat!$E:$E)+E246</f>
        <v>0</v>
      </c>
      <c r="G246" s="72">
        <f>SUMIF(Adat!$AJ:$AJ,CONCATENATE($M$4,"057","(KÖT)",L233),Adat!$E:$E)</f>
        <v>0</v>
      </c>
      <c r="H246" s="72">
        <f>SUMIF(Adat!$AJ:$AJ,CONCATENATE($M$4,"057","(ÖNV)",L233),Adat!$E:$E)</f>
        <v>0</v>
      </c>
      <c r="I246" s="72">
        <f>SUMIF(Adat!$AJ:$AJ,CONCATENATE($M$4,"057","(ÁIG)",L233),Adat!$E:$E)</f>
        <v>0</v>
      </c>
    </row>
    <row r="247" spans="2:12" x14ac:dyDescent="0.25">
      <c r="B247" s="160">
        <v>12</v>
      </c>
      <c r="C247" s="305" t="s">
        <v>12</v>
      </c>
      <c r="D247" s="93" t="s">
        <v>1449</v>
      </c>
      <c r="E247" s="72">
        <v>0</v>
      </c>
      <c r="F247" s="72">
        <f>SUM(G247:I247)</f>
        <v>0</v>
      </c>
      <c r="G247" s="72">
        <v>0</v>
      </c>
      <c r="H247" s="72">
        <v>0</v>
      </c>
      <c r="I247" s="72">
        <v>0</v>
      </c>
    </row>
    <row r="248" spans="2:12" x14ac:dyDescent="0.25">
      <c r="B248" s="160">
        <v>13</v>
      </c>
      <c r="C248" s="305" t="s">
        <v>15</v>
      </c>
      <c r="D248" s="84" t="s">
        <v>324</v>
      </c>
      <c r="E248" s="72">
        <f>SUMIF(Adat!$AI:$AI,CONCATENATE(61,$M$4,"058",L233),Adat!$E:$E)</f>
        <v>0</v>
      </c>
      <c r="F248" s="72">
        <f>SUMIF(Adat!$AI:$AI,CONCATENATE(60,$M$4,"058",L233),Adat!$E:$E)+E248</f>
        <v>0</v>
      </c>
      <c r="G248" s="72">
        <f>SUMIF(Adat!$AJ:$AJ,CONCATENATE($M$4,"058","(KÖT)",L233),Adat!$E:$E)</f>
        <v>0</v>
      </c>
      <c r="H248" s="72">
        <f>SUMIF(Adat!$AJ:$AJ,CONCATENATE($M$4,"058","(ÖNV)",L233),Adat!$E:$E)</f>
        <v>0</v>
      </c>
      <c r="I248" s="72">
        <f>SUMIF(Adat!$AJ:$AJ,CONCATENATE($M$4,"058","(ÁIG)",L233),Adat!$E:$E)</f>
        <v>0</v>
      </c>
    </row>
    <row r="249" spans="2:12" x14ac:dyDescent="0.25">
      <c r="B249" s="160">
        <v>14</v>
      </c>
      <c r="C249" s="154" t="s">
        <v>364</v>
      </c>
      <c r="D249" s="86" t="s">
        <v>325</v>
      </c>
      <c r="E249" s="71">
        <f>SUMIF(Adat!$AI:$AI,CONCATENATE(61,$M$4,"059",L233),Adat!$E:$E)</f>
        <v>0</v>
      </c>
      <c r="F249" s="71">
        <f>SUMIF(Adat!$AI:$AI,CONCATENATE(60,$M$4,"059",L233),Adat!$E:$E)+E249</f>
        <v>0</v>
      </c>
      <c r="G249" s="71">
        <f>SUMIF(Adat!$AJ:$AJ,CONCATENATE($M$4,"059","(KÖT)",L233),Adat!$E:$E)</f>
        <v>0</v>
      </c>
      <c r="H249" s="71">
        <f>SUMIF(Adat!$AJ:$AJ,CONCATENATE($M$4,"059","(ÖNV)",L233),Adat!$E:$E)</f>
        <v>0</v>
      </c>
      <c r="I249" s="71">
        <f>SUMIF(Adat!$AJ:$AJ,CONCATENATE($M$4,"059","(ÁIG)",L233),Adat!$E:$E)</f>
        <v>0</v>
      </c>
    </row>
    <row r="250" spans="2:12" x14ac:dyDescent="0.25">
      <c r="B250" s="160">
        <v>15</v>
      </c>
      <c r="C250" s="154" t="s">
        <v>403</v>
      </c>
      <c r="D250" s="159" t="s">
        <v>497</v>
      </c>
      <c r="E250" s="121">
        <f>E237+E243+E249</f>
        <v>0</v>
      </c>
      <c r="F250" s="121">
        <f>F237+F243+F249</f>
        <v>0</v>
      </c>
      <c r="G250" s="121">
        <f>G237+G243+G249</f>
        <v>0</v>
      </c>
      <c r="H250" s="121">
        <f>H237+H243+H249</f>
        <v>0</v>
      </c>
      <c r="I250" s="121">
        <f>I237+I243+I249</f>
        <v>0</v>
      </c>
    </row>
    <row r="251" spans="2:12" ht="15.75" x14ac:dyDescent="0.25">
      <c r="B251" s="37"/>
      <c r="C251" s="529"/>
      <c r="D251" s="529"/>
      <c r="E251" s="529"/>
      <c r="F251" s="200"/>
      <c r="G251" s="200"/>
      <c r="H251" s="200"/>
      <c r="I251" s="200"/>
    </row>
    <row r="252" spans="2:12" ht="15.75" x14ac:dyDescent="0.25">
      <c r="B252" s="525" t="str">
        <f>$N$4</f>
        <v>Nagymarosi Napköziotthonos Óvoda és Bölcsőde</v>
      </c>
      <c r="C252" s="525"/>
      <c r="D252" s="525"/>
      <c r="E252" s="525"/>
      <c r="F252" s="525"/>
      <c r="G252" s="525"/>
      <c r="H252" s="525"/>
      <c r="I252" s="525"/>
    </row>
    <row r="253" spans="2:12" ht="15.75" x14ac:dyDescent="0.25">
      <c r="B253" s="525" t="s">
        <v>2660</v>
      </c>
      <c r="C253" s="525"/>
      <c r="D253" s="525"/>
      <c r="E253" s="525"/>
      <c r="F253" s="525"/>
      <c r="G253" s="525"/>
      <c r="H253" s="525"/>
      <c r="I253" s="525"/>
    </row>
    <row r="254" spans="2:12" ht="15.75" x14ac:dyDescent="0.25">
      <c r="B254" s="38"/>
      <c r="C254" s="156"/>
      <c r="D254" s="38"/>
      <c r="E254" s="140"/>
      <c r="F254" s="140"/>
      <c r="G254" s="140"/>
      <c r="H254" s="140"/>
      <c r="I254" s="140"/>
    </row>
    <row r="255" spans="2:12" s="10" customFormat="1" ht="15.75" customHeight="1" x14ac:dyDescent="0.25">
      <c r="B255" s="201" t="str">
        <f>CONCATENATE("9. Bevételi jogcímek"," - ",L255," részletező")</f>
        <v>9. Bevételi jogcímek -  részletező</v>
      </c>
      <c r="C255" s="101"/>
      <c r="D255" s="101"/>
      <c r="E255" s="101"/>
      <c r="F255" s="101"/>
      <c r="G255" s="198"/>
      <c r="H255" s="198"/>
      <c r="I255" s="198"/>
      <c r="L255" s="384"/>
    </row>
    <row r="256" spans="2:12" ht="15.75" x14ac:dyDescent="0.25">
      <c r="B256" s="38"/>
      <c r="C256" s="156"/>
      <c r="D256" s="38"/>
      <c r="E256" s="140"/>
      <c r="F256" s="140"/>
      <c r="G256" s="140"/>
      <c r="H256" s="140"/>
      <c r="I256" s="140"/>
    </row>
    <row r="257" spans="2:9" x14ac:dyDescent="0.25">
      <c r="B257" s="77"/>
      <c r="C257" s="77" t="s">
        <v>350</v>
      </c>
      <c r="D257" s="77" t="s">
        <v>351</v>
      </c>
      <c r="E257" s="77" t="s">
        <v>470</v>
      </c>
      <c r="F257" s="77" t="s">
        <v>471</v>
      </c>
      <c r="G257" s="77" t="s">
        <v>44</v>
      </c>
      <c r="H257" s="77" t="s">
        <v>42</v>
      </c>
      <c r="I257" s="77" t="s">
        <v>511</v>
      </c>
    </row>
    <row r="258" spans="2:9" ht="38.25" x14ac:dyDescent="0.25">
      <c r="B258" s="160">
        <v>1</v>
      </c>
      <c r="C258" s="154" t="s">
        <v>593</v>
      </c>
      <c r="D258" s="154" t="s">
        <v>488</v>
      </c>
      <c r="E258" s="163" t="str">
        <f>CONCATENATE(PAR!$H$3," évi
eredeti 
előirányzat")</f>
        <v>2025. évi
eredeti 
előirányzat</v>
      </c>
      <c r="F258" s="163" t="str">
        <f>CONCATENATE(PAR!$H$3," évi
módosított 
előirányzat")</f>
        <v>2025. évi
módosított 
előirányzat</v>
      </c>
      <c r="G258" s="78" t="s">
        <v>666</v>
      </c>
      <c r="H258" s="78" t="s">
        <v>667</v>
      </c>
      <c r="I258" s="78" t="s">
        <v>668</v>
      </c>
    </row>
    <row r="259" spans="2:9" x14ac:dyDescent="0.25">
      <c r="B259" s="160">
        <v>2</v>
      </c>
      <c r="C259" s="79" t="s">
        <v>30</v>
      </c>
      <c r="D259" s="79" t="s">
        <v>329</v>
      </c>
      <c r="E259" s="121">
        <f>SUM(E260:E272)</f>
        <v>0</v>
      </c>
      <c r="F259" s="121">
        <f t="shared" ref="F259:I259" si="16">SUM(F260:F272)</f>
        <v>0</v>
      </c>
      <c r="G259" s="121">
        <f t="shared" si="16"/>
        <v>0</v>
      </c>
      <c r="H259" s="121">
        <f t="shared" si="16"/>
        <v>0</v>
      </c>
      <c r="I259" s="121">
        <f t="shared" si="16"/>
        <v>0</v>
      </c>
    </row>
    <row r="260" spans="2:9" x14ac:dyDescent="0.2">
      <c r="B260" s="160">
        <v>3</v>
      </c>
      <c r="C260" s="305" t="s">
        <v>1309</v>
      </c>
      <c r="D260" s="82" t="s">
        <v>1356</v>
      </c>
      <c r="E260" s="72">
        <f>SUMIF(Adat!$AG:$AG,CONCATENATE(61,$M$4,"094011",L255),Adat!$E:$E)*-1</f>
        <v>0</v>
      </c>
      <c r="F260" s="72">
        <f>SUMIF(Adat!$AG:$AG,CONCATENATE(60,$M$4,"094011",L255),Adat!$E:$E)*-1+E260</f>
        <v>0</v>
      </c>
      <c r="G260" s="72">
        <f>SUMIF(Adat!$AH:$AH,CONCATENATE($M$4,"(KÖT)","094011",L255),Adat!$E:$E)*-1</f>
        <v>0</v>
      </c>
      <c r="H260" s="72">
        <f>SUMIF(Adat!$AH:$AH,CONCATENATE($M$4,"(ÖNV)","094011",L255),Adat!$E:$E)*-1</f>
        <v>0</v>
      </c>
      <c r="I260" s="72">
        <f>SUMIF(Adat!$AH:$AH,CONCATENATE($M$4,"(ÁIG)","094011",L255),Adat!$E:$E)*-1</f>
        <v>0</v>
      </c>
    </row>
    <row r="261" spans="2:9" x14ac:dyDescent="0.2">
      <c r="B261" s="160">
        <v>4</v>
      </c>
      <c r="C261" s="305" t="s">
        <v>1279</v>
      </c>
      <c r="D261" s="82" t="s">
        <v>1357</v>
      </c>
      <c r="E261" s="72">
        <f>SUMIF(Adat!$AG:$AG,CONCATENATE(61,$M$4,"094021",L255),Adat!$E:$E)*-1</f>
        <v>0</v>
      </c>
      <c r="F261" s="72">
        <f>SUMIF(Adat!$AG:$AG,CONCATENATE(60,$M$4,"094021",L255),Adat!$E:$E)*-1+E261</f>
        <v>0</v>
      </c>
      <c r="G261" s="72">
        <f>SUMIF(Adat!$AH:$AH,CONCATENATE($M$4,"(KÖT)","094021",L255),Adat!$E:$E)*-1</f>
        <v>0</v>
      </c>
      <c r="H261" s="72">
        <f>SUMIF(Adat!$AH:$AH,CONCATENATE($M$4,"(ÖNV)","094021",L255),Adat!$E:$E)*-1</f>
        <v>0</v>
      </c>
      <c r="I261" s="72">
        <f>SUMIF(Adat!$AH:$AH,CONCATENATE($M$4,"(ÁIG)","094021",L255),Adat!$E:$E)*-1</f>
        <v>0</v>
      </c>
    </row>
    <row r="262" spans="2:9" x14ac:dyDescent="0.2">
      <c r="B262" s="160">
        <v>5</v>
      </c>
      <c r="C262" s="305" t="s">
        <v>1272</v>
      </c>
      <c r="D262" s="82" t="s">
        <v>1358</v>
      </c>
      <c r="E262" s="72">
        <f>SUMIF(Adat!$AG:$AG,CONCATENATE(61,$M$4,"094031",L255),Adat!$E:$E)*-1</f>
        <v>0</v>
      </c>
      <c r="F262" s="72">
        <f>SUMIF(Adat!$AG:$AG,CONCATENATE(60,$M$4,"094031",L255),Adat!$E:$E)*-1+E262</f>
        <v>0</v>
      </c>
      <c r="G262" s="72">
        <f>SUMIF(Adat!$AH:$AH,CONCATENATE($M$4,"(KÖT)","094031",L255),Adat!$E:$E)*-1</f>
        <v>0</v>
      </c>
      <c r="H262" s="72">
        <f>SUMIF(Adat!$AH:$AH,CONCATENATE($M$4,"(ÖNV)","094031",L255),Adat!$E:$E)*-1</f>
        <v>0</v>
      </c>
      <c r="I262" s="72">
        <f>SUMIF(Adat!$AH:$AH,CONCATENATE($M$4,"(ÁIG)","094031",L255),Adat!$E:$E)*-1</f>
        <v>0</v>
      </c>
    </row>
    <row r="263" spans="2:9" x14ac:dyDescent="0.2">
      <c r="B263" s="160">
        <v>6</v>
      </c>
      <c r="C263" s="305" t="s">
        <v>1359</v>
      </c>
      <c r="D263" s="82" t="s">
        <v>1360</v>
      </c>
      <c r="E263" s="72">
        <f>SUMIF(Adat!$AG:$AG,CONCATENATE(61,$M$4,"094041",L255),Adat!$E:$E)*-1</f>
        <v>0</v>
      </c>
      <c r="F263" s="72">
        <f>SUMIF(Adat!$AG:$AG,CONCATENATE(60,$M$4,"094041",L255),Adat!$E:$E)*-1+E263</f>
        <v>0</v>
      </c>
      <c r="G263" s="72">
        <f>SUMIF(Adat!$AH:$AH,CONCATENATE($M$4,"(KÖT)","094041",L255),Adat!$E:$E)*-1</f>
        <v>0</v>
      </c>
      <c r="H263" s="72">
        <f>SUMIF(Adat!$AH:$AH,CONCATENATE($M$4,"(ÖNV)","094041",L255),Adat!$E:$E)*-1</f>
        <v>0</v>
      </c>
      <c r="I263" s="72">
        <f>SUMIF(Adat!$AH:$AH,CONCATENATE($M$4,"(ÁIG)","094041",L255),Adat!$E:$E)*-1</f>
        <v>0</v>
      </c>
    </row>
    <row r="264" spans="2:9" x14ac:dyDescent="0.2">
      <c r="B264" s="160">
        <v>7</v>
      </c>
      <c r="C264" s="305" t="s">
        <v>1261</v>
      </c>
      <c r="D264" s="82" t="s">
        <v>1361</v>
      </c>
      <c r="E264" s="72">
        <f>SUMIF(Adat!$AG:$AG,CONCATENATE(61,$M$4,"094051",L255),Adat!$E:$E)*-1</f>
        <v>0</v>
      </c>
      <c r="F264" s="72">
        <f>SUMIF(Adat!$AG:$AG,CONCATENATE(60,$M$4,"094051",L255),Adat!$E:$E)*-1+E264</f>
        <v>0</v>
      </c>
      <c r="G264" s="72">
        <f>SUMIF(Adat!$AH:$AH,CONCATENATE($M$4,"(KÖT)","094051",L255),Adat!$E:$E)*-1</f>
        <v>0</v>
      </c>
      <c r="H264" s="72">
        <f>SUMIF(Adat!$AH:$AH,CONCATENATE($M$4,"(ÖNV)","094051",L255),Adat!$E:$E)*-1</f>
        <v>0</v>
      </c>
      <c r="I264" s="72">
        <f>SUMIF(Adat!$AH:$AH,CONCATENATE($M$4,"(ÁIG)","094051",L255),Adat!$E:$E)*-1</f>
        <v>0</v>
      </c>
    </row>
    <row r="265" spans="2:9" x14ac:dyDescent="0.2">
      <c r="B265" s="160">
        <v>8</v>
      </c>
      <c r="C265" s="305" t="s">
        <v>1273</v>
      </c>
      <c r="D265" s="82" t="s">
        <v>1362</v>
      </c>
      <c r="E265" s="72">
        <f>SUMIF(Adat!$AG:$AG,CONCATENATE(61,$M$4,"094061",L255),Adat!$E:$E)*-1</f>
        <v>0</v>
      </c>
      <c r="F265" s="72">
        <f>SUMIF(Adat!$AG:$AG,CONCATENATE(60,$M$4,"094061",L255),Adat!$E:$E)*-1+E265</f>
        <v>0</v>
      </c>
      <c r="G265" s="72">
        <f>SUMIF(Adat!$AH:$AH,CONCATENATE($M$4,"(KÖT)","094061",L255),Adat!$E:$E)*-1</f>
        <v>0</v>
      </c>
      <c r="H265" s="72">
        <f>SUMIF(Adat!$AH:$AH,CONCATENATE($M$4,"(ÖNV)","094061",L255),Adat!$E:$E)*-1</f>
        <v>0</v>
      </c>
      <c r="I265" s="72">
        <f>SUMIF(Adat!$AH:$AH,CONCATENATE($M$4,"(ÁIG)","094061",L255),Adat!$E:$E)*-1</f>
        <v>0</v>
      </c>
    </row>
    <row r="266" spans="2:9" x14ac:dyDescent="0.2">
      <c r="B266" s="160">
        <v>9</v>
      </c>
      <c r="C266" s="305" t="s">
        <v>1363</v>
      </c>
      <c r="D266" s="82" t="s">
        <v>1364</v>
      </c>
      <c r="E266" s="72">
        <f>SUMIF(Adat!$AG:$AG,CONCATENATE(61,$M$4,"094071",L255),Adat!$E:$E)*-1</f>
        <v>0</v>
      </c>
      <c r="F266" s="72">
        <f>SUMIF(Adat!$AG:$AG,CONCATENATE(60,$M$4,"094071",L255),Adat!$E:$E)*-1+E266</f>
        <v>0</v>
      </c>
      <c r="G266" s="72">
        <f>SUMIF(Adat!$AH:$AH,CONCATENATE($M$4,"(KÖT)","094071",L255),Adat!$E:$E)*-1</f>
        <v>0</v>
      </c>
      <c r="H266" s="72">
        <f>SUMIF(Adat!$AH:$AH,CONCATENATE($M$4,"(ÖNV)","094071",L255),Adat!$E:$E)*-1</f>
        <v>0</v>
      </c>
      <c r="I266" s="72">
        <f>SUMIF(Adat!$AH:$AH,CONCATENATE($M$4,"(ÁIG)","094071",L255),Adat!$E:$E)*-1</f>
        <v>0</v>
      </c>
    </row>
    <row r="267" spans="2:9" x14ac:dyDescent="0.2">
      <c r="B267" s="160">
        <v>10</v>
      </c>
      <c r="C267" s="305" t="s">
        <v>1306</v>
      </c>
      <c r="D267" s="82" t="s">
        <v>1365</v>
      </c>
      <c r="E267" s="72">
        <f>SUMIF(Adat!$AG:$AG,CONCATENATE(61,$M$4,"0940811",L255),Adat!$E:$E)*-1</f>
        <v>0</v>
      </c>
      <c r="F267" s="72">
        <f>SUMIF(Adat!$AG:$AG,CONCATENATE(60,$M$4,"0940811",L255),Adat!$E:$E)*-1+E267</f>
        <v>0</v>
      </c>
      <c r="G267" s="72">
        <f>SUMIF(Adat!$AH:$AH,CONCATENATE($M$4,"(KÖT)","0940811",L255),Adat!$E:$E)*-1</f>
        <v>0</v>
      </c>
      <c r="H267" s="72">
        <f>SUMIF(Adat!$AH:$AH,CONCATENATE($M$4,"(ÖNV)","0940811",L255),Adat!$E:$E)*-1</f>
        <v>0</v>
      </c>
      <c r="I267" s="72">
        <f>SUMIF(Adat!$AH:$AH,CONCATENATE($M$4,"(ÁIG)","0940811",L255),Adat!$E:$E)*-1</f>
        <v>0</v>
      </c>
    </row>
    <row r="268" spans="2:9" x14ac:dyDescent="0.2">
      <c r="B268" s="160">
        <v>11</v>
      </c>
      <c r="C268" s="305" t="s">
        <v>1295</v>
      </c>
      <c r="D268" s="82" t="s">
        <v>1366</v>
      </c>
      <c r="E268" s="72">
        <f>SUMIF(Adat!$AG:$AG,CONCATENATE(61,$M$4,"0940821",L255),Adat!$E:$E)*-1</f>
        <v>0</v>
      </c>
      <c r="F268" s="72">
        <f>SUMIF(Adat!$AG:$AG,CONCATENATE(60,$M$4,"0940821",L255),Adat!$E:$E)*-1+E268</f>
        <v>0</v>
      </c>
      <c r="G268" s="72">
        <f>SUMIF(Adat!$AH:$AH,CONCATENATE($M$4,"(KÖT)","0940821",L255),Adat!$E:$E)*-1</f>
        <v>0</v>
      </c>
      <c r="H268" s="72">
        <f>SUMIF(Adat!$AH:$AH,CONCATENATE($M$4,"(ÖNV)","0940821",L255),Adat!$E:$E)*-1</f>
        <v>0</v>
      </c>
      <c r="I268" s="72">
        <f>SUMIF(Adat!$AH:$AH,CONCATENATE($M$4,"(ÁIG)","0940821",L255),Adat!$E:$E)*-1</f>
        <v>0</v>
      </c>
    </row>
    <row r="269" spans="2:9" x14ac:dyDescent="0.2">
      <c r="B269" s="160">
        <v>12</v>
      </c>
      <c r="C269" s="305" t="s">
        <v>1367</v>
      </c>
      <c r="D269" s="82" t="s">
        <v>1368</v>
      </c>
      <c r="E269" s="72">
        <f>SUMIF(Adat!$AG:$AG,CONCATENATE(61,$M$4,"0940911",L255),Adat!$E:$E)*-1</f>
        <v>0</v>
      </c>
      <c r="F269" s="72">
        <f>SUMIF(Adat!$AG:$AG,CONCATENATE(60,$M$4,"0940911",L255),Adat!$E:$E)*-1+E269</f>
        <v>0</v>
      </c>
      <c r="G269" s="72">
        <f>SUMIF(Adat!$AH:$AH,CONCATENATE($M$4,"(KÖT)","0940911",L255),Adat!$E:$E)*-1</f>
        <v>0</v>
      </c>
      <c r="H269" s="72">
        <f>SUMIF(Adat!$AH:$AH,CONCATENATE($M$4,"(ÖNV)","0940911",L255),Adat!$E:$E)*-1</f>
        <v>0</v>
      </c>
      <c r="I269" s="72">
        <f>SUMIF(Adat!$AH:$AH,CONCATENATE($M$4,"(ÁIG)","0940911",L255),Adat!$E:$E)*-1</f>
        <v>0</v>
      </c>
    </row>
    <row r="270" spans="2:9" x14ac:dyDescent="0.2">
      <c r="B270" s="160">
        <v>13</v>
      </c>
      <c r="C270" s="305" t="s">
        <v>1369</v>
      </c>
      <c r="D270" s="82" t="s">
        <v>1370</v>
      </c>
      <c r="E270" s="72">
        <f>SUMIF(Adat!$AG:$AG,CONCATENATE(61,$M$4,"0940921",L255),Adat!$E:$E)*-1</f>
        <v>0</v>
      </c>
      <c r="F270" s="72">
        <f>SUMIF(Adat!$AG:$AG,CONCATENATE(60,$M$4,"0940921",L255),Adat!$E:$E)*-1+E270</f>
        <v>0</v>
      </c>
      <c r="G270" s="72">
        <f>SUMIF(Adat!$AH:$AH,CONCATENATE($M$4,"(KÖT)","0940921",L255),Adat!$E:$E)*-1</f>
        <v>0</v>
      </c>
      <c r="H270" s="72">
        <f>SUMIF(Adat!$AH:$AH,CONCATENATE($M$4,"(ÖNV)","0940921",L255),Adat!$E:$E)*-1</f>
        <v>0</v>
      </c>
      <c r="I270" s="72">
        <f>SUMIF(Adat!$AH:$AH,CONCATENATE($M$4,"(ÁIG)","0940921",L255),Adat!$E:$E)*-1</f>
        <v>0</v>
      </c>
    </row>
    <row r="271" spans="2:9" x14ac:dyDescent="0.2">
      <c r="B271" s="160">
        <v>14</v>
      </c>
      <c r="C271" s="305" t="s">
        <v>1296</v>
      </c>
      <c r="D271" s="82" t="s">
        <v>1371</v>
      </c>
      <c r="E271" s="72">
        <f>SUMIF(Adat!$AG:$AG,CONCATENATE(61,$M$4,"094101",L255),Adat!$E:$E)*-1</f>
        <v>0</v>
      </c>
      <c r="F271" s="72">
        <f>SUMIF(Adat!$AG:$AG,CONCATENATE(60,$M$4,"094101",L255),Adat!$E:$E)*-1+E271</f>
        <v>0</v>
      </c>
      <c r="G271" s="72">
        <f>SUMIF(Adat!$AH:$AH,CONCATENATE($M$4,"(KÖT)","094101",L255),Adat!$E:$E)*-1</f>
        <v>0</v>
      </c>
      <c r="H271" s="72">
        <f>SUMIF(Adat!$AH:$AH,CONCATENATE($M$4,"(ÖNV)","094101",L255),Adat!$E:$E)*-1</f>
        <v>0</v>
      </c>
      <c r="I271" s="72">
        <f>SUMIF(Adat!$AH:$AH,CONCATENATE($M$4,"(ÁIG)","094101",L255),Adat!$E:$E)*-1</f>
        <v>0</v>
      </c>
    </row>
    <row r="272" spans="2:9" x14ac:dyDescent="0.25">
      <c r="B272" s="160">
        <v>15</v>
      </c>
      <c r="C272" s="305" t="s">
        <v>1297</v>
      </c>
      <c r="D272" s="84" t="s">
        <v>1372</v>
      </c>
      <c r="E272" s="72">
        <f>SUMIF(Adat!$AG:$AG,CONCATENATE(61,$M$4,"094111",L255),Adat!$E:$E)*-1</f>
        <v>0</v>
      </c>
      <c r="F272" s="72">
        <f>SUMIF(Adat!$AG:$AG,CONCATENATE(60,$M$4,"094111",L255),Adat!$E:$E)*-1+E272</f>
        <v>0</v>
      </c>
      <c r="G272" s="72">
        <f>SUMIF(Adat!$AH:$AH,CONCATENATE($M$4,"(KÖT)","094111",L255),Adat!$E:$E)*-1</f>
        <v>0</v>
      </c>
      <c r="H272" s="72">
        <f>SUMIF(Adat!$AH:$AH,CONCATENATE($M$4,"(ÖNV)","094111",L255),Adat!$E:$E)*-1</f>
        <v>0</v>
      </c>
      <c r="I272" s="72">
        <f>SUMIF(Adat!$AH:$AH,CONCATENATE($M$4,"(ÁIG)","094111",L255),Adat!$E:$E)*-1</f>
        <v>0</v>
      </c>
    </row>
    <row r="273" spans="2:9" x14ac:dyDescent="0.25">
      <c r="B273" s="160">
        <v>16</v>
      </c>
      <c r="C273" s="78" t="s">
        <v>1328</v>
      </c>
      <c r="D273" s="85" t="s">
        <v>437</v>
      </c>
      <c r="E273" s="121">
        <f>SUM(E274:E276)</f>
        <v>0</v>
      </c>
      <c r="F273" s="121">
        <f>SUM(F274:F276)</f>
        <v>0</v>
      </c>
      <c r="G273" s="121">
        <f>SUM(G274:G276)</f>
        <v>0</v>
      </c>
      <c r="H273" s="121">
        <f>SUM(H274:H276)</f>
        <v>0</v>
      </c>
      <c r="I273" s="121">
        <f>SUM(I274:I276)</f>
        <v>0</v>
      </c>
    </row>
    <row r="274" spans="2:9" x14ac:dyDescent="0.2">
      <c r="B274" s="160">
        <v>17</v>
      </c>
      <c r="C274" s="305" t="s">
        <v>1329</v>
      </c>
      <c r="D274" s="82" t="s">
        <v>1330</v>
      </c>
      <c r="E274" s="72">
        <f>SUMIF(Adat!$AG:$AG,CONCATENATE(61,$M$4,"09121",L255),Adat!$E:$E)*-1</f>
        <v>0</v>
      </c>
      <c r="F274" s="72">
        <f>SUMIF(Adat!$AG:$AG,CONCATENATE(60,$M$4,"09121",L255),Adat!$E:$E)*-1+E274</f>
        <v>0</v>
      </c>
      <c r="G274" s="72">
        <f>SUMIF(Adat!$AH:$AH,CONCATENATE($M$4,"(KÖT)","09121",L255),Adat!$E:$E)*-1</f>
        <v>0</v>
      </c>
      <c r="H274" s="72">
        <f>SUMIF(Adat!$AH:$AH,CONCATENATE($M$4,"(ÖNV)","09121",L255),Adat!$E:$E)*-1</f>
        <v>0</v>
      </c>
      <c r="I274" s="72">
        <f>SUMIF(Adat!$AH:$AH,CONCATENATE($M$4,"(ÁIG)","09121",L255),Adat!$E:$E)*-1</f>
        <v>0</v>
      </c>
    </row>
    <row r="275" spans="2:9" x14ac:dyDescent="0.2">
      <c r="B275" s="160">
        <v>18</v>
      </c>
      <c r="C275" s="305" t="s">
        <v>1335</v>
      </c>
      <c r="D275" s="82" t="s">
        <v>1336</v>
      </c>
      <c r="E275" s="72">
        <f>SUMIF(Adat!$AG:$AG,CONCATENATE(61,$M$4,"09151",L255),Adat!$E:$E)*-1</f>
        <v>0</v>
      </c>
      <c r="F275" s="72">
        <f>SUMIF(Adat!$AG:$AG,CONCATENATE(60,$M$4,"09151",L255),Adat!$E:$E)*-1+E275</f>
        <v>0</v>
      </c>
      <c r="G275" s="72">
        <f>SUMIF(Adat!$AH:$AH,CONCATENATE($M$4,"(KÖT)","09151",L255),Adat!$E:$E)*-1</f>
        <v>0</v>
      </c>
      <c r="H275" s="72">
        <f>SUMIF(Adat!$AH:$AH,CONCATENATE($M$4,"(ÖNV)","09151",L255),Adat!$E:$E)*-1</f>
        <v>0</v>
      </c>
      <c r="I275" s="72">
        <f>SUMIF(Adat!$AH:$AH,CONCATENATE($M$4,"(ÁIG)","09151",L255),Adat!$E:$E)*-1</f>
        <v>0</v>
      </c>
    </row>
    <row r="276" spans="2:9" x14ac:dyDescent="0.2">
      <c r="B276" s="160">
        <v>19</v>
      </c>
      <c r="C276" s="305" t="s">
        <v>1278</v>
      </c>
      <c r="D276" s="82" t="s">
        <v>1337</v>
      </c>
      <c r="E276" s="72">
        <f>SUMIF(Adat!$AG:$AG,CONCATENATE(61,$M$4,"09161",L255),Adat!$E:$E)*-1</f>
        <v>0</v>
      </c>
      <c r="F276" s="72">
        <f>SUMIF(Adat!$AG:$AG,CONCATENATE(60,$M$4,"09161",L255),Adat!$E:$E)*-1+E276</f>
        <v>0</v>
      </c>
      <c r="G276" s="72">
        <f>SUMIF(Adat!$AH:$AH,CONCATENATE($M$4,"(KÖT)","09161",L255),Adat!$E:$E)*-1</f>
        <v>0</v>
      </c>
      <c r="H276" s="72">
        <f>SUMIF(Adat!$AH:$AH,CONCATENATE($M$4,"(ÖNV)","09161",L255),Adat!$E:$E)*-1</f>
        <v>0</v>
      </c>
      <c r="I276" s="72">
        <f>SUMIF(Adat!$AH:$AH,CONCATENATE($M$4,"(ÁIG)","09161",L255),Adat!$E:$E)*-1</f>
        <v>0</v>
      </c>
    </row>
    <row r="277" spans="2:9" x14ac:dyDescent="0.25">
      <c r="B277" s="160">
        <v>20</v>
      </c>
      <c r="C277" s="79" t="s">
        <v>27</v>
      </c>
      <c r="D277" s="79" t="s">
        <v>328</v>
      </c>
      <c r="E277" s="71">
        <f>SUMIF(Adat!$AI:$AI,CONCATENATE(61,$M$4,"093",L255),Adat!$E:$E)*-1</f>
        <v>0</v>
      </c>
      <c r="F277" s="71">
        <f>SUMIF(Adat!$AI:$AI,CONCATENATE(60,$M$4,"093",L255),Adat!$E:$E)*-1+E277</f>
        <v>0</v>
      </c>
      <c r="G277" s="71">
        <f>SUMIF(Adat!$AJ:$AJ,CONCATENATE($M$4,"093","(KÖT)",L255),Adat!$E:$E)*-1</f>
        <v>0</v>
      </c>
      <c r="H277" s="71">
        <f>SUMIF(Adat!$AJ:$AJ,CONCATENATE($M$4,"093","(ÖNV)",L255),Adat!$E:$E)*-1</f>
        <v>0</v>
      </c>
      <c r="I277" s="71">
        <f>SUMIF(Adat!$AJ:$AJ,CONCATENATE($M$4,"093","(ÁIG)",L255),Adat!$E:$E)*-1</f>
        <v>0</v>
      </c>
    </row>
    <row r="278" spans="2:9" x14ac:dyDescent="0.25">
      <c r="B278" s="160">
        <v>21</v>
      </c>
      <c r="C278" s="79" t="s">
        <v>24</v>
      </c>
      <c r="D278" s="79" t="s">
        <v>449</v>
      </c>
      <c r="E278" s="121">
        <f>SUM(E279:E281)</f>
        <v>0</v>
      </c>
      <c r="F278" s="121">
        <f t="shared" ref="F278:I278" si="17">SUM(F279:F281)</f>
        <v>0</v>
      </c>
      <c r="G278" s="121">
        <f t="shared" si="17"/>
        <v>0</v>
      </c>
      <c r="H278" s="121">
        <f t="shared" si="17"/>
        <v>0</v>
      </c>
      <c r="I278" s="121">
        <f t="shared" si="17"/>
        <v>0</v>
      </c>
    </row>
    <row r="279" spans="2:9" x14ac:dyDescent="0.2">
      <c r="B279" s="160">
        <v>22</v>
      </c>
      <c r="C279" s="305" t="s">
        <v>1339</v>
      </c>
      <c r="D279" s="82" t="s">
        <v>1340</v>
      </c>
      <c r="E279" s="72">
        <f>SUMIF(Adat!$AG:$AG,CONCATENATE(61,$M$4,"09211",L255),Adat!$E:$E)*-1</f>
        <v>0</v>
      </c>
      <c r="F279" s="72">
        <f>SUMIF(Adat!$AG:$AG,CONCATENATE(60,$M$4,"09211",L255),Adat!$E:$E)*-1+E279</f>
        <v>0</v>
      </c>
      <c r="G279" s="72">
        <f>SUMIF(Adat!$AH:$AH,CONCATENATE($M$4,"(KÖT)","09211",L255),Adat!$E:$E)*-1</f>
        <v>0</v>
      </c>
      <c r="H279" s="72">
        <f>SUMIF(Adat!$AH:$AH,CONCATENATE($M$4,"(ÖNV)","09211",L255),Adat!$E:$E)*-1</f>
        <v>0</v>
      </c>
      <c r="I279" s="72">
        <f>SUMIF(Adat!$AH:$AH,CONCATENATE($M$4,"(ÁIG)","09211",L255),Adat!$E:$E)*-1</f>
        <v>0</v>
      </c>
    </row>
    <row r="280" spans="2:9" x14ac:dyDescent="0.2">
      <c r="B280" s="160">
        <v>23</v>
      </c>
      <c r="C280" s="305" t="s">
        <v>1345</v>
      </c>
      <c r="D280" s="82" t="s">
        <v>1346</v>
      </c>
      <c r="E280" s="72">
        <f>SUMIF(Adat!$AG:$AG,CONCATENATE(61,$M$4,"09241",L255),Adat!$E:$E)*-1</f>
        <v>0</v>
      </c>
      <c r="F280" s="72">
        <f>SUMIF(Adat!$AG:$AG,CONCATENATE(60,$M$4,"09241",L255),Adat!$E:$E)*-1+E280</f>
        <v>0</v>
      </c>
      <c r="G280" s="72">
        <f>SUMIF(Adat!$AH:$AH,CONCATENATE($M$4,"(KÖT)","09241",L255),Adat!$E:$E)*-1</f>
        <v>0</v>
      </c>
      <c r="H280" s="72">
        <f>SUMIF(Adat!$AH:$AH,CONCATENATE($M$4,"(ÖNV)","09241",L255),Adat!$E:$E)*-1</f>
        <v>0</v>
      </c>
      <c r="I280" s="72">
        <f>SUMIF(Adat!$AH:$AH,CONCATENATE($M$4,"(ÁIG)","09241",L255),Adat!$E:$E)*-1</f>
        <v>0</v>
      </c>
    </row>
    <row r="281" spans="2:9" x14ac:dyDescent="0.2">
      <c r="B281" s="160">
        <v>24</v>
      </c>
      <c r="C281" s="305" t="s">
        <v>1255</v>
      </c>
      <c r="D281" s="82" t="s">
        <v>1347</v>
      </c>
      <c r="E281" s="72">
        <f>SUMIF(Adat!$AG:$AG,CONCATENATE(61,$M$4,"09251",L255),Adat!$E:$E)*-1</f>
        <v>0</v>
      </c>
      <c r="F281" s="72">
        <f>SUMIF(Adat!$AG:$AG,CONCATENATE(60,$M$4,"09251",L255),Adat!$E:$E)*-1+E281</f>
        <v>0</v>
      </c>
      <c r="G281" s="72">
        <f>SUMIF(Adat!$AH:$AH,CONCATENATE($M$4,"(KÖT)","09251",L255),Adat!$E:$E)*-1</f>
        <v>0</v>
      </c>
      <c r="H281" s="72">
        <f>SUMIF(Adat!$AH:$AH,CONCATENATE($M$4,"(ÖNV)","09251",L255),Adat!$E:$E)*-1</f>
        <v>0</v>
      </c>
      <c r="I281" s="72">
        <f>SUMIF(Adat!$AH:$AH,CONCATENATE($M$4,"(ÁIG)","09251",L255),Adat!$E:$E)*-1</f>
        <v>0</v>
      </c>
    </row>
    <row r="282" spans="2:9" x14ac:dyDescent="0.25">
      <c r="B282" s="160">
        <v>25</v>
      </c>
      <c r="C282" s="79" t="s">
        <v>33</v>
      </c>
      <c r="D282" s="79" t="s">
        <v>330</v>
      </c>
      <c r="E282" s="121">
        <f>SUM(E283:E285)</f>
        <v>0</v>
      </c>
      <c r="F282" s="121">
        <f t="shared" ref="F282:I282" si="18">SUM(F283:F285)</f>
        <v>0</v>
      </c>
      <c r="G282" s="121">
        <f t="shared" si="18"/>
        <v>0</v>
      </c>
      <c r="H282" s="121">
        <f t="shared" si="18"/>
        <v>0</v>
      </c>
      <c r="I282" s="121">
        <f t="shared" si="18"/>
        <v>0</v>
      </c>
    </row>
    <row r="283" spans="2:9" x14ac:dyDescent="0.2">
      <c r="B283" s="160">
        <v>26</v>
      </c>
      <c r="C283" s="305" t="s">
        <v>1373</v>
      </c>
      <c r="D283" s="82" t="s">
        <v>1374</v>
      </c>
      <c r="E283" s="72">
        <f>SUMIF(Adat!$AG:$AG,CONCATENATE(61,$M$4,"09511",L255),Adat!$E:$E)*-1</f>
        <v>0</v>
      </c>
      <c r="F283" s="72">
        <f>SUMIF(Adat!$AG:$AG,CONCATENATE(60,$M$4,"09511",L255),Adat!$E:$E)*-1+E283</f>
        <v>0</v>
      </c>
      <c r="G283" s="72">
        <f>SUMIF(Adat!$AH:$AH,CONCATENATE($M$4,"(KÖT)","09511",L255),Adat!$E:$E)*-1</f>
        <v>0</v>
      </c>
      <c r="H283" s="72">
        <f>SUMIF(Adat!$AH:$AH,CONCATENATE($M$4,"(ÖNV)","09511",L255),Adat!$E:$E)*-1</f>
        <v>0</v>
      </c>
      <c r="I283" s="72">
        <f>SUMIF(Adat!$AH:$AH,CONCATENATE($M$4,"(ÁIG)","09511",L255),Adat!$E:$E)*-1</f>
        <v>0</v>
      </c>
    </row>
    <row r="284" spans="2:9" x14ac:dyDescent="0.2">
      <c r="B284" s="160">
        <v>27</v>
      </c>
      <c r="C284" s="305" t="s">
        <v>1294</v>
      </c>
      <c r="D284" s="82" t="s">
        <v>1375</v>
      </c>
      <c r="E284" s="72">
        <f>SUMIF(Adat!$AG:$AG,CONCATENATE(61,$M$4,"09521",L255),Adat!$E:$E)*-1</f>
        <v>0</v>
      </c>
      <c r="F284" s="72">
        <f>SUMIF(Adat!$AG:$AG,CONCATENATE(60,$M$4,"09521",L255),Adat!$E:$E)*-1+E284</f>
        <v>0</v>
      </c>
      <c r="G284" s="72">
        <f>SUMIF(Adat!$AH:$AH,CONCATENATE($M$4,"(KÖT)","09521",L255),Adat!$E:$E)*-1</f>
        <v>0</v>
      </c>
      <c r="H284" s="72">
        <f>SUMIF(Adat!$AH:$AH,CONCATENATE($M$4,"(ÖNV)","09521",L255),Adat!$E:$E)*-1</f>
        <v>0</v>
      </c>
      <c r="I284" s="72">
        <f>SUMIF(Adat!$AH:$AH,CONCATENATE($M$4,"(ÁIG)","09521",L255),Adat!$E:$E)*-1</f>
        <v>0</v>
      </c>
    </row>
    <row r="285" spans="2:9" x14ac:dyDescent="0.2">
      <c r="B285" s="160">
        <v>28</v>
      </c>
      <c r="C285" s="305" t="s">
        <v>1376</v>
      </c>
      <c r="D285" s="82" t="s">
        <v>1377</v>
      </c>
      <c r="E285" s="72">
        <f>SUMIF(Adat!$AG:$AG,CONCATENATE(61,$M$4,"09531",L255),Adat!$E:$E)*-1</f>
        <v>0</v>
      </c>
      <c r="F285" s="72">
        <f>SUMIF(Adat!$AG:$AG,CONCATENATE(60,$M$4,"09531",L255),Adat!$E:$E)*-1+E285</f>
        <v>0</v>
      </c>
      <c r="G285" s="72">
        <f>SUMIF(Adat!$AH:$AH,CONCATENATE($M$4,"(KÖT)","09531",L255),Adat!$E:$E)*-1</f>
        <v>0</v>
      </c>
      <c r="H285" s="72">
        <f>SUMIF(Adat!$AH:$AH,CONCATENATE($M$4,"(ÖNV)","09531",L255),Adat!$E:$E)*-1</f>
        <v>0</v>
      </c>
      <c r="I285" s="72">
        <f>SUMIF(Adat!$AH:$AH,CONCATENATE($M$4,"(ÁIG)","09531",L255),Adat!$E:$E)*-1</f>
        <v>0</v>
      </c>
    </row>
    <row r="286" spans="2:9" x14ac:dyDescent="0.25">
      <c r="B286" s="160">
        <v>29</v>
      </c>
      <c r="C286" s="79" t="s">
        <v>36</v>
      </c>
      <c r="D286" s="79" t="s">
        <v>331</v>
      </c>
      <c r="E286" s="71">
        <f>SUMIF(Adat!$AI:$AI,CONCATENATE(61,$M$4,"096",L255),Adat!$E:$E)*-1</f>
        <v>0</v>
      </c>
      <c r="F286" s="71">
        <f>SUMIF(Adat!$AI:$AI,CONCATENATE(60,$M$4,"096",L255),Adat!$E:$E)*-1+E286</f>
        <v>0</v>
      </c>
      <c r="G286" s="71">
        <f>SUMIF(Adat!$AJ:$AJ,CONCATENATE($M$4,"096","(KÖT)",L255),Adat!$E:$E)*-1</f>
        <v>0</v>
      </c>
      <c r="H286" s="71">
        <f>SUMIF(Adat!$AJ:$AJ,CONCATENATE($M$4,"096","(ÖNV)",L255),Adat!$E:$E)*-1</f>
        <v>0</v>
      </c>
      <c r="I286" s="71">
        <f>SUMIF(Adat!$AJ:$AJ,CONCATENATE($M$4,"096","(ÁIG)",L255),Adat!$E:$E)*-1</f>
        <v>0</v>
      </c>
    </row>
    <row r="287" spans="2:9" x14ac:dyDescent="0.25">
      <c r="B287" s="160">
        <v>30</v>
      </c>
      <c r="C287" s="79" t="s">
        <v>38</v>
      </c>
      <c r="D287" s="85" t="s">
        <v>332</v>
      </c>
      <c r="E287" s="71">
        <f>SUMIF(Adat!$AI:$AI,CONCATENATE(61,$M$4,"097",L255),Adat!$E:$E)*-1</f>
        <v>0</v>
      </c>
      <c r="F287" s="71">
        <f>SUMIF(Adat!$AI:$AI,CONCATENATE(60,$M$4,"097",L255),Adat!$E:$E)*-1+E287</f>
        <v>0</v>
      </c>
      <c r="G287" s="71">
        <f>SUMIF(Adat!$AJ:$AJ,CONCATENATE($M$4,"097","(KÖT)",L255),Adat!$E:$E)*-1</f>
        <v>0</v>
      </c>
      <c r="H287" s="71">
        <f>SUMIF(Adat!$AJ:$AJ,CONCATENATE($M$4,"097","(ÖNV)",L255),Adat!$E:$E)*-1</f>
        <v>0</v>
      </c>
      <c r="I287" s="71">
        <f>SUMIF(Adat!$AJ:$AJ,CONCATENATE($M$4,"097","(ÁIG)",L255),Adat!$E:$E)*-1</f>
        <v>0</v>
      </c>
    </row>
    <row r="288" spans="2:9" x14ac:dyDescent="0.25">
      <c r="B288" s="160">
        <v>31</v>
      </c>
      <c r="C288" s="154" t="s">
        <v>352</v>
      </c>
      <c r="D288" s="86" t="s">
        <v>1500</v>
      </c>
      <c r="E288" s="121">
        <f>E259+E273+E277+E278+E282+E286+E287</f>
        <v>0</v>
      </c>
      <c r="F288" s="121">
        <f>F259+F273+F277+F278+F282+F286+F287</f>
        <v>0</v>
      </c>
      <c r="G288" s="121">
        <f>G259+G273+G277+G278+G282+G286+G287</f>
        <v>0</v>
      </c>
      <c r="H288" s="121">
        <f>H259+H273+H277+H278+H282+H286+H287</f>
        <v>0</v>
      </c>
      <c r="I288" s="121">
        <f>I259+I273+I277+I278+I282+I286+I287</f>
        <v>0</v>
      </c>
    </row>
    <row r="289" spans="2:12" x14ac:dyDescent="0.25">
      <c r="B289" s="160">
        <v>32</v>
      </c>
      <c r="C289" s="154" t="s">
        <v>358</v>
      </c>
      <c r="D289" s="86" t="s">
        <v>333</v>
      </c>
      <c r="E289" s="121">
        <f>SUM(E290:E292)</f>
        <v>0</v>
      </c>
      <c r="F289" s="121">
        <f t="shared" ref="F289:I289" si="19">SUM(F290:F292)</f>
        <v>0</v>
      </c>
      <c r="G289" s="121">
        <f t="shared" si="19"/>
        <v>0</v>
      </c>
      <c r="H289" s="121">
        <f t="shared" si="19"/>
        <v>0</v>
      </c>
      <c r="I289" s="121">
        <f t="shared" si="19"/>
        <v>0</v>
      </c>
    </row>
    <row r="290" spans="2:12" x14ac:dyDescent="0.2">
      <c r="B290" s="160">
        <v>33</v>
      </c>
      <c r="C290" s="305" t="s">
        <v>1274</v>
      </c>
      <c r="D290" s="82" t="s">
        <v>1419</v>
      </c>
      <c r="E290" s="72">
        <f>SUMIF(Adat!$AG:$AG,CONCATENATE(61,$M$4,"0981311",L255),Adat!$E:$E)*-1</f>
        <v>0</v>
      </c>
      <c r="F290" s="72">
        <f>SUMIF(Adat!$AG:$AG,CONCATENATE(60,$M$4,"0981311",L255),Adat!$E:$E)*-1+E290</f>
        <v>0</v>
      </c>
      <c r="G290" s="72">
        <f>SUMIF(Adat!$AH:$AH,CONCATENATE($M$4,"(KÖT)","0981311",L255),Adat!$E:$E)*-1</f>
        <v>0</v>
      </c>
      <c r="H290" s="72">
        <f>SUMIF(Adat!$AH:$AH,CONCATENATE($M$4,"(ÖNV)","0981311",L255),Adat!$E:$E)*-1</f>
        <v>0</v>
      </c>
      <c r="I290" s="72">
        <f>SUMIF(Adat!$AH:$AH,CONCATENATE($M$4,"(ÁIG)","0981311",L255),Adat!$E:$E)*-1</f>
        <v>0</v>
      </c>
    </row>
    <row r="291" spans="2:12" x14ac:dyDescent="0.25">
      <c r="B291" s="160">
        <v>34</v>
      </c>
      <c r="C291" s="305" t="s">
        <v>1420</v>
      </c>
      <c r="D291" s="84" t="s">
        <v>1421</v>
      </c>
      <c r="E291" s="72">
        <f>SUMIF(Adat!$AG:$AG,CONCATENATE(61,$M$4,"0981321",L255),Adat!$E:$E)*-1</f>
        <v>0</v>
      </c>
      <c r="F291" s="72">
        <f>SUMIF(Adat!$AG:$AG,CONCATENATE(60,$M$4,"0981321",L255),Adat!$E:$E)*-1+E291</f>
        <v>0</v>
      </c>
      <c r="G291" s="72">
        <f>SUMIF(Adat!$AH:$AH,CONCATENATE($M$4,"(KÖT)","0981321",L255),Adat!$E:$E)*-1</f>
        <v>0</v>
      </c>
      <c r="H291" s="72">
        <f>SUMIF(Adat!$AH:$AH,CONCATENATE($M$4,"(ÖNV)","0981321",L255),Adat!$E:$E)*-1</f>
        <v>0</v>
      </c>
      <c r="I291" s="72">
        <f>SUMIF(Adat!$AH:$AH,CONCATENATE($M$4,"(ÁIG)","0981321",L255),Adat!$E:$E)*-1</f>
        <v>0</v>
      </c>
    </row>
    <row r="292" spans="2:12" x14ac:dyDescent="0.25">
      <c r="B292" s="160">
        <v>35</v>
      </c>
      <c r="C292" s="319" t="s">
        <v>1275</v>
      </c>
      <c r="D292" s="84" t="s">
        <v>1501</v>
      </c>
      <c r="E292" s="72">
        <f>SUMIF(Adat!$AG:$AG,CONCATENATE(61,$M$4,"098161",L255),Adat!$E:$E)*-1</f>
        <v>0</v>
      </c>
      <c r="F292" s="72">
        <f>SUMIF(Adat!$AG:$AG,CONCATENATE(60,$M$4,"098161",L255),Adat!$E:$E)*-1+E292</f>
        <v>0</v>
      </c>
      <c r="G292" s="72">
        <f>SUMIF(Adat!$AH:$AH,CONCATENATE($M$4,"(KÖT)","098161",L255),Adat!$E:$E)*-1</f>
        <v>0</v>
      </c>
      <c r="H292" s="72">
        <f>SUMIF(Adat!$AH:$AH,CONCATENATE($M$4,"(ÖNV)","098161",L255),Adat!$E:$E)*-1</f>
        <v>0</v>
      </c>
      <c r="I292" s="72">
        <f>SUMIF(Adat!$AH:$AH,CONCATENATE($M$4,"(ÁIG)","098161",L255),Adat!$E:$E)*-1</f>
        <v>0</v>
      </c>
    </row>
    <row r="293" spans="2:12" x14ac:dyDescent="0.25">
      <c r="B293" s="160">
        <v>36</v>
      </c>
      <c r="C293" s="154" t="s">
        <v>364</v>
      </c>
      <c r="D293" s="159" t="s">
        <v>1502</v>
      </c>
      <c r="E293" s="121">
        <f>+E288+E289</f>
        <v>0</v>
      </c>
      <c r="F293" s="121">
        <f>+F288+F289</f>
        <v>0</v>
      </c>
      <c r="G293" s="121">
        <f>+G288+G289</f>
        <v>0</v>
      </c>
      <c r="H293" s="121">
        <f>+H288+H289</f>
        <v>0</v>
      </c>
      <c r="I293" s="121">
        <f>+I288+I289</f>
        <v>0</v>
      </c>
    </row>
    <row r="294" spans="2:12" ht="15.75" x14ac:dyDescent="0.25">
      <c r="B294" s="38"/>
      <c r="C294" s="156"/>
      <c r="D294" s="38"/>
      <c r="E294" s="140"/>
      <c r="F294" s="140"/>
      <c r="G294" s="140"/>
      <c r="H294" s="140"/>
      <c r="I294" s="140"/>
    </row>
    <row r="295" spans="2:12" s="10" customFormat="1" ht="15.75" customHeight="1" x14ac:dyDescent="0.25">
      <c r="B295" s="201" t="str">
        <f>CONCATENATE("10. Kiadási jogcímek"," - ",L295," részletező")</f>
        <v>10. Kiadási jogcímek -  részletező</v>
      </c>
      <c r="C295" s="101"/>
      <c r="D295" s="101"/>
      <c r="E295" s="101"/>
      <c r="F295" s="101"/>
      <c r="G295" s="198"/>
      <c r="H295" s="198"/>
      <c r="I295" s="198"/>
      <c r="L295" s="384"/>
    </row>
    <row r="296" spans="2:12" ht="15.75" x14ac:dyDescent="0.25">
      <c r="B296" s="38"/>
      <c r="C296" s="156"/>
      <c r="D296" s="38"/>
      <c r="E296" s="140"/>
      <c r="F296" s="140"/>
      <c r="G296" s="140"/>
      <c r="H296" s="140"/>
      <c r="I296" s="140"/>
    </row>
    <row r="297" spans="2:12" x14ac:dyDescent="0.25">
      <c r="B297" s="77"/>
      <c r="C297" s="77" t="s">
        <v>350</v>
      </c>
      <c r="D297" s="77" t="s">
        <v>351</v>
      </c>
      <c r="E297" s="77" t="s">
        <v>470</v>
      </c>
      <c r="F297" s="77" t="s">
        <v>471</v>
      </c>
      <c r="G297" s="77" t="s">
        <v>44</v>
      </c>
      <c r="H297" s="77" t="s">
        <v>42</v>
      </c>
      <c r="I297" s="77" t="s">
        <v>511</v>
      </c>
    </row>
    <row r="298" spans="2:12" ht="38.25" x14ac:dyDescent="0.25">
      <c r="B298" s="160">
        <v>1</v>
      </c>
      <c r="C298" s="154" t="s">
        <v>593</v>
      </c>
      <c r="D298" s="154" t="s">
        <v>488</v>
      </c>
      <c r="E298" s="163" t="str">
        <f>CONCATENATE(PAR!$H$3," évi
eredeti 
előirányzat")</f>
        <v>2025. évi
eredeti 
előirányzat</v>
      </c>
      <c r="F298" s="163" t="str">
        <f>CONCATENATE(PAR!$H$3," évi
módosított 
előirányzat")</f>
        <v>2025. évi
módosított 
előirányzat</v>
      </c>
      <c r="G298" s="78" t="s">
        <v>666</v>
      </c>
      <c r="H298" s="78" t="s">
        <v>667</v>
      </c>
      <c r="I298" s="78" t="s">
        <v>668</v>
      </c>
    </row>
    <row r="299" spans="2:12" x14ac:dyDescent="0.25">
      <c r="B299" s="160">
        <v>2</v>
      </c>
      <c r="C299" s="78" t="s">
        <v>352</v>
      </c>
      <c r="D299" s="92" t="s">
        <v>1444</v>
      </c>
      <c r="E299" s="121">
        <f>SUM(E300:E304)</f>
        <v>0</v>
      </c>
      <c r="F299" s="121">
        <f>SUM(F300:F304)</f>
        <v>0</v>
      </c>
      <c r="G299" s="121">
        <f>SUM(G300:G304)</f>
        <v>0</v>
      </c>
      <c r="H299" s="121">
        <f>SUM(H300:H304)</f>
        <v>0</v>
      </c>
      <c r="I299" s="121">
        <f>SUM(I300:I304)</f>
        <v>0</v>
      </c>
    </row>
    <row r="300" spans="2:12" x14ac:dyDescent="0.25">
      <c r="B300" s="160">
        <v>3</v>
      </c>
      <c r="C300" s="305" t="s">
        <v>315</v>
      </c>
      <c r="D300" s="93" t="s">
        <v>342</v>
      </c>
      <c r="E300" s="72">
        <f>SUMIF(Adat!$AI:$AI,CONCATENATE(61,$M$4,"051",L295),Adat!$E:$E)</f>
        <v>0</v>
      </c>
      <c r="F300" s="72">
        <f>SUMIF(Adat!$AI:$AI,CONCATENATE(60,$M$4,"051",L295),Adat!$E:$E)+E300</f>
        <v>0</v>
      </c>
      <c r="G300" s="72">
        <f>SUMIF(Adat!$AJ:$AJ,CONCATENATE($M$4,"051","(KÖT)",L295),Adat!$E:$E)</f>
        <v>0</v>
      </c>
      <c r="H300" s="72">
        <f>SUMIF(Adat!$AJ:$AJ,CONCATENATE($M$4,"051","(ÖNV)",L295),Adat!$E:$E)</f>
        <v>0</v>
      </c>
      <c r="I300" s="72">
        <f>SUMIF(Adat!$AJ:$AJ,CONCATENATE($M$4,"051","(ÁIG)",L295),Adat!$E:$E)</f>
        <v>0</v>
      </c>
    </row>
    <row r="301" spans="2:12" x14ac:dyDescent="0.25">
      <c r="B301" s="160">
        <v>4</v>
      </c>
      <c r="C301" s="305" t="s">
        <v>317</v>
      </c>
      <c r="D301" s="93" t="s">
        <v>395</v>
      </c>
      <c r="E301" s="72">
        <f>SUMIF(Adat!$AI:$AI,CONCATENATE(61,$M$4,"052",L295),Adat!$E:$E)</f>
        <v>0</v>
      </c>
      <c r="F301" s="72">
        <f>SUMIF(Adat!$AI:$AI,CONCATENATE(60,$M$4,"052",L295),Adat!$E:$E)+E301</f>
        <v>0</v>
      </c>
      <c r="G301" s="72">
        <f>SUMIF(Adat!$AJ:$AJ,CONCATENATE($M$4,"052","(KÖT)",L295),Adat!$E:$E)</f>
        <v>0</v>
      </c>
      <c r="H301" s="72">
        <f>SUMIF(Adat!$AJ:$AJ,CONCATENATE($M$4,"052","(ÖNV)",L295),Adat!$E:$E)</f>
        <v>0</v>
      </c>
      <c r="I301" s="72">
        <f>SUMIF(Adat!$AJ:$AJ,CONCATENATE($M$4,"052","(ÁIG)",L295),Adat!$E:$E)</f>
        <v>0</v>
      </c>
    </row>
    <row r="302" spans="2:12" x14ac:dyDescent="0.25">
      <c r="B302" s="160">
        <v>5</v>
      </c>
      <c r="C302" s="305" t="s">
        <v>4</v>
      </c>
      <c r="D302" s="93" t="s">
        <v>344</v>
      </c>
      <c r="E302" s="72">
        <f>SUMIF(Adat!$AI:$AI,CONCATENATE(61,$M$4,"053",L295),Adat!$E:$E)</f>
        <v>0</v>
      </c>
      <c r="F302" s="72">
        <f>SUMIF(Adat!$AI:$AI,CONCATENATE(60,$M$4,"053",L295),Adat!$E:$E)+E302</f>
        <v>0</v>
      </c>
      <c r="G302" s="72">
        <f>SUMIF(Adat!$AJ:$AJ,CONCATENATE($M$4,"053","(KÖT)",L295),Adat!$E:$E)</f>
        <v>0</v>
      </c>
      <c r="H302" s="72">
        <f>SUMIF(Adat!$AJ:$AJ,CONCATENATE($M$4,"053","(ÖNV)",L295),Adat!$E:$E)</f>
        <v>0</v>
      </c>
      <c r="I302" s="72">
        <f>SUMIF(Adat!$AJ:$AJ,CONCATENATE($M$4,"053","(ÁIG)",L295),Adat!$E:$E)</f>
        <v>0</v>
      </c>
    </row>
    <row r="303" spans="2:12" x14ac:dyDescent="0.25">
      <c r="B303" s="160">
        <v>6</v>
      </c>
      <c r="C303" s="305" t="s">
        <v>6</v>
      </c>
      <c r="D303" s="93" t="s">
        <v>345</v>
      </c>
      <c r="E303" s="72">
        <f>SUMIF(Adat!$AI:$AI,CONCATENATE(61,$M$4,"054",L295),Adat!$E:$E)</f>
        <v>0</v>
      </c>
      <c r="F303" s="72">
        <f>SUMIF(Adat!$AI:$AI,CONCATENATE(60,$M$4,"054",L295),Adat!$E:$E)+E303</f>
        <v>0</v>
      </c>
      <c r="G303" s="72">
        <f>SUMIF(Adat!$AJ:$AJ,CONCATENATE($M$4,"054","(KÖT)",L295),Adat!$E:$E)</f>
        <v>0</v>
      </c>
      <c r="H303" s="72">
        <f>SUMIF(Adat!$AJ:$AJ,CONCATENATE($M$4,"054","(ÖNV)",L295),Adat!$E:$E)</f>
        <v>0</v>
      </c>
      <c r="I303" s="72">
        <f>SUMIF(Adat!$AJ:$AJ,CONCATENATE($M$4,"054","(ÁIG)",L295),Adat!$E:$E)</f>
        <v>0</v>
      </c>
    </row>
    <row r="304" spans="2:12" x14ac:dyDescent="0.25">
      <c r="B304" s="160">
        <v>7</v>
      </c>
      <c r="C304" s="305" t="s">
        <v>8</v>
      </c>
      <c r="D304" s="93" t="s">
        <v>321</v>
      </c>
      <c r="E304" s="72">
        <f>SUMIF(Adat!$AI:$AI,CONCATENATE(61,$M$4,"055",L295),Adat!$E:$E)</f>
        <v>0</v>
      </c>
      <c r="F304" s="72">
        <f>SUMIF(Adat!$AI:$AI,CONCATENATE(60,$M$4,"055",L295),Adat!$E:$E)+E304</f>
        <v>0</v>
      </c>
      <c r="G304" s="72">
        <f>SUMIF(Adat!$AJ:$AJ,CONCATENATE($M$4,"055","(KÖT)",L295),Adat!$E:$E)</f>
        <v>0</v>
      </c>
      <c r="H304" s="72">
        <f>SUMIF(Adat!$AJ:$AJ,CONCATENATE($M$4,"055","(ÖNV)",L295),Adat!$E:$E)</f>
        <v>0</v>
      </c>
      <c r="I304" s="72">
        <f>SUMIF(Adat!$AJ:$AJ,CONCATENATE($M$4,"055","(ÁIG)",L295),Adat!$E:$E)</f>
        <v>0</v>
      </c>
    </row>
    <row r="305" spans="2:12" x14ac:dyDescent="0.25">
      <c r="B305" s="160">
        <v>8</v>
      </c>
      <c r="C305" s="78" t="s">
        <v>358</v>
      </c>
      <c r="D305" s="92" t="s">
        <v>1447</v>
      </c>
      <c r="E305" s="121">
        <f>E306+E308+E310</f>
        <v>0</v>
      </c>
      <c r="F305" s="121">
        <f>F306+F308+F310</f>
        <v>0</v>
      </c>
      <c r="G305" s="121">
        <f>G306+G308+G310</f>
        <v>0</v>
      </c>
      <c r="H305" s="121">
        <f>H306+H308+H310</f>
        <v>0</v>
      </c>
      <c r="I305" s="121">
        <f>I306+I308+I310</f>
        <v>0</v>
      </c>
    </row>
    <row r="306" spans="2:12" x14ac:dyDescent="0.25">
      <c r="B306" s="160">
        <v>9</v>
      </c>
      <c r="C306" s="305" t="s">
        <v>10</v>
      </c>
      <c r="D306" s="93" t="s">
        <v>322</v>
      </c>
      <c r="E306" s="72">
        <f>SUMIF(Adat!$AI:$AI,CONCATENATE(61,$M$4,"056",L295),Adat!$E:$E)</f>
        <v>0</v>
      </c>
      <c r="F306" s="72">
        <f>SUMIF(Adat!$AI:$AI,CONCATENATE(60,$M$4,"056",L295),Adat!$E:$E)+E306</f>
        <v>0</v>
      </c>
      <c r="G306" s="72">
        <f>SUMIF(Adat!$AJ:$AJ,CONCATENATE($M$4,"056","(KÖT)",L295),Adat!$E:$E)</f>
        <v>0</v>
      </c>
      <c r="H306" s="72">
        <f>SUMIF(Adat!$AJ:$AJ,CONCATENATE($M$4,"056","(ÖNV)",L295),Adat!$E:$E)</f>
        <v>0</v>
      </c>
      <c r="I306" s="72">
        <f>SUMIF(Adat!$AJ:$AJ,CONCATENATE($M$4,"056","(ÁIG)",L295),Adat!$E:$E)</f>
        <v>0</v>
      </c>
    </row>
    <row r="307" spans="2:12" x14ac:dyDescent="0.25">
      <c r="B307" s="160">
        <v>10</v>
      </c>
      <c r="C307" s="305" t="s">
        <v>10</v>
      </c>
      <c r="D307" s="93" t="s">
        <v>1448</v>
      </c>
      <c r="E307" s="72">
        <v>0</v>
      </c>
      <c r="F307" s="72">
        <f>SUM(G307:I307)</f>
        <v>0</v>
      </c>
      <c r="G307" s="72">
        <v>0</v>
      </c>
      <c r="H307" s="72">
        <v>0</v>
      </c>
      <c r="I307" s="72">
        <v>0</v>
      </c>
    </row>
    <row r="308" spans="2:12" x14ac:dyDescent="0.25">
      <c r="B308" s="160">
        <v>11</v>
      </c>
      <c r="C308" s="305" t="s">
        <v>12</v>
      </c>
      <c r="D308" s="93" t="s">
        <v>323</v>
      </c>
      <c r="E308" s="72">
        <f>SUMIF(Adat!$AI:$AI,CONCATENATE(61,$M$4,"057",L295),Adat!$E:$E)</f>
        <v>0</v>
      </c>
      <c r="F308" s="72">
        <f>SUMIF(Adat!$AI:$AI,CONCATENATE(60,$M$4,"057",L295),Adat!$E:$E)+E308</f>
        <v>0</v>
      </c>
      <c r="G308" s="72">
        <f>SUMIF(Adat!$AJ:$AJ,CONCATENATE($M$4,"057","(KÖT)",L295),Adat!$E:$E)</f>
        <v>0</v>
      </c>
      <c r="H308" s="72">
        <f>SUMIF(Adat!$AJ:$AJ,CONCATENATE($M$4,"057","(ÖNV)",L295),Adat!$E:$E)</f>
        <v>0</v>
      </c>
      <c r="I308" s="72">
        <f>SUMIF(Adat!$AJ:$AJ,CONCATENATE($M$4,"057","(ÁIG)",L295),Adat!$E:$E)</f>
        <v>0</v>
      </c>
    </row>
    <row r="309" spans="2:12" x14ac:dyDescent="0.25">
      <c r="B309" s="160">
        <v>12</v>
      </c>
      <c r="C309" s="305" t="s">
        <v>12</v>
      </c>
      <c r="D309" s="93" t="s">
        <v>1449</v>
      </c>
      <c r="E309" s="72">
        <v>0</v>
      </c>
      <c r="F309" s="72">
        <f>SUM(G309:I309)</f>
        <v>0</v>
      </c>
      <c r="G309" s="72">
        <v>0</v>
      </c>
      <c r="H309" s="72">
        <v>0</v>
      </c>
      <c r="I309" s="72">
        <v>0</v>
      </c>
    </row>
    <row r="310" spans="2:12" x14ac:dyDescent="0.25">
      <c r="B310" s="160">
        <v>13</v>
      </c>
      <c r="C310" s="305" t="s">
        <v>15</v>
      </c>
      <c r="D310" s="84" t="s">
        <v>324</v>
      </c>
      <c r="E310" s="72">
        <f>SUMIF(Adat!$AI:$AI,CONCATENATE(61,$M$4,"058",L295),Adat!$E:$E)</f>
        <v>0</v>
      </c>
      <c r="F310" s="72">
        <f>SUMIF(Adat!$AI:$AI,CONCATENATE(60,$M$4,"058",L295),Adat!$E:$E)+E310</f>
        <v>0</v>
      </c>
      <c r="G310" s="72">
        <f>SUMIF(Adat!$AJ:$AJ,CONCATENATE($M$4,"058","(KÖT)",L295),Adat!$E:$E)</f>
        <v>0</v>
      </c>
      <c r="H310" s="72">
        <f>SUMIF(Adat!$AJ:$AJ,CONCATENATE($M$4,"058","(ÖNV)",L295),Adat!$E:$E)</f>
        <v>0</v>
      </c>
      <c r="I310" s="72">
        <f>SUMIF(Adat!$AJ:$AJ,CONCATENATE($M$4,"058","(ÁIG)",L295),Adat!$E:$E)</f>
        <v>0</v>
      </c>
    </row>
    <row r="311" spans="2:12" x14ac:dyDescent="0.25">
      <c r="B311" s="160">
        <v>14</v>
      </c>
      <c r="C311" s="154" t="s">
        <v>364</v>
      </c>
      <c r="D311" s="86" t="s">
        <v>325</v>
      </c>
      <c r="E311" s="71">
        <f>SUMIF(Adat!$AI:$AI,CONCATENATE(61,$M$4,"059",L295),Adat!$E:$E)</f>
        <v>0</v>
      </c>
      <c r="F311" s="71">
        <f>SUMIF(Adat!$AI:$AI,CONCATENATE(60,$M$4,"059",L295),Adat!$E:$E)+E311</f>
        <v>0</v>
      </c>
      <c r="G311" s="71">
        <f>SUMIF(Adat!$AJ:$AJ,CONCATENATE($M$4,"059","(KÖT)",L295),Adat!$E:$E)</f>
        <v>0</v>
      </c>
      <c r="H311" s="71">
        <f>SUMIF(Adat!$AJ:$AJ,CONCATENATE($M$4,"059","(ÖNV)",L295),Adat!$E:$E)</f>
        <v>0</v>
      </c>
      <c r="I311" s="71">
        <f>SUMIF(Adat!$AJ:$AJ,CONCATENATE($M$4,"059","(ÁIG)",L295),Adat!$E:$E)</f>
        <v>0</v>
      </c>
    </row>
    <row r="312" spans="2:12" x14ac:dyDescent="0.25">
      <c r="B312" s="160">
        <v>15</v>
      </c>
      <c r="C312" s="154" t="s">
        <v>403</v>
      </c>
      <c r="D312" s="159" t="s">
        <v>497</v>
      </c>
      <c r="E312" s="121">
        <f>E299+E305+E311</f>
        <v>0</v>
      </c>
      <c r="F312" s="121">
        <f>F299+F305+F311</f>
        <v>0</v>
      </c>
      <c r="G312" s="121">
        <f>G299+G305+G311</f>
        <v>0</v>
      </c>
      <c r="H312" s="121">
        <f>H299+H305+H311</f>
        <v>0</v>
      </c>
      <c r="I312" s="121">
        <f>I299+I305+I311</f>
        <v>0</v>
      </c>
    </row>
    <row r="313" spans="2:12" ht="15.75" x14ac:dyDescent="0.25">
      <c r="B313" s="37"/>
      <c r="C313" s="529"/>
      <c r="D313" s="529"/>
      <c r="E313" s="529"/>
      <c r="F313" s="200"/>
      <c r="G313" s="200"/>
      <c r="H313" s="200"/>
      <c r="I313" s="200"/>
    </row>
    <row r="314" spans="2:12" ht="15.75" x14ac:dyDescent="0.25">
      <c r="B314" s="525" t="str">
        <f>$N$4</f>
        <v>Nagymarosi Napköziotthonos Óvoda és Bölcsőde</v>
      </c>
      <c r="C314" s="525"/>
      <c r="D314" s="525"/>
      <c r="E314" s="525"/>
      <c r="F314" s="525"/>
      <c r="G314" s="525"/>
      <c r="H314" s="525"/>
      <c r="I314" s="525"/>
    </row>
    <row r="315" spans="2:12" ht="15.75" x14ac:dyDescent="0.25">
      <c r="B315" s="525" t="s">
        <v>2660</v>
      </c>
      <c r="C315" s="525"/>
      <c r="D315" s="525"/>
      <c r="E315" s="525"/>
      <c r="F315" s="525"/>
      <c r="G315" s="525"/>
      <c r="H315" s="525"/>
      <c r="I315" s="525"/>
    </row>
    <row r="316" spans="2:12" ht="15.75" x14ac:dyDescent="0.25">
      <c r="B316" s="38"/>
      <c r="C316" s="156"/>
      <c r="D316" s="38"/>
      <c r="E316" s="140"/>
      <c r="F316" s="140"/>
      <c r="G316" s="140"/>
      <c r="H316" s="140"/>
      <c r="I316" s="140"/>
    </row>
    <row r="317" spans="2:12" s="10" customFormat="1" ht="15.75" customHeight="1" x14ac:dyDescent="0.25">
      <c r="B317" s="201" t="str">
        <f>CONCATENATE("11. Bevételi jogcímek"," - ",L317," részletező")</f>
        <v>11. Bevételi jogcímek -  részletező</v>
      </c>
      <c r="C317" s="101"/>
      <c r="D317" s="101"/>
      <c r="E317" s="101"/>
      <c r="F317" s="101"/>
      <c r="G317" s="198"/>
      <c r="H317" s="198"/>
      <c r="I317" s="198"/>
      <c r="L317" s="384"/>
    </row>
    <row r="318" spans="2:12" ht="15.75" x14ac:dyDescent="0.25">
      <c r="B318" s="38"/>
      <c r="C318" s="156"/>
      <c r="D318" s="38"/>
      <c r="E318" s="140"/>
      <c r="F318" s="140"/>
      <c r="G318" s="140"/>
      <c r="H318" s="140"/>
      <c r="I318" s="140"/>
    </row>
    <row r="319" spans="2:12" x14ac:dyDescent="0.25">
      <c r="B319" s="77"/>
      <c r="C319" s="77" t="s">
        <v>350</v>
      </c>
      <c r="D319" s="77" t="s">
        <v>351</v>
      </c>
      <c r="E319" s="77" t="s">
        <v>470</v>
      </c>
      <c r="F319" s="77" t="s">
        <v>471</v>
      </c>
      <c r="G319" s="77" t="s">
        <v>44</v>
      </c>
      <c r="H319" s="77" t="s">
        <v>42</v>
      </c>
      <c r="I319" s="77" t="s">
        <v>511</v>
      </c>
    </row>
    <row r="320" spans="2:12" ht="38.25" x14ac:dyDescent="0.25">
      <c r="B320" s="160">
        <v>1</v>
      </c>
      <c r="C320" s="154" t="s">
        <v>593</v>
      </c>
      <c r="D320" s="154" t="s">
        <v>488</v>
      </c>
      <c r="E320" s="163" t="str">
        <f>CONCATENATE(PAR!$H$3," évi
eredeti 
előirányzat")</f>
        <v>2025. évi
eredeti 
előirányzat</v>
      </c>
      <c r="F320" s="163" t="str">
        <f>CONCATENATE(PAR!$H$3," évi
módosított 
előirányzat")</f>
        <v>2025. évi
módosított 
előirányzat</v>
      </c>
      <c r="G320" s="78" t="s">
        <v>666</v>
      </c>
      <c r="H320" s="78" t="s">
        <v>667</v>
      </c>
      <c r="I320" s="78" t="s">
        <v>668</v>
      </c>
    </row>
    <row r="321" spans="2:9" x14ac:dyDescent="0.25">
      <c r="B321" s="160">
        <v>2</v>
      </c>
      <c r="C321" s="79" t="s">
        <v>30</v>
      </c>
      <c r="D321" s="79" t="s">
        <v>329</v>
      </c>
      <c r="E321" s="121">
        <f>SUM(E322:E334)</f>
        <v>0</v>
      </c>
      <c r="F321" s="121">
        <f t="shared" ref="F321:I321" si="20">SUM(F322:F334)</f>
        <v>0</v>
      </c>
      <c r="G321" s="121">
        <f t="shared" si="20"/>
        <v>0</v>
      </c>
      <c r="H321" s="121">
        <f t="shared" si="20"/>
        <v>0</v>
      </c>
      <c r="I321" s="121">
        <f t="shared" si="20"/>
        <v>0</v>
      </c>
    </row>
    <row r="322" spans="2:9" x14ac:dyDescent="0.2">
      <c r="B322" s="160">
        <v>3</v>
      </c>
      <c r="C322" s="305" t="s">
        <v>1309</v>
      </c>
      <c r="D322" s="82" t="s">
        <v>1356</v>
      </c>
      <c r="E322" s="72">
        <f>SUMIF(Adat!$AG:$AG,CONCATENATE(61,$M$4,"094011",L317),Adat!$E:$E)*-1</f>
        <v>0</v>
      </c>
      <c r="F322" s="72">
        <f>SUMIF(Adat!$AG:$AG,CONCATENATE(60,$M$4,"094011",L317),Adat!$E:$E)*-1+E322</f>
        <v>0</v>
      </c>
      <c r="G322" s="72">
        <f>SUMIF(Adat!$AH:$AH,CONCATENATE($M$4,"(KÖT)","094011",L317),Adat!$E:$E)*-1</f>
        <v>0</v>
      </c>
      <c r="H322" s="72">
        <f>SUMIF(Adat!$AH:$AH,CONCATENATE($M$4,"(ÖNV)","094011",L317),Adat!$E:$E)*-1</f>
        <v>0</v>
      </c>
      <c r="I322" s="72">
        <f>SUMIF(Adat!$AH:$AH,CONCATENATE($M$4,"(ÁIG)","094011",L317),Adat!$E:$E)*-1</f>
        <v>0</v>
      </c>
    </row>
    <row r="323" spans="2:9" x14ac:dyDescent="0.2">
      <c r="B323" s="160">
        <v>4</v>
      </c>
      <c r="C323" s="305" t="s">
        <v>1279</v>
      </c>
      <c r="D323" s="82" t="s">
        <v>1357</v>
      </c>
      <c r="E323" s="72">
        <f>SUMIF(Adat!$AG:$AG,CONCATENATE(61,$M$4,"094021",L317),Adat!$E:$E)*-1</f>
        <v>0</v>
      </c>
      <c r="F323" s="72">
        <f>SUMIF(Adat!$AG:$AG,CONCATENATE(60,$M$4,"094021",L317),Adat!$E:$E)*-1+E323</f>
        <v>0</v>
      </c>
      <c r="G323" s="72">
        <f>SUMIF(Adat!$AH:$AH,CONCATENATE($M$4,"(KÖT)","094021",L317),Adat!$E:$E)*-1</f>
        <v>0</v>
      </c>
      <c r="H323" s="72">
        <f>SUMIF(Adat!$AH:$AH,CONCATENATE($M$4,"(ÖNV)","094021",L317),Adat!$E:$E)*-1</f>
        <v>0</v>
      </c>
      <c r="I323" s="72">
        <f>SUMIF(Adat!$AH:$AH,CONCATENATE($M$4,"(ÁIG)","094021",L317),Adat!$E:$E)*-1</f>
        <v>0</v>
      </c>
    </row>
    <row r="324" spans="2:9" x14ac:dyDescent="0.2">
      <c r="B324" s="160">
        <v>5</v>
      </c>
      <c r="C324" s="305" t="s">
        <v>1272</v>
      </c>
      <c r="D324" s="82" t="s">
        <v>1358</v>
      </c>
      <c r="E324" s="72">
        <f>SUMIF(Adat!$AG:$AG,CONCATENATE(61,$M$4,"094031",L317),Adat!$E:$E)*-1</f>
        <v>0</v>
      </c>
      <c r="F324" s="72">
        <f>SUMIF(Adat!$AG:$AG,CONCATENATE(60,$M$4,"094031",L317),Adat!$E:$E)*-1+E324</f>
        <v>0</v>
      </c>
      <c r="G324" s="72">
        <f>SUMIF(Adat!$AH:$AH,CONCATENATE($M$4,"(KÖT)","094031",L317),Adat!$E:$E)*-1</f>
        <v>0</v>
      </c>
      <c r="H324" s="72">
        <f>SUMIF(Adat!$AH:$AH,CONCATENATE($M$4,"(ÖNV)","094031",L317),Adat!$E:$E)*-1</f>
        <v>0</v>
      </c>
      <c r="I324" s="72">
        <f>SUMIF(Adat!$AH:$AH,CONCATENATE($M$4,"(ÁIG)","094031",L317),Adat!$E:$E)*-1</f>
        <v>0</v>
      </c>
    </row>
    <row r="325" spans="2:9" x14ac:dyDescent="0.2">
      <c r="B325" s="160">
        <v>6</v>
      </c>
      <c r="C325" s="305" t="s">
        <v>1359</v>
      </c>
      <c r="D325" s="82" t="s">
        <v>1360</v>
      </c>
      <c r="E325" s="72">
        <f>SUMIF(Adat!$AG:$AG,CONCATENATE(61,$M$4,"094041",L317),Adat!$E:$E)*-1</f>
        <v>0</v>
      </c>
      <c r="F325" s="72">
        <f>SUMIF(Adat!$AG:$AG,CONCATENATE(60,$M$4,"094041",L317),Adat!$E:$E)*-1+E325</f>
        <v>0</v>
      </c>
      <c r="G325" s="72">
        <f>SUMIF(Adat!$AH:$AH,CONCATENATE($M$4,"(KÖT)","094041",L317),Adat!$E:$E)*-1</f>
        <v>0</v>
      </c>
      <c r="H325" s="72">
        <f>SUMIF(Adat!$AH:$AH,CONCATENATE($M$4,"(ÖNV)","094041",L317),Adat!$E:$E)*-1</f>
        <v>0</v>
      </c>
      <c r="I325" s="72">
        <f>SUMIF(Adat!$AH:$AH,CONCATENATE($M$4,"(ÁIG)","094041",L317),Adat!$E:$E)*-1</f>
        <v>0</v>
      </c>
    </row>
    <row r="326" spans="2:9" x14ac:dyDescent="0.2">
      <c r="B326" s="160">
        <v>7</v>
      </c>
      <c r="C326" s="305" t="s">
        <v>1261</v>
      </c>
      <c r="D326" s="82" t="s">
        <v>1361</v>
      </c>
      <c r="E326" s="72">
        <f>SUMIF(Adat!$AG:$AG,CONCATENATE(61,$M$4,"094051",L317),Adat!$E:$E)*-1</f>
        <v>0</v>
      </c>
      <c r="F326" s="72">
        <f>SUMIF(Adat!$AG:$AG,CONCATENATE(60,$M$4,"094051",L317),Adat!$E:$E)*-1+E326</f>
        <v>0</v>
      </c>
      <c r="G326" s="72">
        <f>SUMIF(Adat!$AH:$AH,CONCATENATE($M$4,"(KÖT)","094051",L317),Adat!$E:$E)*-1</f>
        <v>0</v>
      </c>
      <c r="H326" s="72">
        <f>SUMIF(Adat!$AH:$AH,CONCATENATE($M$4,"(ÖNV)","094051",L317),Adat!$E:$E)*-1</f>
        <v>0</v>
      </c>
      <c r="I326" s="72">
        <f>SUMIF(Adat!$AH:$AH,CONCATENATE($M$4,"(ÁIG)","094051",L317),Adat!$E:$E)*-1</f>
        <v>0</v>
      </c>
    </row>
    <row r="327" spans="2:9" x14ac:dyDescent="0.2">
      <c r="B327" s="160">
        <v>8</v>
      </c>
      <c r="C327" s="305" t="s">
        <v>1273</v>
      </c>
      <c r="D327" s="82" t="s">
        <v>1362</v>
      </c>
      <c r="E327" s="72">
        <f>SUMIF(Adat!$AG:$AG,CONCATENATE(61,$M$4,"094061",L317),Adat!$E:$E)*-1</f>
        <v>0</v>
      </c>
      <c r="F327" s="72">
        <f>SUMIF(Adat!$AG:$AG,CONCATENATE(60,$M$4,"094061",L317),Adat!$E:$E)*-1+E327</f>
        <v>0</v>
      </c>
      <c r="G327" s="72">
        <f>SUMIF(Adat!$AH:$AH,CONCATENATE($M$4,"(KÖT)","094061",L317),Adat!$E:$E)*-1</f>
        <v>0</v>
      </c>
      <c r="H327" s="72">
        <f>SUMIF(Adat!$AH:$AH,CONCATENATE($M$4,"(ÖNV)","094061",L317),Adat!$E:$E)*-1</f>
        <v>0</v>
      </c>
      <c r="I327" s="72">
        <f>SUMIF(Adat!$AH:$AH,CONCATENATE($M$4,"(ÁIG)","094061",L317),Adat!$E:$E)*-1</f>
        <v>0</v>
      </c>
    </row>
    <row r="328" spans="2:9" x14ac:dyDescent="0.2">
      <c r="B328" s="160">
        <v>9</v>
      </c>
      <c r="C328" s="305" t="s">
        <v>1363</v>
      </c>
      <c r="D328" s="82" t="s">
        <v>1364</v>
      </c>
      <c r="E328" s="72">
        <f>SUMIF(Adat!$AG:$AG,CONCATENATE(61,$M$4,"094071",L317),Adat!$E:$E)*-1</f>
        <v>0</v>
      </c>
      <c r="F328" s="72">
        <f>SUMIF(Adat!$AG:$AG,CONCATENATE(60,$M$4,"094071",L317),Adat!$E:$E)*-1+E328</f>
        <v>0</v>
      </c>
      <c r="G328" s="72">
        <f>SUMIF(Adat!$AH:$AH,CONCATENATE($M$4,"(KÖT)","094071",L317),Adat!$E:$E)*-1</f>
        <v>0</v>
      </c>
      <c r="H328" s="72">
        <f>SUMIF(Adat!$AH:$AH,CONCATENATE($M$4,"(ÖNV)","094071",L317),Adat!$E:$E)*-1</f>
        <v>0</v>
      </c>
      <c r="I328" s="72">
        <f>SUMIF(Adat!$AH:$AH,CONCATENATE($M$4,"(ÁIG)","094071",L317),Adat!$E:$E)*-1</f>
        <v>0</v>
      </c>
    </row>
    <row r="329" spans="2:9" x14ac:dyDescent="0.2">
      <c r="B329" s="160">
        <v>10</v>
      </c>
      <c r="C329" s="305" t="s">
        <v>1306</v>
      </c>
      <c r="D329" s="82" t="s">
        <v>1365</v>
      </c>
      <c r="E329" s="72">
        <f>SUMIF(Adat!$AG:$AG,CONCATENATE(61,$M$4,"0940811",L317),Adat!$E:$E)*-1</f>
        <v>0</v>
      </c>
      <c r="F329" s="72">
        <f>SUMIF(Adat!$AG:$AG,CONCATENATE(60,$M$4,"0940811",L317),Adat!$E:$E)*-1+E329</f>
        <v>0</v>
      </c>
      <c r="G329" s="72">
        <f>SUMIF(Adat!$AH:$AH,CONCATENATE($M$4,"(KÖT)","0940811",L317),Adat!$E:$E)*-1</f>
        <v>0</v>
      </c>
      <c r="H329" s="72">
        <f>SUMIF(Adat!$AH:$AH,CONCATENATE($M$4,"(ÖNV)","0940811",L317),Adat!$E:$E)*-1</f>
        <v>0</v>
      </c>
      <c r="I329" s="72">
        <f>SUMIF(Adat!$AH:$AH,CONCATENATE($M$4,"(ÁIG)","0940811",L317),Adat!$E:$E)*-1</f>
        <v>0</v>
      </c>
    </row>
    <row r="330" spans="2:9" x14ac:dyDescent="0.2">
      <c r="B330" s="160">
        <v>11</v>
      </c>
      <c r="C330" s="305" t="s">
        <v>1295</v>
      </c>
      <c r="D330" s="82" t="s">
        <v>1366</v>
      </c>
      <c r="E330" s="72">
        <f>SUMIF(Adat!$AG:$AG,CONCATENATE(61,$M$4,"0940821",L317),Adat!$E:$E)*-1</f>
        <v>0</v>
      </c>
      <c r="F330" s="72">
        <f>SUMIF(Adat!$AG:$AG,CONCATENATE(60,$M$4,"0940821",L317),Adat!$E:$E)*-1+E330</f>
        <v>0</v>
      </c>
      <c r="G330" s="72">
        <f>SUMIF(Adat!$AH:$AH,CONCATENATE($M$4,"(KÖT)","0940821",L317),Adat!$E:$E)*-1</f>
        <v>0</v>
      </c>
      <c r="H330" s="72">
        <f>SUMIF(Adat!$AH:$AH,CONCATENATE($M$4,"(ÖNV)","0940821",L317),Adat!$E:$E)*-1</f>
        <v>0</v>
      </c>
      <c r="I330" s="72">
        <f>SUMIF(Adat!$AH:$AH,CONCATENATE($M$4,"(ÁIG)","0940821",L317),Adat!$E:$E)*-1</f>
        <v>0</v>
      </c>
    </row>
    <row r="331" spans="2:9" x14ac:dyDescent="0.2">
      <c r="B331" s="160">
        <v>12</v>
      </c>
      <c r="C331" s="305" t="s">
        <v>1367</v>
      </c>
      <c r="D331" s="82" t="s">
        <v>1368</v>
      </c>
      <c r="E331" s="72">
        <f>SUMIF(Adat!$AG:$AG,CONCATENATE(61,$M$4,"0940911",L317),Adat!$E:$E)*-1</f>
        <v>0</v>
      </c>
      <c r="F331" s="72">
        <f>SUMIF(Adat!$AG:$AG,CONCATENATE(60,$M$4,"0940911",L317),Adat!$E:$E)*-1+E331</f>
        <v>0</v>
      </c>
      <c r="G331" s="72">
        <f>SUMIF(Adat!$AH:$AH,CONCATENATE($M$4,"(KÖT)","0940911",L317),Adat!$E:$E)*-1</f>
        <v>0</v>
      </c>
      <c r="H331" s="72">
        <f>SUMIF(Adat!$AH:$AH,CONCATENATE($M$4,"(ÖNV)","0940911",L317),Adat!$E:$E)*-1</f>
        <v>0</v>
      </c>
      <c r="I331" s="72">
        <f>SUMIF(Adat!$AH:$AH,CONCATENATE($M$4,"(ÁIG)","0940911",L317),Adat!$E:$E)*-1</f>
        <v>0</v>
      </c>
    </row>
    <row r="332" spans="2:9" x14ac:dyDescent="0.2">
      <c r="B332" s="160">
        <v>13</v>
      </c>
      <c r="C332" s="305" t="s">
        <v>1369</v>
      </c>
      <c r="D332" s="82" t="s">
        <v>1370</v>
      </c>
      <c r="E332" s="72">
        <f>SUMIF(Adat!$AG:$AG,CONCATENATE(61,$M$4,"0940921",L317),Adat!$E:$E)*-1</f>
        <v>0</v>
      </c>
      <c r="F332" s="72">
        <f>SUMIF(Adat!$AG:$AG,CONCATENATE(60,$M$4,"0940921",L317),Adat!$E:$E)*-1+E332</f>
        <v>0</v>
      </c>
      <c r="G332" s="72">
        <f>SUMIF(Adat!$AH:$AH,CONCATENATE($M$4,"(KÖT)","0940921",L317),Adat!$E:$E)*-1</f>
        <v>0</v>
      </c>
      <c r="H332" s="72">
        <f>SUMIF(Adat!$AH:$AH,CONCATENATE($M$4,"(ÖNV)","0940921",L317),Adat!$E:$E)*-1</f>
        <v>0</v>
      </c>
      <c r="I332" s="72">
        <f>SUMIF(Adat!$AH:$AH,CONCATENATE($M$4,"(ÁIG)","0940921",L317),Adat!$E:$E)*-1</f>
        <v>0</v>
      </c>
    </row>
    <row r="333" spans="2:9" x14ac:dyDescent="0.2">
      <c r="B333" s="160">
        <v>14</v>
      </c>
      <c r="C333" s="305" t="s">
        <v>1296</v>
      </c>
      <c r="D333" s="82" t="s">
        <v>1371</v>
      </c>
      <c r="E333" s="72">
        <f>SUMIF(Adat!$AG:$AG,CONCATENATE(61,$M$4,"094101",L317),Adat!$E:$E)*-1</f>
        <v>0</v>
      </c>
      <c r="F333" s="72">
        <f>SUMIF(Adat!$AG:$AG,CONCATENATE(60,$M$4,"094101",L317),Adat!$E:$E)*-1+E333</f>
        <v>0</v>
      </c>
      <c r="G333" s="72">
        <f>SUMIF(Adat!$AH:$AH,CONCATENATE($M$4,"(KÖT)","094101",L317),Adat!$E:$E)*-1</f>
        <v>0</v>
      </c>
      <c r="H333" s="72">
        <f>SUMIF(Adat!$AH:$AH,CONCATENATE($M$4,"(ÖNV)","094101",L317),Adat!$E:$E)*-1</f>
        <v>0</v>
      </c>
      <c r="I333" s="72">
        <f>SUMIF(Adat!$AH:$AH,CONCATENATE($M$4,"(ÁIG)","094101",L317),Adat!$E:$E)*-1</f>
        <v>0</v>
      </c>
    </row>
    <row r="334" spans="2:9" x14ac:dyDescent="0.25">
      <c r="B334" s="160">
        <v>15</v>
      </c>
      <c r="C334" s="305" t="s">
        <v>1297</v>
      </c>
      <c r="D334" s="84" t="s">
        <v>1372</v>
      </c>
      <c r="E334" s="72">
        <f>SUMIF(Adat!$AG:$AG,CONCATENATE(61,$M$4,"094111",L317),Adat!$E:$E)*-1</f>
        <v>0</v>
      </c>
      <c r="F334" s="72">
        <f>SUMIF(Adat!$AG:$AG,CONCATENATE(60,$M$4,"094111",L317),Adat!$E:$E)*-1+E334</f>
        <v>0</v>
      </c>
      <c r="G334" s="72">
        <f>SUMIF(Adat!$AH:$AH,CONCATENATE($M$4,"(KÖT)","094111",L317),Adat!$E:$E)*-1</f>
        <v>0</v>
      </c>
      <c r="H334" s="72">
        <f>SUMIF(Adat!$AH:$AH,CONCATENATE($M$4,"(ÖNV)","094111",L317),Adat!$E:$E)*-1</f>
        <v>0</v>
      </c>
      <c r="I334" s="72">
        <f>SUMIF(Adat!$AH:$AH,CONCATENATE($M$4,"(ÁIG)","094111",L317),Adat!$E:$E)*-1</f>
        <v>0</v>
      </c>
    </row>
    <row r="335" spans="2:9" x14ac:dyDescent="0.25">
      <c r="B335" s="160">
        <v>16</v>
      </c>
      <c r="C335" s="78" t="s">
        <v>1328</v>
      </c>
      <c r="D335" s="85" t="s">
        <v>437</v>
      </c>
      <c r="E335" s="121">
        <f>SUM(E336:E338)</f>
        <v>0</v>
      </c>
      <c r="F335" s="121">
        <f>SUM(F336:F338)</f>
        <v>0</v>
      </c>
      <c r="G335" s="121">
        <f>SUM(G336:G338)</f>
        <v>0</v>
      </c>
      <c r="H335" s="121">
        <f>SUM(H336:H338)</f>
        <v>0</v>
      </c>
      <c r="I335" s="121">
        <f>SUM(I336:I338)</f>
        <v>0</v>
      </c>
    </row>
    <row r="336" spans="2:9" x14ac:dyDescent="0.2">
      <c r="B336" s="160">
        <v>17</v>
      </c>
      <c r="C336" s="305" t="s">
        <v>1329</v>
      </c>
      <c r="D336" s="82" t="s">
        <v>1330</v>
      </c>
      <c r="E336" s="72">
        <f>SUMIF(Adat!$AG:$AG,CONCATENATE(61,$M$4,"09121",L317),Adat!$E:$E)*-1</f>
        <v>0</v>
      </c>
      <c r="F336" s="72">
        <f>SUMIF(Adat!$AG:$AG,CONCATENATE(60,$M$4,"09121",L317),Adat!$E:$E)*-1+E336</f>
        <v>0</v>
      </c>
      <c r="G336" s="72">
        <f>SUMIF(Adat!$AH:$AH,CONCATENATE($M$4,"(KÖT)","09121",L317),Adat!$E:$E)*-1</f>
        <v>0</v>
      </c>
      <c r="H336" s="72">
        <f>SUMIF(Adat!$AH:$AH,CONCATENATE($M$4,"(ÖNV)","09121",L317),Adat!$E:$E)*-1</f>
        <v>0</v>
      </c>
      <c r="I336" s="72">
        <f>SUMIF(Adat!$AH:$AH,CONCATENATE($M$4,"(ÁIG)","09121",L317),Adat!$E:$E)*-1</f>
        <v>0</v>
      </c>
    </row>
    <row r="337" spans="2:9" x14ac:dyDescent="0.2">
      <c r="B337" s="160">
        <v>18</v>
      </c>
      <c r="C337" s="305" t="s">
        <v>1335</v>
      </c>
      <c r="D337" s="82" t="s">
        <v>1336</v>
      </c>
      <c r="E337" s="72">
        <f>SUMIF(Adat!$AG:$AG,CONCATENATE(61,$M$4,"09151",L317),Adat!$E:$E)*-1</f>
        <v>0</v>
      </c>
      <c r="F337" s="72">
        <f>SUMIF(Adat!$AG:$AG,CONCATENATE(60,$M$4,"09151",L317),Adat!$E:$E)*-1+E337</f>
        <v>0</v>
      </c>
      <c r="G337" s="72">
        <f>SUMIF(Adat!$AH:$AH,CONCATENATE($M$4,"(KÖT)","09151",L317),Adat!$E:$E)*-1</f>
        <v>0</v>
      </c>
      <c r="H337" s="72">
        <f>SUMIF(Adat!$AH:$AH,CONCATENATE($M$4,"(ÖNV)","09151",L317),Adat!$E:$E)*-1</f>
        <v>0</v>
      </c>
      <c r="I337" s="72">
        <f>SUMIF(Adat!$AH:$AH,CONCATENATE($M$4,"(ÁIG)","09151",L317),Adat!$E:$E)*-1</f>
        <v>0</v>
      </c>
    </row>
    <row r="338" spans="2:9" x14ac:dyDescent="0.2">
      <c r="B338" s="160">
        <v>19</v>
      </c>
      <c r="C338" s="305" t="s">
        <v>1278</v>
      </c>
      <c r="D338" s="82" t="s">
        <v>1337</v>
      </c>
      <c r="E338" s="72">
        <f>SUMIF(Adat!$AG:$AG,CONCATENATE(61,$M$4,"09161",L317),Adat!$E:$E)*-1</f>
        <v>0</v>
      </c>
      <c r="F338" s="72">
        <f>SUMIF(Adat!$AG:$AG,CONCATENATE(60,$M$4,"09161",L317),Adat!$E:$E)*-1+E338</f>
        <v>0</v>
      </c>
      <c r="G338" s="72">
        <f>SUMIF(Adat!$AH:$AH,CONCATENATE($M$4,"(KÖT)","09161",L317),Adat!$E:$E)*-1</f>
        <v>0</v>
      </c>
      <c r="H338" s="72">
        <f>SUMIF(Adat!$AH:$AH,CONCATENATE($M$4,"(ÖNV)","09161",L317),Adat!$E:$E)*-1</f>
        <v>0</v>
      </c>
      <c r="I338" s="72">
        <f>SUMIF(Adat!$AH:$AH,CONCATENATE($M$4,"(ÁIG)","09161",L317),Adat!$E:$E)*-1</f>
        <v>0</v>
      </c>
    </row>
    <row r="339" spans="2:9" x14ac:dyDescent="0.25">
      <c r="B339" s="160">
        <v>20</v>
      </c>
      <c r="C339" s="79" t="s">
        <v>27</v>
      </c>
      <c r="D339" s="79" t="s">
        <v>328</v>
      </c>
      <c r="E339" s="71">
        <f>SUMIF(Adat!$AI:$AI,CONCATENATE(61,$M$4,"093",L317),Adat!$E:$E)*-1</f>
        <v>0</v>
      </c>
      <c r="F339" s="71">
        <f>SUMIF(Adat!$AI:$AI,CONCATENATE(60,$M$4,"093",L317),Adat!$E:$E)*-1+E339</f>
        <v>0</v>
      </c>
      <c r="G339" s="71">
        <f>SUMIF(Adat!$AJ:$AJ,CONCATENATE($M$4,"093","(KÖT)",L317),Adat!$E:$E)*-1</f>
        <v>0</v>
      </c>
      <c r="H339" s="71">
        <f>SUMIF(Adat!$AJ:$AJ,CONCATENATE($M$4,"093","(ÖNV)",L317),Adat!$E:$E)*-1</f>
        <v>0</v>
      </c>
      <c r="I339" s="71">
        <f>SUMIF(Adat!$AJ:$AJ,CONCATENATE($M$4,"093","(ÁIG)",L317),Adat!$E:$E)*-1</f>
        <v>0</v>
      </c>
    </row>
    <row r="340" spans="2:9" x14ac:dyDescent="0.25">
      <c r="B340" s="160">
        <v>21</v>
      </c>
      <c r="C340" s="79" t="s">
        <v>24</v>
      </c>
      <c r="D340" s="79" t="s">
        <v>449</v>
      </c>
      <c r="E340" s="121">
        <f>SUM(E341:E343)</f>
        <v>0</v>
      </c>
      <c r="F340" s="121">
        <f t="shared" ref="F340:I340" si="21">SUM(F341:F343)</f>
        <v>0</v>
      </c>
      <c r="G340" s="121">
        <f t="shared" si="21"/>
        <v>0</v>
      </c>
      <c r="H340" s="121">
        <f t="shared" si="21"/>
        <v>0</v>
      </c>
      <c r="I340" s="121">
        <f t="shared" si="21"/>
        <v>0</v>
      </c>
    </row>
    <row r="341" spans="2:9" x14ac:dyDescent="0.2">
      <c r="B341" s="160">
        <v>22</v>
      </c>
      <c r="C341" s="305" t="s">
        <v>1339</v>
      </c>
      <c r="D341" s="82" t="s">
        <v>1340</v>
      </c>
      <c r="E341" s="72">
        <f>SUMIF(Adat!$AG:$AG,CONCATENATE(61,$M$4,"09211",L317),Adat!$E:$E)*-1</f>
        <v>0</v>
      </c>
      <c r="F341" s="72">
        <f>SUMIF(Adat!$AG:$AG,CONCATENATE(60,$M$4,"09211",L317),Adat!$E:$E)*-1+E341</f>
        <v>0</v>
      </c>
      <c r="G341" s="72">
        <f>SUMIF(Adat!$AH:$AH,CONCATENATE($M$4,"(KÖT)","09211",L317),Adat!$E:$E)*-1</f>
        <v>0</v>
      </c>
      <c r="H341" s="72">
        <f>SUMIF(Adat!$AH:$AH,CONCATENATE($M$4,"(ÖNV)","09211",L317),Adat!$E:$E)*-1</f>
        <v>0</v>
      </c>
      <c r="I341" s="72">
        <f>SUMIF(Adat!$AH:$AH,CONCATENATE($M$4,"(ÁIG)","09211",L317),Adat!$E:$E)*-1</f>
        <v>0</v>
      </c>
    </row>
    <row r="342" spans="2:9" x14ac:dyDescent="0.2">
      <c r="B342" s="160">
        <v>23</v>
      </c>
      <c r="C342" s="305" t="s">
        <v>1345</v>
      </c>
      <c r="D342" s="82" t="s">
        <v>1346</v>
      </c>
      <c r="E342" s="72">
        <f>SUMIF(Adat!$AG:$AG,CONCATENATE(61,$M$4,"09241",L317),Adat!$E:$E)*-1</f>
        <v>0</v>
      </c>
      <c r="F342" s="72">
        <f>SUMIF(Adat!$AG:$AG,CONCATENATE(60,$M$4,"09241",L317),Adat!$E:$E)*-1+E342</f>
        <v>0</v>
      </c>
      <c r="G342" s="72">
        <f>SUMIF(Adat!$AH:$AH,CONCATENATE($M$4,"(KÖT)","09241",L317),Adat!$E:$E)*-1</f>
        <v>0</v>
      </c>
      <c r="H342" s="72">
        <f>SUMIF(Adat!$AH:$AH,CONCATENATE($M$4,"(ÖNV)","09241",L317),Adat!$E:$E)*-1</f>
        <v>0</v>
      </c>
      <c r="I342" s="72">
        <f>SUMIF(Adat!$AH:$AH,CONCATENATE($M$4,"(ÁIG)","09241",L317),Adat!$E:$E)*-1</f>
        <v>0</v>
      </c>
    </row>
    <row r="343" spans="2:9" x14ac:dyDescent="0.2">
      <c r="B343" s="160">
        <v>24</v>
      </c>
      <c r="C343" s="305" t="s">
        <v>1255</v>
      </c>
      <c r="D343" s="82" t="s">
        <v>1347</v>
      </c>
      <c r="E343" s="72">
        <f>SUMIF(Adat!$AG:$AG,CONCATENATE(61,$M$4,"09251",L317),Adat!$E:$E)*-1</f>
        <v>0</v>
      </c>
      <c r="F343" s="72">
        <f>SUMIF(Adat!$AG:$AG,CONCATENATE(60,$M$4,"09251",L317),Adat!$E:$E)*-1+E343</f>
        <v>0</v>
      </c>
      <c r="G343" s="72">
        <f>SUMIF(Adat!$AH:$AH,CONCATENATE($M$4,"(KÖT)","09251",L317),Adat!$E:$E)*-1</f>
        <v>0</v>
      </c>
      <c r="H343" s="72">
        <f>SUMIF(Adat!$AH:$AH,CONCATENATE($M$4,"(ÖNV)","09251",L317),Adat!$E:$E)*-1</f>
        <v>0</v>
      </c>
      <c r="I343" s="72">
        <f>SUMIF(Adat!$AH:$AH,CONCATENATE($M$4,"(ÁIG)","09251",L317),Adat!$E:$E)*-1</f>
        <v>0</v>
      </c>
    </row>
    <row r="344" spans="2:9" x14ac:dyDescent="0.25">
      <c r="B344" s="160">
        <v>25</v>
      </c>
      <c r="C344" s="79" t="s">
        <v>33</v>
      </c>
      <c r="D344" s="79" t="s">
        <v>330</v>
      </c>
      <c r="E344" s="121">
        <f>SUM(E345:E347)</f>
        <v>0</v>
      </c>
      <c r="F344" s="121">
        <f t="shared" ref="F344:I344" si="22">SUM(F345:F347)</f>
        <v>0</v>
      </c>
      <c r="G344" s="121">
        <f t="shared" si="22"/>
        <v>0</v>
      </c>
      <c r="H344" s="121">
        <f t="shared" si="22"/>
        <v>0</v>
      </c>
      <c r="I344" s="121">
        <f t="shared" si="22"/>
        <v>0</v>
      </c>
    </row>
    <row r="345" spans="2:9" x14ac:dyDescent="0.2">
      <c r="B345" s="160">
        <v>26</v>
      </c>
      <c r="C345" s="305" t="s">
        <v>1373</v>
      </c>
      <c r="D345" s="82" t="s">
        <v>1374</v>
      </c>
      <c r="E345" s="72">
        <f>SUMIF(Adat!$AG:$AG,CONCATENATE(61,$M$4,"09511",L317),Adat!$E:$E)*-1</f>
        <v>0</v>
      </c>
      <c r="F345" s="72">
        <f>SUMIF(Adat!$AG:$AG,CONCATENATE(60,$M$4,"09511",L317),Adat!$E:$E)*-1+E345</f>
        <v>0</v>
      </c>
      <c r="G345" s="72">
        <f>SUMIF(Adat!$AH:$AH,CONCATENATE($M$4,"(KÖT)","09511",L317),Adat!$E:$E)*-1</f>
        <v>0</v>
      </c>
      <c r="H345" s="72">
        <f>SUMIF(Adat!$AH:$AH,CONCATENATE($M$4,"(ÖNV)","09511",L317),Adat!$E:$E)*-1</f>
        <v>0</v>
      </c>
      <c r="I345" s="72">
        <f>SUMIF(Adat!$AH:$AH,CONCATENATE($M$4,"(ÁIG)","09511",L317),Adat!$E:$E)*-1</f>
        <v>0</v>
      </c>
    </row>
    <row r="346" spans="2:9" x14ac:dyDescent="0.2">
      <c r="B346" s="160">
        <v>27</v>
      </c>
      <c r="C346" s="305" t="s">
        <v>1294</v>
      </c>
      <c r="D346" s="82" t="s">
        <v>1375</v>
      </c>
      <c r="E346" s="72">
        <f>SUMIF(Adat!$AG:$AG,CONCATENATE(61,$M$4,"09521",L317),Adat!$E:$E)*-1</f>
        <v>0</v>
      </c>
      <c r="F346" s="72">
        <f>SUMIF(Adat!$AG:$AG,CONCATENATE(60,$M$4,"09521",L317),Adat!$E:$E)*-1+E346</f>
        <v>0</v>
      </c>
      <c r="G346" s="72">
        <f>SUMIF(Adat!$AH:$AH,CONCATENATE($M$4,"(KÖT)","09521",L317),Adat!$E:$E)*-1</f>
        <v>0</v>
      </c>
      <c r="H346" s="72">
        <f>SUMIF(Adat!$AH:$AH,CONCATENATE($M$4,"(ÖNV)","09521",L317),Adat!$E:$E)*-1</f>
        <v>0</v>
      </c>
      <c r="I346" s="72">
        <f>SUMIF(Adat!$AH:$AH,CONCATENATE($M$4,"(ÁIG)","09521",L317),Adat!$E:$E)*-1</f>
        <v>0</v>
      </c>
    </row>
    <row r="347" spans="2:9" x14ac:dyDescent="0.2">
      <c r="B347" s="160">
        <v>28</v>
      </c>
      <c r="C347" s="305" t="s">
        <v>1376</v>
      </c>
      <c r="D347" s="82" t="s">
        <v>1377</v>
      </c>
      <c r="E347" s="72">
        <f>SUMIF(Adat!$AG:$AG,CONCATENATE(61,$M$4,"09531",L317),Adat!$E:$E)*-1</f>
        <v>0</v>
      </c>
      <c r="F347" s="72">
        <f>SUMIF(Adat!$AG:$AG,CONCATENATE(60,$M$4,"09531",L317),Adat!$E:$E)*-1+E347</f>
        <v>0</v>
      </c>
      <c r="G347" s="72">
        <f>SUMIF(Adat!$AH:$AH,CONCATENATE($M$4,"(KÖT)","09531",L317),Adat!$E:$E)*-1</f>
        <v>0</v>
      </c>
      <c r="H347" s="72">
        <f>SUMIF(Adat!$AH:$AH,CONCATENATE($M$4,"(ÖNV)","09531",L317),Adat!$E:$E)*-1</f>
        <v>0</v>
      </c>
      <c r="I347" s="72">
        <f>SUMIF(Adat!$AH:$AH,CONCATENATE($M$4,"(ÁIG)","09531",L317),Adat!$E:$E)*-1</f>
        <v>0</v>
      </c>
    </row>
    <row r="348" spans="2:9" x14ac:dyDescent="0.25">
      <c r="B348" s="160">
        <v>29</v>
      </c>
      <c r="C348" s="79" t="s">
        <v>36</v>
      </c>
      <c r="D348" s="79" t="s">
        <v>331</v>
      </c>
      <c r="E348" s="71">
        <f>SUMIF(Adat!$AI:$AI,CONCATENATE(61,$M$4,"096",L317),Adat!$E:$E)*-1</f>
        <v>0</v>
      </c>
      <c r="F348" s="71">
        <f>SUMIF(Adat!$AI:$AI,CONCATENATE(60,$M$4,"096",L317),Adat!$E:$E)*-1+E348</f>
        <v>0</v>
      </c>
      <c r="G348" s="71">
        <f>SUMIF(Adat!$AJ:$AJ,CONCATENATE($M$4,"096","(KÖT)",L317),Adat!$E:$E)*-1</f>
        <v>0</v>
      </c>
      <c r="H348" s="71">
        <f>SUMIF(Adat!$AJ:$AJ,CONCATENATE($M$4,"096","(ÖNV)",L317),Adat!$E:$E)*-1</f>
        <v>0</v>
      </c>
      <c r="I348" s="71">
        <f>SUMIF(Adat!$AJ:$AJ,CONCATENATE($M$4,"096","(ÁIG)",L317),Adat!$E:$E)*-1</f>
        <v>0</v>
      </c>
    </row>
    <row r="349" spans="2:9" x14ac:dyDescent="0.25">
      <c r="B349" s="160">
        <v>30</v>
      </c>
      <c r="C349" s="79" t="s">
        <v>38</v>
      </c>
      <c r="D349" s="85" t="s">
        <v>332</v>
      </c>
      <c r="E349" s="71">
        <f>SUMIF(Adat!$AI:$AI,CONCATENATE(61,$M$4,"097",L317),Adat!$E:$E)*-1</f>
        <v>0</v>
      </c>
      <c r="F349" s="71">
        <f>SUMIF(Adat!$AI:$AI,CONCATENATE(60,$M$4,"097",L317),Adat!$E:$E)*-1+E349</f>
        <v>0</v>
      </c>
      <c r="G349" s="71">
        <f>SUMIF(Adat!$AJ:$AJ,CONCATENATE($M$4,"097","(KÖT)",L317),Adat!$E:$E)*-1</f>
        <v>0</v>
      </c>
      <c r="H349" s="71">
        <f>SUMIF(Adat!$AJ:$AJ,CONCATENATE($M$4,"097","(ÖNV)",L317),Adat!$E:$E)*-1</f>
        <v>0</v>
      </c>
      <c r="I349" s="71">
        <f>SUMIF(Adat!$AJ:$AJ,CONCATENATE($M$4,"097","(ÁIG)",L317),Adat!$E:$E)*-1</f>
        <v>0</v>
      </c>
    </row>
    <row r="350" spans="2:9" x14ac:dyDescent="0.25">
      <c r="B350" s="160">
        <v>31</v>
      </c>
      <c r="C350" s="154" t="s">
        <v>352</v>
      </c>
      <c r="D350" s="86" t="s">
        <v>1500</v>
      </c>
      <c r="E350" s="121">
        <f>E321+E335+E339+E340+E344+E348+E349</f>
        <v>0</v>
      </c>
      <c r="F350" s="121">
        <f>F321+F335+F339+F340+F344+F348+F349</f>
        <v>0</v>
      </c>
      <c r="G350" s="121">
        <f>G321+G335+G339+G340+G344+G348+G349</f>
        <v>0</v>
      </c>
      <c r="H350" s="121">
        <f>H321+H335+H339+H340+H344+H348+H349</f>
        <v>0</v>
      </c>
      <c r="I350" s="121">
        <f>I321+I335+I339+I340+I344+I348+I349</f>
        <v>0</v>
      </c>
    </row>
    <row r="351" spans="2:9" x14ac:dyDescent="0.25">
      <c r="B351" s="160">
        <v>32</v>
      </c>
      <c r="C351" s="154" t="s">
        <v>358</v>
      </c>
      <c r="D351" s="86" t="s">
        <v>333</v>
      </c>
      <c r="E351" s="121">
        <f>SUM(E352:E354)</f>
        <v>0</v>
      </c>
      <c r="F351" s="121">
        <f t="shared" ref="F351:I351" si="23">SUM(F352:F354)</f>
        <v>0</v>
      </c>
      <c r="G351" s="121">
        <f t="shared" si="23"/>
        <v>0</v>
      </c>
      <c r="H351" s="121">
        <f t="shared" si="23"/>
        <v>0</v>
      </c>
      <c r="I351" s="121">
        <f t="shared" si="23"/>
        <v>0</v>
      </c>
    </row>
    <row r="352" spans="2:9" x14ac:dyDescent="0.2">
      <c r="B352" s="160">
        <v>33</v>
      </c>
      <c r="C352" s="305" t="s">
        <v>1274</v>
      </c>
      <c r="D352" s="82" t="s">
        <v>1419</v>
      </c>
      <c r="E352" s="72">
        <f>SUMIF(Adat!$AG:$AG,CONCATENATE(61,$M$4,"0981311",L317),Adat!$E:$E)*-1</f>
        <v>0</v>
      </c>
      <c r="F352" s="72">
        <f>SUMIF(Adat!$AG:$AG,CONCATENATE(60,$M$4,"0981311",L317),Adat!$E:$E)*-1+E352</f>
        <v>0</v>
      </c>
      <c r="G352" s="72">
        <f>SUMIF(Adat!$AH:$AH,CONCATENATE($M$4,"(KÖT)","0981311",L317),Adat!$E:$E)*-1</f>
        <v>0</v>
      </c>
      <c r="H352" s="72">
        <f>SUMIF(Adat!$AH:$AH,CONCATENATE($M$4,"(ÖNV)","0981311",L317),Adat!$E:$E)*-1</f>
        <v>0</v>
      </c>
      <c r="I352" s="72">
        <f>SUMIF(Adat!$AH:$AH,CONCATENATE($M$4,"(ÁIG)","0981311",L317),Adat!$E:$E)*-1</f>
        <v>0</v>
      </c>
    </row>
    <row r="353" spans="2:12" x14ac:dyDescent="0.25">
      <c r="B353" s="160">
        <v>34</v>
      </c>
      <c r="C353" s="305" t="s">
        <v>1420</v>
      </c>
      <c r="D353" s="84" t="s">
        <v>1421</v>
      </c>
      <c r="E353" s="72">
        <f>SUMIF(Adat!$AG:$AG,CONCATENATE(61,$M$4,"0981321",L317),Adat!$E:$E)*-1</f>
        <v>0</v>
      </c>
      <c r="F353" s="72">
        <f>SUMIF(Adat!$AG:$AG,CONCATENATE(60,$M$4,"0981321",L317),Adat!$E:$E)*-1+E353</f>
        <v>0</v>
      </c>
      <c r="G353" s="72">
        <f>SUMIF(Adat!$AH:$AH,CONCATENATE($M$4,"(KÖT)","0981321",L317),Adat!$E:$E)*-1</f>
        <v>0</v>
      </c>
      <c r="H353" s="72">
        <f>SUMIF(Adat!$AH:$AH,CONCATENATE($M$4,"(ÖNV)","0981321",L317),Adat!$E:$E)*-1</f>
        <v>0</v>
      </c>
      <c r="I353" s="72">
        <f>SUMIF(Adat!$AH:$AH,CONCATENATE($M$4,"(ÁIG)","0981321",L317),Adat!$E:$E)*-1</f>
        <v>0</v>
      </c>
    </row>
    <row r="354" spans="2:12" x14ac:dyDescent="0.25">
      <c r="B354" s="160">
        <v>35</v>
      </c>
      <c r="C354" s="319" t="s">
        <v>1275</v>
      </c>
      <c r="D354" s="84" t="s">
        <v>1501</v>
      </c>
      <c r="E354" s="72">
        <f>SUMIF(Adat!$AG:$AG,CONCATENATE(61,$M$4,"098161",L317),Adat!$E:$E)*-1</f>
        <v>0</v>
      </c>
      <c r="F354" s="72">
        <f>SUMIF(Adat!$AG:$AG,CONCATENATE(60,$M$4,"098161",L317),Adat!$E:$E)*-1+E354</f>
        <v>0</v>
      </c>
      <c r="G354" s="72">
        <f>SUMIF(Adat!$AH:$AH,CONCATENATE($M$4,"(KÖT)","098161",L317),Adat!$E:$E)*-1</f>
        <v>0</v>
      </c>
      <c r="H354" s="72">
        <f>SUMIF(Adat!$AH:$AH,CONCATENATE($M$4,"(ÖNV)","098161",L317),Adat!$E:$E)*-1</f>
        <v>0</v>
      </c>
      <c r="I354" s="72">
        <f>SUMIF(Adat!$AH:$AH,CONCATENATE($M$4,"(ÁIG)","098161",L317),Adat!$E:$E)*-1</f>
        <v>0</v>
      </c>
    </row>
    <row r="355" spans="2:12" x14ac:dyDescent="0.25">
      <c r="B355" s="160">
        <v>36</v>
      </c>
      <c r="C355" s="154" t="s">
        <v>364</v>
      </c>
      <c r="D355" s="159" t="s">
        <v>1502</v>
      </c>
      <c r="E355" s="121">
        <f>+E350+E351</f>
        <v>0</v>
      </c>
      <c r="F355" s="121">
        <f>+F350+F351</f>
        <v>0</v>
      </c>
      <c r="G355" s="121">
        <f>+G350+G351</f>
        <v>0</v>
      </c>
      <c r="H355" s="121">
        <f>+H350+H351</f>
        <v>0</v>
      </c>
      <c r="I355" s="121">
        <f>+I350+I351</f>
        <v>0</v>
      </c>
    </row>
    <row r="356" spans="2:12" ht="15.75" x14ac:dyDescent="0.25">
      <c r="B356" s="38"/>
      <c r="C356" s="156"/>
      <c r="D356" s="38"/>
      <c r="E356" s="140"/>
      <c r="F356" s="140"/>
      <c r="G356" s="140"/>
      <c r="H356" s="140"/>
      <c r="I356" s="140"/>
    </row>
    <row r="357" spans="2:12" s="10" customFormat="1" ht="15.75" customHeight="1" x14ac:dyDescent="0.25">
      <c r="B357" s="201" t="str">
        <f>CONCATENATE("12. Kiadási jogcímek"," - ",L357," részletező")</f>
        <v>12. Kiadási jogcímek -  részletező</v>
      </c>
      <c r="C357" s="101"/>
      <c r="D357" s="101"/>
      <c r="E357" s="101"/>
      <c r="F357" s="101"/>
      <c r="G357" s="198"/>
      <c r="H357" s="198"/>
      <c r="I357" s="198"/>
      <c r="L357" s="384"/>
    </row>
    <row r="358" spans="2:12" ht="15.75" x14ac:dyDescent="0.25">
      <c r="B358" s="38"/>
      <c r="C358" s="156"/>
      <c r="D358" s="38"/>
      <c r="E358" s="140"/>
      <c r="F358" s="140"/>
      <c r="G358" s="140"/>
      <c r="H358" s="140"/>
      <c r="I358" s="140"/>
    </row>
    <row r="359" spans="2:12" x14ac:dyDescent="0.25">
      <c r="B359" s="77"/>
      <c r="C359" s="77" t="s">
        <v>350</v>
      </c>
      <c r="D359" s="77" t="s">
        <v>351</v>
      </c>
      <c r="E359" s="77" t="s">
        <v>470</v>
      </c>
      <c r="F359" s="77" t="s">
        <v>471</v>
      </c>
      <c r="G359" s="77" t="s">
        <v>44</v>
      </c>
      <c r="H359" s="77" t="s">
        <v>42</v>
      </c>
      <c r="I359" s="77" t="s">
        <v>511</v>
      </c>
    </row>
    <row r="360" spans="2:12" ht="38.25" x14ac:dyDescent="0.25">
      <c r="B360" s="160">
        <v>1</v>
      </c>
      <c r="C360" s="154" t="s">
        <v>593</v>
      </c>
      <c r="D360" s="154" t="s">
        <v>488</v>
      </c>
      <c r="E360" s="163" t="str">
        <f>CONCATENATE(PAR!$H$3," évi
eredeti 
előirányzat")</f>
        <v>2025. évi
eredeti 
előirányzat</v>
      </c>
      <c r="F360" s="163" t="str">
        <f>CONCATENATE(PAR!$H$3," évi
módosított 
előirányzat")</f>
        <v>2025. évi
módosított 
előirányzat</v>
      </c>
      <c r="G360" s="78" t="s">
        <v>666</v>
      </c>
      <c r="H360" s="78" t="s">
        <v>667</v>
      </c>
      <c r="I360" s="78" t="s">
        <v>668</v>
      </c>
    </row>
    <row r="361" spans="2:12" x14ac:dyDescent="0.25">
      <c r="B361" s="160">
        <v>2</v>
      </c>
      <c r="C361" s="78" t="s">
        <v>352</v>
      </c>
      <c r="D361" s="92" t="s">
        <v>1444</v>
      </c>
      <c r="E361" s="121">
        <f>SUM(E362:E366)</f>
        <v>0</v>
      </c>
      <c r="F361" s="121">
        <f>SUM(F362:F366)</f>
        <v>0</v>
      </c>
      <c r="G361" s="121">
        <f>SUM(G362:G366)</f>
        <v>0</v>
      </c>
      <c r="H361" s="121">
        <f>SUM(H362:H366)</f>
        <v>0</v>
      </c>
      <c r="I361" s="121">
        <f>SUM(I362:I366)</f>
        <v>0</v>
      </c>
    </row>
    <row r="362" spans="2:12" x14ac:dyDescent="0.25">
      <c r="B362" s="160">
        <v>3</v>
      </c>
      <c r="C362" s="305" t="s">
        <v>315</v>
      </c>
      <c r="D362" s="93" t="s">
        <v>342</v>
      </c>
      <c r="E362" s="72">
        <f>SUMIF(Adat!$AI:$AI,CONCATENATE(61,$M$4,"051",L357),Adat!$E:$E)</f>
        <v>0</v>
      </c>
      <c r="F362" s="72">
        <f>SUMIF(Adat!$AI:$AI,CONCATENATE(60,$M$4,"051",L357),Adat!$E:$E)+E362</f>
        <v>0</v>
      </c>
      <c r="G362" s="72">
        <f>SUMIF(Adat!$AJ:$AJ,CONCATENATE($M$4,"051","(KÖT)",L357),Adat!$E:$E)</f>
        <v>0</v>
      </c>
      <c r="H362" s="72">
        <f>SUMIF(Adat!$AJ:$AJ,CONCATENATE($M$4,"051","(ÖNV)",L357),Adat!$E:$E)</f>
        <v>0</v>
      </c>
      <c r="I362" s="72">
        <f>SUMIF(Adat!$AJ:$AJ,CONCATENATE($M$4,"051","(ÁIG)",L357),Adat!$E:$E)</f>
        <v>0</v>
      </c>
    </row>
    <row r="363" spans="2:12" x14ac:dyDescent="0.25">
      <c r="B363" s="160">
        <v>4</v>
      </c>
      <c r="C363" s="305" t="s">
        <v>317</v>
      </c>
      <c r="D363" s="93" t="s">
        <v>395</v>
      </c>
      <c r="E363" s="72">
        <f>SUMIF(Adat!$AI:$AI,CONCATENATE(61,$M$4,"052",L357),Adat!$E:$E)</f>
        <v>0</v>
      </c>
      <c r="F363" s="72">
        <f>SUMIF(Adat!$AI:$AI,CONCATENATE(60,$M$4,"052",L357),Adat!$E:$E)+E363</f>
        <v>0</v>
      </c>
      <c r="G363" s="72">
        <f>SUMIF(Adat!$AJ:$AJ,CONCATENATE($M$4,"052","(KÖT)",L357),Adat!$E:$E)</f>
        <v>0</v>
      </c>
      <c r="H363" s="72">
        <f>SUMIF(Adat!$AJ:$AJ,CONCATENATE($M$4,"052","(ÖNV)",L357),Adat!$E:$E)</f>
        <v>0</v>
      </c>
      <c r="I363" s="72">
        <f>SUMIF(Adat!$AJ:$AJ,CONCATENATE($M$4,"052","(ÁIG)",L357),Adat!$E:$E)</f>
        <v>0</v>
      </c>
    </row>
    <row r="364" spans="2:12" x14ac:dyDescent="0.25">
      <c r="B364" s="160">
        <v>5</v>
      </c>
      <c r="C364" s="305" t="s">
        <v>4</v>
      </c>
      <c r="D364" s="93" t="s">
        <v>344</v>
      </c>
      <c r="E364" s="72">
        <f>SUMIF(Adat!$AI:$AI,CONCATENATE(61,$M$4,"053",L357),Adat!$E:$E)</f>
        <v>0</v>
      </c>
      <c r="F364" s="72">
        <f>SUMIF(Adat!$AI:$AI,CONCATENATE(60,$M$4,"053",L357),Adat!$E:$E)+E364</f>
        <v>0</v>
      </c>
      <c r="G364" s="72">
        <f>SUMIF(Adat!$AJ:$AJ,CONCATENATE($M$4,"053","(KÖT)",L357),Adat!$E:$E)</f>
        <v>0</v>
      </c>
      <c r="H364" s="72">
        <f>SUMIF(Adat!$AJ:$AJ,CONCATENATE($M$4,"053","(ÖNV)",L357),Adat!$E:$E)</f>
        <v>0</v>
      </c>
      <c r="I364" s="72">
        <f>SUMIF(Adat!$AJ:$AJ,CONCATENATE($M$4,"053","(ÁIG)",L357),Adat!$E:$E)</f>
        <v>0</v>
      </c>
    </row>
    <row r="365" spans="2:12" x14ac:dyDescent="0.25">
      <c r="B365" s="160">
        <v>6</v>
      </c>
      <c r="C365" s="305" t="s">
        <v>6</v>
      </c>
      <c r="D365" s="93" t="s">
        <v>345</v>
      </c>
      <c r="E365" s="72">
        <f>SUMIF(Adat!$AI:$AI,CONCATENATE(61,$M$4,"054",L357),Adat!$E:$E)</f>
        <v>0</v>
      </c>
      <c r="F365" s="72">
        <f>SUMIF(Adat!$AI:$AI,CONCATENATE(60,$M$4,"054",L357),Adat!$E:$E)+E365</f>
        <v>0</v>
      </c>
      <c r="G365" s="72">
        <f>SUMIF(Adat!$AJ:$AJ,CONCATENATE($M$4,"054","(KÖT)",L357),Adat!$E:$E)</f>
        <v>0</v>
      </c>
      <c r="H365" s="72">
        <f>SUMIF(Adat!$AJ:$AJ,CONCATENATE($M$4,"054","(ÖNV)",L357),Adat!$E:$E)</f>
        <v>0</v>
      </c>
      <c r="I365" s="72">
        <f>SUMIF(Adat!$AJ:$AJ,CONCATENATE($M$4,"054","(ÁIG)",L357),Adat!$E:$E)</f>
        <v>0</v>
      </c>
    </row>
    <row r="366" spans="2:12" x14ac:dyDescent="0.25">
      <c r="B366" s="160">
        <v>7</v>
      </c>
      <c r="C366" s="305" t="s">
        <v>8</v>
      </c>
      <c r="D366" s="93" t="s">
        <v>321</v>
      </c>
      <c r="E366" s="72">
        <f>SUMIF(Adat!$AI:$AI,CONCATENATE(61,$M$4,"055",L357),Adat!$E:$E)</f>
        <v>0</v>
      </c>
      <c r="F366" s="72">
        <f>SUMIF(Adat!$AI:$AI,CONCATENATE(60,$M$4,"055",L357),Adat!$E:$E)+E366</f>
        <v>0</v>
      </c>
      <c r="G366" s="72">
        <f>SUMIF(Adat!$AJ:$AJ,CONCATENATE($M$4,"055","(KÖT)",L357),Adat!$E:$E)</f>
        <v>0</v>
      </c>
      <c r="H366" s="72">
        <f>SUMIF(Adat!$AJ:$AJ,CONCATENATE($M$4,"055","(ÖNV)",L357),Adat!$E:$E)</f>
        <v>0</v>
      </c>
      <c r="I366" s="72">
        <f>SUMIF(Adat!$AJ:$AJ,CONCATENATE($M$4,"055","(ÁIG)",L357),Adat!$E:$E)</f>
        <v>0</v>
      </c>
    </row>
    <row r="367" spans="2:12" x14ac:dyDescent="0.25">
      <c r="B367" s="160">
        <v>8</v>
      </c>
      <c r="C367" s="78" t="s">
        <v>358</v>
      </c>
      <c r="D367" s="92" t="s">
        <v>1447</v>
      </c>
      <c r="E367" s="121">
        <f>E368+E370+E372</f>
        <v>0</v>
      </c>
      <c r="F367" s="121">
        <f>F368+F370+F372</f>
        <v>0</v>
      </c>
      <c r="G367" s="121">
        <f>G368+G370+G372</f>
        <v>0</v>
      </c>
      <c r="H367" s="121">
        <f>H368+H370+H372</f>
        <v>0</v>
      </c>
      <c r="I367" s="121">
        <f>I368+I370+I372</f>
        <v>0</v>
      </c>
    </row>
    <row r="368" spans="2:12" x14ac:dyDescent="0.25">
      <c r="B368" s="160">
        <v>9</v>
      </c>
      <c r="C368" s="305" t="s">
        <v>10</v>
      </c>
      <c r="D368" s="93" t="s">
        <v>322</v>
      </c>
      <c r="E368" s="72">
        <f>SUMIF(Adat!$AI:$AI,CONCATENATE(61,$M$4,"056",L357),Adat!$E:$E)</f>
        <v>0</v>
      </c>
      <c r="F368" s="72">
        <f>SUMIF(Adat!$AI:$AI,CONCATENATE(60,$M$4,"056",L357),Adat!$E:$E)+E368</f>
        <v>0</v>
      </c>
      <c r="G368" s="72">
        <f>SUMIF(Adat!$AJ:$AJ,CONCATENATE($M$4,"056","(KÖT)",L357),Adat!$E:$E)</f>
        <v>0</v>
      </c>
      <c r="H368" s="72">
        <f>SUMIF(Adat!$AJ:$AJ,CONCATENATE($M$4,"056","(ÖNV)",L357),Adat!$E:$E)</f>
        <v>0</v>
      </c>
      <c r="I368" s="72">
        <f>SUMIF(Adat!$AJ:$AJ,CONCATENATE($M$4,"056","(ÁIG)",L357),Adat!$E:$E)</f>
        <v>0</v>
      </c>
    </row>
    <row r="369" spans="2:12" x14ac:dyDescent="0.25">
      <c r="B369" s="160">
        <v>10</v>
      </c>
      <c r="C369" s="305" t="s">
        <v>10</v>
      </c>
      <c r="D369" s="93" t="s">
        <v>1448</v>
      </c>
      <c r="E369" s="72">
        <v>0</v>
      </c>
      <c r="F369" s="72">
        <f>SUM(G369:I369)</f>
        <v>0</v>
      </c>
      <c r="G369" s="72">
        <v>0</v>
      </c>
      <c r="H369" s="72">
        <v>0</v>
      </c>
      <c r="I369" s="72">
        <v>0</v>
      </c>
    </row>
    <row r="370" spans="2:12" x14ac:dyDescent="0.25">
      <c r="B370" s="160">
        <v>11</v>
      </c>
      <c r="C370" s="305" t="s">
        <v>12</v>
      </c>
      <c r="D370" s="93" t="s">
        <v>323</v>
      </c>
      <c r="E370" s="72">
        <f>SUMIF(Adat!$AI:$AI,CONCATENATE(61,$M$4,"057",L357),Adat!$E:$E)</f>
        <v>0</v>
      </c>
      <c r="F370" s="72">
        <f>SUMIF(Adat!$AI:$AI,CONCATENATE(60,$M$4,"057",L357),Adat!$E:$E)+E370</f>
        <v>0</v>
      </c>
      <c r="G370" s="72">
        <f>SUMIF(Adat!$AJ:$AJ,CONCATENATE($M$4,"057","(KÖT)",L357),Adat!$E:$E)</f>
        <v>0</v>
      </c>
      <c r="H370" s="72">
        <f>SUMIF(Adat!$AJ:$AJ,CONCATENATE($M$4,"057","(ÖNV)",L357),Adat!$E:$E)</f>
        <v>0</v>
      </c>
      <c r="I370" s="72">
        <f>SUMIF(Adat!$AJ:$AJ,CONCATENATE($M$4,"057","(ÁIG)",L357),Adat!$E:$E)</f>
        <v>0</v>
      </c>
    </row>
    <row r="371" spans="2:12" x14ac:dyDescent="0.25">
      <c r="B371" s="160">
        <v>12</v>
      </c>
      <c r="C371" s="305" t="s">
        <v>12</v>
      </c>
      <c r="D371" s="93" t="s">
        <v>1449</v>
      </c>
      <c r="E371" s="72">
        <v>0</v>
      </c>
      <c r="F371" s="72">
        <f>SUM(G371:I371)</f>
        <v>0</v>
      </c>
      <c r="G371" s="72">
        <v>0</v>
      </c>
      <c r="H371" s="72">
        <v>0</v>
      </c>
      <c r="I371" s="72">
        <v>0</v>
      </c>
    </row>
    <row r="372" spans="2:12" x14ac:dyDescent="0.25">
      <c r="B372" s="160">
        <v>13</v>
      </c>
      <c r="C372" s="305" t="s">
        <v>15</v>
      </c>
      <c r="D372" s="84" t="s">
        <v>324</v>
      </c>
      <c r="E372" s="72">
        <f>SUMIF(Adat!$AI:$AI,CONCATENATE(61,$M$4,"058",L357),Adat!$E:$E)</f>
        <v>0</v>
      </c>
      <c r="F372" s="72">
        <f>SUMIF(Adat!$AI:$AI,CONCATENATE(60,$M$4,"058",L357),Adat!$E:$E)+E372</f>
        <v>0</v>
      </c>
      <c r="G372" s="72">
        <f>SUMIF(Adat!$AJ:$AJ,CONCATENATE($M$4,"058","(KÖT)",L357),Adat!$E:$E)</f>
        <v>0</v>
      </c>
      <c r="H372" s="72">
        <f>SUMIF(Adat!$AJ:$AJ,CONCATENATE($M$4,"058","(ÖNV)",L357),Adat!$E:$E)</f>
        <v>0</v>
      </c>
      <c r="I372" s="72">
        <f>SUMIF(Adat!$AJ:$AJ,CONCATENATE($M$4,"058","(ÁIG)",L357),Adat!$E:$E)</f>
        <v>0</v>
      </c>
    </row>
    <row r="373" spans="2:12" x14ac:dyDescent="0.25">
      <c r="B373" s="160">
        <v>14</v>
      </c>
      <c r="C373" s="154" t="s">
        <v>364</v>
      </c>
      <c r="D373" s="86" t="s">
        <v>325</v>
      </c>
      <c r="E373" s="71">
        <f>SUMIF(Adat!$AI:$AI,CONCATENATE(61,$M$4,"059",L357),Adat!$E:$E)</f>
        <v>0</v>
      </c>
      <c r="F373" s="71">
        <f>SUMIF(Adat!$AI:$AI,CONCATENATE(60,$M$4,"059",L357),Adat!$E:$E)+E373</f>
        <v>0</v>
      </c>
      <c r="G373" s="71">
        <f>SUMIF(Adat!$AJ:$AJ,CONCATENATE($M$4,"059","(KÖT)",L357),Adat!$E:$E)</f>
        <v>0</v>
      </c>
      <c r="H373" s="71">
        <f>SUMIF(Adat!$AJ:$AJ,CONCATENATE($M$4,"059","(ÖNV)",L357),Adat!$E:$E)</f>
        <v>0</v>
      </c>
      <c r="I373" s="71">
        <f>SUMIF(Adat!$AJ:$AJ,CONCATENATE($M$4,"059","(ÁIG)",L357),Adat!$E:$E)</f>
        <v>0</v>
      </c>
    </row>
    <row r="374" spans="2:12" x14ac:dyDescent="0.25">
      <c r="B374" s="160">
        <v>15</v>
      </c>
      <c r="C374" s="154" t="s">
        <v>403</v>
      </c>
      <c r="D374" s="159" t="s">
        <v>497</v>
      </c>
      <c r="E374" s="121">
        <f>E361+E367+E373</f>
        <v>0</v>
      </c>
      <c r="F374" s="121">
        <f>F361+F367+F373</f>
        <v>0</v>
      </c>
      <c r="G374" s="121">
        <f>G361+G367+G373</f>
        <v>0</v>
      </c>
      <c r="H374" s="121">
        <f>H361+H367+H373</f>
        <v>0</v>
      </c>
      <c r="I374" s="121">
        <f>I361+I367+I373</f>
        <v>0</v>
      </c>
    </row>
    <row r="375" spans="2:12" ht="15.75" x14ac:dyDescent="0.25">
      <c r="B375" s="37"/>
      <c r="C375" s="529"/>
      <c r="D375" s="529"/>
      <c r="E375" s="529"/>
      <c r="F375" s="200"/>
      <c r="G375" s="200"/>
      <c r="H375" s="200"/>
      <c r="I375" s="200"/>
    </row>
    <row r="376" spans="2:12" ht="15.75" x14ac:dyDescent="0.25">
      <c r="B376" s="525" t="str">
        <f>$N$4</f>
        <v>Nagymarosi Napköziotthonos Óvoda és Bölcsőde</v>
      </c>
      <c r="C376" s="525"/>
      <c r="D376" s="525"/>
      <c r="E376" s="525"/>
      <c r="F376" s="525"/>
      <c r="G376" s="525"/>
      <c r="H376" s="525"/>
      <c r="I376" s="525"/>
    </row>
    <row r="377" spans="2:12" ht="15.75" x14ac:dyDescent="0.25">
      <c r="B377" s="525" t="s">
        <v>2660</v>
      </c>
      <c r="C377" s="525"/>
      <c r="D377" s="525"/>
      <c r="E377" s="525"/>
      <c r="F377" s="525"/>
      <c r="G377" s="525"/>
      <c r="H377" s="525"/>
      <c r="I377" s="525"/>
    </row>
    <row r="378" spans="2:12" ht="15.75" x14ac:dyDescent="0.25">
      <c r="B378" s="38"/>
      <c r="C378" s="156"/>
      <c r="D378" s="38"/>
      <c r="E378" s="140"/>
      <c r="F378" s="140"/>
      <c r="G378" s="140"/>
      <c r="H378" s="140"/>
      <c r="I378" s="140"/>
    </row>
    <row r="379" spans="2:12" s="10" customFormat="1" ht="15.75" customHeight="1" x14ac:dyDescent="0.25">
      <c r="B379" s="201" t="str">
        <f>CONCATENATE("13. Bevételi jogcímek"," - ",L379," részletező")</f>
        <v>13. Bevételi jogcímek -  részletező</v>
      </c>
      <c r="C379" s="101"/>
      <c r="D379" s="101"/>
      <c r="E379" s="101"/>
      <c r="F379" s="101"/>
      <c r="G379" s="198"/>
      <c r="H379" s="198"/>
      <c r="I379" s="198"/>
      <c r="L379" s="384"/>
    </row>
    <row r="380" spans="2:12" ht="15.75" x14ac:dyDescent="0.25">
      <c r="B380" s="38"/>
      <c r="C380" s="156"/>
      <c r="D380" s="38"/>
      <c r="E380" s="140"/>
      <c r="F380" s="140"/>
      <c r="G380" s="140"/>
      <c r="H380" s="140"/>
      <c r="I380" s="140"/>
    </row>
    <row r="381" spans="2:12" x14ac:dyDescent="0.25">
      <c r="B381" s="77"/>
      <c r="C381" s="77" t="s">
        <v>350</v>
      </c>
      <c r="D381" s="77" t="s">
        <v>351</v>
      </c>
      <c r="E381" s="77" t="s">
        <v>470</v>
      </c>
      <c r="F381" s="77" t="s">
        <v>471</v>
      </c>
      <c r="G381" s="77" t="s">
        <v>44</v>
      </c>
      <c r="H381" s="77" t="s">
        <v>42</v>
      </c>
      <c r="I381" s="77" t="s">
        <v>511</v>
      </c>
    </row>
    <row r="382" spans="2:12" ht="38.25" x14ac:dyDescent="0.25">
      <c r="B382" s="160">
        <v>1</v>
      </c>
      <c r="C382" s="154" t="s">
        <v>593</v>
      </c>
      <c r="D382" s="154" t="s">
        <v>488</v>
      </c>
      <c r="E382" s="163" t="str">
        <f>CONCATENATE(PAR!$H$3," évi
eredeti 
előirányzat")</f>
        <v>2025. évi
eredeti 
előirányzat</v>
      </c>
      <c r="F382" s="163" t="str">
        <f>CONCATENATE(PAR!$H$3," évi
módosított 
előirányzat")</f>
        <v>2025. évi
módosított 
előirányzat</v>
      </c>
      <c r="G382" s="78" t="s">
        <v>666</v>
      </c>
      <c r="H382" s="78" t="s">
        <v>667</v>
      </c>
      <c r="I382" s="78" t="s">
        <v>668</v>
      </c>
    </row>
    <row r="383" spans="2:12" x14ac:dyDescent="0.25">
      <c r="B383" s="160">
        <v>2</v>
      </c>
      <c r="C383" s="79" t="s">
        <v>30</v>
      </c>
      <c r="D383" s="79" t="s">
        <v>329</v>
      </c>
      <c r="E383" s="121">
        <f>SUM(E384:E396)</f>
        <v>0</v>
      </c>
      <c r="F383" s="121">
        <f t="shared" ref="F383:I383" si="24">SUM(F384:F396)</f>
        <v>0</v>
      </c>
      <c r="G383" s="121">
        <f t="shared" si="24"/>
        <v>0</v>
      </c>
      <c r="H383" s="121">
        <f t="shared" si="24"/>
        <v>0</v>
      </c>
      <c r="I383" s="121">
        <f t="shared" si="24"/>
        <v>0</v>
      </c>
    </row>
    <row r="384" spans="2:12" x14ac:dyDescent="0.2">
      <c r="B384" s="160">
        <v>3</v>
      </c>
      <c r="C384" s="305" t="s">
        <v>1309</v>
      </c>
      <c r="D384" s="82" t="s">
        <v>1356</v>
      </c>
      <c r="E384" s="72">
        <f>SUMIF(Adat!$AG:$AG,CONCATENATE(61,$M$4,"094011",L379),Adat!$E:$E)*-1</f>
        <v>0</v>
      </c>
      <c r="F384" s="72">
        <f>SUMIF(Adat!$AG:$AG,CONCATENATE(60,$M$4,"094011",L379),Adat!$E:$E)*-1+E384</f>
        <v>0</v>
      </c>
      <c r="G384" s="72">
        <f>SUMIF(Adat!$AH:$AH,CONCATENATE($M$4,"(KÖT)","094011",L379),Adat!$E:$E)*-1</f>
        <v>0</v>
      </c>
      <c r="H384" s="72">
        <f>SUMIF(Adat!$AH:$AH,CONCATENATE($M$4,"(ÖNV)","094011",L379),Adat!$E:$E)*-1</f>
        <v>0</v>
      </c>
      <c r="I384" s="72">
        <f>SUMIF(Adat!$AH:$AH,CONCATENATE($M$4,"(ÁIG)","094011",L379),Adat!$E:$E)*-1</f>
        <v>0</v>
      </c>
    </row>
    <row r="385" spans="2:9" x14ac:dyDescent="0.2">
      <c r="B385" s="160">
        <v>4</v>
      </c>
      <c r="C385" s="305" t="s">
        <v>1279</v>
      </c>
      <c r="D385" s="82" t="s">
        <v>1357</v>
      </c>
      <c r="E385" s="72">
        <f>SUMIF(Adat!$AG:$AG,CONCATENATE(61,$M$4,"094021",L379),Adat!$E:$E)*-1</f>
        <v>0</v>
      </c>
      <c r="F385" s="72">
        <f>SUMIF(Adat!$AG:$AG,CONCATENATE(60,$M$4,"094021",L379),Adat!$E:$E)*-1+E385</f>
        <v>0</v>
      </c>
      <c r="G385" s="72">
        <f>SUMIF(Adat!$AH:$AH,CONCATENATE($M$4,"(KÖT)","094021",L379),Adat!$E:$E)*-1</f>
        <v>0</v>
      </c>
      <c r="H385" s="72">
        <f>SUMIF(Adat!$AH:$AH,CONCATENATE($M$4,"(ÖNV)","094021",L379),Adat!$E:$E)*-1</f>
        <v>0</v>
      </c>
      <c r="I385" s="72">
        <f>SUMIF(Adat!$AH:$AH,CONCATENATE($M$4,"(ÁIG)","094021",L379),Adat!$E:$E)*-1</f>
        <v>0</v>
      </c>
    </row>
    <row r="386" spans="2:9" x14ac:dyDescent="0.2">
      <c r="B386" s="160">
        <v>5</v>
      </c>
      <c r="C386" s="305" t="s">
        <v>1272</v>
      </c>
      <c r="D386" s="82" t="s">
        <v>1358</v>
      </c>
      <c r="E386" s="72">
        <f>SUMIF(Adat!$AG:$AG,CONCATENATE(61,$M$4,"094031",L379),Adat!$E:$E)*-1</f>
        <v>0</v>
      </c>
      <c r="F386" s="72">
        <f>SUMIF(Adat!$AG:$AG,CONCATENATE(60,$M$4,"094031",L379),Adat!$E:$E)*-1+E386</f>
        <v>0</v>
      </c>
      <c r="G386" s="72">
        <f>SUMIF(Adat!$AH:$AH,CONCATENATE($M$4,"(KÖT)","094031",L379),Adat!$E:$E)*-1</f>
        <v>0</v>
      </c>
      <c r="H386" s="72">
        <f>SUMIF(Adat!$AH:$AH,CONCATENATE($M$4,"(ÖNV)","094031",L379),Adat!$E:$E)*-1</f>
        <v>0</v>
      </c>
      <c r="I386" s="72">
        <f>SUMIF(Adat!$AH:$AH,CONCATENATE($M$4,"(ÁIG)","094031",L379),Adat!$E:$E)*-1</f>
        <v>0</v>
      </c>
    </row>
    <row r="387" spans="2:9" x14ac:dyDescent="0.2">
      <c r="B387" s="160">
        <v>6</v>
      </c>
      <c r="C387" s="305" t="s">
        <v>1359</v>
      </c>
      <c r="D387" s="82" t="s">
        <v>1360</v>
      </c>
      <c r="E387" s="72">
        <f>SUMIF(Adat!$AG:$AG,CONCATENATE(61,$M$4,"094041",L379),Adat!$E:$E)*-1</f>
        <v>0</v>
      </c>
      <c r="F387" s="72">
        <f>SUMIF(Adat!$AG:$AG,CONCATENATE(60,$M$4,"094041",L379),Adat!$E:$E)*-1+E387</f>
        <v>0</v>
      </c>
      <c r="G387" s="72">
        <f>SUMIF(Adat!$AH:$AH,CONCATENATE($M$4,"(KÖT)","094041",L379),Adat!$E:$E)*-1</f>
        <v>0</v>
      </c>
      <c r="H387" s="72">
        <f>SUMIF(Adat!$AH:$AH,CONCATENATE($M$4,"(ÖNV)","094041",L379),Adat!$E:$E)*-1</f>
        <v>0</v>
      </c>
      <c r="I387" s="72">
        <f>SUMIF(Adat!$AH:$AH,CONCATENATE($M$4,"(ÁIG)","094041",L379),Adat!$E:$E)*-1</f>
        <v>0</v>
      </c>
    </row>
    <row r="388" spans="2:9" x14ac:dyDescent="0.2">
      <c r="B388" s="160">
        <v>7</v>
      </c>
      <c r="C388" s="305" t="s">
        <v>1261</v>
      </c>
      <c r="D388" s="82" t="s">
        <v>1361</v>
      </c>
      <c r="E388" s="72">
        <f>SUMIF(Adat!$AG:$AG,CONCATENATE(61,$M$4,"094051",L379),Adat!$E:$E)*-1</f>
        <v>0</v>
      </c>
      <c r="F388" s="72">
        <f>SUMIF(Adat!$AG:$AG,CONCATENATE(60,$M$4,"094051",L379),Adat!$E:$E)*-1+E388</f>
        <v>0</v>
      </c>
      <c r="G388" s="72">
        <f>SUMIF(Adat!$AH:$AH,CONCATENATE($M$4,"(KÖT)","094051",L379),Adat!$E:$E)*-1</f>
        <v>0</v>
      </c>
      <c r="H388" s="72">
        <f>SUMIF(Adat!$AH:$AH,CONCATENATE($M$4,"(ÖNV)","094051",L379),Adat!$E:$E)*-1</f>
        <v>0</v>
      </c>
      <c r="I388" s="72">
        <f>SUMIF(Adat!$AH:$AH,CONCATENATE($M$4,"(ÁIG)","094051",L379),Adat!$E:$E)*-1</f>
        <v>0</v>
      </c>
    </row>
    <row r="389" spans="2:9" x14ac:dyDescent="0.2">
      <c r="B389" s="160">
        <v>8</v>
      </c>
      <c r="C389" s="305" t="s">
        <v>1273</v>
      </c>
      <c r="D389" s="82" t="s">
        <v>1362</v>
      </c>
      <c r="E389" s="72">
        <f>SUMIF(Adat!$AG:$AG,CONCATENATE(61,$M$4,"094061",L379),Adat!$E:$E)*-1</f>
        <v>0</v>
      </c>
      <c r="F389" s="72">
        <f>SUMIF(Adat!$AG:$AG,CONCATENATE(60,$M$4,"094061",L379),Adat!$E:$E)*-1+E389</f>
        <v>0</v>
      </c>
      <c r="G389" s="72">
        <f>SUMIF(Adat!$AH:$AH,CONCATENATE($M$4,"(KÖT)","094061",L379),Adat!$E:$E)*-1</f>
        <v>0</v>
      </c>
      <c r="H389" s="72">
        <f>SUMIF(Adat!$AH:$AH,CONCATENATE($M$4,"(ÖNV)","094061",L379),Adat!$E:$E)*-1</f>
        <v>0</v>
      </c>
      <c r="I389" s="72">
        <f>SUMIF(Adat!$AH:$AH,CONCATENATE($M$4,"(ÁIG)","094061",L379),Adat!$E:$E)*-1</f>
        <v>0</v>
      </c>
    </row>
    <row r="390" spans="2:9" x14ac:dyDescent="0.2">
      <c r="B390" s="160">
        <v>9</v>
      </c>
      <c r="C390" s="305" t="s">
        <v>1363</v>
      </c>
      <c r="D390" s="82" t="s">
        <v>1364</v>
      </c>
      <c r="E390" s="72">
        <f>SUMIF(Adat!$AG:$AG,CONCATENATE(61,$M$4,"094071",L379),Adat!$E:$E)*-1</f>
        <v>0</v>
      </c>
      <c r="F390" s="72">
        <f>SUMIF(Adat!$AG:$AG,CONCATENATE(60,$M$4,"094071",L379),Adat!$E:$E)*-1+E390</f>
        <v>0</v>
      </c>
      <c r="G390" s="72">
        <f>SUMIF(Adat!$AH:$AH,CONCATENATE($M$4,"(KÖT)","094071",L379),Adat!$E:$E)*-1</f>
        <v>0</v>
      </c>
      <c r="H390" s="72">
        <f>SUMIF(Adat!$AH:$AH,CONCATENATE($M$4,"(ÖNV)","094071",L379),Adat!$E:$E)*-1</f>
        <v>0</v>
      </c>
      <c r="I390" s="72">
        <f>SUMIF(Adat!$AH:$AH,CONCATENATE($M$4,"(ÁIG)","094071",L379),Adat!$E:$E)*-1</f>
        <v>0</v>
      </c>
    </row>
    <row r="391" spans="2:9" x14ac:dyDescent="0.2">
      <c r="B391" s="160">
        <v>10</v>
      </c>
      <c r="C391" s="305" t="s">
        <v>1306</v>
      </c>
      <c r="D391" s="82" t="s">
        <v>1365</v>
      </c>
      <c r="E391" s="72">
        <f>SUMIF(Adat!$AG:$AG,CONCATENATE(61,$M$4,"0940811",L379),Adat!$E:$E)*-1</f>
        <v>0</v>
      </c>
      <c r="F391" s="72">
        <f>SUMIF(Adat!$AG:$AG,CONCATENATE(60,$M$4,"0940811",L379),Adat!$E:$E)*-1+E391</f>
        <v>0</v>
      </c>
      <c r="G391" s="72">
        <f>SUMIF(Adat!$AH:$AH,CONCATENATE($M$4,"(KÖT)","0940811",L379),Adat!$E:$E)*-1</f>
        <v>0</v>
      </c>
      <c r="H391" s="72">
        <f>SUMIF(Adat!$AH:$AH,CONCATENATE($M$4,"(ÖNV)","0940811",L379),Adat!$E:$E)*-1</f>
        <v>0</v>
      </c>
      <c r="I391" s="72">
        <f>SUMIF(Adat!$AH:$AH,CONCATENATE($M$4,"(ÁIG)","0940811",L379),Adat!$E:$E)*-1</f>
        <v>0</v>
      </c>
    </row>
    <row r="392" spans="2:9" x14ac:dyDescent="0.2">
      <c r="B392" s="160">
        <v>11</v>
      </c>
      <c r="C392" s="305" t="s">
        <v>1295</v>
      </c>
      <c r="D392" s="82" t="s">
        <v>1366</v>
      </c>
      <c r="E392" s="72">
        <f>SUMIF(Adat!$AG:$AG,CONCATENATE(61,$M$4,"0940821",L379),Adat!$E:$E)*-1</f>
        <v>0</v>
      </c>
      <c r="F392" s="72">
        <f>SUMIF(Adat!$AG:$AG,CONCATENATE(60,$M$4,"0940821",L379),Adat!$E:$E)*-1+E392</f>
        <v>0</v>
      </c>
      <c r="G392" s="72">
        <f>SUMIF(Adat!$AH:$AH,CONCATENATE($M$4,"(KÖT)","0940821",L379),Adat!$E:$E)*-1</f>
        <v>0</v>
      </c>
      <c r="H392" s="72">
        <f>SUMIF(Adat!$AH:$AH,CONCATENATE($M$4,"(ÖNV)","0940821",L379),Adat!$E:$E)*-1</f>
        <v>0</v>
      </c>
      <c r="I392" s="72">
        <f>SUMIF(Adat!$AH:$AH,CONCATENATE($M$4,"(ÁIG)","0940821",L379),Adat!$E:$E)*-1</f>
        <v>0</v>
      </c>
    </row>
    <row r="393" spans="2:9" x14ac:dyDescent="0.2">
      <c r="B393" s="160">
        <v>12</v>
      </c>
      <c r="C393" s="305" t="s">
        <v>1367</v>
      </c>
      <c r="D393" s="82" t="s">
        <v>1368</v>
      </c>
      <c r="E393" s="72">
        <f>SUMIF(Adat!$AG:$AG,CONCATENATE(61,$M$4,"0940911",L379),Adat!$E:$E)*-1</f>
        <v>0</v>
      </c>
      <c r="F393" s="72">
        <f>SUMIF(Adat!$AG:$AG,CONCATENATE(60,$M$4,"0940911",L379),Adat!$E:$E)*-1+E393</f>
        <v>0</v>
      </c>
      <c r="G393" s="72">
        <f>SUMIF(Adat!$AH:$AH,CONCATENATE($M$4,"(KÖT)","0940911",L379),Adat!$E:$E)*-1</f>
        <v>0</v>
      </c>
      <c r="H393" s="72">
        <f>SUMIF(Adat!$AH:$AH,CONCATENATE($M$4,"(ÖNV)","0940911",L379),Adat!$E:$E)*-1</f>
        <v>0</v>
      </c>
      <c r="I393" s="72">
        <f>SUMIF(Adat!$AH:$AH,CONCATENATE($M$4,"(ÁIG)","0940911",L379),Adat!$E:$E)*-1</f>
        <v>0</v>
      </c>
    </row>
    <row r="394" spans="2:9" x14ac:dyDescent="0.2">
      <c r="B394" s="160">
        <v>13</v>
      </c>
      <c r="C394" s="305" t="s">
        <v>1369</v>
      </c>
      <c r="D394" s="82" t="s">
        <v>1370</v>
      </c>
      <c r="E394" s="72">
        <f>SUMIF(Adat!$AG:$AG,CONCATENATE(61,$M$4,"0940921",L379),Adat!$E:$E)*-1</f>
        <v>0</v>
      </c>
      <c r="F394" s="72">
        <f>SUMIF(Adat!$AG:$AG,CONCATENATE(60,$M$4,"0940921",L379),Adat!$E:$E)*-1+E394</f>
        <v>0</v>
      </c>
      <c r="G394" s="72">
        <f>SUMIF(Adat!$AH:$AH,CONCATENATE($M$4,"(KÖT)","0940921",L379),Adat!$E:$E)*-1</f>
        <v>0</v>
      </c>
      <c r="H394" s="72">
        <f>SUMIF(Adat!$AH:$AH,CONCATENATE($M$4,"(ÖNV)","0940921",L379),Adat!$E:$E)*-1</f>
        <v>0</v>
      </c>
      <c r="I394" s="72">
        <f>SUMIF(Adat!$AH:$AH,CONCATENATE($M$4,"(ÁIG)","0940921",L379),Adat!$E:$E)*-1</f>
        <v>0</v>
      </c>
    </row>
    <row r="395" spans="2:9" x14ac:dyDescent="0.2">
      <c r="B395" s="160">
        <v>14</v>
      </c>
      <c r="C395" s="305" t="s">
        <v>1296</v>
      </c>
      <c r="D395" s="82" t="s">
        <v>1371</v>
      </c>
      <c r="E395" s="72">
        <f>SUMIF(Adat!$AG:$AG,CONCATENATE(61,$M$4,"094101",L379),Adat!$E:$E)*-1</f>
        <v>0</v>
      </c>
      <c r="F395" s="72">
        <f>SUMIF(Adat!$AG:$AG,CONCATENATE(60,$M$4,"094101",L379),Adat!$E:$E)*-1+E395</f>
        <v>0</v>
      </c>
      <c r="G395" s="72">
        <f>SUMIF(Adat!$AH:$AH,CONCATENATE($M$4,"(KÖT)","094101",L379),Adat!$E:$E)*-1</f>
        <v>0</v>
      </c>
      <c r="H395" s="72">
        <f>SUMIF(Adat!$AH:$AH,CONCATENATE($M$4,"(ÖNV)","094101",L379),Adat!$E:$E)*-1</f>
        <v>0</v>
      </c>
      <c r="I395" s="72">
        <f>SUMIF(Adat!$AH:$AH,CONCATENATE($M$4,"(ÁIG)","094101",L379),Adat!$E:$E)*-1</f>
        <v>0</v>
      </c>
    </row>
    <row r="396" spans="2:9" x14ac:dyDescent="0.25">
      <c r="B396" s="160">
        <v>15</v>
      </c>
      <c r="C396" s="305" t="s">
        <v>1297</v>
      </c>
      <c r="D396" s="84" t="s">
        <v>1372</v>
      </c>
      <c r="E396" s="72">
        <f>SUMIF(Adat!$AG:$AG,CONCATENATE(61,$M$4,"094111",L379),Adat!$E:$E)*-1</f>
        <v>0</v>
      </c>
      <c r="F396" s="72">
        <f>SUMIF(Adat!$AG:$AG,CONCATENATE(60,$M$4,"094111",L379),Adat!$E:$E)*-1+E396</f>
        <v>0</v>
      </c>
      <c r="G396" s="72">
        <f>SUMIF(Adat!$AH:$AH,CONCATENATE($M$4,"(KÖT)","094111",L379),Adat!$E:$E)*-1</f>
        <v>0</v>
      </c>
      <c r="H396" s="72">
        <f>SUMIF(Adat!$AH:$AH,CONCATENATE($M$4,"(ÖNV)","094111",L379),Adat!$E:$E)*-1</f>
        <v>0</v>
      </c>
      <c r="I396" s="72">
        <f>SUMIF(Adat!$AH:$AH,CONCATENATE($M$4,"(ÁIG)","094111",L379),Adat!$E:$E)*-1</f>
        <v>0</v>
      </c>
    </row>
    <row r="397" spans="2:9" x14ac:dyDescent="0.25">
      <c r="B397" s="160">
        <v>16</v>
      </c>
      <c r="C397" s="78" t="s">
        <v>1328</v>
      </c>
      <c r="D397" s="85" t="s">
        <v>437</v>
      </c>
      <c r="E397" s="121">
        <f>SUM(E398:E400)</f>
        <v>0</v>
      </c>
      <c r="F397" s="121">
        <f>SUM(F398:F400)</f>
        <v>0</v>
      </c>
      <c r="G397" s="121">
        <f>SUM(G398:G400)</f>
        <v>0</v>
      </c>
      <c r="H397" s="121">
        <f>SUM(H398:H400)</f>
        <v>0</v>
      </c>
      <c r="I397" s="121">
        <f>SUM(I398:I400)</f>
        <v>0</v>
      </c>
    </row>
    <row r="398" spans="2:9" x14ac:dyDescent="0.2">
      <c r="B398" s="160">
        <v>17</v>
      </c>
      <c r="C398" s="305" t="s">
        <v>1329</v>
      </c>
      <c r="D398" s="82" t="s">
        <v>1330</v>
      </c>
      <c r="E398" s="72">
        <f>SUMIF(Adat!$AG:$AG,CONCATENATE(61,$M$4,"09121",L379),Adat!$E:$E)*-1</f>
        <v>0</v>
      </c>
      <c r="F398" s="72">
        <f>SUMIF(Adat!$AG:$AG,CONCATENATE(60,$M$4,"09121",L379),Adat!$E:$E)*-1+E398</f>
        <v>0</v>
      </c>
      <c r="G398" s="72">
        <f>SUMIF(Adat!$AH:$AH,CONCATENATE($M$4,"(KÖT)","09121",L379),Adat!$E:$E)*-1</f>
        <v>0</v>
      </c>
      <c r="H398" s="72">
        <f>SUMIF(Adat!$AH:$AH,CONCATENATE($M$4,"(ÖNV)","09121",L379),Adat!$E:$E)*-1</f>
        <v>0</v>
      </c>
      <c r="I398" s="72">
        <f>SUMIF(Adat!$AH:$AH,CONCATENATE($M$4,"(ÁIG)","09121",L379),Adat!$E:$E)*-1</f>
        <v>0</v>
      </c>
    </row>
    <row r="399" spans="2:9" x14ac:dyDescent="0.2">
      <c r="B399" s="160">
        <v>18</v>
      </c>
      <c r="C399" s="305" t="s">
        <v>1335</v>
      </c>
      <c r="D399" s="82" t="s">
        <v>1336</v>
      </c>
      <c r="E399" s="72">
        <f>SUMIF(Adat!$AG:$AG,CONCATENATE(61,$M$4,"09151",L379),Adat!$E:$E)*-1</f>
        <v>0</v>
      </c>
      <c r="F399" s="72">
        <f>SUMIF(Adat!$AG:$AG,CONCATENATE(60,$M$4,"09151",L379),Adat!$E:$E)*-1+E399</f>
        <v>0</v>
      </c>
      <c r="G399" s="72">
        <f>SUMIF(Adat!$AH:$AH,CONCATENATE($M$4,"(KÖT)","09151",L379),Adat!$E:$E)*-1</f>
        <v>0</v>
      </c>
      <c r="H399" s="72">
        <f>SUMIF(Adat!$AH:$AH,CONCATENATE($M$4,"(ÖNV)","09151",L379),Adat!$E:$E)*-1</f>
        <v>0</v>
      </c>
      <c r="I399" s="72">
        <f>SUMIF(Adat!$AH:$AH,CONCATENATE($M$4,"(ÁIG)","09151",L379),Adat!$E:$E)*-1</f>
        <v>0</v>
      </c>
    </row>
    <row r="400" spans="2:9" x14ac:dyDescent="0.2">
      <c r="B400" s="160">
        <v>19</v>
      </c>
      <c r="C400" s="305" t="s">
        <v>1278</v>
      </c>
      <c r="D400" s="82" t="s">
        <v>1337</v>
      </c>
      <c r="E400" s="72">
        <f>SUMIF(Adat!$AG:$AG,CONCATENATE(61,$M$4,"09161",L379),Adat!$E:$E)*-1</f>
        <v>0</v>
      </c>
      <c r="F400" s="72">
        <f>SUMIF(Adat!$AG:$AG,CONCATENATE(60,$M$4,"09161",L379),Adat!$E:$E)*-1+E400</f>
        <v>0</v>
      </c>
      <c r="G400" s="72">
        <f>SUMIF(Adat!$AH:$AH,CONCATENATE($M$4,"(KÖT)","09161",L379),Adat!$E:$E)*-1</f>
        <v>0</v>
      </c>
      <c r="H400" s="72">
        <f>SUMIF(Adat!$AH:$AH,CONCATENATE($M$4,"(ÖNV)","09161",L379),Adat!$E:$E)*-1</f>
        <v>0</v>
      </c>
      <c r="I400" s="72">
        <f>SUMIF(Adat!$AH:$AH,CONCATENATE($M$4,"(ÁIG)","09161",L379),Adat!$E:$E)*-1</f>
        <v>0</v>
      </c>
    </row>
    <row r="401" spans="2:9" x14ac:dyDescent="0.25">
      <c r="B401" s="160">
        <v>20</v>
      </c>
      <c r="C401" s="79" t="s">
        <v>27</v>
      </c>
      <c r="D401" s="79" t="s">
        <v>328</v>
      </c>
      <c r="E401" s="71">
        <f>SUMIF(Adat!$AI:$AI,CONCATENATE(61,$M$4,"093",L379),Adat!$E:$E)*-1</f>
        <v>0</v>
      </c>
      <c r="F401" s="71">
        <f>SUMIF(Adat!$AI:$AI,CONCATENATE(60,$M$4,"093",L379),Adat!$E:$E)*-1+E401</f>
        <v>0</v>
      </c>
      <c r="G401" s="71">
        <f>SUMIF(Adat!$AJ:$AJ,CONCATENATE($M$4,"093","(KÖT)",L379),Adat!$E:$E)*-1</f>
        <v>0</v>
      </c>
      <c r="H401" s="71">
        <f>SUMIF(Adat!$AJ:$AJ,CONCATENATE($M$4,"093","(ÖNV)",L379),Adat!$E:$E)*-1</f>
        <v>0</v>
      </c>
      <c r="I401" s="71">
        <f>SUMIF(Adat!$AJ:$AJ,CONCATENATE($M$4,"093","(ÁIG)",L379),Adat!$E:$E)*-1</f>
        <v>0</v>
      </c>
    </row>
    <row r="402" spans="2:9" x14ac:dyDescent="0.25">
      <c r="B402" s="160">
        <v>21</v>
      </c>
      <c r="C402" s="79" t="s">
        <v>24</v>
      </c>
      <c r="D402" s="79" t="s">
        <v>449</v>
      </c>
      <c r="E402" s="121">
        <f>SUM(E403:E405)</f>
        <v>0</v>
      </c>
      <c r="F402" s="121">
        <f t="shared" ref="F402:I402" si="25">SUM(F403:F405)</f>
        <v>0</v>
      </c>
      <c r="G402" s="121">
        <f t="shared" si="25"/>
        <v>0</v>
      </c>
      <c r="H402" s="121">
        <f t="shared" si="25"/>
        <v>0</v>
      </c>
      <c r="I402" s="121">
        <f t="shared" si="25"/>
        <v>0</v>
      </c>
    </row>
    <row r="403" spans="2:9" x14ac:dyDescent="0.2">
      <c r="B403" s="160">
        <v>22</v>
      </c>
      <c r="C403" s="305" t="s">
        <v>1339</v>
      </c>
      <c r="D403" s="82" t="s">
        <v>1340</v>
      </c>
      <c r="E403" s="72">
        <f>SUMIF(Adat!$AG:$AG,CONCATENATE(61,$M$4,"09211",L379),Adat!$E:$E)*-1</f>
        <v>0</v>
      </c>
      <c r="F403" s="72">
        <f>SUMIF(Adat!$AG:$AG,CONCATENATE(60,$M$4,"09211",L379),Adat!$E:$E)*-1+E403</f>
        <v>0</v>
      </c>
      <c r="G403" s="72">
        <f>SUMIF(Adat!$AH:$AH,CONCATENATE($M$4,"(KÖT)","09211",L379),Adat!$E:$E)*-1</f>
        <v>0</v>
      </c>
      <c r="H403" s="72">
        <f>SUMIF(Adat!$AH:$AH,CONCATENATE($M$4,"(ÖNV)","09211",L379),Adat!$E:$E)*-1</f>
        <v>0</v>
      </c>
      <c r="I403" s="72">
        <f>SUMIF(Adat!$AH:$AH,CONCATENATE($M$4,"(ÁIG)","09211",L379),Adat!$E:$E)*-1</f>
        <v>0</v>
      </c>
    </row>
    <row r="404" spans="2:9" x14ac:dyDescent="0.2">
      <c r="B404" s="160">
        <v>23</v>
      </c>
      <c r="C404" s="305" t="s">
        <v>1345</v>
      </c>
      <c r="D404" s="82" t="s">
        <v>1346</v>
      </c>
      <c r="E404" s="72">
        <f>SUMIF(Adat!$AG:$AG,CONCATENATE(61,$M$4,"09241",L379),Adat!$E:$E)*-1</f>
        <v>0</v>
      </c>
      <c r="F404" s="72">
        <f>SUMIF(Adat!$AG:$AG,CONCATENATE(60,$M$4,"09241",L379),Adat!$E:$E)*-1+E404</f>
        <v>0</v>
      </c>
      <c r="G404" s="72">
        <f>SUMIF(Adat!$AH:$AH,CONCATENATE($M$4,"(KÖT)","09241",L379),Adat!$E:$E)*-1</f>
        <v>0</v>
      </c>
      <c r="H404" s="72">
        <f>SUMIF(Adat!$AH:$AH,CONCATENATE($M$4,"(ÖNV)","09241",L379),Adat!$E:$E)*-1</f>
        <v>0</v>
      </c>
      <c r="I404" s="72">
        <f>SUMIF(Adat!$AH:$AH,CONCATENATE($M$4,"(ÁIG)","09241",L379),Adat!$E:$E)*-1</f>
        <v>0</v>
      </c>
    </row>
    <row r="405" spans="2:9" x14ac:dyDescent="0.2">
      <c r="B405" s="160">
        <v>24</v>
      </c>
      <c r="C405" s="305" t="s">
        <v>1255</v>
      </c>
      <c r="D405" s="82" t="s">
        <v>1347</v>
      </c>
      <c r="E405" s="72">
        <f>SUMIF(Adat!$AG:$AG,CONCATENATE(61,$M$4,"09251",L379),Adat!$E:$E)*-1</f>
        <v>0</v>
      </c>
      <c r="F405" s="72">
        <f>SUMIF(Adat!$AG:$AG,CONCATENATE(60,$M$4,"09251",L379),Adat!$E:$E)*-1+E405</f>
        <v>0</v>
      </c>
      <c r="G405" s="72">
        <f>SUMIF(Adat!$AH:$AH,CONCATENATE($M$4,"(KÖT)","09251",L379),Adat!$E:$E)*-1</f>
        <v>0</v>
      </c>
      <c r="H405" s="72">
        <f>SUMIF(Adat!$AH:$AH,CONCATENATE($M$4,"(ÖNV)","09251",L379),Adat!$E:$E)*-1</f>
        <v>0</v>
      </c>
      <c r="I405" s="72">
        <f>SUMIF(Adat!$AH:$AH,CONCATENATE($M$4,"(ÁIG)","09251",L379),Adat!$E:$E)*-1</f>
        <v>0</v>
      </c>
    </row>
    <row r="406" spans="2:9" x14ac:dyDescent="0.25">
      <c r="B406" s="160">
        <v>25</v>
      </c>
      <c r="C406" s="79" t="s">
        <v>33</v>
      </c>
      <c r="D406" s="79" t="s">
        <v>330</v>
      </c>
      <c r="E406" s="121">
        <f>SUM(E407:E409)</f>
        <v>0</v>
      </c>
      <c r="F406" s="121">
        <f t="shared" ref="F406:I406" si="26">SUM(F407:F409)</f>
        <v>0</v>
      </c>
      <c r="G406" s="121">
        <f t="shared" si="26"/>
        <v>0</v>
      </c>
      <c r="H406" s="121">
        <f t="shared" si="26"/>
        <v>0</v>
      </c>
      <c r="I406" s="121">
        <f t="shared" si="26"/>
        <v>0</v>
      </c>
    </row>
    <row r="407" spans="2:9" x14ac:dyDescent="0.2">
      <c r="B407" s="160">
        <v>26</v>
      </c>
      <c r="C407" s="305" t="s">
        <v>1373</v>
      </c>
      <c r="D407" s="82" t="s">
        <v>1374</v>
      </c>
      <c r="E407" s="72">
        <f>SUMIF(Adat!$AG:$AG,CONCATENATE(61,$M$4,"09511",L379),Adat!$E:$E)*-1</f>
        <v>0</v>
      </c>
      <c r="F407" s="72">
        <f>SUMIF(Adat!$AG:$AG,CONCATENATE(60,$M$4,"09511",L379),Adat!$E:$E)*-1+E407</f>
        <v>0</v>
      </c>
      <c r="G407" s="72">
        <f>SUMIF(Adat!$AH:$AH,CONCATENATE($M$4,"(KÖT)","09511",L379),Adat!$E:$E)*-1</f>
        <v>0</v>
      </c>
      <c r="H407" s="72">
        <f>SUMIF(Adat!$AH:$AH,CONCATENATE($M$4,"(ÖNV)","09511",L379),Adat!$E:$E)*-1</f>
        <v>0</v>
      </c>
      <c r="I407" s="72">
        <f>SUMIF(Adat!$AH:$AH,CONCATENATE($M$4,"(ÁIG)","09511",L379),Adat!$E:$E)*-1</f>
        <v>0</v>
      </c>
    </row>
    <row r="408" spans="2:9" x14ac:dyDescent="0.2">
      <c r="B408" s="160">
        <v>27</v>
      </c>
      <c r="C408" s="305" t="s">
        <v>1294</v>
      </c>
      <c r="D408" s="82" t="s">
        <v>1375</v>
      </c>
      <c r="E408" s="72">
        <f>SUMIF(Adat!$AG:$AG,CONCATENATE(61,$M$4,"09521",L379),Adat!$E:$E)*-1</f>
        <v>0</v>
      </c>
      <c r="F408" s="72">
        <f>SUMIF(Adat!$AG:$AG,CONCATENATE(60,$M$4,"09521",L379),Adat!$E:$E)*-1+E408</f>
        <v>0</v>
      </c>
      <c r="G408" s="72">
        <f>SUMIF(Adat!$AH:$AH,CONCATENATE($M$4,"(KÖT)","09521",L379),Adat!$E:$E)*-1</f>
        <v>0</v>
      </c>
      <c r="H408" s="72">
        <f>SUMIF(Adat!$AH:$AH,CONCATENATE($M$4,"(ÖNV)","09521",L379),Adat!$E:$E)*-1</f>
        <v>0</v>
      </c>
      <c r="I408" s="72">
        <f>SUMIF(Adat!$AH:$AH,CONCATENATE($M$4,"(ÁIG)","09521",L379),Adat!$E:$E)*-1</f>
        <v>0</v>
      </c>
    </row>
    <row r="409" spans="2:9" x14ac:dyDescent="0.2">
      <c r="B409" s="160">
        <v>28</v>
      </c>
      <c r="C409" s="305" t="s">
        <v>1376</v>
      </c>
      <c r="D409" s="82" t="s">
        <v>1377</v>
      </c>
      <c r="E409" s="72">
        <f>SUMIF(Adat!$AG:$AG,CONCATENATE(61,$M$4,"09531",L379),Adat!$E:$E)*-1</f>
        <v>0</v>
      </c>
      <c r="F409" s="72">
        <f>SUMIF(Adat!$AG:$AG,CONCATENATE(60,$M$4,"09531",L379),Adat!$E:$E)*-1+E409</f>
        <v>0</v>
      </c>
      <c r="G409" s="72">
        <f>SUMIF(Adat!$AH:$AH,CONCATENATE($M$4,"(KÖT)","09531",L379),Adat!$E:$E)*-1</f>
        <v>0</v>
      </c>
      <c r="H409" s="72">
        <f>SUMIF(Adat!$AH:$AH,CONCATENATE($M$4,"(ÖNV)","09531",L379),Adat!$E:$E)*-1</f>
        <v>0</v>
      </c>
      <c r="I409" s="72">
        <f>SUMIF(Adat!$AH:$AH,CONCATENATE($M$4,"(ÁIG)","09531",L379),Adat!$E:$E)*-1</f>
        <v>0</v>
      </c>
    </row>
    <row r="410" spans="2:9" x14ac:dyDescent="0.25">
      <c r="B410" s="160">
        <v>29</v>
      </c>
      <c r="C410" s="79" t="s">
        <v>36</v>
      </c>
      <c r="D410" s="79" t="s">
        <v>331</v>
      </c>
      <c r="E410" s="71">
        <f>SUMIF(Adat!$AI:$AI,CONCATENATE(61,$M$4,"096",L379),Adat!$E:$E)*-1</f>
        <v>0</v>
      </c>
      <c r="F410" s="71">
        <f>SUMIF(Adat!$AI:$AI,CONCATENATE(60,$M$4,"096",L379),Adat!$E:$E)*-1+E410</f>
        <v>0</v>
      </c>
      <c r="G410" s="71">
        <f>SUMIF(Adat!$AJ:$AJ,CONCATENATE($M$4,"096","(KÖT)",L379),Adat!$E:$E)*-1</f>
        <v>0</v>
      </c>
      <c r="H410" s="71">
        <f>SUMIF(Adat!$AJ:$AJ,CONCATENATE($M$4,"096","(ÖNV)",L379),Adat!$E:$E)*-1</f>
        <v>0</v>
      </c>
      <c r="I410" s="71">
        <f>SUMIF(Adat!$AJ:$AJ,CONCATENATE($M$4,"096","(ÁIG)",L379),Adat!$E:$E)*-1</f>
        <v>0</v>
      </c>
    </row>
    <row r="411" spans="2:9" x14ac:dyDescent="0.25">
      <c r="B411" s="160">
        <v>30</v>
      </c>
      <c r="C411" s="79" t="s">
        <v>38</v>
      </c>
      <c r="D411" s="85" t="s">
        <v>332</v>
      </c>
      <c r="E411" s="71">
        <f>SUMIF(Adat!$AI:$AI,CONCATENATE(61,$M$4,"097",L379),Adat!$E:$E)*-1</f>
        <v>0</v>
      </c>
      <c r="F411" s="71">
        <f>SUMIF(Adat!$AI:$AI,CONCATENATE(60,$M$4,"097",L379),Adat!$E:$E)*-1+E411</f>
        <v>0</v>
      </c>
      <c r="G411" s="71">
        <f>SUMIF(Adat!$AJ:$AJ,CONCATENATE($M$4,"097","(KÖT)",L379),Adat!$E:$E)*-1</f>
        <v>0</v>
      </c>
      <c r="H411" s="71">
        <f>SUMIF(Adat!$AJ:$AJ,CONCATENATE($M$4,"097","(ÖNV)",L379),Adat!$E:$E)*-1</f>
        <v>0</v>
      </c>
      <c r="I411" s="71">
        <f>SUMIF(Adat!$AJ:$AJ,CONCATENATE($M$4,"097","(ÁIG)",L379),Adat!$E:$E)*-1</f>
        <v>0</v>
      </c>
    </row>
    <row r="412" spans="2:9" x14ac:dyDescent="0.25">
      <c r="B412" s="160">
        <v>31</v>
      </c>
      <c r="C412" s="154" t="s">
        <v>352</v>
      </c>
      <c r="D412" s="86" t="s">
        <v>1500</v>
      </c>
      <c r="E412" s="121">
        <f>E383+E397+E401+E402+E406+E410+E411</f>
        <v>0</v>
      </c>
      <c r="F412" s="121">
        <f>F383+F397+F401+F402+F406+F410+F411</f>
        <v>0</v>
      </c>
      <c r="G412" s="121">
        <f>G383+G397+G401+G402+G406+G410+G411</f>
        <v>0</v>
      </c>
      <c r="H412" s="121">
        <f>H383+H397+H401+H402+H406+H410+H411</f>
        <v>0</v>
      </c>
      <c r="I412" s="121">
        <f>I383+I397+I401+I402+I406+I410+I411</f>
        <v>0</v>
      </c>
    </row>
    <row r="413" spans="2:9" x14ac:dyDescent="0.25">
      <c r="B413" s="160">
        <v>32</v>
      </c>
      <c r="C413" s="154" t="s">
        <v>358</v>
      </c>
      <c r="D413" s="86" t="s">
        <v>333</v>
      </c>
      <c r="E413" s="121">
        <f>SUM(E414:E416)</f>
        <v>0</v>
      </c>
      <c r="F413" s="121">
        <f t="shared" ref="F413:I413" si="27">SUM(F414:F416)</f>
        <v>0</v>
      </c>
      <c r="G413" s="121">
        <f t="shared" si="27"/>
        <v>0</v>
      </c>
      <c r="H413" s="121">
        <f t="shared" si="27"/>
        <v>0</v>
      </c>
      <c r="I413" s="121">
        <f t="shared" si="27"/>
        <v>0</v>
      </c>
    </row>
    <row r="414" spans="2:9" x14ac:dyDescent="0.2">
      <c r="B414" s="160">
        <v>33</v>
      </c>
      <c r="C414" s="305" t="s">
        <v>1274</v>
      </c>
      <c r="D414" s="82" t="s">
        <v>1419</v>
      </c>
      <c r="E414" s="72">
        <f>SUMIF(Adat!$AG:$AG,CONCATENATE(61,$M$4,"0981311",L379),Adat!$E:$E)*-1</f>
        <v>0</v>
      </c>
      <c r="F414" s="72">
        <f>SUMIF(Adat!$AG:$AG,CONCATENATE(60,$M$4,"0981311",L379),Adat!$E:$E)*-1+E414</f>
        <v>0</v>
      </c>
      <c r="G414" s="72">
        <f>SUMIF(Adat!$AH:$AH,CONCATENATE($M$4,"(KÖT)","0981311",L379),Adat!$E:$E)*-1</f>
        <v>0</v>
      </c>
      <c r="H414" s="72">
        <f>SUMIF(Adat!$AH:$AH,CONCATENATE($M$4,"(ÖNV)","0981311",L379),Adat!$E:$E)*-1</f>
        <v>0</v>
      </c>
      <c r="I414" s="72">
        <f>SUMIF(Adat!$AH:$AH,CONCATENATE($M$4,"(ÁIG)","0981311",L379),Adat!$E:$E)*-1</f>
        <v>0</v>
      </c>
    </row>
    <row r="415" spans="2:9" x14ac:dyDescent="0.25">
      <c r="B415" s="160">
        <v>34</v>
      </c>
      <c r="C415" s="305" t="s">
        <v>1420</v>
      </c>
      <c r="D415" s="84" t="s">
        <v>1421</v>
      </c>
      <c r="E415" s="72">
        <f>SUMIF(Adat!$AG:$AG,CONCATENATE(61,$M$4,"0981321",L379),Adat!$E:$E)*-1</f>
        <v>0</v>
      </c>
      <c r="F415" s="72">
        <f>SUMIF(Adat!$AG:$AG,CONCATENATE(60,$M$4,"0981321",L379),Adat!$E:$E)*-1+E415</f>
        <v>0</v>
      </c>
      <c r="G415" s="72">
        <f>SUMIF(Adat!$AH:$AH,CONCATENATE($M$4,"(KÖT)","0981321",L379),Adat!$E:$E)*-1</f>
        <v>0</v>
      </c>
      <c r="H415" s="72">
        <f>SUMIF(Adat!$AH:$AH,CONCATENATE($M$4,"(ÖNV)","0981321",L379),Adat!$E:$E)*-1</f>
        <v>0</v>
      </c>
      <c r="I415" s="72">
        <f>SUMIF(Adat!$AH:$AH,CONCATENATE($M$4,"(ÁIG)","0981321",L379),Adat!$E:$E)*-1</f>
        <v>0</v>
      </c>
    </row>
    <row r="416" spans="2:9" x14ac:dyDescent="0.25">
      <c r="B416" s="160">
        <v>35</v>
      </c>
      <c r="C416" s="319" t="s">
        <v>1275</v>
      </c>
      <c r="D416" s="84" t="s">
        <v>1501</v>
      </c>
      <c r="E416" s="72">
        <f>SUMIF(Adat!$AG:$AG,CONCATENATE(61,$M$4,"098161",L379),Adat!$E:$E)*-1</f>
        <v>0</v>
      </c>
      <c r="F416" s="72">
        <f>SUMIF(Adat!$AG:$AG,CONCATENATE(60,$M$4,"098161",L379),Adat!$E:$E)*-1+E416</f>
        <v>0</v>
      </c>
      <c r="G416" s="72">
        <f>SUMIF(Adat!$AH:$AH,CONCATENATE($M$4,"(KÖT)","098161",L379),Adat!$E:$E)*-1</f>
        <v>0</v>
      </c>
      <c r="H416" s="72">
        <f>SUMIF(Adat!$AH:$AH,CONCATENATE($M$4,"(ÖNV)","098161",L379),Adat!$E:$E)*-1</f>
        <v>0</v>
      </c>
      <c r="I416" s="72">
        <f>SUMIF(Adat!$AH:$AH,CONCATENATE($M$4,"(ÁIG)","098161",L379),Adat!$E:$E)*-1</f>
        <v>0</v>
      </c>
    </row>
    <row r="417" spans="2:12" x14ac:dyDescent="0.25">
      <c r="B417" s="160">
        <v>36</v>
      </c>
      <c r="C417" s="154" t="s">
        <v>364</v>
      </c>
      <c r="D417" s="159" t="s">
        <v>1502</v>
      </c>
      <c r="E417" s="121">
        <f>+E412+E413</f>
        <v>0</v>
      </c>
      <c r="F417" s="121">
        <f>+F412+F413</f>
        <v>0</v>
      </c>
      <c r="G417" s="121">
        <f>+G412+G413</f>
        <v>0</v>
      </c>
      <c r="H417" s="121">
        <f>+H412+H413</f>
        <v>0</v>
      </c>
      <c r="I417" s="121">
        <f>+I412+I413</f>
        <v>0</v>
      </c>
    </row>
    <row r="418" spans="2:12" ht="15.75" x14ac:dyDescent="0.25">
      <c r="B418" s="38"/>
      <c r="C418" s="156"/>
      <c r="D418" s="38"/>
      <c r="E418" s="140"/>
      <c r="F418" s="140"/>
      <c r="G418" s="140"/>
      <c r="H418" s="140"/>
      <c r="I418" s="140"/>
    </row>
    <row r="419" spans="2:12" s="10" customFormat="1" ht="15.75" customHeight="1" x14ac:dyDescent="0.25">
      <c r="B419" s="201" t="str">
        <f>CONCATENATE("14. Kiadási jogcímek"," - ",L419," részletező")</f>
        <v>14. Kiadási jogcímek -  részletező</v>
      </c>
      <c r="C419" s="101"/>
      <c r="D419" s="101"/>
      <c r="E419" s="101"/>
      <c r="F419" s="101"/>
      <c r="G419" s="198"/>
      <c r="H419" s="198"/>
      <c r="I419" s="198"/>
      <c r="L419" s="384"/>
    </row>
    <row r="420" spans="2:12" ht="15.75" x14ac:dyDescent="0.25">
      <c r="B420" s="38"/>
      <c r="C420" s="156"/>
      <c r="D420" s="38"/>
      <c r="E420" s="140"/>
      <c r="F420" s="140"/>
      <c r="G420" s="140"/>
      <c r="H420" s="140"/>
      <c r="I420" s="140"/>
    </row>
    <row r="421" spans="2:12" x14ac:dyDescent="0.25">
      <c r="B421" s="77"/>
      <c r="C421" s="77" t="s">
        <v>350</v>
      </c>
      <c r="D421" s="77" t="s">
        <v>351</v>
      </c>
      <c r="E421" s="77" t="s">
        <v>470</v>
      </c>
      <c r="F421" s="77" t="s">
        <v>471</v>
      </c>
      <c r="G421" s="77" t="s">
        <v>44</v>
      </c>
      <c r="H421" s="77" t="s">
        <v>42</v>
      </c>
      <c r="I421" s="77" t="s">
        <v>511</v>
      </c>
    </row>
    <row r="422" spans="2:12" ht="38.25" x14ac:dyDescent="0.25">
      <c r="B422" s="160">
        <v>1</v>
      </c>
      <c r="C422" s="154" t="s">
        <v>593</v>
      </c>
      <c r="D422" s="154" t="s">
        <v>488</v>
      </c>
      <c r="E422" s="163" t="str">
        <f>CONCATENATE(PAR!$H$3," évi
eredeti 
előirányzat")</f>
        <v>2025. évi
eredeti 
előirányzat</v>
      </c>
      <c r="F422" s="163" t="str">
        <f>CONCATENATE(PAR!$H$3," évi
módosított 
előirányzat")</f>
        <v>2025. évi
módosított 
előirányzat</v>
      </c>
      <c r="G422" s="78" t="s">
        <v>666</v>
      </c>
      <c r="H422" s="78" t="s">
        <v>667</v>
      </c>
      <c r="I422" s="78" t="s">
        <v>668</v>
      </c>
    </row>
    <row r="423" spans="2:12" x14ac:dyDescent="0.25">
      <c r="B423" s="160">
        <v>2</v>
      </c>
      <c r="C423" s="78" t="s">
        <v>352</v>
      </c>
      <c r="D423" s="92" t="s">
        <v>1444</v>
      </c>
      <c r="E423" s="121">
        <f>SUM(E424:E428)</f>
        <v>0</v>
      </c>
      <c r="F423" s="121">
        <f>SUM(F424:F428)</f>
        <v>0</v>
      </c>
      <c r="G423" s="121">
        <f>SUM(G424:G428)</f>
        <v>0</v>
      </c>
      <c r="H423" s="121">
        <f>SUM(H424:H428)</f>
        <v>0</v>
      </c>
      <c r="I423" s="121">
        <f>SUM(I424:I428)</f>
        <v>0</v>
      </c>
    </row>
    <row r="424" spans="2:12" x14ac:dyDescent="0.25">
      <c r="B424" s="160">
        <v>3</v>
      </c>
      <c r="C424" s="305" t="s">
        <v>315</v>
      </c>
      <c r="D424" s="93" t="s">
        <v>342</v>
      </c>
      <c r="E424" s="72">
        <f>SUMIF(Adat!$AI:$AI,CONCATENATE(61,$M$4,"051",L419),Adat!$E:$E)</f>
        <v>0</v>
      </c>
      <c r="F424" s="72">
        <f>SUMIF(Adat!$AI:$AI,CONCATENATE(60,$M$4,"051",L419),Adat!$E:$E)+E424</f>
        <v>0</v>
      </c>
      <c r="G424" s="72">
        <f>SUMIF(Adat!$AJ:$AJ,CONCATENATE($M$4,"051","(KÖT)",L419),Adat!$E:$E)</f>
        <v>0</v>
      </c>
      <c r="H424" s="72">
        <f>SUMIF(Adat!$AJ:$AJ,CONCATENATE($M$4,"051","(ÖNV)",L419),Adat!$E:$E)</f>
        <v>0</v>
      </c>
      <c r="I424" s="72">
        <f>SUMIF(Adat!$AJ:$AJ,CONCATENATE($M$4,"051","(ÁIG)",L419),Adat!$E:$E)</f>
        <v>0</v>
      </c>
    </row>
    <row r="425" spans="2:12" x14ac:dyDescent="0.25">
      <c r="B425" s="160">
        <v>4</v>
      </c>
      <c r="C425" s="305" t="s">
        <v>317</v>
      </c>
      <c r="D425" s="93" t="s">
        <v>395</v>
      </c>
      <c r="E425" s="72">
        <f>SUMIF(Adat!$AI:$AI,CONCATENATE(61,$M$4,"052",L419),Adat!$E:$E)</f>
        <v>0</v>
      </c>
      <c r="F425" s="72">
        <f>SUMIF(Adat!$AI:$AI,CONCATENATE(60,$M$4,"052",L419),Adat!$E:$E)+E425</f>
        <v>0</v>
      </c>
      <c r="G425" s="72">
        <f>SUMIF(Adat!$AJ:$AJ,CONCATENATE($M$4,"052","(KÖT)",L419),Adat!$E:$E)</f>
        <v>0</v>
      </c>
      <c r="H425" s="72">
        <f>SUMIF(Adat!$AJ:$AJ,CONCATENATE($M$4,"052","(ÖNV)",L419),Adat!$E:$E)</f>
        <v>0</v>
      </c>
      <c r="I425" s="72">
        <f>SUMIF(Adat!$AJ:$AJ,CONCATENATE($M$4,"052","(ÁIG)",L419),Adat!$E:$E)</f>
        <v>0</v>
      </c>
    </row>
    <row r="426" spans="2:12" x14ac:dyDescent="0.25">
      <c r="B426" s="160">
        <v>5</v>
      </c>
      <c r="C426" s="305" t="s">
        <v>4</v>
      </c>
      <c r="D426" s="93" t="s">
        <v>344</v>
      </c>
      <c r="E426" s="72">
        <f>SUMIF(Adat!$AI:$AI,CONCATENATE(61,$M$4,"053",L419),Adat!$E:$E)</f>
        <v>0</v>
      </c>
      <c r="F426" s="72">
        <f>SUMIF(Adat!$AI:$AI,CONCATENATE(60,$M$4,"053",L419),Adat!$E:$E)+E426</f>
        <v>0</v>
      </c>
      <c r="G426" s="72">
        <f>SUMIF(Adat!$AJ:$AJ,CONCATENATE($M$4,"053","(KÖT)",L419),Adat!$E:$E)</f>
        <v>0</v>
      </c>
      <c r="H426" s="72">
        <f>SUMIF(Adat!$AJ:$AJ,CONCATENATE($M$4,"053","(ÖNV)",L419),Adat!$E:$E)</f>
        <v>0</v>
      </c>
      <c r="I426" s="72">
        <f>SUMIF(Adat!$AJ:$AJ,CONCATENATE($M$4,"053","(ÁIG)",L419),Adat!$E:$E)</f>
        <v>0</v>
      </c>
    </row>
    <row r="427" spans="2:12" x14ac:dyDescent="0.25">
      <c r="B427" s="160">
        <v>6</v>
      </c>
      <c r="C427" s="305" t="s">
        <v>6</v>
      </c>
      <c r="D427" s="93" t="s">
        <v>345</v>
      </c>
      <c r="E427" s="72">
        <f>SUMIF(Adat!$AI:$AI,CONCATENATE(61,$M$4,"054",L419),Adat!$E:$E)</f>
        <v>0</v>
      </c>
      <c r="F427" s="72">
        <f>SUMIF(Adat!$AI:$AI,CONCATENATE(60,$M$4,"054",L419),Adat!$E:$E)+E427</f>
        <v>0</v>
      </c>
      <c r="G427" s="72">
        <f>SUMIF(Adat!$AJ:$AJ,CONCATENATE($M$4,"054","(KÖT)",L419),Adat!$E:$E)</f>
        <v>0</v>
      </c>
      <c r="H427" s="72">
        <f>SUMIF(Adat!$AJ:$AJ,CONCATENATE($M$4,"054","(ÖNV)",L419),Adat!$E:$E)</f>
        <v>0</v>
      </c>
      <c r="I427" s="72">
        <f>SUMIF(Adat!$AJ:$AJ,CONCATENATE($M$4,"054","(ÁIG)",L419),Adat!$E:$E)</f>
        <v>0</v>
      </c>
    </row>
    <row r="428" spans="2:12" x14ac:dyDescent="0.25">
      <c r="B428" s="160">
        <v>7</v>
      </c>
      <c r="C428" s="305" t="s">
        <v>8</v>
      </c>
      <c r="D428" s="93" t="s">
        <v>321</v>
      </c>
      <c r="E428" s="72">
        <f>SUMIF(Adat!$AI:$AI,CONCATENATE(61,$M$4,"055",L419),Adat!$E:$E)</f>
        <v>0</v>
      </c>
      <c r="F428" s="72">
        <f>SUMIF(Adat!$AI:$AI,CONCATENATE(60,$M$4,"055",L419),Adat!$E:$E)+E428</f>
        <v>0</v>
      </c>
      <c r="G428" s="72">
        <f>SUMIF(Adat!$AJ:$AJ,CONCATENATE($M$4,"055","(KÖT)",L419),Adat!$E:$E)</f>
        <v>0</v>
      </c>
      <c r="H428" s="72">
        <f>SUMIF(Adat!$AJ:$AJ,CONCATENATE($M$4,"055","(ÖNV)",L419),Adat!$E:$E)</f>
        <v>0</v>
      </c>
      <c r="I428" s="72">
        <f>SUMIF(Adat!$AJ:$AJ,CONCATENATE($M$4,"055","(ÁIG)",L419),Adat!$E:$E)</f>
        <v>0</v>
      </c>
    </row>
    <row r="429" spans="2:12" x14ac:dyDescent="0.25">
      <c r="B429" s="160">
        <v>8</v>
      </c>
      <c r="C429" s="78" t="s">
        <v>358</v>
      </c>
      <c r="D429" s="92" t="s">
        <v>1447</v>
      </c>
      <c r="E429" s="121">
        <f>E430+E432+E434</f>
        <v>0</v>
      </c>
      <c r="F429" s="121">
        <f>F430+F432+F434</f>
        <v>0</v>
      </c>
      <c r="G429" s="121">
        <f>G430+G432+G434</f>
        <v>0</v>
      </c>
      <c r="H429" s="121">
        <f>H430+H432+H434</f>
        <v>0</v>
      </c>
      <c r="I429" s="121">
        <f>I430+I432+I434</f>
        <v>0</v>
      </c>
    </row>
    <row r="430" spans="2:12" x14ac:dyDescent="0.25">
      <c r="B430" s="160">
        <v>9</v>
      </c>
      <c r="C430" s="305" t="s">
        <v>10</v>
      </c>
      <c r="D430" s="93" t="s">
        <v>322</v>
      </c>
      <c r="E430" s="72">
        <f>SUMIF(Adat!$AI:$AI,CONCATENATE(61,$M$4,"056",L419),Adat!$E:$E)</f>
        <v>0</v>
      </c>
      <c r="F430" s="72">
        <f>SUMIF(Adat!$AI:$AI,CONCATENATE(60,$M$4,"056",L419),Adat!$E:$E)+E430</f>
        <v>0</v>
      </c>
      <c r="G430" s="72">
        <f>SUMIF(Adat!$AJ:$AJ,CONCATENATE($M$4,"056","(KÖT)",L419),Adat!$E:$E)</f>
        <v>0</v>
      </c>
      <c r="H430" s="72">
        <f>SUMIF(Adat!$AJ:$AJ,CONCATENATE($M$4,"056","(ÖNV)",L419),Adat!$E:$E)</f>
        <v>0</v>
      </c>
      <c r="I430" s="72">
        <f>SUMIF(Adat!$AJ:$AJ,CONCATENATE($M$4,"056","(ÁIG)",L419),Adat!$E:$E)</f>
        <v>0</v>
      </c>
    </row>
    <row r="431" spans="2:12" x14ac:dyDescent="0.25">
      <c r="B431" s="160">
        <v>10</v>
      </c>
      <c r="C431" s="305" t="s">
        <v>10</v>
      </c>
      <c r="D431" s="93" t="s">
        <v>1448</v>
      </c>
      <c r="E431" s="72">
        <v>0</v>
      </c>
      <c r="F431" s="72">
        <f>SUM(G431:I431)</f>
        <v>0</v>
      </c>
      <c r="G431" s="72">
        <v>0</v>
      </c>
      <c r="H431" s="72">
        <v>0</v>
      </c>
      <c r="I431" s="72">
        <v>0</v>
      </c>
    </row>
    <row r="432" spans="2:12" x14ac:dyDescent="0.25">
      <c r="B432" s="160">
        <v>11</v>
      </c>
      <c r="C432" s="305" t="s">
        <v>12</v>
      </c>
      <c r="D432" s="93" t="s">
        <v>323</v>
      </c>
      <c r="E432" s="72">
        <f>SUMIF(Adat!$AI:$AI,CONCATENATE(61,$M$4,"057",L419),Adat!$E:$E)</f>
        <v>0</v>
      </c>
      <c r="F432" s="72">
        <f>SUMIF(Adat!$AI:$AI,CONCATENATE(60,$M$4,"057",L419),Adat!$E:$E)+E432</f>
        <v>0</v>
      </c>
      <c r="G432" s="72">
        <f>SUMIF(Adat!$AJ:$AJ,CONCATENATE($M$4,"057","(KÖT)",L419),Adat!$E:$E)</f>
        <v>0</v>
      </c>
      <c r="H432" s="72">
        <f>SUMIF(Adat!$AJ:$AJ,CONCATENATE($M$4,"057","(ÖNV)",L419),Adat!$E:$E)</f>
        <v>0</v>
      </c>
      <c r="I432" s="72">
        <f>SUMIF(Adat!$AJ:$AJ,CONCATENATE($M$4,"057","(ÁIG)",L419),Adat!$E:$E)</f>
        <v>0</v>
      </c>
    </row>
    <row r="433" spans="2:12" x14ac:dyDescent="0.25">
      <c r="B433" s="160">
        <v>12</v>
      </c>
      <c r="C433" s="305" t="s">
        <v>12</v>
      </c>
      <c r="D433" s="93" t="s">
        <v>1449</v>
      </c>
      <c r="E433" s="72">
        <v>0</v>
      </c>
      <c r="F433" s="72">
        <f>SUM(G433:I433)</f>
        <v>0</v>
      </c>
      <c r="G433" s="72">
        <v>0</v>
      </c>
      <c r="H433" s="72">
        <v>0</v>
      </c>
      <c r="I433" s="72">
        <v>0</v>
      </c>
    </row>
    <row r="434" spans="2:12" x14ac:dyDescent="0.25">
      <c r="B434" s="160">
        <v>13</v>
      </c>
      <c r="C434" s="305" t="s">
        <v>15</v>
      </c>
      <c r="D434" s="84" t="s">
        <v>324</v>
      </c>
      <c r="E434" s="72">
        <f>SUMIF(Adat!$AI:$AI,CONCATENATE(61,$M$4,"058",L419),Adat!$E:$E)</f>
        <v>0</v>
      </c>
      <c r="F434" s="72">
        <f>SUMIF(Adat!$AI:$AI,CONCATENATE(60,$M$4,"058",L419),Adat!$E:$E)+E434</f>
        <v>0</v>
      </c>
      <c r="G434" s="72">
        <f>SUMIF(Adat!$AJ:$AJ,CONCATENATE($M$4,"058","(KÖT)",L419),Adat!$E:$E)</f>
        <v>0</v>
      </c>
      <c r="H434" s="72">
        <f>SUMIF(Adat!$AJ:$AJ,CONCATENATE($M$4,"058","(ÖNV)",L419),Adat!$E:$E)</f>
        <v>0</v>
      </c>
      <c r="I434" s="72">
        <f>SUMIF(Adat!$AJ:$AJ,CONCATENATE($M$4,"058","(ÁIG)",L419),Adat!$E:$E)</f>
        <v>0</v>
      </c>
    </row>
    <row r="435" spans="2:12" x14ac:dyDescent="0.25">
      <c r="B435" s="160">
        <v>14</v>
      </c>
      <c r="C435" s="154" t="s">
        <v>364</v>
      </c>
      <c r="D435" s="86" t="s">
        <v>325</v>
      </c>
      <c r="E435" s="71">
        <f>SUMIF(Adat!$AI:$AI,CONCATENATE(61,$M$4,"059",L419),Adat!$E:$E)</f>
        <v>0</v>
      </c>
      <c r="F435" s="71">
        <f>SUMIF(Adat!$AI:$AI,CONCATENATE(60,$M$4,"059",L419),Adat!$E:$E)+E435</f>
        <v>0</v>
      </c>
      <c r="G435" s="71">
        <f>SUMIF(Adat!$AJ:$AJ,CONCATENATE($M$4,"059","(KÖT)",L419),Adat!$E:$E)</f>
        <v>0</v>
      </c>
      <c r="H435" s="71">
        <f>SUMIF(Adat!$AJ:$AJ,CONCATENATE($M$4,"059","(ÖNV)",L419),Adat!$E:$E)</f>
        <v>0</v>
      </c>
      <c r="I435" s="71">
        <f>SUMIF(Adat!$AJ:$AJ,CONCATENATE($M$4,"059","(ÁIG)",L419),Adat!$E:$E)</f>
        <v>0</v>
      </c>
    </row>
    <row r="436" spans="2:12" x14ac:dyDescent="0.25">
      <c r="B436" s="160">
        <v>15</v>
      </c>
      <c r="C436" s="154" t="s">
        <v>403</v>
      </c>
      <c r="D436" s="159" t="s">
        <v>497</v>
      </c>
      <c r="E436" s="121">
        <f>E423+E429+E435</f>
        <v>0</v>
      </c>
      <c r="F436" s="121">
        <f>F423+F429+F435</f>
        <v>0</v>
      </c>
      <c r="G436" s="121">
        <f>G423+G429+G435</f>
        <v>0</v>
      </c>
      <c r="H436" s="121">
        <f>H423+H429+H435</f>
        <v>0</v>
      </c>
      <c r="I436" s="121">
        <f>I423+I429+I435</f>
        <v>0</v>
      </c>
    </row>
    <row r="437" spans="2:12" ht="15.75" x14ac:dyDescent="0.25">
      <c r="B437" s="37"/>
      <c r="C437" s="529"/>
      <c r="D437" s="529"/>
      <c r="E437" s="529"/>
      <c r="F437" s="200"/>
      <c r="G437" s="200"/>
      <c r="H437" s="200"/>
      <c r="I437" s="200"/>
    </row>
    <row r="438" spans="2:12" ht="15.75" x14ac:dyDescent="0.25">
      <c r="B438" s="525" t="str">
        <f>$N$4</f>
        <v>Nagymarosi Napköziotthonos Óvoda és Bölcsőde</v>
      </c>
      <c r="C438" s="525"/>
      <c r="D438" s="525"/>
      <c r="E438" s="525"/>
      <c r="F438" s="525"/>
      <c r="G438" s="525"/>
      <c r="H438" s="525"/>
      <c r="I438" s="525"/>
    </row>
    <row r="439" spans="2:12" ht="15.75" x14ac:dyDescent="0.25">
      <c r="B439" s="525" t="s">
        <v>2660</v>
      </c>
      <c r="C439" s="525"/>
      <c r="D439" s="525"/>
      <c r="E439" s="525"/>
      <c r="F439" s="525"/>
      <c r="G439" s="525"/>
      <c r="H439" s="525"/>
      <c r="I439" s="525"/>
    </row>
    <row r="440" spans="2:12" ht="15.75" x14ac:dyDescent="0.25">
      <c r="B440" s="38"/>
      <c r="C440" s="156"/>
      <c r="D440" s="38"/>
      <c r="E440" s="140"/>
      <c r="F440" s="140"/>
      <c r="G440" s="140"/>
      <c r="H440" s="140"/>
      <c r="I440" s="140"/>
    </row>
    <row r="441" spans="2:12" s="10" customFormat="1" ht="15.75" customHeight="1" x14ac:dyDescent="0.25">
      <c r="B441" s="201" t="str">
        <f>CONCATENATE("15. Bevételi jogcímek"," - ",L441," részletező")</f>
        <v>15. Bevételi jogcímek -  részletező</v>
      </c>
      <c r="C441" s="101"/>
      <c r="D441" s="101"/>
      <c r="E441" s="101"/>
      <c r="F441" s="101"/>
      <c r="G441" s="198"/>
      <c r="H441" s="198"/>
      <c r="I441" s="198"/>
      <c r="L441" s="384"/>
    </row>
    <row r="442" spans="2:12" ht="15.75" x14ac:dyDescent="0.25">
      <c r="B442" s="38"/>
      <c r="C442" s="156"/>
      <c r="D442" s="38"/>
      <c r="E442" s="140"/>
      <c r="F442" s="140"/>
      <c r="G442" s="140"/>
      <c r="H442" s="140"/>
      <c r="I442" s="140"/>
    </row>
    <row r="443" spans="2:12" x14ac:dyDescent="0.25">
      <c r="B443" s="77"/>
      <c r="C443" s="77" t="s">
        <v>350</v>
      </c>
      <c r="D443" s="77" t="s">
        <v>351</v>
      </c>
      <c r="E443" s="77" t="s">
        <v>470</v>
      </c>
      <c r="F443" s="77" t="s">
        <v>471</v>
      </c>
      <c r="G443" s="77" t="s">
        <v>44</v>
      </c>
      <c r="H443" s="77" t="s">
        <v>42</v>
      </c>
      <c r="I443" s="77" t="s">
        <v>511</v>
      </c>
    </row>
    <row r="444" spans="2:12" ht="38.25" x14ac:dyDescent="0.25">
      <c r="B444" s="160">
        <v>1</v>
      </c>
      <c r="C444" s="154" t="s">
        <v>593</v>
      </c>
      <c r="D444" s="154" t="s">
        <v>488</v>
      </c>
      <c r="E444" s="163" t="str">
        <f>CONCATENATE(PAR!$H$3," évi
eredeti 
előirányzat")</f>
        <v>2025. évi
eredeti 
előirányzat</v>
      </c>
      <c r="F444" s="163" t="str">
        <f>CONCATENATE(PAR!$H$3," évi
módosított 
előirányzat")</f>
        <v>2025. évi
módosított 
előirányzat</v>
      </c>
      <c r="G444" s="78" t="s">
        <v>666</v>
      </c>
      <c r="H444" s="78" t="s">
        <v>667</v>
      </c>
      <c r="I444" s="78" t="s">
        <v>668</v>
      </c>
    </row>
    <row r="445" spans="2:12" x14ac:dyDescent="0.25">
      <c r="B445" s="160">
        <v>2</v>
      </c>
      <c r="C445" s="79" t="s">
        <v>30</v>
      </c>
      <c r="D445" s="79" t="s">
        <v>329</v>
      </c>
      <c r="E445" s="121">
        <f>SUM(E446:E458)</f>
        <v>0</v>
      </c>
      <c r="F445" s="121">
        <f t="shared" ref="F445:I445" si="28">SUM(F446:F458)</f>
        <v>0</v>
      </c>
      <c r="G445" s="121">
        <f t="shared" si="28"/>
        <v>0</v>
      </c>
      <c r="H445" s="121">
        <f t="shared" si="28"/>
        <v>0</v>
      </c>
      <c r="I445" s="121">
        <f t="shared" si="28"/>
        <v>0</v>
      </c>
    </row>
    <row r="446" spans="2:12" x14ac:dyDescent="0.2">
      <c r="B446" s="160">
        <v>3</v>
      </c>
      <c r="C446" s="305" t="s">
        <v>1309</v>
      </c>
      <c r="D446" s="82" t="s">
        <v>1356</v>
      </c>
      <c r="E446" s="72">
        <f>SUMIF(Adat!$AG:$AG,CONCATENATE(61,$M$4,"094011",L441),Adat!$E:$E)*-1</f>
        <v>0</v>
      </c>
      <c r="F446" s="72">
        <f>SUMIF(Adat!$AG:$AG,CONCATENATE(60,$M$4,"094011",L441),Adat!$E:$E)*-1+E446</f>
        <v>0</v>
      </c>
      <c r="G446" s="72">
        <f>SUMIF(Adat!$AH:$AH,CONCATENATE($M$4,"(KÖT)","094011",L441),Adat!$E:$E)*-1</f>
        <v>0</v>
      </c>
      <c r="H446" s="72">
        <f>SUMIF(Adat!$AH:$AH,CONCATENATE($M$4,"(ÖNV)","094011",L441),Adat!$E:$E)*-1</f>
        <v>0</v>
      </c>
      <c r="I446" s="72">
        <f>SUMIF(Adat!$AH:$AH,CONCATENATE($M$4,"(ÁIG)","094011",L441),Adat!$E:$E)*-1</f>
        <v>0</v>
      </c>
    </row>
    <row r="447" spans="2:12" x14ac:dyDescent="0.2">
      <c r="B447" s="160">
        <v>4</v>
      </c>
      <c r="C447" s="305" t="s">
        <v>1279</v>
      </c>
      <c r="D447" s="82" t="s">
        <v>1357</v>
      </c>
      <c r="E447" s="72">
        <f>SUMIF(Adat!$AG:$AG,CONCATENATE(61,$M$4,"094021",L441),Adat!$E:$E)*-1</f>
        <v>0</v>
      </c>
      <c r="F447" s="72">
        <f>SUMIF(Adat!$AG:$AG,CONCATENATE(60,$M$4,"094021",L441),Adat!$E:$E)*-1+E447</f>
        <v>0</v>
      </c>
      <c r="G447" s="72">
        <f>SUMIF(Adat!$AH:$AH,CONCATENATE($M$4,"(KÖT)","094021",L441),Adat!$E:$E)*-1</f>
        <v>0</v>
      </c>
      <c r="H447" s="72">
        <f>SUMIF(Adat!$AH:$AH,CONCATENATE($M$4,"(ÖNV)","094021",L441),Adat!$E:$E)*-1</f>
        <v>0</v>
      </c>
      <c r="I447" s="72">
        <f>SUMIF(Adat!$AH:$AH,CONCATENATE($M$4,"(ÁIG)","094021",L441),Adat!$E:$E)*-1</f>
        <v>0</v>
      </c>
    </row>
    <row r="448" spans="2:12" x14ac:dyDescent="0.2">
      <c r="B448" s="160">
        <v>5</v>
      </c>
      <c r="C448" s="305" t="s">
        <v>1272</v>
      </c>
      <c r="D448" s="82" t="s">
        <v>1358</v>
      </c>
      <c r="E448" s="72">
        <f>SUMIF(Adat!$AG:$AG,CONCATENATE(61,$M$4,"094031",L441),Adat!$E:$E)*-1</f>
        <v>0</v>
      </c>
      <c r="F448" s="72">
        <f>SUMIF(Adat!$AG:$AG,CONCATENATE(60,$M$4,"094031",L441),Adat!$E:$E)*-1+E448</f>
        <v>0</v>
      </c>
      <c r="G448" s="72">
        <f>SUMIF(Adat!$AH:$AH,CONCATENATE($M$4,"(KÖT)","094031",L441),Adat!$E:$E)*-1</f>
        <v>0</v>
      </c>
      <c r="H448" s="72">
        <f>SUMIF(Adat!$AH:$AH,CONCATENATE($M$4,"(ÖNV)","094031",L441),Adat!$E:$E)*-1</f>
        <v>0</v>
      </c>
      <c r="I448" s="72">
        <f>SUMIF(Adat!$AH:$AH,CONCATENATE($M$4,"(ÁIG)","094031",L441),Adat!$E:$E)*-1</f>
        <v>0</v>
      </c>
    </row>
    <row r="449" spans="2:9" x14ac:dyDescent="0.2">
      <c r="B449" s="160">
        <v>6</v>
      </c>
      <c r="C449" s="305" t="s">
        <v>1359</v>
      </c>
      <c r="D449" s="82" t="s">
        <v>1360</v>
      </c>
      <c r="E449" s="72">
        <f>SUMIF(Adat!$AG:$AG,CONCATENATE(61,$M$4,"094041",L441),Adat!$E:$E)*-1</f>
        <v>0</v>
      </c>
      <c r="F449" s="72">
        <f>SUMIF(Adat!$AG:$AG,CONCATENATE(60,$M$4,"094041",L441),Adat!$E:$E)*-1+E449</f>
        <v>0</v>
      </c>
      <c r="G449" s="72">
        <f>SUMIF(Adat!$AH:$AH,CONCATENATE($M$4,"(KÖT)","094041",L441),Adat!$E:$E)*-1</f>
        <v>0</v>
      </c>
      <c r="H449" s="72">
        <f>SUMIF(Adat!$AH:$AH,CONCATENATE($M$4,"(ÖNV)","094041",L441),Adat!$E:$E)*-1</f>
        <v>0</v>
      </c>
      <c r="I449" s="72">
        <f>SUMIF(Adat!$AH:$AH,CONCATENATE($M$4,"(ÁIG)","094041",L441),Adat!$E:$E)*-1</f>
        <v>0</v>
      </c>
    </row>
    <row r="450" spans="2:9" x14ac:dyDescent="0.2">
      <c r="B450" s="160">
        <v>7</v>
      </c>
      <c r="C450" s="305" t="s">
        <v>1261</v>
      </c>
      <c r="D450" s="82" t="s">
        <v>1361</v>
      </c>
      <c r="E450" s="72">
        <f>SUMIF(Adat!$AG:$AG,CONCATENATE(61,$M$4,"094051",L441),Adat!$E:$E)*-1</f>
        <v>0</v>
      </c>
      <c r="F450" s="72">
        <f>SUMIF(Adat!$AG:$AG,CONCATENATE(60,$M$4,"094051",L441),Adat!$E:$E)*-1+E450</f>
        <v>0</v>
      </c>
      <c r="G450" s="72">
        <f>SUMIF(Adat!$AH:$AH,CONCATENATE($M$4,"(KÖT)","094051",L441),Adat!$E:$E)*-1</f>
        <v>0</v>
      </c>
      <c r="H450" s="72">
        <f>SUMIF(Adat!$AH:$AH,CONCATENATE($M$4,"(ÖNV)","094051",L441),Adat!$E:$E)*-1</f>
        <v>0</v>
      </c>
      <c r="I450" s="72">
        <f>SUMIF(Adat!$AH:$AH,CONCATENATE($M$4,"(ÁIG)","094051",L441),Adat!$E:$E)*-1</f>
        <v>0</v>
      </c>
    </row>
    <row r="451" spans="2:9" x14ac:dyDescent="0.2">
      <c r="B451" s="160">
        <v>8</v>
      </c>
      <c r="C451" s="305" t="s">
        <v>1273</v>
      </c>
      <c r="D451" s="82" t="s">
        <v>1362</v>
      </c>
      <c r="E451" s="72">
        <f>SUMIF(Adat!$AG:$AG,CONCATENATE(61,$M$4,"094061",L441),Adat!$E:$E)*-1</f>
        <v>0</v>
      </c>
      <c r="F451" s="72">
        <f>SUMIF(Adat!$AG:$AG,CONCATENATE(60,$M$4,"094061",L441),Adat!$E:$E)*-1+E451</f>
        <v>0</v>
      </c>
      <c r="G451" s="72">
        <f>SUMIF(Adat!$AH:$AH,CONCATENATE($M$4,"(KÖT)","094061",L441),Adat!$E:$E)*-1</f>
        <v>0</v>
      </c>
      <c r="H451" s="72">
        <f>SUMIF(Adat!$AH:$AH,CONCATENATE($M$4,"(ÖNV)","094061",L441),Adat!$E:$E)*-1</f>
        <v>0</v>
      </c>
      <c r="I451" s="72">
        <f>SUMIF(Adat!$AH:$AH,CONCATENATE($M$4,"(ÁIG)","094061",L441),Adat!$E:$E)*-1</f>
        <v>0</v>
      </c>
    </row>
    <row r="452" spans="2:9" x14ac:dyDescent="0.2">
      <c r="B452" s="160">
        <v>9</v>
      </c>
      <c r="C452" s="305" t="s">
        <v>1363</v>
      </c>
      <c r="D452" s="82" t="s">
        <v>1364</v>
      </c>
      <c r="E452" s="72">
        <f>SUMIF(Adat!$AG:$AG,CONCATENATE(61,$M$4,"094071",L441),Adat!$E:$E)*-1</f>
        <v>0</v>
      </c>
      <c r="F452" s="72">
        <f>SUMIF(Adat!$AG:$AG,CONCATENATE(60,$M$4,"094071",L441),Adat!$E:$E)*-1+E452</f>
        <v>0</v>
      </c>
      <c r="G452" s="72">
        <f>SUMIF(Adat!$AH:$AH,CONCATENATE($M$4,"(KÖT)","094071",L441),Adat!$E:$E)*-1</f>
        <v>0</v>
      </c>
      <c r="H452" s="72">
        <f>SUMIF(Adat!$AH:$AH,CONCATENATE($M$4,"(ÖNV)","094071",L441),Adat!$E:$E)*-1</f>
        <v>0</v>
      </c>
      <c r="I452" s="72">
        <f>SUMIF(Adat!$AH:$AH,CONCATENATE($M$4,"(ÁIG)","094071",L441),Adat!$E:$E)*-1</f>
        <v>0</v>
      </c>
    </row>
    <row r="453" spans="2:9" x14ac:dyDescent="0.2">
      <c r="B453" s="160">
        <v>10</v>
      </c>
      <c r="C453" s="305" t="s">
        <v>1306</v>
      </c>
      <c r="D453" s="82" t="s">
        <v>1365</v>
      </c>
      <c r="E453" s="72">
        <f>SUMIF(Adat!$AG:$AG,CONCATENATE(61,$M$4,"0940811",L441),Adat!$E:$E)*-1</f>
        <v>0</v>
      </c>
      <c r="F453" s="72">
        <f>SUMIF(Adat!$AG:$AG,CONCATENATE(60,$M$4,"0940811",L441),Adat!$E:$E)*-1+E453</f>
        <v>0</v>
      </c>
      <c r="G453" s="72">
        <f>SUMIF(Adat!$AH:$AH,CONCATENATE($M$4,"(KÖT)","0940811",L441),Adat!$E:$E)*-1</f>
        <v>0</v>
      </c>
      <c r="H453" s="72">
        <f>SUMIF(Adat!$AH:$AH,CONCATENATE($M$4,"(ÖNV)","0940811",L441),Adat!$E:$E)*-1</f>
        <v>0</v>
      </c>
      <c r="I453" s="72">
        <f>SUMIF(Adat!$AH:$AH,CONCATENATE($M$4,"(ÁIG)","0940811",L441),Adat!$E:$E)*-1</f>
        <v>0</v>
      </c>
    </row>
    <row r="454" spans="2:9" x14ac:dyDescent="0.2">
      <c r="B454" s="160">
        <v>11</v>
      </c>
      <c r="C454" s="305" t="s">
        <v>1295</v>
      </c>
      <c r="D454" s="82" t="s">
        <v>1366</v>
      </c>
      <c r="E454" s="72">
        <f>SUMIF(Adat!$AG:$AG,CONCATENATE(61,$M$4,"0940821",L441),Adat!$E:$E)*-1</f>
        <v>0</v>
      </c>
      <c r="F454" s="72">
        <f>SUMIF(Adat!$AG:$AG,CONCATENATE(60,$M$4,"0940821",L441),Adat!$E:$E)*-1+E454</f>
        <v>0</v>
      </c>
      <c r="G454" s="72">
        <f>SUMIF(Adat!$AH:$AH,CONCATENATE($M$4,"(KÖT)","0940821",L441),Adat!$E:$E)*-1</f>
        <v>0</v>
      </c>
      <c r="H454" s="72">
        <f>SUMIF(Adat!$AH:$AH,CONCATENATE($M$4,"(ÖNV)","0940821",L441),Adat!$E:$E)*-1</f>
        <v>0</v>
      </c>
      <c r="I454" s="72">
        <f>SUMIF(Adat!$AH:$AH,CONCATENATE($M$4,"(ÁIG)","0940821",L441),Adat!$E:$E)*-1</f>
        <v>0</v>
      </c>
    </row>
    <row r="455" spans="2:9" x14ac:dyDescent="0.2">
      <c r="B455" s="160">
        <v>12</v>
      </c>
      <c r="C455" s="305" t="s">
        <v>1367</v>
      </c>
      <c r="D455" s="82" t="s">
        <v>1368</v>
      </c>
      <c r="E455" s="72">
        <f>SUMIF(Adat!$AG:$AG,CONCATENATE(61,$M$4,"0940911",L441),Adat!$E:$E)*-1</f>
        <v>0</v>
      </c>
      <c r="F455" s="72">
        <f>SUMIF(Adat!$AG:$AG,CONCATENATE(60,$M$4,"0940911",L441),Adat!$E:$E)*-1+E455</f>
        <v>0</v>
      </c>
      <c r="G455" s="72">
        <f>SUMIF(Adat!$AH:$AH,CONCATENATE($M$4,"(KÖT)","0940911",L441),Adat!$E:$E)*-1</f>
        <v>0</v>
      </c>
      <c r="H455" s="72">
        <f>SUMIF(Adat!$AH:$AH,CONCATENATE($M$4,"(ÖNV)","0940911",L441),Adat!$E:$E)*-1</f>
        <v>0</v>
      </c>
      <c r="I455" s="72">
        <f>SUMIF(Adat!$AH:$AH,CONCATENATE($M$4,"(ÁIG)","0940911",L441),Adat!$E:$E)*-1</f>
        <v>0</v>
      </c>
    </row>
    <row r="456" spans="2:9" x14ac:dyDescent="0.2">
      <c r="B456" s="160">
        <v>13</v>
      </c>
      <c r="C456" s="305" t="s">
        <v>1369</v>
      </c>
      <c r="D456" s="82" t="s">
        <v>1370</v>
      </c>
      <c r="E456" s="72">
        <f>SUMIF(Adat!$AG:$AG,CONCATENATE(61,$M$4,"0940921",L441),Adat!$E:$E)*-1</f>
        <v>0</v>
      </c>
      <c r="F456" s="72">
        <f>SUMIF(Adat!$AG:$AG,CONCATENATE(60,$M$4,"0940921",L441),Adat!$E:$E)*-1+E456</f>
        <v>0</v>
      </c>
      <c r="G456" s="72">
        <f>SUMIF(Adat!$AH:$AH,CONCATENATE($M$4,"(KÖT)","0940921",L441),Adat!$E:$E)*-1</f>
        <v>0</v>
      </c>
      <c r="H456" s="72">
        <f>SUMIF(Adat!$AH:$AH,CONCATENATE($M$4,"(ÖNV)","0940921",L441),Adat!$E:$E)*-1</f>
        <v>0</v>
      </c>
      <c r="I456" s="72">
        <f>SUMIF(Adat!$AH:$AH,CONCATENATE($M$4,"(ÁIG)","0940921",L441),Adat!$E:$E)*-1</f>
        <v>0</v>
      </c>
    </row>
    <row r="457" spans="2:9" x14ac:dyDescent="0.2">
      <c r="B457" s="160">
        <v>14</v>
      </c>
      <c r="C457" s="305" t="s">
        <v>1296</v>
      </c>
      <c r="D457" s="82" t="s">
        <v>1371</v>
      </c>
      <c r="E457" s="72">
        <f>SUMIF(Adat!$AG:$AG,CONCATENATE(61,$M$4,"094101",L441),Adat!$E:$E)*-1</f>
        <v>0</v>
      </c>
      <c r="F457" s="72">
        <f>SUMIF(Adat!$AG:$AG,CONCATENATE(60,$M$4,"094101",L441),Adat!$E:$E)*-1+E457</f>
        <v>0</v>
      </c>
      <c r="G457" s="72">
        <f>SUMIF(Adat!$AH:$AH,CONCATENATE($M$4,"(KÖT)","094101",L441),Adat!$E:$E)*-1</f>
        <v>0</v>
      </c>
      <c r="H457" s="72">
        <f>SUMIF(Adat!$AH:$AH,CONCATENATE($M$4,"(ÖNV)","094101",L441),Adat!$E:$E)*-1</f>
        <v>0</v>
      </c>
      <c r="I457" s="72">
        <f>SUMIF(Adat!$AH:$AH,CONCATENATE($M$4,"(ÁIG)","094101",L441),Adat!$E:$E)*-1</f>
        <v>0</v>
      </c>
    </row>
    <row r="458" spans="2:9" x14ac:dyDescent="0.25">
      <c r="B458" s="160">
        <v>15</v>
      </c>
      <c r="C458" s="305" t="s">
        <v>1297</v>
      </c>
      <c r="D458" s="84" t="s">
        <v>1372</v>
      </c>
      <c r="E458" s="72">
        <f>SUMIF(Adat!$AG:$AG,CONCATENATE(61,$M$4,"094111",L441),Adat!$E:$E)*-1</f>
        <v>0</v>
      </c>
      <c r="F458" s="72">
        <f>SUMIF(Adat!$AG:$AG,CONCATENATE(60,$M$4,"094111",L441),Adat!$E:$E)*-1+E458</f>
        <v>0</v>
      </c>
      <c r="G458" s="72">
        <f>SUMIF(Adat!$AH:$AH,CONCATENATE($M$4,"(KÖT)","094111",L441),Adat!$E:$E)*-1</f>
        <v>0</v>
      </c>
      <c r="H458" s="72">
        <f>SUMIF(Adat!$AH:$AH,CONCATENATE($M$4,"(ÖNV)","094111",L441),Adat!$E:$E)*-1</f>
        <v>0</v>
      </c>
      <c r="I458" s="72">
        <f>SUMIF(Adat!$AH:$AH,CONCATENATE($M$4,"(ÁIG)","094111",L441),Adat!$E:$E)*-1</f>
        <v>0</v>
      </c>
    </row>
    <row r="459" spans="2:9" x14ac:dyDescent="0.25">
      <c r="B459" s="160">
        <v>16</v>
      </c>
      <c r="C459" s="78" t="s">
        <v>1328</v>
      </c>
      <c r="D459" s="85" t="s">
        <v>437</v>
      </c>
      <c r="E459" s="121">
        <f>SUM(E460:E462)</f>
        <v>0</v>
      </c>
      <c r="F459" s="121">
        <f>SUM(F460:F462)</f>
        <v>0</v>
      </c>
      <c r="G459" s="121">
        <f>SUM(G460:G462)</f>
        <v>0</v>
      </c>
      <c r="H459" s="121">
        <f>SUM(H460:H462)</f>
        <v>0</v>
      </c>
      <c r="I459" s="121">
        <f>SUM(I460:I462)</f>
        <v>0</v>
      </c>
    </row>
    <row r="460" spans="2:9" x14ac:dyDescent="0.2">
      <c r="B460" s="160">
        <v>17</v>
      </c>
      <c r="C460" s="305" t="s">
        <v>1329</v>
      </c>
      <c r="D460" s="82" t="s">
        <v>1330</v>
      </c>
      <c r="E460" s="72">
        <f>SUMIF(Adat!$AG:$AG,CONCATENATE(61,$M$4,"09121",L441),Adat!$E:$E)*-1</f>
        <v>0</v>
      </c>
      <c r="F460" s="72">
        <f>SUMIF(Adat!$AG:$AG,CONCATENATE(60,$M$4,"09121",L441),Adat!$E:$E)*-1+E460</f>
        <v>0</v>
      </c>
      <c r="G460" s="72">
        <f>SUMIF(Adat!$AH:$AH,CONCATENATE($M$4,"(KÖT)","09121",L441),Adat!$E:$E)*-1</f>
        <v>0</v>
      </c>
      <c r="H460" s="72">
        <f>SUMIF(Adat!$AH:$AH,CONCATENATE($M$4,"(ÖNV)","09121",L441),Adat!$E:$E)*-1</f>
        <v>0</v>
      </c>
      <c r="I460" s="72">
        <f>SUMIF(Adat!$AH:$AH,CONCATENATE($M$4,"(ÁIG)","09121",L441),Adat!$E:$E)*-1</f>
        <v>0</v>
      </c>
    </row>
    <row r="461" spans="2:9" x14ac:dyDescent="0.2">
      <c r="B461" s="160">
        <v>18</v>
      </c>
      <c r="C461" s="305" t="s">
        <v>1335</v>
      </c>
      <c r="D461" s="82" t="s">
        <v>1336</v>
      </c>
      <c r="E461" s="72">
        <f>SUMIF(Adat!$AG:$AG,CONCATENATE(61,$M$4,"09151",L441),Adat!$E:$E)*-1</f>
        <v>0</v>
      </c>
      <c r="F461" s="72">
        <f>SUMIF(Adat!$AG:$AG,CONCATENATE(60,$M$4,"09151",L441),Adat!$E:$E)*-1+E461</f>
        <v>0</v>
      </c>
      <c r="G461" s="72">
        <f>SUMIF(Adat!$AH:$AH,CONCATENATE($M$4,"(KÖT)","09151",L441),Adat!$E:$E)*-1</f>
        <v>0</v>
      </c>
      <c r="H461" s="72">
        <f>SUMIF(Adat!$AH:$AH,CONCATENATE($M$4,"(ÖNV)","09151",L441),Adat!$E:$E)*-1</f>
        <v>0</v>
      </c>
      <c r="I461" s="72">
        <f>SUMIF(Adat!$AH:$AH,CONCATENATE($M$4,"(ÁIG)","09151",L441),Adat!$E:$E)*-1</f>
        <v>0</v>
      </c>
    </row>
    <row r="462" spans="2:9" x14ac:dyDescent="0.2">
      <c r="B462" s="160">
        <v>19</v>
      </c>
      <c r="C462" s="305" t="s">
        <v>1278</v>
      </c>
      <c r="D462" s="82" t="s">
        <v>1337</v>
      </c>
      <c r="E462" s="72">
        <f>SUMIF(Adat!$AG:$AG,CONCATENATE(61,$M$4,"09161",L441),Adat!$E:$E)*-1</f>
        <v>0</v>
      </c>
      <c r="F462" s="72">
        <f>SUMIF(Adat!$AG:$AG,CONCATENATE(60,$M$4,"09161",L441),Adat!$E:$E)*-1+E462</f>
        <v>0</v>
      </c>
      <c r="G462" s="72">
        <f>SUMIF(Adat!$AH:$AH,CONCATENATE($M$4,"(KÖT)","09161",L441),Adat!$E:$E)*-1</f>
        <v>0</v>
      </c>
      <c r="H462" s="72">
        <f>SUMIF(Adat!$AH:$AH,CONCATENATE($M$4,"(ÖNV)","09161",L441),Adat!$E:$E)*-1</f>
        <v>0</v>
      </c>
      <c r="I462" s="72">
        <f>SUMIF(Adat!$AH:$AH,CONCATENATE($M$4,"(ÁIG)","09161",L441),Adat!$E:$E)*-1</f>
        <v>0</v>
      </c>
    </row>
    <row r="463" spans="2:9" x14ac:dyDescent="0.25">
      <c r="B463" s="160">
        <v>20</v>
      </c>
      <c r="C463" s="79" t="s">
        <v>27</v>
      </c>
      <c r="D463" s="79" t="s">
        <v>328</v>
      </c>
      <c r="E463" s="71">
        <f>SUMIF(Adat!$AI:$AI,CONCATENATE(61,$M$4,"093",L441),Adat!$E:$E)*-1</f>
        <v>0</v>
      </c>
      <c r="F463" s="71">
        <f>SUMIF(Adat!$AI:$AI,CONCATENATE(60,$M$4,"093",L441),Adat!$E:$E)*-1+E463</f>
        <v>0</v>
      </c>
      <c r="G463" s="71">
        <f>SUMIF(Adat!$AJ:$AJ,CONCATENATE($M$4,"093","(KÖT)",L441),Adat!$E:$E)*-1</f>
        <v>0</v>
      </c>
      <c r="H463" s="71">
        <f>SUMIF(Adat!$AJ:$AJ,CONCATENATE($M$4,"093","(ÖNV)",L441),Adat!$E:$E)*-1</f>
        <v>0</v>
      </c>
      <c r="I463" s="71">
        <f>SUMIF(Adat!$AJ:$AJ,CONCATENATE($M$4,"093","(ÁIG)",L441),Adat!$E:$E)*-1</f>
        <v>0</v>
      </c>
    </row>
    <row r="464" spans="2:9" x14ac:dyDescent="0.25">
      <c r="B464" s="160">
        <v>21</v>
      </c>
      <c r="C464" s="79" t="s">
        <v>24</v>
      </c>
      <c r="D464" s="79" t="s">
        <v>449</v>
      </c>
      <c r="E464" s="121">
        <f>SUM(E465:E467)</f>
        <v>0</v>
      </c>
      <c r="F464" s="121">
        <f t="shared" ref="F464:I464" si="29">SUM(F465:F467)</f>
        <v>0</v>
      </c>
      <c r="G464" s="121">
        <f t="shared" si="29"/>
        <v>0</v>
      </c>
      <c r="H464" s="121">
        <f t="shared" si="29"/>
        <v>0</v>
      </c>
      <c r="I464" s="121">
        <f t="shared" si="29"/>
        <v>0</v>
      </c>
    </row>
    <row r="465" spans="2:9" x14ac:dyDescent="0.2">
      <c r="B465" s="160">
        <v>22</v>
      </c>
      <c r="C465" s="305" t="s">
        <v>1339</v>
      </c>
      <c r="D465" s="82" t="s">
        <v>1340</v>
      </c>
      <c r="E465" s="72">
        <f>SUMIF(Adat!$AG:$AG,CONCATENATE(61,$M$4,"09211",L441),Adat!$E:$E)*-1</f>
        <v>0</v>
      </c>
      <c r="F465" s="72">
        <f>SUMIF(Adat!$AG:$AG,CONCATENATE(60,$M$4,"09211",L441),Adat!$E:$E)*-1+E465</f>
        <v>0</v>
      </c>
      <c r="G465" s="72">
        <f>SUMIF(Adat!$AH:$AH,CONCATENATE($M$4,"(KÖT)","09211",L441),Adat!$E:$E)*-1</f>
        <v>0</v>
      </c>
      <c r="H465" s="72">
        <f>SUMIF(Adat!$AH:$AH,CONCATENATE($M$4,"(ÖNV)","09211",L441),Adat!$E:$E)*-1</f>
        <v>0</v>
      </c>
      <c r="I465" s="72">
        <f>SUMIF(Adat!$AH:$AH,CONCATENATE($M$4,"(ÁIG)","09211",L441),Adat!$E:$E)*-1</f>
        <v>0</v>
      </c>
    </row>
    <row r="466" spans="2:9" x14ac:dyDescent="0.2">
      <c r="B466" s="160">
        <v>23</v>
      </c>
      <c r="C466" s="305" t="s">
        <v>1345</v>
      </c>
      <c r="D466" s="82" t="s">
        <v>1346</v>
      </c>
      <c r="E466" s="72">
        <f>SUMIF(Adat!$AG:$AG,CONCATENATE(61,$M$4,"09241",L441),Adat!$E:$E)*-1</f>
        <v>0</v>
      </c>
      <c r="F466" s="72">
        <f>SUMIF(Adat!$AG:$AG,CONCATENATE(60,$M$4,"09241",L441),Adat!$E:$E)*-1+E466</f>
        <v>0</v>
      </c>
      <c r="G466" s="72">
        <f>SUMIF(Adat!$AH:$AH,CONCATENATE($M$4,"(KÖT)","09241",L441),Adat!$E:$E)*-1</f>
        <v>0</v>
      </c>
      <c r="H466" s="72">
        <f>SUMIF(Adat!$AH:$AH,CONCATENATE($M$4,"(ÖNV)","09241",L441),Adat!$E:$E)*-1</f>
        <v>0</v>
      </c>
      <c r="I466" s="72">
        <f>SUMIF(Adat!$AH:$AH,CONCATENATE($M$4,"(ÁIG)","09241",L441),Adat!$E:$E)*-1</f>
        <v>0</v>
      </c>
    </row>
    <row r="467" spans="2:9" x14ac:dyDescent="0.2">
      <c r="B467" s="160">
        <v>24</v>
      </c>
      <c r="C467" s="305" t="s">
        <v>1255</v>
      </c>
      <c r="D467" s="82" t="s">
        <v>1347</v>
      </c>
      <c r="E467" s="72">
        <f>SUMIF(Adat!$AG:$AG,CONCATENATE(61,$M$4,"09251",L441),Adat!$E:$E)*-1</f>
        <v>0</v>
      </c>
      <c r="F467" s="72">
        <f>SUMIF(Adat!$AG:$AG,CONCATENATE(60,$M$4,"09251",L441),Adat!$E:$E)*-1+E467</f>
        <v>0</v>
      </c>
      <c r="G467" s="72">
        <f>SUMIF(Adat!$AH:$AH,CONCATENATE($M$4,"(KÖT)","09251",L441),Adat!$E:$E)*-1</f>
        <v>0</v>
      </c>
      <c r="H467" s="72">
        <f>SUMIF(Adat!$AH:$AH,CONCATENATE($M$4,"(ÖNV)","09251",L441),Adat!$E:$E)*-1</f>
        <v>0</v>
      </c>
      <c r="I467" s="72">
        <f>SUMIF(Adat!$AH:$AH,CONCATENATE($M$4,"(ÁIG)","09251",L441),Adat!$E:$E)*-1</f>
        <v>0</v>
      </c>
    </row>
    <row r="468" spans="2:9" x14ac:dyDescent="0.25">
      <c r="B468" s="160">
        <v>25</v>
      </c>
      <c r="C468" s="79" t="s">
        <v>33</v>
      </c>
      <c r="D468" s="79" t="s">
        <v>330</v>
      </c>
      <c r="E468" s="121">
        <f>SUM(E469:E471)</f>
        <v>0</v>
      </c>
      <c r="F468" s="121">
        <f t="shared" ref="F468:I468" si="30">SUM(F469:F471)</f>
        <v>0</v>
      </c>
      <c r="G468" s="121">
        <f t="shared" si="30"/>
        <v>0</v>
      </c>
      <c r="H468" s="121">
        <f t="shared" si="30"/>
        <v>0</v>
      </c>
      <c r="I468" s="121">
        <f t="shared" si="30"/>
        <v>0</v>
      </c>
    </row>
    <row r="469" spans="2:9" x14ac:dyDescent="0.2">
      <c r="B469" s="160">
        <v>26</v>
      </c>
      <c r="C469" s="305" t="s">
        <v>1373</v>
      </c>
      <c r="D469" s="82" t="s">
        <v>1374</v>
      </c>
      <c r="E469" s="72">
        <f>SUMIF(Adat!$AG:$AG,CONCATENATE(61,$M$4,"09511",L441),Adat!$E:$E)*-1</f>
        <v>0</v>
      </c>
      <c r="F469" s="72">
        <f>SUMIF(Adat!$AG:$AG,CONCATENATE(60,$M$4,"09511",L441),Adat!$E:$E)*-1+E469</f>
        <v>0</v>
      </c>
      <c r="G469" s="72">
        <f>SUMIF(Adat!$AH:$AH,CONCATENATE($M$4,"(KÖT)","09511",L441),Adat!$E:$E)*-1</f>
        <v>0</v>
      </c>
      <c r="H469" s="72">
        <f>SUMIF(Adat!$AH:$AH,CONCATENATE($M$4,"(ÖNV)","09511",L441),Adat!$E:$E)*-1</f>
        <v>0</v>
      </c>
      <c r="I469" s="72">
        <f>SUMIF(Adat!$AH:$AH,CONCATENATE($M$4,"(ÁIG)","09511",L441),Adat!$E:$E)*-1</f>
        <v>0</v>
      </c>
    </row>
    <row r="470" spans="2:9" x14ac:dyDescent="0.2">
      <c r="B470" s="160">
        <v>27</v>
      </c>
      <c r="C470" s="305" t="s">
        <v>1294</v>
      </c>
      <c r="D470" s="82" t="s">
        <v>1375</v>
      </c>
      <c r="E470" s="72">
        <f>SUMIF(Adat!$AG:$AG,CONCATENATE(61,$M$4,"09521",L441),Adat!$E:$E)*-1</f>
        <v>0</v>
      </c>
      <c r="F470" s="72">
        <f>SUMIF(Adat!$AG:$AG,CONCATENATE(60,$M$4,"09521",L441),Adat!$E:$E)*-1+E470</f>
        <v>0</v>
      </c>
      <c r="G470" s="72">
        <f>SUMIF(Adat!$AH:$AH,CONCATENATE($M$4,"(KÖT)","09521",L441),Adat!$E:$E)*-1</f>
        <v>0</v>
      </c>
      <c r="H470" s="72">
        <f>SUMIF(Adat!$AH:$AH,CONCATENATE($M$4,"(ÖNV)","09521",L441),Adat!$E:$E)*-1</f>
        <v>0</v>
      </c>
      <c r="I470" s="72">
        <f>SUMIF(Adat!$AH:$AH,CONCATENATE($M$4,"(ÁIG)","09521",L441),Adat!$E:$E)*-1</f>
        <v>0</v>
      </c>
    </row>
    <row r="471" spans="2:9" x14ac:dyDescent="0.2">
      <c r="B471" s="160">
        <v>28</v>
      </c>
      <c r="C471" s="305" t="s">
        <v>1376</v>
      </c>
      <c r="D471" s="82" t="s">
        <v>1377</v>
      </c>
      <c r="E471" s="72">
        <f>SUMIF(Adat!$AG:$AG,CONCATENATE(61,$M$4,"09531",L441),Adat!$E:$E)*-1</f>
        <v>0</v>
      </c>
      <c r="F471" s="72">
        <f>SUMIF(Adat!$AG:$AG,CONCATENATE(60,$M$4,"09531",L441),Adat!$E:$E)*-1+E471</f>
        <v>0</v>
      </c>
      <c r="G471" s="72">
        <f>SUMIF(Adat!$AH:$AH,CONCATENATE($M$4,"(KÖT)","09531",L441),Adat!$E:$E)*-1</f>
        <v>0</v>
      </c>
      <c r="H471" s="72">
        <f>SUMIF(Adat!$AH:$AH,CONCATENATE($M$4,"(ÖNV)","09531",L441),Adat!$E:$E)*-1</f>
        <v>0</v>
      </c>
      <c r="I471" s="72">
        <f>SUMIF(Adat!$AH:$AH,CONCATENATE($M$4,"(ÁIG)","09531",L441),Adat!$E:$E)*-1</f>
        <v>0</v>
      </c>
    </row>
    <row r="472" spans="2:9" x14ac:dyDescent="0.25">
      <c r="B472" s="160">
        <v>29</v>
      </c>
      <c r="C472" s="79" t="s">
        <v>36</v>
      </c>
      <c r="D472" s="79" t="s">
        <v>331</v>
      </c>
      <c r="E472" s="71">
        <f>SUMIF(Adat!$AI:$AI,CONCATENATE(61,$M$4,"096",L441),Adat!$E:$E)*-1</f>
        <v>0</v>
      </c>
      <c r="F472" s="71">
        <f>SUMIF(Adat!$AI:$AI,CONCATENATE(60,$M$4,"096",L441),Adat!$E:$E)*-1+E472</f>
        <v>0</v>
      </c>
      <c r="G472" s="71">
        <f>SUMIF(Adat!$AJ:$AJ,CONCATENATE($M$4,"096","(KÖT)",L441),Adat!$E:$E)*-1</f>
        <v>0</v>
      </c>
      <c r="H472" s="71">
        <f>SUMIF(Adat!$AJ:$AJ,CONCATENATE($M$4,"096","(ÖNV)",L441),Adat!$E:$E)*-1</f>
        <v>0</v>
      </c>
      <c r="I472" s="71">
        <f>SUMIF(Adat!$AJ:$AJ,CONCATENATE($M$4,"096","(ÁIG)",L441),Adat!$E:$E)*-1</f>
        <v>0</v>
      </c>
    </row>
    <row r="473" spans="2:9" x14ac:dyDescent="0.25">
      <c r="B473" s="160">
        <v>30</v>
      </c>
      <c r="C473" s="79" t="s">
        <v>38</v>
      </c>
      <c r="D473" s="85" t="s">
        <v>332</v>
      </c>
      <c r="E473" s="71">
        <f>SUMIF(Adat!$AI:$AI,CONCATENATE(61,$M$4,"097",L441),Adat!$E:$E)*-1</f>
        <v>0</v>
      </c>
      <c r="F473" s="71">
        <f>SUMIF(Adat!$AI:$AI,CONCATENATE(60,$M$4,"097",L441),Adat!$E:$E)*-1+E473</f>
        <v>0</v>
      </c>
      <c r="G473" s="71">
        <f>SUMIF(Adat!$AJ:$AJ,CONCATENATE($M$4,"097","(KÖT)",L441),Adat!$E:$E)*-1</f>
        <v>0</v>
      </c>
      <c r="H473" s="71">
        <f>SUMIF(Adat!$AJ:$AJ,CONCATENATE($M$4,"097","(ÖNV)",L441),Adat!$E:$E)*-1</f>
        <v>0</v>
      </c>
      <c r="I473" s="71">
        <f>SUMIF(Adat!$AJ:$AJ,CONCATENATE($M$4,"097","(ÁIG)",L441),Adat!$E:$E)*-1</f>
        <v>0</v>
      </c>
    </row>
    <row r="474" spans="2:9" x14ac:dyDescent="0.25">
      <c r="B474" s="160">
        <v>31</v>
      </c>
      <c r="C474" s="154" t="s">
        <v>352</v>
      </c>
      <c r="D474" s="86" t="s">
        <v>1500</v>
      </c>
      <c r="E474" s="121">
        <f>E445+E459+E463+E464+E468+E472+E473</f>
        <v>0</v>
      </c>
      <c r="F474" s="121">
        <f>F445+F459+F463+F464+F468+F472+F473</f>
        <v>0</v>
      </c>
      <c r="G474" s="121">
        <f>G445+G459+G463+G464+G468+G472+G473</f>
        <v>0</v>
      </c>
      <c r="H474" s="121">
        <f>H445+H459+H463+H464+H468+H472+H473</f>
        <v>0</v>
      </c>
      <c r="I474" s="121">
        <f>I445+I459+I463+I464+I468+I472+I473</f>
        <v>0</v>
      </c>
    </row>
    <row r="475" spans="2:9" x14ac:dyDescent="0.25">
      <c r="B475" s="160">
        <v>32</v>
      </c>
      <c r="C475" s="154" t="s">
        <v>358</v>
      </c>
      <c r="D475" s="86" t="s">
        <v>333</v>
      </c>
      <c r="E475" s="121">
        <f>SUM(E476:E478)</f>
        <v>0</v>
      </c>
      <c r="F475" s="121">
        <f t="shared" ref="F475:I475" si="31">SUM(F476:F478)</f>
        <v>0</v>
      </c>
      <c r="G475" s="121">
        <f t="shared" si="31"/>
        <v>0</v>
      </c>
      <c r="H475" s="121">
        <f t="shared" si="31"/>
        <v>0</v>
      </c>
      <c r="I475" s="121">
        <f t="shared" si="31"/>
        <v>0</v>
      </c>
    </row>
    <row r="476" spans="2:9" x14ac:dyDescent="0.2">
      <c r="B476" s="160">
        <v>33</v>
      </c>
      <c r="C476" s="305" t="s">
        <v>1274</v>
      </c>
      <c r="D476" s="82" t="s">
        <v>1419</v>
      </c>
      <c r="E476" s="72">
        <f>SUMIF(Adat!$AG:$AG,CONCATENATE(61,$M$4,"0981311",L441),Adat!$E:$E)*-1</f>
        <v>0</v>
      </c>
      <c r="F476" s="72">
        <f>SUMIF(Adat!$AG:$AG,CONCATENATE(60,$M$4,"0981311",L441),Adat!$E:$E)*-1+E476</f>
        <v>0</v>
      </c>
      <c r="G476" s="72">
        <f>SUMIF(Adat!$AH:$AH,CONCATENATE($M$4,"(KÖT)","0981311",L441),Adat!$E:$E)*-1</f>
        <v>0</v>
      </c>
      <c r="H476" s="72">
        <f>SUMIF(Adat!$AH:$AH,CONCATENATE($M$4,"(ÖNV)","0981311",L441),Adat!$E:$E)*-1</f>
        <v>0</v>
      </c>
      <c r="I476" s="72">
        <f>SUMIF(Adat!$AH:$AH,CONCATENATE($M$4,"(ÁIG)","0981311",L441),Adat!$E:$E)*-1</f>
        <v>0</v>
      </c>
    </row>
    <row r="477" spans="2:9" x14ac:dyDescent="0.25">
      <c r="B477" s="160">
        <v>34</v>
      </c>
      <c r="C477" s="305" t="s">
        <v>1420</v>
      </c>
      <c r="D477" s="84" t="s">
        <v>1421</v>
      </c>
      <c r="E477" s="72">
        <f>SUMIF(Adat!$AG:$AG,CONCATENATE(61,$M$4,"0981321",L441),Adat!$E:$E)*-1</f>
        <v>0</v>
      </c>
      <c r="F477" s="72">
        <f>SUMIF(Adat!$AG:$AG,CONCATENATE(60,$M$4,"0981321",L441),Adat!$E:$E)*-1+E477</f>
        <v>0</v>
      </c>
      <c r="G477" s="72">
        <f>SUMIF(Adat!$AH:$AH,CONCATENATE($M$4,"(KÖT)","0981321",L441),Adat!$E:$E)*-1</f>
        <v>0</v>
      </c>
      <c r="H477" s="72">
        <f>SUMIF(Adat!$AH:$AH,CONCATENATE($M$4,"(ÖNV)","0981321",L441),Adat!$E:$E)*-1</f>
        <v>0</v>
      </c>
      <c r="I477" s="72">
        <f>SUMIF(Adat!$AH:$AH,CONCATENATE($M$4,"(ÁIG)","0981321",L441),Adat!$E:$E)*-1</f>
        <v>0</v>
      </c>
    </row>
    <row r="478" spans="2:9" x14ac:dyDescent="0.25">
      <c r="B478" s="160">
        <v>35</v>
      </c>
      <c r="C478" s="319" t="s">
        <v>1275</v>
      </c>
      <c r="D478" s="84" t="s">
        <v>1501</v>
      </c>
      <c r="E478" s="72">
        <f>SUMIF(Adat!$AG:$AG,CONCATENATE(61,$M$4,"098161",L441),Adat!$E:$E)*-1</f>
        <v>0</v>
      </c>
      <c r="F478" s="72">
        <f>SUMIF(Adat!$AG:$AG,CONCATENATE(60,$M$4,"098161",L441),Adat!$E:$E)*-1+E478</f>
        <v>0</v>
      </c>
      <c r="G478" s="72">
        <f>SUMIF(Adat!$AH:$AH,CONCATENATE($M$4,"(KÖT)","098161",L441),Adat!$E:$E)*-1</f>
        <v>0</v>
      </c>
      <c r="H478" s="72">
        <f>SUMIF(Adat!$AH:$AH,CONCATENATE($M$4,"(ÖNV)","098161",L441),Adat!$E:$E)*-1</f>
        <v>0</v>
      </c>
      <c r="I478" s="72">
        <f>SUMIF(Adat!$AH:$AH,CONCATENATE($M$4,"(ÁIG)","098161",L441),Adat!$E:$E)*-1</f>
        <v>0</v>
      </c>
    </row>
    <row r="479" spans="2:9" x14ac:dyDescent="0.25">
      <c r="B479" s="160">
        <v>36</v>
      </c>
      <c r="C479" s="154" t="s">
        <v>364</v>
      </c>
      <c r="D479" s="159" t="s">
        <v>1502</v>
      </c>
      <c r="E479" s="121">
        <f>+E474+E475</f>
        <v>0</v>
      </c>
      <c r="F479" s="121">
        <f>+F474+F475</f>
        <v>0</v>
      </c>
      <c r="G479" s="121">
        <f>+G474+G475</f>
        <v>0</v>
      </c>
      <c r="H479" s="121">
        <f>+H474+H475</f>
        <v>0</v>
      </c>
      <c r="I479" s="121">
        <f>+I474+I475</f>
        <v>0</v>
      </c>
    </row>
    <row r="480" spans="2:9" ht="15.75" x14ac:dyDescent="0.25">
      <c r="B480" s="38"/>
      <c r="C480" s="156"/>
      <c r="D480" s="38"/>
      <c r="E480" s="140"/>
      <c r="F480" s="140"/>
      <c r="G480" s="140"/>
      <c r="H480" s="140"/>
      <c r="I480" s="140"/>
    </row>
    <row r="481" spans="2:12" s="10" customFormat="1" ht="15.75" customHeight="1" x14ac:dyDescent="0.25">
      <c r="B481" s="201" t="str">
        <f>CONCATENATE("16. Kiadási jogcímek"," - ",L481," részletező")</f>
        <v>16. Kiadási jogcímek -  részletező</v>
      </c>
      <c r="C481" s="101"/>
      <c r="D481" s="101"/>
      <c r="E481" s="101"/>
      <c r="F481" s="101"/>
      <c r="G481" s="198"/>
      <c r="H481" s="198"/>
      <c r="I481" s="198"/>
      <c r="L481" s="384"/>
    </row>
    <row r="482" spans="2:12" ht="15.75" x14ac:dyDescent="0.25">
      <c r="B482" s="38"/>
      <c r="C482" s="156"/>
      <c r="D482" s="38"/>
      <c r="E482" s="140"/>
      <c r="F482" s="140"/>
      <c r="G482" s="140"/>
      <c r="H482" s="140"/>
      <c r="I482" s="140"/>
    </row>
    <row r="483" spans="2:12" x14ac:dyDescent="0.25">
      <c r="B483" s="77"/>
      <c r="C483" s="77" t="s">
        <v>350</v>
      </c>
      <c r="D483" s="77" t="s">
        <v>351</v>
      </c>
      <c r="E483" s="77" t="s">
        <v>470</v>
      </c>
      <c r="F483" s="77" t="s">
        <v>471</v>
      </c>
      <c r="G483" s="77" t="s">
        <v>44</v>
      </c>
      <c r="H483" s="77" t="s">
        <v>42</v>
      </c>
      <c r="I483" s="77" t="s">
        <v>511</v>
      </c>
    </row>
    <row r="484" spans="2:12" ht="38.25" x14ac:dyDescent="0.25">
      <c r="B484" s="160">
        <v>1</v>
      </c>
      <c r="C484" s="154" t="s">
        <v>593</v>
      </c>
      <c r="D484" s="154" t="s">
        <v>488</v>
      </c>
      <c r="E484" s="163" t="str">
        <f>CONCATENATE(PAR!$H$3," évi
eredeti 
előirányzat")</f>
        <v>2025. évi
eredeti 
előirányzat</v>
      </c>
      <c r="F484" s="163" t="str">
        <f>CONCATENATE(PAR!$H$3," évi
módosított 
előirányzat")</f>
        <v>2025. évi
módosított 
előirányzat</v>
      </c>
      <c r="G484" s="78" t="s">
        <v>666</v>
      </c>
      <c r="H484" s="78" t="s">
        <v>667</v>
      </c>
      <c r="I484" s="78" t="s">
        <v>668</v>
      </c>
    </row>
    <row r="485" spans="2:12" x14ac:dyDescent="0.25">
      <c r="B485" s="160">
        <v>2</v>
      </c>
      <c r="C485" s="78" t="s">
        <v>352</v>
      </c>
      <c r="D485" s="92" t="s">
        <v>1444</v>
      </c>
      <c r="E485" s="121">
        <f>SUM(E486:E490)</f>
        <v>0</v>
      </c>
      <c r="F485" s="121">
        <f>SUM(F486:F490)</f>
        <v>0</v>
      </c>
      <c r="G485" s="121">
        <f>SUM(G486:G490)</f>
        <v>0</v>
      </c>
      <c r="H485" s="121">
        <f>SUM(H486:H490)</f>
        <v>0</v>
      </c>
      <c r="I485" s="121">
        <f>SUM(I486:I490)</f>
        <v>0</v>
      </c>
    </row>
    <row r="486" spans="2:12" x14ac:dyDescent="0.25">
      <c r="B486" s="160">
        <v>3</v>
      </c>
      <c r="C486" s="305" t="s">
        <v>315</v>
      </c>
      <c r="D486" s="93" t="s">
        <v>342</v>
      </c>
      <c r="E486" s="72">
        <f>SUMIF(Adat!$AI:$AI,CONCATENATE(61,$M$4,"051",L481),Adat!$E:$E)</f>
        <v>0</v>
      </c>
      <c r="F486" s="72">
        <f>SUMIF(Adat!$AI:$AI,CONCATENATE(60,$M$4,"051",L481),Adat!$E:$E)+E486</f>
        <v>0</v>
      </c>
      <c r="G486" s="72">
        <f>SUMIF(Adat!$AJ:$AJ,CONCATENATE($M$4,"051","(KÖT)",L481),Adat!$E:$E)</f>
        <v>0</v>
      </c>
      <c r="H486" s="72">
        <f>SUMIF(Adat!$AJ:$AJ,CONCATENATE($M$4,"051","(ÖNV)",L481),Adat!$E:$E)</f>
        <v>0</v>
      </c>
      <c r="I486" s="72">
        <f>SUMIF(Adat!$AJ:$AJ,CONCATENATE($M$4,"051","(ÁIG)",L481),Adat!$E:$E)</f>
        <v>0</v>
      </c>
    </row>
    <row r="487" spans="2:12" x14ac:dyDescent="0.25">
      <c r="B487" s="160">
        <v>4</v>
      </c>
      <c r="C487" s="305" t="s">
        <v>317</v>
      </c>
      <c r="D487" s="93" t="s">
        <v>395</v>
      </c>
      <c r="E487" s="72">
        <f>SUMIF(Adat!$AI:$AI,CONCATENATE(61,$M$4,"052",L481),Adat!$E:$E)</f>
        <v>0</v>
      </c>
      <c r="F487" s="72">
        <f>SUMIF(Adat!$AI:$AI,CONCATENATE(60,$M$4,"052",L481),Adat!$E:$E)+E487</f>
        <v>0</v>
      </c>
      <c r="G487" s="72">
        <f>SUMIF(Adat!$AJ:$AJ,CONCATENATE($M$4,"052","(KÖT)",L481),Adat!$E:$E)</f>
        <v>0</v>
      </c>
      <c r="H487" s="72">
        <f>SUMIF(Adat!$AJ:$AJ,CONCATENATE($M$4,"052","(ÖNV)",L481),Adat!$E:$E)</f>
        <v>0</v>
      </c>
      <c r="I487" s="72">
        <f>SUMIF(Adat!$AJ:$AJ,CONCATENATE($M$4,"052","(ÁIG)",L481),Adat!$E:$E)</f>
        <v>0</v>
      </c>
    </row>
    <row r="488" spans="2:12" x14ac:dyDescent="0.25">
      <c r="B488" s="160">
        <v>5</v>
      </c>
      <c r="C488" s="305" t="s">
        <v>4</v>
      </c>
      <c r="D488" s="93" t="s">
        <v>344</v>
      </c>
      <c r="E488" s="72">
        <f>SUMIF(Adat!$AI:$AI,CONCATENATE(61,$M$4,"053",L481),Adat!$E:$E)</f>
        <v>0</v>
      </c>
      <c r="F488" s="72">
        <f>SUMIF(Adat!$AI:$AI,CONCATENATE(60,$M$4,"053",L481),Adat!$E:$E)+E488</f>
        <v>0</v>
      </c>
      <c r="G488" s="72">
        <f>SUMIF(Adat!$AJ:$AJ,CONCATENATE($M$4,"053","(KÖT)",L481),Adat!$E:$E)</f>
        <v>0</v>
      </c>
      <c r="H488" s="72">
        <f>SUMIF(Adat!$AJ:$AJ,CONCATENATE($M$4,"053","(ÖNV)",L481),Adat!$E:$E)</f>
        <v>0</v>
      </c>
      <c r="I488" s="72">
        <f>SUMIF(Adat!$AJ:$AJ,CONCATENATE($M$4,"053","(ÁIG)",L481),Adat!$E:$E)</f>
        <v>0</v>
      </c>
    </row>
    <row r="489" spans="2:12" x14ac:dyDescent="0.25">
      <c r="B489" s="160">
        <v>6</v>
      </c>
      <c r="C489" s="305" t="s">
        <v>6</v>
      </c>
      <c r="D489" s="93" t="s">
        <v>345</v>
      </c>
      <c r="E489" s="72">
        <f>SUMIF(Adat!$AI:$AI,CONCATENATE(61,$M$4,"054",L481),Adat!$E:$E)</f>
        <v>0</v>
      </c>
      <c r="F489" s="72">
        <f>SUMIF(Adat!$AI:$AI,CONCATENATE(60,$M$4,"054",L481),Adat!$E:$E)+E489</f>
        <v>0</v>
      </c>
      <c r="G489" s="72">
        <f>SUMIF(Adat!$AJ:$AJ,CONCATENATE($M$4,"054","(KÖT)",L481),Adat!$E:$E)</f>
        <v>0</v>
      </c>
      <c r="H489" s="72">
        <f>SUMIF(Adat!$AJ:$AJ,CONCATENATE($M$4,"054","(ÖNV)",L481),Adat!$E:$E)</f>
        <v>0</v>
      </c>
      <c r="I489" s="72">
        <f>SUMIF(Adat!$AJ:$AJ,CONCATENATE($M$4,"054","(ÁIG)",L481),Adat!$E:$E)</f>
        <v>0</v>
      </c>
    </row>
    <row r="490" spans="2:12" x14ac:dyDescent="0.25">
      <c r="B490" s="160">
        <v>7</v>
      </c>
      <c r="C490" s="305" t="s">
        <v>8</v>
      </c>
      <c r="D490" s="93" t="s">
        <v>321</v>
      </c>
      <c r="E490" s="72">
        <f>SUMIF(Adat!$AI:$AI,CONCATENATE(61,$M$4,"055",L481),Adat!$E:$E)</f>
        <v>0</v>
      </c>
      <c r="F490" s="72">
        <f>SUMIF(Adat!$AI:$AI,CONCATENATE(60,$M$4,"055",L481),Adat!$E:$E)+E490</f>
        <v>0</v>
      </c>
      <c r="G490" s="72">
        <f>SUMIF(Adat!$AJ:$AJ,CONCATENATE($M$4,"055","(KÖT)",L481),Adat!$E:$E)</f>
        <v>0</v>
      </c>
      <c r="H490" s="72">
        <f>SUMIF(Adat!$AJ:$AJ,CONCATENATE($M$4,"055","(ÖNV)",L481),Adat!$E:$E)</f>
        <v>0</v>
      </c>
      <c r="I490" s="72">
        <f>SUMIF(Adat!$AJ:$AJ,CONCATENATE($M$4,"055","(ÁIG)",L481),Adat!$E:$E)</f>
        <v>0</v>
      </c>
    </row>
    <row r="491" spans="2:12" x14ac:dyDescent="0.25">
      <c r="B491" s="160">
        <v>8</v>
      </c>
      <c r="C491" s="78" t="s">
        <v>358</v>
      </c>
      <c r="D491" s="92" t="s">
        <v>1447</v>
      </c>
      <c r="E491" s="121">
        <f>E492+E494+E496</f>
        <v>0</v>
      </c>
      <c r="F491" s="121">
        <f>F492+F494+F496</f>
        <v>0</v>
      </c>
      <c r="G491" s="121">
        <f>G492+G494+G496</f>
        <v>0</v>
      </c>
      <c r="H491" s="121">
        <f>H492+H494+H496</f>
        <v>0</v>
      </c>
      <c r="I491" s="121">
        <f>I492+I494+I496</f>
        <v>0</v>
      </c>
    </row>
    <row r="492" spans="2:12" x14ac:dyDescent="0.25">
      <c r="B492" s="160">
        <v>9</v>
      </c>
      <c r="C492" s="305" t="s">
        <v>10</v>
      </c>
      <c r="D492" s="93" t="s">
        <v>322</v>
      </c>
      <c r="E492" s="72">
        <f>SUMIF(Adat!$AI:$AI,CONCATENATE(61,$M$4,"056",L481),Adat!$E:$E)</f>
        <v>0</v>
      </c>
      <c r="F492" s="72">
        <f>SUMIF(Adat!$AI:$AI,CONCATENATE(60,$M$4,"056",L481),Adat!$E:$E)+E492</f>
        <v>0</v>
      </c>
      <c r="G492" s="72">
        <f>SUMIF(Adat!$AJ:$AJ,CONCATENATE($M$4,"056","(KÖT)",L481),Adat!$E:$E)</f>
        <v>0</v>
      </c>
      <c r="H492" s="72">
        <f>SUMIF(Adat!$AJ:$AJ,CONCATENATE($M$4,"056","(ÖNV)",L481),Adat!$E:$E)</f>
        <v>0</v>
      </c>
      <c r="I492" s="72">
        <f>SUMIF(Adat!$AJ:$AJ,CONCATENATE($M$4,"056","(ÁIG)",L481),Adat!$E:$E)</f>
        <v>0</v>
      </c>
    </row>
    <row r="493" spans="2:12" x14ac:dyDescent="0.25">
      <c r="B493" s="160">
        <v>10</v>
      </c>
      <c r="C493" s="305" t="s">
        <v>10</v>
      </c>
      <c r="D493" s="93" t="s">
        <v>1448</v>
      </c>
      <c r="E493" s="72">
        <v>0</v>
      </c>
      <c r="F493" s="72">
        <f>SUM(G493:I493)</f>
        <v>0</v>
      </c>
      <c r="G493" s="72">
        <v>0</v>
      </c>
      <c r="H493" s="72">
        <v>0</v>
      </c>
      <c r="I493" s="72">
        <v>0</v>
      </c>
    </row>
    <row r="494" spans="2:12" x14ac:dyDescent="0.25">
      <c r="B494" s="160">
        <v>11</v>
      </c>
      <c r="C494" s="305" t="s">
        <v>12</v>
      </c>
      <c r="D494" s="93" t="s">
        <v>323</v>
      </c>
      <c r="E494" s="72">
        <f>SUMIF(Adat!$AI:$AI,CONCATENATE(61,$M$4,"057",L481),Adat!$E:$E)</f>
        <v>0</v>
      </c>
      <c r="F494" s="72">
        <f>SUMIF(Adat!$AI:$AI,CONCATENATE(60,$M$4,"057",L481),Adat!$E:$E)+E494</f>
        <v>0</v>
      </c>
      <c r="G494" s="72">
        <f>SUMIF(Adat!$AJ:$AJ,CONCATENATE($M$4,"057","(KÖT)",L481),Adat!$E:$E)</f>
        <v>0</v>
      </c>
      <c r="H494" s="72">
        <f>SUMIF(Adat!$AJ:$AJ,CONCATENATE($M$4,"057","(ÖNV)",L481),Adat!$E:$E)</f>
        <v>0</v>
      </c>
      <c r="I494" s="72">
        <f>SUMIF(Adat!$AJ:$AJ,CONCATENATE($M$4,"057","(ÁIG)",L481),Adat!$E:$E)</f>
        <v>0</v>
      </c>
    </row>
    <row r="495" spans="2:12" x14ac:dyDescent="0.25">
      <c r="B495" s="160">
        <v>12</v>
      </c>
      <c r="C495" s="305" t="s">
        <v>12</v>
      </c>
      <c r="D495" s="93" t="s">
        <v>1449</v>
      </c>
      <c r="E495" s="72">
        <v>0</v>
      </c>
      <c r="F495" s="72">
        <f>SUM(G495:I495)</f>
        <v>0</v>
      </c>
      <c r="G495" s="72">
        <v>0</v>
      </c>
      <c r="H495" s="72">
        <v>0</v>
      </c>
      <c r="I495" s="72">
        <v>0</v>
      </c>
    </row>
    <row r="496" spans="2:12" x14ac:dyDescent="0.25">
      <c r="B496" s="160">
        <v>13</v>
      </c>
      <c r="C496" s="305" t="s">
        <v>15</v>
      </c>
      <c r="D496" s="84" t="s">
        <v>324</v>
      </c>
      <c r="E496" s="72">
        <f>SUMIF(Adat!$AI:$AI,CONCATENATE(61,$M$4,"058",L481),Adat!$E:$E)</f>
        <v>0</v>
      </c>
      <c r="F496" s="72">
        <f>SUMIF(Adat!$AI:$AI,CONCATENATE(60,$M$4,"058",L481),Adat!$E:$E)+E496</f>
        <v>0</v>
      </c>
      <c r="G496" s="72">
        <f>SUMIF(Adat!$AJ:$AJ,CONCATENATE($M$4,"058","(KÖT)",L481),Adat!$E:$E)</f>
        <v>0</v>
      </c>
      <c r="H496" s="72">
        <f>SUMIF(Adat!$AJ:$AJ,CONCATENATE($M$4,"058","(ÖNV)",L481),Adat!$E:$E)</f>
        <v>0</v>
      </c>
      <c r="I496" s="72">
        <f>SUMIF(Adat!$AJ:$AJ,CONCATENATE($M$4,"058","(ÁIG)",L481),Adat!$E:$E)</f>
        <v>0</v>
      </c>
    </row>
    <row r="497" spans="2:12" x14ac:dyDescent="0.25">
      <c r="B497" s="160">
        <v>14</v>
      </c>
      <c r="C497" s="154" t="s">
        <v>364</v>
      </c>
      <c r="D497" s="86" t="s">
        <v>325</v>
      </c>
      <c r="E497" s="71">
        <f>SUMIF(Adat!$AI:$AI,CONCATENATE(61,$M$4,"059",L481),Adat!$E:$E)</f>
        <v>0</v>
      </c>
      <c r="F497" s="71">
        <f>SUMIF(Adat!$AI:$AI,CONCATENATE(60,$M$4,"059",L481),Adat!$E:$E)+E497</f>
        <v>0</v>
      </c>
      <c r="G497" s="71">
        <f>SUMIF(Adat!$AJ:$AJ,CONCATENATE($M$4,"059","(KÖT)",L481),Adat!$E:$E)</f>
        <v>0</v>
      </c>
      <c r="H497" s="71">
        <f>SUMIF(Adat!$AJ:$AJ,CONCATENATE($M$4,"059","(ÖNV)",L481),Adat!$E:$E)</f>
        <v>0</v>
      </c>
      <c r="I497" s="71">
        <f>SUMIF(Adat!$AJ:$AJ,CONCATENATE($M$4,"059","(ÁIG)",L481),Adat!$E:$E)</f>
        <v>0</v>
      </c>
    </row>
    <row r="498" spans="2:12" x14ac:dyDescent="0.25">
      <c r="B498" s="160">
        <v>15</v>
      </c>
      <c r="C498" s="154" t="s">
        <v>403</v>
      </c>
      <c r="D498" s="159" t="s">
        <v>497</v>
      </c>
      <c r="E498" s="121">
        <f>E485+E491+E497</f>
        <v>0</v>
      </c>
      <c r="F498" s="121">
        <f>F485+F491+F497</f>
        <v>0</v>
      </c>
      <c r="G498" s="121">
        <f>G485+G491+G497</f>
        <v>0</v>
      </c>
      <c r="H498" s="121">
        <f>H485+H491+H497</f>
        <v>0</v>
      </c>
      <c r="I498" s="121">
        <f>I485+I491+I497</f>
        <v>0</v>
      </c>
    </row>
    <row r="499" spans="2:12" ht="15.75" x14ac:dyDescent="0.25">
      <c r="B499" s="37"/>
      <c r="C499" s="529"/>
      <c r="D499" s="529"/>
      <c r="E499" s="529"/>
      <c r="F499" s="200"/>
      <c r="G499" s="200"/>
      <c r="H499" s="200"/>
      <c r="I499" s="200"/>
    </row>
    <row r="500" spans="2:12" ht="15.75" x14ac:dyDescent="0.25">
      <c r="B500" s="525" t="str">
        <f>$N$4</f>
        <v>Nagymarosi Napköziotthonos Óvoda és Bölcsőde</v>
      </c>
      <c r="C500" s="525"/>
      <c r="D500" s="525"/>
      <c r="E500" s="525"/>
      <c r="F500" s="525"/>
      <c r="G500" s="525"/>
      <c r="H500" s="525"/>
      <c r="I500" s="525"/>
    </row>
    <row r="501" spans="2:12" ht="15.75" x14ac:dyDescent="0.25">
      <c r="B501" s="525" t="s">
        <v>2660</v>
      </c>
      <c r="C501" s="525"/>
      <c r="D501" s="525"/>
      <c r="E501" s="525"/>
      <c r="F501" s="525"/>
      <c r="G501" s="525"/>
      <c r="H501" s="525"/>
      <c r="I501" s="525"/>
    </row>
    <row r="502" spans="2:12" ht="15.75" x14ac:dyDescent="0.25">
      <c r="B502" s="38"/>
      <c r="C502" s="156"/>
      <c r="D502" s="38"/>
      <c r="E502" s="140"/>
      <c r="F502" s="140"/>
      <c r="G502" s="140"/>
      <c r="H502" s="140"/>
      <c r="I502" s="140"/>
    </row>
    <row r="503" spans="2:12" s="10" customFormat="1" ht="15.75" customHeight="1" x14ac:dyDescent="0.25">
      <c r="B503" s="201" t="str">
        <f>CONCATENATE("17. Bevételi jogcímek"," - ",L503," részletező")</f>
        <v>17. Bevételi jogcímek -  részletező</v>
      </c>
      <c r="C503" s="101"/>
      <c r="D503" s="101"/>
      <c r="E503" s="101"/>
      <c r="F503" s="101"/>
      <c r="G503" s="198"/>
      <c r="H503" s="198"/>
      <c r="I503" s="198"/>
      <c r="L503" s="384"/>
    </row>
    <row r="504" spans="2:12" ht="15.75" x14ac:dyDescent="0.25">
      <c r="B504" s="38"/>
      <c r="C504" s="156"/>
      <c r="D504" s="38"/>
      <c r="E504" s="140"/>
      <c r="F504" s="140"/>
      <c r="G504" s="140"/>
      <c r="H504" s="140"/>
      <c r="I504" s="140"/>
    </row>
    <row r="505" spans="2:12" x14ac:dyDescent="0.25">
      <c r="B505" s="77"/>
      <c r="C505" s="77" t="s">
        <v>350</v>
      </c>
      <c r="D505" s="77" t="s">
        <v>351</v>
      </c>
      <c r="E505" s="77" t="s">
        <v>470</v>
      </c>
      <c r="F505" s="77" t="s">
        <v>471</v>
      </c>
      <c r="G505" s="77" t="s">
        <v>44</v>
      </c>
      <c r="H505" s="77" t="s">
        <v>42</v>
      </c>
      <c r="I505" s="77" t="s">
        <v>511</v>
      </c>
    </row>
    <row r="506" spans="2:12" ht="38.25" x14ac:dyDescent="0.25">
      <c r="B506" s="160">
        <v>1</v>
      </c>
      <c r="C506" s="154" t="s">
        <v>593</v>
      </c>
      <c r="D506" s="154" t="s">
        <v>488</v>
      </c>
      <c r="E506" s="163" t="str">
        <f>CONCATENATE(PAR!$H$3," évi
eredeti 
előirányzat")</f>
        <v>2025. évi
eredeti 
előirányzat</v>
      </c>
      <c r="F506" s="163" t="str">
        <f>CONCATENATE(PAR!$H$3," évi
módosított 
előirányzat")</f>
        <v>2025. évi
módosított 
előirányzat</v>
      </c>
      <c r="G506" s="78" t="s">
        <v>666</v>
      </c>
      <c r="H506" s="78" t="s">
        <v>667</v>
      </c>
      <c r="I506" s="78" t="s">
        <v>668</v>
      </c>
    </row>
    <row r="507" spans="2:12" x14ac:dyDescent="0.25">
      <c r="B507" s="160">
        <v>2</v>
      </c>
      <c r="C507" s="79" t="s">
        <v>30</v>
      </c>
      <c r="D507" s="79" t="s">
        <v>329</v>
      </c>
      <c r="E507" s="121">
        <f>SUM(E508:E520)</f>
        <v>0</v>
      </c>
      <c r="F507" s="121">
        <f t="shared" ref="F507:I507" si="32">SUM(F508:F520)</f>
        <v>0</v>
      </c>
      <c r="G507" s="121">
        <f t="shared" si="32"/>
        <v>0</v>
      </c>
      <c r="H507" s="121">
        <f t="shared" si="32"/>
        <v>0</v>
      </c>
      <c r="I507" s="121">
        <f t="shared" si="32"/>
        <v>0</v>
      </c>
    </row>
    <row r="508" spans="2:12" x14ac:dyDescent="0.2">
      <c r="B508" s="160">
        <v>3</v>
      </c>
      <c r="C508" s="305" t="s">
        <v>1309</v>
      </c>
      <c r="D508" s="82" t="s">
        <v>1356</v>
      </c>
      <c r="E508" s="72">
        <f>SUMIF(Adat!$AG:$AG,CONCATENATE(61,$M$4,"094011",L503),Adat!$E:$E)*-1</f>
        <v>0</v>
      </c>
      <c r="F508" s="72">
        <f>SUMIF(Adat!$AG:$AG,CONCATENATE(60,$M$4,"094011",L503),Adat!$E:$E)*-1+E508</f>
        <v>0</v>
      </c>
      <c r="G508" s="72">
        <f>SUMIF(Adat!$AH:$AH,CONCATENATE($M$4,"(KÖT)","094011",L503),Adat!$E:$E)*-1</f>
        <v>0</v>
      </c>
      <c r="H508" s="72">
        <f>SUMIF(Adat!$AH:$AH,CONCATENATE($M$4,"(ÖNV)","094011",L503),Adat!$E:$E)*-1</f>
        <v>0</v>
      </c>
      <c r="I508" s="72">
        <f>SUMIF(Adat!$AH:$AH,CONCATENATE($M$4,"(ÁIG)","094011",L503),Adat!$E:$E)*-1</f>
        <v>0</v>
      </c>
    </row>
    <row r="509" spans="2:12" x14ac:dyDescent="0.2">
      <c r="B509" s="160">
        <v>4</v>
      </c>
      <c r="C509" s="305" t="s">
        <v>1279</v>
      </c>
      <c r="D509" s="82" t="s">
        <v>1357</v>
      </c>
      <c r="E509" s="72">
        <f>SUMIF(Adat!$AG:$AG,CONCATENATE(61,$M$4,"094021",L503),Adat!$E:$E)*-1</f>
        <v>0</v>
      </c>
      <c r="F509" s="72">
        <f>SUMIF(Adat!$AG:$AG,CONCATENATE(60,$M$4,"094021",L503),Adat!$E:$E)*-1+E509</f>
        <v>0</v>
      </c>
      <c r="G509" s="72">
        <f>SUMIF(Adat!$AH:$AH,CONCATENATE($M$4,"(KÖT)","094021",L503),Adat!$E:$E)*-1</f>
        <v>0</v>
      </c>
      <c r="H509" s="72">
        <f>SUMIF(Adat!$AH:$AH,CONCATENATE($M$4,"(ÖNV)","094021",L503),Adat!$E:$E)*-1</f>
        <v>0</v>
      </c>
      <c r="I509" s="72">
        <f>SUMIF(Adat!$AH:$AH,CONCATENATE($M$4,"(ÁIG)","094021",L503),Adat!$E:$E)*-1</f>
        <v>0</v>
      </c>
    </row>
    <row r="510" spans="2:12" x14ac:dyDescent="0.2">
      <c r="B510" s="160">
        <v>5</v>
      </c>
      <c r="C510" s="305" t="s">
        <v>1272</v>
      </c>
      <c r="D510" s="82" t="s">
        <v>1358</v>
      </c>
      <c r="E510" s="72">
        <f>SUMIF(Adat!$AG:$AG,CONCATENATE(61,$M$4,"094031",L503),Adat!$E:$E)*-1</f>
        <v>0</v>
      </c>
      <c r="F510" s="72">
        <f>SUMIF(Adat!$AG:$AG,CONCATENATE(60,$M$4,"094031",L503),Adat!$E:$E)*-1+E510</f>
        <v>0</v>
      </c>
      <c r="G510" s="72">
        <f>SUMIF(Adat!$AH:$AH,CONCATENATE($M$4,"(KÖT)","094031",L503),Adat!$E:$E)*-1</f>
        <v>0</v>
      </c>
      <c r="H510" s="72">
        <f>SUMIF(Adat!$AH:$AH,CONCATENATE($M$4,"(ÖNV)","094031",L503),Adat!$E:$E)*-1</f>
        <v>0</v>
      </c>
      <c r="I510" s="72">
        <f>SUMIF(Adat!$AH:$AH,CONCATENATE($M$4,"(ÁIG)","094031",L503),Adat!$E:$E)*-1</f>
        <v>0</v>
      </c>
    </row>
    <row r="511" spans="2:12" x14ac:dyDescent="0.2">
      <c r="B511" s="160">
        <v>6</v>
      </c>
      <c r="C511" s="305" t="s">
        <v>1359</v>
      </c>
      <c r="D511" s="82" t="s">
        <v>1360</v>
      </c>
      <c r="E511" s="72">
        <f>SUMIF(Adat!$AG:$AG,CONCATENATE(61,$M$4,"094041",L503),Adat!$E:$E)*-1</f>
        <v>0</v>
      </c>
      <c r="F511" s="72">
        <f>SUMIF(Adat!$AG:$AG,CONCATENATE(60,$M$4,"094041",L503),Adat!$E:$E)*-1+E511</f>
        <v>0</v>
      </c>
      <c r="G511" s="72">
        <f>SUMIF(Adat!$AH:$AH,CONCATENATE($M$4,"(KÖT)","094041",L503),Adat!$E:$E)*-1</f>
        <v>0</v>
      </c>
      <c r="H511" s="72">
        <f>SUMIF(Adat!$AH:$AH,CONCATENATE($M$4,"(ÖNV)","094041",L503),Adat!$E:$E)*-1</f>
        <v>0</v>
      </c>
      <c r="I511" s="72">
        <f>SUMIF(Adat!$AH:$AH,CONCATENATE($M$4,"(ÁIG)","094041",L503),Adat!$E:$E)*-1</f>
        <v>0</v>
      </c>
    </row>
    <row r="512" spans="2:12" x14ac:dyDescent="0.2">
      <c r="B512" s="160">
        <v>7</v>
      </c>
      <c r="C512" s="305" t="s">
        <v>1261</v>
      </c>
      <c r="D512" s="82" t="s">
        <v>1361</v>
      </c>
      <c r="E512" s="72">
        <f>SUMIF(Adat!$AG:$AG,CONCATENATE(61,$M$4,"094051",L503),Adat!$E:$E)*-1</f>
        <v>0</v>
      </c>
      <c r="F512" s="72">
        <f>SUMIF(Adat!$AG:$AG,CONCATENATE(60,$M$4,"094051",L503),Adat!$E:$E)*-1+E512</f>
        <v>0</v>
      </c>
      <c r="G512" s="72">
        <f>SUMIF(Adat!$AH:$AH,CONCATENATE($M$4,"(KÖT)","094051",L503),Adat!$E:$E)*-1</f>
        <v>0</v>
      </c>
      <c r="H512" s="72">
        <f>SUMIF(Adat!$AH:$AH,CONCATENATE($M$4,"(ÖNV)","094051",L503),Adat!$E:$E)*-1</f>
        <v>0</v>
      </c>
      <c r="I512" s="72">
        <f>SUMIF(Adat!$AH:$AH,CONCATENATE($M$4,"(ÁIG)","094051",L503),Adat!$E:$E)*-1</f>
        <v>0</v>
      </c>
    </row>
    <row r="513" spans="2:9" x14ac:dyDescent="0.2">
      <c r="B513" s="160">
        <v>8</v>
      </c>
      <c r="C513" s="305" t="s">
        <v>1273</v>
      </c>
      <c r="D513" s="82" t="s">
        <v>1362</v>
      </c>
      <c r="E513" s="72">
        <f>SUMIF(Adat!$AG:$AG,CONCATENATE(61,$M$4,"094061",L503),Adat!$E:$E)*-1</f>
        <v>0</v>
      </c>
      <c r="F513" s="72">
        <f>SUMIF(Adat!$AG:$AG,CONCATENATE(60,$M$4,"094061",L503),Adat!$E:$E)*-1+E513</f>
        <v>0</v>
      </c>
      <c r="G513" s="72">
        <f>SUMIF(Adat!$AH:$AH,CONCATENATE($M$4,"(KÖT)","094061",L503),Adat!$E:$E)*-1</f>
        <v>0</v>
      </c>
      <c r="H513" s="72">
        <f>SUMIF(Adat!$AH:$AH,CONCATENATE($M$4,"(ÖNV)","094061",L503),Adat!$E:$E)*-1</f>
        <v>0</v>
      </c>
      <c r="I513" s="72">
        <f>SUMIF(Adat!$AH:$AH,CONCATENATE($M$4,"(ÁIG)","094061",L503),Adat!$E:$E)*-1</f>
        <v>0</v>
      </c>
    </row>
    <row r="514" spans="2:9" x14ac:dyDescent="0.2">
      <c r="B514" s="160">
        <v>9</v>
      </c>
      <c r="C514" s="305" t="s">
        <v>1363</v>
      </c>
      <c r="D514" s="82" t="s">
        <v>1364</v>
      </c>
      <c r="E514" s="72">
        <f>SUMIF(Adat!$AG:$AG,CONCATENATE(61,$M$4,"094071",L503),Adat!$E:$E)*-1</f>
        <v>0</v>
      </c>
      <c r="F514" s="72">
        <f>SUMIF(Adat!$AG:$AG,CONCATENATE(60,$M$4,"094071",L503),Adat!$E:$E)*-1+E514</f>
        <v>0</v>
      </c>
      <c r="G514" s="72">
        <f>SUMIF(Adat!$AH:$AH,CONCATENATE($M$4,"(KÖT)","094071",L503),Adat!$E:$E)*-1</f>
        <v>0</v>
      </c>
      <c r="H514" s="72">
        <f>SUMIF(Adat!$AH:$AH,CONCATENATE($M$4,"(ÖNV)","094071",L503),Adat!$E:$E)*-1</f>
        <v>0</v>
      </c>
      <c r="I514" s="72">
        <f>SUMIF(Adat!$AH:$AH,CONCATENATE($M$4,"(ÁIG)","094071",L503),Adat!$E:$E)*-1</f>
        <v>0</v>
      </c>
    </row>
    <row r="515" spans="2:9" x14ac:dyDescent="0.2">
      <c r="B515" s="160">
        <v>10</v>
      </c>
      <c r="C515" s="305" t="s">
        <v>1306</v>
      </c>
      <c r="D515" s="82" t="s">
        <v>1365</v>
      </c>
      <c r="E515" s="72">
        <f>SUMIF(Adat!$AG:$AG,CONCATENATE(61,$M$4,"0940811",L503),Adat!$E:$E)*-1</f>
        <v>0</v>
      </c>
      <c r="F515" s="72">
        <f>SUMIF(Adat!$AG:$AG,CONCATENATE(60,$M$4,"0940811",L503),Adat!$E:$E)*-1+E515</f>
        <v>0</v>
      </c>
      <c r="G515" s="72">
        <f>SUMIF(Adat!$AH:$AH,CONCATENATE($M$4,"(KÖT)","0940811",L503),Adat!$E:$E)*-1</f>
        <v>0</v>
      </c>
      <c r="H515" s="72">
        <f>SUMIF(Adat!$AH:$AH,CONCATENATE($M$4,"(ÖNV)","0940811",L503),Adat!$E:$E)*-1</f>
        <v>0</v>
      </c>
      <c r="I515" s="72">
        <f>SUMIF(Adat!$AH:$AH,CONCATENATE($M$4,"(ÁIG)","0940811",L503),Adat!$E:$E)*-1</f>
        <v>0</v>
      </c>
    </row>
    <row r="516" spans="2:9" x14ac:dyDescent="0.2">
      <c r="B516" s="160">
        <v>11</v>
      </c>
      <c r="C516" s="305" t="s">
        <v>1295</v>
      </c>
      <c r="D516" s="82" t="s">
        <v>1366</v>
      </c>
      <c r="E516" s="72">
        <f>SUMIF(Adat!$AG:$AG,CONCATENATE(61,$M$4,"0940821",L503),Adat!$E:$E)*-1</f>
        <v>0</v>
      </c>
      <c r="F516" s="72">
        <f>SUMIF(Adat!$AG:$AG,CONCATENATE(60,$M$4,"0940821",L503),Adat!$E:$E)*-1+E516</f>
        <v>0</v>
      </c>
      <c r="G516" s="72">
        <f>SUMIF(Adat!$AH:$AH,CONCATENATE($M$4,"(KÖT)","0940821",L503),Adat!$E:$E)*-1</f>
        <v>0</v>
      </c>
      <c r="H516" s="72">
        <f>SUMIF(Adat!$AH:$AH,CONCATENATE($M$4,"(ÖNV)","0940821",L503),Adat!$E:$E)*-1</f>
        <v>0</v>
      </c>
      <c r="I516" s="72">
        <f>SUMIF(Adat!$AH:$AH,CONCATENATE($M$4,"(ÁIG)","0940821",L503),Adat!$E:$E)*-1</f>
        <v>0</v>
      </c>
    </row>
    <row r="517" spans="2:9" x14ac:dyDescent="0.2">
      <c r="B517" s="160">
        <v>12</v>
      </c>
      <c r="C517" s="305" t="s">
        <v>1367</v>
      </c>
      <c r="D517" s="82" t="s">
        <v>1368</v>
      </c>
      <c r="E517" s="72">
        <f>SUMIF(Adat!$AG:$AG,CONCATENATE(61,$M$4,"0940911",L503),Adat!$E:$E)*-1</f>
        <v>0</v>
      </c>
      <c r="F517" s="72">
        <f>SUMIF(Adat!$AG:$AG,CONCATENATE(60,$M$4,"0940911",L503),Adat!$E:$E)*-1+E517</f>
        <v>0</v>
      </c>
      <c r="G517" s="72">
        <f>SUMIF(Adat!$AH:$AH,CONCATENATE($M$4,"(KÖT)","0940911",L503),Adat!$E:$E)*-1</f>
        <v>0</v>
      </c>
      <c r="H517" s="72">
        <f>SUMIF(Adat!$AH:$AH,CONCATENATE($M$4,"(ÖNV)","0940911",L503),Adat!$E:$E)*-1</f>
        <v>0</v>
      </c>
      <c r="I517" s="72">
        <f>SUMIF(Adat!$AH:$AH,CONCATENATE($M$4,"(ÁIG)","0940911",L503),Adat!$E:$E)*-1</f>
        <v>0</v>
      </c>
    </row>
    <row r="518" spans="2:9" x14ac:dyDescent="0.2">
      <c r="B518" s="160">
        <v>13</v>
      </c>
      <c r="C518" s="305" t="s">
        <v>1369</v>
      </c>
      <c r="D518" s="82" t="s">
        <v>1370</v>
      </c>
      <c r="E518" s="72">
        <f>SUMIF(Adat!$AG:$AG,CONCATENATE(61,$M$4,"0940921",L503),Adat!$E:$E)*-1</f>
        <v>0</v>
      </c>
      <c r="F518" s="72">
        <f>SUMIF(Adat!$AG:$AG,CONCATENATE(60,$M$4,"0940921",L503),Adat!$E:$E)*-1+E518</f>
        <v>0</v>
      </c>
      <c r="G518" s="72">
        <f>SUMIF(Adat!$AH:$AH,CONCATENATE($M$4,"(KÖT)","0940921",L503),Adat!$E:$E)*-1</f>
        <v>0</v>
      </c>
      <c r="H518" s="72">
        <f>SUMIF(Adat!$AH:$AH,CONCATENATE($M$4,"(ÖNV)","0940921",L503),Adat!$E:$E)*-1</f>
        <v>0</v>
      </c>
      <c r="I518" s="72">
        <f>SUMIF(Adat!$AH:$AH,CONCATENATE($M$4,"(ÁIG)","0940921",L503),Adat!$E:$E)*-1</f>
        <v>0</v>
      </c>
    </row>
    <row r="519" spans="2:9" x14ac:dyDescent="0.2">
      <c r="B519" s="160">
        <v>14</v>
      </c>
      <c r="C519" s="305" t="s">
        <v>1296</v>
      </c>
      <c r="D519" s="82" t="s">
        <v>1371</v>
      </c>
      <c r="E519" s="72">
        <f>SUMIF(Adat!$AG:$AG,CONCATENATE(61,$M$4,"094101",L503),Adat!$E:$E)*-1</f>
        <v>0</v>
      </c>
      <c r="F519" s="72">
        <f>SUMIF(Adat!$AG:$AG,CONCATENATE(60,$M$4,"094101",L503),Adat!$E:$E)*-1+E519</f>
        <v>0</v>
      </c>
      <c r="G519" s="72">
        <f>SUMIF(Adat!$AH:$AH,CONCATENATE($M$4,"(KÖT)","094101",L503),Adat!$E:$E)*-1</f>
        <v>0</v>
      </c>
      <c r="H519" s="72">
        <f>SUMIF(Adat!$AH:$AH,CONCATENATE($M$4,"(ÖNV)","094101",L503),Adat!$E:$E)*-1</f>
        <v>0</v>
      </c>
      <c r="I519" s="72">
        <f>SUMIF(Adat!$AH:$AH,CONCATENATE($M$4,"(ÁIG)","094101",L503),Adat!$E:$E)*-1</f>
        <v>0</v>
      </c>
    </row>
    <row r="520" spans="2:9" x14ac:dyDescent="0.25">
      <c r="B520" s="160">
        <v>15</v>
      </c>
      <c r="C520" s="305" t="s">
        <v>1297</v>
      </c>
      <c r="D520" s="84" t="s">
        <v>1372</v>
      </c>
      <c r="E520" s="72">
        <f>SUMIF(Adat!$AG:$AG,CONCATENATE(61,$M$4,"094111",L503),Adat!$E:$E)*-1</f>
        <v>0</v>
      </c>
      <c r="F520" s="72">
        <f>SUMIF(Adat!$AG:$AG,CONCATENATE(60,$M$4,"094111",L503),Adat!$E:$E)*-1+E520</f>
        <v>0</v>
      </c>
      <c r="G520" s="72">
        <f>SUMIF(Adat!$AH:$AH,CONCATENATE($M$4,"(KÖT)","094111",L503),Adat!$E:$E)*-1</f>
        <v>0</v>
      </c>
      <c r="H520" s="72">
        <f>SUMIF(Adat!$AH:$AH,CONCATENATE($M$4,"(ÖNV)","094111",L503),Adat!$E:$E)*-1</f>
        <v>0</v>
      </c>
      <c r="I520" s="72">
        <f>SUMIF(Adat!$AH:$AH,CONCATENATE($M$4,"(ÁIG)","094111",L503),Adat!$E:$E)*-1</f>
        <v>0</v>
      </c>
    </row>
    <row r="521" spans="2:9" x14ac:dyDescent="0.25">
      <c r="B521" s="160">
        <v>16</v>
      </c>
      <c r="C521" s="78" t="s">
        <v>1328</v>
      </c>
      <c r="D521" s="85" t="s">
        <v>437</v>
      </c>
      <c r="E521" s="121">
        <f>SUM(E522:E524)</f>
        <v>0</v>
      </c>
      <c r="F521" s="121">
        <f>SUM(F522:F524)</f>
        <v>0</v>
      </c>
      <c r="G521" s="121">
        <f>SUM(G522:G524)</f>
        <v>0</v>
      </c>
      <c r="H521" s="121">
        <f>SUM(H522:H524)</f>
        <v>0</v>
      </c>
      <c r="I521" s="121">
        <f>SUM(I522:I524)</f>
        <v>0</v>
      </c>
    </row>
    <row r="522" spans="2:9" x14ac:dyDescent="0.2">
      <c r="B522" s="160">
        <v>17</v>
      </c>
      <c r="C522" s="305" t="s">
        <v>1329</v>
      </c>
      <c r="D522" s="82" t="s">
        <v>1330</v>
      </c>
      <c r="E522" s="72">
        <f>SUMIF(Adat!$AG:$AG,CONCATENATE(61,$M$4,"09121",L503),Adat!$E:$E)*-1</f>
        <v>0</v>
      </c>
      <c r="F522" s="72">
        <f>SUMIF(Adat!$AG:$AG,CONCATENATE(60,$M$4,"09121",L503),Adat!$E:$E)*-1+E522</f>
        <v>0</v>
      </c>
      <c r="G522" s="72">
        <f>SUMIF(Adat!$AH:$AH,CONCATENATE($M$4,"(KÖT)","09121",L503),Adat!$E:$E)*-1</f>
        <v>0</v>
      </c>
      <c r="H522" s="72">
        <f>SUMIF(Adat!$AH:$AH,CONCATENATE($M$4,"(ÖNV)","09121",L503),Adat!$E:$E)*-1</f>
        <v>0</v>
      </c>
      <c r="I522" s="72">
        <f>SUMIF(Adat!$AH:$AH,CONCATENATE($M$4,"(ÁIG)","09121",L503),Adat!$E:$E)*-1</f>
        <v>0</v>
      </c>
    </row>
    <row r="523" spans="2:9" x14ac:dyDescent="0.2">
      <c r="B523" s="160">
        <v>18</v>
      </c>
      <c r="C523" s="305" t="s">
        <v>1335</v>
      </c>
      <c r="D523" s="82" t="s">
        <v>1336</v>
      </c>
      <c r="E523" s="72">
        <f>SUMIF(Adat!$AG:$AG,CONCATENATE(61,$M$4,"09151",L503),Adat!$E:$E)*-1</f>
        <v>0</v>
      </c>
      <c r="F523" s="72">
        <f>SUMIF(Adat!$AG:$AG,CONCATENATE(60,$M$4,"09151",L503),Adat!$E:$E)*-1+E523</f>
        <v>0</v>
      </c>
      <c r="G523" s="72">
        <f>SUMIF(Adat!$AH:$AH,CONCATENATE($M$4,"(KÖT)","09151",L503),Adat!$E:$E)*-1</f>
        <v>0</v>
      </c>
      <c r="H523" s="72">
        <f>SUMIF(Adat!$AH:$AH,CONCATENATE($M$4,"(ÖNV)","09151",L503),Adat!$E:$E)*-1</f>
        <v>0</v>
      </c>
      <c r="I523" s="72">
        <f>SUMIF(Adat!$AH:$AH,CONCATENATE($M$4,"(ÁIG)","09151",L503),Adat!$E:$E)*-1</f>
        <v>0</v>
      </c>
    </row>
    <row r="524" spans="2:9" x14ac:dyDescent="0.2">
      <c r="B524" s="160">
        <v>19</v>
      </c>
      <c r="C524" s="305" t="s">
        <v>1278</v>
      </c>
      <c r="D524" s="82" t="s">
        <v>1337</v>
      </c>
      <c r="E524" s="72">
        <f>SUMIF(Adat!$AG:$AG,CONCATENATE(61,$M$4,"09161",L503),Adat!$E:$E)*-1</f>
        <v>0</v>
      </c>
      <c r="F524" s="72">
        <f>SUMIF(Adat!$AG:$AG,CONCATENATE(60,$M$4,"09161",L503),Adat!$E:$E)*-1+E524</f>
        <v>0</v>
      </c>
      <c r="G524" s="72">
        <f>SUMIF(Adat!$AH:$AH,CONCATENATE($M$4,"(KÖT)","09161",L503),Adat!$E:$E)*-1</f>
        <v>0</v>
      </c>
      <c r="H524" s="72">
        <f>SUMIF(Adat!$AH:$AH,CONCATENATE($M$4,"(ÖNV)","09161",L503),Adat!$E:$E)*-1</f>
        <v>0</v>
      </c>
      <c r="I524" s="72">
        <f>SUMIF(Adat!$AH:$AH,CONCATENATE($M$4,"(ÁIG)","09161",L503),Adat!$E:$E)*-1</f>
        <v>0</v>
      </c>
    </row>
    <row r="525" spans="2:9" x14ac:dyDescent="0.25">
      <c r="B525" s="160">
        <v>20</v>
      </c>
      <c r="C525" s="79" t="s">
        <v>27</v>
      </c>
      <c r="D525" s="79" t="s">
        <v>328</v>
      </c>
      <c r="E525" s="71">
        <f>SUMIF(Adat!$AI:$AI,CONCATENATE(61,$M$4,"093",L503),Adat!$E:$E)*-1</f>
        <v>0</v>
      </c>
      <c r="F525" s="71">
        <f>SUMIF(Adat!$AI:$AI,CONCATENATE(60,$M$4,"093",L503),Adat!$E:$E)*-1+E525</f>
        <v>0</v>
      </c>
      <c r="G525" s="71">
        <f>SUMIF(Adat!$AJ:$AJ,CONCATENATE($M$4,"093","(KÖT)",L503),Adat!$E:$E)*-1</f>
        <v>0</v>
      </c>
      <c r="H525" s="71">
        <f>SUMIF(Adat!$AJ:$AJ,CONCATENATE($M$4,"093","(ÖNV)",L503),Adat!$E:$E)*-1</f>
        <v>0</v>
      </c>
      <c r="I525" s="71">
        <f>SUMIF(Adat!$AJ:$AJ,CONCATENATE($M$4,"093","(ÁIG)",L503),Adat!$E:$E)*-1</f>
        <v>0</v>
      </c>
    </row>
    <row r="526" spans="2:9" x14ac:dyDescent="0.25">
      <c r="B526" s="160">
        <v>21</v>
      </c>
      <c r="C526" s="79" t="s">
        <v>24</v>
      </c>
      <c r="D526" s="79" t="s">
        <v>449</v>
      </c>
      <c r="E526" s="121">
        <f>SUM(E527:E529)</f>
        <v>0</v>
      </c>
      <c r="F526" s="121">
        <f t="shared" ref="F526:I526" si="33">SUM(F527:F529)</f>
        <v>0</v>
      </c>
      <c r="G526" s="121">
        <f t="shared" si="33"/>
        <v>0</v>
      </c>
      <c r="H526" s="121">
        <f t="shared" si="33"/>
        <v>0</v>
      </c>
      <c r="I526" s="121">
        <f t="shared" si="33"/>
        <v>0</v>
      </c>
    </row>
    <row r="527" spans="2:9" x14ac:dyDescent="0.2">
      <c r="B527" s="160">
        <v>22</v>
      </c>
      <c r="C527" s="305" t="s">
        <v>1339</v>
      </c>
      <c r="D527" s="82" t="s">
        <v>1340</v>
      </c>
      <c r="E527" s="72">
        <f>SUMIF(Adat!$AG:$AG,CONCATENATE(61,$M$4,"09211",L503),Adat!$E:$E)*-1</f>
        <v>0</v>
      </c>
      <c r="F527" s="72">
        <f>SUMIF(Adat!$AG:$AG,CONCATENATE(60,$M$4,"09211",L503),Adat!$E:$E)*-1+E527</f>
        <v>0</v>
      </c>
      <c r="G527" s="72">
        <f>SUMIF(Adat!$AH:$AH,CONCATENATE($M$4,"(KÖT)","09211",L503),Adat!$E:$E)*-1</f>
        <v>0</v>
      </c>
      <c r="H527" s="72">
        <f>SUMIF(Adat!$AH:$AH,CONCATENATE($M$4,"(ÖNV)","09211",L503),Adat!$E:$E)*-1</f>
        <v>0</v>
      </c>
      <c r="I527" s="72">
        <f>SUMIF(Adat!$AH:$AH,CONCATENATE($M$4,"(ÁIG)","09211",L503),Adat!$E:$E)*-1</f>
        <v>0</v>
      </c>
    </row>
    <row r="528" spans="2:9" x14ac:dyDescent="0.2">
      <c r="B528" s="160">
        <v>23</v>
      </c>
      <c r="C528" s="305" t="s">
        <v>1345</v>
      </c>
      <c r="D528" s="82" t="s">
        <v>1346</v>
      </c>
      <c r="E528" s="72">
        <f>SUMIF(Adat!$AG:$AG,CONCATENATE(61,$M$4,"09241",L503),Adat!$E:$E)*-1</f>
        <v>0</v>
      </c>
      <c r="F528" s="72">
        <f>SUMIF(Adat!$AG:$AG,CONCATENATE(60,$M$4,"09241",L503),Adat!$E:$E)*-1+E528</f>
        <v>0</v>
      </c>
      <c r="G528" s="72">
        <f>SUMIF(Adat!$AH:$AH,CONCATENATE($M$4,"(KÖT)","09241",L503),Adat!$E:$E)*-1</f>
        <v>0</v>
      </c>
      <c r="H528" s="72">
        <f>SUMIF(Adat!$AH:$AH,CONCATENATE($M$4,"(ÖNV)","09241",L503),Adat!$E:$E)*-1</f>
        <v>0</v>
      </c>
      <c r="I528" s="72">
        <f>SUMIF(Adat!$AH:$AH,CONCATENATE($M$4,"(ÁIG)","09241",L503),Adat!$E:$E)*-1</f>
        <v>0</v>
      </c>
    </row>
    <row r="529" spans="2:12" x14ac:dyDescent="0.2">
      <c r="B529" s="160">
        <v>24</v>
      </c>
      <c r="C529" s="305" t="s">
        <v>1255</v>
      </c>
      <c r="D529" s="82" t="s">
        <v>1347</v>
      </c>
      <c r="E529" s="72">
        <f>SUMIF(Adat!$AG:$AG,CONCATENATE(61,$M$4,"09251",L503),Adat!$E:$E)*-1</f>
        <v>0</v>
      </c>
      <c r="F529" s="72">
        <f>SUMIF(Adat!$AG:$AG,CONCATENATE(60,$M$4,"09251",L503),Adat!$E:$E)*-1+E529</f>
        <v>0</v>
      </c>
      <c r="G529" s="72">
        <f>SUMIF(Adat!$AH:$AH,CONCATENATE($M$4,"(KÖT)","09251",L503),Adat!$E:$E)*-1</f>
        <v>0</v>
      </c>
      <c r="H529" s="72">
        <f>SUMIF(Adat!$AH:$AH,CONCATENATE($M$4,"(ÖNV)","09251",L503),Adat!$E:$E)*-1</f>
        <v>0</v>
      </c>
      <c r="I529" s="72">
        <f>SUMIF(Adat!$AH:$AH,CONCATENATE($M$4,"(ÁIG)","09251",L503),Adat!$E:$E)*-1</f>
        <v>0</v>
      </c>
    </row>
    <row r="530" spans="2:12" x14ac:dyDescent="0.25">
      <c r="B530" s="160">
        <v>25</v>
      </c>
      <c r="C530" s="79" t="s">
        <v>33</v>
      </c>
      <c r="D530" s="79" t="s">
        <v>330</v>
      </c>
      <c r="E530" s="121">
        <f>SUM(E531:E533)</f>
        <v>0</v>
      </c>
      <c r="F530" s="121">
        <f t="shared" ref="F530:I530" si="34">SUM(F531:F533)</f>
        <v>0</v>
      </c>
      <c r="G530" s="121">
        <f t="shared" si="34"/>
        <v>0</v>
      </c>
      <c r="H530" s="121">
        <f t="shared" si="34"/>
        <v>0</v>
      </c>
      <c r="I530" s="121">
        <f t="shared" si="34"/>
        <v>0</v>
      </c>
    </row>
    <row r="531" spans="2:12" x14ac:dyDescent="0.2">
      <c r="B531" s="160">
        <v>26</v>
      </c>
      <c r="C531" s="305" t="s">
        <v>1373</v>
      </c>
      <c r="D531" s="82" t="s">
        <v>1374</v>
      </c>
      <c r="E531" s="72">
        <f>SUMIF(Adat!$AG:$AG,CONCATENATE(61,$M$4,"09511",L503),Adat!$E:$E)*-1</f>
        <v>0</v>
      </c>
      <c r="F531" s="72">
        <f>SUMIF(Adat!$AG:$AG,CONCATENATE(60,$M$4,"09511",L503),Adat!$E:$E)*-1+E531</f>
        <v>0</v>
      </c>
      <c r="G531" s="72">
        <f>SUMIF(Adat!$AH:$AH,CONCATENATE($M$4,"(KÖT)","09511",L503),Adat!$E:$E)*-1</f>
        <v>0</v>
      </c>
      <c r="H531" s="72">
        <f>SUMIF(Adat!$AH:$AH,CONCATENATE($M$4,"(ÖNV)","09511",L503),Adat!$E:$E)*-1</f>
        <v>0</v>
      </c>
      <c r="I531" s="72">
        <f>SUMIF(Adat!$AH:$AH,CONCATENATE($M$4,"(ÁIG)","09511",L503),Adat!$E:$E)*-1</f>
        <v>0</v>
      </c>
    </row>
    <row r="532" spans="2:12" x14ac:dyDescent="0.2">
      <c r="B532" s="160">
        <v>27</v>
      </c>
      <c r="C532" s="305" t="s">
        <v>1294</v>
      </c>
      <c r="D532" s="82" t="s">
        <v>1375</v>
      </c>
      <c r="E532" s="72">
        <f>SUMIF(Adat!$AG:$AG,CONCATENATE(61,$M$4,"09521",L503),Adat!$E:$E)*-1</f>
        <v>0</v>
      </c>
      <c r="F532" s="72">
        <f>SUMIF(Adat!$AG:$AG,CONCATENATE(60,$M$4,"09521",L503),Adat!$E:$E)*-1+E532</f>
        <v>0</v>
      </c>
      <c r="G532" s="72">
        <f>SUMIF(Adat!$AH:$AH,CONCATENATE($M$4,"(KÖT)","09521",L503),Adat!$E:$E)*-1</f>
        <v>0</v>
      </c>
      <c r="H532" s="72">
        <f>SUMIF(Adat!$AH:$AH,CONCATENATE($M$4,"(ÖNV)","09521",L503),Adat!$E:$E)*-1</f>
        <v>0</v>
      </c>
      <c r="I532" s="72">
        <f>SUMIF(Adat!$AH:$AH,CONCATENATE($M$4,"(ÁIG)","09521",L503),Adat!$E:$E)*-1</f>
        <v>0</v>
      </c>
    </row>
    <row r="533" spans="2:12" x14ac:dyDescent="0.2">
      <c r="B533" s="160">
        <v>28</v>
      </c>
      <c r="C533" s="305" t="s">
        <v>1376</v>
      </c>
      <c r="D533" s="82" t="s">
        <v>1377</v>
      </c>
      <c r="E533" s="72">
        <f>SUMIF(Adat!$AG:$AG,CONCATENATE(61,$M$4,"09531",L503),Adat!$E:$E)*-1</f>
        <v>0</v>
      </c>
      <c r="F533" s="72">
        <f>SUMIF(Adat!$AG:$AG,CONCATENATE(60,$M$4,"09531",L503),Adat!$E:$E)*-1+E533</f>
        <v>0</v>
      </c>
      <c r="G533" s="72">
        <f>SUMIF(Adat!$AH:$AH,CONCATENATE($M$4,"(KÖT)","09531",L503),Adat!$E:$E)*-1</f>
        <v>0</v>
      </c>
      <c r="H533" s="72">
        <f>SUMIF(Adat!$AH:$AH,CONCATENATE($M$4,"(ÖNV)","09531",L503),Adat!$E:$E)*-1</f>
        <v>0</v>
      </c>
      <c r="I533" s="72">
        <f>SUMIF(Adat!$AH:$AH,CONCATENATE($M$4,"(ÁIG)","09531",L503),Adat!$E:$E)*-1</f>
        <v>0</v>
      </c>
    </row>
    <row r="534" spans="2:12" x14ac:dyDescent="0.25">
      <c r="B534" s="160">
        <v>29</v>
      </c>
      <c r="C534" s="79" t="s">
        <v>36</v>
      </c>
      <c r="D534" s="79" t="s">
        <v>331</v>
      </c>
      <c r="E534" s="71">
        <f>SUMIF(Adat!$AI:$AI,CONCATENATE(61,$M$4,"096",L503),Adat!$E:$E)*-1</f>
        <v>0</v>
      </c>
      <c r="F534" s="71">
        <f>SUMIF(Adat!$AI:$AI,CONCATENATE(60,$M$4,"096",L503),Adat!$E:$E)*-1+E534</f>
        <v>0</v>
      </c>
      <c r="G534" s="71">
        <f>SUMIF(Adat!$AJ:$AJ,CONCATENATE($M$4,"096","(KÖT)",L503),Adat!$E:$E)*-1</f>
        <v>0</v>
      </c>
      <c r="H534" s="71">
        <f>SUMIF(Adat!$AJ:$AJ,CONCATENATE($M$4,"096","(ÖNV)",L503),Adat!$E:$E)*-1</f>
        <v>0</v>
      </c>
      <c r="I534" s="71">
        <f>SUMIF(Adat!$AJ:$AJ,CONCATENATE($M$4,"096","(ÁIG)",L503),Adat!$E:$E)*-1</f>
        <v>0</v>
      </c>
    </row>
    <row r="535" spans="2:12" x14ac:dyDescent="0.25">
      <c r="B535" s="160">
        <v>30</v>
      </c>
      <c r="C535" s="79" t="s">
        <v>38</v>
      </c>
      <c r="D535" s="85" t="s">
        <v>332</v>
      </c>
      <c r="E535" s="71">
        <f>SUMIF(Adat!$AI:$AI,CONCATENATE(61,$M$4,"097",L503),Adat!$E:$E)*-1</f>
        <v>0</v>
      </c>
      <c r="F535" s="71">
        <f>SUMIF(Adat!$AI:$AI,CONCATENATE(60,$M$4,"097",L503),Adat!$E:$E)*-1+E535</f>
        <v>0</v>
      </c>
      <c r="G535" s="71">
        <f>SUMIF(Adat!$AJ:$AJ,CONCATENATE($M$4,"097","(KÖT)",L503),Adat!$E:$E)*-1</f>
        <v>0</v>
      </c>
      <c r="H535" s="71">
        <f>SUMIF(Adat!$AJ:$AJ,CONCATENATE($M$4,"097","(ÖNV)",L503),Adat!$E:$E)*-1</f>
        <v>0</v>
      </c>
      <c r="I535" s="71">
        <f>SUMIF(Adat!$AJ:$AJ,CONCATENATE($M$4,"097","(ÁIG)",L503),Adat!$E:$E)*-1</f>
        <v>0</v>
      </c>
    </row>
    <row r="536" spans="2:12" x14ac:dyDescent="0.25">
      <c r="B536" s="160">
        <v>31</v>
      </c>
      <c r="C536" s="154" t="s">
        <v>352</v>
      </c>
      <c r="D536" s="86" t="s">
        <v>1500</v>
      </c>
      <c r="E536" s="121">
        <f>E507+E521+E525+E526+E530+E534+E535</f>
        <v>0</v>
      </c>
      <c r="F536" s="121">
        <f>F507+F521+F525+F526+F530+F534+F535</f>
        <v>0</v>
      </c>
      <c r="G536" s="121">
        <f>G507+G521+G525+G526+G530+G534+G535</f>
        <v>0</v>
      </c>
      <c r="H536" s="121">
        <f>H507+H521+H525+H526+H530+H534+H535</f>
        <v>0</v>
      </c>
      <c r="I536" s="121">
        <f>I507+I521+I525+I526+I530+I534+I535</f>
        <v>0</v>
      </c>
    </row>
    <row r="537" spans="2:12" x14ac:dyDescent="0.25">
      <c r="B537" s="160">
        <v>32</v>
      </c>
      <c r="C537" s="154" t="s">
        <v>358</v>
      </c>
      <c r="D537" s="86" t="s">
        <v>333</v>
      </c>
      <c r="E537" s="121">
        <f>SUM(E538:E540)</f>
        <v>0</v>
      </c>
      <c r="F537" s="121">
        <f t="shared" ref="F537:I537" si="35">SUM(F538:F540)</f>
        <v>0</v>
      </c>
      <c r="G537" s="121">
        <f t="shared" si="35"/>
        <v>0</v>
      </c>
      <c r="H537" s="121">
        <f t="shared" si="35"/>
        <v>0</v>
      </c>
      <c r="I537" s="121">
        <f t="shared" si="35"/>
        <v>0</v>
      </c>
    </row>
    <row r="538" spans="2:12" x14ac:dyDescent="0.2">
      <c r="B538" s="160">
        <v>33</v>
      </c>
      <c r="C538" s="305" t="s">
        <v>1274</v>
      </c>
      <c r="D538" s="82" t="s">
        <v>1419</v>
      </c>
      <c r="E538" s="72">
        <f>SUMIF(Adat!$AG:$AG,CONCATENATE(61,$M$4,"0981311",L503),Adat!$E:$E)*-1</f>
        <v>0</v>
      </c>
      <c r="F538" s="72">
        <f>SUMIF(Adat!$AG:$AG,CONCATENATE(60,$M$4,"0981311",L503),Adat!$E:$E)*-1+E538</f>
        <v>0</v>
      </c>
      <c r="G538" s="72">
        <f>SUMIF(Adat!$AH:$AH,CONCATENATE($M$4,"(KÖT)","0981311",L503),Adat!$E:$E)*-1</f>
        <v>0</v>
      </c>
      <c r="H538" s="72">
        <f>SUMIF(Adat!$AH:$AH,CONCATENATE($M$4,"(ÖNV)","0981311",L503),Adat!$E:$E)*-1</f>
        <v>0</v>
      </c>
      <c r="I538" s="72">
        <f>SUMIF(Adat!$AH:$AH,CONCATENATE($M$4,"(ÁIG)","0981311",L503),Adat!$E:$E)*-1</f>
        <v>0</v>
      </c>
    </row>
    <row r="539" spans="2:12" x14ac:dyDescent="0.25">
      <c r="B539" s="160">
        <v>34</v>
      </c>
      <c r="C539" s="305" t="s">
        <v>1420</v>
      </c>
      <c r="D539" s="84" t="s">
        <v>1421</v>
      </c>
      <c r="E539" s="72">
        <f>SUMIF(Adat!$AG:$AG,CONCATENATE(61,$M$4,"0981321",L503),Adat!$E:$E)*-1</f>
        <v>0</v>
      </c>
      <c r="F539" s="72">
        <f>SUMIF(Adat!$AG:$AG,CONCATENATE(60,$M$4,"0981321",L503),Adat!$E:$E)*-1+E539</f>
        <v>0</v>
      </c>
      <c r="G539" s="72">
        <f>SUMIF(Adat!$AH:$AH,CONCATENATE($M$4,"(KÖT)","0981321",L503),Adat!$E:$E)*-1</f>
        <v>0</v>
      </c>
      <c r="H539" s="72">
        <f>SUMIF(Adat!$AH:$AH,CONCATENATE($M$4,"(ÖNV)","0981321",L503),Adat!$E:$E)*-1</f>
        <v>0</v>
      </c>
      <c r="I539" s="72">
        <f>SUMIF(Adat!$AH:$AH,CONCATENATE($M$4,"(ÁIG)","0981321",L503),Adat!$E:$E)*-1</f>
        <v>0</v>
      </c>
    </row>
    <row r="540" spans="2:12" x14ac:dyDescent="0.25">
      <c r="B540" s="160">
        <v>35</v>
      </c>
      <c r="C540" s="319" t="s">
        <v>1275</v>
      </c>
      <c r="D540" s="84" t="s">
        <v>1501</v>
      </c>
      <c r="E540" s="72">
        <f>SUMIF(Adat!$AG:$AG,CONCATENATE(61,$M$4,"098161",L503),Adat!$E:$E)*-1</f>
        <v>0</v>
      </c>
      <c r="F540" s="72">
        <f>SUMIF(Adat!$AG:$AG,CONCATENATE(60,$M$4,"098161",L503),Adat!$E:$E)*-1+E540</f>
        <v>0</v>
      </c>
      <c r="G540" s="72">
        <f>SUMIF(Adat!$AH:$AH,CONCATENATE($M$4,"(KÖT)","098161",L503),Adat!$E:$E)*-1</f>
        <v>0</v>
      </c>
      <c r="H540" s="72">
        <f>SUMIF(Adat!$AH:$AH,CONCATENATE($M$4,"(ÖNV)","098161",L503),Adat!$E:$E)*-1</f>
        <v>0</v>
      </c>
      <c r="I540" s="72">
        <f>SUMIF(Adat!$AH:$AH,CONCATENATE($M$4,"(ÁIG)","098161",L503),Adat!$E:$E)*-1</f>
        <v>0</v>
      </c>
    </row>
    <row r="541" spans="2:12" x14ac:dyDescent="0.25">
      <c r="B541" s="160">
        <v>36</v>
      </c>
      <c r="C541" s="154" t="s">
        <v>364</v>
      </c>
      <c r="D541" s="159" t="s">
        <v>1502</v>
      </c>
      <c r="E541" s="121">
        <f>+E536+E537</f>
        <v>0</v>
      </c>
      <c r="F541" s="121">
        <f>+F536+F537</f>
        <v>0</v>
      </c>
      <c r="G541" s="121">
        <f>+G536+G537</f>
        <v>0</v>
      </c>
      <c r="H541" s="121">
        <f>+H536+H537</f>
        <v>0</v>
      </c>
      <c r="I541" s="121">
        <f>+I536+I537</f>
        <v>0</v>
      </c>
    </row>
    <row r="542" spans="2:12" ht="15.75" x14ac:dyDescent="0.25">
      <c r="B542" s="38"/>
      <c r="C542" s="156"/>
      <c r="D542" s="38"/>
      <c r="E542" s="140"/>
      <c r="F542" s="140"/>
      <c r="G542" s="140"/>
      <c r="H542" s="140"/>
      <c r="I542" s="140"/>
    </row>
    <row r="543" spans="2:12" s="10" customFormat="1" ht="15.75" customHeight="1" x14ac:dyDescent="0.25">
      <c r="B543" s="201" t="str">
        <f>CONCATENATE("18. Kiadási jogcímek"," - ",L543," részletező")</f>
        <v>18. Kiadási jogcímek -  részletező</v>
      </c>
      <c r="C543" s="101"/>
      <c r="D543" s="101"/>
      <c r="E543" s="101"/>
      <c r="F543" s="101"/>
      <c r="G543" s="198"/>
      <c r="H543" s="198"/>
      <c r="I543" s="198"/>
      <c r="L543" s="384"/>
    </row>
    <row r="544" spans="2:12" ht="15.75" x14ac:dyDescent="0.25">
      <c r="B544" s="38"/>
      <c r="C544" s="156"/>
      <c r="D544" s="38"/>
      <c r="E544" s="140"/>
      <c r="F544" s="140"/>
      <c r="G544" s="140"/>
      <c r="H544" s="140"/>
      <c r="I544" s="140"/>
    </row>
    <row r="545" spans="2:9" x14ac:dyDescent="0.25">
      <c r="B545" s="77"/>
      <c r="C545" s="77" t="s">
        <v>350</v>
      </c>
      <c r="D545" s="77" t="s">
        <v>351</v>
      </c>
      <c r="E545" s="77" t="s">
        <v>470</v>
      </c>
      <c r="F545" s="77" t="s">
        <v>471</v>
      </c>
      <c r="G545" s="77" t="s">
        <v>44</v>
      </c>
      <c r="H545" s="77" t="s">
        <v>42</v>
      </c>
      <c r="I545" s="77" t="s">
        <v>511</v>
      </c>
    </row>
    <row r="546" spans="2:9" ht="38.25" x14ac:dyDescent="0.25">
      <c r="B546" s="160">
        <v>1</v>
      </c>
      <c r="C546" s="154" t="s">
        <v>593</v>
      </c>
      <c r="D546" s="154" t="s">
        <v>488</v>
      </c>
      <c r="E546" s="163" t="str">
        <f>CONCATENATE(PAR!$H$3," évi
eredeti 
előirányzat")</f>
        <v>2025. évi
eredeti 
előirányzat</v>
      </c>
      <c r="F546" s="163" t="str">
        <f>CONCATENATE(PAR!$H$3," évi
módosított 
előirányzat")</f>
        <v>2025. évi
módosított 
előirányzat</v>
      </c>
      <c r="G546" s="78" t="s">
        <v>666</v>
      </c>
      <c r="H546" s="78" t="s">
        <v>667</v>
      </c>
      <c r="I546" s="78" t="s">
        <v>668</v>
      </c>
    </row>
    <row r="547" spans="2:9" x14ac:dyDescent="0.25">
      <c r="B547" s="160">
        <v>2</v>
      </c>
      <c r="C547" s="78" t="s">
        <v>352</v>
      </c>
      <c r="D547" s="92" t="s">
        <v>1444</v>
      </c>
      <c r="E547" s="121">
        <f>SUM(E548:E552)</f>
        <v>0</v>
      </c>
      <c r="F547" s="121">
        <f>SUM(F548:F552)</f>
        <v>0</v>
      </c>
      <c r="G547" s="121">
        <f>SUM(G548:G552)</f>
        <v>0</v>
      </c>
      <c r="H547" s="121">
        <f>SUM(H548:H552)</f>
        <v>0</v>
      </c>
      <c r="I547" s="121">
        <f>SUM(I548:I552)</f>
        <v>0</v>
      </c>
    </row>
    <row r="548" spans="2:9" x14ac:dyDescent="0.25">
      <c r="B548" s="160">
        <v>3</v>
      </c>
      <c r="C548" s="305" t="s">
        <v>315</v>
      </c>
      <c r="D548" s="93" t="s">
        <v>342</v>
      </c>
      <c r="E548" s="72">
        <f>SUMIF(Adat!$AI:$AI,CONCATENATE(61,$M$4,"051",L543),Adat!$E:$E)</f>
        <v>0</v>
      </c>
      <c r="F548" s="72">
        <f>SUMIF(Adat!$AI:$AI,CONCATENATE(60,$M$4,"051",L543),Adat!$E:$E)+E548</f>
        <v>0</v>
      </c>
      <c r="G548" s="72">
        <f>SUMIF(Adat!$AJ:$AJ,CONCATENATE($M$4,"051","(KÖT)",L543),Adat!$E:$E)</f>
        <v>0</v>
      </c>
      <c r="H548" s="72">
        <f>SUMIF(Adat!$AJ:$AJ,CONCATENATE($M$4,"051","(ÖNV)",L543),Adat!$E:$E)</f>
        <v>0</v>
      </c>
      <c r="I548" s="72">
        <f>SUMIF(Adat!$AJ:$AJ,CONCATENATE($M$4,"051","(ÁIG)",L543),Adat!$E:$E)</f>
        <v>0</v>
      </c>
    </row>
    <row r="549" spans="2:9" x14ac:dyDescent="0.25">
      <c r="B549" s="160">
        <v>4</v>
      </c>
      <c r="C549" s="305" t="s">
        <v>317</v>
      </c>
      <c r="D549" s="93" t="s">
        <v>395</v>
      </c>
      <c r="E549" s="72">
        <f>SUMIF(Adat!$AI:$AI,CONCATENATE(61,$M$4,"052",L543),Adat!$E:$E)</f>
        <v>0</v>
      </c>
      <c r="F549" s="72">
        <f>SUMIF(Adat!$AI:$AI,CONCATENATE(60,$M$4,"052",L543),Adat!$E:$E)+E549</f>
        <v>0</v>
      </c>
      <c r="G549" s="72">
        <f>SUMIF(Adat!$AJ:$AJ,CONCATENATE($M$4,"052","(KÖT)",L543),Adat!$E:$E)</f>
        <v>0</v>
      </c>
      <c r="H549" s="72">
        <f>SUMIF(Adat!$AJ:$AJ,CONCATENATE($M$4,"052","(ÖNV)",L543),Adat!$E:$E)</f>
        <v>0</v>
      </c>
      <c r="I549" s="72">
        <f>SUMIF(Adat!$AJ:$AJ,CONCATENATE($M$4,"052","(ÁIG)",L543),Adat!$E:$E)</f>
        <v>0</v>
      </c>
    </row>
    <row r="550" spans="2:9" x14ac:dyDescent="0.25">
      <c r="B550" s="160">
        <v>5</v>
      </c>
      <c r="C550" s="305" t="s">
        <v>4</v>
      </c>
      <c r="D550" s="93" t="s">
        <v>344</v>
      </c>
      <c r="E550" s="72">
        <f>SUMIF(Adat!$AI:$AI,CONCATENATE(61,$M$4,"053",L543),Adat!$E:$E)</f>
        <v>0</v>
      </c>
      <c r="F550" s="72">
        <f>SUMIF(Adat!$AI:$AI,CONCATENATE(60,$M$4,"053",L543),Adat!$E:$E)+E550</f>
        <v>0</v>
      </c>
      <c r="G550" s="72">
        <f>SUMIF(Adat!$AJ:$AJ,CONCATENATE($M$4,"053","(KÖT)",L543),Adat!$E:$E)</f>
        <v>0</v>
      </c>
      <c r="H550" s="72">
        <f>SUMIF(Adat!$AJ:$AJ,CONCATENATE($M$4,"053","(ÖNV)",L543),Adat!$E:$E)</f>
        <v>0</v>
      </c>
      <c r="I550" s="72">
        <f>SUMIF(Adat!$AJ:$AJ,CONCATENATE($M$4,"053","(ÁIG)",L543),Adat!$E:$E)</f>
        <v>0</v>
      </c>
    </row>
    <row r="551" spans="2:9" x14ac:dyDescent="0.25">
      <c r="B551" s="160">
        <v>6</v>
      </c>
      <c r="C551" s="305" t="s">
        <v>6</v>
      </c>
      <c r="D551" s="93" t="s">
        <v>345</v>
      </c>
      <c r="E551" s="72">
        <f>SUMIF(Adat!$AI:$AI,CONCATENATE(61,$M$4,"054",L543),Adat!$E:$E)</f>
        <v>0</v>
      </c>
      <c r="F551" s="72">
        <f>SUMIF(Adat!$AI:$AI,CONCATENATE(60,$M$4,"054",L543),Adat!$E:$E)+E551</f>
        <v>0</v>
      </c>
      <c r="G551" s="72">
        <f>SUMIF(Adat!$AJ:$AJ,CONCATENATE($M$4,"054","(KÖT)",L543),Adat!$E:$E)</f>
        <v>0</v>
      </c>
      <c r="H551" s="72">
        <f>SUMIF(Adat!$AJ:$AJ,CONCATENATE($M$4,"054","(ÖNV)",L543),Adat!$E:$E)</f>
        <v>0</v>
      </c>
      <c r="I551" s="72">
        <f>SUMIF(Adat!$AJ:$AJ,CONCATENATE($M$4,"054","(ÁIG)",L543),Adat!$E:$E)</f>
        <v>0</v>
      </c>
    </row>
    <row r="552" spans="2:9" x14ac:dyDescent="0.25">
      <c r="B552" s="160">
        <v>7</v>
      </c>
      <c r="C552" s="305" t="s">
        <v>8</v>
      </c>
      <c r="D552" s="93" t="s">
        <v>321</v>
      </c>
      <c r="E552" s="72">
        <f>SUMIF(Adat!$AI:$AI,CONCATENATE(61,$M$4,"055",L543),Adat!$E:$E)</f>
        <v>0</v>
      </c>
      <c r="F552" s="72">
        <f>SUMIF(Adat!$AI:$AI,CONCATENATE(60,$M$4,"055",L543),Adat!$E:$E)+E552</f>
        <v>0</v>
      </c>
      <c r="G552" s="72">
        <f>SUMIF(Adat!$AJ:$AJ,CONCATENATE($M$4,"055","(KÖT)",L543),Adat!$E:$E)</f>
        <v>0</v>
      </c>
      <c r="H552" s="72">
        <f>SUMIF(Adat!$AJ:$AJ,CONCATENATE($M$4,"055","(ÖNV)",L543),Adat!$E:$E)</f>
        <v>0</v>
      </c>
      <c r="I552" s="72">
        <f>SUMIF(Adat!$AJ:$AJ,CONCATENATE($M$4,"055","(ÁIG)",L543),Adat!$E:$E)</f>
        <v>0</v>
      </c>
    </row>
    <row r="553" spans="2:9" x14ac:dyDescent="0.25">
      <c r="B553" s="160">
        <v>8</v>
      </c>
      <c r="C553" s="78" t="s">
        <v>358</v>
      </c>
      <c r="D553" s="92" t="s">
        <v>1447</v>
      </c>
      <c r="E553" s="121">
        <f>E554+E556+E558</f>
        <v>0</v>
      </c>
      <c r="F553" s="121">
        <f>F554+F556+F558</f>
        <v>0</v>
      </c>
      <c r="G553" s="121">
        <f>G554+G556+G558</f>
        <v>0</v>
      </c>
      <c r="H553" s="121">
        <f>H554+H556+H558</f>
        <v>0</v>
      </c>
      <c r="I553" s="121">
        <f>I554+I556+I558</f>
        <v>0</v>
      </c>
    </row>
    <row r="554" spans="2:9" x14ac:dyDescent="0.25">
      <c r="B554" s="160">
        <v>9</v>
      </c>
      <c r="C554" s="305" t="s">
        <v>10</v>
      </c>
      <c r="D554" s="93" t="s">
        <v>322</v>
      </c>
      <c r="E554" s="72">
        <f>SUMIF(Adat!$AI:$AI,CONCATENATE(61,$M$4,"056",L543),Adat!$E:$E)</f>
        <v>0</v>
      </c>
      <c r="F554" s="72">
        <f>SUMIF(Adat!$AI:$AI,CONCATENATE(60,$M$4,"056",L543),Adat!$E:$E)+E554</f>
        <v>0</v>
      </c>
      <c r="G554" s="72">
        <f>SUMIF(Adat!$AJ:$AJ,CONCATENATE($M$4,"056","(KÖT)",L543),Adat!$E:$E)</f>
        <v>0</v>
      </c>
      <c r="H554" s="72">
        <f>SUMIF(Adat!$AJ:$AJ,CONCATENATE($M$4,"056","(ÖNV)",L543),Adat!$E:$E)</f>
        <v>0</v>
      </c>
      <c r="I554" s="72">
        <f>SUMIF(Adat!$AJ:$AJ,CONCATENATE($M$4,"056","(ÁIG)",L543),Adat!$E:$E)</f>
        <v>0</v>
      </c>
    </row>
    <row r="555" spans="2:9" x14ac:dyDescent="0.25">
      <c r="B555" s="160">
        <v>10</v>
      </c>
      <c r="C555" s="305" t="s">
        <v>10</v>
      </c>
      <c r="D555" s="93" t="s">
        <v>1448</v>
      </c>
      <c r="E555" s="72">
        <v>0</v>
      </c>
      <c r="F555" s="72">
        <f>SUM(G555:I555)</f>
        <v>0</v>
      </c>
      <c r="G555" s="72">
        <v>0</v>
      </c>
      <c r="H555" s="72">
        <v>0</v>
      </c>
      <c r="I555" s="72">
        <v>0</v>
      </c>
    </row>
    <row r="556" spans="2:9" x14ac:dyDescent="0.25">
      <c r="B556" s="160">
        <v>11</v>
      </c>
      <c r="C556" s="305" t="s">
        <v>12</v>
      </c>
      <c r="D556" s="93" t="s">
        <v>323</v>
      </c>
      <c r="E556" s="72">
        <f>SUMIF(Adat!$AI:$AI,CONCATENATE(61,$M$4,"057",L543),Adat!$E:$E)</f>
        <v>0</v>
      </c>
      <c r="F556" s="72">
        <f>SUMIF(Adat!$AI:$AI,CONCATENATE(60,$M$4,"057",L543),Adat!$E:$E)+E556</f>
        <v>0</v>
      </c>
      <c r="G556" s="72">
        <f>SUMIF(Adat!$AJ:$AJ,CONCATENATE($M$4,"057","(KÖT)",L543),Adat!$E:$E)</f>
        <v>0</v>
      </c>
      <c r="H556" s="72">
        <f>SUMIF(Adat!$AJ:$AJ,CONCATENATE($M$4,"057","(ÖNV)",L543),Adat!$E:$E)</f>
        <v>0</v>
      </c>
      <c r="I556" s="72">
        <f>SUMIF(Adat!$AJ:$AJ,CONCATENATE($M$4,"057","(ÁIG)",L543),Adat!$E:$E)</f>
        <v>0</v>
      </c>
    </row>
    <row r="557" spans="2:9" x14ac:dyDescent="0.25">
      <c r="B557" s="160">
        <v>12</v>
      </c>
      <c r="C557" s="305" t="s">
        <v>12</v>
      </c>
      <c r="D557" s="93" t="s">
        <v>1449</v>
      </c>
      <c r="E557" s="72">
        <v>0</v>
      </c>
      <c r="F557" s="72">
        <f>SUM(G557:I557)</f>
        <v>0</v>
      </c>
      <c r="G557" s="72">
        <v>0</v>
      </c>
      <c r="H557" s="72">
        <v>0</v>
      </c>
      <c r="I557" s="72">
        <v>0</v>
      </c>
    </row>
    <row r="558" spans="2:9" x14ac:dyDescent="0.25">
      <c r="B558" s="160">
        <v>13</v>
      </c>
      <c r="C558" s="305" t="s">
        <v>15</v>
      </c>
      <c r="D558" s="84" t="s">
        <v>324</v>
      </c>
      <c r="E558" s="72">
        <f>SUMIF(Adat!$AI:$AI,CONCATENATE(61,$M$4,"058",L543),Adat!$E:$E)</f>
        <v>0</v>
      </c>
      <c r="F558" s="72">
        <f>SUMIF(Adat!$AI:$AI,CONCATENATE(60,$M$4,"058",L543),Adat!$E:$E)+E558</f>
        <v>0</v>
      </c>
      <c r="G558" s="72">
        <f>SUMIF(Adat!$AJ:$AJ,CONCATENATE($M$4,"058","(KÖT)",L543),Adat!$E:$E)</f>
        <v>0</v>
      </c>
      <c r="H558" s="72">
        <f>SUMIF(Adat!$AJ:$AJ,CONCATENATE($M$4,"058","(ÖNV)",L543),Adat!$E:$E)</f>
        <v>0</v>
      </c>
      <c r="I558" s="72">
        <f>SUMIF(Adat!$AJ:$AJ,CONCATENATE($M$4,"058","(ÁIG)",L543),Adat!$E:$E)</f>
        <v>0</v>
      </c>
    </row>
    <row r="559" spans="2:9" x14ac:dyDescent="0.25">
      <c r="B559" s="160">
        <v>14</v>
      </c>
      <c r="C559" s="154" t="s">
        <v>364</v>
      </c>
      <c r="D559" s="86" t="s">
        <v>325</v>
      </c>
      <c r="E559" s="71">
        <f>SUMIF(Adat!$AI:$AI,CONCATENATE(61,$M$4,"059",L543),Adat!$E:$E)</f>
        <v>0</v>
      </c>
      <c r="F559" s="71">
        <f>SUMIF(Adat!$AI:$AI,CONCATENATE(60,$M$4,"059",L543),Adat!$E:$E)+E559</f>
        <v>0</v>
      </c>
      <c r="G559" s="71">
        <f>SUMIF(Adat!$AJ:$AJ,CONCATENATE($M$4,"059","(KÖT)",L543),Adat!$E:$E)</f>
        <v>0</v>
      </c>
      <c r="H559" s="71">
        <f>SUMIF(Adat!$AJ:$AJ,CONCATENATE($M$4,"059","(ÖNV)",L543),Adat!$E:$E)</f>
        <v>0</v>
      </c>
      <c r="I559" s="71">
        <f>SUMIF(Adat!$AJ:$AJ,CONCATENATE($M$4,"059","(ÁIG)",L543),Adat!$E:$E)</f>
        <v>0</v>
      </c>
    </row>
    <row r="560" spans="2:9" x14ac:dyDescent="0.25">
      <c r="B560" s="160">
        <v>15</v>
      </c>
      <c r="C560" s="154" t="s">
        <v>403</v>
      </c>
      <c r="D560" s="159" t="s">
        <v>497</v>
      </c>
      <c r="E560" s="121">
        <f>E547+E553+E559</f>
        <v>0</v>
      </c>
      <c r="F560" s="121">
        <f>F547+F553+F559</f>
        <v>0</v>
      </c>
      <c r="G560" s="121">
        <f>G547+G553+G559</f>
        <v>0</v>
      </c>
      <c r="H560" s="121">
        <f>H547+H553+H559</f>
        <v>0</v>
      </c>
      <c r="I560" s="121">
        <f>I547+I553+I559</f>
        <v>0</v>
      </c>
    </row>
    <row r="561" spans="2:12" ht="15.75" x14ac:dyDescent="0.25">
      <c r="B561" s="37"/>
      <c r="C561" s="529"/>
      <c r="D561" s="529"/>
      <c r="E561" s="529"/>
      <c r="F561" s="200"/>
      <c r="G561" s="200"/>
      <c r="H561" s="200"/>
      <c r="I561" s="200"/>
    </row>
    <row r="562" spans="2:12" ht="15.75" x14ac:dyDescent="0.25">
      <c r="B562" s="525" t="str">
        <f>$N$4</f>
        <v>Nagymarosi Napköziotthonos Óvoda és Bölcsőde</v>
      </c>
      <c r="C562" s="525"/>
      <c r="D562" s="525"/>
      <c r="E562" s="525"/>
      <c r="F562" s="525"/>
      <c r="G562" s="525"/>
      <c r="H562" s="525"/>
      <c r="I562" s="525"/>
    </row>
    <row r="563" spans="2:12" ht="15.75" x14ac:dyDescent="0.25">
      <c r="B563" s="525" t="s">
        <v>2660</v>
      </c>
      <c r="C563" s="525"/>
      <c r="D563" s="525"/>
      <c r="E563" s="525"/>
      <c r="F563" s="525"/>
      <c r="G563" s="525"/>
      <c r="H563" s="525"/>
      <c r="I563" s="525"/>
    </row>
    <row r="564" spans="2:12" ht="15.75" x14ac:dyDescent="0.25">
      <c r="B564" s="38"/>
      <c r="C564" s="156"/>
      <c r="D564" s="38"/>
      <c r="E564" s="140"/>
      <c r="F564" s="140"/>
      <c r="G564" s="140"/>
      <c r="H564" s="140"/>
      <c r="I564" s="140"/>
    </row>
    <row r="565" spans="2:12" s="10" customFormat="1" ht="15.75" customHeight="1" x14ac:dyDescent="0.25">
      <c r="B565" s="201" t="str">
        <f>CONCATENATE("19. Bevételi jogcímek"," - ",L565," részletező")</f>
        <v>19. Bevételi jogcímek -  részletező</v>
      </c>
      <c r="C565" s="101"/>
      <c r="D565" s="101"/>
      <c r="E565" s="101"/>
      <c r="F565" s="101"/>
      <c r="G565" s="198"/>
      <c r="H565" s="198"/>
      <c r="I565" s="198"/>
      <c r="L565" s="384"/>
    </row>
    <row r="566" spans="2:12" ht="15.75" x14ac:dyDescent="0.25">
      <c r="B566" s="38"/>
      <c r="C566" s="156"/>
      <c r="D566" s="38"/>
      <c r="E566" s="140"/>
      <c r="F566" s="140"/>
      <c r="G566" s="140"/>
      <c r="H566" s="140"/>
      <c r="I566" s="140"/>
    </row>
    <row r="567" spans="2:12" x14ac:dyDescent="0.25">
      <c r="B567" s="77"/>
      <c r="C567" s="77" t="s">
        <v>350</v>
      </c>
      <c r="D567" s="77" t="s">
        <v>351</v>
      </c>
      <c r="E567" s="77" t="s">
        <v>470</v>
      </c>
      <c r="F567" s="77" t="s">
        <v>471</v>
      </c>
      <c r="G567" s="77" t="s">
        <v>44</v>
      </c>
      <c r="H567" s="77" t="s">
        <v>42</v>
      </c>
      <c r="I567" s="77" t="s">
        <v>511</v>
      </c>
    </row>
    <row r="568" spans="2:12" ht="38.25" x14ac:dyDescent="0.25">
      <c r="B568" s="160">
        <v>1</v>
      </c>
      <c r="C568" s="154" t="s">
        <v>593</v>
      </c>
      <c r="D568" s="154" t="s">
        <v>488</v>
      </c>
      <c r="E568" s="163" t="str">
        <f>CONCATENATE(PAR!$H$3," évi
eredeti 
előirányzat")</f>
        <v>2025. évi
eredeti 
előirányzat</v>
      </c>
      <c r="F568" s="163" t="str">
        <f>CONCATENATE(PAR!$H$3," évi
módosított 
előirányzat")</f>
        <v>2025. évi
módosított 
előirányzat</v>
      </c>
      <c r="G568" s="78" t="s">
        <v>666</v>
      </c>
      <c r="H568" s="78" t="s">
        <v>667</v>
      </c>
      <c r="I568" s="78" t="s">
        <v>668</v>
      </c>
    </row>
    <row r="569" spans="2:12" x14ac:dyDescent="0.25">
      <c r="B569" s="160">
        <v>2</v>
      </c>
      <c r="C569" s="79" t="s">
        <v>30</v>
      </c>
      <c r="D569" s="79" t="s">
        <v>329</v>
      </c>
      <c r="E569" s="121">
        <f>SUM(E570:E582)</f>
        <v>0</v>
      </c>
      <c r="F569" s="121">
        <f t="shared" ref="F569:I569" si="36">SUM(F570:F582)</f>
        <v>0</v>
      </c>
      <c r="G569" s="121">
        <f t="shared" si="36"/>
        <v>0</v>
      </c>
      <c r="H569" s="121">
        <f t="shared" si="36"/>
        <v>0</v>
      </c>
      <c r="I569" s="121">
        <f t="shared" si="36"/>
        <v>0</v>
      </c>
    </row>
    <row r="570" spans="2:12" x14ac:dyDescent="0.2">
      <c r="B570" s="160">
        <v>3</v>
      </c>
      <c r="C570" s="305" t="s">
        <v>1309</v>
      </c>
      <c r="D570" s="82" t="s">
        <v>1356</v>
      </c>
      <c r="E570" s="72">
        <f>SUMIF(Adat!$AG:$AG,CONCATENATE(61,$M$4,"094011",L565),Adat!$E:$E)*-1</f>
        <v>0</v>
      </c>
      <c r="F570" s="72">
        <f>SUMIF(Adat!$AG:$AG,CONCATENATE(60,$M$4,"094011",L565),Adat!$E:$E)*-1+E570</f>
        <v>0</v>
      </c>
      <c r="G570" s="72">
        <f>SUMIF(Adat!$AH:$AH,CONCATENATE($M$4,"(KÖT)","094011",L565),Adat!$E:$E)*-1</f>
        <v>0</v>
      </c>
      <c r="H570" s="72">
        <f>SUMIF(Adat!$AH:$AH,CONCATENATE($M$4,"(ÖNV)","094011",L565),Adat!$E:$E)*-1</f>
        <v>0</v>
      </c>
      <c r="I570" s="72">
        <f>SUMIF(Adat!$AH:$AH,CONCATENATE($M$4,"(ÁIG)","094011",L565),Adat!$E:$E)*-1</f>
        <v>0</v>
      </c>
    </row>
    <row r="571" spans="2:12" x14ac:dyDescent="0.2">
      <c r="B571" s="160">
        <v>4</v>
      </c>
      <c r="C571" s="305" t="s">
        <v>1279</v>
      </c>
      <c r="D571" s="82" t="s">
        <v>1357</v>
      </c>
      <c r="E571" s="72">
        <f>SUMIF(Adat!$AG:$AG,CONCATENATE(61,$M$4,"094021",L565),Adat!$E:$E)*-1</f>
        <v>0</v>
      </c>
      <c r="F571" s="72">
        <f>SUMIF(Adat!$AG:$AG,CONCATENATE(60,$M$4,"094021",L565),Adat!$E:$E)*-1+E571</f>
        <v>0</v>
      </c>
      <c r="G571" s="72">
        <f>SUMIF(Adat!$AH:$AH,CONCATENATE($M$4,"(KÖT)","094021",L565),Adat!$E:$E)*-1</f>
        <v>0</v>
      </c>
      <c r="H571" s="72">
        <f>SUMIF(Adat!$AH:$AH,CONCATENATE($M$4,"(ÖNV)","094021",L565),Adat!$E:$E)*-1</f>
        <v>0</v>
      </c>
      <c r="I571" s="72">
        <f>SUMIF(Adat!$AH:$AH,CONCATENATE($M$4,"(ÁIG)","094021",L565),Adat!$E:$E)*-1</f>
        <v>0</v>
      </c>
    </row>
    <row r="572" spans="2:12" x14ac:dyDescent="0.2">
      <c r="B572" s="160">
        <v>5</v>
      </c>
      <c r="C572" s="305" t="s">
        <v>1272</v>
      </c>
      <c r="D572" s="82" t="s">
        <v>1358</v>
      </c>
      <c r="E572" s="72">
        <f>SUMIF(Adat!$AG:$AG,CONCATENATE(61,$M$4,"094031",L565),Adat!$E:$E)*-1</f>
        <v>0</v>
      </c>
      <c r="F572" s="72">
        <f>SUMIF(Adat!$AG:$AG,CONCATENATE(60,$M$4,"094031",L565),Adat!$E:$E)*-1+E572</f>
        <v>0</v>
      </c>
      <c r="G572" s="72">
        <f>SUMIF(Adat!$AH:$AH,CONCATENATE($M$4,"(KÖT)","094031",L565),Adat!$E:$E)*-1</f>
        <v>0</v>
      </c>
      <c r="H572" s="72">
        <f>SUMIF(Adat!$AH:$AH,CONCATENATE($M$4,"(ÖNV)","094031",L565),Adat!$E:$E)*-1</f>
        <v>0</v>
      </c>
      <c r="I572" s="72">
        <f>SUMIF(Adat!$AH:$AH,CONCATENATE($M$4,"(ÁIG)","094031",L565),Adat!$E:$E)*-1</f>
        <v>0</v>
      </c>
    </row>
    <row r="573" spans="2:12" x14ac:dyDescent="0.2">
      <c r="B573" s="160">
        <v>6</v>
      </c>
      <c r="C573" s="305" t="s">
        <v>1359</v>
      </c>
      <c r="D573" s="82" t="s">
        <v>1360</v>
      </c>
      <c r="E573" s="72">
        <f>SUMIF(Adat!$AG:$AG,CONCATENATE(61,$M$4,"094041",L565),Adat!$E:$E)*-1</f>
        <v>0</v>
      </c>
      <c r="F573" s="72">
        <f>SUMIF(Adat!$AG:$AG,CONCATENATE(60,$M$4,"094041",L565),Adat!$E:$E)*-1+E573</f>
        <v>0</v>
      </c>
      <c r="G573" s="72">
        <f>SUMIF(Adat!$AH:$AH,CONCATENATE($M$4,"(KÖT)","094041",L565),Adat!$E:$E)*-1</f>
        <v>0</v>
      </c>
      <c r="H573" s="72">
        <f>SUMIF(Adat!$AH:$AH,CONCATENATE($M$4,"(ÖNV)","094041",L565),Adat!$E:$E)*-1</f>
        <v>0</v>
      </c>
      <c r="I573" s="72">
        <f>SUMIF(Adat!$AH:$AH,CONCATENATE($M$4,"(ÁIG)","094041",L565),Adat!$E:$E)*-1</f>
        <v>0</v>
      </c>
    </row>
    <row r="574" spans="2:12" x14ac:dyDescent="0.2">
      <c r="B574" s="160">
        <v>7</v>
      </c>
      <c r="C574" s="305" t="s">
        <v>1261</v>
      </c>
      <c r="D574" s="82" t="s">
        <v>1361</v>
      </c>
      <c r="E574" s="72">
        <f>SUMIF(Adat!$AG:$AG,CONCATENATE(61,$M$4,"094051",L565),Adat!$E:$E)*-1</f>
        <v>0</v>
      </c>
      <c r="F574" s="72">
        <f>SUMIF(Adat!$AG:$AG,CONCATENATE(60,$M$4,"094051",L565),Adat!$E:$E)*-1+E574</f>
        <v>0</v>
      </c>
      <c r="G574" s="72">
        <f>SUMIF(Adat!$AH:$AH,CONCATENATE($M$4,"(KÖT)","094051",L565),Adat!$E:$E)*-1</f>
        <v>0</v>
      </c>
      <c r="H574" s="72">
        <f>SUMIF(Adat!$AH:$AH,CONCATENATE($M$4,"(ÖNV)","094051",L565),Adat!$E:$E)*-1</f>
        <v>0</v>
      </c>
      <c r="I574" s="72">
        <f>SUMIF(Adat!$AH:$AH,CONCATENATE($M$4,"(ÁIG)","094051",L565),Adat!$E:$E)*-1</f>
        <v>0</v>
      </c>
    </row>
    <row r="575" spans="2:12" x14ac:dyDescent="0.2">
      <c r="B575" s="160">
        <v>8</v>
      </c>
      <c r="C575" s="305" t="s">
        <v>1273</v>
      </c>
      <c r="D575" s="82" t="s">
        <v>1362</v>
      </c>
      <c r="E575" s="72">
        <f>SUMIF(Adat!$AG:$AG,CONCATENATE(61,$M$4,"094061",L565),Adat!$E:$E)*-1</f>
        <v>0</v>
      </c>
      <c r="F575" s="72">
        <f>SUMIF(Adat!$AG:$AG,CONCATENATE(60,$M$4,"094061",L565),Adat!$E:$E)*-1+E575</f>
        <v>0</v>
      </c>
      <c r="G575" s="72">
        <f>SUMIF(Adat!$AH:$AH,CONCATENATE($M$4,"(KÖT)","094061",L565),Adat!$E:$E)*-1</f>
        <v>0</v>
      </c>
      <c r="H575" s="72">
        <f>SUMIF(Adat!$AH:$AH,CONCATENATE($M$4,"(ÖNV)","094061",L565),Adat!$E:$E)*-1</f>
        <v>0</v>
      </c>
      <c r="I575" s="72">
        <f>SUMIF(Adat!$AH:$AH,CONCATENATE($M$4,"(ÁIG)","094061",L565),Adat!$E:$E)*-1</f>
        <v>0</v>
      </c>
    </row>
    <row r="576" spans="2:12" x14ac:dyDescent="0.2">
      <c r="B576" s="160">
        <v>9</v>
      </c>
      <c r="C576" s="305" t="s">
        <v>1363</v>
      </c>
      <c r="D576" s="82" t="s">
        <v>1364</v>
      </c>
      <c r="E576" s="72">
        <f>SUMIF(Adat!$AG:$AG,CONCATENATE(61,$M$4,"094071",L565),Adat!$E:$E)*-1</f>
        <v>0</v>
      </c>
      <c r="F576" s="72">
        <f>SUMIF(Adat!$AG:$AG,CONCATENATE(60,$M$4,"094071",L565),Adat!$E:$E)*-1+E576</f>
        <v>0</v>
      </c>
      <c r="G576" s="72">
        <f>SUMIF(Adat!$AH:$AH,CONCATENATE($M$4,"(KÖT)","094071",L565),Adat!$E:$E)*-1</f>
        <v>0</v>
      </c>
      <c r="H576" s="72">
        <f>SUMIF(Adat!$AH:$AH,CONCATENATE($M$4,"(ÖNV)","094071",L565),Adat!$E:$E)*-1</f>
        <v>0</v>
      </c>
      <c r="I576" s="72">
        <f>SUMIF(Adat!$AH:$AH,CONCATENATE($M$4,"(ÁIG)","094071",L565),Adat!$E:$E)*-1</f>
        <v>0</v>
      </c>
    </row>
    <row r="577" spans="2:9" x14ac:dyDescent="0.2">
      <c r="B577" s="160">
        <v>10</v>
      </c>
      <c r="C577" s="305" t="s">
        <v>1306</v>
      </c>
      <c r="D577" s="82" t="s">
        <v>1365</v>
      </c>
      <c r="E577" s="72">
        <f>SUMIF(Adat!$AG:$AG,CONCATENATE(61,$M$4,"0940811",L565),Adat!$E:$E)*-1</f>
        <v>0</v>
      </c>
      <c r="F577" s="72">
        <f>SUMIF(Adat!$AG:$AG,CONCATENATE(60,$M$4,"0940811",L565),Adat!$E:$E)*-1+E577</f>
        <v>0</v>
      </c>
      <c r="G577" s="72">
        <f>SUMIF(Adat!$AH:$AH,CONCATENATE($M$4,"(KÖT)","0940811",L565),Adat!$E:$E)*-1</f>
        <v>0</v>
      </c>
      <c r="H577" s="72">
        <f>SUMIF(Adat!$AH:$AH,CONCATENATE($M$4,"(ÖNV)","0940811",L565),Adat!$E:$E)*-1</f>
        <v>0</v>
      </c>
      <c r="I577" s="72">
        <f>SUMIF(Adat!$AH:$AH,CONCATENATE($M$4,"(ÁIG)","0940811",L565),Adat!$E:$E)*-1</f>
        <v>0</v>
      </c>
    </row>
    <row r="578" spans="2:9" x14ac:dyDescent="0.2">
      <c r="B578" s="160">
        <v>11</v>
      </c>
      <c r="C578" s="305" t="s">
        <v>1295</v>
      </c>
      <c r="D578" s="82" t="s">
        <v>1366</v>
      </c>
      <c r="E578" s="72">
        <f>SUMIF(Adat!$AG:$AG,CONCATENATE(61,$M$4,"0940821",L565),Adat!$E:$E)*-1</f>
        <v>0</v>
      </c>
      <c r="F578" s="72">
        <f>SUMIF(Adat!$AG:$AG,CONCATENATE(60,$M$4,"0940821",L565),Adat!$E:$E)*-1+E578</f>
        <v>0</v>
      </c>
      <c r="G578" s="72">
        <f>SUMIF(Adat!$AH:$AH,CONCATENATE($M$4,"(KÖT)","0940821",L565),Adat!$E:$E)*-1</f>
        <v>0</v>
      </c>
      <c r="H578" s="72">
        <f>SUMIF(Adat!$AH:$AH,CONCATENATE($M$4,"(ÖNV)","0940821",L565),Adat!$E:$E)*-1</f>
        <v>0</v>
      </c>
      <c r="I578" s="72">
        <f>SUMIF(Adat!$AH:$AH,CONCATENATE($M$4,"(ÁIG)","0940821",L565),Adat!$E:$E)*-1</f>
        <v>0</v>
      </c>
    </row>
    <row r="579" spans="2:9" x14ac:dyDescent="0.2">
      <c r="B579" s="160">
        <v>12</v>
      </c>
      <c r="C579" s="305" t="s">
        <v>1367</v>
      </c>
      <c r="D579" s="82" t="s">
        <v>1368</v>
      </c>
      <c r="E579" s="72">
        <f>SUMIF(Adat!$AG:$AG,CONCATENATE(61,$M$4,"0940911",L565),Adat!$E:$E)*-1</f>
        <v>0</v>
      </c>
      <c r="F579" s="72">
        <f>SUMIF(Adat!$AG:$AG,CONCATENATE(60,$M$4,"0940911",L565),Adat!$E:$E)*-1+E579</f>
        <v>0</v>
      </c>
      <c r="G579" s="72">
        <f>SUMIF(Adat!$AH:$AH,CONCATENATE($M$4,"(KÖT)","0940911",L565),Adat!$E:$E)*-1</f>
        <v>0</v>
      </c>
      <c r="H579" s="72">
        <f>SUMIF(Adat!$AH:$AH,CONCATENATE($M$4,"(ÖNV)","0940911",L565),Adat!$E:$E)*-1</f>
        <v>0</v>
      </c>
      <c r="I579" s="72">
        <f>SUMIF(Adat!$AH:$AH,CONCATENATE($M$4,"(ÁIG)","0940911",L565),Adat!$E:$E)*-1</f>
        <v>0</v>
      </c>
    </row>
    <row r="580" spans="2:9" x14ac:dyDescent="0.2">
      <c r="B580" s="160">
        <v>13</v>
      </c>
      <c r="C580" s="305" t="s">
        <v>1369</v>
      </c>
      <c r="D580" s="82" t="s">
        <v>1370</v>
      </c>
      <c r="E580" s="72">
        <f>SUMIF(Adat!$AG:$AG,CONCATENATE(61,$M$4,"0940921",L565),Adat!$E:$E)*-1</f>
        <v>0</v>
      </c>
      <c r="F580" s="72">
        <f>SUMIF(Adat!$AG:$AG,CONCATENATE(60,$M$4,"0940921",L565),Adat!$E:$E)*-1+E580</f>
        <v>0</v>
      </c>
      <c r="G580" s="72">
        <f>SUMIF(Adat!$AH:$AH,CONCATENATE($M$4,"(KÖT)","0940921",L565),Adat!$E:$E)*-1</f>
        <v>0</v>
      </c>
      <c r="H580" s="72">
        <f>SUMIF(Adat!$AH:$AH,CONCATENATE($M$4,"(ÖNV)","0940921",L565),Adat!$E:$E)*-1</f>
        <v>0</v>
      </c>
      <c r="I580" s="72">
        <f>SUMIF(Adat!$AH:$AH,CONCATENATE($M$4,"(ÁIG)","0940921",L565),Adat!$E:$E)*-1</f>
        <v>0</v>
      </c>
    </row>
    <row r="581" spans="2:9" x14ac:dyDescent="0.2">
      <c r="B581" s="160">
        <v>14</v>
      </c>
      <c r="C581" s="305" t="s">
        <v>1296</v>
      </c>
      <c r="D581" s="82" t="s">
        <v>1371</v>
      </c>
      <c r="E581" s="72">
        <f>SUMIF(Adat!$AG:$AG,CONCATENATE(61,$M$4,"094101",L565),Adat!$E:$E)*-1</f>
        <v>0</v>
      </c>
      <c r="F581" s="72">
        <f>SUMIF(Adat!$AG:$AG,CONCATENATE(60,$M$4,"094101",L565),Adat!$E:$E)*-1+E581</f>
        <v>0</v>
      </c>
      <c r="G581" s="72">
        <f>SUMIF(Adat!$AH:$AH,CONCATENATE($M$4,"(KÖT)","094101",L565),Adat!$E:$E)*-1</f>
        <v>0</v>
      </c>
      <c r="H581" s="72">
        <f>SUMIF(Adat!$AH:$AH,CONCATENATE($M$4,"(ÖNV)","094101",L565),Adat!$E:$E)*-1</f>
        <v>0</v>
      </c>
      <c r="I581" s="72">
        <f>SUMIF(Adat!$AH:$AH,CONCATENATE($M$4,"(ÁIG)","094101",L565),Adat!$E:$E)*-1</f>
        <v>0</v>
      </c>
    </row>
    <row r="582" spans="2:9" x14ac:dyDescent="0.25">
      <c r="B582" s="160">
        <v>15</v>
      </c>
      <c r="C582" s="305" t="s">
        <v>1297</v>
      </c>
      <c r="D582" s="84" t="s">
        <v>1372</v>
      </c>
      <c r="E582" s="72">
        <f>SUMIF(Adat!$AG:$AG,CONCATENATE(61,$M$4,"094111",L565),Adat!$E:$E)*-1</f>
        <v>0</v>
      </c>
      <c r="F582" s="72">
        <f>SUMIF(Adat!$AG:$AG,CONCATENATE(60,$M$4,"094111",L565),Adat!$E:$E)*-1+E582</f>
        <v>0</v>
      </c>
      <c r="G582" s="72">
        <f>SUMIF(Adat!$AH:$AH,CONCATENATE($M$4,"(KÖT)","094111",L565),Adat!$E:$E)*-1</f>
        <v>0</v>
      </c>
      <c r="H582" s="72">
        <f>SUMIF(Adat!$AH:$AH,CONCATENATE($M$4,"(ÖNV)","094111",L565),Adat!$E:$E)*-1</f>
        <v>0</v>
      </c>
      <c r="I582" s="72">
        <f>SUMIF(Adat!$AH:$AH,CONCATENATE($M$4,"(ÁIG)","094111",L565),Adat!$E:$E)*-1</f>
        <v>0</v>
      </c>
    </row>
    <row r="583" spans="2:9" x14ac:dyDescent="0.25">
      <c r="B583" s="160">
        <v>16</v>
      </c>
      <c r="C583" s="78" t="s">
        <v>1328</v>
      </c>
      <c r="D583" s="85" t="s">
        <v>437</v>
      </c>
      <c r="E583" s="121">
        <f>SUM(E584:E586)</f>
        <v>0</v>
      </c>
      <c r="F583" s="121">
        <f>SUM(F584:F586)</f>
        <v>0</v>
      </c>
      <c r="G583" s="121">
        <f>SUM(G584:G586)</f>
        <v>0</v>
      </c>
      <c r="H583" s="121">
        <f>SUM(H584:H586)</f>
        <v>0</v>
      </c>
      <c r="I583" s="121">
        <f>SUM(I584:I586)</f>
        <v>0</v>
      </c>
    </row>
    <row r="584" spans="2:9" x14ac:dyDescent="0.2">
      <c r="B584" s="160">
        <v>17</v>
      </c>
      <c r="C584" s="305" t="s">
        <v>1329</v>
      </c>
      <c r="D584" s="82" t="s">
        <v>1330</v>
      </c>
      <c r="E584" s="72">
        <f>SUMIF(Adat!$AG:$AG,CONCATENATE(61,$M$4,"09121",L565),Adat!$E:$E)*-1</f>
        <v>0</v>
      </c>
      <c r="F584" s="72">
        <f>SUMIF(Adat!$AG:$AG,CONCATENATE(60,$M$4,"09121",L565),Adat!$E:$E)*-1+E584</f>
        <v>0</v>
      </c>
      <c r="G584" s="72">
        <f>SUMIF(Adat!$AH:$AH,CONCATENATE($M$4,"(KÖT)","09121",L565),Adat!$E:$E)*-1</f>
        <v>0</v>
      </c>
      <c r="H584" s="72">
        <f>SUMIF(Adat!$AH:$AH,CONCATENATE($M$4,"(ÖNV)","09121",L565),Adat!$E:$E)*-1</f>
        <v>0</v>
      </c>
      <c r="I584" s="72">
        <f>SUMIF(Adat!$AH:$AH,CONCATENATE($M$4,"(ÁIG)","09121",L565),Adat!$E:$E)*-1</f>
        <v>0</v>
      </c>
    </row>
    <row r="585" spans="2:9" x14ac:dyDescent="0.2">
      <c r="B585" s="160">
        <v>18</v>
      </c>
      <c r="C585" s="305" t="s">
        <v>1335</v>
      </c>
      <c r="D585" s="82" t="s">
        <v>1336</v>
      </c>
      <c r="E585" s="72">
        <f>SUMIF(Adat!$AG:$AG,CONCATENATE(61,$M$4,"09151",L565),Adat!$E:$E)*-1</f>
        <v>0</v>
      </c>
      <c r="F585" s="72">
        <f>SUMIF(Adat!$AG:$AG,CONCATENATE(60,$M$4,"09151",L565),Adat!$E:$E)*-1+E585</f>
        <v>0</v>
      </c>
      <c r="G585" s="72">
        <f>SUMIF(Adat!$AH:$AH,CONCATENATE($M$4,"(KÖT)","09151",L565),Adat!$E:$E)*-1</f>
        <v>0</v>
      </c>
      <c r="H585" s="72">
        <f>SUMIF(Adat!$AH:$AH,CONCATENATE($M$4,"(ÖNV)","09151",L565),Adat!$E:$E)*-1</f>
        <v>0</v>
      </c>
      <c r="I585" s="72">
        <f>SUMIF(Adat!$AH:$AH,CONCATENATE($M$4,"(ÁIG)","09151",L565),Adat!$E:$E)*-1</f>
        <v>0</v>
      </c>
    </row>
    <row r="586" spans="2:9" x14ac:dyDescent="0.2">
      <c r="B586" s="160">
        <v>19</v>
      </c>
      <c r="C586" s="305" t="s">
        <v>1278</v>
      </c>
      <c r="D586" s="82" t="s">
        <v>1337</v>
      </c>
      <c r="E586" s="72">
        <f>SUMIF(Adat!$AG:$AG,CONCATENATE(61,$M$4,"09161",L565),Adat!$E:$E)*-1</f>
        <v>0</v>
      </c>
      <c r="F586" s="72">
        <f>SUMIF(Adat!$AG:$AG,CONCATENATE(60,$M$4,"09161",L565),Adat!$E:$E)*-1+E586</f>
        <v>0</v>
      </c>
      <c r="G586" s="72">
        <f>SUMIF(Adat!$AH:$AH,CONCATENATE($M$4,"(KÖT)","09161",L565),Adat!$E:$E)*-1</f>
        <v>0</v>
      </c>
      <c r="H586" s="72">
        <f>SUMIF(Adat!$AH:$AH,CONCATENATE($M$4,"(ÖNV)","09161",L565),Adat!$E:$E)*-1</f>
        <v>0</v>
      </c>
      <c r="I586" s="72">
        <f>SUMIF(Adat!$AH:$AH,CONCATENATE($M$4,"(ÁIG)","09161",L565),Adat!$E:$E)*-1</f>
        <v>0</v>
      </c>
    </row>
    <row r="587" spans="2:9" x14ac:dyDescent="0.25">
      <c r="B587" s="160">
        <v>20</v>
      </c>
      <c r="C587" s="79" t="s">
        <v>27</v>
      </c>
      <c r="D587" s="79" t="s">
        <v>328</v>
      </c>
      <c r="E587" s="71">
        <f>SUMIF(Adat!$AI:$AI,CONCATENATE(61,$M$4,"093",L565),Adat!$E:$E)*-1</f>
        <v>0</v>
      </c>
      <c r="F587" s="71">
        <f>SUMIF(Adat!$AI:$AI,CONCATENATE(60,$M$4,"093",L565),Adat!$E:$E)*-1+E587</f>
        <v>0</v>
      </c>
      <c r="G587" s="71">
        <f>SUMIF(Adat!$AJ:$AJ,CONCATENATE($M$4,"093","(KÖT)",L565),Adat!$E:$E)*-1</f>
        <v>0</v>
      </c>
      <c r="H587" s="71">
        <f>SUMIF(Adat!$AJ:$AJ,CONCATENATE($M$4,"093","(ÖNV)",L565),Adat!$E:$E)*-1</f>
        <v>0</v>
      </c>
      <c r="I587" s="71">
        <f>SUMIF(Adat!$AJ:$AJ,CONCATENATE($M$4,"093","(ÁIG)",L565),Adat!$E:$E)*-1</f>
        <v>0</v>
      </c>
    </row>
    <row r="588" spans="2:9" x14ac:dyDescent="0.25">
      <c r="B588" s="160">
        <v>21</v>
      </c>
      <c r="C588" s="79" t="s">
        <v>24</v>
      </c>
      <c r="D588" s="79" t="s">
        <v>449</v>
      </c>
      <c r="E588" s="121">
        <f>SUM(E589:E591)</f>
        <v>0</v>
      </c>
      <c r="F588" s="121">
        <f t="shared" ref="F588:I588" si="37">SUM(F589:F591)</f>
        <v>0</v>
      </c>
      <c r="G588" s="121">
        <f t="shared" si="37"/>
        <v>0</v>
      </c>
      <c r="H588" s="121">
        <f t="shared" si="37"/>
        <v>0</v>
      </c>
      <c r="I588" s="121">
        <f t="shared" si="37"/>
        <v>0</v>
      </c>
    </row>
    <row r="589" spans="2:9" x14ac:dyDescent="0.2">
      <c r="B589" s="160">
        <v>22</v>
      </c>
      <c r="C589" s="305" t="s">
        <v>1339</v>
      </c>
      <c r="D589" s="82" t="s">
        <v>1340</v>
      </c>
      <c r="E589" s="72">
        <f>SUMIF(Adat!$AG:$AG,CONCATENATE(61,$M$4,"09211",L565),Adat!$E:$E)*-1</f>
        <v>0</v>
      </c>
      <c r="F589" s="72">
        <f>SUMIF(Adat!$AG:$AG,CONCATENATE(60,$M$4,"09211",L565),Adat!$E:$E)*-1+E589</f>
        <v>0</v>
      </c>
      <c r="G589" s="72">
        <f>SUMIF(Adat!$AH:$AH,CONCATENATE($M$4,"(KÖT)","09211",L565),Adat!$E:$E)*-1</f>
        <v>0</v>
      </c>
      <c r="H589" s="72">
        <f>SUMIF(Adat!$AH:$AH,CONCATENATE($M$4,"(ÖNV)","09211",L565),Adat!$E:$E)*-1</f>
        <v>0</v>
      </c>
      <c r="I589" s="72">
        <f>SUMIF(Adat!$AH:$AH,CONCATENATE($M$4,"(ÁIG)","09211",L565),Adat!$E:$E)*-1</f>
        <v>0</v>
      </c>
    </row>
    <row r="590" spans="2:9" x14ac:dyDescent="0.2">
      <c r="B590" s="160">
        <v>23</v>
      </c>
      <c r="C590" s="305" t="s">
        <v>1345</v>
      </c>
      <c r="D590" s="82" t="s">
        <v>1346</v>
      </c>
      <c r="E590" s="72">
        <f>SUMIF(Adat!$AG:$AG,CONCATENATE(61,$M$4,"09241",L565),Adat!$E:$E)*-1</f>
        <v>0</v>
      </c>
      <c r="F590" s="72">
        <f>SUMIF(Adat!$AG:$AG,CONCATENATE(60,$M$4,"09241",L565),Adat!$E:$E)*-1+E590</f>
        <v>0</v>
      </c>
      <c r="G590" s="72">
        <f>SUMIF(Adat!$AH:$AH,CONCATENATE($M$4,"(KÖT)","09241",L565),Adat!$E:$E)*-1</f>
        <v>0</v>
      </c>
      <c r="H590" s="72">
        <f>SUMIF(Adat!$AH:$AH,CONCATENATE($M$4,"(ÖNV)","09241",L565),Adat!$E:$E)*-1</f>
        <v>0</v>
      </c>
      <c r="I590" s="72">
        <f>SUMIF(Adat!$AH:$AH,CONCATENATE($M$4,"(ÁIG)","09241",L565),Adat!$E:$E)*-1</f>
        <v>0</v>
      </c>
    </row>
    <row r="591" spans="2:9" x14ac:dyDescent="0.2">
      <c r="B591" s="160">
        <v>24</v>
      </c>
      <c r="C591" s="305" t="s">
        <v>1255</v>
      </c>
      <c r="D591" s="82" t="s">
        <v>1347</v>
      </c>
      <c r="E591" s="72">
        <f>SUMIF(Adat!$AG:$AG,CONCATENATE(61,$M$4,"09251",L565),Adat!$E:$E)*-1</f>
        <v>0</v>
      </c>
      <c r="F591" s="72">
        <f>SUMIF(Adat!$AG:$AG,CONCATENATE(60,$M$4,"09251",L565),Adat!$E:$E)*-1+E591</f>
        <v>0</v>
      </c>
      <c r="G591" s="72">
        <f>SUMIF(Adat!$AH:$AH,CONCATENATE($M$4,"(KÖT)","09251",L565),Adat!$E:$E)*-1</f>
        <v>0</v>
      </c>
      <c r="H591" s="72">
        <f>SUMIF(Adat!$AH:$AH,CONCATENATE($M$4,"(ÖNV)","09251",L565),Adat!$E:$E)*-1</f>
        <v>0</v>
      </c>
      <c r="I591" s="72">
        <f>SUMIF(Adat!$AH:$AH,CONCATENATE($M$4,"(ÁIG)","09251",L565),Adat!$E:$E)*-1</f>
        <v>0</v>
      </c>
    </row>
    <row r="592" spans="2:9" x14ac:dyDescent="0.25">
      <c r="B592" s="160">
        <v>25</v>
      </c>
      <c r="C592" s="79" t="s">
        <v>33</v>
      </c>
      <c r="D592" s="79" t="s">
        <v>330</v>
      </c>
      <c r="E592" s="121">
        <f>SUM(E593:E595)</f>
        <v>0</v>
      </c>
      <c r="F592" s="121">
        <f t="shared" ref="F592:I592" si="38">SUM(F593:F595)</f>
        <v>0</v>
      </c>
      <c r="G592" s="121">
        <f t="shared" si="38"/>
        <v>0</v>
      </c>
      <c r="H592" s="121">
        <f t="shared" si="38"/>
        <v>0</v>
      </c>
      <c r="I592" s="121">
        <f t="shared" si="38"/>
        <v>0</v>
      </c>
    </row>
    <row r="593" spans="2:12" x14ac:dyDescent="0.2">
      <c r="B593" s="160">
        <v>26</v>
      </c>
      <c r="C593" s="305" t="s">
        <v>1373</v>
      </c>
      <c r="D593" s="82" t="s">
        <v>1374</v>
      </c>
      <c r="E593" s="72">
        <f>SUMIF(Adat!$AG:$AG,CONCATENATE(61,$M$4,"09511",L565),Adat!$E:$E)*-1</f>
        <v>0</v>
      </c>
      <c r="F593" s="72">
        <f>SUMIF(Adat!$AG:$AG,CONCATENATE(60,$M$4,"09511",L565),Adat!$E:$E)*-1+E593</f>
        <v>0</v>
      </c>
      <c r="G593" s="72">
        <f>SUMIF(Adat!$AH:$AH,CONCATENATE($M$4,"(KÖT)","09511",L565),Adat!$E:$E)*-1</f>
        <v>0</v>
      </c>
      <c r="H593" s="72">
        <f>SUMIF(Adat!$AH:$AH,CONCATENATE($M$4,"(ÖNV)","09511",L565),Adat!$E:$E)*-1</f>
        <v>0</v>
      </c>
      <c r="I593" s="72">
        <f>SUMIF(Adat!$AH:$AH,CONCATENATE($M$4,"(ÁIG)","09511",L565),Adat!$E:$E)*-1</f>
        <v>0</v>
      </c>
    </row>
    <row r="594" spans="2:12" x14ac:dyDescent="0.2">
      <c r="B594" s="160">
        <v>27</v>
      </c>
      <c r="C594" s="305" t="s">
        <v>1294</v>
      </c>
      <c r="D594" s="82" t="s">
        <v>1375</v>
      </c>
      <c r="E594" s="72">
        <f>SUMIF(Adat!$AG:$AG,CONCATENATE(61,$M$4,"09521",L565),Adat!$E:$E)*-1</f>
        <v>0</v>
      </c>
      <c r="F594" s="72">
        <f>SUMIF(Adat!$AG:$AG,CONCATENATE(60,$M$4,"09521",L565),Adat!$E:$E)*-1+E594</f>
        <v>0</v>
      </c>
      <c r="G594" s="72">
        <f>SUMIF(Adat!$AH:$AH,CONCATENATE($M$4,"(KÖT)","09521",L565),Adat!$E:$E)*-1</f>
        <v>0</v>
      </c>
      <c r="H594" s="72">
        <f>SUMIF(Adat!$AH:$AH,CONCATENATE($M$4,"(ÖNV)","09521",L565),Adat!$E:$E)*-1</f>
        <v>0</v>
      </c>
      <c r="I594" s="72">
        <f>SUMIF(Adat!$AH:$AH,CONCATENATE($M$4,"(ÁIG)","09521",L565),Adat!$E:$E)*-1</f>
        <v>0</v>
      </c>
    </row>
    <row r="595" spans="2:12" x14ac:dyDescent="0.2">
      <c r="B595" s="160">
        <v>28</v>
      </c>
      <c r="C595" s="305" t="s">
        <v>1376</v>
      </c>
      <c r="D595" s="82" t="s">
        <v>1377</v>
      </c>
      <c r="E595" s="72">
        <f>SUMIF(Adat!$AG:$AG,CONCATENATE(61,$M$4,"09531",L565),Adat!$E:$E)*-1</f>
        <v>0</v>
      </c>
      <c r="F595" s="72">
        <f>SUMIF(Adat!$AG:$AG,CONCATENATE(60,$M$4,"09531",L565),Adat!$E:$E)*-1+E595</f>
        <v>0</v>
      </c>
      <c r="G595" s="72">
        <f>SUMIF(Adat!$AH:$AH,CONCATENATE($M$4,"(KÖT)","09531",L565),Adat!$E:$E)*-1</f>
        <v>0</v>
      </c>
      <c r="H595" s="72">
        <f>SUMIF(Adat!$AH:$AH,CONCATENATE($M$4,"(ÖNV)","09531",L565),Adat!$E:$E)*-1</f>
        <v>0</v>
      </c>
      <c r="I595" s="72">
        <f>SUMIF(Adat!$AH:$AH,CONCATENATE($M$4,"(ÁIG)","09531",L565),Adat!$E:$E)*-1</f>
        <v>0</v>
      </c>
    </row>
    <row r="596" spans="2:12" x14ac:dyDescent="0.25">
      <c r="B596" s="160">
        <v>29</v>
      </c>
      <c r="C596" s="79" t="s">
        <v>36</v>
      </c>
      <c r="D596" s="79" t="s">
        <v>331</v>
      </c>
      <c r="E596" s="71">
        <f>SUMIF(Adat!$AI:$AI,CONCATENATE(61,$M$4,"096",L565),Adat!$E:$E)*-1</f>
        <v>0</v>
      </c>
      <c r="F596" s="71">
        <f>SUMIF(Adat!$AI:$AI,CONCATENATE(60,$M$4,"096",L565),Adat!$E:$E)*-1+E596</f>
        <v>0</v>
      </c>
      <c r="G596" s="71">
        <f>SUMIF(Adat!$AJ:$AJ,CONCATENATE($M$4,"096","(KÖT)",L565),Adat!$E:$E)*-1</f>
        <v>0</v>
      </c>
      <c r="H596" s="71">
        <f>SUMIF(Adat!$AJ:$AJ,CONCATENATE($M$4,"096","(ÖNV)",L565),Adat!$E:$E)*-1</f>
        <v>0</v>
      </c>
      <c r="I596" s="71">
        <f>SUMIF(Adat!$AJ:$AJ,CONCATENATE($M$4,"096","(ÁIG)",L565),Adat!$E:$E)*-1</f>
        <v>0</v>
      </c>
    </row>
    <row r="597" spans="2:12" x14ac:dyDescent="0.25">
      <c r="B597" s="160">
        <v>30</v>
      </c>
      <c r="C597" s="79" t="s">
        <v>38</v>
      </c>
      <c r="D597" s="85" t="s">
        <v>332</v>
      </c>
      <c r="E597" s="71">
        <f>SUMIF(Adat!$AI:$AI,CONCATENATE(61,$M$4,"097",L565),Adat!$E:$E)*-1</f>
        <v>0</v>
      </c>
      <c r="F597" s="71">
        <f>SUMIF(Adat!$AI:$AI,CONCATENATE(60,$M$4,"097",L565),Adat!$E:$E)*-1+E597</f>
        <v>0</v>
      </c>
      <c r="G597" s="71">
        <f>SUMIF(Adat!$AJ:$AJ,CONCATENATE($M$4,"097","(KÖT)",L565),Adat!$E:$E)*-1</f>
        <v>0</v>
      </c>
      <c r="H597" s="71">
        <f>SUMIF(Adat!$AJ:$AJ,CONCATENATE($M$4,"097","(ÖNV)",L565),Adat!$E:$E)*-1</f>
        <v>0</v>
      </c>
      <c r="I597" s="71">
        <f>SUMIF(Adat!$AJ:$AJ,CONCATENATE($M$4,"097","(ÁIG)",L565),Adat!$E:$E)*-1</f>
        <v>0</v>
      </c>
    </row>
    <row r="598" spans="2:12" x14ac:dyDescent="0.25">
      <c r="B598" s="160">
        <v>31</v>
      </c>
      <c r="C598" s="154" t="s">
        <v>352</v>
      </c>
      <c r="D598" s="86" t="s">
        <v>1500</v>
      </c>
      <c r="E598" s="121">
        <f>E569+E583+E587+E588+E592+E596+E597</f>
        <v>0</v>
      </c>
      <c r="F598" s="121">
        <f>F569+F583+F587+F588+F592+F596+F597</f>
        <v>0</v>
      </c>
      <c r="G598" s="121">
        <f>G569+G583+G587+G588+G592+G596+G597</f>
        <v>0</v>
      </c>
      <c r="H598" s="121">
        <f>H569+H583+H587+H588+H592+H596+H597</f>
        <v>0</v>
      </c>
      <c r="I598" s="121">
        <f>I569+I583+I587+I588+I592+I596+I597</f>
        <v>0</v>
      </c>
    </row>
    <row r="599" spans="2:12" x14ac:dyDescent="0.25">
      <c r="B599" s="160">
        <v>32</v>
      </c>
      <c r="C599" s="154" t="s">
        <v>358</v>
      </c>
      <c r="D599" s="86" t="s">
        <v>333</v>
      </c>
      <c r="E599" s="121">
        <f>SUM(E600:E602)</f>
        <v>0</v>
      </c>
      <c r="F599" s="121">
        <f t="shared" ref="F599:I599" si="39">SUM(F600:F602)</f>
        <v>0</v>
      </c>
      <c r="G599" s="121">
        <f t="shared" si="39"/>
        <v>0</v>
      </c>
      <c r="H599" s="121">
        <f t="shared" si="39"/>
        <v>0</v>
      </c>
      <c r="I599" s="121">
        <f t="shared" si="39"/>
        <v>0</v>
      </c>
    </row>
    <row r="600" spans="2:12" x14ac:dyDescent="0.2">
      <c r="B600" s="160">
        <v>33</v>
      </c>
      <c r="C600" s="305" t="s">
        <v>1274</v>
      </c>
      <c r="D600" s="82" t="s">
        <v>1419</v>
      </c>
      <c r="E600" s="72">
        <f>SUMIF(Adat!$AG:$AG,CONCATENATE(61,$M$4,"0981311",L565),Adat!$E:$E)*-1</f>
        <v>0</v>
      </c>
      <c r="F600" s="72">
        <f>SUMIF(Adat!$AG:$AG,CONCATENATE(60,$M$4,"0981311",L565),Adat!$E:$E)*-1+E600</f>
        <v>0</v>
      </c>
      <c r="G600" s="72">
        <f>SUMIF(Adat!$AH:$AH,CONCATENATE($M$4,"(KÖT)","0981311",L565),Adat!$E:$E)*-1</f>
        <v>0</v>
      </c>
      <c r="H600" s="72">
        <f>SUMIF(Adat!$AH:$AH,CONCATENATE($M$4,"(ÖNV)","0981311",L565),Adat!$E:$E)*-1</f>
        <v>0</v>
      </c>
      <c r="I600" s="72">
        <f>SUMIF(Adat!$AH:$AH,CONCATENATE($M$4,"(ÁIG)","0981311",L565),Adat!$E:$E)*-1</f>
        <v>0</v>
      </c>
    </row>
    <row r="601" spans="2:12" x14ac:dyDescent="0.25">
      <c r="B601" s="160">
        <v>34</v>
      </c>
      <c r="C601" s="305" t="s">
        <v>1420</v>
      </c>
      <c r="D601" s="84" t="s">
        <v>1421</v>
      </c>
      <c r="E601" s="72">
        <f>SUMIF(Adat!$AG:$AG,CONCATENATE(61,$M$4,"0981321",L565),Adat!$E:$E)*-1</f>
        <v>0</v>
      </c>
      <c r="F601" s="72">
        <f>SUMIF(Adat!$AG:$AG,CONCATENATE(60,$M$4,"0981321",L565),Adat!$E:$E)*-1+E601</f>
        <v>0</v>
      </c>
      <c r="G601" s="72">
        <f>SUMIF(Adat!$AH:$AH,CONCATENATE($M$4,"(KÖT)","0981321",L565),Adat!$E:$E)*-1</f>
        <v>0</v>
      </c>
      <c r="H601" s="72">
        <f>SUMIF(Adat!$AH:$AH,CONCATENATE($M$4,"(ÖNV)","0981321",L565),Adat!$E:$E)*-1</f>
        <v>0</v>
      </c>
      <c r="I601" s="72">
        <f>SUMIF(Adat!$AH:$AH,CONCATENATE($M$4,"(ÁIG)","0981321",L565),Adat!$E:$E)*-1</f>
        <v>0</v>
      </c>
    </row>
    <row r="602" spans="2:12" x14ac:dyDescent="0.25">
      <c r="B602" s="160">
        <v>35</v>
      </c>
      <c r="C602" s="319" t="s">
        <v>1275</v>
      </c>
      <c r="D602" s="84" t="s">
        <v>1501</v>
      </c>
      <c r="E602" s="72">
        <f>SUMIF(Adat!$AG:$AG,CONCATENATE(61,$M$4,"098161",L565),Adat!$E:$E)*-1</f>
        <v>0</v>
      </c>
      <c r="F602" s="72">
        <f>SUMIF(Adat!$AG:$AG,CONCATENATE(60,$M$4,"098161",L565),Adat!$E:$E)*-1+E602</f>
        <v>0</v>
      </c>
      <c r="G602" s="72">
        <f>SUMIF(Adat!$AH:$AH,CONCATENATE($M$4,"(KÖT)","098161",L565),Adat!$E:$E)*-1</f>
        <v>0</v>
      </c>
      <c r="H602" s="72">
        <f>SUMIF(Adat!$AH:$AH,CONCATENATE($M$4,"(ÖNV)","098161",L565),Adat!$E:$E)*-1</f>
        <v>0</v>
      </c>
      <c r="I602" s="72">
        <f>SUMIF(Adat!$AH:$AH,CONCATENATE($M$4,"(ÁIG)","098161",L565),Adat!$E:$E)*-1</f>
        <v>0</v>
      </c>
    </row>
    <row r="603" spans="2:12" x14ac:dyDescent="0.25">
      <c r="B603" s="160">
        <v>36</v>
      </c>
      <c r="C603" s="154" t="s">
        <v>364</v>
      </c>
      <c r="D603" s="159" t="s">
        <v>1502</v>
      </c>
      <c r="E603" s="121">
        <f>+E598+E599</f>
        <v>0</v>
      </c>
      <c r="F603" s="121">
        <f>+F598+F599</f>
        <v>0</v>
      </c>
      <c r="G603" s="121">
        <f>+G598+G599</f>
        <v>0</v>
      </c>
      <c r="H603" s="121">
        <f>+H598+H599</f>
        <v>0</v>
      </c>
      <c r="I603" s="121">
        <f>+I598+I599</f>
        <v>0</v>
      </c>
    </row>
    <row r="604" spans="2:12" ht="15.75" x14ac:dyDescent="0.25">
      <c r="B604" s="38"/>
      <c r="C604" s="156"/>
      <c r="D604" s="38"/>
      <c r="E604" s="140"/>
      <c r="F604" s="140"/>
      <c r="G604" s="140"/>
      <c r="H604" s="140"/>
      <c r="I604" s="140"/>
    </row>
    <row r="605" spans="2:12" s="10" customFormat="1" ht="15.75" customHeight="1" x14ac:dyDescent="0.25">
      <c r="B605" s="201" t="str">
        <f>CONCATENATE("20. Kiadási jogcímek"," - ",L605," részletező")</f>
        <v>20. Kiadási jogcímek -  részletező</v>
      </c>
      <c r="C605" s="101"/>
      <c r="D605" s="101"/>
      <c r="E605" s="101"/>
      <c r="F605" s="101"/>
      <c r="G605" s="198"/>
      <c r="H605" s="198"/>
      <c r="I605" s="198"/>
      <c r="L605" s="384"/>
    </row>
    <row r="606" spans="2:12" ht="15.75" x14ac:dyDescent="0.25">
      <c r="B606" s="38"/>
      <c r="C606" s="156"/>
      <c r="D606" s="38"/>
      <c r="E606" s="140"/>
      <c r="F606" s="140"/>
      <c r="G606" s="140"/>
      <c r="H606" s="140"/>
      <c r="I606" s="140"/>
    </row>
    <row r="607" spans="2:12" x14ac:dyDescent="0.25">
      <c r="B607" s="77"/>
      <c r="C607" s="77" t="s">
        <v>350</v>
      </c>
      <c r="D607" s="77" t="s">
        <v>351</v>
      </c>
      <c r="E607" s="77" t="s">
        <v>470</v>
      </c>
      <c r="F607" s="77" t="s">
        <v>471</v>
      </c>
      <c r="G607" s="77" t="s">
        <v>44</v>
      </c>
      <c r="H607" s="77" t="s">
        <v>42</v>
      </c>
      <c r="I607" s="77" t="s">
        <v>511</v>
      </c>
    </row>
    <row r="608" spans="2:12" ht="38.25" x14ac:dyDescent="0.25">
      <c r="B608" s="160">
        <v>1</v>
      </c>
      <c r="C608" s="154" t="s">
        <v>593</v>
      </c>
      <c r="D608" s="154" t="s">
        <v>488</v>
      </c>
      <c r="E608" s="163" t="str">
        <f>CONCATENATE(PAR!$H$3," évi
eredeti 
előirányzat")</f>
        <v>2025. évi
eredeti 
előirányzat</v>
      </c>
      <c r="F608" s="163" t="str">
        <f>CONCATENATE(PAR!$H$3," évi
módosított 
előirányzat")</f>
        <v>2025. évi
módosított 
előirányzat</v>
      </c>
      <c r="G608" s="78" t="s">
        <v>666</v>
      </c>
      <c r="H608" s="78" t="s">
        <v>667</v>
      </c>
      <c r="I608" s="78" t="s">
        <v>668</v>
      </c>
    </row>
    <row r="609" spans="2:9" x14ac:dyDescent="0.25">
      <c r="B609" s="160">
        <v>2</v>
      </c>
      <c r="C609" s="78" t="s">
        <v>352</v>
      </c>
      <c r="D609" s="92" t="s">
        <v>1444</v>
      </c>
      <c r="E609" s="121">
        <f>SUM(E610:E614)</f>
        <v>0</v>
      </c>
      <c r="F609" s="121">
        <f>SUM(F610:F614)</f>
        <v>0</v>
      </c>
      <c r="G609" s="121">
        <f>SUM(G610:G614)</f>
        <v>0</v>
      </c>
      <c r="H609" s="121">
        <f>SUM(H610:H614)</f>
        <v>0</v>
      </c>
      <c r="I609" s="121">
        <f>SUM(I610:I614)</f>
        <v>0</v>
      </c>
    </row>
    <row r="610" spans="2:9" x14ac:dyDescent="0.25">
      <c r="B610" s="160">
        <v>3</v>
      </c>
      <c r="C610" s="305" t="s">
        <v>315</v>
      </c>
      <c r="D610" s="93" t="s">
        <v>342</v>
      </c>
      <c r="E610" s="72">
        <f>SUMIF(Adat!$AI:$AI,CONCATENATE(61,$M$4,"051",L605),Adat!$E:$E)</f>
        <v>0</v>
      </c>
      <c r="F610" s="72">
        <f>SUMIF(Adat!$AI:$AI,CONCATENATE(60,$M$4,"051",L605),Adat!$E:$E)+E610</f>
        <v>0</v>
      </c>
      <c r="G610" s="72">
        <f>SUMIF(Adat!$AJ:$AJ,CONCATENATE($M$4,"051","(KÖT)",L605),Adat!$E:$E)</f>
        <v>0</v>
      </c>
      <c r="H610" s="72">
        <f>SUMIF(Adat!$AJ:$AJ,CONCATENATE($M$4,"051","(ÖNV)",L605),Adat!$E:$E)</f>
        <v>0</v>
      </c>
      <c r="I610" s="72">
        <f>SUMIF(Adat!$AJ:$AJ,CONCATENATE($M$4,"051","(ÁIG)",L605),Adat!$E:$E)</f>
        <v>0</v>
      </c>
    </row>
    <row r="611" spans="2:9" x14ac:dyDescent="0.25">
      <c r="B611" s="160">
        <v>4</v>
      </c>
      <c r="C611" s="305" t="s">
        <v>317</v>
      </c>
      <c r="D611" s="93" t="s">
        <v>395</v>
      </c>
      <c r="E611" s="72">
        <f>SUMIF(Adat!$AI:$AI,CONCATENATE(61,$M$4,"052",L605),Adat!$E:$E)</f>
        <v>0</v>
      </c>
      <c r="F611" s="72">
        <f>SUMIF(Adat!$AI:$AI,CONCATENATE(60,$M$4,"052",L605),Adat!$E:$E)+E611</f>
        <v>0</v>
      </c>
      <c r="G611" s="72">
        <f>SUMIF(Adat!$AJ:$AJ,CONCATENATE($M$4,"052","(KÖT)",L605),Adat!$E:$E)</f>
        <v>0</v>
      </c>
      <c r="H611" s="72">
        <f>SUMIF(Adat!$AJ:$AJ,CONCATENATE($M$4,"052","(ÖNV)",L605),Adat!$E:$E)</f>
        <v>0</v>
      </c>
      <c r="I611" s="72">
        <f>SUMIF(Adat!$AJ:$AJ,CONCATENATE($M$4,"052","(ÁIG)",L605),Adat!$E:$E)</f>
        <v>0</v>
      </c>
    </row>
    <row r="612" spans="2:9" x14ac:dyDescent="0.25">
      <c r="B612" s="160">
        <v>5</v>
      </c>
      <c r="C612" s="305" t="s">
        <v>4</v>
      </c>
      <c r="D612" s="93" t="s">
        <v>344</v>
      </c>
      <c r="E612" s="72">
        <f>SUMIF(Adat!$AI:$AI,CONCATENATE(61,$M$4,"053",L605),Adat!$E:$E)</f>
        <v>0</v>
      </c>
      <c r="F612" s="72">
        <f>SUMIF(Adat!$AI:$AI,CONCATENATE(60,$M$4,"053",L605),Adat!$E:$E)+E612</f>
        <v>0</v>
      </c>
      <c r="G612" s="72">
        <f>SUMIF(Adat!$AJ:$AJ,CONCATENATE($M$4,"053","(KÖT)",L605),Adat!$E:$E)</f>
        <v>0</v>
      </c>
      <c r="H612" s="72">
        <f>SUMIF(Adat!$AJ:$AJ,CONCATENATE($M$4,"053","(ÖNV)",L605),Adat!$E:$E)</f>
        <v>0</v>
      </c>
      <c r="I612" s="72">
        <f>SUMIF(Adat!$AJ:$AJ,CONCATENATE($M$4,"053","(ÁIG)",L605),Adat!$E:$E)</f>
        <v>0</v>
      </c>
    </row>
    <row r="613" spans="2:9" x14ac:dyDescent="0.25">
      <c r="B613" s="160">
        <v>6</v>
      </c>
      <c r="C613" s="305" t="s">
        <v>6</v>
      </c>
      <c r="D613" s="93" t="s">
        <v>345</v>
      </c>
      <c r="E613" s="72">
        <f>SUMIF(Adat!$AI:$AI,CONCATENATE(61,$M$4,"054",L605),Adat!$E:$E)</f>
        <v>0</v>
      </c>
      <c r="F613" s="72">
        <f>SUMIF(Adat!$AI:$AI,CONCATENATE(60,$M$4,"054",L605),Adat!$E:$E)+E613</f>
        <v>0</v>
      </c>
      <c r="G613" s="72">
        <f>SUMIF(Adat!$AJ:$AJ,CONCATENATE($M$4,"054","(KÖT)",L605),Adat!$E:$E)</f>
        <v>0</v>
      </c>
      <c r="H613" s="72">
        <f>SUMIF(Adat!$AJ:$AJ,CONCATENATE($M$4,"054","(ÖNV)",L605),Adat!$E:$E)</f>
        <v>0</v>
      </c>
      <c r="I613" s="72">
        <f>SUMIF(Adat!$AJ:$AJ,CONCATENATE($M$4,"054","(ÁIG)",L605),Adat!$E:$E)</f>
        <v>0</v>
      </c>
    </row>
    <row r="614" spans="2:9" x14ac:dyDescent="0.25">
      <c r="B614" s="160">
        <v>7</v>
      </c>
      <c r="C614" s="305" t="s">
        <v>8</v>
      </c>
      <c r="D614" s="93" t="s">
        <v>321</v>
      </c>
      <c r="E614" s="72">
        <f>SUMIF(Adat!$AI:$AI,CONCATENATE(61,$M$4,"055",L605),Adat!$E:$E)</f>
        <v>0</v>
      </c>
      <c r="F614" s="72">
        <f>SUMIF(Adat!$AI:$AI,CONCATENATE(60,$M$4,"055",L605),Adat!$E:$E)+E614</f>
        <v>0</v>
      </c>
      <c r="G614" s="72">
        <f>SUMIF(Adat!$AJ:$AJ,CONCATENATE($M$4,"055","(KÖT)",L605),Adat!$E:$E)</f>
        <v>0</v>
      </c>
      <c r="H614" s="72">
        <f>SUMIF(Adat!$AJ:$AJ,CONCATENATE($M$4,"055","(ÖNV)",L605),Adat!$E:$E)</f>
        <v>0</v>
      </c>
      <c r="I614" s="72">
        <f>SUMIF(Adat!$AJ:$AJ,CONCATENATE($M$4,"055","(ÁIG)",L605),Adat!$E:$E)</f>
        <v>0</v>
      </c>
    </row>
    <row r="615" spans="2:9" x14ac:dyDescent="0.25">
      <c r="B615" s="160">
        <v>8</v>
      </c>
      <c r="C615" s="78" t="s">
        <v>358</v>
      </c>
      <c r="D615" s="92" t="s">
        <v>1447</v>
      </c>
      <c r="E615" s="121">
        <f>E616+E618+E620</f>
        <v>0</v>
      </c>
      <c r="F615" s="121">
        <f>F616+F618+F620</f>
        <v>0</v>
      </c>
      <c r="G615" s="121">
        <f>G616+G618+G620</f>
        <v>0</v>
      </c>
      <c r="H615" s="121">
        <f>H616+H618+H620</f>
        <v>0</v>
      </c>
      <c r="I615" s="121">
        <f>I616+I618+I620</f>
        <v>0</v>
      </c>
    </row>
    <row r="616" spans="2:9" x14ac:dyDescent="0.25">
      <c r="B616" s="160">
        <v>9</v>
      </c>
      <c r="C616" s="305" t="s">
        <v>10</v>
      </c>
      <c r="D616" s="93" t="s">
        <v>322</v>
      </c>
      <c r="E616" s="72">
        <f>SUMIF(Adat!$AI:$AI,CONCATENATE(61,$M$4,"056",L605),Adat!$E:$E)</f>
        <v>0</v>
      </c>
      <c r="F616" s="72">
        <f>SUMIF(Adat!$AI:$AI,CONCATENATE(60,$M$4,"056",L605),Adat!$E:$E)+E616</f>
        <v>0</v>
      </c>
      <c r="G616" s="72">
        <f>SUMIF(Adat!$AJ:$AJ,CONCATENATE($M$4,"056","(KÖT)",L605),Adat!$E:$E)</f>
        <v>0</v>
      </c>
      <c r="H616" s="72">
        <f>SUMIF(Adat!$AJ:$AJ,CONCATENATE($M$4,"056","(ÖNV)",L605),Adat!$E:$E)</f>
        <v>0</v>
      </c>
      <c r="I616" s="72">
        <f>SUMIF(Adat!$AJ:$AJ,CONCATENATE($M$4,"056","(ÁIG)",L605),Adat!$E:$E)</f>
        <v>0</v>
      </c>
    </row>
    <row r="617" spans="2:9" x14ac:dyDescent="0.25">
      <c r="B617" s="160">
        <v>10</v>
      </c>
      <c r="C617" s="305" t="s">
        <v>10</v>
      </c>
      <c r="D617" s="93" t="s">
        <v>1448</v>
      </c>
      <c r="E617" s="72">
        <v>0</v>
      </c>
      <c r="F617" s="72">
        <f>SUM(G617:I617)</f>
        <v>0</v>
      </c>
      <c r="G617" s="72">
        <v>0</v>
      </c>
      <c r="H617" s="72">
        <v>0</v>
      </c>
      <c r="I617" s="72">
        <v>0</v>
      </c>
    </row>
    <row r="618" spans="2:9" x14ac:dyDescent="0.25">
      <c r="B618" s="160">
        <v>11</v>
      </c>
      <c r="C618" s="305" t="s">
        <v>12</v>
      </c>
      <c r="D618" s="93" t="s">
        <v>323</v>
      </c>
      <c r="E618" s="72">
        <f>SUMIF(Adat!$AI:$AI,CONCATENATE(61,$M$4,"057",L605),Adat!$E:$E)</f>
        <v>0</v>
      </c>
      <c r="F618" s="72">
        <f>SUMIF(Adat!$AI:$AI,CONCATENATE(60,$M$4,"057",L605),Adat!$E:$E)+E618</f>
        <v>0</v>
      </c>
      <c r="G618" s="72">
        <f>SUMIF(Adat!$AJ:$AJ,CONCATENATE($M$4,"057","(KÖT)",L605),Adat!$E:$E)</f>
        <v>0</v>
      </c>
      <c r="H618" s="72">
        <f>SUMIF(Adat!$AJ:$AJ,CONCATENATE($M$4,"057","(ÖNV)",L605),Adat!$E:$E)</f>
        <v>0</v>
      </c>
      <c r="I618" s="72">
        <f>SUMIF(Adat!$AJ:$AJ,CONCATENATE($M$4,"057","(ÁIG)",L605),Adat!$E:$E)</f>
        <v>0</v>
      </c>
    </row>
    <row r="619" spans="2:9" x14ac:dyDescent="0.25">
      <c r="B619" s="160">
        <v>12</v>
      </c>
      <c r="C619" s="305" t="s">
        <v>12</v>
      </c>
      <c r="D619" s="93" t="s">
        <v>1449</v>
      </c>
      <c r="E619" s="72">
        <v>0</v>
      </c>
      <c r="F619" s="72">
        <f>SUM(G619:I619)</f>
        <v>0</v>
      </c>
      <c r="G619" s="72">
        <v>0</v>
      </c>
      <c r="H619" s="72">
        <v>0</v>
      </c>
      <c r="I619" s="72">
        <v>0</v>
      </c>
    </row>
    <row r="620" spans="2:9" x14ac:dyDescent="0.25">
      <c r="B620" s="160">
        <v>13</v>
      </c>
      <c r="C620" s="305" t="s">
        <v>15</v>
      </c>
      <c r="D620" s="84" t="s">
        <v>324</v>
      </c>
      <c r="E620" s="72">
        <f>SUMIF(Adat!$AI:$AI,CONCATENATE(61,$M$4,"058",L605),Adat!$E:$E)</f>
        <v>0</v>
      </c>
      <c r="F620" s="72">
        <f>SUMIF(Adat!$AI:$AI,CONCATENATE(60,$M$4,"058",L605),Adat!$E:$E)+E620</f>
        <v>0</v>
      </c>
      <c r="G620" s="72">
        <f>SUMIF(Adat!$AJ:$AJ,CONCATENATE($M$4,"058","(KÖT)",L605),Adat!$E:$E)</f>
        <v>0</v>
      </c>
      <c r="H620" s="72">
        <f>SUMIF(Adat!$AJ:$AJ,CONCATENATE($M$4,"058","(ÖNV)",L605),Adat!$E:$E)</f>
        <v>0</v>
      </c>
      <c r="I620" s="72">
        <f>SUMIF(Adat!$AJ:$AJ,CONCATENATE($M$4,"058","(ÁIG)",L605),Adat!$E:$E)</f>
        <v>0</v>
      </c>
    </row>
    <row r="621" spans="2:9" x14ac:dyDescent="0.25">
      <c r="B621" s="160">
        <v>14</v>
      </c>
      <c r="C621" s="154" t="s">
        <v>364</v>
      </c>
      <c r="D621" s="86" t="s">
        <v>325</v>
      </c>
      <c r="E621" s="71">
        <f>SUMIF(Adat!$AI:$AI,CONCATENATE(61,$M$4,"059",L605),Adat!$E:$E)</f>
        <v>0</v>
      </c>
      <c r="F621" s="71">
        <f>SUMIF(Adat!$AI:$AI,CONCATENATE(60,$M$4,"059",L605),Adat!$E:$E)+E621</f>
        <v>0</v>
      </c>
      <c r="G621" s="71">
        <f>SUMIF(Adat!$AJ:$AJ,CONCATENATE($M$4,"059","(KÖT)",L605),Adat!$E:$E)</f>
        <v>0</v>
      </c>
      <c r="H621" s="71">
        <f>SUMIF(Adat!$AJ:$AJ,CONCATENATE($M$4,"059","(ÖNV)",L605),Adat!$E:$E)</f>
        <v>0</v>
      </c>
      <c r="I621" s="71">
        <f>SUMIF(Adat!$AJ:$AJ,CONCATENATE($M$4,"059","(ÁIG)",L605),Adat!$E:$E)</f>
        <v>0</v>
      </c>
    </row>
    <row r="622" spans="2:9" x14ac:dyDescent="0.25">
      <c r="B622" s="160">
        <v>15</v>
      </c>
      <c r="C622" s="154" t="s">
        <v>403</v>
      </c>
      <c r="D622" s="159" t="s">
        <v>497</v>
      </c>
      <c r="E622" s="121">
        <f>E609+E615+E621</f>
        <v>0</v>
      </c>
      <c r="F622" s="121">
        <f>F609+F615+F621</f>
        <v>0</v>
      </c>
      <c r="G622" s="121">
        <f>G609+G615+G621</f>
        <v>0</v>
      </c>
      <c r="H622" s="121">
        <f>H609+H615+H621</f>
        <v>0</v>
      </c>
      <c r="I622" s="121">
        <f>I609+I615+I621</f>
        <v>0</v>
      </c>
    </row>
    <row r="623" spans="2:9" ht="15.75" x14ac:dyDescent="0.25">
      <c r="B623" s="37"/>
      <c r="C623" s="529"/>
      <c r="D623" s="529"/>
      <c r="E623" s="529"/>
      <c r="F623" s="200"/>
      <c r="G623" s="200"/>
      <c r="H623" s="200"/>
      <c r="I623" s="200"/>
    </row>
    <row r="624" spans="2:9" ht="15.75" x14ac:dyDescent="0.25">
      <c r="B624" s="525" t="str">
        <f>$N$4</f>
        <v>Nagymarosi Napköziotthonos Óvoda és Bölcsőde</v>
      </c>
      <c r="C624" s="525"/>
      <c r="D624" s="525"/>
      <c r="E624" s="525"/>
      <c r="F624" s="525"/>
      <c r="G624" s="525"/>
      <c r="H624" s="525"/>
      <c r="I624" s="525"/>
    </row>
    <row r="625" spans="2:12" ht="15.75" x14ac:dyDescent="0.25">
      <c r="B625" s="525" t="s">
        <v>2660</v>
      </c>
      <c r="C625" s="525"/>
      <c r="D625" s="525"/>
      <c r="E625" s="525"/>
      <c r="F625" s="525"/>
      <c r="G625" s="525"/>
      <c r="H625" s="525"/>
      <c r="I625" s="525"/>
    </row>
    <row r="626" spans="2:12" ht="15.75" x14ac:dyDescent="0.25">
      <c r="B626" s="38"/>
      <c r="C626" s="156"/>
      <c r="D626" s="38"/>
      <c r="E626" s="140"/>
      <c r="F626" s="140"/>
      <c r="G626" s="140"/>
      <c r="H626" s="140"/>
      <c r="I626" s="140"/>
    </row>
    <row r="627" spans="2:12" s="10" customFormat="1" ht="15.75" customHeight="1" x14ac:dyDescent="0.25">
      <c r="B627" s="201" t="str">
        <f>CONCATENATE("21. Bevételi jogcímek"," - ",L627," részletező")</f>
        <v>21. Bevételi jogcímek -  részletező</v>
      </c>
      <c r="C627" s="101"/>
      <c r="D627" s="101"/>
      <c r="E627" s="101"/>
      <c r="F627" s="101"/>
      <c r="G627" s="198"/>
      <c r="H627" s="198"/>
      <c r="I627" s="198"/>
      <c r="L627" s="384"/>
    </row>
    <row r="628" spans="2:12" ht="15.75" x14ac:dyDescent="0.25">
      <c r="B628" s="38"/>
      <c r="C628" s="156"/>
      <c r="D628" s="38"/>
      <c r="E628" s="140"/>
      <c r="F628" s="140"/>
      <c r="G628" s="140"/>
      <c r="H628" s="140"/>
      <c r="I628" s="140"/>
    </row>
    <row r="629" spans="2:12" x14ac:dyDescent="0.25">
      <c r="B629" s="77"/>
      <c r="C629" s="77" t="s">
        <v>350</v>
      </c>
      <c r="D629" s="77" t="s">
        <v>351</v>
      </c>
      <c r="E629" s="77" t="s">
        <v>470</v>
      </c>
      <c r="F629" s="77" t="s">
        <v>471</v>
      </c>
      <c r="G629" s="77" t="s">
        <v>44</v>
      </c>
      <c r="H629" s="77" t="s">
        <v>42</v>
      </c>
      <c r="I629" s="77" t="s">
        <v>511</v>
      </c>
    </row>
    <row r="630" spans="2:12" ht="38.25" x14ac:dyDescent="0.25">
      <c r="B630" s="160">
        <v>1</v>
      </c>
      <c r="C630" s="154" t="s">
        <v>593</v>
      </c>
      <c r="D630" s="154" t="s">
        <v>488</v>
      </c>
      <c r="E630" s="163" t="str">
        <f>CONCATENATE(PAR!$H$3," évi
eredeti 
előirányzat")</f>
        <v>2025. évi
eredeti 
előirányzat</v>
      </c>
      <c r="F630" s="163" t="str">
        <f>CONCATENATE(PAR!$H$3," évi
módosított 
előirányzat")</f>
        <v>2025. évi
módosított 
előirányzat</v>
      </c>
      <c r="G630" s="78" t="s">
        <v>666</v>
      </c>
      <c r="H630" s="78" t="s">
        <v>667</v>
      </c>
      <c r="I630" s="78" t="s">
        <v>668</v>
      </c>
    </row>
    <row r="631" spans="2:12" x14ac:dyDescent="0.25">
      <c r="B631" s="160">
        <v>2</v>
      </c>
      <c r="C631" s="79" t="s">
        <v>30</v>
      </c>
      <c r="D631" s="79" t="s">
        <v>329</v>
      </c>
      <c r="E631" s="121">
        <f>SUM(E632:E644)</f>
        <v>0</v>
      </c>
      <c r="F631" s="121">
        <f t="shared" ref="F631:I631" si="40">SUM(F632:F644)</f>
        <v>0</v>
      </c>
      <c r="G631" s="121">
        <f t="shared" si="40"/>
        <v>0</v>
      </c>
      <c r="H631" s="121">
        <f t="shared" si="40"/>
        <v>0</v>
      </c>
      <c r="I631" s="121">
        <f t="shared" si="40"/>
        <v>0</v>
      </c>
    </row>
    <row r="632" spans="2:12" x14ac:dyDescent="0.2">
      <c r="B632" s="160">
        <v>3</v>
      </c>
      <c r="C632" s="305" t="s">
        <v>1309</v>
      </c>
      <c r="D632" s="82" t="s">
        <v>1356</v>
      </c>
      <c r="E632" s="72">
        <f>SUMIF(Adat!$AG:$AG,CONCATENATE(61,$M$4,"094011",L627),Adat!$E:$E)*-1</f>
        <v>0</v>
      </c>
      <c r="F632" s="72">
        <f>SUMIF(Adat!$AG:$AG,CONCATENATE(60,$M$4,"094011",L627),Adat!$E:$E)*-1+E632</f>
        <v>0</v>
      </c>
      <c r="G632" s="72">
        <f>SUMIF(Adat!$AH:$AH,CONCATENATE($M$4,"(KÖT)","094011",L627),Adat!$E:$E)*-1</f>
        <v>0</v>
      </c>
      <c r="H632" s="72">
        <f>SUMIF(Adat!$AH:$AH,CONCATENATE($M$4,"(ÖNV)","094011",L627),Adat!$E:$E)*-1</f>
        <v>0</v>
      </c>
      <c r="I632" s="72">
        <f>SUMIF(Adat!$AH:$AH,CONCATENATE($M$4,"(ÁIG)","094011",L627),Adat!$E:$E)*-1</f>
        <v>0</v>
      </c>
    </row>
    <row r="633" spans="2:12" x14ac:dyDescent="0.2">
      <c r="B633" s="160">
        <v>4</v>
      </c>
      <c r="C633" s="305" t="s">
        <v>1279</v>
      </c>
      <c r="D633" s="82" t="s">
        <v>1357</v>
      </c>
      <c r="E633" s="72">
        <f>SUMIF(Adat!$AG:$AG,CONCATENATE(61,$M$4,"094021",L627),Adat!$E:$E)*-1</f>
        <v>0</v>
      </c>
      <c r="F633" s="72">
        <f>SUMIF(Adat!$AG:$AG,CONCATENATE(60,$M$4,"094021",L627),Adat!$E:$E)*-1+E633</f>
        <v>0</v>
      </c>
      <c r="G633" s="72">
        <f>SUMIF(Adat!$AH:$AH,CONCATENATE($M$4,"(KÖT)","094021",L627),Adat!$E:$E)*-1</f>
        <v>0</v>
      </c>
      <c r="H633" s="72">
        <f>SUMIF(Adat!$AH:$AH,CONCATENATE($M$4,"(ÖNV)","094021",L627),Adat!$E:$E)*-1</f>
        <v>0</v>
      </c>
      <c r="I633" s="72">
        <f>SUMIF(Adat!$AH:$AH,CONCATENATE($M$4,"(ÁIG)","094021",L627),Adat!$E:$E)*-1</f>
        <v>0</v>
      </c>
    </row>
    <row r="634" spans="2:12" x14ac:dyDescent="0.2">
      <c r="B634" s="160">
        <v>5</v>
      </c>
      <c r="C634" s="305" t="s">
        <v>1272</v>
      </c>
      <c r="D634" s="82" t="s">
        <v>1358</v>
      </c>
      <c r="E634" s="72">
        <f>SUMIF(Adat!$AG:$AG,CONCATENATE(61,$M$4,"094031",L627),Adat!$E:$E)*-1</f>
        <v>0</v>
      </c>
      <c r="F634" s="72">
        <f>SUMIF(Adat!$AG:$AG,CONCATENATE(60,$M$4,"094031",L627),Adat!$E:$E)*-1+E634</f>
        <v>0</v>
      </c>
      <c r="G634" s="72">
        <f>SUMIF(Adat!$AH:$AH,CONCATENATE($M$4,"(KÖT)","094031",L627),Adat!$E:$E)*-1</f>
        <v>0</v>
      </c>
      <c r="H634" s="72">
        <f>SUMIF(Adat!$AH:$AH,CONCATENATE($M$4,"(ÖNV)","094031",L627),Adat!$E:$E)*-1</f>
        <v>0</v>
      </c>
      <c r="I634" s="72">
        <f>SUMIF(Adat!$AH:$AH,CONCATENATE($M$4,"(ÁIG)","094031",L627),Adat!$E:$E)*-1</f>
        <v>0</v>
      </c>
    </row>
    <row r="635" spans="2:12" x14ac:dyDescent="0.2">
      <c r="B635" s="160">
        <v>6</v>
      </c>
      <c r="C635" s="305" t="s">
        <v>1359</v>
      </c>
      <c r="D635" s="82" t="s">
        <v>1360</v>
      </c>
      <c r="E635" s="72">
        <f>SUMIF(Adat!$AG:$AG,CONCATENATE(61,$M$4,"094041",L627),Adat!$E:$E)*-1</f>
        <v>0</v>
      </c>
      <c r="F635" s="72">
        <f>SUMIF(Adat!$AG:$AG,CONCATENATE(60,$M$4,"094041",L627),Adat!$E:$E)*-1+E635</f>
        <v>0</v>
      </c>
      <c r="G635" s="72">
        <f>SUMIF(Adat!$AH:$AH,CONCATENATE($M$4,"(KÖT)","094041",L627),Adat!$E:$E)*-1</f>
        <v>0</v>
      </c>
      <c r="H635" s="72">
        <f>SUMIF(Adat!$AH:$AH,CONCATENATE($M$4,"(ÖNV)","094041",L627),Adat!$E:$E)*-1</f>
        <v>0</v>
      </c>
      <c r="I635" s="72">
        <f>SUMIF(Adat!$AH:$AH,CONCATENATE($M$4,"(ÁIG)","094041",L627),Adat!$E:$E)*-1</f>
        <v>0</v>
      </c>
    </row>
    <row r="636" spans="2:12" x14ac:dyDescent="0.2">
      <c r="B636" s="160">
        <v>7</v>
      </c>
      <c r="C636" s="305" t="s">
        <v>1261</v>
      </c>
      <c r="D636" s="82" t="s">
        <v>1361</v>
      </c>
      <c r="E636" s="72">
        <f>SUMIF(Adat!$AG:$AG,CONCATENATE(61,$M$4,"094051",L627),Adat!$E:$E)*-1</f>
        <v>0</v>
      </c>
      <c r="F636" s="72">
        <f>SUMIF(Adat!$AG:$AG,CONCATENATE(60,$M$4,"094051",L627),Adat!$E:$E)*-1+E636</f>
        <v>0</v>
      </c>
      <c r="G636" s="72">
        <f>SUMIF(Adat!$AH:$AH,CONCATENATE($M$4,"(KÖT)","094051",L627),Adat!$E:$E)*-1</f>
        <v>0</v>
      </c>
      <c r="H636" s="72">
        <f>SUMIF(Adat!$AH:$AH,CONCATENATE($M$4,"(ÖNV)","094051",L627),Adat!$E:$E)*-1</f>
        <v>0</v>
      </c>
      <c r="I636" s="72">
        <f>SUMIF(Adat!$AH:$AH,CONCATENATE($M$4,"(ÁIG)","094051",L627),Adat!$E:$E)*-1</f>
        <v>0</v>
      </c>
    </row>
    <row r="637" spans="2:12" x14ac:dyDescent="0.2">
      <c r="B637" s="160">
        <v>8</v>
      </c>
      <c r="C637" s="305" t="s">
        <v>1273</v>
      </c>
      <c r="D637" s="82" t="s">
        <v>1362</v>
      </c>
      <c r="E637" s="72">
        <f>SUMIF(Adat!$AG:$AG,CONCATENATE(61,$M$4,"094061",L627),Adat!$E:$E)*-1</f>
        <v>0</v>
      </c>
      <c r="F637" s="72">
        <f>SUMIF(Adat!$AG:$AG,CONCATENATE(60,$M$4,"094061",L627),Adat!$E:$E)*-1+E637</f>
        <v>0</v>
      </c>
      <c r="G637" s="72">
        <f>SUMIF(Adat!$AH:$AH,CONCATENATE($M$4,"(KÖT)","094061",L627),Adat!$E:$E)*-1</f>
        <v>0</v>
      </c>
      <c r="H637" s="72">
        <f>SUMIF(Adat!$AH:$AH,CONCATENATE($M$4,"(ÖNV)","094061",L627),Adat!$E:$E)*-1</f>
        <v>0</v>
      </c>
      <c r="I637" s="72">
        <f>SUMIF(Adat!$AH:$AH,CONCATENATE($M$4,"(ÁIG)","094061",L627),Adat!$E:$E)*-1</f>
        <v>0</v>
      </c>
    </row>
    <row r="638" spans="2:12" x14ac:dyDescent="0.2">
      <c r="B638" s="160">
        <v>9</v>
      </c>
      <c r="C638" s="305" t="s">
        <v>1363</v>
      </c>
      <c r="D638" s="82" t="s">
        <v>1364</v>
      </c>
      <c r="E638" s="72">
        <f>SUMIF(Adat!$AG:$AG,CONCATENATE(61,$M$4,"094071",L627),Adat!$E:$E)*-1</f>
        <v>0</v>
      </c>
      <c r="F638" s="72">
        <f>SUMIF(Adat!$AG:$AG,CONCATENATE(60,$M$4,"094071",L627),Adat!$E:$E)*-1+E638</f>
        <v>0</v>
      </c>
      <c r="G638" s="72">
        <f>SUMIF(Adat!$AH:$AH,CONCATENATE($M$4,"(KÖT)","094071",L627),Adat!$E:$E)*-1</f>
        <v>0</v>
      </c>
      <c r="H638" s="72">
        <f>SUMIF(Adat!$AH:$AH,CONCATENATE($M$4,"(ÖNV)","094071",L627),Adat!$E:$E)*-1</f>
        <v>0</v>
      </c>
      <c r="I638" s="72">
        <f>SUMIF(Adat!$AH:$AH,CONCATENATE($M$4,"(ÁIG)","094071",L627),Adat!$E:$E)*-1</f>
        <v>0</v>
      </c>
    </row>
    <row r="639" spans="2:12" x14ac:dyDescent="0.2">
      <c r="B639" s="160">
        <v>10</v>
      </c>
      <c r="C639" s="305" t="s">
        <v>1306</v>
      </c>
      <c r="D639" s="82" t="s">
        <v>1365</v>
      </c>
      <c r="E639" s="72">
        <f>SUMIF(Adat!$AG:$AG,CONCATENATE(61,$M$4,"0940811",L627),Adat!$E:$E)*-1</f>
        <v>0</v>
      </c>
      <c r="F639" s="72">
        <f>SUMIF(Adat!$AG:$AG,CONCATENATE(60,$M$4,"0940811",L627),Adat!$E:$E)*-1+E639</f>
        <v>0</v>
      </c>
      <c r="G639" s="72">
        <f>SUMIF(Adat!$AH:$AH,CONCATENATE($M$4,"(KÖT)","0940811",L627),Adat!$E:$E)*-1</f>
        <v>0</v>
      </c>
      <c r="H639" s="72">
        <f>SUMIF(Adat!$AH:$AH,CONCATENATE($M$4,"(ÖNV)","0940811",L627),Adat!$E:$E)*-1</f>
        <v>0</v>
      </c>
      <c r="I639" s="72">
        <f>SUMIF(Adat!$AH:$AH,CONCATENATE($M$4,"(ÁIG)","0940811",L627),Adat!$E:$E)*-1</f>
        <v>0</v>
      </c>
    </row>
    <row r="640" spans="2:12" x14ac:dyDescent="0.2">
      <c r="B640" s="160">
        <v>11</v>
      </c>
      <c r="C640" s="305" t="s">
        <v>1295</v>
      </c>
      <c r="D640" s="82" t="s">
        <v>1366</v>
      </c>
      <c r="E640" s="72">
        <f>SUMIF(Adat!$AG:$AG,CONCATENATE(61,$M$4,"0940821",L627),Adat!$E:$E)*-1</f>
        <v>0</v>
      </c>
      <c r="F640" s="72">
        <f>SUMIF(Adat!$AG:$AG,CONCATENATE(60,$M$4,"0940821",L627),Adat!$E:$E)*-1+E640</f>
        <v>0</v>
      </c>
      <c r="G640" s="72">
        <f>SUMIF(Adat!$AH:$AH,CONCATENATE($M$4,"(KÖT)","0940821",L627),Adat!$E:$E)*-1</f>
        <v>0</v>
      </c>
      <c r="H640" s="72">
        <f>SUMIF(Adat!$AH:$AH,CONCATENATE($M$4,"(ÖNV)","0940821",L627),Adat!$E:$E)*-1</f>
        <v>0</v>
      </c>
      <c r="I640" s="72">
        <f>SUMIF(Adat!$AH:$AH,CONCATENATE($M$4,"(ÁIG)","0940821",L627),Adat!$E:$E)*-1</f>
        <v>0</v>
      </c>
    </row>
    <row r="641" spans="2:9" x14ac:dyDescent="0.2">
      <c r="B641" s="160">
        <v>12</v>
      </c>
      <c r="C641" s="305" t="s">
        <v>1367</v>
      </c>
      <c r="D641" s="82" t="s">
        <v>1368</v>
      </c>
      <c r="E641" s="72">
        <f>SUMIF(Adat!$AG:$AG,CONCATENATE(61,$M$4,"0940911",L627),Adat!$E:$E)*-1</f>
        <v>0</v>
      </c>
      <c r="F641" s="72">
        <f>SUMIF(Adat!$AG:$AG,CONCATENATE(60,$M$4,"0940911",L627),Adat!$E:$E)*-1+E641</f>
        <v>0</v>
      </c>
      <c r="G641" s="72">
        <f>SUMIF(Adat!$AH:$AH,CONCATENATE($M$4,"(KÖT)","0940911",L627),Adat!$E:$E)*-1</f>
        <v>0</v>
      </c>
      <c r="H641" s="72">
        <f>SUMIF(Adat!$AH:$AH,CONCATENATE($M$4,"(ÖNV)","0940911",L627),Adat!$E:$E)*-1</f>
        <v>0</v>
      </c>
      <c r="I641" s="72">
        <f>SUMIF(Adat!$AH:$AH,CONCATENATE($M$4,"(ÁIG)","0940911",L627),Adat!$E:$E)*-1</f>
        <v>0</v>
      </c>
    </row>
    <row r="642" spans="2:9" x14ac:dyDescent="0.2">
      <c r="B642" s="160">
        <v>13</v>
      </c>
      <c r="C642" s="305" t="s">
        <v>1369</v>
      </c>
      <c r="D642" s="82" t="s">
        <v>1370</v>
      </c>
      <c r="E642" s="72">
        <f>SUMIF(Adat!$AG:$AG,CONCATENATE(61,$M$4,"0940921",L627),Adat!$E:$E)*-1</f>
        <v>0</v>
      </c>
      <c r="F642" s="72">
        <f>SUMIF(Adat!$AG:$AG,CONCATENATE(60,$M$4,"0940921",L627),Adat!$E:$E)*-1+E642</f>
        <v>0</v>
      </c>
      <c r="G642" s="72">
        <f>SUMIF(Adat!$AH:$AH,CONCATENATE($M$4,"(KÖT)","0940921",L627),Adat!$E:$E)*-1</f>
        <v>0</v>
      </c>
      <c r="H642" s="72">
        <f>SUMIF(Adat!$AH:$AH,CONCATENATE($M$4,"(ÖNV)","0940921",L627),Adat!$E:$E)*-1</f>
        <v>0</v>
      </c>
      <c r="I642" s="72">
        <f>SUMIF(Adat!$AH:$AH,CONCATENATE($M$4,"(ÁIG)","0940921",L627),Adat!$E:$E)*-1</f>
        <v>0</v>
      </c>
    </row>
    <row r="643" spans="2:9" x14ac:dyDescent="0.2">
      <c r="B643" s="160">
        <v>14</v>
      </c>
      <c r="C643" s="305" t="s">
        <v>1296</v>
      </c>
      <c r="D643" s="82" t="s">
        <v>1371</v>
      </c>
      <c r="E643" s="72">
        <f>SUMIF(Adat!$AG:$AG,CONCATENATE(61,$M$4,"094101",L627),Adat!$E:$E)*-1</f>
        <v>0</v>
      </c>
      <c r="F643" s="72">
        <f>SUMIF(Adat!$AG:$AG,CONCATENATE(60,$M$4,"094101",L627),Adat!$E:$E)*-1+E643</f>
        <v>0</v>
      </c>
      <c r="G643" s="72">
        <f>SUMIF(Adat!$AH:$AH,CONCATENATE($M$4,"(KÖT)","094101",L627),Adat!$E:$E)*-1</f>
        <v>0</v>
      </c>
      <c r="H643" s="72">
        <f>SUMIF(Adat!$AH:$AH,CONCATENATE($M$4,"(ÖNV)","094101",L627),Adat!$E:$E)*-1</f>
        <v>0</v>
      </c>
      <c r="I643" s="72">
        <f>SUMIF(Adat!$AH:$AH,CONCATENATE($M$4,"(ÁIG)","094101",L627),Adat!$E:$E)*-1</f>
        <v>0</v>
      </c>
    </row>
    <row r="644" spans="2:9" x14ac:dyDescent="0.25">
      <c r="B644" s="160">
        <v>15</v>
      </c>
      <c r="C644" s="305" t="s">
        <v>1297</v>
      </c>
      <c r="D644" s="84" t="s">
        <v>1372</v>
      </c>
      <c r="E644" s="72">
        <f>SUMIF(Adat!$AG:$AG,CONCATENATE(61,$M$4,"094111",L627),Adat!$E:$E)*-1</f>
        <v>0</v>
      </c>
      <c r="F644" s="72">
        <f>SUMIF(Adat!$AG:$AG,CONCATENATE(60,$M$4,"094111",L627),Adat!$E:$E)*-1+E644</f>
        <v>0</v>
      </c>
      <c r="G644" s="72">
        <f>SUMIF(Adat!$AH:$AH,CONCATENATE($M$4,"(KÖT)","094111",L627),Adat!$E:$E)*-1</f>
        <v>0</v>
      </c>
      <c r="H644" s="72">
        <f>SUMIF(Adat!$AH:$AH,CONCATENATE($M$4,"(ÖNV)","094111",L627),Adat!$E:$E)*-1</f>
        <v>0</v>
      </c>
      <c r="I644" s="72">
        <f>SUMIF(Adat!$AH:$AH,CONCATENATE($M$4,"(ÁIG)","094111",L627),Adat!$E:$E)*-1</f>
        <v>0</v>
      </c>
    </row>
    <row r="645" spans="2:9" x14ac:dyDescent="0.25">
      <c r="B645" s="160">
        <v>16</v>
      </c>
      <c r="C645" s="78" t="s">
        <v>1328</v>
      </c>
      <c r="D645" s="85" t="s">
        <v>437</v>
      </c>
      <c r="E645" s="121">
        <f>SUM(E646:E648)</f>
        <v>0</v>
      </c>
      <c r="F645" s="121">
        <f>SUM(F646:F648)</f>
        <v>0</v>
      </c>
      <c r="G645" s="121">
        <f>SUM(G646:G648)</f>
        <v>0</v>
      </c>
      <c r="H645" s="121">
        <f>SUM(H646:H648)</f>
        <v>0</v>
      </c>
      <c r="I645" s="121">
        <f>SUM(I646:I648)</f>
        <v>0</v>
      </c>
    </row>
    <row r="646" spans="2:9" x14ac:dyDescent="0.2">
      <c r="B646" s="160">
        <v>17</v>
      </c>
      <c r="C646" s="305" t="s">
        <v>1329</v>
      </c>
      <c r="D646" s="82" t="s">
        <v>1330</v>
      </c>
      <c r="E646" s="72">
        <f>SUMIF(Adat!$AG:$AG,CONCATENATE(61,$M$4,"09121",L627),Adat!$E:$E)*-1</f>
        <v>0</v>
      </c>
      <c r="F646" s="72">
        <f>SUMIF(Adat!$AG:$AG,CONCATENATE(60,$M$4,"09121",L627),Adat!$E:$E)*-1+E646</f>
        <v>0</v>
      </c>
      <c r="G646" s="72">
        <f>SUMIF(Adat!$AH:$AH,CONCATENATE($M$4,"(KÖT)","09121",L627),Adat!$E:$E)*-1</f>
        <v>0</v>
      </c>
      <c r="H646" s="72">
        <f>SUMIF(Adat!$AH:$AH,CONCATENATE($M$4,"(ÖNV)","09121",L627),Adat!$E:$E)*-1</f>
        <v>0</v>
      </c>
      <c r="I646" s="72">
        <f>SUMIF(Adat!$AH:$AH,CONCATENATE($M$4,"(ÁIG)","09121",L627),Adat!$E:$E)*-1</f>
        <v>0</v>
      </c>
    </row>
    <row r="647" spans="2:9" x14ac:dyDescent="0.2">
      <c r="B647" s="160">
        <v>18</v>
      </c>
      <c r="C647" s="305" t="s">
        <v>1335</v>
      </c>
      <c r="D647" s="82" t="s">
        <v>1336</v>
      </c>
      <c r="E647" s="72">
        <f>SUMIF(Adat!$AG:$AG,CONCATENATE(61,$M$4,"09151",L627),Adat!$E:$E)*-1</f>
        <v>0</v>
      </c>
      <c r="F647" s="72">
        <f>SUMIF(Adat!$AG:$AG,CONCATENATE(60,$M$4,"09151",L627),Adat!$E:$E)*-1+E647</f>
        <v>0</v>
      </c>
      <c r="G647" s="72">
        <f>SUMIF(Adat!$AH:$AH,CONCATENATE($M$4,"(KÖT)","09151",L627),Adat!$E:$E)*-1</f>
        <v>0</v>
      </c>
      <c r="H647" s="72">
        <f>SUMIF(Adat!$AH:$AH,CONCATENATE($M$4,"(ÖNV)","09151",L627),Adat!$E:$E)*-1</f>
        <v>0</v>
      </c>
      <c r="I647" s="72">
        <f>SUMIF(Adat!$AH:$AH,CONCATENATE($M$4,"(ÁIG)","09151",L627),Adat!$E:$E)*-1</f>
        <v>0</v>
      </c>
    </row>
    <row r="648" spans="2:9" x14ac:dyDescent="0.2">
      <c r="B648" s="160">
        <v>19</v>
      </c>
      <c r="C648" s="305" t="s">
        <v>1278</v>
      </c>
      <c r="D648" s="82" t="s">
        <v>1337</v>
      </c>
      <c r="E648" s="72">
        <f>SUMIF(Adat!$AG:$AG,CONCATENATE(61,$M$4,"09161",L627),Adat!$E:$E)*-1</f>
        <v>0</v>
      </c>
      <c r="F648" s="72">
        <f>SUMIF(Adat!$AG:$AG,CONCATENATE(60,$M$4,"09161",L627),Adat!$E:$E)*-1+E648</f>
        <v>0</v>
      </c>
      <c r="G648" s="72">
        <f>SUMIF(Adat!$AH:$AH,CONCATENATE($M$4,"(KÖT)","09161",L627),Adat!$E:$E)*-1</f>
        <v>0</v>
      </c>
      <c r="H648" s="72">
        <f>SUMIF(Adat!$AH:$AH,CONCATENATE($M$4,"(ÖNV)","09161",L627),Adat!$E:$E)*-1</f>
        <v>0</v>
      </c>
      <c r="I648" s="72">
        <f>SUMIF(Adat!$AH:$AH,CONCATENATE($M$4,"(ÁIG)","09161",L627),Adat!$E:$E)*-1</f>
        <v>0</v>
      </c>
    </row>
    <row r="649" spans="2:9" x14ac:dyDescent="0.25">
      <c r="B649" s="160">
        <v>20</v>
      </c>
      <c r="C649" s="79" t="s">
        <v>27</v>
      </c>
      <c r="D649" s="79" t="s">
        <v>328</v>
      </c>
      <c r="E649" s="71">
        <f>SUMIF(Adat!$AI:$AI,CONCATENATE(61,$M$4,"093",L627),Adat!$E:$E)*-1</f>
        <v>0</v>
      </c>
      <c r="F649" s="71">
        <f>SUMIF(Adat!$AI:$AI,CONCATENATE(60,$M$4,"093",L627),Adat!$E:$E)*-1+E649</f>
        <v>0</v>
      </c>
      <c r="G649" s="71">
        <f>SUMIF(Adat!$AJ:$AJ,CONCATENATE($M$4,"093","(KÖT)",L627),Adat!$E:$E)*-1</f>
        <v>0</v>
      </c>
      <c r="H649" s="71">
        <f>SUMIF(Adat!$AJ:$AJ,CONCATENATE($M$4,"093","(ÖNV)",L627),Adat!$E:$E)*-1</f>
        <v>0</v>
      </c>
      <c r="I649" s="71">
        <f>SUMIF(Adat!$AJ:$AJ,CONCATENATE($M$4,"093","(ÁIG)",L627),Adat!$E:$E)*-1</f>
        <v>0</v>
      </c>
    </row>
    <row r="650" spans="2:9" x14ac:dyDescent="0.25">
      <c r="B650" s="160">
        <v>21</v>
      </c>
      <c r="C650" s="79" t="s">
        <v>24</v>
      </c>
      <c r="D650" s="79" t="s">
        <v>449</v>
      </c>
      <c r="E650" s="121">
        <f>SUM(E651:E653)</f>
        <v>0</v>
      </c>
      <c r="F650" s="121">
        <f t="shared" ref="F650:I650" si="41">SUM(F651:F653)</f>
        <v>0</v>
      </c>
      <c r="G650" s="121">
        <f t="shared" si="41"/>
        <v>0</v>
      </c>
      <c r="H650" s="121">
        <f t="shared" si="41"/>
        <v>0</v>
      </c>
      <c r="I650" s="121">
        <f t="shared" si="41"/>
        <v>0</v>
      </c>
    </row>
    <row r="651" spans="2:9" x14ac:dyDescent="0.2">
      <c r="B651" s="160">
        <v>22</v>
      </c>
      <c r="C651" s="305" t="s">
        <v>1339</v>
      </c>
      <c r="D651" s="82" t="s">
        <v>1340</v>
      </c>
      <c r="E651" s="72">
        <f>SUMIF(Adat!$AG:$AG,CONCATENATE(61,$M$4,"09211",L627),Adat!$E:$E)*-1</f>
        <v>0</v>
      </c>
      <c r="F651" s="72">
        <f>SUMIF(Adat!$AG:$AG,CONCATENATE(60,$M$4,"09211",L627),Adat!$E:$E)*-1+E651</f>
        <v>0</v>
      </c>
      <c r="G651" s="72">
        <f>SUMIF(Adat!$AH:$AH,CONCATENATE($M$4,"(KÖT)","09211",L627),Adat!$E:$E)*-1</f>
        <v>0</v>
      </c>
      <c r="H651" s="72">
        <f>SUMIF(Adat!$AH:$AH,CONCATENATE($M$4,"(ÖNV)","09211",L627),Adat!$E:$E)*-1</f>
        <v>0</v>
      </c>
      <c r="I651" s="72">
        <f>SUMIF(Adat!$AH:$AH,CONCATENATE($M$4,"(ÁIG)","09211",L627),Adat!$E:$E)*-1</f>
        <v>0</v>
      </c>
    </row>
    <row r="652" spans="2:9" x14ac:dyDescent="0.2">
      <c r="B652" s="160">
        <v>23</v>
      </c>
      <c r="C652" s="305" t="s">
        <v>1345</v>
      </c>
      <c r="D652" s="82" t="s">
        <v>1346</v>
      </c>
      <c r="E652" s="72">
        <f>SUMIF(Adat!$AG:$AG,CONCATENATE(61,$M$4,"09241",L627),Adat!$E:$E)*-1</f>
        <v>0</v>
      </c>
      <c r="F652" s="72">
        <f>SUMIF(Adat!$AG:$AG,CONCATENATE(60,$M$4,"09241",L627),Adat!$E:$E)*-1+E652</f>
        <v>0</v>
      </c>
      <c r="G652" s="72">
        <f>SUMIF(Adat!$AH:$AH,CONCATENATE($M$4,"(KÖT)","09241",L627),Adat!$E:$E)*-1</f>
        <v>0</v>
      </c>
      <c r="H652" s="72">
        <f>SUMIF(Adat!$AH:$AH,CONCATENATE($M$4,"(ÖNV)","09241",L627),Adat!$E:$E)*-1</f>
        <v>0</v>
      </c>
      <c r="I652" s="72">
        <f>SUMIF(Adat!$AH:$AH,CONCATENATE($M$4,"(ÁIG)","09241",L627),Adat!$E:$E)*-1</f>
        <v>0</v>
      </c>
    </row>
    <row r="653" spans="2:9" x14ac:dyDescent="0.2">
      <c r="B653" s="160">
        <v>24</v>
      </c>
      <c r="C653" s="305" t="s">
        <v>1255</v>
      </c>
      <c r="D653" s="82" t="s">
        <v>1347</v>
      </c>
      <c r="E653" s="72">
        <f>SUMIF(Adat!$AG:$AG,CONCATENATE(61,$M$4,"09251",L627),Adat!$E:$E)*-1</f>
        <v>0</v>
      </c>
      <c r="F653" s="72">
        <f>SUMIF(Adat!$AG:$AG,CONCATENATE(60,$M$4,"09251",L627),Adat!$E:$E)*-1+E653</f>
        <v>0</v>
      </c>
      <c r="G653" s="72">
        <f>SUMIF(Adat!$AH:$AH,CONCATENATE($M$4,"(KÖT)","09251",L627),Adat!$E:$E)*-1</f>
        <v>0</v>
      </c>
      <c r="H653" s="72">
        <f>SUMIF(Adat!$AH:$AH,CONCATENATE($M$4,"(ÖNV)","09251",L627),Adat!$E:$E)*-1</f>
        <v>0</v>
      </c>
      <c r="I653" s="72">
        <f>SUMIF(Adat!$AH:$AH,CONCATENATE($M$4,"(ÁIG)","09251",L627),Adat!$E:$E)*-1</f>
        <v>0</v>
      </c>
    </row>
    <row r="654" spans="2:9" x14ac:dyDescent="0.25">
      <c r="B654" s="160">
        <v>25</v>
      </c>
      <c r="C654" s="79" t="s">
        <v>33</v>
      </c>
      <c r="D654" s="79" t="s">
        <v>330</v>
      </c>
      <c r="E654" s="121">
        <f>SUM(E655:E657)</f>
        <v>0</v>
      </c>
      <c r="F654" s="121">
        <f t="shared" ref="F654:I654" si="42">SUM(F655:F657)</f>
        <v>0</v>
      </c>
      <c r="G654" s="121">
        <f t="shared" si="42"/>
        <v>0</v>
      </c>
      <c r="H654" s="121">
        <f t="shared" si="42"/>
        <v>0</v>
      </c>
      <c r="I654" s="121">
        <f t="shared" si="42"/>
        <v>0</v>
      </c>
    </row>
    <row r="655" spans="2:9" x14ac:dyDescent="0.2">
      <c r="B655" s="160">
        <v>26</v>
      </c>
      <c r="C655" s="305" t="s">
        <v>1373</v>
      </c>
      <c r="D655" s="82" t="s">
        <v>1374</v>
      </c>
      <c r="E655" s="72">
        <f>SUMIF(Adat!$AG:$AG,CONCATENATE(61,$M$4,"09511",L627),Adat!$E:$E)*-1</f>
        <v>0</v>
      </c>
      <c r="F655" s="72">
        <f>SUMIF(Adat!$AG:$AG,CONCATENATE(60,$M$4,"09511",L627),Adat!$E:$E)*-1+E655</f>
        <v>0</v>
      </c>
      <c r="G655" s="72">
        <f>SUMIF(Adat!$AH:$AH,CONCATENATE($M$4,"(KÖT)","09511",L627),Adat!$E:$E)*-1</f>
        <v>0</v>
      </c>
      <c r="H655" s="72">
        <f>SUMIF(Adat!$AH:$AH,CONCATENATE($M$4,"(ÖNV)","09511",L627),Adat!$E:$E)*-1</f>
        <v>0</v>
      </c>
      <c r="I655" s="72">
        <f>SUMIF(Adat!$AH:$AH,CONCATENATE($M$4,"(ÁIG)","09511",L627),Adat!$E:$E)*-1</f>
        <v>0</v>
      </c>
    </row>
    <row r="656" spans="2:9" x14ac:dyDescent="0.2">
      <c r="B656" s="160">
        <v>27</v>
      </c>
      <c r="C656" s="305" t="s">
        <v>1294</v>
      </c>
      <c r="D656" s="82" t="s">
        <v>1375</v>
      </c>
      <c r="E656" s="72">
        <f>SUMIF(Adat!$AG:$AG,CONCATENATE(61,$M$4,"09521",L627),Adat!$E:$E)*-1</f>
        <v>0</v>
      </c>
      <c r="F656" s="72">
        <f>SUMIF(Adat!$AG:$AG,CONCATENATE(60,$M$4,"09521",L627),Adat!$E:$E)*-1+E656</f>
        <v>0</v>
      </c>
      <c r="G656" s="72">
        <f>SUMIF(Adat!$AH:$AH,CONCATENATE($M$4,"(KÖT)","09521",L627),Adat!$E:$E)*-1</f>
        <v>0</v>
      </c>
      <c r="H656" s="72">
        <f>SUMIF(Adat!$AH:$AH,CONCATENATE($M$4,"(ÖNV)","09521",L627),Adat!$E:$E)*-1</f>
        <v>0</v>
      </c>
      <c r="I656" s="72">
        <f>SUMIF(Adat!$AH:$AH,CONCATENATE($M$4,"(ÁIG)","09521",L627),Adat!$E:$E)*-1</f>
        <v>0</v>
      </c>
    </row>
    <row r="657" spans="2:12" x14ac:dyDescent="0.2">
      <c r="B657" s="160">
        <v>28</v>
      </c>
      <c r="C657" s="305" t="s">
        <v>1376</v>
      </c>
      <c r="D657" s="82" t="s">
        <v>1377</v>
      </c>
      <c r="E657" s="72">
        <f>SUMIF(Adat!$AG:$AG,CONCATENATE(61,$M$4,"09531",L627),Adat!$E:$E)*-1</f>
        <v>0</v>
      </c>
      <c r="F657" s="72">
        <f>SUMIF(Adat!$AG:$AG,CONCATENATE(60,$M$4,"09531",L627),Adat!$E:$E)*-1+E657</f>
        <v>0</v>
      </c>
      <c r="G657" s="72">
        <f>SUMIF(Adat!$AH:$AH,CONCATENATE($M$4,"(KÖT)","09531",L627),Adat!$E:$E)*-1</f>
        <v>0</v>
      </c>
      <c r="H657" s="72">
        <f>SUMIF(Adat!$AH:$AH,CONCATENATE($M$4,"(ÖNV)","09531",L627),Adat!$E:$E)*-1</f>
        <v>0</v>
      </c>
      <c r="I657" s="72">
        <f>SUMIF(Adat!$AH:$AH,CONCATENATE($M$4,"(ÁIG)","09531",L627),Adat!$E:$E)*-1</f>
        <v>0</v>
      </c>
    </row>
    <row r="658" spans="2:12" x14ac:dyDescent="0.25">
      <c r="B658" s="160">
        <v>29</v>
      </c>
      <c r="C658" s="79" t="s">
        <v>36</v>
      </c>
      <c r="D658" s="79" t="s">
        <v>331</v>
      </c>
      <c r="E658" s="71">
        <f>SUMIF(Adat!$AI:$AI,CONCATENATE(61,$M$4,"096",L627),Adat!$E:$E)*-1</f>
        <v>0</v>
      </c>
      <c r="F658" s="71">
        <f>SUMIF(Adat!$AI:$AI,CONCATENATE(60,$M$4,"096",L627),Adat!$E:$E)*-1+E658</f>
        <v>0</v>
      </c>
      <c r="G658" s="71">
        <f>SUMIF(Adat!$AJ:$AJ,CONCATENATE($M$4,"096","(KÖT)",L627),Adat!$E:$E)*-1</f>
        <v>0</v>
      </c>
      <c r="H658" s="71">
        <f>SUMIF(Adat!$AJ:$AJ,CONCATENATE($M$4,"096","(ÖNV)",L627),Adat!$E:$E)*-1</f>
        <v>0</v>
      </c>
      <c r="I658" s="71">
        <f>SUMIF(Adat!$AJ:$AJ,CONCATENATE($M$4,"096","(ÁIG)",L627),Adat!$E:$E)*-1</f>
        <v>0</v>
      </c>
    </row>
    <row r="659" spans="2:12" x14ac:dyDescent="0.25">
      <c r="B659" s="160">
        <v>30</v>
      </c>
      <c r="C659" s="79" t="s">
        <v>38</v>
      </c>
      <c r="D659" s="85" t="s">
        <v>332</v>
      </c>
      <c r="E659" s="71">
        <f>SUMIF(Adat!$AI:$AI,CONCATENATE(61,$M$4,"097",L627),Adat!$E:$E)*-1</f>
        <v>0</v>
      </c>
      <c r="F659" s="71">
        <f>SUMIF(Adat!$AI:$AI,CONCATENATE(60,$M$4,"097",L627),Adat!$E:$E)*-1+E659</f>
        <v>0</v>
      </c>
      <c r="G659" s="71">
        <f>SUMIF(Adat!$AJ:$AJ,CONCATENATE($M$4,"097","(KÖT)",L627),Adat!$E:$E)*-1</f>
        <v>0</v>
      </c>
      <c r="H659" s="71">
        <f>SUMIF(Adat!$AJ:$AJ,CONCATENATE($M$4,"097","(ÖNV)",L627),Adat!$E:$E)*-1</f>
        <v>0</v>
      </c>
      <c r="I659" s="71">
        <f>SUMIF(Adat!$AJ:$AJ,CONCATENATE($M$4,"097","(ÁIG)",L627),Adat!$E:$E)*-1</f>
        <v>0</v>
      </c>
    </row>
    <row r="660" spans="2:12" x14ac:dyDescent="0.25">
      <c r="B660" s="160">
        <v>31</v>
      </c>
      <c r="C660" s="154" t="s">
        <v>352</v>
      </c>
      <c r="D660" s="86" t="s">
        <v>1500</v>
      </c>
      <c r="E660" s="121">
        <f>E631+E645+E649+E650+E654+E658+E659</f>
        <v>0</v>
      </c>
      <c r="F660" s="121">
        <f>F631+F645+F649+F650+F654+F658+F659</f>
        <v>0</v>
      </c>
      <c r="G660" s="121">
        <f>G631+G645+G649+G650+G654+G658+G659</f>
        <v>0</v>
      </c>
      <c r="H660" s="121">
        <f>H631+H645+H649+H650+H654+H658+H659</f>
        <v>0</v>
      </c>
      <c r="I660" s="121">
        <f>I631+I645+I649+I650+I654+I658+I659</f>
        <v>0</v>
      </c>
    </row>
    <row r="661" spans="2:12" x14ac:dyDescent="0.25">
      <c r="B661" s="160">
        <v>32</v>
      </c>
      <c r="C661" s="154" t="s">
        <v>358</v>
      </c>
      <c r="D661" s="86" t="s">
        <v>333</v>
      </c>
      <c r="E661" s="121">
        <f>SUM(E662:E664)</f>
        <v>0</v>
      </c>
      <c r="F661" s="121">
        <f t="shared" ref="F661:I661" si="43">SUM(F662:F664)</f>
        <v>0</v>
      </c>
      <c r="G661" s="121">
        <f t="shared" si="43"/>
        <v>0</v>
      </c>
      <c r="H661" s="121">
        <f t="shared" si="43"/>
        <v>0</v>
      </c>
      <c r="I661" s="121">
        <f t="shared" si="43"/>
        <v>0</v>
      </c>
    </row>
    <row r="662" spans="2:12" x14ac:dyDescent="0.2">
      <c r="B662" s="160">
        <v>33</v>
      </c>
      <c r="C662" s="305" t="s">
        <v>1274</v>
      </c>
      <c r="D662" s="82" t="s">
        <v>1419</v>
      </c>
      <c r="E662" s="72">
        <f>SUMIF(Adat!$AG:$AG,CONCATENATE(61,$M$4,"0981311",L627),Adat!$E:$E)*-1</f>
        <v>0</v>
      </c>
      <c r="F662" s="72">
        <f>SUMIF(Adat!$AG:$AG,CONCATENATE(60,$M$4,"0981311",L627),Adat!$E:$E)*-1+E662</f>
        <v>0</v>
      </c>
      <c r="G662" s="72">
        <f>SUMIF(Adat!$AH:$AH,CONCATENATE($M$4,"(KÖT)","0981311",L627),Adat!$E:$E)*-1</f>
        <v>0</v>
      </c>
      <c r="H662" s="72">
        <f>SUMIF(Adat!$AH:$AH,CONCATENATE($M$4,"(ÖNV)","0981311",L627),Adat!$E:$E)*-1</f>
        <v>0</v>
      </c>
      <c r="I662" s="72">
        <f>SUMIF(Adat!$AH:$AH,CONCATENATE($M$4,"(ÁIG)","0981311",L627),Adat!$E:$E)*-1</f>
        <v>0</v>
      </c>
    </row>
    <row r="663" spans="2:12" x14ac:dyDescent="0.25">
      <c r="B663" s="160">
        <v>34</v>
      </c>
      <c r="C663" s="305" t="s">
        <v>1420</v>
      </c>
      <c r="D663" s="84" t="s">
        <v>1421</v>
      </c>
      <c r="E663" s="72">
        <f>SUMIF(Adat!$AG:$AG,CONCATENATE(61,$M$4,"0981321",L627),Adat!$E:$E)*-1</f>
        <v>0</v>
      </c>
      <c r="F663" s="72">
        <f>SUMIF(Adat!$AG:$AG,CONCATENATE(60,$M$4,"0981321",L627),Adat!$E:$E)*-1+E663</f>
        <v>0</v>
      </c>
      <c r="G663" s="72">
        <f>SUMIF(Adat!$AH:$AH,CONCATENATE($M$4,"(KÖT)","0981321",L627),Adat!$E:$E)*-1</f>
        <v>0</v>
      </c>
      <c r="H663" s="72">
        <f>SUMIF(Adat!$AH:$AH,CONCATENATE($M$4,"(ÖNV)","0981321",L627),Adat!$E:$E)*-1</f>
        <v>0</v>
      </c>
      <c r="I663" s="72">
        <f>SUMIF(Adat!$AH:$AH,CONCATENATE($M$4,"(ÁIG)","0981321",L627),Adat!$E:$E)*-1</f>
        <v>0</v>
      </c>
    </row>
    <row r="664" spans="2:12" x14ac:dyDescent="0.25">
      <c r="B664" s="160">
        <v>35</v>
      </c>
      <c r="C664" s="319" t="s">
        <v>1275</v>
      </c>
      <c r="D664" s="84" t="s">
        <v>1501</v>
      </c>
      <c r="E664" s="72">
        <f>SUMIF(Adat!$AG:$AG,CONCATENATE(61,$M$4,"098161",L627),Adat!$E:$E)*-1</f>
        <v>0</v>
      </c>
      <c r="F664" s="72">
        <f>SUMIF(Adat!$AG:$AG,CONCATENATE(60,$M$4,"098161",L627),Adat!$E:$E)*-1+E664</f>
        <v>0</v>
      </c>
      <c r="G664" s="72">
        <f>SUMIF(Adat!$AH:$AH,CONCATENATE($M$4,"(KÖT)","098161",L627),Adat!$E:$E)*-1</f>
        <v>0</v>
      </c>
      <c r="H664" s="72">
        <f>SUMIF(Adat!$AH:$AH,CONCATENATE($M$4,"(ÖNV)","098161",L627),Adat!$E:$E)*-1</f>
        <v>0</v>
      </c>
      <c r="I664" s="72">
        <f>SUMIF(Adat!$AH:$AH,CONCATENATE($M$4,"(ÁIG)","098161",L627),Adat!$E:$E)*-1</f>
        <v>0</v>
      </c>
    </row>
    <row r="665" spans="2:12" x14ac:dyDescent="0.25">
      <c r="B665" s="160">
        <v>36</v>
      </c>
      <c r="C665" s="154" t="s">
        <v>364</v>
      </c>
      <c r="D665" s="159" t="s">
        <v>1502</v>
      </c>
      <c r="E665" s="121">
        <f>+E660+E661</f>
        <v>0</v>
      </c>
      <c r="F665" s="121">
        <f>+F660+F661</f>
        <v>0</v>
      </c>
      <c r="G665" s="121">
        <f>+G660+G661</f>
        <v>0</v>
      </c>
      <c r="H665" s="121">
        <f>+H660+H661</f>
        <v>0</v>
      </c>
      <c r="I665" s="121">
        <f>+I660+I661</f>
        <v>0</v>
      </c>
    </row>
    <row r="666" spans="2:12" ht="15.75" x14ac:dyDescent="0.25">
      <c r="B666" s="38"/>
      <c r="C666" s="156"/>
      <c r="D666" s="38"/>
      <c r="E666" s="140"/>
      <c r="F666" s="140"/>
      <c r="G666" s="140"/>
      <c r="H666" s="140"/>
      <c r="I666" s="140"/>
    </row>
    <row r="667" spans="2:12" s="10" customFormat="1" ht="15.75" customHeight="1" x14ac:dyDescent="0.25">
      <c r="B667" s="201" t="str">
        <f>CONCATENATE("22. Kiadási jogcímek"," - ",L667," részletező")</f>
        <v>22. Kiadási jogcímek -  részletező</v>
      </c>
      <c r="C667" s="101"/>
      <c r="D667" s="101"/>
      <c r="E667" s="101"/>
      <c r="F667" s="101"/>
      <c r="G667" s="198"/>
      <c r="H667" s="198"/>
      <c r="I667" s="198"/>
      <c r="L667" s="384"/>
    </row>
    <row r="668" spans="2:12" ht="15.75" x14ac:dyDescent="0.25">
      <c r="B668" s="38"/>
      <c r="C668" s="156"/>
      <c r="D668" s="38"/>
      <c r="E668" s="140"/>
      <c r="F668" s="140"/>
      <c r="G668" s="140"/>
      <c r="H668" s="140"/>
      <c r="I668" s="140"/>
    </row>
    <row r="669" spans="2:12" x14ac:dyDescent="0.25">
      <c r="B669" s="77"/>
      <c r="C669" s="77" t="s">
        <v>350</v>
      </c>
      <c r="D669" s="77" t="s">
        <v>351</v>
      </c>
      <c r="E669" s="77" t="s">
        <v>470</v>
      </c>
      <c r="F669" s="77" t="s">
        <v>471</v>
      </c>
      <c r="G669" s="77" t="s">
        <v>44</v>
      </c>
      <c r="H669" s="77" t="s">
        <v>42</v>
      </c>
      <c r="I669" s="77" t="s">
        <v>511</v>
      </c>
    </row>
    <row r="670" spans="2:12" ht="38.25" x14ac:dyDescent="0.25">
      <c r="B670" s="160">
        <v>1</v>
      </c>
      <c r="C670" s="154" t="s">
        <v>593</v>
      </c>
      <c r="D670" s="154" t="s">
        <v>488</v>
      </c>
      <c r="E670" s="163" t="str">
        <f>CONCATENATE(PAR!$H$3," évi
eredeti 
előirányzat")</f>
        <v>2025. évi
eredeti 
előirányzat</v>
      </c>
      <c r="F670" s="163" t="str">
        <f>CONCATENATE(PAR!$H$3," évi
módosított 
előirányzat")</f>
        <v>2025. évi
módosított 
előirányzat</v>
      </c>
      <c r="G670" s="78" t="s">
        <v>666</v>
      </c>
      <c r="H670" s="78" t="s">
        <v>667</v>
      </c>
      <c r="I670" s="78" t="s">
        <v>668</v>
      </c>
    </row>
    <row r="671" spans="2:12" x14ac:dyDescent="0.25">
      <c r="B671" s="160">
        <v>2</v>
      </c>
      <c r="C671" s="78" t="s">
        <v>352</v>
      </c>
      <c r="D671" s="92" t="s">
        <v>1444</v>
      </c>
      <c r="E671" s="121">
        <f>SUM(E672:E676)</f>
        <v>0</v>
      </c>
      <c r="F671" s="121">
        <f>SUM(F672:F676)</f>
        <v>0</v>
      </c>
      <c r="G671" s="121">
        <f>SUM(G672:G676)</f>
        <v>0</v>
      </c>
      <c r="H671" s="121">
        <f>SUM(H672:H676)</f>
        <v>0</v>
      </c>
      <c r="I671" s="121">
        <f>SUM(I672:I676)</f>
        <v>0</v>
      </c>
    </row>
    <row r="672" spans="2:12" x14ac:dyDescent="0.25">
      <c r="B672" s="160">
        <v>3</v>
      </c>
      <c r="C672" s="305" t="s">
        <v>315</v>
      </c>
      <c r="D672" s="93" t="s">
        <v>342</v>
      </c>
      <c r="E672" s="72">
        <f>SUMIF(Adat!$AI:$AI,CONCATENATE(61,$M$4,"051",L667),Adat!$E:$E)</f>
        <v>0</v>
      </c>
      <c r="F672" s="72">
        <f>SUMIF(Adat!$AI:$AI,CONCATENATE(60,$M$4,"051",L667),Adat!$E:$E)+E672</f>
        <v>0</v>
      </c>
      <c r="G672" s="72">
        <f>SUMIF(Adat!$AJ:$AJ,CONCATENATE($M$4,"051","(KÖT)",L667),Adat!$E:$E)</f>
        <v>0</v>
      </c>
      <c r="H672" s="72">
        <f>SUMIF(Adat!$AJ:$AJ,CONCATENATE($M$4,"051","(ÖNV)",L667),Adat!$E:$E)</f>
        <v>0</v>
      </c>
      <c r="I672" s="72">
        <f>SUMIF(Adat!$AJ:$AJ,CONCATENATE($M$4,"051","(ÁIG)",L667),Adat!$E:$E)</f>
        <v>0</v>
      </c>
    </row>
    <row r="673" spans="2:9" x14ac:dyDescent="0.25">
      <c r="B673" s="160">
        <v>4</v>
      </c>
      <c r="C673" s="305" t="s">
        <v>317</v>
      </c>
      <c r="D673" s="93" t="s">
        <v>395</v>
      </c>
      <c r="E673" s="72">
        <f>SUMIF(Adat!$AI:$AI,CONCATENATE(61,$M$4,"052",L667),Adat!$E:$E)</f>
        <v>0</v>
      </c>
      <c r="F673" s="72">
        <f>SUMIF(Adat!$AI:$AI,CONCATENATE(60,$M$4,"052",L667),Adat!$E:$E)+E673</f>
        <v>0</v>
      </c>
      <c r="G673" s="72">
        <f>SUMIF(Adat!$AJ:$AJ,CONCATENATE($M$4,"052","(KÖT)",L667),Adat!$E:$E)</f>
        <v>0</v>
      </c>
      <c r="H673" s="72">
        <f>SUMIF(Adat!$AJ:$AJ,CONCATENATE($M$4,"052","(ÖNV)",L667),Adat!$E:$E)</f>
        <v>0</v>
      </c>
      <c r="I673" s="72">
        <f>SUMIF(Adat!$AJ:$AJ,CONCATENATE($M$4,"052","(ÁIG)",L667),Adat!$E:$E)</f>
        <v>0</v>
      </c>
    </row>
    <row r="674" spans="2:9" x14ac:dyDescent="0.25">
      <c r="B674" s="160">
        <v>5</v>
      </c>
      <c r="C674" s="305" t="s">
        <v>4</v>
      </c>
      <c r="D674" s="93" t="s">
        <v>344</v>
      </c>
      <c r="E674" s="72">
        <f>SUMIF(Adat!$AI:$AI,CONCATENATE(61,$M$4,"053",L667),Adat!$E:$E)</f>
        <v>0</v>
      </c>
      <c r="F674" s="72">
        <f>SUMIF(Adat!$AI:$AI,CONCATENATE(60,$M$4,"053",L667),Adat!$E:$E)+E674</f>
        <v>0</v>
      </c>
      <c r="G674" s="72">
        <f>SUMIF(Adat!$AJ:$AJ,CONCATENATE($M$4,"053","(KÖT)",L667),Adat!$E:$E)</f>
        <v>0</v>
      </c>
      <c r="H674" s="72">
        <f>SUMIF(Adat!$AJ:$AJ,CONCATENATE($M$4,"053","(ÖNV)",L667),Adat!$E:$E)</f>
        <v>0</v>
      </c>
      <c r="I674" s="72">
        <f>SUMIF(Adat!$AJ:$AJ,CONCATENATE($M$4,"053","(ÁIG)",L667),Adat!$E:$E)</f>
        <v>0</v>
      </c>
    </row>
    <row r="675" spans="2:9" x14ac:dyDescent="0.25">
      <c r="B675" s="160">
        <v>6</v>
      </c>
      <c r="C675" s="305" t="s">
        <v>6</v>
      </c>
      <c r="D675" s="93" t="s">
        <v>345</v>
      </c>
      <c r="E675" s="72">
        <f>SUMIF(Adat!$AI:$AI,CONCATENATE(61,$M$4,"054",L667),Adat!$E:$E)</f>
        <v>0</v>
      </c>
      <c r="F675" s="72">
        <f>SUMIF(Adat!$AI:$AI,CONCATENATE(60,$M$4,"054",L667),Adat!$E:$E)+E675</f>
        <v>0</v>
      </c>
      <c r="G675" s="72">
        <f>SUMIF(Adat!$AJ:$AJ,CONCATENATE($M$4,"054","(KÖT)",L667),Adat!$E:$E)</f>
        <v>0</v>
      </c>
      <c r="H675" s="72">
        <f>SUMIF(Adat!$AJ:$AJ,CONCATENATE($M$4,"054","(ÖNV)",L667),Adat!$E:$E)</f>
        <v>0</v>
      </c>
      <c r="I675" s="72">
        <f>SUMIF(Adat!$AJ:$AJ,CONCATENATE($M$4,"054","(ÁIG)",L667),Adat!$E:$E)</f>
        <v>0</v>
      </c>
    </row>
    <row r="676" spans="2:9" x14ac:dyDescent="0.25">
      <c r="B676" s="160">
        <v>7</v>
      </c>
      <c r="C676" s="305" t="s">
        <v>8</v>
      </c>
      <c r="D676" s="93" t="s">
        <v>321</v>
      </c>
      <c r="E676" s="72">
        <f>SUMIF(Adat!$AI:$AI,CONCATENATE(61,$M$4,"055",L667),Adat!$E:$E)</f>
        <v>0</v>
      </c>
      <c r="F676" s="72">
        <f>SUMIF(Adat!$AI:$AI,CONCATENATE(60,$M$4,"055",L667),Adat!$E:$E)+E676</f>
        <v>0</v>
      </c>
      <c r="G676" s="72">
        <f>SUMIF(Adat!$AJ:$AJ,CONCATENATE($M$4,"055","(KÖT)",L667),Adat!$E:$E)</f>
        <v>0</v>
      </c>
      <c r="H676" s="72">
        <f>SUMIF(Adat!$AJ:$AJ,CONCATENATE($M$4,"055","(ÖNV)",L667),Adat!$E:$E)</f>
        <v>0</v>
      </c>
      <c r="I676" s="72">
        <f>SUMIF(Adat!$AJ:$AJ,CONCATENATE($M$4,"055","(ÁIG)",L667),Adat!$E:$E)</f>
        <v>0</v>
      </c>
    </row>
    <row r="677" spans="2:9" x14ac:dyDescent="0.25">
      <c r="B677" s="160">
        <v>8</v>
      </c>
      <c r="C677" s="78" t="s">
        <v>358</v>
      </c>
      <c r="D677" s="92" t="s">
        <v>1447</v>
      </c>
      <c r="E677" s="121">
        <f>E678+E680+E682</f>
        <v>0</v>
      </c>
      <c r="F677" s="121">
        <f>F678+F680+F682</f>
        <v>0</v>
      </c>
      <c r="G677" s="121">
        <f>G678+G680+G682</f>
        <v>0</v>
      </c>
      <c r="H677" s="121">
        <f>H678+H680+H682</f>
        <v>0</v>
      </c>
      <c r="I677" s="121">
        <f>I678+I680+I682</f>
        <v>0</v>
      </c>
    </row>
    <row r="678" spans="2:9" x14ac:dyDescent="0.25">
      <c r="B678" s="160">
        <v>9</v>
      </c>
      <c r="C678" s="305" t="s">
        <v>10</v>
      </c>
      <c r="D678" s="93" t="s">
        <v>322</v>
      </c>
      <c r="E678" s="72">
        <f>SUMIF(Adat!$AI:$AI,CONCATENATE(61,$M$4,"056",L667),Adat!$E:$E)</f>
        <v>0</v>
      </c>
      <c r="F678" s="72">
        <f>SUMIF(Adat!$AI:$AI,CONCATENATE(60,$M$4,"056",L667),Adat!$E:$E)+E678</f>
        <v>0</v>
      </c>
      <c r="G678" s="72">
        <f>SUMIF(Adat!$AJ:$AJ,CONCATENATE($M$4,"056","(KÖT)",L667),Adat!$E:$E)</f>
        <v>0</v>
      </c>
      <c r="H678" s="72">
        <f>SUMIF(Adat!$AJ:$AJ,CONCATENATE($M$4,"056","(ÖNV)",L667),Adat!$E:$E)</f>
        <v>0</v>
      </c>
      <c r="I678" s="72">
        <f>SUMIF(Adat!$AJ:$AJ,CONCATENATE($M$4,"056","(ÁIG)",L667),Adat!$E:$E)</f>
        <v>0</v>
      </c>
    </row>
    <row r="679" spans="2:9" x14ac:dyDescent="0.25">
      <c r="B679" s="160">
        <v>10</v>
      </c>
      <c r="C679" s="305" t="s">
        <v>10</v>
      </c>
      <c r="D679" s="93" t="s">
        <v>1448</v>
      </c>
      <c r="E679" s="72">
        <v>0</v>
      </c>
      <c r="F679" s="72">
        <f>SUM(G679:I679)</f>
        <v>0</v>
      </c>
      <c r="G679" s="72">
        <v>0</v>
      </c>
      <c r="H679" s="72">
        <v>0</v>
      </c>
      <c r="I679" s="72">
        <v>0</v>
      </c>
    </row>
    <row r="680" spans="2:9" x14ac:dyDescent="0.25">
      <c r="B680" s="160">
        <v>11</v>
      </c>
      <c r="C680" s="305" t="s">
        <v>12</v>
      </c>
      <c r="D680" s="93" t="s">
        <v>323</v>
      </c>
      <c r="E680" s="72">
        <f>SUMIF(Adat!$AI:$AI,CONCATENATE(61,$M$4,"057",L667),Adat!$E:$E)</f>
        <v>0</v>
      </c>
      <c r="F680" s="72">
        <f>SUMIF(Adat!$AI:$AI,CONCATENATE(60,$M$4,"057",L667),Adat!$E:$E)+E680</f>
        <v>0</v>
      </c>
      <c r="G680" s="72">
        <f>SUMIF(Adat!$AJ:$AJ,CONCATENATE($M$4,"057","(KÖT)",L667),Adat!$E:$E)</f>
        <v>0</v>
      </c>
      <c r="H680" s="72">
        <f>SUMIF(Adat!$AJ:$AJ,CONCATENATE($M$4,"057","(ÖNV)",L667),Adat!$E:$E)</f>
        <v>0</v>
      </c>
      <c r="I680" s="72">
        <f>SUMIF(Adat!$AJ:$AJ,CONCATENATE($M$4,"057","(ÁIG)",L667),Adat!$E:$E)</f>
        <v>0</v>
      </c>
    </row>
    <row r="681" spans="2:9" x14ac:dyDescent="0.25">
      <c r="B681" s="160">
        <v>12</v>
      </c>
      <c r="C681" s="305" t="s">
        <v>12</v>
      </c>
      <c r="D681" s="93" t="s">
        <v>1449</v>
      </c>
      <c r="E681" s="72">
        <v>0</v>
      </c>
      <c r="F681" s="72">
        <f>SUM(G681:I681)</f>
        <v>0</v>
      </c>
      <c r="G681" s="72">
        <v>0</v>
      </c>
      <c r="H681" s="72">
        <v>0</v>
      </c>
      <c r="I681" s="72">
        <v>0</v>
      </c>
    </row>
    <row r="682" spans="2:9" x14ac:dyDescent="0.25">
      <c r="B682" s="160">
        <v>13</v>
      </c>
      <c r="C682" s="305" t="s">
        <v>15</v>
      </c>
      <c r="D682" s="84" t="s">
        <v>324</v>
      </c>
      <c r="E682" s="72">
        <f>SUMIF(Adat!$AI:$AI,CONCATENATE(61,$M$4,"058",L667),Adat!$E:$E)</f>
        <v>0</v>
      </c>
      <c r="F682" s="72">
        <f>SUMIF(Adat!$AI:$AI,CONCATENATE(60,$M$4,"058",L667),Adat!$E:$E)+E682</f>
        <v>0</v>
      </c>
      <c r="G682" s="72">
        <f>SUMIF(Adat!$AJ:$AJ,CONCATENATE($M$4,"058","(KÖT)",L667),Adat!$E:$E)</f>
        <v>0</v>
      </c>
      <c r="H682" s="72">
        <f>SUMIF(Adat!$AJ:$AJ,CONCATENATE($M$4,"058","(ÖNV)",L667),Adat!$E:$E)</f>
        <v>0</v>
      </c>
      <c r="I682" s="72">
        <f>SUMIF(Adat!$AJ:$AJ,CONCATENATE($M$4,"058","(ÁIG)",L667),Adat!$E:$E)</f>
        <v>0</v>
      </c>
    </row>
    <row r="683" spans="2:9" x14ac:dyDescent="0.25">
      <c r="B683" s="160">
        <v>14</v>
      </c>
      <c r="C683" s="154" t="s">
        <v>364</v>
      </c>
      <c r="D683" s="86" t="s">
        <v>325</v>
      </c>
      <c r="E683" s="71">
        <f>SUMIF(Adat!$AI:$AI,CONCATENATE(61,$M$4,"059",L667),Adat!$E:$E)</f>
        <v>0</v>
      </c>
      <c r="F683" s="71">
        <f>SUMIF(Adat!$AI:$AI,CONCATENATE(60,$M$4,"059",L667),Adat!$E:$E)+E683</f>
        <v>0</v>
      </c>
      <c r="G683" s="71">
        <f>SUMIF(Adat!$AJ:$AJ,CONCATENATE($M$4,"059","(KÖT)",L667),Adat!$E:$E)</f>
        <v>0</v>
      </c>
      <c r="H683" s="71">
        <f>SUMIF(Adat!$AJ:$AJ,CONCATENATE($M$4,"059","(ÖNV)",L667),Adat!$E:$E)</f>
        <v>0</v>
      </c>
      <c r="I683" s="71">
        <f>SUMIF(Adat!$AJ:$AJ,CONCATENATE($M$4,"059","(ÁIG)",L667),Adat!$E:$E)</f>
        <v>0</v>
      </c>
    </row>
    <row r="684" spans="2:9" x14ac:dyDescent="0.25">
      <c r="B684" s="160">
        <v>15</v>
      </c>
      <c r="C684" s="154" t="s">
        <v>403</v>
      </c>
      <c r="D684" s="159" t="s">
        <v>497</v>
      </c>
      <c r="E684" s="121">
        <f>E671+E677+E683</f>
        <v>0</v>
      </c>
      <c r="F684" s="121">
        <f>F671+F677+F683</f>
        <v>0</v>
      </c>
      <c r="G684" s="121">
        <f>G671+G677+G683</f>
        <v>0</v>
      </c>
      <c r="H684" s="121">
        <f>H671+H677+H683</f>
        <v>0</v>
      </c>
      <c r="I684" s="121">
        <f>I671+I677+I683</f>
        <v>0</v>
      </c>
    </row>
  </sheetData>
  <sheetProtection algorithmName="SHA-512" hashValue="eaRnd/U2hnwKDXO1GnYAWfwOX3Bqzwi0VixGf4MDhFsNPi9xAM09ekXXc/+5kl5Q3x6XWq2T7lW/6QmlqBnCpQ==" saltValue="5LxDVa1tT2ag413iYvbMiA==" spinCount="100000" sheet="1" formatCells="0" formatColumns="0" formatRows="0"/>
  <mergeCells count="34">
    <mergeCell ref="B563:I563"/>
    <mergeCell ref="C623:E623"/>
    <mergeCell ref="B624:I624"/>
    <mergeCell ref="B625:I625"/>
    <mergeCell ref="B439:I439"/>
    <mergeCell ref="C499:E499"/>
    <mergeCell ref="B500:I500"/>
    <mergeCell ref="B501:I501"/>
    <mergeCell ref="C561:E561"/>
    <mergeCell ref="B562:I562"/>
    <mergeCell ref="B438:I438"/>
    <mergeCell ref="B191:I191"/>
    <mergeCell ref="C251:E251"/>
    <mergeCell ref="B252:I252"/>
    <mergeCell ref="B253:I253"/>
    <mergeCell ref="C313:E313"/>
    <mergeCell ref="B314:I314"/>
    <mergeCell ref="B315:I315"/>
    <mergeCell ref="C375:E375"/>
    <mergeCell ref="B376:I376"/>
    <mergeCell ref="B377:I377"/>
    <mergeCell ref="C437:E437"/>
    <mergeCell ref="B190:I190"/>
    <mergeCell ref="B2:I2"/>
    <mergeCell ref="C3:E3"/>
    <mergeCell ref="B4:I4"/>
    <mergeCell ref="B5:I5"/>
    <mergeCell ref="C65:E65"/>
    <mergeCell ref="B66:I66"/>
    <mergeCell ref="B67:I67"/>
    <mergeCell ref="C127:E127"/>
    <mergeCell ref="B128:I128"/>
    <mergeCell ref="B129:I129"/>
    <mergeCell ref="C189:E18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0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3FA46-7AAA-488F-86D0-707B483F3CEA}">
  <sheetPr>
    <tabColor theme="7" tint="0.39997558519241921"/>
    <pageSetUpPr fitToPage="1"/>
  </sheetPr>
  <dimension ref="B1:R684"/>
  <sheetViews>
    <sheetView view="pageBreakPreview" topLeftCell="A27" zoomScaleSheetLayoutView="100" workbookViewId="0"/>
  </sheetViews>
  <sheetFormatPr defaultColWidth="9" defaultRowHeight="12.75" x14ac:dyDescent="0.25"/>
  <cols>
    <col min="1" max="1" width="0.875" style="35" customWidth="1"/>
    <col min="2" max="2" width="5.625" style="35" customWidth="1"/>
    <col min="3" max="3" width="7.625" style="44" customWidth="1"/>
    <col min="4" max="4" width="57.625" style="35" customWidth="1"/>
    <col min="5" max="9" width="12.625" style="35" customWidth="1"/>
    <col min="10" max="11" width="0.875" style="35" customWidth="1"/>
    <col min="12" max="12" width="5.625" style="35" customWidth="1"/>
    <col min="13" max="13" width="8.625" style="35" customWidth="1"/>
    <col min="14" max="17" width="9.125" style="35" customWidth="1"/>
    <col min="18" max="18" width="29.875" style="35" customWidth="1"/>
    <col min="19" max="16384" width="9" style="35"/>
  </cols>
  <sheetData>
    <row r="1" spans="2:14" ht="6" customHeight="1" x14ac:dyDescent="0.25"/>
    <row r="2" spans="2:14" s="37" customFormat="1" ht="15.75" x14ac:dyDescent="0.25">
      <c r="B2" s="524" t="str">
        <f>CONCATENATE(Index!C34," a(z) ",Index!E16," önkormányzati rendelethez")</f>
        <v>15. melléklet a(z) .../2025. (...) önkormányzati rendelethez</v>
      </c>
      <c r="C2" s="524"/>
      <c r="D2" s="524"/>
      <c r="E2" s="524"/>
      <c r="F2" s="524"/>
      <c r="G2" s="524"/>
      <c r="H2" s="524"/>
      <c r="I2" s="524"/>
    </row>
    <row r="3" spans="2:14" s="37" customFormat="1" ht="15.75" x14ac:dyDescent="0.25">
      <c r="C3" s="529"/>
      <c r="D3" s="529"/>
      <c r="E3" s="529"/>
      <c r="F3" s="200"/>
      <c r="G3" s="200"/>
      <c r="H3" s="200"/>
      <c r="I3" s="200"/>
    </row>
    <row r="4" spans="2:14" s="38" customFormat="1" ht="15.75" x14ac:dyDescent="0.25">
      <c r="B4" s="525" t="str">
        <f>$N$4</f>
        <v>Gondozási Központ</v>
      </c>
      <c r="C4" s="525"/>
      <c r="D4" s="525"/>
      <c r="E4" s="525"/>
      <c r="F4" s="525"/>
      <c r="G4" s="525"/>
      <c r="H4" s="525"/>
      <c r="I4" s="525"/>
      <c r="L4" s="318">
        <v>4</v>
      </c>
      <c r="M4" s="320" t="str">
        <f>VLOOKUP($L$4,Info!$B$5:$D$55,3)</f>
        <v>P654449</v>
      </c>
      <c r="N4" s="321" t="str">
        <f>VLOOKUP($L$4,Info!$B$5:$D$55,2)</f>
        <v>Gondozási Központ</v>
      </c>
    </row>
    <row r="5" spans="2:14" s="38" customFormat="1" ht="15.75" x14ac:dyDescent="0.25">
      <c r="B5" s="525" t="s">
        <v>487</v>
      </c>
      <c r="C5" s="525"/>
      <c r="D5" s="525"/>
      <c r="E5" s="525"/>
      <c r="F5" s="525"/>
      <c r="G5" s="525"/>
      <c r="H5" s="525"/>
      <c r="I5" s="525"/>
    </row>
    <row r="6" spans="2:14" s="38" customFormat="1" ht="15.75" x14ac:dyDescent="0.25">
      <c r="C6" s="156"/>
      <c r="E6" s="140"/>
      <c r="F6" s="140"/>
      <c r="G6" s="140"/>
      <c r="H6" s="140"/>
      <c r="I6" s="140"/>
    </row>
    <row r="7" spans="2:14" s="38" customFormat="1" ht="15.75" x14ac:dyDescent="0.25">
      <c r="B7" s="201" t="s">
        <v>635</v>
      </c>
      <c r="C7" s="201"/>
      <c r="D7" s="201"/>
      <c r="E7" s="201"/>
      <c r="F7" s="201"/>
      <c r="G7" s="198"/>
      <c r="H7" s="198"/>
      <c r="I7" s="198"/>
    </row>
    <row r="8" spans="2:14" s="38" customFormat="1" ht="15.75" x14ac:dyDescent="0.25">
      <c r="C8" s="156"/>
      <c r="E8" s="140"/>
      <c r="F8" s="140"/>
      <c r="G8" s="140"/>
      <c r="H8" s="140"/>
      <c r="I8" s="140"/>
    </row>
    <row r="9" spans="2:14" s="40" customFormat="1" x14ac:dyDescent="0.25">
      <c r="B9" s="77"/>
      <c r="C9" s="77" t="s">
        <v>350</v>
      </c>
      <c r="D9" s="77" t="s">
        <v>351</v>
      </c>
      <c r="E9" s="77" t="s">
        <v>470</v>
      </c>
      <c r="F9" s="77" t="s">
        <v>471</v>
      </c>
      <c r="G9" s="77" t="s">
        <v>44</v>
      </c>
      <c r="H9" s="77" t="s">
        <v>42</v>
      </c>
      <c r="I9" s="77" t="s">
        <v>511</v>
      </c>
    </row>
    <row r="10" spans="2:14" ht="38.25" x14ac:dyDescent="0.25">
      <c r="B10" s="160">
        <v>1</v>
      </c>
      <c r="C10" s="154" t="s">
        <v>593</v>
      </c>
      <c r="D10" s="154" t="s">
        <v>488</v>
      </c>
      <c r="E10" s="163" t="str">
        <f>CONCATENATE(PAR!$H$3," évi
eredeti 
előirányzat")</f>
        <v>2025. évi
eredeti 
előirányzat</v>
      </c>
      <c r="F10" s="163" t="str">
        <f>CONCATENATE(PAR!$H$3," évi
módosított 
előirányzat")</f>
        <v>2025. évi
módosított 
előirányzat</v>
      </c>
      <c r="G10" s="78" t="s">
        <v>666</v>
      </c>
      <c r="H10" s="78" t="s">
        <v>667</v>
      </c>
      <c r="I10" s="78" t="s">
        <v>668</v>
      </c>
    </row>
    <row r="11" spans="2:14" s="42" customFormat="1" x14ac:dyDescent="0.25">
      <c r="B11" s="160">
        <v>2</v>
      </c>
      <c r="C11" s="79" t="s">
        <v>30</v>
      </c>
      <c r="D11" s="79" t="s">
        <v>329</v>
      </c>
      <c r="E11" s="121">
        <f>SUM(E12:E24)</f>
        <v>37441440</v>
      </c>
      <c r="F11" s="121">
        <f t="shared" ref="F11:I11" si="0">SUM(F12:F24)</f>
        <v>37441440</v>
      </c>
      <c r="G11" s="121">
        <f t="shared" si="0"/>
        <v>0</v>
      </c>
      <c r="H11" s="121">
        <f t="shared" si="0"/>
        <v>37441440</v>
      </c>
      <c r="I11" s="121">
        <f t="shared" si="0"/>
        <v>0</v>
      </c>
    </row>
    <row r="12" spans="2:14" s="42" customFormat="1" x14ac:dyDescent="0.2">
      <c r="B12" s="160">
        <v>3</v>
      </c>
      <c r="C12" s="305" t="s">
        <v>1309</v>
      </c>
      <c r="D12" s="82" t="s">
        <v>1356</v>
      </c>
      <c r="E12" s="166">
        <f>SUMIF(Adat!$AC:$AC,CONCATENATE(61,$M$4,"094011"),Adat!$E:$E)*-1</f>
        <v>0</v>
      </c>
      <c r="F12" s="166">
        <f>SUMIF(Adat!$AC:$AC,CONCATENATE(60,$M$4,"094011"),Adat!$E:$E)*-1+E12</f>
        <v>0</v>
      </c>
      <c r="G12" s="166">
        <f>SUMIF(Adat!$AD:$AD,CONCATENATE($M$4,"094011","(KÖT)"),Adat!$E:$E)*-1</f>
        <v>0</v>
      </c>
      <c r="H12" s="166">
        <f>SUMIF(Adat!$AD:$AD,CONCATENATE($M$4,"094011","(ÖNV)"),Adat!$E:$E)*-1</f>
        <v>0</v>
      </c>
      <c r="I12" s="166">
        <f>SUMIF(Adat!$AD:$AD,CONCATENATE($M$4,"094011","(ÁIG)"),Adat!$E:$E)*-1</f>
        <v>0</v>
      </c>
    </row>
    <row r="13" spans="2:14" s="42" customFormat="1" x14ac:dyDescent="0.2">
      <c r="B13" s="160">
        <v>4</v>
      </c>
      <c r="C13" s="305" t="s">
        <v>1279</v>
      </c>
      <c r="D13" s="82" t="s">
        <v>1357</v>
      </c>
      <c r="E13" s="166">
        <f>SUMIF(Adat!$AC:$AC,CONCATENATE(61,$M$4,"094021"),Adat!$E:$E)*-1</f>
        <v>0</v>
      </c>
      <c r="F13" s="166">
        <f>SUMIF(Adat!$AC:$AC,CONCATENATE(60,$M$4,"094021"),Adat!$E:$E)*-1+E13</f>
        <v>0</v>
      </c>
      <c r="G13" s="166">
        <f>SUMIF(Adat!$AD:$AD,CONCATENATE($M$4,"094021","(KÖT)"),Adat!$E:$E)*-1</f>
        <v>0</v>
      </c>
      <c r="H13" s="166">
        <f>SUMIF(Adat!$AD:$AD,CONCATENATE($M$4,"094021","(ÖNV)"),Adat!$E:$E)*-1</f>
        <v>0</v>
      </c>
      <c r="I13" s="166">
        <f>SUMIF(Adat!$AD:$AD,CONCATENATE($M$4,"094021","(ÁIG)"),Adat!$E:$E)*-1</f>
        <v>0</v>
      </c>
    </row>
    <row r="14" spans="2:14" s="42" customFormat="1" x14ac:dyDescent="0.2">
      <c r="B14" s="160">
        <v>5</v>
      </c>
      <c r="C14" s="305" t="s">
        <v>1272</v>
      </c>
      <c r="D14" s="82" t="s">
        <v>1358</v>
      </c>
      <c r="E14" s="166">
        <f>SUMIF(Adat!$AC:$AC,CONCATENATE(61,$M$4,"094031"),Adat!$E:$E)*-1</f>
        <v>0</v>
      </c>
      <c r="F14" s="166">
        <f>SUMIF(Adat!$AC:$AC,CONCATENATE(60,$M$4,"094031"),Adat!$E:$E)*-1+E14</f>
        <v>0</v>
      </c>
      <c r="G14" s="166">
        <f>SUMIF(Adat!$AD:$AD,CONCATENATE($M$4,"094031","(KÖT)"),Adat!$E:$E)*-1</f>
        <v>0</v>
      </c>
      <c r="H14" s="166">
        <f>SUMIF(Adat!$AD:$AD,CONCATENATE($M$4,"094031","(ÖNV)"),Adat!$E:$E)*-1</f>
        <v>0</v>
      </c>
      <c r="I14" s="166">
        <f>SUMIF(Adat!$AD:$AD,CONCATENATE($M$4,"094031","(ÁIG)"),Adat!$E:$E)*-1</f>
        <v>0</v>
      </c>
    </row>
    <row r="15" spans="2:14" s="42" customFormat="1" x14ac:dyDescent="0.2">
      <c r="B15" s="160">
        <v>6</v>
      </c>
      <c r="C15" s="305" t="s">
        <v>1359</v>
      </c>
      <c r="D15" s="82" t="s">
        <v>1360</v>
      </c>
      <c r="E15" s="166">
        <f>SUMIF(Adat!$AC:$AC,CONCATENATE(61,$M$4,"094041"),Adat!$E:$E)*-1</f>
        <v>0</v>
      </c>
      <c r="F15" s="166">
        <f>SUMIF(Adat!$AC:$AC,CONCATENATE(60,$M$4,"094041"),Adat!$E:$E)*-1+E15</f>
        <v>0</v>
      </c>
      <c r="G15" s="166">
        <f>SUMIF(Adat!$AD:$AD,CONCATENATE($M$4,"094041","(KÖT)"),Adat!$E:$E)*-1</f>
        <v>0</v>
      </c>
      <c r="H15" s="166">
        <f>SUMIF(Adat!$AD:$AD,CONCATENATE($M$4,"094041","(ÖNV)"),Adat!$E:$E)*-1</f>
        <v>0</v>
      </c>
      <c r="I15" s="166">
        <f>SUMIF(Adat!$AD:$AD,CONCATENATE($M$4,"094041","(ÁIG)"),Adat!$E:$E)*-1</f>
        <v>0</v>
      </c>
    </row>
    <row r="16" spans="2:14" s="42" customFormat="1" x14ac:dyDescent="0.2">
      <c r="B16" s="160">
        <v>7</v>
      </c>
      <c r="C16" s="305" t="s">
        <v>1261</v>
      </c>
      <c r="D16" s="82" t="s">
        <v>1361</v>
      </c>
      <c r="E16" s="166">
        <f>SUMIF(Adat!$AC:$AC,CONCATENATE(61,$M$4,"094051"),Adat!$E:$E)*-1</f>
        <v>34992000</v>
      </c>
      <c r="F16" s="166">
        <f>SUMIF(Adat!$AC:$AC,CONCATENATE(60,$M$4,"094051"),Adat!$E:$E)*-1+E16</f>
        <v>34992000</v>
      </c>
      <c r="G16" s="166">
        <f>SUMIF(Adat!$AD:$AD,CONCATENATE($M$4,"094051","(KÖT)"),Adat!$E:$E)*-1</f>
        <v>0</v>
      </c>
      <c r="H16" s="166">
        <f>SUMIF(Adat!$AD:$AD,CONCATENATE($M$4,"094051","(ÖNV)"),Adat!$E:$E)*-1</f>
        <v>34992000</v>
      </c>
      <c r="I16" s="166">
        <f>SUMIF(Adat!$AD:$AD,CONCATENATE($M$4,"094051","(ÁIG)"),Adat!$E:$E)*-1</f>
        <v>0</v>
      </c>
    </row>
    <row r="17" spans="2:9" s="42" customFormat="1" x14ac:dyDescent="0.2">
      <c r="B17" s="160">
        <v>8</v>
      </c>
      <c r="C17" s="305" t="s">
        <v>1273</v>
      </c>
      <c r="D17" s="82" t="s">
        <v>1362</v>
      </c>
      <c r="E17" s="166">
        <f>SUMIF(Adat!$AC:$AC,CONCATENATE(61,$M$4,"094061"),Adat!$E:$E)*-1</f>
        <v>2449440</v>
      </c>
      <c r="F17" s="166">
        <f>SUMIF(Adat!$AC:$AC,CONCATENATE(60,$M$4,"094061"),Adat!$E:$E)*-1+E17</f>
        <v>2449440</v>
      </c>
      <c r="G17" s="166">
        <f>SUMIF(Adat!$AD:$AD,CONCATENATE($M$4,"094061","(KÖT)"),Adat!$E:$E)*-1</f>
        <v>0</v>
      </c>
      <c r="H17" s="166">
        <f>SUMIF(Adat!$AD:$AD,CONCATENATE($M$4,"094061","(ÖNV)"),Adat!$E:$E)*-1</f>
        <v>2449440</v>
      </c>
      <c r="I17" s="166">
        <f>SUMIF(Adat!$AD:$AD,CONCATENATE($M$4,"094061","(ÁIG)"),Adat!$E:$E)*-1</f>
        <v>0</v>
      </c>
    </row>
    <row r="18" spans="2:9" s="42" customFormat="1" x14ac:dyDescent="0.2">
      <c r="B18" s="160">
        <v>9</v>
      </c>
      <c r="C18" s="305" t="s">
        <v>1363</v>
      </c>
      <c r="D18" s="82" t="s">
        <v>1364</v>
      </c>
      <c r="E18" s="166">
        <f>SUMIF(Adat!$AC:$AC,CONCATENATE(61,$M$4,"094071"),Adat!$E:$E)*-1</f>
        <v>0</v>
      </c>
      <c r="F18" s="166">
        <f>SUMIF(Adat!$AC:$AC,CONCATENATE(60,$M$4,"094071"),Adat!$E:$E)*-1+E18</f>
        <v>0</v>
      </c>
      <c r="G18" s="166">
        <f>SUMIF(Adat!$AD:$AD,CONCATENATE($M$4,"094071","(KÖT)"),Adat!$E:$E)*-1</f>
        <v>0</v>
      </c>
      <c r="H18" s="166">
        <f>SUMIF(Adat!$AD:$AD,CONCATENATE($M$4,"094071","(ÖNV)"),Adat!$E:$E)*-1</f>
        <v>0</v>
      </c>
      <c r="I18" s="166">
        <f>SUMIF(Adat!$AD:$AD,CONCATENATE($M$4,"094071","(ÁIG)"),Adat!$E:$E)*-1</f>
        <v>0</v>
      </c>
    </row>
    <row r="19" spans="2:9" s="42" customFormat="1" x14ac:dyDescent="0.2">
      <c r="B19" s="160">
        <v>10</v>
      </c>
      <c r="C19" s="305" t="s">
        <v>1306</v>
      </c>
      <c r="D19" s="82" t="s">
        <v>1365</v>
      </c>
      <c r="E19" s="166">
        <f>SUMIF(Adat!$AC:$AC,CONCATENATE(61,$M$4,"0940811"),Adat!$E:$E)*-1</f>
        <v>0</v>
      </c>
      <c r="F19" s="166">
        <f>SUMIF(Adat!$AC:$AC,CONCATENATE(60,$M$4,"0940811"),Adat!$E:$E)*-1+E19</f>
        <v>0</v>
      </c>
      <c r="G19" s="166">
        <f>SUMIF(Adat!$AD:$AD,CONCATENATE($M$4,"0940811","(KÖT)"),Adat!$E:$E)*-1</f>
        <v>0</v>
      </c>
      <c r="H19" s="166">
        <f>SUMIF(Adat!$AD:$AD,CONCATENATE($M$4,"0940811","(ÖNV)"),Adat!$E:$E)*-1</f>
        <v>0</v>
      </c>
      <c r="I19" s="166">
        <f>SUMIF(Adat!$AD:$AD,CONCATENATE($M$4,"0940811","(ÁIG)"),Adat!$E:$E)*-1</f>
        <v>0</v>
      </c>
    </row>
    <row r="20" spans="2:9" x14ac:dyDescent="0.2">
      <c r="B20" s="160">
        <v>11</v>
      </c>
      <c r="C20" s="305" t="s">
        <v>1295</v>
      </c>
      <c r="D20" s="82" t="s">
        <v>1366</v>
      </c>
      <c r="E20" s="166">
        <f>SUMIF(Adat!$AC:$AC,CONCATENATE(61,$M$4,"0940821"),Adat!$E:$E)*-1</f>
        <v>0</v>
      </c>
      <c r="F20" s="166">
        <f>SUMIF(Adat!$AC:$AC,CONCATENATE(60,$M$4,"0940821"),Adat!$E:$E)*-1+E20</f>
        <v>0</v>
      </c>
      <c r="G20" s="166">
        <f>SUMIF(Adat!$AD:$AD,CONCATENATE($M$4,"0940821","(KÖT)"),Adat!$E:$E)*-1</f>
        <v>0</v>
      </c>
      <c r="H20" s="166">
        <f>SUMIF(Adat!$AD:$AD,CONCATENATE($M$4,"0940821","(ÖNV)"),Adat!$E:$E)*-1</f>
        <v>0</v>
      </c>
      <c r="I20" s="166">
        <f>SUMIF(Adat!$AD:$AD,CONCATENATE($M$4,"0940821","(ÁIG)"),Adat!$E:$E)*-1</f>
        <v>0</v>
      </c>
    </row>
    <row r="21" spans="2:9" x14ac:dyDescent="0.2">
      <c r="B21" s="160">
        <v>12</v>
      </c>
      <c r="C21" s="305" t="s">
        <v>1367</v>
      </c>
      <c r="D21" s="82" t="s">
        <v>1368</v>
      </c>
      <c r="E21" s="166">
        <f>SUMIF(Adat!$AC:$AC,CONCATENATE(61,$M$4,"0940911"),Adat!$E:$E)*-1</f>
        <v>0</v>
      </c>
      <c r="F21" s="166">
        <f>SUMIF(Adat!$AC:$AC,CONCATENATE(60,$M$4,"0940911"),Adat!$E:$E)*-1+E21</f>
        <v>0</v>
      </c>
      <c r="G21" s="166">
        <f>SUMIF(Adat!$AD:$AD,CONCATENATE($M$4,"0940911","(KÖT)"),Adat!$E:$E)*-1</f>
        <v>0</v>
      </c>
      <c r="H21" s="166">
        <f>SUMIF(Adat!$AD:$AD,CONCATENATE($M$4,"0940911","(ÖNV)"),Adat!$E:$E)*-1</f>
        <v>0</v>
      </c>
      <c r="I21" s="166">
        <f>SUMIF(Adat!$AD:$AD,CONCATENATE($M$4,"0940911","(ÁIG)"),Adat!$E:$E)*-1</f>
        <v>0</v>
      </c>
    </row>
    <row r="22" spans="2:9" x14ac:dyDescent="0.2">
      <c r="B22" s="160">
        <v>13</v>
      </c>
      <c r="C22" s="305" t="s">
        <v>1369</v>
      </c>
      <c r="D22" s="82" t="s">
        <v>1370</v>
      </c>
      <c r="E22" s="166">
        <f>SUMIF(Adat!$AC:$AC,CONCATENATE(61,$M$4,"0940921"),Adat!$E:$E)*-1</f>
        <v>0</v>
      </c>
      <c r="F22" s="166">
        <f>SUMIF(Adat!$AC:$AC,CONCATENATE(60,$M$4,"0940921"),Adat!$E:$E)*-1+E22</f>
        <v>0</v>
      </c>
      <c r="G22" s="166">
        <f>SUMIF(Adat!$AD:$AD,CONCATENATE($M$4,"0940921","(KÖT)"),Adat!$E:$E)*-1</f>
        <v>0</v>
      </c>
      <c r="H22" s="166">
        <f>SUMIF(Adat!$AD:$AD,CONCATENATE($M$4,"0940921","(ÖNV)"),Adat!$E:$E)*-1</f>
        <v>0</v>
      </c>
      <c r="I22" s="166">
        <f>SUMIF(Adat!$AD:$AD,CONCATENATE($M$4,"0940921","(ÁIG)"),Adat!$E:$E)*-1</f>
        <v>0</v>
      </c>
    </row>
    <row r="23" spans="2:9" x14ac:dyDescent="0.2">
      <c r="B23" s="160">
        <v>14</v>
      </c>
      <c r="C23" s="305" t="s">
        <v>1296</v>
      </c>
      <c r="D23" s="82" t="s">
        <v>1371</v>
      </c>
      <c r="E23" s="166">
        <f>SUMIF(Adat!$AC:$AC,CONCATENATE(61,$M$4,"094101"),Adat!$E:$E)*-1</f>
        <v>0</v>
      </c>
      <c r="F23" s="166">
        <f>SUMIF(Adat!$AC:$AC,CONCATENATE(60,$M$4,"094101"),Adat!$E:$E)*-1+E23</f>
        <v>0</v>
      </c>
      <c r="G23" s="166">
        <f>SUMIF(Adat!$AD:$AD,CONCATENATE($M$4,"094101","(KÖT)"),Adat!$E:$E)*-1</f>
        <v>0</v>
      </c>
      <c r="H23" s="166">
        <f>SUMIF(Adat!$AD:$AD,CONCATENATE($M$4,"094101","(ÖNV)"),Adat!$E:$E)*-1</f>
        <v>0</v>
      </c>
      <c r="I23" s="166">
        <f>SUMIF(Adat!$AD:$AD,CONCATENATE($M$4,"094101","(ÁIG)"),Adat!$E:$E)*-1</f>
        <v>0</v>
      </c>
    </row>
    <row r="24" spans="2:9" x14ac:dyDescent="0.25">
      <c r="B24" s="160">
        <v>15</v>
      </c>
      <c r="C24" s="305" t="s">
        <v>1297</v>
      </c>
      <c r="D24" s="84" t="s">
        <v>1372</v>
      </c>
      <c r="E24" s="166">
        <f>SUMIF(Adat!$AC:$AC,CONCATENATE(61,$M$4,"094111"),Adat!$E:$E)*-1</f>
        <v>0</v>
      </c>
      <c r="F24" s="166">
        <f>SUMIF(Adat!$AC:$AC,CONCATENATE(60,$M$4,"094111"),Adat!$E:$E)*-1+E24</f>
        <v>0</v>
      </c>
      <c r="G24" s="166">
        <f>SUMIF(Adat!$AD:$AD,CONCATENATE($M$4,"094111","(KÖT)"),Adat!$E:$E)*-1</f>
        <v>0</v>
      </c>
      <c r="H24" s="166">
        <f>SUMIF(Adat!$AD:$AD,CONCATENATE($M$4,"094111","(ÖNV)"),Adat!$E:$E)*-1</f>
        <v>0</v>
      </c>
      <c r="I24" s="166">
        <f>SUMIF(Adat!$AD:$AD,CONCATENATE($M$4,"094111","(ÁIG)"),Adat!$E:$E)*-1</f>
        <v>0</v>
      </c>
    </row>
    <row r="25" spans="2:9" s="42" customFormat="1" x14ac:dyDescent="0.25">
      <c r="B25" s="160">
        <v>16</v>
      </c>
      <c r="C25" s="78" t="s">
        <v>1328</v>
      </c>
      <c r="D25" s="85" t="s">
        <v>437</v>
      </c>
      <c r="E25" s="121">
        <f>SUM(E26:E28)</f>
        <v>0</v>
      </c>
      <c r="F25" s="121">
        <f>SUM(F26:F28)</f>
        <v>0</v>
      </c>
      <c r="G25" s="121">
        <f>SUM(G26:G28)</f>
        <v>0</v>
      </c>
      <c r="H25" s="121">
        <f>SUM(H26:H28)</f>
        <v>0</v>
      </c>
      <c r="I25" s="121">
        <f>SUM(I26:I28)</f>
        <v>0</v>
      </c>
    </row>
    <row r="26" spans="2:9" x14ac:dyDescent="0.2">
      <c r="B26" s="160">
        <v>17</v>
      </c>
      <c r="C26" s="305" t="s">
        <v>1329</v>
      </c>
      <c r="D26" s="82" t="s">
        <v>1330</v>
      </c>
      <c r="E26" s="166">
        <f>SUMIF(Adat!$AC:$AC,CONCATENATE(61,$M$4,"09121"),Adat!$E:$E)*-1</f>
        <v>0</v>
      </c>
      <c r="F26" s="166">
        <f>SUMIF(Adat!$AC:$AC,CONCATENATE(60,$M$4,"09121"),Adat!$E:$E)*-1+E26</f>
        <v>0</v>
      </c>
      <c r="G26" s="166">
        <f>SUMIF(Adat!$AD:$AD,CONCATENATE($M$4,"09121","(KÖT)"),Adat!$E:$E)*-1</f>
        <v>0</v>
      </c>
      <c r="H26" s="166">
        <f>SUMIF(Adat!$AD:$AD,CONCATENATE($M$4,"09121","(ÖNV)"),Adat!$E:$E)*-1</f>
        <v>0</v>
      </c>
      <c r="I26" s="166">
        <f>SUMIF(Adat!$AD:$AD,CONCATENATE($M$4,"09121","(ÁIG)"),Adat!$E:$E)*-1</f>
        <v>0</v>
      </c>
    </row>
    <row r="27" spans="2:9" x14ac:dyDescent="0.2">
      <c r="B27" s="160">
        <v>18</v>
      </c>
      <c r="C27" s="305" t="s">
        <v>1335</v>
      </c>
      <c r="D27" s="82" t="s">
        <v>1336</v>
      </c>
      <c r="E27" s="166">
        <f>SUMIF(Adat!$AC:$AC,CONCATENATE(61,$M$4,"09151"),Adat!$E:$E)*-1</f>
        <v>0</v>
      </c>
      <c r="F27" s="166">
        <f>SUMIF(Adat!$AC:$AC,CONCATENATE(60,$M$4,"09151"),Adat!$E:$E)*-1+E27</f>
        <v>0</v>
      </c>
      <c r="G27" s="166">
        <f>SUMIF(Adat!$AD:$AD,CONCATENATE($M$4,"09151","(KÖT)"),Adat!$E:$E)*-1</f>
        <v>0</v>
      </c>
      <c r="H27" s="166">
        <f>SUMIF(Adat!$AD:$AD,CONCATENATE($M$4,"09151","(ÖNV)"),Adat!$E:$E)*-1</f>
        <v>0</v>
      </c>
      <c r="I27" s="166">
        <f>SUMIF(Adat!$AD:$AD,CONCATENATE($M$4,"09151","(ÁIG)"),Adat!$E:$E)*-1</f>
        <v>0</v>
      </c>
    </row>
    <row r="28" spans="2:9" x14ac:dyDescent="0.2">
      <c r="B28" s="160">
        <v>19</v>
      </c>
      <c r="C28" s="305" t="s">
        <v>1278</v>
      </c>
      <c r="D28" s="82" t="s">
        <v>1337</v>
      </c>
      <c r="E28" s="166">
        <f>SUMIF(Adat!$AC:$AC,CONCATENATE(61,$M$4,"09161"),Adat!$E:$E)*-1</f>
        <v>0</v>
      </c>
      <c r="F28" s="166">
        <f>SUMIF(Adat!$AC:$AC,CONCATENATE(60,$M$4,"09161"),Adat!$E:$E)*-1+E28</f>
        <v>0</v>
      </c>
      <c r="G28" s="166">
        <f>SUMIF(Adat!$AD:$AD,CONCATENATE($M$4,"09161","(KÖT)"),Adat!$E:$E)*-1</f>
        <v>0</v>
      </c>
      <c r="H28" s="166">
        <f>SUMIF(Adat!$AD:$AD,CONCATENATE($M$4,"09161","(ÖNV)"),Adat!$E:$E)*-1</f>
        <v>0</v>
      </c>
      <c r="I28" s="166">
        <f>SUMIF(Adat!$AD:$AD,CONCATENATE($M$4,"09161","(ÁIG)"),Adat!$E:$E)*-1</f>
        <v>0</v>
      </c>
    </row>
    <row r="29" spans="2:9" x14ac:dyDescent="0.25">
      <c r="B29" s="160">
        <v>20</v>
      </c>
      <c r="C29" s="79" t="s">
        <v>27</v>
      </c>
      <c r="D29" s="79" t="s">
        <v>328</v>
      </c>
      <c r="E29" s="71">
        <f>SUMIF(Adat!$AE:$AE,CONCATENATE(61,$M$4,"093"),Adat!$E:$E)*-1</f>
        <v>0</v>
      </c>
      <c r="F29" s="71">
        <f>SUMIF(Adat!$AE:$AE,CONCATENATE(60,$M$4,"093"),Adat!$E:$E)*-1+E29</f>
        <v>0</v>
      </c>
      <c r="G29" s="71">
        <f>SUMIF(Adat!$AF:$AF,CONCATENATE($M$4,"093","(KÖT)"),Adat!$E:$E)*-1</f>
        <v>0</v>
      </c>
      <c r="H29" s="71">
        <f>SUMIF(Adat!$AF:$AF,CONCATENATE($M$4,"093","(ÖNV)"),Adat!$E:$E)*-1</f>
        <v>0</v>
      </c>
      <c r="I29" s="71">
        <f>SUMIF(Adat!$AF:$AF,CONCATENATE($M$4,"093","(ÁIG)"),Adat!$E:$E)*-1</f>
        <v>0</v>
      </c>
    </row>
    <row r="30" spans="2:9" x14ac:dyDescent="0.25">
      <c r="B30" s="160">
        <v>21</v>
      </c>
      <c r="C30" s="79" t="s">
        <v>24</v>
      </c>
      <c r="D30" s="79" t="s">
        <v>449</v>
      </c>
      <c r="E30" s="121">
        <f>SUM(E31:E33)</f>
        <v>0</v>
      </c>
      <c r="F30" s="121">
        <f t="shared" ref="F30:I30" si="1">SUM(F31:F33)</f>
        <v>0</v>
      </c>
      <c r="G30" s="121">
        <f t="shared" si="1"/>
        <v>0</v>
      </c>
      <c r="H30" s="121">
        <f t="shared" si="1"/>
        <v>0</v>
      </c>
      <c r="I30" s="121">
        <f t="shared" si="1"/>
        <v>0</v>
      </c>
    </row>
    <row r="31" spans="2:9" x14ac:dyDescent="0.2">
      <c r="B31" s="160">
        <v>22</v>
      </c>
      <c r="C31" s="305" t="s">
        <v>1339</v>
      </c>
      <c r="D31" s="82" t="s">
        <v>1340</v>
      </c>
      <c r="E31" s="166">
        <f>SUMIF(Adat!$AC:$AC,CONCATENATE(61,$M$4,"09211"),Adat!$E:$E)*-1</f>
        <v>0</v>
      </c>
      <c r="F31" s="166">
        <f>SUMIF(Adat!$AC:$AC,CONCATENATE(60,$M$4,"09211"),Adat!$E:$E)*-1+E31</f>
        <v>0</v>
      </c>
      <c r="G31" s="166">
        <f>SUMIF(Adat!$AD:$AD,CONCATENATE($M$4,"09211","(KÖT)"),Adat!$E:$E)*-1</f>
        <v>0</v>
      </c>
      <c r="H31" s="166">
        <f>SUMIF(Adat!$AD:$AD,CONCATENATE($M$4,"09211","(ÖNV)"),Adat!$E:$E)*-1</f>
        <v>0</v>
      </c>
      <c r="I31" s="166">
        <f>SUMIF(Adat!$AD:$AD,CONCATENATE($M$4,"09211","(ÁIG)"),Adat!$E:$E)*-1</f>
        <v>0</v>
      </c>
    </row>
    <row r="32" spans="2:9" x14ac:dyDescent="0.2">
      <c r="B32" s="160">
        <v>23</v>
      </c>
      <c r="C32" s="305" t="s">
        <v>1345</v>
      </c>
      <c r="D32" s="82" t="s">
        <v>1346</v>
      </c>
      <c r="E32" s="166">
        <f>SUMIF(Adat!$AC:$AC,CONCATENATE(61,$M$4,"09241"),Adat!$E:$E)*-1</f>
        <v>0</v>
      </c>
      <c r="F32" s="166">
        <f>SUMIF(Adat!$AC:$AC,CONCATENATE(60,$M$4,"09241"),Adat!$E:$E)*-1+E32</f>
        <v>0</v>
      </c>
      <c r="G32" s="166">
        <f>SUMIF(Adat!$AD:$AD,CONCATENATE($M$4,"09241","(KÖT)"),Adat!$E:$E)*-1</f>
        <v>0</v>
      </c>
      <c r="H32" s="166">
        <f>SUMIF(Adat!$AD:$AD,CONCATENATE($M$4,"09241","(ÖNV)"),Adat!$E:$E)*-1</f>
        <v>0</v>
      </c>
      <c r="I32" s="166">
        <f>SUMIF(Adat!$AD:$AD,CONCATENATE($M$4,"09241","(ÁIG)"),Adat!$E:$E)*-1</f>
        <v>0</v>
      </c>
    </row>
    <row r="33" spans="2:9" x14ac:dyDescent="0.2">
      <c r="B33" s="160">
        <v>24</v>
      </c>
      <c r="C33" s="305" t="s">
        <v>1255</v>
      </c>
      <c r="D33" s="82" t="s">
        <v>1347</v>
      </c>
      <c r="E33" s="166">
        <f>SUMIF(Adat!$AC:$AC,CONCATENATE(61,$M$4,"09251"),Adat!$E:$E)*-1</f>
        <v>0</v>
      </c>
      <c r="F33" s="166">
        <f>SUMIF(Adat!$AC:$AC,CONCATENATE(60,$M$4,"09251"),Adat!$E:$E)*-1+E33</f>
        <v>0</v>
      </c>
      <c r="G33" s="166">
        <f>SUMIF(Adat!$AD:$AD,CONCATENATE($M$4,"09251","(KÖT)"),Adat!$E:$E)*-1</f>
        <v>0</v>
      </c>
      <c r="H33" s="166">
        <f>SUMIF(Adat!$AD:$AD,CONCATENATE($M$4,"09251","(ÖNV)"),Adat!$E:$E)*-1</f>
        <v>0</v>
      </c>
      <c r="I33" s="166">
        <f>SUMIF(Adat!$AD:$AD,CONCATENATE($M$4,"09251","(ÁIG)"),Adat!$E:$E)*-1</f>
        <v>0</v>
      </c>
    </row>
    <row r="34" spans="2:9" x14ac:dyDescent="0.25">
      <c r="B34" s="160">
        <v>25</v>
      </c>
      <c r="C34" s="79" t="s">
        <v>33</v>
      </c>
      <c r="D34" s="79" t="s">
        <v>330</v>
      </c>
      <c r="E34" s="121">
        <f>SUM(E35:E37)</f>
        <v>0</v>
      </c>
      <c r="F34" s="121">
        <f t="shared" ref="F34:I34" si="2">SUM(F35:F37)</f>
        <v>0</v>
      </c>
      <c r="G34" s="121">
        <f t="shared" si="2"/>
        <v>0</v>
      </c>
      <c r="H34" s="121">
        <f t="shared" si="2"/>
        <v>0</v>
      </c>
      <c r="I34" s="121">
        <f t="shared" si="2"/>
        <v>0</v>
      </c>
    </row>
    <row r="35" spans="2:9" x14ac:dyDescent="0.2">
      <c r="B35" s="160">
        <v>26</v>
      </c>
      <c r="C35" s="305" t="s">
        <v>1373</v>
      </c>
      <c r="D35" s="82" t="s">
        <v>1374</v>
      </c>
      <c r="E35" s="166">
        <f>SUMIF(Adat!$AC:$AC,CONCATENATE(61,$M$4,"09511"),Adat!$E:$E)*-1</f>
        <v>0</v>
      </c>
      <c r="F35" s="166">
        <f>SUMIF(Adat!$AC:$AC,CONCATENATE(60,$M$4,"09511"),Adat!$E:$E)*-1+E35</f>
        <v>0</v>
      </c>
      <c r="G35" s="166">
        <f>SUMIF(Adat!$AD:$AD,CONCATENATE($M$4,"09511","(KÖT)"),Adat!$E:$E)*-1</f>
        <v>0</v>
      </c>
      <c r="H35" s="166">
        <f>SUMIF(Adat!$AD:$AD,CONCATENATE($M$4,"09511","(ÖNV)"),Adat!$E:$E)*-1</f>
        <v>0</v>
      </c>
      <c r="I35" s="166">
        <f>SUMIF(Adat!$AD:$AD,CONCATENATE($M$4,"09511","(ÁIG)"),Adat!$E:$E)*-1</f>
        <v>0</v>
      </c>
    </row>
    <row r="36" spans="2:9" x14ac:dyDescent="0.2">
      <c r="B36" s="160">
        <v>27</v>
      </c>
      <c r="C36" s="305" t="s">
        <v>1294</v>
      </c>
      <c r="D36" s="82" t="s">
        <v>1375</v>
      </c>
      <c r="E36" s="166">
        <f>SUMIF(Adat!$AC:$AC,CONCATENATE(61,$M$4,"09521"),Adat!$E:$E)*-1</f>
        <v>0</v>
      </c>
      <c r="F36" s="166">
        <f>SUMIF(Adat!$AC:$AC,CONCATENATE(60,$M$4,"09521"),Adat!$E:$E)*-1+E36</f>
        <v>0</v>
      </c>
      <c r="G36" s="166">
        <f>SUMIF(Adat!$AD:$AD,CONCATENATE($M$4,"09521","(KÖT)"),Adat!$E:$E)*-1</f>
        <v>0</v>
      </c>
      <c r="H36" s="166">
        <f>SUMIF(Adat!$AD:$AD,CONCATENATE($M$4,"09521","(ÖNV)"),Adat!$E:$E)*-1</f>
        <v>0</v>
      </c>
      <c r="I36" s="166">
        <f>SUMIF(Adat!$AD:$AD,CONCATENATE($M$4,"09521","(ÁIG)"),Adat!$E:$E)*-1</f>
        <v>0</v>
      </c>
    </row>
    <row r="37" spans="2:9" x14ac:dyDescent="0.2">
      <c r="B37" s="160">
        <v>28</v>
      </c>
      <c r="C37" s="305" t="s">
        <v>1376</v>
      </c>
      <c r="D37" s="82" t="s">
        <v>1377</v>
      </c>
      <c r="E37" s="166">
        <f>SUMIF(Adat!$AC:$AC,CONCATENATE(61,$M$4,"09531"),Adat!$E:$E)*-1</f>
        <v>0</v>
      </c>
      <c r="F37" s="166">
        <f>SUMIF(Adat!$AC:$AC,CONCATENATE(60,$M$4,"09531"),Adat!$E:$E)*-1+E37</f>
        <v>0</v>
      </c>
      <c r="G37" s="166">
        <f>SUMIF(Adat!$AD:$AD,CONCATENATE($M$4,"09531","(KÖT)"),Adat!$E:$E)*-1</f>
        <v>0</v>
      </c>
      <c r="H37" s="166">
        <f>SUMIF(Adat!$AD:$AD,CONCATENATE($M$4,"09531","(ÖNV)"),Adat!$E:$E)*-1</f>
        <v>0</v>
      </c>
      <c r="I37" s="166">
        <f>SUMIF(Adat!$AD:$AD,CONCATENATE($M$4,"09531","(ÁIG)"),Adat!$E:$E)*-1</f>
        <v>0</v>
      </c>
    </row>
    <row r="38" spans="2:9" s="42" customFormat="1" x14ac:dyDescent="0.25">
      <c r="B38" s="160">
        <v>29</v>
      </c>
      <c r="C38" s="79" t="s">
        <v>36</v>
      </c>
      <c r="D38" s="79" t="s">
        <v>331</v>
      </c>
      <c r="E38" s="71">
        <f>SUMIF(Adat!$AE:$AE,CONCATENATE(61,$M$4,"096"),Adat!$E:$E)*-1</f>
        <v>0</v>
      </c>
      <c r="F38" s="71">
        <f>SUMIF(Adat!$AE:$AE,CONCATENATE(60,$M$4,"096"),Adat!$E:$E)*-1+E38</f>
        <v>0</v>
      </c>
      <c r="G38" s="71">
        <f>SUMIF(Adat!$AF:$AF,CONCATENATE($M$4,"096","(KÖT)"),Adat!$E:$E)*-1</f>
        <v>0</v>
      </c>
      <c r="H38" s="71">
        <f>SUMIF(Adat!$AF:$AF,CONCATENATE($M$4,"096","(ÖNV)"),Adat!$E:$E)*-1</f>
        <v>0</v>
      </c>
      <c r="I38" s="71">
        <f>SUMIF(Adat!$AF:$AF,CONCATENATE($M$4,"096","(ÁIG)"),Adat!$E:$E)*-1</f>
        <v>0</v>
      </c>
    </row>
    <row r="39" spans="2:9" s="42" customFormat="1" x14ac:dyDescent="0.25">
      <c r="B39" s="160">
        <v>30</v>
      </c>
      <c r="C39" s="79" t="s">
        <v>38</v>
      </c>
      <c r="D39" s="85" t="s">
        <v>332</v>
      </c>
      <c r="E39" s="71">
        <f>SUMIF(Adat!$AE:$AE,CONCATENATE(61,$M$4,"097"),Adat!$E:$E)*-1</f>
        <v>0</v>
      </c>
      <c r="F39" s="71">
        <f>SUMIF(Adat!$AE:$AE,CONCATENATE(60,$M$4,"097"),Adat!$E:$E)*-1+E39</f>
        <v>0</v>
      </c>
      <c r="G39" s="71">
        <f>SUMIF(Adat!$AF:$AF,CONCATENATE($M$4,"097","(KÖT)"),Adat!$E:$E)*-1</f>
        <v>0</v>
      </c>
      <c r="H39" s="71">
        <f>SUMIF(Adat!$AF:$AF,CONCATENATE($M$4,"097","(ÖNV)"),Adat!$E:$E)*-1</f>
        <v>0</v>
      </c>
      <c r="I39" s="71">
        <f>SUMIF(Adat!$AF:$AF,CONCATENATE($M$4,"097","(ÁIG)"),Adat!$E:$E)*-1</f>
        <v>0</v>
      </c>
    </row>
    <row r="40" spans="2:9" s="42" customFormat="1" x14ac:dyDescent="0.25">
      <c r="B40" s="160">
        <v>31</v>
      </c>
      <c r="C40" s="154" t="s">
        <v>352</v>
      </c>
      <c r="D40" s="86" t="s">
        <v>1500</v>
      </c>
      <c r="E40" s="121">
        <f>E11+E25+E29+E30+E34+E38+E39</f>
        <v>37441440</v>
      </c>
      <c r="F40" s="121">
        <f>F11+F25+F29+F30+F34+F38+F39</f>
        <v>37441440</v>
      </c>
      <c r="G40" s="121">
        <f>G11+G25+G29+G30+G34+G38+G39</f>
        <v>0</v>
      </c>
      <c r="H40" s="121">
        <f>H11+H25+H29+H30+H34+H38+H39</f>
        <v>37441440</v>
      </c>
      <c r="I40" s="121">
        <f>I11+I25+I29+I30+I34+I38+I39</f>
        <v>0</v>
      </c>
    </row>
    <row r="41" spans="2:9" s="42" customFormat="1" x14ac:dyDescent="0.25">
      <c r="B41" s="160">
        <v>32</v>
      </c>
      <c r="C41" s="154" t="s">
        <v>358</v>
      </c>
      <c r="D41" s="86" t="s">
        <v>333</v>
      </c>
      <c r="E41" s="121">
        <f>SUM(E42:E44)</f>
        <v>91417281</v>
      </c>
      <c r="F41" s="121">
        <f t="shared" ref="F41:I41" si="3">SUM(F42:F44)</f>
        <v>91417281</v>
      </c>
      <c r="G41" s="121">
        <f t="shared" si="3"/>
        <v>0</v>
      </c>
      <c r="H41" s="121">
        <f t="shared" si="3"/>
        <v>91417281</v>
      </c>
      <c r="I41" s="121">
        <f t="shared" si="3"/>
        <v>0</v>
      </c>
    </row>
    <row r="42" spans="2:9" s="42" customFormat="1" x14ac:dyDescent="0.2">
      <c r="B42" s="160">
        <v>33</v>
      </c>
      <c r="C42" s="305" t="s">
        <v>1274</v>
      </c>
      <c r="D42" s="82" t="s">
        <v>1419</v>
      </c>
      <c r="E42" s="166">
        <f>SUMIF(Adat!$AC:$AC,CONCATENATE(61,$M$4,"0981311"),Adat!$E:$E)*-1</f>
        <v>2732096</v>
      </c>
      <c r="F42" s="166">
        <f>SUMIF(Adat!$AC:$AC,CONCATENATE(60,$M$4,"0981311"),Adat!$E:$E)*-1+E42</f>
        <v>2732096</v>
      </c>
      <c r="G42" s="166">
        <f>SUMIF(Adat!$AD:$AD,CONCATENATE($M$4,"0981311","(KÖT)"),Adat!$E:$E)*-1</f>
        <v>0</v>
      </c>
      <c r="H42" s="166">
        <f>SUMIF(Adat!$AD:$AD,CONCATENATE($M$4,"0981311","(ÖNV)"),Adat!$E:$E)*-1</f>
        <v>2732096</v>
      </c>
      <c r="I42" s="166">
        <f>SUMIF(Adat!$AD:$AD,CONCATENATE($M$4,"0981311","(ÁIG)"),Adat!$E:$E)*-1</f>
        <v>0</v>
      </c>
    </row>
    <row r="43" spans="2:9" s="42" customFormat="1" x14ac:dyDescent="0.25">
      <c r="B43" s="160">
        <v>34</v>
      </c>
      <c r="C43" s="305" t="s">
        <v>1420</v>
      </c>
      <c r="D43" s="84" t="s">
        <v>1421</v>
      </c>
      <c r="E43" s="166">
        <f>SUMIF(Adat!$AC:$AC,CONCATENATE(61,$M$4,"0981321"),Adat!$E:$E)*-1</f>
        <v>0</v>
      </c>
      <c r="F43" s="166">
        <f>SUMIF(Adat!$AC:$AC,CONCATENATE(60,$M$4,"0981321"),Adat!$E:$E)*-1+E43</f>
        <v>0</v>
      </c>
      <c r="G43" s="166">
        <f>SUMIF(Adat!$AD:$AD,CONCATENATE($M$4,"0981321","(KÖT)"),Adat!$E:$E)*-1</f>
        <v>0</v>
      </c>
      <c r="H43" s="166">
        <f>SUMIF(Adat!$AD:$AD,CONCATENATE($M$4,"0981321","(ÖNV)"),Adat!$E:$E)*-1</f>
        <v>0</v>
      </c>
      <c r="I43" s="166">
        <f>SUMIF(Adat!$AD:$AD,CONCATENATE($M$4,"0981321","(ÁIG)"),Adat!$E:$E)*-1</f>
        <v>0</v>
      </c>
    </row>
    <row r="44" spans="2:9" x14ac:dyDescent="0.25">
      <c r="B44" s="160">
        <v>35</v>
      </c>
      <c r="C44" s="319" t="s">
        <v>1275</v>
      </c>
      <c r="D44" s="84" t="s">
        <v>1501</v>
      </c>
      <c r="E44" s="166">
        <f>SUMIF(Adat!$AC:$AC,CONCATENATE(61,$M$4,"098161"),Adat!$E:$E)*-1</f>
        <v>88685185</v>
      </c>
      <c r="F44" s="166">
        <f>SUMIF(Adat!$AC:$AC,CONCATENATE(60,$M$4,"098161"),Adat!$E:$E)*-1+E44</f>
        <v>88685185</v>
      </c>
      <c r="G44" s="166">
        <f>SUMIF(Adat!$AD:$AD,CONCATENATE($M$4,"098161","(KÖT)"),Adat!$E:$E)*-1</f>
        <v>0</v>
      </c>
      <c r="H44" s="166">
        <f>SUMIF(Adat!$AD:$AD,CONCATENATE($M$4,"098161","(ÖNV)"),Adat!$E:$E)*-1</f>
        <v>88685185</v>
      </c>
      <c r="I44" s="166">
        <f>SUMIF(Adat!$AD:$AD,CONCATENATE($M$4,"098161","(ÁIG)"),Adat!$E:$E)*-1</f>
        <v>0</v>
      </c>
    </row>
    <row r="45" spans="2:9" x14ac:dyDescent="0.25">
      <c r="B45" s="160">
        <v>36</v>
      </c>
      <c r="C45" s="154" t="s">
        <v>364</v>
      </c>
      <c r="D45" s="159" t="s">
        <v>1502</v>
      </c>
      <c r="E45" s="121">
        <f>+E40+E41</f>
        <v>128858721</v>
      </c>
      <c r="F45" s="121">
        <f>+F40+F41</f>
        <v>128858721</v>
      </c>
      <c r="G45" s="121">
        <f>+G40+G41</f>
        <v>0</v>
      </c>
      <c r="H45" s="121">
        <f>+H40+H41</f>
        <v>128858721</v>
      </c>
      <c r="I45" s="121">
        <f>+I40+I41</f>
        <v>0</v>
      </c>
    </row>
    <row r="46" spans="2:9" s="38" customFormat="1" ht="15.75" x14ac:dyDescent="0.25">
      <c r="C46" s="156"/>
      <c r="E46" s="140"/>
      <c r="F46" s="140"/>
      <c r="G46" s="140"/>
      <c r="H46" s="140"/>
      <c r="I46" s="140"/>
    </row>
    <row r="47" spans="2:9" s="10" customFormat="1" ht="15.75" x14ac:dyDescent="0.25">
      <c r="B47" s="202" t="s">
        <v>636</v>
      </c>
      <c r="C47" s="202"/>
      <c r="D47" s="202"/>
      <c r="E47" s="202"/>
      <c r="F47" s="202"/>
      <c r="G47" s="198"/>
      <c r="H47" s="198"/>
      <c r="I47" s="198"/>
    </row>
    <row r="48" spans="2:9" s="38" customFormat="1" ht="15.75" x14ac:dyDescent="0.25">
      <c r="C48" s="156"/>
      <c r="E48" s="140"/>
      <c r="F48" s="140"/>
      <c r="G48" s="140"/>
      <c r="H48" s="140"/>
      <c r="I48" s="140"/>
    </row>
    <row r="49" spans="2:18" s="40" customFormat="1" x14ac:dyDescent="0.25">
      <c r="B49" s="77"/>
      <c r="C49" s="77" t="s">
        <v>350</v>
      </c>
      <c r="D49" s="77" t="s">
        <v>351</v>
      </c>
      <c r="E49" s="77" t="s">
        <v>470</v>
      </c>
      <c r="F49" s="77" t="s">
        <v>471</v>
      </c>
      <c r="G49" s="77" t="s">
        <v>44</v>
      </c>
      <c r="H49" s="77" t="s">
        <v>42</v>
      </c>
      <c r="I49" s="77" t="s">
        <v>511</v>
      </c>
    </row>
    <row r="50" spans="2:18" s="41" customFormat="1" ht="38.25" x14ac:dyDescent="0.25">
      <c r="B50" s="160">
        <v>1</v>
      </c>
      <c r="C50" s="154" t="s">
        <v>593</v>
      </c>
      <c r="D50" s="154" t="s">
        <v>488</v>
      </c>
      <c r="E50" s="163" t="str">
        <f>CONCATENATE(PAR!$H$3," évi
eredeti 
előirányzat")</f>
        <v>2025. évi
eredeti 
előirányzat</v>
      </c>
      <c r="F50" s="163" t="str">
        <f>CONCATENATE(PAR!$H$3," évi
módosított 
előirányzat")</f>
        <v>2025. évi
módosított 
előirányzat</v>
      </c>
      <c r="G50" s="78" t="s">
        <v>666</v>
      </c>
      <c r="H50" s="78" t="s">
        <v>667</v>
      </c>
      <c r="I50" s="78" t="s">
        <v>668</v>
      </c>
    </row>
    <row r="51" spans="2:18" s="42" customFormat="1" x14ac:dyDescent="0.25">
      <c r="B51" s="160">
        <v>2</v>
      </c>
      <c r="C51" s="78" t="s">
        <v>352</v>
      </c>
      <c r="D51" s="92" t="s">
        <v>1444</v>
      </c>
      <c r="E51" s="121">
        <f>SUM(E52:E56)</f>
        <v>127969721</v>
      </c>
      <c r="F51" s="121">
        <f>SUM(F52:F56)</f>
        <v>127969721</v>
      </c>
      <c r="G51" s="121">
        <f>SUM(G52:G56)</f>
        <v>-106428</v>
      </c>
      <c r="H51" s="121">
        <f>SUM(H52:H56)</f>
        <v>128076149</v>
      </c>
      <c r="I51" s="121">
        <f>SUM(I52:I56)</f>
        <v>0</v>
      </c>
      <c r="L51" s="35"/>
      <c r="M51" s="35"/>
      <c r="N51" s="35"/>
      <c r="O51" s="35"/>
      <c r="P51" s="35"/>
      <c r="Q51" s="35"/>
      <c r="R51" s="35"/>
    </row>
    <row r="52" spans="2:18" x14ac:dyDescent="0.25">
      <c r="B52" s="160">
        <v>3</v>
      </c>
      <c r="C52" s="305" t="s">
        <v>315</v>
      </c>
      <c r="D52" s="93" t="s">
        <v>342</v>
      </c>
      <c r="E52" s="72">
        <f>SUMIF(Adat!$AE:$AE,CONCATENATE(61,$M$4,"051"),Adat!$E:$E)</f>
        <v>79055342</v>
      </c>
      <c r="F52" s="72">
        <f>SUMIF(Adat!$AE:$AE,CONCATENATE(60,$M$4,"051"),Adat!$E:$E)+E52</f>
        <v>79057924</v>
      </c>
      <c r="G52" s="72">
        <f>SUMIF(Adat!$AF:$AF,CONCATENATE($M$4,"051","(KÖT)"),Adat!$E:$E)</f>
        <v>-106428</v>
      </c>
      <c r="H52" s="72">
        <f>SUMIF(Adat!$AF:$AF,CONCATENATE($M$4,"051","(ÖNV)"),Adat!$E:$E)</f>
        <v>79164352</v>
      </c>
      <c r="I52" s="72">
        <f>SUMIF(Adat!$AF:$AF,CONCATENATE($M$4,"051","(ÁIG)"),Adat!$E:$E)</f>
        <v>0</v>
      </c>
    </row>
    <row r="53" spans="2:18" x14ac:dyDescent="0.25">
      <c r="B53" s="160">
        <v>4</v>
      </c>
      <c r="C53" s="305" t="s">
        <v>317</v>
      </c>
      <c r="D53" s="93" t="s">
        <v>395</v>
      </c>
      <c r="E53" s="72">
        <f>SUMIF(Adat!$AE:$AE,CONCATENATE(61,$M$4,"052"),Adat!$E:$E)</f>
        <v>10124551</v>
      </c>
      <c r="F53" s="72">
        <f>SUMIF(Adat!$AE:$AE,CONCATENATE(60,$M$4,"052"),Adat!$E:$E)+E53</f>
        <v>10124551</v>
      </c>
      <c r="G53" s="72">
        <f>SUMIF(Adat!$AF:$AF,CONCATENATE($M$4,"052","(KÖT)"),Adat!$E:$E)</f>
        <v>0</v>
      </c>
      <c r="H53" s="72">
        <f>SUMIF(Adat!$AF:$AF,CONCATENATE($M$4,"052","(ÖNV)"),Adat!$E:$E)</f>
        <v>10124551</v>
      </c>
      <c r="I53" s="72">
        <f>SUMIF(Adat!$AF:$AF,CONCATENATE($M$4,"052","(ÁIG)"),Adat!$E:$E)</f>
        <v>0</v>
      </c>
    </row>
    <row r="54" spans="2:18" x14ac:dyDescent="0.25">
      <c r="B54" s="160">
        <v>5</v>
      </c>
      <c r="C54" s="305" t="s">
        <v>4</v>
      </c>
      <c r="D54" s="93" t="s">
        <v>344</v>
      </c>
      <c r="E54" s="72">
        <f>SUMIF(Adat!$AE:$AE,CONCATENATE(61,$M$4,"053"),Adat!$E:$E)</f>
        <v>38789828</v>
      </c>
      <c r="F54" s="72">
        <f>SUMIF(Adat!$AE:$AE,CONCATENATE(60,$M$4,"053"),Adat!$E:$E)+E54</f>
        <v>38787246</v>
      </c>
      <c r="G54" s="72">
        <f>SUMIF(Adat!$AF:$AF,CONCATENATE($M$4,"053","(KÖT)"),Adat!$E:$E)</f>
        <v>0</v>
      </c>
      <c r="H54" s="72">
        <f>SUMIF(Adat!$AF:$AF,CONCATENATE($M$4,"053","(ÖNV)"),Adat!$E:$E)</f>
        <v>38787246</v>
      </c>
      <c r="I54" s="72">
        <f>SUMIF(Adat!$AF:$AF,CONCATENATE($M$4,"053","(ÁIG)"),Adat!$E:$E)</f>
        <v>0</v>
      </c>
    </row>
    <row r="55" spans="2:18" x14ac:dyDescent="0.25">
      <c r="B55" s="160">
        <v>6</v>
      </c>
      <c r="C55" s="305" t="s">
        <v>6</v>
      </c>
      <c r="D55" s="93" t="s">
        <v>345</v>
      </c>
      <c r="E55" s="72">
        <f>SUMIF(Adat!$AE:$AE,CONCATENATE(61,$M$4,"054"),Adat!$E:$E)</f>
        <v>0</v>
      </c>
      <c r="F55" s="72">
        <f>SUMIF(Adat!$AE:$AE,CONCATENATE(60,$M$4,"054"),Adat!$E:$E)+E55</f>
        <v>0</v>
      </c>
      <c r="G55" s="72">
        <f>SUMIF(Adat!$AF:$AF,CONCATENATE($M$4,"054","(KÖT)"),Adat!$E:$E)</f>
        <v>0</v>
      </c>
      <c r="H55" s="72">
        <f>SUMIF(Adat!$AF:$AF,CONCATENATE($M$4,"054","(ÖNV)"),Adat!$E:$E)</f>
        <v>0</v>
      </c>
      <c r="I55" s="72">
        <f>SUMIF(Adat!$AF:$AF,CONCATENATE($M$4,"054","(ÁIG)"),Adat!$E:$E)</f>
        <v>0</v>
      </c>
    </row>
    <row r="56" spans="2:18" x14ac:dyDescent="0.25">
      <c r="B56" s="160">
        <v>7</v>
      </c>
      <c r="C56" s="305" t="s">
        <v>8</v>
      </c>
      <c r="D56" s="93" t="s">
        <v>321</v>
      </c>
      <c r="E56" s="72">
        <f>SUMIF(Adat!$AE:$AE,CONCATENATE(61,$M$4,"055"),Adat!$E:$E)</f>
        <v>0</v>
      </c>
      <c r="F56" s="72">
        <f>SUMIF(Adat!$AE:$AE,CONCATENATE(60,$M$4,"055"),Adat!$E:$E)+E56</f>
        <v>0</v>
      </c>
      <c r="G56" s="72">
        <f>SUMIF(Adat!$AF:$AF,CONCATENATE($M$4,"055","(KÖT)"),Adat!$E:$E)</f>
        <v>0</v>
      </c>
      <c r="H56" s="72">
        <f>SUMIF(Adat!$AF:$AF,CONCATENATE($M$4,"055","(ÖNV)"),Adat!$E:$E)</f>
        <v>0</v>
      </c>
      <c r="I56" s="72">
        <f>SUMIF(Adat!$AF:$AF,CONCATENATE($M$4,"055","(ÁIG)"),Adat!$E:$E)</f>
        <v>0</v>
      </c>
    </row>
    <row r="57" spans="2:18" x14ac:dyDescent="0.25">
      <c r="B57" s="160">
        <v>8</v>
      </c>
      <c r="C57" s="78" t="s">
        <v>358</v>
      </c>
      <c r="D57" s="92" t="s">
        <v>1447</v>
      </c>
      <c r="E57" s="121">
        <f>E58+E60+E62</f>
        <v>889000</v>
      </c>
      <c r="F57" s="121">
        <f>F58+F60+F62</f>
        <v>889000</v>
      </c>
      <c r="G57" s="121">
        <f>G58+G60+G62</f>
        <v>0</v>
      </c>
      <c r="H57" s="121">
        <f>H58+H60+H62</f>
        <v>889000</v>
      </c>
      <c r="I57" s="121">
        <f>I58+I60+I62</f>
        <v>0</v>
      </c>
    </row>
    <row r="58" spans="2:18" s="42" customFormat="1" x14ac:dyDescent="0.25">
      <c r="B58" s="160">
        <v>9</v>
      </c>
      <c r="C58" s="305" t="s">
        <v>10</v>
      </c>
      <c r="D58" s="93" t="s">
        <v>322</v>
      </c>
      <c r="E58" s="72">
        <f>SUMIF(Adat!$AE:$AE,CONCATENATE(61,$M$4,"056"),Adat!$E:$E)</f>
        <v>889000</v>
      </c>
      <c r="F58" s="72">
        <f>SUMIF(Adat!$AE:$AE,CONCATENATE(60,$M$4,"056"),Adat!$E:$E)+E58</f>
        <v>889000</v>
      </c>
      <c r="G58" s="72">
        <f>SUMIF(Adat!$AF:$AF,CONCATENATE($M$4,"056","(KÖT)"),Adat!$E:$E)</f>
        <v>0</v>
      </c>
      <c r="H58" s="72">
        <f>SUMIF(Adat!$AF:$AF,CONCATENATE($M$4,"056","(ÖNV)"),Adat!$E:$E)</f>
        <v>889000</v>
      </c>
      <c r="I58" s="72">
        <f>SUMIF(Adat!$AF:$AF,CONCATENATE($M$4,"056","(ÁIG)"),Adat!$E:$E)</f>
        <v>0</v>
      </c>
      <c r="L58" s="35"/>
      <c r="M58" s="35"/>
      <c r="N58" s="35"/>
      <c r="O58" s="35"/>
      <c r="P58" s="35"/>
      <c r="Q58" s="35"/>
      <c r="R58" s="35"/>
    </row>
    <row r="59" spans="2:18" s="42" customFormat="1" x14ac:dyDescent="0.25">
      <c r="B59" s="160">
        <v>10</v>
      </c>
      <c r="C59" s="305" t="s">
        <v>10</v>
      </c>
      <c r="D59" s="93" t="s">
        <v>1448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L59" s="35"/>
      <c r="M59" s="35"/>
      <c r="N59" s="35"/>
      <c r="O59" s="35"/>
      <c r="P59" s="35"/>
      <c r="Q59" s="35"/>
      <c r="R59" s="35"/>
    </row>
    <row r="60" spans="2:18" x14ac:dyDescent="0.25">
      <c r="B60" s="160">
        <v>11</v>
      </c>
      <c r="C60" s="305" t="s">
        <v>12</v>
      </c>
      <c r="D60" s="93" t="s">
        <v>323</v>
      </c>
      <c r="E60" s="72">
        <f>SUMIF(Adat!$AE:$AE,CONCATENATE(61,$M$4,"057"),Adat!$E:$E)</f>
        <v>0</v>
      </c>
      <c r="F60" s="72">
        <f>SUMIF(Adat!$AE:$AE,CONCATENATE(60,$M$4,"057"),Adat!$E:$E)+E60</f>
        <v>0</v>
      </c>
      <c r="G60" s="72">
        <f>SUMIF(Adat!$AF:$AF,CONCATENATE($M$4,"057","(KÖT)"),Adat!$E:$E)</f>
        <v>0</v>
      </c>
      <c r="H60" s="72">
        <f>SUMIF(Adat!$AF:$AF,CONCATENATE($M$4,"057","(ÖNV)"),Adat!$E:$E)</f>
        <v>0</v>
      </c>
      <c r="I60" s="72">
        <f>SUMIF(Adat!$AF:$AF,CONCATENATE($M$4,"057","(ÁIG)"),Adat!$E:$E)</f>
        <v>0</v>
      </c>
    </row>
    <row r="61" spans="2:18" x14ac:dyDescent="0.25">
      <c r="B61" s="160">
        <v>12</v>
      </c>
      <c r="C61" s="305" t="s">
        <v>12</v>
      </c>
      <c r="D61" s="93" t="s">
        <v>1449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</row>
    <row r="62" spans="2:18" x14ac:dyDescent="0.25">
      <c r="B62" s="160">
        <v>13</v>
      </c>
      <c r="C62" s="305" t="s">
        <v>15</v>
      </c>
      <c r="D62" s="84" t="s">
        <v>324</v>
      </c>
      <c r="E62" s="72">
        <f>SUMIF(Adat!$AE:$AE,CONCATENATE(61,$M$4,"058"),Adat!$E:$E)</f>
        <v>0</v>
      </c>
      <c r="F62" s="72">
        <f>SUMIF(Adat!$AE:$AE,CONCATENATE(60,$M$4,"058"),Adat!$E:$E)+E62</f>
        <v>0</v>
      </c>
      <c r="G62" s="72">
        <f>SUMIF(Adat!$AF:$AF,CONCATENATE($M$4,"058","(KÖT)"),Adat!$E:$E)</f>
        <v>0</v>
      </c>
      <c r="H62" s="72">
        <f>SUMIF(Adat!$AF:$AF,CONCATENATE($M$4,"058","(ÖNV)"),Adat!$E:$E)</f>
        <v>0</v>
      </c>
      <c r="I62" s="72">
        <f>SUMIF(Adat!$AF:$AF,CONCATENATE($M$4,"058","(ÁIG)"),Adat!$E:$E)</f>
        <v>0</v>
      </c>
    </row>
    <row r="63" spans="2:18" x14ac:dyDescent="0.25">
      <c r="B63" s="160">
        <v>14</v>
      </c>
      <c r="C63" s="154" t="s">
        <v>364</v>
      </c>
      <c r="D63" s="86" t="s">
        <v>325</v>
      </c>
      <c r="E63" s="71">
        <f>SUMIF(Adat!$AE:$AE,CONCATENATE(61,$M$4,"059"),Adat!$E:$E)</f>
        <v>0</v>
      </c>
      <c r="F63" s="71">
        <f>SUMIF(Adat!$AE:$AE,CONCATENATE(60,$M$4,"059"),Adat!$E:$E)+E63</f>
        <v>0</v>
      </c>
      <c r="G63" s="71">
        <f>SUMIF(Adat!$AF:$AF,CONCATENATE($M$4,"059","(KÖT)"),Adat!$E:$E)</f>
        <v>0</v>
      </c>
      <c r="H63" s="71">
        <f>SUMIF(Adat!$AF:$AF,CONCATENATE($M$4,"059","(ÖNV)"),Adat!$E:$E)</f>
        <v>0</v>
      </c>
      <c r="I63" s="71">
        <f>SUMIF(Adat!$AF:$AF,CONCATENATE($M$4,"059","(ÁIG)"),Adat!$E:$E)</f>
        <v>0</v>
      </c>
    </row>
    <row r="64" spans="2:18" x14ac:dyDescent="0.25">
      <c r="B64" s="160">
        <v>15</v>
      </c>
      <c r="C64" s="154" t="s">
        <v>403</v>
      </c>
      <c r="D64" s="159" t="s">
        <v>497</v>
      </c>
      <c r="E64" s="121">
        <f>E51+E57+E63</f>
        <v>128858721</v>
      </c>
      <c r="F64" s="121">
        <f>F51+F57+F63</f>
        <v>128858721</v>
      </c>
      <c r="G64" s="121">
        <f>G51+G57+G63</f>
        <v>-106428</v>
      </c>
      <c r="H64" s="121">
        <f>H51+H57+H63</f>
        <v>128965149</v>
      </c>
      <c r="I64" s="121">
        <f>I51+I57+I63</f>
        <v>0</v>
      </c>
    </row>
    <row r="65" spans="2:12" ht="15.75" x14ac:dyDescent="0.25">
      <c r="B65" s="37"/>
      <c r="C65" s="529"/>
      <c r="D65" s="529"/>
      <c r="E65" s="529"/>
      <c r="F65" s="200"/>
      <c r="G65" s="200"/>
      <c r="H65" s="200"/>
      <c r="I65" s="200"/>
    </row>
    <row r="66" spans="2:12" ht="15.75" x14ac:dyDescent="0.25">
      <c r="B66" s="525" t="str">
        <f>$N$4</f>
        <v>Gondozási Központ</v>
      </c>
      <c r="C66" s="525"/>
      <c r="D66" s="525"/>
      <c r="E66" s="525"/>
      <c r="F66" s="525"/>
      <c r="G66" s="525"/>
      <c r="H66" s="525"/>
      <c r="I66" s="525"/>
    </row>
    <row r="67" spans="2:12" ht="15.75" x14ac:dyDescent="0.25">
      <c r="B67" s="525" t="s">
        <v>2660</v>
      </c>
      <c r="C67" s="525"/>
      <c r="D67" s="525"/>
      <c r="E67" s="525"/>
      <c r="F67" s="525"/>
      <c r="G67" s="525"/>
      <c r="H67" s="525"/>
      <c r="I67" s="525"/>
    </row>
    <row r="68" spans="2:12" ht="15.75" x14ac:dyDescent="0.25">
      <c r="B68" s="38"/>
      <c r="C68" s="156"/>
      <c r="D68" s="38"/>
      <c r="E68" s="140"/>
      <c r="F68" s="140"/>
      <c r="G68" s="140"/>
      <c r="H68" s="140"/>
      <c r="I68" s="140"/>
    </row>
    <row r="69" spans="2:12" s="10" customFormat="1" ht="15.75" customHeight="1" x14ac:dyDescent="0.25">
      <c r="B69" s="201" t="str">
        <f>CONCATENATE("3. Bevételi jogcímek"," - ",L69," részletező")</f>
        <v>3. Bevételi jogcímek -  részletező</v>
      </c>
      <c r="C69" s="101"/>
      <c r="D69" s="101"/>
      <c r="E69" s="101"/>
      <c r="F69" s="101"/>
      <c r="G69" s="198"/>
      <c r="H69" s="198"/>
      <c r="I69" s="198"/>
      <c r="L69" s="384"/>
    </row>
    <row r="70" spans="2:12" ht="15.75" x14ac:dyDescent="0.25">
      <c r="B70" s="38"/>
      <c r="C70" s="156"/>
      <c r="D70" s="38"/>
      <c r="E70" s="140"/>
      <c r="F70" s="140"/>
      <c r="G70" s="140"/>
      <c r="H70" s="140"/>
      <c r="I70" s="140"/>
    </row>
    <row r="71" spans="2:12" x14ac:dyDescent="0.25">
      <c r="B71" s="77"/>
      <c r="C71" s="77" t="s">
        <v>350</v>
      </c>
      <c r="D71" s="77" t="s">
        <v>351</v>
      </c>
      <c r="E71" s="77" t="s">
        <v>470</v>
      </c>
      <c r="F71" s="77" t="s">
        <v>471</v>
      </c>
      <c r="G71" s="77" t="s">
        <v>44</v>
      </c>
      <c r="H71" s="77" t="s">
        <v>42</v>
      </c>
      <c r="I71" s="77" t="s">
        <v>511</v>
      </c>
    </row>
    <row r="72" spans="2:12" ht="38.25" x14ac:dyDescent="0.25">
      <c r="B72" s="160">
        <v>1</v>
      </c>
      <c r="C72" s="154" t="s">
        <v>593</v>
      </c>
      <c r="D72" s="154" t="s">
        <v>488</v>
      </c>
      <c r="E72" s="163" t="str">
        <f>CONCATENATE(PAR!$H$3," évi
eredeti 
előirányzat")</f>
        <v>2025. évi
eredeti 
előirányzat</v>
      </c>
      <c r="F72" s="163" t="str">
        <f>CONCATENATE(PAR!$H$3," évi
módosított 
előirányzat")</f>
        <v>2025. évi
módosított 
előirányzat</v>
      </c>
      <c r="G72" s="78" t="s">
        <v>666</v>
      </c>
      <c r="H72" s="78" t="s">
        <v>667</v>
      </c>
      <c r="I72" s="78" t="s">
        <v>668</v>
      </c>
    </row>
    <row r="73" spans="2:12" x14ac:dyDescent="0.25">
      <c r="B73" s="160">
        <v>2</v>
      </c>
      <c r="C73" s="79" t="s">
        <v>30</v>
      </c>
      <c r="D73" s="79" t="s">
        <v>329</v>
      </c>
      <c r="E73" s="121">
        <f>SUM(E74:E86)</f>
        <v>0</v>
      </c>
      <c r="F73" s="121">
        <f t="shared" ref="F73:I73" si="4">SUM(F74:F86)</f>
        <v>0</v>
      </c>
      <c r="G73" s="121">
        <f t="shared" si="4"/>
        <v>0</v>
      </c>
      <c r="H73" s="121">
        <f t="shared" si="4"/>
        <v>0</v>
      </c>
      <c r="I73" s="121">
        <f t="shared" si="4"/>
        <v>0</v>
      </c>
    </row>
    <row r="74" spans="2:12" x14ac:dyDescent="0.2">
      <c r="B74" s="160">
        <v>3</v>
      </c>
      <c r="C74" s="305" t="s">
        <v>1309</v>
      </c>
      <c r="D74" s="82" t="s">
        <v>1356</v>
      </c>
      <c r="E74" s="72">
        <f>SUMIF(Adat!$AG:$AG,CONCATENATE(61,$M$4,"094011",L69),Adat!$E:$E)*-1</f>
        <v>0</v>
      </c>
      <c r="F74" s="72">
        <f>SUMIF(Adat!$AG:$AG,CONCATENATE(60,$M$4,"094011",L69),Adat!$E:$E)*-1+E74</f>
        <v>0</v>
      </c>
      <c r="G74" s="72">
        <f>SUMIF(Adat!$AH:$AH,CONCATENATE($M$4,"(KÖT)","094011",L69),Adat!$E:$E)*-1</f>
        <v>0</v>
      </c>
      <c r="H74" s="72">
        <f>SUMIF(Adat!$AH:$AH,CONCATENATE($M$4,"(ÖNV)","094011",L69),Adat!$E:$E)*-1</f>
        <v>0</v>
      </c>
      <c r="I74" s="72">
        <f>SUMIF(Adat!$AH:$AH,CONCATENATE($M$4,"(ÁIG)","094011",L69),Adat!$E:$E)*-1</f>
        <v>0</v>
      </c>
    </row>
    <row r="75" spans="2:12" x14ac:dyDescent="0.2">
      <c r="B75" s="160">
        <v>4</v>
      </c>
      <c r="C75" s="305" t="s">
        <v>1279</v>
      </c>
      <c r="D75" s="82" t="s">
        <v>1357</v>
      </c>
      <c r="E75" s="72">
        <f>SUMIF(Adat!$AG:$AG,CONCATENATE(61,$M$4,"094021",L69),Adat!$E:$E)*-1</f>
        <v>0</v>
      </c>
      <c r="F75" s="72">
        <f>SUMIF(Adat!$AG:$AG,CONCATENATE(60,$M$4,"094021",L69),Adat!$E:$E)*-1+E75</f>
        <v>0</v>
      </c>
      <c r="G75" s="72">
        <f>SUMIF(Adat!$AH:$AH,CONCATENATE($M$4,"(KÖT)","094021",L69),Adat!$E:$E)*-1</f>
        <v>0</v>
      </c>
      <c r="H75" s="72">
        <f>SUMIF(Adat!$AH:$AH,CONCATENATE($M$4,"(ÖNV)","094021",L69),Adat!$E:$E)*-1</f>
        <v>0</v>
      </c>
      <c r="I75" s="72">
        <f>SUMIF(Adat!$AH:$AH,CONCATENATE($M$4,"(ÁIG)","094021",L69),Adat!$E:$E)*-1</f>
        <v>0</v>
      </c>
    </row>
    <row r="76" spans="2:12" x14ac:dyDescent="0.2">
      <c r="B76" s="160">
        <v>5</v>
      </c>
      <c r="C76" s="305" t="s">
        <v>1272</v>
      </c>
      <c r="D76" s="82" t="s">
        <v>1358</v>
      </c>
      <c r="E76" s="72">
        <f>SUMIF(Adat!$AG:$AG,CONCATENATE(61,$M$4,"094031",L69),Adat!$E:$E)*-1</f>
        <v>0</v>
      </c>
      <c r="F76" s="72">
        <f>SUMIF(Adat!$AG:$AG,CONCATENATE(60,$M$4,"094031",L69),Adat!$E:$E)*-1+E76</f>
        <v>0</v>
      </c>
      <c r="G76" s="72">
        <f>SUMIF(Adat!$AH:$AH,CONCATENATE($M$4,"(KÖT)","094031",L69),Adat!$E:$E)*-1</f>
        <v>0</v>
      </c>
      <c r="H76" s="72">
        <f>SUMIF(Adat!$AH:$AH,CONCATENATE($M$4,"(ÖNV)","094031",L69),Adat!$E:$E)*-1</f>
        <v>0</v>
      </c>
      <c r="I76" s="72">
        <f>SUMIF(Adat!$AH:$AH,CONCATENATE($M$4,"(ÁIG)","094031",L69),Adat!$E:$E)*-1</f>
        <v>0</v>
      </c>
    </row>
    <row r="77" spans="2:12" x14ac:dyDescent="0.2">
      <c r="B77" s="160">
        <v>6</v>
      </c>
      <c r="C77" s="305" t="s">
        <v>1359</v>
      </c>
      <c r="D77" s="82" t="s">
        <v>1360</v>
      </c>
      <c r="E77" s="72">
        <f>SUMIF(Adat!$AG:$AG,CONCATENATE(61,$M$4,"094041",L69),Adat!$E:$E)*-1</f>
        <v>0</v>
      </c>
      <c r="F77" s="72">
        <f>SUMIF(Adat!$AG:$AG,CONCATENATE(60,$M$4,"094041",L69),Adat!$E:$E)*-1+E77</f>
        <v>0</v>
      </c>
      <c r="G77" s="72">
        <f>SUMIF(Adat!$AH:$AH,CONCATENATE($M$4,"(KÖT)","094041",L69),Adat!$E:$E)*-1</f>
        <v>0</v>
      </c>
      <c r="H77" s="72">
        <f>SUMIF(Adat!$AH:$AH,CONCATENATE($M$4,"(ÖNV)","094041",L69),Adat!$E:$E)*-1</f>
        <v>0</v>
      </c>
      <c r="I77" s="72">
        <f>SUMIF(Adat!$AH:$AH,CONCATENATE($M$4,"(ÁIG)","094041",L69),Adat!$E:$E)*-1</f>
        <v>0</v>
      </c>
    </row>
    <row r="78" spans="2:12" x14ac:dyDescent="0.2">
      <c r="B78" s="160">
        <v>7</v>
      </c>
      <c r="C78" s="305" t="s">
        <v>1261</v>
      </c>
      <c r="D78" s="82" t="s">
        <v>1361</v>
      </c>
      <c r="E78" s="72">
        <f>SUMIF(Adat!$AG:$AG,CONCATENATE(61,$M$4,"094051",L69),Adat!$E:$E)*-1</f>
        <v>0</v>
      </c>
      <c r="F78" s="72">
        <f>SUMIF(Adat!$AG:$AG,CONCATENATE(60,$M$4,"094051",L69),Adat!$E:$E)*-1+E78</f>
        <v>0</v>
      </c>
      <c r="G78" s="72">
        <f>SUMIF(Adat!$AH:$AH,CONCATENATE($M$4,"(KÖT)","094051",L69),Adat!$E:$E)*-1</f>
        <v>0</v>
      </c>
      <c r="H78" s="72">
        <f>SUMIF(Adat!$AH:$AH,CONCATENATE($M$4,"(ÖNV)","094051",L69),Adat!$E:$E)*-1</f>
        <v>0</v>
      </c>
      <c r="I78" s="72">
        <f>SUMIF(Adat!$AH:$AH,CONCATENATE($M$4,"(ÁIG)","094051",L69),Adat!$E:$E)*-1</f>
        <v>0</v>
      </c>
    </row>
    <row r="79" spans="2:12" x14ac:dyDescent="0.2">
      <c r="B79" s="160">
        <v>8</v>
      </c>
      <c r="C79" s="305" t="s">
        <v>1273</v>
      </c>
      <c r="D79" s="82" t="s">
        <v>1362</v>
      </c>
      <c r="E79" s="72">
        <f>SUMIF(Adat!$AG:$AG,CONCATENATE(61,$M$4,"094061",L69),Adat!$E:$E)*-1</f>
        <v>0</v>
      </c>
      <c r="F79" s="72">
        <f>SUMIF(Adat!$AG:$AG,CONCATENATE(60,$M$4,"094061",L69),Adat!$E:$E)*-1+E79</f>
        <v>0</v>
      </c>
      <c r="G79" s="72">
        <f>SUMIF(Adat!$AH:$AH,CONCATENATE($M$4,"(KÖT)","094061",L69),Adat!$E:$E)*-1</f>
        <v>0</v>
      </c>
      <c r="H79" s="72">
        <f>SUMIF(Adat!$AH:$AH,CONCATENATE($M$4,"(ÖNV)","094061",L69),Adat!$E:$E)*-1</f>
        <v>0</v>
      </c>
      <c r="I79" s="72">
        <f>SUMIF(Adat!$AH:$AH,CONCATENATE($M$4,"(ÁIG)","094061",L69),Adat!$E:$E)*-1</f>
        <v>0</v>
      </c>
    </row>
    <row r="80" spans="2:12" x14ac:dyDescent="0.2">
      <c r="B80" s="160">
        <v>9</v>
      </c>
      <c r="C80" s="305" t="s">
        <v>1363</v>
      </c>
      <c r="D80" s="82" t="s">
        <v>1364</v>
      </c>
      <c r="E80" s="72">
        <f>SUMIF(Adat!$AG:$AG,CONCATENATE(61,$M$4,"094071",L69),Adat!$E:$E)*-1</f>
        <v>0</v>
      </c>
      <c r="F80" s="72">
        <f>SUMIF(Adat!$AG:$AG,CONCATENATE(60,$M$4,"094071",L69),Adat!$E:$E)*-1+E80</f>
        <v>0</v>
      </c>
      <c r="G80" s="72">
        <f>SUMIF(Adat!$AH:$AH,CONCATENATE($M$4,"(KÖT)","094071",L69),Adat!$E:$E)*-1</f>
        <v>0</v>
      </c>
      <c r="H80" s="72">
        <f>SUMIF(Adat!$AH:$AH,CONCATENATE($M$4,"(ÖNV)","094071",L69),Adat!$E:$E)*-1</f>
        <v>0</v>
      </c>
      <c r="I80" s="72">
        <f>SUMIF(Adat!$AH:$AH,CONCATENATE($M$4,"(ÁIG)","094071",L69),Adat!$E:$E)*-1</f>
        <v>0</v>
      </c>
    </row>
    <row r="81" spans="2:9" x14ac:dyDescent="0.2">
      <c r="B81" s="160">
        <v>10</v>
      </c>
      <c r="C81" s="305" t="s">
        <v>1306</v>
      </c>
      <c r="D81" s="82" t="s">
        <v>1365</v>
      </c>
      <c r="E81" s="72">
        <f>SUMIF(Adat!$AG:$AG,CONCATENATE(61,$M$4,"0940811",L69),Adat!$E:$E)*-1</f>
        <v>0</v>
      </c>
      <c r="F81" s="72">
        <f>SUMIF(Adat!$AG:$AG,CONCATENATE(60,$M$4,"0940811",L69),Adat!$E:$E)*-1+E81</f>
        <v>0</v>
      </c>
      <c r="G81" s="72">
        <f>SUMIF(Adat!$AH:$AH,CONCATENATE($M$4,"(KÖT)","0940811",L69),Adat!$E:$E)*-1</f>
        <v>0</v>
      </c>
      <c r="H81" s="72">
        <f>SUMIF(Adat!$AH:$AH,CONCATENATE($M$4,"(ÖNV)","0940811",L69),Adat!$E:$E)*-1</f>
        <v>0</v>
      </c>
      <c r="I81" s="72">
        <f>SUMIF(Adat!$AH:$AH,CONCATENATE($M$4,"(ÁIG)","0940811",L69),Adat!$E:$E)*-1</f>
        <v>0</v>
      </c>
    </row>
    <row r="82" spans="2:9" x14ac:dyDescent="0.2">
      <c r="B82" s="160">
        <v>11</v>
      </c>
      <c r="C82" s="305" t="s">
        <v>1295</v>
      </c>
      <c r="D82" s="82" t="s">
        <v>1366</v>
      </c>
      <c r="E82" s="72">
        <f>SUMIF(Adat!$AG:$AG,CONCATENATE(61,$M$4,"0940821",L69),Adat!$E:$E)*-1</f>
        <v>0</v>
      </c>
      <c r="F82" s="72">
        <f>SUMIF(Adat!$AG:$AG,CONCATENATE(60,$M$4,"0940821",L69),Adat!$E:$E)*-1+E82</f>
        <v>0</v>
      </c>
      <c r="G82" s="72">
        <f>SUMIF(Adat!$AH:$AH,CONCATENATE($M$4,"(KÖT)","0940821",L69),Adat!$E:$E)*-1</f>
        <v>0</v>
      </c>
      <c r="H82" s="72">
        <f>SUMIF(Adat!$AH:$AH,CONCATENATE($M$4,"(ÖNV)","0940821",L69),Adat!$E:$E)*-1</f>
        <v>0</v>
      </c>
      <c r="I82" s="72">
        <f>SUMIF(Adat!$AH:$AH,CONCATENATE($M$4,"(ÁIG)","0940821",L69),Adat!$E:$E)*-1</f>
        <v>0</v>
      </c>
    </row>
    <row r="83" spans="2:9" x14ac:dyDescent="0.2">
      <c r="B83" s="160">
        <v>12</v>
      </c>
      <c r="C83" s="305" t="s">
        <v>1367</v>
      </c>
      <c r="D83" s="82" t="s">
        <v>1368</v>
      </c>
      <c r="E83" s="72">
        <f>SUMIF(Adat!$AG:$AG,CONCATENATE(61,$M$4,"0940911",L69),Adat!$E:$E)*-1</f>
        <v>0</v>
      </c>
      <c r="F83" s="72">
        <f>SUMIF(Adat!$AG:$AG,CONCATENATE(60,$M$4,"0940911",L69),Adat!$E:$E)*-1+E83</f>
        <v>0</v>
      </c>
      <c r="G83" s="72">
        <f>SUMIF(Adat!$AH:$AH,CONCATENATE($M$4,"(KÖT)","0940911",L69),Adat!$E:$E)*-1</f>
        <v>0</v>
      </c>
      <c r="H83" s="72">
        <f>SUMIF(Adat!$AH:$AH,CONCATENATE($M$4,"(ÖNV)","0940911",L69),Adat!$E:$E)*-1</f>
        <v>0</v>
      </c>
      <c r="I83" s="72">
        <f>SUMIF(Adat!$AH:$AH,CONCATENATE($M$4,"(ÁIG)","0940911",L69),Adat!$E:$E)*-1</f>
        <v>0</v>
      </c>
    </row>
    <row r="84" spans="2:9" x14ac:dyDescent="0.2">
      <c r="B84" s="160">
        <v>13</v>
      </c>
      <c r="C84" s="305" t="s">
        <v>1369</v>
      </c>
      <c r="D84" s="82" t="s">
        <v>1370</v>
      </c>
      <c r="E84" s="72">
        <f>SUMIF(Adat!$AG:$AG,CONCATENATE(61,$M$4,"0940921",L69),Adat!$E:$E)*-1</f>
        <v>0</v>
      </c>
      <c r="F84" s="72">
        <f>SUMIF(Adat!$AG:$AG,CONCATENATE(60,$M$4,"0940921",L69),Adat!$E:$E)*-1+E84</f>
        <v>0</v>
      </c>
      <c r="G84" s="72">
        <f>SUMIF(Adat!$AH:$AH,CONCATENATE($M$4,"(KÖT)","0940921",L69),Adat!$E:$E)*-1</f>
        <v>0</v>
      </c>
      <c r="H84" s="72">
        <f>SUMIF(Adat!$AH:$AH,CONCATENATE($M$4,"(ÖNV)","0940921",L69),Adat!$E:$E)*-1</f>
        <v>0</v>
      </c>
      <c r="I84" s="72">
        <f>SUMIF(Adat!$AH:$AH,CONCATENATE($M$4,"(ÁIG)","0940921",L69),Adat!$E:$E)*-1</f>
        <v>0</v>
      </c>
    </row>
    <row r="85" spans="2:9" x14ac:dyDescent="0.2">
      <c r="B85" s="160">
        <v>14</v>
      </c>
      <c r="C85" s="305" t="s">
        <v>1296</v>
      </c>
      <c r="D85" s="82" t="s">
        <v>1371</v>
      </c>
      <c r="E85" s="72">
        <f>SUMIF(Adat!$AG:$AG,CONCATENATE(61,$M$4,"094101",L69),Adat!$E:$E)*-1</f>
        <v>0</v>
      </c>
      <c r="F85" s="72">
        <f>SUMIF(Adat!$AG:$AG,CONCATENATE(60,$M$4,"094101",L69),Adat!$E:$E)*-1+E85</f>
        <v>0</v>
      </c>
      <c r="G85" s="72">
        <f>SUMIF(Adat!$AH:$AH,CONCATENATE($M$4,"(KÖT)","094101",L69),Adat!$E:$E)*-1</f>
        <v>0</v>
      </c>
      <c r="H85" s="72">
        <f>SUMIF(Adat!$AH:$AH,CONCATENATE($M$4,"(ÖNV)","094101",L69),Adat!$E:$E)*-1</f>
        <v>0</v>
      </c>
      <c r="I85" s="72">
        <f>SUMIF(Adat!$AH:$AH,CONCATENATE($M$4,"(ÁIG)","094101",L69),Adat!$E:$E)*-1</f>
        <v>0</v>
      </c>
    </row>
    <row r="86" spans="2:9" x14ac:dyDescent="0.25">
      <c r="B86" s="160">
        <v>15</v>
      </c>
      <c r="C86" s="305" t="s">
        <v>1297</v>
      </c>
      <c r="D86" s="84" t="s">
        <v>1372</v>
      </c>
      <c r="E86" s="72">
        <f>SUMIF(Adat!$AG:$AG,CONCATENATE(61,$M$4,"094111",L69),Adat!$E:$E)*-1</f>
        <v>0</v>
      </c>
      <c r="F86" s="72">
        <f>SUMIF(Adat!$AG:$AG,CONCATENATE(60,$M$4,"094111",L69),Adat!$E:$E)*-1+E86</f>
        <v>0</v>
      </c>
      <c r="G86" s="72">
        <f>SUMIF(Adat!$AH:$AH,CONCATENATE($M$4,"(KÖT)","094111",L69),Adat!$E:$E)*-1</f>
        <v>0</v>
      </c>
      <c r="H86" s="72">
        <f>SUMIF(Adat!$AH:$AH,CONCATENATE($M$4,"(ÖNV)","094111",L69),Adat!$E:$E)*-1</f>
        <v>0</v>
      </c>
      <c r="I86" s="72">
        <f>SUMIF(Adat!$AH:$AH,CONCATENATE($M$4,"(ÁIG)","094111",L69),Adat!$E:$E)*-1</f>
        <v>0</v>
      </c>
    </row>
    <row r="87" spans="2:9" x14ac:dyDescent="0.25">
      <c r="B87" s="160">
        <v>16</v>
      </c>
      <c r="C87" s="78" t="s">
        <v>1328</v>
      </c>
      <c r="D87" s="85" t="s">
        <v>437</v>
      </c>
      <c r="E87" s="121">
        <f>SUM(E88:E90)</f>
        <v>0</v>
      </c>
      <c r="F87" s="121">
        <f>SUM(F88:F90)</f>
        <v>0</v>
      </c>
      <c r="G87" s="121">
        <f>SUM(G88:G90)</f>
        <v>0</v>
      </c>
      <c r="H87" s="121">
        <f>SUM(H88:H90)</f>
        <v>0</v>
      </c>
      <c r="I87" s="121">
        <f>SUM(I88:I90)</f>
        <v>0</v>
      </c>
    </row>
    <row r="88" spans="2:9" x14ac:dyDescent="0.2">
      <c r="B88" s="160">
        <v>17</v>
      </c>
      <c r="C88" s="305" t="s">
        <v>1329</v>
      </c>
      <c r="D88" s="82" t="s">
        <v>1330</v>
      </c>
      <c r="E88" s="72">
        <f>SUMIF(Adat!$AG:$AG,CONCATENATE(61,$M$4,"09121",L69),Adat!$E:$E)*-1</f>
        <v>0</v>
      </c>
      <c r="F88" s="72">
        <f>SUMIF(Adat!$AG:$AG,CONCATENATE(60,$M$4,"09121",L69),Adat!$E:$E)*-1+E88</f>
        <v>0</v>
      </c>
      <c r="G88" s="72">
        <f>SUMIF(Adat!$AH:$AH,CONCATENATE($M$4,"(KÖT)","09121",L69),Adat!$E:$E)*-1</f>
        <v>0</v>
      </c>
      <c r="H88" s="72">
        <f>SUMIF(Adat!$AH:$AH,CONCATENATE($M$4,"(ÖNV)","09121",L69),Adat!$E:$E)*-1</f>
        <v>0</v>
      </c>
      <c r="I88" s="72">
        <f>SUMIF(Adat!$AH:$AH,CONCATENATE($M$4,"(ÁIG)","09121",L69),Adat!$E:$E)*-1</f>
        <v>0</v>
      </c>
    </row>
    <row r="89" spans="2:9" x14ac:dyDescent="0.2">
      <c r="B89" s="160">
        <v>18</v>
      </c>
      <c r="C89" s="305" t="s">
        <v>1335</v>
      </c>
      <c r="D89" s="82" t="s">
        <v>1336</v>
      </c>
      <c r="E89" s="72">
        <f>SUMIF(Adat!$AG:$AG,CONCATENATE(61,$M$4,"09151",L69),Adat!$E:$E)*-1</f>
        <v>0</v>
      </c>
      <c r="F89" s="72">
        <f>SUMIF(Adat!$AG:$AG,CONCATENATE(60,$M$4,"09151",L69),Adat!$E:$E)*-1+E89</f>
        <v>0</v>
      </c>
      <c r="G89" s="72">
        <f>SUMIF(Adat!$AH:$AH,CONCATENATE($M$4,"(KÖT)","09151",L69),Adat!$E:$E)*-1</f>
        <v>0</v>
      </c>
      <c r="H89" s="72">
        <f>SUMIF(Adat!$AH:$AH,CONCATENATE($M$4,"(ÖNV)","09151",L69),Adat!$E:$E)*-1</f>
        <v>0</v>
      </c>
      <c r="I89" s="72">
        <f>SUMIF(Adat!$AH:$AH,CONCATENATE($M$4,"(ÁIG)","09151",L69),Adat!$E:$E)*-1</f>
        <v>0</v>
      </c>
    </row>
    <row r="90" spans="2:9" x14ac:dyDescent="0.2">
      <c r="B90" s="160">
        <v>19</v>
      </c>
      <c r="C90" s="305" t="s">
        <v>1278</v>
      </c>
      <c r="D90" s="82" t="s">
        <v>1337</v>
      </c>
      <c r="E90" s="72">
        <f>SUMIF(Adat!$AG:$AG,CONCATENATE(61,$M$4,"09161",L69),Adat!$E:$E)*-1</f>
        <v>0</v>
      </c>
      <c r="F90" s="72">
        <f>SUMIF(Adat!$AG:$AG,CONCATENATE(60,$M$4,"09161",L69),Adat!$E:$E)*-1+E90</f>
        <v>0</v>
      </c>
      <c r="G90" s="72">
        <f>SUMIF(Adat!$AH:$AH,CONCATENATE($M$4,"(KÖT)","09161",L69),Adat!$E:$E)*-1</f>
        <v>0</v>
      </c>
      <c r="H90" s="72">
        <f>SUMIF(Adat!$AH:$AH,CONCATENATE($M$4,"(ÖNV)","09161",L69),Adat!$E:$E)*-1</f>
        <v>0</v>
      </c>
      <c r="I90" s="72">
        <f>SUMIF(Adat!$AH:$AH,CONCATENATE($M$4,"(ÁIG)","09161",L69),Adat!$E:$E)*-1</f>
        <v>0</v>
      </c>
    </row>
    <row r="91" spans="2:9" x14ac:dyDescent="0.25">
      <c r="B91" s="160">
        <v>20</v>
      </c>
      <c r="C91" s="79" t="s">
        <v>27</v>
      </c>
      <c r="D91" s="79" t="s">
        <v>328</v>
      </c>
      <c r="E91" s="71">
        <f>SUMIF(Adat!$AI:$AI,CONCATENATE(61,$M$4,"093",L69),Adat!$E:$E)*-1</f>
        <v>0</v>
      </c>
      <c r="F91" s="71">
        <f>SUMIF(Adat!$AI:$AI,CONCATENATE(60,$M$4,"093",L69),Adat!$E:$E)*-1+E91</f>
        <v>0</v>
      </c>
      <c r="G91" s="71">
        <f>SUMIF(Adat!$AJ:$AJ,CONCATENATE($M$4,"093","(KÖT)",L69),Adat!$E:$E)*-1</f>
        <v>0</v>
      </c>
      <c r="H91" s="71">
        <f>SUMIF(Adat!$AJ:$AJ,CONCATENATE($M$4,"093","(ÖNV)",L69),Adat!$E:$E)*-1</f>
        <v>0</v>
      </c>
      <c r="I91" s="71">
        <f>SUMIF(Adat!$AJ:$AJ,CONCATENATE($M$4,"093","(ÁIG)",L69),Adat!$E:$E)*-1</f>
        <v>0</v>
      </c>
    </row>
    <row r="92" spans="2:9" x14ac:dyDescent="0.25">
      <c r="B92" s="160">
        <v>21</v>
      </c>
      <c r="C92" s="79" t="s">
        <v>24</v>
      </c>
      <c r="D92" s="79" t="s">
        <v>449</v>
      </c>
      <c r="E92" s="121">
        <f>SUM(E93:E95)</f>
        <v>0</v>
      </c>
      <c r="F92" s="121">
        <f t="shared" ref="F92:I92" si="5">SUM(F93:F95)</f>
        <v>0</v>
      </c>
      <c r="G92" s="121">
        <f t="shared" si="5"/>
        <v>0</v>
      </c>
      <c r="H92" s="121">
        <f t="shared" si="5"/>
        <v>0</v>
      </c>
      <c r="I92" s="121">
        <f t="shared" si="5"/>
        <v>0</v>
      </c>
    </row>
    <row r="93" spans="2:9" x14ac:dyDescent="0.2">
      <c r="B93" s="160">
        <v>22</v>
      </c>
      <c r="C93" s="305" t="s">
        <v>1339</v>
      </c>
      <c r="D93" s="82" t="s">
        <v>1340</v>
      </c>
      <c r="E93" s="72">
        <f>SUMIF(Adat!$AG:$AG,CONCATENATE(61,$M$4,"09211",L69),Adat!$E:$E)*-1</f>
        <v>0</v>
      </c>
      <c r="F93" s="72">
        <f>SUMIF(Adat!$AG:$AG,CONCATENATE(60,$M$4,"09211",L69),Adat!$E:$E)*-1+E93</f>
        <v>0</v>
      </c>
      <c r="G93" s="72">
        <f>SUMIF(Adat!$AH:$AH,CONCATENATE($M$4,"(KÖT)","09211",L69),Adat!$E:$E)*-1</f>
        <v>0</v>
      </c>
      <c r="H93" s="72">
        <f>SUMIF(Adat!$AH:$AH,CONCATENATE($M$4,"(ÖNV)","09211",L69),Adat!$E:$E)*-1</f>
        <v>0</v>
      </c>
      <c r="I93" s="72">
        <f>SUMIF(Adat!$AH:$AH,CONCATENATE($M$4,"(ÁIG)","09211",L69),Adat!$E:$E)*-1</f>
        <v>0</v>
      </c>
    </row>
    <row r="94" spans="2:9" x14ac:dyDescent="0.2">
      <c r="B94" s="160">
        <v>23</v>
      </c>
      <c r="C94" s="305" t="s">
        <v>1345</v>
      </c>
      <c r="D94" s="82" t="s">
        <v>1346</v>
      </c>
      <c r="E94" s="72">
        <f>SUMIF(Adat!$AG:$AG,CONCATENATE(61,$M$4,"09241",L69),Adat!$E:$E)*-1</f>
        <v>0</v>
      </c>
      <c r="F94" s="72">
        <f>SUMIF(Adat!$AG:$AG,CONCATENATE(60,$M$4,"09241",L69),Adat!$E:$E)*-1+E94</f>
        <v>0</v>
      </c>
      <c r="G94" s="72">
        <f>SUMIF(Adat!$AH:$AH,CONCATENATE($M$4,"(KÖT)","09241",L69),Adat!$E:$E)*-1</f>
        <v>0</v>
      </c>
      <c r="H94" s="72">
        <f>SUMIF(Adat!$AH:$AH,CONCATENATE($M$4,"(ÖNV)","09241",L69),Adat!$E:$E)*-1</f>
        <v>0</v>
      </c>
      <c r="I94" s="72">
        <f>SUMIF(Adat!$AH:$AH,CONCATENATE($M$4,"(ÁIG)","09241",L69),Adat!$E:$E)*-1</f>
        <v>0</v>
      </c>
    </row>
    <row r="95" spans="2:9" x14ac:dyDescent="0.2">
      <c r="B95" s="160">
        <v>24</v>
      </c>
      <c r="C95" s="305" t="s">
        <v>1255</v>
      </c>
      <c r="D95" s="82" t="s">
        <v>1347</v>
      </c>
      <c r="E95" s="72">
        <f>SUMIF(Adat!$AG:$AG,CONCATENATE(61,$M$4,"09251",L69),Adat!$E:$E)*-1</f>
        <v>0</v>
      </c>
      <c r="F95" s="72">
        <f>SUMIF(Adat!$AG:$AG,CONCATENATE(60,$M$4,"09251",L69),Adat!$E:$E)*-1+E95</f>
        <v>0</v>
      </c>
      <c r="G95" s="72">
        <f>SUMIF(Adat!$AH:$AH,CONCATENATE($M$4,"(KÖT)","09251",L69),Adat!$E:$E)*-1</f>
        <v>0</v>
      </c>
      <c r="H95" s="72">
        <f>SUMIF(Adat!$AH:$AH,CONCATENATE($M$4,"(ÖNV)","09251",L69),Adat!$E:$E)*-1</f>
        <v>0</v>
      </c>
      <c r="I95" s="72">
        <f>SUMIF(Adat!$AH:$AH,CONCATENATE($M$4,"(ÁIG)","09251",L69),Adat!$E:$E)*-1</f>
        <v>0</v>
      </c>
    </row>
    <row r="96" spans="2:9" x14ac:dyDescent="0.25">
      <c r="B96" s="160">
        <v>25</v>
      </c>
      <c r="C96" s="79" t="s">
        <v>33</v>
      </c>
      <c r="D96" s="79" t="s">
        <v>330</v>
      </c>
      <c r="E96" s="121">
        <f>SUM(E97:E99)</f>
        <v>0</v>
      </c>
      <c r="F96" s="121">
        <f t="shared" ref="F96:I96" si="6">SUM(F97:F99)</f>
        <v>0</v>
      </c>
      <c r="G96" s="121">
        <f t="shared" si="6"/>
        <v>0</v>
      </c>
      <c r="H96" s="121">
        <f t="shared" si="6"/>
        <v>0</v>
      </c>
      <c r="I96" s="121">
        <f t="shared" si="6"/>
        <v>0</v>
      </c>
    </row>
    <row r="97" spans="2:12" x14ac:dyDescent="0.2">
      <c r="B97" s="160">
        <v>26</v>
      </c>
      <c r="C97" s="305" t="s">
        <v>1373</v>
      </c>
      <c r="D97" s="82" t="s">
        <v>1374</v>
      </c>
      <c r="E97" s="72">
        <f>SUMIF(Adat!$AG:$AG,CONCATENATE(61,$M$4,"09511",L69),Adat!$E:$E)*-1</f>
        <v>0</v>
      </c>
      <c r="F97" s="72">
        <f>SUMIF(Adat!$AG:$AG,CONCATENATE(60,$M$4,"09511",L69),Adat!$E:$E)*-1+E97</f>
        <v>0</v>
      </c>
      <c r="G97" s="72">
        <f>SUMIF(Adat!$AH:$AH,CONCATENATE($M$4,"(KÖT)","09511",L69),Adat!$E:$E)*-1</f>
        <v>0</v>
      </c>
      <c r="H97" s="72">
        <f>SUMIF(Adat!$AH:$AH,CONCATENATE($M$4,"(ÖNV)","09511",L69),Adat!$E:$E)*-1</f>
        <v>0</v>
      </c>
      <c r="I97" s="72">
        <f>SUMIF(Adat!$AH:$AH,CONCATENATE($M$4,"(ÁIG)","09511",L69),Adat!$E:$E)*-1</f>
        <v>0</v>
      </c>
    </row>
    <row r="98" spans="2:12" x14ac:dyDescent="0.2">
      <c r="B98" s="160">
        <v>27</v>
      </c>
      <c r="C98" s="305" t="s">
        <v>1294</v>
      </c>
      <c r="D98" s="82" t="s">
        <v>1375</v>
      </c>
      <c r="E98" s="72">
        <f>SUMIF(Adat!$AG:$AG,CONCATENATE(61,$M$4,"09521",L69),Adat!$E:$E)*-1</f>
        <v>0</v>
      </c>
      <c r="F98" s="72">
        <f>SUMIF(Adat!$AG:$AG,CONCATENATE(60,$M$4,"09521",L69),Adat!$E:$E)*-1+E98</f>
        <v>0</v>
      </c>
      <c r="G98" s="72">
        <f>SUMIF(Adat!$AH:$AH,CONCATENATE($M$4,"(KÖT)","09521",L69),Adat!$E:$E)*-1</f>
        <v>0</v>
      </c>
      <c r="H98" s="72">
        <f>SUMIF(Adat!$AH:$AH,CONCATENATE($M$4,"(ÖNV)","09521",L69),Adat!$E:$E)*-1</f>
        <v>0</v>
      </c>
      <c r="I98" s="72">
        <f>SUMIF(Adat!$AH:$AH,CONCATENATE($M$4,"(ÁIG)","09521",L69),Adat!$E:$E)*-1</f>
        <v>0</v>
      </c>
    </row>
    <row r="99" spans="2:12" x14ac:dyDescent="0.2">
      <c r="B99" s="160">
        <v>28</v>
      </c>
      <c r="C99" s="305" t="s">
        <v>1376</v>
      </c>
      <c r="D99" s="82" t="s">
        <v>1377</v>
      </c>
      <c r="E99" s="72">
        <f>SUMIF(Adat!$AG:$AG,CONCATENATE(61,$M$4,"09531",L69),Adat!$E:$E)*-1</f>
        <v>0</v>
      </c>
      <c r="F99" s="72">
        <f>SUMIF(Adat!$AG:$AG,CONCATENATE(60,$M$4,"09531",L69),Adat!$E:$E)*-1+E99</f>
        <v>0</v>
      </c>
      <c r="G99" s="72">
        <f>SUMIF(Adat!$AH:$AH,CONCATENATE($M$4,"(KÖT)","09531",L69),Adat!$E:$E)*-1</f>
        <v>0</v>
      </c>
      <c r="H99" s="72">
        <f>SUMIF(Adat!$AH:$AH,CONCATENATE($M$4,"(ÖNV)","09531",L69),Adat!$E:$E)*-1</f>
        <v>0</v>
      </c>
      <c r="I99" s="72">
        <f>SUMIF(Adat!$AH:$AH,CONCATENATE($M$4,"(ÁIG)","09531",L69),Adat!$E:$E)*-1</f>
        <v>0</v>
      </c>
    </row>
    <row r="100" spans="2:12" x14ac:dyDescent="0.25">
      <c r="B100" s="160">
        <v>29</v>
      </c>
      <c r="C100" s="79" t="s">
        <v>36</v>
      </c>
      <c r="D100" s="79" t="s">
        <v>331</v>
      </c>
      <c r="E100" s="71">
        <f>SUMIF(Adat!$AI:$AI,CONCATENATE(61,$M$4,"096",L69),Adat!$E:$E)*-1</f>
        <v>0</v>
      </c>
      <c r="F100" s="71">
        <f>SUMIF(Adat!$AI:$AI,CONCATENATE(60,$M$4,"096",L69),Adat!$E:$E)*-1+E100</f>
        <v>0</v>
      </c>
      <c r="G100" s="71">
        <f>SUMIF(Adat!$AJ:$AJ,CONCATENATE($M$4,"096","(KÖT)",L69),Adat!$E:$E)*-1</f>
        <v>0</v>
      </c>
      <c r="H100" s="71">
        <f>SUMIF(Adat!$AJ:$AJ,CONCATENATE($M$4,"096","(ÖNV)",L69),Adat!$E:$E)*-1</f>
        <v>0</v>
      </c>
      <c r="I100" s="71">
        <f>SUMIF(Adat!$AJ:$AJ,CONCATENATE($M$4,"096","(ÁIG)",L69),Adat!$E:$E)*-1</f>
        <v>0</v>
      </c>
    </row>
    <row r="101" spans="2:12" x14ac:dyDescent="0.25">
      <c r="B101" s="160">
        <v>30</v>
      </c>
      <c r="C101" s="79" t="s">
        <v>38</v>
      </c>
      <c r="D101" s="85" t="s">
        <v>332</v>
      </c>
      <c r="E101" s="71">
        <f>SUMIF(Adat!$AI:$AI,CONCATENATE(61,$M$4,"097",L69),Adat!$E:$E)*-1</f>
        <v>0</v>
      </c>
      <c r="F101" s="71">
        <f>SUMIF(Adat!$AI:$AI,CONCATENATE(60,$M$4,"097",L69),Adat!$E:$E)*-1+E101</f>
        <v>0</v>
      </c>
      <c r="G101" s="71">
        <f>SUMIF(Adat!$AJ:$AJ,CONCATENATE($M$4,"097","(KÖT)",L69),Adat!$E:$E)*-1</f>
        <v>0</v>
      </c>
      <c r="H101" s="71">
        <f>SUMIF(Adat!$AJ:$AJ,CONCATENATE($M$4,"097","(ÖNV)",L69),Adat!$E:$E)*-1</f>
        <v>0</v>
      </c>
      <c r="I101" s="71">
        <f>SUMIF(Adat!$AJ:$AJ,CONCATENATE($M$4,"097","(ÁIG)",L69),Adat!$E:$E)*-1</f>
        <v>0</v>
      </c>
    </row>
    <row r="102" spans="2:12" x14ac:dyDescent="0.25">
      <c r="B102" s="160">
        <v>31</v>
      </c>
      <c r="C102" s="154" t="s">
        <v>352</v>
      </c>
      <c r="D102" s="86" t="s">
        <v>1500</v>
      </c>
      <c r="E102" s="121">
        <f>E73+E87+E91+E92+E96+E100+E101</f>
        <v>0</v>
      </c>
      <c r="F102" s="121">
        <f>F73+F87+F91+F92+F96+F100+F101</f>
        <v>0</v>
      </c>
      <c r="G102" s="121">
        <f>G73+G87+G91+G92+G96+G100+G101</f>
        <v>0</v>
      </c>
      <c r="H102" s="121">
        <f>H73+H87+H91+H92+H96+H100+H101</f>
        <v>0</v>
      </c>
      <c r="I102" s="121">
        <f>I73+I87+I91+I92+I96+I100+I101</f>
        <v>0</v>
      </c>
    </row>
    <row r="103" spans="2:12" x14ac:dyDescent="0.25">
      <c r="B103" s="160">
        <v>32</v>
      </c>
      <c r="C103" s="154" t="s">
        <v>358</v>
      </c>
      <c r="D103" s="86" t="s">
        <v>333</v>
      </c>
      <c r="E103" s="121">
        <f>SUM(E104:E106)</f>
        <v>0</v>
      </c>
      <c r="F103" s="121">
        <f t="shared" ref="F103:I103" si="7">SUM(F104:F106)</f>
        <v>0</v>
      </c>
      <c r="G103" s="121">
        <f t="shared" si="7"/>
        <v>0</v>
      </c>
      <c r="H103" s="121">
        <f t="shared" si="7"/>
        <v>0</v>
      </c>
      <c r="I103" s="121">
        <f t="shared" si="7"/>
        <v>0</v>
      </c>
    </row>
    <row r="104" spans="2:12" x14ac:dyDescent="0.2">
      <c r="B104" s="160">
        <v>33</v>
      </c>
      <c r="C104" s="305" t="s">
        <v>1274</v>
      </c>
      <c r="D104" s="82" t="s">
        <v>1419</v>
      </c>
      <c r="E104" s="72">
        <f>SUMIF(Adat!$AG:$AG,CONCATENATE(61,$M$4,"0981311",L69),Adat!$E:$E)*-1</f>
        <v>0</v>
      </c>
      <c r="F104" s="72">
        <f>SUMIF(Adat!$AG:$AG,CONCATENATE(60,$M$4,"0981311",L69),Adat!$E:$E)*-1+E104</f>
        <v>0</v>
      </c>
      <c r="G104" s="72">
        <f>SUMIF(Adat!$AH:$AH,CONCATENATE($M$4,"(KÖT)","0981311",L69),Adat!$E:$E)*-1</f>
        <v>0</v>
      </c>
      <c r="H104" s="72">
        <f>SUMIF(Adat!$AH:$AH,CONCATENATE($M$4,"(ÖNV)","0981311",L69),Adat!$E:$E)*-1</f>
        <v>0</v>
      </c>
      <c r="I104" s="72">
        <f>SUMIF(Adat!$AH:$AH,CONCATENATE($M$4,"(ÁIG)","0981311",L69),Adat!$E:$E)*-1</f>
        <v>0</v>
      </c>
    </row>
    <row r="105" spans="2:12" x14ac:dyDescent="0.25">
      <c r="B105" s="160">
        <v>34</v>
      </c>
      <c r="C105" s="305" t="s">
        <v>1420</v>
      </c>
      <c r="D105" s="84" t="s">
        <v>1421</v>
      </c>
      <c r="E105" s="72">
        <f>SUMIF(Adat!$AG:$AG,CONCATENATE(61,$M$4,"0981321",L69),Adat!$E:$E)*-1</f>
        <v>0</v>
      </c>
      <c r="F105" s="72">
        <f>SUMIF(Adat!$AG:$AG,CONCATENATE(60,$M$4,"0981321",L69),Adat!$E:$E)*-1+E105</f>
        <v>0</v>
      </c>
      <c r="G105" s="72">
        <f>SUMIF(Adat!$AH:$AH,CONCATENATE($M$4,"(KÖT)","0981321",L69),Adat!$E:$E)*-1</f>
        <v>0</v>
      </c>
      <c r="H105" s="72">
        <f>SUMIF(Adat!$AH:$AH,CONCATENATE($M$4,"(ÖNV)","0981321",L69),Adat!$E:$E)*-1</f>
        <v>0</v>
      </c>
      <c r="I105" s="72">
        <f>SUMIF(Adat!$AH:$AH,CONCATENATE($M$4,"(ÁIG)","0981321",L69),Adat!$E:$E)*-1</f>
        <v>0</v>
      </c>
    </row>
    <row r="106" spans="2:12" x14ac:dyDescent="0.25">
      <c r="B106" s="160">
        <v>35</v>
      </c>
      <c r="C106" s="319" t="s">
        <v>1275</v>
      </c>
      <c r="D106" s="84" t="s">
        <v>1501</v>
      </c>
      <c r="E106" s="72">
        <f>SUMIF(Adat!$AG:$AG,CONCATENATE(61,$M$4,"098161",L69),Adat!$E:$E)*-1</f>
        <v>0</v>
      </c>
      <c r="F106" s="72">
        <f>SUMIF(Adat!$AG:$AG,CONCATENATE(60,$M$4,"098161",L69),Adat!$E:$E)*-1+E106</f>
        <v>0</v>
      </c>
      <c r="G106" s="72">
        <f>SUMIF(Adat!$AH:$AH,CONCATENATE($M$4,"(KÖT)","098161",L69),Adat!$E:$E)*-1</f>
        <v>0</v>
      </c>
      <c r="H106" s="72">
        <f>SUMIF(Adat!$AH:$AH,CONCATENATE($M$4,"(ÖNV)","098161",L69),Adat!$E:$E)*-1</f>
        <v>0</v>
      </c>
      <c r="I106" s="72">
        <f>SUMIF(Adat!$AH:$AH,CONCATENATE($M$4,"(ÁIG)","098161",L69),Adat!$E:$E)*-1</f>
        <v>0</v>
      </c>
    </row>
    <row r="107" spans="2:12" x14ac:dyDescent="0.25">
      <c r="B107" s="160">
        <v>36</v>
      </c>
      <c r="C107" s="154" t="s">
        <v>364</v>
      </c>
      <c r="D107" s="159" t="s">
        <v>1502</v>
      </c>
      <c r="E107" s="121">
        <f>+E102+E103</f>
        <v>0</v>
      </c>
      <c r="F107" s="121">
        <f>+F102+F103</f>
        <v>0</v>
      </c>
      <c r="G107" s="121">
        <f>+G102+G103</f>
        <v>0</v>
      </c>
      <c r="H107" s="121">
        <f>+H102+H103</f>
        <v>0</v>
      </c>
      <c r="I107" s="121">
        <f>+I102+I103</f>
        <v>0</v>
      </c>
    </row>
    <row r="108" spans="2:12" ht="15.75" x14ac:dyDescent="0.25">
      <c r="B108" s="38"/>
      <c r="C108" s="156"/>
      <c r="D108" s="38"/>
      <c r="E108" s="140"/>
      <c r="F108" s="430"/>
      <c r="G108" s="140"/>
      <c r="H108" s="140"/>
      <c r="I108" s="140"/>
    </row>
    <row r="109" spans="2:12" s="10" customFormat="1" ht="15.75" customHeight="1" x14ac:dyDescent="0.25">
      <c r="B109" s="201" t="str">
        <f>CONCATENATE("4. Kiadási jogcímek"," - ",L109," részletező")</f>
        <v>4. Kiadási jogcímek -  részletező</v>
      </c>
      <c r="C109" s="101"/>
      <c r="D109" s="101"/>
      <c r="E109" s="101"/>
      <c r="F109" s="101"/>
      <c r="G109" s="198"/>
      <c r="H109" s="198"/>
      <c r="I109" s="198"/>
      <c r="L109" s="384"/>
    </row>
    <row r="110" spans="2:12" ht="15.75" x14ac:dyDescent="0.25">
      <c r="B110" s="38"/>
      <c r="C110" s="156"/>
      <c r="D110" s="38"/>
      <c r="E110" s="140"/>
      <c r="F110" s="140"/>
      <c r="G110" s="140"/>
      <c r="H110" s="140"/>
      <c r="I110" s="140"/>
    </row>
    <row r="111" spans="2:12" x14ac:dyDescent="0.25">
      <c r="B111" s="77"/>
      <c r="C111" s="77" t="s">
        <v>350</v>
      </c>
      <c r="D111" s="77" t="s">
        <v>351</v>
      </c>
      <c r="E111" s="77" t="s">
        <v>470</v>
      </c>
      <c r="F111" s="77" t="s">
        <v>471</v>
      </c>
      <c r="G111" s="77" t="s">
        <v>44</v>
      </c>
      <c r="H111" s="77" t="s">
        <v>42</v>
      </c>
      <c r="I111" s="77" t="s">
        <v>511</v>
      </c>
    </row>
    <row r="112" spans="2:12" ht="38.25" x14ac:dyDescent="0.25">
      <c r="B112" s="160">
        <v>1</v>
      </c>
      <c r="C112" s="154" t="s">
        <v>593</v>
      </c>
      <c r="D112" s="154" t="s">
        <v>488</v>
      </c>
      <c r="E112" s="163" t="str">
        <f>CONCATENATE(PAR!$H$3," évi
eredeti 
előirányzat")</f>
        <v>2025. évi
eredeti 
előirányzat</v>
      </c>
      <c r="F112" s="163" t="str">
        <f>CONCATENATE(PAR!$H$3," évi
módosított 
előirányzat")</f>
        <v>2025. évi
módosított 
előirányzat</v>
      </c>
      <c r="G112" s="78" t="s">
        <v>666</v>
      </c>
      <c r="H112" s="78" t="s">
        <v>667</v>
      </c>
      <c r="I112" s="78" t="s">
        <v>668</v>
      </c>
    </row>
    <row r="113" spans="2:9" x14ac:dyDescent="0.25">
      <c r="B113" s="160">
        <v>2</v>
      </c>
      <c r="C113" s="78" t="s">
        <v>352</v>
      </c>
      <c r="D113" s="92" t="s">
        <v>1444</v>
      </c>
      <c r="E113" s="121">
        <f>SUM(E114:E118)</f>
        <v>0</v>
      </c>
      <c r="F113" s="121">
        <f>SUM(F114:F118)</f>
        <v>0</v>
      </c>
      <c r="G113" s="121">
        <f>SUM(G114:G118)</f>
        <v>0</v>
      </c>
      <c r="H113" s="121">
        <f>SUM(H114:H118)</f>
        <v>0</v>
      </c>
      <c r="I113" s="121">
        <f>SUM(I114:I118)</f>
        <v>0</v>
      </c>
    </row>
    <row r="114" spans="2:9" x14ac:dyDescent="0.25">
      <c r="B114" s="160">
        <v>3</v>
      </c>
      <c r="C114" s="305" t="s">
        <v>315</v>
      </c>
      <c r="D114" s="93" t="s">
        <v>342</v>
      </c>
      <c r="E114" s="72">
        <f>SUMIF(Adat!$AI:$AI,CONCATENATE(61,$M$4,"051",L109),Adat!$E:$E)</f>
        <v>0</v>
      </c>
      <c r="F114" s="72">
        <f>SUMIF(Adat!$AI:$AI,CONCATENATE(60,$M$4,"051",L109),Adat!$E:$E)+E114</f>
        <v>0</v>
      </c>
      <c r="G114" s="72">
        <f>SUMIF(Adat!$AJ:$AJ,CONCATENATE($M$4,"051","(KÖT)",L109),Adat!$E:$E)</f>
        <v>0</v>
      </c>
      <c r="H114" s="72">
        <f>SUMIF(Adat!$AJ:$AJ,CONCATENATE($M$4,"051","(ÖNV)",L109),Adat!$E:$E)</f>
        <v>0</v>
      </c>
      <c r="I114" s="72">
        <f>SUMIF(Adat!$AJ:$AJ,CONCATENATE($M$4,"051","(ÁIG)",L109),Adat!$E:$E)</f>
        <v>0</v>
      </c>
    </row>
    <row r="115" spans="2:9" x14ac:dyDescent="0.25">
      <c r="B115" s="160">
        <v>4</v>
      </c>
      <c r="C115" s="305" t="s">
        <v>317</v>
      </c>
      <c r="D115" s="93" t="s">
        <v>395</v>
      </c>
      <c r="E115" s="72">
        <f>SUMIF(Adat!$AI:$AI,CONCATENATE(61,$M$4,"052",L109),Adat!$E:$E)</f>
        <v>0</v>
      </c>
      <c r="F115" s="72">
        <f>SUMIF(Adat!$AI:$AI,CONCATENATE(60,$M$4,"052",L109),Adat!$E:$E)+E115</f>
        <v>0</v>
      </c>
      <c r="G115" s="72">
        <f>SUMIF(Adat!$AJ:$AJ,CONCATENATE($M$4,"052","(KÖT)",L109),Adat!$E:$E)</f>
        <v>0</v>
      </c>
      <c r="H115" s="72">
        <f>SUMIF(Adat!$AJ:$AJ,CONCATENATE($M$4,"052","(ÖNV)",L109),Adat!$E:$E)</f>
        <v>0</v>
      </c>
      <c r="I115" s="72">
        <f>SUMIF(Adat!$AJ:$AJ,CONCATENATE($M$4,"052","(ÁIG)",L109),Adat!$E:$E)</f>
        <v>0</v>
      </c>
    </row>
    <row r="116" spans="2:9" x14ac:dyDescent="0.25">
      <c r="B116" s="160">
        <v>5</v>
      </c>
      <c r="C116" s="305" t="s">
        <v>4</v>
      </c>
      <c r="D116" s="93" t="s">
        <v>344</v>
      </c>
      <c r="E116" s="72">
        <f>SUMIF(Adat!$AI:$AI,CONCATENATE(61,$M$4,"053",L109),Adat!$E:$E)</f>
        <v>0</v>
      </c>
      <c r="F116" s="72">
        <f>SUMIF(Adat!$AI:$AI,CONCATENATE(60,$M$4,"053",L109),Adat!$E:$E)+E116</f>
        <v>0</v>
      </c>
      <c r="G116" s="72">
        <f>SUMIF(Adat!$AJ:$AJ,CONCATENATE($M$4,"053","(KÖT)",L109),Adat!$E:$E)</f>
        <v>0</v>
      </c>
      <c r="H116" s="72">
        <f>SUMIF(Adat!$AJ:$AJ,CONCATENATE($M$4,"053","(ÖNV)",L109),Adat!$E:$E)</f>
        <v>0</v>
      </c>
      <c r="I116" s="72">
        <f>SUMIF(Adat!$AJ:$AJ,CONCATENATE($M$4,"053","(ÁIG)",L109),Adat!$E:$E)</f>
        <v>0</v>
      </c>
    </row>
    <row r="117" spans="2:9" x14ac:dyDescent="0.25">
      <c r="B117" s="160">
        <v>6</v>
      </c>
      <c r="C117" s="305" t="s">
        <v>6</v>
      </c>
      <c r="D117" s="93" t="s">
        <v>345</v>
      </c>
      <c r="E117" s="72">
        <f>SUMIF(Adat!$AI:$AI,CONCATENATE(61,$M$4,"054",L109),Adat!$E:$E)</f>
        <v>0</v>
      </c>
      <c r="F117" s="72">
        <f>SUMIF(Adat!$AI:$AI,CONCATENATE(60,$M$4,"054",L109),Adat!$E:$E)+E117</f>
        <v>0</v>
      </c>
      <c r="G117" s="72">
        <f>SUMIF(Adat!$AJ:$AJ,CONCATENATE($M$4,"054","(KÖT)",L109),Adat!$E:$E)</f>
        <v>0</v>
      </c>
      <c r="H117" s="72">
        <f>SUMIF(Adat!$AJ:$AJ,CONCATENATE($M$4,"054","(ÖNV)",L109),Adat!$E:$E)</f>
        <v>0</v>
      </c>
      <c r="I117" s="72">
        <f>SUMIF(Adat!$AJ:$AJ,CONCATENATE($M$4,"054","(ÁIG)",L109),Adat!$E:$E)</f>
        <v>0</v>
      </c>
    </row>
    <row r="118" spans="2:9" x14ac:dyDescent="0.25">
      <c r="B118" s="160">
        <v>7</v>
      </c>
      <c r="C118" s="305" t="s">
        <v>8</v>
      </c>
      <c r="D118" s="93" t="s">
        <v>321</v>
      </c>
      <c r="E118" s="72">
        <f>SUMIF(Adat!$AI:$AI,CONCATENATE(61,$M$4,"055",L109),Adat!$E:$E)</f>
        <v>0</v>
      </c>
      <c r="F118" s="72">
        <f>SUMIF(Adat!$AI:$AI,CONCATENATE(60,$M$4,"055",L109),Adat!$E:$E)+E118</f>
        <v>0</v>
      </c>
      <c r="G118" s="72">
        <f>SUMIF(Adat!$AJ:$AJ,CONCATENATE($M$4,"055","(KÖT)",L109),Adat!$E:$E)</f>
        <v>0</v>
      </c>
      <c r="H118" s="72">
        <f>SUMIF(Adat!$AJ:$AJ,CONCATENATE($M$4,"055","(ÖNV)",L109),Adat!$E:$E)</f>
        <v>0</v>
      </c>
      <c r="I118" s="72">
        <f>SUMIF(Adat!$AJ:$AJ,CONCATENATE($M$4,"055","(ÁIG)",L109),Adat!$E:$E)</f>
        <v>0</v>
      </c>
    </row>
    <row r="119" spans="2:9" x14ac:dyDescent="0.25">
      <c r="B119" s="160">
        <v>8</v>
      </c>
      <c r="C119" s="78" t="s">
        <v>358</v>
      </c>
      <c r="D119" s="92" t="s">
        <v>1447</v>
      </c>
      <c r="E119" s="121">
        <f>E120+E122+E124</f>
        <v>0</v>
      </c>
      <c r="F119" s="121">
        <f>F120+F122+F124</f>
        <v>0</v>
      </c>
      <c r="G119" s="121">
        <f>G120+G122+G124</f>
        <v>0</v>
      </c>
      <c r="H119" s="121">
        <f>H120+H122+H124</f>
        <v>0</v>
      </c>
      <c r="I119" s="121">
        <f>I120+I122+I124</f>
        <v>0</v>
      </c>
    </row>
    <row r="120" spans="2:9" x14ac:dyDescent="0.25">
      <c r="B120" s="160">
        <v>9</v>
      </c>
      <c r="C120" s="305" t="s">
        <v>10</v>
      </c>
      <c r="D120" s="93" t="s">
        <v>322</v>
      </c>
      <c r="E120" s="72">
        <f>SUMIF(Adat!$AI:$AI,CONCATENATE(61,$M$4,"056",L109),Adat!$E:$E)</f>
        <v>0</v>
      </c>
      <c r="F120" s="72">
        <f>SUMIF(Adat!$AI:$AI,CONCATENATE(60,$M$4,"056",L109),Adat!$E:$E)+E120</f>
        <v>0</v>
      </c>
      <c r="G120" s="72">
        <f>SUMIF(Adat!$AJ:$AJ,CONCATENATE($M$4,"056","(KÖT)",L109),Adat!$E:$E)</f>
        <v>0</v>
      </c>
      <c r="H120" s="72">
        <f>SUMIF(Adat!$AJ:$AJ,CONCATENATE($M$4,"056","(ÖNV)",L109),Adat!$E:$E)</f>
        <v>0</v>
      </c>
      <c r="I120" s="72">
        <f>SUMIF(Adat!$AJ:$AJ,CONCATENATE($M$4,"056","(ÁIG)",L109),Adat!$E:$E)</f>
        <v>0</v>
      </c>
    </row>
    <row r="121" spans="2:9" x14ac:dyDescent="0.25">
      <c r="B121" s="160">
        <v>10</v>
      </c>
      <c r="C121" s="305" t="s">
        <v>10</v>
      </c>
      <c r="D121" s="93" t="s">
        <v>1448</v>
      </c>
      <c r="E121" s="72">
        <v>0</v>
      </c>
      <c r="F121" s="72">
        <f>SUM(G121:I121)</f>
        <v>0</v>
      </c>
      <c r="G121" s="72">
        <v>0</v>
      </c>
      <c r="H121" s="72">
        <v>0</v>
      </c>
      <c r="I121" s="72">
        <v>0</v>
      </c>
    </row>
    <row r="122" spans="2:9" x14ac:dyDescent="0.25">
      <c r="B122" s="160">
        <v>11</v>
      </c>
      <c r="C122" s="305" t="s">
        <v>12</v>
      </c>
      <c r="D122" s="93" t="s">
        <v>323</v>
      </c>
      <c r="E122" s="72">
        <f>SUMIF(Adat!$AI:$AI,CONCATENATE(61,$M$4,"057",L109),Adat!$E:$E)</f>
        <v>0</v>
      </c>
      <c r="F122" s="72">
        <f>SUMIF(Adat!$AI:$AI,CONCATENATE(60,$M$4,"057",L109),Adat!$E:$E)+E122</f>
        <v>0</v>
      </c>
      <c r="G122" s="72">
        <f>SUMIF(Adat!$AJ:$AJ,CONCATENATE($M$4,"057","(KÖT)",L109),Adat!$E:$E)</f>
        <v>0</v>
      </c>
      <c r="H122" s="72">
        <f>SUMIF(Adat!$AJ:$AJ,CONCATENATE($M$4,"057","(ÖNV)",L109),Adat!$E:$E)</f>
        <v>0</v>
      </c>
      <c r="I122" s="72">
        <f>SUMIF(Adat!$AJ:$AJ,CONCATENATE($M$4,"057","(ÁIG)",L109),Adat!$E:$E)</f>
        <v>0</v>
      </c>
    </row>
    <row r="123" spans="2:9" x14ac:dyDescent="0.25">
      <c r="B123" s="160">
        <v>12</v>
      </c>
      <c r="C123" s="305" t="s">
        <v>12</v>
      </c>
      <c r="D123" s="93" t="s">
        <v>1449</v>
      </c>
      <c r="E123" s="72">
        <v>0</v>
      </c>
      <c r="F123" s="72">
        <f>SUM(G123:I123)</f>
        <v>0</v>
      </c>
      <c r="G123" s="72">
        <v>0</v>
      </c>
      <c r="H123" s="72">
        <v>0</v>
      </c>
      <c r="I123" s="72">
        <v>0</v>
      </c>
    </row>
    <row r="124" spans="2:9" x14ac:dyDescent="0.25">
      <c r="B124" s="160">
        <v>13</v>
      </c>
      <c r="C124" s="305" t="s">
        <v>15</v>
      </c>
      <c r="D124" s="84" t="s">
        <v>324</v>
      </c>
      <c r="E124" s="72">
        <f>SUMIF(Adat!$AI:$AI,CONCATENATE(61,$M$4,"058",L109),Adat!$E:$E)</f>
        <v>0</v>
      </c>
      <c r="F124" s="72">
        <f>SUMIF(Adat!$AI:$AI,CONCATENATE(60,$M$4,"058",L109),Adat!$E:$E)+E124</f>
        <v>0</v>
      </c>
      <c r="G124" s="72">
        <f>SUMIF(Adat!$AJ:$AJ,CONCATENATE($M$4,"058","(KÖT)",L109),Adat!$E:$E)</f>
        <v>0</v>
      </c>
      <c r="H124" s="72">
        <f>SUMIF(Adat!$AJ:$AJ,CONCATENATE($M$4,"058","(ÖNV)",L109),Adat!$E:$E)</f>
        <v>0</v>
      </c>
      <c r="I124" s="72">
        <f>SUMIF(Adat!$AJ:$AJ,CONCATENATE($M$4,"058","(ÁIG)",L109),Adat!$E:$E)</f>
        <v>0</v>
      </c>
    </row>
    <row r="125" spans="2:9" x14ac:dyDescent="0.25">
      <c r="B125" s="160">
        <v>14</v>
      </c>
      <c r="C125" s="154" t="s">
        <v>364</v>
      </c>
      <c r="D125" s="86" t="s">
        <v>325</v>
      </c>
      <c r="E125" s="71">
        <f>SUMIF(Adat!$AI:$AI,CONCATENATE(61,$M$4,"059",L109),Adat!$E:$E)</f>
        <v>0</v>
      </c>
      <c r="F125" s="71">
        <f>SUMIF(Adat!$AI:$AI,CONCATENATE(60,$M$4,"059",L109),Adat!$E:$E)+E125</f>
        <v>0</v>
      </c>
      <c r="G125" s="71">
        <f>SUMIF(Adat!$AJ:$AJ,CONCATENATE($M$4,"059","(KÖT)",L109),Adat!$E:$E)</f>
        <v>0</v>
      </c>
      <c r="H125" s="71">
        <f>SUMIF(Adat!$AJ:$AJ,CONCATENATE($M$4,"059","(ÖNV)",L109),Adat!$E:$E)</f>
        <v>0</v>
      </c>
      <c r="I125" s="71">
        <f>SUMIF(Adat!$AJ:$AJ,CONCATENATE($M$4,"059","(ÁIG)",L109),Adat!$E:$E)</f>
        <v>0</v>
      </c>
    </row>
    <row r="126" spans="2:9" x14ac:dyDescent="0.25">
      <c r="B126" s="160">
        <v>15</v>
      </c>
      <c r="C126" s="154" t="s">
        <v>403</v>
      </c>
      <c r="D126" s="159" t="s">
        <v>497</v>
      </c>
      <c r="E126" s="121">
        <f>E113+E119+E125</f>
        <v>0</v>
      </c>
      <c r="F126" s="121">
        <f>F113+F119+F125</f>
        <v>0</v>
      </c>
      <c r="G126" s="121">
        <f>G113+G119+G125</f>
        <v>0</v>
      </c>
      <c r="H126" s="121">
        <f>H113+H119+H125</f>
        <v>0</v>
      </c>
      <c r="I126" s="121">
        <f>I113+I119+I125</f>
        <v>0</v>
      </c>
    </row>
    <row r="127" spans="2:9" ht="15.75" x14ac:dyDescent="0.25">
      <c r="B127" s="37"/>
      <c r="C127" s="529"/>
      <c r="D127" s="529"/>
      <c r="E127" s="529"/>
      <c r="F127" s="200"/>
      <c r="G127" s="200"/>
      <c r="H127" s="200"/>
      <c r="I127" s="200"/>
    </row>
    <row r="128" spans="2:9" ht="15.75" x14ac:dyDescent="0.25">
      <c r="B128" s="525" t="str">
        <f>$N$4</f>
        <v>Gondozási Központ</v>
      </c>
      <c r="C128" s="525"/>
      <c r="D128" s="525"/>
      <c r="E128" s="525"/>
      <c r="F128" s="525"/>
      <c r="G128" s="525"/>
      <c r="H128" s="525"/>
      <c r="I128" s="525"/>
    </row>
    <row r="129" spans="2:12" ht="15.75" x14ac:dyDescent="0.25">
      <c r="B129" s="525" t="s">
        <v>2660</v>
      </c>
      <c r="C129" s="525"/>
      <c r="D129" s="525"/>
      <c r="E129" s="525"/>
      <c r="F129" s="525"/>
      <c r="G129" s="525"/>
      <c r="H129" s="525"/>
      <c r="I129" s="525"/>
    </row>
    <row r="130" spans="2:12" ht="15.75" x14ac:dyDescent="0.25">
      <c r="B130" s="38"/>
      <c r="C130" s="156"/>
      <c r="D130" s="38"/>
      <c r="E130" s="140"/>
      <c r="F130" s="140"/>
      <c r="G130" s="140"/>
      <c r="H130" s="140"/>
      <c r="I130" s="140"/>
    </row>
    <row r="131" spans="2:12" s="10" customFormat="1" ht="15.75" customHeight="1" x14ac:dyDescent="0.25">
      <c r="B131" s="201" t="str">
        <f>CONCATENATE("5. Bevételi jogcímek"," - ",L131," részletező")</f>
        <v>5. Bevételi jogcímek -  részletező</v>
      </c>
      <c r="C131" s="101"/>
      <c r="D131" s="101"/>
      <c r="E131" s="101"/>
      <c r="F131" s="101"/>
      <c r="G131" s="198"/>
      <c r="H131" s="198"/>
      <c r="I131" s="198"/>
      <c r="L131" s="384"/>
    </row>
    <row r="132" spans="2:12" ht="15.75" x14ac:dyDescent="0.25">
      <c r="B132" s="38"/>
      <c r="C132" s="156"/>
      <c r="D132" s="38"/>
      <c r="E132" s="140"/>
      <c r="F132" s="140"/>
      <c r="G132" s="140"/>
      <c r="H132" s="140"/>
      <c r="I132" s="140"/>
    </row>
    <row r="133" spans="2:12" x14ac:dyDescent="0.25">
      <c r="B133" s="77"/>
      <c r="C133" s="77" t="s">
        <v>350</v>
      </c>
      <c r="D133" s="77" t="s">
        <v>351</v>
      </c>
      <c r="E133" s="77" t="s">
        <v>470</v>
      </c>
      <c r="F133" s="77" t="s">
        <v>471</v>
      </c>
      <c r="G133" s="77" t="s">
        <v>44</v>
      </c>
      <c r="H133" s="77" t="s">
        <v>42</v>
      </c>
      <c r="I133" s="77" t="s">
        <v>511</v>
      </c>
    </row>
    <row r="134" spans="2:12" ht="38.25" x14ac:dyDescent="0.25">
      <c r="B134" s="160">
        <v>1</v>
      </c>
      <c r="C134" s="154" t="s">
        <v>593</v>
      </c>
      <c r="D134" s="154" t="s">
        <v>488</v>
      </c>
      <c r="E134" s="163" t="str">
        <f>CONCATENATE(PAR!$H$3," évi
eredeti 
előirányzat")</f>
        <v>2025. évi
eredeti 
előirányzat</v>
      </c>
      <c r="F134" s="163" t="str">
        <f>CONCATENATE(PAR!$H$3," évi
módosított 
előirányzat")</f>
        <v>2025. évi
módosított 
előirányzat</v>
      </c>
      <c r="G134" s="78" t="s">
        <v>666</v>
      </c>
      <c r="H134" s="78" t="s">
        <v>667</v>
      </c>
      <c r="I134" s="78" t="s">
        <v>668</v>
      </c>
    </row>
    <row r="135" spans="2:12" x14ac:dyDescent="0.25">
      <c r="B135" s="160">
        <v>2</v>
      </c>
      <c r="C135" s="79" t="s">
        <v>30</v>
      </c>
      <c r="D135" s="79" t="s">
        <v>329</v>
      </c>
      <c r="E135" s="121">
        <f>SUM(E136:E148)</f>
        <v>0</v>
      </c>
      <c r="F135" s="121">
        <f t="shared" ref="F135:I135" si="8">SUM(F136:F148)</f>
        <v>0</v>
      </c>
      <c r="G135" s="121">
        <f t="shared" si="8"/>
        <v>0</v>
      </c>
      <c r="H135" s="121">
        <f t="shared" si="8"/>
        <v>0</v>
      </c>
      <c r="I135" s="121">
        <f t="shared" si="8"/>
        <v>0</v>
      </c>
    </row>
    <row r="136" spans="2:12" x14ac:dyDescent="0.2">
      <c r="B136" s="160">
        <v>3</v>
      </c>
      <c r="C136" s="305" t="s">
        <v>1309</v>
      </c>
      <c r="D136" s="82" t="s">
        <v>1356</v>
      </c>
      <c r="E136" s="72">
        <f>SUMIF(Adat!$AG:$AG,CONCATENATE(61,$M$4,"094011",L131),Adat!$E:$E)*-1</f>
        <v>0</v>
      </c>
      <c r="F136" s="72">
        <f>SUMIF(Adat!$AG:$AG,CONCATENATE(60,$M$4,"094011",L131),Adat!$E:$E)*-1+E136</f>
        <v>0</v>
      </c>
      <c r="G136" s="72">
        <f>SUMIF(Adat!$AH:$AH,CONCATENATE($M$4,"(KÖT)","094011",L131),Adat!$E:$E)*-1</f>
        <v>0</v>
      </c>
      <c r="H136" s="72">
        <f>SUMIF(Adat!$AH:$AH,CONCATENATE($M$4,"(ÖNV)","094011",L131),Adat!$E:$E)*-1</f>
        <v>0</v>
      </c>
      <c r="I136" s="72">
        <f>SUMIF(Adat!$AH:$AH,CONCATENATE($M$4,"(ÁIG)","094011",L131),Adat!$E:$E)*-1</f>
        <v>0</v>
      </c>
    </row>
    <row r="137" spans="2:12" x14ac:dyDescent="0.2">
      <c r="B137" s="160">
        <v>4</v>
      </c>
      <c r="C137" s="305" t="s">
        <v>1279</v>
      </c>
      <c r="D137" s="82" t="s">
        <v>1357</v>
      </c>
      <c r="E137" s="72">
        <f>SUMIF(Adat!$AG:$AG,CONCATENATE(61,$M$4,"094021",L131),Adat!$E:$E)*-1</f>
        <v>0</v>
      </c>
      <c r="F137" s="72">
        <f>SUMIF(Adat!$AG:$AG,CONCATENATE(60,$M$4,"094021",L131),Adat!$E:$E)*-1+E137</f>
        <v>0</v>
      </c>
      <c r="G137" s="72">
        <f>SUMIF(Adat!$AH:$AH,CONCATENATE($M$4,"(KÖT)","094021",L131),Adat!$E:$E)*-1</f>
        <v>0</v>
      </c>
      <c r="H137" s="72">
        <f>SUMIF(Adat!$AH:$AH,CONCATENATE($M$4,"(ÖNV)","094021",L131),Adat!$E:$E)*-1</f>
        <v>0</v>
      </c>
      <c r="I137" s="72">
        <f>SUMIF(Adat!$AH:$AH,CONCATENATE($M$4,"(ÁIG)","094021",L131),Adat!$E:$E)*-1</f>
        <v>0</v>
      </c>
    </row>
    <row r="138" spans="2:12" x14ac:dyDescent="0.2">
      <c r="B138" s="160">
        <v>5</v>
      </c>
      <c r="C138" s="305" t="s">
        <v>1272</v>
      </c>
      <c r="D138" s="82" t="s">
        <v>1358</v>
      </c>
      <c r="E138" s="72">
        <f>SUMIF(Adat!$AG:$AG,CONCATENATE(61,$M$4,"094031",L131),Adat!$E:$E)*-1</f>
        <v>0</v>
      </c>
      <c r="F138" s="72">
        <f>SUMIF(Adat!$AG:$AG,CONCATENATE(60,$M$4,"094031",L131),Adat!$E:$E)*-1+E138</f>
        <v>0</v>
      </c>
      <c r="G138" s="72">
        <f>SUMIF(Adat!$AH:$AH,CONCATENATE($M$4,"(KÖT)","094031",L131),Adat!$E:$E)*-1</f>
        <v>0</v>
      </c>
      <c r="H138" s="72">
        <f>SUMIF(Adat!$AH:$AH,CONCATENATE($M$4,"(ÖNV)","094031",L131),Adat!$E:$E)*-1</f>
        <v>0</v>
      </c>
      <c r="I138" s="72">
        <f>SUMIF(Adat!$AH:$AH,CONCATENATE($M$4,"(ÁIG)","094031",L131),Adat!$E:$E)*-1</f>
        <v>0</v>
      </c>
    </row>
    <row r="139" spans="2:12" x14ac:dyDescent="0.2">
      <c r="B139" s="160">
        <v>6</v>
      </c>
      <c r="C139" s="305" t="s">
        <v>1359</v>
      </c>
      <c r="D139" s="82" t="s">
        <v>1360</v>
      </c>
      <c r="E139" s="72">
        <f>SUMIF(Adat!$AG:$AG,CONCATENATE(61,$M$4,"094041",L131),Adat!$E:$E)*-1</f>
        <v>0</v>
      </c>
      <c r="F139" s="72">
        <f>SUMIF(Adat!$AG:$AG,CONCATENATE(60,$M$4,"094041",L131),Adat!$E:$E)*-1+E139</f>
        <v>0</v>
      </c>
      <c r="G139" s="72">
        <f>SUMIF(Adat!$AH:$AH,CONCATENATE($M$4,"(KÖT)","094041",L131),Adat!$E:$E)*-1</f>
        <v>0</v>
      </c>
      <c r="H139" s="72">
        <f>SUMIF(Adat!$AH:$AH,CONCATENATE($M$4,"(ÖNV)","094041",L131),Adat!$E:$E)*-1</f>
        <v>0</v>
      </c>
      <c r="I139" s="72">
        <f>SUMIF(Adat!$AH:$AH,CONCATENATE($M$4,"(ÁIG)","094041",L131),Adat!$E:$E)*-1</f>
        <v>0</v>
      </c>
    </row>
    <row r="140" spans="2:12" x14ac:dyDescent="0.2">
      <c r="B140" s="160">
        <v>7</v>
      </c>
      <c r="C140" s="305" t="s">
        <v>1261</v>
      </c>
      <c r="D140" s="82" t="s">
        <v>1361</v>
      </c>
      <c r="E140" s="72">
        <f>SUMIF(Adat!$AG:$AG,CONCATENATE(61,$M$4,"094051",L131),Adat!$E:$E)*-1</f>
        <v>0</v>
      </c>
      <c r="F140" s="72">
        <f>SUMIF(Adat!$AG:$AG,CONCATENATE(60,$M$4,"094051",L131),Adat!$E:$E)*-1+E140</f>
        <v>0</v>
      </c>
      <c r="G140" s="72">
        <f>SUMIF(Adat!$AH:$AH,CONCATENATE($M$4,"(KÖT)","094051",L131),Adat!$E:$E)*-1</f>
        <v>0</v>
      </c>
      <c r="H140" s="72">
        <f>SUMIF(Adat!$AH:$AH,CONCATENATE($M$4,"(ÖNV)","094051",L131),Adat!$E:$E)*-1</f>
        <v>0</v>
      </c>
      <c r="I140" s="72">
        <f>SUMIF(Adat!$AH:$AH,CONCATENATE($M$4,"(ÁIG)","094051",L131),Adat!$E:$E)*-1</f>
        <v>0</v>
      </c>
    </row>
    <row r="141" spans="2:12" x14ac:dyDescent="0.2">
      <c r="B141" s="160">
        <v>8</v>
      </c>
      <c r="C141" s="305" t="s">
        <v>1273</v>
      </c>
      <c r="D141" s="82" t="s">
        <v>1362</v>
      </c>
      <c r="E141" s="72">
        <f>SUMIF(Adat!$AG:$AG,CONCATENATE(61,$M$4,"094061",L131),Adat!$E:$E)*-1</f>
        <v>0</v>
      </c>
      <c r="F141" s="72">
        <f>SUMIF(Adat!$AG:$AG,CONCATENATE(60,$M$4,"094061",L131),Adat!$E:$E)*-1+E141</f>
        <v>0</v>
      </c>
      <c r="G141" s="72">
        <f>SUMIF(Adat!$AH:$AH,CONCATENATE($M$4,"(KÖT)","094061",L131),Adat!$E:$E)*-1</f>
        <v>0</v>
      </c>
      <c r="H141" s="72">
        <f>SUMIF(Adat!$AH:$AH,CONCATENATE($M$4,"(ÖNV)","094061",L131),Adat!$E:$E)*-1</f>
        <v>0</v>
      </c>
      <c r="I141" s="72">
        <f>SUMIF(Adat!$AH:$AH,CONCATENATE($M$4,"(ÁIG)","094061",L131),Adat!$E:$E)*-1</f>
        <v>0</v>
      </c>
    </row>
    <row r="142" spans="2:12" x14ac:dyDescent="0.2">
      <c r="B142" s="160">
        <v>9</v>
      </c>
      <c r="C142" s="305" t="s">
        <v>1363</v>
      </c>
      <c r="D142" s="82" t="s">
        <v>1364</v>
      </c>
      <c r="E142" s="72">
        <f>SUMIF(Adat!$AG:$AG,CONCATENATE(61,$M$4,"094071",L131),Adat!$E:$E)*-1</f>
        <v>0</v>
      </c>
      <c r="F142" s="72">
        <f>SUMIF(Adat!$AG:$AG,CONCATENATE(60,$M$4,"094071",L131),Adat!$E:$E)*-1+E142</f>
        <v>0</v>
      </c>
      <c r="G142" s="72">
        <f>SUMIF(Adat!$AH:$AH,CONCATENATE($M$4,"(KÖT)","094071",L131),Adat!$E:$E)*-1</f>
        <v>0</v>
      </c>
      <c r="H142" s="72">
        <f>SUMIF(Adat!$AH:$AH,CONCATENATE($M$4,"(ÖNV)","094071",L131),Adat!$E:$E)*-1</f>
        <v>0</v>
      </c>
      <c r="I142" s="72">
        <f>SUMIF(Adat!$AH:$AH,CONCATENATE($M$4,"(ÁIG)","094071",L131),Adat!$E:$E)*-1</f>
        <v>0</v>
      </c>
    </row>
    <row r="143" spans="2:12" x14ac:dyDescent="0.2">
      <c r="B143" s="160">
        <v>10</v>
      </c>
      <c r="C143" s="305" t="s">
        <v>1306</v>
      </c>
      <c r="D143" s="82" t="s">
        <v>1365</v>
      </c>
      <c r="E143" s="72">
        <f>SUMIF(Adat!$AG:$AG,CONCATENATE(61,$M$4,"0940811",L131),Adat!$E:$E)*-1</f>
        <v>0</v>
      </c>
      <c r="F143" s="72">
        <f>SUMIF(Adat!$AG:$AG,CONCATENATE(60,$M$4,"0940811",L131),Adat!$E:$E)*-1+E143</f>
        <v>0</v>
      </c>
      <c r="G143" s="72">
        <f>SUMIF(Adat!$AH:$AH,CONCATENATE($M$4,"(KÖT)","0940811",L131),Adat!$E:$E)*-1</f>
        <v>0</v>
      </c>
      <c r="H143" s="72">
        <f>SUMIF(Adat!$AH:$AH,CONCATENATE($M$4,"(ÖNV)","0940811",L131),Adat!$E:$E)*-1</f>
        <v>0</v>
      </c>
      <c r="I143" s="72">
        <f>SUMIF(Adat!$AH:$AH,CONCATENATE($M$4,"(ÁIG)","0940811",L131),Adat!$E:$E)*-1</f>
        <v>0</v>
      </c>
    </row>
    <row r="144" spans="2:12" x14ac:dyDescent="0.2">
      <c r="B144" s="160">
        <v>11</v>
      </c>
      <c r="C144" s="305" t="s">
        <v>1295</v>
      </c>
      <c r="D144" s="82" t="s">
        <v>1366</v>
      </c>
      <c r="E144" s="72">
        <f>SUMIF(Adat!$AG:$AG,CONCATENATE(61,$M$4,"0940821",L131),Adat!$E:$E)*-1</f>
        <v>0</v>
      </c>
      <c r="F144" s="72">
        <f>SUMIF(Adat!$AG:$AG,CONCATENATE(60,$M$4,"0940821",L131),Adat!$E:$E)*-1+E144</f>
        <v>0</v>
      </c>
      <c r="G144" s="72">
        <f>SUMIF(Adat!$AH:$AH,CONCATENATE($M$4,"(KÖT)","0940821",L131),Adat!$E:$E)*-1</f>
        <v>0</v>
      </c>
      <c r="H144" s="72">
        <f>SUMIF(Adat!$AH:$AH,CONCATENATE($M$4,"(ÖNV)","0940821",L131),Adat!$E:$E)*-1</f>
        <v>0</v>
      </c>
      <c r="I144" s="72">
        <f>SUMIF(Adat!$AH:$AH,CONCATENATE($M$4,"(ÁIG)","0940821",L131),Adat!$E:$E)*-1</f>
        <v>0</v>
      </c>
    </row>
    <row r="145" spans="2:9" x14ac:dyDescent="0.2">
      <c r="B145" s="160">
        <v>12</v>
      </c>
      <c r="C145" s="305" t="s">
        <v>1367</v>
      </c>
      <c r="D145" s="82" t="s">
        <v>1368</v>
      </c>
      <c r="E145" s="72">
        <f>SUMIF(Adat!$AG:$AG,CONCATENATE(61,$M$4,"0940911",L131),Adat!$E:$E)*-1</f>
        <v>0</v>
      </c>
      <c r="F145" s="72">
        <f>SUMIF(Adat!$AG:$AG,CONCATENATE(60,$M$4,"0940911",L131),Adat!$E:$E)*-1+E145</f>
        <v>0</v>
      </c>
      <c r="G145" s="72">
        <f>SUMIF(Adat!$AH:$AH,CONCATENATE($M$4,"(KÖT)","0940911",L131),Adat!$E:$E)*-1</f>
        <v>0</v>
      </c>
      <c r="H145" s="72">
        <f>SUMIF(Adat!$AH:$AH,CONCATENATE($M$4,"(ÖNV)","0940911",L131),Adat!$E:$E)*-1</f>
        <v>0</v>
      </c>
      <c r="I145" s="72">
        <f>SUMIF(Adat!$AH:$AH,CONCATENATE($M$4,"(ÁIG)","0940911",L131),Adat!$E:$E)*-1</f>
        <v>0</v>
      </c>
    </row>
    <row r="146" spans="2:9" x14ac:dyDescent="0.2">
      <c r="B146" s="160">
        <v>13</v>
      </c>
      <c r="C146" s="305" t="s">
        <v>1369</v>
      </c>
      <c r="D146" s="82" t="s">
        <v>1370</v>
      </c>
      <c r="E146" s="72">
        <f>SUMIF(Adat!$AG:$AG,CONCATENATE(61,$M$4,"0940921",L131),Adat!$E:$E)*-1</f>
        <v>0</v>
      </c>
      <c r="F146" s="72">
        <f>SUMIF(Adat!$AG:$AG,CONCATENATE(60,$M$4,"0940921",L131),Adat!$E:$E)*-1+E146</f>
        <v>0</v>
      </c>
      <c r="G146" s="72">
        <f>SUMIF(Adat!$AH:$AH,CONCATENATE($M$4,"(KÖT)","0940921",L131),Adat!$E:$E)*-1</f>
        <v>0</v>
      </c>
      <c r="H146" s="72">
        <f>SUMIF(Adat!$AH:$AH,CONCATENATE($M$4,"(ÖNV)","0940921",L131),Adat!$E:$E)*-1</f>
        <v>0</v>
      </c>
      <c r="I146" s="72">
        <f>SUMIF(Adat!$AH:$AH,CONCATENATE($M$4,"(ÁIG)","0940921",L131),Adat!$E:$E)*-1</f>
        <v>0</v>
      </c>
    </row>
    <row r="147" spans="2:9" x14ac:dyDescent="0.2">
      <c r="B147" s="160">
        <v>14</v>
      </c>
      <c r="C147" s="305" t="s">
        <v>1296</v>
      </c>
      <c r="D147" s="82" t="s">
        <v>1371</v>
      </c>
      <c r="E147" s="72">
        <f>SUMIF(Adat!$AG:$AG,CONCATENATE(61,$M$4,"094101",L131),Adat!$E:$E)*-1</f>
        <v>0</v>
      </c>
      <c r="F147" s="72">
        <f>SUMIF(Adat!$AG:$AG,CONCATENATE(60,$M$4,"094101",L131),Adat!$E:$E)*-1+E147</f>
        <v>0</v>
      </c>
      <c r="G147" s="72">
        <f>SUMIF(Adat!$AH:$AH,CONCATENATE($M$4,"(KÖT)","094101",L131),Adat!$E:$E)*-1</f>
        <v>0</v>
      </c>
      <c r="H147" s="72">
        <f>SUMIF(Adat!$AH:$AH,CONCATENATE($M$4,"(ÖNV)","094101",L131),Adat!$E:$E)*-1</f>
        <v>0</v>
      </c>
      <c r="I147" s="72">
        <f>SUMIF(Adat!$AH:$AH,CONCATENATE($M$4,"(ÁIG)","094101",L131),Adat!$E:$E)*-1</f>
        <v>0</v>
      </c>
    </row>
    <row r="148" spans="2:9" x14ac:dyDescent="0.25">
      <c r="B148" s="160">
        <v>15</v>
      </c>
      <c r="C148" s="305" t="s">
        <v>1297</v>
      </c>
      <c r="D148" s="84" t="s">
        <v>1372</v>
      </c>
      <c r="E148" s="72">
        <f>SUMIF(Adat!$AG:$AG,CONCATENATE(61,$M$4,"094111",L131),Adat!$E:$E)*-1</f>
        <v>0</v>
      </c>
      <c r="F148" s="72">
        <f>SUMIF(Adat!$AG:$AG,CONCATENATE(60,$M$4,"094111",L131),Adat!$E:$E)*-1+E148</f>
        <v>0</v>
      </c>
      <c r="G148" s="72">
        <f>SUMIF(Adat!$AH:$AH,CONCATENATE($M$4,"(KÖT)","094111",L131),Adat!$E:$E)*-1</f>
        <v>0</v>
      </c>
      <c r="H148" s="72">
        <f>SUMIF(Adat!$AH:$AH,CONCATENATE($M$4,"(ÖNV)","094111",L131),Adat!$E:$E)*-1</f>
        <v>0</v>
      </c>
      <c r="I148" s="72">
        <f>SUMIF(Adat!$AH:$AH,CONCATENATE($M$4,"(ÁIG)","094111",L131),Adat!$E:$E)*-1</f>
        <v>0</v>
      </c>
    </row>
    <row r="149" spans="2:9" x14ac:dyDescent="0.25">
      <c r="B149" s="160">
        <v>16</v>
      </c>
      <c r="C149" s="78" t="s">
        <v>1328</v>
      </c>
      <c r="D149" s="85" t="s">
        <v>437</v>
      </c>
      <c r="E149" s="121">
        <f>SUM(E150:E152)</f>
        <v>0</v>
      </c>
      <c r="F149" s="121">
        <f>SUM(F150:F152)</f>
        <v>0</v>
      </c>
      <c r="G149" s="121">
        <f>SUM(G150:G152)</f>
        <v>0</v>
      </c>
      <c r="H149" s="121">
        <f>SUM(H150:H152)</f>
        <v>0</v>
      </c>
      <c r="I149" s="121">
        <f>SUM(I150:I152)</f>
        <v>0</v>
      </c>
    </row>
    <row r="150" spans="2:9" x14ac:dyDescent="0.2">
      <c r="B150" s="160">
        <v>17</v>
      </c>
      <c r="C150" s="305" t="s">
        <v>1329</v>
      </c>
      <c r="D150" s="82" t="s">
        <v>1330</v>
      </c>
      <c r="E150" s="72">
        <f>SUMIF(Adat!$AG:$AG,CONCATENATE(61,$M$4,"09121",L131),Adat!$E:$E)*-1</f>
        <v>0</v>
      </c>
      <c r="F150" s="72">
        <f>SUMIF(Adat!$AG:$AG,CONCATENATE(60,$M$4,"09121",L131),Adat!$E:$E)*-1+E150</f>
        <v>0</v>
      </c>
      <c r="G150" s="72">
        <f>SUMIF(Adat!$AH:$AH,CONCATENATE($M$4,"(KÖT)","09121",L131),Adat!$E:$E)*-1</f>
        <v>0</v>
      </c>
      <c r="H150" s="72">
        <f>SUMIF(Adat!$AH:$AH,CONCATENATE($M$4,"(ÖNV)","09121",L131),Adat!$E:$E)*-1</f>
        <v>0</v>
      </c>
      <c r="I150" s="72">
        <f>SUMIF(Adat!$AH:$AH,CONCATENATE($M$4,"(ÁIG)","09121",L131),Adat!$E:$E)*-1</f>
        <v>0</v>
      </c>
    </row>
    <row r="151" spans="2:9" x14ac:dyDescent="0.2">
      <c r="B151" s="160">
        <v>18</v>
      </c>
      <c r="C151" s="305" t="s">
        <v>1335</v>
      </c>
      <c r="D151" s="82" t="s">
        <v>1336</v>
      </c>
      <c r="E151" s="72">
        <f>SUMIF(Adat!$AG:$AG,CONCATENATE(61,$M$4,"09151",L131),Adat!$E:$E)*-1</f>
        <v>0</v>
      </c>
      <c r="F151" s="72">
        <f>SUMIF(Adat!$AG:$AG,CONCATENATE(60,$M$4,"09151",L131),Adat!$E:$E)*-1+E151</f>
        <v>0</v>
      </c>
      <c r="G151" s="72">
        <f>SUMIF(Adat!$AH:$AH,CONCATENATE($M$4,"(KÖT)","09151",L131),Adat!$E:$E)*-1</f>
        <v>0</v>
      </c>
      <c r="H151" s="72">
        <f>SUMIF(Adat!$AH:$AH,CONCATENATE($M$4,"(ÖNV)","09151",L131),Adat!$E:$E)*-1</f>
        <v>0</v>
      </c>
      <c r="I151" s="72">
        <f>SUMIF(Adat!$AH:$AH,CONCATENATE($M$4,"(ÁIG)","09151",L131),Adat!$E:$E)*-1</f>
        <v>0</v>
      </c>
    </row>
    <row r="152" spans="2:9" x14ac:dyDescent="0.2">
      <c r="B152" s="160">
        <v>19</v>
      </c>
      <c r="C152" s="305" t="s">
        <v>1278</v>
      </c>
      <c r="D152" s="82" t="s">
        <v>1337</v>
      </c>
      <c r="E152" s="72">
        <f>SUMIF(Adat!$AG:$AG,CONCATENATE(61,$M$4,"09161",L131),Adat!$E:$E)*-1</f>
        <v>0</v>
      </c>
      <c r="F152" s="72">
        <f>SUMIF(Adat!$AG:$AG,CONCATENATE(60,$M$4,"09161",L131),Adat!$E:$E)*-1+E152</f>
        <v>0</v>
      </c>
      <c r="G152" s="72">
        <f>SUMIF(Adat!$AH:$AH,CONCATENATE($M$4,"(KÖT)","09161",L131),Adat!$E:$E)*-1</f>
        <v>0</v>
      </c>
      <c r="H152" s="72">
        <f>SUMIF(Adat!$AH:$AH,CONCATENATE($M$4,"(ÖNV)","09161",L131),Adat!$E:$E)*-1</f>
        <v>0</v>
      </c>
      <c r="I152" s="72">
        <f>SUMIF(Adat!$AH:$AH,CONCATENATE($M$4,"(ÁIG)","09161",L131),Adat!$E:$E)*-1</f>
        <v>0</v>
      </c>
    </row>
    <row r="153" spans="2:9" x14ac:dyDescent="0.25">
      <c r="B153" s="160">
        <v>20</v>
      </c>
      <c r="C153" s="79" t="s">
        <v>27</v>
      </c>
      <c r="D153" s="79" t="s">
        <v>328</v>
      </c>
      <c r="E153" s="71">
        <f>SUMIF(Adat!$AI:$AI,CONCATENATE(61,$M$4,"093",L131),Adat!$E:$E)*-1</f>
        <v>0</v>
      </c>
      <c r="F153" s="71">
        <f>SUMIF(Adat!$AI:$AI,CONCATENATE(60,$M$4,"093",L131),Adat!$E:$E)*-1+E153</f>
        <v>0</v>
      </c>
      <c r="G153" s="71">
        <f>SUMIF(Adat!$AJ:$AJ,CONCATENATE($M$4,"093","(KÖT)",L131),Adat!$E:$E)*-1</f>
        <v>0</v>
      </c>
      <c r="H153" s="71">
        <f>SUMIF(Adat!$AJ:$AJ,CONCATENATE($M$4,"093","(ÖNV)",L131),Adat!$E:$E)*-1</f>
        <v>0</v>
      </c>
      <c r="I153" s="71">
        <f>SUMIF(Adat!$AJ:$AJ,CONCATENATE($M$4,"093","(ÁIG)",L131),Adat!$E:$E)*-1</f>
        <v>0</v>
      </c>
    </row>
    <row r="154" spans="2:9" x14ac:dyDescent="0.25">
      <c r="B154" s="160">
        <v>21</v>
      </c>
      <c r="C154" s="79" t="s">
        <v>24</v>
      </c>
      <c r="D154" s="79" t="s">
        <v>449</v>
      </c>
      <c r="E154" s="121">
        <f>SUM(E155:E157)</f>
        <v>0</v>
      </c>
      <c r="F154" s="121">
        <f t="shared" ref="F154:I154" si="9">SUM(F155:F157)</f>
        <v>0</v>
      </c>
      <c r="G154" s="121">
        <f t="shared" si="9"/>
        <v>0</v>
      </c>
      <c r="H154" s="121">
        <f t="shared" si="9"/>
        <v>0</v>
      </c>
      <c r="I154" s="121">
        <f t="shared" si="9"/>
        <v>0</v>
      </c>
    </row>
    <row r="155" spans="2:9" x14ac:dyDescent="0.2">
      <c r="B155" s="160">
        <v>22</v>
      </c>
      <c r="C155" s="305" t="s">
        <v>1339</v>
      </c>
      <c r="D155" s="82" t="s">
        <v>1340</v>
      </c>
      <c r="E155" s="72">
        <f>SUMIF(Adat!$AG:$AG,CONCATENATE(61,$M$4,"09211",L131),Adat!$E:$E)*-1</f>
        <v>0</v>
      </c>
      <c r="F155" s="72">
        <f>SUMIF(Adat!$AG:$AG,CONCATENATE(60,$M$4,"09211",L131),Adat!$E:$E)*-1+E155</f>
        <v>0</v>
      </c>
      <c r="G155" s="72">
        <f>SUMIF(Adat!$AH:$AH,CONCATENATE($M$4,"(KÖT)","09211",L131),Adat!$E:$E)*-1</f>
        <v>0</v>
      </c>
      <c r="H155" s="72">
        <f>SUMIF(Adat!$AH:$AH,CONCATENATE($M$4,"(ÖNV)","09211",L131),Adat!$E:$E)*-1</f>
        <v>0</v>
      </c>
      <c r="I155" s="72">
        <f>SUMIF(Adat!$AH:$AH,CONCATENATE($M$4,"(ÁIG)","09211",L131),Adat!$E:$E)*-1</f>
        <v>0</v>
      </c>
    </row>
    <row r="156" spans="2:9" x14ac:dyDescent="0.2">
      <c r="B156" s="160">
        <v>23</v>
      </c>
      <c r="C156" s="305" t="s">
        <v>1345</v>
      </c>
      <c r="D156" s="82" t="s">
        <v>1346</v>
      </c>
      <c r="E156" s="72">
        <f>SUMIF(Adat!$AG:$AG,CONCATENATE(61,$M$4,"09241",L131),Adat!$E:$E)*-1</f>
        <v>0</v>
      </c>
      <c r="F156" s="72">
        <f>SUMIF(Adat!$AG:$AG,CONCATENATE(60,$M$4,"09241",L131),Adat!$E:$E)*-1+E156</f>
        <v>0</v>
      </c>
      <c r="G156" s="72">
        <f>SUMIF(Adat!$AH:$AH,CONCATENATE($M$4,"(KÖT)","09241",L131),Adat!$E:$E)*-1</f>
        <v>0</v>
      </c>
      <c r="H156" s="72">
        <f>SUMIF(Adat!$AH:$AH,CONCATENATE($M$4,"(ÖNV)","09241",L131),Adat!$E:$E)*-1</f>
        <v>0</v>
      </c>
      <c r="I156" s="72">
        <f>SUMIF(Adat!$AH:$AH,CONCATENATE($M$4,"(ÁIG)","09241",L131),Adat!$E:$E)*-1</f>
        <v>0</v>
      </c>
    </row>
    <row r="157" spans="2:9" x14ac:dyDescent="0.2">
      <c r="B157" s="160">
        <v>24</v>
      </c>
      <c r="C157" s="305" t="s">
        <v>1255</v>
      </c>
      <c r="D157" s="82" t="s">
        <v>1347</v>
      </c>
      <c r="E157" s="72">
        <f>SUMIF(Adat!$AG:$AG,CONCATENATE(61,$M$4,"09251",L131),Adat!$E:$E)*-1</f>
        <v>0</v>
      </c>
      <c r="F157" s="72">
        <f>SUMIF(Adat!$AG:$AG,CONCATENATE(60,$M$4,"09251",L131),Adat!$E:$E)*-1+E157</f>
        <v>0</v>
      </c>
      <c r="G157" s="72">
        <f>SUMIF(Adat!$AH:$AH,CONCATENATE($M$4,"(KÖT)","09251",L131),Adat!$E:$E)*-1</f>
        <v>0</v>
      </c>
      <c r="H157" s="72">
        <f>SUMIF(Adat!$AH:$AH,CONCATENATE($M$4,"(ÖNV)","09251",L131),Adat!$E:$E)*-1</f>
        <v>0</v>
      </c>
      <c r="I157" s="72">
        <f>SUMIF(Adat!$AH:$AH,CONCATENATE($M$4,"(ÁIG)","09251",L131),Adat!$E:$E)*-1</f>
        <v>0</v>
      </c>
    </row>
    <row r="158" spans="2:9" x14ac:dyDescent="0.25">
      <c r="B158" s="160">
        <v>25</v>
      </c>
      <c r="C158" s="79" t="s">
        <v>33</v>
      </c>
      <c r="D158" s="79" t="s">
        <v>330</v>
      </c>
      <c r="E158" s="121">
        <f>SUM(E159:E161)</f>
        <v>0</v>
      </c>
      <c r="F158" s="121">
        <f t="shared" ref="F158:I158" si="10">SUM(F159:F161)</f>
        <v>0</v>
      </c>
      <c r="G158" s="121">
        <f t="shared" si="10"/>
        <v>0</v>
      </c>
      <c r="H158" s="121">
        <f t="shared" si="10"/>
        <v>0</v>
      </c>
      <c r="I158" s="121">
        <f t="shared" si="10"/>
        <v>0</v>
      </c>
    </row>
    <row r="159" spans="2:9" x14ac:dyDescent="0.2">
      <c r="B159" s="160">
        <v>26</v>
      </c>
      <c r="C159" s="305" t="s">
        <v>1373</v>
      </c>
      <c r="D159" s="82" t="s">
        <v>1374</v>
      </c>
      <c r="E159" s="72">
        <f>SUMIF(Adat!$AG:$AG,CONCATENATE(61,$M$4,"09511",L131),Adat!$E:$E)*-1</f>
        <v>0</v>
      </c>
      <c r="F159" s="72">
        <f>SUMIF(Adat!$AG:$AG,CONCATENATE(60,$M$4,"09511",L131),Adat!$E:$E)*-1+E159</f>
        <v>0</v>
      </c>
      <c r="G159" s="72">
        <f>SUMIF(Adat!$AH:$AH,CONCATENATE($M$4,"(KÖT)","09511",L131),Adat!$E:$E)*-1</f>
        <v>0</v>
      </c>
      <c r="H159" s="72">
        <f>SUMIF(Adat!$AH:$AH,CONCATENATE($M$4,"(ÖNV)","09511",L131),Adat!$E:$E)*-1</f>
        <v>0</v>
      </c>
      <c r="I159" s="72">
        <f>SUMIF(Adat!$AH:$AH,CONCATENATE($M$4,"(ÁIG)","09511",L131),Adat!$E:$E)*-1</f>
        <v>0</v>
      </c>
    </row>
    <row r="160" spans="2:9" x14ac:dyDescent="0.2">
      <c r="B160" s="160">
        <v>27</v>
      </c>
      <c r="C160" s="305" t="s">
        <v>1294</v>
      </c>
      <c r="D160" s="82" t="s">
        <v>1375</v>
      </c>
      <c r="E160" s="72">
        <f>SUMIF(Adat!$AG:$AG,CONCATENATE(61,$M$4,"09521",L131),Adat!$E:$E)*-1</f>
        <v>0</v>
      </c>
      <c r="F160" s="72">
        <f>SUMIF(Adat!$AG:$AG,CONCATENATE(60,$M$4,"09521",L131),Adat!$E:$E)*-1+E160</f>
        <v>0</v>
      </c>
      <c r="G160" s="72">
        <f>SUMIF(Adat!$AH:$AH,CONCATENATE($M$4,"(KÖT)","09521",L131),Adat!$E:$E)*-1</f>
        <v>0</v>
      </c>
      <c r="H160" s="72">
        <f>SUMIF(Adat!$AH:$AH,CONCATENATE($M$4,"(ÖNV)","09521",L131),Adat!$E:$E)*-1</f>
        <v>0</v>
      </c>
      <c r="I160" s="72">
        <f>SUMIF(Adat!$AH:$AH,CONCATENATE($M$4,"(ÁIG)","09521",L131),Adat!$E:$E)*-1</f>
        <v>0</v>
      </c>
    </row>
    <row r="161" spans="2:12" x14ac:dyDescent="0.2">
      <c r="B161" s="160">
        <v>28</v>
      </c>
      <c r="C161" s="305" t="s">
        <v>1376</v>
      </c>
      <c r="D161" s="82" t="s">
        <v>1377</v>
      </c>
      <c r="E161" s="72">
        <f>SUMIF(Adat!$AG:$AG,CONCATENATE(61,$M$4,"09531",L131),Adat!$E:$E)*-1</f>
        <v>0</v>
      </c>
      <c r="F161" s="72">
        <f>SUMIF(Adat!$AG:$AG,CONCATENATE(60,$M$4,"09531",L131),Adat!$E:$E)*-1+E161</f>
        <v>0</v>
      </c>
      <c r="G161" s="72">
        <f>SUMIF(Adat!$AH:$AH,CONCATENATE($M$4,"(KÖT)","09531",L131),Adat!$E:$E)*-1</f>
        <v>0</v>
      </c>
      <c r="H161" s="72">
        <f>SUMIF(Adat!$AH:$AH,CONCATENATE($M$4,"(ÖNV)","09531",L131),Adat!$E:$E)*-1</f>
        <v>0</v>
      </c>
      <c r="I161" s="72">
        <f>SUMIF(Adat!$AH:$AH,CONCATENATE($M$4,"(ÁIG)","09531",L131),Adat!$E:$E)*-1</f>
        <v>0</v>
      </c>
    </row>
    <row r="162" spans="2:12" x14ac:dyDescent="0.25">
      <c r="B162" s="160">
        <v>29</v>
      </c>
      <c r="C162" s="79" t="s">
        <v>36</v>
      </c>
      <c r="D162" s="79" t="s">
        <v>331</v>
      </c>
      <c r="E162" s="71">
        <f>SUMIF(Adat!$AI:$AI,CONCATENATE(61,$M$4,"096",L131),Adat!$E:$E)*-1</f>
        <v>0</v>
      </c>
      <c r="F162" s="71">
        <f>SUMIF(Adat!$AI:$AI,CONCATENATE(60,$M$4,"096",L131),Adat!$E:$E)*-1+E162</f>
        <v>0</v>
      </c>
      <c r="G162" s="71">
        <f>SUMIF(Adat!$AJ:$AJ,CONCATENATE($M$4,"096","(KÖT)",L131),Adat!$E:$E)*-1</f>
        <v>0</v>
      </c>
      <c r="H162" s="71">
        <f>SUMIF(Adat!$AJ:$AJ,CONCATENATE($M$4,"096","(ÖNV)",L131),Adat!$E:$E)*-1</f>
        <v>0</v>
      </c>
      <c r="I162" s="71">
        <f>SUMIF(Adat!$AJ:$AJ,CONCATENATE($M$4,"096","(ÁIG)",L131),Adat!$E:$E)*-1</f>
        <v>0</v>
      </c>
    </row>
    <row r="163" spans="2:12" x14ac:dyDescent="0.25">
      <c r="B163" s="160">
        <v>30</v>
      </c>
      <c r="C163" s="79" t="s">
        <v>38</v>
      </c>
      <c r="D163" s="85" t="s">
        <v>332</v>
      </c>
      <c r="E163" s="71">
        <f>SUMIF(Adat!$AI:$AI,CONCATENATE(61,$M$4,"097",L131),Adat!$E:$E)*-1</f>
        <v>0</v>
      </c>
      <c r="F163" s="71">
        <f>SUMIF(Adat!$AI:$AI,CONCATENATE(60,$M$4,"097",L131),Adat!$E:$E)*-1+E163</f>
        <v>0</v>
      </c>
      <c r="G163" s="71">
        <f>SUMIF(Adat!$AJ:$AJ,CONCATENATE($M$4,"097","(KÖT)",L131),Adat!$E:$E)*-1</f>
        <v>0</v>
      </c>
      <c r="H163" s="71">
        <f>SUMIF(Adat!$AJ:$AJ,CONCATENATE($M$4,"097","(ÖNV)",L131),Adat!$E:$E)*-1</f>
        <v>0</v>
      </c>
      <c r="I163" s="71">
        <f>SUMIF(Adat!$AJ:$AJ,CONCATENATE($M$4,"097","(ÁIG)",L131),Adat!$E:$E)*-1</f>
        <v>0</v>
      </c>
    </row>
    <row r="164" spans="2:12" x14ac:dyDescent="0.25">
      <c r="B164" s="160">
        <v>31</v>
      </c>
      <c r="C164" s="154" t="s">
        <v>352</v>
      </c>
      <c r="D164" s="86" t="s">
        <v>1500</v>
      </c>
      <c r="E164" s="121">
        <f>E135+E149+E153+E154+E158+E162+E163</f>
        <v>0</v>
      </c>
      <c r="F164" s="121">
        <f>F135+F149+F153+F154+F158+F162+F163</f>
        <v>0</v>
      </c>
      <c r="G164" s="121">
        <f>G135+G149+G153+G154+G158+G162+G163</f>
        <v>0</v>
      </c>
      <c r="H164" s="121">
        <f>H135+H149+H153+H154+H158+H162+H163</f>
        <v>0</v>
      </c>
      <c r="I164" s="121">
        <f>I135+I149+I153+I154+I158+I162+I163</f>
        <v>0</v>
      </c>
    </row>
    <row r="165" spans="2:12" x14ac:dyDescent="0.25">
      <c r="B165" s="160">
        <v>32</v>
      </c>
      <c r="C165" s="154" t="s">
        <v>358</v>
      </c>
      <c r="D165" s="86" t="s">
        <v>333</v>
      </c>
      <c r="E165" s="121">
        <f>SUM(E166:E168)</f>
        <v>0</v>
      </c>
      <c r="F165" s="121">
        <f t="shared" ref="F165:I165" si="11">SUM(F166:F168)</f>
        <v>0</v>
      </c>
      <c r="G165" s="121">
        <f t="shared" si="11"/>
        <v>0</v>
      </c>
      <c r="H165" s="121">
        <f t="shared" si="11"/>
        <v>0</v>
      </c>
      <c r="I165" s="121">
        <f t="shared" si="11"/>
        <v>0</v>
      </c>
    </row>
    <row r="166" spans="2:12" x14ac:dyDescent="0.2">
      <c r="B166" s="160">
        <v>33</v>
      </c>
      <c r="C166" s="305" t="s">
        <v>1274</v>
      </c>
      <c r="D166" s="82" t="s">
        <v>1419</v>
      </c>
      <c r="E166" s="72">
        <f>SUMIF(Adat!$AG:$AG,CONCATENATE(61,$M$4,"0981311",L131),Adat!$E:$E)*-1</f>
        <v>0</v>
      </c>
      <c r="F166" s="72">
        <f>SUMIF(Adat!$AG:$AG,CONCATENATE(60,$M$4,"0981311",L131),Adat!$E:$E)*-1+E166</f>
        <v>0</v>
      </c>
      <c r="G166" s="72">
        <f>SUMIF(Adat!$AH:$AH,CONCATENATE($M$4,"(KÖT)","0981311",L131),Adat!$E:$E)*-1</f>
        <v>0</v>
      </c>
      <c r="H166" s="72">
        <f>SUMIF(Adat!$AH:$AH,CONCATENATE($M$4,"(ÖNV)","0981311",L131),Adat!$E:$E)*-1</f>
        <v>0</v>
      </c>
      <c r="I166" s="72">
        <f>SUMIF(Adat!$AH:$AH,CONCATENATE($M$4,"(ÁIG)","0981311",L131),Adat!$E:$E)*-1</f>
        <v>0</v>
      </c>
    </row>
    <row r="167" spans="2:12" x14ac:dyDescent="0.25">
      <c r="B167" s="160">
        <v>34</v>
      </c>
      <c r="C167" s="305" t="s">
        <v>1420</v>
      </c>
      <c r="D167" s="84" t="s">
        <v>1421</v>
      </c>
      <c r="E167" s="72">
        <f>SUMIF(Adat!$AG:$AG,CONCATENATE(61,$M$4,"0981321",L131),Adat!$E:$E)*-1</f>
        <v>0</v>
      </c>
      <c r="F167" s="72">
        <f>SUMIF(Adat!$AG:$AG,CONCATENATE(60,$M$4,"0981321",L131),Adat!$E:$E)*-1+E167</f>
        <v>0</v>
      </c>
      <c r="G167" s="72">
        <f>SUMIF(Adat!$AH:$AH,CONCATENATE($M$4,"(KÖT)","0981321",L131),Adat!$E:$E)*-1</f>
        <v>0</v>
      </c>
      <c r="H167" s="72">
        <f>SUMIF(Adat!$AH:$AH,CONCATENATE($M$4,"(ÖNV)","0981321",L131),Adat!$E:$E)*-1</f>
        <v>0</v>
      </c>
      <c r="I167" s="72">
        <f>SUMIF(Adat!$AH:$AH,CONCATENATE($M$4,"(ÁIG)","0981321",L131),Adat!$E:$E)*-1</f>
        <v>0</v>
      </c>
    </row>
    <row r="168" spans="2:12" x14ac:dyDescent="0.25">
      <c r="B168" s="160">
        <v>35</v>
      </c>
      <c r="C168" s="319" t="s">
        <v>1275</v>
      </c>
      <c r="D168" s="84" t="s">
        <v>1501</v>
      </c>
      <c r="E168" s="72">
        <f>SUMIF(Adat!$AG:$AG,CONCATENATE(61,$M$4,"098161",L131),Adat!$E:$E)*-1</f>
        <v>0</v>
      </c>
      <c r="F168" s="72">
        <f>SUMIF(Adat!$AG:$AG,CONCATENATE(60,$M$4,"098161",L131),Adat!$E:$E)*-1+E168</f>
        <v>0</v>
      </c>
      <c r="G168" s="72">
        <f>SUMIF(Adat!$AH:$AH,CONCATENATE($M$4,"(KÖT)","098161",L131),Adat!$E:$E)*-1</f>
        <v>0</v>
      </c>
      <c r="H168" s="72">
        <f>SUMIF(Adat!$AH:$AH,CONCATENATE($M$4,"(ÖNV)","098161",L131),Adat!$E:$E)*-1</f>
        <v>0</v>
      </c>
      <c r="I168" s="72">
        <f>SUMIF(Adat!$AH:$AH,CONCATENATE($M$4,"(ÁIG)","098161",L131),Adat!$E:$E)*-1</f>
        <v>0</v>
      </c>
    </row>
    <row r="169" spans="2:12" x14ac:dyDescent="0.25">
      <c r="B169" s="160">
        <v>36</v>
      </c>
      <c r="C169" s="154" t="s">
        <v>364</v>
      </c>
      <c r="D169" s="159" t="s">
        <v>1502</v>
      </c>
      <c r="E169" s="121">
        <f>+E164+E165</f>
        <v>0</v>
      </c>
      <c r="F169" s="121">
        <f>+F164+F165</f>
        <v>0</v>
      </c>
      <c r="G169" s="121">
        <f>+G164+G165</f>
        <v>0</v>
      </c>
      <c r="H169" s="121">
        <f>+H164+H165</f>
        <v>0</v>
      </c>
      <c r="I169" s="121">
        <f>+I164+I165</f>
        <v>0</v>
      </c>
    </row>
    <row r="170" spans="2:12" ht="15.75" x14ac:dyDescent="0.25">
      <c r="B170" s="38"/>
      <c r="C170" s="156"/>
      <c r="D170" s="38"/>
      <c r="E170" s="140"/>
      <c r="F170" s="140"/>
      <c r="G170" s="140"/>
      <c r="H170" s="140"/>
      <c r="I170" s="140"/>
    </row>
    <row r="171" spans="2:12" s="10" customFormat="1" ht="15.75" customHeight="1" x14ac:dyDescent="0.25">
      <c r="B171" s="201" t="str">
        <f>CONCATENATE("6. Kiadási jogcímek"," - ",L171," részletező")</f>
        <v>6. Kiadási jogcímek -  részletező</v>
      </c>
      <c r="C171" s="101"/>
      <c r="D171" s="101"/>
      <c r="E171" s="101"/>
      <c r="F171" s="101"/>
      <c r="G171" s="198"/>
      <c r="H171" s="198"/>
      <c r="I171" s="198"/>
      <c r="L171" s="384"/>
    </row>
    <row r="172" spans="2:12" ht="15.75" x14ac:dyDescent="0.25">
      <c r="B172" s="38"/>
      <c r="C172" s="156"/>
      <c r="D172" s="38"/>
      <c r="E172" s="140"/>
      <c r="F172" s="140"/>
      <c r="G172" s="140"/>
      <c r="H172" s="140"/>
      <c r="I172" s="140"/>
    </row>
    <row r="173" spans="2:12" x14ac:dyDescent="0.25">
      <c r="B173" s="77"/>
      <c r="C173" s="77" t="s">
        <v>350</v>
      </c>
      <c r="D173" s="77" t="s">
        <v>351</v>
      </c>
      <c r="E173" s="77" t="s">
        <v>470</v>
      </c>
      <c r="F173" s="77" t="s">
        <v>471</v>
      </c>
      <c r="G173" s="77" t="s">
        <v>44</v>
      </c>
      <c r="H173" s="77" t="s">
        <v>42</v>
      </c>
      <c r="I173" s="77" t="s">
        <v>511</v>
      </c>
    </row>
    <row r="174" spans="2:12" ht="38.25" x14ac:dyDescent="0.25">
      <c r="B174" s="160">
        <v>1</v>
      </c>
      <c r="C174" s="154" t="s">
        <v>593</v>
      </c>
      <c r="D174" s="154" t="s">
        <v>488</v>
      </c>
      <c r="E174" s="163" t="str">
        <f>CONCATENATE(PAR!$H$3," évi
eredeti 
előirányzat")</f>
        <v>2025. évi
eredeti 
előirányzat</v>
      </c>
      <c r="F174" s="163" t="str">
        <f>CONCATENATE(PAR!$H$3," évi
módosított 
előirányzat")</f>
        <v>2025. évi
módosított 
előirányzat</v>
      </c>
      <c r="G174" s="78" t="s">
        <v>666</v>
      </c>
      <c r="H174" s="78" t="s">
        <v>667</v>
      </c>
      <c r="I174" s="78" t="s">
        <v>668</v>
      </c>
    </row>
    <row r="175" spans="2:12" x14ac:dyDescent="0.25">
      <c r="B175" s="160">
        <v>2</v>
      </c>
      <c r="C175" s="78" t="s">
        <v>352</v>
      </c>
      <c r="D175" s="92" t="s">
        <v>1444</v>
      </c>
      <c r="E175" s="121">
        <f>SUM(E176:E180)</f>
        <v>0</v>
      </c>
      <c r="F175" s="121">
        <f>SUM(F176:F180)</f>
        <v>0</v>
      </c>
      <c r="G175" s="121">
        <f>SUM(G176:G180)</f>
        <v>0</v>
      </c>
      <c r="H175" s="121">
        <f>SUM(H176:H180)</f>
        <v>0</v>
      </c>
      <c r="I175" s="121">
        <f>SUM(I176:I180)</f>
        <v>0</v>
      </c>
    </row>
    <row r="176" spans="2:12" x14ac:dyDescent="0.25">
      <c r="B176" s="160">
        <v>3</v>
      </c>
      <c r="C176" s="305" t="s">
        <v>315</v>
      </c>
      <c r="D176" s="93" t="s">
        <v>342</v>
      </c>
      <c r="E176" s="72">
        <f>SUMIF(Adat!$AI:$AI,CONCATENATE(61,$M$4,"051",L171),Adat!$E:$E)</f>
        <v>0</v>
      </c>
      <c r="F176" s="72">
        <f>SUMIF(Adat!$AI:$AI,CONCATENATE(60,$M$4,"051",L171),Adat!$E:$E)+E176</f>
        <v>0</v>
      </c>
      <c r="G176" s="72">
        <f>SUMIF(Adat!$AJ:$AJ,CONCATENATE($M$4,"051","(KÖT)",L171),Adat!$E:$E)</f>
        <v>0</v>
      </c>
      <c r="H176" s="72">
        <f>SUMIF(Adat!$AJ:$AJ,CONCATENATE($M$4,"051","(ÖNV)",L171),Adat!$E:$E)</f>
        <v>0</v>
      </c>
      <c r="I176" s="72">
        <f>SUMIF(Adat!$AJ:$AJ,CONCATENATE($M$4,"051","(ÁIG)",L171),Adat!$E:$E)</f>
        <v>0</v>
      </c>
    </row>
    <row r="177" spans="2:9" x14ac:dyDescent="0.25">
      <c r="B177" s="160">
        <v>4</v>
      </c>
      <c r="C177" s="305" t="s">
        <v>317</v>
      </c>
      <c r="D177" s="93" t="s">
        <v>395</v>
      </c>
      <c r="E177" s="72">
        <f>SUMIF(Adat!$AI:$AI,CONCATENATE(61,$M$4,"052",L171),Adat!$E:$E)</f>
        <v>0</v>
      </c>
      <c r="F177" s="72">
        <f>SUMIF(Adat!$AI:$AI,CONCATENATE(60,$M$4,"052",L171),Adat!$E:$E)+E177</f>
        <v>0</v>
      </c>
      <c r="G177" s="72">
        <f>SUMIF(Adat!$AJ:$AJ,CONCATENATE($M$4,"052","(KÖT)",L171),Adat!$E:$E)</f>
        <v>0</v>
      </c>
      <c r="H177" s="72">
        <f>SUMIF(Adat!$AJ:$AJ,CONCATENATE($M$4,"052","(ÖNV)",L171),Adat!$E:$E)</f>
        <v>0</v>
      </c>
      <c r="I177" s="72">
        <f>SUMIF(Adat!$AJ:$AJ,CONCATENATE($M$4,"052","(ÁIG)",L171),Adat!$E:$E)</f>
        <v>0</v>
      </c>
    </row>
    <row r="178" spans="2:9" x14ac:dyDescent="0.25">
      <c r="B178" s="160">
        <v>5</v>
      </c>
      <c r="C178" s="305" t="s">
        <v>4</v>
      </c>
      <c r="D178" s="93" t="s">
        <v>344</v>
      </c>
      <c r="E178" s="72">
        <f>SUMIF(Adat!$AI:$AI,CONCATENATE(61,$M$4,"053",L171),Adat!$E:$E)</f>
        <v>0</v>
      </c>
      <c r="F178" s="72">
        <f>SUMIF(Adat!$AI:$AI,CONCATENATE(60,$M$4,"053",L171),Adat!$E:$E)+E178</f>
        <v>0</v>
      </c>
      <c r="G178" s="72">
        <f>SUMIF(Adat!$AJ:$AJ,CONCATENATE($M$4,"053","(KÖT)",L171),Adat!$E:$E)</f>
        <v>0</v>
      </c>
      <c r="H178" s="72">
        <f>SUMIF(Adat!$AJ:$AJ,CONCATENATE($M$4,"053","(ÖNV)",L171),Adat!$E:$E)</f>
        <v>0</v>
      </c>
      <c r="I178" s="72">
        <f>SUMIF(Adat!$AJ:$AJ,CONCATENATE($M$4,"053","(ÁIG)",L171),Adat!$E:$E)</f>
        <v>0</v>
      </c>
    </row>
    <row r="179" spans="2:9" x14ac:dyDescent="0.25">
      <c r="B179" s="160">
        <v>6</v>
      </c>
      <c r="C179" s="305" t="s">
        <v>6</v>
      </c>
      <c r="D179" s="93" t="s">
        <v>345</v>
      </c>
      <c r="E179" s="72">
        <f>SUMIF(Adat!$AI:$AI,CONCATENATE(61,$M$4,"054",L171),Adat!$E:$E)</f>
        <v>0</v>
      </c>
      <c r="F179" s="72">
        <f>SUMIF(Adat!$AI:$AI,CONCATENATE(60,$M$4,"054",L171),Adat!$E:$E)+E179</f>
        <v>0</v>
      </c>
      <c r="G179" s="72">
        <f>SUMIF(Adat!$AJ:$AJ,CONCATENATE($M$4,"054","(KÖT)",L171),Adat!$E:$E)</f>
        <v>0</v>
      </c>
      <c r="H179" s="72">
        <f>SUMIF(Adat!$AJ:$AJ,CONCATENATE($M$4,"054","(ÖNV)",L171),Adat!$E:$E)</f>
        <v>0</v>
      </c>
      <c r="I179" s="72">
        <f>SUMIF(Adat!$AJ:$AJ,CONCATENATE($M$4,"054","(ÁIG)",L171),Adat!$E:$E)</f>
        <v>0</v>
      </c>
    </row>
    <row r="180" spans="2:9" x14ac:dyDescent="0.25">
      <c r="B180" s="160">
        <v>7</v>
      </c>
      <c r="C180" s="305" t="s">
        <v>8</v>
      </c>
      <c r="D180" s="93" t="s">
        <v>321</v>
      </c>
      <c r="E180" s="72">
        <f>SUMIF(Adat!$AI:$AI,CONCATENATE(61,$M$4,"055",L171),Adat!$E:$E)</f>
        <v>0</v>
      </c>
      <c r="F180" s="72">
        <f>SUMIF(Adat!$AI:$AI,CONCATENATE(60,$M$4,"055",L171),Adat!$E:$E)+E180</f>
        <v>0</v>
      </c>
      <c r="G180" s="72">
        <f>SUMIF(Adat!$AJ:$AJ,CONCATENATE($M$4,"055","(KÖT)",L171),Adat!$E:$E)</f>
        <v>0</v>
      </c>
      <c r="H180" s="72">
        <f>SUMIF(Adat!$AJ:$AJ,CONCATENATE($M$4,"055","(ÖNV)",L171),Adat!$E:$E)</f>
        <v>0</v>
      </c>
      <c r="I180" s="72">
        <f>SUMIF(Adat!$AJ:$AJ,CONCATENATE($M$4,"055","(ÁIG)",L171),Adat!$E:$E)</f>
        <v>0</v>
      </c>
    </row>
    <row r="181" spans="2:9" x14ac:dyDescent="0.25">
      <c r="B181" s="160">
        <v>8</v>
      </c>
      <c r="C181" s="78" t="s">
        <v>358</v>
      </c>
      <c r="D181" s="92" t="s">
        <v>1447</v>
      </c>
      <c r="E181" s="121">
        <f>E182+E184+E186</f>
        <v>0</v>
      </c>
      <c r="F181" s="121">
        <f>F182+F184+F186</f>
        <v>0</v>
      </c>
      <c r="G181" s="121">
        <f>G182+G184+G186</f>
        <v>0</v>
      </c>
      <c r="H181" s="121">
        <f>H182+H184+H186</f>
        <v>0</v>
      </c>
      <c r="I181" s="121">
        <f>I182+I184+I186</f>
        <v>0</v>
      </c>
    </row>
    <row r="182" spans="2:9" x14ac:dyDescent="0.25">
      <c r="B182" s="160">
        <v>9</v>
      </c>
      <c r="C182" s="305" t="s">
        <v>10</v>
      </c>
      <c r="D182" s="93" t="s">
        <v>322</v>
      </c>
      <c r="E182" s="72">
        <f>SUMIF(Adat!$AI:$AI,CONCATENATE(61,$M$4,"056",L171),Adat!$E:$E)</f>
        <v>0</v>
      </c>
      <c r="F182" s="72">
        <f>SUMIF(Adat!$AI:$AI,CONCATENATE(60,$M$4,"056",L171),Adat!$E:$E)+E182</f>
        <v>0</v>
      </c>
      <c r="G182" s="72">
        <f>SUMIF(Adat!$AJ:$AJ,CONCATENATE($M$4,"056","(KÖT)",L171),Adat!$E:$E)</f>
        <v>0</v>
      </c>
      <c r="H182" s="72">
        <f>SUMIF(Adat!$AJ:$AJ,CONCATENATE($M$4,"056","(ÖNV)",L171),Adat!$E:$E)</f>
        <v>0</v>
      </c>
      <c r="I182" s="72">
        <f>SUMIF(Adat!$AJ:$AJ,CONCATENATE($M$4,"056","(ÁIG)",L171),Adat!$E:$E)</f>
        <v>0</v>
      </c>
    </row>
    <row r="183" spans="2:9" x14ac:dyDescent="0.25">
      <c r="B183" s="160">
        <v>10</v>
      </c>
      <c r="C183" s="305" t="s">
        <v>10</v>
      </c>
      <c r="D183" s="93" t="s">
        <v>1448</v>
      </c>
      <c r="E183" s="72">
        <v>0</v>
      </c>
      <c r="F183" s="72">
        <f>SUM(G183:I183)</f>
        <v>0</v>
      </c>
      <c r="G183" s="72">
        <v>0</v>
      </c>
      <c r="H183" s="72">
        <v>0</v>
      </c>
      <c r="I183" s="72">
        <v>0</v>
      </c>
    </row>
    <row r="184" spans="2:9" x14ac:dyDescent="0.25">
      <c r="B184" s="160">
        <v>11</v>
      </c>
      <c r="C184" s="305" t="s">
        <v>12</v>
      </c>
      <c r="D184" s="93" t="s">
        <v>323</v>
      </c>
      <c r="E184" s="72">
        <f>SUMIF(Adat!$AI:$AI,CONCATENATE(61,$M$4,"057",L171),Adat!$E:$E)</f>
        <v>0</v>
      </c>
      <c r="F184" s="72">
        <f>SUMIF(Adat!$AI:$AI,CONCATENATE(60,$M$4,"057",L171),Adat!$E:$E)+E184</f>
        <v>0</v>
      </c>
      <c r="G184" s="72">
        <f>SUMIF(Adat!$AJ:$AJ,CONCATENATE($M$4,"057","(KÖT)",L171),Adat!$E:$E)</f>
        <v>0</v>
      </c>
      <c r="H184" s="72">
        <f>SUMIF(Adat!$AJ:$AJ,CONCATENATE($M$4,"057","(ÖNV)",L171),Adat!$E:$E)</f>
        <v>0</v>
      </c>
      <c r="I184" s="72">
        <f>SUMIF(Adat!$AJ:$AJ,CONCATENATE($M$4,"057","(ÁIG)",L171),Adat!$E:$E)</f>
        <v>0</v>
      </c>
    </row>
    <row r="185" spans="2:9" x14ac:dyDescent="0.25">
      <c r="B185" s="160">
        <v>12</v>
      </c>
      <c r="C185" s="305" t="s">
        <v>12</v>
      </c>
      <c r="D185" s="93" t="s">
        <v>1449</v>
      </c>
      <c r="E185" s="72">
        <v>0</v>
      </c>
      <c r="F185" s="72">
        <f>SUM(G185:I185)</f>
        <v>0</v>
      </c>
      <c r="G185" s="72">
        <v>0</v>
      </c>
      <c r="H185" s="72">
        <v>0</v>
      </c>
      <c r="I185" s="72">
        <v>0</v>
      </c>
    </row>
    <row r="186" spans="2:9" x14ac:dyDescent="0.25">
      <c r="B186" s="160">
        <v>13</v>
      </c>
      <c r="C186" s="305" t="s">
        <v>15</v>
      </c>
      <c r="D186" s="84" t="s">
        <v>324</v>
      </c>
      <c r="E186" s="72">
        <f>SUMIF(Adat!$AI:$AI,CONCATENATE(61,$M$4,"058",L171),Adat!$E:$E)</f>
        <v>0</v>
      </c>
      <c r="F186" s="72">
        <f>SUMIF(Adat!$AI:$AI,CONCATENATE(60,$M$4,"058",L171),Adat!$E:$E)+E186</f>
        <v>0</v>
      </c>
      <c r="G186" s="72">
        <f>SUMIF(Adat!$AJ:$AJ,CONCATENATE($M$4,"058","(KÖT)",L171),Adat!$E:$E)</f>
        <v>0</v>
      </c>
      <c r="H186" s="72">
        <f>SUMIF(Adat!$AJ:$AJ,CONCATENATE($M$4,"058","(ÖNV)",L171),Adat!$E:$E)</f>
        <v>0</v>
      </c>
      <c r="I186" s="72">
        <f>SUMIF(Adat!$AJ:$AJ,CONCATENATE($M$4,"058","(ÁIG)",L171),Adat!$E:$E)</f>
        <v>0</v>
      </c>
    </row>
    <row r="187" spans="2:9" x14ac:dyDescent="0.25">
      <c r="B187" s="160">
        <v>14</v>
      </c>
      <c r="C187" s="154" t="s">
        <v>364</v>
      </c>
      <c r="D187" s="86" t="s">
        <v>325</v>
      </c>
      <c r="E187" s="71">
        <f>SUMIF(Adat!$AI:$AI,CONCATENATE(61,$M$4,"059",L171),Adat!$E:$E)</f>
        <v>0</v>
      </c>
      <c r="F187" s="71">
        <f>SUMIF(Adat!$AI:$AI,CONCATENATE(60,$M$4,"059",L171),Adat!$E:$E)+E187</f>
        <v>0</v>
      </c>
      <c r="G187" s="71">
        <f>SUMIF(Adat!$AJ:$AJ,CONCATENATE($M$4,"059","(KÖT)",L171),Adat!$E:$E)</f>
        <v>0</v>
      </c>
      <c r="H187" s="71">
        <f>SUMIF(Adat!$AJ:$AJ,CONCATENATE($M$4,"059","(ÖNV)",L171),Adat!$E:$E)</f>
        <v>0</v>
      </c>
      <c r="I187" s="71">
        <f>SUMIF(Adat!$AJ:$AJ,CONCATENATE($M$4,"059","(ÁIG)",L171),Adat!$E:$E)</f>
        <v>0</v>
      </c>
    </row>
    <row r="188" spans="2:9" x14ac:dyDescent="0.25">
      <c r="B188" s="160">
        <v>15</v>
      </c>
      <c r="C188" s="154" t="s">
        <v>403</v>
      </c>
      <c r="D188" s="159" t="s">
        <v>497</v>
      </c>
      <c r="E188" s="121">
        <f>E175+E181+E187</f>
        <v>0</v>
      </c>
      <c r="F188" s="121">
        <f>F175+F181+F187</f>
        <v>0</v>
      </c>
      <c r="G188" s="121">
        <f>G175+G181+G187</f>
        <v>0</v>
      </c>
      <c r="H188" s="121">
        <f>H175+H181+H187</f>
        <v>0</v>
      </c>
      <c r="I188" s="121">
        <f>I175+I181+I187</f>
        <v>0</v>
      </c>
    </row>
    <row r="189" spans="2:9" ht="15.75" x14ac:dyDescent="0.25">
      <c r="B189" s="37"/>
      <c r="C189" s="529"/>
      <c r="D189" s="529"/>
      <c r="E189" s="529"/>
      <c r="F189" s="200"/>
      <c r="G189" s="200"/>
      <c r="H189" s="200"/>
      <c r="I189" s="200"/>
    </row>
    <row r="190" spans="2:9" ht="15.75" x14ac:dyDescent="0.25">
      <c r="B190" s="525" t="str">
        <f>$N$4</f>
        <v>Gondozási Központ</v>
      </c>
      <c r="C190" s="525"/>
      <c r="D190" s="525"/>
      <c r="E190" s="525"/>
      <c r="F190" s="525"/>
      <c r="G190" s="525"/>
      <c r="H190" s="525"/>
      <c r="I190" s="525"/>
    </row>
    <row r="191" spans="2:9" ht="15.75" x14ac:dyDescent="0.25">
      <c r="B191" s="525" t="s">
        <v>2660</v>
      </c>
      <c r="C191" s="525"/>
      <c r="D191" s="525"/>
      <c r="E191" s="525"/>
      <c r="F191" s="525"/>
      <c r="G191" s="525"/>
      <c r="H191" s="525"/>
      <c r="I191" s="525"/>
    </row>
    <row r="192" spans="2:9" ht="15.75" x14ac:dyDescent="0.25">
      <c r="B192" s="38"/>
      <c r="C192" s="156"/>
      <c r="D192" s="38"/>
      <c r="E192" s="140"/>
      <c r="F192" s="140"/>
      <c r="G192" s="140"/>
      <c r="H192" s="140"/>
      <c r="I192" s="140"/>
    </row>
    <row r="193" spans="2:12" s="10" customFormat="1" ht="15.75" customHeight="1" x14ac:dyDescent="0.25">
      <c r="B193" s="201" t="str">
        <f>CONCATENATE("7. Bevételi jogcímek"," - ",L193," részletező")</f>
        <v>7. Bevételi jogcímek -  részletező</v>
      </c>
      <c r="C193" s="101"/>
      <c r="D193" s="101"/>
      <c r="E193" s="101"/>
      <c r="F193" s="101"/>
      <c r="G193" s="198"/>
      <c r="H193" s="198"/>
      <c r="I193" s="198"/>
      <c r="L193" s="384"/>
    </row>
    <row r="194" spans="2:12" ht="15.75" x14ac:dyDescent="0.25">
      <c r="B194" s="38"/>
      <c r="C194" s="156"/>
      <c r="D194" s="38"/>
      <c r="E194" s="140"/>
      <c r="F194" s="140"/>
      <c r="G194" s="140"/>
      <c r="H194" s="140"/>
      <c r="I194" s="140"/>
    </row>
    <row r="195" spans="2:12" x14ac:dyDescent="0.25">
      <c r="B195" s="77"/>
      <c r="C195" s="77" t="s">
        <v>350</v>
      </c>
      <c r="D195" s="77" t="s">
        <v>351</v>
      </c>
      <c r="E195" s="77" t="s">
        <v>470</v>
      </c>
      <c r="F195" s="77" t="s">
        <v>471</v>
      </c>
      <c r="G195" s="77" t="s">
        <v>44</v>
      </c>
      <c r="H195" s="77" t="s">
        <v>42</v>
      </c>
      <c r="I195" s="77" t="s">
        <v>511</v>
      </c>
    </row>
    <row r="196" spans="2:12" ht="38.25" x14ac:dyDescent="0.25">
      <c r="B196" s="160">
        <v>1</v>
      </c>
      <c r="C196" s="154" t="s">
        <v>593</v>
      </c>
      <c r="D196" s="154" t="s">
        <v>488</v>
      </c>
      <c r="E196" s="163" t="str">
        <f>CONCATENATE(PAR!$H$3," évi
eredeti 
előirányzat")</f>
        <v>2025. évi
eredeti 
előirányzat</v>
      </c>
      <c r="F196" s="163" t="str">
        <f>CONCATENATE(PAR!$H$3," évi
módosított 
előirányzat")</f>
        <v>2025. évi
módosított 
előirányzat</v>
      </c>
      <c r="G196" s="78" t="s">
        <v>666</v>
      </c>
      <c r="H196" s="78" t="s">
        <v>667</v>
      </c>
      <c r="I196" s="78" t="s">
        <v>668</v>
      </c>
    </row>
    <row r="197" spans="2:12" x14ac:dyDescent="0.25">
      <c r="B197" s="160">
        <v>2</v>
      </c>
      <c r="C197" s="79" t="s">
        <v>30</v>
      </c>
      <c r="D197" s="79" t="s">
        <v>329</v>
      </c>
      <c r="E197" s="121">
        <f>SUM(E198:E210)</f>
        <v>0</v>
      </c>
      <c r="F197" s="121">
        <f t="shared" ref="F197:I197" si="12">SUM(F198:F210)</f>
        <v>0</v>
      </c>
      <c r="G197" s="121">
        <f t="shared" si="12"/>
        <v>0</v>
      </c>
      <c r="H197" s="121">
        <f t="shared" si="12"/>
        <v>0</v>
      </c>
      <c r="I197" s="121">
        <f t="shared" si="12"/>
        <v>0</v>
      </c>
    </row>
    <row r="198" spans="2:12" x14ac:dyDescent="0.2">
      <c r="B198" s="160">
        <v>3</v>
      </c>
      <c r="C198" s="305" t="s">
        <v>1309</v>
      </c>
      <c r="D198" s="82" t="s">
        <v>1356</v>
      </c>
      <c r="E198" s="72">
        <f>SUMIF(Adat!$AG:$AG,CONCATENATE(61,$M$4,"094011",L193),Adat!$E:$E)*-1</f>
        <v>0</v>
      </c>
      <c r="F198" s="72">
        <f>SUMIF(Adat!$AG:$AG,CONCATENATE(60,$M$4,"094011",L193),Adat!$E:$E)*-1+E198</f>
        <v>0</v>
      </c>
      <c r="G198" s="72">
        <f>SUMIF(Adat!$AH:$AH,CONCATENATE($M$4,"(KÖT)","094011",L193),Adat!$E:$E)*-1</f>
        <v>0</v>
      </c>
      <c r="H198" s="72">
        <f>SUMIF(Adat!$AH:$AH,CONCATENATE($M$4,"(ÖNV)","094011",L193),Adat!$E:$E)*-1</f>
        <v>0</v>
      </c>
      <c r="I198" s="72">
        <f>SUMIF(Adat!$AH:$AH,CONCATENATE($M$4,"(ÁIG)","094011",L193),Adat!$E:$E)*-1</f>
        <v>0</v>
      </c>
    </row>
    <row r="199" spans="2:12" x14ac:dyDescent="0.2">
      <c r="B199" s="160">
        <v>4</v>
      </c>
      <c r="C199" s="305" t="s">
        <v>1279</v>
      </c>
      <c r="D199" s="82" t="s">
        <v>1357</v>
      </c>
      <c r="E199" s="72">
        <f>SUMIF(Adat!$AG:$AG,CONCATENATE(61,$M$4,"094021",L193),Adat!$E:$E)*-1</f>
        <v>0</v>
      </c>
      <c r="F199" s="72">
        <f>SUMIF(Adat!$AG:$AG,CONCATENATE(60,$M$4,"094021",L193),Adat!$E:$E)*-1+E199</f>
        <v>0</v>
      </c>
      <c r="G199" s="72">
        <f>SUMIF(Adat!$AH:$AH,CONCATENATE($M$4,"(KÖT)","094021",L193),Adat!$E:$E)*-1</f>
        <v>0</v>
      </c>
      <c r="H199" s="72">
        <f>SUMIF(Adat!$AH:$AH,CONCATENATE($M$4,"(ÖNV)","094021",L193),Adat!$E:$E)*-1</f>
        <v>0</v>
      </c>
      <c r="I199" s="72">
        <f>SUMIF(Adat!$AH:$AH,CONCATENATE($M$4,"(ÁIG)","094021",L193),Adat!$E:$E)*-1</f>
        <v>0</v>
      </c>
    </row>
    <row r="200" spans="2:12" x14ac:dyDescent="0.2">
      <c r="B200" s="160">
        <v>5</v>
      </c>
      <c r="C200" s="305" t="s">
        <v>1272</v>
      </c>
      <c r="D200" s="82" t="s">
        <v>1358</v>
      </c>
      <c r="E200" s="72">
        <f>SUMIF(Adat!$AG:$AG,CONCATENATE(61,$M$4,"094031",L193),Adat!$E:$E)*-1</f>
        <v>0</v>
      </c>
      <c r="F200" s="72">
        <f>SUMIF(Adat!$AG:$AG,CONCATENATE(60,$M$4,"094031",L193),Adat!$E:$E)*-1+E200</f>
        <v>0</v>
      </c>
      <c r="G200" s="72">
        <f>SUMIF(Adat!$AH:$AH,CONCATENATE($M$4,"(KÖT)","094031",L193),Adat!$E:$E)*-1</f>
        <v>0</v>
      </c>
      <c r="H200" s="72">
        <f>SUMIF(Adat!$AH:$AH,CONCATENATE($M$4,"(ÖNV)","094031",L193),Adat!$E:$E)*-1</f>
        <v>0</v>
      </c>
      <c r="I200" s="72">
        <f>SUMIF(Adat!$AH:$AH,CONCATENATE($M$4,"(ÁIG)","094031",L193),Adat!$E:$E)*-1</f>
        <v>0</v>
      </c>
    </row>
    <row r="201" spans="2:12" x14ac:dyDescent="0.2">
      <c r="B201" s="160">
        <v>6</v>
      </c>
      <c r="C201" s="305" t="s">
        <v>1359</v>
      </c>
      <c r="D201" s="82" t="s">
        <v>1360</v>
      </c>
      <c r="E201" s="72">
        <f>SUMIF(Adat!$AG:$AG,CONCATENATE(61,$M$4,"094041",L193),Adat!$E:$E)*-1</f>
        <v>0</v>
      </c>
      <c r="F201" s="72">
        <f>SUMIF(Adat!$AG:$AG,CONCATENATE(60,$M$4,"094041",L193),Adat!$E:$E)*-1+E201</f>
        <v>0</v>
      </c>
      <c r="G201" s="72">
        <f>SUMIF(Adat!$AH:$AH,CONCATENATE($M$4,"(KÖT)","094041",L193),Adat!$E:$E)*-1</f>
        <v>0</v>
      </c>
      <c r="H201" s="72">
        <f>SUMIF(Adat!$AH:$AH,CONCATENATE($M$4,"(ÖNV)","094041",L193),Adat!$E:$E)*-1</f>
        <v>0</v>
      </c>
      <c r="I201" s="72">
        <f>SUMIF(Adat!$AH:$AH,CONCATENATE($M$4,"(ÁIG)","094041",L193),Adat!$E:$E)*-1</f>
        <v>0</v>
      </c>
    </row>
    <row r="202" spans="2:12" x14ac:dyDescent="0.2">
      <c r="B202" s="160">
        <v>7</v>
      </c>
      <c r="C202" s="305" t="s">
        <v>1261</v>
      </c>
      <c r="D202" s="82" t="s">
        <v>1361</v>
      </c>
      <c r="E202" s="72">
        <f>SUMIF(Adat!$AG:$AG,CONCATENATE(61,$M$4,"094051",L193),Adat!$E:$E)*-1</f>
        <v>0</v>
      </c>
      <c r="F202" s="72">
        <f>SUMIF(Adat!$AG:$AG,CONCATENATE(60,$M$4,"094051",L193),Adat!$E:$E)*-1+E202</f>
        <v>0</v>
      </c>
      <c r="G202" s="72">
        <f>SUMIF(Adat!$AH:$AH,CONCATENATE($M$4,"(KÖT)","094051",L193),Adat!$E:$E)*-1</f>
        <v>0</v>
      </c>
      <c r="H202" s="72">
        <f>SUMIF(Adat!$AH:$AH,CONCATENATE($M$4,"(ÖNV)","094051",L193),Adat!$E:$E)*-1</f>
        <v>0</v>
      </c>
      <c r="I202" s="72">
        <f>SUMIF(Adat!$AH:$AH,CONCATENATE($M$4,"(ÁIG)","094051",L193),Adat!$E:$E)*-1</f>
        <v>0</v>
      </c>
    </row>
    <row r="203" spans="2:12" x14ac:dyDescent="0.2">
      <c r="B203" s="160">
        <v>8</v>
      </c>
      <c r="C203" s="305" t="s">
        <v>1273</v>
      </c>
      <c r="D203" s="82" t="s">
        <v>1362</v>
      </c>
      <c r="E203" s="72">
        <f>SUMIF(Adat!$AG:$AG,CONCATENATE(61,$M$4,"094061",L193),Adat!$E:$E)*-1</f>
        <v>0</v>
      </c>
      <c r="F203" s="72">
        <f>SUMIF(Adat!$AG:$AG,CONCATENATE(60,$M$4,"094061",L193),Adat!$E:$E)*-1+E203</f>
        <v>0</v>
      </c>
      <c r="G203" s="72">
        <f>SUMIF(Adat!$AH:$AH,CONCATENATE($M$4,"(KÖT)","094061",L193),Adat!$E:$E)*-1</f>
        <v>0</v>
      </c>
      <c r="H203" s="72">
        <f>SUMIF(Adat!$AH:$AH,CONCATENATE($M$4,"(ÖNV)","094061",L193),Adat!$E:$E)*-1</f>
        <v>0</v>
      </c>
      <c r="I203" s="72">
        <f>SUMIF(Adat!$AH:$AH,CONCATENATE($M$4,"(ÁIG)","094061",L193),Adat!$E:$E)*-1</f>
        <v>0</v>
      </c>
    </row>
    <row r="204" spans="2:12" x14ac:dyDescent="0.2">
      <c r="B204" s="160">
        <v>9</v>
      </c>
      <c r="C204" s="305" t="s">
        <v>1363</v>
      </c>
      <c r="D204" s="82" t="s">
        <v>1364</v>
      </c>
      <c r="E204" s="72">
        <f>SUMIF(Adat!$AG:$AG,CONCATENATE(61,$M$4,"094071",L193),Adat!$E:$E)*-1</f>
        <v>0</v>
      </c>
      <c r="F204" s="72">
        <f>SUMIF(Adat!$AG:$AG,CONCATENATE(60,$M$4,"094071",L193),Adat!$E:$E)*-1+E204</f>
        <v>0</v>
      </c>
      <c r="G204" s="72">
        <f>SUMIF(Adat!$AH:$AH,CONCATENATE($M$4,"(KÖT)","094071",L193),Adat!$E:$E)*-1</f>
        <v>0</v>
      </c>
      <c r="H204" s="72">
        <f>SUMIF(Adat!$AH:$AH,CONCATENATE($M$4,"(ÖNV)","094071",L193),Adat!$E:$E)*-1</f>
        <v>0</v>
      </c>
      <c r="I204" s="72">
        <f>SUMIF(Adat!$AH:$AH,CONCATENATE($M$4,"(ÁIG)","094071",L193),Adat!$E:$E)*-1</f>
        <v>0</v>
      </c>
    </row>
    <row r="205" spans="2:12" x14ac:dyDescent="0.2">
      <c r="B205" s="160">
        <v>10</v>
      </c>
      <c r="C205" s="305" t="s">
        <v>1306</v>
      </c>
      <c r="D205" s="82" t="s">
        <v>1365</v>
      </c>
      <c r="E205" s="72">
        <f>SUMIF(Adat!$AG:$AG,CONCATENATE(61,$M$4,"0940811",L193),Adat!$E:$E)*-1</f>
        <v>0</v>
      </c>
      <c r="F205" s="72">
        <f>SUMIF(Adat!$AG:$AG,CONCATENATE(60,$M$4,"0940811",L193),Adat!$E:$E)*-1+E205</f>
        <v>0</v>
      </c>
      <c r="G205" s="72">
        <f>SUMIF(Adat!$AH:$AH,CONCATENATE($M$4,"(KÖT)","0940811",L193),Adat!$E:$E)*-1</f>
        <v>0</v>
      </c>
      <c r="H205" s="72">
        <f>SUMIF(Adat!$AH:$AH,CONCATENATE($M$4,"(ÖNV)","0940811",L193),Adat!$E:$E)*-1</f>
        <v>0</v>
      </c>
      <c r="I205" s="72">
        <f>SUMIF(Adat!$AH:$AH,CONCATENATE($M$4,"(ÁIG)","0940811",L193),Adat!$E:$E)*-1</f>
        <v>0</v>
      </c>
    </row>
    <row r="206" spans="2:12" x14ac:dyDescent="0.2">
      <c r="B206" s="160">
        <v>11</v>
      </c>
      <c r="C206" s="305" t="s">
        <v>1295</v>
      </c>
      <c r="D206" s="82" t="s">
        <v>1366</v>
      </c>
      <c r="E206" s="72">
        <f>SUMIF(Adat!$AG:$AG,CONCATENATE(61,$M$4,"0940821",L193),Adat!$E:$E)*-1</f>
        <v>0</v>
      </c>
      <c r="F206" s="72">
        <f>SUMIF(Adat!$AG:$AG,CONCATENATE(60,$M$4,"0940821",L193),Adat!$E:$E)*-1+E206</f>
        <v>0</v>
      </c>
      <c r="G206" s="72">
        <f>SUMIF(Adat!$AH:$AH,CONCATENATE($M$4,"(KÖT)","0940821",L193),Adat!$E:$E)*-1</f>
        <v>0</v>
      </c>
      <c r="H206" s="72">
        <f>SUMIF(Adat!$AH:$AH,CONCATENATE($M$4,"(ÖNV)","0940821",L193),Adat!$E:$E)*-1</f>
        <v>0</v>
      </c>
      <c r="I206" s="72">
        <f>SUMIF(Adat!$AH:$AH,CONCATENATE($M$4,"(ÁIG)","0940821",L193),Adat!$E:$E)*-1</f>
        <v>0</v>
      </c>
    </row>
    <row r="207" spans="2:12" x14ac:dyDescent="0.2">
      <c r="B207" s="160">
        <v>12</v>
      </c>
      <c r="C207" s="305" t="s">
        <v>1367</v>
      </c>
      <c r="D207" s="82" t="s">
        <v>1368</v>
      </c>
      <c r="E207" s="72">
        <f>SUMIF(Adat!$AG:$AG,CONCATENATE(61,$M$4,"0940911",L193),Adat!$E:$E)*-1</f>
        <v>0</v>
      </c>
      <c r="F207" s="72">
        <f>SUMIF(Adat!$AG:$AG,CONCATENATE(60,$M$4,"0940911",L193),Adat!$E:$E)*-1+E207</f>
        <v>0</v>
      </c>
      <c r="G207" s="72">
        <f>SUMIF(Adat!$AH:$AH,CONCATENATE($M$4,"(KÖT)","0940911",L193),Adat!$E:$E)*-1</f>
        <v>0</v>
      </c>
      <c r="H207" s="72">
        <f>SUMIF(Adat!$AH:$AH,CONCATENATE($M$4,"(ÖNV)","0940911",L193),Adat!$E:$E)*-1</f>
        <v>0</v>
      </c>
      <c r="I207" s="72">
        <f>SUMIF(Adat!$AH:$AH,CONCATENATE($M$4,"(ÁIG)","0940911",L193),Adat!$E:$E)*-1</f>
        <v>0</v>
      </c>
    </row>
    <row r="208" spans="2:12" x14ac:dyDescent="0.2">
      <c r="B208" s="160">
        <v>13</v>
      </c>
      <c r="C208" s="305" t="s">
        <v>1369</v>
      </c>
      <c r="D208" s="82" t="s">
        <v>1370</v>
      </c>
      <c r="E208" s="72">
        <f>SUMIF(Adat!$AG:$AG,CONCATENATE(61,$M$4,"0940921",L193),Adat!$E:$E)*-1</f>
        <v>0</v>
      </c>
      <c r="F208" s="72">
        <f>SUMIF(Adat!$AG:$AG,CONCATENATE(60,$M$4,"0940921",L193),Adat!$E:$E)*-1+E208</f>
        <v>0</v>
      </c>
      <c r="G208" s="72">
        <f>SUMIF(Adat!$AH:$AH,CONCATENATE($M$4,"(KÖT)","0940921",L193),Adat!$E:$E)*-1</f>
        <v>0</v>
      </c>
      <c r="H208" s="72">
        <f>SUMIF(Adat!$AH:$AH,CONCATENATE($M$4,"(ÖNV)","0940921",L193),Adat!$E:$E)*-1</f>
        <v>0</v>
      </c>
      <c r="I208" s="72">
        <f>SUMIF(Adat!$AH:$AH,CONCATENATE($M$4,"(ÁIG)","0940921",L193),Adat!$E:$E)*-1</f>
        <v>0</v>
      </c>
    </row>
    <row r="209" spans="2:9" x14ac:dyDescent="0.2">
      <c r="B209" s="160">
        <v>14</v>
      </c>
      <c r="C209" s="305" t="s">
        <v>1296</v>
      </c>
      <c r="D209" s="82" t="s">
        <v>1371</v>
      </c>
      <c r="E209" s="72">
        <f>SUMIF(Adat!$AG:$AG,CONCATENATE(61,$M$4,"094101",L193),Adat!$E:$E)*-1</f>
        <v>0</v>
      </c>
      <c r="F209" s="72">
        <f>SUMIF(Adat!$AG:$AG,CONCATENATE(60,$M$4,"094101",L193),Adat!$E:$E)*-1+E209</f>
        <v>0</v>
      </c>
      <c r="G209" s="72">
        <f>SUMIF(Adat!$AH:$AH,CONCATENATE($M$4,"(KÖT)","094101",L193),Adat!$E:$E)*-1</f>
        <v>0</v>
      </c>
      <c r="H209" s="72">
        <f>SUMIF(Adat!$AH:$AH,CONCATENATE($M$4,"(ÖNV)","094101",L193),Adat!$E:$E)*-1</f>
        <v>0</v>
      </c>
      <c r="I209" s="72">
        <f>SUMIF(Adat!$AH:$AH,CONCATENATE($M$4,"(ÁIG)","094101",L193),Adat!$E:$E)*-1</f>
        <v>0</v>
      </c>
    </row>
    <row r="210" spans="2:9" x14ac:dyDescent="0.25">
      <c r="B210" s="160">
        <v>15</v>
      </c>
      <c r="C210" s="305" t="s">
        <v>1297</v>
      </c>
      <c r="D210" s="84" t="s">
        <v>1372</v>
      </c>
      <c r="E210" s="72">
        <f>SUMIF(Adat!$AG:$AG,CONCATENATE(61,$M$4,"094111",L193),Adat!$E:$E)*-1</f>
        <v>0</v>
      </c>
      <c r="F210" s="72">
        <f>SUMIF(Adat!$AG:$AG,CONCATENATE(60,$M$4,"094111",L193),Adat!$E:$E)*-1+E210</f>
        <v>0</v>
      </c>
      <c r="G210" s="72">
        <f>SUMIF(Adat!$AH:$AH,CONCATENATE($M$4,"(KÖT)","094111",L193),Adat!$E:$E)*-1</f>
        <v>0</v>
      </c>
      <c r="H210" s="72">
        <f>SUMIF(Adat!$AH:$AH,CONCATENATE($M$4,"(ÖNV)","094111",L193),Adat!$E:$E)*-1</f>
        <v>0</v>
      </c>
      <c r="I210" s="72">
        <f>SUMIF(Adat!$AH:$AH,CONCATENATE($M$4,"(ÁIG)","094111",L193),Adat!$E:$E)*-1</f>
        <v>0</v>
      </c>
    </row>
    <row r="211" spans="2:9" x14ac:dyDescent="0.25">
      <c r="B211" s="160">
        <v>16</v>
      </c>
      <c r="C211" s="78" t="s">
        <v>1328</v>
      </c>
      <c r="D211" s="85" t="s">
        <v>437</v>
      </c>
      <c r="E211" s="121">
        <f>SUM(E212:E214)</f>
        <v>0</v>
      </c>
      <c r="F211" s="121">
        <f>SUM(F212:F214)</f>
        <v>0</v>
      </c>
      <c r="G211" s="121">
        <f>SUM(G212:G214)</f>
        <v>0</v>
      </c>
      <c r="H211" s="121">
        <f>SUM(H212:H214)</f>
        <v>0</v>
      </c>
      <c r="I211" s="121">
        <f>SUM(I212:I214)</f>
        <v>0</v>
      </c>
    </row>
    <row r="212" spans="2:9" x14ac:dyDescent="0.2">
      <c r="B212" s="160">
        <v>17</v>
      </c>
      <c r="C212" s="305" t="s">
        <v>1329</v>
      </c>
      <c r="D212" s="82" t="s">
        <v>1330</v>
      </c>
      <c r="E212" s="72">
        <f>SUMIF(Adat!$AG:$AG,CONCATENATE(61,$M$4,"09121",L193),Adat!$E:$E)*-1</f>
        <v>0</v>
      </c>
      <c r="F212" s="72">
        <f>SUMIF(Adat!$AG:$AG,CONCATENATE(60,$M$4,"09121",L193),Adat!$E:$E)*-1+E212</f>
        <v>0</v>
      </c>
      <c r="G212" s="72">
        <f>SUMIF(Adat!$AH:$AH,CONCATENATE($M$4,"(KÖT)","09121",L193),Adat!$E:$E)*-1</f>
        <v>0</v>
      </c>
      <c r="H212" s="72">
        <f>SUMIF(Adat!$AH:$AH,CONCATENATE($M$4,"(ÖNV)","09121",L193),Adat!$E:$E)*-1</f>
        <v>0</v>
      </c>
      <c r="I212" s="72">
        <f>SUMIF(Adat!$AH:$AH,CONCATENATE($M$4,"(ÁIG)","09121",L193),Adat!$E:$E)*-1</f>
        <v>0</v>
      </c>
    </row>
    <row r="213" spans="2:9" x14ac:dyDescent="0.2">
      <c r="B213" s="160">
        <v>18</v>
      </c>
      <c r="C213" s="305" t="s">
        <v>1335</v>
      </c>
      <c r="D213" s="82" t="s">
        <v>1336</v>
      </c>
      <c r="E213" s="72">
        <f>SUMIF(Adat!$AG:$AG,CONCATENATE(61,$M$4,"09151",L193),Adat!$E:$E)*-1</f>
        <v>0</v>
      </c>
      <c r="F213" s="72">
        <f>SUMIF(Adat!$AG:$AG,CONCATENATE(60,$M$4,"09151",L193),Adat!$E:$E)*-1+E213</f>
        <v>0</v>
      </c>
      <c r="G213" s="72">
        <f>SUMIF(Adat!$AH:$AH,CONCATENATE($M$4,"(KÖT)","09151",L193),Adat!$E:$E)*-1</f>
        <v>0</v>
      </c>
      <c r="H213" s="72">
        <f>SUMIF(Adat!$AH:$AH,CONCATENATE($M$4,"(ÖNV)","09151",L193),Adat!$E:$E)*-1</f>
        <v>0</v>
      </c>
      <c r="I213" s="72">
        <f>SUMIF(Adat!$AH:$AH,CONCATENATE($M$4,"(ÁIG)","09151",L193),Adat!$E:$E)*-1</f>
        <v>0</v>
      </c>
    </row>
    <row r="214" spans="2:9" x14ac:dyDescent="0.2">
      <c r="B214" s="160">
        <v>19</v>
      </c>
      <c r="C214" s="305" t="s">
        <v>1278</v>
      </c>
      <c r="D214" s="82" t="s">
        <v>1337</v>
      </c>
      <c r="E214" s="72">
        <f>SUMIF(Adat!$AG:$AG,CONCATENATE(61,$M$4,"09161",L193),Adat!$E:$E)*-1</f>
        <v>0</v>
      </c>
      <c r="F214" s="72">
        <f>SUMIF(Adat!$AG:$AG,CONCATENATE(60,$M$4,"09161",L193),Adat!$E:$E)*-1+E214</f>
        <v>0</v>
      </c>
      <c r="G214" s="72">
        <f>SUMIF(Adat!$AH:$AH,CONCATENATE($M$4,"(KÖT)","09161",L193),Adat!$E:$E)*-1</f>
        <v>0</v>
      </c>
      <c r="H214" s="72">
        <f>SUMIF(Adat!$AH:$AH,CONCATENATE($M$4,"(ÖNV)","09161",L193),Adat!$E:$E)*-1</f>
        <v>0</v>
      </c>
      <c r="I214" s="72">
        <f>SUMIF(Adat!$AH:$AH,CONCATENATE($M$4,"(ÁIG)","09161",L193),Adat!$E:$E)*-1</f>
        <v>0</v>
      </c>
    </row>
    <row r="215" spans="2:9" x14ac:dyDescent="0.25">
      <c r="B215" s="160">
        <v>20</v>
      </c>
      <c r="C215" s="79" t="s">
        <v>27</v>
      </c>
      <c r="D215" s="79" t="s">
        <v>328</v>
      </c>
      <c r="E215" s="71">
        <f>SUMIF(Adat!$AI:$AI,CONCATENATE(61,$M$4,"093",L193),Adat!$E:$E)*-1</f>
        <v>0</v>
      </c>
      <c r="F215" s="71">
        <f>SUMIF(Adat!$AI:$AI,CONCATENATE(60,$M$4,"093",L193),Adat!$E:$E)*-1+E215</f>
        <v>0</v>
      </c>
      <c r="G215" s="71">
        <f>SUMIF(Adat!$AJ:$AJ,CONCATENATE($M$4,"093","(KÖT)",L193),Adat!$E:$E)*-1</f>
        <v>0</v>
      </c>
      <c r="H215" s="71">
        <f>SUMIF(Adat!$AJ:$AJ,CONCATENATE($M$4,"093","(ÖNV)",L193),Adat!$E:$E)*-1</f>
        <v>0</v>
      </c>
      <c r="I215" s="71">
        <f>SUMIF(Adat!$AJ:$AJ,CONCATENATE($M$4,"093","(ÁIG)",L193),Adat!$E:$E)*-1</f>
        <v>0</v>
      </c>
    </row>
    <row r="216" spans="2:9" x14ac:dyDescent="0.25">
      <c r="B216" s="160">
        <v>21</v>
      </c>
      <c r="C216" s="79" t="s">
        <v>24</v>
      </c>
      <c r="D216" s="79" t="s">
        <v>449</v>
      </c>
      <c r="E216" s="121">
        <f>SUM(E217:E219)</f>
        <v>0</v>
      </c>
      <c r="F216" s="121">
        <f t="shared" ref="F216:I216" si="13">SUM(F217:F219)</f>
        <v>0</v>
      </c>
      <c r="G216" s="121">
        <f t="shared" si="13"/>
        <v>0</v>
      </c>
      <c r="H216" s="121">
        <f t="shared" si="13"/>
        <v>0</v>
      </c>
      <c r="I216" s="121">
        <f t="shared" si="13"/>
        <v>0</v>
      </c>
    </row>
    <row r="217" spans="2:9" x14ac:dyDescent="0.2">
      <c r="B217" s="160">
        <v>22</v>
      </c>
      <c r="C217" s="305" t="s">
        <v>1339</v>
      </c>
      <c r="D217" s="82" t="s">
        <v>1340</v>
      </c>
      <c r="E217" s="72">
        <f>SUMIF(Adat!$AG:$AG,CONCATENATE(61,$M$4,"09211",L193),Adat!$E:$E)*-1</f>
        <v>0</v>
      </c>
      <c r="F217" s="72">
        <f>SUMIF(Adat!$AG:$AG,CONCATENATE(60,$M$4,"09211",L193),Adat!$E:$E)*-1+E217</f>
        <v>0</v>
      </c>
      <c r="G217" s="72">
        <f>SUMIF(Adat!$AH:$AH,CONCATENATE($M$4,"(KÖT)","09211",L193),Adat!$E:$E)*-1</f>
        <v>0</v>
      </c>
      <c r="H217" s="72">
        <f>SUMIF(Adat!$AH:$AH,CONCATENATE($M$4,"(ÖNV)","09211",L193),Adat!$E:$E)*-1</f>
        <v>0</v>
      </c>
      <c r="I217" s="72">
        <f>SUMIF(Adat!$AH:$AH,CONCATENATE($M$4,"(ÁIG)","09211",L193),Adat!$E:$E)*-1</f>
        <v>0</v>
      </c>
    </row>
    <row r="218" spans="2:9" x14ac:dyDescent="0.2">
      <c r="B218" s="160">
        <v>23</v>
      </c>
      <c r="C218" s="305" t="s">
        <v>1345</v>
      </c>
      <c r="D218" s="82" t="s">
        <v>1346</v>
      </c>
      <c r="E218" s="72">
        <f>SUMIF(Adat!$AG:$AG,CONCATENATE(61,$M$4,"09241",L193),Adat!$E:$E)*-1</f>
        <v>0</v>
      </c>
      <c r="F218" s="72">
        <f>SUMIF(Adat!$AG:$AG,CONCATENATE(60,$M$4,"09241",L193),Adat!$E:$E)*-1+E218</f>
        <v>0</v>
      </c>
      <c r="G218" s="72">
        <f>SUMIF(Adat!$AH:$AH,CONCATENATE($M$4,"(KÖT)","09241",L193),Adat!$E:$E)*-1</f>
        <v>0</v>
      </c>
      <c r="H218" s="72">
        <f>SUMIF(Adat!$AH:$AH,CONCATENATE($M$4,"(ÖNV)","09241",L193),Adat!$E:$E)*-1</f>
        <v>0</v>
      </c>
      <c r="I218" s="72">
        <f>SUMIF(Adat!$AH:$AH,CONCATENATE($M$4,"(ÁIG)","09241",L193),Adat!$E:$E)*-1</f>
        <v>0</v>
      </c>
    </row>
    <row r="219" spans="2:9" x14ac:dyDescent="0.2">
      <c r="B219" s="160">
        <v>24</v>
      </c>
      <c r="C219" s="305" t="s">
        <v>1255</v>
      </c>
      <c r="D219" s="82" t="s">
        <v>1347</v>
      </c>
      <c r="E219" s="72">
        <f>SUMIF(Adat!$AG:$AG,CONCATENATE(61,$M$4,"09251",L193),Adat!$E:$E)*-1</f>
        <v>0</v>
      </c>
      <c r="F219" s="72">
        <f>SUMIF(Adat!$AG:$AG,CONCATENATE(60,$M$4,"09251",L193),Adat!$E:$E)*-1+E219</f>
        <v>0</v>
      </c>
      <c r="G219" s="72">
        <f>SUMIF(Adat!$AH:$AH,CONCATENATE($M$4,"(KÖT)","09251",L193),Adat!$E:$E)*-1</f>
        <v>0</v>
      </c>
      <c r="H219" s="72">
        <f>SUMIF(Adat!$AH:$AH,CONCATENATE($M$4,"(ÖNV)","09251",L193),Adat!$E:$E)*-1</f>
        <v>0</v>
      </c>
      <c r="I219" s="72">
        <f>SUMIF(Adat!$AH:$AH,CONCATENATE($M$4,"(ÁIG)","09251",L193),Adat!$E:$E)*-1</f>
        <v>0</v>
      </c>
    </row>
    <row r="220" spans="2:9" x14ac:dyDescent="0.25">
      <c r="B220" s="160">
        <v>25</v>
      </c>
      <c r="C220" s="79" t="s">
        <v>33</v>
      </c>
      <c r="D220" s="79" t="s">
        <v>330</v>
      </c>
      <c r="E220" s="121">
        <f>SUM(E221:E223)</f>
        <v>0</v>
      </c>
      <c r="F220" s="121">
        <f t="shared" ref="F220:I220" si="14">SUM(F221:F223)</f>
        <v>0</v>
      </c>
      <c r="G220" s="121">
        <f t="shared" si="14"/>
        <v>0</v>
      </c>
      <c r="H220" s="121">
        <f t="shared" si="14"/>
        <v>0</v>
      </c>
      <c r="I220" s="121">
        <f t="shared" si="14"/>
        <v>0</v>
      </c>
    </row>
    <row r="221" spans="2:9" x14ac:dyDescent="0.2">
      <c r="B221" s="160">
        <v>26</v>
      </c>
      <c r="C221" s="305" t="s">
        <v>1373</v>
      </c>
      <c r="D221" s="82" t="s">
        <v>1374</v>
      </c>
      <c r="E221" s="72">
        <f>SUMIF(Adat!$AG:$AG,CONCATENATE(61,$M$4,"09511",L193),Adat!$E:$E)*-1</f>
        <v>0</v>
      </c>
      <c r="F221" s="72">
        <f>SUMIF(Adat!$AG:$AG,CONCATENATE(60,$M$4,"09511",L193),Adat!$E:$E)*-1+E221</f>
        <v>0</v>
      </c>
      <c r="G221" s="72">
        <f>SUMIF(Adat!$AH:$AH,CONCATENATE($M$4,"(KÖT)","09511",L193),Adat!$E:$E)*-1</f>
        <v>0</v>
      </c>
      <c r="H221" s="72">
        <f>SUMIF(Adat!$AH:$AH,CONCATENATE($M$4,"(ÖNV)","09511",L193),Adat!$E:$E)*-1</f>
        <v>0</v>
      </c>
      <c r="I221" s="72">
        <f>SUMIF(Adat!$AH:$AH,CONCATENATE($M$4,"(ÁIG)","09511",L193),Adat!$E:$E)*-1</f>
        <v>0</v>
      </c>
    </row>
    <row r="222" spans="2:9" x14ac:dyDescent="0.2">
      <c r="B222" s="160">
        <v>27</v>
      </c>
      <c r="C222" s="305" t="s">
        <v>1294</v>
      </c>
      <c r="D222" s="82" t="s">
        <v>1375</v>
      </c>
      <c r="E222" s="72">
        <f>SUMIF(Adat!$AG:$AG,CONCATENATE(61,$M$4,"09521",L193),Adat!$E:$E)*-1</f>
        <v>0</v>
      </c>
      <c r="F222" s="72">
        <f>SUMIF(Adat!$AG:$AG,CONCATENATE(60,$M$4,"09521",L193),Adat!$E:$E)*-1+E222</f>
        <v>0</v>
      </c>
      <c r="G222" s="72">
        <f>SUMIF(Adat!$AH:$AH,CONCATENATE($M$4,"(KÖT)","09521",L193),Adat!$E:$E)*-1</f>
        <v>0</v>
      </c>
      <c r="H222" s="72">
        <f>SUMIF(Adat!$AH:$AH,CONCATENATE($M$4,"(ÖNV)","09521",L193),Adat!$E:$E)*-1</f>
        <v>0</v>
      </c>
      <c r="I222" s="72">
        <f>SUMIF(Adat!$AH:$AH,CONCATENATE($M$4,"(ÁIG)","09521",L193),Adat!$E:$E)*-1</f>
        <v>0</v>
      </c>
    </row>
    <row r="223" spans="2:9" x14ac:dyDescent="0.2">
      <c r="B223" s="160">
        <v>28</v>
      </c>
      <c r="C223" s="305" t="s">
        <v>1376</v>
      </c>
      <c r="D223" s="82" t="s">
        <v>1377</v>
      </c>
      <c r="E223" s="72">
        <f>SUMIF(Adat!$AG:$AG,CONCATENATE(61,$M$4,"09531",L193),Adat!$E:$E)*-1</f>
        <v>0</v>
      </c>
      <c r="F223" s="72">
        <f>SUMIF(Adat!$AG:$AG,CONCATENATE(60,$M$4,"09531",L193),Adat!$E:$E)*-1+E223</f>
        <v>0</v>
      </c>
      <c r="G223" s="72">
        <f>SUMIF(Adat!$AH:$AH,CONCATENATE($M$4,"(KÖT)","09531",L193),Adat!$E:$E)*-1</f>
        <v>0</v>
      </c>
      <c r="H223" s="72">
        <f>SUMIF(Adat!$AH:$AH,CONCATENATE($M$4,"(ÖNV)","09531",L193),Adat!$E:$E)*-1</f>
        <v>0</v>
      </c>
      <c r="I223" s="72">
        <f>SUMIF(Adat!$AH:$AH,CONCATENATE($M$4,"(ÁIG)","09531",L193),Adat!$E:$E)*-1</f>
        <v>0</v>
      </c>
    </row>
    <row r="224" spans="2:9" x14ac:dyDescent="0.25">
      <c r="B224" s="160">
        <v>29</v>
      </c>
      <c r="C224" s="79" t="s">
        <v>36</v>
      </c>
      <c r="D224" s="79" t="s">
        <v>331</v>
      </c>
      <c r="E224" s="71">
        <f>SUMIF(Adat!$AI:$AI,CONCATENATE(61,$M$4,"096",L193),Adat!$E:$E)*-1</f>
        <v>0</v>
      </c>
      <c r="F224" s="71">
        <f>SUMIF(Adat!$AI:$AI,CONCATENATE(60,$M$4,"096",L193),Adat!$E:$E)*-1+E224</f>
        <v>0</v>
      </c>
      <c r="G224" s="71">
        <f>SUMIF(Adat!$AJ:$AJ,CONCATENATE($M$4,"096","(KÖT)",L193),Adat!$E:$E)*-1</f>
        <v>0</v>
      </c>
      <c r="H224" s="71">
        <f>SUMIF(Adat!$AJ:$AJ,CONCATENATE($M$4,"096","(ÖNV)",L193),Adat!$E:$E)*-1</f>
        <v>0</v>
      </c>
      <c r="I224" s="71">
        <f>SUMIF(Adat!$AJ:$AJ,CONCATENATE($M$4,"096","(ÁIG)",L193),Adat!$E:$E)*-1</f>
        <v>0</v>
      </c>
    </row>
    <row r="225" spans="2:12" x14ac:dyDescent="0.25">
      <c r="B225" s="160">
        <v>30</v>
      </c>
      <c r="C225" s="79" t="s">
        <v>38</v>
      </c>
      <c r="D225" s="85" t="s">
        <v>332</v>
      </c>
      <c r="E225" s="71">
        <f>SUMIF(Adat!$AI:$AI,CONCATENATE(61,$M$4,"097",L193),Adat!$E:$E)*-1</f>
        <v>0</v>
      </c>
      <c r="F225" s="71">
        <f>SUMIF(Adat!$AI:$AI,CONCATENATE(60,$M$4,"097",L193),Adat!$E:$E)*-1+E225</f>
        <v>0</v>
      </c>
      <c r="G225" s="71">
        <f>SUMIF(Adat!$AJ:$AJ,CONCATENATE($M$4,"097","(KÖT)",L193),Adat!$E:$E)*-1</f>
        <v>0</v>
      </c>
      <c r="H225" s="71">
        <f>SUMIF(Adat!$AJ:$AJ,CONCATENATE($M$4,"097","(ÖNV)",L193),Adat!$E:$E)*-1</f>
        <v>0</v>
      </c>
      <c r="I225" s="71">
        <f>SUMIF(Adat!$AJ:$AJ,CONCATENATE($M$4,"097","(ÁIG)",L193),Adat!$E:$E)*-1</f>
        <v>0</v>
      </c>
    </row>
    <row r="226" spans="2:12" x14ac:dyDescent="0.25">
      <c r="B226" s="160">
        <v>31</v>
      </c>
      <c r="C226" s="154" t="s">
        <v>352</v>
      </c>
      <c r="D226" s="86" t="s">
        <v>1500</v>
      </c>
      <c r="E226" s="121">
        <f>E197+E211+E215+E216+E220+E224+E225</f>
        <v>0</v>
      </c>
      <c r="F226" s="121">
        <f>F197+F211+F215+F216+F220+F224+F225</f>
        <v>0</v>
      </c>
      <c r="G226" s="121">
        <f>G197+G211+G215+G216+G220+G224+G225</f>
        <v>0</v>
      </c>
      <c r="H226" s="121">
        <f>H197+H211+H215+H216+H220+H224+H225</f>
        <v>0</v>
      </c>
      <c r="I226" s="121">
        <f>I197+I211+I215+I216+I220+I224+I225</f>
        <v>0</v>
      </c>
    </row>
    <row r="227" spans="2:12" x14ac:dyDescent="0.25">
      <c r="B227" s="160">
        <v>32</v>
      </c>
      <c r="C227" s="154" t="s">
        <v>358</v>
      </c>
      <c r="D227" s="86" t="s">
        <v>333</v>
      </c>
      <c r="E227" s="121">
        <f>SUM(E228:E230)</f>
        <v>0</v>
      </c>
      <c r="F227" s="121">
        <f t="shared" ref="F227:I227" si="15">SUM(F228:F230)</f>
        <v>0</v>
      </c>
      <c r="G227" s="121">
        <f t="shared" si="15"/>
        <v>0</v>
      </c>
      <c r="H227" s="121">
        <f t="shared" si="15"/>
        <v>0</v>
      </c>
      <c r="I227" s="121">
        <f t="shared" si="15"/>
        <v>0</v>
      </c>
    </row>
    <row r="228" spans="2:12" x14ac:dyDescent="0.2">
      <c r="B228" s="160">
        <v>33</v>
      </c>
      <c r="C228" s="305" t="s">
        <v>1274</v>
      </c>
      <c r="D228" s="82" t="s">
        <v>1419</v>
      </c>
      <c r="E228" s="72">
        <f>SUMIF(Adat!$AG:$AG,CONCATENATE(61,$M$4,"0981311",L193),Adat!$E:$E)*-1</f>
        <v>0</v>
      </c>
      <c r="F228" s="72">
        <f>SUMIF(Adat!$AG:$AG,CONCATENATE(60,$M$4,"0981311",L193),Adat!$E:$E)*-1+E228</f>
        <v>0</v>
      </c>
      <c r="G228" s="72">
        <f>SUMIF(Adat!$AH:$AH,CONCATENATE($M$4,"(KÖT)","0981311",L193),Adat!$E:$E)*-1</f>
        <v>0</v>
      </c>
      <c r="H228" s="72">
        <f>SUMIF(Adat!$AH:$AH,CONCATENATE($M$4,"(ÖNV)","0981311",L193),Adat!$E:$E)*-1</f>
        <v>0</v>
      </c>
      <c r="I228" s="72">
        <f>SUMIF(Adat!$AH:$AH,CONCATENATE($M$4,"(ÁIG)","0981311",L193),Adat!$E:$E)*-1</f>
        <v>0</v>
      </c>
    </row>
    <row r="229" spans="2:12" x14ac:dyDescent="0.25">
      <c r="B229" s="160">
        <v>34</v>
      </c>
      <c r="C229" s="305" t="s">
        <v>1420</v>
      </c>
      <c r="D229" s="84" t="s">
        <v>1421</v>
      </c>
      <c r="E229" s="72">
        <f>SUMIF(Adat!$AG:$AG,CONCATENATE(61,$M$4,"0981321",L193),Adat!$E:$E)*-1</f>
        <v>0</v>
      </c>
      <c r="F229" s="72">
        <f>SUMIF(Adat!$AG:$AG,CONCATENATE(60,$M$4,"0981321",L193),Adat!$E:$E)*-1+E229</f>
        <v>0</v>
      </c>
      <c r="G229" s="72">
        <f>SUMIF(Adat!$AH:$AH,CONCATENATE($M$4,"(KÖT)","0981321",L193),Adat!$E:$E)*-1</f>
        <v>0</v>
      </c>
      <c r="H229" s="72">
        <f>SUMIF(Adat!$AH:$AH,CONCATENATE($M$4,"(ÖNV)","0981321",L193),Adat!$E:$E)*-1</f>
        <v>0</v>
      </c>
      <c r="I229" s="72">
        <f>SUMIF(Adat!$AH:$AH,CONCATENATE($M$4,"(ÁIG)","0981321",L193),Adat!$E:$E)*-1</f>
        <v>0</v>
      </c>
    </row>
    <row r="230" spans="2:12" x14ac:dyDescent="0.25">
      <c r="B230" s="160">
        <v>35</v>
      </c>
      <c r="C230" s="319" t="s">
        <v>1275</v>
      </c>
      <c r="D230" s="84" t="s">
        <v>1501</v>
      </c>
      <c r="E230" s="72">
        <f>SUMIF(Adat!$AG:$AG,CONCATENATE(61,$M$4,"098161",L193),Adat!$E:$E)*-1</f>
        <v>0</v>
      </c>
      <c r="F230" s="72">
        <f>SUMIF(Adat!$AG:$AG,CONCATENATE(60,$M$4,"098161",L193),Adat!$E:$E)*-1+E230</f>
        <v>0</v>
      </c>
      <c r="G230" s="72">
        <f>SUMIF(Adat!$AH:$AH,CONCATENATE($M$4,"(KÖT)","098161",L193),Adat!$E:$E)*-1</f>
        <v>0</v>
      </c>
      <c r="H230" s="72">
        <f>SUMIF(Adat!$AH:$AH,CONCATENATE($M$4,"(ÖNV)","098161",L193),Adat!$E:$E)*-1</f>
        <v>0</v>
      </c>
      <c r="I230" s="72">
        <f>SUMIF(Adat!$AH:$AH,CONCATENATE($M$4,"(ÁIG)","098161",L193),Adat!$E:$E)*-1</f>
        <v>0</v>
      </c>
    </row>
    <row r="231" spans="2:12" x14ac:dyDescent="0.25">
      <c r="B231" s="160">
        <v>36</v>
      </c>
      <c r="C231" s="154" t="s">
        <v>364</v>
      </c>
      <c r="D231" s="159" t="s">
        <v>1502</v>
      </c>
      <c r="E231" s="121">
        <f>+E226+E227</f>
        <v>0</v>
      </c>
      <c r="F231" s="121">
        <f>+F226+F227</f>
        <v>0</v>
      </c>
      <c r="G231" s="121">
        <f>+G226+G227</f>
        <v>0</v>
      </c>
      <c r="H231" s="121">
        <f>+H226+H227</f>
        <v>0</v>
      </c>
      <c r="I231" s="121">
        <f>+I226+I227</f>
        <v>0</v>
      </c>
    </row>
    <row r="232" spans="2:12" ht="15.75" x14ac:dyDescent="0.25">
      <c r="B232" s="38"/>
      <c r="C232" s="156"/>
      <c r="D232" s="38"/>
      <c r="E232" s="140"/>
      <c r="F232" s="140"/>
      <c r="G232" s="140"/>
      <c r="H232" s="140"/>
      <c r="I232" s="140"/>
    </row>
    <row r="233" spans="2:12" s="10" customFormat="1" ht="15.75" customHeight="1" x14ac:dyDescent="0.25">
      <c r="B233" s="201" t="str">
        <f>CONCATENATE("8. Kiadási jogcímek"," - ",L233," részletező")</f>
        <v>8. Kiadási jogcímek -  részletező</v>
      </c>
      <c r="C233" s="101"/>
      <c r="D233" s="101"/>
      <c r="E233" s="101"/>
      <c r="F233" s="101"/>
      <c r="G233" s="198"/>
      <c r="H233" s="198"/>
      <c r="I233" s="198"/>
      <c r="L233" s="384"/>
    </row>
    <row r="234" spans="2:12" ht="15.75" x14ac:dyDescent="0.25">
      <c r="B234" s="38"/>
      <c r="C234" s="156"/>
      <c r="D234" s="38"/>
      <c r="E234" s="140"/>
      <c r="F234" s="140"/>
      <c r="G234" s="140"/>
      <c r="H234" s="140"/>
      <c r="I234" s="140"/>
    </row>
    <row r="235" spans="2:12" x14ac:dyDescent="0.25">
      <c r="B235" s="77"/>
      <c r="C235" s="77" t="s">
        <v>350</v>
      </c>
      <c r="D235" s="77" t="s">
        <v>351</v>
      </c>
      <c r="E235" s="77" t="s">
        <v>470</v>
      </c>
      <c r="F235" s="77" t="s">
        <v>471</v>
      </c>
      <c r="G235" s="77" t="s">
        <v>44</v>
      </c>
      <c r="H235" s="77" t="s">
        <v>42</v>
      </c>
      <c r="I235" s="77" t="s">
        <v>511</v>
      </c>
    </row>
    <row r="236" spans="2:12" ht="38.25" x14ac:dyDescent="0.25">
      <c r="B236" s="160">
        <v>1</v>
      </c>
      <c r="C236" s="154" t="s">
        <v>593</v>
      </c>
      <c r="D236" s="154" t="s">
        <v>488</v>
      </c>
      <c r="E236" s="163" t="str">
        <f>CONCATENATE(PAR!$H$3," évi
eredeti 
előirányzat")</f>
        <v>2025. évi
eredeti 
előirányzat</v>
      </c>
      <c r="F236" s="163" t="str">
        <f>CONCATENATE(PAR!$H$3," évi
módosított 
előirányzat")</f>
        <v>2025. évi
módosított 
előirányzat</v>
      </c>
      <c r="G236" s="78" t="s">
        <v>666</v>
      </c>
      <c r="H236" s="78" t="s">
        <v>667</v>
      </c>
      <c r="I236" s="78" t="s">
        <v>668</v>
      </c>
    </row>
    <row r="237" spans="2:12" x14ac:dyDescent="0.25">
      <c r="B237" s="160">
        <v>2</v>
      </c>
      <c r="C237" s="78" t="s">
        <v>352</v>
      </c>
      <c r="D237" s="92" t="s">
        <v>1444</v>
      </c>
      <c r="E237" s="121">
        <f>SUM(E238:E242)</f>
        <v>0</v>
      </c>
      <c r="F237" s="121">
        <f>SUM(F238:F242)</f>
        <v>0</v>
      </c>
      <c r="G237" s="121">
        <f>SUM(G238:G242)</f>
        <v>0</v>
      </c>
      <c r="H237" s="121">
        <f>SUM(H238:H242)</f>
        <v>0</v>
      </c>
      <c r="I237" s="121">
        <f>SUM(I238:I242)</f>
        <v>0</v>
      </c>
    </row>
    <row r="238" spans="2:12" x14ac:dyDescent="0.25">
      <c r="B238" s="160">
        <v>3</v>
      </c>
      <c r="C238" s="305" t="s">
        <v>315</v>
      </c>
      <c r="D238" s="93" t="s">
        <v>342</v>
      </c>
      <c r="E238" s="72">
        <f>SUMIF(Adat!$AI:$AI,CONCATENATE(61,$M$4,"051",L233),Adat!$E:$E)</f>
        <v>0</v>
      </c>
      <c r="F238" s="72">
        <f>SUMIF(Adat!$AI:$AI,CONCATENATE(60,$M$4,"051",L233),Adat!$E:$E)+E238</f>
        <v>0</v>
      </c>
      <c r="G238" s="72">
        <f>SUMIF(Adat!$AJ:$AJ,CONCATENATE($M$4,"051","(KÖT)",L233),Adat!$E:$E)</f>
        <v>0</v>
      </c>
      <c r="H238" s="72">
        <f>SUMIF(Adat!$AJ:$AJ,CONCATENATE($M$4,"051","(ÖNV)",L233),Adat!$E:$E)</f>
        <v>0</v>
      </c>
      <c r="I238" s="72">
        <f>SUMIF(Adat!$AJ:$AJ,CONCATENATE($M$4,"051","(ÁIG)",L233),Adat!$E:$E)</f>
        <v>0</v>
      </c>
    </row>
    <row r="239" spans="2:12" x14ac:dyDescent="0.25">
      <c r="B239" s="160">
        <v>4</v>
      </c>
      <c r="C239" s="305" t="s">
        <v>317</v>
      </c>
      <c r="D239" s="93" t="s">
        <v>395</v>
      </c>
      <c r="E239" s="72">
        <f>SUMIF(Adat!$AI:$AI,CONCATENATE(61,$M$4,"052",L233),Adat!$E:$E)</f>
        <v>0</v>
      </c>
      <c r="F239" s="72">
        <f>SUMIF(Adat!$AI:$AI,CONCATENATE(60,$M$4,"052",L233),Adat!$E:$E)+E239</f>
        <v>0</v>
      </c>
      <c r="G239" s="72">
        <f>SUMIF(Adat!$AJ:$AJ,CONCATENATE($M$4,"052","(KÖT)",L233),Adat!$E:$E)</f>
        <v>0</v>
      </c>
      <c r="H239" s="72">
        <f>SUMIF(Adat!$AJ:$AJ,CONCATENATE($M$4,"052","(ÖNV)",L233),Adat!$E:$E)</f>
        <v>0</v>
      </c>
      <c r="I239" s="72">
        <f>SUMIF(Adat!$AJ:$AJ,CONCATENATE($M$4,"052","(ÁIG)",L233),Adat!$E:$E)</f>
        <v>0</v>
      </c>
    </row>
    <row r="240" spans="2:12" x14ac:dyDescent="0.25">
      <c r="B240" s="160">
        <v>5</v>
      </c>
      <c r="C240" s="305" t="s">
        <v>4</v>
      </c>
      <c r="D240" s="93" t="s">
        <v>344</v>
      </c>
      <c r="E240" s="72">
        <f>SUMIF(Adat!$AI:$AI,CONCATENATE(61,$M$4,"053",L233),Adat!$E:$E)</f>
        <v>0</v>
      </c>
      <c r="F240" s="72">
        <f>SUMIF(Adat!$AI:$AI,CONCATENATE(60,$M$4,"053",L233),Adat!$E:$E)+E240</f>
        <v>0</v>
      </c>
      <c r="G240" s="72">
        <f>SUMIF(Adat!$AJ:$AJ,CONCATENATE($M$4,"053","(KÖT)",L233),Adat!$E:$E)</f>
        <v>0</v>
      </c>
      <c r="H240" s="72">
        <f>SUMIF(Adat!$AJ:$AJ,CONCATENATE($M$4,"053","(ÖNV)",L233),Adat!$E:$E)</f>
        <v>0</v>
      </c>
      <c r="I240" s="72">
        <f>SUMIF(Adat!$AJ:$AJ,CONCATENATE($M$4,"053","(ÁIG)",L233),Adat!$E:$E)</f>
        <v>0</v>
      </c>
    </row>
    <row r="241" spans="2:12" x14ac:dyDescent="0.25">
      <c r="B241" s="160">
        <v>6</v>
      </c>
      <c r="C241" s="305" t="s">
        <v>6</v>
      </c>
      <c r="D241" s="93" t="s">
        <v>345</v>
      </c>
      <c r="E241" s="72">
        <f>SUMIF(Adat!$AI:$AI,CONCATENATE(61,$M$4,"054",L233),Adat!$E:$E)</f>
        <v>0</v>
      </c>
      <c r="F241" s="72">
        <f>SUMIF(Adat!$AI:$AI,CONCATENATE(60,$M$4,"054",L233),Adat!$E:$E)+E241</f>
        <v>0</v>
      </c>
      <c r="G241" s="72">
        <f>SUMIF(Adat!$AJ:$AJ,CONCATENATE($M$4,"054","(KÖT)",L233),Adat!$E:$E)</f>
        <v>0</v>
      </c>
      <c r="H241" s="72">
        <f>SUMIF(Adat!$AJ:$AJ,CONCATENATE($M$4,"054","(ÖNV)",L233),Adat!$E:$E)</f>
        <v>0</v>
      </c>
      <c r="I241" s="72">
        <f>SUMIF(Adat!$AJ:$AJ,CONCATENATE($M$4,"054","(ÁIG)",L233),Adat!$E:$E)</f>
        <v>0</v>
      </c>
    </row>
    <row r="242" spans="2:12" x14ac:dyDescent="0.25">
      <c r="B242" s="160">
        <v>7</v>
      </c>
      <c r="C242" s="305" t="s">
        <v>8</v>
      </c>
      <c r="D242" s="93" t="s">
        <v>321</v>
      </c>
      <c r="E242" s="72">
        <f>SUMIF(Adat!$AI:$AI,CONCATENATE(61,$M$4,"055",L233),Adat!$E:$E)</f>
        <v>0</v>
      </c>
      <c r="F242" s="72">
        <f>SUMIF(Adat!$AI:$AI,CONCATENATE(60,$M$4,"055",L233),Adat!$E:$E)+E242</f>
        <v>0</v>
      </c>
      <c r="G242" s="72">
        <f>SUMIF(Adat!$AJ:$AJ,CONCATENATE($M$4,"055","(KÖT)",L233),Adat!$E:$E)</f>
        <v>0</v>
      </c>
      <c r="H242" s="72">
        <f>SUMIF(Adat!$AJ:$AJ,CONCATENATE($M$4,"055","(ÖNV)",L233),Adat!$E:$E)</f>
        <v>0</v>
      </c>
      <c r="I242" s="72">
        <f>SUMIF(Adat!$AJ:$AJ,CONCATENATE($M$4,"055","(ÁIG)",L233),Adat!$E:$E)</f>
        <v>0</v>
      </c>
    </row>
    <row r="243" spans="2:12" x14ac:dyDescent="0.25">
      <c r="B243" s="160">
        <v>8</v>
      </c>
      <c r="C243" s="78" t="s">
        <v>358</v>
      </c>
      <c r="D243" s="92" t="s">
        <v>1447</v>
      </c>
      <c r="E243" s="121">
        <f>E244+E246+E248</f>
        <v>0</v>
      </c>
      <c r="F243" s="121">
        <f>F244+F246+F248</f>
        <v>0</v>
      </c>
      <c r="G243" s="121">
        <f>G244+G246+G248</f>
        <v>0</v>
      </c>
      <c r="H243" s="121">
        <f>H244+H246+H248</f>
        <v>0</v>
      </c>
      <c r="I243" s="121">
        <f>I244+I246+I248</f>
        <v>0</v>
      </c>
    </row>
    <row r="244" spans="2:12" x14ac:dyDescent="0.25">
      <c r="B244" s="160">
        <v>9</v>
      </c>
      <c r="C244" s="305" t="s">
        <v>10</v>
      </c>
      <c r="D244" s="93" t="s">
        <v>322</v>
      </c>
      <c r="E244" s="72">
        <f>SUMIF(Adat!$AI:$AI,CONCATENATE(61,$M$4,"056",L233),Adat!$E:$E)</f>
        <v>0</v>
      </c>
      <c r="F244" s="72">
        <f>SUMIF(Adat!$AI:$AI,CONCATENATE(60,$M$4,"056",L233),Adat!$E:$E)+E244</f>
        <v>0</v>
      </c>
      <c r="G244" s="72">
        <f>SUMIF(Adat!$AJ:$AJ,CONCATENATE($M$4,"056","(KÖT)",L233),Adat!$E:$E)</f>
        <v>0</v>
      </c>
      <c r="H244" s="72">
        <f>SUMIF(Adat!$AJ:$AJ,CONCATENATE($M$4,"056","(ÖNV)",L233),Adat!$E:$E)</f>
        <v>0</v>
      </c>
      <c r="I244" s="72">
        <f>SUMIF(Adat!$AJ:$AJ,CONCATENATE($M$4,"056","(ÁIG)",L233),Adat!$E:$E)</f>
        <v>0</v>
      </c>
    </row>
    <row r="245" spans="2:12" x14ac:dyDescent="0.25">
      <c r="B245" s="160">
        <v>10</v>
      </c>
      <c r="C245" s="305" t="s">
        <v>10</v>
      </c>
      <c r="D245" s="93" t="s">
        <v>1448</v>
      </c>
      <c r="E245" s="72">
        <v>0</v>
      </c>
      <c r="F245" s="72">
        <f>SUM(G245:I245)</f>
        <v>0</v>
      </c>
      <c r="G245" s="72">
        <v>0</v>
      </c>
      <c r="H245" s="72">
        <v>0</v>
      </c>
      <c r="I245" s="72">
        <v>0</v>
      </c>
    </row>
    <row r="246" spans="2:12" x14ac:dyDescent="0.25">
      <c r="B246" s="160">
        <v>11</v>
      </c>
      <c r="C246" s="305" t="s">
        <v>12</v>
      </c>
      <c r="D246" s="93" t="s">
        <v>323</v>
      </c>
      <c r="E246" s="72">
        <f>SUMIF(Adat!$AI:$AI,CONCATENATE(61,$M$4,"057",L233),Adat!$E:$E)</f>
        <v>0</v>
      </c>
      <c r="F246" s="72">
        <f>SUMIF(Adat!$AI:$AI,CONCATENATE(60,$M$4,"057",L233),Adat!$E:$E)+E246</f>
        <v>0</v>
      </c>
      <c r="G246" s="72">
        <f>SUMIF(Adat!$AJ:$AJ,CONCATENATE($M$4,"057","(KÖT)",L233),Adat!$E:$E)</f>
        <v>0</v>
      </c>
      <c r="H246" s="72">
        <f>SUMIF(Adat!$AJ:$AJ,CONCATENATE($M$4,"057","(ÖNV)",L233),Adat!$E:$E)</f>
        <v>0</v>
      </c>
      <c r="I246" s="72">
        <f>SUMIF(Adat!$AJ:$AJ,CONCATENATE($M$4,"057","(ÁIG)",L233),Adat!$E:$E)</f>
        <v>0</v>
      </c>
    </row>
    <row r="247" spans="2:12" x14ac:dyDescent="0.25">
      <c r="B247" s="160">
        <v>12</v>
      </c>
      <c r="C247" s="305" t="s">
        <v>12</v>
      </c>
      <c r="D247" s="93" t="s">
        <v>1449</v>
      </c>
      <c r="E247" s="72">
        <v>0</v>
      </c>
      <c r="F247" s="72">
        <f>SUM(G247:I247)</f>
        <v>0</v>
      </c>
      <c r="G247" s="72">
        <v>0</v>
      </c>
      <c r="H247" s="72">
        <v>0</v>
      </c>
      <c r="I247" s="72">
        <v>0</v>
      </c>
    </row>
    <row r="248" spans="2:12" x14ac:dyDescent="0.25">
      <c r="B248" s="160">
        <v>13</v>
      </c>
      <c r="C248" s="305" t="s">
        <v>15</v>
      </c>
      <c r="D248" s="84" t="s">
        <v>324</v>
      </c>
      <c r="E248" s="72">
        <f>SUMIF(Adat!$AI:$AI,CONCATENATE(61,$M$4,"058",L233),Adat!$E:$E)</f>
        <v>0</v>
      </c>
      <c r="F248" s="72">
        <f>SUMIF(Adat!$AI:$AI,CONCATENATE(60,$M$4,"058",L233),Adat!$E:$E)+E248</f>
        <v>0</v>
      </c>
      <c r="G248" s="72">
        <f>SUMIF(Adat!$AJ:$AJ,CONCATENATE($M$4,"058","(KÖT)",L233),Adat!$E:$E)</f>
        <v>0</v>
      </c>
      <c r="H248" s="72">
        <f>SUMIF(Adat!$AJ:$AJ,CONCATENATE($M$4,"058","(ÖNV)",L233),Adat!$E:$E)</f>
        <v>0</v>
      </c>
      <c r="I248" s="72">
        <f>SUMIF(Adat!$AJ:$AJ,CONCATENATE($M$4,"058","(ÁIG)",L233),Adat!$E:$E)</f>
        <v>0</v>
      </c>
    </row>
    <row r="249" spans="2:12" x14ac:dyDescent="0.25">
      <c r="B249" s="160">
        <v>14</v>
      </c>
      <c r="C249" s="154" t="s">
        <v>364</v>
      </c>
      <c r="D249" s="86" t="s">
        <v>325</v>
      </c>
      <c r="E249" s="71">
        <f>SUMIF(Adat!$AI:$AI,CONCATENATE(61,$M$4,"059",L233),Adat!$E:$E)</f>
        <v>0</v>
      </c>
      <c r="F249" s="71">
        <f>SUMIF(Adat!$AI:$AI,CONCATENATE(60,$M$4,"059",L233),Adat!$E:$E)+E249</f>
        <v>0</v>
      </c>
      <c r="G249" s="71">
        <f>SUMIF(Adat!$AJ:$AJ,CONCATENATE($M$4,"059","(KÖT)",L233),Adat!$E:$E)</f>
        <v>0</v>
      </c>
      <c r="H249" s="71">
        <f>SUMIF(Adat!$AJ:$AJ,CONCATENATE($M$4,"059","(ÖNV)",L233),Adat!$E:$E)</f>
        <v>0</v>
      </c>
      <c r="I249" s="71">
        <f>SUMIF(Adat!$AJ:$AJ,CONCATENATE($M$4,"059","(ÁIG)",L233),Adat!$E:$E)</f>
        <v>0</v>
      </c>
    </row>
    <row r="250" spans="2:12" x14ac:dyDescent="0.25">
      <c r="B250" s="160">
        <v>15</v>
      </c>
      <c r="C250" s="154" t="s">
        <v>403</v>
      </c>
      <c r="D250" s="159" t="s">
        <v>497</v>
      </c>
      <c r="E250" s="121">
        <f>E237+E243+E249</f>
        <v>0</v>
      </c>
      <c r="F250" s="121">
        <f>F237+F243+F249</f>
        <v>0</v>
      </c>
      <c r="G250" s="121">
        <f>G237+G243+G249</f>
        <v>0</v>
      </c>
      <c r="H250" s="121">
        <f>H237+H243+H249</f>
        <v>0</v>
      </c>
      <c r="I250" s="121">
        <f>I237+I243+I249</f>
        <v>0</v>
      </c>
    </row>
    <row r="251" spans="2:12" ht="15.75" x14ac:dyDescent="0.25">
      <c r="B251" s="37"/>
      <c r="C251" s="529"/>
      <c r="D251" s="529"/>
      <c r="E251" s="529"/>
      <c r="F251" s="200"/>
      <c r="G251" s="200"/>
      <c r="H251" s="200"/>
      <c r="I251" s="200"/>
    </row>
    <row r="252" spans="2:12" ht="15.75" x14ac:dyDescent="0.25">
      <c r="B252" s="525" t="str">
        <f>$N$4</f>
        <v>Gondozási Központ</v>
      </c>
      <c r="C252" s="525"/>
      <c r="D252" s="525"/>
      <c r="E252" s="525"/>
      <c r="F252" s="525"/>
      <c r="G252" s="525"/>
      <c r="H252" s="525"/>
      <c r="I252" s="525"/>
    </row>
    <row r="253" spans="2:12" ht="15.75" x14ac:dyDescent="0.25">
      <c r="B253" s="525" t="s">
        <v>2660</v>
      </c>
      <c r="C253" s="525"/>
      <c r="D253" s="525"/>
      <c r="E253" s="525"/>
      <c r="F253" s="525"/>
      <c r="G253" s="525"/>
      <c r="H253" s="525"/>
      <c r="I253" s="525"/>
    </row>
    <row r="254" spans="2:12" ht="15.75" x14ac:dyDescent="0.25">
      <c r="B254" s="38"/>
      <c r="C254" s="156"/>
      <c r="D254" s="38"/>
      <c r="E254" s="140"/>
      <c r="F254" s="140"/>
      <c r="G254" s="140"/>
      <c r="H254" s="140"/>
      <c r="I254" s="140"/>
    </row>
    <row r="255" spans="2:12" s="10" customFormat="1" ht="15.75" customHeight="1" x14ac:dyDescent="0.25">
      <c r="B255" s="201" t="str">
        <f>CONCATENATE("9. Bevételi jogcímek"," - ",L255," részletező")</f>
        <v>9. Bevételi jogcímek -  részletező</v>
      </c>
      <c r="C255" s="101"/>
      <c r="D255" s="101"/>
      <c r="E255" s="101"/>
      <c r="F255" s="101"/>
      <c r="G255" s="198"/>
      <c r="H255" s="198"/>
      <c r="I255" s="198"/>
      <c r="L255" s="384"/>
    </row>
    <row r="256" spans="2:12" ht="15.75" x14ac:dyDescent="0.25">
      <c r="B256" s="38"/>
      <c r="C256" s="156"/>
      <c r="D256" s="38"/>
      <c r="E256" s="140"/>
      <c r="F256" s="140"/>
      <c r="G256" s="140"/>
      <c r="H256" s="140"/>
      <c r="I256" s="140"/>
    </row>
    <row r="257" spans="2:9" x14ac:dyDescent="0.25">
      <c r="B257" s="77"/>
      <c r="C257" s="77" t="s">
        <v>350</v>
      </c>
      <c r="D257" s="77" t="s">
        <v>351</v>
      </c>
      <c r="E257" s="77" t="s">
        <v>470</v>
      </c>
      <c r="F257" s="77" t="s">
        <v>471</v>
      </c>
      <c r="G257" s="77" t="s">
        <v>44</v>
      </c>
      <c r="H257" s="77" t="s">
        <v>42</v>
      </c>
      <c r="I257" s="77" t="s">
        <v>511</v>
      </c>
    </row>
    <row r="258" spans="2:9" ht="38.25" x14ac:dyDescent="0.25">
      <c r="B258" s="160">
        <v>1</v>
      </c>
      <c r="C258" s="154" t="s">
        <v>593</v>
      </c>
      <c r="D258" s="154" t="s">
        <v>488</v>
      </c>
      <c r="E258" s="163" t="str">
        <f>CONCATENATE(PAR!$H$3," évi
eredeti 
előirányzat")</f>
        <v>2025. évi
eredeti 
előirányzat</v>
      </c>
      <c r="F258" s="163" t="str">
        <f>CONCATENATE(PAR!$H$3," évi
módosított 
előirányzat")</f>
        <v>2025. évi
módosított 
előirányzat</v>
      </c>
      <c r="G258" s="78" t="s">
        <v>666</v>
      </c>
      <c r="H258" s="78" t="s">
        <v>667</v>
      </c>
      <c r="I258" s="78" t="s">
        <v>668</v>
      </c>
    </row>
    <row r="259" spans="2:9" x14ac:dyDescent="0.25">
      <c r="B259" s="160">
        <v>2</v>
      </c>
      <c r="C259" s="79" t="s">
        <v>30</v>
      </c>
      <c r="D259" s="79" t="s">
        <v>329</v>
      </c>
      <c r="E259" s="121">
        <f>SUM(E260:E272)</f>
        <v>0</v>
      </c>
      <c r="F259" s="121">
        <f t="shared" ref="F259:I259" si="16">SUM(F260:F272)</f>
        <v>0</v>
      </c>
      <c r="G259" s="121">
        <f t="shared" si="16"/>
        <v>0</v>
      </c>
      <c r="H259" s="121">
        <f t="shared" si="16"/>
        <v>0</v>
      </c>
      <c r="I259" s="121">
        <f t="shared" si="16"/>
        <v>0</v>
      </c>
    </row>
    <row r="260" spans="2:9" x14ac:dyDescent="0.2">
      <c r="B260" s="160">
        <v>3</v>
      </c>
      <c r="C260" s="305" t="s">
        <v>1309</v>
      </c>
      <c r="D260" s="82" t="s">
        <v>1356</v>
      </c>
      <c r="E260" s="72">
        <f>SUMIF(Adat!$AG:$AG,CONCATENATE(61,$M$4,"094011",L255),Adat!$E:$E)*-1</f>
        <v>0</v>
      </c>
      <c r="F260" s="72">
        <f>SUMIF(Adat!$AG:$AG,CONCATENATE(60,$M$4,"094011",L255),Adat!$E:$E)*-1+E260</f>
        <v>0</v>
      </c>
      <c r="G260" s="72">
        <f>SUMIF(Adat!$AH:$AH,CONCATENATE($M$4,"(KÖT)","094011",L255),Adat!$E:$E)*-1</f>
        <v>0</v>
      </c>
      <c r="H260" s="72">
        <f>SUMIF(Adat!$AH:$AH,CONCATENATE($M$4,"(ÖNV)","094011",L255),Adat!$E:$E)*-1</f>
        <v>0</v>
      </c>
      <c r="I260" s="72">
        <f>SUMIF(Adat!$AH:$AH,CONCATENATE($M$4,"(ÁIG)","094011",L255),Adat!$E:$E)*-1</f>
        <v>0</v>
      </c>
    </row>
    <row r="261" spans="2:9" x14ac:dyDescent="0.2">
      <c r="B261" s="160">
        <v>4</v>
      </c>
      <c r="C261" s="305" t="s">
        <v>1279</v>
      </c>
      <c r="D261" s="82" t="s">
        <v>1357</v>
      </c>
      <c r="E261" s="72">
        <f>SUMIF(Adat!$AG:$AG,CONCATENATE(61,$M$4,"094021",L255),Adat!$E:$E)*-1</f>
        <v>0</v>
      </c>
      <c r="F261" s="72">
        <f>SUMIF(Adat!$AG:$AG,CONCATENATE(60,$M$4,"094021",L255),Adat!$E:$E)*-1+E261</f>
        <v>0</v>
      </c>
      <c r="G261" s="72">
        <f>SUMIF(Adat!$AH:$AH,CONCATENATE($M$4,"(KÖT)","094021",L255),Adat!$E:$E)*-1</f>
        <v>0</v>
      </c>
      <c r="H261" s="72">
        <f>SUMIF(Adat!$AH:$AH,CONCATENATE($M$4,"(ÖNV)","094021",L255),Adat!$E:$E)*-1</f>
        <v>0</v>
      </c>
      <c r="I261" s="72">
        <f>SUMIF(Adat!$AH:$AH,CONCATENATE($M$4,"(ÁIG)","094021",L255),Adat!$E:$E)*-1</f>
        <v>0</v>
      </c>
    </row>
    <row r="262" spans="2:9" x14ac:dyDescent="0.2">
      <c r="B262" s="160">
        <v>5</v>
      </c>
      <c r="C262" s="305" t="s">
        <v>1272</v>
      </c>
      <c r="D262" s="82" t="s">
        <v>1358</v>
      </c>
      <c r="E262" s="72">
        <f>SUMIF(Adat!$AG:$AG,CONCATENATE(61,$M$4,"094031",L255),Adat!$E:$E)*-1</f>
        <v>0</v>
      </c>
      <c r="F262" s="72">
        <f>SUMIF(Adat!$AG:$AG,CONCATENATE(60,$M$4,"094031",L255),Adat!$E:$E)*-1+E262</f>
        <v>0</v>
      </c>
      <c r="G262" s="72">
        <f>SUMIF(Adat!$AH:$AH,CONCATENATE($M$4,"(KÖT)","094031",L255),Adat!$E:$E)*-1</f>
        <v>0</v>
      </c>
      <c r="H262" s="72">
        <f>SUMIF(Adat!$AH:$AH,CONCATENATE($M$4,"(ÖNV)","094031",L255),Adat!$E:$E)*-1</f>
        <v>0</v>
      </c>
      <c r="I262" s="72">
        <f>SUMIF(Adat!$AH:$AH,CONCATENATE($M$4,"(ÁIG)","094031",L255),Adat!$E:$E)*-1</f>
        <v>0</v>
      </c>
    </row>
    <row r="263" spans="2:9" x14ac:dyDescent="0.2">
      <c r="B263" s="160">
        <v>6</v>
      </c>
      <c r="C263" s="305" t="s">
        <v>1359</v>
      </c>
      <c r="D263" s="82" t="s">
        <v>1360</v>
      </c>
      <c r="E263" s="72">
        <f>SUMIF(Adat!$AG:$AG,CONCATENATE(61,$M$4,"094041",L255),Adat!$E:$E)*-1</f>
        <v>0</v>
      </c>
      <c r="F263" s="72">
        <f>SUMIF(Adat!$AG:$AG,CONCATENATE(60,$M$4,"094041",L255),Adat!$E:$E)*-1+E263</f>
        <v>0</v>
      </c>
      <c r="G263" s="72">
        <f>SUMIF(Adat!$AH:$AH,CONCATENATE($M$4,"(KÖT)","094041",L255),Adat!$E:$E)*-1</f>
        <v>0</v>
      </c>
      <c r="H263" s="72">
        <f>SUMIF(Adat!$AH:$AH,CONCATENATE($M$4,"(ÖNV)","094041",L255),Adat!$E:$E)*-1</f>
        <v>0</v>
      </c>
      <c r="I263" s="72">
        <f>SUMIF(Adat!$AH:$AH,CONCATENATE($M$4,"(ÁIG)","094041",L255),Adat!$E:$E)*-1</f>
        <v>0</v>
      </c>
    </row>
    <row r="264" spans="2:9" x14ac:dyDescent="0.2">
      <c r="B264" s="160">
        <v>7</v>
      </c>
      <c r="C264" s="305" t="s">
        <v>1261</v>
      </c>
      <c r="D264" s="82" t="s">
        <v>1361</v>
      </c>
      <c r="E264" s="72">
        <f>SUMIF(Adat!$AG:$AG,CONCATENATE(61,$M$4,"094051",L255),Adat!$E:$E)*-1</f>
        <v>0</v>
      </c>
      <c r="F264" s="72">
        <f>SUMIF(Adat!$AG:$AG,CONCATENATE(60,$M$4,"094051",L255),Adat!$E:$E)*-1+E264</f>
        <v>0</v>
      </c>
      <c r="G264" s="72">
        <f>SUMIF(Adat!$AH:$AH,CONCATENATE($M$4,"(KÖT)","094051",L255),Adat!$E:$E)*-1</f>
        <v>0</v>
      </c>
      <c r="H264" s="72">
        <f>SUMIF(Adat!$AH:$AH,CONCATENATE($M$4,"(ÖNV)","094051",L255),Adat!$E:$E)*-1</f>
        <v>0</v>
      </c>
      <c r="I264" s="72">
        <f>SUMIF(Adat!$AH:$AH,CONCATENATE($M$4,"(ÁIG)","094051",L255),Adat!$E:$E)*-1</f>
        <v>0</v>
      </c>
    </row>
    <row r="265" spans="2:9" x14ac:dyDescent="0.2">
      <c r="B265" s="160">
        <v>8</v>
      </c>
      <c r="C265" s="305" t="s">
        <v>1273</v>
      </c>
      <c r="D265" s="82" t="s">
        <v>1362</v>
      </c>
      <c r="E265" s="72">
        <f>SUMIF(Adat!$AG:$AG,CONCATENATE(61,$M$4,"094061",L255),Adat!$E:$E)*-1</f>
        <v>0</v>
      </c>
      <c r="F265" s="72">
        <f>SUMIF(Adat!$AG:$AG,CONCATENATE(60,$M$4,"094061",L255),Adat!$E:$E)*-1+E265</f>
        <v>0</v>
      </c>
      <c r="G265" s="72">
        <f>SUMIF(Adat!$AH:$AH,CONCATENATE($M$4,"(KÖT)","094061",L255),Adat!$E:$E)*-1</f>
        <v>0</v>
      </c>
      <c r="H265" s="72">
        <f>SUMIF(Adat!$AH:$AH,CONCATENATE($M$4,"(ÖNV)","094061",L255),Adat!$E:$E)*-1</f>
        <v>0</v>
      </c>
      <c r="I265" s="72">
        <f>SUMIF(Adat!$AH:$AH,CONCATENATE($M$4,"(ÁIG)","094061",L255),Adat!$E:$E)*-1</f>
        <v>0</v>
      </c>
    </row>
    <row r="266" spans="2:9" x14ac:dyDescent="0.2">
      <c r="B266" s="160">
        <v>9</v>
      </c>
      <c r="C266" s="305" t="s">
        <v>1363</v>
      </c>
      <c r="D266" s="82" t="s">
        <v>1364</v>
      </c>
      <c r="E266" s="72">
        <f>SUMIF(Adat!$AG:$AG,CONCATENATE(61,$M$4,"094071",L255),Adat!$E:$E)*-1</f>
        <v>0</v>
      </c>
      <c r="F266" s="72">
        <f>SUMIF(Adat!$AG:$AG,CONCATENATE(60,$M$4,"094071",L255),Adat!$E:$E)*-1+E266</f>
        <v>0</v>
      </c>
      <c r="G266" s="72">
        <f>SUMIF(Adat!$AH:$AH,CONCATENATE($M$4,"(KÖT)","094071",L255),Adat!$E:$E)*-1</f>
        <v>0</v>
      </c>
      <c r="H266" s="72">
        <f>SUMIF(Adat!$AH:$AH,CONCATENATE($M$4,"(ÖNV)","094071",L255),Adat!$E:$E)*-1</f>
        <v>0</v>
      </c>
      <c r="I266" s="72">
        <f>SUMIF(Adat!$AH:$AH,CONCATENATE($M$4,"(ÁIG)","094071",L255),Adat!$E:$E)*-1</f>
        <v>0</v>
      </c>
    </row>
    <row r="267" spans="2:9" x14ac:dyDescent="0.2">
      <c r="B267" s="160">
        <v>10</v>
      </c>
      <c r="C267" s="305" t="s">
        <v>1306</v>
      </c>
      <c r="D267" s="82" t="s">
        <v>1365</v>
      </c>
      <c r="E267" s="72">
        <f>SUMIF(Adat!$AG:$AG,CONCATENATE(61,$M$4,"0940811",L255),Adat!$E:$E)*-1</f>
        <v>0</v>
      </c>
      <c r="F267" s="72">
        <f>SUMIF(Adat!$AG:$AG,CONCATENATE(60,$M$4,"0940811",L255),Adat!$E:$E)*-1+E267</f>
        <v>0</v>
      </c>
      <c r="G267" s="72">
        <f>SUMIF(Adat!$AH:$AH,CONCATENATE($M$4,"(KÖT)","0940811",L255),Adat!$E:$E)*-1</f>
        <v>0</v>
      </c>
      <c r="H267" s="72">
        <f>SUMIF(Adat!$AH:$AH,CONCATENATE($M$4,"(ÖNV)","0940811",L255),Adat!$E:$E)*-1</f>
        <v>0</v>
      </c>
      <c r="I267" s="72">
        <f>SUMIF(Adat!$AH:$AH,CONCATENATE($M$4,"(ÁIG)","0940811",L255),Adat!$E:$E)*-1</f>
        <v>0</v>
      </c>
    </row>
    <row r="268" spans="2:9" x14ac:dyDescent="0.2">
      <c r="B268" s="160">
        <v>11</v>
      </c>
      <c r="C268" s="305" t="s">
        <v>1295</v>
      </c>
      <c r="D268" s="82" t="s">
        <v>1366</v>
      </c>
      <c r="E268" s="72">
        <f>SUMIF(Adat!$AG:$AG,CONCATENATE(61,$M$4,"0940821",L255),Adat!$E:$E)*-1</f>
        <v>0</v>
      </c>
      <c r="F268" s="72">
        <f>SUMIF(Adat!$AG:$AG,CONCATENATE(60,$M$4,"0940821",L255),Adat!$E:$E)*-1+E268</f>
        <v>0</v>
      </c>
      <c r="G268" s="72">
        <f>SUMIF(Adat!$AH:$AH,CONCATENATE($M$4,"(KÖT)","0940821",L255),Adat!$E:$E)*-1</f>
        <v>0</v>
      </c>
      <c r="H268" s="72">
        <f>SUMIF(Adat!$AH:$AH,CONCATENATE($M$4,"(ÖNV)","0940821",L255),Adat!$E:$E)*-1</f>
        <v>0</v>
      </c>
      <c r="I268" s="72">
        <f>SUMIF(Adat!$AH:$AH,CONCATENATE($M$4,"(ÁIG)","0940821",L255),Adat!$E:$E)*-1</f>
        <v>0</v>
      </c>
    </row>
    <row r="269" spans="2:9" x14ac:dyDescent="0.2">
      <c r="B269" s="160">
        <v>12</v>
      </c>
      <c r="C269" s="305" t="s">
        <v>1367</v>
      </c>
      <c r="D269" s="82" t="s">
        <v>1368</v>
      </c>
      <c r="E269" s="72">
        <f>SUMIF(Adat!$AG:$AG,CONCATENATE(61,$M$4,"0940911",L255),Adat!$E:$E)*-1</f>
        <v>0</v>
      </c>
      <c r="F269" s="72">
        <f>SUMIF(Adat!$AG:$AG,CONCATENATE(60,$M$4,"0940911",L255),Adat!$E:$E)*-1+E269</f>
        <v>0</v>
      </c>
      <c r="G269" s="72">
        <f>SUMIF(Adat!$AH:$AH,CONCATENATE($M$4,"(KÖT)","0940911",L255),Adat!$E:$E)*-1</f>
        <v>0</v>
      </c>
      <c r="H269" s="72">
        <f>SUMIF(Adat!$AH:$AH,CONCATENATE($M$4,"(ÖNV)","0940911",L255),Adat!$E:$E)*-1</f>
        <v>0</v>
      </c>
      <c r="I269" s="72">
        <f>SUMIF(Adat!$AH:$AH,CONCATENATE($M$4,"(ÁIG)","0940911",L255),Adat!$E:$E)*-1</f>
        <v>0</v>
      </c>
    </row>
    <row r="270" spans="2:9" x14ac:dyDescent="0.2">
      <c r="B270" s="160">
        <v>13</v>
      </c>
      <c r="C270" s="305" t="s">
        <v>1369</v>
      </c>
      <c r="D270" s="82" t="s">
        <v>1370</v>
      </c>
      <c r="E270" s="72">
        <f>SUMIF(Adat!$AG:$AG,CONCATENATE(61,$M$4,"0940921",L255),Adat!$E:$E)*-1</f>
        <v>0</v>
      </c>
      <c r="F270" s="72">
        <f>SUMIF(Adat!$AG:$AG,CONCATENATE(60,$M$4,"0940921",L255),Adat!$E:$E)*-1+E270</f>
        <v>0</v>
      </c>
      <c r="G270" s="72">
        <f>SUMIF(Adat!$AH:$AH,CONCATENATE($M$4,"(KÖT)","0940921",L255),Adat!$E:$E)*-1</f>
        <v>0</v>
      </c>
      <c r="H270" s="72">
        <f>SUMIF(Adat!$AH:$AH,CONCATENATE($M$4,"(ÖNV)","0940921",L255),Adat!$E:$E)*-1</f>
        <v>0</v>
      </c>
      <c r="I270" s="72">
        <f>SUMIF(Adat!$AH:$AH,CONCATENATE($M$4,"(ÁIG)","0940921",L255),Adat!$E:$E)*-1</f>
        <v>0</v>
      </c>
    </row>
    <row r="271" spans="2:9" x14ac:dyDescent="0.2">
      <c r="B271" s="160">
        <v>14</v>
      </c>
      <c r="C271" s="305" t="s">
        <v>1296</v>
      </c>
      <c r="D271" s="82" t="s">
        <v>1371</v>
      </c>
      <c r="E271" s="72">
        <f>SUMIF(Adat!$AG:$AG,CONCATENATE(61,$M$4,"094101",L255),Adat!$E:$E)*-1</f>
        <v>0</v>
      </c>
      <c r="F271" s="72">
        <f>SUMIF(Adat!$AG:$AG,CONCATENATE(60,$M$4,"094101",L255),Adat!$E:$E)*-1+E271</f>
        <v>0</v>
      </c>
      <c r="G271" s="72">
        <f>SUMIF(Adat!$AH:$AH,CONCATENATE($M$4,"(KÖT)","094101",L255),Adat!$E:$E)*-1</f>
        <v>0</v>
      </c>
      <c r="H271" s="72">
        <f>SUMIF(Adat!$AH:$AH,CONCATENATE($M$4,"(ÖNV)","094101",L255),Adat!$E:$E)*-1</f>
        <v>0</v>
      </c>
      <c r="I271" s="72">
        <f>SUMIF(Adat!$AH:$AH,CONCATENATE($M$4,"(ÁIG)","094101",L255),Adat!$E:$E)*-1</f>
        <v>0</v>
      </c>
    </row>
    <row r="272" spans="2:9" x14ac:dyDescent="0.25">
      <c r="B272" s="160">
        <v>15</v>
      </c>
      <c r="C272" s="305" t="s">
        <v>1297</v>
      </c>
      <c r="D272" s="84" t="s">
        <v>1372</v>
      </c>
      <c r="E272" s="72">
        <f>SUMIF(Adat!$AG:$AG,CONCATENATE(61,$M$4,"094111",L255),Adat!$E:$E)*-1</f>
        <v>0</v>
      </c>
      <c r="F272" s="72">
        <f>SUMIF(Adat!$AG:$AG,CONCATENATE(60,$M$4,"094111",L255),Adat!$E:$E)*-1+E272</f>
        <v>0</v>
      </c>
      <c r="G272" s="72">
        <f>SUMIF(Adat!$AH:$AH,CONCATENATE($M$4,"(KÖT)","094111",L255),Adat!$E:$E)*-1</f>
        <v>0</v>
      </c>
      <c r="H272" s="72">
        <f>SUMIF(Adat!$AH:$AH,CONCATENATE($M$4,"(ÖNV)","094111",L255),Adat!$E:$E)*-1</f>
        <v>0</v>
      </c>
      <c r="I272" s="72">
        <f>SUMIF(Adat!$AH:$AH,CONCATENATE($M$4,"(ÁIG)","094111",L255),Adat!$E:$E)*-1</f>
        <v>0</v>
      </c>
    </row>
    <row r="273" spans="2:9" x14ac:dyDescent="0.25">
      <c r="B273" s="160">
        <v>16</v>
      </c>
      <c r="C273" s="78" t="s">
        <v>1328</v>
      </c>
      <c r="D273" s="85" t="s">
        <v>437</v>
      </c>
      <c r="E273" s="121">
        <f>SUM(E274:E276)</f>
        <v>0</v>
      </c>
      <c r="F273" s="121">
        <f>SUM(F274:F276)</f>
        <v>0</v>
      </c>
      <c r="G273" s="121">
        <f>SUM(G274:G276)</f>
        <v>0</v>
      </c>
      <c r="H273" s="121">
        <f>SUM(H274:H276)</f>
        <v>0</v>
      </c>
      <c r="I273" s="121">
        <f>SUM(I274:I276)</f>
        <v>0</v>
      </c>
    </row>
    <row r="274" spans="2:9" x14ac:dyDescent="0.2">
      <c r="B274" s="160">
        <v>17</v>
      </c>
      <c r="C274" s="305" t="s">
        <v>1329</v>
      </c>
      <c r="D274" s="82" t="s">
        <v>1330</v>
      </c>
      <c r="E274" s="72">
        <f>SUMIF(Adat!$AG:$AG,CONCATENATE(61,$M$4,"09121",L255),Adat!$E:$E)*-1</f>
        <v>0</v>
      </c>
      <c r="F274" s="72">
        <f>SUMIF(Adat!$AG:$AG,CONCATENATE(60,$M$4,"09121",L255),Adat!$E:$E)*-1+E274</f>
        <v>0</v>
      </c>
      <c r="G274" s="72">
        <f>SUMIF(Adat!$AH:$AH,CONCATENATE($M$4,"(KÖT)","09121",L255),Adat!$E:$E)*-1</f>
        <v>0</v>
      </c>
      <c r="H274" s="72">
        <f>SUMIF(Adat!$AH:$AH,CONCATENATE($M$4,"(ÖNV)","09121",L255),Adat!$E:$E)*-1</f>
        <v>0</v>
      </c>
      <c r="I274" s="72">
        <f>SUMIF(Adat!$AH:$AH,CONCATENATE($M$4,"(ÁIG)","09121",L255),Adat!$E:$E)*-1</f>
        <v>0</v>
      </c>
    </row>
    <row r="275" spans="2:9" x14ac:dyDescent="0.2">
      <c r="B275" s="160">
        <v>18</v>
      </c>
      <c r="C275" s="305" t="s">
        <v>1335</v>
      </c>
      <c r="D275" s="82" t="s">
        <v>1336</v>
      </c>
      <c r="E275" s="72">
        <f>SUMIF(Adat!$AG:$AG,CONCATENATE(61,$M$4,"09151",L255),Adat!$E:$E)*-1</f>
        <v>0</v>
      </c>
      <c r="F275" s="72">
        <f>SUMIF(Adat!$AG:$AG,CONCATENATE(60,$M$4,"09151",L255),Adat!$E:$E)*-1+E275</f>
        <v>0</v>
      </c>
      <c r="G275" s="72">
        <f>SUMIF(Adat!$AH:$AH,CONCATENATE($M$4,"(KÖT)","09151",L255),Adat!$E:$E)*-1</f>
        <v>0</v>
      </c>
      <c r="H275" s="72">
        <f>SUMIF(Adat!$AH:$AH,CONCATENATE($M$4,"(ÖNV)","09151",L255),Adat!$E:$E)*-1</f>
        <v>0</v>
      </c>
      <c r="I275" s="72">
        <f>SUMIF(Adat!$AH:$AH,CONCATENATE($M$4,"(ÁIG)","09151",L255),Adat!$E:$E)*-1</f>
        <v>0</v>
      </c>
    </row>
    <row r="276" spans="2:9" x14ac:dyDescent="0.2">
      <c r="B276" s="160">
        <v>19</v>
      </c>
      <c r="C276" s="305" t="s">
        <v>1278</v>
      </c>
      <c r="D276" s="82" t="s">
        <v>1337</v>
      </c>
      <c r="E276" s="72">
        <f>SUMIF(Adat!$AG:$AG,CONCATENATE(61,$M$4,"09161",L255),Adat!$E:$E)*-1</f>
        <v>0</v>
      </c>
      <c r="F276" s="72">
        <f>SUMIF(Adat!$AG:$AG,CONCATENATE(60,$M$4,"09161",L255),Adat!$E:$E)*-1+E276</f>
        <v>0</v>
      </c>
      <c r="G276" s="72">
        <f>SUMIF(Adat!$AH:$AH,CONCATENATE($M$4,"(KÖT)","09161",L255),Adat!$E:$E)*-1</f>
        <v>0</v>
      </c>
      <c r="H276" s="72">
        <f>SUMIF(Adat!$AH:$AH,CONCATENATE($M$4,"(ÖNV)","09161",L255),Adat!$E:$E)*-1</f>
        <v>0</v>
      </c>
      <c r="I276" s="72">
        <f>SUMIF(Adat!$AH:$AH,CONCATENATE($M$4,"(ÁIG)","09161",L255),Adat!$E:$E)*-1</f>
        <v>0</v>
      </c>
    </row>
    <row r="277" spans="2:9" x14ac:dyDescent="0.25">
      <c r="B277" s="160">
        <v>20</v>
      </c>
      <c r="C277" s="79" t="s">
        <v>27</v>
      </c>
      <c r="D277" s="79" t="s">
        <v>328</v>
      </c>
      <c r="E277" s="71">
        <f>SUMIF(Adat!$AI:$AI,CONCATENATE(61,$M$4,"093",L255),Adat!$E:$E)*-1</f>
        <v>0</v>
      </c>
      <c r="F277" s="71">
        <f>SUMIF(Adat!$AI:$AI,CONCATENATE(60,$M$4,"093",L255),Adat!$E:$E)*-1+E277</f>
        <v>0</v>
      </c>
      <c r="G277" s="71">
        <f>SUMIF(Adat!$AJ:$AJ,CONCATENATE($M$4,"093","(KÖT)",L255),Adat!$E:$E)*-1</f>
        <v>0</v>
      </c>
      <c r="H277" s="71">
        <f>SUMIF(Adat!$AJ:$AJ,CONCATENATE($M$4,"093","(ÖNV)",L255),Adat!$E:$E)*-1</f>
        <v>0</v>
      </c>
      <c r="I277" s="71">
        <f>SUMIF(Adat!$AJ:$AJ,CONCATENATE($M$4,"093","(ÁIG)",L255),Adat!$E:$E)*-1</f>
        <v>0</v>
      </c>
    </row>
    <row r="278" spans="2:9" x14ac:dyDescent="0.25">
      <c r="B278" s="160">
        <v>21</v>
      </c>
      <c r="C278" s="79" t="s">
        <v>24</v>
      </c>
      <c r="D278" s="79" t="s">
        <v>449</v>
      </c>
      <c r="E278" s="121">
        <f>SUM(E279:E281)</f>
        <v>0</v>
      </c>
      <c r="F278" s="121">
        <f t="shared" ref="F278:I278" si="17">SUM(F279:F281)</f>
        <v>0</v>
      </c>
      <c r="G278" s="121">
        <f t="shared" si="17"/>
        <v>0</v>
      </c>
      <c r="H278" s="121">
        <f t="shared" si="17"/>
        <v>0</v>
      </c>
      <c r="I278" s="121">
        <f t="shared" si="17"/>
        <v>0</v>
      </c>
    </row>
    <row r="279" spans="2:9" x14ac:dyDescent="0.2">
      <c r="B279" s="160">
        <v>22</v>
      </c>
      <c r="C279" s="305" t="s">
        <v>1339</v>
      </c>
      <c r="D279" s="82" t="s">
        <v>1340</v>
      </c>
      <c r="E279" s="72">
        <f>SUMIF(Adat!$AG:$AG,CONCATENATE(61,$M$4,"09211",L255),Adat!$E:$E)*-1</f>
        <v>0</v>
      </c>
      <c r="F279" s="72">
        <f>SUMIF(Adat!$AG:$AG,CONCATENATE(60,$M$4,"09211",L255),Adat!$E:$E)*-1+E279</f>
        <v>0</v>
      </c>
      <c r="G279" s="72">
        <f>SUMIF(Adat!$AH:$AH,CONCATENATE($M$4,"(KÖT)","09211",L255),Adat!$E:$E)*-1</f>
        <v>0</v>
      </c>
      <c r="H279" s="72">
        <f>SUMIF(Adat!$AH:$AH,CONCATENATE($M$4,"(ÖNV)","09211",L255),Adat!$E:$E)*-1</f>
        <v>0</v>
      </c>
      <c r="I279" s="72">
        <f>SUMIF(Adat!$AH:$AH,CONCATENATE($M$4,"(ÁIG)","09211",L255),Adat!$E:$E)*-1</f>
        <v>0</v>
      </c>
    </row>
    <row r="280" spans="2:9" x14ac:dyDescent="0.2">
      <c r="B280" s="160">
        <v>23</v>
      </c>
      <c r="C280" s="305" t="s">
        <v>1345</v>
      </c>
      <c r="D280" s="82" t="s">
        <v>1346</v>
      </c>
      <c r="E280" s="72">
        <f>SUMIF(Adat!$AG:$AG,CONCATENATE(61,$M$4,"09241",L255),Adat!$E:$E)*-1</f>
        <v>0</v>
      </c>
      <c r="F280" s="72">
        <f>SUMIF(Adat!$AG:$AG,CONCATENATE(60,$M$4,"09241",L255),Adat!$E:$E)*-1+E280</f>
        <v>0</v>
      </c>
      <c r="G280" s="72">
        <f>SUMIF(Adat!$AH:$AH,CONCATENATE($M$4,"(KÖT)","09241",L255),Adat!$E:$E)*-1</f>
        <v>0</v>
      </c>
      <c r="H280" s="72">
        <f>SUMIF(Adat!$AH:$AH,CONCATENATE($M$4,"(ÖNV)","09241",L255),Adat!$E:$E)*-1</f>
        <v>0</v>
      </c>
      <c r="I280" s="72">
        <f>SUMIF(Adat!$AH:$AH,CONCATENATE($M$4,"(ÁIG)","09241",L255),Adat!$E:$E)*-1</f>
        <v>0</v>
      </c>
    </row>
    <row r="281" spans="2:9" x14ac:dyDescent="0.2">
      <c r="B281" s="160">
        <v>24</v>
      </c>
      <c r="C281" s="305" t="s">
        <v>1255</v>
      </c>
      <c r="D281" s="82" t="s">
        <v>1347</v>
      </c>
      <c r="E281" s="72">
        <f>SUMIF(Adat!$AG:$AG,CONCATENATE(61,$M$4,"09251",L255),Adat!$E:$E)*-1</f>
        <v>0</v>
      </c>
      <c r="F281" s="72">
        <f>SUMIF(Adat!$AG:$AG,CONCATENATE(60,$M$4,"09251",L255),Adat!$E:$E)*-1+E281</f>
        <v>0</v>
      </c>
      <c r="G281" s="72">
        <f>SUMIF(Adat!$AH:$AH,CONCATENATE($M$4,"(KÖT)","09251",L255),Adat!$E:$E)*-1</f>
        <v>0</v>
      </c>
      <c r="H281" s="72">
        <f>SUMIF(Adat!$AH:$AH,CONCATENATE($M$4,"(ÖNV)","09251",L255),Adat!$E:$E)*-1</f>
        <v>0</v>
      </c>
      <c r="I281" s="72">
        <f>SUMIF(Adat!$AH:$AH,CONCATENATE($M$4,"(ÁIG)","09251",L255),Adat!$E:$E)*-1</f>
        <v>0</v>
      </c>
    </row>
    <row r="282" spans="2:9" x14ac:dyDescent="0.25">
      <c r="B282" s="160">
        <v>25</v>
      </c>
      <c r="C282" s="79" t="s">
        <v>33</v>
      </c>
      <c r="D282" s="79" t="s">
        <v>330</v>
      </c>
      <c r="E282" s="121">
        <f>SUM(E283:E285)</f>
        <v>0</v>
      </c>
      <c r="F282" s="121">
        <f t="shared" ref="F282:I282" si="18">SUM(F283:F285)</f>
        <v>0</v>
      </c>
      <c r="G282" s="121">
        <f t="shared" si="18"/>
        <v>0</v>
      </c>
      <c r="H282" s="121">
        <f t="shared" si="18"/>
        <v>0</v>
      </c>
      <c r="I282" s="121">
        <f t="shared" si="18"/>
        <v>0</v>
      </c>
    </row>
    <row r="283" spans="2:9" x14ac:dyDescent="0.2">
      <c r="B283" s="160">
        <v>26</v>
      </c>
      <c r="C283" s="305" t="s">
        <v>1373</v>
      </c>
      <c r="D283" s="82" t="s">
        <v>1374</v>
      </c>
      <c r="E283" s="72">
        <f>SUMIF(Adat!$AG:$AG,CONCATENATE(61,$M$4,"09511",L255),Adat!$E:$E)*-1</f>
        <v>0</v>
      </c>
      <c r="F283" s="72">
        <f>SUMIF(Adat!$AG:$AG,CONCATENATE(60,$M$4,"09511",L255),Adat!$E:$E)*-1+E283</f>
        <v>0</v>
      </c>
      <c r="G283" s="72">
        <f>SUMIF(Adat!$AH:$AH,CONCATENATE($M$4,"(KÖT)","09511",L255),Adat!$E:$E)*-1</f>
        <v>0</v>
      </c>
      <c r="H283" s="72">
        <f>SUMIF(Adat!$AH:$AH,CONCATENATE($M$4,"(ÖNV)","09511",L255),Adat!$E:$E)*-1</f>
        <v>0</v>
      </c>
      <c r="I283" s="72">
        <f>SUMIF(Adat!$AH:$AH,CONCATENATE($M$4,"(ÁIG)","09511",L255),Adat!$E:$E)*-1</f>
        <v>0</v>
      </c>
    </row>
    <row r="284" spans="2:9" x14ac:dyDescent="0.2">
      <c r="B284" s="160">
        <v>27</v>
      </c>
      <c r="C284" s="305" t="s">
        <v>1294</v>
      </c>
      <c r="D284" s="82" t="s">
        <v>1375</v>
      </c>
      <c r="E284" s="72">
        <f>SUMIF(Adat!$AG:$AG,CONCATENATE(61,$M$4,"09521",L255),Adat!$E:$E)*-1</f>
        <v>0</v>
      </c>
      <c r="F284" s="72">
        <f>SUMIF(Adat!$AG:$AG,CONCATENATE(60,$M$4,"09521",L255),Adat!$E:$E)*-1+E284</f>
        <v>0</v>
      </c>
      <c r="G284" s="72">
        <f>SUMIF(Adat!$AH:$AH,CONCATENATE($M$4,"(KÖT)","09521",L255),Adat!$E:$E)*-1</f>
        <v>0</v>
      </c>
      <c r="H284" s="72">
        <f>SUMIF(Adat!$AH:$AH,CONCATENATE($M$4,"(ÖNV)","09521",L255),Adat!$E:$E)*-1</f>
        <v>0</v>
      </c>
      <c r="I284" s="72">
        <f>SUMIF(Adat!$AH:$AH,CONCATENATE($M$4,"(ÁIG)","09521",L255),Adat!$E:$E)*-1</f>
        <v>0</v>
      </c>
    </row>
    <row r="285" spans="2:9" x14ac:dyDescent="0.2">
      <c r="B285" s="160">
        <v>28</v>
      </c>
      <c r="C285" s="305" t="s">
        <v>1376</v>
      </c>
      <c r="D285" s="82" t="s">
        <v>1377</v>
      </c>
      <c r="E285" s="72">
        <f>SUMIF(Adat!$AG:$AG,CONCATENATE(61,$M$4,"09531",L255),Adat!$E:$E)*-1</f>
        <v>0</v>
      </c>
      <c r="F285" s="72">
        <f>SUMIF(Adat!$AG:$AG,CONCATENATE(60,$M$4,"09531",L255),Adat!$E:$E)*-1+E285</f>
        <v>0</v>
      </c>
      <c r="G285" s="72">
        <f>SUMIF(Adat!$AH:$AH,CONCATENATE($M$4,"(KÖT)","09531",L255),Adat!$E:$E)*-1</f>
        <v>0</v>
      </c>
      <c r="H285" s="72">
        <f>SUMIF(Adat!$AH:$AH,CONCATENATE($M$4,"(ÖNV)","09531",L255),Adat!$E:$E)*-1</f>
        <v>0</v>
      </c>
      <c r="I285" s="72">
        <f>SUMIF(Adat!$AH:$AH,CONCATENATE($M$4,"(ÁIG)","09531",L255),Adat!$E:$E)*-1</f>
        <v>0</v>
      </c>
    </row>
    <row r="286" spans="2:9" x14ac:dyDescent="0.25">
      <c r="B286" s="160">
        <v>29</v>
      </c>
      <c r="C286" s="79" t="s">
        <v>36</v>
      </c>
      <c r="D286" s="79" t="s">
        <v>331</v>
      </c>
      <c r="E286" s="71">
        <f>SUMIF(Adat!$AI:$AI,CONCATENATE(61,$M$4,"096",L255),Adat!$E:$E)*-1</f>
        <v>0</v>
      </c>
      <c r="F286" s="71">
        <f>SUMIF(Adat!$AI:$AI,CONCATENATE(60,$M$4,"096",L255),Adat!$E:$E)*-1+E286</f>
        <v>0</v>
      </c>
      <c r="G286" s="71">
        <f>SUMIF(Adat!$AJ:$AJ,CONCATENATE($M$4,"096","(KÖT)",L255),Adat!$E:$E)*-1</f>
        <v>0</v>
      </c>
      <c r="H286" s="71">
        <f>SUMIF(Adat!$AJ:$AJ,CONCATENATE($M$4,"096","(ÖNV)",L255),Adat!$E:$E)*-1</f>
        <v>0</v>
      </c>
      <c r="I286" s="71">
        <f>SUMIF(Adat!$AJ:$AJ,CONCATENATE($M$4,"096","(ÁIG)",L255),Adat!$E:$E)*-1</f>
        <v>0</v>
      </c>
    </row>
    <row r="287" spans="2:9" x14ac:dyDescent="0.25">
      <c r="B287" s="160">
        <v>30</v>
      </c>
      <c r="C287" s="79" t="s">
        <v>38</v>
      </c>
      <c r="D287" s="85" t="s">
        <v>332</v>
      </c>
      <c r="E287" s="71">
        <f>SUMIF(Adat!$AI:$AI,CONCATENATE(61,$M$4,"097",L255),Adat!$E:$E)*-1</f>
        <v>0</v>
      </c>
      <c r="F287" s="71">
        <f>SUMIF(Adat!$AI:$AI,CONCATENATE(60,$M$4,"097",L255),Adat!$E:$E)*-1+E287</f>
        <v>0</v>
      </c>
      <c r="G287" s="71">
        <f>SUMIF(Adat!$AJ:$AJ,CONCATENATE($M$4,"097","(KÖT)",L255),Adat!$E:$E)*-1</f>
        <v>0</v>
      </c>
      <c r="H287" s="71">
        <f>SUMIF(Adat!$AJ:$AJ,CONCATENATE($M$4,"097","(ÖNV)",L255),Adat!$E:$E)*-1</f>
        <v>0</v>
      </c>
      <c r="I287" s="71">
        <f>SUMIF(Adat!$AJ:$AJ,CONCATENATE($M$4,"097","(ÁIG)",L255),Adat!$E:$E)*-1</f>
        <v>0</v>
      </c>
    </row>
    <row r="288" spans="2:9" x14ac:dyDescent="0.25">
      <c r="B288" s="160">
        <v>31</v>
      </c>
      <c r="C288" s="154" t="s">
        <v>352</v>
      </c>
      <c r="D288" s="86" t="s">
        <v>1500</v>
      </c>
      <c r="E288" s="121">
        <f>E259+E273+E277+E278+E282+E286+E287</f>
        <v>0</v>
      </c>
      <c r="F288" s="121">
        <f>F259+F273+F277+F278+F282+F286+F287</f>
        <v>0</v>
      </c>
      <c r="G288" s="121">
        <f>G259+G273+G277+G278+G282+G286+G287</f>
        <v>0</v>
      </c>
      <c r="H288" s="121">
        <f>H259+H273+H277+H278+H282+H286+H287</f>
        <v>0</v>
      </c>
      <c r="I288" s="121">
        <f>I259+I273+I277+I278+I282+I286+I287</f>
        <v>0</v>
      </c>
    </row>
    <row r="289" spans="2:12" x14ac:dyDescent="0.25">
      <c r="B289" s="160">
        <v>32</v>
      </c>
      <c r="C289" s="154" t="s">
        <v>358</v>
      </c>
      <c r="D289" s="86" t="s">
        <v>333</v>
      </c>
      <c r="E289" s="121">
        <f>SUM(E290:E292)</f>
        <v>0</v>
      </c>
      <c r="F289" s="121">
        <f t="shared" ref="F289:I289" si="19">SUM(F290:F292)</f>
        <v>0</v>
      </c>
      <c r="G289" s="121">
        <f t="shared" si="19"/>
        <v>0</v>
      </c>
      <c r="H289" s="121">
        <f t="shared" si="19"/>
        <v>0</v>
      </c>
      <c r="I289" s="121">
        <f t="shared" si="19"/>
        <v>0</v>
      </c>
    </row>
    <row r="290" spans="2:12" x14ac:dyDescent="0.2">
      <c r="B290" s="160">
        <v>33</v>
      </c>
      <c r="C290" s="305" t="s">
        <v>1274</v>
      </c>
      <c r="D290" s="82" t="s">
        <v>1419</v>
      </c>
      <c r="E290" s="72">
        <f>SUMIF(Adat!$AG:$AG,CONCATENATE(61,$M$4,"0981311",L255),Adat!$E:$E)*-1</f>
        <v>0</v>
      </c>
      <c r="F290" s="72">
        <f>SUMIF(Adat!$AG:$AG,CONCATENATE(60,$M$4,"0981311",L255),Adat!$E:$E)*-1+E290</f>
        <v>0</v>
      </c>
      <c r="G290" s="72">
        <f>SUMIF(Adat!$AH:$AH,CONCATENATE($M$4,"(KÖT)","0981311",L255),Adat!$E:$E)*-1</f>
        <v>0</v>
      </c>
      <c r="H290" s="72">
        <f>SUMIF(Adat!$AH:$AH,CONCATENATE($M$4,"(ÖNV)","0981311",L255),Adat!$E:$E)*-1</f>
        <v>0</v>
      </c>
      <c r="I290" s="72">
        <f>SUMIF(Adat!$AH:$AH,CONCATENATE($M$4,"(ÁIG)","0981311",L255),Adat!$E:$E)*-1</f>
        <v>0</v>
      </c>
    </row>
    <row r="291" spans="2:12" x14ac:dyDescent="0.25">
      <c r="B291" s="160">
        <v>34</v>
      </c>
      <c r="C291" s="305" t="s">
        <v>1420</v>
      </c>
      <c r="D291" s="84" t="s">
        <v>1421</v>
      </c>
      <c r="E291" s="72">
        <f>SUMIF(Adat!$AG:$AG,CONCATENATE(61,$M$4,"0981321",L255),Adat!$E:$E)*-1</f>
        <v>0</v>
      </c>
      <c r="F291" s="72">
        <f>SUMIF(Adat!$AG:$AG,CONCATENATE(60,$M$4,"0981321",L255),Adat!$E:$E)*-1+E291</f>
        <v>0</v>
      </c>
      <c r="G291" s="72">
        <f>SUMIF(Adat!$AH:$AH,CONCATENATE($M$4,"(KÖT)","0981321",L255),Adat!$E:$E)*-1</f>
        <v>0</v>
      </c>
      <c r="H291" s="72">
        <f>SUMIF(Adat!$AH:$AH,CONCATENATE($M$4,"(ÖNV)","0981321",L255),Adat!$E:$E)*-1</f>
        <v>0</v>
      </c>
      <c r="I291" s="72">
        <f>SUMIF(Adat!$AH:$AH,CONCATENATE($M$4,"(ÁIG)","0981321",L255),Adat!$E:$E)*-1</f>
        <v>0</v>
      </c>
    </row>
    <row r="292" spans="2:12" x14ac:dyDescent="0.25">
      <c r="B292" s="160">
        <v>35</v>
      </c>
      <c r="C292" s="319" t="s">
        <v>1275</v>
      </c>
      <c r="D292" s="84" t="s">
        <v>1501</v>
      </c>
      <c r="E292" s="72">
        <f>SUMIF(Adat!$AG:$AG,CONCATENATE(61,$M$4,"098161",L255),Adat!$E:$E)*-1</f>
        <v>0</v>
      </c>
      <c r="F292" s="72">
        <f>SUMIF(Adat!$AG:$AG,CONCATENATE(60,$M$4,"098161",L255),Adat!$E:$E)*-1+E292</f>
        <v>0</v>
      </c>
      <c r="G292" s="72">
        <f>SUMIF(Adat!$AH:$AH,CONCATENATE($M$4,"(KÖT)","098161",L255),Adat!$E:$E)*-1</f>
        <v>0</v>
      </c>
      <c r="H292" s="72">
        <f>SUMIF(Adat!$AH:$AH,CONCATENATE($M$4,"(ÖNV)","098161",L255),Adat!$E:$E)*-1</f>
        <v>0</v>
      </c>
      <c r="I292" s="72">
        <f>SUMIF(Adat!$AH:$AH,CONCATENATE($M$4,"(ÁIG)","098161",L255),Adat!$E:$E)*-1</f>
        <v>0</v>
      </c>
    </row>
    <row r="293" spans="2:12" x14ac:dyDescent="0.25">
      <c r="B293" s="160">
        <v>36</v>
      </c>
      <c r="C293" s="154" t="s">
        <v>364</v>
      </c>
      <c r="D293" s="159" t="s">
        <v>1502</v>
      </c>
      <c r="E293" s="121">
        <f>+E288+E289</f>
        <v>0</v>
      </c>
      <c r="F293" s="121">
        <f>+F288+F289</f>
        <v>0</v>
      </c>
      <c r="G293" s="121">
        <f>+G288+G289</f>
        <v>0</v>
      </c>
      <c r="H293" s="121">
        <f>+H288+H289</f>
        <v>0</v>
      </c>
      <c r="I293" s="121">
        <f>+I288+I289</f>
        <v>0</v>
      </c>
    </row>
    <row r="294" spans="2:12" ht="15.75" x14ac:dyDescent="0.25">
      <c r="B294" s="38"/>
      <c r="C294" s="156"/>
      <c r="D294" s="38"/>
      <c r="E294" s="140"/>
      <c r="F294" s="140"/>
      <c r="G294" s="140"/>
      <c r="H294" s="140"/>
      <c r="I294" s="140"/>
    </row>
    <row r="295" spans="2:12" s="10" customFormat="1" ht="15.75" customHeight="1" x14ac:dyDescent="0.25">
      <c r="B295" s="201" t="str">
        <f>CONCATENATE("10. Kiadási jogcímek"," - ",L295," részletező")</f>
        <v>10. Kiadási jogcímek -  részletező</v>
      </c>
      <c r="C295" s="101"/>
      <c r="D295" s="101"/>
      <c r="E295" s="101"/>
      <c r="F295" s="101"/>
      <c r="G295" s="198"/>
      <c r="H295" s="198"/>
      <c r="I295" s="198"/>
      <c r="L295" s="384"/>
    </row>
    <row r="296" spans="2:12" ht="15.75" x14ac:dyDescent="0.25">
      <c r="B296" s="38"/>
      <c r="C296" s="156"/>
      <c r="D296" s="38"/>
      <c r="E296" s="140"/>
      <c r="F296" s="140"/>
      <c r="G296" s="140"/>
      <c r="H296" s="140"/>
      <c r="I296" s="140"/>
    </row>
    <row r="297" spans="2:12" x14ac:dyDescent="0.25">
      <c r="B297" s="77"/>
      <c r="C297" s="77" t="s">
        <v>350</v>
      </c>
      <c r="D297" s="77" t="s">
        <v>351</v>
      </c>
      <c r="E297" s="77" t="s">
        <v>470</v>
      </c>
      <c r="F297" s="77" t="s">
        <v>471</v>
      </c>
      <c r="G297" s="77" t="s">
        <v>44</v>
      </c>
      <c r="H297" s="77" t="s">
        <v>42</v>
      </c>
      <c r="I297" s="77" t="s">
        <v>511</v>
      </c>
    </row>
    <row r="298" spans="2:12" ht="38.25" x14ac:dyDescent="0.25">
      <c r="B298" s="160">
        <v>1</v>
      </c>
      <c r="C298" s="154" t="s">
        <v>593</v>
      </c>
      <c r="D298" s="154" t="s">
        <v>488</v>
      </c>
      <c r="E298" s="163" t="str">
        <f>CONCATENATE(PAR!$H$3," évi
eredeti 
előirányzat")</f>
        <v>2025. évi
eredeti 
előirányzat</v>
      </c>
      <c r="F298" s="163" t="str">
        <f>CONCATENATE(PAR!$H$3," évi
módosított 
előirányzat")</f>
        <v>2025. évi
módosított 
előirányzat</v>
      </c>
      <c r="G298" s="78" t="s">
        <v>666</v>
      </c>
      <c r="H298" s="78" t="s">
        <v>667</v>
      </c>
      <c r="I298" s="78" t="s">
        <v>668</v>
      </c>
    </row>
    <row r="299" spans="2:12" x14ac:dyDescent="0.25">
      <c r="B299" s="160">
        <v>2</v>
      </c>
      <c r="C299" s="78" t="s">
        <v>352</v>
      </c>
      <c r="D299" s="92" t="s">
        <v>1444</v>
      </c>
      <c r="E299" s="121">
        <f>SUM(E300:E304)</f>
        <v>0</v>
      </c>
      <c r="F299" s="121">
        <f>SUM(F300:F304)</f>
        <v>0</v>
      </c>
      <c r="G299" s="121">
        <f>SUM(G300:G304)</f>
        <v>0</v>
      </c>
      <c r="H299" s="121">
        <f>SUM(H300:H304)</f>
        <v>0</v>
      </c>
      <c r="I299" s="121">
        <f>SUM(I300:I304)</f>
        <v>0</v>
      </c>
    </row>
    <row r="300" spans="2:12" x14ac:dyDescent="0.25">
      <c r="B300" s="160">
        <v>3</v>
      </c>
      <c r="C300" s="305" t="s">
        <v>315</v>
      </c>
      <c r="D300" s="93" t="s">
        <v>342</v>
      </c>
      <c r="E300" s="72">
        <f>SUMIF(Adat!$AI:$AI,CONCATENATE(61,$M$4,"051",L295),Adat!$E:$E)</f>
        <v>0</v>
      </c>
      <c r="F300" s="72">
        <f>SUMIF(Adat!$AI:$AI,CONCATENATE(60,$M$4,"051",L295),Adat!$E:$E)+E300</f>
        <v>0</v>
      </c>
      <c r="G300" s="72">
        <f>SUMIF(Adat!$AJ:$AJ,CONCATENATE($M$4,"051","(KÖT)",L295),Adat!$E:$E)</f>
        <v>0</v>
      </c>
      <c r="H300" s="72">
        <f>SUMIF(Adat!$AJ:$AJ,CONCATENATE($M$4,"051","(ÖNV)",L295),Adat!$E:$E)</f>
        <v>0</v>
      </c>
      <c r="I300" s="72">
        <f>SUMIF(Adat!$AJ:$AJ,CONCATENATE($M$4,"051","(ÁIG)",L295),Adat!$E:$E)</f>
        <v>0</v>
      </c>
    </row>
    <row r="301" spans="2:12" x14ac:dyDescent="0.25">
      <c r="B301" s="160">
        <v>4</v>
      </c>
      <c r="C301" s="305" t="s">
        <v>317</v>
      </c>
      <c r="D301" s="93" t="s">
        <v>395</v>
      </c>
      <c r="E301" s="72">
        <f>SUMIF(Adat!$AI:$AI,CONCATENATE(61,$M$4,"052",L295),Adat!$E:$E)</f>
        <v>0</v>
      </c>
      <c r="F301" s="72">
        <f>SUMIF(Adat!$AI:$AI,CONCATENATE(60,$M$4,"052",L295),Adat!$E:$E)+E301</f>
        <v>0</v>
      </c>
      <c r="G301" s="72">
        <f>SUMIF(Adat!$AJ:$AJ,CONCATENATE($M$4,"052","(KÖT)",L295),Adat!$E:$E)</f>
        <v>0</v>
      </c>
      <c r="H301" s="72">
        <f>SUMIF(Adat!$AJ:$AJ,CONCATENATE($M$4,"052","(ÖNV)",L295),Adat!$E:$E)</f>
        <v>0</v>
      </c>
      <c r="I301" s="72">
        <f>SUMIF(Adat!$AJ:$AJ,CONCATENATE($M$4,"052","(ÁIG)",L295),Adat!$E:$E)</f>
        <v>0</v>
      </c>
    </row>
    <row r="302" spans="2:12" x14ac:dyDescent="0.25">
      <c r="B302" s="160">
        <v>5</v>
      </c>
      <c r="C302" s="305" t="s">
        <v>4</v>
      </c>
      <c r="D302" s="93" t="s">
        <v>344</v>
      </c>
      <c r="E302" s="72">
        <f>SUMIF(Adat!$AI:$AI,CONCATENATE(61,$M$4,"053",L295),Adat!$E:$E)</f>
        <v>0</v>
      </c>
      <c r="F302" s="72">
        <f>SUMIF(Adat!$AI:$AI,CONCATENATE(60,$M$4,"053",L295),Adat!$E:$E)+E302</f>
        <v>0</v>
      </c>
      <c r="G302" s="72">
        <f>SUMIF(Adat!$AJ:$AJ,CONCATENATE($M$4,"053","(KÖT)",L295),Adat!$E:$E)</f>
        <v>0</v>
      </c>
      <c r="H302" s="72">
        <f>SUMIF(Adat!$AJ:$AJ,CONCATENATE($M$4,"053","(ÖNV)",L295),Adat!$E:$E)</f>
        <v>0</v>
      </c>
      <c r="I302" s="72">
        <f>SUMIF(Adat!$AJ:$AJ,CONCATENATE($M$4,"053","(ÁIG)",L295),Adat!$E:$E)</f>
        <v>0</v>
      </c>
    </row>
    <row r="303" spans="2:12" x14ac:dyDescent="0.25">
      <c r="B303" s="160">
        <v>6</v>
      </c>
      <c r="C303" s="305" t="s">
        <v>6</v>
      </c>
      <c r="D303" s="93" t="s">
        <v>345</v>
      </c>
      <c r="E303" s="72">
        <f>SUMIF(Adat!$AI:$AI,CONCATENATE(61,$M$4,"054",L295),Adat!$E:$E)</f>
        <v>0</v>
      </c>
      <c r="F303" s="72">
        <f>SUMIF(Adat!$AI:$AI,CONCATENATE(60,$M$4,"054",L295),Adat!$E:$E)+E303</f>
        <v>0</v>
      </c>
      <c r="G303" s="72">
        <f>SUMIF(Adat!$AJ:$AJ,CONCATENATE($M$4,"054","(KÖT)",L295),Adat!$E:$E)</f>
        <v>0</v>
      </c>
      <c r="H303" s="72">
        <f>SUMIF(Adat!$AJ:$AJ,CONCATENATE($M$4,"054","(ÖNV)",L295),Adat!$E:$E)</f>
        <v>0</v>
      </c>
      <c r="I303" s="72">
        <f>SUMIF(Adat!$AJ:$AJ,CONCATENATE($M$4,"054","(ÁIG)",L295),Adat!$E:$E)</f>
        <v>0</v>
      </c>
    </row>
    <row r="304" spans="2:12" x14ac:dyDescent="0.25">
      <c r="B304" s="160">
        <v>7</v>
      </c>
      <c r="C304" s="305" t="s">
        <v>8</v>
      </c>
      <c r="D304" s="93" t="s">
        <v>321</v>
      </c>
      <c r="E304" s="72">
        <f>SUMIF(Adat!$AI:$AI,CONCATENATE(61,$M$4,"055",L295),Adat!$E:$E)</f>
        <v>0</v>
      </c>
      <c r="F304" s="72">
        <f>SUMIF(Adat!$AI:$AI,CONCATENATE(60,$M$4,"055",L295),Adat!$E:$E)+E304</f>
        <v>0</v>
      </c>
      <c r="G304" s="72">
        <f>SUMIF(Adat!$AJ:$AJ,CONCATENATE($M$4,"055","(KÖT)",L295),Adat!$E:$E)</f>
        <v>0</v>
      </c>
      <c r="H304" s="72">
        <f>SUMIF(Adat!$AJ:$AJ,CONCATENATE($M$4,"055","(ÖNV)",L295),Adat!$E:$E)</f>
        <v>0</v>
      </c>
      <c r="I304" s="72">
        <f>SUMIF(Adat!$AJ:$AJ,CONCATENATE($M$4,"055","(ÁIG)",L295),Adat!$E:$E)</f>
        <v>0</v>
      </c>
    </row>
    <row r="305" spans="2:12" x14ac:dyDescent="0.25">
      <c r="B305" s="160">
        <v>8</v>
      </c>
      <c r="C305" s="78" t="s">
        <v>358</v>
      </c>
      <c r="D305" s="92" t="s">
        <v>1447</v>
      </c>
      <c r="E305" s="121">
        <f>E306+E308+E310</f>
        <v>0</v>
      </c>
      <c r="F305" s="121">
        <f>F306+F308+F310</f>
        <v>0</v>
      </c>
      <c r="G305" s="121">
        <f>G306+G308+G310</f>
        <v>0</v>
      </c>
      <c r="H305" s="121">
        <f>H306+H308+H310</f>
        <v>0</v>
      </c>
      <c r="I305" s="121">
        <f>I306+I308+I310</f>
        <v>0</v>
      </c>
    </row>
    <row r="306" spans="2:12" x14ac:dyDescent="0.25">
      <c r="B306" s="160">
        <v>9</v>
      </c>
      <c r="C306" s="305" t="s">
        <v>10</v>
      </c>
      <c r="D306" s="93" t="s">
        <v>322</v>
      </c>
      <c r="E306" s="72">
        <f>SUMIF(Adat!$AI:$AI,CONCATENATE(61,$M$4,"056",L295),Adat!$E:$E)</f>
        <v>0</v>
      </c>
      <c r="F306" s="72">
        <f>SUMIF(Adat!$AI:$AI,CONCATENATE(60,$M$4,"056",L295),Adat!$E:$E)+E306</f>
        <v>0</v>
      </c>
      <c r="G306" s="72">
        <f>SUMIF(Adat!$AJ:$AJ,CONCATENATE($M$4,"056","(KÖT)",L295),Adat!$E:$E)</f>
        <v>0</v>
      </c>
      <c r="H306" s="72">
        <f>SUMIF(Adat!$AJ:$AJ,CONCATENATE($M$4,"056","(ÖNV)",L295),Adat!$E:$E)</f>
        <v>0</v>
      </c>
      <c r="I306" s="72">
        <f>SUMIF(Adat!$AJ:$AJ,CONCATENATE($M$4,"056","(ÁIG)",L295),Adat!$E:$E)</f>
        <v>0</v>
      </c>
    </row>
    <row r="307" spans="2:12" x14ac:dyDescent="0.25">
      <c r="B307" s="160">
        <v>10</v>
      </c>
      <c r="C307" s="305" t="s">
        <v>10</v>
      </c>
      <c r="D307" s="93" t="s">
        <v>1448</v>
      </c>
      <c r="E307" s="72">
        <v>0</v>
      </c>
      <c r="F307" s="72">
        <f>SUM(G307:I307)</f>
        <v>0</v>
      </c>
      <c r="G307" s="72">
        <v>0</v>
      </c>
      <c r="H307" s="72">
        <v>0</v>
      </c>
      <c r="I307" s="72">
        <v>0</v>
      </c>
    </row>
    <row r="308" spans="2:12" x14ac:dyDescent="0.25">
      <c r="B308" s="160">
        <v>11</v>
      </c>
      <c r="C308" s="305" t="s">
        <v>12</v>
      </c>
      <c r="D308" s="93" t="s">
        <v>323</v>
      </c>
      <c r="E308" s="72">
        <f>SUMIF(Adat!$AI:$AI,CONCATENATE(61,$M$4,"057",L295),Adat!$E:$E)</f>
        <v>0</v>
      </c>
      <c r="F308" s="72">
        <f>SUMIF(Adat!$AI:$AI,CONCATENATE(60,$M$4,"057",L295),Adat!$E:$E)+E308</f>
        <v>0</v>
      </c>
      <c r="G308" s="72">
        <f>SUMIF(Adat!$AJ:$AJ,CONCATENATE($M$4,"057","(KÖT)",L295),Adat!$E:$E)</f>
        <v>0</v>
      </c>
      <c r="H308" s="72">
        <f>SUMIF(Adat!$AJ:$AJ,CONCATENATE($M$4,"057","(ÖNV)",L295),Adat!$E:$E)</f>
        <v>0</v>
      </c>
      <c r="I308" s="72">
        <f>SUMIF(Adat!$AJ:$AJ,CONCATENATE($M$4,"057","(ÁIG)",L295),Adat!$E:$E)</f>
        <v>0</v>
      </c>
    </row>
    <row r="309" spans="2:12" x14ac:dyDescent="0.25">
      <c r="B309" s="160">
        <v>12</v>
      </c>
      <c r="C309" s="305" t="s">
        <v>12</v>
      </c>
      <c r="D309" s="93" t="s">
        <v>1449</v>
      </c>
      <c r="E309" s="72">
        <v>0</v>
      </c>
      <c r="F309" s="72">
        <f>SUM(G309:I309)</f>
        <v>0</v>
      </c>
      <c r="G309" s="72">
        <v>0</v>
      </c>
      <c r="H309" s="72">
        <v>0</v>
      </c>
      <c r="I309" s="72">
        <v>0</v>
      </c>
    </row>
    <row r="310" spans="2:12" x14ac:dyDescent="0.25">
      <c r="B310" s="160">
        <v>13</v>
      </c>
      <c r="C310" s="305" t="s">
        <v>15</v>
      </c>
      <c r="D310" s="84" t="s">
        <v>324</v>
      </c>
      <c r="E310" s="72">
        <f>SUMIF(Adat!$AI:$AI,CONCATENATE(61,$M$4,"058",L295),Adat!$E:$E)</f>
        <v>0</v>
      </c>
      <c r="F310" s="72">
        <f>SUMIF(Adat!$AI:$AI,CONCATENATE(60,$M$4,"058",L295),Adat!$E:$E)+E310</f>
        <v>0</v>
      </c>
      <c r="G310" s="72">
        <f>SUMIF(Adat!$AJ:$AJ,CONCATENATE($M$4,"058","(KÖT)",L295),Adat!$E:$E)</f>
        <v>0</v>
      </c>
      <c r="H310" s="72">
        <f>SUMIF(Adat!$AJ:$AJ,CONCATENATE($M$4,"058","(ÖNV)",L295),Adat!$E:$E)</f>
        <v>0</v>
      </c>
      <c r="I310" s="72">
        <f>SUMIF(Adat!$AJ:$AJ,CONCATENATE($M$4,"058","(ÁIG)",L295),Adat!$E:$E)</f>
        <v>0</v>
      </c>
    </row>
    <row r="311" spans="2:12" x14ac:dyDescent="0.25">
      <c r="B311" s="160">
        <v>14</v>
      </c>
      <c r="C311" s="154" t="s">
        <v>364</v>
      </c>
      <c r="D311" s="86" t="s">
        <v>325</v>
      </c>
      <c r="E311" s="71">
        <f>SUMIF(Adat!$AI:$AI,CONCATENATE(61,$M$4,"059",L295),Adat!$E:$E)</f>
        <v>0</v>
      </c>
      <c r="F311" s="71">
        <f>SUMIF(Adat!$AI:$AI,CONCATENATE(60,$M$4,"059",L295),Adat!$E:$E)+E311</f>
        <v>0</v>
      </c>
      <c r="G311" s="71">
        <f>SUMIF(Adat!$AJ:$AJ,CONCATENATE($M$4,"059","(KÖT)",L295),Adat!$E:$E)</f>
        <v>0</v>
      </c>
      <c r="H311" s="71">
        <f>SUMIF(Adat!$AJ:$AJ,CONCATENATE($M$4,"059","(ÖNV)",L295),Adat!$E:$E)</f>
        <v>0</v>
      </c>
      <c r="I311" s="71">
        <f>SUMIF(Adat!$AJ:$AJ,CONCATENATE($M$4,"059","(ÁIG)",L295),Adat!$E:$E)</f>
        <v>0</v>
      </c>
    </row>
    <row r="312" spans="2:12" x14ac:dyDescent="0.25">
      <c r="B312" s="160">
        <v>15</v>
      </c>
      <c r="C312" s="154" t="s">
        <v>403</v>
      </c>
      <c r="D312" s="159" t="s">
        <v>497</v>
      </c>
      <c r="E312" s="121">
        <f>E299+E305+E311</f>
        <v>0</v>
      </c>
      <c r="F312" s="121">
        <f>F299+F305+F311</f>
        <v>0</v>
      </c>
      <c r="G312" s="121">
        <f>G299+G305+G311</f>
        <v>0</v>
      </c>
      <c r="H312" s="121">
        <f>H299+H305+H311</f>
        <v>0</v>
      </c>
      <c r="I312" s="121">
        <f>I299+I305+I311</f>
        <v>0</v>
      </c>
    </row>
    <row r="313" spans="2:12" ht="15.75" x14ac:dyDescent="0.25">
      <c r="B313" s="37"/>
      <c r="C313" s="529"/>
      <c r="D313" s="529"/>
      <c r="E313" s="529"/>
      <c r="F313" s="200"/>
      <c r="G313" s="200"/>
      <c r="H313" s="200"/>
      <c r="I313" s="200"/>
    </row>
    <row r="314" spans="2:12" ht="15.75" x14ac:dyDescent="0.25">
      <c r="B314" s="525" t="str">
        <f>$N$4</f>
        <v>Gondozási Központ</v>
      </c>
      <c r="C314" s="525"/>
      <c r="D314" s="525"/>
      <c r="E314" s="525"/>
      <c r="F314" s="525"/>
      <c r="G314" s="525"/>
      <c r="H314" s="525"/>
      <c r="I314" s="525"/>
    </row>
    <row r="315" spans="2:12" ht="15.75" x14ac:dyDescent="0.25">
      <c r="B315" s="525" t="s">
        <v>2660</v>
      </c>
      <c r="C315" s="525"/>
      <c r="D315" s="525"/>
      <c r="E315" s="525"/>
      <c r="F315" s="525"/>
      <c r="G315" s="525"/>
      <c r="H315" s="525"/>
      <c r="I315" s="525"/>
    </row>
    <row r="316" spans="2:12" ht="15.75" x14ac:dyDescent="0.25">
      <c r="B316" s="38"/>
      <c r="C316" s="156"/>
      <c r="D316" s="38"/>
      <c r="E316" s="140"/>
      <c r="F316" s="140"/>
      <c r="G316" s="140"/>
      <c r="H316" s="140"/>
      <c r="I316" s="140"/>
    </row>
    <row r="317" spans="2:12" s="10" customFormat="1" ht="15.75" customHeight="1" x14ac:dyDescent="0.25">
      <c r="B317" s="201" t="str">
        <f>CONCATENATE("11. Bevételi jogcímek"," - ",L317," részletező")</f>
        <v>11. Bevételi jogcímek -  részletező</v>
      </c>
      <c r="C317" s="101"/>
      <c r="D317" s="101"/>
      <c r="E317" s="101"/>
      <c r="F317" s="101"/>
      <c r="G317" s="198"/>
      <c r="H317" s="198"/>
      <c r="I317" s="198"/>
      <c r="L317" s="384"/>
    </row>
    <row r="318" spans="2:12" ht="15.75" x14ac:dyDescent="0.25">
      <c r="B318" s="38"/>
      <c r="C318" s="156"/>
      <c r="D318" s="38"/>
      <c r="E318" s="140"/>
      <c r="F318" s="140"/>
      <c r="G318" s="140"/>
      <c r="H318" s="140"/>
      <c r="I318" s="140"/>
    </row>
    <row r="319" spans="2:12" x14ac:dyDescent="0.25">
      <c r="B319" s="77"/>
      <c r="C319" s="77" t="s">
        <v>350</v>
      </c>
      <c r="D319" s="77" t="s">
        <v>351</v>
      </c>
      <c r="E319" s="77" t="s">
        <v>470</v>
      </c>
      <c r="F319" s="77" t="s">
        <v>471</v>
      </c>
      <c r="G319" s="77" t="s">
        <v>44</v>
      </c>
      <c r="H319" s="77" t="s">
        <v>42</v>
      </c>
      <c r="I319" s="77" t="s">
        <v>511</v>
      </c>
    </row>
    <row r="320" spans="2:12" ht="38.25" x14ac:dyDescent="0.25">
      <c r="B320" s="160">
        <v>1</v>
      </c>
      <c r="C320" s="154" t="s">
        <v>593</v>
      </c>
      <c r="D320" s="154" t="s">
        <v>488</v>
      </c>
      <c r="E320" s="163" t="str">
        <f>CONCATENATE(PAR!$H$3," évi
eredeti 
előirányzat")</f>
        <v>2025. évi
eredeti 
előirányzat</v>
      </c>
      <c r="F320" s="163" t="str">
        <f>CONCATENATE(PAR!$H$3," évi
módosított 
előirányzat")</f>
        <v>2025. évi
módosított 
előirányzat</v>
      </c>
      <c r="G320" s="78" t="s">
        <v>666</v>
      </c>
      <c r="H320" s="78" t="s">
        <v>667</v>
      </c>
      <c r="I320" s="78" t="s">
        <v>668</v>
      </c>
    </row>
    <row r="321" spans="2:9" x14ac:dyDescent="0.25">
      <c r="B321" s="160">
        <v>2</v>
      </c>
      <c r="C321" s="79" t="s">
        <v>30</v>
      </c>
      <c r="D321" s="79" t="s">
        <v>329</v>
      </c>
      <c r="E321" s="121">
        <f>SUM(E322:E334)</f>
        <v>0</v>
      </c>
      <c r="F321" s="121">
        <f t="shared" ref="F321:I321" si="20">SUM(F322:F334)</f>
        <v>0</v>
      </c>
      <c r="G321" s="121">
        <f t="shared" si="20"/>
        <v>0</v>
      </c>
      <c r="H321" s="121">
        <f t="shared" si="20"/>
        <v>0</v>
      </c>
      <c r="I321" s="121">
        <f t="shared" si="20"/>
        <v>0</v>
      </c>
    </row>
    <row r="322" spans="2:9" x14ac:dyDescent="0.2">
      <c r="B322" s="160">
        <v>3</v>
      </c>
      <c r="C322" s="305" t="s">
        <v>1309</v>
      </c>
      <c r="D322" s="82" t="s">
        <v>1356</v>
      </c>
      <c r="E322" s="72">
        <f>SUMIF(Adat!$AG:$AG,CONCATENATE(61,$M$4,"094011",L317),Adat!$E:$E)*-1</f>
        <v>0</v>
      </c>
      <c r="F322" s="72">
        <f>SUMIF(Adat!$AG:$AG,CONCATENATE(60,$M$4,"094011",L317),Adat!$E:$E)*-1+E322</f>
        <v>0</v>
      </c>
      <c r="G322" s="72">
        <f>SUMIF(Adat!$AH:$AH,CONCATENATE($M$4,"(KÖT)","094011",L317),Adat!$E:$E)*-1</f>
        <v>0</v>
      </c>
      <c r="H322" s="72">
        <f>SUMIF(Adat!$AH:$AH,CONCATENATE($M$4,"(ÖNV)","094011",L317),Adat!$E:$E)*-1</f>
        <v>0</v>
      </c>
      <c r="I322" s="72">
        <f>SUMIF(Adat!$AH:$AH,CONCATENATE($M$4,"(ÁIG)","094011",L317),Adat!$E:$E)*-1</f>
        <v>0</v>
      </c>
    </row>
    <row r="323" spans="2:9" x14ac:dyDescent="0.2">
      <c r="B323" s="160">
        <v>4</v>
      </c>
      <c r="C323" s="305" t="s">
        <v>1279</v>
      </c>
      <c r="D323" s="82" t="s">
        <v>1357</v>
      </c>
      <c r="E323" s="72">
        <f>SUMIF(Adat!$AG:$AG,CONCATENATE(61,$M$4,"094021",L317),Adat!$E:$E)*-1</f>
        <v>0</v>
      </c>
      <c r="F323" s="72">
        <f>SUMIF(Adat!$AG:$AG,CONCATENATE(60,$M$4,"094021",L317),Adat!$E:$E)*-1+E323</f>
        <v>0</v>
      </c>
      <c r="G323" s="72">
        <f>SUMIF(Adat!$AH:$AH,CONCATENATE($M$4,"(KÖT)","094021",L317),Adat!$E:$E)*-1</f>
        <v>0</v>
      </c>
      <c r="H323" s="72">
        <f>SUMIF(Adat!$AH:$AH,CONCATENATE($M$4,"(ÖNV)","094021",L317),Adat!$E:$E)*-1</f>
        <v>0</v>
      </c>
      <c r="I323" s="72">
        <f>SUMIF(Adat!$AH:$AH,CONCATENATE($M$4,"(ÁIG)","094021",L317),Adat!$E:$E)*-1</f>
        <v>0</v>
      </c>
    </row>
    <row r="324" spans="2:9" x14ac:dyDescent="0.2">
      <c r="B324" s="160">
        <v>5</v>
      </c>
      <c r="C324" s="305" t="s">
        <v>1272</v>
      </c>
      <c r="D324" s="82" t="s">
        <v>1358</v>
      </c>
      <c r="E324" s="72">
        <f>SUMIF(Adat!$AG:$AG,CONCATENATE(61,$M$4,"094031",L317),Adat!$E:$E)*-1</f>
        <v>0</v>
      </c>
      <c r="F324" s="72">
        <f>SUMIF(Adat!$AG:$AG,CONCATENATE(60,$M$4,"094031",L317),Adat!$E:$E)*-1+E324</f>
        <v>0</v>
      </c>
      <c r="G324" s="72">
        <f>SUMIF(Adat!$AH:$AH,CONCATENATE($M$4,"(KÖT)","094031",L317),Adat!$E:$E)*-1</f>
        <v>0</v>
      </c>
      <c r="H324" s="72">
        <f>SUMIF(Adat!$AH:$AH,CONCATENATE($M$4,"(ÖNV)","094031",L317),Adat!$E:$E)*-1</f>
        <v>0</v>
      </c>
      <c r="I324" s="72">
        <f>SUMIF(Adat!$AH:$AH,CONCATENATE($M$4,"(ÁIG)","094031",L317),Adat!$E:$E)*-1</f>
        <v>0</v>
      </c>
    </row>
    <row r="325" spans="2:9" x14ac:dyDescent="0.2">
      <c r="B325" s="160">
        <v>6</v>
      </c>
      <c r="C325" s="305" t="s">
        <v>1359</v>
      </c>
      <c r="D325" s="82" t="s">
        <v>1360</v>
      </c>
      <c r="E325" s="72">
        <f>SUMIF(Adat!$AG:$AG,CONCATENATE(61,$M$4,"094041",L317),Adat!$E:$E)*-1</f>
        <v>0</v>
      </c>
      <c r="F325" s="72">
        <f>SUMIF(Adat!$AG:$AG,CONCATENATE(60,$M$4,"094041",L317),Adat!$E:$E)*-1+E325</f>
        <v>0</v>
      </c>
      <c r="G325" s="72">
        <f>SUMIF(Adat!$AH:$AH,CONCATENATE($M$4,"(KÖT)","094041",L317),Adat!$E:$E)*-1</f>
        <v>0</v>
      </c>
      <c r="H325" s="72">
        <f>SUMIF(Adat!$AH:$AH,CONCATENATE($M$4,"(ÖNV)","094041",L317),Adat!$E:$E)*-1</f>
        <v>0</v>
      </c>
      <c r="I325" s="72">
        <f>SUMIF(Adat!$AH:$AH,CONCATENATE($M$4,"(ÁIG)","094041",L317),Adat!$E:$E)*-1</f>
        <v>0</v>
      </c>
    </row>
    <row r="326" spans="2:9" x14ac:dyDescent="0.2">
      <c r="B326" s="160">
        <v>7</v>
      </c>
      <c r="C326" s="305" t="s">
        <v>1261</v>
      </c>
      <c r="D326" s="82" t="s">
        <v>1361</v>
      </c>
      <c r="E326" s="72">
        <f>SUMIF(Adat!$AG:$AG,CONCATENATE(61,$M$4,"094051",L317),Adat!$E:$E)*-1</f>
        <v>0</v>
      </c>
      <c r="F326" s="72">
        <f>SUMIF(Adat!$AG:$AG,CONCATENATE(60,$M$4,"094051",L317),Adat!$E:$E)*-1+E326</f>
        <v>0</v>
      </c>
      <c r="G326" s="72">
        <f>SUMIF(Adat!$AH:$AH,CONCATENATE($M$4,"(KÖT)","094051",L317),Adat!$E:$E)*-1</f>
        <v>0</v>
      </c>
      <c r="H326" s="72">
        <f>SUMIF(Adat!$AH:$AH,CONCATENATE($M$4,"(ÖNV)","094051",L317),Adat!$E:$E)*-1</f>
        <v>0</v>
      </c>
      <c r="I326" s="72">
        <f>SUMIF(Adat!$AH:$AH,CONCATENATE($M$4,"(ÁIG)","094051",L317),Adat!$E:$E)*-1</f>
        <v>0</v>
      </c>
    </row>
    <row r="327" spans="2:9" x14ac:dyDescent="0.2">
      <c r="B327" s="160">
        <v>8</v>
      </c>
      <c r="C327" s="305" t="s">
        <v>1273</v>
      </c>
      <c r="D327" s="82" t="s">
        <v>1362</v>
      </c>
      <c r="E327" s="72">
        <f>SUMIF(Adat!$AG:$AG,CONCATENATE(61,$M$4,"094061",L317),Adat!$E:$E)*-1</f>
        <v>0</v>
      </c>
      <c r="F327" s="72">
        <f>SUMIF(Adat!$AG:$AG,CONCATENATE(60,$M$4,"094061",L317),Adat!$E:$E)*-1+E327</f>
        <v>0</v>
      </c>
      <c r="G327" s="72">
        <f>SUMIF(Adat!$AH:$AH,CONCATENATE($M$4,"(KÖT)","094061",L317),Adat!$E:$E)*-1</f>
        <v>0</v>
      </c>
      <c r="H327" s="72">
        <f>SUMIF(Adat!$AH:$AH,CONCATENATE($M$4,"(ÖNV)","094061",L317),Adat!$E:$E)*-1</f>
        <v>0</v>
      </c>
      <c r="I327" s="72">
        <f>SUMIF(Adat!$AH:$AH,CONCATENATE($M$4,"(ÁIG)","094061",L317),Adat!$E:$E)*-1</f>
        <v>0</v>
      </c>
    </row>
    <row r="328" spans="2:9" x14ac:dyDescent="0.2">
      <c r="B328" s="160">
        <v>9</v>
      </c>
      <c r="C328" s="305" t="s">
        <v>1363</v>
      </c>
      <c r="D328" s="82" t="s">
        <v>1364</v>
      </c>
      <c r="E328" s="72">
        <f>SUMIF(Adat!$AG:$AG,CONCATENATE(61,$M$4,"094071",L317),Adat!$E:$E)*-1</f>
        <v>0</v>
      </c>
      <c r="F328" s="72">
        <f>SUMIF(Adat!$AG:$AG,CONCATENATE(60,$M$4,"094071",L317),Adat!$E:$E)*-1+E328</f>
        <v>0</v>
      </c>
      <c r="G328" s="72">
        <f>SUMIF(Adat!$AH:$AH,CONCATENATE($M$4,"(KÖT)","094071",L317),Adat!$E:$E)*-1</f>
        <v>0</v>
      </c>
      <c r="H328" s="72">
        <f>SUMIF(Adat!$AH:$AH,CONCATENATE($M$4,"(ÖNV)","094071",L317),Adat!$E:$E)*-1</f>
        <v>0</v>
      </c>
      <c r="I328" s="72">
        <f>SUMIF(Adat!$AH:$AH,CONCATENATE($M$4,"(ÁIG)","094071",L317),Adat!$E:$E)*-1</f>
        <v>0</v>
      </c>
    </row>
    <row r="329" spans="2:9" x14ac:dyDescent="0.2">
      <c r="B329" s="160">
        <v>10</v>
      </c>
      <c r="C329" s="305" t="s">
        <v>1306</v>
      </c>
      <c r="D329" s="82" t="s">
        <v>1365</v>
      </c>
      <c r="E329" s="72">
        <f>SUMIF(Adat!$AG:$AG,CONCATENATE(61,$M$4,"0940811",L317),Adat!$E:$E)*-1</f>
        <v>0</v>
      </c>
      <c r="F329" s="72">
        <f>SUMIF(Adat!$AG:$AG,CONCATENATE(60,$M$4,"0940811",L317),Adat!$E:$E)*-1+E329</f>
        <v>0</v>
      </c>
      <c r="G329" s="72">
        <f>SUMIF(Adat!$AH:$AH,CONCATENATE($M$4,"(KÖT)","0940811",L317),Adat!$E:$E)*-1</f>
        <v>0</v>
      </c>
      <c r="H329" s="72">
        <f>SUMIF(Adat!$AH:$AH,CONCATENATE($M$4,"(ÖNV)","0940811",L317),Adat!$E:$E)*-1</f>
        <v>0</v>
      </c>
      <c r="I329" s="72">
        <f>SUMIF(Adat!$AH:$AH,CONCATENATE($M$4,"(ÁIG)","0940811",L317),Adat!$E:$E)*-1</f>
        <v>0</v>
      </c>
    </row>
    <row r="330" spans="2:9" x14ac:dyDescent="0.2">
      <c r="B330" s="160">
        <v>11</v>
      </c>
      <c r="C330" s="305" t="s">
        <v>1295</v>
      </c>
      <c r="D330" s="82" t="s">
        <v>1366</v>
      </c>
      <c r="E330" s="72">
        <f>SUMIF(Adat!$AG:$AG,CONCATENATE(61,$M$4,"0940821",L317),Adat!$E:$E)*-1</f>
        <v>0</v>
      </c>
      <c r="F330" s="72">
        <f>SUMIF(Adat!$AG:$AG,CONCATENATE(60,$M$4,"0940821",L317),Adat!$E:$E)*-1+E330</f>
        <v>0</v>
      </c>
      <c r="G330" s="72">
        <f>SUMIF(Adat!$AH:$AH,CONCATENATE($M$4,"(KÖT)","0940821",L317),Adat!$E:$E)*-1</f>
        <v>0</v>
      </c>
      <c r="H330" s="72">
        <f>SUMIF(Adat!$AH:$AH,CONCATENATE($M$4,"(ÖNV)","0940821",L317),Adat!$E:$E)*-1</f>
        <v>0</v>
      </c>
      <c r="I330" s="72">
        <f>SUMIF(Adat!$AH:$AH,CONCATENATE($M$4,"(ÁIG)","0940821",L317),Adat!$E:$E)*-1</f>
        <v>0</v>
      </c>
    </row>
    <row r="331" spans="2:9" x14ac:dyDescent="0.2">
      <c r="B331" s="160">
        <v>12</v>
      </c>
      <c r="C331" s="305" t="s">
        <v>1367</v>
      </c>
      <c r="D331" s="82" t="s">
        <v>1368</v>
      </c>
      <c r="E331" s="72">
        <f>SUMIF(Adat!$AG:$AG,CONCATENATE(61,$M$4,"0940911",L317),Adat!$E:$E)*-1</f>
        <v>0</v>
      </c>
      <c r="F331" s="72">
        <f>SUMIF(Adat!$AG:$AG,CONCATENATE(60,$M$4,"0940911",L317),Adat!$E:$E)*-1+E331</f>
        <v>0</v>
      </c>
      <c r="G331" s="72">
        <f>SUMIF(Adat!$AH:$AH,CONCATENATE($M$4,"(KÖT)","0940911",L317),Adat!$E:$E)*-1</f>
        <v>0</v>
      </c>
      <c r="H331" s="72">
        <f>SUMIF(Adat!$AH:$AH,CONCATENATE($M$4,"(ÖNV)","0940911",L317),Adat!$E:$E)*-1</f>
        <v>0</v>
      </c>
      <c r="I331" s="72">
        <f>SUMIF(Adat!$AH:$AH,CONCATENATE($M$4,"(ÁIG)","0940911",L317),Adat!$E:$E)*-1</f>
        <v>0</v>
      </c>
    </row>
    <row r="332" spans="2:9" x14ac:dyDescent="0.2">
      <c r="B332" s="160">
        <v>13</v>
      </c>
      <c r="C332" s="305" t="s">
        <v>1369</v>
      </c>
      <c r="D332" s="82" t="s">
        <v>1370</v>
      </c>
      <c r="E332" s="72">
        <f>SUMIF(Adat!$AG:$AG,CONCATENATE(61,$M$4,"0940921",L317),Adat!$E:$E)*-1</f>
        <v>0</v>
      </c>
      <c r="F332" s="72">
        <f>SUMIF(Adat!$AG:$AG,CONCATENATE(60,$M$4,"0940921",L317),Adat!$E:$E)*-1+E332</f>
        <v>0</v>
      </c>
      <c r="G332" s="72">
        <f>SUMIF(Adat!$AH:$AH,CONCATENATE($M$4,"(KÖT)","0940921",L317),Adat!$E:$E)*-1</f>
        <v>0</v>
      </c>
      <c r="H332" s="72">
        <f>SUMIF(Adat!$AH:$AH,CONCATENATE($M$4,"(ÖNV)","0940921",L317),Adat!$E:$E)*-1</f>
        <v>0</v>
      </c>
      <c r="I332" s="72">
        <f>SUMIF(Adat!$AH:$AH,CONCATENATE($M$4,"(ÁIG)","0940921",L317),Adat!$E:$E)*-1</f>
        <v>0</v>
      </c>
    </row>
    <row r="333" spans="2:9" x14ac:dyDescent="0.2">
      <c r="B333" s="160">
        <v>14</v>
      </c>
      <c r="C333" s="305" t="s">
        <v>1296</v>
      </c>
      <c r="D333" s="82" t="s">
        <v>1371</v>
      </c>
      <c r="E333" s="72">
        <f>SUMIF(Adat!$AG:$AG,CONCATENATE(61,$M$4,"094101",L317),Adat!$E:$E)*-1</f>
        <v>0</v>
      </c>
      <c r="F333" s="72">
        <f>SUMIF(Adat!$AG:$AG,CONCATENATE(60,$M$4,"094101",L317),Adat!$E:$E)*-1+E333</f>
        <v>0</v>
      </c>
      <c r="G333" s="72">
        <f>SUMIF(Adat!$AH:$AH,CONCATENATE($M$4,"(KÖT)","094101",L317),Adat!$E:$E)*-1</f>
        <v>0</v>
      </c>
      <c r="H333" s="72">
        <f>SUMIF(Adat!$AH:$AH,CONCATENATE($M$4,"(ÖNV)","094101",L317),Adat!$E:$E)*-1</f>
        <v>0</v>
      </c>
      <c r="I333" s="72">
        <f>SUMIF(Adat!$AH:$AH,CONCATENATE($M$4,"(ÁIG)","094101",L317),Adat!$E:$E)*-1</f>
        <v>0</v>
      </c>
    </row>
    <row r="334" spans="2:9" x14ac:dyDescent="0.25">
      <c r="B334" s="160">
        <v>15</v>
      </c>
      <c r="C334" s="305" t="s">
        <v>1297</v>
      </c>
      <c r="D334" s="84" t="s">
        <v>1372</v>
      </c>
      <c r="E334" s="72">
        <f>SUMIF(Adat!$AG:$AG,CONCATENATE(61,$M$4,"094111",L317),Adat!$E:$E)*-1</f>
        <v>0</v>
      </c>
      <c r="F334" s="72">
        <f>SUMIF(Adat!$AG:$AG,CONCATENATE(60,$M$4,"094111",L317),Adat!$E:$E)*-1+E334</f>
        <v>0</v>
      </c>
      <c r="G334" s="72">
        <f>SUMIF(Adat!$AH:$AH,CONCATENATE($M$4,"(KÖT)","094111",L317),Adat!$E:$E)*-1</f>
        <v>0</v>
      </c>
      <c r="H334" s="72">
        <f>SUMIF(Adat!$AH:$AH,CONCATENATE($M$4,"(ÖNV)","094111",L317),Adat!$E:$E)*-1</f>
        <v>0</v>
      </c>
      <c r="I334" s="72">
        <f>SUMIF(Adat!$AH:$AH,CONCATENATE($M$4,"(ÁIG)","094111",L317),Adat!$E:$E)*-1</f>
        <v>0</v>
      </c>
    </row>
    <row r="335" spans="2:9" x14ac:dyDescent="0.25">
      <c r="B335" s="160">
        <v>16</v>
      </c>
      <c r="C335" s="78" t="s">
        <v>1328</v>
      </c>
      <c r="D335" s="85" t="s">
        <v>437</v>
      </c>
      <c r="E335" s="121">
        <f>SUM(E336:E338)</f>
        <v>0</v>
      </c>
      <c r="F335" s="121">
        <f>SUM(F336:F338)</f>
        <v>0</v>
      </c>
      <c r="G335" s="121">
        <f>SUM(G336:G338)</f>
        <v>0</v>
      </c>
      <c r="H335" s="121">
        <f>SUM(H336:H338)</f>
        <v>0</v>
      </c>
      <c r="I335" s="121">
        <f>SUM(I336:I338)</f>
        <v>0</v>
      </c>
    </row>
    <row r="336" spans="2:9" x14ac:dyDescent="0.2">
      <c r="B336" s="160">
        <v>17</v>
      </c>
      <c r="C336" s="305" t="s">
        <v>1329</v>
      </c>
      <c r="D336" s="82" t="s">
        <v>1330</v>
      </c>
      <c r="E336" s="72">
        <f>SUMIF(Adat!$AG:$AG,CONCATENATE(61,$M$4,"09121",L317),Adat!$E:$E)*-1</f>
        <v>0</v>
      </c>
      <c r="F336" s="72">
        <f>SUMIF(Adat!$AG:$AG,CONCATENATE(60,$M$4,"09121",L317),Adat!$E:$E)*-1+E336</f>
        <v>0</v>
      </c>
      <c r="G336" s="72">
        <f>SUMIF(Adat!$AH:$AH,CONCATENATE($M$4,"(KÖT)","09121",L317),Adat!$E:$E)*-1</f>
        <v>0</v>
      </c>
      <c r="H336" s="72">
        <f>SUMIF(Adat!$AH:$AH,CONCATENATE($M$4,"(ÖNV)","09121",L317),Adat!$E:$E)*-1</f>
        <v>0</v>
      </c>
      <c r="I336" s="72">
        <f>SUMIF(Adat!$AH:$AH,CONCATENATE($M$4,"(ÁIG)","09121",L317),Adat!$E:$E)*-1</f>
        <v>0</v>
      </c>
    </row>
    <row r="337" spans="2:9" x14ac:dyDescent="0.2">
      <c r="B337" s="160">
        <v>18</v>
      </c>
      <c r="C337" s="305" t="s">
        <v>1335</v>
      </c>
      <c r="D337" s="82" t="s">
        <v>1336</v>
      </c>
      <c r="E337" s="72">
        <f>SUMIF(Adat!$AG:$AG,CONCATENATE(61,$M$4,"09151",L317),Adat!$E:$E)*-1</f>
        <v>0</v>
      </c>
      <c r="F337" s="72">
        <f>SUMIF(Adat!$AG:$AG,CONCATENATE(60,$M$4,"09151",L317),Adat!$E:$E)*-1+E337</f>
        <v>0</v>
      </c>
      <c r="G337" s="72">
        <f>SUMIF(Adat!$AH:$AH,CONCATENATE($M$4,"(KÖT)","09151",L317),Adat!$E:$E)*-1</f>
        <v>0</v>
      </c>
      <c r="H337" s="72">
        <f>SUMIF(Adat!$AH:$AH,CONCATENATE($M$4,"(ÖNV)","09151",L317),Adat!$E:$E)*-1</f>
        <v>0</v>
      </c>
      <c r="I337" s="72">
        <f>SUMIF(Adat!$AH:$AH,CONCATENATE($M$4,"(ÁIG)","09151",L317),Adat!$E:$E)*-1</f>
        <v>0</v>
      </c>
    </row>
    <row r="338" spans="2:9" x14ac:dyDescent="0.2">
      <c r="B338" s="160">
        <v>19</v>
      </c>
      <c r="C338" s="305" t="s">
        <v>1278</v>
      </c>
      <c r="D338" s="82" t="s">
        <v>1337</v>
      </c>
      <c r="E338" s="72">
        <f>SUMIF(Adat!$AG:$AG,CONCATENATE(61,$M$4,"09161",L317),Adat!$E:$E)*-1</f>
        <v>0</v>
      </c>
      <c r="F338" s="72">
        <f>SUMIF(Adat!$AG:$AG,CONCATENATE(60,$M$4,"09161",L317),Adat!$E:$E)*-1+E338</f>
        <v>0</v>
      </c>
      <c r="G338" s="72">
        <f>SUMIF(Adat!$AH:$AH,CONCATENATE($M$4,"(KÖT)","09161",L317),Adat!$E:$E)*-1</f>
        <v>0</v>
      </c>
      <c r="H338" s="72">
        <f>SUMIF(Adat!$AH:$AH,CONCATENATE($M$4,"(ÖNV)","09161",L317),Adat!$E:$E)*-1</f>
        <v>0</v>
      </c>
      <c r="I338" s="72">
        <f>SUMIF(Adat!$AH:$AH,CONCATENATE($M$4,"(ÁIG)","09161",L317),Adat!$E:$E)*-1</f>
        <v>0</v>
      </c>
    </row>
    <row r="339" spans="2:9" x14ac:dyDescent="0.25">
      <c r="B339" s="160">
        <v>20</v>
      </c>
      <c r="C339" s="79" t="s">
        <v>27</v>
      </c>
      <c r="D339" s="79" t="s">
        <v>328</v>
      </c>
      <c r="E339" s="71">
        <f>SUMIF(Adat!$AI:$AI,CONCATENATE(61,$M$4,"093",L317),Adat!$E:$E)*-1</f>
        <v>0</v>
      </c>
      <c r="F339" s="71">
        <f>SUMIF(Adat!$AI:$AI,CONCATENATE(60,$M$4,"093",L317),Adat!$E:$E)*-1+E339</f>
        <v>0</v>
      </c>
      <c r="G339" s="71">
        <f>SUMIF(Adat!$AJ:$AJ,CONCATENATE($M$4,"093","(KÖT)",L317),Adat!$E:$E)*-1</f>
        <v>0</v>
      </c>
      <c r="H339" s="71">
        <f>SUMIF(Adat!$AJ:$AJ,CONCATENATE($M$4,"093","(ÖNV)",L317),Adat!$E:$E)*-1</f>
        <v>0</v>
      </c>
      <c r="I339" s="71">
        <f>SUMIF(Adat!$AJ:$AJ,CONCATENATE($M$4,"093","(ÁIG)",L317),Adat!$E:$E)*-1</f>
        <v>0</v>
      </c>
    </row>
    <row r="340" spans="2:9" x14ac:dyDescent="0.25">
      <c r="B340" s="160">
        <v>21</v>
      </c>
      <c r="C340" s="79" t="s">
        <v>24</v>
      </c>
      <c r="D340" s="79" t="s">
        <v>449</v>
      </c>
      <c r="E340" s="121">
        <f>SUM(E341:E343)</f>
        <v>0</v>
      </c>
      <c r="F340" s="121">
        <f t="shared" ref="F340:I340" si="21">SUM(F341:F343)</f>
        <v>0</v>
      </c>
      <c r="G340" s="121">
        <f t="shared" si="21"/>
        <v>0</v>
      </c>
      <c r="H340" s="121">
        <f t="shared" si="21"/>
        <v>0</v>
      </c>
      <c r="I340" s="121">
        <f t="shared" si="21"/>
        <v>0</v>
      </c>
    </row>
    <row r="341" spans="2:9" x14ac:dyDescent="0.2">
      <c r="B341" s="160">
        <v>22</v>
      </c>
      <c r="C341" s="305" t="s">
        <v>1339</v>
      </c>
      <c r="D341" s="82" t="s">
        <v>1340</v>
      </c>
      <c r="E341" s="72">
        <f>SUMIF(Adat!$AG:$AG,CONCATENATE(61,$M$4,"09211",L317),Adat!$E:$E)*-1</f>
        <v>0</v>
      </c>
      <c r="F341" s="72">
        <f>SUMIF(Adat!$AG:$AG,CONCATENATE(60,$M$4,"09211",L317),Adat!$E:$E)*-1+E341</f>
        <v>0</v>
      </c>
      <c r="G341" s="72">
        <f>SUMIF(Adat!$AH:$AH,CONCATENATE($M$4,"(KÖT)","09211",L317),Adat!$E:$E)*-1</f>
        <v>0</v>
      </c>
      <c r="H341" s="72">
        <f>SUMIF(Adat!$AH:$AH,CONCATENATE($M$4,"(ÖNV)","09211",L317),Adat!$E:$E)*-1</f>
        <v>0</v>
      </c>
      <c r="I341" s="72">
        <f>SUMIF(Adat!$AH:$AH,CONCATENATE($M$4,"(ÁIG)","09211",L317),Adat!$E:$E)*-1</f>
        <v>0</v>
      </c>
    </row>
    <row r="342" spans="2:9" x14ac:dyDescent="0.2">
      <c r="B342" s="160">
        <v>23</v>
      </c>
      <c r="C342" s="305" t="s">
        <v>1345</v>
      </c>
      <c r="D342" s="82" t="s">
        <v>1346</v>
      </c>
      <c r="E342" s="72">
        <f>SUMIF(Adat!$AG:$AG,CONCATENATE(61,$M$4,"09241",L317),Adat!$E:$E)*-1</f>
        <v>0</v>
      </c>
      <c r="F342" s="72">
        <f>SUMIF(Adat!$AG:$AG,CONCATENATE(60,$M$4,"09241",L317),Adat!$E:$E)*-1+E342</f>
        <v>0</v>
      </c>
      <c r="G342" s="72">
        <f>SUMIF(Adat!$AH:$AH,CONCATENATE($M$4,"(KÖT)","09241",L317),Adat!$E:$E)*-1</f>
        <v>0</v>
      </c>
      <c r="H342" s="72">
        <f>SUMIF(Adat!$AH:$AH,CONCATENATE($M$4,"(ÖNV)","09241",L317),Adat!$E:$E)*-1</f>
        <v>0</v>
      </c>
      <c r="I342" s="72">
        <f>SUMIF(Adat!$AH:$AH,CONCATENATE($M$4,"(ÁIG)","09241",L317),Adat!$E:$E)*-1</f>
        <v>0</v>
      </c>
    </row>
    <row r="343" spans="2:9" x14ac:dyDescent="0.2">
      <c r="B343" s="160">
        <v>24</v>
      </c>
      <c r="C343" s="305" t="s">
        <v>1255</v>
      </c>
      <c r="D343" s="82" t="s">
        <v>1347</v>
      </c>
      <c r="E343" s="72">
        <f>SUMIF(Adat!$AG:$AG,CONCATENATE(61,$M$4,"09251",L317),Adat!$E:$E)*-1</f>
        <v>0</v>
      </c>
      <c r="F343" s="72">
        <f>SUMIF(Adat!$AG:$AG,CONCATENATE(60,$M$4,"09251",L317),Adat!$E:$E)*-1+E343</f>
        <v>0</v>
      </c>
      <c r="G343" s="72">
        <f>SUMIF(Adat!$AH:$AH,CONCATENATE($M$4,"(KÖT)","09251",L317),Adat!$E:$E)*-1</f>
        <v>0</v>
      </c>
      <c r="H343" s="72">
        <f>SUMIF(Adat!$AH:$AH,CONCATENATE($M$4,"(ÖNV)","09251",L317),Adat!$E:$E)*-1</f>
        <v>0</v>
      </c>
      <c r="I343" s="72">
        <f>SUMIF(Adat!$AH:$AH,CONCATENATE($M$4,"(ÁIG)","09251",L317),Adat!$E:$E)*-1</f>
        <v>0</v>
      </c>
    </row>
    <row r="344" spans="2:9" x14ac:dyDescent="0.25">
      <c r="B344" s="160">
        <v>25</v>
      </c>
      <c r="C344" s="79" t="s">
        <v>33</v>
      </c>
      <c r="D344" s="79" t="s">
        <v>330</v>
      </c>
      <c r="E344" s="121">
        <f>SUM(E345:E347)</f>
        <v>0</v>
      </c>
      <c r="F344" s="121">
        <f t="shared" ref="F344:I344" si="22">SUM(F345:F347)</f>
        <v>0</v>
      </c>
      <c r="G344" s="121">
        <f t="shared" si="22"/>
        <v>0</v>
      </c>
      <c r="H344" s="121">
        <f t="shared" si="22"/>
        <v>0</v>
      </c>
      <c r="I344" s="121">
        <f t="shared" si="22"/>
        <v>0</v>
      </c>
    </row>
    <row r="345" spans="2:9" x14ac:dyDescent="0.2">
      <c r="B345" s="160">
        <v>26</v>
      </c>
      <c r="C345" s="305" t="s">
        <v>1373</v>
      </c>
      <c r="D345" s="82" t="s">
        <v>1374</v>
      </c>
      <c r="E345" s="72">
        <f>SUMIF(Adat!$AG:$AG,CONCATENATE(61,$M$4,"09511",L317),Adat!$E:$E)*-1</f>
        <v>0</v>
      </c>
      <c r="F345" s="72">
        <f>SUMIF(Adat!$AG:$AG,CONCATENATE(60,$M$4,"09511",L317),Adat!$E:$E)*-1+E345</f>
        <v>0</v>
      </c>
      <c r="G345" s="72">
        <f>SUMIF(Adat!$AH:$AH,CONCATENATE($M$4,"(KÖT)","09511",L317),Adat!$E:$E)*-1</f>
        <v>0</v>
      </c>
      <c r="H345" s="72">
        <f>SUMIF(Adat!$AH:$AH,CONCATENATE($M$4,"(ÖNV)","09511",L317),Adat!$E:$E)*-1</f>
        <v>0</v>
      </c>
      <c r="I345" s="72">
        <f>SUMIF(Adat!$AH:$AH,CONCATENATE($M$4,"(ÁIG)","09511",L317),Adat!$E:$E)*-1</f>
        <v>0</v>
      </c>
    </row>
    <row r="346" spans="2:9" x14ac:dyDescent="0.2">
      <c r="B346" s="160">
        <v>27</v>
      </c>
      <c r="C346" s="305" t="s">
        <v>1294</v>
      </c>
      <c r="D346" s="82" t="s">
        <v>1375</v>
      </c>
      <c r="E346" s="72">
        <f>SUMIF(Adat!$AG:$AG,CONCATENATE(61,$M$4,"09521",L317),Adat!$E:$E)*-1</f>
        <v>0</v>
      </c>
      <c r="F346" s="72">
        <f>SUMIF(Adat!$AG:$AG,CONCATENATE(60,$M$4,"09521",L317),Adat!$E:$E)*-1+E346</f>
        <v>0</v>
      </c>
      <c r="G346" s="72">
        <f>SUMIF(Adat!$AH:$AH,CONCATENATE($M$4,"(KÖT)","09521",L317),Adat!$E:$E)*-1</f>
        <v>0</v>
      </c>
      <c r="H346" s="72">
        <f>SUMIF(Adat!$AH:$AH,CONCATENATE($M$4,"(ÖNV)","09521",L317),Adat!$E:$E)*-1</f>
        <v>0</v>
      </c>
      <c r="I346" s="72">
        <f>SUMIF(Adat!$AH:$AH,CONCATENATE($M$4,"(ÁIG)","09521",L317),Adat!$E:$E)*-1</f>
        <v>0</v>
      </c>
    </row>
    <row r="347" spans="2:9" x14ac:dyDescent="0.2">
      <c r="B347" s="160">
        <v>28</v>
      </c>
      <c r="C347" s="305" t="s">
        <v>1376</v>
      </c>
      <c r="D347" s="82" t="s">
        <v>1377</v>
      </c>
      <c r="E347" s="72">
        <f>SUMIF(Adat!$AG:$AG,CONCATENATE(61,$M$4,"09531",L317),Adat!$E:$E)*-1</f>
        <v>0</v>
      </c>
      <c r="F347" s="72">
        <f>SUMIF(Adat!$AG:$AG,CONCATENATE(60,$M$4,"09531",L317),Adat!$E:$E)*-1+E347</f>
        <v>0</v>
      </c>
      <c r="G347" s="72">
        <f>SUMIF(Adat!$AH:$AH,CONCATENATE($M$4,"(KÖT)","09531",L317),Adat!$E:$E)*-1</f>
        <v>0</v>
      </c>
      <c r="H347" s="72">
        <f>SUMIF(Adat!$AH:$AH,CONCATENATE($M$4,"(ÖNV)","09531",L317),Adat!$E:$E)*-1</f>
        <v>0</v>
      </c>
      <c r="I347" s="72">
        <f>SUMIF(Adat!$AH:$AH,CONCATENATE($M$4,"(ÁIG)","09531",L317),Adat!$E:$E)*-1</f>
        <v>0</v>
      </c>
    </row>
    <row r="348" spans="2:9" x14ac:dyDescent="0.25">
      <c r="B348" s="160">
        <v>29</v>
      </c>
      <c r="C348" s="79" t="s">
        <v>36</v>
      </c>
      <c r="D348" s="79" t="s">
        <v>331</v>
      </c>
      <c r="E348" s="71">
        <f>SUMIF(Adat!$AI:$AI,CONCATENATE(61,$M$4,"096",L317),Adat!$E:$E)*-1</f>
        <v>0</v>
      </c>
      <c r="F348" s="71">
        <f>SUMIF(Adat!$AI:$AI,CONCATENATE(60,$M$4,"096",L317),Adat!$E:$E)*-1+E348</f>
        <v>0</v>
      </c>
      <c r="G348" s="71">
        <f>SUMIF(Adat!$AJ:$AJ,CONCATENATE($M$4,"096","(KÖT)",L317),Adat!$E:$E)*-1</f>
        <v>0</v>
      </c>
      <c r="H348" s="71">
        <f>SUMIF(Adat!$AJ:$AJ,CONCATENATE($M$4,"096","(ÖNV)",L317),Adat!$E:$E)*-1</f>
        <v>0</v>
      </c>
      <c r="I348" s="71">
        <f>SUMIF(Adat!$AJ:$AJ,CONCATENATE($M$4,"096","(ÁIG)",L317),Adat!$E:$E)*-1</f>
        <v>0</v>
      </c>
    </row>
    <row r="349" spans="2:9" x14ac:dyDescent="0.25">
      <c r="B349" s="160">
        <v>30</v>
      </c>
      <c r="C349" s="79" t="s">
        <v>38</v>
      </c>
      <c r="D349" s="85" t="s">
        <v>332</v>
      </c>
      <c r="E349" s="71">
        <f>SUMIF(Adat!$AI:$AI,CONCATENATE(61,$M$4,"097",L317),Adat!$E:$E)*-1</f>
        <v>0</v>
      </c>
      <c r="F349" s="71">
        <f>SUMIF(Adat!$AI:$AI,CONCATENATE(60,$M$4,"097",L317),Adat!$E:$E)*-1+E349</f>
        <v>0</v>
      </c>
      <c r="G349" s="71">
        <f>SUMIF(Adat!$AJ:$AJ,CONCATENATE($M$4,"097","(KÖT)",L317),Adat!$E:$E)*-1</f>
        <v>0</v>
      </c>
      <c r="H349" s="71">
        <f>SUMIF(Adat!$AJ:$AJ,CONCATENATE($M$4,"097","(ÖNV)",L317),Adat!$E:$E)*-1</f>
        <v>0</v>
      </c>
      <c r="I349" s="71">
        <f>SUMIF(Adat!$AJ:$AJ,CONCATENATE($M$4,"097","(ÁIG)",L317),Adat!$E:$E)*-1</f>
        <v>0</v>
      </c>
    </row>
    <row r="350" spans="2:9" x14ac:dyDescent="0.25">
      <c r="B350" s="160">
        <v>31</v>
      </c>
      <c r="C350" s="154" t="s">
        <v>352</v>
      </c>
      <c r="D350" s="86" t="s">
        <v>1500</v>
      </c>
      <c r="E350" s="121">
        <f>E321+E335+E339+E340+E344+E348+E349</f>
        <v>0</v>
      </c>
      <c r="F350" s="121">
        <f>F321+F335+F339+F340+F344+F348+F349</f>
        <v>0</v>
      </c>
      <c r="G350" s="121">
        <f>G321+G335+G339+G340+G344+G348+G349</f>
        <v>0</v>
      </c>
      <c r="H350" s="121">
        <f>H321+H335+H339+H340+H344+H348+H349</f>
        <v>0</v>
      </c>
      <c r="I350" s="121">
        <f>I321+I335+I339+I340+I344+I348+I349</f>
        <v>0</v>
      </c>
    </row>
    <row r="351" spans="2:9" x14ac:dyDescent="0.25">
      <c r="B351" s="160">
        <v>32</v>
      </c>
      <c r="C351" s="154" t="s">
        <v>358</v>
      </c>
      <c r="D351" s="86" t="s">
        <v>333</v>
      </c>
      <c r="E351" s="121">
        <f>SUM(E352:E354)</f>
        <v>0</v>
      </c>
      <c r="F351" s="121">
        <f t="shared" ref="F351:I351" si="23">SUM(F352:F354)</f>
        <v>0</v>
      </c>
      <c r="G351" s="121">
        <f t="shared" si="23"/>
        <v>0</v>
      </c>
      <c r="H351" s="121">
        <f t="shared" si="23"/>
        <v>0</v>
      </c>
      <c r="I351" s="121">
        <f t="shared" si="23"/>
        <v>0</v>
      </c>
    </row>
    <row r="352" spans="2:9" x14ac:dyDescent="0.2">
      <c r="B352" s="160">
        <v>33</v>
      </c>
      <c r="C352" s="305" t="s">
        <v>1274</v>
      </c>
      <c r="D352" s="82" t="s">
        <v>1419</v>
      </c>
      <c r="E352" s="72">
        <f>SUMIF(Adat!$AG:$AG,CONCATENATE(61,$M$4,"0981311",L317),Adat!$E:$E)*-1</f>
        <v>0</v>
      </c>
      <c r="F352" s="72">
        <f>SUMIF(Adat!$AG:$AG,CONCATENATE(60,$M$4,"0981311",L317),Adat!$E:$E)*-1+E352</f>
        <v>0</v>
      </c>
      <c r="G352" s="72">
        <f>SUMIF(Adat!$AH:$AH,CONCATENATE($M$4,"(KÖT)","0981311",L317),Adat!$E:$E)*-1</f>
        <v>0</v>
      </c>
      <c r="H352" s="72">
        <f>SUMIF(Adat!$AH:$AH,CONCATENATE($M$4,"(ÖNV)","0981311",L317),Adat!$E:$E)*-1</f>
        <v>0</v>
      </c>
      <c r="I352" s="72">
        <f>SUMIF(Adat!$AH:$AH,CONCATENATE($M$4,"(ÁIG)","0981311",L317),Adat!$E:$E)*-1</f>
        <v>0</v>
      </c>
    </row>
    <row r="353" spans="2:12" x14ac:dyDescent="0.25">
      <c r="B353" s="160">
        <v>34</v>
      </c>
      <c r="C353" s="305" t="s">
        <v>1420</v>
      </c>
      <c r="D353" s="84" t="s">
        <v>1421</v>
      </c>
      <c r="E353" s="72">
        <f>SUMIF(Adat!$AG:$AG,CONCATENATE(61,$M$4,"0981321",L317),Adat!$E:$E)*-1</f>
        <v>0</v>
      </c>
      <c r="F353" s="72">
        <f>SUMIF(Adat!$AG:$AG,CONCATENATE(60,$M$4,"0981321",L317),Adat!$E:$E)*-1+E353</f>
        <v>0</v>
      </c>
      <c r="G353" s="72">
        <f>SUMIF(Adat!$AH:$AH,CONCATENATE($M$4,"(KÖT)","0981321",L317),Adat!$E:$E)*-1</f>
        <v>0</v>
      </c>
      <c r="H353" s="72">
        <f>SUMIF(Adat!$AH:$AH,CONCATENATE($M$4,"(ÖNV)","0981321",L317),Adat!$E:$E)*-1</f>
        <v>0</v>
      </c>
      <c r="I353" s="72">
        <f>SUMIF(Adat!$AH:$AH,CONCATENATE($M$4,"(ÁIG)","0981321",L317),Adat!$E:$E)*-1</f>
        <v>0</v>
      </c>
    </row>
    <row r="354" spans="2:12" x14ac:dyDescent="0.25">
      <c r="B354" s="160">
        <v>35</v>
      </c>
      <c r="C354" s="319" t="s">
        <v>1275</v>
      </c>
      <c r="D354" s="84" t="s">
        <v>1501</v>
      </c>
      <c r="E354" s="72">
        <f>SUMIF(Adat!$AG:$AG,CONCATENATE(61,$M$4,"098161",L317),Adat!$E:$E)*-1</f>
        <v>0</v>
      </c>
      <c r="F354" s="72">
        <f>SUMIF(Adat!$AG:$AG,CONCATENATE(60,$M$4,"098161",L317),Adat!$E:$E)*-1+E354</f>
        <v>0</v>
      </c>
      <c r="G354" s="72">
        <f>SUMIF(Adat!$AH:$AH,CONCATENATE($M$4,"(KÖT)","098161",L317),Adat!$E:$E)*-1</f>
        <v>0</v>
      </c>
      <c r="H354" s="72">
        <f>SUMIF(Adat!$AH:$AH,CONCATENATE($M$4,"(ÖNV)","098161",L317),Adat!$E:$E)*-1</f>
        <v>0</v>
      </c>
      <c r="I354" s="72">
        <f>SUMIF(Adat!$AH:$AH,CONCATENATE($M$4,"(ÁIG)","098161",L317),Adat!$E:$E)*-1</f>
        <v>0</v>
      </c>
    </row>
    <row r="355" spans="2:12" x14ac:dyDescent="0.25">
      <c r="B355" s="160">
        <v>36</v>
      </c>
      <c r="C355" s="154" t="s">
        <v>364</v>
      </c>
      <c r="D355" s="159" t="s">
        <v>1502</v>
      </c>
      <c r="E355" s="121">
        <f>+E350+E351</f>
        <v>0</v>
      </c>
      <c r="F355" s="121">
        <f>+F350+F351</f>
        <v>0</v>
      </c>
      <c r="G355" s="121">
        <f>+G350+G351</f>
        <v>0</v>
      </c>
      <c r="H355" s="121">
        <f>+H350+H351</f>
        <v>0</v>
      </c>
      <c r="I355" s="121">
        <f>+I350+I351</f>
        <v>0</v>
      </c>
    </row>
    <row r="356" spans="2:12" ht="15.75" x14ac:dyDescent="0.25">
      <c r="B356" s="38"/>
      <c r="C356" s="156"/>
      <c r="D356" s="38"/>
      <c r="E356" s="140"/>
      <c r="F356" s="140"/>
      <c r="G356" s="140"/>
      <c r="H356" s="140"/>
      <c r="I356" s="140"/>
    </row>
    <row r="357" spans="2:12" s="10" customFormat="1" ht="15.75" customHeight="1" x14ac:dyDescent="0.25">
      <c r="B357" s="201" t="str">
        <f>CONCATENATE("12. Kiadási jogcímek"," - ",L357," részletező")</f>
        <v>12. Kiadási jogcímek -  részletező</v>
      </c>
      <c r="C357" s="101"/>
      <c r="D357" s="101"/>
      <c r="E357" s="101"/>
      <c r="F357" s="101"/>
      <c r="G357" s="198"/>
      <c r="H357" s="198"/>
      <c r="I357" s="198"/>
      <c r="L357" s="384"/>
    </row>
    <row r="358" spans="2:12" ht="15.75" x14ac:dyDescent="0.25">
      <c r="B358" s="38"/>
      <c r="C358" s="156"/>
      <c r="D358" s="38"/>
      <c r="E358" s="140"/>
      <c r="F358" s="140"/>
      <c r="G358" s="140"/>
      <c r="H358" s="140"/>
      <c r="I358" s="140"/>
    </row>
    <row r="359" spans="2:12" x14ac:dyDescent="0.25">
      <c r="B359" s="77"/>
      <c r="C359" s="77" t="s">
        <v>350</v>
      </c>
      <c r="D359" s="77" t="s">
        <v>351</v>
      </c>
      <c r="E359" s="77" t="s">
        <v>470</v>
      </c>
      <c r="F359" s="77" t="s">
        <v>471</v>
      </c>
      <c r="G359" s="77" t="s">
        <v>44</v>
      </c>
      <c r="H359" s="77" t="s">
        <v>42</v>
      </c>
      <c r="I359" s="77" t="s">
        <v>511</v>
      </c>
    </row>
    <row r="360" spans="2:12" ht="38.25" x14ac:dyDescent="0.25">
      <c r="B360" s="160">
        <v>1</v>
      </c>
      <c r="C360" s="154" t="s">
        <v>593</v>
      </c>
      <c r="D360" s="154" t="s">
        <v>488</v>
      </c>
      <c r="E360" s="163" t="str">
        <f>CONCATENATE(PAR!$H$3," évi
eredeti 
előirányzat")</f>
        <v>2025. évi
eredeti 
előirányzat</v>
      </c>
      <c r="F360" s="163" t="str">
        <f>CONCATENATE(PAR!$H$3," évi
módosított 
előirányzat")</f>
        <v>2025. évi
módosított 
előirányzat</v>
      </c>
      <c r="G360" s="78" t="s">
        <v>666</v>
      </c>
      <c r="H360" s="78" t="s">
        <v>667</v>
      </c>
      <c r="I360" s="78" t="s">
        <v>668</v>
      </c>
    </row>
    <row r="361" spans="2:12" x14ac:dyDescent="0.25">
      <c r="B361" s="160">
        <v>2</v>
      </c>
      <c r="C361" s="78" t="s">
        <v>352</v>
      </c>
      <c r="D361" s="92" t="s">
        <v>1444</v>
      </c>
      <c r="E361" s="121">
        <f>SUM(E362:E366)</f>
        <v>0</v>
      </c>
      <c r="F361" s="121">
        <f>SUM(F362:F366)</f>
        <v>0</v>
      </c>
      <c r="G361" s="121">
        <f>SUM(G362:G366)</f>
        <v>0</v>
      </c>
      <c r="H361" s="121">
        <f>SUM(H362:H366)</f>
        <v>0</v>
      </c>
      <c r="I361" s="121">
        <f>SUM(I362:I366)</f>
        <v>0</v>
      </c>
    </row>
    <row r="362" spans="2:12" x14ac:dyDescent="0.25">
      <c r="B362" s="160">
        <v>3</v>
      </c>
      <c r="C362" s="305" t="s">
        <v>315</v>
      </c>
      <c r="D362" s="93" t="s">
        <v>342</v>
      </c>
      <c r="E362" s="72">
        <f>SUMIF(Adat!$AI:$AI,CONCATENATE(61,$M$4,"051",L357),Adat!$E:$E)</f>
        <v>0</v>
      </c>
      <c r="F362" s="72">
        <f>SUMIF(Adat!$AI:$AI,CONCATENATE(60,$M$4,"051",L357),Adat!$E:$E)+E362</f>
        <v>0</v>
      </c>
      <c r="G362" s="72">
        <f>SUMIF(Adat!$AJ:$AJ,CONCATENATE($M$4,"051","(KÖT)",L357),Adat!$E:$E)</f>
        <v>0</v>
      </c>
      <c r="H362" s="72">
        <f>SUMIF(Adat!$AJ:$AJ,CONCATENATE($M$4,"051","(ÖNV)",L357),Adat!$E:$E)</f>
        <v>0</v>
      </c>
      <c r="I362" s="72">
        <f>SUMIF(Adat!$AJ:$AJ,CONCATENATE($M$4,"051","(ÁIG)",L357),Adat!$E:$E)</f>
        <v>0</v>
      </c>
    </row>
    <row r="363" spans="2:12" x14ac:dyDescent="0.25">
      <c r="B363" s="160">
        <v>4</v>
      </c>
      <c r="C363" s="305" t="s">
        <v>317</v>
      </c>
      <c r="D363" s="93" t="s">
        <v>395</v>
      </c>
      <c r="E363" s="72">
        <f>SUMIF(Adat!$AI:$AI,CONCATENATE(61,$M$4,"052",L357),Adat!$E:$E)</f>
        <v>0</v>
      </c>
      <c r="F363" s="72">
        <f>SUMIF(Adat!$AI:$AI,CONCATENATE(60,$M$4,"052",L357),Adat!$E:$E)+E363</f>
        <v>0</v>
      </c>
      <c r="G363" s="72">
        <f>SUMIF(Adat!$AJ:$AJ,CONCATENATE($M$4,"052","(KÖT)",L357),Adat!$E:$E)</f>
        <v>0</v>
      </c>
      <c r="H363" s="72">
        <f>SUMIF(Adat!$AJ:$AJ,CONCATENATE($M$4,"052","(ÖNV)",L357),Adat!$E:$E)</f>
        <v>0</v>
      </c>
      <c r="I363" s="72">
        <f>SUMIF(Adat!$AJ:$AJ,CONCATENATE($M$4,"052","(ÁIG)",L357),Adat!$E:$E)</f>
        <v>0</v>
      </c>
    </row>
    <row r="364" spans="2:12" x14ac:dyDescent="0.25">
      <c r="B364" s="160">
        <v>5</v>
      </c>
      <c r="C364" s="305" t="s">
        <v>4</v>
      </c>
      <c r="D364" s="93" t="s">
        <v>344</v>
      </c>
      <c r="E364" s="72">
        <f>SUMIF(Adat!$AI:$AI,CONCATENATE(61,$M$4,"053",L357),Adat!$E:$E)</f>
        <v>0</v>
      </c>
      <c r="F364" s="72">
        <f>SUMIF(Adat!$AI:$AI,CONCATENATE(60,$M$4,"053",L357),Adat!$E:$E)+E364</f>
        <v>0</v>
      </c>
      <c r="G364" s="72">
        <f>SUMIF(Adat!$AJ:$AJ,CONCATENATE($M$4,"053","(KÖT)",L357),Adat!$E:$E)</f>
        <v>0</v>
      </c>
      <c r="H364" s="72">
        <f>SUMIF(Adat!$AJ:$AJ,CONCATENATE($M$4,"053","(ÖNV)",L357),Adat!$E:$E)</f>
        <v>0</v>
      </c>
      <c r="I364" s="72">
        <f>SUMIF(Adat!$AJ:$AJ,CONCATENATE($M$4,"053","(ÁIG)",L357),Adat!$E:$E)</f>
        <v>0</v>
      </c>
    </row>
    <row r="365" spans="2:12" x14ac:dyDescent="0.25">
      <c r="B365" s="160">
        <v>6</v>
      </c>
      <c r="C365" s="305" t="s">
        <v>6</v>
      </c>
      <c r="D365" s="93" t="s">
        <v>345</v>
      </c>
      <c r="E365" s="72">
        <f>SUMIF(Adat!$AI:$AI,CONCATENATE(61,$M$4,"054",L357),Adat!$E:$E)</f>
        <v>0</v>
      </c>
      <c r="F365" s="72">
        <f>SUMIF(Adat!$AI:$AI,CONCATENATE(60,$M$4,"054",L357),Adat!$E:$E)+E365</f>
        <v>0</v>
      </c>
      <c r="G365" s="72">
        <f>SUMIF(Adat!$AJ:$AJ,CONCATENATE($M$4,"054","(KÖT)",L357),Adat!$E:$E)</f>
        <v>0</v>
      </c>
      <c r="H365" s="72">
        <f>SUMIF(Adat!$AJ:$AJ,CONCATENATE($M$4,"054","(ÖNV)",L357),Adat!$E:$E)</f>
        <v>0</v>
      </c>
      <c r="I365" s="72">
        <f>SUMIF(Adat!$AJ:$AJ,CONCATENATE($M$4,"054","(ÁIG)",L357),Adat!$E:$E)</f>
        <v>0</v>
      </c>
    </row>
    <row r="366" spans="2:12" x14ac:dyDescent="0.25">
      <c r="B366" s="160">
        <v>7</v>
      </c>
      <c r="C366" s="305" t="s">
        <v>8</v>
      </c>
      <c r="D366" s="93" t="s">
        <v>321</v>
      </c>
      <c r="E366" s="72">
        <f>SUMIF(Adat!$AI:$AI,CONCATENATE(61,$M$4,"055",L357),Adat!$E:$E)</f>
        <v>0</v>
      </c>
      <c r="F366" s="72">
        <f>SUMIF(Adat!$AI:$AI,CONCATENATE(60,$M$4,"055",L357),Adat!$E:$E)+E366</f>
        <v>0</v>
      </c>
      <c r="G366" s="72">
        <f>SUMIF(Adat!$AJ:$AJ,CONCATENATE($M$4,"055","(KÖT)",L357),Adat!$E:$E)</f>
        <v>0</v>
      </c>
      <c r="H366" s="72">
        <f>SUMIF(Adat!$AJ:$AJ,CONCATENATE($M$4,"055","(ÖNV)",L357),Adat!$E:$E)</f>
        <v>0</v>
      </c>
      <c r="I366" s="72">
        <f>SUMIF(Adat!$AJ:$AJ,CONCATENATE($M$4,"055","(ÁIG)",L357),Adat!$E:$E)</f>
        <v>0</v>
      </c>
    </row>
    <row r="367" spans="2:12" x14ac:dyDescent="0.25">
      <c r="B367" s="160">
        <v>8</v>
      </c>
      <c r="C367" s="78" t="s">
        <v>358</v>
      </c>
      <c r="D367" s="92" t="s">
        <v>1447</v>
      </c>
      <c r="E367" s="121">
        <f>E368+E370+E372</f>
        <v>0</v>
      </c>
      <c r="F367" s="121">
        <f>F368+F370+F372</f>
        <v>0</v>
      </c>
      <c r="G367" s="121">
        <f>G368+G370+G372</f>
        <v>0</v>
      </c>
      <c r="H367" s="121">
        <f>H368+H370+H372</f>
        <v>0</v>
      </c>
      <c r="I367" s="121">
        <f>I368+I370+I372</f>
        <v>0</v>
      </c>
    </row>
    <row r="368" spans="2:12" x14ac:dyDescent="0.25">
      <c r="B368" s="160">
        <v>9</v>
      </c>
      <c r="C368" s="305" t="s">
        <v>10</v>
      </c>
      <c r="D368" s="93" t="s">
        <v>322</v>
      </c>
      <c r="E368" s="72">
        <f>SUMIF(Adat!$AI:$AI,CONCATENATE(61,$M$4,"056",L357),Adat!$E:$E)</f>
        <v>0</v>
      </c>
      <c r="F368" s="72">
        <f>SUMIF(Adat!$AI:$AI,CONCATENATE(60,$M$4,"056",L357),Adat!$E:$E)+E368</f>
        <v>0</v>
      </c>
      <c r="G368" s="72">
        <f>SUMIF(Adat!$AJ:$AJ,CONCATENATE($M$4,"056","(KÖT)",L357),Adat!$E:$E)</f>
        <v>0</v>
      </c>
      <c r="H368" s="72">
        <f>SUMIF(Adat!$AJ:$AJ,CONCATENATE($M$4,"056","(ÖNV)",L357),Adat!$E:$E)</f>
        <v>0</v>
      </c>
      <c r="I368" s="72">
        <f>SUMIF(Adat!$AJ:$AJ,CONCATENATE($M$4,"056","(ÁIG)",L357),Adat!$E:$E)</f>
        <v>0</v>
      </c>
    </row>
    <row r="369" spans="2:12" x14ac:dyDescent="0.25">
      <c r="B369" s="160">
        <v>10</v>
      </c>
      <c r="C369" s="305" t="s">
        <v>10</v>
      </c>
      <c r="D369" s="93" t="s">
        <v>1448</v>
      </c>
      <c r="E369" s="72">
        <v>0</v>
      </c>
      <c r="F369" s="72">
        <f>SUM(G369:I369)</f>
        <v>0</v>
      </c>
      <c r="G369" s="72">
        <v>0</v>
      </c>
      <c r="H369" s="72">
        <v>0</v>
      </c>
      <c r="I369" s="72">
        <v>0</v>
      </c>
    </row>
    <row r="370" spans="2:12" x14ac:dyDescent="0.25">
      <c r="B370" s="160">
        <v>11</v>
      </c>
      <c r="C370" s="305" t="s">
        <v>12</v>
      </c>
      <c r="D370" s="93" t="s">
        <v>323</v>
      </c>
      <c r="E370" s="72">
        <f>SUMIF(Adat!$AI:$AI,CONCATENATE(61,$M$4,"057",L357),Adat!$E:$E)</f>
        <v>0</v>
      </c>
      <c r="F370" s="72">
        <f>SUMIF(Adat!$AI:$AI,CONCATENATE(60,$M$4,"057",L357),Adat!$E:$E)+E370</f>
        <v>0</v>
      </c>
      <c r="G370" s="72">
        <f>SUMIF(Adat!$AJ:$AJ,CONCATENATE($M$4,"057","(KÖT)",L357),Adat!$E:$E)</f>
        <v>0</v>
      </c>
      <c r="H370" s="72">
        <f>SUMIF(Adat!$AJ:$AJ,CONCATENATE($M$4,"057","(ÖNV)",L357),Adat!$E:$E)</f>
        <v>0</v>
      </c>
      <c r="I370" s="72">
        <f>SUMIF(Adat!$AJ:$AJ,CONCATENATE($M$4,"057","(ÁIG)",L357),Adat!$E:$E)</f>
        <v>0</v>
      </c>
    </row>
    <row r="371" spans="2:12" x14ac:dyDescent="0.25">
      <c r="B371" s="160">
        <v>12</v>
      </c>
      <c r="C371" s="305" t="s">
        <v>12</v>
      </c>
      <c r="D371" s="93" t="s">
        <v>1449</v>
      </c>
      <c r="E371" s="72">
        <v>0</v>
      </c>
      <c r="F371" s="72">
        <f>SUM(G371:I371)</f>
        <v>0</v>
      </c>
      <c r="G371" s="72">
        <v>0</v>
      </c>
      <c r="H371" s="72">
        <v>0</v>
      </c>
      <c r="I371" s="72">
        <v>0</v>
      </c>
    </row>
    <row r="372" spans="2:12" x14ac:dyDescent="0.25">
      <c r="B372" s="160">
        <v>13</v>
      </c>
      <c r="C372" s="305" t="s">
        <v>15</v>
      </c>
      <c r="D372" s="84" t="s">
        <v>324</v>
      </c>
      <c r="E372" s="72">
        <f>SUMIF(Adat!$AI:$AI,CONCATENATE(61,$M$4,"058",L357),Adat!$E:$E)</f>
        <v>0</v>
      </c>
      <c r="F372" s="72">
        <f>SUMIF(Adat!$AI:$AI,CONCATENATE(60,$M$4,"058",L357),Adat!$E:$E)+E372</f>
        <v>0</v>
      </c>
      <c r="G372" s="72">
        <f>SUMIF(Adat!$AJ:$AJ,CONCATENATE($M$4,"058","(KÖT)",L357),Adat!$E:$E)</f>
        <v>0</v>
      </c>
      <c r="H372" s="72">
        <f>SUMIF(Adat!$AJ:$AJ,CONCATENATE($M$4,"058","(ÖNV)",L357),Adat!$E:$E)</f>
        <v>0</v>
      </c>
      <c r="I372" s="72">
        <f>SUMIF(Adat!$AJ:$AJ,CONCATENATE($M$4,"058","(ÁIG)",L357),Adat!$E:$E)</f>
        <v>0</v>
      </c>
    </row>
    <row r="373" spans="2:12" x14ac:dyDescent="0.25">
      <c r="B373" s="160">
        <v>14</v>
      </c>
      <c r="C373" s="154" t="s">
        <v>364</v>
      </c>
      <c r="D373" s="86" t="s">
        <v>325</v>
      </c>
      <c r="E373" s="71">
        <f>SUMIF(Adat!$AI:$AI,CONCATENATE(61,$M$4,"059",L357),Adat!$E:$E)</f>
        <v>0</v>
      </c>
      <c r="F373" s="71">
        <f>SUMIF(Adat!$AI:$AI,CONCATENATE(60,$M$4,"059",L357),Adat!$E:$E)+E373</f>
        <v>0</v>
      </c>
      <c r="G373" s="71">
        <f>SUMIF(Adat!$AJ:$AJ,CONCATENATE($M$4,"059","(KÖT)",L357),Adat!$E:$E)</f>
        <v>0</v>
      </c>
      <c r="H373" s="71">
        <f>SUMIF(Adat!$AJ:$AJ,CONCATENATE($M$4,"059","(ÖNV)",L357),Adat!$E:$E)</f>
        <v>0</v>
      </c>
      <c r="I373" s="71">
        <f>SUMIF(Adat!$AJ:$AJ,CONCATENATE($M$4,"059","(ÁIG)",L357),Adat!$E:$E)</f>
        <v>0</v>
      </c>
    </row>
    <row r="374" spans="2:12" x14ac:dyDescent="0.25">
      <c r="B374" s="160">
        <v>15</v>
      </c>
      <c r="C374" s="154" t="s">
        <v>403</v>
      </c>
      <c r="D374" s="159" t="s">
        <v>497</v>
      </c>
      <c r="E374" s="121">
        <f>E361+E367+E373</f>
        <v>0</v>
      </c>
      <c r="F374" s="121">
        <f>F361+F367+F373</f>
        <v>0</v>
      </c>
      <c r="G374" s="121">
        <f>G361+G367+G373</f>
        <v>0</v>
      </c>
      <c r="H374" s="121">
        <f>H361+H367+H373</f>
        <v>0</v>
      </c>
      <c r="I374" s="121">
        <f>I361+I367+I373</f>
        <v>0</v>
      </c>
    </row>
    <row r="375" spans="2:12" ht="15.75" x14ac:dyDescent="0.25">
      <c r="B375" s="37"/>
      <c r="C375" s="529"/>
      <c r="D375" s="529"/>
      <c r="E375" s="529"/>
      <c r="F375" s="200"/>
      <c r="G375" s="200"/>
      <c r="H375" s="200"/>
      <c r="I375" s="200"/>
    </row>
    <row r="376" spans="2:12" ht="15.75" x14ac:dyDescent="0.25">
      <c r="B376" s="525" t="str">
        <f>$N$4</f>
        <v>Gondozási Központ</v>
      </c>
      <c r="C376" s="525"/>
      <c r="D376" s="525"/>
      <c r="E376" s="525"/>
      <c r="F376" s="525"/>
      <c r="G376" s="525"/>
      <c r="H376" s="525"/>
      <c r="I376" s="525"/>
    </row>
    <row r="377" spans="2:12" ht="15.75" x14ac:dyDescent="0.25">
      <c r="B377" s="525" t="s">
        <v>2660</v>
      </c>
      <c r="C377" s="525"/>
      <c r="D377" s="525"/>
      <c r="E377" s="525"/>
      <c r="F377" s="525"/>
      <c r="G377" s="525"/>
      <c r="H377" s="525"/>
      <c r="I377" s="525"/>
    </row>
    <row r="378" spans="2:12" ht="15.75" x14ac:dyDescent="0.25">
      <c r="B378" s="38"/>
      <c r="C378" s="156"/>
      <c r="D378" s="38"/>
      <c r="E378" s="140"/>
      <c r="F378" s="140"/>
      <c r="G378" s="140"/>
      <c r="H378" s="140"/>
      <c r="I378" s="140"/>
    </row>
    <row r="379" spans="2:12" s="10" customFormat="1" ht="15.75" customHeight="1" x14ac:dyDescent="0.25">
      <c r="B379" s="201" t="str">
        <f>CONCATENATE("13. Bevételi jogcímek"," - ",L379," részletező")</f>
        <v>13. Bevételi jogcímek -  részletező</v>
      </c>
      <c r="C379" s="101"/>
      <c r="D379" s="101"/>
      <c r="E379" s="101"/>
      <c r="F379" s="101"/>
      <c r="G379" s="198"/>
      <c r="H379" s="198"/>
      <c r="I379" s="198"/>
      <c r="L379" s="384"/>
    </row>
    <row r="380" spans="2:12" ht="15.75" x14ac:dyDescent="0.25">
      <c r="B380" s="38"/>
      <c r="C380" s="156"/>
      <c r="D380" s="38"/>
      <c r="E380" s="140"/>
      <c r="F380" s="140"/>
      <c r="G380" s="140"/>
      <c r="H380" s="140"/>
      <c r="I380" s="140"/>
    </row>
    <row r="381" spans="2:12" x14ac:dyDescent="0.25">
      <c r="B381" s="77"/>
      <c r="C381" s="77" t="s">
        <v>350</v>
      </c>
      <c r="D381" s="77" t="s">
        <v>351</v>
      </c>
      <c r="E381" s="77" t="s">
        <v>470</v>
      </c>
      <c r="F381" s="77" t="s">
        <v>471</v>
      </c>
      <c r="G381" s="77" t="s">
        <v>44</v>
      </c>
      <c r="H381" s="77" t="s">
        <v>42</v>
      </c>
      <c r="I381" s="77" t="s">
        <v>511</v>
      </c>
    </row>
    <row r="382" spans="2:12" ht="38.25" x14ac:dyDescent="0.25">
      <c r="B382" s="160">
        <v>1</v>
      </c>
      <c r="C382" s="154" t="s">
        <v>593</v>
      </c>
      <c r="D382" s="154" t="s">
        <v>488</v>
      </c>
      <c r="E382" s="163" t="str">
        <f>CONCATENATE(PAR!$H$3," évi
eredeti 
előirányzat")</f>
        <v>2025. évi
eredeti 
előirányzat</v>
      </c>
      <c r="F382" s="163" t="str">
        <f>CONCATENATE(PAR!$H$3," évi
módosított 
előirányzat")</f>
        <v>2025. évi
módosított 
előirányzat</v>
      </c>
      <c r="G382" s="78" t="s">
        <v>666</v>
      </c>
      <c r="H382" s="78" t="s">
        <v>667</v>
      </c>
      <c r="I382" s="78" t="s">
        <v>668</v>
      </c>
    </row>
    <row r="383" spans="2:12" x14ac:dyDescent="0.25">
      <c r="B383" s="160">
        <v>2</v>
      </c>
      <c r="C383" s="79" t="s">
        <v>30</v>
      </c>
      <c r="D383" s="79" t="s">
        <v>329</v>
      </c>
      <c r="E383" s="121">
        <f>SUM(E384:E396)</f>
        <v>0</v>
      </c>
      <c r="F383" s="121">
        <f t="shared" ref="F383:I383" si="24">SUM(F384:F396)</f>
        <v>0</v>
      </c>
      <c r="G383" s="121">
        <f t="shared" si="24"/>
        <v>0</v>
      </c>
      <c r="H383" s="121">
        <f t="shared" si="24"/>
        <v>0</v>
      </c>
      <c r="I383" s="121">
        <f t="shared" si="24"/>
        <v>0</v>
      </c>
    </row>
    <row r="384" spans="2:12" x14ac:dyDescent="0.2">
      <c r="B384" s="160">
        <v>3</v>
      </c>
      <c r="C384" s="305" t="s">
        <v>1309</v>
      </c>
      <c r="D384" s="82" t="s">
        <v>1356</v>
      </c>
      <c r="E384" s="72">
        <f>SUMIF(Adat!$AG:$AG,CONCATENATE(61,$M$4,"094011",L379),Adat!$E:$E)*-1</f>
        <v>0</v>
      </c>
      <c r="F384" s="72">
        <f>SUMIF(Adat!$AG:$AG,CONCATENATE(60,$M$4,"094011",L379),Adat!$E:$E)*-1+E384</f>
        <v>0</v>
      </c>
      <c r="G384" s="72">
        <f>SUMIF(Adat!$AH:$AH,CONCATENATE($M$4,"(KÖT)","094011",L379),Adat!$E:$E)*-1</f>
        <v>0</v>
      </c>
      <c r="H384" s="72">
        <f>SUMIF(Adat!$AH:$AH,CONCATENATE($M$4,"(ÖNV)","094011",L379),Adat!$E:$E)*-1</f>
        <v>0</v>
      </c>
      <c r="I384" s="72">
        <f>SUMIF(Adat!$AH:$AH,CONCATENATE($M$4,"(ÁIG)","094011",L379),Adat!$E:$E)*-1</f>
        <v>0</v>
      </c>
    </row>
    <row r="385" spans="2:9" x14ac:dyDescent="0.2">
      <c r="B385" s="160">
        <v>4</v>
      </c>
      <c r="C385" s="305" t="s">
        <v>1279</v>
      </c>
      <c r="D385" s="82" t="s">
        <v>1357</v>
      </c>
      <c r="E385" s="72">
        <f>SUMIF(Adat!$AG:$AG,CONCATENATE(61,$M$4,"094021",L379),Adat!$E:$E)*-1</f>
        <v>0</v>
      </c>
      <c r="F385" s="72">
        <f>SUMIF(Adat!$AG:$AG,CONCATENATE(60,$M$4,"094021",L379),Adat!$E:$E)*-1+E385</f>
        <v>0</v>
      </c>
      <c r="G385" s="72">
        <f>SUMIF(Adat!$AH:$AH,CONCATENATE($M$4,"(KÖT)","094021",L379),Adat!$E:$E)*-1</f>
        <v>0</v>
      </c>
      <c r="H385" s="72">
        <f>SUMIF(Adat!$AH:$AH,CONCATENATE($M$4,"(ÖNV)","094021",L379),Adat!$E:$E)*-1</f>
        <v>0</v>
      </c>
      <c r="I385" s="72">
        <f>SUMIF(Adat!$AH:$AH,CONCATENATE($M$4,"(ÁIG)","094021",L379),Adat!$E:$E)*-1</f>
        <v>0</v>
      </c>
    </row>
    <row r="386" spans="2:9" x14ac:dyDescent="0.2">
      <c r="B386" s="160">
        <v>5</v>
      </c>
      <c r="C386" s="305" t="s">
        <v>1272</v>
      </c>
      <c r="D386" s="82" t="s">
        <v>1358</v>
      </c>
      <c r="E386" s="72">
        <f>SUMIF(Adat!$AG:$AG,CONCATENATE(61,$M$4,"094031",L379),Adat!$E:$E)*-1</f>
        <v>0</v>
      </c>
      <c r="F386" s="72">
        <f>SUMIF(Adat!$AG:$AG,CONCATENATE(60,$M$4,"094031",L379),Adat!$E:$E)*-1+E386</f>
        <v>0</v>
      </c>
      <c r="G386" s="72">
        <f>SUMIF(Adat!$AH:$AH,CONCATENATE($M$4,"(KÖT)","094031",L379),Adat!$E:$E)*-1</f>
        <v>0</v>
      </c>
      <c r="H386" s="72">
        <f>SUMIF(Adat!$AH:$AH,CONCATENATE($M$4,"(ÖNV)","094031",L379),Adat!$E:$E)*-1</f>
        <v>0</v>
      </c>
      <c r="I386" s="72">
        <f>SUMIF(Adat!$AH:$AH,CONCATENATE($M$4,"(ÁIG)","094031",L379),Adat!$E:$E)*-1</f>
        <v>0</v>
      </c>
    </row>
    <row r="387" spans="2:9" x14ac:dyDescent="0.2">
      <c r="B387" s="160">
        <v>6</v>
      </c>
      <c r="C387" s="305" t="s">
        <v>1359</v>
      </c>
      <c r="D387" s="82" t="s">
        <v>1360</v>
      </c>
      <c r="E387" s="72">
        <f>SUMIF(Adat!$AG:$AG,CONCATENATE(61,$M$4,"094041",L379),Adat!$E:$E)*-1</f>
        <v>0</v>
      </c>
      <c r="F387" s="72">
        <f>SUMIF(Adat!$AG:$AG,CONCATENATE(60,$M$4,"094041",L379),Adat!$E:$E)*-1+E387</f>
        <v>0</v>
      </c>
      <c r="G387" s="72">
        <f>SUMIF(Adat!$AH:$AH,CONCATENATE($M$4,"(KÖT)","094041",L379),Adat!$E:$E)*-1</f>
        <v>0</v>
      </c>
      <c r="H387" s="72">
        <f>SUMIF(Adat!$AH:$AH,CONCATENATE($M$4,"(ÖNV)","094041",L379),Adat!$E:$E)*-1</f>
        <v>0</v>
      </c>
      <c r="I387" s="72">
        <f>SUMIF(Adat!$AH:$AH,CONCATENATE($M$4,"(ÁIG)","094041",L379),Adat!$E:$E)*-1</f>
        <v>0</v>
      </c>
    </row>
    <row r="388" spans="2:9" x14ac:dyDescent="0.2">
      <c r="B388" s="160">
        <v>7</v>
      </c>
      <c r="C388" s="305" t="s">
        <v>1261</v>
      </c>
      <c r="D388" s="82" t="s">
        <v>1361</v>
      </c>
      <c r="E388" s="72">
        <f>SUMIF(Adat!$AG:$AG,CONCATENATE(61,$M$4,"094051",L379),Adat!$E:$E)*-1</f>
        <v>0</v>
      </c>
      <c r="F388" s="72">
        <f>SUMIF(Adat!$AG:$AG,CONCATENATE(60,$M$4,"094051",L379),Adat!$E:$E)*-1+E388</f>
        <v>0</v>
      </c>
      <c r="G388" s="72">
        <f>SUMIF(Adat!$AH:$AH,CONCATENATE($M$4,"(KÖT)","094051",L379),Adat!$E:$E)*-1</f>
        <v>0</v>
      </c>
      <c r="H388" s="72">
        <f>SUMIF(Adat!$AH:$AH,CONCATENATE($M$4,"(ÖNV)","094051",L379),Adat!$E:$E)*-1</f>
        <v>0</v>
      </c>
      <c r="I388" s="72">
        <f>SUMIF(Adat!$AH:$AH,CONCATENATE($M$4,"(ÁIG)","094051",L379),Adat!$E:$E)*-1</f>
        <v>0</v>
      </c>
    </row>
    <row r="389" spans="2:9" x14ac:dyDescent="0.2">
      <c r="B389" s="160">
        <v>8</v>
      </c>
      <c r="C389" s="305" t="s">
        <v>1273</v>
      </c>
      <c r="D389" s="82" t="s">
        <v>1362</v>
      </c>
      <c r="E389" s="72">
        <f>SUMIF(Adat!$AG:$AG,CONCATENATE(61,$M$4,"094061",L379),Adat!$E:$E)*-1</f>
        <v>0</v>
      </c>
      <c r="F389" s="72">
        <f>SUMIF(Adat!$AG:$AG,CONCATENATE(60,$M$4,"094061",L379),Adat!$E:$E)*-1+E389</f>
        <v>0</v>
      </c>
      <c r="G389" s="72">
        <f>SUMIF(Adat!$AH:$AH,CONCATENATE($M$4,"(KÖT)","094061",L379),Adat!$E:$E)*-1</f>
        <v>0</v>
      </c>
      <c r="H389" s="72">
        <f>SUMIF(Adat!$AH:$AH,CONCATENATE($M$4,"(ÖNV)","094061",L379),Adat!$E:$E)*-1</f>
        <v>0</v>
      </c>
      <c r="I389" s="72">
        <f>SUMIF(Adat!$AH:$AH,CONCATENATE($M$4,"(ÁIG)","094061",L379),Adat!$E:$E)*-1</f>
        <v>0</v>
      </c>
    </row>
    <row r="390" spans="2:9" x14ac:dyDescent="0.2">
      <c r="B390" s="160">
        <v>9</v>
      </c>
      <c r="C390" s="305" t="s">
        <v>1363</v>
      </c>
      <c r="D390" s="82" t="s">
        <v>1364</v>
      </c>
      <c r="E390" s="72">
        <f>SUMIF(Adat!$AG:$AG,CONCATENATE(61,$M$4,"094071",L379),Adat!$E:$E)*-1</f>
        <v>0</v>
      </c>
      <c r="F390" s="72">
        <f>SUMIF(Adat!$AG:$AG,CONCATENATE(60,$M$4,"094071",L379),Adat!$E:$E)*-1+E390</f>
        <v>0</v>
      </c>
      <c r="G390" s="72">
        <f>SUMIF(Adat!$AH:$AH,CONCATENATE($M$4,"(KÖT)","094071",L379),Adat!$E:$E)*-1</f>
        <v>0</v>
      </c>
      <c r="H390" s="72">
        <f>SUMIF(Adat!$AH:$AH,CONCATENATE($M$4,"(ÖNV)","094071",L379),Adat!$E:$E)*-1</f>
        <v>0</v>
      </c>
      <c r="I390" s="72">
        <f>SUMIF(Adat!$AH:$AH,CONCATENATE($M$4,"(ÁIG)","094071",L379),Adat!$E:$E)*-1</f>
        <v>0</v>
      </c>
    </row>
    <row r="391" spans="2:9" x14ac:dyDescent="0.2">
      <c r="B391" s="160">
        <v>10</v>
      </c>
      <c r="C391" s="305" t="s">
        <v>1306</v>
      </c>
      <c r="D391" s="82" t="s">
        <v>1365</v>
      </c>
      <c r="E391" s="72">
        <f>SUMIF(Adat!$AG:$AG,CONCATENATE(61,$M$4,"0940811",L379),Adat!$E:$E)*-1</f>
        <v>0</v>
      </c>
      <c r="F391" s="72">
        <f>SUMIF(Adat!$AG:$AG,CONCATENATE(60,$M$4,"0940811",L379),Adat!$E:$E)*-1+E391</f>
        <v>0</v>
      </c>
      <c r="G391" s="72">
        <f>SUMIF(Adat!$AH:$AH,CONCATENATE($M$4,"(KÖT)","0940811",L379),Adat!$E:$E)*-1</f>
        <v>0</v>
      </c>
      <c r="H391" s="72">
        <f>SUMIF(Adat!$AH:$AH,CONCATENATE($M$4,"(ÖNV)","0940811",L379),Adat!$E:$E)*-1</f>
        <v>0</v>
      </c>
      <c r="I391" s="72">
        <f>SUMIF(Adat!$AH:$AH,CONCATENATE($M$4,"(ÁIG)","0940811",L379),Adat!$E:$E)*-1</f>
        <v>0</v>
      </c>
    </row>
    <row r="392" spans="2:9" x14ac:dyDescent="0.2">
      <c r="B392" s="160">
        <v>11</v>
      </c>
      <c r="C392" s="305" t="s">
        <v>1295</v>
      </c>
      <c r="D392" s="82" t="s">
        <v>1366</v>
      </c>
      <c r="E392" s="72">
        <f>SUMIF(Adat!$AG:$AG,CONCATENATE(61,$M$4,"0940821",L379),Adat!$E:$E)*-1</f>
        <v>0</v>
      </c>
      <c r="F392" s="72">
        <f>SUMIF(Adat!$AG:$AG,CONCATENATE(60,$M$4,"0940821",L379),Adat!$E:$E)*-1+E392</f>
        <v>0</v>
      </c>
      <c r="G392" s="72">
        <f>SUMIF(Adat!$AH:$AH,CONCATENATE($M$4,"(KÖT)","0940821",L379),Adat!$E:$E)*-1</f>
        <v>0</v>
      </c>
      <c r="H392" s="72">
        <f>SUMIF(Adat!$AH:$AH,CONCATENATE($M$4,"(ÖNV)","0940821",L379),Adat!$E:$E)*-1</f>
        <v>0</v>
      </c>
      <c r="I392" s="72">
        <f>SUMIF(Adat!$AH:$AH,CONCATENATE($M$4,"(ÁIG)","0940821",L379),Adat!$E:$E)*-1</f>
        <v>0</v>
      </c>
    </row>
    <row r="393" spans="2:9" x14ac:dyDescent="0.2">
      <c r="B393" s="160">
        <v>12</v>
      </c>
      <c r="C393" s="305" t="s">
        <v>1367</v>
      </c>
      <c r="D393" s="82" t="s">
        <v>1368</v>
      </c>
      <c r="E393" s="72">
        <f>SUMIF(Adat!$AG:$AG,CONCATENATE(61,$M$4,"0940911",L379),Adat!$E:$E)*-1</f>
        <v>0</v>
      </c>
      <c r="F393" s="72">
        <f>SUMIF(Adat!$AG:$AG,CONCATENATE(60,$M$4,"0940911",L379),Adat!$E:$E)*-1+E393</f>
        <v>0</v>
      </c>
      <c r="G393" s="72">
        <f>SUMIF(Adat!$AH:$AH,CONCATENATE($M$4,"(KÖT)","0940911",L379),Adat!$E:$E)*-1</f>
        <v>0</v>
      </c>
      <c r="H393" s="72">
        <f>SUMIF(Adat!$AH:$AH,CONCATENATE($M$4,"(ÖNV)","0940911",L379),Adat!$E:$E)*-1</f>
        <v>0</v>
      </c>
      <c r="I393" s="72">
        <f>SUMIF(Adat!$AH:$AH,CONCATENATE($M$4,"(ÁIG)","0940911",L379),Adat!$E:$E)*-1</f>
        <v>0</v>
      </c>
    </row>
    <row r="394" spans="2:9" x14ac:dyDescent="0.2">
      <c r="B394" s="160">
        <v>13</v>
      </c>
      <c r="C394" s="305" t="s">
        <v>1369</v>
      </c>
      <c r="D394" s="82" t="s">
        <v>1370</v>
      </c>
      <c r="E394" s="72">
        <f>SUMIF(Adat!$AG:$AG,CONCATENATE(61,$M$4,"0940921",L379),Adat!$E:$E)*-1</f>
        <v>0</v>
      </c>
      <c r="F394" s="72">
        <f>SUMIF(Adat!$AG:$AG,CONCATENATE(60,$M$4,"0940921",L379),Adat!$E:$E)*-1+E394</f>
        <v>0</v>
      </c>
      <c r="G394" s="72">
        <f>SUMIF(Adat!$AH:$AH,CONCATENATE($M$4,"(KÖT)","0940921",L379),Adat!$E:$E)*-1</f>
        <v>0</v>
      </c>
      <c r="H394" s="72">
        <f>SUMIF(Adat!$AH:$AH,CONCATENATE($M$4,"(ÖNV)","0940921",L379),Adat!$E:$E)*-1</f>
        <v>0</v>
      </c>
      <c r="I394" s="72">
        <f>SUMIF(Adat!$AH:$AH,CONCATENATE($M$4,"(ÁIG)","0940921",L379),Adat!$E:$E)*-1</f>
        <v>0</v>
      </c>
    </row>
    <row r="395" spans="2:9" x14ac:dyDescent="0.2">
      <c r="B395" s="160">
        <v>14</v>
      </c>
      <c r="C395" s="305" t="s">
        <v>1296</v>
      </c>
      <c r="D395" s="82" t="s">
        <v>1371</v>
      </c>
      <c r="E395" s="72">
        <f>SUMIF(Adat!$AG:$AG,CONCATENATE(61,$M$4,"094101",L379),Adat!$E:$E)*-1</f>
        <v>0</v>
      </c>
      <c r="F395" s="72">
        <f>SUMIF(Adat!$AG:$AG,CONCATENATE(60,$M$4,"094101",L379),Adat!$E:$E)*-1+E395</f>
        <v>0</v>
      </c>
      <c r="G395" s="72">
        <f>SUMIF(Adat!$AH:$AH,CONCATENATE($M$4,"(KÖT)","094101",L379),Adat!$E:$E)*-1</f>
        <v>0</v>
      </c>
      <c r="H395" s="72">
        <f>SUMIF(Adat!$AH:$AH,CONCATENATE($M$4,"(ÖNV)","094101",L379),Adat!$E:$E)*-1</f>
        <v>0</v>
      </c>
      <c r="I395" s="72">
        <f>SUMIF(Adat!$AH:$AH,CONCATENATE($M$4,"(ÁIG)","094101",L379),Adat!$E:$E)*-1</f>
        <v>0</v>
      </c>
    </row>
    <row r="396" spans="2:9" x14ac:dyDescent="0.25">
      <c r="B396" s="160">
        <v>15</v>
      </c>
      <c r="C396" s="305" t="s">
        <v>1297</v>
      </c>
      <c r="D396" s="84" t="s">
        <v>1372</v>
      </c>
      <c r="E396" s="72">
        <f>SUMIF(Adat!$AG:$AG,CONCATENATE(61,$M$4,"094111",L379),Adat!$E:$E)*-1</f>
        <v>0</v>
      </c>
      <c r="F396" s="72">
        <f>SUMIF(Adat!$AG:$AG,CONCATENATE(60,$M$4,"094111",L379),Adat!$E:$E)*-1+E396</f>
        <v>0</v>
      </c>
      <c r="G396" s="72">
        <f>SUMIF(Adat!$AH:$AH,CONCATENATE($M$4,"(KÖT)","094111",L379),Adat!$E:$E)*-1</f>
        <v>0</v>
      </c>
      <c r="H396" s="72">
        <f>SUMIF(Adat!$AH:$AH,CONCATENATE($M$4,"(ÖNV)","094111",L379),Adat!$E:$E)*-1</f>
        <v>0</v>
      </c>
      <c r="I396" s="72">
        <f>SUMIF(Adat!$AH:$AH,CONCATENATE($M$4,"(ÁIG)","094111",L379),Adat!$E:$E)*-1</f>
        <v>0</v>
      </c>
    </row>
    <row r="397" spans="2:9" x14ac:dyDescent="0.25">
      <c r="B397" s="160">
        <v>16</v>
      </c>
      <c r="C397" s="78" t="s">
        <v>1328</v>
      </c>
      <c r="D397" s="85" t="s">
        <v>437</v>
      </c>
      <c r="E397" s="121">
        <f>SUM(E398:E400)</f>
        <v>0</v>
      </c>
      <c r="F397" s="121">
        <f>SUM(F398:F400)</f>
        <v>0</v>
      </c>
      <c r="G397" s="121">
        <f>SUM(G398:G400)</f>
        <v>0</v>
      </c>
      <c r="H397" s="121">
        <f>SUM(H398:H400)</f>
        <v>0</v>
      </c>
      <c r="I397" s="121">
        <f>SUM(I398:I400)</f>
        <v>0</v>
      </c>
    </row>
    <row r="398" spans="2:9" x14ac:dyDescent="0.2">
      <c r="B398" s="160">
        <v>17</v>
      </c>
      <c r="C398" s="305" t="s">
        <v>1329</v>
      </c>
      <c r="D398" s="82" t="s">
        <v>1330</v>
      </c>
      <c r="E398" s="72">
        <f>SUMIF(Adat!$AG:$AG,CONCATENATE(61,$M$4,"09121",L379),Adat!$E:$E)*-1</f>
        <v>0</v>
      </c>
      <c r="F398" s="72">
        <f>SUMIF(Adat!$AG:$AG,CONCATENATE(60,$M$4,"09121",L379),Adat!$E:$E)*-1+E398</f>
        <v>0</v>
      </c>
      <c r="G398" s="72">
        <f>SUMIF(Adat!$AH:$AH,CONCATENATE($M$4,"(KÖT)","09121",L379),Adat!$E:$E)*-1</f>
        <v>0</v>
      </c>
      <c r="H398" s="72">
        <f>SUMIF(Adat!$AH:$AH,CONCATENATE($M$4,"(ÖNV)","09121",L379),Adat!$E:$E)*-1</f>
        <v>0</v>
      </c>
      <c r="I398" s="72">
        <f>SUMIF(Adat!$AH:$AH,CONCATENATE($M$4,"(ÁIG)","09121",L379),Adat!$E:$E)*-1</f>
        <v>0</v>
      </c>
    </row>
    <row r="399" spans="2:9" x14ac:dyDescent="0.2">
      <c r="B399" s="160">
        <v>18</v>
      </c>
      <c r="C399" s="305" t="s">
        <v>1335</v>
      </c>
      <c r="D399" s="82" t="s">
        <v>1336</v>
      </c>
      <c r="E399" s="72">
        <f>SUMIF(Adat!$AG:$AG,CONCATENATE(61,$M$4,"09151",L379),Adat!$E:$E)*-1</f>
        <v>0</v>
      </c>
      <c r="F399" s="72">
        <f>SUMIF(Adat!$AG:$AG,CONCATENATE(60,$M$4,"09151",L379),Adat!$E:$E)*-1+E399</f>
        <v>0</v>
      </c>
      <c r="G399" s="72">
        <f>SUMIF(Adat!$AH:$AH,CONCATENATE($M$4,"(KÖT)","09151",L379),Adat!$E:$E)*-1</f>
        <v>0</v>
      </c>
      <c r="H399" s="72">
        <f>SUMIF(Adat!$AH:$AH,CONCATENATE($M$4,"(ÖNV)","09151",L379),Adat!$E:$E)*-1</f>
        <v>0</v>
      </c>
      <c r="I399" s="72">
        <f>SUMIF(Adat!$AH:$AH,CONCATENATE($M$4,"(ÁIG)","09151",L379),Adat!$E:$E)*-1</f>
        <v>0</v>
      </c>
    </row>
    <row r="400" spans="2:9" x14ac:dyDescent="0.2">
      <c r="B400" s="160">
        <v>19</v>
      </c>
      <c r="C400" s="305" t="s">
        <v>1278</v>
      </c>
      <c r="D400" s="82" t="s">
        <v>1337</v>
      </c>
      <c r="E400" s="72">
        <f>SUMIF(Adat!$AG:$AG,CONCATENATE(61,$M$4,"09161",L379),Adat!$E:$E)*-1</f>
        <v>0</v>
      </c>
      <c r="F400" s="72">
        <f>SUMIF(Adat!$AG:$AG,CONCATENATE(60,$M$4,"09161",L379),Adat!$E:$E)*-1+E400</f>
        <v>0</v>
      </c>
      <c r="G400" s="72">
        <f>SUMIF(Adat!$AH:$AH,CONCATENATE($M$4,"(KÖT)","09161",L379),Adat!$E:$E)*-1</f>
        <v>0</v>
      </c>
      <c r="H400" s="72">
        <f>SUMIF(Adat!$AH:$AH,CONCATENATE($M$4,"(ÖNV)","09161",L379),Adat!$E:$E)*-1</f>
        <v>0</v>
      </c>
      <c r="I400" s="72">
        <f>SUMIF(Adat!$AH:$AH,CONCATENATE($M$4,"(ÁIG)","09161",L379),Adat!$E:$E)*-1</f>
        <v>0</v>
      </c>
    </row>
    <row r="401" spans="2:9" x14ac:dyDescent="0.25">
      <c r="B401" s="160">
        <v>20</v>
      </c>
      <c r="C401" s="79" t="s">
        <v>27</v>
      </c>
      <c r="D401" s="79" t="s">
        <v>328</v>
      </c>
      <c r="E401" s="71">
        <f>SUMIF(Adat!$AI:$AI,CONCATENATE(61,$M$4,"093",L379),Adat!$E:$E)*-1</f>
        <v>0</v>
      </c>
      <c r="F401" s="71">
        <f>SUMIF(Adat!$AI:$AI,CONCATENATE(60,$M$4,"093",L379),Adat!$E:$E)*-1+E401</f>
        <v>0</v>
      </c>
      <c r="G401" s="71">
        <f>SUMIF(Adat!$AJ:$AJ,CONCATENATE($M$4,"093","(KÖT)",L379),Adat!$E:$E)*-1</f>
        <v>0</v>
      </c>
      <c r="H401" s="71">
        <f>SUMIF(Adat!$AJ:$AJ,CONCATENATE($M$4,"093","(ÖNV)",L379),Adat!$E:$E)*-1</f>
        <v>0</v>
      </c>
      <c r="I401" s="71">
        <f>SUMIF(Adat!$AJ:$AJ,CONCATENATE($M$4,"093","(ÁIG)",L379),Adat!$E:$E)*-1</f>
        <v>0</v>
      </c>
    </row>
    <row r="402" spans="2:9" x14ac:dyDescent="0.25">
      <c r="B402" s="160">
        <v>21</v>
      </c>
      <c r="C402" s="79" t="s">
        <v>24</v>
      </c>
      <c r="D402" s="79" t="s">
        <v>449</v>
      </c>
      <c r="E402" s="121">
        <f>SUM(E403:E405)</f>
        <v>0</v>
      </c>
      <c r="F402" s="121">
        <f t="shared" ref="F402:I402" si="25">SUM(F403:F405)</f>
        <v>0</v>
      </c>
      <c r="G402" s="121">
        <f t="shared" si="25"/>
        <v>0</v>
      </c>
      <c r="H402" s="121">
        <f t="shared" si="25"/>
        <v>0</v>
      </c>
      <c r="I402" s="121">
        <f t="shared" si="25"/>
        <v>0</v>
      </c>
    </row>
    <row r="403" spans="2:9" x14ac:dyDescent="0.2">
      <c r="B403" s="160">
        <v>22</v>
      </c>
      <c r="C403" s="305" t="s">
        <v>1339</v>
      </c>
      <c r="D403" s="82" t="s">
        <v>1340</v>
      </c>
      <c r="E403" s="72">
        <f>SUMIF(Adat!$AG:$AG,CONCATENATE(61,$M$4,"09211",L379),Adat!$E:$E)*-1</f>
        <v>0</v>
      </c>
      <c r="F403" s="72">
        <f>SUMIF(Adat!$AG:$AG,CONCATENATE(60,$M$4,"09211",L379),Adat!$E:$E)*-1+E403</f>
        <v>0</v>
      </c>
      <c r="G403" s="72">
        <f>SUMIF(Adat!$AH:$AH,CONCATENATE($M$4,"(KÖT)","09211",L379),Adat!$E:$E)*-1</f>
        <v>0</v>
      </c>
      <c r="H403" s="72">
        <f>SUMIF(Adat!$AH:$AH,CONCATENATE($M$4,"(ÖNV)","09211",L379),Adat!$E:$E)*-1</f>
        <v>0</v>
      </c>
      <c r="I403" s="72">
        <f>SUMIF(Adat!$AH:$AH,CONCATENATE($M$4,"(ÁIG)","09211",L379),Adat!$E:$E)*-1</f>
        <v>0</v>
      </c>
    </row>
    <row r="404" spans="2:9" x14ac:dyDescent="0.2">
      <c r="B404" s="160">
        <v>23</v>
      </c>
      <c r="C404" s="305" t="s">
        <v>1345</v>
      </c>
      <c r="D404" s="82" t="s">
        <v>1346</v>
      </c>
      <c r="E404" s="72">
        <f>SUMIF(Adat!$AG:$AG,CONCATENATE(61,$M$4,"09241",L379),Adat!$E:$E)*-1</f>
        <v>0</v>
      </c>
      <c r="F404" s="72">
        <f>SUMIF(Adat!$AG:$AG,CONCATENATE(60,$M$4,"09241",L379),Adat!$E:$E)*-1+E404</f>
        <v>0</v>
      </c>
      <c r="G404" s="72">
        <f>SUMIF(Adat!$AH:$AH,CONCATENATE($M$4,"(KÖT)","09241",L379),Adat!$E:$E)*-1</f>
        <v>0</v>
      </c>
      <c r="H404" s="72">
        <f>SUMIF(Adat!$AH:$AH,CONCATENATE($M$4,"(ÖNV)","09241",L379),Adat!$E:$E)*-1</f>
        <v>0</v>
      </c>
      <c r="I404" s="72">
        <f>SUMIF(Adat!$AH:$AH,CONCATENATE($M$4,"(ÁIG)","09241",L379),Adat!$E:$E)*-1</f>
        <v>0</v>
      </c>
    </row>
    <row r="405" spans="2:9" x14ac:dyDescent="0.2">
      <c r="B405" s="160">
        <v>24</v>
      </c>
      <c r="C405" s="305" t="s">
        <v>1255</v>
      </c>
      <c r="D405" s="82" t="s">
        <v>1347</v>
      </c>
      <c r="E405" s="72">
        <f>SUMIF(Adat!$AG:$AG,CONCATENATE(61,$M$4,"09251",L379),Adat!$E:$E)*-1</f>
        <v>0</v>
      </c>
      <c r="F405" s="72">
        <f>SUMIF(Adat!$AG:$AG,CONCATENATE(60,$M$4,"09251",L379),Adat!$E:$E)*-1+E405</f>
        <v>0</v>
      </c>
      <c r="G405" s="72">
        <f>SUMIF(Adat!$AH:$AH,CONCATENATE($M$4,"(KÖT)","09251",L379),Adat!$E:$E)*-1</f>
        <v>0</v>
      </c>
      <c r="H405" s="72">
        <f>SUMIF(Adat!$AH:$AH,CONCATENATE($M$4,"(ÖNV)","09251",L379),Adat!$E:$E)*-1</f>
        <v>0</v>
      </c>
      <c r="I405" s="72">
        <f>SUMIF(Adat!$AH:$AH,CONCATENATE($M$4,"(ÁIG)","09251",L379),Adat!$E:$E)*-1</f>
        <v>0</v>
      </c>
    </row>
    <row r="406" spans="2:9" x14ac:dyDescent="0.25">
      <c r="B406" s="160">
        <v>25</v>
      </c>
      <c r="C406" s="79" t="s">
        <v>33</v>
      </c>
      <c r="D406" s="79" t="s">
        <v>330</v>
      </c>
      <c r="E406" s="121">
        <f>SUM(E407:E409)</f>
        <v>0</v>
      </c>
      <c r="F406" s="121">
        <f t="shared" ref="F406:I406" si="26">SUM(F407:F409)</f>
        <v>0</v>
      </c>
      <c r="G406" s="121">
        <f t="shared" si="26"/>
        <v>0</v>
      </c>
      <c r="H406" s="121">
        <f t="shared" si="26"/>
        <v>0</v>
      </c>
      <c r="I406" s="121">
        <f t="shared" si="26"/>
        <v>0</v>
      </c>
    </row>
    <row r="407" spans="2:9" x14ac:dyDescent="0.2">
      <c r="B407" s="160">
        <v>26</v>
      </c>
      <c r="C407" s="305" t="s">
        <v>1373</v>
      </c>
      <c r="D407" s="82" t="s">
        <v>1374</v>
      </c>
      <c r="E407" s="72">
        <f>SUMIF(Adat!$AG:$AG,CONCATENATE(61,$M$4,"09511",L379),Adat!$E:$E)*-1</f>
        <v>0</v>
      </c>
      <c r="F407" s="72">
        <f>SUMIF(Adat!$AG:$AG,CONCATENATE(60,$M$4,"09511",L379),Adat!$E:$E)*-1+E407</f>
        <v>0</v>
      </c>
      <c r="G407" s="72">
        <f>SUMIF(Adat!$AH:$AH,CONCATENATE($M$4,"(KÖT)","09511",L379),Adat!$E:$E)*-1</f>
        <v>0</v>
      </c>
      <c r="H407" s="72">
        <f>SUMIF(Adat!$AH:$AH,CONCATENATE($M$4,"(ÖNV)","09511",L379),Adat!$E:$E)*-1</f>
        <v>0</v>
      </c>
      <c r="I407" s="72">
        <f>SUMIF(Adat!$AH:$AH,CONCATENATE($M$4,"(ÁIG)","09511",L379),Adat!$E:$E)*-1</f>
        <v>0</v>
      </c>
    </row>
    <row r="408" spans="2:9" x14ac:dyDescent="0.2">
      <c r="B408" s="160">
        <v>27</v>
      </c>
      <c r="C408" s="305" t="s">
        <v>1294</v>
      </c>
      <c r="D408" s="82" t="s">
        <v>1375</v>
      </c>
      <c r="E408" s="72">
        <f>SUMIF(Adat!$AG:$AG,CONCATENATE(61,$M$4,"09521",L379),Adat!$E:$E)*-1</f>
        <v>0</v>
      </c>
      <c r="F408" s="72">
        <f>SUMIF(Adat!$AG:$AG,CONCATENATE(60,$M$4,"09521",L379),Adat!$E:$E)*-1+E408</f>
        <v>0</v>
      </c>
      <c r="G408" s="72">
        <f>SUMIF(Adat!$AH:$AH,CONCATENATE($M$4,"(KÖT)","09521",L379),Adat!$E:$E)*-1</f>
        <v>0</v>
      </c>
      <c r="H408" s="72">
        <f>SUMIF(Adat!$AH:$AH,CONCATENATE($M$4,"(ÖNV)","09521",L379),Adat!$E:$E)*-1</f>
        <v>0</v>
      </c>
      <c r="I408" s="72">
        <f>SUMIF(Adat!$AH:$AH,CONCATENATE($M$4,"(ÁIG)","09521",L379),Adat!$E:$E)*-1</f>
        <v>0</v>
      </c>
    </row>
    <row r="409" spans="2:9" x14ac:dyDescent="0.2">
      <c r="B409" s="160">
        <v>28</v>
      </c>
      <c r="C409" s="305" t="s">
        <v>1376</v>
      </c>
      <c r="D409" s="82" t="s">
        <v>1377</v>
      </c>
      <c r="E409" s="72">
        <f>SUMIF(Adat!$AG:$AG,CONCATENATE(61,$M$4,"09531",L379),Adat!$E:$E)*-1</f>
        <v>0</v>
      </c>
      <c r="F409" s="72">
        <f>SUMIF(Adat!$AG:$AG,CONCATENATE(60,$M$4,"09531",L379),Adat!$E:$E)*-1+E409</f>
        <v>0</v>
      </c>
      <c r="G409" s="72">
        <f>SUMIF(Adat!$AH:$AH,CONCATENATE($M$4,"(KÖT)","09531",L379),Adat!$E:$E)*-1</f>
        <v>0</v>
      </c>
      <c r="H409" s="72">
        <f>SUMIF(Adat!$AH:$AH,CONCATENATE($M$4,"(ÖNV)","09531",L379),Adat!$E:$E)*-1</f>
        <v>0</v>
      </c>
      <c r="I409" s="72">
        <f>SUMIF(Adat!$AH:$AH,CONCATENATE($M$4,"(ÁIG)","09531",L379),Adat!$E:$E)*-1</f>
        <v>0</v>
      </c>
    </row>
    <row r="410" spans="2:9" x14ac:dyDescent="0.25">
      <c r="B410" s="160">
        <v>29</v>
      </c>
      <c r="C410" s="79" t="s">
        <v>36</v>
      </c>
      <c r="D410" s="79" t="s">
        <v>331</v>
      </c>
      <c r="E410" s="71">
        <f>SUMIF(Adat!$AI:$AI,CONCATENATE(61,$M$4,"096",L379),Adat!$E:$E)*-1</f>
        <v>0</v>
      </c>
      <c r="F410" s="71">
        <f>SUMIF(Adat!$AI:$AI,CONCATENATE(60,$M$4,"096",L379),Adat!$E:$E)*-1+E410</f>
        <v>0</v>
      </c>
      <c r="G410" s="71">
        <f>SUMIF(Adat!$AJ:$AJ,CONCATENATE($M$4,"096","(KÖT)",L379),Adat!$E:$E)*-1</f>
        <v>0</v>
      </c>
      <c r="H410" s="71">
        <f>SUMIF(Adat!$AJ:$AJ,CONCATENATE($M$4,"096","(ÖNV)",L379),Adat!$E:$E)*-1</f>
        <v>0</v>
      </c>
      <c r="I410" s="71">
        <f>SUMIF(Adat!$AJ:$AJ,CONCATENATE($M$4,"096","(ÁIG)",L379),Adat!$E:$E)*-1</f>
        <v>0</v>
      </c>
    </row>
    <row r="411" spans="2:9" x14ac:dyDescent="0.25">
      <c r="B411" s="160">
        <v>30</v>
      </c>
      <c r="C411" s="79" t="s">
        <v>38</v>
      </c>
      <c r="D411" s="85" t="s">
        <v>332</v>
      </c>
      <c r="E411" s="71">
        <f>SUMIF(Adat!$AI:$AI,CONCATENATE(61,$M$4,"097",L379),Adat!$E:$E)*-1</f>
        <v>0</v>
      </c>
      <c r="F411" s="71">
        <f>SUMIF(Adat!$AI:$AI,CONCATENATE(60,$M$4,"097",L379),Adat!$E:$E)*-1+E411</f>
        <v>0</v>
      </c>
      <c r="G411" s="71">
        <f>SUMIF(Adat!$AJ:$AJ,CONCATENATE($M$4,"097","(KÖT)",L379),Adat!$E:$E)*-1</f>
        <v>0</v>
      </c>
      <c r="H411" s="71">
        <f>SUMIF(Adat!$AJ:$AJ,CONCATENATE($M$4,"097","(ÖNV)",L379),Adat!$E:$E)*-1</f>
        <v>0</v>
      </c>
      <c r="I411" s="71">
        <f>SUMIF(Adat!$AJ:$AJ,CONCATENATE($M$4,"097","(ÁIG)",L379),Adat!$E:$E)*-1</f>
        <v>0</v>
      </c>
    </row>
    <row r="412" spans="2:9" x14ac:dyDescent="0.25">
      <c r="B412" s="160">
        <v>31</v>
      </c>
      <c r="C412" s="154" t="s">
        <v>352</v>
      </c>
      <c r="D412" s="86" t="s">
        <v>1500</v>
      </c>
      <c r="E412" s="121">
        <f>E383+E397+E401+E402+E406+E410+E411</f>
        <v>0</v>
      </c>
      <c r="F412" s="121">
        <f>F383+F397+F401+F402+F406+F410+F411</f>
        <v>0</v>
      </c>
      <c r="G412" s="121">
        <f>G383+G397+G401+G402+G406+G410+G411</f>
        <v>0</v>
      </c>
      <c r="H412" s="121">
        <f>H383+H397+H401+H402+H406+H410+H411</f>
        <v>0</v>
      </c>
      <c r="I412" s="121">
        <f>I383+I397+I401+I402+I406+I410+I411</f>
        <v>0</v>
      </c>
    </row>
    <row r="413" spans="2:9" x14ac:dyDescent="0.25">
      <c r="B413" s="160">
        <v>32</v>
      </c>
      <c r="C413" s="154" t="s">
        <v>358</v>
      </c>
      <c r="D413" s="86" t="s">
        <v>333</v>
      </c>
      <c r="E413" s="121">
        <f>SUM(E414:E416)</f>
        <v>0</v>
      </c>
      <c r="F413" s="121">
        <f t="shared" ref="F413:I413" si="27">SUM(F414:F416)</f>
        <v>0</v>
      </c>
      <c r="G413" s="121">
        <f t="shared" si="27"/>
        <v>0</v>
      </c>
      <c r="H413" s="121">
        <f t="shared" si="27"/>
        <v>0</v>
      </c>
      <c r="I413" s="121">
        <f t="shared" si="27"/>
        <v>0</v>
      </c>
    </row>
    <row r="414" spans="2:9" x14ac:dyDescent="0.2">
      <c r="B414" s="160">
        <v>33</v>
      </c>
      <c r="C414" s="305" t="s">
        <v>1274</v>
      </c>
      <c r="D414" s="82" t="s">
        <v>1419</v>
      </c>
      <c r="E414" s="72">
        <f>SUMIF(Adat!$AG:$AG,CONCATENATE(61,$M$4,"0981311",L379),Adat!$E:$E)*-1</f>
        <v>0</v>
      </c>
      <c r="F414" s="72">
        <f>SUMIF(Adat!$AG:$AG,CONCATENATE(60,$M$4,"0981311",L379),Adat!$E:$E)*-1+E414</f>
        <v>0</v>
      </c>
      <c r="G414" s="72">
        <f>SUMIF(Adat!$AH:$AH,CONCATENATE($M$4,"(KÖT)","0981311",L379),Adat!$E:$E)*-1</f>
        <v>0</v>
      </c>
      <c r="H414" s="72">
        <f>SUMIF(Adat!$AH:$AH,CONCATENATE($M$4,"(ÖNV)","0981311",L379),Adat!$E:$E)*-1</f>
        <v>0</v>
      </c>
      <c r="I414" s="72">
        <f>SUMIF(Adat!$AH:$AH,CONCATENATE($M$4,"(ÁIG)","0981311",L379),Adat!$E:$E)*-1</f>
        <v>0</v>
      </c>
    </row>
    <row r="415" spans="2:9" x14ac:dyDescent="0.25">
      <c r="B415" s="160">
        <v>34</v>
      </c>
      <c r="C415" s="305" t="s">
        <v>1420</v>
      </c>
      <c r="D415" s="84" t="s">
        <v>1421</v>
      </c>
      <c r="E415" s="72">
        <f>SUMIF(Adat!$AG:$AG,CONCATENATE(61,$M$4,"0981321",L379),Adat!$E:$E)*-1</f>
        <v>0</v>
      </c>
      <c r="F415" s="72">
        <f>SUMIF(Adat!$AG:$AG,CONCATENATE(60,$M$4,"0981321",L379),Adat!$E:$E)*-1+E415</f>
        <v>0</v>
      </c>
      <c r="G415" s="72">
        <f>SUMIF(Adat!$AH:$AH,CONCATENATE($M$4,"(KÖT)","0981321",L379),Adat!$E:$E)*-1</f>
        <v>0</v>
      </c>
      <c r="H415" s="72">
        <f>SUMIF(Adat!$AH:$AH,CONCATENATE($M$4,"(ÖNV)","0981321",L379),Adat!$E:$E)*-1</f>
        <v>0</v>
      </c>
      <c r="I415" s="72">
        <f>SUMIF(Adat!$AH:$AH,CONCATENATE($M$4,"(ÁIG)","0981321",L379),Adat!$E:$E)*-1</f>
        <v>0</v>
      </c>
    </row>
    <row r="416" spans="2:9" x14ac:dyDescent="0.25">
      <c r="B416" s="160">
        <v>35</v>
      </c>
      <c r="C416" s="319" t="s">
        <v>1275</v>
      </c>
      <c r="D416" s="84" t="s">
        <v>1501</v>
      </c>
      <c r="E416" s="72">
        <f>SUMIF(Adat!$AG:$AG,CONCATENATE(61,$M$4,"098161",L379),Adat!$E:$E)*-1</f>
        <v>0</v>
      </c>
      <c r="F416" s="72">
        <f>SUMIF(Adat!$AG:$AG,CONCATENATE(60,$M$4,"098161",L379),Adat!$E:$E)*-1+E416</f>
        <v>0</v>
      </c>
      <c r="G416" s="72">
        <f>SUMIF(Adat!$AH:$AH,CONCATENATE($M$4,"(KÖT)","098161",L379),Adat!$E:$E)*-1</f>
        <v>0</v>
      </c>
      <c r="H416" s="72">
        <f>SUMIF(Adat!$AH:$AH,CONCATENATE($M$4,"(ÖNV)","098161",L379),Adat!$E:$E)*-1</f>
        <v>0</v>
      </c>
      <c r="I416" s="72">
        <f>SUMIF(Adat!$AH:$AH,CONCATENATE($M$4,"(ÁIG)","098161",L379),Adat!$E:$E)*-1</f>
        <v>0</v>
      </c>
    </row>
    <row r="417" spans="2:12" x14ac:dyDescent="0.25">
      <c r="B417" s="160">
        <v>36</v>
      </c>
      <c r="C417" s="154" t="s">
        <v>364</v>
      </c>
      <c r="D417" s="159" t="s">
        <v>1502</v>
      </c>
      <c r="E417" s="121">
        <f>+E412+E413</f>
        <v>0</v>
      </c>
      <c r="F417" s="121">
        <f>+F412+F413</f>
        <v>0</v>
      </c>
      <c r="G417" s="121">
        <f>+G412+G413</f>
        <v>0</v>
      </c>
      <c r="H417" s="121">
        <f>+H412+H413</f>
        <v>0</v>
      </c>
      <c r="I417" s="121">
        <f>+I412+I413</f>
        <v>0</v>
      </c>
    </row>
    <row r="418" spans="2:12" ht="15.75" x14ac:dyDescent="0.25">
      <c r="B418" s="38"/>
      <c r="C418" s="156"/>
      <c r="D418" s="38"/>
      <c r="E418" s="140"/>
      <c r="F418" s="140"/>
      <c r="G418" s="140"/>
      <c r="H418" s="140"/>
      <c r="I418" s="140"/>
    </row>
    <row r="419" spans="2:12" s="10" customFormat="1" ht="15.75" customHeight="1" x14ac:dyDescent="0.25">
      <c r="B419" s="201" t="str">
        <f>CONCATENATE("14. Kiadási jogcímek"," - ",L419," részletező")</f>
        <v>14. Kiadási jogcímek -  részletező</v>
      </c>
      <c r="C419" s="101"/>
      <c r="D419" s="101"/>
      <c r="E419" s="101"/>
      <c r="F419" s="101"/>
      <c r="G419" s="198"/>
      <c r="H419" s="198"/>
      <c r="I419" s="198"/>
      <c r="L419" s="384"/>
    </row>
    <row r="420" spans="2:12" ht="15.75" x14ac:dyDescent="0.25">
      <c r="B420" s="38"/>
      <c r="C420" s="156"/>
      <c r="D420" s="38"/>
      <c r="E420" s="140"/>
      <c r="F420" s="140"/>
      <c r="G420" s="140"/>
      <c r="H420" s="140"/>
      <c r="I420" s="140"/>
    </row>
    <row r="421" spans="2:12" x14ac:dyDescent="0.25">
      <c r="B421" s="77"/>
      <c r="C421" s="77" t="s">
        <v>350</v>
      </c>
      <c r="D421" s="77" t="s">
        <v>351</v>
      </c>
      <c r="E421" s="77" t="s">
        <v>470</v>
      </c>
      <c r="F421" s="77" t="s">
        <v>471</v>
      </c>
      <c r="G421" s="77" t="s">
        <v>44</v>
      </c>
      <c r="H421" s="77" t="s">
        <v>42</v>
      </c>
      <c r="I421" s="77" t="s">
        <v>511</v>
      </c>
    </row>
    <row r="422" spans="2:12" ht="38.25" x14ac:dyDescent="0.25">
      <c r="B422" s="160">
        <v>1</v>
      </c>
      <c r="C422" s="154" t="s">
        <v>593</v>
      </c>
      <c r="D422" s="154" t="s">
        <v>488</v>
      </c>
      <c r="E422" s="163" t="str">
        <f>CONCATENATE(PAR!$H$3," évi
eredeti 
előirányzat")</f>
        <v>2025. évi
eredeti 
előirányzat</v>
      </c>
      <c r="F422" s="163" t="str">
        <f>CONCATENATE(PAR!$H$3," évi
módosított 
előirányzat")</f>
        <v>2025. évi
módosított 
előirányzat</v>
      </c>
      <c r="G422" s="78" t="s">
        <v>666</v>
      </c>
      <c r="H422" s="78" t="s">
        <v>667</v>
      </c>
      <c r="I422" s="78" t="s">
        <v>668</v>
      </c>
    </row>
    <row r="423" spans="2:12" x14ac:dyDescent="0.25">
      <c r="B423" s="160">
        <v>2</v>
      </c>
      <c r="C423" s="78" t="s">
        <v>352</v>
      </c>
      <c r="D423" s="92" t="s">
        <v>1444</v>
      </c>
      <c r="E423" s="121">
        <f>SUM(E424:E428)</f>
        <v>0</v>
      </c>
      <c r="F423" s="121">
        <f>SUM(F424:F428)</f>
        <v>0</v>
      </c>
      <c r="G423" s="121">
        <f>SUM(G424:G428)</f>
        <v>0</v>
      </c>
      <c r="H423" s="121">
        <f>SUM(H424:H428)</f>
        <v>0</v>
      </c>
      <c r="I423" s="121">
        <f>SUM(I424:I428)</f>
        <v>0</v>
      </c>
    </row>
    <row r="424" spans="2:12" x14ac:dyDescent="0.25">
      <c r="B424" s="160">
        <v>3</v>
      </c>
      <c r="C424" s="305" t="s">
        <v>315</v>
      </c>
      <c r="D424" s="93" t="s">
        <v>342</v>
      </c>
      <c r="E424" s="72">
        <f>SUMIF(Adat!$AI:$AI,CONCATENATE(61,$M$4,"051",L419),Adat!$E:$E)</f>
        <v>0</v>
      </c>
      <c r="F424" s="72">
        <f>SUMIF(Adat!$AI:$AI,CONCATENATE(60,$M$4,"051",L419),Adat!$E:$E)+E424</f>
        <v>0</v>
      </c>
      <c r="G424" s="72">
        <f>SUMIF(Adat!$AJ:$AJ,CONCATENATE($M$4,"051","(KÖT)",L419),Adat!$E:$E)</f>
        <v>0</v>
      </c>
      <c r="H424" s="72">
        <f>SUMIF(Adat!$AJ:$AJ,CONCATENATE($M$4,"051","(ÖNV)",L419),Adat!$E:$E)</f>
        <v>0</v>
      </c>
      <c r="I424" s="72">
        <f>SUMIF(Adat!$AJ:$AJ,CONCATENATE($M$4,"051","(ÁIG)",L419),Adat!$E:$E)</f>
        <v>0</v>
      </c>
    </row>
    <row r="425" spans="2:12" x14ac:dyDescent="0.25">
      <c r="B425" s="160">
        <v>4</v>
      </c>
      <c r="C425" s="305" t="s">
        <v>317</v>
      </c>
      <c r="D425" s="93" t="s">
        <v>395</v>
      </c>
      <c r="E425" s="72">
        <f>SUMIF(Adat!$AI:$AI,CONCATENATE(61,$M$4,"052",L419),Adat!$E:$E)</f>
        <v>0</v>
      </c>
      <c r="F425" s="72">
        <f>SUMIF(Adat!$AI:$AI,CONCATENATE(60,$M$4,"052",L419),Adat!$E:$E)+E425</f>
        <v>0</v>
      </c>
      <c r="G425" s="72">
        <f>SUMIF(Adat!$AJ:$AJ,CONCATENATE($M$4,"052","(KÖT)",L419),Adat!$E:$E)</f>
        <v>0</v>
      </c>
      <c r="H425" s="72">
        <f>SUMIF(Adat!$AJ:$AJ,CONCATENATE($M$4,"052","(ÖNV)",L419),Adat!$E:$E)</f>
        <v>0</v>
      </c>
      <c r="I425" s="72">
        <f>SUMIF(Adat!$AJ:$AJ,CONCATENATE($M$4,"052","(ÁIG)",L419),Adat!$E:$E)</f>
        <v>0</v>
      </c>
    </row>
    <row r="426" spans="2:12" x14ac:dyDescent="0.25">
      <c r="B426" s="160">
        <v>5</v>
      </c>
      <c r="C426" s="305" t="s">
        <v>4</v>
      </c>
      <c r="D426" s="93" t="s">
        <v>344</v>
      </c>
      <c r="E426" s="72">
        <f>SUMIF(Adat!$AI:$AI,CONCATENATE(61,$M$4,"053",L419),Adat!$E:$E)</f>
        <v>0</v>
      </c>
      <c r="F426" s="72">
        <f>SUMIF(Adat!$AI:$AI,CONCATENATE(60,$M$4,"053",L419),Adat!$E:$E)+E426</f>
        <v>0</v>
      </c>
      <c r="G426" s="72">
        <f>SUMIF(Adat!$AJ:$AJ,CONCATENATE($M$4,"053","(KÖT)",L419),Adat!$E:$E)</f>
        <v>0</v>
      </c>
      <c r="H426" s="72">
        <f>SUMIF(Adat!$AJ:$AJ,CONCATENATE($M$4,"053","(ÖNV)",L419),Adat!$E:$E)</f>
        <v>0</v>
      </c>
      <c r="I426" s="72">
        <f>SUMIF(Adat!$AJ:$AJ,CONCATENATE($M$4,"053","(ÁIG)",L419),Adat!$E:$E)</f>
        <v>0</v>
      </c>
    </row>
    <row r="427" spans="2:12" x14ac:dyDescent="0.25">
      <c r="B427" s="160">
        <v>6</v>
      </c>
      <c r="C427" s="305" t="s">
        <v>6</v>
      </c>
      <c r="D427" s="93" t="s">
        <v>345</v>
      </c>
      <c r="E427" s="72">
        <f>SUMIF(Adat!$AI:$AI,CONCATENATE(61,$M$4,"054",L419),Adat!$E:$E)</f>
        <v>0</v>
      </c>
      <c r="F427" s="72">
        <f>SUMIF(Adat!$AI:$AI,CONCATENATE(60,$M$4,"054",L419),Adat!$E:$E)+E427</f>
        <v>0</v>
      </c>
      <c r="G427" s="72">
        <f>SUMIF(Adat!$AJ:$AJ,CONCATENATE($M$4,"054","(KÖT)",L419),Adat!$E:$E)</f>
        <v>0</v>
      </c>
      <c r="H427" s="72">
        <f>SUMIF(Adat!$AJ:$AJ,CONCATENATE($M$4,"054","(ÖNV)",L419),Adat!$E:$E)</f>
        <v>0</v>
      </c>
      <c r="I427" s="72">
        <f>SUMIF(Adat!$AJ:$AJ,CONCATENATE($M$4,"054","(ÁIG)",L419),Adat!$E:$E)</f>
        <v>0</v>
      </c>
    </row>
    <row r="428" spans="2:12" x14ac:dyDescent="0.25">
      <c r="B428" s="160">
        <v>7</v>
      </c>
      <c r="C428" s="305" t="s">
        <v>8</v>
      </c>
      <c r="D428" s="93" t="s">
        <v>321</v>
      </c>
      <c r="E428" s="72">
        <f>SUMIF(Adat!$AI:$AI,CONCATENATE(61,$M$4,"055",L419),Adat!$E:$E)</f>
        <v>0</v>
      </c>
      <c r="F428" s="72">
        <f>SUMIF(Adat!$AI:$AI,CONCATENATE(60,$M$4,"055",L419),Adat!$E:$E)+E428</f>
        <v>0</v>
      </c>
      <c r="G428" s="72">
        <f>SUMIF(Adat!$AJ:$AJ,CONCATENATE($M$4,"055","(KÖT)",L419),Adat!$E:$E)</f>
        <v>0</v>
      </c>
      <c r="H428" s="72">
        <f>SUMIF(Adat!$AJ:$AJ,CONCATENATE($M$4,"055","(ÖNV)",L419),Adat!$E:$E)</f>
        <v>0</v>
      </c>
      <c r="I428" s="72">
        <f>SUMIF(Adat!$AJ:$AJ,CONCATENATE($M$4,"055","(ÁIG)",L419),Adat!$E:$E)</f>
        <v>0</v>
      </c>
    </row>
    <row r="429" spans="2:12" x14ac:dyDescent="0.25">
      <c r="B429" s="160">
        <v>8</v>
      </c>
      <c r="C429" s="78" t="s">
        <v>358</v>
      </c>
      <c r="D429" s="92" t="s">
        <v>1447</v>
      </c>
      <c r="E429" s="121">
        <f>E430+E432+E434</f>
        <v>0</v>
      </c>
      <c r="F429" s="121">
        <f>F430+F432+F434</f>
        <v>0</v>
      </c>
      <c r="G429" s="121">
        <f>G430+G432+G434</f>
        <v>0</v>
      </c>
      <c r="H429" s="121">
        <f>H430+H432+H434</f>
        <v>0</v>
      </c>
      <c r="I429" s="121">
        <f>I430+I432+I434</f>
        <v>0</v>
      </c>
    </row>
    <row r="430" spans="2:12" x14ac:dyDescent="0.25">
      <c r="B430" s="160">
        <v>9</v>
      </c>
      <c r="C430" s="305" t="s">
        <v>10</v>
      </c>
      <c r="D430" s="93" t="s">
        <v>322</v>
      </c>
      <c r="E430" s="72">
        <f>SUMIF(Adat!$AI:$AI,CONCATENATE(61,$M$4,"056",L419),Adat!$E:$E)</f>
        <v>0</v>
      </c>
      <c r="F430" s="72">
        <f>SUMIF(Adat!$AI:$AI,CONCATENATE(60,$M$4,"056",L419),Adat!$E:$E)+E430</f>
        <v>0</v>
      </c>
      <c r="G430" s="72">
        <f>SUMIF(Adat!$AJ:$AJ,CONCATENATE($M$4,"056","(KÖT)",L419),Adat!$E:$E)</f>
        <v>0</v>
      </c>
      <c r="H430" s="72">
        <f>SUMIF(Adat!$AJ:$AJ,CONCATENATE($M$4,"056","(ÖNV)",L419),Adat!$E:$E)</f>
        <v>0</v>
      </c>
      <c r="I430" s="72">
        <f>SUMIF(Adat!$AJ:$AJ,CONCATENATE($M$4,"056","(ÁIG)",L419),Adat!$E:$E)</f>
        <v>0</v>
      </c>
    </row>
    <row r="431" spans="2:12" x14ac:dyDescent="0.25">
      <c r="B431" s="160">
        <v>10</v>
      </c>
      <c r="C431" s="305" t="s">
        <v>10</v>
      </c>
      <c r="D431" s="93" t="s">
        <v>1448</v>
      </c>
      <c r="E431" s="72">
        <v>0</v>
      </c>
      <c r="F431" s="72">
        <f>SUM(G431:I431)</f>
        <v>0</v>
      </c>
      <c r="G431" s="72">
        <v>0</v>
      </c>
      <c r="H431" s="72">
        <v>0</v>
      </c>
      <c r="I431" s="72">
        <v>0</v>
      </c>
    </row>
    <row r="432" spans="2:12" x14ac:dyDescent="0.25">
      <c r="B432" s="160">
        <v>11</v>
      </c>
      <c r="C432" s="305" t="s">
        <v>12</v>
      </c>
      <c r="D432" s="93" t="s">
        <v>323</v>
      </c>
      <c r="E432" s="72">
        <f>SUMIF(Adat!$AI:$AI,CONCATENATE(61,$M$4,"057",L419),Adat!$E:$E)</f>
        <v>0</v>
      </c>
      <c r="F432" s="72">
        <f>SUMIF(Adat!$AI:$AI,CONCATENATE(60,$M$4,"057",L419),Adat!$E:$E)+E432</f>
        <v>0</v>
      </c>
      <c r="G432" s="72">
        <f>SUMIF(Adat!$AJ:$AJ,CONCATENATE($M$4,"057","(KÖT)",L419),Adat!$E:$E)</f>
        <v>0</v>
      </c>
      <c r="H432" s="72">
        <f>SUMIF(Adat!$AJ:$AJ,CONCATENATE($M$4,"057","(ÖNV)",L419),Adat!$E:$E)</f>
        <v>0</v>
      </c>
      <c r="I432" s="72">
        <f>SUMIF(Adat!$AJ:$AJ,CONCATENATE($M$4,"057","(ÁIG)",L419),Adat!$E:$E)</f>
        <v>0</v>
      </c>
    </row>
    <row r="433" spans="2:12" x14ac:dyDescent="0.25">
      <c r="B433" s="160">
        <v>12</v>
      </c>
      <c r="C433" s="305" t="s">
        <v>12</v>
      </c>
      <c r="D433" s="93" t="s">
        <v>1449</v>
      </c>
      <c r="E433" s="72">
        <v>0</v>
      </c>
      <c r="F433" s="72">
        <f>SUM(G433:I433)</f>
        <v>0</v>
      </c>
      <c r="G433" s="72">
        <v>0</v>
      </c>
      <c r="H433" s="72">
        <v>0</v>
      </c>
      <c r="I433" s="72">
        <v>0</v>
      </c>
    </row>
    <row r="434" spans="2:12" x14ac:dyDescent="0.25">
      <c r="B434" s="160">
        <v>13</v>
      </c>
      <c r="C434" s="305" t="s">
        <v>15</v>
      </c>
      <c r="D434" s="84" t="s">
        <v>324</v>
      </c>
      <c r="E434" s="72">
        <f>SUMIF(Adat!$AI:$AI,CONCATENATE(61,$M$4,"058",L419),Adat!$E:$E)</f>
        <v>0</v>
      </c>
      <c r="F434" s="72">
        <f>SUMIF(Adat!$AI:$AI,CONCATENATE(60,$M$4,"058",L419),Adat!$E:$E)+E434</f>
        <v>0</v>
      </c>
      <c r="G434" s="72">
        <f>SUMIF(Adat!$AJ:$AJ,CONCATENATE($M$4,"058","(KÖT)",L419),Adat!$E:$E)</f>
        <v>0</v>
      </c>
      <c r="H434" s="72">
        <f>SUMIF(Adat!$AJ:$AJ,CONCATENATE($M$4,"058","(ÖNV)",L419),Adat!$E:$E)</f>
        <v>0</v>
      </c>
      <c r="I434" s="72">
        <f>SUMIF(Adat!$AJ:$AJ,CONCATENATE($M$4,"058","(ÁIG)",L419),Adat!$E:$E)</f>
        <v>0</v>
      </c>
    </row>
    <row r="435" spans="2:12" x14ac:dyDescent="0.25">
      <c r="B435" s="160">
        <v>14</v>
      </c>
      <c r="C435" s="154" t="s">
        <v>364</v>
      </c>
      <c r="D435" s="86" t="s">
        <v>325</v>
      </c>
      <c r="E435" s="71">
        <f>SUMIF(Adat!$AI:$AI,CONCATENATE(61,$M$4,"059",L419),Adat!$E:$E)</f>
        <v>0</v>
      </c>
      <c r="F435" s="71">
        <f>SUMIF(Adat!$AI:$AI,CONCATENATE(60,$M$4,"059",L419),Adat!$E:$E)+E435</f>
        <v>0</v>
      </c>
      <c r="G435" s="71">
        <f>SUMIF(Adat!$AJ:$AJ,CONCATENATE($M$4,"059","(KÖT)",L419),Adat!$E:$E)</f>
        <v>0</v>
      </c>
      <c r="H435" s="71">
        <f>SUMIF(Adat!$AJ:$AJ,CONCATENATE($M$4,"059","(ÖNV)",L419),Adat!$E:$E)</f>
        <v>0</v>
      </c>
      <c r="I435" s="71">
        <f>SUMIF(Adat!$AJ:$AJ,CONCATENATE($M$4,"059","(ÁIG)",L419),Adat!$E:$E)</f>
        <v>0</v>
      </c>
    </row>
    <row r="436" spans="2:12" x14ac:dyDescent="0.25">
      <c r="B436" s="160">
        <v>15</v>
      </c>
      <c r="C436" s="154" t="s">
        <v>403</v>
      </c>
      <c r="D436" s="159" t="s">
        <v>497</v>
      </c>
      <c r="E436" s="121">
        <f>E423+E429+E435</f>
        <v>0</v>
      </c>
      <c r="F436" s="121">
        <f>F423+F429+F435</f>
        <v>0</v>
      </c>
      <c r="G436" s="121">
        <f>G423+G429+G435</f>
        <v>0</v>
      </c>
      <c r="H436" s="121">
        <f>H423+H429+H435</f>
        <v>0</v>
      </c>
      <c r="I436" s="121">
        <f>I423+I429+I435</f>
        <v>0</v>
      </c>
    </row>
    <row r="437" spans="2:12" ht="15.75" x14ac:dyDescent="0.25">
      <c r="B437" s="37"/>
      <c r="C437" s="529"/>
      <c r="D437" s="529"/>
      <c r="E437" s="529"/>
      <c r="F437" s="200"/>
      <c r="G437" s="200"/>
      <c r="H437" s="200"/>
      <c r="I437" s="200"/>
    </row>
    <row r="438" spans="2:12" ht="15.75" x14ac:dyDescent="0.25">
      <c r="B438" s="525" t="str">
        <f>$N$4</f>
        <v>Gondozási Központ</v>
      </c>
      <c r="C438" s="525"/>
      <c r="D438" s="525"/>
      <c r="E438" s="525"/>
      <c r="F438" s="525"/>
      <c r="G438" s="525"/>
      <c r="H438" s="525"/>
      <c r="I438" s="525"/>
    </row>
    <row r="439" spans="2:12" ht="15.75" x14ac:dyDescent="0.25">
      <c r="B439" s="525" t="s">
        <v>2660</v>
      </c>
      <c r="C439" s="525"/>
      <c r="D439" s="525"/>
      <c r="E439" s="525"/>
      <c r="F439" s="525"/>
      <c r="G439" s="525"/>
      <c r="H439" s="525"/>
      <c r="I439" s="525"/>
    </row>
    <row r="440" spans="2:12" ht="15.75" x14ac:dyDescent="0.25">
      <c r="B440" s="38"/>
      <c r="C440" s="156"/>
      <c r="D440" s="38"/>
      <c r="E440" s="140"/>
      <c r="F440" s="140"/>
      <c r="G440" s="140"/>
      <c r="H440" s="140"/>
      <c r="I440" s="140"/>
    </row>
    <row r="441" spans="2:12" s="10" customFormat="1" ht="15.75" customHeight="1" x14ac:dyDescent="0.25">
      <c r="B441" s="201" t="str">
        <f>CONCATENATE("15. Bevételi jogcímek"," - ",L441," részletező")</f>
        <v>15. Bevételi jogcímek -  részletező</v>
      </c>
      <c r="C441" s="101"/>
      <c r="D441" s="101"/>
      <c r="E441" s="101"/>
      <c r="F441" s="101"/>
      <c r="G441" s="198"/>
      <c r="H441" s="198"/>
      <c r="I441" s="198"/>
      <c r="L441" s="384"/>
    </row>
    <row r="442" spans="2:12" ht="15.75" x14ac:dyDescent="0.25">
      <c r="B442" s="38"/>
      <c r="C442" s="156"/>
      <c r="D442" s="38"/>
      <c r="E442" s="140"/>
      <c r="F442" s="140"/>
      <c r="G442" s="140"/>
      <c r="H442" s="140"/>
      <c r="I442" s="140"/>
    </row>
    <row r="443" spans="2:12" x14ac:dyDescent="0.25">
      <c r="B443" s="77"/>
      <c r="C443" s="77" t="s">
        <v>350</v>
      </c>
      <c r="D443" s="77" t="s">
        <v>351</v>
      </c>
      <c r="E443" s="77" t="s">
        <v>470</v>
      </c>
      <c r="F443" s="77" t="s">
        <v>471</v>
      </c>
      <c r="G443" s="77" t="s">
        <v>44</v>
      </c>
      <c r="H443" s="77" t="s">
        <v>42</v>
      </c>
      <c r="I443" s="77" t="s">
        <v>511</v>
      </c>
    </row>
    <row r="444" spans="2:12" ht="38.25" x14ac:dyDescent="0.25">
      <c r="B444" s="160">
        <v>1</v>
      </c>
      <c r="C444" s="154" t="s">
        <v>593</v>
      </c>
      <c r="D444" s="154" t="s">
        <v>488</v>
      </c>
      <c r="E444" s="163" t="str">
        <f>CONCATENATE(PAR!$H$3," évi
eredeti 
előirányzat")</f>
        <v>2025. évi
eredeti 
előirányzat</v>
      </c>
      <c r="F444" s="163" t="str">
        <f>CONCATENATE(PAR!$H$3," évi
módosított 
előirányzat")</f>
        <v>2025. évi
módosított 
előirányzat</v>
      </c>
      <c r="G444" s="78" t="s">
        <v>666</v>
      </c>
      <c r="H444" s="78" t="s">
        <v>667</v>
      </c>
      <c r="I444" s="78" t="s">
        <v>668</v>
      </c>
    </row>
    <row r="445" spans="2:12" x14ac:dyDescent="0.25">
      <c r="B445" s="160">
        <v>2</v>
      </c>
      <c r="C445" s="79" t="s">
        <v>30</v>
      </c>
      <c r="D445" s="79" t="s">
        <v>329</v>
      </c>
      <c r="E445" s="121">
        <f>SUM(E446:E458)</f>
        <v>0</v>
      </c>
      <c r="F445" s="121">
        <f t="shared" ref="F445:I445" si="28">SUM(F446:F458)</f>
        <v>0</v>
      </c>
      <c r="G445" s="121">
        <f t="shared" si="28"/>
        <v>0</v>
      </c>
      <c r="H445" s="121">
        <f t="shared" si="28"/>
        <v>0</v>
      </c>
      <c r="I445" s="121">
        <f t="shared" si="28"/>
        <v>0</v>
      </c>
    </row>
    <row r="446" spans="2:12" x14ac:dyDescent="0.2">
      <c r="B446" s="160">
        <v>3</v>
      </c>
      <c r="C446" s="305" t="s">
        <v>1309</v>
      </c>
      <c r="D446" s="82" t="s">
        <v>1356</v>
      </c>
      <c r="E446" s="72">
        <f>SUMIF(Adat!$AG:$AG,CONCATENATE(61,$M$4,"094011",L441),Adat!$E:$E)*-1</f>
        <v>0</v>
      </c>
      <c r="F446" s="72">
        <f>SUMIF(Adat!$AG:$AG,CONCATENATE(60,$M$4,"094011",L441),Adat!$E:$E)*-1+E446</f>
        <v>0</v>
      </c>
      <c r="G446" s="72">
        <f>SUMIF(Adat!$AH:$AH,CONCATENATE($M$4,"(KÖT)","094011",L441),Adat!$E:$E)*-1</f>
        <v>0</v>
      </c>
      <c r="H446" s="72">
        <f>SUMIF(Adat!$AH:$AH,CONCATENATE($M$4,"(ÖNV)","094011",L441),Adat!$E:$E)*-1</f>
        <v>0</v>
      </c>
      <c r="I446" s="72">
        <f>SUMIF(Adat!$AH:$AH,CONCATENATE($M$4,"(ÁIG)","094011",L441),Adat!$E:$E)*-1</f>
        <v>0</v>
      </c>
    </row>
    <row r="447" spans="2:12" x14ac:dyDescent="0.2">
      <c r="B447" s="160">
        <v>4</v>
      </c>
      <c r="C447" s="305" t="s">
        <v>1279</v>
      </c>
      <c r="D447" s="82" t="s">
        <v>1357</v>
      </c>
      <c r="E447" s="72">
        <f>SUMIF(Adat!$AG:$AG,CONCATENATE(61,$M$4,"094021",L441),Adat!$E:$E)*-1</f>
        <v>0</v>
      </c>
      <c r="F447" s="72">
        <f>SUMIF(Adat!$AG:$AG,CONCATENATE(60,$M$4,"094021",L441),Adat!$E:$E)*-1+E447</f>
        <v>0</v>
      </c>
      <c r="G447" s="72">
        <f>SUMIF(Adat!$AH:$AH,CONCATENATE($M$4,"(KÖT)","094021",L441),Adat!$E:$E)*-1</f>
        <v>0</v>
      </c>
      <c r="H447" s="72">
        <f>SUMIF(Adat!$AH:$AH,CONCATENATE($M$4,"(ÖNV)","094021",L441),Adat!$E:$E)*-1</f>
        <v>0</v>
      </c>
      <c r="I447" s="72">
        <f>SUMIF(Adat!$AH:$AH,CONCATENATE($M$4,"(ÁIG)","094021",L441),Adat!$E:$E)*-1</f>
        <v>0</v>
      </c>
    </row>
    <row r="448" spans="2:12" x14ac:dyDescent="0.2">
      <c r="B448" s="160">
        <v>5</v>
      </c>
      <c r="C448" s="305" t="s">
        <v>1272</v>
      </c>
      <c r="D448" s="82" t="s">
        <v>1358</v>
      </c>
      <c r="E448" s="72">
        <f>SUMIF(Adat!$AG:$AG,CONCATENATE(61,$M$4,"094031",L441),Adat!$E:$E)*-1</f>
        <v>0</v>
      </c>
      <c r="F448" s="72">
        <f>SUMIF(Adat!$AG:$AG,CONCATENATE(60,$M$4,"094031",L441),Adat!$E:$E)*-1+E448</f>
        <v>0</v>
      </c>
      <c r="G448" s="72">
        <f>SUMIF(Adat!$AH:$AH,CONCATENATE($M$4,"(KÖT)","094031",L441),Adat!$E:$E)*-1</f>
        <v>0</v>
      </c>
      <c r="H448" s="72">
        <f>SUMIF(Adat!$AH:$AH,CONCATENATE($M$4,"(ÖNV)","094031",L441),Adat!$E:$E)*-1</f>
        <v>0</v>
      </c>
      <c r="I448" s="72">
        <f>SUMIF(Adat!$AH:$AH,CONCATENATE($M$4,"(ÁIG)","094031",L441),Adat!$E:$E)*-1</f>
        <v>0</v>
      </c>
    </row>
    <row r="449" spans="2:9" x14ac:dyDescent="0.2">
      <c r="B449" s="160">
        <v>6</v>
      </c>
      <c r="C449" s="305" t="s">
        <v>1359</v>
      </c>
      <c r="D449" s="82" t="s">
        <v>1360</v>
      </c>
      <c r="E449" s="72">
        <f>SUMIF(Adat!$AG:$AG,CONCATENATE(61,$M$4,"094041",L441),Adat!$E:$E)*-1</f>
        <v>0</v>
      </c>
      <c r="F449" s="72">
        <f>SUMIF(Adat!$AG:$AG,CONCATENATE(60,$M$4,"094041",L441),Adat!$E:$E)*-1+E449</f>
        <v>0</v>
      </c>
      <c r="G449" s="72">
        <f>SUMIF(Adat!$AH:$AH,CONCATENATE($M$4,"(KÖT)","094041",L441),Adat!$E:$E)*-1</f>
        <v>0</v>
      </c>
      <c r="H449" s="72">
        <f>SUMIF(Adat!$AH:$AH,CONCATENATE($M$4,"(ÖNV)","094041",L441),Adat!$E:$E)*-1</f>
        <v>0</v>
      </c>
      <c r="I449" s="72">
        <f>SUMIF(Adat!$AH:$AH,CONCATENATE($M$4,"(ÁIG)","094041",L441),Adat!$E:$E)*-1</f>
        <v>0</v>
      </c>
    </row>
    <row r="450" spans="2:9" x14ac:dyDescent="0.2">
      <c r="B450" s="160">
        <v>7</v>
      </c>
      <c r="C450" s="305" t="s">
        <v>1261</v>
      </c>
      <c r="D450" s="82" t="s">
        <v>1361</v>
      </c>
      <c r="E450" s="72">
        <f>SUMIF(Adat!$AG:$AG,CONCATENATE(61,$M$4,"094051",L441),Adat!$E:$E)*-1</f>
        <v>0</v>
      </c>
      <c r="F450" s="72">
        <f>SUMIF(Adat!$AG:$AG,CONCATENATE(60,$M$4,"094051",L441),Adat!$E:$E)*-1+E450</f>
        <v>0</v>
      </c>
      <c r="G450" s="72">
        <f>SUMIF(Adat!$AH:$AH,CONCATENATE($M$4,"(KÖT)","094051",L441),Adat!$E:$E)*-1</f>
        <v>0</v>
      </c>
      <c r="H450" s="72">
        <f>SUMIF(Adat!$AH:$AH,CONCATENATE($M$4,"(ÖNV)","094051",L441),Adat!$E:$E)*-1</f>
        <v>0</v>
      </c>
      <c r="I450" s="72">
        <f>SUMIF(Adat!$AH:$AH,CONCATENATE($M$4,"(ÁIG)","094051",L441),Adat!$E:$E)*-1</f>
        <v>0</v>
      </c>
    </row>
    <row r="451" spans="2:9" x14ac:dyDescent="0.2">
      <c r="B451" s="160">
        <v>8</v>
      </c>
      <c r="C451" s="305" t="s">
        <v>1273</v>
      </c>
      <c r="D451" s="82" t="s">
        <v>1362</v>
      </c>
      <c r="E451" s="72">
        <f>SUMIF(Adat!$AG:$AG,CONCATENATE(61,$M$4,"094061",L441),Adat!$E:$E)*-1</f>
        <v>0</v>
      </c>
      <c r="F451" s="72">
        <f>SUMIF(Adat!$AG:$AG,CONCATENATE(60,$M$4,"094061",L441),Adat!$E:$E)*-1+E451</f>
        <v>0</v>
      </c>
      <c r="G451" s="72">
        <f>SUMIF(Adat!$AH:$AH,CONCATENATE($M$4,"(KÖT)","094061",L441),Adat!$E:$E)*-1</f>
        <v>0</v>
      </c>
      <c r="H451" s="72">
        <f>SUMIF(Adat!$AH:$AH,CONCATENATE($M$4,"(ÖNV)","094061",L441),Adat!$E:$E)*-1</f>
        <v>0</v>
      </c>
      <c r="I451" s="72">
        <f>SUMIF(Adat!$AH:$AH,CONCATENATE($M$4,"(ÁIG)","094061",L441),Adat!$E:$E)*-1</f>
        <v>0</v>
      </c>
    </row>
    <row r="452" spans="2:9" x14ac:dyDescent="0.2">
      <c r="B452" s="160">
        <v>9</v>
      </c>
      <c r="C452" s="305" t="s">
        <v>1363</v>
      </c>
      <c r="D452" s="82" t="s">
        <v>1364</v>
      </c>
      <c r="E452" s="72">
        <f>SUMIF(Adat!$AG:$AG,CONCATENATE(61,$M$4,"094071",L441),Adat!$E:$E)*-1</f>
        <v>0</v>
      </c>
      <c r="F452" s="72">
        <f>SUMIF(Adat!$AG:$AG,CONCATENATE(60,$M$4,"094071",L441),Adat!$E:$E)*-1+E452</f>
        <v>0</v>
      </c>
      <c r="G452" s="72">
        <f>SUMIF(Adat!$AH:$AH,CONCATENATE($M$4,"(KÖT)","094071",L441),Adat!$E:$E)*-1</f>
        <v>0</v>
      </c>
      <c r="H452" s="72">
        <f>SUMIF(Adat!$AH:$AH,CONCATENATE($M$4,"(ÖNV)","094071",L441),Adat!$E:$E)*-1</f>
        <v>0</v>
      </c>
      <c r="I452" s="72">
        <f>SUMIF(Adat!$AH:$AH,CONCATENATE($M$4,"(ÁIG)","094071",L441),Adat!$E:$E)*-1</f>
        <v>0</v>
      </c>
    </row>
    <row r="453" spans="2:9" x14ac:dyDescent="0.2">
      <c r="B453" s="160">
        <v>10</v>
      </c>
      <c r="C453" s="305" t="s">
        <v>1306</v>
      </c>
      <c r="D453" s="82" t="s">
        <v>1365</v>
      </c>
      <c r="E453" s="72">
        <f>SUMIF(Adat!$AG:$AG,CONCATENATE(61,$M$4,"0940811",L441),Adat!$E:$E)*-1</f>
        <v>0</v>
      </c>
      <c r="F453" s="72">
        <f>SUMIF(Adat!$AG:$AG,CONCATENATE(60,$M$4,"0940811",L441),Adat!$E:$E)*-1+E453</f>
        <v>0</v>
      </c>
      <c r="G453" s="72">
        <f>SUMIF(Adat!$AH:$AH,CONCATENATE($M$4,"(KÖT)","0940811",L441),Adat!$E:$E)*-1</f>
        <v>0</v>
      </c>
      <c r="H453" s="72">
        <f>SUMIF(Adat!$AH:$AH,CONCATENATE($M$4,"(ÖNV)","0940811",L441),Adat!$E:$E)*-1</f>
        <v>0</v>
      </c>
      <c r="I453" s="72">
        <f>SUMIF(Adat!$AH:$AH,CONCATENATE($M$4,"(ÁIG)","0940811",L441),Adat!$E:$E)*-1</f>
        <v>0</v>
      </c>
    </row>
    <row r="454" spans="2:9" x14ac:dyDescent="0.2">
      <c r="B454" s="160">
        <v>11</v>
      </c>
      <c r="C454" s="305" t="s">
        <v>1295</v>
      </c>
      <c r="D454" s="82" t="s">
        <v>1366</v>
      </c>
      <c r="E454" s="72">
        <f>SUMIF(Adat!$AG:$AG,CONCATENATE(61,$M$4,"0940821",L441),Adat!$E:$E)*-1</f>
        <v>0</v>
      </c>
      <c r="F454" s="72">
        <f>SUMIF(Adat!$AG:$AG,CONCATENATE(60,$M$4,"0940821",L441),Adat!$E:$E)*-1+E454</f>
        <v>0</v>
      </c>
      <c r="G454" s="72">
        <f>SUMIF(Adat!$AH:$AH,CONCATENATE($M$4,"(KÖT)","0940821",L441),Adat!$E:$E)*-1</f>
        <v>0</v>
      </c>
      <c r="H454" s="72">
        <f>SUMIF(Adat!$AH:$AH,CONCATENATE($M$4,"(ÖNV)","0940821",L441),Adat!$E:$E)*-1</f>
        <v>0</v>
      </c>
      <c r="I454" s="72">
        <f>SUMIF(Adat!$AH:$AH,CONCATENATE($M$4,"(ÁIG)","0940821",L441),Adat!$E:$E)*-1</f>
        <v>0</v>
      </c>
    </row>
    <row r="455" spans="2:9" x14ac:dyDescent="0.2">
      <c r="B455" s="160">
        <v>12</v>
      </c>
      <c r="C455" s="305" t="s">
        <v>1367</v>
      </c>
      <c r="D455" s="82" t="s">
        <v>1368</v>
      </c>
      <c r="E455" s="72">
        <f>SUMIF(Adat!$AG:$AG,CONCATENATE(61,$M$4,"0940911",L441),Adat!$E:$E)*-1</f>
        <v>0</v>
      </c>
      <c r="F455" s="72">
        <f>SUMIF(Adat!$AG:$AG,CONCATENATE(60,$M$4,"0940911",L441),Adat!$E:$E)*-1+E455</f>
        <v>0</v>
      </c>
      <c r="G455" s="72">
        <f>SUMIF(Adat!$AH:$AH,CONCATENATE($M$4,"(KÖT)","0940911",L441),Adat!$E:$E)*-1</f>
        <v>0</v>
      </c>
      <c r="H455" s="72">
        <f>SUMIF(Adat!$AH:$AH,CONCATENATE($M$4,"(ÖNV)","0940911",L441),Adat!$E:$E)*-1</f>
        <v>0</v>
      </c>
      <c r="I455" s="72">
        <f>SUMIF(Adat!$AH:$AH,CONCATENATE($M$4,"(ÁIG)","0940911",L441),Adat!$E:$E)*-1</f>
        <v>0</v>
      </c>
    </row>
    <row r="456" spans="2:9" x14ac:dyDescent="0.2">
      <c r="B456" s="160">
        <v>13</v>
      </c>
      <c r="C456" s="305" t="s">
        <v>1369</v>
      </c>
      <c r="D456" s="82" t="s">
        <v>1370</v>
      </c>
      <c r="E456" s="72">
        <f>SUMIF(Adat!$AG:$AG,CONCATENATE(61,$M$4,"0940921",L441),Adat!$E:$E)*-1</f>
        <v>0</v>
      </c>
      <c r="F456" s="72">
        <f>SUMIF(Adat!$AG:$AG,CONCATENATE(60,$M$4,"0940921",L441),Adat!$E:$E)*-1+E456</f>
        <v>0</v>
      </c>
      <c r="G456" s="72">
        <f>SUMIF(Adat!$AH:$AH,CONCATENATE($M$4,"(KÖT)","0940921",L441),Adat!$E:$E)*-1</f>
        <v>0</v>
      </c>
      <c r="H456" s="72">
        <f>SUMIF(Adat!$AH:$AH,CONCATENATE($M$4,"(ÖNV)","0940921",L441),Adat!$E:$E)*-1</f>
        <v>0</v>
      </c>
      <c r="I456" s="72">
        <f>SUMIF(Adat!$AH:$AH,CONCATENATE($M$4,"(ÁIG)","0940921",L441),Adat!$E:$E)*-1</f>
        <v>0</v>
      </c>
    </row>
    <row r="457" spans="2:9" x14ac:dyDescent="0.2">
      <c r="B457" s="160">
        <v>14</v>
      </c>
      <c r="C457" s="305" t="s">
        <v>1296</v>
      </c>
      <c r="D457" s="82" t="s">
        <v>1371</v>
      </c>
      <c r="E457" s="72">
        <f>SUMIF(Adat!$AG:$AG,CONCATENATE(61,$M$4,"094101",L441),Adat!$E:$E)*-1</f>
        <v>0</v>
      </c>
      <c r="F457" s="72">
        <f>SUMIF(Adat!$AG:$AG,CONCATENATE(60,$M$4,"094101",L441),Adat!$E:$E)*-1+E457</f>
        <v>0</v>
      </c>
      <c r="G457" s="72">
        <f>SUMIF(Adat!$AH:$AH,CONCATENATE($M$4,"(KÖT)","094101",L441),Adat!$E:$E)*-1</f>
        <v>0</v>
      </c>
      <c r="H457" s="72">
        <f>SUMIF(Adat!$AH:$AH,CONCATENATE($M$4,"(ÖNV)","094101",L441),Adat!$E:$E)*-1</f>
        <v>0</v>
      </c>
      <c r="I457" s="72">
        <f>SUMIF(Adat!$AH:$AH,CONCATENATE($M$4,"(ÁIG)","094101",L441),Adat!$E:$E)*-1</f>
        <v>0</v>
      </c>
    </row>
    <row r="458" spans="2:9" x14ac:dyDescent="0.25">
      <c r="B458" s="160">
        <v>15</v>
      </c>
      <c r="C458" s="305" t="s">
        <v>1297</v>
      </c>
      <c r="D458" s="84" t="s">
        <v>1372</v>
      </c>
      <c r="E458" s="72">
        <f>SUMIF(Adat!$AG:$AG,CONCATENATE(61,$M$4,"094111",L441),Adat!$E:$E)*-1</f>
        <v>0</v>
      </c>
      <c r="F458" s="72">
        <f>SUMIF(Adat!$AG:$AG,CONCATENATE(60,$M$4,"094111",L441),Adat!$E:$E)*-1+E458</f>
        <v>0</v>
      </c>
      <c r="G458" s="72">
        <f>SUMIF(Adat!$AH:$AH,CONCATENATE($M$4,"(KÖT)","094111",L441),Adat!$E:$E)*-1</f>
        <v>0</v>
      </c>
      <c r="H458" s="72">
        <f>SUMIF(Adat!$AH:$AH,CONCATENATE($M$4,"(ÖNV)","094111",L441),Adat!$E:$E)*-1</f>
        <v>0</v>
      </c>
      <c r="I458" s="72">
        <f>SUMIF(Adat!$AH:$AH,CONCATENATE($M$4,"(ÁIG)","094111",L441),Adat!$E:$E)*-1</f>
        <v>0</v>
      </c>
    </row>
    <row r="459" spans="2:9" x14ac:dyDescent="0.25">
      <c r="B459" s="160">
        <v>16</v>
      </c>
      <c r="C459" s="78" t="s">
        <v>1328</v>
      </c>
      <c r="D459" s="85" t="s">
        <v>437</v>
      </c>
      <c r="E459" s="121">
        <f>SUM(E460:E462)</f>
        <v>0</v>
      </c>
      <c r="F459" s="121">
        <f>SUM(F460:F462)</f>
        <v>0</v>
      </c>
      <c r="G459" s="121">
        <f>SUM(G460:G462)</f>
        <v>0</v>
      </c>
      <c r="H459" s="121">
        <f>SUM(H460:H462)</f>
        <v>0</v>
      </c>
      <c r="I459" s="121">
        <f>SUM(I460:I462)</f>
        <v>0</v>
      </c>
    </row>
    <row r="460" spans="2:9" x14ac:dyDescent="0.2">
      <c r="B460" s="160">
        <v>17</v>
      </c>
      <c r="C460" s="305" t="s">
        <v>1329</v>
      </c>
      <c r="D460" s="82" t="s">
        <v>1330</v>
      </c>
      <c r="E460" s="72">
        <f>SUMIF(Adat!$AG:$AG,CONCATENATE(61,$M$4,"09121",L441),Adat!$E:$E)*-1</f>
        <v>0</v>
      </c>
      <c r="F460" s="72">
        <f>SUMIF(Adat!$AG:$AG,CONCATENATE(60,$M$4,"09121",L441),Adat!$E:$E)*-1+E460</f>
        <v>0</v>
      </c>
      <c r="G460" s="72">
        <f>SUMIF(Adat!$AH:$AH,CONCATENATE($M$4,"(KÖT)","09121",L441),Adat!$E:$E)*-1</f>
        <v>0</v>
      </c>
      <c r="H460" s="72">
        <f>SUMIF(Adat!$AH:$AH,CONCATENATE($M$4,"(ÖNV)","09121",L441),Adat!$E:$E)*-1</f>
        <v>0</v>
      </c>
      <c r="I460" s="72">
        <f>SUMIF(Adat!$AH:$AH,CONCATENATE($M$4,"(ÁIG)","09121",L441),Adat!$E:$E)*-1</f>
        <v>0</v>
      </c>
    </row>
    <row r="461" spans="2:9" x14ac:dyDescent="0.2">
      <c r="B461" s="160">
        <v>18</v>
      </c>
      <c r="C461" s="305" t="s">
        <v>1335</v>
      </c>
      <c r="D461" s="82" t="s">
        <v>1336</v>
      </c>
      <c r="E461" s="72">
        <f>SUMIF(Adat!$AG:$AG,CONCATENATE(61,$M$4,"09151",L441),Adat!$E:$E)*-1</f>
        <v>0</v>
      </c>
      <c r="F461" s="72">
        <f>SUMIF(Adat!$AG:$AG,CONCATENATE(60,$M$4,"09151",L441),Adat!$E:$E)*-1+E461</f>
        <v>0</v>
      </c>
      <c r="G461" s="72">
        <f>SUMIF(Adat!$AH:$AH,CONCATENATE($M$4,"(KÖT)","09151",L441),Adat!$E:$E)*-1</f>
        <v>0</v>
      </c>
      <c r="H461" s="72">
        <f>SUMIF(Adat!$AH:$AH,CONCATENATE($M$4,"(ÖNV)","09151",L441),Adat!$E:$E)*-1</f>
        <v>0</v>
      </c>
      <c r="I461" s="72">
        <f>SUMIF(Adat!$AH:$AH,CONCATENATE($M$4,"(ÁIG)","09151",L441),Adat!$E:$E)*-1</f>
        <v>0</v>
      </c>
    </row>
    <row r="462" spans="2:9" x14ac:dyDescent="0.2">
      <c r="B462" s="160">
        <v>19</v>
      </c>
      <c r="C462" s="305" t="s">
        <v>1278</v>
      </c>
      <c r="D462" s="82" t="s">
        <v>1337</v>
      </c>
      <c r="E462" s="72">
        <f>SUMIF(Adat!$AG:$AG,CONCATENATE(61,$M$4,"09161",L441),Adat!$E:$E)*-1</f>
        <v>0</v>
      </c>
      <c r="F462" s="72">
        <f>SUMIF(Adat!$AG:$AG,CONCATENATE(60,$M$4,"09161",L441),Adat!$E:$E)*-1+E462</f>
        <v>0</v>
      </c>
      <c r="G462" s="72">
        <f>SUMIF(Adat!$AH:$AH,CONCATENATE($M$4,"(KÖT)","09161",L441),Adat!$E:$E)*-1</f>
        <v>0</v>
      </c>
      <c r="H462" s="72">
        <f>SUMIF(Adat!$AH:$AH,CONCATENATE($M$4,"(ÖNV)","09161",L441),Adat!$E:$E)*-1</f>
        <v>0</v>
      </c>
      <c r="I462" s="72">
        <f>SUMIF(Adat!$AH:$AH,CONCATENATE($M$4,"(ÁIG)","09161",L441),Adat!$E:$E)*-1</f>
        <v>0</v>
      </c>
    </row>
    <row r="463" spans="2:9" x14ac:dyDescent="0.25">
      <c r="B463" s="160">
        <v>20</v>
      </c>
      <c r="C463" s="79" t="s">
        <v>27</v>
      </c>
      <c r="D463" s="79" t="s">
        <v>328</v>
      </c>
      <c r="E463" s="71">
        <f>SUMIF(Adat!$AI:$AI,CONCATENATE(61,$M$4,"093",L441),Adat!$E:$E)*-1</f>
        <v>0</v>
      </c>
      <c r="F463" s="71">
        <f>SUMIF(Adat!$AI:$AI,CONCATENATE(60,$M$4,"093",L441),Adat!$E:$E)*-1+E463</f>
        <v>0</v>
      </c>
      <c r="G463" s="71">
        <f>SUMIF(Adat!$AJ:$AJ,CONCATENATE($M$4,"093","(KÖT)",L441),Adat!$E:$E)*-1</f>
        <v>0</v>
      </c>
      <c r="H463" s="71">
        <f>SUMIF(Adat!$AJ:$AJ,CONCATENATE($M$4,"093","(ÖNV)",L441),Adat!$E:$E)*-1</f>
        <v>0</v>
      </c>
      <c r="I463" s="71">
        <f>SUMIF(Adat!$AJ:$AJ,CONCATENATE($M$4,"093","(ÁIG)",L441),Adat!$E:$E)*-1</f>
        <v>0</v>
      </c>
    </row>
    <row r="464" spans="2:9" x14ac:dyDescent="0.25">
      <c r="B464" s="160">
        <v>21</v>
      </c>
      <c r="C464" s="79" t="s">
        <v>24</v>
      </c>
      <c r="D464" s="79" t="s">
        <v>449</v>
      </c>
      <c r="E464" s="121">
        <f>SUM(E465:E467)</f>
        <v>0</v>
      </c>
      <c r="F464" s="121">
        <f t="shared" ref="F464:I464" si="29">SUM(F465:F467)</f>
        <v>0</v>
      </c>
      <c r="G464" s="121">
        <f t="shared" si="29"/>
        <v>0</v>
      </c>
      <c r="H464" s="121">
        <f t="shared" si="29"/>
        <v>0</v>
      </c>
      <c r="I464" s="121">
        <f t="shared" si="29"/>
        <v>0</v>
      </c>
    </row>
    <row r="465" spans="2:9" x14ac:dyDescent="0.2">
      <c r="B465" s="160">
        <v>22</v>
      </c>
      <c r="C465" s="305" t="s">
        <v>1339</v>
      </c>
      <c r="D465" s="82" t="s">
        <v>1340</v>
      </c>
      <c r="E465" s="72">
        <f>SUMIF(Adat!$AG:$AG,CONCATENATE(61,$M$4,"09211",L441),Adat!$E:$E)*-1</f>
        <v>0</v>
      </c>
      <c r="F465" s="72">
        <f>SUMIF(Adat!$AG:$AG,CONCATENATE(60,$M$4,"09211",L441),Adat!$E:$E)*-1+E465</f>
        <v>0</v>
      </c>
      <c r="G465" s="72">
        <f>SUMIF(Adat!$AH:$AH,CONCATENATE($M$4,"(KÖT)","09211",L441),Adat!$E:$E)*-1</f>
        <v>0</v>
      </c>
      <c r="H465" s="72">
        <f>SUMIF(Adat!$AH:$AH,CONCATENATE($M$4,"(ÖNV)","09211",L441),Adat!$E:$E)*-1</f>
        <v>0</v>
      </c>
      <c r="I465" s="72">
        <f>SUMIF(Adat!$AH:$AH,CONCATENATE($M$4,"(ÁIG)","09211",L441),Adat!$E:$E)*-1</f>
        <v>0</v>
      </c>
    </row>
    <row r="466" spans="2:9" x14ac:dyDescent="0.2">
      <c r="B466" s="160">
        <v>23</v>
      </c>
      <c r="C466" s="305" t="s">
        <v>1345</v>
      </c>
      <c r="D466" s="82" t="s">
        <v>1346</v>
      </c>
      <c r="E466" s="72">
        <f>SUMIF(Adat!$AG:$AG,CONCATENATE(61,$M$4,"09241",L441),Adat!$E:$E)*-1</f>
        <v>0</v>
      </c>
      <c r="F466" s="72">
        <f>SUMIF(Adat!$AG:$AG,CONCATENATE(60,$M$4,"09241",L441),Adat!$E:$E)*-1+E466</f>
        <v>0</v>
      </c>
      <c r="G466" s="72">
        <f>SUMIF(Adat!$AH:$AH,CONCATENATE($M$4,"(KÖT)","09241",L441),Adat!$E:$E)*-1</f>
        <v>0</v>
      </c>
      <c r="H466" s="72">
        <f>SUMIF(Adat!$AH:$AH,CONCATENATE($M$4,"(ÖNV)","09241",L441),Adat!$E:$E)*-1</f>
        <v>0</v>
      </c>
      <c r="I466" s="72">
        <f>SUMIF(Adat!$AH:$AH,CONCATENATE($M$4,"(ÁIG)","09241",L441),Adat!$E:$E)*-1</f>
        <v>0</v>
      </c>
    </row>
    <row r="467" spans="2:9" x14ac:dyDescent="0.2">
      <c r="B467" s="160">
        <v>24</v>
      </c>
      <c r="C467" s="305" t="s">
        <v>1255</v>
      </c>
      <c r="D467" s="82" t="s">
        <v>1347</v>
      </c>
      <c r="E467" s="72">
        <f>SUMIF(Adat!$AG:$AG,CONCATENATE(61,$M$4,"09251",L441),Adat!$E:$E)*-1</f>
        <v>0</v>
      </c>
      <c r="F467" s="72">
        <f>SUMIF(Adat!$AG:$AG,CONCATENATE(60,$M$4,"09251",L441),Adat!$E:$E)*-1+E467</f>
        <v>0</v>
      </c>
      <c r="G467" s="72">
        <f>SUMIF(Adat!$AH:$AH,CONCATENATE($M$4,"(KÖT)","09251",L441),Adat!$E:$E)*-1</f>
        <v>0</v>
      </c>
      <c r="H467" s="72">
        <f>SUMIF(Adat!$AH:$AH,CONCATENATE($M$4,"(ÖNV)","09251",L441),Adat!$E:$E)*-1</f>
        <v>0</v>
      </c>
      <c r="I467" s="72">
        <f>SUMIF(Adat!$AH:$AH,CONCATENATE($M$4,"(ÁIG)","09251",L441),Adat!$E:$E)*-1</f>
        <v>0</v>
      </c>
    </row>
    <row r="468" spans="2:9" x14ac:dyDescent="0.25">
      <c r="B468" s="160">
        <v>25</v>
      </c>
      <c r="C468" s="79" t="s">
        <v>33</v>
      </c>
      <c r="D468" s="79" t="s">
        <v>330</v>
      </c>
      <c r="E468" s="121">
        <f>SUM(E469:E471)</f>
        <v>0</v>
      </c>
      <c r="F468" s="121">
        <f t="shared" ref="F468:I468" si="30">SUM(F469:F471)</f>
        <v>0</v>
      </c>
      <c r="G468" s="121">
        <f t="shared" si="30"/>
        <v>0</v>
      </c>
      <c r="H468" s="121">
        <f t="shared" si="30"/>
        <v>0</v>
      </c>
      <c r="I468" s="121">
        <f t="shared" si="30"/>
        <v>0</v>
      </c>
    </row>
    <row r="469" spans="2:9" x14ac:dyDescent="0.2">
      <c r="B469" s="160">
        <v>26</v>
      </c>
      <c r="C469" s="305" t="s">
        <v>1373</v>
      </c>
      <c r="D469" s="82" t="s">
        <v>1374</v>
      </c>
      <c r="E469" s="72">
        <f>SUMIF(Adat!$AG:$AG,CONCATENATE(61,$M$4,"09511",L441),Adat!$E:$E)*-1</f>
        <v>0</v>
      </c>
      <c r="F469" s="72">
        <f>SUMIF(Adat!$AG:$AG,CONCATENATE(60,$M$4,"09511",L441),Adat!$E:$E)*-1+E469</f>
        <v>0</v>
      </c>
      <c r="G469" s="72">
        <f>SUMIF(Adat!$AH:$AH,CONCATENATE($M$4,"(KÖT)","09511",L441),Adat!$E:$E)*-1</f>
        <v>0</v>
      </c>
      <c r="H469" s="72">
        <f>SUMIF(Adat!$AH:$AH,CONCATENATE($M$4,"(ÖNV)","09511",L441),Adat!$E:$E)*-1</f>
        <v>0</v>
      </c>
      <c r="I469" s="72">
        <f>SUMIF(Adat!$AH:$AH,CONCATENATE($M$4,"(ÁIG)","09511",L441),Adat!$E:$E)*-1</f>
        <v>0</v>
      </c>
    </row>
    <row r="470" spans="2:9" x14ac:dyDescent="0.2">
      <c r="B470" s="160">
        <v>27</v>
      </c>
      <c r="C470" s="305" t="s">
        <v>1294</v>
      </c>
      <c r="D470" s="82" t="s">
        <v>1375</v>
      </c>
      <c r="E470" s="72">
        <f>SUMIF(Adat!$AG:$AG,CONCATENATE(61,$M$4,"09521",L441),Adat!$E:$E)*-1</f>
        <v>0</v>
      </c>
      <c r="F470" s="72">
        <f>SUMIF(Adat!$AG:$AG,CONCATENATE(60,$M$4,"09521",L441),Adat!$E:$E)*-1+E470</f>
        <v>0</v>
      </c>
      <c r="G470" s="72">
        <f>SUMIF(Adat!$AH:$AH,CONCATENATE($M$4,"(KÖT)","09521",L441),Adat!$E:$E)*-1</f>
        <v>0</v>
      </c>
      <c r="H470" s="72">
        <f>SUMIF(Adat!$AH:$AH,CONCATENATE($M$4,"(ÖNV)","09521",L441),Adat!$E:$E)*-1</f>
        <v>0</v>
      </c>
      <c r="I470" s="72">
        <f>SUMIF(Adat!$AH:$AH,CONCATENATE($M$4,"(ÁIG)","09521",L441),Adat!$E:$E)*-1</f>
        <v>0</v>
      </c>
    </row>
    <row r="471" spans="2:9" x14ac:dyDescent="0.2">
      <c r="B471" s="160">
        <v>28</v>
      </c>
      <c r="C471" s="305" t="s">
        <v>1376</v>
      </c>
      <c r="D471" s="82" t="s">
        <v>1377</v>
      </c>
      <c r="E471" s="72">
        <f>SUMIF(Adat!$AG:$AG,CONCATENATE(61,$M$4,"09531",L441),Adat!$E:$E)*-1</f>
        <v>0</v>
      </c>
      <c r="F471" s="72">
        <f>SUMIF(Adat!$AG:$AG,CONCATENATE(60,$M$4,"09531",L441),Adat!$E:$E)*-1+E471</f>
        <v>0</v>
      </c>
      <c r="G471" s="72">
        <f>SUMIF(Adat!$AH:$AH,CONCATENATE($M$4,"(KÖT)","09531",L441),Adat!$E:$E)*-1</f>
        <v>0</v>
      </c>
      <c r="H471" s="72">
        <f>SUMIF(Adat!$AH:$AH,CONCATENATE($M$4,"(ÖNV)","09531",L441),Adat!$E:$E)*-1</f>
        <v>0</v>
      </c>
      <c r="I471" s="72">
        <f>SUMIF(Adat!$AH:$AH,CONCATENATE($M$4,"(ÁIG)","09531",L441),Adat!$E:$E)*-1</f>
        <v>0</v>
      </c>
    </row>
    <row r="472" spans="2:9" x14ac:dyDescent="0.25">
      <c r="B472" s="160">
        <v>29</v>
      </c>
      <c r="C472" s="79" t="s">
        <v>36</v>
      </c>
      <c r="D472" s="79" t="s">
        <v>331</v>
      </c>
      <c r="E472" s="71">
        <f>SUMIF(Adat!$AI:$AI,CONCATENATE(61,$M$4,"096",L441),Adat!$E:$E)*-1</f>
        <v>0</v>
      </c>
      <c r="F472" s="71">
        <f>SUMIF(Adat!$AI:$AI,CONCATENATE(60,$M$4,"096",L441),Adat!$E:$E)*-1+E472</f>
        <v>0</v>
      </c>
      <c r="G472" s="71">
        <f>SUMIF(Adat!$AJ:$AJ,CONCATENATE($M$4,"096","(KÖT)",L441),Adat!$E:$E)*-1</f>
        <v>0</v>
      </c>
      <c r="H472" s="71">
        <f>SUMIF(Adat!$AJ:$AJ,CONCATENATE($M$4,"096","(ÖNV)",L441),Adat!$E:$E)*-1</f>
        <v>0</v>
      </c>
      <c r="I472" s="71">
        <f>SUMIF(Adat!$AJ:$AJ,CONCATENATE($M$4,"096","(ÁIG)",L441),Adat!$E:$E)*-1</f>
        <v>0</v>
      </c>
    </row>
    <row r="473" spans="2:9" x14ac:dyDescent="0.25">
      <c r="B473" s="160">
        <v>30</v>
      </c>
      <c r="C473" s="79" t="s">
        <v>38</v>
      </c>
      <c r="D473" s="85" t="s">
        <v>332</v>
      </c>
      <c r="E473" s="71">
        <f>SUMIF(Adat!$AI:$AI,CONCATENATE(61,$M$4,"097",L441),Adat!$E:$E)*-1</f>
        <v>0</v>
      </c>
      <c r="F473" s="71">
        <f>SUMIF(Adat!$AI:$AI,CONCATENATE(60,$M$4,"097",L441),Adat!$E:$E)*-1+E473</f>
        <v>0</v>
      </c>
      <c r="G473" s="71">
        <f>SUMIF(Adat!$AJ:$AJ,CONCATENATE($M$4,"097","(KÖT)",L441),Adat!$E:$E)*-1</f>
        <v>0</v>
      </c>
      <c r="H473" s="71">
        <f>SUMIF(Adat!$AJ:$AJ,CONCATENATE($M$4,"097","(ÖNV)",L441),Adat!$E:$E)*-1</f>
        <v>0</v>
      </c>
      <c r="I473" s="71">
        <f>SUMIF(Adat!$AJ:$AJ,CONCATENATE($M$4,"097","(ÁIG)",L441),Adat!$E:$E)*-1</f>
        <v>0</v>
      </c>
    </row>
    <row r="474" spans="2:9" x14ac:dyDescent="0.25">
      <c r="B474" s="160">
        <v>31</v>
      </c>
      <c r="C474" s="154" t="s">
        <v>352</v>
      </c>
      <c r="D474" s="86" t="s">
        <v>1500</v>
      </c>
      <c r="E474" s="121">
        <f>E445+E459+E463+E464+E468+E472+E473</f>
        <v>0</v>
      </c>
      <c r="F474" s="121">
        <f>F445+F459+F463+F464+F468+F472+F473</f>
        <v>0</v>
      </c>
      <c r="G474" s="121">
        <f>G445+G459+G463+G464+G468+G472+G473</f>
        <v>0</v>
      </c>
      <c r="H474" s="121">
        <f>H445+H459+H463+H464+H468+H472+H473</f>
        <v>0</v>
      </c>
      <c r="I474" s="121">
        <f>I445+I459+I463+I464+I468+I472+I473</f>
        <v>0</v>
      </c>
    </row>
    <row r="475" spans="2:9" x14ac:dyDescent="0.25">
      <c r="B475" s="160">
        <v>32</v>
      </c>
      <c r="C475" s="154" t="s">
        <v>358</v>
      </c>
      <c r="D475" s="86" t="s">
        <v>333</v>
      </c>
      <c r="E475" s="121">
        <f>SUM(E476:E478)</f>
        <v>0</v>
      </c>
      <c r="F475" s="121">
        <f t="shared" ref="F475:I475" si="31">SUM(F476:F478)</f>
        <v>0</v>
      </c>
      <c r="G475" s="121">
        <f t="shared" si="31"/>
        <v>0</v>
      </c>
      <c r="H475" s="121">
        <f t="shared" si="31"/>
        <v>0</v>
      </c>
      <c r="I475" s="121">
        <f t="shared" si="31"/>
        <v>0</v>
      </c>
    </row>
    <row r="476" spans="2:9" x14ac:dyDescent="0.2">
      <c r="B476" s="160">
        <v>33</v>
      </c>
      <c r="C476" s="305" t="s">
        <v>1274</v>
      </c>
      <c r="D476" s="82" t="s">
        <v>1419</v>
      </c>
      <c r="E476" s="72">
        <f>SUMIF(Adat!$AG:$AG,CONCATENATE(61,$M$4,"0981311",L441),Adat!$E:$E)*-1</f>
        <v>0</v>
      </c>
      <c r="F476" s="72">
        <f>SUMIF(Adat!$AG:$AG,CONCATENATE(60,$M$4,"0981311",L441),Adat!$E:$E)*-1+E476</f>
        <v>0</v>
      </c>
      <c r="G476" s="72">
        <f>SUMIF(Adat!$AH:$AH,CONCATENATE($M$4,"(KÖT)","0981311",L441),Adat!$E:$E)*-1</f>
        <v>0</v>
      </c>
      <c r="H476" s="72">
        <f>SUMIF(Adat!$AH:$AH,CONCATENATE($M$4,"(ÖNV)","0981311",L441),Adat!$E:$E)*-1</f>
        <v>0</v>
      </c>
      <c r="I476" s="72">
        <f>SUMIF(Adat!$AH:$AH,CONCATENATE($M$4,"(ÁIG)","0981311",L441),Adat!$E:$E)*-1</f>
        <v>0</v>
      </c>
    </row>
    <row r="477" spans="2:9" x14ac:dyDescent="0.25">
      <c r="B477" s="160">
        <v>34</v>
      </c>
      <c r="C477" s="305" t="s">
        <v>1420</v>
      </c>
      <c r="D477" s="84" t="s">
        <v>1421</v>
      </c>
      <c r="E477" s="72">
        <f>SUMIF(Adat!$AG:$AG,CONCATENATE(61,$M$4,"0981321",L441),Adat!$E:$E)*-1</f>
        <v>0</v>
      </c>
      <c r="F477" s="72">
        <f>SUMIF(Adat!$AG:$AG,CONCATENATE(60,$M$4,"0981321",L441),Adat!$E:$E)*-1+E477</f>
        <v>0</v>
      </c>
      <c r="G477" s="72">
        <f>SUMIF(Adat!$AH:$AH,CONCATENATE($M$4,"(KÖT)","0981321",L441),Adat!$E:$E)*-1</f>
        <v>0</v>
      </c>
      <c r="H477" s="72">
        <f>SUMIF(Adat!$AH:$AH,CONCATENATE($M$4,"(ÖNV)","0981321",L441),Adat!$E:$E)*-1</f>
        <v>0</v>
      </c>
      <c r="I477" s="72">
        <f>SUMIF(Adat!$AH:$AH,CONCATENATE($M$4,"(ÁIG)","0981321",L441),Adat!$E:$E)*-1</f>
        <v>0</v>
      </c>
    </row>
    <row r="478" spans="2:9" x14ac:dyDescent="0.25">
      <c r="B478" s="160">
        <v>35</v>
      </c>
      <c r="C478" s="319" t="s">
        <v>1275</v>
      </c>
      <c r="D478" s="84" t="s">
        <v>1501</v>
      </c>
      <c r="E478" s="72">
        <f>SUMIF(Adat!$AG:$AG,CONCATENATE(61,$M$4,"098161",L441),Adat!$E:$E)*-1</f>
        <v>0</v>
      </c>
      <c r="F478" s="72">
        <f>SUMIF(Adat!$AG:$AG,CONCATENATE(60,$M$4,"098161",L441),Adat!$E:$E)*-1+E478</f>
        <v>0</v>
      </c>
      <c r="G478" s="72">
        <f>SUMIF(Adat!$AH:$AH,CONCATENATE($M$4,"(KÖT)","098161",L441),Adat!$E:$E)*-1</f>
        <v>0</v>
      </c>
      <c r="H478" s="72">
        <f>SUMIF(Adat!$AH:$AH,CONCATENATE($M$4,"(ÖNV)","098161",L441),Adat!$E:$E)*-1</f>
        <v>0</v>
      </c>
      <c r="I478" s="72">
        <f>SUMIF(Adat!$AH:$AH,CONCATENATE($M$4,"(ÁIG)","098161",L441),Adat!$E:$E)*-1</f>
        <v>0</v>
      </c>
    </row>
    <row r="479" spans="2:9" x14ac:dyDescent="0.25">
      <c r="B479" s="160">
        <v>36</v>
      </c>
      <c r="C479" s="154" t="s">
        <v>364</v>
      </c>
      <c r="D479" s="159" t="s">
        <v>1502</v>
      </c>
      <c r="E479" s="121">
        <f>+E474+E475</f>
        <v>0</v>
      </c>
      <c r="F479" s="121">
        <f>+F474+F475</f>
        <v>0</v>
      </c>
      <c r="G479" s="121">
        <f>+G474+G475</f>
        <v>0</v>
      </c>
      <c r="H479" s="121">
        <f>+H474+H475</f>
        <v>0</v>
      </c>
      <c r="I479" s="121">
        <f>+I474+I475</f>
        <v>0</v>
      </c>
    </row>
    <row r="480" spans="2:9" ht="15.75" x14ac:dyDescent="0.25">
      <c r="B480" s="38"/>
      <c r="C480" s="156"/>
      <c r="D480" s="38"/>
      <c r="E480" s="140"/>
      <c r="F480" s="140"/>
      <c r="G480" s="140"/>
      <c r="H480" s="140"/>
      <c r="I480" s="140"/>
    </row>
    <row r="481" spans="2:12" s="10" customFormat="1" ht="15.75" customHeight="1" x14ac:dyDescent="0.25">
      <c r="B481" s="201" t="str">
        <f>CONCATENATE("16. Kiadási jogcímek"," - ",L481," részletező")</f>
        <v>16. Kiadási jogcímek -  részletező</v>
      </c>
      <c r="C481" s="101"/>
      <c r="D481" s="101"/>
      <c r="E481" s="101"/>
      <c r="F481" s="101"/>
      <c r="G481" s="198"/>
      <c r="H481" s="198"/>
      <c r="I481" s="198"/>
      <c r="L481" s="384"/>
    </row>
    <row r="482" spans="2:12" ht="15.75" x14ac:dyDescent="0.25">
      <c r="B482" s="38"/>
      <c r="C482" s="156"/>
      <c r="D482" s="38"/>
      <c r="E482" s="140"/>
      <c r="F482" s="140"/>
      <c r="G482" s="140"/>
      <c r="H482" s="140"/>
      <c r="I482" s="140"/>
    </row>
    <row r="483" spans="2:12" x14ac:dyDescent="0.25">
      <c r="B483" s="77"/>
      <c r="C483" s="77" t="s">
        <v>350</v>
      </c>
      <c r="D483" s="77" t="s">
        <v>351</v>
      </c>
      <c r="E483" s="77" t="s">
        <v>470</v>
      </c>
      <c r="F483" s="77" t="s">
        <v>471</v>
      </c>
      <c r="G483" s="77" t="s">
        <v>44</v>
      </c>
      <c r="H483" s="77" t="s">
        <v>42</v>
      </c>
      <c r="I483" s="77" t="s">
        <v>511</v>
      </c>
    </row>
    <row r="484" spans="2:12" ht="38.25" x14ac:dyDescent="0.25">
      <c r="B484" s="160">
        <v>1</v>
      </c>
      <c r="C484" s="154" t="s">
        <v>593</v>
      </c>
      <c r="D484" s="154" t="s">
        <v>488</v>
      </c>
      <c r="E484" s="163" t="str">
        <f>CONCATENATE(PAR!$H$3," évi
eredeti 
előirányzat")</f>
        <v>2025. évi
eredeti 
előirányzat</v>
      </c>
      <c r="F484" s="163" t="str">
        <f>CONCATENATE(PAR!$H$3," évi
módosított 
előirányzat")</f>
        <v>2025. évi
módosított 
előirányzat</v>
      </c>
      <c r="G484" s="78" t="s">
        <v>666</v>
      </c>
      <c r="H484" s="78" t="s">
        <v>667</v>
      </c>
      <c r="I484" s="78" t="s">
        <v>668</v>
      </c>
    </row>
    <row r="485" spans="2:12" x14ac:dyDescent="0.25">
      <c r="B485" s="160">
        <v>2</v>
      </c>
      <c r="C485" s="78" t="s">
        <v>352</v>
      </c>
      <c r="D485" s="92" t="s">
        <v>1444</v>
      </c>
      <c r="E485" s="121">
        <f>SUM(E486:E490)</f>
        <v>0</v>
      </c>
      <c r="F485" s="121">
        <f>SUM(F486:F490)</f>
        <v>0</v>
      </c>
      <c r="G485" s="121">
        <f>SUM(G486:G490)</f>
        <v>0</v>
      </c>
      <c r="H485" s="121">
        <f>SUM(H486:H490)</f>
        <v>0</v>
      </c>
      <c r="I485" s="121">
        <f>SUM(I486:I490)</f>
        <v>0</v>
      </c>
    </row>
    <row r="486" spans="2:12" x14ac:dyDescent="0.25">
      <c r="B486" s="160">
        <v>3</v>
      </c>
      <c r="C486" s="305" t="s">
        <v>315</v>
      </c>
      <c r="D486" s="93" t="s">
        <v>342</v>
      </c>
      <c r="E486" s="72">
        <f>SUMIF(Adat!$AI:$AI,CONCATENATE(61,$M$4,"051",L481),Adat!$E:$E)</f>
        <v>0</v>
      </c>
      <c r="F486" s="72">
        <f>SUMIF(Adat!$AI:$AI,CONCATENATE(60,$M$4,"051",L481),Adat!$E:$E)+E486</f>
        <v>0</v>
      </c>
      <c r="G486" s="72">
        <f>SUMIF(Adat!$AJ:$AJ,CONCATENATE($M$4,"051","(KÖT)",L481),Adat!$E:$E)</f>
        <v>0</v>
      </c>
      <c r="H486" s="72">
        <f>SUMIF(Adat!$AJ:$AJ,CONCATENATE($M$4,"051","(ÖNV)",L481),Adat!$E:$E)</f>
        <v>0</v>
      </c>
      <c r="I486" s="72">
        <f>SUMIF(Adat!$AJ:$AJ,CONCATENATE($M$4,"051","(ÁIG)",L481),Adat!$E:$E)</f>
        <v>0</v>
      </c>
    </row>
    <row r="487" spans="2:12" x14ac:dyDescent="0.25">
      <c r="B487" s="160">
        <v>4</v>
      </c>
      <c r="C487" s="305" t="s">
        <v>317</v>
      </c>
      <c r="D487" s="93" t="s">
        <v>395</v>
      </c>
      <c r="E487" s="72">
        <f>SUMIF(Adat!$AI:$AI,CONCATENATE(61,$M$4,"052",L481),Adat!$E:$E)</f>
        <v>0</v>
      </c>
      <c r="F487" s="72">
        <f>SUMIF(Adat!$AI:$AI,CONCATENATE(60,$M$4,"052",L481),Adat!$E:$E)+E487</f>
        <v>0</v>
      </c>
      <c r="G487" s="72">
        <f>SUMIF(Adat!$AJ:$AJ,CONCATENATE($M$4,"052","(KÖT)",L481),Adat!$E:$E)</f>
        <v>0</v>
      </c>
      <c r="H487" s="72">
        <f>SUMIF(Adat!$AJ:$AJ,CONCATENATE($M$4,"052","(ÖNV)",L481),Adat!$E:$E)</f>
        <v>0</v>
      </c>
      <c r="I487" s="72">
        <f>SUMIF(Adat!$AJ:$AJ,CONCATENATE($M$4,"052","(ÁIG)",L481),Adat!$E:$E)</f>
        <v>0</v>
      </c>
    </row>
    <row r="488" spans="2:12" x14ac:dyDescent="0.25">
      <c r="B488" s="160">
        <v>5</v>
      </c>
      <c r="C488" s="305" t="s">
        <v>4</v>
      </c>
      <c r="D488" s="93" t="s">
        <v>344</v>
      </c>
      <c r="E488" s="72">
        <f>SUMIF(Adat!$AI:$AI,CONCATENATE(61,$M$4,"053",L481),Adat!$E:$E)</f>
        <v>0</v>
      </c>
      <c r="F488" s="72">
        <f>SUMIF(Adat!$AI:$AI,CONCATENATE(60,$M$4,"053",L481),Adat!$E:$E)+E488</f>
        <v>0</v>
      </c>
      <c r="G488" s="72">
        <f>SUMIF(Adat!$AJ:$AJ,CONCATENATE($M$4,"053","(KÖT)",L481),Adat!$E:$E)</f>
        <v>0</v>
      </c>
      <c r="H488" s="72">
        <f>SUMIF(Adat!$AJ:$AJ,CONCATENATE($M$4,"053","(ÖNV)",L481),Adat!$E:$E)</f>
        <v>0</v>
      </c>
      <c r="I488" s="72">
        <f>SUMIF(Adat!$AJ:$AJ,CONCATENATE($M$4,"053","(ÁIG)",L481),Adat!$E:$E)</f>
        <v>0</v>
      </c>
    </row>
    <row r="489" spans="2:12" x14ac:dyDescent="0.25">
      <c r="B489" s="160">
        <v>6</v>
      </c>
      <c r="C489" s="305" t="s">
        <v>6</v>
      </c>
      <c r="D489" s="93" t="s">
        <v>345</v>
      </c>
      <c r="E489" s="72">
        <f>SUMIF(Adat!$AI:$AI,CONCATENATE(61,$M$4,"054",L481),Adat!$E:$E)</f>
        <v>0</v>
      </c>
      <c r="F489" s="72">
        <f>SUMIF(Adat!$AI:$AI,CONCATENATE(60,$M$4,"054",L481),Adat!$E:$E)+E489</f>
        <v>0</v>
      </c>
      <c r="G489" s="72">
        <f>SUMIF(Adat!$AJ:$AJ,CONCATENATE($M$4,"054","(KÖT)",L481),Adat!$E:$E)</f>
        <v>0</v>
      </c>
      <c r="H489" s="72">
        <f>SUMIF(Adat!$AJ:$AJ,CONCATENATE($M$4,"054","(ÖNV)",L481),Adat!$E:$E)</f>
        <v>0</v>
      </c>
      <c r="I489" s="72">
        <f>SUMIF(Adat!$AJ:$AJ,CONCATENATE($M$4,"054","(ÁIG)",L481),Adat!$E:$E)</f>
        <v>0</v>
      </c>
    </row>
    <row r="490" spans="2:12" x14ac:dyDescent="0.25">
      <c r="B490" s="160">
        <v>7</v>
      </c>
      <c r="C490" s="305" t="s">
        <v>8</v>
      </c>
      <c r="D490" s="93" t="s">
        <v>321</v>
      </c>
      <c r="E490" s="72">
        <f>SUMIF(Adat!$AI:$AI,CONCATENATE(61,$M$4,"055",L481),Adat!$E:$E)</f>
        <v>0</v>
      </c>
      <c r="F490" s="72">
        <f>SUMIF(Adat!$AI:$AI,CONCATENATE(60,$M$4,"055",L481),Adat!$E:$E)+E490</f>
        <v>0</v>
      </c>
      <c r="G490" s="72">
        <f>SUMIF(Adat!$AJ:$AJ,CONCATENATE($M$4,"055","(KÖT)",L481),Adat!$E:$E)</f>
        <v>0</v>
      </c>
      <c r="H490" s="72">
        <f>SUMIF(Adat!$AJ:$AJ,CONCATENATE($M$4,"055","(ÖNV)",L481),Adat!$E:$E)</f>
        <v>0</v>
      </c>
      <c r="I490" s="72">
        <f>SUMIF(Adat!$AJ:$AJ,CONCATENATE($M$4,"055","(ÁIG)",L481),Adat!$E:$E)</f>
        <v>0</v>
      </c>
    </row>
    <row r="491" spans="2:12" x14ac:dyDescent="0.25">
      <c r="B491" s="160">
        <v>8</v>
      </c>
      <c r="C491" s="78" t="s">
        <v>358</v>
      </c>
      <c r="D491" s="92" t="s">
        <v>1447</v>
      </c>
      <c r="E491" s="121">
        <f>E492+E494+E496</f>
        <v>0</v>
      </c>
      <c r="F491" s="121">
        <f>F492+F494+F496</f>
        <v>0</v>
      </c>
      <c r="G491" s="121">
        <f>G492+G494+G496</f>
        <v>0</v>
      </c>
      <c r="H491" s="121">
        <f>H492+H494+H496</f>
        <v>0</v>
      </c>
      <c r="I491" s="121">
        <f>I492+I494+I496</f>
        <v>0</v>
      </c>
    </row>
    <row r="492" spans="2:12" x14ac:dyDescent="0.25">
      <c r="B492" s="160">
        <v>9</v>
      </c>
      <c r="C492" s="305" t="s">
        <v>10</v>
      </c>
      <c r="D492" s="93" t="s">
        <v>322</v>
      </c>
      <c r="E492" s="72">
        <f>SUMIF(Adat!$AI:$AI,CONCATENATE(61,$M$4,"056",L481),Adat!$E:$E)</f>
        <v>0</v>
      </c>
      <c r="F492" s="72">
        <f>SUMIF(Adat!$AI:$AI,CONCATENATE(60,$M$4,"056",L481),Adat!$E:$E)+E492</f>
        <v>0</v>
      </c>
      <c r="G492" s="72">
        <f>SUMIF(Adat!$AJ:$AJ,CONCATENATE($M$4,"056","(KÖT)",L481),Adat!$E:$E)</f>
        <v>0</v>
      </c>
      <c r="H492" s="72">
        <f>SUMIF(Adat!$AJ:$AJ,CONCATENATE($M$4,"056","(ÖNV)",L481),Adat!$E:$E)</f>
        <v>0</v>
      </c>
      <c r="I492" s="72">
        <f>SUMIF(Adat!$AJ:$AJ,CONCATENATE($M$4,"056","(ÁIG)",L481),Adat!$E:$E)</f>
        <v>0</v>
      </c>
    </row>
    <row r="493" spans="2:12" x14ac:dyDescent="0.25">
      <c r="B493" s="160">
        <v>10</v>
      </c>
      <c r="C493" s="305" t="s">
        <v>10</v>
      </c>
      <c r="D493" s="93" t="s">
        <v>1448</v>
      </c>
      <c r="E493" s="72">
        <v>0</v>
      </c>
      <c r="F493" s="72">
        <f>SUM(G493:I493)</f>
        <v>0</v>
      </c>
      <c r="G493" s="72">
        <v>0</v>
      </c>
      <c r="H493" s="72">
        <v>0</v>
      </c>
      <c r="I493" s="72">
        <v>0</v>
      </c>
    </row>
    <row r="494" spans="2:12" x14ac:dyDescent="0.25">
      <c r="B494" s="160">
        <v>11</v>
      </c>
      <c r="C494" s="305" t="s">
        <v>12</v>
      </c>
      <c r="D494" s="93" t="s">
        <v>323</v>
      </c>
      <c r="E494" s="72">
        <f>SUMIF(Adat!$AI:$AI,CONCATENATE(61,$M$4,"057",L481),Adat!$E:$E)</f>
        <v>0</v>
      </c>
      <c r="F494" s="72">
        <f>SUMIF(Adat!$AI:$AI,CONCATENATE(60,$M$4,"057",L481),Adat!$E:$E)+E494</f>
        <v>0</v>
      </c>
      <c r="G494" s="72">
        <f>SUMIF(Adat!$AJ:$AJ,CONCATENATE($M$4,"057","(KÖT)",L481),Adat!$E:$E)</f>
        <v>0</v>
      </c>
      <c r="H494" s="72">
        <f>SUMIF(Adat!$AJ:$AJ,CONCATENATE($M$4,"057","(ÖNV)",L481),Adat!$E:$E)</f>
        <v>0</v>
      </c>
      <c r="I494" s="72">
        <f>SUMIF(Adat!$AJ:$AJ,CONCATENATE($M$4,"057","(ÁIG)",L481),Adat!$E:$E)</f>
        <v>0</v>
      </c>
    </row>
    <row r="495" spans="2:12" x14ac:dyDescent="0.25">
      <c r="B495" s="160">
        <v>12</v>
      </c>
      <c r="C495" s="305" t="s">
        <v>12</v>
      </c>
      <c r="D495" s="93" t="s">
        <v>1449</v>
      </c>
      <c r="E495" s="72">
        <v>0</v>
      </c>
      <c r="F495" s="72">
        <f>SUM(G495:I495)</f>
        <v>0</v>
      </c>
      <c r="G495" s="72">
        <v>0</v>
      </c>
      <c r="H495" s="72">
        <v>0</v>
      </c>
      <c r="I495" s="72">
        <v>0</v>
      </c>
    </row>
    <row r="496" spans="2:12" x14ac:dyDescent="0.25">
      <c r="B496" s="160">
        <v>13</v>
      </c>
      <c r="C496" s="305" t="s">
        <v>15</v>
      </c>
      <c r="D496" s="84" t="s">
        <v>324</v>
      </c>
      <c r="E496" s="72">
        <f>SUMIF(Adat!$AI:$AI,CONCATENATE(61,$M$4,"058",L481),Adat!$E:$E)</f>
        <v>0</v>
      </c>
      <c r="F496" s="72">
        <f>SUMIF(Adat!$AI:$AI,CONCATENATE(60,$M$4,"058",L481),Adat!$E:$E)+E496</f>
        <v>0</v>
      </c>
      <c r="G496" s="72">
        <f>SUMIF(Adat!$AJ:$AJ,CONCATENATE($M$4,"058","(KÖT)",L481),Adat!$E:$E)</f>
        <v>0</v>
      </c>
      <c r="H496" s="72">
        <f>SUMIF(Adat!$AJ:$AJ,CONCATENATE($M$4,"058","(ÖNV)",L481),Adat!$E:$E)</f>
        <v>0</v>
      </c>
      <c r="I496" s="72">
        <f>SUMIF(Adat!$AJ:$AJ,CONCATENATE($M$4,"058","(ÁIG)",L481),Adat!$E:$E)</f>
        <v>0</v>
      </c>
    </row>
    <row r="497" spans="2:12" x14ac:dyDescent="0.25">
      <c r="B497" s="160">
        <v>14</v>
      </c>
      <c r="C497" s="154" t="s">
        <v>364</v>
      </c>
      <c r="D497" s="86" t="s">
        <v>325</v>
      </c>
      <c r="E497" s="71">
        <f>SUMIF(Adat!$AI:$AI,CONCATENATE(61,$M$4,"059",L481),Adat!$E:$E)</f>
        <v>0</v>
      </c>
      <c r="F497" s="71">
        <f>SUMIF(Adat!$AI:$AI,CONCATENATE(60,$M$4,"059",L481),Adat!$E:$E)+E497</f>
        <v>0</v>
      </c>
      <c r="G497" s="71">
        <f>SUMIF(Adat!$AJ:$AJ,CONCATENATE($M$4,"059","(KÖT)",L481),Adat!$E:$E)</f>
        <v>0</v>
      </c>
      <c r="H497" s="71">
        <f>SUMIF(Adat!$AJ:$AJ,CONCATENATE($M$4,"059","(ÖNV)",L481),Adat!$E:$E)</f>
        <v>0</v>
      </c>
      <c r="I497" s="71">
        <f>SUMIF(Adat!$AJ:$AJ,CONCATENATE($M$4,"059","(ÁIG)",L481),Adat!$E:$E)</f>
        <v>0</v>
      </c>
    </row>
    <row r="498" spans="2:12" x14ac:dyDescent="0.25">
      <c r="B498" s="160">
        <v>15</v>
      </c>
      <c r="C498" s="154" t="s">
        <v>403</v>
      </c>
      <c r="D498" s="159" t="s">
        <v>497</v>
      </c>
      <c r="E498" s="121">
        <f>E485+E491+E497</f>
        <v>0</v>
      </c>
      <c r="F498" s="121">
        <f>F485+F491+F497</f>
        <v>0</v>
      </c>
      <c r="G498" s="121">
        <f>G485+G491+G497</f>
        <v>0</v>
      </c>
      <c r="H498" s="121">
        <f>H485+H491+H497</f>
        <v>0</v>
      </c>
      <c r="I498" s="121">
        <f>I485+I491+I497</f>
        <v>0</v>
      </c>
    </row>
    <row r="499" spans="2:12" ht="15.75" x14ac:dyDescent="0.25">
      <c r="B499" s="37"/>
      <c r="C499" s="529"/>
      <c r="D499" s="529"/>
      <c r="E499" s="529"/>
      <c r="F499" s="200"/>
      <c r="G499" s="200"/>
      <c r="H499" s="200"/>
      <c r="I499" s="200"/>
    </row>
    <row r="500" spans="2:12" ht="15.75" x14ac:dyDescent="0.25">
      <c r="B500" s="525" t="str">
        <f>$N$4</f>
        <v>Gondozási Központ</v>
      </c>
      <c r="C500" s="525"/>
      <c r="D500" s="525"/>
      <c r="E500" s="525"/>
      <c r="F500" s="525"/>
      <c r="G500" s="525"/>
      <c r="H500" s="525"/>
      <c r="I500" s="525"/>
    </row>
    <row r="501" spans="2:12" ht="15.75" x14ac:dyDescent="0.25">
      <c r="B501" s="525" t="s">
        <v>2660</v>
      </c>
      <c r="C501" s="525"/>
      <c r="D501" s="525"/>
      <c r="E501" s="525"/>
      <c r="F501" s="525"/>
      <c r="G501" s="525"/>
      <c r="H501" s="525"/>
      <c r="I501" s="525"/>
    </row>
    <row r="502" spans="2:12" ht="15.75" x14ac:dyDescent="0.25">
      <c r="B502" s="38"/>
      <c r="C502" s="156"/>
      <c r="D502" s="38"/>
      <c r="E502" s="140"/>
      <c r="F502" s="140"/>
      <c r="G502" s="140"/>
      <c r="H502" s="140"/>
      <c r="I502" s="140"/>
    </row>
    <row r="503" spans="2:12" s="10" customFormat="1" ht="15.75" customHeight="1" x14ac:dyDescent="0.25">
      <c r="B503" s="201" t="str">
        <f>CONCATENATE("17. Bevételi jogcímek"," - ",L503," részletező")</f>
        <v>17. Bevételi jogcímek -  részletező</v>
      </c>
      <c r="C503" s="101"/>
      <c r="D503" s="101"/>
      <c r="E503" s="101"/>
      <c r="F503" s="101"/>
      <c r="G503" s="198"/>
      <c r="H503" s="198"/>
      <c r="I503" s="198"/>
      <c r="L503" s="384"/>
    </row>
    <row r="504" spans="2:12" ht="15.75" x14ac:dyDescent="0.25">
      <c r="B504" s="38"/>
      <c r="C504" s="156"/>
      <c r="D504" s="38"/>
      <c r="E504" s="140"/>
      <c r="F504" s="140"/>
      <c r="G504" s="140"/>
      <c r="H504" s="140"/>
      <c r="I504" s="140"/>
    </row>
    <row r="505" spans="2:12" x14ac:dyDescent="0.25">
      <c r="B505" s="77"/>
      <c r="C505" s="77" t="s">
        <v>350</v>
      </c>
      <c r="D505" s="77" t="s">
        <v>351</v>
      </c>
      <c r="E505" s="77" t="s">
        <v>470</v>
      </c>
      <c r="F505" s="77" t="s">
        <v>471</v>
      </c>
      <c r="G505" s="77" t="s">
        <v>44</v>
      </c>
      <c r="H505" s="77" t="s">
        <v>42</v>
      </c>
      <c r="I505" s="77" t="s">
        <v>511</v>
      </c>
    </row>
    <row r="506" spans="2:12" ht="38.25" x14ac:dyDescent="0.25">
      <c r="B506" s="160">
        <v>1</v>
      </c>
      <c r="C506" s="154" t="s">
        <v>593</v>
      </c>
      <c r="D506" s="154" t="s">
        <v>488</v>
      </c>
      <c r="E506" s="163" t="str">
        <f>CONCATENATE(PAR!$H$3," évi
eredeti 
előirányzat")</f>
        <v>2025. évi
eredeti 
előirányzat</v>
      </c>
      <c r="F506" s="163" t="str">
        <f>CONCATENATE(PAR!$H$3," évi
módosított 
előirányzat")</f>
        <v>2025. évi
módosított 
előirányzat</v>
      </c>
      <c r="G506" s="78" t="s">
        <v>666</v>
      </c>
      <c r="H506" s="78" t="s">
        <v>667</v>
      </c>
      <c r="I506" s="78" t="s">
        <v>668</v>
      </c>
    </row>
    <row r="507" spans="2:12" x14ac:dyDescent="0.25">
      <c r="B507" s="160">
        <v>2</v>
      </c>
      <c r="C507" s="79" t="s">
        <v>30</v>
      </c>
      <c r="D507" s="79" t="s">
        <v>329</v>
      </c>
      <c r="E507" s="121">
        <f>SUM(E508:E520)</f>
        <v>0</v>
      </c>
      <c r="F507" s="121">
        <f t="shared" ref="F507:I507" si="32">SUM(F508:F520)</f>
        <v>0</v>
      </c>
      <c r="G507" s="121">
        <f t="shared" si="32"/>
        <v>0</v>
      </c>
      <c r="H507" s="121">
        <f t="shared" si="32"/>
        <v>0</v>
      </c>
      <c r="I507" s="121">
        <f t="shared" si="32"/>
        <v>0</v>
      </c>
    </row>
    <row r="508" spans="2:12" x14ac:dyDescent="0.2">
      <c r="B508" s="160">
        <v>3</v>
      </c>
      <c r="C508" s="305" t="s">
        <v>1309</v>
      </c>
      <c r="D508" s="82" t="s">
        <v>1356</v>
      </c>
      <c r="E508" s="72">
        <f>SUMIF(Adat!$AG:$AG,CONCATENATE(61,$M$4,"094011",L503),Adat!$E:$E)*-1</f>
        <v>0</v>
      </c>
      <c r="F508" s="72">
        <f>SUMIF(Adat!$AG:$AG,CONCATENATE(60,$M$4,"094011",L503),Adat!$E:$E)*-1+E508</f>
        <v>0</v>
      </c>
      <c r="G508" s="72">
        <f>SUMIF(Adat!$AH:$AH,CONCATENATE($M$4,"(KÖT)","094011",L503),Adat!$E:$E)*-1</f>
        <v>0</v>
      </c>
      <c r="H508" s="72">
        <f>SUMIF(Adat!$AH:$AH,CONCATENATE($M$4,"(ÖNV)","094011",L503),Adat!$E:$E)*-1</f>
        <v>0</v>
      </c>
      <c r="I508" s="72">
        <f>SUMIF(Adat!$AH:$AH,CONCATENATE($M$4,"(ÁIG)","094011",L503),Adat!$E:$E)*-1</f>
        <v>0</v>
      </c>
    </row>
    <row r="509" spans="2:12" x14ac:dyDescent="0.2">
      <c r="B509" s="160">
        <v>4</v>
      </c>
      <c r="C509" s="305" t="s">
        <v>1279</v>
      </c>
      <c r="D509" s="82" t="s">
        <v>1357</v>
      </c>
      <c r="E509" s="72">
        <f>SUMIF(Adat!$AG:$AG,CONCATENATE(61,$M$4,"094021",L503),Adat!$E:$E)*-1</f>
        <v>0</v>
      </c>
      <c r="F509" s="72">
        <f>SUMIF(Adat!$AG:$AG,CONCATENATE(60,$M$4,"094021",L503),Adat!$E:$E)*-1+E509</f>
        <v>0</v>
      </c>
      <c r="G509" s="72">
        <f>SUMIF(Adat!$AH:$AH,CONCATENATE($M$4,"(KÖT)","094021",L503),Adat!$E:$E)*-1</f>
        <v>0</v>
      </c>
      <c r="H509" s="72">
        <f>SUMIF(Adat!$AH:$AH,CONCATENATE($M$4,"(ÖNV)","094021",L503),Adat!$E:$E)*-1</f>
        <v>0</v>
      </c>
      <c r="I509" s="72">
        <f>SUMIF(Adat!$AH:$AH,CONCATENATE($M$4,"(ÁIG)","094021",L503),Adat!$E:$E)*-1</f>
        <v>0</v>
      </c>
    </row>
    <row r="510" spans="2:12" x14ac:dyDescent="0.2">
      <c r="B510" s="160">
        <v>5</v>
      </c>
      <c r="C510" s="305" t="s">
        <v>1272</v>
      </c>
      <c r="D510" s="82" t="s">
        <v>1358</v>
      </c>
      <c r="E510" s="72">
        <f>SUMIF(Adat!$AG:$AG,CONCATENATE(61,$M$4,"094031",L503),Adat!$E:$E)*-1</f>
        <v>0</v>
      </c>
      <c r="F510" s="72">
        <f>SUMIF(Adat!$AG:$AG,CONCATENATE(60,$M$4,"094031",L503),Adat!$E:$E)*-1+E510</f>
        <v>0</v>
      </c>
      <c r="G510" s="72">
        <f>SUMIF(Adat!$AH:$AH,CONCATENATE($M$4,"(KÖT)","094031",L503),Adat!$E:$E)*-1</f>
        <v>0</v>
      </c>
      <c r="H510" s="72">
        <f>SUMIF(Adat!$AH:$AH,CONCATENATE($M$4,"(ÖNV)","094031",L503),Adat!$E:$E)*-1</f>
        <v>0</v>
      </c>
      <c r="I510" s="72">
        <f>SUMIF(Adat!$AH:$AH,CONCATENATE($M$4,"(ÁIG)","094031",L503),Adat!$E:$E)*-1</f>
        <v>0</v>
      </c>
    </row>
    <row r="511" spans="2:12" x14ac:dyDescent="0.2">
      <c r="B511" s="160">
        <v>6</v>
      </c>
      <c r="C511" s="305" t="s">
        <v>1359</v>
      </c>
      <c r="D511" s="82" t="s">
        <v>1360</v>
      </c>
      <c r="E511" s="72">
        <f>SUMIF(Adat!$AG:$AG,CONCATENATE(61,$M$4,"094041",L503),Adat!$E:$E)*-1</f>
        <v>0</v>
      </c>
      <c r="F511" s="72">
        <f>SUMIF(Adat!$AG:$AG,CONCATENATE(60,$M$4,"094041",L503),Adat!$E:$E)*-1+E511</f>
        <v>0</v>
      </c>
      <c r="G511" s="72">
        <f>SUMIF(Adat!$AH:$AH,CONCATENATE($M$4,"(KÖT)","094041",L503),Adat!$E:$E)*-1</f>
        <v>0</v>
      </c>
      <c r="H511" s="72">
        <f>SUMIF(Adat!$AH:$AH,CONCATENATE($M$4,"(ÖNV)","094041",L503),Adat!$E:$E)*-1</f>
        <v>0</v>
      </c>
      <c r="I511" s="72">
        <f>SUMIF(Adat!$AH:$AH,CONCATENATE($M$4,"(ÁIG)","094041",L503),Adat!$E:$E)*-1</f>
        <v>0</v>
      </c>
    </row>
    <row r="512" spans="2:12" x14ac:dyDescent="0.2">
      <c r="B512" s="160">
        <v>7</v>
      </c>
      <c r="C512" s="305" t="s">
        <v>1261</v>
      </c>
      <c r="D512" s="82" t="s">
        <v>1361</v>
      </c>
      <c r="E512" s="72">
        <f>SUMIF(Adat!$AG:$AG,CONCATENATE(61,$M$4,"094051",L503),Adat!$E:$E)*-1</f>
        <v>0</v>
      </c>
      <c r="F512" s="72">
        <f>SUMIF(Adat!$AG:$AG,CONCATENATE(60,$M$4,"094051",L503),Adat!$E:$E)*-1+E512</f>
        <v>0</v>
      </c>
      <c r="G512" s="72">
        <f>SUMIF(Adat!$AH:$AH,CONCATENATE($M$4,"(KÖT)","094051",L503),Adat!$E:$E)*-1</f>
        <v>0</v>
      </c>
      <c r="H512" s="72">
        <f>SUMIF(Adat!$AH:$AH,CONCATENATE($M$4,"(ÖNV)","094051",L503),Adat!$E:$E)*-1</f>
        <v>0</v>
      </c>
      <c r="I512" s="72">
        <f>SUMIF(Adat!$AH:$AH,CONCATENATE($M$4,"(ÁIG)","094051",L503),Adat!$E:$E)*-1</f>
        <v>0</v>
      </c>
    </row>
    <row r="513" spans="2:9" x14ac:dyDescent="0.2">
      <c r="B513" s="160">
        <v>8</v>
      </c>
      <c r="C513" s="305" t="s">
        <v>1273</v>
      </c>
      <c r="D513" s="82" t="s">
        <v>1362</v>
      </c>
      <c r="E513" s="72">
        <f>SUMIF(Adat!$AG:$AG,CONCATENATE(61,$M$4,"094061",L503),Adat!$E:$E)*-1</f>
        <v>0</v>
      </c>
      <c r="F513" s="72">
        <f>SUMIF(Adat!$AG:$AG,CONCATENATE(60,$M$4,"094061",L503),Adat!$E:$E)*-1+E513</f>
        <v>0</v>
      </c>
      <c r="G513" s="72">
        <f>SUMIF(Adat!$AH:$AH,CONCATENATE($M$4,"(KÖT)","094061",L503),Adat!$E:$E)*-1</f>
        <v>0</v>
      </c>
      <c r="H513" s="72">
        <f>SUMIF(Adat!$AH:$AH,CONCATENATE($M$4,"(ÖNV)","094061",L503),Adat!$E:$E)*-1</f>
        <v>0</v>
      </c>
      <c r="I513" s="72">
        <f>SUMIF(Adat!$AH:$AH,CONCATENATE($M$4,"(ÁIG)","094061",L503),Adat!$E:$E)*-1</f>
        <v>0</v>
      </c>
    </row>
    <row r="514" spans="2:9" x14ac:dyDescent="0.2">
      <c r="B514" s="160">
        <v>9</v>
      </c>
      <c r="C514" s="305" t="s">
        <v>1363</v>
      </c>
      <c r="D514" s="82" t="s">
        <v>1364</v>
      </c>
      <c r="E514" s="72">
        <f>SUMIF(Adat!$AG:$AG,CONCATENATE(61,$M$4,"094071",L503),Adat!$E:$E)*-1</f>
        <v>0</v>
      </c>
      <c r="F514" s="72">
        <f>SUMIF(Adat!$AG:$AG,CONCATENATE(60,$M$4,"094071",L503),Adat!$E:$E)*-1+E514</f>
        <v>0</v>
      </c>
      <c r="G514" s="72">
        <f>SUMIF(Adat!$AH:$AH,CONCATENATE($M$4,"(KÖT)","094071",L503),Adat!$E:$E)*-1</f>
        <v>0</v>
      </c>
      <c r="H514" s="72">
        <f>SUMIF(Adat!$AH:$AH,CONCATENATE($M$4,"(ÖNV)","094071",L503),Adat!$E:$E)*-1</f>
        <v>0</v>
      </c>
      <c r="I514" s="72">
        <f>SUMIF(Adat!$AH:$AH,CONCATENATE($M$4,"(ÁIG)","094071",L503),Adat!$E:$E)*-1</f>
        <v>0</v>
      </c>
    </row>
    <row r="515" spans="2:9" x14ac:dyDescent="0.2">
      <c r="B515" s="160">
        <v>10</v>
      </c>
      <c r="C515" s="305" t="s">
        <v>1306</v>
      </c>
      <c r="D515" s="82" t="s">
        <v>1365</v>
      </c>
      <c r="E515" s="72">
        <f>SUMIF(Adat!$AG:$AG,CONCATENATE(61,$M$4,"0940811",L503),Adat!$E:$E)*-1</f>
        <v>0</v>
      </c>
      <c r="F515" s="72">
        <f>SUMIF(Adat!$AG:$AG,CONCATENATE(60,$M$4,"0940811",L503),Adat!$E:$E)*-1+E515</f>
        <v>0</v>
      </c>
      <c r="G515" s="72">
        <f>SUMIF(Adat!$AH:$AH,CONCATENATE($M$4,"(KÖT)","0940811",L503),Adat!$E:$E)*-1</f>
        <v>0</v>
      </c>
      <c r="H515" s="72">
        <f>SUMIF(Adat!$AH:$AH,CONCATENATE($M$4,"(ÖNV)","0940811",L503),Adat!$E:$E)*-1</f>
        <v>0</v>
      </c>
      <c r="I515" s="72">
        <f>SUMIF(Adat!$AH:$AH,CONCATENATE($M$4,"(ÁIG)","0940811",L503),Adat!$E:$E)*-1</f>
        <v>0</v>
      </c>
    </row>
    <row r="516" spans="2:9" x14ac:dyDescent="0.2">
      <c r="B516" s="160">
        <v>11</v>
      </c>
      <c r="C516" s="305" t="s">
        <v>1295</v>
      </c>
      <c r="D516" s="82" t="s">
        <v>1366</v>
      </c>
      <c r="E516" s="72">
        <f>SUMIF(Adat!$AG:$AG,CONCATENATE(61,$M$4,"0940821",L503),Adat!$E:$E)*-1</f>
        <v>0</v>
      </c>
      <c r="F516" s="72">
        <f>SUMIF(Adat!$AG:$AG,CONCATENATE(60,$M$4,"0940821",L503),Adat!$E:$E)*-1+E516</f>
        <v>0</v>
      </c>
      <c r="G516" s="72">
        <f>SUMIF(Adat!$AH:$AH,CONCATENATE($M$4,"(KÖT)","0940821",L503),Adat!$E:$E)*-1</f>
        <v>0</v>
      </c>
      <c r="H516" s="72">
        <f>SUMIF(Adat!$AH:$AH,CONCATENATE($M$4,"(ÖNV)","0940821",L503),Adat!$E:$E)*-1</f>
        <v>0</v>
      </c>
      <c r="I516" s="72">
        <f>SUMIF(Adat!$AH:$AH,CONCATENATE($M$4,"(ÁIG)","0940821",L503),Adat!$E:$E)*-1</f>
        <v>0</v>
      </c>
    </row>
    <row r="517" spans="2:9" x14ac:dyDescent="0.2">
      <c r="B517" s="160">
        <v>12</v>
      </c>
      <c r="C517" s="305" t="s">
        <v>1367</v>
      </c>
      <c r="D517" s="82" t="s">
        <v>1368</v>
      </c>
      <c r="E517" s="72">
        <f>SUMIF(Adat!$AG:$AG,CONCATENATE(61,$M$4,"0940911",L503),Adat!$E:$E)*-1</f>
        <v>0</v>
      </c>
      <c r="F517" s="72">
        <f>SUMIF(Adat!$AG:$AG,CONCATENATE(60,$M$4,"0940911",L503),Adat!$E:$E)*-1+E517</f>
        <v>0</v>
      </c>
      <c r="G517" s="72">
        <f>SUMIF(Adat!$AH:$AH,CONCATENATE($M$4,"(KÖT)","0940911",L503),Adat!$E:$E)*-1</f>
        <v>0</v>
      </c>
      <c r="H517" s="72">
        <f>SUMIF(Adat!$AH:$AH,CONCATENATE($M$4,"(ÖNV)","0940911",L503),Adat!$E:$E)*-1</f>
        <v>0</v>
      </c>
      <c r="I517" s="72">
        <f>SUMIF(Adat!$AH:$AH,CONCATENATE($M$4,"(ÁIG)","0940911",L503),Adat!$E:$E)*-1</f>
        <v>0</v>
      </c>
    </row>
    <row r="518" spans="2:9" x14ac:dyDescent="0.2">
      <c r="B518" s="160">
        <v>13</v>
      </c>
      <c r="C518" s="305" t="s">
        <v>1369</v>
      </c>
      <c r="D518" s="82" t="s">
        <v>1370</v>
      </c>
      <c r="E518" s="72">
        <f>SUMIF(Adat!$AG:$AG,CONCATENATE(61,$M$4,"0940921",L503),Adat!$E:$E)*-1</f>
        <v>0</v>
      </c>
      <c r="F518" s="72">
        <f>SUMIF(Adat!$AG:$AG,CONCATENATE(60,$M$4,"0940921",L503),Adat!$E:$E)*-1+E518</f>
        <v>0</v>
      </c>
      <c r="G518" s="72">
        <f>SUMIF(Adat!$AH:$AH,CONCATENATE($M$4,"(KÖT)","0940921",L503),Adat!$E:$E)*-1</f>
        <v>0</v>
      </c>
      <c r="H518" s="72">
        <f>SUMIF(Adat!$AH:$AH,CONCATENATE($M$4,"(ÖNV)","0940921",L503),Adat!$E:$E)*-1</f>
        <v>0</v>
      </c>
      <c r="I518" s="72">
        <f>SUMIF(Adat!$AH:$AH,CONCATENATE($M$4,"(ÁIG)","0940921",L503),Adat!$E:$E)*-1</f>
        <v>0</v>
      </c>
    </row>
    <row r="519" spans="2:9" x14ac:dyDescent="0.2">
      <c r="B519" s="160">
        <v>14</v>
      </c>
      <c r="C519" s="305" t="s">
        <v>1296</v>
      </c>
      <c r="D519" s="82" t="s">
        <v>1371</v>
      </c>
      <c r="E519" s="72">
        <f>SUMIF(Adat!$AG:$AG,CONCATENATE(61,$M$4,"094101",L503),Adat!$E:$E)*-1</f>
        <v>0</v>
      </c>
      <c r="F519" s="72">
        <f>SUMIF(Adat!$AG:$AG,CONCATENATE(60,$M$4,"094101",L503),Adat!$E:$E)*-1+E519</f>
        <v>0</v>
      </c>
      <c r="G519" s="72">
        <f>SUMIF(Adat!$AH:$AH,CONCATENATE($M$4,"(KÖT)","094101",L503),Adat!$E:$E)*-1</f>
        <v>0</v>
      </c>
      <c r="H519" s="72">
        <f>SUMIF(Adat!$AH:$AH,CONCATENATE($M$4,"(ÖNV)","094101",L503),Adat!$E:$E)*-1</f>
        <v>0</v>
      </c>
      <c r="I519" s="72">
        <f>SUMIF(Adat!$AH:$AH,CONCATENATE($M$4,"(ÁIG)","094101",L503),Adat!$E:$E)*-1</f>
        <v>0</v>
      </c>
    </row>
    <row r="520" spans="2:9" x14ac:dyDescent="0.25">
      <c r="B520" s="160">
        <v>15</v>
      </c>
      <c r="C520" s="305" t="s">
        <v>1297</v>
      </c>
      <c r="D520" s="84" t="s">
        <v>1372</v>
      </c>
      <c r="E520" s="72">
        <f>SUMIF(Adat!$AG:$AG,CONCATENATE(61,$M$4,"094111",L503),Adat!$E:$E)*-1</f>
        <v>0</v>
      </c>
      <c r="F520" s="72">
        <f>SUMIF(Adat!$AG:$AG,CONCATENATE(60,$M$4,"094111",L503),Adat!$E:$E)*-1+E520</f>
        <v>0</v>
      </c>
      <c r="G520" s="72">
        <f>SUMIF(Adat!$AH:$AH,CONCATENATE($M$4,"(KÖT)","094111",L503),Adat!$E:$E)*-1</f>
        <v>0</v>
      </c>
      <c r="H520" s="72">
        <f>SUMIF(Adat!$AH:$AH,CONCATENATE($M$4,"(ÖNV)","094111",L503),Adat!$E:$E)*-1</f>
        <v>0</v>
      </c>
      <c r="I520" s="72">
        <f>SUMIF(Adat!$AH:$AH,CONCATENATE($M$4,"(ÁIG)","094111",L503),Adat!$E:$E)*-1</f>
        <v>0</v>
      </c>
    </row>
    <row r="521" spans="2:9" x14ac:dyDescent="0.25">
      <c r="B521" s="160">
        <v>16</v>
      </c>
      <c r="C521" s="78" t="s">
        <v>1328</v>
      </c>
      <c r="D521" s="85" t="s">
        <v>437</v>
      </c>
      <c r="E521" s="121">
        <f>SUM(E522:E524)</f>
        <v>0</v>
      </c>
      <c r="F521" s="121">
        <f>SUM(F522:F524)</f>
        <v>0</v>
      </c>
      <c r="G521" s="121">
        <f>SUM(G522:G524)</f>
        <v>0</v>
      </c>
      <c r="H521" s="121">
        <f>SUM(H522:H524)</f>
        <v>0</v>
      </c>
      <c r="I521" s="121">
        <f>SUM(I522:I524)</f>
        <v>0</v>
      </c>
    </row>
    <row r="522" spans="2:9" x14ac:dyDescent="0.2">
      <c r="B522" s="160">
        <v>17</v>
      </c>
      <c r="C522" s="305" t="s">
        <v>1329</v>
      </c>
      <c r="D522" s="82" t="s">
        <v>1330</v>
      </c>
      <c r="E522" s="72">
        <f>SUMIF(Adat!$AG:$AG,CONCATENATE(61,$M$4,"09121",L503),Adat!$E:$E)*-1</f>
        <v>0</v>
      </c>
      <c r="F522" s="72">
        <f>SUMIF(Adat!$AG:$AG,CONCATENATE(60,$M$4,"09121",L503),Adat!$E:$E)*-1+E522</f>
        <v>0</v>
      </c>
      <c r="G522" s="72">
        <f>SUMIF(Adat!$AH:$AH,CONCATENATE($M$4,"(KÖT)","09121",L503),Adat!$E:$E)*-1</f>
        <v>0</v>
      </c>
      <c r="H522" s="72">
        <f>SUMIF(Adat!$AH:$AH,CONCATENATE($M$4,"(ÖNV)","09121",L503),Adat!$E:$E)*-1</f>
        <v>0</v>
      </c>
      <c r="I522" s="72">
        <f>SUMIF(Adat!$AH:$AH,CONCATENATE($M$4,"(ÁIG)","09121",L503),Adat!$E:$E)*-1</f>
        <v>0</v>
      </c>
    </row>
    <row r="523" spans="2:9" x14ac:dyDescent="0.2">
      <c r="B523" s="160">
        <v>18</v>
      </c>
      <c r="C523" s="305" t="s">
        <v>1335</v>
      </c>
      <c r="D523" s="82" t="s">
        <v>1336</v>
      </c>
      <c r="E523" s="72">
        <f>SUMIF(Adat!$AG:$AG,CONCATENATE(61,$M$4,"09151",L503),Adat!$E:$E)*-1</f>
        <v>0</v>
      </c>
      <c r="F523" s="72">
        <f>SUMIF(Adat!$AG:$AG,CONCATENATE(60,$M$4,"09151",L503),Adat!$E:$E)*-1+E523</f>
        <v>0</v>
      </c>
      <c r="G523" s="72">
        <f>SUMIF(Adat!$AH:$AH,CONCATENATE($M$4,"(KÖT)","09151",L503),Adat!$E:$E)*-1</f>
        <v>0</v>
      </c>
      <c r="H523" s="72">
        <f>SUMIF(Adat!$AH:$AH,CONCATENATE($M$4,"(ÖNV)","09151",L503),Adat!$E:$E)*-1</f>
        <v>0</v>
      </c>
      <c r="I523" s="72">
        <f>SUMIF(Adat!$AH:$AH,CONCATENATE($M$4,"(ÁIG)","09151",L503),Adat!$E:$E)*-1</f>
        <v>0</v>
      </c>
    </row>
    <row r="524" spans="2:9" x14ac:dyDescent="0.2">
      <c r="B524" s="160">
        <v>19</v>
      </c>
      <c r="C524" s="305" t="s">
        <v>1278</v>
      </c>
      <c r="D524" s="82" t="s">
        <v>1337</v>
      </c>
      <c r="E524" s="72">
        <f>SUMIF(Adat!$AG:$AG,CONCATENATE(61,$M$4,"09161",L503),Adat!$E:$E)*-1</f>
        <v>0</v>
      </c>
      <c r="F524" s="72">
        <f>SUMIF(Adat!$AG:$AG,CONCATENATE(60,$M$4,"09161",L503),Adat!$E:$E)*-1+E524</f>
        <v>0</v>
      </c>
      <c r="G524" s="72">
        <f>SUMIF(Adat!$AH:$AH,CONCATENATE($M$4,"(KÖT)","09161",L503),Adat!$E:$E)*-1</f>
        <v>0</v>
      </c>
      <c r="H524" s="72">
        <f>SUMIF(Adat!$AH:$AH,CONCATENATE($M$4,"(ÖNV)","09161",L503),Adat!$E:$E)*-1</f>
        <v>0</v>
      </c>
      <c r="I524" s="72">
        <f>SUMIF(Adat!$AH:$AH,CONCATENATE($M$4,"(ÁIG)","09161",L503),Adat!$E:$E)*-1</f>
        <v>0</v>
      </c>
    </row>
    <row r="525" spans="2:9" x14ac:dyDescent="0.25">
      <c r="B525" s="160">
        <v>20</v>
      </c>
      <c r="C525" s="79" t="s">
        <v>27</v>
      </c>
      <c r="D525" s="79" t="s">
        <v>328</v>
      </c>
      <c r="E525" s="71">
        <f>SUMIF(Adat!$AI:$AI,CONCATENATE(61,$M$4,"093",L503),Adat!$E:$E)*-1</f>
        <v>0</v>
      </c>
      <c r="F525" s="71">
        <f>SUMIF(Adat!$AI:$AI,CONCATENATE(60,$M$4,"093",L503),Adat!$E:$E)*-1+E525</f>
        <v>0</v>
      </c>
      <c r="G525" s="71">
        <f>SUMIF(Adat!$AJ:$AJ,CONCATENATE($M$4,"093","(KÖT)",L503),Adat!$E:$E)*-1</f>
        <v>0</v>
      </c>
      <c r="H525" s="71">
        <f>SUMIF(Adat!$AJ:$AJ,CONCATENATE($M$4,"093","(ÖNV)",L503),Adat!$E:$E)*-1</f>
        <v>0</v>
      </c>
      <c r="I525" s="71">
        <f>SUMIF(Adat!$AJ:$AJ,CONCATENATE($M$4,"093","(ÁIG)",L503),Adat!$E:$E)*-1</f>
        <v>0</v>
      </c>
    </row>
    <row r="526" spans="2:9" x14ac:dyDescent="0.25">
      <c r="B526" s="160">
        <v>21</v>
      </c>
      <c r="C526" s="79" t="s">
        <v>24</v>
      </c>
      <c r="D526" s="79" t="s">
        <v>449</v>
      </c>
      <c r="E526" s="121">
        <f>SUM(E527:E529)</f>
        <v>0</v>
      </c>
      <c r="F526" s="121">
        <f t="shared" ref="F526:I526" si="33">SUM(F527:F529)</f>
        <v>0</v>
      </c>
      <c r="G526" s="121">
        <f t="shared" si="33"/>
        <v>0</v>
      </c>
      <c r="H526" s="121">
        <f t="shared" si="33"/>
        <v>0</v>
      </c>
      <c r="I526" s="121">
        <f t="shared" si="33"/>
        <v>0</v>
      </c>
    </row>
    <row r="527" spans="2:9" x14ac:dyDescent="0.2">
      <c r="B527" s="160">
        <v>22</v>
      </c>
      <c r="C527" s="305" t="s">
        <v>1339</v>
      </c>
      <c r="D527" s="82" t="s">
        <v>1340</v>
      </c>
      <c r="E527" s="72">
        <f>SUMIF(Adat!$AG:$AG,CONCATENATE(61,$M$4,"09211",L503),Adat!$E:$E)*-1</f>
        <v>0</v>
      </c>
      <c r="F527" s="72">
        <f>SUMIF(Adat!$AG:$AG,CONCATENATE(60,$M$4,"09211",L503),Adat!$E:$E)*-1+E527</f>
        <v>0</v>
      </c>
      <c r="G527" s="72">
        <f>SUMIF(Adat!$AH:$AH,CONCATENATE($M$4,"(KÖT)","09211",L503),Adat!$E:$E)*-1</f>
        <v>0</v>
      </c>
      <c r="H527" s="72">
        <f>SUMIF(Adat!$AH:$AH,CONCATENATE($M$4,"(ÖNV)","09211",L503),Adat!$E:$E)*-1</f>
        <v>0</v>
      </c>
      <c r="I527" s="72">
        <f>SUMIF(Adat!$AH:$AH,CONCATENATE($M$4,"(ÁIG)","09211",L503),Adat!$E:$E)*-1</f>
        <v>0</v>
      </c>
    </row>
    <row r="528" spans="2:9" x14ac:dyDescent="0.2">
      <c r="B528" s="160">
        <v>23</v>
      </c>
      <c r="C528" s="305" t="s">
        <v>1345</v>
      </c>
      <c r="D528" s="82" t="s">
        <v>1346</v>
      </c>
      <c r="E528" s="72">
        <f>SUMIF(Adat!$AG:$AG,CONCATENATE(61,$M$4,"09241",L503),Adat!$E:$E)*-1</f>
        <v>0</v>
      </c>
      <c r="F528" s="72">
        <f>SUMIF(Adat!$AG:$AG,CONCATENATE(60,$M$4,"09241",L503),Adat!$E:$E)*-1+E528</f>
        <v>0</v>
      </c>
      <c r="G528" s="72">
        <f>SUMIF(Adat!$AH:$AH,CONCATENATE($M$4,"(KÖT)","09241",L503),Adat!$E:$E)*-1</f>
        <v>0</v>
      </c>
      <c r="H528" s="72">
        <f>SUMIF(Adat!$AH:$AH,CONCATENATE($M$4,"(ÖNV)","09241",L503),Adat!$E:$E)*-1</f>
        <v>0</v>
      </c>
      <c r="I528" s="72">
        <f>SUMIF(Adat!$AH:$AH,CONCATENATE($M$4,"(ÁIG)","09241",L503),Adat!$E:$E)*-1</f>
        <v>0</v>
      </c>
    </row>
    <row r="529" spans="2:12" x14ac:dyDescent="0.2">
      <c r="B529" s="160">
        <v>24</v>
      </c>
      <c r="C529" s="305" t="s">
        <v>1255</v>
      </c>
      <c r="D529" s="82" t="s">
        <v>1347</v>
      </c>
      <c r="E529" s="72">
        <f>SUMIF(Adat!$AG:$AG,CONCATENATE(61,$M$4,"09251",L503),Adat!$E:$E)*-1</f>
        <v>0</v>
      </c>
      <c r="F529" s="72">
        <f>SUMIF(Adat!$AG:$AG,CONCATENATE(60,$M$4,"09251",L503),Adat!$E:$E)*-1+E529</f>
        <v>0</v>
      </c>
      <c r="G529" s="72">
        <f>SUMIF(Adat!$AH:$AH,CONCATENATE($M$4,"(KÖT)","09251",L503),Adat!$E:$E)*-1</f>
        <v>0</v>
      </c>
      <c r="H529" s="72">
        <f>SUMIF(Adat!$AH:$AH,CONCATENATE($M$4,"(ÖNV)","09251",L503),Adat!$E:$E)*-1</f>
        <v>0</v>
      </c>
      <c r="I529" s="72">
        <f>SUMIF(Adat!$AH:$AH,CONCATENATE($M$4,"(ÁIG)","09251",L503),Adat!$E:$E)*-1</f>
        <v>0</v>
      </c>
    </row>
    <row r="530" spans="2:12" x14ac:dyDescent="0.25">
      <c r="B530" s="160">
        <v>25</v>
      </c>
      <c r="C530" s="79" t="s">
        <v>33</v>
      </c>
      <c r="D530" s="79" t="s">
        <v>330</v>
      </c>
      <c r="E530" s="121">
        <f>SUM(E531:E533)</f>
        <v>0</v>
      </c>
      <c r="F530" s="121">
        <f t="shared" ref="F530:I530" si="34">SUM(F531:F533)</f>
        <v>0</v>
      </c>
      <c r="G530" s="121">
        <f t="shared" si="34"/>
        <v>0</v>
      </c>
      <c r="H530" s="121">
        <f t="shared" si="34"/>
        <v>0</v>
      </c>
      <c r="I530" s="121">
        <f t="shared" si="34"/>
        <v>0</v>
      </c>
    </row>
    <row r="531" spans="2:12" x14ac:dyDescent="0.2">
      <c r="B531" s="160">
        <v>26</v>
      </c>
      <c r="C531" s="305" t="s">
        <v>1373</v>
      </c>
      <c r="D531" s="82" t="s">
        <v>1374</v>
      </c>
      <c r="E531" s="72">
        <f>SUMIF(Adat!$AG:$AG,CONCATENATE(61,$M$4,"09511",L503),Adat!$E:$E)*-1</f>
        <v>0</v>
      </c>
      <c r="F531" s="72">
        <f>SUMIF(Adat!$AG:$AG,CONCATENATE(60,$M$4,"09511",L503),Adat!$E:$E)*-1+E531</f>
        <v>0</v>
      </c>
      <c r="G531" s="72">
        <f>SUMIF(Adat!$AH:$AH,CONCATENATE($M$4,"(KÖT)","09511",L503),Adat!$E:$E)*-1</f>
        <v>0</v>
      </c>
      <c r="H531" s="72">
        <f>SUMIF(Adat!$AH:$AH,CONCATENATE($M$4,"(ÖNV)","09511",L503),Adat!$E:$E)*-1</f>
        <v>0</v>
      </c>
      <c r="I531" s="72">
        <f>SUMIF(Adat!$AH:$AH,CONCATENATE($M$4,"(ÁIG)","09511",L503),Adat!$E:$E)*-1</f>
        <v>0</v>
      </c>
    </row>
    <row r="532" spans="2:12" x14ac:dyDescent="0.2">
      <c r="B532" s="160">
        <v>27</v>
      </c>
      <c r="C532" s="305" t="s">
        <v>1294</v>
      </c>
      <c r="D532" s="82" t="s">
        <v>1375</v>
      </c>
      <c r="E532" s="72">
        <f>SUMIF(Adat!$AG:$AG,CONCATENATE(61,$M$4,"09521",L503),Adat!$E:$E)*-1</f>
        <v>0</v>
      </c>
      <c r="F532" s="72">
        <f>SUMIF(Adat!$AG:$AG,CONCATENATE(60,$M$4,"09521",L503),Adat!$E:$E)*-1+E532</f>
        <v>0</v>
      </c>
      <c r="G532" s="72">
        <f>SUMIF(Adat!$AH:$AH,CONCATENATE($M$4,"(KÖT)","09521",L503),Adat!$E:$E)*-1</f>
        <v>0</v>
      </c>
      <c r="H532" s="72">
        <f>SUMIF(Adat!$AH:$AH,CONCATENATE($M$4,"(ÖNV)","09521",L503),Adat!$E:$E)*-1</f>
        <v>0</v>
      </c>
      <c r="I532" s="72">
        <f>SUMIF(Adat!$AH:$AH,CONCATENATE($M$4,"(ÁIG)","09521",L503),Adat!$E:$E)*-1</f>
        <v>0</v>
      </c>
    </row>
    <row r="533" spans="2:12" x14ac:dyDescent="0.2">
      <c r="B533" s="160">
        <v>28</v>
      </c>
      <c r="C533" s="305" t="s">
        <v>1376</v>
      </c>
      <c r="D533" s="82" t="s">
        <v>1377</v>
      </c>
      <c r="E533" s="72">
        <f>SUMIF(Adat!$AG:$AG,CONCATENATE(61,$M$4,"09531",L503),Adat!$E:$E)*-1</f>
        <v>0</v>
      </c>
      <c r="F533" s="72">
        <f>SUMIF(Adat!$AG:$AG,CONCATENATE(60,$M$4,"09531",L503),Adat!$E:$E)*-1+E533</f>
        <v>0</v>
      </c>
      <c r="G533" s="72">
        <f>SUMIF(Adat!$AH:$AH,CONCATENATE($M$4,"(KÖT)","09531",L503),Adat!$E:$E)*-1</f>
        <v>0</v>
      </c>
      <c r="H533" s="72">
        <f>SUMIF(Adat!$AH:$AH,CONCATENATE($M$4,"(ÖNV)","09531",L503),Adat!$E:$E)*-1</f>
        <v>0</v>
      </c>
      <c r="I533" s="72">
        <f>SUMIF(Adat!$AH:$AH,CONCATENATE($M$4,"(ÁIG)","09531",L503),Adat!$E:$E)*-1</f>
        <v>0</v>
      </c>
    </row>
    <row r="534" spans="2:12" x14ac:dyDescent="0.25">
      <c r="B534" s="160">
        <v>29</v>
      </c>
      <c r="C534" s="79" t="s">
        <v>36</v>
      </c>
      <c r="D534" s="79" t="s">
        <v>331</v>
      </c>
      <c r="E534" s="71">
        <f>SUMIF(Adat!$AI:$AI,CONCATENATE(61,$M$4,"096",L503),Adat!$E:$E)*-1</f>
        <v>0</v>
      </c>
      <c r="F534" s="71">
        <f>SUMIF(Adat!$AI:$AI,CONCATENATE(60,$M$4,"096",L503),Adat!$E:$E)*-1+E534</f>
        <v>0</v>
      </c>
      <c r="G534" s="71">
        <f>SUMIF(Adat!$AJ:$AJ,CONCATENATE($M$4,"096","(KÖT)",L503),Adat!$E:$E)*-1</f>
        <v>0</v>
      </c>
      <c r="H534" s="71">
        <f>SUMIF(Adat!$AJ:$AJ,CONCATENATE($M$4,"096","(ÖNV)",L503),Adat!$E:$E)*-1</f>
        <v>0</v>
      </c>
      <c r="I534" s="71">
        <f>SUMIF(Adat!$AJ:$AJ,CONCATENATE($M$4,"096","(ÁIG)",L503),Adat!$E:$E)*-1</f>
        <v>0</v>
      </c>
    </row>
    <row r="535" spans="2:12" x14ac:dyDescent="0.25">
      <c r="B535" s="160">
        <v>30</v>
      </c>
      <c r="C535" s="79" t="s">
        <v>38</v>
      </c>
      <c r="D535" s="85" t="s">
        <v>332</v>
      </c>
      <c r="E535" s="71">
        <f>SUMIF(Adat!$AI:$AI,CONCATENATE(61,$M$4,"097",L503),Adat!$E:$E)*-1</f>
        <v>0</v>
      </c>
      <c r="F535" s="71">
        <f>SUMIF(Adat!$AI:$AI,CONCATENATE(60,$M$4,"097",L503),Adat!$E:$E)*-1+E535</f>
        <v>0</v>
      </c>
      <c r="G535" s="71">
        <f>SUMIF(Adat!$AJ:$AJ,CONCATENATE($M$4,"097","(KÖT)",L503),Adat!$E:$E)*-1</f>
        <v>0</v>
      </c>
      <c r="H535" s="71">
        <f>SUMIF(Adat!$AJ:$AJ,CONCATENATE($M$4,"097","(ÖNV)",L503),Adat!$E:$E)*-1</f>
        <v>0</v>
      </c>
      <c r="I535" s="71">
        <f>SUMIF(Adat!$AJ:$AJ,CONCATENATE($M$4,"097","(ÁIG)",L503),Adat!$E:$E)*-1</f>
        <v>0</v>
      </c>
    </row>
    <row r="536" spans="2:12" x14ac:dyDescent="0.25">
      <c r="B536" s="160">
        <v>31</v>
      </c>
      <c r="C536" s="154" t="s">
        <v>352</v>
      </c>
      <c r="D536" s="86" t="s">
        <v>1500</v>
      </c>
      <c r="E536" s="121">
        <f>E507+E521+E525+E526+E530+E534+E535</f>
        <v>0</v>
      </c>
      <c r="F536" s="121">
        <f>F507+F521+F525+F526+F530+F534+F535</f>
        <v>0</v>
      </c>
      <c r="G536" s="121">
        <f>G507+G521+G525+G526+G530+G534+G535</f>
        <v>0</v>
      </c>
      <c r="H536" s="121">
        <f>H507+H521+H525+H526+H530+H534+H535</f>
        <v>0</v>
      </c>
      <c r="I536" s="121">
        <f>I507+I521+I525+I526+I530+I534+I535</f>
        <v>0</v>
      </c>
    </row>
    <row r="537" spans="2:12" x14ac:dyDescent="0.25">
      <c r="B537" s="160">
        <v>32</v>
      </c>
      <c r="C537" s="154" t="s">
        <v>358</v>
      </c>
      <c r="D537" s="86" t="s">
        <v>333</v>
      </c>
      <c r="E537" s="121">
        <f>SUM(E538:E540)</f>
        <v>0</v>
      </c>
      <c r="F537" s="121">
        <f t="shared" ref="F537:I537" si="35">SUM(F538:F540)</f>
        <v>0</v>
      </c>
      <c r="G537" s="121">
        <f t="shared" si="35"/>
        <v>0</v>
      </c>
      <c r="H537" s="121">
        <f t="shared" si="35"/>
        <v>0</v>
      </c>
      <c r="I537" s="121">
        <f t="shared" si="35"/>
        <v>0</v>
      </c>
    </row>
    <row r="538" spans="2:12" x14ac:dyDescent="0.2">
      <c r="B538" s="160">
        <v>33</v>
      </c>
      <c r="C538" s="305" t="s">
        <v>1274</v>
      </c>
      <c r="D538" s="82" t="s">
        <v>1419</v>
      </c>
      <c r="E538" s="72">
        <f>SUMIF(Adat!$AG:$AG,CONCATENATE(61,$M$4,"0981311",L503),Adat!$E:$E)*-1</f>
        <v>0</v>
      </c>
      <c r="F538" s="72">
        <f>SUMIF(Adat!$AG:$AG,CONCATENATE(60,$M$4,"0981311",L503),Adat!$E:$E)*-1+E538</f>
        <v>0</v>
      </c>
      <c r="G538" s="72">
        <f>SUMIF(Adat!$AH:$AH,CONCATENATE($M$4,"(KÖT)","0981311",L503),Adat!$E:$E)*-1</f>
        <v>0</v>
      </c>
      <c r="H538" s="72">
        <f>SUMIF(Adat!$AH:$AH,CONCATENATE($M$4,"(ÖNV)","0981311",L503),Adat!$E:$E)*-1</f>
        <v>0</v>
      </c>
      <c r="I538" s="72">
        <f>SUMIF(Adat!$AH:$AH,CONCATENATE($M$4,"(ÁIG)","0981311",L503),Adat!$E:$E)*-1</f>
        <v>0</v>
      </c>
    </row>
    <row r="539" spans="2:12" x14ac:dyDescent="0.25">
      <c r="B539" s="160">
        <v>34</v>
      </c>
      <c r="C539" s="305" t="s">
        <v>1420</v>
      </c>
      <c r="D539" s="84" t="s">
        <v>1421</v>
      </c>
      <c r="E539" s="72">
        <f>SUMIF(Adat!$AG:$AG,CONCATENATE(61,$M$4,"0981321",L503),Adat!$E:$E)*-1</f>
        <v>0</v>
      </c>
      <c r="F539" s="72">
        <f>SUMIF(Adat!$AG:$AG,CONCATENATE(60,$M$4,"0981321",L503),Adat!$E:$E)*-1+E539</f>
        <v>0</v>
      </c>
      <c r="G539" s="72">
        <f>SUMIF(Adat!$AH:$AH,CONCATENATE($M$4,"(KÖT)","0981321",L503),Adat!$E:$E)*-1</f>
        <v>0</v>
      </c>
      <c r="H539" s="72">
        <f>SUMIF(Adat!$AH:$AH,CONCATENATE($M$4,"(ÖNV)","0981321",L503),Adat!$E:$E)*-1</f>
        <v>0</v>
      </c>
      <c r="I539" s="72">
        <f>SUMIF(Adat!$AH:$AH,CONCATENATE($M$4,"(ÁIG)","0981321",L503),Adat!$E:$E)*-1</f>
        <v>0</v>
      </c>
    </row>
    <row r="540" spans="2:12" x14ac:dyDescent="0.25">
      <c r="B540" s="160">
        <v>35</v>
      </c>
      <c r="C540" s="319" t="s">
        <v>1275</v>
      </c>
      <c r="D540" s="84" t="s">
        <v>1501</v>
      </c>
      <c r="E540" s="72">
        <f>SUMIF(Adat!$AG:$AG,CONCATENATE(61,$M$4,"098161",L503),Adat!$E:$E)*-1</f>
        <v>0</v>
      </c>
      <c r="F540" s="72">
        <f>SUMIF(Adat!$AG:$AG,CONCATENATE(60,$M$4,"098161",L503),Adat!$E:$E)*-1+E540</f>
        <v>0</v>
      </c>
      <c r="G540" s="72">
        <f>SUMIF(Adat!$AH:$AH,CONCATENATE($M$4,"(KÖT)","098161",L503),Adat!$E:$E)*-1</f>
        <v>0</v>
      </c>
      <c r="H540" s="72">
        <f>SUMIF(Adat!$AH:$AH,CONCATENATE($M$4,"(ÖNV)","098161",L503),Adat!$E:$E)*-1</f>
        <v>0</v>
      </c>
      <c r="I540" s="72">
        <f>SUMIF(Adat!$AH:$AH,CONCATENATE($M$4,"(ÁIG)","098161",L503),Adat!$E:$E)*-1</f>
        <v>0</v>
      </c>
    </row>
    <row r="541" spans="2:12" x14ac:dyDescent="0.25">
      <c r="B541" s="160">
        <v>36</v>
      </c>
      <c r="C541" s="154" t="s">
        <v>364</v>
      </c>
      <c r="D541" s="159" t="s">
        <v>1502</v>
      </c>
      <c r="E541" s="121">
        <f>+E536+E537</f>
        <v>0</v>
      </c>
      <c r="F541" s="121">
        <f>+F536+F537</f>
        <v>0</v>
      </c>
      <c r="G541" s="121">
        <f>+G536+G537</f>
        <v>0</v>
      </c>
      <c r="H541" s="121">
        <f>+H536+H537</f>
        <v>0</v>
      </c>
      <c r="I541" s="121">
        <f>+I536+I537</f>
        <v>0</v>
      </c>
    </row>
    <row r="542" spans="2:12" ht="15.75" x14ac:dyDescent="0.25">
      <c r="B542" s="38"/>
      <c r="C542" s="156"/>
      <c r="D542" s="38"/>
      <c r="E542" s="140"/>
      <c r="F542" s="140"/>
      <c r="G542" s="140"/>
      <c r="H542" s="140"/>
      <c r="I542" s="140"/>
    </row>
    <row r="543" spans="2:12" s="10" customFormat="1" ht="15.75" customHeight="1" x14ac:dyDescent="0.25">
      <c r="B543" s="201" t="str">
        <f>CONCATENATE("18. Kiadási jogcímek"," - ",L543," részletező")</f>
        <v>18. Kiadási jogcímek -  részletező</v>
      </c>
      <c r="C543" s="101"/>
      <c r="D543" s="101"/>
      <c r="E543" s="101"/>
      <c r="F543" s="101"/>
      <c r="G543" s="198"/>
      <c r="H543" s="198"/>
      <c r="I543" s="198"/>
      <c r="L543" s="384"/>
    </row>
    <row r="544" spans="2:12" ht="15.75" x14ac:dyDescent="0.25">
      <c r="B544" s="38"/>
      <c r="C544" s="156"/>
      <c r="D544" s="38"/>
      <c r="E544" s="140"/>
      <c r="F544" s="140"/>
      <c r="G544" s="140"/>
      <c r="H544" s="140"/>
      <c r="I544" s="140"/>
    </row>
    <row r="545" spans="2:9" x14ac:dyDescent="0.25">
      <c r="B545" s="77"/>
      <c r="C545" s="77" t="s">
        <v>350</v>
      </c>
      <c r="D545" s="77" t="s">
        <v>351</v>
      </c>
      <c r="E545" s="77" t="s">
        <v>470</v>
      </c>
      <c r="F545" s="77" t="s">
        <v>471</v>
      </c>
      <c r="G545" s="77" t="s">
        <v>44</v>
      </c>
      <c r="H545" s="77" t="s">
        <v>42</v>
      </c>
      <c r="I545" s="77" t="s">
        <v>511</v>
      </c>
    </row>
    <row r="546" spans="2:9" ht="38.25" x14ac:dyDescent="0.25">
      <c r="B546" s="160">
        <v>1</v>
      </c>
      <c r="C546" s="154" t="s">
        <v>593</v>
      </c>
      <c r="D546" s="154" t="s">
        <v>488</v>
      </c>
      <c r="E546" s="163" t="str">
        <f>CONCATENATE(PAR!$H$3," évi
eredeti 
előirányzat")</f>
        <v>2025. évi
eredeti 
előirányzat</v>
      </c>
      <c r="F546" s="163" t="str">
        <f>CONCATENATE(PAR!$H$3," évi
módosított 
előirányzat")</f>
        <v>2025. évi
módosított 
előirányzat</v>
      </c>
      <c r="G546" s="78" t="s">
        <v>666</v>
      </c>
      <c r="H546" s="78" t="s">
        <v>667</v>
      </c>
      <c r="I546" s="78" t="s">
        <v>668</v>
      </c>
    </row>
    <row r="547" spans="2:9" x14ac:dyDescent="0.25">
      <c r="B547" s="160">
        <v>2</v>
      </c>
      <c r="C547" s="78" t="s">
        <v>352</v>
      </c>
      <c r="D547" s="92" t="s">
        <v>1444</v>
      </c>
      <c r="E547" s="121">
        <f>SUM(E548:E552)</f>
        <v>0</v>
      </c>
      <c r="F547" s="121">
        <f>SUM(F548:F552)</f>
        <v>0</v>
      </c>
      <c r="G547" s="121">
        <f>SUM(G548:G552)</f>
        <v>0</v>
      </c>
      <c r="H547" s="121">
        <f>SUM(H548:H552)</f>
        <v>0</v>
      </c>
      <c r="I547" s="121">
        <f>SUM(I548:I552)</f>
        <v>0</v>
      </c>
    </row>
    <row r="548" spans="2:9" x14ac:dyDescent="0.25">
      <c r="B548" s="160">
        <v>3</v>
      </c>
      <c r="C548" s="305" t="s">
        <v>315</v>
      </c>
      <c r="D548" s="93" t="s">
        <v>342</v>
      </c>
      <c r="E548" s="72">
        <f>SUMIF(Adat!$AI:$AI,CONCATENATE(61,$M$4,"051",L543),Adat!$E:$E)</f>
        <v>0</v>
      </c>
      <c r="F548" s="72">
        <f>SUMIF(Adat!$AI:$AI,CONCATENATE(60,$M$4,"051",L543),Adat!$E:$E)+E548</f>
        <v>0</v>
      </c>
      <c r="G548" s="72">
        <f>SUMIF(Adat!$AJ:$AJ,CONCATENATE($M$4,"051","(KÖT)",L543),Adat!$E:$E)</f>
        <v>0</v>
      </c>
      <c r="H548" s="72">
        <f>SUMIF(Adat!$AJ:$AJ,CONCATENATE($M$4,"051","(ÖNV)",L543),Adat!$E:$E)</f>
        <v>0</v>
      </c>
      <c r="I548" s="72">
        <f>SUMIF(Adat!$AJ:$AJ,CONCATENATE($M$4,"051","(ÁIG)",L543),Adat!$E:$E)</f>
        <v>0</v>
      </c>
    </row>
    <row r="549" spans="2:9" x14ac:dyDescent="0.25">
      <c r="B549" s="160">
        <v>4</v>
      </c>
      <c r="C549" s="305" t="s">
        <v>317</v>
      </c>
      <c r="D549" s="93" t="s">
        <v>395</v>
      </c>
      <c r="E549" s="72">
        <f>SUMIF(Adat!$AI:$AI,CONCATENATE(61,$M$4,"052",L543),Adat!$E:$E)</f>
        <v>0</v>
      </c>
      <c r="F549" s="72">
        <f>SUMIF(Adat!$AI:$AI,CONCATENATE(60,$M$4,"052",L543),Adat!$E:$E)+E549</f>
        <v>0</v>
      </c>
      <c r="G549" s="72">
        <f>SUMIF(Adat!$AJ:$AJ,CONCATENATE($M$4,"052","(KÖT)",L543),Adat!$E:$E)</f>
        <v>0</v>
      </c>
      <c r="H549" s="72">
        <f>SUMIF(Adat!$AJ:$AJ,CONCATENATE($M$4,"052","(ÖNV)",L543),Adat!$E:$E)</f>
        <v>0</v>
      </c>
      <c r="I549" s="72">
        <f>SUMIF(Adat!$AJ:$AJ,CONCATENATE($M$4,"052","(ÁIG)",L543),Adat!$E:$E)</f>
        <v>0</v>
      </c>
    </row>
    <row r="550" spans="2:9" x14ac:dyDescent="0.25">
      <c r="B550" s="160">
        <v>5</v>
      </c>
      <c r="C550" s="305" t="s">
        <v>4</v>
      </c>
      <c r="D550" s="93" t="s">
        <v>344</v>
      </c>
      <c r="E550" s="72">
        <f>SUMIF(Adat!$AI:$AI,CONCATENATE(61,$M$4,"053",L543),Adat!$E:$E)</f>
        <v>0</v>
      </c>
      <c r="F550" s="72">
        <f>SUMIF(Adat!$AI:$AI,CONCATENATE(60,$M$4,"053",L543),Adat!$E:$E)+E550</f>
        <v>0</v>
      </c>
      <c r="G550" s="72">
        <f>SUMIF(Adat!$AJ:$AJ,CONCATENATE($M$4,"053","(KÖT)",L543),Adat!$E:$E)</f>
        <v>0</v>
      </c>
      <c r="H550" s="72">
        <f>SUMIF(Adat!$AJ:$AJ,CONCATENATE($M$4,"053","(ÖNV)",L543),Adat!$E:$E)</f>
        <v>0</v>
      </c>
      <c r="I550" s="72">
        <f>SUMIF(Adat!$AJ:$AJ,CONCATENATE($M$4,"053","(ÁIG)",L543),Adat!$E:$E)</f>
        <v>0</v>
      </c>
    </row>
    <row r="551" spans="2:9" x14ac:dyDescent="0.25">
      <c r="B551" s="160">
        <v>6</v>
      </c>
      <c r="C551" s="305" t="s">
        <v>6</v>
      </c>
      <c r="D551" s="93" t="s">
        <v>345</v>
      </c>
      <c r="E551" s="72">
        <f>SUMIF(Adat!$AI:$AI,CONCATENATE(61,$M$4,"054",L543),Adat!$E:$E)</f>
        <v>0</v>
      </c>
      <c r="F551" s="72">
        <f>SUMIF(Adat!$AI:$AI,CONCATENATE(60,$M$4,"054",L543),Adat!$E:$E)+E551</f>
        <v>0</v>
      </c>
      <c r="G551" s="72">
        <f>SUMIF(Adat!$AJ:$AJ,CONCATENATE($M$4,"054","(KÖT)",L543),Adat!$E:$E)</f>
        <v>0</v>
      </c>
      <c r="H551" s="72">
        <f>SUMIF(Adat!$AJ:$AJ,CONCATENATE($M$4,"054","(ÖNV)",L543),Adat!$E:$E)</f>
        <v>0</v>
      </c>
      <c r="I551" s="72">
        <f>SUMIF(Adat!$AJ:$AJ,CONCATENATE($M$4,"054","(ÁIG)",L543),Adat!$E:$E)</f>
        <v>0</v>
      </c>
    </row>
    <row r="552" spans="2:9" x14ac:dyDescent="0.25">
      <c r="B552" s="160">
        <v>7</v>
      </c>
      <c r="C552" s="305" t="s">
        <v>8</v>
      </c>
      <c r="D552" s="93" t="s">
        <v>321</v>
      </c>
      <c r="E552" s="72">
        <f>SUMIF(Adat!$AI:$AI,CONCATENATE(61,$M$4,"055",L543),Adat!$E:$E)</f>
        <v>0</v>
      </c>
      <c r="F552" s="72">
        <f>SUMIF(Adat!$AI:$AI,CONCATENATE(60,$M$4,"055",L543),Adat!$E:$E)+E552</f>
        <v>0</v>
      </c>
      <c r="G552" s="72">
        <f>SUMIF(Adat!$AJ:$AJ,CONCATENATE($M$4,"055","(KÖT)",L543),Adat!$E:$E)</f>
        <v>0</v>
      </c>
      <c r="H552" s="72">
        <f>SUMIF(Adat!$AJ:$AJ,CONCATENATE($M$4,"055","(ÖNV)",L543),Adat!$E:$E)</f>
        <v>0</v>
      </c>
      <c r="I552" s="72">
        <f>SUMIF(Adat!$AJ:$AJ,CONCATENATE($M$4,"055","(ÁIG)",L543),Adat!$E:$E)</f>
        <v>0</v>
      </c>
    </row>
    <row r="553" spans="2:9" x14ac:dyDescent="0.25">
      <c r="B553" s="160">
        <v>8</v>
      </c>
      <c r="C553" s="78" t="s">
        <v>358</v>
      </c>
      <c r="D553" s="92" t="s">
        <v>1447</v>
      </c>
      <c r="E553" s="121">
        <f>E554+E556+E558</f>
        <v>0</v>
      </c>
      <c r="F553" s="121">
        <f>F554+F556+F558</f>
        <v>0</v>
      </c>
      <c r="G553" s="121">
        <f>G554+G556+G558</f>
        <v>0</v>
      </c>
      <c r="H553" s="121">
        <f>H554+H556+H558</f>
        <v>0</v>
      </c>
      <c r="I553" s="121">
        <f>I554+I556+I558</f>
        <v>0</v>
      </c>
    </row>
    <row r="554" spans="2:9" x14ac:dyDescent="0.25">
      <c r="B554" s="160">
        <v>9</v>
      </c>
      <c r="C554" s="305" t="s">
        <v>10</v>
      </c>
      <c r="D554" s="93" t="s">
        <v>322</v>
      </c>
      <c r="E554" s="72">
        <f>SUMIF(Adat!$AI:$AI,CONCATENATE(61,$M$4,"056",L543),Adat!$E:$E)</f>
        <v>0</v>
      </c>
      <c r="F554" s="72">
        <f>SUMIF(Adat!$AI:$AI,CONCATENATE(60,$M$4,"056",L543),Adat!$E:$E)+E554</f>
        <v>0</v>
      </c>
      <c r="G554" s="72">
        <f>SUMIF(Adat!$AJ:$AJ,CONCATENATE($M$4,"056","(KÖT)",L543),Adat!$E:$E)</f>
        <v>0</v>
      </c>
      <c r="H554" s="72">
        <f>SUMIF(Adat!$AJ:$AJ,CONCATENATE($M$4,"056","(ÖNV)",L543),Adat!$E:$E)</f>
        <v>0</v>
      </c>
      <c r="I554" s="72">
        <f>SUMIF(Adat!$AJ:$AJ,CONCATENATE($M$4,"056","(ÁIG)",L543),Adat!$E:$E)</f>
        <v>0</v>
      </c>
    </row>
    <row r="555" spans="2:9" x14ac:dyDescent="0.25">
      <c r="B555" s="160">
        <v>10</v>
      </c>
      <c r="C555" s="305" t="s">
        <v>10</v>
      </c>
      <c r="D555" s="93" t="s">
        <v>1448</v>
      </c>
      <c r="E555" s="72">
        <v>0</v>
      </c>
      <c r="F555" s="72">
        <f>SUM(G555:I555)</f>
        <v>0</v>
      </c>
      <c r="G555" s="72">
        <v>0</v>
      </c>
      <c r="H555" s="72">
        <v>0</v>
      </c>
      <c r="I555" s="72">
        <v>0</v>
      </c>
    </row>
    <row r="556" spans="2:9" x14ac:dyDescent="0.25">
      <c r="B556" s="160">
        <v>11</v>
      </c>
      <c r="C556" s="305" t="s">
        <v>12</v>
      </c>
      <c r="D556" s="93" t="s">
        <v>323</v>
      </c>
      <c r="E556" s="72">
        <f>SUMIF(Adat!$AI:$AI,CONCATENATE(61,$M$4,"057",L543),Adat!$E:$E)</f>
        <v>0</v>
      </c>
      <c r="F556" s="72">
        <f>SUMIF(Adat!$AI:$AI,CONCATENATE(60,$M$4,"057",L543),Adat!$E:$E)+E556</f>
        <v>0</v>
      </c>
      <c r="G556" s="72">
        <f>SUMIF(Adat!$AJ:$AJ,CONCATENATE($M$4,"057","(KÖT)",L543),Adat!$E:$E)</f>
        <v>0</v>
      </c>
      <c r="H556" s="72">
        <f>SUMIF(Adat!$AJ:$AJ,CONCATENATE($M$4,"057","(ÖNV)",L543),Adat!$E:$E)</f>
        <v>0</v>
      </c>
      <c r="I556" s="72">
        <f>SUMIF(Adat!$AJ:$AJ,CONCATENATE($M$4,"057","(ÁIG)",L543),Adat!$E:$E)</f>
        <v>0</v>
      </c>
    </row>
    <row r="557" spans="2:9" x14ac:dyDescent="0.25">
      <c r="B557" s="160">
        <v>12</v>
      </c>
      <c r="C557" s="305" t="s">
        <v>12</v>
      </c>
      <c r="D557" s="93" t="s">
        <v>1449</v>
      </c>
      <c r="E557" s="72">
        <v>0</v>
      </c>
      <c r="F557" s="72">
        <f>SUM(G557:I557)</f>
        <v>0</v>
      </c>
      <c r="G557" s="72">
        <v>0</v>
      </c>
      <c r="H557" s="72">
        <v>0</v>
      </c>
      <c r="I557" s="72">
        <v>0</v>
      </c>
    </row>
    <row r="558" spans="2:9" x14ac:dyDescent="0.25">
      <c r="B558" s="160">
        <v>13</v>
      </c>
      <c r="C558" s="305" t="s">
        <v>15</v>
      </c>
      <c r="D558" s="84" t="s">
        <v>324</v>
      </c>
      <c r="E558" s="72">
        <f>SUMIF(Adat!$AI:$AI,CONCATENATE(61,$M$4,"058",L543),Adat!$E:$E)</f>
        <v>0</v>
      </c>
      <c r="F558" s="72">
        <f>SUMIF(Adat!$AI:$AI,CONCATENATE(60,$M$4,"058",L543),Adat!$E:$E)+E558</f>
        <v>0</v>
      </c>
      <c r="G558" s="72">
        <f>SUMIF(Adat!$AJ:$AJ,CONCATENATE($M$4,"058","(KÖT)",L543),Adat!$E:$E)</f>
        <v>0</v>
      </c>
      <c r="H558" s="72">
        <f>SUMIF(Adat!$AJ:$AJ,CONCATENATE($M$4,"058","(ÖNV)",L543),Adat!$E:$E)</f>
        <v>0</v>
      </c>
      <c r="I558" s="72">
        <f>SUMIF(Adat!$AJ:$AJ,CONCATENATE($M$4,"058","(ÁIG)",L543),Adat!$E:$E)</f>
        <v>0</v>
      </c>
    </row>
    <row r="559" spans="2:9" x14ac:dyDescent="0.25">
      <c r="B559" s="160">
        <v>14</v>
      </c>
      <c r="C559" s="154" t="s">
        <v>364</v>
      </c>
      <c r="D559" s="86" t="s">
        <v>325</v>
      </c>
      <c r="E559" s="71">
        <f>SUMIF(Adat!$AI:$AI,CONCATENATE(61,$M$4,"059",L543),Adat!$E:$E)</f>
        <v>0</v>
      </c>
      <c r="F559" s="71">
        <f>SUMIF(Adat!$AI:$AI,CONCATENATE(60,$M$4,"059",L543),Adat!$E:$E)+E559</f>
        <v>0</v>
      </c>
      <c r="G559" s="71">
        <f>SUMIF(Adat!$AJ:$AJ,CONCATENATE($M$4,"059","(KÖT)",L543),Adat!$E:$E)</f>
        <v>0</v>
      </c>
      <c r="H559" s="71">
        <f>SUMIF(Adat!$AJ:$AJ,CONCATENATE($M$4,"059","(ÖNV)",L543),Adat!$E:$E)</f>
        <v>0</v>
      </c>
      <c r="I559" s="71">
        <f>SUMIF(Adat!$AJ:$AJ,CONCATENATE($M$4,"059","(ÁIG)",L543),Adat!$E:$E)</f>
        <v>0</v>
      </c>
    </row>
    <row r="560" spans="2:9" x14ac:dyDescent="0.25">
      <c r="B560" s="160">
        <v>15</v>
      </c>
      <c r="C560" s="154" t="s">
        <v>403</v>
      </c>
      <c r="D560" s="159" t="s">
        <v>497</v>
      </c>
      <c r="E560" s="121">
        <f>E547+E553+E559</f>
        <v>0</v>
      </c>
      <c r="F560" s="121">
        <f>F547+F553+F559</f>
        <v>0</v>
      </c>
      <c r="G560" s="121">
        <f>G547+G553+G559</f>
        <v>0</v>
      </c>
      <c r="H560" s="121">
        <f>H547+H553+H559</f>
        <v>0</v>
      </c>
      <c r="I560" s="121">
        <f>I547+I553+I559</f>
        <v>0</v>
      </c>
    </row>
    <row r="561" spans="2:12" ht="15.75" x14ac:dyDescent="0.25">
      <c r="B561" s="37"/>
      <c r="C561" s="529"/>
      <c r="D561" s="529"/>
      <c r="E561" s="529"/>
      <c r="F561" s="200"/>
      <c r="G561" s="200"/>
      <c r="H561" s="200"/>
      <c r="I561" s="200"/>
    </row>
    <row r="562" spans="2:12" ht="15.75" x14ac:dyDescent="0.25">
      <c r="B562" s="525" t="str">
        <f>$N$4</f>
        <v>Gondozási Központ</v>
      </c>
      <c r="C562" s="525"/>
      <c r="D562" s="525"/>
      <c r="E562" s="525"/>
      <c r="F562" s="525"/>
      <c r="G562" s="525"/>
      <c r="H562" s="525"/>
      <c r="I562" s="525"/>
    </row>
    <row r="563" spans="2:12" ht="15.75" x14ac:dyDescent="0.25">
      <c r="B563" s="525" t="s">
        <v>2660</v>
      </c>
      <c r="C563" s="525"/>
      <c r="D563" s="525"/>
      <c r="E563" s="525"/>
      <c r="F563" s="525"/>
      <c r="G563" s="525"/>
      <c r="H563" s="525"/>
      <c r="I563" s="525"/>
    </row>
    <row r="564" spans="2:12" ht="15.75" x14ac:dyDescent="0.25">
      <c r="B564" s="38"/>
      <c r="C564" s="156"/>
      <c r="D564" s="38"/>
      <c r="E564" s="140"/>
      <c r="F564" s="140"/>
      <c r="G564" s="140"/>
      <c r="H564" s="140"/>
      <c r="I564" s="140"/>
    </row>
    <row r="565" spans="2:12" s="10" customFormat="1" ht="15.75" customHeight="1" x14ac:dyDescent="0.25">
      <c r="B565" s="201" t="str">
        <f>CONCATENATE("19. Bevételi jogcímek"," - ",L565," részletező")</f>
        <v>19. Bevételi jogcímek -  részletező</v>
      </c>
      <c r="C565" s="101"/>
      <c r="D565" s="101"/>
      <c r="E565" s="101"/>
      <c r="F565" s="101"/>
      <c r="G565" s="198"/>
      <c r="H565" s="198"/>
      <c r="I565" s="198"/>
      <c r="L565" s="384"/>
    </row>
    <row r="566" spans="2:12" ht="15.75" x14ac:dyDescent="0.25">
      <c r="B566" s="38"/>
      <c r="C566" s="156"/>
      <c r="D566" s="38"/>
      <c r="E566" s="140"/>
      <c r="F566" s="140"/>
      <c r="G566" s="140"/>
      <c r="H566" s="140"/>
      <c r="I566" s="140"/>
    </row>
    <row r="567" spans="2:12" x14ac:dyDescent="0.25">
      <c r="B567" s="77"/>
      <c r="C567" s="77" t="s">
        <v>350</v>
      </c>
      <c r="D567" s="77" t="s">
        <v>351</v>
      </c>
      <c r="E567" s="77" t="s">
        <v>470</v>
      </c>
      <c r="F567" s="77" t="s">
        <v>471</v>
      </c>
      <c r="G567" s="77" t="s">
        <v>44</v>
      </c>
      <c r="H567" s="77" t="s">
        <v>42</v>
      </c>
      <c r="I567" s="77" t="s">
        <v>511</v>
      </c>
    </row>
    <row r="568" spans="2:12" ht="38.25" x14ac:dyDescent="0.25">
      <c r="B568" s="160">
        <v>1</v>
      </c>
      <c r="C568" s="154" t="s">
        <v>593</v>
      </c>
      <c r="D568" s="154" t="s">
        <v>488</v>
      </c>
      <c r="E568" s="163" t="str">
        <f>CONCATENATE(PAR!$H$3," évi
eredeti 
előirányzat")</f>
        <v>2025. évi
eredeti 
előirányzat</v>
      </c>
      <c r="F568" s="163" t="str">
        <f>CONCATENATE(PAR!$H$3," évi
módosított 
előirányzat")</f>
        <v>2025. évi
módosított 
előirányzat</v>
      </c>
      <c r="G568" s="78" t="s">
        <v>666</v>
      </c>
      <c r="H568" s="78" t="s">
        <v>667</v>
      </c>
      <c r="I568" s="78" t="s">
        <v>668</v>
      </c>
    </row>
    <row r="569" spans="2:12" x14ac:dyDescent="0.25">
      <c r="B569" s="160">
        <v>2</v>
      </c>
      <c r="C569" s="79" t="s">
        <v>30</v>
      </c>
      <c r="D569" s="79" t="s">
        <v>329</v>
      </c>
      <c r="E569" s="121">
        <f>SUM(E570:E582)</f>
        <v>0</v>
      </c>
      <c r="F569" s="121">
        <f t="shared" ref="F569:I569" si="36">SUM(F570:F582)</f>
        <v>0</v>
      </c>
      <c r="G569" s="121">
        <f t="shared" si="36"/>
        <v>0</v>
      </c>
      <c r="H569" s="121">
        <f t="shared" si="36"/>
        <v>0</v>
      </c>
      <c r="I569" s="121">
        <f t="shared" si="36"/>
        <v>0</v>
      </c>
    </row>
    <row r="570" spans="2:12" x14ac:dyDescent="0.2">
      <c r="B570" s="160">
        <v>3</v>
      </c>
      <c r="C570" s="305" t="s">
        <v>1309</v>
      </c>
      <c r="D570" s="82" t="s">
        <v>1356</v>
      </c>
      <c r="E570" s="72">
        <f>SUMIF(Adat!$AG:$AG,CONCATENATE(61,$M$4,"094011",L565),Adat!$E:$E)*-1</f>
        <v>0</v>
      </c>
      <c r="F570" s="72">
        <f>SUMIF(Adat!$AG:$AG,CONCATENATE(60,$M$4,"094011",L565),Adat!$E:$E)*-1+E570</f>
        <v>0</v>
      </c>
      <c r="G570" s="72">
        <f>SUMIF(Adat!$AH:$AH,CONCATENATE($M$4,"(KÖT)","094011",L565),Adat!$E:$E)*-1</f>
        <v>0</v>
      </c>
      <c r="H570" s="72">
        <f>SUMIF(Adat!$AH:$AH,CONCATENATE($M$4,"(ÖNV)","094011",L565),Adat!$E:$E)*-1</f>
        <v>0</v>
      </c>
      <c r="I570" s="72">
        <f>SUMIF(Adat!$AH:$AH,CONCATENATE($M$4,"(ÁIG)","094011",L565),Adat!$E:$E)*-1</f>
        <v>0</v>
      </c>
    </row>
    <row r="571" spans="2:12" x14ac:dyDescent="0.2">
      <c r="B571" s="160">
        <v>4</v>
      </c>
      <c r="C571" s="305" t="s">
        <v>1279</v>
      </c>
      <c r="D571" s="82" t="s">
        <v>1357</v>
      </c>
      <c r="E571" s="72">
        <f>SUMIF(Adat!$AG:$AG,CONCATENATE(61,$M$4,"094021",L565),Adat!$E:$E)*-1</f>
        <v>0</v>
      </c>
      <c r="F571" s="72">
        <f>SUMIF(Adat!$AG:$AG,CONCATENATE(60,$M$4,"094021",L565),Adat!$E:$E)*-1+E571</f>
        <v>0</v>
      </c>
      <c r="G571" s="72">
        <f>SUMIF(Adat!$AH:$AH,CONCATENATE($M$4,"(KÖT)","094021",L565),Adat!$E:$E)*-1</f>
        <v>0</v>
      </c>
      <c r="H571" s="72">
        <f>SUMIF(Adat!$AH:$AH,CONCATENATE($M$4,"(ÖNV)","094021",L565),Adat!$E:$E)*-1</f>
        <v>0</v>
      </c>
      <c r="I571" s="72">
        <f>SUMIF(Adat!$AH:$AH,CONCATENATE($M$4,"(ÁIG)","094021",L565),Adat!$E:$E)*-1</f>
        <v>0</v>
      </c>
    </row>
    <row r="572" spans="2:12" x14ac:dyDescent="0.2">
      <c r="B572" s="160">
        <v>5</v>
      </c>
      <c r="C572" s="305" t="s">
        <v>1272</v>
      </c>
      <c r="D572" s="82" t="s">
        <v>1358</v>
      </c>
      <c r="E572" s="72">
        <f>SUMIF(Adat!$AG:$AG,CONCATENATE(61,$M$4,"094031",L565),Adat!$E:$E)*-1</f>
        <v>0</v>
      </c>
      <c r="F572" s="72">
        <f>SUMIF(Adat!$AG:$AG,CONCATENATE(60,$M$4,"094031",L565),Adat!$E:$E)*-1+E572</f>
        <v>0</v>
      </c>
      <c r="G572" s="72">
        <f>SUMIF(Adat!$AH:$AH,CONCATENATE($M$4,"(KÖT)","094031",L565),Adat!$E:$E)*-1</f>
        <v>0</v>
      </c>
      <c r="H572" s="72">
        <f>SUMIF(Adat!$AH:$AH,CONCATENATE($M$4,"(ÖNV)","094031",L565),Adat!$E:$E)*-1</f>
        <v>0</v>
      </c>
      <c r="I572" s="72">
        <f>SUMIF(Adat!$AH:$AH,CONCATENATE($M$4,"(ÁIG)","094031",L565),Adat!$E:$E)*-1</f>
        <v>0</v>
      </c>
    </row>
    <row r="573" spans="2:12" x14ac:dyDescent="0.2">
      <c r="B573" s="160">
        <v>6</v>
      </c>
      <c r="C573" s="305" t="s">
        <v>1359</v>
      </c>
      <c r="D573" s="82" t="s">
        <v>1360</v>
      </c>
      <c r="E573" s="72">
        <f>SUMIF(Adat!$AG:$AG,CONCATENATE(61,$M$4,"094041",L565),Adat!$E:$E)*-1</f>
        <v>0</v>
      </c>
      <c r="F573" s="72">
        <f>SUMIF(Adat!$AG:$AG,CONCATENATE(60,$M$4,"094041",L565),Adat!$E:$E)*-1+E573</f>
        <v>0</v>
      </c>
      <c r="G573" s="72">
        <f>SUMIF(Adat!$AH:$AH,CONCATENATE($M$4,"(KÖT)","094041",L565),Adat!$E:$E)*-1</f>
        <v>0</v>
      </c>
      <c r="H573" s="72">
        <f>SUMIF(Adat!$AH:$AH,CONCATENATE($M$4,"(ÖNV)","094041",L565),Adat!$E:$E)*-1</f>
        <v>0</v>
      </c>
      <c r="I573" s="72">
        <f>SUMIF(Adat!$AH:$AH,CONCATENATE($M$4,"(ÁIG)","094041",L565),Adat!$E:$E)*-1</f>
        <v>0</v>
      </c>
    </row>
    <row r="574" spans="2:12" x14ac:dyDescent="0.2">
      <c r="B574" s="160">
        <v>7</v>
      </c>
      <c r="C574" s="305" t="s">
        <v>1261</v>
      </c>
      <c r="D574" s="82" t="s">
        <v>1361</v>
      </c>
      <c r="E574" s="72">
        <f>SUMIF(Adat!$AG:$AG,CONCATENATE(61,$M$4,"094051",L565),Adat!$E:$E)*-1</f>
        <v>0</v>
      </c>
      <c r="F574" s="72">
        <f>SUMIF(Adat!$AG:$AG,CONCATENATE(60,$M$4,"094051",L565),Adat!$E:$E)*-1+E574</f>
        <v>0</v>
      </c>
      <c r="G574" s="72">
        <f>SUMIF(Adat!$AH:$AH,CONCATENATE($M$4,"(KÖT)","094051",L565),Adat!$E:$E)*-1</f>
        <v>0</v>
      </c>
      <c r="H574" s="72">
        <f>SUMIF(Adat!$AH:$AH,CONCATENATE($M$4,"(ÖNV)","094051",L565),Adat!$E:$E)*-1</f>
        <v>0</v>
      </c>
      <c r="I574" s="72">
        <f>SUMIF(Adat!$AH:$AH,CONCATENATE($M$4,"(ÁIG)","094051",L565),Adat!$E:$E)*-1</f>
        <v>0</v>
      </c>
    </row>
    <row r="575" spans="2:12" x14ac:dyDescent="0.2">
      <c r="B575" s="160">
        <v>8</v>
      </c>
      <c r="C575" s="305" t="s">
        <v>1273</v>
      </c>
      <c r="D575" s="82" t="s">
        <v>1362</v>
      </c>
      <c r="E575" s="72">
        <f>SUMIF(Adat!$AG:$AG,CONCATENATE(61,$M$4,"094061",L565),Adat!$E:$E)*-1</f>
        <v>0</v>
      </c>
      <c r="F575" s="72">
        <f>SUMIF(Adat!$AG:$AG,CONCATENATE(60,$M$4,"094061",L565),Adat!$E:$E)*-1+E575</f>
        <v>0</v>
      </c>
      <c r="G575" s="72">
        <f>SUMIF(Adat!$AH:$AH,CONCATENATE($M$4,"(KÖT)","094061",L565),Adat!$E:$E)*-1</f>
        <v>0</v>
      </c>
      <c r="H575" s="72">
        <f>SUMIF(Adat!$AH:$AH,CONCATENATE($M$4,"(ÖNV)","094061",L565),Adat!$E:$E)*-1</f>
        <v>0</v>
      </c>
      <c r="I575" s="72">
        <f>SUMIF(Adat!$AH:$AH,CONCATENATE($M$4,"(ÁIG)","094061",L565),Adat!$E:$E)*-1</f>
        <v>0</v>
      </c>
    </row>
    <row r="576" spans="2:12" x14ac:dyDescent="0.2">
      <c r="B576" s="160">
        <v>9</v>
      </c>
      <c r="C576" s="305" t="s">
        <v>1363</v>
      </c>
      <c r="D576" s="82" t="s">
        <v>1364</v>
      </c>
      <c r="E576" s="72">
        <f>SUMIF(Adat!$AG:$AG,CONCATENATE(61,$M$4,"094071",L565),Adat!$E:$E)*-1</f>
        <v>0</v>
      </c>
      <c r="F576" s="72">
        <f>SUMIF(Adat!$AG:$AG,CONCATENATE(60,$M$4,"094071",L565),Adat!$E:$E)*-1+E576</f>
        <v>0</v>
      </c>
      <c r="G576" s="72">
        <f>SUMIF(Adat!$AH:$AH,CONCATENATE($M$4,"(KÖT)","094071",L565),Adat!$E:$E)*-1</f>
        <v>0</v>
      </c>
      <c r="H576" s="72">
        <f>SUMIF(Adat!$AH:$AH,CONCATENATE($M$4,"(ÖNV)","094071",L565),Adat!$E:$E)*-1</f>
        <v>0</v>
      </c>
      <c r="I576" s="72">
        <f>SUMIF(Adat!$AH:$AH,CONCATENATE($M$4,"(ÁIG)","094071",L565),Adat!$E:$E)*-1</f>
        <v>0</v>
      </c>
    </row>
    <row r="577" spans="2:9" x14ac:dyDescent="0.2">
      <c r="B577" s="160">
        <v>10</v>
      </c>
      <c r="C577" s="305" t="s">
        <v>1306</v>
      </c>
      <c r="D577" s="82" t="s">
        <v>1365</v>
      </c>
      <c r="E577" s="72">
        <f>SUMIF(Adat!$AG:$AG,CONCATENATE(61,$M$4,"0940811",L565),Adat!$E:$E)*-1</f>
        <v>0</v>
      </c>
      <c r="F577" s="72">
        <f>SUMIF(Adat!$AG:$AG,CONCATENATE(60,$M$4,"0940811",L565),Adat!$E:$E)*-1+E577</f>
        <v>0</v>
      </c>
      <c r="G577" s="72">
        <f>SUMIF(Adat!$AH:$AH,CONCATENATE($M$4,"(KÖT)","0940811",L565),Adat!$E:$E)*-1</f>
        <v>0</v>
      </c>
      <c r="H577" s="72">
        <f>SUMIF(Adat!$AH:$AH,CONCATENATE($M$4,"(ÖNV)","0940811",L565),Adat!$E:$E)*-1</f>
        <v>0</v>
      </c>
      <c r="I577" s="72">
        <f>SUMIF(Adat!$AH:$AH,CONCATENATE($M$4,"(ÁIG)","0940811",L565),Adat!$E:$E)*-1</f>
        <v>0</v>
      </c>
    </row>
    <row r="578" spans="2:9" x14ac:dyDescent="0.2">
      <c r="B578" s="160">
        <v>11</v>
      </c>
      <c r="C578" s="305" t="s">
        <v>1295</v>
      </c>
      <c r="D578" s="82" t="s">
        <v>1366</v>
      </c>
      <c r="E578" s="72">
        <f>SUMIF(Adat!$AG:$AG,CONCATENATE(61,$M$4,"0940821",L565),Adat!$E:$E)*-1</f>
        <v>0</v>
      </c>
      <c r="F578" s="72">
        <f>SUMIF(Adat!$AG:$AG,CONCATENATE(60,$M$4,"0940821",L565),Adat!$E:$E)*-1+E578</f>
        <v>0</v>
      </c>
      <c r="G578" s="72">
        <f>SUMIF(Adat!$AH:$AH,CONCATENATE($M$4,"(KÖT)","0940821",L565),Adat!$E:$E)*-1</f>
        <v>0</v>
      </c>
      <c r="H578" s="72">
        <f>SUMIF(Adat!$AH:$AH,CONCATENATE($M$4,"(ÖNV)","0940821",L565),Adat!$E:$E)*-1</f>
        <v>0</v>
      </c>
      <c r="I578" s="72">
        <f>SUMIF(Adat!$AH:$AH,CONCATENATE($M$4,"(ÁIG)","0940821",L565),Adat!$E:$E)*-1</f>
        <v>0</v>
      </c>
    </row>
    <row r="579" spans="2:9" x14ac:dyDescent="0.2">
      <c r="B579" s="160">
        <v>12</v>
      </c>
      <c r="C579" s="305" t="s">
        <v>1367</v>
      </c>
      <c r="D579" s="82" t="s">
        <v>1368</v>
      </c>
      <c r="E579" s="72">
        <f>SUMIF(Adat!$AG:$AG,CONCATENATE(61,$M$4,"0940911",L565),Adat!$E:$E)*-1</f>
        <v>0</v>
      </c>
      <c r="F579" s="72">
        <f>SUMIF(Adat!$AG:$AG,CONCATENATE(60,$M$4,"0940911",L565),Adat!$E:$E)*-1+E579</f>
        <v>0</v>
      </c>
      <c r="G579" s="72">
        <f>SUMIF(Adat!$AH:$AH,CONCATENATE($M$4,"(KÖT)","0940911",L565),Adat!$E:$E)*-1</f>
        <v>0</v>
      </c>
      <c r="H579" s="72">
        <f>SUMIF(Adat!$AH:$AH,CONCATENATE($M$4,"(ÖNV)","0940911",L565),Adat!$E:$E)*-1</f>
        <v>0</v>
      </c>
      <c r="I579" s="72">
        <f>SUMIF(Adat!$AH:$AH,CONCATENATE($M$4,"(ÁIG)","0940911",L565),Adat!$E:$E)*-1</f>
        <v>0</v>
      </c>
    </row>
    <row r="580" spans="2:9" x14ac:dyDescent="0.2">
      <c r="B580" s="160">
        <v>13</v>
      </c>
      <c r="C580" s="305" t="s">
        <v>1369</v>
      </c>
      <c r="D580" s="82" t="s">
        <v>1370</v>
      </c>
      <c r="E580" s="72">
        <f>SUMIF(Adat!$AG:$AG,CONCATENATE(61,$M$4,"0940921",L565),Adat!$E:$E)*-1</f>
        <v>0</v>
      </c>
      <c r="F580" s="72">
        <f>SUMIF(Adat!$AG:$AG,CONCATENATE(60,$M$4,"0940921",L565),Adat!$E:$E)*-1+E580</f>
        <v>0</v>
      </c>
      <c r="G580" s="72">
        <f>SUMIF(Adat!$AH:$AH,CONCATENATE($M$4,"(KÖT)","0940921",L565),Adat!$E:$E)*-1</f>
        <v>0</v>
      </c>
      <c r="H580" s="72">
        <f>SUMIF(Adat!$AH:$AH,CONCATENATE($M$4,"(ÖNV)","0940921",L565),Adat!$E:$E)*-1</f>
        <v>0</v>
      </c>
      <c r="I580" s="72">
        <f>SUMIF(Adat!$AH:$AH,CONCATENATE($M$4,"(ÁIG)","0940921",L565),Adat!$E:$E)*-1</f>
        <v>0</v>
      </c>
    </row>
    <row r="581" spans="2:9" x14ac:dyDescent="0.2">
      <c r="B581" s="160">
        <v>14</v>
      </c>
      <c r="C581" s="305" t="s">
        <v>1296</v>
      </c>
      <c r="D581" s="82" t="s">
        <v>1371</v>
      </c>
      <c r="E581" s="72">
        <f>SUMIF(Adat!$AG:$AG,CONCATENATE(61,$M$4,"094101",L565),Adat!$E:$E)*-1</f>
        <v>0</v>
      </c>
      <c r="F581" s="72">
        <f>SUMIF(Adat!$AG:$AG,CONCATENATE(60,$M$4,"094101",L565),Adat!$E:$E)*-1+E581</f>
        <v>0</v>
      </c>
      <c r="G581" s="72">
        <f>SUMIF(Adat!$AH:$AH,CONCATENATE($M$4,"(KÖT)","094101",L565),Adat!$E:$E)*-1</f>
        <v>0</v>
      </c>
      <c r="H581" s="72">
        <f>SUMIF(Adat!$AH:$AH,CONCATENATE($M$4,"(ÖNV)","094101",L565),Adat!$E:$E)*-1</f>
        <v>0</v>
      </c>
      <c r="I581" s="72">
        <f>SUMIF(Adat!$AH:$AH,CONCATENATE($M$4,"(ÁIG)","094101",L565),Adat!$E:$E)*-1</f>
        <v>0</v>
      </c>
    </row>
    <row r="582" spans="2:9" x14ac:dyDescent="0.25">
      <c r="B582" s="160">
        <v>15</v>
      </c>
      <c r="C582" s="305" t="s">
        <v>1297</v>
      </c>
      <c r="D582" s="84" t="s">
        <v>1372</v>
      </c>
      <c r="E582" s="72">
        <f>SUMIF(Adat!$AG:$AG,CONCATENATE(61,$M$4,"094111",L565),Adat!$E:$E)*-1</f>
        <v>0</v>
      </c>
      <c r="F582" s="72">
        <f>SUMIF(Adat!$AG:$AG,CONCATENATE(60,$M$4,"094111",L565),Adat!$E:$E)*-1+E582</f>
        <v>0</v>
      </c>
      <c r="G582" s="72">
        <f>SUMIF(Adat!$AH:$AH,CONCATENATE($M$4,"(KÖT)","094111",L565),Adat!$E:$E)*-1</f>
        <v>0</v>
      </c>
      <c r="H582" s="72">
        <f>SUMIF(Adat!$AH:$AH,CONCATENATE($M$4,"(ÖNV)","094111",L565),Adat!$E:$E)*-1</f>
        <v>0</v>
      </c>
      <c r="I582" s="72">
        <f>SUMIF(Adat!$AH:$AH,CONCATENATE($M$4,"(ÁIG)","094111",L565),Adat!$E:$E)*-1</f>
        <v>0</v>
      </c>
    </row>
    <row r="583" spans="2:9" x14ac:dyDescent="0.25">
      <c r="B583" s="160">
        <v>16</v>
      </c>
      <c r="C583" s="78" t="s">
        <v>1328</v>
      </c>
      <c r="D583" s="85" t="s">
        <v>437</v>
      </c>
      <c r="E583" s="121">
        <f>SUM(E584:E586)</f>
        <v>0</v>
      </c>
      <c r="F583" s="121">
        <f>SUM(F584:F586)</f>
        <v>0</v>
      </c>
      <c r="G583" s="121">
        <f>SUM(G584:G586)</f>
        <v>0</v>
      </c>
      <c r="H583" s="121">
        <f>SUM(H584:H586)</f>
        <v>0</v>
      </c>
      <c r="I583" s="121">
        <f>SUM(I584:I586)</f>
        <v>0</v>
      </c>
    </row>
    <row r="584" spans="2:9" x14ac:dyDescent="0.2">
      <c r="B584" s="160">
        <v>17</v>
      </c>
      <c r="C584" s="305" t="s">
        <v>1329</v>
      </c>
      <c r="D584" s="82" t="s">
        <v>1330</v>
      </c>
      <c r="E584" s="72">
        <f>SUMIF(Adat!$AG:$AG,CONCATENATE(61,$M$4,"09121",L565),Adat!$E:$E)*-1</f>
        <v>0</v>
      </c>
      <c r="F584" s="72">
        <f>SUMIF(Adat!$AG:$AG,CONCATENATE(60,$M$4,"09121",L565),Adat!$E:$E)*-1+E584</f>
        <v>0</v>
      </c>
      <c r="G584" s="72">
        <f>SUMIF(Adat!$AH:$AH,CONCATENATE($M$4,"(KÖT)","09121",L565),Adat!$E:$E)*-1</f>
        <v>0</v>
      </c>
      <c r="H584" s="72">
        <f>SUMIF(Adat!$AH:$AH,CONCATENATE($M$4,"(ÖNV)","09121",L565),Adat!$E:$E)*-1</f>
        <v>0</v>
      </c>
      <c r="I584" s="72">
        <f>SUMIF(Adat!$AH:$AH,CONCATENATE($M$4,"(ÁIG)","09121",L565),Adat!$E:$E)*-1</f>
        <v>0</v>
      </c>
    </row>
    <row r="585" spans="2:9" x14ac:dyDescent="0.2">
      <c r="B585" s="160">
        <v>18</v>
      </c>
      <c r="C585" s="305" t="s">
        <v>1335</v>
      </c>
      <c r="D585" s="82" t="s">
        <v>1336</v>
      </c>
      <c r="E585" s="72">
        <f>SUMIF(Adat!$AG:$AG,CONCATENATE(61,$M$4,"09151",L565),Adat!$E:$E)*-1</f>
        <v>0</v>
      </c>
      <c r="F585" s="72">
        <f>SUMIF(Adat!$AG:$AG,CONCATENATE(60,$M$4,"09151",L565),Adat!$E:$E)*-1+E585</f>
        <v>0</v>
      </c>
      <c r="G585" s="72">
        <f>SUMIF(Adat!$AH:$AH,CONCATENATE($M$4,"(KÖT)","09151",L565),Adat!$E:$E)*-1</f>
        <v>0</v>
      </c>
      <c r="H585" s="72">
        <f>SUMIF(Adat!$AH:$AH,CONCATENATE($M$4,"(ÖNV)","09151",L565),Adat!$E:$E)*-1</f>
        <v>0</v>
      </c>
      <c r="I585" s="72">
        <f>SUMIF(Adat!$AH:$AH,CONCATENATE($M$4,"(ÁIG)","09151",L565),Adat!$E:$E)*-1</f>
        <v>0</v>
      </c>
    </row>
    <row r="586" spans="2:9" x14ac:dyDescent="0.2">
      <c r="B586" s="160">
        <v>19</v>
      </c>
      <c r="C586" s="305" t="s">
        <v>1278</v>
      </c>
      <c r="D586" s="82" t="s">
        <v>1337</v>
      </c>
      <c r="E586" s="72">
        <f>SUMIF(Adat!$AG:$AG,CONCATENATE(61,$M$4,"09161",L565),Adat!$E:$E)*-1</f>
        <v>0</v>
      </c>
      <c r="F586" s="72">
        <f>SUMIF(Adat!$AG:$AG,CONCATENATE(60,$M$4,"09161",L565),Adat!$E:$E)*-1+E586</f>
        <v>0</v>
      </c>
      <c r="G586" s="72">
        <f>SUMIF(Adat!$AH:$AH,CONCATENATE($M$4,"(KÖT)","09161",L565),Adat!$E:$E)*-1</f>
        <v>0</v>
      </c>
      <c r="H586" s="72">
        <f>SUMIF(Adat!$AH:$AH,CONCATENATE($M$4,"(ÖNV)","09161",L565),Adat!$E:$E)*-1</f>
        <v>0</v>
      </c>
      <c r="I586" s="72">
        <f>SUMIF(Adat!$AH:$AH,CONCATENATE($M$4,"(ÁIG)","09161",L565),Adat!$E:$E)*-1</f>
        <v>0</v>
      </c>
    </row>
    <row r="587" spans="2:9" x14ac:dyDescent="0.25">
      <c r="B587" s="160">
        <v>20</v>
      </c>
      <c r="C587" s="79" t="s">
        <v>27</v>
      </c>
      <c r="D587" s="79" t="s">
        <v>328</v>
      </c>
      <c r="E587" s="71">
        <f>SUMIF(Adat!$AI:$AI,CONCATENATE(61,$M$4,"093",L565),Adat!$E:$E)*-1</f>
        <v>0</v>
      </c>
      <c r="F587" s="71">
        <f>SUMIF(Adat!$AI:$AI,CONCATENATE(60,$M$4,"093",L565),Adat!$E:$E)*-1+E587</f>
        <v>0</v>
      </c>
      <c r="G587" s="71">
        <f>SUMIF(Adat!$AJ:$AJ,CONCATENATE($M$4,"093","(KÖT)",L565),Adat!$E:$E)*-1</f>
        <v>0</v>
      </c>
      <c r="H587" s="71">
        <f>SUMIF(Adat!$AJ:$AJ,CONCATENATE($M$4,"093","(ÖNV)",L565),Adat!$E:$E)*-1</f>
        <v>0</v>
      </c>
      <c r="I587" s="71">
        <f>SUMIF(Adat!$AJ:$AJ,CONCATENATE($M$4,"093","(ÁIG)",L565),Adat!$E:$E)*-1</f>
        <v>0</v>
      </c>
    </row>
    <row r="588" spans="2:9" x14ac:dyDescent="0.25">
      <c r="B588" s="160">
        <v>21</v>
      </c>
      <c r="C588" s="79" t="s">
        <v>24</v>
      </c>
      <c r="D588" s="79" t="s">
        <v>449</v>
      </c>
      <c r="E588" s="121">
        <f>SUM(E589:E591)</f>
        <v>0</v>
      </c>
      <c r="F588" s="121">
        <f t="shared" ref="F588:I588" si="37">SUM(F589:F591)</f>
        <v>0</v>
      </c>
      <c r="G588" s="121">
        <f t="shared" si="37"/>
        <v>0</v>
      </c>
      <c r="H588" s="121">
        <f t="shared" si="37"/>
        <v>0</v>
      </c>
      <c r="I588" s="121">
        <f t="shared" si="37"/>
        <v>0</v>
      </c>
    </row>
    <row r="589" spans="2:9" x14ac:dyDescent="0.2">
      <c r="B589" s="160">
        <v>22</v>
      </c>
      <c r="C589" s="305" t="s">
        <v>1339</v>
      </c>
      <c r="D589" s="82" t="s">
        <v>1340</v>
      </c>
      <c r="E589" s="72">
        <f>SUMIF(Adat!$AG:$AG,CONCATENATE(61,$M$4,"09211",L565),Adat!$E:$E)*-1</f>
        <v>0</v>
      </c>
      <c r="F589" s="72">
        <f>SUMIF(Adat!$AG:$AG,CONCATENATE(60,$M$4,"09211",L565),Adat!$E:$E)*-1+E589</f>
        <v>0</v>
      </c>
      <c r="G589" s="72">
        <f>SUMIF(Adat!$AH:$AH,CONCATENATE($M$4,"(KÖT)","09211",L565),Adat!$E:$E)*-1</f>
        <v>0</v>
      </c>
      <c r="H589" s="72">
        <f>SUMIF(Adat!$AH:$AH,CONCATENATE($M$4,"(ÖNV)","09211",L565),Adat!$E:$E)*-1</f>
        <v>0</v>
      </c>
      <c r="I589" s="72">
        <f>SUMIF(Adat!$AH:$AH,CONCATENATE($M$4,"(ÁIG)","09211",L565),Adat!$E:$E)*-1</f>
        <v>0</v>
      </c>
    </row>
    <row r="590" spans="2:9" x14ac:dyDescent="0.2">
      <c r="B590" s="160">
        <v>23</v>
      </c>
      <c r="C590" s="305" t="s">
        <v>1345</v>
      </c>
      <c r="D590" s="82" t="s">
        <v>1346</v>
      </c>
      <c r="E590" s="72">
        <f>SUMIF(Adat!$AG:$AG,CONCATENATE(61,$M$4,"09241",L565),Adat!$E:$E)*-1</f>
        <v>0</v>
      </c>
      <c r="F590" s="72">
        <f>SUMIF(Adat!$AG:$AG,CONCATENATE(60,$M$4,"09241",L565),Adat!$E:$E)*-1+E590</f>
        <v>0</v>
      </c>
      <c r="G590" s="72">
        <f>SUMIF(Adat!$AH:$AH,CONCATENATE($M$4,"(KÖT)","09241",L565),Adat!$E:$E)*-1</f>
        <v>0</v>
      </c>
      <c r="H590" s="72">
        <f>SUMIF(Adat!$AH:$AH,CONCATENATE($M$4,"(ÖNV)","09241",L565),Adat!$E:$E)*-1</f>
        <v>0</v>
      </c>
      <c r="I590" s="72">
        <f>SUMIF(Adat!$AH:$AH,CONCATENATE($M$4,"(ÁIG)","09241",L565),Adat!$E:$E)*-1</f>
        <v>0</v>
      </c>
    </row>
    <row r="591" spans="2:9" x14ac:dyDescent="0.2">
      <c r="B591" s="160">
        <v>24</v>
      </c>
      <c r="C591" s="305" t="s">
        <v>1255</v>
      </c>
      <c r="D591" s="82" t="s">
        <v>1347</v>
      </c>
      <c r="E591" s="72">
        <f>SUMIF(Adat!$AG:$AG,CONCATENATE(61,$M$4,"09251",L565),Adat!$E:$E)*-1</f>
        <v>0</v>
      </c>
      <c r="F591" s="72">
        <f>SUMIF(Adat!$AG:$AG,CONCATENATE(60,$M$4,"09251",L565),Adat!$E:$E)*-1+E591</f>
        <v>0</v>
      </c>
      <c r="G591" s="72">
        <f>SUMIF(Adat!$AH:$AH,CONCATENATE($M$4,"(KÖT)","09251",L565),Adat!$E:$E)*-1</f>
        <v>0</v>
      </c>
      <c r="H591" s="72">
        <f>SUMIF(Adat!$AH:$AH,CONCATENATE($M$4,"(ÖNV)","09251",L565),Adat!$E:$E)*-1</f>
        <v>0</v>
      </c>
      <c r="I591" s="72">
        <f>SUMIF(Adat!$AH:$AH,CONCATENATE($M$4,"(ÁIG)","09251",L565),Adat!$E:$E)*-1</f>
        <v>0</v>
      </c>
    </row>
    <row r="592" spans="2:9" x14ac:dyDescent="0.25">
      <c r="B592" s="160">
        <v>25</v>
      </c>
      <c r="C592" s="79" t="s">
        <v>33</v>
      </c>
      <c r="D592" s="79" t="s">
        <v>330</v>
      </c>
      <c r="E592" s="121">
        <f>SUM(E593:E595)</f>
        <v>0</v>
      </c>
      <c r="F592" s="121">
        <f t="shared" ref="F592:I592" si="38">SUM(F593:F595)</f>
        <v>0</v>
      </c>
      <c r="G592" s="121">
        <f t="shared" si="38"/>
        <v>0</v>
      </c>
      <c r="H592" s="121">
        <f t="shared" si="38"/>
        <v>0</v>
      </c>
      <c r="I592" s="121">
        <f t="shared" si="38"/>
        <v>0</v>
      </c>
    </row>
    <row r="593" spans="2:12" x14ac:dyDescent="0.2">
      <c r="B593" s="160">
        <v>26</v>
      </c>
      <c r="C593" s="305" t="s">
        <v>1373</v>
      </c>
      <c r="D593" s="82" t="s">
        <v>1374</v>
      </c>
      <c r="E593" s="72">
        <f>SUMIF(Adat!$AG:$AG,CONCATENATE(61,$M$4,"09511",L565),Adat!$E:$E)*-1</f>
        <v>0</v>
      </c>
      <c r="F593" s="72">
        <f>SUMIF(Adat!$AG:$AG,CONCATENATE(60,$M$4,"09511",L565),Adat!$E:$E)*-1+E593</f>
        <v>0</v>
      </c>
      <c r="G593" s="72">
        <f>SUMIF(Adat!$AH:$AH,CONCATENATE($M$4,"(KÖT)","09511",L565),Adat!$E:$E)*-1</f>
        <v>0</v>
      </c>
      <c r="H593" s="72">
        <f>SUMIF(Adat!$AH:$AH,CONCATENATE($M$4,"(ÖNV)","09511",L565),Adat!$E:$E)*-1</f>
        <v>0</v>
      </c>
      <c r="I593" s="72">
        <f>SUMIF(Adat!$AH:$AH,CONCATENATE($M$4,"(ÁIG)","09511",L565),Adat!$E:$E)*-1</f>
        <v>0</v>
      </c>
    </row>
    <row r="594" spans="2:12" x14ac:dyDescent="0.2">
      <c r="B594" s="160">
        <v>27</v>
      </c>
      <c r="C594" s="305" t="s">
        <v>1294</v>
      </c>
      <c r="D594" s="82" t="s">
        <v>1375</v>
      </c>
      <c r="E594" s="72">
        <f>SUMIF(Adat!$AG:$AG,CONCATENATE(61,$M$4,"09521",L565),Adat!$E:$E)*-1</f>
        <v>0</v>
      </c>
      <c r="F594" s="72">
        <f>SUMIF(Adat!$AG:$AG,CONCATENATE(60,$M$4,"09521",L565),Adat!$E:$E)*-1+E594</f>
        <v>0</v>
      </c>
      <c r="G594" s="72">
        <f>SUMIF(Adat!$AH:$AH,CONCATENATE($M$4,"(KÖT)","09521",L565),Adat!$E:$E)*-1</f>
        <v>0</v>
      </c>
      <c r="H594" s="72">
        <f>SUMIF(Adat!$AH:$AH,CONCATENATE($M$4,"(ÖNV)","09521",L565),Adat!$E:$E)*-1</f>
        <v>0</v>
      </c>
      <c r="I594" s="72">
        <f>SUMIF(Adat!$AH:$AH,CONCATENATE($M$4,"(ÁIG)","09521",L565),Adat!$E:$E)*-1</f>
        <v>0</v>
      </c>
    </row>
    <row r="595" spans="2:12" x14ac:dyDescent="0.2">
      <c r="B595" s="160">
        <v>28</v>
      </c>
      <c r="C595" s="305" t="s">
        <v>1376</v>
      </c>
      <c r="D595" s="82" t="s">
        <v>1377</v>
      </c>
      <c r="E595" s="72">
        <f>SUMIF(Adat!$AG:$AG,CONCATENATE(61,$M$4,"09531",L565),Adat!$E:$E)*-1</f>
        <v>0</v>
      </c>
      <c r="F595" s="72">
        <f>SUMIF(Adat!$AG:$AG,CONCATENATE(60,$M$4,"09531",L565),Adat!$E:$E)*-1+E595</f>
        <v>0</v>
      </c>
      <c r="G595" s="72">
        <f>SUMIF(Adat!$AH:$AH,CONCATENATE($M$4,"(KÖT)","09531",L565),Adat!$E:$E)*-1</f>
        <v>0</v>
      </c>
      <c r="H595" s="72">
        <f>SUMIF(Adat!$AH:$AH,CONCATENATE($M$4,"(ÖNV)","09531",L565),Adat!$E:$E)*-1</f>
        <v>0</v>
      </c>
      <c r="I595" s="72">
        <f>SUMIF(Adat!$AH:$AH,CONCATENATE($M$4,"(ÁIG)","09531",L565),Adat!$E:$E)*-1</f>
        <v>0</v>
      </c>
    </row>
    <row r="596" spans="2:12" x14ac:dyDescent="0.25">
      <c r="B596" s="160">
        <v>29</v>
      </c>
      <c r="C596" s="79" t="s">
        <v>36</v>
      </c>
      <c r="D596" s="79" t="s">
        <v>331</v>
      </c>
      <c r="E596" s="71">
        <f>SUMIF(Adat!$AI:$AI,CONCATENATE(61,$M$4,"096",L565),Adat!$E:$E)*-1</f>
        <v>0</v>
      </c>
      <c r="F596" s="71">
        <f>SUMIF(Adat!$AI:$AI,CONCATENATE(60,$M$4,"096",L565),Adat!$E:$E)*-1+E596</f>
        <v>0</v>
      </c>
      <c r="G596" s="71">
        <f>SUMIF(Adat!$AJ:$AJ,CONCATENATE($M$4,"096","(KÖT)",L565),Adat!$E:$E)*-1</f>
        <v>0</v>
      </c>
      <c r="H596" s="71">
        <f>SUMIF(Adat!$AJ:$AJ,CONCATENATE($M$4,"096","(ÖNV)",L565),Adat!$E:$E)*-1</f>
        <v>0</v>
      </c>
      <c r="I596" s="71">
        <f>SUMIF(Adat!$AJ:$AJ,CONCATENATE($M$4,"096","(ÁIG)",L565),Adat!$E:$E)*-1</f>
        <v>0</v>
      </c>
    </row>
    <row r="597" spans="2:12" x14ac:dyDescent="0.25">
      <c r="B597" s="160">
        <v>30</v>
      </c>
      <c r="C597" s="79" t="s">
        <v>38</v>
      </c>
      <c r="D597" s="85" t="s">
        <v>332</v>
      </c>
      <c r="E597" s="71">
        <f>SUMIF(Adat!$AI:$AI,CONCATENATE(61,$M$4,"097",L565),Adat!$E:$E)*-1</f>
        <v>0</v>
      </c>
      <c r="F597" s="71">
        <f>SUMIF(Adat!$AI:$AI,CONCATENATE(60,$M$4,"097",L565),Adat!$E:$E)*-1+E597</f>
        <v>0</v>
      </c>
      <c r="G597" s="71">
        <f>SUMIF(Adat!$AJ:$AJ,CONCATENATE($M$4,"097","(KÖT)",L565),Adat!$E:$E)*-1</f>
        <v>0</v>
      </c>
      <c r="H597" s="71">
        <f>SUMIF(Adat!$AJ:$AJ,CONCATENATE($M$4,"097","(ÖNV)",L565),Adat!$E:$E)*-1</f>
        <v>0</v>
      </c>
      <c r="I597" s="71">
        <f>SUMIF(Adat!$AJ:$AJ,CONCATENATE($M$4,"097","(ÁIG)",L565),Adat!$E:$E)*-1</f>
        <v>0</v>
      </c>
    </row>
    <row r="598" spans="2:12" x14ac:dyDescent="0.25">
      <c r="B598" s="160">
        <v>31</v>
      </c>
      <c r="C598" s="154" t="s">
        <v>352</v>
      </c>
      <c r="D598" s="86" t="s">
        <v>1500</v>
      </c>
      <c r="E598" s="121">
        <f>E569+E583+E587+E588+E592+E596+E597</f>
        <v>0</v>
      </c>
      <c r="F598" s="121">
        <f>F569+F583+F587+F588+F592+F596+F597</f>
        <v>0</v>
      </c>
      <c r="G598" s="121">
        <f>G569+G583+G587+G588+G592+G596+G597</f>
        <v>0</v>
      </c>
      <c r="H598" s="121">
        <f>H569+H583+H587+H588+H592+H596+H597</f>
        <v>0</v>
      </c>
      <c r="I598" s="121">
        <f>I569+I583+I587+I588+I592+I596+I597</f>
        <v>0</v>
      </c>
    </row>
    <row r="599" spans="2:12" x14ac:dyDescent="0.25">
      <c r="B599" s="160">
        <v>32</v>
      </c>
      <c r="C599" s="154" t="s">
        <v>358</v>
      </c>
      <c r="D599" s="86" t="s">
        <v>333</v>
      </c>
      <c r="E599" s="121">
        <f>SUM(E600:E602)</f>
        <v>0</v>
      </c>
      <c r="F599" s="121">
        <f t="shared" ref="F599:I599" si="39">SUM(F600:F602)</f>
        <v>0</v>
      </c>
      <c r="G599" s="121">
        <f t="shared" si="39"/>
        <v>0</v>
      </c>
      <c r="H599" s="121">
        <f t="shared" si="39"/>
        <v>0</v>
      </c>
      <c r="I599" s="121">
        <f t="shared" si="39"/>
        <v>0</v>
      </c>
    </row>
    <row r="600" spans="2:12" x14ac:dyDescent="0.2">
      <c r="B600" s="160">
        <v>33</v>
      </c>
      <c r="C600" s="305" t="s">
        <v>1274</v>
      </c>
      <c r="D600" s="82" t="s">
        <v>1419</v>
      </c>
      <c r="E600" s="72">
        <f>SUMIF(Adat!$AG:$AG,CONCATENATE(61,$M$4,"0981311",L565),Adat!$E:$E)*-1</f>
        <v>0</v>
      </c>
      <c r="F600" s="72">
        <f>SUMIF(Adat!$AG:$AG,CONCATENATE(60,$M$4,"0981311",L565),Adat!$E:$E)*-1+E600</f>
        <v>0</v>
      </c>
      <c r="G600" s="72">
        <f>SUMIF(Adat!$AH:$AH,CONCATENATE($M$4,"(KÖT)","0981311",L565),Adat!$E:$E)*-1</f>
        <v>0</v>
      </c>
      <c r="H600" s="72">
        <f>SUMIF(Adat!$AH:$AH,CONCATENATE($M$4,"(ÖNV)","0981311",L565),Adat!$E:$E)*-1</f>
        <v>0</v>
      </c>
      <c r="I600" s="72">
        <f>SUMIF(Adat!$AH:$AH,CONCATENATE($M$4,"(ÁIG)","0981311",L565),Adat!$E:$E)*-1</f>
        <v>0</v>
      </c>
    </row>
    <row r="601" spans="2:12" x14ac:dyDescent="0.25">
      <c r="B601" s="160">
        <v>34</v>
      </c>
      <c r="C601" s="305" t="s">
        <v>1420</v>
      </c>
      <c r="D601" s="84" t="s">
        <v>1421</v>
      </c>
      <c r="E601" s="72">
        <f>SUMIF(Adat!$AG:$AG,CONCATENATE(61,$M$4,"0981321",L565),Adat!$E:$E)*-1</f>
        <v>0</v>
      </c>
      <c r="F601" s="72">
        <f>SUMIF(Adat!$AG:$AG,CONCATENATE(60,$M$4,"0981321",L565),Adat!$E:$E)*-1+E601</f>
        <v>0</v>
      </c>
      <c r="G601" s="72">
        <f>SUMIF(Adat!$AH:$AH,CONCATENATE($M$4,"(KÖT)","0981321",L565),Adat!$E:$E)*-1</f>
        <v>0</v>
      </c>
      <c r="H601" s="72">
        <f>SUMIF(Adat!$AH:$AH,CONCATENATE($M$4,"(ÖNV)","0981321",L565),Adat!$E:$E)*-1</f>
        <v>0</v>
      </c>
      <c r="I601" s="72">
        <f>SUMIF(Adat!$AH:$AH,CONCATENATE($M$4,"(ÁIG)","0981321",L565),Adat!$E:$E)*-1</f>
        <v>0</v>
      </c>
    </row>
    <row r="602" spans="2:12" x14ac:dyDescent="0.25">
      <c r="B602" s="160">
        <v>35</v>
      </c>
      <c r="C602" s="319" t="s">
        <v>1275</v>
      </c>
      <c r="D602" s="84" t="s">
        <v>1501</v>
      </c>
      <c r="E602" s="72">
        <f>SUMIF(Adat!$AG:$AG,CONCATENATE(61,$M$4,"098161",L565),Adat!$E:$E)*-1</f>
        <v>0</v>
      </c>
      <c r="F602" s="72">
        <f>SUMIF(Adat!$AG:$AG,CONCATENATE(60,$M$4,"098161",L565),Adat!$E:$E)*-1+E602</f>
        <v>0</v>
      </c>
      <c r="G602" s="72">
        <f>SUMIF(Adat!$AH:$AH,CONCATENATE($M$4,"(KÖT)","098161",L565),Adat!$E:$E)*-1</f>
        <v>0</v>
      </c>
      <c r="H602" s="72">
        <f>SUMIF(Adat!$AH:$AH,CONCATENATE($M$4,"(ÖNV)","098161",L565),Adat!$E:$E)*-1</f>
        <v>0</v>
      </c>
      <c r="I602" s="72">
        <f>SUMIF(Adat!$AH:$AH,CONCATENATE($M$4,"(ÁIG)","098161",L565),Adat!$E:$E)*-1</f>
        <v>0</v>
      </c>
    </row>
    <row r="603" spans="2:12" x14ac:dyDescent="0.25">
      <c r="B603" s="160">
        <v>36</v>
      </c>
      <c r="C603" s="154" t="s">
        <v>364</v>
      </c>
      <c r="D603" s="159" t="s">
        <v>1502</v>
      </c>
      <c r="E603" s="121">
        <f>+E598+E599</f>
        <v>0</v>
      </c>
      <c r="F603" s="121">
        <f>+F598+F599</f>
        <v>0</v>
      </c>
      <c r="G603" s="121">
        <f>+G598+G599</f>
        <v>0</v>
      </c>
      <c r="H603" s="121">
        <f>+H598+H599</f>
        <v>0</v>
      </c>
      <c r="I603" s="121">
        <f>+I598+I599</f>
        <v>0</v>
      </c>
    </row>
    <row r="604" spans="2:12" ht="15.75" x14ac:dyDescent="0.25">
      <c r="B604" s="38"/>
      <c r="C604" s="156"/>
      <c r="D604" s="38"/>
      <c r="E604" s="140"/>
      <c r="F604" s="140"/>
      <c r="G604" s="140"/>
      <c r="H604" s="140"/>
      <c r="I604" s="140"/>
    </row>
    <row r="605" spans="2:12" s="10" customFormat="1" ht="15.75" customHeight="1" x14ac:dyDescent="0.25">
      <c r="B605" s="201" t="str">
        <f>CONCATENATE("20. Kiadási jogcímek"," - ",L605," részletező")</f>
        <v>20. Kiadási jogcímek -  részletező</v>
      </c>
      <c r="C605" s="101"/>
      <c r="D605" s="101"/>
      <c r="E605" s="101"/>
      <c r="F605" s="101"/>
      <c r="G605" s="198"/>
      <c r="H605" s="198"/>
      <c r="I605" s="198"/>
      <c r="L605" s="384"/>
    </row>
    <row r="606" spans="2:12" ht="15.75" x14ac:dyDescent="0.25">
      <c r="B606" s="38"/>
      <c r="C606" s="156"/>
      <c r="D606" s="38"/>
      <c r="E606" s="140"/>
      <c r="F606" s="140"/>
      <c r="G606" s="140"/>
      <c r="H606" s="140"/>
      <c r="I606" s="140"/>
    </row>
    <row r="607" spans="2:12" x14ac:dyDescent="0.25">
      <c r="B607" s="77"/>
      <c r="C607" s="77" t="s">
        <v>350</v>
      </c>
      <c r="D607" s="77" t="s">
        <v>351</v>
      </c>
      <c r="E607" s="77" t="s">
        <v>470</v>
      </c>
      <c r="F607" s="77" t="s">
        <v>471</v>
      </c>
      <c r="G607" s="77" t="s">
        <v>44</v>
      </c>
      <c r="H607" s="77" t="s">
        <v>42</v>
      </c>
      <c r="I607" s="77" t="s">
        <v>511</v>
      </c>
    </row>
    <row r="608" spans="2:12" ht="38.25" x14ac:dyDescent="0.25">
      <c r="B608" s="160">
        <v>1</v>
      </c>
      <c r="C608" s="154" t="s">
        <v>593</v>
      </c>
      <c r="D608" s="154" t="s">
        <v>488</v>
      </c>
      <c r="E608" s="163" t="str">
        <f>CONCATENATE(PAR!$H$3," évi
eredeti 
előirányzat")</f>
        <v>2025. évi
eredeti 
előirányzat</v>
      </c>
      <c r="F608" s="163" t="str">
        <f>CONCATENATE(PAR!$H$3," évi
módosított 
előirányzat")</f>
        <v>2025. évi
módosított 
előirányzat</v>
      </c>
      <c r="G608" s="78" t="s">
        <v>666</v>
      </c>
      <c r="H608" s="78" t="s">
        <v>667</v>
      </c>
      <c r="I608" s="78" t="s">
        <v>668</v>
      </c>
    </row>
    <row r="609" spans="2:9" x14ac:dyDescent="0.25">
      <c r="B609" s="160">
        <v>2</v>
      </c>
      <c r="C609" s="78" t="s">
        <v>352</v>
      </c>
      <c r="D609" s="92" t="s">
        <v>1444</v>
      </c>
      <c r="E609" s="121">
        <f>SUM(E610:E614)</f>
        <v>0</v>
      </c>
      <c r="F609" s="121">
        <f>SUM(F610:F614)</f>
        <v>0</v>
      </c>
      <c r="G609" s="121">
        <f>SUM(G610:G614)</f>
        <v>0</v>
      </c>
      <c r="H609" s="121">
        <f>SUM(H610:H614)</f>
        <v>0</v>
      </c>
      <c r="I609" s="121">
        <f>SUM(I610:I614)</f>
        <v>0</v>
      </c>
    </row>
    <row r="610" spans="2:9" x14ac:dyDescent="0.25">
      <c r="B610" s="160">
        <v>3</v>
      </c>
      <c r="C610" s="305" t="s">
        <v>315</v>
      </c>
      <c r="D610" s="93" t="s">
        <v>342</v>
      </c>
      <c r="E610" s="72">
        <f>SUMIF(Adat!$AI:$AI,CONCATENATE(61,$M$4,"051",L605),Adat!$E:$E)</f>
        <v>0</v>
      </c>
      <c r="F610" s="72">
        <f>SUMIF(Adat!$AI:$AI,CONCATENATE(60,$M$4,"051",L605),Adat!$E:$E)+E610</f>
        <v>0</v>
      </c>
      <c r="G610" s="72">
        <f>SUMIF(Adat!$AJ:$AJ,CONCATENATE($M$4,"051","(KÖT)",L605),Adat!$E:$E)</f>
        <v>0</v>
      </c>
      <c r="H610" s="72">
        <f>SUMIF(Adat!$AJ:$AJ,CONCATENATE($M$4,"051","(ÖNV)",L605),Adat!$E:$E)</f>
        <v>0</v>
      </c>
      <c r="I610" s="72">
        <f>SUMIF(Adat!$AJ:$AJ,CONCATENATE($M$4,"051","(ÁIG)",L605),Adat!$E:$E)</f>
        <v>0</v>
      </c>
    </row>
    <row r="611" spans="2:9" x14ac:dyDescent="0.25">
      <c r="B611" s="160">
        <v>4</v>
      </c>
      <c r="C611" s="305" t="s">
        <v>317</v>
      </c>
      <c r="D611" s="93" t="s">
        <v>395</v>
      </c>
      <c r="E611" s="72">
        <f>SUMIF(Adat!$AI:$AI,CONCATENATE(61,$M$4,"052",L605),Adat!$E:$E)</f>
        <v>0</v>
      </c>
      <c r="F611" s="72">
        <f>SUMIF(Adat!$AI:$AI,CONCATENATE(60,$M$4,"052",L605),Adat!$E:$E)+E611</f>
        <v>0</v>
      </c>
      <c r="G611" s="72">
        <f>SUMIF(Adat!$AJ:$AJ,CONCATENATE($M$4,"052","(KÖT)",L605),Adat!$E:$E)</f>
        <v>0</v>
      </c>
      <c r="H611" s="72">
        <f>SUMIF(Adat!$AJ:$AJ,CONCATENATE($M$4,"052","(ÖNV)",L605),Adat!$E:$E)</f>
        <v>0</v>
      </c>
      <c r="I611" s="72">
        <f>SUMIF(Adat!$AJ:$AJ,CONCATENATE($M$4,"052","(ÁIG)",L605),Adat!$E:$E)</f>
        <v>0</v>
      </c>
    </row>
    <row r="612" spans="2:9" x14ac:dyDescent="0.25">
      <c r="B612" s="160">
        <v>5</v>
      </c>
      <c r="C612" s="305" t="s">
        <v>4</v>
      </c>
      <c r="D612" s="93" t="s">
        <v>344</v>
      </c>
      <c r="E612" s="72">
        <f>SUMIF(Adat!$AI:$AI,CONCATENATE(61,$M$4,"053",L605),Adat!$E:$E)</f>
        <v>0</v>
      </c>
      <c r="F612" s="72">
        <f>SUMIF(Adat!$AI:$AI,CONCATENATE(60,$M$4,"053",L605),Adat!$E:$E)+E612</f>
        <v>0</v>
      </c>
      <c r="G612" s="72">
        <f>SUMIF(Adat!$AJ:$AJ,CONCATENATE($M$4,"053","(KÖT)",L605),Adat!$E:$E)</f>
        <v>0</v>
      </c>
      <c r="H612" s="72">
        <f>SUMIF(Adat!$AJ:$AJ,CONCATENATE($M$4,"053","(ÖNV)",L605),Adat!$E:$E)</f>
        <v>0</v>
      </c>
      <c r="I612" s="72">
        <f>SUMIF(Adat!$AJ:$AJ,CONCATENATE($M$4,"053","(ÁIG)",L605),Adat!$E:$E)</f>
        <v>0</v>
      </c>
    </row>
    <row r="613" spans="2:9" x14ac:dyDescent="0.25">
      <c r="B613" s="160">
        <v>6</v>
      </c>
      <c r="C613" s="305" t="s">
        <v>6</v>
      </c>
      <c r="D613" s="93" t="s">
        <v>345</v>
      </c>
      <c r="E613" s="72">
        <f>SUMIF(Adat!$AI:$AI,CONCATENATE(61,$M$4,"054",L605),Adat!$E:$E)</f>
        <v>0</v>
      </c>
      <c r="F613" s="72">
        <f>SUMIF(Adat!$AI:$AI,CONCATENATE(60,$M$4,"054",L605),Adat!$E:$E)+E613</f>
        <v>0</v>
      </c>
      <c r="G613" s="72">
        <f>SUMIF(Adat!$AJ:$AJ,CONCATENATE($M$4,"054","(KÖT)",L605),Adat!$E:$E)</f>
        <v>0</v>
      </c>
      <c r="H613" s="72">
        <f>SUMIF(Adat!$AJ:$AJ,CONCATENATE($M$4,"054","(ÖNV)",L605),Adat!$E:$E)</f>
        <v>0</v>
      </c>
      <c r="I613" s="72">
        <f>SUMIF(Adat!$AJ:$AJ,CONCATENATE($M$4,"054","(ÁIG)",L605),Adat!$E:$E)</f>
        <v>0</v>
      </c>
    </row>
    <row r="614" spans="2:9" x14ac:dyDescent="0.25">
      <c r="B614" s="160">
        <v>7</v>
      </c>
      <c r="C614" s="305" t="s">
        <v>8</v>
      </c>
      <c r="D614" s="93" t="s">
        <v>321</v>
      </c>
      <c r="E614" s="72">
        <f>SUMIF(Adat!$AI:$AI,CONCATENATE(61,$M$4,"055",L605),Adat!$E:$E)</f>
        <v>0</v>
      </c>
      <c r="F614" s="72">
        <f>SUMIF(Adat!$AI:$AI,CONCATENATE(60,$M$4,"055",L605),Adat!$E:$E)+E614</f>
        <v>0</v>
      </c>
      <c r="G614" s="72">
        <f>SUMIF(Adat!$AJ:$AJ,CONCATENATE($M$4,"055","(KÖT)",L605),Adat!$E:$E)</f>
        <v>0</v>
      </c>
      <c r="H614" s="72">
        <f>SUMIF(Adat!$AJ:$AJ,CONCATENATE($M$4,"055","(ÖNV)",L605),Adat!$E:$E)</f>
        <v>0</v>
      </c>
      <c r="I614" s="72">
        <f>SUMIF(Adat!$AJ:$AJ,CONCATENATE($M$4,"055","(ÁIG)",L605),Adat!$E:$E)</f>
        <v>0</v>
      </c>
    </row>
    <row r="615" spans="2:9" x14ac:dyDescent="0.25">
      <c r="B615" s="160">
        <v>8</v>
      </c>
      <c r="C615" s="78" t="s">
        <v>358</v>
      </c>
      <c r="D615" s="92" t="s">
        <v>1447</v>
      </c>
      <c r="E615" s="121">
        <f>E616+E618+E620</f>
        <v>0</v>
      </c>
      <c r="F615" s="121">
        <f>F616+F618+F620</f>
        <v>0</v>
      </c>
      <c r="G615" s="121">
        <f>G616+G618+G620</f>
        <v>0</v>
      </c>
      <c r="H615" s="121">
        <f>H616+H618+H620</f>
        <v>0</v>
      </c>
      <c r="I615" s="121">
        <f>I616+I618+I620</f>
        <v>0</v>
      </c>
    </row>
    <row r="616" spans="2:9" x14ac:dyDescent="0.25">
      <c r="B616" s="160">
        <v>9</v>
      </c>
      <c r="C616" s="305" t="s">
        <v>10</v>
      </c>
      <c r="D616" s="93" t="s">
        <v>322</v>
      </c>
      <c r="E616" s="72">
        <f>SUMIF(Adat!$AI:$AI,CONCATENATE(61,$M$4,"056",L605),Adat!$E:$E)</f>
        <v>0</v>
      </c>
      <c r="F616" s="72">
        <f>SUMIF(Adat!$AI:$AI,CONCATENATE(60,$M$4,"056",L605),Adat!$E:$E)+E616</f>
        <v>0</v>
      </c>
      <c r="G616" s="72">
        <f>SUMIF(Adat!$AJ:$AJ,CONCATENATE($M$4,"056","(KÖT)",L605),Adat!$E:$E)</f>
        <v>0</v>
      </c>
      <c r="H616" s="72">
        <f>SUMIF(Adat!$AJ:$AJ,CONCATENATE($M$4,"056","(ÖNV)",L605),Adat!$E:$E)</f>
        <v>0</v>
      </c>
      <c r="I616" s="72">
        <f>SUMIF(Adat!$AJ:$AJ,CONCATENATE($M$4,"056","(ÁIG)",L605),Adat!$E:$E)</f>
        <v>0</v>
      </c>
    </row>
    <row r="617" spans="2:9" x14ac:dyDescent="0.25">
      <c r="B617" s="160">
        <v>10</v>
      </c>
      <c r="C617" s="305" t="s">
        <v>10</v>
      </c>
      <c r="D617" s="93" t="s">
        <v>1448</v>
      </c>
      <c r="E617" s="72">
        <v>0</v>
      </c>
      <c r="F617" s="72">
        <f>SUM(G617:I617)</f>
        <v>0</v>
      </c>
      <c r="G617" s="72">
        <v>0</v>
      </c>
      <c r="H617" s="72">
        <v>0</v>
      </c>
      <c r="I617" s="72">
        <v>0</v>
      </c>
    </row>
    <row r="618" spans="2:9" x14ac:dyDescent="0.25">
      <c r="B618" s="160">
        <v>11</v>
      </c>
      <c r="C618" s="305" t="s">
        <v>12</v>
      </c>
      <c r="D618" s="93" t="s">
        <v>323</v>
      </c>
      <c r="E618" s="72">
        <f>SUMIF(Adat!$AI:$AI,CONCATENATE(61,$M$4,"057",L605),Adat!$E:$E)</f>
        <v>0</v>
      </c>
      <c r="F618" s="72">
        <f>SUMIF(Adat!$AI:$AI,CONCATENATE(60,$M$4,"057",L605),Adat!$E:$E)+E618</f>
        <v>0</v>
      </c>
      <c r="G618" s="72">
        <f>SUMIF(Adat!$AJ:$AJ,CONCATENATE($M$4,"057","(KÖT)",L605),Adat!$E:$E)</f>
        <v>0</v>
      </c>
      <c r="H618" s="72">
        <f>SUMIF(Adat!$AJ:$AJ,CONCATENATE($M$4,"057","(ÖNV)",L605),Adat!$E:$E)</f>
        <v>0</v>
      </c>
      <c r="I618" s="72">
        <f>SUMIF(Adat!$AJ:$AJ,CONCATENATE($M$4,"057","(ÁIG)",L605),Adat!$E:$E)</f>
        <v>0</v>
      </c>
    </row>
    <row r="619" spans="2:9" x14ac:dyDescent="0.25">
      <c r="B619" s="160">
        <v>12</v>
      </c>
      <c r="C619" s="305" t="s">
        <v>12</v>
      </c>
      <c r="D619" s="93" t="s">
        <v>1449</v>
      </c>
      <c r="E619" s="72">
        <v>0</v>
      </c>
      <c r="F619" s="72">
        <f>SUM(G619:I619)</f>
        <v>0</v>
      </c>
      <c r="G619" s="72">
        <v>0</v>
      </c>
      <c r="H619" s="72">
        <v>0</v>
      </c>
      <c r="I619" s="72">
        <v>0</v>
      </c>
    </row>
    <row r="620" spans="2:9" x14ac:dyDescent="0.25">
      <c r="B620" s="160">
        <v>13</v>
      </c>
      <c r="C620" s="305" t="s">
        <v>15</v>
      </c>
      <c r="D620" s="84" t="s">
        <v>324</v>
      </c>
      <c r="E620" s="72">
        <f>SUMIF(Adat!$AI:$AI,CONCATENATE(61,$M$4,"058",L605),Adat!$E:$E)</f>
        <v>0</v>
      </c>
      <c r="F620" s="72">
        <f>SUMIF(Adat!$AI:$AI,CONCATENATE(60,$M$4,"058",L605),Adat!$E:$E)+E620</f>
        <v>0</v>
      </c>
      <c r="G620" s="72">
        <f>SUMIF(Adat!$AJ:$AJ,CONCATENATE($M$4,"058","(KÖT)",L605),Adat!$E:$E)</f>
        <v>0</v>
      </c>
      <c r="H620" s="72">
        <f>SUMIF(Adat!$AJ:$AJ,CONCATENATE($M$4,"058","(ÖNV)",L605),Adat!$E:$E)</f>
        <v>0</v>
      </c>
      <c r="I620" s="72">
        <f>SUMIF(Adat!$AJ:$AJ,CONCATENATE($M$4,"058","(ÁIG)",L605),Adat!$E:$E)</f>
        <v>0</v>
      </c>
    </row>
    <row r="621" spans="2:9" x14ac:dyDescent="0.25">
      <c r="B621" s="160">
        <v>14</v>
      </c>
      <c r="C621" s="154" t="s">
        <v>364</v>
      </c>
      <c r="D621" s="86" t="s">
        <v>325</v>
      </c>
      <c r="E621" s="71">
        <f>SUMIF(Adat!$AI:$AI,CONCATENATE(61,$M$4,"059",L605),Adat!$E:$E)</f>
        <v>0</v>
      </c>
      <c r="F621" s="71">
        <f>SUMIF(Adat!$AI:$AI,CONCATENATE(60,$M$4,"059",L605),Adat!$E:$E)+E621</f>
        <v>0</v>
      </c>
      <c r="G621" s="71">
        <f>SUMIF(Adat!$AJ:$AJ,CONCATENATE($M$4,"059","(KÖT)",L605),Adat!$E:$E)</f>
        <v>0</v>
      </c>
      <c r="H621" s="71">
        <f>SUMIF(Adat!$AJ:$AJ,CONCATENATE($M$4,"059","(ÖNV)",L605),Adat!$E:$E)</f>
        <v>0</v>
      </c>
      <c r="I621" s="71">
        <f>SUMIF(Adat!$AJ:$AJ,CONCATENATE($M$4,"059","(ÁIG)",L605),Adat!$E:$E)</f>
        <v>0</v>
      </c>
    </row>
    <row r="622" spans="2:9" x14ac:dyDescent="0.25">
      <c r="B622" s="160">
        <v>15</v>
      </c>
      <c r="C622" s="154" t="s">
        <v>403</v>
      </c>
      <c r="D622" s="159" t="s">
        <v>497</v>
      </c>
      <c r="E622" s="121">
        <f>E609+E615+E621</f>
        <v>0</v>
      </c>
      <c r="F622" s="121">
        <f>F609+F615+F621</f>
        <v>0</v>
      </c>
      <c r="G622" s="121">
        <f>G609+G615+G621</f>
        <v>0</v>
      </c>
      <c r="H622" s="121">
        <f>H609+H615+H621</f>
        <v>0</v>
      </c>
      <c r="I622" s="121">
        <f>I609+I615+I621</f>
        <v>0</v>
      </c>
    </row>
    <row r="623" spans="2:9" ht="15.75" x14ac:dyDescent="0.25">
      <c r="B623" s="37"/>
      <c r="C623" s="529"/>
      <c r="D623" s="529"/>
      <c r="E623" s="529"/>
      <c r="F623" s="200"/>
      <c r="G623" s="200"/>
      <c r="H623" s="200"/>
      <c r="I623" s="200"/>
    </row>
    <row r="624" spans="2:9" ht="15.75" x14ac:dyDescent="0.25">
      <c r="B624" s="525" t="str">
        <f>$N$4</f>
        <v>Gondozási Központ</v>
      </c>
      <c r="C624" s="525"/>
      <c r="D624" s="525"/>
      <c r="E624" s="525"/>
      <c r="F624" s="525"/>
      <c r="G624" s="525"/>
      <c r="H624" s="525"/>
      <c r="I624" s="525"/>
    </row>
    <row r="625" spans="2:12" ht="15.75" x14ac:dyDescent="0.25">
      <c r="B625" s="525" t="s">
        <v>2660</v>
      </c>
      <c r="C625" s="525"/>
      <c r="D625" s="525"/>
      <c r="E625" s="525"/>
      <c r="F625" s="525"/>
      <c r="G625" s="525"/>
      <c r="H625" s="525"/>
      <c r="I625" s="525"/>
    </row>
    <row r="626" spans="2:12" ht="15.75" x14ac:dyDescent="0.25">
      <c r="B626" s="38"/>
      <c r="C626" s="156"/>
      <c r="D626" s="38"/>
      <c r="E626" s="140"/>
      <c r="F626" s="140"/>
      <c r="G626" s="140"/>
      <c r="H626" s="140"/>
      <c r="I626" s="140"/>
    </row>
    <row r="627" spans="2:12" s="10" customFormat="1" ht="15.75" customHeight="1" x14ac:dyDescent="0.25">
      <c r="B627" s="201" t="str">
        <f>CONCATENATE("21. Bevételi jogcímek"," - ",L627," részletező")</f>
        <v>21. Bevételi jogcímek -  részletező</v>
      </c>
      <c r="C627" s="101"/>
      <c r="D627" s="101"/>
      <c r="E627" s="101"/>
      <c r="F627" s="101"/>
      <c r="G627" s="198"/>
      <c r="H627" s="198"/>
      <c r="I627" s="198"/>
      <c r="L627" s="384"/>
    </row>
    <row r="628" spans="2:12" ht="15.75" x14ac:dyDescent="0.25">
      <c r="B628" s="38"/>
      <c r="C628" s="156"/>
      <c r="D628" s="38"/>
      <c r="E628" s="140"/>
      <c r="F628" s="140"/>
      <c r="G628" s="140"/>
      <c r="H628" s="140"/>
      <c r="I628" s="140"/>
    </row>
    <row r="629" spans="2:12" x14ac:dyDescent="0.25">
      <c r="B629" s="77"/>
      <c r="C629" s="77" t="s">
        <v>350</v>
      </c>
      <c r="D629" s="77" t="s">
        <v>351</v>
      </c>
      <c r="E629" s="77" t="s">
        <v>470</v>
      </c>
      <c r="F629" s="77" t="s">
        <v>471</v>
      </c>
      <c r="G629" s="77" t="s">
        <v>44</v>
      </c>
      <c r="H629" s="77" t="s">
        <v>42</v>
      </c>
      <c r="I629" s="77" t="s">
        <v>511</v>
      </c>
    </row>
    <row r="630" spans="2:12" ht="38.25" x14ac:dyDescent="0.25">
      <c r="B630" s="160">
        <v>1</v>
      </c>
      <c r="C630" s="154" t="s">
        <v>593</v>
      </c>
      <c r="D630" s="154" t="s">
        <v>488</v>
      </c>
      <c r="E630" s="163" t="str">
        <f>CONCATENATE(PAR!$H$3," évi
eredeti 
előirányzat")</f>
        <v>2025. évi
eredeti 
előirányzat</v>
      </c>
      <c r="F630" s="163" t="str">
        <f>CONCATENATE(PAR!$H$3," évi
módosított 
előirányzat")</f>
        <v>2025. évi
módosított 
előirányzat</v>
      </c>
      <c r="G630" s="78" t="s">
        <v>666</v>
      </c>
      <c r="H630" s="78" t="s">
        <v>667</v>
      </c>
      <c r="I630" s="78" t="s">
        <v>668</v>
      </c>
    </row>
    <row r="631" spans="2:12" x14ac:dyDescent="0.25">
      <c r="B631" s="160">
        <v>2</v>
      </c>
      <c r="C631" s="79" t="s">
        <v>30</v>
      </c>
      <c r="D631" s="79" t="s">
        <v>329</v>
      </c>
      <c r="E631" s="121">
        <f>SUM(E632:E644)</f>
        <v>0</v>
      </c>
      <c r="F631" s="121">
        <f t="shared" ref="F631:I631" si="40">SUM(F632:F644)</f>
        <v>0</v>
      </c>
      <c r="G631" s="121">
        <f t="shared" si="40"/>
        <v>0</v>
      </c>
      <c r="H631" s="121">
        <f t="shared" si="40"/>
        <v>0</v>
      </c>
      <c r="I631" s="121">
        <f t="shared" si="40"/>
        <v>0</v>
      </c>
    </row>
    <row r="632" spans="2:12" x14ac:dyDescent="0.2">
      <c r="B632" s="160">
        <v>3</v>
      </c>
      <c r="C632" s="305" t="s">
        <v>1309</v>
      </c>
      <c r="D632" s="82" t="s">
        <v>1356</v>
      </c>
      <c r="E632" s="72">
        <f>SUMIF(Adat!$AG:$AG,CONCATENATE(61,$M$4,"094011",L627),Adat!$E:$E)*-1</f>
        <v>0</v>
      </c>
      <c r="F632" s="72">
        <f>SUMIF(Adat!$AG:$AG,CONCATENATE(60,$M$4,"094011",L627),Adat!$E:$E)*-1+E632</f>
        <v>0</v>
      </c>
      <c r="G632" s="72">
        <f>SUMIF(Adat!$AH:$AH,CONCATENATE($M$4,"(KÖT)","094011",L627),Adat!$E:$E)*-1</f>
        <v>0</v>
      </c>
      <c r="H632" s="72">
        <f>SUMIF(Adat!$AH:$AH,CONCATENATE($M$4,"(ÖNV)","094011",L627),Adat!$E:$E)*-1</f>
        <v>0</v>
      </c>
      <c r="I632" s="72">
        <f>SUMIF(Adat!$AH:$AH,CONCATENATE($M$4,"(ÁIG)","094011",L627),Adat!$E:$E)*-1</f>
        <v>0</v>
      </c>
    </row>
    <row r="633" spans="2:12" x14ac:dyDescent="0.2">
      <c r="B633" s="160">
        <v>4</v>
      </c>
      <c r="C633" s="305" t="s">
        <v>1279</v>
      </c>
      <c r="D633" s="82" t="s">
        <v>1357</v>
      </c>
      <c r="E633" s="72">
        <f>SUMIF(Adat!$AG:$AG,CONCATENATE(61,$M$4,"094021",L627),Adat!$E:$E)*-1</f>
        <v>0</v>
      </c>
      <c r="F633" s="72">
        <f>SUMIF(Adat!$AG:$AG,CONCATENATE(60,$M$4,"094021",L627),Adat!$E:$E)*-1+E633</f>
        <v>0</v>
      </c>
      <c r="G633" s="72">
        <f>SUMIF(Adat!$AH:$AH,CONCATENATE($M$4,"(KÖT)","094021",L627),Adat!$E:$E)*-1</f>
        <v>0</v>
      </c>
      <c r="H633" s="72">
        <f>SUMIF(Adat!$AH:$AH,CONCATENATE($M$4,"(ÖNV)","094021",L627),Adat!$E:$E)*-1</f>
        <v>0</v>
      </c>
      <c r="I633" s="72">
        <f>SUMIF(Adat!$AH:$AH,CONCATENATE($M$4,"(ÁIG)","094021",L627),Adat!$E:$E)*-1</f>
        <v>0</v>
      </c>
    </row>
    <row r="634" spans="2:12" x14ac:dyDescent="0.2">
      <c r="B634" s="160">
        <v>5</v>
      </c>
      <c r="C634" s="305" t="s">
        <v>1272</v>
      </c>
      <c r="D634" s="82" t="s">
        <v>1358</v>
      </c>
      <c r="E634" s="72">
        <f>SUMIF(Adat!$AG:$AG,CONCATENATE(61,$M$4,"094031",L627),Adat!$E:$E)*-1</f>
        <v>0</v>
      </c>
      <c r="F634" s="72">
        <f>SUMIF(Adat!$AG:$AG,CONCATENATE(60,$M$4,"094031",L627),Adat!$E:$E)*-1+E634</f>
        <v>0</v>
      </c>
      <c r="G634" s="72">
        <f>SUMIF(Adat!$AH:$AH,CONCATENATE($M$4,"(KÖT)","094031",L627),Adat!$E:$E)*-1</f>
        <v>0</v>
      </c>
      <c r="H634" s="72">
        <f>SUMIF(Adat!$AH:$AH,CONCATENATE($M$4,"(ÖNV)","094031",L627),Adat!$E:$E)*-1</f>
        <v>0</v>
      </c>
      <c r="I634" s="72">
        <f>SUMIF(Adat!$AH:$AH,CONCATENATE($M$4,"(ÁIG)","094031",L627),Adat!$E:$E)*-1</f>
        <v>0</v>
      </c>
    </row>
    <row r="635" spans="2:12" x14ac:dyDescent="0.2">
      <c r="B635" s="160">
        <v>6</v>
      </c>
      <c r="C635" s="305" t="s">
        <v>1359</v>
      </c>
      <c r="D635" s="82" t="s">
        <v>1360</v>
      </c>
      <c r="E635" s="72">
        <f>SUMIF(Adat!$AG:$AG,CONCATENATE(61,$M$4,"094041",L627),Adat!$E:$E)*-1</f>
        <v>0</v>
      </c>
      <c r="F635" s="72">
        <f>SUMIF(Adat!$AG:$AG,CONCATENATE(60,$M$4,"094041",L627),Adat!$E:$E)*-1+E635</f>
        <v>0</v>
      </c>
      <c r="G635" s="72">
        <f>SUMIF(Adat!$AH:$AH,CONCATENATE($M$4,"(KÖT)","094041",L627),Adat!$E:$E)*-1</f>
        <v>0</v>
      </c>
      <c r="H635" s="72">
        <f>SUMIF(Adat!$AH:$AH,CONCATENATE($M$4,"(ÖNV)","094041",L627),Adat!$E:$E)*-1</f>
        <v>0</v>
      </c>
      <c r="I635" s="72">
        <f>SUMIF(Adat!$AH:$AH,CONCATENATE($M$4,"(ÁIG)","094041",L627),Adat!$E:$E)*-1</f>
        <v>0</v>
      </c>
    </row>
    <row r="636" spans="2:12" x14ac:dyDescent="0.2">
      <c r="B636" s="160">
        <v>7</v>
      </c>
      <c r="C636" s="305" t="s">
        <v>1261</v>
      </c>
      <c r="D636" s="82" t="s">
        <v>1361</v>
      </c>
      <c r="E636" s="72">
        <f>SUMIF(Adat!$AG:$AG,CONCATENATE(61,$M$4,"094051",L627),Adat!$E:$E)*-1</f>
        <v>0</v>
      </c>
      <c r="F636" s="72">
        <f>SUMIF(Adat!$AG:$AG,CONCATENATE(60,$M$4,"094051",L627),Adat!$E:$E)*-1+E636</f>
        <v>0</v>
      </c>
      <c r="G636" s="72">
        <f>SUMIF(Adat!$AH:$AH,CONCATENATE($M$4,"(KÖT)","094051",L627),Adat!$E:$E)*-1</f>
        <v>0</v>
      </c>
      <c r="H636" s="72">
        <f>SUMIF(Adat!$AH:$AH,CONCATENATE($M$4,"(ÖNV)","094051",L627),Adat!$E:$E)*-1</f>
        <v>0</v>
      </c>
      <c r="I636" s="72">
        <f>SUMIF(Adat!$AH:$AH,CONCATENATE($M$4,"(ÁIG)","094051",L627),Adat!$E:$E)*-1</f>
        <v>0</v>
      </c>
    </row>
    <row r="637" spans="2:12" x14ac:dyDescent="0.2">
      <c r="B637" s="160">
        <v>8</v>
      </c>
      <c r="C637" s="305" t="s">
        <v>1273</v>
      </c>
      <c r="D637" s="82" t="s">
        <v>1362</v>
      </c>
      <c r="E637" s="72">
        <f>SUMIF(Adat!$AG:$AG,CONCATENATE(61,$M$4,"094061",L627),Adat!$E:$E)*-1</f>
        <v>0</v>
      </c>
      <c r="F637" s="72">
        <f>SUMIF(Adat!$AG:$AG,CONCATENATE(60,$M$4,"094061",L627),Adat!$E:$E)*-1+E637</f>
        <v>0</v>
      </c>
      <c r="G637" s="72">
        <f>SUMIF(Adat!$AH:$AH,CONCATENATE($M$4,"(KÖT)","094061",L627),Adat!$E:$E)*-1</f>
        <v>0</v>
      </c>
      <c r="H637" s="72">
        <f>SUMIF(Adat!$AH:$AH,CONCATENATE($M$4,"(ÖNV)","094061",L627),Adat!$E:$E)*-1</f>
        <v>0</v>
      </c>
      <c r="I637" s="72">
        <f>SUMIF(Adat!$AH:$AH,CONCATENATE($M$4,"(ÁIG)","094061",L627),Adat!$E:$E)*-1</f>
        <v>0</v>
      </c>
    </row>
    <row r="638" spans="2:12" x14ac:dyDescent="0.2">
      <c r="B638" s="160">
        <v>9</v>
      </c>
      <c r="C638" s="305" t="s">
        <v>1363</v>
      </c>
      <c r="D638" s="82" t="s">
        <v>1364</v>
      </c>
      <c r="E638" s="72">
        <f>SUMIF(Adat!$AG:$AG,CONCATENATE(61,$M$4,"094071",L627),Adat!$E:$E)*-1</f>
        <v>0</v>
      </c>
      <c r="F638" s="72">
        <f>SUMIF(Adat!$AG:$AG,CONCATENATE(60,$M$4,"094071",L627),Adat!$E:$E)*-1+E638</f>
        <v>0</v>
      </c>
      <c r="G638" s="72">
        <f>SUMIF(Adat!$AH:$AH,CONCATENATE($M$4,"(KÖT)","094071",L627),Adat!$E:$E)*-1</f>
        <v>0</v>
      </c>
      <c r="H638" s="72">
        <f>SUMIF(Adat!$AH:$AH,CONCATENATE($M$4,"(ÖNV)","094071",L627),Adat!$E:$E)*-1</f>
        <v>0</v>
      </c>
      <c r="I638" s="72">
        <f>SUMIF(Adat!$AH:$AH,CONCATENATE($M$4,"(ÁIG)","094071",L627),Adat!$E:$E)*-1</f>
        <v>0</v>
      </c>
    </row>
    <row r="639" spans="2:12" x14ac:dyDescent="0.2">
      <c r="B639" s="160">
        <v>10</v>
      </c>
      <c r="C639" s="305" t="s">
        <v>1306</v>
      </c>
      <c r="D639" s="82" t="s">
        <v>1365</v>
      </c>
      <c r="E639" s="72">
        <f>SUMIF(Adat!$AG:$AG,CONCATENATE(61,$M$4,"0940811",L627),Adat!$E:$E)*-1</f>
        <v>0</v>
      </c>
      <c r="F639" s="72">
        <f>SUMIF(Adat!$AG:$AG,CONCATENATE(60,$M$4,"0940811",L627),Adat!$E:$E)*-1+E639</f>
        <v>0</v>
      </c>
      <c r="G639" s="72">
        <f>SUMIF(Adat!$AH:$AH,CONCATENATE($M$4,"(KÖT)","0940811",L627),Adat!$E:$E)*-1</f>
        <v>0</v>
      </c>
      <c r="H639" s="72">
        <f>SUMIF(Adat!$AH:$AH,CONCATENATE($M$4,"(ÖNV)","0940811",L627),Adat!$E:$E)*-1</f>
        <v>0</v>
      </c>
      <c r="I639" s="72">
        <f>SUMIF(Adat!$AH:$AH,CONCATENATE($M$4,"(ÁIG)","0940811",L627),Adat!$E:$E)*-1</f>
        <v>0</v>
      </c>
    </row>
    <row r="640" spans="2:12" x14ac:dyDescent="0.2">
      <c r="B640" s="160">
        <v>11</v>
      </c>
      <c r="C640" s="305" t="s">
        <v>1295</v>
      </c>
      <c r="D640" s="82" t="s">
        <v>1366</v>
      </c>
      <c r="E640" s="72">
        <f>SUMIF(Adat!$AG:$AG,CONCATENATE(61,$M$4,"0940821",L627),Adat!$E:$E)*-1</f>
        <v>0</v>
      </c>
      <c r="F640" s="72">
        <f>SUMIF(Adat!$AG:$AG,CONCATENATE(60,$M$4,"0940821",L627),Adat!$E:$E)*-1+E640</f>
        <v>0</v>
      </c>
      <c r="G640" s="72">
        <f>SUMIF(Adat!$AH:$AH,CONCATENATE($M$4,"(KÖT)","0940821",L627),Adat!$E:$E)*-1</f>
        <v>0</v>
      </c>
      <c r="H640" s="72">
        <f>SUMIF(Adat!$AH:$AH,CONCATENATE($M$4,"(ÖNV)","0940821",L627),Adat!$E:$E)*-1</f>
        <v>0</v>
      </c>
      <c r="I640" s="72">
        <f>SUMIF(Adat!$AH:$AH,CONCATENATE($M$4,"(ÁIG)","0940821",L627),Adat!$E:$E)*-1</f>
        <v>0</v>
      </c>
    </row>
    <row r="641" spans="2:9" x14ac:dyDescent="0.2">
      <c r="B641" s="160">
        <v>12</v>
      </c>
      <c r="C641" s="305" t="s">
        <v>1367</v>
      </c>
      <c r="D641" s="82" t="s">
        <v>1368</v>
      </c>
      <c r="E641" s="72">
        <f>SUMIF(Adat!$AG:$AG,CONCATENATE(61,$M$4,"0940911",L627),Adat!$E:$E)*-1</f>
        <v>0</v>
      </c>
      <c r="F641" s="72">
        <f>SUMIF(Adat!$AG:$AG,CONCATENATE(60,$M$4,"0940911",L627),Adat!$E:$E)*-1+E641</f>
        <v>0</v>
      </c>
      <c r="G641" s="72">
        <f>SUMIF(Adat!$AH:$AH,CONCATENATE($M$4,"(KÖT)","0940911",L627),Adat!$E:$E)*-1</f>
        <v>0</v>
      </c>
      <c r="H641" s="72">
        <f>SUMIF(Adat!$AH:$AH,CONCATENATE($M$4,"(ÖNV)","0940911",L627),Adat!$E:$E)*-1</f>
        <v>0</v>
      </c>
      <c r="I641" s="72">
        <f>SUMIF(Adat!$AH:$AH,CONCATENATE($M$4,"(ÁIG)","0940911",L627),Adat!$E:$E)*-1</f>
        <v>0</v>
      </c>
    </row>
    <row r="642" spans="2:9" x14ac:dyDescent="0.2">
      <c r="B642" s="160">
        <v>13</v>
      </c>
      <c r="C642" s="305" t="s">
        <v>1369</v>
      </c>
      <c r="D642" s="82" t="s">
        <v>1370</v>
      </c>
      <c r="E642" s="72">
        <f>SUMIF(Adat!$AG:$AG,CONCATENATE(61,$M$4,"0940921",L627),Adat!$E:$E)*-1</f>
        <v>0</v>
      </c>
      <c r="F642" s="72">
        <f>SUMIF(Adat!$AG:$AG,CONCATENATE(60,$M$4,"0940921",L627),Adat!$E:$E)*-1+E642</f>
        <v>0</v>
      </c>
      <c r="G642" s="72">
        <f>SUMIF(Adat!$AH:$AH,CONCATENATE($M$4,"(KÖT)","0940921",L627),Adat!$E:$E)*-1</f>
        <v>0</v>
      </c>
      <c r="H642" s="72">
        <f>SUMIF(Adat!$AH:$AH,CONCATENATE($M$4,"(ÖNV)","0940921",L627),Adat!$E:$E)*-1</f>
        <v>0</v>
      </c>
      <c r="I642" s="72">
        <f>SUMIF(Adat!$AH:$AH,CONCATENATE($M$4,"(ÁIG)","0940921",L627),Adat!$E:$E)*-1</f>
        <v>0</v>
      </c>
    </row>
    <row r="643" spans="2:9" x14ac:dyDescent="0.2">
      <c r="B643" s="160">
        <v>14</v>
      </c>
      <c r="C643" s="305" t="s">
        <v>1296</v>
      </c>
      <c r="D643" s="82" t="s">
        <v>1371</v>
      </c>
      <c r="E643" s="72">
        <f>SUMIF(Adat!$AG:$AG,CONCATENATE(61,$M$4,"094101",L627),Adat!$E:$E)*-1</f>
        <v>0</v>
      </c>
      <c r="F643" s="72">
        <f>SUMIF(Adat!$AG:$AG,CONCATENATE(60,$M$4,"094101",L627),Adat!$E:$E)*-1+E643</f>
        <v>0</v>
      </c>
      <c r="G643" s="72">
        <f>SUMIF(Adat!$AH:$AH,CONCATENATE($M$4,"(KÖT)","094101",L627),Adat!$E:$E)*-1</f>
        <v>0</v>
      </c>
      <c r="H643" s="72">
        <f>SUMIF(Adat!$AH:$AH,CONCATENATE($M$4,"(ÖNV)","094101",L627),Adat!$E:$E)*-1</f>
        <v>0</v>
      </c>
      <c r="I643" s="72">
        <f>SUMIF(Adat!$AH:$AH,CONCATENATE($M$4,"(ÁIG)","094101",L627),Adat!$E:$E)*-1</f>
        <v>0</v>
      </c>
    </row>
    <row r="644" spans="2:9" x14ac:dyDescent="0.25">
      <c r="B644" s="160">
        <v>15</v>
      </c>
      <c r="C644" s="305" t="s">
        <v>1297</v>
      </c>
      <c r="D644" s="84" t="s">
        <v>1372</v>
      </c>
      <c r="E644" s="72">
        <f>SUMIF(Adat!$AG:$AG,CONCATENATE(61,$M$4,"094111",L627),Adat!$E:$E)*-1</f>
        <v>0</v>
      </c>
      <c r="F644" s="72">
        <f>SUMIF(Adat!$AG:$AG,CONCATENATE(60,$M$4,"094111",L627),Adat!$E:$E)*-1+E644</f>
        <v>0</v>
      </c>
      <c r="G644" s="72">
        <f>SUMIF(Adat!$AH:$AH,CONCATENATE($M$4,"(KÖT)","094111",L627),Adat!$E:$E)*-1</f>
        <v>0</v>
      </c>
      <c r="H644" s="72">
        <f>SUMIF(Adat!$AH:$AH,CONCATENATE($M$4,"(ÖNV)","094111",L627),Adat!$E:$E)*-1</f>
        <v>0</v>
      </c>
      <c r="I644" s="72">
        <f>SUMIF(Adat!$AH:$AH,CONCATENATE($M$4,"(ÁIG)","094111",L627),Adat!$E:$E)*-1</f>
        <v>0</v>
      </c>
    </row>
    <row r="645" spans="2:9" x14ac:dyDescent="0.25">
      <c r="B645" s="160">
        <v>16</v>
      </c>
      <c r="C645" s="78" t="s">
        <v>1328</v>
      </c>
      <c r="D645" s="85" t="s">
        <v>437</v>
      </c>
      <c r="E645" s="121">
        <f>SUM(E646:E648)</f>
        <v>0</v>
      </c>
      <c r="F645" s="121">
        <f>SUM(F646:F648)</f>
        <v>0</v>
      </c>
      <c r="G645" s="121">
        <f>SUM(G646:G648)</f>
        <v>0</v>
      </c>
      <c r="H645" s="121">
        <f>SUM(H646:H648)</f>
        <v>0</v>
      </c>
      <c r="I645" s="121">
        <f>SUM(I646:I648)</f>
        <v>0</v>
      </c>
    </row>
    <row r="646" spans="2:9" x14ac:dyDescent="0.2">
      <c r="B646" s="160">
        <v>17</v>
      </c>
      <c r="C646" s="305" t="s">
        <v>1329</v>
      </c>
      <c r="D646" s="82" t="s">
        <v>1330</v>
      </c>
      <c r="E646" s="72">
        <f>SUMIF(Adat!$AG:$AG,CONCATENATE(61,$M$4,"09121",L627),Adat!$E:$E)*-1</f>
        <v>0</v>
      </c>
      <c r="F646" s="72">
        <f>SUMIF(Adat!$AG:$AG,CONCATENATE(60,$M$4,"09121",L627),Adat!$E:$E)*-1+E646</f>
        <v>0</v>
      </c>
      <c r="G646" s="72">
        <f>SUMIF(Adat!$AH:$AH,CONCATENATE($M$4,"(KÖT)","09121",L627),Adat!$E:$E)*-1</f>
        <v>0</v>
      </c>
      <c r="H646" s="72">
        <f>SUMIF(Adat!$AH:$AH,CONCATENATE($M$4,"(ÖNV)","09121",L627),Adat!$E:$E)*-1</f>
        <v>0</v>
      </c>
      <c r="I646" s="72">
        <f>SUMIF(Adat!$AH:$AH,CONCATENATE($M$4,"(ÁIG)","09121",L627),Adat!$E:$E)*-1</f>
        <v>0</v>
      </c>
    </row>
    <row r="647" spans="2:9" x14ac:dyDescent="0.2">
      <c r="B647" s="160">
        <v>18</v>
      </c>
      <c r="C647" s="305" t="s">
        <v>1335</v>
      </c>
      <c r="D647" s="82" t="s">
        <v>1336</v>
      </c>
      <c r="E647" s="72">
        <f>SUMIF(Adat!$AG:$AG,CONCATENATE(61,$M$4,"09151",L627),Adat!$E:$E)*-1</f>
        <v>0</v>
      </c>
      <c r="F647" s="72">
        <f>SUMIF(Adat!$AG:$AG,CONCATENATE(60,$M$4,"09151",L627),Adat!$E:$E)*-1+E647</f>
        <v>0</v>
      </c>
      <c r="G647" s="72">
        <f>SUMIF(Adat!$AH:$AH,CONCATENATE($M$4,"(KÖT)","09151",L627),Adat!$E:$E)*-1</f>
        <v>0</v>
      </c>
      <c r="H647" s="72">
        <f>SUMIF(Adat!$AH:$AH,CONCATENATE($M$4,"(ÖNV)","09151",L627),Adat!$E:$E)*-1</f>
        <v>0</v>
      </c>
      <c r="I647" s="72">
        <f>SUMIF(Adat!$AH:$AH,CONCATENATE($M$4,"(ÁIG)","09151",L627),Adat!$E:$E)*-1</f>
        <v>0</v>
      </c>
    </row>
    <row r="648" spans="2:9" x14ac:dyDescent="0.2">
      <c r="B648" s="160">
        <v>19</v>
      </c>
      <c r="C648" s="305" t="s">
        <v>1278</v>
      </c>
      <c r="D648" s="82" t="s">
        <v>1337</v>
      </c>
      <c r="E648" s="72">
        <f>SUMIF(Adat!$AG:$AG,CONCATENATE(61,$M$4,"09161",L627),Adat!$E:$E)*-1</f>
        <v>0</v>
      </c>
      <c r="F648" s="72">
        <f>SUMIF(Adat!$AG:$AG,CONCATENATE(60,$M$4,"09161",L627),Adat!$E:$E)*-1+E648</f>
        <v>0</v>
      </c>
      <c r="G648" s="72">
        <f>SUMIF(Adat!$AH:$AH,CONCATENATE($M$4,"(KÖT)","09161",L627),Adat!$E:$E)*-1</f>
        <v>0</v>
      </c>
      <c r="H648" s="72">
        <f>SUMIF(Adat!$AH:$AH,CONCATENATE($M$4,"(ÖNV)","09161",L627),Adat!$E:$E)*-1</f>
        <v>0</v>
      </c>
      <c r="I648" s="72">
        <f>SUMIF(Adat!$AH:$AH,CONCATENATE($M$4,"(ÁIG)","09161",L627),Adat!$E:$E)*-1</f>
        <v>0</v>
      </c>
    </row>
    <row r="649" spans="2:9" x14ac:dyDescent="0.25">
      <c r="B649" s="160">
        <v>20</v>
      </c>
      <c r="C649" s="79" t="s">
        <v>27</v>
      </c>
      <c r="D649" s="79" t="s">
        <v>328</v>
      </c>
      <c r="E649" s="71">
        <f>SUMIF(Adat!$AI:$AI,CONCATENATE(61,$M$4,"093",L627),Adat!$E:$E)*-1</f>
        <v>0</v>
      </c>
      <c r="F649" s="71">
        <f>SUMIF(Adat!$AI:$AI,CONCATENATE(60,$M$4,"093",L627),Adat!$E:$E)*-1+E649</f>
        <v>0</v>
      </c>
      <c r="G649" s="71">
        <f>SUMIF(Adat!$AJ:$AJ,CONCATENATE($M$4,"093","(KÖT)",L627),Adat!$E:$E)*-1</f>
        <v>0</v>
      </c>
      <c r="H649" s="71">
        <f>SUMIF(Adat!$AJ:$AJ,CONCATENATE($M$4,"093","(ÖNV)",L627),Adat!$E:$E)*-1</f>
        <v>0</v>
      </c>
      <c r="I649" s="71">
        <f>SUMIF(Adat!$AJ:$AJ,CONCATENATE($M$4,"093","(ÁIG)",L627),Adat!$E:$E)*-1</f>
        <v>0</v>
      </c>
    </row>
    <row r="650" spans="2:9" x14ac:dyDescent="0.25">
      <c r="B650" s="160">
        <v>21</v>
      </c>
      <c r="C650" s="79" t="s">
        <v>24</v>
      </c>
      <c r="D650" s="79" t="s">
        <v>449</v>
      </c>
      <c r="E650" s="121">
        <f>SUM(E651:E653)</f>
        <v>0</v>
      </c>
      <c r="F650" s="121">
        <f t="shared" ref="F650:I650" si="41">SUM(F651:F653)</f>
        <v>0</v>
      </c>
      <c r="G650" s="121">
        <f t="shared" si="41"/>
        <v>0</v>
      </c>
      <c r="H650" s="121">
        <f t="shared" si="41"/>
        <v>0</v>
      </c>
      <c r="I650" s="121">
        <f t="shared" si="41"/>
        <v>0</v>
      </c>
    </row>
    <row r="651" spans="2:9" x14ac:dyDescent="0.2">
      <c r="B651" s="160">
        <v>22</v>
      </c>
      <c r="C651" s="305" t="s">
        <v>1339</v>
      </c>
      <c r="D651" s="82" t="s">
        <v>1340</v>
      </c>
      <c r="E651" s="72">
        <f>SUMIF(Adat!$AG:$AG,CONCATENATE(61,$M$4,"09211",L627),Adat!$E:$E)*-1</f>
        <v>0</v>
      </c>
      <c r="F651" s="72">
        <f>SUMIF(Adat!$AG:$AG,CONCATENATE(60,$M$4,"09211",L627),Adat!$E:$E)*-1+E651</f>
        <v>0</v>
      </c>
      <c r="G651" s="72">
        <f>SUMIF(Adat!$AH:$AH,CONCATENATE($M$4,"(KÖT)","09211",L627),Adat!$E:$E)*-1</f>
        <v>0</v>
      </c>
      <c r="H651" s="72">
        <f>SUMIF(Adat!$AH:$AH,CONCATENATE($M$4,"(ÖNV)","09211",L627),Adat!$E:$E)*-1</f>
        <v>0</v>
      </c>
      <c r="I651" s="72">
        <f>SUMIF(Adat!$AH:$AH,CONCATENATE($M$4,"(ÁIG)","09211",L627),Adat!$E:$E)*-1</f>
        <v>0</v>
      </c>
    </row>
    <row r="652" spans="2:9" x14ac:dyDescent="0.2">
      <c r="B652" s="160">
        <v>23</v>
      </c>
      <c r="C652" s="305" t="s">
        <v>1345</v>
      </c>
      <c r="D652" s="82" t="s">
        <v>1346</v>
      </c>
      <c r="E652" s="72">
        <f>SUMIF(Adat!$AG:$AG,CONCATENATE(61,$M$4,"09241",L627),Adat!$E:$E)*-1</f>
        <v>0</v>
      </c>
      <c r="F652" s="72">
        <f>SUMIF(Adat!$AG:$AG,CONCATENATE(60,$M$4,"09241",L627),Adat!$E:$E)*-1+E652</f>
        <v>0</v>
      </c>
      <c r="G652" s="72">
        <f>SUMIF(Adat!$AH:$AH,CONCATENATE($M$4,"(KÖT)","09241",L627),Adat!$E:$E)*-1</f>
        <v>0</v>
      </c>
      <c r="H652" s="72">
        <f>SUMIF(Adat!$AH:$AH,CONCATENATE($M$4,"(ÖNV)","09241",L627),Adat!$E:$E)*-1</f>
        <v>0</v>
      </c>
      <c r="I652" s="72">
        <f>SUMIF(Adat!$AH:$AH,CONCATENATE($M$4,"(ÁIG)","09241",L627),Adat!$E:$E)*-1</f>
        <v>0</v>
      </c>
    </row>
    <row r="653" spans="2:9" x14ac:dyDescent="0.2">
      <c r="B653" s="160">
        <v>24</v>
      </c>
      <c r="C653" s="305" t="s">
        <v>1255</v>
      </c>
      <c r="D653" s="82" t="s">
        <v>1347</v>
      </c>
      <c r="E653" s="72">
        <f>SUMIF(Adat!$AG:$AG,CONCATENATE(61,$M$4,"09251",L627),Adat!$E:$E)*-1</f>
        <v>0</v>
      </c>
      <c r="F653" s="72">
        <f>SUMIF(Adat!$AG:$AG,CONCATENATE(60,$M$4,"09251",L627),Adat!$E:$E)*-1+E653</f>
        <v>0</v>
      </c>
      <c r="G653" s="72">
        <f>SUMIF(Adat!$AH:$AH,CONCATENATE($M$4,"(KÖT)","09251",L627),Adat!$E:$E)*-1</f>
        <v>0</v>
      </c>
      <c r="H653" s="72">
        <f>SUMIF(Adat!$AH:$AH,CONCATENATE($M$4,"(ÖNV)","09251",L627),Adat!$E:$E)*-1</f>
        <v>0</v>
      </c>
      <c r="I653" s="72">
        <f>SUMIF(Adat!$AH:$AH,CONCATENATE($M$4,"(ÁIG)","09251",L627),Adat!$E:$E)*-1</f>
        <v>0</v>
      </c>
    </row>
    <row r="654" spans="2:9" x14ac:dyDescent="0.25">
      <c r="B654" s="160">
        <v>25</v>
      </c>
      <c r="C654" s="79" t="s">
        <v>33</v>
      </c>
      <c r="D654" s="79" t="s">
        <v>330</v>
      </c>
      <c r="E654" s="121">
        <f>SUM(E655:E657)</f>
        <v>0</v>
      </c>
      <c r="F654" s="121">
        <f t="shared" ref="F654:I654" si="42">SUM(F655:F657)</f>
        <v>0</v>
      </c>
      <c r="G654" s="121">
        <f t="shared" si="42"/>
        <v>0</v>
      </c>
      <c r="H654" s="121">
        <f t="shared" si="42"/>
        <v>0</v>
      </c>
      <c r="I654" s="121">
        <f t="shared" si="42"/>
        <v>0</v>
      </c>
    </row>
    <row r="655" spans="2:9" x14ac:dyDescent="0.2">
      <c r="B655" s="160">
        <v>26</v>
      </c>
      <c r="C655" s="305" t="s">
        <v>1373</v>
      </c>
      <c r="D655" s="82" t="s">
        <v>1374</v>
      </c>
      <c r="E655" s="72">
        <f>SUMIF(Adat!$AG:$AG,CONCATENATE(61,$M$4,"09511",L627),Adat!$E:$E)*-1</f>
        <v>0</v>
      </c>
      <c r="F655" s="72">
        <f>SUMIF(Adat!$AG:$AG,CONCATENATE(60,$M$4,"09511",L627),Adat!$E:$E)*-1+E655</f>
        <v>0</v>
      </c>
      <c r="G655" s="72">
        <f>SUMIF(Adat!$AH:$AH,CONCATENATE($M$4,"(KÖT)","09511",L627),Adat!$E:$E)*-1</f>
        <v>0</v>
      </c>
      <c r="H655" s="72">
        <f>SUMIF(Adat!$AH:$AH,CONCATENATE($M$4,"(ÖNV)","09511",L627),Adat!$E:$E)*-1</f>
        <v>0</v>
      </c>
      <c r="I655" s="72">
        <f>SUMIF(Adat!$AH:$AH,CONCATENATE($M$4,"(ÁIG)","09511",L627),Adat!$E:$E)*-1</f>
        <v>0</v>
      </c>
    </row>
    <row r="656" spans="2:9" x14ac:dyDescent="0.2">
      <c r="B656" s="160">
        <v>27</v>
      </c>
      <c r="C656" s="305" t="s">
        <v>1294</v>
      </c>
      <c r="D656" s="82" t="s">
        <v>1375</v>
      </c>
      <c r="E656" s="72">
        <f>SUMIF(Adat!$AG:$AG,CONCATENATE(61,$M$4,"09521",L627),Adat!$E:$E)*-1</f>
        <v>0</v>
      </c>
      <c r="F656" s="72">
        <f>SUMIF(Adat!$AG:$AG,CONCATENATE(60,$M$4,"09521",L627),Adat!$E:$E)*-1+E656</f>
        <v>0</v>
      </c>
      <c r="G656" s="72">
        <f>SUMIF(Adat!$AH:$AH,CONCATENATE($M$4,"(KÖT)","09521",L627),Adat!$E:$E)*-1</f>
        <v>0</v>
      </c>
      <c r="H656" s="72">
        <f>SUMIF(Adat!$AH:$AH,CONCATENATE($M$4,"(ÖNV)","09521",L627),Adat!$E:$E)*-1</f>
        <v>0</v>
      </c>
      <c r="I656" s="72">
        <f>SUMIF(Adat!$AH:$AH,CONCATENATE($M$4,"(ÁIG)","09521",L627),Adat!$E:$E)*-1</f>
        <v>0</v>
      </c>
    </row>
    <row r="657" spans="2:12" x14ac:dyDescent="0.2">
      <c r="B657" s="160">
        <v>28</v>
      </c>
      <c r="C657" s="305" t="s">
        <v>1376</v>
      </c>
      <c r="D657" s="82" t="s">
        <v>1377</v>
      </c>
      <c r="E657" s="72">
        <f>SUMIF(Adat!$AG:$AG,CONCATENATE(61,$M$4,"09531",L627),Adat!$E:$E)*-1</f>
        <v>0</v>
      </c>
      <c r="F657" s="72">
        <f>SUMIF(Adat!$AG:$AG,CONCATENATE(60,$M$4,"09531",L627),Adat!$E:$E)*-1+E657</f>
        <v>0</v>
      </c>
      <c r="G657" s="72">
        <f>SUMIF(Adat!$AH:$AH,CONCATENATE($M$4,"(KÖT)","09531",L627),Adat!$E:$E)*-1</f>
        <v>0</v>
      </c>
      <c r="H657" s="72">
        <f>SUMIF(Adat!$AH:$AH,CONCATENATE($M$4,"(ÖNV)","09531",L627),Adat!$E:$E)*-1</f>
        <v>0</v>
      </c>
      <c r="I657" s="72">
        <f>SUMIF(Adat!$AH:$AH,CONCATENATE($M$4,"(ÁIG)","09531",L627),Adat!$E:$E)*-1</f>
        <v>0</v>
      </c>
    </row>
    <row r="658" spans="2:12" x14ac:dyDescent="0.25">
      <c r="B658" s="160">
        <v>29</v>
      </c>
      <c r="C658" s="79" t="s">
        <v>36</v>
      </c>
      <c r="D658" s="79" t="s">
        <v>331</v>
      </c>
      <c r="E658" s="71">
        <f>SUMIF(Adat!$AI:$AI,CONCATENATE(61,$M$4,"096",L627),Adat!$E:$E)*-1</f>
        <v>0</v>
      </c>
      <c r="F658" s="71">
        <f>SUMIF(Adat!$AI:$AI,CONCATENATE(60,$M$4,"096",L627),Adat!$E:$E)*-1+E658</f>
        <v>0</v>
      </c>
      <c r="G658" s="71">
        <f>SUMIF(Adat!$AJ:$AJ,CONCATENATE($M$4,"096","(KÖT)",L627),Adat!$E:$E)*-1</f>
        <v>0</v>
      </c>
      <c r="H658" s="71">
        <f>SUMIF(Adat!$AJ:$AJ,CONCATENATE($M$4,"096","(ÖNV)",L627),Adat!$E:$E)*-1</f>
        <v>0</v>
      </c>
      <c r="I658" s="71">
        <f>SUMIF(Adat!$AJ:$AJ,CONCATENATE($M$4,"096","(ÁIG)",L627),Adat!$E:$E)*-1</f>
        <v>0</v>
      </c>
    </row>
    <row r="659" spans="2:12" x14ac:dyDescent="0.25">
      <c r="B659" s="160">
        <v>30</v>
      </c>
      <c r="C659" s="79" t="s">
        <v>38</v>
      </c>
      <c r="D659" s="85" t="s">
        <v>332</v>
      </c>
      <c r="E659" s="71">
        <f>SUMIF(Adat!$AI:$AI,CONCATENATE(61,$M$4,"097",L627),Adat!$E:$E)*-1</f>
        <v>0</v>
      </c>
      <c r="F659" s="71">
        <f>SUMIF(Adat!$AI:$AI,CONCATENATE(60,$M$4,"097",L627),Adat!$E:$E)*-1+E659</f>
        <v>0</v>
      </c>
      <c r="G659" s="71">
        <f>SUMIF(Adat!$AJ:$AJ,CONCATENATE($M$4,"097","(KÖT)",L627),Adat!$E:$E)*-1</f>
        <v>0</v>
      </c>
      <c r="H659" s="71">
        <f>SUMIF(Adat!$AJ:$AJ,CONCATENATE($M$4,"097","(ÖNV)",L627),Adat!$E:$E)*-1</f>
        <v>0</v>
      </c>
      <c r="I659" s="71">
        <f>SUMIF(Adat!$AJ:$AJ,CONCATENATE($M$4,"097","(ÁIG)",L627),Adat!$E:$E)*-1</f>
        <v>0</v>
      </c>
    </row>
    <row r="660" spans="2:12" x14ac:dyDescent="0.25">
      <c r="B660" s="160">
        <v>31</v>
      </c>
      <c r="C660" s="154" t="s">
        <v>352</v>
      </c>
      <c r="D660" s="86" t="s">
        <v>1500</v>
      </c>
      <c r="E660" s="121">
        <f>E631+E645+E649+E650+E654+E658+E659</f>
        <v>0</v>
      </c>
      <c r="F660" s="121">
        <f>F631+F645+F649+F650+F654+F658+F659</f>
        <v>0</v>
      </c>
      <c r="G660" s="121">
        <f>G631+G645+G649+G650+G654+G658+G659</f>
        <v>0</v>
      </c>
      <c r="H660" s="121">
        <f>H631+H645+H649+H650+H654+H658+H659</f>
        <v>0</v>
      </c>
      <c r="I660" s="121">
        <f>I631+I645+I649+I650+I654+I658+I659</f>
        <v>0</v>
      </c>
    </row>
    <row r="661" spans="2:12" x14ac:dyDescent="0.25">
      <c r="B661" s="160">
        <v>32</v>
      </c>
      <c r="C661" s="154" t="s">
        <v>358</v>
      </c>
      <c r="D661" s="86" t="s">
        <v>333</v>
      </c>
      <c r="E661" s="121">
        <f>SUM(E662:E664)</f>
        <v>0</v>
      </c>
      <c r="F661" s="121">
        <f t="shared" ref="F661:I661" si="43">SUM(F662:F664)</f>
        <v>0</v>
      </c>
      <c r="G661" s="121">
        <f t="shared" si="43"/>
        <v>0</v>
      </c>
      <c r="H661" s="121">
        <f t="shared" si="43"/>
        <v>0</v>
      </c>
      <c r="I661" s="121">
        <f t="shared" si="43"/>
        <v>0</v>
      </c>
    </row>
    <row r="662" spans="2:12" x14ac:dyDescent="0.2">
      <c r="B662" s="160">
        <v>33</v>
      </c>
      <c r="C662" s="305" t="s">
        <v>1274</v>
      </c>
      <c r="D662" s="82" t="s">
        <v>1419</v>
      </c>
      <c r="E662" s="72">
        <f>SUMIF(Adat!$AG:$AG,CONCATENATE(61,$M$4,"0981311",L627),Adat!$E:$E)*-1</f>
        <v>0</v>
      </c>
      <c r="F662" s="72">
        <f>SUMIF(Adat!$AG:$AG,CONCATENATE(60,$M$4,"0981311",L627),Adat!$E:$E)*-1+E662</f>
        <v>0</v>
      </c>
      <c r="G662" s="72">
        <f>SUMIF(Adat!$AH:$AH,CONCATENATE($M$4,"(KÖT)","0981311",L627),Adat!$E:$E)*-1</f>
        <v>0</v>
      </c>
      <c r="H662" s="72">
        <f>SUMIF(Adat!$AH:$AH,CONCATENATE($M$4,"(ÖNV)","0981311",L627),Adat!$E:$E)*-1</f>
        <v>0</v>
      </c>
      <c r="I662" s="72">
        <f>SUMIF(Adat!$AH:$AH,CONCATENATE($M$4,"(ÁIG)","0981311",L627),Adat!$E:$E)*-1</f>
        <v>0</v>
      </c>
    </row>
    <row r="663" spans="2:12" x14ac:dyDescent="0.25">
      <c r="B663" s="160">
        <v>34</v>
      </c>
      <c r="C663" s="305" t="s">
        <v>1420</v>
      </c>
      <c r="D663" s="84" t="s">
        <v>1421</v>
      </c>
      <c r="E663" s="72">
        <f>SUMIF(Adat!$AG:$AG,CONCATENATE(61,$M$4,"0981321",L627),Adat!$E:$E)*-1</f>
        <v>0</v>
      </c>
      <c r="F663" s="72">
        <f>SUMIF(Adat!$AG:$AG,CONCATENATE(60,$M$4,"0981321",L627),Adat!$E:$E)*-1+E663</f>
        <v>0</v>
      </c>
      <c r="G663" s="72">
        <f>SUMIF(Adat!$AH:$AH,CONCATENATE($M$4,"(KÖT)","0981321",L627),Adat!$E:$E)*-1</f>
        <v>0</v>
      </c>
      <c r="H663" s="72">
        <f>SUMIF(Adat!$AH:$AH,CONCATENATE($M$4,"(ÖNV)","0981321",L627),Adat!$E:$E)*-1</f>
        <v>0</v>
      </c>
      <c r="I663" s="72">
        <f>SUMIF(Adat!$AH:$AH,CONCATENATE($M$4,"(ÁIG)","0981321",L627),Adat!$E:$E)*-1</f>
        <v>0</v>
      </c>
    </row>
    <row r="664" spans="2:12" x14ac:dyDescent="0.25">
      <c r="B664" s="160">
        <v>35</v>
      </c>
      <c r="C664" s="319" t="s">
        <v>1275</v>
      </c>
      <c r="D664" s="84" t="s">
        <v>1501</v>
      </c>
      <c r="E664" s="72">
        <f>SUMIF(Adat!$AG:$AG,CONCATENATE(61,$M$4,"098161",L627),Adat!$E:$E)*-1</f>
        <v>0</v>
      </c>
      <c r="F664" s="72">
        <f>SUMIF(Adat!$AG:$AG,CONCATENATE(60,$M$4,"098161",L627),Adat!$E:$E)*-1+E664</f>
        <v>0</v>
      </c>
      <c r="G664" s="72">
        <f>SUMIF(Adat!$AH:$AH,CONCATENATE($M$4,"(KÖT)","098161",L627),Adat!$E:$E)*-1</f>
        <v>0</v>
      </c>
      <c r="H664" s="72">
        <f>SUMIF(Adat!$AH:$AH,CONCATENATE($M$4,"(ÖNV)","098161",L627),Adat!$E:$E)*-1</f>
        <v>0</v>
      </c>
      <c r="I664" s="72">
        <f>SUMIF(Adat!$AH:$AH,CONCATENATE($M$4,"(ÁIG)","098161",L627),Adat!$E:$E)*-1</f>
        <v>0</v>
      </c>
    </row>
    <row r="665" spans="2:12" x14ac:dyDescent="0.25">
      <c r="B665" s="160">
        <v>36</v>
      </c>
      <c r="C665" s="154" t="s">
        <v>364</v>
      </c>
      <c r="D665" s="159" t="s">
        <v>1502</v>
      </c>
      <c r="E665" s="121">
        <f>+E660+E661</f>
        <v>0</v>
      </c>
      <c r="F665" s="121">
        <f>+F660+F661</f>
        <v>0</v>
      </c>
      <c r="G665" s="121">
        <f>+G660+G661</f>
        <v>0</v>
      </c>
      <c r="H665" s="121">
        <f>+H660+H661</f>
        <v>0</v>
      </c>
      <c r="I665" s="121">
        <f>+I660+I661</f>
        <v>0</v>
      </c>
    </row>
    <row r="666" spans="2:12" ht="15.75" x14ac:dyDescent="0.25">
      <c r="B666" s="38"/>
      <c r="C666" s="156"/>
      <c r="D666" s="38"/>
      <c r="E666" s="140"/>
      <c r="F666" s="140"/>
      <c r="G666" s="140"/>
      <c r="H666" s="140"/>
      <c r="I666" s="140"/>
    </row>
    <row r="667" spans="2:12" s="10" customFormat="1" ht="15.75" customHeight="1" x14ac:dyDescent="0.25">
      <c r="B667" s="201" t="str">
        <f>CONCATENATE("22. Kiadási jogcímek"," - ",L667," részletező")</f>
        <v>22. Kiadási jogcímek -  részletező</v>
      </c>
      <c r="C667" s="101"/>
      <c r="D667" s="101"/>
      <c r="E667" s="101"/>
      <c r="F667" s="101"/>
      <c r="G667" s="198"/>
      <c r="H667" s="198"/>
      <c r="I667" s="198"/>
      <c r="L667" s="384"/>
    </row>
    <row r="668" spans="2:12" ht="15.75" x14ac:dyDescent="0.25">
      <c r="B668" s="38"/>
      <c r="C668" s="156"/>
      <c r="D668" s="38"/>
      <c r="E668" s="140"/>
      <c r="F668" s="140"/>
      <c r="G668" s="140"/>
      <c r="H668" s="140"/>
      <c r="I668" s="140"/>
    </row>
    <row r="669" spans="2:12" x14ac:dyDescent="0.25">
      <c r="B669" s="77"/>
      <c r="C669" s="77" t="s">
        <v>350</v>
      </c>
      <c r="D669" s="77" t="s">
        <v>351</v>
      </c>
      <c r="E669" s="77" t="s">
        <v>470</v>
      </c>
      <c r="F669" s="77" t="s">
        <v>471</v>
      </c>
      <c r="G669" s="77" t="s">
        <v>44</v>
      </c>
      <c r="H669" s="77" t="s">
        <v>42</v>
      </c>
      <c r="I669" s="77" t="s">
        <v>511</v>
      </c>
    </row>
    <row r="670" spans="2:12" ht="38.25" x14ac:dyDescent="0.25">
      <c r="B670" s="160">
        <v>1</v>
      </c>
      <c r="C670" s="154" t="s">
        <v>593</v>
      </c>
      <c r="D670" s="154" t="s">
        <v>488</v>
      </c>
      <c r="E670" s="163" t="str">
        <f>CONCATENATE(PAR!$H$3," évi
eredeti 
előirányzat")</f>
        <v>2025. évi
eredeti 
előirányzat</v>
      </c>
      <c r="F670" s="163" t="str">
        <f>CONCATENATE(PAR!$H$3," évi
módosított 
előirányzat")</f>
        <v>2025. évi
módosított 
előirányzat</v>
      </c>
      <c r="G670" s="78" t="s">
        <v>666</v>
      </c>
      <c r="H670" s="78" t="s">
        <v>667</v>
      </c>
      <c r="I670" s="78" t="s">
        <v>668</v>
      </c>
    </row>
    <row r="671" spans="2:12" x14ac:dyDescent="0.25">
      <c r="B671" s="160">
        <v>2</v>
      </c>
      <c r="C671" s="78" t="s">
        <v>352</v>
      </c>
      <c r="D671" s="92" t="s">
        <v>1444</v>
      </c>
      <c r="E671" s="121">
        <f>SUM(E672:E676)</f>
        <v>0</v>
      </c>
      <c r="F671" s="121">
        <f>SUM(F672:F676)</f>
        <v>0</v>
      </c>
      <c r="G671" s="121">
        <f>SUM(G672:G676)</f>
        <v>0</v>
      </c>
      <c r="H671" s="121">
        <f>SUM(H672:H676)</f>
        <v>0</v>
      </c>
      <c r="I671" s="121">
        <f>SUM(I672:I676)</f>
        <v>0</v>
      </c>
    </row>
    <row r="672" spans="2:12" x14ac:dyDescent="0.25">
      <c r="B672" s="160">
        <v>3</v>
      </c>
      <c r="C672" s="305" t="s">
        <v>315</v>
      </c>
      <c r="D672" s="93" t="s">
        <v>342</v>
      </c>
      <c r="E672" s="72">
        <f>SUMIF(Adat!$AI:$AI,CONCATENATE(61,$M$4,"051",L667),Adat!$E:$E)</f>
        <v>0</v>
      </c>
      <c r="F672" s="72">
        <f>SUMIF(Adat!$AI:$AI,CONCATENATE(60,$M$4,"051",L667),Adat!$E:$E)+E672</f>
        <v>0</v>
      </c>
      <c r="G672" s="72">
        <f>SUMIF(Adat!$AJ:$AJ,CONCATENATE($M$4,"051","(KÖT)",L667),Adat!$E:$E)</f>
        <v>0</v>
      </c>
      <c r="H672" s="72">
        <f>SUMIF(Adat!$AJ:$AJ,CONCATENATE($M$4,"051","(ÖNV)",L667),Adat!$E:$E)</f>
        <v>0</v>
      </c>
      <c r="I672" s="72">
        <f>SUMIF(Adat!$AJ:$AJ,CONCATENATE($M$4,"051","(ÁIG)",L667),Adat!$E:$E)</f>
        <v>0</v>
      </c>
    </row>
    <row r="673" spans="2:9" x14ac:dyDescent="0.25">
      <c r="B673" s="160">
        <v>4</v>
      </c>
      <c r="C673" s="305" t="s">
        <v>317</v>
      </c>
      <c r="D673" s="93" t="s">
        <v>395</v>
      </c>
      <c r="E673" s="72">
        <f>SUMIF(Adat!$AI:$AI,CONCATENATE(61,$M$4,"052",L667),Adat!$E:$E)</f>
        <v>0</v>
      </c>
      <c r="F673" s="72">
        <f>SUMIF(Adat!$AI:$AI,CONCATENATE(60,$M$4,"052",L667),Adat!$E:$E)+E673</f>
        <v>0</v>
      </c>
      <c r="G673" s="72">
        <f>SUMIF(Adat!$AJ:$AJ,CONCATENATE($M$4,"052","(KÖT)",L667),Adat!$E:$E)</f>
        <v>0</v>
      </c>
      <c r="H673" s="72">
        <f>SUMIF(Adat!$AJ:$AJ,CONCATENATE($M$4,"052","(ÖNV)",L667),Adat!$E:$E)</f>
        <v>0</v>
      </c>
      <c r="I673" s="72">
        <f>SUMIF(Adat!$AJ:$AJ,CONCATENATE($M$4,"052","(ÁIG)",L667),Adat!$E:$E)</f>
        <v>0</v>
      </c>
    </row>
    <row r="674" spans="2:9" x14ac:dyDescent="0.25">
      <c r="B674" s="160">
        <v>5</v>
      </c>
      <c r="C674" s="305" t="s">
        <v>4</v>
      </c>
      <c r="D674" s="93" t="s">
        <v>344</v>
      </c>
      <c r="E674" s="72">
        <f>SUMIF(Adat!$AI:$AI,CONCATENATE(61,$M$4,"053",L667),Adat!$E:$E)</f>
        <v>0</v>
      </c>
      <c r="F674" s="72">
        <f>SUMIF(Adat!$AI:$AI,CONCATENATE(60,$M$4,"053",L667),Adat!$E:$E)+E674</f>
        <v>0</v>
      </c>
      <c r="G674" s="72">
        <f>SUMIF(Adat!$AJ:$AJ,CONCATENATE($M$4,"053","(KÖT)",L667),Adat!$E:$E)</f>
        <v>0</v>
      </c>
      <c r="H674" s="72">
        <f>SUMIF(Adat!$AJ:$AJ,CONCATENATE($M$4,"053","(ÖNV)",L667),Adat!$E:$E)</f>
        <v>0</v>
      </c>
      <c r="I674" s="72">
        <f>SUMIF(Adat!$AJ:$AJ,CONCATENATE($M$4,"053","(ÁIG)",L667),Adat!$E:$E)</f>
        <v>0</v>
      </c>
    </row>
    <row r="675" spans="2:9" x14ac:dyDescent="0.25">
      <c r="B675" s="160">
        <v>6</v>
      </c>
      <c r="C675" s="305" t="s">
        <v>6</v>
      </c>
      <c r="D675" s="93" t="s">
        <v>345</v>
      </c>
      <c r="E675" s="72">
        <f>SUMIF(Adat!$AI:$AI,CONCATENATE(61,$M$4,"054",L667),Adat!$E:$E)</f>
        <v>0</v>
      </c>
      <c r="F675" s="72">
        <f>SUMIF(Adat!$AI:$AI,CONCATENATE(60,$M$4,"054",L667),Adat!$E:$E)+E675</f>
        <v>0</v>
      </c>
      <c r="G675" s="72">
        <f>SUMIF(Adat!$AJ:$AJ,CONCATENATE($M$4,"054","(KÖT)",L667),Adat!$E:$E)</f>
        <v>0</v>
      </c>
      <c r="H675" s="72">
        <f>SUMIF(Adat!$AJ:$AJ,CONCATENATE($M$4,"054","(ÖNV)",L667),Adat!$E:$E)</f>
        <v>0</v>
      </c>
      <c r="I675" s="72">
        <f>SUMIF(Adat!$AJ:$AJ,CONCATENATE($M$4,"054","(ÁIG)",L667),Adat!$E:$E)</f>
        <v>0</v>
      </c>
    </row>
    <row r="676" spans="2:9" x14ac:dyDescent="0.25">
      <c r="B676" s="160">
        <v>7</v>
      </c>
      <c r="C676" s="305" t="s">
        <v>8</v>
      </c>
      <c r="D676" s="93" t="s">
        <v>321</v>
      </c>
      <c r="E676" s="72">
        <f>SUMIF(Adat!$AI:$AI,CONCATENATE(61,$M$4,"055",L667),Adat!$E:$E)</f>
        <v>0</v>
      </c>
      <c r="F676" s="72">
        <f>SUMIF(Adat!$AI:$AI,CONCATENATE(60,$M$4,"055",L667),Adat!$E:$E)+E676</f>
        <v>0</v>
      </c>
      <c r="G676" s="72">
        <f>SUMIF(Adat!$AJ:$AJ,CONCATENATE($M$4,"055","(KÖT)",L667),Adat!$E:$E)</f>
        <v>0</v>
      </c>
      <c r="H676" s="72">
        <f>SUMIF(Adat!$AJ:$AJ,CONCATENATE($M$4,"055","(ÖNV)",L667),Adat!$E:$E)</f>
        <v>0</v>
      </c>
      <c r="I676" s="72">
        <f>SUMIF(Adat!$AJ:$AJ,CONCATENATE($M$4,"055","(ÁIG)",L667),Adat!$E:$E)</f>
        <v>0</v>
      </c>
    </row>
    <row r="677" spans="2:9" x14ac:dyDescent="0.25">
      <c r="B677" s="160">
        <v>8</v>
      </c>
      <c r="C677" s="78" t="s">
        <v>358</v>
      </c>
      <c r="D677" s="92" t="s">
        <v>1447</v>
      </c>
      <c r="E677" s="121">
        <f>E678+E680+E682</f>
        <v>0</v>
      </c>
      <c r="F677" s="121">
        <f>F678+F680+F682</f>
        <v>0</v>
      </c>
      <c r="G677" s="121">
        <f>G678+G680+G682</f>
        <v>0</v>
      </c>
      <c r="H677" s="121">
        <f>H678+H680+H682</f>
        <v>0</v>
      </c>
      <c r="I677" s="121">
        <f>I678+I680+I682</f>
        <v>0</v>
      </c>
    </row>
    <row r="678" spans="2:9" x14ac:dyDescent="0.25">
      <c r="B678" s="160">
        <v>9</v>
      </c>
      <c r="C678" s="305" t="s">
        <v>10</v>
      </c>
      <c r="D678" s="93" t="s">
        <v>322</v>
      </c>
      <c r="E678" s="72">
        <f>SUMIF(Adat!$AI:$AI,CONCATENATE(61,$M$4,"056",L667),Adat!$E:$E)</f>
        <v>0</v>
      </c>
      <c r="F678" s="72">
        <f>SUMIF(Adat!$AI:$AI,CONCATENATE(60,$M$4,"056",L667),Adat!$E:$E)+E678</f>
        <v>0</v>
      </c>
      <c r="G678" s="72">
        <f>SUMIF(Adat!$AJ:$AJ,CONCATENATE($M$4,"056","(KÖT)",L667),Adat!$E:$E)</f>
        <v>0</v>
      </c>
      <c r="H678" s="72">
        <f>SUMIF(Adat!$AJ:$AJ,CONCATENATE($M$4,"056","(ÖNV)",L667),Adat!$E:$E)</f>
        <v>0</v>
      </c>
      <c r="I678" s="72">
        <f>SUMIF(Adat!$AJ:$AJ,CONCATENATE($M$4,"056","(ÁIG)",L667),Adat!$E:$E)</f>
        <v>0</v>
      </c>
    </row>
    <row r="679" spans="2:9" x14ac:dyDescent="0.25">
      <c r="B679" s="160">
        <v>10</v>
      </c>
      <c r="C679" s="305" t="s">
        <v>10</v>
      </c>
      <c r="D679" s="93" t="s">
        <v>1448</v>
      </c>
      <c r="E679" s="72">
        <v>0</v>
      </c>
      <c r="F679" s="72">
        <f>SUM(G679:I679)</f>
        <v>0</v>
      </c>
      <c r="G679" s="72">
        <v>0</v>
      </c>
      <c r="H679" s="72">
        <v>0</v>
      </c>
      <c r="I679" s="72">
        <v>0</v>
      </c>
    </row>
    <row r="680" spans="2:9" x14ac:dyDescent="0.25">
      <c r="B680" s="160">
        <v>11</v>
      </c>
      <c r="C680" s="305" t="s">
        <v>12</v>
      </c>
      <c r="D680" s="93" t="s">
        <v>323</v>
      </c>
      <c r="E680" s="72">
        <f>SUMIF(Adat!$AI:$AI,CONCATENATE(61,$M$4,"057",L667),Adat!$E:$E)</f>
        <v>0</v>
      </c>
      <c r="F680" s="72">
        <f>SUMIF(Adat!$AI:$AI,CONCATENATE(60,$M$4,"057",L667),Adat!$E:$E)+E680</f>
        <v>0</v>
      </c>
      <c r="G680" s="72">
        <f>SUMIF(Adat!$AJ:$AJ,CONCATENATE($M$4,"057","(KÖT)",L667),Adat!$E:$E)</f>
        <v>0</v>
      </c>
      <c r="H680" s="72">
        <f>SUMIF(Adat!$AJ:$AJ,CONCATENATE($M$4,"057","(ÖNV)",L667),Adat!$E:$E)</f>
        <v>0</v>
      </c>
      <c r="I680" s="72">
        <f>SUMIF(Adat!$AJ:$AJ,CONCATENATE($M$4,"057","(ÁIG)",L667),Adat!$E:$E)</f>
        <v>0</v>
      </c>
    </row>
    <row r="681" spans="2:9" x14ac:dyDescent="0.25">
      <c r="B681" s="160">
        <v>12</v>
      </c>
      <c r="C681" s="305" t="s">
        <v>12</v>
      </c>
      <c r="D681" s="93" t="s">
        <v>1449</v>
      </c>
      <c r="E681" s="72">
        <v>0</v>
      </c>
      <c r="F681" s="72">
        <f>SUM(G681:I681)</f>
        <v>0</v>
      </c>
      <c r="G681" s="72">
        <v>0</v>
      </c>
      <c r="H681" s="72">
        <v>0</v>
      </c>
      <c r="I681" s="72">
        <v>0</v>
      </c>
    </row>
    <row r="682" spans="2:9" x14ac:dyDescent="0.25">
      <c r="B682" s="160">
        <v>13</v>
      </c>
      <c r="C682" s="305" t="s">
        <v>15</v>
      </c>
      <c r="D682" s="84" t="s">
        <v>324</v>
      </c>
      <c r="E682" s="72">
        <f>SUMIF(Adat!$AI:$AI,CONCATENATE(61,$M$4,"058",L667),Adat!$E:$E)</f>
        <v>0</v>
      </c>
      <c r="F682" s="72">
        <f>SUMIF(Adat!$AI:$AI,CONCATENATE(60,$M$4,"058",L667),Adat!$E:$E)+E682</f>
        <v>0</v>
      </c>
      <c r="G682" s="72">
        <f>SUMIF(Adat!$AJ:$AJ,CONCATENATE($M$4,"058","(KÖT)",L667),Adat!$E:$E)</f>
        <v>0</v>
      </c>
      <c r="H682" s="72">
        <f>SUMIF(Adat!$AJ:$AJ,CONCATENATE($M$4,"058","(ÖNV)",L667),Adat!$E:$E)</f>
        <v>0</v>
      </c>
      <c r="I682" s="72">
        <f>SUMIF(Adat!$AJ:$AJ,CONCATENATE($M$4,"058","(ÁIG)",L667),Adat!$E:$E)</f>
        <v>0</v>
      </c>
    </row>
    <row r="683" spans="2:9" x14ac:dyDescent="0.25">
      <c r="B683" s="160">
        <v>14</v>
      </c>
      <c r="C683" s="154" t="s">
        <v>364</v>
      </c>
      <c r="D683" s="86" t="s">
        <v>325</v>
      </c>
      <c r="E683" s="71">
        <f>SUMIF(Adat!$AI:$AI,CONCATENATE(61,$M$4,"059",L667),Adat!$E:$E)</f>
        <v>0</v>
      </c>
      <c r="F683" s="71">
        <f>SUMIF(Adat!$AI:$AI,CONCATENATE(60,$M$4,"059",L667),Adat!$E:$E)+E683</f>
        <v>0</v>
      </c>
      <c r="G683" s="71">
        <f>SUMIF(Adat!$AJ:$AJ,CONCATENATE($M$4,"059","(KÖT)",L667),Adat!$E:$E)</f>
        <v>0</v>
      </c>
      <c r="H683" s="71">
        <f>SUMIF(Adat!$AJ:$AJ,CONCATENATE($M$4,"059","(ÖNV)",L667),Adat!$E:$E)</f>
        <v>0</v>
      </c>
      <c r="I683" s="71">
        <f>SUMIF(Adat!$AJ:$AJ,CONCATENATE($M$4,"059","(ÁIG)",L667),Adat!$E:$E)</f>
        <v>0</v>
      </c>
    </row>
    <row r="684" spans="2:9" x14ac:dyDescent="0.25">
      <c r="B684" s="160">
        <v>15</v>
      </c>
      <c r="C684" s="154" t="s">
        <v>403</v>
      </c>
      <c r="D684" s="159" t="s">
        <v>497</v>
      </c>
      <c r="E684" s="121">
        <f>E671+E677+E683</f>
        <v>0</v>
      </c>
      <c r="F684" s="121">
        <f>F671+F677+F683</f>
        <v>0</v>
      </c>
      <c r="G684" s="121">
        <f>G671+G677+G683</f>
        <v>0</v>
      </c>
      <c r="H684" s="121">
        <f>H671+H677+H683</f>
        <v>0</v>
      </c>
      <c r="I684" s="121">
        <f>I671+I677+I683</f>
        <v>0</v>
      </c>
    </row>
  </sheetData>
  <sheetProtection algorithmName="SHA-512" hashValue="eaRnd/U2hnwKDXO1GnYAWfwOX3Bqzwi0VixGf4MDhFsNPi9xAM09ekXXc/+5kl5Q3x6XWq2T7lW/6QmlqBnCpQ==" saltValue="5LxDVa1tT2ag413iYvbMiA==" spinCount="100000" sheet="1" formatCells="0" formatColumns="0" formatRows="0"/>
  <mergeCells count="34">
    <mergeCell ref="B190:I190"/>
    <mergeCell ref="B2:I2"/>
    <mergeCell ref="C3:E3"/>
    <mergeCell ref="B4:I4"/>
    <mergeCell ref="B5:I5"/>
    <mergeCell ref="C65:E65"/>
    <mergeCell ref="B66:I66"/>
    <mergeCell ref="B67:I67"/>
    <mergeCell ref="C127:E127"/>
    <mergeCell ref="B128:I128"/>
    <mergeCell ref="B129:I129"/>
    <mergeCell ref="C189:E189"/>
    <mergeCell ref="B438:I438"/>
    <mergeCell ref="B191:I191"/>
    <mergeCell ref="C251:E251"/>
    <mergeCell ref="B252:I252"/>
    <mergeCell ref="B253:I253"/>
    <mergeCell ref="C313:E313"/>
    <mergeCell ref="B314:I314"/>
    <mergeCell ref="B315:I315"/>
    <mergeCell ref="C375:E375"/>
    <mergeCell ref="B376:I376"/>
    <mergeCell ref="B377:I377"/>
    <mergeCell ref="C437:E437"/>
    <mergeCell ref="B563:I563"/>
    <mergeCell ref="C623:E623"/>
    <mergeCell ref="B624:I624"/>
    <mergeCell ref="B625:I625"/>
    <mergeCell ref="B439:I439"/>
    <mergeCell ref="C499:E499"/>
    <mergeCell ref="B500:I500"/>
    <mergeCell ref="B501:I501"/>
    <mergeCell ref="C561:E561"/>
    <mergeCell ref="B562:I56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0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0C60D-1156-4DC9-A546-4C628496E717}">
  <sheetPr>
    <tabColor theme="7" tint="0.39997558519241921"/>
    <pageSetUpPr fitToPage="1"/>
  </sheetPr>
  <dimension ref="B1:R684"/>
  <sheetViews>
    <sheetView view="pageBreakPreview" zoomScaleSheetLayoutView="100" workbookViewId="0">
      <selection activeCell="N11" sqref="N11"/>
    </sheetView>
  </sheetViews>
  <sheetFormatPr defaultColWidth="9" defaultRowHeight="12.75" x14ac:dyDescent="0.25"/>
  <cols>
    <col min="1" max="1" width="0.875" style="35" customWidth="1"/>
    <col min="2" max="2" width="5.625" style="35" customWidth="1"/>
    <col min="3" max="3" width="7.625" style="44" customWidth="1"/>
    <col min="4" max="4" width="57.625" style="35" customWidth="1"/>
    <col min="5" max="9" width="12.625" style="35" customWidth="1"/>
    <col min="10" max="11" width="0.875" style="35" customWidth="1"/>
    <col min="12" max="12" width="5.625" style="35" customWidth="1"/>
    <col min="13" max="13" width="8.625" style="35" customWidth="1"/>
    <col min="14" max="17" width="9.125" style="35" customWidth="1"/>
    <col min="18" max="18" width="29.875" style="35" customWidth="1"/>
    <col min="19" max="16384" width="9" style="35"/>
  </cols>
  <sheetData>
    <row r="1" spans="2:14" ht="6" customHeight="1" x14ac:dyDescent="0.25"/>
    <row r="2" spans="2:14" s="37" customFormat="1" ht="15.75" x14ac:dyDescent="0.25">
      <c r="B2" s="524" t="str">
        <f>CONCATENATE(Index!C35," a(z) ",Index!E16," önkormányzati rendelethez")</f>
        <v>16. melléklet a(z) .../2025. (...) önkormányzati rendelethez</v>
      </c>
      <c r="C2" s="524"/>
      <c r="D2" s="524"/>
      <c r="E2" s="524"/>
      <c r="F2" s="524"/>
      <c r="G2" s="524"/>
      <c r="H2" s="524"/>
      <c r="I2" s="524"/>
    </row>
    <row r="3" spans="2:14" s="37" customFormat="1" ht="15.75" x14ac:dyDescent="0.25">
      <c r="C3" s="529"/>
      <c r="D3" s="529"/>
      <c r="E3" s="529"/>
      <c r="F3" s="200"/>
      <c r="G3" s="200"/>
      <c r="H3" s="200"/>
      <c r="I3" s="200"/>
    </row>
    <row r="4" spans="2:14" s="38" customFormat="1" ht="15.75" x14ac:dyDescent="0.25">
      <c r="B4" s="525" t="str">
        <f>$N$4</f>
        <v>Nagymaros Városi Könyvtár és Művelődési Ház</v>
      </c>
      <c r="C4" s="525"/>
      <c r="D4" s="525"/>
      <c r="E4" s="525"/>
      <c r="F4" s="525"/>
      <c r="G4" s="525"/>
      <c r="H4" s="525"/>
      <c r="I4" s="525"/>
      <c r="L4" s="318">
        <v>5</v>
      </c>
      <c r="M4" s="320" t="str">
        <f>VLOOKUP($L$4,Info!$B$5:$D$55,3)</f>
        <v>P654472</v>
      </c>
      <c r="N4" s="321" t="str">
        <f>VLOOKUP($L$4,Info!$B$5:$D$55,2)</f>
        <v>Nagymaros Városi Könyvtár és Művelődési Ház</v>
      </c>
    </row>
    <row r="5" spans="2:14" s="38" customFormat="1" ht="15.75" x14ac:dyDescent="0.25">
      <c r="B5" s="525" t="s">
        <v>487</v>
      </c>
      <c r="C5" s="525"/>
      <c r="D5" s="525"/>
      <c r="E5" s="525"/>
      <c r="F5" s="525"/>
      <c r="G5" s="525"/>
      <c r="H5" s="525"/>
      <c r="I5" s="525"/>
    </row>
    <row r="6" spans="2:14" s="38" customFormat="1" ht="15.75" x14ac:dyDescent="0.25">
      <c r="C6" s="156"/>
      <c r="E6" s="140"/>
      <c r="F6" s="140"/>
      <c r="G6" s="140"/>
      <c r="H6" s="140"/>
      <c r="I6" s="140"/>
    </row>
    <row r="7" spans="2:14" s="38" customFormat="1" ht="15.75" x14ac:dyDescent="0.25">
      <c r="B7" s="201" t="s">
        <v>635</v>
      </c>
      <c r="C7" s="201"/>
      <c r="D7" s="201"/>
      <c r="E7" s="201"/>
      <c r="F7" s="201"/>
      <c r="G7" s="198"/>
      <c r="H7" s="198"/>
      <c r="I7" s="198"/>
    </row>
    <row r="8" spans="2:14" s="38" customFormat="1" ht="15.75" x14ac:dyDescent="0.25">
      <c r="C8" s="156"/>
      <c r="E8" s="140"/>
      <c r="F8" s="140"/>
      <c r="G8" s="140"/>
      <c r="H8" s="140"/>
      <c r="I8" s="140"/>
    </row>
    <row r="9" spans="2:14" s="40" customFormat="1" x14ac:dyDescent="0.25">
      <c r="B9" s="77"/>
      <c r="C9" s="77" t="s">
        <v>350</v>
      </c>
      <c r="D9" s="77" t="s">
        <v>351</v>
      </c>
      <c r="E9" s="77" t="s">
        <v>470</v>
      </c>
      <c r="F9" s="77" t="s">
        <v>471</v>
      </c>
      <c r="G9" s="77" t="s">
        <v>44</v>
      </c>
      <c r="H9" s="77" t="s">
        <v>42</v>
      </c>
      <c r="I9" s="77" t="s">
        <v>511</v>
      </c>
    </row>
    <row r="10" spans="2:14" ht="38.25" x14ac:dyDescent="0.25">
      <c r="B10" s="160">
        <v>1</v>
      </c>
      <c r="C10" s="154" t="s">
        <v>593</v>
      </c>
      <c r="D10" s="154" t="s">
        <v>488</v>
      </c>
      <c r="E10" s="163" t="str">
        <f>CONCATENATE(PAR!$H$3," évi
eredeti 
előirányzat")</f>
        <v>2025. évi
eredeti 
előirányzat</v>
      </c>
      <c r="F10" s="163" t="str">
        <f>CONCATENATE(PAR!$H$3," évi
módosított 
előirányzat")</f>
        <v>2025. évi
módosított 
előirányzat</v>
      </c>
      <c r="G10" s="78" t="s">
        <v>666</v>
      </c>
      <c r="H10" s="78" t="s">
        <v>667</v>
      </c>
      <c r="I10" s="78" t="s">
        <v>668</v>
      </c>
    </row>
    <row r="11" spans="2:14" s="42" customFormat="1" x14ac:dyDescent="0.25">
      <c r="B11" s="160">
        <v>2</v>
      </c>
      <c r="C11" s="79" t="s">
        <v>30</v>
      </c>
      <c r="D11" s="79" t="s">
        <v>329</v>
      </c>
      <c r="E11" s="121">
        <f>SUM(E12:E24)</f>
        <v>5720000</v>
      </c>
      <c r="F11" s="121">
        <f t="shared" ref="F11:I11" si="0">SUM(F12:F24)</f>
        <v>5720000</v>
      </c>
      <c r="G11" s="121">
        <f t="shared" si="0"/>
        <v>5720000</v>
      </c>
      <c r="H11" s="121">
        <f t="shared" si="0"/>
        <v>0</v>
      </c>
      <c r="I11" s="121">
        <f t="shared" si="0"/>
        <v>0</v>
      </c>
    </row>
    <row r="12" spans="2:14" s="42" customFormat="1" x14ac:dyDescent="0.2">
      <c r="B12" s="160">
        <v>3</v>
      </c>
      <c r="C12" s="305" t="s">
        <v>1309</v>
      </c>
      <c r="D12" s="82" t="s">
        <v>1356</v>
      </c>
      <c r="E12" s="166">
        <f>SUMIF(Adat!$AC:$AC,CONCATENATE(61,$M$4,"094011"),Adat!$E:$E)*-1</f>
        <v>0</v>
      </c>
      <c r="F12" s="166">
        <f>SUMIF(Adat!$AC:$AC,CONCATENATE(60,$M$4,"094011"),Adat!$E:$E)*-1+E12</f>
        <v>0</v>
      </c>
      <c r="G12" s="166">
        <f>SUMIF(Adat!$AD:$AD,CONCATENATE($M$4,"094011","(KÖT)"),Adat!$E:$E)*-1</f>
        <v>0</v>
      </c>
      <c r="H12" s="166">
        <f>SUMIF(Adat!$AD:$AD,CONCATENATE($M$4,"094011","(ÖNV)"),Adat!$E:$E)*-1</f>
        <v>0</v>
      </c>
      <c r="I12" s="166">
        <f>SUMIF(Adat!$AD:$AD,CONCATENATE($M$4,"094011","(ÁIG)"),Adat!$E:$E)*-1</f>
        <v>0</v>
      </c>
    </row>
    <row r="13" spans="2:14" s="42" customFormat="1" x14ac:dyDescent="0.2">
      <c r="B13" s="160">
        <v>4</v>
      </c>
      <c r="C13" s="305" t="s">
        <v>1279</v>
      </c>
      <c r="D13" s="82" t="s">
        <v>1357</v>
      </c>
      <c r="E13" s="166">
        <f>SUMIF(Adat!$AC:$AC,CONCATENATE(61,$M$4,"094021"),Adat!$E:$E)*-1</f>
        <v>5720000</v>
      </c>
      <c r="F13" s="166">
        <f>SUMIF(Adat!$AC:$AC,CONCATENATE(60,$M$4,"094021"),Adat!$E:$E)*-1+E13</f>
        <v>5720000</v>
      </c>
      <c r="G13" s="166">
        <f>SUMIF(Adat!$AD:$AD,CONCATENATE($M$4,"094021","(KÖT)"),Adat!$E:$E)*-1</f>
        <v>5720000</v>
      </c>
      <c r="H13" s="166">
        <f>SUMIF(Adat!$AD:$AD,CONCATENATE($M$4,"094021","(ÖNV)"),Adat!$E:$E)*-1</f>
        <v>0</v>
      </c>
      <c r="I13" s="166">
        <f>SUMIF(Adat!$AD:$AD,CONCATENATE($M$4,"094021","(ÁIG)"),Adat!$E:$E)*-1</f>
        <v>0</v>
      </c>
    </row>
    <row r="14" spans="2:14" s="42" customFormat="1" x14ac:dyDescent="0.2">
      <c r="B14" s="160">
        <v>5</v>
      </c>
      <c r="C14" s="305" t="s">
        <v>1272</v>
      </c>
      <c r="D14" s="82" t="s">
        <v>1358</v>
      </c>
      <c r="E14" s="166">
        <f>SUMIF(Adat!$AC:$AC,CONCATENATE(61,$M$4,"094031"),Adat!$E:$E)*-1</f>
        <v>0</v>
      </c>
      <c r="F14" s="166">
        <f>SUMIF(Adat!$AC:$AC,CONCATENATE(60,$M$4,"094031"),Adat!$E:$E)*-1+E14</f>
        <v>0</v>
      </c>
      <c r="G14" s="166">
        <f>SUMIF(Adat!$AD:$AD,CONCATENATE($M$4,"094031","(KÖT)"),Adat!$E:$E)*-1</f>
        <v>0</v>
      </c>
      <c r="H14" s="166">
        <f>SUMIF(Adat!$AD:$AD,CONCATENATE($M$4,"094031","(ÖNV)"),Adat!$E:$E)*-1</f>
        <v>0</v>
      </c>
      <c r="I14" s="166">
        <f>SUMIF(Adat!$AD:$AD,CONCATENATE($M$4,"094031","(ÁIG)"),Adat!$E:$E)*-1</f>
        <v>0</v>
      </c>
    </row>
    <row r="15" spans="2:14" s="42" customFormat="1" x14ac:dyDescent="0.2">
      <c r="B15" s="160">
        <v>6</v>
      </c>
      <c r="C15" s="305" t="s">
        <v>1359</v>
      </c>
      <c r="D15" s="82" t="s">
        <v>1360</v>
      </c>
      <c r="E15" s="166">
        <f>SUMIF(Adat!$AC:$AC,CONCATENATE(61,$M$4,"094041"),Adat!$E:$E)*-1</f>
        <v>0</v>
      </c>
      <c r="F15" s="166">
        <f>SUMIF(Adat!$AC:$AC,CONCATENATE(60,$M$4,"094041"),Adat!$E:$E)*-1+E15</f>
        <v>0</v>
      </c>
      <c r="G15" s="166">
        <f>SUMIF(Adat!$AD:$AD,CONCATENATE($M$4,"094041","(KÖT)"),Adat!$E:$E)*-1</f>
        <v>0</v>
      </c>
      <c r="H15" s="166">
        <f>SUMIF(Adat!$AD:$AD,CONCATENATE($M$4,"094041","(ÖNV)"),Adat!$E:$E)*-1</f>
        <v>0</v>
      </c>
      <c r="I15" s="166">
        <f>SUMIF(Adat!$AD:$AD,CONCATENATE($M$4,"094041","(ÁIG)"),Adat!$E:$E)*-1</f>
        <v>0</v>
      </c>
    </row>
    <row r="16" spans="2:14" s="42" customFormat="1" x14ac:dyDescent="0.2">
      <c r="B16" s="160">
        <v>7</v>
      </c>
      <c r="C16" s="305" t="s">
        <v>1261</v>
      </c>
      <c r="D16" s="82" t="s">
        <v>1361</v>
      </c>
      <c r="E16" s="166">
        <f>SUMIF(Adat!$AC:$AC,CONCATENATE(61,$M$4,"094051"),Adat!$E:$E)*-1</f>
        <v>0</v>
      </c>
      <c r="F16" s="166">
        <f>SUMIF(Adat!$AC:$AC,CONCATENATE(60,$M$4,"094051"),Adat!$E:$E)*-1+E16</f>
        <v>0</v>
      </c>
      <c r="G16" s="166">
        <f>SUMIF(Adat!$AD:$AD,CONCATENATE($M$4,"094051","(KÖT)"),Adat!$E:$E)*-1</f>
        <v>0</v>
      </c>
      <c r="H16" s="166">
        <f>SUMIF(Adat!$AD:$AD,CONCATENATE($M$4,"094051","(ÖNV)"),Adat!$E:$E)*-1</f>
        <v>0</v>
      </c>
      <c r="I16" s="166">
        <f>SUMIF(Adat!$AD:$AD,CONCATENATE($M$4,"094051","(ÁIG)"),Adat!$E:$E)*-1</f>
        <v>0</v>
      </c>
    </row>
    <row r="17" spans="2:9" s="42" customFormat="1" x14ac:dyDescent="0.2">
      <c r="B17" s="160">
        <v>8</v>
      </c>
      <c r="C17" s="305" t="s">
        <v>1273</v>
      </c>
      <c r="D17" s="82" t="s">
        <v>1362</v>
      </c>
      <c r="E17" s="166">
        <f>SUMIF(Adat!$AC:$AC,CONCATENATE(61,$M$4,"094061"),Adat!$E:$E)*-1</f>
        <v>0</v>
      </c>
      <c r="F17" s="166">
        <f>SUMIF(Adat!$AC:$AC,CONCATENATE(60,$M$4,"094061"),Adat!$E:$E)*-1+E17</f>
        <v>0</v>
      </c>
      <c r="G17" s="166">
        <f>SUMIF(Adat!$AD:$AD,CONCATENATE($M$4,"094061","(KÖT)"),Adat!$E:$E)*-1</f>
        <v>0</v>
      </c>
      <c r="H17" s="166">
        <f>SUMIF(Adat!$AD:$AD,CONCATENATE($M$4,"094061","(ÖNV)"),Adat!$E:$E)*-1</f>
        <v>0</v>
      </c>
      <c r="I17" s="166">
        <f>SUMIF(Adat!$AD:$AD,CONCATENATE($M$4,"094061","(ÁIG)"),Adat!$E:$E)*-1</f>
        <v>0</v>
      </c>
    </row>
    <row r="18" spans="2:9" s="42" customFormat="1" x14ac:dyDescent="0.2">
      <c r="B18" s="160">
        <v>9</v>
      </c>
      <c r="C18" s="305" t="s">
        <v>1363</v>
      </c>
      <c r="D18" s="82" t="s">
        <v>1364</v>
      </c>
      <c r="E18" s="166">
        <f>SUMIF(Adat!$AC:$AC,CONCATENATE(61,$M$4,"094071"),Adat!$E:$E)*-1</f>
        <v>0</v>
      </c>
      <c r="F18" s="166">
        <f>SUMIF(Adat!$AC:$AC,CONCATENATE(60,$M$4,"094071"),Adat!$E:$E)*-1+E18</f>
        <v>0</v>
      </c>
      <c r="G18" s="166">
        <f>SUMIF(Adat!$AD:$AD,CONCATENATE($M$4,"094071","(KÖT)"),Adat!$E:$E)*-1</f>
        <v>0</v>
      </c>
      <c r="H18" s="166">
        <f>SUMIF(Adat!$AD:$AD,CONCATENATE($M$4,"094071","(ÖNV)"),Adat!$E:$E)*-1</f>
        <v>0</v>
      </c>
      <c r="I18" s="166">
        <f>SUMIF(Adat!$AD:$AD,CONCATENATE($M$4,"094071","(ÁIG)"),Adat!$E:$E)*-1</f>
        <v>0</v>
      </c>
    </row>
    <row r="19" spans="2:9" s="42" customFormat="1" x14ac:dyDescent="0.2">
      <c r="B19" s="160">
        <v>10</v>
      </c>
      <c r="C19" s="305" t="s">
        <v>1306</v>
      </c>
      <c r="D19" s="82" t="s">
        <v>1365</v>
      </c>
      <c r="E19" s="166">
        <f>SUMIF(Adat!$AC:$AC,CONCATENATE(61,$M$4,"0940811"),Adat!$E:$E)*-1</f>
        <v>0</v>
      </c>
      <c r="F19" s="166">
        <f>SUMIF(Adat!$AC:$AC,CONCATENATE(60,$M$4,"0940811"),Adat!$E:$E)*-1+E19</f>
        <v>0</v>
      </c>
      <c r="G19" s="166">
        <f>SUMIF(Adat!$AD:$AD,CONCATENATE($M$4,"0940811","(KÖT)"),Adat!$E:$E)*-1</f>
        <v>0</v>
      </c>
      <c r="H19" s="166">
        <f>SUMIF(Adat!$AD:$AD,CONCATENATE($M$4,"0940811","(ÖNV)"),Adat!$E:$E)*-1</f>
        <v>0</v>
      </c>
      <c r="I19" s="166">
        <f>SUMIF(Adat!$AD:$AD,CONCATENATE($M$4,"0940811","(ÁIG)"),Adat!$E:$E)*-1</f>
        <v>0</v>
      </c>
    </row>
    <row r="20" spans="2:9" x14ac:dyDescent="0.2">
      <c r="B20" s="160">
        <v>11</v>
      </c>
      <c r="C20" s="305" t="s">
        <v>1295</v>
      </c>
      <c r="D20" s="82" t="s">
        <v>1366</v>
      </c>
      <c r="E20" s="166">
        <f>SUMIF(Adat!$AC:$AC,CONCATENATE(61,$M$4,"0940821"),Adat!$E:$E)*-1</f>
        <v>0</v>
      </c>
      <c r="F20" s="166">
        <f>SUMIF(Adat!$AC:$AC,CONCATENATE(60,$M$4,"0940821"),Adat!$E:$E)*-1+E20</f>
        <v>0</v>
      </c>
      <c r="G20" s="166">
        <f>SUMIF(Adat!$AD:$AD,CONCATENATE($M$4,"0940821","(KÖT)"),Adat!$E:$E)*-1</f>
        <v>0</v>
      </c>
      <c r="H20" s="166">
        <f>SUMIF(Adat!$AD:$AD,CONCATENATE($M$4,"0940821","(ÖNV)"),Adat!$E:$E)*-1</f>
        <v>0</v>
      </c>
      <c r="I20" s="166">
        <f>SUMIF(Adat!$AD:$AD,CONCATENATE($M$4,"0940821","(ÁIG)"),Adat!$E:$E)*-1</f>
        <v>0</v>
      </c>
    </row>
    <row r="21" spans="2:9" x14ac:dyDescent="0.2">
      <c r="B21" s="160">
        <v>12</v>
      </c>
      <c r="C21" s="305" t="s">
        <v>1367</v>
      </c>
      <c r="D21" s="82" t="s">
        <v>1368</v>
      </c>
      <c r="E21" s="166">
        <f>SUMIF(Adat!$AC:$AC,CONCATENATE(61,$M$4,"0940911"),Adat!$E:$E)*-1</f>
        <v>0</v>
      </c>
      <c r="F21" s="166">
        <f>SUMIF(Adat!$AC:$AC,CONCATENATE(60,$M$4,"0940911"),Adat!$E:$E)*-1+E21</f>
        <v>0</v>
      </c>
      <c r="G21" s="166">
        <f>SUMIF(Adat!$AD:$AD,CONCATENATE($M$4,"0940911","(KÖT)"),Adat!$E:$E)*-1</f>
        <v>0</v>
      </c>
      <c r="H21" s="166">
        <f>SUMIF(Adat!$AD:$AD,CONCATENATE($M$4,"0940911","(ÖNV)"),Adat!$E:$E)*-1</f>
        <v>0</v>
      </c>
      <c r="I21" s="166">
        <f>SUMIF(Adat!$AD:$AD,CONCATENATE($M$4,"0940911","(ÁIG)"),Adat!$E:$E)*-1</f>
        <v>0</v>
      </c>
    </row>
    <row r="22" spans="2:9" x14ac:dyDescent="0.2">
      <c r="B22" s="160">
        <v>13</v>
      </c>
      <c r="C22" s="305" t="s">
        <v>1369</v>
      </c>
      <c r="D22" s="82" t="s">
        <v>1370</v>
      </c>
      <c r="E22" s="166">
        <f>SUMIF(Adat!$AC:$AC,CONCATENATE(61,$M$4,"0940921"),Adat!$E:$E)*-1</f>
        <v>0</v>
      </c>
      <c r="F22" s="166">
        <f>SUMIF(Adat!$AC:$AC,CONCATENATE(60,$M$4,"0940921"),Adat!$E:$E)*-1+E22</f>
        <v>0</v>
      </c>
      <c r="G22" s="166">
        <f>SUMIF(Adat!$AD:$AD,CONCATENATE($M$4,"0940921","(KÖT)"),Adat!$E:$E)*-1</f>
        <v>0</v>
      </c>
      <c r="H22" s="166">
        <f>SUMIF(Adat!$AD:$AD,CONCATENATE($M$4,"0940921","(ÖNV)"),Adat!$E:$E)*-1</f>
        <v>0</v>
      </c>
      <c r="I22" s="166">
        <f>SUMIF(Adat!$AD:$AD,CONCATENATE($M$4,"0940921","(ÁIG)"),Adat!$E:$E)*-1</f>
        <v>0</v>
      </c>
    </row>
    <row r="23" spans="2:9" x14ac:dyDescent="0.2">
      <c r="B23" s="160">
        <v>14</v>
      </c>
      <c r="C23" s="305" t="s">
        <v>1296</v>
      </c>
      <c r="D23" s="82" t="s">
        <v>1371</v>
      </c>
      <c r="E23" s="166">
        <f>SUMIF(Adat!$AC:$AC,CONCATENATE(61,$M$4,"094101"),Adat!$E:$E)*-1</f>
        <v>0</v>
      </c>
      <c r="F23" s="166">
        <f>SUMIF(Adat!$AC:$AC,CONCATENATE(60,$M$4,"094101"),Adat!$E:$E)*-1+E23</f>
        <v>0</v>
      </c>
      <c r="G23" s="166">
        <f>SUMIF(Adat!$AD:$AD,CONCATENATE($M$4,"094101","(KÖT)"),Adat!$E:$E)*-1</f>
        <v>0</v>
      </c>
      <c r="H23" s="166">
        <f>SUMIF(Adat!$AD:$AD,CONCATENATE($M$4,"094101","(ÖNV)"),Adat!$E:$E)*-1</f>
        <v>0</v>
      </c>
      <c r="I23" s="166">
        <f>SUMIF(Adat!$AD:$AD,CONCATENATE($M$4,"094101","(ÁIG)"),Adat!$E:$E)*-1</f>
        <v>0</v>
      </c>
    </row>
    <row r="24" spans="2:9" x14ac:dyDescent="0.25">
      <c r="B24" s="160">
        <v>15</v>
      </c>
      <c r="C24" s="305" t="s">
        <v>1297</v>
      </c>
      <c r="D24" s="84" t="s">
        <v>1372</v>
      </c>
      <c r="E24" s="166">
        <f>SUMIF(Adat!$AC:$AC,CONCATENATE(61,$M$4,"094111"),Adat!$E:$E)*-1</f>
        <v>0</v>
      </c>
      <c r="F24" s="166">
        <f>SUMIF(Adat!$AC:$AC,CONCATENATE(60,$M$4,"094111"),Adat!$E:$E)*-1+E24</f>
        <v>0</v>
      </c>
      <c r="G24" s="166">
        <f>SUMIF(Adat!$AD:$AD,CONCATENATE($M$4,"094111","(KÖT)"),Adat!$E:$E)*-1</f>
        <v>0</v>
      </c>
      <c r="H24" s="166">
        <f>SUMIF(Adat!$AD:$AD,CONCATENATE($M$4,"094111","(ÖNV)"),Adat!$E:$E)*-1</f>
        <v>0</v>
      </c>
      <c r="I24" s="166">
        <f>SUMIF(Adat!$AD:$AD,CONCATENATE($M$4,"094111","(ÁIG)"),Adat!$E:$E)*-1</f>
        <v>0</v>
      </c>
    </row>
    <row r="25" spans="2:9" s="42" customFormat="1" x14ac:dyDescent="0.25">
      <c r="B25" s="160">
        <v>16</v>
      </c>
      <c r="C25" s="78" t="s">
        <v>1328</v>
      </c>
      <c r="D25" s="85" t="s">
        <v>437</v>
      </c>
      <c r="E25" s="121">
        <f>SUM(E26:E28)</f>
        <v>0</v>
      </c>
      <c r="F25" s="121">
        <f>SUM(F26:F28)</f>
        <v>0</v>
      </c>
      <c r="G25" s="121">
        <f>SUM(G26:G28)</f>
        <v>0</v>
      </c>
      <c r="H25" s="121">
        <f>SUM(H26:H28)</f>
        <v>0</v>
      </c>
      <c r="I25" s="121">
        <f>SUM(I26:I28)</f>
        <v>0</v>
      </c>
    </row>
    <row r="26" spans="2:9" x14ac:dyDescent="0.2">
      <c r="B26" s="160">
        <v>17</v>
      </c>
      <c r="C26" s="305" t="s">
        <v>1329</v>
      </c>
      <c r="D26" s="82" t="s">
        <v>1330</v>
      </c>
      <c r="E26" s="166">
        <f>SUMIF(Adat!$AC:$AC,CONCATENATE(61,$M$4,"09121"),Adat!$E:$E)*-1</f>
        <v>0</v>
      </c>
      <c r="F26" s="166">
        <f>SUMIF(Adat!$AC:$AC,CONCATENATE(60,$M$4,"09121"),Adat!$E:$E)*-1+E26</f>
        <v>0</v>
      </c>
      <c r="G26" s="166">
        <f>SUMIF(Adat!$AD:$AD,CONCATENATE($M$4,"09121","(KÖT)"),Adat!$E:$E)*-1</f>
        <v>0</v>
      </c>
      <c r="H26" s="166">
        <f>SUMIF(Adat!$AD:$AD,CONCATENATE($M$4,"09121","(ÖNV)"),Adat!$E:$E)*-1</f>
        <v>0</v>
      </c>
      <c r="I26" s="166">
        <f>SUMIF(Adat!$AD:$AD,CONCATENATE($M$4,"09121","(ÁIG)"),Adat!$E:$E)*-1</f>
        <v>0</v>
      </c>
    </row>
    <row r="27" spans="2:9" x14ac:dyDescent="0.2">
      <c r="B27" s="160">
        <v>18</v>
      </c>
      <c r="C27" s="305" t="s">
        <v>1335</v>
      </c>
      <c r="D27" s="82" t="s">
        <v>1336</v>
      </c>
      <c r="E27" s="166">
        <f>SUMIF(Adat!$AC:$AC,CONCATENATE(61,$M$4,"09151"),Adat!$E:$E)*-1</f>
        <v>0</v>
      </c>
      <c r="F27" s="166">
        <f>SUMIF(Adat!$AC:$AC,CONCATENATE(60,$M$4,"09151"),Adat!$E:$E)*-1+E27</f>
        <v>0</v>
      </c>
      <c r="G27" s="166">
        <f>SUMIF(Adat!$AD:$AD,CONCATENATE($M$4,"09151","(KÖT)"),Adat!$E:$E)*-1</f>
        <v>0</v>
      </c>
      <c r="H27" s="166">
        <f>SUMIF(Adat!$AD:$AD,CONCATENATE($M$4,"09151","(ÖNV)"),Adat!$E:$E)*-1</f>
        <v>0</v>
      </c>
      <c r="I27" s="166">
        <f>SUMIF(Adat!$AD:$AD,CONCATENATE($M$4,"09151","(ÁIG)"),Adat!$E:$E)*-1</f>
        <v>0</v>
      </c>
    </row>
    <row r="28" spans="2:9" x14ac:dyDescent="0.2">
      <c r="B28" s="160">
        <v>19</v>
      </c>
      <c r="C28" s="305" t="s">
        <v>1278</v>
      </c>
      <c r="D28" s="82" t="s">
        <v>1337</v>
      </c>
      <c r="E28" s="166">
        <f>SUMIF(Adat!$AC:$AC,CONCATENATE(61,$M$4,"09161"),Adat!$E:$E)*-1</f>
        <v>0</v>
      </c>
      <c r="F28" s="166">
        <f>SUMIF(Adat!$AC:$AC,CONCATENATE(60,$M$4,"09161"),Adat!$E:$E)*-1+E28</f>
        <v>0</v>
      </c>
      <c r="G28" s="166">
        <f>SUMIF(Adat!$AD:$AD,CONCATENATE($M$4,"09161","(KÖT)"),Adat!$E:$E)*-1</f>
        <v>0</v>
      </c>
      <c r="H28" s="166">
        <f>SUMIF(Adat!$AD:$AD,CONCATENATE($M$4,"09161","(ÖNV)"),Adat!$E:$E)*-1</f>
        <v>0</v>
      </c>
      <c r="I28" s="166">
        <f>SUMIF(Adat!$AD:$AD,CONCATENATE($M$4,"09161","(ÁIG)"),Adat!$E:$E)*-1</f>
        <v>0</v>
      </c>
    </row>
    <row r="29" spans="2:9" x14ac:dyDescent="0.25">
      <c r="B29" s="160">
        <v>20</v>
      </c>
      <c r="C29" s="79" t="s">
        <v>27</v>
      </c>
      <c r="D29" s="79" t="s">
        <v>328</v>
      </c>
      <c r="E29" s="71">
        <f>SUMIF(Adat!$AE:$AE,CONCATENATE(61,$M$4,"093"),Adat!$E:$E)*-1</f>
        <v>0</v>
      </c>
      <c r="F29" s="71">
        <f>SUMIF(Adat!$AE:$AE,CONCATENATE(60,$M$4,"093"),Adat!$E:$E)*-1+E29</f>
        <v>0</v>
      </c>
      <c r="G29" s="71">
        <f>SUMIF(Adat!$AF:$AF,CONCATENATE($M$4,"093","(KÖT)"),Adat!$E:$E)*-1</f>
        <v>0</v>
      </c>
      <c r="H29" s="71">
        <f>SUMIF(Adat!$AF:$AF,CONCATENATE($M$4,"093","(ÖNV)"),Adat!$E:$E)*-1</f>
        <v>0</v>
      </c>
      <c r="I29" s="71">
        <f>SUMIF(Adat!$AF:$AF,CONCATENATE($M$4,"093","(ÁIG)"),Adat!$E:$E)*-1</f>
        <v>0</v>
      </c>
    </row>
    <row r="30" spans="2:9" x14ac:dyDescent="0.25">
      <c r="B30" s="160">
        <v>21</v>
      </c>
      <c r="C30" s="79" t="s">
        <v>24</v>
      </c>
      <c r="D30" s="79" t="s">
        <v>449</v>
      </c>
      <c r="E30" s="121">
        <f>SUM(E31:E33)</f>
        <v>0</v>
      </c>
      <c r="F30" s="121">
        <f t="shared" ref="F30:I30" si="1">SUM(F31:F33)</f>
        <v>0</v>
      </c>
      <c r="G30" s="121">
        <f t="shared" si="1"/>
        <v>0</v>
      </c>
      <c r="H30" s="121">
        <f t="shared" si="1"/>
        <v>0</v>
      </c>
      <c r="I30" s="121">
        <f t="shared" si="1"/>
        <v>0</v>
      </c>
    </row>
    <row r="31" spans="2:9" x14ac:dyDescent="0.2">
      <c r="B31" s="160">
        <v>22</v>
      </c>
      <c r="C31" s="305" t="s">
        <v>1339</v>
      </c>
      <c r="D31" s="82" t="s">
        <v>1340</v>
      </c>
      <c r="E31" s="166">
        <f>SUMIF(Adat!$AC:$AC,CONCATENATE(61,$M$4,"09211"),Adat!$E:$E)*-1</f>
        <v>0</v>
      </c>
      <c r="F31" s="166">
        <f>SUMIF(Adat!$AC:$AC,CONCATENATE(60,$M$4,"09211"),Adat!$E:$E)*-1+E31</f>
        <v>0</v>
      </c>
      <c r="G31" s="166">
        <f>SUMIF(Adat!$AD:$AD,CONCATENATE($M$4,"09211","(KÖT)"),Adat!$E:$E)*-1</f>
        <v>0</v>
      </c>
      <c r="H31" s="166">
        <f>SUMIF(Adat!$AD:$AD,CONCATENATE($M$4,"09211","(ÖNV)"),Adat!$E:$E)*-1</f>
        <v>0</v>
      </c>
      <c r="I31" s="166">
        <f>SUMIF(Adat!$AD:$AD,CONCATENATE($M$4,"09211","(ÁIG)"),Adat!$E:$E)*-1</f>
        <v>0</v>
      </c>
    </row>
    <row r="32" spans="2:9" x14ac:dyDescent="0.2">
      <c r="B32" s="160">
        <v>23</v>
      </c>
      <c r="C32" s="305" t="s">
        <v>1345</v>
      </c>
      <c r="D32" s="82" t="s">
        <v>1346</v>
      </c>
      <c r="E32" s="166">
        <f>SUMIF(Adat!$AC:$AC,CONCATENATE(61,$M$4,"09241"),Adat!$E:$E)*-1</f>
        <v>0</v>
      </c>
      <c r="F32" s="166">
        <f>SUMIF(Adat!$AC:$AC,CONCATENATE(60,$M$4,"09241"),Adat!$E:$E)*-1+E32</f>
        <v>0</v>
      </c>
      <c r="G32" s="166">
        <f>SUMIF(Adat!$AD:$AD,CONCATENATE($M$4,"09241","(KÖT)"),Adat!$E:$E)*-1</f>
        <v>0</v>
      </c>
      <c r="H32" s="166">
        <f>SUMIF(Adat!$AD:$AD,CONCATENATE($M$4,"09241","(ÖNV)"),Adat!$E:$E)*-1</f>
        <v>0</v>
      </c>
      <c r="I32" s="166">
        <f>SUMIF(Adat!$AD:$AD,CONCATENATE($M$4,"09241","(ÁIG)"),Adat!$E:$E)*-1</f>
        <v>0</v>
      </c>
    </row>
    <row r="33" spans="2:9" x14ac:dyDescent="0.2">
      <c r="B33" s="160">
        <v>24</v>
      </c>
      <c r="C33" s="305" t="s">
        <v>1255</v>
      </c>
      <c r="D33" s="82" t="s">
        <v>1347</v>
      </c>
      <c r="E33" s="166">
        <f>SUMIF(Adat!$AC:$AC,CONCATENATE(61,$M$4,"09251"),Adat!$E:$E)*-1</f>
        <v>0</v>
      </c>
      <c r="F33" s="166">
        <f>SUMIF(Adat!$AC:$AC,CONCATENATE(60,$M$4,"09251"),Adat!$E:$E)*-1+E33</f>
        <v>0</v>
      </c>
      <c r="G33" s="166">
        <f>SUMIF(Adat!$AD:$AD,CONCATENATE($M$4,"09251","(KÖT)"),Adat!$E:$E)*-1</f>
        <v>0</v>
      </c>
      <c r="H33" s="166">
        <f>SUMIF(Adat!$AD:$AD,CONCATENATE($M$4,"09251","(ÖNV)"),Adat!$E:$E)*-1</f>
        <v>0</v>
      </c>
      <c r="I33" s="166">
        <f>SUMIF(Adat!$AD:$AD,CONCATENATE($M$4,"09251","(ÁIG)"),Adat!$E:$E)*-1</f>
        <v>0</v>
      </c>
    </row>
    <row r="34" spans="2:9" x14ac:dyDescent="0.25">
      <c r="B34" s="160">
        <v>25</v>
      </c>
      <c r="C34" s="79" t="s">
        <v>33</v>
      </c>
      <c r="D34" s="79" t="s">
        <v>330</v>
      </c>
      <c r="E34" s="121">
        <f>SUM(E35:E37)</f>
        <v>0</v>
      </c>
      <c r="F34" s="121">
        <f t="shared" ref="F34:I34" si="2">SUM(F35:F37)</f>
        <v>0</v>
      </c>
      <c r="G34" s="121">
        <f t="shared" si="2"/>
        <v>0</v>
      </c>
      <c r="H34" s="121">
        <f t="shared" si="2"/>
        <v>0</v>
      </c>
      <c r="I34" s="121">
        <f t="shared" si="2"/>
        <v>0</v>
      </c>
    </row>
    <row r="35" spans="2:9" x14ac:dyDescent="0.2">
      <c r="B35" s="160">
        <v>26</v>
      </c>
      <c r="C35" s="305" t="s">
        <v>1373</v>
      </c>
      <c r="D35" s="82" t="s">
        <v>1374</v>
      </c>
      <c r="E35" s="166">
        <f>SUMIF(Adat!$AC:$AC,CONCATENATE(61,$M$4,"09511"),Adat!$E:$E)*-1</f>
        <v>0</v>
      </c>
      <c r="F35" s="166">
        <f>SUMIF(Adat!$AC:$AC,CONCATENATE(60,$M$4,"09511"),Adat!$E:$E)*-1+E35</f>
        <v>0</v>
      </c>
      <c r="G35" s="166">
        <f>SUMIF(Adat!$AD:$AD,CONCATENATE($M$4,"09511","(KÖT)"),Adat!$E:$E)*-1</f>
        <v>0</v>
      </c>
      <c r="H35" s="166">
        <f>SUMIF(Adat!$AD:$AD,CONCATENATE($M$4,"09511","(ÖNV)"),Adat!$E:$E)*-1</f>
        <v>0</v>
      </c>
      <c r="I35" s="166">
        <f>SUMIF(Adat!$AD:$AD,CONCATENATE($M$4,"09511","(ÁIG)"),Adat!$E:$E)*-1</f>
        <v>0</v>
      </c>
    </row>
    <row r="36" spans="2:9" x14ac:dyDescent="0.2">
      <c r="B36" s="160">
        <v>27</v>
      </c>
      <c r="C36" s="305" t="s">
        <v>1294</v>
      </c>
      <c r="D36" s="82" t="s">
        <v>1375</v>
      </c>
      <c r="E36" s="166">
        <f>SUMIF(Adat!$AC:$AC,CONCATENATE(61,$M$4,"09521"),Adat!$E:$E)*-1</f>
        <v>0</v>
      </c>
      <c r="F36" s="166">
        <f>SUMIF(Adat!$AC:$AC,CONCATENATE(60,$M$4,"09521"),Adat!$E:$E)*-1+E36</f>
        <v>0</v>
      </c>
      <c r="G36" s="166">
        <f>SUMIF(Adat!$AD:$AD,CONCATENATE($M$4,"09521","(KÖT)"),Adat!$E:$E)*-1</f>
        <v>0</v>
      </c>
      <c r="H36" s="166">
        <f>SUMIF(Adat!$AD:$AD,CONCATENATE($M$4,"09521","(ÖNV)"),Adat!$E:$E)*-1</f>
        <v>0</v>
      </c>
      <c r="I36" s="166">
        <f>SUMIF(Adat!$AD:$AD,CONCATENATE($M$4,"09521","(ÁIG)"),Adat!$E:$E)*-1</f>
        <v>0</v>
      </c>
    </row>
    <row r="37" spans="2:9" x14ac:dyDescent="0.2">
      <c r="B37" s="160">
        <v>28</v>
      </c>
      <c r="C37" s="305" t="s">
        <v>1376</v>
      </c>
      <c r="D37" s="82" t="s">
        <v>1377</v>
      </c>
      <c r="E37" s="166">
        <f>SUMIF(Adat!$AC:$AC,CONCATENATE(61,$M$4,"09531"),Adat!$E:$E)*-1</f>
        <v>0</v>
      </c>
      <c r="F37" s="166">
        <f>SUMIF(Adat!$AC:$AC,CONCATENATE(60,$M$4,"09531"),Adat!$E:$E)*-1+E37</f>
        <v>0</v>
      </c>
      <c r="G37" s="166">
        <f>SUMIF(Adat!$AD:$AD,CONCATENATE($M$4,"09531","(KÖT)"),Adat!$E:$E)*-1</f>
        <v>0</v>
      </c>
      <c r="H37" s="166">
        <f>SUMIF(Adat!$AD:$AD,CONCATENATE($M$4,"09531","(ÖNV)"),Adat!$E:$E)*-1</f>
        <v>0</v>
      </c>
      <c r="I37" s="166">
        <f>SUMIF(Adat!$AD:$AD,CONCATENATE($M$4,"09531","(ÁIG)"),Adat!$E:$E)*-1</f>
        <v>0</v>
      </c>
    </row>
    <row r="38" spans="2:9" s="42" customFormat="1" x14ac:dyDescent="0.25">
      <c r="B38" s="160">
        <v>29</v>
      </c>
      <c r="C38" s="79" t="s">
        <v>36</v>
      </c>
      <c r="D38" s="79" t="s">
        <v>331</v>
      </c>
      <c r="E38" s="71">
        <f>SUMIF(Adat!$AE:$AE,CONCATENATE(61,$M$4,"096"),Adat!$E:$E)*-1</f>
        <v>0</v>
      </c>
      <c r="F38" s="71">
        <f>SUMIF(Adat!$AE:$AE,CONCATENATE(60,$M$4,"096"),Adat!$E:$E)*-1+E38</f>
        <v>0</v>
      </c>
      <c r="G38" s="71">
        <f>SUMIF(Adat!$AF:$AF,CONCATENATE($M$4,"096","(KÖT)"),Adat!$E:$E)*-1</f>
        <v>0</v>
      </c>
      <c r="H38" s="71">
        <f>SUMIF(Adat!$AF:$AF,CONCATENATE($M$4,"096","(ÖNV)"),Adat!$E:$E)*-1</f>
        <v>0</v>
      </c>
      <c r="I38" s="71">
        <f>SUMIF(Adat!$AF:$AF,CONCATENATE($M$4,"096","(ÁIG)"),Adat!$E:$E)*-1</f>
        <v>0</v>
      </c>
    </row>
    <row r="39" spans="2:9" s="42" customFormat="1" x14ac:dyDescent="0.25">
      <c r="B39" s="160">
        <v>30</v>
      </c>
      <c r="C39" s="79" t="s">
        <v>38</v>
      </c>
      <c r="D39" s="85" t="s">
        <v>332</v>
      </c>
      <c r="E39" s="71">
        <f>SUMIF(Adat!$AE:$AE,CONCATENATE(61,$M$4,"097"),Adat!$E:$E)*-1</f>
        <v>0</v>
      </c>
      <c r="F39" s="71">
        <f>SUMIF(Adat!$AE:$AE,CONCATENATE(60,$M$4,"097"),Adat!$E:$E)*-1+E39</f>
        <v>0</v>
      </c>
      <c r="G39" s="71">
        <f>SUMIF(Adat!$AF:$AF,CONCATENATE($M$4,"097","(KÖT)"),Adat!$E:$E)*-1</f>
        <v>0</v>
      </c>
      <c r="H39" s="71">
        <f>SUMIF(Adat!$AF:$AF,CONCATENATE($M$4,"097","(ÖNV)"),Adat!$E:$E)*-1</f>
        <v>0</v>
      </c>
      <c r="I39" s="71">
        <f>SUMIF(Adat!$AF:$AF,CONCATENATE($M$4,"097","(ÁIG)"),Adat!$E:$E)*-1</f>
        <v>0</v>
      </c>
    </row>
    <row r="40" spans="2:9" s="42" customFormat="1" x14ac:dyDescent="0.25">
      <c r="B40" s="160">
        <v>31</v>
      </c>
      <c r="C40" s="154" t="s">
        <v>352</v>
      </c>
      <c r="D40" s="86" t="s">
        <v>1500</v>
      </c>
      <c r="E40" s="121">
        <f>E11+E25+E29+E30+E34+E38+E39</f>
        <v>5720000</v>
      </c>
      <c r="F40" s="121">
        <f>F11+F25+F29+F30+F34+F38+F39</f>
        <v>5720000</v>
      </c>
      <c r="G40" s="121">
        <f>G11+G25+G29+G30+G34+G38+G39</f>
        <v>5720000</v>
      </c>
      <c r="H40" s="121">
        <f>H11+H25+H29+H30+H34+H38+H39</f>
        <v>0</v>
      </c>
      <c r="I40" s="121">
        <f>I11+I25+I29+I30+I34+I38+I39</f>
        <v>0</v>
      </c>
    </row>
    <row r="41" spans="2:9" s="42" customFormat="1" x14ac:dyDescent="0.25">
      <c r="B41" s="160">
        <v>32</v>
      </c>
      <c r="C41" s="154" t="s">
        <v>358</v>
      </c>
      <c r="D41" s="86" t="s">
        <v>333</v>
      </c>
      <c r="E41" s="121">
        <f>SUM(E42:E44)</f>
        <v>58610536</v>
      </c>
      <c r="F41" s="121">
        <f t="shared" ref="F41:I41" si="3">SUM(F42:F44)</f>
        <v>58610536</v>
      </c>
      <c r="G41" s="121">
        <f t="shared" si="3"/>
        <v>58610536</v>
      </c>
      <c r="H41" s="121">
        <f t="shared" si="3"/>
        <v>0</v>
      </c>
      <c r="I41" s="121">
        <f t="shared" si="3"/>
        <v>0</v>
      </c>
    </row>
    <row r="42" spans="2:9" s="42" customFormat="1" x14ac:dyDescent="0.2">
      <c r="B42" s="160">
        <v>33</v>
      </c>
      <c r="C42" s="305" t="s">
        <v>1274</v>
      </c>
      <c r="D42" s="82" t="s">
        <v>1419</v>
      </c>
      <c r="E42" s="166">
        <f>SUMIF(Adat!$AC:$AC,CONCATENATE(61,$M$4,"0981311"),Adat!$E:$E)*-1</f>
        <v>1611496</v>
      </c>
      <c r="F42" s="166">
        <f>SUMIF(Adat!$AC:$AC,CONCATENATE(60,$M$4,"0981311"),Adat!$E:$E)*-1+E42</f>
        <v>1611496</v>
      </c>
      <c r="G42" s="166">
        <f>SUMIF(Adat!$AD:$AD,CONCATENATE($M$4,"0981311","(KÖT)"),Adat!$E:$E)*-1</f>
        <v>1611496</v>
      </c>
      <c r="H42" s="166">
        <f>SUMIF(Adat!$AD:$AD,CONCATENATE($M$4,"0981311","(ÖNV)"),Adat!$E:$E)*-1</f>
        <v>0</v>
      </c>
      <c r="I42" s="166">
        <f>SUMIF(Adat!$AD:$AD,CONCATENATE($M$4,"0981311","(ÁIG)"),Adat!$E:$E)*-1</f>
        <v>0</v>
      </c>
    </row>
    <row r="43" spans="2:9" s="42" customFormat="1" x14ac:dyDescent="0.25">
      <c r="B43" s="160">
        <v>34</v>
      </c>
      <c r="C43" s="305" t="s">
        <v>1420</v>
      </c>
      <c r="D43" s="84" t="s">
        <v>1421</v>
      </c>
      <c r="E43" s="166">
        <f>SUMIF(Adat!$AC:$AC,CONCATENATE(61,$M$4,"0981321"),Adat!$E:$E)*-1</f>
        <v>0</v>
      </c>
      <c r="F43" s="166">
        <f>SUMIF(Adat!$AC:$AC,CONCATENATE(60,$M$4,"0981321"),Adat!$E:$E)*-1+E43</f>
        <v>0</v>
      </c>
      <c r="G43" s="166">
        <f>SUMIF(Adat!$AD:$AD,CONCATENATE($M$4,"0981321","(KÖT)"),Adat!$E:$E)*-1</f>
        <v>0</v>
      </c>
      <c r="H43" s="166">
        <f>SUMIF(Adat!$AD:$AD,CONCATENATE($M$4,"0981321","(ÖNV)"),Adat!$E:$E)*-1</f>
        <v>0</v>
      </c>
      <c r="I43" s="166">
        <f>SUMIF(Adat!$AD:$AD,CONCATENATE($M$4,"0981321","(ÁIG)"),Adat!$E:$E)*-1</f>
        <v>0</v>
      </c>
    </row>
    <row r="44" spans="2:9" x14ac:dyDescent="0.25">
      <c r="B44" s="160">
        <v>35</v>
      </c>
      <c r="C44" s="319" t="s">
        <v>1275</v>
      </c>
      <c r="D44" s="84" t="s">
        <v>1501</v>
      </c>
      <c r="E44" s="166">
        <f>SUMIF(Adat!$AC:$AC,CONCATENATE(61,$M$4,"098161"),Adat!$E:$E)*-1</f>
        <v>56999040</v>
      </c>
      <c r="F44" s="166">
        <f>SUMIF(Adat!$AC:$AC,CONCATENATE(60,$M$4,"098161"),Adat!$E:$E)*-1+E44</f>
        <v>56999040</v>
      </c>
      <c r="G44" s="166">
        <f>SUMIF(Adat!$AD:$AD,CONCATENATE($M$4,"098161","(KÖT)"),Adat!$E:$E)*-1</f>
        <v>56999040</v>
      </c>
      <c r="H44" s="166">
        <f>SUMIF(Adat!$AD:$AD,CONCATENATE($M$4,"098161","(ÖNV)"),Adat!$E:$E)*-1</f>
        <v>0</v>
      </c>
      <c r="I44" s="166">
        <f>SUMIF(Adat!$AD:$AD,CONCATENATE($M$4,"098161","(ÁIG)"),Adat!$E:$E)*-1</f>
        <v>0</v>
      </c>
    </row>
    <row r="45" spans="2:9" x14ac:dyDescent="0.25">
      <c r="B45" s="160">
        <v>36</v>
      </c>
      <c r="C45" s="154" t="s">
        <v>364</v>
      </c>
      <c r="D45" s="159" t="s">
        <v>1502</v>
      </c>
      <c r="E45" s="121">
        <f>+E40+E41</f>
        <v>64330536</v>
      </c>
      <c r="F45" s="121">
        <f>+F40+F41</f>
        <v>64330536</v>
      </c>
      <c r="G45" s="121">
        <f>+G40+G41</f>
        <v>64330536</v>
      </c>
      <c r="H45" s="121">
        <f>+H40+H41</f>
        <v>0</v>
      </c>
      <c r="I45" s="121">
        <f>+I40+I41</f>
        <v>0</v>
      </c>
    </row>
    <row r="46" spans="2:9" s="38" customFormat="1" ht="15.75" x14ac:dyDescent="0.25">
      <c r="C46" s="156"/>
      <c r="E46" s="140"/>
      <c r="F46" s="140"/>
      <c r="G46" s="140"/>
      <c r="H46" s="140"/>
      <c r="I46" s="140"/>
    </row>
    <row r="47" spans="2:9" s="10" customFormat="1" ht="15.75" x14ac:dyDescent="0.25">
      <c r="B47" s="202" t="s">
        <v>636</v>
      </c>
      <c r="C47" s="202"/>
      <c r="D47" s="202"/>
      <c r="E47" s="202"/>
      <c r="F47" s="202"/>
      <c r="G47" s="198"/>
      <c r="H47" s="198"/>
      <c r="I47" s="198"/>
    </row>
    <row r="48" spans="2:9" s="38" customFormat="1" ht="15.75" x14ac:dyDescent="0.25">
      <c r="C48" s="156"/>
      <c r="E48" s="140"/>
      <c r="F48" s="140"/>
      <c r="G48" s="140"/>
      <c r="H48" s="140"/>
      <c r="I48" s="140"/>
    </row>
    <row r="49" spans="2:18" s="40" customFormat="1" x14ac:dyDescent="0.25">
      <c r="B49" s="77"/>
      <c r="C49" s="77" t="s">
        <v>350</v>
      </c>
      <c r="D49" s="77" t="s">
        <v>351</v>
      </c>
      <c r="E49" s="77" t="s">
        <v>470</v>
      </c>
      <c r="F49" s="77" t="s">
        <v>471</v>
      </c>
      <c r="G49" s="77" t="s">
        <v>44</v>
      </c>
      <c r="H49" s="77" t="s">
        <v>42</v>
      </c>
      <c r="I49" s="77" t="s">
        <v>511</v>
      </c>
    </row>
    <row r="50" spans="2:18" s="41" customFormat="1" ht="38.25" x14ac:dyDescent="0.25">
      <c r="B50" s="160">
        <v>1</v>
      </c>
      <c r="C50" s="154" t="s">
        <v>593</v>
      </c>
      <c r="D50" s="154" t="s">
        <v>488</v>
      </c>
      <c r="E50" s="163" t="str">
        <f>CONCATENATE(PAR!$H$3," évi
eredeti 
előirányzat")</f>
        <v>2025. évi
eredeti 
előirányzat</v>
      </c>
      <c r="F50" s="163" t="str">
        <f>CONCATENATE(PAR!$H$3," évi
módosított 
előirányzat")</f>
        <v>2025. évi
módosított 
előirányzat</v>
      </c>
      <c r="G50" s="78" t="s">
        <v>666</v>
      </c>
      <c r="H50" s="78" t="s">
        <v>667</v>
      </c>
      <c r="I50" s="78" t="s">
        <v>668</v>
      </c>
    </row>
    <row r="51" spans="2:18" s="42" customFormat="1" x14ac:dyDescent="0.25">
      <c r="B51" s="160">
        <v>2</v>
      </c>
      <c r="C51" s="78" t="s">
        <v>352</v>
      </c>
      <c r="D51" s="92" t="s">
        <v>1444</v>
      </c>
      <c r="E51" s="121">
        <f>SUM(E52:E56)</f>
        <v>62435536</v>
      </c>
      <c r="F51" s="121">
        <f>SUM(F52:F56)</f>
        <v>62435536</v>
      </c>
      <c r="G51" s="121">
        <f>SUM(G52:G56)</f>
        <v>62435536</v>
      </c>
      <c r="H51" s="121">
        <f>SUM(H52:H56)</f>
        <v>0</v>
      </c>
      <c r="I51" s="121">
        <f>SUM(I52:I56)</f>
        <v>0</v>
      </c>
      <c r="L51" s="35"/>
      <c r="M51" s="35"/>
      <c r="N51" s="35"/>
      <c r="O51" s="35"/>
      <c r="P51" s="35"/>
      <c r="Q51" s="35"/>
      <c r="R51" s="35"/>
    </row>
    <row r="52" spans="2:18" x14ac:dyDescent="0.25">
      <c r="B52" s="160">
        <v>3</v>
      </c>
      <c r="C52" s="305" t="s">
        <v>315</v>
      </c>
      <c r="D52" s="93" t="s">
        <v>342</v>
      </c>
      <c r="E52" s="72">
        <f>SUMIF(Adat!$AE:$AE,CONCATENATE(61,$M$4,"051"),Adat!$E:$E)</f>
        <v>29167524</v>
      </c>
      <c r="F52" s="72">
        <f>SUMIF(Adat!$AE:$AE,CONCATENATE(60,$M$4,"051"),Adat!$E:$E)+E52</f>
        <v>29168857</v>
      </c>
      <c r="G52" s="72">
        <f>SUMIF(Adat!$AF:$AF,CONCATENATE($M$4,"051","(KÖT)"),Adat!$E:$E)</f>
        <v>29168857</v>
      </c>
      <c r="H52" s="72">
        <f>SUMIF(Adat!$AF:$AF,CONCATENATE($M$4,"051","(ÖNV)"),Adat!$E:$E)</f>
        <v>0</v>
      </c>
      <c r="I52" s="72">
        <f>SUMIF(Adat!$AF:$AF,CONCATENATE($M$4,"051","(ÁIG)"),Adat!$E:$E)</f>
        <v>0</v>
      </c>
    </row>
    <row r="53" spans="2:18" x14ac:dyDescent="0.25">
      <c r="B53" s="160">
        <v>4</v>
      </c>
      <c r="C53" s="305" t="s">
        <v>317</v>
      </c>
      <c r="D53" s="93" t="s">
        <v>395</v>
      </c>
      <c r="E53" s="72">
        <f>SUMIF(Adat!$AE:$AE,CONCATENATE(61,$M$4,"052"),Adat!$E:$E)</f>
        <v>3856800</v>
      </c>
      <c r="F53" s="72">
        <f>SUMIF(Adat!$AE:$AE,CONCATENATE(60,$M$4,"052"),Adat!$E:$E)+E53</f>
        <v>3856800</v>
      </c>
      <c r="G53" s="72">
        <f>SUMIF(Adat!$AF:$AF,CONCATENATE($M$4,"052","(KÖT)"),Adat!$E:$E)</f>
        <v>3856800</v>
      </c>
      <c r="H53" s="72">
        <f>SUMIF(Adat!$AF:$AF,CONCATENATE($M$4,"052","(ÖNV)"),Adat!$E:$E)</f>
        <v>0</v>
      </c>
      <c r="I53" s="72">
        <f>SUMIF(Adat!$AF:$AF,CONCATENATE($M$4,"052","(ÁIG)"),Adat!$E:$E)</f>
        <v>0</v>
      </c>
    </row>
    <row r="54" spans="2:18" x14ac:dyDescent="0.25">
      <c r="B54" s="160">
        <v>5</v>
      </c>
      <c r="C54" s="305" t="s">
        <v>4</v>
      </c>
      <c r="D54" s="93" t="s">
        <v>344</v>
      </c>
      <c r="E54" s="72">
        <f>SUMIF(Adat!$AE:$AE,CONCATENATE(61,$M$4,"053"),Adat!$E:$E)</f>
        <v>29411212</v>
      </c>
      <c r="F54" s="72">
        <f>SUMIF(Adat!$AE:$AE,CONCATENATE(60,$M$4,"053"),Adat!$E:$E)+E54</f>
        <v>29409879</v>
      </c>
      <c r="G54" s="72">
        <f>SUMIF(Adat!$AF:$AF,CONCATENATE($M$4,"053","(KÖT)"),Adat!$E:$E)</f>
        <v>29409879</v>
      </c>
      <c r="H54" s="72">
        <f>SUMIF(Adat!$AF:$AF,CONCATENATE($M$4,"053","(ÖNV)"),Adat!$E:$E)</f>
        <v>0</v>
      </c>
      <c r="I54" s="72">
        <f>SUMIF(Adat!$AF:$AF,CONCATENATE($M$4,"053","(ÁIG)"),Adat!$E:$E)</f>
        <v>0</v>
      </c>
    </row>
    <row r="55" spans="2:18" x14ac:dyDescent="0.25">
      <c r="B55" s="160">
        <v>6</v>
      </c>
      <c r="C55" s="305" t="s">
        <v>6</v>
      </c>
      <c r="D55" s="93" t="s">
        <v>345</v>
      </c>
      <c r="E55" s="72">
        <f>SUMIF(Adat!$AE:$AE,CONCATENATE(61,$M$4,"054"),Adat!$E:$E)</f>
        <v>0</v>
      </c>
      <c r="F55" s="72">
        <f>SUMIF(Adat!$AE:$AE,CONCATENATE(60,$M$4,"054"),Adat!$E:$E)+E55</f>
        <v>0</v>
      </c>
      <c r="G55" s="72">
        <f>SUMIF(Adat!$AF:$AF,CONCATENATE($M$4,"054","(KÖT)"),Adat!$E:$E)</f>
        <v>0</v>
      </c>
      <c r="H55" s="72">
        <f>SUMIF(Adat!$AF:$AF,CONCATENATE($M$4,"054","(ÖNV)"),Adat!$E:$E)</f>
        <v>0</v>
      </c>
      <c r="I55" s="72">
        <f>SUMIF(Adat!$AF:$AF,CONCATENATE($M$4,"054","(ÁIG)"),Adat!$E:$E)</f>
        <v>0</v>
      </c>
    </row>
    <row r="56" spans="2:18" x14ac:dyDescent="0.25">
      <c r="B56" s="160">
        <v>7</v>
      </c>
      <c r="C56" s="305" t="s">
        <v>8</v>
      </c>
      <c r="D56" s="93" t="s">
        <v>321</v>
      </c>
      <c r="E56" s="72">
        <f>SUMIF(Adat!$AE:$AE,CONCATENATE(61,$M$4,"055"),Adat!$E:$E)</f>
        <v>0</v>
      </c>
      <c r="F56" s="72">
        <f>SUMIF(Adat!$AE:$AE,CONCATENATE(60,$M$4,"055"),Adat!$E:$E)+E56</f>
        <v>0</v>
      </c>
      <c r="G56" s="72">
        <f>SUMIF(Adat!$AF:$AF,CONCATENATE($M$4,"055","(KÖT)"),Adat!$E:$E)</f>
        <v>0</v>
      </c>
      <c r="H56" s="72">
        <f>SUMIF(Adat!$AF:$AF,CONCATENATE($M$4,"055","(ÖNV)"),Adat!$E:$E)</f>
        <v>0</v>
      </c>
      <c r="I56" s="72">
        <f>SUMIF(Adat!$AF:$AF,CONCATENATE($M$4,"055","(ÁIG)"),Adat!$E:$E)</f>
        <v>0</v>
      </c>
    </row>
    <row r="57" spans="2:18" x14ac:dyDescent="0.25">
      <c r="B57" s="160">
        <v>8</v>
      </c>
      <c r="C57" s="78" t="s">
        <v>358</v>
      </c>
      <c r="D57" s="92" t="s">
        <v>1447</v>
      </c>
      <c r="E57" s="121">
        <f>E58+E60+E62</f>
        <v>1895000</v>
      </c>
      <c r="F57" s="121">
        <f>F58+F60+F62</f>
        <v>1895000</v>
      </c>
      <c r="G57" s="121">
        <f>G58+G60+G62</f>
        <v>1895000</v>
      </c>
      <c r="H57" s="121">
        <f>H58+H60+H62</f>
        <v>0</v>
      </c>
      <c r="I57" s="121">
        <f>I58+I60+I62</f>
        <v>0</v>
      </c>
    </row>
    <row r="58" spans="2:18" s="42" customFormat="1" x14ac:dyDescent="0.25">
      <c r="B58" s="160">
        <v>9</v>
      </c>
      <c r="C58" s="305" t="s">
        <v>10</v>
      </c>
      <c r="D58" s="93" t="s">
        <v>322</v>
      </c>
      <c r="E58" s="72">
        <f>SUMIF(Adat!$AE:$AE,CONCATENATE(61,$M$4,"056"),Adat!$E:$E)</f>
        <v>1895000</v>
      </c>
      <c r="F58" s="72">
        <f>SUMIF(Adat!$AE:$AE,CONCATENATE(60,$M$4,"056"),Adat!$E:$E)+E58</f>
        <v>1895000</v>
      </c>
      <c r="G58" s="72">
        <f>SUMIF(Adat!$AF:$AF,CONCATENATE($M$4,"056","(KÖT)"),Adat!$E:$E)</f>
        <v>1895000</v>
      </c>
      <c r="H58" s="72">
        <f>SUMIF(Adat!$AF:$AF,CONCATENATE($M$4,"056","(ÖNV)"),Adat!$E:$E)</f>
        <v>0</v>
      </c>
      <c r="I58" s="72">
        <f>SUMIF(Adat!$AF:$AF,CONCATENATE($M$4,"056","(ÁIG)"),Adat!$E:$E)</f>
        <v>0</v>
      </c>
      <c r="L58" s="35"/>
      <c r="M58" s="35"/>
      <c r="N58" s="35"/>
      <c r="O58" s="35"/>
      <c r="P58" s="35"/>
      <c r="Q58" s="35"/>
      <c r="R58" s="35"/>
    </row>
    <row r="59" spans="2:18" s="42" customFormat="1" x14ac:dyDescent="0.25">
      <c r="B59" s="160">
        <v>10</v>
      </c>
      <c r="C59" s="305" t="s">
        <v>10</v>
      </c>
      <c r="D59" s="93" t="s">
        <v>1448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L59" s="35"/>
      <c r="M59" s="35"/>
      <c r="N59" s="35"/>
      <c r="O59" s="35"/>
      <c r="P59" s="35"/>
      <c r="Q59" s="35"/>
      <c r="R59" s="35"/>
    </row>
    <row r="60" spans="2:18" x14ac:dyDescent="0.25">
      <c r="B60" s="160">
        <v>11</v>
      </c>
      <c r="C60" s="305" t="s">
        <v>12</v>
      </c>
      <c r="D60" s="93" t="s">
        <v>323</v>
      </c>
      <c r="E60" s="72">
        <f>SUMIF(Adat!$AE:$AE,CONCATENATE(61,$M$4,"057"),Adat!$E:$E)</f>
        <v>0</v>
      </c>
      <c r="F60" s="72">
        <f>SUMIF(Adat!$AE:$AE,CONCATENATE(60,$M$4,"057"),Adat!$E:$E)+E60</f>
        <v>0</v>
      </c>
      <c r="G60" s="72">
        <f>SUMIF(Adat!$AF:$AF,CONCATENATE($M$4,"057","(KÖT)"),Adat!$E:$E)</f>
        <v>0</v>
      </c>
      <c r="H60" s="72">
        <f>SUMIF(Adat!$AF:$AF,CONCATENATE($M$4,"057","(ÖNV)"),Adat!$E:$E)</f>
        <v>0</v>
      </c>
      <c r="I60" s="72">
        <f>SUMIF(Adat!$AF:$AF,CONCATENATE($M$4,"057","(ÁIG)"),Adat!$E:$E)</f>
        <v>0</v>
      </c>
    </row>
    <row r="61" spans="2:18" x14ac:dyDescent="0.25">
      <c r="B61" s="160">
        <v>12</v>
      </c>
      <c r="C61" s="305" t="s">
        <v>12</v>
      </c>
      <c r="D61" s="93" t="s">
        <v>1449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</row>
    <row r="62" spans="2:18" x14ac:dyDescent="0.25">
      <c r="B62" s="160">
        <v>13</v>
      </c>
      <c r="C62" s="305" t="s">
        <v>15</v>
      </c>
      <c r="D62" s="84" t="s">
        <v>324</v>
      </c>
      <c r="E62" s="72">
        <f>SUMIF(Adat!$AE:$AE,CONCATENATE(61,$M$4,"058"),Adat!$E:$E)</f>
        <v>0</v>
      </c>
      <c r="F62" s="72">
        <f>SUMIF(Adat!$AE:$AE,CONCATENATE(60,$M$4,"058"),Adat!$E:$E)+E62</f>
        <v>0</v>
      </c>
      <c r="G62" s="72">
        <f>SUMIF(Adat!$AF:$AF,CONCATENATE($M$4,"058","(KÖT)"),Adat!$E:$E)</f>
        <v>0</v>
      </c>
      <c r="H62" s="72">
        <f>SUMIF(Adat!$AF:$AF,CONCATENATE($M$4,"058","(ÖNV)"),Adat!$E:$E)</f>
        <v>0</v>
      </c>
      <c r="I62" s="72">
        <f>SUMIF(Adat!$AF:$AF,CONCATENATE($M$4,"058","(ÁIG)"),Adat!$E:$E)</f>
        <v>0</v>
      </c>
    </row>
    <row r="63" spans="2:18" x14ac:dyDescent="0.25">
      <c r="B63" s="160">
        <v>14</v>
      </c>
      <c r="C63" s="154" t="s">
        <v>364</v>
      </c>
      <c r="D63" s="86" t="s">
        <v>325</v>
      </c>
      <c r="E63" s="71">
        <f>SUMIF(Adat!$AE:$AE,CONCATENATE(61,$M$4,"059"),Adat!$E:$E)</f>
        <v>0</v>
      </c>
      <c r="F63" s="71">
        <f>SUMIF(Adat!$AE:$AE,CONCATENATE(60,$M$4,"059"),Adat!$E:$E)+E63</f>
        <v>0</v>
      </c>
      <c r="G63" s="71">
        <f>SUMIF(Adat!$AF:$AF,CONCATENATE($M$4,"059","(KÖT)"),Adat!$E:$E)</f>
        <v>0</v>
      </c>
      <c r="H63" s="71">
        <f>SUMIF(Adat!$AF:$AF,CONCATENATE($M$4,"059","(ÖNV)"),Adat!$E:$E)</f>
        <v>0</v>
      </c>
      <c r="I63" s="71">
        <f>SUMIF(Adat!$AF:$AF,CONCATENATE($M$4,"059","(ÁIG)"),Adat!$E:$E)</f>
        <v>0</v>
      </c>
    </row>
    <row r="64" spans="2:18" x14ac:dyDescent="0.25">
      <c r="B64" s="160">
        <v>15</v>
      </c>
      <c r="C64" s="154" t="s">
        <v>403</v>
      </c>
      <c r="D64" s="159" t="s">
        <v>497</v>
      </c>
      <c r="E64" s="121">
        <f>E51+E57+E63</f>
        <v>64330536</v>
      </c>
      <c r="F64" s="121">
        <f>F51+F57+F63</f>
        <v>64330536</v>
      </c>
      <c r="G64" s="121">
        <f>G51+G57+G63</f>
        <v>64330536</v>
      </c>
      <c r="H64" s="121">
        <f>H51+H57+H63</f>
        <v>0</v>
      </c>
      <c r="I64" s="121">
        <f>I51+I57+I63</f>
        <v>0</v>
      </c>
    </row>
    <row r="65" spans="2:12" ht="15.75" x14ac:dyDescent="0.25">
      <c r="B65" s="37"/>
      <c r="C65" s="529"/>
      <c r="D65" s="529"/>
      <c r="E65" s="529"/>
      <c r="F65" s="200"/>
      <c r="G65" s="200"/>
      <c r="H65" s="200"/>
      <c r="I65" s="200"/>
    </row>
    <row r="66" spans="2:12" ht="15.75" x14ac:dyDescent="0.25">
      <c r="B66" s="525" t="str">
        <f>$N$4</f>
        <v>Nagymaros Városi Könyvtár és Művelődési Ház</v>
      </c>
      <c r="C66" s="525"/>
      <c r="D66" s="525"/>
      <c r="E66" s="525"/>
      <c r="F66" s="525"/>
      <c r="G66" s="525"/>
      <c r="H66" s="525"/>
      <c r="I66" s="525"/>
    </row>
    <row r="67" spans="2:12" ht="15.75" x14ac:dyDescent="0.25">
      <c r="B67" s="525" t="s">
        <v>2660</v>
      </c>
      <c r="C67" s="525"/>
      <c r="D67" s="525"/>
      <c r="E67" s="525"/>
      <c r="F67" s="525"/>
      <c r="G67" s="525"/>
      <c r="H67" s="525"/>
      <c r="I67" s="525"/>
    </row>
    <row r="68" spans="2:12" ht="15.75" x14ac:dyDescent="0.25">
      <c r="B68" s="38"/>
      <c r="C68" s="156"/>
      <c r="D68" s="38"/>
      <c r="E68" s="140"/>
      <c r="F68" s="140"/>
      <c r="G68" s="140"/>
      <c r="H68" s="140"/>
      <c r="I68" s="140"/>
    </row>
    <row r="69" spans="2:12" s="10" customFormat="1" ht="15.75" customHeight="1" x14ac:dyDescent="0.25">
      <c r="B69" s="201" t="str">
        <f>CONCATENATE("3. Bevételi jogcímek"," - ",L69," részletező")</f>
        <v>3. Bevételi jogcímek -  részletező</v>
      </c>
      <c r="C69" s="101"/>
      <c r="D69" s="101"/>
      <c r="E69" s="101"/>
      <c r="F69" s="101"/>
      <c r="G69" s="198"/>
      <c r="H69" s="198"/>
      <c r="I69" s="198"/>
      <c r="L69" s="384"/>
    </row>
    <row r="70" spans="2:12" ht="15.75" x14ac:dyDescent="0.25">
      <c r="B70" s="38"/>
      <c r="C70" s="156"/>
      <c r="D70" s="38"/>
      <c r="E70" s="140"/>
      <c r="F70" s="140"/>
      <c r="G70" s="140"/>
      <c r="H70" s="140"/>
      <c r="I70" s="140"/>
    </row>
    <row r="71" spans="2:12" x14ac:dyDescent="0.25">
      <c r="B71" s="77"/>
      <c r="C71" s="77" t="s">
        <v>350</v>
      </c>
      <c r="D71" s="77" t="s">
        <v>351</v>
      </c>
      <c r="E71" s="77" t="s">
        <v>470</v>
      </c>
      <c r="F71" s="77" t="s">
        <v>471</v>
      </c>
      <c r="G71" s="77" t="s">
        <v>44</v>
      </c>
      <c r="H71" s="77" t="s">
        <v>42</v>
      </c>
      <c r="I71" s="77" t="s">
        <v>511</v>
      </c>
    </row>
    <row r="72" spans="2:12" ht="38.25" x14ac:dyDescent="0.25">
      <c r="B72" s="160">
        <v>1</v>
      </c>
      <c r="C72" s="154" t="s">
        <v>593</v>
      </c>
      <c r="D72" s="154" t="s">
        <v>488</v>
      </c>
      <c r="E72" s="163" t="str">
        <f>CONCATENATE(PAR!$H$3," évi
eredeti 
előirányzat")</f>
        <v>2025. évi
eredeti 
előirányzat</v>
      </c>
      <c r="F72" s="163" t="str">
        <f>CONCATENATE(PAR!$H$3," évi
módosított 
előirányzat")</f>
        <v>2025. évi
módosított 
előirányzat</v>
      </c>
      <c r="G72" s="78" t="s">
        <v>666</v>
      </c>
      <c r="H72" s="78" t="s">
        <v>667</v>
      </c>
      <c r="I72" s="78" t="s">
        <v>668</v>
      </c>
    </row>
    <row r="73" spans="2:12" x14ac:dyDescent="0.25">
      <c r="B73" s="160">
        <v>2</v>
      </c>
      <c r="C73" s="79" t="s">
        <v>30</v>
      </c>
      <c r="D73" s="79" t="s">
        <v>329</v>
      </c>
      <c r="E73" s="121">
        <f>SUM(E74:E86)</f>
        <v>0</v>
      </c>
      <c r="F73" s="121">
        <f t="shared" ref="F73:I73" si="4">SUM(F74:F86)</f>
        <v>0</v>
      </c>
      <c r="G73" s="121">
        <f t="shared" si="4"/>
        <v>0</v>
      </c>
      <c r="H73" s="121">
        <f t="shared" si="4"/>
        <v>0</v>
      </c>
      <c r="I73" s="121">
        <f t="shared" si="4"/>
        <v>0</v>
      </c>
    </row>
    <row r="74" spans="2:12" x14ac:dyDescent="0.2">
      <c r="B74" s="160">
        <v>3</v>
      </c>
      <c r="C74" s="305" t="s">
        <v>1309</v>
      </c>
      <c r="D74" s="82" t="s">
        <v>1356</v>
      </c>
      <c r="E74" s="72">
        <f>SUMIF(Adat!$AG:$AG,CONCATENATE(61,$M$4,"094011",L69),Adat!$E:$E)*-1</f>
        <v>0</v>
      </c>
      <c r="F74" s="72">
        <f>SUMIF(Adat!$AG:$AG,CONCATENATE(60,$M$4,"094011",L69),Adat!$E:$E)*-1+E74</f>
        <v>0</v>
      </c>
      <c r="G74" s="72">
        <f>SUMIF(Adat!$AH:$AH,CONCATENATE($M$4,"(KÖT)","094011",L69),Adat!$E:$E)*-1</f>
        <v>0</v>
      </c>
      <c r="H74" s="72">
        <f>SUMIF(Adat!$AH:$AH,CONCATENATE($M$4,"(ÖNV)","094011",L69),Adat!$E:$E)*-1</f>
        <v>0</v>
      </c>
      <c r="I74" s="72">
        <f>SUMIF(Adat!$AH:$AH,CONCATENATE($M$4,"(ÁIG)","094011",L69),Adat!$E:$E)*-1</f>
        <v>0</v>
      </c>
    </row>
    <row r="75" spans="2:12" x14ac:dyDescent="0.2">
      <c r="B75" s="160">
        <v>4</v>
      </c>
      <c r="C75" s="305" t="s">
        <v>1279</v>
      </c>
      <c r="D75" s="82" t="s">
        <v>1357</v>
      </c>
      <c r="E75" s="72">
        <f>SUMIF(Adat!$AG:$AG,CONCATENATE(61,$M$4,"094021",L69),Adat!$E:$E)*-1</f>
        <v>0</v>
      </c>
      <c r="F75" s="72">
        <f>SUMIF(Adat!$AG:$AG,CONCATENATE(60,$M$4,"094021",L69),Adat!$E:$E)*-1+E75</f>
        <v>0</v>
      </c>
      <c r="G75" s="72">
        <f>SUMIF(Adat!$AH:$AH,CONCATENATE($M$4,"(KÖT)","094021",L69),Adat!$E:$E)*-1</f>
        <v>0</v>
      </c>
      <c r="H75" s="72">
        <f>SUMIF(Adat!$AH:$AH,CONCATENATE($M$4,"(ÖNV)","094021",L69),Adat!$E:$E)*-1</f>
        <v>0</v>
      </c>
      <c r="I75" s="72">
        <f>SUMIF(Adat!$AH:$AH,CONCATENATE($M$4,"(ÁIG)","094021",L69),Adat!$E:$E)*-1</f>
        <v>0</v>
      </c>
    </row>
    <row r="76" spans="2:12" x14ac:dyDescent="0.2">
      <c r="B76" s="160">
        <v>5</v>
      </c>
      <c r="C76" s="305" t="s">
        <v>1272</v>
      </c>
      <c r="D76" s="82" t="s">
        <v>1358</v>
      </c>
      <c r="E76" s="72">
        <f>SUMIF(Adat!$AG:$AG,CONCATENATE(61,$M$4,"094031",L69),Adat!$E:$E)*-1</f>
        <v>0</v>
      </c>
      <c r="F76" s="72">
        <f>SUMIF(Adat!$AG:$AG,CONCATENATE(60,$M$4,"094031",L69),Adat!$E:$E)*-1+E76</f>
        <v>0</v>
      </c>
      <c r="G76" s="72">
        <f>SUMIF(Adat!$AH:$AH,CONCATENATE($M$4,"(KÖT)","094031",L69),Adat!$E:$E)*-1</f>
        <v>0</v>
      </c>
      <c r="H76" s="72">
        <f>SUMIF(Adat!$AH:$AH,CONCATENATE($M$4,"(ÖNV)","094031",L69),Adat!$E:$E)*-1</f>
        <v>0</v>
      </c>
      <c r="I76" s="72">
        <f>SUMIF(Adat!$AH:$AH,CONCATENATE($M$4,"(ÁIG)","094031",L69),Adat!$E:$E)*-1</f>
        <v>0</v>
      </c>
    </row>
    <row r="77" spans="2:12" x14ac:dyDescent="0.2">
      <c r="B77" s="160">
        <v>6</v>
      </c>
      <c r="C77" s="305" t="s">
        <v>1359</v>
      </c>
      <c r="D77" s="82" t="s">
        <v>1360</v>
      </c>
      <c r="E77" s="72">
        <f>SUMIF(Adat!$AG:$AG,CONCATENATE(61,$M$4,"094041",L69),Adat!$E:$E)*-1</f>
        <v>0</v>
      </c>
      <c r="F77" s="72">
        <f>SUMIF(Adat!$AG:$AG,CONCATENATE(60,$M$4,"094041",L69),Adat!$E:$E)*-1+E77</f>
        <v>0</v>
      </c>
      <c r="G77" s="72">
        <f>SUMIF(Adat!$AH:$AH,CONCATENATE($M$4,"(KÖT)","094041",L69),Adat!$E:$E)*-1</f>
        <v>0</v>
      </c>
      <c r="H77" s="72">
        <f>SUMIF(Adat!$AH:$AH,CONCATENATE($M$4,"(ÖNV)","094041",L69),Adat!$E:$E)*-1</f>
        <v>0</v>
      </c>
      <c r="I77" s="72">
        <f>SUMIF(Adat!$AH:$AH,CONCATENATE($M$4,"(ÁIG)","094041",L69),Adat!$E:$E)*-1</f>
        <v>0</v>
      </c>
    </row>
    <row r="78" spans="2:12" x14ac:dyDescent="0.2">
      <c r="B78" s="160">
        <v>7</v>
      </c>
      <c r="C78" s="305" t="s">
        <v>1261</v>
      </c>
      <c r="D78" s="82" t="s">
        <v>1361</v>
      </c>
      <c r="E78" s="72">
        <f>SUMIF(Adat!$AG:$AG,CONCATENATE(61,$M$4,"094051",L69),Adat!$E:$E)*-1</f>
        <v>0</v>
      </c>
      <c r="F78" s="72">
        <f>SUMIF(Adat!$AG:$AG,CONCATENATE(60,$M$4,"094051",L69),Adat!$E:$E)*-1+E78</f>
        <v>0</v>
      </c>
      <c r="G78" s="72">
        <f>SUMIF(Adat!$AH:$AH,CONCATENATE($M$4,"(KÖT)","094051",L69),Adat!$E:$E)*-1</f>
        <v>0</v>
      </c>
      <c r="H78" s="72">
        <f>SUMIF(Adat!$AH:$AH,CONCATENATE($M$4,"(ÖNV)","094051",L69),Adat!$E:$E)*-1</f>
        <v>0</v>
      </c>
      <c r="I78" s="72">
        <f>SUMIF(Adat!$AH:$AH,CONCATENATE($M$4,"(ÁIG)","094051",L69),Adat!$E:$E)*-1</f>
        <v>0</v>
      </c>
    </row>
    <row r="79" spans="2:12" x14ac:dyDescent="0.2">
      <c r="B79" s="160">
        <v>8</v>
      </c>
      <c r="C79" s="305" t="s">
        <v>1273</v>
      </c>
      <c r="D79" s="82" t="s">
        <v>1362</v>
      </c>
      <c r="E79" s="72">
        <f>SUMIF(Adat!$AG:$AG,CONCATENATE(61,$M$4,"094061",L69),Adat!$E:$E)*-1</f>
        <v>0</v>
      </c>
      <c r="F79" s="72">
        <f>SUMIF(Adat!$AG:$AG,CONCATENATE(60,$M$4,"094061",L69),Adat!$E:$E)*-1+E79</f>
        <v>0</v>
      </c>
      <c r="G79" s="72">
        <f>SUMIF(Adat!$AH:$AH,CONCATENATE($M$4,"(KÖT)","094061",L69),Adat!$E:$E)*-1</f>
        <v>0</v>
      </c>
      <c r="H79" s="72">
        <f>SUMIF(Adat!$AH:$AH,CONCATENATE($M$4,"(ÖNV)","094061",L69),Adat!$E:$E)*-1</f>
        <v>0</v>
      </c>
      <c r="I79" s="72">
        <f>SUMIF(Adat!$AH:$AH,CONCATENATE($M$4,"(ÁIG)","094061",L69),Adat!$E:$E)*-1</f>
        <v>0</v>
      </c>
    </row>
    <row r="80" spans="2:12" x14ac:dyDescent="0.2">
      <c r="B80" s="160">
        <v>9</v>
      </c>
      <c r="C80" s="305" t="s">
        <v>1363</v>
      </c>
      <c r="D80" s="82" t="s">
        <v>1364</v>
      </c>
      <c r="E80" s="72">
        <f>SUMIF(Adat!$AG:$AG,CONCATENATE(61,$M$4,"094071",L69),Adat!$E:$E)*-1</f>
        <v>0</v>
      </c>
      <c r="F80" s="72">
        <f>SUMIF(Adat!$AG:$AG,CONCATENATE(60,$M$4,"094071",L69),Adat!$E:$E)*-1+E80</f>
        <v>0</v>
      </c>
      <c r="G80" s="72">
        <f>SUMIF(Adat!$AH:$AH,CONCATENATE($M$4,"(KÖT)","094071",L69),Adat!$E:$E)*-1</f>
        <v>0</v>
      </c>
      <c r="H80" s="72">
        <f>SUMIF(Adat!$AH:$AH,CONCATENATE($M$4,"(ÖNV)","094071",L69),Adat!$E:$E)*-1</f>
        <v>0</v>
      </c>
      <c r="I80" s="72">
        <f>SUMIF(Adat!$AH:$AH,CONCATENATE($M$4,"(ÁIG)","094071",L69),Adat!$E:$E)*-1</f>
        <v>0</v>
      </c>
    </row>
    <row r="81" spans="2:9" x14ac:dyDescent="0.2">
      <c r="B81" s="160">
        <v>10</v>
      </c>
      <c r="C81" s="305" t="s">
        <v>1306</v>
      </c>
      <c r="D81" s="82" t="s">
        <v>1365</v>
      </c>
      <c r="E81" s="72">
        <f>SUMIF(Adat!$AG:$AG,CONCATENATE(61,$M$4,"0940811",L69),Adat!$E:$E)*-1</f>
        <v>0</v>
      </c>
      <c r="F81" s="72">
        <f>SUMIF(Adat!$AG:$AG,CONCATENATE(60,$M$4,"0940811",L69),Adat!$E:$E)*-1+E81</f>
        <v>0</v>
      </c>
      <c r="G81" s="72">
        <f>SUMIF(Adat!$AH:$AH,CONCATENATE($M$4,"(KÖT)","0940811",L69),Adat!$E:$E)*-1</f>
        <v>0</v>
      </c>
      <c r="H81" s="72">
        <f>SUMIF(Adat!$AH:$AH,CONCATENATE($M$4,"(ÖNV)","0940811",L69),Adat!$E:$E)*-1</f>
        <v>0</v>
      </c>
      <c r="I81" s="72">
        <f>SUMIF(Adat!$AH:$AH,CONCATENATE($M$4,"(ÁIG)","0940811",L69),Adat!$E:$E)*-1</f>
        <v>0</v>
      </c>
    </row>
    <row r="82" spans="2:9" x14ac:dyDescent="0.2">
      <c r="B82" s="160">
        <v>11</v>
      </c>
      <c r="C82" s="305" t="s">
        <v>1295</v>
      </c>
      <c r="D82" s="82" t="s">
        <v>1366</v>
      </c>
      <c r="E82" s="72">
        <f>SUMIF(Adat!$AG:$AG,CONCATENATE(61,$M$4,"0940821",L69),Adat!$E:$E)*-1</f>
        <v>0</v>
      </c>
      <c r="F82" s="72">
        <f>SUMIF(Adat!$AG:$AG,CONCATENATE(60,$M$4,"0940821",L69),Adat!$E:$E)*-1+E82</f>
        <v>0</v>
      </c>
      <c r="G82" s="72">
        <f>SUMIF(Adat!$AH:$AH,CONCATENATE($M$4,"(KÖT)","0940821",L69),Adat!$E:$E)*-1</f>
        <v>0</v>
      </c>
      <c r="H82" s="72">
        <f>SUMIF(Adat!$AH:$AH,CONCATENATE($M$4,"(ÖNV)","0940821",L69),Adat!$E:$E)*-1</f>
        <v>0</v>
      </c>
      <c r="I82" s="72">
        <f>SUMIF(Adat!$AH:$AH,CONCATENATE($M$4,"(ÁIG)","0940821",L69),Adat!$E:$E)*-1</f>
        <v>0</v>
      </c>
    </row>
    <row r="83" spans="2:9" x14ac:dyDescent="0.2">
      <c r="B83" s="160">
        <v>12</v>
      </c>
      <c r="C83" s="305" t="s">
        <v>1367</v>
      </c>
      <c r="D83" s="82" t="s">
        <v>1368</v>
      </c>
      <c r="E83" s="72">
        <f>SUMIF(Adat!$AG:$AG,CONCATENATE(61,$M$4,"0940911",L69),Adat!$E:$E)*-1</f>
        <v>0</v>
      </c>
      <c r="F83" s="72">
        <f>SUMIF(Adat!$AG:$AG,CONCATENATE(60,$M$4,"0940911",L69),Adat!$E:$E)*-1+E83</f>
        <v>0</v>
      </c>
      <c r="G83" s="72">
        <f>SUMIF(Adat!$AH:$AH,CONCATENATE($M$4,"(KÖT)","0940911",L69),Adat!$E:$E)*-1</f>
        <v>0</v>
      </c>
      <c r="H83" s="72">
        <f>SUMIF(Adat!$AH:$AH,CONCATENATE($M$4,"(ÖNV)","0940911",L69),Adat!$E:$E)*-1</f>
        <v>0</v>
      </c>
      <c r="I83" s="72">
        <f>SUMIF(Adat!$AH:$AH,CONCATENATE($M$4,"(ÁIG)","0940911",L69),Adat!$E:$E)*-1</f>
        <v>0</v>
      </c>
    </row>
    <row r="84" spans="2:9" x14ac:dyDescent="0.2">
      <c r="B84" s="160">
        <v>13</v>
      </c>
      <c r="C84" s="305" t="s">
        <v>1369</v>
      </c>
      <c r="D84" s="82" t="s">
        <v>1370</v>
      </c>
      <c r="E84" s="72">
        <f>SUMIF(Adat!$AG:$AG,CONCATENATE(61,$M$4,"0940921",L69),Adat!$E:$E)*-1</f>
        <v>0</v>
      </c>
      <c r="F84" s="72">
        <f>SUMIF(Adat!$AG:$AG,CONCATENATE(60,$M$4,"0940921",L69),Adat!$E:$E)*-1+E84</f>
        <v>0</v>
      </c>
      <c r="G84" s="72">
        <f>SUMIF(Adat!$AH:$AH,CONCATENATE($M$4,"(KÖT)","0940921",L69),Adat!$E:$E)*-1</f>
        <v>0</v>
      </c>
      <c r="H84" s="72">
        <f>SUMIF(Adat!$AH:$AH,CONCATENATE($M$4,"(ÖNV)","0940921",L69),Adat!$E:$E)*-1</f>
        <v>0</v>
      </c>
      <c r="I84" s="72">
        <f>SUMIF(Adat!$AH:$AH,CONCATENATE($M$4,"(ÁIG)","0940921",L69),Adat!$E:$E)*-1</f>
        <v>0</v>
      </c>
    </row>
    <row r="85" spans="2:9" x14ac:dyDescent="0.2">
      <c r="B85" s="160">
        <v>14</v>
      </c>
      <c r="C85" s="305" t="s">
        <v>1296</v>
      </c>
      <c r="D85" s="82" t="s">
        <v>1371</v>
      </c>
      <c r="E85" s="72">
        <f>SUMIF(Adat!$AG:$AG,CONCATENATE(61,$M$4,"094101",L69),Adat!$E:$E)*-1</f>
        <v>0</v>
      </c>
      <c r="F85" s="72">
        <f>SUMIF(Adat!$AG:$AG,CONCATENATE(60,$M$4,"094101",L69),Adat!$E:$E)*-1+E85</f>
        <v>0</v>
      </c>
      <c r="G85" s="72">
        <f>SUMIF(Adat!$AH:$AH,CONCATENATE($M$4,"(KÖT)","094101",L69),Adat!$E:$E)*-1</f>
        <v>0</v>
      </c>
      <c r="H85" s="72">
        <f>SUMIF(Adat!$AH:$AH,CONCATENATE($M$4,"(ÖNV)","094101",L69),Adat!$E:$E)*-1</f>
        <v>0</v>
      </c>
      <c r="I85" s="72">
        <f>SUMIF(Adat!$AH:$AH,CONCATENATE($M$4,"(ÁIG)","094101",L69),Adat!$E:$E)*-1</f>
        <v>0</v>
      </c>
    </row>
    <row r="86" spans="2:9" x14ac:dyDescent="0.25">
      <c r="B86" s="160">
        <v>15</v>
      </c>
      <c r="C86" s="305" t="s">
        <v>1297</v>
      </c>
      <c r="D86" s="84" t="s">
        <v>1372</v>
      </c>
      <c r="E86" s="72">
        <f>SUMIF(Adat!$AG:$AG,CONCATENATE(61,$M$4,"094111",L69),Adat!$E:$E)*-1</f>
        <v>0</v>
      </c>
      <c r="F86" s="72">
        <f>SUMIF(Adat!$AG:$AG,CONCATENATE(60,$M$4,"094111",L69),Adat!$E:$E)*-1+E86</f>
        <v>0</v>
      </c>
      <c r="G86" s="72">
        <f>SUMIF(Adat!$AH:$AH,CONCATENATE($M$4,"(KÖT)","094111",L69),Adat!$E:$E)*-1</f>
        <v>0</v>
      </c>
      <c r="H86" s="72">
        <f>SUMIF(Adat!$AH:$AH,CONCATENATE($M$4,"(ÖNV)","094111",L69),Adat!$E:$E)*-1</f>
        <v>0</v>
      </c>
      <c r="I86" s="72">
        <f>SUMIF(Adat!$AH:$AH,CONCATENATE($M$4,"(ÁIG)","094111",L69),Adat!$E:$E)*-1</f>
        <v>0</v>
      </c>
    </row>
    <row r="87" spans="2:9" x14ac:dyDescent="0.25">
      <c r="B87" s="160">
        <v>16</v>
      </c>
      <c r="C87" s="78" t="s">
        <v>1328</v>
      </c>
      <c r="D87" s="85" t="s">
        <v>437</v>
      </c>
      <c r="E87" s="121">
        <f>SUM(E88:E90)</f>
        <v>0</v>
      </c>
      <c r="F87" s="121">
        <f>SUM(F88:F90)</f>
        <v>0</v>
      </c>
      <c r="G87" s="121">
        <f>SUM(G88:G90)</f>
        <v>0</v>
      </c>
      <c r="H87" s="121">
        <f>SUM(H88:H90)</f>
        <v>0</v>
      </c>
      <c r="I87" s="121">
        <f>SUM(I88:I90)</f>
        <v>0</v>
      </c>
    </row>
    <row r="88" spans="2:9" x14ac:dyDescent="0.2">
      <c r="B88" s="160">
        <v>17</v>
      </c>
      <c r="C88" s="305" t="s">
        <v>1329</v>
      </c>
      <c r="D88" s="82" t="s">
        <v>1330</v>
      </c>
      <c r="E88" s="72">
        <f>SUMIF(Adat!$AG:$AG,CONCATENATE(61,$M$4,"09121",L69),Adat!$E:$E)*-1</f>
        <v>0</v>
      </c>
      <c r="F88" s="72">
        <f>SUMIF(Adat!$AG:$AG,CONCATENATE(60,$M$4,"09121",L69),Adat!$E:$E)*-1+E88</f>
        <v>0</v>
      </c>
      <c r="G88" s="72">
        <f>SUMIF(Adat!$AH:$AH,CONCATENATE($M$4,"(KÖT)","09121",L69),Adat!$E:$E)*-1</f>
        <v>0</v>
      </c>
      <c r="H88" s="72">
        <f>SUMIF(Adat!$AH:$AH,CONCATENATE($M$4,"(ÖNV)","09121",L69),Adat!$E:$E)*-1</f>
        <v>0</v>
      </c>
      <c r="I88" s="72">
        <f>SUMIF(Adat!$AH:$AH,CONCATENATE($M$4,"(ÁIG)","09121",L69),Adat!$E:$E)*-1</f>
        <v>0</v>
      </c>
    </row>
    <row r="89" spans="2:9" x14ac:dyDescent="0.2">
      <c r="B89" s="160">
        <v>18</v>
      </c>
      <c r="C89" s="305" t="s">
        <v>1335</v>
      </c>
      <c r="D89" s="82" t="s">
        <v>1336</v>
      </c>
      <c r="E89" s="72">
        <f>SUMIF(Adat!$AG:$AG,CONCATENATE(61,$M$4,"09151",L69),Adat!$E:$E)*-1</f>
        <v>0</v>
      </c>
      <c r="F89" s="72">
        <f>SUMIF(Adat!$AG:$AG,CONCATENATE(60,$M$4,"09151",L69),Adat!$E:$E)*-1+E89</f>
        <v>0</v>
      </c>
      <c r="G89" s="72">
        <f>SUMIF(Adat!$AH:$AH,CONCATENATE($M$4,"(KÖT)","09151",L69),Adat!$E:$E)*-1</f>
        <v>0</v>
      </c>
      <c r="H89" s="72">
        <f>SUMIF(Adat!$AH:$AH,CONCATENATE($M$4,"(ÖNV)","09151",L69),Adat!$E:$E)*-1</f>
        <v>0</v>
      </c>
      <c r="I89" s="72">
        <f>SUMIF(Adat!$AH:$AH,CONCATENATE($M$4,"(ÁIG)","09151",L69),Adat!$E:$E)*-1</f>
        <v>0</v>
      </c>
    </row>
    <row r="90" spans="2:9" x14ac:dyDescent="0.2">
      <c r="B90" s="160">
        <v>19</v>
      </c>
      <c r="C90" s="305" t="s">
        <v>1278</v>
      </c>
      <c r="D90" s="82" t="s">
        <v>1337</v>
      </c>
      <c r="E90" s="72">
        <f>SUMIF(Adat!$AG:$AG,CONCATENATE(61,$M$4,"09161",L69),Adat!$E:$E)*-1</f>
        <v>0</v>
      </c>
      <c r="F90" s="72">
        <f>SUMIF(Adat!$AG:$AG,CONCATENATE(60,$M$4,"09161",L69),Adat!$E:$E)*-1+E90</f>
        <v>0</v>
      </c>
      <c r="G90" s="72">
        <f>SUMIF(Adat!$AH:$AH,CONCATENATE($M$4,"(KÖT)","09161",L69),Adat!$E:$E)*-1</f>
        <v>0</v>
      </c>
      <c r="H90" s="72">
        <f>SUMIF(Adat!$AH:$AH,CONCATENATE($M$4,"(ÖNV)","09161",L69),Adat!$E:$E)*-1</f>
        <v>0</v>
      </c>
      <c r="I90" s="72">
        <f>SUMIF(Adat!$AH:$AH,CONCATENATE($M$4,"(ÁIG)","09161",L69),Adat!$E:$E)*-1</f>
        <v>0</v>
      </c>
    </row>
    <row r="91" spans="2:9" x14ac:dyDescent="0.25">
      <c r="B91" s="160">
        <v>20</v>
      </c>
      <c r="C91" s="79" t="s">
        <v>27</v>
      </c>
      <c r="D91" s="79" t="s">
        <v>328</v>
      </c>
      <c r="E91" s="71">
        <f>SUMIF(Adat!$AI:$AI,CONCATENATE(61,$M$4,"093",L69),Adat!$E:$E)*-1</f>
        <v>0</v>
      </c>
      <c r="F91" s="71">
        <f>SUMIF(Adat!$AI:$AI,CONCATENATE(60,$M$4,"093",L69),Adat!$E:$E)*-1+E91</f>
        <v>0</v>
      </c>
      <c r="G91" s="71">
        <f>SUMIF(Adat!$AJ:$AJ,CONCATENATE($M$4,"093","(KÖT)",L69),Adat!$E:$E)*-1</f>
        <v>0</v>
      </c>
      <c r="H91" s="71">
        <f>SUMIF(Adat!$AJ:$AJ,CONCATENATE($M$4,"093","(ÖNV)",L69),Adat!$E:$E)*-1</f>
        <v>0</v>
      </c>
      <c r="I91" s="71">
        <f>SUMIF(Adat!$AJ:$AJ,CONCATENATE($M$4,"093","(ÁIG)",L69),Adat!$E:$E)*-1</f>
        <v>0</v>
      </c>
    </row>
    <row r="92" spans="2:9" x14ac:dyDescent="0.25">
      <c r="B92" s="160">
        <v>21</v>
      </c>
      <c r="C92" s="79" t="s">
        <v>24</v>
      </c>
      <c r="D92" s="79" t="s">
        <v>449</v>
      </c>
      <c r="E92" s="121">
        <f>SUM(E93:E95)</f>
        <v>0</v>
      </c>
      <c r="F92" s="121">
        <f t="shared" ref="F92:I92" si="5">SUM(F93:F95)</f>
        <v>0</v>
      </c>
      <c r="G92" s="121">
        <f t="shared" si="5"/>
        <v>0</v>
      </c>
      <c r="H92" s="121">
        <f t="shared" si="5"/>
        <v>0</v>
      </c>
      <c r="I92" s="121">
        <f t="shared" si="5"/>
        <v>0</v>
      </c>
    </row>
    <row r="93" spans="2:9" x14ac:dyDescent="0.2">
      <c r="B93" s="160">
        <v>22</v>
      </c>
      <c r="C93" s="305" t="s">
        <v>1339</v>
      </c>
      <c r="D93" s="82" t="s">
        <v>1340</v>
      </c>
      <c r="E93" s="72">
        <f>SUMIF(Adat!$AG:$AG,CONCATENATE(61,$M$4,"09211",L69),Adat!$E:$E)*-1</f>
        <v>0</v>
      </c>
      <c r="F93" s="72">
        <f>SUMIF(Adat!$AG:$AG,CONCATENATE(60,$M$4,"09211",L69),Adat!$E:$E)*-1+E93</f>
        <v>0</v>
      </c>
      <c r="G93" s="72">
        <f>SUMIF(Adat!$AH:$AH,CONCATENATE($M$4,"(KÖT)","09211",L69),Adat!$E:$E)*-1</f>
        <v>0</v>
      </c>
      <c r="H93" s="72">
        <f>SUMIF(Adat!$AH:$AH,CONCATENATE($M$4,"(ÖNV)","09211",L69),Adat!$E:$E)*-1</f>
        <v>0</v>
      </c>
      <c r="I93" s="72">
        <f>SUMIF(Adat!$AH:$AH,CONCATENATE($M$4,"(ÁIG)","09211",L69),Adat!$E:$E)*-1</f>
        <v>0</v>
      </c>
    </row>
    <row r="94" spans="2:9" x14ac:dyDescent="0.2">
      <c r="B94" s="160">
        <v>23</v>
      </c>
      <c r="C94" s="305" t="s">
        <v>1345</v>
      </c>
      <c r="D94" s="82" t="s">
        <v>1346</v>
      </c>
      <c r="E94" s="72">
        <f>SUMIF(Adat!$AG:$AG,CONCATENATE(61,$M$4,"09241",L69),Adat!$E:$E)*-1</f>
        <v>0</v>
      </c>
      <c r="F94" s="72">
        <f>SUMIF(Adat!$AG:$AG,CONCATENATE(60,$M$4,"09241",L69),Adat!$E:$E)*-1+E94</f>
        <v>0</v>
      </c>
      <c r="G94" s="72">
        <f>SUMIF(Adat!$AH:$AH,CONCATENATE($M$4,"(KÖT)","09241",L69),Adat!$E:$E)*-1</f>
        <v>0</v>
      </c>
      <c r="H94" s="72">
        <f>SUMIF(Adat!$AH:$AH,CONCATENATE($M$4,"(ÖNV)","09241",L69),Adat!$E:$E)*-1</f>
        <v>0</v>
      </c>
      <c r="I94" s="72">
        <f>SUMIF(Adat!$AH:$AH,CONCATENATE($M$4,"(ÁIG)","09241",L69),Adat!$E:$E)*-1</f>
        <v>0</v>
      </c>
    </row>
    <row r="95" spans="2:9" x14ac:dyDescent="0.2">
      <c r="B95" s="160">
        <v>24</v>
      </c>
      <c r="C95" s="305" t="s">
        <v>1255</v>
      </c>
      <c r="D95" s="82" t="s">
        <v>1347</v>
      </c>
      <c r="E95" s="72">
        <f>SUMIF(Adat!$AG:$AG,CONCATENATE(61,$M$4,"09251",L69),Adat!$E:$E)*-1</f>
        <v>0</v>
      </c>
      <c r="F95" s="72">
        <f>SUMIF(Adat!$AG:$AG,CONCATENATE(60,$M$4,"09251",L69),Adat!$E:$E)*-1+E95</f>
        <v>0</v>
      </c>
      <c r="G95" s="72">
        <f>SUMIF(Adat!$AH:$AH,CONCATENATE($M$4,"(KÖT)","09251",L69),Adat!$E:$E)*-1</f>
        <v>0</v>
      </c>
      <c r="H95" s="72">
        <f>SUMIF(Adat!$AH:$AH,CONCATENATE($M$4,"(ÖNV)","09251",L69),Adat!$E:$E)*-1</f>
        <v>0</v>
      </c>
      <c r="I95" s="72">
        <f>SUMIF(Adat!$AH:$AH,CONCATENATE($M$4,"(ÁIG)","09251",L69),Adat!$E:$E)*-1</f>
        <v>0</v>
      </c>
    </row>
    <row r="96" spans="2:9" x14ac:dyDescent="0.25">
      <c r="B96" s="160">
        <v>25</v>
      </c>
      <c r="C96" s="79" t="s">
        <v>33</v>
      </c>
      <c r="D96" s="79" t="s">
        <v>330</v>
      </c>
      <c r="E96" s="121">
        <f>SUM(E97:E99)</f>
        <v>0</v>
      </c>
      <c r="F96" s="121">
        <f t="shared" ref="F96:I96" si="6">SUM(F97:F99)</f>
        <v>0</v>
      </c>
      <c r="G96" s="121">
        <f t="shared" si="6"/>
        <v>0</v>
      </c>
      <c r="H96" s="121">
        <f t="shared" si="6"/>
        <v>0</v>
      </c>
      <c r="I96" s="121">
        <f t="shared" si="6"/>
        <v>0</v>
      </c>
    </row>
    <row r="97" spans="2:12" x14ac:dyDescent="0.2">
      <c r="B97" s="160">
        <v>26</v>
      </c>
      <c r="C97" s="305" t="s">
        <v>1373</v>
      </c>
      <c r="D97" s="82" t="s">
        <v>1374</v>
      </c>
      <c r="E97" s="72">
        <f>SUMIF(Adat!$AG:$AG,CONCATENATE(61,$M$4,"09511",L69),Adat!$E:$E)*-1</f>
        <v>0</v>
      </c>
      <c r="F97" s="72">
        <f>SUMIF(Adat!$AG:$AG,CONCATENATE(60,$M$4,"09511",L69),Adat!$E:$E)*-1+E97</f>
        <v>0</v>
      </c>
      <c r="G97" s="72">
        <f>SUMIF(Adat!$AH:$AH,CONCATENATE($M$4,"(KÖT)","09511",L69),Adat!$E:$E)*-1</f>
        <v>0</v>
      </c>
      <c r="H97" s="72">
        <f>SUMIF(Adat!$AH:$AH,CONCATENATE($M$4,"(ÖNV)","09511",L69),Adat!$E:$E)*-1</f>
        <v>0</v>
      </c>
      <c r="I97" s="72">
        <f>SUMIF(Adat!$AH:$AH,CONCATENATE($M$4,"(ÁIG)","09511",L69),Adat!$E:$E)*-1</f>
        <v>0</v>
      </c>
    </row>
    <row r="98" spans="2:12" x14ac:dyDescent="0.2">
      <c r="B98" s="160">
        <v>27</v>
      </c>
      <c r="C98" s="305" t="s">
        <v>1294</v>
      </c>
      <c r="D98" s="82" t="s">
        <v>1375</v>
      </c>
      <c r="E98" s="72">
        <f>SUMIF(Adat!$AG:$AG,CONCATENATE(61,$M$4,"09521",L69),Adat!$E:$E)*-1</f>
        <v>0</v>
      </c>
      <c r="F98" s="72">
        <f>SUMIF(Adat!$AG:$AG,CONCATENATE(60,$M$4,"09521",L69),Adat!$E:$E)*-1+E98</f>
        <v>0</v>
      </c>
      <c r="G98" s="72">
        <f>SUMIF(Adat!$AH:$AH,CONCATENATE($M$4,"(KÖT)","09521",L69),Adat!$E:$E)*-1</f>
        <v>0</v>
      </c>
      <c r="H98" s="72">
        <f>SUMIF(Adat!$AH:$AH,CONCATENATE($M$4,"(ÖNV)","09521",L69),Adat!$E:$E)*-1</f>
        <v>0</v>
      </c>
      <c r="I98" s="72">
        <f>SUMIF(Adat!$AH:$AH,CONCATENATE($M$4,"(ÁIG)","09521",L69),Adat!$E:$E)*-1</f>
        <v>0</v>
      </c>
    </row>
    <row r="99" spans="2:12" x14ac:dyDescent="0.2">
      <c r="B99" s="160">
        <v>28</v>
      </c>
      <c r="C99" s="305" t="s">
        <v>1376</v>
      </c>
      <c r="D99" s="82" t="s">
        <v>1377</v>
      </c>
      <c r="E99" s="72">
        <f>SUMIF(Adat!$AG:$AG,CONCATENATE(61,$M$4,"09531",L69),Adat!$E:$E)*-1</f>
        <v>0</v>
      </c>
      <c r="F99" s="72">
        <f>SUMIF(Adat!$AG:$AG,CONCATENATE(60,$M$4,"09531",L69),Adat!$E:$E)*-1+E99</f>
        <v>0</v>
      </c>
      <c r="G99" s="72">
        <f>SUMIF(Adat!$AH:$AH,CONCATENATE($M$4,"(KÖT)","09531",L69),Adat!$E:$E)*-1</f>
        <v>0</v>
      </c>
      <c r="H99" s="72">
        <f>SUMIF(Adat!$AH:$AH,CONCATENATE($M$4,"(ÖNV)","09531",L69),Adat!$E:$E)*-1</f>
        <v>0</v>
      </c>
      <c r="I99" s="72">
        <f>SUMIF(Adat!$AH:$AH,CONCATENATE($M$4,"(ÁIG)","09531",L69),Adat!$E:$E)*-1</f>
        <v>0</v>
      </c>
    </row>
    <row r="100" spans="2:12" x14ac:dyDescent="0.25">
      <c r="B100" s="160">
        <v>29</v>
      </c>
      <c r="C100" s="79" t="s">
        <v>36</v>
      </c>
      <c r="D100" s="79" t="s">
        <v>331</v>
      </c>
      <c r="E100" s="71">
        <f>SUMIF(Adat!$AI:$AI,CONCATENATE(61,$M$4,"096",L69),Adat!$E:$E)*-1</f>
        <v>0</v>
      </c>
      <c r="F100" s="71">
        <f>SUMIF(Adat!$AI:$AI,CONCATENATE(60,$M$4,"096",L69),Adat!$E:$E)*-1+E100</f>
        <v>0</v>
      </c>
      <c r="G100" s="71">
        <f>SUMIF(Adat!$AJ:$AJ,CONCATENATE($M$4,"096","(KÖT)",L69),Adat!$E:$E)*-1</f>
        <v>0</v>
      </c>
      <c r="H100" s="71">
        <f>SUMIF(Adat!$AJ:$AJ,CONCATENATE($M$4,"096","(ÖNV)",L69),Adat!$E:$E)*-1</f>
        <v>0</v>
      </c>
      <c r="I100" s="71">
        <f>SUMIF(Adat!$AJ:$AJ,CONCATENATE($M$4,"096","(ÁIG)",L69),Adat!$E:$E)*-1</f>
        <v>0</v>
      </c>
    </row>
    <row r="101" spans="2:12" x14ac:dyDescent="0.25">
      <c r="B101" s="160">
        <v>30</v>
      </c>
      <c r="C101" s="79" t="s">
        <v>38</v>
      </c>
      <c r="D101" s="85" t="s">
        <v>332</v>
      </c>
      <c r="E101" s="71">
        <f>SUMIF(Adat!$AI:$AI,CONCATENATE(61,$M$4,"097",L69),Adat!$E:$E)*-1</f>
        <v>0</v>
      </c>
      <c r="F101" s="71">
        <f>SUMIF(Adat!$AI:$AI,CONCATENATE(60,$M$4,"097",L69),Adat!$E:$E)*-1+E101</f>
        <v>0</v>
      </c>
      <c r="G101" s="71">
        <f>SUMIF(Adat!$AJ:$AJ,CONCATENATE($M$4,"097","(KÖT)",L69),Adat!$E:$E)*-1</f>
        <v>0</v>
      </c>
      <c r="H101" s="71">
        <f>SUMIF(Adat!$AJ:$AJ,CONCATENATE($M$4,"097","(ÖNV)",L69),Adat!$E:$E)*-1</f>
        <v>0</v>
      </c>
      <c r="I101" s="71">
        <f>SUMIF(Adat!$AJ:$AJ,CONCATENATE($M$4,"097","(ÁIG)",L69),Adat!$E:$E)*-1</f>
        <v>0</v>
      </c>
    </row>
    <row r="102" spans="2:12" x14ac:dyDescent="0.25">
      <c r="B102" s="160">
        <v>31</v>
      </c>
      <c r="C102" s="154" t="s">
        <v>352</v>
      </c>
      <c r="D102" s="86" t="s">
        <v>1500</v>
      </c>
      <c r="E102" s="121">
        <f>E73+E87+E91+E92+E96+E100+E101</f>
        <v>0</v>
      </c>
      <c r="F102" s="121">
        <f>F73+F87+F91+F92+F96+F100+F101</f>
        <v>0</v>
      </c>
      <c r="G102" s="121">
        <f>G73+G87+G91+G92+G96+G100+G101</f>
        <v>0</v>
      </c>
      <c r="H102" s="121">
        <f>H73+H87+H91+H92+H96+H100+H101</f>
        <v>0</v>
      </c>
      <c r="I102" s="121">
        <f>I73+I87+I91+I92+I96+I100+I101</f>
        <v>0</v>
      </c>
    </row>
    <row r="103" spans="2:12" x14ac:dyDescent="0.25">
      <c r="B103" s="160">
        <v>32</v>
      </c>
      <c r="C103" s="154" t="s">
        <v>358</v>
      </c>
      <c r="D103" s="86" t="s">
        <v>333</v>
      </c>
      <c r="E103" s="121">
        <f>SUM(E104:E106)</f>
        <v>0</v>
      </c>
      <c r="F103" s="121">
        <f t="shared" ref="F103:I103" si="7">SUM(F104:F106)</f>
        <v>0</v>
      </c>
      <c r="G103" s="121">
        <f t="shared" si="7"/>
        <v>0</v>
      </c>
      <c r="H103" s="121">
        <f t="shared" si="7"/>
        <v>0</v>
      </c>
      <c r="I103" s="121">
        <f t="shared" si="7"/>
        <v>0</v>
      </c>
    </row>
    <row r="104" spans="2:12" x14ac:dyDescent="0.2">
      <c r="B104" s="160">
        <v>33</v>
      </c>
      <c r="C104" s="305" t="s">
        <v>1274</v>
      </c>
      <c r="D104" s="82" t="s">
        <v>1419</v>
      </c>
      <c r="E104" s="72">
        <f>SUMIF(Adat!$AG:$AG,CONCATENATE(61,$M$4,"0981311",L69),Adat!$E:$E)*-1</f>
        <v>0</v>
      </c>
      <c r="F104" s="72">
        <f>SUMIF(Adat!$AG:$AG,CONCATENATE(60,$M$4,"0981311",L69),Adat!$E:$E)*-1+E104</f>
        <v>0</v>
      </c>
      <c r="G104" s="72">
        <f>SUMIF(Adat!$AH:$AH,CONCATENATE($M$4,"(KÖT)","0981311",L69),Adat!$E:$E)*-1</f>
        <v>0</v>
      </c>
      <c r="H104" s="72">
        <f>SUMIF(Adat!$AH:$AH,CONCATENATE($M$4,"(ÖNV)","0981311",L69),Adat!$E:$E)*-1</f>
        <v>0</v>
      </c>
      <c r="I104" s="72">
        <f>SUMIF(Adat!$AH:$AH,CONCATENATE($M$4,"(ÁIG)","0981311",L69),Adat!$E:$E)*-1</f>
        <v>0</v>
      </c>
    </row>
    <row r="105" spans="2:12" x14ac:dyDescent="0.25">
      <c r="B105" s="160">
        <v>34</v>
      </c>
      <c r="C105" s="305" t="s">
        <v>1420</v>
      </c>
      <c r="D105" s="84" t="s">
        <v>1421</v>
      </c>
      <c r="E105" s="72">
        <f>SUMIF(Adat!$AG:$AG,CONCATENATE(61,$M$4,"0981321",L69),Adat!$E:$E)*-1</f>
        <v>0</v>
      </c>
      <c r="F105" s="72">
        <f>SUMIF(Adat!$AG:$AG,CONCATENATE(60,$M$4,"0981321",L69),Adat!$E:$E)*-1+E105</f>
        <v>0</v>
      </c>
      <c r="G105" s="72">
        <f>SUMIF(Adat!$AH:$AH,CONCATENATE($M$4,"(KÖT)","0981321",L69),Adat!$E:$E)*-1</f>
        <v>0</v>
      </c>
      <c r="H105" s="72">
        <f>SUMIF(Adat!$AH:$AH,CONCATENATE($M$4,"(ÖNV)","0981321",L69),Adat!$E:$E)*-1</f>
        <v>0</v>
      </c>
      <c r="I105" s="72">
        <f>SUMIF(Adat!$AH:$AH,CONCATENATE($M$4,"(ÁIG)","0981321",L69),Adat!$E:$E)*-1</f>
        <v>0</v>
      </c>
    </row>
    <row r="106" spans="2:12" x14ac:dyDescent="0.25">
      <c r="B106" s="160">
        <v>35</v>
      </c>
      <c r="C106" s="319" t="s">
        <v>1275</v>
      </c>
      <c r="D106" s="84" t="s">
        <v>1501</v>
      </c>
      <c r="E106" s="72">
        <f>SUMIF(Adat!$AG:$AG,CONCATENATE(61,$M$4,"098161",L69),Adat!$E:$E)*-1</f>
        <v>0</v>
      </c>
      <c r="F106" s="72">
        <f>SUMIF(Adat!$AG:$AG,CONCATENATE(60,$M$4,"098161",L69),Adat!$E:$E)*-1+E106</f>
        <v>0</v>
      </c>
      <c r="G106" s="72">
        <f>SUMIF(Adat!$AH:$AH,CONCATENATE($M$4,"(KÖT)","098161",L69),Adat!$E:$E)*-1</f>
        <v>0</v>
      </c>
      <c r="H106" s="72">
        <f>SUMIF(Adat!$AH:$AH,CONCATENATE($M$4,"(ÖNV)","098161",L69),Adat!$E:$E)*-1</f>
        <v>0</v>
      </c>
      <c r="I106" s="72">
        <f>SUMIF(Adat!$AH:$AH,CONCATENATE($M$4,"(ÁIG)","098161",L69),Adat!$E:$E)*-1</f>
        <v>0</v>
      </c>
    </row>
    <row r="107" spans="2:12" x14ac:dyDescent="0.25">
      <c r="B107" s="160">
        <v>36</v>
      </c>
      <c r="C107" s="154" t="s">
        <v>364</v>
      </c>
      <c r="D107" s="159" t="s">
        <v>1502</v>
      </c>
      <c r="E107" s="121">
        <f>+E102+E103</f>
        <v>0</v>
      </c>
      <c r="F107" s="121">
        <f>+F102+F103</f>
        <v>0</v>
      </c>
      <c r="G107" s="121">
        <f>+G102+G103</f>
        <v>0</v>
      </c>
      <c r="H107" s="121">
        <f>+H102+H103</f>
        <v>0</v>
      </c>
      <c r="I107" s="121">
        <f>+I102+I103</f>
        <v>0</v>
      </c>
    </row>
    <row r="108" spans="2:12" ht="15.75" x14ac:dyDescent="0.25">
      <c r="B108" s="38"/>
      <c r="C108" s="156"/>
      <c r="D108" s="38"/>
      <c r="E108" s="140"/>
      <c r="F108" s="430"/>
      <c r="G108" s="140"/>
      <c r="H108" s="140"/>
      <c r="I108" s="140"/>
    </row>
    <row r="109" spans="2:12" s="10" customFormat="1" ht="15.75" customHeight="1" x14ac:dyDescent="0.25">
      <c r="B109" s="201" t="str">
        <f>CONCATENATE("4. Kiadási jogcímek"," - ",L109," részletező")</f>
        <v>4. Kiadási jogcímek -  részletező</v>
      </c>
      <c r="C109" s="101"/>
      <c r="D109" s="101"/>
      <c r="E109" s="101"/>
      <c r="F109" s="101"/>
      <c r="G109" s="198"/>
      <c r="H109" s="198"/>
      <c r="I109" s="198"/>
      <c r="L109" s="384"/>
    </row>
    <row r="110" spans="2:12" ht="15.75" x14ac:dyDescent="0.25">
      <c r="B110" s="38"/>
      <c r="C110" s="156"/>
      <c r="D110" s="38"/>
      <c r="E110" s="140"/>
      <c r="F110" s="140"/>
      <c r="G110" s="140"/>
      <c r="H110" s="140"/>
      <c r="I110" s="140"/>
    </row>
    <row r="111" spans="2:12" x14ac:dyDescent="0.25">
      <c r="B111" s="77"/>
      <c r="C111" s="77" t="s">
        <v>350</v>
      </c>
      <c r="D111" s="77" t="s">
        <v>351</v>
      </c>
      <c r="E111" s="77" t="s">
        <v>470</v>
      </c>
      <c r="F111" s="77" t="s">
        <v>471</v>
      </c>
      <c r="G111" s="77" t="s">
        <v>44</v>
      </c>
      <c r="H111" s="77" t="s">
        <v>42</v>
      </c>
      <c r="I111" s="77" t="s">
        <v>511</v>
      </c>
    </row>
    <row r="112" spans="2:12" ht="38.25" x14ac:dyDescent="0.25">
      <c r="B112" s="160">
        <v>1</v>
      </c>
      <c r="C112" s="154" t="s">
        <v>593</v>
      </c>
      <c r="D112" s="154" t="s">
        <v>488</v>
      </c>
      <c r="E112" s="163" t="str">
        <f>CONCATENATE(PAR!$H$3," évi
eredeti 
előirányzat")</f>
        <v>2025. évi
eredeti 
előirányzat</v>
      </c>
      <c r="F112" s="163" t="str">
        <f>CONCATENATE(PAR!$H$3," évi
módosított 
előirányzat")</f>
        <v>2025. évi
módosított 
előirányzat</v>
      </c>
      <c r="G112" s="78" t="s">
        <v>666</v>
      </c>
      <c r="H112" s="78" t="s">
        <v>667</v>
      </c>
      <c r="I112" s="78" t="s">
        <v>668</v>
      </c>
    </row>
    <row r="113" spans="2:9" x14ac:dyDescent="0.25">
      <c r="B113" s="160">
        <v>2</v>
      </c>
      <c r="C113" s="78" t="s">
        <v>352</v>
      </c>
      <c r="D113" s="92" t="s">
        <v>1444</v>
      </c>
      <c r="E113" s="121">
        <f>SUM(E114:E118)</f>
        <v>0</v>
      </c>
      <c r="F113" s="121">
        <f>SUM(F114:F118)</f>
        <v>0</v>
      </c>
      <c r="G113" s="121">
        <f>SUM(G114:G118)</f>
        <v>0</v>
      </c>
      <c r="H113" s="121">
        <f>SUM(H114:H118)</f>
        <v>0</v>
      </c>
      <c r="I113" s="121">
        <f>SUM(I114:I118)</f>
        <v>0</v>
      </c>
    </row>
    <row r="114" spans="2:9" x14ac:dyDescent="0.25">
      <c r="B114" s="160">
        <v>3</v>
      </c>
      <c r="C114" s="305" t="s">
        <v>315</v>
      </c>
      <c r="D114" s="93" t="s">
        <v>342</v>
      </c>
      <c r="E114" s="72">
        <f>SUMIF(Adat!$AI:$AI,CONCATENATE(61,$M$4,"051",L109),Adat!$E:$E)</f>
        <v>0</v>
      </c>
      <c r="F114" s="72">
        <f>SUMIF(Adat!$AI:$AI,CONCATENATE(60,$M$4,"051",L109),Adat!$E:$E)+E114</f>
        <v>0</v>
      </c>
      <c r="G114" s="72">
        <f>SUMIF(Adat!$AJ:$AJ,CONCATENATE($M$4,"051","(KÖT)",L109),Adat!$E:$E)</f>
        <v>0</v>
      </c>
      <c r="H114" s="72">
        <f>SUMIF(Adat!$AJ:$AJ,CONCATENATE($M$4,"051","(ÖNV)",L109),Adat!$E:$E)</f>
        <v>0</v>
      </c>
      <c r="I114" s="72">
        <f>SUMIF(Adat!$AJ:$AJ,CONCATENATE($M$4,"051","(ÁIG)",L109),Adat!$E:$E)</f>
        <v>0</v>
      </c>
    </row>
    <row r="115" spans="2:9" x14ac:dyDescent="0.25">
      <c r="B115" s="160">
        <v>4</v>
      </c>
      <c r="C115" s="305" t="s">
        <v>317</v>
      </c>
      <c r="D115" s="93" t="s">
        <v>395</v>
      </c>
      <c r="E115" s="72">
        <f>SUMIF(Adat!$AI:$AI,CONCATENATE(61,$M$4,"052",L109),Adat!$E:$E)</f>
        <v>0</v>
      </c>
      <c r="F115" s="72">
        <f>SUMIF(Adat!$AI:$AI,CONCATENATE(60,$M$4,"052",L109),Adat!$E:$E)+E115</f>
        <v>0</v>
      </c>
      <c r="G115" s="72">
        <f>SUMIF(Adat!$AJ:$AJ,CONCATENATE($M$4,"052","(KÖT)",L109),Adat!$E:$E)</f>
        <v>0</v>
      </c>
      <c r="H115" s="72">
        <f>SUMIF(Adat!$AJ:$AJ,CONCATENATE($M$4,"052","(ÖNV)",L109),Adat!$E:$E)</f>
        <v>0</v>
      </c>
      <c r="I115" s="72">
        <f>SUMIF(Adat!$AJ:$AJ,CONCATENATE($M$4,"052","(ÁIG)",L109),Adat!$E:$E)</f>
        <v>0</v>
      </c>
    </row>
    <row r="116" spans="2:9" x14ac:dyDescent="0.25">
      <c r="B116" s="160">
        <v>5</v>
      </c>
      <c r="C116" s="305" t="s">
        <v>4</v>
      </c>
      <c r="D116" s="93" t="s">
        <v>344</v>
      </c>
      <c r="E116" s="72">
        <f>SUMIF(Adat!$AI:$AI,CONCATENATE(61,$M$4,"053",L109),Adat!$E:$E)</f>
        <v>0</v>
      </c>
      <c r="F116" s="72">
        <f>SUMIF(Adat!$AI:$AI,CONCATENATE(60,$M$4,"053",L109),Adat!$E:$E)+E116</f>
        <v>0</v>
      </c>
      <c r="G116" s="72">
        <f>SUMIF(Adat!$AJ:$AJ,CONCATENATE($M$4,"053","(KÖT)",L109),Adat!$E:$E)</f>
        <v>0</v>
      </c>
      <c r="H116" s="72">
        <f>SUMIF(Adat!$AJ:$AJ,CONCATENATE($M$4,"053","(ÖNV)",L109),Adat!$E:$E)</f>
        <v>0</v>
      </c>
      <c r="I116" s="72">
        <f>SUMIF(Adat!$AJ:$AJ,CONCATENATE($M$4,"053","(ÁIG)",L109),Adat!$E:$E)</f>
        <v>0</v>
      </c>
    </row>
    <row r="117" spans="2:9" x14ac:dyDescent="0.25">
      <c r="B117" s="160">
        <v>6</v>
      </c>
      <c r="C117" s="305" t="s">
        <v>6</v>
      </c>
      <c r="D117" s="93" t="s">
        <v>345</v>
      </c>
      <c r="E117" s="72">
        <f>SUMIF(Adat!$AI:$AI,CONCATENATE(61,$M$4,"054",L109),Adat!$E:$E)</f>
        <v>0</v>
      </c>
      <c r="F117" s="72">
        <f>SUMIF(Adat!$AI:$AI,CONCATENATE(60,$M$4,"054",L109),Adat!$E:$E)+E117</f>
        <v>0</v>
      </c>
      <c r="G117" s="72">
        <f>SUMIF(Adat!$AJ:$AJ,CONCATENATE($M$4,"054","(KÖT)",L109),Adat!$E:$E)</f>
        <v>0</v>
      </c>
      <c r="H117" s="72">
        <f>SUMIF(Adat!$AJ:$AJ,CONCATENATE($M$4,"054","(ÖNV)",L109),Adat!$E:$E)</f>
        <v>0</v>
      </c>
      <c r="I117" s="72">
        <f>SUMIF(Adat!$AJ:$AJ,CONCATENATE($M$4,"054","(ÁIG)",L109),Adat!$E:$E)</f>
        <v>0</v>
      </c>
    </row>
    <row r="118" spans="2:9" x14ac:dyDescent="0.25">
      <c r="B118" s="160">
        <v>7</v>
      </c>
      <c r="C118" s="305" t="s">
        <v>8</v>
      </c>
      <c r="D118" s="93" t="s">
        <v>321</v>
      </c>
      <c r="E118" s="72">
        <f>SUMIF(Adat!$AI:$AI,CONCATENATE(61,$M$4,"055",L109),Adat!$E:$E)</f>
        <v>0</v>
      </c>
      <c r="F118" s="72">
        <f>SUMIF(Adat!$AI:$AI,CONCATENATE(60,$M$4,"055",L109),Adat!$E:$E)+E118</f>
        <v>0</v>
      </c>
      <c r="G118" s="72">
        <f>SUMIF(Adat!$AJ:$AJ,CONCATENATE($M$4,"055","(KÖT)",L109),Adat!$E:$E)</f>
        <v>0</v>
      </c>
      <c r="H118" s="72">
        <f>SUMIF(Adat!$AJ:$AJ,CONCATENATE($M$4,"055","(ÖNV)",L109),Adat!$E:$E)</f>
        <v>0</v>
      </c>
      <c r="I118" s="72">
        <f>SUMIF(Adat!$AJ:$AJ,CONCATENATE($M$4,"055","(ÁIG)",L109),Adat!$E:$E)</f>
        <v>0</v>
      </c>
    </row>
    <row r="119" spans="2:9" x14ac:dyDescent="0.25">
      <c r="B119" s="160">
        <v>8</v>
      </c>
      <c r="C119" s="78" t="s">
        <v>358</v>
      </c>
      <c r="D119" s="92" t="s">
        <v>1447</v>
      </c>
      <c r="E119" s="121">
        <f>E120+E122+E124</f>
        <v>0</v>
      </c>
      <c r="F119" s="121">
        <f>F120+F122+F124</f>
        <v>0</v>
      </c>
      <c r="G119" s="121">
        <f>G120+G122+G124</f>
        <v>0</v>
      </c>
      <c r="H119" s="121">
        <f>H120+H122+H124</f>
        <v>0</v>
      </c>
      <c r="I119" s="121">
        <f>I120+I122+I124</f>
        <v>0</v>
      </c>
    </row>
    <row r="120" spans="2:9" x14ac:dyDescent="0.25">
      <c r="B120" s="160">
        <v>9</v>
      </c>
      <c r="C120" s="305" t="s">
        <v>10</v>
      </c>
      <c r="D120" s="93" t="s">
        <v>322</v>
      </c>
      <c r="E120" s="72">
        <f>SUMIF(Adat!$AI:$AI,CONCATENATE(61,$M$4,"056",L109),Adat!$E:$E)</f>
        <v>0</v>
      </c>
      <c r="F120" s="72">
        <f>SUMIF(Adat!$AI:$AI,CONCATENATE(60,$M$4,"056",L109),Adat!$E:$E)+E120</f>
        <v>0</v>
      </c>
      <c r="G120" s="72">
        <f>SUMIF(Adat!$AJ:$AJ,CONCATENATE($M$4,"056","(KÖT)",L109),Adat!$E:$E)</f>
        <v>0</v>
      </c>
      <c r="H120" s="72">
        <f>SUMIF(Adat!$AJ:$AJ,CONCATENATE($M$4,"056","(ÖNV)",L109),Adat!$E:$E)</f>
        <v>0</v>
      </c>
      <c r="I120" s="72">
        <f>SUMIF(Adat!$AJ:$AJ,CONCATENATE($M$4,"056","(ÁIG)",L109),Adat!$E:$E)</f>
        <v>0</v>
      </c>
    </row>
    <row r="121" spans="2:9" x14ac:dyDescent="0.25">
      <c r="B121" s="160">
        <v>10</v>
      </c>
      <c r="C121" s="305" t="s">
        <v>10</v>
      </c>
      <c r="D121" s="93" t="s">
        <v>1448</v>
      </c>
      <c r="E121" s="72">
        <v>0</v>
      </c>
      <c r="F121" s="72">
        <f>SUM(G121:I121)</f>
        <v>0</v>
      </c>
      <c r="G121" s="72">
        <v>0</v>
      </c>
      <c r="H121" s="72">
        <v>0</v>
      </c>
      <c r="I121" s="72">
        <v>0</v>
      </c>
    </row>
    <row r="122" spans="2:9" x14ac:dyDescent="0.25">
      <c r="B122" s="160">
        <v>11</v>
      </c>
      <c r="C122" s="305" t="s">
        <v>12</v>
      </c>
      <c r="D122" s="93" t="s">
        <v>323</v>
      </c>
      <c r="E122" s="72">
        <f>SUMIF(Adat!$AI:$AI,CONCATENATE(61,$M$4,"057",L109),Adat!$E:$E)</f>
        <v>0</v>
      </c>
      <c r="F122" s="72">
        <f>SUMIF(Adat!$AI:$AI,CONCATENATE(60,$M$4,"057",L109),Adat!$E:$E)+E122</f>
        <v>0</v>
      </c>
      <c r="G122" s="72">
        <f>SUMIF(Adat!$AJ:$AJ,CONCATENATE($M$4,"057","(KÖT)",L109),Adat!$E:$E)</f>
        <v>0</v>
      </c>
      <c r="H122" s="72">
        <f>SUMIF(Adat!$AJ:$AJ,CONCATENATE($M$4,"057","(ÖNV)",L109),Adat!$E:$E)</f>
        <v>0</v>
      </c>
      <c r="I122" s="72">
        <f>SUMIF(Adat!$AJ:$AJ,CONCATENATE($M$4,"057","(ÁIG)",L109),Adat!$E:$E)</f>
        <v>0</v>
      </c>
    </row>
    <row r="123" spans="2:9" x14ac:dyDescent="0.25">
      <c r="B123" s="160">
        <v>12</v>
      </c>
      <c r="C123" s="305" t="s">
        <v>12</v>
      </c>
      <c r="D123" s="93" t="s">
        <v>1449</v>
      </c>
      <c r="E123" s="72">
        <v>0</v>
      </c>
      <c r="F123" s="72">
        <f>SUM(G123:I123)</f>
        <v>0</v>
      </c>
      <c r="G123" s="72">
        <v>0</v>
      </c>
      <c r="H123" s="72">
        <v>0</v>
      </c>
      <c r="I123" s="72">
        <v>0</v>
      </c>
    </row>
    <row r="124" spans="2:9" x14ac:dyDescent="0.25">
      <c r="B124" s="160">
        <v>13</v>
      </c>
      <c r="C124" s="305" t="s">
        <v>15</v>
      </c>
      <c r="D124" s="84" t="s">
        <v>324</v>
      </c>
      <c r="E124" s="72">
        <f>SUMIF(Adat!$AI:$AI,CONCATENATE(61,$M$4,"058",L109),Adat!$E:$E)</f>
        <v>0</v>
      </c>
      <c r="F124" s="72">
        <f>SUMIF(Adat!$AI:$AI,CONCATENATE(60,$M$4,"058",L109),Adat!$E:$E)+E124</f>
        <v>0</v>
      </c>
      <c r="G124" s="72">
        <f>SUMIF(Adat!$AJ:$AJ,CONCATENATE($M$4,"058","(KÖT)",L109),Adat!$E:$E)</f>
        <v>0</v>
      </c>
      <c r="H124" s="72">
        <f>SUMIF(Adat!$AJ:$AJ,CONCATENATE($M$4,"058","(ÖNV)",L109),Adat!$E:$E)</f>
        <v>0</v>
      </c>
      <c r="I124" s="72">
        <f>SUMIF(Adat!$AJ:$AJ,CONCATENATE($M$4,"058","(ÁIG)",L109),Adat!$E:$E)</f>
        <v>0</v>
      </c>
    </row>
    <row r="125" spans="2:9" x14ac:dyDescent="0.25">
      <c r="B125" s="160">
        <v>14</v>
      </c>
      <c r="C125" s="154" t="s">
        <v>364</v>
      </c>
      <c r="D125" s="86" t="s">
        <v>325</v>
      </c>
      <c r="E125" s="71">
        <f>SUMIF(Adat!$AI:$AI,CONCATENATE(61,$M$4,"059",L109),Adat!$E:$E)</f>
        <v>0</v>
      </c>
      <c r="F125" s="71">
        <f>SUMIF(Adat!$AI:$AI,CONCATENATE(60,$M$4,"059",L109),Adat!$E:$E)+E125</f>
        <v>0</v>
      </c>
      <c r="G125" s="71">
        <f>SUMIF(Adat!$AJ:$AJ,CONCATENATE($M$4,"059","(KÖT)",L109),Adat!$E:$E)</f>
        <v>0</v>
      </c>
      <c r="H125" s="71">
        <f>SUMIF(Adat!$AJ:$AJ,CONCATENATE($M$4,"059","(ÖNV)",L109),Adat!$E:$E)</f>
        <v>0</v>
      </c>
      <c r="I125" s="71">
        <f>SUMIF(Adat!$AJ:$AJ,CONCATENATE($M$4,"059","(ÁIG)",L109),Adat!$E:$E)</f>
        <v>0</v>
      </c>
    </row>
    <row r="126" spans="2:9" x14ac:dyDescent="0.25">
      <c r="B126" s="160">
        <v>15</v>
      </c>
      <c r="C126" s="154" t="s">
        <v>403</v>
      </c>
      <c r="D126" s="159" t="s">
        <v>497</v>
      </c>
      <c r="E126" s="121">
        <f>E113+E119+E125</f>
        <v>0</v>
      </c>
      <c r="F126" s="121">
        <f>F113+F119+F125</f>
        <v>0</v>
      </c>
      <c r="G126" s="121">
        <f>G113+G119+G125</f>
        <v>0</v>
      </c>
      <c r="H126" s="121">
        <f>H113+H119+H125</f>
        <v>0</v>
      </c>
      <c r="I126" s="121">
        <f>I113+I119+I125</f>
        <v>0</v>
      </c>
    </row>
    <row r="127" spans="2:9" ht="15.75" x14ac:dyDescent="0.25">
      <c r="B127" s="37"/>
      <c r="C127" s="529"/>
      <c r="D127" s="529"/>
      <c r="E127" s="529"/>
      <c r="F127" s="200"/>
      <c r="G127" s="200"/>
      <c r="H127" s="200"/>
      <c r="I127" s="200"/>
    </row>
    <row r="128" spans="2:9" ht="15.75" x14ac:dyDescent="0.25">
      <c r="B128" s="525" t="str">
        <f>$N$4</f>
        <v>Nagymaros Városi Könyvtár és Művelődési Ház</v>
      </c>
      <c r="C128" s="525"/>
      <c r="D128" s="525"/>
      <c r="E128" s="525"/>
      <c r="F128" s="525"/>
      <c r="G128" s="525"/>
      <c r="H128" s="525"/>
      <c r="I128" s="525"/>
    </row>
    <row r="129" spans="2:12" ht="15.75" x14ac:dyDescent="0.25">
      <c r="B129" s="525" t="s">
        <v>2660</v>
      </c>
      <c r="C129" s="525"/>
      <c r="D129" s="525"/>
      <c r="E129" s="525"/>
      <c r="F129" s="525"/>
      <c r="G129" s="525"/>
      <c r="H129" s="525"/>
      <c r="I129" s="525"/>
    </row>
    <row r="130" spans="2:12" ht="15.75" x14ac:dyDescent="0.25">
      <c r="B130" s="38"/>
      <c r="C130" s="156"/>
      <c r="D130" s="38"/>
      <c r="E130" s="140"/>
      <c r="F130" s="140"/>
      <c r="G130" s="140"/>
      <c r="H130" s="140"/>
      <c r="I130" s="140"/>
    </row>
    <row r="131" spans="2:12" s="10" customFormat="1" ht="15.75" customHeight="1" x14ac:dyDescent="0.25">
      <c r="B131" s="201" t="str">
        <f>CONCATENATE("5. Bevételi jogcímek"," - ",L131," részletező")</f>
        <v>5. Bevételi jogcímek -  részletező</v>
      </c>
      <c r="C131" s="101"/>
      <c r="D131" s="101"/>
      <c r="E131" s="101"/>
      <c r="F131" s="101"/>
      <c r="G131" s="198"/>
      <c r="H131" s="198"/>
      <c r="I131" s="198"/>
      <c r="L131" s="384"/>
    </row>
    <row r="132" spans="2:12" ht="15.75" x14ac:dyDescent="0.25">
      <c r="B132" s="38"/>
      <c r="C132" s="156"/>
      <c r="D132" s="38"/>
      <c r="E132" s="140"/>
      <c r="F132" s="140"/>
      <c r="G132" s="140"/>
      <c r="H132" s="140"/>
      <c r="I132" s="140"/>
    </row>
    <row r="133" spans="2:12" x14ac:dyDescent="0.25">
      <c r="B133" s="77"/>
      <c r="C133" s="77" t="s">
        <v>350</v>
      </c>
      <c r="D133" s="77" t="s">
        <v>351</v>
      </c>
      <c r="E133" s="77" t="s">
        <v>470</v>
      </c>
      <c r="F133" s="77" t="s">
        <v>471</v>
      </c>
      <c r="G133" s="77" t="s">
        <v>44</v>
      </c>
      <c r="H133" s="77" t="s">
        <v>42</v>
      </c>
      <c r="I133" s="77" t="s">
        <v>511</v>
      </c>
    </row>
    <row r="134" spans="2:12" ht="38.25" x14ac:dyDescent="0.25">
      <c r="B134" s="160">
        <v>1</v>
      </c>
      <c r="C134" s="154" t="s">
        <v>593</v>
      </c>
      <c r="D134" s="154" t="s">
        <v>488</v>
      </c>
      <c r="E134" s="163" t="str">
        <f>CONCATENATE(PAR!$H$3," évi
eredeti 
előirányzat")</f>
        <v>2025. évi
eredeti 
előirányzat</v>
      </c>
      <c r="F134" s="163" t="str">
        <f>CONCATENATE(PAR!$H$3," évi
módosított 
előirányzat")</f>
        <v>2025. évi
módosított 
előirányzat</v>
      </c>
      <c r="G134" s="78" t="s">
        <v>666</v>
      </c>
      <c r="H134" s="78" t="s">
        <v>667</v>
      </c>
      <c r="I134" s="78" t="s">
        <v>668</v>
      </c>
    </row>
    <row r="135" spans="2:12" x14ac:dyDescent="0.25">
      <c r="B135" s="160">
        <v>2</v>
      </c>
      <c r="C135" s="79" t="s">
        <v>30</v>
      </c>
      <c r="D135" s="79" t="s">
        <v>329</v>
      </c>
      <c r="E135" s="121">
        <f>SUM(E136:E148)</f>
        <v>0</v>
      </c>
      <c r="F135" s="121">
        <f t="shared" ref="F135:I135" si="8">SUM(F136:F148)</f>
        <v>0</v>
      </c>
      <c r="G135" s="121">
        <f t="shared" si="8"/>
        <v>0</v>
      </c>
      <c r="H135" s="121">
        <f t="shared" si="8"/>
        <v>0</v>
      </c>
      <c r="I135" s="121">
        <f t="shared" si="8"/>
        <v>0</v>
      </c>
    </row>
    <row r="136" spans="2:12" x14ac:dyDescent="0.2">
      <c r="B136" s="160">
        <v>3</v>
      </c>
      <c r="C136" s="305" t="s">
        <v>1309</v>
      </c>
      <c r="D136" s="82" t="s">
        <v>1356</v>
      </c>
      <c r="E136" s="72">
        <f>SUMIF(Adat!$AG:$AG,CONCATENATE(61,$M$4,"094011",L131),Adat!$E:$E)*-1</f>
        <v>0</v>
      </c>
      <c r="F136" s="72">
        <f>SUMIF(Adat!$AG:$AG,CONCATENATE(60,$M$4,"094011",L131),Adat!$E:$E)*-1+E136</f>
        <v>0</v>
      </c>
      <c r="G136" s="72">
        <f>SUMIF(Adat!$AH:$AH,CONCATENATE($M$4,"(KÖT)","094011",L131),Adat!$E:$E)*-1</f>
        <v>0</v>
      </c>
      <c r="H136" s="72">
        <f>SUMIF(Adat!$AH:$AH,CONCATENATE($M$4,"(ÖNV)","094011",L131),Adat!$E:$E)*-1</f>
        <v>0</v>
      </c>
      <c r="I136" s="72">
        <f>SUMIF(Adat!$AH:$AH,CONCATENATE($M$4,"(ÁIG)","094011",L131),Adat!$E:$E)*-1</f>
        <v>0</v>
      </c>
    </row>
    <row r="137" spans="2:12" x14ac:dyDescent="0.2">
      <c r="B137" s="160">
        <v>4</v>
      </c>
      <c r="C137" s="305" t="s">
        <v>1279</v>
      </c>
      <c r="D137" s="82" t="s">
        <v>1357</v>
      </c>
      <c r="E137" s="72">
        <f>SUMIF(Adat!$AG:$AG,CONCATENATE(61,$M$4,"094021",L131),Adat!$E:$E)*-1</f>
        <v>0</v>
      </c>
      <c r="F137" s="72">
        <f>SUMIF(Adat!$AG:$AG,CONCATENATE(60,$M$4,"094021",L131),Adat!$E:$E)*-1+E137</f>
        <v>0</v>
      </c>
      <c r="G137" s="72">
        <f>SUMIF(Adat!$AH:$AH,CONCATENATE($M$4,"(KÖT)","094021",L131),Adat!$E:$E)*-1</f>
        <v>0</v>
      </c>
      <c r="H137" s="72">
        <f>SUMIF(Adat!$AH:$AH,CONCATENATE($M$4,"(ÖNV)","094021",L131),Adat!$E:$E)*-1</f>
        <v>0</v>
      </c>
      <c r="I137" s="72">
        <f>SUMIF(Adat!$AH:$AH,CONCATENATE($M$4,"(ÁIG)","094021",L131),Adat!$E:$E)*-1</f>
        <v>0</v>
      </c>
    </row>
    <row r="138" spans="2:12" x14ac:dyDescent="0.2">
      <c r="B138" s="160">
        <v>5</v>
      </c>
      <c r="C138" s="305" t="s">
        <v>1272</v>
      </c>
      <c r="D138" s="82" t="s">
        <v>1358</v>
      </c>
      <c r="E138" s="72">
        <f>SUMIF(Adat!$AG:$AG,CONCATENATE(61,$M$4,"094031",L131),Adat!$E:$E)*-1</f>
        <v>0</v>
      </c>
      <c r="F138" s="72">
        <f>SUMIF(Adat!$AG:$AG,CONCATENATE(60,$M$4,"094031",L131),Adat!$E:$E)*-1+E138</f>
        <v>0</v>
      </c>
      <c r="G138" s="72">
        <f>SUMIF(Adat!$AH:$AH,CONCATENATE($M$4,"(KÖT)","094031",L131),Adat!$E:$E)*-1</f>
        <v>0</v>
      </c>
      <c r="H138" s="72">
        <f>SUMIF(Adat!$AH:$AH,CONCATENATE($M$4,"(ÖNV)","094031",L131),Adat!$E:$E)*-1</f>
        <v>0</v>
      </c>
      <c r="I138" s="72">
        <f>SUMIF(Adat!$AH:$AH,CONCATENATE($M$4,"(ÁIG)","094031",L131),Adat!$E:$E)*-1</f>
        <v>0</v>
      </c>
    </row>
    <row r="139" spans="2:12" x14ac:dyDescent="0.2">
      <c r="B139" s="160">
        <v>6</v>
      </c>
      <c r="C139" s="305" t="s">
        <v>1359</v>
      </c>
      <c r="D139" s="82" t="s">
        <v>1360</v>
      </c>
      <c r="E139" s="72">
        <f>SUMIF(Adat!$AG:$AG,CONCATENATE(61,$M$4,"094041",L131),Adat!$E:$E)*-1</f>
        <v>0</v>
      </c>
      <c r="F139" s="72">
        <f>SUMIF(Adat!$AG:$AG,CONCATENATE(60,$M$4,"094041",L131),Adat!$E:$E)*-1+E139</f>
        <v>0</v>
      </c>
      <c r="G139" s="72">
        <f>SUMIF(Adat!$AH:$AH,CONCATENATE($M$4,"(KÖT)","094041",L131),Adat!$E:$E)*-1</f>
        <v>0</v>
      </c>
      <c r="H139" s="72">
        <f>SUMIF(Adat!$AH:$AH,CONCATENATE($M$4,"(ÖNV)","094041",L131),Adat!$E:$E)*-1</f>
        <v>0</v>
      </c>
      <c r="I139" s="72">
        <f>SUMIF(Adat!$AH:$AH,CONCATENATE($M$4,"(ÁIG)","094041",L131),Adat!$E:$E)*-1</f>
        <v>0</v>
      </c>
    </row>
    <row r="140" spans="2:12" x14ac:dyDescent="0.2">
      <c r="B140" s="160">
        <v>7</v>
      </c>
      <c r="C140" s="305" t="s">
        <v>1261</v>
      </c>
      <c r="D140" s="82" t="s">
        <v>1361</v>
      </c>
      <c r="E140" s="72">
        <f>SUMIF(Adat!$AG:$AG,CONCATENATE(61,$M$4,"094051",L131),Adat!$E:$E)*-1</f>
        <v>0</v>
      </c>
      <c r="F140" s="72">
        <f>SUMIF(Adat!$AG:$AG,CONCATENATE(60,$M$4,"094051",L131),Adat!$E:$E)*-1+E140</f>
        <v>0</v>
      </c>
      <c r="G140" s="72">
        <f>SUMIF(Adat!$AH:$AH,CONCATENATE($M$4,"(KÖT)","094051",L131),Adat!$E:$E)*-1</f>
        <v>0</v>
      </c>
      <c r="H140" s="72">
        <f>SUMIF(Adat!$AH:$AH,CONCATENATE($M$4,"(ÖNV)","094051",L131),Adat!$E:$E)*-1</f>
        <v>0</v>
      </c>
      <c r="I140" s="72">
        <f>SUMIF(Adat!$AH:$AH,CONCATENATE($M$4,"(ÁIG)","094051",L131),Adat!$E:$E)*-1</f>
        <v>0</v>
      </c>
    </row>
    <row r="141" spans="2:12" x14ac:dyDescent="0.2">
      <c r="B141" s="160">
        <v>8</v>
      </c>
      <c r="C141" s="305" t="s">
        <v>1273</v>
      </c>
      <c r="D141" s="82" t="s">
        <v>1362</v>
      </c>
      <c r="E141" s="72">
        <f>SUMIF(Adat!$AG:$AG,CONCATENATE(61,$M$4,"094061",L131),Adat!$E:$E)*-1</f>
        <v>0</v>
      </c>
      <c r="F141" s="72">
        <f>SUMIF(Adat!$AG:$AG,CONCATENATE(60,$M$4,"094061",L131),Adat!$E:$E)*-1+E141</f>
        <v>0</v>
      </c>
      <c r="G141" s="72">
        <f>SUMIF(Adat!$AH:$AH,CONCATENATE($M$4,"(KÖT)","094061",L131),Adat!$E:$E)*-1</f>
        <v>0</v>
      </c>
      <c r="H141" s="72">
        <f>SUMIF(Adat!$AH:$AH,CONCATENATE($M$4,"(ÖNV)","094061",L131),Adat!$E:$E)*-1</f>
        <v>0</v>
      </c>
      <c r="I141" s="72">
        <f>SUMIF(Adat!$AH:$AH,CONCATENATE($M$4,"(ÁIG)","094061",L131),Adat!$E:$E)*-1</f>
        <v>0</v>
      </c>
    </row>
    <row r="142" spans="2:12" x14ac:dyDescent="0.2">
      <c r="B142" s="160">
        <v>9</v>
      </c>
      <c r="C142" s="305" t="s">
        <v>1363</v>
      </c>
      <c r="D142" s="82" t="s">
        <v>1364</v>
      </c>
      <c r="E142" s="72">
        <f>SUMIF(Adat!$AG:$AG,CONCATENATE(61,$M$4,"094071",L131),Adat!$E:$E)*-1</f>
        <v>0</v>
      </c>
      <c r="F142" s="72">
        <f>SUMIF(Adat!$AG:$AG,CONCATENATE(60,$M$4,"094071",L131),Adat!$E:$E)*-1+E142</f>
        <v>0</v>
      </c>
      <c r="G142" s="72">
        <f>SUMIF(Adat!$AH:$AH,CONCATENATE($M$4,"(KÖT)","094071",L131),Adat!$E:$E)*-1</f>
        <v>0</v>
      </c>
      <c r="H142" s="72">
        <f>SUMIF(Adat!$AH:$AH,CONCATENATE($M$4,"(ÖNV)","094071",L131),Adat!$E:$E)*-1</f>
        <v>0</v>
      </c>
      <c r="I142" s="72">
        <f>SUMIF(Adat!$AH:$AH,CONCATENATE($M$4,"(ÁIG)","094071",L131),Adat!$E:$E)*-1</f>
        <v>0</v>
      </c>
    </row>
    <row r="143" spans="2:12" x14ac:dyDescent="0.2">
      <c r="B143" s="160">
        <v>10</v>
      </c>
      <c r="C143" s="305" t="s">
        <v>1306</v>
      </c>
      <c r="D143" s="82" t="s">
        <v>1365</v>
      </c>
      <c r="E143" s="72">
        <f>SUMIF(Adat!$AG:$AG,CONCATENATE(61,$M$4,"0940811",L131),Adat!$E:$E)*-1</f>
        <v>0</v>
      </c>
      <c r="F143" s="72">
        <f>SUMIF(Adat!$AG:$AG,CONCATENATE(60,$M$4,"0940811",L131),Adat!$E:$E)*-1+E143</f>
        <v>0</v>
      </c>
      <c r="G143" s="72">
        <f>SUMIF(Adat!$AH:$AH,CONCATENATE($M$4,"(KÖT)","0940811",L131),Adat!$E:$E)*-1</f>
        <v>0</v>
      </c>
      <c r="H143" s="72">
        <f>SUMIF(Adat!$AH:$AH,CONCATENATE($M$4,"(ÖNV)","0940811",L131),Adat!$E:$E)*-1</f>
        <v>0</v>
      </c>
      <c r="I143" s="72">
        <f>SUMIF(Adat!$AH:$AH,CONCATENATE($M$4,"(ÁIG)","0940811",L131),Adat!$E:$E)*-1</f>
        <v>0</v>
      </c>
    </row>
    <row r="144" spans="2:12" x14ac:dyDescent="0.2">
      <c r="B144" s="160">
        <v>11</v>
      </c>
      <c r="C144" s="305" t="s">
        <v>1295</v>
      </c>
      <c r="D144" s="82" t="s">
        <v>1366</v>
      </c>
      <c r="E144" s="72">
        <f>SUMIF(Adat!$AG:$AG,CONCATENATE(61,$M$4,"0940821",L131),Adat!$E:$E)*-1</f>
        <v>0</v>
      </c>
      <c r="F144" s="72">
        <f>SUMIF(Adat!$AG:$AG,CONCATENATE(60,$M$4,"0940821",L131),Adat!$E:$E)*-1+E144</f>
        <v>0</v>
      </c>
      <c r="G144" s="72">
        <f>SUMIF(Adat!$AH:$AH,CONCATENATE($M$4,"(KÖT)","0940821",L131),Adat!$E:$E)*-1</f>
        <v>0</v>
      </c>
      <c r="H144" s="72">
        <f>SUMIF(Adat!$AH:$AH,CONCATENATE($M$4,"(ÖNV)","0940821",L131),Adat!$E:$E)*-1</f>
        <v>0</v>
      </c>
      <c r="I144" s="72">
        <f>SUMIF(Adat!$AH:$AH,CONCATENATE($M$4,"(ÁIG)","0940821",L131),Adat!$E:$E)*-1</f>
        <v>0</v>
      </c>
    </row>
    <row r="145" spans="2:9" x14ac:dyDescent="0.2">
      <c r="B145" s="160">
        <v>12</v>
      </c>
      <c r="C145" s="305" t="s">
        <v>1367</v>
      </c>
      <c r="D145" s="82" t="s">
        <v>1368</v>
      </c>
      <c r="E145" s="72">
        <f>SUMIF(Adat!$AG:$AG,CONCATENATE(61,$M$4,"0940911",L131),Adat!$E:$E)*-1</f>
        <v>0</v>
      </c>
      <c r="F145" s="72">
        <f>SUMIF(Adat!$AG:$AG,CONCATENATE(60,$M$4,"0940911",L131),Adat!$E:$E)*-1+E145</f>
        <v>0</v>
      </c>
      <c r="G145" s="72">
        <f>SUMIF(Adat!$AH:$AH,CONCATENATE($M$4,"(KÖT)","0940911",L131),Adat!$E:$E)*-1</f>
        <v>0</v>
      </c>
      <c r="H145" s="72">
        <f>SUMIF(Adat!$AH:$AH,CONCATENATE($M$4,"(ÖNV)","0940911",L131),Adat!$E:$E)*-1</f>
        <v>0</v>
      </c>
      <c r="I145" s="72">
        <f>SUMIF(Adat!$AH:$AH,CONCATENATE($M$4,"(ÁIG)","0940911",L131),Adat!$E:$E)*-1</f>
        <v>0</v>
      </c>
    </row>
    <row r="146" spans="2:9" x14ac:dyDescent="0.2">
      <c r="B146" s="160">
        <v>13</v>
      </c>
      <c r="C146" s="305" t="s">
        <v>1369</v>
      </c>
      <c r="D146" s="82" t="s">
        <v>1370</v>
      </c>
      <c r="E146" s="72">
        <f>SUMIF(Adat!$AG:$AG,CONCATENATE(61,$M$4,"0940921",L131),Adat!$E:$E)*-1</f>
        <v>0</v>
      </c>
      <c r="F146" s="72">
        <f>SUMIF(Adat!$AG:$AG,CONCATENATE(60,$M$4,"0940921",L131),Adat!$E:$E)*-1+E146</f>
        <v>0</v>
      </c>
      <c r="G146" s="72">
        <f>SUMIF(Adat!$AH:$AH,CONCATENATE($M$4,"(KÖT)","0940921",L131),Adat!$E:$E)*-1</f>
        <v>0</v>
      </c>
      <c r="H146" s="72">
        <f>SUMIF(Adat!$AH:$AH,CONCATENATE($M$4,"(ÖNV)","0940921",L131),Adat!$E:$E)*-1</f>
        <v>0</v>
      </c>
      <c r="I146" s="72">
        <f>SUMIF(Adat!$AH:$AH,CONCATENATE($M$4,"(ÁIG)","0940921",L131),Adat!$E:$E)*-1</f>
        <v>0</v>
      </c>
    </row>
    <row r="147" spans="2:9" x14ac:dyDescent="0.2">
      <c r="B147" s="160">
        <v>14</v>
      </c>
      <c r="C147" s="305" t="s">
        <v>1296</v>
      </c>
      <c r="D147" s="82" t="s">
        <v>1371</v>
      </c>
      <c r="E147" s="72">
        <f>SUMIF(Adat!$AG:$AG,CONCATENATE(61,$M$4,"094101",L131),Adat!$E:$E)*-1</f>
        <v>0</v>
      </c>
      <c r="F147" s="72">
        <f>SUMIF(Adat!$AG:$AG,CONCATENATE(60,$M$4,"094101",L131),Adat!$E:$E)*-1+E147</f>
        <v>0</v>
      </c>
      <c r="G147" s="72">
        <f>SUMIF(Adat!$AH:$AH,CONCATENATE($M$4,"(KÖT)","094101",L131),Adat!$E:$E)*-1</f>
        <v>0</v>
      </c>
      <c r="H147" s="72">
        <f>SUMIF(Adat!$AH:$AH,CONCATENATE($M$4,"(ÖNV)","094101",L131),Adat!$E:$E)*-1</f>
        <v>0</v>
      </c>
      <c r="I147" s="72">
        <f>SUMIF(Adat!$AH:$AH,CONCATENATE($M$4,"(ÁIG)","094101",L131),Adat!$E:$E)*-1</f>
        <v>0</v>
      </c>
    </row>
    <row r="148" spans="2:9" x14ac:dyDescent="0.25">
      <c r="B148" s="160">
        <v>15</v>
      </c>
      <c r="C148" s="305" t="s">
        <v>1297</v>
      </c>
      <c r="D148" s="84" t="s">
        <v>1372</v>
      </c>
      <c r="E148" s="72">
        <f>SUMIF(Adat!$AG:$AG,CONCATENATE(61,$M$4,"094111",L131),Adat!$E:$E)*-1</f>
        <v>0</v>
      </c>
      <c r="F148" s="72">
        <f>SUMIF(Adat!$AG:$AG,CONCATENATE(60,$M$4,"094111",L131),Adat!$E:$E)*-1+E148</f>
        <v>0</v>
      </c>
      <c r="G148" s="72">
        <f>SUMIF(Adat!$AH:$AH,CONCATENATE($M$4,"(KÖT)","094111",L131),Adat!$E:$E)*-1</f>
        <v>0</v>
      </c>
      <c r="H148" s="72">
        <f>SUMIF(Adat!$AH:$AH,CONCATENATE($M$4,"(ÖNV)","094111",L131),Adat!$E:$E)*-1</f>
        <v>0</v>
      </c>
      <c r="I148" s="72">
        <f>SUMIF(Adat!$AH:$AH,CONCATENATE($M$4,"(ÁIG)","094111",L131),Adat!$E:$E)*-1</f>
        <v>0</v>
      </c>
    </row>
    <row r="149" spans="2:9" x14ac:dyDescent="0.25">
      <c r="B149" s="160">
        <v>16</v>
      </c>
      <c r="C149" s="78" t="s">
        <v>1328</v>
      </c>
      <c r="D149" s="85" t="s">
        <v>437</v>
      </c>
      <c r="E149" s="121">
        <f>SUM(E150:E152)</f>
        <v>0</v>
      </c>
      <c r="F149" s="121">
        <f>SUM(F150:F152)</f>
        <v>0</v>
      </c>
      <c r="G149" s="121">
        <f>SUM(G150:G152)</f>
        <v>0</v>
      </c>
      <c r="H149" s="121">
        <f>SUM(H150:H152)</f>
        <v>0</v>
      </c>
      <c r="I149" s="121">
        <f>SUM(I150:I152)</f>
        <v>0</v>
      </c>
    </row>
    <row r="150" spans="2:9" x14ac:dyDescent="0.2">
      <c r="B150" s="160">
        <v>17</v>
      </c>
      <c r="C150" s="305" t="s">
        <v>1329</v>
      </c>
      <c r="D150" s="82" t="s">
        <v>1330</v>
      </c>
      <c r="E150" s="72">
        <f>SUMIF(Adat!$AG:$AG,CONCATENATE(61,$M$4,"09121",L131),Adat!$E:$E)*-1</f>
        <v>0</v>
      </c>
      <c r="F150" s="72">
        <f>SUMIF(Adat!$AG:$AG,CONCATENATE(60,$M$4,"09121",L131),Adat!$E:$E)*-1+E150</f>
        <v>0</v>
      </c>
      <c r="G150" s="72">
        <f>SUMIF(Adat!$AH:$AH,CONCATENATE($M$4,"(KÖT)","09121",L131),Adat!$E:$E)*-1</f>
        <v>0</v>
      </c>
      <c r="H150" s="72">
        <f>SUMIF(Adat!$AH:$AH,CONCATENATE($M$4,"(ÖNV)","09121",L131),Adat!$E:$E)*-1</f>
        <v>0</v>
      </c>
      <c r="I150" s="72">
        <f>SUMIF(Adat!$AH:$AH,CONCATENATE($M$4,"(ÁIG)","09121",L131),Adat!$E:$E)*-1</f>
        <v>0</v>
      </c>
    </row>
    <row r="151" spans="2:9" x14ac:dyDescent="0.2">
      <c r="B151" s="160">
        <v>18</v>
      </c>
      <c r="C151" s="305" t="s">
        <v>1335</v>
      </c>
      <c r="D151" s="82" t="s">
        <v>1336</v>
      </c>
      <c r="E151" s="72">
        <f>SUMIF(Adat!$AG:$AG,CONCATENATE(61,$M$4,"09151",L131),Adat!$E:$E)*-1</f>
        <v>0</v>
      </c>
      <c r="F151" s="72">
        <f>SUMIF(Adat!$AG:$AG,CONCATENATE(60,$M$4,"09151",L131),Adat!$E:$E)*-1+E151</f>
        <v>0</v>
      </c>
      <c r="G151" s="72">
        <f>SUMIF(Adat!$AH:$AH,CONCATENATE($M$4,"(KÖT)","09151",L131),Adat!$E:$E)*-1</f>
        <v>0</v>
      </c>
      <c r="H151" s="72">
        <f>SUMIF(Adat!$AH:$AH,CONCATENATE($M$4,"(ÖNV)","09151",L131),Adat!$E:$E)*-1</f>
        <v>0</v>
      </c>
      <c r="I151" s="72">
        <f>SUMIF(Adat!$AH:$AH,CONCATENATE($M$4,"(ÁIG)","09151",L131),Adat!$E:$E)*-1</f>
        <v>0</v>
      </c>
    </row>
    <row r="152" spans="2:9" x14ac:dyDescent="0.2">
      <c r="B152" s="160">
        <v>19</v>
      </c>
      <c r="C152" s="305" t="s">
        <v>1278</v>
      </c>
      <c r="D152" s="82" t="s">
        <v>1337</v>
      </c>
      <c r="E152" s="72">
        <f>SUMIF(Adat!$AG:$AG,CONCATENATE(61,$M$4,"09161",L131),Adat!$E:$E)*-1</f>
        <v>0</v>
      </c>
      <c r="F152" s="72">
        <f>SUMIF(Adat!$AG:$AG,CONCATENATE(60,$M$4,"09161",L131),Adat!$E:$E)*-1+E152</f>
        <v>0</v>
      </c>
      <c r="G152" s="72">
        <f>SUMIF(Adat!$AH:$AH,CONCATENATE($M$4,"(KÖT)","09161",L131),Adat!$E:$E)*-1</f>
        <v>0</v>
      </c>
      <c r="H152" s="72">
        <f>SUMIF(Adat!$AH:$AH,CONCATENATE($M$4,"(ÖNV)","09161",L131),Adat!$E:$E)*-1</f>
        <v>0</v>
      </c>
      <c r="I152" s="72">
        <f>SUMIF(Adat!$AH:$AH,CONCATENATE($M$4,"(ÁIG)","09161",L131),Adat!$E:$E)*-1</f>
        <v>0</v>
      </c>
    </row>
    <row r="153" spans="2:9" x14ac:dyDescent="0.25">
      <c r="B153" s="160">
        <v>20</v>
      </c>
      <c r="C153" s="79" t="s">
        <v>27</v>
      </c>
      <c r="D153" s="79" t="s">
        <v>328</v>
      </c>
      <c r="E153" s="71">
        <f>SUMIF(Adat!$AI:$AI,CONCATENATE(61,$M$4,"093",L131),Adat!$E:$E)*-1</f>
        <v>0</v>
      </c>
      <c r="F153" s="71">
        <f>SUMIF(Adat!$AI:$AI,CONCATENATE(60,$M$4,"093",L131),Adat!$E:$E)*-1+E153</f>
        <v>0</v>
      </c>
      <c r="G153" s="71">
        <f>SUMIF(Adat!$AJ:$AJ,CONCATENATE($M$4,"093","(KÖT)",L131),Adat!$E:$E)*-1</f>
        <v>0</v>
      </c>
      <c r="H153" s="71">
        <f>SUMIF(Adat!$AJ:$AJ,CONCATENATE($M$4,"093","(ÖNV)",L131),Adat!$E:$E)*-1</f>
        <v>0</v>
      </c>
      <c r="I153" s="71">
        <f>SUMIF(Adat!$AJ:$AJ,CONCATENATE($M$4,"093","(ÁIG)",L131),Adat!$E:$E)*-1</f>
        <v>0</v>
      </c>
    </row>
    <row r="154" spans="2:9" x14ac:dyDescent="0.25">
      <c r="B154" s="160">
        <v>21</v>
      </c>
      <c r="C154" s="79" t="s">
        <v>24</v>
      </c>
      <c r="D154" s="79" t="s">
        <v>449</v>
      </c>
      <c r="E154" s="121">
        <f>SUM(E155:E157)</f>
        <v>0</v>
      </c>
      <c r="F154" s="121">
        <f t="shared" ref="F154:I154" si="9">SUM(F155:F157)</f>
        <v>0</v>
      </c>
      <c r="G154" s="121">
        <f t="shared" si="9"/>
        <v>0</v>
      </c>
      <c r="H154" s="121">
        <f t="shared" si="9"/>
        <v>0</v>
      </c>
      <c r="I154" s="121">
        <f t="shared" si="9"/>
        <v>0</v>
      </c>
    </row>
    <row r="155" spans="2:9" x14ac:dyDescent="0.2">
      <c r="B155" s="160">
        <v>22</v>
      </c>
      <c r="C155" s="305" t="s">
        <v>1339</v>
      </c>
      <c r="D155" s="82" t="s">
        <v>1340</v>
      </c>
      <c r="E155" s="72">
        <f>SUMIF(Adat!$AG:$AG,CONCATENATE(61,$M$4,"09211",L131),Adat!$E:$E)*-1</f>
        <v>0</v>
      </c>
      <c r="F155" s="72">
        <f>SUMIF(Adat!$AG:$AG,CONCATENATE(60,$M$4,"09211",L131),Adat!$E:$E)*-1+E155</f>
        <v>0</v>
      </c>
      <c r="G155" s="72">
        <f>SUMIF(Adat!$AH:$AH,CONCATENATE($M$4,"(KÖT)","09211",L131),Adat!$E:$E)*-1</f>
        <v>0</v>
      </c>
      <c r="H155" s="72">
        <f>SUMIF(Adat!$AH:$AH,CONCATENATE($M$4,"(ÖNV)","09211",L131),Adat!$E:$E)*-1</f>
        <v>0</v>
      </c>
      <c r="I155" s="72">
        <f>SUMIF(Adat!$AH:$AH,CONCATENATE($M$4,"(ÁIG)","09211",L131),Adat!$E:$E)*-1</f>
        <v>0</v>
      </c>
    </row>
    <row r="156" spans="2:9" x14ac:dyDescent="0.2">
      <c r="B156" s="160">
        <v>23</v>
      </c>
      <c r="C156" s="305" t="s">
        <v>1345</v>
      </c>
      <c r="D156" s="82" t="s">
        <v>1346</v>
      </c>
      <c r="E156" s="72">
        <f>SUMIF(Adat!$AG:$AG,CONCATENATE(61,$M$4,"09241",L131),Adat!$E:$E)*-1</f>
        <v>0</v>
      </c>
      <c r="F156" s="72">
        <f>SUMIF(Adat!$AG:$AG,CONCATENATE(60,$M$4,"09241",L131),Adat!$E:$E)*-1+E156</f>
        <v>0</v>
      </c>
      <c r="G156" s="72">
        <f>SUMIF(Adat!$AH:$AH,CONCATENATE($M$4,"(KÖT)","09241",L131),Adat!$E:$E)*-1</f>
        <v>0</v>
      </c>
      <c r="H156" s="72">
        <f>SUMIF(Adat!$AH:$AH,CONCATENATE($M$4,"(ÖNV)","09241",L131),Adat!$E:$E)*-1</f>
        <v>0</v>
      </c>
      <c r="I156" s="72">
        <f>SUMIF(Adat!$AH:$AH,CONCATENATE($M$4,"(ÁIG)","09241",L131),Adat!$E:$E)*-1</f>
        <v>0</v>
      </c>
    </row>
    <row r="157" spans="2:9" x14ac:dyDescent="0.2">
      <c r="B157" s="160">
        <v>24</v>
      </c>
      <c r="C157" s="305" t="s">
        <v>1255</v>
      </c>
      <c r="D157" s="82" t="s">
        <v>1347</v>
      </c>
      <c r="E157" s="72">
        <f>SUMIF(Adat!$AG:$AG,CONCATENATE(61,$M$4,"09251",L131),Adat!$E:$E)*-1</f>
        <v>0</v>
      </c>
      <c r="F157" s="72">
        <f>SUMIF(Adat!$AG:$AG,CONCATENATE(60,$M$4,"09251",L131),Adat!$E:$E)*-1+E157</f>
        <v>0</v>
      </c>
      <c r="G157" s="72">
        <f>SUMIF(Adat!$AH:$AH,CONCATENATE($M$4,"(KÖT)","09251",L131),Adat!$E:$E)*-1</f>
        <v>0</v>
      </c>
      <c r="H157" s="72">
        <f>SUMIF(Adat!$AH:$AH,CONCATENATE($M$4,"(ÖNV)","09251",L131),Adat!$E:$E)*-1</f>
        <v>0</v>
      </c>
      <c r="I157" s="72">
        <f>SUMIF(Adat!$AH:$AH,CONCATENATE($M$4,"(ÁIG)","09251",L131),Adat!$E:$E)*-1</f>
        <v>0</v>
      </c>
    </row>
    <row r="158" spans="2:9" x14ac:dyDescent="0.25">
      <c r="B158" s="160">
        <v>25</v>
      </c>
      <c r="C158" s="79" t="s">
        <v>33</v>
      </c>
      <c r="D158" s="79" t="s">
        <v>330</v>
      </c>
      <c r="E158" s="121">
        <f>SUM(E159:E161)</f>
        <v>0</v>
      </c>
      <c r="F158" s="121">
        <f t="shared" ref="F158:I158" si="10">SUM(F159:F161)</f>
        <v>0</v>
      </c>
      <c r="G158" s="121">
        <f t="shared" si="10"/>
        <v>0</v>
      </c>
      <c r="H158" s="121">
        <f t="shared" si="10"/>
        <v>0</v>
      </c>
      <c r="I158" s="121">
        <f t="shared" si="10"/>
        <v>0</v>
      </c>
    </row>
    <row r="159" spans="2:9" x14ac:dyDescent="0.2">
      <c r="B159" s="160">
        <v>26</v>
      </c>
      <c r="C159" s="305" t="s">
        <v>1373</v>
      </c>
      <c r="D159" s="82" t="s">
        <v>1374</v>
      </c>
      <c r="E159" s="72">
        <f>SUMIF(Adat!$AG:$AG,CONCATENATE(61,$M$4,"09511",L131),Adat!$E:$E)*-1</f>
        <v>0</v>
      </c>
      <c r="F159" s="72">
        <f>SUMIF(Adat!$AG:$AG,CONCATENATE(60,$M$4,"09511",L131),Adat!$E:$E)*-1+E159</f>
        <v>0</v>
      </c>
      <c r="G159" s="72">
        <f>SUMIF(Adat!$AH:$AH,CONCATENATE($M$4,"(KÖT)","09511",L131),Adat!$E:$E)*-1</f>
        <v>0</v>
      </c>
      <c r="H159" s="72">
        <f>SUMIF(Adat!$AH:$AH,CONCATENATE($M$4,"(ÖNV)","09511",L131),Adat!$E:$E)*-1</f>
        <v>0</v>
      </c>
      <c r="I159" s="72">
        <f>SUMIF(Adat!$AH:$AH,CONCATENATE($M$4,"(ÁIG)","09511",L131),Adat!$E:$E)*-1</f>
        <v>0</v>
      </c>
    </row>
    <row r="160" spans="2:9" x14ac:dyDescent="0.2">
      <c r="B160" s="160">
        <v>27</v>
      </c>
      <c r="C160" s="305" t="s">
        <v>1294</v>
      </c>
      <c r="D160" s="82" t="s">
        <v>1375</v>
      </c>
      <c r="E160" s="72">
        <f>SUMIF(Adat!$AG:$AG,CONCATENATE(61,$M$4,"09521",L131),Adat!$E:$E)*-1</f>
        <v>0</v>
      </c>
      <c r="F160" s="72">
        <f>SUMIF(Adat!$AG:$AG,CONCATENATE(60,$M$4,"09521",L131),Adat!$E:$E)*-1+E160</f>
        <v>0</v>
      </c>
      <c r="G160" s="72">
        <f>SUMIF(Adat!$AH:$AH,CONCATENATE($M$4,"(KÖT)","09521",L131),Adat!$E:$E)*-1</f>
        <v>0</v>
      </c>
      <c r="H160" s="72">
        <f>SUMIF(Adat!$AH:$AH,CONCATENATE($M$4,"(ÖNV)","09521",L131),Adat!$E:$E)*-1</f>
        <v>0</v>
      </c>
      <c r="I160" s="72">
        <f>SUMIF(Adat!$AH:$AH,CONCATENATE($M$4,"(ÁIG)","09521",L131),Adat!$E:$E)*-1</f>
        <v>0</v>
      </c>
    </row>
    <row r="161" spans="2:12" x14ac:dyDescent="0.2">
      <c r="B161" s="160">
        <v>28</v>
      </c>
      <c r="C161" s="305" t="s">
        <v>1376</v>
      </c>
      <c r="D161" s="82" t="s">
        <v>1377</v>
      </c>
      <c r="E161" s="72">
        <f>SUMIF(Adat!$AG:$AG,CONCATENATE(61,$M$4,"09531",L131),Adat!$E:$E)*-1</f>
        <v>0</v>
      </c>
      <c r="F161" s="72">
        <f>SUMIF(Adat!$AG:$AG,CONCATENATE(60,$M$4,"09531",L131),Adat!$E:$E)*-1+E161</f>
        <v>0</v>
      </c>
      <c r="G161" s="72">
        <f>SUMIF(Adat!$AH:$AH,CONCATENATE($M$4,"(KÖT)","09531",L131),Adat!$E:$E)*-1</f>
        <v>0</v>
      </c>
      <c r="H161" s="72">
        <f>SUMIF(Adat!$AH:$AH,CONCATENATE($M$4,"(ÖNV)","09531",L131),Adat!$E:$E)*-1</f>
        <v>0</v>
      </c>
      <c r="I161" s="72">
        <f>SUMIF(Adat!$AH:$AH,CONCATENATE($M$4,"(ÁIG)","09531",L131),Adat!$E:$E)*-1</f>
        <v>0</v>
      </c>
    </row>
    <row r="162" spans="2:12" x14ac:dyDescent="0.25">
      <c r="B162" s="160">
        <v>29</v>
      </c>
      <c r="C162" s="79" t="s">
        <v>36</v>
      </c>
      <c r="D162" s="79" t="s">
        <v>331</v>
      </c>
      <c r="E162" s="71">
        <f>SUMIF(Adat!$AI:$AI,CONCATENATE(61,$M$4,"096",L131),Adat!$E:$E)*-1</f>
        <v>0</v>
      </c>
      <c r="F162" s="71">
        <f>SUMIF(Adat!$AI:$AI,CONCATENATE(60,$M$4,"096",L131),Adat!$E:$E)*-1+E162</f>
        <v>0</v>
      </c>
      <c r="G162" s="71">
        <f>SUMIF(Adat!$AJ:$AJ,CONCATENATE($M$4,"096","(KÖT)",L131),Adat!$E:$E)*-1</f>
        <v>0</v>
      </c>
      <c r="H162" s="71">
        <f>SUMIF(Adat!$AJ:$AJ,CONCATENATE($M$4,"096","(ÖNV)",L131),Adat!$E:$E)*-1</f>
        <v>0</v>
      </c>
      <c r="I162" s="71">
        <f>SUMIF(Adat!$AJ:$AJ,CONCATENATE($M$4,"096","(ÁIG)",L131),Adat!$E:$E)*-1</f>
        <v>0</v>
      </c>
    </row>
    <row r="163" spans="2:12" x14ac:dyDescent="0.25">
      <c r="B163" s="160">
        <v>30</v>
      </c>
      <c r="C163" s="79" t="s">
        <v>38</v>
      </c>
      <c r="D163" s="85" t="s">
        <v>332</v>
      </c>
      <c r="E163" s="71">
        <f>SUMIF(Adat!$AI:$AI,CONCATENATE(61,$M$4,"097",L131),Adat!$E:$E)*-1</f>
        <v>0</v>
      </c>
      <c r="F163" s="71">
        <f>SUMIF(Adat!$AI:$AI,CONCATENATE(60,$M$4,"097",L131),Adat!$E:$E)*-1+E163</f>
        <v>0</v>
      </c>
      <c r="G163" s="71">
        <f>SUMIF(Adat!$AJ:$AJ,CONCATENATE($M$4,"097","(KÖT)",L131),Adat!$E:$E)*-1</f>
        <v>0</v>
      </c>
      <c r="H163" s="71">
        <f>SUMIF(Adat!$AJ:$AJ,CONCATENATE($M$4,"097","(ÖNV)",L131),Adat!$E:$E)*-1</f>
        <v>0</v>
      </c>
      <c r="I163" s="71">
        <f>SUMIF(Adat!$AJ:$AJ,CONCATENATE($M$4,"097","(ÁIG)",L131),Adat!$E:$E)*-1</f>
        <v>0</v>
      </c>
    </row>
    <row r="164" spans="2:12" x14ac:dyDescent="0.25">
      <c r="B164" s="160">
        <v>31</v>
      </c>
      <c r="C164" s="154" t="s">
        <v>352</v>
      </c>
      <c r="D164" s="86" t="s">
        <v>1500</v>
      </c>
      <c r="E164" s="121">
        <f>E135+E149+E153+E154+E158+E162+E163</f>
        <v>0</v>
      </c>
      <c r="F164" s="121">
        <f>F135+F149+F153+F154+F158+F162+F163</f>
        <v>0</v>
      </c>
      <c r="G164" s="121">
        <f>G135+G149+G153+G154+G158+G162+G163</f>
        <v>0</v>
      </c>
      <c r="H164" s="121">
        <f>H135+H149+H153+H154+H158+H162+H163</f>
        <v>0</v>
      </c>
      <c r="I164" s="121">
        <f>I135+I149+I153+I154+I158+I162+I163</f>
        <v>0</v>
      </c>
    </row>
    <row r="165" spans="2:12" x14ac:dyDescent="0.25">
      <c r="B165" s="160">
        <v>32</v>
      </c>
      <c r="C165" s="154" t="s">
        <v>358</v>
      </c>
      <c r="D165" s="86" t="s">
        <v>333</v>
      </c>
      <c r="E165" s="121">
        <f>SUM(E166:E168)</f>
        <v>0</v>
      </c>
      <c r="F165" s="121">
        <f t="shared" ref="F165:I165" si="11">SUM(F166:F168)</f>
        <v>0</v>
      </c>
      <c r="G165" s="121">
        <f t="shared" si="11"/>
        <v>0</v>
      </c>
      <c r="H165" s="121">
        <f t="shared" si="11"/>
        <v>0</v>
      </c>
      <c r="I165" s="121">
        <f t="shared" si="11"/>
        <v>0</v>
      </c>
    </row>
    <row r="166" spans="2:12" x14ac:dyDescent="0.2">
      <c r="B166" s="160">
        <v>33</v>
      </c>
      <c r="C166" s="305" t="s">
        <v>1274</v>
      </c>
      <c r="D166" s="82" t="s">
        <v>1419</v>
      </c>
      <c r="E166" s="72">
        <f>SUMIF(Adat!$AG:$AG,CONCATENATE(61,$M$4,"0981311",L131),Adat!$E:$E)*-1</f>
        <v>0</v>
      </c>
      <c r="F166" s="72">
        <f>SUMIF(Adat!$AG:$AG,CONCATENATE(60,$M$4,"0981311",L131),Adat!$E:$E)*-1+E166</f>
        <v>0</v>
      </c>
      <c r="G166" s="72">
        <f>SUMIF(Adat!$AH:$AH,CONCATENATE($M$4,"(KÖT)","0981311",L131),Adat!$E:$E)*-1</f>
        <v>0</v>
      </c>
      <c r="H166" s="72">
        <f>SUMIF(Adat!$AH:$AH,CONCATENATE($M$4,"(ÖNV)","0981311",L131),Adat!$E:$E)*-1</f>
        <v>0</v>
      </c>
      <c r="I166" s="72">
        <f>SUMIF(Adat!$AH:$AH,CONCATENATE($M$4,"(ÁIG)","0981311",L131),Adat!$E:$E)*-1</f>
        <v>0</v>
      </c>
    </row>
    <row r="167" spans="2:12" x14ac:dyDescent="0.25">
      <c r="B167" s="160">
        <v>34</v>
      </c>
      <c r="C167" s="305" t="s">
        <v>1420</v>
      </c>
      <c r="D167" s="84" t="s">
        <v>1421</v>
      </c>
      <c r="E167" s="72">
        <f>SUMIF(Adat!$AG:$AG,CONCATENATE(61,$M$4,"0981321",L131),Adat!$E:$E)*-1</f>
        <v>0</v>
      </c>
      <c r="F167" s="72">
        <f>SUMIF(Adat!$AG:$AG,CONCATENATE(60,$M$4,"0981321",L131),Adat!$E:$E)*-1+E167</f>
        <v>0</v>
      </c>
      <c r="G167" s="72">
        <f>SUMIF(Adat!$AH:$AH,CONCATENATE($M$4,"(KÖT)","0981321",L131),Adat!$E:$E)*-1</f>
        <v>0</v>
      </c>
      <c r="H167" s="72">
        <f>SUMIF(Adat!$AH:$AH,CONCATENATE($M$4,"(ÖNV)","0981321",L131),Adat!$E:$E)*-1</f>
        <v>0</v>
      </c>
      <c r="I167" s="72">
        <f>SUMIF(Adat!$AH:$AH,CONCATENATE($M$4,"(ÁIG)","0981321",L131),Adat!$E:$E)*-1</f>
        <v>0</v>
      </c>
    </row>
    <row r="168" spans="2:12" x14ac:dyDescent="0.25">
      <c r="B168" s="160">
        <v>35</v>
      </c>
      <c r="C168" s="319" t="s">
        <v>1275</v>
      </c>
      <c r="D168" s="84" t="s">
        <v>1501</v>
      </c>
      <c r="E168" s="72">
        <f>SUMIF(Adat!$AG:$AG,CONCATENATE(61,$M$4,"098161",L131),Adat!$E:$E)*-1</f>
        <v>0</v>
      </c>
      <c r="F168" s="72">
        <f>SUMIF(Adat!$AG:$AG,CONCATENATE(60,$M$4,"098161",L131),Adat!$E:$E)*-1+E168</f>
        <v>0</v>
      </c>
      <c r="G168" s="72">
        <f>SUMIF(Adat!$AH:$AH,CONCATENATE($M$4,"(KÖT)","098161",L131),Adat!$E:$E)*-1</f>
        <v>0</v>
      </c>
      <c r="H168" s="72">
        <f>SUMIF(Adat!$AH:$AH,CONCATENATE($M$4,"(ÖNV)","098161",L131),Adat!$E:$E)*-1</f>
        <v>0</v>
      </c>
      <c r="I168" s="72">
        <f>SUMIF(Adat!$AH:$AH,CONCATENATE($M$4,"(ÁIG)","098161",L131),Adat!$E:$E)*-1</f>
        <v>0</v>
      </c>
    </row>
    <row r="169" spans="2:12" x14ac:dyDescent="0.25">
      <c r="B169" s="160">
        <v>36</v>
      </c>
      <c r="C169" s="154" t="s">
        <v>364</v>
      </c>
      <c r="D169" s="159" t="s">
        <v>1502</v>
      </c>
      <c r="E169" s="121">
        <f>+E164+E165</f>
        <v>0</v>
      </c>
      <c r="F169" s="121">
        <f>+F164+F165</f>
        <v>0</v>
      </c>
      <c r="G169" s="121">
        <f>+G164+G165</f>
        <v>0</v>
      </c>
      <c r="H169" s="121">
        <f>+H164+H165</f>
        <v>0</v>
      </c>
      <c r="I169" s="121">
        <f>+I164+I165</f>
        <v>0</v>
      </c>
    </row>
    <row r="170" spans="2:12" ht="15.75" x14ac:dyDescent="0.25">
      <c r="B170" s="38"/>
      <c r="C170" s="156"/>
      <c r="D170" s="38"/>
      <c r="E170" s="140"/>
      <c r="F170" s="140"/>
      <c r="G170" s="140"/>
      <c r="H170" s="140"/>
      <c r="I170" s="140"/>
    </row>
    <row r="171" spans="2:12" s="10" customFormat="1" ht="15.75" customHeight="1" x14ac:dyDescent="0.25">
      <c r="B171" s="201" t="str">
        <f>CONCATENATE("6. Kiadási jogcímek"," - ",L171," részletező")</f>
        <v>6. Kiadási jogcímek -  részletező</v>
      </c>
      <c r="C171" s="101"/>
      <c r="D171" s="101"/>
      <c r="E171" s="101"/>
      <c r="F171" s="101"/>
      <c r="G171" s="198"/>
      <c r="H171" s="198"/>
      <c r="I171" s="198"/>
      <c r="L171" s="384"/>
    </row>
    <row r="172" spans="2:12" ht="15.75" x14ac:dyDescent="0.25">
      <c r="B172" s="38"/>
      <c r="C172" s="156"/>
      <c r="D172" s="38"/>
      <c r="E172" s="140"/>
      <c r="F172" s="140"/>
      <c r="G172" s="140"/>
      <c r="H172" s="140"/>
      <c r="I172" s="140"/>
    </row>
    <row r="173" spans="2:12" x14ac:dyDescent="0.25">
      <c r="B173" s="77"/>
      <c r="C173" s="77" t="s">
        <v>350</v>
      </c>
      <c r="D173" s="77" t="s">
        <v>351</v>
      </c>
      <c r="E173" s="77" t="s">
        <v>470</v>
      </c>
      <c r="F173" s="77" t="s">
        <v>471</v>
      </c>
      <c r="G173" s="77" t="s">
        <v>44</v>
      </c>
      <c r="H173" s="77" t="s">
        <v>42</v>
      </c>
      <c r="I173" s="77" t="s">
        <v>511</v>
      </c>
    </row>
    <row r="174" spans="2:12" ht="38.25" x14ac:dyDescent="0.25">
      <c r="B174" s="160">
        <v>1</v>
      </c>
      <c r="C174" s="154" t="s">
        <v>593</v>
      </c>
      <c r="D174" s="154" t="s">
        <v>488</v>
      </c>
      <c r="E174" s="163" t="str">
        <f>CONCATENATE(PAR!$H$3," évi
eredeti 
előirányzat")</f>
        <v>2025. évi
eredeti 
előirányzat</v>
      </c>
      <c r="F174" s="163" t="str">
        <f>CONCATENATE(PAR!$H$3," évi
módosított 
előirányzat")</f>
        <v>2025. évi
módosított 
előirányzat</v>
      </c>
      <c r="G174" s="78" t="s">
        <v>666</v>
      </c>
      <c r="H174" s="78" t="s">
        <v>667</v>
      </c>
      <c r="I174" s="78" t="s">
        <v>668</v>
      </c>
    </row>
    <row r="175" spans="2:12" x14ac:dyDescent="0.25">
      <c r="B175" s="160">
        <v>2</v>
      </c>
      <c r="C175" s="78" t="s">
        <v>352</v>
      </c>
      <c r="D175" s="92" t="s">
        <v>1444</v>
      </c>
      <c r="E175" s="121">
        <f>SUM(E176:E180)</f>
        <v>0</v>
      </c>
      <c r="F175" s="121">
        <f>SUM(F176:F180)</f>
        <v>0</v>
      </c>
      <c r="G175" s="121">
        <f>SUM(G176:G180)</f>
        <v>0</v>
      </c>
      <c r="H175" s="121">
        <f>SUM(H176:H180)</f>
        <v>0</v>
      </c>
      <c r="I175" s="121">
        <f>SUM(I176:I180)</f>
        <v>0</v>
      </c>
    </row>
    <row r="176" spans="2:12" x14ac:dyDescent="0.25">
      <c r="B176" s="160">
        <v>3</v>
      </c>
      <c r="C176" s="305" t="s">
        <v>315</v>
      </c>
      <c r="D176" s="93" t="s">
        <v>342</v>
      </c>
      <c r="E176" s="72">
        <f>SUMIF(Adat!$AI:$AI,CONCATENATE(61,$M$4,"051",L171),Adat!$E:$E)</f>
        <v>0</v>
      </c>
      <c r="F176" s="72">
        <f>SUMIF(Adat!$AI:$AI,CONCATENATE(60,$M$4,"051",L171),Adat!$E:$E)+E176</f>
        <v>0</v>
      </c>
      <c r="G176" s="72">
        <f>SUMIF(Adat!$AJ:$AJ,CONCATENATE($M$4,"051","(KÖT)",L171),Adat!$E:$E)</f>
        <v>0</v>
      </c>
      <c r="H176" s="72">
        <f>SUMIF(Adat!$AJ:$AJ,CONCATENATE($M$4,"051","(ÖNV)",L171),Adat!$E:$E)</f>
        <v>0</v>
      </c>
      <c r="I176" s="72">
        <f>SUMIF(Adat!$AJ:$AJ,CONCATENATE($M$4,"051","(ÁIG)",L171),Adat!$E:$E)</f>
        <v>0</v>
      </c>
    </row>
    <row r="177" spans="2:9" x14ac:dyDescent="0.25">
      <c r="B177" s="160">
        <v>4</v>
      </c>
      <c r="C177" s="305" t="s">
        <v>317</v>
      </c>
      <c r="D177" s="93" t="s">
        <v>395</v>
      </c>
      <c r="E177" s="72">
        <f>SUMIF(Adat!$AI:$AI,CONCATENATE(61,$M$4,"052",L171),Adat!$E:$E)</f>
        <v>0</v>
      </c>
      <c r="F177" s="72">
        <f>SUMIF(Adat!$AI:$AI,CONCATENATE(60,$M$4,"052",L171),Adat!$E:$E)+E177</f>
        <v>0</v>
      </c>
      <c r="G177" s="72">
        <f>SUMIF(Adat!$AJ:$AJ,CONCATENATE($M$4,"052","(KÖT)",L171),Adat!$E:$E)</f>
        <v>0</v>
      </c>
      <c r="H177" s="72">
        <f>SUMIF(Adat!$AJ:$AJ,CONCATENATE($M$4,"052","(ÖNV)",L171),Adat!$E:$E)</f>
        <v>0</v>
      </c>
      <c r="I177" s="72">
        <f>SUMIF(Adat!$AJ:$AJ,CONCATENATE($M$4,"052","(ÁIG)",L171),Adat!$E:$E)</f>
        <v>0</v>
      </c>
    </row>
    <row r="178" spans="2:9" x14ac:dyDescent="0.25">
      <c r="B178" s="160">
        <v>5</v>
      </c>
      <c r="C178" s="305" t="s">
        <v>4</v>
      </c>
      <c r="D178" s="93" t="s">
        <v>344</v>
      </c>
      <c r="E178" s="72">
        <f>SUMIF(Adat!$AI:$AI,CONCATENATE(61,$M$4,"053",L171),Adat!$E:$E)</f>
        <v>0</v>
      </c>
      <c r="F178" s="72">
        <f>SUMIF(Adat!$AI:$AI,CONCATENATE(60,$M$4,"053",L171),Adat!$E:$E)+E178</f>
        <v>0</v>
      </c>
      <c r="G178" s="72">
        <f>SUMIF(Adat!$AJ:$AJ,CONCATENATE($M$4,"053","(KÖT)",L171),Adat!$E:$E)</f>
        <v>0</v>
      </c>
      <c r="H178" s="72">
        <f>SUMIF(Adat!$AJ:$AJ,CONCATENATE($M$4,"053","(ÖNV)",L171),Adat!$E:$E)</f>
        <v>0</v>
      </c>
      <c r="I178" s="72">
        <f>SUMIF(Adat!$AJ:$AJ,CONCATENATE($M$4,"053","(ÁIG)",L171),Adat!$E:$E)</f>
        <v>0</v>
      </c>
    </row>
    <row r="179" spans="2:9" x14ac:dyDescent="0.25">
      <c r="B179" s="160">
        <v>6</v>
      </c>
      <c r="C179" s="305" t="s">
        <v>6</v>
      </c>
      <c r="D179" s="93" t="s">
        <v>345</v>
      </c>
      <c r="E179" s="72">
        <f>SUMIF(Adat!$AI:$AI,CONCATENATE(61,$M$4,"054",L171),Adat!$E:$E)</f>
        <v>0</v>
      </c>
      <c r="F179" s="72">
        <f>SUMIF(Adat!$AI:$AI,CONCATENATE(60,$M$4,"054",L171),Adat!$E:$E)+E179</f>
        <v>0</v>
      </c>
      <c r="G179" s="72">
        <f>SUMIF(Adat!$AJ:$AJ,CONCATENATE($M$4,"054","(KÖT)",L171),Adat!$E:$E)</f>
        <v>0</v>
      </c>
      <c r="H179" s="72">
        <f>SUMIF(Adat!$AJ:$AJ,CONCATENATE($M$4,"054","(ÖNV)",L171),Adat!$E:$E)</f>
        <v>0</v>
      </c>
      <c r="I179" s="72">
        <f>SUMIF(Adat!$AJ:$AJ,CONCATENATE($M$4,"054","(ÁIG)",L171),Adat!$E:$E)</f>
        <v>0</v>
      </c>
    </row>
    <row r="180" spans="2:9" x14ac:dyDescent="0.25">
      <c r="B180" s="160">
        <v>7</v>
      </c>
      <c r="C180" s="305" t="s">
        <v>8</v>
      </c>
      <c r="D180" s="93" t="s">
        <v>321</v>
      </c>
      <c r="E180" s="72">
        <f>SUMIF(Adat!$AI:$AI,CONCATENATE(61,$M$4,"055",L171),Adat!$E:$E)</f>
        <v>0</v>
      </c>
      <c r="F180" s="72">
        <f>SUMIF(Adat!$AI:$AI,CONCATENATE(60,$M$4,"055",L171),Adat!$E:$E)+E180</f>
        <v>0</v>
      </c>
      <c r="G180" s="72">
        <f>SUMIF(Adat!$AJ:$AJ,CONCATENATE($M$4,"055","(KÖT)",L171),Adat!$E:$E)</f>
        <v>0</v>
      </c>
      <c r="H180" s="72">
        <f>SUMIF(Adat!$AJ:$AJ,CONCATENATE($M$4,"055","(ÖNV)",L171),Adat!$E:$E)</f>
        <v>0</v>
      </c>
      <c r="I180" s="72">
        <f>SUMIF(Adat!$AJ:$AJ,CONCATENATE($M$4,"055","(ÁIG)",L171),Adat!$E:$E)</f>
        <v>0</v>
      </c>
    </row>
    <row r="181" spans="2:9" x14ac:dyDescent="0.25">
      <c r="B181" s="160">
        <v>8</v>
      </c>
      <c r="C181" s="78" t="s">
        <v>358</v>
      </c>
      <c r="D181" s="92" t="s">
        <v>1447</v>
      </c>
      <c r="E181" s="121">
        <f>E182+E184+E186</f>
        <v>0</v>
      </c>
      <c r="F181" s="121">
        <f>F182+F184+F186</f>
        <v>0</v>
      </c>
      <c r="G181" s="121">
        <f>G182+G184+G186</f>
        <v>0</v>
      </c>
      <c r="H181" s="121">
        <f>H182+H184+H186</f>
        <v>0</v>
      </c>
      <c r="I181" s="121">
        <f>I182+I184+I186</f>
        <v>0</v>
      </c>
    </row>
    <row r="182" spans="2:9" x14ac:dyDescent="0.25">
      <c r="B182" s="160">
        <v>9</v>
      </c>
      <c r="C182" s="305" t="s">
        <v>10</v>
      </c>
      <c r="D182" s="93" t="s">
        <v>322</v>
      </c>
      <c r="E182" s="72">
        <f>SUMIF(Adat!$AI:$AI,CONCATENATE(61,$M$4,"056",L171),Adat!$E:$E)</f>
        <v>0</v>
      </c>
      <c r="F182" s="72">
        <f>SUMIF(Adat!$AI:$AI,CONCATENATE(60,$M$4,"056",L171),Adat!$E:$E)+E182</f>
        <v>0</v>
      </c>
      <c r="G182" s="72">
        <f>SUMIF(Adat!$AJ:$AJ,CONCATENATE($M$4,"056","(KÖT)",L171),Adat!$E:$E)</f>
        <v>0</v>
      </c>
      <c r="H182" s="72">
        <f>SUMIF(Adat!$AJ:$AJ,CONCATENATE($M$4,"056","(ÖNV)",L171),Adat!$E:$E)</f>
        <v>0</v>
      </c>
      <c r="I182" s="72">
        <f>SUMIF(Adat!$AJ:$AJ,CONCATENATE($M$4,"056","(ÁIG)",L171),Adat!$E:$E)</f>
        <v>0</v>
      </c>
    </row>
    <row r="183" spans="2:9" x14ac:dyDescent="0.25">
      <c r="B183" s="160">
        <v>10</v>
      </c>
      <c r="C183" s="305" t="s">
        <v>10</v>
      </c>
      <c r="D183" s="93" t="s">
        <v>1448</v>
      </c>
      <c r="E183" s="72">
        <v>0</v>
      </c>
      <c r="F183" s="72">
        <f>SUM(G183:I183)</f>
        <v>0</v>
      </c>
      <c r="G183" s="72">
        <v>0</v>
      </c>
      <c r="H183" s="72">
        <v>0</v>
      </c>
      <c r="I183" s="72">
        <v>0</v>
      </c>
    </row>
    <row r="184" spans="2:9" x14ac:dyDescent="0.25">
      <c r="B184" s="160">
        <v>11</v>
      </c>
      <c r="C184" s="305" t="s">
        <v>12</v>
      </c>
      <c r="D184" s="93" t="s">
        <v>323</v>
      </c>
      <c r="E184" s="72">
        <f>SUMIF(Adat!$AI:$AI,CONCATENATE(61,$M$4,"057",L171),Adat!$E:$E)</f>
        <v>0</v>
      </c>
      <c r="F184" s="72">
        <f>SUMIF(Adat!$AI:$AI,CONCATENATE(60,$M$4,"057",L171),Adat!$E:$E)+E184</f>
        <v>0</v>
      </c>
      <c r="G184" s="72">
        <f>SUMIF(Adat!$AJ:$AJ,CONCATENATE($M$4,"057","(KÖT)",L171),Adat!$E:$E)</f>
        <v>0</v>
      </c>
      <c r="H184" s="72">
        <f>SUMIF(Adat!$AJ:$AJ,CONCATENATE($M$4,"057","(ÖNV)",L171),Adat!$E:$E)</f>
        <v>0</v>
      </c>
      <c r="I184" s="72">
        <f>SUMIF(Adat!$AJ:$AJ,CONCATENATE($M$4,"057","(ÁIG)",L171),Adat!$E:$E)</f>
        <v>0</v>
      </c>
    </row>
    <row r="185" spans="2:9" x14ac:dyDescent="0.25">
      <c r="B185" s="160">
        <v>12</v>
      </c>
      <c r="C185" s="305" t="s">
        <v>12</v>
      </c>
      <c r="D185" s="93" t="s">
        <v>1449</v>
      </c>
      <c r="E185" s="72">
        <v>0</v>
      </c>
      <c r="F185" s="72">
        <f>SUM(G185:I185)</f>
        <v>0</v>
      </c>
      <c r="G185" s="72">
        <v>0</v>
      </c>
      <c r="H185" s="72">
        <v>0</v>
      </c>
      <c r="I185" s="72">
        <v>0</v>
      </c>
    </row>
    <row r="186" spans="2:9" x14ac:dyDescent="0.25">
      <c r="B186" s="160">
        <v>13</v>
      </c>
      <c r="C186" s="305" t="s">
        <v>15</v>
      </c>
      <c r="D186" s="84" t="s">
        <v>324</v>
      </c>
      <c r="E186" s="72">
        <f>SUMIF(Adat!$AI:$AI,CONCATENATE(61,$M$4,"058",L171),Adat!$E:$E)</f>
        <v>0</v>
      </c>
      <c r="F186" s="72">
        <f>SUMIF(Adat!$AI:$AI,CONCATENATE(60,$M$4,"058",L171),Adat!$E:$E)+E186</f>
        <v>0</v>
      </c>
      <c r="G186" s="72">
        <f>SUMIF(Adat!$AJ:$AJ,CONCATENATE($M$4,"058","(KÖT)",L171),Adat!$E:$E)</f>
        <v>0</v>
      </c>
      <c r="H186" s="72">
        <f>SUMIF(Adat!$AJ:$AJ,CONCATENATE($M$4,"058","(ÖNV)",L171),Adat!$E:$E)</f>
        <v>0</v>
      </c>
      <c r="I186" s="72">
        <f>SUMIF(Adat!$AJ:$AJ,CONCATENATE($M$4,"058","(ÁIG)",L171),Adat!$E:$E)</f>
        <v>0</v>
      </c>
    </row>
    <row r="187" spans="2:9" x14ac:dyDescent="0.25">
      <c r="B187" s="160">
        <v>14</v>
      </c>
      <c r="C187" s="154" t="s">
        <v>364</v>
      </c>
      <c r="D187" s="86" t="s">
        <v>325</v>
      </c>
      <c r="E187" s="71">
        <f>SUMIF(Adat!$AI:$AI,CONCATENATE(61,$M$4,"059",L171),Adat!$E:$E)</f>
        <v>0</v>
      </c>
      <c r="F187" s="71">
        <f>SUMIF(Adat!$AI:$AI,CONCATENATE(60,$M$4,"059",L171),Adat!$E:$E)+E187</f>
        <v>0</v>
      </c>
      <c r="G187" s="71">
        <f>SUMIF(Adat!$AJ:$AJ,CONCATENATE($M$4,"059","(KÖT)",L171),Adat!$E:$E)</f>
        <v>0</v>
      </c>
      <c r="H187" s="71">
        <f>SUMIF(Adat!$AJ:$AJ,CONCATENATE($M$4,"059","(ÖNV)",L171),Adat!$E:$E)</f>
        <v>0</v>
      </c>
      <c r="I187" s="71">
        <f>SUMIF(Adat!$AJ:$AJ,CONCATENATE($M$4,"059","(ÁIG)",L171),Adat!$E:$E)</f>
        <v>0</v>
      </c>
    </row>
    <row r="188" spans="2:9" x14ac:dyDescent="0.25">
      <c r="B188" s="160">
        <v>15</v>
      </c>
      <c r="C188" s="154" t="s">
        <v>403</v>
      </c>
      <c r="D188" s="159" t="s">
        <v>497</v>
      </c>
      <c r="E188" s="121">
        <f>E175+E181+E187</f>
        <v>0</v>
      </c>
      <c r="F188" s="121">
        <f>F175+F181+F187</f>
        <v>0</v>
      </c>
      <c r="G188" s="121">
        <f>G175+G181+G187</f>
        <v>0</v>
      </c>
      <c r="H188" s="121">
        <f>H175+H181+H187</f>
        <v>0</v>
      </c>
      <c r="I188" s="121">
        <f>I175+I181+I187</f>
        <v>0</v>
      </c>
    </row>
    <row r="189" spans="2:9" ht="15.75" x14ac:dyDescent="0.25">
      <c r="B189" s="37"/>
      <c r="C189" s="529"/>
      <c r="D189" s="529"/>
      <c r="E189" s="529"/>
      <c r="F189" s="200"/>
      <c r="G189" s="200"/>
      <c r="H189" s="200"/>
      <c r="I189" s="200"/>
    </row>
    <row r="190" spans="2:9" ht="15.75" x14ac:dyDescent="0.25">
      <c r="B190" s="525" t="str">
        <f>$N$4</f>
        <v>Nagymaros Városi Könyvtár és Művelődési Ház</v>
      </c>
      <c r="C190" s="525"/>
      <c r="D190" s="525"/>
      <c r="E190" s="525"/>
      <c r="F190" s="525"/>
      <c r="G190" s="525"/>
      <c r="H190" s="525"/>
      <c r="I190" s="525"/>
    </row>
    <row r="191" spans="2:9" ht="15.75" x14ac:dyDescent="0.25">
      <c r="B191" s="525" t="s">
        <v>2660</v>
      </c>
      <c r="C191" s="525"/>
      <c r="D191" s="525"/>
      <c r="E191" s="525"/>
      <c r="F191" s="525"/>
      <c r="G191" s="525"/>
      <c r="H191" s="525"/>
      <c r="I191" s="525"/>
    </row>
    <row r="192" spans="2:9" ht="15.75" x14ac:dyDescent="0.25">
      <c r="B192" s="38"/>
      <c r="C192" s="156"/>
      <c r="D192" s="38"/>
      <c r="E192" s="140"/>
      <c r="F192" s="140"/>
      <c r="G192" s="140"/>
      <c r="H192" s="140"/>
      <c r="I192" s="140"/>
    </row>
    <row r="193" spans="2:12" s="10" customFormat="1" ht="15.75" customHeight="1" x14ac:dyDescent="0.25">
      <c r="B193" s="201" t="str">
        <f>CONCATENATE("7. Bevételi jogcímek"," - ",L193," részletező")</f>
        <v>7. Bevételi jogcímek -  részletező</v>
      </c>
      <c r="C193" s="101"/>
      <c r="D193" s="101"/>
      <c r="E193" s="101"/>
      <c r="F193" s="101"/>
      <c r="G193" s="198"/>
      <c r="H193" s="198"/>
      <c r="I193" s="198"/>
      <c r="L193" s="384"/>
    </row>
    <row r="194" spans="2:12" ht="15.75" x14ac:dyDescent="0.25">
      <c r="B194" s="38"/>
      <c r="C194" s="156"/>
      <c r="D194" s="38"/>
      <c r="E194" s="140"/>
      <c r="F194" s="140"/>
      <c r="G194" s="140"/>
      <c r="H194" s="140"/>
      <c r="I194" s="140"/>
    </row>
    <row r="195" spans="2:12" x14ac:dyDescent="0.25">
      <c r="B195" s="77"/>
      <c r="C195" s="77" t="s">
        <v>350</v>
      </c>
      <c r="D195" s="77" t="s">
        <v>351</v>
      </c>
      <c r="E195" s="77" t="s">
        <v>470</v>
      </c>
      <c r="F195" s="77" t="s">
        <v>471</v>
      </c>
      <c r="G195" s="77" t="s">
        <v>44</v>
      </c>
      <c r="H195" s="77" t="s">
        <v>42</v>
      </c>
      <c r="I195" s="77" t="s">
        <v>511</v>
      </c>
    </row>
    <row r="196" spans="2:12" ht="38.25" x14ac:dyDescent="0.25">
      <c r="B196" s="160">
        <v>1</v>
      </c>
      <c r="C196" s="154" t="s">
        <v>593</v>
      </c>
      <c r="D196" s="154" t="s">
        <v>488</v>
      </c>
      <c r="E196" s="163" t="str">
        <f>CONCATENATE(PAR!$H$3," évi
eredeti 
előirányzat")</f>
        <v>2025. évi
eredeti 
előirányzat</v>
      </c>
      <c r="F196" s="163" t="str">
        <f>CONCATENATE(PAR!$H$3," évi
módosított 
előirányzat")</f>
        <v>2025. évi
módosított 
előirányzat</v>
      </c>
      <c r="G196" s="78" t="s">
        <v>666</v>
      </c>
      <c r="H196" s="78" t="s">
        <v>667</v>
      </c>
      <c r="I196" s="78" t="s">
        <v>668</v>
      </c>
    </row>
    <row r="197" spans="2:12" x14ac:dyDescent="0.25">
      <c r="B197" s="160">
        <v>2</v>
      </c>
      <c r="C197" s="79" t="s">
        <v>30</v>
      </c>
      <c r="D197" s="79" t="s">
        <v>329</v>
      </c>
      <c r="E197" s="121">
        <f>SUM(E198:E210)</f>
        <v>0</v>
      </c>
      <c r="F197" s="121">
        <f t="shared" ref="F197:I197" si="12">SUM(F198:F210)</f>
        <v>0</v>
      </c>
      <c r="G197" s="121">
        <f t="shared" si="12"/>
        <v>0</v>
      </c>
      <c r="H197" s="121">
        <f t="shared" si="12"/>
        <v>0</v>
      </c>
      <c r="I197" s="121">
        <f t="shared" si="12"/>
        <v>0</v>
      </c>
    </row>
    <row r="198" spans="2:12" x14ac:dyDescent="0.2">
      <c r="B198" s="160">
        <v>3</v>
      </c>
      <c r="C198" s="305" t="s">
        <v>1309</v>
      </c>
      <c r="D198" s="82" t="s">
        <v>1356</v>
      </c>
      <c r="E198" s="72">
        <f>SUMIF(Adat!$AG:$AG,CONCATENATE(61,$M$4,"094011",L193),Adat!$E:$E)*-1</f>
        <v>0</v>
      </c>
      <c r="F198" s="72">
        <f>SUMIF(Adat!$AG:$AG,CONCATENATE(60,$M$4,"094011",L193),Adat!$E:$E)*-1+E198</f>
        <v>0</v>
      </c>
      <c r="G198" s="72">
        <f>SUMIF(Adat!$AH:$AH,CONCATENATE($M$4,"(KÖT)","094011",L193),Adat!$E:$E)*-1</f>
        <v>0</v>
      </c>
      <c r="H198" s="72">
        <f>SUMIF(Adat!$AH:$AH,CONCATENATE($M$4,"(ÖNV)","094011",L193),Adat!$E:$E)*-1</f>
        <v>0</v>
      </c>
      <c r="I198" s="72">
        <f>SUMIF(Adat!$AH:$AH,CONCATENATE($M$4,"(ÁIG)","094011",L193),Adat!$E:$E)*-1</f>
        <v>0</v>
      </c>
    </row>
    <row r="199" spans="2:12" x14ac:dyDescent="0.2">
      <c r="B199" s="160">
        <v>4</v>
      </c>
      <c r="C199" s="305" t="s">
        <v>1279</v>
      </c>
      <c r="D199" s="82" t="s">
        <v>1357</v>
      </c>
      <c r="E199" s="72">
        <f>SUMIF(Adat!$AG:$AG,CONCATENATE(61,$M$4,"094021",L193),Adat!$E:$E)*-1</f>
        <v>0</v>
      </c>
      <c r="F199" s="72">
        <f>SUMIF(Adat!$AG:$AG,CONCATENATE(60,$M$4,"094021",L193),Adat!$E:$E)*-1+E199</f>
        <v>0</v>
      </c>
      <c r="G199" s="72">
        <f>SUMIF(Adat!$AH:$AH,CONCATENATE($M$4,"(KÖT)","094021",L193),Adat!$E:$E)*-1</f>
        <v>0</v>
      </c>
      <c r="H199" s="72">
        <f>SUMIF(Adat!$AH:$AH,CONCATENATE($M$4,"(ÖNV)","094021",L193),Adat!$E:$E)*-1</f>
        <v>0</v>
      </c>
      <c r="I199" s="72">
        <f>SUMIF(Adat!$AH:$AH,CONCATENATE($M$4,"(ÁIG)","094021",L193),Adat!$E:$E)*-1</f>
        <v>0</v>
      </c>
    </row>
    <row r="200" spans="2:12" x14ac:dyDescent="0.2">
      <c r="B200" s="160">
        <v>5</v>
      </c>
      <c r="C200" s="305" t="s">
        <v>1272</v>
      </c>
      <c r="D200" s="82" t="s">
        <v>1358</v>
      </c>
      <c r="E200" s="72">
        <f>SUMIF(Adat!$AG:$AG,CONCATENATE(61,$M$4,"094031",L193),Adat!$E:$E)*-1</f>
        <v>0</v>
      </c>
      <c r="F200" s="72">
        <f>SUMIF(Adat!$AG:$AG,CONCATENATE(60,$M$4,"094031",L193),Adat!$E:$E)*-1+E200</f>
        <v>0</v>
      </c>
      <c r="G200" s="72">
        <f>SUMIF(Adat!$AH:$AH,CONCATENATE($M$4,"(KÖT)","094031",L193),Adat!$E:$E)*-1</f>
        <v>0</v>
      </c>
      <c r="H200" s="72">
        <f>SUMIF(Adat!$AH:$AH,CONCATENATE($M$4,"(ÖNV)","094031",L193),Adat!$E:$E)*-1</f>
        <v>0</v>
      </c>
      <c r="I200" s="72">
        <f>SUMIF(Adat!$AH:$AH,CONCATENATE($M$4,"(ÁIG)","094031",L193),Adat!$E:$E)*-1</f>
        <v>0</v>
      </c>
    </row>
    <row r="201" spans="2:12" x14ac:dyDescent="0.2">
      <c r="B201" s="160">
        <v>6</v>
      </c>
      <c r="C201" s="305" t="s">
        <v>1359</v>
      </c>
      <c r="D201" s="82" t="s">
        <v>1360</v>
      </c>
      <c r="E201" s="72">
        <f>SUMIF(Adat!$AG:$AG,CONCATENATE(61,$M$4,"094041",L193),Adat!$E:$E)*-1</f>
        <v>0</v>
      </c>
      <c r="F201" s="72">
        <f>SUMIF(Adat!$AG:$AG,CONCATENATE(60,$M$4,"094041",L193),Adat!$E:$E)*-1+E201</f>
        <v>0</v>
      </c>
      <c r="G201" s="72">
        <f>SUMIF(Adat!$AH:$AH,CONCATENATE($M$4,"(KÖT)","094041",L193),Adat!$E:$E)*-1</f>
        <v>0</v>
      </c>
      <c r="H201" s="72">
        <f>SUMIF(Adat!$AH:$AH,CONCATENATE($M$4,"(ÖNV)","094041",L193),Adat!$E:$E)*-1</f>
        <v>0</v>
      </c>
      <c r="I201" s="72">
        <f>SUMIF(Adat!$AH:$AH,CONCATENATE($M$4,"(ÁIG)","094041",L193),Adat!$E:$E)*-1</f>
        <v>0</v>
      </c>
    </row>
    <row r="202" spans="2:12" x14ac:dyDescent="0.2">
      <c r="B202" s="160">
        <v>7</v>
      </c>
      <c r="C202" s="305" t="s">
        <v>1261</v>
      </c>
      <c r="D202" s="82" t="s">
        <v>1361</v>
      </c>
      <c r="E202" s="72">
        <f>SUMIF(Adat!$AG:$AG,CONCATENATE(61,$M$4,"094051",L193),Adat!$E:$E)*-1</f>
        <v>0</v>
      </c>
      <c r="F202" s="72">
        <f>SUMIF(Adat!$AG:$AG,CONCATENATE(60,$M$4,"094051",L193),Adat!$E:$E)*-1+E202</f>
        <v>0</v>
      </c>
      <c r="G202" s="72">
        <f>SUMIF(Adat!$AH:$AH,CONCATENATE($M$4,"(KÖT)","094051",L193),Adat!$E:$E)*-1</f>
        <v>0</v>
      </c>
      <c r="H202" s="72">
        <f>SUMIF(Adat!$AH:$AH,CONCATENATE($M$4,"(ÖNV)","094051",L193),Adat!$E:$E)*-1</f>
        <v>0</v>
      </c>
      <c r="I202" s="72">
        <f>SUMIF(Adat!$AH:$AH,CONCATENATE($M$4,"(ÁIG)","094051",L193),Adat!$E:$E)*-1</f>
        <v>0</v>
      </c>
    </row>
    <row r="203" spans="2:12" x14ac:dyDescent="0.2">
      <c r="B203" s="160">
        <v>8</v>
      </c>
      <c r="C203" s="305" t="s">
        <v>1273</v>
      </c>
      <c r="D203" s="82" t="s">
        <v>1362</v>
      </c>
      <c r="E203" s="72">
        <f>SUMIF(Adat!$AG:$AG,CONCATENATE(61,$M$4,"094061",L193),Adat!$E:$E)*-1</f>
        <v>0</v>
      </c>
      <c r="F203" s="72">
        <f>SUMIF(Adat!$AG:$AG,CONCATENATE(60,$M$4,"094061",L193),Adat!$E:$E)*-1+E203</f>
        <v>0</v>
      </c>
      <c r="G203" s="72">
        <f>SUMIF(Adat!$AH:$AH,CONCATENATE($M$4,"(KÖT)","094061",L193),Adat!$E:$E)*-1</f>
        <v>0</v>
      </c>
      <c r="H203" s="72">
        <f>SUMIF(Adat!$AH:$AH,CONCATENATE($M$4,"(ÖNV)","094061",L193),Adat!$E:$E)*-1</f>
        <v>0</v>
      </c>
      <c r="I203" s="72">
        <f>SUMIF(Adat!$AH:$AH,CONCATENATE($M$4,"(ÁIG)","094061",L193),Adat!$E:$E)*-1</f>
        <v>0</v>
      </c>
    </row>
    <row r="204" spans="2:12" x14ac:dyDescent="0.2">
      <c r="B204" s="160">
        <v>9</v>
      </c>
      <c r="C204" s="305" t="s">
        <v>1363</v>
      </c>
      <c r="D204" s="82" t="s">
        <v>1364</v>
      </c>
      <c r="E204" s="72">
        <f>SUMIF(Adat!$AG:$AG,CONCATENATE(61,$M$4,"094071",L193),Adat!$E:$E)*-1</f>
        <v>0</v>
      </c>
      <c r="F204" s="72">
        <f>SUMIF(Adat!$AG:$AG,CONCATENATE(60,$M$4,"094071",L193),Adat!$E:$E)*-1+E204</f>
        <v>0</v>
      </c>
      <c r="G204" s="72">
        <f>SUMIF(Adat!$AH:$AH,CONCATENATE($M$4,"(KÖT)","094071",L193),Adat!$E:$E)*-1</f>
        <v>0</v>
      </c>
      <c r="H204" s="72">
        <f>SUMIF(Adat!$AH:$AH,CONCATENATE($M$4,"(ÖNV)","094071",L193),Adat!$E:$E)*-1</f>
        <v>0</v>
      </c>
      <c r="I204" s="72">
        <f>SUMIF(Adat!$AH:$AH,CONCATENATE($M$4,"(ÁIG)","094071",L193),Adat!$E:$E)*-1</f>
        <v>0</v>
      </c>
    </row>
    <row r="205" spans="2:12" x14ac:dyDescent="0.2">
      <c r="B205" s="160">
        <v>10</v>
      </c>
      <c r="C205" s="305" t="s">
        <v>1306</v>
      </c>
      <c r="D205" s="82" t="s">
        <v>1365</v>
      </c>
      <c r="E205" s="72">
        <f>SUMIF(Adat!$AG:$AG,CONCATENATE(61,$M$4,"0940811",L193),Adat!$E:$E)*-1</f>
        <v>0</v>
      </c>
      <c r="F205" s="72">
        <f>SUMIF(Adat!$AG:$AG,CONCATENATE(60,$M$4,"0940811",L193),Adat!$E:$E)*-1+E205</f>
        <v>0</v>
      </c>
      <c r="G205" s="72">
        <f>SUMIF(Adat!$AH:$AH,CONCATENATE($M$4,"(KÖT)","0940811",L193),Adat!$E:$E)*-1</f>
        <v>0</v>
      </c>
      <c r="H205" s="72">
        <f>SUMIF(Adat!$AH:$AH,CONCATENATE($M$4,"(ÖNV)","0940811",L193),Adat!$E:$E)*-1</f>
        <v>0</v>
      </c>
      <c r="I205" s="72">
        <f>SUMIF(Adat!$AH:$AH,CONCATENATE($M$4,"(ÁIG)","0940811",L193),Adat!$E:$E)*-1</f>
        <v>0</v>
      </c>
    </row>
    <row r="206" spans="2:12" x14ac:dyDescent="0.2">
      <c r="B206" s="160">
        <v>11</v>
      </c>
      <c r="C206" s="305" t="s">
        <v>1295</v>
      </c>
      <c r="D206" s="82" t="s">
        <v>1366</v>
      </c>
      <c r="E206" s="72">
        <f>SUMIF(Adat!$AG:$AG,CONCATENATE(61,$M$4,"0940821",L193),Adat!$E:$E)*-1</f>
        <v>0</v>
      </c>
      <c r="F206" s="72">
        <f>SUMIF(Adat!$AG:$AG,CONCATENATE(60,$M$4,"0940821",L193),Adat!$E:$E)*-1+E206</f>
        <v>0</v>
      </c>
      <c r="G206" s="72">
        <f>SUMIF(Adat!$AH:$AH,CONCATENATE($M$4,"(KÖT)","0940821",L193),Adat!$E:$E)*-1</f>
        <v>0</v>
      </c>
      <c r="H206" s="72">
        <f>SUMIF(Adat!$AH:$AH,CONCATENATE($M$4,"(ÖNV)","0940821",L193),Adat!$E:$E)*-1</f>
        <v>0</v>
      </c>
      <c r="I206" s="72">
        <f>SUMIF(Adat!$AH:$AH,CONCATENATE($M$4,"(ÁIG)","0940821",L193),Adat!$E:$E)*-1</f>
        <v>0</v>
      </c>
    </row>
    <row r="207" spans="2:12" x14ac:dyDescent="0.2">
      <c r="B207" s="160">
        <v>12</v>
      </c>
      <c r="C207" s="305" t="s">
        <v>1367</v>
      </c>
      <c r="D207" s="82" t="s">
        <v>1368</v>
      </c>
      <c r="E207" s="72">
        <f>SUMIF(Adat!$AG:$AG,CONCATENATE(61,$M$4,"0940911",L193),Adat!$E:$E)*-1</f>
        <v>0</v>
      </c>
      <c r="F207" s="72">
        <f>SUMIF(Adat!$AG:$AG,CONCATENATE(60,$M$4,"0940911",L193),Adat!$E:$E)*-1+E207</f>
        <v>0</v>
      </c>
      <c r="G207" s="72">
        <f>SUMIF(Adat!$AH:$AH,CONCATENATE($M$4,"(KÖT)","0940911",L193),Adat!$E:$E)*-1</f>
        <v>0</v>
      </c>
      <c r="H207" s="72">
        <f>SUMIF(Adat!$AH:$AH,CONCATENATE($M$4,"(ÖNV)","0940911",L193),Adat!$E:$E)*-1</f>
        <v>0</v>
      </c>
      <c r="I207" s="72">
        <f>SUMIF(Adat!$AH:$AH,CONCATENATE($M$4,"(ÁIG)","0940911",L193),Adat!$E:$E)*-1</f>
        <v>0</v>
      </c>
    </row>
    <row r="208" spans="2:12" x14ac:dyDescent="0.2">
      <c r="B208" s="160">
        <v>13</v>
      </c>
      <c r="C208" s="305" t="s">
        <v>1369</v>
      </c>
      <c r="D208" s="82" t="s">
        <v>1370</v>
      </c>
      <c r="E208" s="72">
        <f>SUMIF(Adat!$AG:$AG,CONCATENATE(61,$M$4,"0940921",L193),Adat!$E:$E)*-1</f>
        <v>0</v>
      </c>
      <c r="F208" s="72">
        <f>SUMIF(Adat!$AG:$AG,CONCATENATE(60,$M$4,"0940921",L193),Adat!$E:$E)*-1+E208</f>
        <v>0</v>
      </c>
      <c r="G208" s="72">
        <f>SUMIF(Adat!$AH:$AH,CONCATENATE($M$4,"(KÖT)","0940921",L193),Adat!$E:$E)*-1</f>
        <v>0</v>
      </c>
      <c r="H208" s="72">
        <f>SUMIF(Adat!$AH:$AH,CONCATENATE($M$4,"(ÖNV)","0940921",L193),Adat!$E:$E)*-1</f>
        <v>0</v>
      </c>
      <c r="I208" s="72">
        <f>SUMIF(Adat!$AH:$AH,CONCATENATE($M$4,"(ÁIG)","0940921",L193),Adat!$E:$E)*-1</f>
        <v>0</v>
      </c>
    </row>
    <row r="209" spans="2:9" x14ac:dyDescent="0.2">
      <c r="B209" s="160">
        <v>14</v>
      </c>
      <c r="C209" s="305" t="s">
        <v>1296</v>
      </c>
      <c r="D209" s="82" t="s">
        <v>1371</v>
      </c>
      <c r="E209" s="72">
        <f>SUMIF(Adat!$AG:$AG,CONCATENATE(61,$M$4,"094101",L193),Adat!$E:$E)*-1</f>
        <v>0</v>
      </c>
      <c r="F209" s="72">
        <f>SUMIF(Adat!$AG:$AG,CONCATENATE(60,$M$4,"094101",L193),Adat!$E:$E)*-1+E209</f>
        <v>0</v>
      </c>
      <c r="G209" s="72">
        <f>SUMIF(Adat!$AH:$AH,CONCATENATE($M$4,"(KÖT)","094101",L193),Adat!$E:$E)*-1</f>
        <v>0</v>
      </c>
      <c r="H209" s="72">
        <f>SUMIF(Adat!$AH:$AH,CONCATENATE($M$4,"(ÖNV)","094101",L193),Adat!$E:$E)*-1</f>
        <v>0</v>
      </c>
      <c r="I209" s="72">
        <f>SUMIF(Adat!$AH:$AH,CONCATENATE($M$4,"(ÁIG)","094101",L193),Adat!$E:$E)*-1</f>
        <v>0</v>
      </c>
    </row>
    <row r="210" spans="2:9" x14ac:dyDescent="0.25">
      <c r="B210" s="160">
        <v>15</v>
      </c>
      <c r="C210" s="305" t="s">
        <v>1297</v>
      </c>
      <c r="D210" s="84" t="s">
        <v>1372</v>
      </c>
      <c r="E210" s="72">
        <f>SUMIF(Adat!$AG:$AG,CONCATENATE(61,$M$4,"094111",L193),Adat!$E:$E)*-1</f>
        <v>0</v>
      </c>
      <c r="F210" s="72">
        <f>SUMIF(Adat!$AG:$AG,CONCATENATE(60,$M$4,"094111",L193),Adat!$E:$E)*-1+E210</f>
        <v>0</v>
      </c>
      <c r="G210" s="72">
        <f>SUMIF(Adat!$AH:$AH,CONCATENATE($M$4,"(KÖT)","094111",L193),Adat!$E:$E)*-1</f>
        <v>0</v>
      </c>
      <c r="H210" s="72">
        <f>SUMIF(Adat!$AH:$AH,CONCATENATE($M$4,"(ÖNV)","094111",L193),Adat!$E:$E)*-1</f>
        <v>0</v>
      </c>
      <c r="I210" s="72">
        <f>SUMIF(Adat!$AH:$AH,CONCATENATE($M$4,"(ÁIG)","094111",L193),Adat!$E:$E)*-1</f>
        <v>0</v>
      </c>
    </row>
    <row r="211" spans="2:9" x14ac:dyDescent="0.25">
      <c r="B211" s="160">
        <v>16</v>
      </c>
      <c r="C211" s="78" t="s">
        <v>1328</v>
      </c>
      <c r="D211" s="85" t="s">
        <v>437</v>
      </c>
      <c r="E211" s="121">
        <f>SUM(E212:E214)</f>
        <v>0</v>
      </c>
      <c r="F211" s="121">
        <f>SUM(F212:F214)</f>
        <v>0</v>
      </c>
      <c r="G211" s="121">
        <f>SUM(G212:G214)</f>
        <v>0</v>
      </c>
      <c r="H211" s="121">
        <f>SUM(H212:H214)</f>
        <v>0</v>
      </c>
      <c r="I211" s="121">
        <f>SUM(I212:I214)</f>
        <v>0</v>
      </c>
    </row>
    <row r="212" spans="2:9" x14ac:dyDescent="0.2">
      <c r="B212" s="160">
        <v>17</v>
      </c>
      <c r="C212" s="305" t="s">
        <v>1329</v>
      </c>
      <c r="D212" s="82" t="s">
        <v>1330</v>
      </c>
      <c r="E212" s="72">
        <f>SUMIF(Adat!$AG:$AG,CONCATENATE(61,$M$4,"09121",L193),Adat!$E:$E)*-1</f>
        <v>0</v>
      </c>
      <c r="F212" s="72">
        <f>SUMIF(Adat!$AG:$AG,CONCATENATE(60,$M$4,"09121",L193),Adat!$E:$E)*-1+E212</f>
        <v>0</v>
      </c>
      <c r="G212" s="72">
        <f>SUMIF(Adat!$AH:$AH,CONCATENATE($M$4,"(KÖT)","09121",L193),Adat!$E:$E)*-1</f>
        <v>0</v>
      </c>
      <c r="H212" s="72">
        <f>SUMIF(Adat!$AH:$AH,CONCATENATE($M$4,"(ÖNV)","09121",L193),Adat!$E:$E)*-1</f>
        <v>0</v>
      </c>
      <c r="I212" s="72">
        <f>SUMIF(Adat!$AH:$AH,CONCATENATE($M$4,"(ÁIG)","09121",L193),Adat!$E:$E)*-1</f>
        <v>0</v>
      </c>
    </row>
    <row r="213" spans="2:9" x14ac:dyDescent="0.2">
      <c r="B213" s="160">
        <v>18</v>
      </c>
      <c r="C213" s="305" t="s">
        <v>1335</v>
      </c>
      <c r="D213" s="82" t="s">
        <v>1336</v>
      </c>
      <c r="E213" s="72">
        <f>SUMIF(Adat!$AG:$AG,CONCATENATE(61,$M$4,"09151",L193),Adat!$E:$E)*-1</f>
        <v>0</v>
      </c>
      <c r="F213" s="72">
        <f>SUMIF(Adat!$AG:$AG,CONCATENATE(60,$M$4,"09151",L193),Adat!$E:$E)*-1+E213</f>
        <v>0</v>
      </c>
      <c r="G213" s="72">
        <f>SUMIF(Adat!$AH:$AH,CONCATENATE($M$4,"(KÖT)","09151",L193),Adat!$E:$E)*-1</f>
        <v>0</v>
      </c>
      <c r="H213" s="72">
        <f>SUMIF(Adat!$AH:$AH,CONCATENATE($M$4,"(ÖNV)","09151",L193),Adat!$E:$E)*-1</f>
        <v>0</v>
      </c>
      <c r="I213" s="72">
        <f>SUMIF(Adat!$AH:$AH,CONCATENATE($M$4,"(ÁIG)","09151",L193),Adat!$E:$E)*-1</f>
        <v>0</v>
      </c>
    </row>
    <row r="214" spans="2:9" x14ac:dyDescent="0.2">
      <c r="B214" s="160">
        <v>19</v>
      </c>
      <c r="C214" s="305" t="s">
        <v>1278</v>
      </c>
      <c r="D214" s="82" t="s">
        <v>1337</v>
      </c>
      <c r="E214" s="72">
        <f>SUMIF(Adat!$AG:$AG,CONCATENATE(61,$M$4,"09161",L193),Adat!$E:$E)*-1</f>
        <v>0</v>
      </c>
      <c r="F214" s="72">
        <f>SUMIF(Adat!$AG:$AG,CONCATENATE(60,$M$4,"09161",L193),Adat!$E:$E)*-1+E214</f>
        <v>0</v>
      </c>
      <c r="G214" s="72">
        <f>SUMIF(Adat!$AH:$AH,CONCATENATE($M$4,"(KÖT)","09161",L193),Adat!$E:$E)*-1</f>
        <v>0</v>
      </c>
      <c r="H214" s="72">
        <f>SUMIF(Adat!$AH:$AH,CONCATENATE($M$4,"(ÖNV)","09161",L193),Adat!$E:$E)*-1</f>
        <v>0</v>
      </c>
      <c r="I214" s="72">
        <f>SUMIF(Adat!$AH:$AH,CONCATENATE($M$4,"(ÁIG)","09161",L193),Adat!$E:$E)*-1</f>
        <v>0</v>
      </c>
    </row>
    <row r="215" spans="2:9" x14ac:dyDescent="0.25">
      <c r="B215" s="160">
        <v>20</v>
      </c>
      <c r="C215" s="79" t="s">
        <v>27</v>
      </c>
      <c r="D215" s="79" t="s">
        <v>328</v>
      </c>
      <c r="E215" s="71">
        <f>SUMIF(Adat!$AI:$AI,CONCATENATE(61,$M$4,"093",L193),Adat!$E:$E)*-1</f>
        <v>0</v>
      </c>
      <c r="F215" s="71">
        <f>SUMIF(Adat!$AI:$AI,CONCATENATE(60,$M$4,"093",L193),Adat!$E:$E)*-1+E215</f>
        <v>0</v>
      </c>
      <c r="G215" s="71">
        <f>SUMIF(Adat!$AJ:$AJ,CONCATENATE($M$4,"093","(KÖT)",L193),Adat!$E:$E)*-1</f>
        <v>0</v>
      </c>
      <c r="H215" s="71">
        <f>SUMIF(Adat!$AJ:$AJ,CONCATENATE($M$4,"093","(ÖNV)",L193),Adat!$E:$E)*-1</f>
        <v>0</v>
      </c>
      <c r="I215" s="71">
        <f>SUMIF(Adat!$AJ:$AJ,CONCATENATE($M$4,"093","(ÁIG)",L193),Adat!$E:$E)*-1</f>
        <v>0</v>
      </c>
    </row>
    <row r="216" spans="2:9" x14ac:dyDescent="0.25">
      <c r="B216" s="160">
        <v>21</v>
      </c>
      <c r="C216" s="79" t="s">
        <v>24</v>
      </c>
      <c r="D216" s="79" t="s">
        <v>449</v>
      </c>
      <c r="E216" s="121">
        <f>SUM(E217:E219)</f>
        <v>0</v>
      </c>
      <c r="F216" s="121">
        <f t="shared" ref="F216:I216" si="13">SUM(F217:F219)</f>
        <v>0</v>
      </c>
      <c r="G216" s="121">
        <f t="shared" si="13"/>
        <v>0</v>
      </c>
      <c r="H216" s="121">
        <f t="shared" si="13"/>
        <v>0</v>
      </c>
      <c r="I216" s="121">
        <f t="shared" si="13"/>
        <v>0</v>
      </c>
    </row>
    <row r="217" spans="2:9" x14ac:dyDescent="0.2">
      <c r="B217" s="160">
        <v>22</v>
      </c>
      <c r="C217" s="305" t="s">
        <v>1339</v>
      </c>
      <c r="D217" s="82" t="s">
        <v>1340</v>
      </c>
      <c r="E217" s="72">
        <f>SUMIF(Adat!$AG:$AG,CONCATENATE(61,$M$4,"09211",L193),Adat!$E:$E)*-1</f>
        <v>0</v>
      </c>
      <c r="F217" s="72">
        <f>SUMIF(Adat!$AG:$AG,CONCATENATE(60,$M$4,"09211",L193),Adat!$E:$E)*-1+E217</f>
        <v>0</v>
      </c>
      <c r="G217" s="72">
        <f>SUMIF(Adat!$AH:$AH,CONCATENATE($M$4,"(KÖT)","09211",L193),Adat!$E:$E)*-1</f>
        <v>0</v>
      </c>
      <c r="H217" s="72">
        <f>SUMIF(Adat!$AH:$AH,CONCATENATE($M$4,"(ÖNV)","09211",L193),Adat!$E:$E)*-1</f>
        <v>0</v>
      </c>
      <c r="I217" s="72">
        <f>SUMIF(Adat!$AH:$AH,CONCATENATE($M$4,"(ÁIG)","09211",L193),Adat!$E:$E)*-1</f>
        <v>0</v>
      </c>
    </row>
    <row r="218" spans="2:9" x14ac:dyDescent="0.2">
      <c r="B218" s="160">
        <v>23</v>
      </c>
      <c r="C218" s="305" t="s">
        <v>1345</v>
      </c>
      <c r="D218" s="82" t="s">
        <v>1346</v>
      </c>
      <c r="E218" s="72">
        <f>SUMIF(Adat!$AG:$AG,CONCATENATE(61,$M$4,"09241",L193),Adat!$E:$E)*-1</f>
        <v>0</v>
      </c>
      <c r="F218" s="72">
        <f>SUMIF(Adat!$AG:$AG,CONCATENATE(60,$M$4,"09241",L193),Adat!$E:$E)*-1+E218</f>
        <v>0</v>
      </c>
      <c r="G218" s="72">
        <f>SUMIF(Adat!$AH:$AH,CONCATENATE($M$4,"(KÖT)","09241",L193),Adat!$E:$E)*-1</f>
        <v>0</v>
      </c>
      <c r="H218" s="72">
        <f>SUMIF(Adat!$AH:$AH,CONCATENATE($M$4,"(ÖNV)","09241",L193),Adat!$E:$E)*-1</f>
        <v>0</v>
      </c>
      <c r="I218" s="72">
        <f>SUMIF(Adat!$AH:$AH,CONCATENATE($M$4,"(ÁIG)","09241",L193),Adat!$E:$E)*-1</f>
        <v>0</v>
      </c>
    </row>
    <row r="219" spans="2:9" x14ac:dyDescent="0.2">
      <c r="B219" s="160">
        <v>24</v>
      </c>
      <c r="C219" s="305" t="s">
        <v>1255</v>
      </c>
      <c r="D219" s="82" t="s">
        <v>1347</v>
      </c>
      <c r="E219" s="72">
        <f>SUMIF(Adat!$AG:$AG,CONCATENATE(61,$M$4,"09251",L193),Adat!$E:$E)*-1</f>
        <v>0</v>
      </c>
      <c r="F219" s="72">
        <f>SUMIF(Adat!$AG:$AG,CONCATENATE(60,$M$4,"09251",L193),Adat!$E:$E)*-1+E219</f>
        <v>0</v>
      </c>
      <c r="G219" s="72">
        <f>SUMIF(Adat!$AH:$AH,CONCATENATE($M$4,"(KÖT)","09251",L193),Adat!$E:$E)*-1</f>
        <v>0</v>
      </c>
      <c r="H219" s="72">
        <f>SUMIF(Adat!$AH:$AH,CONCATENATE($M$4,"(ÖNV)","09251",L193),Adat!$E:$E)*-1</f>
        <v>0</v>
      </c>
      <c r="I219" s="72">
        <f>SUMIF(Adat!$AH:$AH,CONCATENATE($M$4,"(ÁIG)","09251",L193),Adat!$E:$E)*-1</f>
        <v>0</v>
      </c>
    </row>
    <row r="220" spans="2:9" x14ac:dyDescent="0.25">
      <c r="B220" s="160">
        <v>25</v>
      </c>
      <c r="C220" s="79" t="s">
        <v>33</v>
      </c>
      <c r="D220" s="79" t="s">
        <v>330</v>
      </c>
      <c r="E220" s="121">
        <f>SUM(E221:E223)</f>
        <v>0</v>
      </c>
      <c r="F220" s="121">
        <f t="shared" ref="F220:I220" si="14">SUM(F221:F223)</f>
        <v>0</v>
      </c>
      <c r="G220" s="121">
        <f t="shared" si="14"/>
        <v>0</v>
      </c>
      <c r="H220" s="121">
        <f t="shared" si="14"/>
        <v>0</v>
      </c>
      <c r="I220" s="121">
        <f t="shared" si="14"/>
        <v>0</v>
      </c>
    </row>
    <row r="221" spans="2:9" x14ac:dyDescent="0.2">
      <c r="B221" s="160">
        <v>26</v>
      </c>
      <c r="C221" s="305" t="s">
        <v>1373</v>
      </c>
      <c r="D221" s="82" t="s">
        <v>1374</v>
      </c>
      <c r="E221" s="72">
        <f>SUMIF(Adat!$AG:$AG,CONCATENATE(61,$M$4,"09511",L193),Adat!$E:$E)*-1</f>
        <v>0</v>
      </c>
      <c r="F221" s="72">
        <f>SUMIF(Adat!$AG:$AG,CONCATENATE(60,$M$4,"09511",L193),Adat!$E:$E)*-1+E221</f>
        <v>0</v>
      </c>
      <c r="G221" s="72">
        <f>SUMIF(Adat!$AH:$AH,CONCATENATE($M$4,"(KÖT)","09511",L193),Adat!$E:$E)*-1</f>
        <v>0</v>
      </c>
      <c r="H221" s="72">
        <f>SUMIF(Adat!$AH:$AH,CONCATENATE($M$4,"(ÖNV)","09511",L193),Adat!$E:$E)*-1</f>
        <v>0</v>
      </c>
      <c r="I221" s="72">
        <f>SUMIF(Adat!$AH:$AH,CONCATENATE($M$4,"(ÁIG)","09511",L193),Adat!$E:$E)*-1</f>
        <v>0</v>
      </c>
    </row>
    <row r="222" spans="2:9" x14ac:dyDescent="0.2">
      <c r="B222" s="160">
        <v>27</v>
      </c>
      <c r="C222" s="305" t="s">
        <v>1294</v>
      </c>
      <c r="D222" s="82" t="s">
        <v>1375</v>
      </c>
      <c r="E222" s="72">
        <f>SUMIF(Adat!$AG:$AG,CONCATENATE(61,$M$4,"09521",L193),Adat!$E:$E)*-1</f>
        <v>0</v>
      </c>
      <c r="F222" s="72">
        <f>SUMIF(Adat!$AG:$AG,CONCATENATE(60,$M$4,"09521",L193),Adat!$E:$E)*-1+E222</f>
        <v>0</v>
      </c>
      <c r="G222" s="72">
        <f>SUMIF(Adat!$AH:$AH,CONCATENATE($M$4,"(KÖT)","09521",L193),Adat!$E:$E)*-1</f>
        <v>0</v>
      </c>
      <c r="H222" s="72">
        <f>SUMIF(Adat!$AH:$AH,CONCATENATE($M$4,"(ÖNV)","09521",L193),Adat!$E:$E)*-1</f>
        <v>0</v>
      </c>
      <c r="I222" s="72">
        <f>SUMIF(Adat!$AH:$AH,CONCATENATE($M$4,"(ÁIG)","09521",L193),Adat!$E:$E)*-1</f>
        <v>0</v>
      </c>
    </row>
    <row r="223" spans="2:9" x14ac:dyDescent="0.2">
      <c r="B223" s="160">
        <v>28</v>
      </c>
      <c r="C223" s="305" t="s">
        <v>1376</v>
      </c>
      <c r="D223" s="82" t="s">
        <v>1377</v>
      </c>
      <c r="E223" s="72">
        <f>SUMIF(Adat!$AG:$AG,CONCATENATE(61,$M$4,"09531",L193),Adat!$E:$E)*-1</f>
        <v>0</v>
      </c>
      <c r="F223" s="72">
        <f>SUMIF(Adat!$AG:$AG,CONCATENATE(60,$M$4,"09531",L193),Adat!$E:$E)*-1+E223</f>
        <v>0</v>
      </c>
      <c r="G223" s="72">
        <f>SUMIF(Adat!$AH:$AH,CONCATENATE($M$4,"(KÖT)","09531",L193),Adat!$E:$E)*-1</f>
        <v>0</v>
      </c>
      <c r="H223" s="72">
        <f>SUMIF(Adat!$AH:$AH,CONCATENATE($M$4,"(ÖNV)","09531",L193),Adat!$E:$E)*-1</f>
        <v>0</v>
      </c>
      <c r="I223" s="72">
        <f>SUMIF(Adat!$AH:$AH,CONCATENATE($M$4,"(ÁIG)","09531",L193),Adat!$E:$E)*-1</f>
        <v>0</v>
      </c>
    </row>
    <row r="224" spans="2:9" x14ac:dyDescent="0.25">
      <c r="B224" s="160">
        <v>29</v>
      </c>
      <c r="C224" s="79" t="s">
        <v>36</v>
      </c>
      <c r="D224" s="79" t="s">
        <v>331</v>
      </c>
      <c r="E224" s="71">
        <f>SUMIF(Adat!$AI:$AI,CONCATENATE(61,$M$4,"096",L193),Adat!$E:$E)*-1</f>
        <v>0</v>
      </c>
      <c r="F224" s="71">
        <f>SUMIF(Adat!$AI:$AI,CONCATENATE(60,$M$4,"096",L193),Adat!$E:$E)*-1+E224</f>
        <v>0</v>
      </c>
      <c r="G224" s="71">
        <f>SUMIF(Adat!$AJ:$AJ,CONCATENATE($M$4,"096","(KÖT)",L193),Adat!$E:$E)*-1</f>
        <v>0</v>
      </c>
      <c r="H224" s="71">
        <f>SUMIF(Adat!$AJ:$AJ,CONCATENATE($M$4,"096","(ÖNV)",L193),Adat!$E:$E)*-1</f>
        <v>0</v>
      </c>
      <c r="I224" s="71">
        <f>SUMIF(Adat!$AJ:$AJ,CONCATENATE($M$4,"096","(ÁIG)",L193),Adat!$E:$E)*-1</f>
        <v>0</v>
      </c>
    </row>
    <row r="225" spans="2:12" x14ac:dyDescent="0.25">
      <c r="B225" s="160">
        <v>30</v>
      </c>
      <c r="C225" s="79" t="s">
        <v>38</v>
      </c>
      <c r="D225" s="85" t="s">
        <v>332</v>
      </c>
      <c r="E225" s="71">
        <f>SUMIF(Adat!$AI:$AI,CONCATENATE(61,$M$4,"097",L193),Adat!$E:$E)*-1</f>
        <v>0</v>
      </c>
      <c r="F225" s="71">
        <f>SUMIF(Adat!$AI:$AI,CONCATENATE(60,$M$4,"097",L193),Adat!$E:$E)*-1+E225</f>
        <v>0</v>
      </c>
      <c r="G225" s="71">
        <f>SUMIF(Adat!$AJ:$AJ,CONCATENATE($M$4,"097","(KÖT)",L193),Adat!$E:$E)*-1</f>
        <v>0</v>
      </c>
      <c r="H225" s="71">
        <f>SUMIF(Adat!$AJ:$AJ,CONCATENATE($M$4,"097","(ÖNV)",L193),Adat!$E:$E)*-1</f>
        <v>0</v>
      </c>
      <c r="I225" s="71">
        <f>SUMIF(Adat!$AJ:$AJ,CONCATENATE($M$4,"097","(ÁIG)",L193),Adat!$E:$E)*-1</f>
        <v>0</v>
      </c>
    </row>
    <row r="226" spans="2:12" x14ac:dyDescent="0.25">
      <c r="B226" s="160">
        <v>31</v>
      </c>
      <c r="C226" s="154" t="s">
        <v>352</v>
      </c>
      <c r="D226" s="86" t="s">
        <v>1500</v>
      </c>
      <c r="E226" s="121">
        <f>E197+E211+E215+E216+E220+E224+E225</f>
        <v>0</v>
      </c>
      <c r="F226" s="121">
        <f>F197+F211+F215+F216+F220+F224+F225</f>
        <v>0</v>
      </c>
      <c r="G226" s="121">
        <f>G197+G211+G215+G216+G220+G224+G225</f>
        <v>0</v>
      </c>
      <c r="H226" s="121">
        <f>H197+H211+H215+H216+H220+H224+H225</f>
        <v>0</v>
      </c>
      <c r="I226" s="121">
        <f>I197+I211+I215+I216+I220+I224+I225</f>
        <v>0</v>
      </c>
    </row>
    <row r="227" spans="2:12" x14ac:dyDescent="0.25">
      <c r="B227" s="160">
        <v>32</v>
      </c>
      <c r="C227" s="154" t="s">
        <v>358</v>
      </c>
      <c r="D227" s="86" t="s">
        <v>333</v>
      </c>
      <c r="E227" s="121">
        <f>SUM(E228:E230)</f>
        <v>0</v>
      </c>
      <c r="F227" s="121">
        <f t="shared" ref="F227:I227" si="15">SUM(F228:F230)</f>
        <v>0</v>
      </c>
      <c r="G227" s="121">
        <f t="shared" si="15"/>
        <v>0</v>
      </c>
      <c r="H227" s="121">
        <f t="shared" si="15"/>
        <v>0</v>
      </c>
      <c r="I227" s="121">
        <f t="shared" si="15"/>
        <v>0</v>
      </c>
    </row>
    <row r="228" spans="2:12" x14ac:dyDescent="0.2">
      <c r="B228" s="160">
        <v>33</v>
      </c>
      <c r="C228" s="305" t="s">
        <v>1274</v>
      </c>
      <c r="D228" s="82" t="s">
        <v>1419</v>
      </c>
      <c r="E228" s="72">
        <f>SUMIF(Adat!$AG:$AG,CONCATENATE(61,$M$4,"0981311",L193),Adat!$E:$E)*-1</f>
        <v>0</v>
      </c>
      <c r="F228" s="72">
        <f>SUMIF(Adat!$AG:$AG,CONCATENATE(60,$M$4,"0981311",L193),Adat!$E:$E)*-1+E228</f>
        <v>0</v>
      </c>
      <c r="G228" s="72">
        <f>SUMIF(Adat!$AH:$AH,CONCATENATE($M$4,"(KÖT)","0981311",L193),Adat!$E:$E)*-1</f>
        <v>0</v>
      </c>
      <c r="H228" s="72">
        <f>SUMIF(Adat!$AH:$AH,CONCATENATE($M$4,"(ÖNV)","0981311",L193),Adat!$E:$E)*-1</f>
        <v>0</v>
      </c>
      <c r="I228" s="72">
        <f>SUMIF(Adat!$AH:$AH,CONCATENATE($M$4,"(ÁIG)","0981311",L193),Adat!$E:$E)*-1</f>
        <v>0</v>
      </c>
    </row>
    <row r="229" spans="2:12" x14ac:dyDescent="0.25">
      <c r="B229" s="160">
        <v>34</v>
      </c>
      <c r="C229" s="305" t="s">
        <v>1420</v>
      </c>
      <c r="D229" s="84" t="s">
        <v>1421</v>
      </c>
      <c r="E229" s="72">
        <f>SUMIF(Adat!$AG:$AG,CONCATENATE(61,$M$4,"0981321",L193),Adat!$E:$E)*-1</f>
        <v>0</v>
      </c>
      <c r="F229" s="72">
        <f>SUMIF(Adat!$AG:$AG,CONCATENATE(60,$M$4,"0981321",L193),Adat!$E:$E)*-1+E229</f>
        <v>0</v>
      </c>
      <c r="G229" s="72">
        <f>SUMIF(Adat!$AH:$AH,CONCATENATE($M$4,"(KÖT)","0981321",L193),Adat!$E:$E)*-1</f>
        <v>0</v>
      </c>
      <c r="H229" s="72">
        <f>SUMIF(Adat!$AH:$AH,CONCATENATE($M$4,"(ÖNV)","0981321",L193),Adat!$E:$E)*-1</f>
        <v>0</v>
      </c>
      <c r="I229" s="72">
        <f>SUMIF(Adat!$AH:$AH,CONCATENATE($M$4,"(ÁIG)","0981321",L193),Adat!$E:$E)*-1</f>
        <v>0</v>
      </c>
    </row>
    <row r="230" spans="2:12" x14ac:dyDescent="0.25">
      <c r="B230" s="160">
        <v>35</v>
      </c>
      <c r="C230" s="319" t="s">
        <v>1275</v>
      </c>
      <c r="D230" s="84" t="s">
        <v>1501</v>
      </c>
      <c r="E230" s="72">
        <f>SUMIF(Adat!$AG:$AG,CONCATENATE(61,$M$4,"098161",L193),Adat!$E:$E)*-1</f>
        <v>0</v>
      </c>
      <c r="F230" s="72">
        <f>SUMIF(Adat!$AG:$AG,CONCATENATE(60,$M$4,"098161",L193),Adat!$E:$E)*-1+E230</f>
        <v>0</v>
      </c>
      <c r="G230" s="72">
        <f>SUMIF(Adat!$AH:$AH,CONCATENATE($M$4,"(KÖT)","098161",L193),Adat!$E:$E)*-1</f>
        <v>0</v>
      </c>
      <c r="H230" s="72">
        <f>SUMIF(Adat!$AH:$AH,CONCATENATE($M$4,"(ÖNV)","098161",L193),Adat!$E:$E)*-1</f>
        <v>0</v>
      </c>
      <c r="I230" s="72">
        <f>SUMIF(Adat!$AH:$AH,CONCATENATE($M$4,"(ÁIG)","098161",L193),Adat!$E:$E)*-1</f>
        <v>0</v>
      </c>
    </row>
    <row r="231" spans="2:12" x14ac:dyDescent="0.25">
      <c r="B231" s="160">
        <v>36</v>
      </c>
      <c r="C231" s="154" t="s">
        <v>364</v>
      </c>
      <c r="D231" s="159" t="s">
        <v>1502</v>
      </c>
      <c r="E231" s="121">
        <f>+E226+E227</f>
        <v>0</v>
      </c>
      <c r="F231" s="121">
        <f>+F226+F227</f>
        <v>0</v>
      </c>
      <c r="G231" s="121">
        <f>+G226+G227</f>
        <v>0</v>
      </c>
      <c r="H231" s="121">
        <f>+H226+H227</f>
        <v>0</v>
      </c>
      <c r="I231" s="121">
        <f>+I226+I227</f>
        <v>0</v>
      </c>
    </row>
    <row r="232" spans="2:12" ht="15.75" x14ac:dyDescent="0.25">
      <c r="B232" s="38"/>
      <c r="C232" s="156"/>
      <c r="D232" s="38"/>
      <c r="E232" s="140"/>
      <c r="F232" s="140"/>
      <c r="G232" s="140"/>
      <c r="H232" s="140"/>
      <c r="I232" s="140"/>
    </row>
    <row r="233" spans="2:12" s="10" customFormat="1" ht="15.75" customHeight="1" x14ac:dyDescent="0.25">
      <c r="B233" s="201" t="str">
        <f>CONCATENATE("8. Kiadási jogcímek"," - ",L233," részletező")</f>
        <v>8. Kiadási jogcímek -  részletező</v>
      </c>
      <c r="C233" s="101"/>
      <c r="D233" s="101"/>
      <c r="E233" s="101"/>
      <c r="F233" s="101"/>
      <c r="G233" s="198"/>
      <c r="H233" s="198"/>
      <c r="I233" s="198"/>
      <c r="L233" s="384"/>
    </row>
    <row r="234" spans="2:12" ht="15.75" x14ac:dyDescent="0.25">
      <c r="B234" s="38"/>
      <c r="C234" s="156"/>
      <c r="D234" s="38"/>
      <c r="E234" s="140"/>
      <c r="F234" s="140"/>
      <c r="G234" s="140"/>
      <c r="H234" s="140"/>
      <c r="I234" s="140"/>
    </row>
    <row r="235" spans="2:12" x14ac:dyDescent="0.25">
      <c r="B235" s="77"/>
      <c r="C235" s="77" t="s">
        <v>350</v>
      </c>
      <c r="D235" s="77" t="s">
        <v>351</v>
      </c>
      <c r="E235" s="77" t="s">
        <v>470</v>
      </c>
      <c r="F235" s="77" t="s">
        <v>471</v>
      </c>
      <c r="G235" s="77" t="s">
        <v>44</v>
      </c>
      <c r="H235" s="77" t="s">
        <v>42</v>
      </c>
      <c r="I235" s="77" t="s">
        <v>511</v>
      </c>
    </row>
    <row r="236" spans="2:12" ht="38.25" x14ac:dyDescent="0.25">
      <c r="B236" s="160">
        <v>1</v>
      </c>
      <c r="C236" s="154" t="s">
        <v>593</v>
      </c>
      <c r="D236" s="154" t="s">
        <v>488</v>
      </c>
      <c r="E236" s="163" t="str">
        <f>CONCATENATE(PAR!$H$3," évi
eredeti 
előirányzat")</f>
        <v>2025. évi
eredeti 
előirányzat</v>
      </c>
      <c r="F236" s="163" t="str">
        <f>CONCATENATE(PAR!$H$3," évi
módosított 
előirányzat")</f>
        <v>2025. évi
módosított 
előirányzat</v>
      </c>
      <c r="G236" s="78" t="s">
        <v>666</v>
      </c>
      <c r="H236" s="78" t="s">
        <v>667</v>
      </c>
      <c r="I236" s="78" t="s">
        <v>668</v>
      </c>
    </row>
    <row r="237" spans="2:12" x14ac:dyDescent="0.25">
      <c r="B237" s="160">
        <v>2</v>
      </c>
      <c r="C237" s="78" t="s">
        <v>352</v>
      </c>
      <c r="D237" s="92" t="s">
        <v>1444</v>
      </c>
      <c r="E237" s="121">
        <f>SUM(E238:E242)</f>
        <v>0</v>
      </c>
      <c r="F237" s="121">
        <f>SUM(F238:F242)</f>
        <v>0</v>
      </c>
      <c r="G237" s="121">
        <f>SUM(G238:G242)</f>
        <v>0</v>
      </c>
      <c r="H237" s="121">
        <f>SUM(H238:H242)</f>
        <v>0</v>
      </c>
      <c r="I237" s="121">
        <f>SUM(I238:I242)</f>
        <v>0</v>
      </c>
    </row>
    <row r="238" spans="2:12" x14ac:dyDescent="0.25">
      <c r="B238" s="160">
        <v>3</v>
      </c>
      <c r="C238" s="305" t="s">
        <v>315</v>
      </c>
      <c r="D238" s="93" t="s">
        <v>342</v>
      </c>
      <c r="E238" s="72">
        <f>SUMIF(Adat!$AI:$AI,CONCATENATE(61,$M$4,"051",L233),Adat!$E:$E)</f>
        <v>0</v>
      </c>
      <c r="F238" s="72">
        <f>SUMIF(Adat!$AI:$AI,CONCATENATE(60,$M$4,"051",L233),Adat!$E:$E)+E238</f>
        <v>0</v>
      </c>
      <c r="G238" s="72">
        <f>SUMIF(Adat!$AJ:$AJ,CONCATENATE($M$4,"051","(KÖT)",L233),Adat!$E:$E)</f>
        <v>0</v>
      </c>
      <c r="H238" s="72">
        <f>SUMIF(Adat!$AJ:$AJ,CONCATENATE($M$4,"051","(ÖNV)",L233),Adat!$E:$E)</f>
        <v>0</v>
      </c>
      <c r="I238" s="72">
        <f>SUMIF(Adat!$AJ:$AJ,CONCATENATE($M$4,"051","(ÁIG)",L233),Adat!$E:$E)</f>
        <v>0</v>
      </c>
    </row>
    <row r="239" spans="2:12" x14ac:dyDescent="0.25">
      <c r="B239" s="160">
        <v>4</v>
      </c>
      <c r="C239" s="305" t="s">
        <v>317</v>
      </c>
      <c r="D239" s="93" t="s">
        <v>395</v>
      </c>
      <c r="E239" s="72">
        <f>SUMIF(Adat!$AI:$AI,CONCATENATE(61,$M$4,"052",L233),Adat!$E:$E)</f>
        <v>0</v>
      </c>
      <c r="F239" s="72">
        <f>SUMIF(Adat!$AI:$AI,CONCATENATE(60,$M$4,"052",L233),Adat!$E:$E)+E239</f>
        <v>0</v>
      </c>
      <c r="G239" s="72">
        <f>SUMIF(Adat!$AJ:$AJ,CONCATENATE($M$4,"052","(KÖT)",L233),Adat!$E:$E)</f>
        <v>0</v>
      </c>
      <c r="H239" s="72">
        <f>SUMIF(Adat!$AJ:$AJ,CONCATENATE($M$4,"052","(ÖNV)",L233),Adat!$E:$E)</f>
        <v>0</v>
      </c>
      <c r="I239" s="72">
        <f>SUMIF(Adat!$AJ:$AJ,CONCATENATE($M$4,"052","(ÁIG)",L233),Adat!$E:$E)</f>
        <v>0</v>
      </c>
    </row>
    <row r="240" spans="2:12" x14ac:dyDescent="0.25">
      <c r="B240" s="160">
        <v>5</v>
      </c>
      <c r="C240" s="305" t="s">
        <v>4</v>
      </c>
      <c r="D240" s="93" t="s">
        <v>344</v>
      </c>
      <c r="E240" s="72">
        <f>SUMIF(Adat!$AI:$AI,CONCATENATE(61,$M$4,"053",L233),Adat!$E:$E)</f>
        <v>0</v>
      </c>
      <c r="F240" s="72">
        <f>SUMIF(Adat!$AI:$AI,CONCATENATE(60,$M$4,"053",L233),Adat!$E:$E)+E240</f>
        <v>0</v>
      </c>
      <c r="G240" s="72">
        <f>SUMIF(Adat!$AJ:$AJ,CONCATENATE($M$4,"053","(KÖT)",L233),Adat!$E:$E)</f>
        <v>0</v>
      </c>
      <c r="H240" s="72">
        <f>SUMIF(Adat!$AJ:$AJ,CONCATENATE($M$4,"053","(ÖNV)",L233),Adat!$E:$E)</f>
        <v>0</v>
      </c>
      <c r="I240" s="72">
        <f>SUMIF(Adat!$AJ:$AJ,CONCATENATE($M$4,"053","(ÁIG)",L233),Adat!$E:$E)</f>
        <v>0</v>
      </c>
    </row>
    <row r="241" spans="2:12" x14ac:dyDescent="0.25">
      <c r="B241" s="160">
        <v>6</v>
      </c>
      <c r="C241" s="305" t="s">
        <v>6</v>
      </c>
      <c r="D241" s="93" t="s">
        <v>345</v>
      </c>
      <c r="E241" s="72">
        <f>SUMIF(Adat!$AI:$AI,CONCATENATE(61,$M$4,"054",L233),Adat!$E:$E)</f>
        <v>0</v>
      </c>
      <c r="F241" s="72">
        <f>SUMIF(Adat!$AI:$AI,CONCATENATE(60,$M$4,"054",L233),Adat!$E:$E)+E241</f>
        <v>0</v>
      </c>
      <c r="G241" s="72">
        <f>SUMIF(Adat!$AJ:$AJ,CONCATENATE($M$4,"054","(KÖT)",L233),Adat!$E:$E)</f>
        <v>0</v>
      </c>
      <c r="H241" s="72">
        <f>SUMIF(Adat!$AJ:$AJ,CONCATENATE($M$4,"054","(ÖNV)",L233),Adat!$E:$E)</f>
        <v>0</v>
      </c>
      <c r="I241" s="72">
        <f>SUMIF(Adat!$AJ:$AJ,CONCATENATE($M$4,"054","(ÁIG)",L233),Adat!$E:$E)</f>
        <v>0</v>
      </c>
    </row>
    <row r="242" spans="2:12" x14ac:dyDescent="0.25">
      <c r="B242" s="160">
        <v>7</v>
      </c>
      <c r="C242" s="305" t="s">
        <v>8</v>
      </c>
      <c r="D242" s="93" t="s">
        <v>321</v>
      </c>
      <c r="E242" s="72">
        <f>SUMIF(Adat!$AI:$AI,CONCATENATE(61,$M$4,"055",L233),Adat!$E:$E)</f>
        <v>0</v>
      </c>
      <c r="F242" s="72">
        <f>SUMIF(Adat!$AI:$AI,CONCATENATE(60,$M$4,"055",L233),Adat!$E:$E)+E242</f>
        <v>0</v>
      </c>
      <c r="G242" s="72">
        <f>SUMIF(Adat!$AJ:$AJ,CONCATENATE($M$4,"055","(KÖT)",L233),Adat!$E:$E)</f>
        <v>0</v>
      </c>
      <c r="H242" s="72">
        <f>SUMIF(Adat!$AJ:$AJ,CONCATENATE($M$4,"055","(ÖNV)",L233),Adat!$E:$E)</f>
        <v>0</v>
      </c>
      <c r="I242" s="72">
        <f>SUMIF(Adat!$AJ:$AJ,CONCATENATE($M$4,"055","(ÁIG)",L233),Adat!$E:$E)</f>
        <v>0</v>
      </c>
    </row>
    <row r="243" spans="2:12" x14ac:dyDescent="0.25">
      <c r="B243" s="160">
        <v>8</v>
      </c>
      <c r="C243" s="78" t="s">
        <v>358</v>
      </c>
      <c r="D243" s="92" t="s">
        <v>1447</v>
      </c>
      <c r="E243" s="121">
        <f>E244+E246+E248</f>
        <v>0</v>
      </c>
      <c r="F243" s="121">
        <f>F244+F246+F248</f>
        <v>0</v>
      </c>
      <c r="G243" s="121">
        <f>G244+G246+G248</f>
        <v>0</v>
      </c>
      <c r="H243" s="121">
        <f>H244+H246+H248</f>
        <v>0</v>
      </c>
      <c r="I243" s="121">
        <f>I244+I246+I248</f>
        <v>0</v>
      </c>
    </row>
    <row r="244" spans="2:12" x14ac:dyDescent="0.25">
      <c r="B244" s="160">
        <v>9</v>
      </c>
      <c r="C244" s="305" t="s">
        <v>10</v>
      </c>
      <c r="D244" s="93" t="s">
        <v>322</v>
      </c>
      <c r="E244" s="72">
        <f>SUMIF(Adat!$AI:$AI,CONCATENATE(61,$M$4,"056",L233),Adat!$E:$E)</f>
        <v>0</v>
      </c>
      <c r="F244" s="72">
        <f>SUMIF(Adat!$AI:$AI,CONCATENATE(60,$M$4,"056",L233),Adat!$E:$E)+E244</f>
        <v>0</v>
      </c>
      <c r="G244" s="72">
        <f>SUMIF(Adat!$AJ:$AJ,CONCATENATE($M$4,"056","(KÖT)",L233),Adat!$E:$E)</f>
        <v>0</v>
      </c>
      <c r="H244" s="72">
        <f>SUMIF(Adat!$AJ:$AJ,CONCATENATE($M$4,"056","(ÖNV)",L233),Adat!$E:$E)</f>
        <v>0</v>
      </c>
      <c r="I244" s="72">
        <f>SUMIF(Adat!$AJ:$AJ,CONCATENATE($M$4,"056","(ÁIG)",L233),Adat!$E:$E)</f>
        <v>0</v>
      </c>
    </row>
    <row r="245" spans="2:12" x14ac:dyDescent="0.25">
      <c r="B245" s="160">
        <v>10</v>
      </c>
      <c r="C245" s="305" t="s">
        <v>10</v>
      </c>
      <c r="D245" s="93" t="s">
        <v>1448</v>
      </c>
      <c r="E245" s="72">
        <v>0</v>
      </c>
      <c r="F245" s="72">
        <f>SUM(G245:I245)</f>
        <v>0</v>
      </c>
      <c r="G245" s="72">
        <v>0</v>
      </c>
      <c r="H245" s="72">
        <v>0</v>
      </c>
      <c r="I245" s="72">
        <v>0</v>
      </c>
    </row>
    <row r="246" spans="2:12" x14ac:dyDescent="0.25">
      <c r="B246" s="160">
        <v>11</v>
      </c>
      <c r="C246" s="305" t="s">
        <v>12</v>
      </c>
      <c r="D246" s="93" t="s">
        <v>323</v>
      </c>
      <c r="E246" s="72">
        <f>SUMIF(Adat!$AI:$AI,CONCATENATE(61,$M$4,"057",L233),Adat!$E:$E)</f>
        <v>0</v>
      </c>
      <c r="F246" s="72">
        <f>SUMIF(Adat!$AI:$AI,CONCATENATE(60,$M$4,"057",L233),Adat!$E:$E)+E246</f>
        <v>0</v>
      </c>
      <c r="G246" s="72">
        <f>SUMIF(Adat!$AJ:$AJ,CONCATENATE($M$4,"057","(KÖT)",L233),Adat!$E:$E)</f>
        <v>0</v>
      </c>
      <c r="H246" s="72">
        <f>SUMIF(Adat!$AJ:$AJ,CONCATENATE($M$4,"057","(ÖNV)",L233),Adat!$E:$E)</f>
        <v>0</v>
      </c>
      <c r="I246" s="72">
        <f>SUMIF(Adat!$AJ:$AJ,CONCATENATE($M$4,"057","(ÁIG)",L233),Adat!$E:$E)</f>
        <v>0</v>
      </c>
    </row>
    <row r="247" spans="2:12" x14ac:dyDescent="0.25">
      <c r="B247" s="160">
        <v>12</v>
      </c>
      <c r="C247" s="305" t="s">
        <v>12</v>
      </c>
      <c r="D247" s="93" t="s">
        <v>1449</v>
      </c>
      <c r="E247" s="72">
        <v>0</v>
      </c>
      <c r="F247" s="72">
        <f>SUM(G247:I247)</f>
        <v>0</v>
      </c>
      <c r="G247" s="72">
        <v>0</v>
      </c>
      <c r="H247" s="72">
        <v>0</v>
      </c>
      <c r="I247" s="72">
        <v>0</v>
      </c>
    </row>
    <row r="248" spans="2:12" x14ac:dyDescent="0.25">
      <c r="B248" s="160">
        <v>13</v>
      </c>
      <c r="C248" s="305" t="s">
        <v>15</v>
      </c>
      <c r="D248" s="84" t="s">
        <v>324</v>
      </c>
      <c r="E248" s="72">
        <f>SUMIF(Adat!$AI:$AI,CONCATENATE(61,$M$4,"058",L233),Adat!$E:$E)</f>
        <v>0</v>
      </c>
      <c r="F248" s="72">
        <f>SUMIF(Adat!$AI:$AI,CONCATENATE(60,$M$4,"058",L233),Adat!$E:$E)+E248</f>
        <v>0</v>
      </c>
      <c r="G248" s="72">
        <f>SUMIF(Adat!$AJ:$AJ,CONCATENATE($M$4,"058","(KÖT)",L233),Adat!$E:$E)</f>
        <v>0</v>
      </c>
      <c r="H248" s="72">
        <f>SUMIF(Adat!$AJ:$AJ,CONCATENATE($M$4,"058","(ÖNV)",L233),Adat!$E:$E)</f>
        <v>0</v>
      </c>
      <c r="I248" s="72">
        <f>SUMIF(Adat!$AJ:$AJ,CONCATENATE($M$4,"058","(ÁIG)",L233),Adat!$E:$E)</f>
        <v>0</v>
      </c>
    </row>
    <row r="249" spans="2:12" x14ac:dyDescent="0.25">
      <c r="B249" s="160">
        <v>14</v>
      </c>
      <c r="C249" s="154" t="s">
        <v>364</v>
      </c>
      <c r="D249" s="86" t="s">
        <v>325</v>
      </c>
      <c r="E249" s="71">
        <f>SUMIF(Adat!$AI:$AI,CONCATENATE(61,$M$4,"059",L233),Adat!$E:$E)</f>
        <v>0</v>
      </c>
      <c r="F249" s="71">
        <f>SUMIF(Adat!$AI:$AI,CONCATENATE(60,$M$4,"059",L233),Adat!$E:$E)+E249</f>
        <v>0</v>
      </c>
      <c r="G249" s="71">
        <f>SUMIF(Adat!$AJ:$AJ,CONCATENATE($M$4,"059","(KÖT)",L233),Adat!$E:$E)</f>
        <v>0</v>
      </c>
      <c r="H249" s="71">
        <f>SUMIF(Adat!$AJ:$AJ,CONCATENATE($M$4,"059","(ÖNV)",L233),Adat!$E:$E)</f>
        <v>0</v>
      </c>
      <c r="I249" s="71">
        <f>SUMIF(Adat!$AJ:$AJ,CONCATENATE($M$4,"059","(ÁIG)",L233),Adat!$E:$E)</f>
        <v>0</v>
      </c>
    </row>
    <row r="250" spans="2:12" x14ac:dyDescent="0.25">
      <c r="B250" s="160">
        <v>15</v>
      </c>
      <c r="C250" s="154" t="s">
        <v>403</v>
      </c>
      <c r="D250" s="159" t="s">
        <v>497</v>
      </c>
      <c r="E250" s="121">
        <f>E237+E243+E249</f>
        <v>0</v>
      </c>
      <c r="F250" s="121">
        <f>F237+F243+F249</f>
        <v>0</v>
      </c>
      <c r="G250" s="121">
        <f>G237+G243+G249</f>
        <v>0</v>
      </c>
      <c r="H250" s="121">
        <f>H237+H243+H249</f>
        <v>0</v>
      </c>
      <c r="I250" s="121">
        <f>I237+I243+I249</f>
        <v>0</v>
      </c>
    </row>
    <row r="251" spans="2:12" ht="15.75" x14ac:dyDescent="0.25">
      <c r="B251" s="37"/>
      <c r="C251" s="529"/>
      <c r="D251" s="529"/>
      <c r="E251" s="529"/>
      <c r="F251" s="200"/>
      <c r="G251" s="200"/>
      <c r="H251" s="200"/>
      <c r="I251" s="200"/>
    </row>
    <row r="252" spans="2:12" ht="15.75" x14ac:dyDescent="0.25">
      <c r="B252" s="525" t="str">
        <f>$N$4</f>
        <v>Nagymaros Városi Könyvtár és Művelődési Ház</v>
      </c>
      <c r="C252" s="525"/>
      <c r="D252" s="525"/>
      <c r="E252" s="525"/>
      <c r="F252" s="525"/>
      <c r="G252" s="525"/>
      <c r="H252" s="525"/>
      <c r="I252" s="525"/>
    </row>
    <row r="253" spans="2:12" ht="15.75" x14ac:dyDescent="0.25">
      <c r="B253" s="525" t="s">
        <v>2660</v>
      </c>
      <c r="C253" s="525"/>
      <c r="D253" s="525"/>
      <c r="E253" s="525"/>
      <c r="F253" s="525"/>
      <c r="G253" s="525"/>
      <c r="H253" s="525"/>
      <c r="I253" s="525"/>
    </row>
    <row r="254" spans="2:12" ht="15.75" x14ac:dyDescent="0.25">
      <c r="B254" s="38"/>
      <c r="C254" s="156"/>
      <c r="D254" s="38"/>
      <c r="E254" s="140"/>
      <c r="F254" s="140"/>
      <c r="G254" s="140"/>
      <c r="H254" s="140"/>
      <c r="I254" s="140"/>
    </row>
    <row r="255" spans="2:12" s="10" customFormat="1" ht="15.75" customHeight="1" x14ac:dyDescent="0.25">
      <c r="B255" s="201" t="str">
        <f>CONCATENATE("9. Bevételi jogcímek"," - ",L255," részletező")</f>
        <v>9. Bevételi jogcímek -  részletező</v>
      </c>
      <c r="C255" s="101"/>
      <c r="D255" s="101"/>
      <c r="E255" s="101"/>
      <c r="F255" s="101"/>
      <c r="G255" s="198"/>
      <c r="H255" s="198"/>
      <c r="I255" s="198"/>
      <c r="L255" s="384"/>
    </row>
    <row r="256" spans="2:12" ht="15.75" x14ac:dyDescent="0.25">
      <c r="B256" s="38"/>
      <c r="C256" s="156"/>
      <c r="D256" s="38"/>
      <c r="E256" s="140"/>
      <c r="F256" s="140"/>
      <c r="G256" s="140"/>
      <c r="H256" s="140"/>
      <c r="I256" s="140"/>
    </row>
    <row r="257" spans="2:9" x14ac:dyDescent="0.25">
      <c r="B257" s="77"/>
      <c r="C257" s="77" t="s">
        <v>350</v>
      </c>
      <c r="D257" s="77" t="s">
        <v>351</v>
      </c>
      <c r="E257" s="77" t="s">
        <v>470</v>
      </c>
      <c r="F257" s="77" t="s">
        <v>471</v>
      </c>
      <c r="G257" s="77" t="s">
        <v>44</v>
      </c>
      <c r="H257" s="77" t="s">
        <v>42</v>
      </c>
      <c r="I257" s="77" t="s">
        <v>511</v>
      </c>
    </row>
    <row r="258" spans="2:9" ht="38.25" x14ac:dyDescent="0.25">
      <c r="B258" s="160">
        <v>1</v>
      </c>
      <c r="C258" s="154" t="s">
        <v>593</v>
      </c>
      <c r="D258" s="154" t="s">
        <v>488</v>
      </c>
      <c r="E258" s="163" t="str">
        <f>CONCATENATE(PAR!$H$3," évi
eredeti 
előirányzat")</f>
        <v>2025. évi
eredeti 
előirányzat</v>
      </c>
      <c r="F258" s="163" t="str">
        <f>CONCATENATE(PAR!$H$3," évi
módosított 
előirányzat")</f>
        <v>2025. évi
módosított 
előirányzat</v>
      </c>
      <c r="G258" s="78" t="s">
        <v>666</v>
      </c>
      <c r="H258" s="78" t="s">
        <v>667</v>
      </c>
      <c r="I258" s="78" t="s">
        <v>668</v>
      </c>
    </row>
    <row r="259" spans="2:9" x14ac:dyDescent="0.25">
      <c r="B259" s="160">
        <v>2</v>
      </c>
      <c r="C259" s="79" t="s">
        <v>30</v>
      </c>
      <c r="D259" s="79" t="s">
        <v>329</v>
      </c>
      <c r="E259" s="121">
        <f>SUM(E260:E272)</f>
        <v>0</v>
      </c>
      <c r="F259" s="121">
        <f t="shared" ref="F259:I259" si="16">SUM(F260:F272)</f>
        <v>0</v>
      </c>
      <c r="G259" s="121">
        <f t="shared" si="16"/>
        <v>0</v>
      </c>
      <c r="H259" s="121">
        <f t="shared" si="16"/>
        <v>0</v>
      </c>
      <c r="I259" s="121">
        <f t="shared" si="16"/>
        <v>0</v>
      </c>
    </row>
    <row r="260" spans="2:9" x14ac:dyDescent="0.2">
      <c r="B260" s="160">
        <v>3</v>
      </c>
      <c r="C260" s="305" t="s">
        <v>1309</v>
      </c>
      <c r="D260" s="82" t="s">
        <v>1356</v>
      </c>
      <c r="E260" s="72">
        <f>SUMIF(Adat!$AG:$AG,CONCATENATE(61,$M$4,"094011",L255),Adat!$E:$E)*-1</f>
        <v>0</v>
      </c>
      <c r="F260" s="72">
        <f>SUMIF(Adat!$AG:$AG,CONCATENATE(60,$M$4,"094011",L255),Adat!$E:$E)*-1+E260</f>
        <v>0</v>
      </c>
      <c r="G260" s="72">
        <f>SUMIF(Adat!$AH:$AH,CONCATENATE($M$4,"(KÖT)","094011",L255),Adat!$E:$E)*-1</f>
        <v>0</v>
      </c>
      <c r="H260" s="72">
        <f>SUMIF(Adat!$AH:$AH,CONCATENATE($M$4,"(ÖNV)","094011",L255),Adat!$E:$E)*-1</f>
        <v>0</v>
      </c>
      <c r="I260" s="72">
        <f>SUMIF(Adat!$AH:$AH,CONCATENATE($M$4,"(ÁIG)","094011",L255),Adat!$E:$E)*-1</f>
        <v>0</v>
      </c>
    </row>
    <row r="261" spans="2:9" x14ac:dyDescent="0.2">
      <c r="B261" s="160">
        <v>4</v>
      </c>
      <c r="C261" s="305" t="s">
        <v>1279</v>
      </c>
      <c r="D261" s="82" t="s">
        <v>1357</v>
      </c>
      <c r="E261" s="72">
        <f>SUMIF(Adat!$AG:$AG,CONCATENATE(61,$M$4,"094021",L255),Adat!$E:$E)*-1</f>
        <v>0</v>
      </c>
      <c r="F261" s="72">
        <f>SUMIF(Adat!$AG:$AG,CONCATENATE(60,$M$4,"094021",L255),Adat!$E:$E)*-1+E261</f>
        <v>0</v>
      </c>
      <c r="G261" s="72">
        <f>SUMIF(Adat!$AH:$AH,CONCATENATE($M$4,"(KÖT)","094021",L255),Adat!$E:$E)*-1</f>
        <v>0</v>
      </c>
      <c r="H261" s="72">
        <f>SUMIF(Adat!$AH:$AH,CONCATENATE($M$4,"(ÖNV)","094021",L255),Adat!$E:$E)*-1</f>
        <v>0</v>
      </c>
      <c r="I261" s="72">
        <f>SUMIF(Adat!$AH:$AH,CONCATENATE($M$4,"(ÁIG)","094021",L255),Adat!$E:$E)*-1</f>
        <v>0</v>
      </c>
    </row>
    <row r="262" spans="2:9" x14ac:dyDescent="0.2">
      <c r="B262" s="160">
        <v>5</v>
      </c>
      <c r="C262" s="305" t="s">
        <v>1272</v>
      </c>
      <c r="D262" s="82" t="s">
        <v>1358</v>
      </c>
      <c r="E262" s="72">
        <f>SUMIF(Adat!$AG:$AG,CONCATENATE(61,$M$4,"094031",L255),Adat!$E:$E)*-1</f>
        <v>0</v>
      </c>
      <c r="F262" s="72">
        <f>SUMIF(Adat!$AG:$AG,CONCATENATE(60,$M$4,"094031",L255),Adat!$E:$E)*-1+E262</f>
        <v>0</v>
      </c>
      <c r="G262" s="72">
        <f>SUMIF(Adat!$AH:$AH,CONCATENATE($M$4,"(KÖT)","094031",L255),Adat!$E:$E)*-1</f>
        <v>0</v>
      </c>
      <c r="H262" s="72">
        <f>SUMIF(Adat!$AH:$AH,CONCATENATE($M$4,"(ÖNV)","094031",L255),Adat!$E:$E)*-1</f>
        <v>0</v>
      </c>
      <c r="I262" s="72">
        <f>SUMIF(Adat!$AH:$AH,CONCATENATE($M$4,"(ÁIG)","094031",L255),Adat!$E:$E)*-1</f>
        <v>0</v>
      </c>
    </row>
    <row r="263" spans="2:9" x14ac:dyDescent="0.2">
      <c r="B263" s="160">
        <v>6</v>
      </c>
      <c r="C263" s="305" t="s">
        <v>1359</v>
      </c>
      <c r="D263" s="82" t="s">
        <v>1360</v>
      </c>
      <c r="E263" s="72">
        <f>SUMIF(Adat!$AG:$AG,CONCATENATE(61,$M$4,"094041",L255),Adat!$E:$E)*-1</f>
        <v>0</v>
      </c>
      <c r="F263" s="72">
        <f>SUMIF(Adat!$AG:$AG,CONCATENATE(60,$M$4,"094041",L255),Adat!$E:$E)*-1+E263</f>
        <v>0</v>
      </c>
      <c r="G263" s="72">
        <f>SUMIF(Adat!$AH:$AH,CONCATENATE($M$4,"(KÖT)","094041",L255),Adat!$E:$E)*-1</f>
        <v>0</v>
      </c>
      <c r="H263" s="72">
        <f>SUMIF(Adat!$AH:$AH,CONCATENATE($M$4,"(ÖNV)","094041",L255),Adat!$E:$E)*-1</f>
        <v>0</v>
      </c>
      <c r="I263" s="72">
        <f>SUMIF(Adat!$AH:$AH,CONCATENATE($M$4,"(ÁIG)","094041",L255),Adat!$E:$E)*-1</f>
        <v>0</v>
      </c>
    </row>
    <row r="264" spans="2:9" x14ac:dyDescent="0.2">
      <c r="B264" s="160">
        <v>7</v>
      </c>
      <c r="C264" s="305" t="s">
        <v>1261</v>
      </c>
      <c r="D264" s="82" t="s">
        <v>1361</v>
      </c>
      <c r="E264" s="72">
        <f>SUMIF(Adat!$AG:$AG,CONCATENATE(61,$M$4,"094051",L255),Adat!$E:$E)*-1</f>
        <v>0</v>
      </c>
      <c r="F264" s="72">
        <f>SUMIF(Adat!$AG:$AG,CONCATENATE(60,$M$4,"094051",L255),Adat!$E:$E)*-1+E264</f>
        <v>0</v>
      </c>
      <c r="G264" s="72">
        <f>SUMIF(Adat!$AH:$AH,CONCATENATE($M$4,"(KÖT)","094051",L255),Adat!$E:$E)*-1</f>
        <v>0</v>
      </c>
      <c r="H264" s="72">
        <f>SUMIF(Adat!$AH:$AH,CONCATENATE($M$4,"(ÖNV)","094051",L255),Adat!$E:$E)*-1</f>
        <v>0</v>
      </c>
      <c r="I264" s="72">
        <f>SUMIF(Adat!$AH:$AH,CONCATENATE($M$4,"(ÁIG)","094051",L255),Adat!$E:$E)*-1</f>
        <v>0</v>
      </c>
    </row>
    <row r="265" spans="2:9" x14ac:dyDescent="0.2">
      <c r="B265" s="160">
        <v>8</v>
      </c>
      <c r="C265" s="305" t="s">
        <v>1273</v>
      </c>
      <c r="D265" s="82" t="s">
        <v>1362</v>
      </c>
      <c r="E265" s="72">
        <f>SUMIF(Adat!$AG:$AG,CONCATENATE(61,$M$4,"094061",L255),Adat!$E:$E)*-1</f>
        <v>0</v>
      </c>
      <c r="F265" s="72">
        <f>SUMIF(Adat!$AG:$AG,CONCATENATE(60,$M$4,"094061",L255),Adat!$E:$E)*-1+E265</f>
        <v>0</v>
      </c>
      <c r="G265" s="72">
        <f>SUMIF(Adat!$AH:$AH,CONCATENATE($M$4,"(KÖT)","094061",L255),Adat!$E:$E)*-1</f>
        <v>0</v>
      </c>
      <c r="H265" s="72">
        <f>SUMIF(Adat!$AH:$AH,CONCATENATE($M$4,"(ÖNV)","094061",L255),Adat!$E:$E)*-1</f>
        <v>0</v>
      </c>
      <c r="I265" s="72">
        <f>SUMIF(Adat!$AH:$AH,CONCATENATE($M$4,"(ÁIG)","094061",L255),Adat!$E:$E)*-1</f>
        <v>0</v>
      </c>
    </row>
    <row r="266" spans="2:9" x14ac:dyDescent="0.2">
      <c r="B266" s="160">
        <v>9</v>
      </c>
      <c r="C266" s="305" t="s">
        <v>1363</v>
      </c>
      <c r="D266" s="82" t="s">
        <v>1364</v>
      </c>
      <c r="E266" s="72">
        <f>SUMIF(Adat!$AG:$AG,CONCATENATE(61,$M$4,"094071",L255),Adat!$E:$E)*-1</f>
        <v>0</v>
      </c>
      <c r="F266" s="72">
        <f>SUMIF(Adat!$AG:$AG,CONCATENATE(60,$M$4,"094071",L255),Adat!$E:$E)*-1+E266</f>
        <v>0</v>
      </c>
      <c r="G266" s="72">
        <f>SUMIF(Adat!$AH:$AH,CONCATENATE($M$4,"(KÖT)","094071",L255),Adat!$E:$E)*-1</f>
        <v>0</v>
      </c>
      <c r="H266" s="72">
        <f>SUMIF(Adat!$AH:$AH,CONCATENATE($M$4,"(ÖNV)","094071",L255),Adat!$E:$E)*-1</f>
        <v>0</v>
      </c>
      <c r="I266" s="72">
        <f>SUMIF(Adat!$AH:$AH,CONCATENATE($M$4,"(ÁIG)","094071",L255),Adat!$E:$E)*-1</f>
        <v>0</v>
      </c>
    </row>
    <row r="267" spans="2:9" x14ac:dyDescent="0.2">
      <c r="B267" s="160">
        <v>10</v>
      </c>
      <c r="C267" s="305" t="s">
        <v>1306</v>
      </c>
      <c r="D267" s="82" t="s">
        <v>1365</v>
      </c>
      <c r="E267" s="72">
        <f>SUMIF(Adat!$AG:$AG,CONCATENATE(61,$M$4,"0940811",L255),Adat!$E:$E)*-1</f>
        <v>0</v>
      </c>
      <c r="F267" s="72">
        <f>SUMIF(Adat!$AG:$AG,CONCATENATE(60,$M$4,"0940811",L255),Adat!$E:$E)*-1+E267</f>
        <v>0</v>
      </c>
      <c r="G267" s="72">
        <f>SUMIF(Adat!$AH:$AH,CONCATENATE($M$4,"(KÖT)","0940811",L255),Adat!$E:$E)*-1</f>
        <v>0</v>
      </c>
      <c r="H267" s="72">
        <f>SUMIF(Adat!$AH:$AH,CONCATENATE($M$4,"(ÖNV)","0940811",L255),Adat!$E:$E)*-1</f>
        <v>0</v>
      </c>
      <c r="I267" s="72">
        <f>SUMIF(Adat!$AH:$AH,CONCATENATE($M$4,"(ÁIG)","0940811",L255),Adat!$E:$E)*-1</f>
        <v>0</v>
      </c>
    </row>
    <row r="268" spans="2:9" x14ac:dyDescent="0.2">
      <c r="B268" s="160">
        <v>11</v>
      </c>
      <c r="C268" s="305" t="s">
        <v>1295</v>
      </c>
      <c r="D268" s="82" t="s">
        <v>1366</v>
      </c>
      <c r="E268" s="72">
        <f>SUMIF(Adat!$AG:$AG,CONCATENATE(61,$M$4,"0940821",L255),Adat!$E:$E)*-1</f>
        <v>0</v>
      </c>
      <c r="F268" s="72">
        <f>SUMIF(Adat!$AG:$AG,CONCATENATE(60,$M$4,"0940821",L255),Adat!$E:$E)*-1+E268</f>
        <v>0</v>
      </c>
      <c r="G268" s="72">
        <f>SUMIF(Adat!$AH:$AH,CONCATENATE($M$4,"(KÖT)","0940821",L255),Adat!$E:$E)*-1</f>
        <v>0</v>
      </c>
      <c r="H268" s="72">
        <f>SUMIF(Adat!$AH:$AH,CONCATENATE($M$4,"(ÖNV)","0940821",L255),Adat!$E:$E)*-1</f>
        <v>0</v>
      </c>
      <c r="I268" s="72">
        <f>SUMIF(Adat!$AH:$AH,CONCATENATE($M$4,"(ÁIG)","0940821",L255),Adat!$E:$E)*-1</f>
        <v>0</v>
      </c>
    </row>
    <row r="269" spans="2:9" x14ac:dyDescent="0.2">
      <c r="B269" s="160">
        <v>12</v>
      </c>
      <c r="C269" s="305" t="s">
        <v>1367</v>
      </c>
      <c r="D269" s="82" t="s">
        <v>1368</v>
      </c>
      <c r="E269" s="72">
        <f>SUMIF(Adat!$AG:$AG,CONCATENATE(61,$M$4,"0940911",L255),Adat!$E:$E)*-1</f>
        <v>0</v>
      </c>
      <c r="F269" s="72">
        <f>SUMIF(Adat!$AG:$AG,CONCATENATE(60,$M$4,"0940911",L255),Adat!$E:$E)*-1+E269</f>
        <v>0</v>
      </c>
      <c r="G269" s="72">
        <f>SUMIF(Adat!$AH:$AH,CONCATENATE($M$4,"(KÖT)","0940911",L255),Adat!$E:$E)*-1</f>
        <v>0</v>
      </c>
      <c r="H269" s="72">
        <f>SUMIF(Adat!$AH:$AH,CONCATENATE($M$4,"(ÖNV)","0940911",L255),Adat!$E:$E)*-1</f>
        <v>0</v>
      </c>
      <c r="I269" s="72">
        <f>SUMIF(Adat!$AH:$AH,CONCATENATE($M$4,"(ÁIG)","0940911",L255),Adat!$E:$E)*-1</f>
        <v>0</v>
      </c>
    </row>
    <row r="270" spans="2:9" x14ac:dyDescent="0.2">
      <c r="B270" s="160">
        <v>13</v>
      </c>
      <c r="C270" s="305" t="s">
        <v>1369</v>
      </c>
      <c r="D270" s="82" t="s">
        <v>1370</v>
      </c>
      <c r="E270" s="72">
        <f>SUMIF(Adat!$AG:$AG,CONCATENATE(61,$M$4,"0940921",L255),Adat!$E:$E)*-1</f>
        <v>0</v>
      </c>
      <c r="F270" s="72">
        <f>SUMIF(Adat!$AG:$AG,CONCATENATE(60,$M$4,"0940921",L255),Adat!$E:$E)*-1+E270</f>
        <v>0</v>
      </c>
      <c r="G270" s="72">
        <f>SUMIF(Adat!$AH:$AH,CONCATENATE($M$4,"(KÖT)","0940921",L255),Adat!$E:$E)*-1</f>
        <v>0</v>
      </c>
      <c r="H270" s="72">
        <f>SUMIF(Adat!$AH:$AH,CONCATENATE($M$4,"(ÖNV)","0940921",L255),Adat!$E:$E)*-1</f>
        <v>0</v>
      </c>
      <c r="I270" s="72">
        <f>SUMIF(Adat!$AH:$AH,CONCATENATE($M$4,"(ÁIG)","0940921",L255),Adat!$E:$E)*-1</f>
        <v>0</v>
      </c>
    </row>
    <row r="271" spans="2:9" x14ac:dyDescent="0.2">
      <c r="B271" s="160">
        <v>14</v>
      </c>
      <c r="C271" s="305" t="s">
        <v>1296</v>
      </c>
      <c r="D271" s="82" t="s">
        <v>1371</v>
      </c>
      <c r="E271" s="72">
        <f>SUMIF(Adat!$AG:$AG,CONCATENATE(61,$M$4,"094101",L255),Adat!$E:$E)*-1</f>
        <v>0</v>
      </c>
      <c r="F271" s="72">
        <f>SUMIF(Adat!$AG:$AG,CONCATENATE(60,$M$4,"094101",L255),Adat!$E:$E)*-1+E271</f>
        <v>0</v>
      </c>
      <c r="G271" s="72">
        <f>SUMIF(Adat!$AH:$AH,CONCATENATE($M$4,"(KÖT)","094101",L255),Adat!$E:$E)*-1</f>
        <v>0</v>
      </c>
      <c r="H271" s="72">
        <f>SUMIF(Adat!$AH:$AH,CONCATENATE($M$4,"(ÖNV)","094101",L255),Adat!$E:$E)*-1</f>
        <v>0</v>
      </c>
      <c r="I271" s="72">
        <f>SUMIF(Adat!$AH:$AH,CONCATENATE($M$4,"(ÁIG)","094101",L255),Adat!$E:$E)*-1</f>
        <v>0</v>
      </c>
    </row>
    <row r="272" spans="2:9" x14ac:dyDescent="0.25">
      <c r="B272" s="160">
        <v>15</v>
      </c>
      <c r="C272" s="305" t="s">
        <v>1297</v>
      </c>
      <c r="D272" s="84" t="s">
        <v>1372</v>
      </c>
      <c r="E272" s="72">
        <f>SUMIF(Adat!$AG:$AG,CONCATENATE(61,$M$4,"094111",L255),Adat!$E:$E)*-1</f>
        <v>0</v>
      </c>
      <c r="F272" s="72">
        <f>SUMIF(Adat!$AG:$AG,CONCATENATE(60,$M$4,"094111",L255),Adat!$E:$E)*-1+E272</f>
        <v>0</v>
      </c>
      <c r="G272" s="72">
        <f>SUMIF(Adat!$AH:$AH,CONCATENATE($M$4,"(KÖT)","094111",L255),Adat!$E:$E)*-1</f>
        <v>0</v>
      </c>
      <c r="H272" s="72">
        <f>SUMIF(Adat!$AH:$AH,CONCATENATE($M$4,"(ÖNV)","094111",L255),Adat!$E:$E)*-1</f>
        <v>0</v>
      </c>
      <c r="I272" s="72">
        <f>SUMIF(Adat!$AH:$AH,CONCATENATE($M$4,"(ÁIG)","094111",L255),Adat!$E:$E)*-1</f>
        <v>0</v>
      </c>
    </row>
    <row r="273" spans="2:9" x14ac:dyDescent="0.25">
      <c r="B273" s="160">
        <v>16</v>
      </c>
      <c r="C273" s="78" t="s">
        <v>1328</v>
      </c>
      <c r="D273" s="85" t="s">
        <v>437</v>
      </c>
      <c r="E273" s="121">
        <f>SUM(E274:E276)</f>
        <v>0</v>
      </c>
      <c r="F273" s="121">
        <f>SUM(F274:F276)</f>
        <v>0</v>
      </c>
      <c r="G273" s="121">
        <f>SUM(G274:G276)</f>
        <v>0</v>
      </c>
      <c r="H273" s="121">
        <f>SUM(H274:H276)</f>
        <v>0</v>
      </c>
      <c r="I273" s="121">
        <f>SUM(I274:I276)</f>
        <v>0</v>
      </c>
    </row>
    <row r="274" spans="2:9" x14ac:dyDescent="0.2">
      <c r="B274" s="160">
        <v>17</v>
      </c>
      <c r="C274" s="305" t="s">
        <v>1329</v>
      </c>
      <c r="D274" s="82" t="s">
        <v>1330</v>
      </c>
      <c r="E274" s="72">
        <f>SUMIF(Adat!$AG:$AG,CONCATENATE(61,$M$4,"09121",L255),Adat!$E:$E)*-1</f>
        <v>0</v>
      </c>
      <c r="F274" s="72">
        <f>SUMIF(Adat!$AG:$AG,CONCATENATE(60,$M$4,"09121",L255),Adat!$E:$E)*-1+E274</f>
        <v>0</v>
      </c>
      <c r="G274" s="72">
        <f>SUMIF(Adat!$AH:$AH,CONCATENATE($M$4,"(KÖT)","09121",L255),Adat!$E:$E)*-1</f>
        <v>0</v>
      </c>
      <c r="H274" s="72">
        <f>SUMIF(Adat!$AH:$AH,CONCATENATE($M$4,"(ÖNV)","09121",L255),Adat!$E:$E)*-1</f>
        <v>0</v>
      </c>
      <c r="I274" s="72">
        <f>SUMIF(Adat!$AH:$AH,CONCATENATE($M$4,"(ÁIG)","09121",L255),Adat!$E:$E)*-1</f>
        <v>0</v>
      </c>
    </row>
    <row r="275" spans="2:9" x14ac:dyDescent="0.2">
      <c r="B275" s="160">
        <v>18</v>
      </c>
      <c r="C275" s="305" t="s">
        <v>1335</v>
      </c>
      <c r="D275" s="82" t="s">
        <v>1336</v>
      </c>
      <c r="E275" s="72">
        <f>SUMIF(Adat!$AG:$AG,CONCATENATE(61,$M$4,"09151",L255),Adat!$E:$E)*-1</f>
        <v>0</v>
      </c>
      <c r="F275" s="72">
        <f>SUMIF(Adat!$AG:$AG,CONCATENATE(60,$M$4,"09151",L255),Adat!$E:$E)*-1+E275</f>
        <v>0</v>
      </c>
      <c r="G275" s="72">
        <f>SUMIF(Adat!$AH:$AH,CONCATENATE($M$4,"(KÖT)","09151",L255),Adat!$E:$E)*-1</f>
        <v>0</v>
      </c>
      <c r="H275" s="72">
        <f>SUMIF(Adat!$AH:$AH,CONCATENATE($M$4,"(ÖNV)","09151",L255),Adat!$E:$E)*-1</f>
        <v>0</v>
      </c>
      <c r="I275" s="72">
        <f>SUMIF(Adat!$AH:$AH,CONCATENATE($M$4,"(ÁIG)","09151",L255),Adat!$E:$E)*-1</f>
        <v>0</v>
      </c>
    </row>
    <row r="276" spans="2:9" x14ac:dyDescent="0.2">
      <c r="B276" s="160">
        <v>19</v>
      </c>
      <c r="C276" s="305" t="s">
        <v>1278</v>
      </c>
      <c r="D276" s="82" t="s">
        <v>1337</v>
      </c>
      <c r="E276" s="72">
        <f>SUMIF(Adat!$AG:$AG,CONCATENATE(61,$M$4,"09161",L255),Adat!$E:$E)*-1</f>
        <v>0</v>
      </c>
      <c r="F276" s="72">
        <f>SUMIF(Adat!$AG:$AG,CONCATENATE(60,$M$4,"09161",L255),Adat!$E:$E)*-1+E276</f>
        <v>0</v>
      </c>
      <c r="G276" s="72">
        <f>SUMIF(Adat!$AH:$AH,CONCATENATE($M$4,"(KÖT)","09161",L255),Adat!$E:$E)*-1</f>
        <v>0</v>
      </c>
      <c r="H276" s="72">
        <f>SUMIF(Adat!$AH:$AH,CONCATENATE($M$4,"(ÖNV)","09161",L255),Adat!$E:$E)*-1</f>
        <v>0</v>
      </c>
      <c r="I276" s="72">
        <f>SUMIF(Adat!$AH:$AH,CONCATENATE($M$4,"(ÁIG)","09161",L255),Adat!$E:$E)*-1</f>
        <v>0</v>
      </c>
    </row>
    <row r="277" spans="2:9" x14ac:dyDescent="0.25">
      <c r="B277" s="160">
        <v>20</v>
      </c>
      <c r="C277" s="79" t="s">
        <v>27</v>
      </c>
      <c r="D277" s="79" t="s">
        <v>328</v>
      </c>
      <c r="E277" s="71">
        <f>SUMIF(Adat!$AI:$AI,CONCATENATE(61,$M$4,"093",L255),Adat!$E:$E)*-1</f>
        <v>0</v>
      </c>
      <c r="F277" s="71">
        <f>SUMIF(Adat!$AI:$AI,CONCATENATE(60,$M$4,"093",L255),Adat!$E:$E)*-1+E277</f>
        <v>0</v>
      </c>
      <c r="G277" s="71">
        <f>SUMIF(Adat!$AJ:$AJ,CONCATENATE($M$4,"093","(KÖT)",L255),Adat!$E:$E)*-1</f>
        <v>0</v>
      </c>
      <c r="H277" s="71">
        <f>SUMIF(Adat!$AJ:$AJ,CONCATENATE($M$4,"093","(ÖNV)",L255),Adat!$E:$E)*-1</f>
        <v>0</v>
      </c>
      <c r="I277" s="71">
        <f>SUMIF(Adat!$AJ:$AJ,CONCATENATE($M$4,"093","(ÁIG)",L255),Adat!$E:$E)*-1</f>
        <v>0</v>
      </c>
    </row>
    <row r="278" spans="2:9" x14ac:dyDescent="0.25">
      <c r="B278" s="160">
        <v>21</v>
      </c>
      <c r="C278" s="79" t="s">
        <v>24</v>
      </c>
      <c r="D278" s="79" t="s">
        <v>449</v>
      </c>
      <c r="E278" s="121">
        <f>SUM(E279:E281)</f>
        <v>0</v>
      </c>
      <c r="F278" s="121">
        <f t="shared" ref="F278:I278" si="17">SUM(F279:F281)</f>
        <v>0</v>
      </c>
      <c r="G278" s="121">
        <f t="shared" si="17"/>
        <v>0</v>
      </c>
      <c r="H278" s="121">
        <f t="shared" si="17"/>
        <v>0</v>
      </c>
      <c r="I278" s="121">
        <f t="shared" si="17"/>
        <v>0</v>
      </c>
    </row>
    <row r="279" spans="2:9" x14ac:dyDescent="0.2">
      <c r="B279" s="160">
        <v>22</v>
      </c>
      <c r="C279" s="305" t="s">
        <v>1339</v>
      </c>
      <c r="D279" s="82" t="s">
        <v>1340</v>
      </c>
      <c r="E279" s="72">
        <f>SUMIF(Adat!$AG:$AG,CONCATENATE(61,$M$4,"09211",L255),Adat!$E:$E)*-1</f>
        <v>0</v>
      </c>
      <c r="F279" s="72">
        <f>SUMIF(Adat!$AG:$AG,CONCATENATE(60,$M$4,"09211",L255),Adat!$E:$E)*-1+E279</f>
        <v>0</v>
      </c>
      <c r="G279" s="72">
        <f>SUMIF(Adat!$AH:$AH,CONCATENATE($M$4,"(KÖT)","09211",L255),Adat!$E:$E)*-1</f>
        <v>0</v>
      </c>
      <c r="H279" s="72">
        <f>SUMIF(Adat!$AH:$AH,CONCATENATE($M$4,"(ÖNV)","09211",L255),Adat!$E:$E)*-1</f>
        <v>0</v>
      </c>
      <c r="I279" s="72">
        <f>SUMIF(Adat!$AH:$AH,CONCATENATE($M$4,"(ÁIG)","09211",L255),Adat!$E:$E)*-1</f>
        <v>0</v>
      </c>
    </row>
    <row r="280" spans="2:9" x14ac:dyDescent="0.2">
      <c r="B280" s="160">
        <v>23</v>
      </c>
      <c r="C280" s="305" t="s">
        <v>1345</v>
      </c>
      <c r="D280" s="82" t="s">
        <v>1346</v>
      </c>
      <c r="E280" s="72">
        <f>SUMIF(Adat!$AG:$AG,CONCATENATE(61,$M$4,"09241",L255),Adat!$E:$E)*-1</f>
        <v>0</v>
      </c>
      <c r="F280" s="72">
        <f>SUMIF(Adat!$AG:$AG,CONCATENATE(60,$M$4,"09241",L255),Adat!$E:$E)*-1+E280</f>
        <v>0</v>
      </c>
      <c r="G280" s="72">
        <f>SUMIF(Adat!$AH:$AH,CONCATENATE($M$4,"(KÖT)","09241",L255),Adat!$E:$E)*-1</f>
        <v>0</v>
      </c>
      <c r="H280" s="72">
        <f>SUMIF(Adat!$AH:$AH,CONCATENATE($M$4,"(ÖNV)","09241",L255),Adat!$E:$E)*-1</f>
        <v>0</v>
      </c>
      <c r="I280" s="72">
        <f>SUMIF(Adat!$AH:$AH,CONCATENATE($M$4,"(ÁIG)","09241",L255),Adat!$E:$E)*-1</f>
        <v>0</v>
      </c>
    </row>
    <row r="281" spans="2:9" x14ac:dyDescent="0.2">
      <c r="B281" s="160">
        <v>24</v>
      </c>
      <c r="C281" s="305" t="s">
        <v>1255</v>
      </c>
      <c r="D281" s="82" t="s">
        <v>1347</v>
      </c>
      <c r="E281" s="72">
        <f>SUMIF(Adat!$AG:$AG,CONCATENATE(61,$M$4,"09251",L255),Adat!$E:$E)*-1</f>
        <v>0</v>
      </c>
      <c r="F281" s="72">
        <f>SUMIF(Adat!$AG:$AG,CONCATENATE(60,$M$4,"09251",L255),Adat!$E:$E)*-1+E281</f>
        <v>0</v>
      </c>
      <c r="G281" s="72">
        <f>SUMIF(Adat!$AH:$AH,CONCATENATE($M$4,"(KÖT)","09251",L255),Adat!$E:$E)*-1</f>
        <v>0</v>
      </c>
      <c r="H281" s="72">
        <f>SUMIF(Adat!$AH:$AH,CONCATENATE($M$4,"(ÖNV)","09251",L255),Adat!$E:$E)*-1</f>
        <v>0</v>
      </c>
      <c r="I281" s="72">
        <f>SUMIF(Adat!$AH:$AH,CONCATENATE($M$4,"(ÁIG)","09251",L255),Adat!$E:$E)*-1</f>
        <v>0</v>
      </c>
    </row>
    <row r="282" spans="2:9" x14ac:dyDescent="0.25">
      <c r="B282" s="160">
        <v>25</v>
      </c>
      <c r="C282" s="79" t="s">
        <v>33</v>
      </c>
      <c r="D282" s="79" t="s">
        <v>330</v>
      </c>
      <c r="E282" s="121">
        <f>SUM(E283:E285)</f>
        <v>0</v>
      </c>
      <c r="F282" s="121">
        <f t="shared" ref="F282:I282" si="18">SUM(F283:F285)</f>
        <v>0</v>
      </c>
      <c r="G282" s="121">
        <f t="shared" si="18"/>
        <v>0</v>
      </c>
      <c r="H282" s="121">
        <f t="shared" si="18"/>
        <v>0</v>
      </c>
      <c r="I282" s="121">
        <f t="shared" si="18"/>
        <v>0</v>
      </c>
    </row>
    <row r="283" spans="2:9" x14ac:dyDescent="0.2">
      <c r="B283" s="160">
        <v>26</v>
      </c>
      <c r="C283" s="305" t="s">
        <v>1373</v>
      </c>
      <c r="D283" s="82" t="s">
        <v>1374</v>
      </c>
      <c r="E283" s="72">
        <f>SUMIF(Adat!$AG:$AG,CONCATENATE(61,$M$4,"09511",L255),Adat!$E:$E)*-1</f>
        <v>0</v>
      </c>
      <c r="F283" s="72">
        <f>SUMIF(Adat!$AG:$AG,CONCATENATE(60,$M$4,"09511",L255),Adat!$E:$E)*-1+E283</f>
        <v>0</v>
      </c>
      <c r="G283" s="72">
        <f>SUMIF(Adat!$AH:$AH,CONCATENATE($M$4,"(KÖT)","09511",L255),Adat!$E:$E)*-1</f>
        <v>0</v>
      </c>
      <c r="H283" s="72">
        <f>SUMIF(Adat!$AH:$AH,CONCATENATE($M$4,"(ÖNV)","09511",L255),Adat!$E:$E)*-1</f>
        <v>0</v>
      </c>
      <c r="I283" s="72">
        <f>SUMIF(Adat!$AH:$AH,CONCATENATE($M$4,"(ÁIG)","09511",L255),Adat!$E:$E)*-1</f>
        <v>0</v>
      </c>
    </row>
    <row r="284" spans="2:9" x14ac:dyDescent="0.2">
      <c r="B284" s="160">
        <v>27</v>
      </c>
      <c r="C284" s="305" t="s">
        <v>1294</v>
      </c>
      <c r="D284" s="82" t="s">
        <v>1375</v>
      </c>
      <c r="E284" s="72">
        <f>SUMIF(Adat!$AG:$AG,CONCATENATE(61,$M$4,"09521",L255),Adat!$E:$E)*-1</f>
        <v>0</v>
      </c>
      <c r="F284" s="72">
        <f>SUMIF(Adat!$AG:$AG,CONCATENATE(60,$M$4,"09521",L255),Adat!$E:$E)*-1+E284</f>
        <v>0</v>
      </c>
      <c r="G284" s="72">
        <f>SUMIF(Adat!$AH:$AH,CONCATENATE($M$4,"(KÖT)","09521",L255),Adat!$E:$E)*-1</f>
        <v>0</v>
      </c>
      <c r="H284" s="72">
        <f>SUMIF(Adat!$AH:$AH,CONCATENATE($M$4,"(ÖNV)","09521",L255),Adat!$E:$E)*-1</f>
        <v>0</v>
      </c>
      <c r="I284" s="72">
        <f>SUMIF(Adat!$AH:$AH,CONCATENATE($M$4,"(ÁIG)","09521",L255),Adat!$E:$E)*-1</f>
        <v>0</v>
      </c>
    </row>
    <row r="285" spans="2:9" x14ac:dyDescent="0.2">
      <c r="B285" s="160">
        <v>28</v>
      </c>
      <c r="C285" s="305" t="s">
        <v>1376</v>
      </c>
      <c r="D285" s="82" t="s">
        <v>1377</v>
      </c>
      <c r="E285" s="72">
        <f>SUMIF(Adat!$AG:$AG,CONCATENATE(61,$M$4,"09531",L255),Adat!$E:$E)*-1</f>
        <v>0</v>
      </c>
      <c r="F285" s="72">
        <f>SUMIF(Adat!$AG:$AG,CONCATENATE(60,$M$4,"09531",L255),Adat!$E:$E)*-1+E285</f>
        <v>0</v>
      </c>
      <c r="G285" s="72">
        <f>SUMIF(Adat!$AH:$AH,CONCATENATE($M$4,"(KÖT)","09531",L255),Adat!$E:$E)*-1</f>
        <v>0</v>
      </c>
      <c r="H285" s="72">
        <f>SUMIF(Adat!$AH:$AH,CONCATENATE($M$4,"(ÖNV)","09531",L255),Adat!$E:$E)*-1</f>
        <v>0</v>
      </c>
      <c r="I285" s="72">
        <f>SUMIF(Adat!$AH:$AH,CONCATENATE($M$4,"(ÁIG)","09531",L255),Adat!$E:$E)*-1</f>
        <v>0</v>
      </c>
    </row>
    <row r="286" spans="2:9" x14ac:dyDescent="0.25">
      <c r="B286" s="160">
        <v>29</v>
      </c>
      <c r="C286" s="79" t="s">
        <v>36</v>
      </c>
      <c r="D286" s="79" t="s">
        <v>331</v>
      </c>
      <c r="E286" s="71">
        <f>SUMIF(Adat!$AI:$AI,CONCATENATE(61,$M$4,"096",L255),Adat!$E:$E)*-1</f>
        <v>0</v>
      </c>
      <c r="F286" s="71">
        <f>SUMIF(Adat!$AI:$AI,CONCATENATE(60,$M$4,"096",L255),Adat!$E:$E)*-1+E286</f>
        <v>0</v>
      </c>
      <c r="G286" s="71">
        <f>SUMIF(Adat!$AJ:$AJ,CONCATENATE($M$4,"096","(KÖT)",L255),Adat!$E:$E)*-1</f>
        <v>0</v>
      </c>
      <c r="H286" s="71">
        <f>SUMIF(Adat!$AJ:$AJ,CONCATENATE($M$4,"096","(ÖNV)",L255),Adat!$E:$E)*-1</f>
        <v>0</v>
      </c>
      <c r="I286" s="71">
        <f>SUMIF(Adat!$AJ:$AJ,CONCATENATE($M$4,"096","(ÁIG)",L255),Adat!$E:$E)*-1</f>
        <v>0</v>
      </c>
    </row>
    <row r="287" spans="2:9" x14ac:dyDescent="0.25">
      <c r="B287" s="160">
        <v>30</v>
      </c>
      <c r="C287" s="79" t="s">
        <v>38</v>
      </c>
      <c r="D287" s="85" t="s">
        <v>332</v>
      </c>
      <c r="E287" s="71">
        <f>SUMIF(Adat!$AI:$AI,CONCATENATE(61,$M$4,"097",L255),Adat!$E:$E)*-1</f>
        <v>0</v>
      </c>
      <c r="F287" s="71">
        <f>SUMIF(Adat!$AI:$AI,CONCATENATE(60,$M$4,"097",L255),Adat!$E:$E)*-1+E287</f>
        <v>0</v>
      </c>
      <c r="G287" s="71">
        <f>SUMIF(Adat!$AJ:$AJ,CONCATENATE($M$4,"097","(KÖT)",L255),Adat!$E:$E)*-1</f>
        <v>0</v>
      </c>
      <c r="H287" s="71">
        <f>SUMIF(Adat!$AJ:$AJ,CONCATENATE($M$4,"097","(ÖNV)",L255),Adat!$E:$E)*-1</f>
        <v>0</v>
      </c>
      <c r="I287" s="71">
        <f>SUMIF(Adat!$AJ:$AJ,CONCATENATE($M$4,"097","(ÁIG)",L255),Adat!$E:$E)*-1</f>
        <v>0</v>
      </c>
    </row>
    <row r="288" spans="2:9" x14ac:dyDescent="0.25">
      <c r="B288" s="160">
        <v>31</v>
      </c>
      <c r="C288" s="154" t="s">
        <v>352</v>
      </c>
      <c r="D288" s="86" t="s">
        <v>1500</v>
      </c>
      <c r="E288" s="121">
        <f>E259+E273+E277+E278+E282+E286+E287</f>
        <v>0</v>
      </c>
      <c r="F288" s="121">
        <f>F259+F273+F277+F278+F282+F286+F287</f>
        <v>0</v>
      </c>
      <c r="G288" s="121">
        <f>G259+G273+G277+G278+G282+G286+G287</f>
        <v>0</v>
      </c>
      <c r="H288" s="121">
        <f>H259+H273+H277+H278+H282+H286+H287</f>
        <v>0</v>
      </c>
      <c r="I288" s="121">
        <f>I259+I273+I277+I278+I282+I286+I287</f>
        <v>0</v>
      </c>
    </row>
    <row r="289" spans="2:12" x14ac:dyDescent="0.25">
      <c r="B289" s="160">
        <v>32</v>
      </c>
      <c r="C289" s="154" t="s">
        <v>358</v>
      </c>
      <c r="D289" s="86" t="s">
        <v>333</v>
      </c>
      <c r="E289" s="121">
        <f>SUM(E290:E292)</f>
        <v>0</v>
      </c>
      <c r="F289" s="121">
        <f t="shared" ref="F289:I289" si="19">SUM(F290:F292)</f>
        <v>0</v>
      </c>
      <c r="G289" s="121">
        <f t="shared" si="19"/>
        <v>0</v>
      </c>
      <c r="H289" s="121">
        <f t="shared" si="19"/>
        <v>0</v>
      </c>
      <c r="I289" s="121">
        <f t="shared" si="19"/>
        <v>0</v>
      </c>
    </row>
    <row r="290" spans="2:12" x14ac:dyDescent="0.2">
      <c r="B290" s="160">
        <v>33</v>
      </c>
      <c r="C290" s="305" t="s">
        <v>1274</v>
      </c>
      <c r="D290" s="82" t="s">
        <v>1419</v>
      </c>
      <c r="E290" s="72">
        <f>SUMIF(Adat!$AG:$AG,CONCATENATE(61,$M$4,"0981311",L255),Adat!$E:$E)*-1</f>
        <v>0</v>
      </c>
      <c r="F290" s="72">
        <f>SUMIF(Adat!$AG:$AG,CONCATENATE(60,$M$4,"0981311",L255),Adat!$E:$E)*-1+E290</f>
        <v>0</v>
      </c>
      <c r="G290" s="72">
        <f>SUMIF(Adat!$AH:$AH,CONCATENATE($M$4,"(KÖT)","0981311",L255),Adat!$E:$E)*-1</f>
        <v>0</v>
      </c>
      <c r="H290" s="72">
        <f>SUMIF(Adat!$AH:$AH,CONCATENATE($M$4,"(ÖNV)","0981311",L255),Adat!$E:$E)*-1</f>
        <v>0</v>
      </c>
      <c r="I290" s="72">
        <f>SUMIF(Adat!$AH:$AH,CONCATENATE($M$4,"(ÁIG)","0981311",L255),Adat!$E:$E)*-1</f>
        <v>0</v>
      </c>
    </row>
    <row r="291" spans="2:12" x14ac:dyDescent="0.25">
      <c r="B291" s="160">
        <v>34</v>
      </c>
      <c r="C291" s="305" t="s">
        <v>1420</v>
      </c>
      <c r="D291" s="84" t="s">
        <v>1421</v>
      </c>
      <c r="E291" s="72">
        <f>SUMIF(Adat!$AG:$AG,CONCATENATE(61,$M$4,"0981321",L255),Adat!$E:$E)*-1</f>
        <v>0</v>
      </c>
      <c r="F291" s="72">
        <f>SUMIF(Adat!$AG:$AG,CONCATENATE(60,$M$4,"0981321",L255),Adat!$E:$E)*-1+E291</f>
        <v>0</v>
      </c>
      <c r="G291" s="72">
        <f>SUMIF(Adat!$AH:$AH,CONCATENATE($M$4,"(KÖT)","0981321",L255),Adat!$E:$E)*-1</f>
        <v>0</v>
      </c>
      <c r="H291" s="72">
        <f>SUMIF(Adat!$AH:$AH,CONCATENATE($M$4,"(ÖNV)","0981321",L255),Adat!$E:$E)*-1</f>
        <v>0</v>
      </c>
      <c r="I291" s="72">
        <f>SUMIF(Adat!$AH:$AH,CONCATENATE($M$4,"(ÁIG)","0981321",L255),Adat!$E:$E)*-1</f>
        <v>0</v>
      </c>
    </row>
    <row r="292" spans="2:12" x14ac:dyDescent="0.25">
      <c r="B292" s="160">
        <v>35</v>
      </c>
      <c r="C292" s="319" t="s">
        <v>1275</v>
      </c>
      <c r="D292" s="84" t="s">
        <v>1501</v>
      </c>
      <c r="E292" s="72">
        <f>SUMIF(Adat!$AG:$AG,CONCATENATE(61,$M$4,"098161",L255),Adat!$E:$E)*-1</f>
        <v>0</v>
      </c>
      <c r="F292" s="72">
        <f>SUMIF(Adat!$AG:$AG,CONCATENATE(60,$M$4,"098161",L255),Adat!$E:$E)*-1+E292</f>
        <v>0</v>
      </c>
      <c r="G292" s="72">
        <f>SUMIF(Adat!$AH:$AH,CONCATENATE($M$4,"(KÖT)","098161",L255),Adat!$E:$E)*-1</f>
        <v>0</v>
      </c>
      <c r="H292" s="72">
        <f>SUMIF(Adat!$AH:$AH,CONCATENATE($M$4,"(ÖNV)","098161",L255),Adat!$E:$E)*-1</f>
        <v>0</v>
      </c>
      <c r="I292" s="72">
        <f>SUMIF(Adat!$AH:$AH,CONCATENATE($M$4,"(ÁIG)","098161",L255),Adat!$E:$E)*-1</f>
        <v>0</v>
      </c>
    </row>
    <row r="293" spans="2:12" x14ac:dyDescent="0.25">
      <c r="B293" s="160">
        <v>36</v>
      </c>
      <c r="C293" s="154" t="s">
        <v>364</v>
      </c>
      <c r="D293" s="159" t="s">
        <v>1502</v>
      </c>
      <c r="E293" s="121">
        <f>+E288+E289</f>
        <v>0</v>
      </c>
      <c r="F293" s="121">
        <f>+F288+F289</f>
        <v>0</v>
      </c>
      <c r="G293" s="121">
        <f>+G288+G289</f>
        <v>0</v>
      </c>
      <c r="H293" s="121">
        <f>+H288+H289</f>
        <v>0</v>
      </c>
      <c r="I293" s="121">
        <f>+I288+I289</f>
        <v>0</v>
      </c>
    </row>
    <row r="294" spans="2:12" ht="15.75" x14ac:dyDescent="0.25">
      <c r="B294" s="38"/>
      <c r="C294" s="156"/>
      <c r="D294" s="38"/>
      <c r="E294" s="140"/>
      <c r="F294" s="140"/>
      <c r="G294" s="140"/>
      <c r="H294" s="140"/>
      <c r="I294" s="140"/>
    </row>
    <row r="295" spans="2:12" s="10" customFormat="1" ht="15.75" customHeight="1" x14ac:dyDescent="0.25">
      <c r="B295" s="201" t="str">
        <f>CONCATENATE("10. Kiadási jogcímek"," - ",L295," részletező")</f>
        <v>10. Kiadási jogcímek -  részletező</v>
      </c>
      <c r="C295" s="101"/>
      <c r="D295" s="101"/>
      <c r="E295" s="101"/>
      <c r="F295" s="101"/>
      <c r="G295" s="198"/>
      <c r="H295" s="198"/>
      <c r="I295" s="198"/>
      <c r="L295" s="384"/>
    </row>
    <row r="296" spans="2:12" ht="15.75" x14ac:dyDescent="0.25">
      <c r="B296" s="38"/>
      <c r="C296" s="156"/>
      <c r="D296" s="38"/>
      <c r="E296" s="140"/>
      <c r="F296" s="140"/>
      <c r="G296" s="140"/>
      <c r="H296" s="140"/>
      <c r="I296" s="140"/>
    </row>
    <row r="297" spans="2:12" x14ac:dyDescent="0.25">
      <c r="B297" s="77"/>
      <c r="C297" s="77" t="s">
        <v>350</v>
      </c>
      <c r="D297" s="77" t="s">
        <v>351</v>
      </c>
      <c r="E297" s="77" t="s">
        <v>470</v>
      </c>
      <c r="F297" s="77" t="s">
        <v>471</v>
      </c>
      <c r="G297" s="77" t="s">
        <v>44</v>
      </c>
      <c r="H297" s="77" t="s">
        <v>42</v>
      </c>
      <c r="I297" s="77" t="s">
        <v>511</v>
      </c>
    </row>
    <row r="298" spans="2:12" ht="38.25" x14ac:dyDescent="0.25">
      <c r="B298" s="160">
        <v>1</v>
      </c>
      <c r="C298" s="154" t="s">
        <v>593</v>
      </c>
      <c r="D298" s="154" t="s">
        <v>488</v>
      </c>
      <c r="E298" s="163" t="str">
        <f>CONCATENATE(PAR!$H$3," évi
eredeti 
előirányzat")</f>
        <v>2025. évi
eredeti 
előirányzat</v>
      </c>
      <c r="F298" s="163" t="str">
        <f>CONCATENATE(PAR!$H$3," évi
módosított 
előirányzat")</f>
        <v>2025. évi
módosított 
előirányzat</v>
      </c>
      <c r="G298" s="78" t="s">
        <v>666</v>
      </c>
      <c r="H298" s="78" t="s">
        <v>667</v>
      </c>
      <c r="I298" s="78" t="s">
        <v>668</v>
      </c>
    </row>
    <row r="299" spans="2:12" x14ac:dyDescent="0.25">
      <c r="B299" s="160">
        <v>2</v>
      </c>
      <c r="C299" s="78" t="s">
        <v>352</v>
      </c>
      <c r="D299" s="92" t="s">
        <v>1444</v>
      </c>
      <c r="E299" s="121">
        <f>SUM(E300:E304)</f>
        <v>0</v>
      </c>
      <c r="F299" s="121">
        <f>SUM(F300:F304)</f>
        <v>0</v>
      </c>
      <c r="G299" s="121">
        <f>SUM(G300:G304)</f>
        <v>0</v>
      </c>
      <c r="H299" s="121">
        <f>SUM(H300:H304)</f>
        <v>0</v>
      </c>
      <c r="I299" s="121">
        <f>SUM(I300:I304)</f>
        <v>0</v>
      </c>
    </row>
    <row r="300" spans="2:12" x14ac:dyDescent="0.25">
      <c r="B300" s="160">
        <v>3</v>
      </c>
      <c r="C300" s="305" t="s">
        <v>315</v>
      </c>
      <c r="D300" s="93" t="s">
        <v>342</v>
      </c>
      <c r="E300" s="72">
        <f>SUMIF(Adat!$AI:$AI,CONCATENATE(61,$M$4,"051",L295),Adat!$E:$E)</f>
        <v>0</v>
      </c>
      <c r="F300" s="72">
        <f>SUMIF(Adat!$AI:$AI,CONCATENATE(60,$M$4,"051",L295),Adat!$E:$E)+E300</f>
        <v>0</v>
      </c>
      <c r="G300" s="72">
        <f>SUMIF(Adat!$AJ:$AJ,CONCATENATE($M$4,"051","(KÖT)",L295),Adat!$E:$E)</f>
        <v>0</v>
      </c>
      <c r="H300" s="72">
        <f>SUMIF(Adat!$AJ:$AJ,CONCATENATE($M$4,"051","(ÖNV)",L295),Adat!$E:$E)</f>
        <v>0</v>
      </c>
      <c r="I300" s="72">
        <f>SUMIF(Adat!$AJ:$AJ,CONCATENATE($M$4,"051","(ÁIG)",L295),Adat!$E:$E)</f>
        <v>0</v>
      </c>
    </row>
    <row r="301" spans="2:12" x14ac:dyDescent="0.25">
      <c r="B301" s="160">
        <v>4</v>
      </c>
      <c r="C301" s="305" t="s">
        <v>317</v>
      </c>
      <c r="D301" s="93" t="s">
        <v>395</v>
      </c>
      <c r="E301" s="72">
        <f>SUMIF(Adat!$AI:$AI,CONCATENATE(61,$M$4,"052",L295),Adat!$E:$E)</f>
        <v>0</v>
      </c>
      <c r="F301" s="72">
        <f>SUMIF(Adat!$AI:$AI,CONCATENATE(60,$M$4,"052",L295),Adat!$E:$E)+E301</f>
        <v>0</v>
      </c>
      <c r="G301" s="72">
        <f>SUMIF(Adat!$AJ:$AJ,CONCATENATE($M$4,"052","(KÖT)",L295),Adat!$E:$E)</f>
        <v>0</v>
      </c>
      <c r="H301" s="72">
        <f>SUMIF(Adat!$AJ:$AJ,CONCATENATE($M$4,"052","(ÖNV)",L295),Adat!$E:$E)</f>
        <v>0</v>
      </c>
      <c r="I301" s="72">
        <f>SUMIF(Adat!$AJ:$AJ,CONCATENATE($M$4,"052","(ÁIG)",L295),Adat!$E:$E)</f>
        <v>0</v>
      </c>
    </row>
    <row r="302" spans="2:12" x14ac:dyDescent="0.25">
      <c r="B302" s="160">
        <v>5</v>
      </c>
      <c r="C302" s="305" t="s">
        <v>4</v>
      </c>
      <c r="D302" s="93" t="s">
        <v>344</v>
      </c>
      <c r="E302" s="72">
        <f>SUMIF(Adat!$AI:$AI,CONCATENATE(61,$M$4,"053",L295),Adat!$E:$E)</f>
        <v>0</v>
      </c>
      <c r="F302" s="72">
        <f>SUMIF(Adat!$AI:$AI,CONCATENATE(60,$M$4,"053",L295),Adat!$E:$E)+E302</f>
        <v>0</v>
      </c>
      <c r="G302" s="72">
        <f>SUMIF(Adat!$AJ:$AJ,CONCATENATE($M$4,"053","(KÖT)",L295),Adat!$E:$E)</f>
        <v>0</v>
      </c>
      <c r="H302" s="72">
        <f>SUMIF(Adat!$AJ:$AJ,CONCATENATE($M$4,"053","(ÖNV)",L295),Adat!$E:$E)</f>
        <v>0</v>
      </c>
      <c r="I302" s="72">
        <f>SUMIF(Adat!$AJ:$AJ,CONCATENATE($M$4,"053","(ÁIG)",L295),Adat!$E:$E)</f>
        <v>0</v>
      </c>
    </row>
    <row r="303" spans="2:12" x14ac:dyDescent="0.25">
      <c r="B303" s="160">
        <v>6</v>
      </c>
      <c r="C303" s="305" t="s">
        <v>6</v>
      </c>
      <c r="D303" s="93" t="s">
        <v>345</v>
      </c>
      <c r="E303" s="72">
        <f>SUMIF(Adat!$AI:$AI,CONCATENATE(61,$M$4,"054",L295),Adat!$E:$E)</f>
        <v>0</v>
      </c>
      <c r="F303" s="72">
        <f>SUMIF(Adat!$AI:$AI,CONCATENATE(60,$M$4,"054",L295),Adat!$E:$E)+E303</f>
        <v>0</v>
      </c>
      <c r="G303" s="72">
        <f>SUMIF(Adat!$AJ:$AJ,CONCATENATE($M$4,"054","(KÖT)",L295),Adat!$E:$E)</f>
        <v>0</v>
      </c>
      <c r="H303" s="72">
        <f>SUMIF(Adat!$AJ:$AJ,CONCATENATE($M$4,"054","(ÖNV)",L295),Adat!$E:$E)</f>
        <v>0</v>
      </c>
      <c r="I303" s="72">
        <f>SUMIF(Adat!$AJ:$AJ,CONCATENATE($M$4,"054","(ÁIG)",L295),Adat!$E:$E)</f>
        <v>0</v>
      </c>
    </row>
    <row r="304" spans="2:12" x14ac:dyDescent="0.25">
      <c r="B304" s="160">
        <v>7</v>
      </c>
      <c r="C304" s="305" t="s">
        <v>8</v>
      </c>
      <c r="D304" s="93" t="s">
        <v>321</v>
      </c>
      <c r="E304" s="72">
        <f>SUMIF(Adat!$AI:$AI,CONCATENATE(61,$M$4,"055",L295),Adat!$E:$E)</f>
        <v>0</v>
      </c>
      <c r="F304" s="72">
        <f>SUMIF(Adat!$AI:$AI,CONCATENATE(60,$M$4,"055",L295),Adat!$E:$E)+E304</f>
        <v>0</v>
      </c>
      <c r="G304" s="72">
        <f>SUMIF(Adat!$AJ:$AJ,CONCATENATE($M$4,"055","(KÖT)",L295),Adat!$E:$E)</f>
        <v>0</v>
      </c>
      <c r="H304" s="72">
        <f>SUMIF(Adat!$AJ:$AJ,CONCATENATE($M$4,"055","(ÖNV)",L295),Adat!$E:$E)</f>
        <v>0</v>
      </c>
      <c r="I304" s="72">
        <f>SUMIF(Adat!$AJ:$AJ,CONCATENATE($M$4,"055","(ÁIG)",L295),Adat!$E:$E)</f>
        <v>0</v>
      </c>
    </row>
    <row r="305" spans="2:12" x14ac:dyDescent="0.25">
      <c r="B305" s="160">
        <v>8</v>
      </c>
      <c r="C305" s="78" t="s">
        <v>358</v>
      </c>
      <c r="D305" s="92" t="s">
        <v>1447</v>
      </c>
      <c r="E305" s="121">
        <f>E306+E308+E310</f>
        <v>0</v>
      </c>
      <c r="F305" s="121">
        <f>F306+F308+F310</f>
        <v>0</v>
      </c>
      <c r="G305" s="121">
        <f>G306+G308+G310</f>
        <v>0</v>
      </c>
      <c r="H305" s="121">
        <f>H306+H308+H310</f>
        <v>0</v>
      </c>
      <c r="I305" s="121">
        <f>I306+I308+I310</f>
        <v>0</v>
      </c>
    </row>
    <row r="306" spans="2:12" x14ac:dyDescent="0.25">
      <c r="B306" s="160">
        <v>9</v>
      </c>
      <c r="C306" s="305" t="s">
        <v>10</v>
      </c>
      <c r="D306" s="93" t="s">
        <v>322</v>
      </c>
      <c r="E306" s="72">
        <f>SUMIF(Adat!$AI:$AI,CONCATENATE(61,$M$4,"056",L295),Adat!$E:$E)</f>
        <v>0</v>
      </c>
      <c r="F306" s="72">
        <f>SUMIF(Adat!$AI:$AI,CONCATENATE(60,$M$4,"056",L295),Adat!$E:$E)+E306</f>
        <v>0</v>
      </c>
      <c r="G306" s="72">
        <f>SUMIF(Adat!$AJ:$AJ,CONCATENATE($M$4,"056","(KÖT)",L295),Adat!$E:$E)</f>
        <v>0</v>
      </c>
      <c r="H306" s="72">
        <f>SUMIF(Adat!$AJ:$AJ,CONCATENATE($M$4,"056","(ÖNV)",L295),Adat!$E:$E)</f>
        <v>0</v>
      </c>
      <c r="I306" s="72">
        <f>SUMIF(Adat!$AJ:$AJ,CONCATENATE($M$4,"056","(ÁIG)",L295),Adat!$E:$E)</f>
        <v>0</v>
      </c>
    </row>
    <row r="307" spans="2:12" x14ac:dyDescent="0.25">
      <c r="B307" s="160">
        <v>10</v>
      </c>
      <c r="C307" s="305" t="s">
        <v>10</v>
      </c>
      <c r="D307" s="93" t="s">
        <v>1448</v>
      </c>
      <c r="E307" s="72">
        <v>0</v>
      </c>
      <c r="F307" s="72">
        <f>SUM(G307:I307)</f>
        <v>0</v>
      </c>
      <c r="G307" s="72">
        <v>0</v>
      </c>
      <c r="H307" s="72">
        <v>0</v>
      </c>
      <c r="I307" s="72">
        <v>0</v>
      </c>
    </row>
    <row r="308" spans="2:12" x14ac:dyDescent="0.25">
      <c r="B308" s="160">
        <v>11</v>
      </c>
      <c r="C308" s="305" t="s">
        <v>12</v>
      </c>
      <c r="D308" s="93" t="s">
        <v>323</v>
      </c>
      <c r="E308" s="72">
        <f>SUMIF(Adat!$AI:$AI,CONCATENATE(61,$M$4,"057",L295),Adat!$E:$E)</f>
        <v>0</v>
      </c>
      <c r="F308" s="72">
        <f>SUMIF(Adat!$AI:$AI,CONCATENATE(60,$M$4,"057",L295),Adat!$E:$E)+E308</f>
        <v>0</v>
      </c>
      <c r="G308" s="72">
        <f>SUMIF(Adat!$AJ:$AJ,CONCATENATE($M$4,"057","(KÖT)",L295),Adat!$E:$E)</f>
        <v>0</v>
      </c>
      <c r="H308" s="72">
        <f>SUMIF(Adat!$AJ:$AJ,CONCATENATE($M$4,"057","(ÖNV)",L295),Adat!$E:$E)</f>
        <v>0</v>
      </c>
      <c r="I308" s="72">
        <f>SUMIF(Adat!$AJ:$AJ,CONCATENATE($M$4,"057","(ÁIG)",L295),Adat!$E:$E)</f>
        <v>0</v>
      </c>
    </row>
    <row r="309" spans="2:12" x14ac:dyDescent="0.25">
      <c r="B309" s="160">
        <v>12</v>
      </c>
      <c r="C309" s="305" t="s">
        <v>12</v>
      </c>
      <c r="D309" s="93" t="s">
        <v>1449</v>
      </c>
      <c r="E309" s="72">
        <v>0</v>
      </c>
      <c r="F309" s="72">
        <f>SUM(G309:I309)</f>
        <v>0</v>
      </c>
      <c r="G309" s="72">
        <v>0</v>
      </c>
      <c r="H309" s="72">
        <v>0</v>
      </c>
      <c r="I309" s="72">
        <v>0</v>
      </c>
    </row>
    <row r="310" spans="2:12" x14ac:dyDescent="0.25">
      <c r="B310" s="160">
        <v>13</v>
      </c>
      <c r="C310" s="305" t="s">
        <v>15</v>
      </c>
      <c r="D310" s="84" t="s">
        <v>324</v>
      </c>
      <c r="E310" s="72">
        <f>SUMIF(Adat!$AI:$AI,CONCATENATE(61,$M$4,"058",L295),Adat!$E:$E)</f>
        <v>0</v>
      </c>
      <c r="F310" s="72">
        <f>SUMIF(Adat!$AI:$AI,CONCATENATE(60,$M$4,"058",L295),Adat!$E:$E)+E310</f>
        <v>0</v>
      </c>
      <c r="G310" s="72">
        <f>SUMIF(Adat!$AJ:$AJ,CONCATENATE($M$4,"058","(KÖT)",L295),Adat!$E:$E)</f>
        <v>0</v>
      </c>
      <c r="H310" s="72">
        <f>SUMIF(Adat!$AJ:$AJ,CONCATENATE($M$4,"058","(ÖNV)",L295),Adat!$E:$E)</f>
        <v>0</v>
      </c>
      <c r="I310" s="72">
        <f>SUMIF(Adat!$AJ:$AJ,CONCATENATE($M$4,"058","(ÁIG)",L295),Adat!$E:$E)</f>
        <v>0</v>
      </c>
    </row>
    <row r="311" spans="2:12" x14ac:dyDescent="0.25">
      <c r="B311" s="160">
        <v>14</v>
      </c>
      <c r="C311" s="154" t="s">
        <v>364</v>
      </c>
      <c r="D311" s="86" t="s">
        <v>325</v>
      </c>
      <c r="E311" s="71">
        <f>SUMIF(Adat!$AI:$AI,CONCATENATE(61,$M$4,"059",L295),Adat!$E:$E)</f>
        <v>0</v>
      </c>
      <c r="F311" s="71">
        <f>SUMIF(Adat!$AI:$AI,CONCATENATE(60,$M$4,"059",L295),Adat!$E:$E)+E311</f>
        <v>0</v>
      </c>
      <c r="G311" s="71">
        <f>SUMIF(Adat!$AJ:$AJ,CONCATENATE($M$4,"059","(KÖT)",L295),Adat!$E:$E)</f>
        <v>0</v>
      </c>
      <c r="H311" s="71">
        <f>SUMIF(Adat!$AJ:$AJ,CONCATENATE($M$4,"059","(ÖNV)",L295),Adat!$E:$E)</f>
        <v>0</v>
      </c>
      <c r="I311" s="71">
        <f>SUMIF(Adat!$AJ:$AJ,CONCATENATE($M$4,"059","(ÁIG)",L295),Adat!$E:$E)</f>
        <v>0</v>
      </c>
    </row>
    <row r="312" spans="2:12" x14ac:dyDescent="0.25">
      <c r="B312" s="160">
        <v>15</v>
      </c>
      <c r="C312" s="154" t="s">
        <v>403</v>
      </c>
      <c r="D312" s="159" t="s">
        <v>497</v>
      </c>
      <c r="E312" s="121">
        <f>E299+E305+E311</f>
        <v>0</v>
      </c>
      <c r="F312" s="121">
        <f>F299+F305+F311</f>
        <v>0</v>
      </c>
      <c r="G312" s="121">
        <f>G299+G305+G311</f>
        <v>0</v>
      </c>
      <c r="H312" s="121">
        <f>H299+H305+H311</f>
        <v>0</v>
      </c>
      <c r="I312" s="121">
        <f>I299+I305+I311</f>
        <v>0</v>
      </c>
    </row>
    <row r="313" spans="2:12" ht="15.75" x14ac:dyDescent="0.25">
      <c r="B313" s="37"/>
      <c r="C313" s="529"/>
      <c r="D313" s="529"/>
      <c r="E313" s="529"/>
      <c r="F313" s="200"/>
      <c r="G313" s="200"/>
      <c r="H313" s="200"/>
      <c r="I313" s="200"/>
    </row>
    <row r="314" spans="2:12" ht="15.75" x14ac:dyDescent="0.25">
      <c r="B314" s="525" t="str">
        <f>$N$4</f>
        <v>Nagymaros Városi Könyvtár és Művelődési Ház</v>
      </c>
      <c r="C314" s="525"/>
      <c r="D314" s="525"/>
      <c r="E314" s="525"/>
      <c r="F314" s="525"/>
      <c r="G314" s="525"/>
      <c r="H314" s="525"/>
      <c r="I314" s="525"/>
    </row>
    <row r="315" spans="2:12" ht="15.75" x14ac:dyDescent="0.25">
      <c r="B315" s="525" t="s">
        <v>2660</v>
      </c>
      <c r="C315" s="525"/>
      <c r="D315" s="525"/>
      <c r="E315" s="525"/>
      <c r="F315" s="525"/>
      <c r="G315" s="525"/>
      <c r="H315" s="525"/>
      <c r="I315" s="525"/>
    </row>
    <row r="316" spans="2:12" ht="15.75" x14ac:dyDescent="0.25">
      <c r="B316" s="38"/>
      <c r="C316" s="156"/>
      <c r="D316" s="38"/>
      <c r="E316" s="140"/>
      <c r="F316" s="140"/>
      <c r="G316" s="140"/>
      <c r="H316" s="140"/>
      <c r="I316" s="140"/>
    </row>
    <row r="317" spans="2:12" s="10" customFormat="1" ht="15.75" customHeight="1" x14ac:dyDescent="0.25">
      <c r="B317" s="201" t="str">
        <f>CONCATENATE("11. Bevételi jogcímek"," - ",L317," részletező")</f>
        <v>11. Bevételi jogcímek -  részletező</v>
      </c>
      <c r="C317" s="101"/>
      <c r="D317" s="101"/>
      <c r="E317" s="101"/>
      <c r="F317" s="101"/>
      <c r="G317" s="198"/>
      <c r="H317" s="198"/>
      <c r="I317" s="198"/>
      <c r="L317" s="384"/>
    </row>
    <row r="318" spans="2:12" ht="15.75" x14ac:dyDescent="0.25">
      <c r="B318" s="38"/>
      <c r="C318" s="156"/>
      <c r="D318" s="38"/>
      <c r="E318" s="140"/>
      <c r="F318" s="140"/>
      <c r="G318" s="140"/>
      <c r="H318" s="140"/>
      <c r="I318" s="140"/>
    </row>
    <row r="319" spans="2:12" x14ac:dyDescent="0.25">
      <c r="B319" s="77"/>
      <c r="C319" s="77" t="s">
        <v>350</v>
      </c>
      <c r="D319" s="77" t="s">
        <v>351</v>
      </c>
      <c r="E319" s="77" t="s">
        <v>470</v>
      </c>
      <c r="F319" s="77" t="s">
        <v>471</v>
      </c>
      <c r="G319" s="77" t="s">
        <v>44</v>
      </c>
      <c r="H319" s="77" t="s">
        <v>42</v>
      </c>
      <c r="I319" s="77" t="s">
        <v>511</v>
      </c>
    </row>
    <row r="320" spans="2:12" ht="38.25" x14ac:dyDescent="0.25">
      <c r="B320" s="160">
        <v>1</v>
      </c>
      <c r="C320" s="154" t="s">
        <v>593</v>
      </c>
      <c r="D320" s="154" t="s">
        <v>488</v>
      </c>
      <c r="E320" s="163" t="str">
        <f>CONCATENATE(PAR!$H$3," évi
eredeti 
előirányzat")</f>
        <v>2025. évi
eredeti 
előirányzat</v>
      </c>
      <c r="F320" s="163" t="str">
        <f>CONCATENATE(PAR!$H$3," évi
módosított 
előirányzat")</f>
        <v>2025. évi
módosított 
előirányzat</v>
      </c>
      <c r="G320" s="78" t="s">
        <v>666</v>
      </c>
      <c r="H320" s="78" t="s">
        <v>667</v>
      </c>
      <c r="I320" s="78" t="s">
        <v>668</v>
      </c>
    </row>
    <row r="321" spans="2:9" x14ac:dyDescent="0.25">
      <c r="B321" s="160">
        <v>2</v>
      </c>
      <c r="C321" s="79" t="s">
        <v>30</v>
      </c>
      <c r="D321" s="79" t="s">
        <v>329</v>
      </c>
      <c r="E321" s="121">
        <f>SUM(E322:E334)</f>
        <v>0</v>
      </c>
      <c r="F321" s="121">
        <f t="shared" ref="F321:I321" si="20">SUM(F322:F334)</f>
        <v>0</v>
      </c>
      <c r="G321" s="121">
        <f t="shared" si="20"/>
        <v>0</v>
      </c>
      <c r="H321" s="121">
        <f t="shared" si="20"/>
        <v>0</v>
      </c>
      <c r="I321" s="121">
        <f t="shared" si="20"/>
        <v>0</v>
      </c>
    </row>
    <row r="322" spans="2:9" x14ac:dyDescent="0.2">
      <c r="B322" s="160">
        <v>3</v>
      </c>
      <c r="C322" s="305" t="s">
        <v>1309</v>
      </c>
      <c r="D322" s="82" t="s">
        <v>1356</v>
      </c>
      <c r="E322" s="72">
        <f>SUMIF(Adat!$AG:$AG,CONCATENATE(61,$M$4,"094011",L317),Adat!$E:$E)*-1</f>
        <v>0</v>
      </c>
      <c r="F322" s="72">
        <f>SUMIF(Adat!$AG:$AG,CONCATENATE(60,$M$4,"094011",L317),Adat!$E:$E)*-1+E322</f>
        <v>0</v>
      </c>
      <c r="G322" s="72">
        <f>SUMIF(Adat!$AH:$AH,CONCATENATE($M$4,"(KÖT)","094011",L317),Adat!$E:$E)*-1</f>
        <v>0</v>
      </c>
      <c r="H322" s="72">
        <f>SUMIF(Adat!$AH:$AH,CONCATENATE($M$4,"(ÖNV)","094011",L317),Adat!$E:$E)*-1</f>
        <v>0</v>
      </c>
      <c r="I322" s="72">
        <f>SUMIF(Adat!$AH:$AH,CONCATENATE($M$4,"(ÁIG)","094011",L317),Adat!$E:$E)*-1</f>
        <v>0</v>
      </c>
    </row>
    <row r="323" spans="2:9" x14ac:dyDescent="0.2">
      <c r="B323" s="160">
        <v>4</v>
      </c>
      <c r="C323" s="305" t="s">
        <v>1279</v>
      </c>
      <c r="D323" s="82" t="s">
        <v>1357</v>
      </c>
      <c r="E323" s="72">
        <f>SUMIF(Adat!$AG:$AG,CONCATENATE(61,$M$4,"094021",L317),Adat!$E:$E)*-1</f>
        <v>0</v>
      </c>
      <c r="F323" s="72">
        <f>SUMIF(Adat!$AG:$AG,CONCATENATE(60,$M$4,"094021",L317),Adat!$E:$E)*-1+E323</f>
        <v>0</v>
      </c>
      <c r="G323" s="72">
        <f>SUMIF(Adat!$AH:$AH,CONCATENATE($M$4,"(KÖT)","094021",L317),Adat!$E:$E)*-1</f>
        <v>0</v>
      </c>
      <c r="H323" s="72">
        <f>SUMIF(Adat!$AH:$AH,CONCATENATE($M$4,"(ÖNV)","094021",L317),Adat!$E:$E)*-1</f>
        <v>0</v>
      </c>
      <c r="I323" s="72">
        <f>SUMIF(Adat!$AH:$AH,CONCATENATE($M$4,"(ÁIG)","094021",L317),Adat!$E:$E)*-1</f>
        <v>0</v>
      </c>
    </row>
    <row r="324" spans="2:9" x14ac:dyDescent="0.2">
      <c r="B324" s="160">
        <v>5</v>
      </c>
      <c r="C324" s="305" t="s">
        <v>1272</v>
      </c>
      <c r="D324" s="82" t="s">
        <v>1358</v>
      </c>
      <c r="E324" s="72">
        <f>SUMIF(Adat!$AG:$AG,CONCATENATE(61,$M$4,"094031",L317),Adat!$E:$E)*-1</f>
        <v>0</v>
      </c>
      <c r="F324" s="72">
        <f>SUMIF(Adat!$AG:$AG,CONCATENATE(60,$M$4,"094031",L317),Adat!$E:$E)*-1+E324</f>
        <v>0</v>
      </c>
      <c r="G324" s="72">
        <f>SUMIF(Adat!$AH:$AH,CONCATENATE($M$4,"(KÖT)","094031",L317),Adat!$E:$E)*-1</f>
        <v>0</v>
      </c>
      <c r="H324" s="72">
        <f>SUMIF(Adat!$AH:$AH,CONCATENATE($M$4,"(ÖNV)","094031",L317),Adat!$E:$E)*-1</f>
        <v>0</v>
      </c>
      <c r="I324" s="72">
        <f>SUMIF(Adat!$AH:$AH,CONCATENATE($M$4,"(ÁIG)","094031",L317),Adat!$E:$E)*-1</f>
        <v>0</v>
      </c>
    </row>
    <row r="325" spans="2:9" x14ac:dyDescent="0.2">
      <c r="B325" s="160">
        <v>6</v>
      </c>
      <c r="C325" s="305" t="s">
        <v>1359</v>
      </c>
      <c r="D325" s="82" t="s">
        <v>1360</v>
      </c>
      <c r="E325" s="72">
        <f>SUMIF(Adat!$AG:$AG,CONCATENATE(61,$M$4,"094041",L317),Adat!$E:$E)*-1</f>
        <v>0</v>
      </c>
      <c r="F325" s="72">
        <f>SUMIF(Adat!$AG:$AG,CONCATENATE(60,$M$4,"094041",L317),Adat!$E:$E)*-1+E325</f>
        <v>0</v>
      </c>
      <c r="G325" s="72">
        <f>SUMIF(Adat!$AH:$AH,CONCATENATE($M$4,"(KÖT)","094041",L317),Adat!$E:$E)*-1</f>
        <v>0</v>
      </c>
      <c r="H325" s="72">
        <f>SUMIF(Adat!$AH:$AH,CONCATENATE($M$4,"(ÖNV)","094041",L317),Adat!$E:$E)*-1</f>
        <v>0</v>
      </c>
      <c r="I325" s="72">
        <f>SUMIF(Adat!$AH:$AH,CONCATENATE($M$4,"(ÁIG)","094041",L317),Adat!$E:$E)*-1</f>
        <v>0</v>
      </c>
    </row>
    <row r="326" spans="2:9" x14ac:dyDescent="0.2">
      <c r="B326" s="160">
        <v>7</v>
      </c>
      <c r="C326" s="305" t="s">
        <v>1261</v>
      </c>
      <c r="D326" s="82" t="s">
        <v>1361</v>
      </c>
      <c r="E326" s="72">
        <f>SUMIF(Adat!$AG:$AG,CONCATENATE(61,$M$4,"094051",L317),Adat!$E:$E)*-1</f>
        <v>0</v>
      </c>
      <c r="F326" s="72">
        <f>SUMIF(Adat!$AG:$AG,CONCATENATE(60,$M$4,"094051",L317),Adat!$E:$E)*-1+E326</f>
        <v>0</v>
      </c>
      <c r="G326" s="72">
        <f>SUMIF(Adat!$AH:$AH,CONCATENATE($M$4,"(KÖT)","094051",L317),Adat!$E:$E)*-1</f>
        <v>0</v>
      </c>
      <c r="H326" s="72">
        <f>SUMIF(Adat!$AH:$AH,CONCATENATE($M$4,"(ÖNV)","094051",L317),Adat!$E:$E)*-1</f>
        <v>0</v>
      </c>
      <c r="I326" s="72">
        <f>SUMIF(Adat!$AH:$AH,CONCATENATE($M$4,"(ÁIG)","094051",L317),Adat!$E:$E)*-1</f>
        <v>0</v>
      </c>
    </row>
    <row r="327" spans="2:9" x14ac:dyDescent="0.2">
      <c r="B327" s="160">
        <v>8</v>
      </c>
      <c r="C327" s="305" t="s">
        <v>1273</v>
      </c>
      <c r="D327" s="82" t="s">
        <v>1362</v>
      </c>
      <c r="E327" s="72">
        <f>SUMIF(Adat!$AG:$AG,CONCATENATE(61,$M$4,"094061",L317),Adat!$E:$E)*-1</f>
        <v>0</v>
      </c>
      <c r="F327" s="72">
        <f>SUMIF(Adat!$AG:$AG,CONCATENATE(60,$M$4,"094061",L317),Adat!$E:$E)*-1+E327</f>
        <v>0</v>
      </c>
      <c r="G327" s="72">
        <f>SUMIF(Adat!$AH:$AH,CONCATENATE($M$4,"(KÖT)","094061",L317),Adat!$E:$E)*-1</f>
        <v>0</v>
      </c>
      <c r="H327" s="72">
        <f>SUMIF(Adat!$AH:$AH,CONCATENATE($M$4,"(ÖNV)","094061",L317),Adat!$E:$E)*-1</f>
        <v>0</v>
      </c>
      <c r="I327" s="72">
        <f>SUMIF(Adat!$AH:$AH,CONCATENATE($M$4,"(ÁIG)","094061",L317),Adat!$E:$E)*-1</f>
        <v>0</v>
      </c>
    </row>
    <row r="328" spans="2:9" x14ac:dyDescent="0.2">
      <c r="B328" s="160">
        <v>9</v>
      </c>
      <c r="C328" s="305" t="s">
        <v>1363</v>
      </c>
      <c r="D328" s="82" t="s">
        <v>1364</v>
      </c>
      <c r="E328" s="72">
        <f>SUMIF(Adat!$AG:$AG,CONCATENATE(61,$M$4,"094071",L317),Adat!$E:$E)*-1</f>
        <v>0</v>
      </c>
      <c r="F328" s="72">
        <f>SUMIF(Adat!$AG:$AG,CONCATENATE(60,$M$4,"094071",L317),Adat!$E:$E)*-1+E328</f>
        <v>0</v>
      </c>
      <c r="G328" s="72">
        <f>SUMIF(Adat!$AH:$AH,CONCATENATE($M$4,"(KÖT)","094071",L317),Adat!$E:$E)*-1</f>
        <v>0</v>
      </c>
      <c r="H328" s="72">
        <f>SUMIF(Adat!$AH:$AH,CONCATENATE($M$4,"(ÖNV)","094071",L317),Adat!$E:$E)*-1</f>
        <v>0</v>
      </c>
      <c r="I328" s="72">
        <f>SUMIF(Adat!$AH:$AH,CONCATENATE($M$4,"(ÁIG)","094071",L317),Adat!$E:$E)*-1</f>
        <v>0</v>
      </c>
    </row>
    <row r="329" spans="2:9" x14ac:dyDescent="0.2">
      <c r="B329" s="160">
        <v>10</v>
      </c>
      <c r="C329" s="305" t="s">
        <v>1306</v>
      </c>
      <c r="D329" s="82" t="s">
        <v>1365</v>
      </c>
      <c r="E329" s="72">
        <f>SUMIF(Adat!$AG:$AG,CONCATENATE(61,$M$4,"0940811",L317),Adat!$E:$E)*-1</f>
        <v>0</v>
      </c>
      <c r="F329" s="72">
        <f>SUMIF(Adat!$AG:$AG,CONCATENATE(60,$M$4,"0940811",L317),Adat!$E:$E)*-1+E329</f>
        <v>0</v>
      </c>
      <c r="G329" s="72">
        <f>SUMIF(Adat!$AH:$AH,CONCATENATE($M$4,"(KÖT)","0940811",L317),Adat!$E:$E)*-1</f>
        <v>0</v>
      </c>
      <c r="H329" s="72">
        <f>SUMIF(Adat!$AH:$AH,CONCATENATE($M$4,"(ÖNV)","0940811",L317),Adat!$E:$E)*-1</f>
        <v>0</v>
      </c>
      <c r="I329" s="72">
        <f>SUMIF(Adat!$AH:$AH,CONCATENATE($M$4,"(ÁIG)","0940811",L317),Adat!$E:$E)*-1</f>
        <v>0</v>
      </c>
    </row>
    <row r="330" spans="2:9" x14ac:dyDescent="0.2">
      <c r="B330" s="160">
        <v>11</v>
      </c>
      <c r="C330" s="305" t="s">
        <v>1295</v>
      </c>
      <c r="D330" s="82" t="s">
        <v>1366</v>
      </c>
      <c r="E330" s="72">
        <f>SUMIF(Adat!$AG:$AG,CONCATENATE(61,$M$4,"0940821",L317),Adat!$E:$E)*-1</f>
        <v>0</v>
      </c>
      <c r="F330" s="72">
        <f>SUMIF(Adat!$AG:$AG,CONCATENATE(60,$M$4,"0940821",L317),Adat!$E:$E)*-1+E330</f>
        <v>0</v>
      </c>
      <c r="G330" s="72">
        <f>SUMIF(Adat!$AH:$AH,CONCATENATE($M$4,"(KÖT)","0940821",L317),Adat!$E:$E)*-1</f>
        <v>0</v>
      </c>
      <c r="H330" s="72">
        <f>SUMIF(Adat!$AH:$AH,CONCATENATE($M$4,"(ÖNV)","0940821",L317),Adat!$E:$E)*-1</f>
        <v>0</v>
      </c>
      <c r="I330" s="72">
        <f>SUMIF(Adat!$AH:$AH,CONCATENATE($M$4,"(ÁIG)","0940821",L317),Adat!$E:$E)*-1</f>
        <v>0</v>
      </c>
    </row>
    <row r="331" spans="2:9" x14ac:dyDescent="0.2">
      <c r="B331" s="160">
        <v>12</v>
      </c>
      <c r="C331" s="305" t="s">
        <v>1367</v>
      </c>
      <c r="D331" s="82" t="s">
        <v>1368</v>
      </c>
      <c r="E331" s="72">
        <f>SUMIF(Adat!$AG:$AG,CONCATENATE(61,$M$4,"0940911",L317),Adat!$E:$E)*-1</f>
        <v>0</v>
      </c>
      <c r="F331" s="72">
        <f>SUMIF(Adat!$AG:$AG,CONCATENATE(60,$M$4,"0940911",L317),Adat!$E:$E)*-1+E331</f>
        <v>0</v>
      </c>
      <c r="G331" s="72">
        <f>SUMIF(Adat!$AH:$AH,CONCATENATE($M$4,"(KÖT)","0940911",L317),Adat!$E:$E)*-1</f>
        <v>0</v>
      </c>
      <c r="H331" s="72">
        <f>SUMIF(Adat!$AH:$AH,CONCATENATE($M$4,"(ÖNV)","0940911",L317),Adat!$E:$E)*-1</f>
        <v>0</v>
      </c>
      <c r="I331" s="72">
        <f>SUMIF(Adat!$AH:$AH,CONCATENATE($M$4,"(ÁIG)","0940911",L317),Adat!$E:$E)*-1</f>
        <v>0</v>
      </c>
    </row>
    <row r="332" spans="2:9" x14ac:dyDescent="0.2">
      <c r="B332" s="160">
        <v>13</v>
      </c>
      <c r="C332" s="305" t="s">
        <v>1369</v>
      </c>
      <c r="D332" s="82" t="s">
        <v>1370</v>
      </c>
      <c r="E332" s="72">
        <f>SUMIF(Adat!$AG:$AG,CONCATENATE(61,$M$4,"0940921",L317),Adat!$E:$E)*-1</f>
        <v>0</v>
      </c>
      <c r="F332" s="72">
        <f>SUMIF(Adat!$AG:$AG,CONCATENATE(60,$M$4,"0940921",L317),Adat!$E:$E)*-1+E332</f>
        <v>0</v>
      </c>
      <c r="G332" s="72">
        <f>SUMIF(Adat!$AH:$AH,CONCATENATE($M$4,"(KÖT)","0940921",L317),Adat!$E:$E)*-1</f>
        <v>0</v>
      </c>
      <c r="H332" s="72">
        <f>SUMIF(Adat!$AH:$AH,CONCATENATE($M$4,"(ÖNV)","0940921",L317),Adat!$E:$E)*-1</f>
        <v>0</v>
      </c>
      <c r="I332" s="72">
        <f>SUMIF(Adat!$AH:$AH,CONCATENATE($M$4,"(ÁIG)","0940921",L317),Adat!$E:$E)*-1</f>
        <v>0</v>
      </c>
    </row>
    <row r="333" spans="2:9" x14ac:dyDescent="0.2">
      <c r="B333" s="160">
        <v>14</v>
      </c>
      <c r="C333" s="305" t="s">
        <v>1296</v>
      </c>
      <c r="D333" s="82" t="s">
        <v>1371</v>
      </c>
      <c r="E333" s="72">
        <f>SUMIF(Adat!$AG:$AG,CONCATENATE(61,$M$4,"094101",L317),Adat!$E:$E)*-1</f>
        <v>0</v>
      </c>
      <c r="F333" s="72">
        <f>SUMIF(Adat!$AG:$AG,CONCATENATE(60,$M$4,"094101",L317),Adat!$E:$E)*-1+E333</f>
        <v>0</v>
      </c>
      <c r="G333" s="72">
        <f>SUMIF(Adat!$AH:$AH,CONCATENATE($M$4,"(KÖT)","094101",L317),Adat!$E:$E)*-1</f>
        <v>0</v>
      </c>
      <c r="H333" s="72">
        <f>SUMIF(Adat!$AH:$AH,CONCATENATE($M$4,"(ÖNV)","094101",L317),Adat!$E:$E)*-1</f>
        <v>0</v>
      </c>
      <c r="I333" s="72">
        <f>SUMIF(Adat!$AH:$AH,CONCATENATE($M$4,"(ÁIG)","094101",L317),Adat!$E:$E)*-1</f>
        <v>0</v>
      </c>
    </row>
    <row r="334" spans="2:9" x14ac:dyDescent="0.25">
      <c r="B334" s="160">
        <v>15</v>
      </c>
      <c r="C334" s="305" t="s">
        <v>1297</v>
      </c>
      <c r="D334" s="84" t="s">
        <v>1372</v>
      </c>
      <c r="E334" s="72">
        <f>SUMIF(Adat!$AG:$AG,CONCATENATE(61,$M$4,"094111",L317),Adat!$E:$E)*-1</f>
        <v>0</v>
      </c>
      <c r="F334" s="72">
        <f>SUMIF(Adat!$AG:$AG,CONCATENATE(60,$M$4,"094111",L317),Adat!$E:$E)*-1+E334</f>
        <v>0</v>
      </c>
      <c r="G334" s="72">
        <f>SUMIF(Adat!$AH:$AH,CONCATENATE($M$4,"(KÖT)","094111",L317),Adat!$E:$E)*-1</f>
        <v>0</v>
      </c>
      <c r="H334" s="72">
        <f>SUMIF(Adat!$AH:$AH,CONCATENATE($M$4,"(ÖNV)","094111",L317),Adat!$E:$E)*-1</f>
        <v>0</v>
      </c>
      <c r="I334" s="72">
        <f>SUMIF(Adat!$AH:$AH,CONCATENATE($M$4,"(ÁIG)","094111",L317),Adat!$E:$E)*-1</f>
        <v>0</v>
      </c>
    </row>
    <row r="335" spans="2:9" x14ac:dyDescent="0.25">
      <c r="B335" s="160">
        <v>16</v>
      </c>
      <c r="C335" s="78" t="s">
        <v>1328</v>
      </c>
      <c r="D335" s="85" t="s">
        <v>437</v>
      </c>
      <c r="E335" s="121">
        <f>SUM(E336:E338)</f>
        <v>0</v>
      </c>
      <c r="F335" s="121">
        <f>SUM(F336:F338)</f>
        <v>0</v>
      </c>
      <c r="G335" s="121">
        <f>SUM(G336:G338)</f>
        <v>0</v>
      </c>
      <c r="H335" s="121">
        <f>SUM(H336:H338)</f>
        <v>0</v>
      </c>
      <c r="I335" s="121">
        <f>SUM(I336:I338)</f>
        <v>0</v>
      </c>
    </row>
    <row r="336" spans="2:9" x14ac:dyDescent="0.2">
      <c r="B336" s="160">
        <v>17</v>
      </c>
      <c r="C336" s="305" t="s">
        <v>1329</v>
      </c>
      <c r="D336" s="82" t="s">
        <v>1330</v>
      </c>
      <c r="E336" s="72">
        <f>SUMIF(Adat!$AG:$AG,CONCATENATE(61,$M$4,"09121",L317),Adat!$E:$E)*-1</f>
        <v>0</v>
      </c>
      <c r="F336" s="72">
        <f>SUMIF(Adat!$AG:$AG,CONCATENATE(60,$M$4,"09121",L317),Adat!$E:$E)*-1+E336</f>
        <v>0</v>
      </c>
      <c r="G336" s="72">
        <f>SUMIF(Adat!$AH:$AH,CONCATENATE($M$4,"(KÖT)","09121",L317),Adat!$E:$E)*-1</f>
        <v>0</v>
      </c>
      <c r="H336" s="72">
        <f>SUMIF(Adat!$AH:$AH,CONCATENATE($M$4,"(ÖNV)","09121",L317),Adat!$E:$E)*-1</f>
        <v>0</v>
      </c>
      <c r="I336" s="72">
        <f>SUMIF(Adat!$AH:$AH,CONCATENATE($M$4,"(ÁIG)","09121",L317),Adat!$E:$E)*-1</f>
        <v>0</v>
      </c>
    </row>
    <row r="337" spans="2:9" x14ac:dyDescent="0.2">
      <c r="B337" s="160">
        <v>18</v>
      </c>
      <c r="C337" s="305" t="s">
        <v>1335</v>
      </c>
      <c r="D337" s="82" t="s">
        <v>1336</v>
      </c>
      <c r="E337" s="72">
        <f>SUMIF(Adat!$AG:$AG,CONCATENATE(61,$M$4,"09151",L317),Adat!$E:$E)*-1</f>
        <v>0</v>
      </c>
      <c r="F337" s="72">
        <f>SUMIF(Adat!$AG:$AG,CONCATENATE(60,$M$4,"09151",L317),Adat!$E:$E)*-1+E337</f>
        <v>0</v>
      </c>
      <c r="G337" s="72">
        <f>SUMIF(Adat!$AH:$AH,CONCATENATE($M$4,"(KÖT)","09151",L317),Adat!$E:$E)*-1</f>
        <v>0</v>
      </c>
      <c r="H337" s="72">
        <f>SUMIF(Adat!$AH:$AH,CONCATENATE($M$4,"(ÖNV)","09151",L317),Adat!$E:$E)*-1</f>
        <v>0</v>
      </c>
      <c r="I337" s="72">
        <f>SUMIF(Adat!$AH:$AH,CONCATENATE($M$4,"(ÁIG)","09151",L317),Adat!$E:$E)*-1</f>
        <v>0</v>
      </c>
    </row>
    <row r="338" spans="2:9" x14ac:dyDescent="0.2">
      <c r="B338" s="160">
        <v>19</v>
      </c>
      <c r="C338" s="305" t="s">
        <v>1278</v>
      </c>
      <c r="D338" s="82" t="s">
        <v>1337</v>
      </c>
      <c r="E338" s="72">
        <f>SUMIF(Adat!$AG:$AG,CONCATENATE(61,$M$4,"09161",L317),Adat!$E:$E)*-1</f>
        <v>0</v>
      </c>
      <c r="F338" s="72">
        <f>SUMIF(Adat!$AG:$AG,CONCATENATE(60,$M$4,"09161",L317),Adat!$E:$E)*-1+E338</f>
        <v>0</v>
      </c>
      <c r="G338" s="72">
        <f>SUMIF(Adat!$AH:$AH,CONCATENATE($M$4,"(KÖT)","09161",L317),Adat!$E:$E)*-1</f>
        <v>0</v>
      </c>
      <c r="H338" s="72">
        <f>SUMIF(Adat!$AH:$AH,CONCATENATE($M$4,"(ÖNV)","09161",L317),Adat!$E:$E)*-1</f>
        <v>0</v>
      </c>
      <c r="I338" s="72">
        <f>SUMIF(Adat!$AH:$AH,CONCATENATE($M$4,"(ÁIG)","09161",L317),Adat!$E:$E)*-1</f>
        <v>0</v>
      </c>
    </row>
    <row r="339" spans="2:9" x14ac:dyDescent="0.25">
      <c r="B339" s="160">
        <v>20</v>
      </c>
      <c r="C339" s="79" t="s">
        <v>27</v>
      </c>
      <c r="D339" s="79" t="s">
        <v>328</v>
      </c>
      <c r="E339" s="71">
        <f>SUMIF(Adat!$AI:$AI,CONCATENATE(61,$M$4,"093",L317),Adat!$E:$E)*-1</f>
        <v>0</v>
      </c>
      <c r="F339" s="71">
        <f>SUMIF(Adat!$AI:$AI,CONCATENATE(60,$M$4,"093",L317),Adat!$E:$E)*-1+E339</f>
        <v>0</v>
      </c>
      <c r="G339" s="71">
        <f>SUMIF(Adat!$AJ:$AJ,CONCATENATE($M$4,"093","(KÖT)",L317),Adat!$E:$E)*-1</f>
        <v>0</v>
      </c>
      <c r="H339" s="71">
        <f>SUMIF(Adat!$AJ:$AJ,CONCATENATE($M$4,"093","(ÖNV)",L317),Adat!$E:$E)*-1</f>
        <v>0</v>
      </c>
      <c r="I339" s="71">
        <f>SUMIF(Adat!$AJ:$AJ,CONCATENATE($M$4,"093","(ÁIG)",L317),Adat!$E:$E)*-1</f>
        <v>0</v>
      </c>
    </row>
    <row r="340" spans="2:9" x14ac:dyDescent="0.25">
      <c r="B340" s="160">
        <v>21</v>
      </c>
      <c r="C340" s="79" t="s">
        <v>24</v>
      </c>
      <c r="D340" s="79" t="s">
        <v>449</v>
      </c>
      <c r="E340" s="121">
        <f>SUM(E341:E343)</f>
        <v>0</v>
      </c>
      <c r="F340" s="121">
        <f t="shared" ref="F340:I340" si="21">SUM(F341:F343)</f>
        <v>0</v>
      </c>
      <c r="G340" s="121">
        <f t="shared" si="21"/>
        <v>0</v>
      </c>
      <c r="H340" s="121">
        <f t="shared" si="21"/>
        <v>0</v>
      </c>
      <c r="I340" s="121">
        <f t="shared" si="21"/>
        <v>0</v>
      </c>
    </row>
    <row r="341" spans="2:9" x14ac:dyDescent="0.2">
      <c r="B341" s="160">
        <v>22</v>
      </c>
      <c r="C341" s="305" t="s">
        <v>1339</v>
      </c>
      <c r="D341" s="82" t="s">
        <v>1340</v>
      </c>
      <c r="E341" s="72">
        <f>SUMIF(Adat!$AG:$AG,CONCATENATE(61,$M$4,"09211",L317),Adat!$E:$E)*-1</f>
        <v>0</v>
      </c>
      <c r="F341" s="72">
        <f>SUMIF(Adat!$AG:$AG,CONCATENATE(60,$M$4,"09211",L317),Adat!$E:$E)*-1+E341</f>
        <v>0</v>
      </c>
      <c r="G341" s="72">
        <f>SUMIF(Adat!$AH:$AH,CONCATENATE($M$4,"(KÖT)","09211",L317),Adat!$E:$E)*-1</f>
        <v>0</v>
      </c>
      <c r="H341" s="72">
        <f>SUMIF(Adat!$AH:$AH,CONCATENATE($M$4,"(ÖNV)","09211",L317),Adat!$E:$E)*-1</f>
        <v>0</v>
      </c>
      <c r="I341" s="72">
        <f>SUMIF(Adat!$AH:$AH,CONCATENATE($M$4,"(ÁIG)","09211",L317),Adat!$E:$E)*-1</f>
        <v>0</v>
      </c>
    </row>
    <row r="342" spans="2:9" x14ac:dyDescent="0.2">
      <c r="B342" s="160">
        <v>23</v>
      </c>
      <c r="C342" s="305" t="s">
        <v>1345</v>
      </c>
      <c r="D342" s="82" t="s">
        <v>1346</v>
      </c>
      <c r="E342" s="72">
        <f>SUMIF(Adat!$AG:$AG,CONCATENATE(61,$M$4,"09241",L317),Adat!$E:$E)*-1</f>
        <v>0</v>
      </c>
      <c r="F342" s="72">
        <f>SUMIF(Adat!$AG:$AG,CONCATENATE(60,$M$4,"09241",L317),Adat!$E:$E)*-1+E342</f>
        <v>0</v>
      </c>
      <c r="G342" s="72">
        <f>SUMIF(Adat!$AH:$AH,CONCATENATE($M$4,"(KÖT)","09241",L317),Adat!$E:$E)*-1</f>
        <v>0</v>
      </c>
      <c r="H342" s="72">
        <f>SUMIF(Adat!$AH:$AH,CONCATENATE($M$4,"(ÖNV)","09241",L317),Adat!$E:$E)*-1</f>
        <v>0</v>
      </c>
      <c r="I342" s="72">
        <f>SUMIF(Adat!$AH:$AH,CONCATENATE($M$4,"(ÁIG)","09241",L317),Adat!$E:$E)*-1</f>
        <v>0</v>
      </c>
    </row>
    <row r="343" spans="2:9" x14ac:dyDescent="0.2">
      <c r="B343" s="160">
        <v>24</v>
      </c>
      <c r="C343" s="305" t="s">
        <v>1255</v>
      </c>
      <c r="D343" s="82" t="s">
        <v>1347</v>
      </c>
      <c r="E343" s="72">
        <f>SUMIF(Adat!$AG:$AG,CONCATENATE(61,$M$4,"09251",L317),Adat!$E:$E)*-1</f>
        <v>0</v>
      </c>
      <c r="F343" s="72">
        <f>SUMIF(Adat!$AG:$AG,CONCATENATE(60,$M$4,"09251",L317),Adat!$E:$E)*-1+E343</f>
        <v>0</v>
      </c>
      <c r="G343" s="72">
        <f>SUMIF(Adat!$AH:$AH,CONCATENATE($M$4,"(KÖT)","09251",L317),Adat!$E:$E)*-1</f>
        <v>0</v>
      </c>
      <c r="H343" s="72">
        <f>SUMIF(Adat!$AH:$AH,CONCATENATE($M$4,"(ÖNV)","09251",L317),Adat!$E:$E)*-1</f>
        <v>0</v>
      </c>
      <c r="I343" s="72">
        <f>SUMIF(Adat!$AH:$AH,CONCATENATE($M$4,"(ÁIG)","09251",L317),Adat!$E:$E)*-1</f>
        <v>0</v>
      </c>
    </row>
    <row r="344" spans="2:9" x14ac:dyDescent="0.25">
      <c r="B344" s="160">
        <v>25</v>
      </c>
      <c r="C344" s="79" t="s">
        <v>33</v>
      </c>
      <c r="D344" s="79" t="s">
        <v>330</v>
      </c>
      <c r="E344" s="121">
        <f>SUM(E345:E347)</f>
        <v>0</v>
      </c>
      <c r="F344" s="121">
        <f t="shared" ref="F344:I344" si="22">SUM(F345:F347)</f>
        <v>0</v>
      </c>
      <c r="G344" s="121">
        <f t="shared" si="22"/>
        <v>0</v>
      </c>
      <c r="H344" s="121">
        <f t="shared" si="22"/>
        <v>0</v>
      </c>
      <c r="I344" s="121">
        <f t="shared" si="22"/>
        <v>0</v>
      </c>
    </row>
    <row r="345" spans="2:9" x14ac:dyDescent="0.2">
      <c r="B345" s="160">
        <v>26</v>
      </c>
      <c r="C345" s="305" t="s">
        <v>1373</v>
      </c>
      <c r="D345" s="82" t="s">
        <v>1374</v>
      </c>
      <c r="E345" s="72">
        <f>SUMIF(Adat!$AG:$AG,CONCATENATE(61,$M$4,"09511",L317),Adat!$E:$E)*-1</f>
        <v>0</v>
      </c>
      <c r="F345" s="72">
        <f>SUMIF(Adat!$AG:$AG,CONCATENATE(60,$M$4,"09511",L317),Adat!$E:$E)*-1+E345</f>
        <v>0</v>
      </c>
      <c r="G345" s="72">
        <f>SUMIF(Adat!$AH:$AH,CONCATENATE($M$4,"(KÖT)","09511",L317),Adat!$E:$E)*-1</f>
        <v>0</v>
      </c>
      <c r="H345" s="72">
        <f>SUMIF(Adat!$AH:$AH,CONCATENATE($M$4,"(ÖNV)","09511",L317),Adat!$E:$E)*-1</f>
        <v>0</v>
      </c>
      <c r="I345" s="72">
        <f>SUMIF(Adat!$AH:$AH,CONCATENATE($M$4,"(ÁIG)","09511",L317),Adat!$E:$E)*-1</f>
        <v>0</v>
      </c>
    </row>
    <row r="346" spans="2:9" x14ac:dyDescent="0.2">
      <c r="B346" s="160">
        <v>27</v>
      </c>
      <c r="C346" s="305" t="s">
        <v>1294</v>
      </c>
      <c r="D346" s="82" t="s">
        <v>1375</v>
      </c>
      <c r="E346" s="72">
        <f>SUMIF(Adat!$AG:$AG,CONCATENATE(61,$M$4,"09521",L317),Adat!$E:$E)*-1</f>
        <v>0</v>
      </c>
      <c r="F346" s="72">
        <f>SUMIF(Adat!$AG:$AG,CONCATENATE(60,$M$4,"09521",L317),Adat!$E:$E)*-1+E346</f>
        <v>0</v>
      </c>
      <c r="G346" s="72">
        <f>SUMIF(Adat!$AH:$AH,CONCATENATE($M$4,"(KÖT)","09521",L317),Adat!$E:$E)*-1</f>
        <v>0</v>
      </c>
      <c r="H346" s="72">
        <f>SUMIF(Adat!$AH:$AH,CONCATENATE($M$4,"(ÖNV)","09521",L317),Adat!$E:$E)*-1</f>
        <v>0</v>
      </c>
      <c r="I346" s="72">
        <f>SUMIF(Adat!$AH:$AH,CONCATENATE($M$4,"(ÁIG)","09521",L317),Adat!$E:$E)*-1</f>
        <v>0</v>
      </c>
    </row>
    <row r="347" spans="2:9" x14ac:dyDescent="0.2">
      <c r="B347" s="160">
        <v>28</v>
      </c>
      <c r="C347" s="305" t="s">
        <v>1376</v>
      </c>
      <c r="D347" s="82" t="s">
        <v>1377</v>
      </c>
      <c r="E347" s="72">
        <f>SUMIF(Adat!$AG:$AG,CONCATENATE(61,$M$4,"09531",L317),Adat!$E:$E)*-1</f>
        <v>0</v>
      </c>
      <c r="F347" s="72">
        <f>SUMIF(Adat!$AG:$AG,CONCATENATE(60,$M$4,"09531",L317),Adat!$E:$E)*-1+E347</f>
        <v>0</v>
      </c>
      <c r="G347" s="72">
        <f>SUMIF(Adat!$AH:$AH,CONCATENATE($M$4,"(KÖT)","09531",L317),Adat!$E:$E)*-1</f>
        <v>0</v>
      </c>
      <c r="H347" s="72">
        <f>SUMIF(Adat!$AH:$AH,CONCATENATE($M$4,"(ÖNV)","09531",L317),Adat!$E:$E)*-1</f>
        <v>0</v>
      </c>
      <c r="I347" s="72">
        <f>SUMIF(Adat!$AH:$AH,CONCATENATE($M$4,"(ÁIG)","09531",L317),Adat!$E:$E)*-1</f>
        <v>0</v>
      </c>
    </row>
    <row r="348" spans="2:9" x14ac:dyDescent="0.25">
      <c r="B348" s="160">
        <v>29</v>
      </c>
      <c r="C348" s="79" t="s">
        <v>36</v>
      </c>
      <c r="D348" s="79" t="s">
        <v>331</v>
      </c>
      <c r="E348" s="71">
        <f>SUMIF(Adat!$AI:$AI,CONCATENATE(61,$M$4,"096",L317),Adat!$E:$E)*-1</f>
        <v>0</v>
      </c>
      <c r="F348" s="71">
        <f>SUMIF(Adat!$AI:$AI,CONCATENATE(60,$M$4,"096",L317),Adat!$E:$E)*-1+E348</f>
        <v>0</v>
      </c>
      <c r="G348" s="71">
        <f>SUMIF(Adat!$AJ:$AJ,CONCATENATE($M$4,"096","(KÖT)",L317),Adat!$E:$E)*-1</f>
        <v>0</v>
      </c>
      <c r="H348" s="71">
        <f>SUMIF(Adat!$AJ:$AJ,CONCATENATE($M$4,"096","(ÖNV)",L317),Adat!$E:$E)*-1</f>
        <v>0</v>
      </c>
      <c r="I348" s="71">
        <f>SUMIF(Adat!$AJ:$AJ,CONCATENATE($M$4,"096","(ÁIG)",L317),Adat!$E:$E)*-1</f>
        <v>0</v>
      </c>
    </row>
    <row r="349" spans="2:9" x14ac:dyDescent="0.25">
      <c r="B349" s="160">
        <v>30</v>
      </c>
      <c r="C349" s="79" t="s">
        <v>38</v>
      </c>
      <c r="D349" s="85" t="s">
        <v>332</v>
      </c>
      <c r="E349" s="71">
        <f>SUMIF(Adat!$AI:$AI,CONCATENATE(61,$M$4,"097",L317),Adat!$E:$E)*-1</f>
        <v>0</v>
      </c>
      <c r="F349" s="71">
        <f>SUMIF(Adat!$AI:$AI,CONCATENATE(60,$M$4,"097",L317),Adat!$E:$E)*-1+E349</f>
        <v>0</v>
      </c>
      <c r="G349" s="71">
        <f>SUMIF(Adat!$AJ:$AJ,CONCATENATE($M$4,"097","(KÖT)",L317),Adat!$E:$E)*-1</f>
        <v>0</v>
      </c>
      <c r="H349" s="71">
        <f>SUMIF(Adat!$AJ:$AJ,CONCATENATE($M$4,"097","(ÖNV)",L317),Adat!$E:$E)*-1</f>
        <v>0</v>
      </c>
      <c r="I349" s="71">
        <f>SUMIF(Adat!$AJ:$AJ,CONCATENATE($M$4,"097","(ÁIG)",L317),Adat!$E:$E)*-1</f>
        <v>0</v>
      </c>
    </row>
    <row r="350" spans="2:9" x14ac:dyDescent="0.25">
      <c r="B350" s="160">
        <v>31</v>
      </c>
      <c r="C350" s="154" t="s">
        <v>352</v>
      </c>
      <c r="D350" s="86" t="s">
        <v>1500</v>
      </c>
      <c r="E350" s="121">
        <f>E321+E335+E339+E340+E344+E348+E349</f>
        <v>0</v>
      </c>
      <c r="F350" s="121">
        <f>F321+F335+F339+F340+F344+F348+F349</f>
        <v>0</v>
      </c>
      <c r="G350" s="121">
        <f>G321+G335+G339+G340+G344+G348+G349</f>
        <v>0</v>
      </c>
      <c r="H350" s="121">
        <f>H321+H335+H339+H340+H344+H348+H349</f>
        <v>0</v>
      </c>
      <c r="I350" s="121">
        <f>I321+I335+I339+I340+I344+I348+I349</f>
        <v>0</v>
      </c>
    </row>
    <row r="351" spans="2:9" x14ac:dyDescent="0.25">
      <c r="B351" s="160">
        <v>32</v>
      </c>
      <c r="C351" s="154" t="s">
        <v>358</v>
      </c>
      <c r="D351" s="86" t="s">
        <v>333</v>
      </c>
      <c r="E351" s="121">
        <f>SUM(E352:E354)</f>
        <v>0</v>
      </c>
      <c r="F351" s="121">
        <f t="shared" ref="F351:I351" si="23">SUM(F352:F354)</f>
        <v>0</v>
      </c>
      <c r="G351" s="121">
        <f t="shared" si="23"/>
        <v>0</v>
      </c>
      <c r="H351" s="121">
        <f t="shared" si="23"/>
        <v>0</v>
      </c>
      <c r="I351" s="121">
        <f t="shared" si="23"/>
        <v>0</v>
      </c>
    </row>
    <row r="352" spans="2:9" x14ac:dyDescent="0.2">
      <c r="B352" s="160">
        <v>33</v>
      </c>
      <c r="C352" s="305" t="s">
        <v>1274</v>
      </c>
      <c r="D352" s="82" t="s">
        <v>1419</v>
      </c>
      <c r="E352" s="72">
        <f>SUMIF(Adat!$AG:$AG,CONCATENATE(61,$M$4,"0981311",L317),Adat!$E:$E)*-1</f>
        <v>0</v>
      </c>
      <c r="F352" s="72">
        <f>SUMIF(Adat!$AG:$AG,CONCATENATE(60,$M$4,"0981311",L317),Adat!$E:$E)*-1+E352</f>
        <v>0</v>
      </c>
      <c r="G352" s="72">
        <f>SUMIF(Adat!$AH:$AH,CONCATENATE($M$4,"(KÖT)","0981311",L317),Adat!$E:$E)*-1</f>
        <v>0</v>
      </c>
      <c r="H352" s="72">
        <f>SUMIF(Adat!$AH:$AH,CONCATENATE($M$4,"(ÖNV)","0981311",L317),Adat!$E:$E)*-1</f>
        <v>0</v>
      </c>
      <c r="I352" s="72">
        <f>SUMIF(Adat!$AH:$AH,CONCATENATE($M$4,"(ÁIG)","0981311",L317),Adat!$E:$E)*-1</f>
        <v>0</v>
      </c>
    </row>
    <row r="353" spans="2:12" x14ac:dyDescent="0.25">
      <c r="B353" s="160">
        <v>34</v>
      </c>
      <c r="C353" s="305" t="s">
        <v>1420</v>
      </c>
      <c r="D353" s="84" t="s">
        <v>1421</v>
      </c>
      <c r="E353" s="72">
        <f>SUMIF(Adat!$AG:$AG,CONCATENATE(61,$M$4,"0981321",L317),Adat!$E:$E)*-1</f>
        <v>0</v>
      </c>
      <c r="F353" s="72">
        <f>SUMIF(Adat!$AG:$AG,CONCATENATE(60,$M$4,"0981321",L317),Adat!$E:$E)*-1+E353</f>
        <v>0</v>
      </c>
      <c r="G353" s="72">
        <f>SUMIF(Adat!$AH:$AH,CONCATENATE($M$4,"(KÖT)","0981321",L317),Adat!$E:$E)*-1</f>
        <v>0</v>
      </c>
      <c r="H353" s="72">
        <f>SUMIF(Adat!$AH:$AH,CONCATENATE($M$4,"(ÖNV)","0981321",L317),Adat!$E:$E)*-1</f>
        <v>0</v>
      </c>
      <c r="I353" s="72">
        <f>SUMIF(Adat!$AH:$AH,CONCATENATE($M$4,"(ÁIG)","0981321",L317),Adat!$E:$E)*-1</f>
        <v>0</v>
      </c>
    </row>
    <row r="354" spans="2:12" x14ac:dyDescent="0.25">
      <c r="B354" s="160">
        <v>35</v>
      </c>
      <c r="C354" s="319" t="s">
        <v>1275</v>
      </c>
      <c r="D354" s="84" t="s">
        <v>1501</v>
      </c>
      <c r="E354" s="72">
        <f>SUMIF(Adat!$AG:$AG,CONCATENATE(61,$M$4,"098161",L317),Adat!$E:$E)*-1</f>
        <v>0</v>
      </c>
      <c r="F354" s="72">
        <f>SUMIF(Adat!$AG:$AG,CONCATENATE(60,$M$4,"098161",L317),Adat!$E:$E)*-1+E354</f>
        <v>0</v>
      </c>
      <c r="G354" s="72">
        <f>SUMIF(Adat!$AH:$AH,CONCATENATE($M$4,"(KÖT)","098161",L317),Adat!$E:$E)*-1</f>
        <v>0</v>
      </c>
      <c r="H354" s="72">
        <f>SUMIF(Adat!$AH:$AH,CONCATENATE($M$4,"(ÖNV)","098161",L317),Adat!$E:$E)*-1</f>
        <v>0</v>
      </c>
      <c r="I354" s="72">
        <f>SUMIF(Adat!$AH:$AH,CONCATENATE($M$4,"(ÁIG)","098161",L317),Adat!$E:$E)*-1</f>
        <v>0</v>
      </c>
    </row>
    <row r="355" spans="2:12" x14ac:dyDescent="0.25">
      <c r="B355" s="160">
        <v>36</v>
      </c>
      <c r="C355" s="154" t="s">
        <v>364</v>
      </c>
      <c r="D355" s="159" t="s">
        <v>1502</v>
      </c>
      <c r="E355" s="121">
        <f>+E350+E351</f>
        <v>0</v>
      </c>
      <c r="F355" s="121">
        <f>+F350+F351</f>
        <v>0</v>
      </c>
      <c r="G355" s="121">
        <f>+G350+G351</f>
        <v>0</v>
      </c>
      <c r="H355" s="121">
        <f>+H350+H351</f>
        <v>0</v>
      </c>
      <c r="I355" s="121">
        <f>+I350+I351</f>
        <v>0</v>
      </c>
    </row>
    <row r="356" spans="2:12" ht="15.75" x14ac:dyDescent="0.25">
      <c r="B356" s="38"/>
      <c r="C356" s="156"/>
      <c r="D356" s="38"/>
      <c r="E356" s="140"/>
      <c r="F356" s="140"/>
      <c r="G356" s="140"/>
      <c r="H356" s="140"/>
      <c r="I356" s="140"/>
    </row>
    <row r="357" spans="2:12" s="10" customFormat="1" ht="15.75" customHeight="1" x14ac:dyDescent="0.25">
      <c r="B357" s="201" t="str">
        <f>CONCATENATE("12. Kiadási jogcímek"," - ",L357," részletező")</f>
        <v>12. Kiadási jogcímek -  részletező</v>
      </c>
      <c r="C357" s="101"/>
      <c r="D357" s="101"/>
      <c r="E357" s="101"/>
      <c r="F357" s="101"/>
      <c r="G357" s="198"/>
      <c r="H357" s="198"/>
      <c r="I357" s="198"/>
      <c r="L357" s="384"/>
    </row>
    <row r="358" spans="2:12" ht="15.75" x14ac:dyDescent="0.25">
      <c r="B358" s="38"/>
      <c r="C358" s="156"/>
      <c r="D358" s="38"/>
      <c r="E358" s="140"/>
      <c r="F358" s="140"/>
      <c r="G358" s="140"/>
      <c r="H358" s="140"/>
      <c r="I358" s="140"/>
    </row>
    <row r="359" spans="2:12" x14ac:dyDescent="0.25">
      <c r="B359" s="77"/>
      <c r="C359" s="77" t="s">
        <v>350</v>
      </c>
      <c r="D359" s="77" t="s">
        <v>351</v>
      </c>
      <c r="E359" s="77" t="s">
        <v>470</v>
      </c>
      <c r="F359" s="77" t="s">
        <v>471</v>
      </c>
      <c r="G359" s="77" t="s">
        <v>44</v>
      </c>
      <c r="H359" s="77" t="s">
        <v>42</v>
      </c>
      <c r="I359" s="77" t="s">
        <v>511</v>
      </c>
    </row>
    <row r="360" spans="2:12" ht="38.25" x14ac:dyDescent="0.25">
      <c r="B360" s="160">
        <v>1</v>
      </c>
      <c r="C360" s="154" t="s">
        <v>593</v>
      </c>
      <c r="D360" s="154" t="s">
        <v>488</v>
      </c>
      <c r="E360" s="163" t="str">
        <f>CONCATENATE(PAR!$H$3," évi
eredeti 
előirányzat")</f>
        <v>2025. évi
eredeti 
előirányzat</v>
      </c>
      <c r="F360" s="163" t="str">
        <f>CONCATENATE(PAR!$H$3," évi
módosított 
előirányzat")</f>
        <v>2025. évi
módosított 
előirányzat</v>
      </c>
      <c r="G360" s="78" t="s">
        <v>666</v>
      </c>
      <c r="H360" s="78" t="s">
        <v>667</v>
      </c>
      <c r="I360" s="78" t="s">
        <v>668</v>
      </c>
    </row>
    <row r="361" spans="2:12" x14ac:dyDescent="0.25">
      <c r="B361" s="160">
        <v>2</v>
      </c>
      <c r="C361" s="78" t="s">
        <v>352</v>
      </c>
      <c r="D361" s="92" t="s">
        <v>1444</v>
      </c>
      <c r="E361" s="121">
        <f>SUM(E362:E366)</f>
        <v>0</v>
      </c>
      <c r="F361" s="121">
        <f>SUM(F362:F366)</f>
        <v>0</v>
      </c>
      <c r="G361" s="121">
        <f>SUM(G362:G366)</f>
        <v>0</v>
      </c>
      <c r="H361" s="121">
        <f>SUM(H362:H366)</f>
        <v>0</v>
      </c>
      <c r="I361" s="121">
        <f>SUM(I362:I366)</f>
        <v>0</v>
      </c>
    </row>
    <row r="362" spans="2:12" x14ac:dyDescent="0.25">
      <c r="B362" s="160">
        <v>3</v>
      </c>
      <c r="C362" s="305" t="s">
        <v>315</v>
      </c>
      <c r="D362" s="93" t="s">
        <v>342</v>
      </c>
      <c r="E362" s="72">
        <f>SUMIF(Adat!$AI:$AI,CONCATENATE(61,$M$4,"051",L357),Adat!$E:$E)</f>
        <v>0</v>
      </c>
      <c r="F362" s="72">
        <f>SUMIF(Adat!$AI:$AI,CONCATENATE(60,$M$4,"051",L357),Adat!$E:$E)+E362</f>
        <v>0</v>
      </c>
      <c r="G362" s="72">
        <f>SUMIF(Adat!$AJ:$AJ,CONCATENATE($M$4,"051","(KÖT)",L357),Adat!$E:$E)</f>
        <v>0</v>
      </c>
      <c r="H362" s="72">
        <f>SUMIF(Adat!$AJ:$AJ,CONCATENATE($M$4,"051","(ÖNV)",L357),Adat!$E:$E)</f>
        <v>0</v>
      </c>
      <c r="I362" s="72">
        <f>SUMIF(Adat!$AJ:$AJ,CONCATENATE($M$4,"051","(ÁIG)",L357),Adat!$E:$E)</f>
        <v>0</v>
      </c>
    </row>
    <row r="363" spans="2:12" x14ac:dyDescent="0.25">
      <c r="B363" s="160">
        <v>4</v>
      </c>
      <c r="C363" s="305" t="s">
        <v>317</v>
      </c>
      <c r="D363" s="93" t="s">
        <v>395</v>
      </c>
      <c r="E363" s="72">
        <f>SUMIF(Adat!$AI:$AI,CONCATENATE(61,$M$4,"052",L357),Adat!$E:$E)</f>
        <v>0</v>
      </c>
      <c r="F363" s="72">
        <f>SUMIF(Adat!$AI:$AI,CONCATENATE(60,$M$4,"052",L357),Adat!$E:$E)+E363</f>
        <v>0</v>
      </c>
      <c r="G363" s="72">
        <f>SUMIF(Adat!$AJ:$AJ,CONCATENATE($M$4,"052","(KÖT)",L357),Adat!$E:$E)</f>
        <v>0</v>
      </c>
      <c r="H363" s="72">
        <f>SUMIF(Adat!$AJ:$AJ,CONCATENATE($M$4,"052","(ÖNV)",L357),Adat!$E:$E)</f>
        <v>0</v>
      </c>
      <c r="I363" s="72">
        <f>SUMIF(Adat!$AJ:$AJ,CONCATENATE($M$4,"052","(ÁIG)",L357),Adat!$E:$E)</f>
        <v>0</v>
      </c>
    </row>
    <row r="364" spans="2:12" x14ac:dyDescent="0.25">
      <c r="B364" s="160">
        <v>5</v>
      </c>
      <c r="C364" s="305" t="s">
        <v>4</v>
      </c>
      <c r="D364" s="93" t="s">
        <v>344</v>
      </c>
      <c r="E364" s="72">
        <f>SUMIF(Adat!$AI:$AI,CONCATENATE(61,$M$4,"053",L357),Adat!$E:$E)</f>
        <v>0</v>
      </c>
      <c r="F364" s="72">
        <f>SUMIF(Adat!$AI:$AI,CONCATENATE(60,$M$4,"053",L357),Adat!$E:$E)+E364</f>
        <v>0</v>
      </c>
      <c r="G364" s="72">
        <f>SUMIF(Adat!$AJ:$AJ,CONCATENATE($M$4,"053","(KÖT)",L357),Adat!$E:$E)</f>
        <v>0</v>
      </c>
      <c r="H364" s="72">
        <f>SUMIF(Adat!$AJ:$AJ,CONCATENATE($M$4,"053","(ÖNV)",L357),Adat!$E:$E)</f>
        <v>0</v>
      </c>
      <c r="I364" s="72">
        <f>SUMIF(Adat!$AJ:$AJ,CONCATENATE($M$4,"053","(ÁIG)",L357),Adat!$E:$E)</f>
        <v>0</v>
      </c>
    </row>
    <row r="365" spans="2:12" x14ac:dyDescent="0.25">
      <c r="B365" s="160">
        <v>6</v>
      </c>
      <c r="C365" s="305" t="s">
        <v>6</v>
      </c>
      <c r="D365" s="93" t="s">
        <v>345</v>
      </c>
      <c r="E365" s="72">
        <f>SUMIF(Adat!$AI:$AI,CONCATENATE(61,$M$4,"054",L357),Adat!$E:$E)</f>
        <v>0</v>
      </c>
      <c r="F365" s="72">
        <f>SUMIF(Adat!$AI:$AI,CONCATENATE(60,$M$4,"054",L357),Adat!$E:$E)+E365</f>
        <v>0</v>
      </c>
      <c r="G365" s="72">
        <f>SUMIF(Adat!$AJ:$AJ,CONCATENATE($M$4,"054","(KÖT)",L357),Adat!$E:$E)</f>
        <v>0</v>
      </c>
      <c r="H365" s="72">
        <f>SUMIF(Adat!$AJ:$AJ,CONCATENATE($M$4,"054","(ÖNV)",L357),Adat!$E:$E)</f>
        <v>0</v>
      </c>
      <c r="I365" s="72">
        <f>SUMIF(Adat!$AJ:$AJ,CONCATENATE($M$4,"054","(ÁIG)",L357),Adat!$E:$E)</f>
        <v>0</v>
      </c>
    </row>
    <row r="366" spans="2:12" x14ac:dyDescent="0.25">
      <c r="B366" s="160">
        <v>7</v>
      </c>
      <c r="C366" s="305" t="s">
        <v>8</v>
      </c>
      <c r="D366" s="93" t="s">
        <v>321</v>
      </c>
      <c r="E366" s="72">
        <f>SUMIF(Adat!$AI:$AI,CONCATENATE(61,$M$4,"055",L357),Adat!$E:$E)</f>
        <v>0</v>
      </c>
      <c r="F366" s="72">
        <f>SUMIF(Adat!$AI:$AI,CONCATENATE(60,$M$4,"055",L357),Adat!$E:$E)+E366</f>
        <v>0</v>
      </c>
      <c r="G366" s="72">
        <f>SUMIF(Adat!$AJ:$AJ,CONCATENATE($M$4,"055","(KÖT)",L357),Adat!$E:$E)</f>
        <v>0</v>
      </c>
      <c r="H366" s="72">
        <f>SUMIF(Adat!$AJ:$AJ,CONCATENATE($M$4,"055","(ÖNV)",L357),Adat!$E:$E)</f>
        <v>0</v>
      </c>
      <c r="I366" s="72">
        <f>SUMIF(Adat!$AJ:$AJ,CONCATENATE($M$4,"055","(ÁIG)",L357),Adat!$E:$E)</f>
        <v>0</v>
      </c>
    </row>
    <row r="367" spans="2:12" x14ac:dyDescent="0.25">
      <c r="B367" s="160">
        <v>8</v>
      </c>
      <c r="C367" s="78" t="s">
        <v>358</v>
      </c>
      <c r="D367" s="92" t="s">
        <v>1447</v>
      </c>
      <c r="E367" s="121">
        <f>E368+E370+E372</f>
        <v>0</v>
      </c>
      <c r="F367" s="121">
        <f>F368+F370+F372</f>
        <v>0</v>
      </c>
      <c r="G367" s="121">
        <f>G368+G370+G372</f>
        <v>0</v>
      </c>
      <c r="H367" s="121">
        <f>H368+H370+H372</f>
        <v>0</v>
      </c>
      <c r="I367" s="121">
        <f>I368+I370+I372</f>
        <v>0</v>
      </c>
    </row>
    <row r="368" spans="2:12" x14ac:dyDescent="0.25">
      <c r="B368" s="160">
        <v>9</v>
      </c>
      <c r="C368" s="305" t="s">
        <v>10</v>
      </c>
      <c r="D368" s="93" t="s">
        <v>322</v>
      </c>
      <c r="E368" s="72">
        <f>SUMIF(Adat!$AI:$AI,CONCATENATE(61,$M$4,"056",L357),Adat!$E:$E)</f>
        <v>0</v>
      </c>
      <c r="F368" s="72">
        <f>SUMIF(Adat!$AI:$AI,CONCATENATE(60,$M$4,"056",L357),Adat!$E:$E)+E368</f>
        <v>0</v>
      </c>
      <c r="G368" s="72">
        <f>SUMIF(Adat!$AJ:$AJ,CONCATENATE($M$4,"056","(KÖT)",L357),Adat!$E:$E)</f>
        <v>0</v>
      </c>
      <c r="H368" s="72">
        <f>SUMIF(Adat!$AJ:$AJ,CONCATENATE($M$4,"056","(ÖNV)",L357),Adat!$E:$E)</f>
        <v>0</v>
      </c>
      <c r="I368" s="72">
        <f>SUMIF(Adat!$AJ:$AJ,CONCATENATE($M$4,"056","(ÁIG)",L357),Adat!$E:$E)</f>
        <v>0</v>
      </c>
    </row>
    <row r="369" spans="2:12" x14ac:dyDescent="0.25">
      <c r="B369" s="160">
        <v>10</v>
      </c>
      <c r="C369" s="305" t="s">
        <v>10</v>
      </c>
      <c r="D369" s="93" t="s">
        <v>1448</v>
      </c>
      <c r="E369" s="72">
        <v>0</v>
      </c>
      <c r="F369" s="72">
        <f>SUM(G369:I369)</f>
        <v>0</v>
      </c>
      <c r="G369" s="72">
        <v>0</v>
      </c>
      <c r="H369" s="72">
        <v>0</v>
      </c>
      <c r="I369" s="72">
        <v>0</v>
      </c>
    </row>
    <row r="370" spans="2:12" x14ac:dyDescent="0.25">
      <c r="B370" s="160">
        <v>11</v>
      </c>
      <c r="C370" s="305" t="s">
        <v>12</v>
      </c>
      <c r="D370" s="93" t="s">
        <v>323</v>
      </c>
      <c r="E370" s="72">
        <f>SUMIF(Adat!$AI:$AI,CONCATENATE(61,$M$4,"057",L357),Adat!$E:$E)</f>
        <v>0</v>
      </c>
      <c r="F370" s="72">
        <f>SUMIF(Adat!$AI:$AI,CONCATENATE(60,$M$4,"057",L357),Adat!$E:$E)+E370</f>
        <v>0</v>
      </c>
      <c r="G370" s="72">
        <f>SUMIF(Adat!$AJ:$AJ,CONCATENATE($M$4,"057","(KÖT)",L357),Adat!$E:$E)</f>
        <v>0</v>
      </c>
      <c r="H370" s="72">
        <f>SUMIF(Adat!$AJ:$AJ,CONCATENATE($M$4,"057","(ÖNV)",L357),Adat!$E:$E)</f>
        <v>0</v>
      </c>
      <c r="I370" s="72">
        <f>SUMIF(Adat!$AJ:$AJ,CONCATENATE($M$4,"057","(ÁIG)",L357),Adat!$E:$E)</f>
        <v>0</v>
      </c>
    </row>
    <row r="371" spans="2:12" x14ac:dyDescent="0.25">
      <c r="B371" s="160">
        <v>12</v>
      </c>
      <c r="C371" s="305" t="s">
        <v>12</v>
      </c>
      <c r="D371" s="93" t="s">
        <v>1449</v>
      </c>
      <c r="E371" s="72">
        <v>0</v>
      </c>
      <c r="F371" s="72">
        <f>SUM(G371:I371)</f>
        <v>0</v>
      </c>
      <c r="G371" s="72">
        <v>0</v>
      </c>
      <c r="H371" s="72">
        <v>0</v>
      </c>
      <c r="I371" s="72">
        <v>0</v>
      </c>
    </row>
    <row r="372" spans="2:12" x14ac:dyDescent="0.25">
      <c r="B372" s="160">
        <v>13</v>
      </c>
      <c r="C372" s="305" t="s">
        <v>15</v>
      </c>
      <c r="D372" s="84" t="s">
        <v>324</v>
      </c>
      <c r="E372" s="72">
        <f>SUMIF(Adat!$AI:$AI,CONCATENATE(61,$M$4,"058",L357),Adat!$E:$E)</f>
        <v>0</v>
      </c>
      <c r="F372" s="72">
        <f>SUMIF(Adat!$AI:$AI,CONCATENATE(60,$M$4,"058",L357),Adat!$E:$E)+E372</f>
        <v>0</v>
      </c>
      <c r="G372" s="72">
        <f>SUMIF(Adat!$AJ:$AJ,CONCATENATE($M$4,"058","(KÖT)",L357),Adat!$E:$E)</f>
        <v>0</v>
      </c>
      <c r="H372" s="72">
        <f>SUMIF(Adat!$AJ:$AJ,CONCATENATE($M$4,"058","(ÖNV)",L357),Adat!$E:$E)</f>
        <v>0</v>
      </c>
      <c r="I372" s="72">
        <f>SUMIF(Adat!$AJ:$AJ,CONCATENATE($M$4,"058","(ÁIG)",L357),Adat!$E:$E)</f>
        <v>0</v>
      </c>
    </row>
    <row r="373" spans="2:12" x14ac:dyDescent="0.25">
      <c r="B373" s="160">
        <v>14</v>
      </c>
      <c r="C373" s="154" t="s">
        <v>364</v>
      </c>
      <c r="D373" s="86" t="s">
        <v>325</v>
      </c>
      <c r="E373" s="71">
        <f>SUMIF(Adat!$AI:$AI,CONCATENATE(61,$M$4,"059",L357),Adat!$E:$E)</f>
        <v>0</v>
      </c>
      <c r="F373" s="71">
        <f>SUMIF(Adat!$AI:$AI,CONCATENATE(60,$M$4,"059",L357),Adat!$E:$E)+E373</f>
        <v>0</v>
      </c>
      <c r="G373" s="71">
        <f>SUMIF(Adat!$AJ:$AJ,CONCATENATE($M$4,"059","(KÖT)",L357),Adat!$E:$E)</f>
        <v>0</v>
      </c>
      <c r="H373" s="71">
        <f>SUMIF(Adat!$AJ:$AJ,CONCATENATE($M$4,"059","(ÖNV)",L357),Adat!$E:$E)</f>
        <v>0</v>
      </c>
      <c r="I373" s="71">
        <f>SUMIF(Adat!$AJ:$AJ,CONCATENATE($M$4,"059","(ÁIG)",L357),Adat!$E:$E)</f>
        <v>0</v>
      </c>
    </row>
    <row r="374" spans="2:12" x14ac:dyDescent="0.25">
      <c r="B374" s="160">
        <v>15</v>
      </c>
      <c r="C374" s="154" t="s">
        <v>403</v>
      </c>
      <c r="D374" s="159" t="s">
        <v>497</v>
      </c>
      <c r="E374" s="121">
        <f>E361+E367+E373</f>
        <v>0</v>
      </c>
      <c r="F374" s="121">
        <f>F361+F367+F373</f>
        <v>0</v>
      </c>
      <c r="G374" s="121">
        <f>G361+G367+G373</f>
        <v>0</v>
      </c>
      <c r="H374" s="121">
        <f>H361+H367+H373</f>
        <v>0</v>
      </c>
      <c r="I374" s="121">
        <f>I361+I367+I373</f>
        <v>0</v>
      </c>
    </row>
    <row r="375" spans="2:12" ht="15.75" x14ac:dyDescent="0.25">
      <c r="B375" s="37"/>
      <c r="C375" s="529"/>
      <c r="D375" s="529"/>
      <c r="E375" s="529"/>
      <c r="F375" s="200"/>
      <c r="G375" s="200"/>
      <c r="H375" s="200"/>
      <c r="I375" s="200"/>
    </row>
    <row r="376" spans="2:12" ht="15.75" x14ac:dyDescent="0.25">
      <c r="B376" s="525" t="str">
        <f>$N$4</f>
        <v>Nagymaros Városi Könyvtár és Művelődési Ház</v>
      </c>
      <c r="C376" s="525"/>
      <c r="D376" s="525"/>
      <c r="E376" s="525"/>
      <c r="F376" s="525"/>
      <c r="G376" s="525"/>
      <c r="H376" s="525"/>
      <c r="I376" s="525"/>
    </row>
    <row r="377" spans="2:12" ht="15.75" x14ac:dyDescent="0.25">
      <c r="B377" s="525" t="s">
        <v>2660</v>
      </c>
      <c r="C377" s="525"/>
      <c r="D377" s="525"/>
      <c r="E377" s="525"/>
      <c r="F377" s="525"/>
      <c r="G377" s="525"/>
      <c r="H377" s="525"/>
      <c r="I377" s="525"/>
    </row>
    <row r="378" spans="2:12" ht="15.75" x14ac:dyDescent="0.25">
      <c r="B378" s="38"/>
      <c r="C378" s="156"/>
      <c r="D378" s="38"/>
      <c r="E378" s="140"/>
      <c r="F378" s="140"/>
      <c r="G378" s="140"/>
      <c r="H378" s="140"/>
      <c r="I378" s="140"/>
    </row>
    <row r="379" spans="2:12" s="10" customFormat="1" ht="15.75" customHeight="1" x14ac:dyDescent="0.25">
      <c r="B379" s="201" t="str">
        <f>CONCATENATE("13. Bevételi jogcímek"," - ",L379," részletező")</f>
        <v>13. Bevételi jogcímek -  részletező</v>
      </c>
      <c r="C379" s="101"/>
      <c r="D379" s="101"/>
      <c r="E379" s="101"/>
      <c r="F379" s="101"/>
      <c r="G379" s="198"/>
      <c r="H379" s="198"/>
      <c r="I379" s="198"/>
      <c r="L379" s="384"/>
    </row>
    <row r="380" spans="2:12" ht="15.75" x14ac:dyDescent="0.25">
      <c r="B380" s="38"/>
      <c r="C380" s="156"/>
      <c r="D380" s="38"/>
      <c r="E380" s="140"/>
      <c r="F380" s="140"/>
      <c r="G380" s="140"/>
      <c r="H380" s="140"/>
      <c r="I380" s="140"/>
    </row>
    <row r="381" spans="2:12" x14ac:dyDescent="0.25">
      <c r="B381" s="77"/>
      <c r="C381" s="77" t="s">
        <v>350</v>
      </c>
      <c r="D381" s="77" t="s">
        <v>351</v>
      </c>
      <c r="E381" s="77" t="s">
        <v>470</v>
      </c>
      <c r="F381" s="77" t="s">
        <v>471</v>
      </c>
      <c r="G381" s="77" t="s">
        <v>44</v>
      </c>
      <c r="H381" s="77" t="s">
        <v>42</v>
      </c>
      <c r="I381" s="77" t="s">
        <v>511</v>
      </c>
    </row>
    <row r="382" spans="2:12" ht="38.25" x14ac:dyDescent="0.25">
      <c r="B382" s="160">
        <v>1</v>
      </c>
      <c r="C382" s="154" t="s">
        <v>593</v>
      </c>
      <c r="D382" s="154" t="s">
        <v>488</v>
      </c>
      <c r="E382" s="163" t="str">
        <f>CONCATENATE(PAR!$H$3," évi
eredeti 
előirányzat")</f>
        <v>2025. évi
eredeti 
előirányzat</v>
      </c>
      <c r="F382" s="163" t="str">
        <f>CONCATENATE(PAR!$H$3," évi
módosított 
előirányzat")</f>
        <v>2025. évi
módosított 
előirányzat</v>
      </c>
      <c r="G382" s="78" t="s">
        <v>666</v>
      </c>
      <c r="H382" s="78" t="s">
        <v>667</v>
      </c>
      <c r="I382" s="78" t="s">
        <v>668</v>
      </c>
    </row>
    <row r="383" spans="2:12" x14ac:dyDescent="0.25">
      <c r="B383" s="160">
        <v>2</v>
      </c>
      <c r="C383" s="79" t="s">
        <v>30</v>
      </c>
      <c r="D383" s="79" t="s">
        <v>329</v>
      </c>
      <c r="E383" s="121">
        <f>SUM(E384:E396)</f>
        <v>0</v>
      </c>
      <c r="F383" s="121">
        <f t="shared" ref="F383:I383" si="24">SUM(F384:F396)</f>
        <v>0</v>
      </c>
      <c r="G383" s="121">
        <f t="shared" si="24"/>
        <v>0</v>
      </c>
      <c r="H383" s="121">
        <f t="shared" si="24"/>
        <v>0</v>
      </c>
      <c r="I383" s="121">
        <f t="shared" si="24"/>
        <v>0</v>
      </c>
    </row>
    <row r="384" spans="2:12" x14ac:dyDescent="0.2">
      <c r="B384" s="160">
        <v>3</v>
      </c>
      <c r="C384" s="305" t="s">
        <v>1309</v>
      </c>
      <c r="D384" s="82" t="s">
        <v>1356</v>
      </c>
      <c r="E384" s="72">
        <f>SUMIF(Adat!$AG:$AG,CONCATENATE(61,$M$4,"094011",L379),Adat!$E:$E)*-1</f>
        <v>0</v>
      </c>
      <c r="F384" s="72">
        <f>SUMIF(Adat!$AG:$AG,CONCATENATE(60,$M$4,"094011",L379),Adat!$E:$E)*-1+E384</f>
        <v>0</v>
      </c>
      <c r="G384" s="72">
        <f>SUMIF(Adat!$AH:$AH,CONCATENATE($M$4,"(KÖT)","094011",L379),Adat!$E:$E)*-1</f>
        <v>0</v>
      </c>
      <c r="H384" s="72">
        <f>SUMIF(Adat!$AH:$AH,CONCATENATE($M$4,"(ÖNV)","094011",L379),Adat!$E:$E)*-1</f>
        <v>0</v>
      </c>
      <c r="I384" s="72">
        <f>SUMIF(Adat!$AH:$AH,CONCATENATE($M$4,"(ÁIG)","094011",L379),Adat!$E:$E)*-1</f>
        <v>0</v>
      </c>
    </row>
    <row r="385" spans="2:9" x14ac:dyDescent="0.2">
      <c r="B385" s="160">
        <v>4</v>
      </c>
      <c r="C385" s="305" t="s">
        <v>1279</v>
      </c>
      <c r="D385" s="82" t="s">
        <v>1357</v>
      </c>
      <c r="E385" s="72">
        <f>SUMIF(Adat!$AG:$AG,CONCATENATE(61,$M$4,"094021",L379),Adat!$E:$E)*-1</f>
        <v>0</v>
      </c>
      <c r="F385" s="72">
        <f>SUMIF(Adat!$AG:$AG,CONCATENATE(60,$M$4,"094021",L379),Adat!$E:$E)*-1+E385</f>
        <v>0</v>
      </c>
      <c r="G385" s="72">
        <f>SUMIF(Adat!$AH:$AH,CONCATENATE($M$4,"(KÖT)","094021",L379),Adat!$E:$E)*-1</f>
        <v>0</v>
      </c>
      <c r="H385" s="72">
        <f>SUMIF(Adat!$AH:$AH,CONCATENATE($M$4,"(ÖNV)","094021",L379),Adat!$E:$E)*-1</f>
        <v>0</v>
      </c>
      <c r="I385" s="72">
        <f>SUMIF(Adat!$AH:$AH,CONCATENATE($M$4,"(ÁIG)","094021",L379),Adat!$E:$E)*-1</f>
        <v>0</v>
      </c>
    </row>
    <row r="386" spans="2:9" x14ac:dyDescent="0.2">
      <c r="B386" s="160">
        <v>5</v>
      </c>
      <c r="C386" s="305" t="s">
        <v>1272</v>
      </c>
      <c r="D386" s="82" t="s">
        <v>1358</v>
      </c>
      <c r="E386" s="72">
        <f>SUMIF(Adat!$AG:$AG,CONCATENATE(61,$M$4,"094031",L379),Adat!$E:$E)*-1</f>
        <v>0</v>
      </c>
      <c r="F386" s="72">
        <f>SUMIF(Adat!$AG:$AG,CONCATENATE(60,$M$4,"094031",L379),Adat!$E:$E)*-1+E386</f>
        <v>0</v>
      </c>
      <c r="G386" s="72">
        <f>SUMIF(Adat!$AH:$AH,CONCATENATE($M$4,"(KÖT)","094031",L379),Adat!$E:$E)*-1</f>
        <v>0</v>
      </c>
      <c r="H386" s="72">
        <f>SUMIF(Adat!$AH:$AH,CONCATENATE($M$4,"(ÖNV)","094031",L379),Adat!$E:$E)*-1</f>
        <v>0</v>
      </c>
      <c r="I386" s="72">
        <f>SUMIF(Adat!$AH:$AH,CONCATENATE($M$4,"(ÁIG)","094031",L379),Adat!$E:$E)*-1</f>
        <v>0</v>
      </c>
    </row>
    <row r="387" spans="2:9" x14ac:dyDescent="0.2">
      <c r="B387" s="160">
        <v>6</v>
      </c>
      <c r="C387" s="305" t="s">
        <v>1359</v>
      </c>
      <c r="D387" s="82" t="s">
        <v>1360</v>
      </c>
      <c r="E387" s="72">
        <f>SUMIF(Adat!$AG:$AG,CONCATENATE(61,$M$4,"094041",L379),Adat!$E:$E)*-1</f>
        <v>0</v>
      </c>
      <c r="F387" s="72">
        <f>SUMIF(Adat!$AG:$AG,CONCATENATE(60,$M$4,"094041",L379),Adat!$E:$E)*-1+E387</f>
        <v>0</v>
      </c>
      <c r="G387" s="72">
        <f>SUMIF(Adat!$AH:$AH,CONCATENATE($M$4,"(KÖT)","094041",L379),Adat!$E:$E)*-1</f>
        <v>0</v>
      </c>
      <c r="H387" s="72">
        <f>SUMIF(Adat!$AH:$AH,CONCATENATE($M$4,"(ÖNV)","094041",L379),Adat!$E:$E)*-1</f>
        <v>0</v>
      </c>
      <c r="I387" s="72">
        <f>SUMIF(Adat!$AH:$AH,CONCATENATE($M$4,"(ÁIG)","094041",L379),Adat!$E:$E)*-1</f>
        <v>0</v>
      </c>
    </row>
    <row r="388" spans="2:9" x14ac:dyDescent="0.2">
      <c r="B388" s="160">
        <v>7</v>
      </c>
      <c r="C388" s="305" t="s">
        <v>1261</v>
      </c>
      <c r="D388" s="82" t="s">
        <v>1361</v>
      </c>
      <c r="E388" s="72">
        <f>SUMIF(Adat!$AG:$AG,CONCATENATE(61,$M$4,"094051",L379),Adat!$E:$E)*-1</f>
        <v>0</v>
      </c>
      <c r="F388" s="72">
        <f>SUMIF(Adat!$AG:$AG,CONCATENATE(60,$M$4,"094051",L379),Adat!$E:$E)*-1+E388</f>
        <v>0</v>
      </c>
      <c r="G388" s="72">
        <f>SUMIF(Adat!$AH:$AH,CONCATENATE($M$4,"(KÖT)","094051",L379),Adat!$E:$E)*-1</f>
        <v>0</v>
      </c>
      <c r="H388" s="72">
        <f>SUMIF(Adat!$AH:$AH,CONCATENATE($M$4,"(ÖNV)","094051",L379),Adat!$E:$E)*-1</f>
        <v>0</v>
      </c>
      <c r="I388" s="72">
        <f>SUMIF(Adat!$AH:$AH,CONCATENATE($M$4,"(ÁIG)","094051",L379),Adat!$E:$E)*-1</f>
        <v>0</v>
      </c>
    </row>
    <row r="389" spans="2:9" x14ac:dyDescent="0.2">
      <c r="B389" s="160">
        <v>8</v>
      </c>
      <c r="C389" s="305" t="s">
        <v>1273</v>
      </c>
      <c r="D389" s="82" t="s">
        <v>1362</v>
      </c>
      <c r="E389" s="72">
        <f>SUMIF(Adat!$AG:$AG,CONCATENATE(61,$M$4,"094061",L379),Adat!$E:$E)*-1</f>
        <v>0</v>
      </c>
      <c r="F389" s="72">
        <f>SUMIF(Adat!$AG:$AG,CONCATENATE(60,$M$4,"094061",L379),Adat!$E:$E)*-1+E389</f>
        <v>0</v>
      </c>
      <c r="G389" s="72">
        <f>SUMIF(Adat!$AH:$AH,CONCATENATE($M$4,"(KÖT)","094061",L379),Adat!$E:$E)*-1</f>
        <v>0</v>
      </c>
      <c r="H389" s="72">
        <f>SUMIF(Adat!$AH:$AH,CONCATENATE($M$4,"(ÖNV)","094061",L379),Adat!$E:$E)*-1</f>
        <v>0</v>
      </c>
      <c r="I389" s="72">
        <f>SUMIF(Adat!$AH:$AH,CONCATENATE($M$4,"(ÁIG)","094061",L379),Adat!$E:$E)*-1</f>
        <v>0</v>
      </c>
    </row>
    <row r="390" spans="2:9" x14ac:dyDescent="0.2">
      <c r="B390" s="160">
        <v>9</v>
      </c>
      <c r="C390" s="305" t="s">
        <v>1363</v>
      </c>
      <c r="D390" s="82" t="s">
        <v>1364</v>
      </c>
      <c r="E390" s="72">
        <f>SUMIF(Adat!$AG:$AG,CONCATENATE(61,$M$4,"094071",L379),Adat!$E:$E)*-1</f>
        <v>0</v>
      </c>
      <c r="F390" s="72">
        <f>SUMIF(Adat!$AG:$AG,CONCATENATE(60,$M$4,"094071",L379),Adat!$E:$E)*-1+E390</f>
        <v>0</v>
      </c>
      <c r="G390" s="72">
        <f>SUMIF(Adat!$AH:$AH,CONCATENATE($M$4,"(KÖT)","094071",L379),Adat!$E:$E)*-1</f>
        <v>0</v>
      </c>
      <c r="H390" s="72">
        <f>SUMIF(Adat!$AH:$AH,CONCATENATE($M$4,"(ÖNV)","094071",L379),Adat!$E:$E)*-1</f>
        <v>0</v>
      </c>
      <c r="I390" s="72">
        <f>SUMIF(Adat!$AH:$AH,CONCATENATE($M$4,"(ÁIG)","094071",L379),Adat!$E:$E)*-1</f>
        <v>0</v>
      </c>
    </row>
    <row r="391" spans="2:9" x14ac:dyDescent="0.2">
      <c r="B391" s="160">
        <v>10</v>
      </c>
      <c r="C391" s="305" t="s">
        <v>1306</v>
      </c>
      <c r="D391" s="82" t="s">
        <v>1365</v>
      </c>
      <c r="E391" s="72">
        <f>SUMIF(Adat!$AG:$AG,CONCATENATE(61,$M$4,"0940811",L379),Adat!$E:$E)*-1</f>
        <v>0</v>
      </c>
      <c r="F391" s="72">
        <f>SUMIF(Adat!$AG:$AG,CONCATENATE(60,$M$4,"0940811",L379),Adat!$E:$E)*-1+E391</f>
        <v>0</v>
      </c>
      <c r="G391" s="72">
        <f>SUMIF(Adat!$AH:$AH,CONCATENATE($M$4,"(KÖT)","0940811",L379),Adat!$E:$E)*-1</f>
        <v>0</v>
      </c>
      <c r="H391" s="72">
        <f>SUMIF(Adat!$AH:$AH,CONCATENATE($M$4,"(ÖNV)","0940811",L379),Adat!$E:$E)*-1</f>
        <v>0</v>
      </c>
      <c r="I391" s="72">
        <f>SUMIF(Adat!$AH:$AH,CONCATENATE($M$4,"(ÁIG)","0940811",L379),Adat!$E:$E)*-1</f>
        <v>0</v>
      </c>
    </row>
    <row r="392" spans="2:9" x14ac:dyDescent="0.2">
      <c r="B392" s="160">
        <v>11</v>
      </c>
      <c r="C392" s="305" t="s">
        <v>1295</v>
      </c>
      <c r="D392" s="82" t="s">
        <v>1366</v>
      </c>
      <c r="E392" s="72">
        <f>SUMIF(Adat!$AG:$AG,CONCATENATE(61,$M$4,"0940821",L379),Adat!$E:$E)*-1</f>
        <v>0</v>
      </c>
      <c r="F392" s="72">
        <f>SUMIF(Adat!$AG:$AG,CONCATENATE(60,$M$4,"0940821",L379),Adat!$E:$E)*-1+E392</f>
        <v>0</v>
      </c>
      <c r="G392" s="72">
        <f>SUMIF(Adat!$AH:$AH,CONCATENATE($M$4,"(KÖT)","0940821",L379),Adat!$E:$E)*-1</f>
        <v>0</v>
      </c>
      <c r="H392" s="72">
        <f>SUMIF(Adat!$AH:$AH,CONCATENATE($M$4,"(ÖNV)","0940821",L379),Adat!$E:$E)*-1</f>
        <v>0</v>
      </c>
      <c r="I392" s="72">
        <f>SUMIF(Adat!$AH:$AH,CONCATENATE($M$4,"(ÁIG)","0940821",L379),Adat!$E:$E)*-1</f>
        <v>0</v>
      </c>
    </row>
    <row r="393" spans="2:9" x14ac:dyDescent="0.2">
      <c r="B393" s="160">
        <v>12</v>
      </c>
      <c r="C393" s="305" t="s">
        <v>1367</v>
      </c>
      <c r="D393" s="82" t="s">
        <v>1368</v>
      </c>
      <c r="E393" s="72">
        <f>SUMIF(Adat!$AG:$AG,CONCATENATE(61,$M$4,"0940911",L379),Adat!$E:$E)*-1</f>
        <v>0</v>
      </c>
      <c r="F393" s="72">
        <f>SUMIF(Adat!$AG:$AG,CONCATENATE(60,$M$4,"0940911",L379),Adat!$E:$E)*-1+E393</f>
        <v>0</v>
      </c>
      <c r="G393" s="72">
        <f>SUMIF(Adat!$AH:$AH,CONCATENATE($M$4,"(KÖT)","0940911",L379),Adat!$E:$E)*-1</f>
        <v>0</v>
      </c>
      <c r="H393" s="72">
        <f>SUMIF(Adat!$AH:$AH,CONCATENATE($M$4,"(ÖNV)","0940911",L379),Adat!$E:$E)*-1</f>
        <v>0</v>
      </c>
      <c r="I393" s="72">
        <f>SUMIF(Adat!$AH:$AH,CONCATENATE($M$4,"(ÁIG)","0940911",L379),Adat!$E:$E)*-1</f>
        <v>0</v>
      </c>
    </row>
    <row r="394" spans="2:9" x14ac:dyDescent="0.2">
      <c r="B394" s="160">
        <v>13</v>
      </c>
      <c r="C394" s="305" t="s">
        <v>1369</v>
      </c>
      <c r="D394" s="82" t="s">
        <v>1370</v>
      </c>
      <c r="E394" s="72">
        <f>SUMIF(Adat!$AG:$AG,CONCATENATE(61,$M$4,"0940921",L379),Adat!$E:$E)*-1</f>
        <v>0</v>
      </c>
      <c r="F394" s="72">
        <f>SUMIF(Adat!$AG:$AG,CONCATENATE(60,$M$4,"0940921",L379),Adat!$E:$E)*-1+E394</f>
        <v>0</v>
      </c>
      <c r="G394" s="72">
        <f>SUMIF(Adat!$AH:$AH,CONCATENATE($M$4,"(KÖT)","0940921",L379),Adat!$E:$E)*-1</f>
        <v>0</v>
      </c>
      <c r="H394" s="72">
        <f>SUMIF(Adat!$AH:$AH,CONCATENATE($M$4,"(ÖNV)","0940921",L379),Adat!$E:$E)*-1</f>
        <v>0</v>
      </c>
      <c r="I394" s="72">
        <f>SUMIF(Adat!$AH:$AH,CONCATENATE($M$4,"(ÁIG)","0940921",L379),Adat!$E:$E)*-1</f>
        <v>0</v>
      </c>
    </row>
    <row r="395" spans="2:9" x14ac:dyDescent="0.2">
      <c r="B395" s="160">
        <v>14</v>
      </c>
      <c r="C395" s="305" t="s">
        <v>1296</v>
      </c>
      <c r="D395" s="82" t="s">
        <v>1371</v>
      </c>
      <c r="E395" s="72">
        <f>SUMIF(Adat!$AG:$AG,CONCATENATE(61,$M$4,"094101",L379),Adat!$E:$E)*-1</f>
        <v>0</v>
      </c>
      <c r="F395" s="72">
        <f>SUMIF(Adat!$AG:$AG,CONCATENATE(60,$M$4,"094101",L379),Adat!$E:$E)*-1+E395</f>
        <v>0</v>
      </c>
      <c r="G395" s="72">
        <f>SUMIF(Adat!$AH:$AH,CONCATENATE($M$4,"(KÖT)","094101",L379),Adat!$E:$E)*-1</f>
        <v>0</v>
      </c>
      <c r="H395" s="72">
        <f>SUMIF(Adat!$AH:$AH,CONCATENATE($M$4,"(ÖNV)","094101",L379),Adat!$E:$E)*-1</f>
        <v>0</v>
      </c>
      <c r="I395" s="72">
        <f>SUMIF(Adat!$AH:$AH,CONCATENATE($M$4,"(ÁIG)","094101",L379),Adat!$E:$E)*-1</f>
        <v>0</v>
      </c>
    </row>
    <row r="396" spans="2:9" x14ac:dyDescent="0.25">
      <c r="B396" s="160">
        <v>15</v>
      </c>
      <c r="C396" s="305" t="s">
        <v>1297</v>
      </c>
      <c r="D396" s="84" t="s">
        <v>1372</v>
      </c>
      <c r="E396" s="72">
        <f>SUMIF(Adat!$AG:$AG,CONCATENATE(61,$M$4,"094111",L379),Adat!$E:$E)*-1</f>
        <v>0</v>
      </c>
      <c r="F396" s="72">
        <f>SUMIF(Adat!$AG:$AG,CONCATENATE(60,$M$4,"094111",L379),Adat!$E:$E)*-1+E396</f>
        <v>0</v>
      </c>
      <c r="G396" s="72">
        <f>SUMIF(Adat!$AH:$AH,CONCATENATE($M$4,"(KÖT)","094111",L379),Adat!$E:$E)*-1</f>
        <v>0</v>
      </c>
      <c r="H396" s="72">
        <f>SUMIF(Adat!$AH:$AH,CONCATENATE($M$4,"(ÖNV)","094111",L379),Adat!$E:$E)*-1</f>
        <v>0</v>
      </c>
      <c r="I396" s="72">
        <f>SUMIF(Adat!$AH:$AH,CONCATENATE($M$4,"(ÁIG)","094111",L379),Adat!$E:$E)*-1</f>
        <v>0</v>
      </c>
    </row>
    <row r="397" spans="2:9" x14ac:dyDescent="0.25">
      <c r="B397" s="160">
        <v>16</v>
      </c>
      <c r="C397" s="78" t="s">
        <v>1328</v>
      </c>
      <c r="D397" s="85" t="s">
        <v>437</v>
      </c>
      <c r="E397" s="121">
        <f>SUM(E398:E400)</f>
        <v>0</v>
      </c>
      <c r="F397" s="121">
        <f>SUM(F398:F400)</f>
        <v>0</v>
      </c>
      <c r="G397" s="121">
        <f>SUM(G398:G400)</f>
        <v>0</v>
      </c>
      <c r="H397" s="121">
        <f>SUM(H398:H400)</f>
        <v>0</v>
      </c>
      <c r="I397" s="121">
        <f>SUM(I398:I400)</f>
        <v>0</v>
      </c>
    </row>
    <row r="398" spans="2:9" x14ac:dyDescent="0.2">
      <c r="B398" s="160">
        <v>17</v>
      </c>
      <c r="C398" s="305" t="s">
        <v>1329</v>
      </c>
      <c r="D398" s="82" t="s">
        <v>1330</v>
      </c>
      <c r="E398" s="72">
        <f>SUMIF(Adat!$AG:$AG,CONCATENATE(61,$M$4,"09121",L379),Adat!$E:$E)*-1</f>
        <v>0</v>
      </c>
      <c r="F398" s="72">
        <f>SUMIF(Adat!$AG:$AG,CONCATENATE(60,$M$4,"09121",L379),Adat!$E:$E)*-1+E398</f>
        <v>0</v>
      </c>
      <c r="G398" s="72">
        <f>SUMIF(Adat!$AH:$AH,CONCATENATE($M$4,"(KÖT)","09121",L379),Adat!$E:$E)*-1</f>
        <v>0</v>
      </c>
      <c r="H398" s="72">
        <f>SUMIF(Adat!$AH:$AH,CONCATENATE($M$4,"(ÖNV)","09121",L379),Adat!$E:$E)*-1</f>
        <v>0</v>
      </c>
      <c r="I398" s="72">
        <f>SUMIF(Adat!$AH:$AH,CONCATENATE($M$4,"(ÁIG)","09121",L379),Adat!$E:$E)*-1</f>
        <v>0</v>
      </c>
    </row>
    <row r="399" spans="2:9" x14ac:dyDescent="0.2">
      <c r="B399" s="160">
        <v>18</v>
      </c>
      <c r="C399" s="305" t="s">
        <v>1335</v>
      </c>
      <c r="D399" s="82" t="s">
        <v>1336</v>
      </c>
      <c r="E399" s="72">
        <f>SUMIF(Adat!$AG:$AG,CONCATENATE(61,$M$4,"09151",L379),Adat!$E:$E)*-1</f>
        <v>0</v>
      </c>
      <c r="F399" s="72">
        <f>SUMIF(Adat!$AG:$AG,CONCATENATE(60,$M$4,"09151",L379),Adat!$E:$E)*-1+E399</f>
        <v>0</v>
      </c>
      <c r="G399" s="72">
        <f>SUMIF(Adat!$AH:$AH,CONCATENATE($M$4,"(KÖT)","09151",L379),Adat!$E:$E)*-1</f>
        <v>0</v>
      </c>
      <c r="H399" s="72">
        <f>SUMIF(Adat!$AH:$AH,CONCATENATE($M$4,"(ÖNV)","09151",L379),Adat!$E:$E)*-1</f>
        <v>0</v>
      </c>
      <c r="I399" s="72">
        <f>SUMIF(Adat!$AH:$AH,CONCATENATE($M$4,"(ÁIG)","09151",L379),Adat!$E:$E)*-1</f>
        <v>0</v>
      </c>
    </row>
    <row r="400" spans="2:9" x14ac:dyDescent="0.2">
      <c r="B400" s="160">
        <v>19</v>
      </c>
      <c r="C400" s="305" t="s">
        <v>1278</v>
      </c>
      <c r="D400" s="82" t="s">
        <v>1337</v>
      </c>
      <c r="E400" s="72">
        <f>SUMIF(Adat!$AG:$AG,CONCATENATE(61,$M$4,"09161",L379),Adat!$E:$E)*-1</f>
        <v>0</v>
      </c>
      <c r="F400" s="72">
        <f>SUMIF(Adat!$AG:$AG,CONCATENATE(60,$M$4,"09161",L379),Adat!$E:$E)*-1+E400</f>
        <v>0</v>
      </c>
      <c r="G400" s="72">
        <f>SUMIF(Adat!$AH:$AH,CONCATENATE($M$4,"(KÖT)","09161",L379),Adat!$E:$E)*-1</f>
        <v>0</v>
      </c>
      <c r="H400" s="72">
        <f>SUMIF(Adat!$AH:$AH,CONCATENATE($M$4,"(ÖNV)","09161",L379),Adat!$E:$E)*-1</f>
        <v>0</v>
      </c>
      <c r="I400" s="72">
        <f>SUMIF(Adat!$AH:$AH,CONCATENATE($M$4,"(ÁIG)","09161",L379),Adat!$E:$E)*-1</f>
        <v>0</v>
      </c>
    </row>
    <row r="401" spans="2:9" x14ac:dyDescent="0.25">
      <c r="B401" s="160">
        <v>20</v>
      </c>
      <c r="C401" s="79" t="s">
        <v>27</v>
      </c>
      <c r="D401" s="79" t="s">
        <v>328</v>
      </c>
      <c r="E401" s="71">
        <f>SUMIF(Adat!$AI:$AI,CONCATENATE(61,$M$4,"093",L379),Adat!$E:$E)*-1</f>
        <v>0</v>
      </c>
      <c r="F401" s="71">
        <f>SUMIF(Adat!$AI:$AI,CONCATENATE(60,$M$4,"093",L379),Adat!$E:$E)*-1+E401</f>
        <v>0</v>
      </c>
      <c r="G401" s="71">
        <f>SUMIF(Adat!$AJ:$AJ,CONCATENATE($M$4,"093","(KÖT)",L379),Adat!$E:$E)*-1</f>
        <v>0</v>
      </c>
      <c r="H401" s="71">
        <f>SUMIF(Adat!$AJ:$AJ,CONCATENATE($M$4,"093","(ÖNV)",L379),Adat!$E:$E)*-1</f>
        <v>0</v>
      </c>
      <c r="I401" s="71">
        <f>SUMIF(Adat!$AJ:$AJ,CONCATENATE($M$4,"093","(ÁIG)",L379),Adat!$E:$E)*-1</f>
        <v>0</v>
      </c>
    </row>
    <row r="402" spans="2:9" x14ac:dyDescent="0.25">
      <c r="B402" s="160">
        <v>21</v>
      </c>
      <c r="C402" s="79" t="s">
        <v>24</v>
      </c>
      <c r="D402" s="79" t="s">
        <v>449</v>
      </c>
      <c r="E402" s="121">
        <f>SUM(E403:E405)</f>
        <v>0</v>
      </c>
      <c r="F402" s="121">
        <f t="shared" ref="F402:I402" si="25">SUM(F403:F405)</f>
        <v>0</v>
      </c>
      <c r="G402" s="121">
        <f t="shared" si="25"/>
        <v>0</v>
      </c>
      <c r="H402" s="121">
        <f t="shared" si="25"/>
        <v>0</v>
      </c>
      <c r="I402" s="121">
        <f t="shared" si="25"/>
        <v>0</v>
      </c>
    </row>
    <row r="403" spans="2:9" x14ac:dyDescent="0.2">
      <c r="B403" s="160">
        <v>22</v>
      </c>
      <c r="C403" s="305" t="s">
        <v>1339</v>
      </c>
      <c r="D403" s="82" t="s">
        <v>1340</v>
      </c>
      <c r="E403" s="72">
        <f>SUMIF(Adat!$AG:$AG,CONCATENATE(61,$M$4,"09211",L379),Adat!$E:$E)*-1</f>
        <v>0</v>
      </c>
      <c r="F403" s="72">
        <f>SUMIF(Adat!$AG:$AG,CONCATENATE(60,$M$4,"09211",L379),Adat!$E:$E)*-1+E403</f>
        <v>0</v>
      </c>
      <c r="G403" s="72">
        <f>SUMIF(Adat!$AH:$AH,CONCATENATE($M$4,"(KÖT)","09211",L379),Adat!$E:$E)*-1</f>
        <v>0</v>
      </c>
      <c r="H403" s="72">
        <f>SUMIF(Adat!$AH:$AH,CONCATENATE($M$4,"(ÖNV)","09211",L379),Adat!$E:$E)*-1</f>
        <v>0</v>
      </c>
      <c r="I403" s="72">
        <f>SUMIF(Adat!$AH:$AH,CONCATENATE($M$4,"(ÁIG)","09211",L379),Adat!$E:$E)*-1</f>
        <v>0</v>
      </c>
    </row>
    <row r="404" spans="2:9" x14ac:dyDescent="0.2">
      <c r="B404" s="160">
        <v>23</v>
      </c>
      <c r="C404" s="305" t="s">
        <v>1345</v>
      </c>
      <c r="D404" s="82" t="s">
        <v>1346</v>
      </c>
      <c r="E404" s="72">
        <f>SUMIF(Adat!$AG:$AG,CONCATENATE(61,$M$4,"09241",L379),Adat!$E:$E)*-1</f>
        <v>0</v>
      </c>
      <c r="F404" s="72">
        <f>SUMIF(Adat!$AG:$AG,CONCATENATE(60,$M$4,"09241",L379),Adat!$E:$E)*-1+E404</f>
        <v>0</v>
      </c>
      <c r="G404" s="72">
        <f>SUMIF(Adat!$AH:$AH,CONCATENATE($M$4,"(KÖT)","09241",L379),Adat!$E:$E)*-1</f>
        <v>0</v>
      </c>
      <c r="H404" s="72">
        <f>SUMIF(Adat!$AH:$AH,CONCATENATE($M$4,"(ÖNV)","09241",L379),Adat!$E:$E)*-1</f>
        <v>0</v>
      </c>
      <c r="I404" s="72">
        <f>SUMIF(Adat!$AH:$AH,CONCATENATE($M$4,"(ÁIG)","09241",L379),Adat!$E:$E)*-1</f>
        <v>0</v>
      </c>
    </row>
    <row r="405" spans="2:9" x14ac:dyDescent="0.2">
      <c r="B405" s="160">
        <v>24</v>
      </c>
      <c r="C405" s="305" t="s">
        <v>1255</v>
      </c>
      <c r="D405" s="82" t="s">
        <v>1347</v>
      </c>
      <c r="E405" s="72">
        <f>SUMIF(Adat!$AG:$AG,CONCATENATE(61,$M$4,"09251",L379),Adat!$E:$E)*-1</f>
        <v>0</v>
      </c>
      <c r="F405" s="72">
        <f>SUMIF(Adat!$AG:$AG,CONCATENATE(60,$M$4,"09251",L379),Adat!$E:$E)*-1+E405</f>
        <v>0</v>
      </c>
      <c r="G405" s="72">
        <f>SUMIF(Adat!$AH:$AH,CONCATENATE($M$4,"(KÖT)","09251",L379),Adat!$E:$E)*-1</f>
        <v>0</v>
      </c>
      <c r="H405" s="72">
        <f>SUMIF(Adat!$AH:$AH,CONCATENATE($M$4,"(ÖNV)","09251",L379),Adat!$E:$E)*-1</f>
        <v>0</v>
      </c>
      <c r="I405" s="72">
        <f>SUMIF(Adat!$AH:$AH,CONCATENATE($M$4,"(ÁIG)","09251",L379),Adat!$E:$E)*-1</f>
        <v>0</v>
      </c>
    </row>
    <row r="406" spans="2:9" x14ac:dyDescent="0.25">
      <c r="B406" s="160">
        <v>25</v>
      </c>
      <c r="C406" s="79" t="s">
        <v>33</v>
      </c>
      <c r="D406" s="79" t="s">
        <v>330</v>
      </c>
      <c r="E406" s="121">
        <f>SUM(E407:E409)</f>
        <v>0</v>
      </c>
      <c r="F406" s="121">
        <f t="shared" ref="F406:I406" si="26">SUM(F407:F409)</f>
        <v>0</v>
      </c>
      <c r="G406" s="121">
        <f t="shared" si="26"/>
        <v>0</v>
      </c>
      <c r="H406" s="121">
        <f t="shared" si="26"/>
        <v>0</v>
      </c>
      <c r="I406" s="121">
        <f t="shared" si="26"/>
        <v>0</v>
      </c>
    </row>
    <row r="407" spans="2:9" x14ac:dyDescent="0.2">
      <c r="B407" s="160">
        <v>26</v>
      </c>
      <c r="C407" s="305" t="s">
        <v>1373</v>
      </c>
      <c r="D407" s="82" t="s">
        <v>1374</v>
      </c>
      <c r="E407" s="72">
        <f>SUMIF(Adat!$AG:$AG,CONCATENATE(61,$M$4,"09511",L379),Adat!$E:$E)*-1</f>
        <v>0</v>
      </c>
      <c r="F407" s="72">
        <f>SUMIF(Adat!$AG:$AG,CONCATENATE(60,$M$4,"09511",L379),Adat!$E:$E)*-1+E407</f>
        <v>0</v>
      </c>
      <c r="G407" s="72">
        <f>SUMIF(Adat!$AH:$AH,CONCATENATE($M$4,"(KÖT)","09511",L379),Adat!$E:$E)*-1</f>
        <v>0</v>
      </c>
      <c r="H407" s="72">
        <f>SUMIF(Adat!$AH:$AH,CONCATENATE($M$4,"(ÖNV)","09511",L379),Adat!$E:$E)*-1</f>
        <v>0</v>
      </c>
      <c r="I407" s="72">
        <f>SUMIF(Adat!$AH:$AH,CONCATENATE($M$4,"(ÁIG)","09511",L379),Adat!$E:$E)*-1</f>
        <v>0</v>
      </c>
    </row>
    <row r="408" spans="2:9" x14ac:dyDescent="0.2">
      <c r="B408" s="160">
        <v>27</v>
      </c>
      <c r="C408" s="305" t="s">
        <v>1294</v>
      </c>
      <c r="D408" s="82" t="s">
        <v>1375</v>
      </c>
      <c r="E408" s="72">
        <f>SUMIF(Adat!$AG:$AG,CONCATENATE(61,$M$4,"09521",L379),Adat!$E:$E)*-1</f>
        <v>0</v>
      </c>
      <c r="F408" s="72">
        <f>SUMIF(Adat!$AG:$AG,CONCATENATE(60,$M$4,"09521",L379),Adat!$E:$E)*-1+E408</f>
        <v>0</v>
      </c>
      <c r="G408" s="72">
        <f>SUMIF(Adat!$AH:$AH,CONCATENATE($M$4,"(KÖT)","09521",L379),Adat!$E:$E)*-1</f>
        <v>0</v>
      </c>
      <c r="H408" s="72">
        <f>SUMIF(Adat!$AH:$AH,CONCATENATE($M$4,"(ÖNV)","09521",L379),Adat!$E:$E)*-1</f>
        <v>0</v>
      </c>
      <c r="I408" s="72">
        <f>SUMIF(Adat!$AH:$AH,CONCATENATE($M$4,"(ÁIG)","09521",L379),Adat!$E:$E)*-1</f>
        <v>0</v>
      </c>
    </row>
    <row r="409" spans="2:9" x14ac:dyDescent="0.2">
      <c r="B409" s="160">
        <v>28</v>
      </c>
      <c r="C409" s="305" t="s">
        <v>1376</v>
      </c>
      <c r="D409" s="82" t="s">
        <v>1377</v>
      </c>
      <c r="E409" s="72">
        <f>SUMIF(Adat!$AG:$AG,CONCATENATE(61,$M$4,"09531",L379),Adat!$E:$E)*-1</f>
        <v>0</v>
      </c>
      <c r="F409" s="72">
        <f>SUMIF(Adat!$AG:$AG,CONCATENATE(60,$M$4,"09531",L379),Adat!$E:$E)*-1+E409</f>
        <v>0</v>
      </c>
      <c r="G409" s="72">
        <f>SUMIF(Adat!$AH:$AH,CONCATENATE($M$4,"(KÖT)","09531",L379),Adat!$E:$E)*-1</f>
        <v>0</v>
      </c>
      <c r="H409" s="72">
        <f>SUMIF(Adat!$AH:$AH,CONCATENATE($M$4,"(ÖNV)","09531",L379),Adat!$E:$E)*-1</f>
        <v>0</v>
      </c>
      <c r="I409" s="72">
        <f>SUMIF(Adat!$AH:$AH,CONCATENATE($M$4,"(ÁIG)","09531",L379),Adat!$E:$E)*-1</f>
        <v>0</v>
      </c>
    </row>
    <row r="410" spans="2:9" x14ac:dyDescent="0.25">
      <c r="B410" s="160">
        <v>29</v>
      </c>
      <c r="C410" s="79" t="s">
        <v>36</v>
      </c>
      <c r="D410" s="79" t="s">
        <v>331</v>
      </c>
      <c r="E410" s="71">
        <f>SUMIF(Adat!$AI:$AI,CONCATENATE(61,$M$4,"096",L379),Adat!$E:$E)*-1</f>
        <v>0</v>
      </c>
      <c r="F410" s="71">
        <f>SUMIF(Adat!$AI:$AI,CONCATENATE(60,$M$4,"096",L379),Adat!$E:$E)*-1+E410</f>
        <v>0</v>
      </c>
      <c r="G410" s="71">
        <f>SUMIF(Adat!$AJ:$AJ,CONCATENATE($M$4,"096","(KÖT)",L379),Adat!$E:$E)*-1</f>
        <v>0</v>
      </c>
      <c r="H410" s="71">
        <f>SUMIF(Adat!$AJ:$AJ,CONCATENATE($M$4,"096","(ÖNV)",L379),Adat!$E:$E)*-1</f>
        <v>0</v>
      </c>
      <c r="I410" s="71">
        <f>SUMIF(Adat!$AJ:$AJ,CONCATENATE($M$4,"096","(ÁIG)",L379),Adat!$E:$E)*-1</f>
        <v>0</v>
      </c>
    </row>
    <row r="411" spans="2:9" x14ac:dyDescent="0.25">
      <c r="B411" s="160">
        <v>30</v>
      </c>
      <c r="C411" s="79" t="s">
        <v>38</v>
      </c>
      <c r="D411" s="85" t="s">
        <v>332</v>
      </c>
      <c r="E411" s="71">
        <f>SUMIF(Adat!$AI:$AI,CONCATENATE(61,$M$4,"097",L379),Adat!$E:$E)*-1</f>
        <v>0</v>
      </c>
      <c r="F411" s="71">
        <f>SUMIF(Adat!$AI:$AI,CONCATENATE(60,$M$4,"097",L379),Adat!$E:$E)*-1+E411</f>
        <v>0</v>
      </c>
      <c r="G411" s="71">
        <f>SUMIF(Adat!$AJ:$AJ,CONCATENATE($M$4,"097","(KÖT)",L379),Adat!$E:$E)*-1</f>
        <v>0</v>
      </c>
      <c r="H411" s="71">
        <f>SUMIF(Adat!$AJ:$AJ,CONCATENATE($M$4,"097","(ÖNV)",L379),Adat!$E:$E)*-1</f>
        <v>0</v>
      </c>
      <c r="I411" s="71">
        <f>SUMIF(Adat!$AJ:$AJ,CONCATENATE($M$4,"097","(ÁIG)",L379),Adat!$E:$E)*-1</f>
        <v>0</v>
      </c>
    </row>
    <row r="412" spans="2:9" x14ac:dyDescent="0.25">
      <c r="B412" s="160">
        <v>31</v>
      </c>
      <c r="C412" s="154" t="s">
        <v>352</v>
      </c>
      <c r="D412" s="86" t="s">
        <v>1500</v>
      </c>
      <c r="E412" s="121">
        <f>E383+E397+E401+E402+E406+E410+E411</f>
        <v>0</v>
      </c>
      <c r="F412" s="121">
        <f>F383+F397+F401+F402+F406+F410+F411</f>
        <v>0</v>
      </c>
      <c r="G412" s="121">
        <f>G383+G397+G401+G402+G406+G410+G411</f>
        <v>0</v>
      </c>
      <c r="H412" s="121">
        <f>H383+H397+H401+H402+H406+H410+H411</f>
        <v>0</v>
      </c>
      <c r="I412" s="121">
        <f>I383+I397+I401+I402+I406+I410+I411</f>
        <v>0</v>
      </c>
    </row>
    <row r="413" spans="2:9" x14ac:dyDescent="0.25">
      <c r="B413" s="160">
        <v>32</v>
      </c>
      <c r="C413" s="154" t="s">
        <v>358</v>
      </c>
      <c r="D413" s="86" t="s">
        <v>333</v>
      </c>
      <c r="E413" s="121">
        <f>SUM(E414:E416)</f>
        <v>0</v>
      </c>
      <c r="F413" s="121">
        <f t="shared" ref="F413:I413" si="27">SUM(F414:F416)</f>
        <v>0</v>
      </c>
      <c r="G413" s="121">
        <f t="shared" si="27"/>
        <v>0</v>
      </c>
      <c r="H413" s="121">
        <f t="shared" si="27"/>
        <v>0</v>
      </c>
      <c r="I413" s="121">
        <f t="shared" si="27"/>
        <v>0</v>
      </c>
    </row>
    <row r="414" spans="2:9" x14ac:dyDescent="0.2">
      <c r="B414" s="160">
        <v>33</v>
      </c>
      <c r="C414" s="305" t="s">
        <v>1274</v>
      </c>
      <c r="D414" s="82" t="s">
        <v>1419</v>
      </c>
      <c r="E414" s="72">
        <f>SUMIF(Adat!$AG:$AG,CONCATENATE(61,$M$4,"0981311",L379),Adat!$E:$E)*-1</f>
        <v>0</v>
      </c>
      <c r="F414" s="72">
        <f>SUMIF(Adat!$AG:$AG,CONCATENATE(60,$M$4,"0981311",L379),Adat!$E:$E)*-1+E414</f>
        <v>0</v>
      </c>
      <c r="G414" s="72">
        <f>SUMIF(Adat!$AH:$AH,CONCATENATE($M$4,"(KÖT)","0981311",L379),Adat!$E:$E)*-1</f>
        <v>0</v>
      </c>
      <c r="H414" s="72">
        <f>SUMIF(Adat!$AH:$AH,CONCATENATE($M$4,"(ÖNV)","0981311",L379),Adat!$E:$E)*-1</f>
        <v>0</v>
      </c>
      <c r="I414" s="72">
        <f>SUMIF(Adat!$AH:$AH,CONCATENATE($M$4,"(ÁIG)","0981311",L379),Adat!$E:$E)*-1</f>
        <v>0</v>
      </c>
    </row>
    <row r="415" spans="2:9" x14ac:dyDescent="0.25">
      <c r="B415" s="160">
        <v>34</v>
      </c>
      <c r="C415" s="305" t="s">
        <v>1420</v>
      </c>
      <c r="D415" s="84" t="s">
        <v>1421</v>
      </c>
      <c r="E415" s="72">
        <f>SUMIF(Adat!$AG:$AG,CONCATENATE(61,$M$4,"0981321",L379),Adat!$E:$E)*-1</f>
        <v>0</v>
      </c>
      <c r="F415" s="72">
        <f>SUMIF(Adat!$AG:$AG,CONCATENATE(60,$M$4,"0981321",L379),Adat!$E:$E)*-1+E415</f>
        <v>0</v>
      </c>
      <c r="G415" s="72">
        <f>SUMIF(Adat!$AH:$AH,CONCATENATE($M$4,"(KÖT)","0981321",L379),Adat!$E:$E)*-1</f>
        <v>0</v>
      </c>
      <c r="H415" s="72">
        <f>SUMIF(Adat!$AH:$AH,CONCATENATE($M$4,"(ÖNV)","0981321",L379),Adat!$E:$E)*-1</f>
        <v>0</v>
      </c>
      <c r="I415" s="72">
        <f>SUMIF(Adat!$AH:$AH,CONCATENATE($M$4,"(ÁIG)","0981321",L379),Adat!$E:$E)*-1</f>
        <v>0</v>
      </c>
    </row>
    <row r="416" spans="2:9" x14ac:dyDescent="0.25">
      <c r="B416" s="160">
        <v>35</v>
      </c>
      <c r="C416" s="319" t="s">
        <v>1275</v>
      </c>
      <c r="D416" s="84" t="s">
        <v>1501</v>
      </c>
      <c r="E416" s="72">
        <f>SUMIF(Adat!$AG:$AG,CONCATENATE(61,$M$4,"098161",L379),Adat!$E:$E)*-1</f>
        <v>0</v>
      </c>
      <c r="F416" s="72">
        <f>SUMIF(Adat!$AG:$AG,CONCATENATE(60,$M$4,"098161",L379),Adat!$E:$E)*-1+E416</f>
        <v>0</v>
      </c>
      <c r="G416" s="72">
        <f>SUMIF(Adat!$AH:$AH,CONCATENATE($M$4,"(KÖT)","098161",L379),Adat!$E:$E)*-1</f>
        <v>0</v>
      </c>
      <c r="H416" s="72">
        <f>SUMIF(Adat!$AH:$AH,CONCATENATE($M$4,"(ÖNV)","098161",L379),Adat!$E:$E)*-1</f>
        <v>0</v>
      </c>
      <c r="I416" s="72">
        <f>SUMIF(Adat!$AH:$AH,CONCATENATE($M$4,"(ÁIG)","098161",L379),Adat!$E:$E)*-1</f>
        <v>0</v>
      </c>
    </row>
    <row r="417" spans="2:12" x14ac:dyDescent="0.25">
      <c r="B417" s="160">
        <v>36</v>
      </c>
      <c r="C417" s="154" t="s">
        <v>364</v>
      </c>
      <c r="D417" s="159" t="s">
        <v>1502</v>
      </c>
      <c r="E417" s="121">
        <f>+E412+E413</f>
        <v>0</v>
      </c>
      <c r="F417" s="121">
        <f>+F412+F413</f>
        <v>0</v>
      </c>
      <c r="G417" s="121">
        <f>+G412+G413</f>
        <v>0</v>
      </c>
      <c r="H417" s="121">
        <f>+H412+H413</f>
        <v>0</v>
      </c>
      <c r="I417" s="121">
        <f>+I412+I413</f>
        <v>0</v>
      </c>
    </row>
    <row r="418" spans="2:12" ht="15.75" x14ac:dyDescent="0.25">
      <c r="B418" s="38"/>
      <c r="C418" s="156"/>
      <c r="D418" s="38"/>
      <c r="E418" s="140"/>
      <c r="F418" s="140"/>
      <c r="G418" s="140"/>
      <c r="H418" s="140"/>
      <c r="I418" s="140"/>
    </row>
    <row r="419" spans="2:12" s="10" customFormat="1" ht="15.75" customHeight="1" x14ac:dyDescent="0.25">
      <c r="B419" s="201" t="str">
        <f>CONCATENATE("14. Kiadási jogcímek"," - ",L419," részletező")</f>
        <v>14. Kiadási jogcímek -  részletező</v>
      </c>
      <c r="C419" s="101"/>
      <c r="D419" s="101"/>
      <c r="E419" s="101"/>
      <c r="F419" s="101"/>
      <c r="G419" s="198"/>
      <c r="H419" s="198"/>
      <c r="I419" s="198"/>
      <c r="L419" s="384"/>
    </row>
    <row r="420" spans="2:12" ht="15.75" x14ac:dyDescent="0.25">
      <c r="B420" s="38"/>
      <c r="C420" s="156"/>
      <c r="D420" s="38"/>
      <c r="E420" s="140"/>
      <c r="F420" s="140"/>
      <c r="G420" s="140"/>
      <c r="H420" s="140"/>
      <c r="I420" s="140"/>
    </row>
    <row r="421" spans="2:12" x14ac:dyDescent="0.25">
      <c r="B421" s="77"/>
      <c r="C421" s="77" t="s">
        <v>350</v>
      </c>
      <c r="D421" s="77" t="s">
        <v>351</v>
      </c>
      <c r="E421" s="77" t="s">
        <v>470</v>
      </c>
      <c r="F421" s="77" t="s">
        <v>471</v>
      </c>
      <c r="G421" s="77" t="s">
        <v>44</v>
      </c>
      <c r="H421" s="77" t="s">
        <v>42</v>
      </c>
      <c r="I421" s="77" t="s">
        <v>511</v>
      </c>
    </row>
    <row r="422" spans="2:12" ht="38.25" x14ac:dyDescent="0.25">
      <c r="B422" s="160">
        <v>1</v>
      </c>
      <c r="C422" s="154" t="s">
        <v>593</v>
      </c>
      <c r="D422" s="154" t="s">
        <v>488</v>
      </c>
      <c r="E422" s="163" t="str">
        <f>CONCATENATE(PAR!$H$3," évi
eredeti 
előirányzat")</f>
        <v>2025. évi
eredeti 
előirányzat</v>
      </c>
      <c r="F422" s="163" t="str">
        <f>CONCATENATE(PAR!$H$3," évi
módosított 
előirányzat")</f>
        <v>2025. évi
módosított 
előirányzat</v>
      </c>
      <c r="G422" s="78" t="s">
        <v>666</v>
      </c>
      <c r="H422" s="78" t="s">
        <v>667</v>
      </c>
      <c r="I422" s="78" t="s">
        <v>668</v>
      </c>
    </row>
    <row r="423" spans="2:12" x14ac:dyDescent="0.25">
      <c r="B423" s="160">
        <v>2</v>
      </c>
      <c r="C423" s="78" t="s">
        <v>352</v>
      </c>
      <c r="D423" s="92" t="s">
        <v>1444</v>
      </c>
      <c r="E423" s="121">
        <f>SUM(E424:E428)</f>
        <v>0</v>
      </c>
      <c r="F423" s="121">
        <f>SUM(F424:F428)</f>
        <v>0</v>
      </c>
      <c r="G423" s="121">
        <f>SUM(G424:G428)</f>
        <v>0</v>
      </c>
      <c r="H423" s="121">
        <f>SUM(H424:H428)</f>
        <v>0</v>
      </c>
      <c r="I423" s="121">
        <f>SUM(I424:I428)</f>
        <v>0</v>
      </c>
    </row>
    <row r="424" spans="2:12" x14ac:dyDescent="0.25">
      <c r="B424" s="160">
        <v>3</v>
      </c>
      <c r="C424" s="305" t="s">
        <v>315</v>
      </c>
      <c r="D424" s="93" t="s">
        <v>342</v>
      </c>
      <c r="E424" s="72">
        <f>SUMIF(Adat!$AI:$AI,CONCATENATE(61,$M$4,"051",L419),Adat!$E:$E)</f>
        <v>0</v>
      </c>
      <c r="F424" s="72">
        <f>SUMIF(Adat!$AI:$AI,CONCATENATE(60,$M$4,"051",L419),Adat!$E:$E)+E424</f>
        <v>0</v>
      </c>
      <c r="G424" s="72">
        <f>SUMIF(Adat!$AJ:$AJ,CONCATENATE($M$4,"051","(KÖT)",L419),Adat!$E:$E)</f>
        <v>0</v>
      </c>
      <c r="H424" s="72">
        <f>SUMIF(Adat!$AJ:$AJ,CONCATENATE($M$4,"051","(ÖNV)",L419),Adat!$E:$E)</f>
        <v>0</v>
      </c>
      <c r="I424" s="72">
        <f>SUMIF(Adat!$AJ:$AJ,CONCATENATE($M$4,"051","(ÁIG)",L419),Adat!$E:$E)</f>
        <v>0</v>
      </c>
    </row>
    <row r="425" spans="2:12" x14ac:dyDescent="0.25">
      <c r="B425" s="160">
        <v>4</v>
      </c>
      <c r="C425" s="305" t="s">
        <v>317</v>
      </c>
      <c r="D425" s="93" t="s">
        <v>395</v>
      </c>
      <c r="E425" s="72">
        <f>SUMIF(Adat!$AI:$AI,CONCATENATE(61,$M$4,"052",L419),Adat!$E:$E)</f>
        <v>0</v>
      </c>
      <c r="F425" s="72">
        <f>SUMIF(Adat!$AI:$AI,CONCATENATE(60,$M$4,"052",L419),Adat!$E:$E)+E425</f>
        <v>0</v>
      </c>
      <c r="G425" s="72">
        <f>SUMIF(Adat!$AJ:$AJ,CONCATENATE($M$4,"052","(KÖT)",L419),Adat!$E:$E)</f>
        <v>0</v>
      </c>
      <c r="H425" s="72">
        <f>SUMIF(Adat!$AJ:$AJ,CONCATENATE($M$4,"052","(ÖNV)",L419),Adat!$E:$E)</f>
        <v>0</v>
      </c>
      <c r="I425" s="72">
        <f>SUMIF(Adat!$AJ:$AJ,CONCATENATE($M$4,"052","(ÁIG)",L419),Adat!$E:$E)</f>
        <v>0</v>
      </c>
    </row>
    <row r="426" spans="2:12" x14ac:dyDescent="0.25">
      <c r="B426" s="160">
        <v>5</v>
      </c>
      <c r="C426" s="305" t="s">
        <v>4</v>
      </c>
      <c r="D426" s="93" t="s">
        <v>344</v>
      </c>
      <c r="E426" s="72">
        <f>SUMIF(Adat!$AI:$AI,CONCATENATE(61,$M$4,"053",L419),Adat!$E:$E)</f>
        <v>0</v>
      </c>
      <c r="F426" s="72">
        <f>SUMIF(Adat!$AI:$AI,CONCATENATE(60,$M$4,"053",L419),Adat!$E:$E)+E426</f>
        <v>0</v>
      </c>
      <c r="G426" s="72">
        <f>SUMIF(Adat!$AJ:$AJ,CONCATENATE($M$4,"053","(KÖT)",L419),Adat!$E:$E)</f>
        <v>0</v>
      </c>
      <c r="H426" s="72">
        <f>SUMIF(Adat!$AJ:$AJ,CONCATENATE($M$4,"053","(ÖNV)",L419),Adat!$E:$E)</f>
        <v>0</v>
      </c>
      <c r="I426" s="72">
        <f>SUMIF(Adat!$AJ:$AJ,CONCATENATE($M$4,"053","(ÁIG)",L419),Adat!$E:$E)</f>
        <v>0</v>
      </c>
    </row>
    <row r="427" spans="2:12" x14ac:dyDescent="0.25">
      <c r="B427" s="160">
        <v>6</v>
      </c>
      <c r="C427" s="305" t="s">
        <v>6</v>
      </c>
      <c r="D427" s="93" t="s">
        <v>345</v>
      </c>
      <c r="E427" s="72">
        <f>SUMIF(Adat!$AI:$AI,CONCATENATE(61,$M$4,"054",L419),Adat!$E:$E)</f>
        <v>0</v>
      </c>
      <c r="F427" s="72">
        <f>SUMIF(Adat!$AI:$AI,CONCATENATE(60,$M$4,"054",L419),Adat!$E:$E)+E427</f>
        <v>0</v>
      </c>
      <c r="G427" s="72">
        <f>SUMIF(Adat!$AJ:$AJ,CONCATENATE($M$4,"054","(KÖT)",L419),Adat!$E:$E)</f>
        <v>0</v>
      </c>
      <c r="H427" s="72">
        <f>SUMIF(Adat!$AJ:$AJ,CONCATENATE($M$4,"054","(ÖNV)",L419),Adat!$E:$E)</f>
        <v>0</v>
      </c>
      <c r="I427" s="72">
        <f>SUMIF(Adat!$AJ:$AJ,CONCATENATE($M$4,"054","(ÁIG)",L419),Adat!$E:$E)</f>
        <v>0</v>
      </c>
    </row>
    <row r="428" spans="2:12" x14ac:dyDescent="0.25">
      <c r="B428" s="160">
        <v>7</v>
      </c>
      <c r="C428" s="305" t="s">
        <v>8</v>
      </c>
      <c r="D428" s="93" t="s">
        <v>321</v>
      </c>
      <c r="E428" s="72">
        <f>SUMIF(Adat!$AI:$AI,CONCATENATE(61,$M$4,"055",L419),Adat!$E:$E)</f>
        <v>0</v>
      </c>
      <c r="F428" s="72">
        <f>SUMIF(Adat!$AI:$AI,CONCATENATE(60,$M$4,"055",L419),Adat!$E:$E)+E428</f>
        <v>0</v>
      </c>
      <c r="G428" s="72">
        <f>SUMIF(Adat!$AJ:$AJ,CONCATENATE($M$4,"055","(KÖT)",L419),Adat!$E:$E)</f>
        <v>0</v>
      </c>
      <c r="H428" s="72">
        <f>SUMIF(Adat!$AJ:$AJ,CONCATENATE($M$4,"055","(ÖNV)",L419),Adat!$E:$E)</f>
        <v>0</v>
      </c>
      <c r="I428" s="72">
        <f>SUMIF(Adat!$AJ:$AJ,CONCATENATE($M$4,"055","(ÁIG)",L419),Adat!$E:$E)</f>
        <v>0</v>
      </c>
    </row>
    <row r="429" spans="2:12" x14ac:dyDescent="0.25">
      <c r="B429" s="160">
        <v>8</v>
      </c>
      <c r="C429" s="78" t="s">
        <v>358</v>
      </c>
      <c r="D429" s="92" t="s">
        <v>1447</v>
      </c>
      <c r="E429" s="121">
        <f>E430+E432+E434</f>
        <v>0</v>
      </c>
      <c r="F429" s="121">
        <f>F430+F432+F434</f>
        <v>0</v>
      </c>
      <c r="G429" s="121">
        <f>G430+G432+G434</f>
        <v>0</v>
      </c>
      <c r="H429" s="121">
        <f>H430+H432+H434</f>
        <v>0</v>
      </c>
      <c r="I429" s="121">
        <f>I430+I432+I434</f>
        <v>0</v>
      </c>
    </row>
    <row r="430" spans="2:12" x14ac:dyDescent="0.25">
      <c r="B430" s="160">
        <v>9</v>
      </c>
      <c r="C430" s="305" t="s">
        <v>10</v>
      </c>
      <c r="D430" s="93" t="s">
        <v>322</v>
      </c>
      <c r="E430" s="72">
        <f>SUMIF(Adat!$AI:$AI,CONCATENATE(61,$M$4,"056",L419),Adat!$E:$E)</f>
        <v>0</v>
      </c>
      <c r="F430" s="72">
        <f>SUMIF(Adat!$AI:$AI,CONCATENATE(60,$M$4,"056",L419),Adat!$E:$E)+E430</f>
        <v>0</v>
      </c>
      <c r="G430" s="72">
        <f>SUMIF(Adat!$AJ:$AJ,CONCATENATE($M$4,"056","(KÖT)",L419),Adat!$E:$E)</f>
        <v>0</v>
      </c>
      <c r="H430" s="72">
        <f>SUMIF(Adat!$AJ:$AJ,CONCATENATE($M$4,"056","(ÖNV)",L419),Adat!$E:$E)</f>
        <v>0</v>
      </c>
      <c r="I430" s="72">
        <f>SUMIF(Adat!$AJ:$AJ,CONCATENATE($M$4,"056","(ÁIG)",L419),Adat!$E:$E)</f>
        <v>0</v>
      </c>
    </row>
    <row r="431" spans="2:12" x14ac:dyDescent="0.25">
      <c r="B431" s="160">
        <v>10</v>
      </c>
      <c r="C431" s="305" t="s">
        <v>10</v>
      </c>
      <c r="D431" s="93" t="s">
        <v>1448</v>
      </c>
      <c r="E431" s="72">
        <v>0</v>
      </c>
      <c r="F431" s="72">
        <f>SUM(G431:I431)</f>
        <v>0</v>
      </c>
      <c r="G431" s="72">
        <v>0</v>
      </c>
      <c r="H431" s="72">
        <v>0</v>
      </c>
      <c r="I431" s="72">
        <v>0</v>
      </c>
    </row>
    <row r="432" spans="2:12" x14ac:dyDescent="0.25">
      <c r="B432" s="160">
        <v>11</v>
      </c>
      <c r="C432" s="305" t="s">
        <v>12</v>
      </c>
      <c r="D432" s="93" t="s">
        <v>323</v>
      </c>
      <c r="E432" s="72">
        <f>SUMIF(Adat!$AI:$AI,CONCATENATE(61,$M$4,"057",L419),Adat!$E:$E)</f>
        <v>0</v>
      </c>
      <c r="F432" s="72">
        <f>SUMIF(Adat!$AI:$AI,CONCATENATE(60,$M$4,"057",L419),Adat!$E:$E)+E432</f>
        <v>0</v>
      </c>
      <c r="G432" s="72">
        <f>SUMIF(Adat!$AJ:$AJ,CONCATENATE($M$4,"057","(KÖT)",L419),Adat!$E:$E)</f>
        <v>0</v>
      </c>
      <c r="H432" s="72">
        <f>SUMIF(Adat!$AJ:$AJ,CONCATENATE($M$4,"057","(ÖNV)",L419),Adat!$E:$E)</f>
        <v>0</v>
      </c>
      <c r="I432" s="72">
        <f>SUMIF(Adat!$AJ:$AJ,CONCATENATE($M$4,"057","(ÁIG)",L419),Adat!$E:$E)</f>
        <v>0</v>
      </c>
    </row>
    <row r="433" spans="2:12" x14ac:dyDescent="0.25">
      <c r="B433" s="160">
        <v>12</v>
      </c>
      <c r="C433" s="305" t="s">
        <v>12</v>
      </c>
      <c r="D433" s="93" t="s">
        <v>1449</v>
      </c>
      <c r="E433" s="72">
        <v>0</v>
      </c>
      <c r="F433" s="72">
        <f>SUM(G433:I433)</f>
        <v>0</v>
      </c>
      <c r="G433" s="72">
        <v>0</v>
      </c>
      <c r="H433" s="72">
        <v>0</v>
      </c>
      <c r="I433" s="72">
        <v>0</v>
      </c>
    </row>
    <row r="434" spans="2:12" x14ac:dyDescent="0.25">
      <c r="B434" s="160">
        <v>13</v>
      </c>
      <c r="C434" s="305" t="s">
        <v>15</v>
      </c>
      <c r="D434" s="84" t="s">
        <v>324</v>
      </c>
      <c r="E434" s="72">
        <f>SUMIF(Adat!$AI:$AI,CONCATENATE(61,$M$4,"058",L419),Adat!$E:$E)</f>
        <v>0</v>
      </c>
      <c r="F434" s="72">
        <f>SUMIF(Adat!$AI:$AI,CONCATENATE(60,$M$4,"058",L419),Adat!$E:$E)+E434</f>
        <v>0</v>
      </c>
      <c r="G434" s="72">
        <f>SUMIF(Adat!$AJ:$AJ,CONCATENATE($M$4,"058","(KÖT)",L419),Adat!$E:$E)</f>
        <v>0</v>
      </c>
      <c r="H434" s="72">
        <f>SUMIF(Adat!$AJ:$AJ,CONCATENATE($M$4,"058","(ÖNV)",L419),Adat!$E:$E)</f>
        <v>0</v>
      </c>
      <c r="I434" s="72">
        <f>SUMIF(Adat!$AJ:$AJ,CONCATENATE($M$4,"058","(ÁIG)",L419),Adat!$E:$E)</f>
        <v>0</v>
      </c>
    </row>
    <row r="435" spans="2:12" x14ac:dyDescent="0.25">
      <c r="B435" s="160">
        <v>14</v>
      </c>
      <c r="C435" s="154" t="s">
        <v>364</v>
      </c>
      <c r="D435" s="86" t="s">
        <v>325</v>
      </c>
      <c r="E435" s="71">
        <f>SUMIF(Adat!$AI:$AI,CONCATENATE(61,$M$4,"059",L419),Adat!$E:$E)</f>
        <v>0</v>
      </c>
      <c r="F435" s="71">
        <f>SUMIF(Adat!$AI:$AI,CONCATENATE(60,$M$4,"059",L419),Adat!$E:$E)+E435</f>
        <v>0</v>
      </c>
      <c r="G435" s="71">
        <f>SUMIF(Adat!$AJ:$AJ,CONCATENATE($M$4,"059","(KÖT)",L419),Adat!$E:$E)</f>
        <v>0</v>
      </c>
      <c r="H435" s="71">
        <f>SUMIF(Adat!$AJ:$AJ,CONCATENATE($M$4,"059","(ÖNV)",L419),Adat!$E:$E)</f>
        <v>0</v>
      </c>
      <c r="I435" s="71">
        <f>SUMIF(Adat!$AJ:$AJ,CONCATENATE($M$4,"059","(ÁIG)",L419),Adat!$E:$E)</f>
        <v>0</v>
      </c>
    </row>
    <row r="436" spans="2:12" x14ac:dyDescent="0.25">
      <c r="B436" s="160">
        <v>15</v>
      </c>
      <c r="C436" s="154" t="s">
        <v>403</v>
      </c>
      <c r="D436" s="159" t="s">
        <v>497</v>
      </c>
      <c r="E436" s="121">
        <f>E423+E429+E435</f>
        <v>0</v>
      </c>
      <c r="F436" s="121">
        <f>F423+F429+F435</f>
        <v>0</v>
      </c>
      <c r="G436" s="121">
        <f>G423+G429+G435</f>
        <v>0</v>
      </c>
      <c r="H436" s="121">
        <f>H423+H429+H435</f>
        <v>0</v>
      </c>
      <c r="I436" s="121">
        <f>I423+I429+I435</f>
        <v>0</v>
      </c>
    </row>
    <row r="437" spans="2:12" ht="15.75" x14ac:dyDescent="0.25">
      <c r="B437" s="37"/>
      <c r="C437" s="529"/>
      <c r="D437" s="529"/>
      <c r="E437" s="529"/>
      <c r="F437" s="200"/>
      <c r="G437" s="200"/>
      <c r="H437" s="200"/>
      <c r="I437" s="200"/>
    </row>
    <row r="438" spans="2:12" ht="15.75" x14ac:dyDescent="0.25">
      <c r="B438" s="525" t="str">
        <f>$N$4</f>
        <v>Nagymaros Városi Könyvtár és Művelődési Ház</v>
      </c>
      <c r="C438" s="525"/>
      <c r="D438" s="525"/>
      <c r="E438" s="525"/>
      <c r="F438" s="525"/>
      <c r="G438" s="525"/>
      <c r="H438" s="525"/>
      <c r="I438" s="525"/>
    </row>
    <row r="439" spans="2:12" ht="15.75" x14ac:dyDescent="0.25">
      <c r="B439" s="525" t="s">
        <v>2660</v>
      </c>
      <c r="C439" s="525"/>
      <c r="D439" s="525"/>
      <c r="E439" s="525"/>
      <c r="F439" s="525"/>
      <c r="G439" s="525"/>
      <c r="H439" s="525"/>
      <c r="I439" s="525"/>
    </row>
    <row r="440" spans="2:12" ht="15.75" x14ac:dyDescent="0.25">
      <c r="B440" s="38"/>
      <c r="C440" s="156"/>
      <c r="D440" s="38"/>
      <c r="E440" s="140"/>
      <c r="F440" s="140"/>
      <c r="G440" s="140"/>
      <c r="H440" s="140"/>
      <c r="I440" s="140"/>
    </row>
    <row r="441" spans="2:12" s="10" customFormat="1" ht="15.75" customHeight="1" x14ac:dyDescent="0.25">
      <c r="B441" s="201" t="str">
        <f>CONCATENATE("15. Bevételi jogcímek"," - ",L441," részletező")</f>
        <v>15. Bevételi jogcímek -  részletező</v>
      </c>
      <c r="C441" s="101"/>
      <c r="D441" s="101"/>
      <c r="E441" s="101"/>
      <c r="F441" s="101"/>
      <c r="G441" s="198"/>
      <c r="H441" s="198"/>
      <c r="I441" s="198"/>
      <c r="L441" s="384"/>
    </row>
    <row r="442" spans="2:12" ht="15.75" x14ac:dyDescent="0.25">
      <c r="B442" s="38"/>
      <c r="C442" s="156"/>
      <c r="D442" s="38"/>
      <c r="E442" s="140"/>
      <c r="F442" s="140"/>
      <c r="G442" s="140"/>
      <c r="H442" s="140"/>
      <c r="I442" s="140"/>
    </row>
    <row r="443" spans="2:12" x14ac:dyDescent="0.25">
      <c r="B443" s="77"/>
      <c r="C443" s="77" t="s">
        <v>350</v>
      </c>
      <c r="D443" s="77" t="s">
        <v>351</v>
      </c>
      <c r="E443" s="77" t="s">
        <v>470</v>
      </c>
      <c r="F443" s="77" t="s">
        <v>471</v>
      </c>
      <c r="G443" s="77" t="s">
        <v>44</v>
      </c>
      <c r="H443" s="77" t="s">
        <v>42</v>
      </c>
      <c r="I443" s="77" t="s">
        <v>511</v>
      </c>
    </row>
    <row r="444" spans="2:12" ht="38.25" x14ac:dyDescent="0.25">
      <c r="B444" s="160">
        <v>1</v>
      </c>
      <c r="C444" s="154" t="s">
        <v>593</v>
      </c>
      <c r="D444" s="154" t="s">
        <v>488</v>
      </c>
      <c r="E444" s="163" t="str">
        <f>CONCATENATE(PAR!$H$3," évi
eredeti 
előirányzat")</f>
        <v>2025. évi
eredeti 
előirányzat</v>
      </c>
      <c r="F444" s="163" t="str">
        <f>CONCATENATE(PAR!$H$3," évi
módosított 
előirányzat")</f>
        <v>2025. évi
módosított 
előirányzat</v>
      </c>
      <c r="G444" s="78" t="s">
        <v>666</v>
      </c>
      <c r="H444" s="78" t="s">
        <v>667</v>
      </c>
      <c r="I444" s="78" t="s">
        <v>668</v>
      </c>
    </row>
    <row r="445" spans="2:12" x14ac:dyDescent="0.25">
      <c r="B445" s="160">
        <v>2</v>
      </c>
      <c r="C445" s="79" t="s">
        <v>30</v>
      </c>
      <c r="D445" s="79" t="s">
        <v>329</v>
      </c>
      <c r="E445" s="121">
        <f>SUM(E446:E458)</f>
        <v>0</v>
      </c>
      <c r="F445" s="121">
        <f t="shared" ref="F445:I445" si="28">SUM(F446:F458)</f>
        <v>0</v>
      </c>
      <c r="G445" s="121">
        <f t="shared" si="28"/>
        <v>0</v>
      </c>
      <c r="H445" s="121">
        <f t="shared" si="28"/>
        <v>0</v>
      </c>
      <c r="I445" s="121">
        <f t="shared" si="28"/>
        <v>0</v>
      </c>
    </row>
    <row r="446" spans="2:12" x14ac:dyDescent="0.2">
      <c r="B446" s="160">
        <v>3</v>
      </c>
      <c r="C446" s="305" t="s">
        <v>1309</v>
      </c>
      <c r="D446" s="82" t="s">
        <v>1356</v>
      </c>
      <c r="E446" s="72">
        <f>SUMIF(Adat!$AG:$AG,CONCATENATE(61,$M$4,"094011",L441),Adat!$E:$E)*-1</f>
        <v>0</v>
      </c>
      <c r="F446" s="72">
        <f>SUMIF(Adat!$AG:$AG,CONCATENATE(60,$M$4,"094011",L441),Adat!$E:$E)*-1+E446</f>
        <v>0</v>
      </c>
      <c r="G446" s="72">
        <f>SUMIF(Adat!$AH:$AH,CONCATENATE($M$4,"(KÖT)","094011",L441),Adat!$E:$E)*-1</f>
        <v>0</v>
      </c>
      <c r="H446" s="72">
        <f>SUMIF(Adat!$AH:$AH,CONCATENATE($M$4,"(ÖNV)","094011",L441),Adat!$E:$E)*-1</f>
        <v>0</v>
      </c>
      <c r="I446" s="72">
        <f>SUMIF(Adat!$AH:$AH,CONCATENATE($M$4,"(ÁIG)","094011",L441),Adat!$E:$E)*-1</f>
        <v>0</v>
      </c>
    </row>
    <row r="447" spans="2:12" x14ac:dyDescent="0.2">
      <c r="B447" s="160">
        <v>4</v>
      </c>
      <c r="C447" s="305" t="s">
        <v>1279</v>
      </c>
      <c r="D447" s="82" t="s">
        <v>1357</v>
      </c>
      <c r="E447" s="72">
        <f>SUMIF(Adat!$AG:$AG,CONCATENATE(61,$M$4,"094021",L441),Adat!$E:$E)*-1</f>
        <v>0</v>
      </c>
      <c r="F447" s="72">
        <f>SUMIF(Adat!$AG:$AG,CONCATENATE(60,$M$4,"094021",L441),Adat!$E:$E)*-1+E447</f>
        <v>0</v>
      </c>
      <c r="G447" s="72">
        <f>SUMIF(Adat!$AH:$AH,CONCATENATE($M$4,"(KÖT)","094021",L441),Adat!$E:$E)*-1</f>
        <v>0</v>
      </c>
      <c r="H447" s="72">
        <f>SUMIF(Adat!$AH:$AH,CONCATENATE($M$4,"(ÖNV)","094021",L441),Adat!$E:$E)*-1</f>
        <v>0</v>
      </c>
      <c r="I447" s="72">
        <f>SUMIF(Adat!$AH:$AH,CONCATENATE($M$4,"(ÁIG)","094021",L441),Adat!$E:$E)*-1</f>
        <v>0</v>
      </c>
    </row>
    <row r="448" spans="2:12" x14ac:dyDescent="0.2">
      <c r="B448" s="160">
        <v>5</v>
      </c>
      <c r="C448" s="305" t="s">
        <v>1272</v>
      </c>
      <c r="D448" s="82" t="s">
        <v>1358</v>
      </c>
      <c r="E448" s="72">
        <f>SUMIF(Adat!$AG:$AG,CONCATENATE(61,$M$4,"094031",L441),Adat!$E:$E)*-1</f>
        <v>0</v>
      </c>
      <c r="F448" s="72">
        <f>SUMIF(Adat!$AG:$AG,CONCATENATE(60,$M$4,"094031",L441),Adat!$E:$E)*-1+E448</f>
        <v>0</v>
      </c>
      <c r="G448" s="72">
        <f>SUMIF(Adat!$AH:$AH,CONCATENATE($M$4,"(KÖT)","094031",L441),Adat!$E:$E)*-1</f>
        <v>0</v>
      </c>
      <c r="H448" s="72">
        <f>SUMIF(Adat!$AH:$AH,CONCATENATE($M$4,"(ÖNV)","094031",L441),Adat!$E:$E)*-1</f>
        <v>0</v>
      </c>
      <c r="I448" s="72">
        <f>SUMIF(Adat!$AH:$AH,CONCATENATE($M$4,"(ÁIG)","094031",L441),Adat!$E:$E)*-1</f>
        <v>0</v>
      </c>
    </row>
    <row r="449" spans="2:9" x14ac:dyDescent="0.2">
      <c r="B449" s="160">
        <v>6</v>
      </c>
      <c r="C449" s="305" t="s">
        <v>1359</v>
      </c>
      <c r="D449" s="82" t="s">
        <v>1360</v>
      </c>
      <c r="E449" s="72">
        <f>SUMIF(Adat!$AG:$AG,CONCATENATE(61,$M$4,"094041",L441),Adat!$E:$E)*-1</f>
        <v>0</v>
      </c>
      <c r="F449" s="72">
        <f>SUMIF(Adat!$AG:$AG,CONCATENATE(60,$M$4,"094041",L441),Adat!$E:$E)*-1+E449</f>
        <v>0</v>
      </c>
      <c r="G449" s="72">
        <f>SUMIF(Adat!$AH:$AH,CONCATENATE($M$4,"(KÖT)","094041",L441),Adat!$E:$E)*-1</f>
        <v>0</v>
      </c>
      <c r="H449" s="72">
        <f>SUMIF(Adat!$AH:$AH,CONCATENATE($M$4,"(ÖNV)","094041",L441),Adat!$E:$E)*-1</f>
        <v>0</v>
      </c>
      <c r="I449" s="72">
        <f>SUMIF(Adat!$AH:$AH,CONCATENATE($M$4,"(ÁIG)","094041",L441),Adat!$E:$E)*-1</f>
        <v>0</v>
      </c>
    </row>
    <row r="450" spans="2:9" x14ac:dyDescent="0.2">
      <c r="B450" s="160">
        <v>7</v>
      </c>
      <c r="C450" s="305" t="s">
        <v>1261</v>
      </c>
      <c r="D450" s="82" t="s">
        <v>1361</v>
      </c>
      <c r="E450" s="72">
        <f>SUMIF(Adat!$AG:$AG,CONCATENATE(61,$M$4,"094051",L441),Adat!$E:$E)*-1</f>
        <v>0</v>
      </c>
      <c r="F450" s="72">
        <f>SUMIF(Adat!$AG:$AG,CONCATENATE(60,$M$4,"094051",L441),Adat!$E:$E)*-1+E450</f>
        <v>0</v>
      </c>
      <c r="G450" s="72">
        <f>SUMIF(Adat!$AH:$AH,CONCATENATE($M$4,"(KÖT)","094051",L441),Adat!$E:$E)*-1</f>
        <v>0</v>
      </c>
      <c r="H450" s="72">
        <f>SUMIF(Adat!$AH:$AH,CONCATENATE($M$4,"(ÖNV)","094051",L441),Adat!$E:$E)*-1</f>
        <v>0</v>
      </c>
      <c r="I450" s="72">
        <f>SUMIF(Adat!$AH:$AH,CONCATENATE($M$4,"(ÁIG)","094051",L441),Adat!$E:$E)*-1</f>
        <v>0</v>
      </c>
    </row>
    <row r="451" spans="2:9" x14ac:dyDescent="0.2">
      <c r="B451" s="160">
        <v>8</v>
      </c>
      <c r="C451" s="305" t="s">
        <v>1273</v>
      </c>
      <c r="D451" s="82" t="s">
        <v>1362</v>
      </c>
      <c r="E451" s="72">
        <f>SUMIF(Adat!$AG:$AG,CONCATENATE(61,$M$4,"094061",L441),Adat!$E:$E)*-1</f>
        <v>0</v>
      </c>
      <c r="F451" s="72">
        <f>SUMIF(Adat!$AG:$AG,CONCATENATE(60,$M$4,"094061",L441),Adat!$E:$E)*-1+E451</f>
        <v>0</v>
      </c>
      <c r="G451" s="72">
        <f>SUMIF(Adat!$AH:$AH,CONCATENATE($M$4,"(KÖT)","094061",L441),Adat!$E:$E)*-1</f>
        <v>0</v>
      </c>
      <c r="H451" s="72">
        <f>SUMIF(Adat!$AH:$AH,CONCATENATE($M$4,"(ÖNV)","094061",L441),Adat!$E:$E)*-1</f>
        <v>0</v>
      </c>
      <c r="I451" s="72">
        <f>SUMIF(Adat!$AH:$AH,CONCATENATE($M$4,"(ÁIG)","094061",L441),Adat!$E:$E)*-1</f>
        <v>0</v>
      </c>
    </row>
    <row r="452" spans="2:9" x14ac:dyDescent="0.2">
      <c r="B452" s="160">
        <v>9</v>
      </c>
      <c r="C452" s="305" t="s">
        <v>1363</v>
      </c>
      <c r="D452" s="82" t="s">
        <v>1364</v>
      </c>
      <c r="E452" s="72">
        <f>SUMIF(Adat!$AG:$AG,CONCATENATE(61,$M$4,"094071",L441),Adat!$E:$E)*-1</f>
        <v>0</v>
      </c>
      <c r="F452" s="72">
        <f>SUMIF(Adat!$AG:$AG,CONCATENATE(60,$M$4,"094071",L441),Adat!$E:$E)*-1+E452</f>
        <v>0</v>
      </c>
      <c r="G452" s="72">
        <f>SUMIF(Adat!$AH:$AH,CONCATENATE($M$4,"(KÖT)","094071",L441),Adat!$E:$E)*-1</f>
        <v>0</v>
      </c>
      <c r="H452" s="72">
        <f>SUMIF(Adat!$AH:$AH,CONCATENATE($M$4,"(ÖNV)","094071",L441),Adat!$E:$E)*-1</f>
        <v>0</v>
      </c>
      <c r="I452" s="72">
        <f>SUMIF(Adat!$AH:$AH,CONCATENATE($M$4,"(ÁIG)","094071",L441),Adat!$E:$E)*-1</f>
        <v>0</v>
      </c>
    </row>
    <row r="453" spans="2:9" x14ac:dyDescent="0.2">
      <c r="B453" s="160">
        <v>10</v>
      </c>
      <c r="C453" s="305" t="s">
        <v>1306</v>
      </c>
      <c r="D453" s="82" t="s">
        <v>1365</v>
      </c>
      <c r="E453" s="72">
        <f>SUMIF(Adat!$AG:$AG,CONCATENATE(61,$M$4,"0940811",L441),Adat!$E:$E)*-1</f>
        <v>0</v>
      </c>
      <c r="F453" s="72">
        <f>SUMIF(Adat!$AG:$AG,CONCATENATE(60,$M$4,"0940811",L441),Adat!$E:$E)*-1+E453</f>
        <v>0</v>
      </c>
      <c r="G453" s="72">
        <f>SUMIF(Adat!$AH:$AH,CONCATENATE($M$4,"(KÖT)","0940811",L441),Adat!$E:$E)*-1</f>
        <v>0</v>
      </c>
      <c r="H453" s="72">
        <f>SUMIF(Adat!$AH:$AH,CONCATENATE($M$4,"(ÖNV)","0940811",L441),Adat!$E:$E)*-1</f>
        <v>0</v>
      </c>
      <c r="I453" s="72">
        <f>SUMIF(Adat!$AH:$AH,CONCATENATE($M$4,"(ÁIG)","0940811",L441),Adat!$E:$E)*-1</f>
        <v>0</v>
      </c>
    </row>
    <row r="454" spans="2:9" x14ac:dyDescent="0.2">
      <c r="B454" s="160">
        <v>11</v>
      </c>
      <c r="C454" s="305" t="s">
        <v>1295</v>
      </c>
      <c r="D454" s="82" t="s">
        <v>1366</v>
      </c>
      <c r="E454" s="72">
        <f>SUMIF(Adat!$AG:$AG,CONCATENATE(61,$M$4,"0940821",L441),Adat!$E:$E)*-1</f>
        <v>0</v>
      </c>
      <c r="F454" s="72">
        <f>SUMIF(Adat!$AG:$AG,CONCATENATE(60,$M$4,"0940821",L441),Adat!$E:$E)*-1+E454</f>
        <v>0</v>
      </c>
      <c r="G454" s="72">
        <f>SUMIF(Adat!$AH:$AH,CONCATENATE($M$4,"(KÖT)","0940821",L441),Adat!$E:$E)*-1</f>
        <v>0</v>
      </c>
      <c r="H454" s="72">
        <f>SUMIF(Adat!$AH:$AH,CONCATENATE($M$4,"(ÖNV)","0940821",L441),Adat!$E:$E)*-1</f>
        <v>0</v>
      </c>
      <c r="I454" s="72">
        <f>SUMIF(Adat!$AH:$AH,CONCATENATE($M$4,"(ÁIG)","0940821",L441),Adat!$E:$E)*-1</f>
        <v>0</v>
      </c>
    </row>
    <row r="455" spans="2:9" x14ac:dyDescent="0.2">
      <c r="B455" s="160">
        <v>12</v>
      </c>
      <c r="C455" s="305" t="s">
        <v>1367</v>
      </c>
      <c r="D455" s="82" t="s">
        <v>1368</v>
      </c>
      <c r="E455" s="72">
        <f>SUMIF(Adat!$AG:$AG,CONCATENATE(61,$M$4,"0940911",L441),Adat!$E:$E)*-1</f>
        <v>0</v>
      </c>
      <c r="F455" s="72">
        <f>SUMIF(Adat!$AG:$AG,CONCATENATE(60,$M$4,"0940911",L441),Adat!$E:$E)*-1+E455</f>
        <v>0</v>
      </c>
      <c r="G455" s="72">
        <f>SUMIF(Adat!$AH:$AH,CONCATENATE($M$4,"(KÖT)","0940911",L441),Adat!$E:$E)*-1</f>
        <v>0</v>
      </c>
      <c r="H455" s="72">
        <f>SUMIF(Adat!$AH:$AH,CONCATENATE($M$4,"(ÖNV)","0940911",L441),Adat!$E:$E)*-1</f>
        <v>0</v>
      </c>
      <c r="I455" s="72">
        <f>SUMIF(Adat!$AH:$AH,CONCATENATE($M$4,"(ÁIG)","0940911",L441),Adat!$E:$E)*-1</f>
        <v>0</v>
      </c>
    </row>
    <row r="456" spans="2:9" x14ac:dyDescent="0.2">
      <c r="B456" s="160">
        <v>13</v>
      </c>
      <c r="C456" s="305" t="s">
        <v>1369</v>
      </c>
      <c r="D456" s="82" t="s">
        <v>1370</v>
      </c>
      <c r="E456" s="72">
        <f>SUMIF(Adat!$AG:$AG,CONCATENATE(61,$M$4,"0940921",L441),Adat!$E:$E)*-1</f>
        <v>0</v>
      </c>
      <c r="F456" s="72">
        <f>SUMIF(Adat!$AG:$AG,CONCATENATE(60,$M$4,"0940921",L441),Adat!$E:$E)*-1+E456</f>
        <v>0</v>
      </c>
      <c r="G456" s="72">
        <f>SUMIF(Adat!$AH:$AH,CONCATENATE($M$4,"(KÖT)","0940921",L441),Adat!$E:$E)*-1</f>
        <v>0</v>
      </c>
      <c r="H456" s="72">
        <f>SUMIF(Adat!$AH:$AH,CONCATENATE($M$4,"(ÖNV)","0940921",L441),Adat!$E:$E)*-1</f>
        <v>0</v>
      </c>
      <c r="I456" s="72">
        <f>SUMIF(Adat!$AH:$AH,CONCATENATE($M$4,"(ÁIG)","0940921",L441),Adat!$E:$E)*-1</f>
        <v>0</v>
      </c>
    </row>
    <row r="457" spans="2:9" x14ac:dyDescent="0.2">
      <c r="B457" s="160">
        <v>14</v>
      </c>
      <c r="C457" s="305" t="s">
        <v>1296</v>
      </c>
      <c r="D457" s="82" t="s">
        <v>1371</v>
      </c>
      <c r="E457" s="72">
        <f>SUMIF(Adat!$AG:$AG,CONCATENATE(61,$M$4,"094101",L441),Adat!$E:$E)*-1</f>
        <v>0</v>
      </c>
      <c r="F457" s="72">
        <f>SUMIF(Adat!$AG:$AG,CONCATENATE(60,$M$4,"094101",L441),Adat!$E:$E)*-1+E457</f>
        <v>0</v>
      </c>
      <c r="G457" s="72">
        <f>SUMIF(Adat!$AH:$AH,CONCATENATE($M$4,"(KÖT)","094101",L441),Adat!$E:$E)*-1</f>
        <v>0</v>
      </c>
      <c r="H457" s="72">
        <f>SUMIF(Adat!$AH:$AH,CONCATENATE($M$4,"(ÖNV)","094101",L441),Adat!$E:$E)*-1</f>
        <v>0</v>
      </c>
      <c r="I457" s="72">
        <f>SUMIF(Adat!$AH:$AH,CONCATENATE($M$4,"(ÁIG)","094101",L441),Adat!$E:$E)*-1</f>
        <v>0</v>
      </c>
    </row>
    <row r="458" spans="2:9" x14ac:dyDescent="0.25">
      <c r="B458" s="160">
        <v>15</v>
      </c>
      <c r="C458" s="305" t="s">
        <v>1297</v>
      </c>
      <c r="D458" s="84" t="s">
        <v>1372</v>
      </c>
      <c r="E458" s="72">
        <f>SUMIF(Adat!$AG:$AG,CONCATENATE(61,$M$4,"094111",L441),Adat!$E:$E)*-1</f>
        <v>0</v>
      </c>
      <c r="F458" s="72">
        <f>SUMIF(Adat!$AG:$AG,CONCATENATE(60,$M$4,"094111",L441),Adat!$E:$E)*-1+E458</f>
        <v>0</v>
      </c>
      <c r="G458" s="72">
        <f>SUMIF(Adat!$AH:$AH,CONCATENATE($M$4,"(KÖT)","094111",L441),Adat!$E:$E)*-1</f>
        <v>0</v>
      </c>
      <c r="H458" s="72">
        <f>SUMIF(Adat!$AH:$AH,CONCATENATE($M$4,"(ÖNV)","094111",L441),Adat!$E:$E)*-1</f>
        <v>0</v>
      </c>
      <c r="I458" s="72">
        <f>SUMIF(Adat!$AH:$AH,CONCATENATE($M$4,"(ÁIG)","094111",L441),Adat!$E:$E)*-1</f>
        <v>0</v>
      </c>
    </row>
    <row r="459" spans="2:9" x14ac:dyDescent="0.25">
      <c r="B459" s="160">
        <v>16</v>
      </c>
      <c r="C459" s="78" t="s">
        <v>1328</v>
      </c>
      <c r="D459" s="85" t="s">
        <v>437</v>
      </c>
      <c r="E459" s="121">
        <f>SUM(E460:E462)</f>
        <v>0</v>
      </c>
      <c r="F459" s="121">
        <f>SUM(F460:F462)</f>
        <v>0</v>
      </c>
      <c r="G459" s="121">
        <f>SUM(G460:G462)</f>
        <v>0</v>
      </c>
      <c r="H459" s="121">
        <f>SUM(H460:H462)</f>
        <v>0</v>
      </c>
      <c r="I459" s="121">
        <f>SUM(I460:I462)</f>
        <v>0</v>
      </c>
    </row>
    <row r="460" spans="2:9" x14ac:dyDescent="0.2">
      <c r="B460" s="160">
        <v>17</v>
      </c>
      <c r="C460" s="305" t="s">
        <v>1329</v>
      </c>
      <c r="D460" s="82" t="s">
        <v>1330</v>
      </c>
      <c r="E460" s="72">
        <f>SUMIF(Adat!$AG:$AG,CONCATENATE(61,$M$4,"09121",L441),Adat!$E:$E)*-1</f>
        <v>0</v>
      </c>
      <c r="F460" s="72">
        <f>SUMIF(Adat!$AG:$AG,CONCATENATE(60,$M$4,"09121",L441),Adat!$E:$E)*-1+E460</f>
        <v>0</v>
      </c>
      <c r="G460" s="72">
        <f>SUMIF(Adat!$AH:$AH,CONCATENATE($M$4,"(KÖT)","09121",L441),Adat!$E:$E)*-1</f>
        <v>0</v>
      </c>
      <c r="H460" s="72">
        <f>SUMIF(Adat!$AH:$AH,CONCATENATE($M$4,"(ÖNV)","09121",L441),Adat!$E:$E)*-1</f>
        <v>0</v>
      </c>
      <c r="I460" s="72">
        <f>SUMIF(Adat!$AH:$AH,CONCATENATE($M$4,"(ÁIG)","09121",L441),Adat!$E:$E)*-1</f>
        <v>0</v>
      </c>
    </row>
    <row r="461" spans="2:9" x14ac:dyDescent="0.2">
      <c r="B461" s="160">
        <v>18</v>
      </c>
      <c r="C461" s="305" t="s">
        <v>1335</v>
      </c>
      <c r="D461" s="82" t="s">
        <v>1336</v>
      </c>
      <c r="E461" s="72">
        <f>SUMIF(Adat!$AG:$AG,CONCATENATE(61,$M$4,"09151",L441),Adat!$E:$E)*-1</f>
        <v>0</v>
      </c>
      <c r="F461" s="72">
        <f>SUMIF(Adat!$AG:$AG,CONCATENATE(60,$M$4,"09151",L441),Adat!$E:$E)*-1+E461</f>
        <v>0</v>
      </c>
      <c r="G461" s="72">
        <f>SUMIF(Adat!$AH:$AH,CONCATENATE($M$4,"(KÖT)","09151",L441),Adat!$E:$E)*-1</f>
        <v>0</v>
      </c>
      <c r="H461" s="72">
        <f>SUMIF(Adat!$AH:$AH,CONCATENATE($M$4,"(ÖNV)","09151",L441),Adat!$E:$E)*-1</f>
        <v>0</v>
      </c>
      <c r="I461" s="72">
        <f>SUMIF(Adat!$AH:$AH,CONCATENATE($M$4,"(ÁIG)","09151",L441),Adat!$E:$E)*-1</f>
        <v>0</v>
      </c>
    </row>
    <row r="462" spans="2:9" x14ac:dyDescent="0.2">
      <c r="B462" s="160">
        <v>19</v>
      </c>
      <c r="C462" s="305" t="s">
        <v>1278</v>
      </c>
      <c r="D462" s="82" t="s">
        <v>1337</v>
      </c>
      <c r="E462" s="72">
        <f>SUMIF(Adat!$AG:$AG,CONCATENATE(61,$M$4,"09161",L441),Adat!$E:$E)*-1</f>
        <v>0</v>
      </c>
      <c r="F462" s="72">
        <f>SUMIF(Adat!$AG:$AG,CONCATENATE(60,$M$4,"09161",L441),Adat!$E:$E)*-1+E462</f>
        <v>0</v>
      </c>
      <c r="G462" s="72">
        <f>SUMIF(Adat!$AH:$AH,CONCATENATE($M$4,"(KÖT)","09161",L441),Adat!$E:$E)*-1</f>
        <v>0</v>
      </c>
      <c r="H462" s="72">
        <f>SUMIF(Adat!$AH:$AH,CONCATENATE($M$4,"(ÖNV)","09161",L441),Adat!$E:$E)*-1</f>
        <v>0</v>
      </c>
      <c r="I462" s="72">
        <f>SUMIF(Adat!$AH:$AH,CONCATENATE($M$4,"(ÁIG)","09161",L441),Adat!$E:$E)*-1</f>
        <v>0</v>
      </c>
    </row>
    <row r="463" spans="2:9" x14ac:dyDescent="0.25">
      <c r="B463" s="160">
        <v>20</v>
      </c>
      <c r="C463" s="79" t="s">
        <v>27</v>
      </c>
      <c r="D463" s="79" t="s">
        <v>328</v>
      </c>
      <c r="E463" s="71">
        <f>SUMIF(Adat!$AI:$AI,CONCATENATE(61,$M$4,"093",L441),Adat!$E:$E)*-1</f>
        <v>0</v>
      </c>
      <c r="F463" s="71">
        <f>SUMIF(Adat!$AI:$AI,CONCATENATE(60,$M$4,"093",L441),Adat!$E:$E)*-1+E463</f>
        <v>0</v>
      </c>
      <c r="G463" s="71">
        <f>SUMIF(Adat!$AJ:$AJ,CONCATENATE($M$4,"093","(KÖT)",L441),Adat!$E:$E)*-1</f>
        <v>0</v>
      </c>
      <c r="H463" s="71">
        <f>SUMIF(Adat!$AJ:$AJ,CONCATENATE($M$4,"093","(ÖNV)",L441),Adat!$E:$E)*-1</f>
        <v>0</v>
      </c>
      <c r="I463" s="71">
        <f>SUMIF(Adat!$AJ:$AJ,CONCATENATE($M$4,"093","(ÁIG)",L441),Adat!$E:$E)*-1</f>
        <v>0</v>
      </c>
    </row>
    <row r="464" spans="2:9" x14ac:dyDescent="0.25">
      <c r="B464" s="160">
        <v>21</v>
      </c>
      <c r="C464" s="79" t="s">
        <v>24</v>
      </c>
      <c r="D464" s="79" t="s">
        <v>449</v>
      </c>
      <c r="E464" s="121">
        <f>SUM(E465:E467)</f>
        <v>0</v>
      </c>
      <c r="F464" s="121">
        <f t="shared" ref="F464:I464" si="29">SUM(F465:F467)</f>
        <v>0</v>
      </c>
      <c r="G464" s="121">
        <f t="shared" si="29"/>
        <v>0</v>
      </c>
      <c r="H464" s="121">
        <f t="shared" si="29"/>
        <v>0</v>
      </c>
      <c r="I464" s="121">
        <f t="shared" si="29"/>
        <v>0</v>
      </c>
    </row>
    <row r="465" spans="2:9" x14ac:dyDescent="0.2">
      <c r="B465" s="160">
        <v>22</v>
      </c>
      <c r="C465" s="305" t="s">
        <v>1339</v>
      </c>
      <c r="D465" s="82" t="s">
        <v>1340</v>
      </c>
      <c r="E465" s="72">
        <f>SUMIF(Adat!$AG:$AG,CONCATENATE(61,$M$4,"09211",L441),Adat!$E:$E)*-1</f>
        <v>0</v>
      </c>
      <c r="F465" s="72">
        <f>SUMIF(Adat!$AG:$AG,CONCATENATE(60,$M$4,"09211",L441),Adat!$E:$E)*-1+E465</f>
        <v>0</v>
      </c>
      <c r="G465" s="72">
        <f>SUMIF(Adat!$AH:$AH,CONCATENATE($M$4,"(KÖT)","09211",L441),Adat!$E:$E)*-1</f>
        <v>0</v>
      </c>
      <c r="H465" s="72">
        <f>SUMIF(Adat!$AH:$AH,CONCATENATE($M$4,"(ÖNV)","09211",L441),Adat!$E:$E)*-1</f>
        <v>0</v>
      </c>
      <c r="I465" s="72">
        <f>SUMIF(Adat!$AH:$AH,CONCATENATE($M$4,"(ÁIG)","09211",L441),Adat!$E:$E)*-1</f>
        <v>0</v>
      </c>
    </row>
    <row r="466" spans="2:9" x14ac:dyDescent="0.2">
      <c r="B466" s="160">
        <v>23</v>
      </c>
      <c r="C466" s="305" t="s">
        <v>1345</v>
      </c>
      <c r="D466" s="82" t="s">
        <v>1346</v>
      </c>
      <c r="E466" s="72">
        <f>SUMIF(Adat!$AG:$AG,CONCATENATE(61,$M$4,"09241",L441),Adat!$E:$E)*-1</f>
        <v>0</v>
      </c>
      <c r="F466" s="72">
        <f>SUMIF(Adat!$AG:$AG,CONCATENATE(60,$M$4,"09241",L441),Adat!$E:$E)*-1+E466</f>
        <v>0</v>
      </c>
      <c r="G466" s="72">
        <f>SUMIF(Adat!$AH:$AH,CONCATENATE($M$4,"(KÖT)","09241",L441),Adat!$E:$E)*-1</f>
        <v>0</v>
      </c>
      <c r="H466" s="72">
        <f>SUMIF(Adat!$AH:$AH,CONCATENATE($M$4,"(ÖNV)","09241",L441),Adat!$E:$E)*-1</f>
        <v>0</v>
      </c>
      <c r="I466" s="72">
        <f>SUMIF(Adat!$AH:$AH,CONCATENATE($M$4,"(ÁIG)","09241",L441),Adat!$E:$E)*-1</f>
        <v>0</v>
      </c>
    </row>
    <row r="467" spans="2:9" x14ac:dyDescent="0.2">
      <c r="B467" s="160">
        <v>24</v>
      </c>
      <c r="C467" s="305" t="s">
        <v>1255</v>
      </c>
      <c r="D467" s="82" t="s">
        <v>1347</v>
      </c>
      <c r="E467" s="72">
        <f>SUMIF(Adat!$AG:$AG,CONCATENATE(61,$M$4,"09251",L441),Adat!$E:$E)*-1</f>
        <v>0</v>
      </c>
      <c r="F467" s="72">
        <f>SUMIF(Adat!$AG:$AG,CONCATENATE(60,$M$4,"09251",L441),Adat!$E:$E)*-1+E467</f>
        <v>0</v>
      </c>
      <c r="G467" s="72">
        <f>SUMIF(Adat!$AH:$AH,CONCATENATE($M$4,"(KÖT)","09251",L441),Adat!$E:$E)*-1</f>
        <v>0</v>
      </c>
      <c r="H467" s="72">
        <f>SUMIF(Adat!$AH:$AH,CONCATENATE($M$4,"(ÖNV)","09251",L441),Adat!$E:$E)*-1</f>
        <v>0</v>
      </c>
      <c r="I467" s="72">
        <f>SUMIF(Adat!$AH:$AH,CONCATENATE($M$4,"(ÁIG)","09251",L441),Adat!$E:$E)*-1</f>
        <v>0</v>
      </c>
    </row>
    <row r="468" spans="2:9" x14ac:dyDescent="0.25">
      <c r="B468" s="160">
        <v>25</v>
      </c>
      <c r="C468" s="79" t="s">
        <v>33</v>
      </c>
      <c r="D468" s="79" t="s">
        <v>330</v>
      </c>
      <c r="E468" s="121">
        <f>SUM(E469:E471)</f>
        <v>0</v>
      </c>
      <c r="F468" s="121">
        <f t="shared" ref="F468:I468" si="30">SUM(F469:F471)</f>
        <v>0</v>
      </c>
      <c r="G468" s="121">
        <f t="shared" si="30"/>
        <v>0</v>
      </c>
      <c r="H468" s="121">
        <f t="shared" si="30"/>
        <v>0</v>
      </c>
      <c r="I468" s="121">
        <f t="shared" si="30"/>
        <v>0</v>
      </c>
    </row>
    <row r="469" spans="2:9" x14ac:dyDescent="0.2">
      <c r="B469" s="160">
        <v>26</v>
      </c>
      <c r="C469" s="305" t="s">
        <v>1373</v>
      </c>
      <c r="D469" s="82" t="s">
        <v>1374</v>
      </c>
      <c r="E469" s="72">
        <f>SUMIF(Adat!$AG:$AG,CONCATENATE(61,$M$4,"09511",L441),Adat!$E:$E)*-1</f>
        <v>0</v>
      </c>
      <c r="F469" s="72">
        <f>SUMIF(Adat!$AG:$AG,CONCATENATE(60,$M$4,"09511",L441),Adat!$E:$E)*-1+E469</f>
        <v>0</v>
      </c>
      <c r="G469" s="72">
        <f>SUMIF(Adat!$AH:$AH,CONCATENATE($M$4,"(KÖT)","09511",L441),Adat!$E:$E)*-1</f>
        <v>0</v>
      </c>
      <c r="H469" s="72">
        <f>SUMIF(Adat!$AH:$AH,CONCATENATE($M$4,"(ÖNV)","09511",L441),Adat!$E:$E)*-1</f>
        <v>0</v>
      </c>
      <c r="I469" s="72">
        <f>SUMIF(Adat!$AH:$AH,CONCATENATE($M$4,"(ÁIG)","09511",L441),Adat!$E:$E)*-1</f>
        <v>0</v>
      </c>
    </row>
    <row r="470" spans="2:9" x14ac:dyDescent="0.2">
      <c r="B470" s="160">
        <v>27</v>
      </c>
      <c r="C470" s="305" t="s">
        <v>1294</v>
      </c>
      <c r="D470" s="82" t="s">
        <v>1375</v>
      </c>
      <c r="E470" s="72">
        <f>SUMIF(Adat!$AG:$AG,CONCATENATE(61,$M$4,"09521",L441),Adat!$E:$E)*-1</f>
        <v>0</v>
      </c>
      <c r="F470" s="72">
        <f>SUMIF(Adat!$AG:$AG,CONCATENATE(60,$M$4,"09521",L441),Adat!$E:$E)*-1+E470</f>
        <v>0</v>
      </c>
      <c r="G470" s="72">
        <f>SUMIF(Adat!$AH:$AH,CONCATENATE($M$4,"(KÖT)","09521",L441),Adat!$E:$E)*-1</f>
        <v>0</v>
      </c>
      <c r="H470" s="72">
        <f>SUMIF(Adat!$AH:$AH,CONCATENATE($M$4,"(ÖNV)","09521",L441),Adat!$E:$E)*-1</f>
        <v>0</v>
      </c>
      <c r="I470" s="72">
        <f>SUMIF(Adat!$AH:$AH,CONCATENATE($M$4,"(ÁIG)","09521",L441),Adat!$E:$E)*-1</f>
        <v>0</v>
      </c>
    </row>
    <row r="471" spans="2:9" x14ac:dyDescent="0.2">
      <c r="B471" s="160">
        <v>28</v>
      </c>
      <c r="C471" s="305" t="s">
        <v>1376</v>
      </c>
      <c r="D471" s="82" t="s">
        <v>1377</v>
      </c>
      <c r="E471" s="72">
        <f>SUMIF(Adat!$AG:$AG,CONCATENATE(61,$M$4,"09531",L441),Adat!$E:$E)*-1</f>
        <v>0</v>
      </c>
      <c r="F471" s="72">
        <f>SUMIF(Adat!$AG:$AG,CONCATENATE(60,$M$4,"09531",L441),Adat!$E:$E)*-1+E471</f>
        <v>0</v>
      </c>
      <c r="G471" s="72">
        <f>SUMIF(Adat!$AH:$AH,CONCATENATE($M$4,"(KÖT)","09531",L441),Adat!$E:$E)*-1</f>
        <v>0</v>
      </c>
      <c r="H471" s="72">
        <f>SUMIF(Adat!$AH:$AH,CONCATENATE($M$4,"(ÖNV)","09531",L441),Adat!$E:$E)*-1</f>
        <v>0</v>
      </c>
      <c r="I471" s="72">
        <f>SUMIF(Adat!$AH:$AH,CONCATENATE($M$4,"(ÁIG)","09531",L441),Adat!$E:$E)*-1</f>
        <v>0</v>
      </c>
    </row>
    <row r="472" spans="2:9" x14ac:dyDescent="0.25">
      <c r="B472" s="160">
        <v>29</v>
      </c>
      <c r="C472" s="79" t="s">
        <v>36</v>
      </c>
      <c r="D472" s="79" t="s">
        <v>331</v>
      </c>
      <c r="E472" s="71">
        <f>SUMIF(Adat!$AI:$AI,CONCATENATE(61,$M$4,"096",L441),Adat!$E:$E)*-1</f>
        <v>0</v>
      </c>
      <c r="F472" s="71">
        <f>SUMIF(Adat!$AI:$AI,CONCATENATE(60,$M$4,"096",L441),Adat!$E:$E)*-1+E472</f>
        <v>0</v>
      </c>
      <c r="G472" s="71">
        <f>SUMIF(Adat!$AJ:$AJ,CONCATENATE($M$4,"096","(KÖT)",L441),Adat!$E:$E)*-1</f>
        <v>0</v>
      </c>
      <c r="H472" s="71">
        <f>SUMIF(Adat!$AJ:$AJ,CONCATENATE($M$4,"096","(ÖNV)",L441),Adat!$E:$E)*-1</f>
        <v>0</v>
      </c>
      <c r="I472" s="71">
        <f>SUMIF(Adat!$AJ:$AJ,CONCATENATE($M$4,"096","(ÁIG)",L441),Adat!$E:$E)*-1</f>
        <v>0</v>
      </c>
    </row>
    <row r="473" spans="2:9" x14ac:dyDescent="0.25">
      <c r="B473" s="160">
        <v>30</v>
      </c>
      <c r="C473" s="79" t="s">
        <v>38</v>
      </c>
      <c r="D473" s="85" t="s">
        <v>332</v>
      </c>
      <c r="E473" s="71">
        <f>SUMIF(Adat!$AI:$AI,CONCATENATE(61,$M$4,"097",L441),Adat!$E:$E)*-1</f>
        <v>0</v>
      </c>
      <c r="F473" s="71">
        <f>SUMIF(Adat!$AI:$AI,CONCATENATE(60,$M$4,"097",L441),Adat!$E:$E)*-1+E473</f>
        <v>0</v>
      </c>
      <c r="G473" s="71">
        <f>SUMIF(Adat!$AJ:$AJ,CONCATENATE($M$4,"097","(KÖT)",L441),Adat!$E:$E)*-1</f>
        <v>0</v>
      </c>
      <c r="H473" s="71">
        <f>SUMIF(Adat!$AJ:$AJ,CONCATENATE($M$4,"097","(ÖNV)",L441),Adat!$E:$E)*-1</f>
        <v>0</v>
      </c>
      <c r="I473" s="71">
        <f>SUMIF(Adat!$AJ:$AJ,CONCATENATE($M$4,"097","(ÁIG)",L441),Adat!$E:$E)*-1</f>
        <v>0</v>
      </c>
    </row>
    <row r="474" spans="2:9" x14ac:dyDescent="0.25">
      <c r="B474" s="160">
        <v>31</v>
      </c>
      <c r="C474" s="154" t="s">
        <v>352</v>
      </c>
      <c r="D474" s="86" t="s">
        <v>1500</v>
      </c>
      <c r="E474" s="121">
        <f>E445+E459+E463+E464+E468+E472+E473</f>
        <v>0</v>
      </c>
      <c r="F474" s="121">
        <f>F445+F459+F463+F464+F468+F472+F473</f>
        <v>0</v>
      </c>
      <c r="G474" s="121">
        <f>G445+G459+G463+G464+G468+G472+G473</f>
        <v>0</v>
      </c>
      <c r="H474" s="121">
        <f>H445+H459+H463+H464+H468+H472+H473</f>
        <v>0</v>
      </c>
      <c r="I474" s="121">
        <f>I445+I459+I463+I464+I468+I472+I473</f>
        <v>0</v>
      </c>
    </row>
    <row r="475" spans="2:9" x14ac:dyDescent="0.25">
      <c r="B475" s="160">
        <v>32</v>
      </c>
      <c r="C475" s="154" t="s">
        <v>358</v>
      </c>
      <c r="D475" s="86" t="s">
        <v>333</v>
      </c>
      <c r="E475" s="121">
        <f>SUM(E476:E478)</f>
        <v>0</v>
      </c>
      <c r="F475" s="121">
        <f t="shared" ref="F475:I475" si="31">SUM(F476:F478)</f>
        <v>0</v>
      </c>
      <c r="G475" s="121">
        <f t="shared" si="31"/>
        <v>0</v>
      </c>
      <c r="H475" s="121">
        <f t="shared" si="31"/>
        <v>0</v>
      </c>
      <c r="I475" s="121">
        <f t="shared" si="31"/>
        <v>0</v>
      </c>
    </row>
    <row r="476" spans="2:9" x14ac:dyDescent="0.2">
      <c r="B476" s="160">
        <v>33</v>
      </c>
      <c r="C476" s="305" t="s">
        <v>1274</v>
      </c>
      <c r="D476" s="82" t="s">
        <v>1419</v>
      </c>
      <c r="E476" s="72">
        <f>SUMIF(Adat!$AG:$AG,CONCATENATE(61,$M$4,"0981311",L441),Adat!$E:$E)*-1</f>
        <v>0</v>
      </c>
      <c r="F476" s="72">
        <f>SUMIF(Adat!$AG:$AG,CONCATENATE(60,$M$4,"0981311",L441),Adat!$E:$E)*-1+E476</f>
        <v>0</v>
      </c>
      <c r="G476" s="72">
        <f>SUMIF(Adat!$AH:$AH,CONCATENATE($M$4,"(KÖT)","0981311",L441),Adat!$E:$E)*-1</f>
        <v>0</v>
      </c>
      <c r="H476" s="72">
        <f>SUMIF(Adat!$AH:$AH,CONCATENATE($M$4,"(ÖNV)","0981311",L441),Adat!$E:$E)*-1</f>
        <v>0</v>
      </c>
      <c r="I476" s="72">
        <f>SUMIF(Adat!$AH:$AH,CONCATENATE($M$4,"(ÁIG)","0981311",L441),Adat!$E:$E)*-1</f>
        <v>0</v>
      </c>
    </row>
    <row r="477" spans="2:9" x14ac:dyDescent="0.25">
      <c r="B477" s="160">
        <v>34</v>
      </c>
      <c r="C477" s="305" t="s">
        <v>1420</v>
      </c>
      <c r="D477" s="84" t="s">
        <v>1421</v>
      </c>
      <c r="E477" s="72">
        <f>SUMIF(Adat!$AG:$AG,CONCATENATE(61,$M$4,"0981321",L441),Adat!$E:$E)*-1</f>
        <v>0</v>
      </c>
      <c r="F477" s="72">
        <f>SUMIF(Adat!$AG:$AG,CONCATENATE(60,$M$4,"0981321",L441),Adat!$E:$E)*-1+E477</f>
        <v>0</v>
      </c>
      <c r="G477" s="72">
        <f>SUMIF(Adat!$AH:$AH,CONCATENATE($M$4,"(KÖT)","0981321",L441),Adat!$E:$E)*-1</f>
        <v>0</v>
      </c>
      <c r="H477" s="72">
        <f>SUMIF(Adat!$AH:$AH,CONCATENATE($M$4,"(ÖNV)","0981321",L441),Adat!$E:$E)*-1</f>
        <v>0</v>
      </c>
      <c r="I477" s="72">
        <f>SUMIF(Adat!$AH:$AH,CONCATENATE($M$4,"(ÁIG)","0981321",L441),Adat!$E:$E)*-1</f>
        <v>0</v>
      </c>
    </row>
    <row r="478" spans="2:9" x14ac:dyDescent="0.25">
      <c r="B478" s="160">
        <v>35</v>
      </c>
      <c r="C478" s="319" t="s">
        <v>1275</v>
      </c>
      <c r="D478" s="84" t="s">
        <v>1501</v>
      </c>
      <c r="E478" s="72">
        <f>SUMIF(Adat!$AG:$AG,CONCATENATE(61,$M$4,"098161",L441),Adat!$E:$E)*-1</f>
        <v>0</v>
      </c>
      <c r="F478" s="72">
        <f>SUMIF(Adat!$AG:$AG,CONCATENATE(60,$M$4,"098161",L441),Adat!$E:$E)*-1+E478</f>
        <v>0</v>
      </c>
      <c r="G478" s="72">
        <f>SUMIF(Adat!$AH:$AH,CONCATENATE($M$4,"(KÖT)","098161",L441),Adat!$E:$E)*-1</f>
        <v>0</v>
      </c>
      <c r="H478" s="72">
        <f>SUMIF(Adat!$AH:$AH,CONCATENATE($M$4,"(ÖNV)","098161",L441),Adat!$E:$E)*-1</f>
        <v>0</v>
      </c>
      <c r="I478" s="72">
        <f>SUMIF(Adat!$AH:$AH,CONCATENATE($M$4,"(ÁIG)","098161",L441),Adat!$E:$E)*-1</f>
        <v>0</v>
      </c>
    </row>
    <row r="479" spans="2:9" x14ac:dyDescent="0.25">
      <c r="B479" s="160">
        <v>36</v>
      </c>
      <c r="C479" s="154" t="s">
        <v>364</v>
      </c>
      <c r="D479" s="159" t="s">
        <v>1502</v>
      </c>
      <c r="E479" s="121">
        <f>+E474+E475</f>
        <v>0</v>
      </c>
      <c r="F479" s="121">
        <f>+F474+F475</f>
        <v>0</v>
      </c>
      <c r="G479" s="121">
        <f>+G474+G475</f>
        <v>0</v>
      </c>
      <c r="H479" s="121">
        <f>+H474+H475</f>
        <v>0</v>
      </c>
      <c r="I479" s="121">
        <f>+I474+I475</f>
        <v>0</v>
      </c>
    </row>
    <row r="480" spans="2:9" ht="15.75" x14ac:dyDescent="0.25">
      <c r="B480" s="38"/>
      <c r="C480" s="156"/>
      <c r="D480" s="38"/>
      <c r="E480" s="140"/>
      <c r="F480" s="140"/>
      <c r="G480" s="140"/>
      <c r="H480" s="140"/>
      <c r="I480" s="140"/>
    </row>
    <row r="481" spans="2:12" s="10" customFormat="1" ht="15.75" customHeight="1" x14ac:dyDescent="0.25">
      <c r="B481" s="201" t="str">
        <f>CONCATENATE("16. Kiadási jogcímek"," - ",L481," részletező")</f>
        <v>16. Kiadási jogcímek -  részletező</v>
      </c>
      <c r="C481" s="101"/>
      <c r="D481" s="101"/>
      <c r="E481" s="101"/>
      <c r="F481" s="101"/>
      <c r="G481" s="198"/>
      <c r="H481" s="198"/>
      <c r="I481" s="198"/>
      <c r="L481" s="384"/>
    </row>
    <row r="482" spans="2:12" ht="15.75" x14ac:dyDescent="0.25">
      <c r="B482" s="38"/>
      <c r="C482" s="156"/>
      <c r="D482" s="38"/>
      <c r="E482" s="140"/>
      <c r="F482" s="140"/>
      <c r="G482" s="140"/>
      <c r="H482" s="140"/>
      <c r="I482" s="140"/>
    </row>
    <row r="483" spans="2:12" x14ac:dyDescent="0.25">
      <c r="B483" s="77"/>
      <c r="C483" s="77" t="s">
        <v>350</v>
      </c>
      <c r="D483" s="77" t="s">
        <v>351</v>
      </c>
      <c r="E483" s="77" t="s">
        <v>470</v>
      </c>
      <c r="F483" s="77" t="s">
        <v>471</v>
      </c>
      <c r="G483" s="77" t="s">
        <v>44</v>
      </c>
      <c r="H483" s="77" t="s">
        <v>42</v>
      </c>
      <c r="I483" s="77" t="s">
        <v>511</v>
      </c>
    </row>
    <row r="484" spans="2:12" ht="38.25" x14ac:dyDescent="0.25">
      <c r="B484" s="160">
        <v>1</v>
      </c>
      <c r="C484" s="154" t="s">
        <v>593</v>
      </c>
      <c r="D484" s="154" t="s">
        <v>488</v>
      </c>
      <c r="E484" s="163" t="str">
        <f>CONCATENATE(PAR!$H$3," évi
eredeti 
előirányzat")</f>
        <v>2025. évi
eredeti 
előirányzat</v>
      </c>
      <c r="F484" s="163" t="str">
        <f>CONCATENATE(PAR!$H$3," évi
módosított 
előirányzat")</f>
        <v>2025. évi
módosított 
előirányzat</v>
      </c>
      <c r="G484" s="78" t="s">
        <v>666</v>
      </c>
      <c r="H484" s="78" t="s">
        <v>667</v>
      </c>
      <c r="I484" s="78" t="s">
        <v>668</v>
      </c>
    </row>
    <row r="485" spans="2:12" x14ac:dyDescent="0.25">
      <c r="B485" s="160">
        <v>2</v>
      </c>
      <c r="C485" s="78" t="s">
        <v>352</v>
      </c>
      <c r="D485" s="92" t="s">
        <v>1444</v>
      </c>
      <c r="E485" s="121">
        <f>SUM(E486:E490)</f>
        <v>0</v>
      </c>
      <c r="F485" s="121">
        <f>SUM(F486:F490)</f>
        <v>0</v>
      </c>
      <c r="G485" s="121">
        <f>SUM(G486:G490)</f>
        <v>0</v>
      </c>
      <c r="H485" s="121">
        <f>SUM(H486:H490)</f>
        <v>0</v>
      </c>
      <c r="I485" s="121">
        <f>SUM(I486:I490)</f>
        <v>0</v>
      </c>
    </row>
    <row r="486" spans="2:12" x14ac:dyDescent="0.25">
      <c r="B486" s="160">
        <v>3</v>
      </c>
      <c r="C486" s="305" t="s">
        <v>315</v>
      </c>
      <c r="D486" s="93" t="s">
        <v>342</v>
      </c>
      <c r="E486" s="72">
        <f>SUMIF(Adat!$AI:$AI,CONCATENATE(61,$M$4,"051",L481),Adat!$E:$E)</f>
        <v>0</v>
      </c>
      <c r="F486" s="72">
        <f>SUMIF(Adat!$AI:$AI,CONCATENATE(60,$M$4,"051",L481),Adat!$E:$E)+E486</f>
        <v>0</v>
      </c>
      <c r="G486" s="72">
        <f>SUMIF(Adat!$AJ:$AJ,CONCATENATE($M$4,"051","(KÖT)",L481),Adat!$E:$E)</f>
        <v>0</v>
      </c>
      <c r="H486" s="72">
        <f>SUMIF(Adat!$AJ:$AJ,CONCATENATE($M$4,"051","(ÖNV)",L481),Adat!$E:$E)</f>
        <v>0</v>
      </c>
      <c r="I486" s="72">
        <f>SUMIF(Adat!$AJ:$AJ,CONCATENATE($M$4,"051","(ÁIG)",L481),Adat!$E:$E)</f>
        <v>0</v>
      </c>
    </row>
    <row r="487" spans="2:12" x14ac:dyDescent="0.25">
      <c r="B487" s="160">
        <v>4</v>
      </c>
      <c r="C487" s="305" t="s">
        <v>317</v>
      </c>
      <c r="D487" s="93" t="s">
        <v>395</v>
      </c>
      <c r="E487" s="72">
        <f>SUMIF(Adat!$AI:$AI,CONCATENATE(61,$M$4,"052",L481),Adat!$E:$E)</f>
        <v>0</v>
      </c>
      <c r="F487" s="72">
        <f>SUMIF(Adat!$AI:$AI,CONCATENATE(60,$M$4,"052",L481),Adat!$E:$E)+E487</f>
        <v>0</v>
      </c>
      <c r="G487" s="72">
        <f>SUMIF(Adat!$AJ:$AJ,CONCATENATE($M$4,"052","(KÖT)",L481),Adat!$E:$E)</f>
        <v>0</v>
      </c>
      <c r="H487" s="72">
        <f>SUMIF(Adat!$AJ:$AJ,CONCATENATE($M$4,"052","(ÖNV)",L481),Adat!$E:$E)</f>
        <v>0</v>
      </c>
      <c r="I487" s="72">
        <f>SUMIF(Adat!$AJ:$AJ,CONCATENATE($M$4,"052","(ÁIG)",L481),Adat!$E:$E)</f>
        <v>0</v>
      </c>
    </row>
    <row r="488" spans="2:12" x14ac:dyDescent="0.25">
      <c r="B488" s="160">
        <v>5</v>
      </c>
      <c r="C488" s="305" t="s">
        <v>4</v>
      </c>
      <c r="D488" s="93" t="s">
        <v>344</v>
      </c>
      <c r="E488" s="72">
        <f>SUMIF(Adat!$AI:$AI,CONCATENATE(61,$M$4,"053",L481),Adat!$E:$E)</f>
        <v>0</v>
      </c>
      <c r="F488" s="72">
        <f>SUMIF(Adat!$AI:$AI,CONCATENATE(60,$M$4,"053",L481),Adat!$E:$E)+E488</f>
        <v>0</v>
      </c>
      <c r="G488" s="72">
        <f>SUMIF(Adat!$AJ:$AJ,CONCATENATE($M$4,"053","(KÖT)",L481),Adat!$E:$E)</f>
        <v>0</v>
      </c>
      <c r="H488" s="72">
        <f>SUMIF(Adat!$AJ:$AJ,CONCATENATE($M$4,"053","(ÖNV)",L481),Adat!$E:$E)</f>
        <v>0</v>
      </c>
      <c r="I488" s="72">
        <f>SUMIF(Adat!$AJ:$AJ,CONCATENATE($M$4,"053","(ÁIG)",L481),Adat!$E:$E)</f>
        <v>0</v>
      </c>
    </row>
    <row r="489" spans="2:12" x14ac:dyDescent="0.25">
      <c r="B489" s="160">
        <v>6</v>
      </c>
      <c r="C489" s="305" t="s">
        <v>6</v>
      </c>
      <c r="D489" s="93" t="s">
        <v>345</v>
      </c>
      <c r="E489" s="72">
        <f>SUMIF(Adat!$AI:$AI,CONCATENATE(61,$M$4,"054",L481),Adat!$E:$E)</f>
        <v>0</v>
      </c>
      <c r="F489" s="72">
        <f>SUMIF(Adat!$AI:$AI,CONCATENATE(60,$M$4,"054",L481),Adat!$E:$E)+E489</f>
        <v>0</v>
      </c>
      <c r="G489" s="72">
        <f>SUMIF(Adat!$AJ:$AJ,CONCATENATE($M$4,"054","(KÖT)",L481),Adat!$E:$E)</f>
        <v>0</v>
      </c>
      <c r="H489" s="72">
        <f>SUMIF(Adat!$AJ:$AJ,CONCATENATE($M$4,"054","(ÖNV)",L481),Adat!$E:$E)</f>
        <v>0</v>
      </c>
      <c r="I489" s="72">
        <f>SUMIF(Adat!$AJ:$AJ,CONCATENATE($M$4,"054","(ÁIG)",L481),Adat!$E:$E)</f>
        <v>0</v>
      </c>
    </row>
    <row r="490" spans="2:12" x14ac:dyDescent="0.25">
      <c r="B490" s="160">
        <v>7</v>
      </c>
      <c r="C490" s="305" t="s">
        <v>8</v>
      </c>
      <c r="D490" s="93" t="s">
        <v>321</v>
      </c>
      <c r="E490" s="72">
        <f>SUMIF(Adat!$AI:$AI,CONCATENATE(61,$M$4,"055",L481),Adat!$E:$E)</f>
        <v>0</v>
      </c>
      <c r="F490" s="72">
        <f>SUMIF(Adat!$AI:$AI,CONCATENATE(60,$M$4,"055",L481),Adat!$E:$E)+E490</f>
        <v>0</v>
      </c>
      <c r="G490" s="72">
        <f>SUMIF(Adat!$AJ:$AJ,CONCATENATE($M$4,"055","(KÖT)",L481),Adat!$E:$E)</f>
        <v>0</v>
      </c>
      <c r="H490" s="72">
        <f>SUMIF(Adat!$AJ:$AJ,CONCATENATE($M$4,"055","(ÖNV)",L481),Adat!$E:$E)</f>
        <v>0</v>
      </c>
      <c r="I490" s="72">
        <f>SUMIF(Adat!$AJ:$AJ,CONCATENATE($M$4,"055","(ÁIG)",L481),Adat!$E:$E)</f>
        <v>0</v>
      </c>
    </row>
    <row r="491" spans="2:12" x14ac:dyDescent="0.25">
      <c r="B491" s="160">
        <v>8</v>
      </c>
      <c r="C491" s="78" t="s">
        <v>358</v>
      </c>
      <c r="D491" s="92" t="s">
        <v>1447</v>
      </c>
      <c r="E491" s="121">
        <f>E492+E494+E496</f>
        <v>0</v>
      </c>
      <c r="F491" s="121">
        <f>F492+F494+F496</f>
        <v>0</v>
      </c>
      <c r="G491" s="121">
        <f>G492+G494+G496</f>
        <v>0</v>
      </c>
      <c r="H491" s="121">
        <f>H492+H494+H496</f>
        <v>0</v>
      </c>
      <c r="I491" s="121">
        <f>I492+I494+I496</f>
        <v>0</v>
      </c>
    </row>
    <row r="492" spans="2:12" x14ac:dyDescent="0.25">
      <c r="B492" s="160">
        <v>9</v>
      </c>
      <c r="C492" s="305" t="s">
        <v>10</v>
      </c>
      <c r="D492" s="93" t="s">
        <v>322</v>
      </c>
      <c r="E492" s="72">
        <f>SUMIF(Adat!$AI:$AI,CONCATENATE(61,$M$4,"056",L481),Adat!$E:$E)</f>
        <v>0</v>
      </c>
      <c r="F492" s="72">
        <f>SUMIF(Adat!$AI:$AI,CONCATENATE(60,$M$4,"056",L481),Adat!$E:$E)+E492</f>
        <v>0</v>
      </c>
      <c r="G492" s="72">
        <f>SUMIF(Adat!$AJ:$AJ,CONCATENATE($M$4,"056","(KÖT)",L481),Adat!$E:$E)</f>
        <v>0</v>
      </c>
      <c r="H492" s="72">
        <f>SUMIF(Adat!$AJ:$AJ,CONCATENATE($M$4,"056","(ÖNV)",L481),Adat!$E:$E)</f>
        <v>0</v>
      </c>
      <c r="I492" s="72">
        <f>SUMIF(Adat!$AJ:$AJ,CONCATENATE($M$4,"056","(ÁIG)",L481),Adat!$E:$E)</f>
        <v>0</v>
      </c>
    </row>
    <row r="493" spans="2:12" x14ac:dyDescent="0.25">
      <c r="B493" s="160">
        <v>10</v>
      </c>
      <c r="C493" s="305" t="s">
        <v>10</v>
      </c>
      <c r="D493" s="93" t="s">
        <v>1448</v>
      </c>
      <c r="E493" s="72">
        <v>0</v>
      </c>
      <c r="F493" s="72">
        <f>SUM(G493:I493)</f>
        <v>0</v>
      </c>
      <c r="G493" s="72">
        <v>0</v>
      </c>
      <c r="H493" s="72">
        <v>0</v>
      </c>
      <c r="I493" s="72">
        <v>0</v>
      </c>
    </row>
    <row r="494" spans="2:12" x14ac:dyDescent="0.25">
      <c r="B494" s="160">
        <v>11</v>
      </c>
      <c r="C494" s="305" t="s">
        <v>12</v>
      </c>
      <c r="D494" s="93" t="s">
        <v>323</v>
      </c>
      <c r="E494" s="72">
        <f>SUMIF(Adat!$AI:$AI,CONCATENATE(61,$M$4,"057",L481),Adat!$E:$E)</f>
        <v>0</v>
      </c>
      <c r="F494" s="72">
        <f>SUMIF(Adat!$AI:$AI,CONCATENATE(60,$M$4,"057",L481),Adat!$E:$E)+E494</f>
        <v>0</v>
      </c>
      <c r="G494" s="72">
        <f>SUMIF(Adat!$AJ:$AJ,CONCATENATE($M$4,"057","(KÖT)",L481),Adat!$E:$E)</f>
        <v>0</v>
      </c>
      <c r="H494" s="72">
        <f>SUMIF(Adat!$AJ:$AJ,CONCATENATE($M$4,"057","(ÖNV)",L481),Adat!$E:$E)</f>
        <v>0</v>
      </c>
      <c r="I494" s="72">
        <f>SUMIF(Adat!$AJ:$AJ,CONCATENATE($M$4,"057","(ÁIG)",L481),Adat!$E:$E)</f>
        <v>0</v>
      </c>
    </row>
    <row r="495" spans="2:12" x14ac:dyDescent="0.25">
      <c r="B495" s="160">
        <v>12</v>
      </c>
      <c r="C495" s="305" t="s">
        <v>12</v>
      </c>
      <c r="D495" s="93" t="s">
        <v>1449</v>
      </c>
      <c r="E495" s="72">
        <v>0</v>
      </c>
      <c r="F495" s="72">
        <f>SUM(G495:I495)</f>
        <v>0</v>
      </c>
      <c r="G495" s="72">
        <v>0</v>
      </c>
      <c r="H495" s="72">
        <v>0</v>
      </c>
      <c r="I495" s="72">
        <v>0</v>
      </c>
    </row>
    <row r="496" spans="2:12" x14ac:dyDescent="0.25">
      <c r="B496" s="160">
        <v>13</v>
      </c>
      <c r="C496" s="305" t="s">
        <v>15</v>
      </c>
      <c r="D496" s="84" t="s">
        <v>324</v>
      </c>
      <c r="E496" s="72">
        <f>SUMIF(Adat!$AI:$AI,CONCATENATE(61,$M$4,"058",L481),Adat!$E:$E)</f>
        <v>0</v>
      </c>
      <c r="F496" s="72">
        <f>SUMIF(Adat!$AI:$AI,CONCATENATE(60,$M$4,"058",L481),Adat!$E:$E)+E496</f>
        <v>0</v>
      </c>
      <c r="G496" s="72">
        <f>SUMIF(Adat!$AJ:$AJ,CONCATENATE($M$4,"058","(KÖT)",L481),Adat!$E:$E)</f>
        <v>0</v>
      </c>
      <c r="H496" s="72">
        <f>SUMIF(Adat!$AJ:$AJ,CONCATENATE($M$4,"058","(ÖNV)",L481),Adat!$E:$E)</f>
        <v>0</v>
      </c>
      <c r="I496" s="72">
        <f>SUMIF(Adat!$AJ:$AJ,CONCATENATE($M$4,"058","(ÁIG)",L481),Adat!$E:$E)</f>
        <v>0</v>
      </c>
    </row>
    <row r="497" spans="2:12" x14ac:dyDescent="0.25">
      <c r="B497" s="160">
        <v>14</v>
      </c>
      <c r="C497" s="154" t="s">
        <v>364</v>
      </c>
      <c r="D497" s="86" t="s">
        <v>325</v>
      </c>
      <c r="E497" s="71">
        <f>SUMIF(Adat!$AI:$AI,CONCATENATE(61,$M$4,"059",L481),Adat!$E:$E)</f>
        <v>0</v>
      </c>
      <c r="F497" s="71">
        <f>SUMIF(Adat!$AI:$AI,CONCATENATE(60,$M$4,"059",L481),Adat!$E:$E)+E497</f>
        <v>0</v>
      </c>
      <c r="G497" s="71">
        <f>SUMIF(Adat!$AJ:$AJ,CONCATENATE($M$4,"059","(KÖT)",L481),Adat!$E:$E)</f>
        <v>0</v>
      </c>
      <c r="H497" s="71">
        <f>SUMIF(Adat!$AJ:$AJ,CONCATENATE($M$4,"059","(ÖNV)",L481),Adat!$E:$E)</f>
        <v>0</v>
      </c>
      <c r="I497" s="71">
        <f>SUMIF(Adat!$AJ:$AJ,CONCATENATE($M$4,"059","(ÁIG)",L481),Adat!$E:$E)</f>
        <v>0</v>
      </c>
    </row>
    <row r="498" spans="2:12" x14ac:dyDescent="0.25">
      <c r="B498" s="160">
        <v>15</v>
      </c>
      <c r="C498" s="154" t="s">
        <v>403</v>
      </c>
      <c r="D498" s="159" t="s">
        <v>497</v>
      </c>
      <c r="E498" s="121">
        <f>E485+E491+E497</f>
        <v>0</v>
      </c>
      <c r="F498" s="121">
        <f>F485+F491+F497</f>
        <v>0</v>
      </c>
      <c r="G498" s="121">
        <f>G485+G491+G497</f>
        <v>0</v>
      </c>
      <c r="H498" s="121">
        <f>H485+H491+H497</f>
        <v>0</v>
      </c>
      <c r="I498" s="121">
        <f>I485+I491+I497</f>
        <v>0</v>
      </c>
    </row>
    <row r="499" spans="2:12" ht="15.75" x14ac:dyDescent="0.25">
      <c r="B499" s="37"/>
      <c r="C499" s="529"/>
      <c r="D499" s="529"/>
      <c r="E499" s="529"/>
      <c r="F499" s="200"/>
      <c r="G499" s="200"/>
      <c r="H499" s="200"/>
      <c r="I499" s="200"/>
    </row>
    <row r="500" spans="2:12" ht="15.75" x14ac:dyDescent="0.25">
      <c r="B500" s="525" t="str">
        <f>$N$4</f>
        <v>Nagymaros Városi Könyvtár és Művelődési Ház</v>
      </c>
      <c r="C500" s="525"/>
      <c r="D500" s="525"/>
      <c r="E500" s="525"/>
      <c r="F500" s="525"/>
      <c r="G500" s="525"/>
      <c r="H500" s="525"/>
      <c r="I500" s="525"/>
    </row>
    <row r="501" spans="2:12" ht="15.75" x14ac:dyDescent="0.25">
      <c r="B501" s="525" t="s">
        <v>2660</v>
      </c>
      <c r="C501" s="525"/>
      <c r="D501" s="525"/>
      <c r="E501" s="525"/>
      <c r="F501" s="525"/>
      <c r="G501" s="525"/>
      <c r="H501" s="525"/>
      <c r="I501" s="525"/>
    </row>
    <row r="502" spans="2:12" ht="15.75" x14ac:dyDescent="0.25">
      <c r="B502" s="38"/>
      <c r="C502" s="156"/>
      <c r="D502" s="38"/>
      <c r="E502" s="140"/>
      <c r="F502" s="140"/>
      <c r="G502" s="140"/>
      <c r="H502" s="140"/>
      <c r="I502" s="140"/>
    </row>
    <row r="503" spans="2:12" s="10" customFormat="1" ht="15.75" customHeight="1" x14ac:dyDescent="0.25">
      <c r="B503" s="201" t="str">
        <f>CONCATENATE("17. Bevételi jogcímek"," - ",L503," részletező")</f>
        <v>17. Bevételi jogcímek -  részletező</v>
      </c>
      <c r="C503" s="101"/>
      <c r="D503" s="101"/>
      <c r="E503" s="101"/>
      <c r="F503" s="101"/>
      <c r="G503" s="198"/>
      <c r="H503" s="198"/>
      <c r="I503" s="198"/>
      <c r="L503" s="384"/>
    </row>
    <row r="504" spans="2:12" ht="15.75" x14ac:dyDescent="0.25">
      <c r="B504" s="38"/>
      <c r="C504" s="156"/>
      <c r="D504" s="38"/>
      <c r="E504" s="140"/>
      <c r="F504" s="140"/>
      <c r="G504" s="140"/>
      <c r="H504" s="140"/>
      <c r="I504" s="140"/>
    </row>
    <row r="505" spans="2:12" x14ac:dyDescent="0.25">
      <c r="B505" s="77"/>
      <c r="C505" s="77" t="s">
        <v>350</v>
      </c>
      <c r="D505" s="77" t="s">
        <v>351</v>
      </c>
      <c r="E505" s="77" t="s">
        <v>470</v>
      </c>
      <c r="F505" s="77" t="s">
        <v>471</v>
      </c>
      <c r="G505" s="77" t="s">
        <v>44</v>
      </c>
      <c r="H505" s="77" t="s">
        <v>42</v>
      </c>
      <c r="I505" s="77" t="s">
        <v>511</v>
      </c>
    </row>
    <row r="506" spans="2:12" ht="38.25" x14ac:dyDescent="0.25">
      <c r="B506" s="160">
        <v>1</v>
      </c>
      <c r="C506" s="154" t="s">
        <v>593</v>
      </c>
      <c r="D506" s="154" t="s">
        <v>488</v>
      </c>
      <c r="E506" s="163" t="str">
        <f>CONCATENATE(PAR!$H$3," évi
eredeti 
előirányzat")</f>
        <v>2025. évi
eredeti 
előirányzat</v>
      </c>
      <c r="F506" s="163" t="str">
        <f>CONCATENATE(PAR!$H$3," évi
módosított 
előirányzat")</f>
        <v>2025. évi
módosított 
előirányzat</v>
      </c>
      <c r="G506" s="78" t="s">
        <v>666</v>
      </c>
      <c r="H506" s="78" t="s">
        <v>667</v>
      </c>
      <c r="I506" s="78" t="s">
        <v>668</v>
      </c>
    </row>
    <row r="507" spans="2:12" x14ac:dyDescent="0.25">
      <c r="B507" s="160">
        <v>2</v>
      </c>
      <c r="C507" s="79" t="s">
        <v>30</v>
      </c>
      <c r="D507" s="79" t="s">
        <v>329</v>
      </c>
      <c r="E507" s="121">
        <f>SUM(E508:E520)</f>
        <v>0</v>
      </c>
      <c r="F507" s="121">
        <f t="shared" ref="F507:I507" si="32">SUM(F508:F520)</f>
        <v>0</v>
      </c>
      <c r="G507" s="121">
        <f t="shared" si="32"/>
        <v>0</v>
      </c>
      <c r="H507" s="121">
        <f t="shared" si="32"/>
        <v>0</v>
      </c>
      <c r="I507" s="121">
        <f t="shared" si="32"/>
        <v>0</v>
      </c>
    </row>
    <row r="508" spans="2:12" x14ac:dyDescent="0.2">
      <c r="B508" s="160">
        <v>3</v>
      </c>
      <c r="C508" s="305" t="s">
        <v>1309</v>
      </c>
      <c r="D508" s="82" t="s">
        <v>1356</v>
      </c>
      <c r="E508" s="72">
        <f>SUMIF(Adat!$AG:$AG,CONCATENATE(61,$M$4,"094011",L503),Adat!$E:$E)*-1</f>
        <v>0</v>
      </c>
      <c r="F508" s="72">
        <f>SUMIF(Adat!$AG:$AG,CONCATENATE(60,$M$4,"094011",L503),Adat!$E:$E)*-1+E508</f>
        <v>0</v>
      </c>
      <c r="G508" s="72">
        <f>SUMIF(Adat!$AH:$AH,CONCATENATE($M$4,"(KÖT)","094011",L503),Adat!$E:$E)*-1</f>
        <v>0</v>
      </c>
      <c r="H508" s="72">
        <f>SUMIF(Adat!$AH:$AH,CONCATENATE($M$4,"(ÖNV)","094011",L503),Adat!$E:$E)*-1</f>
        <v>0</v>
      </c>
      <c r="I508" s="72">
        <f>SUMIF(Adat!$AH:$AH,CONCATENATE($M$4,"(ÁIG)","094011",L503),Adat!$E:$E)*-1</f>
        <v>0</v>
      </c>
    </row>
    <row r="509" spans="2:12" x14ac:dyDescent="0.2">
      <c r="B509" s="160">
        <v>4</v>
      </c>
      <c r="C509" s="305" t="s">
        <v>1279</v>
      </c>
      <c r="D509" s="82" t="s">
        <v>1357</v>
      </c>
      <c r="E509" s="72">
        <f>SUMIF(Adat!$AG:$AG,CONCATENATE(61,$M$4,"094021",L503),Adat!$E:$E)*-1</f>
        <v>0</v>
      </c>
      <c r="F509" s="72">
        <f>SUMIF(Adat!$AG:$AG,CONCATENATE(60,$M$4,"094021",L503),Adat!$E:$E)*-1+E509</f>
        <v>0</v>
      </c>
      <c r="G509" s="72">
        <f>SUMIF(Adat!$AH:$AH,CONCATENATE($M$4,"(KÖT)","094021",L503),Adat!$E:$E)*-1</f>
        <v>0</v>
      </c>
      <c r="H509" s="72">
        <f>SUMIF(Adat!$AH:$AH,CONCATENATE($M$4,"(ÖNV)","094021",L503),Adat!$E:$E)*-1</f>
        <v>0</v>
      </c>
      <c r="I509" s="72">
        <f>SUMIF(Adat!$AH:$AH,CONCATENATE($M$4,"(ÁIG)","094021",L503),Adat!$E:$E)*-1</f>
        <v>0</v>
      </c>
    </row>
    <row r="510" spans="2:12" x14ac:dyDescent="0.2">
      <c r="B510" s="160">
        <v>5</v>
      </c>
      <c r="C510" s="305" t="s">
        <v>1272</v>
      </c>
      <c r="D510" s="82" t="s">
        <v>1358</v>
      </c>
      <c r="E510" s="72">
        <f>SUMIF(Adat!$AG:$AG,CONCATENATE(61,$M$4,"094031",L503),Adat!$E:$E)*-1</f>
        <v>0</v>
      </c>
      <c r="F510" s="72">
        <f>SUMIF(Adat!$AG:$AG,CONCATENATE(60,$M$4,"094031",L503),Adat!$E:$E)*-1+E510</f>
        <v>0</v>
      </c>
      <c r="G510" s="72">
        <f>SUMIF(Adat!$AH:$AH,CONCATENATE($M$4,"(KÖT)","094031",L503),Adat!$E:$E)*-1</f>
        <v>0</v>
      </c>
      <c r="H510" s="72">
        <f>SUMIF(Adat!$AH:$AH,CONCATENATE($M$4,"(ÖNV)","094031",L503),Adat!$E:$E)*-1</f>
        <v>0</v>
      </c>
      <c r="I510" s="72">
        <f>SUMIF(Adat!$AH:$AH,CONCATENATE($M$4,"(ÁIG)","094031",L503),Adat!$E:$E)*-1</f>
        <v>0</v>
      </c>
    </row>
    <row r="511" spans="2:12" x14ac:dyDescent="0.2">
      <c r="B511" s="160">
        <v>6</v>
      </c>
      <c r="C511" s="305" t="s">
        <v>1359</v>
      </c>
      <c r="D511" s="82" t="s">
        <v>1360</v>
      </c>
      <c r="E511" s="72">
        <f>SUMIF(Adat!$AG:$AG,CONCATENATE(61,$M$4,"094041",L503),Adat!$E:$E)*-1</f>
        <v>0</v>
      </c>
      <c r="F511" s="72">
        <f>SUMIF(Adat!$AG:$AG,CONCATENATE(60,$M$4,"094041",L503),Adat!$E:$E)*-1+E511</f>
        <v>0</v>
      </c>
      <c r="G511" s="72">
        <f>SUMIF(Adat!$AH:$AH,CONCATENATE($M$4,"(KÖT)","094041",L503),Adat!$E:$E)*-1</f>
        <v>0</v>
      </c>
      <c r="H511" s="72">
        <f>SUMIF(Adat!$AH:$AH,CONCATENATE($M$4,"(ÖNV)","094041",L503),Adat!$E:$E)*-1</f>
        <v>0</v>
      </c>
      <c r="I511" s="72">
        <f>SUMIF(Adat!$AH:$AH,CONCATENATE($M$4,"(ÁIG)","094041",L503),Adat!$E:$E)*-1</f>
        <v>0</v>
      </c>
    </row>
    <row r="512" spans="2:12" x14ac:dyDescent="0.2">
      <c r="B512" s="160">
        <v>7</v>
      </c>
      <c r="C512" s="305" t="s">
        <v>1261</v>
      </c>
      <c r="D512" s="82" t="s">
        <v>1361</v>
      </c>
      <c r="E512" s="72">
        <f>SUMIF(Adat!$AG:$AG,CONCATENATE(61,$M$4,"094051",L503),Adat!$E:$E)*-1</f>
        <v>0</v>
      </c>
      <c r="F512" s="72">
        <f>SUMIF(Adat!$AG:$AG,CONCATENATE(60,$M$4,"094051",L503),Adat!$E:$E)*-1+E512</f>
        <v>0</v>
      </c>
      <c r="G512" s="72">
        <f>SUMIF(Adat!$AH:$AH,CONCATENATE($M$4,"(KÖT)","094051",L503),Adat!$E:$E)*-1</f>
        <v>0</v>
      </c>
      <c r="H512" s="72">
        <f>SUMIF(Adat!$AH:$AH,CONCATENATE($M$4,"(ÖNV)","094051",L503),Adat!$E:$E)*-1</f>
        <v>0</v>
      </c>
      <c r="I512" s="72">
        <f>SUMIF(Adat!$AH:$AH,CONCATENATE($M$4,"(ÁIG)","094051",L503),Adat!$E:$E)*-1</f>
        <v>0</v>
      </c>
    </row>
    <row r="513" spans="2:9" x14ac:dyDescent="0.2">
      <c r="B513" s="160">
        <v>8</v>
      </c>
      <c r="C513" s="305" t="s">
        <v>1273</v>
      </c>
      <c r="D513" s="82" t="s">
        <v>1362</v>
      </c>
      <c r="E513" s="72">
        <f>SUMIF(Adat!$AG:$AG,CONCATENATE(61,$M$4,"094061",L503),Adat!$E:$E)*-1</f>
        <v>0</v>
      </c>
      <c r="F513" s="72">
        <f>SUMIF(Adat!$AG:$AG,CONCATENATE(60,$M$4,"094061",L503),Adat!$E:$E)*-1+E513</f>
        <v>0</v>
      </c>
      <c r="G513" s="72">
        <f>SUMIF(Adat!$AH:$AH,CONCATENATE($M$4,"(KÖT)","094061",L503),Adat!$E:$E)*-1</f>
        <v>0</v>
      </c>
      <c r="H513" s="72">
        <f>SUMIF(Adat!$AH:$AH,CONCATENATE($M$4,"(ÖNV)","094061",L503),Adat!$E:$E)*-1</f>
        <v>0</v>
      </c>
      <c r="I513" s="72">
        <f>SUMIF(Adat!$AH:$AH,CONCATENATE($M$4,"(ÁIG)","094061",L503),Adat!$E:$E)*-1</f>
        <v>0</v>
      </c>
    </row>
    <row r="514" spans="2:9" x14ac:dyDescent="0.2">
      <c r="B514" s="160">
        <v>9</v>
      </c>
      <c r="C514" s="305" t="s">
        <v>1363</v>
      </c>
      <c r="D514" s="82" t="s">
        <v>1364</v>
      </c>
      <c r="E514" s="72">
        <f>SUMIF(Adat!$AG:$AG,CONCATENATE(61,$M$4,"094071",L503),Adat!$E:$E)*-1</f>
        <v>0</v>
      </c>
      <c r="F514" s="72">
        <f>SUMIF(Adat!$AG:$AG,CONCATENATE(60,$M$4,"094071",L503),Adat!$E:$E)*-1+E514</f>
        <v>0</v>
      </c>
      <c r="G514" s="72">
        <f>SUMIF(Adat!$AH:$AH,CONCATENATE($M$4,"(KÖT)","094071",L503),Adat!$E:$E)*-1</f>
        <v>0</v>
      </c>
      <c r="H514" s="72">
        <f>SUMIF(Adat!$AH:$AH,CONCATENATE($M$4,"(ÖNV)","094071",L503),Adat!$E:$E)*-1</f>
        <v>0</v>
      </c>
      <c r="I514" s="72">
        <f>SUMIF(Adat!$AH:$AH,CONCATENATE($M$4,"(ÁIG)","094071",L503),Adat!$E:$E)*-1</f>
        <v>0</v>
      </c>
    </row>
    <row r="515" spans="2:9" x14ac:dyDescent="0.2">
      <c r="B515" s="160">
        <v>10</v>
      </c>
      <c r="C515" s="305" t="s">
        <v>1306</v>
      </c>
      <c r="D515" s="82" t="s">
        <v>1365</v>
      </c>
      <c r="E515" s="72">
        <f>SUMIF(Adat!$AG:$AG,CONCATENATE(61,$M$4,"0940811",L503),Adat!$E:$E)*-1</f>
        <v>0</v>
      </c>
      <c r="F515" s="72">
        <f>SUMIF(Adat!$AG:$AG,CONCATENATE(60,$M$4,"0940811",L503),Adat!$E:$E)*-1+E515</f>
        <v>0</v>
      </c>
      <c r="G515" s="72">
        <f>SUMIF(Adat!$AH:$AH,CONCATENATE($M$4,"(KÖT)","0940811",L503),Adat!$E:$E)*-1</f>
        <v>0</v>
      </c>
      <c r="H515" s="72">
        <f>SUMIF(Adat!$AH:$AH,CONCATENATE($M$4,"(ÖNV)","0940811",L503),Adat!$E:$E)*-1</f>
        <v>0</v>
      </c>
      <c r="I515" s="72">
        <f>SUMIF(Adat!$AH:$AH,CONCATENATE($M$4,"(ÁIG)","0940811",L503),Adat!$E:$E)*-1</f>
        <v>0</v>
      </c>
    </row>
    <row r="516" spans="2:9" x14ac:dyDescent="0.2">
      <c r="B516" s="160">
        <v>11</v>
      </c>
      <c r="C516" s="305" t="s">
        <v>1295</v>
      </c>
      <c r="D516" s="82" t="s">
        <v>1366</v>
      </c>
      <c r="E516" s="72">
        <f>SUMIF(Adat!$AG:$AG,CONCATENATE(61,$M$4,"0940821",L503),Adat!$E:$E)*-1</f>
        <v>0</v>
      </c>
      <c r="F516" s="72">
        <f>SUMIF(Adat!$AG:$AG,CONCATENATE(60,$M$4,"0940821",L503),Adat!$E:$E)*-1+E516</f>
        <v>0</v>
      </c>
      <c r="G516" s="72">
        <f>SUMIF(Adat!$AH:$AH,CONCATENATE($M$4,"(KÖT)","0940821",L503),Adat!$E:$E)*-1</f>
        <v>0</v>
      </c>
      <c r="H516" s="72">
        <f>SUMIF(Adat!$AH:$AH,CONCATENATE($M$4,"(ÖNV)","0940821",L503),Adat!$E:$E)*-1</f>
        <v>0</v>
      </c>
      <c r="I516" s="72">
        <f>SUMIF(Adat!$AH:$AH,CONCATENATE($M$4,"(ÁIG)","0940821",L503),Adat!$E:$E)*-1</f>
        <v>0</v>
      </c>
    </row>
    <row r="517" spans="2:9" x14ac:dyDescent="0.2">
      <c r="B517" s="160">
        <v>12</v>
      </c>
      <c r="C517" s="305" t="s">
        <v>1367</v>
      </c>
      <c r="D517" s="82" t="s">
        <v>1368</v>
      </c>
      <c r="E517" s="72">
        <f>SUMIF(Adat!$AG:$AG,CONCATENATE(61,$M$4,"0940911",L503),Adat!$E:$E)*-1</f>
        <v>0</v>
      </c>
      <c r="F517" s="72">
        <f>SUMIF(Adat!$AG:$AG,CONCATENATE(60,$M$4,"0940911",L503),Adat!$E:$E)*-1+E517</f>
        <v>0</v>
      </c>
      <c r="G517" s="72">
        <f>SUMIF(Adat!$AH:$AH,CONCATENATE($M$4,"(KÖT)","0940911",L503),Adat!$E:$E)*-1</f>
        <v>0</v>
      </c>
      <c r="H517" s="72">
        <f>SUMIF(Adat!$AH:$AH,CONCATENATE($M$4,"(ÖNV)","0940911",L503),Adat!$E:$E)*-1</f>
        <v>0</v>
      </c>
      <c r="I517" s="72">
        <f>SUMIF(Adat!$AH:$AH,CONCATENATE($M$4,"(ÁIG)","0940911",L503),Adat!$E:$E)*-1</f>
        <v>0</v>
      </c>
    </row>
    <row r="518" spans="2:9" x14ac:dyDescent="0.2">
      <c r="B518" s="160">
        <v>13</v>
      </c>
      <c r="C518" s="305" t="s">
        <v>1369</v>
      </c>
      <c r="D518" s="82" t="s">
        <v>1370</v>
      </c>
      <c r="E518" s="72">
        <f>SUMIF(Adat!$AG:$AG,CONCATENATE(61,$M$4,"0940921",L503),Adat!$E:$E)*-1</f>
        <v>0</v>
      </c>
      <c r="F518" s="72">
        <f>SUMIF(Adat!$AG:$AG,CONCATENATE(60,$M$4,"0940921",L503),Adat!$E:$E)*-1+E518</f>
        <v>0</v>
      </c>
      <c r="G518" s="72">
        <f>SUMIF(Adat!$AH:$AH,CONCATENATE($M$4,"(KÖT)","0940921",L503),Adat!$E:$E)*-1</f>
        <v>0</v>
      </c>
      <c r="H518" s="72">
        <f>SUMIF(Adat!$AH:$AH,CONCATENATE($M$4,"(ÖNV)","0940921",L503),Adat!$E:$E)*-1</f>
        <v>0</v>
      </c>
      <c r="I518" s="72">
        <f>SUMIF(Adat!$AH:$AH,CONCATENATE($M$4,"(ÁIG)","0940921",L503),Adat!$E:$E)*-1</f>
        <v>0</v>
      </c>
    </row>
    <row r="519" spans="2:9" x14ac:dyDescent="0.2">
      <c r="B519" s="160">
        <v>14</v>
      </c>
      <c r="C519" s="305" t="s">
        <v>1296</v>
      </c>
      <c r="D519" s="82" t="s">
        <v>1371</v>
      </c>
      <c r="E519" s="72">
        <f>SUMIF(Adat!$AG:$AG,CONCATENATE(61,$M$4,"094101",L503),Adat!$E:$E)*-1</f>
        <v>0</v>
      </c>
      <c r="F519" s="72">
        <f>SUMIF(Adat!$AG:$AG,CONCATENATE(60,$M$4,"094101",L503),Adat!$E:$E)*-1+E519</f>
        <v>0</v>
      </c>
      <c r="G519" s="72">
        <f>SUMIF(Adat!$AH:$AH,CONCATENATE($M$4,"(KÖT)","094101",L503),Adat!$E:$E)*-1</f>
        <v>0</v>
      </c>
      <c r="H519" s="72">
        <f>SUMIF(Adat!$AH:$AH,CONCATENATE($M$4,"(ÖNV)","094101",L503),Adat!$E:$E)*-1</f>
        <v>0</v>
      </c>
      <c r="I519" s="72">
        <f>SUMIF(Adat!$AH:$AH,CONCATENATE($M$4,"(ÁIG)","094101",L503),Adat!$E:$E)*-1</f>
        <v>0</v>
      </c>
    </row>
    <row r="520" spans="2:9" x14ac:dyDescent="0.25">
      <c r="B520" s="160">
        <v>15</v>
      </c>
      <c r="C520" s="305" t="s">
        <v>1297</v>
      </c>
      <c r="D520" s="84" t="s">
        <v>1372</v>
      </c>
      <c r="E520" s="72">
        <f>SUMIF(Adat!$AG:$AG,CONCATENATE(61,$M$4,"094111",L503),Adat!$E:$E)*-1</f>
        <v>0</v>
      </c>
      <c r="F520" s="72">
        <f>SUMIF(Adat!$AG:$AG,CONCATENATE(60,$M$4,"094111",L503),Adat!$E:$E)*-1+E520</f>
        <v>0</v>
      </c>
      <c r="G520" s="72">
        <f>SUMIF(Adat!$AH:$AH,CONCATENATE($M$4,"(KÖT)","094111",L503),Adat!$E:$E)*-1</f>
        <v>0</v>
      </c>
      <c r="H520" s="72">
        <f>SUMIF(Adat!$AH:$AH,CONCATENATE($M$4,"(ÖNV)","094111",L503),Adat!$E:$E)*-1</f>
        <v>0</v>
      </c>
      <c r="I520" s="72">
        <f>SUMIF(Adat!$AH:$AH,CONCATENATE($M$4,"(ÁIG)","094111",L503),Adat!$E:$E)*-1</f>
        <v>0</v>
      </c>
    </row>
    <row r="521" spans="2:9" x14ac:dyDescent="0.25">
      <c r="B521" s="160">
        <v>16</v>
      </c>
      <c r="C521" s="78" t="s">
        <v>1328</v>
      </c>
      <c r="D521" s="85" t="s">
        <v>437</v>
      </c>
      <c r="E521" s="121">
        <f>SUM(E522:E524)</f>
        <v>0</v>
      </c>
      <c r="F521" s="121">
        <f>SUM(F522:F524)</f>
        <v>0</v>
      </c>
      <c r="G521" s="121">
        <f>SUM(G522:G524)</f>
        <v>0</v>
      </c>
      <c r="H521" s="121">
        <f>SUM(H522:H524)</f>
        <v>0</v>
      </c>
      <c r="I521" s="121">
        <f>SUM(I522:I524)</f>
        <v>0</v>
      </c>
    </row>
    <row r="522" spans="2:9" x14ac:dyDescent="0.2">
      <c r="B522" s="160">
        <v>17</v>
      </c>
      <c r="C522" s="305" t="s">
        <v>1329</v>
      </c>
      <c r="D522" s="82" t="s">
        <v>1330</v>
      </c>
      <c r="E522" s="72">
        <f>SUMIF(Adat!$AG:$AG,CONCATENATE(61,$M$4,"09121",L503),Adat!$E:$E)*-1</f>
        <v>0</v>
      </c>
      <c r="F522" s="72">
        <f>SUMIF(Adat!$AG:$AG,CONCATENATE(60,$M$4,"09121",L503),Adat!$E:$E)*-1+E522</f>
        <v>0</v>
      </c>
      <c r="G522" s="72">
        <f>SUMIF(Adat!$AH:$AH,CONCATENATE($M$4,"(KÖT)","09121",L503),Adat!$E:$E)*-1</f>
        <v>0</v>
      </c>
      <c r="H522" s="72">
        <f>SUMIF(Adat!$AH:$AH,CONCATENATE($M$4,"(ÖNV)","09121",L503),Adat!$E:$E)*-1</f>
        <v>0</v>
      </c>
      <c r="I522" s="72">
        <f>SUMIF(Adat!$AH:$AH,CONCATENATE($M$4,"(ÁIG)","09121",L503),Adat!$E:$E)*-1</f>
        <v>0</v>
      </c>
    </row>
    <row r="523" spans="2:9" x14ac:dyDescent="0.2">
      <c r="B523" s="160">
        <v>18</v>
      </c>
      <c r="C523" s="305" t="s">
        <v>1335</v>
      </c>
      <c r="D523" s="82" t="s">
        <v>1336</v>
      </c>
      <c r="E523" s="72">
        <f>SUMIF(Adat!$AG:$AG,CONCATENATE(61,$M$4,"09151",L503),Adat!$E:$E)*-1</f>
        <v>0</v>
      </c>
      <c r="F523" s="72">
        <f>SUMIF(Adat!$AG:$AG,CONCATENATE(60,$M$4,"09151",L503),Adat!$E:$E)*-1+E523</f>
        <v>0</v>
      </c>
      <c r="G523" s="72">
        <f>SUMIF(Adat!$AH:$AH,CONCATENATE($M$4,"(KÖT)","09151",L503),Adat!$E:$E)*-1</f>
        <v>0</v>
      </c>
      <c r="H523" s="72">
        <f>SUMIF(Adat!$AH:$AH,CONCATENATE($M$4,"(ÖNV)","09151",L503),Adat!$E:$E)*-1</f>
        <v>0</v>
      </c>
      <c r="I523" s="72">
        <f>SUMIF(Adat!$AH:$AH,CONCATENATE($M$4,"(ÁIG)","09151",L503),Adat!$E:$E)*-1</f>
        <v>0</v>
      </c>
    </row>
    <row r="524" spans="2:9" x14ac:dyDescent="0.2">
      <c r="B524" s="160">
        <v>19</v>
      </c>
      <c r="C524" s="305" t="s">
        <v>1278</v>
      </c>
      <c r="D524" s="82" t="s">
        <v>1337</v>
      </c>
      <c r="E524" s="72">
        <f>SUMIF(Adat!$AG:$AG,CONCATENATE(61,$M$4,"09161",L503),Adat!$E:$E)*-1</f>
        <v>0</v>
      </c>
      <c r="F524" s="72">
        <f>SUMIF(Adat!$AG:$AG,CONCATENATE(60,$M$4,"09161",L503),Adat!$E:$E)*-1+E524</f>
        <v>0</v>
      </c>
      <c r="G524" s="72">
        <f>SUMIF(Adat!$AH:$AH,CONCATENATE($M$4,"(KÖT)","09161",L503),Adat!$E:$E)*-1</f>
        <v>0</v>
      </c>
      <c r="H524" s="72">
        <f>SUMIF(Adat!$AH:$AH,CONCATENATE($M$4,"(ÖNV)","09161",L503),Adat!$E:$E)*-1</f>
        <v>0</v>
      </c>
      <c r="I524" s="72">
        <f>SUMIF(Adat!$AH:$AH,CONCATENATE($M$4,"(ÁIG)","09161",L503),Adat!$E:$E)*-1</f>
        <v>0</v>
      </c>
    </row>
    <row r="525" spans="2:9" x14ac:dyDescent="0.25">
      <c r="B525" s="160">
        <v>20</v>
      </c>
      <c r="C525" s="79" t="s">
        <v>27</v>
      </c>
      <c r="D525" s="79" t="s">
        <v>328</v>
      </c>
      <c r="E525" s="71">
        <f>SUMIF(Adat!$AI:$AI,CONCATENATE(61,$M$4,"093",L503),Adat!$E:$E)*-1</f>
        <v>0</v>
      </c>
      <c r="F525" s="71">
        <f>SUMIF(Adat!$AI:$AI,CONCATENATE(60,$M$4,"093",L503),Adat!$E:$E)*-1+E525</f>
        <v>0</v>
      </c>
      <c r="G525" s="71">
        <f>SUMIF(Adat!$AJ:$AJ,CONCATENATE($M$4,"093","(KÖT)",L503),Adat!$E:$E)*-1</f>
        <v>0</v>
      </c>
      <c r="H525" s="71">
        <f>SUMIF(Adat!$AJ:$AJ,CONCATENATE($M$4,"093","(ÖNV)",L503),Adat!$E:$E)*-1</f>
        <v>0</v>
      </c>
      <c r="I525" s="71">
        <f>SUMIF(Adat!$AJ:$AJ,CONCATENATE($M$4,"093","(ÁIG)",L503),Adat!$E:$E)*-1</f>
        <v>0</v>
      </c>
    </row>
    <row r="526" spans="2:9" x14ac:dyDescent="0.25">
      <c r="B526" s="160">
        <v>21</v>
      </c>
      <c r="C526" s="79" t="s">
        <v>24</v>
      </c>
      <c r="D526" s="79" t="s">
        <v>449</v>
      </c>
      <c r="E526" s="121">
        <f>SUM(E527:E529)</f>
        <v>0</v>
      </c>
      <c r="F526" s="121">
        <f t="shared" ref="F526:I526" si="33">SUM(F527:F529)</f>
        <v>0</v>
      </c>
      <c r="G526" s="121">
        <f t="shared" si="33"/>
        <v>0</v>
      </c>
      <c r="H526" s="121">
        <f t="shared" si="33"/>
        <v>0</v>
      </c>
      <c r="I526" s="121">
        <f t="shared" si="33"/>
        <v>0</v>
      </c>
    </row>
    <row r="527" spans="2:9" x14ac:dyDescent="0.2">
      <c r="B527" s="160">
        <v>22</v>
      </c>
      <c r="C527" s="305" t="s">
        <v>1339</v>
      </c>
      <c r="D527" s="82" t="s">
        <v>1340</v>
      </c>
      <c r="E527" s="72">
        <f>SUMIF(Adat!$AG:$AG,CONCATENATE(61,$M$4,"09211",L503),Adat!$E:$E)*-1</f>
        <v>0</v>
      </c>
      <c r="F527" s="72">
        <f>SUMIF(Adat!$AG:$AG,CONCATENATE(60,$M$4,"09211",L503),Adat!$E:$E)*-1+E527</f>
        <v>0</v>
      </c>
      <c r="G527" s="72">
        <f>SUMIF(Adat!$AH:$AH,CONCATENATE($M$4,"(KÖT)","09211",L503),Adat!$E:$E)*-1</f>
        <v>0</v>
      </c>
      <c r="H527" s="72">
        <f>SUMIF(Adat!$AH:$AH,CONCATENATE($M$4,"(ÖNV)","09211",L503),Adat!$E:$E)*-1</f>
        <v>0</v>
      </c>
      <c r="I527" s="72">
        <f>SUMIF(Adat!$AH:$AH,CONCATENATE($M$4,"(ÁIG)","09211",L503),Adat!$E:$E)*-1</f>
        <v>0</v>
      </c>
    </row>
    <row r="528" spans="2:9" x14ac:dyDescent="0.2">
      <c r="B528" s="160">
        <v>23</v>
      </c>
      <c r="C528" s="305" t="s">
        <v>1345</v>
      </c>
      <c r="D528" s="82" t="s">
        <v>1346</v>
      </c>
      <c r="E528" s="72">
        <f>SUMIF(Adat!$AG:$AG,CONCATENATE(61,$M$4,"09241",L503),Adat!$E:$E)*-1</f>
        <v>0</v>
      </c>
      <c r="F528" s="72">
        <f>SUMIF(Adat!$AG:$AG,CONCATENATE(60,$M$4,"09241",L503),Adat!$E:$E)*-1+E528</f>
        <v>0</v>
      </c>
      <c r="G528" s="72">
        <f>SUMIF(Adat!$AH:$AH,CONCATENATE($M$4,"(KÖT)","09241",L503),Adat!$E:$E)*-1</f>
        <v>0</v>
      </c>
      <c r="H528" s="72">
        <f>SUMIF(Adat!$AH:$AH,CONCATENATE($M$4,"(ÖNV)","09241",L503),Adat!$E:$E)*-1</f>
        <v>0</v>
      </c>
      <c r="I528" s="72">
        <f>SUMIF(Adat!$AH:$AH,CONCATENATE($M$4,"(ÁIG)","09241",L503),Adat!$E:$E)*-1</f>
        <v>0</v>
      </c>
    </row>
    <row r="529" spans="2:12" x14ac:dyDescent="0.2">
      <c r="B529" s="160">
        <v>24</v>
      </c>
      <c r="C529" s="305" t="s">
        <v>1255</v>
      </c>
      <c r="D529" s="82" t="s">
        <v>1347</v>
      </c>
      <c r="E529" s="72">
        <f>SUMIF(Adat!$AG:$AG,CONCATENATE(61,$M$4,"09251",L503),Adat!$E:$E)*-1</f>
        <v>0</v>
      </c>
      <c r="F529" s="72">
        <f>SUMIF(Adat!$AG:$AG,CONCATENATE(60,$M$4,"09251",L503),Adat!$E:$E)*-1+E529</f>
        <v>0</v>
      </c>
      <c r="G529" s="72">
        <f>SUMIF(Adat!$AH:$AH,CONCATENATE($M$4,"(KÖT)","09251",L503),Adat!$E:$E)*-1</f>
        <v>0</v>
      </c>
      <c r="H529" s="72">
        <f>SUMIF(Adat!$AH:$AH,CONCATENATE($M$4,"(ÖNV)","09251",L503),Adat!$E:$E)*-1</f>
        <v>0</v>
      </c>
      <c r="I529" s="72">
        <f>SUMIF(Adat!$AH:$AH,CONCATENATE($M$4,"(ÁIG)","09251",L503),Adat!$E:$E)*-1</f>
        <v>0</v>
      </c>
    </row>
    <row r="530" spans="2:12" x14ac:dyDescent="0.25">
      <c r="B530" s="160">
        <v>25</v>
      </c>
      <c r="C530" s="79" t="s">
        <v>33</v>
      </c>
      <c r="D530" s="79" t="s">
        <v>330</v>
      </c>
      <c r="E530" s="121">
        <f>SUM(E531:E533)</f>
        <v>0</v>
      </c>
      <c r="F530" s="121">
        <f t="shared" ref="F530:I530" si="34">SUM(F531:F533)</f>
        <v>0</v>
      </c>
      <c r="G530" s="121">
        <f t="shared" si="34"/>
        <v>0</v>
      </c>
      <c r="H530" s="121">
        <f t="shared" si="34"/>
        <v>0</v>
      </c>
      <c r="I530" s="121">
        <f t="shared" si="34"/>
        <v>0</v>
      </c>
    </row>
    <row r="531" spans="2:12" x14ac:dyDescent="0.2">
      <c r="B531" s="160">
        <v>26</v>
      </c>
      <c r="C531" s="305" t="s">
        <v>1373</v>
      </c>
      <c r="D531" s="82" t="s">
        <v>1374</v>
      </c>
      <c r="E531" s="72">
        <f>SUMIF(Adat!$AG:$AG,CONCATENATE(61,$M$4,"09511",L503),Adat!$E:$E)*-1</f>
        <v>0</v>
      </c>
      <c r="F531" s="72">
        <f>SUMIF(Adat!$AG:$AG,CONCATENATE(60,$M$4,"09511",L503),Adat!$E:$E)*-1+E531</f>
        <v>0</v>
      </c>
      <c r="G531" s="72">
        <f>SUMIF(Adat!$AH:$AH,CONCATENATE($M$4,"(KÖT)","09511",L503),Adat!$E:$E)*-1</f>
        <v>0</v>
      </c>
      <c r="H531" s="72">
        <f>SUMIF(Adat!$AH:$AH,CONCATENATE($M$4,"(ÖNV)","09511",L503),Adat!$E:$E)*-1</f>
        <v>0</v>
      </c>
      <c r="I531" s="72">
        <f>SUMIF(Adat!$AH:$AH,CONCATENATE($M$4,"(ÁIG)","09511",L503),Adat!$E:$E)*-1</f>
        <v>0</v>
      </c>
    </row>
    <row r="532" spans="2:12" x14ac:dyDescent="0.2">
      <c r="B532" s="160">
        <v>27</v>
      </c>
      <c r="C532" s="305" t="s">
        <v>1294</v>
      </c>
      <c r="D532" s="82" t="s">
        <v>1375</v>
      </c>
      <c r="E532" s="72">
        <f>SUMIF(Adat!$AG:$AG,CONCATENATE(61,$M$4,"09521",L503),Adat!$E:$E)*-1</f>
        <v>0</v>
      </c>
      <c r="F532" s="72">
        <f>SUMIF(Adat!$AG:$AG,CONCATENATE(60,$M$4,"09521",L503),Adat!$E:$E)*-1+E532</f>
        <v>0</v>
      </c>
      <c r="G532" s="72">
        <f>SUMIF(Adat!$AH:$AH,CONCATENATE($M$4,"(KÖT)","09521",L503),Adat!$E:$E)*-1</f>
        <v>0</v>
      </c>
      <c r="H532" s="72">
        <f>SUMIF(Adat!$AH:$AH,CONCATENATE($M$4,"(ÖNV)","09521",L503),Adat!$E:$E)*-1</f>
        <v>0</v>
      </c>
      <c r="I532" s="72">
        <f>SUMIF(Adat!$AH:$AH,CONCATENATE($M$4,"(ÁIG)","09521",L503),Adat!$E:$E)*-1</f>
        <v>0</v>
      </c>
    </row>
    <row r="533" spans="2:12" x14ac:dyDescent="0.2">
      <c r="B533" s="160">
        <v>28</v>
      </c>
      <c r="C533" s="305" t="s">
        <v>1376</v>
      </c>
      <c r="D533" s="82" t="s">
        <v>1377</v>
      </c>
      <c r="E533" s="72">
        <f>SUMIF(Adat!$AG:$AG,CONCATENATE(61,$M$4,"09531",L503),Adat!$E:$E)*-1</f>
        <v>0</v>
      </c>
      <c r="F533" s="72">
        <f>SUMIF(Adat!$AG:$AG,CONCATENATE(60,$M$4,"09531",L503),Adat!$E:$E)*-1+E533</f>
        <v>0</v>
      </c>
      <c r="G533" s="72">
        <f>SUMIF(Adat!$AH:$AH,CONCATENATE($M$4,"(KÖT)","09531",L503),Adat!$E:$E)*-1</f>
        <v>0</v>
      </c>
      <c r="H533" s="72">
        <f>SUMIF(Adat!$AH:$AH,CONCATENATE($M$4,"(ÖNV)","09531",L503),Adat!$E:$E)*-1</f>
        <v>0</v>
      </c>
      <c r="I533" s="72">
        <f>SUMIF(Adat!$AH:$AH,CONCATENATE($M$4,"(ÁIG)","09531",L503),Adat!$E:$E)*-1</f>
        <v>0</v>
      </c>
    </row>
    <row r="534" spans="2:12" x14ac:dyDescent="0.25">
      <c r="B534" s="160">
        <v>29</v>
      </c>
      <c r="C534" s="79" t="s">
        <v>36</v>
      </c>
      <c r="D534" s="79" t="s">
        <v>331</v>
      </c>
      <c r="E534" s="71">
        <f>SUMIF(Adat!$AI:$AI,CONCATENATE(61,$M$4,"096",L503),Adat!$E:$E)*-1</f>
        <v>0</v>
      </c>
      <c r="F534" s="71">
        <f>SUMIF(Adat!$AI:$AI,CONCATENATE(60,$M$4,"096",L503),Adat!$E:$E)*-1+E534</f>
        <v>0</v>
      </c>
      <c r="G534" s="71">
        <f>SUMIF(Adat!$AJ:$AJ,CONCATENATE($M$4,"096","(KÖT)",L503),Adat!$E:$E)*-1</f>
        <v>0</v>
      </c>
      <c r="H534" s="71">
        <f>SUMIF(Adat!$AJ:$AJ,CONCATENATE($M$4,"096","(ÖNV)",L503),Adat!$E:$E)*-1</f>
        <v>0</v>
      </c>
      <c r="I534" s="71">
        <f>SUMIF(Adat!$AJ:$AJ,CONCATENATE($M$4,"096","(ÁIG)",L503),Adat!$E:$E)*-1</f>
        <v>0</v>
      </c>
    </row>
    <row r="535" spans="2:12" x14ac:dyDescent="0.25">
      <c r="B535" s="160">
        <v>30</v>
      </c>
      <c r="C535" s="79" t="s">
        <v>38</v>
      </c>
      <c r="D535" s="85" t="s">
        <v>332</v>
      </c>
      <c r="E535" s="71">
        <f>SUMIF(Adat!$AI:$AI,CONCATENATE(61,$M$4,"097",L503),Adat!$E:$E)*-1</f>
        <v>0</v>
      </c>
      <c r="F535" s="71">
        <f>SUMIF(Adat!$AI:$AI,CONCATENATE(60,$M$4,"097",L503),Adat!$E:$E)*-1+E535</f>
        <v>0</v>
      </c>
      <c r="G535" s="71">
        <f>SUMIF(Adat!$AJ:$AJ,CONCATENATE($M$4,"097","(KÖT)",L503),Adat!$E:$E)*-1</f>
        <v>0</v>
      </c>
      <c r="H535" s="71">
        <f>SUMIF(Adat!$AJ:$AJ,CONCATENATE($M$4,"097","(ÖNV)",L503),Adat!$E:$E)*-1</f>
        <v>0</v>
      </c>
      <c r="I535" s="71">
        <f>SUMIF(Adat!$AJ:$AJ,CONCATENATE($M$4,"097","(ÁIG)",L503),Adat!$E:$E)*-1</f>
        <v>0</v>
      </c>
    </row>
    <row r="536" spans="2:12" x14ac:dyDescent="0.25">
      <c r="B536" s="160">
        <v>31</v>
      </c>
      <c r="C536" s="154" t="s">
        <v>352</v>
      </c>
      <c r="D536" s="86" t="s">
        <v>1500</v>
      </c>
      <c r="E536" s="121">
        <f>E507+E521+E525+E526+E530+E534+E535</f>
        <v>0</v>
      </c>
      <c r="F536" s="121">
        <f>F507+F521+F525+F526+F530+F534+F535</f>
        <v>0</v>
      </c>
      <c r="G536" s="121">
        <f>G507+G521+G525+G526+G530+G534+G535</f>
        <v>0</v>
      </c>
      <c r="H536" s="121">
        <f>H507+H521+H525+H526+H530+H534+H535</f>
        <v>0</v>
      </c>
      <c r="I536" s="121">
        <f>I507+I521+I525+I526+I530+I534+I535</f>
        <v>0</v>
      </c>
    </row>
    <row r="537" spans="2:12" x14ac:dyDescent="0.25">
      <c r="B537" s="160">
        <v>32</v>
      </c>
      <c r="C537" s="154" t="s">
        <v>358</v>
      </c>
      <c r="D537" s="86" t="s">
        <v>333</v>
      </c>
      <c r="E537" s="121">
        <f>SUM(E538:E540)</f>
        <v>0</v>
      </c>
      <c r="F537" s="121">
        <f t="shared" ref="F537:I537" si="35">SUM(F538:F540)</f>
        <v>0</v>
      </c>
      <c r="G537" s="121">
        <f t="shared" si="35"/>
        <v>0</v>
      </c>
      <c r="H537" s="121">
        <f t="shared" si="35"/>
        <v>0</v>
      </c>
      <c r="I537" s="121">
        <f t="shared" si="35"/>
        <v>0</v>
      </c>
    </row>
    <row r="538" spans="2:12" x14ac:dyDescent="0.2">
      <c r="B538" s="160">
        <v>33</v>
      </c>
      <c r="C538" s="305" t="s">
        <v>1274</v>
      </c>
      <c r="D538" s="82" t="s">
        <v>1419</v>
      </c>
      <c r="E538" s="72">
        <f>SUMIF(Adat!$AG:$AG,CONCATENATE(61,$M$4,"0981311",L503),Adat!$E:$E)*-1</f>
        <v>0</v>
      </c>
      <c r="F538" s="72">
        <f>SUMIF(Adat!$AG:$AG,CONCATENATE(60,$M$4,"0981311",L503),Adat!$E:$E)*-1+E538</f>
        <v>0</v>
      </c>
      <c r="G538" s="72">
        <f>SUMIF(Adat!$AH:$AH,CONCATENATE($M$4,"(KÖT)","0981311",L503),Adat!$E:$E)*-1</f>
        <v>0</v>
      </c>
      <c r="H538" s="72">
        <f>SUMIF(Adat!$AH:$AH,CONCATENATE($M$4,"(ÖNV)","0981311",L503),Adat!$E:$E)*-1</f>
        <v>0</v>
      </c>
      <c r="I538" s="72">
        <f>SUMIF(Adat!$AH:$AH,CONCATENATE($M$4,"(ÁIG)","0981311",L503),Adat!$E:$E)*-1</f>
        <v>0</v>
      </c>
    </row>
    <row r="539" spans="2:12" x14ac:dyDescent="0.25">
      <c r="B539" s="160">
        <v>34</v>
      </c>
      <c r="C539" s="305" t="s">
        <v>1420</v>
      </c>
      <c r="D539" s="84" t="s">
        <v>1421</v>
      </c>
      <c r="E539" s="72">
        <f>SUMIF(Adat!$AG:$AG,CONCATENATE(61,$M$4,"0981321",L503),Adat!$E:$E)*-1</f>
        <v>0</v>
      </c>
      <c r="F539" s="72">
        <f>SUMIF(Adat!$AG:$AG,CONCATENATE(60,$M$4,"0981321",L503),Adat!$E:$E)*-1+E539</f>
        <v>0</v>
      </c>
      <c r="G539" s="72">
        <f>SUMIF(Adat!$AH:$AH,CONCATENATE($M$4,"(KÖT)","0981321",L503),Adat!$E:$E)*-1</f>
        <v>0</v>
      </c>
      <c r="H539" s="72">
        <f>SUMIF(Adat!$AH:$AH,CONCATENATE($M$4,"(ÖNV)","0981321",L503),Adat!$E:$E)*-1</f>
        <v>0</v>
      </c>
      <c r="I539" s="72">
        <f>SUMIF(Adat!$AH:$AH,CONCATENATE($M$4,"(ÁIG)","0981321",L503),Adat!$E:$E)*-1</f>
        <v>0</v>
      </c>
    </row>
    <row r="540" spans="2:12" x14ac:dyDescent="0.25">
      <c r="B540" s="160">
        <v>35</v>
      </c>
      <c r="C540" s="319" t="s">
        <v>1275</v>
      </c>
      <c r="D540" s="84" t="s">
        <v>1501</v>
      </c>
      <c r="E540" s="72">
        <f>SUMIF(Adat!$AG:$AG,CONCATENATE(61,$M$4,"098161",L503),Adat!$E:$E)*-1</f>
        <v>0</v>
      </c>
      <c r="F540" s="72">
        <f>SUMIF(Adat!$AG:$AG,CONCATENATE(60,$M$4,"098161",L503),Adat!$E:$E)*-1+E540</f>
        <v>0</v>
      </c>
      <c r="G540" s="72">
        <f>SUMIF(Adat!$AH:$AH,CONCATENATE($M$4,"(KÖT)","098161",L503),Adat!$E:$E)*-1</f>
        <v>0</v>
      </c>
      <c r="H540" s="72">
        <f>SUMIF(Adat!$AH:$AH,CONCATENATE($M$4,"(ÖNV)","098161",L503),Adat!$E:$E)*-1</f>
        <v>0</v>
      </c>
      <c r="I540" s="72">
        <f>SUMIF(Adat!$AH:$AH,CONCATENATE($M$4,"(ÁIG)","098161",L503),Adat!$E:$E)*-1</f>
        <v>0</v>
      </c>
    </row>
    <row r="541" spans="2:12" x14ac:dyDescent="0.25">
      <c r="B541" s="160">
        <v>36</v>
      </c>
      <c r="C541" s="154" t="s">
        <v>364</v>
      </c>
      <c r="D541" s="159" t="s">
        <v>1502</v>
      </c>
      <c r="E541" s="121">
        <f>+E536+E537</f>
        <v>0</v>
      </c>
      <c r="F541" s="121">
        <f>+F536+F537</f>
        <v>0</v>
      </c>
      <c r="G541" s="121">
        <f>+G536+G537</f>
        <v>0</v>
      </c>
      <c r="H541" s="121">
        <f>+H536+H537</f>
        <v>0</v>
      </c>
      <c r="I541" s="121">
        <f>+I536+I537</f>
        <v>0</v>
      </c>
    </row>
    <row r="542" spans="2:12" ht="15.75" x14ac:dyDescent="0.25">
      <c r="B542" s="38"/>
      <c r="C542" s="156"/>
      <c r="D542" s="38"/>
      <c r="E542" s="140"/>
      <c r="F542" s="140"/>
      <c r="G542" s="140"/>
      <c r="H542" s="140"/>
      <c r="I542" s="140"/>
    </row>
    <row r="543" spans="2:12" s="10" customFormat="1" ht="15.75" customHeight="1" x14ac:dyDescent="0.25">
      <c r="B543" s="201" t="str">
        <f>CONCATENATE("18. Kiadási jogcímek"," - ",L543," részletező")</f>
        <v>18. Kiadási jogcímek -  részletező</v>
      </c>
      <c r="C543" s="101"/>
      <c r="D543" s="101"/>
      <c r="E543" s="101"/>
      <c r="F543" s="101"/>
      <c r="G543" s="198"/>
      <c r="H543" s="198"/>
      <c r="I543" s="198"/>
      <c r="L543" s="384"/>
    </row>
    <row r="544" spans="2:12" ht="15.75" x14ac:dyDescent="0.25">
      <c r="B544" s="38"/>
      <c r="C544" s="156"/>
      <c r="D544" s="38"/>
      <c r="E544" s="140"/>
      <c r="F544" s="140"/>
      <c r="G544" s="140"/>
      <c r="H544" s="140"/>
      <c r="I544" s="140"/>
    </row>
    <row r="545" spans="2:9" x14ac:dyDescent="0.25">
      <c r="B545" s="77"/>
      <c r="C545" s="77" t="s">
        <v>350</v>
      </c>
      <c r="D545" s="77" t="s">
        <v>351</v>
      </c>
      <c r="E545" s="77" t="s">
        <v>470</v>
      </c>
      <c r="F545" s="77" t="s">
        <v>471</v>
      </c>
      <c r="G545" s="77" t="s">
        <v>44</v>
      </c>
      <c r="H545" s="77" t="s">
        <v>42</v>
      </c>
      <c r="I545" s="77" t="s">
        <v>511</v>
      </c>
    </row>
    <row r="546" spans="2:9" ht="38.25" x14ac:dyDescent="0.25">
      <c r="B546" s="160">
        <v>1</v>
      </c>
      <c r="C546" s="154" t="s">
        <v>593</v>
      </c>
      <c r="D546" s="154" t="s">
        <v>488</v>
      </c>
      <c r="E546" s="163" t="str">
        <f>CONCATENATE(PAR!$H$3," évi
eredeti 
előirányzat")</f>
        <v>2025. évi
eredeti 
előirányzat</v>
      </c>
      <c r="F546" s="163" t="str">
        <f>CONCATENATE(PAR!$H$3," évi
módosított 
előirányzat")</f>
        <v>2025. évi
módosított 
előirányzat</v>
      </c>
      <c r="G546" s="78" t="s">
        <v>666</v>
      </c>
      <c r="H546" s="78" t="s">
        <v>667</v>
      </c>
      <c r="I546" s="78" t="s">
        <v>668</v>
      </c>
    </row>
    <row r="547" spans="2:9" x14ac:dyDescent="0.25">
      <c r="B547" s="160">
        <v>2</v>
      </c>
      <c r="C547" s="78" t="s">
        <v>352</v>
      </c>
      <c r="D547" s="92" t="s">
        <v>1444</v>
      </c>
      <c r="E547" s="121">
        <f>SUM(E548:E552)</f>
        <v>0</v>
      </c>
      <c r="F547" s="121">
        <f>SUM(F548:F552)</f>
        <v>0</v>
      </c>
      <c r="G547" s="121">
        <f>SUM(G548:G552)</f>
        <v>0</v>
      </c>
      <c r="H547" s="121">
        <f>SUM(H548:H552)</f>
        <v>0</v>
      </c>
      <c r="I547" s="121">
        <f>SUM(I548:I552)</f>
        <v>0</v>
      </c>
    </row>
    <row r="548" spans="2:9" x14ac:dyDescent="0.25">
      <c r="B548" s="160">
        <v>3</v>
      </c>
      <c r="C548" s="305" t="s">
        <v>315</v>
      </c>
      <c r="D548" s="93" t="s">
        <v>342</v>
      </c>
      <c r="E548" s="72">
        <f>SUMIF(Adat!$AI:$AI,CONCATENATE(61,$M$4,"051",L543),Adat!$E:$E)</f>
        <v>0</v>
      </c>
      <c r="F548" s="72">
        <f>SUMIF(Adat!$AI:$AI,CONCATENATE(60,$M$4,"051",L543),Adat!$E:$E)+E548</f>
        <v>0</v>
      </c>
      <c r="G548" s="72">
        <f>SUMIF(Adat!$AJ:$AJ,CONCATENATE($M$4,"051","(KÖT)",L543),Adat!$E:$E)</f>
        <v>0</v>
      </c>
      <c r="H548" s="72">
        <f>SUMIF(Adat!$AJ:$AJ,CONCATENATE($M$4,"051","(ÖNV)",L543),Adat!$E:$E)</f>
        <v>0</v>
      </c>
      <c r="I548" s="72">
        <f>SUMIF(Adat!$AJ:$AJ,CONCATENATE($M$4,"051","(ÁIG)",L543),Adat!$E:$E)</f>
        <v>0</v>
      </c>
    </row>
    <row r="549" spans="2:9" x14ac:dyDescent="0.25">
      <c r="B549" s="160">
        <v>4</v>
      </c>
      <c r="C549" s="305" t="s">
        <v>317</v>
      </c>
      <c r="D549" s="93" t="s">
        <v>395</v>
      </c>
      <c r="E549" s="72">
        <f>SUMIF(Adat!$AI:$AI,CONCATENATE(61,$M$4,"052",L543),Adat!$E:$E)</f>
        <v>0</v>
      </c>
      <c r="F549" s="72">
        <f>SUMIF(Adat!$AI:$AI,CONCATENATE(60,$M$4,"052",L543),Adat!$E:$E)+E549</f>
        <v>0</v>
      </c>
      <c r="G549" s="72">
        <f>SUMIF(Adat!$AJ:$AJ,CONCATENATE($M$4,"052","(KÖT)",L543),Adat!$E:$E)</f>
        <v>0</v>
      </c>
      <c r="H549" s="72">
        <f>SUMIF(Adat!$AJ:$AJ,CONCATENATE($M$4,"052","(ÖNV)",L543),Adat!$E:$E)</f>
        <v>0</v>
      </c>
      <c r="I549" s="72">
        <f>SUMIF(Adat!$AJ:$AJ,CONCATENATE($M$4,"052","(ÁIG)",L543),Adat!$E:$E)</f>
        <v>0</v>
      </c>
    </row>
    <row r="550" spans="2:9" x14ac:dyDescent="0.25">
      <c r="B550" s="160">
        <v>5</v>
      </c>
      <c r="C550" s="305" t="s">
        <v>4</v>
      </c>
      <c r="D550" s="93" t="s">
        <v>344</v>
      </c>
      <c r="E550" s="72">
        <f>SUMIF(Adat!$AI:$AI,CONCATENATE(61,$M$4,"053",L543),Adat!$E:$E)</f>
        <v>0</v>
      </c>
      <c r="F550" s="72">
        <f>SUMIF(Adat!$AI:$AI,CONCATENATE(60,$M$4,"053",L543),Adat!$E:$E)+E550</f>
        <v>0</v>
      </c>
      <c r="G550" s="72">
        <f>SUMIF(Adat!$AJ:$AJ,CONCATENATE($M$4,"053","(KÖT)",L543),Adat!$E:$E)</f>
        <v>0</v>
      </c>
      <c r="H550" s="72">
        <f>SUMIF(Adat!$AJ:$AJ,CONCATENATE($M$4,"053","(ÖNV)",L543),Adat!$E:$E)</f>
        <v>0</v>
      </c>
      <c r="I550" s="72">
        <f>SUMIF(Adat!$AJ:$AJ,CONCATENATE($M$4,"053","(ÁIG)",L543),Adat!$E:$E)</f>
        <v>0</v>
      </c>
    </row>
    <row r="551" spans="2:9" x14ac:dyDescent="0.25">
      <c r="B551" s="160">
        <v>6</v>
      </c>
      <c r="C551" s="305" t="s">
        <v>6</v>
      </c>
      <c r="D551" s="93" t="s">
        <v>345</v>
      </c>
      <c r="E551" s="72">
        <f>SUMIF(Adat!$AI:$AI,CONCATENATE(61,$M$4,"054",L543),Adat!$E:$E)</f>
        <v>0</v>
      </c>
      <c r="F551" s="72">
        <f>SUMIF(Adat!$AI:$AI,CONCATENATE(60,$M$4,"054",L543),Adat!$E:$E)+E551</f>
        <v>0</v>
      </c>
      <c r="G551" s="72">
        <f>SUMIF(Adat!$AJ:$AJ,CONCATENATE($M$4,"054","(KÖT)",L543),Adat!$E:$E)</f>
        <v>0</v>
      </c>
      <c r="H551" s="72">
        <f>SUMIF(Adat!$AJ:$AJ,CONCATENATE($M$4,"054","(ÖNV)",L543),Adat!$E:$E)</f>
        <v>0</v>
      </c>
      <c r="I551" s="72">
        <f>SUMIF(Adat!$AJ:$AJ,CONCATENATE($M$4,"054","(ÁIG)",L543),Adat!$E:$E)</f>
        <v>0</v>
      </c>
    </row>
    <row r="552" spans="2:9" x14ac:dyDescent="0.25">
      <c r="B552" s="160">
        <v>7</v>
      </c>
      <c r="C552" s="305" t="s">
        <v>8</v>
      </c>
      <c r="D552" s="93" t="s">
        <v>321</v>
      </c>
      <c r="E552" s="72">
        <f>SUMIF(Adat!$AI:$AI,CONCATENATE(61,$M$4,"055",L543),Adat!$E:$E)</f>
        <v>0</v>
      </c>
      <c r="F552" s="72">
        <f>SUMIF(Adat!$AI:$AI,CONCATENATE(60,$M$4,"055",L543),Adat!$E:$E)+E552</f>
        <v>0</v>
      </c>
      <c r="G552" s="72">
        <f>SUMIF(Adat!$AJ:$AJ,CONCATENATE($M$4,"055","(KÖT)",L543),Adat!$E:$E)</f>
        <v>0</v>
      </c>
      <c r="H552" s="72">
        <f>SUMIF(Adat!$AJ:$AJ,CONCATENATE($M$4,"055","(ÖNV)",L543),Adat!$E:$E)</f>
        <v>0</v>
      </c>
      <c r="I552" s="72">
        <f>SUMIF(Adat!$AJ:$AJ,CONCATENATE($M$4,"055","(ÁIG)",L543),Adat!$E:$E)</f>
        <v>0</v>
      </c>
    </row>
    <row r="553" spans="2:9" x14ac:dyDescent="0.25">
      <c r="B553" s="160">
        <v>8</v>
      </c>
      <c r="C553" s="78" t="s">
        <v>358</v>
      </c>
      <c r="D553" s="92" t="s">
        <v>1447</v>
      </c>
      <c r="E553" s="121">
        <f>E554+E556+E558</f>
        <v>0</v>
      </c>
      <c r="F553" s="121">
        <f>F554+F556+F558</f>
        <v>0</v>
      </c>
      <c r="G553" s="121">
        <f>G554+G556+G558</f>
        <v>0</v>
      </c>
      <c r="H553" s="121">
        <f>H554+H556+H558</f>
        <v>0</v>
      </c>
      <c r="I553" s="121">
        <f>I554+I556+I558</f>
        <v>0</v>
      </c>
    </row>
    <row r="554" spans="2:9" x14ac:dyDescent="0.25">
      <c r="B554" s="160">
        <v>9</v>
      </c>
      <c r="C554" s="305" t="s">
        <v>10</v>
      </c>
      <c r="D554" s="93" t="s">
        <v>322</v>
      </c>
      <c r="E554" s="72">
        <f>SUMIF(Adat!$AI:$AI,CONCATENATE(61,$M$4,"056",L543),Adat!$E:$E)</f>
        <v>0</v>
      </c>
      <c r="F554" s="72">
        <f>SUMIF(Adat!$AI:$AI,CONCATENATE(60,$M$4,"056",L543),Adat!$E:$E)+E554</f>
        <v>0</v>
      </c>
      <c r="G554" s="72">
        <f>SUMIF(Adat!$AJ:$AJ,CONCATENATE($M$4,"056","(KÖT)",L543),Adat!$E:$E)</f>
        <v>0</v>
      </c>
      <c r="H554" s="72">
        <f>SUMIF(Adat!$AJ:$AJ,CONCATENATE($M$4,"056","(ÖNV)",L543),Adat!$E:$E)</f>
        <v>0</v>
      </c>
      <c r="I554" s="72">
        <f>SUMIF(Adat!$AJ:$AJ,CONCATENATE($M$4,"056","(ÁIG)",L543),Adat!$E:$E)</f>
        <v>0</v>
      </c>
    </row>
    <row r="555" spans="2:9" x14ac:dyDescent="0.25">
      <c r="B555" s="160">
        <v>10</v>
      </c>
      <c r="C555" s="305" t="s">
        <v>10</v>
      </c>
      <c r="D555" s="93" t="s">
        <v>1448</v>
      </c>
      <c r="E555" s="72">
        <v>0</v>
      </c>
      <c r="F555" s="72">
        <f>SUM(G555:I555)</f>
        <v>0</v>
      </c>
      <c r="G555" s="72">
        <v>0</v>
      </c>
      <c r="H555" s="72">
        <v>0</v>
      </c>
      <c r="I555" s="72">
        <v>0</v>
      </c>
    </row>
    <row r="556" spans="2:9" x14ac:dyDescent="0.25">
      <c r="B556" s="160">
        <v>11</v>
      </c>
      <c r="C556" s="305" t="s">
        <v>12</v>
      </c>
      <c r="D556" s="93" t="s">
        <v>323</v>
      </c>
      <c r="E556" s="72">
        <f>SUMIF(Adat!$AI:$AI,CONCATENATE(61,$M$4,"057",L543),Adat!$E:$E)</f>
        <v>0</v>
      </c>
      <c r="F556" s="72">
        <f>SUMIF(Adat!$AI:$AI,CONCATENATE(60,$M$4,"057",L543),Adat!$E:$E)+E556</f>
        <v>0</v>
      </c>
      <c r="G556" s="72">
        <f>SUMIF(Adat!$AJ:$AJ,CONCATENATE($M$4,"057","(KÖT)",L543),Adat!$E:$E)</f>
        <v>0</v>
      </c>
      <c r="H556" s="72">
        <f>SUMIF(Adat!$AJ:$AJ,CONCATENATE($M$4,"057","(ÖNV)",L543),Adat!$E:$E)</f>
        <v>0</v>
      </c>
      <c r="I556" s="72">
        <f>SUMIF(Adat!$AJ:$AJ,CONCATENATE($M$4,"057","(ÁIG)",L543),Adat!$E:$E)</f>
        <v>0</v>
      </c>
    </row>
    <row r="557" spans="2:9" x14ac:dyDescent="0.25">
      <c r="B557" s="160">
        <v>12</v>
      </c>
      <c r="C557" s="305" t="s">
        <v>12</v>
      </c>
      <c r="D557" s="93" t="s">
        <v>1449</v>
      </c>
      <c r="E557" s="72">
        <v>0</v>
      </c>
      <c r="F557" s="72">
        <f>SUM(G557:I557)</f>
        <v>0</v>
      </c>
      <c r="G557" s="72">
        <v>0</v>
      </c>
      <c r="H557" s="72">
        <v>0</v>
      </c>
      <c r="I557" s="72">
        <v>0</v>
      </c>
    </row>
    <row r="558" spans="2:9" x14ac:dyDescent="0.25">
      <c r="B558" s="160">
        <v>13</v>
      </c>
      <c r="C558" s="305" t="s">
        <v>15</v>
      </c>
      <c r="D558" s="84" t="s">
        <v>324</v>
      </c>
      <c r="E558" s="72">
        <f>SUMIF(Adat!$AI:$AI,CONCATENATE(61,$M$4,"058",L543),Adat!$E:$E)</f>
        <v>0</v>
      </c>
      <c r="F558" s="72">
        <f>SUMIF(Adat!$AI:$AI,CONCATENATE(60,$M$4,"058",L543),Adat!$E:$E)+E558</f>
        <v>0</v>
      </c>
      <c r="G558" s="72">
        <f>SUMIF(Adat!$AJ:$AJ,CONCATENATE($M$4,"058","(KÖT)",L543),Adat!$E:$E)</f>
        <v>0</v>
      </c>
      <c r="H558" s="72">
        <f>SUMIF(Adat!$AJ:$AJ,CONCATENATE($M$4,"058","(ÖNV)",L543),Adat!$E:$E)</f>
        <v>0</v>
      </c>
      <c r="I558" s="72">
        <f>SUMIF(Adat!$AJ:$AJ,CONCATENATE($M$4,"058","(ÁIG)",L543),Adat!$E:$E)</f>
        <v>0</v>
      </c>
    </row>
    <row r="559" spans="2:9" x14ac:dyDescent="0.25">
      <c r="B559" s="160">
        <v>14</v>
      </c>
      <c r="C559" s="154" t="s">
        <v>364</v>
      </c>
      <c r="D559" s="86" t="s">
        <v>325</v>
      </c>
      <c r="E559" s="71">
        <f>SUMIF(Adat!$AI:$AI,CONCATENATE(61,$M$4,"059",L543),Adat!$E:$E)</f>
        <v>0</v>
      </c>
      <c r="F559" s="71">
        <f>SUMIF(Adat!$AI:$AI,CONCATENATE(60,$M$4,"059",L543),Adat!$E:$E)+E559</f>
        <v>0</v>
      </c>
      <c r="G559" s="71">
        <f>SUMIF(Adat!$AJ:$AJ,CONCATENATE($M$4,"059","(KÖT)",L543),Adat!$E:$E)</f>
        <v>0</v>
      </c>
      <c r="H559" s="71">
        <f>SUMIF(Adat!$AJ:$AJ,CONCATENATE($M$4,"059","(ÖNV)",L543),Adat!$E:$E)</f>
        <v>0</v>
      </c>
      <c r="I559" s="71">
        <f>SUMIF(Adat!$AJ:$AJ,CONCATENATE($M$4,"059","(ÁIG)",L543),Adat!$E:$E)</f>
        <v>0</v>
      </c>
    </row>
    <row r="560" spans="2:9" x14ac:dyDescent="0.25">
      <c r="B560" s="160">
        <v>15</v>
      </c>
      <c r="C560" s="154" t="s">
        <v>403</v>
      </c>
      <c r="D560" s="159" t="s">
        <v>497</v>
      </c>
      <c r="E560" s="121">
        <f>E547+E553+E559</f>
        <v>0</v>
      </c>
      <c r="F560" s="121">
        <f>F547+F553+F559</f>
        <v>0</v>
      </c>
      <c r="G560" s="121">
        <f>G547+G553+G559</f>
        <v>0</v>
      </c>
      <c r="H560" s="121">
        <f>H547+H553+H559</f>
        <v>0</v>
      </c>
      <c r="I560" s="121">
        <f>I547+I553+I559</f>
        <v>0</v>
      </c>
    </row>
    <row r="561" spans="2:12" ht="15.75" x14ac:dyDescent="0.25">
      <c r="B561" s="37"/>
      <c r="C561" s="529"/>
      <c r="D561" s="529"/>
      <c r="E561" s="529"/>
      <c r="F561" s="200"/>
      <c r="G561" s="200"/>
      <c r="H561" s="200"/>
      <c r="I561" s="200"/>
    </row>
    <row r="562" spans="2:12" ht="15.75" x14ac:dyDescent="0.25">
      <c r="B562" s="525" t="str">
        <f>$N$4</f>
        <v>Nagymaros Városi Könyvtár és Művelődési Ház</v>
      </c>
      <c r="C562" s="525"/>
      <c r="D562" s="525"/>
      <c r="E562" s="525"/>
      <c r="F562" s="525"/>
      <c r="G562" s="525"/>
      <c r="H562" s="525"/>
      <c r="I562" s="525"/>
    </row>
    <row r="563" spans="2:12" ht="15.75" x14ac:dyDescent="0.25">
      <c r="B563" s="525" t="s">
        <v>2660</v>
      </c>
      <c r="C563" s="525"/>
      <c r="D563" s="525"/>
      <c r="E563" s="525"/>
      <c r="F563" s="525"/>
      <c r="G563" s="525"/>
      <c r="H563" s="525"/>
      <c r="I563" s="525"/>
    </row>
    <row r="564" spans="2:12" ht="15.75" x14ac:dyDescent="0.25">
      <c r="B564" s="38"/>
      <c r="C564" s="156"/>
      <c r="D564" s="38"/>
      <c r="E564" s="140"/>
      <c r="F564" s="140"/>
      <c r="G564" s="140"/>
      <c r="H564" s="140"/>
      <c r="I564" s="140"/>
    </row>
    <row r="565" spans="2:12" s="10" customFormat="1" ht="15.75" customHeight="1" x14ac:dyDescent="0.25">
      <c r="B565" s="201" t="str">
        <f>CONCATENATE("19. Bevételi jogcímek"," - ",L565," részletező")</f>
        <v>19. Bevételi jogcímek -  részletező</v>
      </c>
      <c r="C565" s="101"/>
      <c r="D565" s="101"/>
      <c r="E565" s="101"/>
      <c r="F565" s="101"/>
      <c r="G565" s="198"/>
      <c r="H565" s="198"/>
      <c r="I565" s="198"/>
      <c r="L565" s="384"/>
    </row>
    <row r="566" spans="2:12" ht="15.75" x14ac:dyDescent="0.25">
      <c r="B566" s="38"/>
      <c r="C566" s="156"/>
      <c r="D566" s="38"/>
      <c r="E566" s="140"/>
      <c r="F566" s="140"/>
      <c r="G566" s="140"/>
      <c r="H566" s="140"/>
      <c r="I566" s="140"/>
    </row>
    <row r="567" spans="2:12" x14ac:dyDescent="0.25">
      <c r="B567" s="77"/>
      <c r="C567" s="77" t="s">
        <v>350</v>
      </c>
      <c r="D567" s="77" t="s">
        <v>351</v>
      </c>
      <c r="E567" s="77" t="s">
        <v>470</v>
      </c>
      <c r="F567" s="77" t="s">
        <v>471</v>
      </c>
      <c r="G567" s="77" t="s">
        <v>44</v>
      </c>
      <c r="H567" s="77" t="s">
        <v>42</v>
      </c>
      <c r="I567" s="77" t="s">
        <v>511</v>
      </c>
    </row>
    <row r="568" spans="2:12" ht="38.25" x14ac:dyDescent="0.25">
      <c r="B568" s="160">
        <v>1</v>
      </c>
      <c r="C568" s="154" t="s">
        <v>593</v>
      </c>
      <c r="D568" s="154" t="s">
        <v>488</v>
      </c>
      <c r="E568" s="163" t="str">
        <f>CONCATENATE(PAR!$H$3," évi
eredeti 
előirányzat")</f>
        <v>2025. évi
eredeti 
előirányzat</v>
      </c>
      <c r="F568" s="163" t="str">
        <f>CONCATENATE(PAR!$H$3," évi
módosított 
előirányzat")</f>
        <v>2025. évi
módosított 
előirányzat</v>
      </c>
      <c r="G568" s="78" t="s">
        <v>666</v>
      </c>
      <c r="H568" s="78" t="s">
        <v>667</v>
      </c>
      <c r="I568" s="78" t="s">
        <v>668</v>
      </c>
    </row>
    <row r="569" spans="2:12" x14ac:dyDescent="0.25">
      <c r="B569" s="160">
        <v>2</v>
      </c>
      <c r="C569" s="79" t="s">
        <v>30</v>
      </c>
      <c r="D569" s="79" t="s">
        <v>329</v>
      </c>
      <c r="E569" s="121">
        <f>SUM(E570:E582)</f>
        <v>0</v>
      </c>
      <c r="F569" s="121">
        <f t="shared" ref="F569:I569" si="36">SUM(F570:F582)</f>
        <v>0</v>
      </c>
      <c r="G569" s="121">
        <f t="shared" si="36"/>
        <v>0</v>
      </c>
      <c r="H569" s="121">
        <f t="shared" si="36"/>
        <v>0</v>
      </c>
      <c r="I569" s="121">
        <f t="shared" si="36"/>
        <v>0</v>
      </c>
    </row>
    <row r="570" spans="2:12" x14ac:dyDescent="0.2">
      <c r="B570" s="160">
        <v>3</v>
      </c>
      <c r="C570" s="305" t="s">
        <v>1309</v>
      </c>
      <c r="D570" s="82" t="s">
        <v>1356</v>
      </c>
      <c r="E570" s="72">
        <f>SUMIF(Adat!$AG:$AG,CONCATENATE(61,$M$4,"094011",L565),Adat!$E:$E)*-1</f>
        <v>0</v>
      </c>
      <c r="F570" s="72">
        <f>SUMIF(Adat!$AG:$AG,CONCATENATE(60,$M$4,"094011",L565),Adat!$E:$E)*-1+E570</f>
        <v>0</v>
      </c>
      <c r="G570" s="72">
        <f>SUMIF(Adat!$AH:$AH,CONCATENATE($M$4,"(KÖT)","094011",L565),Adat!$E:$E)*-1</f>
        <v>0</v>
      </c>
      <c r="H570" s="72">
        <f>SUMIF(Adat!$AH:$AH,CONCATENATE($M$4,"(ÖNV)","094011",L565),Adat!$E:$E)*-1</f>
        <v>0</v>
      </c>
      <c r="I570" s="72">
        <f>SUMIF(Adat!$AH:$AH,CONCATENATE($M$4,"(ÁIG)","094011",L565),Adat!$E:$E)*-1</f>
        <v>0</v>
      </c>
    </row>
    <row r="571" spans="2:12" x14ac:dyDescent="0.2">
      <c r="B571" s="160">
        <v>4</v>
      </c>
      <c r="C571" s="305" t="s">
        <v>1279</v>
      </c>
      <c r="D571" s="82" t="s">
        <v>1357</v>
      </c>
      <c r="E571" s="72">
        <f>SUMIF(Adat!$AG:$AG,CONCATENATE(61,$M$4,"094021",L565),Adat!$E:$E)*-1</f>
        <v>0</v>
      </c>
      <c r="F571" s="72">
        <f>SUMIF(Adat!$AG:$AG,CONCATENATE(60,$M$4,"094021",L565),Adat!$E:$E)*-1+E571</f>
        <v>0</v>
      </c>
      <c r="G571" s="72">
        <f>SUMIF(Adat!$AH:$AH,CONCATENATE($M$4,"(KÖT)","094021",L565),Adat!$E:$E)*-1</f>
        <v>0</v>
      </c>
      <c r="H571" s="72">
        <f>SUMIF(Adat!$AH:$AH,CONCATENATE($M$4,"(ÖNV)","094021",L565),Adat!$E:$E)*-1</f>
        <v>0</v>
      </c>
      <c r="I571" s="72">
        <f>SUMIF(Adat!$AH:$AH,CONCATENATE($M$4,"(ÁIG)","094021",L565),Adat!$E:$E)*-1</f>
        <v>0</v>
      </c>
    </row>
    <row r="572" spans="2:12" x14ac:dyDescent="0.2">
      <c r="B572" s="160">
        <v>5</v>
      </c>
      <c r="C572" s="305" t="s">
        <v>1272</v>
      </c>
      <c r="D572" s="82" t="s">
        <v>1358</v>
      </c>
      <c r="E572" s="72">
        <f>SUMIF(Adat!$AG:$AG,CONCATENATE(61,$M$4,"094031",L565),Adat!$E:$E)*-1</f>
        <v>0</v>
      </c>
      <c r="F572" s="72">
        <f>SUMIF(Adat!$AG:$AG,CONCATENATE(60,$M$4,"094031",L565),Adat!$E:$E)*-1+E572</f>
        <v>0</v>
      </c>
      <c r="G572" s="72">
        <f>SUMIF(Adat!$AH:$AH,CONCATENATE($M$4,"(KÖT)","094031",L565),Adat!$E:$E)*-1</f>
        <v>0</v>
      </c>
      <c r="H572" s="72">
        <f>SUMIF(Adat!$AH:$AH,CONCATENATE($M$4,"(ÖNV)","094031",L565),Adat!$E:$E)*-1</f>
        <v>0</v>
      </c>
      <c r="I572" s="72">
        <f>SUMIF(Adat!$AH:$AH,CONCATENATE($M$4,"(ÁIG)","094031",L565),Adat!$E:$E)*-1</f>
        <v>0</v>
      </c>
    </row>
    <row r="573" spans="2:12" x14ac:dyDescent="0.2">
      <c r="B573" s="160">
        <v>6</v>
      </c>
      <c r="C573" s="305" t="s">
        <v>1359</v>
      </c>
      <c r="D573" s="82" t="s">
        <v>1360</v>
      </c>
      <c r="E573" s="72">
        <f>SUMIF(Adat!$AG:$AG,CONCATENATE(61,$M$4,"094041",L565),Adat!$E:$E)*-1</f>
        <v>0</v>
      </c>
      <c r="F573" s="72">
        <f>SUMIF(Adat!$AG:$AG,CONCATENATE(60,$M$4,"094041",L565),Adat!$E:$E)*-1+E573</f>
        <v>0</v>
      </c>
      <c r="G573" s="72">
        <f>SUMIF(Adat!$AH:$AH,CONCATENATE($M$4,"(KÖT)","094041",L565),Adat!$E:$E)*-1</f>
        <v>0</v>
      </c>
      <c r="H573" s="72">
        <f>SUMIF(Adat!$AH:$AH,CONCATENATE($M$4,"(ÖNV)","094041",L565),Adat!$E:$E)*-1</f>
        <v>0</v>
      </c>
      <c r="I573" s="72">
        <f>SUMIF(Adat!$AH:$AH,CONCATENATE($M$4,"(ÁIG)","094041",L565),Adat!$E:$E)*-1</f>
        <v>0</v>
      </c>
    </row>
    <row r="574" spans="2:12" x14ac:dyDescent="0.2">
      <c r="B574" s="160">
        <v>7</v>
      </c>
      <c r="C574" s="305" t="s">
        <v>1261</v>
      </c>
      <c r="D574" s="82" t="s">
        <v>1361</v>
      </c>
      <c r="E574" s="72">
        <f>SUMIF(Adat!$AG:$AG,CONCATENATE(61,$M$4,"094051",L565),Adat!$E:$E)*-1</f>
        <v>0</v>
      </c>
      <c r="F574" s="72">
        <f>SUMIF(Adat!$AG:$AG,CONCATENATE(60,$M$4,"094051",L565),Adat!$E:$E)*-1+E574</f>
        <v>0</v>
      </c>
      <c r="G574" s="72">
        <f>SUMIF(Adat!$AH:$AH,CONCATENATE($M$4,"(KÖT)","094051",L565),Adat!$E:$E)*-1</f>
        <v>0</v>
      </c>
      <c r="H574" s="72">
        <f>SUMIF(Adat!$AH:$AH,CONCATENATE($M$4,"(ÖNV)","094051",L565),Adat!$E:$E)*-1</f>
        <v>0</v>
      </c>
      <c r="I574" s="72">
        <f>SUMIF(Adat!$AH:$AH,CONCATENATE($M$4,"(ÁIG)","094051",L565),Adat!$E:$E)*-1</f>
        <v>0</v>
      </c>
    </row>
    <row r="575" spans="2:12" x14ac:dyDescent="0.2">
      <c r="B575" s="160">
        <v>8</v>
      </c>
      <c r="C575" s="305" t="s">
        <v>1273</v>
      </c>
      <c r="D575" s="82" t="s">
        <v>1362</v>
      </c>
      <c r="E575" s="72">
        <f>SUMIF(Adat!$AG:$AG,CONCATENATE(61,$M$4,"094061",L565),Adat!$E:$E)*-1</f>
        <v>0</v>
      </c>
      <c r="F575" s="72">
        <f>SUMIF(Adat!$AG:$AG,CONCATENATE(60,$M$4,"094061",L565),Adat!$E:$E)*-1+E575</f>
        <v>0</v>
      </c>
      <c r="G575" s="72">
        <f>SUMIF(Adat!$AH:$AH,CONCATENATE($M$4,"(KÖT)","094061",L565),Adat!$E:$E)*-1</f>
        <v>0</v>
      </c>
      <c r="H575" s="72">
        <f>SUMIF(Adat!$AH:$AH,CONCATENATE($M$4,"(ÖNV)","094061",L565),Adat!$E:$E)*-1</f>
        <v>0</v>
      </c>
      <c r="I575" s="72">
        <f>SUMIF(Adat!$AH:$AH,CONCATENATE($M$4,"(ÁIG)","094061",L565),Adat!$E:$E)*-1</f>
        <v>0</v>
      </c>
    </row>
    <row r="576" spans="2:12" x14ac:dyDescent="0.2">
      <c r="B576" s="160">
        <v>9</v>
      </c>
      <c r="C576" s="305" t="s">
        <v>1363</v>
      </c>
      <c r="D576" s="82" t="s">
        <v>1364</v>
      </c>
      <c r="E576" s="72">
        <f>SUMIF(Adat!$AG:$AG,CONCATENATE(61,$M$4,"094071",L565),Adat!$E:$E)*-1</f>
        <v>0</v>
      </c>
      <c r="F576" s="72">
        <f>SUMIF(Adat!$AG:$AG,CONCATENATE(60,$M$4,"094071",L565),Adat!$E:$E)*-1+E576</f>
        <v>0</v>
      </c>
      <c r="G576" s="72">
        <f>SUMIF(Adat!$AH:$AH,CONCATENATE($M$4,"(KÖT)","094071",L565),Adat!$E:$E)*-1</f>
        <v>0</v>
      </c>
      <c r="H576" s="72">
        <f>SUMIF(Adat!$AH:$AH,CONCATENATE($M$4,"(ÖNV)","094071",L565),Adat!$E:$E)*-1</f>
        <v>0</v>
      </c>
      <c r="I576" s="72">
        <f>SUMIF(Adat!$AH:$AH,CONCATENATE($M$4,"(ÁIG)","094071",L565),Adat!$E:$E)*-1</f>
        <v>0</v>
      </c>
    </row>
    <row r="577" spans="2:9" x14ac:dyDescent="0.2">
      <c r="B577" s="160">
        <v>10</v>
      </c>
      <c r="C577" s="305" t="s">
        <v>1306</v>
      </c>
      <c r="D577" s="82" t="s">
        <v>1365</v>
      </c>
      <c r="E577" s="72">
        <f>SUMIF(Adat!$AG:$AG,CONCATENATE(61,$M$4,"0940811",L565),Adat!$E:$E)*-1</f>
        <v>0</v>
      </c>
      <c r="F577" s="72">
        <f>SUMIF(Adat!$AG:$AG,CONCATENATE(60,$M$4,"0940811",L565),Adat!$E:$E)*-1+E577</f>
        <v>0</v>
      </c>
      <c r="G577" s="72">
        <f>SUMIF(Adat!$AH:$AH,CONCATENATE($M$4,"(KÖT)","0940811",L565),Adat!$E:$E)*-1</f>
        <v>0</v>
      </c>
      <c r="H577" s="72">
        <f>SUMIF(Adat!$AH:$AH,CONCATENATE($M$4,"(ÖNV)","0940811",L565),Adat!$E:$E)*-1</f>
        <v>0</v>
      </c>
      <c r="I577" s="72">
        <f>SUMIF(Adat!$AH:$AH,CONCATENATE($M$4,"(ÁIG)","0940811",L565),Adat!$E:$E)*-1</f>
        <v>0</v>
      </c>
    </row>
    <row r="578" spans="2:9" x14ac:dyDescent="0.2">
      <c r="B578" s="160">
        <v>11</v>
      </c>
      <c r="C578" s="305" t="s">
        <v>1295</v>
      </c>
      <c r="D578" s="82" t="s">
        <v>1366</v>
      </c>
      <c r="E578" s="72">
        <f>SUMIF(Adat!$AG:$AG,CONCATENATE(61,$M$4,"0940821",L565),Adat!$E:$E)*-1</f>
        <v>0</v>
      </c>
      <c r="F578" s="72">
        <f>SUMIF(Adat!$AG:$AG,CONCATENATE(60,$M$4,"0940821",L565),Adat!$E:$E)*-1+E578</f>
        <v>0</v>
      </c>
      <c r="G578" s="72">
        <f>SUMIF(Adat!$AH:$AH,CONCATENATE($M$4,"(KÖT)","0940821",L565),Adat!$E:$E)*-1</f>
        <v>0</v>
      </c>
      <c r="H578" s="72">
        <f>SUMIF(Adat!$AH:$AH,CONCATENATE($M$4,"(ÖNV)","0940821",L565),Adat!$E:$E)*-1</f>
        <v>0</v>
      </c>
      <c r="I578" s="72">
        <f>SUMIF(Adat!$AH:$AH,CONCATENATE($M$4,"(ÁIG)","0940821",L565),Adat!$E:$E)*-1</f>
        <v>0</v>
      </c>
    </row>
    <row r="579" spans="2:9" x14ac:dyDescent="0.2">
      <c r="B579" s="160">
        <v>12</v>
      </c>
      <c r="C579" s="305" t="s">
        <v>1367</v>
      </c>
      <c r="D579" s="82" t="s">
        <v>1368</v>
      </c>
      <c r="E579" s="72">
        <f>SUMIF(Adat!$AG:$AG,CONCATENATE(61,$M$4,"0940911",L565),Adat!$E:$E)*-1</f>
        <v>0</v>
      </c>
      <c r="F579" s="72">
        <f>SUMIF(Adat!$AG:$AG,CONCATENATE(60,$M$4,"0940911",L565),Adat!$E:$E)*-1+E579</f>
        <v>0</v>
      </c>
      <c r="G579" s="72">
        <f>SUMIF(Adat!$AH:$AH,CONCATENATE($M$4,"(KÖT)","0940911",L565),Adat!$E:$E)*-1</f>
        <v>0</v>
      </c>
      <c r="H579" s="72">
        <f>SUMIF(Adat!$AH:$AH,CONCATENATE($M$4,"(ÖNV)","0940911",L565),Adat!$E:$E)*-1</f>
        <v>0</v>
      </c>
      <c r="I579" s="72">
        <f>SUMIF(Adat!$AH:$AH,CONCATENATE($M$4,"(ÁIG)","0940911",L565),Adat!$E:$E)*-1</f>
        <v>0</v>
      </c>
    </row>
    <row r="580" spans="2:9" x14ac:dyDescent="0.2">
      <c r="B580" s="160">
        <v>13</v>
      </c>
      <c r="C580" s="305" t="s">
        <v>1369</v>
      </c>
      <c r="D580" s="82" t="s">
        <v>1370</v>
      </c>
      <c r="E580" s="72">
        <f>SUMIF(Adat!$AG:$AG,CONCATENATE(61,$M$4,"0940921",L565),Adat!$E:$E)*-1</f>
        <v>0</v>
      </c>
      <c r="F580" s="72">
        <f>SUMIF(Adat!$AG:$AG,CONCATENATE(60,$M$4,"0940921",L565),Adat!$E:$E)*-1+E580</f>
        <v>0</v>
      </c>
      <c r="G580" s="72">
        <f>SUMIF(Adat!$AH:$AH,CONCATENATE($M$4,"(KÖT)","0940921",L565),Adat!$E:$E)*-1</f>
        <v>0</v>
      </c>
      <c r="H580" s="72">
        <f>SUMIF(Adat!$AH:$AH,CONCATENATE($M$4,"(ÖNV)","0940921",L565),Adat!$E:$E)*-1</f>
        <v>0</v>
      </c>
      <c r="I580" s="72">
        <f>SUMIF(Adat!$AH:$AH,CONCATENATE($M$4,"(ÁIG)","0940921",L565),Adat!$E:$E)*-1</f>
        <v>0</v>
      </c>
    </row>
    <row r="581" spans="2:9" x14ac:dyDescent="0.2">
      <c r="B581" s="160">
        <v>14</v>
      </c>
      <c r="C581" s="305" t="s">
        <v>1296</v>
      </c>
      <c r="D581" s="82" t="s">
        <v>1371</v>
      </c>
      <c r="E581" s="72">
        <f>SUMIF(Adat!$AG:$AG,CONCATENATE(61,$M$4,"094101",L565),Adat!$E:$E)*-1</f>
        <v>0</v>
      </c>
      <c r="F581" s="72">
        <f>SUMIF(Adat!$AG:$AG,CONCATENATE(60,$M$4,"094101",L565),Adat!$E:$E)*-1+E581</f>
        <v>0</v>
      </c>
      <c r="G581" s="72">
        <f>SUMIF(Adat!$AH:$AH,CONCATENATE($M$4,"(KÖT)","094101",L565),Adat!$E:$E)*-1</f>
        <v>0</v>
      </c>
      <c r="H581" s="72">
        <f>SUMIF(Adat!$AH:$AH,CONCATENATE($M$4,"(ÖNV)","094101",L565),Adat!$E:$E)*-1</f>
        <v>0</v>
      </c>
      <c r="I581" s="72">
        <f>SUMIF(Adat!$AH:$AH,CONCATENATE($M$4,"(ÁIG)","094101",L565),Adat!$E:$E)*-1</f>
        <v>0</v>
      </c>
    </row>
    <row r="582" spans="2:9" x14ac:dyDescent="0.25">
      <c r="B582" s="160">
        <v>15</v>
      </c>
      <c r="C582" s="305" t="s">
        <v>1297</v>
      </c>
      <c r="D582" s="84" t="s">
        <v>1372</v>
      </c>
      <c r="E582" s="72">
        <f>SUMIF(Adat!$AG:$AG,CONCATENATE(61,$M$4,"094111",L565),Adat!$E:$E)*-1</f>
        <v>0</v>
      </c>
      <c r="F582" s="72">
        <f>SUMIF(Adat!$AG:$AG,CONCATENATE(60,$M$4,"094111",L565),Adat!$E:$E)*-1+E582</f>
        <v>0</v>
      </c>
      <c r="G582" s="72">
        <f>SUMIF(Adat!$AH:$AH,CONCATENATE($M$4,"(KÖT)","094111",L565),Adat!$E:$E)*-1</f>
        <v>0</v>
      </c>
      <c r="H582" s="72">
        <f>SUMIF(Adat!$AH:$AH,CONCATENATE($M$4,"(ÖNV)","094111",L565),Adat!$E:$E)*-1</f>
        <v>0</v>
      </c>
      <c r="I582" s="72">
        <f>SUMIF(Adat!$AH:$AH,CONCATENATE($M$4,"(ÁIG)","094111",L565),Adat!$E:$E)*-1</f>
        <v>0</v>
      </c>
    </row>
    <row r="583" spans="2:9" x14ac:dyDescent="0.25">
      <c r="B583" s="160">
        <v>16</v>
      </c>
      <c r="C583" s="78" t="s">
        <v>1328</v>
      </c>
      <c r="D583" s="85" t="s">
        <v>437</v>
      </c>
      <c r="E583" s="121">
        <f>SUM(E584:E586)</f>
        <v>0</v>
      </c>
      <c r="F583" s="121">
        <f>SUM(F584:F586)</f>
        <v>0</v>
      </c>
      <c r="G583" s="121">
        <f>SUM(G584:G586)</f>
        <v>0</v>
      </c>
      <c r="H583" s="121">
        <f>SUM(H584:H586)</f>
        <v>0</v>
      </c>
      <c r="I583" s="121">
        <f>SUM(I584:I586)</f>
        <v>0</v>
      </c>
    </row>
    <row r="584" spans="2:9" x14ac:dyDescent="0.2">
      <c r="B584" s="160">
        <v>17</v>
      </c>
      <c r="C584" s="305" t="s">
        <v>1329</v>
      </c>
      <c r="D584" s="82" t="s">
        <v>1330</v>
      </c>
      <c r="E584" s="72">
        <f>SUMIF(Adat!$AG:$AG,CONCATENATE(61,$M$4,"09121",L565),Adat!$E:$E)*-1</f>
        <v>0</v>
      </c>
      <c r="F584" s="72">
        <f>SUMIF(Adat!$AG:$AG,CONCATENATE(60,$M$4,"09121",L565),Adat!$E:$E)*-1+E584</f>
        <v>0</v>
      </c>
      <c r="G584" s="72">
        <f>SUMIF(Adat!$AH:$AH,CONCATENATE($M$4,"(KÖT)","09121",L565),Adat!$E:$E)*-1</f>
        <v>0</v>
      </c>
      <c r="H584" s="72">
        <f>SUMIF(Adat!$AH:$AH,CONCATENATE($M$4,"(ÖNV)","09121",L565),Adat!$E:$E)*-1</f>
        <v>0</v>
      </c>
      <c r="I584" s="72">
        <f>SUMIF(Adat!$AH:$AH,CONCATENATE($M$4,"(ÁIG)","09121",L565),Adat!$E:$E)*-1</f>
        <v>0</v>
      </c>
    </row>
    <row r="585" spans="2:9" x14ac:dyDescent="0.2">
      <c r="B585" s="160">
        <v>18</v>
      </c>
      <c r="C585" s="305" t="s">
        <v>1335</v>
      </c>
      <c r="D585" s="82" t="s">
        <v>1336</v>
      </c>
      <c r="E585" s="72">
        <f>SUMIF(Adat!$AG:$AG,CONCATENATE(61,$M$4,"09151",L565),Adat!$E:$E)*-1</f>
        <v>0</v>
      </c>
      <c r="F585" s="72">
        <f>SUMIF(Adat!$AG:$AG,CONCATENATE(60,$M$4,"09151",L565),Adat!$E:$E)*-1+E585</f>
        <v>0</v>
      </c>
      <c r="G585" s="72">
        <f>SUMIF(Adat!$AH:$AH,CONCATENATE($M$4,"(KÖT)","09151",L565),Adat!$E:$E)*-1</f>
        <v>0</v>
      </c>
      <c r="H585" s="72">
        <f>SUMIF(Adat!$AH:$AH,CONCATENATE($M$4,"(ÖNV)","09151",L565),Adat!$E:$E)*-1</f>
        <v>0</v>
      </c>
      <c r="I585" s="72">
        <f>SUMIF(Adat!$AH:$AH,CONCATENATE($M$4,"(ÁIG)","09151",L565),Adat!$E:$E)*-1</f>
        <v>0</v>
      </c>
    </row>
    <row r="586" spans="2:9" x14ac:dyDescent="0.2">
      <c r="B586" s="160">
        <v>19</v>
      </c>
      <c r="C586" s="305" t="s">
        <v>1278</v>
      </c>
      <c r="D586" s="82" t="s">
        <v>1337</v>
      </c>
      <c r="E586" s="72">
        <f>SUMIF(Adat!$AG:$AG,CONCATENATE(61,$M$4,"09161",L565),Adat!$E:$E)*-1</f>
        <v>0</v>
      </c>
      <c r="F586" s="72">
        <f>SUMIF(Adat!$AG:$AG,CONCATENATE(60,$M$4,"09161",L565),Adat!$E:$E)*-1+E586</f>
        <v>0</v>
      </c>
      <c r="G586" s="72">
        <f>SUMIF(Adat!$AH:$AH,CONCATENATE($M$4,"(KÖT)","09161",L565),Adat!$E:$E)*-1</f>
        <v>0</v>
      </c>
      <c r="H586" s="72">
        <f>SUMIF(Adat!$AH:$AH,CONCATENATE($M$4,"(ÖNV)","09161",L565),Adat!$E:$E)*-1</f>
        <v>0</v>
      </c>
      <c r="I586" s="72">
        <f>SUMIF(Adat!$AH:$AH,CONCATENATE($M$4,"(ÁIG)","09161",L565),Adat!$E:$E)*-1</f>
        <v>0</v>
      </c>
    </row>
    <row r="587" spans="2:9" x14ac:dyDescent="0.25">
      <c r="B587" s="160">
        <v>20</v>
      </c>
      <c r="C587" s="79" t="s">
        <v>27</v>
      </c>
      <c r="D587" s="79" t="s">
        <v>328</v>
      </c>
      <c r="E587" s="71">
        <f>SUMIF(Adat!$AI:$AI,CONCATENATE(61,$M$4,"093",L565),Adat!$E:$E)*-1</f>
        <v>0</v>
      </c>
      <c r="F587" s="71">
        <f>SUMIF(Adat!$AI:$AI,CONCATENATE(60,$M$4,"093",L565),Adat!$E:$E)*-1+E587</f>
        <v>0</v>
      </c>
      <c r="G587" s="71">
        <f>SUMIF(Adat!$AJ:$AJ,CONCATENATE($M$4,"093","(KÖT)",L565),Adat!$E:$E)*-1</f>
        <v>0</v>
      </c>
      <c r="H587" s="71">
        <f>SUMIF(Adat!$AJ:$AJ,CONCATENATE($M$4,"093","(ÖNV)",L565),Adat!$E:$E)*-1</f>
        <v>0</v>
      </c>
      <c r="I587" s="71">
        <f>SUMIF(Adat!$AJ:$AJ,CONCATENATE($M$4,"093","(ÁIG)",L565),Adat!$E:$E)*-1</f>
        <v>0</v>
      </c>
    </row>
    <row r="588" spans="2:9" x14ac:dyDescent="0.25">
      <c r="B588" s="160">
        <v>21</v>
      </c>
      <c r="C588" s="79" t="s">
        <v>24</v>
      </c>
      <c r="D588" s="79" t="s">
        <v>449</v>
      </c>
      <c r="E588" s="121">
        <f>SUM(E589:E591)</f>
        <v>0</v>
      </c>
      <c r="F588" s="121">
        <f t="shared" ref="F588:I588" si="37">SUM(F589:F591)</f>
        <v>0</v>
      </c>
      <c r="G588" s="121">
        <f t="shared" si="37"/>
        <v>0</v>
      </c>
      <c r="H588" s="121">
        <f t="shared" si="37"/>
        <v>0</v>
      </c>
      <c r="I588" s="121">
        <f t="shared" si="37"/>
        <v>0</v>
      </c>
    </row>
    <row r="589" spans="2:9" x14ac:dyDescent="0.2">
      <c r="B589" s="160">
        <v>22</v>
      </c>
      <c r="C589" s="305" t="s">
        <v>1339</v>
      </c>
      <c r="D589" s="82" t="s">
        <v>1340</v>
      </c>
      <c r="E589" s="72">
        <f>SUMIF(Adat!$AG:$AG,CONCATENATE(61,$M$4,"09211",L565),Adat!$E:$E)*-1</f>
        <v>0</v>
      </c>
      <c r="F589" s="72">
        <f>SUMIF(Adat!$AG:$AG,CONCATENATE(60,$M$4,"09211",L565),Adat!$E:$E)*-1+E589</f>
        <v>0</v>
      </c>
      <c r="G589" s="72">
        <f>SUMIF(Adat!$AH:$AH,CONCATENATE($M$4,"(KÖT)","09211",L565),Adat!$E:$E)*-1</f>
        <v>0</v>
      </c>
      <c r="H589" s="72">
        <f>SUMIF(Adat!$AH:$AH,CONCATENATE($M$4,"(ÖNV)","09211",L565),Adat!$E:$E)*-1</f>
        <v>0</v>
      </c>
      <c r="I589" s="72">
        <f>SUMIF(Adat!$AH:$AH,CONCATENATE($M$4,"(ÁIG)","09211",L565),Adat!$E:$E)*-1</f>
        <v>0</v>
      </c>
    </row>
    <row r="590" spans="2:9" x14ac:dyDescent="0.2">
      <c r="B590" s="160">
        <v>23</v>
      </c>
      <c r="C590" s="305" t="s">
        <v>1345</v>
      </c>
      <c r="D590" s="82" t="s">
        <v>1346</v>
      </c>
      <c r="E590" s="72">
        <f>SUMIF(Adat!$AG:$AG,CONCATENATE(61,$M$4,"09241",L565),Adat!$E:$E)*-1</f>
        <v>0</v>
      </c>
      <c r="F590" s="72">
        <f>SUMIF(Adat!$AG:$AG,CONCATENATE(60,$M$4,"09241",L565),Adat!$E:$E)*-1+E590</f>
        <v>0</v>
      </c>
      <c r="G590" s="72">
        <f>SUMIF(Adat!$AH:$AH,CONCATENATE($M$4,"(KÖT)","09241",L565),Adat!$E:$E)*-1</f>
        <v>0</v>
      </c>
      <c r="H590" s="72">
        <f>SUMIF(Adat!$AH:$AH,CONCATENATE($M$4,"(ÖNV)","09241",L565),Adat!$E:$E)*-1</f>
        <v>0</v>
      </c>
      <c r="I590" s="72">
        <f>SUMIF(Adat!$AH:$AH,CONCATENATE($M$4,"(ÁIG)","09241",L565),Adat!$E:$E)*-1</f>
        <v>0</v>
      </c>
    </row>
    <row r="591" spans="2:9" x14ac:dyDescent="0.2">
      <c r="B591" s="160">
        <v>24</v>
      </c>
      <c r="C591" s="305" t="s">
        <v>1255</v>
      </c>
      <c r="D591" s="82" t="s">
        <v>1347</v>
      </c>
      <c r="E591" s="72">
        <f>SUMIF(Adat!$AG:$AG,CONCATENATE(61,$M$4,"09251",L565),Adat!$E:$E)*-1</f>
        <v>0</v>
      </c>
      <c r="F591" s="72">
        <f>SUMIF(Adat!$AG:$AG,CONCATENATE(60,$M$4,"09251",L565),Adat!$E:$E)*-1+E591</f>
        <v>0</v>
      </c>
      <c r="G591" s="72">
        <f>SUMIF(Adat!$AH:$AH,CONCATENATE($M$4,"(KÖT)","09251",L565),Adat!$E:$E)*-1</f>
        <v>0</v>
      </c>
      <c r="H591" s="72">
        <f>SUMIF(Adat!$AH:$AH,CONCATENATE($M$4,"(ÖNV)","09251",L565),Adat!$E:$E)*-1</f>
        <v>0</v>
      </c>
      <c r="I591" s="72">
        <f>SUMIF(Adat!$AH:$AH,CONCATENATE($M$4,"(ÁIG)","09251",L565),Adat!$E:$E)*-1</f>
        <v>0</v>
      </c>
    </row>
    <row r="592" spans="2:9" x14ac:dyDescent="0.25">
      <c r="B592" s="160">
        <v>25</v>
      </c>
      <c r="C592" s="79" t="s">
        <v>33</v>
      </c>
      <c r="D592" s="79" t="s">
        <v>330</v>
      </c>
      <c r="E592" s="121">
        <f>SUM(E593:E595)</f>
        <v>0</v>
      </c>
      <c r="F592" s="121">
        <f t="shared" ref="F592:I592" si="38">SUM(F593:F595)</f>
        <v>0</v>
      </c>
      <c r="G592" s="121">
        <f t="shared" si="38"/>
        <v>0</v>
      </c>
      <c r="H592" s="121">
        <f t="shared" si="38"/>
        <v>0</v>
      </c>
      <c r="I592" s="121">
        <f t="shared" si="38"/>
        <v>0</v>
      </c>
    </row>
    <row r="593" spans="2:12" x14ac:dyDescent="0.2">
      <c r="B593" s="160">
        <v>26</v>
      </c>
      <c r="C593" s="305" t="s">
        <v>1373</v>
      </c>
      <c r="D593" s="82" t="s">
        <v>1374</v>
      </c>
      <c r="E593" s="72">
        <f>SUMIF(Adat!$AG:$AG,CONCATENATE(61,$M$4,"09511",L565),Adat!$E:$E)*-1</f>
        <v>0</v>
      </c>
      <c r="F593" s="72">
        <f>SUMIF(Adat!$AG:$AG,CONCATENATE(60,$M$4,"09511",L565),Adat!$E:$E)*-1+E593</f>
        <v>0</v>
      </c>
      <c r="G593" s="72">
        <f>SUMIF(Adat!$AH:$AH,CONCATENATE($M$4,"(KÖT)","09511",L565),Adat!$E:$E)*-1</f>
        <v>0</v>
      </c>
      <c r="H593" s="72">
        <f>SUMIF(Adat!$AH:$AH,CONCATENATE($M$4,"(ÖNV)","09511",L565),Adat!$E:$E)*-1</f>
        <v>0</v>
      </c>
      <c r="I593" s="72">
        <f>SUMIF(Adat!$AH:$AH,CONCATENATE($M$4,"(ÁIG)","09511",L565),Adat!$E:$E)*-1</f>
        <v>0</v>
      </c>
    </row>
    <row r="594" spans="2:12" x14ac:dyDescent="0.2">
      <c r="B594" s="160">
        <v>27</v>
      </c>
      <c r="C594" s="305" t="s">
        <v>1294</v>
      </c>
      <c r="D594" s="82" t="s">
        <v>1375</v>
      </c>
      <c r="E594" s="72">
        <f>SUMIF(Adat!$AG:$AG,CONCATENATE(61,$M$4,"09521",L565),Adat!$E:$E)*-1</f>
        <v>0</v>
      </c>
      <c r="F594" s="72">
        <f>SUMIF(Adat!$AG:$AG,CONCATENATE(60,$M$4,"09521",L565),Adat!$E:$E)*-1+E594</f>
        <v>0</v>
      </c>
      <c r="G594" s="72">
        <f>SUMIF(Adat!$AH:$AH,CONCATENATE($M$4,"(KÖT)","09521",L565),Adat!$E:$E)*-1</f>
        <v>0</v>
      </c>
      <c r="H594" s="72">
        <f>SUMIF(Adat!$AH:$AH,CONCATENATE($M$4,"(ÖNV)","09521",L565),Adat!$E:$E)*-1</f>
        <v>0</v>
      </c>
      <c r="I594" s="72">
        <f>SUMIF(Adat!$AH:$AH,CONCATENATE($M$4,"(ÁIG)","09521",L565),Adat!$E:$E)*-1</f>
        <v>0</v>
      </c>
    </row>
    <row r="595" spans="2:12" x14ac:dyDescent="0.2">
      <c r="B595" s="160">
        <v>28</v>
      </c>
      <c r="C595" s="305" t="s">
        <v>1376</v>
      </c>
      <c r="D595" s="82" t="s">
        <v>1377</v>
      </c>
      <c r="E595" s="72">
        <f>SUMIF(Adat!$AG:$AG,CONCATENATE(61,$M$4,"09531",L565),Adat!$E:$E)*-1</f>
        <v>0</v>
      </c>
      <c r="F595" s="72">
        <f>SUMIF(Adat!$AG:$AG,CONCATENATE(60,$M$4,"09531",L565),Adat!$E:$E)*-1+E595</f>
        <v>0</v>
      </c>
      <c r="G595" s="72">
        <f>SUMIF(Adat!$AH:$AH,CONCATENATE($M$4,"(KÖT)","09531",L565),Adat!$E:$E)*-1</f>
        <v>0</v>
      </c>
      <c r="H595" s="72">
        <f>SUMIF(Adat!$AH:$AH,CONCATENATE($M$4,"(ÖNV)","09531",L565),Adat!$E:$E)*-1</f>
        <v>0</v>
      </c>
      <c r="I595" s="72">
        <f>SUMIF(Adat!$AH:$AH,CONCATENATE($M$4,"(ÁIG)","09531",L565),Adat!$E:$E)*-1</f>
        <v>0</v>
      </c>
    </row>
    <row r="596" spans="2:12" x14ac:dyDescent="0.25">
      <c r="B596" s="160">
        <v>29</v>
      </c>
      <c r="C596" s="79" t="s">
        <v>36</v>
      </c>
      <c r="D596" s="79" t="s">
        <v>331</v>
      </c>
      <c r="E596" s="71">
        <f>SUMIF(Adat!$AI:$AI,CONCATENATE(61,$M$4,"096",L565),Adat!$E:$E)*-1</f>
        <v>0</v>
      </c>
      <c r="F596" s="71">
        <f>SUMIF(Adat!$AI:$AI,CONCATENATE(60,$M$4,"096",L565),Adat!$E:$E)*-1+E596</f>
        <v>0</v>
      </c>
      <c r="G596" s="71">
        <f>SUMIF(Adat!$AJ:$AJ,CONCATENATE($M$4,"096","(KÖT)",L565),Adat!$E:$E)*-1</f>
        <v>0</v>
      </c>
      <c r="H596" s="71">
        <f>SUMIF(Adat!$AJ:$AJ,CONCATENATE($M$4,"096","(ÖNV)",L565),Adat!$E:$E)*-1</f>
        <v>0</v>
      </c>
      <c r="I596" s="71">
        <f>SUMIF(Adat!$AJ:$AJ,CONCATENATE($M$4,"096","(ÁIG)",L565),Adat!$E:$E)*-1</f>
        <v>0</v>
      </c>
    </row>
    <row r="597" spans="2:12" x14ac:dyDescent="0.25">
      <c r="B597" s="160">
        <v>30</v>
      </c>
      <c r="C597" s="79" t="s">
        <v>38</v>
      </c>
      <c r="D597" s="85" t="s">
        <v>332</v>
      </c>
      <c r="E597" s="71">
        <f>SUMIF(Adat!$AI:$AI,CONCATENATE(61,$M$4,"097",L565),Adat!$E:$E)*-1</f>
        <v>0</v>
      </c>
      <c r="F597" s="71">
        <f>SUMIF(Adat!$AI:$AI,CONCATENATE(60,$M$4,"097",L565),Adat!$E:$E)*-1+E597</f>
        <v>0</v>
      </c>
      <c r="G597" s="71">
        <f>SUMIF(Adat!$AJ:$AJ,CONCATENATE($M$4,"097","(KÖT)",L565),Adat!$E:$E)*-1</f>
        <v>0</v>
      </c>
      <c r="H597" s="71">
        <f>SUMIF(Adat!$AJ:$AJ,CONCATENATE($M$4,"097","(ÖNV)",L565),Adat!$E:$E)*-1</f>
        <v>0</v>
      </c>
      <c r="I597" s="71">
        <f>SUMIF(Adat!$AJ:$AJ,CONCATENATE($M$4,"097","(ÁIG)",L565),Adat!$E:$E)*-1</f>
        <v>0</v>
      </c>
    </row>
    <row r="598" spans="2:12" x14ac:dyDescent="0.25">
      <c r="B598" s="160">
        <v>31</v>
      </c>
      <c r="C598" s="154" t="s">
        <v>352</v>
      </c>
      <c r="D598" s="86" t="s">
        <v>1500</v>
      </c>
      <c r="E598" s="121">
        <f>E569+E583+E587+E588+E592+E596+E597</f>
        <v>0</v>
      </c>
      <c r="F598" s="121">
        <f>F569+F583+F587+F588+F592+F596+F597</f>
        <v>0</v>
      </c>
      <c r="G598" s="121">
        <f>G569+G583+G587+G588+G592+G596+G597</f>
        <v>0</v>
      </c>
      <c r="H598" s="121">
        <f>H569+H583+H587+H588+H592+H596+H597</f>
        <v>0</v>
      </c>
      <c r="I598" s="121">
        <f>I569+I583+I587+I588+I592+I596+I597</f>
        <v>0</v>
      </c>
    </row>
    <row r="599" spans="2:12" x14ac:dyDescent="0.25">
      <c r="B599" s="160">
        <v>32</v>
      </c>
      <c r="C599" s="154" t="s">
        <v>358</v>
      </c>
      <c r="D599" s="86" t="s">
        <v>333</v>
      </c>
      <c r="E599" s="121">
        <f>SUM(E600:E602)</f>
        <v>0</v>
      </c>
      <c r="F599" s="121">
        <f t="shared" ref="F599:I599" si="39">SUM(F600:F602)</f>
        <v>0</v>
      </c>
      <c r="G599" s="121">
        <f t="shared" si="39"/>
        <v>0</v>
      </c>
      <c r="H599" s="121">
        <f t="shared" si="39"/>
        <v>0</v>
      </c>
      <c r="I599" s="121">
        <f t="shared" si="39"/>
        <v>0</v>
      </c>
    </row>
    <row r="600" spans="2:12" x14ac:dyDescent="0.2">
      <c r="B600" s="160">
        <v>33</v>
      </c>
      <c r="C600" s="305" t="s">
        <v>1274</v>
      </c>
      <c r="D600" s="82" t="s">
        <v>1419</v>
      </c>
      <c r="E600" s="72">
        <f>SUMIF(Adat!$AG:$AG,CONCATENATE(61,$M$4,"0981311",L565),Adat!$E:$E)*-1</f>
        <v>0</v>
      </c>
      <c r="F600" s="72">
        <f>SUMIF(Adat!$AG:$AG,CONCATENATE(60,$M$4,"0981311",L565),Adat!$E:$E)*-1+E600</f>
        <v>0</v>
      </c>
      <c r="G600" s="72">
        <f>SUMIF(Adat!$AH:$AH,CONCATENATE($M$4,"(KÖT)","0981311",L565),Adat!$E:$E)*-1</f>
        <v>0</v>
      </c>
      <c r="H600" s="72">
        <f>SUMIF(Adat!$AH:$AH,CONCATENATE($M$4,"(ÖNV)","0981311",L565),Adat!$E:$E)*-1</f>
        <v>0</v>
      </c>
      <c r="I600" s="72">
        <f>SUMIF(Adat!$AH:$AH,CONCATENATE($M$4,"(ÁIG)","0981311",L565),Adat!$E:$E)*-1</f>
        <v>0</v>
      </c>
    </row>
    <row r="601" spans="2:12" x14ac:dyDescent="0.25">
      <c r="B601" s="160">
        <v>34</v>
      </c>
      <c r="C601" s="305" t="s">
        <v>1420</v>
      </c>
      <c r="D601" s="84" t="s">
        <v>1421</v>
      </c>
      <c r="E601" s="72">
        <f>SUMIF(Adat!$AG:$AG,CONCATENATE(61,$M$4,"0981321",L565),Adat!$E:$E)*-1</f>
        <v>0</v>
      </c>
      <c r="F601" s="72">
        <f>SUMIF(Adat!$AG:$AG,CONCATENATE(60,$M$4,"0981321",L565),Adat!$E:$E)*-1+E601</f>
        <v>0</v>
      </c>
      <c r="G601" s="72">
        <f>SUMIF(Adat!$AH:$AH,CONCATENATE($M$4,"(KÖT)","0981321",L565),Adat!$E:$E)*-1</f>
        <v>0</v>
      </c>
      <c r="H601" s="72">
        <f>SUMIF(Adat!$AH:$AH,CONCATENATE($M$4,"(ÖNV)","0981321",L565),Adat!$E:$E)*-1</f>
        <v>0</v>
      </c>
      <c r="I601" s="72">
        <f>SUMIF(Adat!$AH:$AH,CONCATENATE($M$4,"(ÁIG)","0981321",L565),Adat!$E:$E)*-1</f>
        <v>0</v>
      </c>
    </row>
    <row r="602" spans="2:12" x14ac:dyDescent="0.25">
      <c r="B602" s="160">
        <v>35</v>
      </c>
      <c r="C602" s="319" t="s">
        <v>1275</v>
      </c>
      <c r="D602" s="84" t="s">
        <v>1501</v>
      </c>
      <c r="E602" s="72">
        <f>SUMIF(Adat!$AG:$AG,CONCATENATE(61,$M$4,"098161",L565),Adat!$E:$E)*-1</f>
        <v>0</v>
      </c>
      <c r="F602" s="72">
        <f>SUMIF(Adat!$AG:$AG,CONCATENATE(60,$M$4,"098161",L565),Adat!$E:$E)*-1+E602</f>
        <v>0</v>
      </c>
      <c r="G602" s="72">
        <f>SUMIF(Adat!$AH:$AH,CONCATENATE($M$4,"(KÖT)","098161",L565),Adat!$E:$E)*-1</f>
        <v>0</v>
      </c>
      <c r="H602" s="72">
        <f>SUMIF(Adat!$AH:$AH,CONCATENATE($M$4,"(ÖNV)","098161",L565),Adat!$E:$E)*-1</f>
        <v>0</v>
      </c>
      <c r="I602" s="72">
        <f>SUMIF(Adat!$AH:$AH,CONCATENATE($M$4,"(ÁIG)","098161",L565),Adat!$E:$E)*-1</f>
        <v>0</v>
      </c>
    </row>
    <row r="603" spans="2:12" x14ac:dyDescent="0.25">
      <c r="B603" s="160">
        <v>36</v>
      </c>
      <c r="C603" s="154" t="s">
        <v>364</v>
      </c>
      <c r="D603" s="159" t="s">
        <v>1502</v>
      </c>
      <c r="E603" s="121">
        <f>+E598+E599</f>
        <v>0</v>
      </c>
      <c r="F603" s="121">
        <f>+F598+F599</f>
        <v>0</v>
      </c>
      <c r="G603" s="121">
        <f>+G598+G599</f>
        <v>0</v>
      </c>
      <c r="H603" s="121">
        <f>+H598+H599</f>
        <v>0</v>
      </c>
      <c r="I603" s="121">
        <f>+I598+I599</f>
        <v>0</v>
      </c>
    </row>
    <row r="604" spans="2:12" ht="15.75" x14ac:dyDescent="0.25">
      <c r="B604" s="38"/>
      <c r="C604" s="156"/>
      <c r="D604" s="38"/>
      <c r="E604" s="140"/>
      <c r="F604" s="140"/>
      <c r="G604" s="140"/>
      <c r="H604" s="140"/>
      <c r="I604" s="140"/>
    </row>
    <row r="605" spans="2:12" s="10" customFormat="1" ht="15.75" customHeight="1" x14ac:dyDescent="0.25">
      <c r="B605" s="201" t="str">
        <f>CONCATENATE("20. Kiadási jogcímek"," - ",L605," részletező")</f>
        <v>20. Kiadási jogcímek -  részletező</v>
      </c>
      <c r="C605" s="101"/>
      <c r="D605" s="101"/>
      <c r="E605" s="101"/>
      <c r="F605" s="101"/>
      <c r="G605" s="198"/>
      <c r="H605" s="198"/>
      <c r="I605" s="198"/>
      <c r="L605" s="384"/>
    </row>
    <row r="606" spans="2:12" ht="15.75" x14ac:dyDescent="0.25">
      <c r="B606" s="38"/>
      <c r="C606" s="156"/>
      <c r="D606" s="38"/>
      <c r="E606" s="140"/>
      <c r="F606" s="140"/>
      <c r="G606" s="140"/>
      <c r="H606" s="140"/>
      <c r="I606" s="140"/>
    </row>
    <row r="607" spans="2:12" x14ac:dyDescent="0.25">
      <c r="B607" s="77"/>
      <c r="C607" s="77" t="s">
        <v>350</v>
      </c>
      <c r="D607" s="77" t="s">
        <v>351</v>
      </c>
      <c r="E607" s="77" t="s">
        <v>470</v>
      </c>
      <c r="F607" s="77" t="s">
        <v>471</v>
      </c>
      <c r="G607" s="77" t="s">
        <v>44</v>
      </c>
      <c r="H607" s="77" t="s">
        <v>42</v>
      </c>
      <c r="I607" s="77" t="s">
        <v>511</v>
      </c>
    </row>
    <row r="608" spans="2:12" ht="38.25" x14ac:dyDescent="0.25">
      <c r="B608" s="160">
        <v>1</v>
      </c>
      <c r="C608" s="154" t="s">
        <v>593</v>
      </c>
      <c r="D608" s="154" t="s">
        <v>488</v>
      </c>
      <c r="E608" s="163" t="str">
        <f>CONCATENATE(PAR!$H$3," évi
eredeti 
előirányzat")</f>
        <v>2025. évi
eredeti 
előirányzat</v>
      </c>
      <c r="F608" s="163" t="str">
        <f>CONCATENATE(PAR!$H$3," évi
módosított 
előirányzat")</f>
        <v>2025. évi
módosított 
előirányzat</v>
      </c>
      <c r="G608" s="78" t="s">
        <v>666</v>
      </c>
      <c r="H608" s="78" t="s">
        <v>667</v>
      </c>
      <c r="I608" s="78" t="s">
        <v>668</v>
      </c>
    </row>
    <row r="609" spans="2:9" x14ac:dyDescent="0.25">
      <c r="B609" s="160">
        <v>2</v>
      </c>
      <c r="C609" s="78" t="s">
        <v>352</v>
      </c>
      <c r="D609" s="92" t="s">
        <v>1444</v>
      </c>
      <c r="E609" s="121">
        <f>SUM(E610:E614)</f>
        <v>0</v>
      </c>
      <c r="F609" s="121">
        <f>SUM(F610:F614)</f>
        <v>0</v>
      </c>
      <c r="G609" s="121">
        <f>SUM(G610:G614)</f>
        <v>0</v>
      </c>
      <c r="H609" s="121">
        <f>SUM(H610:H614)</f>
        <v>0</v>
      </c>
      <c r="I609" s="121">
        <f>SUM(I610:I614)</f>
        <v>0</v>
      </c>
    </row>
    <row r="610" spans="2:9" x14ac:dyDescent="0.25">
      <c r="B610" s="160">
        <v>3</v>
      </c>
      <c r="C610" s="305" t="s">
        <v>315</v>
      </c>
      <c r="D610" s="93" t="s">
        <v>342</v>
      </c>
      <c r="E610" s="72">
        <f>SUMIF(Adat!$AI:$AI,CONCATENATE(61,$M$4,"051",L605),Adat!$E:$E)</f>
        <v>0</v>
      </c>
      <c r="F610" s="72">
        <f>SUMIF(Adat!$AI:$AI,CONCATENATE(60,$M$4,"051",L605),Adat!$E:$E)+E610</f>
        <v>0</v>
      </c>
      <c r="G610" s="72">
        <f>SUMIF(Adat!$AJ:$AJ,CONCATENATE($M$4,"051","(KÖT)",L605),Adat!$E:$E)</f>
        <v>0</v>
      </c>
      <c r="H610" s="72">
        <f>SUMIF(Adat!$AJ:$AJ,CONCATENATE($M$4,"051","(ÖNV)",L605),Adat!$E:$E)</f>
        <v>0</v>
      </c>
      <c r="I610" s="72">
        <f>SUMIF(Adat!$AJ:$AJ,CONCATENATE($M$4,"051","(ÁIG)",L605),Adat!$E:$E)</f>
        <v>0</v>
      </c>
    </row>
    <row r="611" spans="2:9" x14ac:dyDescent="0.25">
      <c r="B611" s="160">
        <v>4</v>
      </c>
      <c r="C611" s="305" t="s">
        <v>317</v>
      </c>
      <c r="D611" s="93" t="s">
        <v>395</v>
      </c>
      <c r="E611" s="72">
        <f>SUMIF(Adat!$AI:$AI,CONCATENATE(61,$M$4,"052",L605),Adat!$E:$E)</f>
        <v>0</v>
      </c>
      <c r="F611" s="72">
        <f>SUMIF(Adat!$AI:$AI,CONCATENATE(60,$M$4,"052",L605),Adat!$E:$E)+E611</f>
        <v>0</v>
      </c>
      <c r="G611" s="72">
        <f>SUMIF(Adat!$AJ:$AJ,CONCATENATE($M$4,"052","(KÖT)",L605),Adat!$E:$E)</f>
        <v>0</v>
      </c>
      <c r="H611" s="72">
        <f>SUMIF(Adat!$AJ:$AJ,CONCATENATE($M$4,"052","(ÖNV)",L605),Adat!$E:$E)</f>
        <v>0</v>
      </c>
      <c r="I611" s="72">
        <f>SUMIF(Adat!$AJ:$AJ,CONCATENATE($M$4,"052","(ÁIG)",L605),Adat!$E:$E)</f>
        <v>0</v>
      </c>
    </row>
    <row r="612" spans="2:9" x14ac:dyDescent="0.25">
      <c r="B612" s="160">
        <v>5</v>
      </c>
      <c r="C612" s="305" t="s">
        <v>4</v>
      </c>
      <c r="D612" s="93" t="s">
        <v>344</v>
      </c>
      <c r="E612" s="72">
        <f>SUMIF(Adat!$AI:$AI,CONCATENATE(61,$M$4,"053",L605),Adat!$E:$E)</f>
        <v>0</v>
      </c>
      <c r="F612" s="72">
        <f>SUMIF(Adat!$AI:$AI,CONCATENATE(60,$M$4,"053",L605),Adat!$E:$E)+E612</f>
        <v>0</v>
      </c>
      <c r="G612" s="72">
        <f>SUMIF(Adat!$AJ:$AJ,CONCATENATE($M$4,"053","(KÖT)",L605),Adat!$E:$E)</f>
        <v>0</v>
      </c>
      <c r="H612" s="72">
        <f>SUMIF(Adat!$AJ:$AJ,CONCATENATE($M$4,"053","(ÖNV)",L605),Adat!$E:$E)</f>
        <v>0</v>
      </c>
      <c r="I612" s="72">
        <f>SUMIF(Adat!$AJ:$AJ,CONCATENATE($M$4,"053","(ÁIG)",L605),Adat!$E:$E)</f>
        <v>0</v>
      </c>
    </row>
    <row r="613" spans="2:9" x14ac:dyDescent="0.25">
      <c r="B613" s="160">
        <v>6</v>
      </c>
      <c r="C613" s="305" t="s">
        <v>6</v>
      </c>
      <c r="D613" s="93" t="s">
        <v>345</v>
      </c>
      <c r="E613" s="72">
        <f>SUMIF(Adat!$AI:$AI,CONCATENATE(61,$M$4,"054",L605),Adat!$E:$E)</f>
        <v>0</v>
      </c>
      <c r="F613" s="72">
        <f>SUMIF(Adat!$AI:$AI,CONCATENATE(60,$M$4,"054",L605),Adat!$E:$E)+E613</f>
        <v>0</v>
      </c>
      <c r="G613" s="72">
        <f>SUMIF(Adat!$AJ:$AJ,CONCATENATE($M$4,"054","(KÖT)",L605),Adat!$E:$E)</f>
        <v>0</v>
      </c>
      <c r="H613" s="72">
        <f>SUMIF(Adat!$AJ:$AJ,CONCATENATE($M$4,"054","(ÖNV)",L605),Adat!$E:$E)</f>
        <v>0</v>
      </c>
      <c r="I613" s="72">
        <f>SUMIF(Adat!$AJ:$AJ,CONCATENATE($M$4,"054","(ÁIG)",L605),Adat!$E:$E)</f>
        <v>0</v>
      </c>
    </row>
    <row r="614" spans="2:9" x14ac:dyDescent="0.25">
      <c r="B614" s="160">
        <v>7</v>
      </c>
      <c r="C614" s="305" t="s">
        <v>8</v>
      </c>
      <c r="D614" s="93" t="s">
        <v>321</v>
      </c>
      <c r="E614" s="72">
        <f>SUMIF(Adat!$AI:$AI,CONCATENATE(61,$M$4,"055",L605),Adat!$E:$E)</f>
        <v>0</v>
      </c>
      <c r="F614" s="72">
        <f>SUMIF(Adat!$AI:$AI,CONCATENATE(60,$M$4,"055",L605),Adat!$E:$E)+E614</f>
        <v>0</v>
      </c>
      <c r="G614" s="72">
        <f>SUMIF(Adat!$AJ:$AJ,CONCATENATE($M$4,"055","(KÖT)",L605),Adat!$E:$E)</f>
        <v>0</v>
      </c>
      <c r="H614" s="72">
        <f>SUMIF(Adat!$AJ:$AJ,CONCATENATE($M$4,"055","(ÖNV)",L605),Adat!$E:$E)</f>
        <v>0</v>
      </c>
      <c r="I614" s="72">
        <f>SUMIF(Adat!$AJ:$AJ,CONCATENATE($M$4,"055","(ÁIG)",L605),Adat!$E:$E)</f>
        <v>0</v>
      </c>
    </row>
    <row r="615" spans="2:9" x14ac:dyDescent="0.25">
      <c r="B615" s="160">
        <v>8</v>
      </c>
      <c r="C615" s="78" t="s">
        <v>358</v>
      </c>
      <c r="D615" s="92" t="s">
        <v>1447</v>
      </c>
      <c r="E615" s="121">
        <f>E616+E618+E620</f>
        <v>0</v>
      </c>
      <c r="F615" s="121">
        <f>F616+F618+F620</f>
        <v>0</v>
      </c>
      <c r="G615" s="121">
        <f>G616+G618+G620</f>
        <v>0</v>
      </c>
      <c r="H615" s="121">
        <f>H616+H618+H620</f>
        <v>0</v>
      </c>
      <c r="I615" s="121">
        <f>I616+I618+I620</f>
        <v>0</v>
      </c>
    </row>
    <row r="616" spans="2:9" x14ac:dyDescent="0.25">
      <c r="B616" s="160">
        <v>9</v>
      </c>
      <c r="C616" s="305" t="s">
        <v>10</v>
      </c>
      <c r="D616" s="93" t="s">
        <v>322</v>
      </c>
      <c r="E616" s="72">
        <f>SUMIF(Adat!$AI:$AI,CONCATENATE(61,$M$4,"056",L605),Adat!$E:$E)</f>
        <v>0</v>
      </c>
      <c r="F616" s="72">
        <f>SUMIF(Adat!$AI:$AI,CONCATENATE(60,$M$4,"056",L605),Adat!$E:$E)+E616</f>
        <v>0</v>
      </c>
      <c r="G616" s="72">
        <f>SUMIF(Adat!$AJ:$AJ,CONCATENATE($M$4,"056","(KÖT)",L605),Adat!$E:$E)</f>
        <v>0</v>
      </c>
      <c r="H616" s="72">
        <f>SUMIF(Adat!$AJ:$AJ,CONCATENATE($M$4,"056","(ÖNV)",L605),Adat!$E:$E)</f>
        <v>0</v>
      </c>
      <c r="I616" s="72">
        <f>SUMIF(Adat!$AJ:$AJ,CONCATENATE($M$4,"056","(ÁIG)",L605),Adat!$E:$E)</f>
        <v>0</v>
      </c>
    </row>
    <row r="617" spans="2:9" x14ac:dyDescent="0.25">
      <c r="B617" s="160">
        <v>10</v>
      </c>
      <c r="C617" s="305" t="s">
        <v>10</v>
      </c>
      <c r="D617" s="93" t="s">
        <v>1448</v>
      </c>
      <c r="E617" s="72">
        <v>0</v>
      </c>
      <c r="F617" s="72">
        <f>SUM(G617:I617)</f>
        <v>0</v>
      </c>
      <c r="G617" s="72">
        <v>0</v>
      </c>
      <c r="H617" s="72">
        <v>0</v>
      </c>
      <c r="I617" s="72">
        <v>0</v>
      </c>
    </row>
    <row r="618" spans="2:9" x14ac:dyDescent="0.25">
      <c r="B618" s="160">
        <v>11</v>
      </c>
      <c r="C618" s="305" t="s">
        <v>12</v>
      </c>
      <c r="D618" s="93" t="s">
        <v>323</v>
      </c>
      <c r="E618" s="72">
        <f>SUMIF(Adat!$AI:$AI,CONCATENATE(61,$M$4,"057",L605),Adat!$E:$E)</f>
        <v>0</v>
      </c>
      <c r="F618" s="72">
        <f>SUMIF(Adat!$AI:$AI,CONCATENATE(60,$M$4,"057",L605),Adat!$E:$E)+E618</f>
        <v>0</v>
      </c>
      <c r="G618" s="72">
        <f>SUMIF(Adat!$AJ:$AJ,CONCATENATE($M$4,"057","(KÖT)",L605),Adat!$E:$E)</f>
        <v>0</v>
      </c>
      <c r="H618" s="72">
        <f>SUMIF(Adat!$AJ:$AJ,CONCATENATE($M$4,"057","(ÖNV)",L605),Adat!$E:$E)</f>
        <v>0</v>
      </c>
      <c r="I618" s="72">
        <f>SUMIF(Adat!$AJ:$AJ,CONCATENATE($M$4,"057","(ÁIG)",L605),Adat!$E:$E)</f>
        <v>0</v>
      </c>
    </row>
    <row r="619" spans="2:9" x14ac:dyDescent="0.25">
      <c r="B619" s="160">
        <v>12</v>
      </c>
      <c r="C619" s="305" t="s">
        <v>12</v>
      </c>
      <c r="D619" s="93" t="s">
        <v>1449</v>
      </c>
      <c r="E619" s="72">
        <v>0</v>
      </c>
      <c r="F619" s="72">
        <f>SUM(G619:I619)</f>
        <v>0</v>
      </c>
      <c r="G619" s="72">
        <v>0</v>
      </c>
      <c r="H619" s="72">
        <v>0</v>
      </c>
      <c r="I619" s="72">
        <v>0</v>
      </c>
    </row>
    <row r="620" spans="2:9" x14ac:dyDescent="0.25">
      <c r="B620" s="160">
        <v>13</v>
      </c>
      <c r="C620" s="305" t="s">
        <v>15</v>
      </c>
      <c r="D620" s="84" t="s">
        <v>324</v>
      </c>
      <c r="E620" s="72">
        <f>SUMIF(Adat!$AI:$AI,CONCATENATE(61,$M$4,"058",L605),Adat!$E:$E)</f>
        <v>0</v>
      </c>
      <c r="F620" s="72">
        <f>SUMIF(Adat!$AI:$AI,CONCATENATE(60,$M$4,"058",L605),Adat!$E:$E)+E620</f>
        <v>0</v>
      </c>
      <c r="G620" s="72">
        <f>SUMIF(Adat!$AJ:$AJ,CONCATENATE($M$4,"058","(KÖT)",L605),Adat!$E:$E)</f>
        <v>0</v>
      </c>
      <c r="H620" s="72">
        <f>SUMIF(Adat!$AJ:$AJ,CONCATENATE($M$4,"058","(ÖNV)",L605),Adat!$E:$E)</f>
        <v>0</v>
      </c>
      <c r="I620" s="72">
        <f>SUMIF(Adat!$AJ:$AJ,CONCATENATE($M$4,"058","(ÁIG)",L605),Adat!$E:$E)</f>
        <v>0</v>
      </c>
    </row>
    <row r="621" spans="2:9" x14ac:dyDescent="0.25">
      <c r="B621" s="160">
        <v>14</v>
      </c>
      <c r="C621" s="154" t="s">
        <v>364</v>
      </c>
      <c r="D621" s="86" t="s">
        <v>325</v>
      </c>
      <c r="E621" s="71">
        <f>SUMIF(Adat!$AI:$AI,CONCATENATE(61,$M$4,"059",L605),Adat!$E:$E)</f>
        <v>0</v>
      </c>
      <c r="F621" s="71">
        <f>SUMIF(Adat!$AI:$AI,CONCATENATE(60,$M$4,"059",L605),Adat!$E:$E)+E621</f>
        <v>0</v>
      </c>
      <c r="G621" s="71">
        <f>SUMIF(Adat!$AJ:$AJ,CONCATENATE($M$4,"059","(KÖT)",L605),Adat!$E:$E)</f>
        <v>0</v>
      </c>
      <c r="H621" s="71">
        <f>SUMIF(Adat!$AJ:$AJ,CONCATENATE($M$4,"059","(ÖNV)",L605),Adat!$E:$E)</f>
        <v>0</v>
      </c>
      <c r="I621" s="71">
        <f>SUMIF(Adat!$AJ:$AJ,CONCATENATE($M$4,"059","(ÁIG)",L605),Adat!$E:$E)</f>
        <v>0</v>
      </c>
    </row>
    <row r="622" spans="2:9" x14ac:dyDescent="0.25">
      <c r="B622" s="160">
        <v>15</v>
      </c>
      <c r="C622" s="154" t="s">
        <v>403</v>
      </c>
      <c r="D622" s="159" t="s">
        <v>497</v>
      </c>
      <c r="E622" s="121">
        <f>E609+E615+E621</f>
        <v>0</v>
      </c>
      <c r="F622" s="121">
        <f>F609+F615+F621</f>
        <v>0</v>
      </c>
      <c r="G622" s="121">
        <f>G609+G615+G621</f>
        <v>0</v>
      </c>
      <c r="H622" s="121">
        <f>H609+H615+H621</f>
        <v>0</v>
      </c>
      <c r="I622" s="121">
        <f>I609+I615+I621</f>
        <v>0</v>
      </c>
    </row>
    <row r="623" spans="2:9" ht="15.75" x14ac:dyDescent="0.25">
      <c r="B623" s="37"/>
      <c r="C623" s="529"/>
      <c r="D623" s="529"/>
      <c r="E623" s="529"/>
      <c r="F623" s="200"/>
      <c r="G623" s="200"/>
      <c r="H623" s="200"/>
      <c r="I623" s="200"/>
    </row>
    <row r="624" spans="2:9" ht="15.75" x14ac:dyDescent="0.25">
      <c r="B624" s="525" t="str">
        <f>$N$4</f>
        <v>Nagymaros Városi Könyvtár és Művelődési Ház</v>
      </c>
      <c r="C624" s="525"/>
      <c r="D624" s="525"/>
      <c r="E624" s="525"/>
      <c r="F624" s="525"/>
      <c r="G624" s="525"/>
      <c r="H624" s="525"/>
      <c r="I624" s="525"/>
    </row>
    <row r="625" spans="2:12" ht="15.75" x14ac:dyDescent="0.25">
      <c r="B625" s="525" t="s">
        <v>2660</v>
      </c>
      <c r="C625" s="525"/>
      <c r="D625" s="525"/>
      <c r="E625" s="525"/>
      <c r="F625" s="525"/>
      <c r="G625" s="525"/>
      <c r="H625" s="525"/>
      <c r="I625" s="525"/>
    </row>
    <row r="626" spans="2:12" ht="15.75" x14ac:dyDescent="0.25">
      <c r="B626" s="38"/>
      <c r="C626" s="156"/>
      <c r="D626" s="38"/>
      <c r="E626" s="140"/>
      <c r="F626" s="140"/>
      <c r="G626" s="140"/>
      <c r="H626" s="140"/>
      <c r="I626" s="140"/>
    </row>
    <row r="627" spans="2:12" s="10" customFormat="1" ht="15.75" customHeight="1" x14ac:dyDescent="0.25">
      <c r="B627" s="201" t="str">
        <f>CONCATENATE("21. Bevételi jogcímek"," - ",L627," részletező")</f>
        <v>21. Bevételi jogcímek -  részletező</v>
      </c>
      <c r="C627" s="101"/>
      <c r="D627" s="101"/>
      <c r="E627" s="101"/>
      <c r="F627" s="101"/>
      <c r="G627" s="198"/>
      <c r="H627" s="198"/>
      <c r="I627" s="198"/>
      <c r="L627" s="384"/>
    </row>
    <row r="628" spans="2:12" ht="15.75" x14ac:dyDescent="0.25">
      <c r="B628" s="38"/>
      <c r="C628" s="156"/>
      <c r="D628" s="38"/>
      <c r="E628" s="140"/>
      <c r="F628" s="140"/>
      <c r="G628" s="140"/>
      <c r="H628" s="140"/>
      <c r="I628" s="140"/>
    </row>
    <row r="629" spans="2:12" x14ac:dyDescent="0.25">
      <c r="B629" s="77"/>
      <c r="C629" s="77" t="s">
        <v>350</v>
      </c>
      <c r="D629" s="77" t="s">
        <v>351</v>
      </c>
      <c r="E629" s="77" t="s">
        <v>470</v>
      </c>
      <c r="F629" s="77" t="s">
        <v>471</v>
      </c>
      <c r="G629" s="77" t="s">
        <v>44</v>
      </c>
      <c r="H629" s="77" t="s">
        <v>42</v>
      </c>
      <c r="I629" s="77" t="s">
        <v>511</v>
      </c>
    </row>
    <row r="630" spans="2:12" ht="38.25" x14ac:dyDescent="0.25">
      <c r="B630" s="160">
        <v>1</v>
      </c>
      <c r="C630" s="154" t="s">
        <v>593</v>
      </c>
      <c r="D630" s="154" t="s">
        <v>488</v>
      </c>
      <c r="E630" s="163" t="str">
        <f>CONCATENATE(PAR!$H$3," évi
eredeti 
előirányzat")</f>
        <v>2025. évi
eredeti 
előirányzat</v>
      </c>
      <c r="F630" s="163" t="str">
        <f>CONCATENATE(PAR!$H$3," évi
módosított 
előirányzat")</f>
        <v>2025. évi
módosított 
előirányzat</v>
      </c>
      <c r="G630" s="78" t="s">
        <v>666</v>
      </c>
      <c r="H630" s="78" t="s">
        <v>667</v>
      </c>
      <c r="I630" s="78" t="s">
        <v>668</v>
      </c>
    </row>
    <row r="631" spans="2:12" x14ac:dyDescent="0.25">
      <c r="B631" s="160">
        <v>2</v>
      </c>
      <c r="C631" s="79" t="s">
        <v>30</v>
      </c>
      <c r="D631" s="79" t="s">
        <v>329</v>
      </c>
      <c r="E631" s="121">
        <f>SUM(E632:E644)</f>
        <v>0</v>
      </c>
      <c r="F631" s="121">
        <f t="shared" ref="F631:I631" si="40">SUM(F632:F644)</f>
        <v>0</v>
      </c>
      <c r="G631" s="121">
        <f t="shared" si="40"/>
        <v>0</v>
      </c>
      <c r="H631" s="121">
        <f t="shared" si="40"/>
        <v>0</v>
      </c>
      <c r="I631" s="121">
        <f t="shared" si="40"/>
        <v>0</v>
      </c>
    </row>
    <row r="632" spans="2:12" x14ac:dyDescent="0.2">
      <c r="B632" s="160">
        <v>3</v>
      </c>
      <c r="C632" s="305" t="s">
        <v>1309</v>
      </c>
      <c r="D632" s="82" t="s">
        <v>1356</v>
      </c>
      <c r="E632" s="72">
        <f>SUMIF(Adat!$AG:$AG,CONCATENATE(61,$M$4,"094011",L627),Adat!$E:$E)*-1</f>
        <v>0</v>
      </c>
      <c r="F632" s="72">
        <f>SUMIF(Adat!$AG:$AG,CONCATENATE(60,$M$4,"094011",L627),Adat!$E:$E)*-1+E632</f>
        <v>0</v>
      </c>
      <c r="G632" s="72">
        <f>SUMIF(Adat!$AH:$AH,CONCATENATE($M$4,"(KÖT)","094011",L627),Adat!$E:$E)*-1</f>
        <v>0</v>
      </c>
      <c r="H632" s="72">
        <f>SUMIF(Adat!$AH:$AH,CONCATENATE($M$4,"(ÖNV)","094011",L627),Adat!$E:$E)*-1</f>
        <v>0</v>
      </c>
      <c r="I632" s="72">
        <f>SUMIF(Adat!$AH:$AH,CONCATENATE($M$4,"(ÁIG)","094011",L627),Adat!$E:$E)*-1</f>
        <v>0</v>
      </c>
    </row>
    <row r="633" spans="2:12" x14ac:dyDescent="0.2">
      <c r="B633" s="160">
        <v>4</v>
      </c>
      <c r="C633" s="305" t="s">
        <v>1279</v>
      </c>
      <c r="D633" s="82" t="s">
        <v>1357</v>
      </c>
      <c r="E633" s="72">
        <f>SUMIF(Adat!$AG:$AG,CONCATENATE(61,$M$4,"094021",L627),Adat!$E:$E)*-1</f>
        <v>0</v>
      </c>
      <c r="F633" s="72">
        <f>SUMIF(Adat!$AG:$AG,CONCATENATE(60,$M$4,"094021",L627),Adat!$E:$E)*-1+E633</f>
        <v>0</v>
      </c>
      <c r="G633" s="72">
        <f>SUMIF(Adat!$AH:$AH,CONCATENATE($M$4,"(KÖT)","094021",L627),Adat!$E:$E)*-1</f>
        <v>0</v>
      </c>
      <c r="H633" s="72">
        <f>SUMIF(Adat!$AH:$AH,CONCATENATE($M$4,"(ÖNV)","094021",L627),Adat!$E:$E)*-1</f>
        <v>0</v>
      </c>
      <c r="I633" s="72">
        <f>SUMIF(Adat!$AH:$AH,CONCATENATE($M$4,"(ÁIG)","094021",L627),Adat!$E:$E)*-1</f>
        <v>0</v>
      </c>
    </row>
    <row r="634" spans="2:12" x14ac:dyDescent="0.2">
      <c r="B634" s="160">
        <v>5</v>
      </c>
      <c r="C634" s="305" t="s">
        <v>1272</v>
      </c>
      <c r="D634" s="82" t="s">
        <v>1358</v>
      </c>
      <c r="E634" s="72">
        <f>SUMIF(Adat!$AG:$AG,CONCATENATE(61,$M$4,"094031",L627),Adat!$E:$E)*-1</f>
        <v>0</v>
      </c>
      <c r="F634" s="72">
        <f>SUMIF(Adat!$AG:$AG,CONCATENATE(60,$M$4,"094031",L627),Adat!$E:$E)*-1+E634</f>
        <v>0</v>
      </c>
      <c r="G634" s="72">
        <f>SUMIF(Adat!$AH:$AH,CONCATENATE($M$4,"(KÖT)","094031",L627),Adat!$E:$E)*-1</f>
        <v>0</v>
      </c>
      <c r="H634" s="72">
        <f>SUMIF(Adat!$AH:$AH,CONCATENATE($M$4,"(ÖNV)","094031",L627),Adat!$E:$E)*-1</f>
        <v>0</v>
      </c>
      <c r="I634" s="72">
        <f>SUMIF(Adat!$AH:$AH,CONCATENATE($M$4,"(ÁIG)","094031",L627),Adat!$E:$E)*-1</f>
        <v>0</v>
      </c>
    </row>
    <row r="635" spans="2:12" x14ac:dyDescent="0.2">
      <c r="B635" s="160">
        <v>6</v>
      </c>
      <c r="C635" s="305" t="s">
        <v>1359</v>
      </c>
      <c r="D635" s="82" t="s">
        <v>1360</v>
      </c>
      <c r="E635" s="72">
        <f>SUMIF(Adat!$AG:$AG,CONCATENATE(61,$M$4,"094041",L627),Adat!$E:$E)*-1</f>
        <v>0</v>
      </c>
      <c r="F635" s="72">
        <f>SUMIF(Adat!$AG:$AG,CONCATENATE(60,$M$4,"094041",L627),Adat!$E:$E)*-1+E635</f>
        <v>0</v>
      </c>
      <c r="G635" s="72">
        <f>SUMIF(Adat!$AH:$AH,CONCATENATE($M$4,"(KÖT)","094041",L627),Adat!$E:$E)*-1</f>
        <v>0</v>
      </c>
      <c r="H635" s="72">
        <f>SUMIF(Adat!$AH:$AH,CONCATENATE($M$4,"(ÖNV)","094041",L627),Adat!$E:$E)*-1</f>
        <v>0</v>
      </c>
      <c r="I635" s="72">
        <f>SUMIF(Adat!$AH:$AH,CONCATENATE($M$4,"(ÁIG)","094041",L627),Adat!$E:$E)*-1</f>
        <v>0</v>
      </c>
    </row>
    <row r="636" spans="2:12" x14ac:dyDescent="0.2">
      <c r="B636" s="160">
        <v>7</v>
      </c>
      <c r="C636" s="305" t="s">
        <v>1261</v>
      </c>
      <c r="D636" s="82" t="s">
        <v>1361</v>
      </c>
      <c r="E636" s="72">
        <f>SUMIF(Adat!$AG:$AG,CONCATENATE(61,$M$4,"094051",L627),Adat!$E:$E)*-1</f>
        <v>0</v>
      </c>
      <c r="F636" s="72">
        <f>SUMIF(Adat!$AG:$AG,CONCATENATE(60,$M$4,"094051",L627),Adat!$E:$E)*-1+E636</f>
        <v>0</v>
      </c>
      <c r="G636" s="72">
        <f>SUMIF(Adat!$AH:$AH,CONCATENATE($M$4,"(KÖT)","094051",L627),Adat!$E:$E)*-1</f>
        <v>0</v>
      </c>
      <c r="H636" s="72">
        <f>SUMIF(Adat!$AH:$AH,CONCATENATE($M$4,"(ÖNV)","094051",L627),Adat!$E:$E)*-1</f>
        <v>0</v>
      </c>
      <c r="I636" s="72">
        <f>SUMIF(Adat!$AH:$AH,CONCATENATE($M$4,"(ÁIG)","094051",L627),Adat!$E:$E)*-1</f>
        <v>0</v>
      </c>
    </row>
    <row r="637" spans="2:12" x14ac:dyDescent="0.2">
      <c r="B637" s="160">
        <v>8</v>
      </c>
      <c r="C637" s="305" t="s">
        <v>1273</v>
      </c>
      <c r="D637" s="82" t="s">
        <v>1362</v>
      </c>
      <c r="E637" s="72">
        <f>SUMIF(Adat!$AG:$AG,CONCATENATE(61,$M$4,"094061",L627),Adat!$E:$E)*-1</f>
        <v>0</v>
      </c>
      <c r="F637" s="72">
        <f>SUMIF(Adat!$AG:$AG,CONCATENATE(60,$M$4,"094061",L627),Adat!$E:$E)*-1+E637</f>
        <v>0</v>
      </c>
      <c r="G637" s="72">
        <f>SUMIF(Adat!$AH:$AH,CONCATENATE($M$4,"(KÖT)","094061",L627),Adat!$E:$E)*-1</f>
        <v>0</v>
      </c>
      <c r="H637" s="72">
        <f>SUMIF(Adat!$AH:$AH,CONCATENATE($M$4,"(ÖNV)","094061",L627),Adat!$E:$E)*-1</f>
        <v>0</v>
      </c>
      <c r="I637" s="72">
        <f>SUMIF(Adat!$AH:$AH,CONCATENATE($M$4,"(ÁIG)","094061",L627),Adat!$E:$E)*-1</f>
        <v>0</v>
      </c>
    </row>
    <row r="638" spans="2:12" x14ac:dyDescent="0.2">
      <c r="B638" s="160">
        <v>9</v>
      </c>
      <c r="C638" s="305" t="s">
        <v>1363</v>
      </c>
      <c r="D638" s="82" t="s">
        <v>1364</v>
      </c>
      <c r="E638" s="72">
        <f>SUMIF(Adat!$AG:$AG,CONCATENATE(61,$M$4,"094071",L627),Adat!$E:$E)*-1</f>
        <v>0</v>
      </c>
      <c r="F638" s="72">
        <f>SUMIF(Adat!$AG:$AG,CONCATENATE(60,$M$4,"094071",L627),Adat!$E:$E)*-1+E638</f>
        <v>0</v>
      </c>
      <c r="G638" s="72">
        <f>SUMIF(Adat!$AH:$AH,CONCATENATE($M$4,"(KÖT)","094071",L627),Adat!$E:$E)*-1</f>
        <v>0</v>
      </c>
      <c r="H638" s="72">
        <f>SUMIF(Adat!$AH:$AH,CONCATENATE($M$4,"(ÖNV)","094071",L627),Adat!$E:$E)*-1</f>
        <v>0</v>
      </c>
      <c r="I638" s="72">
        <f>SUMIF(Adat!$AH:$AH,CONCATENATE($M$4,"(ÁIG)","094071",L627),Adat!$E:$E)*-1</f>
        <v>0</v>
      </c>
    </row>
    <row r="639" spans="2:12" x14ac:dyDescent="0.2">
      <c r="B639" s="160">
        <v>10</v>
      </c>
      <c r="C639" s="305" t="s">
        <v>1306</v>
      </c>
      <c r="D639" s="82" t="s">
        <v>1365</v>
      </c>
      <c r="E639" s="72">
        <f>SUMIF(Adat!$AG:$AG,CONCATENATE(61,$M$4,"0940811",L627),Adat!$E:$E)*-1</f>
        <v>0</v>
      </c>
      <c r="F639" s="72">
        <f>SUMIF(Adat!$AG:$AG,CONCATENATE(60,$M$4,"0940811",L627),Adat!$E:$E)*-1+E639</f>
        <v>0</v>
      </c>
      <c r="G639" s="72">
        <f>SUMIF(Adat!$AH:$AH,CONCATENATE($M$4,"(KÖT)","0940811",L627),Adat!$E:$E)*-1</f>
        <v>0</v>
      </c>
      <c r="H639" s="72">
        <f>SUMIF(Adat!$AH:$AH,CONCATENATE($M$4,"(ÖNV)","0940811",L627),Adat!$E:$E)*-1</f>
        <v>0</v>
      </c>
      <c r="I639" s="72">
        <f>SUMIF(Adat!$AH:$AH,CONCATENATE($M$4,"(ÁIG)","0940811",L627),Adat!$E:$E)*-1</f>
        <v>0</v>
      </c>
    </row>
    <row r="640" spans="2:12" x14ac:dyDescent="0.2">
      <c r="B640" s="160">
        <v>11</v>
      </c>
      <c r="C640" s="305" t="s">
        <v>1295</v>
      </c>
      <c r="D640" s="82" t="s">
        <v>1366</v>
      </c>
      <c r="E640" s="72">
        <f>SUMIF(Adat!$AG:$AG,CONCATENATE(61,$M$4,"0940821",L627),Adat!$E:$E)*-1</f>
        <v>0</v>
      </c>
      <c r="F640" s="72">
        <f>SUMIF(Adat!$AG:$AG,CONCATENATE(60,$M$4,"0940821",L627),Adat!$E:$E)*-1+E640</f>
        <v>0</v>
      </c>
      <c r="G640" s="72">
        <f>SUMIF(Adat!$AH:$AH,CONCATENATE($M$4,"(KÖT)","0940821",L627),Adat!$E:$E)*-1</f>
        <v>0</v>
      </c>
      <c r="H640" s="72">
        <f>SUMIF(Adat!$AH:$AH,CONCATENATE($M$4,"(ÖNV)","0940821",L627),Adat!$E:$E)*-1</f>
        <v>0</v>
      </c>
      <c r="I640" s="72">
        <f>SUMIF(Adat!$AH:$AH,CONCATENATE($M$4,"(ÁIG)","0940821",L627),Adat!$E:$E)*-1</f>
        <v>0</v>
      </c>
    </row>
    <row r="641" spans="2:9" x14ac:dyDescent="0.2">
      <c r="B641" s="160">
        <v>12</v>
      </c>
      <c r="C641" s="305" t="s">
        <v>1367</v>
      </c>
      <c r="D641" s="82" t="s">
        <v>1368</v>
      </c>
      <c r="E641" s="72">
        <f>SUMIF(Adat!$AG:$AG,CONCATENATE(61,$M$4,"0940911",L627),Adat!$E:$E)*-1</f>
        <v>0</v>
      </c>
      <c r="F641" s="72">
        <f>SUMIF(Adat!$AG:$AG,CONCATENATE(60,$M$4,"0940911",L627),Adat!$E:$E)*-1+E641</f>
        <v>0</v>
      </c>
      <c r="G641" s="72">
        <f>SUMIF(Adat!$AH:$AH,CONCATENATE($M$4,"(KÖT)","0940911",L627),Adat!$E:$E)*-1</f>
        <v>0</v>
      </c>
      <c r="H641" s="72">
        <f>SUMIF(Adat!$AH:$AH,CONCATENATE($M$4,"(ÖNV)","0940911",L627),Adat!$E:$E)*-1</f>
        <v>0</v>
      </c>
      <c r="I641" s="72">
        <f>SUMIF(Adat!$AH:$AH,CONCATENATE($M$4,"(ÁIG)","0940911",L627),Adat!$E:$E)*-1</f>
        <v>0</v>
      </c>
    </row>
    <row r="642" spans="2:9" x14ac:dyDescent="0.2">
      <c r="B642" s="160">
        <v>13</v>
      </c>
      <c r="C642" s="305" t="s">
        <v>1369</v>
      </c>
      <c r="D642" s="82" t="s">
        <v>1370</v>
      </c>
      <c r="E642" s="72">
        <f>SUMIF(Adat!$AG:$AG,CONCATENATE(61,$M$4,"0940921",L627),Adat!$E:$E)*-1</f>
        <v>0</v>
      </c>
      <c r="F642" s="72">
        <f>SUMIF(Adat!$AG:$AG,CONCATENATE(60,$M$4,"0940921",L627),Adat!$E:$E)*-1+E642</f>
        <v>0</v>
      </c>
      <c r="G642" s="72">
        <f>SUMIF(Adat!$AH:$AH,CONCATENATE($M$4,"(KÖT)","0940921",L627),Adat!$E:$E)*-1</f>
        <v>0</v>
      </c>
      <c r="H642" s="72">
        <f>SUMIF(Adat!$AH:$AH,CONCATENATE($M$4,"(ÖNV)","0940921",L627),Adat!$E:$E)*-1</f>
        <v>0</v>
      </c>
      <c r="I642" s="72">
        <f>SUMIF(Adat!$AH:$AH,CONCATENATE($M$4,"(ÁIG)","0940921",L627),Adat!$E:$E)*-1</f>
        <v>0</v>
      </c>
    </row>
    <row r="643" spans="2:9" x14ac:dyDescent="0.2">
      <c r="B643" s="160">
        <v>14</v>
      </c>
      <c r="C643" s="305" t="s">
        <v>1296</v>
      </c>
      <c r="D643" s="82" t="s">
        <v>1371</v>
      </c>
      <c r="E643" s="72">
        <f>SUMIF(Adat!$AG:$AG,CONCATENATE(61,$M$4,"094101",L627),Adat!$E:$E)*-1</f>
        <v>0</v>
      </c>
      <c r="F643" s="72">
        <f>SUMIF(Adat!$AG:$AG,CONCATENATE(60,$M$4,"094101",L627),Adat!$E:$E)*-1+E643</f>
        <v>0</v>
      </c>
      <c r="G643" s="72">
        <f>SUMIF(Adat!$AH:$AH,CONCATENATE($M$4,"(KÖT)","094101",L627),Adat!$E:$E)*-1</f>
        <v>0</v>
      </c>
      <c r="H643" s="72">
        <f>SUMIF(Adat!$AH:$AH,CONCATENATE($M$4,"(ÖNV)","094101",L627),Adat!$E:$E)*-1</f>
        <v>0</v>
      </c>
      <c r="I643" s="72">
        <f>SUMIF(Adat!$AH:$AH,CONCATENATE($M$4,"(ÁIG)","094101",L627),Adat!$E:$E)*-1</f>
        <v>0</v>
      </c>
    </row>
    <row r="644" spans="2:9" x14ac:dyDescent="0.25">
      <c r="B644" s="160">
        <v>15</v>
      </c>
      <c r="C644" s="305" t="s">
        <v>1297</v>
      </c>
      <c r="D644" s="84" t="s">
        <v>1372</v>
      </c>
      <c r="E644" s="72">
        <f>SUMIF(Adat!$AG:$AG,CONCATENATE(61,$M$4,"094111",L627),Adat!$E:$E)*-1</f>
        <v>0</v>
      </c>
      <c r="F644" s="72">
        <f>SUMIF(Adat!$AG:$AG,CONCATENATE(60,$M$4,"094111",L627),Adat!$E:$E)*-1+E644</f>
        <v>0</v>
      </c>
      <c r="G644" s="72">
        <f>SUMIF(Adat!$AH:$AH,CONCATENATE($M$4,"(KÖT)","094111",L627),Adat!$E:$E)*-1</f>
        <v>0</v>
      </c>
      <c r="H644" s="72">
        <f>SUMIF(Adat!$AH:$AH,CONCATENATE($M$4,"(ÖNV)","094111",L627),Adat!$E:$E)*-1</f>
        <v>0</v>
      </c>
      <c r="I644" s="72">
        <f>SUMIF(Adat!$AH:$AH,CONCATENATE($M$4,"(ÁIG)","094111",L627),Adat!$E:$E)*-1</f>
        <v>0</v>
      </c>
    </row>
    <row r="645" spans="2:9" x14ac:dyDescent="0.25">
      <c r="B645" s="160">
        <v>16</v>
      </c>
      <c r="C645" s="78" t="s">
        <v>1328</v>
      </c>
      <c r="D645" s="85" t="s">
        <v>437</v>
      </c>
      <c r="E645" s="121">
        <f>SUM(E646:E648)</f>
        <v>0</v>
      </c>
      <c r="F645" s="121">
        <f>SUM(F646:F648)</f>
        <v>0</v>
      </c>
      <c r="G645" s="121">
        <f>SUM(G646:G648)</f>
        <v>0</v>
      </c>
      <c r="H645" s="121">
        <f>SUM(H646:H648)</f>
        <v>0</v>
      </c>
      <c r="I645" s="121">
        <f>SUM(I646:I648)</f>
        <v>0</v>
      </c>
    </row>
    <row r="646" spans="2:9" x14ac:dyDescent="0.2">
      <c r="B646" s="160">
        <v>17</v>
      </c>
      <c r="C646" s="305" t="s">
        <v>1329</v>
      </c>
      <c r="D646" s="82" t="s">
        <v>1330</v>
      </c>
      <c r="E646" s="72">
        <f>SUMIF(Adat!$AG:$AG,CONCATENATE(61,$M$4,"09121",L627),Adat!$E:$E)*-1</f>
        <v>0</v>
      </c>
      <c r="F646" s="72">
        <f>SUMIF(Adat!$AG:$AG,CONCATENATE(60,$M$4,"09121",L627),Adat!$E:$E)*-1+E646</f>
        <v>0</v>
      </c>
      <c r="G646" s="72">
        <f>SUMIF(Adat!$AH:$AH,CONCATENATE($M$4,"(KÖT)","09121",L627),Adat!$E:$E)*-1</f>
        <v>0</v>
      </c>
      <c r="H646" s="72">
        <f>SUMIF(Adat!$AH:$AH,CONCATENATE($M$4,"(ÖNV)","09121",L627),Adat!$E:$E)*-1</f>
        <v>0</v>
      </c>
      <c r="I646" s="72">
        <f>SUMIF(Adat!$AH:$AH,CONCATENATE($M$4,"(ÁIG)","09121",L627),Adat!$E:$E)*-1</f>
        <v>0</v>
      </c>
    </row>
    <row r="647" spans="2:9" x14ac:dyDescent="0.2">
      <c r="B647" s="160">
        <v>18</v>
      </c>
      <c r="C647" s="305" t="s">
        <v>1335</v>
      </c>
      <c r="D647" s="82" t="s">
        <v>1336</v>
      </c>
      <c r="E647" s="72">
        <f>SUMIF(Adat!$AG:$AG,CONCATENATE(61,$M$4,"09151",L627),Adat!$E:$E)*-1</f>
        <v>0</v>
      </c>
      <c r="F647" s="72">
        <f>SUMIF(Adat!$AG:$AG,CONCATENATE(60,$M$4,"09151",L627),Adat!$E:$E)*-1+E647</f>
        <v>0</v>
      </c>
      <c r="G647" s="72">
        <f>SUMIF(Adat!$AH:$AH,CONCATENATE($M$4,"(KÖT)","09151",L627),Adat!$E:$E)*-1</f>
        <v>0</v>
      </c>
      <c r="H647" s="72">
        <f>SUMIF(Adat!$AH:$AH,CONCATENATE($M$4,"(ÖNV)","09151",L627),Adat!$E:$E)*-1</f>
        <v>0</v>
      </c>
      <c r="I647" s="72">
        <f>SUMIF(Adat!$AH:$AH,CONCATENATE($M$4,"(ÁIG)","09151",L627),Adat!$E:$E)*-1</f>
        <v>0</v>
      </c>
    </row>
    <row r="648" spans="2:9" x14ac:dyDescent="0.2">
      <c r="B648" s="160">
        <v>19</v>
      </c>
      <c r="C648" s="305" t="s">
        <v>1278</v>
      </c>
      <c r="D648" s="82" t="s">
        <v>1337</v>
      </c>
      <c r="E648" s="72">
        <f>SUMIF(Adat!$AG:$AG,CONCATENATE(61,$M$4,"09161",L627),Adat!$E:$E)*-1</f>
        <v>0</v>
      </c>
      <c r="F648" s="72">
        <f>SUMIF(Adat!$AG:$AG,CONCATENATE(60,$M$4,"09161",L627),Adat!$E:$E)*-1+E648</f>
        <v>0</v>
      </c>
      <c r="G648" s="72">
        <f>SUMIF(Adat!$AH:$AH,CONCATENATE($M$4,"(KÖT)","09161",L627),Adat!$E:$E)*-1</f>
        <v>0</v>
      </c>
      <c r="H648" s="72">
        <f>SUMIF(Adat!$AH:$AH,CONCATENATE($M$4,"(ÖNV)","09161",L627),Adat!$E:$E)*-1</f>
        <v>0</v>
      </c>
      <c r="I648" s="72">
        <f>SUMIF(Adat!$AH:$AH,CONCATENATE($M$4,"(ÁIG)","09161",L627),Adat!$E:$E)*-1</f>
        <v>0</v>
      </c>
    </row>
    <row r="649" spans="2:9" x14ac:dyDescent="0.25">
      <c r="B649" s="160">
        <v>20</v>
      </c>
      <c r="C649" s="79" t="s">
        <v>27</v>
      </c>
      <c r="D649" s="79" t="s">
        <v>328</v>
      </c>
      <c r="E649" s="71">
        <f>SUMIF(Adat!$AI:$AI,CONCATENATE(61,$M$4,"093",L627),Adat!$E:$E)*-1</f>
        <v>0</v>
      </c>
      <c r="F649" s="71">
        <f>SUMIF(Adat!$AI:$AI,CONCATENATE(60,$M$4,"093",L627),Adat!$E:$E)*-1+E649</f>
        <v>0</v>
      </c>
      <c r="G649" s="71">
        <f>SUMIF(Adat!$AJ:$AJ,CONCATENATE($M$4,"093","(KÖT)",L627),Adat!$E:$E)*-1</f>
        <v>0</v>
      </c>
      <c r="H649" s="71">
        <f>SUMIF(Adat!$AJ:$AJ,CONCATENATE($M$4,"093","(ÖNV)",L627),Adat!$E:$E)*-1</f>
        <v>0</v>
      </c>
      <c r="I649" s="71">
        <f>SUMIF(Adat!$AJ:$AJ,CONCATENATE($M$4,"093","(ÁIG)",L627),Adat!$E:$E)*-1</f>
        <v>0</v>
      </c>
    </row>
    <row r="650" spans="2:9" x14ac:dyDescent="0.25">
      <c r="B650" s="160">
        <v>21</v>
      </c>
      <c r="C650" s="79" t="s">
        <v>24</v>
      </c>
      <c r="D650" s="79" t="s">
        <v>449</v>
      </c>
      <c r="E650" s="121">
        <f>SUM(E651:E653)</f>
        <v>0</v>
      </c>
      <c r="F650" s="121">
        <f t="shared" ref="F650:I650" si="41">SUM(F651:F653)</f>
        <v>0</v>
      </c>
      <c r="G650" s="121">
        <f t="shared" si="41"/>
        <v>0</v>
      </c>
      <c r="H650" s="121">
        <f t="shared" si="41"/>
        <v>0</v>
      </c>
      <c r="I650" s="121">
        <f t="shared" si="41"/>
        <v>0</v>
      </c>
    </row>
    <row r="651" spans="2:9" x14ac:dyDescent="0.2">
      <c r="B651" s="160">
        <v>22</v>
      </c>
      <c r="C651" s="305" t="s">
        <v>1339</v>
      </c>
      <c r="D651" s="82" t="s">
        <v>1340</v>
      </c>
      <c r="E651" s="72">
        <f>SUMIF(Adat!$AG:$AG,CONCATENATE(61,$M$4,"09211",L627),Adat!$E:$E)*-1</f>
        <v>0</v>
      </c>
      <c r="F651" s="72">
        <f>SUMIF(Adat!$AG:$AG,CONCATENATE(60,$M$4,"09211",L627),Adat!$E:$E)*-1+E651</f>
        <v>0</v>
      </c>
      <c r="G651" s="72">
        <f>SUMIF(Adat!$AH:$AH,CONCATENATE($M$4,"(KÖT)","09211",L627),Adat!$E:$E)*-1</f>
        <v>0</v>
      </c>
      <c r="H651" s="72">
        <f>SUMIF(Adat!$AH:$AH,CONCATENATE($M$4,"(ÖNV)","09211",L627),Adat!$E:$E)*-1</f>
        <v>0</v>
      </c>
      <c r="I651" s="72">
        <f>SUMIF(Adat!$AH:$AH,CONCATENATE($M$4,"(ÁIG)","09211",L627),Adat!$E:$E)*-1</f>
        <v>0</v>
      </c>
    </row>
    <row r="652" spans="2:9" x14ac:dyDescent="0.2">
      <c r="B652" s="160">
        <v>23</v>
      </c>
      <c r="C652" s="305" t="s">
        <v>1345</v>
      </c>
      <c r="D652" s="82" t="s">
        <v>1346</v>
      </c>
      <c r="E652" s="72">
        <f>SUMIF(Adat!$AG:$AG,CONCATENATE(61,$M$4,"09241",L627),Adat!$E:$E)*-1</f>
        <v>0</v>
      </c>
      <c r="F652" s="72">
        <f>SUMIF(Adat!$AG:$AG,CONCATENATE(60,$M$4,"09241",L627),Adat!$E:$E)*-1+E652</f>
        <v>0</v>
      </c>
      <c r="G652" s="72">
        <f>SUMIF(Adat!$AH:$AH,CONCATENATE($M$4,"(KÖT)","09241",L627),Adat!$E:$E)*-1</f>
        <v>0</v>
      </c>
      <c r="H652" s="72">
        <f>SUMIF(Adat!$AH:$AH,CONCATENATE($M$4,"(ÖNV)","09241",L627),Adat!$E:$E)*-1</f>
        <v>0</v>
      </c>
      <c r="I652" s="72">
        <f>SUMIF(Adat!$AH:$AH,CONCATENATE($M$4,"(ÁIG)","09241",L627),Adat!$E:$E)*-1</f>
        <v>0</v>
      </c>
    </row>
    <row r="653" spans="2:9" x14ac:dyDescent="0.2">
      <c r="B653" s="160">
        <v>24</v>
      </c>
      <c r="C653" s="305" t="s">
        <v>1255</v>
      </c>
      <c r="D653" s="82" t="s">
        <v>1347</v>
      </c>
      <c r="E653" s="72">
        <f>SUMIF(Adat!$AG:$AG,CONCATENATE(61,$M$4,"09251",L627),Adat!$E:$E)*-1</f>
        <v>0</v>
      </c>
      <c r="F653" s="72">
        <f>SUMIF(Adat!$AG:$AG,CONCATENATE(60,$M$4,"09251",L627),Adat!$E:$E)*-1+E653</f>
        <v>0</v>
      </c>
      <c r="G653" s="72">
        <f>SUMIF(Adat!$AH:$AH,CONCATENATE($M$4,"(KÖT)","09251",L627),Adat!$E:$E)*-1</f>
        <v>0</v>
      </c>
      <c r="H653" s="72">
        <f>SUMIF(Adat!$AH:$AH,CONCATENATE($M$4,"(ÖNV)","09251",L627),Adat!$E:$E)*-1</f>
        <v>0</v>
      </c>
      <c r="I653" s="72">
        <f>SUMIF(Adat!$AH:$AH,CONCATENATE($M$4,"(ÁIG)","09251",L627),Adat!$E:$E)*-1</f>
        <v>0</v>
      </c>
    </row>
    <row r="654" spans="2:9" x14ac:dyDescent="0.25">
      <c r="B654" s="160">
        <v>25</v>
      </c>
      <c r="C654" s="79" t="s">
        <v>33</v>
      </c>
      <c r="D654" s="79" t="s">
        <v>330</v>
      </c>
      <c r="E654" s="121">
        <f>SUM(E655:E657)</f>
        <v>0</v>
      </c>
      <c r="F654" s="121">
        <f t="shared" ref="F654:I654" si="42">SUM(F655:F657)</f>
        <v>0</v>
      </c>
      <c r="G654" s="121">
        <f t="shared" si="42"/>
        <v>0</v>
      </c>
      <c r="H654" s="121">
        <f t="shared" si="42"/>
        <v>0</v>
      </c>
      <c r="I654" s="121">
        <f t="shared" si="42"/>
        <v>0</v>
      </c>
    </row>
    <row r="655" spans="2:9" x14ac:dyDescent="0.2">
      <c r="B655" s="160">
        <v>26</v>
      </c>
      <c r="C655" s="305" t="s">
        <v>1373</v>
      </c>
      <c r="D655" s="82" t="s">
        <v>1374</v>
      </c>
      <c r="E655" s="72">
        <f>SUMIF(Adat!$AG:$AG,CONCATENATE(61,$M$4,"09511",L627),Adat!$E:$E)*-1</f>
        <v>0</v>
      </c>
      <c r="F655" s="72">
        <f>SUMIF(Adat!$AG:$AG,CONCATENATE(60,$M$4,"09511",L627),Adat!$E:$E)*-1+E655</f>
        <v>0</v>
      </c>
      <c r="G655" s="72">
        <f>SUMIF(Adat!$AH:$AH,CONCATENATE($M$4,"(KÖT)","09511",L627),Adat!$E:$E)*-1</f>
        <v>0</v>
      </c>
      <c r="H655" s="72">
        <f>SUMIF(Adat!$AH:$AH,CONCATENATE($M$4,"(ÖNV)","09511",L627),Adat!$E:$E)*-1</f>
        <v>0</v>
      </c>
      <c r="I655" s="72">
        <f>SUMIF(Adat!$AH:$AH,CONCATENATE($M$4,"(ÁIG)","09511",L627),Adat!$E:$E)*-1</f>
        <v>0</v>
      </c>
    </row>
    <row r="656" spans="2:9" x14ac:dyDescent="0.2">
      <c r="B656" s="160">
        <v>27</v>
      </c>
      <c r="C656" s="305" t="s">
        <v>1294</v>
      </c>
      <c r="D656" s="82" t="s">
        <v>1375</v>
      </c>
      <c r="E656" s="72">
        <f>SUMIF(Adat!$AG:$AG,CONCATENATE(61,$M$4,"09521",L627),Adat!$E:$E)*-1</f>
        <v>0</v>
      </c>
      <c r="F656" s="72">
        <f>SUMIF(Adat!$AG:$AG,CONCATENATE(60,$M$4,"09521",L627),Adat!$E:$E)*-1+E656</f>
        <v>0</v>
      </c>
      <c r="G656" s="72">
        <f>SUMIF(Adat!$AH:$AH,CONCATENATE($M$4,"(KÖT)","09521",L627),Adat!$E:$E)*-1</f>
        <v>0</v>
      </c>
      <c r="H656" s="72">
        <f>SUMIF(Adat!$AH:$AH,CONCATENATE($M$4,"(ÖNV)","09521",L627),Adat!$E:$E)*-1</f>
        <v>0</v>
      </c>
      <c r="I656" s="72">
        <f>SUMIF(Adat!$AH:$AH,CONCATENATE($M$4,"(ÁIG)","09521",L627),Adat!$E:$E)*-1</f>
        <v>0</v>
      </c>
    </row>
    <row r="657" spans="2:12" x14ac:dyDescent="0.2">
      <c r="B657" s="160">
        <v>28</v>
      </c>
      <c r="C657" s="305" t="s">
        <v>1376</v>
      </c>
      <c r="D657" s="82" t="s">
        <v>1377</v>
      </c>
      <c r="E657" s="72">
        <f>SUMIF(Adat!$AG:$AG,CONCATENATE(61,$M$4,"09531",L627),Adat!$E:$E)*-1</f>
        <v>0</v>
      </c>
      <c r="F657" s="72">
        <f>SUMIF(Adat!$AG:$AG,CONCATENATE(60,$M$4,"09531",L627),Adat!$E:$E)*-1+E657</f>
        <v>0</v>
      </c>
      <c r="G657" s="72">
        <f>SUMIF(Adat!$AH:$AH,CONCATENATE($M$4,"(KÖT)","09531",L627),Adat!$E:$E)*-1</f>
        <v>0</v>
      </c>
      <c r="H657" s="72">
        <f>SUMIF(Adat!$AH:$AH,CONCATENATE($M$4,"(ÖNV)","09531",L627),Adat!$E:$E)*-1</f>
        <v>0</v>
      </c>
      <c r="I657" s="72">
        <f>SUMIF(Adat!$AH:$AH,CONCATENATE($M$4,"(ÁIG)","09531",L627),Adat!$E:$E)*-1</f>
        <v>0</v>
      </c>
    </row>
    <row r="658" spans="2:12" x14ac:dyDescent="0.25">
      <c r="B658" s="160">
        <v>29</v>
      </c>
      <c r="C658" s="79" t="s">
        <v>36</v>
      </c>
      <c r="D658" s="79" t="s">
        <v>331</v>
      </c>
      <c r="E658" s="71">
        <f>SUMIF(Adat!$AI:$AI,CONCATENATE(61,$M$4,"096",L627),Adat!$E:$E)*-1</f>
        <v>0</v>
      </c>
      <c r="F658" s="71">
        <f>SUMIF(Adat!$AI:$AI,CONCATENATE(60,$M$4,"096",L627),Adat!$E:$E)*-1+E658</f>
        <v>0</v>
      </c>
      <c r="G658" s="71">
        <f>SUMIF(Adat!$AJ:$AJ,CONCATENATE($M$4,"096","(KÖT)",L627),Adat!$E:$E)*-1</f>
        <v>0</v>
      </c>
      <c r="H658" s="71">
        <f>SUMIF(Adat!$AJ:$AJ,CONCATENATE($M$4,"096","(ÖNV)",L627),Adat!$E:$E)*-1</f>
        <v>0</v>
      </c>
      <c r="I658" s="71">
        <f>SUMIF(Adat!$AJ:$AJ,CONCATENATE($M$4,"096","(ÁIG)",L627),Adat!$E:$E)*-1</f>
        <v>0</v>
      </c>
    </row>
    <row r="659" spans="2:12" x14ac:dyDescent="0.25">
      <c r="B659" s="160">
        <v>30</v>
      </c>
      <c r="C659" s="79" t="s">
        <v>38</v>
      </c>
      <c r="D659" s="85" t="s">
        <v>332</v>
      </c>
      <c r="E659" s="71">
        <f>SUMIF(Adat!$AI:$AI,CONCATENATE(61,$M$4,"097",L627),Adat!$E:$E)*-1</f>
        <v>0</v>
      </c>
      <c r="F659" s="71">
        <f>SUMIF(Adat!$AI:$AI,CONCATENATE(60,$M$4,"097",L627),Adat!$E:$E)*-1+E659</f>
        <v>0</v>
      </c>
      <c r="G659" s="71">
        <f>SUMIF(Adat!$AJ:$AJ,CONCATENATE($M$4,"097","(KÖT)",L627),Adat!$E:$E)*-1</f>
        <v>0</v>
      </c>
      <c r="H659" s="71">
        <f>SUMIF(Adat!$AJ:$AJ,CONCATENATE($M$4,"097","(ÖNV)",L627),Adat!$E:$E)*-1</f>
        <v>0</v>
      </c>
      <c r="I659" s="71">
        <f>SUMIF(Adat!$AJ:$AJ,CONCATENATE($M$4,"097","(ÁIG)",L627),Adat!$E:$E)*-1</f>
        <v>0</v>
      </c>
    </row>
    <row r="660" spans="2:12" x14ac:dyDescent="0.25">
      <c r="B660" s="160">
        <v>31</v>
      </c>
      <c r="C660" s="154" t="s">
        <v>352</v>
      </c>
      <c r="D660" s="86" t="s">
        <v>1500</v>
      </c>
      <c r="E660" s="121">
        <f>E631+E645+E649+E650+E654+E658+E659</f>
        <v>0</v>
      </c>
      <c r="F660" s="121">
        <f>F631+F645+F649+F650+F654+F658+F659</f>
        <v>0</v>
      </c>
      <c r="G660" s="121">
        <f>G631+G645+G649+G650+G654+G658+G659</f>
        <v>0</v>
      </c>
      <c r="H660" s="121">
        <f>H631+H645+H649+H650+H654+H658+H659</f>
        <v>0</v>
      </c>
      <c r="I660" s="121">
        <f>I631+I645+I649+I650+I654+I658+I659</f>
        <v>0</v>
      </c>
    </row>
    <row r="661" spans="2:12" x14ac:dyDescent="0.25">
      <c r="B661" s="160">
        <v>32</v>
      </c>
      <c r="C661" s="154" t="s">
        <v>358</v>
      </c>
      <c r="D661" s="86" t="s">
        <v>333</v>
      </c>
      <c r="E661" s="121">
        <f>SUM(E662:E664)</f>
        <v>0</v>
      </c>
      <c r="F661" s="121">
        <f t="shared" ref="F661:I661" si="43">SUM(F662:F664)</f>
        <v>0</v>
      </c>
      <c r="G661" s="121">
        <f t="shared" si="43"/>
        <v>0</v>
      </c>
      <c r="H661" s="121">
        <f t="shared" si="43"/>
        <v>0</v>
      </c>
      <c r="I661" s="121">
        <f t="shared" si="43"/>
        <v>0</v>
      </c>
    </row>
    <row r="662" spans="2:12" x14ac:dyDescent="0.2">
      <c r="B662" s="160">
        <v>33</v>
      </c>
      <c r="C662" s="305" t="s">
        <v>1274</v>
      </c>
      <c r="D662" s="82" t="s">
        <v>1419</v>
      </c>
      <c r="E662" s="72">
        <f>SUMIF(Adat!$AG:$AG,CONCATENATE(61,$M$4,"0981311",L627),Adat!$E:$E)*-1</f>
        <v>0</v>
      </c>
      <c r="F662" s="72">
        <f>SUMIF(Adat!$AG:$AG,CONCATENATE(60,$M$4,"0981311",L627),Adat!$E:$E)*-1+E662</f>
        <v>0</v>
      </c>
      <c r="G662" s="72">
        <f>SUMIF(Adat!$AH:$AH,CONCATENATE($M$4,"(KÖT)","0981311",L627),Adat!$E:$E)*-1</f>
        <v>0</v>
      </c>
      <c r="H662" s="72">
        <f>SUMIF(Adat!$AH:$AH,CONCATENATE($M$4,"(ÖNV)","0981311",L627),Adat!$E:$E)*-1</f>
        <v>0</v>
      </c>
      <c r="I662" s="72">
        <f>SUMIF(Adat!$AH:$AH,CONCATENATE($M$4,"(ÁIG)","0981311",L627),Adat!$E:$E)*-1</f>
        <v>0</v>
      </c>
    </row>
    <row r="663" spans="2:12" x14ac:dyDescent="0.25">
      <c r="B663" s="160">
        <v>34</v>
      </c>
      <c r="C663" s="305" t="s">
        <v>1420</v>
      </c>
      <c r="D663" s="84" t="s">
        <v>1421</v>
      </c>
      <c r="E663" s="72">
        <f>SUMIF(Adat!$AG:$AG,CONCATENATE(61,$M$4,"0981321",L627),Adat!$E:$E)*-1</f>
        <v>0</v>
      </c>
      <c r="F663" s="72">
        <f>SUMIF(Adat!$AG:$AG,CONCATENATE(60,$M$4,"0981321",L627),Adat!$E:$E)*-1+E663</f>
        <v>0</v>
      </c>
      <c r="G663" s="72">
        <f>SUMIF(Adat!$AH:$AH,CONCATENATE($M$4,"(KÖT)","0981321",L627),Adat!$E:$E)*-1</f>
        <v>0</v>
      </c>
      <c r="H663" s="72">
        <f>SUMIF(Adat!$AH:$AH,CONCATENATE($M$4,"(ÖNV)","0981321",L627),Adat!$E:$E)*-1</f>
        <v>0</v>
      </c>
      <c r="I663" s="72">
        <f>SUMIF(Adat!$AH:$AH,CONCATENATE($M$4,"(ÁIG)","0981321",L627),Adat!$E:$E)*-1</f>
        <v>0</v>
      </c>
    </row>
    <row r="664" spans="2:12" x14ac:dyDescent="0.25">
      <c r="B664" s="160">
        <v>35</v>
      </c>
      <c r="C664" s="319" t="s">
        <v>1275</v>
      </c>
      <c r="D664" s="84" t="s">
        <v>1501</v>
      </c>
      <c r="E664" s="72">
        <f>SUMIF(Adat!$AG:$AG,CONCATENATE(61,$M$4,"098161",L627),Adat!$E:$E)*-1</f>
        <v>0</v>
      </c>
      <c r="F664" s="72">
        <f>SUMIF(Adat!$AG:$AG,CONCATENATE(60,$M$4,"098161",L627),Adat!$E:$E)*-1+E664</f>
        <v>0</v>
      </c>
      <c r="G664" s="72">
        <f>SUMIF(Adat!$AH:$AH,CONCATENATE($M$4,"(KÖT)","098161",L627),Adat!$E:$E)*-1</f>
        <v>0</v>
      </c>
      <c r="H664" s="72">
        <f>SUMIF(Adat!$AH:$AH,CONCATENATE($M$4,"(ÖNV)","098161",L627),Adat!$E:$E)*-1</f>
        <v>0</v>
      </c>
      <c r="I664" s="72">
        <f>SUMIF(Adat!$AH:$AH,CONCATENATE($M$4,"(ÁIG)","098161",L627),Adat!$E:$E)*-1</f>
        <v>0</v>
      </c>
    </row>
    <row r="665" spans="2:12" x14ac:dyDescent="0.25">
      <c r="B665" s="160">
        <v>36</v>
      </c>
      <c r="C665" s="154" t="s">
        <v>364</v>
      </c>
      <c r="D665" s="159" t="s">
        <v>1502</v>
      </c>
      <c r="E665" s="121">
        <f>+E660+E661</f>
        <v>0</v>
      </c>
      <c r="F665" s="121">
        <f>+F660+F661</f>
        <v>0</v>
      </c>
      <c r="G665" s="121">
        <f>+G660+G661</f>
        <v>0</v>
      </c>
      <c r="H665" s="121">
        <f>+H660+H661</f>
        <v>0</v>
      </c>
      <c r="I665" s="121">
        <f>+I660+I661</f>
        <v>0</v>
      </c>
    </row>
    <row r="666" spans="2:12" ht="15.75" x14ac:dyDescent="0.25">
      <c r="B666" s="38"/>
      <c r="C666" s="156"/>
      <c r="D666" s="38"/>
      <c r="E666" s="140"/>
      <c r="F666" s="140"/>
      <c r="G666" s="140"/>
      <c r="H666" s="140"/>
      <c r="I666" s="140"/>
    </row>
    <row r="667" spans="2:12" s="10" customFormat="1" ht="15.75" customHeight="1" x14ac:dyDescent="0.25">
      <c r="B667" s="201" t="str">
        <f>CONCATENATE("22. Kiadási jogcímek"," - ",L667," részletező")</f>
        <v>22. Kiadási jogcímek -  részletező</v>
      </c>
      <c r="C667" s="101"/>
      <c r="D667" s="101"/>
      <c r="E667" s="101"/>
      <c r="F667" s="101"/>
      <c r="G667" s="198"/>
      <c r="H667" s="198"/>
      <c r="I667" s="198"/>
      <c r="L667" s="384"/>
    </row>
    <row r="668" spans="2:12" ht="15.75" x14ac:dyDescent="0.25">
      <c r="B668" s="38"/>
      <c r="C668" s="156"/>
      <c r="D668" s="38"/>
      <c r="E668" s="140"/>
      <c r="F668" s="140"/>
      <c r="G668" s="140"/>
      <c r="H668" s="140"/>
      <c r="I668" s="140"/>
    </row>
    <row r="669" spans="2:12" x14ac:dyDescent="0.25">
      <c r="B669" s="77"/>
      <c r="C669" s="77" t="s">
        <v>350</v>
      </c>
      <c r="D669" s="77" t="s">
        <v>351</v>
      </c>
      <c r="E669" s="77" t="s">
        <v>470</v>
      </c>
      <c r="F669" s="77" t="s">
        <v>471</v>
      </c>
      <c r="G669" s="77" t="s">
        <v>44</v>
      </c>
      <c r="H669" s="77" t="s">
        <v>42</v>
      </c>
      <c r="I669" s="77" t="s">
        <v>511</v>
      </c>
    </row>
    <row r="670" spans="2:12" ht="38.25" x14ac:dyDescent="0.25">
      <c r="B670" s="160">
        <v>1</v>
      </c>
      <c r="C670" s="154" t="s">
        <v>593</v>
      </c>
      <c r="D670" s="154" t="s">
        <v>488</v>
      </c>
      <c r="E670" s="163" t="str">
        <f>CONCATENATE(PAR!$H$3," évi
eredeti 
előirányzat")</f>
        <v>2025. évi
eredeti 
előirányzat</v>
      </c>
      <c r="F670" s="163" t="str">
        <f>CONCATENATE(PAR!$H$3," évi
módosított 
előirányzat")</f>
        <v>2025. évi
módosított 
előirányzat</v>
      </c>
      <c r="G670" s="78" t="s">
        <v>666</v>
      </c>
      <c r="H670" s="78" t="s">
        <v>667</v>
      </c>
      <c r="I670" s="78" t="s">
        <v>668</v>
      </c>
    </row>
    <row r="671" spans="2:12" x14ac:dyDescent="0.25">
      <c r="B671" s="160">
        <v>2</v>
      </c>
      <c r="C671" s="78" t="s">
        <v>352</v>
      </c>
      <c r="D671" s="92" t="s">
        <v>1444</v>
      </c>
      <c r="E671" s="121">
        <f>SUM(E672:E676)</f>
        <v>0</v>
      </c>
      <c r="F671" s="121">
        <f>SUM(F672:F676)</f>
        <v>0</v>
      </c>
      <c r="G671" s="121">
        <f>SUM(G672:G676)</f>
        <v>0</v>
      </c>
      <c r="H671" s="121">
        <f>SUM(H672:H676)</f>
        <v>0</v>
      </c>
      <c r="I671" s="121">
        <f>SUM(I672:I676)</f>
        <v>0</v>
      </c>
    </row>
    <row r="672" spans="2:12" x14ac:dyDescent="0.25">
      <c r="B672" s="160">
        <v>3</v>
      </c>
      <c r="C672" s="305" t="s">
        <v>315</v>
      </c>
      <c r="D672" s="93" t="s">
        <v>342</v>
      </c>
      <c r="E672" s="72">
        <f>SUMIF(Adat!$AI:$AI,CONCATENATE(61,$M$4,"051",L667),Adat!$E:$E)</f>
        <v>0</v>
      </c>
      <c r="F672" s="72">
        <f>SUMIF(Adat!$AI:$AI,CONCATENATE(60,$M$4,"051",L667),Adat!$E:$E)+E672</f>
        <v>0</v>
      </c>
      <c r="G672" s="72">
        <f>SUMIF(Adat!$AJ:$AJ,CONCATENATE($M$4,"051","(KÖT)",L667),Adat!$E:$E)</f>
        <v>0</v>
      </c>
      <c r="H672" s="72">
        <f>SUMIF(Adat!$AJ:$AJ,CONCATENATE($M$4,"051","(ÖNV)",L667),Adat!$E:$E)</f>
        <v>0</v>
      </c>
      <c r="I672" s="72">
        <f>SUMIF(Adat!$AJ:$AJ,CONCATENATE($M$4,"051","(ÁIG)",L667),Adat!$E:$E)</f>
        <v>0</v>
      </c>
    </row>
    <row r="673" spans="2:9" x14ac:dyDescent="0.25">
      <c r="B673" s="160">
        <v>4</v>
      </c>
      <c r="C673" s="305" t="s">
        <v>317</v>
      </c>
      <c r="D673" s="93" t="s">
        <v>395</v>
      </c>
      <c r="E673" s="72">
        <f>SUMIF(Adat!$AI:$AI,CONCATENATE(61,$M$4,"052",L667),Adat!$E:$E)</f>
        <v>0</v>
      </c>
      <c r="F673" s="72">
        <f>SUMIF(Adat!$AI:$AI,CONCATENATE(60,$M$4,"052",L667),Adat!$E:$E)+E673</f>
        <v>0</v>
      </c>
      <c r="G673" s="72">
        <f>SUMIF(Adat!$AJ:$AJ,CONCATENATE($M$4,"052","(KÖT)",L667),Adat!$E:$E)</f>
        <v>0</v>
      </c>
      <c r="H673" s="72">
        <f>SUMIF(Adat!$AJ:$AJ,CONCATENATE($M$4,"052","(ÖNV)",L667),Adat!$E:$E)</f>
        <v>0</v>
      </c>
      <c r="I673" s="72">
        <f>SUMIF(Adat!$AJ:$AJ,CONCATENATE($M$4,"052","(ÁIG)",L667),Adat!$E:$E)</f>
        <v>0</v>
      </c>
    </row>
    <row r="674" spans="2:9" x14ac:dyDescent="0.25">
      <c r="B674" s="160">
        <v>5</v>
      </c>
      <c r="C674" s="305" t="s">
        <v>4</v>
      </c>
      <c r="D674" s="93" t="s">
        <v>344</v>
      </c>
      <c r="E674" s="72">
        <f>SUMIF(Adat!$AI:$AI,CONCATENATE(61,$M$4,"053",L667),Adat!$E:$E)</f>
        <v>0</v>
      </c>
      <c r="F674" s="72">
        <f>SUMIF(Adat!$AI:$AI,CONCATENATE(60,$M$4,"053",L667),Adat!$E:$E)+E674</f>
        <v>0</v>
      </c>
      <c r="G674" s="72">
        <f>SUMIF(Adat!$AJ:$AJ,CONCATENATE($M$4,"053","(KÖT)",L667),Adat!$E:$E)</f>
        <v>0</v>
      </c>
      <c r="H674" s="72">
        <f>SUMIF(Adat!$AJ:$AJ,CONCATENATE($M$4,"053","(ÖNV)",L667),Adat!$E:$E)</f>
        <v>0</v>
      </c>
      <c r="I674" s="72">
        <f>SUMIF(Adat!$AJ:$AJ,CONCATENATE($M$4,"053","(ÁIG)",L667),Adat!$E:$E)</f>
        <v>0</v>
      </c>
    </row>
    <row r="675" spans="2:9" x14ac:dyDescent="0.25">
      <c r="B675" s="160">
        <v>6</v>
      </c>
      <c r="C675" s="305" t="s">
        <v>6</v>
      </c>
      <c r="D675" s="93" t="s">
        <v>345</v>
      </c>
      <c r="E675" s="72">
        <f>SUMIF(Adat!$AI:$AI,CONCATENATE(61,$M$4,"054",L667),Adat!$E:$E)</f>
        <v>0</v>
      </c>
      <c r="F675" s="72">
        <f>SUMIF(Adat!$AI:$AI,CONCATENATE(60,$M$4,"054",L667),Adat!$E:$E)+E675</f>
        <v>0</v>
      </c>
      <c r="G675" s="72">
        <f>SUMIF(Adat!$AJ:$AJ,CONCATENATE($M$4,"054","(KÖT)",L667),Adat!$E:$E)</f>
        <v>0</v>
      </c>
      <c r="H675" s="72">
        <f>SUMIF(Adat!$AJ:$AJ,CONCATENATE($M$4,"054","(ÖNV)",L667),Adat!$E:$E)</f>
        <v>0</v>
      </c>
      <c r="I675" s="72">
        <f>SUMIF(Adat!$AJ:$AJ,CONCATENATE($M$4,"054","(ÁIG)",L667),Adat!$E:$E)</f>
        <v>0</v>
      </c>
    </row>
    <row r="676" spans="2:9" x14ac:dyDescent="0.25">
      <c r="B676" s="160">
        <v>7</v>
      </c>
      <c r="C676" s="305" t="s">
        <v>8</v>
      </c>
      <c r="D676" s="93" t="s">
        <v>321</v>
      </c>
      <c r="E676" s="72">
        <f>SUMIF(Adat!$AI:$AI,CONCATENATE(61,$M$4,"055",L667),Adat!$E:$E)</f>
        <v>0</v>
      </c>
      <c r="F676" s="72">
        <f>SUMIF(Adat!$AI:$AI,CONCATENATE(60,$M$4,"055",L667),Adat!$E:$E)+E676</f>
        <v>0</v>
      </c>
      <c r="G676" s="72">
        <f>SUMIF(Adat!$AJ:$AJ,CONCATENATE($M$4,"055","(KÖT)",L667),Adat!$E:$E)</f>
        <v>0</v>
      </c>
      <c r="H676" s="72">
        <f>SUMIF(Adat!$AJ:$AJ,CONCATENATE($M$4,"055","(ÖNV)",L667),Adat!$E:$E)</f>
        <v>0</v>
      </c>
      <c r="I676" s="72">
        <f>SUMIF(Adat!$AJ:$AJ,CONCATENATE($M$4,"055","(ÁIG)",L667),Adat!$E:$E)</f>
        <v>0</v>
      </c>
    </row>
    <row r="677" spans="2:9" x14ac:dyDescent="0.25">
      <c r="B677" s="160">
        <v>8</v>
      </c>
      <c r="C677" s="78" t="s">
        <v>358</v>
      </c>
      <c r="D677" s="92" t="s">
        <v>1447</v>
      </c>
      <c r="E677" s="121">
        <f>E678+E680+E682</f>
        <v>0</v>
      </c>
      <c r="F677" s="121">
        <f>F678+F680+F682</f>
        <v>0</v>
      </c>
      <c r="G677" s="121">
        <f>G678+G680+G682</f>
        <v>0</v>
      </c>
      <c r="H677" s="121">
        <f>H678+H680+H682</f>
        <v>0</v>
      </c>
      <c r="I677" s="121">
        <f>I678+I680+I682</f>
        <v>0</v>
      </c>
    </row>
    <row r="678" spans="2:9" x14ac:dyDescent="0.25">
      <c r="B678" s="160">
        <v>9</v>
      </c>
      <c r="C678" s="305" t="s">
        <v>10</v>
      </c>
      <c r="D678" s="93" t="s">
        <v>322</v>
      </c>
      <c r="E678" s="72">
        <f>SUMIF(Adat!$AI:$AI,CONCATENATE(61,$M$4,"056",L667),Adat!$E:$E)</f>
        <v>0</v>
      </c>
      <c r="F678" s="72">
        <f>SUMIF(Adat!$AI:$AI,CONCATENATE(60,$M$4,"056",L667),Adat!$E:$E)+E678</f>
        <v>0</v>
      </c>
      <c r="G678" s="72">
        <f>SUMIF(Adat!$AJ:$AJ,CONCATENATE($M$4,"056","(KÖT)",L667),Adat!$E:$E)</f>
        <v>0</v>
      </c>
      <c r="H678" s="72">
        <f>SUMIF(Adat!$AJ:$AJ,CONCATENATE($M$4,"056","(ÖNV)",L667),Adat!$E:$E)</f>
        <v>0</v>
      </c>
      <c r="I678" s="72">
        <f>SUMIF(Adat!$AJ:$AJ,CONCATENATE($M$4,"056","(ÁIG)",L667),Adat!$E:$E)</f>
        <v>0</v>
      </c>
    </row>
    <row r="679" spans="2:9" x14ac:dyDescent="0.25">
      <c r="B679" s="160">
        <v>10</v>
      </c>
      <c r="C679" s="305" t="s">
        <v>10</v>
      </c>
      <c r="D679" s="93" t="s">
        <v>1448</v>
      </c>
      <c r="E679" s="72">
        <v>0</v>
      </c>
      <c r="F679" s="72">
        <f>SUM(G679:I679)</f>
        <v>0</v>
      </c>
      <c r="G679" s="72">
        <v>0</v>
      </c>
      <c r="H679" s="72">
        <v>0</v>
      </c>
      <c r="I679" s="72">
        <v>0</v>
      </c>
    </row>
    <row r="680" spans="2:9" x14ac:dyDescent="0.25">
      <c r="B680" s="160">
        <v>11</v>
      </c>
      <c r="C680" s="305" t="s">
        <v>12</v>
      </c>
      <c r="D680" s="93" t="s">
        <v>323</v>
      </c>
      <c r="E680" s="72">
        <f>SUMIF(Adat!$AI:$AI,CONCATENATE(61,$M$4,"057",L667),Adat!$E:$E)</f>
        <v>0</v>
      </c>
      <c r="F680" s="72">
        <f>SUMIF(Adat!$AI:$AI,CONCATENATE(60,$M$4,"057",L667),Adat!$E:$E)+E680</f>
        <v>0</v>
      </c>
      <c r="G680" s="72">
        <f>SUMIF(Adat!$AJ:$AJ,CONCATENATE($M$4,"057","(KÖT)",L667),Adat!$E:$E)</f>
        <v>0</v>
      </c>
      <c r="H680" s="72">
        <f>SUMIF(Adat!$AJ:$AJ,CONCATENATE($M$4,"057","(ÖNV)",L667),Adat!$E:$E)</f>
        <v>0</v>
      </c>
      <c r="I680" s="72">
        <f>SUMIF(Adat!$AJ:$AJ,CONCATENATE($M$4,"057","(ÁIG)",L667),Adat!$E:$E)</f>
        <v>0</v>
      </c>
    </row>
    <row r="681" spans="2:9" x14ac:dyDescent="0.25">
      <c r="B681" s="160">
        <v>12</v>
      </c>
      <c r="C681" s="305" t="s">
        <v>12</v>
      </c>
      <c r="D681" s="93" t="s">
        <v>1449</v>
      </c>
      <c r="E681" s="72">
        <v>0</v>
      </c>
      <c r="F681" s="72">
        <f>SUM(G681:I681)</f>
        <v>0</v>
      </c>
      <c r="G681" s="72">
        <v>0</v>
      </c>
      <c r="H681" s="72">
        <v>0</v>
      </c>
      <c r="I681" s="72">
        <v>0</v>
      </c>
    </row>
    <row r="682" spans="2:9" x14ac:dyDescent="0.25">
      <c r="B682" s="160">
        <v>13</v>
      </c>
      <c r="C682" s="305" t="s">
        <v>15</v>
      </c>
      <c r="D682" s="84" t="s">
        <v>324</v>
      </c>
      <c r="E682" s="72">
        <f>SUMIF(Adat!$AI:$AI,CONCATENATE(61,$M$4,"058",L667),Adat!$E:$E)</f>
        <v>0</v>
      </c>
      <c r="F682" s="72">
        <f>SUMIF(Adat!$AI:$AI,CONCATENATE(60,$M$4,"058",L667),Adat!$E:$E)+E682</f>
        <v>0</v>
      </c>
      <c r="G682" s="72">
        <f>SUMIF(Adat!$AJ:$AJ,CONCATENATE($M$4,"058","(KÖT)",L667),Adat!$E:$E)</f>
        <v>0</v>
      </c>
      <c r="H682" s="72">
        <f>SUMIF(Adat!$AJ:$AJ,CONCATENATE($M$4,"058","(ÖNV)",L667),Adat!$E:$E)</f>
        <v>0</v>
      </c>
      <c r="I682" s="72">
        <f>SUMIF(Adat!$AJ:$AJ,CONCATENATE($M$4,"058","(ÁIG)",L667),Adat!$E:$E)</f>
        <v>0</v>
      </c>
    </row>
    <row r="683" spans="2:9" x14ac:dyDescent="0.25">
      <c r="B683" s="160">
        <v>14</v>
      </c>
      <c r="C683" s="154" t="s">
        <v>364</v>
      </c>
      <c r="D683" s="86" t="s">
        <v>325</v>
      </c>
      <c r="E683" s="71">
        <f>SUMIF(Adat!$AI:$AI,CONCATENATE(61,$M$4,"059",L667),Adat!$E:$E)</f>
        <v>0</v>
      </c>
      <c r="F683" s="71">
        <f>SUMIF(Adat!$AI:$AI,CONCATENATE(60,$M$4,"059",L667),Adat!$E:$E)+E683</f>
        <v>0</v>
      </c>
      <c r="G683" s="71">
        <f>SUMIF(Adat!$AJ:$AJ,CONCATENATE($M$4,"059","(KÖT)",L667),Adat!$E:$E)</f>
        <v>0</v>
      </c>
      <c r="H683" s="71">
        <f>SUMIF(Adat!$AJ:$AJ,CONCATENATE($M$4,"059","(ÖNV)",L667),Adat!$E:$E)</f>
        <v>0</v>
      </c>
      <c r="I683" s="71">
        <f>SUMIF(Adat!$AJ:$AJ,CONCATENATE($M$4,"059","(ÁIG)",L667),Adat!$E:$E)</f>
        <v>0</v>
      </c>
    </row>
    <row r="684" spans="2:9" x14ac:dyDescent="0.25">
      <c r="B684" s="160">
        <v>15</v>
      </c>
      <c r="C684" s="154" t="s">
        <v>403</v>
      </c>
      <c r="D684" s="159" t="s">
        <v>497</v>
      </c>
      <c r="E684" s="121">
        <f>E671+E677+E683</f>
        <v>0</v>
      </c>
      <c r="F684" s="121">
        <f>F671+F677+F683</f>
        <v>0</v>
      </c>
      <c r="G684" s="121">
        <f>G671+G677+G683</f>
        <v>0</v>
      </c>
      <c r="H684" s="121">
        <f>H671+H677+H683</f>
        <v>0</v>
      </c>
      <c r="I684" s="121">
        <f>I671+I677+I683</f>
        <v>0</v>
      </c>
    </row>
  </sheetData>
  <sheetProtection algorithmName="SHA-512" hashValue="eaRnd/U2hnwKDXO1GnYAWfwOX3Bqzwi0VixGf4MDhFsNPi9xAM09ekXXc/+5kl5Q3x6XWq2T7lW/6QmlqBnCpQ==" saltValue="5LxDVa1tT2ag413iYvbMiA==" spinCount="100000" sheet="1" formatCells="0" formatColumns="0" formatRows="0"/>
  <mergeCells count="34">
    <mergeCell ref="B190:I190"/>
    <mergeCell ref="B2:I2"/>
    <mergeCell ref="C3:E3"/>
    <mergeCell ref="B4:I4"/>
    <mergeCell ref="B5:I5"/>
    <mergeCell ref="C65:E65"/>
    <mergeCell ref="B66:I66"/>
    <mergeCell ref="B67:I67"/>
    <mergeCell ref="C127:E127"/>
    <mergeCell ref="B128:I128"/>
    <mergeCell ref="B129:I129"/>
    <mergeCell ref="C189:E189"/>
    <mergeCell ref="B438:I438"/>
    <mergeCell ref="B191:I191"/>
    <mergeCell ref="C251:E251"/>
    <mergeCell ref="B252:I252"/>
    <mergeCell ref="B253:I253"/>
    <mergeCell ref="C313:E313"/>
    <mergeCell ref="B314:I314"/>
    <mergeCell ref="B315:I315"/>
    <mergeCell ref="C375:E375"/>
    <mergeCell ref="B376:I376"/>
    <mergeCell ref="B377:I377"/>
    <mergeCell ref="C437:E437"/>
    <mergeCell ref="B563:I563"/>
    <mergeCell ref="C623:E623"/>
    <mergeCell ref="B624:I624"/>
    <mergeCell ref="B625:I625"/>
    <mergeCell ref="B439:I439"/>
    <mergeCell ref="C499:E499"/>
    <mergeCell ref="B500:I500"/>
    <mergeCell ref="B501:I501"/>
    <mergeCell ref="C561:E561"/>
    <mergeCell ref="B562:I56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0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Munka43">
    <tabColor theme="4" tint="-0.249977111117893"/>
  </sheetPr>
  <dimension ref="B1:O1184"/>
  <sheetViews>
    <sheetView view="pageBreakPreview" topLeftCell="A291" zoomScaleSheetLayoutView="100" workbookViewId="0">
      <selection activeCell="K318" sqref="K318"/>
    </sheetView>
  </sheetViews>
  <sheetFormatPr defaultColWidth="9" defaultRowHeight="15.75" x14ac:dyDescent="0.25"/>
  <cols>
    <col min="1" max="1" width="0.875" style="10" customWidth="1"/>
    <col min="2" max="2" width="5.625" style="10" customWidth="1"/>
    <col min="3" max="3" width="7.625" style="10" customWidth="1"/>
    <col min="4" max="4" width="57.625" style="10" customWidth="1"/>
    <col min="5" max="11" width="12.625" style="10" customWidth="1"/>
    <col min="12" max="12" width="0.875" style="10" customWidth="1"/>
    <col min="13" max="13" width="4.625" style="10" customWidth="1"/>
    <col min="14" max="14" width="8.625" style="10" customWidth="1"/>
    <col min="15" max="15" width="12.75" style="10" bestFit="1" customWidth="1"/>
    <col min="16" max="16384" width="9" style="10"/>
  </cols>
  <sheetData>
    <row r="1" spans="2:11" ht="6" customHeight="1" x14ac:dyDescent="0.25"/>
    <row r="2" spans="2:11" x14ac:dyDescent="0.25">
      <c r="B2" s="510" t="str">
        <f>CONCATENATE(Index!C36," a(z) ",Index!E16," önkormányzati rendelethez")</f>
        <v>17. melléklet a(z) .../2025. (...) önkormányzati rendelethez</v>
      </c>
      <c r="C2" s="510"/>
      <c r="D2" s="510"/>
      <c r="E2" s="510"/>
      <c r="F2" s="510"/>
      <c r="G2" s="510"/>
      <c r="H2" s="510"/>
      <c r="I2" s="510"/>
      <c r="J2" s="510"/>
      <c r="K2" s="510"/>
    </row>
    <row r="3" spans="2:11" x14ac:dyDescent="0.25">
      <c r="B3" s="536"/>
      <c r="C3" s="536"/>
      <c r="D3" s="536"/>
      <c r="E3" s="536"/>
      <c r="F3" s="536"/>
      <c r="G3" s="536"/>
      <c r="H3" s="536"/>
      <c r="I3" s="536"/>
      <c r="J3" s="536"/>
      <c r="K3" s="536"/>
    </row>
    <row r="4" spans="2:11" x14ac:dyDescent="0.25">
      <c r="B4" s="511" t="str">
        <f>PAR!$E$3</f>
        <v>Nagymaros Város Önkormányzata</v>
      </c>
      <c r="C4" s="511"/>
      <c r="D4" s="511"/>
      <c r="E4" s="511"/>
      <c r="F4" s="511"/>
      <c r="G4" s="511"/>
      <c r="H4" s="511"/>
      <c r="I4" s="511"/>
      <c r="J4" s="511"/>
      <c r="K4" s="511"/>
    </row>
    <row r="5" spans="2:11" ht="15.75" customHeight="1" x14ac:dyDescent="0.25">
      <c r="B5" s="534" t="str">
        <f>CONCATENATE(PAR!$H$3," évi költségvetés és az előző három év összevont mérlege")</f>
        <v>2025. évi költségvetés és az előző három év összevont mérlege</v>
      </c>
      <c r="C5" s="534"/>
      <c r="D5" s="534"/>
      <c r="E5" s="534"/>
      <c r="F5" s="534"/>
      <c r="G5" s="534"/>
      <c r="H5" s="534"/>
      <c r="I5" s="534"/>
      <c r="J5" s="534"/>
      <c r="K5" s="534"/>
    </row>
    <row r="6" spans="2:11" ht="15.75" customHeight="1" x14ac:dyDescent="0.25">
      <c r="B6" s="508" t="s">
        <v>337</v>
      </c>
      <c r="C6" s="508"/>
      <c r="D6" s="508"/>
      <c r="E6" s="508"/>
      <c r="F6" s="508"/>
      <c r="G6" s="508"/>
      <c r="H6" s="508"/>
      <c r="I6" s="508"/>
      <c r="J6" s="508"/>
      <c r="K6" s="508"/>
    </row>
    <row r="7" spans="2:11" s="38" customFormat="1" x14ac:dyDescent="0.25">
      <c r="C7" s="156"/>
      <c r="E7" s="140"/>
    </row>
    <row r="8" spans="2:11" s="38" customFormat="1" ht="15.75" customHeight="1" x14ac:dyDescent="0.25">
      <c r="B8" s="202" t="s">
        <v>635</v>
      </c>
      <c r="C8" s="201"/>
      <c r="D8" s="201"/>
      <c r="E8" s="201"/>
      <c r="F8" s="201"/>
      <c r="G8" s="201"/>
      <c r="H8" s="201"/>
      <c r="I8" s="201"/>
      <c r="J8" s="201"/>
      <c r="K8" s="201"/>
    </row>
    <row r="9" spans="2:11" s="38" customFormat="1" x14ac:dyDescent="0.25">
      <c r="C9" s="156"/>
      <c r="E9" s="140"/>
    </row>
    <row r="10" spans="2:11" s="167" customFormat="1" ht="12.75" x14ac:dyDescent="0.25">
      <c r="B10" s="77"/>
      <c r="C10" s="77" t="s">
        <v>350</v>
      </c>
      <c r="D10" s="77" t="s">
        <v>351</v>
      </c>
      <c r="E10" s="77" t="s">
        <v>470</v>
      </c>
      <c r="F10" s="77" t="s">
        <v>471</v>
      </c>
      <c r="G10" s="77" t="s">
        <v>44</v>
      </c>
      <c r="H10" s="77" t="s">
        <v>42</v>
      </c>
      <c r="I10" s="77" t="s">
        <v>511</v>
      </c>
      <c r="J10" s="77" t="s">
        <v>512</v>
      </c>
      <c r="K10" s="77" t="s">
        <v>591</v>
      </c>
    </row>
    <row r="11" spans="2:11" s="13" customFormat="1" ht="51" x14ac:dyDescent="0.2">
      <c r="B11" s="68">
        <v>1</v>
      </c>
      <c r="C11" s="78" t="s">
        <v>348</v>
      </c>
      <c r="D11" s="78" t="s">
        <v>349</v>
      </c>
      <c r="E11" s="69" t="str">
        <f>CONCATENATE(PAR!$H$12," évi 
teljesítés")</f>
        <v>2022. évi 
teljesítés</v>
      </c>
      <c r="F11" s="69" t="str">
        <f>CONCATENATE(PAR!$H$11," évi 
teljesítés")</f>
        <v>2023. évi 
teljesítés</v>
      </c>
      <c r="G11" s="69" t="str">
        <f>CONCATENATE(PAR!$H$10," évi 
teljesítés")</f>
        <v>2024. évi 
teljesítés</v>
      </c>
      <c r="H11" s="163" t="str">
        <f>CONCATENATE(PAR!$H$3," évi
eredeti 
előirányzat - ",Index!$E$17)</f>
        <v>2025. évi
eredeti 
előirányzat - 2/2025. (II.25.)</v>
      </c>
      <c r="I11" s="163" t="str">
        <f>CONCATENATE(PAR!$H$3," évi
módosított 
előirányzat - ",Index!$E$18)</f>
        <v xml:space="preserve">2025. évi
módosított 
előirányzat - </v>
      </c>
      <c r="J11" s="163" t="s">
        <v>2686</v>
      </c>
      <c r="K11" s="163" t="str">
        <f>CONCATENATE(PAR!$H$3," évi
módosított 
előirányzat - ",Index!$E$16)</f>
        <v>2025. évi
módosított 
előirányzat - .../2025. (...)</v>
      </c>
    </row>
    <row r="12" spans="2:11" s="13" customFormat="1" ht="12.75" x14ac:dyDescent="0.2">
      <c r="B12" s="104">
        <v>2</v>
      </c>
      <c r="C12" s="78" t="s">
        <v>1324</v>
      </c>
      <c r="D12" s="79" t="s">
        <v>562</v>
      </c>
      <c r="E12" s="80">
        <f t="shared" ref="E12:G12" si="0">SUM(E13:E19)</f>
        <v>514739811</v>
      </c>
      <c r="F12" s="80">
        <f t="shared" si="0"/>
        <v>657436455</v>
      </c>
      <c r="G12" s="80">
        <f t="shared" si="0"/>
        <v>748978993</v>
      </c>
      <c r="H12" s="71">
        <f>SUM(H13:H19)</f>
        <v>783508374</v>
      </c>
      <c r="I12" s="80">
        <f t="shared" ref="I12" si="1">SUM(I13:I19)</f>
        <v>783508374</v>
      </c>
      <c r="J12" s="433">
        <f>K12-I12</f>
        <v>15479423</v>
      </c>
      <c r="K12" s="71">
        <f>SUM(K13:K19)</f>
        <v>798987797</v>
      </c>
    </row>
    <row r="13" spans="2:11" s="13" customFormat="1" ht="12.75" x14ac:dyDescent="0.2">
      <c r="B13" s="104">
        <v>3</v>
      </c>
      <c r="C13" s="305" t="s">
        <v>1288</v>
      </c>
      <c r="D13" s="82" t="s">
        <v>1325</v>
      </c>
      <c r="E13" s="285">
        <v>163657415</v>
      </c>
      <c r="F13" s="285">
        <v>245243435</v>
      </c>
      <c r="G13" s="286">
        <v>236558090</v>
      </c>
      <c r="H13" s="72">
        <f>'12'!$E$12</f>
        <v>250117687</v>
      </c>
      <c r="I13" s="83">
        <v>250117687</v>
      </c>
      <c r="J13" s="434">
        <f t="shared" ref="J13:J76" si="2">K13-I13</f>
        <v>6604345</v>
      </c>
      <c r="K13" s="72">
        <f>'12'!$F$12</f>
        <v>256722032</v>
      </c>
    </row>
    <row r="14" spans="2:11" s="13" customFormat="1" ht="12.75" x14ac:dyDescent="0.2">
      <c r="B14" s="104">
        <v>4</v>
      </c>
      <c r="C14" s="305" t="s">
        <v>1289</v>
      </c>
      <c r="D14" s="82" t="s">
        <v>735</v>
      </c>
      <c r="E14" s="285">
        <v>167760580</v>
      </c>
      <c r="F14" s="285">
        <v>209350992</v>
      </c>
      <c r="G14" s="286">
        <v>249759364</v>
      </c>
      <c r="H14" s="72">
        <f>'12'!$E$13</f>
        <v>273336590</v>
      </c>
      <c r="I14" s="83">
        <v>273336590</v>
      </c>
      <c r="J14" s="434">
        <f>K14-I14</f>
        <v>0</v>
      </c>
      <c r="K14" s="72">
        <f>'12'!$F$13</f>
        <v>273336590</v>
      </c>
    </row>
    <row r="15" spans="2:11" s="13" customFormat="1" ht="12.75" x14ac:dyDescent="0.2">
      <c r="B15" s="104">
        <v>5</v>
      </c>
      <c r="C15" s="305" t="s">
        <v>1290</v>
      </c>
      <c r="D15" s="82" t="s">
        <v>1326</v>
      </c>
      <c r="E15" s="285">
        <v>85709523</v>
      </c>
      <c r="F15" s="285">
        <v>89209697</v>
      </c>
      <c r="G15" s="286">
        <v>95313593</v>
      </c>
      <c r="H15" s="72">
        <f>'12'!$E$14</f>
        <v>98121389</v>
      </c>
      <c r="I15" s="83">
        <v>98121389</v>
      </c>
      <c r="J15" s="434">
        <f t="shared" si="2"/>
        <v>8875078</v>
      </c>
      <c r="K15" s="72">
        <f>'12'!$F$14</f>
        <v>106996467</v>
      </c>
    </row>
    <row r="16" spans="2:11" s="13" customFormat="1" ht="12.75" x14ac:dyDescent="0.2">
      <c r="B16" s="104">
        <v>6</v>
      </c>
      <c r="C16" s="305" t="s">
        <v>1254</v>
      </c>
      <c r="D16" s="82" t="s">
        <v>736</v>
      </c>
      <c r="E16" s="285">
        <v>48300733</v>
      </c>
      <c r="F16" s="285">
        <v>77704278</v>
      </c>
      <c r="G16" s="286">
        <v>112333670</v>
      </c>
      <c r="H16" s="72">
        <f>'12'!$E$15</f>
        <v>147019091</v>
      </c>
      <c r="I16" s="83">
        <v>147019091</v>
      </c>
      <c r="J16" s="434">
        <f t="shared" si="2"/>
        <v>0</v>
      </c>
      <c r="K16" s="72">
        <f>'12'!$F$15</f>
        <v>147019091</v>
      </c>
    </row>
    <row r="17" spans="2:11" s="13" customFormat="1" ht="12.75" x14ac:dyDescent="0.2">
      <c r="B17" s="104">
        <v>7</v>
      </c>
      <c r="C17" s="305" t="s">
        <v>1291</v>
      </c>
      <c r="D17" s="84" t="s">
        <v>737</v>
      </c>
      <c r="E17" s="285">
        <v>11966506</v>
      </c>
      <c r="F17" s="285">
        <v>14444452</v>
      </c>
      <c r="G17" s="286">
        <v>15755711</v>
      </c>
      <c r="H17" s="72">
        <f>'12'!$E$16</f>
        <v>14913617</v>
      </c>
      <c r="I17" s="83">
        <v>14913617</v>
      </c>
      <c r="J17" s="434">
        <f t="shared" si="2"/>
        <v>0</v>
      </c>
      <c r="K17" s="72">
        <f>'12'!$F$16</f>
        <v>14913617</v>
      </c>
    </row>
    <row r="18" spans="2:11" s="13" customFormat="1" ht="12.75" x14ac:dyDescent="0.2">
      <c r="B18" s="104">
        <v>8</v>
      </c>
      <c r="C18" s="305" t="s">
        <v>1312</v>
      </c>
      <c r="D18" s="84" t="s">
        <v>738</v>
      </c>
      <c r="E18" s="285">
        <v>27461351</v>
      </c>
      <c r="F18" s="285">
        <v>13282159</v>
      </c>
      <c r="G18" s="286">
        <v>39243609</v>
      </c>
      <c r="H18" s="72">
        <f>'12'!$E$17</f>
        <v>0</v>
      </c>
      <c r="I18" s="83">
        <v>0</v>
      </c>
      <c r="J18" s="434">
        <f t="shared" si="2"/>
        <v>0</v>
      </c>
      <c r="K18" s="72">
        <f>'12'!$F$17</f>
        <v>0</v>
      </c>
    </row>
    <row r="19" spans="2:11" s="13" customFormat="1" ht="12.75" x14ac:dyDescent="0.2">
      <c r="B19" s="104">
        <v>9</v>
      </c>
      <c r="C19" s="305" t="s">
        <v>1308</v>
      </c>
      <c r="D19" s="84" t="s">
        <v>233</v>
      </c>
      <c r="E19" s="285">
        <v>9883703</v>
      </c>
      <c r="F19" s="285">
        <v>8201442</v>
      </c>
      <c r="G19" s="286">
        <v>14956</v>
      </c>
      <c r="H19" s="72">
        <f>'12'!$E$18</f>
        <v>0</v>
      </c>
      <c r="I19" s="83">
        <v>0</v>
      </c>
      <c r="J19" s="434">
        <f t="shared" si="2"/>
        <v>0</v>
      </c>
      <c r="K19" s="72">
        <f>'12'!$F$18</f>
        <v>0</v>
      </c>
    </row>
    <row r="20" spans="2:11" s="13" customFormat="1" ht="12.75" x14ac:dyDescent="0.2">
      <c r="B20" s="104">
        <v>10</v>
      </c>
      <c r="C20" s="78" t="s">
        <v>1328</v>
      </c>
      <c r="D20" s="85" t="s">
        <v>437</v>
      </c>
      <c r="E20" s="80">
        <f>SUM(E21:E25)</f>
        <v>55454295</v>
      </c>
      <c r="F20" s="80">
        <f>SUM(F21:F25)</f>
        <v>27262521</v>
      </c>
      <c r="G20" s="80">
        <f>SUM(G21:G25)</f>
        <v>11023884</v>
      </c>
      <c r="H20" s="71">
        <f>SUM(H21:H25)</f>
        <v>8184480</v>
      </c>
      <c r="I20" s="80">
        <f t="shared" ref="I20" si="3">SUM(I21:I25)</f>
        <v>8184480</v>
      </c>
      <c r="J20" s="433">
        <f t="shared" si="2"/>
        <v>0</v>
      </c>
      <c r="K20" s="71">
        <f>SUM(K21:K25)</f>
        <v>8184480</v>
      </c>
    </row>
    <row r="21" spans="2:11" s="13" customFormat="1" ht="12.75" x14ac:dyDescent="0.2">
      <c r="B21" s="104">
        <v>11</v>
      </c>
      <c r="C21" s="305" t="s">
        <v>1329</v>
      </c>
      <c r="D21" s="82" t="s">
        <v>1330</v>
      </c>
      <c r="E21" s="285"/>
      <c r="F21" s="285"/>
      <c r="G21" s="286"/>
      <c r="H21" s="72">
        <f>'12'!$E$20</f>
        <v>0</v>
      </c>
      <c r="I21" s="83">
        <v>0</v>
      </c>
      <c r="J21" s="434">
        <f t="shared" si="2"/>
        <v>0</v>
      </c>
      <c r="K21" s="72">
        <f>'12'!$F$20</f>
        <v>0</v>
      </c>
    </row>
    <row r="22" spans="2:11" s="13" customFormat="1" ht="12.75" x14ac:dyDescent="0.2">
      <c r="B22" s="104">
        <v>12</v>
      </c>
      <c r="C22" s="305" t="s">
        <v>1331</v>
      </c>
      <c r="D22" s="82" t="s">
        <v>1332</v>
      </c>
      <c r="E22" s="285"/>
      <c r="F22" s="285"/>
      <c r="G22" s="286"/>
      <c r="H22" s="72">
        <f>'12'!$E$21</f>
        <v>0</v>
      </c>
      <c r="I22" s="83">
        <v>0</v>
      </c>
      <c r="J22" s="434">
        <f t="shared" si="2"/>
        <v>0</v>
      </c>
      <c r="K22" s="72">
        <f>'12'!$F$21</f>
        <v>0</v>
      </c>
    </row>
    <row r="23" spans="2:11" s="13" customFormat="1" ht="12.75" x14ac:dyDescent="0.2">
      <c r="B23" s="104">
        <v>13</v>
      </c>
      <c r="C23" s="305" t="s">
        <v>1333</v>
      </c>
      <c r="D23" s="82" t="s">
        <v>1334</v>
      </c>
      <c r="E23" s="285"/>
      <c r="F23" s="285"/>
      <c r="G23" s="286"/>
      <c r="H23" s="72">
        <f>'12'!$E$22</f>
        <v>0</v>
      </c>
      <c r="I23" s="83">
        <v>0</v>
      </c>
      <c r="J23" s="434">
        <f t="shared" si="2"/>
        <v>0</v>
      </c>
      <c r="K23" s="72">
        <f>'12'!$F$22</f>
        <v>0</v>
      </c>
    </row>
    <row r="24" spans="2:11" s="13" customFormat="1" ht="12.75" x14ac:dyDescent="0.2">
      <c r="B24" s="104">
        <v>14</v>
      </c>
      <c r="C24" s="305" t="s">
        <v>1335</v>
      </c>
      <c r="D24" s="82" t="s">
        <v>1336</v>
      </c>
      <c r="E24" s="285"/>
      <c r="F24" s="285"/>
      <c r="G24" s="286"/>
      <c r="H24" s="72">
        <f>'12'!$E$23</f>
        <v>0</v>
      </c>
      <c r="I24" s="83">
        <v>0</v>
      </c>
      <c r="J24" s="434">
        <f t="shared" si="2"/>
        <v>0</v>
      </c>
      <c r="K24" s="72">
        <f>'12'!$F$23</f>
        <v>0</v>
      </c>
    </row>
    <row r="25" spans="2:11" s="13" customFormat="1" ht="12.75" x14ac:dyDescent="0.2">
      <c r="B25" s="104">
        <v>15</v>
      </c>
      <c r="C25" s="305" t="s">
        <v>1278</v>
      </c>
      <c r="D25" s="82" t="s">
        <v>1337</v>
      </c>
      <c r="E25" s="285">
        <v>55454295</v>
      </c>
      <c r="F25" s="285">
        <v>27262521</v>
      </c>
      <c r="G25" s="286">
        <v>11023884</v>
      </c>
      <c r="H25" s="72">
        <f>'12'!$E$24</f>
        <v>8184480</v>
      </c>
      <c r="I25" s="83">
        <v>8184480</v>
      </c>
      <c r="J25" s="434">
        <f t="shared" si="2"/>
        <v>0</v>
      </c>
      <c r="K25" s="72">
        <f>'12'!$F$24</f>
        <v>8184480</v>
      </c>
    </row>
    <row r="26" spans="2:11" s="13" customFormat="1" ht="12.75" x14ac:dyDescent="0.2">
      <c r="B26" s="104">
        <v>16</v>
      </c>
      <c r="C26" s="78" t="s">
        <v>24</v>
      </c>
      <c r="D26" s="79" t="s">
        <v>449</v>
      </c>
      <c r="E26" s="80">
        <f>SUM(E27:E31)</f>
        <v>260397844</v>
      </c>
      <c r="F26" s="80">
        <f>SUM(F27:F31)</f>
        <v>23838541</v>
      </c>
      <c r="G26" s="80">
        <f>SUM(G27:G31)</f>
        <v>203590822</v>
      </c>
      <c r="H26" s="80">
        <f>SUM(H27:H31)</f>
        <v>104900566</v>
      </c>
      <c r="I26" s="80">
        <f>SUM(I27:I31)</f>
        <v>104900566</v>
      </c>
      <c r="J26" s="435">
        <f t="shared" si="2"/>
        <v>-30559603</v>
      </c>
      <c r="K26" s="80">
        <f t="shared" ref="K26" si="4">SUM(K27:K31)</f>
        <v>74340963</v>
      </c>
    </row>
    <row r="27" spans="2:11" s="13" customFormat="1" ht="12.75" x14ac:dyDescent="0.2">
      <c r="B27" s="104">
        <v>17</v>
      </c>
      <c r="C27" s="305" t="s">
        <v>1339</v>
      </c>
      <c r="D27" s="82" t="s">
        <v>1340</v>
      </c>
      <c r="E27" s="285">
        <v>80000000</v>
      </c>
      <c r="F27" s="285">
        <v>18700953</v>
      </c>
      <c r="G27" s="286">
        <v>26000000</v>
      </c>
      <c r="H27" s="72">
        <f>'12'!$E$26</f>
        <v>104900566</v>
      </c>
      <c r="I27" s="83">
        <v>104900566</v>
      </c>
      <c r="J27" s="434">
        <f t="shared" si="2"/>
        <v>-65089566</v>
      </c>
      <c r="K27" s="72">
        <f>'12'!$F$26</f>
        <v>39811000</v>
      </c>
    </row>
    <row r="28" spans="2:11" s="13" customFormat="1" ht="12.75" x14ac:dyDescent="0.2">
      <c r="B28" s="104">
        <v>18</v>
      </c>
      <c r="C28" s="305" t="s">
        <v>1341</v>
      </c>
      <c r="D28" s="82" t="s">
        <v>1342</v>
      </c>
      <c r="E28" s="285"/>
      <c r="F28" s="285"/>
      <c r="G28" s="286"/>
      <c r="H28" s="72">
        <f>'12'!$E$27</f>
        <v>0</v>
      </c>
      <c r="I28" s="83">
        <v>0</v>
      </c>
      <c r="J28" s="434">
        <f t="shared" si="2"/>
        <v>0</v>
      </c>
      <c r="K28" s="72">
        <f>'12'!$F$27</f>
        <v>0</v>
      </c>
    </row>
    <row r="29" spans="2:11" s="13" customFormat="1" ht="12.75" x14ac:dyDescent="0.2">
      <c r="B29" s="104">
        <v>19</v>
      </c>
      <c r="C29" s="305" t="s">
        <v>1343</v>
      </c>
      <c r="D29" s="82" t="s">
        <v>1344</v>
      </c>
      <c r="E29" s="285"/>
      <c r="F29" s="285"/>
      <c r="G29" s="286"/>
      <c r="H29" s="72">
        <f>'12'!$E$28</f>
        <v>0</v>
      </c>
      <c r="I29" s="83">
        <v>0</v>
      </c>
      <c r="J29" s="434">
        <f t="shared" si="2"/>
        <v>0</v>
      </c>
      <c r="K29" s="72">
        <f>'12'!$F$28</f>
        <v>0</v>
      </c>
    </row>
    <row r="30" spans="2:11" s="13" customFormat="1" ht="12.75" x14ac:dyDescent="0.2">
      <c r="B30" s="104">
        <v>20</v>
      </c>
      <c r="C30" s="305" t="s">
        <v>1345</v>
      </c>
      <c r="D30" s="82" t="s">
        <v>1346</v>
      </c>
      <c r="E30" s="285"/>
      <c r="F30" s="285"/>
      <c r="G30" s="286"/>
      <c r="H30" s="72">
        <f>'12'!$E$29</f>
        <v>0</v>
      </c>
      <c r="I30" s="83">
        <v>0</v>
      </c>
      <c r="J30" s="434">
        <f t="shared" si="2"/>
        <v>0</v>
      </c>
      <c r="K30" s="72">
        <f>'12'!$F$29</f>
        <v>0</v>
      </c>
    </row>
    <row r="31" spans="2:11" s="13" customFormat="1" ht="12.75" x14ac:dyDescent="0.2">
      <c r="B31" s="104">
        <v>21</v>
      </c>
      <c r="C31" s="305" t="s">
        <v>1255</v>
      </c>
      <c r="D31" s="82" t="s">
        <v>1347</v>
      </c>
      <c r="E31" s="285">
        <v>180397844</v>
      </c>
      <c r="F31" s="285">
        <v>5137588</v>
      </c>
      <c r="G31" s="286">
        <v>177590822</v>
      </c>
      <c r="H31" s="72">
        <f>'12'!$E$30</f>
        <v>0</v>
      </c>
      <c r="I31" s="83">
        <v>0</v>
      </c>
      <c r="J31" s="434">
        <f t="shared" si="2"/>
        <v>34529963</v>
      </c>
      <c r="K31" s="72">
        <f>'12'!$F$30</f>
        <v>34529963</v>
      </c>
    </row>
    <row r="32" spans="2:11" s="13" customFormat="1" ht="12.75" x14ac:dyDescent="0.2">
      <c r="B32" s="104">
        <v>22</v>
      </c>
      <c r="C32" s="78" t="s">
        <v>27</v>
      </c>
      <c r="D32" s="79" t="s">
        <v>328</v>
      </c>
      <c r="E32" s="80">
        <f>SUM(E33:E38)</f>
        <v>188930852</v>
      </c>
      <c r="F32" s="80">
        <f>SUM(F33:F38)</f>
        <v>270207405</v>
      </c>
      <c r="G32" s="80">
        <f>SUM(G33:G38)</f>
        <v>307836438</v>
      </c>
      <c r="H32" s="71">
        <f>SUM(H33:H38)</f>
        <v>341800000</v>
      </c>
      <c r="I32" s="80">
        <f t="shared" ref="I32" si="5">SUM(I33:I38)</f>
        <v>341800000</v>
      </c>
      <c r="J32" s="433">
        <f t="shared" si="2"/>
        <v>0</v>
      </c>
      <c r="K32" s="71">
        <f>SUM(K33:K38)</f>
        <v>341800000</v>
      </c>
    </row>
    <row r="33" spans="2:11" s="13" customFormat="1" ht="12.75" x14ac:dyDescent="0.2">
      <c r="B33" s="104">
        <v>23</v>
      </c>
      <c r="C33" s="305" t="s">
        <v>1348</v>
      </c>
      <c r="D33" s="82" t="s">
        <v>1349</v>
      </c>
      <c r="E33" s="285"/>
      <c r="F33" s="285"/>
      <c r="G33" s="286"/>
      <c r="H33" s="72">
        <f>'12'!$E$32</f>
        <v>0</v>
      </c>
      <c r="I33" s="83">
        <v>0</v>
      </c>
      <c r="J33" s="434">
        <f t="shared" si="2"/>
        <v>0</v>
      </c>
      <c r="K33" s="72">
        <f>'12'!$F$32</f>
        <v>0</v>
      </c>
    </row>
    <row r="34" spans="2:11" s="13" customFormat="1" ht="12.75" x14ac:dyDescent="0.2">
      <c r="B34" s="104">
        <v>24</v>
      </c>
      <c r="C34" s="305" t="s">
        <v>1259</v>
      </c>
      <c r="D34" s="82" t="s">
        <v>1350</v>
      </c>
      <c r="E34" s="285">
        <v>85836733</v>
      </c>
      <c r="F34" s="285">
        <v>125386918</v>
      </c>
      <c r="G34" s="286">
        <v>139388255</v>
      </c>
      <c r="H34" s="72">
        <f>'12'!$E$33</f>
        <v>175000000</v>
      </c>
      <c r="I34" s="83">
        <v>175000000</v>
      </c>
      <c r="J34" s="434">
        <f t="shared" si="2"/>
        <v>0</v>
      </c>
      <c r="K34" s="72">
        <f>'12'!$F$33</f>
        <v>175000000</v>
      </c>
    </row>
    <row r="35" spans="2:11" s="13" customFormat="1" ht="12.75" x14ac:dyDescent="0.2">
      <c r="B35" s="104">
        <v>25</v>
      </c>
      <c r="C35" s="305" t="s">
        <v>1260</v>
      </c>
      <c r="D35" s="82" t="s">
        <v>1351</v>
      </c>
      <c r="E35" s="285">
        <v>89251702</v>
      </c>
      <c r="F35" s="285">
        <v>131590121</v>
      </c>
      <c r="G35" s="286">
        <v>151679352</v>
      </c>
      <c r="H35" s="72">
        <f>'12'!$E$34</f>
        <v>150000000</v>
      </c>
      <c r="I35" s="83">
        <v>150000000</v>
      </c>
      <c r="J35" s="434">
        <f t="shared" si="2"/>
        <v>0</v>
      </c>
      <c r="K35" s="72">
        <f>'12'!$F$34</f>
        <v>150000000</v>
      </c>
    </row>
    <row r="36" spans="2:11" s="13" customFormat="1" ht="12.75" x14ac:dyDescent="0.2">
      <c r="B36" s="104">
        <v>26</v>
      </c>
      <c r="C36" s="305" t="s">
        <v>1352</v>
      </c>
      <c r="D36" s="82" t="s">
        <v>1353</v>
      </c>
      <c r="E36" s="285"/>
      <c r="F36" s="285"/>
      <c r="G36" s="286"/>
      <c r="H36" s="72">
        <f>'12'!$E$35</f>
        <v>0</v>
      </c>
      <c r="I36" s="83">
        <v>0</v>
      </c>
      <c r="J36" s="434">
        <f t="shared" si="2"/>
        <v>0</v>
      </c>
      <c r="K36" s="72">
        <f>'12'!$F$35</f>
        <v>0</v>
      </c>
    </row>
    <row r="37" spans="2:11" s="13" customFormat="1" ht="12.75" x14ac:dyDescent="0.2">
      <c r="B37" s="104">
        <v>27</v>
      </c>
      <c r="C37" s="305" t="s">
        <v>1292</v>
      </c>
      <c r="D37" s="82" t="s">
        <v>1354</v>
      </c>
      <c r="E37" s="285">
        <v>6963046</v>
      </c>
      <c r="F37" s="285">
        <v>10275006</v>
      </c>
      <c r="G37" s="286">
        <v>12350657</v>
      </c>
      <c r="H37" s="72">
        <f>'12'!$E$36</f>
        <v>12000000</v>
      </c>
      <c r="I37" s="83">
        <v>12000000</v>
      </c>
      <c r="J37" s="434">
        <f t="shared" si="2"/>
        <v>0</v>
      </c>
      <c r="K37" s="72">
        <f>'12'!$F$36</f>
        <v>12000000</v>
      </c>
    </row>
    <row r="38" spans="2:11" s="13" customFormat="1" ht="12.75" x14ac:dyDescent="0.2">
      <c r="B38" s="104">
        <v>28</v>
      </c>
      <c r="C38" s="305" t="s">
        <v>1293</v>
      </c>
      <c r="D38" s="82" t="s">
        <v>1355</v>
      </c>
      <c r="E38" s="285">
        <v>6879371</v>
      </c>
      <c r="F38" s="285">
        <v>2955360</v>
      </c>
      <c r="G38" s="286">
        <v>4418174</v>
      </c>
      <c r="H38" s="72">
        <f>'12'!$E$37</f>
        <v>4800000</v>
      </c>
      <c r="I38" s="83">
        <v>4800000</v>
      </c>
      <c r="J38" s="434">
        <f t="shared" si="2"/>
        <v>0</v>
      </c>
      <c r="K38" s="72">
        <f>'12'!$F$37</f>
        <v>4800000</v>
      </c>
    </row>
    <row r="39" spans="2:11" s="13" customFormat="1" ht="12.75" x14ac:dyDescent="0.2">
      <c r="B39" s="104">
        <v>29</v>
      </c>
      <c r="C39" s="78" t="s">
        <v>30</v>
      </c>
      <c r="D39" s="79" t="s">
        <v>329</v>
      </c>
      <c r="E39" s="80">
        <f t="shared" ref="E39:I39" si="6">SUM(E40:E52)</f>
        <v>76940705</v>
      </c>
      <c r="F39" s="80">
        <f>SUM(F40:F52)</f>
        <v>128671125</v>
      </c>
      <c r="G39" s="80">
        <f t="shared" si="6"/>
        <v>131196797</v>
      </c>
      <c r="H39" s="71">
        <f t="shared" si="6"/>
        <v>144480800</v>
      </c>
      <c r="I39" s="80">
        <f t="shared" si="6"/>
        <v>144480800</v>
      </c>
      <c r="J39" s="433">
        <f t="shared" si="2"/>
        <v>0</v>
      </c>
      <c r="K39" s="71">
        <f>SUM(K40:K52)</f>
        <v>144480800</v>
      </c>
    </row>
    <row r="40" spans="2:11" s="13" customFormat="1" ht="12.75" x14ac:dyDescent="0.2">
      <c r="B40" s="104">
        <v>30</v>
      </c>
      <c r="C40" s="305" t="s">
        <v>1309</v>
      </c>
      <c r="D40" s="82" t="s">
        <v>1356</v>
      </c>
      <c r="E40" s="83">
        <v>437114</v>
      </c>
      <c r="F40" s="83">
        <v>804778</v>
      </c>
      <c r="G40" s="286">
        <v>705616</v>
      </c>
      <c r="H40" s="72">
        <f>'12'!$E$39</f>
        <v>0</v>
      </c>
      <c r="I40" s="83">
        <v>0</v>
      </c>
      <c r="J40" s="434">
        <f t="shared" si="2"/>
        <v>0</v>
      </c>
      <c r="K40" s="72">
        <f>'12'!$F$39</f>
        <v>0</v>
      </c>
    </row>
    <row r="41" spans="2:11" s="13" customFormat="1" ht="12.75" x14ac:dyDescent="0.2">
      <c r="B41" s="104">
        <v>31</v>
      </c>
      <c r="C41" s="305" t="s">
        <v>1279</v>
      </c>
      <c r="D41" s="82" t="s">
        <v>1357</v>
      </c>
      <c r="E41" s="83">
        <v>33436509</v>
      </c>
      <c r="F41" s="83">
        <v>46229595</v>
      </c>
      <c r="G41" s="286">
        <v>66452193</v>
      </c>
      <c r="H41" s="72">
        <f>'12'!$E$40</f>
        <v>68240000</v>
      </c>
      <c r="I41" s="83">
        <v>68240000</v>
      </c>
      <c r="J41" s="434">
        <f t="shared" si="2"/>
        <v>0</v>
      </c>
      <c r="K41" s="72">
        <f>'12'!$F$40</f>
        <v>68240000</v>
      </c>
    </row>
    <row r="42" spans="2:11" s="13" customFormat="1" ht="12.75" x14ac:dyDescent="0.2">
      <c r="B42" s="104">
        <v>32</v>
      </c>
      <c r="C42" s="305" t="s">
        <v>1272</v>
      </c>
      <c r="D42" s="82" t="s">
        <v>1358</v>
      </c>
      <c r="E42" s="83">
        <v>13061293</v>
      </c>
      <c r="F42" s="83">
        <v>19443765</v>
      </c>
      <c r="G42" s="286">
        <v>14923981</v>
      </c>
      <c r="H42" s="72">
        <f>'12'!$E$41</f>
        <v>15000000</v>
      </c>
      <c r="I42" s="83">
        <v>15000000</v>
      </c>
      <c r="J42" s="434">
        <f t="shared" si="2"/>
        <v>0</v>
      </c>
      <c r="K42" s="72">
        <f>'12'!$F$41</f>
        <v>15000000</v>
      </c>
    </row>
    <row r="43" spans="2:11" s="13" customFormat="1" ht="12.75" x14ac:dyDescent="0.2">
      <c r="B43" s="104">
        <v>33</v>
      </c>
      <c r="C43" s="305" t="s">
        <v>1359</v>
      </c>
      <c r="D43" s="82" t="s">
        <v>1360</v>
      </c>
      <c r="E43" s="83"/>
      <c r="F43" s="83">
        <v>22000</v>
      </c>
      <c r="G43" s="286">
        <v>1044000</v>
      </c>
      <c r="H43" s="72">
        <f>'12'!$E$42</f>
        <v>0</v>
      </c>
      <c r="I43" s="83">
        <v>0</v>
      </c>
      <c r="J43" s="434">
        <f t="shared" si="2"/>
        <v>0</v>
      </c>
      <c r="K43" s="72">
        <f>'12'!$F$42</f>
        <v>0</v>
      </c>
    </row>
    <row r="44" spans="2:11" s="13" customFormat="1" ht="12.75" x14ac:dyDescent="0.2">
      <c r="B44" s="104">
        <v>34</v>
      </c>
      <c r="C44" s="305" t="s">
        <v>1261</v>
      </c>
      <c r="D44" s="82" t="s">
        <v>1361</v>
      </c>
      <c r="E44" s="83">
        <v>15619939</v>
      </c>
      <c r="F44" s="83">
        <v>19388083</v>
      </c>
      <c r="G44" s="286">
        <v>23151740</v>
      </c>
      <c r="H44" s="72">
        <f>'12'!$E$43</f>
        <v>27840000</v>
      </c>
      <c r="I44" s="83">
        <v>27840000</v>
      </c>
      <c r="J44" s="434">
        <f t="shared" si="2"/>
        <v>0</v>
      </c>
      <c r="K44" s="72">
        <f>'12'!$F$43</f>
        <v>27840000</v>
      </c>
    </row>
    <row r="45" spans="2:11" s="13" customFormat="1" ht="12.75" x14ac:dyDescent="0.2">
      <c r="B45" s="104">
        <v>35</v>
      </c>
      <c r="C45" s="305" t="s">
        <v>1273</v>
      </c>
      <c r="D45" s="82" t="s">
        <v>1362</v>
      </c>
      <c r="E45" s="83">
        <v>13245971</v>
      </c>
      <c r="F45" s="83">
        <v>11628406</v>
      </c>
      <c r="G45" s="286">
        <v>14110657</v>
      </c>
      <c r="H45" s="72">
        <f>'12'!$E$44</f>
        <v>17560800</v>
      </c>
      <c r="I45" s="83">
        <v>17560800</v>
      </c>
      <c r="J45" s="434">
        <f t="shared" si="2"/>
        <v>0</v>
      </c>
      <c r="K45" s="72">
        <f>'12'!$F$44</f>
        <v>17560800</v>
      </c>
    </row>
    <row r="46" spans="2:11" s="13" customFormat="1" ht="12.75" x14ac:dyDescent="0.2">
      <c r="B46" s="104">
        <v>36</v>
      </c>
      <c r="C46" s="305" t="s">
        <v>1363</v>
      </c>
      <c r="D46" s="82" t="s">
        <v>1364</v>
      </c>
      <c r="E46" s="83"/>
      <c r="F46" s="83">
        <v>23050496</v>
      </c>
      <c r="G46" s="286">
        <v>5901000</v>
      </c>
      <c r="H46" s="72">
        <f>'12'!$E45</f>
        <v>15840000</v>
      </c>
      <c r="I46" s="83">
        <v>15840000</v>
      </c>
      <c r="J46" s="434">
        <f t="shared" si="2"/>
        <v>0</v>
      </c>
      <c r="K46" s="72">
        <f>'12'!$F45</f>
        <v>15840000</v>
      </c>
    </row>
    <row r="47" spans="2:11" s="13" customFormat="1" ht="12.75" x14ac:dyDescent="0.2">
      <c r="B47" s="104">
        <v>37</v>
      </c>
      <c r="C47" s="305" t="s">
        <v>1306</v>
      </c>
      <c r="D47" s="82" t="s">
        <v>1365</v>
      </c>
      <c r="E47" s="83"/>
      <c r="F47" s="83"/>
      <c r="G47" s="286"/>
      <c r="H47" s="72">
        <f>'12'!$E46</f>
        <v>0</v>
      </c>
      <c r="I47" s="83">
        <v>0</v>
      </c>
      <c r="J47" s="434">
        <f t="shared" si="2"/>
        <v>0</v>
      </c>
      <c r="K47" s="72">
        <f>'12'!$F46</f>
        <v>0</v>
      </c>
    </row>
    <row r="48" spans="2:11" s="13" customFormat="1" ht="12.75" x14ac:dyDescent="0.2">
      <c r="B48" s="104">
        <v>38</v>
      </c>
      <c r="C48" s="305" t="s">
        <v>1295</v>
      </c>
      <c r="D48" s="82" t="s">
        <v>1366</v>
      </c>
      <c r="E48" s="83">
        <v>292</v>
      </c>
      <c r="F48" s="83">
        <v>6407814</v>
      </c>
      <c r="G48" s="286">
        <v>1711026</v>
      </c>
      <c r="H48" s="72">
        <f>'12'!$E47</f>
        <v>0</v>
      </c>
      <c r="I48" s="83">
        <v>0</v>
      </c>
      <c r="J48" s="434">
        <f t="shared" si="2"/>
        <v>0</v>
      </c>
      <c r="K48" s="72">
        <f>'12'!$F47</f>
        <v>0</v>
      </c>
    </row>
    <row r="49" spans="2:11" s="13" customFormat="1" ht="12.75" x14ac:dyDescent="0.2">
      <c r="B49" s="104">
        <v>39</v>
      </c>
      <c r="C49" s="305" t="s">
        <v>1367</v>
      </c>
      <c r="D49" s="82" t="s">
        <v>1368</v>
      </c>
      <c r="E49" s="83"/>
      <c r="F49" s="83"/>
      <c r="G49" s="286"/>
      <c r="H49" s="72">
        <f>'12'!$E48</f>
        <v>0</v>
      </c>
      <c r="I49" s="83">
        <v>0</v>
      </c>
      <c r="J49" s="434">
        <f t="shared" si="2"/>
        <v>0</v>
      </c>
      <c r="K49" s="72">
        <f>'12'!$F48</f>
        <v>0</v>
      </c>
    </row>
    <row r="50" spans="2:11" s="13" customFormat="1" ht="12.75" x14ac:dyDescent="0.2">
      <c r="B50" s="104">
        <v>40</v>
      </c>
      <c r="C50" s="305" t="s">
        <v>1369</v>
      </c>
      <c r="D50" s="82" t="s">
        <v>1370</v>
      </c>
      <c r="E50" s="83"/>
      <c r="F50" s="83"/>
      <c r="G50" s="286"/>
      <c r="H50" s="72">
        <f>'12'!$E49</f>
        <v>0</v>
      </c>
      <c r="I50" s="83">
        <v>0</v>
      </c>
      <c r="J50" s="434">
        <f t="shared" si="2"/>
        <v>0</v>
      </c>
      <c r="K50" s="72">
        <f>'12'!$F49</f>
        <v>0</v>
      </c>
    </row>
    <row r="51" spans="2:11" s="13" customFormat="1" ht="12.75" x14ac:dyDescent="0.2">
      <c r="B51" s="104">
        <v>41</v>
      </c>
      <c r="C51" s="305" t="s">
        <v>1296</v>
      </c>
      <c r="D51" s="82" t="s">
        <v>1371</v>
      </c>
      <c r="E51" s="83"/>
      <c r="F51" s="83"/>
      <c r="G51" s="286"/>
      <c r="H51" s="72">
        <f>'12'!$E50</f>
        <v>0</v>
      </c>
      <c r="I51" s="83">
        <v>0</v>
      </c>
      <c r="J51" s="434">
        <f t="shared" si="2"/>
        <v>0</v>
      </c>
      <c r="K51" s="72">
        <f>'12'!$F50</f>
        <v>0</v>
      </c>
    </row>
    <row r="52" spans="2:11" s="13" customFormat="1" ht="12.75" x14ac:dyDescent="0.2">
      <c r="B52" s="104">
        <v>42</v>
      </c>
      <c r="C52" s="305" t="s">
        <v>1297</v>
      </c>
      <c r="D52" s="84" t="s">
        <v>1372</v>
      </c>
      <c r="E52" s="83">
        <v>1139587</v>
      </c>
      <c r="F52" s="83">
        <v>1696188</v>
      </c>
      <c r="G52" s="286">
        <v>3196584</v>
      </c>
      <c r="H52" s="72">
        <f>'12'!$E51</f>
        <v>0</v>
      </c>
      <c r="I52" s="83">
        <v>0</v>
      </c>
      <c r="J52" s="434">
        <f t="shared" si="2"/>
        <v>0</v>
      </c>
      <c r="K52" s="72">
        <f>'12'!$F51</f>
        <v>0</v>
      </c>
    </row>
    <row r="53" spans="2:11" s="13" customFormat="1" ht="12.75" x14ac:dyDescent="0.2">
      <c r="B53" s="104">
        <v>43</v>
      </c>
      <c r="C53" s="78" t="s">
        <v>33</v>
      </c>
      <c r="D53" s="79" t="s">
        <v>330</v>
      </c>
      <c r="E53" s="80">
        <f t="shared" ref="E53:G53" si="7">SUM(E54:E58)</f>
        <v>14785300</v>
      </c>
      <c r="F53" s="80">
        <f>SUM(F54:F58)</f>
        <v>0</v>
      </c>
      <c r="G53" s="80">
        <f t="shared" si="7"/>
        <v>0</v>
      </c>
      <c r="H53" s="71">
        <f>SUM(H54:H58)</f>
        <v>0</v>
      </c>
      <c r="I53" s="80">
        <f t="shared" ref="I53" si="8">SUM(I54:I58)</f>
        <v>0</v>
      </c>
      <c r="J53" s="433">
        <f t="shared" si="2"/>
        <v>0</v>
      </c>
      <c r="K53" s="71">
        <f>SUM(K54:K58)</f>
        <v>0</v>
      </c>
    </row>
    <row r="54" spans="2:11" s="13" customFormat="1" ht="12.75" x14ac:dyDescent="0.2">
      <c r="B54" s="104">
        <v>44</v>
      </c>
      <c r="C54" s="305" t="s">
        <v>1373</v>
      </c>
      <c r="D54" s="82" t="s">
        <v>1374</v>
      </c>
      <c r="E54" s="83"/>
      <c r="F54" s="83"/>
      <c r="G54" s="83"/>
      <c r="H54" s="72">
        <f>'12'!$E$53</f>
        <v>0</v>
      </c>
      <c r="I54" s="83">
        <v>0</v>
      </c>
      <c r="J54" s="434">
        <f t="shared" si="2"/>
        <v>0</v>
      </c>
      <c r="K54" s="72">
        <f>'12'!$F$53</f>
        <v>0</v>
      </c>
    </row>
    <row r="55" spans="2:11" s="13" customFormat="1" ht="12.75" x14ac:dyDescent="0.2">
      <c r="B55" s="104">
        <v>45</v>
      </c>
      <c r="C55" s="305" t="s">
        <v>1294</v>
      </c>
      <c r="D55" s="82" t="s">
        <v>1375</v>
      </c>
      <c r="E55" s="83">
        <v>14785300</v>
      </c>
      <c r="F55" s="83"/>
      <c r="G55" s="83"/>
      <c r="H55" s="72">
        <f>'12'!$E$54</f>
        <v>0</v>
      </c>
      <c r="I55" s="83">
        <v>0</v>
      </c>
      <c r="J55" s="434">
        <f t="shared" si="2"/>
        <v>0</v>
      </c>
      <c r="K55" s="72">
        <f>'12'!$F$54</f>
        <v>0</v>
      </c>
    </row>
    <row r="56" spans="2:11" s="13" customFormat="1" ht="12.75" x14ac:dyDescent="0.2">
      <c r="B56" s="104">
        <v>46</v>
      </c>
      <c r="C56" s="305" t="s">
        <v>1376</v>
      </c>
      <c r="D56" s="82" t="s">
        <v>1377</v>
      </c>
      <c r="E56" s="83"/>
      <c r="F56" s="83"/>
      <c r="G56" s="83"/>
      <c r="H56" s="72">
        <f>'12'!$E$55</f>
        <v>0</v>
      </c>
      <c r="I56" s="83">
        <v>0</v>
      </c>
      <c r="J56" s="434">
        <f t="shared" si="2"/>
        <v>0</v>
      </c>
      <c r="K56" s="72">
        <f>'12'!$F$55</f>
        <v>0</v>
      </c>
    </row>
    <row r="57" spans="2:11" s="13" customFormat="1" ht="12.75" x14ac:dyDescent="0.2">
      <c r="B57" s="104">
        <v>47</v>
      </c>
      <c r="C57" s="305" t="s">
        <v>1378</v>
      </c>
      <c r="D57" s="82" t="s">
        <v>1379</v>
      </c>
      <c r="E57" s="83"/>
      <c r="F57" s="83"/>
      <c r="G57" s="83"/>
      <c r="H57" s="72">
        <f>'12'!$E$56</f>
        <v>0</v>
      </c>
      <c r="I57" s="83">
        <v>0</v>
      </c>
      <c r="J57" s="434">
        <f t="shared" si="2"/>
        <v>0</v>
      </c>
      <c r="K57" s="72">
        <f>'12'!$F$56</f>
        <v>0</v>
      </c>
    </row>
    <row r="58" spans="2:11" s="13" customFormat="1" ht="12.75" x14ac:dyDescent="0.2">
      <c r="B58" s="104">
        <v>48</v>
      </c>
      <c r="C58" s="305" t="s">
        <v>1380</v>
      </c>
      <c r="D58" s="84" t="s">
        <v>1381</v>
      </c>
      <c r="E58" s="83"/>
      <c r="F58" s="83"/>
      <c r="G58" s="83"/>
      <c r="H58" s="72">
        <f>'12'!$E$57</f>
        <v>0</v>
      </c>
      <c r="I58" s="83">
        <v>0</v>
      </c>
      <c r="J58" s="434">
        <f t="shared" si="2"/>
        <v>0</v>
      </c>
      <c r="K58" s="72">
        <f>'12'!$F$57</f>
        <v>0</v>
      </c>
    </row>
    <row r="59" spans="2:11" s="13" customFormat="1" ht="12.75" x14ac:dyDescent="0.2">
      <c r="B59" s="104">
        <v>49</v>
      </c>
      <c r="C59" s="78" t="s">
        <v>36</v>
      </c>
      <c r="D59" s="79" t="s">
        <v>331</v>
      </c>
      <c r="E59" s="80">
        <f>SUM(E60:E64)</f>
        <v>2875300</v>
      </c>
      <c r="F59" s="80">
        <f>SUM(F60:F64)</f>
        <v>3938100</v>
      </c>
      <c r="G59" s="80">
        <f t="shared" ref="G59:I59" si="9">SUM(G60:G64)</f>
        <v>100000</v>
      </c>
      <c r="H59" s="80">
        <f t="shared" si="9"/>
        <v>0</v>
      </c>
      <c r="I59" s="80">
        <f t="shared" si="9"/>
        <v>0</v>
      </c>
      <c r="J59" s="435">
        <f t="shared" si="2"/>
        <v>1250400</v>
      </c>
      <c r="K59" s="80">
        <f>SUM(K60:K64)</f>
        <v>1250400</v>
      </c>
    </row>
    <row r="60" spans="2:11" s="13" customFormat="1" ht="12.75" x14ac:dyDescent="0.2">
      <c r="B60" s="104">
        <v>50</v>
      </c>
      <c r="C60" s="305" t="s">
        <v>1382</v>
      </c>
      <c r="D60" s="82" t="s">
        <v>1383</v>
      </c>
      <c r="E60" s="83"/>
      <c r="F60" s="83"/>
      <c r="G60" s="83"/>
      <c r="H60" s="72">
        <f>'12'!$E59</f>
        <v>0</v>
      </c>
      <c r="I60" s="83">
        <v>0</v>
      </c>
      <c r="J60" s="434">
        <f t="shared" si="2"/>
        <v>0</v>
      </c>
      <c r="K60" s="72">
        <f>'12'!$F59</f>
        <v>0</v>
      </c>
    </row>
    <row r="61" spans="2:11" s="13" customFormat="1" ht="12.75" x14ac:dyDescent="0.2">
      <c r="B61" s="104">
        <v>51</v>
      </c>
      <c r="C61" s="305" t="s">
        <v>1384</v>
      </c>
      <c r="D61" s="82" t="s">
        <v>1385</v>
      </c>
      <c r="E61" s="83"/>
      <c r="F61" s="83"/>
      <c r="G61" s="83"/>
      <c r="H61" s="72">
        <f>'12'!$E60</f>
        <v>0</v>
      </c>
      <c r="I61" s="83">
        <v>0</v>
      </c>
      <c r="J61" s="434">
        <f t="shared" si="2"/>
        <v>0</v>
      </c>
      <c r="K61" s="72">
        <f>'12'!$F60</f>
        <v>0</v>
      </c>
    </row>
    <row r="62" spans="2:11" s="13" customFormat="1" ht="12.75" x14ac:dyDescent="0.2">
      <c r="B62" s="104">
        <v>52</v>
      </c>
      <c r="C62" s="305" t="s">
        <v>1386</v>
      </c>
      <c r="D62" s="82" t="s">
        <v>1387</v>
      </c>
      <c r="E62" s="83"/>
      <c r="F62" s="83"/>
      <c r="G62" s="83"/>
      <c r="H62" s="72">
        <f>'12'!$E61</f>
        <v>0</v>
      </c>
      <c r="I62" s="83">
        <v>0</v>
      </c>
      <c r="J62" s="434">
        <f t="shared" si="2"/>
        <v>0</v>
      </c>
      <c r="K62" s="72">
        <f>'12'!$F61</f>
        <v>0</v>
      </c>
    </row>
    <row r="63" spans="2:11" s="13" customFormat="1" ht="12.75" x14ac:dyDescent="0.2">
      <c r="B63" s="104">
        <v>53</v>
      </c>
      <c r="C63" s="305" t="s">
        <v>1388</v>
      </c>
      <c r="D63" s="82" t="s">
        <v>1389</v>
      </c>
      <c r="E63" s="83"/>
      <c r="F63" s="83">
        <v>3200000</v>
      </c>
      <c r="G63" s="83"/>
      <c r="H63" s="72">
        <f>'12'!$E62</f>
        <v>0</v>
      </c>
      <c r="I63" s="83">
        <v>0</v>
      </c>
      <c r="J63" s="434">
        <f t="shared" si="2"/>
        <v>0</v>
      </c>
      <c r="K63" s="72">
        <f>'12'!$F62</f>
        <v>0</v>
      </c>
    </row>
    <row r="64" spans="2:11" s="13" customFormat="1" ht="12.75" x14ac:dyDescent="0.2">
      <c r="B64" s="104">
        <v>54</v>
      </c>
      <c r="C64" s="305" t="s">
        <v>1310</v>
      </c>
      <c r="D64" s="82" t="s">
        <v>1390</v>
      </c>
      <c r="E64" s="83">
        <v>2875300</v>
      </c>
      <c r="F64" s="83">
        <v>738100</v>
      </c>
      <c r="G64" s="83">
        <v>100000</v>
      </c>
      <c r="H64" s="72">
        <f>'12'!$E63</f>
        <v>0</v>
      </c>
      <c r="I64" s="83">
        <v>0</v>
      </c>
      <c r="J64" s="434">
        <f t="shared" si="2"/>
        <v>1250400</v>
      </c>
      <c r="K64" s="72">
        <f>'12'!$F63</f>
        <v>1250400</v>
      </c>
    </row>
    <row r="65" spans="2:14" s="13" customFormat="1" ht="12.75" x14ac:dyDescent="0.2">
      <c r="B65" s="104">
        <v>55</v>
      </c>
      <c r="C65" s="78" t="s">
        <v>38</v>
      </c>
      <c r="D65" s="85" t="s">
        <v>332</v>
      </c>
      <c r="E65" s="80">
        <f>SUM(E66:E70)</f>
        <v>0</v>
      </c>
      <c r="F65" s="80">
        <f>SUM(F66:F70)</f>
        <v>0</v>
      </c>
      <c r="G65" s="80">
        <f t="shared" ref="G65:K65" si="10">SUM(G66:G70)</f>
        <v>0</v>
      </c>
      <c r="H65" s="80">
        <f>SUM(H66:H70)</f>
        <v>0</v>
      </c>
      <c r="I65" s="80">
        <f t="shared" ref="I65" si="11">SUM(I66:I70)</f>
        <v>0</v>
      </c>
      <c r="J65" s="435">
        <f t="shared" si="2"/>
        <v>0</v>
      </c>
      <c r="K65" s="80">
        <f t="shared" si="10"/>
        <v>0</v>
      </c>
    </row>
    <row r="66" spans="2:14" s="13" customFormat="1" ht="12.75" x14ac:dyDescent="0.2">
      <c r="B66" s="104">
        <v>56</v>
      </c>
      <c r="C66" s="305" t="s">
        <v>1391</v>
      </c>
      <c r="D66" s="82" t="s">
        <v>1392</v>
      </c>
      <c r="E66" s="83"/>
      <c r="F66" s="83"/>
      <c r="G66" s="83"/>
      <c r="H66" s="72">
        <f>'12'!$E65</f>
        <v>0</v>
      </c>
      <c r="I66" s="83">
        <v>0</v>
      </c>
      <c r="J66" s="434">
        <f t="shared" si="2"/>
        <v>0</v>
      </c>
      <c r="K66" s="72">
        <f>'12'!$F65</f>
        <v>0</v>
      </c>
    </row>
    <row r="67" spans="2:14" s="13" customFormat="1" ht="12.75" x14ac:dyDescent="0.2">
      <c r="B67" s="104">
        <v>57</v>
      </c>
      <c r="C67" s="305" t="s">
        <v>1393</v>
      </c>
      <c r="D67" s="82" t="s">
        <v>1394</v>
      </c>
      <c r="E67" s="83"/>
      <c r="F67" s="83"/>
      <c r="G67" s="83"/>
      <c r="H67" s="72">
        <f>'12'!$E66</f>
        <v>0</v>
      </c>
      <c r="I67" s="83">
        <v>0</v>
      </c>
      <c r="J67" s="434">
        <f t="shared" si="2"/>
        <v>0</v>
      </c>
      <c r="K67" s="72">
        <f>'12'!$F66</f>
        <v>0</v>
      </c>
    </row>
    <row r="68" spans="2:14" s="13" customFormat="1" ht="12.75" x14ac:dyDescent="0.2">
      <c r="B68" s="104">
        <v>58</v>
      </c>
      <c r="C68" s="305" t="s">
        <v>1395</v>
      </c>
      <c r="D68" s="82" t="s">
        <v>1396</v>
      </c>
      <c r="E68" s="83"/>
      <c r="F68" s="83"/>
      <c r="G68" s="83"/>
      <c r="H68" s="72">
        <f>'12'!$E67</f>
        <v>0</v>
      </c>
      <c r="I68" s="83">
        <v>0</v>
      </c>
      <c r="J68" s="434">
        <f t="shared" si="2"/>
        <v>0</v>
      </c>
      <c r="K68" s="72">
        <f>'12'!$F67</f>
        <v>0</v>
      </c>
    </row>
    <row r="69" spans="2:14" s="13" customFormat="1" ht="12.75" x14ac:dyDescent="0.2">
      <c r="B69" s="104">
        <v>59</v>
      </c>
      <c r="C69" s="305" t="s">
        <v>1397</v>
      </c>
      <c r="D69" s="82" t="s">
        <v>1398</v>
      </c>
      <c r="E69" s="83"/>
      <c r="F69" s="83"/>
      <c r="G69" s="83"/>
      <c r="H69" s="72">
        <f>'12'!$E68</f>
        <v>0</v>
      </c>
      <c r="I69" s="83">
        <v>0</v>
      </c>
      <c r="J69" s="434">
        <f t="shared" si="2"/>
        <v>0</v>
      </c>
      <c r="K69" s="72">
        <f>'12'!$F68</f>
        <v>0</v>
      </c>
    </row>
    <row r="70" spans="2:14" s="13" customFormat="1" ht="12.75" x14ac:dyDescent="0.2">
      <c r="B70" s="104">
        <v>60</v>
      </c>
      <c r="C70" s="305" t="s">
        <v>1399</v>
      </c>
      <c r="D70" s="84" t="s">
        <v>1400</v>
      </c>
      <c r="E70" s="83"/>
      <c r="F70" s="83"/>
      <c r="G70" s="83"/>
      <c r="H70" s="72">
        <f>'12'!$E69</f>
        <v>0</v>
      </c>
      <c r="I70" s="83">
        <v>0</v>
      </c>
      <c r="J70" s="434">
        <f t="shared" si="2"/>
        <v>0</v>
      </c>
      <c r="K70" s="72">
        <f>'12'!$F69</f>
        <v>0</v>
      </c>
    </row>
    <row r="71" spans="2:14" s="13" customFormat="1" ht="12.75" x14ac:dyDescent="0.2">
      <c r="B71" s="104">
        <v>61</v>
      </c>
      <c r="C71" s="78" t="s">
        <v>352</v>
      </c>
      <c r="D71" s="79" t="s">
        <v>1401</v>
      </c>
      <c r="E71" s="80">
        <f>+E12+E20+E26+E32+E39+E53+E59+E65</f>
        <v>1114124107</v>
      </c>
      <c r="F71" s="80">
        <f>+F12+F20+F26+F32+F39+F53+F59+F65</f>
        <v>1111354147</v>
      </c>
      <c r="G71" s="80">
        <f>+G12+G20+G26+G32+G39+G53+G59+G65</f>
        <v>1402726934</v>
      </c>
      <c r="H71" s="71">
        <f>+H12+H20+H26+H32+H39+H53+H59+H65</f>
        <v>1382874220</v>
      </c>
      <c r="I71" s="80">
        <f t="shared" ref="I71" si="12">+I12+I20+I26+I32+I39+I53+I59+I65</f>
        <v>1382874220</v>
      </c>
      <c r="J71" s="433">
        <f t="shared" si="2"/>
        <v>-13829780</v>
      </c>
      <c r="K71" s="71">
        <f>+K12+K20+K26+K32+K39+K53+K59+K65</f>
        <v>1369044440</v>
      </c>
      <c r="N71" s="46"/>
    </row>
    <row r="72" spans="2:14" s="13" customFormat="1" ht="12.75" x14ac:dyDescent="0.2">
      <c r="B72" s="104">
        <v>62</v>
      </c>
      <c r="C72" s="154" t="s">
        <v>1402</v>
      </c>
      <c r="D72" s="85" t="s">
        <v>1403</v>
      </c>
      <c r="E72" s="80"/>
      <c r="F72" s="80"/>
      <c r="G72" s="80"/>
      <c r="H72" s="71">
        <f>SUM(H73:H75)</f>
        <v>0</v>
      </c>
      <c r="I72" s="80">
        <f t="shared" ref="I72" si="13">SUM(I73:I75)</f>
        <v>0</v>
      </c>
      <c r="J72" s="433">
        <f t="shared" si="2"/>
        <v>0</v>
      </c>
      <c r="K72" s="71">
        <f>SUM(K73:K75)</f>
        <v>0</v>
      </c>
    </row>
    <row r="73" spans="2:14" s="13" customFormat="1" ht="12.75" x14ac:dyDescent="0.2">
      <c r="B73" s="104">
        <v>63</v>
      </c>
      <c r="C73" s="305" t="s">
        <v>1404</v>
      </c>
      <c r="D73" s="82" t="s">
        <v>1405</v>
      </c>
      <c r="E73" s="83"/>
      <c r="F73" s="83"/>
      <c r="G73" s="83"/>
      <c r="H73" s="72">
        <f>'12'!$E$72</f>
        <v>0</v>
      </c>
      <c r="I73" s="83">
        <v>0</v>
      </c>
      <c r="J73" s="434">
        <f t="shared" si="2"/>
        <v>0</v>
      </c>
      <c r="K73" s="72">
        <f>'12'!$F$72</f>
        <v>0</v>
      </c>
    </row>
    <row r="74" spans="2:14" s="13" customFormat="1" ht="12.75" x14ac:dyDescent="0.2">
      <c r="B74" s="104">
        <v>64</v>
      </c>
      <c r="C74" s="305" t="s">
        <v>1406</v>
      </c>
      <c r="D74" s="82" t="s">
        <v>1407</v>
      </c>
      <c r="E74" s="83"/>
      <c r="F74" s="83"/>
      <c r="G74" s="83"/>
      <c r="H74" s="72">
        <f>'12'!$E$73</f>
        <v>0</v>
      </c>
      <c r="I74" s="83">
        <v>0</v>
      </c>
      <c r="J74" s="434">
        <f t="shared" si="2"/>
        <v>0</v>
      </c>
      <c r="K74" s="72">
        <f>'12'!$F$73</f>
        <v>0</v>
      </c>
    </row>
    <row r="75" spans="2:14" s="13" customFormat="1" ht="12.75" x14ac:dyDescent="0.2">
      <c r="B75" s="104">
        <v>65</v>
      </c>
      <c r="C75" s="305" t="s">
        <v>1408</v>
      </c>
      <c r="D75" s="82" t="s">
        <v>1409</v>
      </c>
      <c r="E75" s="83"/>
      <c r="F75" s="83"/>
      <c r="G75" s="83"/>
      <c r="H75" s="72">
        <f>'12'!$E$74</f>
        <v>0</v>
      </c>
      <c r="I75" s="83">
        <v>0</v>
      </c>
      <c r="J75" s="434">
        <f t="shared" si="2"/>
        <v>0</v>
      </c>
      <c r="K75" s="72">
        <f>'12'!$F$74</f>
        <v>0</v>
      </c>
    </row>
    <row r="76" spans="2:14" s="13" customFormat="1" ht="12.75" x14ac:dyDescent="0.2">
      <c r="B76" s="104">
        <v>66</v>
      </c>
      <c r="C76" s="154" t="s">
        <v>1410</v>
      </c>
      <c r="D76" s="85" t="s">
        <v>574</v>
      </c>
      <c r="E76" s="80">
        <f t="shared" ref="E76:G76" si="14">SUM(E77:E80)</f>
        <v>0</v>
      </c>
      <c r="F76" s="80">
        <f>SUM(F77:F80)</f>
        <v>0</v>
      </c>
      <c r="G76" s="80">
        <f t="shared" si="14"/>
        <v>0</v>
      </c>
      <c r="H76" s="71">
        <f>SUM(H77:H80)</f>
        <v>0</v>
      </c>
      <c r="I76" s="80">
        <f t="shared" ref="I76" si="15">SUM(I77:I80)</f>
        <v>0</v>
      </c>
      <c r="J76" s="433">
        <f t="shared" si="2"/>
        <v>0</v>
      </c>
      <c r="K76" s="71">
        <f>SUM(K77:K80)</f>
        <v>0</v>
      </c>
    </row>
    <row r="77" spans="2:14" s="13" customFormat="1" ht="12.75" x14ac:dyDescent="0.2">
      <c r="B77" s="104">
        <v>67</v>
      </c>
      <c r="C77" s="305" t="s">
        <v>1411</v>
      </c>
      <c r="D77" s="82" t="s">
        <v>1412</v>
      </c>
      <c r="E77" s="83"/>
      <c r="F77" s="83"/>
      <c r="G77" s="83"/>
      <c r="H77" s="72">
        <f>'12'!$E$76</f>
        <v>0</v>
      </c>
      <c r="I77" s="83">
        <v>0</v>
      </c>
      <c r="J77" s="434">
        <f t="shared" ref="J77:J97" si="16">K77-I77</f>
        <v>0</v>
      </c>
      <c r="K77" s="72">
        <f>'12'!$F$76</f>
        <v>0</v>
      </c>
    </row>
    <row r="78" spans="2:14" s="13" customFormat="1" ht="12.75" x14ac:dyDescent="0.2">
      <c r="B78" s="104">
        <v>68</v>
      </c>
      <c r="C78" s="305" t="s">
        <v>1413</v>
      </c>
      <c r="D78" s="82" t="s">
        <v>1414</v>
      </c>
      <c r="E78" s="83"/>
      <c r="F78" s="83"/>
      <c r="G78" s="83"/>
      <c r="H78" s="72">
        <f>'12'!$E$77</f>
        <v>0</v>
      </c>
      <c r="I78" s="83">
        <v>0</v>
      </c>
      <c r="J78" s="434">
        <f t="shared" si="16"/>
        <v>0</v>
      </c>
      <c r="K78" s="72">
        <f>'12'!$F$77</f>
        <v>0</v>
      </c>
      <c r="M78" s="30"/>
    </row>
    <row r="79" spans="2:14" s="13" customFormat="1" ht="12.75" x14ac:dyDescent="0.2">
      <c r="B79" s="104">
        <v>69</v>
      </c>
      <c r="C79" s="305" t="s">
        <v>1313</v>
      </c>
      <c r="D79" s="82" t="s">
        <v>1415</v>
      </c>
      <c r="E79" s="83"/>
      <c r="F79" s="83"/>
      <c r="G79" s="83"/>
      <c r="H79" s="72">
        <f>'12'!$E$78</f>
        <v>0</v>
      </c>
      <c r="I79" s="83">
        <v>0</v>
      </c>
      <c r="J79" s="434">
        <f t="shared" si="16"/>
        <v>0</v>
      </c>
      <c r="K79" s="72">
        <f>'12'!$F$78</f>
        <v>0</v>
      </c>
    </row>
    <row r="80" spans="2:14" s="13" customFormat="1" ht="12.75" x14ac:dyDescent="0.2">
      <c r="B80" s="104">
        <v>70</v>
      </c>
      <c r="C80" s="305" t="s">
        <v>1416</v>
      </c>
      <c r="D80" s="84" t="s">
        <v>1417</v>
      </c>
      <c r="E80" s="83"/>
      <c r="F80" s="83"/>
      <c r="G80" s="83"/>
      <c r="H80" s="72">
        <f>'12'!$E$79</f>
        <v>0</v>
      </c>
      <c r="I80" s="83">
        <v>0</v>
      </c>
      <c r="J80" s="434">
        <f t="shared" si="16"/>
        <v>0</v>
      </c>
      <c r="K80" s="72">
        <f>'12'!$F$79</f>
        <v>0</v>
      </c>
    </row>
    <row r="81" spans="2:11" s="13" customFormat="1" ht="12.75" x14ac:dyDescent="0.2">
      <c r="B81" s="104">
        <v>71</v>
      </c>
      <c r="C81" s="154" t="s">
        <v>1418</v>
      </c>
      <c r="D81" s="85" t="s">
        <v>575</v>
      </c>
      <c r="E81" s="80">
        <f t="shared" ref="E81:G81" si="17">SUM(E82:E83)</f>
        <v>392141541</v>
      </c>
      <c r="F81" s="80">
        <f t="shared" si="17"/>
        <v>411560145</v>
      </c>
      <c r="G81" s="80">
        <f t="shared" si="17"/>
        <v>387536056</v>
      </c>
      <c r="H81" s="71">
        <f>SUM(H82:H83)</f>
        <v>234609929</v>
      </c>
      <c r="I81" s="80">
        <f t="shared" ref="I81" si="18">SUM(I82:I83)</f>
        <v>234609929</v>
      </c>
      <c r="J81" s="433">
        <f t="shared" si="16"/>
        <v>0</v>
      </c>
      <c r="K81" s="71">
        <f>SUM(K82:K83)</f>
        <v>234609929</v>
      </c>
    </row>
    <row r="82" spans="2:11" s="13" customFormat="1" ht="12.75" x14ac:dyDescent="0.2">
      <c r="B82" s="104">
        <v>72</v>
      </c>
      <c r="C82" s="305" t="s">
        <v>1274</v>
      </c>
      <c r="D82" s="82" t="s">
        <v>1419</v>
      </c>
      <c r="E82" s="83">
        <v>392141541</v>
      </c>
      <c r="F82" s="83">
        <v>411560145</v>
      </c>
      <c r="G82" s="83">
        <v>387536056</v>
      </c>
      <c r="H82" s="72">
        <f>'12'!$E$81</f>
        <v>234609929</v>
      </c>
      <c r="I82" s="83">
        <v>234609929</v>
      </c>
      <c r="J82" s="434">
        <f t="shared" si="16"/>
        <v>0</v>
      </c>
      <c r="K82" s="72">
        <f>'12'!$F$81</f>
        <v>234609929</v>
      </c>
    </row>
    <row r="83" spans="2:11" s="13" customFormat="1" ht="12.75" x14ac:dyDescent="0.2">
      <c r="B83" s="104">
        <v>73</v>
      </c>
      <c r="C83" s="305" t="s">
        <v>1420</v>
      </c>
      <c r="D83" s="84" t="s">
        <v>1421</v>
      </c>
      <c r="E83" s="83"/>
      <c r="F83" s="83"/>
      <c r="G83" s="83"/>
      <c r="H83" s="72">
        <f>'12'!$E$82</f>
        <v>0</v>
      </c>
      <c r="I83" s="83">
        <v>0</v>
      </c>
      <c r="J83" s="434">
        <f t="shared" si="16"/>
        <v>0</v>
      </c>
      <c r="K83" s="72">
        <f>'12'!$F$82</f>
        <v>0</v>
      </c>
    </row>
    <row r="84" spans="2:11" s="13" customFormat="1" ht="12.75" x14ac:dyDescent="0.2">
      <c r="B84" s="104">
        <v>74</v>
      </c>
      <c r="C84" s="154" t="s">
        <v>1496</v>
      </c>
      <c r="D84" s="85" t="s">
        <v>576</v>
      </c>
      <c r="E84" s="80">
        <f t="shared" ref="E84:G84" si="19">SUM(E85:E87)</f>
        <v>23689375</v>
      </c>
      <c r="F84" s="80">
        <f t="shared" si="19"/>
        <v>24529545</v>
      </c>
      <c r="G84" s="80">
        <f t="shared" si="19"/>
        <v>23561669</v>
      </c>
      <c r="H84" s="71">
        <f>SUM(H85:H87)</f>
        <v>0</v>
      </c>
      <c r="I84" s="80">
        <f t="shared" ref="I84" si="20">SUM(I85:I87)</f>
        <v>0</v>
      </c>
      <c r="J84" s="433">
        <f t="shared" si="16"/>
        <v>459964</v>
      </c>
      <c r="K84" s="71">
        <f>SUM(K85:K87)</f>
        <v>459964</v>
      </c>
    </row>
    <row r="85" spans="2:11" s="13" customFormat="1" ht="12.75" x14ac:dyDescent="0.2">
      <c r="B85" s="104">
        <v>75</v>
      </c>
      <c r="C85" s="305" t="s">
        <v>1301</v>
      </c>
      <c r="D85" s="82" t="s">
        <v>1422</v>
      </c>
      <c r="E85" s="83">
        <v>23689375</v>
      </c>
      <c r="F85" s="83">
        <v>24529545</v>
      </c>
      <c r="G85" s="286">
        <v>23561669</v>
      </c>
      <c r="H85" s="72">
        <f>'12'!$E$84</f>
        <v>0</v>
      </c>
      <c r="I85" s="83">
        <v>0</v>
      </c>
      <c r="J85" s="434">
        <f t="shared" si="16"/>
        <v>459964</v>
      </c>
      <c r="K85" s="72">
        <f>'12'!$F$84</f>
        <v>459964</v>
      </c>
    </row>
    <row r="86" spans="2:11" s="13" customFormat="1" ht="12.75" x14ac:dyDescent="0.2">
      <c r="B86" s="104">
        <v>76</v>
      </c>
      <c r="C86" s="305" t="s">
        <v>1423</v>
      </c>
      <c r="D86" s="82" t="s">
        <v>1424</v>
      </c>
      <c r="E86" s="83"/>
      <c r="F86" s="83"/>
      <c r="G86" s="83"/>
      <c r="H86" s="72">
        <f>'12'!$E$85</f>
        <v>0</v>
      </c>
      <c r="I86" s="83">
        <v>0</v>
      </c>
      <c r="J86" s="434">
        <f t="shared" si="16"/>
        <v>0</v>
      </c>
      <c r="K86" s="72">
        <f>'12'!$F$85</f>
        <v>0</v>
      </c>
    </row>
    <row r="87" spans="2:11" s="13" customFormat="1" ht="12.75" x14ac:dyDescent="0.2">
      <c r="B87" s="104">
        <v>77</v>
      </c>
      <c r="C87" s="305" t="s">
        <v>1425</v>
      </c>
      <c r="D87" s="84" t="s">
        <v>1426</v>
      </c>
      <c r="E87" s="83"/>
      <c r="F87" s="83"/>
      <c r="G87" s="83"/>
      <c r="H87" s="72">
        <f>'12'!$E$86</f>
        <v>0</v>
      </c>
      <c r="I87" s="83">
        <v>0</v>
      </c>
      <c r="J87" s="434">
        <f t="shared" si="16"/>
        <v>0</v>
      </c>
      <c r="K87" s="72">
        <f>'12'!$F$86</f>
        <v>0</v>
      </c>
    </row>
    <row r="88" spans="2:11" s="13" customFormat="1" ht="12.75" x14ac:dyDescent="0.2">
      <c r="B88" s="104">
        <v>78</v>
      </c>
      <c r="C88" s="154" t="s">
        <v>1427</v>
      </c>
      <c r="D88" s="85" t="s">
        <v>577</v>
      </c>
      <c r="E88" s="80">
        <f>SUM(E89:E93)</f>
        <v>0</v>
      </c>
      <c r="F88" s="80">
        <f t="shared" ref="F88:G88" si="21">SUM(F89:F93)</f>
        <v>0</v>
      </c>
      <c r="G88" s="80">
        <f t="shared" si="21"/>
        <v>0</v>
      </c>
      <c r="H88" s="80">
        <f>SUM(H89:H93)</f>
        <v>0</v>
      </c>
      <c r="I88" s="80">
        <f t="shared" ref="I88" si="22">SUM(I89:I93)</f>
        <v>0</v>
      </c>
      <c r="J88" s="435">
        <f t="shared" si="16"/>
        <v>0</v>
      </c>
      <c r="K88" s="80">
        <f>SUM(K89:K93)</f>
        <v>0</v>
      </c>
    </row>
    <row r="89" spans="2:11" s="13" customFormat="1" ht="12.75" x14ac:dyDescent="0.2">
      <c r="B89" s="104">
        <v>79</v>
      </c>
      <c r="C89" s="89" t="s">
        <v>1428</v>
      </c>
      <c r="D89" s="82" t="s">
        <v>1429</v>
      </c>
      <c r="E89" s="83"/>
      <c r="F89" s="83"/>
      <c r="G89" s="83"/>
      <c r="H89" s="72">
        <f>'12'!$E88</f>
        <v>0</v>
      </c>
      <c r="I89" s="83">
        <v>0</v>
      </c>
      <c r="J89" s="434">
        <f t="shared" si="16"/>
        <v>0</v>
      </c>
      <c r="K89" s="72">
        <f>'12'!$F88</f>
        <v>0</v>
      </c>
    </row>
    <row r="90" spans="2:11" s="13" customFormat="1" ht="12.75" x14ac:dyDescent="0.2">
      <c r="B90" s="104">
        <v>80</v>
      </c>
      <c r="C90" s="89" t="s">
        <v>1430</v>
      </c>
      <c r="D90" s="82" t="s">
        <v>1431</v>
      </c>
      <c r="E90" s="83"/>
      <c r="F90" s="83"/>
      <c r="G90" s="83"/>
      <c r="H90" s="72">
        <f>'12'!$E89</f>
        <v>0</v>
      </c>
      <c r="I90" s="83">
        <v>0</v>
      </c>
      <c r="J90" s="434">
        <f t="shared" si="16"/>
        <v>0</v>
      </c>
      <c r="K90" s="72">
        <f>'12'!$F89</f>
        <v>0</v>
      </c>
    </row>
    <row r="91" spans="2:11" s="13" customFormat="1" ht="12.75" x14ac:dyDescent="0.2">
      <c r="B91" s="104">
        <v>81</v>
      </c>
      <c r="C91" s="89" t="s">
        <v>1432</v>
      </c>
      <c r="D91" s="82" t="s">
        <v>1433</v>
      </c>
      <c r="E91" s="83"/>
      <c r="F91" s="83"/>
      <c r="G91" s="83"/>
      <c r="H91" s="72">
        <f>'12'!$E90</f>
        <v>0</v>
      </c>
      <c r="I91" s="83">
        <v>0</v>
      </c>
      <c r="J91" s="434">
        <f t="shared" si="16"/>
        <v>0</v>
      </c>
      <c r="K91" s="72">
        <f>'12'!$F90</f>
        <v>0</v>
      </c>
    </row>
    <row r="92" spans="2:11" s="13" customFormat="1" ht="12.75" x14ac:dyDescent="0.2">
      <c r="B92" s="104">
        <v>82</v>
      </c>
      <c r="C92" s="89" t="s">
        <v>1434</v>
      </c>
      <c r="D92" s="82" t="s">
        <v>1435</v>
      </c>
      <c r="E92" s="83"/>
      <c r="F92" s="83"/>
      <c r="G92" s="83"/>
      <c r="H92" s="72">
        <f>'12'!$E91</f>
        <v>0</v>
      </c>
      <c r="I92" s="83">
        <v>0</v>
      </c>
      <c r="J92" s="434">
        <f t="shared" si="16"/>
        <v>0</v>
      </c>
      <c r="K92" s="72">
        <f>'12'!$F91</f>
        <v>0</v>
      </c>
    </row>
    <row r="93" spans="2:11" s="13" customFormat="1" ht="12.75" x14ac:dyDescent="0.2">
      <c r="B93" s="104">
        <v>83</v>
      </c>
      <c r="C93" s="89" t="s">
        <v>1436</v>
      </c>
      <c r="D93" s="84" t="s">
        <v>1437</v>
      </c>
      <c r="E93" s="83"/>
      <c r="F93" s="83"/>
      <c r="G93" s="83"/>
      <c r="H93" s="72">
        <f>'12'!$E92</f>
        <v>0</v>
      </c>
      <c r="I93" s="83">
        <v>0</v>
      </c>
      <c r="J93" s="434">
        <f t="shared" si="16"/>
        <v>0</v>
      </c>
      <c r="K93" s="72">
        <f>'12'!$F92</f>
        <v>0</v>
      </c>
    </row>
    <row r="94" spans="2:11" s="13" customFormat="1" ht="12.75" x14ac:dyDescent="0.2">
      <c r="B94" s="104">
        <v>84</v>
      </c>
      <c r="C94" s="309" t="s">
        <v>1438</v>
      </c>
      <c r="D94" s="85" t="s">
        <v>1439</v>
      </c>
      <c r="E94" s="80"/>
      <c r="F94" s="80"/>
      <c r="G94" s="80"/>
      <c r="H94" s="71">
        <f>'12'!$E93</f>
        <v>0</v>
      </c>
      <c r="I94" s="80">
        <v>0</v>
      </c>
      <c r="J94" s="433">
        <f t="shared" si="16"/>
        <v>0</v>
      </c>
      <c r="K94" s="71">
        <f>'12'!$F93</f>
        <v>0</v>
      </c>
    </row>
    <row r="95" spans="2:11" s="13" customFormat="1" ht="12.75" x14ac:dyDescent="0.2">
      <c r="B95" s="104">
        <v>85</v>
      </c>
      <c r="C95" s="154" t="s">
        <v>1440</v>
      </c>
      <c r="D95" s="85" t="s">
        <v>1441</v>
      </c>
      <c r="E95" s="80"/>
      <c r="F95" s="80"/>
      <c r="G95" s="80"/>
      <c r="H95" s="71">
        <f>'12'!$E94</f>
        <v>0</v>
      </c>
      <c r="I95" s="80">
        <v>0</v>
      </c>
      <c r="J95" s="433">
        <f t="shared" si="16"/>
        <v>0</v>
      </c>
      <c r="K95" s="71">
        <f>'12'!$F94</f>
        <v>0</v>
      </c>
    </row>
    <row r="96" spans="2:11" s="13" customFormat="1" ht="12.75" x14ac:dyDescent="0.2">
      <c r="B96" s="104">
        <v>86</v>
      </c>
      <c r="C96" s="87" t="s">
        <v>392</v>
      </c>
      <c r="D96" s="90" t="s">
        <v>592</v>
      </c>
      <c r="E96" s="80">
        <f t="shared" ref="E96:G96" si="23">+E72+E76+E81+E84+E88+E95</f>
        <v>415830916</v>
      </c>
      <c r="F96" s="80">
        <f t="shared" si="23"/>
        <v>436089690</v>
      </c>
      <c r="G96" s="80">
        <f t="shared" si="23"/>
        <v>411097725</v>
      </c>
      <c r="H96" s="71">
        <f>+H72+H76+H81+H84+H88+H95</f>
        <v>234609929</v>
      </c>
      <c r="I96" s="80">
        <f t="shared" ref="I96" si="24">+I72+I76+I81+I84+I88+I95</f>
        <v>234609929</v>
      </c>
      <c r="J96" s="433">
        <f t="shared" si="16"/>
        <v>459964</v>
      </c>
      <c r="K96" s="71">
        <f>+K72+K76+K81+K84+K88+K95</f>
        <v>235069893</v>
      </c>
    </row>
    <row r="97" spans="2:13" s="13" customFormat="1" ht="12.75" x14ac:dyDescent="0.2">
      <c r="B97" s="104">
        <v>87</v>
      </c>
      <c r="C97" s="87" t="s">
        <v>393</v>
      </c>
      <c r="D97" s="90" t="s">
        <v>514</v>
      </c>
      <c r="E97" s="80">
        <f t="shared" ref="E97:G97" si="25">+E71+E96</f>
        <v>1529955023</v>
      </c>
      <c r="F97" s="80">
        <f t="shared" si="25"/>
        <v>1547443837</v>
      </c>
      <c r="G97" s="80">
        <f t="shared" si="25"/>
        <v>1813824659</v>
      </c>
      <c r="H97" s="71">
        <f>+H71+H96</f>
        <v>1617484149</v>
      </c>
      <c r="I97" s="80">
        <f t="shared" ref="I97" si="26">+I71+I96</f>
        <v>1617484149</v>
      </c>
      <c r="J97" s="433">
        <f t="shared" si="16"/>
        <v>-13369816</v>
      </c>
      <c r="K97" s="71">
        <f>+K71+K96</f>
        <v>1604114333</v>
      </c>
    </row>
    <row r="98" spans="2:13" s="38" customFormat="1" x14ac:dyDescent="0.25">
      <c r="C98" s="156"/>
      <c r="E98" s="140"/>
    </row>
    <row r="99" spans="2:13" ht="15.75" customHeight="1" x14ac:dyDescent="0.25">
      <c r="B99" s="202" t="s">
        <v>636</v>
      </c>
      <c r="C99" s="101"/>
      <c r="D99" s="101"/>
      <c r="E99" s="101"/>
      <c r="F99" s="101"/>
      <c r="G99" s="101"/>
      <c r="H99" s="101"/>
      <c r="I99" s="101"/>
      <c r="J99" s="101"/>
      <c r="K99" s="101"/>
    </row>
    <row r="100" spans="2:13" s="38" customFormat="1" x14ac:dyDescent="0.25">
      <c r="C100" s="156"/>
      <c r="E100" s="140"/>
    </row>
    <row r="101" spans="2:13" s="40" customFormat="1" ht="12.75" x14ac:dyDescent="0.25">
      <c r="B101" s="77"/>
      <c r="C101" s="77" t="s">
        <v>350</v>
      </c>
      <c r="D101" s="77" t="s">
        <v>351</v>
      </c>
      <c r="E101" s="77" t="s">
        <v>470</v>
      </c>
      <c r="F101" s="77" t="s">
        <v>471</v>
      </c>
      <c r="G101" s="77" t="s">
        <v>44</v>
      </c>
      <c r="H101" s="77" t="s">
        <v>42</v>
      </c>
      <c r="I101" s="77" t="s">
        <v>511</v>
      </c>
      <c r="J101" s="77" t="s">
        <v>512</v>
      </c>
      <c r="K101" s="77" t="s">
        <v>591</v>
      </c>
    </row>
    <row r="102" spans="2:13" s="41" customFormat="1" ht="51" x14ac:dyDescent="0.25">
      <c r="B102" s="68">
        <v>1</v>
      </c>
      <c r="C102" s="78" t="s">
        <v>348</v>
      </c>
      <c r="D102" s="78" t="s">
        <v>349</v>
      </c>
      <c r="E102" s="69" t="str">
        <f>CONCATENATE(PAR!$H$12," évi 
teljesítés")</f>
        <v>2022. évi 
teljesítés</v>
      </c>
      <c r="F102" s="69" t="str">
        <f>CONCATENATE(PAR!$H$11," évi 
teljesítés")</f>
        <v>2023. évi 
teljesítés</v>
      </c>
      <c r="G102" s="69" t="str">
        <f>CONCATENATE(PAR!$H$10," évi 
teljesítés")</f>
        <v>2024. évi 
teljesítés</v>
      </c>
      <c r="H102" s="163" t="str">
        <f>CONCATENATE(PAR!$H$3," évi
eredeti 
előirányzat - ",Index!$E$17)</f>
        <v>2025. évi
eredeti 
előirányzat - 2/2025. (II.25.)</v>
      </c>
      <c r="I102" s="163" t="str">
        <f>CONCATENATE(PAR!$H$3," évi
módosított 
előirányzat - ",Index!$E$18)</f>
        <v xml:space="preserve">2025. évi
módosított 
előirányzat - </v>
      </c>
      <c r="J102" s="163" t="s">
        <v>2686</v>
      </c>
      <c r="K102" s="163" t="str">
        <f>CONCATENATE(PAR!$H$3," évi
módosított 
előirányzat - ",Index!$E$16)</f>
        <v>2025. évi
módosított 
előirányzat - .../2025. (...)</v>
      </c>
    </row>
    <row r="103" spans="2:13" s="13" customFormat="1" ht="12.75" x14ac:dyDescent="0.2">
      <c r="B103" s="104">
        <v>2</v>
      </c>
      <c r="C103" s="79" t="s">
        <v>352</v>
      </c>
      <c r="D103" s="92" t="s">
        <v>515</v>
      </c>
      <c r="E103" s="80">
        <f t="shared" ref="E103:G103" si="27">E104+E105+E106+E107+E108+E109</f>
        <v>599011195</v>
      </c>
      <c r="F103" s="80">
        <f t="shared" si="27"/>
        <v>602209121</v>
      </c>
      <c r="G103" s="80">
        <f t="shared" si="27"/>
        <v>733284250</v>
      </c>
      <c r="H103" s="71">
        <f>H104+H105+H106+H107+H108+H109</f>
        <v>703513725</v>
      </c>
      <c r="I103" s="80">
        <f t="shared" ref="I103" si="28">I104+I105+I106+I107+I108+I109</f>
        <v>703513725</v>
      </c>
      <c r="J103" s="433">
        <f>K103-I103</f>
        <v>-13829780</v>
      </c>
      <c r="K103" s="71">
        <f>K104+K105+K106+K107+K108+K109</f>
        <v>689683945</v>
      </c>
      <c r="M103" s="46"/>
    </row>
    <row r="104" spans="2:13" s="13" customFormat="1" ht="12.75" x14ac:dyDescent="0.2">
      <c r="B104" s="104">
        <v>3</v>
      </c>
      <c r="C104" s="81" t="s">
        <v>353</v>
      </c>
      <c r="D104" s="93" t="s">
        <v>342</v>
      </c>
      <c r="E104" s="285">
        <v>68498432</v>
      </c>
      <c r="F104" s="285">
        <v>60670596</v>
      </c>
      <c r="G104" s="286">
        <v>77395191</v>
      </c>
      <c r="H104" s="72">
        <f>'12'!$E$103</f>
        <v>110752938</v>
      </c>
      <c r="I104" s="83">
        <v>110752938</v>
      </c>
      <c r="J104" s="434">
        <f t="shared" ref="J104:J145" si="29">K104-I104</f>
        <v>2682789</v>
      </c>
      <c r="K104" s="72">
        <f>'12'!$F$103</f>
        <v>113435727</v>
      </c>
    </row>
    <row r="105" spans="2:13" s="13" customFormat="1" ht="12.75" x14ac:dyDescent="0.2">
      <c r="B105" s="104">
        <v>4</v>
      </c>
      <c r="C105" s="81" t="s">
        <v>354</v>
      </c>
      <c r="D105" s="93" t="s">
        <v>395</v>
      </c>
      <c r="E105" s="83">
        <v>8937791</v>
      </c>
      <c r="F105" s="83">
        <v>7233121</v>
      </c>
      <c r="G105" s="286">
        <v>6461631</v>
      </c>
      <c r="H105" s="72">
        <f>'12'!$E$104</f>
        <v>12128222</v>
      </c>
      <c r="I105" s="83">
        <v>12128222</v>
      </c>
      <c r="J105" s="434">
        <f t="shared" si="29"/>
        <v>107536</v>
      </c>
      <c r="K105" s="72">
        <f>'12'!$F$104</f>
        <v>12235758</v>
      </c>
    </row>
    <row r="106" spans="2:13" s="13" customFormat="1" ht="12.75" x14ac:dyDescent="0.2">
      <c r="B106" s="104">
        <v>5</v>
      </c>
      <c r="C106" s="81" t="s">
        <v>355</v>
      </c>
      <c r="D106" s="93" t="s">
        <v>344</v>
      </c>
      <c r="E106" s="83">
        <v>317817156</v>
      </c>
      <c r="F106" s="83">
        <v>428007937</v>
      </c>
      <c r="G106" s="286">
        <v>514670671</v>
      </c>
      <c r="H106" s="72">
        <f>'12'!$E$105</f>
        <v>420655026</v>
      </c>
      <c r="I106" s="83">
        <v>420655026</v>
      </c>
      <c r="J106" s="434">
        <f t="shared" si="29"/>
        <v>214203</v>
      </c>
      <c r="K106" s="72">
        <f>'12'!$F$105</f>
        <v>420869229</v>
      </c>
    </row>
    <row r="107" spans="2:13" s="13" customFormat="1" ht="12.75" x14ac:dyDescent="0.2">
      <c r="B107" s="104">
        <v>6</v>
      </c>
      <c r="C107" s="81" t="s">
        <v>356</v>
      </c>
      <c r="D107" s="93" t="s">
        <v>345</v>
      </c>
      <c r="E107" s="83">
        <v>3850925</v>
      </c>
      <c r="F107" s="83">
        <v>4460711</v>
      </c>
      <c r="G107" s="286">
        <v>3292284</v>
      </c>
      <c r="H107" s="72">
        <f>'12'!$E$106</f>
        <v>8000000</v>
      </c>
      <c r="I107" s="83">
        <v>8000000</v>
      </c>
      <c r="J107" s="434">
        <f t="shared" si="29"/>
        <v>0</v>
      </c>
      <c r="K107" s="72">
        <f>'12'!$F$106</f>
        <v>8000000</v>
      </c>
    </row>
    <row r="108" spans="2:13" s="13" customFormat="1" ht="12.75" x14ac:dyDescent="0.2">
      <c r="B108" s="104">
        <v>7</v>
      </c>
      <c r="C108" s="81" t="s">
        <v>396</v>
      </c>
      <c r="D108" s="93" t="s">
        <v>321</v>
      </c>
      <c r="E108" s="83">
        <v>55131380</v>
      </c>
      <c r="F108" s="83">
        <v>41112136</v>
      </c>
      <c r="G108" s="286">
        <v>99315815</v>
      </c>
      <c r="H108" s="72">
        <f>'12'!$E$107</f>
        <v>51753479</v>
      </c>
      <c r="I108" s="83">
        <v>51753479</v>
      </c>
      <c r="J108" s="434">
        <f t="shared" si="29"/>
        <v>3715884</v>
      </c>
      <c r="K108" s="72">
        <f>'12'!$F$107</f>
        <v>55469363</v>
      </c>
    </row>
    <row r="109" spans="2:13" s="13" customFormat="1" ht="12.75" x14ac:dyDescent="0.2">
      <c r="B109" s="104">
        <v>8</v>
      </c>
      <c r="C109" s="81" t="s">
        <v>357</v>
      </c>
      <c r="D109" s="93" t="s">
        <v>397</v>
      </c>
      <c r="E109" s="83">
        <v>144775511</v>
      </c>
      <c r="F109" s="83">
        <v>60724620</v>
      </c>
      <c r="G109" s="83">
        <v>32148658</v>
      </c>
      <c r="H109" s="72">
        <f>'12'!$E$108</f>
        <v>100224060</v>
      </c>
      <c r="I109" s="83">
        <v>100224060</v>
      </c>
      <c r="J109" s="434">
        <f t="shared" si="29"/>
        <v>-20550192</v>
      </c>
      <c r="K109" s="72">
        <f>'12'!$F$108</f>
        <v>79673868</v>
      </c>
    </row>
    <row r="110" spans="2:13" s="13" customFormat="1" ht="12.75" x14ac:dyDescent="0.2">
      <c r="B110" s="104">
        <v>9</v>
      </c>
      <c r="C110" s="81" t="s">
        <v>495</v>
      </c>
      <c r="D110" s="93" t="s">
        <v>398</v>
      </c>
      <c r="E110" s="83"/>
      <c r="F110" s="83"/>
      <c r="G110" s="83"/>
      <c r="H110" s="72">
        <f>'12'!$E$109</f>
        <v>0</v>
      </c>
      <c r="I110" s="83">
        <v>0</v>
      </c>
      <c r="J110" s="434">
        <f t="shared" si="29"/>
        <v>0</v>
      </c>
      <c r="K110" s="72">
        <f>'12'!$F$109</f>
        <v>0</v>
      </c>
    </row>
    <row r="111" spans="2:13" s="13" customFormat="1" ht="12.75" x14ac:dyDescent="0.2">
      <c r="B111" s="104">
        <v>10</v>
      </c>
      <c r="C111" s="81" t="s">
        <v>496</v>
      </c>
      <c r="D111" s="94" t="s">
        <v>399</v>
      </c>
      <c r="E111" s="83"/>
      <c r="F111" s="83"/>
      <c r="G111" s="83"/>
      <c r="H111" s="72">
        <f>'12'!$E$110</f>
        <v>0</v>
      </c>
      <c r="I111" s="83">
        <v>0</v>
      </c>
      <c r="J111" s="434">
        <f t="shared" si="29"/>
        <v>0</v>
      </c>
      <c r="K111" s="72">
        <f>'12'!$F$110</f>
        <v>0</v>
      </c>
    </row>
    <row r="112" spans="2:13" s="13" customFormat="1" ht="12.75" x14ac:dyDescent="0.2">
      <c r="B112" s="104">
        <v>11</v>
      </c>
      <c r="C112" s="79" t="s">
        <v>358</v>
      </c>
      <c r="D112" s="92" t="s">
        <v>489</v>
      </c>
      <c r="E112" s="80">
        <f t="shared" ref="E112:G112" si="30">+E113+E115+E117</f>
        <v>215897001</v>
      </c>
      <c r="F112" s="80">
        <f t="shared" si="30"/>
        <v>84455665</v>
      </c>
      <c r="G112" s="80">
        <f t="shared" si="30"/>
        <v>215942547</v>
      </c>
      <c r="H112" s="71">
        <f>+H113+H115+H117</f>
        <v>161363518</v>
      </c>
      <c r="I112" s="80">
        <f t="shared" ref="I112" si="31">+I113+I115+I117</f>
        <v>161363518</v>
      </c>
      <c r="J112" s="433">
        <f t="shared" si="29"/>
        <v>0</v>
      </c>
      <c r="K112" s="71">
        <f>+K113+K115+K117</f>
        <v>161363518</v>
      </c>
    </row>
    <row r="113" spans="2:11" s="13" customFormat="1" ht="12.75" x14ac:dyDescent="0.2">
      <c r="B113" s="104">
        <v>12</v>
      </c>
      <c r="C113" s="81" t="s">
        <v>359</v>
      </c>
      <c r="D113" s="93" t="s">
        <v>322</v>
      </c>
      <c r="E113" s="83">
        <v>117692491</v>
      </c>
      <c r="F113" s="83">
        <v>1098900</v>
      </c>
      <c r="G113" s="286">
        <v>2831243</v>
      </c>
      <c r="H113" s="72">
        <f>'12'!$E$112</f>
        <v>126796399</v>
      </c>
      <c r="I113" s="83">
        <v>126796399</v>
      </c>
      <c r="J113" s="434">
        <f t="shared" si="29"/>
        <v>0</v>
      </c>
      <c r="K113" s="72">
        <f>'12'!$F$112</f>
        <v>126796399</v>
      </c>
    </row>
    <row r="114" spans="2:11" s="13" customFormat="1" ht="12.75" x14ac:dyDescent="0.2">
      <c r="B114" s="104">
        <v>13</v>
      </c>
      <c r="C114" s="81" t="s">
        <v>360</v>
      </c>
      <c r="D114" s="93" t="s">
        <v>400</v>
      </c>
      <c r="E114" s="83"/>
      <c r="F114" s="83"/>
      <c r="G114" s="286"/>
      <c r="H114" s="72">
        <f>'12'!$E$113</f>
        <v>0</v>
      </c>
      <c r="I114" s="83">
        <v>0</v>
      </c>
      <c r="J114" s="434">
        <f t="shared" si="29"/>
        <v>0</v>
      </c>
      <c r="K114" s="72">
        <f>'12'!$F$113</f>
        <v>0</v>
      </c>
    </row>
    <row r="115" spans="2:11" s="13" customFormat="1" ht="12.75" x14ac:dyDescent="0.2">
      <c r="B115" s="104">
        <v>14</v>
      </c>
      <c r="C115" s="81" t="s">
        <v>361</v>
      </c>
      <c r="D115" s="93" t="s">
        <v>323</v>
      </c>
      <c r="E115" s="83">
        <v>79820024</v>
      </c>
      <c r="F115" s="83">
        <v>78435836</v>
      </c>
      <c r="G115" s="286">
        <v>213111304</v>
      </c>
      <c r="H115" s="72">
        <f>'12'!$E$114</f>
        <v>34567119</v>
      </c>
      <c r="I115" s="83">
        <v>34567119</v>
      </c>
      <c r="J115" s="434">
        <f t="shared" si="29"/>
        <v>0</v>
      </c>
      <c r="K115" s="72">
        <f>'12'!$F$114</f>
        <v>34567119</v>
      </c>
    </row>
    <row r="116" spans="2:11" s="13" customFormat="1" ht="12.75" x14ac:dyDescent="0.2">
      <c r="B116" s="104">
        <v>15</v>
      </c>
      <c r="C116" s="81" t="s">
        <v>362</v>
      </c>
      <c r="D116" s="93" t="s">
        <v>401</v>
      </c>
      <c r="E116" s="83"/>
      <c r="F116" s="83"/>
      <c r="G116" s="286"/>
      <c r="H116" s="72">
        <f>'12'!$E$115</f>
        <v>0</v>
      </c>
      <c r="I116" s="83">
        <v>0</v>
      </c>
      <c r="J116" s="434">
        <f t="shared" si="29"/>
        <v>0</v>
      </c>
      <c r="K116" s="72">
        <f>'12'!$F$115</f>
        <v>0</v>
      </c>
    </row>
    <row r="117" spans="2:11" s="13" customFormat="1" ht="12.75" x14ac:dyDescent="0.2">
      <c r="B117" s="104">
        <v>16</v>
      </c>
      <c r="C117" s="81" t="s">
        <v>363</v>
      </c>
      <c r="D117" s="84" t="s">
        <v>324</v>
      </c>
      <c r="E117" s="83">
        <v>18384486</v>
      </c>
      <c r="F117" s="83">
        <v>4920929</v>
      </c>
      <c r="G117" s="286"/>
      <c r="H117" s="72">
        <f>'12'!$E$116</f>
        <v>0</v>
      </c>
      <c r="I117" s="83">
        <v>0</v>
      </c>
      <c r="J117" s="434">
        <f t="shared" si="29"/>
        <v>0</v>
      </c>
      <c r="K117" s="72">
        <f>'12'!$F$116</f>
        <v>0</v>
      </c>
    </row>
    <row r="118" spans="2:11" s="13" customFormat="1" ht="12.75" x14ac:dyDescent="0.2">
      <c r="B118" s="104">
        <v>17</v>
      </c>
      <c r="C118" s="79" t="s">
        <v>364</v>
      </c>
      <c r="D118" s="79" t="s">
        <v>402</v>
      </c>
      <c r="E118" s="80">
        <f t="shared" ref="E118:G118" si="32">+E103+E112</f>
        <v>814908196</v>
      </c>
      <c r="F118" s="80">
        <f t="shared" si="32"/>
        <v>686664786</v>
      </c>
      <c r="G118" s="80">
        <f t="shared" si="32"/>
        <v>949226797</v>
      </c>
      <c r="H118" s="71">
        <f>+H103+H112</f>
        <v>864877243</v>
      </c>
      <c r="I118" s="80">
        <f t="shared" ref="I118" si="33">+I103+I112</f>
        <v>864877243</v>
      </c>
      <c r="J118" s="433">
        <f t="shared" si="29"/>
        <v>-13829780</v>
      </c>
      <c r="K118" s="71">
        <f t="shared" ref="K118" si="34">+K103+K112</f>
        <v>851047463</v>
      </c>
    </row>
    <row r="119" spans="2:11" s="13" customFormat="1" ht="12.75" x14ac:dyDescent="0.2">
      <c r="B119" s="104">
        <v>18</v>
      </c>
      <c r="C119" s="79" t="s">
        <v>403</v>
      </c>
      <c r="D119" s="79" t="s">
        <v>404</v>
      </c>
      <c r="E119" s="80"/>
      <c r="F119" s="80"/>
      <c r="G119" s="80"/>
      <c r="H119" s="71">
        <f>+H120+H121+H122</f>
        <v>14729728</v>
      </c>
      <c r="I119" s="80">
        <f t="shared" ref="I119" si="35">+I120+I121+I122</f>
        <v>14729728</v>
      </c>
      <c r="J119" s="433">
        <f t="shared" si="29"/>
        <v>0</v>
      </c>
      <c r="K119" s="71">
        <f>+K120+K121+K122</f>
        <v>14729728</v>
      </c>
    </row>
    <row r="120" spans="2:11" s="13" customFormat="1" ht="12.75" x14ac:dyDescent="0.2">
      <c r="B120" s="104">
        <v>19</v>
      </c>
      <c r="C120" s="81" t="s">
        <v>366</v>
      </c>
      <c r="D120" s="93" t="s">
        <v>405</v>
      </c>
      <c r="E120" s="83">
        <v>14729728</v>
      </c>
      <c r="F120" s="83">
        <v>14729728</v>
      </c>
      <c r="G120" s="83">
        <v>14729728</v>
      </c>
      <c r="H120" s="72">
        <f>'12'!$E$119</f>
        <v>14729728</v>
      </c>
      <c r="I120" s="83">
        <v>14729728</v>
      </c>
      <c r="J120" s="434">
        <f t="shared" si="29"/>
        <v>0</v>
      </c>
      <c r="K120" s="72">
        <f>'12'!$F$119</f>
        <v>14729728</v>
      </c>
    </row>
    <row r="121" spans="2:11" s="13" customFormat="1" ht="12.75" x14ac:dyDescent="0.2">
      <c r="B121" s="104">
        <v>20</v>
      </c>
      <c r="C121" s="81" t="s">
        <v>367</v>
      </c>
      <c r="D121" s="93" t="s">
        <v>406</v>
      </c>
      <c r="E121" s="83"/>
      <c r="F121" s="83"/>
      <c r="G121" s="83"/>
      <c r="H121" s="72">
        <f>'12'!$E$120</f>
        <v>0</v>
      </c>
      <c r="I121" s="83">
        <v>0</v>
      </c>
      <c r="J121" s="434">
        <f t="shared" si="29"/>
        <v>0</v>
      </c>
      <c r="K121" s="72">
        <f>'12'!$F$120</f>
        <v>0</v>
      </c>
    </row>
    <row r="122" spans="2:11" s="13" customFormat="1" ht="12.75" x14ac:dyDescent="0.2">
      <c r="B122" s="104">
        <v>21</v>
      </c>
      <c r="C122" s="81" t="s">
        <v>368</v>
      </c>
      <c r="D122" s="93" t="s">
        <v>407</v>
      </c>
      <c r="E122" s="83"/>
      <c r="F122" s="83"/>
      <c r="G122" s="83"/>
      <c r="H122" s="72">
        <f>'12'!$E$121</f>
        <v>0</v>
      </c>
      <c r="I122" s="83">
        <v>0</v>
      </c>
      <c r="J122" s="434">
        <f t="shared" si="29"/>
        <v>0</v>
      </c>
      <c r="K122" s="72">
        <f>'12'!$F$121</f>
        <v>0</v>
      </c>
    </row>
    <row r="123" spans="2:11" s="13" customFormat="1" ht="12.75" x14ac:dyDescent="0.2">
      <c r="B123" s="104">
        <v>22</v>
      </c>
      <c r="C123" s="79" t="s">
        <v>372</v>
      </c>
      <c r="D123" s="79" t="s">
        <v>408</v>
      </c>
      <c r="E123" s="80"/>
      <c r="F123" s="80"/>
      <c r="G123" s="80"/>
      <c r="H123" s="71">
        <f>SUM(H124:H129)</f>
        <v>0</v>
      </c>
      <c r="I123" s="80">
        <f t="shared" ref="I123" si="36">SUM(I124:I129)</f>
        <v>0</v>
      </c>
      <c r="J123" s="433">
        <f t="shared" si="29"/>
        <v>0</v>
      </c>
      <c r="K123" s="71">
        <f>SUM(K124:K129)</f>
        <v>0</v>
      </c>
    </row>
    <row r="124" spans="2:11" s="13" customFormat="1" ht="12.75" x14ac:dyDescent="0.2">
      <c r="B124" s="104">
        <v>23</v>
      </c>
      <c r="C124" s="81" t="s">
        <v>373</v>
      </c>
      <c r="D124" s="93" t="s">
        <v>409</v>
      </c>
      <c r="E124" s="83"/>
      <c r="F124" s="83"/>
      <c r="G124" s="83"/>
      <c r="H124" s="72">
        <f>'12'!$E$123</f>
        <v>0</v>
      </c>
      <c r="I124" s="83">
        <v>0</v>
      </c>
      <c r="J124" s="434">
        <f t="shared" si="29"/>
        <v>0</v>
      </c>
      <c r="K124" s="72">
        <f>'12'!$F$123</f>
        <v>0</v>
      </c>
    </row>
    <row r="125" spans="2:11" s="13" customFormat="1" ht="12.75" x14ac:dyDescent="0.2">
      <c r="B125" s="104">
        <v>24</v>
      </c>
      <c r="C125" s="81" t="s">
        <v>374</v>
      </c>
      <c r="D125" s="93" t="s">
        <v>410</v>
      </c>
      <c r="E125" s="83"/>
      <c r="F125" s="83"/>
      <c r="G125" s="83"/>
      <c r="H125" s="72">
        <f>'12'!$E$124</f>
        <v>0</v>
      </c>
      <c r="I125" s="83">
        <v>0</v>
      </c>
      <c r="J125" s="434">
        <f t="shared" si="29"/>
        <v>0</v>
      </c>
      <c r="K125" s="72">
        <f>'12'!$F$124</f>
        <v>0</v>
      </c>
    </row>
    <row r="126" spans="2:11" s="13" customFormat="1" ht="12.75" x14ac:dyDescent="0.2">
      <c r="B126" s="104">
        <v>25</v>
      </c>
      <c r="C126" s="81" t="s">
        <v>375</v>
      </c>
      <c r="D126" s="93" t="s">
        <v>411</v>
      </c>
      <c r="E126" s="83"/>
      <c r="F126" s="83"/>
      <c r="G126" s="83"/>
      <c r="H126" s="72">
        <f>'12'!$E$125</f>
        <v>0</v>
      </c>
      <c r="I126" s="83">
        <v>0</v>
      </c>
      <c r="J126" s="434">
        <f t="shared" si="29"/>
        <v>0</v>
      </c>
      <c r="K126" s="72">
        <f>'12'!$F$125</f>
        <v>0</v>
      </c>
    </row>
    <row r="127" spans="2:11" s="13" customFormat="1" ht="12.75" x14ac:dyDescent="0.2">
      <c r="B127" s="104">
        <v>26</v>
      </c>
      <c r="C127" s="81" t="s">
        <v>376</v>
      </c>
      <c r="D127" s="93" t="s">
        <v>412</v>
      </c>
      <c r="E127" s="83"/>
      <c r="F127" s="83"/>
      <c r="G127" s="83"/>
      <c r="H127" s="72">
        <f>'12'!$E$126</f>
        <v>0</v>
      </c>
      <c r="I127" s="83">
        <v>0</v>
      </c>
      <c r="J127" s="434">
        <f t="shared" si="29"/>
        <v>0</v>
      </c>
      <c r="K127" s="72">
        <f>'12'!$F$126</f>
        <v>0</v>
      </c>
    </row>
    <row r="128" spans="2:11" s="13" customFormat="1" ht="12.75" x14ac:dyDescent="0.2">
      <c r="B128" s="104">
        <v>27</v>
      </c>
      <c r="C128" s="81" t="s">
        <v>377</v>
      </c>
      <c r="D128" s="93" t="s">
        <v>413</v>
      </c>
      <c r="E128" s="83"/>
      <c r="F128" s="83"/>
      <c r="G128" s="83"/>
      <c r="H128" s="72">
        <f>'12'!$E$127</f>
        <v>0</v>
      </c>
      <c r="I128" s="83">
        <v>0</v>
      </c>
      <c r="J128" s="434">
        <f t="shared" si="29"/>
        <v>0</v>
      </c>
      <c r="K128" s="72">
        <f>'12'!$F$127</f>
        <v>0</v>
      </c>
    </row>
    <row r="129" spans="2:12" s="13" customFormat="1" ht="12.75" x14ac:dyDescent="0.2">
      <c r="B129" s="104">
        <v>28</v>
      </c>
      <c r="C129" s="81" t="s">
        <v>378</v>
      </c>
      <c r="D129" s="93" t="s">
        <v>414</v>
      </c>
      <c r="E129" s="83"/>
      <c r="F129" s="83"/>
      <c r="G129" s="83"/>
      <c r="H129" s="72">
        <f>'12'!$E$128</f>
        <v>0</v>
      </c>
      <c r="I129" s="83">
        <v>0</v>
      </c>
      <c r="J129" s="434">
        <f t="shared" si="29"/>
        <v>0</v>
      </c>
      <c r="K129" s="72">
        <f>'12'!$F$128</f>
        <v>0</v>
      </c>
    </row>
    <row r="130" spans="2:12" s="13" customFormat="1" ht="12.75" x14ac:dyDescent="0.2">
      <c r="B130" s="104">
        <v>29</v>
      </c>
      <c r="C130" s="79" t="s">
        <v>379</v>
      </c>
      <c r="D130" s="79" t="s">
        <v>415</v>
      </c>
      <c r="E130" s="80">
        <f t="shared" ref="E130:G130" si="37">SUM(E131:E135)</f>
        <v>432992462</v>
      </c>
      <c r="F130" s="80">
        <f t="shared" si="37"/>
        <v>519365587</v>
      </c>
      <c r="G130" s="80">
        <f t="shared" si="37"/>
        <v>647405862</v>
      </c>
      <c r="H130" s="71">
        <f>SUM(H131:H135)</f>
        <v>737877178</v>
      </c>
      <c r="I130" s="80">
        <f t="shared" ref="I130" si="38">SUM(I131:I135)</f>
        <v>737877178</v>
      </c>
      <c r="J130" s="433">
        <f t="shared" si="29"/>
        <v>459964</v>
      </c>
      <c r="K130" s="71">
        <f>SUM(K131:K135)</f>
        <v>738337142</v>
      </c>
    </row>
    <row r="131" spans="2:12" s="13" customFormat="1" ht="12.75" x14ac:dyDescent="0.2">
      <c r="B131" s="104">
        <v>30</v>
      </c>
      <c r="C131" s="81" t="s">
        <v>380</v>
      </c>
      <c r="D131" s="93" t="s">
        <v>416</v>
      </c>
      <c r="E131" s="83"/>
      <c r="F131" s="83"/>
      <c r="G131" s="83"/>
      <c r="H131" s="72">
        <f>'12'!$E$130</f>
        <v>0</v>
      </c>
      <c r="I131" s="83">
        <v>0</v>
      </c>
      <c r="J131" s="434">
        <f t="shared" si="29"/>
        <v>0</v>
      </c>
      <c r="K131" s="72">
        <f>'12'!$F$130</f>
        <v>0</v>
      </c>
    </row>
    <row r="132" spans="2:12" s="13" customFormat="1" ht="12.75" x14ac:dyDescent="0.2">
      <c r="B132" s="104">
        <v>31</v>
      </c>
      <c r="C132" s="81" t="s">
        <v>381</v>
      </c>
      <c r="D132" s="93" t="s">
        <v>417</v>
      </c>
      <c r="E132" s="83">
        <v>18175334</v>
      </c>
      <c r="F132" s="83">
        <v>22991906</v>
      </c>
      <c r="G132" s="286">
        <v>24383859</v>
      </c>
      <c r="H132" s="72">
        <f>'12'!$E$131</f>
        <v>23155891</v>
      </c>
      <c r="I132" s="83">
        <v>23155891</v>
      </c>
      <c r="J132" s="434">
        <f t="shared" si="29"/>
        <v>459964</v>
      </c>
      <c r="K132" s="72">
        <f>'12'!$F$131</f>
        <v>23615855</v>
      </c>
    </row>
    <row r="133" spans="2:12" s="13" customFormat="1" ht="12.75" x14ac:dyDescent="0.2">
      <c r="B133" s="104">
        <v>32</v>
      </c>
      <c r="C133" s="81" t="s">
        <v>382</v>
      </c>
      <c r="D133" s="93" t="s">
        <v>493</v>
      </c>
      <c r="E133" s="83">
        <v>414817128</v>
      </c>
      <c r="F133" s="83">
        <v>496373681</v>
      </c>
      <c r="G133" s="286">
        <v>620353100</v>
      </c>
      <c r="H133" s="72">
        <f>'12'!$E$132</f>
        <v>713571495</v>
      </c>
      <c r="I133" s="83">
        <v>713571495</v>
      </c>
      <c r="J133" s="434">
        <f t="shared" si="29"/>
        <v>0</v>
      </c>
      <c r="K133" s="72">
        <f>'12'!$F$132</f>
        <v>713571495</v>
      </c>
    </row>
    <row r="134" spans="2:12" s="13" customFormat="1" ht="12.75" x14ac:dyDescent="0.2">
      <c r="B134" s="104">
        <v>33</v>
      </c>
      <c r="C134" s="81" t="s">
        <v>383</v>
      </c>
      <c r="D134" s="93" t="s">
        <v>418</v>
      </c>
      <c r="E134" s="83"/>
      <c r="F134" s="83"/>
      <c r="G134" s="83"/>
      <c r="H134" s="72">
        <f>'12'!$E$133</f>
        <v>0</v>
      </c>
      <c r="I134" s="83">
        <v>0</v>
      </c>
      <c r="J134" s="434">
        <f t="shared" si="29"/>
        <v>0</v>
      </c>
      <c r="K134" s="72">
        <f>'12'!$F$133</f>
        <v>0</v>
      </c>
    </row>
    <row r="135" spans="2:12" s="13" customFormat="1" ht="12.75" x14ac:dyDescent="0.2">
      <c r="B135" s="104">
        <v>34</v>
      </c>
      <c r="C135" s="81" t="s">
        <v>384</v>
      </c>
      <c r="D135" s="93" t="s">
        <v>419</v>
      </c>
      <c r="E135" s="83"/>
      <c r="F135" s="83"/>
      <c r="G135" s="83">
        <v>2668903</v>
      </c>
      <c r="H135" s="72">
        <f>'12'!$E$134</f>
        <v>1149792</v>
      </c>
      <c r="I135" s="83">
        <v>1149792</v>
      </c>
      <c r="J135" s="434">
        <f t="shared" si="29"/>
        <v>0</v>
      </c>
      <c r="K135" s="72">
        <f>'12'!$F$134</f>
        <v>1149792</v>
      </c>
    </row>
    <row r="136" spans="2:12" s="13" customFormat="1" ht="12.75" x14ac:dyDescent="0.2">
      <c r="B136" s="104">
        <v>35</v>
      </c>
      <c r="C136" s="257" t="s">
        <v>420</v>
      </c>
      <c r="D136" s="79" t="s">
        <v>421</v>
      </c>
      <c r="E136" s="95">
        <f t="shared" ref="E136:G136" si="39">SUM(E137:E141)</f>
        <v>0</v>
      </c>
      <c r="F136" s="95">
        <f t="shared" si="39"/>
        <v>0</v>
      </c>
      <c r="G136" s="95">
        <f t="shared" si="39"/>
        <v>0</v>
      </c>
      <c r="H136" s="73">
        <f t="shared" ref="H136:I136" si="40">SUM(H137:H141)</f>
        <v>0</v>
      </c>
      <c r="I136" s="95">
        <f t="shared" si="40"/>
        <v>0</v>
      </c>
      <c r="J136" s="436">
        <f t="shared" si="29"/>
        <v>0</v>
      </c>
      <c r="K136" s="73">
        <f>SUM(K137:K141)</f>
        <v>0</v>
      </c>
    </row>
    <row r="137" spans="2:12" s="13" customFormat="1" ht="12.75" x14ac:dyDescent="0.2">
      <c r="B137" s="104">
        <v>36</v>
      </c>
      <c r="C137" s="81" t="s">
        <v>386</v>
      </c>
      <c r="D137" s="93" t="s">
        <v>422</v>
      </c>
      <c r="E137" s="83"/>
      <c r="F137" s="83"/>
      <c r="G137" s="83"/>
      <c r="H137" s="72">
        <f>'12'!$E$136</f>
        <v>0</v>
      </c>
      <c r="I137" s="83">
        <v>0</v>
      </c>
      <c r="J137" s="434">
        <f t="shared" si="29"/>
        <v>0</v>
      </c>
      <c r="K137" s="72">
        <f>'12'!$F$136</f>
        <v>0</v>
      </c>
    </row>
    <row r="138" spans="2:12" s="13" customFormat="1" ht="12.75" x14ac:dyDescent="0.2">
      <c r="B138" s="104">
        <v>37</v>
      </c>
      <c r="C138" s="81" t="s">
        <v>387</v>
      </c>
      <c r="D138" s="93" t="s">
        <v>423</v>
      </c>
      <c r="E138" s="83"/>
      <c r="F138" s="83"/>
      <c r="G138" s="83"/>
      <c r="H138" s="72">
        <f>'12'!$E$137</f>
        <v>0</v>
      </c>
      <c r="I138" s="83">
        <v>0</v>
      </c>
      <c r="J138" s="434">
        <f t="shared" si="29"/>
        <v>0</v>
      </c>
      <c r="K138" s="72">
        <f>'12'!$F$137</f>
        <v>0</v>
      </c>
    </row>
    <row r="139" spans="2:12" s="13" customFormat="1" ht="12.75" x14ac:dyDescent="0.2">
      <c r="B139" s="104">
        <v>38</v>
      </c>
      <c r="C139" s="81" t="s">
        <v>388</v>
      </c>
      <c r="D139" s="93" t="s">
        <v>424</v>
      </c>
      <c r="E139" s="83"/>
      <c r="F139" s="83"/>
      <c r="G139" s="83"/>
      <c r="H139" s="72">
        <f>'12'!$E$138</f>
        <v>0</v>
      </c>
      <c r="I139" s="83">
        <v>0</v>
      </c>
      <c r="J139" s="434">
        <f t="shared" si="29"/>
        <v>0</v>
      </c>
      <c r="K139" s="72">
        <f>'12'!$F$138</f>
        <v>0</v>
      </c>
    </row>
    <row r="140" spans="2:12" s="13" customFormat="1" ht="12.75" x14ac:dyDescent="0.2">
      <c r="B140" s="104">
        <v>39</v>
      </c>
      <c r="C140" s="81" t="s">
        <v>389</v>
      </c>
      <c r="D140" s="93" t="s">
        <v>425</v>
      </c>
      <c r="E140" s="83"/>
      <c r="F140" s="83"/>
      <c r="G140" s="83"/>
      <c r="H140" s="72">
        <f>'12'!$E$139</f>
        <v>0</v>
      </c>
      <c r="I140" s="83">
        <v>0</v>
      </c>
      <c r="J140" s="434">
        <f t="shared" si="29"/>
        <v>0</v>
      </c>
      <c r="K140" s="72">
        <f>'12'!$F$139</f>
        <v>0</v>
      </c>
    </row>
    <row r="141" spans="2:12" s="13" customFormat="1" ht="12.75" x14ac:dyDescent="0.2">
      <c r="B141" s="104">
        <v>40</v>
      </c>
      <c r="C141" s="81" t="s">
        <v>426</v>
      </c>
      <c r="D141" s="93" t="s">
        <v>427</v>
      </c>
      <c r="E141" s="83"/>
      <c r="F141" s="83"/>
      <c r="G141" s="83"/>
      <c r="H141" s="72">
        <f>'12'!$E$140</f>
        <v>0</v>
      </c>
      <c r="I141" s="83">
        <v>0</v>
      </c>
      <c r="J141" s="434">
        <f t="shared" si="29"/>
        <v>0</v>
      </c>
      <c r="K141" s="72">
        <f>'12'!$F$140</f>
        <v>0</v>
      </c>
    </row>
    <row r="142" spans="2:12" s="13" customFormat="1" ht="12.75" x14ac:dyDescent="0.2">
      <c r="B142" s="104">
        <v>41</v>
      </c>
      <c r="C142" s="79" t="s">
        <v>390</v>
      </c>
      <c r="D142" s="79" t="s">
        <v>428</v>
      </c>
      <c r="E142" s="95"/>
      <c r="F142" s="95"/>
      <c r="G142" s="95"/>
      <c r="H142" s="73">
        <f>'12'!$E$141</f>
        <v>0</v>
      </c>
      <c r="I142" s="95">
        <v>0</v>
      </c>
      <c r="J142" s="436">
        <f t="shared" si="29"/>
        <v>0</v>
      </c>
      <c r="K142" s="73">
        <f>'12'!$F$141</f>
        <v>0</v>
      </c>
    </row>
    <row r="143" spans="2:12" s="13" customFormat="1" ht="12.75" x14ac:dyDescent="0.2">
      <c r="B143" s="104">
        <v>42</v>
      </c>
      <c r="C143" s="79" t="s">
        <v>429</v>
      </c>
      <c r="D143" s="86" t="s">
        <v>516</v>
      </c>
      <c r="E143" s="95"/>
      <c r="F143" s="95"/>
      <c r="G143" s="95"/>
      <c r="H143" s="73">
        <f>'12'!$E$142</f>
        <v>0</v>
      </c>
      <c r="I143" s="95">
        <v>0</v>
      </c>
      <c r="J143" s="436">
        <f t="shared" si="29"/>
        <v>0</v>
      </c>
      <c r="K143" s="73">
        <f>'12'!$F$142</f>
        <v>0</v>
      </c>
    </row>
    <row r="144" spans="2:12" s="13" customFormat="1" ht="12.75" x14ac:dyDescent="0.2">
      <c r="B144" s="104">
        <v>43</v>
      </c>
      <c r="C144" s="79" t="s">
        <v>431</v>
      </c>
      <c r="D144" s="79" t="s">
        <v>432</v>
      </c>
      <c r="E144" s="168">
        <f t="shared" ref="E144:G144" si="41">+E119+E123+E130+E136+E142+E143</f>
        <v>432992462</v>
      </c>
      <c r="F144" s="168">
        <f t="shared" si="41"/>
        <v>519365587</v>
      </c>
      <c r="G144" s="168">
        <f t="shared" si="41"/>
        <v>647405862</v>
      </c>
      <c r="H144" s="74">
        <f>+H119+H123+H130+H136+H142+H143</f>
        <v>752606906</v>
      </c>
      <c r="I144" s="168">
        <f t="shared" ref="I144" si="42">+I119+I123+I130+I136+I142+I143</f>
        <v>752606906</v>
      </c>
      <c r="J144" s="437">
        <f t="shared" si="29"/>
        <v>459964</v>
      </c>
      <c r="K144" s="74">
        <f>+K119+K123+K130+K136+K142+K143</f>
        <v>753066870</v>
      </c>
      <c r="L144" s="30"/>
    </row>
    <row r="145" spans="2:15" s="13" customFormat="1" ht="12.75" x14ac:dyDescent="0.2">
      <c r="B145" s="104">
        <v>44</v>
      </c>
      <c r="C145" s="85" t="s">
        <v>433</v>
      </c>
      <c r="D145" s="85" t="s">
        <v>434</v>
      </c>
      <c r="E145" s="168">
        <f t="shared" ref="E145:G145" si="43">+E118+E144</f>
        <v>1247900658</v>
      </c>
      <c r="F145" s="168">
        <f t="shared" si="43"/>
        <v>1206030373</v>
      </c>
      <c r="G145" s="168">
        <f t="shared" si="43"/>
        <v>1596632659</v>
      </c>
      <c r="H145" s="74">
        <f>+H118+H144</f>
        <v>1617484149</v>
      </c>
      <c r="I145" s="168">
        <f t="shared" ref="I145" si="44">+I118+I144</f>
        <v>1617484149</v>
      </c>
      <c r="J145" s="437">
        <f t="shared" si="29"/>
        <v>-13369816</v>
      </c>
      <c r="K145" s="74">
        <f>+K118+K144</f>
        <v>1604114333</v>
      </c>
    </row>
    <row r="146" spans="2:15" s="13" customFormat="1" ht="12.75" x14ac:dyDescent="0.2"/>
    <row r="147" spans="2:15" s="13" customFormat="1" x14ac:dyDescent="0.25">
      <c r="B147" s="511" t="str">
        <f>O147</f>
        <v>Nagymarosi Polgármesteri Hivatal</v>
      </c>
      <c r="C147" s="511"/>
      <c r="D147" s="511"/>
      <c r="E147" s="511"/>
      <c r="F147" s="511"/>
      <c r="G147" s="511"/>
      <c r="H147" s="511"/>
      <c r="I147" s="511"/>
      <c r="J147" s="511"/>
      <c r="K147" s="511"/>
      <c r="M147" s="318">
        <v>2</v>
      </c>
      <c r="N147" s="320" t="str">
        <f>VLOOKUP(M147,Info!$B$5:$D$55,3)</f>
        <v>P394031</v>
      </c>
      <c r="O147" s="321" t="str">
        <f>VLOOKUP(M147,Info!$B$5:$D$55,2)</f>
        <v>Nagymarosi Polgármesteri Hivatal</v>
      </c>
    </row>
    <row r="148" spans="2:15" s="13" customFormat="1" ht="12.75" customHeight="1" x14ac:dyDescent="0.2">
      <c r="B148" s="534" t="str">
        <f>CONCATENATE(PAR!$H$3," évi költségvetés és az előző három év összevont mérlege")</f>
        <v>2025. évi költségvetés és az előző három év összevont mérlege</v>
      </c>
      <c r="C148" s="534"/>
      <c r="D148" s="534"/>
      <c r="E148" s="534"/>
      <c r="F148" s="534"/>
      <c r="G148" s="534"/>
      <c r="H148" s="534"/>
      <c r="I148" s="534"/>
      <c r="J148" s="534"/>
      <c r="K148" s="534"/>
    </row>
    <row r="149" spans="2:15" s="13" customFormat="1" ht="16.5" customHeight="1" x14ac:dyDescent="0.2">
      <c r="B149" s="535" t="s">
        <v>337</v>
      </c>
      <c r="C149" s="535"/>
      <c r="D149" s="535"/>
      <c r="E149" s="535"/>
      <c r="F149" s="535"/>
      <c r="G149" s="535"/>
      <c r="H149" s="535"/>
      <c r="I149" s="535"/>
      <c r="J149" s="535"/>
      <c r="K149" s="535"/>
    </row>
    <row r="150" spans="2:15" s="13" customFormat="1" ht="12.75" x14ac:dyDescent="0.2">
      <c r="B150" s="40"/>
      <c r="C150" s="256"/>
      <c r="D150" s="40"/>
      <c r="E150" s="39"/>
      <c r="F150" s="40"/>
      <c r="G150" s="40"/>
      <c r="H150" s="40"/>
      <c r="I150" s="40"/>
      <c r="J150" s="40"/>
    </row>
    <row r="151" spans="2:15" s="13" customFormat="1" ht="15.75" customHeight="1" x14ac:dyDescent="0.2">
      <c r="B151" s="201" t="s">
        <v>746</v>
      </c>
      <c r="C151" s="201"/>
      <c r="D151" s="201"/>
      <c r="E151" s="201"/>
      <c r="F151" s="201"/>
      <c r="G151" s="201"/>
      <c r="H151" s="201"/>
      <c r="I151" s="201"/>
      <c r="J151" s="201"/>
      <c r="K151" s="201"/>
    </row>
    <row r="152" spans="2:15" s="13" customFormat="1" ht="12.75" x14ac:dyDescent="0.2">
      <c r="B152" s="40"/>
      <c r="C152" s="256"/>
      <c r="D152" s="40"/>
      <c r="E152" s="39"/>
      <c r="F152" s="40"/>
      <c r="G152" s="40"/>
      <c r="H152" s="40"/>
      <c r="I152" s="40"/>
      <c r="J152" s="40"/>
    </row>
    <row r="153" spans="2:15" s="13" customFormat="1" ht="12.75" x14ac:dyDescent="0.2">
      <c r="B153" s="77"/>
      <c r="C153" s="77" t="s">
        <v>350</v>
      </c>
      <c r="D153" s="77" t="s">
        <v>351</v>
      </c>
      <c r="E153" s="77" t="s">
        <v>470</v>
      </c>
      <c r="F153" s="77" t="s">
        <v>471</v>
      </c>
      <c r="G153" s="77" t="s">
        <v>44</v>
      </c>
      <c r="H153" s="77" t="s">
        <v>42</v>
      </c>
      <c r="I153" s="77" t="s">
        <v>511</v>
      </c>
      <c r="J153" s="77" t="s">
        <v>512</v>
      </c>
      <c r="K153" s="77" t="s">
        <v>591</v>
      </c>
    </row>
    <row r="154" spans="2:15" s="13" customFormat="1" ht="51" x14ac:dyDescent="0.2">
      <c r="B154" s="68">
        <v>1</v>
      </c>
      <c r="C154" s="78" t="s">
        <v>348</v>
      </c>
      <c r="D154" s="78" t="s">
        <v>349</v>
      </c>
      <c r="E154" s="69" t="str">
        <f>CONCATENATE(PAR!$H$12," évi 
teljesítés")</f>
        <v>2022. évi 
teljesítés</v>
      </c>
      <c r="F154" s="69" t="str">
        <f>CONCATENATE(PAR!$H$11," évi 
teljesítés")</f>
        <v>2023. évi 
teljesítés</v>
      </c>
      <c r="G154" s="69" t="str">
        <f>CONCATENATE(PAR!$H$10," évi 
teljesítés")</f>
        <v>2024. évi 
teljesítés</v>
      </c>
      <c r="H154" s="163" t="str">
        <f>CONCATENATE(PAR!$H$3," évi
eredeti 
előirányzat - ",Index!$E$17)</f>
        <v>2025. évi
eredeti 
előirányzat - 2/2025. (II.25.)</v>
      </c>
      <c r="I154" s="163" t="str">
        <f>CONCATENATE(PAR!$H$3," évi
módosított 
előirányzat - ",Index!$E$18)</f>
        <v xml:space="preserve">2025. évi
módosított 
előirányzat - </v>
      </c>
      <c r="J154" s="163" t="s">
        <v>2686</v>
      </c>
      <c r="K154" s="163" t="str">
        <f>CONCATENATE(PAR!$H$3," évi
módosított 
előirányzat - ",Index!$E$16)</f>
        <v>2025. évi
módosított 
előirányzat - .../2025. (...)</v>
      </c>
    </row>
    <row r="155" spans="2:15" s="13" customFormat="1" ht="12.75" x14ac:dyDescent="0.2">
      <c r="B155" s="160">
        <v>2</v>
      </c>
      <c r="C155" s="79" t="s">
        <v>30</v>
      </c>
      <c r="D155" s="79" t="s">
        <v>329</v>
      </c>
      <c r="E155" s="120">
        <f>SUM(E156:E168)</f>
        <v>3056598</v>
      </c>
      <c r="F155" s="120">
        <f t="shared" ref="F155" si="45">SUM(F156:F168)</f>
        <v>1497173</v>
      </c>
      <c r="G155" s="120">
        <f>SUM(G156:G168)</f>
        <v>1236826</v>
      </c>
      <c r="H155" s="121">
        <f>SUM(H156:H168)</f>
        <v>1000000</v>
      </c>
      <c r="I155" s="120">
        <f t="shared" ref="I155" si="46">SUM(I156:I168)</f>
        <v>1000000</v>
      </c>
      <c r="J155" s="438">
        <f>K155-I155</f>
        <v>0</v>
      </c>
      <c r="K155" s="121">
        <f>SUM(K156:K168)</f>
        <v>1000000</v>
      </c>
    </row>
    <row r="156" spans="2:15" s="13" customFormat="1" ht="12.75" x14ac:dyDescent="0.2">
      <c r="B156" s="160">
        <v>3</v>
      </c>
      <c r="C156" s="305" t="s">
        <v>1309</v>
      </c>
      <c r="D156" s="82" t="s">
        <v>1356</v>
      </c>
      <c r="E156" s="165"/>
      <c r="F156" s="165"/>
      <c r="G156" s="165"/>
      <c r="H156" s="166">
        <f>SUMIF(Adat!$AC:$AC,CONCATENATE(61,N147,"094011"),Adat!$E:$E)*-1</f>
        <v>0</v>
      </c>
      <c r="I156" s="165">
        <v>0</v>
      </c>
      <c r="J156" s="439">
        <f t="shared" ref="J156:J189" si="47">K156-I156</f>
        <v>0</v>
      </c>
      <c r="K156" s="166">
        <f>SUMIF(Adat!$AC:$AC,CONCATENATE(60,N147,"094011"),Adat!$E:$E)*-1+H156</f>
        <v>0</v>
      </c>
    </row>
    <row r="157" spans="2:15" s="13" customFormat="1" ht="12.75" x14ac:dyDescent="0.2">
      <c r="B157" s="160">
        <v>4</v>
      </c>
      <c r="C157" s="305" t="s">
        <v>1279</v>
      </c>
      <c r="D157" s="82" t="s">
        <v>1357</v>
      </c>
      <c r="E157" s="165">
        <v>3056594</v>
      </c>
      <c r="F157" s="165">
        <v>1141451</v>
      </c>
      <c r="G157" s="165">
        <v>845000</v>
      </c>
      <c r="H157" s="166">
        <f>SUMIF(Adat!$AC:$AC,CONCATENATE(61,N147,"094021"),Adat!$E:$E)*-1</f>
        <v>1000000</v>
      </c>
      <c r="I157" s="165">
        <v>1000000</v>
      </c>
      <c r="J157" s="439">
        <f t="shared" si="47"/>
        <v>0</v>
      </c>
      <c r="K157" s="166">
        <f>SUMIF(Adat!$AC:$AC,CONCATENATE(60,N147,"094021"),Adat!$E:$E)*-1+H157</f>
        <v>1000000</v>
      </c>
    </row>
    <row r="158" spans="2:15" s="13" customFormat="1" ht="12.75" x14ac:dyDescent="0.2">
      <c r="B158" s="160">
        <v>5</v>
      </c>
      <c r="C158" s="305" t="s">
        <v>1272</v>
      </c>
      <c r="D158" s="82" t="s">
        <v>1358</v>
      </c>
      <c r="E158" s="165"/>
      <c r="F158" s="165"/>
      <c r="G158" s="165"/>
      <c r="H158" s="166">
        <f>SUMIF(Adat!$AC:$AC,CONCATENATE(61,N147,"094031"),Adat!$E:$E)*-1</f>
        <v>0</v>
      </c>
      <c r="I158" s="165">
        <v>0</v>
      </c>
      <c r="J158" s="439">
        <f t="shared" si="47"/>
        <v>0</v>
      </c>
      <c r="K158" s="166">
        <f>SUMIF(Adat!$AC:$AC,CONCATENATE(60,N147,"094031"),Adat!$E:$E)*-1+H158</f>
        <v>0</v>
      </c>
    </row>
    <row r="159" spans="2:15" s="13" customFormat="1" ht="12.75" x14ac:dyDescent="0.2">
      <c r="B159" s="160">
        <v>6</v>
      </c>
      <c r="C159" s="305" t="s">
        <v>1359</v>
      </c>
      <c r="D159" s="82" t="s">
        <v>1360</v>
      </c>
      <c r="E159" s="165"/>
      <c r="F159" s="165"/>
      <c r="G159" s="165"/>
      <c r="H159" s="166">
        <f>SUMIF(Adat!$AC:$AC,CONCATENATE(61,N147,"094041"),Adat!$E:$E)*-1</f>
        <v>0</v>
      </c>
      <c r="I159" s="165">
        <v>0</v>
      </c>
      <c r="J159" s="439">
        <f t="shared" si="47"/>
        <v>0</v>
      </c>
      <c r="K159" s="166">
        <f>SUMIF(Adat!$AC:$AC,CONCATENATE(60,N147,"094041"),Adat!$E:$E)*-1+H159</f>
        <v>0</v>
      </c>
    </row>
    <row r="160" spans="2:15" s="13" customFormat="1" ht="12.75" x14ac:dyDescent="0.2">
      <c r="B160" s="160">
        <v>7</v>
      </c>
      <c r="C160" s="305" t="s">
        <v>1261</v>
      </c>
      <c r="D160" s="82" t="s">
        <v>1361</v>
      </c>
      <c r="E160" s="165"/>
      <c r="F160" s="165"/>
      <c r="G160" s="165"/>
      <c r="H160" s="166">
        <f>SUMIF(Adat!$AC:$AC,CONCATENATE(61,N147,"094051"),Adat!$E:$E)*-1</f>
        <v>0</v>
      </c>
      <c r="I160" s="165">
        <v>0</v>
      </c>
      <c r="J160" s="439">
        <f t="shared" si="47"/>
        <v>0</v>
      </c>
      <c r="K160" s="166">
        <f>SUMIF(Adat!$AC:$AC,CONCATENATE(60,N147,"094051"),Adat!$E:$E)*-1+H160</f>
        <v>0</v>
      </c>
    </row>
    <row r="161" spans="2:11" s="13" customFormat="1" ht="12.75" x14ac:dyDescent="0.2">
      <c r="B161" s="160">
        <v>8</v>
      </c>
      <c r="C161" s="305" t="s">
        <v>1273</v>
      </c>
      <c r="D161" s="82" t="s">
        <v>1362</v>
      </c>
      <c r="E161" s="165"/>
      <c r="F161" s="165"/>
      <c r="G161" s="165"/>
      <c r="H161" s="166">
        <f>SUMIF(Adat!$AC:$AC,CONCATENATE(61,N147,"094061"),Adat!$E:$E)*-1</f>
        <v>0</v>
      </c>
      <c r="I161" s="165">
        <v>0</v>
      </c>
      <c r="J161" s="439">
        <f t="shared" si="47"/>
        <v>0</v>
      </c>
      <c r="K161" s="166">
        <f>SUMIF(Adat!$AC:$AC,CONCATENATE(60,N147,"094061"),Adat!$E:$E)*-1+H161</f>
        <v>0</v>
      </c>
    </row>
    <row r="162" spans="2:11" s="13" customFormat="1" ht="12.75" x14ac:dyDescent="0.2">
      <c r="B162" s="160">
        <v>9</v>
      </c>
      <c r="C162" s="305" t="s">
        <v>1363</v>
      </c>
      <c r="D162" s="82" t="s">
        <v>1364</v>
      </c>
      <c r="E162" s="165"/>
      <c r="F162" s="165"/>
      <c r="G162" s="165"/>
      <c r="H162" s="166">
        <f>SUMIF(Adat!$AC:$AC,CONCATENATE(61,N147,"094071"),Adat!$E:$E)*-1</f>
        <v>0</v>
      </c>
      <c r="I162" s="165">
        <v>0</v>
      </c>
      <c r="J162" s="439">
        <f t="shared" si="47"/>
        <v>0</v>
      </c>
      <c r="K162" s="166">
        <f>SUMIF(Adat!$AC:$AC,CONCATENATE(60,N147,"094071"),Adat!$E:$E)*-1+H162</f>
        <v>0</v>
      </c>
    </row>
    <row r="163" spans="2:11" s="13" customFormat="1" ht="12.75" x14ac:dyDescent="0.2">
      <c r="B163" s="160">
        <v>10</v>
      </c>
      <c r="C163" s="305" t="s">
        <v>1306</v>
      </c>
      <c r="D163" s="82" t="s">
        <v>1365</v>
      </c>
      <c r="E163" s="165"/>
      <c r="F163" s="165"/>
      <c r="G163" s="165"/>
      <c r="H163" s="166">
        <f>SUMIF(Adat!$AC:$AC,CONCATENATE(61,N147,"0940811"),Adat!$E:$E)*-1</f>
        <v>0</v>
      </c>
      <c r="I163" s="165">
        <v>0</v>
      </c>
      <c r="J163" s="439">
        <f t="shared" si="47"/>
        <v>0</v>
      </c>
      <c r="K163" s="166">
        <f>SUMIF(Adat!$AC:$AC,CONCATENATE(60,N147,"0940811"),Adat!$E:$E)*-1+H163</f>
        <v>0</v>
      </c>
    </row>
    <row r="164" spans="2:11" s="13" customFormat="1" ht="12.75" x14ac:dyDescent="0.2">
      <c r="B164" s="160">
        <v>11</v>
      </c>
      <c r="C164" s="305" t="s">
        <v>1295</v>
      </c>
      <c r="D164" s="82" t="s">
        <v>1366</v>
      </c>
      <c r="E164" s="165">
        <v>4</v>
      </c>
      <c r="F164" s="165">
        <v>2</v>
      </c>
      <c r="G164" s="165">
        <v>1</v>
      </c>
      <c r="H164" s="166">
        <f>SUMIF(Adat!$AC:$AC,CONCATENATE(61,N147,"0940821"),Adat!$E:$E)*-1</f>
        <v>0</v>
      </c>
      <c r="I164" s="165">
        <v>0</v>
      </c>
      <c r="J164" s="439">
        <f t="shared" si="47"/>
        <v>0</v>
      </c>
      <c r="K164" s="166">
        <f>SUMIF(Adat!$AC:$AC,CONCATENATE(60,N147,"0940821"),Adat!$E:$E)*-1+H164</f>
        <v>0</v>
      </c>
    </row>
    <row r="165" spans="2:11" s="13" customFormat="1" ht="12.75" x14ac:dyDescent="0.2">
      <c r="B165" s="160">
        <v>12</v>
      </c>
      <c r="C165" s="305" t="s">
        <v>1367</v>
      </c>
      <c r="D165" s="82" t="s">
        <v>1368</v>
      </c>
      <c r="E165" s="165"/>
      <c r="F165" s="165"/>
      <c r="G165" s="165"/>
      <c r="H165" s="166">
        <f>SUMIF(Adat!$AC:$AC,CONCATENATE(61,N147,"0940911"),Adat!$E:$E)*-1</f>
        <v>0</v>
      </c>
      <c r="I165" s="165">
        <v>0</v>
      </c>
      <c r="J165" s="439">
        <f t="shared" si="47"/>
        <v>0</v>
      </c>
      <c r="K165" s="166">
        <f>SUMIF(Adat!$AC:$AC,CONCATENATE(60,N147,"0940911"),Adat!$E:$E)*-1+H165</f>
        <v>0</v>
      </c>
    </row>
    <row r="166" spans="2:11" s="13" customFormat="1" ht="12.75" x14ac:dyDescent="0.2">
      <c r="B166" s="160">
        <v>13</v>
      </c>
      <c r="C166" s="305" t="s">
        <v>1369</v>
      </c>
      <c r="D166" s="82" t="s">
        <v>1370</v>
      </c>
      <c r="E166" s="165"/>
      <c r="F166" s="165"/>
      <c r="G166" s="165"/>
      <c r="H166" s="166">
        <f>SUMIF(Adat!$AC:$AC,CONCATENATE(61,N147,"0940921"),Adat!$E:$E)*-1</f>
        <v>0</v>
      </c>
      <c r="I166" s="165">
        <v>0</v>
      </c>
      <c r="J166" s="439">
        <f t="shared" si="47"/>
        <v>0</v>
      </c>
      <c r="K166" s="166">
        <f>SUMIF(Adat!$AC:$AC,CONCATENATE(60,N147,"0940921"),Adat!$E:$E)*-1+H166</f>
        <v>0</v>
      </c>
    </row>
    <row r="167" spans="2:11" s="13" customFormat="1" ht="12.75" x14ac:dyDescent="0.2">
      <c r="B167" s="160">
        <v>14</v>
      </c>
      <c r="C167" s="305" t="s">
        <v>1296</v>
      </c>
      <c r="D167" s="82" t="s">
        <v>1371</v>
      </c>
      <c r="E167" s="165"/>
      <c r="F167" s="165"/>
      <c r="G167" s="165"/>
      <c r="H167" s="166">
        <f>SUMIF(Adat!$AC:$AC,CONCATENATE(61,N147,"094101"),Adat!$E:$E)*-1</f>
        <v>0</v>
      </c>
      <c r="I167" s="165">
        <v>0</v>
      </c>
      <c r="J167" s="439">
        <f t="shared" si="47"/>
        <v>0</v>
      </c>
      <c r="K167" s="166">
        <f>SUMIF(Adat!$AC:$AC,CONCATENATE(60,N147,"094101"),Adat!$E:$E)*-1+H167</f>
        <v>0</v>
      </c>
    </row>
    <row r="168" spans="2:11" s="13" customFormat="1" ht="12.75" x14ac:dyDescent="0.2">
      <c r="B168" s="160">
        <v>15</v>
      </c>
      <c r="C168" s="305" t="s">
        <v>1297</v>
      </c>
      <c r="D168" s="84" t="s">
        <v>1372</v>
      </c>
      <c r="E168" s="165"/>
      <c r="F168" s="165">
        <v>355720</v>
      </c>
      <c r="G168" s="165">
        <v>391825</v>
      </c>
      <c r="H168" s="166">
        <f>SUMIF(Adat!$AC:$AC,CONCATENATE(61,N147,"094111"),Adat!$E:$E)*-1</f>
        <v>0</v>
      </c>
      <c r="I168" s="165">
        <v>0</v>
      </c>
      <c r="J168" s="439">
        <f t="shared" si="47"/>
        <v>0</v>
      </c>
      <c r="K168" s="166">
        <f>SUMIF(Adat!$AC:$AC,CONCATENATE(60,N147,"094111"),Adat!$E:$E)*-1+H168</f>
        <v>0</v>
      </c>
    </row>
    <row r="169" spans="2:11" s="13" customFormat="1" ht="12.75" x14ac:dyDescent="0.2">
      <c r="B169" s="160">
        <v>16</v>
      </c>
      <c r="C169" s="78" t="s">
        <v>1328</v>
      </c>
      <c r="D169" s="85" t="s">
        <v>437</v>
      </c>
      <c r="E169" s="120">
        <f>SUM(E170:E172)</f>
        <v>7597584</v>
      </c>
      <c r="F169" s="120">
        <f t="shared" ref="F169:I169" si="48">SUM(F170:F172)</f>
        <v>0</v>
      </c>
      <c r="G169" s="120">
        <f>SUM(G170:G172)</f>
        <v>3156429</v>
      </c>
      <c r="H169" s="121">
        <f t="shared" si="48"/>
        <v>0</v>
      </c>
      <c r="I169" s="120">
        <f t="shared" si="48"/>
        <v>0</v>
      </c>
      <c r="J169" s="438">
        <f t="shared" si="47"/>
        <v>0</v>
      </c>
      <c r="K169" s="121">
        <f>SUM(K170:K172)</f>
        <v>0</v>
      </c>
    </row>
    <row r="170" spans="2:11" s="13" customFormat="1" ht="12.75" x14ac:dyDescent="0.2">
      <c r="B170" s="160">
        <v>17</v>
      </c>
      <c r="C170" s="305" t="s">
        <v>1329</v>
      </c>
      <c r="D170" s="82" t="s">
        <v>1330</v>
      </c>
      <c r="E170" s="165"/>
      <c r="F170" s="165"/>
      <c r="G170" s="165"/>
      <c r="H170" s="166">
        <f>SUMIF(Adat!$AC:$AC,CONCATENATE(61,N147,"09121"),Adat!$E:$E)*-1</f>
        <v>0</v>
      </c>
      <c r="I170" s="165">
        <v>0</v>
      </c>
      <c r="J170" s="439">
        <f t="shared" si="47"/>
        <v>0</v>
      </c>
      <c r="K170" s="166">
        <f>SUMIF(Adat!$AC:$AC,CONCATENATE(60,N147,"09121"),Adat!$E:$E)*-1+H170</f>
        <v>0</v>
      </c>
    </row>
    <row r="171" spans="2:11" s="13" customFormat="1" ht="12.75" x14ac:dyDescent="0.2">
      <c r="B171" s="160">
        <v>18</v>
      </c>
      <c r="C171" s="305" t="s">
        <v>1335</v>
      </c>
      <c r="D171" s="82" t="s">
        <v>1336</v>
      </c>
      <c r="E171" s="165"/>
      <c r="F171" s="165"/>
      <c r="G171" s="165"/>
      <c r="H171" s="166">
        <f>SUMIF(Adat!$AC:$AC,CONCATENATE(61,N147,"09151"),Adat!$E:$E)*-1</f>
        <v>0</v>
      </c>
      <c r="I171" s="165">
        <v>0</v>
      </c>
      <c r="J171" s="439">
        <f t="shared" si="47"/>
        <v>0</v>
      </c>
      <c r="K171" s="166">
        <f>SUMIF(Adat!$AC:$AC,CONCATENATE(60,N147,"09151"),Adat!$E:$E)*-1+H171</f>
        <v>0</v>
      </c>
    </row>
    <row r="172" spans="2:11" s="13" customFormat="1" ht="12.75" x14ac:dyDescent="0.2">
      <c r="B172" s="160">
        <v>19</v>
      </c>
      <c r="C172" s="305" t="s">
        <v>1278</v>
      </c>
      <c r="D172" s="82" t="s">
        <v>1337</v>
      </c>
      <c r="E172" s="165">
        <v>7597584</v>
      </c>
      <c r="F172" s="165"/>
      <c r="G172" s="165">
        <v>3156429</v>
      </c>
      <c r="H172" s="166">
        <f>SUMIF(Adat!$AC:$AC,CONCATENATE(61,N147,"09161"),Adat!$E:$E)*-1</f>
        <v>0</v>
      </c>
      <c r="I172" s="165">
        <v>0</v>
      </c>
      <c r="J172" s="439">
        <f t="shared" si="47"/>
        <v>0</v>
      </c>
      <c r="K172" s="166">
        <f>SUMIF(Adat!$AC:$AC,CONCATENATE(60,N147,"09161"),Adat!$E:$E)*-1+H172</f>
        <v>0</v>
      </c>
    </row>
    <row r="173" spans="2:11" s="13" customFormat="1" ht="12.75" x14ac:dyDescent="0.2">
      <c r="B173" s="160">
        <v>20</v>
      </c>
      <c r="C173" s="79" t="s">
        <v>27</v>
      </c>
      <c r="D173" s="79" t="s">
        <v>328</v>
      </c>
      <c r="E173" s="120">
        <v>0</v>
      </c>
      <c r="F173" s="120">
        <v>0</v>
      </c>
      <c r="G173" s="120">
        <v>0</v>
      </c>
      <c r="H173" s="71">
        <f>SUMIF(Adat!$AE:$AE,CONCATENATE(61,N147,"093"),Adat!$E:$E)*-1</f>
        <v>0</v>
      </c>
      <c r="I173" s="80">
        <v>0</v>
      </c>
      <c r="J173" s="433">
        <f t="shared" si="47"/>
        <v>0</v>
      </c>
      <c r="K173" s="71">
        <f>SUMIF(Adat!$AE:$AE,CONCATENATE(60,N147,"093"),Adat!$E:$E)*-1+H173</f>
        <v>0</v>
      </c>
    </row>
    <row r="174" spans="2:11" s="13" customFormat="1" ht="12.75" x14ac:dyDescent="0.2">
      <c r="B174" s="160">
        <v>21</v>
      </c>
      <c r="C174" s="79" t="s">
        <v>24</v>
      </c>
      <c r="D174" s="79" t="s">
        <v>449</v>
      </c>
      <c r="E174" s="120">
        <f>SUM(E175:E177)</f>
        <v>0</v>
      </c>
      <c r="F174" s="120">
        <f t="shared" ref="F174:G174" si="49">SUM(F175:F177)</f>
        <v>0</v>
      </c>
      <c r="G174" s="120">
        <f t="shared" si="49"/>
        <v>0</v>
      </c>
      <c r="H174" s="121">
        <f>SUM(H175:H177)</f>
        <v>0</v>
      </c>
      <c r="I174" s="120">
        <f>SUM(I175:I177)</f>
        <v>0</v>
      </c>
      <c r="J174" s="438">
        <f t="shared" si="47"/>
        <v>0</v>
      </c>
      <c r="K174" s="121">
        <f>SUM(K175:K177)</f>
        <v>0</v>
      </c>
    </row>
    <row r="175" spans="2:11" s="13" customFormat="1" ht="12.75" x14ac:dyDescent="0.2">
      <c r="B175" s="160">
        <v>22</v>
      </c>
      <c r="C175" s="305" t="s">
        <v>1339</v>
      </c>
      <c r="D175" s="82" t="s">
        <v>1340</v>
      </c>
      <c r="E175" s="165"/>
      <c r="F175" s="165"/>
      <c r="G175" s="165"/>
      <c r="H175" s="166">
        <f>SUMIF(Adat!$AC:$AC,CONCATENATE(61,N147,"09211"),Adat!$E:$E)*-1</f>
        <v>0</v>
      </c>
      <c r="I175" s="165">
        <v>0</v>
      </c>
      <c r="J175" s="439">
        <f t="shared" si="47"/>
        <v>0</v>
      </c>
      <c r="K175" s="166">
        <f>SUMIF(Adat!$AC:$AC,CONCATENATE(60,N147,"09211"),Adat!$E:$E)*-1+H175</f>
        <v>0</v>
      </c>
    </row>
    <row r="176" spans="2:11" s="13" customFormat="1" ht="12.75" x14ac:dyDescent="0.2">
      <c r="B176" s="160">
        <v>23</v>
      </c>
      <c r="C176" s="305" t="s">
        <v>1345</v>
      </c>
      <c r="D176" s="82" t="s">
        <v>1346</v>
      </c>
      <c r="E176" s="165"/>
      <c r="F176" s="165"/>
      <c r="G176" s="165"/>
      <c r="H176" s="166">
        <f>SUMIF(Adat!$AC:$AC,CONCATENATE(61,N147,"09241"),Adat!$E:$E)*-1</f>
        <v>0</v>
      </c>
      <c r="I176" s="165">
        <v>0</v>
      </c>
      <c r="J176" s="439">
        <f t="shared" si="47"/>
        <v>0</v>
      </c>
      <c r="K176" s="166">
        <f>SUMIF(Adat!$AC:$AC,CONCATENATE(60,N147,"09241"),Adat!$E:$E)*-1+H176</f>
        <v>0</v>
      </c>
    </row>
    <row r="177" spans="2:11" s="13" customFormat="1" ht="12.75" x14ac:dyDescent="0.2">
      <c r="B177" s="160">
        <v>24</v>
      </c>
      <c r="C177" s="305" t="s">
        <v>1255</v>
      </c>
      <c r="D177" s="82" t="s">
        <v>1347</v>
      </c>
      <c r="E177" s="165"/>
      <c r="F177" s="165"/>
      <c r="G177" s="165"/>
      <c r="H177" s="166">
        <f>SUMIF(Adat!$AC:$AC,CONCATENATE(61,N147,"09251"),Adat!$E:$E)*-1</f>
        <v>0</v>
      </c>
      <c r="I177" s="165">
        <v>0</v>
      </c>
      <c r="J177" s="439">
        <f t="shared" si="47"/>
        <v>0</v>
      </c>
      <c r="K177" s="166">
        <f>SUMIF(Adat!$AC:$AC,CONCATENATE(60,N147,"09251"),Adat!$E:$E)*-1+H177</f>
        <v>0</v>
      </c>
    </row>
    <row r="178" spans="2:11" s="13" customFormat="1" ht="12.75" x14ac:dyDescent="0.2">
      <c r="B178" s="160">
        <v>25</v>
      </c>
      <c r="C178" s="79" t="s">
        <v>33</v>
      </c>
      <c r="D178" s="79" t="s">
        <v>330</v>
      </c>
      <c r="E178" s="120">
        <f>SUM(E179:E181)</f>
        <v>0</v>
      </c>
      <c r="F178" s="120">
        <f t="shared" ref="F178:I178" si="50">SUM(F179:F181)</f>
        <v>0</v>
      </c>
      <c r="G178" s="120">
        <f t="shared" si="50"/>
        <v>0</v>
      </c>
      <c r="H178" s="121">
        <f t="shared" si="50"/>
        <v>0</v>
      </c>
      <c r="I178" s="120">
        <f t="shared" si="50"/>
        <v>0</v>
      </c>
      <c r="J178" s="438">
        <f t="shared" si="47"/>
        <v>0</v>
      </c>
      <c r="K178" s="121">
        <f>SUM(K179:K181)</f>
        <v>0</v>
      </c>
    </row>
    <row r="179" spans="2:11" s="13" customFormat="1" ht="12.75" x14ac:dyDescent="0.2">
      <c r="B179" s="160">
        <v>26</v>
      </c>
      <c r="C179" s="305" t="s">
        <v>1373</v>
      </c>
      <c r="D179" s="82" t="s">
        <v>1374</v>
      </c>
      <c r="E179" s="165"/>
      <c r="F179" s="165"/>
      <c r="G179" s="165"/>
      <c r="H179" s="166">
        <f>SUMIF(Adat!$AC:$AC,CONCATENATE(61,N147,"09511"),Adat!$E:$E)*-1</f>
        <v>0</v>
      </c>
      <c r="I179" s="165">
        <v>0</v>
      </c>
      <c r="J179" s="439">
        <f t="shared" si="47"/>
        <v>0</v>
      </c>
      <c r="K179" s="166">
        <f>SUMIF(Adat!$AC:$AC,CONCATENATE(60,N147,"09511"),Adat!$E:$E)*-1+H179</f>
        <v>0</v>
      </c>
    </row>
    <row r="180" spans="2:11" s="13" customFormat="1" ht="12.75" x14ac:dyDescent="0.2">
      <c r="B180" s="160">
        <v>27</v>
      </c>
      <c r="C180" s="305" t="s">
        <v>1294</v>
      </c>
      <c r="D180" s="82" t="s">
        <v>1375</v>
      </c>
      <c r="E180" s="165"/>
      <c r="F180" s="165"/>
      <c r="G180" s="165"/>
      <c r="H180" s="166">
        <f>SUMIF(Adat!$AC:$AC,CONCATENATE(61,N147,"09521"),Adat!$E:$E)*-1</f>
        <v>0</v>
      </c>
      <c r="I180" s="165">
        <v>0</v>
      </c>
      <c r="J180" s="439">
        <f t="shared" si="47"/>
        <v>0</v>
      </c>
      <c r="K180" s="166">
        <f>SUMIF(Adat!$AC:$AC,CONCATENATE(60,N147,"09521"),Adat!$E:$E)*-1+H180</f>
        <v>0</v>
      </c>
    </row>
    <row r="181" spans="2:11" s="13" customFormat="1" ht="12.75" x14ac:dyDescent="0.2">
      <c r="B181" s="160">
        <v>28</v>
      </c>
      <c r="C181" s="305" t="s">
        <v>1376</v>
      </c>
      <c r="D181" s="82" t="s">
        <v>1377</v>
      </c>
      <c r="E181" s="165"/>
      <c r="F181" s="165"/>
      <c r="G181" s="165"/>
      <c r="H181" s="166">
        <f>SUMIF(Adat!$AC:$AC,CONCATENATE(61,N147,"09531"),Adat!$E:$E)*-1</f>
        <v>0</v>
      </c>
      <c r="I181" s="165">
        <v>0</v>
      </c>
      <c r="J181" s="439">
        <f t="shared" si="47"/>
        <v>0</v>
      </c>
      <c r="K181" s="166">
        <f>SUMIF(Adat!$AC:$AC,CONCATENATE(60,N147,"09531"),Adat!$E:$E)*-1+H181</f>
        <v>0</v>
      </c>
    </row>
    <row r="182" spans="2:11" s="13" customFormat="1" ht="12.75" x14ac:dyDescent="0.2">
      <c r="B182" s="160">
        <v>29</v>
      </c>
      <c r="C182" s="79" t="s">
        <v>36</v>
      </c>
      <c r="D182" s="79" t="s">
        <v>331</v>
      </c>
      <c r="E182" s="120">
        <v>0</v>
      </c>
      <c r="F182" s="120">
        <v>0</v>
      </c>
      <c r="G182" s="120">
        <v>0</v>
      </c>
      <c r="H182" s="71">
        <f>SUMIF(Adat!$AE:$AE,CONCATENATE(61,N147,"096"),Adat!$E:$E)*-1</f>
        <v>0</v>
      </c>
      <c r="I182" s="80">
        <v>0</v>
      </c>
      <c r="J182" s="433">
        <f t="shared" si="47"/>
        <v>0</v>
      </c>
      <c r="K182" s="71">
        <f>SUMIF(Adat!$AE:$AE,CONCATENATE(60,N147,"096"),Adat!$E:$E)*-1+H182</f>
        <v>0</v>
      </c>
    </row>
    <row r="183" spans="2:11" s="13" customFormat="1" ht="12.75" x14ac:dyDescent="0.2">
      <c r="B183" s="160">
        <v>30</v>
      </c>
      <c r="C183" s="79" t="s">
        <v>38</v>
      </c>
      <c r="D183" s="85" t="s">
        <v>332</v>
      </c>
      <c r="E183" s="120">
        <v>0</v>
      </c>
      <c r="F183" s="120">
        <v>0</v>
      </c>
      <c r="G183" s="120">
        <v>0</v>
      </c>
      <c r="H183" s="71">
        <f>SUMIF(Adat!$AE:$AE,CONCATENATE(61,N147,"097"),Adat!$E:$E)*-1</f>
        <v>0</v>
      </c>
      <c r="I183" s="80">
        <v>0</v>
      </c>
      <c r="J183" s="433">
        <f t="shared" si="47"/>
        <v>0</v>
      </c>
      <c r="K183" s="71">
        <f>SUMIF(Adat!$AE:$AE,CONCATENATE(60,N147,"097"),Adat!$E:$E)*-1+H183</f>
        <v>0</v>
      </c>
    </row>
    <row r="184" spans="2:11" s="13" customFormat="1" ht="12.75" x14ac:dyDescent="0.2">
      <c r="B184" s="160">
        <v>31</v>
      </c>
      <c r="C184" s="154" t="s">
        <v>352</v>
      </c>
      <c r="D184" s="86" t="s">
        <v>1500</v>
      </c>
      <c r="E184" s="120">
        <f>E155+E169+E173+E174+E178+E182+E183</f>
        <v>10654182</v>
      </c>
      <c r="F184" s="120">
        <f>F155+F169+F173+F174+F178+F182+F183</f>
        <v>1497173</v>
      </c>
      <c r="G184" s="120">
        <f>G155+G169+G173+G174+G178+G182+G183</f>
        <v>4393255</v>
      </c>
      <c r="H184" s="121">
        <f>H155+H169+H173+H174+H178+H182+H183</f>
        <v>1000000</v>
      </c>
      <c r="I184" s="120">
        <f t="shared" ref="I184" si="51">I155+I169+I173+I174+I178+I182+I183</f>
        <v>1000000</v>
      </c>
      <c r="J184" s="438">
        <f t="shared" si="47"/>
        <v>0</v>
      </c>
      <c r="K184" s="121">
        <f>K155+K169+K173+K174+K178+K182+K183</f>
        <v>1000000</v>
      </c>
    </row>
    <row r="185" spans="2:11" s="13" customFormat="1" ht="12.75" x14ac:dyDescent="0.2">
      <c r="B185" s="160">
        <v>32</v>
      </c>
      <c r="C185" s="154" t="s">
        <v>358</v>
      </c>
      <c r="D185" s="86" t="s">
        <v>333</v>
      </c>
      <c r="E185" s="120">
        <f>SUM(E186:E188)</f>
        <v>147486090</v>
      </c>
      <c r="F185" s="120">
        <f t="shared" ref="F185:I185" si="52">SUM(F186:F188)</f>
        <v>201177092</v>
      </c>
      <c r="G185" s="120">
        <f>SUM(G186:G188)</f>
        <v>236165206</v>
      </c>
      <c r="H185" s="121">
        <f t="shared" si="52"/>
        <v>255449646</v>
      </c>
      <c r="I185" s="120">
        <f t="shared" si="52"/>
        <v>255449646</v>
      </c>
      <c r="J185" s="438">
        <f t="shared" si="47"/>
        <v>0</v>
      </c>
      <c r="K185" s="121">
        <f>SUM(K186:K188)</f>
        <v>255449646</v>
      </c>
    </row>
    <row r="186" spans="2:11" s="13" customFormat="1" ht="12.75" x14ac:dyDescent="0.2">
      <c r="B186" s="160">
        <v>33</v>
      </c>
      <c r="C186" s="305" t="s">
        <v>1274</v>
      </c>
      <c r="D186" s="82" t="s">
        <v>1419</v>
      </c>
      <c r="E186" s="165">
        <v>8263731</v>
      </c>
      <c r="F186" s="165">
        <v>721048</v>
      </c>
      <c r="G186" s="165">
        <v>923591</v>
      </c>
      <c r="H186" s="166">
        <f>SUMIF(Adat!$AC:$AC,CONCATENATE(61,N147,"0981311"),Adat!$E:$E)*-1</f>
        <v>417719</v>
      </c>
      <c r="I186" s="165">
        <v>417719</v>
      </c>
      <c r="J186" s="439">
        <f t="shared" si="47"/>
        <v>0</v>
      </c>
      <c r="K186" s="166">
        <f>SUMIF(Adat!$AC:$AC,CONCATENATE(60,N147,"0981311"),Adat!$E:$E)*-1+H186</f>
        <v>417719</v>
      </c>
    </row>
    <row r="187" spans="2:11" s="13" customFormat="1" ht="12.75" x14ac:dyDescent="0.2">
      <c r="B187" s="160">
        <v>34</v>
      </c>
      <c r="C187" s="305" t="s">
        <v>1420</v>
      </c>
      <c r="D187" s="84" t="s">
        <v>1421</v>
      </c>
      <c r="E187" s="165"/>
      <c r="F187" s="165"/>
      <c r="G187" s="165"/>
      <c r="H187" s="166">
        <f>SUMIF(Adat!$AC:$AC,CONCATENATE(61,N147,"0981321"),Adat!$E:$E)*-1</f>
        <v>0</v>
      </c>
      <c r="I187" s="165">
        <v>0</v>
      </c>
      <c r="J187" s="439">
        <f t="shared" si="47"/>
        <v>0</v>
      </c>
      <c r="K187" s="166">
        <f>SUMIF(Adat!$AC:$AC,CONCATENATE(60,N147,"0981321"),Adat!$E:$E)*-1+H187</f>
        <v>0</v>
      </c>
    </row>
    <row r="188" spans="2:11" s="13" customFormat="1" ht="12.75" x14ac:dyDescent="0.2">
      <c r="B188" s="160">
        <v>35</v>
      </c>
      <c r="C188" s="319" t="s">
        <v>1275</v>
      </c>
      <c r="D188" s="84" t="s">
        <v>1501</v>
      </c>
      <c r="E188" s="165">
        <v>139222359</v>
      </c>
      <c r="F188" s="165">
        <v>200456044</v>
      </c>
      <c r="G188" s="165">
        <v>235241615</v>
      </c>
      <c r="H188" s="166">
        <f>SUMIF(Adat!$AC:$AC,CONCATENATE(61,N147,"098161"),Adat!$E:$E)*-1</f>
        <v>255031927</v>
      </c>
      <c r="I188" s="165">
        <v>255031927</v>
      </c>
      <c r="J188" s="439">
        <f t="shared" si="47"/>
        <v>0</v>
      </c>
      <c r="K188" s="166">
        <f>SUMIF(Adat!$AC:$AC,CONCATENATE(60,N147,"098161"),Adat!$E:$E)*-1+H188</f>
        <v>255031927</v>
      </c>
    </row>
    <row r="189" spans="2:11" s="13" customFormat="1" ht="12.75" x14ac:dyDescent="0.2">
      <c r="B189" s="160">
        <v>36</v>
      </c>
      <c r="C189" s="154" t="s">
        <v>364</v>
      </c>
      <c r="D189" s="159" t="s">
        <v>1502</v>
      </c>
      <c r="E189" s="120">
        <f>E184+E185</f>
        <v>158140272</v>
      </c>
      <c r="F189" s="120">
        <f t="shared" ref="F189:G189" si="53">F184+F185</f>
        <v>202674265</v>
      </c>
      <c r="G189" s="120">
        <f t="shared" si="53"/>
        <v>240558461</v>
      </c>
      <c r="H189" s="121">
        <f>H184+H185</f>
        <v>256449646</v>
      </c>
      <c r="I189" s="120">
        <f t="shared" ref="I189" si="54">I184+I185</f>
        <v>256449646</v>
      </c>
      <c r="J189" s="438">
        <f t="shared" si="47"/>
        <v>0</v>
      </c>
      <c r="K189" s="121">
        <f>K184+K185</f>
        <v>256449646</v>
      </c>
    </row>
    <row r="190" spans="2:11" s="13" customFormat="1" ht="12.75" x14ac:dyDescent="0.2">
      <c r="B190" s="40"/>
      <c r="C190" s="256"/>
      <c r="D190" s="40"/>
      <c r="H190" s="39"/>
      <c r="I190" s="39"/>
      <c r="J190" s="39"/>
    </row>
    <row r="191" spans="2:11" s="13" customFormat="1" x14ac:dyDescent="0.2">
      <c r="B191" s="202" t="s">
        <v>747</v>
      </c>
      <c r="C191" s="260"/>
      <c r="D191" s="260"/>
      <c r="H191" s="260"/>
      <c r="I191" s="260"/>
      <c r="J191" s="260"/>
    </row>
    <row r="192" spans="2:11" s="13" customFormat="1" ht="12.75" x14ac:dyDescent="0.2">
      <c r="B192" s="40"/>
      <c r="C192" s="256"/>
      <c r="D192" s="40"/>
      <c r="H192" s="39"/>
      <c r="I192" s="39"/>
      <c r="J192" s="39"/>
    </row>
    <row r="193" spans="2:15" s="13" customFormat="1" ht="12.75" x14ac:dyDescent="0.2">
      <c r="B193" s="77"/>
      <c r="C193" s="77" t="s">
        <v>350</v>
      </c>
      <c r="D193" s="77" t="s">
        <v>351</v>
      </c>
      <c r="E193" s="77" t="s">
        <v>470</v>
      </c>
      <c r="F193" s="77" t="s">
        <v>471</v>
      </c>
      <c r="G193" s="77" t="s">
        <v>44</v>
      </c>
      <c r="H193" s="77" t="s">
        <v>42</v>
      </c>
      <c r="I193" s="77" t="s">
        <v>511</v>
      </c>
      <c r="J193" s="77" t="s">
        <v>512</v>
      </c>
      <c r="K193" s="77" t="s">
        <v>591</v>
      </c>
    </row>
    <row r="194" spans="2:15" s="13" customFormat="1" ht="51" x14ac:dyDescent="0.2">
      <c r="B194" s="68">
        <v>1</v>
      </c>
      <c r="C194" s="78" t="s">
        <v>348</v>
      </c>
      <c r="D194" s="78" t="s">
        <v>349</v>
      </c>
      <c r="E194" s="69" t="str">
        <f>CONCATENATE(PAR!$H$12," évi 
teljesítés")</f>
        <v>2022. évi 
teljesítés</v>
      </c>
      <c r="F194" s="69" t="str">
        <f>CONCATENATE(PAR!$H$11," évi 
teljesítés")</f>
        <v>2023. évi 
teljesítés</v>
      </c>
      <c r="G194" s="69" t="str">
        <f>CONCATENATE(PAR!$H$10," évi 
teljesítés")</f>
        <v>2024. évi 
teljesítés</v>
      </c>
      <c r="H194" s="163" t="str">
        <f>CONCATENATE(PAR!$H$3," évi
eredeti 
előirányzat - ",Index!$E$17)</f>
        <v>2025. évi
eredeti 
előirányzat - 2/2025. (II.25.)</v>
      </c>
      <c r="I194" s="163" t="str">
        <f>CONCATENATE(PAR!$H$3," évi
módosított 
előirányzat - ",Index!$E$18)</f>
        <v xml:space="preserve">2025. évi
módosított 
előirányzat - </v>
      </c>
      <c r="J194" s="163" t="s">
        <v>2686</v>
      </c>
      <c r="K194" s="163" t="str">
        <f>CONCATENATE(PAR!$H$3," évi
módosított 
előirányzat - ",Index!$E$16)</f>
        <v>2025. évi
módosított 
előirányzat - .../2025. (...)</v>
      </c>
    </row>
    <row r="195" spans="2:15" s="13" customFormat="1" ht="12.75" x14ac:dyDescent="0.2">
      <c r="B195" s="160">
        <v>2</v>
      </c>
      <c r="C195" s="78" t="s">
        <v>352</v>
      </c>
      <c r="D195" s="92" t="s">
        <v>1444</v>
      </c>
      <c r="E195" s="120">
        <f>SUM(E196:E200)</f>
        <v>156871597</v>
      </c>
      <c r="F195" s="120">
        <f>SUM(F196:F200)</f>
        <v>200258215</v>
      </c>
      <c r="G195" s="120">
        <f>SUM(G196:G200)</f>
        <v>238911519</v>
      </c>
      <c r="H195" s="121">
        <f>SUM(H196:H200)</f>
        <v>251949646</v>
      </c>
      <c r="I195" s="120">
        <f t="shared" ref="I195" si="55">SUM(I196:I200)</f>
        <v>251949646</v>
      </c>
      <c r="J195" s="438">
        <f>K195-I195</f>
        <v>0</v>
      </c>
      <c r="K195" s="121">
        <f>SUM(K196:K200)</f>
        <v>251949646</v>
      </c>
    </row>
    <row r="196" spans="2:15" s="13" customFormat="1" ht="12.75" x14ac:dyDescent="0.2">
      <c r="B196" s="160">
        <v>3</v>
      </c>
      <c r="C196" s="305" t="s">
        <v>315</v>
      </c>
      <c r="D196" s="93" t="s">
        <v>342</v>
      </c>
      <c r="E196" s="165">
        <v>112077385</v>
      </c>
      <c r="F196" s="165">
        <v>140347312</v>
      </c>
      <c r="G196" s="285">
        <v>177595380</v>
      </c>
      <c r="H196" s="72">
        <f>SUMIF(Adat!$AE:$AE,CONCATENATE(61,N147,"051"),Adat!$E:$E)</f>
        <v>191201440</v>
      </c>
      <c r="I196" s="83">
        <v>191201440</v>
      </c>
      <c r="J196" s="434">
        <f t="shared" ref="J196:J206" si="56">K196-I196</f>
        <v>0</v>
      </c>
      <c r="K196" s="72">
        <f>SUMIF(Adat!$AE:$AE,CONCATENATE(60,N147,"051"),Adat!$E:$E)+H196</f>
        <v>191201440</v>
      </c>
    </row>
    <row r="197" spans="2:15" s="13" customFormat="1" ht="12.75" x14ac:dyDescent="0.2">
      <c r="B197" s="160">
        <v>4</v>
      </c>
      <c r="C197" s="305" t="s">
        <v>317</v>
      </c>
      <c r="D197" s="93" t="s">
        <v>395</v>
      </c>
      <c r="E197" s="165">
        <v>13556272</v>
      </c>
      <c r="F197" s="165">
        <v>18810999</v>
      </c>
      <c r="G197" s="285">
        <v>22919437</v>
      </c>
      <c r="H197" s="72">
        <f>SUMIF(Adat!$AE:$AE,CONCATENATE(61,N147,"052"),Adat!$E:$E)</f>
        <v>24062368</v>
      </c>
      <c r="I197" s="83">
        <v>24062368</v>
      </c>
      <c r="J197" s="434">
        <f t="shared" si="56"/>
        <v>0</v>
      </c>
      <c r="K197" s="72">
        <f>SUMIF(Adat!$AE:$AE,CONCATENATE(60,N147,"052"),Adat!$E:$E)+H197</f>
        <v>24062368</v>
      </c>
    </row>
    <row r="198" spans="2:15" s="13" customFormat="1" ht="12.75" x14ac:dyDescent="0.2">
      <c r="B198" s="160">
        <v>5</v>
      </c>
      <c r="C198" s="305" t="s">
        <v>4</v>
      </c>
      <c r="D198" s="93" t="s">
        <v>344</v>
      </c>
      <c r="E198" s="165">
        <v>31237940</v>
      </c>
      <c r="F198" s="165">
        <v>40419436</v>
      </c>
      <c r="G198" s="285">
        <v>38396702</v>
      </c>
      <c r="H198" s="72">
        <f>SUMIF(Adat!$AE:$AE,CONCATENATE(61,N147,"053"),Adat!$E:$E)</f>
        <v>36685838</v>
      </c>
      <c r="I198" s="83">
        <v>36685838</v>
      </c>
      <c r="J198" s="434">
        <f t="shared" si="56"/>
        <v>0</v>
      </c>
      <c r="K198" s="72">
        <f>SUMIF(Adat!$AE:$AE,CONCATENATE(60,N147,"053"),Adat!$E:$E)+H198</f>
        <v>36685838</v>
      </c>
    </row>
    <row r="199" spans="2:15" s="13" customFormat="1" ht="12.75" x14ac:dyDescent="0.2">
      <c r="B199" s="160">
        <v>6</v>
      </c>
      <c r="C199" s="305" t="s">
        <v>6</v>
      </c>
      <c r="D199" s="93" t="s">
        <v>345</v>
      </c>
      <c r="E199" s="165"/>
      <c r="F199" s="165"/>
      <c r="G199" s="285"/>
      <c r="H199" s="72">
        <f>SUMIF(Adat!$AE:$AE,CONCATENATE(61,N147,"054"),Adat!$E:$E)</f>
        <v>0</v>
      </c>
      <c r="I199" s="83">
        <v>0</v>
      </c>
      <c r="J199" s="434">
        <f t="shared" si="56"/>
        <v>0</v>
      </c>
      <c r="K199" s="72">
        <f>SUMIF(Adat!$AE:$AE,CONCATENATE(60,N147,"054"),Adat!$E:$E)+H199</f>
        <v>0</v>
      </c>
    </row>
    <row r="200" spans="2:15" s="13" customFormat="1" ht="12.75" x14ac:dyDescent="0.2">
      <c r="B200" s="160">
        <v>7</v>
      </c>
      <c r="C200" s="305" t="s">
        <v>8</v>
      </c>
      <c r="D200" s="93" t="s">
        <v>321</v>
      </c>
      <c r="E200" s="165"/>
      <c r="F200" s="165">
        <v>680468</v>
      </c>
      <c r="G200" s="285"/>
      <c r="H200" s="72">
        <f>SUMIF(Adat!$AE:$AE,CONCATENATE(61,N147,"055"),Adat!$E:$E)</f>
        <v>0</v>
      </c>
      <c r="I200" s="83">
        <v>0</v>
      </c>
      <c r="J200" s="434">
        <f t="shared" si="56"/>
        <v>0</v>
      </c>
      <c r="K200" s="72">
        <f>SUMIF(Adat!$AE:$AE,CONCATENATE(60,N147,"055"),Adat!$E:$E)+H200</f>
        <v>0</v>
      </c>
    </row>
    <row r="201" spans="2:15" s="13" customFormat="1" ht="12.75" x14ac:dyDescent="0.2">
      <c r="B201" s="160">
        <v>8</v>
      </c>
      <c r="C201" s="78" t="s">
        <v>358</v>
      </c>
      <c r="D201" s="92" t="s">
        <v>1447</v>
      </c>
      <c r="E201" s="120">
        <f>SUM(E202:E204)</f>
        <v>647633</v>
      </c>
      <c r="F201" s="120">
        <f t="shared" ref="F201:I201" si="57">SUM(F202:F204)</f>
        <v>1492459</v>
      </c>
      <c r="G201" s="120">
        <f t="shared" si="57"/>
        <v>1329223</v>
      </c>
      <c r="H201" s="121">
        <f t="shared" si="57"/>
        <v>4500000</v>
      </c>
      <c r="I201" s="120">
        <f t="shared" si="57"/>
        <v>4500000</v>
      </c>
      <c r="J201" s="438">
        <f t="shared" si="56"/>
        <v>0</v>
      </c>
      <c r="K201" s="121">
        <f>SUM(K202:K204)</f>
        <v>4500000</v>
      </c>
    </row>
    <row r="202" spans="2:15" s="13" customFormat="1" ht="12.75" x14ac:dyDescent="0.2">
      <c r="B202" s="160">
        <v>9</v>
      </c>
      <c r="C202" s="305" t="s">
        <v>10</v>
      </c>
      <c r="D202" s="93" t="s">
        <v>322</v>
      </c>
      <c r="E202" s="165">
        <v>647633</v>
      </c>
      <c r="F202" s="165">
        <v>1492459</v>
      </c>
      <c r="G202" s="285">
        <v>1329223</v>
      </c>
      <c r="H202" s="72">
        <f>SUMIF(Adat!$AE:$AE,CONCATENATE(61,N147,"056"),Adat!$E:$E)</f>
        <v>4500000</v>
      </c>
      <c r="I202" s="83">
        <v>4500000</v>
      </c>
      <c r="J202" s="434">
        <f t="shared" si="56"/>
        <v>0</v>
      </c>
      <c r="K202" s="72">
        <f>SUMIF(Adat!$AE:$AE,CONCATENATE(60,N147,"056"),Adat!$E:$E)+H202</f>
        <v>4500000</v>
      </c>
    </row>
    <row r="203" spans="2:15" s="13" customFormat="1" ht="12.75" x14ac:dyDescent="0.2">
      <c r="B203" s="160">
        <v>10</v>
      </c>
      <c r="C203" s="305" t="s">
        <v>12</v>
      </c>
      <c r="D203" s="93" t="s">
        <v>323</v>
      </c>
      <c r="E203" s="165"/>
      <c r="F203" s="165"/>
      <c r="G203" s="165"/>
      <c r="H203" s="72">
        <f>SUMIF(Adat!$AE:$AE,CONCATENATE(61,N147,"057"),Adat!$E:$E)</f>
        <v>0</v>
      </c>
      <c r="I203" s="83">
        <v>0</v>
      </c>
      <c r="J203" s="434">
        <f t="shared" si="56"/>
        <v>0</v>
      </c>
      <c r="K203" s="72">
        <f>SUMIF(Adat!$AE:$AE,CONCATENATE(60,N147,"057"),Adat!$E:$E)+H203</f>
        <v>0</v>
      </c>
    </row>
    <row r="204" spans="2:15" s="13" customFormat="1" ht="12.75" x14ac:dyDescent="0.2">
      <c r="B204" s="160">
        <v>11</v>
      </c>
      <c r="C204" s="305" t="s">
        <v>15</v>
      </c>
      <c r="D204" s="84" t="s">
        <v>324</v>
      </c>
      <c r="E204" s="165"/>
      <c r="F204" s="165"/>
      <c r="G204" s="165"/>
      <c r="H204" s="72">
        <f>SUMIF(Adat!$AE:$AE,CONCATENATE(61,N147,"058"),Adat!$E:$E)</f>
        <v>0</v>
      </c>
      <c r="I204" s="83">
        <v>0</v>
      </c>
      <c r="J204" s="434">
        <f t="shared" si="56"/>
        <v>0</v>
      </c>
      <c r="K204" s="72">
        <f>SUMIF(Adat!$AE:$AE,CONCATENATE(60,N147,"058"),Adat!$E:$E)+H204</f>
        <v>0</v>
      </c>
    </row>
    <row r="205" spans="2:15" s="13" customFormat="1" ht="12.75" x14ac:dyDescent="0.2">
      <c r="B205" s="160">
        <v>12</v>
      </c>
      <c r="C205" s="154" t="s">
        <v>364</v>
      </c>
      <c r="D205" s="86" t="s">
        <v>325</v>
      </c>
      <c r="E205" s="120">
        <v>0</v>
      </c>
      <c r="F205" s="120">
        <v>0</v>
      </c>
      <c r="G205" s="120">
        <v>0</v>
      </c>
      <c r="H205" s="71">
        <f>SUMIF(Adat!$AE:$AE,CONCATENATE(61,N147,"059"),Adat!$E:$E)</f>
        <v>0</v>
      </c>
      <c r="I205" s="80">
        <v>0</v>
      </c>
      <c r="J205" s="433">
        <f t="shared" si="56"/>
        <v>0</v>
      </c>
      <c r="K205" s="71">
        <f>SUMIF(Adat!$AE:$AE,CONCATENATE(60,N147,"059"),Adat!$E:$E)+H205</f>
        <v>0</v>
      </c>
    </row>
    <row r="206" spans="2:15" s="13" customFormat="1" ht="12.75" x14ac:dyDescent="0.2">
      <c r="B206" s="160">
        <v>13</v>
      </c>
      <c r="C206" s="154" t="s">
        <v>403</v>
      </c>
      <c r="D206" s="159" t="s">
        <v>497</v>
      </c>
      <c r="E206" s="120">
        <f>E195+E201+E205</f>
        <v>157519230</v>
      </c>
      <c r="F206" s="120">
        <f>F195+F201+F205</f>
        <v>201750674</v>
      </c>
      <c r="G206" s="120">
        <f>G195+G201+G205</f>
        <v>240240742</v>
      </c>
      <c r="H206" s="121">
        <f>H195+H201+H205</f>
        <v>256449646</v>
      </c>
      <c r="I206" s="120">
        <f t="shared" ref="I206" si="58">I195+I201+I205</f>
        <v>256449646</v>
      </c>
      <c r="J206" s="438">
        <f t="shared" si="56"/>
        <v>0</v>
      </c>
      <c r="K206" s="121">
        <f>K195+K201+K205</f>
        <v>256449646</v>
      </c>
    </row>
    <row r="207" spans="2:15" s="13" customFormat="1" ht="12.75" x14ac:dyDescent="0.2"/>
    <row r="208" spans="2:15" s="13" customFormat="1" x14ac:dyDescent="0.25">
      <c r="B208" s="511" t="str">
        <f>O208</f>
        <v>Nagymarosi Napköziotthonos Óvoda és Bölcsőde</v>
      </c>
      <c r="C208" s="511"/>
      <c r="D208" s="511"/>
      <c r="E208" s="511"/>
      <c r="F208" s="511"/>
      <c r="G208" s="511"/>
      <c r="H208" s="511"/>
      <c r="I208" s="511"/>
      <c r="J208" s="511"/>
      <c r="K208" s="511"/>
      <c r="M208" s="318">
        <v>3</v>
      </c>
      <c r="N208" s="320" t="str">
        <f>VLOOKUP(M208,Info!$B$5:$D$55,3)</f>
        <v>P654427</v>
      </c>
      <c r="O208" s="321" t="str">
        <f>VLOOKUP(M208,Info!$B$5:$D$55,2)</f>
        <v>Nagymarosi Napköziotthonos Óvoda és Bölcsőde</v>
      </c>
    </row>
    <row r="209" spans="2:11" s="13" customFormat="1" x14ac:dyDescent="0.2">
      <c r="B209" s="534" t="str">
        <f>CONCATENATE(PAR!$H$3," évi költségvetés és az előző három év összevont mérlege")</f>
        <v>2025. évi költségvetés és az előző három év összevont mérlege</v>
      </c>
      <c r="C209" s="534"/>
      <c r="D209" s="534"/>
      <c r="E209" s="534"/>
      <c r="F209" s="534"/>
      <c r="G209" s="534"/>
      <c r="H209" s="534"/>
      <c r="I209" s="534"/>
      <c r="J209" s="534"/>
      <c r="K209" s="534"/>
    </row>
    <row r="210" spans="2:11" s="13" customFormat="1" ht="12.75" x14ac:dyDescent="0.2">
      <c r="B210" s="535" t="s">
        <v>337</v>
      </c>
      <c r="C210" s="535"/>
      <c r="D210" s="535"/>
      <c r="E210" s="535"/>
      <c r="F210" s="535"/>
      <c r="G210" s="535"/>
      <c r="H210" s="535"/>
      <c r="I210" s="535"/>
      <c r="J210" s="535"/>
      <c r="K210" s="535"/>
    </row>
    <row r="211" spans="2:11" s="13" customFormat="1" ht="12.75" x14ac:dyDescent="0.2">
      <c r="B211" s="40"/>
      <c r="C211" s="256"/>
      <c r="D211" s="40"/>
      <c r="E211" s="39"/>
      <c r="F211" s="40"/>
      <c r="G211" s="40"/>
      <c r="H211" s="40"/>
      <c r="I211" s="40"/>
      <c r="J211" s="40"/>
    </row>
    <row r="212" spans="2:11" s="13" customFormat="1" x14ac:dyDescent="0.2">
      <c r="B212" s="201" t="s">
        <v>1199</v>
      </c>
      <c r="C212" s="201"/>
      <c r="D212" s="201"/>
      <c r="E212" s="201"/>
      <c r="F212" s="201"/>
      <c r="G212" s="201"/>
      <c r="H212" s="201"/>
      <c r="I212" s="201"/>
      <c r="J212" s="201"/>
      <c r="K212" s="201"/>
    </row>
    <row r="213" spans="2:11" s="13" customFormat="1" ht="12.75" x14ac:dyDescent="0.2">
      <c r="B213" s="40"/>
      <c r="C213" s="256"/>
      <c r="D213" s="40"/>
      <c r="E213" s="39"/>
      <c r="F213" s="40"/>
      <c r="G213" s="40"/>
      <c r="H213" s="40"/>
      <c r="I213" s="40"/>
      <c r="J213" s="40"/>
    </row>
    <row r="214" spans="2:11" s="13" customFormat="1" ht="12.75" x14ac:dyDescent="0.2">
      <c r="B214" s="77"/>
      <c r="C214" s="77" t="s">
        <v>350</v>
      </c>
      <c r="D214" s="77" t="s">
        <v>351</v>
      </c>
      <c r="E214" s="77" t="s">
        <v>470</v>
      </c>
      <c r="F214" s="77" t="s">
        <v>471</v>
      </c>
      <c r="G214" s="77" t="s">
        <v>44</v>
      </c>
      <c r="H214" s="77" t="s">
        <v>42</v>
      </c>
      <c r="I214" s="77" t="s">
        <v>511</v>
      </c>
      <c r="J214" s="77" t="s">
        <v>512</v>
      </c>
      <c r="K214" s="77" t="s">
        <v>591</v>
      </c>
    </row>
    <row r="215" spans="2:11" s="13" customFormat="1" ht="51" x14ac:dyDescent="0.2">
      <c r="B215" s="68">
        <v>1</v>
      </c>
      <c r="C215" s="78" t="s">
        <v>348</v>
      </c>
      <c r="D215" s="78" t="s">
        <v>349</v>
      </c>
      <c r="E215" s="69" t="str">
        <f>CONCATENATE(PAR!$H$12," évi 
teljesítés")</f>
        <v>2022. évi 
teljesítés</v>
      </c>
      <c r="F215" s="69" t="str">
        <f>CONCATENATE(PAR!$H$11," évi 
teljesítés")</f>
        <v>2023. évi 
teljesítés</v>
      </c>
      <c r="G215" s="69" t="str">
        <f>CONCATENATE(PAR!$H$10," évi 
teljesítés")</f>
        <v>2024. évi 
teljesítés</v>
      </c>
      <c r="H215" s="163" t="str">
        <f>CONCATENATE(PAR!$H$3," évi
eredeti 
előirányzat - ",Index!$E$17)</f>
        <v>2025. évi
eredeti 
előirányzat - 2/2025. (II.25.)</v>
      </c>
      <c r="I215" s="163" t="str">
        <f>CONCATENATE(PAR!$H$3," évi
módosított 
előirányzat - ",Index!$E$18)</f>
        <v xml:space="preserve">2025. évi
módosított 
előirányzat - </v>
      </c>
      <c r="J215" s="163" t="s">
        <v>2686</v>
      </c>
      <c r="K215" s="163" t="str">
        <f>CONCATENATE(PAR!$H$3," évi
módosított 
előirányzat - ",Index!$E$16)</f>
        <v>2025. évi
módosított 
előirányzat - .../2025. (...)</v>
      </c>
    </row>
    <row r="216" spans="2:11" s="13" customFormat="1" ht="12.75" x14ac:dyDescent="0.2">
      <c r="B216" s="160">
        <v>2</v>
      </c>
      <c r="C216" s="79" t="s">
        <v>30</v>
      </c>
      <c r="D216" s="79" t="s">
        <v>329</v>
      </c>
      <c r="E216" s="120">
        <f>SUM(E217:E229)</f>
        <v>3</v>
      </c>
      <c r="F216" s="120">
        <f t="shared" ref="F216" si="59">SUM(F217:F229)</f>
        <v>2</v>
      </c>
      <c r="G216" s="120">
        <f>SUM(G217:G229)</f>
        <v>469317</v>
      </c>
      <c r="H216" s="121">
        <f t="shared" ref="H216:I216" si="60">SUM(H217:H229)</f>
        <v>540000</v>
      </c>
      <c r="I216" s="120">
        <f t="shared" si="60"/>
        <v>540000</v>
      </c>
      <c r="J216" s="438">
        <f>K216-I216</f>
        <v>0</v>
      </c>
      <c r="K216" s="121">
        <f>SUM(K217:K229)</f>
        <v>540000</v>
      </c>
    </row>
    <row r="217" spans="2:11" s="13" customFormat="1" ht="12.75" x14ac:dyDescent="0.2">
      <c r="B217" s="160">
        <v>3</v>
      </c>
      <c r="C217" s="305" t="s">
        <v>1309</v>
      </c>
      <c r="D217" s="82" t="s">
        <v>1356</v>
      </c>
      <c r="E217" s="165"/>
      <c r="F217" s="165"/>
      <c r="G217" s="165"/>
      <c r="H217" s="166">
        <f>SUMIF(Adat!$AC:$AC,CONCATENATE(61,N208,"094011"),Adat!$E:$E)*-1</f>
        <v>0</v>
      </c>
      <c r="I217" s="165">
        <v>0</v>
      </c>
      <c r="J217" s="439">
        <f t="shared" ref="J217:J250" si="61">K217-I217</f>
        <v>0</v>
      </c>
      <c r="K217" s="166">
        <f>SUMIF(Adat!$AC:$AC,CONCATENATE(60,N208,"094011"),Adat!$E:$E)*-1+H217</f>
        <v>0</v>
      </c>
    </row>
    <row r="218" spans="2:11" s="13" customFormat="1" ht="12.75" x14ac:dyDescent="0.2">
      <c r="B218" s="160">
        <v>4</v>
      </c>
      <c r="C218" s="305" t="s">
        <v>1279</v>
      </c>
      <c r="D218" s="82" t="s">
        <v>1357</v>
      </c>
      <c r="E218" s="165"/>
      <c r="F218" s="165"/>
      <c r="G218" s="165">
        <v>217000</v>
      </c>
      <c r="H218" s="166">
        <f>SUMIF(Adat!$AC:$AC,CONCATENATE(61,N208,"094021"),Adat!$E:$E)*-1</f>
        <v>0</v>
      </c>
      <c r="I218" s="165">
        <v>0</v>
      </c>
      <c r="J218" s="439">
        <f t="shared" si="61"/>
        <v>0</v>
      </c>
      <c r="K218" s="166">
        <f>SUMIF(Adat!$AC:$AC,CONCATENATE(60,N208,"094021"),Adat!$E:$E)*-1+H218</f>
        <v>0</v>
      </c>
    </row>
    <row r="219" spans="2:11" s="13" customFormat="1" ht="12.75" x14ac:dyDescent="0.2">
      <c r="B219" s="160">
        <v>5</v>
      </c>
      <c r="C219" s="305" t="s">
        <v>1272</v>
      </c>
      <c r="D219" s="82" t="s">
        <v>1358</v>
      </c>
      <c r="E219" s="165"/>
      <c r="F219" s="165"/>
      <c r="G219" s="165"/>
      <c r="H219" s="166">
        <f>SUMIF(Adat!$AC:$AC,CONCATENATE(61,N208,"094031"),Adat!$E:$E)*-1</f>
        <v>0</v>
      </c>
      <c r="I219" s="165">
        <v>0</v>
      </c>
      <c r="J219" s="439">
        <f t="shared" si="61"/>
        <v>0</v>
      </c>
      <c r="K219" s="166">
        <f>SUMIF(Adat!$AC:$AC,CONCATENATE(60,N208,"094031"),Adat!$E:$E)*-1+H219</f>
        <v>0</v>
      </c>
    </row>
    <row r="220" spans="2:11" s="13" customFormat="1" ht="12.75" x14ac:dyDescent="0.2">
      <c r="B220" s="160">
        <v>6</v>
      </c>
      <c r="C220" s="305" t="s">
        <v>1359</v>
      </c>
      <c r="D220" s="82" t="s">
        <v>1360</v>
      </c>
      <c r="E220" s="165"/>
      <c r="F220" s="165"/>
      <c r="G220" s="165"/>
      <c r="H220" s="166">
        <f>SUMIF(Adat!$AC:$AC,CONCATENATE(61,N208,"094041"),Adat!$E:$E)*-1</f>
        <v>0</v>
      </c>
      <c r="I220" s="165">
        <v>0</v>
      </c>
      <c r="J220" s="439">
        <f t="shared" si="61"/>
        <v>0</v>
      </c>
      <c r="K220" s="166">
        <f>SUMIF(Adat!$AC:$AC,CONCATENATE(60,N208,"094041"),Adat!$E:$E)*-1+H220</f>
        <v>0</v>
      </c>
    </row>
    <row r="221" spans="2:11" s="13" customFormat="1" ht="12.75" x14ac:dyDescent="0.2">
      <c r="B221" s="160">
        <v>7</v>
      </c>
      <c r="C221" s="305" t="s">
        <v>1261</v>
      </c>
      <c r="D221" s="82" t="s">
        <v>1361</v>
      </c>
      <c r="E221" s="165"/>
      <c r="F221" s="165"/>
      <c r="G221" s="165">
        <v>82800</v>
      </c>
      <c r="H221" s="166">
        <f>SUMIF(Adat!$AC:$AC,CONCATENATE(61,N208,"094051"),Adat!$E:$E)*-1</f>
        <v>540000</v>
      </c>
      <c r="I221" s="165">
        <v>540000</v>
      </c>
      <c r="J221" s="439">
        <f t="shared" si="61"/>
        <v>0</v>
      </c>
      <c r="K221" s="166">
        <f>SUMIF(Adat!$AC:$AC,CONCATENATE(60,N208,"094051"),Adat!$E:$E)*-1+H221</f>
        <v>540000</v>
      </c>
    </row>
    <row r="222" spans="2:11" s="13" customFormat="1" ht="12.75" x14ac:dyDescent="0.2">
      <c r="B222" s="160">
        <v>8</v>
      </c>
      <c r="C222" s="305" t="s">
        <v>1273</v>
      </c>
      <c r="D222" s="82" t="s">
        <v>1362</v>
      </c>
      <c r="E222" s="165"/>
      <c r="F222" s="165"/>
      <c r="G222" s="165"/>
      <c r="H222" s="166">
        <f>SUMIF(Adat!$AC:$AC,CONCATENATE(61,N208,"094061"),Adat!$E:$E)*-1</f>
        <v>0</v>
      </c>
      <c r="I222" s="165">
        <v>0</v>
      </c>
      <c r="J222" s="439">
        <f t="shared" si="61"/>
        <v>0</v>
      </c>
      <c r="K222" s="166">
        <f>SUMIF(Adat!$AC:$AC,CONCATENATE(60,N208,"094061"),Adat!$E:$E)*-1+H222</f>
        <v>0</v>
      </c>
    </row>
    <row r="223" spans="2:11" s="13" customFormat="1" ht="12.75" x14ac:dyDescent="0.2">
      <c r="B223" s="160">
        <v>9</v>
      </c>
      <c r="C223" s="305" t="s">
        <v>1363</v>
      </c>
      <c r="D223" s="82" t="s">
        <v>1364</v>
      </c>
      <c r="E223" s="165"/>
      <c r="F223" s="165"/>
      <c r="G223" s="165"/>
      <c r="H223" s="166">
        <f>SUMIF(Adat!$AC:$AC,CONCATENATE(61,N208,"094071"),Adat!$E:$E)*-1</f>
        <v>0</v>
      </c>
      <c r="I223" s="165">
        <v>0</v>
      </c>
      <c r="J223" s="439">
        <f t="shared" si="61"/>
        <v>0</v>
      </c>
      <c r="K223" s="166">
        <f>SUMIF(Adat!$AC:$AC,CONCATENATE(60,N208,"094071"),Adat!$E:$E)*-1+H223</f>
        <v>0</v>
      </c>
    </row>
    <row r="224" spans="2:11" s="13" customFormat="1" ht="12.75" x14ac:dyDescent="0.2">
      <c r="B224" s="160">
        <v>10</v>
      </c>
      <c r="C224" s="305" t="s">
        <v>1306</v>
      </c>
      <c r="D224" s="82" t="s">
        <v>1365</v>
      </c>
      <c r="E224" s="165"/>
      <c r="F224" s="165"/>
      <c r="G224" s="165"/>
      <c r="H224" s="166">
        <f>SUMIF(Adat!$AC:$AC,CONCATENATE(61,N208,"0940811"),Adat!$E:$E)*-1</f>
        <v>0</v>
      </c>
      <c r="I224" s="165">
        <v>0</v>
      </c>
      <c r="J224" s="439">
        <f t="shared" si="61"/>
        <v>0</v>
      </c>
      <c r="K224" s="166">
        <f>SUMIF(Adat!$AC:$AC,CONCATENATE(60,N208,"0940811"),Adat!$E:$E)*-1+H224</f>
        <v>0</v>
      </c>
    </row>
    <row r="225" spans="2:11" s="13" customFormat="1" ht="12.75" x14ac:dyDescent="0.2">
      <c r="B225" s="160">
        <v>11</v>
      </c>
      <c r="C225" s="305" t="s">
        <v>1295</v>
      </c>
      <c r="D225" s="82" t="s">
        <v>1366</v>
      </c>
      <c r="E225" s="165">
        <v>3</v>
      </c>
      <c r="F225" s="165">
        <v>2</v>
      </c>
      <c r="G225" s="165">
        <v>1</v>
      </c>
      <c r="H225" s="166">
        <f>SUMIF(Adat!$AC:$AC,CONCATENATE(61,N208,"0940821"),Adat!$E:$E)*-1</f>
        <v>0</v>
      </c>
      <c r="I225" s="165">
        <v>0</v>
      </c>
      <c r="J225" s="439">
        <f t="shared" si="61"/>
        <v>0</v>
      </c>
      <c r="K225" s="166">
        <f>SUMIF(Adat!$AC:$AC,CONCATENATE(60,N208,"0940821"),Adat!$E:$E)*-1+H225</f>
        <v>0</v>
      </c>
    </row>
    <row r="226" spans="2:11" s="13" customFormat="1" ht="12.75" x14ac:dyDescent="0.2">
      <c r="B226" s="160">
        <v>12</v>
      </c>
      <c r="C226" s="305" t="s">
        <v>1367</v>
      </c>
      <c r="D226" s="82" t="s">
        <v>1368</v>
      </c>
      <c r="E226" s="165"/>
      <c r="F226" s="165"/>
      <c r="G226" s="165"/>
      <c r="H226" s="166">
        <f>SUMIF(Adat!$AC:$AC,CONCATENATE(61,N208,"0940911"),Adat!$E:$E)*-1</f>
        <v>0</v>
      </c>
      <c r="I226" s="165">
        <v>0</v>
      </c>
      <c r="J226" s="439">
        <f t="shared" si="61"/>
        <v>0</v>
      </c>
      <c r="K226" s="166">
        <f>SUMIF(Adat!$AC:$AC,CONCATENATE(60,N208,"0940911"),Adat!$E:$E)*-1+H226</f>
        <v>0</v>
      </c>
    </row>
    <row r="227" spans="2:11" s="13" customFormat="1" ht="12.75" x14ac:dyDescent="0.2">
      <c r="B227" s="160">
        <v>13</v>
      </c>
      <c r="C227" s="305" t="s">
        <v>1369</v>
      </c>
      <c r="D227" s="82" t="s">
        <v>1370</v>
      </c>
      <c r="E227" s="165"/>
      <c r="F227" s="165"/>
      <c r="G227" s="165"/>
      <c r="H227" s="166">
        <f>SUMIF(Adat!$AC:$AC,CONCATENATE(61,N208,"0940921"),Adat!$E:$E)*-1</f>
        <v>0</v>
      </c>
      <c r="I227" s="165">
        <v>0</v>
      </c>
      <c r="J227" s="439">
        <f t="shared" si="61"/>
        <v>0</v>
      </c>
      <c r="K227" s="166">
        <f>SUMIF(Adat!$AC:$AC,CONCATENATE(60,N208,"0940921"),Adat!$E:$E)*-1+H227</f>
        <v>0</v>
      </c>
    </row>
    <row r="228" spans="2:11" s="13" customFormat="1" ht="12.75" x14ac:dyDescent="0.2">
      <c r="B228" s="160">
        <v>14</v>
      </c>
      <c r="C228" s="305" t="s">
        <v>1296</v>
      </c>
      <c r="D228" s="82" t="s">
        <v>1371</v>
      </c>
      <c r="E228" s="165"/>
      <c r="F228" s="165"/>
      <c r="G228" s="165"/>
      <c r="H228" s="166">
        <f>SUMIF(Adat!$AC:$AC,CONCATENATE(61,N208,"094101"),Adat!$E:$E)*-1</f>
        <v>0</v>
      </c>
      <c r="I228" s="165">
        <v>0</v>
      </c>
      <c r="J228" s="439">
        <f t="shared" si="61"/>
        <v>0</v>
      </c>
      <c r="K228" s="166">
        <f>SUMIF(Adat!$AC:$AC,CONCATENATE(60,N208,"094101"),Adat!$E:$E)*-1+H228</f>
        <v>0</v>
      </c>
    </row>
    <row r="229" spans="2:11" s="13" customFormat="1" ht="12.75" x14ac:dyDescent="0.2">
      <c r="B229" s="160">
        <v>15</v>
      </c>
      <c r="C229" s="305" t="s">
        <v>1297</v>
      </c>
      <c r="D229" s="84" t="s">
        <v>1372</v>
      </c>
      <c r="E229" s="165"/>
      <c r="F229" s="165"/>
      <c r="G229" s="165">
        <v>169516</v>
      </c>
      <c r="H229" s="166">
        <f>SUMIF(Adat!$AC:$AC,CONCATENATE(61,N208,"094111"),Adat!$E:$E)*-1</f>
        <v>0</v>
      </c>
      <c r="I229" s="165">
        <v>0</v>
      </c>
      <c r="J229" s="439">
        <f t="shared" si="61"/>
        <v>0</v>
      </c>
      <c r="K229" s="166">
        <f>SUMIF(Adat!$AC:$AC,CONCATENATE(60,N208,"094111"),Adat!$E:$E)*-1+H229</f>
        <v>0</v>
      </c>
    </row>
    <row r="230" spans="2:11" s="13" customFormat="1" ht="12.75" x14ac:dyDescent="0.2">
      <c r="B230" s="160">
        <v>16</v>
      </c>
      <c r="C230" s="78" t="s">
        <v>1328</v>
      </c>
      <c r="D230" s="85" t="s">
        <v>437</v>
      </c>
      <c r="E230" s="120">
        <f>SUM(E231:E233)</f>
        <v>0</v>
      </c>
      <c r="F230" s="120">
        <f t="shared" ref="F230" si="62">SUM(F231:F233)</f>
        <v>0</v>
      </c>
      <c r="G230" s="120">
        <f>SUM(G231:G233)</f>
        <v>0</v>
      </c>
      <c r="H230" s="121">
        <f t="shared" ref="H230:I230" si="63">SUM(H231:H233)</f>
        <v>0</v>
      </c>
      <c r="I230" s="120">
        <f t="shared" si="63"/>
        <v>0</v>
      </c>
      <c r="J230" s="438">
        <f t="shared" si="61"/>
        <v>0</v>
      </c>
      <c r="K230" s="121">
        <f>SUM(K231:K233)</f>
        <v>0</v>
      </c>
    </row>
    <row r="231" spans="2:11" s="13" customFormat="1" ht="12.75" x14ac:dyDescent="0.2">
      <c r="B231" s="160">
        <v>17</v>
      </c>
      <c r="C231" s="305" t="s">
        <v>1329</v>
      </c>
      <c r="D231" s="82" t="s">
        <v>1330</v>
      </c>
      <c r="E231" s="165"/>
      <c r="F231" s="165"/>
      <c r="G231" s="165"/>
      <c r="H231" s="166">
        <f>SUMIF(Adat!$AC:$AC,CONCATENATE(61,N208,"09121"),Adat!$E:$E)*-1</f>
        <v>0</v>
      </c>
      <c r="I231" s="165">
        <v>0</v>
      </c>
      <c r="J231" s="439">
        <f t="shared" si="61"/>
        <v>0</v>
      </c>
      <c r="K231" s="166">
        <f>SUMIF(Adat!$AC:$AC,CONCATENATE(60,N208,"09121"),Adat!$E:$E)*-1+H231</f>
        <v>0</v>
      </c>
    </row>
    <row r="232" spans="2:11" s="13" customFormat="1" ht="12.75" x14ac:dyDescent="0.2">
      <c r="B232" s="160">
        <v>18</v>
      </c>
      <c r="C232" s="305" t="s">
        <v>1335</v>
      </c>
      <c r="D232" s="82" t="s">
        <v>1336</v>
      </c>
      <c r="E232" s="165"/>
      <c r="F232" s="165"/>
      <c r="G232" s="165"/>
      <c r="H232" s="166">
        <f>SUMIF(Adat!$AC:$AC,CONCATENATE(61,N208,"09151"),Adat!$E:$E)*-1</f>
        <v>0</v>
      </c>
      <c r="I232" s="165">
        <v>0</v>
      </c>
      <c r="J232" s="439">
        <f t="shared" si="61"/>
        <v>0</v>
      </c>
      <c r="K232" s="166">
        <f>SUMIF(Adat!$AC:$AC,CONCATENATE(60,N208,"09151"),Adat!$E:$E)*-1+H232</f>
        <v>0</v>
      </c>
    </row>
    <row r="233" spans="2:11" s="13" customFormat="1" ht="12.75" x14ac:dyDescent="0.2">
      <c r="B233" s="160">
        <v>19</v>
      </c>
      <c r="C233" s="305" t="s">
        <v>1278</v>
      </c>
      <c r="D233" s="82" t="s">
        <v>1337</v>
      </c>
      <c r="E233" s="165"/>
      <c r="F233" s="165"/>
      <c r="G233" s="165"/>
      <c r="H233" s="166">
        <f>SUMIF(Adat!$AC:$AC,CONCATENATE(61,N208,"09161"),Adat!$E:$E)*-1</f>
        <v>0</v>
      </c>
      <c r="I233" s="165">
        <v>0</v>
      </c>
      <c r="J233" s="439">
        <f t="shared" si="61"/>
        <v>0</v>
      </c>
      <c r="K233" s="166">
        <f>SUMIF(Adat!$AC:$AC,CONCATENATE(60,N208,"09161"),Adat!$E:$E)*-1+H233</f>
        <v>0</v>
      </c>
    </row>
    <row r="234" spans="2:11" s="13" customFormat="1" ht="12.75" x14ac:dyDescent="0.2">
      <c r="B234" s="160">
        <v>20</v>
      </c>
      <c r="C234" s="79" t="s">
        <v>27</v>
      </c>
      <c r="D234" s="79" t="s">
        <v>328</v>
      </c>
      <c r="E234" s="120">
        <v>0</v>
      </c>
      <c r="F234" s="120">
        <v>0</v>
      </c>
      <c r="G234" s="120">
        <v>0</v>
      </c>
      <c r="H234" s="71">
        <f>SUMIF(Adat!$AE:$AE,CONCATENATE(61,N208,"093"),Adat!$E:$E)*-1</f>
        <v>0</v>
      </c>
      <c r="I234" s="80">
        <v>0</v>
      </c>
      <c r="J234" s="433">
        <f t="shared" si="61"/>
        <v>0</v>
      </c>
      <c r="K234" s="71">
        <f>SUMIF(Adat!$AE:$AE,CONCATENATE(60,N208,"093"),Adat!$E:$E)*-1+H234</f>
        <v>0</v>
      </c>
    </row>
    <row r="235" spans="2:11" s="13" customFormat="1" ht="12.75" x14ac:dyDescent="0.2">
      <c r="B235" s="160">
        <v>21</v>
      </c>
      <c r="C235" s="79" t="s">
        <v>24</v>
      </c>
      <c r="D235" s="79" t="s">
        <v>449</v>
      </c>
      <c r="E235" s="120">
        <f>SUM(E236:E238)</f>
        <v>0</v>
      </c>
      <c r="F235" s="120">
        <f t="shared" ref="F235:G235" si="64">SUM(F236:F238)</f>
        <v>0</v>
      </c>
      <c r="G235" s="120">
        <f t="shared" si="64"/>
        <v>0</v>
      </c>
      <c r="H235" s="121">
        <f>SUM(H236:H238)</f>
        <v>0</v>
      </c>
      <c r="I235" s="120">
        <f>SUM(I236:I238)</f>
        <v>0</v>
      </c>
      <c r="J235" s="438">
        <f t="shared" si="61"/>
        <v>0</v>
      </c>
      <c r="K235" s="121">
        <f t="shared" ref="K235" si="65">SUM(K236:K238)</f>
        <v>0</v>
      </c>
    </row>
    <row r="236" spans="2:11" s="13" customFormat="1" ht="12.75" x14ac:dyDescent="0.2">
      <c r="B236" s="160">
        <v>22</v>
      </c>
      <c r="C236" s="305" t="s">
        <v>1339</v>
      </c>
      <c r="D236" s="82" t="s">
        <v>1340</v>
      </c>
      <c r="E236" s="165"/>
      <c r="F236" s="165"/>
      <c r="G236" s="165"/>
      <c r="H236" s="166">
        <f>SUMIF(Adat!$AC:$AC,CONCATENATE(61,N208,"09211"),Adat!$E:$E)*-1</f>
        <v>0</v>
      </c>
      <c r="I236" s="165">
        <v>0</v>
      </c>
      <c r="J236" s="439">
        <f t="shared" si="61"/>
        <v>0</v>
      </c>
      <c r="K236" s="166">
        <f>SUMIF(Adat!$AC:$AC,CONCATENATE(60,N208,"09211"),Adat!$E:$E)*-1+H236</f>
        <v>0</v>
      </c>
    </row>
    <row r="237" spans="2:11" s="13" customFormat="1" ht="12.75" x14ac:dyDescent="0.2">
      <c r="B237" s="160">
        <v>23</v>
      </c>
      <c r="C237" s="305" t="s">
        <v>1345</v>
      </c>
      <c r="D237" s="82" t="s">
        <v>1346</v>
      </c>
      <c r="E237" s="165"/>
      <c r="F237" s="165"/>
      <c r="G237" s="165"/>
      <c r="H237" s="166">
        <f>SUMIF(Adat!$AC:$AC,CONCATENATE(61,N208,"09241"),Adat!$E:$E)*-1</f>
        <v>0</v>
      </c>
      <c r="I237" s="165">
        <v>0</v>
      </c>
      <c r="J237" s="439">
        <f t="shared" si="61"/>
        <v>0</v>
      </c>
      <c r="K237" s="166">
        <f>SUMIF(Adat!$AC:$AC,CONCATENATE(60,N208,"09241"),Adat!$E:$E)*-1+H237</f>
        <v>0</v>
      </c>
    </row>
    <row r="238" spans="2:11" s="13" customFormat="1" ht="12.75" x14ac:dyDescent="0.2">
      <c r="B238" s="160">
        <v>24</v>
      </c>
      <c r="C238" s="305" t="s">
        <v>1255</v>
      </c>
      <c r="D238" s="82" t="s">
        <v>1347</v>
      </c>
      <c r="E238" s="165"/>
      <c r="F238" s="165"/>
      <c r="G238" s="165"/>
      <c r="H238" s="166">
        <f>SUMIF(Adat!$AC:$AC,CONCATENATE(61,N208,"09251"),Adat!$E:$E)*-1</f>
        <v>0</v>
      </c>
      <c r="I238" s="165">
        <v>0</v>
      </c>
      <c r="J238" s="439">
        <f t="shared" si="61"/>
        <v>0</v>
      </c>
      <c r="K238" s="166">
        <f>SUMIF(Adat!$AC:$AC,CONCATENATE(60,N208,"09251"),Adat!$E:$E)*-1+H238</f>
        <v>0</v>
      </c>
    </row>
    <row r="239" spans="2:11" s="13" customFormat="1" ht="12.75" x14ac:dyDescent="0.2">
      <c r="B239" s="160">
        <v>25</v>
      </c>
      <c r="C239" s="79" t="s">
        <v>33</v>
      </c>
      <c r="D239" s="79" t="s">
        <v>330</v>
      </c>
      <c r="E239" s="120">
        <f>SUM(E240:E242)</f>
        <v>0</v>
      </c>
      <c r="F239" s="120">
        <f t="shared" ref="F239:K239" si="66">SUM(F240:F242)</f>
        <v>0</v>
      </c>
      <c r="G239" s="120">
        <f t="shared" si="66"/>
        <v>0</v>
      </c>
      <c r="H239" s="121">
        <f t="shared" si="66"/>
        <v>0</v>
      </c>
      <c r="I239" s="120">
        <f t="shared" si="66"/>
        <v>0</v>
      </c>
      <c r="J239" s="438">
        <f t="shared" si="61"/>
        <v>0</v>
      </c>
      <c r="K239" s="121">
        <f t="shared" si="66"/>
        <v>0</v>
      </c>
    </row>
    <row r="240" spans="2:11" s="13" customFormat="1" ht="12.75" x14ac:dyDescent="0.2">
      <c r="B240" s="160">
        <v>26</v>
      </c>
      <c r="C240" s="305" t="s">
        <v>1373</v>
      </c>
      <c r="D240" s="82" t="s">
        <v>1374</v>
      </c>
      <c r="E240" s="165"/>
      <c r="F240" s="165"/>
      <c r="G240" s="165"/>
      <c r="H240" s="166">
        <f>SUMIF(Adat!$AC:$AC,CONCATENATE(61,N208,"09511"),Adat!$E:$E)*-1</f>
        <v>0</v>
      </c>
      <c r="I240" s="165">
        <v>0</v>
      </c>
      <c r="J240" s="439">
        <f t="shared" si="61"/>
        <v>0</v>
      </c>
      <c r="K240" s="166">
        <f>SUMIF(Adat!$AC:$AC,CONCATENATE(60,N208,"09511"),Adat!$E:$E)*-1+H240</f>
        <v>0</v>
      </c>
    </row>
    <row r="241" spans="2:11" s="13" customFormat="1" ht="12.75" x14ac:dyDescent="0.2">
      <c r="B241" s="160">
        <v>27</v>
      </c>
      <c r="C241" s="305" t="s">
        <v>1294</v>
      </c>
      <c r="D241" s="82" t="s">
        <v>1375</v>
      </c>
      <c r="E241" s="165"/>
      <c r="F241" s="165"/>
      <c r="G241" s="165"/>
      <c r="H241" s="166">
        <f>SUMIF(Adat!$AC:$AC,CONCATENATE(61,N208,"09521"),Adat!$E:$E)*-1</f>
        <v>0</v>
      </c>
      <c r="I241" s="165">
        <v>0</v>
      </c>
      <c r="J241" s="439">
        <f t="shared" si="61"/>
        <v>0</v>
      </c>
      <c r="K241" s="166">
        <f>SUMIF(Adat!$AC:$AC,CONCATENATE(60,N208,"09521"),Adat!$E:$E)*-1+H241</f>
        <v>0</v>
      </c>
    </row>
    <row r="242" spans="2:11" s="13" customFormat="1" ht="12.75" x14ac:dyDescent="0.2">
      <c r="B242" s="160">
        <v>28</v>
      </c>
      <c r="C242" s="305" t="s">
        <v>1376</v>
      </c>
      <c r="D242" s="82" t="s">
        <v>1377</v>
      </c>
      <c r="E242" s="165"/>
      <c r="F242" s="165"/>
      <c r="G242" s="165"/>
      <c r="H242" s="166">
        <f>SUMIF(Adat!$AC:$AC,CONCATENATE(61,N208,"09531"),Adat!$E:$E)*-1</f>
        <v>0</v>
      </c>
      <c r="I242" s="165">
        <v>0</v>
      </c>
      <c r="J242" s="439">
        <f t="shared" si="61"/>
        <v>0</v>
      </c>
      <c r="K242" s="166">
        <f>SUMIF(Adat!$AC:$AC,CONCATENATE(60,N208,"09531"),Adat!$E:$E)*-1+H242</f>
        <v>0</v>
      </c>
    </row>
    <row r="243" spans="2:11" s="13" customFormat="1" ht="12.75" x14ac:dyDescent="0.2">
      <c r="B243" s="160">
        <v>29</v>
      </c>
      <c r="C243" s="79" t="s">
        <v>36</v>
      </c>
      <c r="D243" s="79" t="s">
        <v>331</v>
      </c>
      <c r="E243" s="120">
        <v>0</v>
      </c>
      <c r="F243" s="120">
        <v>0</v>
      </c>
      <c r="G243" s="120">
        <v>0</v>
      </c>
      <c r="H243" s="71">
        <f>SUMIF(Adat!$AE:$AE,CONCATENATE(61,N208,"096"),Adat!$E:$E)*-1</f>
        <v>0</v>
      </c>
      <c r="I243" s="80">
        <v>0</v>
      </c>
      <c r="J243" s="433">
        <f t="shared" si="61"/>
        <v>0</v>
      </c>
      <c r="K243" s="71">
        <f>SUMIF(Adat!$AE:$AE,CONCATENATE(60,N208,"096"),Adat!$E:$E)*-1+H243</f>
        <v>0</v>
      </c>
    </row>
    <row r="244" spans="2:11" s="13" customFormat="1" ht="12.75" x14ac:dyDescent="0.2">
      <c r="B244" s="160">
        <v>30</v>
      </c>
      <c r="C244" s="79" t="s">
        <v>38</v>
      </c>
      <c r="D244" s="85" t="s">
        <v>332</v>
      </c>
      <c r="E244" s="120">
        <v>0</v>
      </c>
      <c r="F244" s="120">
        <v>0</v>
      </c>
      <c r="G244" s="120">
        <v>0</v>
      </c>
      <c r="H244" s="71">
        <f>SUMIF(Adat!$AE:$AE,CONCATENATE(61,N208,"097"),Adat!$E:$E)*-1</f>
        <v>0</v>
      </c>
      <c r="I244" s="80">
        <v>0</v>
      </c>
      <c r="J244" s="433">
        <f t="shared" si="61"/>
        <v>0</v>
      </c>
      <c r="K244" s="71">
        <f>SUMIF(Adat!$AE:$AE,CONCATENATE(60,N208,"097"),Adat!$E:$E)*-1+H244</f>
        <v>0</v>
      </c>
    </row>
    <row r="245" spans="2:11" s="13" customFormat="1" ht="12.75" x14ac:dyDescent="0.2">
      <c r="B245" s="160">
        <v>31</v>
      </c>
      <c r="C245" s="154" t="s">
        <v>352</v>
      </c>
      <c r="D245" s="86" t="s">
        <v>1500</v>
      </c>
      <c r="E245" s="120">
        <f>E216+E230+E234+E235+E239+E243+E244</f>
        <v>3</v>
      </c>
      <c r="F245" s="120">
        <f>F216+F230+F234+F235+F239+F243+F244</f>
        <v>2</v>
      </c>
      <c r="G245" s="120">
        <f>G216+G230+G234+G235+G239+G243+G244</f>
        <v>469317</v>
      </c>
      <c r="H245" s="121">
        <f>H216+H230+H234+H235+H239+H243+H244</f>
        <v>540000</v>
      </c>
      <c r="I245" s="120">
        <f t="shared" ref="I245" si="67">I216+I230+I234+I235+I239+I243+I244</f>
        <v>540000</v>
      </c>
      <c r="J245" s="438">
        <f t="shared" si="61"/>
        <v>0</v>
      </c>
      <c r="K245" s="121">
        <f>K216+K230+K234+K235+K239+K243+K244</f>
        <v>540000</v>
      </c>
    </row>
    <row r="246" spans="2:11" s="13" customFormat="1" ht="12.75" x14ac:dyDescent="0.2">
      <c r="B246" s="160">
        <v>32</v>
      </c>
      <c r="C246" s="154" t="s">
        <v>358</v>
      </c>
      <c r="D246" s="86" t="s">
        <v>333</v>
      </c>
      <c r="E246" s="120">
        <f>SUM(E247:E249)</f>
        <v>184666089</v>
      </c>
      <c r="F246" s="120">
        <f t="shared" ref="F246" si="68">SUM(F247:F249)</f>
        <v>207422409</v>
      </c>
      <c r="G246" s="120">
        <f>SUM(G247:G249)</f>
        <v>250259878</v>
      </c>
      <c r="H246" s="121">
        <f t="shared" ref="H246:K246" si="69">SUM(H247:H249)</f>
        <v>314439011</v>
      </c>
      <c r="I246" s="120">
        <f t="shared" si="69"/>
        <v>314439011</v>
      </c>
      <c r="J246" s="438">
        <f t="shared" si="61"/>
        <v>0</v>
      </c>
      <c r="K246" s="121">
        <f t="shared" si="69"/>
        <v>314439011</v>
      </c>
    </row>
    <row r="247" spans="2:11" s="13" customFormat="1" ht="12.75" x14ac:dyDescent="0.2">
      <c r="B247" s="160">
        <v>33</v>
      </c>
      <c r="C247" s="305" t="s">
        <v>1274</v>
      </c>
      <c r="D247" s="82" t="s">
        <v>1419</v>
      </c>
      <c r="E247" s="165">
        <v>17029440</v>
      </c>
      <c r="F247" s="165">
        <v>15128772</v>
      </c>
      <c r="G247" s="165">
        <v>150699</v>
      </c>
      <c r="H247" s="166">
        <f>SUMIF(Adat!$AC:$AC,CONCATENATE(61,N208,"0981311"),Adat!$E:$E)*-1</f>
        <v>1583668</v>
      </c>
      <c r="I247" s="165">
        <v>1583668</v>
      </c>
      <c r="J247" s="439">
        <f t="shared" si="61"/>
        <v>0</v>
      </c>
      <c r="K247" s="166">
        <f>SUMIF(Adat!$AC:$AC,CONCATENATE(60,N208,"0981311"),Adat!$E:$E)*-1+H247</f>
        <v>1583668</v>
      </c>
    </row>
    <row r="248" spans="2:11" s="13" customFormat="1" ht="12.75" x14ac:dyDescent="0.2">
      <c r="B248" s="160">
        <v>34</v>
      </c>
      <c r="C248" s="305" t="s">
        <v>1420</v>
      </c>
      <c r="D248" s="84" t="s">
        <v>1421</v>
      </c>
      <c r="E248" s="165"/>
      <c r="F248" s="165"/>
      <c r="G248" s="165"/>
      <c r="H248" s="166">
        <f>SUMIF(Adat!$AC:$AC,CONCATENATE(61,N208,"0981321"),Adat!$E:$E)*-1</f>
        <v>0</v>
      </c>
      <c r="I248" s="165">
        <v>0</v>
      </c>
      <c r="J248" s="439">
        <f t="shared" si="61"/>
        <v>0</v>
      </c>
      <c r="K248" s="166">
        <f>SUMIF(Adat!$AC:$AC,CONCATENATE(60,N208,"0981321"),Adat!$E:$E)*-1+H248</f>
        <v>0</v>
      </c>
    </row>
    <row r="249" spans="2:11" s="13" customFormat="1" ht="12.75" x14ac:dyDescent="0.2">
      <c r="B249" s="160">
        <v>35</v>
      </c>
      <c r="C249" s="319" t="s">
        <v>1275</v>
      </c>
      <c r="D249" s="84" t="s">
        <v>1501</v>
      </c>
      <c r="E249" s="165">
        <v>167636649</v>
      </c>
      <c r="F249" s="165">
        <v>192293637</v>
      </c>
      <c r="G249" s="165">
        <v>250109179</v>
      </c>
      <c r="H249" s="166">
        <f>SUMIF(Adat!$AC:$AC,CONCATENATE(61,N208,"098161"),Adat!$E:$E)*-1</f>
        <v>312855343</v>
      </c>
      <c r="I249" s="165">
        <v>312855343</v>
      </c>
      <c r="J249" s="439">
        <f t="shared" si="61"/>
        <v>0</v>
      </c>
      <c r="K249" s="166">
        <f>SUMIF(Adat!$AC:$AC,CONCATENATE(60,N208,"098161"),Adat!$E:$E)*-1+H249</f>
        <v>312855343</v>
      </c>
    </row>
    <row r="250" spans="2:11" s="13" customFormat="1" ht="12.75" x14ac:dyDescent="0.2">
      <c r="B250" s="160">
        <v>36</v>
      </c>
      <c r="C250" s="154" t="s">
        <v>364</v>
      </c>
      <c r="D250" s="159" t="s">
        <v>1502</v>
      </c>
      <c r="E250" s="120">
        <f>E245+E246</f>
        <v>184666092</v>
      </c>
      <c r="F250" s="120">
        <f t="shared" ref="F250:G250" si="70">F245+F246</f>
        <v>207422411</v>
      </c>
      <c r="G250" s="120">
        <f t="shared" si="70"/>
        <v>250729195</v>
      </c>
      <c r="H250" s="121">
        <f>H245+H246</f>
        <v>314979011</v>
      </c>
      <c r="I250" s="120">
        <f t="shared" ref="I250" si="71">I245+I246</f>
        <v>314979011</v>
      </c>
      <c r="J250" s="438">
        <f t="shared" si="61"/>
        <v>0</v>
      </c>
      <c r="K250" s="121">
        <f>K245+K246</f>
        <v>314979011</v>
      </c>
    </row>
    <row r="251" spans="2:11" s="13" customFormat="1" ht="12.75" x14ac:dyDescent="0.2">
      <c r="B251" s="40"/>
      <c r="C251" s="256"/>
      <c r="D251" s="40"/>
      <c r="H251" s="39"/>
      <c r="I251" s="39"/>
      <c r="J251" s="39"/>
    </row>
    <row r="252" spans="2:11" s="13" customFormat="1" x14ac:dyDescent="0.2">
      <c r="B252" s="202" t="s">
        <v>1200</v>
      </c>
      <c r="C252" s="260"/>
      <c r="D252" s="260"/>
      <c r="H252" s="260"/>
      <c r="I252" s="260"/>
      <c r="J252" s="260"/>
    </row>
    <row r="253" spans="2:11" s="13" customFormat="1" ht="12.75" x14ac:dyDescent="0.2">
      <c r="B253" s="40"/>
      <c r="C253" s="256"/>
      <c r="D253" s="40"/>
      <c r="H253" s="39"/>
      <c r="I253" s="39"/>
      <c r="J253" s="39"/>
    </row>
    <row r="254" spans="2:11" s="13" customFormat="1" ht="12.75" x14ac:dyDescent="0.2">
      <c r="B254" s="77"/>
      <c r="C254" s="77" t="s">
        <v>350</v>
      </c>
      <c r="D254" s="77" t="s">
        <v>351</v>
      </c>
      <c r="E254" s="77" t="s">
        <v>470</v>
      </c>
      <c r="F254" s="77" t="s">
        <v>471</v>
      </c>
      <c r="G254" s="77" t="s">
        <v>44</v>
      </c>
      <c r="H254" s="77" t="s">
        <v>42</v>
      </c>
      <c r="I254" s="77" t="s">
        <v>511</v>
      </c>
      <c r="J254" s="77" t="s">
        <v>512</v>
      </c>
      <c r="K254" s="77" t="s">
        <v>591</v>
      </c>
    </row>
    <row r="255" spans="2:11" s="13" customFormat="1" ht="51" x14ac:dyDescent="0.2">
      <c r="B255" s="68">
        <v>1</v>
      </c>
      <c r="C255" s="78" t="s">
        <v>348</v>
      </c>
      <c r="D255" s="78" t="s">
        <v>349</v>
      </c>
      <c r="E255" s="69" t="str">
        <f>CONCATENATE(PAR!$H$12," évi 
teljesítés")</f>
        <v>2022. évi 
teljesítés</v>
      </c>
      <c r="F255" s="69" t="str">
        <f>CONCATENATE(PAR!$H$11," évi 
teljesítés")</f>
        <v>2023. évi 
teljesítés</v>
      </c>
      <c r="G255" s="69" t="str">
        <f>CONCATENATE(PAR!$H$10," évi 
teljesítés")</f>
        <v>2024. évi 
teljesítés</v>
      </c>
      <c r="H255" s="163" t="str">
        <f>CONCATENATE(PAR!$H$3," évi
eredeti 
előirányzat - ",Index!$E$17)</f>
        <v>2025. évi
eredeti 
előirányzat - 2/2025. (II.25.)</v>
      </c>
      <c r="I255" s="163" t="str">
        <f>CONCATENATE(PAR!$H$3," évi
módosított 
előirányzat - ",Index!$E$18)</f>
        <v xml:space="preserve">2025. évi
módosított 
előirányzat - </v>
      </c>
      <c r="J255" s="163" t="s">
        <v>2686</v>
      </c>
      <c r="K255" s="163" t="str">
        <f>CONCATENATE(PAR!$H$3," évi
módosított 
előirányzat - ",Index!$E$16)</f>
        <v>2025. évi
módosított 
előirányzat - .../2025. (...)</v>
      </c>
    </row>
    <row r="256" spans="2:11" s="13" customFormat="1" ht="12.75" x14ac:dyDescent="0.2">
      <c r="B256" s="160">
        <v>2</v>
      </c>
      <c r="C256" s="78" t="s">
        <v>352</v>
      </c>
      <c r="D256" s="92" t="s">
        <v>1444</v>
      </c>
      <c r="E256" s="120">
        <f>SUM(E257:E261)</f>
        <v>169537320</v>
      </c>
      <c r="F256" s="120">
        <f>SUM(F257:F261)</f>
        <v>208026886</v>
      </c>
      <c r="G256" s="120">
        <f>SUM(G257:G261)</f>
        <v>248399175</v>
      </c>
      <c r="H256" s="121">
        <f>SUM(H257:H261)</f>
        <v>314979011</v>
      </c>
      <c r="I256" s="120">
        <f t="shared" ref="I256" si="72">SUM(I257:I261)</f>
        <v>314979011</v>
      </c>
      <c r="J256" s="438">
        <f>K256-I256</f>
        <v>0</v>
      </c>
      <c r="K256" s="121">
        <f t="shared" ref="K256" si="73">SUM(K257:K261)</f>
        <v>314979011</v>
      </c>
    </row>
    <row r="257" spans="2:15" s="13" customFormat="1" ht="12.75" x14ac:dyDescent="0.2">
      <c r="B257" s="160">
        <v>3</v>
      </c>
      <c r="C257" s="305" t="s">
        <v>315</v>
      </c>
      <c r="D257" s="93" t="s">
        <v>342</v>
      </c>
      <c r="E257" s="165">
        <v>132259307</v>
      </c>
      <c r="F257" s="165">
        <v>155624647</v>
      </c>
      <c r="G257" s="285">
        <v>203705605</v>
      </c>
      <c r="H257" s="72">
        <f>SUMIF(Adat!$AE:$AE,CONCATENATE(61,N208,"051"),Adat!$E:$E)</f>
        <v>262028598</v>
      </c>
      <c r="I257" s="83">
        <v>262028598</v>
      </c>
      <c r="J257" s="434">
        <f t="shared" ref="J257:J267" si="74">K257-I257</f>
        <v>0</v>
      </c>
      <c r="K257" s="72">
        <f>SUMIF(Adat!$AE:$AE,CONCATENATE(60,N208,"051"),Adat!$E:$E)+H257</f>
        <v>262028598</v>
      </c>
    </row>
    <row r="258" spans="2:15" s="13" customFormat="1" ht="12.75" x14ac:dyDescent="0.2">
      <c r="B258" s="160">
        <v>4</v>
      </c>
      <c r="C258" s="305" t="s">
        <v>317</v>
      </c>
      <c r="D258" s="93" t="s">
        <v>395</v>
      </c>
      <c r="E258" s="165">
        <v>19805529</v>
      </c>
      <c r="F258" s="165">
        <v>20270156</v>
      </c>
      <c r="G258" s="285">
        <v>27454804</v>
      </c>
      <c r="H258" s="72">
        <f>SUMIF(Adat!$AE:$AE,CONCATENATE(61,N208,"052"),Adat!$E:$E)</f>
        <v>34547629</v>
      </c>
      <c r="I258" s="83">
        <v>34547629</v>
      </c>
      <c r="J258" s="434">
        <f t="shared" si="74"/>
        <v>0</v>
      </c>
      <c r="K258" s="72">
        <f>SUMIF(Adat!$AE:$AE,CONCATENATE(60,N208,"052"),Adat!$E:$E)+H258</f>
        <v>34547629</v>
      </c>
    </row>
    <row r="259" spans="2:15" s="13" customFormat="1" ht="12.75" x14ac:dyDescent="0.2">
      <c r="B259" s="160">
        <v>5</v>
      </c>
      <c r="C259" s="305" t="s">
        <v>4</v>
      </c>
      <c r="D259" s="93" t="s">
        <v>344</v>
      </c>
      <c r="E259" s="165">
        <v>17472484</v>
      </c>
      <c r="F259" s="165">
        <v>32132083</v>
      </c>
      <c r="G259" s="285">
        <v>17238766</v>
      </c>
      <c r="H259" s="72">
        <f>SUMIF(Adat!$AE:$AE,CONCATENATE(61,N208,"053"),Adat!$E:$E)</f>
        <v>18402784</v>
      </c>
      <c r="I259" s="83">
        <v>18402784</v>
      </c>
      <c r="J259" s="434">
        <f t="shared" si="74"/>
        <v>0</v>
      </c>
      <c r="K259" s="72">
        <f>SUMIF(Adat!$AE:$AE,CONCATENATE(60,N208,"053"),Adat!$E:$E)+H259</f>
        <v>18402784</v>
      </c>
    </row>
    <row r="260" spans="2:15" s="13" customFormat="1" ht="12.75" x14ac:dyDescent="0.2">
      <c r="B260" s="160">
        <v>6</v>
      </c>
      <c r="C260" s="305" t="s">
        <v>6</v>
      </c>
      <c r="D260" s="93" t="s">
        <v>345</v>
      </c>
      <c r="E260" s="165"/>
      <c r="F260" s="165"/>
      <c r="G260" s="285"/>
      <c r="H260" s="72">
        <f>SUMIF(Adat!$AE:$AE,CONCATENATE(61,N208,"054"),Adat!$E:$E)</f>
        <v>0</v>
      </c>
      <c r="I260" s="83">
        <v>0</v>
      </c>
      <c r="J260" s="434">
        <f t="shared" si="74"/>
        <v>0</v>
      </c>
      <c r="K260" s="72">
        <f>SUMIF(Adat!$AE:$AE,CONCATENATE(60,N208,"054"),Adat!$E:$E)+H260</f>
        <v>0</v>
      </c>
    </row>
    <row r="261" spans="2:15" s="13" customFormat="1" ht="12.75" x14ac:dyDescent="0.2">
      <c r="B261" s="160">
        <v>7</v>
      </c>
      <c r="C261" s="305" t="s">
        <v>8</v>
      </c>
      <c r="D261" s="93" t="s">
        <v>321</v>
      </c>
      <c r="E261" s="165"/>
      <c r="F261" s="165"/>
      <c r="G261" s="285"/>
      <c r="H261" s="72">
        <f>SUMIF(Adat!$AE:$AE,CONCATENATE(61,N208,"055"),Adat!$E:$E)</f>
        <v>0</v>
      </c>
      <c r="I261" s="83">
        <v>0</v>
      </c>
      <c r="J261" s="434">
        <f t="shared" si="74"/>
        <v>0</v>
      </c>
      <c r="K261" s="72">
        <f>SUMIF(Adat!$AE:$AE,CONCATENATE(60,N208,"055"),Adat!$E:$E)+H261</f>
        <v>0</v>
      </c>
    </row>
    <row r="262" spans="2:15" s="13" customFormat="1" ht="12.75" x14ac:dyDescent="0.2">
      <c r="B262" s="160">
        <v>8</v>
      </c>
      <c r="C262" s="78" t="s">
        <v>358</v>
      </c>
      <c r="D262" s="92" t="s">
        <v>1447</v>
      </c>
      <c r="E262" s="120">
        <f>SUM(E263:E265)</f>
        <v>0</v>
      </c>
      <c r="F262" s="120">
        <f t="shared" ref="F262" si="75">SUM(F263:F265)</f>
        <v>55084</v>
      </c>
      <c r="G262" s="120">
        <f t="shared" ref="G262" si="76">SUM(G263:G265)</f>
        <v>700352</v>
      </c>
      <c r="H262" s="121">
        <f t="shared" ref="H262:I262" si="77">SUM(H263:H265)</f>
        <v>0</v>
      </c>
      <c r="I262" s="120">
        <f t="shared" si="77"/>
        <v>0</v>
      </c>
      <c r="J262" s="438">
        <f t="shared" si="74"/>
        <v>0</v>
      </c>
      <c r="K262" s="121">
        <f t="shared" ref="K262" si="78">SUM(K263:K265)</f>
        <v>0</v>
      </c>
    </row>
    <row r="263" spans="2:15" s="13" customFormat="1" ht="12.75" x14ac:dyDescent="0.2">
      <c r="B263" s="160">
        <v>9</v>
      </c>
      <c r="C263" s="305" t="s">
        <v>10</v>
      </c>
      <c r="D263" s="93" t="s">
        <v>322</v>
      </c>
      <c r="E263" s="165"/>
      <c r="F263" s="165">
        <v>55084</v>
      </c>
      <c r="G263" s="285">
        <v>700352</v>
      </c>
      <c r="H263" s="72">
        <f>SUMIF(Adat!$AE:$AE,CONCATENATE(61,N208,"056"),Adat!$E:$E)</f>
        <v>0</v>
      </c>
      <c r="I263" s="83">
        <v>0</v>
      </c>
      <c r="J263" s="434">
        <f t="shared" si="74"/>
        <v>0</v>
      </c>
      <c r="K263" s="72">
        <f>SUMIF(Adat!$AE:$AE,CONCATENATE(60,N208,"056"),Adat!$E:$E)+H263</f>
        <v>0</v>
      </c>
    </row>
    <row r="264" spans="2:15" s="13" customFormat="1" ht="12.75" x14ac:dyDescent="0.2">
      <c r="B264" s="160">
        <v>10</v>
      </c>
      <c r="C264" s="305" t="s">
        <v>12</v>
      </c>
      <c r="D264" s="93" t="s">
        <v>323</v>
      </c>
      <c r="E264" s="165"/>
      <c r="F264" s="165"/>
      <c r="G264" s="165"/>
      <c r="H264" s="72">
        <f>SUMIF(Adat!$AE:$AE,CONCATENATE(61,N208,"057"),Adat!$E:$E)</f>
        <v>0</v>
      </c>
      <c r="I264" s="83">
        <v>0</v>
      </c>
      <c r="J264" s="434">
        <f t="shared" si="74"/>
        <v>0</v>
      </c>
      <c r="K264" s="72">
        <f>SUMIF(Adat!$AE:$AE,CONCATENATE(60,N208,"057"),Adat!$E:$E)+H264</f>
        <v>0</v>
      </c>
    </row>
    <row r="265" spans="2:15" s="13" customFormat="1" ht="12.75" x14ac:dyDescent="0.2">
      <c r="B265" s="160">
        <v>11</v>
      </c>
      <c r="C265" s="305" t="s">
        <v>15</v>
      </c>
      <c r="D265" s="84" t="s">
        <v>324</v>
      </c>
      <c r="E265" s="165"/>
      <c r="F265" s="165"/>
      <c r="G265" s="165"/>
      <c r="H265" s="72">
        <f>SUMIF(Adat!$AE:$AE,CONCATENATE(61,N208,"058"),Adat!$E:$E)</f>
        <v>0</v>
      </c>
      <c r="I265" s="83">
        <v>0</v>
      </c>
      <c r="J265" s="434">
        <f t="shared" si="74"/>
        <v>0</v>
      </c>
      <c r="K265" s="72">
        <f>SUMIF(Adat!$AE:$AE,CONCATENATE(60,N208,"058"),Adat!$E:$E)+H265</f>
        <v>0</v>
      </c>
    </row>
    <row r="266" spans="2:15" s="13" customFormat="1" ht="12.75" x14ac:dyDescent="0.2">
      <c r="B266" s="160">
        <v>12</v>
      </c>
      <c r="C266" s="154" t="s">
        <v>364</v>
      </c>
      <c r="D266" s="86" t="s">
        <v>325</v>
      </c>
      <c r="E266" s="120">
        <v>0</v>
      </c>
      <c r="F266" s="120">
        <v>0</v>
      </c>
      <c r="G266" s="120">
        <v>0</v>
      </c>
      <c r="H266" s="71">
        <f>SUMIF(Adat!$AE:$AE,CONCATENATE(61,N208,"059"),Adat!$E:$E)</f>
        <v>0</v>
      </c>
      <c r="I266" s="80">
        <v>0</v>
      </c>
      <c r="J266" s="433">
        <f t="shared" si="74"/>
        <v>0</v>
      </c>
      <c r="K266" s="71">
        <f>SUMIF(Adat!$AE:$AE,CONCATENATE(60,N208,"059"),Adat!$E:$E)+H266</f>
        <v>0</v>
      </c>
    </row>
    <row r="267" spans="2:15" s="13" customFormat="1" ht="12.75" x14ac:dyDescent="0.2">
      <c r="B267" s="160">
        <v>13</v>
      </c>
      <c r="C267" s="154" t="s">
        <v>403</v>
      </c>
      <c r="D267" s="159" t="s">
        <v>497</v>
      </c>
      <c r="E267" s="120">
        <f>E256+E262+E266</f>
        <v>169537320</v>
      </c>
      <c r="F267" s="120">
        <f>F256+F262+F266</f>
        <v>208081970</v>
      </c>
      <c r="G267" s="120">
        <f>G256+G262+G266</f>
        <v>249099527</v>
      </c>
      <c r="H267" s="121">
        <f>H256+H262+H266</f>
        <v>314979011</v>
      </c>
      <c r="I267" s="120">
        <f t="shared" ref="I267" si="79">I256+I262+I266</f>
        <v>314979011</v>
      </c>
      <c r="J267" s="438">
        <f t="shared" si="74"/>
        <v>0</v>
      </c>
      <c r="K267" s="121">
        <f>K256+K262+K266</f>
        <v>314979011</v>
      </c>
    </row>
    <row r="268" spans="2:15" s="13" customFormat="1" ht="12.75" x14ac:dyDescent="0.2"/>
    <row r="269" spans="2:15" s="13" customFormat="1" x14ac:dyDescent="0.25">
      <c r="B269" s="511" t="str">
        <f>O269</f>
        <v>Gondozási Központ</v>
      </c>
      <c r="C269" s="511"/>
      <c r="D269" s="511"/>
      <c r="E269" s="511"/>
      <c r="F269" s="511"/>
      <c r="G269" s="511"/>
      <c r="H269" s="511"/>
      <c r="I269" s="511"/>
      <c r="J269" s="511"/>
      <c r="K269" s="511"/>
      <c r="M269" s="318">
        <v>4</v>
      </c>
      <c r="N269" s="320" t="str">
        <f>VLOOKUP(M269,Info!$B$5:$D$55,3)</f>
        <v>P654449</v>
      </c>
      <c r="O269" s="321" t="str">
        <f>VLOOKUP(M269,Info!$B$5:$D$55,2)</f>
        <v>Gondozási Központ</v>
      </c>
    </row>
    <row r="270" spans="2:15" s="13" customFormat="1" x14ac:dyDescent="0.2">
      <c r="B270" s="534" t="str">
        <f>CONCATENATE(PAR!$H$3," évi költségvetés és az előző három év összevont mérlege")</f>
        <v>2025. évi költségvetés és az előző három év összevont mérlege</v>
      </c>
      <c r="C270" s="534"/>
      <c r="D270" s="534"/>
      <c r="E270" s="534"/>
      <c r="F270" s="534"/>
      <c r="G270" s="534"/>
      <c r="H270" s="534"/>
      <c r="I270" s="534"/>
      <c r="J270" s="534"/>
      <c r="K270" s="534"/>
    </row>
    <row r="271" spans="2:15" s="13" customFormat="1" ht="12.75" x14ac:dyDescent="0.2">
      <c r="B271" s="535" t="s">
        <v>337</v>
      </c>
      <c r="C271" s="535"/>
      <c r="D271" s="535"/>
      <c r="E271" s="535"/>
      <c r="F271" s="535"/>
      <c r="G271" s="535"/>
      <c r="H271" s="535"/>
      <c r="I271" s="535"/>
      <c r="J271" s="535"/>
      <c r="K271" s="535"/>
    </row>
    <row r="272" spans="2:15" s="13" customFormat="1" ht="12.75" x14ac:dyDescent="0.2">
      <c r="B272" s="40"/>
      <c r="C272" s="256"/>
      <c r="D272" s="40"/>
      <c r="E272" s="39"/>
      <c r="F272" s="40"/>
      <c r="G272" s="40"/>
      <c r="H272" s="40"/>
      <c r="I272" s="40"/>
      <c r="J272" s="40"/>
    </row>
    <row r="273" spans="2:11" s="13" customFormat="1" x14ac:dyDescent="0.2">
      <c r="B273" s="201" t="s">
        <v>1189</v>
      </c>
      <c r="C273" s="201"/>
      <c r="D273" s="201"/>
      <c r="E273" s="201"/>
      <c r="F273" s="201"/>
      <c r="G273" s="201"/>
      <c r="H273" s="201"/>
      <c r="I273" s="201"/>
      <c r="J273" s="201"/>
      <c r="K273" s="201"/>
    </row>
    <row r="274" spans="2:11" s="13" customFormat="1" ht="12.75" x14ac:dyDescent="0.2">
      <c r="B274" s="40"/>
      <c r="C274" s="256"/>
      <c r="D274" s="40"/>
      <c r="E274" s="39"/>
      <c r="F274" s="40"/>
      <c r="G274" s="40"/>
      <c r="H274" s="40"/>
      <c r="I274" s="40"/>
      <c r="J274" s="40"/>
    </row>
    <row r="275" spans="2:11" s="13" customFormat="1" ht="12.75" x14ac:dyDescent="0.2">
      <c r="B275" s="77"/>
      <c r="C275" s="77" t="s">
        <v>350</v>
      </c>
      <c r="D275" s="77" t="s">
        <v>351</v>
      </c>
      <c r="E275" s="77" t="s">
        <v>470</v>
      </c>
      <c r="F275" s="77" t="s">
        <v>471</v>
      </c>
      <c r="G275" s="77" t="s">
        <v>44</v>
      </c>
      <c r="H275" s="77" t="s">
        <v>42</v>
      </c>
      <c r="I275" s="77" t="s">
        <v>511</v>
      </c>
      <c r="J275" s="77" t="s">
        <v>512</v>
      </c>
      <c r="K275" s="77" t="s">
        <v>591</v>
      </c>
    </row>
    <row r="276" spans="2:11" s="13" customFormat="1" ht="51" x14ac:dyDescent="0.2">
      <c r="B276" s="68">
        <v>1</v>
      </c>
      <c r="C276" s="78" t="s">
        <v>348</v>
      </c>
      <c r="D276" s="78" t="s">
        <v>349</v>
      </c>
      <c r="E276" s="69" t="str">
        <f>CONCATENATE(PAR!$H$12," évi 
teljesítés")</f>
        <v>2022. évi 
teljesítés</v>
      </c>
      <c r="F276" s="69" t="str">
        <f>CONCATENATE(PAR!$H$11," évi 
teljesítés")</f>
        <v>2023. évi 
teljesítés</v>
      </c>
      <c r="G276" s="69" t="str">
        <f>CONCATENATE(PAR!$H$10," évi 
teljesítés")</f>
        <v>2024. évi 
teljesítés</v>
      </c>
      <c r="H276" s="163" t="str">
        <f>CONCATENATE(PAR!$H$3," évi
eredeti 
előirányzat - ",Index!$E$17)</f>
        <v>2025. évi
eredeti 
előirányzat - 2/2025. (II.25.)</v>
      </c>
      <c r="I276" s="163" t="str">
        <f>CONCATENATE(PAR!$H$3," évi
módosított 
előirányzat - ",Index!$E$18)</f>
        <v xml:space="preserve">2025. évi
módosított 
előirányzat - </v>
      </c>
      <c r="J276" s="163" t="s">
        <v>2686</v>
      </c>
      <c r="K276" s="163" t="str">
        <f>CONCATENATE(PAR!$H$3," évi
módosított 
előirányzat - ",Index!$E$16)</f>
        <v>2025. évi
módosított 
előirányzat - .../2025. (...)</v>
      </c>
    </row>
    <row r="277" spans="2:11" s="13" customFormat="1" ht="12.75" x14ac:dyDescent="0.2">
      <c r="B277" s="160">
        <v>2</v>
      </c>
      <c r="C277" s="79" t="s">
        <v>30</v>
      </c>
      <c r="D277" s="79" t="s">
        <v>329</v>
      </c>
      <c r="E277" s="120">
        <f>SUM(E278:E290)</f>
        <v>21790389</v>
      </c>
      <c r="F277" s="120">
        <f t="shared" ref="F277" si="80">SUM(F278:F290)</f>
        <v>37677327</v>
      </c>
      <c r="G277" s="120">
        <f>SUM(G278:G290)</f>
        <v>35548737</v>
      </c>
      <c r="H277" s="121">
        <f t="shared" ref="H277:I277" si="81">SUM(H278:H290)</f>
        <v>37441440</v>
      </c>
      <c r="I277" s="120">
        <f t="shared" si="81"/>
        <v>37441440</v>
      </c>
      <c r="J277" s="438">
        <f>K277-I277</f>
        <v>0</v>
      </c>
      <c r="K277" s="121">
        <f>SUM(K278:K290)</f>
        <v>37441440</v>
      </c>
    </row>
    <row r="278" spans="2:11" s="13" customFormat="1" ht="12.75" x14ac:dyDescent="0.2">
      <c r="B278" s="160">
        <v>3</v>
      </c>
      <c r="C278" s="305" t="s">
        <v>1309</v>
      </c>
      <c r="D278" s="82" t="s">
        <v>1356</v>
      </c>
      <c r="E278" s="165">
        <v>562450</v>
      </c>
      <c r="F278" s="165">
        <v>1112325</v>
      </c>
      <c r="G278" s="165">
        <v>1259084</v>
      </c>
      <c r="H278" s="166">
        <f>SUMIF(Adat!$AC:$AC,CONCATENATE(61,N269,"094011"),Adat!$E:$E)*-1</f>
        <v>0</v>
      </c>
      <c r="I278" s="165">
        <v>0</v>
      </c>
      <c r="J278" s="439">
        <f t="shared" ref="J278:J311" si="82">K278-I278</f>
        <v>0</v>
      </c>
      <c r="K278" s="166">
        <f>SUMIF(Adat!$AC:$AC,CONCATENATE(60,N269,"094011"),Adat!$E:$E)*-1+H278</f>
        <v>0</v>
      </c>
    </row>
    <row r="279" spans="2:11" s="13" customFormat="1" ht="12.75" x14ac:dyDescent="0.2">
      <c r="B279" s="160">
        <v>4</v>
      </c>
      <c r="C279" s="305" t="s">
        <v>1279</v>
      </c>
      <c r="D279" s="82" t="s">
        <v>1357</v>
      </c>
      <c r="E279" s="165"/>
      <c r="F279" s="165">
        <v>21678</v>
      </c>
      <c r="G279" s="165"/>
      <c r="H279" s="166">
        <f>SUMIF(Adat!$AC:$AC,CONCATENATE(61,N269,"094021"),Adat!$E:$E)*-1</f>
        <v>0</v>
      </c>
      <c r="I279" s="165">
        <v>0</v>
      </c>
      <c r="J279" s="439">
        <f t="shared" si="82"/>
        <v>0</v>
      </c>
      <c r="K279" s="166">
        <f>SUMIF(Adat!$AC:$AC,CONCATENATE(60,N269,"094021"),Adat!$E:$E)*-1+H279</f>
        <v>0</v>
      </c>
    </row>
    <row r="280" spans="2:11" s="13" customFormat="1" ht="12.75" x14ac:dyDescent="0.2">
      <c r="B280" s="160">
        <v>5</v>
      </c>
      <c r="C280" s="305" t="s">
        <v>1272</v>
      </c>
      <c r="D280" s="82" t="s">
        <v>1358</v>
      </c>
      <c r="E280" s="165"/>
      <c r="F280" s="165"/>
      <c r="G280" s="165"/>
      <c r="H280" s="166">
        <f>SUMIF(Adat!$AC:$AC,CONCATENATE(61,N269,"094031"),Adat!$E:$E)*-1</f>
        <v>0</v>
      </c>
      <c r="I280" s="165">
        <v>0</v>
      </c>
      <c r="J280" s="439">
        <f t="shared" si="82"/>
        <v>0</v>
      </c>
      <c r="K280" s="166">
        <f>SUMIF(Adat!$AC:$AC,CONCATENATE(60,N269,"094031"),Adat!$E:$E)*-1+H280</f>
        <v>0</v>
      </c>
    </row>
    <row r="281" spans="2:11" s="13" customFormat="1" ht="12.75" x14ac:dyDescent="0.2">
      <c r="B281" s="160">
        <v>6</v>
      </c>
      <c r="C281" s="305" t="s">
        <v>1359</v>
      </c>
      <c r="D281" s="82" t="s">
        <v>1360</v>
      </c>
      <c r="E281" s="165"/>
      <c r="F281" s="165"/>
      <c r="G281" s="165"/>
      <c r="H281" s="166">
        <f>SUMIF(Adat!$AC:$AC,CONCATENATE(61,N269,"094041"),Adat!$E:$E)*-1</f>
        <v>0</v>
      </c>
      <c r="I281" s="165">
        <v>0</v>
      </c>
      <c r="J281" s="439">
        <f t="shared" si="82"/>
        <v>0</v>
      </c>
      <c r="K281" s="166">
        <f>SUMIF(Adat!$AC:$AC,CONCATENATE(60,N269,"094041"),Adat!$E:$E)*-1+H281</f>
        <v>0</v>
      </c>
    </row>
    <row r="282" spans="2:11" s="13" customFormat="1" ht="12.75" x14ac:dyDescent="0.2">
      <c r="B282" s="160">
        <v>7</v>
      </c>
      <c r="C282" s="305" t="s">
        <v>1261</v>
      </c>
      <c r="D282" s="82" t="s">
        <v>1361</v>
      </c>
      <c r="E282" s="165">
        <v>19005169</v>
      </c>
      <c r="F282" s="165">
        <v>29107078</v>
      </c>
      <c r="G282" s="165">
        <v>31117088</v>
      </c>
      <c r="H282" s="166">
        <f>SUMIF(Adat!$AC:$AC,CONCATENATE(61,N269,"094051"),Adat!$E:$E)*-1</f>
        <v>34992000</v>
      </c>
      <c r="I282" s="165">
        <v>34992000</v>
      </c>
      <c r="J282" s="439">
        <f t="shared" si="82"/>
        <v>0</v>
      </c>
      <c r="K282" s="166">
        <f>SUMIF(Adat!$AC:$AC,CONCATENATE(60,N269,"094051"),Adat!$E:$E)*-1+H282</f>
        <v>34992000</v>
      </c>
    </row>
    <row r="283" spans="2:11" s="13" customFormat="1" ht="12.75" x14ac:dyDescent="0.2">
      <c r="B283" s="160">
        <v>8</v>
      </c>
      <c r="C283" s="305" t="s">
        <v>1273</v>
      </c>
      <c r="D283" s="82" t="s">
        <v>1362</v>
      </c>
      <c r="E283" s="165">
        <v>2207737</v>
      </c>
      <c r="F283" s="165">
        <v>3647855</v>
      </c>
      <c r="G283" s="165">
        <v>3063622</v>
      </c>
      <c r="H283" s="166">
        <f>SUMIF(Adat!$AC:$AC,CONCATENATE(61,N269,"094061"),Adat!$E:$E)*-1</f>
        <v>2449440</v>
      </c>
      <c r="I283" s="165">
        <v>2449440</v>
      </c>
      <c r="J283" s="439">
        <f t="shared" si="82"/>
        <v>0</v>
      </c>
      <c r="K283" s="166">
        <f>SUMIF(Adat!$AC:$AC,CONCATENATE(60,N269,"094061"),Adat!$E:$E)*-1+H283</f>
        <v>2449440</v>
      </c>
    </row>
    <row r="284" spans="2:11" s="13" customFormat="1" ht="12.75" x14ac:dyDescent="0.2">
      <c r="B284" s="160">
        <v>9</v>
      </c>
      <c r="C284" s="305" t="s">
        <v>1363</v>
      </c>
      <c r="D284" s="82" t="s">
        <v>1364</v>
      </c>
      <c r="E284" s="165"/>
      <c r="F284" s="165">
        <v>3778000</v>
      </c>
      <c r="G284" s="165"/>
      <c r="H284" s="166">
        <f>SUMIF(Adat!$AC:$AC,CONCATENATE(61,N269,"094071"),Adat!$E:$E)*-1</f>
        <v>0</v>
      </c>
      <c r="I284" s="165">
        <v>0</v>
      </c>
      <c r="J284" s="439">
        <f t="shared" si="82"/>
        <v>0</v>
      </c>
      <c r="K284" s="166">
        <f>SUMIF(Adat!$AC:$AC,CONCATENATE(60,N269,"094071"),Adat!$E:$E)*-1+H284</f>
        <v>0</v>
      </c>
    </row>
    <row r="285" spans="2:11" s="13" customFormat="1" ht="12.75" x14ac:dyDescent="0.2">
      <c r="B285" s="160">
        <v>10</v>
      </c>
      <c r="C285" s="305" t="s">
        <v>1306</v>
      </c>
      <c r="D285" s="82" t="s">
        <v>1365</v>
      </c>
      <c r="E285" s="165"/>
      <c r="F285" s="165"/>
      <c r="G285" s="165"/>
      <c r="H285" s="166">
        <f>SUMIF(Adat!$AC:$AC,CONCATENATE(61,N269,"0940811"),Adat!$E:$E)*-1</f>
        <v>0</v>
      </c>
      <c r="I285" s="165">
        <v>0</v>
      </c>
      <c r="J285" s="439">
        <f t="shared" si="82"/>
        <v>0</v>
      </c>
      <c r="K285" s="166">
        <f>SUMIF(Adat!$AC:$AC,CONCATENATE(60,N269,"0940811"),Adat!$E:$E)*-1+H285</f>
        <v>0</v>
      </c>
    </row>
    <row r="286" spans="2:11" s="13" customFormat="1" ht="12.75" x14ac:dyDescent="0.2">
      <c r="B286" s="160">
        <v>11</v>
      </c>
      <c r="C286" s="305" t="s">
        <v>1295</v>
      </c>
      <c r="D286" s="82" t="s">
        <v>1366</v>
      </c>
      <c r="E286" s="165">
        <v>1</v>
      </c>
      <c r="F286" s="165">
        <v>2</v>
      </c>
      <c r="G286" s="165">
        <v>7</v>
      </c>
      <c r="H286" s="166">
        <f>SUMIF(Adat!$AC:$AC,CONCATENATE(61,N269,"0940821"),Adat!$E:$E)*-1</f>
        <v>0</v>
      </c>
      <c r="I286" s="165">
        <v>0</v>
      </c>
      <c r="J286" s="439">
        <f t="shared" si="82"/>
        <v>0</v>
      </c>
      <c r="K286" s="166">
        <f>SUMIF(Adat!$AC:$AC,CONCATENATE(60,N269,"0940821"),Adat!$E:$E)*-1+H286</f>
        <v>0</v>
      </c>
    </row>
    <row r="287" spans="2:11" s="13" customFormat="1" ht="12.75" x14ac:dyDescent="0.2">
      <c r="B287" s="160">
        <v>12</v>
      </c>
      <c r="C287" s="305" t="s">
        <v>1367</v>
      </c>
      <c r="D287" s="82" t="s">
        <v>1368</v>
      </c>
      <c r="E287" s="165"/>
      <c r="F287" s="165"/>
      <c r="G287" s="165"/>
      <c r="H287" s="166">
        <f>SUMIF(Adat!$AC:$AC,CONCATENATE(61,N269,"0940911"),Adat!$E:$E)*-1</f>
        <v>0</v>
      </c>
      <c r="I287" s="165">
        <v>0</v>
      </c>
      <c r="J287" s="439">
        <f t="shared" si="82"/>
        <v>0</v>
      </c>
      <c r="K287" s="166">
        <f>SUMIF(Adat!$AC:$AC,CONCATENATE(60,N269,"0940911"),Adat!$E:$E)*-1+H287</f>
        <v>0</v>
      </c>
    </row>
    <row r="288" spans="2:11" s="13" customFormat="1" ht="12.75" x14ac:dyDescent="0.2">
      <c r="B288" s="160">
        <v>13</v>
      </c>
      <c r="C288" s="305" t="s">
        <v>1369</v>
      </c>
      <c r="D288" s="82" t="s">
        <v>1370</v>
      </c>
      <c r="E288" s="165"/>
      <c r="F288" s="165"/>
      <c r="G288" s="165"/>
      <c r="H288" s="166">
        <f>SUMIF(Adat!$AC:$AC,CONCATENATE(61,N269,"0940921"),Adat!$E:$E)*-1</f>
        <v>0</v>
      </c>
      <c r="I288" s="165">
        <v>0</v>
      </c>
      <c r="J288" s="439">
        <f t="shared" si="82"/>
        <v>0</v>
      </c>
      <c r="K288" s="166">
        <f>SUMIF(Adat!$AC:$AC,CONCATENATE(60,N269,"0940921"),Adat!$E:$E)*-1+H288</f>
        <v>0</v>
      </c>
    </row>
    <row r="289" spans="2:11" s="13" customFormat="1" ht="12.75" x14ac:dyDescent="0.2">
      <c r="B289" s="160">
        <v>14</v>
      </c>
      <c r="C289" s="305" t="s">
        <v>1296</v>
      </c>
      <c r="D289" s="82" t="s">
        <v>1371</v>
      </c>
      <c r="E289" s="165"/>
      <c r="F289" s="165"/>
      <c r="G289" s="165"/>
      <c r="H289" s="166">
        <f>SUMIF(Adat!$AC:$AC,CONCATENATE(61,N269,"094101"),Adat!$E:$E)*-1</f>
        <v>0</v>
      </c>
      <c r="I289" s="165">
        <v>0</v>
      </c>
      <c r="J289" s="439">
        <f t="shared" si="82"/>
        <v>0</v>
      </c>
      <c r="K289" s="166">
        <f>SUMIF(Adat!$AC:$AC,CONCATENATE(60,N269,"094101"),Adat!$E:$E)*-1+H289</f>
        <v>0</v>
      </c>
    </row>
    <row r="290" spans="2:11" s="13" customFormat="1" ht="12.75" x14ac:dyDescent="0.2">
      <c r="B290" s="160">
        <v>15</v>
      </c>
      <c r="C290" s="305" t="s">
        <v>1297</v>
      </c>
      <c r="D290" s="84" t="s">
        <v>1372</v>
      </c>
      <c r="E290" s="165">
        <v>15032</v>
      </c>
      <c r="F290" s="165">
        <v>10389</v>
      </c>
      <c r="G290" s="165">
        <v>108936</v>
      </c>
      <c r="H290" s="166">
        <f>SUMIF(Adat!$AC:$AC,CONCATENATE(61,N269,"094111"),Adat!$E:$E)*-1</f>
        <v>0</v>
      </c>
      <c r="I290" s="165">
        <v>0</v>
      </c>
      <c r="J290" s="439">
        <f t="shared" si="82"/>
        <v>0</v>
      </c>
      <c r="K290" s="166">
        <f>SUMIF(Adat!$AC:$AC,CONCATENATE(60,N269,"094111"),Adat!$E:$E)*-1+H290</f>
        <v>0</v>
      </c>
    </row>
    <row r="291" spans="2:11" s="13" customFormat="1" ht="12.75" x14ac:dyDescent="0.2">
      <c r="B291" s="160">
        <v>16</v>
      </c>
      <c r="C291" s="78" t="s">
        <v>1328</v>
      </c>
      <c r="D291" s="85" t="s">
        <v>437</v>
      </c>
      <c r="E291" s="120">
        <f>SUM(E292:E294)</f>
        <v>0</v>
      </c>
      <c r="F291" s="120">
        <f t="shared" ref="F291" si="83">SUM(F292:F294)</f>
        <v>0</v>
      </c>
      <c r="G291" s="120">
        <f>SUM(G292:G294)</f>
        <v>0</v>
      </c>
      <c r="H291" s="121">
        <f t="shared" ref="H291:I291" si="84">SUM(H292:H294)</f>
        <v>0</v>
      </c>
      <c r="I291" s="120">
        <f t="shared" si="84"/>
        <v>0</v>
      </c>
      <c r="J291" s="438">
        <f t="shared" si="82"/>
        <v>0</v>
      </c>
      <c r="K291" s="121">
        <f>SUM(K292:K294)</f>
        <v>0</v>
      </c>
    </row>
    <row r="292" spans="2:11" s="13" customFormat="1" ht="12.75" x14ac:dyDescent="0.2">
      <c r="B292" s="160">
        <v>17</v>
      </c>
      <c r="C292" s="305" t="s">
        <v>1329</v>
      </c>
      <c r="D292" s="82" t="s">
        <v>1330</v>
      </c>
      <c r="E292" s="165"/>
      <c r="F292" s="165"/>
      <c r="G292" s="165"/>
      <c r="H292" s="166">
        <f>SUMIF(Adat!$AC:$AC,CONCATENATE(61,N269,"09121"),Adat!$E:$E)*-1</f>
        <v>0</v>
      </c>
      <c r="I292" s="165">
        <v>0</v>
      </c>
      <c r="J292" s="439">
        <f t="shared" si="82"/>
        <v>0</v>
      </c>
      <c r="K292" s="166">
        <f>SUMIF(Adat!$AC:$AC,CONCATENATE(60,N269,"09121"),Adat!$E:$E)*-1+H292</f>
        <v>0</v>
      </c>
    </row>
    <row r="293" spans="2:11" s="13" customFormat="1" ht="12.75" x14ac:dyDescent="0.2">
      <c r="B293" s="160">
        <v>18</v>
      </c>
      <c r="C293" s="305" t="s">
        <v>1335</v>
      </c>
      <c r="D293" s="82" t="s">
        <v>1336</v>
      </c>
      <c r="E293" s="165"/>
      <c r="F293" s="165"/>
      <c r="G293" s="165"/>
      <c r="H293" s="166">
        <f>SUMIF(Adat!$AC:$AC,CONCATENATE(61,N269,"09151"),Adat!$E:$E)*-1</f>
        <v>0</v>
      </c>
      <c r="I293" s="165">
        <v>0</v>
      </c>
      <c r="J293" s="439">
        <f t="shared" si="82"/>
        <v>0</v>
      </c>
      <c r="K293" s="166">
        <f>SUMIF(Adat!$AC:$AC,CONCATENATE(60,N269,"09151"),Adat!$E:$E)*-1+H293</f>
        <v>0</v>
      </c>
    </row>
    <row r="294" spans="2:11" s="13" customFormat="1" ht="12.75" x14ac:dyDescent="0.2">
      <c r="B294" s="160">
        <v>19</v>
      </c>
      <c r="C294" s="305" t="s">
        <v>1278</v>
      </c>
      <c r="D294" s="82" t="s">
        <v>1337</v>
      </c>
      <c r="E294" s="165"/>
      <c r="F294" s="165"/>
      <c r="G294" s="165"/>
      <c r="H294" s="166">
        <f>SUMIF(Adat!$AC:$AC,CONCATENATE(61,N269,"09161"),Adat!$E:$E)*-1</f>
        <v>0</v>
      </c>
      <c r="I294" s="165">
        <v>0</v>
      </c>
      <c r="J294" s="439">
        <f t="shared" si="82"/>
        <v>0</v>
      </c>
      <c r="K294" s="166">
        <f>SUMIF(Adat!$AC:$AC,CONCATENATE(60,N269,"09161"),Adat!$E:$E)*-1+H294</f>
        <v>0</v>
      </c>
    </row>
    <row r="295" spans="2:11" s="13" customFormat="1" ht="12.75" x14ac:dyDescent="0.2">
      <c r="B295" s="160">
        <v>20</v>
      </c>
      <c r="C295" s="79" t="s">
        <v>27</v>
      </c>
      <c r="D295" s="79" t="s">
        <v>328</v>
      </c>
      <c r="E295" s="120">
        <v>0</v>
      </c>
      <c r="F295" s="120">
        <v>0</v>
      </c>
      <c r="G295" s="120">
        <v>0</v>
      </c>
      <c r="H295" s="71">
        <f>SUMIF(Adat!$AE:$AE,CONCATENATE(61,N269,"093"),Adat!$E:$E)*-1</f>
        <v>0</v>
      </c>
      <c r="I295" s="80">
        <v>0</v>
      </c>
      <c r="J295" s="433">
        <f t="shared" si="82"/>
        <v>0</v>
      </c>
      <c r="K295" s="71">
        <f>SUMIF(Adat!$AE:$AE,CONCATENATE(60,N269,"093"),Adat!$E:$E)*-1+H295</f>
        <v>0</v>
      </c>
    </row>
    <row r="296" spans="2:11" s="13" customFormat="1" ht="12.75" x14ac:dyDescent="0.2">
      <c r="B296" s="160">
        <v>21</v>
      </c>
      <c r="C296" s="79" t="s">
        <v>24</v>
      </c>
      <c r="D296" s="79" t="s">
        <v>449</v>
      </c>
      <c r="E296" s="120">
        <f>SUM(E297:E299)</f>
        <v>0</v>
      </c>
      <c r="F296" s="120">
        <f t="shared" ref="F296:G296" si="85">SUM(F297:F299)</f>
        <v>0</v>
      </c>
      <c r="G296" s="120">
        <f t="shared" si="85"/>
        <v>0</v>
      </c>
      <c r="H296" s="121">
        <f>SUM(H297:H299)</f>
        <v>0</v>
      </c>
      <c r="I296" s="120">
        <f>SUM(I297:I299)</f>
        <v>0</v>
      </c>
      <c r="J296" s="438">
        <f t="shared" si="82"/>
        <v>0</v>
      </c>
      <c r="K296" s="121">
        <f t="shared" ref="K296" si="86">SUM(K297:K299)</f>
        <v>0</v>
      </c>
    </row>
    <row r="297" spans="2:11" s="13" customFormat="1" ht="12.75" x14ac:dyDescent="0.2">
      <c r="B297" s="160">
        <v>22</v>
      </c>
      <c r="C297" s="305" t="s">
        <v>1339</v>
      </c>
      <c r="D297" s="82" t="s">
        <v>1340</v>
      </c>
      <c r="E297" s="165"/>
      <c r="F297" s="165"/>
      <c r="G297" s="165"/>
      <c r="H297" s="166">
        <f>SUMIF(Adat!$AC:$AC,CONCATENATE(61,N269,"09211"),Adat!$E:$E)*-1</f>
        <v>0</v>
      </c>
      <c r="I297" s="165">
        <v>0</v>
      </c>
      <c r="J297" s="439">
        <f t="shared" si="82"/>
        <v>0</v>
      </c>
      <c r="K297" s="166">
        <f>SUMIF(Adat!$AC:$AC,CONCATENATE(60,N269,"09211"),Adat!$E:$E)*-1+H297</f>
        <v>0</v>
      </c>
    </row>
    <row r="298" spans="2:11" s="13" customFormat="1" ht="12.75" x14ac:dyDescent="0.2">
      <c r="B298" s="160">
        <v>23</v>
      </c>
      <c r="C298" s="305" t="s">
        <v>1345</v>
      </c>
      <c r="D298" s="82" t="s">
        <v>1346</v>
      </c>
      <c r="E298" s="165"/>
      <c r="F298" s="165"/>
      <c r="G298" s="165"/>
      <c r="H298" s="166">
        <f>SUMIF(Adat!$AC:$AC,CONCATENATE(61,N269,"09241"),Adat!$E:$E)*-1</f>
        <v>0</v>
      </c>
      <c r="I298" s="165">
        <v>0</v>
      </c>
      <c r="J298" s="439">
        <f t="shared" si="82"/>
        <v>0</v>
      </c>
      <c r="K298" s="166">
        <f>SUMIF(Adat!$AC:$AC,CONCATENATE(60,N269,"09241"),Adat!$E:$E)*-1+H298</f>
        <v>0</v>
      </c>
    </row>
    <row r="299" spans="2:11" s="13" customFormat="1" ht="12.75" x14ac:dyDescent="0.2">
      <c r="B299" s="160">
        <v>24</v>
      </c>
      <c r="C299" s="305" t="s">
        <v>1255</v>
      </c>
      <c r="D299" s="82" t="s">
        <v>1347</v>
      </c>
      <c r="E299" s="165"/>
      <c r="F299" s="165"/>
      <c r="G299" s="165"/>
      <c r="H299" s="166">
        <f>SUMIF(Adat!$AC:$AC,CONCATENATE(61,N269,"09251"),Adat!$E:$E)*-1</f>
        <v>0</v>
      </c>
      <c r="I299" s="165">
        <v>0</v>
      </c>
      <c r="J299" s="439">
        <f t="shared" si="82"/>
        <v>0</v>
      </c>
      <c r="K299" s="166">
        <f>SUMIF(Adat!$AC:$AC,CONCATENATE(60,N269,"09251"),Adat!$E:$E)*-1+H299</f>
        <v>0</v>
      </c>
    </row>
    <row r="300" spans="2:11" s="13" customFormat="1" ht="12.75" x14ac:dyDescent="0.2">
      <c r="B300" s="160">
        <v>25</v>
      </c>
      <c r="C300" s="79" t="s">
        <v>33</v>
      </c>
      <c r="D300" s="79" t="s">
        <v>330</v>
      </c>
      <c r="E300" s="120">
        <f>SUM(E301:E303)</f>
        <v>0</v>
      </c>
      <c r="F300" s="120">
        <f t="shared" ref="F300:K300" si="87">SUM(F301:F303)</f>
        <v>0</v>
      </c>
      <c r="G300" s="120">
        <f t="shared" si="87"/>
        <v>0</v>
      </c>
      <c r="H300" s="121">
        <f t="shared" si="87"/>
        <v>0</v>
      </c>
      <c r="I300" s="120">
        <f t="shared" si="87"/>
        <v>0</v>
      </c>
      <c r="J300" s="438">
        <f t="shared" si="82"/>
        <v>0</v>
      </c>
      <c r="K300" s="121">
        <f t="shared" si="87"/>
        <v>0</v>
      </c>
    </row>
    <row r="301" spans="2:11" s="13" customFormat="1" ht="12.75" x14ac:dyDescent="0.2">
      <c r="B301" s="160">
        <v>26</v>
      </c>
      <c r="C301" s="305" t="s">
        <v>1373</v>
      </c>
      <c r="D301" s="82" t="s">
        <v>1374</v>
      </c>
      <c r="E301" s="165"/>
      <c r="F301" s="165"/>
      <c r="G301" s="165"/>
      <c r="H301" s="166">
        <f>SUMIF(Adat!$AC:$AC,CONCATENATE(61,N269,"09511"),Adat!$E:$E)*-1</f>
        <v>0</v>
      </c>
      <c r="I301" s="165">
        <v>0</v>
      </c>
      <c r="J301" s="439">
        <f t="shared" si="82"/>
        <v>0</v>
      </c>
      <c r="K301" s="166">
        <f>SUMIF(Adat!$AC:$AC,CONCATENATE(60,N269,"09511"),Adat!$E:$E)*-1+H301</f>
        <v>0</v>
      </c>
    </row>
    <row r="302" spans="2:11" s="13" customFormat="1" ht="12.75" x14ac:dyDescent="0.2">
      <c r="B302" s="160">
        <v>27</v>
      </c>
      <c r="C302" s="305" t="s">
        <v>1294</v>
      </c>
      <c r="D302" s="82" t="s">
        <v>1375</v>
      </c>
      <c r="E302" s="165"/>
      <c r="F302" s="165"/>
      <c r="G302" s="165"/>
      <c r="H302" s="166">
        <f>SUMIF(Adat!$AC:$AC,CONCATENATE(61,N269,"09521"),Adat!$E:$E)*-1</f>
        <v>0</v>
      </c>
      <c r="I302" s="165">
        <v>0</v>
      </c>
      <c r="J302" s="439">
        <f t="shared" si="82"/>
        <v>0</v>
      </c>
      <c r="K302" s="166">
        <f>SUMIF(Adat!$AC:$AC,CONCATENATE(60,N269,"09521"),Adat!$E:$E)*-1+H302</f>
        <v>0</v>
      </c>
    </row>
    <row r="303" spans="2:11" s="13" customFormat="1" ht="12.75" x14ac:dyDescent="0.2">
      <c r="B303" s="160">
        <v>28</v>
      </c>
      <c r="C303" s="305" t="s">
        <v>1376</v>
      </c>
      <c r="D303" s="82" t="s">
        <v>1377</v>
      </c>
      <c r="E303" s="165"/>
      <c r="F303" s="165"/>
      <c r="G303" s="165"/>
      <c r="H303" s="166">
        <f>SUMIF(Adat!$AC:$AC,CONCATENATE(61,N269,"09531"),Adat!$E:$E)*-1</f>
        <v>0</v>
      </c>
      <c r="I303" s="165">
        <v>0</v>
      </c>
      <c r="J303" s="439">
        <f t="shared" si="82"/>
        <v>0</v>
      </c>
      <c r="K303" s="166">
        <f>SUMIF(Adat!$AC:$AC,CONCATENATE(60,N269,"09531"),Adat!$E:$E)*-1+H303</f>
        <v>0</v>
      </c>
    </row>
    <row r="304" spans="2:11" s="13" customFormat="1" ht="12.75" x14ac:dyDescent="0.2">
      <c r="B304" s="160">
        <v>29</v>
      </c>
      <c r="C304" s="79" t="s">
        <v>36</v>
      </c>
      <c r="D304" s="79" t="s">
        <v>331</v>
      </c>
      <c r="E304" s="120">
        <v>0</v>
      </c>
      <c r="F304" s="120">
        <v>0</v>
      </c>
      <c r="G304" s="120">
        <v>0</v>
      </c>
      <c r="H304" s="71">
        <f>SUMIF(Adat!$AE:$AE,CONCATENATE(61,N269,"096"),Adat!$E:$E)*-1</f>
        <v>0</v>
      </c>
      <c r="I304" s="80">
        <v>0</v>
      </c>
      <c r="J304" s="433">
        <f t="shared" si="82"/>
        <v>0</v>
      </c>
      <c r="K304" s="71">
        <f>SUMIF(Adat!$AE:$AE,CONCATENATE(60,N269,"096"),Adat!$E:$E)*-1+H304</f>
        <v>0</v>
      </c>
    </row>
    <row r="305" spans="2:11" s="13" customFormat="1" ht="12.75" x14ac:dyDescent="0.2">
      <c r="B305" s="160">
        <v>30</v>
      </c>
      <c r="C305" s="79" t="s">
        <v>38</v>
      </c>
      <c r="D305" s="85" t="s">
        <v>332</v>
      </c>
      <c r="E305" s="120">
        <v>0</v>
      </c>
      <c r="F305" s="120">
        <v>0</v>
      </c>
      <c r="G305" s="120">
        <v>0</v>
      </c>
      <c r="H305" s="71">
        <f>SUMIF(Adat!$AE:$AE,CONCATENATE(61,N269,"097"),Adat!$E:$E)*-1</f>
        <v>0</v>
      </c>
      <c r="I305" s="80">
        <v>0</v>
      </c>
      <c r="J305" s="433">
        <f t="shared" si="82"/>
        <v>0</v>
      </c>
      <c r="K305" s="71">
        <f>SUMIF(Adat!$AE:$AE,CONCATENATE(60,N269,"097"),Adat!$E:$E)*-1+H305</f>
        <v>0</v>
      </c>
    </row>
    <row r="306" spans="2:11" s="13" customFormat="1" ht="12.75" x14ac:dyDescent="0.2">
      <c r="B306" s="160">
        <v>31</v>
      </c>
      <c r="C306" s="154" t="s">
        <v>352</v>
      </c>
      <c r="D306" s="86" t="s">
        <v>1500</v>
      </c>
      <c r="E306" s="120">
        <f>E277+E291+E295+E296+E300+E304+E305</f>
        <v>21790389</v>
      </c>
      <c r="F306" s="120">
        <f>F277+F291+F295+F296+F300+F304+F305</f>
        <v>37677327</v>
      </c>
      <c r="G306" s="120">
        <f>G277+G291+G295+G296+G300+G304+G305</f>
        <v>35548737</v>
      </c>
      <c r="H306" s="121">
        <f>H277+H291+H295+H296+H300+H304+H305</f>
        <v>37441440</v>
      </c>
      <c r="I306" s="120">
        <f t="shared" ref="I306" si="88">I277+I291+I295+I296+I300+I304+I305</f>
        <v>37441440</v>
      </c>
      <c r="J306" s="438">
        <f t="shared" si="82"/>
        <v>0</v>
      </c>
      <c r="K306" s="121">
        <f>K277+K291+K295+K296+K300+K304+K305</f>
        <v>37441440</v>
      </c>
    </row>
    <row r="307" spans="2:11" s="13" customFormat="1" ht="12.75" x14ac:dyDescent="0.2">
      <c r="B307" s="160">
        <v>32</v>
      </c>
      <c r="C307" s="154" t="s">
        <v>358</v>
      </c>
      <c r="D307" s="86" t="s">
        <v>333</v>
      </c>
      <c r="E307" s="120">
        <f>SUM(E308:E310)</f>
        <v>80650839</v>
      </c>
      <c r="F307" s="120">
        <f t="shared" ref="F307" si="89">SUM(F308:F310)</f>
        <v>70507288</v>
      </c>
      <c r="G307" s="120">
        <f>SUM(G308:G310)</f>
        <v>82087237</v>
      </c>
      <c r="H307" s="121">
        <f t="shared" ref="H307:K307" si="90">SUM(H308:H310)</f>
        <v>91417281</v>
      </c>
      <c r="I307" s="120">
        <f t="shared" ref="I307" si="91">SUM(I308:I310)</f>
        <v>91417281</v>
      </c>
      <c r="J307" s="438">
        <f t="shared" si="82"/>
        <v>0</v>
      </c>
      <c r="K307" s="121">
        <f t="shared" si="90"/>
        <v>91417281</v>
      </c>
    </row>
    <row r="308" spans="2:11" s="13" customFormat="1" ht="12.75" x14ac:dyDescent="0.2">
      <c r="B308" s="160">
        <v>33</v>
      </c>
      <c r="C308" s="305" t="s">
        <v>1274</v>
      </c>
      <c r="D308" s="82" t="s">
        <v>1419</v>
      </c>
      <c r="E308" s="165">
        <v>6692974</v>
      </c>
      <c r="F308" s="165">
        <v>2515007</v>
      </c>
      <c r="G308" s="165">
        <v>596751</v>
      </c>
      <c r="H308" s="166">
        <f>SUMIF(Adat!$AC:$AC,CONCATENATE(61,N269,"0981311"),Adat!$E:$E)*-1</f>
        <v>2732096</v>
      </c>
      <c r="I308" s="165">
        <v>2732096</v>
      </c>
      <c r="J308" s="439">
        <f t="shared" si="82"/>
        <v>0</v>
      </c>
      <c r="K308" s="166">
        <f>SUMIF(Adat!$AC:$AC,CONCATENATE(60,N269,"0981311"),Adat!$E:$E)*-1+H308</f>
        <v>2732096</v>
      </c>
    </row>
    <row r="309" spans="2:11" s="13" customFormat="1" ht="12.75" x14ac:dyDescent="0.2">
      <c r="B309" s="160">
        <v>34</v>
      </c>
      <c r="C309" s="305" t="s">
        <v>1420</v>
      </c>
      <c r="D309" s="84" t="s">
        <v>1421</v>
      </c>
      <c r="E309" s="165">
        <v>0</v>
      </c>
      <c r="F309" s="165">
        <v>0</v>
      </c>
      <c r="G309" s="165"/>
      <c r="H309" s="166">
        <f>SUMIF(Adat!$AC:$AC,CONCATENATE(61,N269,"0981321"),Adat!$E:$E)*-1</f>
        <v>0</v>
      </c>
      <c r="I309" s="165">
        <v>0</v>
      </c>
      <c r="J309" s="439">
        <f t="shared" si="82"/>
        <v>0</v>
      </c>
      <c r="K309" s="166">
        <f>SUMIF(Adat!$AC:$AC,CONCATENATE(60,N269,"0981321"),Adat!$E:$E)*-1+H309</f>
        <v>0</v>
      </c>
    </row>
    <row r="310" spans="2:11" s="13" customFormat="1" ht="12.75" x14ac:dyDescent="0.2">
      <c r="B310" s="160">
        <v>35</v>
      </c>
      <c r="C310" s="319" t="s">
        <v>1275</v>
      </c>
      <c r="D310" s="84" t="s">
        <v>1501</v>
      </c>
      <c r="E310" s="165">
        <v>73957865</v>
      </c>
      <c r="F310" s="165">
        <v>67992281</v>
      </c>
      <c r="G310" s="165">
        <v>81490486</v>
      </c>
      <c r="H310" s="166">
        <f>SUMIF(Adat!$AC:$AC,CONCATENATE(61,N269,"098161"),Adat!$E:$E)*-1</f>
        <v>88685185</v>
      </c>
      <c r="I310" s="165">
        <v>88685185</v>
      </c>
      <c r="J310" s="439">
        <f t="shared" si="82"/>
        <v>0</v>
      </c>
      <c r="K310" s="166">
        <f>SUMIF(Adat!$AC:$AC,CONCATENATE(60,N269,"098161"),Adat!$E:$E)*-1+H310</f>
        <v>88685185</v>
      </c>
    </row>
    <row r="311" spans="2:11" s="13" customFormat="1" ht="12.75" x14ac:dyDescent="0.2">
      <c r="B311" s="160">
        <v>36</v>
      </c>
      <c r="C311" s="154" t="s">
        <v>364</v>
      </c>
      <c r="D311" s="159" t="s">
        <v>1502</v>
      </c>
      <c r="E311" s="120">
        <f>E306+E307</f>
        <v>102441228</v>
      </c>
      <c r="F311" s="120">
        <f t="shared" ref="F311:G311" si="92">F306+F307</f>
        <v>108184615</v>
      </c>
      <c r="G311" s="120">
        <f t="shared" si="92"/>
        <v>117635974</v>
      </c>
      <c r="H311" s="121">
        <f>H306+H307</f>
        <v>128858721</v>
      </c>
      <c r="I311" s="120">
        <f t="shared" ref="I311" si="93">I306+I307</f>
        <v>128858721</v>
      </c>
      <c r="J311" s="438">
        <f t="shared" si="82"/>
        <v>0</v>
      </c>
      <c r="K311" s="121">
        <f>K306+K307</f>
        <v>128858721</v>
      </c>
    </row>
    <row r="312" spans="2:11" s="13" customFormat="1" ht="12.75" x14ac:dyDescent="0.2">
      <c r="B312" s="40"/>
      <c r="C312" s="256"/>
      <c r="D312" s="40"/>
      <c r="H312" s="39"/>
      <c r="I312" s="39"/>
      <c r="J312" s="39"/>
    </row>
    <row r="313" spans="2:11" s="13" customFormat="1" x14ac:dyDescent="0.2">
      <c r="B313" s="202" t="s">
        <v>1190</v>
      </c>
      <c r="C313" s="260"/>
      <c r="D313" s="260"/>
      <c r="H313" s="260"/>
      <c r="I313" s="260"/>
      <c r="J313" s="260"/>
    </row>
    <row r="314" spans="2:11" s="13" customFormat="1" ht="12.75" x14ac:dyDescent="0.2">
      <c r="B314" s="40"/>
      <c r="C314" s="256"/>
      <c r="D314" s="40"/>
      <c r="H314" s="39"/>
      <c r="I314" s="39"/>
      <c r="J314" s="39"/>
    </row>
    <row r="315" spans="2:11" s="13" customFormat="1" ht="12.75" x14ac:dyDescent="0.2">
      <c r="B315" s="77"/>
      <c r="C315" s="77" t="s">
        <v>350</v>
      </c>
      <c r="D315" s="77" t="s">
        <v>351</v>
      </c>
      <c r="E315" s="77" t="s">
        <v>470</v>
      </c>
      <c r="F315" s="77" t="s">
        <v>471</v>
      </c>
      <c r="G315" s="77" t="s">
        <v>44</v>
      </c>
      <c r="H315" s="77" t="s">
        <v>42</v>
      </c>
      <c r="I315" s="77" t="s">
        <v>511</v>
      </c>
      <c r="J315" s="77" t="s">
        <v>512</v>
      </c>
      <c r="K315" s="77" t="s">
        <v>591</v>
      </c>
    </row>
    <row r="316" spans="2:11" s="13" customFormat="1" ht="51" x14ac:dyDescent="0.2">
      <c r="B316" s="68">
        <v>1</v>
      </c>
      <c r="C316" s="78" t="s">
        <v>348</v>
      </c>
      <c r="D316" s="78" t="s">
        <v>349</v>
      </c>
      <c r="E316" s="69" t="str">
        <f>CONCATENATE(PAR!$H$12," évi 
teljesítés")</f>
        <v>2022. évi 
teljesítés</v>
      </c>
      <c r="F316" s="69" t="str">
        <f>CONCATENATE(PAR!$H$11," évi 
teljesítés")</f>
        <v>2023. évi 
teljesítés</v>
      </c>
      <c r="G316" s="69" t="str">
        <f>CONCATENATE(PAR!$H$10," évi 
teljesítés")</f>
        <v>2024. évi 
teljesítés</v>
      </c>
      <c r="H316" s="163" t="str">
        <f>CONCATENATE(PAR!$H$3," évi
eredeti 
előirányzat - ",Index!$E$17)</f>
        <v>2025. évi
eredeti 
előirányzat - 2/2025. (II.25.)</v>
      </c>
      <c r="I316" s="163" t="str">
        <f>CONCATENATE(PAR!$H$3," évi
módosított 
előirányzat - ",Index!$E$18)</f>
        <v xml:space="preserve">2025. évi
módosított 
előirányzat - </v>
      </c>
      <c r="J316" s="163" t="s">
        <v>2686</v>
      </c>
      <c r="K316" s="163" t="str">
        <f>CONCATENATE(PAR!$H$3," évi
módosított 
előirányzat - ",Index!$E$16)</f>
        <v>2025. évi
módosított 
előirányzat - .../2025. (...)</v>
      </c>
    </row>
    <row r="317" spans="2:11" s="13" customFormat="1" ht="12.75" x14ac:dyDescent="0.2">
      <c r="B317" s="160">
        <v>2</v>
      </c>
      <c r="C317" s="78" t="s">
        <v>352</v>
      </c>
      <c r="D317" s="92" t="s">
        <v>1444</v>
      </c>
      <c r="E317" s="120">
        <f>SUM(E318:E322)</f>
        <v>99406906</v>
      </c>
      <c r="F317" s="120">
        <f>SUM(F318:F322)</f>
        <v>106996979</v>
      </c>
      <c r="G317" s="120">
        <f>SUM(G318:G322)</f>
        <v>114672312</v>
      </c>
      <c r="H317" s="121">
        <f>SUM(H318:H322)</f>
        <v>127969721</v>
      </c>
      <c r="I317" s="120">
        <f t="shared" ref="I317" si="94">SUM(I318:I322)</f>
        <v>127969721</v>
      </c>
      <c r="J317" s="438">
        <f>K317-I317</f>
        <v>0</v>
      </c>
      <c r="K317" s="121">
        <f t="shared" ref="K317" si="95">SUM(K318:K322)</f>
        <v>127969721</v>
      </c>
    </row>
    <row r="318" spans="2:11" s="13" customFormat="1" ht="12.75" x14ac:dyDescent="0.2">
      <c r="B318" s="160">
        <v>3</v>
      </c>
      <c r="C318" s="305" t="s">
        <v>315</v>
      </c>
      <c r="D318" s="93" t="s">
        <v>342</v>
      </c>
      <c r="E318" s="165">
        <v>58359633</v>
      </c>
      <c r="F318" s="165">
        <v>60632519</v>
      </c>
      <c r="G318" s="285">
        <v>72991233</v>
      </c>
      <c r="H318" s="72">
        <f>SUMIF(Adat!$AE:$AE,CONCATENATE(61,N269,"051"),Adat!$E:$E)</f>
        <v>79055342</v>
      </c>
      <c r="I318" s="83">
        <v>79055342</v>
      </c>
      <c r="J318" s="434">
        <f t="shared" ref="J318:J328" si="96">K318-I318</f>
        <v>2582</v>
      </c>
      <c r="K318" s="72">
        <f>SUMIF(Adat!$AE:$AE,CONCATENATE(60,N269,"051"),Adat!$E:$E)+H318</f>
        <v>79057924</v>
      </c>
    </row>
    <row r="319" spans="2:11" s="13" customFormat="1" ht="12.75" x14ac:dyDescent="0.2">
      <c r="B319" s="160">
        <v>4</v>
      </c>
      <c r="C319" s="305" t="s">
        <v>317</v>
      </c>
      <c r="D319" s="93" t="s">
        <v>395</v>
      </c>
      <c r="E319" s="165">
        <v>8087252</v>
      </c>
      <c r="F319" s="165">
        <v>8184472</v>
      </c>
      <c r="G319" s="285">
        <v>8889294</v>
      </c>
      <c r="H319" s="72">
        <f>SUMIF(Adat!$AE:$AE,CONCATENATE(61,N269,"052"),Adat!$E:$E)</f>
        <v>10124551</v>
      </c>
      <c r="I319" s="83">
        <v>10124551</v>
      </c>
      <c r="J319" s="434">
        <f t="shared" si="96"/>
        <v>0</v>
      </c>
      <c r="K319" s="72">
        <f>SUMIF(Adat!$AE:$AE,CONCATENATE(60,N269,"052"),Adat!$E:$E)+H319</f>
        <v>10124551</v>
      </c>
    </row>
    <row r="320" spans="2:11" s="13" customFormat="1" ht="12.75" x14ac:dyDescent="0.2">
      <c r="B320" s="160">
        <v>5</v>
      </c>
      <c r="C320" s="305" t="s">
        <v>4</v>
      </c>
      <c r="D320" s="93" t="s">
        <v>344</v>
      </c>
      <c r="E320" s="165">
        <v>32960021</v>
      </c>
      <c r="F320" s="165">
        <v>38179988</v>
      </c>
      <c r="G320" s="285">
        <v>32791785</v>
      </c>
      <c r="H320" s="72">
        <f>SUMIF(Adat!$AE:$AE,CONCATENATE(61,N269,"053"),Adat!$E:$E)</f>
        <v>38789828</v>
      </c>
      <c r="I320" s="83">
        <v>38789828</v>
      </c>
      <c r="J320" s="434">
        <f t="shared" si="96"/>
        <v>-2582</v>
      </c>
      <c r="K320" s="72">
        <f>SUMIF(Adat!$AE:$AE,CONCATENATE(60,N269,"053"),Adat!$E:$E)+H320</f>
        <v>38787246</v>
      </c>
    </row>
    <row r="321" spans="2:15" s="13" customFormat="1" ht="12.75" x14ac:dyDescent="0.2">
      <c r="B321" s="160">
        <v>6</v>
      </c>
      <c r="C321" s="305" t="s">
        <v>6</v>
      </c>
      <c r="D321" s="93" t="s">
        <v>345</v>
      </c>
      <c r="E321" s="165"/>
      <c r="F321" s="165"/>
      <c r="G321" s="285"/>
      <c r="H321" s="72">
        <f>SUMIF(Adat!$AE:$AE,CONCATENATE(61,N269,"054"),Adat!$E:$E)</f>
        <v>0</v>
      </c>
      <c r="I321" s="83">
        <v>0</v>
      </c>
      <c r="J321" s="434">
        <f t="shared" si="96"/>
        <v>0</v>
      </c>
      <c r="K321" s="72">
        <f>SUMIF(Adat!$AE:$AE,CONCATENATE(60,N269,"054"),Adat!$E:$E)+H321</f>
        <v>0</v>
      </c>
    </row>
    <row r="322" spans="2:15" s="13" customFormat="1" ht="12.75" x14ac:dyDescent="0.2">
      <c r="B322" s="160">
        <v>7</v>
      </c>
      <c r="C322" s="305" t="s">
        <v>8</v>
      </c>
      <c r="D322" s="93" t="s">
        <v>321</v>
      </c>
      <c r="E322" s="165"/>
      <c r="F322" s="165"/>
      <c r="G322" s="285"/>
      <c r="H322" s="72">
        <f>SUMIF(Adat!$AE:$AE,CONCATENATE(61,N269,"055"),Adat!$E:$E)</f>
        <v>0</v>
      </c>
      <c r="I322" s="83">
        <v>0</v>
      </c>
      <c r="J322" s="434">
        <f t="shared" si="96"/>
        <v>0</v>
      </c>
      <c r="K322" s="72">
        <f>SUMIF(Adat!$AE:$AE,CONCATENATE(60,N269,"055"),Adat!$E:$E)+H322</f>
        <v>0</v>
      </c>
    </row>
    <row r="323" spans="2:15" s="13" customFormat="1" ht="12.75" x14ac:dyDescent="0.2">
      <c r="B323" s="160">
        <v>8</v>
      </c>
      <c r="C323" s="78" t="s">
        <v>358</v>
      </c>
      <c r="D323" s="92" t="s">
        <v>1447</v>
      </c>
      <c r="E323" s="120">
        <f>SUM(E324:E326)</f>
        <v>550910</v>
      </c>
      <c r="F323" s="120">
        <f t="shared" ref="F323" si="97">SUM(F324:F326)</f>
        <v>328428</v>
      </c>
      <c r="G323" s="120">
        <f t="shared" ref="G323" si="98">SUM(G324:G326)</f>
        <v>531566</v>
      </c>
      <c r="H323" s="121">
        <f t="shared" ref="H323:I323" si="99">SUM(H324:H326)</f>
        <v>889000</v>
      </c>
      <c r="I323" s="120">
        <f t="shared" si="99"/>
        <v>889000</v>
      </c>
      <c r="J323" s="438">
        <f t="shared" si="96"/>
        <v>0</v>
      </c>
      <c r="K323" s="121">
        <f t="shared" ref="K323" si="100">SUM(K324:K326)</f>
        <v>889000</v>
      </c>
    </row>
    <row r="324" spans="2:15" s="13" customFormat="1" ht="12.75" x14ac:dyDescent="0.2">
      <c r="B324" s="160">
        <v>9</v>
      </c>
      <c r="C324" s="305" t="s">
        <v>10</v>
      </c>
      <c r="D324" s="93" t="s">
        <v>322</v>
      </c>
      <c r="E324" s="165">
        <v>550910</v>
      </c>
      <c r="F324" s="165">
        <v>328428</v>
      </c>
      <c r="G324" s="285">
        <v>531566</v>
      </c>
      <c r="H324" s="72">
        <f>SUMIF(Adat!$AE:$AE,CONCATENATE(61,N269,"056"),Adat!$E:$E)</f>
        <v>889000</v>
      </c>
      <c r="I324" s="83">
        <v>889000</v>
      </c>
      <c r="J324" s="434">
        <f t="shared" si="96"/>
        <v>0</v>
      </c>
      <c r="K324" s="72">
        <f>SUMIF(Adat!$AE:$AE,CONCATENATE(60,N269,"056"),Adat!$E:$E)+H324</f>
        <v>889000</v>
      </c>
    </row>
    <row r="325" spans="2:15" s="13" customFormat="1" ht="12.75" x14ac:dyDescent="0.2">
      <c r="B325" s="160">
        <v>10</v>
      </c>
      <c r="C325" s="305" t="s">
        <v>12</v>
      </c>
      <c r="D325" s="93" t="s">
        <v>323</v>
      </c>
      <c r="E325" s="165"/>
      <c r="F325" s="165"/>
      <c r="G325" s="165"/>
      <c r="H325" s="72">
        <f>SUMIF(Adat!$AE:$AE,CONCATENATE(61,N269,"057"),Adat!$E:$E)</f>
        <v>0</v>
      </c>
      <c r="I325" s="83">
        <v>0</v>
      </c>
      <c r="J325" s="434">
        <f t="shared" si="96"/>
        <v>0</v>
      </c>
      <c r="K325" s="72">
        <f>SUMIF(Adat!$AE:$AE,CONCATENATE(60,N269,"057"),Adat!$E:$E)+H325</f>
        <v>0</v>
      </c>
    </row>
    <row r="326" spans="2:15" s="13" customFormat="1" ht="12.75" x14ac:dyDescent="0.2">
      <c r="B326" s="160">
        <v>11</v>
      </c>
      <c r="C326" s="305" t="s">
        <v>15</v>
      </c>
      <c r="D326" s="84" t="s">
        <v>324</v>
      </c>
      <c r="E326" s="165"/>
      <c r="F326" s="165"/>
      <c r="G326" s="165"/>
      <c r="H326" s="72">
        <f>SUMIF(Adat!$AE:$AE,CONCATENATE(61,N269,"058"),Adat!$E:$E)</f>
        <v>0</v>
      </c>
      <c r="I326" s="83">
        <v>0</v>
      </c>
      <c r="J326" s="434">
        <f t="shared" si="96"/>
        <v>0</v>
      </c>
      <c r="K326" s="72">
        <f>SUMIF(Adat!$AE:$AE,CONCATENATE(60,N269,"058"),Adat!$E:$E)+H326</f>
        <v>0</v>
      </c>
    </row>
    <row r="327" spans="2:15" s="13" customFormat="1" ht="12.75" x14ac:dyDescent="0.2">
      <c r="B327" s="160">
        <v>12</v>
      </c>
      <c r="C327" s="154" t="s">
        <v>364</v>
      </c>
      <c r="D327" s="86" t="s">
        <v>325</v>
      </c>
      <c r="E327" s="120">
        <v>0</v>
      </c>
      <c r="F327" s="120">
        <v>0</v>
      </c>
      <c r="G327" s="120">
        <v>0</v>
      </c>
      <c r="H327" s="71">
        <f>SUMIF(Adat!$AE:$AE,CONCATENATE(61,N269,"059"),Adat!$E:$E)</f>
        <v>0</v>
      </c>
      <c r="I327" s="80">
        <v>0</v>
      </c>
      <c r="J327" s="433">
        <f t="shared" si="96"/>
        <v>0</v>
      </c>
      <c r="K327" s="71">
        <f>SUMIF(Adat!$AE:$AE,CONCATENATE(60,N269,"059"),Adat!$E:$E)+H327</f>
        <v>0</v>
      </c>
    </row>
    <row r="328" spans="2:15" s="13" customFormat="1" ht="12.75" x14ac:dyDescent="0.2">
      <c r="B328" s="160">
        <v>13</v>
      </c>
      <c r="C328" s="154" t="s">
        <v>403</v>
      </c>
      <c r="D328" s="159" t="s">
        <v>497</v>
      </c>
      <c r="E328" s="120">
        <f>E317+E323+E327</f>
        <v>99957816</v>
      </c>
      <c r="F328" s="120">
        <f>F317+F323+F327</f>
        <v>107325407</v>
      </c>
      <c r="G328" s="120">
        <f>G317+G323+G327</f>
        <v>115203878</v>
      </c>
      <c r="H328" s="121">
        <f>H317+H323+H327</f>
        <v>128858721</v>
      </c>
      <c r="I328" s="120">
        <f t="shared" ref="I328" si="101">I317+I323+I327</f>
        <v>128858721</v>
      </c>
      <c r="J328" s="438">
        <f t="shared" si="96"/>
        <v>0</v>
      </c>
      <c r="K328" s="121">
        <f>K317+K323+K327</f>
        <v>128858721</v>
      </c>
    </row>
    <row r="329" spans="2:15" s="13" customFormat="1" ht="12.75" x14ac:dyDescent="0.2"/>
    <row r="330" spans="2:15" s="13" customFormat="1" x14ac:dyDescent="0.25">
      <c r="B330" s="511" t="str">
        <f>O330</f>
        <v>Nagymaros Városi Könyvtár és Művelődési Ház</v>
      </c>
      <c r="C330" s="511"/>
      <c r="D330" s="511"/>
      <c r="E330" s="511"/>
      <c r="F330" s="511"/>
      <c r="G330" s="511"/>
      <c r="H330" s="511"/>
      <c r="I330" s="511"/>
      <c r="J330" s="511"/>
      <c r="K330" s="511"/>
      <c r="M330" s="318">
        <v>5</v>
      </c>
      <c r="N330" s="320" t="str">
        <f>VLOOKUP(M330,Info!$B$5:$D$55,3)</f>
        <v>P654472</v>
      </c>
      <c r="O330" s="321" t="str">
        <f>VLOOKUP(M330,Info!$B$5:$D$55,2)</f>
        <v>Nagymaros Városi Könyvtár és Művelődési Ház</v>
      </c>
    </row>
    <row r="331" spans="2:15" s="13" customFormat="1" x14ac:dyDescent="0.2">
      <c r="B331" s="534" t="str">
        <f>CONCATENATE(PAR!$H$3," évi költségvetés és az előző három év összevont mérlege")</f>
        <v>2025. évi költségvetés és az előző három év összevont mérlege</v>
      </c>
      <c r="C331" s="534"/>
      <c r="D331" s="534"/>
      <c r="E331" s="534"/>
      <c r="F331" s="534"/>
      <c r="G331" s="534"/>
      <c r="H331" s="534"/>
      <c r="I331" s="534"/>
      <c r="J331" s="534"/>
      <c r="K331" s="534"/>
    </row>
    <row r="332" spans="2:15" s="13" customFormat="1" ht="12.75" x14ac:dyDescent="0.2">
      <c r="B332" s="535" t="s">
        <v>337</v>
      </c>
      <c r="C332" s="535"/>
      <c r="D332" s="535"/>
      <c r="E332" s="535"/>
      <c r="F332" s="535"/>
      <c r="G332" s="535"/>
      <c r="H332" s="535"/>
      <c r="I332" s="535"/>
      <c r="J332" s="535"/>
      <c r="K332" s="535"/>
    </row>
    <row r="333" spans="2:15" s="13" customFormat="1" ht="12.75" x14ac:dyDescent="0.2">
      <c r="B333" s="40"/>
      <c r="C333" s="256"/>
      <c r="D333" s="40"/>
      <c r="E333" s="39"/>
      <c r="F333" s="40"/>
      <c r="G333" s="40"/>
      <c r="H333" s="40"/>
      <c r="I333" s="40"/>
      <c r="J333" s="40"/>
    </row>
    <row r="334" spans="2:15" s="13" customFormat="1" x14ac:dyDescent="0.2">
      <c r="B334" s="201" t="s">
        <v>1503</v>
      </c>
      <c r="C334" s="201"/>
      <c r="D334" s="201"/>
      <c r="E334" s="201"/>
      <c r="F334" s="201"/>
      <c r="G334" s="201"/>
      <c r="H334" s="201"/>
      <c r="I334" s="201"/>
      <c r="J334" s="201"/>
      <c r="K334" s="201"/>
    </row>
    <row r="335" spans="2:15" s="13" customFormat="1" ht="12.75" x14ac:dyDescent="0.2">
      <c r="B335" s="40"/>
      <c r="C335" s="256"/>
      <c r="D335" s="40"/>
      <c r="E335" s="39"/>
      <c r="F335" s="40"/>
      <c r="G335" s="40"/>
      <c r="H335" s="40"/>
      <c r="I335" s="40"/>
      <c r="J335" s="40"/>
    </row>
    <row r="336" spans="2:15" s="13" customFormat="1" ht="12.75" x14ac:dyDescent="0.2">
      <c r="B336" s="77"/>
      <c r="C336" s="77" t="s">
        <v>350</v>
      </c>
      <c r="D336" s="77" t="s">
        <v>351</v>
      </c>
      <c r="E336" s="77" t="s">
        <v>470</v>
      </c>
      <c r="F336" s="77" t="s">
        <v>471</v>
      </c>
      <c r="G336" s="77" t="s">
        <v>44</v>
      </c>
      <c r="H336" s="77" t="s">
        <v>42</v>
      </c>
      <c r="I336" s="77" t="s">
        <v>511</v>
      </c>
      <c r="J336" s="77" t="s">
        <v>512</v>
      </c>
      <c r="K336" s="77" t="s">
        <v>591</v>
      </c>
    </row>
    <row r="337" spans="2:11" s="13" customFormat="1" ht="51" x14ac:dyDescent="0.2">
      <c r="B337" s="68">
        <v>1</v>
      </c>
      <c r="C337" s="78" t="s">
        <v>348</v>
      </c>
      <c r="D337" s="78" t="s">
        <v>349</v>
      </c>
      <c r="E337" s="69" t="str">
        <f>CONCATENATE(PAR!$H$12," évi 
teljesítés")</f>
        <v>2022. évi 
teljesítés</v>
      </c>
      <c r="F337" s="69" t="str">
        <f>CONCATENATE(PAR!$H$11," évi 
teljesítés")</f>
        <v>2023. évi 
teljesítés</v>
      </c>
      <c r="G337" s="69" t="str">
        <f>CONCATENATE(PAR!$H$10," évi 
teljesítés")</f>
        <v>2024. évi 
teljesítés</v>
      </c>
      <c r="H337" s="163" t="str">
        <f>CONCATENATE(PAR!$H$3," évi
eredeti 
előirányzat - ",Index!$E$17)</f>
        <v>2025. évi
eredeti 
előirányzat - 2/2025. (II.25.)</v>
      </c>
      <c r="I337" s="163" t="str">
        <f>CONCATENATE(PAR!$H$3," évi
módosított 
előirányzat - ",Index!$E$18)</f>
        <v xml:space="preserve">2025. évi
módosított 
előirányzat - </v>
      </c>
      <c r="J337" s="163" t="s">
        <v>2686</v>
      </c>
      <c r="K337" s="163" t="str">
        <f>CONCATENATE(PAR!$H$3," évi
módosított 
előirányzat - ",Index!$E$16)</f>
        <v>2025. évi
módosított 
előirányzat - .../2025. (...)</v>
      </c>
    </row>
    <row r="338" spans="2:11" s="13" customFormat="1" ht="12.75" x14ac:dyDescent="0.2">
      <c r="B338" s="160">
        <v>2</v>
      </c>
      <c r="C338" s="79" t="s">
        <v>30</v>
      </c>
      <c r="D338" s="79" t="s">
        <v>329</v>
      </c>
      <c r="E338" s="120">
        <f>SUM(E339:E351)</f>
        <v>1791253</v>
      </c>
      <c r="F338" s="120">
        <f t="shared" ref="F338" si="102">SUM(F339:F351)</f>
        <v>6019790</v>
      </c>
      <c r="G338" s="120">
        <f>SUM(G339:G351)</f>
        <v>6509157</v>
      </c>
      <c r="H338" s="121">
        <f t="shared" ref="H338:I338" si="103">SUM(H339:H351)</f>
        <v>5720000</v>
      </c>
      <c r="I338" s="120">
        <f t="shared" si="103"/>
        <v>5720000</v>
      </c>
      <c r="J338" s="438">
        <f>K338-I338</f>
        <v>0</v>
      </c>
      <c r="K338" s="121">
        <f>SUM(K339:K351)</f>
        <v>5720000</v>
      </c>
    </row>
    <row r="339" spans="2:11" s="13" customFormat="1" ht="12.75" x14ac:dyDescent="0.2">
      <c r="B339" s="160">
        <v>3</v>
      </c>
      <c r="C339" s="305" t="s">
        <v>1309</v>
      </c>
      <c r="D339" s="82" t="s">
        <v>1356</v>
      </c>
      <c r="E339" s="165"/>
      <c r="F339" s="165"/>
      <c r="G339" s="165">
        <v>15150</v>
      </c>
      <c r="H339" s="166">
        <f>SUMIF(Adat!$AC:$AC,CONCATENATE(61,N330,"094011"),Adat!$E:$E)*-1</f>
        <v>0</v>
      </c>
      <c r="I339" s="165">
        <v>0</v>
      </c>
      <c r="J339" s="439">
        <f t="shared" ref="J339:J372" si="104">K339-I339</f>
        <v>0</v>
      </c>
      <c r="K339" s="166">
        <f>SUMIF(Adat!$AC:$AC,CONCATENATE(60,N330,"094011"),Adat!$E:$E)*-1+H339</f>
        <v>0</v>
      </c>
    </row>
    <row r="340" spans="2:11" s="13" customFormat="1" ht="12.75" x14ac:dyDescent="0.2">
      <c r="B340" s="160">
        <v>4</v>
      </c>
      <c r="C340" s="305" t="s">
        <v>1279</v>
      </c>
      <c r="D340" s="82" t="s">
        <v>1357</v>
      </c>
      <c r="E340" s="165">
        <v>1639737</v>
      </c>
      <c r="F340" s="165">
        <v>884422</v>
      </c>
      <c r="G340" s="165">
        <v>6157709</v>
      </c>
      <c r="H340" s="166">
        <f>SUMIF(Adat!$AC:$AC,CONCATENATE(61,N330,"094021"),Adat!$E:$E)*-1</f>
        <v>5720000</v>
      </c>
      <c r="I340" s="165">
        <v>5720000</v>
      </c>
      <c r="J340" s="439">
        <f t="shared" si="104"/>
        <v>0</v>
      </c>
      <c r="K340" s="166">
        <f>SUMIF(Adat!$AC:$AC,CONCATENATE(60,N330,"094021"),Adat!$E:$E)*-1+H340</f>
        <v>5720000</v>
      </c>
    </row>
    <row r="341" spans="2:11" s="13" customFormat="1" ht="12.75" x14ac:dyDescent="0.2">
      <c r="B341" s="160">
        <v>5</v>
      </c>
      <c r="C341" s="305" t="s">
        <v>1272</v>
      </c>
      <c r="D341" s="82" t="s">
        <v>1358</v>
      </c>
      <c r="E341" s="165">
        <v>32334</v>
      </c>
      <c r="F341" s="165">
        <v>124809</v>
      </c>
      <c r="G341" s="165">
        <v>77222</v>
      </c>
      <c r="H341" s="166">
        <f>SUMIF(Adat!$AC:$AC,CONCATENATE(61,N330,"094031"),Adat!$E:$E)*-1</f>
        <v>0</v>
      </c>
      <c r="I341" s="165">
        <v>0</v>
      </c>
      <c r="J341" s="439">
        <f t="shared" si="104"/>
        <v>0</v>
      </c>
      <c r="K341" s="166">
        <f>SUMIF(Adat!$AC:$AC,CONCATENATE(60,N330,"094031"),Adat!$E:$E)*-1+H341</f>
        <v>0</v>
      </c>
    </row>
    <row r="342" spans="2:11" s="13" customFormat="1" ht="12.75" x14ac:dyDescent="0.2">
      <c r="B342" s="160">
        <v>6</v>
      </c>
      <c r="C342" s="305" t="s">
        <v>1359</v>
      </c>
      <c r="D342" s="82" t="s">
        <v>1360</v>
      </c>
      <c r="E342" s="165"/>
      <c r="F342" s="165"/>
      <c r="G342" s="165"/>
      <c r="H342" s="166">
        <f>SUMIF(Adat!$AC:$AC,CONCATENATE(61,N330,"094041"),Adat!$E:$E)*-1</f>
        <v>0</v>
      </c>
      <c r="I342" s="165">
        <v>0</v>
      </c>
      <c r="J342" s="439">
        <f t="shared" si="104"/>
        <v>0</v>
      </c>
      <c r="K342" s="166">
        <f>SUMIF(Adat!$AC:$AC,CONCATENATE(60,N330,"094041"),Adat!$E:$E)*-1+H342</f>
        <v>0</v>
      </c>
    </row>
    <row r="343" spans="2:11" s="13" customFormat="1" ht="12.75" x14ac:dyDescent="0.2">
      <c r="B343" s="160">
        <v>7</v>
      </c>
      <c r="C343" s="305" t="s">
        <v>1261</v>
      </c>
      <c r="D343" s="82" t="s">
        <v>1361</v>
      </c>
      <c r="E343" s="165"/>
      <c r="F343" s="165"/>
      <c r="G343" s="165"/>
      <c r="H343" s="166">
        <f>SUMIF(Adat!$AC:$AC,CONCATENATE(61,N330,"094051"),Adat!$E:$E)*-1</f>
        <v>0</v>
      </c>
      <c r="I343" s="165">
        <v>0</v>
      </c>
      <c r="J343" s="439">
        <f t="shared" si="104"/>
        <v>0</v>
      </c>
      <c r="K343" s="166">
        <f>SUMIF(Adat!$AC:$AC,CONCATENATE(60,N330,"094051"),Adat!$E:$E)*-1+H343</f>
        <v>0</v>
      </c>
    </row>
    <row r="344" spans="2:11" s="13" customFormat="1" ht="12.75" x14ac:dyDescent="0.2">
      <c r="B344" s="160">
        <v>8</v>
      </c>
      <c r="C344" s="305" t="s">
        <v>1273</v>
      </c>
      <c r="D344" s="82" t="s">
        <v>1362</v>
      </c>
      <c r="E344" s="165">
        <v>69168</v>
      </c>
      <c r="F344" s="165">
        <v>93645</v>
      </c>
      <c r="G344" s="165">
        <v>130908</v>
      </c>
      <c r="H344" s="166">
        <f>SUMIF(Adat!$AC:$AC,CONCATENATE(61,N330,"094061"),Adat!$E:$E)*-1</f>
        <v>0</v>
      </c>
      <c r="I344" s="165">
        <v>0</v>
      </c>
      <c r="J344" s="439">
        <f t="shared" si="104"/>
        <v>0</v>
      </c>
      <c r="K344" s="166">
        <f>SUMIF(Adat!$AC:$AC,CONCATENATE(60,N330,"094061"),Adat!$E:$E)*-1+H344</f>
        <v>0</v>
      </c>
    </row>
    <row r="345" spans="2:11" s="13" customFormat="1" ht="12.75" x14ac:dyDescent="0.2">
      <c r="B345" s="160">
        <v>9</v>
      </c>
      <c r="C345" s="305" t="s">
        <v>1363</v>
      </c>
      <c r="D345" s="82" t="s">
        <v>1364</v>
      </c>
      <c r="E345" s="165"/>
      <c r="F345" s="165"/>
      <c r="G345" s="165"/>
      <c r="H345" s="166">
        <f>SUMIF(Adat!$AC:$AC,CONCATENATE(61,N330,"094071"),Adat!$E:$E)*-1</f>
        <v>0</v>
      </c>
      <c r="I345" s="165">
        <v>0</v>
      </c>
      <c r="J345" s="439">
        <f t="shared" si="104"/>
        <v>0</v>
      </c>
      <c r="K345" s="166">
        <f>SUMIF(Adat!$AC:$AC,CONCATENATE(60,N330,"094071"),Adat!$E:$E)*-1+H345</f>
        <v>0</v>
      </c>
    </row>
    <row r="346" spans="2:11" s="13" customFormat="1" ht="12.75" x14ac:dyDescent="0.2">
      <c r="B346" s="160">
        <v>10</v>
      </c>
      <c r="C346" s="305" t="s">
        <v>1306</v>
      </c>
      <c r="D346" s="82" t="s">
        <v>1365</v>
      </c>
      <c r="E346" s="165"/>
      <c r="F346" s="165"/>
      <c r="G346" s="165"/>
      <c r="H346" s="166">
        <f>SUMIF(Adat!$AC:$AC,CONCATENATE(61,N330,"0940811"),Adat!$E:$E)*-1</f>
        <v>0</v>
      </c>
      <c r="I346" s="165">
        <v>0</v>
      </c>
      <c r="J346" s="439">
        <f t="shared" si="104"/>
        <v>0</v>
      </c>
      <c r="K346" s="166">
        <f>SUMIF(Adat!$AC:$AC,CONCATENATE(60,N330,"0940811"),Adat!$E:$E)*-1+H346</f>
        <v>0</v>
      </c>
    </row>
    <row r="347" spans="2:11" s="13" customFormat="1" ht="12.75" x14ac:dyDescent="0.2">
      <c r="B347" s="160">
        <v>11</v>
      </c>
      <c r="C347" s="305" t="s">
        <v>1295</v>
      </c>
      <c r="D347" s="82" t="s">
        <v>1366</v>
      </c>
      <c r="E347" s="165">
        <v>1</v>
      </c>
      <c r="F347" s="165">
        <v>2</v>
      </c>
      <c r="G347" s="165"/>
      <c r="H347" s="166">
        <f>SUMIF(Adat!$AC:$AC,CONCATENATE(61,N330,"0940821"),Adat!$E:$E)*-1</f>
        <v>0</v>
      </c>
      <c r="I347" s="165">
        <v>0</v>
      </c>
      <c r="J347" s="439">
        <f t="shared" si="104"/>
        <v>0</v>
      </c>
      <c r="K347" s="166">
        <f>SUMIF(Adat!$AC:$AC,CONCATENATE(60,N330,"0940821"),Adat!$E:$E)*-1+H347</f>
        <v>0</v>
      </c>
    </row>
    <row r="348" spans="2:11" s="13" customFormat="1" ht="12.75" x14ac:dyDescent="0.2">
      <c r="B348" s="160">
        <v>12</v>
      </c>
      <c r="C348" s="305" t="s">
        <v>1367</v>
      </c>
      <c r="D348" s="82" t="s">
        <v>1368</v>
      </c>
      <c r="E348" s="165"/>
      <c r="F348" s="165"/>
      <c r="G348" s="165"/>
      <c r="H348" s="166">
        <f>SUMIF(Adat!$AC:$AC,CONCATENATE(61,N330,"0940911"),Adat!$E:$E)*-1</f>
        <v>0</v>
      </c>
      <c r="I348" s="165">
        <v>0</v>
      </c>
      <c r="J348" s="439">
        <f t="shared" si="104"/>
        <v>0</v>
      </c>
      <c r="K348" s="166">
        <f>SUMIF(Adat!$AC:$AC,CONCATENATE(60,N330,"0940911"),Adat!$E:$E)*-1+H348</f>
        <v>0</v>
      </c>
    </row>
    <row r="349" spans="2:11" s="13" customFormat="1" ht="12.75" x14ac:dyDescent="0.2">
      <c r="B349" s="160">
        <v>13</v>
      </c>
      <c r="C349" s="305" t="s">
        <v>1369</v>
      </c>
      <c r="D349" s="82" t="s">
        <v>1370</v>
      </c>
      <c r="E349" s="165"/>
      <c r="F349" s="165"/>
      <c r="G349" s="165"/>
      <c r="H349" s="166">
        <f>SUMIF(Adat!$AC:$AC,CONCATENATE(61,N330,"0940921"),Adat!$E:$E)*-1</f>
        <v>0</v>
      </c>
      <c r="I349" s="165">
        <v>0</v>
      </c>
      <c r="J349" s="439">
        <f t="shared" si="104"/>
        <v>0</v>
      </c>
      <c r="K349" s="166">
        <f>SUMIF(Adat!$AC:$AC,CONCATENATE(60,N330,"0940921"),Adat!$E:$E)*-1+H349</f>
        <v>0</v>
      </c>
    </row>
    <row r="350" spans="2:11" s="13" customFormat="1" ht="12.75" x14ac:dyDescent="0.2">
      <c r="B350" s="160">
        <v>14</v>
      </c>
      <c r="C350" s="305" t="s">
        <v>1296</v>
      </c>
      <c r="D350" s="82" t="s">
        <v>1371</v>
      </c>
      <c r="E350" s="165"/>
      <c r="F350" s="165"/>
      <c r="G350" s="165"/>
      <c r="H350" s="166">
        <f>SUMIF(Adat!$AC:$AC,CONCATENATE(61,N330,"094101"),Adat!$E:$E)*-1</f>
        <v>0</v>
      </c>
      <c r="I350" s="165">
        <v>0</v>
      </c>
      <c r="J350" s="439">
        <f t="shared" si="104"/>
        <v>0</v>
      </c>
      <c r="K350" s="166">
        <f>SUMIF(Adat!$AC:$AC,CONCATENATE(60,N330,"094101"),Adat!$E:$E)*-1+H350</f>
        <v>0</v>
      </c>
    </row>
    <row r="351" spans="2:11" s="13" customFormat="1" ht="12.75" x14ac:dyDescent="0.2">
      <c r="B351" s="160">
        <v>15</v>
      </c>
      <c r="C351" s="305" t="s">
        <v>1297</v>
      </c>
      <c r="D351" s="84" t="s">
        <v>1372</v>
      </c>
      <c r="E351" s="165">
        <v>50013</v>
      </c>
      <c r="F351" s="165">
        <v>4916912</v>
      </c>
      <c r="G351" s="165">
        <v>128168</v>
      </c>
      <c r="H351" s="166">
        <f>SUMIF(Adat!$AC:$AC,CONCATENATE(61,N330,"094111"),Adat!$E:$E)*-1</f>
        <v>0</v>
      </c>
      <c r="I351" s="165">
        <v>0</v>
      </c>
      <c r="J351" s="439">
        <f t="shared" si="104"/>
        <v>0</v>
      </c>
      <c r="K351" s="166">
        <f>SUMIF(Adat!$AC:$AC,CONCATENATE(60,N330,"094111"),Adat!$E:$E)*-1+H351</f>
        <v>0</v>
      </c>
    </row>
    <row r="352" spans="2:11" s="13" customFormat="1" ht="12.75" x14ac:dyDescent="0.2">
      <c r="B352" s="160">
        <v>16</v>
      </c>
      <c r="C352" s="78" t="s">
        <v>1328</v>
      </c>
      <c r="D352" s="85" t="s">
        <v>437</v>
      </c>
      <c r="E352" s="120">
        <f>SUM(E353:E355)</f>
        <v>0</v>
      </c>
      <c r="F352" s="120">
        <f t="shared" ref="F352" si="105">SUM(F353:F355)</f>
        <v>0</v>
      </c>
      <c r="G352" s="120">
        <f>SUM(G353:G355)</f>
        <v>0</v>
      </c>
      <c r="H352" s="121">
        <f t="shared" ref="H352:I352" si="106">SUM(H353:H355)</f>
        <v>0</v>
      </c>
      <c r="I352" s="120">
        <f t="shared" si="106"/>
        <v>0</v>
      </c>
      <c r="J352" s="438">
        <f t="shared" si="104"/>
        <v>0</v>
      </c>
      <c r="K352" s="121">
        <f>SUM(K353:K355)</f>
        <v>0</v>
      </c>
    </row>
    <row r="353" spans="2:11" s="13" customFormat="1" ht="12.75" x14ac:dyDescent="0.2">
      <c r="B353" s="160">
        <v>17</v>
      </c>
      <c r="C353" s="305" t="s">
        <v>1329</v>
      </c>
      <c r="D353" s="82" t="s">
        <v>1330</v>
      </c>
      <c r="E353" s="165"/>
      <c r="F353" s="165"/>
      <c r="G353" s="165"/>
      <c r="H353" s="166">
        <f>SUMIF(Adat!$AC:$AC,CONCATENATE(61,N330,"09121"),Adat!$E:$E)*-1</f>
        <v>0</v>
      </c>
      <c r="I353" s="165">
        <v>0</v>
      </c>
      <c r="J353" s="439">
        <f t="shared" si="104"/>
        <v>0</v>
      </c>
      <c r="K353" s="166">
        <f>SUMIF(Adat!$AC:$AC,CONCATENATE(60,N330,"09121"),Adat!$E:$E)*-1+H353</f>
        <v>0</v>
      </c>
    </row>
    <row r="354" spans="2:11" s="13" customFormat="1" ht="12.75" x14ac:dyDescent="0.2">
      <c r="B354" s="160">
        <v>18</v>
      </c>
      <c r="C354" s="305" t="s">
        <v>1335</v>
      </c>
      <c r="D354" s="82" t="s">
        <v>1336</v>
      </c>
      <c r="E354" s="165"/>
      <c r="F354" s="165"/>
      <c r="G354" s="165"/>
      <c r="H354" s="166">
        <f>SUMIF(Adat!$AC:$AC,CONCATENATE(61,N330,"09151"),Adat!$E:$E)*-1</f>
        <v>0</v>
      </c>
      <c r="I354" s="165">
        <v>0</v>
      </c>
      <c r="J354" s="439">
        <f t="shared" si="104"/>
        <v>0</v>
      </c>
      <c r="K354" s="166">
        <f>SUMIF(Adat!$AC:$AC,CONCATENATE(60,N330,"09151"),Adat!$E:$E)*-1+H354</f>
        <v>0</v>
      </c>
    </row>
    <row r="355" spans="2:11" s="13" customFormat="1" ht="12.75" x14ac:dyDescent="0.2">
      <c r="B355" s="160">
        <v>19</v>
      </c>
      <c r="C355" s="305" t="s">
        <v>1278</v>
      </c>
      <c r="D355" s="82" t="s">
        <v>1337</v>
      </c>
      <c r="E355" s="165"/>
      <c r="F355" s="165"/>
      <c r="G355" s="165"/>
      <c r="H355" s="166">
        <f>SUMIF(Adat!$AC:$AC,CONCATENATE(61,N330,"09161"),Adat!$E:$E)*-1</f>
        <v>0</v>
      </c>
      <c r="I355" s="165">
        <v>0</v>
      </c>
      <c r="J355" s="439">
        <f t="shared" si="104"/>
        <v>0</v>
      </c>
      <c r="K355" s="166">
        <f>SUMIF(Adat!$AC:$AC,CONCATENATE(60,N330,"09161"),Adat!$E:$E)*-1+H355</f>
        <v>0</v>
      </c>
    </row>
    <row r="356" spans="2:11" s="13" customFormat="1" ht="12.75" x14ac:dyDescent="0.2">
      <c r="B356" s="160">
        <v>20</v>
      </c>
      <c r="C356" s="79" t="s">
        <v>27</v>
      </c>
      <c r="D356" s="79" t="s">
        <v>328</v>
      </c>
      <c r="E356" s="120">
        <v>9970</v>
      </c>
      <c r="F356" s="120">
        <v>0</v>
      </c>
      <c r="G356" s="120">
        <v>0</v>
      </c>
      <c r="H356" s="71">
        <f>SUMIF(Adat!$AE:$AE,CONCATENATE(61,N330,"093"),Adat!$E:$E)*-1</f>
        <v>0</v>
      </c>
      <c r="I356" s="80">
        <v>0</v>
      </c>
      <c r="J356" s="433">
        <f t="shared" si="104"/>
        <v>0</v>
      </c>
      <c r="K356" s="71">
        <f>SUMIF(Adat!$AE:$AE,CONCATENATE(60,N330,"093"),Adat!$E:$E)*-1+H356</f>
        <v>0</v>
      </c>
    </row>
    <row r="357" spans="2:11" s="13" customFormat="1" ht="12.75" x14ac:dyDescent="0.2">
      <c r="B357" s="160">
        <v>21</v>
      </c>
      <c r="C357" s="79" t="s">
        <v>24</v>
      </c>
      <c r="D357" s="79" t="s">
        <v>449</v>
      </c>
      <c r="E357" s="120">
        <f>SUM(E358:E360)</f>
        <v>0</v>
      </c>
      <c r="F357" s="120">
        <f t="shared" ref="F357:G357" si="107">SUM(F358:F360)</f>
        <v>0</v>
      </c>
      <c r="G357" s="120">
        <f t="shared" si="107"/>
        <v>0</v>
      </c>
      <c r="H357" s="121">
        <f>SUM(H358:H360)</f>
        <v>0</v>
      </c>
      <c r="I357" s="120">
        <f>SUM(I358:I360)</f>
        <v>0</v>
      </c>
      <c r="J357" s="438">
        <f t="shared" si="104"/>
        <v>0</v>
      </c>
      <c r="K357" s="121">
        <f t="shared" ref="K357" si="108">SUM(K358:K360)</f>
        <v>0</v>
      </c>
    </row>
    <row r="358" spans="2:11" s="13" customFormat="1" ht="12.75" x14ac:dyDescent="0.2">
      <c r="B358" s="160">
        <v>22</v>
      </c>
      <c r="C358" s="305" t="s">
        <v>1339</v>
      </c>
      <c r="D358" s="82" t="s">
        <v>1340</v>
      </c>
      <c r="E358" s="165"/>
      <c r="F358" s="165"/>
      <c r="G358" s="165"/>
      <c r="H358" s="166">
        <f>SUMIF(Adat!$AC:$AC,CONCATENATE(61,N330,"09211"),Adat!$E:$E)*-1</f>
        <v>0</v>
      </c>
      <c r="I358" s="165">
        <v>0</v>
      </c>
      <c r="J358" s="439">
        <f t="shared" si="104"/>
        <v>0</v>
      </c>
      <c r="K358" s="166">
        <f>SUMIF(Adat!$AC:$AC,CONCATENATE(60,N330,"09211"),Adat!$E:$E)*-1+H358</f>
        <v>0</v>
      </c>
    </row>
    <row r="359" spans="2:11" s="13" customFormat="1" ht="12.75" x14ac:dyDescent="0.2">
      <c r="B359" s="160">
        <v>23</v>
      </c>
      <c r="C359" s="305" t="s">
        <v>1345</v>
      </c>
      <c r="D359" s="82" t="s">
        <v>1346</v>
      </c>
      <c r="E359" s="165"/>
      <c r="F359" s="165"/>
      <c r="G359" s="165"/>
      <c r="H359" s="166">
        <f>SUMIF(Adat!$AC:$AC,CONCATENATE(61,N330,"09241"),Adat!$E:$E)*-1</f>
        <v>0</v>
      </c>
      <c r="I359" s="165">
        <v>0</v>
      </c>
      <c r="J359" s="439">
        <f t="shared" si="104"/>
        <v>0</v>
      </c>
      <c r="K359" s="166">
        <f>SUMIF(Adat!$AC:$AC,CONCATENATE(60,N330,"09241"),Adat!$E:$E)*-1+H359</f>
        <v>0</v>
      </c>
    </row>
    <row r="360" spans="2:11" s="13" customFormat="1" ht="12.75" x14ac:dyDescent="0.2">
      <c r="B360" s="160">
        <v>24</v>
      </c>
      <c r="C360" s="305" t="s">
        <v>1255</v>
      </c>
      <c r="D360" s="82" t="s">
        <v>1347</v>
      </c>
      <c r="E360" s="165"/>
      <c r="F360" s="165"/>
      <c r="G360" s="165"/>
      <c r="H360" s="166">
        <f>SUMIF(Adat!$AC:$AC,CONCATENATE(61,N330,"09251"),Adat!$E:$E)*-1</f>
        <v>0</v>
      </c>
      <c r="I360" s="165">
        <v>0</v>
      </c>
      <c r="J360" s="439">
        <f t="shared" si="104"/>
        <v>0</v>
      </c>
      <c r="K360" s="166">
        <f>SUMIF(Adat!$AC:$AC,CONCATENATE(60,N330,"09251"),Adat!$E:$E)*-1+H360</f>
        <v>0</v>
      </c>
    </row>
    <row r="361" spans="2:11" s="13" customFormat="1" ht="12.75" x14ac:dyDescent="0.2">
      <c r="B361" s="160">
        <v>25</v>
      </c>
      <c r="C361" s="79" t="s">
        <v>33</v>
      </c>
      <c r="D361" s="79" t="s">
        <v>330</v>
      </c>
      <c r="E361" s="120">
        <f>SUM(E362:E364)</f>
        <v>0</v>
      </c>
      <c r="F361" s="120">
        <f t="shared" ref="F361:K361" si="109">SUM(F362:F364)</f>
        <v>0</v>
      </c>
      <c r="G361" s="120">
        <f t="shared" si="109"/>
        <v>0</v>
      </c>
      <c r="H361" s="121">
        <f t="shared" si="109"/>
        <v>0</v>
      </c>
      <c r="I361" s="120">
        <f t="shared" si="109"/>
        <v>0</v>
      </c>
      <c r="J361" s="438">
        <f t="shared" si="104"/>
        <v>0</v>
      </c>
      <c r="K361" s="121">
        <f t="shared" si="109"/>
        <v>0</v>
      </c>
    </row>
    <row r="362" spans="2:11" s="13" customFormat="1" ht="12.75" x14ac:dyDescent="0.2">
      <c r="B362" s="160">
        <v>26</v>
      </c>
      <c r="C362" s="305" t="s">
        <v>1373</v>
      </c>
      <c r="D362" s="82" t="s">
        <v>1374</v>
      </c>
      <c r="E362" s="165"/>
      <c r="F362" s="165"/>
      <c r="G362" s="165"/>
      <c r="H362" s="166">
        <f>SUMIF(Adat!$AC:$AC,CONCATENATE(61,N330,"09511"),Adat!$E:$E)*-1</f>
        <v>0</v>
      </c>
      <c r="I362" s="165">
        <v>0</v>
      </c>
      <c r="J362" s="439">
        <f t="shared" si="104"/>
        <v>0</v>
      </c>
      <c r="K362" s="166">
        <f>SUMIF(Adat!$AC:$AC,CONCATENATE(60,N330,"09511"),Adat!$E:$E)*-1+H362</f>
        <v>0</v>
      </c>
    </row>
    <row r="363" spans="2:11" s="13" customFormat="1" ht="12.75" x14ac:dyDescent="0.2">
      <c r="B363" s="160">
        <v>27</v>
      </c>
      <c r="C363" s="305" t="s">
        <v>1294</v>
      </c>
      <c r="D363" s="82" t="s">
        <v>1375</v>
      </c>
      <c r="E363" s="165"/>
      <c r="F363" s="165"/>
      <c r="G363" s="165"/>
      <c r="H363" s="166">
        <f>SUMIF(Adat!$AC:$AC,CONCATENATE(61,N330,"09521"),Adat!$E:$E)*-1</f>
        <v>0</v>
      </c>
      <c r="I363" s="165">
        <v>0</v>
      </c>
      <c r="J363" s="439">
        <f t="shared" si="104"/>
        <v>0</v>
      </c>
      <c r="K363" s="166">
        <f>SUMIF(Adat!$AC:$AC,CONCATENATE(60,N330,"09521"),Adat!$E:$E)*-1+H363</f>
        <v>0</v>
      </c>
    </row>
    <row r="364" spans="2:11" s="13" customFormat="1" ht="12.75" x14ac:dyDescent="0.2">
      <c r="B364" s="160">
        <v>28</v>
      </c>
      <c r="C364" s="305" t="s">
        <v>1376</v>
      </c>
      <c r="D364" s="82" t="s">
        <v>1377</v>
      </c>
      <c r="E364" s="165"/>
      <c r="F364" s="165"/>
      <c r="G364" s="165"/>
      <c r="H364" s="166">
        <f>SUMIF(Adat!$AC:$AC,CONCATENATE(61,N330,"09531"),Adat!$E:$E)*-1</f>
        <v>0</v>
      </c>
      <c r="I364" s="165">
        <v>0</v>
      </c>
      <c r="J364" s="439">
        <f t="shared" si="104"/>
        <v>0</v>
      </c>
      <c r="K364" s="166">
        <f>SUMIF(Adat!$AC:$AC,CONCATENATE(60,N330,"09531"),Adat!$E:$E)*-1+H364</f>
        <v>0</v>
      </c>
    </row>
    <row r="365" spans="2:11" s="13" customFormat="1" ht="12.75" x14ac:dyDescent="0.2">
      <c r="B365" s="160">
        <v>29</v>
      </c>
      <c r="C365" s="79" t="s">
        <v>36</v>
      </c>
      <c r="D365" s="79" t="s">
        <v>331</v>
      </c>
      <c r="E365" s="120">
        <v>136470</v>
      </c>
      <c r="F365" s="120">
        <v>3443765</v>
      </c>
      <c r="G365" s="120">
        <v>63000</v>
      </c>
      <c r="H365" s="71">
        <f>SUMIF(Adat!$AE:$AE,CONCATENATE(61,N330,"096"),Adat!$E:$E)*-1</f>
        <v>0</v>
      </c>
      <c r="I365" s="80">
        <v>0</v>
      </c>
      <c r="J365" s="433">
        <f t="shared" si="104"/>
        <v>0</v>
      </c>
      <c r="K365" s="71">
        <f>SUMIF(Adat!$AE:$AE,CONCATENATE(60,N330,"096"),Adat!$E:$E)*-1+H365</f>
        <v>0</v>
      </c>
    </row>
    <row r="366" spans="2:11" s="13" customFormat="1" ht="12.75" x14ac:dyDescent="0.2">
      <c r="B366" s="160">
        <v>30</v>
      </c>
      <c r="C366" s="79" t="s">
        <v>38</v>
      </c>
      <c r="D366" s="85" t="s">
        <v>332</v>
      </c>
      <c r="E366" s="120">
        <v>0</v>
      </c>
      <c r="F366" s="120">
        <v>0</v>
      </c>
      <c r="G366" s="120">
        <v>0</v>
      </c>
      <c r="H366" s="71">
        <f>SUMIF(Adat!$AE:$AE,CONCATENATE(61,N330,"097"),Adat!$E:$E)*-1</f>
        <v>0</v>
      </c>
      <c r="I366" s="80">
        <v>0</v>
      </c>
      <c r="J366" s="433">
        <f t="shared" si="104"/>
        <v>0</v>
      </c>
      <c r="K366" s="71">
        <f>SUMIF(Adat!$AE:$AE,CONCATENATE(60,N330,"097"),Adat!$E:$E)*-1+H366</f>
        <v>0</v>
      </c>
    </row>
    <row r="367" spans="2:11" s="13" customFormat="1" ht="12.75" x14ac:dyDescent="0.2">
      <c r="B367" s="160">
        <v>31</v>
      </c>
      <c r="C367" s="154" t="s">
        <v>352</v>
      </c>
      <c r="D367" s="86" t="s">
        <v>1500</v>
      </c>
      <c r="E367" s="120">
        <f>E338+E352+E356+E357+E361+E365+E366</f>
        <v>1937693</v>
      </c>
      <c r="F367" s="120">
        <f>F338+F352+F356+F357+F361+F365+F366</f>
        <v>9463555</v>
      </c>
      <c r="G367" s="120">
        <f>G338+G352+G356+G357+G361+G365+G366</f>
        <v>6572157</v>
      </c>
      <c r="H367" s="121">
        <f>H338+H352+H356+H357+H361+H365+H366</f>
        <v>5720000</v>
      </c>
      <c r="I367" s="120">
        <f t="shared" ref="I367" si="110">I338+I352+I356+I357+I361+I365+I366</f>
        <v>5720000</v>
      </c>
      <c r="J367" s="438">
        <f t="shared" si="104"/>
        <v>0</v>
      </c>
      <c r="K367" s="121">
        <f>K338+K352+K356+K357+K361+K365+K366</f>
        <v>5720000</v>
      </c>
    </row>
    <row r="368" spans="2:11" s="13" customFormat="1" ht="12.75" x14ac:dyDescent="0.2">
      <c r="B368" s="160">
        <v>32</v>
      </c>
      <c r="C368" s="154" t="s">
        <v>358</v>
      </c>
      <c r="D368" s="86" t="s">
        <v>333</v>
      </c>
      <c r="E368" s="120">
        <f>SUM(E369:E371)</f>
        <v>39628522</v>
      </c>
      <c r="F368" s="120">
        <v>36755468</v>
      </c>
      <c r="G368" s="120">
        <f>SUM(G369:G371)</f>
        <v>54123893</v>
      </c>
      <c r="H368" s="121">
        <f t="shared" ref="H368:K368" si="111">SUM(H369:H371)</f>
        <v>58610536</v>
      </c>
      <c r="I368" s="120">
        <f t="shared" ref="I368" si="112">SUM(I369:I371)</f>
        <v>58610536</v>
      </c>
      <c r="J368" s="438">
        <f t="shared" si="104"/>
        <v>0</v>
      </c>
      <c r="K368" s="121">
        <f t="shared" si="111"/>
        <v>58610536</v>
      </c>
    </row>
    <row r="369" spans="2:11" s="13" customFormat="1" ht="12.75" x14ac:dyDescent="0.2">
      <c r="B369" s="160">
        <v>33</v>
      </c>
      <c r="C369" s="305" t="s">
        <v>1274</v>
      </c>
      <c r="D369" s="82" t="s">
        <v>1419</v>
      </c>
      <c r="E369" s="165">
        <v>5628267</v>
      </c>
      <c r="F369" s="165">
        <v>1123749</v>
      </c>
      <c r="G369" s="165">
        <v>612073</v>
      </c>
      <c r="H369" s="166">
        <f>SUMIF(Adat!$AC:$AC,CONCATENATE(61,N330,"0981311"),Adat!$E:$E)*-1</f>
        <v>1611496</v>
      </c>
      <c r="I369" s="165">
        <v>1611496</v>
      </c>
      <c r="J369" s="439">
        <f t="shared" si="104"/>
        <v>0</v>
      </c>
      <c r="K369" s="166">
        <f>SUMIF(Adat!$AC:$AC,CONCATENATE(60,N330,"0981311"),Adat!$E:$E)*-1+H369</f>
        <v>1611496</v>
      </c>
    </row>
    <row r="370" spans="2:11" s="13" customFormat="1" ht="12.75" x14ac:dyDescent="0.2">
      <c r="B370" s="160">
        <v>34</v>
      </c>
      <c r="C370" s="305" t="s">
        <v>1420</v>
      </c>
      <c r="D370" s="84" t="s">
        <v>1421</v>
      </c>
      <c r="E370" s="165"/>
      <c r="F370" s="165"/>
      <c r="G370" s="165"/>
      <c r="H370" s="166">
        <f>SUMIF(Adat!$AC:$AC,CONCATENATE(61,N330,"0981321"),Adat!$E:$E)*-1</f>
        <v>0</v>
      </c>
      <c r="I370" s="165">
        <v>0</v>
      </c>
      <c r="J370" s="439">
        <f t="shared" si="104"/>
        <v>0</v>
      </c>
      <c r="K370" s="166">
        <f>SUMIF(Adat!$AC:$AC,CONCATENATE(60,N330,"0981321"),Adat!$E:$E)*-1+H370</f>
        <v>0</v>
      </c>
    </row>
    <row r="371" spans="2:11" s="13" customFormat="1" ht="12.75" x14ac:dyDescent="0.2">
      <c r="B371" s="160">
        <v>35</v>
      </c>
      <c r="C371" s="319" t="s">
        <v>1275</v>
      </c>
      <c r="D371" s="84" t="s">
        <v>1501</v>
      </c>
      <c r="E371" s="165">
        <v>34000255</v>
      </c>
      <c r="F371" s="165">
        <v>35631719</v>
      </c>
      <c r="G371" s="165">
        <v>53511820</v>
      </c>
      <c r="H371" s="166">
        <f>SUMIF(Adat!$AC:$AC,CONCATENATE(61,N330,"098161"),Adat!$E:$E)*-1</f>
        <v>56999040</v>
      </c>
      <c r="I371" s="165">
        <v>56999040</v>
      </c>
      <c r="J371" s="439">
        <f t="shared" si="104"/>
        <v>0</v>
      </c>
      <c r="K371" s="166">
        <f>SUMIF(Adat!$AC:$AC,CONCATENATE(60,N330,"098161"),Adat!$E:$E)*-1+H371</f>
        <v>56999040</v>
      </c>
    </row>
    <row r="372" spans="2:11" s="13" customFormat="1" ht="12.75" x14ac:dyDescent="0.2">
      <c r="B372" s="160">
        <v>36</v>
      </c>
      <c r="C372" s="154" t="s">
        <v>364</v>
      </c>
      <c r="D372" s="159" t="s">
        <v>1502</v>
      </c>
      <c r="E372" s="120">
        <f>E367+E368</f>
        <v>41566215</v>
      </c>
      <c r="F372" s="120">
        <f t="shared" ref="F372:G372" si="113">F367+F368</f>
        <v>46219023</v>
      </c>
      <c r="G372" s="120">
        <f t="shared" si="113"/>
        <v>60696050</v>
      </c>
      <c r="H372" s="121">
        <f>H367+H368</f>
        <v>64330536</v>
      </c>
      <c r="I372" s="120">
        <f t="shared" ref="I372" si="114">I367+I368</f>
        <v>64330536</v>
      </c>
      <c r="J372" s="438">
        <f t="shared" si="104"/>
        <v>0</v>
      </c>
      <c r="K372" s="121">
        <f>K367+K368</f>
        <v>64330536</v>
      </c>
    </row>
    <row r="373" spans="2:11" s="13" customFormat="1" ht="12.75" x14ac:dyDescent="0.2">
      <c r="B373" s="40"/>
      <c r="C373" s="256"/>
      <c r="D373" s="40"/>
      <c r="H373" s="39"/>
      <c r="I373" s="39"/>
      <c r="J373" s="39"/>
    </row>
    <row r="374" spans="2:11" s="13" customFormat="1" x14ac:dyDescent="0.2">
      <c r="B374" s="202" t="s">
        <v>1504</v>
      </c>
      <c r="C374" s="260"/>
      <c r="D374" s="260"/>
      <c r="H374" s="260"/>
      <c r="I374" s="260"/>
      <c r="J374" s="260"/>
    </row>
    <row r="375" spans="2:11" s="13" customFormat="1" ht="12.75" x14ac:dyDescent="0.2">
      <c r="B375" s="40"/>
      <c r="C375" s="256"/>
      <c r="D375" s="40"/>
      <c r="H375" s="39"/>
      <c r="I375" s="39"/>
      <c r="J375" s="39"/>
    </row>
    <row r="376" spans="2:11" s="13" customFormat="1" ht="12.75" x14ac:dyDescent="0.2">
      <c r="B376" s="77"/>
      <c r="C376" s="77" t="s">
        <v>350</v>
      </c>
      <c r="D376" s="77" t="s">
        <v>351</v>
      </c>
      <c r="E376" s="77" t="s">
        <v>470</v>
      </c>
      <c r="F376" s="77" t="s">
        <v>471</v>
      </c>
      <c r="G376" s="77" t="s">
        <v>44</v>
      </c>
      <c r="H376" s="77" t="s">
        <v>42</v>
      </c>
      <c r="I376" s="77" t="s">
        <v>511</v>
      </c>
      <c r="J376" s="77" t="s">
        <v>512</v>
      </c>
      <c r="K376" s="77" t="s">
        <v>591</v>
      </c>
    </row>
    <row r="377" spans="2:11" s="13" customFormat="1" ht="51" x14ac:dyDescent="0.2">
      <c r="B377" s="68">
        <v>1</v>
      </c>
      <c r="C377" s="78" t="s">
        <v>348</v>
      </c>
      <c r="D377" s="78" t="s">
        <v>349</v>
      </c>
      <c r="E377" s="69" t="str">
        <f>CONCATENATE(PAR!$H$12," évi 
teljesítés")</f>
        <v>2022. évi 
teljesítés</v>
      </c>
      <c r="F377" s="69" t="str">
        <f>CONCATENATE(PAR!$H$11," évi 
teljesítés")</f>
        <v>2023. évi 
teljesítés</v>
      </c>
      <c r="G377" s="69" t="str">
        <f>CONCATENATE(PAR!$H$10," évi 
teljesítés")</f>
        <v>2024. évi 
teljesítés</v>
      </c>
      <c r="H377" s="163" t="str">
        <f>CONCATENATE(PAR!$H$3," évi
eredeti 
előirányzat - ",Index!$E$17)</f>
        <v>2025. évi
eredeti 
előirányzat - 2/2025. (II.25.)</v>
      </c>
      <c r="I377" s="163" t="str">
        <f>CONCATENATE(PAR!$H$3," évi
módosított 
előirányzat - ",Index!$E$18)</f>
        <v xml:space="preserve">2025. évi
módosított 
előirányzat - </v>
      </c>
      <c r="J377" s="163" t="s">
        <v>2686</v>
      </c>
      <c r="K377" s="163" t="str">
        <f>CONCATENATE(PAR!$H$3," évi
módosított 
előirányzat - ",Index!$E$16)</f>
        <v>2025. évi
módosított 
előirányzat - .../2025. (...)</v>
      </c>
    </row>
    <row r="378" spans="2:11" s="13" customFormat="1" ht="12.75" x14ac:dyDescent="0.2">
      <c r="B378" s="160">
        <v>2</v>
      </c>
      <c r="C378" s="78" t="s">
        <v>352</v>
      </c>
      <c r="D378" s="92" t="s">
        <v>1444</v>
      </c>
      <c r="E378" s="120">
        <f>SUM(E379:E383)</f>
        <v>37579166</v>
      </c>
      <c r="F378" s="120">
        <f>SUM(F379:F383)</f>
        <v>43335903</v>
      </c>
      <c r="G378" s="120">
        <f>SUM(G379:G383)</f>
        <v>58936778</v>
      </c>
      <c r="H378" s="121">
        <f>SUM(H379:H383)</f>
        <v>62435536</v>
      </c>
      <c r="I378" s="120">
        <f t="shared" ref="I378" si="115">SUM(I379:I383)</f>
        <v>62435536</v>
      </c>
      <c r="J378" s="438">
        <f>K378-I378</f>
        <v>0</v>
      </c>
      <c r="K378" s="121">
        <f t="shared" ref="K378" si="116">SUM(K379:K383)</f>
        <v>62435536</v>
      </c>
    </row>
    <row r="379" spans="2:11" s="13" customFormat="1" ht="12.75" x14ac:dyDescent="0.2">
      <c r="B379" s="160">
        <v>3</v>
      </c>
      <c r="C379" s="305" t="s">
        <v>315</v>
      </c>
      <c r="D379" s="93" t="s">
        <v>342</v>
      </c>
      <c r="E379" s="165">
        <v>17284015</v>
      </c>
      <c r="F379" s="165">
        <v>17984999</v>
      </c>
      <c r="G379" s="285">
        <v>23130187</v>
      </c>
      <c r="H379" s="72">
        <f>SUMIF(Adat!$AE:$AE,CONCATENATE(61,N330,"051"),Adat!$E:$E)</f>
        <v>29167524</v>
      </c>
      <c r="I379" s="83">
        <v>29167524</v>
      </c>
      <c r="J379" s="434">
        <f t="shared" ref="J379:J389" si="117">K379-I379</f>
        <v>1333</v>
      </c>
      <c r="K379" s="72">
        <f>SUMIF(Adat!$AE:$AE,CONCATENATE(60,N330,"051"),Adat!$E:$E)+H379</f>
        <v>29168857</v>
      </c>
    </row>
    <row r="380" spans="2:11" s="13" customFormat="1" ht="12.75" x14ac:dyDescent="0.2">
      <c r="B380" s="160">
        <v>4</v>
      </c>
      <c r="C380" s="305" t="s">
        <v>317</v>
      </c>
      <c r="D380" s="93" t="s">
        <v>395</v>
      </c>
      <c r="E380" s="165">
        <v>2239800</v>
      </c>
      <c r="F380" s="165">
        <v>2844021</v>
      </c>
      <c r="G380" s="285">
        <v>2844609</v>
      </c>
      <c r="H380" s="72">
        <f>SUMIF(Adat!$AE:$AE,CONCATENATE(61,N330,"052"),Adat!$E:$E)</f>
        <v>3856800</v>
      </c>
      <c r="I380" s="83">
        <v>3856800</v>
      </c>
      <c r="J380" s="434">
        <f t="shared" si="117"/>
        <v>0</v>
      </c>
      <c r="K380" s="72">
        <f>SUMIF(Adat!$AE:$AE,CONCATENATE(60,N330,"052"),Adat!$E:$E)+H380</f>
        <v>3856800</v>
      </c>
    </row>
    <row r="381" spans="2:11" s="13" customFormat="1" ht="12.75" x14ac:dyDescent="0.2">
      <c r="B381" s="160">
        <v>5</v>
      </c>
      <c r="C381" s="305" t="s">
        <v>4</v>
      </c>
      <c r="D381" s="93" t="s">
        <v>344</v>
      </c>
      <c r="E381" s="165">
        <v>18055351</v>
      </c>
      <c r="F381" s="165">
        <v>22206883</v>
      </c>
      <c r="G381" s="285">
        <v>29161982</v>
      </c>
      <c r="H381" s="72">
        <f>SUMIF(Adat!$AE:$AE,CONCATENATE(61,N330,"053"),Adat!$E:$E)</f>
        <v>29411212</v>
      </c>
      <c r="I381" s="83">
        <v>29411212</v>
      </c>
      <c r="J381" s="434">
        <f t="shared" si="117"/>
        <v>-1333</v>
      </c>
      <c r="K381" s="72">
        <f>SUMIF(Adat!$AE:$AE,CONCATENATE(60,N330,"053"),Adat!$E:$E)+H381</f>
        <v>29409879</v>
      </c>
    </row>
    <row r="382" spans="2:11" s="13" customFormat="1" ht="12.75" x14ac:dyDescent="0.2">
      <c r="B382" s="160">
        <v>6</v>
      </c>
      <c r="C382" s="305" t="s">
        <v>6</v>
      </c>
      <c r="D382" s="93" t="s">
        <v>345</v>
      </c>
      <c r="E382" s="165"/>
      <c r="F382" s="165"/>
      <c r="G382" s="285"/>
      <c r="H382" s="72">
        <f>SUMIF(Adat!$AE:$AE,CONCATENATE(61,N330,"054"),Adat!$E:$E)</f>
        <v>0</v>
      </c>
      <c r="I382" s="83">
        <v>0</v>
      </c>
      <c r="J382" s="434">
        <f t="shared" si="117"/>
        <v>0</v>
      </c>
      <c r="K382" s="72">
        <f>SUMIF(Adat!$AE:$AE,CONCATENATE(60,N330,"054"),Adat!$E:$E)+H382</f>
        <v>0</v>
      </c>
    </row>
    <row r="383" spans="2:11" s="13" customFormat="1" ht="12.75" x14ac:dyDescent="0.2">
      <c r="B383" s="160">
        <v>7</v>
      </c>
      <c r="C383" s="305" t="s">
        <v>8</v>
      </c>
      <c r="D383" s="93" t="s">
        <v>321</v>
      </c>
      <c r="E383" s="165"/>
      <c r="F383" s="165">
        <v>300000</v>
      </c>
      <c r="G383" s="285">
        <v>3800000</v>
      </c>
      <c r="H383" s="72">
        <f>SUMIF(Adat!$AE:$AE,CONCATENATE(61,N330,"055"),Adat!$E:$E)</f>
        <v>0</v>
      </c>
      <c r="I383" s="83">
        <v>0</v>
      </c>
      <c r="J383" s="434">
        <f t="shared" si="117"/>
        <v>0</v>
      </c>
      <c r="K383" s="72">
        <f>SUMIF(Adat!$AE:$AE,CONCATENATE(60,N330,"055"),Adat!$E:$E)+H383</f>
        <v>0</v>
      </c>
    </row>
    <row r="384" spans="2:11" s="13" customFormat="1" ht="12.75" x14ac:dyDescent="0.2">
      <c r="B384" s="160">
        <v>8</v>
      </c>
      <c r="C384" s="78" t="s">
        <v>358</v>
      </c>
      <c r="D384" s="92" t="s">
        <v>1447</v>
      </c>
      <c r="E384" s="120">
        <f>SUM(E385:E387)</f>
        <v>2863300</v>
      </c>
      <c r="F384" s="120">
        <f t="shared" ref="F384:K384" si="118">SUM(F385:F387)</f>
        <v>2271047</v>
      </c>
      <c r="G384" s="120">
        <f t="shared" si="118"/>
        <v>3567776</v>
      </c>
      <c r="H384" s="121">
        <f t="shared" si="118"/>
        <v>1895000</v>
      </c>
      <c r="I384" s="120">
        <f t="shared" si="118"/>
        <v>1895000</v>
      </c>
      <c r="J384" s="438">
        <f t="shared" si="117"/>
        <v>0</v>
      </c>
      <c r="K384" s="121">
        <f t="shared" si="118"/>
        <v>1895000</v>
      </c>
    </row>
    <row r="385" spans="2:15" s="13" customFormat="1" ht="12.75" x14ac:dyDescent="0.2">
      <c r="B385" s="160">
        <v>9</v>
      </c>
      <c r="C385" s="305" t="s">
        <v>10</v>
      </c>
      <c r="D385" s="93" t="s">
        <v>322</v>
      </c>
      <c r="E385" s="165">
        <v>2863300</v>
      </c>
      <c r="F385" s="165">
        <v>2271047</v>
      </c>
      <c r="G385" s="285">
        <v>3567776</v>
      </c>
      <c r="H385" s="72">
        <f>SUMIF(Adat!$AE:$AE,CONCATENATE(61,N330,"056"),Adat!$E:$E)</f>
        <v>1895000</v>
      </c>
      <c r="I385" s="83">
        <v>1895000</v>
      </c>
      <c r="J385" s="434">
        <f t="shared" si="117"/>
        <v>0</v>
      </c>
      <c r="K385" s="72">
        <f>SUMIF(Adat!$AE:$AE,CONCATENATE(60,N330,"056"),Adat!$E:$E)+H385</f>
        <v>1895000</v>
      </c>
    </row>
    <row r="386" spans="2:15" s="13" customFormat="1" ht="12.75" x14ac:dyDescent="0.2">
      <c r="B386" s="160">
        <v>10</v>
      </c>
      <c r="C386" s="305" t="s">
        <v>12</v>
      </c>
      <c r="D386" s="93" t="s">
        <v>323</v>
      </c>
      <c r="E386" s="165"/>
      <c r="F386" s="165"/>
      <c r="G386" s="165"/>
      <c r="H386" s="72">
        <f>SUMIF(Adat!$AE:$AE,CONCATENATE(61,N330,"057"),Adat!$E:$E)</f>
        <v>0</v>
      </c>
      <c r="I386" s="83">
        <v>0</v>
      </c>
      <c r="J386" s="434">
        <f t="shared" si="117"/>
        <v>0</v>
      </c>
      <c r="K386" s="72">
        <f>SUMIF(Adat!$AE:$AE,CONCATENATE(60,N330,"057"),Adat!$E:$E)+H386</f>
        <v>0</v>
      </c>
    </row>
    <row r="387" spans="2:15" s="13" customFormat="1" ht="12.75" x14ac:dyDescent="0.2">
      <c r="B387" s="160">
        <v>11</v>
      </c>
      <c r="C387" s="305" t="s">
        <v>15</v>
      </c>
      <c r="D387" s="84" t="s">
        <v>324</v>
      </c>
      <c r="E387" s="165"/>
      <c r="F387" s="165"/>
      <c r="G387" s="165"/>
      <c r="H387" s="72">
        <f>SUMIF(Adat!$AE:$AE,CONCATENATE(61,N330,"058"),Adat!$E:$E)</f>
        <v>0</v>
      </c>
      <c r="I387" s="83">
        <v>0</v>
      </c>
      <c r="J387" s="434">
        <f t="shared" si="117"/>
        <v>0</v>
      </c>
      <c r="K387" s="72">
        <f>SUMIF(Adat!$AE:$AE,CONCATENATE(60,N330,"058"),Adat!$E:$E)+H387</f>
        <v>0</v>
      </c>
    </row>
    <row r="388" spans="2:15" s="13" customFormat="1" ht="12.75" x14ac:dyDescent="0.2">
      <c r="B388" s="160">
        <v>12</v>
      </c>
      <c r="C388" s="154" t="s">
        <v>364</v>
      </c>
      <c r="D388" s="86" t="s">
        <v>325</v>
      </c>
      <c r="E388" s="120">
        <v>0</v>
      </c>
      <c r="F388" s="120">
        <v>0</v>
      </c>
      <c r="G388" s="120">
        <v>0</v>
      </c>
      <c r="H388" s="71">
        <f>SUMIF(Adat!$AE:$AE,CONCATENATE(61,N330,"059"),Adat!$E:$E)</f>
        <v>0</v>
      </c>
      <c r="I388" s="80">
        <v>0</v>
      </c>
      <c r="J388" s="433">
        <f t="shared" si="117"/>
        <v>0</v>
      </c>
      <c r="K388" s="71">
        <f>SUMIF(Adat!$AE:$AE,CONCATENATE(60,N330,"059"),Adat!$E:$E)+H388</f>
        <v>0</v>
      </c>
    </row>
    <row r="389" spans="2:15" s="13" customFormat="1" ht="12.75" x14ac:dyDescent="0.2">
      <c r="B389" s="160">
        <v>13</v>
      </c>
      <c r="C389" s="154" t="s">
        <v>403</v>
      </c>
      <c r="D389" s="159" t="s">
        <v>497</v>
      </c>
      <c r="E389" s="120">
        <f>E378+E384+E388</f>
        <v>40442466</v>
      </c>
      <c r="F389" s="120">
        <f>F378+F384+F388</f>
        <v>45606950</v>
      </c>
      <c r="G389" s="120">
        <f>G378+G384+G388</f>
        <v>62504554</v>
      </c>
      <c r="H389" s="121">
        <f>H378+H384+H388</f>
        <v>64330536</v>
      </c>
      <c r="I389" s="120">
        <f t="shared" ref="I389" si="119">I378+I384+I388</f>
        <v>64330536</v>
      </c>
      <c r="J389" s="438">
        <f t="shared" si="117"/>
        <v>0</v>
      </c>
      <c r="K389" s="121">
        <f>K378+K384+K388</f>
        <v>64330536</v>
      </c>
    </row>
    <row r="390" spans="2:15" s="13" customFormat="1" ht="12.75" x14ac:dyDescent="0.2"/>
    <row r="391" spans="2:15" s="13" customFormat="1" x14ac:dyDescent="0.25">
      <c r="B391" s="511" t="str">
        <f>O391</f>
        <v/>
      </c>
      <c r="C391" s="511"/>
      <c r="D391" s="511"/>
      <c r="E391" s="511"/>
      <c r="F391" s="511"/>
      <c r="G391" s="511"/>
      <c r="H391" s="511"/>
      <c r="I391" s="511"/>
      <c r="J391" s="511"/>
      <c r="K391" s="511"/>
      <c r="M391" s="318">
        <v>6</v>
      </c>
      <c r="N391" s="320">
        <f>VLOOKUP(M391,Info!$B$5:$D$55,3)</f>
        <v>0</v>
      </c>
      <c r="O391" s="321" t="str">
        <f>VLOOKUP(M391,Info!$B$5:$D$55,2)</f>
        <v/>
      </c>
    </row>
    <row r="392" spans="2:15" s="13" customFormat="1" x14ac:dyDescent="0.2">
      <c r="B392" s="534" t="str">
        <f>CONCATENATE(PAR!$H$3," évi költségvetés és az előző három év összevont mérlege")</f>
        <v>2025. évi költségvetés és az előző három év összevont mérlege</v>
      </c>
      <c r="C392" s="534"/>
      <c r="D392" s="534"/>
      <c r="E392" s="534"/>
      <c r="F392" s="534"/>
      <c r="G392" s="534"/>
      <c r="H392" s="534"/>
      <c r="I392" s="534"/>
      <c r="J392" s="534"/>
      <c r="K392" s="534"/>
    </row>
    <row r="393" spans="2:15" s="13" customFormat="1" ht="12.75" x14ac:dyDescent="0.2">
      <c r="B393" s="535" t="s">
        <v>337</v>
      </c>
      <c r="C393" s="535"/>
      <c r="D393" s="535"/>
      <c r="E393" s="535"/>
      <c r="F393" s="535"/>
      <c r="G393" s="535"/>
      <c r="H393" s="535"/>
      <c r="I393" s="535"/>
      <c r="J393" s="535"/>
      <c r="K393" s="535"/>
    </row>
    <row r="394" spans="2:15" s="13" customFormat="1" ht="12.75" x14ac:dyDescent="0.2">
      <c r="B394" s="40"/>
      <c r="C394" s="256"/>
      <c r="D394" s="40"/>
      <c r="E394" s="39"/>
      <c r="F394" s="40"/>
      <c r="G394" s="40"/>
      <c r="H394" s="40"/>
      <c r="I394" s="40"/>
      <c r="J394" s="40"/>
    </row>
    <row r="395" spans="2:15" s="13" customFormat="1" x14ac:dyDescent="0.2">
      <c r="B395" s="201" t="s">
        <v>1505</v>
      </c>
      <c r="C395" s="201"/>
      <c r="D395" s="201"/>
      <c r="E395" s="201"/>
      <c r="F395" s="201"/>
      <c r="G395" s="201"/>
      <c r="H395" s="201"/>
      <c r="I395" s="201"/>
      <c r="J395" s="201"/>
      <c r="K395" s="201"/>
    </row>
    <row r="396" spans="2:15" s="13" customFormat="1" ht="12.75" x14ac:dyDescent="0.2">
      <c r="B396" s="40"/>
      <c r="C396" s="256"/>
      <c r="D396" s="40"/>
      <c r="E396" s="39"/>
      <c r="F396" s="40"/>
      <c r="G396" s="40"/>
      <c r="H396" s="40"/>
      <c r="I396" s="40"/>
      <c r="J396" s="40"/>
    </row>
    <row r="397" spans="2:15" s="13" customFormat="1" ht="12.75" x14ac:dyDescent="0.2">
      <c r="B397" s="77"/>
      <c r="C397" s="77" t="s">
        <v>350</v>
      </c>
      <c r="D397" s="77" t="s">
        <v>351</v>
      </c>
      <c r="E397" s="77" t="s">
        <v>470</v>
      </c>
      <c r="F397" s="77" t="s">
        <v>471</v>
      </c>
      <c r="G397" s="77" t="s">
        <v>44</v>
      </c>
      <c r="H397" s="77" t="s">
        <v>42</v>
      </c>
      <c r="I397" s="77" t="s">
        <v>511</v>
      </c>
      <c r="J397" s="77" t="s">
        <v>512</v>
      </c>
      <c r="K397" s="77" t="s">
        <v>591</v>
      </c>
    </row>
    <row r="398" spans="2:15" s="13" customFormat="1" ht="51" x14ac:dyDescent="0.2">
      <c r="B398" s="68">
        <v>1</v>
      </c>
      <c r="C398" s="78" t="s">
        <v>348</v>
      </c>
      <c r="D398" s="78" t="s">
        <v>349</v>
      </c>
      <c r="E398" s="69" t="str">
        <f>CONCATENATE(PAR!$H$12," évi 
teljesítés")</f>
        <v>2022. évi 
teljesítés</v>
      </c>
      <c r="F398" s="69" t="str">
        <f>CONCATENATE(PAR!$H$11," évi 
teljesítés")</f>
        <v>2023. évi 
teljesítés</v>
      </c>
      <c r="G398" s="69" t="str">
        <f>CONCATENATE(PAR!$H$10," évi 
teljesítés")</f>
        <v>2024. évi 
teljesítés</v>
      </c>
      <c r="H398" s="163" t="str">
        <f>CONCATENATE(PAR!$H$3," évi
eredeti 
előirányzat - ",Index!$E$17)</f>
        <v>2025. évi
eredeti 
előirányzat - 2/2025. (II.25.)</v>
      </c>
      <c r="I398" s="163" t="str">
        <f>CONCATENATE(PAR!$H$3," évi
módosított 
előirányzat - ",Index!$E$18)</f>
        <v xml:space="preserve">2025. évi
módosított 
előirányzat - </v>
      </c>
      <c r="J398" s="163" t="s">
        <v>2686</v>
      </c>
      <c r="K398" s="163" t="str">
        <f>CONCATENATE(PAR!$H$3," évi
módosított 
előirányzat - ",Index!$E$16)</f>
        <v>2025. évi
módosított 
előirányzat - .../2025. (...)</v>
      </c>
    </row>
    <row r="399" spans="2:15" s="13" customFormat="1" ht="12.75" x14ac:dyDescent="0.2">
      <c r="B399" s="160">
        <v>2</v>
      </c>
      <c r="C399" s="79" t="s">
        <v>30</v>
      </c>
      <c r="D399" s="79" t="s">
        <v>329</v>
      </c>
      <c r="E399" s="120">
        <f>SUM(E400:E412)</f>
        <v>0</v>
      </c>
      <c r="F399" s="120">
        <f t="shared" ref="F399" si="120">SUM(F400:F412)</f>
        <v>0</v>
      </c>
      <c r="G399" s="120">
        <f>SUM(G400:G412)</f>
        <v>0</v>
      </c>
      <c r="H399" s="121">
        <f t="shared" ref="H399:I399" si="121">SUM(H400:H412)</f>
        <v>0</v>
      </c>
      <c r="I399" s="120">
        <f t="shared" si="121"/>
        <v>0</v>
      </c>
      <c r="J399" s="438">
        <f>K399-I399</f>
        <v>0</v>
      </c>
      <c r="K399" s="121">
        <f>SUM(K400:K412)</f>
        <v>0</v>
      </c>
    </row>
    <row r="400" spans="2:15" s="13" customFormat="1" ht="12.75" x14ac:dyDescent="0.2">
      <c r="B400" s="160">
        <v>3</v>
      </c>
      <c r="C400" s="305" t="s">
        <v>1309</v>
      </c>
      <c r="D400" s="82" t="s">
        <v>1356</v>
      </c>
      <c r="E400" s="165"/>
      <c r="F400" s="165"/>
      <c r="G400" s="165"/>
      <c r="H400" s="166">
        <f>SUMIF(Adat!$AC:$AC,CONCATENATE(61,N391,"094011"),Adat!$E:$E)*-1</f>
        <v>0</v>
      </c>
      <c r="I400" s="165">
        <v>0</v>
      </c>
      <c r="J400" s="439">
        <f t="shared" ref="J400:J433" si="122">K400-I400</f>
        <v>0</v>
      </c>
      <c r="K400" s="166">
        <f>SUMIF(Adat!$AC:$AC,CONCATENATE(60,N391,"094011"),Adat!$E:$E)*-1+H400</f>
        <v>0</v>
      </c>
    </row>
    <row r="401" spans="2:11" s="13" customFormat="1" ht="12.75" x14ac:dyDescent="0.2">
      <c r="B401" s="160">
        <v>4</v>
      </c>
      <c r="C401" s="305" t="s">
        <v>1279</v>
      </c>
      <c r="D401" s="82" t="s">
        <v>1357</v>
      </c>
      <c r="E401" s="165"/>
      <c r="F401" s="165"/>
      <c r="G401" s="165"/>
      <c r="H401" s="166">
        <f>SUMIF(Adat!$AC:$AC,CONCATENATE(61,N391,"094021"),Adat!$E:$E)*-1</f>
        <v>0</v>
      </c>
      <c r="I401" s="165">
        <v>0</v>
      </c>
      <c r="J401" s="439">
        <f t="shared" si="122"/>
        <v>0</v>
      </c>
      <c r="K401" s="166">
        <f>SUMIF(Adat!$AC:$AC,CONCATENATE(60,N391,"094021"),Adat!$E:$E)*-1+H401</f>
        <v>0</v>
      </c>
    </row>
    <row r="402" spans="2:11" s="13" customFormat="1" ht="12.75" x14ac:dyDescent="0.2">
      <c r="B402" s="160">
        <v>5</v>
      </c>
      <c r="C402" s="305" t="s">
        <v>1272</v>
      </c>
      <c r="D402" s="82" t="s">
        <v>1358</v>
      </c>
      <c r="E402" s="165"/>
      <c r="F402" s="165"/>
      <c r="G402" s="165"/>
      <c r="H402" s="166">
        <f>SUMIF(Adat!$AC:$AC,CONCATENATE(61,N391,"094031"),Adat!$E:$E)*-1</f>
        <v>0</v>
      </c>
      <c r="I402" s="165">
        <v>0</v>
      </c>
      <c r="J402" s="439">
        <f t="shared" si="122"/>
        <v>0</v>
      </c>
      <c r="K402" s="166">
        <f>SUMIF(Adat!$AC:$AC,CONCATENATE(60,N391,"094031"),Adat!$E:$E)*-1+H402</f>
        <v>0</v>
      </c>
    </row>
    <row r="403" spans="2:11" s="13" customFormat="1" ht="12.75" x14ac:dyDescent="0.2">
      <c r="B403" s="160">
        <v>6</v>
      </c>
      <c r="C403" s="305" t="s">
        <v>1359</v>
      </c>
      <c r="D403" s="82" t="s">
        <v>1360</v>
      </c>
      <c r="E403" s="165"/>
      <c r="F403" s="165"/>
      <c r="G403" s="165"/>
      <c r="H403" s="166">
        <f>SUMIF(Adat!$AC:$AC,CONCATENATE(61,N391,"094041"),Adat!$E:$E)*-1</f>
        <v>0</v>
      </c>
      <c r="I403" s="165">
        <v>0</v>
      </c>
      <c r="J403" s="439">
        <f t="shared" si="122"/>
        <v>0</v>
      </c>
      <c r="K403" s="166">
        <f>SUMIF(Adat!$AC:$AC,CONCATENATE(60,N391,"094041"),Adat!$E:$E)*-1+H403</f>
        <v>0</v>
      </c>
    </row>
    <row r="404" spans="2:11" s="13" customFormat="1" ht="12.75" x14ac:dyDescent="0.2">
      <c r="B404" s="160">
        <v>7</v>
      </c>
      <c r="C404" s="305" t="s">
        <v>1261</v>
      </c>
      <c r="D404" s="82" t="s">
        <v>1361</v>
      </c>
      <c r="E404" s="165"/>
      <c r="F404" s="165"/>
      <c r="G404" s="165"/>
      <c r="H404" s="166">
        <f>SUMIF(Adat!$AC:$AC,CONCATENATE(61,N391,"094051"),Adat!$E:$E)*-1</f>
        <v>0</v>
      </c>
      <c r="I404" s="165">
        <v>0</v>
      </c>
      <c r="J404" s="439">
        <f t="shared" si="122"/>
        <v>0</v>
      </c>
      <c r="K404" s="166">
        <f>SUMIF(Adat!$AC:$AC,CONCATENATE(60,N391,"094051"),Adat!$E:$E)*-1+H404</f>
        <v>0</v>
      </c>
    </row>
    <row r="405" spans="2:11" s="13" customFormat="1" ht="12.75" x14ac:dyDescent="0.2">
      <c r="B405" s="160">
        <v>8</v>
      </c>
      <c r="C405" s="305" t="s">
        <v>1273</v>
      </c>
      <c r="D405" s="82" t="s">
        <v>1362</v>
      </c>
      <c r="E405" s="165"/>
      <c r="F405" s="165"/>
      <c r="G405" s="165"/>
      <c r="H405" s="166">
        <f>SUMIF(Adat!$AC:$AC,CONCATENATE(61,N391,"094061"),Adat!$E:$E)*-1</f>
        <v>0</v>
      </c>
      <c r="I405" s="165">
        <v>0</v>
      </c>
      <c r="J405" s="439">
        <f t="shared" si="122"/>
        <v>0</v>
      </c>
      <c r="K405" s="166">
        <f>SUMIF(Adat!$AC:$AC,CONCATENATE(60,N391,"094061"),Adat!$E:$E)*-1+H405</f>
        <v>0</v>
      </c>
    </row>
    <row r="406" spans="2:11" s="13" customFormat="1" ht="12.75" x14ac:dyDescent="0.2">
      <c r="B406" s="160">
        <v>9</v>
      </c>
      <c r="C406" s="305" t="s">
        <v>1363</v>
      </c>
      <c r="D406" s="82" t="s">
        <v>1364</v>
      </c>
      <c r="E406" s="165"/>
      <c r="F406" s="165"/>
      <c r="G406" s="165"/>
      <c r="H406" s="166">
        <f>SUMIF(Adat!$AC:$AC,CONCATENATE(61,N391,"094071"),Adat!$E:$E)*-1</f>
        <v>0</v>
      </c>
      <c r="I406" s="165">
        <v>0</v>
      </c>
      <c r="J406" s="439">
        <f t="shared" si="122"/>
        <v>0</v>
      </c>
      <c r="K406" s="166">
        <f>SUMIF(Adat!$AC:$AC,CONCATENATE(60,N391,"094071"),Adat!$E:$E)*-1+H406</f>
        <v>0</v>
      </c>
    </row>
    <row r="407" spans="2:11" s="13" customFormat="1" ht="12.75" x14ac:dyDescent="0.2">
      <c r="B407" s="160">
        <v>10</v>
      </c>
      <c r="C407" s="305" t="s">
        <v>1306</v>
      </c>
      <c r="D407" s="82" t="s">
        <v>1365</v>
      </c>
      <c r="E407" s="165"/>
      <c r="F407" s="165"/>
      <c r="G407" s="165"/>
      <c r="H407" s="166">
        <f>SUMIF(Adat!$AC:$AC,CONCATENATE(61,N391,"0940811"),Adat!$E:$E)*-1</f>
        <v>0</v>
      </c>
      <c r="I407" s="165">
        <v>0</v>
      </c>
      <c r="J407" s="439">
        <f t="shared" si="122"/>
        <v>0</v>
      </c>
      <c r="K407" s="166">
        <f>SUMIF(Adat!$AC:$AC,CONCATENATE(60,N391,"0940811"),Adat!$E:$E)*-1+H407</f>
        <v>0</v>
      </c>
    </row>
    <row r="408" spans="2:11" s="13" customFormat="1" ht="12.75" x14ac:dyDescent="0.2">
      <c r="B408" s="160">
        <v>11</v>
      </c>
      <c r="C408" s="305" t="s">
        <v>1295</v>
      </c>
      <c r="D408" s="82" t="s">
        <v>1366</v>
      </c>
      <c r="E408" s="165"/>
      <c r="F408" s="165"/>
      <c r="G408" s="165"/>
      <c r="H408" s="166">
        <f>SUMIF(Adat!$AC:$AC,CONCATENATE(61,N391,"0940821"),Adat!$E:$E)*-1</f>
        <v>0</v>
      </c>
      <c r="I408" s="165">
        <v>0</v>
      </c>
      <c r="J408" s="439">
        <f t="shared" si="122"/>
        <v>0</v>
      </c>
      <c r="K408" s="166">
        <f>SUMIF(Adat!$AC:$AC,CONCATENATE(60,N391,"0940821"),Adat!$E:$E)*-1+H408</f>
        <v>0</v>
      </c>
    </row>
    <row r="409" spans="2:11" s="13" customFormat="1" ht="12.75" x14ac:dyDescent="0.2">
      <c r="B409" s="160">
        <v>12</v>
      </c>
      <c r="C409" s="305" t="s">
        <v>1367</v>
      </c>
      <c r="D409" s="82" t="s">
        <v>1368</v>
      </c>
      <c r="E409" s="165"/>
      <c r="F409" s="165"/>
      <c r="G409" s="165"/>
      <c r="H409" s="166">
        <f>SUMIF(Adat!$AC:$AC,CONCATENATE(61,N391,"0940911"),Adat!$E:$E)*-1</f>
        <v>0</v>
      </c>
      <c r="I409" s="165">
        <v>0</v>
      </c>
      <c r="J409" s="439">
        <f t="shared" si="122"/>
        <v>0</v>
      </c>
      <c r="K409" s="166">
        <f>SUMIF(Adat!$AC:$AC,CONCATENATE(60,N391,"0940911"),Adat!$E:$E)*-1+H409</f>
        <v>0</v>
      </c>
    </row>
    <row r="410" spans="2:11" s="13" customFormat="1" ht="12.75" x14ac:dyDescent="0.2">
      <c r="B410" s="160">
        <v>13</v>
      </c>
      <c r="C410" s="305" t="s">
        <v>1369</v>
      </c>
      <c r="D410" s="82" t="s">
        <v>1370</v>
      </c>
      <c r="E410" s="165"/>
      <c r="F410" s="165"/>
      <c r="G410" s="165"/>
      <c r="H410" s="166">
        <f>SUMIF(Adat!$AC:$AC,CONCATENATE(61,N391,"0940921"),Adat!$E:$E)*-1</f>
        <v>0</v>
      </c>
      <c r="I410" s="165">
        <v>0</v>
      </c>
      <c r="J410" s="439">
        <f t="shared" si="122"/>
        <v>0</v>
      </c>
      <c r="K410" s="166">
        <f>SUMIF(Adat!$AC:$AC,CONCATENATE(60,N391,"0940921"),Adat!$E:$E)*-1+H410</f>
        <v>0</v>
      </c>
    </row>
    <row r="411" spans="2:11" s="13" customFormat="1" ht="12.75" x14ac:dyDescent="0.2">
      <c r="B411" s="160">
        <v>14</v>
      </c>
      <c r="C411" s="305" t="s">
        <v>1296</v>
      </c>
      <c r="D411" s="82" t="s">
        <v>1371</v>
      </c>
      <c r="E411" s="165"/>
      <c r="F411" s="165"/>
      <c r="G411" s="165"/>
      <c r="H411" s="166">
        <f>SUMIF(Adat!$AC:$AC,CONCATENATE(61,N391,"094101"),Adat!$E:$E)*-1</f>
        <v>0</v>
      </c>
      <c r="I411" s="165">
        <v>0</v>
      </c>
      <c r="J411" s="439">
        <f t="shared" si="122"/>
        <v>0</v>
      </c>
      <c r="K411" s="166">
        <f>SUMIF(Adat!$AC:$AC,CONCATENATE(60,N391,"094101"),Adat!$E:$E)*-1+H411</f>
        <v>0</v>
      </c>
    </row>
    <row r="412" spans="2:11" s="13" customFormat="1" ht="12.75" x14ac:dyDescent="0.2">
      <c r="B412" s="160">
        <v>15</v>
      </c>
      <c r="C412" s="305" t="s">
        <v>1297</v>
      </c>
      <c r="D412" s="84" t="s">
        <v>1372</v>
      </c>
      <c r="E412" s="165"/>
      <c r="F412" s="165"/>
      <c r="G412" s="165"/>
      <c r="H412" s="166">
        <f>SUMIF(Adat!$AC:$AC,CONCATENATE(61,N391,"094111"),Adat!$E:$E)*-1</f>
        <v>0</v>
      </c>
      <c r="I412" s="165">
        <v>0</v>
      </c>
      <c r="J412" s="439">
        <f t="shared" si="122"/>
        <v>0</v>
      </c>
      <c r="K412" s="166">
        <f>SUMIF(Adat!$AC:$AC,CONCATENATE(60,N391,"094111"),Adat!$E:$E)*-1+H412</f>
        <v>0</v>
      </c>
    </row>
    <row r="413" spans="2:11" s="13" customFormat="1" ht="12.75" x14ac:dyDescent="0.2">
      <c r="B413" s="160">
        <v>16</v>
      </c>
      <c r="C413" s="78" t="s">
        <v>1328</v>
      </c>
      <c r="D413" s="85" t="s">
        <v>437</v>
      </c>
      <c r="E413" s="120">
        <f>SUM(E414:E416)</f>
        <v>0</v>
      </c>
      <c r="F413" s="120">
        <f t="shared" ref="F413" si="123">SUM(F414:F416)</f>
        <v>0</v>
      </c>
      <c r="G413" s="120">
        <f>SUM(G414:G416)</f>
        <v>0</v>
      </c>
      <c r="H413" s="121">
        <f t="shared" ref="H413:I413" si="124">SUM(H414:H416)</f>
        <v>0</v>
      </c>
      <c r="I413" s="120">
        <f t="shared" si="124"/>
        <v>0</v>
      </c>
      <c r="J413" s="438">
        <f t="shared" si="122"/>
        <v>0</v>
      </c>
      <c r="K413" s="121">
        <f>SUM(K414:K416)</f>
        <v>0</v>
      </c>
    </row>
    <row r="414" spans="2:11" s="13" customFormat="1" ht="12.75" x14ac:dyDescent="0.2">
      <c r="B414" s="160">
        <v>17</v>
      </c>
      <c r="C414" s="305" t="s">
        <v>1329</v>
      </c>
      <c r="D414" s="82" t="s">
        <v>1330</v>
      </c>
      <c r="E414" s="165"/>
      <c r="F414" s="165"/>
      <c r="G414" s="165"/>
      <c r="H414" s="166">
        <f>SUMIF(Adat!$AC:$AC,CONCATENATE(61,N391,"09121"),Adat!$E:$E)*-1</f>
        <v>0</v>
      </c>
      <c r="I414" s="165">
        <v>0</v>
      </c>
      <c r="J414" s="439">
        <f t="shared" si="122"/>
        <v>0</v>
      </c>
      <c r="K414" s="166">
        <f>SUMIF(Adat!$AC:$AC,CONCATENATE(60,N391,"09121"),Adat!$E:$E)*-1+H414</f>
        <v>0</v>
      </c>
    </row>
    <row r="415" spans="2:11" s="13" customFormat="1" ht="12.75" x14ac:dyDescent="0.2">
      <c r="B415" s="160">
        <v>18</v>
      </c>
      <c r="C415" s="305" t="s">
        <v>1335</v>
      </c>
      <c r="D415" s="82" t="s">
        <v>1336</v>
      </c>
      <c r="E415" s="165"/>
      <c r="F415" s="165"/>
      <c r="G415" s="165"/>
      <c r="H415" s="166">
        <f>SUMIF(Adat!$AC:$AC,CONCATENATE(61,N391,"09151"),Adat!$E:$E)*-1</f>
        <v>0</v>
      </c>
      <c r="I415" s="165">
        <v>0</v>
      </c>
      <c r="J415" s="439">
        <f t="shared" si="122"/>
        <v>0</v>
      </c>
      <c r="K415" s="166">
        <f>SUMIF(Adat!$AC:$AC,CONCATENATE(60,N391,"09151"),Adat!$E:$E)*-1+H415</f>
        <v>0</v>
      </c>
    </row>
    <row r="416" spans="2:11" s="13" customFormat="1" ht="12.75" x14ac:dyDescent="0.2">
      <c r="B416" s="160">
        <v>19</v>
      </c>
      <c r="C416" s="305" t="s">
        <v>1278</v>
      </c>
      <c r="D416" s="82" t="s">
        <v>1337</v>
      </c>
      <c r="E416" s="165"/>
      <c r="F416" s="165"/>
      <c r="G416" s="165"/>
      <c r="H416" s="166">
        <f>SUMIF(Adat!$AC:$AC,CONCATENATE(61,N391,"09161"),Adat!$E:$E)*-1</f>
        <v>0</v>
      </c>
      <c r="I416" s="165">
        <v>0</v>
      </c>
      <c r="J416" s="439">
        <f t="shared" si="122"/>
        <v>0</v>
      </c>
      <c r="K416" s="166">
        <f>SUMIF(Adat!$AC:$AC,CONCATENATE(60,N391,"09161"),Adat!$E:$E)*-1+H416</f>
        <v>0</v>
      </c>
    </row>
    <row r="417" spans="2:11" s="13" customFormat="1" ht="12.75" x14ac:dyDescent="0.2">
      <c r="B417" s="160">
        <v>20</v>
      </c>
      <c r="C417" s="79" t="s">
        <v>27</v>
      </c>
      <c r="D417" s="79" t="s">
        <v>328</v>
      </c>
      <c r="E417" s="120">
        <v>0</v>
      </c>
      <c r="F417" s="120">
        <v>0</v>
      </c>
      <c r="G417" s="120">
        <v>0</v>
      </c>
      <c r="H417" s="71">
        <f>SUMIF(Adat!$AE:$AE,CONCATENATE(61,N391,"093"),Adat!$E:$E)*-1</f>
        <v>0</v>
      </c>
      <c r="I417" s="80">
        <v>0</v>
      </c>
      <c r="J417" s="433">
        <f t="shared" si="122"/>
        <v>0</v>
      </c>
      <c r="K417" s="71">
        <f>SUMIF(Adat!$AE:$AE,CONCATENATE(60,N391,"093"),Adat!$E:$E)*-1+H417</f>
        <v>0</v>
      </c>
    </row>
    <row r="418" spans="2:11" s="13" customFormat="1" ht="12.75" x14ac:dyDescent="0.2">
      <c r="B418" s="160">
        <v>21</v>
      </c>
      <c r="C418" s="79" t="s">
        <v>24</v>
      </c>
      <c r="D418" s="79" t="s">
        <v>449</v>
      </c>
      <c r="E418" s="120">
        <f>SUM(E419:E421)</f>
        <v>0</v>
      </c>
      <c r="F418" s="120">
        <f t="shared" ref="F418:G418" si="125">SUM(F419:F421)</f>
        <v>0</v>
      </c>
      <c r="G418" s="120">
        <f t="shared" si="125"/>
        <v>0</v>
      </c>
      <c r="H418" s="121">
        <f>SUM(H419:H421)</f>
        <v>0</v>
      </c>
      <c r="I418" s="120">
        <f>SUM(I419:I421)</f>
        <v>0</v>
      </c>
      <c r="J418" s="438">
        <f t="shared" si="122"/>
        <v>0</v>
      </c>
      <c r="K418" s="121">
        <f t="shared" ref="K418" si="126">SUM(K419:K421)</f>
        <v>0</v>
      </c>
    </row>
    <row r="419" spans="2:11" s="13" customFormat="1" ht="12.75" x14ac:dyDescent="0.2">
      <c r="B419" s="160">
        <v>22</v>
      </c>
      <c r="C419" s="305" t="s">
        <v>1339</v>
      </c>
      <c r="D419" s="82" t="s">
        <v>1340</v>
      </c>
      <c r="E419" s="165"/>
      <c r="F419" s="165"/>
      <c r="G419" s="165"/>
      <c r="H419" s="166">
        <f>SUMIF(Adat!$AC:$AC,CONCATENATE(61,N391,"09211"),Adat!$E:$E)*-1</f>
        <v>0</v>
      </c>
      <c r="I419" s="165">
        <v>0</v>
      </c>
      <c r="J419" s="439">
        <f t="shared" si="122"/>
        <v>0</v>
      </c>
      <c r="K419" s="166">
        <f>SUMIF(Adat!$AC:$AC,CONCATENATE(60,N391,"09211"),Adat!$E:$E)*-1+H419</f>
        <v>0</v>
      </c>
    </row>
    <row r="420" spans="2:11" s="13" customFormat="1" ht="12.75" x14ac:dyDescent="0.2">
      <c r="B420" s="160">
        <v>23</v>
      </c>
      <c r="C420" s="305" t="s">
        <v>1345</v>
      </c>
      <c r="D420" s="82" t="s">
        <v>1346</v>
      </c>
      <c r="E420" s="165"/>
      <c r="F420" s="165"/>
      <c r="G420" s="165"/>
      <c r="H420" s="166">
        <f>SUMIF(Adat!$AC:$AC,CONCATENATE(61,N391,"09241"),Adat!$E:$E)*-1</f>
        <v>0</v>
      </c>
      <c r="I420" s="165">
        <v>0</v>
      </c>
      <c r="J420" s="439">
        <f t="shared" si="122"/>
        <v>0</v>
      </c>
      <c r="K420" s="166">
        <f>SUMIF(Adat!$AC:$AC,CONCATENATE(60,N391,"09241"),Adat!$E:$E)*-1+H420</f>
        <v>0</v>
      </c>
    </row>
    <row r="421" spans="2:11" s="13" customFormat="1" ht="12.75" x14ac:dyDescent="0.2">
      <c r="B421" s="160">
        <v>24</v>
      </c>
      <c r="C421" s="305" t="s">
        <v>1255</v>
      </c>
      <c r="D421" s="82" t="s">
        <v>1347</v>
      </c>
      <c r="E421" s="165"/>
      <c r="F421" s="165"/>
      <c r="G421" s="165"/>
      <c r="H421" s="166">
        <f>SUMIF(Adat!$AC:$AC,CONCATENATE(61,N391,"09251"),Adat!$E:$E)*-1</f>
        <v>0</v>
      </c>
      <c r="I421" s="165">
        <v>0</v>
      </c>
      <c r="J421" s="439">
        <f t="shared" si="122"/>
        <v>0</v>
      </c>
      <c r="K421" s="166">
        <f>SUMIF(Adat!$AC:$AC,CONCATENATE(60,N391,"09251"),Adat!$E:$E)*-1+H421</f>
        <v>0</v>
      </c>
    </row>
    <row r="422" spans="2:11" s="13" customFormat="1" ht="12.75" x14ac:dyDescent="0.2">
      <c r="B422" s="160">
        <v>25</v>
      </c>
      <c r="C422" s="79" t="s">
        <v>33</v>
      </c>
      <c r="D422" s="79" t="s">
        <v>330</v>
      </c>
      <c r="E422" s="120">
        <f>SUM(E423:E425)</f>
        <v>0</v>
      </c>
      <c r="F422" s="120">
        <f t="shared" ref="F422:K422" si="127">SUM(F423:F425)</f>
        <v>0</v>
      </c>
      <c r="G422" s="120">
        <f t="shared" si="127"/>
        <v>0</v>
      </c>
      <c r="H422" s="121">
        <f t="shared" si="127"/>
        <v>0</v>
      </c>
      <c r="I422" s="120">
        <f t="shared" si="127"/>
        <v>0</v>
      </c>
      <c r="J422" s="438">
        <f t="shared" si="122"/>
        <v>0</v>
      </c>
      <c r="K422" s="121">
        <f t="shared" si="127"/>
        <v>0</v>
      </c>
    </row>
    <row r="423" spans="2:11" s="13" customFormat="1" ht="12.75" x14ac:dyDescent="0.2">
      <c r="B423" s="160">
        <v>26</v>
      </c>
      <c r="C423" s="305" t="s">
        <v>1373</v>
      </c>
      <c r="D423" s="82" t="s">
        <v>1374</v>
      </c>
      <c r="E423" s="165"/>
      <c r="F423" s="165"/>
      <c r="G423" s="165"/>
      <c r="H423" s="166">
        <f>SUMIF(Adat!$AC:$AC,CONCATENATE(61,N391,"09511"),Adat!$E:$E)*-1</f>
        <v>0</v>
      </c>
      <c r="I423" s="165">
        <v>0</v>
      </c>
      <c r="J423" s="439">
        <f t="shared" si="122"/>
        <v>0</v>
      </c>
      <c r="K423" s="166">
        <f>SUMIF(Adat!$AC:$AC,CONCATENATE(60,N391,"09511"),Adat!$E:$E)*-1+H423</f>
        <v>0</v>
      </c>
    </row>
    <row r="424" spans="2:11" s="13" customFormat="1" ht="12.75" x14ac:dyDescent="0.2">
      <c r="B424" s="160">
        <v>27</v>
      </c>
      <c r="C424" s="305" t="s">
        <v>1294</v>
      </c>
      <c r="D424" s="82" t="s">
        <v>1375</v>
      </c>
      <c r="E424" s="165"/>
      <c r="F424" s="165"/>
      <c r="G424" s="165"/>
      <c r="H424" s="166">
        <f>SUMIF(Adat!$AC:$AC,CONCATENATE(61,N391,"09521"),Adat!$E:$E)*-1</f>
        <v>0</v>
      </c>
      <c r="I424" s="165">
        <v>0</v>
      </c>
      <c r="J424" s="439">
        <f t="shared" si="122"/>
        <v>0</v>
      </c>
      <c r="K424" s="166">
        <f>SUMIF(Adat!$AC:$AC,CONCATENATE(60,N391,"09521"),Adat!$E:$E)*-1+H424</f>
        <v>0</v>
      </c>
    </row>
    <row r="425" spans="2:11" s="13" customFormat="1" ht="12.75" x14ac:dyDescent="0.2">
      <c r="B425" s="160">
        <v>28</v>
      </c>
      <c r="C425" s="305" t="s">
        <v>1376</v>
      </c>
      <c r="D425" s="82" t="s">
        <v>1377</v>
      </c>
      <c r="E425" s="165"/>
      <c r="F425" s="165"/>
      <c r="G425" s="165"/>
      <c r="H425" s="166">
        <f>SUMIF(Adat!$AC:$AC,CONCATENATE(61,N391,"09531"),Adat!$E:$E)*-1</f>
        <v>0</v>
      </c>
      <c r="I425" s="165">
        <v>0</v>
      </c>
      <c r="J425" s="439">
        <f t="shared" si="122"/>
        <v>0</v>
      </c>
      <c r="K425" s="166">
        <f>SUMIF(Adat!$AC:$AC,CONCATENATE(60,N391,"09531"),Adat!$E:$E)*-1+H425</f>
        <v>0</v>
      </c>
    </row>
    <row r="426" spans="2:11" s="13" customFormat="1" ht="12.75" x14ac:dyDescent="0.2">
      <c r="B426" s="160">
        <v>29</v>
      </c>
      <c r="C426" s="79" t="s">
        <v>36</v>
      </c>
      <c r="D426" s="79" t="s">
        <v>331</v>
      </c>
      <c r="E426" s="120">
        <v>0</v>
      </c>
      <c r="F426" s="120">
        <v>0</v>
      </c>
      <c r="G426" s="120">
        <v>0</v>
      </c>
      <c r="H426" s="71">
        <f>SUMIF(Adat!$AE:$AE,CONCATENATE(61,N391,"096"),Adat!$E:$E)*-1</f>
        <v>0</v>
      </c>
      <c r="I426" s="80">
        <v>0</v>
      </c>
      <c r="J426" s="433">
        <f t="shared" si="122"/>
        <v>0</v>
      </c>
      <c r="K426" s="71">
        <f>SUMIF(Adat!$AE:$AE,CONCATENATE(60,N391,"096"),Adat!$E:$E)*-1+H426</f>
        <v>0</v>
      </c>
    </row>
    <row r="427" spans="2:11" s="13" customFormat="1" ht="12.75" x14ac:dyDescent="0.2">
      <c r="B427" s="160">
        <v>30</v>
      </c>
      <c r="C427" s="79" t="s">
        <v>38</v>
      </c>
      <c r="D427" s="85" t="s">
        <v>332</v>
      </c>
      <c r="E427" s="120">
        <v>0</v>
      </c>
      <c r="F427" s="120">
        <v>0</v>
      </c>
      <c r="G427" s="120">
        <v>0</v>
      </c>
      <c r="H427" s="71">
        <f>SUMIF(Adat!$AE:$AE,CONCATENATE(61,N391,"097"),Adat!$E:$E)*-1</f>
        <v>0</v>
      </c>
      <c r="I427" s="80">
        <v>0</v>
      </c>
      <c r="J427" s="433">
        <f t="shared" si="122"/>
        <v>0</v>
      </c>
      <c r="K427" s="71">
        <f>SUMIF(Adat!$AE:$AE,CONCATENATE(60,N391,"097"),Adat!$E:$E)*-1+H427</f>
        <v>0</v>
      </c>
    </row>
    <row r="428" spans="2:11" s="13" customFormat="1" ht="12.75" x14ac:dyDescent="0.2">
      <c r="B428" s="160">
        <v>31</v>
      </c>
      <c r="C428" s="154" t="s">
        <v>352</v>
      </c>
      <c r="D428" s="86" t="s">
        <v>1500</v>
      </c>
      <c r="E428" s="120">
        <f>E399+E413+E417+E418+E422+E426+E427</f>
        <v>0</v>
      </c>
      <c r="F428" s="120">
        <f>F399+F413+F417+F418+F422+F426+F427</f>
        <v>0</v>
      </c>
      <c r="G428" s="120">
        <f>G399+G413+G417+G418+G422+G426+G427</f>
        <v>0</v>
      </c>
      <c r="H428" s="121">
        <f>H399+H413+H417+H418+H422+H426+H427</f>
        <v>0</v>
      </c>
      <c r="I428" s="120">
        <f t="shared" ref="I428" si="128">I399+I413+I417+I418+I422+I426+I427</f>
        <v>0</v>
      </c>
      <c r="J428" s="438">
        <f t="shared" si="122"/>
        <v>0</v>
      </c>
      <c r="K428" s="121">
        <f>K399+K413+K417+K418+K422+K426+K427</f>
        <v>0</v>
      </c>
    </row>
    <row r="429" spans="2:11" s="13" customFormat="1" ht="12.75" x14ac:dyDescent="0.2">
      <c r="B429" s="160">
        <v>32</v>
      </c>
      <c r="C429" s="154" t="s">
        <v>358</v>
      </c>
      <c r="D429" s="86" t="s">
        <v>333</v>
      </c>
      <c r="E429" s="120">
        <f>SUM(E430:E432)</f>
        <v>0</v>
      </c>
      <c r="F429" s="120">
        <f t="shared" ref="F429" si="129">SUM(F430:F432)</f>
        <v>0</v>
      </c>
      <c r="G429" s="120">
        <f>SUM(G430:G432)</f>
        <v>0</v>
      </c>
      <c r="H429" s="121">
        <f t="shared" ref="H429:K429" si="130">SUM(H430:H432)</f>
        <v>0</v>
      </c>
      <c r="I429" s="120">
        <f t="shared" ref="I429" si="131">SUM(I430:I432)</f>
        <v>0</v>
      </c>
      <c r="J429" s="438">
        <f t="shared" si="122"/>
        <v>0</v>
      </c>
      <c r="K429" s="121">
        <f t="shared" si="130"/>
        <v>0</v>
      </c>
    </row>
    <row r="430" spans="2:11" s="13" customFormat="1" ht="12.75" x14ac:dyDescent="0.2">
      <c r="B430" s="160">
        <v>33</v>
      </c>
      <c r="C430" s="305" t="s">
        <v>1274</v>
      </c>
      <c r="D430" s="82" t="s">
        <v>1419</v>
      </c>
      <c r="E430" s="165"/>
      <c r="F430" s="165"/>
      <c r="G430" s="165"/>
      <c r="H430" s="166">
        <f>SUMIF(Adat!$AC:$AC,CONCATENATE(61,N391,"0981311"),Adat!$E:$E)*-1</f>
        <v>0</v>
      </c>
      <c r="I430" s="165">
        <v>0</v>
      </c>
      <c r="J430" s="439">
        <f t="shared" si="122"/>
        <v>0</v>
      </c>
      <c r="K430" s="166">
        <f>SUMIF(Adat!$AC:$AC,CONCATENATE(60,N391,"0981311"),Adat!$E:$E)*-1+H430</f>
        <v>0</v>
      </c>
    </row>
    <row r="431" spans="2:11" s="13" customFormat="1" ht="12.75" x14ac:dyDescent="0.2">
      <c r="B431" s="160">
        <v>34</v>
      </c>
      <c r="C431" s="305" t="s">
        <v>1420</v>
      </c>
      <c r="D431" s="84" t="s">
        <v>1421</v>
      </c>
      <c r="E431" s="165"/>
      <c r="F431" s="165"/>
      <c r="G431" s="165"/>
      <c r="H431" s="166">
        <f>SUMIF(Adat!$AC:$AC,CONCATENATE(61,N391,"0981321"),Adat!$E:$E)*-1</f>
        <v>0</v>
      </c>
      <c r="I431" s="165">
        <v>0</v>
      </c>
      <c r="J431" s="439">
        <f t="shared" si="122"/>
        <v>0</v>
      </c>
      <c r="K431" s="166">
        <f>SUMIF(Adat!$AC:$AC,CONCATENATE(60,N391,"0981321"),Adat!$E:$E)*-1+H431</f>
        <v>0</v>
      </c>
    </row>
    <row r="432" spans="2:11" s="13" customFormat="1" ht="12.75" x14ac:dyDescent="0.2">
      <c r="B432" s="160">
        <v>35</v>
      </c>
      <c r="C432" s="319" t="s">
        <v>1275</v>
      </c>
      <c r="D432" s="84" t="s">
        <v>1501</v>
      </c>
      <c r="E432" s="165"/>
      <c r="F432" s="165"/>
      <c r="G432" s="165"/>
      <c r="H432" s="166">
        <f>SUMIF(Adat!$AC:$AC,CONCATENATE(61,N391,"098161"),Adat!$E:$E)*-1</f>
        <v>0</v>
      </c>
      <c r="I432" s="165">
        <v>0</v>
      </c>
      <c r="J432" s="439">
        <f t="shared" si="122"/>
        <v>0</v>
      </c>
      <c r="K432" s="166">
        <f>SUMIF(Adat!$AC:$AC,CONCATENATE(60,N391,"098161"),Adat!$E:$E)*-1+H432</f>
        <v>0</v>
      </c>
    </row>
    <row r="433" spans="2:11" s="13" customFormat="1" ht="12.75" x14ac:dyDescent="0.2">
      <c r="B433" s="160">
        <v>36</v>
      </c>
      <c r="C433" s="154" t="s">
        <v>364</v>
      </c>
      <c r="D433" s="159" t="s">
        <v>1502</v>
      </c>
      <c r="E433" s="120">
        <f>E428+E429</f>
        <v>0</v>
      </c>
      <c r="F433" s="120">
        <f t="shared" ref="F433:G433" si="132">F428+F429</f>
        <v>0</v>
      </c>
      <c r="G433" s="120">
        <f t="shared" si="132"/>
        <v>0</v>
      </c>
      <c r="H433" s="121">
        <f>H428+H429</f>
        <v>0</v>
      </c>
      <c r="I433" s="120">
        <f t="shared" ref="I433" si="133">I428+I429</f>
        <v>0</v>
      </c>
      <c r="J433" s="438">
        <f t="shared" si="122"/>
        <v>0</v>
      </c>
      <c r="K433" s="121">
        <f>K428+K429</f>
        <v>0</v>
      </c>
    </row>
    <row r="434" spans="2:11" s="13" customFormat="1" ht="12.75" x14ac:dyDescent="0.2">
      <c r="B434" s="40"/>
      <c r="C434" s="256"/>
      <c r="D434" s="40"/>
      <c r="H434" s="39"/>
      <c r="I434" s="39"/>
      <c r="J434" s="39"/>
    </row>
    <row r="435" spans="2:11" s="13" customFormat="1" x14ac:dyDescent="0.2">
      <c r="B435" s="202" t="s">
        <v>1506</v>
      </c>
      <c r="C435" s="260"/>
      <c r="D435" s="260"/>
      <c r="H435" s="260"/>
      <c r="I435" s="260"/>
      <c r="J435" s="260"/>
    </row>
    <row r="436" spans="2:11" s="13" customFormat="1" ht="12.75" x14ac:dyDescent="0.2">
      <c r="B436" s="40"/>
      <c r="C436" s="256"/>
      <c r="D436" s="40"/>
      <c r="H436" s="39"/>
      <c r="I436" s="39"/>
      <c r="J436" s="39"/>
    </row>
    <row r="437" spans="2:11" s="13" customFormat="1" ht="12.75" x14ac:dyDescent="0.2">
      <c r="B437" s="77"/>
      <c r="C437" s="77" t="s">
        <v>350</v>
      </c>
      <c r="D437" s="77" t="s">
        <v>351</v>
      </c>
      <c r="E437" s="77" t="s">
        <v>470</v>
      </c>
      <c r="F437" s="77" t="s">
        <v>471</v>
      </c>
      <c r="G437" s="77" t="s">
        <v>44</v>
      </c>
      <c r="H437" s="77" t="s">
        <v>42</v>
      </c>
      <c r="I437" s="77" t="s">
        <v>511</v>
      </c>
      <c r="J437" s="77" t="s">
        <v>512</v>
      </c>
      <c r="K437" s="77" t="s">
        <v>591</v>
      </c>
    </row>
    <row r="438" spans="2:11" s="13" customFormat="1" ht="51" x14ac:dyDescent="0.2">
      <c r="B438" s="68">
        <v>1</v>
      </c>
      <c r="C438" s="78" t="s">
        <v>348</v>
      </c>
      <c r="D438" s="78" t="s">
        <v>349</v>
      </c>
      <c r="E438" s="69" t="str">
        <f>CONCATENATE(PAR!$H$12," évi 
teljesítés")</f>
        <v>2022. évi 
teljesítés</v>
      </c>
      <c r="F438" s="69" t="str">
        <f>CONCATENATE(PAR!$H$11," évi 
teljesítés")</f>
        <v>2023. évi 
teljesítés</v>
      </c>
      <c r="G438" s="69" t="str">
        <f>CONCATENATE(PAR!$H$10," évi 
teljesítés")</f>
        <v>2024. évi 
teljesítés</v>
      </c>
      <c r="H438" s="163" t="str">
        <f>CONCATENATE(PAR!$H$3," évi
eredeti 
előirányzat - ",Index!$E$17)</f>
        <v>2025. évi
eredeti 
előirányzat - 2/2025. (II.25.)</v>
      </c>
      <c r="I438" s="163" t="str">
        <f>CONCATENATE(PAR!$H$3," évi
módosított 
előirányzat - ",Index!$E$18)</f>
        <v xml:space="preserve">2025. évi
módosított 
előirányzat - </v>
      </c>
      <c r="J438" s="163" t="s">
        <v>2686</v>
      </c>
      <c r="K438" s="163" t="str">
        <f>CONCATENATE(PAR!$H$3," évi
módosított 
előirányzat - ",Index!$E$16)</f>
        <v>2025. évi
módosított 
előirányzat - .../2025. (...)</v>
      </c>
    </row>
    <row r="439" spans="2:11" s="13" customFormat="1" ht="12.75" x14ac:dyDescent="0.2">
      <c r="B439" s="160">
        <v>2</v>
      </c>
      <c r="C439" s="78" t="s">
        <v>352</v>
      </c>
      <c r="D439" s="92" t="s">
        <v>1444</v>
      </c>
      <c r="E439" s="120">
        <f>SUM(E440:E444)</f>
        <v>0</v>
      </c>
      <c r="F439" s="120">
        <f>SUM(F440:F444)</f>
        <v>0</v>
      </c>
      <c r="G439" s="120">
        <f>SUM(G440:G444)</f>
        <v>0</v>
      </c>
      <c r="H439" s="121">
        <f>SUM(H440:H444)</f>
        <v>0</v>
      </c>
      <c r="I439" s="120">
        <f t="shared" ref="I439" si="134">SUM(I440:I444)</f>
        <v>0</v>
      </c>
      <c r="J439" s="438">
        <f>K439-I439</f>
        <v>0</v>
      </c>
      <c r="K439" s="121">
        <f t="shared" ref="K439" si="135">SUM(K440:K444)</f>
        <v>0</v>
      </c>
    </row>
    <row r="440" spans="2:11" s="13" customFormat="1" ht="12.75" x14ac:dyDescent="0.2">
      <c r="B440" s="160">
        <v>3</v>
      </c>
      <c r="C440" s="305" t="s">
        <v>315</v>
      </c>
      <c r="D440" s="93" t="s">
        <v>342</v>
      </c>
      <c r="E440" s="165"/>
      <c r="F440" s="165"/>
      <c r="G440" s="285"/>
      <c r="H440" s="72">
        <f>SUMIF(Adat!$AE:$AE,CONCATENATE(61,N391,"051"),Adat!$E:$E)</f>
        <v>0</v>
      </c>
      <c r="I440" s="83">
        <v>0</v>
      </c>
      <c r="J440" s="434">
        <f t="shared" ref="J440:J450" si="136">K440-I440</f>
        <v>0</v>
      </c>
      <c r="K440" s="72">
        <f>SUMIF(Adat!$AE:$AE,CONCATENATE(60,N391,"051"),Adat!$E:$E)+H440</f>
        <v>0</v>
      </c>
    </row>
    <row r="441" spans="2:11" s="13" customFormat="1" ht="12.75" x14ac:dyDescent="0.2">
      <c r="B441" s="160">
        <v>4</v>
      </c>
      <c r="C441" s="305" t="s">
        <v>317</v>
      </c>
      <c r="D441" s="93" t="s">
        <v>395</v>
      </c>
      <c r="E441" s="165"/>
      <c r="F441" s="165"/>
      <c r="G441" s="285"/>
      <c r="H441" s="72">
        <f>SUMIF(Adat!$AE:$AE,CONCATENATE(61,N391,"052"),Adat!$E:$E)</f>
        <v>0</v>
      </c>
      <c r="I441" s="83">
        <v>0</v>
      </c>
      <c r="J441" s="434">
        <f t="shared" si="136"/>
        <v>0</v>
      </c>
      <c r="K441" s="72">
        <f>SUMIF(Adat!$AE:$AE,CONCATENATE(60,N391,"052"),Adat!$E:$E)+H441</f>
        <v>0</v>
      </c>
    </row>
    <row r="442" spans="2:11" s="13" customFormat="1" ht="12.75" x14ac:dyDescent="0.2">
      <c r="B442" s="160">
        <v>5</v>
      </c>
      <c r="C442" s="305" t="s">
        <v>4</v>
      </c>
      <c r="D442" s="93" t="s">
        <v>344</v>
      </c>
      <c r="E442" s="165"/>
      <c r="F442" s="165"/>
      <c r="G442" s="285"/>
      <c r="H442" s="72">
        <f>SUMIF(Adat!$AE:$AE,CONCATENATE(61,N391,"053"),Adat!$E:$E)</f>
        <v>0</v>
      </c>
      <c r="I442" s="83">
        <v>0</v>
      </c>
      <c r="J442" s="434">
        <f t="shared" si="136"/>
        <v>0</v>
      </c>
      <c r="K442" s="72">
        <f>SUMIF(Adat!$AE:$AE,CONCATENATE(60,N391,"053"),Adat!$E:$E)+H442</f>
        <v>0</v>
      </c>
    </row>
    <row r="443" spans="2:11" s="13" customFormat="1" ht="12.75" x14ac:dyDescent="0.2">
      <c r="B443" s="160">
        <v>6</v>
      </c>
      <c r="C443" s="305" t="s">
        <v>6</v>
      </c>
      <c r="D443" s="93" t="s">
        <v>345</v>
      </c>
      <c r="E443" s="165"/>
      <c r="F443" s="165"/>
      <c r="G443" s="285"/>
      <c r="H443" s="72">
        <f>SUMIF(Adat!$AE:$AE,CONCATENATE(61,N391,"054"),Adat!$E:$E)</f>
        <v>0</v>
      </c>
      <c r="I443" s="83">
        <v>0</v>
      </c>
      <c r="J443" s="434">
        <f t="shared" si="136"/>
        <v>0</v>
      </c>
      <c r="K443" s="72">
        <f>SUMIF(Adat!$AE:$AE,CONCATENATE(60,N391,"054"),Adat!$E:$E)+H443</f>
        <v>0</v>
      </c>
    </row>
    <row r="444" spans="2:11" s="13" customFormat="1" ht="12.75" x14ac:dyDescent="0.2">
      <c r="B444" s="160">
        <v>7</v>
      </c>
      <c r="C444" s="305" t="s">
        <v>8</v>
      </c>
      <c r="D444" s="93" t="s">
        <v>321</v>
      </c>
      <c r="E444" s="165"/>
      <c r="F444" s="165"/>
      <c r="G444" s="285"/>
      <c r="H444" s="72">
        <f>SUMIF(Adat!$AE:$AE,CONCATENATE(61,N391,"055"),Adat!$E:$E)</f>
        <v>0</v>
      </c>
      <c r="I444" s="83">
        <v>0</v>
      </c>
      <c r="J444" s="434">
        <f t="shared" si="136"/>
        <v>0</v>
      </c>
      <c r="K444" s="72">
        <f>SUMIF(Adat!$AE:$AE,CONCATENATE(60,N391,"055"),Adat!$E:$E)+H444</f>
        <v>0</v>
      </c>
    </row>
    <row r="445" spans="2:11" s="13" customFormat="1" ht="12.75" x14ac:dyDescent="0.2">
      <c r="B445" s="160">
        <v>8</v>
      </c>
      <c r="C445" s="78" t="s">
        <v>358</v>
      </c>
      <c r="D445" s="92" t="s">
        <v>1447</v>
      </c>
      <c r="E445" s="120">
        <f>SUM(E446:E448)</f>
        <v>0</v>
      </c>
      <c r="F445" s="120">
        <f t="shared" ref="F445:K445" si="137">SUM(F446:F448)</f>
        <v>0</v>
      </c>
      <c r="G445" s="120">
        <f t="shared" si="137"/>
        <v>0</v>
      </c>
      <c r="H445" s="121">
        <f t="shared" si="137"/>
        <v>0</v>
      </c>
      <c r="I445" s="120">
        <f t="shared" si="137"/>
        <v>0</v>
      </c>
      <c r="J445" s="438">
        <f t="shared" si="136"/>
        <v>0</v>
      </c>
      <c r="K445" s="121">
        <f t="shared" si="137"/>
        <v>0</v>
      </c>
    </row>
    <row r="446" spans="2:11" s="13" customFormat="1" ht="12.75" x14ac:dyDescent="0.2">
      <c r="B446" s="160">
        <v>9</v>
      </c>
      <c r="C446" s="305" t="s">
        <v>10</v>
      </c>
      <c r="D446" s="93" t="s">
        <v>322</v>
      </c>
      <c r="E446" s="165"/>
      <c r="F446" s="165"/>
      <c r="G446" s="285"/>
      <c r="H446" s="72">
        <f>SUMIF(Adat!$AE:$AE,CONCATENATE(61,N391,"056"),Adat!$E:$E)</f>
        <v>0</v>
      </c>
      <c r="I446" s="83">
        <v>0</v>
      </c>
      <c r="J446" s="434">
        <f t="shared" si="136"/>
        <v>0</v>
      </c>
      <c r="K446" s="72">
        <f>SUMIF(Adat!$AE:$AE,CONCATENATE(60,N391,"056"),Adat!$E:$E)+H446</f>
        <v>0</v>
      </c>
    </row>
    <row r="447" spans="2:11" s="13" customFormat="1" ht="12.75" x14ac:dyDescent="0.2">
      <c r="B447" s="160">
        <v>10</v>
      </c>
      <c r="C447" s="305" t="s">
        <v>12</v>
      </c>
      <c r="D447" s="93" t="s">
        <v>323</v>
      </c>
      <c r="E447" s="165"/>
      <c r="F447" s="165"/>
      <c r="G447" s="165"/>
      <c r="H447" s="72">
        <f>SUMIF(Adat!$AE:$AE,CONCATENATE(61,N391,"057"),Adat!$E:$E)</f>
        <v>0</v>
      </c>
      <c r="I447" s="83">
        <v>0</v>
      </c>
      <c r="J447" s="434">
        <f t="shared" si="136"/>
        <v>0</v>
      </c>
      <c r="K447" s="72">
        <f>SUMIF(Adat!$AE:$AE,CONCATENATE(60,N391,"057"),Adat!$E:$E)+H447</f>
        <v>0</v>
      </c>
    </row>
    <row r="448" spans="2:11" s="13" customFormat="1" ht="12.75" x14ac:dyDescent="0.2">
      <c r="B448" s="160">
        <v>11</v>
      </c>
      <c r="C448" s="305" t="s">
        <v>15</v>
      </c>
      <c r="D448" s="84" t="s">
        <v>324</v>
      </c>
      <c r="E448" s="165"/>
      <c r="F448" s="165"/>
      <c r="G448" s="165"/>
      <c r="H448" s="72">
        <f>SUMIF(Adat!$AE:$AE,CONCATENATE(61,N391,"058"),Adat!$E:$E)</f>
        <v>0</v>
      </c>
      <c r="I448" s="83">
        <v>0</v>
      </c>
      <c r="J448" s="434">
        <f t="shared" si="136"/>
        <v>0</v>
      </c>
      <c r="K448" s="72">
        <f>SUMIF(Adat!$AE:$AE,CONCATENATE(60,N391,"058"),Adat!$E:$E)+H448</f>
        <v>0</v>
      </c>
    </row>
    <row r="449" spans="2:15" s="13" customFormat="1" ht="12.75" x14ac:dyDescent="0.2">
      <c r="B449" s="160">
        <v>12</v>
      </c>
      <c r="C449" s="154" t="s">
        <v>364</v>
      </c>
      <c r="D449" s="86" t="s">
        <v>325</v>
      </c>
      <c r="E449" s="120">
        <v>0</v>
      </c>
      <c r="F449" s="120">
        <v>0</v>
      </c>
      <c r="G449" s="120">
        <v>0</v>
      </c>
      <c r="H449" s="71">
        <f>SUMIF(Adat!$AE:$AE,CONCATENATE(61,N391,"059"),Adat!$E:$E)</f>
        <v>0</v>
      </c>
      <c r="I449" s="80">
        <v>0</v>
      </c>
      <c r="J449" s="433">
        <f t="shared" si="136"/>
        <v>0</v>
      </c>
      <c r="K449" s="71">
        <f>SUMIF(Adat!$AE:$AE,CONCATENATE(60,N391,"059"),Adat!$E:$E)+H449</f>
        <v>0</v>
      </c>
    </row>
    <row r="450" spans="2:15" s="13" customFormat="1" ht="12.75" x14ac:dyDescent="0.2">
      <c r="B450" s="160">
        <v>13</v>
      </c>
      <c r="C450" s="154" t="s">
        <v>403</v>
      </c>
      <c r="D450" s="159" t="s">
        <v>497</v>
      </c>
      <c r="E450" s="120">
        <f>E439+E445+E449</f>
        <v>0</v>
      </c>
      <c r="F450" s="120">
        <f>F439+F445+F449</f>
        <v>0</v>
      </c>
      <c r="G450" s="120">
        <f>G439+G445+G449</f>
        <v>0</v>
      </c>
      <c r="H450" s="121">
        <f>H439+H445+H449</f>
        <v>0</v>
      </c>
      <c r="I450" s="120">
        <f t="shared" ref="I450" si="138">I439+I445+I449</f>
        <v>0</v>
      </c>
      <c r="J450" s="438">
        <f t="shared" si="136"/>
        <v>0</v>
      </c>
      <c r="K450" s="121">
        <f>K439+K445+K449</f>
        <v>0</v>
      </c>
    </row>
    <row r="451" spans="2:15" s="13" customFormat="1" ht="12.75" x14ac:dyDescent="0.2"/>
    <row r="452" spans="2:15" s="13" customFormat="1" x14ac:dyDescent="0.25">
      <c r="B452" s="511" t="str">
        <f>O452</f>
        <v/>
      </c>
      <c r="C452" s="511"/>
      <c r="D452" s="511"/>
      <c r="E452" s="511"/>
      <c r="F452" s="511"/>
      <c r="G452" s="511"/>
      <c r="H452" s="511"/>
      <c r="I452" s="511"/>
      <c r="J452" s="511"/>
      <c r="K452" s="511"/>
      <c r="M452" s="318">
        <v>7</v>
      </c>
      <c r="N452" s="320">
        <f>VLOOKUP(M452,Info!$B$5:$D$55,3)</f>
        <v>0</v>
      </c>
      <c r="O452" s="321" t="str">
        <f>VLOOKUP(M452,Info!$B$5:$D$55,2)</f>
        <v/>
      </c>
    </row>
    <row r="453" spans="2:15" s="13" customFormat="1" x14ac:dyDescent="0.2">
      <c r="B453" s="534" t="str">
        <f>CONCATENATE(PAR!$H$3," évi költségvetés és az előző három év összevont mérlege")</f>
        <v>2025. évi költségvetés és az előző három év összevont mérlege</v>
      </c>
      <c r="C453" s="534"/>
      <c r="D453" s="534"/>
      <c r="E453" s="534"/>
      <c r="F453" s="534"/>
      <c r="G453" s="534"/>
      <c r="H453" s="534"/>
      <c r="I453" s="534"/>
      <c r="J453" s="534"/>
      <c r="K453" s="534"/>
    </row>
    <row r="454" spans="2:15" s="13" customFormat="1" ht="12.75" x14ac:dyDescent="0.2">
      <c r="B454" s="535" t="s">
        <v>337</v>
      </c>
      <c r="C454" s="535"/>
      <c r="D454" s="535"/>
      <c r="E454" s="535"/>
      <c r="F454" s="535"/>
      <c r="G454" s="535"/>
      <c r="H454" s="535"/>
      <c r="I454" s="535"/>
      <c r="J454" s="535"/>
      <c r="K454" s="535"/>
    </row>
    <row r="455" spans="2:15" s="13" customFormat="1" ht="12.75" x14ac:dyDescent="0.2">
      <c r="B455" s="40"/>
      <c r="C455" s="256"/>
      <c r="D455" s="40"/>
      <c r="E455" s="39"/>
      <c r="F455" s="40"/>
      <c r="G455" s="40"/>
      <c r="H455" s="40"/>
      <c r="I455" s="40"/>
      <c r="J455" s="40"/>
    </row>
    <row r="456" spans="2:15" s="13" customFormat="1" x14ac:dyDescent="0.2">
      <c r="B456" s="201" t="s">
        <v>1191</v>
      </c>
      <c r="C456" s="201"/>
      <c r="D456" s="201"/>
      <c r="E456" s="201"/>
      <c r="F456" s="201"/>
      <c r="G456" s="201"/>
      <c r="H456" s="201"/>
      <c r="I456" s="201"/>
      <c r="J456" s="201"/>
      <c r="K456" s="201"/>
    </row>
    <row r="457" spans="2:15" s="13" customFormat="1" ht="12.75" x14ac:dyDescent="0.2">
      <c r="B457" s="40"/>
      <c r="C457" s="256"/>
      <c r="D457" s="40"/>
      <c r="E457" s="39"/>
      <c r="F457" s="40"/>
      <c r="G457" s="40"/>
      <c r="H457" s="40"/>
      <c r="I457" s="40"/>
      <c r="J457" s="40"/>
    </row>
    <row r="458" spans="2:15" s="13" customFormat="1" ht="12.75" x14ac:dyDescent="0.2">
      <c r="B458" s="77"/>
      <c r="C458" s="77" t="s">
        <v>350</v>
      </c>
      <c r="D458" s="77" t="s">
        <v>351</v>
      </c>
      <c r="E458" s="77" t="s">
        <v>470</v>
      </c>
      <c r="F458" s="77" t="s">
        <v>471</v>
      </c>
      <c r="G458" s="77" t="s">
        <v>44</v>
      </c>
      <c r="H458" s="77" t="s">
        <v>42</v>
      </c>
      <c r="I458" s="77"/>
      <c r="J458" s="77"/>
      <c r="K458" s="77" t="s">
        <v>511</v>
      </c>
    </row>
    <row r="459" spans="2:15" s="13" customFormat="1" ht="38.25" x14ac:dyDescent="0.2">
      <c r="B459" s="68">
        <v>1</v>
      </c>
      <c r="C459" s="78" t="s">
        <v>348</v>
      </c>
      <c r="D459" s="78" t="s">
        <v>349</v>
      </c>
      <c r="E459" s="69" t="str">
        <f>CONCATENATE(PAR!$H$12," évi 
teljesítés")</f>
        <v>2022. évi 
teljesítés</v>
      </c>
      <c r="F459" s="69" t="str">
        <f>CONCATENATE(PAR!$H$11," évi 
teljesítés")</f>
        <v>2023. évi 
teljesítés</v>
      </c>
      <c r="G459" s="69" t="str">
        <f>CONCATENATE(PAR!$H$10," évi 
teljesítés")</f>
        <v>2024. évi 
teljesítés</v>
      </c>
      <c r="H459" s="163" t="str">
        <f>CONCATENATE(PAR!$H$3," évi
eredeti 
előirányzat")</f>
        <v>2025. évi
eredeti 
előirányzat</v>
      </c>
      <c r="I459" s="163"/>
      <c r="J459" s="163"/>
      <c r="K459" s="163" t="str">
        <f>CONCATENATE(PAR!$H$3," évi
módosított 
előirányzat")</f>
        <v>2025. évi
módosított 
előirányzat</v>
      </c>
    </row>
    <row r="460" spans="2:15" s="13" customFormat="1" ht="12.75" x14ac:dyDescent="0.2">
      <c r="B460" s="160">
        <v>2</v>
      </c>
      <c r="C460" s="79" t="s">
        <v>30</v>
      </c>
      <c r="D460" s="79" t="s">
        <v>329</v>
      </c>
      <c r="E460" s="120">
        <f>SUM(E461:E473)</f>
        <v>0</v>
      </c>
      <c r="F460" s="120">
        <f t="shared" ref="F460" si="139">SUM(F461:F473)</f>
        <v>0</v>
      </c>
      <c r="G460" s="120">
        <f>SUM(G461:G473)</f>
        <v>0</v>
      </c>
      <c r="H460" s="121">
        <f t="shared" ref="H460" si="140">SUM(H461:H473)</f>
        <v>0</v>
      </c>
      <c r="I460" s="121"/>
      <c r="J460" s="121"/>
      <c r="K460" s="121">
        <f>SUM(K461:K473)</f>
        <v>0</v>
      </c>
    </row>
    <row r="461" spans="2:15" s="13" customFormat="1" ht="12.75" x14ac:dyDescent="0.2">
      <c r="B461" s="160">
        <v>3</v>
      </c>
      <c r="C461" s="305" t="s">
        <v>1309</v>
      </c>
      <c r="D461" s="82" t="s">
        <v>1356</v>
      </c>
      <c r="E461" s="165"/>
      <c r="F461" s="165"/>
      <c r="G461" s="165"/>
      <c r="H461" s="166">
        <f>SUMIF(Adat!$AC:$AC,CONCATENATE(61,N452,"094011"),Adat!$E:$E)*-1</f>
        <v>0</v>
      </c>
      <c r="I461" s="166"/>
      <c r="J461" s="166"/>
      <c r="K461" s="166">
        <f>SUMIF(Adat!$AC:$AC,CONCATENATE(60,N452,"094011"),Adat!$E:$E)*-1+H461</f>
        <v>0</v>
      </c>
    </row>
    <row r="462" spans="2:15" s="13" customFormat="1" ht="12.75" x14ac:dyDescent="0.2">
      <c r="B462" s="160">
        <v>4</v>
      </c>
      <c r="C462" s="305" t="s">
        <v>1279</v>
      </c>
      <c r="D462" s="82" t="s">
        <v>1357</v>
      </c>
      <c r="E462" s="165"/>
      <c r="F462" s="165"/>
      <c r="G462" s="165"/>
      <c r="H462" s="166">
        <f>SUMIF(Adat!$AC:$AC,CONCATENATE(61,N452,"094021"),Adat!$E:$E)*-1</f>
        <v>0</v>
      </c>
      <c r="I462" s="166"/>
      <c r="J462" s="166"/>
      <c r="K462" s="166">
        <f>SUMIF(Adat!$AC:$AC,CONCATENATE(60,N452,"094021"),Adat!$E:$E)*-1+H462</f>
        <v>0</v>
      </c>
    </row>
    <row r="463" spans="2:15" s="13" customFormat="1" ht="12.75" x14ac:dyDescent="0.2">
      <c r="B463" s="160">
        <v>5</v>
      </c>
      <c r="C463" s="305" t="s">
        <v>1272</v>
      </c>
      <c r="D463" s="82" t="s">
        <v>1358</v>
      </c>
      <c r="E463" s="165"/>
      <c r="F463" s="165"/>
      <c r="G463" s="165"/>
      <c r="H463" s="166">
        <f>SUMIF(Adat!$AC:$AC,CONCATENATE(61,N452,"094031"),Adat!$E:$E)*-1</f>
        <v>0</v>
      </c>
      <c r="I463" s="166"/>
      <c r="J463" s="166"/>
      <c r="K463" s="166">
        <f>SUMIF(Adat!$AC:$AC,CONCATENATE(60,N452,"094031"),Adat!$E:$E)*-1+H463</f>
        <v>0</v>
      </c>
    </row>
    <row r="464" spans="2:15" s="13" customFormat="1" ht="12.75" x14ac:dyDescent="0.2">
      <c r="B464" s="160">
        <v>6</v>
      </c>
      <c r="C464" s="305" t="s">
        <v>1359</v>
      </c>
      <c r="D464" s="82" t="s">
        <v>1360</v>
      </c>
      <c r="E464" s="165"/>
      <c r="F464" s="165"/>
      <c r="G464" s="165"/>
      <c r="H464" s="166">
        <f>SUMIF(Adat!$AC:$AC,CONCATENATE(61,N452,"094041"),Adat!$E:$E)*-1</f>
        <v>0</v>
      </c>
      <c r="I464" s="166"/>
      <c r="J464" s="166"/>
      <c r="K464" s="166">
        <f>SUMIF(Adat!$AC:$AC,CONCATENATE(60,N452,"094041"),Adat!$E:$E)*-1+H464</f>
        <v>0</v>
      </c>
    </row>
    <row r="465" spans="2:11" s="13" customFormat="1" ht="12.75" x14ac:dyDescent="0.2">
      <c r="B465" s="160">
        <v>7</v>
      </c>
      <c r="C465" s="305" t="s">
        <v>1261</v>
      </c>
      <c r="D465" s="82" t="s">
        <v>1361</v>
      </c>
      <c r="E465" s="165"/>
      <c r="F465" s="165"/>
      <c r="G465" s="165"/>
      <c r="H465" s="166">
        <f>SUMIF(Adat!$AC:$AC,CONCATENATE(61,N452,"094051"),Adat!$E:$E)*-1</f>
        <v>0</v>
      </c>
      <c r="I465" s="166"/>
      <c r="J465" s="166"/>
      <c r="K465" s="166">
        <f>SUMIF(Adat!$AC:$AC,CONCATENATE(60,N452,"094051"),Adat!$E:$E)*-1+H465</f>
        <v>0</v>
      </c>
    </row>
    <row r="466" spans="2:11" s="13" customFormat="1" ht="12.75" x14ac:dyDescent="0.2">
      <c r="B466" s="160">
        <v>8</v>
      </c>
      <c r="C466" s="305" t="s">
        <v>1273</v>
      </c>
      <c r="D466" s="82" t="s">
        <v>1362</v>
      </c>
      <c r="E466" s="165"/>
      <c r="F466" s="165"/>
      <c r="G466" s="165"/>
      <c r="H466" s="166">
        <f>SUMIF(Adat!$AC:$AC,CONCATENATE(61,N452,"094061"),Adat!$E:$E)*-1</f>
        <v>0</v>
      </c>
      <c r="I466" s="166"/>
      <c r="J466" s="166"/>
      <c r="K466" s="166">
        <f>SUMIF(Adat!$AC:$AC,CONCATENATE(60,N452,"094061"),Adat!$E:$E)*-1+H466</f>
        <v>0</v>
      </c>
    </row>
    <row r="467" spans="2:11" s="13" customFormat="1" ht="12.75" x14ac:dyDescent="0.2">
      <c r="B467" s="160">
        <v>9</v>
      </c>
      <c r="C467" s="305" t="s">
        <v>1363</v>
      </c>
      <c r="D467" s="82" t="s">
        <v>1364</v>
      </c>
      <c r="E467" s="165"/>
      <c r="F467" s="165"/>
      <c r="G467" s="165"/>
      <c r="H467" s="166">
        <f>SUMIF(Adat!$AC:$AC,CONCATENATE(61,N452,"094071"),Adat!$E:$E)*-1</f>
        <v>0</v>
      </c>
      <c r="I467" s="166"/>
      <c r="J467" s="166"/>
      <c r="K467" s="166">
        <f>SUMIF(Adat!$AC:$AC,CONCATENATE(60,N452,"094071"),Adat!$E:$E)*-1+H467</f>
        <v>0</v>
      </c>
    </row>
    <row r="468" spans="2:11" s="13" customFormat="1" ht="12.75" x14ac:dyDescent="0.2">
      <c r="B468" s="160">
        <v>10</v>
      </c>
      <c r="C468" s="305" t="s">
        <v>1306</v>
      </c>
      <c r="D468" s="82" t="s">
        <v>1365</v>
      </c>
      <c r="E468" s="165"/>
      <c r="F468" s="165"/>
      <c r="G468" s="165"/>
      <c r="H468" s="166">
        <f>SUMIF(Adat!$AC:$AC,CONCATENATE(61,N452,"0940811"),Adat!$E:$E)*-1</f>
        <v>0</v>
      </c>
      <c r="I468" s="166"/>
      <c r="J468" s="166"/>
      <c r="K468" s="166">
        <f>SUMIF(Adat!$AC:$AC,CONCATENATE(60,N452,"0940811"),Adat!$E:$E)*-1+H468</f>
        <v>0</v>
      </c>
    </row>
    <row r="469" spans="2:11" s="13" customFormat="1" ht="12.75" x14ac:dyDescent="0.2">
      <c r="B469" s="160">
        <v>11</v>
      </c>
      <c r="C469" s="305" t="s">
        <v>1295</v>
      </c>
      <c r="D469" s="82" t="s">
        <v>1366</v>
      </c>
      <c r="E469" s="165"/>
      <c r="F469" s="165"/>
      <c r="G469" s="165"/>
      <c r="H469" s="166">
        <f>SUMIF(Adat!$AC:$AC,CONCATENATE(61,N452,"0940821"),Adat!$E:$E)*-1</f>
        <v>0</v>
      </c>
      <c r="I469" s="166"/>
      <c r="J469" s="166"/>
      <c r="K469" s="166">
        <f>SUMIF(Adat!$AC:$AC,CONCATENATE(60,N452,"0940821"),Adat!$E:$E)*-1+H469</f>
        <v>0</v>
      </c>
    </row>
    <row r="470" spans="2:11" s="13" customFormat="1" ht="12.75" x14ac:dyDescent="0.2">
      <c r="B470" s="160">
        <v>12</v>
      </c>
      <c r="C470" s="305" t="s">
        <v>1367</v>
      </c>
      <c r="D470" s="82" t="s">
        <v>1368</v>
      </c>
      <c r="E470" s="165"/>
      <c r="F470" s="165"/>
      <c r="G470" s="165"/>
      <c r="H470" s="166">
        <f>SUMIF(Adat!$AC:$AC,CONCATENATE(61,N452,"0940911"),Adat!$E:$E)*-1</f>
        <v>0</v>
      </c>
      <c r="I470" s="166"/>
      <c r="J470" s="166"/>
      <c r="K470" s="166">
        <f>SUMIF(Adat!$AC:$AC,CONCATENATE(60,N452,"0940911"),Adat!$E:$E)*-1+H470</f>
        <v>0</v>
      </c>
    </row>
    <row r="471" spans="2:11" s="13" customFormat="1" ht="12.75" x14ac:dyDescent="0.2">
      <c r="B471" s="160">
        <v>13</v>
      </c>
      <c r="C471" s="305" t="s">
        <v>1369</v>
      </c>
      <c r="D471" s="82" t="s">
        <v>1370</v>
      </c>
      <c r="E471" s="165"/>
      <c r="F471" s="165"/>
      <c r="G471" s="165"/>
      <c r="H471" s="166">
        <f>SUMIF(Adat!$AC:$AC,CONCATENATE(61,N452,"0940921"),Adat!$E:$E)*-1</f>
        <v>0</v>
      </c>
      <c r="I471" s="166"/>
      <c r="J471" s="166"/>
      <c r="K471" s="166">
        <f>SUMIF(Adat!$AC:$AC,CONCATENATE(60,N452,"0940921"),Adat!$E:$E)*-1+H471</f>
        <v>0</v>
      </c>
    </row>
    <row r="472" spans="2:11" s="13" customFormat="1" ht="12.75" x14ac:dyDescent="0.2">
      <c r="B472" s="160">
        <v>14</v>
      </c>
      <c r="C472" s="305" t="s">
        <v>1296</v>
      </c>
      <c r="D472" s="82" t="s">
        <v>1371</v>
      </c>
      <c r="E472" s="165"/>
      <c r="F472" s="165"/>
      <c r="G472" s="165"/>
      <c r="H472" s="166">
        <f>SUMIF(Adat!$AC:$AC,CONCATENATE(61,N452,"094101"),Adat!$E:$E)*-1</f>
        <v>0</v>
      </c>
      <c r="I472" s="166"/>
      <c r="J472" s="166"/>
      <c r="K472" s="166">
        <f>SUMIF(Adat!$AC:$AC,CONCATENATE(60,N452,"094101"),Adat!$E:$E)*-1+H472</f>
        <v>0</v>
      </c>
    </row>
    <row r="473" spans="2:11" s="13" customFormat="1" ht="12.75" x14ac:dyDescent="0.2">
      <c r="B473" s="160">
        <v>15</v>
      </c>
      <c r="C473" s="305" t="s">
        <v>1297</v>
      </c>
      <c r="D473" s="84" t="s">
        <v>1372</v>
      </c>
      <c r="E473" s="165"/>
      <c r="F473" s="165"/>
      <c r="G473" s="165"/>
      <c r="H473" s="166">
        <f>SUMIF(Adat!$AC:$AC,CONCATENATE(61,N452,"094111"),Adat!$E:$E)*-1</f>
        <v>0</v>
      </c>
      <c r="I473" s="166"/>
      <c r="J473" s="166"/>
      <c r="K473" s="166">
        <f>SUMIF(Adat!$AC:$AC,CONCATENATE(60,N452,"094111"),Adat!$E:$E)*-1+H473</f>
        <v>0</v>
      </c>
    </row>
    <row r="474" spans="2:11" s="13" customFormat="1" ht="12.75" x14ac:dyDescent="0.2">
      <c r="B474" s="160">
        <v>16</v>
      </c>
      <c r="C474" s="78" t="s">
        <v>1328</v>
      </c>
      <c r="D474" s="85" t="s">
        <v>437</v>
      </c>
      <c r="E474" s="120">
        <f>SUM(E475:E477)</f>
        <v>0</v>
      </c>
      <c r="F474" s="120">
        <f t="shared" ref="F474" si="141">SUM(F475:F477)</f>
        <v>0</v>
      </c>
      <c r="G474" s="120">
        <f>SUM(G475:G477)</f>
        <v>0</v>
      </c>
      <c r="H474" s="121">
        <f t="shared" ref="H474" si="142">SUM(H475:H477)</f>
        <v>0</v>
      </c>
      <c r="I474" s="121"/>
      <c r="J474" s="121"/>
      <c r="K474" s="121">
        <f>SUM(K475:K477)</f>
        <v>0</v>
      </c>
    </row>
    <row r="475" spans="2:11" s="13" customFormat="1" ht="12.75" x14ac:dyDescent="0.2">
      <c r="B475" s="160">
        <v>17</v>
      </c>
      <c r="C475" s="305" t="s">
        <v>1329</v>
      </c>
      <c r="D475" s="82" t="s">
        <v>1330</v>
      </c>
      <c r="E475" s="165"/>
      <c r="F475" s="165"/>
      <c r="G475" s="165"/>
      <c r="H475" s="166">
        <f>SUMIF(Adat!$AC:$AC,CONCATENATE(61,N452,"09121"),Adat!$E:$E)*-1</f>
        <v>0</v>
      </c>
      <c r="I475" s="166"/>
      <c r="J475" s="166"/>
      <c r="K475" s="166">
        <f>SUMIF(Adat!$AC:$AC,CONCATENATE(60,N452,"09121"),Adat!$E:$E)*-1+H475</f>
        <v>0</v>
      </c>
    </row>
    <row r="476" spans="2:11" s="13" customFormat="1" ht="12.75" x14ac:dyDescent="0.2">
      <c r="B476" s="160">
        <v>18</v>
      </c>
      <c r="C476" s="305" t="s">
        <v>1335</v>
      </c>
      <c r="D476" s="82" t="s">
        <v>1336</v>
      </c>
      <c r="E476" s="165"/>
      <c r="F476" s="165"/>
      <c r="G476" s="165"/>
      <c r="H476" s="166">
        <f>SUMIF(Adat!$AC:$AC,CONCATENATE(61,N452,"09151"),Adat!$E:$E)*-1</f>
        <v>0</v>
      </c>
      <c r="I476" s="166"/>
      <c r="J476" s="166"/>
      <c r="K476" s="166">
        <f>SUMIF(Adat!$AC:$AC,CONCATENATE(60,N452,"09151"),Adat!$E:$E)*-1+H476</f>
        <v>0</v>
      </c>
    </row>
    <row r="477" spans="2:11" s="13" customFormat="1" ht="12.75" x14ac:dyDescent="0.2">
      <c r="B477" s="160">
        <v>19</v>
      </c>
      <c r="C477" s="305" t="s">
        <v>1278</v>
      </c>
      <c r="D477" s="82" t="s">
        <v>1337</v>
      </c>
      <c r="E477" s="165"/>
      <c r="F477" s="165"/>
      <c r="G477" s="165"/>
      <c r="H477" s="166">
        <f>SUMIF(Adat!$AC:$AC,CONCATENATE(61,N452,"09161"),Adat!$E:$E)*-1</f>
        <v>0</v>
      </c>
      <c r="I477" s="166"/>
      <c r="J477" s="166"/>
      <c r="K477" s="166">
        <f>SUMIF(Adat!$AC:$AC,CONCATENATE(60,N452,"09161"),Adat!$E:$E)*-1+H477</f>
        <v>0</v>
      </c>
    </row>
    <row r="478" spans="2:11" s="13" customFormat="1" ht="12.75" x14ac:dyDescent="0.2">
      <c r="B478" s="160">
        <v>20</v>
      </c>
      <c r="C478" s="79" t="s">
        <v>27</v>
      </c>
      <c r="D478" s="79" t="s">
        <v>328</v>
      </c>
      <c r="E478" s="120">
        <v>0</v>
      </c>
      <c r="F478" s="120">
        <v>0</v>
      </c>
      <c r="G478" s="120">
        <v>0</v>
      </c>
      <c r="H478" s="71">
        <f>SUMIF(Adat!$AE:$AE,CONCATENATE(61,N452,"093"),Adat!$E:$E)*-1</f>
        <v>0</v>
      </c>
      <c r="I478" s="71"/>
      <c r="J478" s="71"/>
      <c r="K478" s="71">
        <f>SUMIF(Adat!$AE:$AE,CONCATENATE(60,N452,"093"),Adat!$E:$E)*-1+H478</f>
        <v>0</v>
      </c>
    </row>
    <row r="479" spans="2:11" s="13" customFormat="1" ht="12.75" x14ac:dyDescent="0.2">
      <c r="B479" s="160">
        <v>21</v>
      </c>
      <c r="C479" s="79" t="s">
        <v>24</v>
      </c>
      <c r="D479" s="79" t="s">
        <v>449</v>
      </c>
      <c r="E479" s="120">
        <f>SUM(E480:E482)</f>
        <v>0</v>
      </c>
      <c r="F479" s="120">
        <f t="shared" ref="F479:G479" si="143">SUM(F480:F482)</f>
        <v>0</v>
      </c>
      <c r="G479" s="120">
        <f t="shared" si="143"/>
        <v>0</v>
      </c>
      <c r="H479" s="121">
        <f>SUM(H480:H482)</f>
        <v>0</v>
      </c>
      <c r="I479" s="121"/>
      <c r="J479" s="121"/>
      <c r="K479" s="121">
        <f t="shared" ref="K479" si="144">SUM(K480:K482)</f>
        <v>0</v>
      </c>
    </row>
    <row r="480" spans="2:11" s="13" customFormat="1" ht="12.75" x14ac:dyDescent="0.2">
      <c r="B480" s="160">
        <v>22</v>
      </c>
      <c r="C480" s="305" t="s">
        <v>1339</v>
      </c>
      <c r="D480" s="82" t="s">
        <v>1340</v>
      </c>
      <c r="E480" s="165"/>
      <c r="F480" s="165"/>
      <c r="G480" s="165"/>
      <c r="H480" s="166">
        <f>SUMIF(Adat!$AC:$AC,CONCATENATE(61,N452,"09211"),Adat!$E:$E)*-1</f>
        <v>0</v>
      </c>
      <c r="I480" s="166"/>
      <c r="J480" s="166"/>
      <c r="K480" s="166">
        <f>SUMIF(Adat!$AC:$AC,CONCATENATE(60,N452,"09211"),Adat!$E:$E)*-1+H480</f>
        <v>0</v>
      </c>
    </row>
    <row r="481" spans="2:11" s="13" customFormat="1" ht="12.75" x14ac:dyDescent="0.2">
      <c r="B481" s="160">
        <v>23</v>
      </c>
      <c r="C481" s="305" t="s">
        <v>1345</v>
      </c>
      <c r="D481" s="82" t="s">
        <v>1346</v>
      </c>
      <c r="E481" s="165"/>
      <c r="F481" s="165"/>
      <c r="G481" s="165"/>
      <c r="H481" s="166">
        <f>SUMIF(Adat!$AC:$AC,CONCATENATE(61,N452,"09241"),Adat!$E:$E)*-1</f>
        <v>0</v>
      </c>
      <c r="I481" s="166"/>
      <c r="J481" s="166"/>
      <c r="K481" s="166">
        <f>SUMIF(Adat!$AC:$AC,CONCATENATE(60,N452,"09241"),Adat!$E:$E)*-1+H481</f>
        <v>0</v>
      </c>
    </row>
    <row r="482" spans="2:11" s="13" customFormat="1" ht="12.75" x14ac:dyDescent="0.2">
      <c r="B482" s="160">
        <v>24</v>
      </c>
      <c r="C482" s="305" t="s">
        <v>1255</v>
      </c>
      <c r="D482" s="82" t="s">
        <v>1347</v>
      </c>
      <c r="E482" s="165"/>
      <c r="F482" s="165"/>
      <c r="G482" s="165"/>
      <c r="H482" s="166">
        <f>SUMIF(Adat!$AC:$AC,CONCATENATE(61,N452,"09251"),Adat!$E:$E)*-1</f>
        <v>0</v>
      </c>
      <c r="I482" s="166"/>
      <c r="J482" s="166"/>
      <c r="K482" s="166">
        <f>SUMIF(Adat!$AC:$AC,CONCATENATE(60,N452,"09251"),Adat!$E:$E)*-1+H482</f>
        <v>0</v>
      </c>
    </row>
    <row r="483" spans="2:11" s="13" customFormat="1" ht="12.75" x14ac:dyDescent="0.2">
      <c r="B483" s="160">
        <v>25</v>
      </c>
      <c r="C483" s="79" t="s">
        <v>33</v>
      </c>
      <c r="D483" s="79" t="s">
        <v>330</v>
      </c>
      <c r="E483" s="120">
        <f>SUM(E484:E486)</f>
        <v>0</v>
      </c>
      <c r="F483" s="120">
        <f t="shared" ref="F483:K483" si="145">SUM(F484:F486)</f>
        <v>0</v>
      </c>
      <c r="G483" s="120">
        <f t="shared" si="145"/>
        <v>0</v>
      </c>
      <c r="H483" s="121">
        <f t="shared" si="145"/>
        <v>0</v>
      </c>
      <c r="I483" s="121"/>
      <c r="J483" s="121"/>
      <c r="K483" s="121">
        <f t="shared" si="145"/>
        <v>0</v>
      </c>
    </row>
    <row r="484" spans="2:11" s="13" customFormat="1" ht="12.75" x14ac:dyDescent="0.2">
      <c r="B484" s="160">
        <v>26</v>
      </c>
      <c r="C484" s="305" t="s">
        <v>1373</v>
      </c>
      <c r="D484" s="82" t="s">
        <v>1374</v>
      </c>
      <c r="E484" s="165"/>
      <c r="F484" s="165"/>
      <c r="G484" s="165"/>
      <c r="H484" s="166">
        <f>SUMIF(Adat!$AC:$AC,CONCATENATE(61,N452,"09511"),Adat!$E:$E)*-1</f>
        <v>0</v>
      </c>
      <c r="I484" s="166"/>
      <c r="J484" s="166"/>
      <c r="K484" s="166">
        <f>SUMIF(Adat!$AC:$AC,CONCATENATE(60,N452,"09511"),Adat!$E:$E)*-1+H484</f>
        <v>0</v>
      </c>
    </row>
    <row r="485" spans="2:11" s="13" customFormat="1" ht="12.75" x14ac:dyDescent="0.2">
      <c r="B485" s="160">
        <v>27</v>
      </c>
      <c r="C485" s="305" t="s">
        <v>1294</v>
      </c>
      <c r="D485" s="82" t="s">
        <v>1375</v>
      </c>
      <c r="E485" s="165"/>
      <c r="F485" s="165"/>
      <c r="G485" s="165"/>
      <c r="H485" s="166">
        <f>SUMIF(Adat!$AC:$AC,CONCATENATE(61,N452,"09521"),Adat!$E:$E)*-1</f>
        <v>0</v>
      </c>
      <c r="I485" s="166"/>
      <c r="J485" s="166"/>
      <c r="K485" s="166">
        <f>SUMIF(Adat!$AC:$AC,CONCATENATE(60,N452,"09521"),Adat!$E:$E)*-1+H485</f>
        <v>0</v>
      </c>
    </row>
    <row r="486" spans="2:11" s="13" customFormat="1" ht="12.75" x14ac:dyDescent="0.2">
      <c r="B486" s="160">
        <v>28</v>
      </c>
      <c r="C486" s="305" t="s">
        <v>1376</v>
      </c>
      <c r="D486" s="82" t="s">
        <v>1377</v>
      </c>
      <c r="E486" s="165"/>
      <c r="F486" s="165"/>
      <c r="G486" s="165"/>
      <c r="H486" s="166">
        <f>SUMIF(Adat!$AC:$AC,CONCATENATE(61,N452,"09531"),Adat!$E:$E)*-1</f>
        <v>0</v>
      </c>
      <c r="I486" s="166"/>
      <c r="J486" s="166"/>
      <c r="K486" s="166">
        <f>SUMIF(Adat!$AC:$AC,CONCATENATE(60,N452,"09531"),Adat!$E:$E)*-1+H486</f>
        <v>0</v>
      </c>
    </row>
    <row r="487" spans="2:11" s="13" customFormat="1" ht="12.75" x14ac:dyDescent="0.2">
      <c r="B487" s="160">
        <v>29</v>
      </c>
      <c r="C487" s="79" t="s">
        <v>36</v>
      </c>
      <c r="D487" s="79" t="s">
        <v>331</v>
      </c>
      <c r="E487" s="120">
        <v>0</v>
      </c>
      <c r="F487" s="120">
        <v>0</v>
      </c>
      <c r="G487" s="120">
        <v>0</v>
      </c>
      <c r="H487" s="71">
        <f>SUMIF(Adat!$AE:$AE,CONCATENATE(61,N452,"096"),Adat!$E:$E)*-1</f>
        <v>0</v>
      </c>
      <c r="I487" s="71"/>
      <c r="J487" s="71"/>
      <c r="K487" s="71">
        <f>SUMIF(Adat!$AE:$AE,CONCATENATE(60,N452,"096"),Adat!$E:$E)*-1+H487</f>
        <v>0</v>
      </c>
    </row>
    <row r="488" spans="2:11" s="13" customFormat="1" ht="12.75" x14ac:dyDescent="0.2">
      <c r="B488" s="160">
        <v>30</v>
      </c>
      <c r="C488" s="79" t="s">
        <v>38</v>
      </c>
      <c r="D488" s="85" t="s">
        <v>332</v>
      </c>
      <c r="E488" s="120">
        <v>0</v>
      </c>
      <c r="F488" s="120">
        <v>0</v>
      </c>
      <c r="G488" s="120">
        <v>0</v>
      </c>
      <c r="H488" s="71">
        <f>SUMIF(Adat!$AE:$AE,CONCATENATE(61,N452,"097"),Adat!$E:$E)*-1</f>
        <v>0</v>
      </c>
      <c r="I488" s="71"/>
      <c r="J488" s="71"/>
      <c r="K488" s="71">
        <f>SUMIF(Adat!$AE:$AE,CONCATENATE(60,N452,"097"),Adat!$E:$E)*-1+H488</f>
        <v>0</v>
      </c>
    </row>
    <row r="489" spans="2:11" s="13" customFormat="1" ht="12.75" x14ac:dyDescent="0.2">
      <c r="B489" s="160">
        <v>31</v>
      </c>
      <c r="C489" s="154" t="s">
        <v>352</v>
      </c>
      <c r="D489" s="86" t="s">
        <v>1500</v>
      </c>
      <c r="E489" s="120">
        <f>E460+E474+E478+E479+E483+E487+E488</f>
        <v>0</v>
      </c>
      <c r="F489" s="120">
        <f>F460+F474+F478+F479+F483+F487+F488</f>
        <v>0</v>
      </c>
      <c r="G489" s="120">
        <f>G460+G474+G478+G479+G483+G487+G488</f>
        <v>0</v>
      </c>
      <c r="H489" s="121">
        <f>H460+H474+H478+H479+H483+H487+H488</f>
        <v>0</v>
      </c>
      <c r="I489" s="121"/>
      <c r="J489" s="121"/>
      <c r="K489" s="121">
        <f>K460+K474+K478+K479+K483+K487+K488</f>
        <v>0</v>
      </c>
    </row>
    <row r="490" spans="2:11" s="13" customFormat="1" ht="12.75" x14ac:dyDescent="0.2">
      <c r="B490" s="160">
        <v>32</v>
      </c>
      <c r="C490" s="154" t="s">
        <v>358</v>
      </c>
      <c r="D490" s="86" t="s">
        <v>333</v>
      </c>
      <c r="E490" s="120">
        <f>SUM(E491:E493)</f>
        <v>0</v>
      </c>
      <c r="F490" s="120">
        <f t="shared" ref="F490" si="146">SUM(F491:F493)</f>
        <v>0</v>
      </c>
      <c r="G490" s="120">
        <f>SUM(G491:G493)</f>
        <v>0</v>
      </c>
      <c r="H490" s="121">
        <f t="shared" ref="H490:K490" si="147">SUM(H491:H493)</f>
        <v>0</v>
      </c>
      <c r="I490" s="121"/>
      <c r="J490" s="121"/>
      <c r="K490" s="121">
        <f t="shared" si="147"/>
        <v>0</v>
      </c>
    </row>
    <row r="491" spans="2:11" s="13" customFormat="1" ht="12.75" x14ac:dyDescent="0.2">
      <c r="B491" s="160">
        <v>33</v>
      </c>
      <c r="C491" s="305" t="s">
        <v>1274</v>
      </c>
      <c r="D491" s="82" t="s">
        <v>1419</v>
      </c>
      <c r="E491" s="165"/>
      <c r="F491" s="165"/>
      <c r="G491" s="165"/>
      <c r="H491" s="166">
        <f>SUMIF(Adat!$AC:$AC,CONCATENATE(61,N452,"0981311"),Adat!$E:$E)*-1</f>
        <v>0</v>
      </c>
      <c r="I491" s="166"/>
      <c r="J491" s="166"/>
      <c r="K491" s="166">
        <f>SUMIF(Adat!$AC:$AC,CONCATENATE(60,N452,"0981311"),Adat!$E:$E)*-1+H491</f>
        <v>0</v>
      </c>
    </row>
    <row r="492" spans="2:11" s="13" customFormat="1" ht="12.75" x14ac:dyDescent="0.2">
      <c r="B492" s="160">
        <v>34</v>
      </c>
      <c r="C492" s="305" t="s">
        <v>1420</v>
      </c>
      <c r="D492" s="84" t="s">
        <v>1421</v>
      </c>
      <c r="E492" s="165"/>
      <c r="F492" s="165"/>
      <c r="G492" s="165"/>
      <c r="H492" s="166">
        <f>SUMIF(Adat!$AC:$AC,CONCATENATE(61,N452,"0981321"),Adat!$E:$E)*-1</f>
        <v>0</v>
      </c>
      <c r="I492" s="166"/>
      <c r="J492" s="166"/>
      <c r="K492" s="166">
        <f>SUMIF(Adat!$AC:$AC,CONCATENATE(60,N452,"0981321"),Adat!$E:$E)*-1+H492</f>
        <v>0</v>
      </c>
    </row>
    <row r="493" spans="2:11" s="13" customFormat="1" ht="12.75" x14ac:dyDescent="0.2">
      <c r="B493" s="160">
        <v>35</v>
      </c>
      <c r="C493" s="319" t="s">
        <v>1275</v>
      </c>
      <c r="D493" s="84" t="s">
        <v>1501</v>
      </c>
      <c r="E493" s="165"/>
      <c r="F493" s="165"/>
      <c r="G493" s="165"/>
      <c r="H493" s="166">
        <f>SUMIF(Adat!$AC:$AC,CONCATENATE(61,N452,"098161"),Adat!$E:$E)*-1</f>
        <v>0</v>
      </c>
      <c r="I493" s="166"/>
      <c r="J493" s="166"/>
      <c r="K493" s="166">
        <f>SUMIF(Adat!$AC:$AC,CONCATENATE(60,N452,"098161"),Adat!$E:$E)*-1+H493</f>
        <v>0</v>
      </c>
    </row>
    <row r="494" spans="2:11" s="13" customFormat="1" ht="12.75" x14ac:dyDescent="0.2">
      <c r="B494" s="160">
        <v>36</v>
      </c>
      <c r="C494" s="154" t="s">
        <v>364</v>
      </c>
      <c r="D494" s="159" t="s">
        <v>1502</v>
      </c>
      <c r="E494" s="120">
        <f>E489+E490</f>
        <v>0</v>
      </c>
      <c r="F494" s="120">
        <f t="shared" ref="F494:G494" si="148">F489+F490</f>
        <v>0</v>
      </c>
      <c r="G494" s="120">
        <f t="shared" si="148"/>
        <v>0</v>
      </c>
      <c r="H494" s="121">
        <f>H489+H490</f>
        <v>0</v>
      </c>
      <c r="I494" s="121"/>
      <c r="J494" s="121"/>
      <c r="K494" s="121">
        <f>K489+K490</f>
        <v>0</v>
      </c>
    </row>
    <row r="495" spans="2:11" s="13" customFormat="1" ht="12.75" x14ac:dyDescent="0.2">
      <c r="B495" s="40"/>
      <c r="C495" s="256"/>
      <c r="D495" s="40"/>
      <c r="H495" s="39"/>
      <c r="I495" s="39"/>
      <c r="J495" s="39"/>
    </row>
    <row r="496" spans="2:11" s="13" customFormat="1" x14ac:dyDescent="0.2">
      <c r="B496" s="202" t="s">
        <v>1192</v>
      </c>
      <c r="C496" s="260"/>
      <c r="D496" s="260"/>
      <c r="H496" s="260"/>
      <c r="I496" s="260"/>
      <c r="J496" s="260"/>
    </row>
    <row r="497" spans="2:11" s="13" customFormat="1" ht="12.75" x14ac:dyDescent="0.2">
      <c r="B497" s="40"/>
      <c r="C497" s="256"/>
      <c r="D497" s="40"/>
      <c r="H497" s="39"/>
      <c r="I497" s="39"/>
      <c r="J497" s="39"/>
    </row>
    <row r="498" spans="2:11" s="13" customFormat="1" ht="12.75" x14ac:dyDescent="0.2">
      <c r="B498" s="77"/>
      <c r="C498" s="77" t="s">
        <v>350</v>
      </c>
      <c r="D498" s="77" t="s">
        <v>351</v>
      </c>
      <c r="E498" s="77" t="s">
        <v>470</v>
      </c>
      <c r="F498" s="77" t="s">
        <v>471</v>
      </c>
      <c r="G498" s="77" t="s">
        <v>44</v>
      </c>
      <c r="H498" s="77" t="s">
        <v>42</v>
      </c>
      <c r="I498" s="77"/>
      <c r="J498" s="77"/>
      <c r="K498" s="77" t="s">
        <v>511</v>
      </c>
    </row>
    <row r="499" spans="2:11" s="13" customFormat="1" ht="38.25" x14ac:dyDescent="0.2">
      <c r="B499" s="68">
        <v>1</v>
      </c>
      <c r="C499" s="78" t="s">
        <v>348</v>
      </c>
      <c r="D499" s="78" t="s">
        <v>349</v>
      </c>
      <c r="E499" s="69" t="str">
        <f>CONCATENATE(PAR!$H$12," évi 
teljesítés")</f>
        <v>2022. évi 
teljesítés</v>
      </c>
      <c r="F499" s="69" t="str">
        <f>CONCATENATE(PAR!$H$11," évi 
teljesítés")</f>
        <v>2023. évi 
teljesítés</v>
      </c>
      <c r="G499" s="69" t="str">
        <f>CONCATENATE(PAR!$H$10," évi 
teljesítés")</f>
        <v>2024. évi 
teljesítés</v>
      </c>
      <c r="H499" s="163" t="str">
        <f>CONCATENATE(PAR!$H$3," évi
eredeti 
előirányzat")</f>
        <v>2025. évi
eredeti 
előirányzat</v>
      </c>
      <c r="I499" s="163"/>
      <c r="J499" s="163"/>
      <c r="K499" s="163" t="str">
        <f>CONCATENATE(PAR!$H$3," évi
módosított 
előirányzat")</f>
        <v>2025. évi
módosított 
előirányzat</v>
      </c>
    </row>
    <row r="500" spans="2:11" s="13" customFormat="1" ht="12.75" x14ac:dyDescent="0.2">
      <c r="B500" s="160">
        <v>2</v>
      </c>
      <c r="C500" s="78" t="s">
        <v>352</v>
      </c>
      <c r="D500" s="92" t="s">
        <v>1444</v>
      </c>
      <c r="E500" s="120">
        <f>SUM(E501:E505)</f>
        <v>0</v>
      </c>
      <c r="F500" s="120">
        <f>SUM(F501:F505)</f>
        <v>0</v>
      </c>
      <c r="G500" s="120">
        <f>SUM(G501:G505)</f>
        <v>0</v>
      </c>
      <c r="H500" s="121">
        <f>SUM(H501:H505)</f>
        <v>0</v>
      </c>
      <c r="I500" s="121"/>
      <c r="J500" s="121"/>
      <c r="K500" s="121">
        <f t="shared" ref="K500" si="149">SUM(K501:K505)</f>
        <v>0</v>
      </c>
    </row>
    <row r="501" spans="2:11" s="13" customFormat="1" ht="12.75" x14ac:dyDescent="0.2">
      <c r="B501" s="160">
        <v>3</v>
      </c>
      <c r="C501" s="305" t="s">
        <v>315</v>
      </c>
      <c r="D501" s="93" t="s">
        <v>342</v>
      </c>
      <c r="E501" s="165"/>
      <c r="F501" s="165"/>
      <c r="G501" s="285"/>
      <c r="H501" s="72">
        <f>SUMIF(Adat!$AE:$AE,CONCATENATE(61,N452,"051"),Adat!$E:$E)</f>
        <v>0</v>
      </c>
      <c r="I501" s="72"/>
      <c r="J501" s="72"/>
      <c r="K501" s="72">
        <f>SUMIF(Adat!$AE:$AE,CONCATENATE(60,N452,"051"),Adat!$E:$E)+H501</f>
        <v>0</v>
      </c>
    </row>
    <row r="502" spans="2:11" s="13" customFormat="1" ht="12.75" x14ac:dyDescent="0.2">
      <c r="B502" s="160">
        <v>4</v>
      </c>
      <c r="C502" s="305" t="s">
        <v>317</v>
      </c>
      <c r="D502" s="93" t="s">
        <v>395</v>
      </c>
      <c r="E502" s="165"/>
      <c r="F502" s="165"/>
      <c r="G502" s="285"/>
      <c r="H502" s="72">
        <f>SUMIF(Adat!$AE:$AE,CONCATENATE(61,N452,"052"),Adat!$E:$E)</f>
        <v>0</v>
      </c>
      <c r="I502" s="72"/>
      <c r="J502" s="72"/>
      <c r="K502" s="72">
        <f>SUMIF(Adat!$AE:$AE,CONCATENATE(60,N452,"052"),Adat!$E:$E)+H502</f>
        <v>0</v>
      </c>
    </row>
    <row r="503" spans="2:11" s="13" customFormat="1" ht="12.75" x14ac:dyDescent="0.2">
      <c r="B503" s="160">
        <v>5</v>
      </c>
      <c r="C503" s="305" t="s">
        <v>4</v>
      </c>
      <c r="D503" s="93" t="s">
        <v>344</v>
      </c>
      <c r="E503" s="165"/>
      <c r="F503" s="165"/>
      <c r="G503" s="285"/>
      <c r="H503" s="72">
        <f>SUMIF(Adat!$AE:$AE,CONCATENATE(61,N452,"053"),Adat!$E:$E)</f>
        <v>0</v>
      </c>
      <c r="I503" s="72"/>
      <c r="J503" s="72"/>
      <c r="K503" s="72">
        <f>SUMIF(Adat!$AE:$AE,CONCATENATE(60,N452,"053"),Adat!$E:$E)+H503</f>
        <v>0</v>
      </c>
    </row>
    <row r="504" spans="2:11" s="13" customFormat="1" ht="12.75" x14ac:dyDescent="0.2">
      <c r="B504" s="160">
        <v>6</v>
      </c>
      <c r="C504" s="305" t="s">
        <v>6</v>
      </c>
      <c r="D504" s="93" t="s">
        <v>345</v>
      </c>
      <c r="E504" s="165"/>
      <c r="F504" s="165"/>
      <c r="G504" s="285"/>
      <c r="H504" s="72">
        <f>SUMIF(Adat!$AE:$AE,CONCATENATE(61,N452,"054"),Adat!$E:$E)</f>
        <v>0</v>
      </c>
      <c r="I504" s="72"/>
      <c r="J504" s="72"/>
      <c r="K504" s="72">
        <f>SUMIF(Adat!$AE:$AE,CONCATENATE(60,N452,"054"),Adat!$E:$E)+H504</f>
        <v>0</v>
      </c>
    </row>
    <row r="505" spans="2:11" s="13" customFormat="1" ht="12.75" x14ac:dyDescent="0.2">
      <c r="B505" s="160">
        <v>7</v>
      </c>
      <c r="C505" s="305" t="s">
        <v>8</v>
      </c>
      <c r="D505" s="93" t="s">
        <v>321</v>
      </c>
      <c r="E505" s="165"/>
      <c r="F505" s="165"/>
      <c r="G505" s="285"/>
      <c r="H505" s="72">
        <f>SUMIF(Adat!$AE:$AE,CONCATENATE(61,N452,"055"),Adat!$E:$E)</f>
        <v>0</v>
      </c>
      <c r="I505" s="72"/>
      <c r="J505" s="72"/>
      <c r="K505" s="72">
        <f>SUMIF(Adat!$AE:$AE,CONCATENATE(60,N452,"055"),Adat!$E:$E)+H505</f>
        <v>0</v>
      </c>
    </row>
    <row r="506" spans="2:11" s="13" customFormat="1" ht="12.75" x14ac:dyDescent="0.2">
      <c r="B506" s="160">
        <v>8</v>
      </c>
      <c r="C506" s="78" t="s">
        <v>358</v>
      </c>
      <c r="D506" s="92" t="s">
        <v>1447</v>
      </c>
      <c r="E506" s="120">
        <f>SUM(E507:E509)</f>
        <v>0</v>
      </c>
      <c r="F506" s="120">
        <f t="shared" ref="F506:K506" si="150">SUM(F507:F509)</f>
        <v>0</v>
      </c>
      <c r="G506" s="120">
        <f t="shared" si="150"/>
        <v>0</v>
      </c>
      <c r="H506" s="121">
        <f t="shared" si="150"/>
        <v>0</v>
      </c>
      <c r="I506" s="121"/>
      <c r="J506" s="121"/>
      <c r="K506" s="121">
        <f t="shared" si="150"/>
        <v>0</v>
      </c>
    </row>
    <row r="507" spans="2:11" s="13" customFormat="1" ht="12.75" x14ac:dyDescent="0.2">
      <c r="B507" s="160">
        <v>9</v>
      </c>
      <c r="C507" s="305" t="s">
        <v>10</v>
      </c>
      <c r="D507" s="93" t="s">
        <v>322</v>
      </c>
      <c r="E507" s="165"/>
      <c r="F507" s="165"/>
      <c r="G507" s="285"/>
      <c r="H507" s="72">
        <f>SUMIF(Adat!$AE:$AE,CONCATENATE(61,N452,"056"),Adat!$E:$E)</f>
        <v>0</v>
      </c>
      <c r="I507" s="72"/>
      <c r="J507" s="72"/>
      <c r="K507" s="72">
        <f>SUMIF(Adat!$AE:$AE,CONCATENATE(60,N452,"056"),Adat!$E:$E)+H507</f>
        <v>0</v>
      </c>
    </row>
    <row r="508" spans="2:11" s="13" customFormat="1" ht="12.75" x14ac:dyDescent="0.2">
      <c r="B508" s="160">
        <v>10</v>
      </c>
      <c r="C508" s="305" t="s">
        <v>12</v>
      </c>
      <c r="D508" s="93" t="s">
        <v>323</v>
      </c>
      <c r="E508" s="165"/>
      <c r="F508" s="165"/>
      <c r="G508" s="165"/>
      <c r="H508" s="72">
        <f>SUMIF(Adat!$AE:$AE,CONCATENATE(61,N452,"057"),Adat!$E:$E)</f>
        <v>0</v>
      </c>
      <c r="I508" s="72"/>
      <c r="J508" s="72"/>
      <c r="K508" s="72">
        <f>SUMIF(Adat!$AE:$AE,CONCATENATE(60,N452,"057"),Adat!$E:$E)+H508</f>
        <v>0</v>
      </c>
    </row>
    <row r="509" spans="2:11" s="13" customFormat="1" ht="12.75" x14ac:dyDescent="0.2">
      <c r="B509" s="160">
        <v>11</v>
      </c>
      <c r="C509" s="305" t="s">
        <v>15</v>
      </c>
      <c r="D509" s="84" t="s">
        <v>324</v>
      </c>
      <c r="E509" s="165"/>
      <c r="F509" s="165"/>
      <c r="G509" s="165"/>
      <c r="H509" s="72">
        <f>SUMIF(Adat!$AE:$AE,CONCATENATE(61,N452,"058"),Adat!$E:$E)</f>
        <v>0</v>
      </c>
      <c r="I509" s="72"/>
      <c r="J509" s="72"/>
      <c r="K509" s="72">
        <f>SUMIF(Adat!$AE:$AE,CONCATENATE(60,N452,"058"),Adat!$E:$E)+H509</f>
        <v>0</v>
      </c>
    </row>
    <row r="510" spans="2:11" s="13" customFormat="1" ht="12.75" x14ac:dyDescent="0.2">
      <c r="B510" s="160">
        <v>12</v>
      </c>
      <c r="C510" s="154" t="s">
        <v>364</v>
      </c>
      <c r="D510" s="86" t="s">
        <v>325</v>
      </c>
      <c r="E510" s="120">
        <v>0</v>
      </c>
      <c r="F510" s="120">
        <v>0</v>
      </c>
      <c r="G510" s="120">
        <v>0</v>
      </c>
      <c r="H510" s="71">
        <f>SUMIF(Adat!$AE:$AE,CONCATENATE(61,N452,"059"),Adat!$E:$E)</f>
        <v>0</v>
      </c>
      <c r="I510" s="71"/>
      <c r="J510" s="71"/>
      <c r="K510" s="71">
        <f>SUMIF(Adat!$AE:$AE,CONCATENATE(60,N452,"059"),Adat!$E:$E)+H510</f>
        <v>0</v>
      </c>
    </row>
    <row r="511" spans="2:11" s="13" customFormat="1" ht="12.75" x14ac:dyDescent="0.2">
      <c r="B511" s="160">
        <v>13</v>
      </c>
      <c r="C511" s="154" t="s">
        <v>403</v>
      </c>
      <c r="D511" s="159" t="s">
        <v>497</v>
      </c>
      <c r="E511" s="120">
        <f>E500+E506+E510</f>
        <v>0</v>
      </c>
      <c r="F511" s="120">
        <f>F500+F506+F510</f>
        <v>0</v>
      </c>
      <c r="G511" s="120">
        <f>G500+G506+G510</f>
        <v>0</v>
      </c>
      <c r="H511" s="121">
        <f>H500+H506+H510</f>
        <v>0</v>
      </c>
      <c r="I511" s="121"/>
      <c r="J511" s="121"/>
      <c r="K511" s="121">
        <f>K500+K506+K510</f>
        <v>0</v>
      </c>
    </row>
    <row r="512" spans="2:11" s="13" customFormat="1" ht="12.75" x14ac:dyDescent="0.2"/>
    <row r="513" spans="2:15" s="13" customFormat="1" x14ac:dyDescent="0.25">
      <c r="B513" s="511" t="str">
        <f>O513</f>
        <v/>
      </c>
      <c r="C513" s="511"/>
      <c r="D513" s="511"/>
      <c r="E513" s="511"/>
      <c r="F513" s="511"/>
      <c r="G513" s="511"/>
      <c r="H513" s="511"/>
      <c r="I513" s="511"/>
      <c r="J513" s="511"/>
      <c r="K513" s="511"/>
      <c r="M513" s="318">
        <v>8</v>
      </c>
      <c r="N513" s="320">
        <f>VLOOKUP(M513,Info!$B$5:$D$55,3)</f>
        <v>0</v>
      </c>
      <c r="O513" s="321" t="str">
        <f>VLOOKUP(M513,Info!$B$5:$D$55,2)</f>
        <v/>
      </c>
    </row>
    <row r="514" spans="2:15" s="13" customFormat="1" x14ac:dyDescent="0.2">
      <c r="B514" s="534" t="str">
        <f>CONCATENATE(PAR!$H$3," évi költségvetés és az előző három év összevont mérlege")</f>
        <v>2025. évi költségvetés és az előző három év összevont mérlege</v>
      </c>
      <c r="C514" s="534"/>
      <c r="D514" s="534"/>
      <c r="E514" s="534"/>
      <c r="F514" s="534"/>
      <c r="G514" s="534"/>
      <c r="H514" s="534"/>
      <c r="I514" s="534"/>
      <c r="J514" s="534"/>
      <c r="K514" s="534"/>
    </row>
    <row r="515" spans="2:15" s="13" customFormat="1" ht="12.75" x14ac:dyDescent="0.2">
      <c r="B515" s="535" t="s">
        <v>337</v>
      </c>
      <c r="C515" s="535"/>
      <c r="D515" s="535"/>
      <c r="E515" s="535"/>
      <c r="F515" s="535"/>
      <c r="G515" s="535"/>
      <c r="H515" s="535"/>
      <c r="I515" s="535"/>
      <c r="J515" s="535"/>
      <c r="K515" s="535"/>
    </row>
    <row r="516" spans="2:15" s="13" customFormat="1" ht="12.75" x14ac:dyDescent="0.2">
      <c r="B516" s="40"/>
      <c r="C516" s="256"/>
      <c r="D516" s="40"/>
      <c r="E516" s="39"/>
      <c r="F516" s="40"/>
      <c r="G516" s="40"/>
      <c r="H516" s="40"/>
      <c r="I516" s="40"/>
      <c r="J516" s="40"/>
    </row>
    <row r="517" spans="2:15" s="13" customFormat="1" x14ac:dyDescent="0.2">
      <c r="B517" s="201" t="s">
        <v>1507</v>
      </c>
      <c r="C517" s="201"/>
      <c r="D517" s="201"/>
      <c r="E517" s="201"/>
      <c r="F517" s="201"/>
      <c r="G517" s="201"/>
      <c r="H517" s="201"/>
      <c r="I517" s="201"/>
      <c r="J517" s="201"/>
      <c r="K517" s="201"/>
    </row>
    <row r="518" spans="2:15" s="13" customFormat="1" ht="12.75" x14ac:dyDescent="0.2">
      <c r="B518" s="40"/>
      <c r="C518" s="256"/>
      <c r="D518" s="40"/>
      <c r="E518" s="39"/>
      <c r="F518" s="40"/>
      <c r="G518" s="40"/>
      <c r="H518" s="40"/>
      <c r="I518" s="40"/>
      <c r="J518" s="40"/>
    </row>
    <row r="519" spans="2:15" s="13" customFormat="1" ht="12.75" x14ac:dyDescent="0.2">
      <c r="B519" s="77"/>
      <c r="C519" s="77" t="s">
        <v>350</v>
      </c>
      <c r="D519" s="77" t="s">
        <v>351</v>
      </c>
      <c r="E519" s="77" t="s">
        <v>470</v>
      </c>
      <c r="F519" s="77" t="s">
        <v>471</v>
      </c>
      <c r="G519" s="77" t="s">
        <v>44</v>
      </c>
      <c r="H519" s="77" t="s">
        <v>42</v>
      </c>
      <c r="I519" s="77"/>
      <c r="J519" s="77"/>
      <c r="K519" s="77" t="s">
        <v>511</v>
      </c>
    </row>
    <row r="520" spans="2:15" s="13" customFormat="1" ht="38.25" x14ac:dyDescent="0.2">
      <c r="B520" s="68">
        <v>1</v>
      </c>
      <c r="C520" s="78" t="s">
        <v>348</v>
      </c>
      <c r="D520" s="78" t="s">
        <v>349</v>
      </c>
      <c r="E520" s="69" t="str">
        <f>CONCATENATE(PAR!$H$12," évi 
teljesítés")</f>
        <v>2022. évi 
teljesítés</v>
      </c>
      <c r="F520" s="69" t="str">
        <f>CONCATENATE(PAR!$H$11," évi 
teljesítés")</f>
        <v>2023. évi 
teljesítés</v>
      </c>
      <c r="G520" s="69" t="str">
        <f>CONCATENATE(PAR!$H$10," évi 
teljesítés")</f>
        <v>2024. évi 
teljesítés</v>
      </c>
      <c r="H520" s="163" t="str">
        <f>CONCATENATE(PAR!$H$3," évi
eredeti 
előirányzat")</f>
        <v>2025. évi
eredeti 
előirányzat</v>
      </c>
      <c r="I520" s="163"/>
      <c r="J520" s="163"/>
      <c r="K520" s="163" t="str">
        <f>CONCATENATE(PAR!$H$3," évi
módosított 
előirányzat")</f>
        <v>2025. évi
módosított 
előirányzat</v>
      </c>
    </row>
    <row r="521" spans="2:15" s="13" customFormat="1" ht="12.75" x14ac:dyDescent="0.2">
      <c r="B521" s="160">
        <v>2</v>
      </c>
      <c r="C521" s="79" t="s">
        <v>30</v>
      </c>
      <c r="D521" s="79" t="s">
        <v>329</v>
      </c>
      <c r="E521" s="120">
        <f>SUM(E522:E534)</f>
        <v>0</v>
      </c>
      <c r="F521" s="120">
        <f t="shared" ref="F521" si="151">SUM(F522:F534)</f>
        <v>0</v>
      </c>
      <c r="G521" s="120">
        <f>SUM(G522:G534)</f>
        <v>0</v>
      </c>
      <c r="H521" s="121">
        <f t="shared" ref="H521" si="152">SUM(H522:H534)</f>
        <v>0</v>
      </c>
      <c r="I521" s="121"/>
      <c r="J521" s="121"/>
      <c r="K521" s="121">
        <f>SUM(K522:K534)</f>
        <v>0</v>
      </c>
    </row>
    <row r="522" spans="2:15" s="13" customFormat="1" ht="12.75" x14ac:dyDescent="0.2">
      <c r="B522" s="160">
        <v>3</v>
      </c>
      <c r="C522" s="305" t="s">
        <v>1309</v>
      </c>
      <c r="D522" s="82" t="s">
        <v>1356</v>
      </c>
      <c r="E522" s="165"/>
      <c r="F522" s="165"/>
      <c r="G522" s="165"/>
      <c r="H522" s="166">
        <f>SUMIF(Adat!$AC:$AC,CONCATENATE(61,N513,"094011"),Adat!$E:$E)*-1</f>
        <v>0</v>
      </c>
      <c r="I522" s="166"/>
      <c r="J522" s="166"/>
      <c r="K522" s="166">
        <f>SUMIF(Adat!$AC:$AC,CONCATENATE(60,N513,"094011"),Adat!$E:$E)*-1+H522</f>
        <v>0</v>
      </c>
    </row>
    <row r="523" spans="2:15" s="13" customFormat="1" ht="12.75" x14ac:dyDescent="0.2">
      <c r="B523" s="160">
        <v>4</v>
      </c>
      <c r="C523" s="305" t="s">
        <v>1279</v>
      </c>
      <c r="D523" s="82" t="s">
        <v>1357</v>
      </c>
      <c r="E523" s="165"/>
      <c r="F523" s="165"/>
      <c r="G523" s="165"/>
      <c r="H523" s="166">
        <f>SUMIF(Adat!$AC:$AC,CONCATENATE(61,N513,"094021"),Adat!$E:$E)*-1</f>
        <v>0</v>
      </c>
      <c r="I523" s="166"/>
      <c r="J523" s="166"/>
      <c r="K523" s="166">
        <f>SUMIF(Adat!$AC:$AC,CONCATENATE(60,N513,"094021"),Adat!$E:$E)*-1+H523</f>
        <v>0</v>
      </c>
    </row>
    <row r="524" spans="2:15" s="13" customFormat="1" ht="12.75" x14ac:dyDescent="0.2">
      <c r="B524" s="160">
        <v>5</v>
      </c>
      <c r="C524" s="305" t="s">
        <v>1272</v>
      </c>
      <c r="D524" s="82" t="s">
        <v>1358</v>
      </c>
      <c r="E524" s="165"/>
      <c r="F524" s="165"/>
      <c r="G524" s="165"/>
      <c r="H524" s="166">
        <f>SUMIF(Adat!$AC:$AC,CONCATENATE(61,N513,"094031"),Adat!$E:$E)*-1</f>
        <v>0</v>
      </c>
      <c r="I524" s="166"/>
      <c r="J524" s="166"/>
      <c r="K524" s="166">
        <f>SUMIF(Adat!$AC:$AC,CONCATENATE(60,N513,"094031"),Adat!$E:$E)*-1+H524</f>
        <v>0</v>
      </c>
    </row>
    <row r="525" spans="2:15" s="13" customFormat="1" ht="12.75" x14ac:dyDescent="0.2">
      <c r="B525" s="160">
        <v>6</v>
      </c>
      <c r="C525" s="305" t="s">
        <v>1359</v>
      </c>
      <c r="D525" s="82" t="s">
        <v>1360</v>
      </c>
      <c r="E525" s="165"/>
      <c r="F525" s="165"/>
      <c r="G525" s="165"/>
      <c r="H525" s="166">
        <f>SUMIF(Adat!$AC:$AC,CONCATENATE(61,N513,"094041"),Adat!$E:$E)*-1</f>
        <v>0</v>
      </c>
      <c r="I525" s="166"/>
      <c r="J525" s="166"/>
      <c r="K525" s="166">
        <f>SUMIF(Adat!$AC:$AC,CONCATENATE(60,N513,"094041"),Adat!$E:$E)*-1+H525</f>
        <v>0</v>
      </c>
    </row>
    <row r="526" spans="2:15" s="13" customFormat="1" ht="12.75" x14ac:dyDescent="0.2">
      <c r="B526" s="160">
        <v>7</v>
      </c>
      <c r="C526" s="305" t="s">
        <v>1261</v>
      </c>
      <c r="D526" s="82" t="s">
        <v>1361</v>
      </c>
      <c r="E526" s="165"/>
      <c r="F526" s="165"/>
      <c r="G526" s="165"/>
      <c r="H526" s="166">
        <f>SUMIF(Adat!$AC:$AC,CONCATENATE(61,N513,"094051"),Adat!$E:$E)*-1</f>
        <v>0</v>
      </c>
      <c r="I526" s="166"/>
      <c r="J526" s="166"/>
      <c r="K526" s="166">
        <f>SUMIF(Adat!$AC:$AC,CONCATENATE(60,N513,"094051"),Adat!$E:$E)*-1+H526</f>
        <v>0</v>
      </c>
    </row>
    <row r="527" spans="2:15" s="13" customFormat="1" ht="12.75" x14ac:dyDescent="0.2">
      <c r="B527" s="160">
        <v>8</v>
      </c>
      <c r="C527" s="305" t="s">
        <v>1273</v>
      </c>
      <c r="D527" s="82" t="s">
        <v>1362</v>
      </c>
      <c r="E527" s="165"/>
      <c r="F527" s="165"/>
      <c r="G527" s="165"/>
      <c r="H527" s="166">
        <f>SUMIF(Adat!$AC:$AC,CONCATENATE(61,N513,"094061"),Adat!$E:$E)*-1</f>
        <v>0</v>
      </c>
      <c r="I527" s="166"/>
      <c r="J527" s="166"/>
      <c r="K527" s="166">
        <f>SUMIF(Adat!$AC:$AC,CONCATENATE(60,N513,"094061"),Adat!$E:$E)*-1+H527</f>
        <v>0</v>
      </c>
    </row>
    <row r="528" spans="2:15" s="13" customFormat="1" ht="12.75" x14ac:dyDescent="0.2">
      <c r="B528" s="160">
        <v>9</v>
      </c>
      <c r="C528" s="305" t="s">
        <v>1363</v>
      </c>
      <c r="D528" s="82" t="s">
        <v>1364</v>
      </c>
      <c r="E528" s="165"/>
      <c r="F528" s="165"/>
      <c r="G528" s="165"/>
      <c r="H528" s="166">
        <f>SUMIF(Adat!$AC:$AC,CONCATENATE(61,N513,"094071"),Adat!$E:$E)*-1</f>
        <v>0</v>
      </c>
      <c r="I528" s="166"/>
      <c r="J528" s="166"/>
      <c r="K528" s="166">
        <f>SUMIF(Adat!$AC:$AC,CONCATENATE(60,N513,"094071"),Adat!$E:$E)*-1+H528</f>
        <v>0</v>
      </c>
    </row>
    <row r="529" spans="2:11" s="13" customFormat="1" ht="12.75" x14ac:dyDescent="0.2">
      <c r="B529" s="160">
        <v>10</v>
      </c>
      <c r="C529" s="305" t="s">
        <v>1306</v>
      </c>
      <c r="D529" s="82" t="s">
        <v>1365</v>
      </c>
      <c r="E529" s="165"/>
      <c r="F529" s="165"/>
      <c r="G529" s="165"/>
      <c r="H529" s="166">
        <f>SUMIF(Adat!$AC:$AC,CONCATENATE(61,N513,"0940811"),Adat!$E:$E)*-1</f>
        <v>0</v>
      </c>
      <c r="I529" s="166"/>
      <c r="J529" s="166"/>
      <c r="K529" s="166">
        <f>SUMIF(Adat!$AC:$AC,CONCATENATE(60,N513,"0940811"),Adat!$E:$E)*-1+H529</f>
        <v>0</v>
      </c>
    </row>
    <row r="530" spans="2:11" s="13" customFormat="1" ht="12.75" x14ac:dyDescent="0.2">
      <c r="B530" s="160">
        <v>11</v>
      </c>
      <c r="C530" s="305" t="s">
        <v>1295</v>
      </c>
      <c r="D530" s="82" t="s">
        <v>1366</v>
      </c>
      <c r="E530" s="165"/>
      <c r="F530" s="165"/>
      <c r="G530" s="165"/>
      <c r="H530" s="166">
        <f>SUMIF(Adat!$AC:$AC,CONCATENATE(61,N513,"0940821"),Adat!$E:$E)*-1</f>
        <v>0</v>
      </c>
      <c r="I530" s="166"/>
      <c r="J530" s="166"/>
      <c r="K530" s="166">
        <f>SUMIF(Adat!$AC:$AC,CONCATENATE(60,N513,"0940821"),Adat!$E:$E)*-1+H530</f>
        <v>0</v>
      </c>
    </row>
    <row r="531" spans="2:11" s="13" customFormat="1" ht="12.75" x14ac:dyDescent="0.2">
      <c r="B531" s="160">
        <v>12</v>
      </c>
      <c r="C531" s="305" t="s">
        <v>1367</v>
      </c>
      <c r="D531" s="82" t="s">
        <v>1368</v>
      </c>
      <c r="E531" s="165"/>
      <c r="F531" s="165"/>
      <c r="G531" s="165"/>
      <c r="H531" s="166">
        <f>SUMIF(Adat!$AC:$AC,CONCATENATE(61,N513,"0940911"),Adat!$E:$E)*-1</f>
        <v>0</v>
      </c>
      <c r="I531" s="166"/>
      <c r="J531" s="166"/>
      <c r="K531" s="166">
        <f>SUMIF(Adat!$AC:$AC,CONCATENATE(60,N513,"0940911"),Adat!$E:$E)*-1+H531</f>
        <v>0</v>
      </c>
    </row>
    <row r="532" spans="2:11" s="13" customFormat="1" ht="12.75" x14ac:dyDescent="0.2">
      <c r="B532" s="160">
        <v>13</v>
      </c>
      <c r="C532" s="305" t="s">
        <v>1369</v>
      </c>
      <c r="D532" s="82" t="s">
        <v>1370</v>
      </c>
      <c r="E532" s="165"/>
      <c r="F532" s="165"/>
      <c r="G532" s="165"/>
      <c r="H532" s="166">
        <f>SUMIF(Adat!$AC:$AC,CONCATENATE(61,N513,"0940921"),Adat!$E:$E)*-1</f>
        <v>0</v>
      </c>
      <c r="I532" s="166"/>
      <c r="J532" s="166"/>
      <c r="K532" s="166">
        <f>SUMIF(Adat!$AC:$AC,CONCATENATE(60,N513,"0940921"),Adat!$E:$E)*-1+H532</f>
        <v>0</v>
      </c>
    </row>
    <row r="533" spans="2:11" s="13" customFormat="1" ht="12.75" x14ac:dyDescent="0.2">
      <c r="B533" s="160">
        <v>14</v>
      </c>
      <c r="C533" s="305" t="s">
        <v>1296</v>
      </c>
      <c r="D533" s="82" t="s">
        <v>1371</v>
      </c>
      <c r="E533" s="165"/>
      <c r="F533" s="165"/>
      <c r="G533" s="165"/>
      <c r="H533" s="166">
        <f>SUMIF(Adat!$AC:$AC,CONCATENATE(61,N513,"094101"),Adat!$E:$E)*-1</f>
        <v>0</v>
      </c>
      <c r="I533" s="166"/>
      <c r="J533" s="166"/>
      <c r="K533" s="166">
        <f>SUMIF(Adat!$AC:$AC,CONCATENATE(60,N513,"094101"),Adat!$E:$E)*-1+H533</f>
        <v>0</v>
      </c>
    </row>
    <row r="534" spans="2:11" s="13" customFormat="1" ht="12.75" x14ac:dyDescent="0.2">
      <c r="B534" s="160">
        <v>15</v>
      </c>
      <c r="C534" s="305" t="s">
        <v>1297</v>
      </c>
      <c r="D534" s="84" t="s">
        <v>1372</v>
      </c>
      <c r="E534" s="165"/>
      <c r="F534" s="165"/>
      <c r="G534" s="165"/>
      <c r="H534" s="166">
        <f>SUMIF(Adat!$AC:$AC,CONCATENATE(61,N513,"094111"),Adat!$E:$E)*-1</f>
        <v>0</v>
      </c>
      <c r="I534" s="166"/>
      <c r="J534" s="166"/>
      <c r="K534" s="166">
        <f>SUMIF(Adat!$AC:$AC,CONCATENATE(60,N513,"094111"),Adat!$E:$E)*-1+H534</f>
        <v>0</v>
      </c>
    </row>
    <row r="535" spans="2:11" s="13" customFormat="1" ht="12.75" x14ac:dyDescent="0.2">
      <c r="B535" s="160">
        <v>16</v>
      </c>
      <c r="C535" s="78" t="s">
        <v>1328</v>
      </c>
      <c r="D535" s="85" t="s">
        <v>437</v>
      </c>
      <c r="E535" s="120">
        <f>SUM(E536:E538)</f>
        <v>0</v>
      </c>
      <c r="F535" s="120">
        <f t="shared" ref="F535" si="153">SUM(F536:F538)</f>
        <v>0</v>
      </c>
      <c r="G535" s="120">
        <f>SUM(G536:G538)</f>
        <v>0</v>
      </c>
      <c r="H535" s="121">
        <f t="shared" ref="H535" si="154">SUM(H536:H538)</f>
        <v>0</v>
      </c>
      <c r="I535" s="121"/>
      <c r="J535" s="121"/>
      <c r="K535" s="121">
        <f>SUM(K536:K538)</f>
        <v>0</v>
      </c>
    </row>
    <row r="536" spans="2:11" s="13" customFormat="1" ht="12.75" x14ac:dyDescent="0.2">
      <c r="B536" s="160">
        <v>17</v>
      </c>
      <c r="C536" s="305" t="s">
        <v>1329</v>
      </c>
      <c r="D536" s="82" t="s">
        <v>1330</v>
      </c>
      <c r="E536" s="165"/>
      <c r="F536" s="165"/>
      <c r="G536" s="165"/>
      <c r="H536" s="166">
        <f>SUMIF(Adat!$AC:$AC,CONCATENATE(61,N513,"09121"),Adat!$E:$E)*-1</f>
        <v>0</v>
      </c>
      <c r="I536" s="166"/>
      <c r="J536" s="166"/>
      <c r="K536" s="166">
        <f>SUMIF(Adat!$AC:$AC,CONCATENATE(60,N513,"09121"),Adat!$E:$E)*-1+H536</f>
        <v>0</v>
      </c>
    </row>
    <row r="537" spans="2:11" s="13" customFormat="1" ht="12.75" x14ac:dyDescent="0.2">
      <c r="B537" s="160">
        <v>18</v>
      </c>
      <c r="C537" s="305" t="s">
        <v>1335</v>
      </c>
      <c r="D537" s="82" t="s">
        <v>1336</v>
      </c>
      <c r="E537" s="165"/>
      <c r="F537" s="165"/>
      <c r="G537" s="165"/>
      <c r="H537" s="166">
        <f>SUMIF(Adat!$AC:$AC,CONCATENATE(61,N513,"09151"),Adat!$E:$E)*-1</f>
        <v>0</v>
      </c>
      <c r="I537" s="166"/>
      <c r="J537" s="166"/>
      <c r="K537" s="166">
        <f>SUMIF(Adat!$AC:$AC,CONCATENATE(60,N513,"09151"),Adat!$E:$E)*-1+H537</f>
        <v>0</v>
      </c>
    </row>
    <row r="538" spans="2:11" s="13" customFormat="1" ht="12.75" x14ac:dyDescent="0.2">
      <c r="B538" s="160">
        <v>19</v>
      </c>
      <c r="C538" s="305" t="s">
        <v>1278</v>
      </c>
      <c r="D538" s="82" t="s">
        <v>1337</v>
      </c>
      <c r="E538" s="165"/>
      <c r="F538" s="165"/>
      <c r="G538" s="165"/>
      <c r="H538" s="166">
        <f>SUMIF(Adat!$AC:$AC,CONCATENATE(61,N513,"09161"),Adat!$E:$E)*-1</f>
        <v>0</v>
      </c>
      <c r="I538" s="166"/>
      <c r="J538" s="166"/>
      <c r="K538" s="166">
        <f>SUMIF(Adat!$AC:$AC,CONCATENATE(60,N513,"09161"),Adat!$E:$E)*-1+H538</f>
        <v>0</v>
      </c>
    </row>
    <row r="539" spans="2:11" s="13" customFormat="1" ht="12.75" x14ac:dyDescent="0.2">
      <c r="B539" s="160">
        <v>20</v>
      </c>
      <c r="C539" s="79" t="s">
        <v>27</v>
      </c>
      <c r="D539" s="79" t="s">
        <v>328</v>
      </c>
      <c r="E539" s="120">
        <v>0</v>
      </c>
      <c r="F539" s="120">
        <v>0</v>
      </c>
      <c r="G539" s="120">
        <v>0</v>
      </c>
      <c r="H539" s="71">
        <f>SUMIF(Adat!$AE:$AE,CONCATENATE(61,N513,"093"),Adat!$E:$E)*-1</f>
        <v>0</v>
      </c>
      <c r="I539" s="71"/>
      <c r="J539" s="71"/>
      <c r="K539" s="71">
        <f>SUMIF(Adat!$AE:$AE,CONCATENATE(60,N513,"093"),Adat!$E:$E)*-1+H539</f>
        <v>0</v>
      </c>
    </row>
    <row r="540" spans="2:11" s="13" customFormat="1" ht="12.75" x14ac:dyDescent="0.2">
      <c r="B540" s="160">
        <v>21</v>
      </c>
      <c r="C540" s="79" t="s">
        <v>24</v>
      </c>
      <c r="D540" s="79" t="s">
        <v>449</v>
      </c>
      <c r="E540" s="120">
        <f>SUM(E541:E543)</f>
        <v>0</v>
      </c>
      <c r="F540" s="120">
        <f t="shared" ref="F540:G540" si="155">SUM(F541:F543)</f>
        <v>0</v>
      </c>
      <c r="G540" s="120">
        <f t="shared" si="155"/>
        <v>0</v>
      </c>
      <c r="H540" s="121">
        <f>SUM(H541:H543)</f>
        <v>0</v>
      </c>
      <c r="I540" s="121"/>
      <c r="J540" s="121"/>
      <c r="K540" s="121">
        <f t="shared" ref="K540" si="156">SUM(K541:K543)</f>
        <v>0</v>
      </c>
    </row>
    <row r="541" spans="2:11" s="13" customFormat="1" ht="12.75" x14ac:dyDescent="0.2">
      <c r="B541" s="160">
        <v>22</v>
      </c>
      <c r="C541" s="305" t="s">
        <v>1339</v>
      </c>
      <c r="D541" s="82" t="s">
        <v>1340</v>
      </c>
      <c r="E541" s="165"/>
      <c r="F541" s="165"/>
      <c r="G541" s="165"/>
      <c r="H541" s="166">
        <f>SUMIF(Adat!$AC:$AC,CONCATENATE(61,N513,"09211"),Adat!$E:$E)*-1</f>
        <v>0</v>
      </c>
      <c r="I541" s="166"/>
      <c r="J541" s="166"/>
      <c r="K541" s="166">
        <f>SUMIF(Adat!$AC:$AC,CONCATENATE(60,N513,"09211"),Adat!$E:$E)*-1+H541</f>
        <v>0</v>
      </c>
    </row>
    <row r="542" spans="2:11" s="13" customFormat="1" ht="12.75" x14ac:dyDescent="0.2">
      <c r="B542" s="160">
        <v>23</v>
      </c>
      <c r="C542" s="305" t="s">
        <v>1345</v>
      </c>
      <c r="D542" s="82" t="s">
        <v>1346</v>
      </c>
      <c r="E542" s="165"/>
      <c r="F542" s="165"/>
      <c r="G542" s="165"/>
      <c r="H542" s="166">
        <f>SUMIF(Adat!$AC:$AC,CONCATENATE(61,N513,"09241"),Adat!$E:$E)*-1</f>
        <v>0</v>
      </c>
      <c r="I542" s="166"/>
      <c r="J542" s="166"/>
      <c r="K542" s="166">
        <f>SUMIF(Adat!$AC:$AC,CONCATENATE(60,N513,"09241"),Adat!$E:$E)*-1+H542</f>
        <v>0</v>
      </c>
    </row>
    <row r="543" spans="2:11" s="13" customFormat="1" ht="12.75" x14ac:dyDescent="0.2">
      <c r="B543" s="160">
        <v>24</v>
      </c>
      <c r="C543" s="305" t="s">
        <v>1255</v>
      </c>
      <c r="D543" s="82" t="s">
        <v>1347</v>
      </c>
      <c r="E543" s="165"/>
      <c r="F543" s="165"/>
      <c r="G543" s="165"/>
      <c r="H543" s="166">
        <f>SUMIF(Adat!$AC:$AC,CONCATENATE(61,N513,"09251"),Adat!$E:$E)*-1</f>
        <v>0</v>
      </c>
      <c r="I543" s="166"/>
      <c r="J543" s="166"/>
      <c r="K543" s="166">
        <f>SUMIF(Adat!$AC:$AC,CONCATENATE(60,N513,"09251"),Adat!$E:$E)*-1+H543</f>
        <v>0</v>
      </c>
    </row>
    <row r="544" spans="2:11" s="13" customFormat="1" ht="12.75" x14ac:dyDescent="0.2">
      <c r="B544" s="160">
        <v>25</v>
      </c>
      <c r="C544" s="79" t="s">
        <v>33</v>
      </c>
      <c r="D544" s="79" t="s">
        <v>330</v>
      </c>
      <c r="E544" s="120">
        <f>SUM(E545:E547)</f>
        <v>0</v>
      </c>
      <c r="F544" s="120">
        <f t="shared" ref="F544:K544" si="157">SUM(F545:F547)</f>
        <v>0</v>
      </c>
      <c r="G544" s="120">
        <f t="shared" si="157"/>
        <v>0</v>
      </c>
      <c r="H544" s="121">
        <f t="shared" si="157"/>
        <v>0</v>
      </c>
      <c r="I544" s="121"/>
      <c r="J544" s="121"/>
      <c r="K544" s="121">
        <f t="shared" si="157"/>
        <v>0</v>
      </c>
    </row>
    <row r="545" spans="2:15" s="13" customFormat="1" ht="12.75" x14ac:dyDescent="0.2">
      <c r="B545" s="160">
        <v>26</v>
      </c>
      <c r="C545" s="305" t="s">
        <v>1373</v>
      </c>
      <c r="D545" s="82" t="s">
        <v>1374</v>
      </c>
      <c r="E545" s="165"/>
      <c r="F545" s="165"/>
      <c r="G545" s="165"/>
      <c r="H545" s="166">
        <f>SUMIF(Adat!$AC:$AC,CONCATENATE(61,N513,"09511"),Adat!$E:$E)*-1</f>
        <v>0</v>
      </c>
      <c r="I545" s="166"/>
      <c r="J545" s="166"/>
      <c r="K545" s="166">
        <f>SUMIF(Adat!$AC:$AC,CONCATENATE(60,N513,"09511"),Adat!$E:$E)*-1+H545</f>
        <v>0</v>
      </c>
    </row>
    <row r="546" spans="2:15" s="13" customFormat="1" ht="12.75" x14ac:dyDescent="0.2">
      <c r="B546" s="160">
        <v>27</v>
      </c>
      <c r="C546" s="305" t="s">
        <v>1294</v>
      </c>
      <c r="D546" s="82" t="s">
        <v>1375</v>
      </c>
      <c r="E546" s="165"/>
      <c r="F546" s="165"/>
      <c r="G546" s="165"/>
      <c r="H546" s="166">
        <f>SUMIF(Adat!$AC:$AC,CONCATENATE(61,N513,"09521"),Adat!$E:$E)*-1</f>
        <v>0</v>
      </c>
      <c r="I546" s="166"/>
      <c r="J546" s="166"/>
      <c r="K546" s="166">
        <f>SUMIF(Adat!$AC:$AC,CONCATENATE(60,N513,"09521"),Adat!$E:$E)*-1+H546</f>
        <v>0</v>
      </c>
    </row>
    <row r="547" spans="2:15" s="13" customFormat="1" ht="12.75" x14ac:dyDescent="0.2">
      <c r="B547" s="160">
        <v>28</v>
      </c>
      <c r="C547" s="305" t="s">
        <v>1376</v>
      </c>
      <c r="D547" s="82" t="s">
        <v>1377</v>
      </c>
      <c r="E547" s="165"/>
      <c r="F547" s="165"/>
      <c r="G547" s="165"/>
      <c r="H547" s="166">
        <f>SUMIF(Adat!$AC:$AC,CONCATENATE(61,N513,"09531"),Adat!$E:$E)*-1</f>
        <v>0</v>
      </c>
      <c r="I547" s="166"/>
      <c r="J547" s="166"/>
      <c r="K547" s="166">
        <f>SUMIF(Adat!$AC:$AC,CONCATENATE(60,N513,"09531"),Adat!$E:$E)*-1+H547</f>
        <v>0</v>
      </c>
    </row>
    <row r="548" spans="2:15" s="13" customFormat="1" ht="12.75" x14ac:dyDescent="0.2">
      <c r="B548" s="160">
        <v>29</v>
      </c>
      <c r="C548" s="79" t="s">
        <v>36</v>
      </c>
      <c r="D548" s="79" t="s">
        <v>331</v>
      </c>
      <c r="E548" s="120">
        <v>0</v>
      </c>
      <c r="F548" s="120">
        <v>0</v>
      </c>
      <c r="G548" s="120">
        <v>0</v>
      </c>
      <c r="H548" s="71">
        <f>SUMIF(Adat!$AE:$AE,CONCATENATE(61,N513,"096"),Adat!$E:$E)*-1</f>
        <v>0</v>
      </c>
      <c r="I548" s="71"/>
      <c r="J548" s="71"/>
      <c r="K548" s="71">
        <f>SUMIF(Adat!$AE:$AE,CONCATENATE(60,N513,"096"),Adat!$E:$E)*-1+H548</f>
        <v>0</v>
      </c>
    </row>
    <row r="549" spans="2:15" s="13" customFormat="1" ht="12.75" x14ac:dyDescent="0.2">
      <c r="B549" s="160">
        <v>30</v>
      </c>
      <c r="C549" s="79" t="s">
        <v>38</v>
      </c>
      <c r="D549" s="85" t="s">
        <v>332</v>
      </c>
      <c r="E549" s="120">
        <v>0</v>
      </c>
      <c r="F549" s="120">
        <v>0</v>
      </c>
      <c r="G549" s="120">
        <v>0</v>
      </c>
      <c r="H549" s="71">
        <f>SUMIF(Adat!$AE:$AE,CONCATENATE(61,N513,"097"),Adat!$E:$E)*-1</f>
        <v>0</v>
      </c>
      <c r="I549" s="71"/>
      <c r="J549" s="71"/>
      <c r="K549" s="71">
        <f>SUMIF(Adat!$AE:$AE,CONCATENATE(60,N513,"097"),Adat!$E:$E)*-1+H549</f>
        <v>0</v>
      </c>
    </row>
    <row r="550" spans="2:15" s="13" customFormat="1" ht="12.75" x14ac:dyDescent="0.2">
      <c r="B550" s="160">
        <v>31</v>
      </c>
      <c r="C550" s="154" t="s">
        <v>352</v>
      </c>
      <c r="D550" s="86" t="s">
        <v>1500</v>
      </c>
      <c r="E550" s="120">
        <f>E521+E535+E539+E540+E544+E548+E549</f>
        <v>0</v>
      </c>
      <c r="F550" s="120">
        <f>F521+F535+F539+F540+F544+F548+F549</f>
        <v>0</v>
      </c>
      <c r="G550" s="120">
        <f>G521+G535+G539+G540+G544+G548+G549</f>
        <v>0</v>
      </c>
      <c r="H550" s="121">
        <f>H521+H535+H539+H540+H544+H548+H549</f>
        <v>0</v>
      </c>
      <c r="I550" s="121"/>
      <c r="J550" s="121"/>
      <c r="K550" s="121">
        <f>K521+K535+K539+K540+K544+K548+K549</f>
        <v>0</v>
      </c>
    </row>
    <row r="551" spans="2:15" s="13" customFormat="1" ht="12.75" x14ac:dyDescent="0.2">
      <c r="B551" s="160">
        <v>32</v>
      </c>
      <c r="C551" s="154" t="s">
        <v>358</v>
      </c>
      <c r="D551" s="86" t="s">
        <v>333</v>
      </c>
      <c r="E551" s="120">
        <f>SUM(E552:E554)</f>
        <v>0</v>
      </c>
      <c r="F551" s="120">
        <f t="shared" ref="F551" si="158">SUM(F552:F554)</f>
        <v>0</v>
      </c>
      <c r="G551" s="120">
        <f>SUM(G552:G554)</f>
        <v>0</v>
      </c>
      <c r="H551" s="121">
        <f t="shared" ref="H551:K551" si="159">SUM(H552:H554)</f>
        <v>0</v>
      </c>
      <c r="I551" s="121"/>
      <c r="J551" s="121"/>
      <c r="K551" s="121">
        <f t="shared" si="159"/>
        <v>0</v>
      </c>
    </row>
    <row r="552" spans="2:15" s="13" customFormat="1" ht="12.75" x14ac:dyDescent="0.2">
      <c r="B552" s="160">
        <v>33</v>
      </c>
      <c r="C552" s="305" t="s">
        <v>1274</v>
      </c>
      <c r="D552" s="82" t="s">
        <v>1419</v>
      </c>
      <c r="E552" s="165"/>
      <c r="F552" s="165"/>
      <c r="G552" s="165"/>
      <c r="H552" s="166">
        <f>SUMIF(Adat!$AC:$AC,CONCATENATE(61,N513,"0981311"),Adat!$E:$E)*-1</f>
        <v>0</v>
      </c>
      <c r="I552" s="166"/>
      <c r="J552" s="166"/>
      <c r="K552" s="166">
        <f>SUMIF(Adat!$AC:$AC,CONCATENATE(60,N513,"0981311"),Adat!$E:$E)*-1+H552</f>
        <v>0</v>
      </c>
    </row>
    <row r="553" spans="2:15" s="13" customFormat="1" ht="12.75" x14ac:dyDescent="0.2">
      <c r="B553" s="160">
        <v>34</v>
      </c>
      <c r="C553" s="305" t="s">
        <v>1420</v>
      </c>
      <c r="D553" s="84" t="s">
        <v>1421</v>
      </c>
      <c r="E553" s="165"/>
      <c r="F553" s="165"/>
      <c r="G553" s="165"/>
      <c r="H553" s="166">
        <f>SUMIF(Adat!$AC:$AC,CONCATENATE(61,N513,"0981321"),Adat!$E:$E)*-1</f>
        <v>0</v>
      </c>
      <c r="I553" s="166"/>
      <c r="J553" s="166"/>
      <c r="K553" s="166">
        <f>SUMIF(Adat!$AC:$AC,CONCATENATE(60,N513,"0981321"),Adat!$E:$E)*-1+H553</f>
        <v>0</v>
      </c>
    </row>
    <row r="554" spans="2:15" s="13" customFormat="1" ht="12.75" x14ac:dyDescent="0.2">
      <c r="B554" s="160">
        <v>35</v>
      </c>
      <c r="C554" s="319" t="s">
        <v>1275</v>
      </c>
      <c r="D554" s="84" t="s">
        <v>1501</v>
      </c>
      <c r="E554" s="165"/>
      <c r="F554" s="165"/>
      <c r="G554" s="165"/>
      <c r="H554" s="166">
        <f>SUMIF(Adat!$AC:$AC,CONCATENATE(61,N513,"098161"),Adat!$E:$E)*-1</f>
        <v>0</v>
      </c>
      <c r="I554" s="166"/>
      <c r="J554" s="166"/>
      <c r="K554" s="166">
        <f>SUMIF(Adat!$AC:$AC,CONCATENATE(60,N513,"098161"),Adat!$E:$E)*-1+H554</f>
        <v>0</v>
      </c>
    </row>
    <row r="555" spans="2:15" s="13" customFormat="1" ht="12.75" x14ac:dyDescent="0.2">
      <c r="B555" s="160">
        <v>36</v>
      </c>
      <c r="C555" s="154" t="s">
        <v>364</v>
      </c>
      <c r="D555" s="159" t="s">
        <v>1502</v>
      </c>
      <c r="E555" s="120">
        <f>E550+E551</f>
        <v>0</v>
      </c>
      <c r="F555" s="120">
        <f t="shared" ref="F555:G555" si="160">F550+F551</f>
        <v>0</v>
      </c>
      <c r="G555" s="120">
        <f t="shared" si="160"/>
        <v>0</v>
      </c>
      <c r="H555" s="121">
        <f>H550+H551</f>
        <v>0</v>
      </c>
      <c r="I555" s="121"/>
      <c r="J555" s="121"/>
      <c r="K555" s="121">
        <f>K550+K551</f>
        <v>0</v>
      </c>
    </row>
    <row r="556" spans="2:15" x14ac:dyDescent="0.25">
      <c r="B556" s="40"/>
      <c r="C556" s="256"/>
      <c r="D556" s="40"/>
      <c r="E556" s="13"/>
      <c r="F556" s="13"/>
      <c r="G556" s="13"/>
      <c r="H556" s="39"/>
      <c r="I556" s="39"/>
      <c r="J556" s="39"/>
      <c r="K556" s="13"/>
      <c r="L556" s="13"/>
      <c r="M556" s="13"/>
      <c r="N556" s="13"/>
      <c r="O556" s="13"/>
    </row>
    <row r="557" spans="2:15" x14ac:dyDescent="0.25">
      <c r="B557" s="202" t="s">
        <v>1508</v>
      </c>
      <c r="C557" s="260"/>
      <c r="D557" s="260"/>
      <c r="E557" s="13"/>
      <c r="F557" s="13"/>
      <c r="G557" s="13"/>
      <c r="H557" s="260"/>
      <c r="I557" s="260"/>
      <c r="J557" s="260"/>
      <c r="K557" s="13"/>
      <c r="L557" s="13"/>
      <c r="M557" s="13"/>
      <c r="N557" s="13"/>
      <c r="O557" s="13"/>
    </row>
    <row r="558" spans="2:15" x14ac:dyDescent="0.25">
      <c r="B558" s="40"/>
      <c r="C558" s="256"/>
      <c r="D558" s="40"/>
      <c r="E558" s="13"/>
      <c r="F558" s="13"/>
      <c r="G558" s="13"/>
      <c r="H558" s="39"/>
      <c r="I558" s="39"/>
      <c r="J558" s="39"/>
      <c r="K558" s="13"/>
      <c r="L558" s="13"/>
      <c r="M558" s="13"/>
      <c r="N558" s="13"/>
      <c r="O558" s="13"/>
    </row>
    <row r="559" spans="2:15" s="13" customFormat="1" ht="12.75" x14ac:dyDescent="0.2">
      <c r="B559" s="77"/>
      <c r="C559" s="77" t="s">
        <v>350</v>
      </c>
      <c r="D559" s="77" t="s">
        <v>351</v>
      </c>
      <c r="E559" s="77" t="s">
        <v>470</v>
      </c>
      <c r="F559" s="77" t="s">
        <v>471</v>
      </c>
      <c r="G559" s="77" t="s">
        <v>44</v>
      </c>
      <c r="H559" s="77" t="s">
        <v>42</v>
      </c>
      <c r="I559" s="77"/>
      <c r="J559" s="77"/>
      <c r="K559" s="77" t="s">
        <v>511</v>
      </c>
    </row>
    <row r="560" spans="2:15" s="13" customFormat="1" ht="38.25" x14ac:dyDescent="0.2">
      <c r="B560" s="68">
        <v>1</v>
      </c>
      <c r="C560" s="78" t="s">
        <v>348</v>
      </c>
      <c r="D560" s="78" t="s">
        <v>349</v>
      </c>
      <c r="E560" s="69" t="str">
        <f>CONCATENATE(PAR!$H$12," évi 
teljesítés")</f>
        <v>2022. évi 
teljesítés</v>
      </c>
      <c r="F560" s="69" t="str">
        <f>CONCATENATE(PAR!$H$11," évi 
teljesítés")</f>
        <v>2023. évi 
teljesítés</v>
      </c>
      <c r="G560" s="69" t="str">
        <f>CONCATENATE(PAR!$H$10," évi 
teljesítés")</f>
        <v>2024. évi 
teljesítés</v>
      </c>
      <c r="H560" s="163" t="str">
        <f>CONCATENATE(PAR!$H$3," évi
eredeti 
előirányzat")</f>
        <v>2025. évi
eredeti 
előirányzat</v>
      </c>
      <c r="I560" s="163"/>
      <c r="J560" s="163"/>
      <c r="K560" s="163" t="str">
        <f>CONCATENATE(PAR!$H$3," évi
módosított 
előirányzat")</f>
        <v>2025. évi
módosított 
előirányzat</v>
      </c>
    </row>
    <row r="561" spans="2:15" s="13" customFormat="1" ht="12.75" x14ac:dyDescent="0.2">
      <c r="B561" s="160">
        <v>2</v>
      </c>
      <c r="C561" s="78" t="s">
        <v>352</v>
      </c>
      <c r="D561" s="92" t="s">
        <v>1444</v>
      </c>
      <c r="E561" s="120">
        <f>SUM(E562:E566)</f>
        <v>0</v>
      </c>
      <c r="F561" s="120">
        <f>SUM(F562:F566)</f>
        <v>0</v>
      </c>
      <c r="G561" s="120">
        <f>SUM(G562:G566)</f>
        <v>0</v>
      </c>
      <c r="H561" s="121">
        <f>SUM(H562:H566)</f>
        <v>0</v>
      </c>
      <c r="I561" s="121"/>
      <c r="J561" s="121"/>
      <c r="K561" s="121">
        <f t="shared" ref="K561" si="161">SUM(K562:K566)</f>
        <v>0</v>
      </c>
    </row>
    <row r="562" spans="2:15" s="13" customFormat="1" ht="12.75" x14ac:dyDescent="0.2">
      <c r="B562" s="160">
        <v>3</v>
      </c>
      <c r="C562" s="305" t="s">
        <v>315</v>
      </c>
      <c r="D562" s="93" t="s">
        <v>342</v>
      </c>
      <c r="E562" s="165"/>
      <c r="F562" s="165"/>
      <c r="G562" s="285"/>
      <c r="H562" s="72">
        <f>SUMIF(Adat!$AE:$AE,CONCATENATE(61,N513,"051"),Adat!$E:$E)</f>
        <v>0</v>
      </c>
      <c r="I562" s="72"/>
      <c r="J562" s="72"/>
      <c r="K562" s="72">
        <f>SUMIF(Adat!$AE:$AE,CONCATENATE(60,N513,"051"),Adat!$E:$E)+H562</f>
        <v>0</v>
      </c>
    </row>
    <row r="563" spans="2:15" s="13" customFormat="1" ht="12.75" x14ac:dyDescent="0.2">
      <c r="B563" s="160">
        <v>4</v>
      </c>
      <c r="C563" s="305" t="s">
        <v>317</v>
      </c>
      <c r="D563" s="93" t="s">
        <v>395</v>
      </c>
      <c r="E563" s="165"/>
      <c r="F563" s="165"/>
      <c r="G563" s="285"/>
      <c r="H563" s="72">
        <f>SUMIF(Adat!$AE:$AE,CONCATENATE(61,N513,"052"),Adat!$E:$E)</f>
        <v>0</v>
      </c>
      <c r="I563" s="72"/>
      <c r="J563" s="72"/>
      <c r="K563" s="72">
        <f>SUMIF(Adat!$AE:$AE,CONCATENATE(60,N513,"052"),Adat!$E:$E)+H563</f>
        <v>0</v>
      </c>
    </row>
    <row r="564" spans="2:15" s="13" customFormat="1" ht="12.75" x14ac:dyDescent="0.2">
      <c r="B564" s="160">
        <v>5</v>
      </c>
      <c r="C564" s="305" t="s">
        <v>4</v>
      </c>
      <c r="D564" s="93" t="s">
        <v>344</v>
      </c>
      <c r="E564" s="165"/>
      <c r="F564" s="165"/>
      <c r="G564" s="285"/>
      <c r="H564" s="72">
        <f>SUMIF(Adat!$AE:$AE,CONCATENATE(61,N513,"053"),Adat!$E:$E)</f>
        <v>0</v>
      </c>
      <c r="I564" s="72"/>
      <c r="J564" s="72"/>
      <c r="K564" s="72">
        <f>SUMIF(Adat!$AE:$AE,CONCATENATE(60,N513,"053"),Adat!$E:$E)+H564</f>
        <v>0</v>
      </c>
    </row>
    <row r="565" spans="2:15" s="13" customFormat="1" ht="12.75" x14ac:dyDescent="0.2">
      <c r="B565" s="160">
        <v>6</v>
      </c>
      <c r="C565" s="305" t="s">
        <v>6</v>
      </c>
      <c r="D565" s="93" t="s">
        <v>345</v>
      </c>
      <c r="E565" s="165"/>
      <c r="F565" s="165"/>
      <c r="G565" s="285"/>
      <c r="H565" s="72">
        <f>SUMIF(Adat!$AE:$AE,CONCATENATE(61,N513,"054"),Adat!$E:$E)</f>
        <v>0</v>
      </c>
      <c r="I565" s="72"/>
      <c r="J565" s="72"/>
      <c r="K565" s="72">
        <f>SUMIF(Adat!$AE:$AE,CONCATENATE(60,N513,"054"),Adat!$E:$E)+H565</f>
        <v>0</v>
      </c>
    </row>
    <row r="566" spans="2:15" s="13" customFormat="1" ht="12.75" x14ac:dyDescent="0.2">
      <c r="B566" s="160">
        <v>7</v>
      </c>
      <c r="C566" s="305" t="s">
        <v>8</v>
      </c>
      <c r="D566" s="93" t="s">
        <v>321</v>
      </c>
      <c r="E566" s="165"/>
      <c r="F566" s="165"/>
      <c r="G566" s="285"/>
      <c r="H566" s="72">
        <f>SUMIF(Adat!$AE:$AE,CONCATENATE(61,N513,"055"),Adat!$E:$E)</f>
        <v>0</v>
      </c>
      <c r="I566" s="72"/>
      <c r="J566" s="72"/>
      <c r="K566" s="72">
        <f>SUMIF(Adat!$AE:$AE,CONCATENATE(60,N513,"055"),Adat!$E:$E)+H566</f>
        <v>0</v>
      </c>
    </row>
    <row r="567" spans="2:15" s="13" customFormat="1" ht="12.75" x14ac:dyDescent="0.2">
      <c r="B567" s="160">
        <v>8</v>
      </c>
      <c r="C567" s="78" t="s">
        <v>358</v>
      </c>
      <c r="D567" s="92" t="s">
        <v>1447</v>
      </c>
      <c r="E567" s="120">
        <f>SUM(E568:E570)</f>
        <v>0</v>
      </c>
      <c r="F567" s="120">
        <f t="shared" ref="F567:K567" si="162">SUM(F568:F570)</f>
        <v>0</v>
      </c>
      <c r="G567" s="120">
        <f t="shared" si="162"/>
        <v>0</v>
      </c>
      <c r="H567" s="121">
        <f t="shared" si="162"/>
        <v>0</v>
      </c>
      <c r="I567" s="121"/>
      <c r="J567" s="121"/>
      <c r="K567" s="121">
        <f t="shared" si="162"/>
        <v>0</v>
      </c>
    </row>
    <row r="568" spans="2:15" s="13" customFormat="1" ht="12.75" x14ac:dyDescent="0.2">
      <c r="B568" s="160">
        <v>9</v>
      </c>
      <c r="C568" s="305" t="s">
        <v>10</v>
      </c>
      <c r="D568" s="93" t="s">
        <v>322</v>
      </c>
      <c r="E568" s="165"/>
      <c r="F568" s="165"/>
      <c r="G568" s="285"/>
      <c r="H568" s="72">
        <f>SUMIF(Adat!$AE:$AE,CONCATENATE(61,N513,"056"),Adat!$E:$E)</f>
        <v>0</v>
      </c>
      <c r="I568" s="72"/>
      <c r="J568" s="72"/>
      <c r="K568" s="72">
        <f>SUMIF(Adat!$AE:$AE,CONCATENATE(60,N513,"056"),Adat!$E:$E)+H568</f>
        <v>0</v>
      </c>
    </row>
    <row r="569" spans="2:15" s="13" customFormat="1" ht="12.75" x14ac:dyDescent="0.2">
      <c r="B569" s="160">
        <v>10</v>
      </c>
      <c r="C569" s="305" t="s">
        <v>12</v>
      </c>
      <c r="D569" s="93" t="s">
        <v>323</v>
      </c>
      <c r="E569" s="165"/>
      <c r="F569" s="165"/>
      <c r="G569" s="165"/>
      <c r="H569" s="72">
        <f>SUMIF(Adat!$AE:$AE,CONCATENATE(61,N513,"057"),Adat!$E:$E)</f>
        <v>0</v>
      </c>
      <c r="I569" s="72"/>
      <c r="J569" s="72"/>
      <c r="K569" s="72">
        <f>SUMIF(Adat!$AE:$AE,CONCATENATE(60,N513,"057"),Adat!$E:$E)+H569</f>
        <v>0</v>
      </c>
    </row>
    <row r="570" spans="2:15" s="13" customFormat="1" ht="12.75" x14ac:dyDescent="0.2">
      <c r="B570" s="160">
        <v>11</v>
      </c>
      <c r="C570" s="305" t="s">
        <v>15</v>
      </c>
      <c r="D570" s="84" t="s">
        <v>324</v>
      </c>
      <c r="E570" s="165"/>
      <c r="F570" s="165"/>
      <c r="G570" s="165"/>
      <c r="H570" s="72">
        <f>SUMIF(Adat!$AE:$AE,CONCATENATE(61,N513,"058"),Adat!$E:$E)</f>
        <v>0</v>
      </c>
      <c r="I570" s="72"/>
      <c r="J570" s="72"/>
      <c r="K570" s="72">
        <f>SUMIF(Adat!$AE:$AE,CONCATENATE(60,N513,"058"),Adat!$E:$E)+H570</f>
        <v>0</v>
      </c>
    </row>
    <row r="571" spans="2:15" s="13" customFormat="1" ht="12.75" x14ac:dyDescent="0.2">
      <c r="B571" s="160">
        <v>12</v>
      </c>
      <c r="C571" s="154" t="s">
        <v>364</v>
      </c>
      <c r="D571" s="86" t="s">
        <v>325</v>
      </c>
      <c r="E571" s="120">
        <v>0</v>
      </c>
      <c r="F571" s="120">
        <v>0</v>
      </c>
      <c r="G571" s="120">
        <v>0</v>
      </c>
      <c r="H571" s="71">
        <f>SUMIF(Adat!$AE:$AE,CONCATENATE(61,N513,"059"),Adat!$E:$E)</f>
        <v>0</v>
      </c>
      <c r="I571" s="71"/>
      <c r="J571" s="71"/>
      <c r="K571" s="71">
        <f>SUMIF(Adat!$AE:$AE,CONCATENATE(60,N513,"059"),Adat!$E:$E)+H571</f>
        <v>0</v>
      </c>
    </row>
    <row r="572" spans="2:15" s="13" customFormat="1" ht="12.75" x14ac:dyDescent="0.2">
      <c r="B572" s="160">
        <v>13</v>
      </c>
      <c r="C572" s="154" t="s">
        <v>403</v>
      </c>
      <c r="D572" s="159" t="s">
        <v>497</v>
      </c>
      <c r="E572" s="120">
        <f>E561+E567+E571</f>
        <v>0</v>
      </c>
      <c r="F572" s="120">
        <f>F561+F567+F571</f>
        <v>0</v>
      </c>
      <c r="G572" s="120">
        <f>G561+G567+G571</f>
        <v>0</v>
      </c>
      <c r="H572" s="121">
        <f>H561+H567+H571</f>
        <v>0</v>
      </c>
      <c r="I572" s="121"/>
      <c r="J572" s="121"/>
      <c r="K572" s="121">
        <f>K561+K567+K571</f>
        <v>0</v>
      </c>
    </row>
    <row r="573" spans="2:15" x14ac:dyDescent="0.25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</row>
    <row r="574" spans="2:15" x14ac:dyDescent="0.25">
      <c r="B574" s="511" t="str">
        <f>O574</f>
        <v/>
      </c>
      <c r="C574" s="511"/>
      <c r="D574" s="511"/>
      <c r="E574" s="511"/>
      <c r="F574" s="511"/>
      <c r="G574" s="511"/>
      <c r="H574" s="511"/>
      <c r="I574" s="511"/>
      <c r="J574" s="511"/>
      <c r="K574" s="511"/>
      <c r="L574" s="13"/>
      <c r="M574" s="318">
        <v>9</v>
      </c>
      <c r="N574" s="320">
        <f>VLOOKUP(M574,Info!$B$5:$D$55,3)</f>
        <v>0</v>
      </c>
      <c r="O574" s="321" t="str">
        <f>VLOOKUP(M574,Info!$B$5:$D$55,2)</f>
        <v/>
      </c>
    </row>
    <row r="575" spans="2:15" x14ac:dyDescent="0.25">
      <c r="B575" s="534" t="str">
        <f>CONCATENATE(PAR!$H$3," évi költségvetés és az előző három év összevont mérlege")</f>
        <v>2025. évi költségvetés és az előző három év összevont mérlege</v>
      </c>
      <c r="C575" s="534"/>
      <c r="D575" s="534"/>
      <c r="E575" s="534"/>
      <c r="F575" s="534"/>
      <c r="G575" s="534"/>
      <c r="H575" s="534"/>
      <c r="I575" s="534"/>
      <c r="J575" s="534"/>
      <c r="K575" s="534"/>
      <c r="L575" s="13"/>
      <c r="M575" s="13"/>
      <c r="N575" s="13"/>
      <c r="O575" s="13"/>
    </row>
    <row r="576" spans="2:15" x14ac:dyDescent="0.25">
      <c r="B576" s="535" t="s">
        <v>337</v>
      </c>
      <c r="C576" s="535"/>
      <c r="D576" s="535"/>
      <c r="E576" s="535"/>
      <c r="F576" s="535"/>
      <c r="G576" s="535"/>
      <c r="H576" s="535"/>
      <c r="I576" s="535"/>
      <c r="J576" s="535"/>
      <c r="K576" s="535"/>
      <c r="L576" s="13"/>
      <c r="M576" s="13"/>
      <c r="N576" s="13"/>
      <c r="O576" s="13"/>
    </row>
    <row r="577" spans="2:15" x14ac:dyDescent="0.25">
      <c r="B577" s="40"/>
      <c r="C577" s="256"/>
      <c r="D577" s="40"/>
      <c r="E577" s="39"/>
      <c r="F577" s="40"/>
      <c r="G577" s="40"/>
      <c r="H577" s="40"/>
      <c r="I577" s="40"/>
      <c r="J577" s="40"/>
      <c r="K577" s="13"/>
      <c r="L577" s="13"/>
      <c r="M577" s="13"/>
      <c r="N577" s="13"/>
      <c r="O577" s="13"/>
    </row>
    <row r="578" spans="2:15" x14ac:dyDescent="0.25">
      <c r="B578" s="201" t="s">
        <v>1509</v>
      </c>
      <c r="C578" s="201"/>
      <c r="D578" s="201"/>
      <c r="E578" s="201"/>
      <c r="F578" s="201"/>
      <c r="G578" s="201"/>
      <c r="H578" s="201"/>
      <c r="I578" s="201"/>
      <c r="J578" s="201"/>
      <c r="K578" s="201"/>
      <c r="L578" s="13"/>
      <c r="M578" s="13"/>
      <c r="N578" s="13"/>
      <c r="O578" s="13"/>
    </row>
    <row r="579" spans="2:15" x14ac:dyDescent="0.25">
      <c r="B579" s="40"/>
      <c r="C579" s="256"/>
      <c r="D579" s="40"/>
      <c r="E579" s="39"/>
      <c r="F579" s="40"/>
      <c r="G579" s="40"/>
      <c r="H579" s="40"/>
      <c r="I579" s="40"/>
      <c r="J579" s="40"/>
      <c r="K579" s="13"/>
      <c r="L579" s="13"/>
      <c r="M579" s="13"/>
      <c r="N579" s="13"/>
      <c r="O579" s="13"/>
    </row>
    <row r="580" spans="2:15" s="13" customFormat="1" ht="12.75" x14ac:dyDescent="0.2">
      <c r="B580" s="77"/>
      <c r="C580" s="77" t="s">
        <v>350</v>
      </c>
      <c r="D580" s="77" t="s">
        <v>351</v>
      </c>
      <c r="E580" s="77" t="s">
        <v>470</v>
      </c>
      <c r="F580" s="77" t="s">
        <v>471</v>
      </c>
      <c r="G580" s="77" t="s">
        <v>44</v>
      </c>
      <c r="H580" s="77" t="s">
        <v>42</v>
      </c>
      <c r="I580" s="77"/>
      <c r="J580" s="77"/>
      <c r="K580" s="77" t="s">
        <v>511</v>
      </c>
    </row>
    <row r="581" spans="2:15" s="13" customFormat="1" ht="38.25" x14ac:dyDescent="0.2">
      <c r="B581" s="68">
        <v>1</v>
      </c>
      <c r="C581" s="78" t="s">
        <v>348</v>
      </c>
      <c r="D581" s="78" t="s">
        <v>349</v>
      </c>
      <c r="E581" s="69" t="str">
        <f>CONCATENATE(PAR!$H$12," évi 
teljesítés")</f>
        <v>2022. évi 
teljesítés</v>
      </c>
      <c r="F581" s="69" t="str">
        <f>CONCATENATE(PAR!$H$11," évi 
teljesítés")</f>
        <v>2023. évi 
teljesítés</v>
      </c>
      <c r="G581" s="69" t="str">
        <f>CONCATENATE(PAR!$H$10," évi 
teljesítés")</f>
        <v>2024. évi 
teljesítés</v>
      </c>
      <c r="H581" s="163" t="str">
        <f>CONCATENATE(PAR!$H$3," évi
eredeti 
előirányzat")</f>
        <v>2025. évi
eredeti 
előirányzat</v>
      </c>
      <c r="I581" s="163"/>
      <c r="J581" s="163"/>
      <c r="K581" s="163" t="str">
        <f>CONCATENATE(PAR!$H$3," évi
módosított 
előirányzat")</f>
        <v>2025. évi
módosított 
előirányzat</v>
      </c>
    </row>
    <row r="582" spans="2:15" s="13" customFormat="1" ht="12.75" x14ac:dyDescent="0.2">
      <c r="B582" s="160">
        <v>2</v>
      </c>
      <c r="C582" s="79" t="s">
        <v>30</v>
      </c>
      <c r="D582" s="79" t="s">
        <v>329</v>
      </c>
      <c r="E582" s="120">
        <f>SUM(E583:E595)</f>
        <v>0</v>
      </c>
      <c r="F582" s="120">
        <f t="shared" ref="F582" si="163">SUM(F583:F595)</f>
        <v>0</v>
      </c>
      <c r="G582" s="120">
        <f>SUM(G583:G595)</f>
        <v>0</v>
      </c>
      <c r="H582" s="121">
        <f t="shared" ref="H582" si="164">SUM(H583:H595)</f>
        <v>0</v>
      </c>
      <c r="I582" s="121"/>
      <c r="J582" s="121"/>
      <c r="K582" s="121">
        <f>SUM(K583:K595)</f>
        <v>0</v>
      </c>
    </row>
    <row r="583" spans="2:15" s="13" customFormat="1" ht="12.75" x14ac:dyDescent="0.2">
      <c r="B583" s="160">
        <v>3</v>
      </c>
      <c r="C583" s="305" t="s">
        <v>1309</v>
      </c>
      <c r="D583" s="82" t="s">
        <v>1356</v>
      </c>
      <c r="E583" s="165"/>
      <c r="F583" s="165"/>
      <c r="G583" s="165"/>
      <c r="H583" s="166">
        <f>SUMIF(Adat!$AC:$AC,CONCATENATE(61,N574,"094011"),Adat!$E:$E)*-1</f>
        <v>0</v>
      </c>
      <c r="I583" s="166"/>
      <c r="J583" s="166"/>
      <c r="K583" s="166">
        <f>SUMIF(Adat!$AC:$AC,CONCATENATE(60,N574,"094011"),Adat!$E:$E)*-1+H583</f>
        <v>0</v>
      </c>
    </row>
    <row r="584" spans="2:15" s="13" customFormat="1" ht="12.75" x14ac:dyDescent="0.2">
      <c r="B584" s="160">
        <v>4</v>
      </c>
      <c r="C584" s="305" t="s">
        <v>1279</v>
      </c>
      <c r="D584" s="82" t="s">
        <v>1357</v>
      </c>
      <c r="E584" s="165"/>
      <c r="F584" s="165"/>
      <c r="G584" s="165"/>
      <c r="H584" s="166">
        <f>SUMIF(Adat!$AC:$AC,CONCATENATE(61,N574,"094021"),Adat!$E:$E)*-1</f>
        <v>0</v>
      </c>
      <c r="I584" s="166"/>
      <c r="J584" s="166"/>
      <c r="K584" s="166">
        <f>SUMIF(Adat!$AC:$AC,CONCATENATE(60,N574,"094021"),Adat!$E:$E)*-1+H584</f>
        <v>0</v>
      </c>
    </row>
    <row r="585" spans="2:15" s="13" customFormat="1" ht="12.75" x14ac:dyDescent="0.2">
      <c r="B585" s="160">
        <v>5</v>
      </c>
      <c r="C585" s="305" t="s">
        <v>1272</v>
      </c>
      <c r="D585" s="82" t="s">
        <v>1358</v>
      </c>
      <c r="E585" s="165"/>
      <c r="F585" s="165"/>
      <c r="G585" s="165"/>
      <c r="H585" s="166">
        <f>SUMIF(Adat!$AC:$AC,CONCATENATE(61,N574,"094031"),Adat!$E:$E)*-1</f>
        <v>0</v>
      </c>
      <c r="I585" s="166"/>
      <c r="J585" s="166"/>
      <c r="K585" s="166">
        <f>SUMIF(Adat!$AC:$AC,CONCATENATE(60,N574,"094031"),Adat!$E:$E)*-1+H585</f>
        <v>0</v>
      </c>
    </row>
    <row r="586" spans="2:15" s="13" customFormat="1" ht="12.75" x14ac:dyDescent="0.2">
      <c r="B586" s="160">
        <v>6</v>
      </c>
      <c r="C586" s="305" t="s">
        <v>1359</v>
      </c>
      <c r="D586" s="82" t="s">
        <v>1360</v>
      </c>
      <c r="E586" s="165"/>
      <c r="F586" s="165"/>
      <c r="G586" s="165"/>
      <c r="H586" s="166">
        <f>SUMIF(Adat!$AC:$AC,CONCATENATE(61,N574,"094041"),Adat!$E:$E)*-1</f>
        <v>0</v>
      </c>
      <c r="I586" s="166"/>
      <c r="J586" s="166"/>
      <c r="K586" s="166">
        <f>SUMIF(Adat!$AC:$AC,CONCATENATE(60,N574,"094041"),Adat!$E:$E)*-1+H586</f>
        <v>0</v>
      </c>
    </row>
    <row r="587" spans="2:15" s="13" customFormat="1" ht="12.75" x14ac:dyDescent="0.2">
      <c r="B587" s="160">
        <v>7</v>
      </c>
      <c r="C587" s="305" t="s">
        <v>1261</v>
      </c>
      <c r="D587" s="82" t="s">
        <v>1361</v>
      </c>
      <c r="E587" s="165"/>
      <c r="F587" s="165"/>
      <c r="G587" s="165"/>
      <c r="H587" s="166">
        <f>SUMIF(Adat!$AC:$AC,CONCATENATE(61,N574,"094051"),Adat!$E:$E)*-1</f>
        <v>0</v>
      </c>
      <c r="I587" s="166"/>
      <c r="J587" s="166"/>
      <c r="K587" s="166">
        <f>SUMIF(Adat!$AC:$AC,CONCATENATE(60,N574,"094051"),Adat!$E:$E)*-1+H587</f>
        <v>0</v>
      </c>
    </row>
    <row r="588" spans="2:15" s="13" customFormat="1" ht="12.75" x14ac:dyDescent="0.2">
      <c r="B588" s="160">
        <v>8</v>
      </c>
      <c r="C588" s="305" t="s">
        <v>1273</v>
      </c>
      <c r="D588" s="82" t="s">
        <v>1362</v>
      </c>
      <c r="E588" s="165"/>
      <c r="F588" s="165"/>
      <c r="G588" s="165"/>
      <c r="H588" s="166">
        <f>SUMIF(Adat!$AC:$AC,CONCATENATE(61,N574,"094061"),Adat!$E:$E)*-1</f>
        <v>0</v>
      </c>
      <c r="I588" s="166"/>
      <c r="J588" s="166"/>
      <c r="K588" s="166">
        <f>SUMIF(Adat!$AC:$AC,CONCATENATE(60,N574,"094061"),Adat!$E:$E)*-1+H588</f>
        <v>0</v>
      </c>
    </row>
    <row r="589" spans="2:15" s="13" customFormat="1" ht="12.75" x14ac:dyDescent="0.2">
      <c r="B589" s="160">
        <v>9</v>
      </c>
      <c r="C589" s="305" t="s">
        <v>1363</v>
      </c>
      <c r="D589" s="82" t="s">
        <v>1364</v>
      </c>
      <c r="E589" s="165"/>
      <c r="F589" s="165"/>
      <c r="G589" s="165"/>
      <c r="H589" s="166">
        <f>SUMIF(Adat!$AC:$AC,CONCATENATE(61,N574,"094071"),Adat!$E:$E)*-1</f>
        <v>0</v>
      </c>
      <c r="I589" s="166"/>
      <c r="J589" s="166"/>
      <c r="K589" s="166">
        <f>SUMIF(Adat!$AC:$AC,CONCATENATE(60,N574,"094071"),Adat!$E:$E)*-1+H589</f>
        <v>0</v>
      </c>
    </row>
    <row r="590" spans="2:15" s="13" customFormat="1" ht="12.75" x14ac:dyDescent="0.2">
      <c r="B590" s="160">
        <v>10</v>
      </c>
      <c r="C590" s="305" t="s">
        <v>1306</v>
      </c>
      <c r="D590" s="82" t="s">
        <v>1365</v>
      </c>
      <c r="E590" s="165"/>
      <c r="F590" s="165"/>
      <c r="G590" s="165"/>
      <c r="H590" s="166">
        <f>SUMIF(Adat!$AC:$AC,CONCATENATE(61,N574,"0940811"),Adat!$E:$E)*-1</f>
        <v>0</v>
      </c>
      <c r="I590" s="166"/>
      <c r="J590" s="166"/>
      <c r="K590" s="166">
        <f>SUMIF(Adat!$AC:$AC,CONCATENATE(60,N574,"0940811"),Adat!$E:$E)*-1+H590</f>
        <v>0</v>
      </c>
    </row>
    <row r="591" spans="2:15" s="13" customFormat="1" ht="12.75" x14ac:dyDescent="0.2">
      <c r="B591" s="160">
        <v>11</v>
      </c>
      <c r="C591" s="305" t="s">
        <v>1295</v>
      </c>
      <c r="D591" s="82" t="s">
        <v>1366</v>
      </c>
      <c r="E591" s="165"/>
      <c r="F591" s="165"/>
      <c r="G591" s="165"/>
      <c r="H591" s="166">
        <f>SUMIF(Adat!$AC:$AC,CONCATENATE(61,N574,"0940821"),Adat!$E:$E)*-1</f>
        <v>0</v>
      </c>
      <c r="I591" s="166"/>
      <c r="J591" s="166"/>
      <c r="K591" s="166">
        <f>SUMIF(Adat!$AC:$AC,CONCATENATE(60,N574,"0940821"),Adat!$E:$E)*-1+H591</f>
        <v>0</v>
      </c>
    </row>
    <row r="592" spans="2:15" s="13" customFormat="1" ht="12.75" x14ac:dyDescent="0.2">
      <c r="B592" s="160">
        <v>12</v>
      </c>
      <c r="C592" s="305" t="s">
        <v>1367</v>
      </c>
      <c r="D592" s="82" t="s">
        <v>1368</v>
      </c>
      <c r="E592" s="165"/>
      <c r="F592" s="165"/>
      <c r="G592" s="165"/>
      <c r="H592" s="166">
        <f>SUMIF(Adat!$AC:$AC,CONCATENATE(61,N574,"0940911"),Adat!$E:$E)*-1</f>
        <v>0</v>
      </c>
      <c r="I592" s="166"/>
      <c r="J592" s="166"/>
      <c r="K592" s="166">
        <f>SUMIF(Adat!$AC:$AC,CONCATENATE(60,N574,"0940911"),Adat!$E:$E)*-1+H592</f>
        <v>0</v>
      </c>
    </row>
    <row r="593" spans="2:11" s="13" customFormat="1" ht="12.75" x14ac:dyDescent="0.2">
      <c r="B593" s="160">
        <v>13</v>
      </c>
      <c r="C593" s="305" t="s">
        <v>1369</v>
      </c>
      <c r="D593" s="82" t="s">
        <v>1370</v>
      </c>
      <c r="E593" s="165"/>
      <c r="F593" s="165"/>
      <c r="G593" s="165"/>
      <c r="H593" s="166">
        <f>SUMIF(Adat!$AC:$AC,CONCATENATE(61,N574,"0940921"),Adat!$E:$E)*-1</f>
        <v>0</v>
      </c>
      <c r="I593" s="166"/>
      <c r="J593" s="166"/>
      <c r="K593" s="166">
        <f>SUMIF(Adat!$AC:$AC,CONCATENATE(60,N574,"0940921"),Adat!$E:$E)*-1+H593</f>
        <v>0</v>
      </c>
    </row>
    <row r="594" spans="2:11" s="13" customFormat="1" ht="12.75" x14ac:dyDescent="0.2">
      <c r="B594" s="160">
        <v>14</v>
      </c>
      <c r="C594" s="305" t="s">
        <v>1296</v>
      </c>
      <c r="D594" s="82" t="s">
        <v>1371</v>
      </c>
      <c r="E594" s="165"/>
      <c r="F594" s="165"/>
      <c r="G594" s="165"/>
      <c r="H594" s="166">
        <f>SUMIF(Adat!$AC:$AC,CONCATENATE(61,N574,"094101"),Adat!$E:$E)*-1</f>
        <v>0</v>
      </c>
      <c r="I594" s="166"/>
      <c r="J594" s="166"/>
      <c r="K594" s="166">
        <f>SUMIF(Adat!$AC:$AC,CONCATENATE(60,N574,"094101"),Adat!$E:$E)*-1+H594</f>
        <v>0</v>
      </c>
    </row>
    <row r="595" spans="2:11" s="13" customFormat="1" ht="12.75" x14ac:dyDescent="0.2">
      <c r="B595" s="160">
        <v>15</v>
      </c>
      <c r="C595" s="305" t="s">
        <v>1297</v>
      </c>
      <c r="D595" s="84" t="s">
        <v>1372</v>
      </c>
      <c r="E595" s="165"/>
      <c r="F595" s="165"/>
      <c r="G595" s="165"/>
      <c r="H595" s="166">
        <f>SUMIF(Adat!$AC:$AC,CONCATENATE(61,N574,"094111"),Adat!$E:$E)*-1</f>
        <v>0</v>
      </c>
      <c r="I595" s="166"/>
      <c r="J595" s="166"/>
      <c r="K595" s="166">
        <f>SUMIF(Adat!$AC:$AC,CONCATENATE(60,N574,"094111"),Adat!$E:$E)*-1+H595</f>
        <v>0</v>
      </c>
    </row>
    <row r="596" spans="2:11" s="13" customFormat="1" ht="12.75" x14ac:dyDescent="0.2">
      <c r="B596" s="160">
        <v>16</v>
      </c>
      <c r="C596" s="78" t="s">
        <v>1328</v>
      </c>
      <c r="D596" s="85" t="s">
        <v>437</v>
      </c>
      <c r="E596" s="120">
        <f>SUM(E597:E599)</f>
        <v>0</v>
      </c>
      <c r="F596" s="120">
        <f t="shared" ref="F596" si="165">SUM(F597:F599)</f>
        <v>0</v>
      </c>
      <c r="G596" s="120">
        <f>SUM(G597:G599)</f>
        <v>0</v>
      </c>
      <c r="H596" s="121">
        <f t="shared" ref="H596" si="166">SUM(H597:H599)</f>
        <v>0</v>
      </c>
      <c r="I596" s="121"/>
      <c r="J596" s="121"/>
      <c r="K596" s="121">
        <f>SUM(K597:K599)</f>
        <v>0</v>
      </c>
    </row>
    <row r="597" spans="2:11" s="13" customFormat="1" ht="12.75" x14ac:dyDescent="0.2">
      <c r="B597" s="160">
        <v>17</v>
      </c>
      <c r="C597" s="305" t="s">
        <v>1329</v>
      </c>
      <c r="D597" s="82" t="s">
        <v>1330</v>
      </c>
      <c r="E597" s="165"/>
      <c r="F597" s="165"/>
      <c r="G597" s="165"/>
      <c r="H597" s="166">
        <f>SUMIF(Adat!$AC:$AC,CONCATENATE(61,N574,"09121"),Adat!$E:$E)*-1</f>
        <v>0</v>
      </c>
      <c r="I597" s="166"/>
      <c r="J597" s="166"/>
      <c r="K597" s="166">
        <f>SUMIF(Adat!$AC:$AC,CONCATENATE(60,N574,"09121"),Adat!$E:$E)*-1+H597</f>
        <v>0</v>
      </c>
    </row>
    <row r="598" spans="2:11" s="13" customFormat="1" ht="12.75" x14ac:dyDescent="0.2">
      <c r="B598" s="160">
        <v>18</v>
      </c>
      <c r="C598" s="305" t="s">
        <v>1335</v>
      </c>
      <c r="D598" s="82" t="s">
        <v>1336</v>
      </c>
      <c r="E598" s="165"/>
      <c r="F598" s="165"/>
      <c r="G598" s="165"/>
      <c r="H598" s="166">
        <f>SUMIF(Adat!$AC:$AC,CONCATENATE(61,N574,"09151"),Adat!$E:$E)*-1</f>
        <v>0</v>
      </c>
      <c r="I598" s="166"/>
      <c r="J598" s="166"/>
      <c r="K598" s="166">
        <f>SUMIF(Adat!$AC:$AC,CONCATENATE(60,N574,"09151"),Adat!$E:$E)*-1+H598</f>
        <v>0</v>
      </c>
    </row>
    <row r="599" spans="2:11" s="13" customFormat="1" ht="12.75" x14ac:dyDescent="0.2">
      <c r="B599" s="160">
        <v>19</v>
      </c>
      <c r="C599" s="305" t="s">
        <v>1278</v>
      </c>
      <c r="D599" s="82" t="s">
        <v>1337</v>
      </c>
      <c r="E599" s="165"/>
      <c r="F599" s="165"/>
      <c r="G599" s="165"/>
      <c r="H599" s="166">
        <f>SUMIF(Adat!$AC:$AC,CONCATENATE(61,N574,"09161"),Adat!$E:$E)*-1</f>
        <v>0</v>
      </c>
      <c r="I599" s="166"/>
      <c r="J599" s="166"/>
      <c r="K599" s="166">
        <f>SUMIF(Adat!$AC:$AC,CONCATENATE(60,N574,"09161"),Adat!$E:$E)*-1+H599</f>
        <v>0</v>
      </c>
    </row>
    <row r="600" spans="2:11" s="13" customFormat="1" ht="12.75" x14ac:dyDescent="0.2">
      <c r="B600" s="160">
        <v>20</v>
      </c>
      <c r="C600" s="79" t="s">
        <v>27</v>
      </c>
      <c r="D600" s="79" t="s">
        <v>328</v>
      </c>
      <c r="E600" s="120">
        <v>0</v>
      </c>
      <c r="F600" s="120">
        <v>0</v>
      </c>
      <c r="G600" s="120">
        <v>0</v>
      </c>
      <c r="H600" s="71">
        <f>SUMIF(Adat!$AE:$AE,CONCATENATE(61,N574,"093"),Adat!$E:$E)*-1</f>
        <v>0</v>
      </c>
      <c r="I600" s="71"/>
      <c r="J600" s="71"/>
      <c r="K600" s="71">
        <f>SUMIF(Adat!$AE:$AE,CONCATENATE(60,N574,"093"),Adat!$E:$E)*-1+H600</f>
        <v>0</v>
      </c>
    </row>
    <row r="601" spans="2:11" s="13" customFormat="1" ht="12.75" x14ac:dyDescent="0.2">
      <c r="B601" s="160">
        <v>21</v>
      </c>
      <c r="C601" s="79" t="s">
        <v>24</v>
      </c>
      <c r="D601" s="79" t="s">
        <v>449</v>
      </c>
      <c r="E601" s="120">
        <f>SUM(E602:E604)</f>
        <v>0</v>
      </c>
      <c r="F601" s="120">
        <f t="shared" ref="F601:G601" si="167">SUM(F602:F604)</f>
        <v>0</v>
      </c>
      <c r="G601" s="120">
        <f t="shared" si="167"/>
        <v>0</v>
      </c>
      <c r="H601" s="121">
        <f>SUM(H602:H604)</f>
        <v>0</v>
      </c>
      <c r="I601" s="121"/>
      <c r="J601" s="121"/>
      <c r="K601" s="121">
        <f t="shared" ref="K601" si="168">SUM(K602:K604)</f>
        <v>0</v>
      </c>
    </row>
    <row r="602" spans="2:11" s="13" customFormat="1" ht="12.75" x14ac:dyDescent="0.2">
      <c r="B602" s="160">
        <v>22</v>
      </c>
      <c r="C602" s="305" t="s">
        <v>1339</v>
      </c>
      <c r="D602" s="82" t="s">
        <v>1340</v>
      </c>
      <c r="E602" s="165"/>
      <c r="F602" s="165"/>
      <c r="G602" s="165"/>
      <c r="H602" s="166">
        <f>SUMIF(Adat!$AC:$AC,CONCATENATE(61,N574,"09211"),Adat!$E:$E)*-1</f>
        <v>0</v>
      </c>
      <c r="I602" s="166"/>
      <c r="J602" s="166"/>
      <c r="K602" s="166">
        <f>SUMIF(Adat!$AC:$AC,CONCATENATE(60,N574,"09211"),Adat!$E:$E)*-1+H602</f>
        <v>0</v>
      </c>
    </row>
    <row r="603" spans="2:11" s="13" customFormat="1" ht="12.75" x14ac:dyDescent="0.2">
      <c r="B603" s="160">
        <v>23</v>
      </c>
      <c r="C603" s="305" t="s">
        <v>1345</v>
      </c>
      <c r="D603" s="82" t="s">
        <v>1346</v>
      </c>
      <c r="E603" s="165"/>
      <c r="F603" s="165"/>
      <c r="G603" s="165"/>
      <c r="H603" s="166">
        <f>SUMIF(Adat!$AC:$AC,CONCATENATE(61,N574,"09241"),Adat!$E:$E)*-1</f>
        <v>0</v>
      </c>
      <c r="I603" s="166"/>
      <c r="J603" s="166"/>
      <c r="K603" s="166">
        <f>SUMIF(Adat!$AC:$AC,CONCATENATE(60,N574,"09241"),Adat!$E:$E)*-1+H603</f>
        <v>0</v>
      </c>
    </row>
    <row r="604" spans="2:11" s="13" customFormat="1" ht="12.75" x14ac:dyDescent="0.2">
      <c r="B604" s="160">
        <v>24</v>
      </c>
      <c r="C604" s="305" t="s">
        <v>1255</v>
      </c>
      <c r="D604" s="82" t="s">
        <v>1347</v>
      </c>
      <c r="E604" s="165"/>
      <c r="F604" s="165"/>
      <c r="G604" s="165"/>
      <c r="H604" s="166">
        <f>SUMIF(Adat!$AC:$AC,CONCATENATE(61,N574,"09251"),Adat!$E:$E)*-1</f>
        <v>0</v>
      </c>
      <c r="I604" s="166"/>
      <c r="J604" s="166"/>
      <c r="K604" s="166">
        <f>SUMIF(Adat!$AC:$AC,CONCATENATE(60,N574,"09251"),Adat!$E:$E)*-1+H604</f>
        <v>0</v>
      </c>
    </row>
    <row r="605" spans="2:11" s="13" customFormat="1" ht="12.75" x14ac:dyDescent="0.2">
      <c r="B605" s="160">
        <v>25</v>
      </c>
      <c r="C605" s="79" t="s">
        <v>33</v>
      </c>
      <c r="D605" s="79" t="s">
        <v>330</v>
      </c>
      <c r="E605" s="120">
        <f>SUM(E606:E608)</f>
        <v>0</v>
      </c>
      <c r="F605" s="120">
        <f t="shared" ref="F605:K605" si="169">SUM(F606:F608)</f>
        <v>0</v>
      </c>
      <c r="G605" s="120">
        <f t="shared" si="169"/>
        <v>0</v>
      </c>
      <c r="H605" s="121">
        <f t="shared" si="169"/>
        <v>0</v>
      </c>
      <c r="I605" s="121"/>
      <c r="J605" s="121"/>
      <c r="K605" s="121">
        <f t="shared" si="169"/>
        <v>0</v>
      </c>
    </row>
    <row r="606" spans="2:11" s="13" customFormat="1" ht="12.75" x14ac:dyDescent="0.2">
      <c r="B606" s="160">
        <v>26</v>
      </c>
      <c r="C606" s="305" t="s">
        <v>1373</v>
      </c>
      <c r="D606" s="82" t="s">
        <v>1374</v>
      </c>
      <c r="E606" s="165"/>
      <c r="F606" s="165"/>
      <c r="G606" s="165"/>
      <c r="H606" s="166">
        <f>SUMIF(Adat!$AC:$AC,CONCATENATE(61,N574,"09511"),Adat!$E:$E)*-1</f>
        <v>0</v>
      </c>
      <c r="I606" s="166"/>
      <c r="J606" s="166"/>
      <c r="K606" s="166">
        <f>SUMIF(Adat!$AC:$AC,CONCATENATE(60,N574,"09511"),Adat!$E:$E)*-1+H606</f>
        <v>0</v>
      </c>
    </row>
    <row r="607" spans="2:11" s="13" customFormat="1" ht="12.75" x14ac:dyDescent="0.2">
      <c r="B607" s="160">
        <v>27</v>
      </c>
      <c r="C607" s="305" t="s">
        <v>1294</v>
      </c>
      <c r="D607" s="82" t="s">
        <v>1375</v>
      </c>
      <c r="E607" s="165"/>
      <c r="F607" s="165"/>
      <c r="G607" s="165"/>
      <c r="H607" s="166">
        <f>SUMIF(Adat!$AC:$AC,CONCATENATE(61,N574,"09521"),Adat!$E:$E)*-1</f>
        <v>0</v>
      </c>
      <c r="I607" s="166"/>
      <c r="J607" s="166"/>
      <c r="K607" s="166">
        <f>SUMIF(Adat!$AC:$AC,CONCATENATE(60,N574,"09521"),Adat!$E:$E)*-1+H607</f>
        <v>0</v>
      </c>
    </row>
    <row r="608" spans="2:11" s="13" customFormat="1" ht="12.75" x14ac:dyDescent="0.2">
      <c r="B608" s="160">
        <v>28</v>
      </c>
      <c r="C608" s="305" t="s">
        <v>1376</v>
      </c>
      <c r="D608" s="82" t="s">
        <v>1377</v>
      </c>
      <c r="E608" s="165"/>
      <c r="F608" s="165"/>
      <c r="G608" s="165"/>
      <c r="H608" s="166">
        <f>SUMIF(Adat!$AC:$AC,CONCATENATE(61,N574,"09531"),Adat!$E:$E)*-1</f>
        <v>0</v>
      </c>
      <c r="I608" s="166"/>
      <c r="J608" s="166"/>
      <c r="K608" s="166">
        <f>SUMIF(Adat!$AC:$AC,CONCATENATE(60,N574,"09531"),Adat!$E:$E)*-1+H608</f>
        <v>0</v>
      </c>
    </row>
    <row r="609" spans="2:15" s="13" customFormat="1" ht="12.75" x14ac:dyDescent="0.2">
      <c r="B609" s="160">
        <v>29</v>
      </c>
      <c r="C609" s="79" t="s">
        <v>36</v>
      </c>
      <c r="D609" s="79" t="s">
        <v>331</v>
      </c>
      <c r="E609" s="120">
        <v>0</v>
      </c>
      <c r="F609" s="120">
        <v>0</v>
      </c>
      <c r="G609" s="120">
        <v>0</v>
      </c>
      <c r="H609" s="71">
        <f>SUMIF(Adat!$AE:$AE,CONCATENATE(61,N574,"096"),Adat!$E:$E)*-1</f>
        <v>0</v>
      </c>
      <c r="I609" s="71"/>
      <c r="J609" s="71"/>
      <c r="K609" s="71">
        <f>SUMIF(Adat!$AE:$AE,CONCATENATE(60,N574,"096"),Adat!$E:$E)*-1+H609</f>
        <v>0</v>
      </c>
    </row>
    <row r="610" spans="2:15" s="13" customFormat="1" ht="12.75" x14ac:dyDescent="0.2">
      <c r="B610" s="160">
        <v>30</v>
      </c>
      <c r="C610" s="79" t="s">
        <v>38</v>
      </c>
      <c r="D610" s="85" t="s">
        <v>332</v>
      </c>
      <c r="E610" s="120">
        <v>0</v>
      </c>
      <c r="F610" s="120">
        <v>0</v>
      </c>
      <c r="G610" s="120">
        <v>0</v>
      </c>
      <c r="H610" s="71">
        <f>SUMIF(Adat!$AE:$AE,CONCATENATE(61,N574,"097"),Adat!$E:$E)*-1</f>
        <v>0</v>
      </c>
      <c r="I610" s="71"/>
      <c r="J610" s="71"/>
      <c r="K610" s="71">
        <f>SUMIF(Adat!$AE:$AE,CONCATENATE(60,N574,"097"),Adat!$E:$E)*-1+H610</f>
        <v>0</v>
      </c>
    </row>
    <row r="611" spans="2:15" s="13" customFormat="1" ht="12.75" x14ac:dyDescent="0.2">
      <c r="B611" s="160">
        <v>31</v>
      </c>
      <c r="C611" s="154" t="s">
        <v>352</v>
      </c>
      <c r="D611" s="86" t="s">
        <v>1500</v>
      </c>
      <c r="E611" s="120">
        <f>E582+E596+E600+E601+E605+E609+E610</f>
        <v>0</v>
      </c>
      <c r="F611" s="120">
        <f>F582+F596+F600+F601+F605+F609+F610</f>
        <v>0</v>
      </c>
      <c r="G611" s="120">
        <f>G582+G596+G600+G601+G605+G609+G610</f>
        <v>0</v>
      </c>
      <c r="H611" s="121">
        <f>H582+H596+H600+H601+H605+H609+H610</f>
        <v>0</v>
      </c>
      <c r="I611" s="121"/>
      <c r="J611" s="121"/>
      <c r="K611" s="121">
        <f>K582+K596+K600+K601+K605+K609+K610</f>
        <v>0</v>
      </c>
    </row>
    <row r="612" spans="2:15" s="13" customFormat="1" ht="12.75" x14ac:dyDescent="0.2">
      <c r="B612" s="160">
        <v>32</v>
      </c>
      <c r="C612" s="154" t="s">
        <v>358</v>
      </c>
      <c r="D612" s="86" t="s">
        <v>333</v>
      </c>
      <c r="E612" s="120">
        <f>SUM(E613:E615)</f>
        <v>0</v>
      </c>
      <c r="F612" s="120">
        <f t="shared" ref="F612" si="170">SUM(F613:F615)</f>
        <v>0</v>
      </c>
      <c r="G612" s="120">
        <f>SUM(G613:G615)</f>
        <v>0</v>
      </c>
      <c r="H612" s="121">
        <f t="shared" ref="H612:K612" si="171">SUM(H613:H615)</f>
        <v>0</v>
      </c>
      <c r="I612" s="121"/>
      <c r="J612" s="121"/>
      <c r="K612" s="121">
        <f t="shared" si="171"/>
        <v>0</v>
      </c>
    </row>
    <row r="613" spans="2:15" s="13" customFormat="1" ht="12.75" x14ac:dyDescent="0.2">
      <c r="B613" s="160">
        <v>33</v>
      </c>
      <c r="C613" s="305" t="s">
        <v>1274</v>
      </c>
      <c r="D613" s="82" t="s">
        <v>1419</v>
      </c>
      <c r="E613" s="165"/>
      <c r="F613" s="165"/>
      <c r="G613" s="165"/>
      <c r="H613" s="166">
        <f>SUMIF(Adat!$AC:$AC,CONCATENATE(61,N574,"0981311"),Adat!$E:$E)*-1</f>
        <v>0</v>
      </c>
      <c r="I613" s="166"/>
      <c r="J613" s="166"/>
      <c r="K613" s="166">
        <f>SUMIF(Adat!$AC:$AC,CONCATENATE(60,N574,"0981311"),Adat!$E:$E)*-1+H613</f>
        <v>0</v>
      </c>
    </row>
    <row r="614" spans="2:15" s="13" customFormat="1" ht="12.75" x14ac:dyDescent="0.2">
      <c r="B614" s="160">
        <v>34</v>
      </c>
      <c r="C614" s="305" t="s">
        <v>1420</v>
      </c>
      <c r="D614" s="84" t="s">
        <v>1421</v>
      </c>
      <c r="E614" s="165"/>
      <c r="F614" s="165"/>
      <c r="G614" s="165"/>
      <c r="H614" s="166">
        <f>SUMIF(Adat!$AC:$AC,CONCATENATE(61,N574,"0981321"),Adat!$E:$E)*-1</f>
        <v>0</v>
      </c>
      <c r="I614" s="166"/>
      <c r="J614" s="166"/>
      <c r="K614" s="166">
        <f>SUMIF(Adat!$AC:$AC,CONCATENATE(60,N574,"0981321"),Adat!$E:$E)*-1+H614</f>
        <v>0</v>
      </c>
    </row>
    <row r="615" spans="2:15" s="13" customFormat="1" ht="12.75" x14ac:dyDescent="0.2">
      <c r="B615" s="160">
        <v>35</v>
      </c>
      <c r="C615" s="319" t="s">
        <v>1275</v>
      </c>
      <c r="D615" s="84" t="s">
        <v>1501</v>
      </c>
      <c r="E615" s="165"/>
      <c r="F615" s="165"/>
      <c r="G615" s="165"/>
      <c r="H615" s="166">
        <f>SUMIF(Adat!$AC:$AC,CONCATENATE(61,N574,"098161"),Adat!$E:$E)*-1</f>
        <v>0</v>
      </c>
      <c r="I615" s="166"/>
      <c r="J615" s="166"/>
      <c r="K615" s="166">
        <f>SUMIF(Adat!$AC:$AC,CONCATENATE(60,N574,"098161"),Adat!$E:$E)*-1+H615</f>
        <v>0</v>
      </c>
    </row>
    <row r="616" spans="2:15" s="13" customFormat="1" ht="12.75" x14ac:dyDescent="0.2">
      <c r="B616" s="160">
        <v>36</v>
      </c>
      <c r="C616" s="154" t="s">
        <v>364</v>
      </c>
      <c r="D616" s="159" t="s">
        <v>1502</v>
      </c>
      <c r="E616" s="120">
        <f>E611+E612</f>
        <v>0</v>
      </c>
      <c r="F616" s="120">
        <f t="shared" ref="F616:G616" si="172">F611+F612</f>
        <v>0</v>
      </c>
      <c r="G616" s="120">
        <f t="shared" si="172"/>
        <v>0</v>
      </c>
      <c r="H616" s="121">
        <f>H611+H612</f>
        <v>0</v>
      </c>
      <c r="I616" s="121"/>
      <c r="J616" s="121"/>
      <c r="K616" s="121">
        <f>K611+K612</f>
        <v>0</v>
      </c>
    </row>
    <row r="617" spans="2:15" x14ac:dyDescent="0.25">
      <c r="B617" s="40"/>
      <c r="C617" s="256"/>
      <c r="D617" s="40"/>
      <c r="E617" s="13"/>
      <c r="F617" s="13"/>
      <c r="G617" s="13"/>
      <c r="H617" s="39"/>
      <c r="I617" s="39"/>
      <c r="J617" s="39"/>
      <c r="K617" s="13"/>
      <c r="L617" s="13"/>
      <c r="M617" s="13"/>
      <c r="N617" s="13"/>
      <c r="O617" s="13"/>
    </row>
    <row r="618" spans="2:15" x14ac:dyDescent="0.25">
      <c r="B618" s="202" t="s">
        <v>1510</v>
      </c>
      <c r="C618" s="260"/>
      <c r="D618" s="260"/>
      <c r="E618" s="13"/>
      <c r="F618" s="13"/>
      <c r="G618" s="13"/>
      <c r="H618" s="260"/>
      <c r="I618" s="260"/>
      <c r="J618" s="260"/>
      <c r="K618" s="13"/>
      <c r="L618" s="13"/>
      <c r="M618" s="13"/>
      <c r="N618" s="13"/>
      <c r="O618" s="13"/>
    </row>
    <row r="619" spans="2:15" x14ac:dyDescent="0.25">
      <c r="B619" s="40"/>
      <c r="C619" s="256"/>
      <c r="D619" s="40"/>
      <c r="E619" s="13"/>
      <c r="F619" s="13"/>
      <c r="G619" s="13"/>
      <c r="H619" s="39"/>
      <c r="I619" s="39"/>
      <c r="J619" s="39"/>
      <c r="K619" s="13"/>
      <c r="L619" s="13"/>
      <c r="M619" s="13"/>
      <c r="N619" s="13"/>
      <c r="O619" s="13"/>
    </row>
    <row r="620" spans="2:15" s="13" customFormat="1" ht="12.75" x14ac:dyDescent="0.2">
      <c r="B620" s="77"/>
      <c r="C620" s="77" t="s">
        <v>350</v>
      </c>
      <c r="D620" s="77" t="s">
        <v>351</v>
      </c>
      <c r="E620" s="77" t="s">
        <v>470</v>
      </c>
      <c r="F620" s="77" t="s">
        <v>471</v>
      </c>
      <c r="G620" s="77" t="s">
        <v>44</v>
      </c>
      <c r="H620" s="77" t="s">
        <v>42</v>
      </c>
      <c r="I620" s="77"/>
      <c r="J620" s="77"/>
      <c r="K620" s="77" t="s">
        <v>511</v>
      </c>
    </row>
    <row r="621" spans="2:15" s="13" customFormat="1" ht="38.25" x14ac:dyDescent="0.2">
      <c r="B621" s="68">
        <v>1</v>
      </c>
      <c r="C621" s="78" t="s">
        <v>348</v>
      </c>
      <c r="D621" s="78" t="s">
        <v>349</v>
      </c>
      <c r="E621" s="69" t="str">
        <f>CONCATENATE(PAR!$H$12," évi 
teljesítés")</f>
        <v>2022. évi 
teljesítés</v>
      </c>
      <c r="F621" s="69" t="str">
        <f>CONCATENATE(PAR!$H$11," évi 
teljesítés")</f>
        <v>2023. évi 
teljesítés</v>
      </c>
      <c r="G621" s="69" t="str">
        <f>CONCATENATE(PAR!$H$10," évi 
teljesítés")</f>
        <v>2024. évi 
teljesítés</v>
      </c>
      <c r="H621" s="163" t="str">
        <f>CONCATENATE(PAR!$H$3," évi
eredeti 
előirányzat")</f>
        <v>2025. évi
eredeti 
előirányzat</v>
      </c>
      <c r="I621" s="163"/>
      <c r="J621" s="163"/>
      <c r="K621" s="163" t="str">
        <f>CONCATENATE(PAR!$H$3," évi
módosított 
előirányzat")</f>
        <v>2025. évi
módosított 
előirányzat</v>
      </c>
    </row>
    <row r="622" spans="2:15" s="13" customFormat="1" ht="12.75" x14ac:dyDescent="0.2">
      <c r="B622" s="160">
        <v>2</v>
      </c>
      <c r="C622" s="78" t="s">
        <v>352</v>
      </c>
      <c r="D622" s="92" t="s">
        <v>1444</v>
      </c>
      <c r="E622" s="120">
        <f>SUM(E623:E627)</f>
        <v>0</v>
      </c>
      <c r="F622" s="120">
        <f>SUM(F623:F627)</f>
        <v>0</v>
      </c>
      <c r="G622" s="120">
        <f>SUM(G623:G627)</f>
        <v>0</v>
      </c>
      <c r="H622" s="121">
        <f>SUM(H623:H627)</f>
        <v>0</v>
      </c>
      <c r="I622" s="121"/>
      <c r="J622" s="121"/>
      <c r="K622" s="121">
        <f t="shared" ref="K622" si="173">SUM(K623:K627)</f>
        <v>0</v>
      </c>
    </row>
    <row r="623" spans="2:15" s="13" customFormat="1" ht="12.75" x14ac:dyDescent="0.2">
      <c r="B623" s="160">
        <v>3</v>
      </c>
      <c r="C623" s="305" t="s">
        <v>315</v>
      </c>
      <c r="D623" s="93" t="s">
        <v>342</v>
      </c>
      <c r="E623" s="165"/>
      <c r="F623" s="165"/>
      <c r="G623" s="285"/>
      <c r="H623" s="72">
        <f>SUMIF(Adat!$AE:$AE,CONCATENATE(61,N574,"051"),Adat!$E:$E)</f>
        <v>0</v>
      </c>
      <c r="I623" s="72"/>
      <c r="J623" s="72"/>
      <c r="K623" s="72">
        <f>SUMIF(Adat!$AE:$AE,CONCATENATE(60,N574,"051"),Adat!$E:$E)+H623</f>
        <v>0</v>
      </c>
    </row>
    <row r="624" spans="2:15" s="13" customFormat="1" ht="12.75" x14ac:dyDescent="0.2">
      <c r="B624" s="160">
        <v>4</v>
      </c>
      <c r="C624" s="305" t="s">
        <v>317</v>
      </c>
      <c r="D624" s="93" t="s">
        <v>395</v>
      </c>
      <c r="E624" s="165"/>
      <c r="F624" s="165"/>
      <c r="G624" s="285"/>
      <c r="H624" s="72">
        <f>SUMIF(Adat!$AE:$AE,CONCATENATE(61,N574,"052"),Adat!$E:$E)</f>
        <v>0</v>
      </c>
      <c r="I624" s="72"/>
      <c r="J624" s="72"/>
      <c r="K624" s="72">
        <f>SUMIF(Adat!$AE:$AE,CONCATENATE(60,N574,"052"),Adat!$E:$E)+H624</f>
        <v>0</v>
      </c>
    </row>
    <row r="625" spans="2:15" s="13" customFormat="1" ht="12.75" x14ac:dyDescent="0.2">
      <c r="B625" s="160">
        <v>5</v>
      </c>
      <c r="C625" s="305" t="s">
        <v>4</v>
      </c>
      <c r="D625" s="93" t="s">
        <v>344</v>
      </c>
      <c r="E625" s="165"/>
      <c r="F625" s="165"/>
      <c r="G625" s="285"/>
      <c r="H625" s="72">
        <f>SUMIF(Adat!$AE:$AE,CONCATENATE(61,N574,"053"),Adat!$E:$E)</f>
        <v>0</v>
      </c>
      <c r="I625" s="72"/>
      <c r="J625" s="72"/>
      <c r="K625" s="72">
        <f>SUMIF(Adat!$AE:$AE,CONCATENATE(60,N574,"053"),Adat!$E:$E)+H625</f>
        <v>0</v>
      </c>
    </row>
    <row r="626" spans="2:15" s="13" customFormat="1" ht="12.75" x14ac:dyDescent="0.2">
      <c r="B626" s="160">
        <v>6</v>
      </c>
      <c r="C626" s="305" t="s">
        <v>6</v>
      </c>
      <c r="D626" s="93" t="s">
        <v>345</v>
      </c>
      <c r="E626" s="165"/>
      <c r="F626" s="165"/>
      <c r="G626" s="285"/>
      <c r="H626" s="72">
        <f>SUMIF(Adat!$AE:$AE,CONCATENATE(61,N574,"054"),Adat!$E:$E)</f>
        <v>0</v>
      </c>
      <c r="I626" s="72"/>
      <c r="J626" s="72"/>
      <c r="K626" s="72">
        <f>SUMIF(Adat!$AE:$AE,CONCATENATE(60,N574,"054"),Adat!$E:$E)+H626</f>
        <v>0</v>
      </c>
    </row>
    <row r="627" spans="2:15" s="13" customFormat="1" ht="12.75" x14ac:dyDescent="0.2">
      <c r="B627" s="160">
        <v>7</v>
      </c>
      <c r="C627" s="305" t="s">
        <v>8</v>
      </c>
      <c r="D627" s="93" t="s">
        <v>321</v>
      </c>
      <c r="E627" s="165"/>
      <c r="F627" s="165"/>
      <c r="G627" s="285"/>
      <c r="H627" s="72">
        <f>SUMIF(Adat!$AE:$AE,CONCATENATE(61,N574,"055"),Adat!$E:$E)</f>
        <v>0</v>
      </c>
      <c r="I627" s="72"/>
      <c r="J627" s="72"/>
      <c r="K627" s="72">
        <f>SUMIF(Adat!$AE:$AE,CONCATENATE(60,N574,"055"),Adat!$E:$E)+H627</f>
        <v>0</v>
      </c>
    </row>
    <row r="628" spans="2:15" s="13" customFormat="1" ht="12.75" x14ac:dyDescent="0.2">
      <c r="B628" s="160">
        <v>8</v>
      </c>
      <c r="C628" s="78" t="s">
        <v>358</v>
      </c>
      <c r="D628" s="92" t="s">
        <v>1447</v>
      </c>
      <c r="E628" s="120">
        <f>SUM(E629:E631)</f>
        <v>0</v>
      </c>
      <c r="F628" s="120">
        <f t="shared" ref="F628:K628" si="174">SUM(F629:F631)</f>
        <v>0</v>
      </c>
      <c r="G628" s="120">
        <f t="shared" si="174"/>
        <v>0</v>
      </c>
      <c r="H628" s="121">
        <f t="shared" si="174"/>
        <v>0</v>
      </c>
      <c r="I628" s="121"/>
      <c r="J628" s="121"/>
      <c r="K628" s="121">
        <f t="shared" si="174"/>
        <v>0</v>
      </c>
    </row>
    <row r="629" spans="2:15" s="13" customFormat="1" ht="12.75" x14ac:dyDescent="0.2">
      <c r="B629" s="160">
        <v>9</v>
      </c>
      <c r="C629" s="305" t="s">
        <v>10</v>
      </c>
      <c r="D629" s="93" t="s">
        <v>322</v>
      </c>
      <c r="E629" s="165"/>
      <c r="F629" s="165"/>
      <c r="G629" s="285"/>
      <c r="H629" s="72">
        <f>SUMIF(Adat!$AE:$AE,CONCATENATE(61,N574,"056"),Adat!$E:$E)</f>
        <v>0</v>
      </c>
      <c r="I629" s="72"/>
      <c r="J629" s="72"/>
      <c r="K629" s="72">
        <f>SUMIF(Adat!$AE:$AE,CONCATENATE(60,N574,"056"),Adat!$E:$E)+H629</f>
        <v>0</v>
      </c>
    </row>
    <row r="630" spans="2:15" s="13" customFormat="1" ht="12.75" x14ac:dyDescent="0.2">
      <c r="B630" s="160">
        <v>10</v>
      </c>
      <c r="C630" s="305" t="s">
        <v>12</v>
      </c>
      <c r="D630" s="93" t="s">
        <v>323</v>
      </c>
      <c r="E630" s="165"/>
      <c r="F630" s="165"/>
      <c r="G630" s="165"/>
      <c r="H630" s="72">
        <f>SUMIF(Adat!$AE:$AE,CONCATENATE(61,N574,"057"),Adat!$E:$E)</f>
        <v>0</v>
      </c>
      <c r="I630" s="72"/>
      <c r="J630" s="72"/>
      <c r="K630" s="72">
        <f>SUMIF(Adat!$AE:$AE,CONCATENATE(60,N574,"057"),Adat!$E:$E)+H630</f>
        <v>0</v>
      </c>
    </row>
    <row r="631" spans="2:15" s="13" customFormat="1" ht="12.75" x14ac:dyDescent="0.2">
      <c r="B631" s="160">
        <v>11</v>
      </c>
      <c r="C631" s="305" t="s">
        <v>15</v>
      </c>
      <c r="D631" s="84" t="s">
        <v>324</v>
      </c>
      <c r="E631" s="165"/>
      <c r="F631" s="165"/>
      <c r="G631" s="165"/>
      <c r="H631" s="72">
        <f>SUMIF(Adat!$AE:$AE,CONCATENATE(61,N574,"058"),Adat!$E:$E)</f>
        <v>0</v>
      </c>
      <c r="I631" s="72"/>
      <c r="J631" s="72"/>
      <c r="K631" s="72">
        <f>SUMIF(Adat!$AE:$AE,CONCATENATE(60,N574,"058"),Adat!$E:$E)+H631</f>
        <v>0</v>
      </c>
    </row>
    <row r="632" spans="2:15" s="13" customFormat="1" ht="12.75" x14ac:dyDescent="0.2">
      <c r="B632" s="160">
        <v>12</v>
      </c>
      <c r="C632" s="154" t="s">
        <v>364</v>
      </c>
      <c r="D632" s="86" t="s">
        <v>325</v>
      </c>
      <c r="E632" s="120">
        <v>0</v>
      </c>
      <c r="F632" s="120">
        <v>0</v>
      </c>
      <c r="G632" s="120">
        <v>0</v>
      </c>
      <c r="H632" s="71">
        <f>SUMIF(Adat!$AE:$AE,CONCATENATE(61,N574,"059"),Adat!$E:$E)</f>
        <v>0</v>
      </c>
      <c r="I632" s="71"/>
      <c r="J632" s="71"/>
      <c r="K632" s="71">
        <f>SUMIF(Adat!$AE:$AE,CONCATENATE(60,N574,"059"),Adat!$E:$E)+H632</f>
        <v>0</v>
      </c>
    </row>
    <row r="633" spans="2:15" s="13" customFormat="1" ht="12.75" x14ac:dyDescent="0.2">
      <c r="B633" s="160">
        <v>13</v>
      </c>
      <c r="C633" s="154" t="s">
        <v>403</v>
      </c>
      <c r="D633" s="159" t="s">
        <v>497</v>
      </c>
      <c r="E633" s="120">
        <f>E622+E628+E632</f>
        <v>0</v>
      </c>
      <c r="F633" s="120">
        <f>F622+F628+F632</f>
        <v>0</v>
      </c>
      <c r="G633" s="120">
        <f>G622+G628+G632</f>
        <v>0</v>
      </c>
      <c r="H633" s="121">
        <f>H622+H628+H632</f>
        <v>0</v>
      </c>
      <c r="I633" s="121"/>
      <c r="J633" s="121"/>
      <c r="K633" s="121">
        <f>K622+K628+K632</f>
        <v>0</v>
      </c>
    </row>
    <row r="634" spans="2:15" x14ac:dyDescent="0.25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</row>
    <row r="635" spans="2:15" x14ac:dyDescent="0.25">
      <c r="B635" s="511" t="str">
        <f>O635</f>
        <v/>
      </c>
      <c r="C635" s="511"/>
      <c r="D635" s="511"/>
      <c r="E635" s="511"/>
      <c r="F635" s="511"/>
      <c r="G635" s="511"/>
      <c r="H635" s="511"/>
      <c r="I635" s="511"/>
      <c r="J635" s="511"/>
      <c r="K635" s="511"/>
      <c r="L635" s="13"/>
      <c r="M635" s="318">
        <v>10</v>
      </c>
      <c r="N635" s="320">
        <f>VLOOKUP(M635,Info!$B$5:$D$55,3)</f>
        <v>0</v>
      </c>
      <c r="O635" s="321" t="str">
        <f>VLOOKUP(M635,Info!$B$5:$D$55,2)</f>
        <v/>
      </c>
    </row>
    <row r="636" spans="2:15" x14ac:dyDescent="0.25">
      <c r="B636" s="534" t="str">
        <f>CONCATENATE(PAR!$H$3," évi költségvetés és az előző három év összevont mérlege")</f>
        <v>2025. évi költségvetés és az előző három év összevont mérlege</v>
      </c>
      <c r="C636" s="534"/>
      <c r="D636" s="534"/>
      <c r="E636" s="534"/>
      <c r="F636" s="534"/>
      <c r="G636" s="534"/>
      <c r="H636" s="534"/>
      <c r="I636" s="534"/>
      <c r="J636" s="534"/>
      <c r="K636" s="534"/>
      <c r="L636" s="13"/>
      <c r="M636" s="13"/>
      <c r="N636" s="13"/>
      <c r="O636" s="13"/>
    </row>
    <row r="637" spans="2:15" x14ac:dyDescent="0.25">
      <c r="B637" s="535" t="s">
        <v>337</v>
      </c>
      <c r="C637" s="535"/>
      <c r="D637" s="535"/>
      <c r="E637" s="535"/>
      <c r="F637" s="535"/>
      <c r="G637" s="535"/>
      <c r="H637" s="535"/>
      <c r="I637" s="535"/>
      <c r="J637" s="535"/>
      <c r="K637" s="535"/>
      <c r="L637" s="13"/>
      <c r="M637" s="13"/>
      <c r="N637" s="13"/>
      <c r="O637" s="13"/>
    </row>
    <row r="638" spans="2:15" x14ac:dyDescent="0.25">
      <c r="B638" s="40"/>
      <c r="C638" s="256"/>
      <c r="D638" s="40"/>
      <c r="E638" s="39"/>
      <c r="F638" s="40"/>
      <c r="G638" s="40"/>
      <c r="H638" s="40"/>
      <c r="I638" s="40"/>
      <c r="J638" s="40"/>
      <c r="K638" s="13"/>
      <c r="L638" s="13"/>
      <c r="M638" s="13"/>
      <c r="N638" s="13"/>
      <c r="O638" s="13"/>
    </row>
    <row r="639" spans="2:15" x14ac:dyDescent="0.25">
      <c r="B639" s="201" t="s">
        <v>1193</v>
      </c>
      <c r="C639" s="201"/>
      <c r="D639" s="201"/>
      <c r="E639" s="201"/>
      <c r="F639" s="201"/>
      <c r="G639" s="201"/>
      <c r="H639" s="201"/>
      <c r="I639" s="201"/>
      <c r="J639" s="201"/>
      <c r="K639" s="201"/>
      <c r="L639" s="13"/>
      <c r="M639" s="13"/>
      <c r="N639" s="13"/>
      <c r="O639" s="13"/>
    </row>
    <row r="640" spans="2:15" x14ac:dyDescent="0.25">
      <c r="B640" s="40"/>
      <c r="C640" s="256"/>
      <c r="D640" s="40"/>
      <c r="E640" s="39"/>
      <c r="F640" s="40"/>
      <c r="G640" s="40"/>
      <c r="H640" s="40"/>
      <c r="I640" s="40"/>
      <c r="J640" s="40"/>
      <c r="K640" s="13"/>
      <c r="L640" s="13"/>
      <c r="M640" s="13"/>
      <c r="N640" s="13"/>
      <c r="O640" s="13"/>
    </row>
    <row r="641" spans="2:11" s="13" customFormat="1" ht="12.75" x14ac:dyDescent="0.2">
      <c r="B641" s="77"/>
      <c r="C641" s="77" t="s">
        <v>350</v>
      </c>
      <c r="D641" s="77" t="s">
        <v>351</v>
      </c>
      <c r="E641" s="77" t="s">
        <v>470</v>
      </c>
      <c r="F641" s="77" t="s">
        <v>471</v>
      </c>
      <c r="G641" s="77" t="s">
        <v>44</v>
      </c>
      <c r="H641" s="77" t="s">
        <v>42</v>
      </c>
      <c r="I641" s="77"/>
      <c r="J641" s="77"/>
      <c r="K641" s="77" t="s">
        <v>511</v>
      </c>
    </row>
    <row r="642" spans="2:11" s="13" customFormat="1" ht="38.25" x14ac:dyDescent="0.2">
      <c r="B642" s="68">
        <v>1</v>
      </c>
      <c r="C642" s="78" t="s">
        <v>348</v>
      </c>
      <c r="D642" s="78" t="s">
        <v>349</v>
      </c>
      <c r="E642" s="69" t="str">
        <f>CONCATENATE(PAR!$H$12," évi 
teljesítés")</f>
        <v>2022. évi 
teljesítés</v>
      </c>
      <c r="F642" s="69" t="str">
        <f>CONCATENATE(PAR!$H$11," évi 
teljesítés")</f>
        <v>2023. évi 
teljesítés</v>
      </c>
      <c r="G642" s="69" t="str">
        <f>CONCATENATE(PAR!$H$10," évi 
teljesítés")</f>
        <v>2024. évi 
teljesítés</v>
      </c>
      <c r="H642" s="163" t="str">
        <f>CONCATENATE(PAR!$H$3," évi
eredeti 
előirányzat")</f>
        <v>2025. évi
eredeti 
előirányzat</v>
      </c>
      <c r="I642" s="163"/>
      <c r="J642" s="163"/>
      <c r="K642" s="163" t="str">
        <f>CONCATENATE(PAR!$H$3," évi
módosított 
előirányzat")</f>
        <v>2025. évi
módosított 
előirányzat</v>
      </c>
    </row>
    <row r="643" spans="2:11" s="13" customFormat="1" ht="12.75" x14ac:dyDescent="0.2">
      <c r="B643" s="160">
        <v>2</v>
      </c>
      <c r="C643" s="79" t="s">
        <v>30</v>
      </c>
      <c r="D643" s="79" t="s">
        <v>329</v>
      </c>
      <c r="E643" s="120">
        <f>SUM(E644:E656)</f>
        <v>0</v>
      </c>
      <c r="F643" s="120">
        <f t="shared" ref="F643" si="175">SUM(F644:F656)</f>
        <v>0</v>
      </c>
      <c r="G643" s="120">
        <f>SUM(G644:G656)</f>
        <v>0</v>
      </c>
      <c r="H643" s="121">
        <f t="shared" ref="H643" si="176">SUM(H644:H656)</f>
        <v>0</v>
      </c>
      <c r="I643" s="121"/>
      <c r="J643" s="121"/>
      <c r="K643" s="121">
        <f>SUM(K644:K656)</f>
        <v>0</v>
      </c>
    </row>
    <row r="644" spans="2:11" s="13" customFormat="1" ht="12.75" x14ac:dyDescent="0.2">
      <c r="B644" s="160">
        <v>3</v>
      </c>
      <c r="C644" s="305" t="s">
        <v>1309</v>
      </c>
      <c r="D644" s="82" t="s">
        <v>1356</v>
      </c>
      <c r="E644" s="165"/>
      <c r="F644" s="165"/>
      <c r="G644" s="165"/>
      <c r="H644" s="166">
        <f>SUMIF(Adat!$AC:$AC,CONCATENATE(61,N635,"094011"),Adat!$E:$E)*-1</f>
        <v>0</v>
      </c>
      <c r="I644" s="166"/>
      <c r="J644" s="166"/>
      <c r="K644" s="166">
        <f>SUMIF(Adat!$AC:$AC,CONCATENATE(60,N635,"094011"),Adat!$E:$E)*-1+H644</f>
        <v>0</v>
      </c>
    </row>
    <row r="645" spans="2:11" s="13" customFormat="1" ht="12.75" x14ac:dyDescent="0.2">
      <c r="B645" s="160">
        <v>4</v>
      </c>
      <c r="C645" s="305" t="s">
        <v>1279</v>
      </c>
      <c r="D645" s="82" t="s">
        <v>1357</v>
      </c>
      <c r="E645" s="165"/>
      <c r="F645" s="165"/>
      <c r="G645" s="165"/>
      <c r="H645" s="166">
        <f>SUMIF(Adat!$AC:$AC,CONCATENATE(61,N635,"094021"),Adat!$E:$E)*-1</f>
        <v>0</v>
      </c>
      <c r="I645" s="166"/>
      <c r="J645" s="166"/>
      <c r="K645" s="166">
        <f>SUMIF(Adat!$AC:$AC,CONCATENATE(60,N635,"094021"),Adat!$E:$E)*-1+H645</f>
        <v>0</v>
      </c>
    </row>
    <row r="646" spans="2:11" s="13" customFormat="1" ht="12.75" x14ac:dyDescent="0.2">
      <c r="B646" s="160">
        <v>5</v>
      </c>
      <c r="C646" s="305" t="s">
        <v>1272</v>
      </c>
      <c r="D646" s="82" t="s">
        <v>1358</v>
      </c>
      <c r="E646" s="165"/>
      <c r="F646" s="165"/>
      <c r="G646" s="165"/>
      <c r="H646" s="166">
        <f>SUMIF(Adat!$AC:$AC,CONCATENATE(61,N635,"094031"),Adat!$E:$E)*-1</f>
        <v>0</v>
      </c>
      <c r="I646" s="166"/>
      <c r="J646" s="166"/>
      <c r="K646" s="166">
        <f>SUMIF(Adat!$AC:$AC,CONCATENATE(60,N635,"094031"),Adat!$E:$E)*-1+H646</f>
        <v>0</v>
      </c>
    </row>
    <row r="647" spans="2:11" s="13" customFormat="1" ht="12.75" x14ac:dyDescent="0.2">
      <c r="B647" s="160">
        <v>6</v>
      </c>
      <c r="C647" s="305" t="s">
        <v>1359</v>
      </c>
      <c r="D647" s="82" t="s">
        <v>1360</v>
      </c>
      <c r="E647" s="165"/>
      <c r="F647" s="165"/>
      <c r="G647" s="165"/>
      <c r="H647" s="166">
        <f>SUMIF(Adat!$AC:$AC,CONCATENATE(61,N635,"094041"),Adat!$E:$E)*-1</f>
        <v>0</v>
      </c>
      <c r="I647" s="166"/>
      <c r="J647" s="166"/>
      <c r="K647" s="166">
        <f>SUMIF(Adat!$AC:$AC,CONCATENATE(60,N635,"094041"),Adat!$E:$E)*-1+H647</f>
        <v>0</v>
      </c>
    </row>
    <row r="648" spans="2:11" s="13" customFormat="1" ht="12.75" x14ac:dyDescent="0.2">
      <c r="B648" s="160">
        <v>7</v>
      </c>
      <c r="C648" s="305" t="s">
        <v>1261</v>
      </c>
      <c r="D648" s="82" t="s">
        <v>1361</v>
      </c>
      <c r="E648" s="165"/>
      <c r="F648" s="165"/>
      <c r="G648" s="165"/>
      <c r="H648" s="166">
        <f>SUMIF(Adat!$AC:$AC,CONCATENATE(61,N635,"094051"),Adat!$E:$E)*-1</f>
        <v>0</v>
      </c>
      <c r="I648" s="166"/>
      <c r="J648" s="166"/>
      <c r="K648" s="166">
        <f>SUMIF(Adat!$AC:$AC,CONCATENATE(60,N635,"094051"),Adat!$E:$E)*-1+H648</f>
        <v>0</v>
      </c>
    </row>
    <row r="649" spans="2:11" s="13" customFormat="1" ht="12.75" x14ac:dyDescent="0.2">
      <c r="B649" s="160">
        <v>8</v>
      </c>
      <c r="C649" s="305" t="s">
        <v>1273</v>
      </c>
      <c r="D649" s="82" t="s">
        <v>1362</v>
      </c>
      <c r="E649" s="165"/>
      <c r="F649" s="165"/>
      <c r="G649" s="165"/>
      <c r="H649" s="166">
        <f>SUMIF(Adat!$AC:$AC,CONCATENATE(61,N635,"094061"),Adat!$E:$E)*-1</f>
        <v>0</v>
      </c>
      <c r="I649" s="166"/>
      <c r="J649" s="166"/>
      <c r="K649" s="166">
        <f>SUMIF(Adat!$AC:$AC,CONCATENATE(60,N635,"094061"),Adat!$E:$E)*-1+H649</f>
        <v>0</v>
      </c>
    </row>
    <row r="650" spans="2:11" s="13" customFormat="1" ht="12.75" x14ac:dyDescent="0.2">
      <c r="B650" s="160">
        <v>9</v>
      </c>
      <c r="C650" s="305" t="s">
        <v>1363</v>
      </c>
      <c r="D650" s="82" t="s">
        <v>1364</v>
      </c>
      <c r="E650" s="165"/>
      <c r="F650" s="165"/>
      <c r="G650" s="165"/>
      <c r="H650" s="166">
        <f>SUMIF(Adat!$AC:$AC,CONCATENATE(61,N635,"094071"),Adat!$E:$E)*-1</f>
        <v>0</v>
      </c>
      <c r="I650" s="166"/>
      <c r="J650" s="166"/>
      <c r="K650" s="166">
        <f>SUMIF(Adat!$AC:$AC,CONCATENATE(60,N635,"094071"),Adat!$E:$E)*-1+H650</f>
        <v>0</v>
      </c>
    </row>
    <row r="651" spans="2:11" s="13" customFormat="1" ht="12.75" x14ac:dyDescent="0.2">
      <c r="B651" s="160">
        <v>10</v>
      </c>
      <c r="C651" s="305" t="s">
        <v>1306</v>
      </c>
      <c r="D651" s="82" t="s">
        <v>1365</v>
      </c>
      <c r="E651" s="165"/>
      <c r="F651" s="165"/>
      <c r="G651" s="165"/>
      <c r="H651" s="166">
        <f>SUMIF(Adat!$AC:$AC,CONCATENATE(61,N635,"0940811"),Adat!$E:$E)*-1</f>
        <v>0</v>
      </c>
      <c r="I651" s="166"/>
      <c r="J651" s="166"/>
      <c r="K651" s="166">
        <f>SUMIF(Adat!$AC:$AC,CONCATENATE(60,N635,"0940811"),Adat!$E:$E)*-1+H651</f>
        <v>0</v>
      </c>
    </row>
    <row r="652" spans="2:11" s="13" customFormat="1" ht="12.75" x14ac:dyDescent="0.2">
      <c r="B652" s="160">
        <v>11</v>
      </c>
      <c r="C652" s="305" t="s">
        <v>1295</v>
      </c>
      <c r="D652" s="82" t="s">
        <v>1366</v>
      </c>
      <c r="E652" s="165"/>
      <c r="F652" s="165"/>
      <c r="G652" s="165"/>
      <c r="H652" s="166">
        <f>SUMIF(Adat!$AC:$AC,CONCATENATE(61,N635,"0940821"),Adat!$E:$E)*-1</f>
        <v>0</v>
      </c>
      <c r="I652" s="166"/>
      <c r="J652" s="166"/>
      <c r="K652" s="166">
        <f>SUMIF(Adat!$AC:$AC,CONCATENATE(60,N635,"0940821"),Adat!$E:$E)*-1+H652</f>
        <v>0</v>
      </c>
    </row>
    <row r="653" spans="2:11" s="13" customFormat="1" ht="12.75" x14ac:dyDescent="0.2">
      <c r="B653" s="160">
        <v>12</v>
      </c>
      <c r="C653" s="305" t="s">
        <v>1367</v>
      </c>
      <c r="D653" s="82" t="s">
        <v>1368</v>
      </c>
      <c r="E653" s="165"/>
      <c r="F653" s="165"/>
      <c r="G653" s="165"/>
      <c r="H653" s="166">
        <f>SUMIF(Adat!$AC:$AC,CONCATENATE(61,N635,"0940911"),Adat!$E:$E)*-1</f>
        <v>0</v>
      </c>
      <c r="I653" s="166"/>
      <c r="J653" s="166"/>
      <c r="K653" s="166">
        <f>SUMIF(Adat!$AC:$AC,CONCATENATE(60,N635,"0940911"),Adat!$E:$E)*-1+H653</f>
        <v>0</v>
      </c>
    </row>
    <row r="654" spans="2:11" s="13" customFormat="1" ht="12.75" x14ac:dyDescent="0.2">
      <c r="B654" s="160">
        <v>13</v>
      </c>
      <c r="C654" s="305" t="s">
        <v>1369</v>
      </c>
      <c r="D654" s="82" t="s">
        <v>1370</v>
      </c>
      <c r="E654" s="165"/>
      <c r="F654" s="165"/>
      <c r="G654" s="165"/>
      <c r="H654" s="166">
        <f>SUMIF(Adat!$AC:$AC,CONCATENATE(61,N635,"0940921"),Adat!$E:$E)*-1</f>
        <v>0</v>
      </c>
      <c r="I654" s="166"/>
      <c r="J654" s="166"/>
      <c r="K654" s="166">
        <f>SUMIF(Adat!$AC:$AC,CONCATENATE(60,N635,"0940921"),Adat!$E:$E)*-1+H654</f>
        <v>0</v>
      </c>
    </row>
    <row r="655" spans="2:11" s="13" customFormat="1" ht="12.75" x14ac:dyDescent="0.2">
      <c r="B655" s="160">
        <v>14</v>
      </c>
      <c r="C655" s="305" t="s">
        <v>1296</v>
      </c>
      <c r="D655" s="82" t="s">
        <v>1371</v>
      </c>
      <c r="E655" s="165"/>
      <c r="F655" s="165"/>
      <c r="G655" s="165"/>
      <c r="H655" s="166">
        <f>SUMIF(Adat!$AC:$AC,CONCATENATE(61,N635,"094101"),Adat!$E:$E)*-1</f>
        <v>0</v>
      </c>
      <c r="I655" s="166"/>
      <c r="J655" s="166"/>
      <c r="K655" s="166">
        <f>SUMIF(Adat!$AC:$AC,CONCATENATE(60,N635,"094101"),Adat!$E:$E)*-1+H655</f>
        <v>0</v>
      </c>
    </row>
    <row r="656" spans="2:11" s="13" customFormat="1" ht="12.75" x14ac:dyDescent="0.2">
      <c r="B656" s="160">
        <v>15</v>
      </c>
      <c r="C656" s="305" t="s">
        <v>1297</v>
      </c>
      <c r="D656" s="84" t="s">
        <v>1372</v>
      </c>
      <c r="E656" s="165"/>
      <c r="F656" s="165"/>
      <c r="G656" s="165"/>
      <c r="H656" s="166">
        <f>SUMIF(Adat!$AC:$AC,CONCATENATE(61,N635,"094111"),Adat!$E:$E)*-1</f>
        <v>0</v>
      </c>
      <c r="I656" s="166"/>
      <c r="J656" s="166"/>
      <c r="K656" s="166">
        <f>SUMIF(Adat!$AC:$AC,CONCATENATE(60,N635,"094111"),Adat!$E:$E)*-1+H656</f>
        <v>0</v>
      </c>
    </row>
    <row r="657" spans="2:11" s="13" customFormat="1" ht="12.75" x14ac:dyDescent="0.2">
      <c r="B657" s="160">
        <v>16</v>
      </c>
      <c r="C657" s="78" t="s">
        <v>1328</v>
      </c>
      <c r="D657" s="85" t="s">
        <v>437</v>
      </c>
      <c r="E657" s="120">
        <f>SUM(E658:E660)</f>
        <v>0</v>
      </c>
      <c r="F657" s="120">
        <f t="shared" ref="F657" si="177">SUM(F658:F660)</f>
        <v>0</v>
      </c>
      <c r="G657" s="120">
        <f>SUM(G658:G660)</f>
        <v>0</v>
      </c>
      <c r="H657" s="121">
        <f t="shared" ref="H657" si="178">SUM(H658:H660)</f>
        <v>0</v>
      </c>
      <c r="I657" s="121"/>
      <c r="J657" s="121"/>
      <c r="K657" s="121">
        <f>SUM(K658:K660)</f>
        <v>0</v>
      </c>
    </row>
    <row r="658" spans="2:11" s="13" customFormat="1" ht="12.75" x14ac:dyDescent="0.2">
      <c r="B658" s="160">
        <v>17</v>
      </c>
      <c r="C658" s="305" t="s">
        <v>1329</v>
      </c>
      <c r="D658" s="82" t="s">
        <v>1330</v>
      </c>
      <c r="E658" s="165"/>
      <c r="F658" s="165"/>
      <c r="G658" s="165"/>
      <c r="H658" s="166">
        <f>SUMIF(Adat!$AC:$AC,CONCATENATE(61,N635,"09121"),Adat!$E:$E)*-1</f>
        <v>0</v>
      </c>
      <c r="I658" s="166"/>
      <c r="J658" s="166"/>
      <c r="K658" s="166">
        <f>SUMIF(Adat!$AC:$AC,CONCATENATE(60,N635,"09121"),Adat!$E:$E)*-1+H658</f>
        <v>0</v>
      </c>
    </row>
    <row r="659" spans="2:11" s="13" customFormat="1" ht="12.75" x14ac:dyDescent="0.2">
      <c r="B659" s="160">
        <v>18</v>
      </c>
      <c r="C659" s="305" t="s">
        <v>1335</v>
      </c>
      <c r="D659" s="82" t="s">
        <v>1336</v>
      </c>
      <c r="E659" s="165"/>
      <c r="F659" s="165"/>
      <c r="G659" s="165"/>
      <c r="H659" s="166">
        <f>SUMIF(Adat!$AC:$AC,CONCATENATE(61,N635,"09151"),Adat!$E:$E)*-1</f>
        <v>0</v>
      </c>
      <c r="I659" s="166"/>
      <c r="J659" s="166"/>
      <c r="K659" s="166">
        <f>SUMIF(Adat!$AC:$AC,CONCATENATE(60,N635,"09151"),Adat!$E:$E)*-1+H659</f>
        <v>0</v>
      </c>
    </row>
    <row r="660" spans="2:11" s="13" customFormat="1" ht="12.75" x14ac:dyDescent="0.2">
      <c r="B660" s="160">
        <v>19</v>
      </c>
      <c r="C660" s="305" t="s">
        <v>1278</v>
      </c>
      <c r="D660" s="82" t="s">
        <v>1337</v>
      </c>
      <c r="E660" s="165"/>
      <c r="F660" s="165"/>
      <c r="G660" s="165"/>
      <c r="H660" s="166">
        <f>SUMIF(Adat!$AC:$AC,CONCATENATE(61,N635,"09161"),Adat!$E:$E)*-1</f>
        <v>0</v>
      </c>
      <c r="I660" s="166"/>
      <c r="J660" s="166"/>
      <c r="K660" s="166">
        <f>SUMIF(Adat!$AC:$AC,CONCATENATE(60,N635,"09161"),Adat!$E:$E)*-1+H660</f>
        <v>0</v>
      </c>
    </row>
    <row r="661" spans="2:11" s="13" customFormat="1" ht="12.75" x14ac:dyDescent="0.2">
      <c r="B661" s="160">
        <v>20</v>
      </c>
      <c r="C661" s="79" t="s">
        <v>27</v>
      </c>
      <c r="D661" s="79" t="s">
        <v>328</v>
      </c>
      <c r="E661" s="120">
        <v>0</v>
      </c>
      <c r="F661" s="120">
        <v>0</v>
      </c>
      <c r="G661" s="120">
        <v>0</v>
      </c>
      <c r="H661" s="71">
        <f>SUMIF(Adat!$AE:$AE,CONCATENATE(61,N635,"093"),Adat!$E:$E)*-1</f>
        <v>0</v>
      </c>
      <c r="I661" s="71"/>
      <c r="J661" s="71"/>
      <c r="K661" s="71">
        <f>SUMIF(Adat!$AE:$AE,CONCATENATE(60,N635,"093"),Adat!$E:$E)*-1+H661</f>
        <v>0</v>
      </c>
    </row>
    <row r="662" spans="2:11" s="13" customFormat="1" ht="12.75" x14ac:dyDescent="0.2">
      <c r="B662" s="160">
        <v>21</v>
      </c>
      <c r="C662" s="79" t="s">
        <v>24</v>
      </c>
      <c r="D662" s="79" t="s">
        <v>449</v>
      </c>
      <c r="E662" s="120">
        <f>SUM(E663:E665)</f>
        <v>0</v>
      </c>
      <c r="F662" s="120">
        <f t="shared" ref="F662:G662" si="179">SUM(F663:F665)</f>
        <v>0</v>
      </c>
      <c r="G662" s="120">
        <f t="shared" si="179"/>
        <v>0</v>
      </c>
      <c r="H662" s="121">
        <f>SUM(H663:H665)</f>
        <v>0</v>
      </c>
      <c r="I662" s="121"/>
      <c r="J662" s="121"/>
      <c r="K662" s="121">
        <f t="shared" ref="K662" si="180">SUM(K663:K665)</f>
        <v>0</v>
      </c>
    </row>
    <row r="663" spans="2:11" s="13" customFormat="1" ht="12.75" x14ac:dyDescent="0.2">
      <c r="B663" s="160">
        <v>22</v>
      </c>
      <c r="C663" s="305" t="s">
        <v>1339</v>
      </c>
      <c r="D663" s="82" t="s">
        <v>1340</v>
      </c>
      <c r="E663" s="165"/>
      <c r="F663" s="165"/>
      <c r="G663" s="165"/>
      <c r="H663" s="166">
        <f>SUMIF(Adat!$AC:$AC,CONCATENATE(61,N635,"09211"),Adat!$E:$E)*-1</f>
        <v>0</v>
      </c>
      <c r="I663" s="166"/>
      <c r="J663" s="166"/>
      <c r="K663" s="166">
        <f>SUMIF(Adat!$AC:$AC,CONCATENATE(60,N635,"09211"),Adat!$E:$E)*-1+H663</f>
        <v>0</v>
      </c>
    </row>
    <row r="664" spans="2:11" s="13" customFormat="1" ht="12.75" x14ac:dyDescent="0.2">
      <c r="B664" s="160">
        <v>23</v>
      </c>
      <c r="C664" s="305" t="s">
        <v>1345</v>
      </c>
      <c r="D664" s="82" t="s">
        <v>1346</v>
      </c>
      <c r="E664" s="165"/>
      <c r="F664" s="165"/>
      <c r="G664" s="165"/>
      <c r="H664" s="166">
        <f>SUMIF(Adat!$AC:$AC,CONCATENATE(61,N635,"09241"),Adat!$E:$E)*-1</f>
        <v>0</v>
      </c>
      <c r="I664" s="166"/>
      <c r="J664" s="166"/>
      <c r="K664" s="166">
        <f>SUMIF(Adat!$AC:$AC,CONCATENATE(60,N635,"09241"),Adat!$E:$E)*-1+H664</f>
        <v>0</v>
      </c>
    </row>
    <row r="665" spans="2:11" s="13" customFormat="1" ht="12.75" x14ac:dyDescent="0.2">
      <c r="B665" s="160">
        <v>24</v>
      </c>
      <c r="C665" s="305" t="s">
        <v>1255</v>
      </c>
      <c r="D665" s="82" t="s">
        <v>1347</v>
      </c>
      <c r="E665" s="165"/>
      <c r="F665" s="165"/>
      <c r="G665" s="165"/>
      <c r="H665" s="166">
        <f>SUMIF(Adat!$AC:$AC,CONCATENATE(61,N635,"09251"),Adat!$E:$E)*-1</f>
        <v>0</v>
      </c>
      <c r="I665" s="166"/>
      <c r="J665" s="166"/>
      <c r="K665" s="166">
        <f>SUMIF(Adat!$AC:$AC,CONCATENATE(60,N635,"09251"),Adat!$E:$E)*-1+H665</f>
        <v>0</v>
      </c>
    </row>
    <row r="666" spans="2:11" s="13" customFormat="1" ht="12.75" x14ac:dyDescent="0.2">
      <c r="B666" s="160">
        <v>25</v>
      </c>
      <c r="C666" s="79" t="s">
        <v>33</v>
      </c>
      <c r="D666" s="79" t="s">
        <v>330</v>
      </c>
      <c r="E666" s="120">
        <f>SUM(E667:E669)</f>
        <v>0</v>
      </c>
      <c r="F666" s="120">
        <f t="shared" ref="F666:K666" si="181">SUM(F667:F669)</f>
        <v>0</v>
      </c>
      <c r="G666" s="120">
        <f t="shared" si="181"/>
        <v>0</v>
      </c>
      <c r="H666" s="121">
        <f t="shared" si="181"/>
        <v>0</v>
      </c>
      <c r="I666" s="121"/>
      <c r="J666" s="121"/>
      <c r="K666" s="121">
        <f t="shared" si="181"/>
        <v>0</v>
      </c>
    </row>
    <row r="667" spans="2:11" s="13" customFormat="1" ht="12.75" x14ac:dyDescent="0.2">
      <c r="B667" s="160">
        <v>26</v>
      </c>
      <c r="C667" s="305" t="s">
        <v>1373</v>
      </c>
      <c r="D667" s="82" t="s">
        <v>1374</v>
      </c>
      <c r="E667" s="165"/>
      <c r="F667" s="165"/>
      <c r="G667" s="165"/>
      <c r="H667" s="166">
        <f>SUMIF(Adat!$AC:$AC,CONCATENATE(61,N635,"09511"),Adat!$E:$E)*-1</f>
        <v>0</v>
      </c>
      <c r="I667" s="166"/>
      <c r="J667" s="166"/>
      <c r="K667" s="166">
        <f>SUMIF(Adat!$AC:$AC,CONCATENATE(60,N635,"09511"),Adat!$E:$E)*-1+H667</f>
        <v>0</v>
      </c>
    </row>
    <row r="668" spans="2:11" s="13" customFormat="1" ht="12.75" x14ac:dyDescent="0.2">
      <c r="B668" s="160">
        <v>27</v>
      </c>
      <c r="C668" s="305" t="s">
        <v>1294</v>
      </c>
      <c r="D668" s="82" t="s">
        <v>1375</v>
      </c>
      <c r="E668" s="165"/>
      <c r="F668" s="165"/>
      <c r="G668" s="165"/>
      <c r="H668" s="166">
        <f>SUMIF(Adat!$AC:$AC,CONCATENATE(61,N635,"09521"),Adat!$E:$E)*-1</f>
        <v>0</v>
      </c>
      <c r="I668" s="166"/>
      <c r="J668" s="166"/>
      <c r="K668" s="166">
        <f>SUMIF(Adat!$AC:$AC,CONCATENATE(60,N635,"09521"),Adat!$E:$E)*-1+H668</f>
        <v>0</v>
      </c>
    </row>
    <row r="669" spans="2:11" s="13" customFormat="1" ht="12.75" x14ac:dyDescent="0.2">
      <c r="B669" s="160">
        <v>28</v>
      </c>
      <c r="C669" s="305" t="s">
        <v>1376</v>
      </c>
      <c r="D669" s="82" t="s">
        <v>1377</v>
      </c>
      <c r="E669" s="165"/>
      <c r="F669" s="165"/>
      <c r="G669" s="165"/>
      <c r="H669" s="166">
        <f>SUMIF(Adat!$AC:$AC,CONCATENATE(61,N635,"09531"),Adat!$E:$E)*-1</f>
        <v>0</v>
      </c>
      <c r="I669" s="166"/>
      <c r="J669" s="166"/>
      <c r="K669" s="166">
        <f>SUMIF(Adat!$AC:$AC,CONCATENATE(60,N635,"09531"),Adat!$E:$E)*-1+H669</f>
        <v>0</v>
      </c>
    </row>
    <row r="670" spans="2:11" s="13" customFormat="1" ht="12.75" x14ac:dyDescent="0.2">
      <c r="B670" s="160">
        <v>29</v>
      </c>
      <c r="C670" s="79" t="s">
        <v>36</v>
      </c>
      <c r="D670" s="79" t="s">
        <v>331</v>
      </c>
      <c r="E670" s="120">
        <v>0</v>
      </c>
      <c r="F670" s="120">
        <v>0</v>
      </c>
      <c r="G670" s="120">
        <v>0</v>
      </c>
      <c r="H670" s="71">
        <f>SUMIF(Adat!$AE:$AE,CONCATENATE(61,N635,"096"),Adat!$E:$E)*-1</f>
        <v>0</v>
      </c>
      <c r="I670" s="71"/>
      <c r="J670" s="71"/>
      <c r="K670" s="71">
        <f>SUMIF(Adat!$AE:$AE,CONCATENATE(60,N635,"096"),Adat!$E:$E)*-1+H670</f>
        <v>0</v>
      </c>
    </row>
    <row r="671" spans="2:11" s="13" customFormat="1" ht="12.75" x14ac:dyDescent="0.2">
      <c r="B671" s="160">
        <v>30</v>
      </c>
      <c r="C671" s="79" t="s">
        <v>38</v>
      </c>
      <c r="D671" s="85" t="s">
        <v>332</v>
      </c>
      <c r="E671" s="120">
        <v>0</v>
      </c>
      <c r="F671" s="120">
        <v>0</v>
      </c>
      <c r="G671" s="120">
        <v>0</v>
      </c>
      <c r="H671" s="71">
        <f>SUMIF(Adat!$AE:$AE,CONCATENATE(61,N635,"097"),Adat!$E:$E)*-1</f>
        <v>0</v>
      </c>
      <c r="I671" s="71"/>
      <c r="J671" s="71"/>
      <c r="K671" s="71">
        <f>SUMIF(Adat!$AE:$AE,CONCATENATE(60,N635,"097"),Adat!$E:$E)*-1+H671</f>
        <v>0</v>
      </c>
    </row>
    <row r="672" spans="2:11" s="13" customFormat="1" ht="12.75" x14ac:dyDescent="0.2">
      <c r="B672" s="160">
        <v>31</v>
      </c>
      <c r="C672" s="154" t="s">
        <v>352</v>
      </c>
      <c r="D672" s="86" t="s">
        <v>1500</v>
      </c>
      <c r="E672" s="120">
        <f>E643+E657+E661+E662+E666+E670+E671</f>
        <v>0</v>
      </c>
      <c r="F672" s="120">
        <f>F643+F657+F661+F662+F666+F670+F671</f>
        <v>0</v>
      </c>
      <c r="G672" s="120">
        <f>G643+G657+G661+G662+G666+G670+G671</f>
        <v>0</v>
      </c>
      <c r="H672" s="121">
        <f>H643+H657+H661+H662+H666+H670+H671</f>
        <v>0</v>
      </c>
      <c r="I672" s="121"/>
      <c r="J672" s="121"/>
      <c r="K672" s="121">
        <f>K643+K657+K661+K662+K666+K670+K671</f>
        <v>0</v>
      </c>
    </row>
    <row r="673" spans="2:15" s="13" customFormat="1" ht="12.75" x14ac:dyDescent="0.2">
      <c r="B673" s="160">
        <v>32</v>
      </c>
      <c r="C673" s="154" t="s">
        <v>358</v>
      </c>
      <c r="D673" s="86" t="s">
        <v>333</v>
      </c>
      <c r="E673" s="120">
        <f>SUM(E674:E676)</f>
        <v>0</v>
      </c>
      <c r="F673" s="120">
        <f t="shared" ref="F673" si="182">SUM(F674:F676)</f>
        <v>0</v>
      </c>
      <c r="G673" s="120">
        <f>SUM(G674:G676)</f>
        <v>0</v>
      </c>
      <c r="H673" s="121">
        <f t="shared" ref="H673:K673" si="183">SUM(H674:H676)</f>
        <v>0</v>
      </c>
      <c r="I673" s="121"/>
      <c r="J673" s="121"/>
      <c r="K673" s="121">
        <f t="shared" si="183"/>
        <v>0</v>
      </c>
    </row>
    <row r="674" spans="2:15" s="13" customFormat="1" ht="12.75" x14ac:dyDescent="0.2">
      <c r="B674" s="160">
        <v>33</v>
      </c>
      <c r="C674" s="305" t="s">
        <v>1274</v>
      </c>
      <c r="D674" s="82" t="s">
        <v>1419</v>
      </c>
      <c r="E674" s="165"/>
      <c r="F674" s="165"/>
      <c r="G674" s="165"/>
      <c r="H674" s="166">
        <f>SUMIF(Adat!$AC:$AC,CONCATENATE(61,N635,"0981311"),Adat!$E:$E)*-1</f>
        <v>0</v>
      </c>
      <c r="I674" s="166"/>
      <c r="J674" s="166"/>
      <c r="K674" s="166">
        <f>SUMIF(Adat!$AC:$AC,CONCATENATE(60,N635,"0981311"),Adat!$E:$E)*-1+H674</f>
        <v>0</v>
      </c>
    </row>
    <row r="675" spans="2:15" s="13" customFormat="1" ht="12.75" x14ac:dyDescent="0.2">
      <c r="B675" s="160">
        <v>34</v>
      </c>
      <c r="C675" s="305" t="s">
        <v>1420</v>
      </c>
      <c r="D675" s="84" t="s">
        <v>1421</v>
      </c>
      <c r="E675" s="165"/>
      <c r="F675" s="165"/>
      <c r="G675" s="165"/>
      <c r="H675" s="166">
        <f>SUMIF(Adat!$AC:$AC,CONCATENATE(61,N635,"0981321"),Adat!$E:$E)*-1</f>
        <v>0</v>
      </c>
      <c r="I675" s="166"/>
      <c r="J675" s="166"/>
      <c r="K675" s="166">
        <f>SUMIF(Adat!$AC:$AC,CONCATENATE(60,N635,"0981321"),Adat!$E:$E)*-1+H675</f>
        <v>0</v>
      </c>
    </row>
    <row r="676" spans="2:15" s="13" customFormat="1" ht="12.75" x14ac:dyDescent="0.2">
      <c r="B676" s="160">
        <v>35</v>
      </c>
      <c r="C676" s="319" t="s">
        <v>1275</v>
      </c>
      <c r="D676" s="84" t="s">
        <v>1501</v>
      </c>
      <c r="E676" s="165"/>
      <c r="F676" s="165"/>
      <c r="G676" s="165"/>
      <c r="H676" s="166">
        <f>SUMIF(Adat!$AC:$AC,CONCATENATE(61,N635,"098161"),Adat!$E:$E)*-1</f>
        <v>0</v>
      </c>
      <c r="I676" s="166"/>
      <c r="J676" s="166"/>
      <c r="K676" s="166">
        <f>SUMIF(Adat!$AC:$AC,CONCATENATE(60,N635,"098161"),Adat!$E:$E)*-1+H676</f>
        <v>0</v>
      </c>
    </row>
    <row r="677" spans="2:15" s="13" customFormat="1" ht="12.75" x14ac:dyDescent="0.2">
      <c r="B677" s="160">
        <v>36</v>
      </c>
      <c r="C677" s="154" t="s">
        <v>364</v>
      </c>
      <c r="D677" s="159" t="s">
        <v>1502</v>
      </c>
      <c r="E677" s="120">
        <f>E672+E673</f>
        <v>0</v>
      </c>
      <c r="F677" s="120">
        <f t="shared" ref="F677:G677" si="184">F672+F673</f>
        <v>0</v>
      </c>
      <c r="G677" s="120">
        <f t="shared" si="184"/>
        <v>0</v>
      </c>
      <c r="H677" s="121">
        <f>H672+H673</f>
        <v>0</v>
      </c>
      <c r="I677" s="121"/>
      <c r="J677" s="121"/>
      <c r="K677" s="121">
        <f>K672+K673</f>
        <v>0</v>
      </c>
    </row>
    <row r="678" spans="2:15" x14ac:dyDescent="0.25">
      <c r="B678" s="40"/>
      <c r="C678" s="256"/>
      <c r="D678" s="40"/>
      <c r="E678" s="13"/>
      <c r="F678" s="13"/>
      <c r="G678" s="13"/>
      <c r="H678" s="39"/>
      <c r="I678" s="39"/>
      <c r="J678" s="39"/>
      <c r="K678" s="13"/>
      <c r="L678" s="13"/>
      <c r="M678" s="13"/>
      <c r="N678" s="13"/>
      <c r="O678" s="13"/>
    </row>
    <row r="679" spans="2:15" x14ac:dyDescent="0.25">
      <c r="B679" s="202" t="s">
        <v>1194</v>
      </c>
      <c r="C679" s="260"/>
      <c r="D679" s="260"/>
      <c r="E679" s="13"/>
      <c r="F679" s="13"/>
      <c r="G679" s="13"/>
      <c r="H679" s="260"/>
      <c r="I679" s="260"/>
      <c r="J679" s="260"/>
      <c r="K679" s="13"/>
      <c r="L679" s="13"/>
      <c r="M679" s="13"/>
      <c r="N679" s="13"/>
      <c r="O679" s="13"/>
    </row>
    <row r="680" spans="2:15" x14ac:dyDescent="0.25">
      <c r="B680" s="40"/>
      <c r="C680" s="256"/>
      <c r="D680" s="40"/>
      <c r="E680" s="13"/>
      <c r="F680" s="13"/>
      <c r="G680" s="13"/>
      <c r="H680" s="39"/>
      <c r="I680" s="39"/>
      <c r="J680" s="39"/>
      <c r="K680" s="13"/>
      <c r="L680" s="13"/>
      <c r="M680" s="13"/>
      <c r="N680" s="13"/>
      <c r="O680" s="13"/>
    </row>
    <row r="681" spans="2:15" s="13" customFormat="1" ht="12.75" x14ac:dyDescent="0.2">
      <c r="B681" s="77"/>
      <c r="C681" s="77" t="s">
        <v>350</v>
      </c>
      <c r="D681" s="77" t="s">
        <v>351</v>
      </c>
      <c r="E681" s="77" t="s">
        <v>470</v>
      </c>
      <c r="F681" s="77" t="s">
        <v>471</v>
      </c>
      <c r="G681" s="77" t="s">
        <v>44</v>
      </c>
      <c r="H681" s="77" t="s">
        <v>42</v>
      </c>
      <c r="I681" s="77"/>
      <c r="J681" s="77"/>
      <c r="K681" s="77" t="s">
        <v>511</v>
      </c>
    </row>
    <row r="682" spans="2:15" s="13" customFormat="1" ht="38.25" x14ac:dyDescent="0.2">
      <c r="B682" s="68">
        <v>1</v>
      </c>
      <c r="C682" s="78" t="s">
        <v>348</v>
      </c>
      <c r="D682" s="78" t="s">
        <v>349</v>
      </c>
      <c r="E682" s="69" t="str">
        <f>CONCATENATE(PAR!$H$12," évi 
teljesítés")</f>
        <v>2022. évi 
teljesítés</v>
      </c>
      <c r="F682" s="69" t="str">
        <f>CONCATENATE(PAR!$H$11," évi 
teljesítés")</f>
        <v>2023. évi 
teljesítés</v>
      </c>
      <c r="G682" s="69" t="str">
        <f>CONCATENATE(PAR!$H$10," évi 
teljesítés")</f>
        <v>2024. évi 
teljesítés</v>
      </c>
      <c r="H682" s="163" t="str">
        <f>CONCATENATE(PAR!$H$3," évi
eredeti 
előirányzat")</f>
        <v>2025. évi
eredeti 
előirányzat</v>
      </c>
      <c r="I682" s="163"/>
      <c r="J682" s="163"/>
      <c r="K682" s="163" t="str">
        <f>CONCATENATE(PAR!$H$3," évi
módosított 
előirányzat")</f>
        <v>2025. évi
módosított 
előirányzat</v>
      </c>
    </row>
    <row r="683" spans="2:15" s="13" customFormat="1" ht="12.75" x14ac:dyDescent="0.2">
      <c r="B683" s="160">
        <v>2</v>
      </c>
      <c r="C683" s="78" t="s">
        <v>352</v>
      </c>
      <c r="D683" s="92" t="s">
        <v>1444</v>
      </c>
      <c r="E683" s="120">
        <f>SUM(E684:E688)</f>
        <v>0</v>
      </c>
      <c r="F683" s="120">
        <f>SUM(F684:F688)</f>
        <v>0</v>
      </c>
      <c r="G683" s="120">
        <f>SUM(G684:G688)</f>
        <v>0</v>
      </c>
      <c r="H683" s="121">
        <f>SUM(H684:H688)</f>
        <v>0</v>
      </c>
      <c r="I683" s="121"/>
      <c r="J683" s="121"/>
      <c r="K683" s="121">
        <f t="shared" ref="K683" si="185">SUM(K684:K688)</f>
        <v>0</v>
      </c>
    </row>
    <row r="684" spans="2:15" s="13" customFormat="1" ht="12.75" x14ac:dyDescent="0.2">
      <c r="B684" s="160">
        <v>3</v>
      </c>
      <c r="C684" s="305" t="s">
        <v>315</v>
      </c>
      <c r="D684" s="93" t="s">
        <v>342</v>
      </c>
      <c r="E684" s="165"/>
      <c r="F684" s="165"/>
      <c r="G684" s="285"/>
      <c r="H684" s="72">
        <f>SUMIF(Adat!$AE:$AE,CONCATENATE(61,N635,"051"),Adat!$E:$E)</f>
        <v>0</v>
      </c>
      <c r="I684" s="72"/>
      <c r="J684" s="72"/>
      <c r="K684" s="72">
        <f>SUMIF(Adat!$AE:$AE,CONCATENATE(60,N635,"051"),Adat!$E:$E)+H684</f>
        <v>0</v>
      </c>
    </row>
    <row r="685" spans="2:15" s="13" customFormat="1" ht="12.75" x14ac:dyDescent="0.2">
      <c r="B685" s="160">
        <v>4</v>
      </c>
      <c r="C685" s="305" t="s">
        <v>317</v>
      </c>
      <c r="D685" s="93" t="s">
        <v>395</v>
      </c>
      <c r="E685" s="165"/>
      <c r="F685" s="165"/>
      <c r="G685" s="285"/>
      <c r="H685" s="72">
        <f>SUMIF(Adat!$AE:$AE,CONCATENATE(61,N635,"052"),Adat!$E:$E)</f>
        <v>0</v>
      </c>
      <c r="I685" s="72"/>
      <c r="J685" s="72"/>
      <c r="K685" s="72">
        <f>SUMIF(Adat!$AE:$AE,CONCATENATE(60,N635,"052"),Adat!$E:$E)+H685</f>
        <v>0</v>
      </c>
    </row>
    <row r="686" spans="2:15" s="13" customFormat="1" ht="12.75" x14ac:dyDescent="0.2">
      <c r="B686" s="160">
        <v>5</v>
      </c>
      <c r="C686" s="305" t="s">
        <v>4</v>
      </c>
      <c r="D686" s="93" t="s">
        <v>344</v>
      </c>
      <c r="E686" s="165"/>
      <c r="F686" s="165"/>
      <c r="G686" s="285"/>
      <c r="H686" s="72">
        <f>SUMIF(Adat!$AE:$AE,CONCATENATE(61,N635,"053"),Adat!$E:$E)</f>
        <v>0</v>
      </c>
      <c r="I686" s="72"/>
      <c r="J686" s="72"/>
      <c r="K686" s="72">
        <f>SUMIF(Adat!$AE:$AE,CONCATENATE(60,N635,"053"),Adat!$E:$E)+H686</f>
        <v>0</v>
      </c>
    </row>
    <row r="687" spans="2:15" s="13" customFormat="1" ht="12.75" x14ac:dyDescent="0.2">
      <c r="B687" s="160">
        <v>6</v>
      </c>
      <c r="C687" s="305" t="s">
        <v>6</v>
      </c>
      <c r="D687" s="93" t="s">
        <v>345</v>
      </c>
      <c r="E687" s="165"/>
      <c r="F687" s="165"/>
      <c r="G687" s="285"/>
      <c r="H687" s="72">
        <f>SUMIF(Adat!$AE:$AE,CONCATENATE(61,N635,"054"),Adat!$E:$E)</f>
        <v>0</v>
      </c>
      <c r="I687" s="72"/>
      <c r="J687" s="72"/>
      <c r="K687" s="72">
        <f>SUMIF(Adat!$AE:$AE,CONCATENATE(60,N635,"054"),Adat!$E:$E)+H687</f>
        <v>0</v>
      </c>
    </row>
    <row r="688" spans="2:15" s="13" customFormat="1" ht="12.75" x14ac:dyDescent="0.2">
      <c r="B688" s="160">
        <v>7</v>
      </c>
      <c r="C688" s="305" t="s">
        <v>8</v>
      </c>
      <c r="D688" s="93" t="s">
        <v>321</v>
      </c>
      <c r="E688" s="165"/>
      <c r="F688" s="165"/>
      <c r="G688" s="285"/>
      <c r="H688" s="72">
        <f>SUMIF(Adat!$AE:$AE,CONCATENATE(61,N635,"055"),Adat!$E:$E)</f>
        <v>0</v>
      </c>
      <c r="I688" s="72"/>
      <c r="J688" s="72"/>
      <c r="K688" s="72">
        <f>SUMIF(Adat!$AE:$AE,CONCATENATE(60,N635,"055"),Adat!$E:$E)+H688</f>
        <v>0</v>
      </c>
    </row>
    <row r="689" spans="2:15" s="13" customFormat="1" ht="12.75" x14ac:dyDescent="0.2">
      <c r="B689" s="160">
        <v>8</v>
      </c>
      <c r="C689" s="78" t="s">
        <v>358</v>
      </c>
      <c r="D689" s="92" t="s">
        <v>1447</v>
      </c>
      <c r="E689" s="120">
        <f>SUM(E690:E692)</f>
        <v>0</v>
      </c>
      <c r="F689" s="120">
        <f t="shared" ref="F689:K689" si="186">SUM(F690:F692)</f>
        <v>0</v>
      </c>
      <c r="G689" s="120">
        <f t="shared" si="186"/>
        <v>0</v>
      </c>
      <c r="H689" s="121">
        <f t="shared" si="186"/>
        <v>0</v>
      </c>
      <c r="I689" s="121"/>
      <c r="J689" s="121"/>
      <c r="K689" s="121">
        <f t="shared" si="186"/>
        <v>0</v>
      </c>
    </row>
    <row r="690" spans="2:15" s="13" customFormat="1" ht="12.75" x14ac:dyDescent="0.2">
      <c r="B690" s="160">
        <v>9</v>
      </c>
      <c r="C690" s="305" t="s">
        <v>10</v>
      </c>
      <c r="D690" s="93" t="s">
        <v>322</v>
      </c>
      <c r="E690" s="165"/>
      <c r="F690" s="165"/>
      <c r="G690" s="285"/>
      <c r="H690" s="72">
        <f>SUMIF(Adat!$AE:$AE,CONCATENATE(61,N635,"056"),Adat!$E:$E)</f>
        <v>0</v>
      </c>
      <c r="I690" s="72"/>
      <c r="J690" s="72"/>
      <c r="K690" s="72">
        <f>SUMIF(Adat!$AE:$AE,CONCATENATE(60,N635,"056"),Adat!$E:$E)+H690</f>
        <v>0</v>
      </c>
    </row>
    <row r="691" spans="2:15" s="13" customFormat="1" ht="12.75" x14ac:dyDescent="0.2">
      <c r="B691" s="160">
        <v>10</v>
      </c>
      <c r="C691" s="305" t="s">
        <v>12</v>
      </c>
      <c r="D691" s="93" t="s">
        <v>323</v>
      </c>
      <c r="E691" s="165"/>
      <c r="F691" s="165"/>
      <c r="G691" s="165"/>
      <c r="H691" s="72">
        <f>SUMIF(Adat!$AE:$AE,CONCATENATE(61,N635,"057"),Adat!$E:$E)</f>
        <v>0</v>
      </c>
      <c r="I691" s="72"/>
      <c r="J691" s="72"/>
      <c r="K691" s="72">
        <f>SUMIF(Adat!$AE:$AE,CONCATENATE(60,N635,"057"),Adat!$E:$E)+H691</f>
        <v>0</v>
      </c>
    </row>
    <row r="692" spans="2:15" s="13" customFormat="1" ht="12.75" x14ac:dyDescent="0.2">
      <c r="B692" s="160">
        <v>11</v>
      </c>
      <c r="C692" s="305" t="s">
        <v>15</v>
      </c>
      <c r="D692" s="84" t="s">
        <v>324</v>
      </c>
      <c r="E692" s="165"/>
      <c r="F692" s="165"/>
      <c r="G692" s="165"/>
      <c r="H692" s="72">
        <f>SUMIF(Adat!$AE:$AE,CONCATENATE(61,N635,"058"),Adat!$E:$E)</f>
        <v>0</v>
      </c>
      <c r="I692" s="72"/>
      <c r="J692" s="72"/>
      <c r="K692" s="72">
        <f>SUMIF(Adat!$AE:$AE,CONCATENATE(60,N635,"058"),Adat!$E:$E)+H692</f>
        <v>0</v>
      </c>
    </row>
    <row r="693" spans="2:15" s="13" customFormat="1" ht="12.75" x14ac:dyDescent="0.2">
      <c r="B693" s="160">
        <v>12</v>
      </c>
      <c r="C693" s="154" t="s">
        <v>364</v>
      </c>
      <c r="D693" s="86" t="s">
        <v>325</v>
      </c>
      <c r="E693" s="120">
        <v>0</v>
      </c>
      <c r="F693" s="120">
        <v>0</v>
      </c>
      <c r="G693" s="120">
        <v>0</v>
      </c>
      <c r="H693" s="71">
        <f>SUMIF(Adat!$AE:$AE,CONCATENATE(61,N635,"059"),Adat!$E:$E)</f>
        <v>0</v>
      </c>
      <c r="I693" s="71"/>
      <c r="J693" s="71"/>
      <c r="K693" s="71">
        <f>SUMIF(Adat!$AE:$AE,CONCATENATE(60,N635,"059"),Adat!$E:$E)+H693</f>
        <v>0</v>
      </c>
    </row>
    <row r="694" spans="2:15" s="13" customFormat="1" ht="12.75" x14ac:dyDescent="0.2">
      <c r="B694" s="160">
        <v>13</v>
      </c>
      <c r="C694" s="154" t="s">
        <v>403</v>
      </c>
      <c r="D694" s="159" t="s">
        <v>497</v>
      </c>
      <c r="E694" s="120">
        <f>E683+E689+E693</f>
        <v>0</v>
      </c>
      <c r="F694" s="120">
        <f>F683+F689+F693</f>
        <v>0</v>
      </c>
      <c r="G694" s="120">
        <f>G683+G689+G693</f>
        <v>0</v>
      </c>
      <c r="H694" s="121">
        <f>H683+H689+H693</f>
        <v>0</v>
      </c>
      <c r="I694" s="121"/>
      <c r="J694" s="121"/>
      <c r="K694" s="121">
        <f>K683+K689+K693</f>
        <v>0</v>
      </c>
    </row>
    <row r="695" spans="2:15" x14ac:dyDescent="0.25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</row>
    <row r="696" spans="2:15" x14ac:dyDescent="0.25">
      <c r="B696" s="511" t="str">
        <f>O696</f>
        <v/>
      </c>
      <c r="C696" s="511"/>
      <c r="D696" s="511"/>
      <c r="E696" s="511"/>
      <c r="F696" s="511"/>
      <c r="G696" s="511"/>
      <c r="H696" s="511"/>
      <c r="I696" s="511"/>
      <c r="J696" s="511"/>
      <c r="K696" s="511"/>
      <c r="L696" s="13"/>
      <c r="M696" s="318">
        <v>11</v>
      </c>
      <c r="N696" s="320">
        <f>VLOOKUP(M696,Info!$B$5:$D$55,3)</f>
        <v>0</v>
      </c>
      <c r="O696" s="321" t="str">
        <f>VLOOKUP(M696,Info!$B$5:$D$55,2)</f>
        <v/>
      </c>
    </row>
    <row r="697" spans="2:15" x14ac:dyDescent="0.25">
      <c r="B697" s="534" t="str">
        <f>CONCATENATE(PAR!$H$3," évi költségvetés és az előző három év összevont mérlege")</f>
        <v>2025. évi költségvetés és az előző három év összevont mérlege</v>
      </c>
      <c r="C697" s="534"/>
      <c r="D697" s="534"/>
      <c r="E697" s="534"/>
      <c r="F697" s="534"/>
      <c r="G697" s="534"/>
      <c r="H697" s="534"/>
      <c r="I697" s="534"/>
      <c r="J697" s="534"/>
      <c r="K697" s="534"/>
      <c r="L697" s="13"/>
      <c r="M697" s="13"/>
      <c r="N697" s="13"/>
      <c r="O697" s="13"/>
    </row>
    <row r="698" spans="2:15" x14ac:dyDescent="0.25">
      <c r="B698" s="535" t="s">
        <v>337</v>
      </c>
      <c r="C698" s="535"/>
      <c r="D698" s="535"/>
      <c r="E698" s="535"/>
      <c r="F698" s="535"/>
      <c r="G698" s="535"/>
      <c r="H698" s="535"/>
      <c r="I698" s="535"/>
      <c r="J698" s="535"/>
      <c r="K698" s="535"/>
      <c r="L698" s="13"/>
      <c r="M698" s="13"/>
      <c r="N698" s="13"/>
      <c r="O698" s="13"/>
    </row>
    <row r="699" spans="2:15" x14ac:dyDescent="0.25">
      <c r="B699" s="40"/>
      <c r="C699" s="256"/>
      <c r="D699" s="40"/>
      <c r="E699" s="39"/>
      <c r="F699" s="40"/>
      <c r="G699" s="40"/>
      <c r="H699" s="40"/>
      <c r="I699" s="40"/>
      <c r="J699" s="40"/>
      <c r="K699" s="13"/>
      <c r="L699" s="13"/>
      <c r="M699" s="13"/>
      <c r="N699" s="13"/>
      <c r="O699" s="13"/>
    </row>
    <row r="700" spans="2:15" x14ac:dyDescent="0.25">
      <c r="B700" s="201" t="s">
        <v>1511</v>
      </c>
      <c r="C700" s="201"/>
      <c r="D700" s="201"/>
      <c r="E700" s="201"/>
      <c r="F700" s="201"/>
      <c r="G700" s="201"/>
      <c r="H700" s="201"/>
      <c r="I700" s="201"/>
      <c r="J700" s="201"/>
      <c r="K700" s="201"/>
      <c r="L700" s="13"/>
      <c r="M700" s="13"/>
      <c r="N700" s="13"/>
      <c r="O700" s="13"/>
    </row>
    <row r="701" spans="2:15" x14ac:dyDescent="0.25">
      <c r="B701" s="40"/>
      <c r="C701" s="256"/>
      <c r="D701" s="40"/>
      <c r="E701" s="39"/>
      <c r="F701" s="40"/>
      <c r="G701" s="40"/>
      <c r="H701" s="40"/>
      <c r="I701" s="40"/>
      <c r="J701" s="40"/>
      <c r="K701" s="13"/>
      <c r="L701" s="13"/>
      <c r="M701" s="13"/>
      <c r="N701" s="13"/>
      <c r="O701" s="13"/>
    </row>
    <row r="702" spans="2:15" s="13" customFormat="1" ht="12.75" x14ac:dyDescent="0.2">
      <c r="B702" s="77"/>
      <c r="C702" s="77" t="s">
        <v>350</v>
      </c>
      <c r="D702" s="77" t="s">
        <v>351</v>
      </c>
      <c r="E702" s="77" t="s">
        <v>470</v>
      </c>
      <c r="F702" s="77" t="s">
        <v>471</v>
      </c>
      <c r="G702" s="77" t="s">
        <v>44</v>
      </c>
      <c r="H702" s="77" t="s">
        <v>42</v>
      </c>
      <c r="I702" s="77"/>
      <c r="J702" s="77"/>
      <c r="K702" s="77" t="s">
        <v>511</v>
      </c>
    </row>
    <row r="703" spans="2:15" s="13" customFormat="1" ht="38.25" x14ac:dyDescent="0.2">
      <c r="B703" s="68">
        <v>1</v>
      </c>
      <c r="C703" s="78" t="s">
        <v>348</v>
      </c>
      <c r="D703" s="78" t="s">
        <v>349</v>
      </c>
      <c r="E703" s="69" t="str">
        <f>CONCATENATE(PAR!$H$12," évi 
teljesítés")</f>
        <v>2022. évi 
teljesítés</v>
      </c>
      <c r="F703" s="69" t="str">
        <f>CONCATENATE(PAR!$H$11," évi 
teljesítés")</f>
        <v>2023. évi 
teljesítés</v>
      </c>
      <c r="G703" s="69" t="str">
        <f>CONCATENATE(PAR!$H$10," évi 
teljesítés")</f>
        <v>2024. évi 
teljesítés</v>
      </c>
      <c r="H703" s="163" t="str">
        <f>CONCATENATE(PAR!$H$3," évi
eredeti 
előirányzat")</f>
        <v>2025. évi
eredeti 
előirányzat</v>
      </c>
      <c r="I703" s="163"/>
      <c r="J703" s="163"/>
      <c r="K703" s="163" t="str">
        <f>CONCATENATE(PAR!$H$3," évi
módosított 
előirányzat")</f>
        <v>2025. évi
módosított 
előirányzat</v>
      </c>
    </row>
    <row r="704" spans="2:15" s="13" customFormat="1" ht="12.75" x14ac:dyDescent="0.2">
      <c r="B704" s="160">
        <v>2</v>
      </c>
      <c r="C704" s="79" t="s">
        <v>30</v>
      </c>
      <c r="D704" s="79" t="s">
        <v>329</v>
      </c>
      <c r="E704" s="120">
        <f>SUM(E705:E717)</f>
        <v>0</v>
      </c>
      <c r="F704" s="120">
        <f t="shared" ref="F704" si="187">SUM(F705:F717)</f>
        <v>0</v>
      </c>
      <c r="G704" s="120">
        <f>SUM(G705:G717)</f>
        <v>0</v>
      </c>
      <c r="H704" s="121">
        <f t="shared" ref="H704" si="188">SUM(H705:H717)</f>
        <v>0</v>
      </c>
      <c r="I704" s="121"/>
      <c r="J704" s="121"/>
      <c r="K704" s="121">
        <f>SUM(K705:K717)</f>
        <v>0</v>
      </c>
    </row>
    <row r="705" spans="2:11" s="13" customFormat="1" ht="12.75" x14ac:dyDescent="0.2">
      <c r="B705" s="160">
        <v>3</v>
      </c>
      <c r="C705" s="305" t="s">
        <v>1309</v>
      </c>
      <c r="D705" s="82" t="s">
        <v>1356</v>
      </c>
      <c r="E705" s="165"/>
      <c r="F705" s="165"/>
      <c r="G705" s="165"/>
      <c r="H705" s="166">
        <f>SUMIF(Adat!$AC:$AC,CONCATENATE(61,N696,"094011"),Adat!$E:$E)*-1</f>
        <v>0</v>
      </c>
      <c r="I705" s="166"/>
      <c r="J705" s="166"/>
      <c r="K705" s="166">
        <f>SUMIF(Adat!$AC:$AC,CONCATENATE(60,N696,"094011"),Adat!$E:$E)*-1+H705</f>
        <v>0</v>
      </c>
    </row>
    <row r="706" spans="2:11" s="13" customFormat="1" ht="12.75" x14ac:dyDescent="0.2">
      <c r="B706" s="160">
        <v>4</v>
      </c>
      <c r="C706" s="305" t="s">
        <v>1279</v>
      </c>
      <c r="D706" s="82" t="s">
        <v>1357</v>
      </c>
      <c r="E706" s="165"/>
      <c r="F706" s="165"/>
      <c r="G706" s="165"/>
      <c r="H706" s="166">
        <f>SUMIF(Adat!$AC:$AC,CONCATENATE(61,N696,"094021"),Adat!$E:$E)*-1</f>
        <v>0</v>
      </c>
      <c r="I706" s="166"/>
      <c r="J706" s="166"/>
      <c r="K706" s="166">
        <f>SUMIF(Adat!$AC:$AC,CONCATENATE(60,N696,"094021"),Adat!$E:$E)*-1+H706</f>
        <v>0</v>
      </c>
    </row>
    <row r="707" spans="2:11" s="13" customFormat="1" ht="12.75" x14ac:dyDescent="0.2">
      <c r="B707" s="160">
        <v>5</v>
      </c>
      <c r="C707" s="305" t="s">
        <v>1272</v>
      </c>
      <c r="D707" s="82" t="s">
        <v>1358</v>
      </c>
      <c r="E707" s="165"/>
      <c r="F707" s="165"/>
      <c r="G707" s="165"/>
      <c r="H707" s="166">
        <f>SUMIF(Adat!$AC:$AC,CONCATENATE(61,N696,"094031"),Adat!$E:$E)*-1</f>
        <v>0</v>
      </c>
      <c r="I707" s="166"/>
      <c r="J707" s="166"/>
      <c r="K707" s="166">
        <f>SUMIF(Adat!$AC:$AC,CONCATENATE(60,N696,"094031"),Adat!$E:$E)*-1+H707</f>
        <v>0</v>
      </c>
    </row>
    <row r="708" spans="2:11" s="13" customFormat="1" ht="12.75" x14ac:dyDescent="0.2">
      <c r="B708" s="160">
        <v>6</v>
      </c>
      <c r="C708" s="305" t="s">
        <v>1359</v>
      </c>
      <c r="D708" s="82" t="s">
        <v>1360</v>
      </c>
      <c r="E708" s="165"/>
      <c r="F708" s="165"/>
      <c r="G708" s="165"/>
      <c r="H708" s="166">
        <f>SUMIF(Adat!$AC:$AC,CONCATENATE(61,N696,"094041"),Adat!$E:$E)*-1</f>
        <v>0</v>
      </c>
      <c r="I708" s="166"/>
      <c r="J708" s="166"/>
      <c r="K708" s="166">
        <f>SUMIF(Adat!$AC:$AC,CONCATENATE(60,N696,"094041"),Adat!$E:$E)*-1+H708</f>
        <v>0</v>
      </c>
    </row>
    <row r="709" spans="2:11" s="13" customFormat="1" ht="12.75" x14ac:dyDescent="0.2">
      <c r="B709" s="160">
        <v>7</v>
      </c>
      <c r="C709" s="305" t="s">
        <v>1261</v>
      </c>
      <c r="D709" s="82" t="s">
        <v>1361</v>
      </c>
      <c r="E709" s="165"/>
      <c r="F709" s="165"/>
      <c r="G709" s="165"/>
      <c r="H709" s="166">
        <f>SUMIF(Adat!$AC:$AC,CONCATENATE(61,N696,"094051"),Adat!$E:$E)*-1</f>
        <v>0</v>
      </c>
      <c r="I709" s="166"/>
      <c r="J709" s="166"/>
      <c r="K709" s="166">
        <f>SUMIF(Adat!$AC:$AC,CONCATENATE(60,N696,"094051"),Adat!$E:$E)*-1+H709</f>
        <v>0</v>
      </c>
    </row>
    <row r="710" spans="2:11" s="13" customFormat="1" ht="12.75" x14ac:dyDescent="0.2">
      <c r="B710" s="160">
        <v>8</v>
      </c>
      <c r="C710" s="305" t="s">
        <v>1273</v>
      </c>
      <c r="D710" s="82" t="s">
        <v>1362</v>
      </c>
      <c r="E710" s="165"/>
      <c r="F710" s="165"/>
      <c r="G710" s="165"/>
      <c r="H710" s="166">
        <f>SUMIF(Adat!$AC:$AC,CONCATENATE(61,N696,"094061"),Adat!$E:$E)*-1</f>
        <v>0</v>
      </c>
      <c r="I710" s="166"/>
      <c r="J710" s="166"/>
      <c r="K710" s="166">
        <f>SUMIF(Adat!$AC:$AC,CONCATENATE(60,N696,"094061"),Adat!$E:$E)*-1+H710</f>
        <v>0</v>
      </c>
    </row>
    <row r="711" spans="2:11" s="13" customFormat="1" ht="12.75" x14ac:dyDescent="0.2">
      <c r="B711" s="160">
        <v>9</v>
      </c>
      <c r="C711" s="305" t="s">
        <v>1363</v>
      </c>
      <c r="D711" s="82" t="s">
        <v>1364</v>
      </c>
      <c r="E711" s="165"/>
      <c r="F711" s="165"/>
      <c r="G711" s="165"/>
      <c r="H711" s="166">
        <f>SUMIF(Adat!$AC:$AC,CONCATENATE(61,N696,"094071"),Adat!$E:$E)*-1</f>
        <v>0</v>
      </c>
      <c r="I711" s="166"/>
      <c r="J711" s="166"/>
      <c r="K711" s="166">
        <f>SUMIF(Adat!$AC:$AC,CONCATENATE(60,N696,"094071"),Adat!$E:$E)*-1+H711</f>
        <v>0</v>
      </c>
    </row>
    <row r="712" spans="2:11" s="13" customFormat="1" ht="12.75" x14ac:dyDescent="0.2">
      <c r="B712" s="160">
        <v>10</v>
      </c>
      <c r="C712" s="305" t="s">
        <v>1306</v>
      </c>
      <c r="D712" s="82" t="s">
        <v>1365</v>
      </c>
      <c r="E712" s="165"/>
      <c r="F712" s="165"/>
      <c r="G712" s="165"/>
      <c r="H712" s="166">
        <f>SUMIF(Adat!$AC:$AC,CONCATENATE(61,N696,"0940811"),Adat!$E:$E)*-1</f>
        <v>0</v>
      </c>
      <c r="I712" s="166"/>
      <c r="J712" s="166"/>
      <c r="K712" s="166">
        <f>SUMIF(Adat!$AC:$AC,CONCATENATE(60,N696,"0940811"),Adat!$E:$E)*-1+H712</f>
        <v>0</v>
      </c>
    </row>
    <row r="713" spans="2:11" s="13" customFormat="1" ht="12.75" x14ac:dyDescent="0.2">
      <c r="B713" s="160">
        <v>11</v>
      </c>
      <c r="C713" s="305" t="s">
        <v>1295</v>
      </c>
      <c r="D713" s="82" t="s">
        <v>1366</v>
      </c>
      <c r="E713" s="165"/>
      <c r="F713" s="165"/>
      <c r="G713" s="165"/>
      <c r="H713" s="166">
        <f>SUMIF(Adat!$AC:$AC,CONCATENATE(61,N696,"0940821"),Adat!$E:$E)*-1</f>
        <v>0</v>
      </c>
      <c r="I713" s="166"/>
      <c r="J713" s="166"/>
      <c r="K713" s="166">
        <f>SUMIF(Adat!$AC:$AC,CONCATENATE(60,N696,"0940821"),Adat!$E:$E)*-1+H713</f>
        <v>0</v>
      </c>
    </row>
    <row r="714" spans="2:11" s="13" customFormat="1" ht="12.75" x14ac:dyDescent="0.2">
      <c r="B714" s="160">
        <v>12</v>
      </c>
      <c r="C714" s="305" t="s">
        <v>1367</v>
      </c>
      <c r="D714" s="82" t="s">
        <v>1368</v>
      </c>
      <c r="E714" s="165"/>
      <c r="F714" s="165"/>
      <c r="G714" s="165"/>
      <c r="H714" s="166">
        <f>SUMIF(Adat!$AC:$AC,CONCATENATE(61,N696,"0940911"),Adat!$E:$E)*-1</f>
        <v>0</v>
      </c>
      <c r="I714" s="166"/>
      <c r="J714" s="166"/>
      <c r="K714" s="166">
        <f>SUMIF(Adat!$AC:$AC,CONCATENATE(60,N696,"0940911"),Adat!$E:$E)*-1+H714</f>
        <v>0</v>
      </c>
    </row>
    <row r="715" spans="2:11" s="13" customFormat="1" ht="12.75" x14ac:dyDescent="0.2">
      <c r="B715" s="160">
        <v>13</v>
      </c>
      <c r="C715" s="305" t="s">
        <v>1369</v>
      </c>
      <c r="D715" s="82" t="s">
        <v>1370</v>
      </c>
      <c r="E715" s="165"/>
      <c r="F715" s="165"/>
      <c r="G715" s="165"/>
      <c r="H715" s="166">
        <f>SUMIF(Adat!$AC:$AC,CONCATENATE(61,N696,"0940921"),Adat!$E:$E)*-1</f>
        <v>0</v>
      </c>
      <c r="I715" s="166"/>
      <c r="J715" s="166"/>
      <c r="K715" s="166">
        <f>SUMIF(Adat!$AC:$AC,CONCATENATE(60,N696,"0940921"),Adat!$E:$E)*-1+H715</f>
        <v>0</v>
      </c>
    </row>
    <row r="716" spans="2:11" s="13" customFormat="1" ht="12.75" x14ac:dyDescent="0.2">
      <c r="B716" s="160">
        <v>14</v>
      </c>
      <c r="C716" s="305" t="s">
        <v>1296</v>
      </c>
      <c r="D716" s="82" t="s">
        <v>1371</v>
      </c>
      <c r="E716" s="165"/>
      <c r="F716" s="165"/>
      <c r="G716" s="165"/>
      <c r="H716" s="166">
        <f>SUMIF(Adat!$AC:$AC,CONCATENATE(61,N696,"094101"),Adat!$E:$E)*-1</f>
        <v>0</v>
      </c>
      <c r="I716" s="166"/>
      <c r="J716" s="166"/>
      <c r="K716" s="166">
        <f>SUMIF(Adat!$AC:$AC,CONCATENATE(60,N696,"094101"),Adat!$E:$E)*-1+H716</f>
        <v>0</v>
      </c>
    </row>
    <row r="717" spans="2:11" s="13" customFormat="1" ht="12.75" x14ac:dyDescent="0.2">
      <c r="B717" s="160">
        <v>15</v>
      </c>
      <c r="C717" s="305" t="s">
        <v>1297</v>
      </c>
      <c r="D717" s="84" t="s">
        <v>1372</v>
      </c>
      <c r="E717" s="165"/>
      <c r="F717" s="165"/>
      <c r="G717" s="165"/>
      <c r="H717" s="166">
        <f>SUMIF(Adat!$AC:$AC,CONCATENATE(61,N696,"094111"),Adat!$E:$E)*-1</f>
        <v>0</v>
      </c>
      <c r="I717" s="166"/>
      <c r="J717" s="166"/>
      <c r="K717" s="166">
        <f>SUMIF(Adat!$AC:$AC,CONCATENATE(60,N696,"094111"),Adat!$E:$E)*-1+H717</f>
        <v>0</v>
      </c>
    </row>
    <row r="718" spans="2:11" s="13" customFormat="1" ht="12.75" x14ac:dyDescent="0.2">
      <c r="B718" s="160">
        <v>16</v>
      </c>
      <c r="C718" s="78" t="s">
        <v>1328</v>
      </c>
      <c r="D718" s="85" t="s">
        <v>437</v>
      </c>
      <c r="E718" s="120">
        <f>SUM(E719:E721)</f>
        <v>0</v>
      </c>
      <c r="F718" s="120">
        <f t="shared" ref="F718" si="189">SUM(F719:F721)</f>
        <v>0</v>
      </c>
      <c r="G718" s="120">
        <f>SUM(G719:G721)</f>
        <v>0</v>
      </c>
      <c r="H718" s="121">
        <f t="shared" ref="H718" si="190">SUM(H719:H721)</f>
        <v>0</v>
      </c>
      <c r="I718" s="121"/>
      <c r="J718" s="121"/>
      <c r="K718" s="121">
        <f>SUM(K719:K721)</f>
        <v>0</v>
      </c>
    </row>
    <row r="719" spans="2:11" s="13" customFormat="1" ht="12.75" x14ac:dyDescent="0.2">
      <c r="B719" s="160">
        <v>17</v>
      </c>
      <c r="C719" s="305" t="s">
        <v>1329</v>
      </c>
      <c r="D719" s="82" t="s">
        <v>1330</v>
      </c>
      <c r="E719" s="165"/>
      <c r="F719" s="165"/>
      <c r="G719" s="165"/>
      <c r="H719" s="166">
        <f>SUMIF(Adat!$AC:$AC,CONCATENATE(61,N696,"09121"),Adat!$E:$E)*-1</f>
        <v>0</v>
      </c>
      <c r="I719" s="166"/>
      <c r="J719" s="166"/>
      <c r="K719" s="166">
        <f>SUMIF(Adat!$AC:$AC,CONCATENATE(60,N696,"09121"),Adat!$E:$E)*-1+H719</f>
        <v>0</v>
      </c>
    </row>
    <row r="720" spans="2:11" s="13" customFormat="1" ht="12.75" x14ac:dyDescent="0.2">
      <c r="B720" s="160">
        <v>18</v>
      </c>
      <c r="C720" s="305" t="s">
        <v>1335</v>
      </c>
      <c r="D720" s="82" t="s">
        <v>1336</v>
      </c>
      <c r="E720" s="165"/>
      <c r="F720" s="165"/>
      <c r="G720" s="165"/>
      <c r="H720" s="166">
        <f>SUMIF(Adat!$AC:$AC,CONCATENATE(61,N696,"09151"),Adat!$E:$E)*-1</f>
        <v>0</v>
      </c>
      <c r="I720" s="166"/>
      <c r="J720" s="166"/>
      <c r="K720" s="166">
        <f>SUMIF(Adat!$AC:$AC,CONCATENATE(60,N696,"09151"),Adat!$E:$E)*-1+H720</f>
        <v>0</v>
      </c>
    </row>
    <row r="721" spans="2:11" s="13" customFormat="1" ht="12.75" x14ac:dyDescent="0.2">
      <c r="B721" s="160">
        <v>19</v>
      </c>
      <c r="C721" s="305" t="s">
        <v>1278</v>
      </c>
      <c r="D721" s="82" t="s">
        <v>1337</v>
      </c>
      <c r="E721" s="165"/>
      <c r="F721" s="165"/>
      <c r="G721" s="165"/>
      <c r="H721" s="166">
        <f>SUMIF(Adat!$AC:$AC,CONCATENATE(61,N696,"09161"),Adat!$E:$E)*-1</f>
        <v>0</v>
      </c>
      <c r="I721" s="166"/>
      <c r="J721" s="166"/>
      <c r="K721" s="166">
        <f>SUMIF(Adat!$AC:$AC,CONCATENATE(60,N696,"09161"),Adat!$E:$E)*-1+H721</f>
        <v>0</v>
      </c>
    </row>
    <row r="722" spans="2:11" s="13" customFormat="1" ht="12.75" x14ac:dyDescent="0.2">
      <c r="B722" s="160">
        <v>20</v>
      </c>
      <c r="C722" s="79" t="s">
        <v>27</v>
      </c>
      <c r="D722" s="79" t="s">
        <v>328</v>
      </c>
      <c r="E722" s="120">
        <v>0</v>
      </c>
      <c r="F722" s="120">
        <v>0</v>
      </c>
      <c r="G722" s="120">
        <v>0</v>
      </c>
      <c r="H722" s="71">
        <f>SUMIF(Adat!$AE:$AE,CONCATENATE(61,N696,"093"),Adat!$E:$E)*-1</f>
        <v>0</v>
      </c>
      <c r="I722" s="71"/>
      <c r="J722" s="71"/>
      <c r="K722" s="71">
        <f>SUMIF(Adat!$AE:$AE,CONCATENATE(60,N696,"093"),Adat!$E:$E)*-1+H722</f>
        <v>0</v>
      </c>
    </row>
    <row r="723" spans="2:11" s="13" customFormat="1" ht="12.75" x14ac:dyDescent="0.2">
      <c r="B723" s="160">
        <v>21</v>
      </c>
      <c r="C723" s="79" t="s">
        <v>24</v>
      </c>
      <c r="D723" s="79" t="s">
        <v>449</v>
      </c>
      <c r="E723" s="120">
        <f>SUM(E724:E726)</f>
        <v>0</v>
      </c>
      <c r="F723" s="120">
        <f t="shared" ref="F723:G723" si="191">SUM(F724:F726)</f>
        <v>0</v>
      </c>
      <c r="G723" s="120">
        <f t="shared" si="191"/>
        <v>0</v>
      </c>
      <c r="H723" s="121">
        <f>SUM(H724:H726)</f>
        <v>0</v>
      </c>
      <c r="I723" s="121"/>
      <c r="J723" s="121"/>
      <c r="K723" s="121">
        <f t="shared" ref="K723" si="192">SUM(K724:K726)</f>
        <v>0</v>
      </c>
    </row>
    <row r="724" spans="2:11" s="13" customFormat="1" ht="12.75" x14ac:dyDescent="0.2">
      <c r="B724" s="160">
        <v>22</v>
      </c>
      <c r="C724" s="305" t="s">
        <v>1339</v>
      </c>
      <c r="D724" s="82" t="s">
        <v>1340</v>
      </c>
      <c r="E724" s="165"/>
      <c r="F724" s="165"/>
      <c r="G724" s="165"/>
      <c r="H724" s="166">
        <f>SUMIF(Adat!$AC:$AC,CONCATENATE(61,N696,"09211"),Adat!$E:$E)*-1</f>
        <v>0</v>
      </c>
      <c r="I724" s="166"/>
      <c r="J724" s="166"/>
      <c r="K724" s="166">
        <f>SUMIF(Adat!$AC:$AC,CONCATENATE(60,N696,"09211"),Adat!$E:$E)*-1+H724</f>
        <v>0</v>
      </c>
    </row>
    <row r="725" spans="2:11" s="13" customFormat="1" ht="12.75" x14ac:dyDescent="0.2">
      <c r="B725" s="160">
        <v>23</v>
      </c>
      <c r="C725" s="305" t="s">
        <v>1345</v>
      </c>
      <c r="D725" s="82" t="s">
        <v>1346</v>
      </c>
      <c r="E725" s="165"/>
      <c r="F725" s="165"/>
      <c r="G725" s="165"/>
      <c r="H725" s="166">
        <f>SUMIF(Adat!$AC:$AC,CONCATENATE(61,N696,"09241"),Adat!$E:$E)*-1</f>
        <v>0</v>
      </c>
      <c r="I725" s="166"/>
      <c r="J725" s="166"/>
      <c r="K725" s="166">
        <f>SUMIF(Adat!$AC:$AC,CONCATENATE(60,N696,"09241"),Adat!$E:$E)*-1+H725</f>
        <v>0</v>
      </c>
    </row>
    <row r="726" spans="2:11" s="13" customFormat="1" ht="12.75" x14ac:dyDescent="0.2">
      <c r="B726" s="160">
        <v>24</v>
      </c>
      <c r="C726" s="305" t="s">
        <v>1255</v>
      </c>
      <c r="D726" s="82" t="s">
        <v>1347</v>
      </c>
      <c r="E726" s="165"/>
      <c r="F726" s="165"/>
      <c r="G726" s="165"/>
      <c r="H726" s="166">
        <f>SUMIF(Adat!$AC:$AC,CONCATENATE(61,N696,"09251"),Adat!$E:$E)*-1</f>
        <v>0</v>
      </c>
      <c r="I726" s="166"/>
      <c r="J726" s="166"/>
      <c r="K726" s="166">
        <f>SUMIF(Adat!$AC:$AC,CONCATENATE(60,N696,"09251"),Adat!$E:$E)*-1+H726</f>
        <v>0</v>
      </c>
    </row>
    <row r="727" spans="2:11" s="13" customFormat="1" ht="12.75" x14ac:dyDescent="0.2">
      <c r="B727" s="160">
        <v>25</v>
      </c>
      <c r="C727" s="79" t="s">
        <v>33</v>
      </c>
      <c r="D727" s="79" t="s">
        <v>330</v>
      </c>
      <c r="E727" s="120">
        <f>SUM(E728:E730)</f>
        <v>0</v>
      </c>
      <c r="F727" s="120">
        <f t="shared" ref="F727:K727" si="193">SUM(F728:F730)</f>
        <v>0</v>
      </c>
      <c r="G727" s="120">
        <f t="shared" si="193"/>
        <v>0</v>
      </c>
      <c r="H727" s="121">
        <f t="shared" si="193"/>
        <v>0</v>
      </c>
      <c r="I727" s="121"/>
      <c r="J727" s="121"/>
      <c r="K727" s="121">
        <f t="shared" si="193"/>
        <v>0</v>
      </c>
    </row>
    <row r="728" spans="2:11" s="13" customFormat="1" ht="12.75" x14ac:dyDescent="0.2">
      <c r="B728" s="160">
        <v>26</v>
      </c>
      <c r="C728" s="305" t="s">
        <v>1373</v>
      </c>
      <c r="D728" s="82" t="s">
        <v>1374</v>
      </c>
      <c r="E728" s="165"/>
      <c r="F728" s="165"/>
      <c r="G728" s="165"/>
      <c r="H728" s="166">
        <f>SUMIF(Adat!$AC:$AC,CONCATENATE(61,N696,"09511"),Adat!$E:$E)*-1</f>
        <v>0</v>
      </c>
      <c r="I728" s="166"/>
      <c r="J728" s="166"/>
      <c r="K728" s="166">
        <f>SUMIF(Adat!$AC:$AC,CONCATENATE(60,N696,"09511"),Adat!$E:$E)*-1+H728</f>
        <v>0</v>
      </c>
    </row>
    <row r="729" spans="2:11" s="13" customFormat="1" ht="12.75" x14ac:dyDescent="0.2">
      <c r="B729" s="160">
        <v>27</v>
      </c>
      <c r="C729" s="305" t="s">
        <v>1294</v>
      </c>
      <c r="D729" s="82" t="s">
        <v>1375</v>
      </c>
      <c r="E729" s="165"/>
      <c r="F729" s="165"/>
      <c r="G729" s="165"/>
      <c r="H729" s="166">
        <f>SUMIF(Adat!$AC:$AC,CONCATENATE(61,N696,"09521"),Adat!$E:$E)*-1</f>
        <v>0</v>
      </c>
      <c r="I729" s="166"/>
      <c r="J729" s="166"/>
      <c r="K729" s="166">
        <f>SUMIF(Adat!$AC:$AC,CONCATENATE(60,N696,"09521"),Adat!$E:$E)*-1+H729</f>
        <v>0</v>
      </c>
    </row>
    <row r="730" spans="2:11" s="13" customFormat="1" ht="12.75" x14ac:dyDescent="0.2">
      <c r="B730" s="160">
        <v>28</v>
      </c>
      <c r="C730" s="305" t="s">
        <v>1376</v>
      </c>
      <c r="D730" s="82" t="s">
        <v>1377</v>
      </c>
      <c r="E730" s="165"/>
      <c r="F730" s="165"/>
      <c r="G730" s="165"/>
      <c r="H730" s="166">
        <f>SUMIF(Adat!$AC:$AC,CONCATENATE(61,N696,"09531"),Adat!$E:$E)*-1</f>
        <v>0</v>
      </c>
      <c r="I730" s="166"/>
      <c r="J730" s="166"/>
      <c r="K730" s="166">
        <f>SUMIF(Adat!$AC:$AC,CONCATENATE(60,N696,"09531"),Adat!$E:$E)*-1+H730</f>
        <v>0</v>
      </c>
    </row>
    <row r="731" spans="2:11" s="13" customFormat="1" ht="12.75" x14ac:dyDescent="0.2">
      <c r="B731" s="160">
        <v>29</v>
      </c>
      <c r="C731" s="79" t="s">
        <v>36</v>
      </c>
      <c r="D731" s="79" t="s">
        <v>331</v>
      </c>
      <c r="E731" s="120">
        <v>0</v>
      </c>
      <c r="F731" s="120">
        <v>0</v>
      </c>
      <c r="G731" s="120">
        <v>0</v>
      </c>
      <c r="H731" s="71">
        <f>SUMIF(Adat!$AE:$AE,CONCATENATE(61,N696,"096"),Adat!$E:$E)*-1</f>
        <v>0</v>
      </c>
      <c r="I731" s="71"/>
      <c r="J731" s="71"/>
      <c r="K731" s="71">
        <f>SUMIF(Adat!$AE:$AE,CONCATENATE(60,N696,"096"),Adat!$E:$E)*-1+H731</f>
        <v>0</v>
      </c>
    </row>
    <row r="732" spans="2:11" s="13" customFormat="1" ht="12.75" x14ac:dyDescent="0.2">
      <c r="B732" s="160">
        <v>30</v>
      </c>
      <c r="C732" s="79" t="s">
        <v>38</v>
      </c>
      <c r="D732" s="85" t="s">
        <v>332</v>
      </c>
      <c r="E732" s="120">
        <v>0</v>
      </c>
      <c r="F732" s="120">
        <v>0</v>
      </c>
      <c r="G732" s="120">
        <v>0</v>
      </c>
      <c r="H732" s="71">
        <f>SUMIF(Adat!$AE:$AE,CONCATENATE(61,N696,"097"),Adat!$E:$E)*-1</f>
        <v>0</v>
      </c>
      <c r="I732" s="71"/>
      <c r="J732" s="71"/>
      <c r="K732" s="71">
        <f>SUMIF(Adat!$AE:$AE,CONCATENATE(60,N696,"097"),Adat!$E:$E)*-1+H732</f>
        <v>0</v>
      </c>
    </row>
    <row r="733" spans="2:11" s="13" customFormat="1" ht="12.75" x14ac:dyDescent="0.2">
      <c r="B733" s="160">
        <v>31</v>
      </c>
      <c r="C733" s="154" t="s">
        <v>352</v>
      </c>
      <c r="D733" s="86" t="s">
        <v>1500</v>
      </c>
      <c r="E733" s="120">
        <f>E704+E718+E722+E723+E727+E731+E732</f>
        <v>0</v>
      </c>
      <c r="F733" s="120">
        <f>F704+F718+F722+F723+F727+F731+F732</f>
        <v>0</v>
      </c>
      <c r="G733" s="120">
        <f>G704+G718+G722+G723+G727+G731+G732</f>
        <v>0</v>
      </c>
      <c r="H733" s="121">
        <f>H704+H718+H722+H723+H727+H731+H732</f>
        <v>0</v>
      </c>
      <c r="I733" s="121"/>
      <c r="J733" s="121"/>
      <c r="K733" s="121">
        <f>K704+K718+K722+K723+K727+K731+K732</f>
        <v>0</v>
      </c>
    </row>
    <row r="734" spans="2:11" s="13" customFormat="1" ht="12.75" x14ac:dyDescent="0.2">
      <c r="B734" s="160">
        <v>32</v>
      </c>
      <c r="C734" s="154" t="s">
        <v>358</v>
      </c>
      <c r="D734" s="86" t="s">
        <v>333</v>
      </c>
      <c r="E734" s="120">
        <f>SUM(E735:E737)</f>
        <v>0</v>
      </c>
      <c r="F734" s="120">
        <f t="shared" ref="F734" si="194">SUM(F735:F737)</f>
        <v>0</v>
      </c>
      <c r="G734" s="120">
        <f>SUM(G735:G737)</f>
        <v>0</v>
      </c>
      <c r="H734" s="121">
        <f t="shared" ref="H734:K734" si="195">SUM(H735:H737)</f>
        <v>0</v>
      </c>
      <c r="I734" s="121"/>
      <c r="J734" s="121"/>
      <c r="K734" s="121">
        <f t="shared" si="195"/>
        <v>0</v>
      </c>
    </row>
    <row r="735" spans="2:11" s="13" customFormat="1" ht="12.75" x14ac:dyDescent="0.2">
      <c r="B735" s="160">
        <v>33</v>
      </c>
      <c r="C735" s="305" t="s">
        <v>1274</v>
      </c>
      <c r="D735" s="82" t="s">
        <v>1419</v>
      </c>
      <c r="E735" s="165"/>
      <c r="F735" s="165"/>
      <c r="G735" s="165"/>
      <c r="H735" s="166">
        <f>SUMIF(Adat!$AC:$AC,CONCATENATE(61,N696,"0981311"),Adat!$E:$E)*-1</f>
        <v>0</v>
      </c>
      <c r="I735" s="166"/>
      <c r="J735" s="166"/>
      <c r="K735" s="166">
        <f>SUMIF(Adat!$AC:$AC,CONCATENATE(60,N696,"0981311"),Adat!$E:$E)*-1+H735</f>
        <v>0</v>
      </c>
    </row>
    <row r="736" spans="2:11" s="13" customFormat="1" ht="12.75" x14ac:dyDescent="0.2">
      <c r="B736" s="160">
        <v>34</v>
      </c>
      <c r="C736" s="305" t="s">
        <v>1420</v>
      </c>
      <c r="D736" s="84" t="s">
        <v>1421</v>
      </c>
      <c r="E736" s="165"/>
      <c r="F736" s="165"/>
      <c r="G736" s="165"/>
      <c r="H736" s="166">
        <f>SUMIF(Adat!$AC:$AC,CONCATENATE(61,N696,"0981321"),Adat!$E:$E)*-1</f>
        <v>0</v>
      </c>
      <c r="I736" s="166"/>
      <c r="J736" s="166"/>
      <c r="K736" s="166">
        <f>SUMIF(Adat!$AC:$AC,CONCATENATE(60,N696,"0981321"),Adat!$E:$E)*-1+H736</f>
        <v>0</v>
      </c>
    </row>
    <row r="737" spans="2:15" s="13" customFormat="1" ht="12.75" x14ac:dyDescent="0.2">
      <c r="B737" s="160">
        <v>35</v>
      </c>
      <c r="C737" s="319" t="s">
        <v>1275</v>
      </c>
      <c r="D737" s="84" t="s">
        <v>1501</v>
      </c>
      <c r="E737" s="165"/>
      <c r="F737" s="165"/>
      <c r="G737" s="165"/>
      <c r="H737" s="166">
        <f>SUMIF(Adat!$AC:$AC,CONCATENATE(61,N696,"098161"),Adat!$E:$E)*-1</f>
        <v>0</v>
      </c>
      <c r="I737" s="166"/>
      <c r="J737" s="166"/>
      <c r="K737" s="166">
        <f>SUMIF(Adat!$AC:$AC,CONCATENATE(60,N696,"098161"),Adat!$E:$E)*-1+H737</f>
        <v>0</v>
      </c>
    </row>
    <row r="738" spans="2:15" s="13" customFormat="1" ht="12.75" x14ac:dyDescent="0.2">
      <c r="B738" s="160">
        <v>36</v>
      </c>
      <c r="C738" s="154" t="s">
        <v>364</v>
      </c>
      <c r="D738" s="159" t="s">
        <v>1502</v>
      </c>
      <c r="E738" s="120">
        <f>E733+E734</f>
        <v>0</v>
      </c>
      <c r="F738" s="120">
        <f t="shared" ref="F738:G738" si="196">F733+F734</f>
        <v>0</v>
      </c>
      <c r="G738" s="120">
        <f t="shared" si="196"/>
        <v>0</v>
      </c>
      <c r="H738" s="121">
        <f>H733+H734</f>
        <v>0</v>
      </c>
      <c r="I738" s="121"/>
      <c r="J738" s="121"/>
      <c r="K738" s="121">
        <f>K733+K734</f>
        <v>0</v>
      </c>
    </row>
    <row r="739" spans="2:15" x14ac:dyDescent="0.25">
      <c r="B739" s="40"/>
      <c r="C739" s="256"/>
      <c r="D739" s="40"/>
      <c r="E739" s="13"/>
      <c r="F739" s="13"/>
      <c r="G739" s="13"/>
      <c r="H739" s="39"/>
      <c r="I739" s="39"/>
      <c r="J739" s="39"/>
      <c r="K739" s="13"/>
      <c r="L739" s="13"/>
      <c r="M739" s="13"/>
      <c r="N739" s="13"/>
      <c r="O739" s="13"/>
    </row>
    <row r="740" spans="2:15" x14ac:dyDescent="0.25">
      <c r="B740" s="202" t="s">
        <v>1512</v>
      </c>
      <c r="C740" s="260"/>
      <c r="D740" s="260"/>
      <c r="E740" s="13"/>
      <c r="F740" s="13"/>
      <c r="G740" s="13"/>
      <c r="H740" s="260"/>
      <c r="I740" s="260"/>
      <c r="J740" s="260"/>
      <c r="K740" s="13"/>
      <c r="L740" s="13"/>
      <c r="M740" s="13"/>
      <c r="N740" s="13"/>
      <c r="O740" s="13"/>
    </row>
    <row r="741" spans="2:15" x14ac:dyDescent="0.25">
      <c r="B741" s="40"/>
      <c r="C741" s="256"/>
      <c r="D741" s="40"/>
      <c r="E741" s="13"/>
      <c r="F741" s="13"/>
      <c r="G741" s="13"/>
      <c r="H741" s="39"/>
      <c r="I741" s="39"/>
      <c r="J741" s="39"/>
      <c r="K741" s="13"/>
      <c r="L741" s="13"/>
      <c r="M741" s="13"/>
      <c r="N741" s="13"/>
      <c r="O741" s="13"/>
    </row>
    <row r="742" spans="2:15" s="13" customFormat="1" ht="12.75" x14ac:dyDescent="0.2">
      <c r="B742" s="77"/>
      <c r="C742" s="77" t="s">
        <v>350</v>
      </c>
      <c r="D742" s="77" t="s">
        <v>351</v>
      </c>
      <c r="E742" s="77" t="s">
        <v>470</v>
      </c>
      <c r="F742" s="77" t="s">
        <v>471</v>
      </c>
      <c r="G742" s="77" t="s">
        <v>44</v>
      </c>
      <c r="H742" s="77" t="s">
        <v>42</v>
      </c>
      <c r="I742" s="77"/>
      <c r="J742" s="77"/>
      <c r="K742" s="77" t="s">
        <v>511</v>
      </c>
    </row>
    <row r="743" spans="2:15" s="13" customFormat="1" ht="38.25" x14ac:dyDescent="0.2">
      <c r="B743" s="68">
        <v>1</v>
      </c>
      <c r="C743" s="78" t="s">
        <v>348</v>
      </c>
      <c r="D743" s="78" t="s">
        <v>349</v>
      </c>
      <c r="E743" s="69" t="str">
        <f>CONCATENATE(PAR!$H$12," évi 
teljesítés")</f>
        <v>2022. évi 
teljesítés</v>
      </c>
      <c r="F743" s="69" t="str">
        <f>CONCATENATE(PAR!$H$11," évi 
teljesítés")</f>
        <v>2023. évi 
teljesítés</v>
      </c>
      <c r="G743" s="69" t="str">
        <f>CONCATENATE(PAR!$H$10," évi 
teljesítés")</f>
        <v>2024. évi 
teljesítés</v>
      </c>
      <c r="H743" s="163" t="str">
        <f>CONCATENATE(PAR!$H$3," évi
eredeti 
előirányzat")</f>
        <v>2025. évi
eredeti 
előirányzat</v>
      </c>
      <c r="I743" s="163"/>
      <c r="J743" s="163"/>
      <c r="K743" s="163" t="str">
        <f>CONCATENATE(PAR!$H$3," évi
módosított 
előirányzat")</f>
        <v>2025. évi
módosított 
előirányzat</v>
      </c>
    </row>
    <row r="744" spans="2:15" s="13" customFormat="1" ht="12.75" x14ac:dyDescent="0.2">
      <c r="B744" s="160">
        <v>2</v>
      </c>
      <c r="C744" s="78" t="s">
        <v>352</v>
      </c>
      <c r="D744" s="92" t="s">
        <v>1444</v>
      </c>
      <c r="E744" s="120">
        <f>SUM(E745:E749)</f>
        <v>0</v>
      </c>
      <c r="F744" s="120">
        <f>SUM(F745:F749)</f>
        <v>0</v>
      </c>
      <c r="G744" s="120">
        <f>SUM(G745:G749)</f>
        <v>0</v>
      </c>
      <c r="H744" s="121">
        <f>SUM(H745:H749)</f>
        <v>0</v>
      </c>
      <c r="I744" s="121"/>
      <c r="J744" s="121"/>
      <c r="K744" s="121">
        <f t="shared" ref="K744" si="197">SUM(K745:K749)</f>
        <v>0</v>
      </c>
    </row>
    <row r="745" spans="2:15" s="13" customFormat="1" ht="12.75" x14ac:dyDescent="0.2">
      <c r="B745" s="160">
        <v>3</v>
      </c>
      <c r="C745" s="305" t="s">
        <v>315</v>
      </c>
      <c r="D745" s="93" t="s">
        <v>342</v>
      </c>
      <c r="E745" s="165"/>
      <c r="F745" s="165"/>
      <c r="G745" s="285"/>
      <c r="H745" s="72">
        <f>SUMIF(Adat!$AE:$AE,CONCATENATE(61,N696,"051"),Adat!$E:$E)</f>
        <v>0</v>
      </c>
      <c r="I745" s="72"/>
      <c r="J745" s="72"/>
      <c r="K745" s="72">
        <f>SUMIF(Adat!$AE:$AE,CONCATENATE(60,N696,"051"),Adat!$E:$E)+H745</f>
        <v>0</v>
      </c>
    </row>
    <row r="746" spans="2:15" s="13" customFormat="1" ht="12.75" x14ac:dyDescent="0.2">
      <c r="B746" s="160">
        <v>4</v>
      </c>
      <c r="C746" s="305" t="s">
        <v>317</v>
      </c>
      <c r="D746" s="93" t="s">
        <v>395</v>
      </c>
      <c r="E746" s="165"/>
      <c r="F746" s="165"/>
      <c r="G746" s="285"/>
      <c r="H746" s="72">
        <f>SUMIF(Adat!$AE:$AE,CONCATENATE(61,N696,"052"),Adat!$E:$E)</f>
        <v>0</v>
      </c>
      <c r="I746" s="72"/>
      <c r="J746" s="72"/>
      <c r="K746" s="72">
        <f>SUMIF(Adat!$AE:$AE,CONCATENATE(60,N696,"052"),Adat!$E:$E)+H746</f>
        <v>0</v>
      </c>
    </row>
    <row r="747" spans="2:15" s="13" customFormat="1" ht="12.75" x14ac:dyDescent="0.2">
      <c r="B747" s="160">
        <v>5</v>
      </c>
      <c r="C747" s="305" t="s">
        <v>4</v>
      </c>
      <c r="D747" s="93" t="s">
        <v>344</v>
      </c>
      <c r="E747" s="165"/>
      <c r="F747" s="165"/>
      <c r="G747" s="285"/>
      <c r="H747" s="72">
        <f>SUMIF(Adat!$AE:$AE,CONCATENATE(61,N696,"053"),Adat!$E:$E)</f>
        <v>0</v>
      </c>
      <c r="I747" s="72"/>
      <c r="J747" s="72"/>
      <c r="K747" s="72">
        <f>SUMIF(Adat!$AE:$AE,CONCATENATE(60,N696,"053"),Adat!$E:$E)+H747</f>
        <v>0</v>
      </c>
    </row>
    <row r="748" spans="2:15" s="13" customFormat="1" ht="12.75" x14ac:dyDescent="0.2">
      <c r="B748" s="160">
        <v>6</v>
      </c>
      <c r="C748" s="305" t="s">
        <v>6</v>
      </c>
      <c r="D748" s="93" t="s">
        <v>345</v>
      </c>
      <c r="E748" s="165"/>
      <c r="F748" s="165"/>
      <c r="G748" s="285"/>
      <c r="H748" s="72">
        <f>SUMIF(Adat!$AE:$AE,CONCATENATE(61,N696,"054"),Adat!$E:$E)</f>
        <v>0</v>
      </c>
      <c r="I748" s="72"/>
      <c r="J748" s="72"/>
      <c r="K748" s="72">
        <f>SUMIF(Adat!$AE:$AE,CONCATENATE(60,N696,"054"),Adat!$E:$E)+H748</f>
        <v>0</v>
      </c>
    </row>
    <row r="749" spans="2:15" s="13" customFormat="1" ht="12.75" x14ac:dyDescent="0.2">
      <c r="B749" s="160">
        <v>7</v>
      </c>
      <c r="C749" s="305" t="s">
        <v>8</v>
      </c>
      <c r="D749" s="93" t="s">
        <v>321</v>
      </c>
      <c r="E749" s="165"/>
      <c r="F749" s="165"/>
      <c r="G749" s="285"/>
      <c r="H749" s="72">
        <f>SUMIF(Adat!$AE:$AE,CONCATENATE(61,N696,"055"),Adat!$E:$E)</f>
        <v>0</v>
      </c>
      <c r="I749" s="72"/>
      <c r="J749" s="72"/>
      <c r="K749" s="72">
        <f>SUMIF(Adat!$AE:$AE,CONCATENATE(60,N696,"055"),Adat!$E:$E)+H749</f>
        <v>0</v>
      </c>
    </row>
    <row r="750" spans="2:15" s="13" customFormat="1" ht="12.75" x14ac:dyDescent="0.2">
      <c r="B750" s="160">
        <v>8</v>
      </c>
      <c r="C750" s="78" t="s">
        <v>358</v>
      </c>
      <c r="D750" s="92" t="s">
        <v>1447</v>
      </c>
      <c r="E750" s="120">
        <f>SUM(E751:E753)</f>
        <v>0</v>
      </c>
      <c r="F750" s="120">
        <f t="shared" ref="F750:K750" si="198">SUM(F751:F753)</f>
        <v>0</v>
      </c>
      <c r="G750" s="120">
        <f t="shared" si="198"/>
        <v>0</v>
      </c>
      <c r="H750" s="121">
        <f t="shared" si="198"/>
        <v>0</v>
      </c>
      <c r="I750" s="121"/>
      <c r="J750" s="121"/>
      <c r="K750" s="121">
        <f t="shared" si="198"/>
        <v>0</v>
      </c>
    </row>
    <row r="751" spans="2:15" s="13" customFormat="1" ht="12.75" x14ac:dyDescent="0.2">
      <c r="B751" s="160">
        <v>9</v>
      </c>
      <c r="C751" s="305" t="s">
        <v>10</v>
      </c>
      <c r="D751" s="93" t="s">
        <v>322</v>
      </c>
      <c r="E751" s="165"/>
      <c r="F751" s="165"/>
      <c r="G751" s="285"/>
      <c r="H751" s="72">
        <f>SUMIF(Adat!$AE:$AE,CONCATENATE(61,N696,"056"),Adat!$E:$E)</f>
        <v>0</v>
      </c>
      <c r="I751" s="72"/>
      <c r="J751" s="72"/>
      <c r="K751" s="72">
        <f>SUMIF(Adat!$AE:$AE,CONCATENATE(60,N696,"056"),Adat!$E:$E)+H751</f>
        <v>0</v>
      </c>
    </row>
    <row r="752" spans="2:15" s="13" customFormat="1" ht="12.75" x14ac:dyDescent="0.2">
      <c r="B752" s="160">
        <v>10</v>
      </c>
      <c r="C752" s="305" t="s">
        <v>12</v>
      </c>
      <c r="D752" s="93" t="s">
        <v>323</v>
      </c>
      <c r="E752" s="165"/>
      <c r="F752" s="165"/>
      <c r="G752" s="165"/>
      <c r="H752" s="72">
        <f>SUMIF(Adat!$AE:$AE,CONCATENATE(61,N696,"057"),Adat!$E:$E)</f>
        <v>0</v>
      </c>
      <c r="I752" s="72"/>
      <c r="J752" s="72"/>
      <c r="K752" s="72">
        <f>SUMIF(Adat!$AE:$AE,CONCATENATE(60,N696,"057"),Adat!$E:$E)+H752</f>
        <v>0</v>
      </c>
    </row>
    <row r="753" spans="2:15" s="13" customFormat="1" ht="12.75" x14ac:dyDescent="0.2">
      <c r="B753" s="160">
        <v>11</v>
      </c>
      <c r="C753" s="305" t="s">
        <v>15</v>
      </c>
      <c r="D753" s="84" t="s">
        <v>324</v>
      </c>
      <c r="E753" s="165"/>
      <c r="F753" s="165"/>
      <c r="G753" s="165"/>
      <c r="H753" s="72">
        <f>SUMIF(Adat!$AE:$AE,CONCATENATE(61,N696,"058"),Adat!$E:$E)</f>
        <v>0</v>
      </c>
      <c r="I753" s="72"/>
      <c r="J753" s="72"/>
      <c r="K753" s="72">
        <f>SUMIF(Adat!$AE:$AE,CONCATENATE(60,N696,"058"),Adat!$E:$E)+H753</f>
        <v>0</v>
      </c>
    </row>
    <row r="754" spans="2:15" s="13" customFormat="1" ht="12.75" x14ac:dyDescent="0.2">
      <c r="B754" s="160">
        <v>12</v>
      </c>
      <c r="C754" s="154" t="s">
        <v>364</v>
      </c>
      <c r="D754" s="86" t="s">
        <v>325</v>
      </c>
      <c r="E754" s="120">
        <v>0</v>
      </c>
      <c r="F754" s="120">
        <v>0</v>
      </c>
      <c r="G754" s="120">
        <v>0</v>
      </c>
      <c r="H754" s="71">
        <f>SUMIF(Adat!$AE:$AE,CONCATENATE(61,N696,"059"),Adat!$E:$E)</f>
        <v>0</v>
      </c>
      <c r="I754" s="71"/>
      <c r="J754" s="71"/>
      <c r="K754" s="71">
        <f>SUMIF(Adat!$AE:$AE,CONCATENATE(60,N696,"059"),Adat!$E:$E)+H754</f>
        <v>0</v>
      </c>
    </row>
    <row r="755" spans="2:15" s="13" customFormat="1" ht="12.75" x14ac:dyDescent="0.2">
      <c r="B755" s="160">
        <v>13</v>
      </c>
      <c r="C755" s="154" t="s">
        <v>403</v>
      </c>
      <c r="D755" s="159" t="s">
        <v>497</v>
      </c>
      <c r="E755" s="120">
        <f>E744+E750+E754</f>
        <v>0</v>
      </c>
      <c r="F755" s="120">
        <f>F744+F750+F754</f>
        <v>0</v>
      </c>
      <c r="G755" s="120">
        <f>G744+G750+G754</f>
        <v>0</v>
      </c>
      <c r="H755" s="121">
        <f>H744+H750+H754</f>
        <v>0</v>
      </c>
      <c r="I755" s="121"/>
      <c r="J755" s="121"/>
      <c r="K755" s="121">
        <f>K744+K750+K754</f>
        <v>0</v>
      </c>
    </row>
    <row r="756" spans="2:15" x14ac:dyDescent="0.25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</row>
    <row r="757" spans="2:15" x14ac:dyDescent="0.25">
      <c r="B757" s="511" t="str">
        <f>O757</f>
        <v/>
      </c>
      <c r="C757" s="511"/>
      <c r="D757" s="511"/>
      <c r="E757" s="511"/>
      <c r="F757" s="511"/>
      <c r="G757" s="511"/>
      <c r="H757" s="511"/>
      <c r="I757" s="511"/>
      <c r="J757" s="511"/>
      <c r="K757" s="511"/>
      <c r="L757" s="13"/>
      <c r="M757" s="318">
        <v>12</v>
      </c>
      <c r="N757" s="320">
        <f>VLOOKUP(M757,Info!$B$5:$D$55,3)</f>
        <v>0</v>
      </c>
      <c r="O757" s="321" t="str">
        <f>VLOOKUP(M757,Info!$B$5:$D$55,2)</f>
        <v/>
      </c>
    </row>
    <row r="758" spans="2:15" x14ac:dyDescent="0.25">
      <c r="B758" s="534" t="str">
        <f>CONCATENATE(PAR!$H$3," évi költségvetés és az előző három év összevont mérlege")</f>
        <v>2025. évi költségvetés és az előző három év összevont mérlege</v>
      </c>
      <c r="C758" s="534"/>
      <c r="D758" s="534"/>
      <c r="E758" s="534"/>
      <c r="F758" s="534"/>
      <c r="G758" s="534"/>
      <c r="H758" s="534"/>
      <c r="I758" s="534"/>
      <c r="J758" s="534"/>
      <c r="K758" s="534"/>
      <c r="L758" s="13"/>
      <c r="M758" s="13"/>
      <c r="N758" s="13"/>
      <c r="O758" s="13"/>
    </row>
    <row r="759" spans="2:15" x14ac:dyDescent="0.25">
      <c r="B759" s="535" t="s">
        <v>337</v>
      </c>
      <c r="C759" s="535"/>
      <c r="D759" s="535"/>
      <c r="E759" s="535"/>
      <c r="F759" s="535"/>
      <c r="G759" s="535"/>
      <c r="H759" s="535"/>
      <c r="I759" s="535"/>
      <c r="J759" s="535"/>
      <c r="K759" s="535"/>
      <c r="L759" s="13"/>
      <c r="M759" s="13"/>
      <c r="N759" s="13"/>
      <c r="O759" s="13"/>
    </row>
    <row r="760" spans="2:15" x14ac:dyDescent="0.25">
      <c r="B760" s="40"/>
      <c r="C760" s="256"/>
      <c r="D760" s="40"/>
      <c r="E760" s="39"/>
      <c r="F760" s="40"/>
      <c r="G760" s="40"/>
      <c r="H760" s="40"/>
      <c r="I760" s="40"/>
      <c r="J760" s="40"/>
      <c r="K760" s="13"/>
      <c r="L760" s="13"/>
      <c r="M760" s="13"/>
      <c r="N760" s="13"/>
      <c r="O760" s="13"/>
    </row>
    <row r="761" spans="2:15" x14ac:dyDescent="0.25">
      <c r="B761" s="201" t="s">
        <v>1513</v>
      </c>
      <c r="C761" s="201"/>
      <c r="D761" s="201"/>
      <c r="E761" s="201"/>
      <c r="F761" s="201"/>
      <c r="G761" s="201"/>
      <c r="H761" s="201"/>
      <c r="I761" s="201"/>
      <c r="J761" s="201"/>
      <c r="K761" s="201"/>
      <c r="L761" s="13"/>
      <c r="M761" s="13"/>
      <c r="N761" s="13"/>
      <c r="O761" s="13"/>
    </row>
    <row r="762" spans="2:15" x14ac:dyDescent="0.25">
      <c r="B762" s="40"/>
      <c r="C762" s="256"/>
      <c r="D762" s="40"/>
      <c r="E762" s="39"/>
      <c r="F762" s="40"/>
      <c r="G762" s="40"/>
      <c r="H762" s="40"/>
      <c r="I762" s="40"/>
      <c r="J762" s="40"/>
      <c r="K762" s="13"/>
      <c r="L762" s="13"/>
      <c r="M762" s="13"/>
      <c r="N762" s="13"/>
      <c r="O762" s="13"/>
    </row>
    <row r="763" spans="2:15" s="13" customFormat="1" ht="12.75" x14ac:dyDescent="0.2">
      <c r="B763" s="77"/>
      <c r="C763" s="77" t="s">
        <v>350</v>
      </c>
      <c r="D763" s="77" t="s">
        <v>351</v>
      </c>
      <c r="E763" s="77" t="s">
        <v>470</v>
      </c>
      <c r="F763" s="77" t="s">
        <v>471</v>
      </c>
      <c r="G763" s="77" t="s">
        <v>44</v>
      </c>
      <c r="H763" s="77" t="s">
        <v>42</v>
      </c>
      <c r="I763" s="77"/>
      <c r="J763" s="77"/>
      <c r="K763" s="77" t="s">
        <v>511</v>
      </c>
    </row>
    <row r="764" spans="2:15" s="13" customFormat="1" ht="38.25" x14ac:dyDescent="0.2">
      <c r="B764" s="68">
        <v>1</v>
      </c>
      <c r="C764" s="78" t="s">
        <v>348</v>
      </c>
      <c r="D764" s="78" t="s">
        <v>349</v>
      </c>
      <c r="E764" s="69" t="str">
        <f>CONCATENATE(PAR!$H$12," évi 
teljesítés")</f>
        <v>2022. évi 
teljesítés</v>
      </c>
      <c r="F764" s="69" t="str">
        <f>CONCATENATE(PAR!$H$11," évi 
teljesítés")</f>
        <v>2023. évi 
teljesítés</v>
      </c>
      <c r="G764" s="69" t="str">
        <f>CONCATENATE(PAR!$H$10," évi 
teljesítés")</f>
        <v>2024. évi 
teljesítés</v>
      </c>
      <c r="H764" s="163" t="str">
        <f>CONCATENATE(PAR!$H$3," évi
eredeti 
előirányzat")</f>
        <v>2025. évi
eredeti 
előirányzat</v>
      </c>
      <c r="I764" s="163"/>
      <c r="J764" s="163"/>
      <c r="K764" s="163" t="str">
        <f>CONCATENATE(PAR!$H$3," évi
módosított 
előirányzat")</f>
        <v>2025. évi
módosított 
előirányzat</v>
      </c>
    </row>
    <row r="765" spans="2:15" s="13" customFormat="1" ht="12.75" x14ac:dyDescent="0.2">
      <c r="B765" s="160">
        <v>2</v>
      </c>
      <c r="C765" s="79" t="s">
        <v>30</v>
      </c>
      <c r="D765" s="79" t="s">
        <v>329</v>
      </c>
      <c r="E765" s="120">
        <f>SUM(E766:E778)</f>
        <v>0</v>
      </c>
      <c r="F765" s="120">
        <f t="shared" ref="F765" si="199">SUM(F766:F778)</f>
        <v>0</v>
      </c>
      <c r="G765" s="120">
        <f>SUM(G766:G778)</f>
        <v>0</v>
      </c>
      <c r="H765" s="121">
        <f t="shared" ref="H765" si="200">SUM(H766:H778)</f>
        <v>0</v>
      </c>
      <c r="I765" s="121"/>
      <c r="J765" s="121"/>
      <c r="K765" s="121">
        <f>SUM(K766:K778)</f>
        <v>0</v>
      </c>
    </row>
    <row r="766" spans="2:15" s="13" customFormat="1" ht="12.75" x14ac:dyDescent="0.2">
      <c r="B766" s="160">
        <v>3</v>
      </c>
      <c r="C766" s="305" t="s">
        <v>1309</v>
      </c>
      <c r="D766" s="82" t="s">
        <v>1356</v>
      </c>
      <c r="E766" s="165"/>
      <c r="F766" s="165"/>
      <c r="G766" s="165"/>
      <c r="H766" s="166">
        <f>SUMIF(Adat!$AC:$AC,CONCATENATE(61,N757,"094011"),Adat!$E:$E)*-1</f>
        <v>0</v>
      </c>
      <c r="I766" s="166"/>
      <c r="J766" s="166"/>
      <c r="K766" s="166">
        <f>SUMIF(Adat!$AC:$AC,CONCATENATE(60,N757,"094011"),Adat!$E:$E)*-1+H766</f>
        <v>0</v>
      </c>
    </row>
    <row r="767" spans="2:15" s="13" customFormat="1" ht="12.75" x14ac:dyDescent="0.2">
      <c r="B767" s="160">
        <v>4</v>
      </c>
      <c r="C767" s="305" t="s">
        <v>1279</v>
      </c>
      <c r="D767" s="82" t="s">
        <v>1357</v>
      </c>
      <c r="E767" s="165"/>
      <c r="F767" s="165"/>
      <c r="G767" s="165"/>
      <c r="H767" s="166">
        <f>SUMIF(Adat!$AC:$AC,CONCATENATE(61,N757,"094021"),Adat!$E:$E)*-1</f>
        <v>0</v>
      </c>
      <c r="I767" s="166"/>
      <c r="J767" s="166"/>
      <c r="K767" s="166">
        <f>SUMIF(Adat!$AC:$AC,CONCATENATE(60,N757,"094021"),Adat!$E:$E)*-1+H767</f>
        <v>0</v>
      </c>
    </row>
    <row r="768" spans="2:15" s="13" customFormat="1" ht="12.75" x14ac:dyDescent="0.2">
      <c r="B768" s="160">
        <v>5</v>
      </c>
      <c r="C768" s="305" t="s">
        <v>1272</v>
      </c>
      <c r="D768" s="82" t="s">
        <v>1358</v>
      </c>
      <c r="E768" s="165"/>
      <c r="F768" s="165"/>
      <c r="G768" s="165"/>
      <c r="H768" s="166">
        <f>SUMIF(Adat!$AC:$AC,CONCATENATE(61,N757,"094031"),Adat!$E:$E)*-1</f>
        <v>0</v>
      </c>
      <c r="I768" s="166"/>
      <c r="J768" s="166"/>
      <c r="K768" s="166">
        <f>SUMIF(Adat!$AC:$AC,CONCATENATE(60,N757,"094031"),Adat!$E:$E)*-1+H768</f>
        <v>0</v>
      </c>
    </row>
    <row r="769" spans="2:11" s="13" customFormat="1" ht="12.75" x14ac:dyDescent="0.2">
      <c r="B769" s="160">
        <v>6</v>
      </c>
      <c r="C769" s="305" t="s">
        <v>1359</v>
      </c>
      <c r="D769" s="82" t="s">
        <v>1360</v>
      </c>
      <c r="E769" s="165"/>
      <c r="F769" s="165"/>
      <c r="G769" s="165"/>
      <c r="H769" s="166">
        <f>SUMIF(Adat!$AC:$AC,CONCATENATE(61,N757,"094041"),Adat!$E:$E)*-1</f>
        <v>0</v>
      </c>
      <c r="I769" s="166"/>
      <c r="J769" s="166"/>
      <c r="K769" s="166">
        <f>SUMIF(Adat!$AC:$AC,CONCATENATE(60,N757,"094041"),Adat!$E:$E)*-1+H769</f>
        <v>0</v>
      </c>
    </row>
    <row r="770" spans="2:11" s="13" customFormat="1" ht="12.75" x14ac:dyDescent="0.2">
      <c r="B770" s="160">
        <v>7</v>
      </c>
      <c r="C770" s="305" t="s">
        <v>1261</v>
      </c>
      <c r="D770" s="82" t="s">
        <v>1361</v>
      </c>
      <c r="E770" s="165"/>
      <c r="F770" s="165"/>
      <c r="G770" s="165"/>
      <c r="H770" s="166">
        <f>SUMIF(Adat!$AC:$AC,CONCATENATE(61,N757,"094051"),Adat!$E:$E)*-1</f>
        <v>0</v>
      </c>
      <c r="I770" s="166"/>
      <c r="J770" s="166"/>
      <c r="K770" s="166">
        <f>SUMIF(Adat!$AC:$AC,CONCATENATE(60,N757,"094051"),Adat!$E:$E)*-1+H770</f>
        <v>0</v>
      </c>
    </row>
    <row r="771" spans="2:11" s="13" customFormat="1" ht="12.75" x14ac:dyDescent="0.2">
      <c r="B771" s="160">
        <v>8</v>
      </c>
      <c r="C771" s="305" t="s">
        <v>1273</v>
      </c>
      <c r="D771" s="82" t="s">
        <v>1362</v>
      </c>
      <c r="E771" s="165"/>
      <c r="F771" s="165"/>
      <c r="G771" s="165"/>
      <c r="H771" s="166">
        <f>SUMIF(Adat!$AC:$AC,CONCATENATE(61,N757,"094061"),Adat!$E:$E)*-1</f>
        <v>0</v>
      </c>
      <c r="I771" s="166"/>
      <c r="J771" s="166"/>
      <c r="K771" s="166">
        <f>SUMIF(Adat!$AC:$AC,CONCATENATE(60,N757,"094061"),Adat!$E:$E)*-1+H771</f>
        <v>0</v>
      </c>
    </row>
    <row r="772" spans="2:11" s="13" customFormat="1" ht="12.75" x14ac:dyDescent="0.2">
      <c r="B772" s="160">
        <v>9</v>
      </c>
      <c r="C772" s="305" t="s">
        <v>1363</v>
      </c>
      <c r="D772" s="82" t="s">
        <v>1364</v>
      </c>
      <c r="E772" s="165"/>
      <c r="F772" s="165"/>
      <c r="G772" s="165"/>
      <c r="H772" s="166">
        <f>SUMIF(Adat!$AC:$AC,CONCATENATE(61,N757,"094071"),Adat!$E:$E)*-1</f>
        <v>0</v>
      </c>
      <c r="I772" s="166"/>
      <c r="J772" s="166"/>
      <c r="K772" s="166">
        <f>SUMIF(Adat!$AC:$AC,CONCATENATE(60,N757,"094071"),Adat!$E:$E)*-1+H772</f>
        <v>0</v>
      </c>
    </row>
    <row r="773" spans="2:11" s="13" customFormat="1" ht="12.75" x14ac:dyDescent="0.2">
      <c r="B773" s="160">
        <v>10</v>
      </c>
      <c r="C773" s="305" t="s">
        <v>1306</v>
      </c>
      <c r="D773" s="82" t="s">
        <v>1365</v>
      </c>
      <c r="E773" s="165"/>
      <c r="F773" s="165"/>
      <c r="G773" s="165"/>
      <c r="H773" s="166">
        <f>SUMIF(Adat!$AC:$AC,CONCATENATE(61,N757,"0940811"),Adat!$E:$E)*-1</f>
        <v>0</v>
      </c>
      <c r="I773" s="166"/>
      <c r="J773" s="166"/>
      <c r="K773" s="166">
        <f>SUMIF(Adat!$AC:$AC,CONCATENATE(60,N757,"0940811"),Adat!$E:$E)*-1+H773</f>
        <v>0</v>
      </c>
    </row>
    <row r="774" spans="2:11" s="13" customFormat="1" ht="12.75" x14ac:dyDescent="0.2">
      <c r="B774" s="160">
        <v>11</v>
      </c>
      <c r="C774" s="305" t="s">
        <v>1295</v>
      </c>
      <c r="D774" s="82" t="s">
        <v>1366</v>
      </c>
      <c r="E774" s="165"/>
      <c r="F774" s="165"/>
      <c r="G774" s="165"/>
      <c r="H774" s="166">
        <f>SUMIF(Adat!$AC:$AC,CONCATENATE(61,N757,"0940821"),Adat!$E:$E)*-1</f>
        <v>0</v>
      </c>
      <c r="I774" s="166"/>
      <c r="J774" s="166"/>
      <c r="K774" s="166">
        <f>SUMIF(Adat!$AC:$AC,CONCATENATE(60,N757,"0940821"),Adat!$E:$E)*-1+H774</f>
        <v>0</v>
      </c>
    </row>
    <row r="775" spans="2:11" s="13" customFormat="1" ht="12.75" x14ac:dyDescent="0.2">
      <c r="B775" s="160">
        <v>12</v>
      </c>
      <c r="C775" s="305" t="s">
        <v>1367</v>
      </c>
      <c r="D775" s="82" t="s">
        <v>1368</v>
      </c>
      <c r="E775" s="165"/>
      <c r="F775" s="165"/>
      <c r="G775" s="165"/>
      <c r="H775" s="166">
        <f>SUMIF(Adat!$AC:$AC,CONCATENATE(61,N757,"0940911"),Adat!$E:$E)*-1</f>
        <v>0</v>
      </c>
      <c r="I775" s="166"/>
      <c r="J775" s="166"/>
      <c r="K775" s="166">
        <f>SUMIF(Adat!$AC:$AC,CONCATENATE(60,N757,"0940911"),Adat!$E:$E)*-1+H775</f>
        <v>0</v>
      </c>
    </row>
    <row r="776" spans="2:11" s="13" customFormat="1" ht="12.75" x14ac:dyDescent="0.2">
      <c r="B776" s="160">
        <v>13</v>
      </c>
      <c r="C776" s="305" t="s">
        <v>1369</v>
      </c>
      <c r="D776" s="82" t="s">
        <v>1370</v>
      </c>
      <c r="E776" s="165"/>
      <c r="F776" s="165"/>
      <c r="G776" s="165"/>
      <c r="H776" s="166">
        <f>SUMIF(Adat!$AC:$AC,CONCATENATE(61,N757,"0940921"),Adat!$E:$E)*-1</f>
        <v>0</v>
      </c>
      <c r="I776" s="166"/>
      <c r="J776" s="166"/>
      <c r="K776" s="166">
        <f>SUMIF(Adat!$AC:$AC,CONCATENATE(60,N757,"0940921"),Adat!$E:$E)*-1+H776</f>
        <v>0</v>
      </c>
    </row>
    <row r="777" spans="2:11" s="13" customFormat="1" ht="12.75" x14ac:dyDescent="0.2">
      <c r="B777" s="160">
        <v>14</v>
      </c>
      <c r="C777" s="305" t="s">
        <v>1296</v>
      </c>
      <c r="D777" s="82" t="s">
        <v>1371</v>
      </c>
      <c r="E777" s="165"/>
      <c r="F777" s="165"/>
      <c r="G777" s="165"/>
      <c r="H777" s="166">
        <f>SUMIF(Adat!$AC:$AC,CONCATENATE(61,N757,"094101"),Adat!$E:$E)*-1</f>
        <v>0</v>
      </c>
      <c r="I777" s="166"/>
      <c r="J777" s="166"/>
      <c r="K777" s="166">
        <f>SUMIF(Adat!$AC:$AC,CONCATENATE(60,N757,"094101"),Adat!$E:$E)*-1+H777</f>
        <v>0</v>
      </c>
    </row>
    <row r="778" spans="2:11" s="13" customFormat="1" ht="12.75" x14ac:dyDescent="0.2">
      <c r="B778" s="160">
        <v>15</v>
      </c>
      <c r="C778" s="305" t="s">
        <v>1297</v>
      </c>
      <c r="D778" s="84" t="s">
        <v>1372</v>
      </c>
      <c r="E778" s="165"/>
      <c r="F778" s="165"/>
      <c r="G778" s="165"/>
      <c r="H778" s="166">
        <f>SUMIF(Adat!$AC:$AC,CONCATENATE(61,N757,"094111"),Adat!$E:$E)*-1</f>
        <v>0</v>
      </c>
      <c r="I778" s="166"/>
      <c r="J778" s="166"/>
      <c r="K778" s="166">
        <f>SUMIF(Adat!$AC:$AC,CONCATENATE(60,N757,"094111"),Adat!$E:$E)*-1+H778</f>
        <v>0</v>
      </c>
    </row>
    <row r="779" spans="2:11" s="13" customFormat="1" ht="12.75" x14ac:dyDescent="0.2">
      <c r="B779" s="160">
        <v>16</v>
      </c>
      <c r="C779" s="78" t="s">
        <v>1328</v>
      </c>
      <c r="D779" s="85" t="s">
        <v>437</v>
      </c>
      <c r="E779" s="120">
        <f>SUM(E780:E782)</f>
        <v>0</v>
      </c>
      <c r="F779" s="120">
        <f t="shared" ref="F779" si="201">SUM(F780:F782)</f>
        <v>0</v>
      </c>
      <c r="G779" s="120">
        <f>SUM(G780:G782)</f>
        <v>0</v>
      </c>
      <c r="H779" s="121">
        <f t="shared" ref="H779" si="202">SUM(H780:H782)</f>
        <v>0</v>
      </c>
      <c r="I779" s="121"/>
      <c r="J779" s="121"/>
      <c r="K779" s="121">
        <f>SUM(K780:K782)</f>
        <v>0</v>
      </c>
    </row>
    <row r="780" spans="2:11" s="13" customFormat="1" ht="12.75" x14ac:dyDescent="0.2">
      <c r="B780" s="160">
        <v>17</v>
      </c>
      <c r="C780" s="305" t="s">
        <v>1329</v>
      </c>
      <c r="D780" s="82" t="s">
        <v>1330</v>
      </c>
      <c r="E780" s="165"/>
      <c r="F780" s="165"/>
      <c r="G780" s="165"/>
      <c r="H780" s="166">
        <f>SUMIF(Adat!$AC:$AC,CONCATENATE(61,N757,"09121"),Adat!$E:$E)*-1</f>
        <v>0</v>
      </c>
      <c r="I780" s="166"/>
      <c r="J780" s="166"/>
      <c r="K780" s="166">
        <f>SUMIF(Adat!$AC:$AC,CONCATENATE(60,N757,"09121"),Adat!$E:$E)*-1+H780</f>
        <v>0</v>
      </c>
    </row>
    <row r="781" spans="2:11" s="13" customFormat="1" ht="12.75" x14ac:dyDescent="0.2">
      <c r="B781" s="160">
        <v>18</v>
      </c>
      <c r="C781" s="305" t="s">
        <v>1335</v>
      </c>
      <c r="D781" s="82" t="s">
        <v>1336</v>
      </c>
      <c r="E781" s="165"/>
      <c r="F781" s="165"/>
      <c r="G781" s="165"/>
      <c r="H781" s="166">
        <f>SUMIF(Adat!$AC:$AC,CONCATENATE(61,N757,"09151"),Adat!$E:$E)*-1</f>
        <v>0</v>
      </c>
      <c r="I781" s="166"/>
      <c r="J781" s="166"/>
      <c r="K781" s="166">
        <f>SUMIF(Adat!$AC:$AC,CONCATENATE(60,N757,"09151"),Adat!$E:$E)*-1+H781</f>
        <v>0</v>
      </c>
    </row>
    <row r="782" spans="2:11" s="13" customFormat="1" ht="12.75" x14ac:dyDescent="0.2">
      <c r="B782" s="160">
        <v>19</v>
      </c>
      <c r="C782" s="305" t="s">
        <v>1278</v>
      </c>
      <c r="D782" s="82" t="s">
        <v>1337</v>
      </c>
      <c r="E782" s="165"/>
      <c r="F782" s="165"/>
      <c r="G782" s="165"/>
      <c r="H782" s="166">
        <f>SUMIF(Adat!$AC:$AC,CONCATENATE(61,N757,"09161"),Adat!$E:$E)*-1</f>
        <v>0</v>
      </c>
      <c r="I782" s="166"/>
      <c r="J782" s="166"/>
      <c r="K782" s="166">
        <f>SUMIF(Adat!$AC:$AC,CONCATENATE(60,N757,"09161"),Adat!$E:$E)*-1+H782</f>
        <v>0</v>
      </c>
    </row>
    <row r="783" spans="2:11" s="13" customFormat="1" ht="12.75" x14ac:dyDescent="0.2">
      <c r="B783" s="160">
        <v>20</v>
      </c>
      <c r="C783" s="79" t="s">
        <v>27</v>
      </c>
      <c r="D783" s="79" t="s">
        <v>328</v>
      </c>
      <c r="E783" s="120">
        <v>0</v>
      </c>
      <c r="F783" s="120">
        <v>0</v>
      </c>
      <c r="G783" s="120">
        <v>0</v>
      </c>
      <c r="H783" s="71">
        <f>SUMIF(Adat!$AE:$AE,CONCATENATE(61,N757,"093"),Adat!$E:$E)*-1</f>
        <v>0</v>
      </c>
      <c r="I783" s="71"/>
      <c r="J783" s="71"/>
      <c r="K783" s="71">
        <f>SUMIF(Adat!$AE:$AE,CONCATENATE(60,N757,"093"),Adat!$E:$E)*-1+H783</f>
        <v>0</v>
      </c>
    </row>
    <row r="784" spans="2:11" s="13" customFormat="1" ht="12.75" x14ac:dyDescent="0.2">
      <c r="B784" s="160">
        <v>21</v>
      </c>
      <c r="C784" s="79" t="s">
        <v>24</v>
      </c>
      <c r="D784" s="79" t="s">
        <v>449</v>
      </c>
      <c r="E784" s="120">
        <f>SUM(E785:E787)</f>
        <v>0</v>
      </c>
      <c r="F784" s="120">
        <f t="shared" ref="F784:G784" si="203">SUM(F785:F787)</f>
        <v>0</v>
      </c>
      <c r="G784" s="120">
        <f t="shared" si="203"/>
        <v>0</v>
      </c>
      <c r="H784" s="121">
        <f>SUM(H785:H787)</f>
        <v>0</v>
      </c>
      <c r="I784" s="121"/>
      <c r="J784" s="121"/>
      <c r="K784" s="121">
        <f t="shared" ref="K784" si="204">SUM(K785:K787)</f>
        <v>0</v>
      </c>
    </row>
    <row r="785" spans="2:15" s="13" customFormat="1" ht="12.75" x14ac:dyDescent="0.2">
      <c r="B785" s="160">
        <v>22</v>
      </c>
      <c r="C785" s="305" t="s">
        <v>1339</v>
      </c>
      <c r="D785" s="82" t="s">
        <v>1340</v>
      </c>
      <c r="E785" s="165"/>
      <c r="F785" s="165"/>
      <c r="G785" s="165"/>
      <c r="H785" s="166">
        <f>SUMIF(Adat!$AC:$AC,CONCATENATE(61,N757,"09211"),Adat!$E:$E)*-1</f>
        <v>0</v>
      </c>
      <c r="I785" s="166"/>
      <c r="J785" s="166"/>
      <c r="K785" s="166">
        <f>SUMIF(Adat!$AC:$AC,CONCATENATE(60,N757,"09211"),Adat!$E:$E)*-1+H785</f>
        <v>0</v>
      </c>
    </row>
    <row r="786" spans="2:15" s="13" customFormat="1" ht="12.75" x14ac:dyDescent="0.2">
      <c r="B786" s="160">
        <v>23</v>
      </c>
      <c r="C786" s="305" t="s">
        <v>1345</v>
      </c>
      <c r="D786" s="82" t="s">
        <v>1346</v>
      </c>
      <c r="E786" s="165"/>
      <c r="F786" s="165"/>
      <c r="G786" s="165"/>
      <c r="H786" s="166">
        <f>SUMIF(Adat!$AC:$AC,CONCATENATE(61,N757,"09241"),Adat!$E:$E)*-1</f>
        <v>0</v>
      </c>
      <c r="I786" s="166"/>
      <c r="J786" s="166"/>
      <c r="K786" s="166">
        <f>SUMIF(Adat!$AC:$AC,CONCATENATE(60,N757,"09241"),Adat!$E:$E)*-1+H786</f>
        <v>0</v>
      </c>
    </row>
    <row r="787" spans="2:15" s="13" customFormat="1" ht="12.75" x14ac:dyDescent="0.2">
      <c r="B787" s="160">
        <v>24</v>
      </c>
      <c r="C787" s="305" t="s">
        <v>1255</v>
      </c>
      <c r="D787" s="82" t="s">
        <v>1347</v>
      </c>
      <c r="E787" s="165"/>
      <c r="F787" s="165"/>
      <c r="G787" s="165"/>
      <c r="H787" s="166">
        <f>SUMIF(Adat!$AC:$AC,CONCATENATE(61,N757,"09251"),Adat!$E:$E)*-1</f>
        <v>0</v>
      </c>
      <c r="I787" s="166"/>
      <c r="J787" s="166"/>
      <c r="K787" s="166">
        <f>SUMIF(Adat!$AC:$AC,CONCATENATE(60,N757,"09251"),Adat!$E:$E)*-1+H787</f>
        <v>0</v>
      </c>
    </row>
    <row r="788" spans="2:15" s="13" customFormat="1" ht="12.75" x14ac:dyDescent="0.2">
      <c r="B788" s="160">
        <v>25</v>
      </c>
      <c r="C788" s="79" t="s">
        <v>33</v>
      </c>
      <c r="D788" s="79" t="s">
        <v>330</v>
      </c>
      <c r="E788" s="120">
        <f>SUM(E789:E791)</f>
        <v>0</v>
      </c>
      <c r="F788" s="120">
        <f t="shared" ref="F788:K788" si="205">SUM(F789:F791)</f>
        <v>0</v>
      </c>
      <c r="G788" s="120">
        <f t="shared" si="205"/>
        <v>0</v>
      </c>
      <c r="H788" s="121">
        <f t="shared" si="205"/>
        <v>0</v>
      </c>
      <c r="I788" s="121"/>
      <c r="J788" s="121"/>
      <c r="K788" s="121">
        <f t="shared" si="205"/>
        <v>0</v>
      </c>
    </row>
    <row r="789" spans="2:15" s="13" customFormat="1" ht="12.75" x14ac:dyDescent="0.2">
      <c r="B789" s="160">
        <v>26</v>
      </c>
      <c r="C789" s="305" t="s">
        <v>1373</v>
      </c>
      <c r="D789" s="82" t="s">
        <v>1374</v>
      </c>
      <c r="E789" s="165"/>
      <c r="F789" s="165"/>
      <c r="G789" s="165"/>
      <c r="H789" s="166">
        <f>SUMIF(Adat!$AC:$AC,CONCATENATE(61,N757,"09511"),Adat!$E:$E)*-1</f>
        <v>0</v>
      </c>
      <c r="I789" s="166"/>
      <c r="J789" s="166"/>
      <c r="K789" s="166">
        <f>SUMIF(Adat!$AC:$AC,CONCATENATE(60,N757,"09511"),Adat!$E:$E)*-1+H789</f>
        <v>0</v>
      </c>
    </row>
    <row r="790" spans="2:15" s="13" customFormat="1" ht="12.75" x14ac:dyDescent="0.2">
      <c r="B790" s="160">
        <v>27</v>
      </c>
      <c r="C790" s="305" t="s">
        <v>1294</v>
      </c>
      <c r="D790" s="82" t="s">
        <v>1375</v>
      </c>
      <c r="E790" s="165"/>
      <c r="F790" s="165"/>
      <c r="G790" s="165"/>
      <c r="H790" s="166">
        <f>SUMIF(Adat!$AC:$AC,CONCATENATE(61,N757,"09521"),Adat!$E:$E)*-1</f>
        <v>0</v>
      </c>
      <c r="I790" s="166"/>
      <c r="J790" s="166"/>
      <c r="K790" s="166">
        <f>SUMIF(Adat!$AC:$AC,CONCATENATE(60,N757,"09521"),Adat!$E:$E)*-1+H790</f>
        <v>0</v>
      </c>
    </row>
    <row r="791" spans="2:15" s="13" customFormat="1" ht="12.75" x14ac:dyDescent="0.2">
      <c r="B791" s="160">
        <v>28</v>
      </c>
      <c r="C791" s="305" t="s">
        <v>1376</v>
      </c>
      <c r="D791" s="82" t="s">
        <v>1377</v>
      </c>
      <c r="E791" s="165"/>
      <c r="F791" s="165"/>
      <c r="G791" s="165"/>
      <c r="H791" s="166">
        <f>SUMIF(Adat!$AC:$AC,CONCATENATE(61,N757,"09531"),Adat!$E:$E)*-1</f>
        <v>0</v>
      </c>
      <c r="I791" s="166"/>
      <c r="J791" s="166"/>
      <c r="K791" s="166">
        <f>SUMIF(Adat!$AC:$AC,CONCATENATE(60,N757,"09531"),Adat!$E:$E)*-1+H791</f>
        <v>0</v>
      </c>
    </row>
    <row r="792" spans="2:15" s="13" customFormat="1" ht="12.75" x14ac:dyDescent="0.2">
      <c r="B792" s="160">
        <v>29</v>
      </c>
      <c r="C792" s="79" t="s">
        <v>36</v>
      </c>
      <c r="D792" s="79" t="s">
        <v>331</v>
      </c>
      <c r="E792" s="120">
        <v>0</v>
      </c>
      <c r="F792" s="120">
        <v>0</v>
      </c>
      <c r="G792" s="120">
        <v>0</v>
      </c>
      <c r="H792" s="71">
        <f>SUMIF(Adat!$AE:$AE,CONCATENATE(61,N757,"096"),Adat!$E:$E)*-1</f>
        <v>0</v>
      </c>
      <c r="I792" s="71"/>
      <c r="J792" s="71"/>
      <c r="K792" s="71">
        <f>SUMIF(Adat!$AE:$AE,CONCATENATE(60,N757,"096"),Adat!$E:$E)*-1+H792</f>
        <v>0</v>
      </c>
    </row>
    <row r="793" spans="2:15" s="13" customFormat="1" ht="12.75" x14ac:dyDescent="0.2">
      <c r="B793" s="160">
        <v>30</v>
      </c>
      <c r="C793" s="79" t="s">
        <v>38</v>
      </c>
      <c r="D793" s="85" t="s">
        <v>332</v>
      </c>
      <c r="E793" s="120">
        <v>0</v>
      </c>
      <c r="F793" s="120">
        <v>0</v>
      </c>
      <c r="G793" s="120">
        <v>0</v>
      </c>
      <c r="H793" s="71">
        <f>SUMIF(Adat!$AE:$AE,CONCATENATE(61,N757,"097"),Adat!$E:$E)*-1</f>
        <v>0</v>
      </c>
      <c r="I793" s="71"/>
      <c r="J793" s="71"/>
      <c r="K793" s="71">
        <f>SUMIF(Adat!$AE:$AE,CONCATENATE(60,N757,"097"),Adat!$E:$E)*-1+H793</f>
        <v>0</v>
      </c>
    </row>
    <row r="794" spans="2:15" s="13" customFormat="1" ht="12.75" x14ac:dyDescent="0.2">
      <c r="B794" s="160">
        <v>31</v>
      </c>
      <c r="C794" s="154" t="s">
        <v>352</v>
      </c>
      <c r="D794" s="86" t="s">
        <v>1500</v>
      </c>
      <c r="E794" s="120">
        <f>E765+E779+E783+E784+E788+E792+E793</f>
        <v>0</v>
      </c>
      <c r="F794" s="120">
        <f>F765+F779+F783+F784+F788+F792+F793</f>
        <v>0</v>
      </c>
      <c r="G794" s="120">
        <f>G765+G779+G783+G784+G788+G792+G793</f>
        <v>0</v>
      </c>
      <c r="H794" s="121">
        <f>H765+H779+H783+H784+H788+H792+H793</f>
        <v>0</v>
      </c>
      <c r="I794" s="121"/>
      <c r="J794" s="121"/>
      <c r="K794" s="121">
        <f>K765+K779+K783+K784+K788+K792+K793</f>
        <v>0</v>
      </c>
    </row>
    <row r="795" spans="2:15" s="13" customFormat="1" ht="12.75" x14ac:dyDescent="0.2">
      <c r="B795" s="160">
        <v>32</v>
      </c>
      <c r="C795" s="154" t="s">
        <v>358</v>
      </c>
      <c r="D795" s="86" t="s">
        <v>333</v>
      </c>
      <c r="E795" s="120">
        <f>SUM(E796:E798)</f>
        <v>0</v>
      </c>
      <c r="F795" s="120">
        <f t="shared" ref="F795" si="206">SUM(F796:F798)</f>
        <v>0</v>
      </c>
      <c r="G795" s="120">
        <f>SUM(G796:G798)</f>
        <v>0</v>
      </c>
      <c r="H795" s="121">
        <f t="shared" ref="H795:K795" si="207">SUM(H796:H798)</f>
        <v>0</v>
      </c>
      <c r="I795" s="121"/>
      <c r="J795" s="121"/>
      <c r="K795" s="121">
        <f t="shared" si="207"/>
        <v>0</v>
      </c>
    </row>
    <row r="796" spans="2:15" s="13" customFormat="1" ht="12.75" x14ac:dyDescent="0.2">
      <c r="B796" s="160">
        <v>33</v>
      </c>
      <c r="C796" s="305" t="s">
        <v>1274</v>
      </c>
      <c r="D796" s="82" t="s">
        <v>1419</v>
      </c>
      <c r="E796" s="165"/>
      <c r="F796" s="165"/>
      <c r="G796" s="165"/>
      <c r="H796" s="166">
        <f>SUMIF(Adat!$AC:$AC,CONCATENATE(61,N757,"0981311"),Adat!$E:$E)*-1</f>
        <v>0</v>
      </c>
      <c r="I796" s="166"/>
      <c r="J796" s="166"/>
      <c r="K796" s="166">
        <f>SUMIF(Adat!$AC:$AC,CONCATENATE(60,N757,"0981311"),Adat!$E:$E)*-1+H796</f>
        <v>0</v>
      </c>
    </row>
    <row r="797" spans="2:15" s="13" customFormat="1" ht="12.75" x14ac:dyDescent="0.2">
      <c r="B797" s="160">
        <v>34</v>
      </c>
      <c r="C797" s="305" t="s">
        <v>1420</v>
      </c>
      <c r="D797" s="84" t="s">
        <v>1421</v>
      </c>
      <c r="E797" s="165"/>
      <c r="F797" s="165"/>
      <c r="G797" s="165"/>
      <c r="H797" s="166">
        <f>SUMIF(Adat!$AC:$AC,CONCATENATE(61,N757,"0981321"),Adat!$E:$E)*-1</f>
        <v>0</v>
      </c>
      <c r="I797" s="166"/>
      <c r="J797" s="166"/>
      <c r="K797" s="166">
        <f>SUMIF(Adat!$AC:$AC,CONCATENATE(60,N757,"0981321"),Adat!$E:$E)*-1+H797</f>
        <v>0</v>
      </c>
    </row>
    <row r="798" spans="2:15" s="13" customFormat="1" ht="12.75" x14ac:dyDescent="0.2">
      <c r="B798" s="160">
        <v>35</v>
      </c>
      <c r="C798" s="319" t="s">
        <v>1275</v>
      </c>
      <c r="D798" s="84" t="s">
        <v>1501</v>
      </c>
      <c r="E798" s="165"/>
      <c r="F798" s="165"/>
      <c r="G798" s="165"/>
      <c r="H798" s="166">
        <f>SUMIF(Adat!$AC:$AC,CONCATENATE(61,N757,"098161"),Adat!$E:$E)*-1</f>
        <v>0</v>
      </c>
      <c r="I798" s="166"/>
      <c r="J798" s="166"/>
      <c r="K798" s="166">
        <f>SUMIF(Adat!$AC:$AC,CONCATENATE(60,N757,"098161"),Adat!$E:$E)*-1+H798</f>
        <v>0</v>
      </c>
    </row>
    <row r="799" spans="2:15" s="13" customFormat="1" ht="12.75" x14ac:dyDescent="0.2">
      <c r="B799" s="160">
        <v>36</v>
      </c>
      <c r="C799" s="154" t="s">
        <v>364</v>
      </c>
      <c r="D799" s="159" t="s">
        <v>1502</v>
      </c>
      <c r="E799" s="120">
        <f>E794+E795</f>
        <v>0</v>
      </c>
      <c r="F799" s="120">
        <f t="shared" ref="F799:G799" si="208">F794+F795</f>
        <v>0</v>
      </c>
      <c r="G799" s="120">
        <f t="shared" si="208"/>
        <v>0</v>
      </c>
      <c r="H799" s="121">
        <f>H794+H795</f>
        <v>0</v>
      </c>
      <c r="I799" s="121"/>
      <c r="J799" s="121"/>
      <c r="K799" s="121">
        <f>K794+K795</f>
        <v>0</v>
      </c>
    </row>
    <row r="800" spans="2:15" x14ac:dyDescent="0.25">
      <c r="B800" s="40"/>
      <c r="C800" s="256"/>
      <c r="D800" s="40"/>
      <c r="E800" s="13"/>
      <c r="F800" s="13"/>
      <c r="G800" s="13"/>
      <c r="H800" s="39"/>
      <c r="I800" s="39"/>
      <c r="J800" s="39"/>
      <c r="K800" s="13"/>
      <c r="L800" s="13"/>
      <c r="M800" s="13"/>
      <c r="N800" s="13"/>
      <c r="O800" s="13"/>
    </row>
    <row r="801" spans="2:15" x14ac:dyDescent="0.25">
      <c r="B801" s="202" t="s">
        <v>1514</v>
      </c>
      <c r="C801" s="260"/>
      <c r="D801" s="260"/>
      <c r="E801" s="13"/>
      <c r="F801" s="13"/>
      <c r="G801" s="13"/>
      <c r="H801" s="260"/>
      <c r="I801" s="260"/>
      <c r="J801" s="260"/>
      <c r="K801" s="13"/>
      <c r="L801" s="13"/>
      <c r="M801" s="13"/>
      <c r="N801" s="13"/>
      <c r="O801" s="13"/>
    </row>
    <row r="802" spans="2:15" x14ac:dyDescent="0.25">
      <c r="B802" s="40"/>
      <c r="C802" s="256"/>
      <c r="D802" s="40"/>
      <c r="E802" s="13"/>
      <c r="F802" s="13"/>
      <c r="G802" s="13"/>
      <c r="H802" s="39"/>
      <c r="I802" s="39"/>
      <c r="J802" s="39"/>
      <c r="K802" s="13"/>
      <c r="L802" s="13"/>
      <c r="M802" s="13"/>
      <c r="N802" s="13"/>
      <c r="O802" s="13"/>
    </row>
    <row r="803" spans="2:15" s="13" customFormat="1" ht="12.75" x14ac:dyDescent="0.2">
      <c r="B803" s="77"/>
      <c r="C803" s="77" t="s">
        <v>350</v>
      </c>
      <c r="D803" s="77" t="s">
        <v>351</v>
      </c>
      <c r="E803" s="77" t="s">
        <v>470</v>
      </c>
      <c r="F803" s="77" t="s">
        <v>471</v>
      </c>
      <c r="G803" s="77" t="s">
        <v>44</v>
      </c>
      <c r="H803" s="77" t="s">
        <v>42</v>
      </c>
      <c r="I803" s="77"/>
      <c r="J803" s="77"/>
      <c r="K803" s="77" t="s">
        <v>511</v>
      </c>
    </row>
    <row r="804" spans="2:15" s="13" customFormat="1" ht="38.25" x14ac:dyDescent="0.2">
      <c r="B804" s="68">
        <v>1</v>
      </c>
      <c r="C804" s="78" t="s">
        <v>348</v>
      </c>
      <c r="D804" s="78" t="s">
        <v>349</v>
      </c>
      <c r="E804" s="69" t="str">
        <f>CONCATENATE(PAR!$H$12," évi 
teljesítés")</f>
        <v>2022. évi 
teljesítés</v>
      </c>
      <c r="F804" s="69" t="str">
        <f>CONCATENATE(PAR!$H$11," évi 
teljesítés")</f>
        <v>2023. évi 
teljesítés</v>
      </c>
      <c r="G804" s="69" t="str">
        <f>CONCATENATE(PAR!$H$10," évi 
teljesítés")</f>
        <v>2024. évi 
teljesítés</v>
      </c>
      <c r="H804" s="163" t="str">
        <f>CONCATENATE(PAR!$H$3," évi
eredeti 
előirányzat")</f>
        <v>2025. évi
eredeti 
előirányzat</v>
      </c>
      <c r="I804" s="163"/>
      <c r="J804" s="163"/>
      <c r="K804" s="163" t="str">
        <f>CONCATENATE(PAR!$H$3," évi
módosított 
előirányzat")</f>
        <v>2025. évi
módosított 
előirányzat</v>
      </c>
    </row>
    <row r="805" spans="2:15" s="13" customFormat="1" ht="12.75" x14ac:dyDescent="0.2">
      <c r="B805" s="160">
        <v>2</v>
      </c>
      <c r="C805" s="78" t="s">
        <v>352</v>
      </c>
      <c r="D805" s="92" t="s">
        <v>1444</v>
      </c>
      <c r="E805" s="120">
        <f>SUM(E806:E810)</f>
        <v>0</v>
      </c>
      <c r="F805" s="120">
        <f>SUM(F806:F810)</f>
        <v>0</v>
      </c>
      <c r="G805" s="120">
        <f>SUM(G806:G810)</f>
        <v>0</v>
      </c>
      <c r="H805" s="121">
        <f>SUM(H806:H810)</f>
        <v>0</v>
      </c>
      <c r="I805" s="121"/>
      <c r="J805" s="121"/>
      <c r="K805" s="121">
        <f t="shared" ref="K805" si="209">SUM(K806:K810)</f>
        <v>0</v>
      </c>
    </row>
    <row r="806" spans="2:15" s="13" customFormat="1" ht="12.75" x14ac:dyDescent="0.2">
      <c r="B806" s="160">
        <v>3</v>
      </c>
      <c r="C806" s="305" t="s">
        <v>315</v>
      </c>
      <c r="D806" s="93" t="s">
        <v>342</v>
      </c>
      <c r="E806" s="165"/>
      <c r="F806" s="165"/>
      <c r="G806" s="285"/>
      <c r="H806" s="72">
        <f>SUMIF(Adat!$AE:$AE,CONCATENATE(61,N757,"051"),Adat!$E:$E)</f>
        <v>0</v>
      </c>
      <c r="I806" s="72"/>
      <c r="J806" s="72"/>
      <c r="K806" s="72">
        <f>SUMIF(Adat!$AE:$AE,CONCATENATE(60,N757,"051"),Adat!$E:$E)+H806</f>
        <v>0</v>
      </c>
    </row>
    <row r="807" spans="2:15" s="13" customFormat="1" ht="12.75" x14ac:dyDescent="0.2">
      <c r="B807" s="160">
        <v>4</v>
      </c>
      <c r="C807" s="305" t="s">
        <v>317</v>
      </c>
      <c r="D807" s="93" t="s">
        <v>395</v>
      </c>
      <c r="E807" s="165"/>
      <c r="F807" s="165"/>
      <c r="G807" s="285"/>
      <c r="H807" s="72">
        <f>SUMIF(Adat!$AE:$AE,CONCATENATE(61,N757,"052"),Adat!$E:$E)</f>
        <v>0</v>
      </c>
      <c r="I807" s="72"/>
      <c r="J807" s="72"/>
      <c r="K807" s="72">
        <f>SUMIF(Adat!$AE:$AE,CONCATENATE(60,N757,"052"),Adat!$E:$E)+H807</f>
        <v>0</v>
      </c>
    </row>
    <row r="808" spans="2:15" s="13" customFormat="1" ht="12.75" x14ac:dyDescent="0.2">
      <c r="B808" s="160">
        <v>5</v>
      </c>
      <c r="C808" s="305" t="s">
        <v>4</v>
      </c>
      <c r="D808" s="93" t="s">
        <v>344</v>
      </c>
      <c r="E808" s="165"/>
      <c r="F808" s="165"/>
      <c r="G808" s="285"/>
      <c r="H808" s="72">
        <f>SUMIF(Adat!$AE:$AE,CONCATENATE(61,N757,"053"),Adat!$E:$E)</f>
        <v>0</v>
      </c>
      <c r="I808" s="72"/>
      <c r="J808" s="72"/>
      <c r="K808" s="72">
        <f>SUMIF(Adat!$AE:$AE,CONCATENATE(60,N757,"053"),Adat!$E:$E)+H808</f>
        <v>0</v>
      </c>
    </row>
    <row r="809" spans="2:15" s="13" customFormat="1" ht="12.75" x14ac:dyDescent="0.2">
      <c r="B809" s="160">
        <v>6</v>
      </c>
      <c r="C809" s="305" t="s">
        <v>6</v>
      </c>
      <c r="D809" s="93" t="s">
        <v>345</v>
      </c>
      <c r="E809" s="165"/>
      <c r="F809" s="165"/>
      <c r="G809" s="285"/>
      <c r="H809" s="72">
        <f>SUMIF(Adat!$AE:$AE,CONCATENATE(61,N757,"054"),Adat!$E:$E)</f>
        <v>0</v>
      </c>
      <c r="I809" s="72"/>
      <c r="J809" s="72"/>
      <c r="K809" s="72">
        <f>SUMIF(Adat!$AE:$AE,CONCATENATE(60,N757,"054"),Adat!$E:$E)+H809</f>
        <v>0</v>
      </c>
    </row>
    <row r="810" spans="2:15" s="13" customFormat="1" ht="12.75" x14ac:dyDescent="0.2">
      <c r="B810" s="160">
        <v>7</v>
      </c>
      <c r="C810" s="305" t="s">
        <v>8</v>
      </c>
      <c r="D810" s="93" t="s">
        <v>321</v>
      </c>
      <c r="E810" s="165"/>
      <c r="F810" s="165"/>
      <c r="G810" s="285"/>
      <c r="H810" s="72">
        <f>SUMIF(Adat!$AE:$AE,CONCATENATE(61,N757,"055"),Adat!$E:$E)</f>
        <v>0</v>
      </c>
      <c r="I810" s="72"/>
      <c r="J810" s="72"/>
      <c r="K810" s="72">
        <f>SUMIF(Adat!$AE:$AE,CONCATENATE(60,N757,"055"),Adat!$E:$E)+H810</f>
        <v>0</v>
      </c>
    </row>
    <row r="811" spans="2:15" s="13" customFormat="1" ht="12.75" x14ac:dyDescent="0.2">
      <c r="B811" s="160">
        <v>8</v>
      </c>
      <c r="C811" s="78" t="s">
        <v>358</v>
      </c>
      <c r="D811" s="92" t="s">
        <v>1447</v>
      </c>
      <c r="E811" s="120">
        <f>SUM(E812:E814)</f>
        <v>0</v>
      </c>
      <c r="F811" s="120">
        <f t="shared" ref="F811:K811" si="210">SUM(F812:F814)</f>
        <v>0</v>
      </c>
      <c r="G811" s="120">
        <f t="shared" si="210"/>
        <v>0</v>
      </c>
      <c r="H811" s="121">
        <f t="shared" si="210"/>
        <v>0</v>
      </c>
      <c r="I811" s="121"/>
      <c r="J811" s="121"/>
      <c r="K811" s="121">
        <f t="shared" si="210"/>
        <v>0</v>
      </c>
    </row>
    <row r="812" spans="2:15" s="13" customFormat="1" ht="12.75" x14ac:dyDescent="0.2">
      <c r="B812" s="160">
        <v>9</v>
      </c>
      <c r="C812" s="305" t="s">
        <v>10</v>
      </c>
      <c r="D812" s="93" t="s">
        <v>322</v>
      </c>
      <c r="E812" s="165"/>
      <c r="F812" s="165"/>
      <c r="G812" s="285"/>
      <c r="H812" s="72">
        <f>SUMIF(Adat!$AE:$AE,CONCATENATE(61,N757,"056"),Adat!$E:$E)</f>
        <v>0</v>
      </c>
      <c r="I812" s="72"/>
      <c r="J812" s="72"/>
      <c r="K812" s="72">
        <f>SUMIF(Adat!$AE:$AE,CONCATENATE(60,N757,"056"),Adat!$E:$E)+H812</f>
        <v>0</v>
      </c>
    </row>
    <row r="813" spans="2:15" s="13" customFormat="1" ht="12.75" x14ac:dyDescent="0.2">
      <c r="B813" s="160">
        <v>10</v>
      </c>
      <c r="C813" s="305" t="s">
        <v>12</v>
      </c>
      <c r="D813" s="93" t="s">
        <v>323</v>
      </c>
      <c r="E813" s="165"/>
      <c r="F813" s="165"/>
      <c r="G813" s="165"/>
      <c r="H813" s="72">
        <f>SUMIF(Adat!$AE:$AE,CONCATENATE(61,N757,"057"),Adat!$E:$E)</f>
        <v>0</v>
      </c>
      <c r="I813" s="72"/>
      <c r="J813" s="72"/>
      <c r="K813" s="72">
        <f>SUMIF(Adat!$AE:$AE,CONCATENATE(60,N757,"057"),Adat!$E:$E)+H813</f>
        <v>0</v>
      </c>
    </row>
    <row r="814" spans="2:15" s="13" customFormat="1" ht="12.75" x14ac:dyDescent="0.2">
      <c r="B814" s="160">
        <v>11</v>
      </c>
      <c r="C814" s="305" t="s">
        <v>15</v>
      </c>
      <c r="D814" s="84" t="s">
        <v>324</v>
      </c>
      <c r="E814" s="165"/>
      <c r="F814" s="165"/>
      <c r="G814" s="165"/>
      <c r="H814" s="72">
        <f>SUMIF(Adat!$AE:$AE,CONCATENATE(61,N757,"058"),Adat!$E:$E)</f>
        <v>0</v>
      </c>
      <c r="I814" s="72"/>
      <c r="J814" s="72"/>
      <c r="K814" s="72">
        <f>SUMIF(Adat!$AE:$AE,CONCATENATE(60,N757,"058"),Adat!$E:$E)+H814</f>
        <v>0</v>
      </c>
    </row>
    <row r="815" spans="2:15" s="13" customFormat="1" ht="12.75" x14ac:dyDescent="0.2">
      <c r="B815" s="160">
        <v>12</v>
      </c>
      <c r="C815" s="154" t="s">
        <v>364</v>
      </c>
      <c r="D815" s="86" t="s">
        <v>325</v>
      </c>
      <c r="E815" s="120">
        <v>0</v>
      </c>
      <c r="F815" s="120">
        <v>0</v>
      </c>
      <c r="G815" s="120">
        <v>0</v>
      </c>
      <c r="H815" s="71">
        <f>SUMIF(Adat!$AE:$AE,CONCATENATE(61,N757,"059"),Adat!$E:$E)</f>
        <v>0</v>
      </c>
      <c r="I815" s="71"/>
      <c r="J815" s="71"/>
      <c r="K815" s="71">
        <f>SUMIF(Adat!$AE:$AE,CONCATENATE(60,N757,"059"),Adat!$E:$E)+H815</f>
        <v>0</v>
      </c>
    </row>
    <row r="816" spans="2:15" s="13" customFormat="1" ht="12.75" x14ac:dyDescent="0.2">
      <c r="B816" s="160">
        <v>13</v>
      </c>
      <c r="C816" s="154" t="s">
        <v>403</v>
      </c>
      <c r="D816" s="159" t="s">
        <v>497</v>
      </c>
      <c r="E816" s="120">
        <f>E805+E811+E815</f>
        <v>0</v>
      </c>
      <c r="F816" s="120">
        <f>F805+F811+F815</f>
        <v>0</v>
      </c>
      <c r="G816" s="120">
        <f>G805+G811+G815</f>
        <v>0</v>
      </c>
      <c r="H816" s="121">
        <f>H805+H811+H815</f>
        <v>0</v>
      </c>
      <c r="I816" s="121"/>
      <c r="J816" s="121"/>
      <c r="K816" s="121">
        <f>K805+K811+K815</f>
        <v>0</v>
      </c>
    </row>
    <row r="817" spans="2:15" x14ac:dyDescent="0.25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</row>
    <row r="818" spans="2:15" x14ac:dyDescent="0.25">
      <c r="B818" s="511" t="str">
        <f>O818</f>
        <v/>
      </c>
      <c r="C818" s="511"/>
      <c r="D818" s="511"/>
      <c r="E818" s="511"/>
      <c r="F818" s="511"/>
      <c r="G818" s="511"/>
      <c r="H818" s="511"/>
      <c r="I818" s="511"/>
      <c r="J818" s="511"/>
      <c r="K818" s="511"/>
      <c r="L818" s="13"/>
      <c r="M818" s="318">
        <v>13</v>
      </c>
      <c r="N818" s="320">
        <f>VLOOKUP(M818,Info!$B$5:$D$55,3)</f>
        <v>0</v>
      </c>
      <c r="O818" s="321" t="str">
        <f>VLOOKUP(M818,Info!$B$5:$D$55,2)</f>
        <v/>
      </c>
    </row>
    <row r="819" spans="2:15" x14ac:dyDescent="0.25">
      <c r="B819" s="534" t="str">
        <f>CONCATENATE(PAR!$H$3," évi költségvetés és az előző három év összevont mérlege")</f>
        <v>2025. évi költségvetés és az előző három év összevont mérlege</v>
      </c>
      <c r="C819" s="534"/>
      <c r="D819" s="534"/>
      <c r="E819" s="534"/>
      <c r="F819" s="534"/>
      <c r="G819" s="534"/>
      <c r="H819" s="534"/>
      <c r="I819" s="534"/>
      <c r="J819" s="534"/>
      <c r="K819" s="534"/>
      <c r="L819" s="13"/>
      <c r="M819" s="13"/>
      <c r="N819" s="13"/>
      <c r="O819" s="13"/>
    </row>
    <row r="820" spans="2:15" x14ac:dyDescent="0.25">
      <c r="B820" s="535" t="s">
        <v>337</v>
      </c>
      <c r="C820" s="535"/>
      <c r="D820" s="535"/>
      <c r="E820" s="535"/>
      <c r="F820" s="535"/>
      <c r="G820" s="535"/>
      <c r="H820" s="535"/>
      <c r="I820" s="535"/>
      <c r="J820" s="535"/>
      <c r="K820" s="535"/>
      <c r="L820" s="13"/>
      <c r="M820" s="13"/>
      <c r="N820" s="13"/>
      <c r="O820" s="13"/>
    </row>
    <row r="821" spans="2:15" x14ac:dyDescent="0.25">
      <c r="B821" s="40"/>
      <c r="C821" s="256"/>
      <c r="D821" s="40"/>
      <c r="E821" s="39"/>
      <c r="F821" s="40"/>
      <c r="G821" s="40"/>
      <c r="H821" s="40"/>
      <c r="I821" s="40"/>
      <c r="J821" s="40"/>
      <c r="K821" s="13"/>
      <c r="L821" s="13"/>
      <c r="M821" s="13"/>
      <c r="N821" s="13"/>
      <c r="O821" s="13"/>
    </row>
    <row r="822" spans="2:15" x14ac:dyDescent="0.25">
      <c r="B822" s="201" t="s">
        <v>1195</v>
      </c>
      <c r="C822" s="201"/>
      <c r="D822" s="201"/>
      <c r="E822" s="201"/>
      <c r="F822" s="201"/>
      <c r="G822" s="201"/>
      <c r="H822" s="201"/>
      <c r="I822" s="201"/>
      <c r="J822" s="201"/>
      <c r="K822" s="201"/>
      <c r="L822" s="13"/>
      <c r="M822" s="13"/>
      <c r="N822" s="13"/>
      <c r="O822" s="13"/>
    </row>
    <row r="823" spans="2:15" x14ac:dyDescent="0.25">
      <c r="B823" s="40"/>
      <c r="C823" s="256"/>
      <c r="D823" s="40"/>
      <c r="E823" s="39"/>
      <c r="F823" s="40"/>
      <c r="G823" s="40"/>
      <c r="H823" s="40"/>
      <c r="I823" s="40"/>
      <c r="J823" s="40"/>
      <c r="K823" s="13"/>
      <c r="L823" s="13"/>
      <c r="M823" s="13"/>
      <c r="N823" s="13"/>
      <c r="O823" s="13"/>
    </row>
    <row r="824" spans="2:15" s="13" customFormat="1" ht="12.75" x14ac:dyDescent="0.2">
      <c r="B824" s="77"/>
      <c r="C824" s="77" t="s">
        <v>350</v>
      </c>
      <c r="D824" s="77" t="s">
        <v>351</v>
      </c>
      <c r="E824" s="77" t="s">
        <v>470</v>
      </c>
      <c r="F824" s="77" t="s">
        <v>471</v>
      </c>
      <c r="G824" s="77" t="s">
        <v>44</v>
      </c>
      <c r="H824" s="77" t="s">
        <v>42</v>
      </c>
      <c r="I824" s="77"/>
      <c r="J824" s="77"/>
      <c r="K824" s="77" t="s">
        <v>511</v>
      </c>
    </row>
    <row r="825" spans="2:15" s="13" customFormat="1" ht="38.25" x14ac:dyDescent="0.2">
      <c r="B825" s="68">
        <v>1</v>
      </c>
      <c r="C825" s="78" t="s">
        <v>348</v>
      </c>
      <c r="D825" s="78" t="s">
        <v>349</v>
      </c>
      <c r="E825" s="69" t="str">
        <f>CONCATENATE(PAR!$H$12," évi 
teljesítés")</f>
        <v>2022. évi 
teljesítés</v>
      </c>
      <c r="F825" s="69" t="str">
        <f>CONCATENATE(PAR!$H$11," évi 
teljesítés")</f>
        <v>2023. évi 
teljesítés</v>
      </c>
      <c r="G825" s="69" t="str">
        <f>CONCATENATE(PAR!$H$10," évi 
teljesítés")</f>
        <v>2024. évi 
teljesítés</v>
      </c>
      <c r="H825" s="163" t="str">
        <f>CONCATENATE(PAR!$H$3," évi
eredeti 
előirányzat")</f>
        <v>2025. évi
eredeti 
előirányzat</v>
      </c>
      <c r="I825" s="163"/>
      <c r="J825" s="163"/>
      <c r="K825" s="163" t="str">
        <f>CONCATENATE(PAR!$H$3," évi
módosított 
előirányzat")</f>
        <v>2025. évi
módosított 
előirányzat</v>
      </c>
    </row>
    <row r="826" spans="2:15" s="13" customFormat="1" ht="12.75" x14ac:dyDescent="0.2">
      <c r="B826" s="160">
        <v>2</v>
      </c>
      <c r="C826" s="79" t="s">
        <v>30</v>
      </c>
      <c r="D826" s="79" t="s">
        <v>329</v>
      </c>
      <c r="E826" s="120">
        <f>SUM(E827:E839)</f>
        <v>0</v>
      </c>
      <c r="F826" s="120">
        <f t="shared" ref="F826" si="211">SUM(F827:F839)</f>
        <v>0</v>
      </c>
      <c r="G826" s="120">
        <f>SUM(G827:G839)</f>
        <v>0</v>
      </c>
      <c r="H826" s="121">
        <f t="shared" ref="H826" si="212">SUM(H827:H839)</f>
        <v>0</v>
      </c>
      <c r="I826" s="121"/>
      <c r="J826" s="121"/>
      <c r="K826" s="121">
        <f>SUM(K827:K839)</f>
        <v>0</v>
      </c>
    </row>
    <row r="827" spans="2:15" s="13" customFormat="1" ht="12.75" x14ac:dyDescent="0.2">
      <c r="B827" s="160">
        <v>3</v>
      </c>
      <c r="C827" s="305" t="s">
        <v>1309</v>
      </c>
      <c r="D827" s="82" t="s">
        <v>1356</v>
      </c>
      <c r="E827" s="165"/>
      <c r="F827" s="165"/>
      <c r="G827" s="165"/>
      <c r="H827" s="166">
        <f>SUMIF(Adat!$AC:$AC,CONCATENATE(61,N818,"094011"),Adat!$E:$E)*-1</f>
        <v>0</v>
      </c>
      <c r="I827" s="166"/>
      <c r="J827" s="166"/>
      <c r="K827" s="166">
        <f>SUMIF(Adat!$AC:$AC,CONCATENATE(60,N818,"094011"),Adat!$E:$E)*-1+H827</f>
        <v>0</v>
      </c>
    </row>
    <row r="828" spans="2:15" s="13" customFormat="1" ht="12.75" x14ac:dyDescent="0.2">
      <c r="B828" s="160">
        <v>4</v>
      </c>
      <c r="C828" s="305" t="s">
        <v>1279</v>
      </c>
      <c r="D828" s="82" t="s">
        <v>1357</v>
      </c>
      <c r="E828" s="165"/>
      <c r="F828" s="165"/>
      <c r="G828" s="165"/>
      <c r="H828" s="166">
        <f>SUMIF(Adat!$AC:$AC,CONCATENATE(61,N818,"094021"),Adat!$E:$E)*-1</f>
        <v>0</v>
      </c>
      <c r="I828" s="166"/>
      <c r="J828" s="166"/>
      <c r="K828" s="166">
        <f>SUMIF(Adat!$AC:$AC,CONCATENATE(60,N818,"094021"),Adat!$E:$E)*-1+H828</f>
        <v>0</v>
      </c>
    </row>
    <row r="829" spans="2:15" s="13" customFormat="1" ht="12.75" x14ac:dyDescent="0.2">
      <c r="B829" s="160">
        <v>5</v>
      </c>
      <c r="C829" s="305" t="s">
        <v>1272</v>
      </c>
      <c r="D829" s="82" t="s">
        <v>1358</v>
      </c>
      <c r="E829" s="165"/>
      <c r="F829" s="165"/>
      <c r="G829" s="165"/>
      <c r="H829" s="166">
        <f>SUMIF(Adat!$AC:$AC,CONCATENATE(61,N818,"094031"),Adat!$E:$E)*-1</f>
        <v>0</v>
      </c>
      <c r="I829" s="166"/>
      <c r="J829" s="166"/>
      <c r="K829" s="166">
        <f>SUMIF(Adat!$AC:$AC,CONCATENATE(60,N818,"094031"),Adat!$E:$E)*-1+H829</f>
        <v>0</v>
      </c>
    </row>
    <row r="830" spans="2:15" s="13" customFormat="1" ht="12.75" x14ac:dyDescent="0.2">
      <c r="B830" s="160">
        <v>6</v>
      </c>
      <c r="C830" s="305" t="s">
        <v>1359</v>
      </c>
      <c r="D830" s="82" t="s">
        <v>1360</v>
      </c>
      <c r="E830" s="165"/>
      <c r="F830" s="165"/>
      <c r="G830" s="165"/>
      <c r="H830" s="166">
        <f>SUMIF(Adat!$AC:$AC,CONCATENATE(61,N818,"094041"),Adat!$E:$E)*-1</f>
        <v>0</v>
      </c>
      <c r="I830" s="166"/>
      <c r="J830" s="166"/>
      <c r="K830" s="166">
        <f>SUMIF(Adat!$AC:$AC,CONCATENATE(60,N818,"094041"),Adat!$E:$E)*-1+H830</f>
        <v>0</v>
      </c>
    </row>
    <row r="831" spans="2:15" s="13" customFormat="1" ht="12.75" x14ac:dyDescent="0.2">
      <c r="B831" s="160">
        <v>7</v>
      </c>
      <c r="C831" s="305" t="s">
        <v>1261</v>
      </c>
      <c r="D831" s="82" t="s">
        <v>1361</v>
      </c>
      <c r="E831" s="165"/>
      <c r="F831" s="165"/>
      <c r="G831" s="165"/>
      <c r="H831" s="166">
        <f>SUMIF(Adat!$AC:$AC,CONCATENATE(61,N818,"094051"),Adat!$E:$E)*-1</f>
        <v>0</v>
      </c>
      <c r="I831" s="166"/>
      <c r="J831" s="166"/>
      <c r="K831" s="166">
        <f>SUMIF(Adat!$AC:$AC,CONCATENATE(60,N818,"094051"),Adat!$E:$E)*-1+H831</f>
        <v>0</v>
      </c>
    </row>
    <row r="832" spans="2:15" s="13" customFormat="1" ht="12.75" x14ac:dyDescent="0.2">
      <c r="B832" s="160">
        <v>8</v>
      </c>
      <c r="C832" s="305" t="s">
        <v>1273</v>
      </c>
      <c r="D832" s="82" t="s">
        <v>1362</v>
      </c>
      <c r="E832" s="165"/>
      <c r="F832" s="165"/>
      <c r="G832" s="165"/>
      <c r="H832" s="166">
        <f>SUMIF(Adat!$AC:$AC,CONCATENATE(61,N818,"094061"),Adat!$E:$E)*-1</f>
        <v>0</v>
      </c>
      <c r="I832" s="166"/>
      <c r="J832" s="166"/>
      <c r="K832" s="166">
        <f>SUMIF(Adat!$AC:$AC,CONCATENATE(60,N818,"094061"),Adat!$E:$E)*-1+H832</f>
        <v>0</v>
      </c>
    </row>
    <row r="833" spans="2:11" s="13" customFormat="1" ht="12.75" x14ac:dyDescent="0.2">
      <c r="B833" s="160">
        <v>9</v>
      </c>
      <c r="C833" s="305" t="s">
        <v>1363</v>
      </c>
      <c r="D833" s="82" t="s">
        <v>1364</v>
      </c>
      <c r="E833" s="165"/>
      <c r="F833" s="165"/>
      <c r="G833" s="165"/>
      <c r="H833" s="166">
        <f>SUMIF(Adat!$AC:$AC,CONCATENATE(61,N818,"094071"),Adat!$E:$E)*-1</f>
        <v>0</v>
      </c>
      <c r="I833" s="166"/>
      <c r="J833" s="166"/>
      <c r="K833" s="166">
        <f>SUMIF(Adat!$AC:$AC,CONCATENATE(60,N818,"094071"),Adat!$E:$E)*-1+H833</f>
        <v>0</v>
      </c>
    </row>
    <row r="834" spans="2:11" s="13" customFormat="1" ht="12.75" x14ac:dyDescent="0.2">
      <c r="B834" s="160">
        <v>10</v>
      </c>
      <c r="C834" s="305" t="s">
        <v>1306</v>
      </c>
      <c r="D834" s="82" t="s">
        <v>1365</v>
      </c>
      <c r="E834" s="165"/>
      <c r="F834" s="165"/>
      <c r="G834" s="165"/>
      <c r="H834" s="166">
        <f>SUMIF(Adat!$AC:$AC,CONCATENATE(61,N818,"0940811"),Adat!$E:$E)*-1</f>
        <v>0</v>
      </c>
      <c r="I834" s="166"/>
      <c r="J834" s="166"/>
      <c r="K834" s="166">
        <f>SUMIF(Adat!$AC:$AC,CONCATENATE(60,N818,"0940811"),Adat!$E:$E)*-1+H834</f>
        <v>0</v>
      </c>
    </row>
    <row r="835" spans="2:11" s="13" customFormat="1" ht="12.75" x14ac:dyDescent="0.2">
      <c r="B835" s="160">
        <v>11</v>
      </c>
      <c r="C835" s="305" t="s">
        <v>1295</v>
      </c>
      <c r="D835" s="82" t="s">
        <v>1366</v>
      </c>
      <c r="E835" s="165"/>
      <c r="F835" s="165"/>
      <c r="G835" s="165"/>
      <c r="H835" s="166">
        <f>SUMIF(Adat!$AC:$AC,CONCATENATE(61,N818,"0940821"),Adat!$E:$E)*-1</f>
        <v>0</v>
      </c>
      <c r="I835" s="166"/>
      <c r="J835" s="166"/>
      <c r="K835" s="166">
        <f>SUMIF(Adat!$AC:$AC,CONCATENATE(60,N818,"0940821"),Adat!$E:$E)*-1+H835</f>
        <v>0</v>
      </c>
    </row>
    <row r="836" spans="2:11" s="13" customFormat="1" ht="12.75" x14ac:dyDescent="0.2">
      <c r="B836" s="160">
        <v>12</v>
      </c>
      <c r="C836" s="305" t="s">
        <v>1367</v>
      </c>
      <c r="D836" s="82" t="s">
        <v>1368</v>
      </c>
      <c r="E836" s="165"/>
      <c r="F836" s="165"/>
      <c r="G836" s="165"/>
      <c r="H836" s="166">
        <f>SUMIF(Adat!$AC:$AC,CONCATENATE(61,N818,"0940911"),Adat!$E:$E)*-1</f>
        <v>0</v>
      </c>
      <c r="I836" s="166"/>
      <c r="J836" s="166"/>
      <c r="K836" s="166">
        <f>SUMIF(Adat!$AC:$AC,CONCATENATE(60,N818,"0940911"),Adat!$E:$E)*-1+H836</f>
        <v>0</v>
      </c>
    </row>
    <row r="837" spans="2:11" s="13" customFormat="1" ht="12.75" x14ac:dyDescent="0.2">
      <c r="B837" s="160">
        <v>13</v>
      </c>
      <c r="C837" s="305" t="s">
        <v>1369</v>
      </c>
      <c r="D837" s="82" t="s">
        <v>1370</v>
      </c>
      <c r="E837" s="165"/>
      <c r="F837" s="165"/>
      <c r="G837" s="165"/>
      <c r="H837" s="166">
        <f>SUMIF(Adat!$AC:$AC,CONCATENATE(61,N818,"0940921"),Adat!$E:$E)*-1</f>
        <v>0</v>
      </c>
      <c r="I837" s="166"/>
      <c r="J837" s="166"/>
      <c r="K837" s="166">
        <f>SUMIF(Adat!$AC:$AC,CONCATENATE(60,N818,"0940921"),Adat!$E:$E)*-1+H837</f>
        <v>0</v>
      </c>
    </row>
    <row r="838" spans="2:11" s="13" customFormat="1" ht="12.75" x14ac:dyDescent="0.2">
      <c r="B838" s="160">
        <v>14</v>
      </c>
      <c r="C838" s="305" t="s">
        <v>1296</v>
      </c>
      <c r="D838" s="82" t="s">
        <v>1371</v>
      </c>
      <c r="E838" s="165"/>
      <c r="F838" s="165"/>
      <c r="G838" s="165"/>
      <c r="H838" s="166">
        <f>SUMIF(Adat!$AC:$AC,CONCATENATE(61,N818,"094101"),Adat!$E:$E)*-1</f>
        <v>0</v>
      </c>
      <c r="I838" s="166"/>
      <c r="J838" s="166"/>
      <c r="K838" s="166">
        <f>SUMIF(Adat!$AC:$AC,CONCATENATE(60,N818,"094101"),Adat!$E:$E)*-1+H838</f>
        <v>0</v>
      </c>
    </row>
    <row r="839" spans="2:11" s="13" customFormat="1" ht="12.75" x14ac:dyDescent="0.2">
      <c r="B839" s="160">
        <v>15</v>
      </c>
      <c r="C839" s="305" t="s">
        <v>1297</v>
      </c>
      <c r="D839" s="84" t="s">
        <v>1372</v>
      </c>
      <c r="E839" s="165"/>
      <c r="F839" s="165"/>
      <c r="G839" s="165"/>
      <c r="H839" s="166">
        <f>SUMIF(Adat!$AC:$AC,CONCATENATE(61,N818,"094111"),Adat!$E:$E)*-1</f>
        <v>0</v>
      </c>
      <c r="I839" s="166"/>
      <c r="J839" s="166"/>
      <c r="K839" s="166">
        <f>SUMIF(Adat!$AC:$AC,CONCATENATE(60,N818,"094111"),Adat!$E:$E)*-1+H839</f>
        <v>0</v>
      </c>
    </row>
    <row r="840" spans="2:11" s="13" customFormat="1" ht="12.75" x14ac:dyDescent="0.2">
      <c r="B840" s="160">
        <v>16</v>
      </c>
      <c r="C840" s="78" t="s">
        <v>1328</v>
      </c>
      <c r="D840" s="85" t="s">
        <v>437</v>
      </c>
      <c r="E840" s="120">
        <f>SUM(E841:E843)</f>
        <v>0</v>
      </c>
      <c r="F840" s="120">
        <f t="shared" ref="F840" si="213">SUM(F841:F843)</f>
        <v>0</v>
      </c>
      <c r="G840" s="120">
        <f>SUM(G841:G843)</f>
        <v>0</v>
      </c>
      <c r="H840" s="121">
        <f t="shared" ref="H840" si="214">SUM(H841:H843)</f>
        <v>0</v>
      </c>
      <c r="I840" s="121"/>
      <c r="J840" s="121"/>
      <c r="K840" s="121">
        <f>SUM(K841:K843)</f>
        <v>0</v>
      </c>
    </row>
    <row r="841" spans="2:11" s="13" customFormat="1" ht="12.75" x14ac:dyDescent="0.2">
      <c r="B841" s="160">
        <v>17</v>
      </c>
      <c r="C841" s="305" t="s">
        <v>1329</v>
      </c>
      <c r="D841" s="82" t="s">
        <v>1330</v>
      </c>
      <c r="E841" s="165"/>
      <c r="F841" s="165"/>
      <c r="G841" s="165"/>
      <c r="H841" s="166">
        <f>SUMIF(Adat!$AC:$AC,CONCATENATE(61,N818,"09121"),Adat!$E:$E)*-1</f>
        <v>0</v>
      </c>
      <c r="I841" s="166"/>
      <c r="J841" s="166"/>
      <c r="K841" s="166">
        <f>SUMIF(Adat!$AC:$AC,CONCATENATE(60,N818,"09121"),Adat!$E:$E)*-1+H841</f>
        <v>0</v>
      </c>
    </row>
    <row r="842" spans="2:11" s="13" customFormat="1" ht="12.75" x14ac:dyDescent="0.2">
      <c r="B842" s="160">
        <v>18</v>
      </c>
      <c r="C842" s="305" t="s">
        <v>1335</v>
      </c>
      <c r="D842" s="82" t="s">
        <v>1336</v>
      </c>
      <c r="E842" s="165"/>
      <c r="F842" s="165"/>
      <c r="G842" s="165"/>
      <c r="H842" s="166">
        <f>SUMIF(Adat!$AC:$AC,CONCATENATE(61,N818,"09151"),Adat!$E:$E)*-1</f>
        <v>0</v>
      </c>
      <c r="I842" s="166"/>
      <c r="J842" s="166"/>
      <c r="K842" s="166">
        <f>SUMIF(Adat!$AC:$AC,CONCATENATE(60,N818,"09151"),Adat!$E:$E)*-1+H842</f>
        <v>0</v>
      </c>
    </row>
    <row r="843" spans="2:11" s="13" customFormat="1" ht="12.75" x14ac:dyDescent="0.2">
      <c r="B843" s="160">
        <v>19</v>
      </c>
      <c r="C843" s="305" t="s">
        <v>1278</v>
      </c>
      <c r="D843" s="82" t="s">
        <v>1337</v>
      </c>
      <c r="E843" s="165"/>
      <c r="F843" s="165"/>
      <c r="G843" s="165"/>
      <c r="H843" s="166">
        <f>SUMIF(Adat!$AC:$AC,CONCATENATE(61,N818,"09161"),Adat!$E:$E)*-1</f>
        <v>0</v>
      </c>
      <c r="I843" s="166"/>
      <c r="J843" s="166"/>
      <c r="K843" s="166">
        <f>SUMIF(Adat!$AC:$AC,CONCATENATE(60,N818,"09161"),Adat!$E:$E)*-1+H843</f>
        <v>0</v>
      </c>
    </row>
    <row r="844" spans="2:11" s="13" customFormat="1" ht="12.75" x14ac:dyDescent="0.2">
      <c r="B844" s="160">
        <v>20</v>
      </c>
      <c r="C844" s="79" t="s">
        <v>27</v>
      </c>
      <c r="D844" s="79" t="s">
        <v>328</v>
      </c>
      <c r="E844" s="120">
        <v>0</v>
      </c>
      <c r="F844" s="120">
        <v>0</v>
      </c>
      <c r="G844" s="120">
        <v>0</v>
      </c>
      <c r="H844" s="71">
        <f>SUMIF(Adat!$AE:$AE,CONCATENATE(61,N818,"093"),Adat!$E:$E)*-1</f>
        <v>0</v>
      </c>
      <c r="I844" s="71"/>
      <c r="J844" s="71"/>
      <c r="K844" s="71">
        <f>SUMIF(Adat!$AE:$AE,CONCATENATE(60,N818,"093"),Adat!$E:$E)*-1+H844</f>
        <v>0</v>
      </c>
    </row>
    <row r="845" spans="2:11" s="13" customFormat="1" ht="12.75" x14ac:dyDescent="0.2">
      <c r="B845" s="160">
        <v>21</v>
      </c>
      <c r="C845" s="79" t="s">
        <v>24</v>
      </c>
      <c r="D845" s="79" t="s">
        <v>449</v>
      </c>
      <c r="E845" s="120">
        <f>SUM(E846:E848)</f>
        <v>0</v>
      </c>
      <c r="F845" s="120">
        <f t="shared" ref="F845:G845" si="215">SUM(F846:F848)</f>
        <v>0</v>
      </c>
      <c r="G845" s="120">
        <f t="shared" si="215"/>
        <v>0</v>
      </c>
      <c r="H845" s="121">
        <f>SUM(H846:H848)</f>
        <v>0</v>
      </c>
      <c r="I845" s="121"/>
      <c r="J845" s="121"/>
      <c r="K845" s="121">
        <f t="shared" ref="K845" si="216">SUM(K846:K848)</f>
        <v>0</v>
      </c>
    </row>
    <row r="846" spans="2:11" s="13" customFormat="1" ht="12.75" x14ac:dyDescent="0.2">
      <c r="B846" s="160">
        <v>22</v>
      </c>
      <c r="C846" s="305" t="s">
        <v>1339</v>
      </c>
      <c r="D846" s="82" t="s">
        <v>1340</v>
      </c>
      <c r="E846" s="165"/>
      <c r="F846" s="165"/>
      <c r="G846" s="165"/>
      <c r="H846" s="166">
        <f>SUMIF(Adat!$AC:$AC,CONCATENATE(61,N818,"09211"),Adat!$E:$E)*-1</f>
        <v>0</v>
      </c>
      <c r="I846" s="166"/>
      <c r="J846" s="166"/>
      <c r="K846" s="166">
        <f>SUMIF(Adat!$AC:$AC,CONCATENATE(60,N818,"09211"),Adat!$E:$E)*-1+H846</f>
        <v>0</v>
      </c>
    </row>
    <row r="847" spans="2:11" s="13" customFormat="1" ht="12.75" x14ac:dyDescent="0.2">
      <c r="B847" s="160">
        <v>23</v>
      </c>
      <c r="C847" s="305" t="s">
        <v>1345</v>
      </c>
      <c r="D847" s="82" t="s">
        <v>1346</v>
      </c>
      <c r="E847" s="165"/>
      <c r="F847" s="165"/>
      <c r="G847" s="165"/>
      <c r="H847" s="166">
        <f>SUMIF(Adat!$AC:$AC,CONCATENATE(61,N818,"09241"),Adat!$E:$E)*-1</f>
        <v>0</v>
      </c>
      <c r="I847" s="166"/>
      <c r="J847" s="166"/>
      <c r="K847" s="166">
        <f>SUMIF(Adat!$AC:$AC,CONCATENATE(60,N818,"09241"),Adat!$E:$E)*-1+H847</f>
        <v>0</v>
      </c>
    </row>
    <row r="848" spans="2:11" s="13" customFormat="1" ht="12.75" x14ac:dyDescent="0.2">
      <c r="B848" s="160">
        <v>24</v>
      </c>
      <c r="C848" s="305" t="s">
        <v>1255</v>
      </c>
      <c r="D848" s="82" t="s">
        <v>1347</v>
      </c>
      <c r="E848" s="165"/>
      <c r="F848" s="165"/>
      <c r="G848" s="165"/>
      <c r="H848" s="166">
        <f>SUMIF(Adat!$AC:$AC,CONCATENATE(61,N818,"09251"),Adat!$E:$E)*-1</f>
        <v>0</v>
      </c>
      <c r="I848" s="166"/>
      <c r="J848" s="166"/>
      <c r="K848" s="166">
        <f>SUMIF(Adat!$AC:$AC,CONCATENATE(60,N818,"09251"),Adat!$E:$E)*-1+H848</f>
        <v>0</v>
      </c>
    </row>
    <row r="849" spans="2:15" s="13" customFormat="1" ht="12.75" x14ac:dyDescent="0.2">
      <c r="B849" s="160">
        <v>25</v>
      </c>
      <c r="C849" s="79" t="s">
        <v>33</v>
      </c>
      <c r="D849" s="79" t="s">
        <v>330</v>
      </c>
      <c r="E849" s="120">
        <f>SUM(E850:E852)</f>
        <v>0</v>
      </c>
      <c r="F849" s="120">
        <f t="shared" ref="F849:K849" si="217">SUM(F850:F852)</f>
        <v>0</v>
      </c>
      <c r="G849" s="120">
        <f t="shared" si="217"/>
        <v>0</v>
      </c>
      <c r="H849" s="121">
        <f t="shared" si="217"/>
        <v>0</v>
      </c>
      <c r="I849" s="121"/>
      <c r="J849" s="121"/>
      <c r="K849" s="121">
        <f t="shared" si="217"/>
        <v>0</v>
      </c>
    </row>
    <row r="850" spans="2:15" s="13" customFormat="1" ht="12.75" x14ac:dyDescent="0.2">
      <c r="B850" s="160">
        <v>26</v>
      </c>
      <c r="C850" s="305" t="s">
        <v>1373</v>
      </c>
      <c r="D850" s="82" t="s">
        <v>1374</v>
      </c>
      <c r="E850" s="165"/>
      <c r="F850" s="165"/>
      <c r="G850" s="165"/>
      <c r="H850" s="166">
        <f>SUMIF(Adat!$AC:$AC,CONCATENATE(61,N818,"09511"),Adat!$E:$E)*-1</f>
        <v>0</v>
      </c>
      <c r="I850" s="166"/>
      <c r="J850" s="166"/>
      <c r="K850" s="166">
        <f>SUMIF(Adat!$AC:$AC,CONCATENATE(60,N818,"09511"),Adat!$E:$E)*-1+H850</f>
        <v>0</v>
      </c>
    </row>
    <row r="851" spans="2:15" s="13" customFormat="1" ht="12.75" x14ac:dyDescent="0.2">
      <c r="B851" s="160">
        <v>27</v>
      </c>
      <c r="C851" s="305" t="s">
        <v>1294</v>
      </c>
      <c r="D851" s="82" t="s">
        <v>1375</v>
      </c>
      <c r="E851" s="165"/>
      <c r="F851" s="165"/>
      <c r="G851" s="165"/>
      <c r="H851" s="166">
        <f>SUMIF(Adat!$AC:$AC,CONCATENATE(61,N818,"09521"),Adat!$E:$E)*-1</f>
        <v>0</v>
      </c>
      <c r="I851" s="166"/>
      <c r="J851" s="166"/>
      <c r="K851" s="166">
        <f>SUMIF(Adat!$AC:$AC,CONCATENATE(60,N818,"09521"),Adat!$E:$E)*-1+H851</f>
        <v>0</v>
      </c>
    </row>
    <row r="852" spans="2:15" s="13" customFormat="1" ht="12.75" x14ac:dyDescent="0.2">
      <c r="B852" s="160">
        <v>28</v>
      </c>
      <c r="C852" s="305" t="s">
        <v>1376</v>
      </c>
      <c r="D852" s="82" t="s">
        <v>1377</v>
      </c>
      <c r="E852" s="165"/>
      <c r="F852" s="165"/>
      <c r="G852" s="165"/>
      <c r="H852" s="166">
        <f>SUMIF(Adat!$AC:$AC,CONCATENATE(61,N818,"09531"),Adat!$E:$E)*-1</f>
        <v>0</v>
      </c>
      <c r="I852" s="166"/>
      <c r="J852" s="166"/>
      <c r="K852" s="166">
        <f>SUMIF(Adat!$AC:$AC,CONCATENATE(60,N818,"09531"),Adat!$E:$E)*-1+H852</f>
        <v>0</v>
      </c>
    </row>
    <row r="853" spans="2:15" s="13" customFormat="1" ht="12.75" x14ac:dyDescent="0.2">
      <c r="B853" s="160">
        <v>29</v>
      </c>
      <c r="C853" s="79" t="s">
        <v>36</v>
      </c>
      <c r="D853" s="79" t="s">
        <v>331</v>
      </c>
      <c r="E853" s="120">
        <v>0</v>
      </c>
      <c r="F853" s="120">
        <v>0</v>
      </c>
      <c r="G853" s="120">
        <v>0</v>
      </c>
      <c r="H853" s="71">
        <f>SUMIF(Adat!$AE:$AE,CONCATENATE(61,N818,"096"),Adat!$E:$E)*-1</f>
        <v>0</v>
      </c>
      <c r="I853" s="71"/>
      <c r="J853" s="71"/>
      <c r="K853" s="71">
        <f>SUMIF(Adat!$AE:$AE,CONCATENATE(60,N818,"096"),Adat!$E:$E)*-1+H853</f>
        <v>0</v>
      </c>
    </row>
    <row r="854" spans="2:15" s="13" customFormat="1" ht="12.75" x14ac:dyDescent="0.2">
      <c r="B854" s="160">
        <v>30</v>
      </c>
      <c r="C854" s="79" t="s">
        <v>38</v>
      </c>
      <c r="D854" s="85" t="s">
        <v>332</v>
      </c>
      <c r="E854" s="120">
        <v>0</v>
      </c>
      <c r="F854" s="120">
        <v>0</v>
      </c>
      <c r="G854" s="120">
        <v>0</v>
      </c>
      <c r="H854" s="71">
        <f>SUMIF(Adat!$AE:$AE,CONCATENATE(61,N818,"097"),Adat!$E:$E)*-1</f>
        <v>0</v>
      </c>
      <c r="I854" s="71"/>
      <c r="J854" s="71"/>
      <c r="K854" s="71">
        <f>SUMIF(Adat!$AE:$AE,CONCATENATE(60,N818,"097"),Adat!$E:$E)*-1+H854</f>
        <v>0</v>
      </c>
    </row>
    <row r="855" spans="2:15" s="13" customFormat="1" ht="12.75" x14ac:dyDescent="0.2">
      <c r="B855" s="160">
        <v>31</v>
      </c>
      <c r="C855" s="154" t="s">
        <v>352</v>
      </c>
      <c r="D855" s="86" t="s">
        <v>1500</v>
      </c>
      <c r="E855" s="120">
        <f>E826+E840+E844+E845+E849+E853+E854</f>
        <v>0</v>
      </c>
      <c r="F855" s="120">
        <f>F826+F840+F844+F845+F849+F853+F854</f>
        <v>0</v>
      </c>
      <c r="G855" s="120">
        <f>G826+G840+G844+G845+G849+G853+G854</f>
        <v>0</v>
      </c>
      <c r="H855" s="121">
        <f>H826+H840+H844+H845+H849+H853+H854</f>
        <v>0</v>
      </c>
      <c r="I855" s="121"/>
      <c r="J855" s="121"/>
      <c r="K855" s="121">
        <f>K826+K840+K844+K845+K849+K853+K854</f>
        <v>0</v>
      </c>
    </row>
    <row r="856" spans="2:15" s="13" customFormat="1" ht="12.75" x14ac:dyDescent="0.2">
      <c r="B856" s="160">
        <v>32</v>
      </c>
      <c r="C856" s="154" t="s">
        <v>358</v>
      </c>
      <c r="D856" s="86" t="s">
        <v>333</v>
      </c>
      <c r="E856" s="120">
        <f>SUM(E857:E859)</f>
        <v>0</v>
      </c>
      <c r="F856" s="120">
        <f t="shared" ref="F856" si="218">SUM(F857:F859)</f>
        <v>0</v>
      </c>
      <c r="G856" s="120">
        <f>SUM(G857:G859)</f>
        <v>0</v>
      </c>
      <c r="H856" s="121">
        <f t="shared" ref="H856:K856" si="219">SUM(H857:H859)</f>
        <v>0</v>
      </c>
      <c r="I856" s="121"/>
      <c r="J856" s="121"/>
      <c r="K856" s="121">
        <f t="shared" si="219"/>
        <v>0</v>
      </c>
    </row>
    <row r="857" spans="2:15" s="13" customFormat="1" ht="12.75" x14ac:dyDescent="0.2">
      <c r="B857" s="160">
        <v>33</v>
      </c>
      <c r="C857" s="305" t="s">
        <v>1274</v>
      </c>
      <c r="D857" s="82" t="s">
        <v>1419</v>
      </c>
      <c r="E857" s="165"/>
      <c r="F857" s="165"/>
      <c r="G857" s="165"/>
      <c r="H857" s="166">
        <f>SUMIF(Adat!$AC:$AC,CONCATENATE(61,N818,"0981311"),Adat!$E:$E)*-1</f>
        <v>0</v>
      </c>
      <c r="I857" s="166"/>
      <c r="J857" s="166"/>
      <c r="K857" s="166">
        <f>SUMIF(Adat!$AC:$AC,CONCATENATE(60,N818,"0981311"),Adat!$E:$E)*-1+H857</f>
        <v>0</v>
      </c>
    </row>
    <row r="858" spans="2:15" s="13" customFormat="1" ht="12.75" x14ac:dyDescent="0.2">
      <c r="B858" s="160">
        <v>34</v>
      </c>
      <c r="C858" s="305" t="s">
        <v>1420</v>
      </c>
      <c r="D858" s="84" t="s">
        <v>1421</v>
      </c>
      <c r="E858" s="165"/>
      <c r="F858" s="165"/>
      <c r="G858" s="165"/>
      <c r="H858" s="166">
        <f>SUMIF(Adat!$AC:$AC,CONCATENATE(61,N818,"0981321"),Adat!$E:$E)*-1</f>
        <v>0</v>
      </c>
      <c r="I858" s="166"/>
      <c r="J858" s="166"/>
      <c r="K858" s="166">
        <f>SUMIF(Adat!$AC:$AC,CONCATENATE(60,N818,"0981321"),Adat!$E:$E)*-1+H858</f>
        <v>0</v>
      </c>
    </row>
    <row r="859" spans="2:15" s="13" customFormat="1" ht="12.75" x14ac:dyDescent="0.2">
      <c r="B859" s="160">
        <v>35</v>
      </c>
      <c r="C859" s="319" t="s">
        <v>1275</v>
      </c>
      <c r="D859" s="84" t="s">
        <v>1501</v>
      </c>
      <c r="E859" s="165"/>
      <c r="F859" s="165"/>
      <c r="G859" s="165"/>
      <c r="H859" s="166">
        <f>SUMIF(Adat!$AC:$AC,CONCATENATE(61,N818,"098161"),Adat!$E:$E)*-1</f>
        <v>0</v>
      </c>
      <c r="I859" s="166"/>
      <c r="J859" s="166"/>
      <c r="K859" s="166">
        <f>SUMIF(Adat!$AC:$AC,CONCATENATE(60,N818,"098161"),Adat!$E:$E)*-1+H859</f>
        <v>0</v>
      </c>
    </row>
    <row r="860" spans="2:15" s="13" customFormat="1" ht="12.75" x14ac:dyDescent="0.2">
      <c r="B860" s="160">
        <v>36</v>
      </c>
      <c r="C860" s="154" t="s">
        <v>364</v>
      </c>
      <c r="D860" s="159" t="s">
        <v>1502</v>
      </c>
      <c r="E860" s="120">
        <f>E855+E856</f>
        <v>0</v>
      </c>
      <c r="F860" s="120">
        <f t="shared" ref="F860:G860" si="220">F855+F856</f>
        <v>0</v>
      </c>
      <c r="G860" s="120">
        <f t="shared" si="220"/>
        <v>0</v>
      </c>
      <c r="H860" s="121">
        <f>H855+H856</f>
        <v>0</v>
      </c>
      <c r="I860" s="121"/>
      <c r="J860" s="121"/>
      <c r="K860" s="121">
        <f>K855+K856</f>
        <v>0</v>
      </c>
    </row>
    <row r="861" spans="2:15" x14ac:dyDescent="0.25">
      <c r="B861" s="40"/>
      <c r="C861" s="256"/>
      <c r="D861" s="40"/>
      <c r="E861" s="13"/>
      <c r="F861" s="13"/>
      <c r="G861" s="13"/>
      <c r="H861" s="39"/>
      <c r="I861" s="39"/>
      <c r="J861" s="39"/>
      <c r="K861" s="13"/>
      <c r="L861" s="13"/>
      <c r="M861" s="13"/>
      <c r="N861" s="13"/>
      <c r="O861" s="13"/>
    </row>
    <row r="862" spans="2:15" x14ac:dyDescent="0.25">
      <c r="B862" s="202" t="s">
        <v>1196</v>
      </c>
      <c r="C862" s="260"/>
      <c r="D862" s="260"/>
      <c r="E862" s="13"/>
      <c r="F862" s="13"/>
      <c r="G862" s="13"/>
      <c r="H862" s="260"/>
      <c r="I862" s="260"/>
      <c r="J862" s="260"/>
      <c r="K862" s="13"/>
      <c r="L862" s="13"/>
      <c r="M862" s="13"/>
      <c r="N862" s="13"/>
      <c r="O862" s="13"/>
    </row>
    <row r="863" spans="2:15" x14ac:dyDescent="0.25">
      <c r="B863" s="40"/>
      <c r="C863" s="256"/>
      <c r="D863" s="40"/>
      <c r="E863" s="13"/>
      <c r="F863" s="13"/>
      <c r="G863" s="13"/>
      <c r="H863" s="39"/>
      <c r="I863" s="39"/>
      <c r="J863" s="39"/>
      <c r="K863" s="13"/>
      <c r="L863" s="13"/>
      <c r="M863" s="13"/>
      <c r="N863" s="13"/>
      <c r="O863" s="13"/>
    </row>
    <row r="864" spans="2:15" s="13" customFormat="1" ht="12.75" x14ac:dyDescent="0.2">
      <c r="B864" s="77"/>
      <c r="C864" s="77" t="s">
        <v>350</v>
      </c>
      <c r="D864" s="77" t="s">
        <v>351</v>
      </c>
      <c r="E864" s="77" t="s">
        <v>470</v>
      </c>
      <c r="F864" s="77" t="s">
        <v>471</v>
      </c>
      <c r="G864" s="77" t="s">
        <v>44</v>
      </c>
      <c r="H864" s="77" t="s">
        <v>42</v>
      </c>
      <c r="I864" s="77"/>
      <c r="J864" s="77"/>
      <c r="K864" s="77" t="s">
        <v>511</v>
      </c>
    </row>
    <row r="865" spans="2:15" s="13" customFormat="1" ht="38.25" x14ac:dyDescent="0.2">
      <c r="B865" s="68">
        <v>1</v>
      </c>
      <c r="C865" s="78" t="s">
        <v>348</v>
      </c>
      <c r="D865" s="78" t="s">
        <v>349</v>
      </c>
      <c r="E865" s="69" t="str">
        <f>CONCATENATE(PAR!$H$12," évi 
teljesítés")</f>
        <v>2022. évi 
teljesítés</v>
      </c>
      <c r="F865" s="69" t="str">
        <f>CONCATENATE(PAR!$H$11," évi 
teljesítés")</f>
        <v>2023. évi 
teljesítés</v>
      </c>
      <c r="G865" s="69" t="str">
        <f>CONCATENATE(PAR!$H$10," évi 
teljesítés")</f>
        <v>2024. évi 
teljesítés</v>
      </c>
      <c r="H865" s="163" t="str">
        <f>CONCATENATE(PAR!$H$3," évi
eredeti 
előirányzat")</f>
        <v>2025. évi
eredeti 
előirányzat</v>
      </c>
      <c r="I865" s="163"/>
      <c r="J865" s="163"/>
      <c r="K865" s="163" t="str">
        <f>CONCATENATE(PAR!$H$3," évi
módosított 
előirányzat")</f>
        <v>2025. évi
módosított 
előirányzat</v>
      </c>
    </row>
    <row r="866" spans="2:15" s="13" customFormat="1" ht="12.75" x14ac:dyDescent="0.2">
      <c r="B866" s="160">
        <v>2</v>
      </c>
      <c r="C866" s="78" t="s">
        <v>352</v>
      </c>
      <c r="D866" s="92" t="s">
        <v>1444</v>
      </c>
      <c r="E866" s="120">
        <f>SUM(E867:E871)</f>
        <v>0</v>
      </c>
      <c r="F866" s="120">
        <f>SUM(F867:F871)</f>
        <v>0</v>
      </c>
      <c r="G866" s="120">
        <f>SUM(G867:G871)</f>
        <v>0</v>
      </c>
      <c r="H866" s="121">
        <f>SUM(H867:H871)</f>
        <v>0</v>
      </c>
      <c r="I866" s="121"/>
      <c r="J866" s="121"/>
      <c r="K866" s="121">
        <f t="shared" ref="K866" si="221">SUM(K867:K871)</f>
        <v>0</v>
      </c>
    </row>
    <row r="867" spans="2:15" s="13" customFormat="1" ht="12.75" x14ac:dyDescent="0.2">
      <c r="B867" s="160">
        <v>3</v>
      </c>
      <c r="C867" s="305" t="s">
        <v>315</v>
      </c>
      <c r="D867" s="93" t="s">
        <v>342</v>
      </c>
      <c r="E867" s="165"/>
      <c r="F867" s="165"/>
      <c r="G867" s="285"/>
      <c r="H867" s="72">
        <f>SUMIF(Adat!$AE:$AE,CONCATENATE(61,N818,"051"),Adat!$E:$E)</f>
        <v>0</v>
      </c>
      <c r="I867" s="72"/>
      <c r="J867" s="72"/>
      <c r="K867" s="72">
        <f>SUMIF(Adat!$AE:$AE,CONCATENATE(60,N818,"051"),Adat!$E:$E)+H867</f>
        <v>0</v>
      </c>
    </row>
    <row r="868" spans="2:15" s="13" customFormat="1" ht="12.75" x14ac:dyDescent="0.2">
      <c r="B868" s="160">
        <v>4</v>
      </c>
      <c r="C868" s="305" t="s">
        <v>317</v>
      </c>
      <c r="D868" s="93" t="s">
        <v>395</v>
      </c>
      <c r="E868" s="165"/>
      <c r="F868" s="165"/>
      <c r="G868" s="285"/>
      <c r="H868" s="72">
        <f>SUMIF(Adat!$AE:$AE,CONCATENATE(61,N818,"052"),Adat!$E:$E)</f>
        <v>0</v>
      </c>
      <c r="I868" s="72"/>
      <c r="J868" s="72"/>
      <c r="K868" s="72">
        <f>SUMIF(Adat!$AE:$AE,CONCATENATE(60,N818,"052"),Adat!$E:$E)+H868</f>
        <v>0</v>
      </c>
    </row>
    <row r="869" spans="2:15" s="13" customFormat="1" ht="12.75" x14ac:dyDescent="0.2">
      <c r="B869" s="160">
        <v>5</v>
      </c>
      <c r="C869" s="305" t="s">
        <v>4</v>
      </c>
      <c r="D869" s="93" t="s">
        <v>344</v>
      </c>
      <c r="E869" s="165"/>
      <c r="F869" s="165"/>
      <c r="G869" s="285"/>
      <c r="H869" s="72">
        <f>SUMIF(Adat!$AE:$AE,CONCATENATE(61,N818,"053"),Adat!$E:$E)</f>
        <v>0</v>
      </c>
      <c r="I869" s="72"/>
      <c r="J869" s="72"/>
      <c r="K869" s="72">
        <f>SUMIF(Adat!$AE:$AE,CONCATENATE(60,N818,"053"),Adat!$E:$E)+H869</f>
        <v>0</v>
      </c>
    </row>
    <row r="870" spans="2:15" s="13" customFormat="1" ht="12.75" x14ac:dyDescent="0.2">
      <c r="B870" s="160">
        <v>6</v>
      </c>
      <c r="C870" s="305" t="s">
        <v>6</v>
      </c>
      <c r="D870" s="93" t="s">
        <v>345</v>
      </c>
      <c r="E870" s="165"/>
      <c r="F870" s="165"/>
      <c r="G870" s="285"/>
      <c r="H870" s="72">
        <f>SUMIF(Adat!$AE:$AE,CONCATENATE(61,N818,"054"),Adat!$E:$E)</f>
        <v>0</v>
      </c>
      <c r="I870" s="72"/>
      <c r="J870" s="72"/>
      <c r="K870" s="72">
        <f>SUMIF(Adat!$AE:$AE,CONCATENATE(60,N818,"054"),Adat!$E:$E)+H870</f>
        <v>0</v>
      </c>
    </row>
    <row r="871" spans="2:15" s="13" customFormat="1" ht="12.75" x14ac:dyDescent="0.2">
      <c r="B871" s="160">
        <v>7</v>
      </c>
      <c r="C871" s="305" t="s">
        <v>8</v>
      </c>
      <c r="D871" s="93" t="s">
        <v>321</v>
      </c>
      <c r="E871" s="165"/>
      <c r="F871" s="165"/>
      <c r="G871" s="285"/>
      <c r="H871" s="72">
        <f>SUMIF(Adat!$AE:$AE,CONCATENATE(61,N818,"055"),Adat!$E:$E)</f>
        <v>0</v>
      </c>
      <c r="I871" s="72"/>
      <c r="J871" s="72"/>
      <c r="K871" s="72">
        <f>SUMIF(Adat!$AE:$AE,CONCATENATE(60,N818,"055"),Adat!$E:$E)+H871</f>
        <v>0</v>
      </c>
    </row>
    <row r="872" spans="2:15" s="13" customFormat="1" ht="12.75" x14ac:dyDescent="0.2">
      <c r="B872" s="160">
        <v>8</v>
      </c>
      <c r="C872" s="78" t="s">
        <v>358</v>
      </c>
      <c r="D872" s="92" t="s">
        <v>1447</v>
      </c>
      <c r="E872" s="120">
        <f>SUM(E873:E875)</f>
        <v>0</v>
      </c>
      <c r="F872" s="120">
        <f t="shared" ref="F872:K872" si="222">SUM(F873:F875)</f>
        <v>0</v>
      </c>
      <c r="G872" s="120">
        <f t="shared" si="222"/>
        <v>0</v>
      </c>
      <c r="H872" s="121">
        <f t="shared" si="222"/>
        <v>0</v>
      </c>
      <c r="I872" s="121"/>
      <c r="J872" s="121"/>
      <c r="K872" s="121">
        <f t="shared" si="222"/>
        <v>0</v>
      </c>
    </row>
    <row r="873" spans="2:15" s="13" customFormat="1" ht="12.75" x14ac:dyDescent="0.2">
      <c r="B873" s="160">
        <v>9</v>
      </c>
      <c r="C873" s="305" t="s">
        <v>10</v>
      </c>
      <c r="D873" s="93" t="s">
        <v>322</v>
      </c>
      <c r="E873" s="165"/>
      <c r="F873" s="165"/>
      <c r="G873" s="285"/>
      <c r="H873" s="72">
        <f>SUMIF(Adat!$AE:$AE,CONCATENATE(61,N818,"056"),Adat!$E:$E)</f>
        <v>0</v>
      </c>
      <c r="I873" s="72"/>
      <c r="J873" s="72"/>
      <c r="K873" s="72">
        <f>SUMIF(Adat!$AE:$AE,CONCATENATE(60,N818,"056"),Adat!$E:$E)+H873</f>
        <v>0</v>
      </c>
    </row>
    <row r="874" spans="2:15" s="13" customFormat="1" ht="12.75" x14ac:dyDescent="0.2">
      <c r="B874" s="160">
        <v>10</v>
      </c>
      <c r="C874" s="305" t="s">
        <v>12</v>
      </c>
      <c r="D874" s="93" t="s">
        <v>323</v>
      </c>
      <c r="E874" s="165"/>
      <c r="F874" s="165"/>
      <c r="G874" s="165"/>
      <c r="H874" s="72">
        <f>SUMIF(Adat!$AE:$AE,CONCATENATE(61,N818,"057"),Adat!$E:$E)</f>
        <v>0</v>
      </c>
      <c r="I874" s="72"/>
      <c r="J874" s="72"/>
      <c r="K874" s="72">
        <f>SUMIF(Adat!$AE:$AE,CONCATENATE(60,N818,"057"),Adat!$E:$E)+H874</f>
        <v>0</v>
      </c>
    </row>
    <row r="875" spans="2:15" s="13" customFormat="1" ht="12.75" x14ac:dyDescent="0.2">
      <c r="B875" s="160">
        <v>11</v>
      </c>
      <c r="C875" s="305" t="s">
        <v>15</v>
      </c>
      <c r="D875" s="84" t="s">
        <v>324</v>
      </c>
      <c r="E875" s="165"/>
      <c r="F875" s="165"/>
      <c r="G875" s="165"/>
      <c r="H875" s="72">
        <f>SUMIF(Adat!$AE:$AE,CONCATENATE(61,N818,"058"),Adat!$E:$E)</f>
        <v>0</v>
      </c>
      <c r="I875" s="72"/>
      <c r="J875" s="72"/>
      <c r="K875" s="72">
        <f>SUMIF(Adat!$AE:$AE,CONCATENATE(60,N818,"058"),Adat!$E:$E)+H875</f>
        <v>0</v>
      </c>
    </row>
    <row r="876" spans="2:15" s="13" customFormat="1" ht="12.75" x14ac:dyDescent="0.2">
      <c r="B876" s="160">
        <v>12</v>
      </c>
      <c r="C876" s="154" t="s">
        <v>364</v>
      </c>
      <c r="D876" s="86" t="s">
        <v>325</v>
      </c>
      <c r="E876" s="120">
        <v>0</v>
      </c>
      <c r="F876" s="120">
        <v>0</v>
      </c>
      <c r="G876" s="120">
        <v>0</v>
      </c>
      <c r="H876" s="71">
        <f>SUMIF(Adat!$AE:$AE,CONCATENATE(61,N818,"059"),Adat!$E:$E)</f>
        <v>0</v>
      </c>
      <c r="I876" s="71"/>
      <c r="J876" s="71"/>
      <c r="K876" s="71">
        <f>SUMIF(Adat!$AE:$AE,CONCATENATE(60,N818,"059"),Adat!$E:$E)+H876</f>
        <v>0</v>
      </c>
    </row>
    <row r="877" spans="2:15" s="13" customFormat="1" ht="12.75" x14ac:dyDescent="0.2">
      <c r="B877" s="160">
        <v>13</v>
      </c>
      <c r="C877" s="154" t="s">
        <v>403</v>
      </c>
      <c r="D877" s="159" t="s">
        <v>497</v>
      </c>
      <c r="E877" s="120">
        <f>E866+E872+E876</f>
        <v>0</v>
      </c>
      <c r="F877" s="120">
        <f>F866+F872+F876</f>
        <v>0</v>
      </c>
      <c r="G877" s="120">
        <f>G866+G872+G876</f>
        <v>0</v>
      </c>
      <c r="H877" s="121">
        <f>H866+H872+H876</f>
        <v>0</v>
      </c>
      <c r="I877" s="121"/>
      <c r="J877" s="121"/>
      <c r="K877" s="121">
        <f>K866+K872+K876</f>
        <v>0</v>
      </c>
    </row>
    <row r="878" spans="2:15" x14ac:dyDescent="0.25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</row>
    <row r="879" spans="2:15" x14ac:dyDescent="0.25">
      <c r="B879" s="511" t="str">
        <f>O879</f>
        <v/>
      </c>
      <c r="C879" s="511"/>
      <c r="D879" s="511"/>
      <c r="E879" s="511"/>
      <c r="F879" s="511"/>
      <c r="G879" s="511"/>
      <c r="H879" s="511"/>
      <c r="I879" s="511"/>
      <c r="J879" s="511"/>
      <c r="K879" s="511"/>
      <c r="L879" s="13"/>
      <c r="M879" s="318">
        <v>14</v>
      </c>
      <c r="N879" s="320">
        <f>VLOOKUP(M879,Info!$B$5:$D$55,3)</f>
        <v>0</v>
      </c>
      <c r="O879" s="321" t="str">
        <f>VLOOKUP(M879,Info!$B$5:$D$55,2)</f>
        <v/>
      </c>
    </row>
    <row r="880" spans="2:15" x14ac:dyDescent="0.25">
      <c r="B880" s="534" t="str">
        <f>CONCATENATE(PAR!$H$3," évi költségvetés és az előző három év összevont mérlege")</f>
        <v>2025. évi költségvetés és az előző három év összevont mérlege</v>
      </c>
      <c r="C880" s="534"/>
      <c r="D880" s="534"/>
      <c r="E880" s="534"/>
      <c r="F880" s="534"/>
      <c r="G880" s="534"/>
      <c r="H880" s="534"/>
      <c r="I880" s="534"/>
      <c r="J880" s="534"/>
      <c r="K880" s="534"/>
      <c r="L880" s="13"/>
      <c r="M880" s="13"/>
      <c r="N880" s="13"/>
      <c r="O880" s="13"/>
    </row>
    <row r="881" spans="2:15" x14ac:dyDescent="0.25">
      <c r="B881" s="535" t="s">
        <v>337</v>
      </c>
      <c r="C881" s="535"/>
      <c r="D881" s="535"/>
      <c r="E881" s="535"/>
      <c r="F881" s="535"/>
      <c r="G881" s="535"/>
      <c r="H881" s="535"/>
      <c r="I881" s="535"/>
      <c r="J881" s="535"/>
      <c r="K881" s="535"/>
      <c r="L881" s="13"/>
      <c r="M881" s="13"/>
      <c r="N881" s="13"/>
      <c r="O881" s="13"/>
    </row>
    <row r="882" spans="2:15" x14ac:dyDescent="0.25">
      <c r="B882" s="40"/>
      <c r="C882" s="256"/>
      <c r="D882" s="40"/>
      <c r="E882" s="39"/>
      <c r="F882" s="40"/>
      <c r="G882" s="40"/>
      <c r="H882" s="40"/>
      <c r="I882" s="40"/>
      <c r="J882" s="40"/>
      <c r="K882" s="13"/>
      <c r="L882" s="13"/>
      <c r="M882" s="13"/>
      <c r="N882" s="13"/>
      <c r="O882" s="13"/>
    </row>
    <row r="883" spans="2:15" x14ac:dyDescent="0.25">
      <c r="B883" s="201" t="s">
        <v>1515</v>
      </c>
      <c r="C883" s="201"/>
      <c r="D883" s="201"/>
      <c r="E883" s="201"/>
      <c r="F883" s="201"/>
      <c r="G883" s="201"/>
      <c r="H883" s="201"/>
      <c r="I883" s="201"/>
      <c r="J883" s="201"/>
      <c r="K883" s="201"/>
      <c r="L883" s="13"/>
      <c r="M883" s="13"/>
      <c r="N883" s="13"/>
      <c r="O883" s="13"/>
    </row>
    <row r="884" spans="2:15" x14ac:dyDescent="0.25">
      <c r="B884" s="40"/>
      <c r="C884" s="256"/>
      <c r="D884" s="40"/>
      <c r="E884" s="39"/>
      <c r="F884" s="40"/>
      <c r="G884" s="40"/>
      <c r="H884" s="40"/>
      <c r="I884" s="40"/>
      <c r="J884" s="40"/>
      <c r="K884" s="13"/>
      <c r="L884" s="13"/>
      <c r="M884" s="13"/>
      <c r="N884" s="13"/>
      <c r="O884" s="13"/>
    </row>
    <row r="885" spans="2:15" s="13" customFormat="1" ht="12.75" x14ac:dyDescent="0.2">
      <c r="B885" s="77"/>
      <c r="C885" s="77" t="s">
        <v>350</v>
      </c>
      <c r="D885" s="77" t="s">
        <v>351</v>
      </c>
      <c r="E885" s="77" t="s">
        <v>470</v>
      </c>
      <c r="F885" s="77" t="s">
        <v>471</v>
      </c>
      <c r="G885" s="77" t="s">
        <v>44</v>
      </c>
      <c r="H885" s="77" t="s">
        <v>42</v>
      </c>
      <c r="I885" s="77"/>
      <c r="J885" s="77"/>
      <c r="K885" s="77" t="s">
        <v>511</v>
      </c>
    </row>
    <row r="886" spans="2:15" s="13" customFormat="1" ht="38.25" x14ac:dyDescent="0.2">
      <c r="B886" s="68">
        <v>1</v>
      </c>
      <c r="C886" s="78" t="s">
        <v>348</v>
      </c>
      <c r="D886" s="78" t="s">
        <v>349</v>
      </c>
      <c r="E886" s="69" t="str">
        <f>CONCATENATE(PAR!$H$12," évi 
teljesítés")</f>
        <v>2022. évi 
teljesítés</v>
      </c>
      <c r="F886" s="69" t="str">
        <f>CONCATENATE(PAR!$H$11," évi 
teljesítés")</f>
        <v>2023. évi 
teljesítés</v>
      </c>
      <c r="G886" s="69" t="str">
        <f>CONCATENATE(PAR!$H$10," évi 
teljesítés")</f>
        <v>2024. évi 
teljesítés</v>
      </c>
      <c r="H886" s="163" t="str">
        <f>CONCATENATE(PAR!$H$3," évi
eredeti 
előirányzat")</f>
        <v>2025. évi
eredeti 
előirányzat</v>
      </c>
      <c r="I886" s="163"/>
      <c r="J886" s="163"/>
      <c r="K886" s="163" t="str">
        <f>CONCATENATE(PAR!$H$3," évi
módosított 
előirányzat")</f>
        <v>2025. évi
módosított 
előirányzat</v>
      </c>
    </row>
    <row r="887" spans="2:15" s="13" customFormat="1" ht="12.75" x14ac:dyDescent="0.2">
      <c r="B887" s="160">
        <v>2</v>
      </c>
      <c r="C887" s="79" t="s">
        <v>30</v>
      </c>
      <c r="D887" s="79" t="s">
        <v>329</v>
      </c>
      <c r="E887" s="120">
        <f>SUM(E888:E900)</f>
        <v>0</v>
      </c>
      <c r="F887" s="120">
        <f t="shared" ref="F887" si="223">SUM(F888:F900)</f>
        <v>0</v>
      </c>
      <c r="G887" s="120">
        <f>SUM(G888:G900)</f>
        <v>0</v>
      </c>
      <c r="H887" s="121">
        <f t="shared" ref="H887" si="224">SUM(H888:H900)</f>
        <v>0</v>
      </c>
      <c r="I887" s="121"/>
      <c r="J887" s="121"/>
      <c r="K887" s="121">
        <f>SUM(K888:K900)</f>
        <v>0</v>
      </c>
    </row>
    <row r="888" spans="2:15" s="13" customFormat="1" ht="12.75" x14ac:dyDescent="0.2">
      <c r="B888" s="160">
        <v>3</v>
      </c>
      <c r="C888" s="305" t="s">
        <v>1309</v>
      </c>
      <c r="D888" s="82" t="s">
        <v>1356</v>
      </c>
      <c r="E888" s="165"/>
      <c r="F888" s="165"/>
      <c r="G888" s="165"/>
      <c r="H888" s="166">
        <f>SUMIF(Adat!$AC:$AC,CONCATENATE(61,N879,"094011"),Adat!$E:$E)*-1</f>
        <v>0</v>
      </c>
      <c r="I888" s="166"/>
      <c r="J888" s="166"/>
      <c r="K888" s="166">
        <f>SUMIF(Adat!$AC:$AC,CONCATENATE(60,N879,"094011"),Adat!$E:$E)*-1+H888</f>
        <v>0</v>
      </c>
    </row>
    <row r="889" spans="2:15" s="13" customFormat="1" ht="12.75" x14ac:dyDescent="0.2">
      <c r="B889" s="160">
        <v>4</v>
      </c>
      <c r="C889" s="305" t="s">
        <v>1279</v>
      </c>
      <c r="D889" s="82" t="s">
        <v>1357</v>
      </c>
      <c r="E889" s="165"/>
      <c r="F889" s="165"/>
      <c r="G889" s="165"/>
      <c r="H889" s="166">
        <f>SUMIF(Adat!$AC:$AC,CONCATENATE(61,N879,"094021"),Adat!$E:$E)*-1</f>
        <v>0</v>
      </c>
      <c r="I889" s="166"/>
      <c r="J889" s="166"/>
      <c r="K889" s="166">
        <f>SUMIF(Adat!$AC:$AC,CONCATENATE(60,N879,"094021"),Adat!$E:$E)*-1+H889</f>
        <v>0</v>
      </c>
    </row>
    <row r="890" spans="2:15" s="13" customFormat="1" ht="12.75" x14ac:dyDescent="0.2">
      <c r="B890" s="160">
        <v>5</v>
      </c>
      <c r="C890" s="305" t="s">
        <v>1272</v>
      </c>
      <c r="D890" s="82" t="s">
        <v>1358</v>
      </c>
      <c r="E890" s="165"/>
      <c r="F890" s="165"/>
      <c r="G890" s="165"/>
      <c r="H890" s="166">
        <f>SUMIF(Adat!$AC:$AC,CONCATENATE(61,N879,"094031"),Adat!$E:$E)*-1</f>
        <v>0</v>
      </c>
      <c r="I890" s="166"/>
      <c r="J890" s="166"/>
      <c r="K890" s="166">
        <f>SUMIF(Adat!$AC:$AC,CONCATENATE(60,N879,"094031"),Adat!$E:$E)*-1+H890</f>
        <v>0</v>
      </c>
    </row>
    <row r="891" spans="2:15" s="13" customFormat="1" ht="12.75" x14ac:dyDescent="0.2">
      <c r="B891" s="160">
        <v>6</v>
      </c>
      <c r="C891" s="305" t="s">
        <v>1359</v>
      </c>
      <c r="D891" s="82" t="s">
        <v>1360</v>
      </c>
      <c r="E891" s="165"/>
      <c r="F891" s="165"/>
      <c r="G891" s="165"/>
      <c r="H891" s="166">
        <f>SUMIF(Adat!$AC:$AC,CONCATENATE(61,N879,"094041"),Adat!$E:$E)*-1</f>
        <v>0</v>
      </c>
      <c r="I891" s="166"/>
      <c r="J891" s="166"/>
      <c r="K891" s="166">
        <f>SUMIF(Adat!$AC:$AC,CONCATENATE(60,N879,"094041"),Adat!$E:$E)*-1+H891</f>
        <v>0</v>
      </c>
    </row>
    <row r="892" spans="2:15" s="13" customFormat="1" ht="12.75" x14ac:dyDescent="0.2">
      <c r="B892" s="160">
        <v>7</v>
      </c>
      <c r="C892" s="305" t="s">
        <v>1261</v>
      </c>
      <c r="D892" s="82" t="s">
        <v>1361</v>
      </c>
      <c r="E892" s="165"/>
      <c r="F892" s="165"/>
      <c r="G892" s="165"/>
      <c r="H892" s="166">
        <f>SUMIF(Adat!$AC:$AC,CONCATENATE(61,N879,"094051"),Adat!$E:$E)*-1</f>
        <v>0</v>
      </c>
      <c r="I892" s="166"/>
      <c r="J892" s="166"/>
      <c r="K892" s="166">
        <f>SUMIF(Adat!$AC:$AC,CONCATENATE(60,N879,"094051"),Adat!$E:$E)*-1+H892</f>
        <v>0</v>
      </c>
    </row>
    <row r="893" spans="2:15" s="13" customFormat="1" ht="12.75" x14ac:dyDescent="0.2">
      <c r="B893" s="160">
        <v>8</v>
      </c>
      <c r="C893" s="305" t="s">
        <v>1273</v>
      </c>
      <c r="D893" s="82" t="s">
        <v>1362</v>
      </c>
      <c r="E893" s="165"/>
      <c r="F893" s="165"/>
      <c r="G893" s="165"/>
      <c r="H893" s="166">
        <f>SUMIF(Adat!$AC:$AC,CONCATENATE(61,N879,"094061"),Adat!$E:$E)*-1</f>
        <v>0</v>
      </c>
      <c r="I893" s="166"/>
      <c r="J893" s="166"/>
      <c r="K893" s="166">
        <f>SUMIF(Adat!$AC:$AC,CONCATENATE(60,N879,"094061"),Adat!$E:$E)*-1+H893</f>
        <v>0</v>
      </c>
    </row>
    <row r="894" spans="2:15" s="13" customFormat="1" ht="12.75" x14ac:dyDescent="0.2">
      <c r="B894" s="160">
        <v>9</v>
      </c>
      <c r="C894" s="305" t="s">
        <v>1363</v>
      </c>
      <c r="D894" s="82" t="s">
        <v>1364</v>
      </c>
      <c r="E894" s="165"/>
      <c r="F894" s="165"/>
      <c r="G894" s="165"/>
      <c r="H894" s="166">
        <f>SUMIF(Adat!$AC:$AC,CONCATENATE(61,N879,"094071"),Adat!$E:$E)*-1</f>
        <v>0</v>
      </c>
      <c r="I894" s="166"/>
      <c r="J894" s="166"/>
      <c r="K894" s="166">
        <f>SUMIF(Adat!$AC:$AC,CONCATENATE(60,N879,"094071"),Adat!$E:$E)*-1+H894</f>
        <v>0</v>
      </c>
    </row>
    <row r="895" spans="2:15" s="13" customFormat="1" ht="12.75" x14ac:dyDescent="0.2">
      <c r="B895" s="160">
        <v>10</v>
      </c>
      <c r="C895" s="305" t="s">
        <v>1306</v>
      </c>
      <c r="D895" s="82" t="s">
        <v>1365</v>
      </c>
      <c r="E895" s="165"/>
      <c r="F895" s="165"/>
      <c r="G895" s="165"/>
      <c r="H895" s="166">
        <f>SUMIF(Adat!$AC:$AC,CONCATENATE(61,N879,"0940811"),Adat!$E:$E)*-1</f>
        <v>0</v>
      </c>
      <c r="I895" s="166"/>
      <c r="J895" s="166"/>
      <c r="K895" s="166">
        <f>SUMIF(Adat!$AC:$AC,CONCATENATE(60,N879,"0940811"),Adat!$E:$E)*-1+H895</f>
        <v>0</v>
      </c>
    </row>
    <row r="896" spans="2:15" s="13" customFormat="1" ht="12.75" x14ac:dyDescent="0.2">
      <c r="B896" s="160">
        <v>11</v>
      </c>
      <c r="C896" s="305" t="s">
        <v>1295</v>
      </c>
      <c r="D896" s="82" t="s">
        <v>1366</v>
      </c>
      <c r="E896" s="165"/>
      <c r="F896" s="165"/>
      <c r="G896" s="165"/>
      <c r="H896" s="166">
        <f>SUMIF(Adat!$AC:$AC,CONCATENATE(61,N879,"0940821"),Adat!$E:$E)*-1</f>
        <v>0</v>
      </c>
      <c r="I896" s="166"/>
      <c r="J896" s="166"/>
      <c r="K896" s="166">
        <f>SUMIF(Adat!$AC:$AC,CONCATENATE(60,N879,"0940821"),Adat!$E:$E)*-1+H896</f>
        <v>0</v>
      </c>
    </row>
    <row r="897" spans="2:11" s="13" customFormat="1" ht="12.75" x14ac:dyDescent="0.2">
      <c r="B897" s="160">
        <v>12</v>
      </c>
      <c r="C897" s="305" t="s">
        <v>1367</v>
      </c>
      <c r="D897" s="82" t="s">
        <v>1368</v>
      </c>
      <c r="E897" s="165"/>
      <c r="F897" s="165"/>
      <c r="G897" s="165"/>
      <c r="H897" s="166">
        <f>SUMIF(Adat!$AC:$AC,CONCATENATE(61,N879,"0940911"),Adat!$E:$E)*-1</f>
        <v>0</v>
      </c>
      <c r="I897" s="166"/>
      <c r="J897" s="166"/>
      <c r="K897" s="166">
        <f>SUMIF(Adat!$AC:$AC,CONCATENATE(60,N879,"0940911"),Adat!$E:$E)*-1+H897</f>
        <v>0</v>
      </c>
    </row>
    <row r="898" spans="2:11" s="13" customFormat="1" ht="12.75" x14ac:dyDescent="0.2">
      <c r="B898" s="160">
        <v>13</v>
      </c>
      <c r="C898" s="305" t="s">
        <v>1369</v>
      </c>
      <c r="D898" s="82" t="s">
        <v>1370</v>
      </c>
      <c r="E898" s="165"/>
      <c r="F898" s="165"/>
      <c r="G898" s="165"/>
      <c r="H898" s="166">
        <f>SUMIF(Adat!$AC:$AC,CONCATENATE(61,N879,"0940921"),Adat!$E:$E)*-1</f>
        <v>0</v>
      </c>
      <c r="I898" s="166"/>
      <c r="J898" s="166"/>
      <c r="K898" s="166">
        <f>SUMIF(Adat!$AC:$AC,CONCATENATE(60,N879,"0940921"),Adat!$E:$E)*-1+H898</f>
        <v>0</v>
      </c>
    </row>
    <row r="899" spans="2:11" s="13" customFormat="1" ht="12.75" x14ac:dyDescent="0.2">
      <c r="B899" s="160">
        <v>14</v>
      </c>
      <c r="C899" s="305" t="s">
        <v>1296</v>
      </c>
      <c r="D899" s="82" t="s">
        <v>1371</v>
      </c>
      <c r="E899" s="165"/>
      <c r="F899" s="165"/>
      <c r="G899" s="165"/>
      <c r="H899" s="166">
        <f>SUMIF(Adat!$AC:$AC,CONCATENATE(61,N879,"094101"),Adat!$E:$E)*-1</f>
        <v>0</v>
      </c>
      <c r="I899" s="166"/>
      <c r="J899" s="166"/>
      <c r="K899" s="166">
        <f>SUMIF(Adat!$AC:$AC,CONCATENATE(60,N879,"094101"),Adat!$E:$E)*-1+H899</f>
        <v>0</v>
      </c>
    </row>
    <row r="900" spans="2:11" s="13" customFormat="1" ht="12.75" x14ac:dyDescent="0.2">
      <c r="B900" s="160">
        <v>15</v>
      </c>
      <c r="C900" s="305" t="s">
        <v>1297</v>
      </c>
      <c r="D900" s="84" t="s">
        <v>1372</v>
      </c>
      <c r="E900" s="165"/>
      <c r="F900" s="165"/>
      <c r="G900" s="165"/>
      <c r="H900" s="166">
        <f>SUMIF(Adat!$AC:$AC,CONCATENATE(61,N879,"094111"),Adat!$E:$E)*-1</f>
        <v>0</v>
      </c>
      <c r="I900" s="166"/>
      <c r="J900" s="166"/>
      <c r="K900" s="166">
        <f>SUMIF(Adat!$AC:$AC,CONCATENATE(60,N879,"094111"),Adat!$E:$E)*-1+H900</f>
        <v>0</v>
      </c>
    </row>
    <row r="901" spans="2:11" s="13" customFormat="1" ht="12.75" x14ac:dyDescent="0.2">
      <c r="B901" s="160">
        <v>16</v>
      </c>
      <c r="C901" s="78" t="s">
        <v>1328</v>
      </c>
      <c r="D901" s="85" t="s">
        <v>437</v>
      </c>
      <c r="E901" s="120">
        <f>SUM(E902:E904)</f>
        <v>0</v>
      </c>
      <c r="F901" s="120">
        <f t="shared" ref="F901" si="225">SUM(F902:F904)</f>
        <v>0</v>
      </c>
      <c r="G901" s="120">
        <f>SUM(G902:G904)</f>
        <v>0</v>
      </c>
      <c r="H901" s="121">
        <f t="shared" ref="H901" si="226">SUM(H902:H904)</f>
        <v>0</v>
      </c>
      <c r="I901" s="121"/>
      <c r="J901" s="121"/>
      <c r="K901" s="121">
        <f>SUM(K902:K904)</f>
        <v>0</v>
      </c>
    </row>
    <row r="902" spans="2:11" s="13" customFormat="1" ht="12.75" x14ac:dyDescent="0.2">
      <c r="B902" s="160">
        <v>17</v>
      </c>
      <c r="C902" s="305" t="s">
        <v>1329</v>
      </c>
      <c r="D902" s="82" t="s">
        <v>1330</v>
      </c>
      <c r="E902" s="165"/>
      <c r="F902" s="165"/>
      <c r="G902" s="165"/>
      <c r="H902" s="166">
        <f>SUMIF(Adat!$AC:$AC,CONCATENATE(61,N879,"09121"),Adat!$E:$E)*-1</f>
        <v>0</v>
      </c>
      <c r="I902" s="166"/>
      <c r="J902" s="166"/>
      <c r="K902" s="166">
        <f>SUMIF(Adat!$AC:$AC,CONCATENATE(60,N879,"09121"),Adat!$E:$E)*-1+H902</f>
        <v>0</v>
      </c>
    </row>
    <row r="903" spans="2:11" s="13" customFormat="1" ht="12.75" x14ac:dyDescent="0.2">
      <c r="B903" s="160">
        <v>18</v>
      </c>
      <c r="C903" s="305" t="s">
        <v>1335</v>
      </c>
      <c r="D903" s="82" t="s">
        <v>1336</v>
      </c>
      <c r="E903" s="165"/>
      <c r="F903" s="165"/>
      <c r="G903" s="165"/>
      <c r="H903" s="166">
        <f>SUMIF(Adat!$AC:$AC,CONCATENATE(61,N879,"09151"),Adat!$E:$E)*-1</f>
        <v>0</v>
      </c>
      <c r="I903" s="166"/>
      <c r="J903" s="166"/>
      <c r="K903" s="166">
        <f>SUMIF(Adat!$AC:$AC,CONCATENATE(60,N879,"09151"),Adat!$E:$E)*-1+H903</f>
        <v>0</v>
      </c>
    </row>
    <row r="904" spans="2:11" s="13" customFormat="1" ht="12.75" x14ac:dyDescent="0.2">
      <c r="B904" s="160">
        <v>19</v>
      </c>
      <c r="C904" s="305" t="s">
        <v>1278</v>
      </c>
      <c r="D904" s="82" t="s">
        <v>1337</v>
      </c>
      <c r="E904" s="165"/>
      <c r="F904" s="165"/>
      <c r="G904" s="165"/>
      <c r="H904" s="166">
        <f>SUMIF(Adat!$AC:$AC,CONCATENATE(61,N879,"09161"),Adat!$E:$E)*-1</f>
        <v>0</v>
      </c>
      <c r="I904" s="166"/>
      <c r="J904" s="166"/>
      <c r="K904" s="166">
        <f>SUMIF(Adat!$AC:$AC,CONCATENATE(60,N879,"09161"),Adat!$E:$E)*-1+H904</f>
        <v>0</v>
      </c>
    </row>
    <row r="905" spans="2:11" s="13" customFormat="1" ht="12.75" x14ac:dyDescent="0.2">
      <c r="B905" s="160">
        <v>20</v>
      </c>
      <c r="C905" s="79" t="s">
        <v>27</v>
      </c>
      <c r="D905" s="79" t="s">
        <v>328</v>
      </c>
      <c r="E905" s="120">
        <v>0</v>
      </c>
      <c r="F905" s="120">
        <v>0</v>
      </c>
      <c r="G905" s="120">
        <v>0</v>
      </c>
      <c r="H905" s="71">
        <f>SUMIF(Adat!$AE:$AE,CONCATENATE(61,N879,"093"),Adat!$E:$E)*-1</f>
        <v>0</v>
      </c>
      <c r="I905" s="71"/>
      <c r="J905" s="71"/>
      <c r="K905" s="71">
        <f>SUMIF(Adat!$AE:$AE,CONCATENATE(60,N879,"093"),Adat!$E:$E)*-1+H905</f>
        <v>0</v>
      </c>
    </row>
    <row r="906" spans="2:11" s="13" customFormat="1" ht="12.75" x14ac:dyDescent="0.2">
      <c r="B906" s="160">
        <v>21</v>
      </c>
      <c r="C906" s="79" t="s">
        <v>24</v>
      </c>
      <c r="D906" s="79" t="s">
        <v>449</v>
      </c>
      <c r="E906" s="120">
        <f>SUM(E907:E909)</f>
        <v>0</v>
      </c>
      <c r="F906" s="120">
        <f t="shared" ref="F906:G906" si="227">SUM(F907:F909)</f>
        <v>0</v>
      </c>
      <c r="G906" s="120">
        <f t="shared" si="227"/>
        <v>0</v>
      </c>
      <c r="H906" s="121">
        <f>SUM(H907:H909)</f>
        <v>0</v>
      </c>
      <c r="I906" s="121"/>
      <c r="J906" s="121"/>
      <c r="K906" s="121">
        <f t="shared" ref="K906" si="228">SUM(K907:K909)</f>
        <v>0</v>
      </c>
    </row>
    <row r="907" spans="2:11" s="13" customFormat="1" ht="12.75" x14ac:dyDescent="0.2">
      <c r="B907" s="160">
        <v>22</v>
      </c>
      <c r="C907" s="305" t="s">
        <v>1339</v>
      </c>
      <c r="D907" s="82" t="s">
        <v>1340</v>
      </c>
      <c r="E907" s="165"/>
      <c r="F907" s="165"/>
      <c r="G907" s="165"/>
      <c r="H907" s="166">
        <f>SUMIF(Adat!$AC:$AC,CONCATENATE(61,N879,"09211"),Adat!$E:$E)*-1</f>
        <v>0</v>
      </c>
      <c r="I907" s="166"/>
      <c r="J907" s="166"/>
      <c r="K907" s="166">
        <f>SUMIF(Adat!$AC:$AC,CONCATENATE(60,N879,"09211"),Adat!$E:$E)*-1+H907</f>
        <v>0</v>
      </c>
    </row>
    <row r="908" spans="2:11" s="13" customFormat="1" ht="12.75" x14ac:dyDescent="0.2">
      <c r="B908" s="160">
        <v>23</v>
      </c>
      <c r="C908" s="305" t="s">
        <v>1345</v>
      </c>
      <c r="D908" s="82" t="s">
        <v>1346</v>
      </c>
      <c r="E908" s="165"/>
      <c r="F908" s="165"/>
      <c r="G908" s="165"/>
      <c r="H908" s="166">
        <f>SUMIF(Adat!$AC:$AC,CONCATENATE(61,N879,"09241"),Adat!$E:$E)*-1</f>
        <v>0</v>
      </c>
      <c r="I908" s="166"/>
      <c r="J908" s="166"/>
      <c r="K908" s="166">
        <f>SUMIF(Adat!$AC:$AC,CONCATENATE(60,N879,"09241"),Adat!$E:$E)*-1+H908</f>
        <v>0</v>
      </c>
    </row>
    <row r="909" spans="2:11" s="13" customFormat="1" ht="12.75" x14ac:dyDescent="0.2">
      <c r="B909" s="160">
        <v>24</v>
      </c>
      <c r="C909" s="305" t="s">
        <v>1255</v>
      </c>
      <c r="D909" s="82" t="s">
        <v>1347</v>
      </c>
      <c r="E909" s="165"/>
      <c r="F909" s="165"/>
      <c r="G909" s="165"/>
      <c r="H909" s="166">
        <f>SUMIF(Adat!$AC:$AC,CONCATENATE(61,N879,"09251"),Adat!$E:$E)*-1</f>
        <v>0</v>
      </c>
      <c r="I909" s="166"/>
      <c r="J909" s="166"/>
      <c r="K909" s="166">
        <f>SUMIF(Adat!$AC:$AC,CONCATENATE(60,N879,"09251"),Adat!$E:$E)*-1+H909</f>
        <v>0</v>
      </c>
    </row>
    <row r="910" spans="2:11" s="13" customFormat="1" ht="12.75" x14ac:dyDescent="0.2">
      <c r="B910" s="160">
        <v>25</v>
      </c>
      <c r="C910" s="79" t="s">
        <v>33</v>
      </c>
      <c r="D910" s="79" t="s">
        <v>330</v>
      </c>
      <c r="E910" s="120">
        <f>SUM(E911:E913)</f>
        <v>0</v>
      </c>
      <c r="F910" s="120">
        <f t="shared" ref="F910:K910" si="229">SUM(F911:F913)</f>
        <v>0</v>
      </c>
      <c r="G910" s="120">
        <f t="shared" si="229"/>
        <v>0</v>
      </c>
      <c r="H910" s="121">
        <f t="shared" si="229"/>
        <v>0</v>
      </c>
      <c r="I910" s="121"/>
      <c r="J910" s="121"/>
      <c r="K910" s="121">
        <f t="shared" si="229"/>
        <v>0</v>
      </c>
    </row>
    <row r="911" spans="2:11" s="13" customFormat="1" ht="12.75" x14ac:dyDescent="0.2">
      <c r="B911" s="160">
        <v>26</v>
      </c>
      <c r="C911" s="305" t="s">
        <v>1373</v>
      </c>
      <c r="D911" s="82" t="s">
        <v>1374</v>
      </c>
      <c r="E911" s="165"/>
      <c r="F911" s="165"/>
      <c r="G911" s="165"/>
      <c r="H911" s="166">
        <f>SUMIF(Adat!$AC:$AC,CONCATENATE(61,N879,"09511"),Adat!$E:$E)*-1</f>
        <v>0</v>
      </c>
      <c r="I911" s="166"/>
      <c r="J911" s="166"/>
      <c r="K911" s="166">
        <f>SUMIF(Adat!$AC:$AC,CONCATENATE(60,N879,"09511"),Adat!$E:$E)*-1+H911</f>
        <v>0</v>
      </c>
    </row>
    <row r="912" spans="2:11" s="13" customFormat="1" ht="12.75" x14ac:dyDescent="0.2">
      <c r="B912" s="160">
        <v>27</v>
      </c>
      <c r="C912" s="305" t="s">
        <v>1294</v>
      </c>
      <c r="D912" s="82" t="s">
        <v>1375</v>
      </c>
      <c r="E912" s="165"/>
      <c r="F912" s="165"/>
      <c r="G912" s="165"/>
      <c r="H912" s="166">
        <f>SUMIF(Adat!$AC:$AC,CONCATENATE(61,N879,"09521"),Adat!$E:$E)*-1</f>
        <v>0</v>
      </c>
      <c r="I912" s="166"/>
      <c r="J912" s="166"/>
      <c r="K912" s="166">
        <f>SUMIF(Adat!$AC:$AC,CONCATENATE(60,N879,"09521"),Adat!$E:$E)*-1+H912</f>
        <v>0</v>
      </c>
    </row>
    <row r="913" spans="2:15" s="13" customFormat="1" ht="12.75" x14ac:dyDescent="0.2">
      <c r="B913" s="160">
        <v>28</v>
      </c>
      <c r="C913" s="305" t="s">
        <v>1376</v>
      </c>
      <c r="D913" s="82" t="s">
        <v>1377</v>
      </c>
      <c r="E913" s="165"/>
      <c r="F913" s="165"/>
      <c r="G913" s="165"/>
      <c r="H913" s="166">
        <f>SUMIF(Adat!$AC:$AC,CONCATENATE(61,N879,"09531"),Adat!$E:$E)*-1</f>
        <v>0</v>
      </c>
      <c r="I913" s="166"/>
      <c r="J913" s="166"/>
      <c r="K913" s="166">
        <f>SUMIF(Adat!$AC:$AC,CONCATENATE(60,N879,"09531"),Adat!$E:$E)*-1+H913</f>
        <v>0</v>
      </c>
    </row>
    <row r="914" spans="2:15" s="13" customFormat="1" ht="12.75" x14ac:dyDescent="0.2">
      <c r="B914" s="160">
        <v>29</v>
      </c>
      <c r="C914" s="79" t="s">
        <v>36</v>
      </c>
      <c r="D914" s="79" t="s">
        <v>331</v>
      </c>
      <c r="E914" s="120">
        <v>0</v>
      </c>
      <c r="F914" s="120">
        <v>0</v>
      </c>
      <c r="G914" s="120">
        <v>0</v>
      </c>
      <c r="H914" s="71">
        <f>SUMIF(Adat!$AE:$AE,CONCATENATE(61,N879,"096"),Adat!$E:$E)*-1</f>
        <v>0</v>
      </c>
      <c r="I914" s="71"/>
      <c r="J914" s="71"/>
      <c r="K914" s="71">
        <f>SUMIF(Adat!$AE:$AE,CONCATENATE(60,N879,"096"),Adat!$E:$E)*-1+H914</f>
        <v>0</v>
      </c>
    </row>
    <row r="915" spans="2:15" s="13" customFormat="1" ht="12.75" x14ac:dyDescent="0.2">
      <c r="B915" s="160">
        <v>30</v>
      </c>
      <c r="C915" s="79" t="s">
        <v>38</v>
      </c>
      <c r="D915" s="85" t="s">
        <v>332</v>
      </c>
      <c r="E915" s="120">
        <v>0</v>
      </c>
      <c r="F915" s="120">
        <v>0</v>
      </c>
      <c r="G915" s="120">
        <v>0</v>
      </c>
      <c r="H915" s="71">
        <f>SUMIF(Adat!$AE:$AE,CONCATENATE(61,N879,"097"),Adat!$E:$E)*-1</f>
        <v>0</v>
      </c>
      <c r="I915" s="71"/>
      <c r="J915" s="71"/>
      <c r="K915" s="71">
        <f>SUMIF(Adat!$AE:$AE,CONCATENATE(60,N879,"097"),Adat!$E:$E)*-1+H915</f>
        <v>0</v>
      </c>
    </row>
    <row r="916" spans="2:15" s="13" customFormat="1" ht="12.75" x14ac:dyDescent="0.2">
      <c r="B916" s="160">
        <v>31</v>
      </c>
      <c r="C916" s="154" t="s">
        <v>352</v>
      </c>
      <c r="D916" s="86" t="s">
        <v>1500</v>
      </c>
      <c r="E916" s="120">
        <f>E887+E901+E905+E906+E910+E914+E915</f>
        <v>0</v>
      </c>
      <c r="F916" s="120">
        <f>F887+F901+F905+F906+F910+F914+F915</f>
        <v>0</v>
      </c>
      <c r="G916" s="120">
        <f>G887+G901+G905+G906+G910+G914+G915</f>
        <v>0</v>
      </c>
      <c r="H916" s="121">
        <f>H887+H901+H905+H906+H910+H914+H915</f>
        <v>0</v>
      </c>
      <c r="I916" s="121"/>
      <c r="J916" s="121"/>
      <c r="K916" s="121">
        <f>K887+K901+K905+K906+K910+K914+K915</f>
        <v>0</v>
      </c>
    </row>
    <row r="917" spans="2:15" s="13" customFormat="1" ht="12.75" x14ac:dyDescent="0.2">
      <c r="B917" s="160">
        <v>32</v>
      </c>
      <c r="C917" s="154" t="s">
        <v>358</v>
      </c>
      <c r="D917" s="86" t="s">
        <v>333</v>
      </c>
      <c r="E917" s="120">
        <f>SUM(E918:E920)</f>
        <v>0</v>
      </c>
      <c r="F917" s="120">
        <f t="shared" ref="F917" si="230">SUM(F918:F920)</f>
        <v>0</v>
      </c>
      <c r="G917" s="120">
        <f>SUM(G918:G920)</f>
        <v>0</v>
      </c>
      <c r="H917" s="121">
        <f t="shared" ref="H917:K917" si="231">SUM(H918:H920)</f>
        <v>0</v>
      </c>
      <c r="I917" s="121"/>
      <c r="J917" s="121"/>
      <c r="K917" s="121">
        <f t="shared" si="231"/>
        <v>0</v>
      </c>
    </row>
    <row r="918" spans="2:15" s="13" customFormat="1" ht="12.75" x14ac:dyDescent="0.2">
      <c r="B918" s="160">
        <v>33</v>
      </c>
      <c r="C918" s="305" t="s">
        <v>1274</v>
      </c>
      <c r="D918" s="82" t="s">
        <v>1419</v>
      </c>
      <c r="E918" s="165"/>
      <c r="F918" s="165"/>
      <c r="G918" s="165"/>
      <c r="H918" s="166">
        <f>SUMIF(Adat!$AC:$AC,CONCATENATE(61,N879,"0981311"),Adat!$E:$E)*-1</f>
        <v>0</v>
      </c>
      <c r="I918" s="166"/>
      <c r="J918" s="166"/>
      <c r="K918" s="166">
        <f>SUMIF(Adat!$AC:$AC,CONCATENATE(60,N879,"0981311"),Adat!$E:$E)*-1+H918</f>
        <v>0</v>
      </c>
    </row>
    <row r="919" spans="2:15" s="13" customFormat="1" ht="12.75" x14ac:dyDescent="0.2">
      <c r="B919" s="160">
        <v>34</v>
      </c>
      <c r="C919" s="305" t="s">
        <v>1420</v>
      </c>
      <c r="D919" s="84" t="s">
        <v>1421</v>
      </c>
      <c r="E919" s="165"/>
      <c r="F919" s="165"/>
      <c r="G919" s="165"/>
      <c r="H919" s="166">
        <f>SUMIF(Adat!$AC:$AC,CONCATENATE(61,N879,"0981321"),Adat!$E:$E)*-1</f>
        <v>0</v>
      </c>
      <c r="I919" s="166"/>
      <c r="J919" s="166"/>
      <c r="K919" s="166">
        <f>SUMIF(Adat!$AC:$AC,CONCATENATE(60,N879,"0981321"),Adat!$E:$E)*-1+H919</f>
        <v>0</v>
      </c>
    </row>
    <row r="920" spans="2:15" s="13" customFormat="1" ht="12.75" x14ac:dyDescent="0.2">
      <c r="B920" s="160">
        <v>35</v>
      </c>
      <c r="C920" s="319" t="s">
        <v>1275</v>
      </c>
      <c r="D920" s="84" t="s">
        <v>1501</v>
      </c>
      <c r="E920" s="165"/>
      <c r="F920" s="165"/>
      <c r="G920" s="165"/>
      <c r="H920" s="166">
        <f>SUMIF(Adat!$AC:$AC,CONCATENATE(61,N879,"098161"),Adat!$E:$E)*-1</f>
        <v>0</v>
      </c>
      <c r="I920" s="166"/>
      <c r="J920" s="166"/>
      <c r="K920" s="166">
        <f>SUMIF(Adat!$AC:$AC,CONCATENATE(60,N879,"098161"),Adat!$E:$E)*-1+H920</f>
        <v>0</v>
      </c>
    </row>
    <row r="921" spans="2:15" s="13" customFormat="1" ht="12.75" x14ac:dyDescent="0.2">
      <c r="B921" s="160">
        <v>36</v>
      </c>
      <c r="C921" s="154" t="s">
        <v>364</v>
      </c>
      <c r="D921" s="159" t="s">
        <v>1502</v>
      </c>
      <c r="E921" s="120">
        <f>E916+E917</f>
        <v>0</v>
      </c>
      <c r="F921" s="120">
        <f t="shared" ref="F921:G921" si="232">F916+F917</f>
        <v>0</v>
      </c>
      <c r="G921" s="120">
        <f t="shared" si="232"/>
        <v>0</v>
      </c>
      <c r="H921" s="121">
        <f>H916+H917</f>
        <v>0</v>
      </c>
      <c r="I921" s="121"/>
      <c r="J921" s="121"/>
      <c r="K921" s="121">
        <f>K916+K917</f>
        <v>0</v>
      </c>
    </row>
    <row r="922" spans="2:15" x14ac:dyDescent="0.25">
      <c r="B922" s="40"/>
      <c r="C922" s="256"/>
      <c r="D922" s="40"/>
      <c r="E922" s="13"/>
      <c r="F922" s="13"/>
      <c r="G922" s="13"/>
      <c r="H922" s="39"/>
      <c r="I922" s="39"/>
      <c r="J922" s="39"/>
      <c r="K922" s="13"/>
      <c r="L922" s="13"/>
      <c r="M922" s="13"/>
      <c r="N922" s="13"/>
      <c r="O922" s="13"/>
    </row>
    <row r="923" spans="2:15" x14ac:dyDescent="0.25">
      <c r="B923" s="202" t="s">
        <v>1516</v>
      </c>
      <c r="C923" s="260"/>
      <c r="D923" s="260"/>
      <c r="E923" s="13"/>
      <c r="F923" s="13"/>
      <c r="G923" s="13"/>
      <c r="H923" s="260"/>
      <c r="I923" s="260"/>
      <c r="J923" s="260"/>
      <c r="K923" s="13"/>
      <c r="L923" s="13"/>
      <c r="M923" s="13"/>
      <c r="N923" s="13"/>
      <c r="O923" s="13"/>
    </row>
    <row r="924" spans="2:15" x14ac:dyDescent="0.25">
      <c r="B924" s="40"/>
      <c r="C924" s="256"/>
      <c r="D924" s="40"/>
      <c r="E924" s="13"/>
      <c r="F924" s="13"/>
      <c r="G924" s="13"/>
      <c r="H924" s="39"/>
      <c r="I924" s="39"/>
      <c r="J924" s="39"/>
      <c r="K924" s="13"/>
      <c r="L924" s="13"/>
      <c r="M924" s="13"/>
      <c r="N924" s="13"/>
      <c r="O924" s="13"/>
    </row>
    <row r="925" spans="2:15" s="13" customFormat="1" ht="12.75" x14ac:dyDescent="0.2">
      <c r="B925" s="77"/>
      <c r="C925" s="77" t="s">
        <v>350</v>
      </c>
      <c r="D925" s="77" t="s">
        <v>351</v>
      </c>
      <c r="E925" s="77" t="s">
        <v>470</v>
      </c>
      <c r="F925" s="77" t="s">
        <v>471</v>
      </c>
      <c r="G925" s="77" t="s">
        <v>44</v>
      </c>
      <c r="H925" s="77" t="s">
        <v>42</v>
      </c>
      <c r="I925" s="77"/>
      <c r="J925" s="77"/>
      <c r="K925" s="77" t="s">
        <v>511</v>
      </c>
    </row>
    <row r="926" spans="2:15" s="13" customFormat="1" ht="38.25" x14ac:dyDescent="0.2">
      <c r="B926" s="68">
        <v>1</v>
      </c>
      <c r="C926" s="78" t="s">
        <v>348</v>
      </c>
      <c r="D926" s="78" t="s">
        <v>349</v>
      </c>
      <c r="E926" s="69" t="str">
        <f>CONCATENATE(PAR!$H$12," évi 
teljesítés")</f>
        <v>2022. évi 
teljesítés</v>
      </c>
      <c r="F926" s="69" t="str">
        <f>CONCATENATE(PAR!$H$11," évi 
teljesítés")</f>
        <v>2023. évi 
teljesítés</v>
      </c>
      <c r="G926" s="69" t="str">
        <f>CONCATENATE(PAR!$H$10," évi 
teljesítés")</f>
        <v>2024. évi 
teljesítés</v>
      </c>
      <c r="H926" s="163" t="str">
        <f>CONCATENATE(PAR!$H$3," évi
eredeti 
előirányzat")</f>
        <v>2025. évi
eredeti 
előirányzat</v>
      </c>
      <c r="I926" s="163"/>
      <c r="J926" s="163"/>
      <c r="K926" s="163" t="str">
        <f>CONCATENATE(PAR!$H$3," évi
módosított 
előirányzat")</f>
        <v>2025. évi
módosított 
előirányzat</v>
      </c>
    </row>
    <row r="927" spans="2:15" s="13" customFormat="1" ht="12.75" x14ac:dyDescent="0.2">
      <c r="B927" s="160">
        <v>2</v>
      </c>
      <c r="C927" s="78" t="s">
        <v>352</v>
      </c>
      <c r="D927" s="92" t="s">
        <v>1444</v>
      </c>
      <c r="E927" s="120">
        <f>SUM(E928:E932)</f>
        <v>0</v>
      </c>
      <c r="F927" s="120">
        <f>SUM(F928:F932)</f>
        <v>0</v>
      </c>
      <c r="G927" s="120">
        <f>SUM(G928:G932)</f>
        <v>0</v>
      </c>
      <c r="H927" s="121">
        <f>SUM(H928:H932)</f>
        <v>0</v>
      </c>
      <c r="I927" s="121"/>
      <c r="J927" s="121"/>
      <c r="K927" s="121">
        <f t="shared" ref="K927" si="233">SUM(K928:K932)</f>
        <v>0</v>
      </c>
    </row>
    <row r="928" spans="2:15" s="13" customFormat="1" ht="12.75" x14ac:dyDescent="0.2">
      <c r="B928" s="160">
        <v>3</v>
      </c>
      <c r="C928" s="305" t="s">
        <v>315</v>
      </c>
      <c r="D928" s="93" t="s">
        <v>342</v>
      </c>
      <c r="E928" s="165"/>
      <c r="F928" s="165"/>
      <c r="G928" s="285"/>
      <c r="H928" s="72">
        <f>SUMIF(Adat!$AE:$AE,CONCATENATE(61,N879,"051"),Adat!$E:$E)</f>
        <v>0</v>
      </c>
      <c r="I928" s="72"/>
      <c r="J928" s="72"/>
      <c r="K928" s="72">
        <f>SUMIF(Adat!$AE:$AE,CONCATENATE(60,N879,"051"),Adat!$E:$E)+H928</f>
        <v>0</v>
      </c>
    </row>
    <row r="929" spans="2:15" s="13" customFormat="1" ht="12.75" x14ac:dyDescent="0.2">
      <c r="B929" s="160">
        <v>4</v>
      </c>
      <c r="C929" s="305" t="s">
        <v>317</v>
      </c>
      <c r="D929" s="93" t="s">
        <v>395</v>
      </c>
      <c r="E929" s="165"/>
      <c r="F929" s="165"/>
      <c r="G929" s="285"/>
      <c r="H929" s="72">
        <f>SUMIF(Adat!$AE:$AE,CONCATENATE(61,N879,"052"),Adat!$E:$E)</f>
        <v>0</v>
      </c>
      <c r="I929" s="72"/>
      <c r="J929" s="72"/>
      <c r="K929" s="72">
        <f>SUMIF(Adat!$AE:$AE,CONCATENATE(60,N879,"052"),Adat!$E:$E)+H929</f>
        <v>0</v>
      </c>
    </row>
    <row r="930" spans="2:15" s="13" customFormat="1" ht="12.75" x14ac:dyDescent="0.2">
      <c r="B930" s="160">
        <v>5</v>
      </c>
      <c r="C930" s="305" t="s">
        <v>4</v>
      </c>
      <c r="D930" s="93" t="s">
        <v>344</v>
      </c>
      <c r="E930" s="165"/>
      <c r="F930" s="165"/>
      <c r="G930" s="285"/>
      <c r="H930" s="72">
        <f>SUMIF(Adat!$AE:$AE,CONCATENATE(61,N879,"053"),Adat!$E:$E)</f>
        <v>0</v>
      </c>
      <c r="I930" s="72"/>
      <c r="J930" s="72"/>
      <c r="K930" s="72">
        <f>SUMIF(Adat!$AE:$AE,CONCATENATE(60,N879,"053"),Adat!$E:$E)+H930</f>
        <v>0</v>
      </c>
    </row>
    <row r="931" spans="2:15" s="13" customFormat="1" ht="12.75" x14ac:dyDescent="0.2">
      <c r="B931" s="160">
        <v>6</v>
      </c>
      <c r="C931" s="305" t="s">
        <v>6</v>
      </c>
      <c r="D931" s="93" t="s">
        <v>345</v>
      </c>
      <c r="E931" s="165"/>
      <c r="F931" s="165"/>
      <c r="G931" s="285"/>
      <c r="H931" s="72">
        <f>SUMIF(Adat!$AE:$AE,CONCATENATE(61,N879,"054"),Adat!$E:$E)</f>
        <v>0</v>
      </c>
      <c r="I931" s="72"/>
      <c r="J931" s="72"/>
      <c r="K931" s="72">
        <f>SUMIF(Adat!$AE:$AE,CONCATENATE(60,N879,"054"),Adat!$E:$E)+H931</f>
        <v>0</v>
      </c>
    </row>
    <row r="932" spans="2:15" s="13" customFormat="1" ht="12.75" x14ac:dyDescent="0.2">
      <c r="B932" s="160">
        <v>7</v>
      </c>
      <c r="C932" s="305" t="s">
        <v>8</v>
      </c>
      <c r="D932" s="93" t="s">
        <v>321</v>
      </c>
      <c r="E932" s="165"/>
      <c r="F932" s="165"/>
      <c r="G932" s="285"/>
      <c r="H932" s="72">
        <f>SUMIF(Adat!$AE:$AE,CONCATENATE(61,N879,"055"),Adat!$E:$E)</f>
        <v>0</v>
      </c>
      <c r="I932" s="72"/>
      <c r="J932" s="72"/>
      <c r="K932" s="72">
        <f>SUMIF(Adat!$AE:$AE,CONCATENATE(60,N879,"055"),Adat!$E:$E)+H932</f>
        <v>0</v>
      </c>
    </row>
    <row r="933" spans="2:15" s="13" customFormat="1" ht="12.75" x14ac:dyDescent="0.2">
      <c r="B933" s="160">
        <v>8</v>
      </c>
      <c r="C933" s="78" t="s">
        <v>358</v>
      </c>
      <c r="D933" s="92" t="s">
        <v>1447</v>
      </c>
      <c r="E933" s="120">
        <f>SUM(E934:E936)</f>
        <v>0</v>
      </c>
      <c r="F933" s="120">
        <f t="shared" ref="F933:K933" si="234">SUM(F934:F936)</f>
        <v>0</v>
      </c>
      <c r="G933" s="120">
        <f t="shared" si="234"/>
        <v>0</v>
      </c>
      <c r="H933" s="121">
        <f t="shared" si="234"/>
        <v>0</v>
      </c>
      <c r="I933" s="121"/>
      <c r="J933" s="121"/>
      <c r="K933" s="121">
        <f t="shared" si="234"/>
        <v>0</v>
      </c>
    </row>
    <row r="934" spans="2:15" s="13" customFormat="1" ht="12.75" x14ac:dyDescent="0.2">
      <c r="B934" s="160">
        <v>9</v>
      </c>
      <c r="C934" s="305" t="s">
        <v>10</v>
      </c>
      <c r="D934" s="93" t="s">
        <v>322</v>
      </c>
      <c r="E934" s="165"/>
      <c r="F934" s="165"/>
      <c r="G934" s="285"/>
      <c r="H934" s="72">
        <f>SUMIF(Adat!$AE:$AE,CONCATENATE(61,N879,"056"),Adat!$E:$E)</f>
        <v>0</v>
      </c>
      <c r="I934" s="72"/>
      <c r="J934" s="72"/>
      <c r="K934" s="72">
        <f>SUMIF(Adat!$AE:$AE,CONCATENATE(60,N879,"056"),Adat!$E:$E)+H934</f>
        <v>0</v>
      </c>
    </row>
    <row r="935" spans="2:15" s="13" customFormat="1" ht="12.75" x14ac:dyDescent="0.2">
      <c r="B935" s="160">
        <v>10</v>
      </c>
      <c r="C935" s="305" t="s">
        <v>12</v>
      </c>
      <c r="D935" s="93" t="s">
        <v>323</v>
      </c>
      <c r="E935" s="165"/>
      <c r="F935" s="165"/>
      <c r="G935" s="165"/>
      <c r="H935" s="72">
        <f>SUMIF(Adat!$AE:$AE,CONCATENATE(61,N879,"057"),Adat!$E:$E)</f>
        <v>0</v>
      </c>
      <c r="I935" s="72"/>
      <c r="J935" s="72"/>
      <c r="K935" s="72">
        <f>SUMIF(Adat!$AE:$AE,CONCATENATE(60,N879,"057"),Adat!$E:$E)+H935</f>
        <v>0</v>
      </c>
    </row>
    <row r="936" spans="2:15" s="13" customFormat="1" ht="12.75" x14ac:dyDescent="0.2">
      <c r="B936" s="160">
        <v>11</v>
      </c>
      <c r="C936" s="305" t="s">
        <v>15</v>
      </c>
      <c r="D936" s="84" t="s">
        <v>324</v>
      </c>
      <c r="E936" s="165"/>
      <c r="F936" s="165"/>
      <c r="G936" s="165"/>
      <c r="H936" s="72">
        <f>SUMIF(Adat!$AE:$AE,CONCATENATE(61,N879,"058"),Adat!$E:$E)</f>
        <v>0</v>
      </c>
      <c r="I936" s="72"/>
      <c r="J936" s="72"/>
      <c r="K936" s="72">
        <f>SUMIF(Adat!$AE:$AE,CONCATENATE(60,N879,"058"),Adat!$E:$E)+H936</f>
        <v>0</v>
      </c>
    </row>
    <row r="937" spans="2:15" s="13" customFormat="1" ht="12.75" x14ac:dyDescent="0.2">
      <c r="B937" s="160">
        <v>12</v>
      </c>
      <c r="C937" s="154" t="s">
        <v>364</v>
      </c>
      <c r="D937" s="86" t="s">
        <v>325</v>
      </c>
      <c r="E937" s="120">
        <v>0</v>
      </c>
      <c r="F937" s="120">
        <v>0</v>
      </c>
      <c r="G937" s="120">
        <v>0</v>
      </c>
      <c r="H937" s="71">
        <f>SUMIF(Adat!$AE:$AE,CONCATENATE(61,N879,"059"),Adat!$E:$E)</f>
        <v>0</v>
      </c>
      <c r="I937" s="71"/>
      <c r="J937" s="71"/>
      <c r="K937" s="71">
        <f>SUMIF(Adat!$AE:$AE,CONCATENATE(60,N879,"059"),Adat!$E:$E)+H937</f>
        <v>0</v>
      </c>
    </row>
    <row r="938" spans="2:15" s="13" customFormat="1" ht="12.75" x14ac:dyDescent="0.2">
      <c r="B938" s="160">
        <v>13</v>
      </c>
      <c r="C938" s="154" t="s">
        <v>403</v>
      </c>
      <c r="D938" s="159" t="s">
        <v>497</v>
      </c>
      <c r="E938" s="120">
        <f>E927+E933+E937</f>
        <v>0</v>
      </c>
      <c r="F938" s="120">
        <f>F927+F933+F937</f>
        <v>0</v>
      </c>
      <c r="G938" s="120">
        <f>G927+G933+G937</f>
        <v>0</v>
      </c>
      <c r="H938" s="121">
        <f>H927+H933+H937</f>
        <v>0</v>
      </c>
      <c r="I938" s="121"/>
      <c r="J938" s="121"/>
      <c r="K938" s="121">
        <f>K927+K933+K937</f>
        <v>0</v>
      </c>
    </row>
    <row r="939" spans="2:15" x14ac:dyDescent="0.25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</row>
    <row r="940" spans="2:15" x14ac:dyDescent="0.25">
      <c r="B940" s="511" t="str">
        <f>O940</f>
        <v/>
      </c>
      <c r="C940" s="511"/>
      <c r="D940" s="511"/>
      <c r="E940" s="511"/>
      <c r="F940" s="511"/>
      <c r="G940" s="511"/>
      <c r="H940" s="511"/>
      <c r="I940" s="511"/>
      <c r="J940" s="511"/>
      <c r="K940" s="511"/>
      <c r="L940" s="13"/>
      <c r="M940" s="318">
        <v>15</v>
      </c>
      <c r="N940" s="320">
        <f>VLOOKUP(M940,Info!$B$5:$D$55,3)</f>
        <v>0</v>
      </c>
      <c r="O940" s="321" t="str">
        <f>VLOOKUP(M940,Info!$B$5:$D$55,2)</f>
        <v/>
      </c>
    </row>
    <row r="941" spans="2:15" x14ac:dyDescent="0.25">
      <c r="B941" s="534" t="str">
        <f>CONCATENATE(PAR!$H$3," évi költségvetés és az előző három év összevont mérlege")</f>
        <v>2025. évi költségvetés és az előző három év összevont mérlege</v>
      </c>
      <c r="C941" s="534"/>
      <c r="D941" s="534"/>
      <c r="E941" s="534"/>
      <c r="F941" s="534"/>
      <c r="G941" s="534"/>
      <c r="H941" s="534"/>
      <c r="I941" s="534"/>
      <c r="J941" s="534"/>
      <c r="K941" s="534"/>
      <c r="L941" s="13"/>
      <c r="M941" s="13"/>
      <c r="N941" s="13"/>
      <c r="O941" s="13"/>
    </row>
    <row r="942" spans="2:15" x14ac:dyDescent="0.25">
      <c r="B942" s="535" t="s">
        <v>337</v>
      </c>
      <c r="C942" s="535"/>
      <c r="D942" s="535"/>
      <c r="E942" s="535"/>
      <c r="F942" s="535"/>
      <c r="G942" s="535"/>
      <c r="H942" s="535"/>
      <c r="I942" s="535"/>
      <c r="J942" s="535"/>
      <c r="K942" s="535"/>
      <c r="L942" s="13"/>
      <c r="M942" s="13"/>
      <c r="N942" s="13"/>
      <c r="O942" s="13"/>
    </row>
    <row r="943" spans="2:15" x14ac:dyDescent="0.25">
      <c r="B943" s="40"/>
      <c r="C943" s="256"/>
      <c r="D943" s="40"/>
      <c r="E943" s="39"/>
      <c r="F943" s="40"/>
      <c r="G943" s="40"/>
      <c r="H943" s="40"/>
      <c r="I943" s="40"/>
      <c r="J943" s="40"/>
      <c r="K943" s="13"/>
      <c r="L943" s="13"/>
      <c r="M943" s="13"/>
      <c r="N943" s="13"/>
      <c r="O943" s="13"/>
    </row>
    <row r="944" spans="2:15" x14ac:dyDescent="0.25">
      <c r="B944" s="201" t="s">
        <v>1517</v>
      </c>
      <c r="C944" s="201"/>
      <c r="D944" s="201"/>
      <c r="E944" s="201"/>
      <c r="F944" s="201"/>
      <c r="G944" s="201"/>
      <c r="H944" s="201"/>
      <c r="I944" s="201"/>
      <c r="J944" s="201"/>
      <c r="K944" s="201"/>
      <c r="L944" s="13"/>
      <c r="M944" s="13"/>
      <c r="N944" s="13"/>
      <c r="O944" s="13"/>
    </row>
    <row r="945" spans="2:15" x14ac:dyDescent="0.25">
      <c r="B945" s="40"/>
      <c r="C945" s="256"/>
      <c r="D945" s="40"/>
      <c r="E945" s="39"/>
      <c r="F945" s="40"/>
      <c r="G945" s="40"/>
      <c r="H945" s="40"/>
      <c r="I945" s="40"/>
      <c r="J945" s="40"/>
      <c r="K945" s="13"/>
      <c r="L945" s="13"/>
      <c r="M945" s="13"/>
      <c r="N945" s="13"/>
      <c r="O945" s="13"/>
    </row>
    <row r="946" spans="2:15" s="13" customFormat="1" ht="12.75" x14ac:dyDescent="0.2">
      <c r="B946" s="77"/>
      <c r="C946" s="77" t="s">
        <v>350</v>
      </c>
      <c r="D946" s="77" t="s">
        <v>351</v>
      </c>
      <c r="E946" s="77" t="s">
        <v>470</v>
      </c>
      <c r="F946" s="77" t="s">
        <v>471</v>
      </c>
      <c r="G946" s="77" t="s">
        <v>44</v>
      </c>
      <c r="H946" s="77" t="s">
        <v>42</v>
      </c>
      <c r="I946" s="77"/>
      <c r="J946" s="77"/>
      <c r="K946" s="77" t="s">
        <v>511</v>
      </c>
    </row>
    <row r="947" spans="2:15" s="13" customFormat="1" ht="38.25" x14ac:dyDescent="0.2">
      <c r="B947" s="68">
        <v>1</v>
      </c>
      <c r="C947" s="78" t="s">
        <v>348</v>
      </c>
      <c r="D947" s="78" t="s">
        <v>349</v>
      </c>
      <c r="E947" s="69" t="str">
        <f>CONCATENATE(PAR!$H$12," évi 
teljesítés")</f>
        <v>2022. évi 
teljesítés</v>
      </c>
      <c r="F947" s="69" t="str">
        <f>CONCATENATE(PAR!$H$11," évi 
teljesítés")</f>
        <v>2023. évi 
teljesítés</v>
      </c>
      <c r="G947" s="69" t="str">
        <f>CONCATENATE(PAR!$H$10," évi 
teljesítés")</f>
        <v>2024. évi 
teljesítés</v>
      </c>
      <c r="H947" s="163" t="str">
        <f>CONCATENATE(PAR!$H$3," évi
eredeti 
előirányzat")</f>
        <v>2025. évi
eredeti 
előirányzat</v>
      </c>
      <c r="I947" s="163"/>
      <c r="J947" s="163"/>
      <c r="K947" s="163" t="str">
        <f>CONCATENATE(PAR!$H$3," évi
módosított 
előirányzat")</f>
        <v>2025. évi
módosított 
előirányzat</v>
      </c>
    </row>
    <row r="948" spans="2:15" s="13" customFormat="1" ht="12.75" x14ac:dyDescent="0.2">
      <c r="B948" s="160">
        <v>2</v>
      </c>
      <c r="C948" s="79" t="s">
        <v>30</v>
      </c>
      <c r="D948" s="79" t="s">
        <v>329</v>
      </c>
      <c r="E948" s="120">
        <f>SUM(E949:E961)</f>
        <v>0</v>
      </c>
      <c r="F948" s="120">
        <f t="shared" ref="F948" si="235">SUM(F949:F961)</f>
        <v>0</v>
      </c>
      <c r="G948" s="120">
        <f>SUM(G949:G961)</f>
        <v>0</v>
      </c>
      <c r="H948" s="121">
        <f t="shared" ref="H948" si="236">SUM(H949:H961)</f>
        <v>0</v>
      </c>
      <c r="I948" s="121"/>
      <c r="J948" s="121"/>
      <c r="K948" s="121">
        <f>SUM(K949:K961)</f>
        <v>0</v>
      </c>
    </row>
    <row r="949" spans="2:15" s="13" customFormat="1" ht="12.75" x14ac:dyDescent="0.2">
      <c r="B949" s="160">
        <v>3</v>
      </c>
      <c r="C949" s="305" t="s">
        <v>1309</v>
      </c>
      <c r="D949" s="82" t="s">
        <v>1356</v>
      </c>
      <c r="E949" s="165"/>
      <c r="F949" s="165"/>
      <c r="G949" s="165"/>
      <c r="H949" s="166">
        <f>SUMIF(Adat!$AC:$AC,CONCATENATE(61,N940,"094011"),Adat!$E:$E)*-1</f>
        <v>0</v>
      </c>
      <c r="I949" s="166"/>
      <c r="J949" s="166"/>
      <c r="K949" s="166">
        <f>SUMIF(Adat!$AC:$AC,CONCATENATE(60,N940,"094011"),Adat!$E:$E)*-1+H949</f>
        <v>0</v>
      </c>
    </row>
    <row r="950" spans="2:15" s="13" customFormat="1" ht="12.75" x14ac:dyDescent="0.2">
      <c r="B950" s="160">
        <v>4</v>
      </c>
      <c r="C950" s="305" t="s">
        <v>1279</v>
      </c>
      <c r="D950" s="82" t="s">
        <v>1357</v>
      </c>
      <c r="E950" s="165"/>
      <c r="F950" s="165"/>
      <c r="G950" s="165"/>
      <c r="H950" s="166">
        <f>SUMIF(Adat!$AC:$AC,CONCATENATE(61,N940,"094021"),Adat!$E:$E)*-1</f>
        <v>0</v>
      </c>
      <c r="I950" s="166"/>
      <c r="J950" s="166"/>
      <c r="K950" s="166">
        <f>SUMIF(Adat!$AC:$AC,CONCATENATE(60,N940,"094021"),Adat!$E:$E)*-1+H950</f>
        <v>0</v>
      </c>
    </row>
    <row r="951" spans="2:15" s="13" customFormat="1" ht="12.75" x14ac:dyDescent="0.2">
      <c r="B951" s="160">
        <v>5</v>
      </c>
      <c r="C951" s="305" t="s">
        <v>1272</v>
      </c>
      <c r="D951" s="82" t="s">
        <v>1358</v>
      </c>
      <c r="E951" s="165"/>
      <c r="F951" s="165"/>
      <c r="G951" s="165"/>
      <c r="H951" s="166">
        <f>SUMIF(Adat!$AC:$AC,CONCATENATE(61,N940,"094031"),Adat!$E:$E)*-1</f>
        <v>0</v>
      </c>
      <c r="I951" s="166"/>
      <c r="J951" s="166"/>
      <c r="K951" s="166">
        <f>SUMIF(Adat!$AC:$AC,CONCATENATE(60,N940,"094031"),Adat!$E:$E)*-1+H951</f>
        <v>0</v>
      </c>
    </row>
    <row r="952" spans="2:15" s="13" customFormat="1" ht="12.75" x14ac:dyDescent="0.2">
      <c r="B952" s="160">
        <v>6</v>
      </c>
      <c r="C952" s="305" t="s">
        <v>1359</v>
      </c>
      <c r="D952" s="82" t="s">
        <v>1360</v>
      </c>
      <c r="E952" s="165"/>
      <c r="F952" s="165"/>
      <c r="G952" s="165"/>
      <c r="H952" s="166">
        <f>SUMIF(Adat!$AC:$AC,CONCATENATE(61,N940,"094041"),Adat!$E:$E)*-1</f>
        <v>0</v>
      </c>
      <c r="I952" s="166"/>
      <c r="J952" s="166"/>
      <c r="K952" s="166">
        <f>SUMIF(Adat!$AC:$AC,CONCATENATE(60,N940,"094041"),Adat!$E:$E)*-1+H952</f>
        <v>0</v>
      </c>
    </row>
    <row r="953" spans="2:15" s="13" customFormat="1" ht="12.75" x14ac:dyDescent="0.2">
      <c r="B953" s="160">
        <v>7</v>
      </c>
      <c r="C953" s="305" t="s">
        <v>1261</v>
      </c>
      <c r="D953" s="82" t="s">
        <v>1361</v>
      </c>
      <c r="E953" s="165"/>
      <c r="F953" s="165"/>
      <c r="G953" s="165"/>
      <c r="H953" s="166">
        <f>SUMIF(Adat!$AC:$AC,CONCATENATE(61,N940,"094051"),Adat!$E:$E)*-1</f>
        <v>0</v>
      </c>
      <c r="I953" s="166"/>
      <c r="J953" s="166"/>
      <c r="K953" s="166">
        <f>SUMIF(Adat!$AC:$AC,CONCATENATE(60,N940,"094051"),Adat!$E:$E)*-1+H953</f>
        <v>0</v>
      </c>
    </row>
    <row r="954" spans="2:15" s="13" customFormat="1" ht="12.75" x14ac:dyDescent="0.2">
      <c r="B954" s="160">
        <v>8</v>
      </c>
      <c r="C954" s="305" t="s">
        <v>1273</v>
      </c>
      <c r="D954" s="82" t="s">
        <v>1362</v>
      </c>
      <c r="E954" s="165"/>
      <c r="F954" s="165"/>
      <c r="G954" s="165"/>
      <c r="H954" s="166">
        <f>SUMIF(Adat!$AC:$AC,CONCATENATE(61,N940,"094061"),Adat!$E:$E)*-1</f>
        <v>0</v>
      </c>
      <c r="I954" s="166"/>
      <c r="J954" s="166"/>
      <c r="K954" s="166">
        <f>SUMIF(Adat!$AC:$AC,CONCATENATE(60,N940,"094061"),Adat!$E:$E)*-1+H954</f>
        <v>0</v>
      </c>
    </row>
    <row r="955" spans="2:15" s="13" customFormat="1" ht="12.75" x14ac:dyDescent="0.2">
      <c r="B955" s="160">
        <v>9</v>
      </c>
      <c r="C955" s="305" t="s">
        <v>1363</v>
      </c>
      <c r="D955" s="82" t="s">
        <v>1364</v>
      </c>
      <c r="E955" s="165"/>
      <c r="F955" s="165"/>
      <c r="G955" s="165"/>
      <c r="H955" s="166">
        <f>SUMIF(Adat!$AC:$AC,CONCATENATE(61,N940,"094071"),Adat!$E:$E)*-1</f>
        <v>0</v>
      </c>
      <c r="I955" s="166"/>
      <c r="J955" s="166"/>
      <c r="K955" s="166">
        <f>SUMIF(Adat!$AC:$AC,CONCATENATE(60,N940,"094071"),Adat!$E:$E)*-1+H955</f>
        <v>0</v>
      </c>
    </row>
    <row r="956" spans="2:15" s="13" customFormat="1" ht="12.75" x14ac:dyDescent="0.2">
      <c r="B956" s="160">
        <v>10</v>
      </c>
      <c r="C956" s="305" t="s">
        <v>1306</v>
      </c>
      <c r="D956" s="82" t="s">
        <v>1365</v>
      </c>
      <c r="E956" s="165"/>
      <c r="F956" s="165"/>
      <c r="G956" s="165"/>
      <c r="H956" s="166">
        <f>SUMIF(Adat!$AC:$AC,CONCATENATE(61,N940,"0940811"),Adat!$E:$E)*-1</f>
        <v>0</v>
      </c>
      <c r="I956" s="166"/>
      <c r="J956" s="166"/>
      <c r="K956" s="166">
        <f>SUMIF(Adat!$AC:$AC,CONCATENATE(60,N940,"0940811"),Adat!$E:$E)*-1+H956</f>
        <v>0</v>
      </c>
    </row>
    <row r="957" spans="2:15" s="13" customFormat="1" ht="12.75" x14ac:dyDescent="0.2">
      <c r="B957" s="160">
        <v>11</v>
      </c>
      <c r="C957" s="305" t="s">
        <v>1295</v>
      </c>
      <c r="D957" s="82" t="s">
        <v>1366</v>
      </c>
      <c r="E957" s="165"/>
      <c r="F957" s="165"/>
      <c r="G957" s="165"/>
      <c r="H957" s="166">
        <f>SUMIF(Adat!$AC:$AC,CONCATENATE(61,N940,"0940821"),Adat!$E:$E)*-1</f>
        <v>0</v>
      </c>
      <c r="I957" s="166"/>
      <c r="J957" s="166"/>
      <c r="K957" s="166">
        <f>SUMIF(Adat!$AC:$AC,CONCATENATE(60,N940,"0940821"),Adat!$E:$E)*-1+H957</f>
        <v>0</v>
      </c>
    </row>
    <row r="958" spans="2:15" s="13" customFormat="1" ht="12.75" x14ac:dyDescent="0.2">
      <c r="B958" s="160">
        <v>12</v>
      </c>
      <c r="C958" s="305" t="s">
        <v>1367</v>
      </c>
      <c r="D958" s="82" t="s">
        <v>1368</v>
      </c>
      <c r="E958" s="165"/>
      <c r="F958" s="165"/>
      <c r="G958" s="165"/>
      <c r="H958" s="166">
        <f>SUMIF(Adat!$AC:$AC,CONCATENATE(61,N940,"0940911"),Adat!$E:$E)*-1</f>
        <v>0</v>
      </c>
      <c r="I958" s="166"/>
      <c r="J958" s="166"/>
      <c r="K958" s="166">
        <f>SUMIF(Adat!$AC:$AC,CONCATENATE(60,N940,"0940911"),Adat!$E:$E)*-1+H958</f>
        <v>0</v>
      </c>
    </row>
    <row r="959" spans="2:15" s="13" customFormat="1" ht="12.75" x14ac:dyDescent="0.2">
      <c r="B959" s="160">
        <v>13</v>
      </c>
      <c r="C959" s="305" t="s">
        <v>1369</v>
      </c>
      <c r="D959" s="82" t="s">
        <v>1370</v>
      </c>
      <c r="E959" s="165"/>
      <c r="F959" s="165"/>
      <c r="G959" s="165"/>
      <c r="H959" s="166">
        <f>SUMIF(Adat!$AC:$AC,CONCATENATE(61,N940,"0940921"),Adat!$E:$E)*-1</f>
        <v>0</v>
      </c>
      <c r="I959" s="166"/>
      <c r="J959" s="166"/>
      <c r="K959" s="166">
        <f>SUMIF(Adat!$AC:$AC,CONCATENATE(60,N940,"0940921"),Adat!$E:$E)*-1+H959</f>
        <v>0</v>
      </c>
    </row>
    <row r="960" spans="2:15" s="13" customFormat="1" ht="12.75" x14ac:dyDescent="0.2">
      <c r="B960" s="160">
        <v>14</v>
      </c>
      <c r="C960" s="305" t="s">
        <v>1296</v>
      </c>
      <c r="D960" s="82" t="s">
        <v>1371</v>
      </c>
      <c r="E960" s="165"/>
      <c r="F960" s="165"/>
      <c r="G960" s="165"/>
      <c r="H960" s="166">
        <f>SUMIF(Adat!$AC:$AC,CONCATENATE(61,N940,"094101"),Adat!$E:$E)*-1</f>
        <v>0</v>
      </c>
      <c r="I960" s="166"/>
      <c r="J960" s="166"/>
      <c r="K960" s="166">
        <f>SUMIF(Adat!$AC:$AC,CONCATENATE(60,N940,"094101"),Adat!$E:$E)*-1+H960</f>
        <v>0</v>
      </c>
    </row>
    <row r="961" spans="2:11" s="13" customFormat="1" ht="12.75" x14ac:dyDescent="0.2">
      <c r="B961" s="160">
        <v>15</v>
      </c>
      <c r="C961" s="305" t="s">
        <v>1297</v>
      </c>
      <c r="D961" s="84" t="s">
        <v>1372</v>
      </c>
      <c r="E961" s="165"/>
      <c r="F961" s="165"/>
      <c r="G961" s="165"/>
      <c r="H961" s="166">
        <f>SUMIF(Adat!$AC:$AC,CONCATENATE(61,N940,"094111"),Adat!$E:$E)*-1</f>
        <v>0</v>
      </c>
      <c r="I961" s="166"/>
      <c r="J961" s="166"/>
      <c r="K961" s="166">
        <f>SUMIF(Adat!$AC:$AC,CONCATENATE(60,N940,"094111"),Adat!$E:$E)*-1+H961</f>
        <v>0</v>
      </c>
    </row>
    <row r="962" spans="2:11" s="13" customFormat="1" ht="12.75" x14ac:dyDescent="0.2">
      <c r="B962" s="160">
        <v>16</v>
      </c>
      <c r="C962" s="78" t="s">
        <v>1328</v>
      </c>
      <c r="D962" s="85" t="s">
        <v>437</v>
      </c>
      <c r="E962" s="120">
        <f>SUM(E963:E965)</f>
        <v>0</v>
      </c>
      <c r="F962" s="120">
        <f t="shared" ref="F962" si="237">SUM(F963:F965)</f>
        <v>0</v>
      </c>
      <c r="G962" s="120">
        <f>SUM(G963:G965)</f>
        <v>0</v>
      </c>
      <c r="H962" s="121">
        <f t="shared" ref="H962" si="238">SUM(H963:H965)</f>
        <v>0</v>
      </c>
      <c r="I962" s="121"/>
      <c r="J962" s="121"/>
      <c r="K962" s="121">
        <f>SUM(K963:K965)</f>
        <v>0</v>
      </c>
    </row>
    <row r="963" spans="2:11" s="13" customFormat="1" ht="12.75" x14ac:dyDescent="0.2">
      <c r="B963" s="160">
        <v>17</v>
      </c>
      <c r="C963" s="305" t="s">
        <v>1329</v>
      </c>
      <c r="D963" s="82" t="s">
        <v>1330</v>
      </c>
      <c r="E963" s="165"/>
      <c r="F963" s="165"/>
      <c r="G963" s="165"/>
      <c r="H963" s="166">
        <f>SUMIF(Adat!$AC:$AC,CONCATENATE(61,N940,"09121"),Adat!$E:$E)*-1</f>
        <v>0</v>
      </c>
      <c r="I963" s="166"/>
      <c r="J963" s="166"/>
      <c r="K963" s="166">
        <f>SUMIF(Adat!$AC:$AC,CONCATENATE(60,N940,"09121"),Adat!$E:$E)*-1+H963</f>
        <v>0</v>
      </c>
    </row>
    <row r="964" spans="2:11" s="13" customFormat="1" ht="12.75" x14ac:dyDescent="0.2">
      <c r="B964" s="160">
        <v>18</v>
      </c>
      <c r="C964" s="305" t="s">
        <v>1335</v>
      </c>
      <c r="D964" s="82" t="s">
        <v>1336</v>
      </c>
      <c r="E964" s="165"/>
      <c r="F964" s="165"/>
      <c r="G964" s="165"/>
      <c r="H964" s="166">
        <f>SUMIF(Adat!$AC:$AC,CONCATENATE(61,N940,"09151"),Adat!$E:$E)*-1</f>
        <v>0</v>
      </c>
      <c r="I964" s="166"/>
      <c r="J964" s="166"/>
      <c r="K964" s="166">
        <f>SUMIF(Adat!$AC:$AC,CONCATENATE(60,N940,"09151"),Adat!$E:$E)*-1+H964</f>
        <v>0</v>
      </c>
    </row>
    <row r="965" spans="2:11" s="13" customFormat="1" ht="12.75" x14ac:dyDescent="0.2">
      <c r="B965" s="160">
        <v>19</v>
      </c>
      <c r="C965" s="305" t="s">
        <v>1278</v>
      </c>
      <c r="D965" s="82" t="s">
        <v>1337</v>
      </c>
      <c r="E965" s="165"/>
      <c r="F965" s="165"/>
      <c r="G965" s="165"/>
      <c r="H965" s="166">
        <f>SUMIF(Adat!$AC:$AC,CONCATENATE(61,N940,"09161"),Adat!$E:$E)*-1</f>
        <v>0</v>
      </c>
      <c r="I965" s="166"/>
      <c r="J965" s="166"/>
      <c r="K965" s="166">
        <f>SUMIF(Adat!$AC:$AC,CONCATENATE(60,N940,"09161"),Adat!$E:$E)*-1+H965</f>
        <v>0</v>
      </c>
    </row>
    <row r="966" spans="2:11" s="13" customFormat="1" ht="12.75" x14ac:dyDescent="0.2">
      <c r="B966" s="160">
        <v>20</v>
      </c>
      <c r="C966" s="79" t="s">
        <v>27</v>
      </c>
      <c r="D966" s="79" t="s">
        <v>328</v>
      </c>
      <c r="E966" s="120">
        <v>0</v>
      </c>
      <c r="F966" s="120">
        <v>0</v>
      </c>
      <c r="G966" s="120">
        <v>0</v>
      </c>
      <c r="H966" s="71">
        <f>SUMIF(Adat!$AE:$AE,CONCATENATE(61,N940,"093"),Adat!$E:$E)*-1</f>
        <v>0</v>
      </c>
      <c r="I966" s="71"/>
      <c r="J966" s="71"/>
      <c r="K966" s="71">
        <f>SUMIF(Adat!$AE:$AE,CONCATENATE(60,N940,"093"),Adat!$E:$E)*-1+H966</f>
        <v>0</v>
      </c>
    </row>
    <row r="967" spans="2:11" s="13" customFormat="1" ht="12.75" x14ac:dyDescent="0.2">
      <c r="B967" s="160">
        <v>21</v>
      </c>
      <c r="C967" s="79" t="s">
        <v>24</v>
      </c>
      <c r="D967" s="79" t="s">
        <v>449</v>
      </c>
      <c r="E967" s="120">
        <f>SUM(E968:E970)</f>
        <v>0</v>
      </c>
      <c r="F967" s="120">
        <f t="shared" ref="F967:G967" si="239">SUM(F968:F970)</f>
        <v>0</v>
      </c>
      <c r="G967" s="120">
        <f t="shared" si="239"/>
        <v>0</v>
      </c>
      <c r="H967" s="121">
        <f>SUM(H968:H970)</f>
        <v>0</v>
      </c>
      <c r="I967" s="121"/>
      <c r="J967" s="121"/>
      <c r="K967" s="121">
        <f t="shared" ref="K967" si="240">SUM(K968:K970)</f>
        <v>0</v>
      </c>
    </row>
    <row r="968" spans="2:11" s="13" customFormat="1" ht="12.75" x14ac:dyDescent="0.2">
      <c r="B968" s="160">
        <v>22</v>
      </c>
      <c r="C968" s="305" t="s">
        <v>1339</v>
      </c>
      <c r="D968" s="82" t="s">
        <v>1340</v>
      </c>
      <c r="E968" s="165"/>
      <c r="F968" s="165"/>
      <c r="G968" s="165"/>
      <c r="H968" s="166">
        <f>SUMIF(Adat!$AC:$AC,CONCATENATE(61,N940,"09211"),Adat!$E:$E)*-1</f>
        <v>0</v>
      </c>
      <c r="I968" s="166"/>
      <c r="J968" s="166"/>
      <c r="K968" s="166">
        <f>SUMIF(Adat!$AC:$AC,CONCATENATE(60,N940,"09211"),Adat!$E:$E)*-1+H968</f>
        <v>0</v>
      </c>
    </row>
    <row r="969" spans="2:11" s="13" customFormat="1" ht="12.75" x14ac:dyDescent="0.2">
      <c r="B969" s="160">
        <v>23</v>
      </c>
      <c r="C969" s="305" t="s">
        <v>1345</v>
      </c>
      <c r="D969" s="82" t="s">
        <v>1346</v>
      </c>
      <c r="E969" s="165"/>
      <c r="F969" s="165"/>
      <c r="G969" s="165"/>
      <c r="H969" s="166">
        <f>SUMIF(Adat!$AC:$AC,CONCATENATE(61,N940,"09241"),Adat!$E:$E)*-1</f>
        <v>0</v>
      </c>
      <c r="I969" s="166"/>
      <c r="J969" s="166"/>
      <c r="K969" s="166">
        <f>SUMIF(Adat!$AC:$AC,CONCATENATE(60,N940,"09241"),Adat!$E:$E)*-1+H969</f>
        <v>0</v>
      </c>
    </row>
    <row r="970" spans="2:11" s="13" customFormat="1" ht="12.75" x14ac:dyDescent="0.2">
      <c r="B970" s="160">
        <v>24</v>
      </c>
      <c r="C970" s="305" t="s">
        <v>1255</v>
      </c>
      <c r="D970" s="82" t="s">
        <v>1347</v>
      </c>
      <c r="E970" s="165"/>
      <c r="F970" s="165"/>
      <c r="G970" s="165"/>
      <c r="H970" s="166">
        <f>SUMIF(Adat!$AC:$AC,CONCATENATE(61,N940,"09251"),Adat!$E:$E)*-1</f>
        <v>0</v>
      </c>
      <c r="I970" s="166"/>
      <c r="J970" s="166"/>
      <c r="K970" s="166">
        <f>SUMIF(Adat!$AC:$AC,CONCATENATE(60,N940,"09251"),Adat!$E:$E)*-1+H970</f>
        <v>0</v>
      </c>
    </row>
    <row r="971" spans="2:11" s="13" customFormat="1" ht="12.75" x14ac:dyDescent="0.2">
      <c r="B971" s="160">
        <v>25</v>
      </c>
      <c r="C971" s="79" t="s">
        <v>33</v>
      </c>
      <c r="D971" s="79" t="s">
        <v>330</v>
      </c>
      <c r="E971" s="120">
        <f>SUM(E972:E974)</f>
        <v>0</v>
      </c>
      <c r="F971" s="120">
        <f t="shared" ref="F971:K971" si="241">SUM(F972:F974)</f>
        <v>0</v>
      </c>
      <c r="G971" s="120">
        <f t="shared" si="241"/>
        <v>0</v>
      </c>
      <c r="H971" s="121">
        <f t="shared" si="241"/>
        <v>0</v>
      </c>
      <c r="I971" s="121"/>
      <c r="J971" s="121"/>
      <c r="K971" s="121">
        <f t="shared" si="241"/>
        <v>0</v>
      </c>
    </row>
    <row r="972" spans="2:11" s="13" customFormat="1" ht="12.75" x14ac:dyDescent="0.2">
      <c r="B972" s="160">
        <v>26</v>
      </c>
      <c r="C972" s="305" t="s">
        <v>1373</v>
      </c>
      <c r="D972" s="82" t="s">
        <v>1374</v>
      </c>
      <c r="E972" s="165"/>
      <c r="F972" s="165"/>
      <c r="G972" s="165"/>
      <c r="H972" s="166">
        <f>SUMIF(Adat!$AC:$AC,CONCATENATE(61,N940,"09511"),Adat!$E:$E)*-1</f>
        <v>0</v>
      </c>
      <c r="I972" s="166"/>
      <c r="J972" s="166"/>
      <c r="K972" s="166">
        <f>SUMIF(Adat!$AC:$AC,CONCATENATE(60,N940,"09511"),Adat!$E:$E)*-1+H972</f>
        <v>0</v>
      </c>
    </row>
    <row r="973" spans="2:11" s="13" customFormat="1" ht="12.75" x14ac:dyDescent="0.2">
      <c r="B973" s="160">
        <v>27</v>
      </c>
      <c r="C973" s="305" t="s">
        <v>1294</v>
      </c>
      <c r="D973" s="82" t="s">
        <v>1375</v>
      </c>
      <c r="E973" s="165"/>
      <c r="F973" s="165"/>
      <c r="G973" s="165"/>
      <c r="H973" s="166">
        <f>SUMIF(Adat!$AC:$AC,CONCATENATE(61,N940,"09521"),Adat!$E:$E)*-1</f>
        <v>0</v>
      </c>
      <c r="I973" s="166"/>
      <c r="J973" s="166"/>
      <c r="K973" s="166">
        <f>SUMIF(Adat!$AC:$AC,CONCATENATE(60,N940,"09521"),Adat!$E:$E)*-1+H973</f>
        <v>0</v>
      </c>
    </row>
    <row r="974" spans="2:11" s="13" customFormat="1" ht="12.75" x14ac:dyDescent="0.2">
      <c r="B974" s="160">
        <v>28</v>
      </c>
      <c r="C974" s="305" t="s">
        <v>1376</v>
      </c>
      <c r="D974" s="82" t="s">
        <v>1377</v>
      </c>
      <c r="E974" s="165"/>
      <c r="F974" s="165"/>
      <c r="G974" s="165"/>
      <c r="H974" s="166">
        <f>SUMIF(Adat!$AC:$AC,CONCATENATE(61,N940,"09531"),Adat!$E:$E)*-1</f>
        <v>0</v>
      </c>
      <c r="I974" s="166"/>
      <c r="J974" s="166"/>
      <c r="K974" s="166">
        <f>SUMIF(Adat!$AC:$AC,CONCATENATE(60,N940,"09531"),Adat!$E:$E)*-1+H974</f>
        <v>0</v>
      </c>
    </row>
    <row r="975" spans="2:11" s="13" customFormat="1" ht="12.75" x14ac:dyDescent="0.2">
      <c r="B975" s="160">
        <v>29</v>
      </c>
      <c r="C975" s="79" t="s">
        <v>36</v>
      </c>
      <c r="D975" s="79" t="s">
        <v>331</v>
      </c>
      <c r="E975" s="120">
        <v>0</v>
      </c>
      <c r="F975" s="120">
        <v>0</v>
      </c>
      <c r="G975" s="120">
        <v>0</v>
      </c>
      <c r="H975" s="71">
        <f>SUMIF(Adat!$AE:$AE,CONCATENATE(61,N940,"096"),Adat!$E:$E)*-1</f>
        <v>0</v>
      </c>
      <c r="I975" s="71"/>
      <c r="J975" s="71"/>
      <c r="K975" s="71">
        <f>SUMIF(Adat!$AE:$AE,CONCATENATE(60,N940,"096"),Adat!$E:$E)*-1+H975</f>
        <v>0</v>
      </c>
    </row>
    <row r="976" spans="2:11" s="13" customFormat="1" ht="12.75" x14ac:dyDescent="0.2">
      <c r="B976" s="160">
        <v>30</v>
      </c>
      <c r="C976" s="79" t="s">
        <v>38</v>
      </c>
      <c r="D976" s="85" t="s">
        <v>332</v>
      </c>
      <c r="E976" s="120">
        <v>0</v>
      </c>
      <c r="F976" s="120">
        <v>0</v>
      </c>
      <c r="G976" s="120">
        <v>0</v>
      </c>
      <c r="H976" s="71">
        <f>SUMIF(Adat!$AE:$AE,CONCATENATE(61,N940,"097"),Adat!$E:$E)*-1</f>
        <v>0</v>
      </c>
      <c r="I976" s="71"/>
      <c r="J976" s="71"/>
      <c r="K976" s="71">
        <f>SUMIF(Adat!$AE:$AE,CONCATENATE(60,N940,"097"),Adat!$E:$E)*-1+H976</f>
        <v>0</v>
      </c>
    </row>
    <row r="977" spans="2:15" s="13" customFormat="1" ht="12.75" x14ac:dyDescent="0.2">
      <c r="B977" s="160">
        <v>31</v>
      </c>
      <c r="C977" s="154" t="s">
        <v>352</v>
      </c>
      <c r="D977" s="86" t="s">
        <v>1500</v>
      </c>
      <c r="E977" s="120">
        <f>E948+E962+E966+E967+E971+E975+E976</f>
        <v>0</v>
      </c>
      <c r="F977" s="120">
        <f>F948+F962+F966+F967+F971+F975+F976</f>
        <v>0</v>
      </c>
      <c r="G977" s="120">
        <f>G948+G962+G966+G967+G971+G975+G976</f>
        <v>0</v>
      </c>
      <c r="H977" s="121">
        <f>H948+H962+H966+H967+H971+H975+H976</f>
        <v>0</v>
      </c>
      <c r="I977" s="121"/>
      <c r="J977" s="121"/>
      <c r="K977" s="121">
        <f>K948+K962+K966+K967+K971+K975+K976</f>
        <v>0</v>
      </c>
    </row>
    <row r="978" spans="2:15" s="13" customFormat="1" ht="12.75" x14ac:dyDescent="0.2">
      <c r="B978" s="160">
        <v>32</v>
      </c>
      <c r="C978" s="154" t="s">
        <v>358</v>
      </c>
      <c r="D978" s="86" t="s">
        <v>333</v>
      </c>
      <c r="E978" s="120">
        <f>SUM(E979:E981)</f>
        <v>0</v>
      </c>
      <c r="F978" s="120">
        <f t="shared" ref="F978" si="242">SUM(F979:F981)</f>
        <v>0</v>
      </c>
      <c r="G978" s="120">
        <f>SUM(G979:G981)</f>
        <v>0</v>
      </c>
      <c r="H978" s="121">
        <f t="shared" ref="H978:K978" si="243">SUM(H979:H981)</f>
        <v>0</v>
      </c>
      <c r="I978" s="121"/>
      <c r="J978" s="121"/>
      <c r="K978" s="121">
        <f t="shared" si="243"/>
        <v>0</v>
      </c>
    </row>
    <row r="979" spans="2:15" s="13" customFormat="1" ht="12.75" x14ac:dyDescent="0.2">
      <c r="B979" s="160">
        <v>33</v>
      </c>
      <c r="C979" s="305" t="s">
        <v>1274</v>
      </c>
      <c r="D979" s="82" t="s">
        <v>1419</v>
      </c>
      <c r="E979" s="165"/>
      <c r="F979" s="165"/>
      <c r="G979" s="165"/>
      <c r="H979" s="166">
        <f>SUMIF(Adat!$AC:$AC,CONCATENATE(61,N940,"0981311"),Adat!$E:$E)*-1</f>
        <v>0</v>
      </c>
      <c r="I979" s="166"/>
      <c r="J979" s="166"/>
      <c r="K979" s="166">
        <f>SUMIF(Adat!$AC:$AC,CONCATENATE(60,N940,"0981311"),Adat!$E:$E)*-1+H979</f>
        <v>0</v>
      </c>
    </row>
    <row r="980" spans="2:15" s="13" customFormat="1" ht="12.75" x14ac:dyDescent="0.2">
      <c r="B980" s="160">
        <v>34</v>
      </c>
      <c r="C980" s="305" t="s">
        <v>1420</v>
      </c>
      <c r="D980" s="84" t="s">
        <v>1421</v>
      </c>
      <c r="E980" s="165"/>
      <c r="F980" s="165"/>
      <c r="G980" s="165"/>
      <c r="H980" s="166">
        <f>SUMIF(Adat!$AC:$AC,CONCATENATE(61,N940,"0981321"),Adat!$E:$E)*-1</f>
        <v>0</v>
      </c>
      <c r="I980" s="166"/>
      <c r="J980" s="166"/>
      <c r="K980" s="166">
        <f>SUMIF(Adat!$AC:$AC,CONCATENATE(60,N940,"0981321"),Adat!$E:$E)*-1+H980</f>
        <v>0</v>
      </c>
    </row>
    <row r="981" spans="2:15" s="13" customFormat="1" ht="12.75" x14ac:dyDescent="0.2">
      <c r="B981" s="160">
        <v>35</v>
      </c>
      <c r="C981" s="319" t="s">
        <v>1275</v>
      </c>
      <c r="D981" s="84" t="s">
        <v>1501</v>
      </c>
      <c r="E981" s="165"/>
      <c r="F981" s="165"/>
      <c r="G981" s="165"/>
      <c r="H981" s="166">
        <f>SUMIF(Adat!$AC:$AC,CONCATENATE(61,N940,"098161"),Adat!$E:$E)*-1</f>
        <v>0</v>
      </c>
      <c r="I981" s="166"/>
      <c r="J981" s="166"/>
      <c r="K981" s="166">
        <f>SUMIF(Adat!$AC:$AC,CONCATENATE(60,N940,"098161"),Adat!$E:$E)*-1+H981</f>
        <v>0</v>
      </c>
    </row>
    <row r="982" spans="2:15" s="13" customFormat="1" ht="12.75" x14ac:dyDescent="0.2">
      <c r="B982" s="160">
        <v>36</v>
      </c>
      <c r="C982" s="154" t="s">
        <v>364</v>
      </c>
      <c r="D982" s="159" t="s">
        <v>1502</v>
      </c>
      <c r="E982" s="120">
        <f>E977+E978</f>
        <v>0</v>
      </c>
      <c r="F982" s="120">
        <f t="shared" ref="F982:G982" si="244">F977+F978</f>
        <v>0</v>
      </c>
      <c r="G982" s="120">
        <f t="shared" si="244"/>
        <v>0</v>
      </c>
      <c r="H982" s="121">
        <f>H977+H978</f>
        <v>0</v>
      </c>
      <c r="I982" s="121"/>
      <c r="J982" s="121"/>
      <c r="K982" s="121">
        <f>K977+K978</f>
        <v>0</v>
      </c>
    </row>
    <row r="983" spans="2:15" x14ac:dyDescent="0.25">
      <c r="B983" s="40"/>
      <c r="C983" s="256"/>
      <c r="D983" s="40"/>
      <c r="E983" s="13"/>
      <c r="F983" s="13"/>
      <c r="G983" s="13"/>
      <c r="H983" s="39"/>
      <c r="I983" s="39"/>
      <c r="J983" s="39"/>
      <c r="K983" s="13"/>
      <c r="L983" s="13"/>
      <c r="M983" s="13"/>
      <c r="N983" s="13"/>
      <c r="O983" s="13"/>
    </row>
    <row r="984" spans="2:15" x14ac:dyDescent="0.25">
      <c r="B984" s="202" t="s">
        <v>1518</v>
      </c>
      <c r="C984" s="260"/>
      <c r="D984" s="260"/>
      <c r="E984" s="13"/>
      <c r="F984" s="13"/>
      <c r="G984" s="13"/>
      <c r="H984" s="260"/>
      <c r="I984" s="260"/>
      <c r="J984" s="260"/>
      <c r="K984" s="13"/>
      <c r="L984" s="13"/>
      <c r="M984" s="13"/>
      <c r="N984" s="13"/>
      <c r="O984" s="13"/>
    </row>
    <row r="985" spans="2:15" x14ac:dyDescent="0.25">
      <c r="B985" s="40"/>
      <c r="C985" s="256"/>
      <c r="D985" s="40"/>
      <c r="E985" s="13"/>
      <c r="F985" s="13"/>
      <c r="G985" s="13"/>
      <c r="H985" s="39"/>
      <c r="I985" s="39"/>
      <c r="J985" s="39"/>
      <c r="K985" s="13"/>
      <c r="L985" s="13"/>
      <c r="M985" s="13"/>
      <c r="N985" s="13"/>
      <c r="O985" s="13"/>
    </row>
    <row r="986" spans="2:15" s="13" customFormat="1" ht="12.75" x14ac:dyDescent="0.2">
      <c r="B986" s="77"/>
      <c r="C986" s="77" t="s">
        <v>350</v>
      </c>
      <c r="D986" s="77" t="s">
        <v>351</v>
      </c>
      <c r="E986" s="77" t="s">
        <v>470</v>
      </c>
      <c r="F986" s="77" t="s">
        <v>471</v>
      </c>
      <c r="G986" s="77" t="s">
        <v>44</v>
      </c>
      <c r="H986" s="77" t="s">
        <v>42</v>
      </c>
      <c r="I986" s="77"/>
      <c r="J986" s="77"/>
      <c r="K986" s="77" t="s">
        <v>511</v>
      </c>
    </row>
    <row r="987" spans="2:15" s="13" customFormat="1" ht="38.25" x14ac:dyDescent="0.2">
      <c r="B987" s="68">
        <v>1</v>
      </c>
      <c r="C987" s="78" t="s">
        <v>348</v>
      </c>
      <c r="D987" s="78" t="s">
        <v>349</v>
      </c>
      <c r="E987" s="69" t="str">
        <f>CONCATENATE(PAR!$H$12," évi 
teljesítés")</f>
        <v>2022. évi 
teljesítés</v>
      </c>
      <c r="F987" s="69" t="str">
        <f>CONCATENATE(PAR!$H$11," évi 
teljesítés")</f>
        <v>2023. évi 
teljesítés</v>
      </c>
      <c r="G987" s="69" t="str">
        <f>CONCATENATE(PAR!$H$10," évi 
teljesítés")</f>
        <v>2024. évi 
teljesítés</v>
      </c>
      <c r="H987" s="163" t="str">
        <f>CONCATENATE(PAR!$H$3," évi
eredeti 
előirányzat")</f>
        <v>2025. évi
eredeti 
előirányzat</v>
      </c>
      <c r="I987" s="163"/>
      <c r="J987" s="163"/>
      <c r="K987" s="163" t="str">
        <f>CONCATENATE(PAR!$H$3," évi
módosított 
előirányzat")</f>
        <v>2025. évi
módosított 
előirányzat</v>
      </c>
    </row>
    <row r="988" spans="2:15" s="13" customFormat="1" ht="12.75" x14ac:dyDescent="0.2">
      <c r="B988" s="160">
        <v>2</v>
      </c>
      <c r="C988" s="78" t="s">
        <v>352</v>
      </c>
      <c r="D988" s="92" t="s">
        <v>1444</v>
      </c>
      <c r="E988" s="120">
        <f>SUM(E989:E993)</f>
        <v>0</v>
      </c>
      <c r="F988" s="120">
        <f>SUM(F989:F993)</f>
        <v>0</v>
      </c>
      <c r="G988" s="120">
        <f>SUM(G989:G993)</f>
        <v>0</v>
      </c>
      <c r="H988" s="121">
        <f>SUM(H989:H993)</f>
        <v>0</v>
      </c>
      <c r="I988" s="121"/>
      <c r="J988" s="121"/>
      <c r="K988" s="121">
        <f t="shared" ref="K988" si="245">SUM(K989:K993)</f>
        <v>0</v>
      </c>
    </row>
    <row r="989" spans="2:15" s="13" customFormat="1" ht="12.75" x14ac:dyDescent="0.2">
      <c r="B989" s="160">
        <v>3</v>
      </c>
      <c r="C989" s="305" t="s">
        <v>315</v>
      </c>
      <c r="D989" s="93" t="s">
        <v>342</v>
      </c>
      <c r="E989" s="165"/>
      <c r="F989" s="165"/>
      <c r="G989" s="285"/>
      <c r="H989" s="72">
        <f>SUMIF(Adat!$AE:$AE,CONCATENATE(61,N940,"051"),Adat!$E:$E)</f>
        <v>0</v>
      </c>
      <c r="I989" s="72"/>
      <c r="J989" s="72"/>
      <c r="K989" s="72">
        <f>SUMIF(Adat!$AE:$AE,CONCATENATE(60,N940,"051"),Adat!$E:$E)+H989</f>
        <v>0</v>
      </c>
    </row>
    <row r="990" spans="2:15" s="13" customFormat="1" ht="12.75" x14ac:dyDescent="0.2">
      <c r="B990" s="160">
        <v>4</v>
      </c>
      <c r="C990" s="305" t="s">
        <v>317</v>
      </c>
      <c r="D990" s="93" t="s">
        <v>395</v>
      </c>
      <c r="E990" s="165"/>
      <c r="F990" s="165"/>
      <c r="G990" s="285"/>
      <c r="H990" s="72">
        <f>SUMIF(Adat!$AE:$AE,CONCATENATE(61,N940,"052"),Adat!$E:$E)</f>
        <v>0</v>
      </c>
      <c r="I990" s="72"/>
      <c r="J990" s="72"/>
      <c r="K990" s="72">
        <f>SUMIF(Adat!$AE:$AE,CONCATENATE(60,N940,"052"),Adat!$E:$E)+H990</f>
        <v>0</v>
      </c>
    </row>
    <row r="991" spans="2:15" s="13" customFormat="1" ht="12.75" x14ac:dyDescent="0.2">
      <c r="B991" s="160">
        <v>5</v>
      </c>
      <c r="C991" s="305" t="s">
        <v>4</v>
      </c>
      <c r="D991" s="93" t="s">
        <v>344</v>
      </c>
      <c r="E991" s="165"/>
      <c r="F991" s="165"/>
      <c r="G991" s="285"/>
      <c r="H991" s="72">
        <f>SUMIF(Adat!$AE:$AE,CONCATENATE(61,N940,"053"),Adat!$E:$E)</f>
        <v>0</v>
      </c>
      <c r="I991" s="72"/>
      <c r="J991" s="72"/>
      <c r="K991" s="72">
        <f>SUMIF(Adat!$AE:$AE,CONCATENATE(60,N940,"053"),Adat!$E:$E)+H991</f>
        <v>0</v>
      </c>
    </row>
    <row r="992" spans="2:15" s="13" customFormat="1" ht="12.75" x14ac:dyDescent="0.2">
      <c r="B992" s="160">
        <v>6</v>
      </c>
      <c r="C992" s="305" t="s">
        <v>6</v>
      </c>
      <c r="D992" s="93" t="s">
        <v>345</v>
      </c>
      <c r="E992" s="165"/>
      <c r="F992" s="165"/>
      <c r="G992" s="285"/>
      <c r="H992" s="72">
        <f>SUMIF(Adat!$AE:$AE,CONCATENATE(61,N940,"054"),Adat!$E:$E)</f>
        <v>0</v>
      </c>
      <c r="I992" s="72"/>
      <c r="J992" s="72"/>
      <c r="K992" s="72">
        <f>SUMIF(Adat!$AE:$AE,CONCATENATE(60,N940,"054"),Adat!$E:$E)+H992</f>
        <v>0</v>
      </c>
    </row>
    <row r="993" spans="2:15" s="13" customFormat="1" ht="12.75" x14ac:dyDescent="0.2">
      <c r="B993" s="160">
        <v>7</v>
      </c>
      <c r="C993" s="305" t="s">
        <v>8</v>
      </c>
      <c r="D993" s="93" t="s">
        <v>321</v>
      </c>
      <c r="E993" s="165"/>
      <c r="F993" s="165"/>
      <c r="G993" s="285"/>
      <c r="H993" s="72">
        <f>SUMIF(Adat!$AE:$AE,CONCATENATE(61,N940,"055"),Adat!$E:$E)</f>
        <v>0</v>
      </c>
      <c r="I993" s="72"/>
      <c r="J993" s="72"/>
      <c r="K993" s="72">
        <f>SUMIF(Adat!$AE:$AE,CONCATENATE(60,N940,"055"),Adat!$E:$E)+H993</f>
        <v>0</v>
      </c>
    </row>
    <row r="994" spans="2:15" s="13" customFormat="1" ht="12.75" x14ac:dyDescent="0.2">
      <c r="B994" s="160">
        <v>8</v>
      </c>
      <c r="C994" s="78" t="s">
        <v>358</v>
      </c>
      <c r="D994" s="92" t="s">
        <v>1447</v>
      </c>
      <c r="E994" s="120">
        <f>SUM(E995:E997)</f>
        <v>0</v>
      </c>
      <c r="F994" s="120">
        <f t="shared" ref="F994:K994" si="246">SUM(F995:F997)</f>
        <v>0</v>
      </c>
      <c r="G994" s="120">
        <f t="shared" si="246"/>
        <v>0</v>
      </c>
      <c r="H994" s="121">
        <f t="shared" si="246"/>
        <v>0</v>
      </c>
      <c r="I994" s="121"/>
      <c r="J994" s="121"/>
      <c r="K994" s="121">
        <f t="shared" si="246"/>
        <v>0</v>
      </c>
    </row>
    <row r="995" spans="2:15" s="13" customFormat="1" ht="12.75" x14ac:dyDescent="0.2">
      <c r="B995" s="160">
        <v>9</v>
      </c>
      <c r="C995" s="305" t="s">
        <v>10</v>
      </c>
      <c r="D995" s="93" t="s">
        <v>322</v>
      </c>
      <c r="E995" s="165"/>
      <c r="F995" s="165"/>
      <c r="G995" s="285"/>
      <c r="H995" s="72">
        <f>SUMIF(Adat!$AE:$AE,CONCATENATE(61,N940,"056"),Adat!$E:$E)</f>
        <v>0</v>
      </c>
      <c r="I995" s="72"/>
      <c r="J995" s="72"/>
      <c r="K995" s="72">
        <f>SUMIF(Adat!$AE:$AE,CONCATENATE(60,N940,"056"),Adat!$E:$E)+H995</f>
        <v>0</v>
      </c>
    </row>
    <row r="996" spans="2:15" s="13" customFormat="1" ht="12.75" x14ac:dyDescent="0.2">
      <c r="B996" s="160">
        <v>10</v>
      </c>
      <c r="C996" s="305" t="s">
        <v>12</v>
      </c>
      <c r="D996" s="93" t="s">
        <v>323</v>
      </c>
      <c r="E996" s="165"/>
      <c r="F996" s="165"/>
      <c r="G996" s="165"/>
      <c r="H996" s="72">
        <f>SUMIF(Adat!$AE:$AE,CONCATENATE(61,N940,"057"),Adat!$E:$E)</f>
        <v>0</v>
      </c>
      <c r="I996" s="72"/>
      <c r="J996" s="72"/>
      <c r="K996" s="72">
        <f>SUMIF(Adat!$AE:$AE,CONCATENATE(60,N940,"057"),Adat!$E:$E)+H996</f>
        <v>0</v>
      </c>
    </row>
    <row r="997" spans="2:15" s="13" customFormat="1" ht="12.75" x14ac:dyDescent="0.2">
      <c r="B997" s="160">
        <v>11</v>
      </c>
      <c r="C997" s="305" t="s">
        <v>15</v>
      </c>
      <c r="D997" s="84" t="s">
        <v>324</v>
      </c>
      <c r="E997" s="165"/>
      <c r="F997" s="165"/>
      <c r="G997" s="165"/>
      <c r="H997" s="72">
        <f>SUMIF(Adat!$AE:$AE,CONCATENATE(61,N940,"058"),Adat!$E:$E)</f>
        <v>0</v>
      </c>
      <c r="I997" s="72"/>
      <c r="J997" s="72"/>
      <c r="K997" s="72">
        <f>SUMIF(Adat!$AE:$AE,CONCATENATE(60,N940,"058"),Adat!$E:$E)+H997</f>
        <v>0</v>
      </c>
    </row>
    <row r="998" spans="2:15" s="13" customFormat="1" ht="12.75" x14ac:dyDescent="0.2">
      <c r="B998" s="160">
        <v>12</v>
      </c>
      <c r="C998" s="154" t="s">
        <v>364</v>
      </c>
      <c r="D998" s="86" t="s">
        <v>325</v>
      </c>
      <c r="E998" s="120">
        <v>0</v>
      </c>
      <c r="F998" s="120">
        <v>0</v>
      </c>
      <c r="G998" s="120">
        <v>0</v>
      </c>
      <c r="H998" s="71">
        <f>SUMIF(Adat!$AE:$AE,CONCATENATE(61,N940,"059"),Adat!$E:$E)</f>
        <v>0</v>
      </c>
      <c r="I998" s="71"/>
      <c r="J998" s="71"/>
      <c r="K998" s="71">
        <f>SUMIF(Adat!$AE:$AE,CONCATENATE(60,N940,"059"),Adat!$E:$E)+H998</f>
        <v>0</v>
      </c>
    </row>
    <row r="999" spans="2:15" s="13" customFormat="1" ht="12.75" x14ac:dyDescent="0.2">
      <c r="B999" s="160">
        <v>13</v>
      </c>
      <c r="C999" s="154" t="s">
        <v>403</v>
      </c>
      <c r="D999" s="159" t="s">
        <v>497</v>
      </c>
      <c r="E999" s="120">
        <f>E988+E994+E998</f>
        <v>0</v>
      </c>
      <c r="F999" s="120">
        <f>F988+F994+F998</f>
        <v>0</v>
      </c>
      <c r="G999" s="120">
        <f>G988+G994+G998</f>
        <v>0</v>
      </c>
      <c r="H999" s="121">
        <f>H988+H994+H998</f>
        <v>0</v>
      </c>
      <c r="I999" s="121"/>
      <c r="J999" s="121"/>
      <c r="K999" s="121">
        <f>K988+K994+K998</f>
        <v>0</v>
      </c>
    </row>
    <row r="1000" spans="2:15" x14ac:dyDescent="0.25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</row>
    <row r="1001" spans="2:15" x14ac:dyDescent="0.25">
      <c r="B1001" s="511" t="str">
        <f>O1001</f>
        <v/>
      </c>
      <c r="C1001" s="511"/>
      <c r="D1001" s="511"/>
      <c r="E1001" s="511"/>
      <c r="F1001" s="511"/>
      <c r="G1001" s="511"/>
      <c r="H1001" s="511"/>
      <c r="I1001" s="511"/>
      <c r="J1001" s="511"/>
      <c r="K1001" s="511"/>
      <c r="L1001" s="13"/>
      <c r="M1001" s="318">
        <v>16</v>
      </c>
      <c r="N1001" s="320">
        <f>VLOOKUP(M1001,Info!$B$5:$D$55,3)</f>
        <v>0</v>
      </c>
      <c r="O1001" s="321" t="str">
        <f>VLOOKUP(M1001,Info!$B$5:$D$55,2)</f>
        <v/>
      </c>
    </row>
    <row r="1002" spans="2:15" x14ac:dyDescent="0.25">
      <c r="B1002" s="534" t="str">
        <f>CONCATENATE(PAR!$H$3," évi költségvetés és az előző három év összevont mérlege")</f>
        <v>2025. évi költségvetés és az előző három év összevont mérlege</v>
      </c>
      <c r="C1002" s="534"/>
      <c r="D1002" s="534"/>
      <c r="E1002" s="534"/>
      <c r="F1002" s="534"/>
      <c r="G1002" s="534"/>
      <c r="H1002" s="534"/>
      <c r="I1002" s="534"/>
      <c r="J1002" s="534"/>
      <c r="K1002" s="534"/>
      <c r="L1002" s="13"/>
      <c r="M1002" s="13"/>
      <c r="N1002" s="13"/>
      <c r="O1002" s="13"/>
    </row>
    <row r="1003" spans="2:15" x14ac:dyDescent="0.25">
      <c r="B1003" s="535" t="s">
        <v>337</v>
      </c>
      <c r="C1003" s="535"/>
      <c r="D1003" s="535"/>
      <c r="E1003" s="535"/>
      <c r="F1003" s="535"/>
      <c r="G1003" s="535"/>
      <c r="H1003" s="535"/>
      <c r="I1003" s="535"/>
      <c r="J1003" s="535"/>
      <c r="K1003" s="535"/>
      <c r="L1003" s="13"/>
      <c r="M1003" s="13"/>
      <c r="N1003" s="13"/>
      <c r="O1003" s="13"/>
    </row>
    <row r="1004" spans="2:15" x14ac:dyDescent="0.25">
      <c r="B1004" s="40"/>
      <c r="C1004" s="256"/>
      <c r="D1004" s="40"/>
      <c r="E1004" s="39"/>
      <c r="F1004" s="40"/>
      <c r="G1004" s="40"/>
      <c r="H1004" s="40"/>
      <c r="I1004" s="40"/>
      <c r="J1004" s="40"/>
      <c r="K1004" s="13"/>
      <c r="L1004" s="13"/>
      <c r="M1004" s="13"/>
      <c r="N1004" s="13"/>
      <c r="O1004" s="13"/>
    </row>
    <row r="1005" spans="2:15" x14ac:dyDescent="0.25">
      <c r="B1005" s="201" t="s">
        <v>1197</v>
      </c>
      <c r="C1005" s="201"/>
      <c r="D1005" s="201"/>
      <c r="E1005" s="201"/>
      <c r="F1005" s="201"/>
      <c r="G1005" s="201"/>
      <c r="H1005" s="201"/>
      <c r="I1005" s="201"/>
      <c r="J1005" s="201"/>
      <c r="K1005" s="201"/>
      <c r="L1005" s="13"/>
      <c r="M1005" s="13"/>
      <c r="N1005" s="13"/>
      <c r="O1005" s="13"/>
    </row>
    <row r="1006" spans="2:15" x14ac:dyDescent="0.25">
      <c r="B1006" s="40"/>
      <c r="C1006" s="256"/>
      <c r="D1006" s="40"/>
      <c r="E1006" s="39"/>
      <c r="F1006" s="40"/>
      <c r="G1006" s="40"/>
      <c r="H1006" s="40"/>
      <c r="I1006" s="40"/>
      <c r="J1006" s="40"/>
      <c r="K1006" s="13"/>
      <c r="L1006" s="13"/>
      <c r="M1006" s="13"/>
      <c r="N1006" s="13"/>
      <c r="O1006" s="13"/>
    </row>
    <row r="1007" spans="2:15" s="13" customFormat="1" ht="12.75" x14ac:dyDescent="0.2">
      <c r="B1007" s="77"/>
      <c r="C1007" s="77" t="s">
        <v>350</v>
      </c>
      <c r="D1007" s="77" t="s">
        <v>351</v>
      </c>
      <c r="E1007" s="77" t="s">
        <v>470</v>
      </c>
      <c r="F1007" s="77" t="s">
        <v>471</v>
      </c>
      <c r="G1007" s="77" t="s">
        <v>44</v>
      </c>
      <c r="H1007" s="77" t="s">
        <v>42</v>
      </c>
      <c r="I1007" s="77"/>
      <c r="J1007" s="77"/>
      <c r="K1007" s="77" t="s">
        <v>511</v>
      </c>
    </row>
    <row r="1008" spans="2:15" s="13" customFormat="1" ht="38.25" x14ac:dyDescent="0.2">
      <c r="B1008" s="68">
        <v>1</v>
      </c>
      <c r="C1008" s="78" t="s">
        <v>348</v>
      </c>
      <c r="D1008" s="78" t="s">
        <v>349</v>
      </c>
      <c r="E1008" s="69" t="str">
        <f>CONCATENATE(PAR!$H$12," évi 
teljesítés")</f>
        <v>2022. évi 
teljesítés</v>
      </c>
      <c r="F1008" s="69" t="str">
        <f>CONCATENATE(PAR!$H$11," évi 
teljesítés")</f>
        <v>2023. évi 
teljesítés</v>
      </c>
      <c r="G1008" s="69" t="str">
        <f>CONCATENATE(PAR!$H$10," évi 
teljesítés")</f>
        <v>2024. évi 
teljesítés</v>
      </c>
      <c r="H1008" s="163" t="str">
        <f>CONCATENATE(PAR!$H$3," évi
eredeti 
előirányzat")</f>
        <v>2025. évi
eredeti 
előirányzat</v>
      </c>
      <c r="I1008" s="163"/>
      <c r="J1008" s="163"/>
      <c r="K1008" s="163" t="str">
        <f>CONCATENATE(PAR!$H$3," évi
módosított 
előirányzat")</f>
        <v>2025. évi
módosított 
előirányzat</v>
      </c>
    </row>
    <row r="1009" spans="2:11" s="13" customFormat="1" ht="12.75" x14ac:dyDescent="0.2">
      <c r="B1009" s="160">
        <v>2</v>
      </c>
      <c r="C1009" s="79" t="s">
        <v>30</v>
      </c>
      <c r="D1009" s="79" t="s">
        <v>329</v>
      </c>
      <c r="E1009" s="120">
        <f>SUM(E1010:E1022)</f>
        <v>0</v>
      </c>
      <c r="F1009" s="120">
        <f t="shared" ref="F1009" si="247">SUM(F1010:F1022)</f>
        <v>0</v>
      </c>
      <c r="G1009" s="120">
        <f>SUM(G1010:G1022)</f>
        <v>0</v>
      </c>
      <c r="H1009" s="121">
        <f t="shared" ref="H1009" si="248">SUM(H1010:H1022)</f>
        <v>0</v>
      </c>
      <c r="I1009" s="121"/>
      <c r="J1009" s="121"/>
      <c r="K1009" s="121">
        <f>SUM(K1010:K1022)</f>
        <v>0</v>
      </c>
    </row>
    <row r="1010" spans="2:11" s="13" customFormat="1" ht="12.75" x14ac:dyDescent="0.2">
      <c r="B1010" s="160">
        <v>3</v>
      </c>
      <c r="C1010" s="305" t="s">
        <v>1309</v>
      </c>
      <c r="D1010" s="82" t="s">
        <v>1356</v>
      </c>
      <c r="E1010" s="165"/>
      <c r="F1010" s="165"/>
      <c r="G1010" s="165"/>
      <c r="H1010" s="166">
        <f>SUMIF(Adat!$AC:$AC,CONCATENATE(61,N1001,"094011"),Adat!$E:$E)*-1</f>
        <v>0</v>
      </c>
      <c r="I1010" s="166"/>
      <c r="J1010" s="166"/>
      <c r="K1010" s="166">
        <f>SUMIF(Adat!$AC:$AC,CONCATENATE(60,N1001,"094011"),Adat!$E:$E)*-1+H1010</f>
        <v>0</v>
      </c>
    </row>
    <row r="1011" spans="2:11" s="13" customFormat="1" ht="12.75" x14ac:dyDescent="0.2">
      <c r="B1011" s="160">
        <v>4</v>
      </c>
      <c r="C1011" s="305" t="s">
        <v>1279</v>
      </c>
      <c r="D1011" s="82" t="s">
        <v>1357</v>
      </c>
      <c r="E1011" s="165"/>
      <c r="F1011" s="165"/>
      <c r="G1011" s="165"/>
      <c r="H1011" s="166">
        <f>SUMIF(Adat!$AC:$AC,CONCATENATE(61,N1001,"094021"),Adat!$E:$E)*-1</f>
        <v>0</v>
      </c>
      <c r="I1011" s="166"/>
      <c r="J1011" s="166"/>
      <c r="K1011" s="166">
        <f>SUMIF(Adat!$AC:$AC,CONCATENATE(60,N1001,"094021"),Adat!$E:$E)*-1+H1011</f>
        <v>0</v>
      </c>
    </row>
    <row r="1012" spans="2:11" s="13" customFormat="1" ht="12.75" x14ac:dyDescent="0.2">
      <c r="B1012" s="160">
        <v>5</v>
      </c>
      <c r="C1012" s="305" t="s">
        <v>1272</v>
      </c>
      <c r="D1012" s="82" t="s">
        <v>1358</v>
      </c>
      <c r="E1012" s="165"/>
      <c r="F1012" s="165"/>
      <c r="G1012" s="165"/>
      <c r="H1012" s="166">
        <f>SUMIF(Adat!$AC:$AC,CONCATENATE(61,N1001,"094031"),Adat!$E:$E)*-1</f>
        <v>0</v>
      </c>
      <c r="I1012" s="166"/>
      <c r="J1012" s="166"/>
      <c r="K1012" s="166">
        <f>SUMIF(Adat!$AC:$AC,CONCATENATE(60,N1001,"094031"),Adat!$E:$E)*-1+H1012</f>
        <v>0</v>
      </c>
    </row>
    <row r="1013" spans="2:11" s="13" customFormat="1" ht="12.75" x14ac:dyDescent="0.2">
      <c r="B1013" s="160">
        <v>6</v>
      </c>
      <c r="C1013" s="305" t="s">
        <v>1359</v>
      </c>
      <c r="D1013" s="82" t="s">
        <v>1360</v>
      </c>
      <c r="E1013" s="165"/>
      <c r="F1013" s="165"/>
      <c r="G1013" s="165"/>
      <c r="H1013" s="166">
        <f>SUMIF(Adat!$AC:$AC,CONCATENATE(61,N1001,"094041"),Adat!$E:$E)*-1</f>
        <v>0</v>
      </c>
      <c r="I1013" s="166"/>
      <c r="J1013" s="166"/>
      <c r="K1013" s="166">
        <f>SUMIF(Adat!$AC:$AC,CONCATENATE(60,N1001,"094041"),Adat!$E:$E)*-1+H1013</f>
        <v>0</v>
      </c>
    </row>
    <row r="1014" spans="2:11" s="13" customFormat="1" ht="12.75" x14ac:dyDescent="0.2">
      <c r="B1014" s="160">
        <v>7</v>
      </c>
      <c r="C1014" s="305" t="s">
        <v>1261</v>
      </c>
      <c r="D1014" s="82" t="s">
        <v>1361</v>
      </c>
      <c r="E1014" s="165"/>
      <c r="F1014" s="165"/>
      <c r="G1014" s="165"/>
      <c r="H1014" s="166">
        <f>SUMIF(Adat!$AC:$AC,CONCATENATE(61,N1001,"094051"),Adat!$E:$E)*-1</f>
        <v>0</v>
      </c>
      <c r="I1014" s="166"/>
      <c r="J1014" s="166"/>
      <c r="K1014" s="166">
        <f>SUMIF(Adat!$AC:$AC,CONCATENATE(60,N1001,"094051"),Adat!$E:$E)*-1+H1014</f>
        <v>0</v>
      </c>
    </row>
    <row r="1015" spans="2:11" s="13" customFormat="1" ht="12.75" x14ac:dyDescent="0.2">
      <c r="B1015" s="160">
        <v>8</v>
      </c>
      <c r="C1015" s="305" t="s">
        <v>1273</v>
      </c>
      <c r="D1015" s="82" t="s">
        <v>1362</v>
      </c>
      <c r="E1015" s="165"/>
      <c r="F1015" s="165"/>
      <c r="G1015" s="165"/>
      <c r="H1015" s="166">
        <f>SUMIF(Adat!$AC:$AC,CONCATENATE(61,N1001,"094061"),Adat!$E:$E)*-1</f>
        <v>0</v>
      </c>
      <c r="I1015" s="166"/>
      <c r="J1015" s="166"/>
      <c r="K1015" s="166">
        <f>SUMIF(Adat!$AC:$AC,CONCATENATE(60,N1001,"094061"),Adat!$E:$E)*-1+H1015</f>
        <v>0</v>
      </c>
    </row>
    <row r="1016" spans="2:11" s="13" customFormat="1" ht="12.75" x14ac:dyDescent="0.2">
      <c r="B1016" s="160">
        <v>9</v>
      </c>
      <c r="C1016" s="305" t="s">
        <v>1363</v>
      </c>
      <c r="D1016" s="82" t="s">
        <v>1364</v>
      </c>
      <c r="E1016" s="165"/>
      <c r="F1016" s="165"/>
      <c r="G1016" s="165"/>
      <c r="H1016" s="166">
        <f>SUMIF(Adat!$AC:$AC,CONCATENATE(61,N1001,"094071"),Adat!$E:$E)*-1</f>
        <v>0</v>
      </c>
      <c r="I1016" s="166"/>
      <c r="J1016" s="166"/>
      <c r="K1016" s="166">
        <f>SUMIF(Adat!$AC:$AC,CONCATENATE(60,N1001,"094071"),Adat!$E:$E)*-1+H1016</f>
        <v>0</v>
      </c>
    </row>
    <row r="1017" spans="2:11" s="13" customFormat="1" ht="12.75" x14ac:dyDescent="0.2">
      <c r="B1017" s="160">
        <v>10</v>
      </c>
      <c r="C1017" s="305" t="s">
        <v>1306</v>
      </c>
      <c r="D1017" s="82" t="s">
        <v>1365</v>
      </c>
      <c r="E1017" s="165"/>
      <c r="F1017" s="165"/>
      <c r="G1017" s="165"/>
      <c r="H1017" s="166">
        <f>SUMIF(Adat!$AC:$AC,CONCATENATE(61,N1001,"0940811"),Adat!$E:$E)*-1</f>
        <v>0</v>
      </c>
      <c r="I1017" s="166"/>
      <c r="J1017" s="166"/>
      <c r="K1017" s="166">
        <f>SUMIF(Adat!$AC:$AC,CONCATENATE(60,N1001,"0940811"),Adat!$E:$E)*-1+H1017</f>
        <v>0</v>
      </c>
    </row>
    <row r="1018" spans="2:11" s="13" customFormat="1" ht="12.75" x14ac:dyDescent="0.2">
      <c r="B1018" s="160">
        <v>11</v>
      </c>
      <c r="C1018" s="305" t="s">
        <v>1295</v>
      </c>
      <c r="D1018" s="82" t="s">
        <v>1366</v>
      </c>
      <c r="E1018" s="165"/>
      <c r="F1018" s="165"/>
      <c r="G1018" s="165"/>
      <c r="H1018" s="166">
        <f>SUMIF(Adat!$AC:$AC,CONCATENATE(61,N1001,"0940821"),Adat!$E:$E)*-1</f>
        <v>0</v>
      </c>
      <c r="I1018" s="166"/>
      <c r="J1018" s="166"/>
      <c r="K1018" s="166">
        <f>SUMIF(Adat!$AC:$AC,CONCATENATE(60,N1001,"0940821"),Adat!$E:$E)*-1+H1018</f>
        <v>0</v>
      </c>
    </row>
    <row r="1019" spans="2:11" s="13" customFormat="1" ht="12.75" x14ac:dyDescent="0.2">
      <c r="B1019" s="160">
        <v>12</v>
      </c>
      <c r="C1019" s="305" t="s">
        <v>1367</v>
      </c>
      <c r="D1019" s="82" t="s">
        <v>1368</v>
      </c>
      <c r="E1019" s="165"/>
      <c r="F1019" s="165"/>
      <c r="G1019" s="165"/>
      <c r="H1019" s="166">
        <f>SUMIF(Adat!$AC:$AC,CONCATENATE(61,N1001,"0940911"),Adat!$E:$E)*-1</f>
        <v>0</v>
      </c>
      <c r="I1019" s="166"/>
      <c r="J1019" s="166"/>
      <c r="K1019" s="166">
        <f>SUMIF(Adat!$AC:$AC,CONCATENATE(60,N1001,"0940911"),Adat!$E:$E)*-1+H1019</f>
        <v>0</v>
      </c>
    </row>
    <row r="1020" spans="2:11" s="13" customFormat="1" ht="12.75" x14ac:dyDescent="0.2">
      <c r="B1020" s="160">
        <v>13</v>
      </c>
      <c r="C1020" s="305" t="s">
        <v>1369</v>
      </c>
      <c r="D1020" s="82" t="s">
        <v>1370</v>
      </c>
      <c r="E1020" s="165"/>
      <c r="F1020" s="165"/>
      <c r="G1020" s="165"/>
      <c r="H1020" s="166">
        <f>SUMIF(Adat!$AC:$AC,CONCATENATE(61,N1001,"0940921"),Adat!$E:$E)*-1</f>
        <v>0</v>
      </c>
      <c r="I1020" s="166"/>
      <c r="J1020" s="166"/>
      <c r="K1020" s="166">
        <f>SUMIF(Adat!$AC:$AC,CONCATENATE(60,N1001,"0940921"),Adat!$E:$E)*-1+H1020</f>
        <v>0</v>
      </c>
    </row>
    <row r="1021" spans="2:11" s="13" customFormat="1" ht="12.75" x14ac:dyDescent="0.2">
      <c r="B1021" s="160">
        <v>14</v>
      </c>
      <c r="C1021" s="305" t="s">
        <v>1296</v>
      </c>
      <c r="D1021" s="82" t="s">
        <v>1371</v>
      </c>
      <c r="E1021" s="165"/>
      <c r="F1021" s="165"/>
      <c r="G1021" s="165"/>
      <c r="H1021" s="166">
        <f>SUMIF(Adat!$AC:$AC,CONCATENATE(61,N1001,"094101"),Adat!$E:$E)*-1</f>
        <v>0</v>
      </c>
      <c r="I1021" s="166"/>
      <c r="J1021" s="166"/>
      <c r="K1021" s="166">
        <f>SUMIF(Adat!$AC:$AC,CONCATENATE(60,N1001,"094101"),Adat!$E:$E)*-1+H1021</f>
        <v>0</v>
      </c>
    </row>
    <row r="1022" spans="2:11" s="13" customFormat="1" ht="12.75" x14ac:dyDescent="0.2">
      <c r="B1022" s="160">
        <v>15</v>
      </c>
      <c r="C1022" s="305" t="s">
        <v>1297</v>
      </c>
      <c r="D1022" s="84" t="s">
        <v>1372</v>
      </c>
      <c r="E1022" s="165"/>
      <c r="F1022" s="165"/>
      <c r="G1022" s="165"/>
      <c r="H1022" s="166">
        <f>SUMIF(Adat!$AC:$AC,CONCATENATE(61,N1001,"094111"),Adat!$E:$E)*-1</f>
        <v>0</v>
      </c>
      <c r="I1022" s="166"/>
      <c r="J1022" s="166"/>
      <c r="K1022" s="166">
        <f>SUMIF(Adat!$AC:$AC,CONCATENATE(60,N1001,"094111"),Adat!$E:$E)*-1+H1022</f>
        <v>0</v>
      </c>
    </row>
    <row r="1023" spans="2:11" s="13" customFormat="1" ht="12.75" x14ac:dyDescent="0.2">
      <c r="B1023" s="160">
        <v>16</v>
      </c>
      <c r="C1023" s="78" t="s">
        <v>1328</v>
      </c>
      <c r="D1023" s="85" t="s">
        <v>437</v>
      </c>
      <c r="E1023" s="120">
        <f>SUM(E1024:E1026)</f>
        <v>0</v>
      </c>
      <c r="F1023" s="120">
        <f t="shared" ref="F1023" si="249">SUM(F1024:F1026)</f>
        <v>0</v>
      </c>
      <c r="G1023" s="120">
        <f>SUM(G1024:G1026)</f>
        <v>0</v>
      </c>
      <c r="H1023" s="121">
        <f t="shared" ref="H1023" si="250">SUM(H1024:H1026)</f>
        <v>0</v>
      </c>
      <c r="I1023" s="121"/>
      <c r="J1023" s="121"/>
      <c r="K1023" s="121">
        <f>SUM(K1024:K1026)</f>
        <v>0</v>
      </c>
    </row>
    <row r="1024" spans="2:11" s="13" customFormat="1" ht="12.75" x14ac:dyDescent="0.2">
      <c r="B1024" s="160">
        <v>17</v>
      </c>
      <c r="C1024" s="305" t="s">
        <v>1329</v>
      </c>
      <c r="D1024" s="82" t="s">
        <v>1330</v>
      </c>
      <c r="E1024" s="165"/>
      <c r="F1024" s="165"/>
      <c r="G1024" s="165"/>
      <c r="H1024" s="166">
        <f>SUMIF(Adat!$AC:$AC,CONCATENATE(61,N1001,"09121"),Adat!$E:$E)*-1</f>
        <v>0</v>
      </c>
      <c r="I1024" s="166"/>
      <c r="J1024" s="166"/>
      <c r="K1024" s="166">
        <f>SUMIF(Adat!$AC:$AC,CONCATENATE(60,N1001,"09121"),Adat!$E:$E)*-1+H1024</f>
        <v>0</v>
      </c>
    </row>
    <row r="1025" spans="2:11" s="13" customFormat="1" ht="12.75" x14ac:dyDescent="0.2">
      <c r="B1025" s="160">
        <v>18</v>
      </c>
      <c r="C1025" s="305" t="s">
        <v>1335</v>
      </c>
      <c r="D1025" s="82" t="s">
        <v>1336</v>
      </c>
      <c r="E1025" s="165"/>
      <c r="F1025" s="165"/>
      <c r="G1025" s="165"/>
      <c r="H1025" s="166">
        <f>SUMIF(Adat!$AC:$AC,CONCATENATE(61,N1001,"09151"),Adat!$E:$E)*-1</f>
        <v>0</v>
      </c>
      <c r="I1025" s="166"/>
      <c r="J1025" s="166"/>
      <c r="K1025" s="166">
        <f>SUMIF(Adat!$AC:$AC,CONCATENATE(60,N1001,"09151"),Adat!$E:$E)*-1+H1025</f>
        <v>0</v>
      </c>
    </row>
    <row r="1026" spans="2:11" s="13" customFormat="1" ht="12.75" x14ac:dyDescent="0.2">
      <c r="B1026" s="160">
        <v>19</v>
      </c>
      <c r="C1026" s="305" t="s">
        <v>1278</v>
      </c>
      <c r="D1026" s="82" t="s">
        <v>1337</v>
      </c>
      <c r="E1026" s="165"/>
      <c r="F1026" s="165"/>
      <c r="G1026" s="165"/>
      <c r="H1026" s="166">
        <f>SUMIF(Adat!$AC:$AC,CONCATENATE(61,N1001,"09161"),Adat!$E:$E)*-1</f>
        <v>0</v>
      </c>
      <c r="I1026" s="166"/>
      <c r="J1026" s="166"/>
      <c r="K1026" s="166">
        <f>SUMIF(Adat!$AC:$AC,CONCATENATE(60,N1001,"09161"),Adat!$E:$E)*-1+H1026</f>
        <v>0</v>
      </c>
    </row>
    <row r="1027" spans="2:11" s="13" customFormat="1" ht="12.75" x14ac:dyDescent="0.2">
      <c r="B1027" s="160">
        <v>20</v>
      </c>
      <c r="C1027" s="79" t="s">
        <v>27</v>
      </c>
      <c r="D1027" s="79" t="s">
        <v>328</v>
      </c>
      <c r="E1027" s="120">
        <v>0</v>
      </c>
      <c r="F1027" s="120">
        <v>0</v>
      </c>
      <c r="G1027" s="120">
        <v>0</v>
      </c>
      <c r="H1027" s="71">
        <f>SUMIF(Adat!$AE:$AE,CONCATENATE(61,N1001,"093"),Adat!$E:$E)*-1</f>
        <v>0</v>
      </c>
      <c r="I1027" s="71"/>
      <c r="J1027" s="71"/>
      <c r="K1027" s="71">
        <f>SUMIF(Adat!$AE:$AE,CONCATENATE(60,N1001,"093"),Adat!$E:$E)*-1+H1027</f>
        <v>0</v>
      </c>
    </row>
    <row r="1028" spans="2:11" s="13" customFormat="1" ht="12.75" x14ac:dyDescent="0.2">
      <c r="B1028" s="160">
        <v>21</v>
      </c>
      <c r="C1028" s="79" t="s">
        <v>24</v>
      </c>
      <c r="D1028" s="79" t="s">
        <v>449</v>
      </c>
      <c r="E1028" s="120">
        <f>SUM(E1029:E1031)</f>
        <v>0</v>
      </c>
      <c r="F1028" s="120">
        <f t="shared" ref="F1028:G1028" si="251">SUM(F1029:F1031)</f>
        <v>0</v>
      </c>
      <c r="G1028" s="120">
        <f t="shared" si="251"/>
        <v>0</v>
      </c>
      <c r="H1028" s="121">
        <f>SUM(H1029:H1031)</f>
        <v>0</v>
      </c>
      <c r="I1028" s="121"/>
      <c r="J1028" s="121"/>
      <c r="K1028" s="121">
        <f t="shared" ref="K1028" si="252">SUM(K1029:K1031)</f>
        <v>0</v>
      </c>
    </row>
    <row r="1029" spans="2:11" s="13" customFormat="1" ht="12.75" x14ac:dyDescent="0.2">
      <c r="B1029" s="160">
        <v>22</v>
      </c>
      <c r="C1029" s="305" t="s">
        <v>1339</v>
      </c>
      <c r="D1029" s="82" t="s">
        <v>1340</v>
      </c>
      <c r="E1029" s="165"/>
      <c r="F1029" s="165"/>
      <c r="G1029" s="165"/>
      <c r="H1029" s="166">
        <f>SUMIF(Adat!$AC:$AC,CONCATENATE(61,N1001,"09211"),Adat!$E:$E)*-1</f>
        <v>0</v>
      </c>
      <c r="I1029" s="166"/>
      <c r="J1029" s="166"/>
      <c r="K1029" s="166">
        <f>SUMIF(Adat!$AC:$AC,CONCATENATE(60,N1001,"09211"),Adat!$E:$E)*-1+H1029</f>
        <v>0</v>
      </c>
    </row>
    <row r="1030" spans="2:11" s="13" customFormat="1" ht="12.75" x14ac:dyDescent="0.2">
      <c r="B1030" s="160">
        <v>23</v>
      </c>
      <c r="C1030" s="305" t="s">
        <v>1345</v>
      </c>
      <c r="D1030" s="82" t="s">
        <v>1346</v>
      </c>
      <c r="E1030" s="165"/>
      <c r="F1030" s="165"/>
      <c r="G1030" s="165"/>
      <c r="H1030" s="166">
        <f>SUMIF(Adat!$AC:$AC,CONCATENATE(61,N1001,"09241"),Adat!$E:$E)*-1</f>
        <v>0</v>
      </c>
      <c r="I1030" s="166"/>
      <c r="J1030" s="166"/>
      <c r="K1030" s="166">
        <f>SUMIF(Adat!$AC:$AC,CONCATENATE(60,N1001,"09241"),Adat!$E:$E)*-1+H1030</f>
        <v>0</v>
      </c>
    </row>
    <row r="1031" spans="2:11" s="13" customFormat="1" ht="12.75" x14ac:dyDescent="0.2">
      <c r="B1031" s="160">
        <v>24</v>
      </c>
      <c r="C1031" s="305" t="s">
        <v>1255</v>
      </c>
      <c r="D1031" s="82" t="s">
        <v>1347</v>
      </c>
      <c r="E1031" s="165"/>
      <c r="F1031" s="165"/>
      <c r="G1031" s="165"/>
      <c r="H1031" s="166">
        <f>SUMIF(Adat!$AC:$AC,CONCATENATE(61,N1001,"09251"),Adat!$E:$E)*-1</f>
        <v>0</v>
      </c>
      <c r="I1031" s="166"/>
      <c r="J1031" s="166"/>
      <c r="K1031" s="166">
        <f>SUMIF(Adat!$AC:$AC,CONCATENATE(60,N1001,"09251"),Adat!$E:$E)*-1+H1031</f>
        <v>0</v>
      </c>
    </row>
    <row r="1032" spans="2:11" s="13" customFormat="1" ht="12.75" x14ac:dyDescent="0.2">
      <c r="B1032" s="160">
        <v>25</v>
      </c>
      <c r="C1032" s="79" t="s">
        <v>33</v>
      </c>
      <c r="D1032" s="79" t="s">
        <v>330</v>
      </c>
      <c r="E1032" s="120">
        <f>SUM(E1033:E1035)</f>
        <v>0</v>
      </c>
      <c r="F1032" s="120">
        <f t="shared" ref="F1032:K1032" si="253">SUM(F1033:F1035)</f>
        <v>0</v>
      </c>
      <c r="G1032" s="120">
        <f t="shared" si="253"/>
        <v>0</v>
      </c>
      <c r="H1032" s="121">
        <f t="shared" si="253"/>
        <v>0</v>
      </c>
      <c r="I1032" s="121"/>
      <c r="J1032" s="121"/>
      <c r="K1032" s="121">
        <f t="shared" si="253"/>
        <v>0</v>
      </c>
    </row>
    <row r="1033" spans="2:11" s="13" customFormat="1" ht="12.75" x14ac:dyDescent="0.2">
      <c r="B1033" s="160">
        <v>26</v>
      </c>
      <c r="C1033" s="305" t="s">
        <v>1373</v>
      </c>
      <c r="D1033" s="82" t="s">
        <v>1374</v>
      </c>
      <c r="E1033" s="165"/>
      <c r="F1033" s="165"/>
      <c r="G1033" s="165"/>
      <c r="H1033" s="166">
        <f>SUMIF(Adat!$AC:$AC,CONCATENATE(61,N1001,"09511"),Adat!$E:$E)*-1</f>
        <v>0</v>
      </c>
      <c r="I1033" s="166"/>
      <c r="J1033" s="166"/>
      <c r="K1033" s="166">
        <f>SUMIF(Adat!$AC:$AC,CONCATENATE(60,N1001,"09511"),Adat!$E:$E)*-1+H1033</f>
        <v>0</v>
      </c>
    </row>
    <row r="1034" spans="2:11" s="13" customFormat="1" ht="12.75" x14ac:dyDescent="0.2">
      <c r="B1034" s="160">
        <v>27</v>
      </c>
      <c r="C1034" s="305" t="s">
        <v>1294</v>
      </c>
      <c r="D1034" s="82" t="s">
        <v>1375</v>
      </c>
      <c r="E1034" s="165"/>
      <c r="F1034" s="165"/>
      <c r="G1034" s="165"/>
      <c r="H1034" s="166">
        <f>SUMIF(Adat!$AC:$AC,CONCATENATE(61,N1001,"09521"),Adat!$E:$E)*-1</f>
        <v>0</v>
      </c>
      <c r="I1034" s="166"/>
      <c r="J1034" s="166"/>
      <c r="K1034" s="166">
        <f>SUMIF(Adat!$AC:$AC,CONCATENATE(60,N1001,"09521"),Adat!$E:$E)*-1+H1034</f>
        <v>0</v>
      </c>
    </row>
    <row r="1035" spans="2:11" s="13" customFormat="1" ht="12.75" x14ac:dyDescent="0.2">
      <c r="B1035" s="160">
        <v>28</v>
      </c>
      <c r="C1035" s="305" t="s">
        <v>1376</v>
      </c>
      <c r="D1035" s="82" t="s">
        <v>1377</v>
      </c>
      <c r="E1035" s="165"/>
      <c r="F1035" s="165"/>
      <c r="G1035" s="165"/>
      <c r="H1035" s="166">
        <f>SUMIF(Adat!$AC:$AC,CONCATENATE(61,N1001,"09531"),Adat!$E:$E)*-1</f>
        <v>0</v>
      </c>
      <c r="I1035" s="166"/>
      <c r="J1035" s="166"/>
      <c r="K1035" s="166">
        <f>SUMIF(Adat!$AC:$AC,CONCATENATE(60,N1001,"09531"),Adat!$E:$E)*-1+H1035</f>
        <v>0</v>
      </c>
    </row>
    <row r="1036" spans="2:11" s="13" customFormat="1" ht="12.75" x14ac:dyDescent="0.2">
      <c r="B1036" s="160">
        <v>29</v>
      </c>
      <c r="C1036" s="79" t="s">
        <v>36</v>
      </c>
      <c r="D1036" s="79" t="s">
        <v>331</v>
      </c>
      <c r="E1036" s="120">
        <v>0</v>
      </c>
      <c r="F1036" s="120">
        <v>0</v>
      </c>
      <c r="G1036" s="120">
        <v>0</v>
      </c>
      <c r="H1036" s="71">
        <f>SUMIF(Adat!$AE:$AE,CONCATENATE(61,N1001,"096"),Adat!$E:$E)*-1</f>
        <v>0</v>
      </c>
      <c r="I1036" s="71"/>
      <c r="J1036" s="71"/>
      <c r="K1036" s="71">
        <f>SUMIF(Adat!$AE:$AE,CONCATENATE(60,N1001,"096"),Adat!$E:$E)*-1+H1036</f>
        <v>0</v>
      </c>
    </row>
    <row r="1037" spans="2:11" s="13" customFormat="1" ht="12.75" x14ac:dyDescent="0.2">
      <c r="B1037" s="160">
        <v>30</v>
      </c>
      <c r="C1037" s="79" t="s">
        <v>38</v>
      </c>
      <c r="D1037" s="85" t="s">
        <v>332</v>
      </c>
      <c r="E1037" s="120">
        <v>0</v>
      </c>
      <c r="F1037" s="120">
        <v>0</v>
      </c>
      <c r="G1037" s="120">
        <v>0</v>
      </c>
      <c r="H1037" s="71">
        <f>SUMIF(Adat!$AE:$AE,CONCATENATE(61,N1001,"097"),Adat!$E:$E)*-1</f>
        <v>0</v>
      </c>
      <c r="I1037" s="71"/>
      <c r="J1037" s="71"/>
      <c r="K1037" s="71">
        <f>SUMIF(Adat!$AE:$AE,CONCATENATE(60,N1001,"097"),Adat!$E:$E)*-1+H1037</f>
        <v>0</v>
      </c>
    </row>
    <row r="1038" spans="2:11" s="13" customFormat="1" ht="12.75" x14ac:dyDescent="0.2">
      <c r="B1038" s="160">
        <v>31</v>
      </c>
      <c r="C1038" s="154" t="s">
        <v>352</v>
      </c>
      <c r="D1038" s="86" t="s">
        <v>1500</v>
      </c>
      <c r="E1038" s="120">
        <f>E1009+E1023+E1027+E1028+E1032+E1036+E1037</f>
        <v>0</v>
      </c>
      <c r="F1038" s="120">
        <f>F1009+F1023+F1027+F1028+F1032+F1036+F1037</f>
        <v>0</v>
      </c>
      <c r="G1038" s="120">
        <f>G1009+G1023+G1027+G1028+G1032+G1036+G1037</f>
        <v>0</v>
      </c>
      <c r="H1038" s="121">
        <f>H1009+H1023+H1027+H1028+H1032+H1036+H1037</f>
        <v>0</v>
      </c>
      <c r="I1038" s="121"/>
      <c r="J1038" s="121"/>
      <c r="K1038" s="121">
        <f>K1009+K1023+K1027+K1028+K1032+K1036+K1037</f>
        <v>0</v>
      </c>
    </row>
    <row r="1039" spans="2:11" s="13" customFormat="1" ht="12.75" x14ac:dyDescent="0.2">
      <c r="B1039" s="160">
        <v>32</v>
      </c>
      <c r="C1039" s="154" t="s">
        <v>358</v>
      </c>
      <c r="D1039" s="86" t="s">
        <v>333</v>
      </c>
      <c r="E1039" s="120">
        <f>SUM(E1040:E1042)</f>
        <v>0</v>
      </c>
      <c r="F1039" s="120">
        <f t="shared" ref="F1039" si="254">SUM(F1040:F1042)</f>
        <v>0</v>
      </c>
      <c r="G1039" s="120">
        <f>SUM(G1040:G1042)</f>
        <v>0</v>
      </c>
      <c r="H1039" s="121">
        <f t="shared" ref="H1039:K1039" si="255">SUM(H1040:H1042)</f>
        <v>0</v>
      </c>
      <c r="I1039" s="121"/>
      <c r="J1039" s="121"/>
      <c r="K1039" s="121">
        <f t="shared" si="255"/>
        <v>0</v>
      </c>
    </row>
    <row r="1040" spans="2:11" s="13" customFormat="1" ht="12.75" x14ac:dyDescent="0.2">
      <c r="B1040" s="160">
        <v>33</v>
      </c>
      <c r="C1040" s="305" t="s">
        <v>1274</v>
      </c>
      <c r="D1040" s="82" t="s">
        <v>1419</v>
      </c>
      <c r="E1040" s="165"/>
      <c r="F1040" s="165"/>
      <c r="G1040" s="165"/>
      <c r="H1040" s="166">
        <f>SUMIF(Adat!$AC:$AC,CONCATENATE(61,N1001,"0981311"),Adat!$E:$E)*-1</f>
        <v>0</v>
      </c>
      <c r="I1040" s="166"/>
      <c r="J1040" s="166"/>
      <c r="K1040" s="166">
        <f>SUMIF(Adat!$AC:$AC,CONCATENATE(60,N1001,"0981311"),Adat!$E:$E)*-1+H1040</f>
        <v>0</v>
      </c>
    </row>
    <row r="1041" spans="2:15" s="13" customFormat="1" ht="12.75" x14ac:dyDescent="0.2">
      <c r="B1041" s="160">
        <v>34</v>
      </c>
      <c r="C1041" s="305" t="s">
        <v>1420</v>
      </c>
      <c r="D1041" s="84" t="s">
        <v>1421</v>
      </c>
      <c r="E1041" s="165"/>
      <c r="F1041" s="165"/>
      <c r="G1041" s="165"/>
      <c r="H1041" s="166">
        <f>SUMIF(Adat!$AC:$AC,CONCATENATE(61,N1001,"0981321"),Adat!$E:$E)*-1</f>
        <v>0</v>
      </c>
      <c r="I1041" s="166"/>
      <c r="J1041" s="166"/>
      <c r="K1041" s="166">
        <f>SUMIF(Adat!$AC:$AC,CONCATENATE(60,N1001,"0981321"),Adat!$E:$E)*-1+H1041</f>
        <v>0</v>
      </c>
    </row>
    <row r="1042" spans="2:15" s="13" customFormat="1" ht="12.75" x14ac:dyDescent="0.2">
      <c r="B1042" s="160">
        <v>35</v>
      </c>
      <c r="C1042" s="319" t="s">
        <v>1275</v>
      </c>
      <c r="D1042" s="84" t="s">
        <v>1501</v>
      </c>
      <c r="E1042" s="165"/>
      <c r="F1042" s="165"/>
      <c r="G1042" s="165"/>
      <c r="H1042" s="166">
        <f>SUMIF(Adat!$AC:$AC,CONCATENATE(61,N1001,"098161"),Adat!$E:$E)*-1</f>
        <v>0</v>
      </c>
      <c r="I1042" s="166"/>
      <c r="J1042" s="166"/>
      <c r="K1042" s="166">
        <f>SUMIF(Adat!$AC:$AC,CONCATENATE(60,N1001,"098161"),Adat!$E:$E)*-1+H1042</f>
        <v>0</v>
      </c>
    </row>
    <row r="1043" spans="2:15" s="13" customFormat="1" ht="12.75" x14ac:dyDescent="0.2">
      <c r="B1043" s="160">
        <v>36</v>
      </c>
      <c r="C1043" s="154" t="s">
        <v>364</v>
      </c>
      <c r="D1043" s="159" t="s">
        <v>1502</v>
      </c>
      <c r="E1043" s="120">
        <f>E1038+E1039</f>
        <v>0</v>
      </c>
      <c r="F1043" s="120">
        <f t="shared" ref="F1043:G1043" si="256">F1038+F1039</f>
        <v>0</v>
      </c>
      <c r="G1043" s="120">
        <f t="shared" si="256"/>
        <v>0</v>
      </c>
      <c r="H1043" s="121">
        <f>H1038+H1039</f>
        <v>0</v>
      </c>
      <c r="I1043" s="121"/>
      <c r="J1043" s="121"/>
      <c r="K1043" s="121">
        <f>K1038+K1039</f>
        <v>0</v>
      </c>
    </row>
    <row r="1044" spans="2:15" x14ac:dyDescent="0.25">
      <c r="B1044" s="40"/>
      <c r="C1044" s="256"/>
      <c r="D1044" s="40"/>
      <c r="E1044" s="13"/>
      <c r="F1044" s="13"/>
      <c r="G1044" s="13"/>
      <c r="H1044" s="39"/>
      <c r="I1044" s="39"/>
      <c r="J1044" s="39"/>
      <c r="K1044" s="13"/>
      <c r="L1044" s="13"/>
      <c r="M1044" s="13"/>
      <c r="N1044" s="13"/>
      <c r="O1044" s="13"/>
    </row>
    <row r="1045" spans="2:15" x14ac:dyDescent="0.25">
      <c r="B1045" s="202" t="s">
        <v>1198</v>
      </c>
      <c r="C1045" s="260"/>
      <c r="D1045" s="260"/>
      <c r="E1045" s="13"/>
      <c r="F1045" s="13"/>
      <c r="G1045" s="13"/>
      <c r="H1045" s="260"/>
      <c r="I1045" s="260"/>
      <c r="J1045" s="260"/>
      <c r="K1045" s="13"/>
      <c r="L1045" s="13"/>
      <c r="M1045" s="13"/>
      <c r="N1045" s="13"/>
      <c r="O1045" s="13"/>
    </row>
    <row r="1046" spans="2:15" x14ac:dyDescent="0.25">
      <c r="B1046" s="40"/>
      <c r="C1046" s="256"/>
      <c r="D1046" s="40"/>
      <c r="E1046" s="13"/>
      <c r="F1046" s="13"/>
      <c r="G1046" s="13"/>
      <c r="H1046" s="39"/>
      <c r="I1046" s="39"/>
      <c r="J1046" s="39"/>
      <c r="K1046" s="13"/>
      <c r="L1046" s="13"/>
      <c r="M1046" s="13"/>
      <c r="N1046" s="13"/>
      <c r="O1046" s="13"/>
    </row>
    <row r="1047" spans="2:15" s="13" customFormat="1" ht="12.75" x14ac:dyDescent="0.2">
      <c r="B1047" s="77"/>
      <c r="C1047" s="77" t="s">
        <v>350</v>
      </c>
      <c r="D1047" s="77" t="s">
        <v>351</v>
      </c>
      <c r="E1047" s="77" t="s">
        <v>470</v>
      </c>
      <c r="F1047" s="77" t="s">
        <v>471</v>
      </c>
      <c r="G1047" s="77" t="s">
        <v>44</v>
      </c>
      <c r="H1047" s="77" t="s">
        <v>42</v>
      </c>
      <c r="I1047" s="77"/>
      <c r="J1047" s="77"/>
      <c r="K1047" s="77" t="s">
        <v>511</v>
      </c>
    </row>
    <row r="1048" spans="2:15" s="13" customFormat="1" ht="38.25" x14ac:dyDescent="0.2">
      <c r="B1048" s="68">
        <v>1</v>
      </c>
      <c r="C1048" s="78" t="s">
        <v>348</v>
      </c>
      <c r="D1048" s="78" t="s">
        <v>349</v>
      </c>
      <c r="E1048" s="69" t="str">
        <f>CONCATENATE(PAR!$H$12," évi 
teljesítés")</f>
        <v>2022. évi 
teljesítés</v>
      </c>
      <c r="F1048" s="69" t="str">
        <f>CONCATENATE(PAR!$H$11," évi 
teljesítés")</f>
        <v>2023. évi 
teljesítés</v>
      </c>
      <c r="G1048" s="69" t="str">
        <f>CONCATENATE(PAR!$H$10," évi 
teljesítés")</f>
        <v>2024. évi 
teljesítés</v>
      </c>
      <c r="H1048" s="163" t="str">
        <f>CONCATENATE(PAR!$H$3," évi
eredeti 
előirányzat")</f>
        <v>2025. évi
eredeti 
előirányzat</v>
      </c>
      <c r="I1048" s="163"/>
      <c r="J1048" s="163"/>
      <c r="K1048" s="163" t="str">
        <f>CONCATENATE(PAR!$H$3," évi
módosított 
előirányzat")</f>
        <v>2025. évi
módosított 
előirányzat</v>
      </c>
    </row>
    <row r="1049" spans="2:15" s="13" customFormat="1" ht="12.75" x14ac:dyDescent="0.2">
      <c r="B1049" s="160">
        <v>2</v>
      </c>
      <c r="C1049" s="78" t="s">
        <v>352</v>
      </c>
      <c r="D1049" s="92" t="s">
        <v>1444</v>
      </c>
      <c r="E1049" s="120">
        <f>SUM(E1050:E1054)</f>
        <v>0</v>
      </c>
      <c r="F1049" s="120">
        <f>SUM(F1050:F1054)</f>
        <v>0</v>
      </c>
      <c r="G1049" s="120">
        <f>SUM(G1050:G1054)</f>
        <v>0</v>
      </c>
      <c r="H1049" s="121">
        <f>SUM(H1050:H1054)</f>
        <v>0</v>
      </c>
      <c r="I1049" s="121"/>
      <c r="J1049" s="121"/>
      <c r="K1049" s="121">
        <f t="shared" ref="K1049" si="257">SUM(K1050:K1054)</f>
        <v>0</v>
      </c>
    </row>
    <row r="1050" spans="2:15" s="13" customFormat="1" ht="12.75" x14ac:dyDescent="0.2">
      <c r="B1050" s="160">
        <v>3</v>
      </c>
      <c r="C1050" s="305" t="s">
        <v>315</v>
      </c>
      <c r="D1050" s="93" t="s">
        <v>342</v>
      </c>
      <c r="E1050" s="165"/>
      <c r="F1050" s="165"/>
      <c r="G1050" s="285"/>
      <c r="H1050" s="72">
        <f>SUMIF(Adat!$AE:$AE,CONCATENATE(61,N1001,"051"),Adat!$E:$E)</f>
        <v>0</v>
      </c>
      <c r="I1050" s="72"/>
      <c r="J1050" s="72"/>
      <c r="K1050" s="72">
        <f>SUMIF(Adat!$AE:$AE,CONCATENATE(60,N1001,"051"),Adat!$E:$E)+H1050</f>
        <v>0</v>
      </c>
    </row>
    <row r="1051" spans="2:15" s="13" customFormat="1" ht="12.75" x14ac:dyDescent="0.2">
      <c r="B1051" s="160">
        <v>4</v>
      </c>
      <c r="C1051" s="305" t="s">
        <v>317</v>
      </c>
      <c r="D1051" s="93" t="s">
        <v>395</v>
      </c>
      <c r="E1051" s="165"/>
      <c r="F1051" s="165"/>
      <c r="G1051" s="285"/>
      <c r="H1051" s="72">
        <f>SUMIF(Adat!$AE:$AE,CONCATENATE(61,N1001,"052"),Adat!$E:$E)</f>
        <v>0</v>
      </c>
      <c r="I1051" s="72"/>
      <c r="J1051" s="72"/>
      <c r="K1051" s="72">
        <f>SUMIF(Adat!$AE:$AE,CONCATENATE(60,N1001,"052"),Adat!$E:$E)+H1051</f>
        <v>0</v>
      </c>
    </row>
    <row r="1052" spans="2:15" s="13" customFormat="1" ht="12.75" x14ac:dyDescent="0.2">
      <c r="B1052" s="160">
        <v>5</v>
      </c>
      <c r="C1052" s="305" t="s">
        <v>4</v>
      </c>
      <c r="D1052" s="93" t="s">
        <v>344</v>
      </c>
      <c r="E1052" s="165"/>
      <c r="F1052" s="165"/>
      <c r="G1052" s="285"/>
      <c r="H1052" s="72">
        <f>SUMIF(Adat!$AE:$AE,CONCATENATE(61,N1001,"053"),Adat!$E:$E)</f>
        <v>0</v>
      </c>
      <c r="I1052" s="72"/>
      <c r="J1052" s="72"/>
      <c r="K1052" s="72">
        <f>SUMIF(Adat!$AE:$AE,CONCATENATE(60,N1001,"053"),Adat!$E:$E)+H1052</f>
        <v>0</v>
      </c>
    </row>
    <row r="1053" spans="2:15" s="13" customFormat="1" ht="12.75" x14ac:dyDescent="0.2">
      <c r="B1053" s="160">
        <v>6</v>
      </c>
      <c r="C1053" s="305" t="s">
        <v>6</v>
      </c>
      <c r="D1053" s="93" t="s">
        <v>345</v>
      </c>
      <c r="E1053" s="165"/>
      <c r="F1053" s="165"/>
      <c r="G1053" s="285"/>
      <c r="H1053" s="72">
        <f>SUMIF(Adat!$AE:$AE,CONCATENATE(61,N1001,"054"),Adat!$E:$E)</f>
        <v>0</v>
      </c>
      <c r="I1053" s="72"/>
      <c r="J1053" s="72"/>
      <c r="K1053" s="72">
        <f>SUMIF(Adat!$AE:$AE,CONCATENATE(60,N1001,"054"),Adat!$E:$E)+H1053</f>
        <v>0</v>
      </c>
    </row>
    <row r="1054" spans="2:15" s="13" customFormat="1" ht="12.75" x14ac:dyDescent="0.2">
      <c r="B1054" s="160">
        <v>7</v>
      </c>
      <c r="C1054" s="305" t="s">
        <v>8</v>
      </c>
      <c r="D1054" s="93" t="s">
        <v>321</v>
      </c>
      <c r="E1054" s="165"/>
      <c r="F1054" s="165"/>
      <c r="G1054" s="285"/>
      <c r="H1054" s="72">
        <f>SUMIF(Adat!$AE:$AE,CONCATENATE(61,N1001,"055"),Adat!$E:$E)</f>
        <v>0</v>
      </c>
      <c r="I1054" s="72"/>
      <c r="J1054" s="72"/>
      <c r="K1054" s="72">
        <f>SUMIF(Adat!$AE:$AE,CONCATENATE(60,N1001,"055"),Adat!$E:$E)+H1054</f>
        <v>0</v>
      </c>
    </row>
    <row r="1055" spans="2:15" s="13" customFormat="1" ht="12.75" x14ac:dyDescent="0.2">
      <c r="B1055" s="160">
        <v>8</v>
      </c>
      <c r="C1055" s="78" t="s">
        <v>358</v>
      </c>
      <c r="D1055" s="92" t="s">
        <v>1447</v>
      </c>
      <c r="E1055" s="120">
        <f>SUM(E1056:E1058)</f>
        <v>0</v>
      </c>
      <c r="F1055" s="120">
        <f t="shared" ref="F1055:K1055" si="258">SUM(F1056:F1058)</f>
        <v>0</v>
      </c>
      <c r="G1055" s="120">
        <f t="shared" si="258"/>
        <v>0</v>
      </c>
      <c r="H1055" s="121">
        <f t="shared" si="258"/>
        <v>0</v>
      </c>
      <c r="I1055" s="121"/>
      <c r="J1055" s="121"/>
      <c r="K1055" s="121">
        <f t="shared" si="258"/>
        <v>0</v>
      </c>
    </row>
    <row r="1056" spans="2:15" s="13" customFormat="1" ht="12.75" x14ac:dyDescent="0.2">
      <c r="B1056" s="160">
        <v>9</v>
      </c>
      <c r="C1056" s="305" t="s">
        <v>10</v>
      </c>
      <c r="D1056" s="93" t="s">
        <v>322</v>
      </c>
      <c r="E1056" s="165"/>
      <c r="F1056" s="165"/>
      <c r="G1056" s="285"/>
      <c r="H1056" s="72">
        <f>SUMIF(Adat!$AE:$AE,CONCATENATE(61,N1001,"056"),Adat!$E:$E)</f>
        <v>0</v>
      </c>
      <c r="I1056" s="72"/>
      <c r="J1056" s="72"/>
      <c r="K1056" s="72">
        <f>SUMIF(Adat!$AE:$AE,CONCATENATE(60,N1001,"056"),Adat!$E:$E)+H1056</f>
        <v>0</v>
      </c>
    </row>
    <row r="1057" spans="2:15" s="13" customFormat="1" ht="12.75" x14ac:dyDescent="0.2">
      <c r="B1057" s="160">
        <v>10</v>
      </c>
      <c r="C1057" s="305" t="s">
        <v>12</v>
      </c>
      <c r="D1057" s="93" t="s">
        <v>323</v>
      </c>
      <c r="E1057" s="165"/>
      <c r="F1057" s="165"/>
      <c r="G1057" s="165"/>
      <c r="H1057" s="72">
        <f>SUMIF(Adat!$AE:$AE,CONCATENATE(61,N1001,"057"),Adat!$E:$E)</f>
        <v>0</v>
      </c>
      <c r="I1057" s="72"/>
      <c r="J1057" s="72"/>
      <c r="K1057" s="72">
        <f>SUMIF(Adat!$AE:$AE,CONCATENATE(60,N1001,"057"),Adat!$E:$E)+H1057</f>
        <v>0</v>
      </c>
    </row>
    <row r="1058" spans="2:15" s="13" customFormat="1" ht="12.75" x14ac:dyDescent="0.2">
      <c r="B1058" s="160">
        <v>11</v>
      </c>
      <c r="C1058" s="305" t="s">
        <v>15</v>
      </c>
      <c r="D1058" s="84" t="s">
        <v>324</v>
      </c>
      <c r="E1058" s="165"/>
      <c r="F1058" s="165"/>
      <c r="G1058" s="165"/>
      <c r="H1058" s="72">
        <f>SUMIF(Adat!$AE:$AE,CONCATENATE(61,N1001,"058"),Adat!$E:$E)</f>
        <v>0</v>
      </c>
      <c r="I1058" s="72"/>
      <c r="J1058" s="72"/>
      <c r="K1058" s="72">
        <f>SUMIF(Adat!$AE:$AE,CONCATENATE(60,N1001,"058"),Adat!$E:$E)+H1058</f>
        <v>0</v>
      </c>
    </row>
    <row r="1059" spans="2:15" s="13" customFormat="1" ht="12.75" x14ac:dyDescent="0.2">
      <c r="B1059" s="160">
        <v>12</v>
      </c>
      <c r="C1059" s="154" t="s">
        <v>364</v>
      </c>
      <c r="D1059" s="86" t="s">
        <v>325</v>
      </c>
      <c r="E1059" s="120">
        <v>0</v>
      </c>
      <c r="F1059" s="120">
        <v>0</v>
      </c>
      <c r="G1059" s="120">
        <v>0</v>
      </c>
      <c r="H1059" s="71">
        <f>SUMIF(Adat!$AE:$AE,CONCATENATE(61,N1001,"059"),Adat!$E:$E)</f>
        <v>0</v>
      </c>
      <c r="I1059" s="71"/>
      <c r="J1059" s="71"/>
      <c r="K1059" s="71">
        <f>SUMIF(Adat!$AE:$AE,CONCATENATE(60,N1001,"059"),Adat!$E:$E)+H1059</f>
        <v>0</v>
      </c>
    </row>
    <row r="1060" spans="2:15" s="13" customFormat="1" ht="12.75" x14ac:dyDescent="0.2">
      <c r="B1060" s="160">
        <v>13</v>
      </c>
      <c r="C1060" s="154" t="s">
        <v>403</v>
      </c>
      <c r="D1060" s="159" t="s">
        <v>497</v>
      </c>
      <c r="E1060" s="120">
        <f>E1049+E1055+E1059</f>
        <v>0</v>
      </c>
      <c r="F1060" s="120">
        <f>F1049+F1055+F1059</f>
        <v>0</v>
      </c>
      <c r="G1060" s="120">
        <f>G1049+G1055+G1059</f>
        <v>0</v>
      </c>
      <c r="H1060" s="121">
        <f>H1049+H1055+H1059</f>
        <v>0</v>
      </c>
      <c r="I1060" s="121"/>
      <c r="J1060" s="121"/>
      <c r="K1060" s="121">
        <f>K1049+K1055+K1059</f>
        <v>0</v>
      </c>
    </row>
    <row r="1061" spans="2:15" x14ac:dyDescent="0.25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</row>
    <row r="1062" spans="2:15" x14ac:dyDescent="0.25">
      <c r="B1062" s="511" t="str">
        <f>O1062</f>
        <v/>
      </c>
      <c r="C1062" s="511"/>
      <c r="D1062" s="511"/>
      <c r="E1062" s="511"/>
      <c r="F1062" s="511"/>
      <c r="G1062" s="511"/>
      <c r="H1062" s="511"/>
      <c r="I1062" s="511"/>
      <c r="J1062" s="511"/>
      <c r="K1062" s="511"/>
      <c r="L1062" s="13"/>
      <c r="M1062" s="318">
        <v>17</v>
      </c>
      <c r="N1062" s="320">
        <f>VLOOKUP(M1062,Info!$B$5:$D$55,3)</f>
        <v>0</v>
      </c>
      <c r="O1062" s="321" t="str">
        <f>VLOOKUP(M1062,Info!$B$5:$D$55,2)</f>
        <v/>
      </c>
    </row>
    <row r="1063" spans="2:15" x14ac:dyDescent="0.25">
      <c r="B1063" s="534" t="str">
        <f>CONCATENATE(PAR!$H$3," évi költségvetés és az előző három év összevont mérlege")</f>
        <v>2025. évi költségvetés és az előző három év összevont mérlege</v>
      </c>
      <c r="C1063" s="534"/>
      <c r="D1063" s="534"/>
      <c r="E1063" s="534"/>
      <c r="F1063" s="534"/>
      <c r="G1063" s="534"/>
      <c r="H1063" s="534"/>
      <c r="I1063" s="534"/>
      <c r="J1063" s="534"/>
      <c r="K1063" s="534"/>
      <c r="L1063" s="13"/>
      <c r="M1063" s="13"/>
      <c r="N1063" s="13"/>
      <c r="O1063" s="13"/>
    </row>
    <row r="1064" spans="2:15" x14ac:dyDescent="0.25">
      <c r="B1064" s="535" t="s">
        <v>337</v>
      </c>
      <c r="C1064" s="535"/>
      <c r="D1064" s="535"/>
      <c r="E1064" s="535"/>
      <c r="F1064" s="535"/>
      <c r="G1064" s="535"/>
      <c r="H1064" s="535"/>
      <c r="I1064" s="535"/>
      <c r="J1064" s="535"/>
      <c r="K1064" s="535"/>
      <c r="L1064" s="13"/>
      <c r="M1064" s="13"/>
      <c r="N1064" s="13"/>
      <c r="O1064" s="13"/>
    </row>
    <row r="1065" spans="2:15" x14ac:dyDescent="0.25">
      <c r="B1065" s="40"/>
      <c r="C1065" s="256"/>
      <c r="D1065" s="40"/>
      <c r="E1065" s="39"/>
      <c r="F1065" s="40"/>
      <c r="G1065" s="40"/>
      <c r="H1065" s="40"/>
      <c r="I1065" s="40"/>
      <c r="J1065" s="40"/>
      <c r="K1065" s="13"/>
      <c r="L1065" s="13"/>
      <c r="M1065" s="13"/>
      <c r="N1065" s="13"/>
      <c r="O1065" s="13"/>
    </row>
    <row r="1066" spans="2:15" x14ac:dyDescent="0.25">
      <c r="B1066" s="201" t="s">
        <v>1519</v>
      </c>
      <c r="C1066" s="201"/>
      <c r="D1066" s="201"/>
      <c r="E1066" s="201"/>
      <c r="F1066" s="201"/>
      <c r="G1066" s="201"/>
      <c r="H1066" s="201"/>
      <c r="I1066" s="201"/>
      <c r="J1066" s="201"/>
      <c r="K1066" s="201"/>
      <c r="L1066" s="13"/>
      <c r="M1066" s="13"/>
      <c r="N1066" s="13"/>
      <c r="O1066" s="13"/>
    </row>
    <row r="1067" spans="2:15" x14ac:dyDescent="0.25">
      <c r="B1067" s="40"/>
      <c r="C1067" s="256"/>
      <c r="D1067" s="40"/>
      <c r="E1067" s="39"/>
      <c r="F1067" s="40"/>
      <c r="G1067" s="40"/>
      <c r="H1067" s="40"/>
      <c r="I1067" s="40"/>
      <c r="J1067" s="40"/>
      <c r="K1067" s="13"/>
      <c r="L1067" s="13"/>
      <c r="M1067" s="13"/>
      <c r="N1067" s="13"/>
      <c r="O1067" s="13"/>
    </row>
    <row r="1068" spans="2:15" s="13" customFormat="1" ht="12.75" x14ac:dyDescent="0.2">
      <c r="B1068" s="77"/>
      <c r="C1068" s="77" t="s">
        <v>350</v>
      </c>
      <c r="D1068" s="77" t="s">
        <v>351</v>
      </c>
      <c r="E1068" s="77" t="s">
        <v>470</v>
      </c>
      <c r="F1068" s="77" t="s">
        <v>471</v>
      </c>
      <c r="G1068" s="77" t="s">
        <v>44</v>
      </c>
      <c r="H1068" s="77" t="s">
        <v>42</v>
      </c>
      <c r="I1068" s="77"/>
      <c r="J1068" s="77"/>
      <c r="K1068" s="77" t="s">
        <v>511</v>
      </c>
    </row>
    <row r="1069" spans="2:15" s="13" customFormat="1" ht="38.25" x14ac:dyDescent="0.2">
      <c r="B1069" s="68">
        <v>1</v>
      </c>
      <c r="C1069" s="78" t="s">
        <v>348</v>
      </c>
      <c r="D1069" s="78" t="s">
        <v>349</v>
      </c>
      <c r="E1069" s="69" t="str">
        <f>CONCATENATE(PAR!$H$12," évi 
teljesítés")</f>
        <v>2022. évi 
teljesítés</v>
      </c>
      <c r="F1069" s="69" t="str">
        <f>CONCATENATE(PAR!$H$11," évi 
teljesítés")</f>
        <v>2023. évi 
teljesítés</v>
      </c>
      <c r="G1069" s="69" t="str">
        <f>CONCATENATE(PAR!$H$10," évi 
teljesítés")</f>
        <v>2024. évi 
teljesítés</v>
      </c>
      <c r="H1069" s="163" t="str">
        <f>CONCATENATE(PAR!$H$3," évi
eredeti 
előirányzat")</f>
        <v>2025. évi
eredeti 
előirányzat</v>
      </c>
      <c r="I1069" s="163"/>
      <c r="J1069" s="163"/>
      <c r="K1069" s="163" t="str">
        <f>CONCATENATE(PAR!$H$3," évi
módosított 
előirányzat")</f>
        <v>2025. évi
módosított 
előirányzat</v>
      </c>
    </row>
    <row r="1070" spans="2:15" s="13" customFormat="1" ht="12.75" x14ac:dyDescent="0.2">
      <c r="B1070" s="160">
        <v>2</v>
      </c>
      <c r="C1070" s="79" t="s">
        <v>30</v>
      </c>
      <c r="D1070" s="79" t="s">
        <v>329</v>
      </c>
      <c r="E1070" s="120">
        <f>SUM(E1071:E1083)</f>
        <v>0</v>
      </c>
      <c r="F1070" s="120">
        <f t="shared" ref="F1070" si="259">SUM(F1071:F1083)</f>
        <v>0</v>
      </c>
      <c r="G1070" s="120">
        <f>SUM(G1071:G1083)</f>
        <v>0</v>
      </c>
      <c r="H1070" s="121">
        <f t="shared" ref="H1070" si="260">SUM(H1071:H1083)</f>
        <v>0</v>
      </c>
      <c r="I1070" s="121"/>
      <c r="J1070" s="121"/>
      <c r="K1070" s="121">
        <f>SUM(K1071:K1083)</f>
        <v>0</v>
      </c>
    </row>
    <row r="1071" spans="2:15" s="13" customFormat="1" ht="12.75" x14ac:dyDescent="0.2">
      <c r="B1071" s="160">
        <v>3</v>
      </c>
      <c r="C1071" s="305" t="s">
        <v>1309</v>
      </c>
      <c r="D1071" s="82" t="s">
        <v>1356</v>
      </c>
      <c r="E1071" s="165"/>
      <c r="F1071" s="165"/>
      <c r="G1071" s="165"/>
      <c r="H1071" s="166">
        <f>SUMIF(Adat!$AC:$AC,CONCATENATE(61,N1062,"094011"),Adat!$E:$E)*-1</f>
        <v>0</v>
      </c>
      <c r="I1071" s="166"/>
      <c r="J1071" s="166"/>
      <c r="K1071" s="166">
        <f>SUMIF(Adat!$AC:$AC,CONCATENATE(60,N1062,"094011"),Adat!$E:$E)*-1+H1071</f>
        <v>0</v>
      </c>
    </row>
    <row r="1072" spans="2:15" s="13" customFormat="1" ht="12.75" x14ac:dyDescent="0.2">
      <c r="B1072" s="160">
        <v>4</v>
      </c>
      <c r="C1072" s="305" t="s">
        <v>1279</v>
      </c>
      <c r="D1072" s="82" t="s">
        <v>1357</v>
      </c>
      <c r="E1072" s="165"/>
      <c r="F1072" s="165"/>
      <c r="G1072" s="165"/>
      <c r="H1072" s="166">
        <f>SUMIF(Adat!$AC:$AC,CONCATENATE(61,N1062,"094021"),Adat!$E:$E)*-1</f>
        <v>0</v>
      </c>
      <c r="I1072" s="166"/>
      <c r="J1072" s="166"/>
      <c r="K1072" s="166">
        <f>SUMIF(Adat!$AC:$AC,CONCATENATE(60,N1062,"094021"),Adat!$E:$E)*-1+H1072</f>
        <v>0</v>
      </c>
    </row>
    <row r="1073" spans="2:11" s="13" customFormat="1" ht="12.75" x14ac:dyDescent="0.2">
      <c r="B1073" s="160">
        <v>5</v>
      </c>
      <c r="C1073" s="305" t="s">
        <v>1272</v>
      </c>
      <c r="D1073" s="82" t="s">
        <v>1358</v>
      </c>
      <c r="E1073" s="165"/>
      <c r="F1073" s="165"/>
      <c r="G1073" s="165"/>
      <c r="H1073" s="166">
        <f>SUMIF(Adat!$AC:$AC,CONCATENATE(61,N1062,"094031"),Adat!$E:$E)*-1</f>
        <v>0</v>
      </c>
      <c r="I1073" s="166"/>
      <c r="J1073" s="166"/>
      <c r="K1073" s="166">
        <f>SUMIF(Adat!$AC:$AC,CONCATENATE(60,N1062,"094031"),Adat!$E:$E)*-1+H1073</f>
        <v>0</v>
      </c>
    </row>
    <row r="1074" spans="2:11" s="13" customFormat="1" ht="12.75" x14ac:dyDescent="0.2">
      <c r="B1074" s="160">
        <v>6</v>
      </c>
      <c r="C1074" s="305" t="s">
        <v>1359</v>
      </c>
      <c r="D1074" s="82" t="s">
        <v>1360</v>
      </c>
      <c r="E1074" s="165"/>
      <c r="F1074" s="165"/>
      <c r="G1074" s="165"/>
      <c r="H1074" s="166">
        <f>SUMIF(Adat!$AC:$AC,CONCATENATE(61,N1062,"094041"),Adat!$E:$E)*-1</f>
        <v>0</v>
      </c>
      <c r="I1074" s="166"/>
      <c r="J1074" s="166"/>
      <c r="K1074" s="166">
        <f>SUMIF(Adat!$AC:$AC,CONCATENATE(60,N1062,"094041"),Adat!$E:$E)*-1+H1074</f>
        <v>0</v>
      </c>
    </row>
    <row r="1075" spans="2:11" s="13" customFormat="1" ht="12.75" x14ac:dyDescent="0.2">
      <c r="B1075" s="160">
        <v>7</v>
      </c>
      <c r="C1075" s="305" t="s">
        <v>1261</v>
      </c>
      <c r="D1075" s="82" t="s">
        <v>1361</v>
      </c>
      <c r="E1075" s="165"/>
      <c r="F1075" s="165"/>
      <c r="G1075" s="165"/>
      <c r="H1075" s="166">
        <f>SUMIF(Adat!$AC:$AC,CONCATENATE(61,N1062,"094051"),Adat!$E:$E)*-1</f>
        <v>0</v>
      </c>
      <c r="I1075" s="166"/>
      <c r="J1075" s="166"/>
      <c r="K1075" s="166">
        <f>SUMIF(Adat!$AC:$AC,CONCATENATE(60,N1062,"094051"),Adat!$E:$E)*-1+H1075</f>
        <v>0</v>
      </c>
    </row>
    <row r="1076" spans="2:11" s="13" customFormat="1" ht="12.75" x14ac:dyDescent="0.2">
      <c r="B1076" s="160">
        <v>8</v>
      </c>
      <c r="C1076" s="305" t="s">
        <v>1273</v>
      </c>
      <c r="D1076" s="82" t="s">
        <v>1362</v>
      </c>
      <c r="E1076" s="165"/>
      <c r="F1076" s="165"/>
      <c r="G1076" s="165"/>
      <c r="H1076" s="166">
        <f>SUMIF(Adat!$AC:$AC,CONCATENATE(61,N1062,"094061"),Adat!$E:$E)*-1</f>
        <v>0</v>
      </c>
      <c r="I1076" s="166"/>
      <c r="J1076" s="166"/>
      <c r="K1076" s="166">
        <f>SUMIF(Adat!$AC:$AC,CONCATENATE(60,N1062,"094061"),Adat!$E:$E)*-1+H1076</f>
        <v>0</v>
      </c>
    </row>
    <row r="1077" spans="2:11" s="13" customFormat="1" ht="12.75" x14ac:dyDescent="0.2">
      <c r="B1077" s="160">
        <v>9</v>
      </c>
      <c r="C1077" s="305" t="s">
        <v>1363</v>
      </c>
      <c r="D1077" s="82" t="s">
        <v>1364</v>
      </c>
      <c r="E1077" s="165"/>
      <c r="F1077" s="165"/>
      <c r="G1077" s="165"/>
      <c r="H1077" s="166">
        <f>SUMIF(Adat!$AC:$AC,CONCATENATE(61,N1062,"094071"),Adat!$E:$E)*-1</f>
        <v>0</v>
      </c>
      <c r="I1077" s="166"/>
      <c r="J1077" s="166"/>
      <c r="K1077" s="166">
        <f>SUMIF(Adat!$AC:$AC,CONCATENATE(60,N1062,"094071"),Adat!$E:$E)*-1+H1077</f>
        <v>0</v>
      </c>
    </row>
    <row r="1078" spans="2:11" s="13" customFormat="1" ht="12.75" x14ac:dyDescent="0.2">
      <c r="B1078" s="160">
        <v>10</v>
      </c>
      <c r="C1078" s="305" t="s">
        <v>1306</v>
      </c>
      <c r="D1078" s="82" t="s">
        <v>1365</v>
      </c>
      <c r="E1078" s="165"/>
      <c r="F1078" s="165"/>
      <c r="G1078" s="165"/>
      <c r="H1078" s="166">
        <f>SUMIF(Adat!$AC:$AC,CONCATENATE(61,N1062,"0940811"),Adat!$E:$E)*-1</f>
        <v>0</v>
      </c>
      <c r="I1078" s="166"/>
      <c r="J1078" s="166"/>
      <c r="K1078" s="166">
        <f>SUMIF(Adat!$AC:$AC,CONCATENATE(60,N1062,"0940811"),Adat!$E:$E)*-1+H1078</f>
        <v>0</v>
      </c>
    </row>
    <row r="1079" spans="2:11" s="13" customFormat="1" ht="12.75" x14ac:dyDescent="0.2">
      <c r="B1079" s="160">
        <v>11</v>
      </c>
      <c r="C1079" s="305" t="s">
        <v>1295</v>
      </c>
      <c r="D1079" s="82" t="s">
        <v>1366</v>
      </c>
      <c r="E1079" s="165"/>
      <c r="F1079" s="165"/>
      <c r="G1079" s="165"/>
      <c r="H1079" s="166">
        <f>SUMIF(Adat!$AC:$AC,CONCATENATE(61,N1062,"0940821"),Adat!$E:$E)*-1</f>
        <v>0</v>
      </c>
      <c r="I1079" s="166"/>
      <c r="J1079" s="166"/>
      <c r="K1079" s="166">
        <f>SUMIF(Adat!$AC:$AC,CONCATENATE(60,N1062,"0940821"),Adat!$E:$E)*-1+H1079</f>
        <v>0</v>
      </c>
    </row>
    <row r="1080" spans="2:11" s="13" customFormat="1" ht="12.75" x14ac:dyDescent="0.2">
      <c r="B1080" s="160">
        <v>12</v>
      </c>
      <c r="C1080" s="305" t="s">
        <v>1367</v>
      </c>
      <c r="D1080" s="82" t="s">
        <v>1368</v>
      </c>
      <c r="E1080" s="165"/>
      <c r="F1080" s="165"/>
      <c r="G1080" s="165"/>
      <c r="H1080" s="166">
        <f>SUMIF(Adat!$AC:$AC,CONCATENATE(61,N1062,"0940911"),Adat!$E:$E)*-1</f>
        <v>0</v>
      </c>
      <c r="I1080" s="166"/>
      <c r="J1080" s="166"/>
      <c r="K1080" s="166">
        <f>SUMIF(Adat!$AC:$AC,CONCATENATE(60,N1062,"0940911"),Adat!$E:$E)*-1+H1080</f>
        <v>0</v>
      </c>
    </row>
    <row r="1081" spans="2:11" s="13" customFormat="1" ht="12.75" x14ac:dyDescent="0.2">
      <c r="B1081" s="160">
        <v>13</v>
      </c>
      <c r="C1081" s="305" t="s">
        <v>1369</v>
      </c>
      <c r="D1081" s="82" t="s">
        <v>1370</v>
      </c>
      <c r="E1081" s="165"/>
      <c r="F1081" s="165"/>
      <c r="G1081" s="165"/>
      <c r="H1081" s="166">
        <f>SUMIF(Adat!$AC:$AC,CONCATENATE(61,N1062,"0940921"),Adat!$E:$E)*-1</f>
        <v>0</v>
      </c>
      <c r="I1081" s="166"/>
      <c r="J1081" s="166"/>
      <c r="K1081" s="166">
        <f>SUMIF(Adat!$AC:$AC,CONCATENATE(60,N1062,"0940921"),Adat!$E:$E)*-1+H1081</f>
        <v>0</v>
      </c>
    </row>
    <row r="1082" spans="2:11" s="13" customFormat="1" ht="12.75" x14ac:dyDescent="0.2">
      <c r="B1082" s="160">
        <v>14</v>
      </c>
      <c r="C1082" s="305" t="s">
        <v>1296</v>
      </c>
      <c r="D1082" s="82" t="s">
        <v>1371</v>
      </c>
      <c r="E1082" s="165"/>
      <c r="F1082" s="165"/>
      <c r="G1082" s="165"/>
      <c r="H1082" s="166">
        <f>SUMIF(Adat!$AC:$AC,CONCATENATE(61,N1062,"094101"),Adat!$E:$E)*-1</f>
        <v>0</v>
      </c>
      <c r="I1082" s="166"/>
      <c r="J1082" s="166"/>
      <c r="K1082" s="166">
        <f>SUMIF(Adat!$AC:$AC,CONCATENATE(60,N1062,"094101"),Adat!$E:$E)*-1+H1082</f>
        <v>0</v>
      </c>
    </row>
    <row r="1083" spans="2:11" s="13" customFormat="1" ht="12.75" x14ac:dyDescent="0.2">
      <c r="B1083" s="160">
        <v>15</v>
      </c>
      <c r="C1083" s="305" t="s">
        <v>1297</v>
      </c>
      <c r="D1083" s="84" t="s">
        <v>1372</v>
      </c>
      <c r="E1083" s="165"/>
      <c r="F1083" s="165"/>
      <c r="G1083" s="165"/>
      <c r="H1083" s="166">
        <f>SUMIF(Adat!$AC:$AC,CONCATENATE(61,N1062,"094111"),Adat!$E:$E)*-1</f>
        <v>0</v>
      </c>
      <c r="I1083" s="166"/>
      <c r="J1083" s="166"/>
      <c r="K1083" s="166">
        <f>SUMIF(Adat!$AC:$AC,CONCATENATE(60,N1062,"094111"),Adat!$E:$E)*-1+H1083</f>
        <v>0</v>
      </c>
    </row>
    <row r="1084" spans="2:11" s="13" customFormat="1" ht="12.75" x14ac:dyDescent="0.2">
      <c r="B1084" s="160">
        <v>16</v>
      </c>
      <c r="C1084" s="78" t="s">
        <v>1328</v>
      </c>
      <c r="D1084" s="85" t="s">
        <v>437</v>
      </c>
      <c r="E1084" s="120">
        <f>SUM(E1085:E1087)</f>
        <v>0</v>
      </c>
      <c r="F1084" s="120">
        <f t="shared" ref="F1084" si="261">SUM(F1085:F1087)</f>
        <v>0</v>
      </c>
      <c r="G1084" s="120">
        <f>SUM(G1085:G1087)</f>
        <v>0</v>
      </c>
      <c r="H1084" s="121">
        <f t="shared" ref="H1084" si="262">SUM(H1085:H1087)</f>
        <v>0</v>
      </c>
      <c r="I1084" s="121"/>
      <c r="J1084" s="121"/>
      <c r="K1084" s="121">
        <f>SUM(K1085:K1087)</f>
        <v>0</v>
      </c>
    </row>
    <row r="1085" spans="2:11" s="13" customFormat="1" ht="12.75" x14ac:dyDescent="0.2">
      <c r="B1085" s="160">
        <v>17</v>
      </c>
      <c r="C1085" s="305" t="s">
        <v>1329</v>
      </c>
      <c r="D1085" s="82" t="s">
        <v>1330</v>
      </c>
      <c r="E1085" s="165"/>
      <c r="F1085" s="165"/>
      <c r="G1085" s="165"/>
      <c r="H1085" s="166">
        <f>SUMIF(Adat!$AC:$AC,CONCATENATE(61,N1062,"09121"),Adat!$E:$E)*-1</f>
        <v>0</v>
      </c>
      <c r="I1085" s="166"/>
      <c r="J1085" s="166"/>
      <c r="K1085" s="166">
        <f>SUMIF(Adat!$AC:$AC,CONCATENATE(60,N1062,"09121"),Adat!$E:$E)*-1+H1085</f>
        <v>0</v>
      </c>
    </row>
    <row r="1086" spans="2:11" s="13" customFormat="1" ht="12.75" x14ac:dyDescent="0.2">
      <c r="B1086" s="160">
        <v>18</v>
      </c>
      <c r="C1086" s="305" t="s">
        <v>1335</v>
      </c>
      <c r="D1086" s="82" t="s">
        <v>1336</v>
      </c>
      <c r="E1086" s="165"/>
      <c r="F1086" s="165"/>
      <c r="G1086" s="165"/>
      <c r="H1086" s="166">
        <f>SUMIF(Adat!$AC:$AC,CONCATENATE(61,N1062,"09151"),Adat!$E:$E)*-1</f>
        <v>0</v>
      </c>
      <c r="I1086" s="166"/>
      <c r="J1086" s="166"/>
      <c r="K1086" s="166">
        <f>SUMIF(Adat!$AC:$AC,CONCATENATE(60,N1062,"09151"),Adat!$E:$E)*-1+H1086</f>
        <v>0</v>
      </c>
    </row>
    <row r="1087" spans="2:11" s="13" customFormat="1" ht="12.75" x14ac:dyDescent="0.2">
      <c r="B1087" s="160">
        <v>19</v>
      </c>
      <c r="C1087" s="305" t="s">
        <v>1278</v>
      </c>
      <c r="D1087" s="82" t="s">
        <v>1337</v>
      </c>
      <c r="E1087" s="165"/>
      <c r="F1087" s="165"/>
      <c r="G1087" s="165"/>
      <c r="H1087" s="166">
        <f>SUMIF(Adat!$AC:$AC,CONCATENATE(61,N1062,"09161"),Adat!$E:$E)*-1</f>
        <v>0</v>
      </c>
      <c r="I1087" s="166"/>
      <c r="J1087" s="166"/>
      <c r="K1087" s="166">
        <f>SUMIF(Adat!$AC:$AC,CONCATENATE(60,N1062,"09161"),Adat!$E:$E)*-1+H1087</f>
        <v>0</v>
      </c>
    </row>
    <row r="1088" spans="2:11" s="13" customFormat="1" ht="12.75" x14ac:dyDescent="0.2">
      <c r="B1088" s="160">
        <v>20</v>
      </c>
      <c r="C1088" s="79" t="s">
        <v>27</v>
      </c>
      <c r="D1088" s="79" t="s">
        <v>328</v>
      </c>
      <c r="E1088" s="120">
        <v>0</v>
      </c>
      <c r="F1088" s="120">
        <v>0</v>
      </c>
      <c r="G1088" s="120">
        <v>0</v>
      </c>
      <c r="H1088" s="71">
        <f>SUMIF(Adat!$AE:$AE,CONCATENATE(61,N1062,"093"),Adat!$E:$E)*-1</f>
        <v>0</v>
      </c>
      <c r="I1088" s="71"/>
      <c r="J1088" s="71"/>
      <c r="K1088" s="71">
        <f>SUMIF(Adat!$AE:$AE,CONCATENATE(60,N1062,"093"),Adat!$E:$E)*-1+H1088</f>
        <v>0</v>
      </c>
    </row>
    <row r="1089" spans="2:11" s="13" customFormat="1" ht="12.75" x14ac:dyDescent="0.2">
      <c r="B1089" s="160">
        <v>21</v>
      </c>
      <c r="C1089" s="79" t="s">
        <v>24</v>
      </c>
      <c r="D1089" s="79" t="s">
        <v>449</v>
      </c>
      <c r="E1089" s="120">
        <f>SUM(E1090:E1092)</f>
        <v>0</v>
      </c>
      <c r="F1089" s="120">
        <f t="shared" ref="F1089:G1089" si="263">SUM(F1090:F1092)</f>
        <v>0</v>
      </c>
      <c r="G1089" s="120">
        <f t="shared" si="263"/>
        <v>0</v>
      </c>
      <c r="H1089" s="121">
        <f>SUM(H1090:H1092)</f>
        <v>0</v>
      </c>
      <c r="I1089" s="121"/>
      <c r="J1089" s="121"/>
      <c r="K1089" s="121">
        <f t="shared" ref="K1089" si="264">SUM(K1090:K1092)</f>
        <v>0</v>
      </c>
    </row>
    <row r="1090" spans="2:11" s="13" customFormat="1" ht="12.75" x14ac:dyDescent="0.2">
      <c r="B1090" s="160">
        <v>22</v>
      </c>
      <c r="C1090" s="305" t="s">
        <v>1339</v>
      </c>
      <c r="D1090" s="82" t="s">
        <v>1340</v>
      </c>
      <c r="E1090" s="165"/>
      <c r="F1090" s="165"/>
      <c r="G1090" s="165"/>
      <c r="H1090" s="166">
        <f>SUMIF(Adat!$AC:$AC,CONCATENATE(61,N1062,"09211"),Adat!$E:$E)*-1</f>
        <v>0</v>
      </c>
      <c r="I1090" s="166"/>
      <c r="J1090" s="166"/>
      <c r="K1090" s="166">
        <f>SUMIF(Adat!$AC:$AC,CONCATENATE(60,N1062,"09211"),Adat!$E:$E)*-1+H1090</f>
        <v>0</v>
      </c>
    </row>
    <row r="1091" spans="2:11" s="13" customFormat="1" ht="12.75" x14ac:dyDescent="0.2">
      <c r="B1091" s="160">
        <v>23</v>
      </c>
      <c r="C1091" s="305" t="s">
        <v>1345</v>
      </c>
      <c r="D1091" s="82" t="s">
        <v>1346</v>
      </c>
      <c r="E1091" s="165"/>
      <c r="F1091" s="165"/>
      <c r="G1091" s="165"/>
      <c r="H1091" s="166">
        <f>SUMIF(Adat!$AC:$AC,CONCATENATE(61,N1062,"09241"),Adat!$E:$E)*-1</f>
        <v>0</v>
      </c>
      <c r="I1091" s="166"/>
      <c r="J1091" s="166"/>
      <c r="K1091" s="166">
        <f>SUMIF(Adat!$AC:$AC,CONCATENATE(60,N1062,"09241"),Adat!$E:$E)*-1+H1091</f>
        <v>0</v>
      </c>
    </row>
    <row r="1092" spans="2:11" s="13" customFormat="1" ht="12.75" x14ac:dyDescent="0.2">
      <c r="B1092" s="160">
        <v>24</v>
      </c>
      <c r="C1092" s="305" t="s">
        <v>1255</v>
      </c>
      <c r="D1092" s="82" t="s">
        <v>1347</v>
      </c>
      <c r="E1092" s="165"/>
      <c r="F1092" s="165"/>
      <c r="G1092" s="165"/>
      <c r="H1092" s="166">
        <f>SUMIF(Adat!$AC:$AC,CONCATENATE(61,N1062,"09251"),Adat!$E:$E)*-1</f>
        <v>0</v>
      </c>
      <c r="I1092" s="166"/>
      <c r="J1092" s="166"/>
      <c r="K1092" s="166">
        <f>SUMIF(Adat!$AC:$AC,CONCATENATE(60,N1062,"09251"),Adat!$E:$E)*-1+H1092</f>
        <v>0</v>
      </c>
    </row>
    <row r="1093" spans="2:11" s="13" customFormat="1" ht="12.75" x14ac:dyDescent="0.2">
      <c r="B1093" s="160">
        <v>25</v>
      </c>
      <c r="C1093" s="79" t="s">
        <v>33</v>
      </c>
      <c r="D1093" s="79" t="s">
        <v>330</v>
      </c>
      <c r="E1093" s="120">
        <f>SUM(E1094:E1096)</f>
        <v>0</v>
      </c>
      <c r="F1093" s="120">
        <f t="shared" ref="F1093:K1093" si="265">SUM(F1094:F1096)</f>
        <v>0</v>
      </c>
      <c r="G1093" s="120">
        <f t="shared" si="265"/>
        <v>0</v>
      </c>
      <c r="H1093" s="121">
        <f t="shared" si="265"/>
        <v>0</v>
      </c>
      <c r="I1093" s="121"/>
      <c r="J1093" s="121"/>
      <c r="K1093" s="121">
        <f t="shared" si="265"/>
        <v>0</v>
      </c>
    </row>
    <row r="1094" spans="2:11" s="13" customFormat="1" ht="12.75" x14ac:dyDescent="0.2">
      <c r="B1094" s="160">
        <v>26</v>
      </c>
      <c r="C1094" s="305" t="s">
        <v>1373</v>
      </c>
      <c r="D1094" s="82" t="s">
        <v>1374</v>
      </c>
      <c r="E1094" s="165"/>
      <c r="F1094" s="165"/>
      <c r="G1094" s="165"/>
      <c r="H1094" s="166">
        <f>SUMIF(Adat!$AC:$AC,CONCATENATE(61,N1062,"09511"),Adat!$E:$E)*-1</f>
        <v>0</v>
      </c>
      <c r="I1094" s="166"/>
      <c r="J1094" s="166"/>
      <c r="K1094" s="166">
        <f>SUMIF(Adat!$AC:$AC,CONCATENATE(60,N1062,"09511"),Adat!$E:$E)*-1+H1094</f>
        <v>0</v>
      </c>
    </row>
    <row r="1095" spans="2:11" s="13" customFormat="1" ht="12.75" x14ac:dyDescent="0.2">
      <c r="B1095" s="160">
        <v>27</v>
      </c>
      <c r="C1095" s="305" t="s">
        <v>1294</v>
      </c>
      <c r="D1095" s="82" t="s">
        <v>1375</v>
      </c>
      <c r="E1095" s="165"/>
      <c r="F1095" s="165"/>
      <c r="G1095" s="165"/>
      <c r="H1095" s="166">
        <f>SUMIF(Adat!$AC:$AC,CONCATENATE(61,N1062,"09521"),Adat!$E:$E)*-1</f>
        <v>0</v>
      </c>
      <c r="I1095" s="166"/>
      <c r="J1095" s="166"/>
      <c r="K1095" s="166">
        <f>SUMIF(Adat!$AC:$AC,CONCATENATE(60,N1062,"09521"),Adat!$E:$E)*-1+H1095</f>
        <v>0</v>
      </c>
    </row>
    <row r="1096" spans="2:11" s="13" customFormat="1" ht="12.75" x14ac:dyDescent="0.2">
      <c r="B1096" s="160">
        <v>28</v>
      </c>
      <c r="C1096" s="305" t="s">
        <v>1376</v>
      </c>
      <c r="D1096" s="82" t="s">
        <v>1377</v>
      </c>
      <c r="E1096" s="165"/>
      <c r="F1096" s="165"/>
      <c r="G1096" s="165"/>
      <c r="H1096" s="166">
        <f>SUMIF(Adat!$AC:$AC,CONCATENATE(61,N1062,"09531"),Adat!$E:$E)*-1</f>
        <v>0</v>
      </c>
      <c r="I1096" s="166"/>
      <c r="J1096" s="166"/>
      <c r="K1096" s="166">
        <f>SUMIF(Adat!$AC:$AC,CONCATENATE(60,N1062,"09531"),Adat!$E:$E)*-1+H1096</f>
        <v>0</v>
      </c>
    </row>
    <row r="1097" spans="2:11" s="13" customFormat="1" ht="12.75" x14ac:dyDescent="0.2">
      <c r="B1097" s="160">
        <v>29</v>
      </c>
      <c r="C1097" s="79" t="s">
        <v>36</v>
      </c>
      <c r="D1097" s="79" t="s">
        <v>331</v>
      </c>
      <c r="E1097" s="120">
        <v>0</v>
      </c>
      <c r="F1097" s="120">
        <v>0</v>
      </c>
      <c r="G1097" s="120">
        <v>0</v>
      </c>
      <c r="H1097" s="71">
        <f>SUMIF(Adat!$AE:$AE,CONCATENATE(61,N1062,"096"),Adat!$E:$E)*-1</f>
        <v>0</v>
      </c>
      <c r="I1097" s="71"/>
      <c r="J1097" s="71"/>
      <c r="K1097" s="71">
        <f>SUMIF(Adat!$AE:$AE,CONCATENATE(60,N1062,"096"),Adat!$E:$E)*-1+H1097</f>
        <v>0</v>
      </c>
    </row>
    <row r="1098" spans="2:11" s="13" customFormat="1" ht="12.75" x14ac:dyDescent="0.2">
      <c r="B1098" s="160">
        <v>30</v>
      </c>
      <c r="C1098" s="79" t="s">
        <v>38</v>
      </c>
      <c r="D1098" s="85" t="s">
        <v>332</v>
      </c>
      <c r="E1098" s="120">
        <v>0</v>
      </c>
      <c r="F1098" s="120">
        <v>0</v>
      </c>
      <c r="G1098" s="120">
        <v>0</v>
      </c>
      <c r="H1098" s="71">
        <f>SUMIF(Adat!$AE:$AE,CONCATENATE(61,N1062,"097"),Adat!$E:$E)*-1</f>
        <v>0</v>
      </c>
      <c r="I1098" s="71"/>
      <c r="J1098" s="71"/>
      <c r="K1098" s="71">
        <f>SUMIF(Adat!$AE:$AE,CONCATENATE(60,N1062,"097"),Adat!$E:$E)*-1+H1098</f>
        <v>0</v>
      </c>
    </row>
    <row r="1099" spans="2:11" s="13" customFormat="1" ht="12.75" x14ac:dyDescent="0.2">
      <c r="B1099" s="160">
        <v>31</v>
      </c>
      <c r="C1099" s="154" t="s">
        <v>352</v>
      </c>
      <c r="D1099" s="86" t="s">
        <v>1500</v>
      </c>
      <c r="E1099" s="120">
        <f>E1070+E1084+E1088+E1089+E1093+E1097+E1098</f>
        <v>0</v>
      </c>
      <c r="F1099" s="120">
        <f>F1070+F1084+F1088+F1089+F1093+F1097+F1098</f>
        <v>0</v>
      </c>
      <c r="G1099" s="120">
        <f>G1070+G1084+G1088+G1089+G1093+G1097+G1098</f>
        <v>0</v>
      </c>
      <c r="H1099" s="121">
        <f>H1070+H1084+H1088+H1089+H1093+H1097+H1098</f>
        <v>0</v>
      </c>
      <c r="I1099" s="121"/>
      <c r="J1099" s="121"/>
      <c r="K1099" s="121">
        <f>K1070+K1084+K1088+K1089+K1093+K1097+K1098</f>
        <v>0</v>
      </c>
    </row>
    <row r="1100" spans="2:11" s="13" customFormat="1" ht="12.75" x14ac:dyDescent="0.2">
      <c r="B1100" s="160">
        <v>32</v>
      </c>
      <c r="C1100" s="154" t="s">
        <v>358</v>
      </c>
      <c r="D1100" s="86" t="s">
        <v>333</v>
      </c>
      <c r="E1100" s="120">
        <f>SUM(E1101:E1103)</f>
        <v>0</v>
      </c>
      <c r="F1100" s="120">
        <f t="shared" ref="F1100" si="266">SUM(F1101:F1103)</f>
        <v>0</v>
      </c>
      <c r="G1100" s="120">
        <f>SUM(G1101:G1103)</f>
        <v>0</v>
      </c>
      <c r="H1100" s="121">
        <f t="shared" ref="H1100:K1100" si="267">SUM(H1101:H1103)</f>
        <v>0</v>
      </c>
      <c r="I1100" s="121"/>
      <c r="J1100" s="121"/>
      <c r="K1100" s="121">
        <f t="shared" si="267"/>
        <v>0</v>
      </c>
    </row>
    <row r="1101" spans="2:11" s="13" customFormat="1" ht="12.75" x14ac:dyDescent="0.2">
      <c r="B1101" s="160">
        <v>33</v>
      </c>
      <c r="C1101" s="305" t="s">
        <v>1274</v>
      </c>
      <c r="D1101" s="82" t="s">
        <v>1419</v>
      </c>
      <c r="E1101" s="165"/>
      <c r="F1101" s="165"/>
      <c r="G1101" s="165"/>
      <c r="H1101" s="166">
        <f>SUMIF(Adat!$AC:$AC,CONCATENATE(61,N1062,"0981311"),Adat!$E:$E)*-1</f>
        <v>0</v>
      </c>
      <c r="I1101" s="166"/>
      <c r="J1101" s="166"/>
      <c r="K1101" s="166">
        <f>SUMIF(Adat!$AC:$AC,CONCATENATE(60,N1062,"0981311"),Adat!$E:$E)*-1+H1101</f>
        <v>0</v>
      </c>
    </row>
    <row r="1102" spans="2:11" s="13" customFormat="1" ht="12.75" x14ac:dyDescent="0.2">
      <c r="B1102" s="160">
        <v>34</v>
      </c>
      <c r="C1102" s="305" t="s">
        <v>1420</v>
      </c>
      <c r="D1102" s="84" t="s">
        <v>1421</v>
      </c>
      <c r="E1102" s="165"/>
      <c r="F1102" s="165"/>
      <c r="G1102" s="165"/>
      <c r="H1102" s="166">
        <f>SUMIF(Adat!$AC:$AC,CONCATENATE(61,N1062,"0981321"),Adat!$E:$E)*-1</f>
        <v>0</v>
      </c>
      <c r="I1102" s="166"/>
      <c r="J1102" s="166"/>
      <c r="K1102" s="166">
        <f>SUMIF(Adat!$AC:$AC,CONCATENATE(60,N1062,"0981321"),Adat!$E:$E)*-1+H1102</f>
        <v>0</v>
      </c>
    </row>
    <row r="1103" spans="2:11" s="13" customFormat="1" ht="12.75" x14ac:dyDescent="0.2">
      <c r="B1103" s="160">
        <v>35</v>
      </c>
      <c r="C1103" s="319" t="s">
        <v>1275</v>
      </c>
      <c r="D1103" s="84" t="s">
        <v>1501</v>
      </c>
      <c r="E1103" s="165"/>
      <c r="F1103" s="165"/>
      <c r="G1103" s="165"/>
      <c r="H1103" s="166">
        <f>SUMIF(Adat!$AC:$AC,CONCATENATE(61,N1062,"098161"),Adat!$E:$E)*-1</f>
        <v>0</v>
      </c>
      <c r="I1103" s="166"/>
      <c r="J1103" s="166"/>
      <c r="K1103" s="166">
        <f>SUMIF(Adat!$AC:$AC,CONCATENATE(60,N1062,"098161"),Adat!$E:$E)*-1+H1103</f>
        <v>0</v>
      </c>
    </row>
    <row r="1104" spans="2:11" s="13" customFormat="1" ht="12.75" x14ac:dyDescent="0.2">
      <c r="B1104" s="160">
        <v>36</v>
      </c>
      <c r="C1104" s="154" t="s">
        <v>364</v>
      </c>
      <c r="D1104" s="159" t="s">
        <v>1502</v>
      </c>
      <c r="E1104" s="120">
        <f>E1099+E1100</f>
        <v>0</v>
      </c>
      <c r="F1104" s="120">
        <f t="shared" ref="F1104:G1104" si="268">F1099+F1100</f>
        <v>0</v>
      </c>
      <c r="G1104" s="120">
        <f t="shared" si="268"/>
        <v>0</v>
      </c>
      <c r="H1104" s="121">
        <f>H1099+H1100</f>
        <v>0</v>
      </c>
      <c r="I1104" s="121"/>
      <c r="J1104" s="121"/>
      <c r="K1104" s="121">
        <f>K1099+K1100</f>
        <v>0</v>
      </c>
    </row>
    <row r="1105" spans="2:15" x14ac:dyDescent="0.25">
      <c r="B1105" s="40"/>
      <c r="C1105" s="256"/>
      <c r="D1105" s="40"/>
      <c r="E1105" s="13"/>
      <c r="F1105" s="13"/>
      <c r="G1105" s="13"/>
      <c r="H1105" s="39"/>
      <c r="I1105" s="39"/>
      <c r="J1105" s="39"/>
      <c r="K1105" s="13"/>
      <c r="L1105" s="13"/>
      <c r="M1105" s="13"/>
      <c r="N1105" s="13"/>
      <c r="O1105" s="13"/>
    </row>
    <row r="1106" spans="2:15" x14ac:dyDescent="0.25">
      <c r="B1106" s="202" t="s">
        <v>1520</v>
      </c>
      <c r="C1106" s="260"/>
      <c r="D1106" s="260"/>
      <c r="E1106" s="13"/>
      <c r="F1106" s="13"/>
      <c r="G1106" s="13"/>
      <c r="H1106" s="260"/>
      <c r="I1106" s="260"/>
      <c r="J1106" s="260"/>
      <c r="K1106" s="13"/>
      <c r="L1106" s="13"/>
      <c r="M1106" s="13"/>
      <c r="N1106" s="13"/>
      <c r="O1106" s="13"/>
    </row>
    <row r="1107" spans="2:15" x14ac:dyDescent="0.25">
      <c r="B1107" s="40"/>
      <c r="C1107" s="256"/>
      <c r="D1107" s="40"/>
      <c r="E1107" s="13"/>
      <c r="F1107" s="13"/>
      <c r="G1107" s="13"/>
      <c r="H1107" s="39"/>
      <c r="I1107" s="39"/>
      <c r="J1107" s="39"/>
      <c r="K1107" s="13"/>
      <c r="L1107" s="13"/>
      <c r="M1107" s="13"/>
      <c r="N1107" s="13"/>
      <c r="O1107" s="13"/>
    </row>
    <row r="1108" spans="2:15" s="13" customFormat="1" ht="12.75" x14ac:dyDescent="0.2">
      <c r="B1108" s="77"/>
      <c r="C1108" s="77" t="s">
        <v>350</v>
      </c>
      <c r="D1108" s="77" t="s">
        <v>351</v>
      </c>
      <c r="E1108" s="77" t="s">
        <v>470</v>
      </c>
      <c r="F1108" s="77" t="s">
        <v>471</v>
      </c>
      <c r="G1108" s="77" t="s">
        <v>44</v>
      </c>
      <c r="H1108" s="77" t="s">
        <v>42</v>
      </c>
      <c r="I1108" s="77"/>
      <c r="J1108" s="77"/>
      <c r="K1108" s="77" t="s">
        <v>511</v>
      </c>
    </row>
    <row r="1109" spans="2:15" s="13" customFormat="1" ht="38.25" x14ac:dyDescent="0.2">
      <c r="B1109" s="68">
        <v>1</v>
      </c>
      <c r="C1109" s="78" t="s">
        <v>348</v>
      </c>
      <c r="D1109" s="78" t="s">
        <v>349</v>
      </c>
      <c r="E1109" s="69" t="str">
        <f>CONCATENATE(PAR!$H$12," évi 
teljesítés")</f>
        <v>2022. évi 
teljesítés</v>
      </c>
      <c r="F1109" s="69" t="str">
        <f>CONCATENATE(PAR!$H$11," évi 
teljesítés")</f>
        <v>2023. évi 
teljesítés</v>
      </c>
      <c r="G1109" s="69" t="str">
        <f>CONCATENATE(PAR!$H$10," évi 
teljesítés")</f>
        <v>2024. évi 
teljesítés</v>
      </c>
      <c r="H1109" s="163" t="str">
        <f>CONCATENATE(PAR!$H$3," évi
eredeti 
előirányzat")</f>
        <v>2025. évi
eredeti 
előirányzat</v>
      </c>
      <c r="I1109" s="163"/>
      <c r="J1109" s="163"/>
      <c r="K1109" s="163" t="str">
        <f>CONCATENATE(PAR!$H$3," évi
módosított 
előirányzat")</f>
        <v>2025. évi
módosított 
előirányzat</v>
      </c>
    </row>
    <row r="1110" spans="2:15" s="13" customFormat="1" ht="12.75" x14ac:dyDescent="0.2">
      <c r="B1110" s="160">
        <v>2</v>
      </c>
      <c r="C1110" s="78" t="s">
        <v>352</v>
      </c>
      <c r="D1110" s="92" t="s">
        <v>1444</v>
      </c>
      <c r="E1110" s="120">
        <f>SUM(E1111:E1115)</f>
        <v>0</v>
      </c>
      <c r="F1110" s="120">
        <f>SUM(F1111:F1115)</f>
        <v>0</v>
      </c>
      <c r="G1110" s="120">
        <f>SUM(G1111:G1115)</f>
        <v>0</v>
      </c>
      <c r="H1110" s="121">
        <f>SUM(H1111:H1115)</f>
        <v>0</v>
      </c>
      <c r="I1110" s="121"/>
      <c r="J1110" s="121"/>
      <c r="K1110" s="121">
        <f t="shared" ref="K1110" si="269">SUM(K1111:K1115)</f>
        <v>0</v>
      </c>
    </row>
    <row r="1111" spans="2:15" s="13" customFormat="1" ht="12.75" x14ac:dyDescent="0.2">
      <c r="B1111" s="160">
        <v>3</v>
      </c>
      <c r="C1111" s="305" t="s">
        <v>315</v>
      </c>
      <c r="D1111" s="93" t="s">
        <v>342</v>
      </c>
      <c r="E1111" s="165"/>
      <c r="F1111" s="165"/>
      <c r="G1111" s="285"/>
      <c r="H1111" s="72">
        <f>SUMIF(Adat!$AE:$AE,CONCATENATE(61,N1062,"051"),Adat!$E:$E)</f>
        <v>0</v>
      </c>
      <c r="I1111" s="72"/>
      <c r="J1111" s="72"/>
      <c r="K1111" s="72">
        <f>SUMIF(Adat!$AE:$AE,CONCATENATE(60,N1062,"051"),Adat!$E:$E)+H1111</f>
        <v>0</v>
      </c>
    </row>
    <row r="1112" spans="2:15" s="13" customFormat="1" ht="12.75" x14ac:dyDescent="0.2">
      <c r="B1112" s="160">
        <v>4</v>
      </c>
      <c r="C1112" s="305" t="s">
        <v>317</v>
      </c>
      <c r="D1112" s="93" t="s">
        <v>395</v>
      </c>
      <c r="E1112" s="165"/>
      <c r="F1112" s="165"/>
      <c r="G1112" s="285"/>
      <c r="H1112" s="72">
        <f>SUMIF(Adat!$AE:$AE,CONCATENATE(61,N1062,"052"),Adat!$E:$E)</f>
        <v>0</v>
      </c>
      <c r="I1112" s="72"/>
      <c r="J1112" s="72"/>
      <c r="K1112" s="72">
        <f>SUMIF(Adat!$AE:$AE,CONCATENATE(60,N1062,"052"),Adat!$E:$E)+H1112</f>
        <v>0</v>
      </c>
    </row>
    <row r="1113" spans="2:15" s="13" customFormat="1" ht="12.75" x14ac:dyDescent="0.2">
      <c r="B1113" s="160">
        <v>5</v>
      </c>
      <c r="C1113" s="305" t="s">
        <v>4</v>
      </c>
      <c r="D1113" s="93" t="s">
        <v>344</v>
      </c>
      <c r="E1113" s="165"/>
      <c r="F1113" s="165"/>
      <c r="G1113" s="285"/>
      <c r="H1113" s="72">
        <f>SUMIF(Adat!$AE:$AE,CONCATENATE(61,N1062,"053"),Adat!$E:$E)</f>
        <v>0</v>
      </c>
      <c r="I1113" s="72"/>
      <c r="J1113" s="72"/>
      <c r="K1113" s="72">
        <f>SUMIF(Adat!$AE:$AE,CONCATENATE(60,N1062,"053"),Adat!$E:$E)+H1113</f>
        <v>0</v>
      </c>
    </row>
    <row r="1114" spans="2:15" s="13" customFormat="1" ht="12.75" x14ac:dyDescent="0.2">
      <c r="B1114" s="160">
        <v>6</v>
      </c>
      <c r="C1114" s="305" t="s">
        <v>6</v>
      </c>
      <c r="D1114" s="93" t="s">
        <v>345</v>
      </c>
      <c r="E1114" s="165"/>
      <c r="F1114" s="165"/>
      <c r="G1114" s="285"/>
      <c r="H1114" s="72">
        <f>SUMIF(Adat!$AE:$AE,CONCATENATE(61,N1062,"054"),Adat!$E:$E)</f>
        <v>0</v>
      </c>
      <c r="I1114" s="72"/>
      <c r="J1114" s="72"/>
      <c r="K1114" s="72">
        <f>SUMIF(Adat!$AE:$AE,CONCATENATE(60,N1062,"054"),Adat!$E:$E)+H1114</f>
        <v>0</v>
      </c>
    </row>
    <row r="1115" spans="2:15" s="13" customFormat="1" ht="12.75" x14ac:dyDescent="0.2">
      <c r="B1115" s="160">
        <v>7</v>
      </c>
      <c r="C1115" s="305" t="s">
        <v>8</v>
      </c>
      <c r="D1115" s="93" t="s">
        <v>321</v>
      </c>
      <c r="E1115" s="165"/>
      <c r="F1115" s="165"/>
      <c r="G1115" s="285"/>
      <c r="H1115" s="72">
        <f>SUMIF(Adat!$AE:$AE,CONCATENATE(61,N1062,"055"),Adat!$E:$E)</f>
        <v>0</v>
      </c>
      <c r="I1115" s="72"/>
      <c r="J1115" s="72"/>
      <c r="K1115" s="72">
        <f>SUMIF(Adat!$AE:$AE,CONCATENATE(60,N1062,"055"),Adat!$E:$E)+H1115</f>
        <v>0</v>
      </c>
    </row>
    <row r="1116" spans="2:15" s="13" customFormat="1" ht="12.75" x14ac:dyDescent="0.2">
      <c r="B1116" s="160">
        <v>8</v>
      </c>
      <c r="C1116" s="78" t="s">
        <v>358</v>
      </c>
      <c r="D1116" s="92" t="s">
        <v>1447</v>
      </c>
      <c r="E1116" s="120">
        <f>SUM(E1117:E1119)</f>
        <v>0</v>
      </c>
      <c r="F1116" s="120">
        <f t="shared" ref="F1116:K1116" si="270">SUM(F1117:F1119)</f>
        <v>0</v>
      </c>
      <c r="G1116" s="120">
        <f t="shared" si="270"/>
        <v>0</v>
      </c>
      <c r="H1116" s="121">
        <f t="shared" si="270"/>
        <v>0</v>
      </c>
      <c r="I1116" s="121"/>
      <c r="J1116" s="121"/>
      <c r="K1116" s="121">
        <f t="shared" si="270"/>
        <v>0</v>
      </c>
    </row>
    <row r="1117" spans="2:15" s="13" customFormat="1" ht="12.75" x14ac:dyDescent="0.2">
      <c r="B1117" s="160">
        <v>9</v>
      </c>
      <c r="C1117" s="305" t="s">
        <v>10</v>
      </c>
      <c r="D1117" s="93" t="s">
        <v>322</v>
      </c>
      <c r="E1117" s="165"/>
      <c r="F1117" s="165"/>
      <c r="G1117" s="285"/>
      <c r="H1117" s="72">
        <f>SUMIF(Adat!$AE:$AE,CONCATENATE(61,N1062,"056"),Adat!$E:$E)</f>
        <v>0</v>
      </c>
      <c r="I1117" s="72"/>
      <c r="J1117" s="72"/>
      <c r="K1117" s="72">
        <f>SUMIF(Adat!$AE:$AE,CONCATENATE(60,N1062,"056"),Adat!$E:$E)+H1117</f>
        <v>0</v>
      </c>
    </row>
    <row r="1118" spans="2:15" s="13" customFormat="1" ht="12.75" x14ac:dyDescent="0.2">
      <c r="B1118" s="160">
        <v>10</v>
      </c>
      <c r="C1118" s="305" t="s">
        <v>12</v>
      </c>
      <c r="D1118" s="93" t="s">
        <v>323</v>
      </c>
      <c r="E1118" s="165"/>
      <c r="F1118" s="165"/>
      <c r="G1118" s="165"/>
      <c r="H1118" s="72">
        <f>SUMIF(Adat!$AE:$AE,CONCATENATE(61,N1062,"057"),Adat!$E:$E)</f>
        <v>0</v>
      </c>
      <c r="I1118" s="72"/>
      <c r="J1118" s="72"/>
      <c r="K1118" s="72">
        <f>SUMIF(Adat!$AE:$AE,CONCATENATE(60,N1062,"057"),Adat!$E:$E)+H1118</f>
        <v>0</v>
      </c>
    </row>
    <row r="1119" spans="2:15" s="13" customFormat="1" ht="12.75" x14ac:dyDescent="0.2">
      <c r="B1119" s="160">
        <v>11</v>
      </c>
      <c r="C1119" s="305" t="s">
        <v>15</v>
      </c>
      <c r="D1119" s="84" t="s">
        <v>324</v>
      </c>
      <c r="E1119" s="165"/>
      <c r="F1119" s="165"/>
      <c r="G1119" s="165"/>
      <c r="H1119" s="72">
        <f>SUMIF(Adat!$AE:$AE,CONCATENATE(61,N1062,"058"),Adat!$E:$E)</f>
        <v>0</v>
      </c>
      <c r="I1119" s="72"/>
      <c r="J1119" s="72"/>
      <c r="K1119" s="72">
        <f>SUMIF(Adat!$AE:$AE,CONCATENATE(60,N1062,"058"),Adat!$E:$E)+H1119</f>
        <v>0</v>
      </c>
    </row>
    <row r="1120" spans="2:15" s="13" customFormat="1" ht="12.75" x14ac:dyDescent="0.2">
      <c r="B1120" s="160">
        <v>12</v>
      </c>
      <c r="C1120" s="154" t="s">
        <v>364</v>
      </c>
      <c r="D1120" s="86" t="s">
        <v>325</v>
      </c>
      <c r="E1120" s="120">
        <v>0</v>
      </c>
      <c r="F1120" s="120">
        <v>0</v>
      </c>
      <c r="G1120" s="120">
        <v>0</v>
      </c>
      <c r="H1120" s="71">
        <f>SUMIF(Adat!$AE:$AE,CONCATENATE(61,N1062,"059"),Adat!$E:$E)</f>
        <v>0</v>
      </c>
      <c r="I1120" s="71"/>
      <c r="J1120" s="71"/>
      <c r="K1120" s="71">
        <f>SUMIF(Adat!$AE:$AE,CONCATENATE(60,N1062,"059"),Adat!$E:$E)+H1120</f>
        <v>0</v>
      </c>
    </row>
    <row r="1121" spans="2:15" s="13" customFormat="1" ht="12.75" x14ac:dyDescent="0.2">
      <c r="B1121" s="160">
        <v>13</v>
      </c>
      <c r="C1121" s="154" t="s">
        <v>403</v>
      </c>
      <c r="D1121" s="159" t="s">
        <v>497</v>
      </c>
      <c r="E1121" s="120">
        <f>E1110+E1116+E1120</f>
        <v>0</v>
      </c>
      <c r="F1121" s="120">
        <f>F1110+F1116+F1120</f>
        <v>0</v>
      </c>
      <c r="G1121" s="120">
        <f>G1110+G1116+G1120</f>
        <v>0</v>
      </c>
      <c r="H1121" s="121">
        <f>H1110+H1116+H1120</f>
        <v>0</v>
      </c>
      <c r="I1121" s="121"/>
      <c r="J1121" s="121"/>
      <c r="K1121" s="121">
        <f>K1110+K1116+K1120</f>
        <v>0</v>
      </c>
    </row>
    <row r="1122" spans="2:15" x14ac:dyDescent="0.25"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</row>
    <row r="1123" spans="2:15" x14ac:dyDescent="0.25">
      <c r="B1123" s="511" t="str">
        <f>O1123</f>
        <v/>
      </c>
      <c r="C1123" s="511"/>
      <c r="D1123" s="511"/>
      <c r="E1123" s="511"/>
      <c r="F1123" s="511"/>
      <c r="G1123" s="511"/>
      <c r="H1123" s="511"/>
      <c r="I1123" s="511"/>
      <c r="J1123" s="511"/>
      <c r="K1123" s="511"/>
      <c r="L1123" s="13"/>
      <c r="M1123" s="318">
        <v>18</v>
      </c>
      <c r="N1123" s="320">
        <f>VLOOKUP(M1123,Info!$B$5:$D$55,3)</f>
        <v>0</v>
      </c>
      <c r="O1123" s="321" t="str">
        <f>VLOOKUP(M1123,Info!$B$5:$D$55,2)</f>
        <v/>
      </c>
    </row>
    <row r="1124" spans="2:15" x14ac:dyDescent="0.25">
      <c r="B1124" s="534" t="str">
        <f>CONCATENATE(PAR!$H$3," évi költségvetés és az előző három év összevont mérlege")</f>
        <v>2025. évi költségvetés és az előző három év összevont mérlege</v>
      </c>
      <c r="C1124" s="534"/>
      <c r="D1124" s="534"/>
      <c r="E1124" s="534"/>
      <c r="F1124" s="534"/>
      <c r="G1124" s="534"/>
      <c r="H1124" s="534"/>
      <c r="I1124" s="534"/>
      <c r="J1124" s="534"/>
      <c r="K1124" s="534"/>
      <c r="L1124" s="13"/>
      <c r="M1124" s="13"/>
      <c r="N1124" s="13"/>
      <c r="O1124" s="13"/>
    </row>
    <row r="1125" spans="2:15" x14ac:dyDescent="0.25">
      <c r="B1125" s="535" t="s">
        <v>337</v>
      </c>
      <c r="C1125" s="535"/>
      <c r="D1125" s="535"/>
      <c r="E1125" s="535"/>
      <c r="F1125" s="535"/>
      <c r="G1125" s="535"/>
      <c r="H1125" s="535"/>
      <c r="I1125" s="535"/>
      <c r="J1125" s="535"/>
      <c r="K1125" s="535"/>
      <c r="L1125" s="13"/>
      <c r="M1125" s="13"/>
      <c r="N1125" s="13"/>
      <c r="O1125" s="13"/>
    </row>
    <row r="1126" spans="2:15" x14ac:dyDescent="0.25">
      <c r="B1126" s="40"/>
      <c r="C1126" s="256"/>
      <c r="D1126" s="40"/>
      <c r="E1126" s="39"/>
      <c r="F1126" s="40"/>
      <c r="G1126" s="40"/>
      <c r="H1126" s="40"/>
      <c r="I1126" s="40"/>
      <c r="J1126" s="40"/>
      <c r="K1126" s="13"/>
      <c r="L1126" s="13"/>
      <c r="M1126" s="13"/>
      <c r="N1126" s="13"/>
      <c r="O1126" s="13"/>
    </row>
    <row r="1127" spans="2:15" x14ac:dyDescent="0.25">
      <c r="B1127" s="201" t="s">
        <v>1521</v>
      </c>
      <c r="C1127" s="201"/>
      <c r="D1127" s="201"/>
      <c r="E1127" s="201"/>
      <c r="F1127" s="201"/>
      <c r="G1127" s="201"/>
      <c r="H1127" s="201"/>
      <c r="I1127" s="201"/>
      <c r="J1127" s="201"/>
      <c r="K1127" s="201"/>
      <c r="L1127" s="13"/>
      <c r="M1127" s="13"/>
      <c r="N1127" s="13"/>
      <c r="O1127" s="13"/>
    </row>
    <row r="1128" spans="2:15" x14ac:dyDescent="0.25">
      <c r="B1128" s="40"/>
      <c r="C1128" s="256"/>
      <c r="D1128" s="40"/>
      <c r="E1128" s="39"/>
      <c r="F1128" s="40"/>
      <c r="G1128" s="40"/>
      <c r="H1128" s="40"/>
      <c r="I1128" s="40"/>
      <c r="J1128" s="40"/>
      <c r="K1128" s="13"/>
      <c r="L1128" s="13"/>
      <c r="M1128" s="13"/>
      <c r="N1128" s="13"/>
      <c r="O1128" s="13"/>
    </row>
    <row r="1129" spans="2:15" s="13" customFormat="1" ht="12.75" x14ac:dyDescent="0.2">
      <c r="B1129" s="77"/>
      <c r="C1129" s="77" t="s">
        <v>350</v>
      </c>
      <c r="D1129" s="77" t="s">
        <v>351</v>
      </c>
      <c r="E1129" s="77" t="s">
        <v>470</v>
      </c>
      <c r="F1129" s="77" t="s">
        <v>471</v>
      </c>
      <c r="G1129" s="77" t="s">
        <v>44</v>
      </c>
      <c r="H1129" s="77" t="s">
        <v>42</v>
      </c>
      <c r="I1129" s="77"/>
      <c r="J1129" s="77"/>
      <c r="K1129" s="77" t="s">
        <v>511</v>
      </c>
    </row>
    <row r="1130" spans="2:15" s="13" customFormat="1" ht="38.25" x14ac:dyDescent="0.2">
      <c r="B1130" s="68">
        <v>1</v>
      </c>
      <c r="C1130" s="78" t="s">
        <v>348</v>
      </c>
      <c r="D1130" s="78" t="s">
        <v>349</v>
      </c>
      <c r="E1130" s="69" t="str">
        <f>CONCATENATE(PAR!$H$12," évi 
teljesítés")</f>
        <v>2022. évi 
teljesítés</v>
      </c>
      <c r="F1130" s="69" t="str">
        <f>CONCATENATE(PAR!$H$11," évi 
teljesítés")</f>
        <v>2023. évi 
teljesítés</v>
      </c>
      <c r="G1130" s="69" t="str">
        <f>CONCATENATE(PAR!$H$10," évi 
teljesítés")</f>
        <v>2024. évi 
teljesítés</v>
      </c>
      <c r="H1130" s="163" t="str">
        <f>CONCATENATE(PAR!$H$3," évi
eredeti 
előirányzat")</f>
        <v>2025. évi
eredeti 
előirányzat</v>
      </c>
      <c r="I1130" s="163"/>
      <c r="J1130" s="163"/>
      <c r="K1130" s="163" t="str">
        <f>CONCATENATE(PAR!$H$3," évi
módosított 
előirányzat")</f>
        <v>2025. évi
módosított 
előirányzat</v>
      </c>
    </row>
    <row r="1131" spans="2:15" s="13" customFormat="1" ht="12.75" x14ac:dyDescent="0.2">
      <c r="B1131" s="160">
        <v>2</v>
      </c>
      <c r="C1131" s="79" t="s">
        <v>30</v>
      </c>
      <c r="D1131" s="79" t="s">
        <v>329</v>
      </c>
      <c r="E1131" s="120">
        <f>SUM(E1132:E1144)</f>
        <v>0</v>
      </c>
      <c r="F1131" s="120">
        <f t="shared" ref="F1131" si="271">SUM(F1132:F1144)</f>
        <v>0</v>
      </c>
      <c r="G1131" s="120">
        <f>SUM(G1132:G1144)</f>
        <v>0</v>
      </c>
      <c r="H1131" s="121">
        <f t="shared" ref="H1131" si="272">SUM(H1132:H1144)</f>
        <v>0</v>
      </c>
      <c r="I1131" s="121"/>
      <c r="J1131" s="121"/>
      <c r="K1131" s="121">
        <f>SUM(K1132:K1144)</f>
        <v>0</v>
      </c>
    </row>
    <row r="1132" spans="2:15" s="13" customFormat="1" ht="12.75" x14ac:dyDescent="0.2">
      <c r="B1132" s="160">
        <v>3</v>
      </c>
      <c r="C1132" s="305" t="s">
        <v>1309</v>
      </c>
      <c r="D1132" s="82" t="s">
        <v>1356</v>
      </c>
      <c r="E1132" s="165"/>
      <c r="F1132" s="165"/>
      <c r="G1132" s="165"/>
      <c r="H1132" s="166">
        <f>SUMIF(Adat!$AC:$AC,CONCATENATE(61,N1123,"094011"),Adat!$E:$E)*-1</f>
        <v>0</v>
      </c>
      <c r="I1132" s="166"/>
      <c r="J1132" s="166"/>
      <c r="K1132" s="166">
        <f>SUMIF(Adat!$AC:$AC,CONCATENATE(60,N1123,"094011"),Adat!$E:$E)*-1+H1132</f>
        <v>0</v>
      </c>
    </row>
    <row r="1133" spans="2:15" s="13" customFormat="1" ht="12.75" x14ac:dyDescent="0.2">
      <c r="B1133" s="160">
        <v>4</v>
      </c>
      <c r="C1133" s="305" t="s">
        <v>1279</v>
      </c>
      <c r="D1133" s="82" t="s">
        <v>1357</v>
      </c>
      <c r="E1133" s="165"/>
      <c r="F1133" s="165"/>
      <c r="G1133" s="165"/>
      <c r="H1133" s="166">
        <f>SUMIF(Adat!$AC:$AC,CONCATENATE(61,N1123,"094021"),Adat!$E:$E)*-1</f>
        <v>0</v>
      </c>
      <c r="I1133" s="166"/>
      <c r="J1133" s="166"/>
      <c r="K1133" s="166">
        <f>SUMIF(Adat!$AC:$AC,CONCATENATE(60,N1123,"094021"),Adat!$E:$E)*-1+H1133</f>
        <v>0</v>
      </c>
    </row>
    <row r="1134" spans="2:15" s="13" customFormat="1" ht="12.75" x14ac:dyDescent="0.2">
      <c r="B1134" s="160">
        <v>5</v>
      </c>
      <c r="C1134" s="305" t="s">
        <v>1272</v>
      </c>
      <c r="D1134" s="82" t="s">
        <v>1358</v>
      </c>
      <c r="E1134" s="165"/>
      <c r="F1134" s="165"/>
      <c r="G1134" s="165"/>
      <c r="H1134" s="166">
        <f>SUMIF(Adat!$AC:$AC,CONCATENATE(61,N1123,"094031"),Adat!$E:$E)*-1</f>
        <v>0</v>
      </c>
      <c r="I1134" s="166"/>
      <c r="J1134" s="166"/>
      <c r="K1134" s="166">
        <f>SUMIF(Adat!$AC:$AC,CONCATENATE(60,N1123,"094031"),Adat!$E:$E)*-1+H1134</f>
        <v>0</v>
      </c>
    </row>
    <row r="1135" spans="2:15" s="13" customFormat="1" ht="12.75" x14ac:dyDescent="0.2">
      <c r="B1135" s="160">
        <v>6</v>
      </c>
      <c r="C1135" s="305" t="s">
        <v>1359</v>
      </c>
      <c r="D1135" s="82" t="s">
        <v>1360</v>
      </c>
      <c r="E1135" s="165"/>
      <c r="F1135" s="165"/>
      <c r="G1135" s="165"/>
      <c r="H1135" s="166">
        <f>SUMIF(Adat!$AC:$AC,CONCATENATE(61,N1123,"094041"),Adat!$E:$E)*-1</f>
        <v>0</v>
      </c>
      <c r="I1135" s="166"/>
      <c r="J1135" s="166"/>
      <c r="K1135" s="166">
        <f>SUMIF(Adat!$AC:$AC,CONCATENATE(60,N1123,"094041"),Adat!$E:$E)*-1+H1135</f>
        <v>0</v>
      </c>
    </row>
    <row r="1136" spans="2:15" s="13" customFormat="1" ht="12.75" x14ac:dyDescent="0.2">
      <c r="B1136" s="160">
        <v>7</v>
      </c>
      <c r="C1136" s="305" t="s">
        <v>1261</v>
      </c>
      <c r="D1136" s="82" t="s">
        <v>1361</v>
      </c>
      <c r="E1136" s="165"/>
      <c r="F1136" s="165"/>
      <c r="G1136" s="165"/>
      <c r="H1136" s="166">
        <f>SUMIF(Adat!$AC:$AC,CONCATENATE(61,N1123,"094051"),Adat!$E:$E)*-1</f>
        <v>0</v>
      </c>
      <c r="I1136" s="166"/>
      <c r="J1136" s="166"/>
      <c r="K1136" s="166">
        <f>SUMIF(Adat!$AC:$AC,CONCATENATE(60,N1123,"094051"),Adat!$E:$E)*-1+H1136</f>
        <v>0</v>
      </c>
    </row>
    <row r="1137" spans="2:11" s="13" customFormat="1" ht="12.75" x14ac:dyDescent="0.2">
      <c r="B1137" s="160">
        <v>8</v>
      </c>
      <c r="C1137" s="305" t="s">
        <v>1273</v>
      </c>
      <c r="D1137" s="82" t="s">
        <v>1362</v>
      </c>
      <c r="E1137" s="165"/>
      <c r="F1137" s="165"/>
      <c r="G1137" s="165"/>
      <c r="H1137" s="166">
        <f>SUMIF(Adat!$AC:$AC,CONCATENATE(61,N1123,"094061"),Adat!$E:$E)*-1</f>
        <v>0</v>
      </c>
      <c r="I1137" s="166"/>
      <c r="J1137" s="166"/>
      <c r="K1137" s="166">
        <f>SUMIF(Adat!$AC:$AC,CONCATENATE(60,N1123,"094061"),Adat!$E:$E)*-1+H1137</f>
        <v>0</v>
      </c>
    </row>
    <row r="1138" spans="2:11" s="13" customFormat="1" ht="12.75" x14ac:dyDescent="0.2">
      <c r="B1138" s="160">
        <v>9</v>
      </c>
      <c r="C1138" s="305" t="s">
        <v>1363</v>
      </c>
      <c r="D1138" s="82" t="s">
        <v>1364</v>
      </c>
      <c r="E1138" s="165"/>
      <c r="F1138" s="165"/>
      <c r="G1138" s="165"/>
      <c r="H1138" s="166">
        <f>SUMIF(Adat!$AC:$AC,CONCATENATE(61,N1123,"094071"),Adat!$E:$E)*-1</f>
        <v>0</v>
      </c>
      <c r="I1138" s="166"/>
      <c r="J1138" s="166"/>
      <c r="K1138" s="166">
        <f>SUMIF(Adat!$AC:$AC,CONCATENATE(60,N1123,"094071"),Adat!$E:$E)*-1+H1138</f>
        <v>0</v>
      </c>
    </row>
    <row r="1139" spans="2:11" s="13" customFormat="1" ht="12.75" x14ac:dyDescent="0.2">
      <c r="B1139" s="160">
        <v>10</v>
      </c>
      <c r="C1139" s="305" t="s">
        <v>1306</v>
      </c>
      <c r="D1139" s="82" t="s">
        <v>1365</v>
      </c>
      <c r="E1139" s="165"/>
      <c r="F1139" s="165"/>
      <c r="G1139" s="165"/>
      <c r="H1139" s="166">
        <f>SUMIF(Adat!$AC:$AC,CONCATENATE(61,N1123,"0940811"),Adat!$E:$E)*-1</f>
        <v>0</v>
      </c>
      <c r="I1139" s="166"/>
      <c r="J1139" s="166"/>
      <c r="K1139" s="166">
        <f>SUMIF(Adat!$AC:$AC,CONCATENATE(60,N1123,"0940811"),Adat!$E:$E)*-1+H1139</f>
        <v>0</v>
      </c>
    </row>
    <row r="1140" spans="2:11" s="13" customFormat="1" ht="12.75" x14ac:dyDescent="0.2">
      <c r="B1140" s="160">
        <v>11</v>
      </c>
      <c r="C1140" s="305" t="s">
        <v>1295</v>
      </c>
      <c r="D1140" s="82" t="s">
        <v>1366</v>
      </c>
      <c r="E1140" s="165"/>
      <c r="F1140" s="165"/>
      <c r="G1140" s="165"/>
      <c r="H1140" s="166">
        <f>SUMIF(Adat!$AC:$AC,CONCATENATE(61,N1123,"0940821"),Adat!$E:$E)*-1</f>
        <v>0</v>
      </c>
      <c r="I1140" s="166"/>
      <c r="J1140" s="166"/>
      <c r="K1140" s="166">
        <f>SUMIF(Adat!$AC:$AC,CONCATENATE(60,N1123,"0940821"),Adat!$E:$E)*-1+H1140</f>
        <v>0</v>
      </c>
    </row>
    <row r="1141" spans="2:11" s="13" customFormat="1" ht="12.75" x14ac:dyDescent="0.2">
      <c r="B1141" s="160">
        <v>12</v>
      </c>
      <c r="C1141" s="305" t="s">
        <v>1367</v>
      </c>
      <c r="D1141" s="82" t="s">
        <v>1368</v>
      </c>
      <c r="E1141" s="165"/>
      <c r="F1141" s="165"/>
      <c r="G1141" s="165"/>
      <c r="H1141" s="166">
        <f>SUMIF(Adat!$AC:$AC,CONCATENATE(61,N1123,"0940911"),Adat!$E:$E)*-1</f>
        <v>0</v>
      </c>
      <c r="I1141" s="166"/>
      <c r="J1141" s="166"/>
      <c r="K1141" s="166">
        <f>SUMIF(Adat!$AC:$AC,CONCATENATE(60,N1123,"0940911"),Adat!$E:$E)*-1+H1141</f>
        <v>0</v>
      </c>
    </row>
    <row r="1142" spans="2:11" s="13" customFormat="1" ht="12.75" x14ac:dyDescent="0.2">
      <c r="B1142" s="160">
        <v>13</v>
      </c>
      <c r="C1142" s="305" t="s">
        <v>1369</v>
      </c>
      <c r="D1142" s="82" t="s">
        <v>1370</v>
      </c>
      <c r="E1142" s="165"/>
      <c r="F1142" s="165"/>
      <c r="G1142" s="165"/>
      <c r="H1142" s="166">
        <f>SUMIF(Adat!$AC:$AC,CONCATENATE(61,N1123,"0940921"),Adat!$E:$E)*-1</f>
        <v>0</v>
      </c>
      <c r="I1142" s="166"/>
      <c r="J1142" s="166"/>
      <c r="K1142" s="166">
        <f>SUMIF(Adat!$AC:$AC,CONCATENATE(60,N1123,"0940921"),Adat!$E:$E)*-1+H1142</f>
        <v>0</v>
      </c>
    </row>
    <row r="1143" spans="2:11" s="13" customFormat="1" ht="12.75" x14ac:dyDescent="0.2">
      <c r="B1143" s="160">
        <v>14</v>
      </c>
      <c r="C1143" s="305" t="s">
        <v>1296</v>
      </c>
      <c r="D1143" s="82" t="s">
        <v>1371</v>
      </c>
      <c r="E1143" s="165"/>
      <c r="F1143" s="165"/>
      <c r="G1143" s="165"/>
      <c r="H1143" s="166">
        <f>SUMIF(Adat!$AC:$AC,CONCATENATE(61,N1123,"094101"),Adat!$E:$E)*-1</f>
        <v>0</v>
      </c>
      <c r="I1143" s="166"/>
      <c r="J1143" s="166"/>
      <c r="K1143" s="166">
        <f>SUMIF(Adat!$AC:$AC,CONCATENATE(60,N1123,"094101"),Adat!$E:$E)*-1+H1143</f>
        <v>0</v>
      </c>
    </row>
    <row r="1144" spans="2:11" s="13" customFormat="1" ht="12.75" x14ac:dyDescent="0.2">
      <c r="B1144" s="160">
        <v>15</v>
      </c>
      <c r="C1144" s="305" t="s">
        <v>1297</v>
      </c>
      <c r="D1144" s="84" t="s">
        <v>1372</v>
      </c>
      <c r="E1144" s="165"/>
      <c r="F1144" s="165"/>
      <c r="G1144" s="165"/>
      <c r="H1144" s="166">
        <f>SUMIF(Adat!$AC:$AC,CONCATENATE(61,N1123,"094111"),Adat!$E:$E)*-1</f>
        <v>0</v>
      </c>
      <c r="I1144" s="166"/>
      <c r="J1144" s="166"/>
      <c r="K1144" s="166">
        <f>SUMIF(Adat!$AC:$AC,CONCATENATE(60,N1123,"094111"),Adat!$E:$E)*-1+H1144</f>
        <v>0</v>
      </c>
    </row>
    <row r="1145" spans="2:11" s="13" customFormat="1" ht="12.75" x14ac:dyDescent="0.2">
      <c r="B1145" s="160">
        <v>16</v>
      </c>
      <c r="C1145" s="78" t="s">
        <v>1328</v>
      </c>
      <c r="D1145" s="85" t="s">
        <v>437</v>
      </c>
      <c r="E1145" s="120">
        <f>SUM(E1146:E1148)</f>
        <v>0</v>
      </c>
      <c r="F1145" s="120">
        <f t="shared" ref="F1145" si="273">SUM(F1146:F1148)</f>
        <v>0</v>
      </c>
      <c r="G1145" s="120">
        <f>SUM(G1146:G1148)</f>
        <v>0</v>
      </c>
      <c r="H1145" s="121">
        <f t="shared" ref="H1145" si="274">SUM(H1146:H1148)</f>
        <v>0</v>
      </c>
      <c r="I1145" s="121"/>
      <c r="J1145" s="121"/>
      <c r="K1145" s="121">
        <f>SUM(K1146:K1148)</f>
        <v>0</v>
      </c>
    </row>
    <row r="1146" spans="2:11" s="13" customFormat="1" ht="12.75" x14ac:dyDescent="0.2">
      <c r="B1146" s="160">
        <v>17</v>
      </c>
      <c r="C1146" s="305" t="s">
        <v>1329</v>
      </c>
      <c r="D1146" s="82" t="s">
        <v>1330</v>
      </c>
      <c r="E1146" s="165"/>
      <c r="F1146" s="165"/>
      <c r="G1146" s="165"/>
      <c r="H1146" s="166">
        <f>SUMIF(Adat!$AC:$AC,CONCATENATE(61,N1123,"09121"),Adat!$E:$E)*-1</f>
        <v>0</v>
      </c>
      <c r="I1146" s="166"/>
      <c r="J1146" s="166"/>
      <c r="K1146" s="166">
        <f>SUMIF(Adat!$AC:$AC,CONCATENATE(60,N1123,"09121"),Adat!$E:$E)*-1+H1146</f>
        <v>0</v>
      </c>
    </row>
    <row r="1147" spans="2:11" s="13" customFormat="1" ht="12.75" x14ac:dyDescent="0.2">
      <c r="B1147" s="160">
        <v>18</v>
      </c>
      <c r="C1147" s="305" t="s">
        <v>1335</v>
      </c>
      <c r="D1147" s="82" t="s">
        <v>1336</v>
      </c>
      <c r="E1147" s="165"/>
      <c r="F1147" s="165"/>
      <c r="G1147" s="165"/>
      <c r="H1147" s="166">
        <f>SUMIF(Adat!$AC:$AC,CONCATENATE(61,N1123,"09151"),Adat!$E:$E)*-1</f>
        <v>0</v>
      </c>
      <c r="I1147" s="166"/>
      <c r="J1147" s="166"/>
      <c r="K1147" s="166">
        <f>SUMIF(Adat!$AC:$AC,CONCATENATE(60,N1123,"09151"),Adat!$E:$E)*-1+H1147</f>
        <v>0</v>
      </c>
    </row>
    <row r="1148" spans="2:11" s="13" customFormat="1" ht="12.75" x14ac:dyDescent="0.2">
      <c r="B1148" s="160">
        <v>19</v>
      </c>
      <c r="C1148" s="305" t="s">
        <v>1278</v>
      </c>
      <c r="D1148" s="82" t="s">
        <v>1337</v>
      </c>
      <c r="E1148" s="165"/>
      <c r="F1148" s="165"/>
      <c r="G1148" s="165"/>
      <c r="H1148" s="166">
        <f>SUMIF(Adat!$AC:$AC,CONCATENATE(61,N1123,"09161"),Adat!$E:$E)*-1</f>
        <v>0</v>
      </c>
      <c r="I1148" s="166"/>
      <c r="J1148" s="166"/>
      <c r="K1148" s="166">
        <f>SUMIF(Adat!$AC:$AC,CONCATENATE(60,N1123,"09161"),Adat!$E:$E)*-1+H1148</f>
        <v>0</v>
      </c>
    </row>
    <row r="1149" spans="2:11" s="13" customFormat="1" ht="12.75" x14ac:dyDescent="0.2">
      <c r="B1149" s="160">
        <v>20</v>
      </c>
      <c r="C1149" s="79" t="s">
        <v>27</v>
      </c>
      <c r="D1149" s="79" t="s">
        <v>328</v>
      </c>
      <c r="E1149" s="120">
        <v>0</v>
      </c>
      <c r="F1149" s="120">
        <v>0</v>
      </c>
      <c r="G1149" s="120">
        <v>0</v>
      </c>
      <c r="H1149" s="71">
        <f>SUMIF(Adat!$AE:$AE,CONCATENATE(61,N1123,"093"),Adat!$E:$E)*-1</f>
        <v>0</v>
      </c>
      <c r="I1149" s="71"/>
      <c r="J1149" s="71"/>
      <c r="K1149" s="71">
        <f>SUMIF(Adat!$AE:$AE,CONCATENATE(60,N1123,"093"),Adat!$E:$E)*-1+H1149</f>
        <v>0</v>
      </c>
    </row>
    <row r="1150" spans="2:11" s="13" customFormat="1" ht="12.75" x14ac:dyDescent="0.2">
      <c r="B1150" s="160">
        <v>21</v>
      </c>
      <c r="C1150" s="79" t="s">
        <v>24</v>
      </c>
      <c r="D1150" s="79" t="s">
        <v>449</v>
      </c>
      <c r="E1150" s="120">
        <f>SUM(E1151:E1153)</f>
        <v>0</v>
      </c>
      <c r="F1150" s="120">
        <f t="shared" ref="F1150:G1150" si="275">SUM(F1151:F1153)</f>
        <v>0</v>
      </c>
      <c r="G1150" s="120">
        <f t="shared" si="275"/>
        <v>0</v>
      </c>
      <c r="H1150" s="121">
        <f>SUM(H1151:H1153)</f>
        <v>0</v>
      </c>
      <c r="I1150" s="121"/>
      <c r="J1150" s="121"/>
      <c r="K1150" s="121">
        <f t="shared" ref="K1150" si="276">SUM(K1151:K1153)</f>
        <v>0</v>
      </c>
    </row>
    <row r="1151" spans="2:11" s="13" customFormat="1" ht="12.75" x14ac:dyDescent="0.2">
      <c r="B1151" s="160">
        <v>22</v>
      </c>
      <c r="C1151" s="305" t="s">
        <v>1339</v>
      </c>
      <c r="D1151" s="82" t="s">
        <v>1340</v>
      </c>
      <c r="E1151" s="165"/>
      <c r="F1151" s="165"/>
      <c r="G1151" s="165"/>
      <c r="H1151" s="166">
        <f>SUMIF(Adat!$AC:$AC,CONCATENATE(61,N1123,"09211"),Adat!$E:$E)*-1</f>
        <v>0</v>
      </c>
      <c r="I1151" s="166"/>
      <c r="J1151" s="166"/>
      <c r="K1151" s="166">
        <f>SUMIF(Adat!$AC:$AC,CONCATENATE(60,N1123,"09211"),Adat!$E:$E)*-1+H1151</f>
        <v>0</v>
      </c>
    </row>
    <row r="1152" spans="2:11" s="13" customFormat="1" ht="12.75" x14ac:dyDescent="0.2">
      <c r="B1152" s="160">
        <v>23</v>
      </c>
      <c r="C1152" s="305" t="s">
        <v>1345</v>
      </c>
      <c r="D1152" s="82" t="s">
        <v>1346</v>
      </c>
      <c r="E1152" s="165"/>
      <c r="F1152" s="165"/>
      <c r="G1152" s="165"/>
      <c r="H1152" s="166">
        <f>SUMIF(Adat!$AC:$AC,CONCATENATE(61,N1123,"09241"),Adat!$E:$E)*-1</f>
        <v>0</v>
      </c>
      <c r="I1152" s="166"/>
      <c r="J1152" s="166"/>
      <c r="K1152" s="166">
        <f>SUMIF(Adat!$AC:$AC,CONCATENATE(60,N1123,"09241"),Adat!$E:$E)*-1+H1152</f>
        <v>0</v>
      </c>
    </row>
    <row r="1153" spans="2:15" s="13" customFormat="1" ht="12.75" x14ac:dyDescent="0.2">
      <c r="B1153" s="160">
        <v>24</v>
      </c>
      <c r="C1153" s="305" t="s">
        <v>1255</v>
      </c>
      <c r="D1153" s="82" t="s">
        <v>1347</v>
      </c>
      <c r="E1153" s="165"/>
      <c r="F1153" s="165"/>
      <c r="G1153" s="165"/>
      <c r="H1153" s="166">
        <f>SUMIF(Adat!$AC:$AC,CONCATENATE(61,N1123,"09251"),Adat!$E:$E)*-1</f>
        <v>0</v>
      </c>
      <c r="I1153" s="166"/>
      <c r="J1153" s="166"/>
      <c r="K1153" s="166">
        <f>SUMIF(Adat!$AC:$AC,CONCATENATE(60,N1123,"09251"),Adat!$E:$E)*-1+H1153</f>
        <v>0</v>
      </c>
    </row>
    <row r="1154" spans="2:15" s="13" customFormat="1" ht="12.75" x14ac:dyDescent="0.2">
      <c r="B1154" s="160">
        <v>25</v>
      </c>
      <c r="C1154" s="79" t="s">
        <v>33</v>
      </c>
      <c r="D1154" s="79" t="s">
        <v>330</v>
      </c>
      <c r="E1154" s="120">
        <f>SUM(E1155:E1157)</f>
        <v>0</v>
      </c>
      <c r="F1154" s="120">
        <f t="shared" ref="F1154:K1154" si="277">SUM(F1155:F1157)</f>
        <v>0</v>
      </c>
      <c r="G1154" s="120">
        <f t="shared" si="277"/>
        <v>0</v>
      </c>
      <c r="H1154" s="121">
        <f t="shared" si="277"/>
        <v>0</v>
      </c>
      <c r="I1154" s="121"/>
      <c r="J1154" s="121"/>
      <c r="K1154" s="121">
        <f t="shared" si="277"/>
        <v>0</v>
      </c>
    </row>
    <row r="1155" spans="2:15" s="13" customFormat="1" ht="12.75" x14ac:dyDescent="0.2">
      <c r="B1155" s="160">
        <v>26</v>
      </c>
      <c r="C1155" s="305" t="s">
        <v>1373</v>
      </c>
      <c r="D1155" s="82" t="s">
        <v>1374</v>
      </c>
      <c r="E1155" s="165"/>
      <c r="F1155" s="165"/>
      <c r="G1155" s="165"/>
      <c r="H1155" s="166">
        <f>SUMIF(Adat!$AC:$AC,CONCATENATE(61,N1123,"09511"),Adat!$E:$E)*-1</f>
        <v>0</v>
      </c>
      <c r="I1155" s="166"/>
      <c r="J1155" s="166"/>
      <c r="K1155" s="166">
        <f>SUMIF(Adat!$AC:$AC,CONCATENATE(60,N1123,"09511"),Adat!$E:$E)*-1+H1155</f>
        <v>0</v>
      </c>
    </row>
    <row r="1156" spans="2:15" s="13" customFormat="1" ht="12.75" x14ac:dyDescent="0.2">
      <c r="B1156" s="160">
        <v>27</v>
      </c>
      <c r="C1156" s="305" t="s">
        <v>1294</v>
      </c>
      <c r="D1156" s="82" t="s">
        <v>1375</v>
      </c>
      <c r="E1156" s="165"/>
      <c r="F1156" s="165"/>
      <c r="G1156" s="165"/>
      <c r="H1156" s="166">
        <f>SUMIF(Adat!$AC:$AC,CONCATENATE(61,N1123,"09521"),Adat!$E:$E)*-1</f>
        <v>0</v>
      </c>
      <c r="I1156" s="166"/>
      <c r="J1156" s="166"/>
      <c r="K1156" s="166">
        <f>SUMIF(Adat!$AC:$AC,CONCATENATE(60,N1123,"09521"),Adat!$E:$E)*-1+H1156</f>
        <v>0</v>
      </c>
    </row>
    <row r="1157" spans="2:15" s="13" customFormat="1" ht="12.75" x14ac:dyDescent="0.2">
      <c r="B1157" s="160">
        <v>28</v>
      </c>
      <c r="C1157" s="305" t="s">
        <v>1376</v>
      </c>
      <c r="D1157" s="82" t="s">
        <v>1377</v>
      </c>
      <c r="E1157" s="165"/>
      <c r="F1157" s="165"/>
      <c r="G1157" s="165"/>
      <c r="H1157" s="166">
        <f>SUMIF(Adat!$AC:$AC,CONCATENATE(61,N1123,"09531"),Adat!$E:$E)*-1</f>
        <v>0</v>
      </c>
      <c r="I1157" s="166"/>
      <c r="J1157" s="166"/>
      <c r="K1157" s="166">
        <f>SUMIF(Adat!$AC:$AC,CONCATENATE(60,N1123,"09531"),Adat!$E:$E)*-1+H1157</f>
        <v>0</v>
      </c>
    </row>
    <row r="1158" spans="2:15" s="13" customFormat="1" ht="12.75" x14ac:dyDescent="0.2">
      <c r="B1158" s="160">
        <v>29</v>
      </c>
      <c r="C1158" s="79" t="s">
        <v>36</v>
      </c>
      <c r="D1158" s="79" t="s">
        <v>331</v>
      </c>
      <c r="E1158" s="120">
        <v>0</v>
      </c>
      <c r="F1158" s="120">
        <v>0</v>
      </c>
      <c r="G1158" s="120">
        <v>0</v>
      </c>
      <c r="H1158" s="71">
        <f>SUMIF(Adat!$AE:$AE,CONCATENATE(61,N1123,"096"),Adat!$E:$E)*-1</f>
        <v>0</v>
      </c>
      <c r="I1158" s="71"/>
      <c r="J1158" s="71"/>
      <c r="K1158" s="71">
        <f>SUMIF(Adat!$AE:$AE,CONCATENATE(60,N1123,"096"),Adat!$E:$E)*-1+H1158</f>
        <v>0</v>
      </c>
    </row>
    <row r="1159" spans="2:15" s="13" customFormat="1" ht="12.75" x14ac:dyDescent="0.2">
      <c r="B1159" s="160">
        <v>30</v>
      </c>
      <c r="C1159" s="79" t="s">
        <v>38</v>
      </c>
      <c r="D1159" s="85" t="s">
        <v>332</v>
      </c>
      <c r="E1159" s="120">
        <v>0</v>
      </c>
      <c r="F1159" s="120">
        <v>0</v>
      </c>
      <c r="G1159" s="120">
        <v>0</v>
      </c>
      <c r="H1159" s="71">
        <f>SUMIF(Adat!$AE:$AE,CONCATENATE(61,N1123,"097"),Adat!$E:$E)*-1</f>
        <v>0</v>
      </c>
      <c r="I1159" s="71"/>
      <c r="J1159" s="71"/>
      <c r="K1159" s="71">
        <f>SUMIF(Adat!$AE:$AE,CONCATENATE(60,N1123,"097"),Adat!$E:$E)*-1+H1159</f>
        <v>0</v>
      </c>
    </row>
    <row r="1160" spans="2:15" s="13" customFormat="1" ht="12.75" x14ac:dyDescent="0.2">
      <c r="B1160" s="160">
        <v>31</v>
      </c>
      <c r="C1160" s="154" t="s">
        <v>352</v>
      </c>
      <c r="D1160" s="86" t="s">
        <v>1500</v>
      </c>
      <c r="E1160" s="120">
        <f>E1131+E1145+E1149+E1150+E1154+E1158+E1159</f>
        <v>0</v>
      </c>
      <c r="F1160" s="120">
        <f>F1131+F1145+F1149+F1150+F1154+F1158+F1159</f>
        <v>0</v>
      </c>
      <c r="G1160" s="120">
        <f>G1131+G1145+G1149+G1150+G1154+G1158+G1159</f>
        <v>0</v>
      </c>
      <c r="H1160" s="121">
        <f>H1131+H1145+H1149+H1150+H1154+H1158+H1159</f>
        <v>0</v>
      </c>
      <c r="I1160" s="121"/>
      <c r="J1160" s="121"/>
      <c r="K1160" s="121">
        <f>K1131+K1145+K1149+K1150+K1154+K1158+K1159</f>
        <v>0</v>
      </c>
    </row>
    <row r="1161" spans="2:15" s="13" customFormat="1" ht="12.75" x14ac:dyDescent="0.2">
      <c r="B1161" s="160">
        <v>32</v>
      </c>
      <c r="C1161" s="154" t="s">
        <v>358</v>
      </c>
      <c r="D1161" s="86" t="s">
        <v>333</v>
      </c>
      <c r="E1161" s="120">
        <f>SUM(E1162:E1164)</f>
        <v>0</v>
      </c>
      <c r="F1161" s="120">
        <f t="shared" ref="F1161" si="278">SUM(F1162:F1164)</f>
        <v>0</v>
      </c>
      <c r="G1161" s="120">
        <f>SUM(G1162:G1164)</f>
        <v>0</v>
      </c>
      <c r="H1161" s="121">
        <f t="shared" ref="H1161:K1161" si="279">SUM(H1162:H1164)</f>
        <v>0</v>
      </c>
      <c r="I1161" s="121"/>
      <c r="J1161" s="121"/>
      <c r="K1161" s="121">
        <f t="shared" si="279"/>
        <v>0</v>
      </c>
    </row>
    <row r="1162" spans="2:15" s="13" customFormat="1" ht="12.75" x14ac:dyDescent="0.2">
      <c r="B1162" s="160">
        <v>33</v>
      </c>
      <c r="C1162" s="305" t="s">
        <v>1274</v>
      </c>
      <c r="D1162" s="82" t="s">
        <v>1419</v>
      </c>
      <c r="E1162" s="165"/>
      <c r="F1162" s="165"/>
      <c r="G1162" s="165"/>
      <c r="H1162" s="166">
        <f>SUMIF(Adat!$AC:$AC,CONCATENATE(61,N1123,"0981311"),Adat!$E:$E)*-1</f>
        <v>0</v>
      </c>
      <c r="I1162" s="166"/>
      <c r="J1162" s="166"/>
      <c r="K1162" s="166">
        <f>SUMIF(Adat!$AC:$AC,CONCATENATE(60,N1123,"0981311"),Adat!$E:$E)*-1+H1162</f>
        <v>0</v>
      </c>
    </row>
    <row r="1163" spans="2:15" s="13" customFormat="1" ht="12.75" x14ac:dyDescent="0.2">
      <c r="B1163" s="160">
        <v>34</v>
      </c>
      <c r="C1163" s="305" t="s">
        <v>1420</v>
      </c>
      <c r="D1163" s="84" t="s">
        <v>1421</v>
      </c>
      <c r="E1163" s="165"/>
      <c r="F1163" s="165"/>
      <c r="G1163" s="165"/>
      <c r="H1163" s="166">
        <f>SUMIF(Adat!$AC:$AC,CONCATENATE(61,N1123,"0981321"),Adat!$E:$E)*-1</f>
        <v>0</v>
      </c>
      <c r="I1163" s="166"/>
      <c r="J1163" s="166"/>
      <c r="K1163" s="166">
        <f>SUMIF(Adat!$AC:$AC,CONCATENATE(60,N1123,"0981321"),Adat!$E:$E)*-1+H1163</f>
        <v>0</v>
      </c>
    </row>
    <row r="1164" spans="2:15" s="13" customFormat="1" ht="12.75" x14ac:dyDescent="0.2">
      <c r="B1164" s="160">
        <v>35</v>
      </c>
      <c r="C1164" s="319" t="s">
        <v>1275</v>
      </c>
      <c r="D1164" s="84" t="s">
        <v>1501</v>
      </c>
      <c r="E1164" s="165"/>
      <c r="F1164" s="165"/>
      <c r="G1164" s="165"/>
      <c r="H1164" s="166">
        <f>SUMIF(Adat!$AC:$AC,CONCATENATE(61,N1123,"098161"),Adat!$E:$E)*-1</f>
        <v>0</v>
      </c>
      <c r="I1164" s="166"/>
      <c r="J1164" s="166"/>
      <c r="K1164" s="166">
        <f>SUMIF(Adat!$AC:$AC,CONCATENATE(60,N1123,"098161"),Adat!$E:$E)*-1+H1164</f>
        <v>0</v>
      </c>
    </row>
    <row r="1165" spans="2:15" s="13" customFormat="1" ht="12.75" x14ac:dyDescent="0.2">
      <c r="B1165" s="160">
        <v>36</v>
      </c>
      <c r="C1165" s="154" t="s">
        <v>364</v>
      </c>
      <c r="D1165" s="159" t="s">
        <v>1502</v>
      </c>
      <c r="E1165" s="120">
        <f>E1160+E1161</f>
        <v>0</v>
      </c>
      <c r="F1165" s="120">
        <f t="shared" ref="F1165:G1165" si="280">F1160+F1161</f>
        <v>0</v>
      </c>
      <c r="G1165" s="120">
        <f t="shared" si="280"/>
        <v>0</v>
      </c>
      <c r="H1165" s="121">
        <f>H1160+H1161</f>
        <v>0</v>
      </c>
      <c r="I1165" s="121"/>
      <c r="J1165" s="121"/>
      <c r="K1165" s="121">
        <f>K1160+K1161</f>
        <v>0</v>
      </c>
    </row>
    <row r="1166" spans="2:15" x14ac:dyDescent="0.25">
      <c r="B1166" s="40"/>
      <c r="C1166" s="256"/>
      <c r="D1166" s="40"/>
      <c r="E1166" s="13"/>
      <c r="F1166" s="13"/>
      <c r="G1166" s="13"/>
      <c r="H1166" s="39"/>
      <c r="I1166" s="39"/>
      <c r="J1166" s="39"/>
      <c r="K1166" s="13"/>
      <c r="L1166" s="13"/>
      <c r="M1166" s="13"/>
      <c r="N1166" s="13"/>
      <c r="O1166" s="13"/>
    </row>
    <row r="1167" spans="2:15" x14ac:dyDescent="0.25">
      <c r="B1167" s="202" t="s">
        <v>1522</v>
      </c>
      <c r="C1167" s="260"/>
      <c r="D1167" s="260"/>
      <c r="E1167" s="13"/>
      <c r="F1167" s="13"/>
      <c r="G1167" s="13"/>
      <c r="H1167" s="260"/>
      <c r="I1167" s="260"/>
      <c r="J1167" s="260"/>
      <c r="K1167" s="13"/>
      <c r="L1167" s="13"/>
      <c r="M1167" s="13"/>
      <c r="N1167" s="13"/>
      <c r="O1167" s="13"/>
    </row>
    <row r="1168" spans="2:15" x14ac:dyDescent="0.25">
      <c r="B1168" s="40"/>
      <c r="C1168" s="256"/>
      <c r="D1168" s="40"/>
      <c r="E1168" s="13"/>
      <c r="F1168" s="13"/>
      <c r="G1168" s="13"/>
      <c r="H1168" s="39"/>
      <c r="I1168" s="39"/>
      <c r="J1168" s="39"/>
      <c r="K1168" s="13"/>
      <c r="L1168" s="13"/>
      <c r="M1168" s="13"/>
      <c r="N1168" s="13"/>
      <c r="O1168" s="13"/>
    </row>
    <row r="1169" spans="2:11" s="13" customFormat="1" ht="12.75" x14ac:dyDescent="0.2">
      <c r="B1169" s="77"/>
      <c r="C1169" s="77" t="s">
        <v>350</v>
      </c>
      <c r="D1169" s="77" t="s">
        <v>351</v>
      </c>
      <c r="E1169" s="77" t="s">
        <v>470</v>
      </c>
      <c r="F1169" s="77" t="s">
        <v>471</v>
      </c>
      <c r="G1169" s="77" t="s">
        <v>44</v>
      </c>
      <c r="H1169" s="77" t="s">
        <v>42</v>
      </c>
      <c r="I1169" s="77"/>
      <c r="J1169" s="77"/>
      <c r="K1169" s="77" t="s">
        <v>511</v>
      </c>
    </row>
    <row r="1170" spans="2:11" s="13" customFormat="1" ht="38.25" x14ac:dyDescent="0.2">
      <c r="B1170" s="68">
        <v>1</v>
      </c>
      <c r="C1170" s="78" t="s">
        <v>348</v>
      </c>
      <c r="D1170" s="78" t="s">
        <v>349</v>
      </c>
      <c r="E1170" s="69" t="str">
        <f>CONCATENATE(PAR!$H$12," évi 
teljesítés")</f>
        <v>2022. évi 
teljesítés</v>
      </c>
      <c r="F1170" s="69" t="str">
        <f>CONCATENATE(PAR!$H$11," évi 
teljesítés")</f>
        <v>2023. évi 
teljesítés</v>
      </c>
      <c r="G1170" s="69" t="str">
        <f>CONCATENATE(PAR!$H$10," évi 
teljesítés")</f>
        <v>2024. évi 
teljesítés</v>
      </c>
      <c r="H1170" s="163" t="str">
        <f>CONCATENATE(PAR!$H$3," évi
eredeti 
előirányzat")</f>
        <v>2025. évi
eredeti 
előirányzat</v>
      </c>
      <c r="I1170" s="163"/>
      <c r="J1170" s="163"/>
      <c r="K1170" s="163" t="str">
        <f>CONCATENATE(PAR!$H$3," évi
módosított 
előirányzat")</f>
        <v>2025. évi
módosított 
előirányzat</v>
      </c>
    </row>
    <row r="1171" spans="2:11" s="13" customFormat="1" ht="12.75" x14ac:dyDescent="0.2">
      <c r="B1171" s="160">
        <v>2</v>
      </c>
      <c r="C1171" s="78" t="s">
        <v>352</v>
      </c>
      <c r="D1171" s="92" t="s">
        <v>1444</v>
      </c>
      <c r="E1171" s="120">
        <f>SUM(E1172:E1176)</f>
        <v>0</v>
      </c>
      <c r="F1171" s="120">
        <f>SUM(F1172:F1176)</f>
        <v>0</v>
      </c>
      <c r="G1171" s="120">
        <f>SUM(G1172:G1176)</f>
        <v>0</v>
      </c>
      <c r="H1171" s="121">
        <f>SUM(H1172:H1176)</f>
        <v>0</v>
      </c>
      <c r="I1171" s="121"/>
      <c r="J1171" s="121"/>
      <c r="K1171" s="121">
        <f t="shared" ref="K1171" si="281">SUM(K1172:K1176)</f>
        <v>0</v>
      </c>
    </row>
    <row r="1172" spans="2:11" s="13" customFormat="1" ht="12.75" x14ac:dyDescent="0.2">
      <c r="B1172" s="160">
        <v>3</v>
      </c>
      <c r="C1172" s="305" t="s">
        <v>315</v>
      </c>
      <c r="D1172" s="93" t="s">
        <v>342</v>
      </c>
      <c r="E1172" s="165"/>
      <c r="F1172" s="165"/>
      <c r="G1172" s="285"/>
      <c r="H1172" s="72">
        <f>SUMIF(Adat!$AE:$AE,CONCATENATE(61,N1123,"051"),Adat!$E:$E)</f>
        <v>0</v>
      </c>
      <c r="I1172" s="72"/>
      <c r="J1172" s="72"/>
      <c r="K1172" s="72">
        <f>SUMIF(Adat!$AE:$AE,CONCATENATE(60,N1123,"051"),Adat!$E:$E)+H1172</f>
        <v>0</v>
      </c>
    </row>
    <row r="1173" spans="2:11" s="13" customFormat="1" ht="12.75" x14ac:dyDescent="0.2">
      <c r="B1173" s="160">
        <v>4</v>
      </c>
      <c r="C1173" s="305" t="s">
        <v>317</v>
      </c>
      <c r="D1173" s="93" t="s">
        <v>395</v>
      </c>
      <c r="E1173" s="165"/>
      <c r="F1173" s="165"/>
      <c r="G1173" s="285"/>
      <c r="H1173" s="72">
        <f>SUMIF(Adat!$AE:$AE,CONCATENATE(61,N1123,"052"),Adat!$E:$E)</f>
        <v>0</v>
      </c>
      <c r="I1173" s="72"/>
      <c r="J1173" s="72"/>
      <c r="K1173" s="72">
        <f>SUMIF(Adat!$AE:$AE,CONCATENATE(60,N1123,"052"),Adat!$E:$E)+H1173</f>
        <v>0</v>
      </c>
    </row>
    <row r="1174" spans="2:11" s="13" customFormat="1" ht="12.75" x14ac:dyDescent="0.2">
      <c r="B1174" s="160">
        <v>5</v>
      </c>
      <c r="C1174" s="305" t="s">
        <v>4</v>
      </c>
      <c r="D1174" s="93" t="s">
        <v>344</v>
      </c>
      <c r="E1174" s="165"/>
      <c r="F1174" s="165"/>
      <c r="G1174" s="285"/>
      <c r="H1174" s="72">
        <f>SUMIF(Adat!$AE:$AE,CONCATENATE(61,N1123,"053"),Adat!$E:$E)</f>
        <v>0</v>
      </c>
      <c r="I1174" s="72"/>
      <c r="J1174" s="72"/>
      <c r="K1174" s="72">
        <f>SUMIF(Adat!$AE:$AE,CONCATENATE(60,N1123,"053"),Adat!$E:$E)+H1174</f>
        <v>0</v>
      </c>
    </row>
    <row r="1175" spans="2:11" s="13" customFormat="1" ht="12.75" x14ac:dyDescent="0.2">
      <c r="B1175" s="160">
        <v>6</v>
      </c>
      <c r="C1175" s="305" t="s">
        <v>6</v>
      </c>
      <c r="D1175" s="93" t="s">
        <v>345</v>
      </c>
      <c r="E1175" s="165"/>
      <c r="F1175" s="165"/>
      <c r="G1175" s="285"/>
      <c r="H1175" s="72">
        <f>SUMIF(Adat!$AE:$AE,CONCATENATE(61,N1123,"054"),Adat!$E:$E)</f>
        <v>0</v>
      </c>
      <c r="I1175" s="72"/>
      <c r="J1175" s="72"/>
      <c r="K1175" s="72">
        <f>SUMIF(Adat!$AE:$AE,CONCATENATE(60,N1123,"054"),Adat!$E:$E)+H1175</f>
        <v>0</v>
      </c>
    </row>
    <row r="1176" spans="2:11" s="13" customFormat="1" ht="12.75" x14ac:dyDescent="0.2">
      <c r="B1176" s="160">
        <v>7</v>
      </c>
      <c r="C1176" s="305" t="s">
        <v>8</v>
      </c>
      <c r="D1176" s="93" t="s">
        <v>321</v>
      </c>
      <c r="E1176" s="165"/>
      <c r="F1176" s="165"/>
      <c r="G1176" s="285"/>
      <c r="H1176" s="72">
        <f>SUMIF(Adat!$AE:$AE,CONCATENATE(61,N1123,"055"),Adat!$E:$E)</f>
        <v>0</v>
      </c>
      <c r="I1176" s="72"/>
      <c r="J1176" s="72"/>
      <c r="K1176" s="72">
        <f>SUMIF(Adat!$AE:$AE,CONCATENATE(60,N1123,"055"),Adat!$E:$E)+H1176</f>
        <v>0</v>
      </c>
    </row>
    <row r="1177" spans="2:11" s="13" customFormat="1" ht="12.75" x14ac:dyDescent="0.2">
      <c r="B1177" s="160">
        <v>8</v>
      </c>
      <c r="C1177" s="78" t="s">
        <v>358</v>
      </c>
      <c r="D1177" s="92" t="s">
        <v>1447</v>
      </c>
      <c r="E1177" s="120">
        <f>SUM(E1178:E1180)</f>
        <v>0</v>
      </c>
      <c r="F1177" s="120">
        <f t="shared" ref="F1177:K1177" si="282">SUM(F1178:F1180)</f>
        <v>0</v>
      </c>
      <c r="G1177" s="120">
        <f t="shared" si="282"/>
        <v>0</v>
      </c>
      <c r="H1177" s="121">
        <f t="shared" si="282"/>
        <v>0</v>
      </c>
      <c r="I1177" s="121"/>
      <c r="J1177" s="121"/>
      <c r="K1177" s="121">
        <f t="shared" si="282"/>
        <v>0</v>
      </c>
    </row>
    <row r="1178" spans="2:11" s="13" customFormat="1" ht="12.75" x14ac:dyDescent="0.2">
      <c r="B1178" s="160">
        <v>9</v>
      </c>
      <c r="C1178" s="305" t="s">
        <v>10</v>
      </c>
      <c r="D1178" s="93" t="s">
        <v>322</v>
      </c>
      <c r="E1178" s="165"/>
      <c r="F1178" s="165"/>
      <c r="G1178" s="285"/>
      <c r="H1178" s="72">
        <f>SUMIF(Adat!$AE:$AE,CONCATENATE(61,N1123,"056"),Adat!$E:$E)</f>
        <v>0</v>
      </c>
      <c r="I1178" s="72"/>
      <c r="J1178" s="72"/>
      <c r="K1178" s="72">
        <f>SUMIF(Adat!$AE:$AE,CONCATENATE(60,N1123,"056"),Adat!$E:$E)+H1178</f>
        <v>0</v>
      </c>
    </row>
    <row r="1179" spans="2:11" s="13" customFormat="1" ht="12.75" x14ac:dyDescent="0.2">
      <c r="B1179" s="160">
        <v>10</v>
      </c>
      <c r="C1179" s="305" t="s">
        <v>12</v>
      </c>
      <c r="D1179" s="93" t="s">
        <v>323</v>
      </c>
      <c r="E1179" s="165"/>
      <c r="F1179" s="165"/>
      <c r="G1179" s="165"/>
      <c r="H1179" s="72">
        <f>SUMIF(Adat!$AE:$AE,CONCATENATE(61,N1123,"057"),Adat!$E:$E)</f>
        <v>0</v>
      </c>
      <c r="I1179" s="72"/>
      <c r="J1179" s="72"/>
      <c r="K1179" s="72">
        <f>SUMIF(Adat!$AE:$AE,CONCATENATE(60,N1123,"057"),Adat!$E:$E)+H1179</f>
        <v>0</v>
      </c>
    </row>
    <row r="1180" spans="2:11" s="13" customFormat="1" ht="12.75" x14ac:dyDescent="0.2">
      <c r="B1180" s="160">
        <v>11</v>
      </c>
      <c r="C1180" s="305" t="s">
        <v>15</v>
      </c>
      <c r="D1180" s="84" t="s">
        <v>324</v>
      </c>
      <c r="E1180" s="165"/>
      <c r="F1180" s="165"/>
      <c r="G1180" s="165"/>
      <c r="H1180" s="72">
        <f>SUMIF(Adat!$AE:$AE,CONCATENATE(61,N1123,"058"),Adat!$E:$E)</f>
        <v>0</v>
      </c>
      <c r="I1180" s="72"/>
      <c r="J1180" s="72"/>
      <c r="K1180" s="72">
        <f>SUMIF(Adat!$AE:$AE,CONCATENATE(60,N1123,"058"),Adat!$E:$E)+H1180</f>
        <v>0</v>
      </c>
    </row>
    <row r="1181" spans="2:11" s="13" customFormat="1" ht="12.75" x14ac:dyDescent="0.2">
      <c r="B1181" s="160">
        <v>12</v>
      </c>
      <c r="C1181" s="154" t="s">
        <v>364</v>
      </c>
      <c r="D1181" s="86" t="s">
        <v>325</v>
      </c>
      <c r="E1181" s="120">
        <v>0</v>
      </c>
      <c r="F1181" s="120">
        <v>0</v>
      </c>
      <c r="G1181" s="120">
        <v>0</v>
      </c>
      <c r="H1181" s="71">
        <f>SUMIF(Adat!$AE:$AE,CONCATENATE(61,N1123,"059"),Adat!$E:$E)</f>
        <v>0</v>
      </c>
      <c r="I1181" s="71"/>
      <c r="J1181" s="71"/>
      <c r="K1181" s="71">
        <f>SUMIF(Adat!$AE:$AE,CONCATENATE(60,N1123,"059"),Adat!$E:$E)+H1181</f>
        <v>0</v>
      </c>
    </row>
    <row r="1182" spans="2:11" s="13" customFormat="1" ht="12.75" x14ac:dyDescent="0.2">
      <c r="B1182" s="160">
        <v>13</v>
      </c>
      <c r="C1182" s="154" t="s">
        <v>403</v>
      </c>
      <c r="D1182" s="159" t="s">
        <v>497</v>
      </c>
      <c r="E1182" s="120">
        <f>E1171+E1177+E1181</f>
        <v>0</v>
      </c>
      <c r="F1182" s="120">
        <f>F1171+F1177+F1181</f>
        <v>0</v>
      </c>
      <c r="G1182" s="120">
        <f>G1171+G1177+G1181</f>
        <v>0</v>
      </c>
      <c r="H1182" s="121">
        <f>H1171+H1177+H1181</f>
        <v>0</v>
      </c>
      <c r="I1182" s="121"/>
      <c r="J1182" s="121"/>
      <c r="K1182" s="121">
        <f>K1171+K1177+K1181</f>
        <v>0</v>
      </c>
    </row>
    <row r="1184" spans="2:11" x14ac:dyDescent="0.25">
      <c r="E1184" s="372">
        <f t="shared" ref="E1184:H1184" si="283">E145-E133+E206+E267+E328+E389+E450+E511+E572+E633+E694+E755+E816+E877+E938+E999+E1060+E1121+E1182</f>
        <v>1300540362</v>
      </c>
      <c r="F1184" s="372">
        <f t="shared" si="283"/>
        <v>1272421693</v>
      </c>
      <c r="G1184" s="372">
        <f t="shared" si="283"/>
        <v>1643328260</v>
      </c>
      <c r="H1184" s="372">
        <f t="shared" si="283"/>
        <v>1668530568</v>
      </c>
      <c r="I1184" s="372"/>
      <c r="J1184" s="372"/>
      <c r="K1184" s="372">
        <f>K145-K133+K206+K267+K328+K389+K450+K511+K572+K633+K694+K755+K816+K877+K938+K999+K1060+K1121+K1182</f>
        <v>1655160752</v>
      </c>
    </row>
  </sheetData>
  <sheetProtection algorithmName="SHA-512" hashValue="iTl10pa7u1UJIqKMFUVyn+UpJSN+3jIjJ7wbcNQZRurZ2StJcMpLaVr2lRBALyVNo4bZItepL5Jc3zGexiBTnw==" saltValue="0WUu6JUmzU65jbd90+O9sQ==" spinCount="100000" sheet="1" objects="1" scenarios="1" formatCells="0" formatColumns="0" formatRows="0"/>
  <mergeCells count="56">
    <mergeCell ref="B1124:K1124"/>
    <mergeCell ref="B1125:K1125"/>
    <mergeCell ref="B1003:K1003"/>
    <mergeCell ref="B1062:K1062"/>
    <mergeCell ref="B1063:K1063"/>
    <mergeCell ref="B1064:K1064"/>
    <mergeCell ref="B1123:K1123"/>
    <mergeCell ref="B940:K940"/>
    <mergeCell ref="B941:K941"/>
    <mergeCell ref="B942:K942"/>
    <mergeCell ref="B1001:K1001"/>
    <mergeCell ref="B1002:K1002"/>
    <mergeCell ref="B819:K819"/>
    <mergeCell ref="B820:K820"/>
    <mergeCell ref="B879:K879"/>
    <mergeCell ref="B880:K880"/>
    <mergeCell ref="B881:K881"/>
    <mergeCell ref="B698:K698"/>
    <mergeCell ref="B757:K757"/>
    <mergeCell ref="B758:K758"/>
    <mergeCell ref="B759:K759"/>
    <mergeCell ref="B818:K818"/>
    <mergeCell ref="B635:K635"/>
    <mergeCell ref="B636:K636"/>
    <mergeCell ref="B637:K637"/>
    <mergeCell ref="B696:K696"/>
    <mergeCell ref="B697:K697"/>
    <mergeCell ref="B514:K514"/>
    <mergeCell ref="B515:K515"/>
    <mergeCell ref="B574:K574"/>
    <mergeCell ref="B575:K575"/>
    <mergeCell ref="B576:K576"/>
    <mergeCell ref="B393:K393"/>
    <mergeCell ref="B452:K452"/>
    <mergeCell ref="B453:K453"/>
    <mergeCell ref="B454:K454"/>
    <mergeCell ref="B513:K513"/>
    <mergeCell ref="B330:K330"/>
    <mergeCell ref="B331:K331"/>
    <mergeCell ref="B332:K332"/>
    <mergeCell ref="B391:K391"/>
    <mergeCell ref="B392:K392"/>
    <mergeCell ref="B147:K147"/>
    <mergeCell ref="B148:K148"/>
    <mergeCell ref="B149:K149"/>
    <mergeCell ref="B2:K2"/>
    <mergeCell ref="B3:K3"/>
    <mergeCell ref="B4:K4"/>
    <mergeCell ref="B5:K5"/>
    <mergeCell ref="B6:K6"/>
    <mergeCell ref="B208:K208"/>
    <mergeCell ref="B209:K209"/>
    <mergeCell ref="B210:K210"/>
    <mergeCell ref="B270:K270"/>
    <mergeCell ref="B271:K271"/>
    <mergeCell ref="B269:K26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7" fitToHeight="10" orientation="portrait" r:id="rId1"/>
  <headerFooter alignWithMargins="0"/>
  <rowBreaks count="5" manualBreakCount="5">
    <brk id="97" max="11" man="1"/>
    <brk id="145" max="11" man="1"/>
    <brk id="206" max="11" man="1"/>
    <brk id="267" max="11" man="1"/>
    <brk id="373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D9520-1F55-4243-B58B-82BCE561C798}">
  <sheetPr>
    <tabColor theme="7" tint="-0.249977111117893"/>
  </sheetPr>
  <dimension ref="B1:D55"/>
  <sheetViews>
    <sheetView showGridLines="0" view="pageBreakPreview" zoomScaleNormal="100" zoomScaleSheetLayoutView="100" workbookViewId="0">
      <pane ySplit="4" topLeftCell="A5" activePane="bottomLeft" state="frozen"/>
      <selection pane="bottomLeft" activeCell="G6" sqref="G6"/>
    </sheetView>
  </sheetViews>
  <sheetFormatPr defaultColWidth="9" defaultRowHeight="12.75" x14ac:dyDescent="0.2"/>
  <cols>
    <col min="1" max="1" width="0.875" style="290" customWidth="1"/>
    <col min="2" max="2" width="4.625" style="291" customWidth="1"/>
    <col min="3" max="3" width="53.75" style="290" customWidth="1"/>
    <col min="4" max="4" width="7.625" style="291" customWidth="1"/>
    <col min="5" max="5" width="0.875" style="290" customWidth="1"/>
    <col min="6" max="16384" width="9" style="290"/>
  </cols>
  <sheetData>
    <row r="1" spans="2:4" ht="5.0999999999999996" customHeight="1" x14ac:dyDescent="0.2"/>
    <row r="2" spans="2:4" s="362" customFormat="1" ht="24.75" x14ac:dyDescent="0.4">
      <c r="B2" s="460" t="s">
        <v>2586</v>
      </c>
      <c r="C2" s="461"/>
      <c r="D2" s="462"/>
    </row>
    <row r="3" spans="2:4" ht="5.0999999999999996" customHeight="1" x14ac:dyDescent="0.2"/>
    <row r="4" spans="2:4" x14ac:dyDescent="0.2">
      <c r="B4" s="292" t="s">
        <v>1314</v>
      </c>
      <c r="C4" s="292" t="s">
        <v>54</v>
      </c>
      <c r="D4" s="292" t="s">
        <v>671</v>
      </c>
    </row>
    <row r="5" spans="2:4" x14ac:dyDescent="0.2">
      <c r="B5" s="250">
        <v>1</v>
      </c>
      <c r="C5" s="251" t="str">
        <f>IF(PAR!E3&gt;0,PAR!E3,"")</f>
        <v>Nagymaros Város Önkormányzata</v>
      </c>
      <c r="D5" s="324" t="s">
        <v>2720</v>
      </c>
    </row>
    <row r="6" spans="2:4" x14ac:dyDescent="0.2">
      <c r="B6" s="250">
        <v>2</v>
      </c>
      <c r="C6" s="251" t="str">
        <f>IF(PAR!E4&gt;0,PAR!E4,"")</f>
        <v>Nagymarosi Polgármesteri Hivatal</v>
      </c>
      <c r="D6" s="324" t="s">
        <v>2721</v>
      </c>
    </row>
    <row r="7" spans="2:4" x14ac:dyDescent="0.2">
      <c r="B7" s="250">
        <v>3</v>
      </c>
      <c r="C7" s="251" t="str">
        <f>IF(PAR!E5&gt;0,PAR!E5,"")</f>
        <v>Nagymarosi Napköziotthonos Óvoda és Bölcsőde</v>
      </c>
      <c r="D7" s="324" t="s">
        <v>2722</v>
      </c>
    </row>
    <row r="8" spans="2:4" x14ac:dyDescent="0.2">
      <c r="B8" s="250">
        <v>4</v>
      </c>
      <c r="C8" s="251" t="str">
        <f>IF(PAR!E6&gt;0,PAR!E6,"")</f>
        <v>Gondozási Központ</v>
      </c>
      <c r="D8" s="324" t="s">
        <v>2723</v>
      </c>
    </row>
    <row r="9" spans="2:4" x14ac:dyDescent="0.2">
      <c r="B9" s="250">
        <v>5</v>
      </c>
      <c r="C9" s="251" t="str">
        <f>IF(PAR!E7&gt;0,PAR!E7,"")</f>
        <v>Nagymaros Városi Könyvtár és Művelődési Ház</v>
      </c>
      <c r="D9" s="324" t="s">
        <v>2724</v>
      </c>
    </row>
    <row r="10" spans="2:4" x14ac:dyDescent="0.2">
      <c r="B10" s="250">
        <v>6</v>
      </c>
      <c r="C10" s="251" t="str">
        <f>IF(PAR!E8&gt;0,PAR!E8,"")</f>
        <v/>
      </c>
      <c r="D10" s="324"/>
    </row>
    <row r="11" spans="2:4" x14ac:dyDescent="0.2">
      <c r="B11" s="250">
        <v>7</v>
      </c>
      <c r="C11" s="251" t="str">
        <f>IF(PAR!E9&gt;0,PAR!E9,"")</f>
        <v/>
      </c>
      <c r="D11" s="324"/>
    </row>
    <row r="12" spans="2:4" x14ac:dyDescent="0.2">
      <c r="B12" s="250">
        <v>8</v>
      </c>
      <c r="C12" s="251" t="str">
        <f>IF(PAR!E10&gt;0,PAR!E10,"")</f>
        <v/>
      </c>
      <c r="D12" s="324"/>
    </row>
    <row r="13" spans="2:4" x14ac:dyDescent="0.2">
      <c r="B13" s="250">
        <v>9</v>
      </c>
      <c r="C13" s="251" t="str">
        <f>IF(PAR!E11&gt;0,PAR!E11,"")</f>
        <v/>
      </c>
      <c r="D13" s="324"/>
    </row>
    <row r="14" spans="2:4" x14ac:dyDescent="0.2">
      <c r="B14" s="250">
        <v>10</v>
      </c>
      <c r="C14" s="251" t="str">
        <f>IF(PAR!E12&gt;0,PAR!E12,"")</f>
        <v/>
      </c>
      <c r="D14" s="324"/>
    </row>
    <row r="15" spans="2:4" x14ac:dyDescent="0.2">
      <c r="B15" s="250">
        <v>11</v>
      </c>
      <c r="C15" s="251" t="str">
        <f>IF(PAR!E13&gt;0,PAR!E13,"")</f>
        <v/>
      </c>
      <c r="D15" s="324"/>
    </row>
    <row r="16" spans="2:4" x14ac:dyDescent="0.2">
      <c r="B16" s="250">
        <v>12</v>
      </c>
      <c r="C16" s="251" t="str">
        <f>IF(PAR!E14&gt;0,PAR!E14,"")</f>
        <v/>
      </c>
      <c r="D16" s="324"/>
    </row>
    <row r="17" spans="2:4" x14ac:dyDescent="0.2">
      <c r="B17" s="250">
        <v>13</v>
      </c>
      <c r="C17" s="251" t="str">
        <f>IF(PAR!E15&gt;0,PAR!E15,"")</f>
        <v/>
      </c>
      <c r="D17" s="324"/>
    </row>
    <row r="18" spans="2:4" x14ac:dyDescent="0.2">
      <c r="B18" s="250">
        <v>14</v>
      </c>
      <c r="C18" s="251" t="str">
        <f>IF(PAR!E16&gt;0,PAR!E16,"")</f>
        <v/>
      </c>
      <c r="D18" s="324"/>
    </row>
    <row r="19" spans="2:4" x14ac:dyDescent="0.2">
      <c r="B19" s="250">
        <v>15</v>
      </c>
      <c r="C19" s="251" t="str">
        <f>IF(PAR!E17&gt;0,PAR!E17,"")</f>
        <v/>
      </c>
      <c r="D19" s="324"/>
    </row>
    <row r="20" spans="2:4" x14ac:dyDescent="0.2">
      <c r="B20" s="250">
        <v>16</v>
      </c>
      <c r="C20" s="251" t="str">
        <f>IF(PAR!E18&gt;0,PAR!E18,"")</f>
        <v/>
      </c>
      <c r="D20" s="324"/>
    </row>
    <row r="21" spans="2:4" x14ac:dyDescent="0.2">
      <c r="B21" s="250">
        <v>17</v>
      </c>
      <c r="C21" s="251" t="str">
        <f>IF(PAR!E19&gt;0,PAR!E19,"")</f>
        <v/>
      </c>
      <c r="D21" s="324"/>
    </row>
    <row r="22" spans="2:4" x14ac:dyDescent="0.2">
      <c r="B22" s="250">
        <v>18</v>
      </c>
      <c r="C22" s="251" t="str">
        <f>IF(PAR!E20&gt;0,PAR!E20,"")</f>
        <v/>
      </c>
      <c r="D22" s="324"/>
    </row>
    <row r="23" spans="2:4" x14ac:dyDescent="0.2">
      <c r="B23" s="250">
        <v>19</v>
      </c>
      <c r="C23" s="251" t="str">
        <f>IF(PAR!E21&gt;0,PAR!E21,"")</f>
        <v/>
      </c>
      <c r="D23" s="324"/>
    </row>
    <row r="24" spans="2:4" x14ac:dyDescent="0.2">
      <c r="B24" s="250">
        <v>20</v>
      </c>
      <c r="C24" s="251" t="str">
        <f>IF(PAR!E22&gt;0,PAR!E22,"")</f>
        <v/>
      </c>
      <c r="D24" s="324"/>
    </row>
    <row r="25" spans="2:4" x14ac:dyDescent="0.2">
      <c r="B25" s="250">
        <v>21</v>
      </c>
      <c r="C25" s="251" t="str">
        <f>IF(PAR!E23&gt;0,PAR!E23,"")</f>
        <v/>
      </c>
      <c r="D25" s="324"/>
    </row>
    <row r="26" spans="2:4" x14ac:dyDescent="0.2">
      <c r="B26" s="250">
        <v>22</v>
      </c>
      <c r="C26" s="251" t="str">
        <f>IF(PAR!E24&gt;0,PAR!E24,"")</f>
        <v/>
      </c>
      <c r="D26" s="324"/>
    </row>
    <row r="27" spans="2:4" x14ac:dyDescent="0.2">
      <c r="B27" s="250">
        <v>23</v>
      </c>
      <c r="C27" s="251" t="str">
        <f>IF(PAR!E25&gt;0,PAR!E25,"")</f>
        <v/>
      </c>
      <c r="D27" s="324"/>
    </row>
    <row r="28" spans="2:4" x14ac:dyDescent="0.2">
      <c r="B28" s="250">
        <v>24</v>
      </c>
      <c r="C28" s="251" t="str">
        <f>IF(PAR!E26&gt;0,PAR!E26,"")</f>
        <v/>
      </c>
      <c r="D28" s="324"/>
    </row>
    <row r="29" spans="2:4" x14ac:dyDescent="0.2">
      <c r="B29" s="250">
        <v>25</v>
      </c>
      <c r="C29" s="251" t="str">
        <f>IF(PAR!E27&gt;0,PAR!E27,"")</f>
        <v/>
      </c>
      <c r="D29" s="324"/>
    </row>
    <row r="30" spans="2:4" x14ac:dyDescent="0.2">
      <c r="B30" s="250">
        <v>26</v>
      </c>
      <c r="C30" s="251" t="str">
        <f>IF(PAR!E28&gt;0,PAR!E28,"")</f>
        <v/>
      </c>
      <c r="D30" s="324"/>
    </row>
    <row r="31" spans="2:4" x14ac:dyDescent="0.2">
      <c r="B31" s="250">
        <v>27</v>
      </c>
      <c r="C31" s="251" t="str">
        <f>IF(PAR!E29&gt;0,PAR!E29,"")</f>
        <v/>
      </c>
      <c r="D31" s="324"/>
    </row>
    <row r="32" spans="2:4" x14ac:dyDescent="0.2">
      <c r="B32" s="250">
        <v>28</v>
      </c>
      <c r="C32" s="251" t="str">
        <f>IF(PAR!E30&gt;0,PAR!E30,"")</f>
        <v/>
      </c>
      <c r="D32" s="324"/>
    </row>
    <row r="33" spans="2:4" x14ac:dyDescent="0.2">
      <c r="B33" s="250">
        <v>29</v>
      </c>
      <c r="C33" s="251" t="str">
        <f>IF(PAR!E31&gt;0,PAR!E31,"")</f>
        <v/>
      </c>
      <c r="D33" s="324"/>
    </row>
    <row r="34" spans="2:4" x14ac:dyDescent="0.2">
      <c r="B34" s="250">
        <v>30</v>
      </c>
      <c r="C34" s="251" t="str">
        <f>IF(PAR!E32&gt;0,PAR!E32,"")</f>
        <v/>
      </c>
      <c r="D34" s="324"/>
    </row>
    <row r="35" spans="2:4" x14ac:dyDescent="0.2">
      <c r="B35" s="250">
        <v>31</v>
      </c>
      <c r="C35" s="251" t="str">
        <f>IF(PAR!E33&gt;0,PAR!E33,"")</f>
        <v/>
      </c>
      <c r="D35" s="324"/>
    </row>
    <row r="36" spans="2:4" x14ac:dyDescent="0.2">
      <c r="B36" s="250">
        <v>32</v>
      </c>
      <c r="C36" s="251" t="str">
        <f>IF(PAR!E34&gt;0,PAR!E34,"")</f>
        <v/>
      </c>
      <c r="D36" s="324"/>
    </row>
    <row r="37" spans="2:4" x14ac:dyDescent="0.2">
      <c r="B37" s="250">
        <v>33</v>
      </c>
      <c r="C37" s="251" t="str">
        <f>IF(PAR!E35&gt;0,PAR!E35,"")</f>
        <v/>
      </c>
      <c r="D37" s="324"/>
    </row>
    <row r="38" spans="2:4" x14ac:dyDescent="0.2">
      <c r="B38" s="250">
        <v>34</v>
      </c>
      <c r="C38" s="251" t="str">
        <f>IF(PAR!E36&gt;0,PAR!E36,"")</f>
        <v/>
      </c>
      <c r="D38" s="324"/>
    </row>
    <row r="39" spans="2:4" x14ac:dyDescent="0.2">
      <c r="B39" s="250">
        <v>35</v>
      </c>
      <c r="C39" s="251" t="str">
        <f>IF(PAR!E37&gt;0,PAR!E37,"")</f>
        <v/>
      </c>
      <c r="D39" s="324"/>
    </row>
    <row r="40" spans="2:4" x14ac:dyDescent="0.2">
      <c r="B40" s="250">
        <v>36</v>
      </c>
      <c r="C40" s="251" t="str">
        <f>IF(PAR!E38&gt;0,PAR!E38,"")</f>
        <v/>
      </c>
      <c r="D40" s="324"/>
    </row>
    <row r="41" spans="2:4" x14ac:dyDescent="0.2">
      <c r="B41" s="250">
        <v>37</v>
      </c>
      <c r="C41" s="251" t="str">
        <f>IF(PAR!E39&gt;0,PAR!E39,"")</f>
        <v/>
      </c>
      <c r="D41" s="324"/>
    </row>
    <row r="42" spans="2:4" x14ac:dyDescent="0.2">
      <c r="B42" s="250">
        <v>38</v>
      </c>
      <c r="C42" s="251" t="str">
        <f>IF(PAR!E40&gt;0,PAR!E40,"")</f>
        <v/>
      </c>
      <c r="D42" s="324"/>
    </row>
    <row r="43" spans="2:4" x14ac:dyDescent="0.2">
      <c r="B43" s="250">
        <v>39</v>
      </c>
      <c r="C43" s="251" t="str">
        <f>IF(PAR!E41&gt;0,PAR!E41,"")</f>
        <v/>
      </c>
      <c r="D43" s="324"/>
    </row>
    <row r="44" spans="2:4" x14ac:dyDescent="0.2">
      <c r="B44" s="250">
        <v>40</v>
      </c>
      <c r="C44" s="251" t="str">
        <f>IF(PAR!E42&gt;0,PAR!E42,"")</f>
        <v/>
      </c>
      <c r="D44" s="324"/>
    </row>
    <row r="45" spans="2:4" x14ac:dyDescent="0.2">
      <c r="B45" s="250">
        <v>41</v>
      </c>
      <c r="C45" s="251" t="str">
        <f>IF(PAR!E43&gt;0,PAR!E43,"")</f>
        <v/>
      </c>
      <c r="D45" s="324"/>
    </row>
    <row r="46" spans="2:4" x14ac:dyDescent="0.2">
      <c r="B46" s="250">
        <v>42</v>
      </c>
      <c r="C46" s="251" t="str">
        <f>IF(PAR!E44&gt;0,PAR!E44,"")</f>
        <v/>
      </c>
      <c r="D46" s="324"/>
    </row>
    <row r="47" spans="2:4" x14ac:dyDescent="0.2">
      <c r="B47" s="250">
        <v>43</v>
      </c>
      <c r="C47" s="251" t="str">
        <f>IF(PAR!E45&gt;0,PAR!E45,"")</f>
        <v/>
      </c>
      <c r="D47" s="324"/>
    </row>
    <row r="48" spans="2:4" x14ac:dyDescent="0.2">
      <c r="B48" s="250">
        <v>44</v>
      </c>
      <c r="C48" s="251" t="str">
        <f>IF(PAR!E46&gt;0,PAR!E46,"")</f>
        <v/>
      </c>
      <c r="D48" s="324"/>
    </row>
    <row r="49" spans="2:4" x14ac:dyDescent="0.2">
      <c r="B49" s="250">
        <v>45</v>
      </c>
      <c r="C49" s="251" t="str">
        <f>IF(PAR!E47&gt;0,PAR!E47,"")</f>
        <v/>
      </c>
      <c r="D49" s="324"/>
    </row>
    <row r="50" spans="2:4" x14ac:dyDescent="0.2">
      <c r="B50" s="250">
        <v>46</v>
      </c>
      <c r="C50" s="251" t="str">
        <f>IF(PAR!E48&gt;0,PAR!E48,"")</f>
        <v/>
      </c>
      <c r="D50" s="324"/>
    </row>
    <row r="51" spans="2:4" x14ac:dyDescent="0.2">
      <c r="B51" s="250">
        <v>47</v>
      </c>
      <c r="C51" s="251" t="str">
        <f>IF(PAR!E49&gt;0,PAR!E49,"")</f>
        <v/>
      </c>
      <c r="D51" s="324"/>
    </row>
    <row r="52" spans="2:4" x14ac:dyDescent="0.2">
      <c r="B52" s="250">
        <v>48</v>
      </c>
      <c r="C52" s="251" t="str">
        <f>IF(PAR!E50&gt;0,PAR!E50,"")</f>
        <v/>
      </c>
      <c r="D52" s="324"/>
    </row>
    <row r="53" spans="2:4" x14ac:dyDescent="0.2">
      <c r="B53" s="250">
        <v>49</v>
      </c>
      <c r="C53" s="251" t="str">
        <f>IF(PAR!E51&gt;0,PAR!E51,"")</f>
        <v/>
      </c>
      <c r="D53" s="324"/>
    </row>
    <row r="54" spans="2:4" x14ac:dyDescent="0.2">
      <c r="B54" s="250">
        <v>50</v>
      </c>
      <c r="C54" s="251" t="str">
        <f>IF(PAR!E52&gt;0,PAR!E52,"")</f>
        <v/>
      </c>
      <c r="D54" s="324"/>
    </row>
    <row r="55" spans="2:4" x14ac:dyDescent="0.2">
      <c r="B55" s="250">
        <v>51</v>
      </c>
      <c r="C55" s="251" t="str">
        <f>IF(PAR!E53&gt;0,PAR!E53,"")</f>
        <v/>
      </c>
      <c r="D55" s="324"/>
    </row>
  </sheetData>
  <sheetProtection algorithmName="SHA-512" hashValue="k3vT6BRihec6KCmWkIoZH9hOmsFSLo7/9qy7iSvB0En00C3cyDtaZGhag4KkzDetY9GZfr1fOaWgkwLyXcoMyw==" saltValue="chUZa6Ey4erURwJAtnIyRg==" spinCount="100000" sheet="1" objects="1" scenarios="1" formatCells="0" formatColumns="0" formatRows="0"/>
  <mergeCells count="1">
    <mergeCell ref="B2:D2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Munka44">
    <tabColor theme="4" tint="-0.249977111117893"/>
    <pageSetUpPr fitToPage="1"/>
  </sheetPr>
  <dimension ref="B1:L73"/>
  <sheetViews>
    <sheetView view="pageBreakPreview" topLeftCell="A9" zoomScaleSheetLayoutView="100" workbookViewId="0">
      <selection activeCell="H46" sqref="H46"/>
    </sheetView>
  </sheetViews>
  <sheetFormatPr defaultColWidth="9" defaultRowHeight="12.75" x14ac:dyDescent="0.25"/>
  <cols>
    <col min="1" max="1" width="0.875" style="22" customWidth="1"/>
    <col min="2" max="2" width="5.625" style="22" customWidth="1"/>
    <col min="3" max="3" width="5.125" style="23" customWidth="1"/>
    <col min="4" max="4" width="35.125" style="22" customWidth="1"/>
    <col min="5" max="11" width="12.625" style="22" customWidth="1"/>
    <col min="12" max="12" width="0.875" style="22" customWidth="1"/>
    <col min="13" max="16384" width="9" style="22"/>
  </cols>
  <sheetData>
    <row r="1" spans="2:12" ht="6" customHeight="1" x14ac:dyDescent="0.25"/>
    <row r="2" spans="2:12" s="37" customFormat="1" ht="15.75" customHeight="1" x14ac:dyDescent="0.25">
      <c r="B2" s="513" t="str">
        <f>CONCATENATE(Index!C37," a(z) ",Index!E16," önkormányzati rendelethez")</f>
        <v>18. melléklet a(z) .../2025. (...) önkormányzati rendelethez</v>
      </c>
      <c r="C2" s="513"/>
      <c r="D2" s="513"/>
      <c r="E2" s="513"/>
      <c r="F2" s="513"/>
      <c r="G2" s="513"/>
      <c r="H2" s="513"/>
      <c r="I2" s="513"/>
      <c r="J2" s="513"/>
      <c r="K2" s="513"/>
    </row>
    <row r="3" spans="2:12" s="37" customFormat="1" ht="15.75" customHeight="1" x14ac:dyDescent="0.25">
      <c r="B3" s="538"/>
      <c r="C3" s="538"/>
      <c r="D3" s="538"/>
      <c r="E3" s="538"/>
      <c r="F3" s="538"/>
      <c r="G3" s="538"/>
      <c r="H3" s="538"/>
      <c r="I3" s="538"/>
      <c r="J3" s="538"/>
      <c r="K3" s="538"/>
    </row>
    <row r="4" spans="2:12" s="37" customFormat="1" ht="15.75" customHeight="1" x14ac:dyDescent="0.25">
      <c r="B4" s="514" t="str">
        <f>PAR!E3</f>
        <v>Nagymaros Város Önkormányzata</v>
      </c>
      <c r="C4" s="514"/>
      <c r="D4" s="514"/>
      <c r="E4" s="514"/>
      <c r="F4" s="514"/>
      <c r="G4" s="514"/>
      <c r="H4" s="514"/>
      <c r="I4" s="514"/>
      <c r="J4" s="514"/>
      <c r="K4" s="514"/>
    </row>
    <row r="5" spans="2:12" s="37" customFormat="1" ht="15.75" customHeight="1" x14ac:dyDescent="0.25">
      <c r="B5" s="514" t="s">
        <v>613</v>
      </c>
      <c r="C5" s="514"/>
      <c r="D5" s="514"/>
      <c r="E5" s="514"/>
      <c r="F5" s="514"/>
      <c r="G5" s="514"/>
      <c r="H5" s="514"/>
      <c r="I5" s="514"/>
      <c r="J5" s="514"/>
      <c r="K5" s="514"/>
    </row>
    <row r="6" spans="2:12" s="37" customFormat="1" ht="15.75" customHeight="1" x14ac:dyDescent="0.25">
      <c r="B6" s="515" t="s">
        <v>337</v>
      </c>
      <c r="C6" s="515"/>
      <c r="D6" s="515"/>
      <c r="E6" s="515"/>
      <c r="F6" s="515"/>
      <c r="G6" s="515"/>
      <c r="H6" s="515"/>
      <c r="I6" s="515"/>
      <c r="J6" s="515"/>
      <c r="K6" s="515"/>
    </row>
    <row r="7" spans="2:12" s="37" customFormat="1" ht="15.75" customHeight="1" x14ac:dyDescent="0.25">
      <c r="B7" s="118"/>
      <c r="C7" s="118"/>
      <c r="D7" s="118"/>
      <c r="E7" s="118"/>
      <c r="F7" s="118"/>
      <c r="G7" s="118"/>
      <c r="H7" s="118"/>
      <c r="I7" s="118"/>
      <c r="J7" s="118"/>
      <c r="K7" s="118"/>
    </row>
    <row r="8" spans="2:12" s="38" customFormat="1" ht="15.75" customHeight="1" x14ac:dyDescent="0.25">
      <c r="B8" s="537" t="s">
        <v>658</v>
      </c>
      <c r="C8" s="537"/>
      <c r="D8" s="537"/>
      <c r="E8" s="537"/>
      <c r="F8" s="537"/>
      <c r="G8" s="537"/>
      <c r="H8" s="537"/>
      <c r="I8" s="537"/>
      <c r="J8" s="537"/>
      <c r="K8" s="537"/>
    </row>
    <row r="9" spans="2:12" s="37" customFormat="1" ht="15.75" x14ac:dyDescent="0.25">
      <c r="C9" s="118"/>
      <c r="K9" s="169"/>
    </row>
    <row r="10" spans="2:12" x14ac:dyDescent="0.2">
      <c r="B10" s="108"/>
      <c r="C10" s="108" t="s">
        <v>350</v>
      </c>
      <c r="D10" s="108" t="s">
        <v>351</v>
      </c>
      <c r="E10" s="108" t="s">
        <v>470</v>
      </c>
      <c r="F10" s="108" t="s">
        <v>471</v>
      </c>
      <c r="G10" s="108" t="s">
        <v>44</v>
      </c>
      <c r="H10" s="108" t="s">
        <v>42</v>
      </c>
      <c r="I10" s="108" t="s">
        <v>511</v>
      </c>
      <c r="J10" s="108" t="s">
        <v>512</v>
      </c>
      <c r="K10" s="170" t="s">
        <v>591</v>
      </c>
    </row>
    <row r="11" spans="2:12" s="49" customFormat="1" ht="38.25" x14ac:dyDescent="0.25">
      <c r="B11" s="108">
        <v>1</v>
      </c>
      <c r="C11" s="107" t="s">
        <v>348</v>
      </c>
      <c r="D11" s="107" t="s">
        <v>618</v>
      </c>
      <c r="E11" s="107" t="s">
        <v>614</v>
      </c>
      <c r="F11" s="107" t="str">
        <f>CONCATENATE(PAR!$H$3," előtti kifizetés")</f>
        <v>2025. előtti kifizetés</v>
      </c>
      <c r="G11" s="107" t="str">
        <f>CONCATENATE(PAR!$H$3," évi 
tervezett 
kifizetés")</f>
        <v>2025. évi 
tervezett 
kifizetés</v>
      </c>
      <c r="H11" s="107" t="str">
        <f>CONCATENATE(PAR!$H$7," évi 
tervezett 
kifizetés")</f>
        <v>2026. évi 
tervezett 
kifizetés</v>
      </c>
      <c r="I11" s="107" t="str">
        <f>CONCATENATE(PAR!$H$8," évi 
tervezett 
kifizetés")</f>
        <v>2027. évi 
tervezett 
kifizetés</v>
      </c>
      <c r="J11" s="107" t="str">
        <f>CONCATENATE(PAR!$H$8," után tervezett 
kifizetés")</f>
        <v>2027. után tervezett 
kifizetés</v>
      </c>
      <c r="K11" s="107" t="s">
        <v>474</v>
      </c>
    </row>
    <row r="12" spans="2:12" x14ac:dyDescent="0.25">
      <c r="B12" s="108">
        <v>2</v>
      </c>
      <c r="C12" s="108">
        <v>1</v>
      </c>
      <c r="D12" s="109"/>
      <c r="E12" s="165"/>
      <c r="F12" s="165"/>
      <c r="G12" s="165"/>
      <c r="H12" s="165"/>
      <c r="I12" s="165"/>
      <c r="J12" s="165"/>
      <c r="K12" s="165">
        <f>SUM(F12:J12)</f>
        <v>0</v>
      </c>
    </row>
    <row r="13" spans="2:12" x14ac:dyDescent="0.25">
      <c r="B13" s="108">
        <v>3</v>
      </c>
      <c r="C13" s="108">
        <v>2</v>
      </c>
      <c r="D13" s="109"/>
      <c r="E13" s="165"/>
      <c r="F13" s="165"/>
      <c r="G13" s="165"/>
      <c r="H13" s="165"/>
      <c r="I13" s="165"/>
      <c r="J13" s="165"/>
      <c r="K13" s="165">
        <f>SUM(F13:J13)</f>
        <v>0</v>
      </c>
      <c r="L13" s="516"/>
    </row>
    <row r="14" spans="2:12" x14ac:dyDescent="0.25">
      <c r="B14" s="108">
        <v>4</v>
      </c>
      <c r="C14" s="108">
        <v>3</v>
      </c>
      <c r="D14" s="109"/>
      <c r="E14" s="165"/>
      <c r="F14" s="165"/>
      <c r="G14" s="165"/>
      <c r="H14" s="165"/>
      <c r="I14" s="165"/>
      <c r="J14" s="165"/>
      <c r="K14" s="165">
        <f t="shared" ref="K14:K16" si="0">SUM(F14:J14)</f>
        <v>0</v>
      </c>
      <c r="L14" s="516"/>
    </row>
    <row r="15" spans="2:12" x14ac:dyDescent="0.25">
      <c r="B15" s="108">
        <v>5</v>
      </c>
      <c r="C15" s="108">
        <v>4</v>
      </c>
      <c r="D15" s="109"/>
      <c r="E15" s="165"/>
      <c r="F15" s="165"/>
      <c r="G15" s="165"/>
      <c r="H15" s="165"/>
      <c r="I15" s="165"/>
      <c r="J15" s="165"/>
      <c r="K15" s="165">
        <f t="shared" si="0"/>
        <v>0</v>
      </c>
      <c r="L15" s="516"/>
    </row>
    <row r="16" spans="2:12" x14ac:dyDescent="0.25">
      <c r="B16" s="108">
        <v>6</v>
      </c>
      <c r="C16" s="108">
        <v>5</v>
      </c>
      <c r="D16" s="109"/>
      <c r="E16" s="165"/>
      <c r="F16" s="165"/>
      <c r="G16" s="165"/>
      <c r="H16" s="165"/>
      <c r="I16" s="165"/>
      <c r="J16" s="165"/>
      <c r="K16" s="165">
        <f t="shared" si="0"/>
        <v>0</v>
      </c>
      <c r="L16" s="516"/>
    </row>
    <row r="17" spans="2:12" x14ac:dyDescent="0.25">
      <c r="B17" s="108">
        <v>7</v>
      </c>
      <c r="C17" s="107">
        <v>6</v>
      </c>
      <c r="D17" s="111" t="s">
        <v>474</v>
      </c>
      <c r="E17" s="120"/>
      <c r="F17" s="120">
        <f t="shared" ref="F17:J17" si="1">SUM(F12:F16)</f>
        <v>0</v>
      </c>
      <c r="G17" s="120">
        <f t="shared" si="1"/>
        <v>0</v>
      </c>
      <c r="H17" s="120">
        <f t="shared" si="1"/>
        <v>0</v>
      </c>
      <c r="I17" s="120">
        <f t="shared" si="1"/>
        <v>0</v>
      </c>
      <c r="J17" s="120">
        <f t="shared" si="1"/>
        <v>0</v>
      </c>
      <c r="K17" s="120">
        <f>SUM(K12:K16)</f>
        <v>0</v>
      </c>
      <c r="L17" s="516"/>
    </row>
    <row r="18" spans="2:12" s="37" customFormat="1" ht="15.75" customHeight="1" x14ac:dyDescent="0.25"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516"/>
    </row>
    <row r="19" spans="2:12" s="38" customFormat="1" ht="15.75" customHeight="1" x14ac:dyDescent="0.25">
      <c r="B19" s="537" t="s">
        <v>659</v>
      </c>
      <c r="C19" s="537"/>
      <c r="D19" s="537"/>
      <c r="E19" s="537"/>
      <c r="F19" s="537"/>
      <c r="G19" s="537"/>
      <c r="H19" s="537"/>
      <c r="I19" s="537"/>
      <c r="J19" s="537"/>
      <c r="K19" s="537"/>
      <c r="L19" s="516"/>
    </row>
    <row r="20" spans="2:12" s="37" customFormat="1" ht="15.75" x14ac:dyDescent="0.25">
      <c r="C20" s="118"/>
      <c r="K20" s="169"/>
      <c r="L20" s="516"/>
    </row>
    <row r="21" spans="2:12" x14ac:dyDescent="0.2">
      <c r="B21" s="108"/>
      <c r="C21" s="108" t="s">
        <v>350</v>
      </c>
      <c r="D21" s="108" t="s">
        <v>351</v>
      </c>
      <c r="E21" s="108" t="s">
        <v>470</v>
      </c>
      <c r="F21" s="108" t="s">
        <v>471</v>
      </c>
      <c r="G21" s="108" t="s">
        <v>44</v>
      </c>
      <c r="H21" s="108" t="s">
        <v>42</v>
      </c>
      <c r="I21" s="108" t="s">
        <v>511</v>
      </c>
      <c r="J21" s="108" t="s">
        <v>512</v>
      </c>
      <c r="K21" s="170" t="s">
        <v>591</v>
      </c>
      <c r="L21" s="516"/>
    </row>
    <row r="22" spans="2:12" ht="38.25" x14ac:dyDescent="0.25">
      <c r="B22" s="108">
        <v>1</v>
      </c>
      <c r="C22" s="107" t="s">
        <v>348</v>
      </c>
      <c r="D22" s="107" t="s">
        <v>618</v>
      </c>
      <c r="E22" s="107" t="s">
        <v>614</v>
      </c>
      <c r="F22" s="107" t="str">
        <f>CONCATENATE(PAR!$H$3," előtti kifizetés")</f>
        <v>2025. előtti kifizetés</v>
      </c>
      <c r="G22" s="107" t="str">
        <f>CONCATENATE(PAR!$H$3," évi 
tervezett 
kifizetés")</f>
        <v>2025. évi 
tervezett 
kifizetés</v>
      </c>
      <c r="H22" s="107" t="str">
        <f>CONCATENATE(PAR!$H$7," évi 
tervezett 
kifizetés")</f>
        <v>2026. évi 
tervezett 
kifizetés</v>
      </c>
      <c r="I22" s="107" t="str">
        <f>CONCATENATE(PAR!$H$8," évi 
tervezett 
kifizetés")</f>
        <v>2027. évi 
tervezett 
kifizetés</v>
      </c>
      <c r="J22" s="107" t="str">
        <f>CONCATENATE(PAR!$H$8," után tervezett 
kifizetés")</f>
        <v>2027. után tervezett 
kifizetés</v>
      </c>
      <c r="K22" s="107" t="s">
        <v>474</v>
      </c>
      <c r="L22" s="516"/>
    </row>
    <row r="23" spans="2:12" x14ac:dyDescent="0.25">
      <c r="B23" s="108">
        <v>2</v>
      </c>
      <c r="C23" s="108">
        <v>1</v>
      </c>
      <c r="D23" s="109"/>
      <c r="E23" s="165"/>
      <c r="F23" s="165"/>
      <c r="G23" s="165"/>
      <c r="H23" s="165"/>
      <c r="I23" s="165"/>
      <c r="J23" s="165"/>
      <c r="K23" s="165">
        <f>SUM(F23:J23)</f>
        <v>0</v>
      </c>
      <c r="L23" s="516"/>
    </row>
    <row r="24" spans="2:12" x14ac:dyDescent="0.25">
      <c r="B24" s="108">
        <v>3</v>
      </c>
      <c r="C24" s="108">
        <v>2</v>
      </c>
      <c r="D24" s="109"/>
      <c r="E24" s="165"/>
      <c r="F24" s="165"/>
      <c r="G24" s="165"/>
      <c r="H24" s="165"/>
      <c r="I24" s="165"/>
      <c r="J24" s="165"/>
      <c r="K24" s="165">
        <f>SUM(F24:J24)</f>
        <v>0</v>
      </c>
      <c r="L24" s="516"/>
    </row>
    <row r="25" spans="2:12" x14ac:dyDescent="0.25">
      <c r="B25" s="108">
        <v>4</v>
      </c>
      <c r="C25" s="108">
        <v>3</v>
      </c>
      <c r="D25" s="109"/>
      <c r="E25" s="165"/>
      <c r="F25" s="165"/>
      <c r="G25" s="165"/>
      <c r="H25" s="165"/>
      <c r="I25" s="165"/>
      <c r="J25" s="165"/>
      <c r="K25" s="165">
        <f t="shared" ref="K25:K27" si="2">SUM(F25:J25)</f>
        <v>0</v>
      </c>
      <c r="L25" s="516"/>
    </row>
    <row r="26" spans="2:12" x14ac:dyDescent="0.25">
      <c r="B26" s="108">
        <v>5</v>
      </c>
      <c r="C26" s="108">
        <v>4</v>
      </c>
      <c r="D26" s="109"/>
      <c r="E26" s="165"/>
      <c r="F26" s="165"/>
      <c r="G26" s="165"/>
      <c r="H26" s="165"/>
      <c r="I26" s="165"/>
      <c r="J26" s="165"/>
      <c r="K26" s="165">
        <f t="shared" si="2"/>
        <v>0</v>
      </c>
      <c r="L26" s="516"/>
    </row>
    <row r="27" spans="2:12" x14ac:dyDescent="0.25">
      <c r="B27" s="108">
        <v>6</v>
      </c>
      <c r="C27" s="108">
        <v>5</v>
      </c>
      <c r="D27" s="109"/>
      <c r="E27" s="165"/>
      <c r="F27" s="165"/>
      <c r="G27" s="165"/>
      <c r="H27" s="165"/>
      <c r="I27" s="165"/>
      <c r="J27" s="165"/>
      <c r="K27" s="165">
        <f t="shared" si="2"/>
        <v>0</v>
      </c>
      <c r="L27" s="516"/>
    </row>
    <row r="28" spans="2:12" x14ac:dyDescent="0.25">
      <c r="B28" s="108">
        <v>7</v>
      </c>
      <c r="C28" s="107">
        <v>6</v>
      </c>
      <c r="D28" s="111" t="s">
        <v>474</v>
      </c>
      <c r="E28" s="120"/>
      <c r="F28" s="120">
        <f t="shared" ref="F28" si="3">SUM(F23:F27)</f>
        <v>0</v>
      </c>
      <c r="G28" s="120">
        <f t="shared" ref="G28" si="4">SUM(G23:G27)</f>
        <v>0</v>
      </c>
      <c r="H28" s="120">
        <f t="shared" ref="H28" si="5">SUM(H23:H27)</f>
        <v>0</v>
      </c>
      <c r="I28" s="120">
        <f t="shared" ref="I28" si="6">SUM(I23:I27)</f>
        <v>0</v>
      </c>
      <c r="J28" s="120">
        <f t="shared" ref="J28" si="7">SUM(J23:J27)</f>
        <v>0</v>
      </c>
      <c r="K28" s="120">
        <f>SUM(K23:K27)</f>
        <v>0</v>
      </c>
      <c r="L28" s="516"/>
    </row>
    <row r="29" spans="2:12" s="37" customFormat="1" ht="15.75" customHeight="1" x14ac:dyDescent="0.25"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516"/>
    </row>
    <row r="30" spans="2:12" s="38" customFormat="1" ht="15.75" customHeight="1" x14ac:dyDescent="0.25">
      <c r="B30" s="537" t="s">
        <v>660</v>
      </c>
      <c r="C30" s="537"/>
      <c r="D30" s="537"/>
      <c r="E30" s="537"/>
      <c r="F30" s="537"/>
      <c r="G30" s="537"/>
      <c r="H30" s="537"/>
      <c r="I30" s="537"/>
      <c r="J30" s="537"/>
      <c r="K30" s="537"/>
      <c r="L30" s="516"/>
    </row>
    <row r="31" spans="2:12" s="37" customFormat="1" ht="15.75" x14ac:dyDescent="0.25">
      <c r="C31" s="118"/>
      <c r="K31" s="169"/>
      <c r="L31" s="516"/>
    </row>
    <row r="32" spans="2:12" x14ac:dyDescent="0.2">
      <c r="B32" s="108"/>
      <c r="C32" s="108" t="s">
        <v>350</v>
      </c>
      <c r="D32" s="108" t="s">
        <v>351</v>
      </c>
      <c r="E32" s="108" t="s">
        <v>470</v>
      </c>
      <c r="F32" s="108" t="s">
        <v>471</v>
      </c>
      <c r="G32" s="108" t="s">
        <v>44</v>
      </c>
      <c r="H32" s="108" t="s">
        <v>42</v>
      </c>
      <c r="I32" s="108" t="s">
        <v>511</v>
      </c>
      <c r="J32" s="108" t="s">
        <v>512</v>
      </c>
      <c r="K32" s="170" t="s">
        <v>591</v>
      </c>
      <c r="L32" s="516"/>
    </row>
    <row r="33" spans="2:12" ht="38.25" x14ac:dyDescent="0.25">
      <c r="B33" s="108">
        <v>1</v>
      </c>
      <c r="C33" s="107" t="s">
        <v>348</v>
      </c>
      <c r="D33" s="107" t="s">
        <v>618</v>
      </c>
      <c r="E33" s="107" t="s">
        <v>614</v>
      </c>
      <c r="F33" s="107" t="str">
        <f>CONCATENATE(PAR!$H$3," előtti kifizetés")</f>
        <v>2025. előtti kifizetés</v>
      </c>
      <c r="G33" s="107" t="str">
        <f>CONCATENATE(PAR!$H$3," évi 
tervezett 
kifizetés")</f>
        <v>2025. évi 
tervezett 
kifizetés</v>
      </c>
      <c r="H33" s="107" t="str">
        <f>CONCATENATE(PAR!$H$7," évi 
tervezett 
kifizetés")</f>
        <v>2026. évi 
tervezett 
kifizetés</v>
      </c>
      <c r="I33" s="107" t="str">
        <f>CONCATENATE(PAR!$H$8," évi 
tervezett 
kifizetés")</f>
        <v>2027. évi 
tervezett 
kifizetés</v>
      </c>
      <c r="J33" s="107" t="str">
        <f>CONCATENATE(PAR!$H$8," után tervezett 
kifizetés")</f>
        <v>2027. után tervezett 
kifizetés</v>
      </c>
      <c r="K33" s="107" t="s">
        <v>474</v>
      </c>
      <c r="L33" s="516"/>
    </row>
    <row r="34" spans="2:12" x14ac:dyDescent="0.25">
      <c r="B34" s="108">
        <v>2</v>
      </c>
      <c r="C34" s="108">
        <v>1</v>
      </c>
      <c r="D34" s="109"/>
      <c r="E34" s="165"/>
      <c r="F34" s="165"/>
      <c r="G34" s="165"/>
      <c r="H34" s="165"/>
      <c r="I34" s="165"/>
      <c r="J34" s="165"/>
      <c r="K34" s="165">
        <f>SUM(F34:J34)</f>
        <v>0</v>
      </c>
      <c r="L34" s="516"/>
    </row>
    <row r="35" spans="2:12" s="50" customFormat="1" x14ac:dyDescent="0.25">
      <c r="B35" s="108">
        <v>3</v>
      </c>
      <c r="C35" s="108">
        <v>2</v>
      </c>
      <c r="D35" s="109"/>
      <c r="E35" s="165"/>
      <c r="F35" s="165"/>
      <c r="G35" s="165"/>
      <c r="H35" s="165"/>
      <c r="I35" s="165"/>
      <c r="J35" s="165"/>
      <c r="K35" s="165">
        <f>SUM(F35:J35)</f>
        <v>0</v>
      </c>
      <c r="L35" s="516"/>
    </row>
    <row r="36" spans="2:12" s="50" customFormat="1" x14ac:dyDescent="0.25">
      <c r="B36" s="108">
        <v>4</v>
      </c>
      <c r="C36" s="108">
        <v>3</v>
      </c>
      <c r="D36" s="109"/>
      <c r="E36" s="165"/>
      <c r="F36" s="165"/>
      <c r="G36" s="165"/>
      <c r="H36" s="165"/>
      <c r="I36" s="165"/>
      <c r="J36" s="165"/>
      <c r="K36" s="165">
        <f t="shared" ref="K36:K38" si="8">SUM(F36:J36)</f>
        <v>0</v>
      </c>
      <c r="L36" s="516"/>
    </row>
    <row r="37" spans="2:12" s="50" customFormat="1" x14ac:dyDescent="0.25">
      <c r="B37" s="108">
        <v>5</v>
      </c>
      <c r="C37" s="108">
        <v>4</v>
      </c>
      <c r="D37" s="109"/>
      <c r="E37" s="165"/>
      <c r="F37" s="165"/>
      <c r="G37" s="165"/>
      <c r="H37" s="165"/>
      <c r="I37" s="165"/>
      <c r="J37" s="165"/>
      <c r="K37" s="165">
        <f t="shared" si="8"/>
        <v>0</v>
      </c>
      <c r="L37" s="516"/>
    </row>
    <row r="38" spans="2:12" x14ac:dyDescent="0.25">
      <c r="B38" s="108">
        <v>6</v>
      </c>
      <c r="C38" s="108">
        <v>5</v>
      </c>
      <c r="D38" s="109"/>
      <c r="E38" s="165"/>
      <c r="F38" s="165"/>
      <c r="G38" s="165"/>
      <c r="H38" s="165"/>
      <c r="I38" s="165"/>
      <c r="J38" s="165"/>
      <c r="K38" s="165">
        <f t="shared" si="8"/>
        <v>0</v>
      </c>
      <c r="L38" s="516"/>
    </row>
    <row r="39" spans="2:12" x14ac:dyDescent="0.25">
      <c r="B39" s="108">
        <v>7</v>
      </c>
      <c r="C39" s="107">
        <v>6</v>
      </c>
      <c r="D39" s="111" t="s">
        <v>474</v>
      </c>
      <c r="E39" s="120"/>
      <c r="F39" s="120">
        <f t="shared" ref="F39" si="9">SUM(F34:F38)</f>
        <v>0</v>
      </c>
      <c r="G39" s="120">
        <f t="shared" ref="G39" si="10">SUM(G34:G38)</f>
        <v>0</v>
      </c>
      <c r="H39" s="120">
        <f t="shared" ref="H39" si="11">SUM(H34:H38)</f>
        <v>0</v>
      </c>
      <c r="I39" s="120">
        <f t="shared" ref="I39" si="12">SUM(I34:I38)</f>
        <v>0</v>
      </c>
      <c r="J39" s="120">
        <f t="shared" ref="J39" si="13">SUM(J34:J38)</f>
        <v>0</v>
      </c>
      <c r="K39" s="120">
        <f>SUM(K34:K38)</f>
        <v>0</v>
      </c>
      <c r="L39" s="516"/>
    </row>
    <row r="40" spans="2:12" s="37" customFormat="1" ht="15.75" customHeight="1" x14ac:dyDescent="0.25"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516"/>
    </row>
    <row r="41" spans="2:12" s="38" customFormat="1" ht="15.75" customHeight="1" x14ac:dyDescent="0.25">
      <c r="B41" s="537" t="s">
        <v>661</v>
      </c>
      <c r="C41" s="537"/>
      <c r="D41" s="537"/>
      <c r="E41" s="537"/>
      <c r="F41" s="537"/>
      <c r="G41" s="537"/>
      <c r="H41" s="537"/>
      <c r="I41" s="537"/>
      <c r="J41" s="537"/>
      <c r="K41" s="537"/>
      <c r="L41" s="516"/>
    </row>
    <row r="42" spans="2:12" s="37" customFormat="1" ht="15.75" x14ac:dyDescent="0.25">
      <c r="C42" s="118"/>
      <c r="K42" s="169"/>
      <c r="L42" s="516"/>
    </row>
    <row r="43" spans="2:12" x14ac:dyDescent="0.2">
      <c r="B43" s="108"/>
      <c r="C43" s="108" t="s">
        <v>350</v>
      </c>
      <c r="D43" s="108" t="s">
        <v>351</v>
      </c>
      <c r="E43" s="108" t="s">
        <v>470</v>
      </c>
      <c r="F43" s="108" t="s">
        <v>471</v>
      </c>
      <c r="G43" s="108" t="s">
        <v>44</v>
      </c>
      <c r="H43" s="108" t="s">
        <v>42</v>
      </c>
      <c r="I43" s="108" t="s">
        <v>511</v>
      </c>
      <c r="J43" s="108" t="s">
        <v>512</v>
      </c>
      <c r="K43" s="170" t="s">
        <v>591</v>
      </c>
      <c r="L43" s="516"/>
    </row>
    <row r="44" spans="2:12" ht="38.25" x14ac:dyDescent="0.25">
      <c r="B44" s="108">
        <v>1</v>
      </c>
      <c r="C44" s="107" t="s">
        <v>348</v>
      </c>
      <c r="D44" s="107" t="s">
        <v>618</v>
      </c>
      <c r="E44" s="107" t="s">
        <v>614</v>
      </c>
      <c r="F44" s="107" t="str">
        <f>CONCATENATE(PAR!$H$3," előtti kifizetés")</f>
        <v>2025. előtti kifizetés</v>
      </c>
      <c r="G44" s="107" t="str">
        <f>CONCATENATE(PAR!$H$3," évi 
tervezett 
kifizetés")</f>
        <v>2025. évi 
tervezett 
kifizetés</v>
      </c>
      <c r="H44" s="107" t="str">
        <f>CONCATENATE(PAR!$H$7," évi 
tervezett 
kifizetés")</f>
        <v>2026. évi 
tervezett 
kifizetés</v>
      </c>
      <c r="I44" s="107" t="str">
        <f>CONCATENATE(PAR!$H$8," évi 
tervezett 
kifizetés")</f>
        <v>2027. évi 
tervezett 
kifizetés</v>
      </c>
      <c r="J44" s="107" t="str">
        <f>CONCATENATE(PAR!$H$8," után tervezett 
kifizetés")</f>
        <v>2027. után tervezett 
kifizetés</v>
      </c>
      <c r="K44" s="107" t="s">
        <v>474</v>
      </c>
      <c r="L44" s="516"/>
    </row>
    <row r="45" spans="2:12" x14ac:dyDescent="0.25">
      <c r="B45" s="108">
        <v>2</v>
      </c>
      <c r="C45" s="108">
        <v>1</v>
      </c>
      <c r="D45" s="109"/>
      <c r="E45" s="165"/>
      <c r="F45" s="165"/>
      <c r="G45" s="165"/>
      <c r="H45" s="165"/>
      <c r="I45" s="165"/>
      <c r="J45" s="165"/>
      <c r="K45" s="165">
        <f>SUM(F45:J45)</f>
        <v>0</v>
      </c>
      <c r="L45" s="516"/>
    </row>
    <row r="46" spans="2:12" x14ac:dyDescent="0.25">
      <c r="B46" s="108">
        <v>3</v>
      </c>
      <c r="C46" s="108">
        <v>2</v>
      </c>
      <c r="D46" s="109"/>
      <c r="E46" s="165"/>
      <c r="F46" s="165"/>
      <c r="G46" s="165"/>
      <c r="H46" s="165"/>
      <c r="I46" s="165"/>
      <c r="J46" s="165"/>
      <c r="K46" s="165">
        <f>SUM(F46:J46)</f>
        <v>0</v>
      </c>
      <c r="L46" s="516"/>
    </row>
    <row r="47" spans="2:12" s="50" customFormat="1" x14ac:dyDescent="0.25">
      <c r="B47" s="108">
        <v>4</v>
      </c>
      <c r="C47" s="108">
        <v>3</v>
      </c>
      <c r="D47" s="109"/>
      <c r="E47" s="165"/>
      <c r="F47" s="165"/>
      <c r="G47" s="165"/>
      <c r="H47" s="165"/>
      <c r="I47" s="165"/>
      <c r="J47" s="165"/>
      <c r="K47" s="165">
        <f t="shared" ref="K47:K49" si="14">SUM(F47:J47)</f>
        <v>0</v>
      </c>
      <c r="L47" s="516"/>
    </row>
    <row r="48" spans="2:12" s="50" customFormat="1" x14ac:dyDescent="0.25">
      <c r="B48" s="108">
        <v>5</v>
      </c>
      <c r="C48" s="108">
        <v>4</v>
      </c>
      <c r="F48" s="165"/>
      <c r="G48" s="165"/>
      <c r="H48" s="165"/>
      <c r="I48" s="165"/>
      <c r="J48" s="165"/>
      <c r="K48" s="165">
        <f t="shared" si="14"/>
        <v>0</v>
      </c>
      <c r="L48" s="516"/>
    </row>
    <row r="49" spans="2:12" s="50" customFormat="1" x14ac:dyDescent="0.25">
      <c r="B49" s="108">
        <v>6</v>
      </c>
      <c r="C49" s="108">
        <v>5</v>
      </c>
      <c r="D49" s="109"/>
      <c r="E49" s="165"/>
      <c r="F49" s="165"/>
      <c r="G49" s="165"/>
      <c r="H49" s="165"/>
      <c r="I49" s="165"/>
      <c r="J49" s="165"/>
      <c r="K49" s="165">
        <f t="shared" si="14"/>
        <v>0</v>
      </c>
      <c r="L49" s="516"/>
    </row>
    <row r="50" spans="2:12" s="50" customFormat="1" x14ac:dyDescent="0.25">
      <c r="B50" s="108">
        <v>7</v>
      </c>
      <c r="C50" s="107">
        <v>6</v>
      </c>
      <c r="D50" s="111" t="s">
        <v>474</v>
      </c>
      <c r="E50" s="120"/>
      <c r="F50" s="120">
        <f t="shared" ref="F50" si="15">SUM(F45:F49)</f>
        <v>0</v>
      </c>
      <c r="G50" s="120">
        <f t="shared" ref="G50" si="16">SUM(G45:G49)</f>
        <v>0</v>
      </c>
      <c r="H50" s="120">
        <f t="shared" ref="H50" si="17">SUM(H45:H49)</f>
        <v>0</v>
      </c>
      <c r="I50" s="120">
        <f t="shared" ref="I50" si="18">SUM(I45:I49)</f>
        <v>0</v>
      </c>
      <c r="J50" s="120">
        <f t="shared" ref="J50" si="19">SUM(J45:J49)</f>
        <v>0</v>
      </c>
      <c r="K50" s="120">
        <f>SUM(K45:K49)</f>
        <v>0</v>
      </c>
      <c r="L50" s="516"/>
    </row>
    <row r="51" spans="2:12" s="37" customFormat="1" ht="15.75" customHeight="1" x14ac:dyDescent="0.25"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516"/>
    </row>
    <row r="52" spans="2:12" s="38" customFormat="1" ht="15.75" customHeight="1" x14ac:dyDescent="0.25">
      <c r="B52" s="537" t="s">
        <v>662</v>
      </c>
      <c r="C52" s="537"/>
      <c r="D52" s="537"/>
      <c r="E52" s="537"/>
      <c r="F52" s="537"/>
      <c r="G52" s="537"/>
      <c r="H52" s="537"/>
      <c r="I52" s="537"/>
      <c r="J52" s="537"/>
      <c r="K52" s="537"/>
      <c r="L52" s="516"/>
    </row>
    <row r="53" spans="2:12" s="37" customFormat="1" ht="15.75" x14ac:dyDescent="0.25">
      <c r="C53" s="118"/>
      <c r="K53" s="169"/>
      <c r="L53" s="516"/>
    </row>
    <row r="54" spans="2:12" s="50" customFormat="1" x14ac:dyDescent="0.2">
      <c r="B54" s="108"/>
      <c r="C54" s="108" t="s">
        <v>350</v>
      </c>
      <c r="D54" s="108" t="s">
        <v>351</v>
      </c>
      <c r="E54" s="108" t="s">
        <v>470</v>
      </c>
      <c r="F54" s="108" t="s">
        <v>471</v>
      </c>
      <c r="G54" s="108" t="s">
        <v>44</v>
      </c>
      <c r="H54" s="108" t="s">
        <v>42</v>
      </c>
      <c r="I54" s="108" t="s">
        <v>511</v>
      </c>
      <c r="J54" s="108" t="s">
        <v>512</v>
      </c>
      <c r="K54" s="170" t="s">
        <v>591</v>
      </c>
      <c r="L54" s="516"/>
    </row>
    <row r="55" spans="2:12" s="50" customFormat="1" ht="38.25" x14ac:dyDescent="0.25">
      <c r="B55" s="108">
        <v>1</v>
      </c>
      <c r="C55" s="107" t="s">
        <v>348</v>
      </c>
      <c r="D55" s="107" t="s">
        <v>618</v>
      </c>
      <c r="E55" s="107" t="s">
        <v>614</v>
      </c>
      <c r="F55" s="107" t="str">
        <f>CONCATENATE(PAR!$H$3," előtti kifizetés")</f>
        <v>2025. előtti kifizetés</v>
      </c>
      <c r="G55" s="107" t="str">
        <f>CONCATENATE(PAR!$H$3," évi 
tervezett 
kifizetés")</f>
        <v>2025. évi 
tervezett 
kifizetés</v>
      </c>
      <c r="H55" s="107" t="str">
        <f>CONCATENATE(PAR!$H$7," évi 
tervezett 
kifizetés")</f>
        <v>2026. évi 
tervezett 
kifizetés</v>
      </c>
      <c r="I55" s="107" t="str">
        <f>CONCATENATE(PAR!$H$8," évi 
tervezett 
kifizetés")</f>
        <v>2027. évi 
tervezett 
kifizetés</v>
      </c>
      <c r="J55" s="107" t="str">
        <f>CONCATENATE(PAR!$H$8," után tervezett 
kifizetés")</f>
        <v>2027. után tervezett 
kifizetés</v>
      </c>
      <c r="K55" s="107" t="s">
        <v>474</v>
      </c>
      <c r="L55" s="516"/>
    </row>
    <row r="56" spans="2:12" s="50" customFormat="1" x14ac:dyDescent="0.25">
      <c r="B56" s="108">
        <v>2</v>
      </c>
      <c r="C56" s="108">
        <v>1</v>
      </c>
      <c r="D56" s="109"/>
      <c r="E56" s="165"/>
      <c r="F56" s="165"/>
      <c r="G56" s="165"/>
      <c r="H56" s="165"/>
      <c r="I56" s="165"/>
      <c r="J56" s="165"/>
      <c r="K56" s="165">
        <f>SUM(F56:J56)</f>
        <v>0</v>
      </c>
      <c r="L56" s="516"/>
    </row>
    <row r="57" spans="2:12" x14ac:dyDescent="0.25">
      <c r="B57" s="108">
        <v>3</v>
      </c>
      <c r="C57" s="108">
        <v>2</v>
      </c>
      <c r="D57" s="109"/>
      <c r="E57" s="165"/>
      <c r="F57" s="165"/>
      <c r="G57" s="165"/>
      <c r="H57" s="165"/>
      <c r="I57" s="165"/>
      <c r="J57" s="165"/>
      <c r="K57" s="165">
        <f>SUM(F57:J57)</f>
        <v>0</v>
      </c>
      <c r="L57" s="516"/>
    </row>
    <row r="58" spans="2:12" x14ac:dyDescent="0.25">
      <c r="B58" s="108">
        <v>4</v>
      </c>
      <c r="C58" s="108">
        <v>3</v>
      </c>
      <c r="D58" s="109"/>
      <c r="E58" s="165"/>
      <c r="F58" s="165"/>
      <c r="G58" s="165"/>
      <c r="H58" s="165"/>
      <c r="I58" s="165"/>
      <c r="J58" s="165"/>
      <c r="K58" s="165">
        <f t="shared" ref="K58:K60" si="20">SUM(F58:J58)</f>
        <v>0</v>
      </c>
      <c r="L58" s="516"/>
    </row>
    <row r="59" spans="2:12" x14ac:dyDescent="0.25">
      <c r="B59" s="108">
        <v>5</v>
      </c>
      <c r="C59" s="108">
        <v>4</v>
      </c>
      <c r="D59" s="109"/>
      <c r="E59" s="165"/>
      <c r="F59" s="165"/>
      <c r="G59" s="165"/>
      <c r="H59" s="165"/>
      <c r="I59" s="165"/>
      <c r="J59" s="165"/>
      <c r="K59" s="165">
        <f t="shared" si="20"/>
        <v>0</v>
      </c>
      <c r="L59" s="516"/>
    </row>
    <row r="60" spans="2:12" x14ac:dyDescent="0.25">
      <c r="B60" s="108">
        <v>6</v>
      </c>
      <c r="C60" s="108">
        <v>5</v>
      </c>
      <c r="D60" s="109"/>
      <c r="E60" s="165"/>
      <c r="F60" s="165"/>
      <c r="G60" s="165"/>
      <c r="H60" s="165"/>
      <c r="I60" s="165"/>
      <c r="J60" s="165"/>
      <c r="K60" s="165">
        <f t="shared" si="20"/>
        <v>0</v>
      </c>
      <c r="L60" s="516"/>
    </row>
    <row r="61" spans="2:12" x14ac:dyDescent="0.25">
      <c r="B61" s="108">
        <v>7</v>
      </c>
      <c r="C61" s="107">
        <v>6</v>
      </c>
      <c r="D61" s="111" t="s">
        <v>474</v>
      </c>
      <c r="E61" s="120"/>
      <c r="F61" s="120">
        <f t="shared" ref="F61" si="21">SUM(F56:F60)</f>
        <v>0</v>
      </c>
      <c r="G61" s="120">
        <f t="shared" ref="G61" si="22">SUM(G56:G60)</f>
        <v>0</v>
      </c>
      <c r="H61" s="120">
        <f t="shared" ref="H61" si="23">SUM(H56:H60)</f>
        <v>0</v>
      </c>
      <c r="I61" s="120">
        <f t="shared" ref="I61" si="24">SUM(I56:I60)</f>
        <v>0</v>
      </c>
      <c r="J61" s="120">
        <f t="shared" ref="J61" si="25">SUM(J56:J60)</f>
        <v>0</v>
      </c>
      <c r="K61" s="120">
        <f>SUM(K56:K60)</f>
        <v>0</v>
      </c>
    </row>
    <row r="62" spans="2:12" ht="15.75" x14ac:dyDescent="0.25">
      <c r="B62" s="118"/>
      <c r="C62" s="118"/>
      <c r="D62" s="118"/>
      <c r="E62" s="118"/>
      <c r="F62" s="118"/>
      <c r="G62" s="118"/>
      <c r="H62" s="118"/>
      <c r="I62" s="118"/>
      <c r="J62" s="118"/>
      <c r="K62" s="118"/>
    </row>
    <row r="63" spans="2:12" ht="15.75" x14ac:dyDescent="0.25">
      <c r="B63" s="537" t="s">
        <v>663</v>
      </c>
      <c r="C63" s="537"/>
      <c r="D63" s="537"/>
      <c r="E63" s="537"/>
      <c r="F63" s="537"/>
      <c r="G63" s="537"/>
      <c r="H63" s="537"/>
      <c r="I63" s="537"/>
      <c r="J63" s="537"/>
      <c r="K63" s="537"/>
    </row>
    <row r="64" spans="2:12" ht="15.75" x14ac:dyDescent="0.25">
      <c r="B64" s="37"/>
      <c r="C64" s="118"/>
      <c r="D64" s="37"/>
      <c r="E64" s="37"/>
      <c r="F64" s="37"/>
      <c r="G64" s="37"/>
      <c r="H64" s="37"/>
      <c r="I64" s="37"/>
      <c r="J64" s="37"/>
      <c r="K64" s="169"/>
    </row>
    <row r="65" spans="2:11" x14ac:dyDescent="0.2">
      <c r="B65" s="108"/>
      <c r="C65" s="108" t="s">
        <v>350</v>
      </c>
      <c r="D65" s="108" t="s">
        <v>351</v>
      </c>
      <c r="E65" s="108" t="s">
        <v>470</v>
      </c>
      <c r="F65" s="108" t="s">
        <v>471</v>
      </c>
      <c r="G65" s="108" t="s">
        <v>44</v>
      </c>
      <c r="H65" s="108" t="s">
        <v>42</v>
      </c>
      <c r="I65" s="108" t="s">
        <v>511</v>
      </c>
      <c r="J65" s="108" t="s">
        <v>512</v>
      </c>
      <c r="K65" s="170" t="s">
        <v>591</v>
      </c>
    </row>
    <row r="66" spans="2:11" ht="38.25" x14ac:dyDescent="0.25">
      <c r="B66" s="108">
        <v>1</v>
      </c>
      <c r="C66" s="107" t="s">
        <v>348</v>
      </c>
      <c r="D66" s="107" t="s">
        <v>517</v>
      </c>
      <c r="E66" s="107" t="s">
        <v>617</v>
      </c>
      <c r="F66" s="107" t="str">
        <f>CONCATENATE(PAR!$H$3," előtti kifizetés")</f>
        <v>2025. előtti kifizetés</v>
      </c>
      <c r="G66" s="107" t="str">
        <f>CONCATENATE(PAR!$H$3," évi 
tervezett 
kifizetés")</f>
        <v>2025. évi 
tervezett 
kifizetés</v>
      </c>
      <c r="H66" s="107" t="str">
        <f>CONCATENATE(PAR!$H$7," évi 
tervezett 
kifizetés")</f>
        <v>2026. évi 
tervezett 
kifizetés</v>
      </c>
      <c r="I66" s="107" t="str">
        <f>CONCATENATE(PAR!$H$8," évi 
tervezett 
kifizetés")</f>
        <v>2027. évi 
tervezett 
kifizetés</v>
      </c>
      <c r="J66" s="107" t="str">
        <f>CONCATENATE(PAR!$H$8," után tervezett 
kifizetés")</f>
        <v>2027. után tervezett 
kifizetés</v>
      </c>
      <c r="K66" s="107" t="s">
        <v>474</v>
      </c>
    </row>
    <row r="67" spans="2:11" x14ac:dyDescent="0.25">
      <c r="B67" s="108">
        <v>2</v>
      </c>
      <c r="C67" s="108">
        <v>1</v>
      </c>
      <c r="D67" s="109" t="s">
        <v>615</v>
      </c>
      <c r="E67" s="165"/>
      <c r="F67" s="165">
        <f>F17</f>
        <v>0</v>
      </c>
      <c r="G67" s="165">
        <f t="shared" ref="G67:J67" si="26">G17</f>
        <v>0</v>
      </c>
      <c r="H67" s="165">
        <f t="shared" si="26"/>
        <v>0</v>
      </c>
      <c r="I67" s="165">
        <f t="shared" si="26"/>
        <v>0</v>
      </c>
      <c r="J67" s="165">
        <f t="shared" si="26"/>
        <v>0</v>
      </c>
      <c r="K67" s="165">
        <f>SUM(F67:J67)</f>
        <v>0</v>
      </c>
    </row>
    <row r="68" spans="2:11" x14ac:dyDescent="0.25">
      <c r="B68" s="108">
        <v>3</v>
      </c>
      <c r="C68" s="108">
        <v>2</v>
      </c>
      <c r="D68" s="109" t="s">
        <v>616</v>
      </c>
      <c r="E68" s="165"/>
      <c r="F68" s="165">
        <f>F28</f>
        <v>0</v>
      </c>
      <c r="G68" s="165">
        <f t="shared" ref="G68:J68" si="27">G28</f>
        <v>0</v>
      </c>
      <c r="H68" s="165">
        <f t="shared" si="27"/>
        <v>0</v>
      </c>
      <c r="I68" s="165">
        <f t="shared" si="27"/>
        <v>0</v>
      </c>
      <c r="J68" s="165">
        <f t="shared" si="27"/>
        <v>0</v>
      </c>
      <c r="K68" s="165">
        <f>SUM(F68:J68)</f>
        <v>0</v>
      </c>
    </row>
    <row r="69" spans="2:11" x14ac:dyDescent="0.25">
      <c r="B69" s="108">
        <v>4</v>
      </c>
      <c r="C69" s="108">
        <v>3</v>
      </c>
      <c r="D69" s="109" t="s">
        <v>518</v>
      </c>
      <c r="E69" s="165"/>
      <c r="F69" s="165">
        <f>F39</f>
        <v>0</v>
      </c>
      <c r="G69" s="165">
        <f t="shared" ref="G69:J69" si="28">G39</f>
        <v>0</v>
      </c>
      <c r="H69" s="165">
        <f t="shared" si="28"/>
        <v>0</v>
      </c>
      <c r="I69" s="165">
        <f t="shared" si="28"/>
        <v>0</v>
      </c>
      <c r="J69" s="165">
        <f t="shared" si="28"/>
        <v>0</v>
      </c>
      <c r="K69" s="165">
        <f t="shared" ref="K69:K71" si="29">SUM(F69:J69)</f>
        <v>0</v>
      </c>
    </row>
    <row r="70" spans="2:11" x14ac:dyDescent="0.25">
      <c r="B70" s="108">
        <v>5</v>
      </c>
      <c r="C70" s="108">
        <v>4</v>
      </c>
      <c r="D70" s="109" t="s">
        <v>519</v>
      </c>
      <c r="E70" s="165"/>
      <c r="F70" s="165">
        <f>F50</f>
        <v>0</v>
      </c>
      <c r="G70" s="165">
        <f t="shared" ref="G70:J70" si="30">G50</f>
        <v>0</v>
      </c>
      <c r="H70" s="165">
        <f t="shared" si="30"/>
        <v>0</v>
      </c>
      <c r="I70" s="165">
        <f t="shared" si="30"/>
        <v>0</v>
      </c>
      <c r="J70" s="165">
        <f t="shared" si="30"/>
        <v>0</v>
      </c>
      <c r="K70" s="165">
        <f t="shared" si="29"/>
        <v>0</v>
      </c>
    </row>
    <row r="71" spans="2:11" x14ac:dyDescent="0.25">
      <c r="B71" s="108">
        <v>6</v>
      </c>
      <c r="C71" s="108">
        <v>5</v>
      </c>
      <c r="D71" s="109" t="s">
        <v>520</v>
      </c>
      <c r="E71" s="165"/>
      <c r="F71" s="165">
        <f>F61</f>
        <v>0</v>
      </c>
      <c r="G71" s="165">
        <f t="shared" ref="G71:J71" si="31">G61</f>
        <v>0</v>
      </c>
      <c r="H71" s="165">
        <f t="shared" si="31"/>
        <v>0</v>
      </c>
      <c r="I71" s="165">
        <f t="shared" si="31"/>
        <v>0</v>
      </c>
      <c r="J71" s="165">
        <f t="shared" si="31"/>
        <v>0</v>
      </c>
      <c r="K71" s="165">
        <f t="shared" si="29"/>
        <v>0</v>
      </c>
    </row>
    <row r="72" spans="2:11" x14ac:dyDescent="0.25">
      <c r="B72" s="108">
        <v>7</v>
      </c>
      <c r="C72" s="107">
        <v>6</v>
      </c>
      <c r="D72" s="111" t="s">
        <v>474</v>
      </c>
      <c r="E72" s="120"/>
      <c r="F72" s="120">
        <f t="shared" ref="F72" si="32">SUM(F67:F71)</f>
        <v>0</v>
      </c>
      <c r="G72" s="120">
        <f t="shared" ref="G72" si="33">SUM(G67:G71)</f>
        <v>0</v>
      </c>
      <c r="H72" s="120">
        <f t="shared" ref="H72" si="34">SUM(H67:H71)</f>
        <v>0</v>
      </c>
      <c r="I72" s="120">
        <f t="shared" ref="I72" si="35">SUM(I67:I71)</f>
        <v>0</v>
      </c>
      <c r="J72" s="120">
        <f t="shared" ref="J72" si="36">SUM(J67:J71)</f>
        <v>0</v>
      </c>
      <c r="K72" s="120">
        <f>SUM(K67:K71)</f>
        <v>0</v>
      </c>
    </row>
    <row r="73" spans="2:11" ht="5.0999999999999996" customHeight="1" x14ac:dyDescent="0.25"/>
  </sheetData>
  <sheetProtection algorithmName="SHA-512" hashValue="jK1zYjaHnyNEhjIvbTDzu8oChOnNuHMooXrOwoYgOk4ffzizsXvFhV9yhqvHbISlHGE8oUtv9Iz72xQi2JS/Fw==" saltValue="Q7VdpEYT71zHmhGYIcWv9g==" spinCount="100000" sheet="1" objects="1" scenarios="1" formatCells="0" formatColumns="0" formatRows="0" insertRows="0" deleteRows="0" sort="0"/>
  <mergeCells count="12">
    <mergeCell ref="B63:K63"/>
    <mergeCell ref="B8:K8"/>
    <mergeCell ref="B19:K19"/>
    <mergeCell ref="B30:K30"/>
    <mergeCell ref="B41:K41"/>
    <mergeCell ref="L13:L60"/>
    <mergeCell ref="B52:K52"/>
    <mergeCell ref="B2:K2"/>
    <mergeCell ref="B3:K3"/>
    <mergeCell ref="B4:K4"/>
    <mergeCell ref="B5:K5"/>
    <mergeCell ref="B6:K6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0" fitToHeight="4" orientation="portrait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Munka45">
    <tabColor theme="4" tint="-0.249977111117893"/>
    <pageSetUpPr fitToPage="1"/>
  </sheetPr>
  <dimension ref="B1:F27"/>
  <sheetViews>
    <sheetView view="pageBreakPreview" zoomScaleSheetLayoutView="100" workbookViewId="0">
      <selection activeCell="J9" sqref="J9"/>
    </sheetView>
  </sheetViews>
  <sheetFormatPr defaultColWidth="9" defaultRowHeight="12.75" x14ac:dyDescent="0.25"/>
  <cols>
    <col min="1" max="1" width="0.875" style="35" customWidth="1"/>
    <col min="2" max="2" width="5.625" style="35" customWidth="1"/>
    <col min="3" max="3" width="5.125" style="34" bestFit="1" customWidth="1"/>
    <col min="4" max="4" width="55" style="35" bestFit="1" customWidth="1"/>
    <col min="5" max="6" width="12.625" style="35" customWidth="1"/>
    <col min="7" max="7" width="0.875" style="35" customWidth="1"/>
    <col min="8" max="16384" width="9" style="35"/>
  </cols>
  <sheetData>
    <row r="1" spans="2:6" ht="6" customHeight="1" x14ac:dyDescent="0.25"/>
    <row r="2" spans="2:6" s="171" customFormat="1" ht="15.75" customHeight="1" x14ac:dyDescent="0.25">
      <c r="B2" s="540" t="str">
        <f>CONCATENATE(Index!C38," a(z) ",Index!E16," önkormányzati rendelethez")</f>
        <v>19. melléklet a(z) .../2025. (...) önkormányzati rendelethez</v>
      </c>
      <c r="C2" s="540"/>
      <c r="D2" s="540"/>
      <c r="E2" s="540"/>
      <c r="F2" s="540"/>
    </row>
    <row r="3" spans="2:6" s="171" customFormat="1" ht="15.75" customHeight="1" x14ac:dyDescent="0.25">
      <c r="B3" s="541"/>
      <c r="C3" s="541"/>
      <c r="D3" s="541"/>
      <c r="E3" s="541"/>
      <c r="F3" s="541"/>
    </row>
    <row r="4" spans="2:6" s="171" customFormat="1" ht="15.75" customHeight="1" x14ac:dyDescent="0.25">
      <c r="B4" s="526" t="str">
        <f>PAR!E3</f>
        <v>Nagymaros Város Önkormányzata</v>
      </c>
      <c r="C4" s="526"/>
      <c r="D4" s="526"/>
      <c r="E4" s="526"/>
      <c r="F4" s="526"/>
    </row>
    <row r="5" spans="2:6" s="171" customFormat="1" ht="15.75" customHeight="1" x14ac:dyDescent="0.25">
      <c r="B5" s="542" t="s">
        <v>619</v>
      </c>
      <c r="C5" s="542"/>
      <c r="D5" s="542"/>
      <c r="E5" s="542"/>
      <c r="F5" s="542"/>
    </row>
    <row r="6" spans="2:6" s="171" customFormat="1" ht="15.75" customHeight="1" x14ac:dyDescent="0.2">
      <c r="B6" s="543" t="s">
        <v>337</v>
      </c>
      <c r="C6" s="543"/>
      <c r="D6" s="543"/>
      <c r="E6" s="543"/>
      <c r="F6" s="543"/>
    </row>
    <row r="7" spans="2:6" s="172" customFormat="1" ht="15.75" x14ac:dyDescent="0.25">
      <c r="C7" s="137"/>
      <c r="D7" s="173"/>
      <c r="F7" s="119"/>
    </row>
    <row r="8" spans="2:6" s="50" customFormat="1" x14ac:dyDescent="0.2">
      <c r="B8" s="108"/>
      <c r="C8" s="108" t="s">
        <v>350</v>
      </c>
      <c r="D8" s="176" t="s">
        <v>351</v>
      </c>
      <c r="E8" s="108" t="s">
        <v>470</v>
      </c>
      <c r="F8" s="114" t="s">
        <v>471</v>
      </c>
    </row>
    <row r="9" spans="2:6" s="41" customFormat="1" ht="38.25" x14ac:dyDescent="0.25">
      <c r="B9" s="160">
        <v>1</v>
      </c>
      <c r="C9" s="154" t="s">
        <v>455</v>
      </c>
      <c r="D9" s="154" t="s">
        <v>349</v>
      </c>
      <c r="E9" s="154" t="s">
        <v>626</v>
      </c>
      <c r="F9" s="154" t="s">
        <v>627</v>
      </c>
    </row>
    <row r="10" spans="2:6" x14ac:dyDescent="0.25">
      <c r="B10" s="160">
        <v>2</v>
      </c>
      <c r="C10" s="164">
        <v>1</v>
      </c>
      <c r="D10" s="84" t="s">
        <v>521</v>
      </c>
      <c r="E10" s="174"/>
      <c r="F10" s="174"/>
    </row>
    <row r="11" spans="2:6" x14ac:dyDescent="0.25">
      <c r="B11" s="160">
        <v>3</v>
      </c>
      <c r="C11" s="164">
        <v>2</v>
      </c>
      <c r="D11" s="84" t="s">
        <v>522</v>
      </c>
      <c r="E11" s="174"/>
      <c r="F11" s="174"/>
    </row>
    <row r="12" spans="2:6" x14ac:dyDescent="0.25">
      <c r="B12" s="160">
        <v>4</v>
      </c>
      <c r="C12" s="164">
        <v>3</v>
      </c>
      <c r="D12" s="84" t="s">
        <v>523</v>
      </c>
      <c r="E12" s="174"/>
      <c r="F12" s="174"/>
    </row>
    <row r="13" spans="2:6" x14ac:dyDescent="0.25">
      <c r="B13" s="160">
        <v>5</v>
      </c>
      <c r="C13" s="164">
        <v>4</v>
      </c>
      <c r="D13" s="84" t="s">
        <v>524</v>
      </c>
      <c r="E13" s="174"/>
      <c r="F13" s="174"/>
    </row>
    <row r="14" spans="2:6" x14ac:dyDescent="0.25">
      <c r="B14" s="160">
        <v>6</v>
      </c>
      <c r="C14" s="164">
        <v>5</v>
      </c>
      <c r="D14" s="84" t="s">
        <v>525</v>
      </c>
      <c r="E14" s="110">
        <f>SUM(E15:E20)</f>
        <v>0</v>
      </c>
      <c r="F14" s="110">
        <f>SUM(F15:F20)</f>
        <v>0</v>
      </c>
    </row>
    <row r="15" spans="2:6" x14ac:dyDescent="0.25">
      <c r="B15" s="160">
        <v>7</v>
      </c>
      <c r="C15" s="164" t="s">
        <v>373</v>
      </c>
      <c r="D15" s="84" t="s">
        <v>526</v>
      </c>
      <c r="E15" s="110"/>
      <c r="F15" s="110"/>
    </row>
    <row r="16" spans="2:6" x14ac:dyDescent="0.25">
      <c r="B16" s="160">
        <v>8</v>
      </c>
      <c r="C16" s="164" t="s">
        <v>374</v>
      </c>
      <c r="D16" s="175" t="s">
        <v>527</v>
      </c>
      <c r="E16" s="110"/>
      <c r="F16" s="110"/>
    </row>
    <row r="17" spans="2:6" x14ac:dyDescent="0.25">
      <c r="B17" s="160">
        <v>9</v>
      </c>
      <c r="C17" s="164" t="s">
        <v>375</v>
      </c>
      <c r="D17" s="175" t="s">
        <v>528</v>
      </c>
      <c r="E17" s="110"/>
      <c r="F17" s="110"/>
    </row>
    <row r="18" spans="2:6" x14ac:dyDescent="0.25">
      <c r="B18" s="160">
        <v>10</v>
      </c>
      <c r="C18" s="164" t="s">
        <v>376</v>
      </c>
      <c r="D18" s="175" t="s">
        <v>529</v>
      </c>
      <c r="E18" s="110"/>
      <c r="F18" s="110"/>
    </row>
    <row r="19" spans="2:6" x14ac:dyDescent="0.25">
      <c r="B19" s="160">
        <v>11</v>
      </c>
      <c r="C19" s="164" t="s">
        <v>377</v>
      </c>
      <c r="D19" s="175" t="s">
        <v>530</v>
      </c>
      <c r="E19" s="110"/>
      <c r="F19" s="110"/>
    </row>
    <row r="20" spans="2:6" x14ac:dyDescent="0.25">
      <c r="B20" s="160">
        <v>12</v>
      </c>
      <c r="C20" s="164" t="s">
        <v>378</v>
      </c>
      <c r="D20" s="175" t="s">
        <v>531</v>
      </c>
      <c r="E20" s="110"/>
      <c r="F20" s="110"/>
    </row>
    <row r="21" spans="2:6" x14ac:dyDescent="0.25">
      <c r="B21" s="160">
        <v>13</v>
      </c>
      <c r="C21" s="164" t="s">
        <v>620</v>
      </c>
      <c r="D21" s="84" t="s">
        <v>532</v>
      </c>
      <c r="E21" s="110"/>
      <c r="F21" s="110"/>
    </row>
    <row r="22" spans="2:6" x14ac:dyDescent="0.25">
      <c r="B22" s="160">
        <v>14</v>
      </c>
      <c r="C22" s="164" t="s">
        <v>621</v>
      </c>
      <c r="D22" s="84" t="s">
        <v>533</v>
      </c>
      <c r="E22" s="110"/>
      <c r="F22" s="110"/>
    </row>
    <row r="23" spans="2:6" x14ac:dyDescent="0.25">
      <c r="B23" s="160">
        <v>15</v>
      </c>
      <c r="C23" s="164" t="s">
        <v>622</v>
      </c>
      <c r="D23" s="84" t="s">
        <v>534</v>
      </c>
      <c r="E23" s="110"/>
      <c r="F23" s="110"/>
    </row>
    <row r="24" spans="2:6" x14ac:dyDescent="0.25">
      <c r="B24" s="160">
        <v>16</v>
      </c>
      <c r="C24" s="164" t="s">
        <v>623</v>
      </c>
      <c r="D24" s="84" t="s">
        <v>535</v>
      </c>
      <c r="E24" s="110"/>
      <c r="F24" s="110"/>
    </row>
    <row r="25" spans="2:6" x14ac:dyDescent="0.25">
      <c r="B25" s="160">
        <v>17</v>
      </c>
      <c r="C25" s="164" t="s">
        <v>624</v>
      </c>
      <c r="D25" s="84" t="s">
        <v>536</v>
      </c>
      <c r="E25" s="110"/>
      <c r="F25" s="110"/>
    </row>
    <row r="26" spans="2:6" x14ac:dyDescent="0.25">
      <c r="B26" s="160">
        <v>18</v>
      </c>
      <c r="C26" s="177" t="s">
        <v>625</v>
      </c>
      <c r="D26" s="87" t="s">
        <v>486</v>
      </c>
      <c r="E26" s="120">
        <f>+E10+E11+E12+E13+E14+E21+E22+E23+E24+E25</f>
        <v>0</v>
      </c>
      <c r="F26" s="120">
        <f>+F10+F11+F12+F13+F14+F21+F22+F23+F24+F25</f>
        <v>0</v>
      </c>
    </row>
    <row r="27" spans="2:6" ht="6" customHeight="1" x14ac:dyDescent="0.25">
      <c r="C27" s="36"/>
      <c r="D27" s="539"/>
      <c r="E27" s="539"/>
      <c r="F27" s="539"/>
    </row>
  </sheetData>
  <sheetProtection algorithmName="SHA-512" hashValue="ieL7O0cH0x85Ft7W4hk1qX1t0BQ6uTG8/wawI+gqLBFiA2VAgZNJ+1EBkYjm2rKaL+wcryHpqe5LNqj1qfv9tA==" saltValue="+oHl0fRnMSrwOVKMHlMeFw==" spinCount="100000" sheet="1" objects="1" scenarios="1" formatCells="0" formatColumns="0" insertRows="0" deleteRows="0"/>
  <mergeCells count="6">
    <mergeCell ref="D27:F27"/>
    <mergeCell ref="B2:F2"/>
    <mergeCell ref="B3:F3"/>
    <mergeCell ref="B4:F4"/>
    <mergeCell ref="B5:F5"/>
    <mergeCell ref="B6:F6"/>
  </mergeCells>
  <phoneticPr fontId="16" type="noConversion"/>
  <printOptions horizontalCentered="1"/>
  <pageMargins left="0.39370078740157483" right="0.39370078740157483" top="0.39370078740157483" bottom="0.39370078740157483" header="0.78740157480314965" footer="0.78740157480314965"/>
  <pageSetup paperSize="9" fitToHeight="4" orientation="portrait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Munka46">
    <tabColor theme="4" tint="-0.249977111117893"/>
    <pageSetUpPr fitToPage="1"/>
  </sheetPr>
  <dimension ref="B1:U53"/>
  <sheetViews>
    <sheetView view="pageBreakPreview" topLeftCell="A10" zoomScaleSheetLayoutView="100" workbookViewId="0">
      <selection activeCell="E47" sqref="E47"/>
    </sheetView>
  </sheetViews>
  <sheetFormatPr defaultColWidth="9" defaultRowHeight="15.75" x14ac:dyDescent="0.25"/>
  <cols>
    <col min="1" max="1" width="0.875" style="3" customWidth="1"/>
    <col min="2" max="2" width="5.625" style="3" customWidth="1"/>
    <col min="3" max="3" width="3.625" style="3" customWidth="1"/>
    <col min="4" max="4" width="29.875" style="3" customWidth="1"/>
    <col min="5" max="17" width="10.75" style="3" customWidth="1"/>
    <col min="18" max="18" width="0.875" style="3" customWidth="1"/>
    <col min="19" max="19" width="10.75" style="3" customWidth="1"/>
    <col min="20" max="20" width="0.875" style="3" customWidth="1"/>
    <col min="21" max="16384" width="9" style="3"/>
  </cols>
  <sheetData>
    <row r="1" spans="2:19" ht="6" customHeight="1" x14ac:dyDescent="0.25"/>
    <row r="2" spans="2:19" x14ac:dyDescent="0.25">
      <c r="B2" s="544" t="str">
        <f>CONCATENATE(Index!C39," a(z) ",Index!E16," önkormányzati rendelethez")</f>
        <v>20. melléklet a(z) .../2025. (...) önkormányzati rendelethez</v>
      </c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277"/>
      <c r="S2" s="277"/>
    </row>
    <row r="3" spans="2:19" x14ac:dyDescent="0.25"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278"/>
      <c r="S3" s="278"/>
    </row>
    <row r="4" spans="2:19" x14ac:dyDescent="0.25">
      <c r="B4" s="546" t="str">
        <f>PAR!E3</f>
        <v>Nagymaros Város Önkormányzata</v>
      </c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278"/>
      <c r="S4" s="278"/>
    </row>
    <row r="5" spans="2:19" ht="15.75" customHeight="1" x14ac:dyDescent="0.25">
      <c r="B5" s="547" t="str">
        <f>CONCATENATE("Előirányzat felhasználási terv - ",PAR!H3," évre")</f>
        <v>Előirányzat felhasználási terv - 2025. évre</v>
      </c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279"/>
      <c r="S5" s="279"/>
    </row>
    <row r="6" spans="2:19" ht="15.75" customHeight="1" x14ac:dyDescent="0.25">
      <c r="B6" s="548" t="s">
        <v>337</v>
      </c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8"/>
      <c r="R6" s="280"/>
      <c r="S6" s="280"/>
    </row>
    <row r="7" spans="2:19" s="38" customFormat="1" x14ac:dyDescent="0.25">
      <c r="C7" s="156"/>
      <c r="E7" s="140"/>
    </row>
    <row r="8" spans="2:19" s="38" customFormat="1" ht="15.75" customHeight="1" x14ac:dyDescent="0.25">
      <c r="B8" s="537" t="s">
        <v>635</v>
      </c>
      <c r="C8" s="537"/>
      <c r="D8" s="537"/>
      <c r="E8" s="537"/>
      <c r="F8" s="537"/>
      <c r="G8" s="537"/>
      <c r="H8" s="537"/>
    </row>
    <row r="9" spans="2:19" s="38" customFormat="1" x14ac:dyDescent="0.25">
      <c r="C9" s="156"/>
      <c r="E9" s="140"/>
    </row>
    <row r="10" spans="2:19" s="4" customFormat="1" ht="12.75" x14ac:dyDescent="0.2">
      <c r="B10" s="189"/>
      <c r="C10" s="189" t="s">
        <v>350</v>
      </c>
      <c r="D10" s="189" t="s">
        <v>351</v>
      </c>
      <c r="E10" s="189" t="s">
        <v>470</v>
      </c>
      <c r="F10" s="189" t="s">
        <v>471</v>
      </c>
      <c r="G10" s="189" t="s">
        <v>44</v>
      </c>
      <c r="H10" s="189" t="s">
        <v>42</v>
      </c>
      <c r="I10" s="189" t="s">
        <v>511</v>
      </c>
      <c r="J10" s="189" t="s">
        <v>512</v>
      </c>
      <c r="K10" s="189" t="s">
        <v>591</v>
      </c>
      <c r="L10" s="189" t="s">
        <v>628</v>
      </c>
      <c r="M10" s="189" t="s">
        <v>629</v>
      </c>
      <c r="N10" s="189" t="s">
        <v>630</v>
      </c>
      <c r="O10" s="189" t="s">
        <v>631</v>
      </c>
      <c r="P10" s="189" t="s">
        <v>632</v>
      </c>
      <c r="Q10" s="189" t="s">
        <v>633</v>
      </c>
      <c r="S10" s="51"/>
    </row>
    <row r="11" spans="2:19" s="4" customFormat="1" ht="12.75" x14ac:dyDescent="0.2">
      <c r="B11" s="189">
        <v>1</v>
      </c>
      <c r="C11" s="182" t="s">
        <v>537</v>
      </c>
      <c r="D11" s="183" t="s">
        <v>52</v>
      </c>
      <c r="E11" s="183" t="s">
        <v>538</v>
      </c>
      <c r="F11" s="183" t="s">
        <v>539</v>
      </c>
      <c r="G11" s="183" t="s">
        <v>540</v>
      </c>
      <c r="H11" s="183" t="s">
        <v>541</v>
      </c>
      <c r="I11" s="183" t="s">
        <v>542</v>
      </c>
      <c r="J11" s="183" t="s">
        <v>543</v>
      </c>
      <c r="K11" s="183" t="s">
        <v>544</v>
      </c>
      <c r="L11" s="183" t="s">
        <v>545</v>
      </c>
      <c r="M11" s="183" t="s">
        <v>546</v>
      </c>
      <c r="N11" s="183" t="s">
        <v>547</v>
      </c>
      <c r="O11" s="183" t="s">
        <v>548</v>
      </c>
      <c r="P11" s="183" t="s">
        <v>549</v>
      </c>
      <c r="Q11" s="183" t="s">
        <v>486</v>
      </c>
      <c r="S11" s="178" t="s">
        <v>335</v>
      </c>
    </row>
    <row r="12" spans="2:19" s="5" customFormat="1" ht="12.75" x14ac:dyDescent="0.25">
      <c r="B12" s="184">
        <v>2</v>
      </c>
      <c r="C12" s="184" t="s">
        <v>21</v>
      </c>
      <c r="D12" s="185" t="s">
        <v>435</v>
      </c>
      <c r="E12" s="281">
        <f>ROUND(S12*0.12,0)</f>
        <v>96860673</v>
      </c>
      <c r="F12" s="281">
        <f t="shared" ref="F12:O12" si="0">ROUND($S$12*8%,0)</f>
        <v>64573782</v>
      </c>
      <c r="G12" s="281">
        <f t="shared" si="0"/>
        <v>64573782</v>
      </c>
      <c r="H12" s="281">
        <f t="shared" si="0"/>
        <v>64573782</v>
      </c>
      <c r="I12" s="281">
        <f t="shared" si="0"/>
        <v>64573782</v>
      </c>
      <c r="J12" s="281">
        <f t="shared" si="0"/>
        <v>64573782</v>
      </c>
      <c r="K12" s="281">
        <f t="shared" si="0"/>
        <v>64573782</v>
      </c>
      <c r="L12" s="281">
        <f t="shared" si="0"/>
        <v>64573782</v>
      </c>
      <c r="M12" s="281">
        <f t="shared" si="0"/>
        <v>64573782</v>
      </c>
      <c r="N12" s="281">
        <f t="shared" si="0"/>
        <v>64573782</v>
      </c>
      <c r="O12" s="281">
        <f t="shared" si="0"/>
        <v>64573782</v>
      </c>
      <c r="P12" s="281">
        <f>Q12-SUM(E12:O12)</f>
        <v>64573784</v>
      </c>
      <c r="Q12" s="281">
        <f>S12</f>
        <v>807172277</v>
      </c>
      <c r="S12" s="8">
        <f>'02'!F12+'02'!F20</f>
        <v>807172277</v>
      </c>
    </row>
    <row r="13" spans="2:19" s="5" customFormat="1" ht="12.75" x14ac:dyDescent="0.2">
      <c r="B13" s="189">
        <v>3</v>
      </c>
      <c r="C13" s="184" t="s">
        <v>24</v>
      </c>
      <c r="D13" s="185" t="s">
        <v>550</v>
      </c>
      <c r="E13" s="281">
        <v>0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0</v>
      </c>
      <c r="M13" s="281">
        <v>0</v>
      </c>
      <c r="N13" s="281">
        <v>0</v>
      </c>
      <c r="O13" s="281">
        <v>0</v>
      </c>
      <c r="P13" s="281">
        <f t="shared" ref="P13:P19" si="1">Q13-SUM(E13:O13)</f>
        <v>74340963</v>
      </c>
      <c r="Q13" s="281">
        <f t="shared" ref="Q13:Q19" si="2">S13</f>
        <v>74340963</v>
      </c>
      <c r="S13" s="8">
        <f>'02'!F26</f>
        <v>74340963</v>
      </c>
    </row>
    <row r="14" spans="2:19" s="5" customFormat="1" ht="12.75" x14ac:dyDescent="0.25">
      <c r="B14" s="184">
        <v>4</v>
      </c>
      <c r="C14" s="184" t="s">
        <v>27</v>
      </c>
      <c r="D14" s="186" t="s">
        <v>328</v>
      </c>
      <c r="E14" s="281">
        <v>0</v>
      </c>
      <c r="F14" s="281">
        <v>0</v>
      </c>
      <c r="G14" s="281">
        <f>ROUND(Q14/2,0)</f>
        <v>170900000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f>S14-G14</f>
        <v>170900000</v>
      </c>
      <c r="N14" s="281">
        <v>0</v>
      </c>
      <c r="O14" s="281">
        <v>0</v>
      </c>
      <c r="P14" s="281">
        <f t="shared" si="1"/>
        <v>0</v>
      </c>
      <c r="Q14" s="281">
        <f t="shared" si="2"/>
        <v>341800000</v>
      </c>
      <c r="S14" s="8">
        <f>'02'!F32</f>
        <v>341800000</v>
      </c>
    </row>
    <row r="15" spans="2:19" s="5" customFormat="1" ht="12.75" x14ac:dyDescent="0.2">
      <c r="B15" s="189">
        <v>5</v>
      </c>
      <c r="C15" s="184" t="s">
        <v>30</v>
      </c>
      <c r="D15" s="186" t="s">
        <v>329</v>
      </c>
      <c r="E15" s="281">
        <f>ROUND($S$15/12,0)</f>
        <v>15765187</v>
      </c>
      <c r="F15" s="281">
        <f t="shared" ref="F15:O15" si="3">ROUND($S$15/12,0)</f>
        <v>15765187</v>
      </c>
      <c r="G15" s="281">
        <f t="shared" si="3"/>
        <v>15765187</v>
      </c>
      <c r="H15" s="281">
        <f t="shared" si="3"/>
        <v>15765187</v>
      </c>
      <c r="I15" s="281">
        <f t="shared" si="3"/>
        <v>15765187</v>
      </c>
      <c r="J15" s="281">
        <f t="shared" si="3"/>
        <v>15765187</v>
      </c>
      <c r="K15" s="281">
        <f t="shared" si="3"/>
        <v>15765187</v>
      </c>
      <c r="L15" s="281">
        <f t="shared" si="3"/>
        <v>15765187</v>
      </c>
      <c r="M15" s="281">
        <f t="shared" si="3"/>
        <v>15765187</v>
      </c>
      <c r="N15" s="281">
        <f t="shared" si="3"/>
        <v>15765187</v>
      </c>
      <c r="O15" s="281">
        <f t="shared" si="3"/>
        <v>15765187</v>
      </c>
      <c r="P15" s="281">
        <f t="shared" si="1"/>
        <v>15765183</v>
      </c>
      <c r="Q15" s="281">
        <f t="shared" si="2"/>
        <v>189182240</v>
      </c>
      <c r="S15" s="8">
        <f>'02'!F39</f>
        <v>189182240</v>
      </c>
    </row>
    <row r="16" spans="2:19" s="5" customFormat="1" ht="12.75" x14ac:dyDescent="0.25">
      <c r="B16" s="184">
        <v>6</v>
      </c>
      <c r="C16" s="184" t="s">
        <v>33</v>
      </c>
      <c r="D16" s="186" t="s">
        <v>330</v>
      </c>
      <c r="E16" s="281">
        <v>0</v>
      </c>
      <c r="F16" s="281">
        <v>0</v>
      </c>
      <c r="G16" s="281">
        <v>0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f t="shared" si="1"/>
        <v>0</v>
      </c>
      <c r="Q16" s="281">
        <f t="shared" si="2"/>
        <v>0</v>
      </c>
      <c r="S16" s="8">
        <f>'02'!F53</f>
        <v>0</v>
      </c>
    </row>
    <row r="17" spans="2:21" s="5" customFormat="1" ht="12.75" x14ac:dyDescent="0.2">
      <c r="B17" s="189">
        <v>7</v>
      </c>
      <c r="C17" s="184" t="s">
        <v>36</v>
      </c>
      <c r="D17" s="186" t="s">
        <v>331</v>
      </c>
      <c r="E17" s="281">
        <v>0</v>
      </c>
      <c r="F17" s="281">
        <v>0</v>
      </c>
      <c r="G17" s="281">
        <v>0</v>
      </c>
      <c r="H17" s="281">
        <v>0</v>
      </c>
      <c r="I17" s="281">
        <v>0</v>
      </c>
      <c r="J17" s="281">
        <v>0</v>
      </c>
      <c r="K17" s="281">
        <v>0</v>
      </c>
      <c r="L17" s="281">
        <v>0</v>
      </c>
      <c r="M17" s="281">
        <v>0</v>
      </c>
      <c r="N17" s="281">
        <v>0</v>
      </c>
      <c r="O17" s="281">
        <v>0</v>
      </c>
      <c r="P17" s="281">
        <f t="shared" si="1"/>
        <v>1250400</v>
      </c>
      <c r="Q17" s="281">
        <f t="shared" si="2"/>
        <v>1250400</v>
      </c>
      <c r="S17" s="8">
        <f>'02'!F59</f>
        <v>1250400</v>
      </c>
    </row>
    <row r="18" spans="2:21" s="5" customFormat="1" ht="12.75" x14ac:dyDescent="0.25">
      <c r="B18" s="184">
        <v>8</v>
      </c>
      <c r="C18" s="184" t="s">
        <v>38</v>
      </c>
      <c r="D18" s="185" t="s">
        <v>332</v>
      </c>
      <c r="E18" s="281">
        <v>0</v>
      </c>
      <c r="F18" s="281">
        <v>0</v>
      </c>
      <c r="G18" s="281">
        <v>0</v>
      </c>
      <c r="H18" s="281">
        <v>0</v>
      </c>
      <c r="I18" s="281">
        <v>0</v>
      </c>
      <c r="J18" s="281">
        <v>0</v>
      </c>
      <c r="K18" s="281">
        <v>0</v>
      </c>
      <c r="L18" s="281">
        <v>0</v>
      </c>
      <c r="M18" s="281">
        <v>0</v>
      </c>
      <c r="N18" s="281">
        <v>0</v>
      </c>
      <c r="O18" s="281">
        <v>0</v>
      </c>
      <c r="P18" s="281">
        <f t="shared" si="1"/>
        <v>0</v>
      </c>
      <c r="Q18" s="281">
        <f t="shared" si="2"/>
        <v>0</v>
      </c>
      <c r="S18" s="8">
        <f>'02'!F65</f>
        <v>0</v>
      </c>
    </row>
    <row r="19" spans="2:21" s="5" customFormat="1" ht="12.75" x14ac:dyDescent="0.2">
      <c r="B19" s="189">
        <v>9</v>
      </c>
      <c r="C19" s="184" t="s">
        <v>40</v>
      </c>
      <c r="D19" s="186" t="s">
        <v>333</v>
      </c>
      <c r="E19" s="281">
        <f>S19</f>
        <v>241414872</v>
      </c>
      <c r="F19" s="281">
        <v>0</v>
      </c>
      <c r="G19" s="281">
        <v>0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f t="shared" si="1"/>
        <v>0</v>
      </c>
      <c r="Q19" s="281">
        <f t="shared" si="2"/>
        <v>241414872</v>
      </c>
      <c r="S19" s="8">
        <f>'02'!F96</f>
        <v>241414872</v>
      </c>
      <c r="U19" s="6"/>
    </row>
    <row r="20" spans="2:21" s="5" customFormat="1" ht="12.75" x14ac:dyDescent="0.25">
      <c r="B20" s="184">
        <v>10</v>
      </c>
      <c r="C20" s="183" t="s">
        <v>351</v>
      </c>
      <c r="D20" s="187" t="s">
        <v>551</v>
      </c>
      <c r="E20" s="188">
        <f t="shared" ref="E20:P20" si="4">SUM(E12:E19)</f>
        <v>354040732</v>
      </c>
      <c r="F20" s="188">
        <f t="shared" si="4"/>
        <v>80338969</v>
      </c>
      <c r="G20" s="188">
        <f t="shared" si="4"/>
        <v>251238969</v>
      </c>
      <c r="H20" s="188">
        <f t="shared" si="4"/>
        <v>80338969</v>
      </c>
      <c r="I20" s="188">
        <f t="shared" si="4"/>
        <v>80338969</v>
      </c>
      <c r="J20" s="188">
        <f t="shared" si="4"/>
        <v>80338969</v>
      </c>
      <c r="K20" s="188">
        <f t="shared" si="4"/>
        <v>80338969</v>
      </c>
      <c r="L20" s="188">
        <f t="shared" si="4"/>
        <v>80338969</v>
      </c>
      <c r="M20" s="188">
        <f t="shared" si="4"/>
        <v>251238969</v>
      </c>
      <c r="N20" s="188">
        <f t="shared" si="4"/>
        <v>80338969</v>
      </c>
      <c r="O20" s="188">
        <f t="shared" si="4"/>
        <v>80338969</v>
      </c>
      <c r="P20" s="188">
        <f t="shared" si="4"/>
        <v>155930330</v>
      </c>
      <c r="Q20" s="188">
        <f t="shared" ref="Q20" si="5">SUM(E20:P20)</f>
        <v>1655160752</v>
      </c>
      <c r="S20" s="179">
        <f>SUM(S12:S19)</f>
        <v>1655160752</v>
      </c>
    </row>
    <row r="21" spans="2:21" s="38" customFormat="1" x14ac:dyDescent="0.25">
      <c r="C21" s="156"/>
      <c r="E21" s="140"/>
    </row>
    <row r="22" spans="2:21" s="38" customFormat="1" ht="15.75" customHeight="1" x14ac:dyDescent="0.25">
      <c r="B22" s="537" t="s">
        <v>636</v>
      </c>
      <c r="C22" s="537"/>
      <c r="D22" s="537"/>
      <c r="E22" s="537"/>
      <c r="F22" s="537"/>
      <c r="G22" s="537"/>
      <c r="H22" s="537"/>
    </row>
    <row r="23" spans="2:21" s="38" customFormat="1" x14ac:dyDescent="0.25">
      <c r="C23" s="156"/>
      <c r="E23" s="140"/>
    </row>
    <row r="24" spans="2:21" s="5" customFormat="1" ht="12.75" x14ac:dyDescent="0.2">
      <c r="B24" s="189"/>
      <c r="C24" s="189" t="s">
        <v>350</v>
      </c>
      <c r="D24" s="189" t="s">
        <v>351</v>
      </c>
      <c r="E24" s="189" t="s">
        <v>470</v>
      </c>
      <c r="F24" s="189" t="s">
        <v>471</v>
      </c>
      <c r="G24" s="189" t="s">
        <v>44</v>
      </c>
      <c r="H24" s="189" t="s">
        <v>42</v>
      </c>
      <c r="I24" s="189" t="s">
        <v>511</v>
      </c>
      <c r="J24" s="189" t="s">
        <v>512</v>
      </c>
      <c r="K24" s="189" t="s">
        <v>591</v>
      </c>
      <c r="L24" s="189" t="s">
        <v>628</v>
      </c>
      <c r="M24" s="189" t="s">
        <v>629</v>
      </c>
      <c r="N24" s="189" t="s">
        <v>630</v>
      </c>
      <c r="O24" s="189" t="s">
        <v>631</v>
      </c>
      <c r="P24" s="189" t="s">
        <v>632</v>
      </c>
      <c r="Q24" s="189" t="s">
        <v>633</v>
      </c>
      <c r="S24" s="52"/>
    </row>
    <row r="25" spans="2:21" s="5" customFormat="1" ht="12.75" x14ac:dyDescent="0.2">
      <c r="B25" s="189">
        <v>1</v>
      </c>
      <c r="C25" s="182" t="s">
        <v>537</v>
      </c>
      <c r="D25" s="183" t="s">
        <v>52</v>
      </c>
      <c r="E25" s="183" t="s">
        <v>538</v>
      </c>
      <c r="F25" s="183" t="s">
        <v>539</v>
      </c>
      <c r="G25" s="183" t="s">
        <v>540</v>
      </c>
      <c r="H25" s="183" t="s">
        <v>541</v>
      </c>
      <c r="I25" s="183" t="s">
        <v>542</v>
      </c>
      <c r="J25" s="183" t="s">
        <v>543</v>
      </c>
      <c r="K25" s="183" t="s">
        <v>544</v>
      </c>
      <c r="L25" s="183" t="s">
        <v>545</v>
      </c>
      <c r="M25" s="183" t="s">
        <v>546</v>
      </c>
      <c r="N25" s="183" t="s">
        <v>547</v>
      </c>
      <c r="O25" s="183" t="s">
        <v>548</v>
      </c>
      <c r="P25" s="183" t="s">
        <v>549</v>
      </c>
      <c r="Q25" s="183" t="s">
        <v>486</v>
      </c>
      <c r="S25" s="178" t="s">
        <v>335</v>
      </c>
    </row>
    <row r="26" spans="2:21" s="5" customFormat="1" ht="12.75" x14ac:dyDescent="0.25">
      <c r="B26" s="184">
        <v>2</v>
      </c>
      <c r="C26" s="184" t="s">
        <v>315</v>
      </c>
      <c r="D26" s="186" t="s">
        <v>436</v>
      </c>
      <c r="E26" s="281">
        <f>ROUND($S$26/12,0)</f>
        <v>56241046</v>
      </c>
      <c r="F26" s="281">
        <f t="shared" ref="F26:O26" si="6">ROUND($S$26/12,0)</f>
        <v>56241046</v>
      </c>
      <c r="G26" s="281">
        <f t="shared" si="6"/>
        <v>56241046</v>
      </c>
      <c r="H26" s="281">
        <f t="shared" si="6"/>
        <v>56241046</v>
      </c>
      <c r="I26" s="281">
        <f t="shared" si="6"/>
        <v>56241046</v>
      </c>
      <c r="J26" s="281">
        <f t="shared" si="6"/>
        <v>56241046</v>
      </c>
      <c r="K26" s="281">
        <f t="shared" si="6"/>
        <v>56241046</v>
      </c>
      <c r="L26" s="281">
        <f t="shared" si="6"/>
        <v>56241046</v>
      </c>
      <c r="M26" s="281">
        <f t="shared" si="6"/>
        <v>56241046</v>
      </c>
      <c r="N26" s="281">
        <f t="shared" si="6"/>
        <v>56241046</v>
      </c>
      <c r="O26" s="281">
        <f t="shared" si="6"/>
        <v>56241046</v>
      </c>
      <c r="P26" s="281">
        <f>Q26-SUM(E26:O26)</f>
        <v>56241040</v>
      </c>
      <c r="Q26" s="281">
        <f>S26</f>
        <v>674892546</v>
      </c>
      <c r="S26" s="8">
        <f>'02'!F104</f>
        <v>674892546</v>
      </c>
    </row>
    <row r="27" spans="2:21" s="5" customFormat="1" ht="12.75" x14ac:dyDescent="0.2">
      <c r="B27" s="189">
        <v>3</v>
      </c>
      <c r="C27" s="184" t="s">
        <v>317</v>
      </c>
      <c r="D27" s="185" t="s">
        <v>552</v>
      </c>
      <c r="E27" s="281">
        <f>ROUND($S$27/12,0)</f>
        <v>7068926</v>
      </c>
      <c r="F27" s="281">
        <f t="shared" ref="F27:O27" si="7">ROUND($S$27/12,0)</f>
        <v>7068926</v>
      </c>
      <c r="G27" s="281">
        <f t="shared" si="7"/>
        <v>7068926</v>
      </c>
      <c r="H27" s="281">
        <f t="shared" si="7"/>
        <v>7068926</v>
      </c>
      <c r="I27" s="281">
        <f t="shared" si="7"/>
        <v>7068926</v>
      </c>
      <c r="J27" s="281">
        <f t="shared" si="7"/>
        <v>7068926</v>
      </c>
      <c r="K27" s="281">
        <f t="shared" si="7"/>
        <v>7068926</v>
      </c>
      <c r="L27" s="281">
        <f t="shared" si="7"/>
        <v>7068926</v>
      </c>
      <c r="M27" s="281">
        <f t="shared" si="7"/>
        <v>7068926</v>
      </c>
      <c r="N27" s="281">
        <f t="shared" si="7"/>
        <v>7068926</v>
      </c>
      <c r="O27" s="281">
        <f t="shared" si="7"/>
        <v>7068926</v>
      </c>
      <c r="P27" s="281">
        <f t="shared" ref="P27:P32" si="8">Q27-SUM(E27:O27)</f>
        <v>7068920</v>
      </c>
      <c r="Q27" s="281">
        <f t="shared" ref="Q27:Q34" si="9">S27</f>
        <v>84827106</v>
      </c>
      <c r="S27" s="8">
        <f>'02'!F105</f>
        <v>84827106</v>
      </c>
    </row>
    <row r="28" spans="2:21" s="5" customFormat="1" ht="12.75" x14ac:dyDescent="0.25">
      <c r="B28" s="184">
        <v>4</v>
      </c>
      <c r="C28" s="184" t="s">
        <v>4</v>
      </c>
      <c r="D28" s="186" t="s">
        <v>344</v>
      </c>
      <c r="E28" s="281">
        <f>ROUND($S$28/12,0)</f>
        <v>45346248</v>
      </c>
      <c r="F28" s="281">
        <f t="shared" ref="F28:O28" si="10">ROUND($S$28/12,0)</f>
        <v>45346248</v>
      </c>
      <c r="G28" s="281">
        <f t="shared" si="10"/>
        <v>45346248</v>
      </c>
      <c r="H28" s="281">
        <f t="shared" si="10"/>
        <v>45346248</v>
      </c>
      <c r="I28" s="281">
        <f t="shared" si="10"/>
        <v>45346248</v>
      </c>
      <c r="J28" s="281">
        <f t="shared" si="10"/>
        <v>45346248</v>
      </c>
      <c r="K28" s="281">
        <f t="shared" si="10"/>
        <v>45346248</v>
      </c>
      <c r="L28" s="281">
        <f t="shared" si="10"/>
        <v>45346248</v>
      </c>
      <c r="M28" s="281">
        <f t="shared" si="10"/>
        <v>45346248</v>
      </c>
      <c r="N28" s="281">
        <f t="shared" si="10"/>
        <v>45346248</v>
      </c>
      <c r="O28" s="281">
        <f t="shared" si="10"/>
        <v>45346248</v>
      </c>
      <c r="P28" s="281">
        <f t="shared" si="8"/>
        <v>45346248</v>
      </c>
      <c r="Q28" s="281">
        <f t="shared" si="9"/>
        <v>544154976</v>
      </c>
      <c r="S28" s="8">
        <f>'02'!F106</f>
        <v>544154976</v>
      </c>
    </row>
    <row r="29" spans="2:21" s="5" customFormat="1" ht="12.75" x14ac:dyDescent="0.2">
      <c r="B29" s="189">
        <v>5</v>
      </c>
      <c r="C29" s="184" t="s">
        <v>6</v>
      </c>
      <c r="D29" s="186" t="s">
        <v>345</v>
      </c>
      <c r="E29" s="281">
        <f>ROUND($S$29/12,0)</f>
        <v>666667</v>
      </c>
      <c r="F29" s="281">
        <f t="shared" ref="F29:O29" si="11">ROUND($S$29/12,0)</f>
        <v>666667</v>
      </c>
      <c r="G29" s="281">
        <f t="shared" si="11"/>
        <v>666667</v>
      </c>
      <c r="H29" s="281">
        <f t="shared" si="11"/>
        <v>666667</v>
      </c>
      <c r="I29" s="281">
        <f t="shared" si="11"/>
        <v>666667</v>
      </c>
      <c r="J29" s="281">
        <f t="shared" si="11"/>
        <v>666667</v>
      </c>
      <c r="K29" s="281">
        <f t="shared" si="11"/>
        <v>666667</v>
      </c>
      <c r="L29" s="281">
        <f t="shared" si="11"/>
        <v>666667</v>
      </c>
      <c r="M29" s="281">
        <f t="shared" si="11"/>
        <v>666667</v>
      </c>
      <c r="N29" s="281">
        <f t="shared" si="11"/>
        <v>666667</v>
      </c>
      <c r="O29" s="281">
        <f t="shared" si="11"/>
        <v>666667</v>
      </c>
      <c r="P29" s="281">
        <f t="shared" si="8"/>
        <v>666663</v>
      </c>
      <c r="Q29" s="281">
        <f t="shared" si="9"/>
        <v>8000000</v>
      </c>
      <c r="S29" s="8">
        <f>'02'!F107</f>
        <v>8000000</v>
      </c>
    </row>
    <row r="30" spans="2:21" s="5" customFormat="1" ht="12.75" x14ac:dyDescent="0.25">
      <c r="B30" s="184">
        <v>6</v>
      </c>
      <c r="C30" s="184" t="s">
        <v>8</v>
      </c>
      <c r="D30" s="186" t="s">
        <v>553</v>
      </c>
      <c r="E30" s="281">
        <f>ROUND($S$30/12,0)</f>
        <v>11261936</v>
      </c>
      <c r="F30" s="281">
        <f t="shared" ref="F30:O30" si="12">ROUND($S$30/12,0)</f>
        <v>11261936</v>
      </c>
      <c r="G30" s="281">
        <f t="shared" si="12"/>
        <v>11261936</v>
      </c>
      <c r="H30" s="281">
        <f t="shared" si="12"/>
        <v>11261936</v>
      </c>
      <c r="I30" s="281">
        <f t="shared" si="12"/>
        <v>11261936</v>
      </c>
      <c r="J30" s="281">
        <f t="shared" si="12"/>
        <v>11261936</v>
      </c>
      <c r="K30" s="281">
        <f t="shared" si="12"/>
        <v>11261936</v>
      </c>
      <c r="L30" s="281">
        <f t="shared" si="12"/>
        <v>11261936</v>
      </c>
      <c r="M30" s="281">
        <f t="shared" si="12"/>
        <v>11261936</v>
      </c>
      <c r="N30" s="281">
        <f t="shared" si="12"/>
        <v>11261936</v>
      </c>
      <c r="O30" s="281">
        <f t="shared" si="12"/>
        <v>11261936</v>
      </c>
      <c r="P30" s="281">
        <f t="shared" si="8"/>
        <v>11261935</v>
      </c>
      <c r="Q30" s="281">
        <f t="shared" si="9"/>
        <v>135143231</v>
      </c>
      <c r="S30" s="8">
        <f>'02'!F108+'02'!F109</f>
        <v>135143231</v>
      </c>
      <c r="U30" s="6"/>
    </row>
    <row r="31" spans="2:21" s="5" customFormat="1" ht="12.75" x14ac:dyDescent="0.2">
      <c r="B31" s="189">
        <v>7</v>
      </c>
      <c r="C31" s="184" t="s">
        <v>10</v>
      </c>
      <c r="D31" s="186" t="s">
        <v>322</v>
      </c>
      <c r="E31" s="281">
        <v>0</v>
      </c>
      <c r="F31" s="281">
        <v>0</v>
      </c>
      <c r="G31" s="281">
        <v>0</v>
      </c>
      <c r="H31" s="281">
        <v>0</v>
      </c>
      <c r="I31" s="281">
        <v>0</v>
      </c>
      <c r="J31" s="281">
        <v>0</v>
      </c>
      <c r="K31" s="281">
        <v>0</v>
      </c>
      <c r="L31" s="281">
        <v>0</v>
      </c>
      <c r="M31" s="281">
        <v>0</v>
      </c>
      <c r="N31" s="281">
        <v>0</v>
      </c>
      <c r="O31" s="281">
        <v>0</v>
      </c>
      <c r="P31" s="281">
        <f t="shared" si="8"/>
        <v>134080399</v>
      </c>
      <c r="Q31" s="281">
        <f t="shared" si="9"/>
        <v>134080399</v>
      </c>
      <c r="S31" s="8">
        <f>'02'!F113</f>
        <v>134080399</v>
      </c>
    </row>
    <row r="32" spans="2:21" s="5" customFormat="1" ht="12.75" x14ac:dyDescent="0.25">
      <c r="B32" s="184">
        <v>8</v>
      </c>
      <c r="C32" s="184" t="s">
        <v>12</v>
      </c>
      <c r="D32" s="185" t="s">
        <v>323</v>
      </c>
      <c r="E32" s="281">
        <v>0</v>
      </c>
      <c r="F32" s="281">
        <v>0</v>
      </c>
      <c r="G32" s="281">
        <v>0</v>
      </c>
      <c r="H32" s="281">
        <v>0</v>
      </c>
      <c r="I32" s="281">
        <v>0</v>
      </c>
      <c r="J32" s="281">
        <v>0</v>
      </c>
      <c r="K32" s="281">
        <v>0</v>
      </c>
      <c r="L32" s="281">
        <v>0</v>
      </c>
      <c r="M32" s="281">
        <v>0</v>
      </c>
      <c r="N32" s="281">
        <v>0</v>
      </c>
      <c r="O32" s="281">
        <v>0</v>
      </c>
      <c r="P32" s="281">
        <f t="shared" si="8"/>
        <v>34567119</v>
      </c>
      <c r="Q32" s="281">
        <f t="shared" si="9"/>
        <v>34567119</v>
      </c>
      <c r="S32" s="8">
        <f>'02'!F115</f>
        <v>34567119</v>
      </c>
    </row>
    <row r="33" spans="2:19" s="5" customFormat="1" ht="12.75" x14ac:dyDescent="0.2">
      <c r="B33" s="189">
        <v>9</v>
      </c>
      <c r="C33" s="184" t="s">
        <v>15</v>
      </c>
      <c r="D33" s="186" t="s">
        <v>324</v>
      </c>
      <c r="E33" s="281">
        <v>0</v>
      </c>
      <c r="F33" s="281">
        <v>0</v>
      </c>
      <c r="G33" s="281">
        <v>0</v>
      </c>
      <c r="H33" s="281">
        <v>0</v>
      </c>
      <c r="I33" s="281">
        <v>0</v>
      </c>
      <c r="J33" s="281">
        <v>0</v>
      </c>
      <c r="K33" s="281">
        <v>0</v>
      </c>
      <c r="L33" s="281">
        <v>0</v>
      </c>
      <c r="M33" s="281">
        <v>0</v>
      </c>
      <c r="N33" s="281">
        <v>0</v>
      </c>
      <c r="O33" s="281">
        <v>0</v>
      </c>
      <c r="P33" s="281">
        <f>Q33-SUM(E33:O33)</f>
        <v>0</v>
      </c>
      <c r="Q33" s="281">
        <f t="shared" si="9"/>
        <v>0</v>
      </c>
      <c r="S33" s="8">
        <f>'02'!F117</f>
        <v>0</v>
      </c>
    </row>
    <row r="34" spans="2:19" s="5" customFormat="1" ht="12.75" x14ac:dyDescent="0.25">
      <c r="B34" s="184">
        <v>10</v>
      </c>
      <c r="C34" s="184" t="s">
        <v>18</v>
      </c>
      <c r="D34" s="186" t="s">
        <v>325</v>
      </c>
      <c r="E34" s="281">
        <v>0</v>
      </c>
      <c r="F34" s="281">
        <v>0</v>
      </c>
      <c r="G34" s="281">
        <v>0</v>
      </c>
      <c r="H34" s="281">
        <v>0</v>
      </c>
      <c r="I34" s="281">
        <v>0</v>
      </c>
      <c r="J34" s="281">
        <v>0</v>
      </c>
      <c r="K34" s="281">
        <v>0</v>
      </c>
      <c r="L34" s="281">
        <v>0</v>
      </c>
      <c r="M34" s="281">
        <v>0</v>
      </c>
      <c r="N34" s="281">
        <v>0</v>
      </c>
      <c r="O34" s="281">
        <v>0</v>
      </c>
      <c r="P34" s="281">
        <f>Q34-SUM(E34:O34)</f>
        <v>39495375</v>
      </c>
      <c r="Q34" s="281">
        <f t="shared" si="9"/>
        <v>39495375</v>
      </c>
      <c r="S34" s="8">
        <f>'02'!F143</f>
        <v>39495375</v>
      </c>
    </row>
    <row r="35" spans="2:19" s="5" customFormat="1" ht="12.75" x14ac:dyDescent="0.2">
      <c r="B35" s="189">
        <v>11</v>
      </c>
      <c r="C35" s="183" t="s">
        <v>629</v>
      </c>
      <c r="D35" s="187" t="s">
        <v>554</v>
      </c>
      <c r="E35" s="188">
        <f t="shared" ref="E35:O35" si="13">SUM(E26:E34)</f>
        <v>120584823</v>
      </c>
      <c r="F35" s="188">
        <f t="shared" si="13"/>
        <v>120584823</v>
      </c>
      <c r="G35" s="188">
        <f t="shared" si="13"/>
        <v>120584823</v>
      </c>
      <c r="H35" s="188">
        <f t="shared" si="13"/>
        <v>120584823</v>
      </c>
      <c r="I35" s="188">
        <f t="shared" si="13"/>
        <v>120584823</v>
      </c>
      <c r="J35" s="188">
        <f t="shared" si="13"/>
        <v>120584823</v>
      </c>
      <c r="K35" s="188">
        <f t="shared" si="13"/>
        <v>120584823</v>
      </c>
      <c r="L35" s="188">
        <f t="shared" si="13"/>
        <v>120584823</v>
      </c>
      <c r="M35" s="188">
        <f t="shared" si="13"/>
        <v>120584823</v>
      </c>
      <c r="N35" s="188">
        <f t="shared" si="13"/>
        <v>120584823</v>
      </c>
      <c r="O35" s="188">
        <f t="shared" si="13"/>
        <v>120584823</v>
      </c>
      <c r="P35" s="188">
        <f t="shared" ref="P35" si="14">SUM(P26:P34)</f>
        <v>328727699</v>
      </c>
      <c r="Q35" s="188">
        <f t="shared" ref="Q35" si="15">SUM(E35:P35)</f>
        <v>1655160752</v>
      </c>
      <c r="S35" s="179">
        <f>SUM(S26:S34)</f>
        <v>1655160752</v>
      </c>
    </row>
    <row r="36" spans="2:19" s="38" customFormat="1" x14ac:dyDescent="0.25">
      <c r="C36" s="156"/>
      <c r="E36" s="140"/>
    </row>
    <row r="37" spans="2:19" s="38" customFormat="1" ht="15.75" customHeight="1" x14ac:dyDescent="0.25">
      <c r="B37" s="537" t="s">
        <v>664</v>
      </c>
      <c r="C37" s="537"/>
      <c r="D37" s="537"/>
      <c r="E37" s="537"/>
      <c r="F37" s="537"/>
      <c r="G37" s="537"/>
      <c r="H37" s="537"/>
    </row>
    <row r="38" spans="2:19" s="38" customFormat="1" x14ac:dyDescent="0.25">
      <c r="C38" s="156"/>
      <c r="E38" s="140"/>
    </row>
    <row r="39" spans="2:19" s="5" customFormat="1" ht="12.75" x14ac:dyDescent="0.2">
      <c r="B39" s="189"/>
      <c r="C39" s="189" t="s">
        <v>350</v>
      </c>
      <c r="D39" s="189" t="s">
        <v>351</v>
      </c>
      <c r="E39" s="189" t="s">
        <v>470</v>
      </c>
      <c r="F39" s="189" t="s">
        <v>471</v>
      </c>
      <c r="G39" s="189" t="s">
        <v>44</v>
      </c>
      <c r="H39" s="189" t="s">
        <v>42</v>
      </c>
      <c r="I39" s="189" t="s">
        <v>511</v>
      </c>
      <c r="J39" s="189" t="s">
        <v>512</v>
      </c>
      <c r="K39" s="189" t="s">
        <v>591</v>
      </c>
      <c r="L39" s="189" t="s">
        <v>628</v>
      </c>
      <c r="M39" s="189" t="s">
        <v>629</v>
      </c>
      <c r="N39" s="189" t="s">
        <v>630</v>
      </c>
      <c r="O39" s="189" t="s">
        <v>631</v>
      </c>
      <c r="P39" s="189" t="s">
        <v>632</v>
      </c>
      <c r="Q39" s="189" t="s">
        <v>633</v>
      </c>
      <c r="S39" s="52"/>
    </row>
    <row r="40" spans="2:19" s="5" customFormat="1" ht="12.75" x14ac:dyDescent="0.2">
      <c r="B40" s="189">
        <v>1</v>
      </c>
      <c r="C40" s="182" t="s">
        <v>537</v>
      </c>
      <c r="D40" s="183" t="s">
        <v>52</v>
      </c>
      <c r="E40" s="183" t="s">
        <v>538</v>
      </c>
      <c r="F40" s="183" t="s">
        <v>539</v>
      </c>
      <c r="G40" s="183" t="s">
        <v>540</v>
      </c>
      <c r="H40" s="183" t="s">
        <v>541</v>
      </c>
      <c r="I40" s="183" t="s">
        <v>542</v>
      </c>
      <c r="J40" s="183" t="s">
        <v>543</v>
      </c>
      <c r="K40" s="183" t="s">
        <v>544</v>
      </c>
      <c r="L40" s="183" t="s">
        <v>545</v>
      </c>
      <c r="M40" s="183" t="s">
        <v>546</v>
      </c>
      <c r="N40" s="183" t="s">
        <v>547</v>
      </c>
      <c r="O40" s="183" t="s">
        <v>548</v>
      </c>
      <c r="P40" s="183" t="s">
        <v>549</v>
      </c>
      <c r="Q40" s="183" t="s">
        <v>486</v>
      </c>
      <c r="S40" s="178" t="s">
        <v>335</v>
      </c>
    </row>
    <row r="41" spans="2:19" s="4" customFormat="1" ht="12.75" x14ac:dyDescent="0.2">
      <c r="B41" s="189">
        <v>2</v>
      </c>
      <c r="C41" s="183" t="s">
        <v>56</v>
      </c>
      <c r="D41" s="187" t="s">
        <v>634</v>
      </c>
      <c r="E41" s="188">
        <f t="shared" ref="E41:Q41" si="16">E20-E35</f>
        <v>233455909</v>
      </c>
      <c r="F41" s="188">
        <f t="shared" si="16"/>
        <v>-40245854</v>
      </c>
      <c r="G41" s="188">
        <f t="shared" si="16"/>
        <v>130654146</v>
      </c>
      <c r="H41" s="188">
        <f t="shared" si="16"/>
        <v>-40245854</v>
      </c>
      <c r="I41" s="188">
        <f t="shared" si="16"/>
        <v>-40245854</v>
      </c>
      <c r="J41" s="188">
        <f t="shared" si="16"/>
        <v>-40245854</v>
      </c>
      <c r="K41" s="188">
        <f t="shared" si="16"/>
        <v>-40245854</v>
      </c>
      <c r="L41" s="188">
        <f t="shared" si="16"/>
        <v>-40245854</v>
      </c>
      <c r="M41" s="188">
        <f t="shared" si="16"/>
        <v>130654146</v>
      </c>
      <c r="N41" s="188">
        <f t="shared" si="16"/>
        <v>-40245854</v>
      </c>
      <c r="O41" s="188">
        <f t="shared" si="16"/>
        <v>-40245854</v>
      </c>
      <c r="P41" s="188">
        <f t="shared" ref="P41" si="17">P20-P35</f>
        <v>-172797369</v>
      </c>
      <c r="Q41" s="188">
        <f t="shared" si="16"/>
        <v>0</v>
      </c>
      <c r="R41" s="180"/>
      <c r="S41" s="179">
        <f>S20-S35</f>
        <v>0</v>
      </c>
    </row>
    <row r="42" spans="2:19" s="38" customFormat="1" x14ac:dyDescent="0.25">
      <c r="C42" s="156"/>
      <c r="E42" s="140"/>
    </row>
    <row r="43" spans="2:19" s="38" customFormat="1" ht="15.75" customHeight="1" x14ac:dyDescent="0.25">
      <c r="B43" s="537" t="s">
        <v>665</v>
      </c>
      <c r="C43" s="537"/>
      <c r="D43" s="537"/>
      <c r="E43" s="537"/>
      <c r="F43" s="537"/>
      <c r="G43" s="537"/>
      <c r="H43" s="537"/>
    </row>
    <row r="44" spans="2:19" s="38" customFormat="1" x14ac:dyDescent="0.25">
      <c r="C44" s="156"/>
      <c r="E44" s="140"/>
    </row>
    <row r="45" spans="2:19" s="5" customFormat="1" ht="12.75" x14ac:dyDescent="0.2">
      <c r="B45" s="189"/>
      <c r="C45" s="189" t="s">
        <v>350</v>
      </c>
      <c r="D45" s="189" t="s">
        <v>351</v>
      </c>
      <c r="E45" s="189" t="s">
        <v>470</v>
      </c>
      <c r="F45" s="189" t="s">
        <v>471</v>
      </c>
      <c r="G45" s="189" t="s">
        <v>44</v>
      </c>
      <c r="H45" s="189" t="s">
        <v>42</v>
      </c>
      <c r="I45" s="189" t="s">
        <v>511</v>
      </c>
      <c r="J45" s="189" t="s">
        <v>512</v>
      </c>
      <c r="K45" s="189" t="s">
        <v>591</v>
      </c>
      <c r="L45" s="189" t="s">
        <v>628</v>
      </c>
      <c r="M45" s="189" t="s">
        <v>629</v>
      </c>
      <c r="N45" s="189" t="s">
        <v>630</v>
      </c>
      <c r="O45" s="189" t="s">
        <v>631</v>
      </c>
      <c r="P45" s="189" t="s">
        <v>632</v>
      </c>
      <c r="Q45" s="189" t="s">
        <v>633</v>
      </c>
      <c r="S45" s="40"/>
    </row>
    <row r="46" spans="2:19" s="5" customFormat="1" ht="12.75" x14ac:dyDescent="0.2">
      <c r="B46" s="189">
        <v>1</v>
      </c>
      <c r="C46" s="182" t="s">
        <v>537</v>
      </c>
      <c r="D46" s="183" t="s">
        <v>52</v>
      </c>
      <c r="E46" s="183" t="s">
        <v>538</v>
      </c>
      <c r="F46" s="183" t="s">
        <v>539</v>
      </c>
      <c r="G46" s="183" t="s">
        <v>540</v>
      </c>
      <c r="H46" s="183" t="s">
        <v>541</v>
      </c>
      <c r="I46" s="183" t="s">
        <v>542</v>
      </c>
      <c r="J46" s="183" t="s">
        <v>543</v>
      </c>
      <c r="K46" s="183" t="s">
        <v>544</v>
      </c>
      <c r="L46" s="183" t="s">
        <v>545</v>
      </c>
      <c r="M46" s="183" t="s">
        <v>546</v>
      </c>
      <c r="N46" s="183" t="s">
        <v>547</v>
      </c>
      <c r="O46" s="183" t="s">
        <v>548</v>
      </c>
      <c r="P46" s="183" t="s">
        <v>549</v>
      </c>
      <c r="Q46" s="183" t="s">
        <v>486</v>
      </c>
      <c r="S46" s="40"/>
    </row>
    <row r="47" spans="2:19" s="4" customFormat="1" ht="12.75" x14ac:dyDescent="0.2">
      <c r="B47" s="189">
        <v>2</v>
      </c>
      <c r="C47" s="183">
        <v>1</v>
      </c>
      <c r="D47" s="190" t="s">
        <v>555</v>
      </c>
      <c r="E47" s="432"/>
      <c r="F47" s="188">
        <f>E50</f>
        <v>-7498999</v>
      </c>
      <c r="G47" s="188">
        <f t="shared" ref="G47:P47" si="18">F50</f>
        <v>-47744853</v>
      </c>
      <c r="H47" s="188">
        <f t="shared" si="18"/>
        <v>82909293</v>
      </c>
      <c r="I47" s="188">
        <f t="shared" si="18"/>
        <v>42663439</v>
      </c>
      <c r="J47" s="188">
        <f t="shared" si="18"/>
        <v>2417585</v>
      </c>
      <c r="K47" s="188">
        <f t="shared" si="18"/>
        <v>-37828269</v>
      </c>
      <c r="L47" s="188">
        <f t="shared" si="18"/>
        <v>-78074123</v>
      </c>
      <c r="M47" s="188">
        <f t="shared" si="18"/>
        <v>-118319977</v>
      </c>
      <c r="N47" s="188">
        <f t="shared" si="18"/>
        <v>12334169</v>
      </c>
      <c r="O47" s="188">
        <f t="shared" si="18"/>
        <v>-27911685</v>
      </c>
      <c r="P47" s="188">
        <f t="shared" si="18"/>
        <v>-68157539</v>
      </c>
      <c r="Q47" s="188">
        <f>E47</f>
        <v>0</v>
      </c>
      <c r="S47" s="40"/>
    </row>
    <row r="48" spans="2:19" s="4" customFormat="1" ht="12.75" x14ac:dyDescent="0.2">
      <c r="B48" s="189">
        <v>3</v>
      </c>
      <c r="C48" s="184">
        <v>2</v>
      </c>
      <c r="D48" s="181" t="s">
        <v>556</v>
      </c>
      <c r="E48" s="281">
        <f>E20-'02'!F82</f>
        <v>113085824</v>
      </c>
      <c r="F48" s="281">
        <f t="shared" ref="F48:O48" si="19">F20</f>
        <v>80338969</v>
      </c>
      <c r="G48" s="281">
        <f t="shared" si="19"/>
        <v>251238969</v>
      </c>
      <c r="H48" s="281">
        <f t="shared" si="19"/>
        <v>80338969</v>
      </c>
      <c r="I48" s="281">
        <f t="shared" si="19"/>
        <v>80338969</v>
      </c>
      <c r="J48" s="281">
        <f t="shared" si="19"/>
        <v>80338969</v>
      </c>
      <c r="K48" s="281">
        <f>K20</f>
        <v>80338969</v>
      </c>
      <c r="L48" s="281">
        <f t="shared" si="19"/>
        <v>80338969</v>
      </c>
      <c r="M48" s="281">
        <f t="shared" si="19"/>
        <v>251238969</v>
      </c>
      <c r="N48" s="281">
        <f t="shared" si="19"/>
        <v>80338969</v>
      </c>
      <c r="O48" s="281">
        <f t="shared" si="19"/>
        <v>80338969</v>
      </c>
      <c r="P48" s="281">
        <f>P20</f>
        <v>155930330</v>
      </c>
      <c r="Q48" s="281">
        <f>SUM(E48:P48)</f>
        <v>1414205844</v>
      </c>
      <c r="S48" s="40"/>
    </row>
    <row r="49" spans="2:19" s="4" customFormat="1" ht="12.75" x14ac:dyDescent="0.2">
      <c r="B49" s="189">
        <v>4</v>
      </c>
      <c r="C49" s="184">
        <v>3</v>
      </c>
      <c r="D49" s="181" t="s">
        <v>557</v>
      </c>
      <c r="E49" s="281">
        <f>E35</f>
        <v>120584823</v>
      </c>
      <c r="F49" s="281">
        <f t="shared" ref="F49:O49" si="20">F35</f>
        <v>120584823</v>
      </c>
      <c r="G49" s="281">
        <f t="shared" si="20"/>
        <v>120584823</v>
      </c>
      <c r="H49" s="281">
        <f t="shared" si="20"/>
        <v>120584823</v>
      </c>
      <c r="I49" s="281">
        <f t="shared" si="20"/>
        <v>120584823</v>
      </c>
      <c r="J49" s="281">
        <f t="shared" si="20"/>
        <v>120584823</v>
      </c>
      <c r="K49" s="281">
        <f>K35</f>
        <v>120584823</v>
      </c>
      <c r="L49" s="281">
        <f t="shared" si="20"/>
        <v>120584823</v>
      </c>
      <c r="M49" s="281">
        <f t="shared" si="20"/>
        <v>120584823</v>
      </c>
      <c r="N49" s="281">
        <f t="shared" si="20"/>
        <v>120584823</v>
      </c>
      <c r="O49" s="281">
        <f t="shared" si="20"/>
        <v>120584823</v>
      </c>
      <c r="P49" s="281">
        <f t="shared" ref="P49" si="21">P35</f>
        <v>328727699</v>
      </c>
      <c r="Q49" s="281">
        <f>SUM(E49:P49)</f>
        <v>1655160752</v>
      </c>
      <c r="S49" s="40"/>
    </row>
    <row r="50" spans="2:19" s="4" customFormat="1" ht="12.75" x14ac:dyDescent="0.2">
      <c r="B50" s="189">
        <v>5</v>
      </c>
      <c r="C50" s="183">
        <v>4</v>
      </c>
      <c r="D50" s="190" t="s">
        <v>558</v>
      </c>
      <c r="E50" s="188">
        <f>E47+E48-E49</f>
        <v>-7498999</v>
      </c>
      <c r="F50" s="188">
        <f>F47+F48-F49</f>
        <v>-47744853</v>
      </c>
      <c r="G50" s="188">
        <f t="shared" ref="G50:P50" si="22">G47+G48-G49</f>
        <v>82909293</v>
      </c>
      <c r="H50" s="188">
        <f t="shared" si="22"/>
        <v>42663439</v>
      </c>
      <c r="I50" s="188">
        <f t="shared" si="22"/>
        <v>2417585</v>
      </c>
      <c r="J50" s="188">
        <f t="shared" si="22"/>
        <v>-37828269</v>
      </c>
      <c r="K50" s="188">
        <f t="shared" si="22"/>
        <v>-78074123</v>
      </c>
      <c r="L50" s="188">
        <f t="shared" si="22"/>
        <v>-118319977</v>
      </c>
      <c r="M50" s="188">
        <f t="shared" si="22"/>
        <v>12334169</v>
      </c>
      <c r="N50" s="188">
        <f t="shared" si="22"/>
        <v>-27911685</v>
      </c>
      <c r="O50" s="188">
        <f t="shared" si="22"/>
        <v>-68157539</v>
      </c>
      <c r="P50" s="188">
        <f t="shared" si="22"/>
        <v>-240954908</v>
      </c>
      <c r="Q50" s="188">
        <f>Q47+Q48-Q49</f>
        <v>-240954908</v>
      </c>
      <c r="S50" s="40"/>
    </row>
    <row r="51" spans="2:19" ht="6" customHeight="1" x14ac:dyDescent="0.25">
      <c r="S51" s="38"/>
    </row>
    <row r="52" spans="2:19" x14ac:dyDescent="0.25">
      <c r="S52" s="38"/>
    </row>
    <row r="53" spans="2:19" x14ac:dyDescent="0.25">
      <c r="S53" s="38"/>
    </row>
  </sheetData>
  <sheetProtection algorithmName="SHA-512" hashValue="rJb0aiKfHTJ0fla9XJpBYX33LnX/5kle/+KC42g8w53Acy+kaBNGaRWq7sHKT/BwYDylD3tLJBmVfYS+ZrwuOA==" saltValue="5vWtV3lJxLJ6if6/i8sHdg==" spinCount="100000" sheet="1" objects="1" scenarios="1" formatCells="0" formatColumns="0" formatRows="0"/>
  <mergeCells count="9">
    <mergeCell ref="B8:H8"/>
    <mergeCell ref="B22:H22"/>
    <mergeCell ref="B37:H37"/>
    <mergeCell ref="B43:H43"/>
    <mergeCell ref="B2:Q2"/>
    <mergeCell ref="B3:Q3"/>
    <mergeCell ref="B4:Q4"/>
    <mergeCell ref="B5:Q5"/>
    <mergeCell ref="B6:Q6"/>
  </mergeCells>
  <phoneticPr fontId="16" type="noConversion"/>
  <printOptions horizontalCentered="1"/>
  <pageMargins left="0.39370078740157483" right="0.39370078740157483" top="0.39370078740157483" bottom="0.39370078740157483" header="0.78740157480314965" footer="0.78740157480314965"/>
  <pageSetup paperSize="9" scale="76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Munka47">
    <tabColor theme="4" tint="-0.249977111117893"/>
    <pageSetUpPr fitToPage="1"/>
  </sheetPr>
  <dimension ref="B1:J459"/>
  <sheetViews>
    <sheetView view="pageBreakPreview" topLeftCell="A28" zoomScaleSheetLayoutView="100" workbookViewId="0"/>
  </sheetViews>
  <sheetFormatPr defaultColWidth="9" defaultRowHeight="12.75" x14ac:dyDescent="0.2"/>
  <cols>
    <col min="1" max="1" width="0.875" style="1" customWidth="1"/>
    <col min="2" max="2" width="5.625" style="1" customWidth="1"/>
    <col min="3" max="3" width="75.625" style="1" customWidth="1"/>
    <col min="4" max="5" width="12.625" style="1" customWidth="1"/>
    <col min="6" max="6" width="0.875" style="1" customWidth="1"/>
    <col min="7" max="16384" width="9" style="1"/>
  </cols>
  <sheetData>
    <row r="1" spans="2:5" ht="6" customHeight="1" x14ac:dyDescent="0.2"/>
    <row r="2" spans="2:5" ht="15.75" customHeight="1" x14ac:dyDescent="0.25">
      <c r="B2" s="532" t="str">
        <f>CONCATENATE(Index!C40," a(z) ",Index!E16," önkormányzati rendelethez")</f>
        <v>21. melléklet a(z) .../2025. (...) önkormányzati rendelethez</v>
      </c>
      <c r="C2" s="532"/>
      <c r="D2" s="532"/>
      <c r="E2" s="532"/>
    </row>
    <row r="3" spans="2:5" ht="15.75" customHeight="1" x14ac:dyDescent="0.2">
      <c r="B3" s="549"/>
      <c r="C3" s="549"/>
      <c r="D3" s="549"/>
      <c r="E3" s="549"/>
    </row>
    <row r="4" spans="2:5" ht="15.75" customHeight="1" x14ac:dyDescent="0.25">
      <c r="B4" s="533" t="str">
        <f>PAR!E3</f>
        <v>Nagymaros Város Önkormányzata</v>
      </c>
      <c r="C4" s="533"/>
      <c r="D4" s="533"/>
      <c r="E4" s="533"/>
    </row>
    <row r="5" spans="2:5" ht="15.75" customHeight="1" x14ac:dyDescent="0.25">
      <c r="B5" s="533" t="str">
        <f>CONCATENATE(PAR!H3," évi bevételi kormányzati funkciók alakulása jogcímenként")</f>
        <v>2025. évi bevételi kormányzati funkciók alakulása jogcímenként</v>
      </c>
      <c r="C5" s="533"/>
      <c r="D5" s="533"/>
      <c r="E5" s="533"/>
    </row>
    <row r="6" spans="2:5" ht="15.75" customHeight="1" x14ac:dyDescent="0.2">
      <c r="B6" s="527" t="s">
        <v>337</v>
      </c>
      <c r="C6" s="527"/>
      <c r="D6" s="527"/>
      <c r="E6" s="527"/>
    </row>
    <row r="7" spans="2:5" ht="15.75" x14ac:dyDescent="0.2">
      <c r="C7" s="53"/>
      <c r="D7" s="53"/>
      <c r="E7" s="53"/>
    </row>
    <row r="8" spans="2:5" x14ac:dyDescent="0.2">
      <c r="B8" s="193"/>
      <c r="C8" s="77" t="s">
        <v>350</v>
      </c>
      <c r="D8" s="77" t="s">
        <v>351</v>
      </c>
      <c r="E8" s="103" t="s">
        <v>470</v>
      </c>
    </row>
    <row r="9" spans="2:5" ht="38.25" x14ac:dyDescent="0.2">
      <c r="B9" s="77">
        <v>1</v>
      </c>
      <c r="C9" s="154" t="s">
        <v>1188</v>
      </c>
      <c r="D9" s="163" t="str">
        <f>CONCATENATE(PAR!$H$3," évi
eredeti 
előirányzat")</f>
        <v>2025. évi
eredeti 
előirányzat</v>
      </c>
      <c r="E9" s="163" t="str">
        <f>CONCATENATE(PAR!$H$3," évi
módosított 
előirányzat")</f>
        <v>2025. évi
módosított 
előirányzat</v>
      </c>
    </row>
    <row r="10" spans="2:5" ht="12.75" customHeight="1" x14ac:dyDescent="0.2">
      <c r="B10" s="103">
        <v>2</v>
      </c>
      <c r="C10" s="194" t="s">
        <v>748</v>
      </c>
      <c r="D10" s="225">
        <v>0</v>
      </c>
      <c r="E10" s="225">
        <v>0</v>
      </c>
    </row>
    <row r="11" spans="2:5" ht="12.75" customHeight="1" x14ac:dyDescent="0.2">
      <c r="B11" s="103">
        <v>3</v>
      </c>
      <c r="C11" s="194" t="s">
        <v>749</v>
      </c>
      <c r="D11" s="225">
        <v>0</v>
      </c>
      <c r="E11" s="225">
        <v>0</v>
      </c>
    </row>
    <row r="12" spans="2:5" ht="12.75" customHeight="1" x14ac:dyDescent="0.2">
      <c r="B12" s="103">
        <v>2</v>
      </c>
      <c r="C12" s="194" t="s">
        <v>750</v>
      </c>
      <c r="D12" s="225">
        <v>0</v>
      </c>
      <c r="E12" s="225">
        <v>0</v>
      </c>
    </row>
    <row r="13" spans="2:5" ht="12.75" customHeight="1" x14ac:dyDescent="0.2">
      <c r="B13" s="103">
        <v>5</v>
      </c>
      <c r="C13" s="194" t="s">
        <v>751</v>
      </c>
      <c r="D13" s="225">
        <v>0</v>
      </c>
      <c r="E13" s="225">
        <v>0</v>
      </c>
    </row>
    <row r="14" spans="2:5" ht="12.75" customHeight="1" x14ac:dyDescent="0.2">
      <c r="B14" s="103">
        <v>6</v>
      </c>
      <c r="C14" s="194" t="s">
        <v>752</v>
      </c>
      <c r="D14" s="225">
        <v>0</v>
      </c>
      <c r="E14" s="225">
        <v>0</v>
      </c>
    </row>
    <row r="15" spans="2:5" ht="12.75" customHeight="1" x14ac:dyDescent="0.2">
      <c r="B15" s="103">
        <v>7</v>
      </c>
      <c r="C15" s="194" t="s">
        <v>753</v>
      </c>
      <c r="D15" s="225">
        <v>0</v>
      </c>
      <c r="E15" s="225">
        <v>0</v>
      </c>
    </row>
    <row r="16" spans="2:5" ht="12.75" customHeight="1" x14ac:dyDescent="0.2">
      <c r="B16" s="103">
        <v>8</v>
      </c>
      <c r="C16" s="194" t="s">
        <v>754</v>
      </c>
      <c r="D16" s="225">
        <v>0</v>
      </c>
      <c r="E16" s="225">
        <v>0</v>
      </c>
    </row>
    <row r="17" spans="2:5" ht="12.75" customHeight="1" x14ac:dyDescent="0.2">
      <c r="B17" s="103">
        <v>9</v>
      </c>
      <c r="C17" s="194" t="s">
        <v>755</v>
      </c>
      <c r="D17" s="225">
        <v>0</v>
      </c>
      <c r="E17" s="225">
        <v>0</v>
      </c>
    </row>
    <row r="18" spans="2:5" ht="12.75" customHeight="1" x14ac:dyDescent="0.2">
      <c r="B18" s="103">
        <v>10</v>
      </c>
      <c r="C18" s="194" t="s">
        <v>756</v>
      </c>
      <c r="D18" s="225">
        <v>0</v>
      </c>
      <c r="E18" s="225">
        <v>0</v>
      </c>
    </row>
    <row r="19" spans="2:5" ht="12.75" customHeight="1" x14ac:dyDescent="0.2">
      <c r="B19" s="103">
        <v>11</v>
      </c>
      <c r="C19" s="194" t="s">
        <v>757</v>
      </c>
      <c r="D19" s="225">
        <v>0</v>
      </c>
      <c r="E19" s="225">
        <v>0</v>
      </c>
    </row>
    <row r="20" spans="2:5" ht="12.75" customHeight="1" x14ac:dyDescent="0.2">
      <c r="B20" s="103">
        <v>12</v>
      </c>
      <c r="C20" s="194" t="s">
        <v>758</v>
      </c>
      <c r="D20" s="225">
        <v>0</v>
      </c>
      <c r="E20" s="225">
        <v>0</v>
      </c>
    </row>
    <row r="21" spans="2:5" ht="12.75" customHeight="1" x14ac:dyDescent="0.2">
      <c r="B21" s="103">
        <v>13</v>
      </c>
      <c r="C21" s="194" t="s">
        <v>759</v>
      </c>
      <c r="D21" s="225">
        <v>0</v>
      </c>
      <c r="E21" s="225">
        <v>0</v>
      </c>
    </row>
    <row r="22" spans="2:5" ht="12.75" customHeight="1" x14ac:dyDescent="0.2">
      <c r="B22" s="103">
        <v>14</v>
      </c>
      <c r="C22" s="194" t="s">
        <v>760</v>
      </c>
      <c r="D22" s="225">
        <v>0</v>
      </c>
      <c r="E22" s="225">
        <v>0</v>
      </c>
    </row>
    <row r="23" spans="2:5" ht="12.75" customHeight="1" x14ac:dyDescent="0.2">
      <c r="B23" s="103">
        <v>15</v>
      </c>
      <c r="C23" s="194" t="s">
        <v>761</v>
      </c>
      <c r="D23" s="225">
        <v>0</v>
      </c>
      <c r="E23" s="225">
        <v>0</v>
      </c>
    </row>
    <row r="24" spans="2:5" ht="12.75" customHeight="1" x14ac:dyDescent="0.2">
      <c r="B24" s="103">
        <v>16</v>
      </c>
      <c r="C24" s="194" t="s">
        <v>762</v>
      </c>
      <c r="D24" s="225">
        <v>0</v>
      </c>
      <c r="E24" s="225">
        <v>0</v>
      </c>
    </row>
    <row r="25" spans="2:5" ht="12.75" customHeight="1" x14ac:dyDescent="0.2">
      <c r="B25" s="103">
        <v>17</v>
      </c>
      <c r="C25" s="194" t="s">
        <v>763</v>
      </c>
      <c r="D25" s="225">
        <v>0</v>
      </c>
      <c r="E25" s="225">
        <v>0</v>
      </c>
    </row>
    <row r="26" spans="2:5" ht="12.75" customHeight="1" x14ac:dyDescent="0.2">
      <c r="B26" s="103">
        <v>18</v>
      </c>
      <c r="C26" s="194" t="s">
        <v>764</v>
      </c>
      <c r="D26" s="225">
        <v>0</v>
      </c>
      <c r="E26" s="225">
        <v>0</v>
      </c>
    </row>
    <row r="27" spans="2:5" ht="12.75" customHeight="1" x14ac:dyDescent="0.2">
      <c r="B27" s="103">
        <v>19</v>
      </c>
      <c r="C27" s="194" t="s">
        <v>765</v>
      </c>
      <c r="D27" s="225">
        <v>0</v>
      </c>
      <c r="E27" s="225">
        <v>0</v>
      </c>
    </row>
    <row r="28" spans="2:5" ht="12.75" customHeight="1" x14ac:dyDescent="0.2">
      <c r="B28" s="103">
        <v>20</v>
      </c>
      <c r="C28" s="194" t="s">
        <v>766</v>
      </c>
      <c r="D28" s="225">
        <v>0</v>
      </c>
      <c r="E28" s="225">
        <v>0</v>
      </c>
    </row>
    <row r="29" spans="2:5" ht="12.75" customHeight="1" x14ac:dyDescent="0.2">
      <c r="B29" s="103">
        <v>21</v>
      </c>
      <c r="C29" s="194" t="s">
        <v>767</v>
      </c>
      <c r="D29" s="225">
        <v>0</v>
      </c>
      <c r="E29" s="225">
        <v>0</v>
      </c>
    </row>
    <row r="30" spans="2:5" ht="12.75" customHeight="1" x14ac:dyDescent="0.2">
      <c r="B30" s="103">
        <v>22</v>
      </c>
      <c r="C30" s="194" t="s">
        <v>768</v>
      </c>
      <c r="D30" s="225">
        <v>0</v>
      </c>
      <c r="E30" s="225">
        <v>0</v>
      </c>
    </row>
    <row r="31" spans="2:5" ht="12.75" customHeight="1" x14ac:dyDescent="0.2">
      <c r="B31" s="103">
        <v>23</v>
      </c>
      <c r="C31" s="194" t="s">
        <v>769</v>
      </c>
      <c r="D31" s="225">
        <v>0</v>
      </c>
      <c r="E31" s="225">
        <v>0</v>
      </c>
    </row>
    <row r="32" spans="2:5" ht="12.75" customHeight="1" x14ac:dyDescent="0.2">
      <c r="B32" s="103">
        <v>24</v>
      </c>
      <c r="C32" s="194" t="s">
        <v>770</v>
      </c>
      <c r="D32" s="225">
        <v>0</v>
      </c>
      <c r="E32" s="225">
        <v>0</v>
      </c>
    </row>
    <row r="33" spans="2:5" ht="12.75" customHeight="1" x14ac:dyDescent="0.2">
      <c r="B33" s="103">
        <v>25</v>
      </c>
      <c r="C33" s="194" t="s">
        <v>771</v>
      </c>
      <c r="D33" s="225">
        <v>0</v>
      </c>
      <c r="E33" s="225">
        <v>0</v>
      </c>
    </row>
    <row r="34" spans="2:5" ht="12.75" customHeight="1" x14ac:dyDescent="0.2">
      <c r="B34" s="103">
        <v>26</v>
      </c>
      <c r="C34" s="194" t="s">
        <v>772</v>
      </c>
      <c r="D34" s="225">
        <v>0</v>
      </c>
      <c r="E34" s="225">
        <v>0</v>
      </c>
    </row>
    <row r="35" spans="2:5" ht="12.75" customHeight="1" x14ac:dyDescent="0.2">
      <c r="B35" s="103">
        <v>27</v>
      </c>
      <c r="C35" s="194" t="s">
        <v>773</v>
      </c>
      <c r="D35" s="225">
        <v>0</v>
      </c>
      <c r="E35" s="225">
        <v>0</v>
      </c>
    </row>
    <row r="36" spans="2:5" ht="12.75" customHeight="1" x14ac:dyDescent="0.2">
      <c r="B36" s="103">
        <v>28</v>
      </c>
      <c r="C36" s="194" t="s">
        <v>774</v>
      </c>
      <c r="D36" s="225">
        <v>0</v>
      </c>
      <c r="E36" s="225">
        <v>0</v>
      </c>
    </row>
    <row r="37" spans="2:5" ht="12.75" customHeight="1" x14ac:dyDescent="0.2">
      <c r="B37" s="103">
        <v>29</v>
      </c>
      <c r="C37" s="194" t="s">
        <v>775</v>
      </c>
      <c r="D37" s="225">
        <v>0</v>
      </c>
      <c r="E37" s="225">
        <v>0</v>
      </c>
    </row>
    <row r="38" spans="2:5" ht="12.75" customHeight="1" x14ac:dyDescent="0.2">
      <c r="B38" s="103">
        <v>30</v>
      </c>
      <c r="C38" s="194" t="s">
        <v>776</v>
      </c>
      <c r="D38" s="225">
        <v>0</v>
      </c>
      <c r="E38" s="225">
        <v>0</v>
      </c>
    </row>
    <row r="39" spans="2:5" ht="12.75" customHeight="1" x14ac:dyDescent="0.2">
      <c r="B39" s="103">
        <v>31</v>
      </c>
      <c r="C39" s="194" t="s">
        <v>777</v>
      </c>
      <c r="D39" s="225">
        <v>0</v>
      </c>
      <c r="E39" s="225">
        <v>0</v>
      </c>
    </row>
    <row r="40" spans="2:5" ht="12.75" customHeight="1" x14ac:dyDescent="0.2">
      <c r="B40" s="103">
        <v>32</v>
      </c>
      <c r="C40" s="194" t="s">
        <v>778</v>
      </c>
      <c r="D40" s="225">
        <v>0</v>
      </c>
      <c r="E40" s="225">
        <v>0</v>
      </c>
    </row>
    <row r="41" spans="2:5" ht="12.75" customHeight="1" x14ac:dyDescent="0.2">
      <c r="B41" s="103">
        <v>3</v>
      </c>
      <c r="C41" s="194" t="s">
        <v>779</v>
      </c>
      <c r="D41" s="225">
        <v>0</v>
      </c>
      <c r="E41" s="225">
        <v>0</v>
      </c>
    </row>
    <row r="42" spans="2:5" ht="12.75" customHeight="1" x14ac:dyDescent="0.2">
      <c r="B42" s="103">
        <v>34</v>
      </c>
      <c r="C42" s="194" t="s">
        <v>780</v>
      </c>
      <c r="D42" s="225">
        <v>0</v>
      </c>
      <c r="E42" s="225">
        <v>0</v>
      </c>
    </row>
    <row r="43" spans="2:5" ht="12.75" customHeight="1" x14ac:dyDescent="0.2">
      <c r="B43" s="103">
        <v>4</v>
      </c>
      <c r="C43" s="194" t="s">
        <v>781</v>
      </c>
      <c r="D43" s="225">
        <v>0</v>
      </c>
      <c r="E43" s="225">
        <v>0</v>
      </c>
    </row>
    <row r="44" spans="2:5" ht="12.75" customHeight="1" x14ac:dyDescent="0.2">
      <c r="B44" s="103">
        <v>36</v>
      </c>
      <c r="C44" s="194" t="s">
        <v>782</v>
      </c>
      <c r="D44" s="225">
        <v>0</v>
      </c>
      <c r="E44" s="225">
        <v>0</v>
      </c>
    </row>
    <row r="45" spans="2:5" ht="12.75" customHeight="1" x14ac:dyDescent="0.2">
      <c r="B45" s="103">
        <v>37</v>
      </c>
      <c r="C45" s="194" t="s">
        <v>783</v>
      </c>
      <c r="D45" s="225">
        <v>0</v>
      </c>
      <c r="E45" s="225">
        <v>0</v>
      </c>
    </row>
    <row r="46" spans="2:5" ht="12.75" customHeight="1" x14ac:dyDescent="0.2">
      <c r="B46" s="103">
        <v>38</v>
      </c>
      <c r="C46" s="194" t="s">
        <v>784</v>
      </c>
      <c r="D46" s="225">
        <v>0</v>
      </c>
      <c r="E46" s="225">
        <v>0</v>
      </c>
    </row>
    <row r="47" spans="2:5" ht="12.75" customHeight="1" x14ac:dyDescent="0.2">
      <c r="B47" s="103">
        <v>39</v>
      </c>
      <c r="C47" s="194" t="s">
        <v>785</v>
      </c>
      <c r="D47" s="225">
        <v>0</v>
      </c>
      <c r="E47" s="225">
        <v>0</v>
      </c>
    </row>
    <row r="48" spans="2:5" ht="12.75" customHeight="1" x14ac:dyDescent="0.2">
      <c r="B48" s="103">
        <v>40</v>
      </c>
      <c r="C48" s="194" t="s">
        <v>786</v>
      </c>
      <c r="D48" s="225">
        <v>0</v>
      </c>
      <c r="E48" s="225">
        <v>0</v>
      </c>
    </row>
    <row r="49" spans="2:5" ht="12.75" customHeight="1" x14ac:dyDescent="0.2">
      <c r="B49" s="103">
        <v>41</v>
      </c>
      <c r="C49" s="194" t="s">
        <v>787</v>
      </c>
      <c r="D49" s="225">
        <v>0</v>
      </c>
      <c r="E49" s="225">
        <v>0</v>
      </c>
    </row>
    <row r="50" spans="2:5" ht="12.75" customHeight="1" x14ac:dyDescent="0.2">
      <c r="B50" s="103">
        <v>42</v>
      </c>
      <c r="C50" s="194" t="s">
        <v>788</v>
      </c>
      <c r="D50" s="225">
        <v>0</v>
      </c>
      <c r="E50" s="225">
        <v>0</v>
      </c>
    </row>
    <row r="51" spans="2:5" ht="12.75" customHeight="1" x14ac:dyDescent="0.2">
      <c r="B51" s="103">
        <v>43</v>
      </c>
      <c r="C51" s="194" t="s">
        <v>789</v>
      </c>
      <c r="D51" s="225">
        <v>0</v>
      </c>
      <c r="E51" s="225">
        <v>0</v>
      </c>
    </row>
    <row r="52" spans="2:5" ht="12.75" customHeight="1" x14ac:dyDescent="0.2">
      <c r="B52" s="103">
        <v>44</v>
      </c>
      <c r="C52" s="194" t="s">
        <v>790</v>
      </c>
      <c r="D52" s="225">
        <v>0</v>
      </c>
      <c r="E52" s="225">
        <v>0</v>
      </c>
    </row>
    <row r="53" spans="2:5" ht="12.75" customHeight="1" x14ac:dyDescent="0.2">
      <c r="B53" s="103">
        <v>45</v>
      </c>
      <c r="C53" s="194" t="s">
        <v>791</v>
      </c>
      <c r="D53" s="225">
        <v>0</v>
      </c>
      <c r="E53" s="225">
        <v>0</v>
      </c>
    </row>
    <row r="54" spans="2:5" ht="12.75" customHeight="1" x14ac:dyDescent="0.2">
      <c r="B54" s="103">
        <v>46</v>
      </c>
      <c r="C54" s="194" t="s">
        <v>792</v>
      </c>
      <c r="D54" s="225">
        <v>0</v>
      </c>
      <c r="E54" s="225">
        <v>0</v>
      </c>
    </row>
    <row r="55" spans="2:5" ht="12.75" customHeight="1" x14ac:dyDescent="0.2">
      <c r="B55" s="103">
        <v>47</v>
      </c>
      <c r="C55" s="194" t="s">
        <v>793</v>
      </c>
      <c r="D55" s="225">
        <v>0</v>
      </c>
      <c r="E55" s="225">
        <v>0</v>
      </c>
    </row>
    <row r="56" spans="2:5" ht="12.75" customHeight="1" x14ac:dyDescent="0.2">
      <c r="B56" s="103">
        <v>48</v>
      </c>
      <c r="C56" s="194" t="s">
        <v>794</v>
      </c>
      <c r="D56" s="225">
        <v>0</v>
      </c>
      <c r="E56" s="225">
        <v>0</v>
      </c>
    </row>
    <row r="57" spans="2:5" ht="12.75" customHeight="1" x14ac:dyDescent="0.2">
      <c r="B57" s="103">
        <v>49</v>
      </c>
      <c r="C57" s="194" t="s">
        <v>795</v>
      </c>
      <c r="D57" s="225">
        <v>0</v>
      </c>
      <c r="E57" s="225">
        <v>0</v>
      </c>
    </row>
    <row r="58" spans="2:5" ht="12.75" customHeight="1" x14ac:dyDescent="0.2">
      <c r="B58" s="103">
        <v>50</v>
      </c>
      <c r="C58" s="194" t="s">
        <v>796</v>
      </c>
      <c r="D58" s="225">
        <v>0</v>
      </c>
      <c r="E58" s="225">
        <v>0</v>
      </c>
    </row>
    <row r="59" spans="2:5" ht="12.75" customHeight="1" x14ac:dyDescent="0.2">
      <c r="B59" s="103">
        <v>51</v>
      </c>
      <c r="C59" s="194" t="s">
        <v>797</v>
      </c>
      <c r="D59" s="225">
        <v>0</v>
      </c>
      <c r="E59" s="225">
        <v>0</v>
      </c>
    </row>
    <row r="60" spans="2:5" ht="12.75" customHeight="1" x14ac:dyDescent="0.2">
      <c r="B60" s="103">
        <v>52</v>
      </c>
      <c r="C60" s="194" t="s">
        <v>798</v>
      </c>
      <c r="D60" s="225">
        <v>0</v>
      </c>
      <c r="E60" s="225">
        <v>0</v>
      </c>
    </row>
    <row r="61" spans="2:5" ht="12.75" customHeight="1" x14ac:dyDescent="0.2">
      <c r="B61" s="103">
        <v>53</v>
      </c>
      <c r="C61" s="194" t="s">
        <v>799</v>
      </c>
      <c r="D61" s="225">
        <v>0</v>
      </c>
      <c r="E61" s="225">
        <v>0</v>
      </c>
    </row>
    <row r="62" spans="2:5" ht="12.75" customHeight="1" x14ac:dyDescent="0.2">
      <c r="B62" s="103">
        <v>54</v>
      </c>
      <c r="C62" s="194" t="s">
        <v>800</v>
      </c>
      <c r="D62" s="225">
        <v>0</v>
      </c>
      <c r="E62" s="225">
        <v>0</v>
      </c>
    </row>
    <row r="63" spans="2:5" ht="12.75" customHeight="1" x14ac:dyDescent="0.2">
      <c r="B63" s="103">
        <v>55</v>
      </c>
      <c r="C63" s="194" t="s">
        <v>801</v>
      </c>
      <c r="D63" s="225">
        <v>0</v>
      </c>
      <c r="E63" s="225">
        <v>0</v>
      </c>
    </row>
    <row r="64" spans="2:5" ht="12.75" customHeight="1" x14ac:dyDescent="0.2">
      <c r="B64" s="103">
        <v>56</v>
      </c>
      <c r="C64" s="194" t="s">
        <v>802</v>
      </c>
      <c r="D64" s="225">
        <v>0</v>
      </c>
      <c r="E64" s="225">
        <v>0</v>
      </c>
    </row>
    <row r="65" spans="2:5" ht="12.75" customHeight="1" x14ac:dyDescent="0.2">
      <c r="B65" s="103">
        <v>57</v>
      </c>
      <c r="C65" s="194" t="s">
        <v>803</v>
      </c>
      <c r="D65" s="225">
        <v>0</v>
      </c>
      <c r="E65" s="225">
        <v>0</v>
      </c>
    </row>
    <row r="66" spans="2:5" ht="12.75" customHeight="1" x14ac:dyDescent="0.2">
      <c r="B66" s="103">
        <v>58</v>
      </c>
      <c r="C66" s="194" t="s">
        <v>804</v>
      </c>
      <c r="D66" s="225">
        <v>0</v>
      </c>
      <c r="E66" s="225">
        <v>0</v>
      </c>
    </row>
    <row r="67" spans="2:5" ht="12.75" customHeight="1" x14ac:dyDescent="0.2">
      <c r="B67" s="103">
        <v>59</v>
      </c>
      <c r="C67" s="194" t="s">
        <v>805</v>
      </c>
      <c r="D67" s="225">
        <v>0</v>
      </c>
      <c r="E67" s="225">
        <v>0</v>
      </c>
    </row>
    <row r="68" spans="2:5" ht="12.75" customHeight="1" x14ac:dyDescent="0.2">
      <c r="B68" s="103">
        <v>60</v>
      </c>
      <c r="C68" s="194" t="s">
        <v>806</v>
      </c>
      <c r="D68" s="225">
        <v>0</v>
      </c>
      <c r="E68" s="225">
        <v>0</v>
      </c>
    </row>
    <row r="69" spans="2:5" ht="12.75" customHeight="1" x14ac:dyDescent="0.2">
      <c r="B69" s="103">
        <v>61</v>
      </c>
      <c r="C69" s="194" t="s">
        <v>807</v>
      </c>
      <c r="D69" s="225">
        <v>0</v>
      </c>
      <c r="E69" s="225">
        <v>0</v>
      </c>
    </row>
    <row r="70" spans="2:5" ht="12.75" customHeight="1" x14ac:dyDescent="0.2">
      <c r="B70" s="103">
        <v>62</v>
      </c>
      <c r="C70" s="194" t="s">
        <v>808</v>
      </c>
      <c r="D70" s="225">
        <v>0</v>
      </c>
      <c r="E70" s="225">
        <v>0</v>
      </c>
    </row>
    <row r="71" spans="2:5" ht="12.75" customHeight="1" x14ac:dyDescent="0.2">
      <c r="B71" s="103">
        <v>63</v>
      </c>
      <c r="C71" s="194" t="s">
        <v>809</v>
      </c>
      <c r="D71" s="225">
        <v>0</v>
      </c>
      <c r="E71" s="225">
        <v>0</v>
      </c>
    </row>
    <row r="72" spans="2:5" ht="12.75" customHeight="1" x14ac:dyDescent="0.2">
      <c r="B72" s="103">
        <v>64</v>
      </c>
      <c r="C72" s="194" t="s">
        <v>810</v>
      </c>
      <c r="D72" s="225">
        <v>0</v>
      </c>
      <c r="E72" s="225">
        <v>0</v>
      </c>
    </row>
    <row r="73" spans="2:5" ht="12.75" customHeight="1" x14ac:dyDescent="0.2">
      <c r="B73" s="103">
        <v>65</v>
      </c>
      <c r="C73" s="194" t="s">
        <v>811</v>
      </c>
      <c r="D73" s="225">
        <v>0</v>
      </c>
      <c r="E73" s="225">
        <v>0</v>
      </c>
    </row>
    <row r="74" spans="2:5" ht="12.75" customHeight="1" x14ac:dyDescent="0.2">
      <c r="B74" s="103">
        <v>66</v>
      </c>
      <c r="C74" s="194" t="s">
        <v>812</v>
      </c>
      <c r="D74" s="225">
        <v>0</v>
      </c>
      <c r="E74" s="225">
        <v>0</v>
      </c>
    </row>
    <row r="75" spans="2:5" ht="12.75" customHeight="1" x14ac:dyDescent="0.2">
      <c r="B75" s="103">
        <v>67</v>
      </c>
      <c r="C75" s="194" t="s">
        <v>813</v>
      </c>
      <c r="D75" s="225">
        <v>0</v>
      </c>
      <c r="E75" s="225">
        <v>0</v>
      </c>
    </row>
    <row r="76" spans="2:5" ht="12.75" customHeight="1" x14ac:dyDescent="0.2">
      <c r="B76" s="103">
        <v>68</v>
      </c>
      <c r="C76" s="194" t="s">
        <v>814</v>
      </c>
      <c r="D76" s="225">
        <v>0</v>
      </c>
      <c r="E76" s="225">
        <v>0</v>
      </c>
    </row>
    <row r="77" spans="2:5" ht="12.75" customHeight="1" x14ac:dyDescent="0.2">
      <c r="B77" s="103">
        <v>69</v>
      </c>
      <c r="C77" s="194" t="s">
        <v>815</v>
      </c>
      <c r="D77" s="225">
        <v>0</v>
      </c>
      <c r="E77" s="225">
        <v>0</v>
      </c>
    </row>
    <row r="78" spans="2:5" ht="12.75" customHeight="1" x14ac:dyDescent="0.2">
      <c r="B78" s="103">
        <v>70</v>
      </c>
      <c r="C78" s="194" t="s">
        <v>816</v>
      </c>
      <c r="D78" s="225">
        <v>0</v>
      </c>
      <c r="E78" s="225">
        <v>0</v>
      </c>
    </row>
    <row r="79" spans="2:5" ht="12.75" customHeight="1" x14ac:dyDescent="0.2">
      <c r="B79" s="103">
        <v>71</v>
      </c>
      <c r="C79" s="194" t="s">
        <v>817</v>
      </c>
      <c r="D79" s="225">
        <v>0</v>
      </c>
      <c r="E79" s="225">
        <v>0</v>
      </c>
    </row>
    <row r="80" spans="2:5" ht="12.75" customHeight="1" x14ac:dyDescent="0.2">
      <c r="B80" s="103">
        <v>72</v>
      </c>
      <c r="C80" s="194" t="s">
        <v>818</v>
      </c>
      <c r="D80" s="225">
        <v>0</v>
      </c>
      <c r="E80" s="225">
        <v>0</v>
      </c>
    </row>
    <row r="81" spans="2:5" ht="12.75" customHeight="1" x14ac:dyDescent="0.2">
      <c r="B81" s="103">
        <v>73</v>
      </c>
      <c r="C81" s="194" t="s">
        <v>819</v>
      </c>
      <c r="D81" s="225">
        <v>0</v>
      </c>
      <c r="E81" s="225">
        <v>0</v>
      </c>
    </row>
    <row r="82" spans="2:5" ht="12.75" customHeight="1" x14ac:dyDescent="0.2">
      <c r="B82" s="103">
        <v>74</v>
      </c>
      <c r="C82" s="194" t="s">
        <v>820</v>
      </c>
      <c r="D82" s="225">
        <v>0</v>
      </c>
      <c r="E82" s="225">
        <v>0</v>
      </c>
    </row>
    <row r="83" spans="2:5" ht="12.75" customHeight="1" x14ac:dyDescent="0.2">
      <c r="B83" s="103">
        <v>75</v>
      </c>
      <c r="C83" s="194" t="s">
        <v>821</v>
      </c>
      <c r="D83" s="225">
        <v>0</v>
      </c>
      <c r="E83" s="225">
        <v>0</v>
      </c>
    </row>
    <row r="84" spans="2:5" ht="12.75" customHeight="1" x14ac:dyDescent="0.2">
      <c r="B84" s="103">
        <v>76</v>
      </c>
      <c r="C84" s="194" t="s">
        <v>822</v>
      </c>
      <c r="D84" s="225">
        <v>0</v>
      </c>
      <c r="E84" s="225">
        <v>0</v>
      </c>
    </row>
    <row r="85" spans="2:5" ht="12.75" customHeight="1" x14ac:dyDescent="0.2">
      <c r="B85" s="103">
        <v>77</v>
      </c>
      <c r="C85" s="194" t="s">
        <v>823</v>
      </c>
      <c r="D85" s="225">
        <v>0</v>
      </c>
      <c r="E85" s="225">
        <v>0</v>
      </c>
    </row>
    <row r="86" spans="2:5" ht="12.75" customHeight="1" x14ac:dyDescent="0.2">
      <c r="B86" s="103">
        <v>78</v>
      </c>
      <c r="C86" s="194" t="s">
        <v>824</v>
      </c>
      <c r="D86" s="225">
        <v>0</v>
      </c>
      <c r="E86" s="225">
        <v>0</v>
      </c>
    </row>
    <row r="87" spans="2:5" ht="12.75" customHeight="1" x14ac:dyDescent="0.2">
      <c r="B87" s="103">
        <v>79</v>
      </c>
      <c r="C87" s="194" t="s">
        <v>825</v>
      </c>
      <c r="D87" s="225">
        <v>0</v>
      </c>
      <c r="E87" s="225">
        <v>0</v>
      </c>
    </row>
    <row r="88" spans="2:5" ht="12.75" customHeight="1" x14ac:dyDescent="0.2">
      <c r="B88" s="103">
        <v>80</v>
      </c>
      <c r="C88" s="194" t="s">
        <v>826</v>
      </c>
      <c r="D88" s="225">
        <v>0</v>
      </c>
      <c r="E88" s="225">
        <v>0</v>
      </c>
    </row>
    <row r="89" spans="2:5" ht="12.75" customHeight="1" x14ac:dyDescent="0.2">
      <c r="B89" s="103">
        <v>81</v>
      </c>
      <c r="C89" s="194" t="s">
        <v>827</v>
      </c>
      <c r="D89" s="225">
        <v>0</v>
      </c>
      <c r="E89" s="225">
        <v>0</v>
      </c>
    </row>
    <row r="90" spans="2:5" ht="12.75" customHeight="1" x14ac:dyDescent="0.2">
      <c r="B90" s="103">
        <v>82</v>
      </c>
      <c r="C90" s="194" t="s">
        <v>828</v>
      </c>
      <c r="D90" s="225">
        <v>0</v>
      </c>
      <c r="E90" s="225">
        <v>0</v>
      </c>
    </row>
    <row r="91" spans="2:5" ht="12.75" customHeight="1" x14ac:dyDescent="0.2">
      <c r="B91" s="103">
        <v>83</v>
      </c>
      <c r="C91" s="194" t="s">
        <v>829</v>
      </c>
      <c r="D91" s="225">
        <v>0</v>
      </c>
      <c r="E91" s="225">
        <v>0</v>
      </c>
    </row>
    <row r="92" spans="2:5" ht="12.75" customHeight="1" x14ac:dyDescent="0.2">
      <c r="B92" s="103">
        <v>84</v>
      </c>
      <c r="C92" s="194" t="s">
        <v>830</v>
      </c>
      <c r="D92" s="225">
        <v>0</v>
      </c>
      <c r="E92" s="225">
        <v>0</v>
      </c>
    </row>
    <row r="93" spans="2:5" ht="12.75" customHeight="1" x14ac:dyDescent="0.2">
      <c r="B93" s="103">
        <v>85</v>
      </c>
      <c r="C93" s="194" t="s">
        <v>831</v>
      </c>
      <c r="D93" s="225">
        <v>0</v>
      </c>
      <c r="E93" s="225">
        <v>0</v>
      </c>
    </row>
    <row r="94" spans="2:5" ht="12.75" customHeight="1" x14ac:dyDescent="0.2">
      <c r="B94" s="103">
        <v>86</v>
      </c>
      <c r="C94" s="194" t="s">
        <v>832</v>
      </c>
      <c r="D94" s="225">
        <v>0</v>
      </c>
      <c r="E94" s="225">
        <v>0</v>
      </c>
    </row>
    <row r="95" spans="2:5" ht="12.75" customHeight="1" x14ac:dyDescent="0.2">
      <c r="B95" s="103">
        <v>87</v>
      </c>
      <c r="C95" s="194" t="s">
        <v>833</v>
      </c>
      <c r="D95" s="225">
        <v>0</v>
      </c>
      <c r="E95" s="225">
        <v>0</v>
      </c>
    </row>
    <row r="96" spans="2:5" ht="12.75" customHeight="1" x14ac:dyDescent="0.2">
      <c r="B96" s="103">
        <v>88</v>
      </c>
      <c r="C96" s="194" t="s">
        <v>834</v>
      </c>
      <c r="D96" s="225">
        <v>0</v>
      </c>
      <c r="E96" s="225">
        <v>0</v>
      </c>
    </row>
    <row r="97" spans="2:5" ht="12.75" customHeight="1" x14ac:dyDescent="0.2">
      <c r="B97" s="103">
        <v>89</v>
      </c>
      <c r="C97" s="194" t="s">
        <v>835</v>
      </c>
      <c r="D97" s="225">
        <v>0</v>
      </c>
      <c r="E97" s="225">
        <v>0</v>
      </c>
    </row>
    <row r="98" spans="2:5" ht="12.75" customHeight="1" x14ac:dyDescent="0.2">
      <c r="B98" s="103">
        <v>90</v>
      </c>
      <c r="C98" s="194" t="s">
        <v>836</v>
      </c>
      <c r="D98" s="225">
        <v>0</v>
      </c>
      <c r="E98" s="225">
        <v>0</v>
      </c>
    </row>
    <row r="99" spans="2:5" ht="12.75" customHeight="1" x14ac:dyDescent="0.2">
      <c r="B99" s="103">
        <v>91</v>
      </c>
      <c r="C99" s="194" t="s">
        <v>837</v>
      </c>
      <c r="D99" s="225">
        <v>0</v>
      </c>
      <c r="E99" s="225">
        <v>0</v>
      </c>
    </row>
    <row r="100" spans="2:5" ht="12.75" customHeight="1" x14ac:dyDescent="0.2">
      <c r="B100" s="103">
        <v>92</v>
      </c>
      <c r="C100" s="194" t="s">
        <v>838</v>
      </c>
      <c r="D100" s="225">
        <v>0</v>
      </c>
      <c r="E100" s="225">
        <v>0</v>
      </c>
    </row>
    <row r="101" spans="2:5" ht="12.75" customHeight="1" x14ac:dyDescent="0.2">
      <c r="B101" s="103">
        <v>93</v>
      </c>
      <c r="C101" s="194" t="s">
        <v>839</v>
      </c>
      <c r="D101" s="225">
        <v>0</v>
      </c>
      <c r="E101" s="225">
        <v>0</v>
      </c>
    </row>
    <row r="102" spans="2:5" ht="12.75" customHeight="1" x14ac:dyDescent="0.2">
      <c r="B102" s="103">
        <v>94</v>
      </c>
      <c r="C102" s="194" t="s">
        <v>840</v>
      </c>
      <c r="D102" s="225">
        <v>0</v>
      </c>
      <c r="E102" s="225">
        <v>0</v>
      </c>
    </row>
    <row r="103" spans="2:5" ht="12.75" customHeight="1" x14ac:dyDescent="0.2">
      <c r="B103" s="103">
        <v>95</v>
      </c>
      <c r="C103" s="194" t="s">
        <v>841</v>
      </c>
      <c r="D103" s="225">
        <v>0</v>
      </c>
      <c r="E103" s="225">
        <v>0</v>
      </c>
    </row>
    <row r="104" spans="2:5" ht="12.75" customHeight="1" x14ac:dyDescent="0.2">
      <c r="B104" s="103">
        <v>96</v>
      </c>
      <c r="C104" s="194" t="s">
        <v>842</v>
      </c>
      <c r="D104" s="225">
        <v>0</v>
      </c>
      <c r="E104" s="225">
        <v>0</v>
      </c>
    </row>
    <row r="105" spans="2:5" ht="12.75" customHeight="1" x14ac:dyDescent="0.2">
      <c r="B105" s="103">
        <v>97</v>
      </c>
      <c r="C105" s="194" t="s">
        <v>843</v>
      </c>
      <c r="D105" s="225">
        <v>0</v>
      </c>
      <c r="E105" s="225">
        <v>0</v>
      </c>
    </row>
    <row r="106" spans="2:5" ht="12.75" customHeight="1" x14ac:dyDescent="0.2">
      <c r="B106" s="103">
        <v>98</v>
      </c>
      <c r="C106" s="194" t="s">
        <v>844</v>
      </c>
      <c r="D106" s="225">
        <v>0</v>
      </c>
      <c r="E106" s="225">
        <v>0</v>
      </c>
    </row>
    <row r="107" spans="2:5" ht="12.75" customHeight="1" x14ac:dyDescent="0.2">
      <c r="B107" s="103">
        <v>99</v>
      </c>
      <c r="C107" s="194" t="s">
        <v>845</v>
      </c>
      <c r="D107" s="225">
        <v>0</v>
      </c>
      <c r="E107" s="225">
        <v>0</v>
      </c>
    </row>
    <row r="108" spans="2:5" ht="12.75" customHeight="1" x14ac:dyDescent="0.2">
      <c r="B108" s="103">
        <v>100</v>
      </c>
      <c r="C108" s="194" t="s">
        <v>846</v>
      </c>
      <c r="D108" s="225">
        <v>0</v>
      </c>
      <c r="E108" s="225">
        <v>0</v>
      </c>
    </row>
    <row r="109" spans="2:5" ht="12.75" customHeight="1" x14ac:dyDescent="0.2">
      <c r="B109" s="103">
        <v>101</v>
      </c>
      <c r="C109" s="194" t="s">
        <v>847</v>
      </c>
      <c r="D109" s="225">
        <v>0</v>
      </c>
      <c r="E109" s="225">
        <v>0</v>
      </c>
    </row>
    <row r="110" spans="2:5" ht="12.75" customHeight="1" x14ac:dyDescent="0.2">
      <c r="B110" s="103">
        <v>102</v>
      </c>
      <c r="C110" s="194" t="s">
        <v>848</v>
      </c>
      <c r="D110" s="225">
        <v>0</v>
      </c>
      <c r="E110" s="225">
        <v>0</v>
      </c>
    </row>
    <row r="111" spans="2:5" ht="12.75" customHeight="1" x14ac:dyDescent="0.2">
      <c r="B111" s="103">
        <v>103</v>
      </c>
      <c r="C111" s="194" t="s">
        <v>849</v>
      </c>
      <c r="D111" s="225">
        <v>0</v>
      </c>
      <c r="E111" s="225">
        <v>0</v>
      </c>
    </row>
    <row r="112" spans="2:5" ht="12.75" customHeight="1" x14ac:dyDescent="0.2">
      <c r="B112" s="103">
        <v>104</v>
      </c>
      <c r="C112" s="194" t="s">
        <v>850</v>
      </c>
      <c r="D112" s="225">
        <v>0</v>
      </c>
      <c r="E112" s="225">
        <v>0</v>
      </c>
    </row>
    <row r="113" spans="2:5" ht="12.75" customHeight="1" x14ac:dyDescent="0.2">
      <c r="B113" s="103">
        <v>105</v>
      </c>
      <c r="C113" s="194" t="s">
        <v>851</v>
      </c>
      <c r="D113" s="225">
        <v>0</v>
      </c>
      <c r="E113" s="225">
        <v>0</v>
      </c>
    </row>
    <row r="114" spans="2:5" ht="12.75" customHeight="1" x14ac:dyDescent="0.2">
      <c r="B114" s="103">
        <v>106</v>
      </c>
      <c r="C114" s="194" t="s">
        <v>852</v>
      </c>
      <c r="D114" s="225">
        <v>0</v>
      </c>
      <c r="E114" s="225">
        <v>0</v>
      </c>
    </row>
    <row r="115" spans="2:5" ht="12.75" customHeight="1" x14ac:dyDescent="0.2">
      <c r="B115" s="103">
        <v>107</v>
      </c>
      <c r="C115" s="194" t="s">
        <v>853</v>
      </c>
      <c r="D115" s="225">
        <v>0</v>
      </c>
      <c r="E115" s="225">
        <v>0</v>
      </c>
    </row>
    <row r="116" spans="2:5" ht="12.75" customHeight="1" x14ac:dyDescent="0.2">
      <c r="B116" s="103">
        <v>108</v>
      </c>
      <c r="C116" s="194" t="s">
        <v>854</v>
      </c>
      <c r="D116" s="225">
        <v>0</v>
      </c>
      <c r="E116" s="225">
        <v>0</v>
      </c>
    </row>
    <row r="117" spans="2:5" ht="12.75" customHeight="1" x14ac:dyDescent="0.2">
      <c r="B117" s="103">
        <v>109</v>
      </c>
      <c r="C117" s="194" t="s">
        <v>855</v>
      </c>
      <c r="D117" s="225">
        <v>0</v>
      </c>
      <c r="E117" s="225">
        <v>0</v>
      </c>
    </row>
    <row r="118" spans="2:5" ht="12.75" customHeight="1" x14ac:dyDescent="0.2">
      <c r="B118" s="103">
        <v>110</v>
      </c>
      <c r="C118" s="194" t="s">
        <v>856</v>
      </c>
      <c r="D118" s="225">
        <v>0</v>
      </c>
      <c r="E118" s="225">
        <v>0</v>
      </c>
    </row>
    <row r="119" spans="2:5" ht="12.75" customHeight="1" x14ac:dyDescent="0.2">
      <c r="B119" s="103">
        <v>111</v>
      </c>
      <c r="C119" s="194" t="s">
        <v>857</v>
      </c>
      <c r="D119" s="225">
        <v>0</v>
      </c>
      <c r="E119" s="225">
        <v>0</v>
      </c>
    </row>
    <row r="120" spans="2:5" ht="12.75" customHeight="1" x14ac:dyDescent="0.2">
      <c r="B120" s="103">
        <v>112</v>
      </c>
      <c r="C120" s="194" t="s">
        <v>858</v>
      </c>
      <c r="D120" s="225">
        <v>0</v>
      </c>
      <c r="E120" s="225">
        <v>0</v>
      </c>
    </row>
    <row r="121" spans="2:5" ht="12.75" customHeight="1" x14ac:dyDescent="0.2">
      <c r="B121" s="103">
        <v>113</v>
      </c>
      <c r="C121" s="194" t="s">
        <v>859</v>
      </c>
      <c r="D121" s="225">
        <v>0</v>
      </c>
      <c r="E121" s="225">
        <v>0</v>
      </c>
    </row>
    <row r="122" spans="2:5" ht="12.75" customHeight="1" x14ac:dyDescent="0.2">
      <c r="B122" s="103">
        <v>114</v>
      </c>
      <c r="C122" s="194" t="s">
        <v>860</v>
      </c>
      <c r="D122" s="225">
        <v>0</v>
      </c>
      <c r="E122" s="225">
        <v>0</v>
      </c>
    </row>
    <row r="123" spans="2:5" ht="12.75" customHeight="1" x14ac:dyDescent="0.2">
      <c r="B123" s="103">
        <v>115</v>
      </c>
      <c r="C123" s="194" t="s">
        <v>861</v>
      </c>
      <c r="D123" s="225">
        <v>0</v>
      </c>
      <c r="E123" s="225">
        <v>0</v>
      </c>
    </row>
    <row r="124" spans="2:5" ht="12.75" customHeight="1" x14ac:dyDescent="0.2">
      <c r="B124" s="103">
        <v>116</v>
      </c>
      <c r="C124" s="194" t="s">
        <v>862</v>
      </c>
      <c r="D124" s="225">
        <v>0</v>
      </c>
      <c r="E124" s="225">
        <v>0</v>
      </c>
    </row>
    <row r="125" spans="2:5" ht="12.75" customHeight="1" x14ac:dyDescent="0.2">
      <c r="B125" s="103">
        <v>117</v>
      </c>
      <c r="C125" s="194" t="s">
        <v>863</v>
      </c>
      <c r="D125" s="225">
        <v>0</v>
      </c>
      <c r="E125" s="225">
        <v>0</v>
      </c>
    </row>
    <row r="126" spans="2:5" ht="12.75" customHeight="1" x14ac:dyDescent="0.2">
      <c r="B126" s="103">
        <v>118</v>
      </c>
      <c r="C126" s="194" t="s">
        <v>864</v>
      </c>
      <c r="D126" s="225">
        <v>0</v>
      </c>
      <c r="E126" s="225">
        <v>0</v>
      </c>
    </row>
    <row r="127" spans="2:5" ht="12.75" customHeight="1" x14ac:dyDescent="0.2">
      <c r="B127" s="103">
        <v>119</v>
      </c>
      <c r="C127" s="194" t="s">
        <v>865</v>
      </c>
      <c r="D127" s="225">
        <v>0</v>
      </c>
      <c r="E127" s="225">
        <v>0</v>
      </c>
    </row>
    <row r="128" spans="2:5" ht="12.75" customHeight="1" x14ac:dyDescent="0.2">
      <c r="B128" s="103">
        <v>120</v>
      </c>
      <c r="C128" s="194" t="s">
        <v>866</v>
      </c>
      <c r="D128" s="225">
        <v>0</v>
      </c>
      <c r="E128" s="225">
        <v>0</v>
      </c>
    </row>
    <row r="129" spans="2:5" ht="12.75" customHeight="1" x14ac:dyDescent="0.2">
      <c r="B129" s="103">
        <v>121</v>
      </c>
      <c r="C129" s="194" t="s">
        <v>867</v>
      </c>
      <c r="D129" s="225">
        <v>0</v>
      </c>
      <c r="E129" s="225">
        <v>0</v>
      </c>
    </row>
    <row r="130" spans="2:5" ht="12.75" customHeight="1" x14ac:dyDescent="0.2">
      <c r="B130" s="103">
        <v>122</v>
      </c>
      <c r="C130" s="194" t="s">
        <v>868</v>
      </c>
      <c r="D130" s="225">
        <v>0</v>
      </c>
      <c r="E130" s="225">
        <v>0</v>
      </c>
    </row>
    <row r="131" spans="2:5" ht="12.75" customHeight="1" x14ac:dyDescent="0.2">
      <c r="B131" s="103">
        <v>123</v>
      </c>
      <c r="C131" s="194" t="s">
        <v>869</v>
      </c>
      <c r="D131" s="225">
        <v>0</v>
      </c>
      <c r="E131" s="225">
        <v>0</v>
      </c>
    </row>
    <row r="132" spans="2:5" ht="12.75" customHeight="1" x14ac:dyDescent="0.2">
      <c r="B132" s="103">
        <v>124</v>
      </c>
      <c r="C132" s="194" t="s">
        <v>870</v>
      </c>
      <c r="D132" s="225">
        <v>0</v>
      </c>
      <c r="E132" s="225">
        <v>0</v>
      </c>
    </row>
    <row r="133" spans="2:5" ht="12.75" customHeight="1" x14ac:dyDescent="0.2">
      <c r="B133" s="103">
        <v>125</v>
      </c>
      <c r="C133" s="194" t="s">
        <v>871</v>
      </c>
      <c r="D133" s="225">
        <v>0</v>
      </c>
      <c r="E133" s="225">
        <v>0</v>
      </c>
    </row>
    <row r="134" spans="2:5" ht="12.75" customHeight="1" x14ac:dyDescent="0.2">
      <c r="B134" s="103">
        <v>126</v>
      </c>
      <c r="C134" s="194" t="s">
        <v>872</v>
      </c>
      <c r="D134" s="225">
        <v>0</v>
      </c>
      <c r="E134" s="225">
        <v>0</v>
      </c>
    </row>
    <row r="135" spans="2:5" ht="12.75" customHeight="1" x14ac:dyDescent="0.2">
      <c r="B135" s="103">
        <v>127</v>
      </c>
      <c r="C135" s="194" t="s">
        <v>873</v>
      </c>
      <c r="D135" s="225">
        <v>0</v>
      </c>
      <c r="E135" s="225">
        <v>0</v>
      </c>
    </row>
    <row r="136" spans="2:5" ht="12.75" customHeight="1" x14ac:dyDescent="0.2">
      <c r="B136" s="103">
        <v>128</v>
      </c>
      <c r="C136" s="194" t="s">
        <v>874</v>
      </c>
      <c r="D136" s="225">
        <v>0</v>
      </c>
      <c r="E136" s="225">
        <v>0</v>
      </c>
    </row>
    <row r="137" spans="2:5" ht="12.75" customHeight="1" x14ac:dyDescent="0.2">
      <c r="B137" s="103">
        <v>129</v>
      </c>
      <c r="C137" s="194" t="s">
        <v>875</v>
      </c>
      <c r="D137" s="225">
        <v>0</v>
      </c>
      <c r="E137" s="225">
        <v>0</v>
      </c>
    </row>
    <row r="138" spans="2:5" ht="12.75" customHeight="1" x14ac:dyDescent="0.2">
      <c r="B138" s="103">
        <v>130</v>
      </c>
      <c r="C138" s="194" t="s">
        <v>876</v>
      </c>
      <c r="D138" s="225">
        <v>0</v>
      </c>
      <c r="E138" s="225">
        <v>0</v>
      </c>
    </row>
    <row r="139" spans="2:5" ht="12.75" customHeight="1" x14ac:dyDescent="0.2">
      <c r="B139" s="103">
        <v>131</v>
      </c>
      <c r="C139" s="194" t="s">
        <v>877</v>
      </c>
      <c r="D139" s="225">
        <v>0</v>
      </c>
      <c r="E139" s="225">
        <v>0</v>
      </c>
    </row>
    <row r="140" spans="2:5" ht="12.75" customHeight="1" x14ac:dyDescent="0.2">
      <c r="B140" s="103">
        <v>132</v>
      </c>
      <c r="C140" s="194" t="s">
        <v>878</v>
      </c>
      <c r="D140" s="225">
        <v>0</v>
      </c>
      <c r="E140" s="225">
        <v>0</v>
      </c>
    </row>
    <row r="141" spans="2:5" ht="12.75" customHeight="1" x14ac:dyDescent="0.2">
      <c r="B141" s="103">
        <v>133</v>
      </c>
      <c r="C141" s="194" t="s">
        <v>879</v>
      </c>
      <c r="D141" s="225">
        <v>0</v>
      </c>
      <c r="E141" s="225">
        <v>0</v>
      </c>
    </row>
    <row r="142" spans="2:5" ht="12.75" customHeight="1" x14ac:dyDescent="0.2">
      <c r="B142" s="103">
        <v>134</v>
      </c>
      <c r="C142" s="194" t="s">
        <v>880</v>
      </c>
      <c r="D142" s="225">
        <v>0</v>
      </c>
      <c r="E142" s="225">
        <v>0</v>
      </c>
    </row>
    <row r="143" spans="2:5" ht="12.75" customHeight="1" x14ac:dyDescent="0.2">
      <c r="B143" s="103">
        <v>135</v>
      </c>
      <c r="C143" s="194" t="s">
        <v>881</v>
      </c>
      <c r="D143" s="225">
        <v>0</v>
      </c>
      <c r="E143" s="225">
        <v>0</v>
      </c>
    </row>
    <row r="144" spans="2:5" ht="12.75" customHeight="1" x14ac:dyDescent="0.2">
      <c r="B144" s="103">
        <v>136</v>
      </c>
      <c r="C144" s="194" t="s">
        <v>882</v>
      </c>
      <c r="D144" s="225">
        <v>0</v>
      </c>
      <c r="E144" s="225">
        <v>0</v>
      </c>
    </row>
    <row r="145" spans="2:5" ht="12.75" customHeight="1" x14ac:dyDescent="0.2">
      <c r="B145" s="103">
        <v>137</v>
      </c>
      <c r="C145" s="194" t="s">
        <v>883</v>
      </c>
      <c r="D145" s="225">
        <v>0</v>
      </c>
      <c r="E145" s="225">
        <v>0</v>
      </c>
    </row>
    <row r="146" spans="2:5" ht="12.75" customHeight="1" x14ac:dyDescent="0.2">
      <c r="B146" s="103">
        <v>138</v>
      </c>
      <c r="C146" s="194" t="s">
        <v>884</v>
      </c>
      <c r="D146" s="225">
        <v>0</v>
      </c>
      <c r="E146" s="225">
        <v>0</v>
      </c>
    </row>
    <row r="147" spans="2:5" ht="12.75" customHeight="1" x14ac:dyDescent="0.2">
      <c r="B147" s="103">
        <v>139</v>
      </c>
      <c r="C147" s="194" t="s">
        <v>885</v>
      </c>
      <c r="D147" s="225">
        <v>0</v>
      </c>
      <c r="E147" s="225">
        <v>0</v>
      </c>
    </row>
    <row r="148" spans="2:5" ht="12.75" customHeight="1" x14ac:dyDescent="0.2">
      <c r="B148" s="103">
        <v>140</v>
      </c>
      <c r="C148" s="194" t="s">
        <v>886</v>
      </c>
      <c r="D148" s="225">
        <v>0</v>
      </c>
      <c r="E148" s="225">
        <v>0</v>
      </c>
    </row>
    <row r="149" spans="2:5" ht="12.75" customHeight="1" x14ac:dyDescent="0.2">
      <c r="B149" s="103">
        <v>141</v>
      </c>
      <c r="C149" s="194" t="s">
        <v>887</v>
      </c>
      <c r="D149" s="225">
        <v>0</v>
      </c>
      <c r="E149" s="225">
        <v>0</v>
      </c>
    </row>
    <row r="150" spans="2:5" ht="12.75" customHeight="1" x14ac:dyDescent="0.2">
      <c r="B150" s="103">
        <v>142</v>
      </c>
      <c r="C150" s="194" t="s">
        <v>888</v>
      </c>
      <c r="D150" s="225">
        <v>0</v>
      </c>
      <c r="E150" s="225">
        <v>0</v>
      </c>
    </row>
    <row r="151" spans="2:5" ht="12.75" customHeight="1" x14ac:dyDescent="0.2">
      <c r="B151" s="103">
        <v>143</v>
      </c>
      <c r="C151" s="194" t="s">
        <v>889</v>
      </c>
      <c r="D151" s="225">
        <v>0</v>
      </c>
      <c r="E151" s="225">
        <v>0</v>
      </c>
    </row>
    <row r="152" spans="2:5" ht="12.75" customHeight="1" x14ac:dyDescent="0.2">
      <c r="B152" s="103">
        <v>144</v>
      </c>
      <c r="C152" s="194" t="s">
        <v>890</v>
      </c>
      <c r="D152" s="225">
        <v>0</v>
      </c>
      <c r="E152" s="225">
        <v>0</v>
      </c>
    </row>
    <row r="153" spans="2:5" ht="12.75" customHeight="1" x14ac:dyDescent="0.2">
      <c r="B153" s="103">
        <v>145</v>
      </c>
      <c r="C153" s="194" t="s">
        <v>891</v>
      </c>
      <c r="D153" s="225">
        <v>0</v>
      </c>
      <c r="E153" s="225">
        <v>0</v>
      </c>
    </row>
    <row r="154" spans="2:5" ht="12.75" customHeight="1" x14ac:dyDescent="0.2">
      <c r="B154" s="103">
        <v>146</v>
      </c>
      <c r="C154" s="194" t="s">
        <v>892</v>
      </c>
      <c r="D154" s="225">
        <v>0</v>
      </c>
      <c r="E154" s="225">
        <v>0</v>
      </c>
    </row>
    <row r="155" spans="2:5" ht="12.75" customHeight="1" x14ac:dyDescent="0.2">
      <c r="B155" s="103">
        <v>147</v>
      </c>
      <c r="C155" s="194" t="s">
        <v>893</v>
      </c>
      <c r="D155" s="225">
        <v>0</v>
      </c>
      <c r="E155" s="225">
        <v>0</v>
      </c>
    </row>
    <row r="156" spans="2:5" ht="12.75" customHeight="1" x14ac:dyDescent="0.2">
      <c r="B156" s="103">
        <v>148</v>
      </c>
      <c r="C156" s="194" t="s">
        <v>894</v>
      </c>
      <c r="D156" s="225">
        <v>0</v>
      </c>
      <c r="E156" s="225">
        <v>0</v>
      </c>
    </row>
    <row r="157" spans="2:5" ht="12.75" customHeight="1" x14ac:dyDescent="0.2">
      <c r="B157" s="103">
        <v>149</v>
      </c>
      <c r="C157" s="194" t="s">
        <v>895</v>
      </c>
      <c r="D157" s="225">
        <v>0</v>
      </c>
      <c r="E157" s="225">
        <v>0</v>
      </c>
    </row>
    <row r="158" spans="2:5" ht="12.75" customHeight="1" x14ac:dyDescent="0.2">
      <c r="B158" s="103">
        <v>150</v>
      </c>
      <c r="C158" s="194" t="s">
        <v>896</v>
      </c>
      <c r="D158" s="225">
        <v>0</v>
      </c>
      <c r="E158" s="225">
        <v>0</v>
      </c>
    </row>
    <row r="159" spans="2:5" ht="12.75" customHeight="1" x14ac:dyDescent="0.2">
      <c r="B159" s="103">
        <v>151</v>
      </c>
      <c r="C159" s="194" t="s">
        <v>897</v>
      </c>
      <c r="D159" s="225">
        <v>0</v>
      </c>
      <c r="E159" s="225">
        <v>0</v>
      </c>
    </row>
    <row r="160" spans="2:5" ht="12.75" customHeight="1" x14ac:dyDescent="0.2">
      <c r="B160" s="103">
        <v>152</v>
      </c>
      <c r="C160" s="194" t="s">
        <v>898</v>
      </c>
      <c r="D160" s="225">
        <v>0</v>
      </c>
      <c r="E160" s="225">
        <v>0</v>
      </c>
    </row>
    <row r="161" spans="2:5" ht="12.75" customHeight="1" x14ac:dyDescent="0.2">
      <c r="B161" s="103">
        <v>153</v>
      </c>
      <c r="C161" s="194" t="s">
        <v>899</v>
      </c>
      <c r="D161" s="225">
        <v>0</v>
      </c>
      <c r="E161" s="225">
        <v>0</v>
      </c>
    </row>
    <row r="162" spans="2:5" ht="12.75" customHeight="1" x14ac:dyDescent="0.2">
      <c r="B162" s="103">
        <v>154</v>
      </c>
      <c r="C162" s="194" t="s">
        <v>900</v>
      </c>
      <c r="D162" s="225">
        <v>0</v>
      </c>
      <c r="E162" s="225">
        <v>0</v>
      </c>
    </row>
    <row r="163" spans="2:5" ht="12.75" customHeight="1" x14ac:dyDescent="0.2">
      <c r="B163" s="103">
        <v>155</v>
      </c>
      <c r="C163" s="194" t="s">
        <v>901</v>
      </c>
      <c r="D163" s="225">
        <v>0</v>
      </c>
      <c r="E163" s="225">
        <v>0</v>
      </c>
    </row>
    <row r="164" spans="2:5" ht="12.75" customHeight="1" x14ac:dyDescent="0.2">
      <c r="B164" s="103">
        <v>156</v>
      </c>
      <c r="C164" s="194" t="s">
        <v>902</v>
      </c>
      <c r="D164" s="225">
        <v>0</v>
      </c>
      <c r="E164" s="225">
        <v>0</v>
      </c>
    </row>
    <row r="165" spans="2:5" ht="12.75" customHeight="1" x14ac:dyDescent="0.2">
      <c r="B165" s="103">
        <v>157</v>
      </c>
      <c r="C165" s="194" t="s">
        <v>903</v>
      </c>
      <c r="D165" s="225">
        <v>0</v>
      </c>
      <c r="E165" s="225">
        <v>0</v>
      </c>
    </row>
    <row r="166" spans="2:5" ht="12.75" customHeight="1" x14ac:dyDescent="0.2">
      <c r="B166" s="103">
        <v>158</v>
      </c>
      <c r="C166" s="194" t="s">
        <v>904</v>
      </c>
      <c r="D166" s="225">
        <v>0</v>
      </c>
      <c r="E166" s="225">
        <v>0</v>
      </c>
    </row>
    <row r="167" spans="2:5" ht="12.75" customHeight="1" x14ac:dyDescent="0.2">
      <c r="B167" s="103">
        <v>159</v>
      </c>
      <c r="C167" s="194" t="s">
        <v>905</v>
      </c>
      <c r="D167" s="225">
        <v>0</v>
      </c>
      <c r="E167" s="225">
        <v>0</v>
      </c>
    </row>
    <row r="168" spans="2:5" ht="12.75" customHeight="1" x14ac:dyDescent="0.2">
      <c r="B168" s="103">
        <v>160</v>
      </c>
      <c r="C168" s="194" t="s">
        <v>906</v>
      </c>
      <c r="D168" s="225">
        <v>0</v>
      </c>
      <c r="E168" s="225">
        <v>0</v>
      </c>
    </row>
    <row r="169" spans="2:5" ht="12.75" customHeight="1" x14ac:dyDescent="0.2">
      <c r="B169" s="103">
        <v>161</v>
      </c>
      <c r="C169" s="194" t="s">
        <v>907</v>
      </c>
      <c r="D169" s="225">
        <v>0</v>
      </c>
      <c r="E169" s="225">
        <v>0</v>
      </c>
    </row>
    <row r="170" spans="2:5" ht="12.75" customHeight="1" x14ac:dyDescent="0.2">
      <c r="B170" s="103">
        <v>162</v>
      </c>
      <c r="C170" s="194" t="s">
        <v>908</v>
      </c>
      <c r="D170" s="225">
        <v>0</v>
      </c>
      <c r="E170" s="225">
        <v>0</v>
      </c>
    </row>
    <row r="171" spans="2:5" ht="12.75" customHeight="1" x14ac:dyDescent="0.2">
      <c r="B171" s="103">
        <v>163</v>
      </c>
      <c r="C171" s="194" t="s">
        <v>909</v>
      </c>
      <c r="D171" s="225">
        <v>0</v>
      </c>
      <c r="E171" s="225">
        <v>0</v>
      </c>
    </row>
    <row r="172" spans="2:5" ht="12.75" customHeight="1" x14ac:dyDescent="0.2">
      <c r="B172" s="103">
        <v>164</v>
      </c>
      <c r="C172" s="194" t="s">
        <v>910</v>
      </c>
      <c r="D172" s="225">
        <v>0</v>
      </c>
      <c r="E172" s="225">
        <v>0</v>
      </c>
    </row>
    <row r="173" spans="2:5" ht="12.75" customHeight="1" x14ac:dyDescent="0.2">
      <c r="B173" s="103">
        <v>165</v>
      </c>
      <c r="C173" s="194" t="s">
        <v>911</v>
      </c>
      <c r="D173" s="225">
        <v>0</v>
      </c>
      <c r="E173" s="225">
        <v>0</v>
      </c>
    </row>
    <row r="174" spans="2:5" ht="12.75" customHeight="1" x14ac:dyDescent="0.2">
      <c r="B174" s="103">
        <v>166</v>
      </c>
      <c r="C174" s="194" t="s">
        <v>912</v>
      </c>
      <c r="D174" s="225">
        <v>0</v>
      </c>
      <c r="E174" s="225">
        <v>0</v>
      </c>
    </row>
    <row r="175" spans="2:5" ht="12.75" customHeight="1" x14ac:dyDescent="0.2">
      <c r="B175" s="103">
        <v>167</v>
      </c>
      <c r="C175" s="194" t="s">
        <v>913</v>
      </c>
      <c r="D175" s="225">
        <v>0</v>
      </c>
      <c r="E175" s="225">
        <v>0</v>
      </c>
    </row>
    <row r="176" spans="2:5" ht="12.75" customHeight="1" x14ac:dyDescent="0.2">
      <c r="B176" s="103">
        <v>168</v>
      </c>
      <c r="C176" s="194" t="s">
        <v>914</v>
      </c>
      <c r="D176" s="225">
        <v>0</v>
      </c>
      <c r="E176" s="225">
        <v>0</v>
      </c>
    </row>
    <row r="177" spans="2:5" ht="12.75" customHeight="1" x14ac:dyDescent="0.2">
      <c r="B177" s="103">
        <v>169</v>
      </c>
      <c r="C177" s="194" t="s">
        <v>915</v>
      </c>
      <c r="D177" s="225">
        <v>0</v>
      </c>
      <c r="E177" s="225">
        <v>0</v>
      </c>
    </row>
    <row r="178" spans="2:5" ht="12.75" customHeight="1" x14ac:dyDescent="0.2">
      <c r="B178" s="103">
        <v>170</v>
      </c>
      <c r="C178" s="194" t="s">
        <v>916</v>
      </c>
      <c r="D178" s="225">
        <v>0</v>
      </c>
      <c r="E178" s="225">
        <v>0</v>
      </c>
    </row>
    <row r="179" spans="2:5" ht="12.75" customHeight="1" x14ac:dyDescent="0.2">
      <c r="B179" s="103">
        <v>171</v>
      </c>
      <c r="C179" s="194" t="s">
        <v>917</v>
      </c>
      <c r="D179" s="225">
        <v>0</v>
      </c>
      <c r="E179" s="225">
        <v>0</v>
      </c>
    </row>
    <row r="180" spans="2:5" ht="12.75" customHeight="1" x14ac:dyDescent="0.2">
      <c r="B180" s="103">
        <v>172</v>
      </c>
      <c r="C180" s="194" t="s">
        <v>918</v>
      </c>
      <c r="D180" s="225">
        <v>0</v>
      </c>
      <c r="E180" s="225">
        <v>0</v>
      </c>
    </row>
    <row r="181" spans="2:5" ht="12.75" customHeight="1" x14ac:dyDescent="0.2">
      <c r="B181" s="103">
        <v>173</v>
      </c>
      <c r="C181" s="194" t="s">
        <v>919</v>
      </c>
      <c r="D181" s="225">
        <v>0</v>
      </c>
      <c r="E181" s="225">
        <v>0</v>
      </c>
    </row>
    <row r="182" spans="2:5" ht="12.75" customHeight="1" x14ac:dyDescent="0.2">
      <c r="B182" s="103">
        <v>174</v>
      </c>
      <c r="C182" s="194" t="s">
        <v>920</v>
      </c>
      <c r="D182" s="225">
        <v>0</v>
      </c>
      <c r="E182" s="225">
        <v>0</v>
      </c>
    </row>
    <row r="183" spans="2:5" ht="12.75" customHeight="1" x14ac:dyDescent="0.2">
      <c r="B183" s="103">
        <v>175</v>
      </c>
      <c r="C183" s="194" t="s">
        <v>921</v>
      </c>
      <c r="D183" s="225">
        <v>0</v>
      </c>
      <c r="E183" s="225">
        <v>0</v>
      </c>
    </row>
    <row r="184" spans="2:5" ht="12.75" customHeight="1" x14ac:dyDescent="0.2">
      <c r="B184" s="103">
        <v>176</v>
      </c>
      <c r="C184" s="194" t="s">
        <v>922</v>
      </c>
      <c r="D184" s="225">
        <v>0</v>
      </c>
      <c r="E184" s="225">
        <v>0</v>
      </c>
    </row>
    <row r="185" spans="2:5" ht="12.75" customHeight="1" x14ac:dyDescent="0.2">
      <c r="B185" s="103">
        <v>177</v>
      </c>
      <c r="C185" s="194" t="s">
        <v>923</v>
      </c>
      <c r="D185" s="225">
        <v>0</v>
      </c>
      <c r="E185" s="225">
        <v>0</v>
      </c>
    </row>
    <row r="186" spans="2:5" ht="12.75" customHeight="1" x14ac:dyDescent="0.2">
      <c r="B186" s="103">
        <v>5</v>
      </c>
      <c r="C186" s="194" t="s">
        <v>924</v>
      </c>
      <c r="D186" s="225">
        <v>0</v>
      </c>
      <c r="E186" s="225">
        <v>0</v>
      </c>
    </row>
    <row r="187" spans="2:5" ht="12.75" customHeight="1" x14ac:dyDescent="0.2">
      <c r="B187" s="103">
        <v>179</v>
      </c>
      <c r="C187" s="194" t="s">
        <v>925</v>
      </c>
      <c r="D187" s="225">
        <v>0</v>
      </c>
      <c r="E187" s="225">
        <v>0</v>
      </c>
    </row>
    <row r="188" spans="2:5" ht="12.75" customHeight="1" x14ac:dyDescent="0.2">
      <c r="B188" s="103">
        <v>180</v>
      </c>
      <c r="C188" s="194" t="s">
        <v>926</v>
      </c>
      <c r="D188" s="225">
        <v>0</v>
      </c>
      <c r="E188" s="225">
        <v>0</v>
      </c>
    </row>
    <row r="189" spans="2:5" ht="12.75" customHeight="1" x14ac:dyDescent="0.2">
      <c r="B189" s="103">
        <v>181</v>
      </c>
      <c r="C189" s="194" t="s">
        <v>927</v>
      </c>
      <c r="D189" s="225">
        <v>0</v>
      </c>
      <c r="E189" s="225">
        <v>0</v>
      </c>
    </row>
    <row r="190" spans="2:5" ht="12.75" customHeight="1" x14ac:dyDescent="0.2">
      <c r="B190" s="103">
        <v>182</v>
      </c>
      <c r="C190" s="194" t="s">
        <v>928</v>
      </c>
      <c r="D190" s="225">
        <v>0</v>
      </c>
      <c r="E190" s="225">
        <v>0</v>
      </c>
    </row>
    <row r="191" spans="2:5" ht="12.75" customHeight="1" x14ac:dyDescent="0.2">
      <c r="B191" s="103">
        <v>183</v>
      </c>
      <c r="C191" s="194" t="s">
        <v>929</v>
      </c>
      <c r="D191" s="225">
        <v>0</v>
      </c>
      <c r="E191" s="225">
        <v>0</v>
      </c>
    </row>
    <row r="192" spans="2:5" ht="12.75" customHeight="1" x14ac:dyDescent="0.2">
      <c r="B192" s="103">
        <v>184</v>
      </c>
      <c r="C192" s="194" t="s">
        <v>930</v>
      </c>
      <c r="D192" s="225">
        <v>0</v>
      </c>
      <c r="E192" s="225">
        <v>0</v>
      </c>
    </row>
    <row r="193" spans="2:5" ht="12.75" customHeight="1" x14ac:dyDescent="0.2">
      <c r="B193" s="103">
        <v>185</v>
      </c>
      <c r="C193" s="194" t="s">
        <v>931</v>
      </c>
      <c r="D193" s="225">
        <v>0</v>
      </c>
      <c r="E193" s="225">
        <v>0</v>
      </c>
    </row>
    <row r="194" spans="2:5" ht="12.75" customHeight="1" x14ac:dyDescent="0.2">
      <c r="B194" s="103">
        <v>186</v>
      </c>
      <c r="C194" s="194" t="s">
        <v>932</v>
      </c>
      <c r="D194" s="225">
        <v>0</v>
      </c>
      <c r="E194" s="225">
        <v>0</v>
      </c>
    </row>
    <row r="195" spans="2:5" ht="12.75" customHeight="1" x14ac:dyDescent="0.2">
      <c r="B195" s="103">
        <v>187</v>
      </c>
      <c r="C195" s="194" t="s">
        <v>933</v>
      </c>
      <c r="D195" s="225">
        <v>0</v>
      </c>
      <c r="E195" s="225">
        <v>0</v>
      </c>
    </row>
    <row r="196" spans="2:5" ht="12.75" customHeight="1" x14ac:dyDescent="0.2">
      <c r="B196" s="103">
        <v>188</v>
      </c>
      <c r="C196" s="194" t="s">
        <v>934</v>
      </c>
      <c r="D196" s="225">
        <v>0</v>
      </c>
      <c r="E196" s="225">
        <v>0</v>
      </c>
    </row>
    <row r="197" spans="2:5" ht="12.75" customHeight="1" x14ac:dyDescent="0.2">
      <c r="B197" s="103">
        <v>189</v>
      </c>
      <c r="C197" s="194" t="s">
        <v>935</v>
      </c>
      <c r="D197" s="225">
        <v>0</v>
      </c>
      <c r="E197" s="225">
        <v>0</v>
      </c>
    </row>
    <row r="198" spans="2:5" ht="12.75" customHeight="1" x14ac:dyDescent="0.2">
      <c r="B198" s="103">
        <v>190</v>
      </c>
      <c r="C198" s="194" t="s">
        <v>936</v>
      </c>
      <c r="D198" s="225">
        <v>0</v>
      </c>
      <c r="E198" s="225">
        <v>0</v>
      </c>
    </row>
    <row r="199" spans="2:5" ht="12.75" customHeight="1" x14ac:dyDescent="0.2">
      <c r="B199" s="103">
        <v>191</v>
      </c>
      <c r="C199" s="194" t="s">
        <v>937</v>
      </c>
      <c r="D199" s="225">
        <v>0</v>
      </c>
      <c r="E199" s="225">
        <v>0</v>
      </c>
    </row>
    <row r="200" spans="2:5" ht="12.75" customHeight="1" x14ac:dyDescent="0.2">
      <c r="B200" s="103">
        <v>192</v>
      </c>
      <c r="C200" s="194" t="s">
        <v>938</v>
      </c>
      <c r="D200" s="225">
        <v>0</v>
      </c>
      <c r="E200" s="225">
        <v>0</v>
      </c>
    </row>
    <row r="201" spans="2:5" ht="12.75" customHeight="1" x14ac:dyDescent="0.2">
      <c r="B201" s="103">
        <v>193</v>
      </c>
      <c r="C201" s="194" t="s">
        <v>939</v>
      </c>
      <c r="D201" s="225">
        <v>0</v>
      </c>
      <c r="E201" s="225">
        <v>0</v>
      </c>
    </row>
    <row r="202" spans="2:5" ht="12.75" customHeight="1" x14ac:dyDescent="0.2">
      <c r="B202" s="103">
        <v>194</v>
      </c>
      <c r="C202" s="194" t="s">
        <v>940</v>
      </c>
      <c r="D202" s="225">
        <v>0</v>
      </c>
      <c r="E202" s="225">
        <v>0</v>
      </c>
    </row>
    <row r="203" spans="2:5" ht="12.75" customHeight="1" x14ac:dyDescent="0.2">
      <c r="B203" s="103">
        <v>195</v>
      </c>
      <c r="C203" s="194" t="s">
        <v>941</v>
      </c>
      <c r="D203" s="225">
        <v>0</v>
      </c>
      <c r="E203" s="225">
        <v>0</v>
      </c>
    </row>
    <row r="204" spans="2:5" ht="12.75" customHeight="1" x14ac:dyDescent="0.2">
      <c r="B204" s="103">
        <v>196</v>
      </c>
      <c r="C204" s="194" t="s">
        <v>942</v>
      </c>
      <c r="D204" s="225">
        <v>0</v>
      </c>
      <c r="E204" s="225">
        <v>0</v>
      </c>
    </row>
    <row r="205" spans="2:5" ht="12.75" customHeight="1" x14ac:dyDescent="0.2">
      <c r="B205" s="103">
        <v>197</v>
      </c>
      <c r="C205" s="194" t="s">
        <v>943</v>
      </c>
      <c r="D205" s="225">
        <v>0</v>
      </c>
      <c r="E205" s="225">
        <v>0</v>
      </c>
    </row>
    <row r="206" spans="2:5" ht="12.75" customHeight="1" x14ac:dyDescent="0.2">
      <c r="B206" s="103">
        <v>198</v>
      </c>
      <c r="C206" s="194" t="s">
        <v>944</v>
      </c>
      <c r="D206" s="225">
        <v>0</v>
      </c>
      <c r="E206" s="225">
        <v>0</v>
      </c>
    </row>
    <row r="207" spans="2:5" ht="12.75" customHeight="1" x14ac:dyDescent="0.2">
      <c r="B207" s="103">
        <v>199</v>
      </c>
      <c r="C207" s="194" t="s">
        <v>945</v>
      </c>
      <c r="D207" s="225">
        <v>0</v>
      </c>
      <c r="E207" s="225">
        <v>0</v>
      </c>
    </row>
    <row r="208" spans="2:5" ht="12.75" customHeight="1" x14ac:dyDescent="0.2">
      <c r="B208" s="103">
        <v>200</v>
      </c>
      <c r="C208" s="194" t="s">
        <v>946</v>
      </c>
      <c r="D208" s="225">
        <v>0</v>
      </c>
      <c r="E208" s="225">
        <v>0</v>
      </c>
    </row>
    <row r="209" spans="2:5" ht="12.75" customHeight="1" x14ac:dyDescent="0.2">
      <c r="B209" s="103">
        <v>201</v>
      </c>
      <c r="C209" s="194" t="s">
        <v>947</v>
      </c>
      <c r="D209" s="225">
        <v>0</v>
      </c>
      <c r="E209" s="225">
        <v>0</v>
      </c>
    </row>
    <row r="210" spans="2:5" ht="12.75" customHeight="1" x14ac:dyDescent="0.2">
      <c r="B210" s="103">
        <v>202</v>
      </c>
      <c r="C210" s="194" t="s">
        <v>948</v>
      </c>
      <c r="D210" s="225">
        <v>0</v>
      </c>
      <c r="E210" s="225">
        <v>0</v>
      </c>
    </row>
    <row r="211" spans="2:5" ht="12.75" customHeight="1" x14ac:dyDescent="0.2">
      <c r="B211" s="103">
        <v>203</v>
      </c>
      <c r="C211" s="194" t="s">
        <v>949</v>
      </c>
      <c r="D211" s="225">
        <v>0</v>
      </c>
      <c r="E211" s="225">
        <v>0</v>
      </c>
    </row>
    <row r="212" spans="2:5" ht="12.75" customHeight="1" x14ac:dyDescent="0.2">
      <c r="B212" s="103">
        <v>204</v>
      </c>
      <c r="C212" s="194" t="s">
        <v>950</v>
      </c>
      <c r="D212" s="225">
        <v>0</v>
      </c>
      <c r="E212" s="225">
        <v>0</v>
      </c>
    </row>
    <row r="213" spans="2:5" ht="12.75" customHeight="1" x14ac:dyDescent="0.2">
      <c r="B213" s="103">
        <v>205</v>
      </c>
      <c r="C213" s="194" t="s">
        <v>951</v>
      </c>
      <c r="D213" s="225">
        <v>0</v>
      </c>
      <c r="E213" s="225">
        <v>0</v>
      </c>
    </row>
    <row r="214" spans="2:5" ht="12.75" customHeight="1" x14ac:dyDescent="0.2">
      <c r="B214" s="103">
        <v>206</v>
      </c>
      <c r="C214" s="194" t="s">
        <v>952</v>
      </c>
      <c r="D214" s="225">
        <v>0</v>
      </c>
      <c r="E214" s="225">
        <v>0</v>
      </c>
    </row>
    <row r="215" spans="2:5" ht="12.75" customHeight="1" x14ac:dyDescent="0.2">
      <c r="B215" s="103">
        <v>207</v>
      </c>
      <c r="C215" s="194" t="s">
        <v>953</v>
      </c>
      <c r="D215" s="225">
        <v>0</v>
      </c>
      <c r="E215" s="225">
        <v>0</v>
      </c>
    </row>
    <row r="216" spans="2:5" ht="12.75" customHeight="1" x14ac:dyDescent="0.2">
      <c r="B216" s="103">
        <v>208</v>
      </c>
      <c r="C216" s="194" t="s">
        <v>954</v>
      </c>
      <c r="D216" s="225">
        <v>0</v>
      </c>
      <c r="E216" s="225">
        <v>0</v>
      </c>
    </row>
    <row r="217" spans="2:5" ht="12.75" customHeight="1" x14ac:dyDescent="0.2">
      <c r="B217" s="103">
        <v>209</v>
      </c>
      <c r="C217" s="194" t="s">
        <v>955</v>
      </c>
      <c r="D217" s="225">
        <v>0</v>
      </c>
      <c r="E217" s="225">
        <v>0</v>
      </c>
    </row>
    <row r="218" spans="2:5" ht="12.75" customHeight="1" x14ac:dyDescent="0.2">
      <c r="B218" s="103">
        <v>210</v>
      </c>
      <c r="C218" s="194" t="s">
        <v>956</v>
      </c>
      <c r="D218" s="225">
        <v>0</v>
      </c>
      <c r="E218" s="225">
        <v>0</v>
      </c>
    </row>
    <row r="219" spans="2:5" ht="12.75" customHeight="1" x14ac:dyDescent="0.2">
      <c r="B219" s="103">
        <v>211</v>
      </c>
      <c r="C219" s="194" t="s">
        <v>957</v>
      </c>
      <c r="D219" s="225">
        <v>0</v>
      </c>
      <c r="E219" s="225">
        <v>0</v>
      </c>
    </row>
    <row r="220" spans="2:5" ht="12.75" customHeight="1" x14ac:dyDescent="0.2">
      <c r="B220" s="103">
        <v>212</v>
      </c>
      <c r="C220" s="194" t="s">
        <v>958</v>
      </c>
      <c r="D220" s="225">
        <v>0</v>
      </c>
      <c r="E220" s="225">
        <v>0</v>
      </c>
    </row>
    <row r="221" spans="2:5" ht="12.75" customHeight="1" x14ac:dyDescent="0.2">
      <c r="B221" s="103">
        <v>213</v>
      </c>
      <c r="C221" s="194" t="s">
        <v>959</v>
      </c>
      <c r="D221" s="225">
        <v>0</v>
      </c>
      <c r="E221" s="225">
        <v>0</v>
      </c>
    </row>
    <row r="222" spans="2:5" ht="12.75" customHeight="1" x14ac:dyDescent="0.2">
      <c r="B222" s="103">
        <v>214</v>
      </c>
      <c r="C222" s="194" t="s">
        <v>960</v>
      </c>
      <c r="D222" s="225">
        <v>0</v>
      </c>
      <c r="E222" s="225">
        <v>0</v>
      </c>
    </row>
    <row r="223" spans="2:5" ht="12.75" customHeight="1" x14ac:dyDescent="0.2">
      <c r="B223" s="103">
        <v>215</v>
      </c>
      <c r="C223" s="194" t="s">
        <v>961</v>
      </c>
      <c r="D223" s="225">
        <v>0</v>
      </c>
      <c r="E223" s="225">
        <v>0</v>
      </c>
    </row>
    <row r="224" spans="2:5" ht="12.75" customHeight="1" x14ac:dyDescent="0.2">
      <c r="B224" s="103">
        <v>216</v>
      </c>
      <c r="C224" s="194" t="s">
        <v>962</v>
      </c>
      <c r="D224" s="225">
        <v>0</v>
      </c>
      <c r="E224" s="225">
        <v>0</v>
      </c>
    </row>
    <row r="225" spans="2:5" ht="12.75" customHeight="1" x14ac:dyDescent="0.2">
      <c r="B225" s="103">
        <v>217</v>
      </c>
      <c r="C225" s="194" t="s">
        <v>963</v>
      </c>
      <c r="D225" s="225">
        <v>0</v>
      </c>
      <c r="E225" s="225">
        <v>0</v>
      </c>
    </row>
    <row r="226" spans="2:5" ht="12.75" customHeight="1" x14ac:dyDescent="0.2">
      <c r="B226" s="103">
        <v>218</v>
      </c>
      <c r="C226" s="194" t="s">
        <v>964</v>
      </c>
      <c r="D226" s="225">
        <v>0</v>
      </c>
      <c r="E226" s="225">
        <v>0</v>
      </c>
    </row>
    <row r="227" spans="2:5" ht="12.75" customHeight="1" x14ac:dyDescent="0.2">
      <c r="B227" s="103">
        <v>219</v>
      </c>
      <c r="C227" s="194" t="s">
        <v>965</v>
      </c>
      <c r="D227" s="225">
        <v>0</v>
      </c>
      <c r="E227" s="225">
        <v>0</v>
      </c>
    </row>
    <row r="228" spans="2:5" ht="12.75" customHeight="1" x14ac:dyDescent="0.2">
      <c r="B228" s="103">
        <v>220</v>
      </c>
      <c r="C228" s="194" t="s">
        <v>966</v>
      </c>
      <c r="D228" s="225">
        <v>0</v>
      </c>
      <c r="E228" s="225">
        <v>0</v>
      </c>
    </row>
    <row r="229" spans="2:5" ht="12.75" customHeight="1" x14ac:dyDescent="0.2">
      <c r="B229" s="103">
        <v>221</v>
      </c>
      <c r="C229" s="194" t="s">
        <v>967</v>
      </c>
      <c r="D229" s="225">
        <v>0</v>
      </c>
      <c r="E229" s="225">
        <v>0</v>
      </c>
    </row>
    <row r="230" spans="2:5" ht="12.75" customHeight="1" x14ac:dyDescent="0.2">
      <c r="B230" s="103">
        <v>222</v>
      </c>
      <c r="C230" s="194" t="s">
        <v>968</v>
      </c>
      <c r="D230" s="225">
        <v>0</v>
      </c>
      <c r="E230" s="225">
        <v>0</v>
      </c>
    </row>
    <row r="231" spans="2:5" ht="12.75" customHeight="1" x14ac:dyDescent="0.2">
      <c r="B231" s="103">
        <v>223</v>
      </c>
      <c r="C231" s="194" t="s">
        <v>969</v>
      </c>
      <c r="D231" s="225">
        <v>0</v>
      </c>
      <c r="E231" s="225">
        <v>0</v>
      </c>
    </row>
    <row r="232" spans="2:5" ht="12.75" customHeight="1" x14ac:dyDescent="0.2">
      <c r="B232" s="103">
        <v>224</v>
      </c>
      <c r="C232" s="194" t="s">
        <v>970</v>
      </c>
      <c r="D232" s="225">
        <v>0</v>
      </c>
      <c r="E232" s="225">
        <v>0</v>
      </c>
    </row>
    <row r="233" spans="2:5" ht="12.75" customHeight="1" x14ac:dyDescent="0.2">
      <c r="B233" s="103">
        <v>225</v>
      </c>
      <c r="C233" s="194" t="s">
        <v>971</v>
      </c>
      <c r="D233" s="225">
        <v>0</v>
      </c>
      <c r="E233" s="225">
        <v>0</v>
      </c>
    </row>
    <row r="234" spans="2:5" ht="12.75" customHeight="1" x14ac:dyDescent="0.2">
      <c r="B234" s="103">
        <v>226</v>
      </c>
      <c r="C234" s="194" t="s">
        <v>972</v>
      </c>
      <c r="D234" s="225">
        <v>0</v>
      </c>
      <c r="E234" s="225">
        <v>0</v>
      </c>
    </row>
    <row r="235" spans="2:5" ht="12.75" customHeight="1" x14ac:dyDescent="0.2">
      <c r="B235" s="103">
        <v>227</v>
      </c>
      <c r="C235" s="194" t="s">
        <v>973</v>
      </c>
      <c r="D235" s="225">
        <v>0</v>
      </c>
      <c r="E235" s="225">
        <v>0</v>
      </c>
    </row>
    <row r="236" spans="2:5" ht="12.75" customHeight="1" x14ac:dyDescent="0.2">
      <c r="B236" s="103">
        <v>228</v>
      </c>
      <c r="C236" s="194" t="s">
        <v>974</v>
      </c>
      <c r="D236" s="225">
        <v>0</v>
      </c>
      <c r="E236" s="225">
        <v>0</v>
      </c>
    </row>
    <row r="237" spans="2:5" ht="12.75" customHeight="1" x14ac:dyDescent="0.2">
      <c r="B237" s="103">
        <v>229</v>
      </c>
      <c r="C237" s="194" t="s">
        <v>975</v>
      </c>
      <c r="D237" s="225">
        <v>0</v>
      </c>
      <c r="E237" s="225">
        <v>0</v>
      </c>
    </row>
    <row r="238" spans="2:5" ht="12.75" customHeight="1" x14ac:dyDescent="0.2">
      <c r="B238" s="103">
        <v>230</v>
      </c>
      <c r="C238" s="194" t="s">
        <v>976</v>
      </c>
      <c r="D238" s="225">
        <v>0</v>
      </c>
      <c r="E238" s="225">
        <v>0</v>
      </c>
    </row>
    <row r="239" spans="2:5" ht="12.75" customHeight="1" x14ac:dyDescent="0.2">
      <c r="B239" s="103">
        <v>231</v>
      </c>
      <c r="C239" s="194" t="s">
        <v>977</v>
      </c>
      <c r="D239" s="225">
        <v>0</v>
      </c>
      <c r="E239" s="225">
        <v>0</v>
      </c>
    </row>
    <row r="240" spans="2:5" ht="12.75" customHeight="1" x14ac:dyDescent="0.2">
      <c r="B240" s="103">
        <v>232</v>
      </c>
      <c r="C240" s="194" t="s">
        <v>978</v>
      </c>
      <c r="D240" s="225">
        <v>0</v>
      </c>
      <c r="E240" s="225">
        <v>0</v>
      </c>
    </row>
    <row r="241" spans="2:5" ht="12.75" customHeight="1" x14ac:dyDescent="0.2">
      <c r="B241" s="103">
        <v>233</v>
      </c>
      <c r="C241" s="194" t="s">
        <v>979</v>
      </c>
      <c r="D241" s="225">
        <v>0</v>
      </c>
      <c r="E241" s="225">
        <v>0</v>
      </c>
    </row>
    <row r="242" spans="2:5" ht="12.75" customHeight="1" x14ac:dyDescent="0.2">
      <c r="B242" s="103">
        <v>234</v>
      </c>
      <c r="C242" s="194" t="s">
        <v>980</v>
      </c>
      <c r="D242" s="225">
        <v>0</v>
      </c>
      <c r="E242" s="225">
        <v>0</v>
      </c>
    </row>
    <row r="243" spans="2:5" ht="12.75" customHeight="1" x14ac:dyDescent="0.2">
      <c r="B243" s="103">
        <v>235</v>
      </c>
      <c r="C243" s="194" t="s">
        <v>981</v>
      </c>
      <c r="D243" s="225">
        <v>0</v>
      </c>
      <c r="E243" s="225">
        <v>0</v>
      </c>
    </row>
    <row r="244" spans="2:5" ht="12.75" customHeight="1" x14ac:dyDescent="0.2">
      <c r="B244" s="103">
        <v>236</v>
      </c>
      <c r="C244" s="194" t="s">
        <v>982</v>
      </c>
      <c r="D244" s="225">
        <v>0</v>
      </c>
      <c r="E244" s="225">
        <v>0</v>
      </c>
    </row>
    <row r="245" spans="2:5" ht="12.75" customHeight="1" x14ac:dyDescent="0.2">
      <c r="B245" s="103">
        <v>237</v>
      </c>
      <c r="C245" s="194" t="s">
        <v>983</v>
      </c>
      <c r="D245" s="225">
        <v>0</v>
      </c>
      <c r="E245" s="225">
        <v>0</v>
      </c>
    </row>
    <row r="246" spans="2:5" ht="12.75" customHeight="1" x14ac:dyDescent="0.2">
      <c r="B246" s="103">
        <v>238</v>
      </c>
      <c r="C246" s="194" t="s">
        <v>984</v>
      </c>
      <c r="D246" s="225">
        <v>0</v>
      </c>
      <c r="E246" s="225">
        <v>0</v>
      </c>
    </row>
    <row r="247" spans="2:5" ht="12.75" customHeight="1" x14ac:dyDescent="0.2">
      <c r="B247" s="103">
        <v>239</v>
      </c>
      <c r="C247" s="194" t="s">
        <v>985</v>
      </c>
      <c r="D247" s="225">
        <v>0</v>
      </c>
      <c r="E247" s="225">
        <v>0</v>
      </c>
    </row>
    <row r="248" spans="2:5" ht="12.75" customHeight="1" x14ac:dyDescent="0.2">
      <c r="B248" s="103">
        <v>240</v>
      </c>
      <c r="C248" s="194" t="s">
        <v>986</v>
      </c>
      <c r="D248" s="225">
        <v>0</v>
      </c>
      <c r="E248" s="225">
        <v>0</v>
      </c>
    </row>
    <row r="249" spans="2:5" ht="12.75" customHeight="1" x14ac:dyDescent="0.2">
      <c r="B249" s="103">
        <v>241</v>
      </c>
      <c r="C249" s="194" t="s">
        <v>987</v>
      </c>
      <c r="D249" s="225">
        <v>0</v>
      </c>
      <c r="E249" s="225">
        <v>0</v>
      </c>
    </row>
    <row r="250" spans="2:5" ht="12.75" customHeight="1" x14ac:dyDescent="0.2">
      <c r="B250" s="103">
        <v>242</v>
      </c>
      <c r="C250" s="194" t="s">
        <v>988</v>
      </c>
      <c r="D250" s="225">
        <v>0</v>
      </c>
      <c r="E250" s="225">
        <v>0</v>
      </c>
    </row>
    <row r="251" spans="2:5" ht="12.75" customHeight="1" x14ac:dyDescent="0.2">
      <c r="B251" s="103">
        <v>243</v>
      </c>
      <c r="C251" s="194" t="s">
        <v>989</v>
      </c>
      <c r="D251" s="225">
        <v>0</v>
      </c>
      <c r="E251" s="225">
        <v>0</v>
      </c>
    </row>
    <row r="252" spans="2:5" ht="12.75" customHeight="1" x14ac:dyDescent="0.2">
      <c r="B252" s="103">
        <v>244</v>
      </c>
      <c r="C252" s="194" t="s">
        <v>990</v>
      </c>
      <c r="D252" s="225">
        <v>0</v>
      </c>
      <c r="E252" s="225">
        <v>0</v>
      </c>
    </row>
    <row r="253" spans="2:5" ht="12.75" customHeight="1" x14ac:dyDescent="0.2">
      <c r="B253" s="103">
        <v>245</v>
      </c>
      <c r="C253" s="194" t="s">
        <v>991</v>
      </c>
      <c r="D253" s="225">
        <v>0</v>
      </c>
      <c r="E253" s="225">
        <v>0</v>
      </c>
    </row>
    <row r="254" spans="2:5" ht="12.75" customHeight="1" x14ac:dyDescent="0.2">
      <c r="B254" s="103">
        <v>246</v>
      </c>
      <c r="C254" s="194" t="s">
        <v>992</v>
      </c>
      <c r="D254" s="225">
        <v>0</v>
      </c>
      <c r="E254" s="225">
        <v>0</v>
      </c>
    </row>
    <row r="255" spans="2:5" ht="12.75" customHeight="1" x14ac:dyDescent="0.2">
      <c r="B255" s="103">
        <v>247</v>
      </c>
      <c r="C255" s="194" t="s">
        <v>993</v>
      </c>
      <c r="D255" s="225">
        <v>0</v>
      </c>
      <c r="E255" s="225">
        <v>0</v>
      </c>
    </row>
    <row r="256" spans="2:5" ht="12.75" customHeight="1" x14ac:dyDescent="0.2">
      <c r="B256" s="103">
        <v>248</v>
      </c>
      <c r="C256" s="194" t="s">
        <v>994</v>
      </c>
      <c r="D256" s="225">
        <v>0</v>
      </c>
      <c r="E256" s="225">
        <v>0</v>
      </c>
    </row>
    <row r="257" spans="2:5" ht="12.75" customHeight="1" x14ac:dyDescent="0.2">
      <c r="B257" s="103">
        <v>249</v>
      </c>
      <c r="C257" s="194" t="s">
        <v>995</v>
      </c>
      <c r="D257" s="225">
        <v>0</v>
      </c>
      <c r="E257" s="225">
        <v>0</v>
      </c>
    </row>
    <row r="258" spans="2:5" ht="12.75" customHeight="1" x14ac:dyDescent="0.2">
      <c r="B258" s="103">
        <v>250</v>
      </c>
      <c r="C258" s="194" t="s">
        <v>996</v>
      </c>
      <c r="D258" s="225">
        <v>0</v>
      </c>
      <c r="E258" s="225">
        <v>0</v>
      </c>
    </row>
    <row r="259" spans="2:5" ht="12.75" customHeight="1" x14ac:dyDescent="0.2">
      <c r="B259" s="103">
        <v>251</v>
      </c>
      <c r="C259" s="194" t="s">
        <v>997</v>
      </c>
      <c r="D259" s="225">
        <v>0</v>
      </c>
      <c r="E259" s="225">
        <v>0</v>
      </c>
    </row>
    <row r="260" spans="2:5" ht="12.75" customHeight="1" x14ac:dyDescent="0.2">
      <c r="B260" s="103">
        <v>252</v>
      </c>
      <c r="C260" s="194" t="s">
        <v>998</v>
      </c>
      <c r="D260" s="225">
        <v>0</v>
      </c>
      <c r="E260" s="225">
        <v>0</v>
      </c>
    </row>
    <row r="261" spans="2:5" ht="12.75" customHeight="1" x14ac:dyDescent="0.2">
      <c r="B261" s="103">
        <v>253</v>
      </c>
      <c r="C261" s="194" t="s">
        <v>999</v>
      </c>
      <c r="D261" s="225">
        <v>0</v>
      </c>
      <c r="E261" s="225">
        <v>0</v>
      </c>
    </row>
    <row r="262" spans="2:5" ht="12.75" customHeight="1" x14ac:dyDescent="0.2">
      <c r="B262" s="103">
        <v>254</v>
      </c>
      <c r="C262" s="194" t="s">
        <v>1000</v>
      </c>
      <c r="D262" s="225">
        <v>0</v>
      </c>
      <c r="E262" s="225">
        <v>0</v>
      </c>
    </row>
    <row r="263" spans="2:5" ht="12.75" customHeight="1" x14ac:dyDescent="0.2">
      <c r="B263" s="103">
        <v>255</v>
      </c>
      <c r="C263" s="194" t="s">
        <v>1001</v>
      </c>
      <c r="D263" s="225">
        <v>0</v>
      </c>
      <c r="E263" s="225">
        <v>0</v>
      </c>
    </row>
    <row r="264" spans="2:5" ht="12.75" customHeight="1" x14ac:dyDescent="0.2">
      <c r="B264" s="103">
        <v>256</v>
      </c>
      <c r="C264" s="194" t="s">
        <v>1002</v>
      </c>
      <c r="D264" s="225">
        <v>0</v>
      </c>
      <c r="E264" s="225">
        <v>0</v>
      </c>
    </row>
    <row r="265" spans="2:5" ht="12.75" customHeight="1" x14ac:dyDescent="0.2">
      <c r="B265" s="103">
        <v>257</v>
      </c>
      <c r="C265" s="194" t="s">
        <v>1003</v>
      </c>
      <c r="D265" s="225">
        <v>0</v>
      </c>
      <c r="E265" s="225">
        <v>0</v>
      </c>
    </row>
    <row r="266" spans="2:5" ht="12.75" customHeight="1" x14ac:dyDescent="0.2">
      <c r="B266" s="103">
        <v>258</v>
      </c>
      <c r="C266" s="194" t="s">
        <v>1004</v>
      </c>
      <c r="D266" s="225">
        <v>0</v>
      </c>
      <c r="E266" s="225">
        <v>0</v>
      </c>
    </row>
    <row r="267" spans="2:5" ht="12.75" customHeight="1" x14ac:dyDescent="0.2">
      <c r="B267" s="103">
        <v>259</v>
      </c>
      <c r="C267" s="194" t="s">
        <v>1005</v>
      </c>
      <c r="D267" s="225">
        <v>0</v>
      </c>
      <c r="E267" s="225">
        <v>0</v>
      </c>
    </row>
    <row r="268" spans="2:5" ht="12.75" customHeight="1" x14ac:dyDescent="0.2">
      <c r="B268" s="103">
        <v>260</v>
      </c>
      <c r="C268" s="194" t="s">
        <v>1006</v>
      </c>
      <c r="D268" s="225">
        <v>0</v>
      </c>
      <c r="E268" s="225">
        <v>0</v>
      </c>
    </row>
    <row r="269" spans="2:5" ht="12.75" customHeight="1" x14ac:dyDescent="0.2">
      <c r="B269" s="103">
        <v>261</v>
      </c>
      <c r="C269" s="194" t="s">
        <v>1007</v>
      </c>
      <c r="D269" s="225">
        <v>0</v>
      </c>
      <c r="E269" s="225">
        <v>0</v>
      </c>
    </row>
    <row r="270" spans="2:5" ht="12.75" customHeight="1" x14ac:dyDescent="0.2">
      <c r="B270" s="103">
        <v>262</v>
      </c>
      <c r="C270" s="194" t="s">
        <v>1008</v>
      </c>
      <c r="D270" s="225">
        <v>0</v>
      </c>
      <c r="E270" s="225">
        <v>0</v>
      </c>
    </row>
    <row r="271" spans="2:5" ht="12.75" customHeight="1" x14ac:dyDescent="0.2">
      <c r="B271" s="103">
        <v>263</v>
      </c>
      <c r="C271" s="194" t="s">
        <v>1009</v>
      </c>
      <c r="D271" s="225">
        <v>0</v>
      </c>
      <c r="E271" s="225">
        <v>0</v>
      </c>
    </row>
    <row r="272" spans="2:5" ht="12.75" customHeight="1" x14ac:dyDescent="0.2">
      <c r="B272" s="103">
        <v>264</v>
      </c>
      <c r="C272" s="194" t="s">
        <v>1010</v>
      </c>
      <c r="D272" s="225">
        <v>0</v>
      </c>
      <c r="E272" s="225">
        <v>0</v>
      </c>
    </row>
    <row r="273" spans="2:5" ht="12.75" customHeight="1" x14ac:dyDescent="0.2">
      <c r="B273" s="103">
        <v>265</v>
      </c>
      <c r="C273" s="194" t="s">
        <v>1011</v>
      </c>
      <c r="D273" s="225">
        <v>0</v>
      </c>
      <c r="E273" s="225">
        <v>0</v>
      </c>
    </row>
    <row r="274" spans="2:5" ht="12.75" customHeight="1" x14ac:dyDescent="0.2">
      <c r="B274" s="103">
        <v>266</v>
      </c>
      <c r="C274" s="194" t="s">
        <v>1012</v>
      </c>
      <c r="D274" s="225">
        <v>0</v>
      </c>
      <c r="E274" s="225">
        <v>0</v>
      </c>
    </row>
    <row r="275" spans="2:5" ht="12.75" customHeight="1" x14ac:dyDescent="0.2">
      <c r="B275" s="103">
        <v>267</v>
      </c>
      <c r="C275" s="194" t="s">
        <v>1013</v>
      </c>
      <c r="D275" s="225">
        <v>0</v>
      </c>
      <c r="E275" s="225">
        <v>0</v>
      </c>
    </row>
    <row r="276" spans="2:5" ht="12.75" customHeight="1" x14ac:dyDescent="0.2">
      <c r="B276" s="103">
        <v>268</v>
      </c>
      <c r="C276" s="194" t="s">
        <v>1014</v>
      </c>
      <c r="D276" s="225">
        <v>0</v>
      </c>
      <c r="E276" s="225">
        <v>0</v>
      </c>
    </row>
    <row r="277" spans="2:5" ht="12.75" customHeight="1" x14ac:dyDescent="0.2">
      <c r="B277" s="103">
        <v>269</v>
      </c>
      <c r="C277" s="194" t="s">
        <v>1015</v>
      </c>
      <c r="D277" s="225">
        <v>0</v>
      </c>
      <c r="E277" s="225">
        <v>0</v>
      </c>
    </row>
    <row r="278" spans="2:5" ht="12.75" customHeight="1" x14ac:dyDescent="0.2">
      <c r="B278" s="103">
        <v>270</v>
      </c>
      <c r="C278" s="194" t="s">
        <v>1016</v>
      </c>
      <c r="D278" s="225">
        <v>0</v>
      </c>
      <c r="E278" s="225">
        <v>0</v>
      </c>
    </row>
    <row r="279" spans="2:5" ht="12.75" customHeight="1" x14ac:dyDescent="0.2">
      <c r="B279" s="103">
        <v>271</v>
      </c>
      <c r="C279" s="194" t="s">
        <v>1017</v>
      </c>
      <c r="D279" s="225">
        <v>0</v>
      </c>
      <c r="E279" s="225">
        <v>0</v>
      </c>
    </row>
    <row r="280" spans="2:5" ht="12.75" customHeight="1" x14ac:dyDescent="0.2">
      <c r="B280" s="103">
        <v>272</v>
      </c>
      <c r="C280" s="194" t="s">
        <v>1018</v>
      </c>
      <c r="D280" s="225">
        <v>0</v>
      </c>
      <c r="E280" s="225">
        <v>0</v>
      </c>
    </row>
    <row r="281" spans="2:5" ht="12.75" customHeight="1" x14ac:dyDescent="0.2">
      <c r="B281" s="103">
        <v>273</v>
      </c>
      <c r="C281" s="194" t="s">
        <v>1019</v>
      </c>
      <c r="D281" s="225">
        <v>0</v>
      </c>
      <c r="E281" s="225">
        <v>0</v>
      </c>
    </row>
    <row r="282" spans="2:5" ht="12.75" customHeight="1" x14ac:dyDescent="0.2">
      <c r="B282" s="103">
        <v>274</v>
      </c>
      <c r="C282" s="194" t="s">
        <v>1020</v>
      </c>
      <c r="D282" s="225">
        <v>0</v>
      </c>
      <c r="E282" s="225">
        <v>0</v>
      </c>
    </row>
    <row r="283" spans="2:5" ht="12.75" customHeight="1" x14ac:dyDescent="0.2">
      <c r="B283" s="103">
        <v>275</v>
      </c>
      <c r="C283" s="194" t="s">
        <v>1021</v>
      </c>
      <c r="D283" s="225">
        <v>0</v>
      </c>
      <c r="E283" s="225">
        <v>0</v>
      </c>
    </row>
    <row r="284" spans="2:5" ht="12.75" customHeight="1" x14ac:dyDescent="0.2">
      <c r="B284" s="103">
        <v>276</v>
      </c>
      <c r="C284" s="194" t="s">
        <v>1022</v>
      </c>
      <c r="D284" s="225">
        <v>0</v>
      </c>
      <c r="E284" s="225">
        <v>0</v>
      </c>
    </row>
    <row r="285" spans="2:5" ht="12.75" customHeight="1" x14ac:dyDescent="0.2">
      <c r="B285" s="103">
        <v>277</v>
      </c>
      <c r="C285" s="194" t="s">
        <v>1023</v>
      </c>
      <c r="D285" s="225">
        <v>0</v>
      </c>
      <c r="E285" s="225">
        <v>0</v>
      </c>
    </row>
    <row r="286" spans="2:5" ht="12.75" customHeight="1" x14ac:dyDescent="0.2">
      <c r="B286" s="103">
        <v>278</v>
      </c>
      <c r="C286" s="194" t="s">
        <v>1024</v>
      </c>
      <c r="D286" s="225">
        <v>0</v>
      </c>
      <c r="E286" s="225">
        <v>0</v>
      </c>
    </row>
    <row r="287" spans="2:5" ht="12.75" customHeight="1" x14ac:dyDescent="0.2">
      <c r="B287" s="103">
        <v>279</v>
      </c>
      <c r="C287" s="194" t="s">
        <v>1025</v>
      </c>
      <c r="D287" s="225">
        <v>0</v>
      </c>
      <c r="E287" s="225">
        <v>0</v>
      </c>
    </row>
    <row r="288" spans="2:5" ht="12.75" customHeight="1" x14ac:dyDescent="0.2">
      <c r="B288" s="103">
        <v>280</v>
      </c>
      <c r="C288" s="194" t="s">
        <v>1026</v>
      </c>
      <c r="D288" s="225">
        <v>0</v>
      </c>
      <c r="E288" s="225">
        <v>0</v>
      </c>
    </row>
    <row r="289" spans="2:5" ht="12.75" customHeight="1" x14ac:dyDescent="0.2">
      <c r="B289" s="103">
        <v>281</v>
      </c>
      <c r="C289" s="194" t="s">
        <v>1027</v>
      </c>
      <c r="D289" s="225">
        <v>0</v>
      </c>
      <c r="E289" s="225">
        <v>0</v>
      </c>
    </row>
    <row r="290" spans="2:5" ht="12.75" customHeight="1" x14ac:dyDescent="0.2">
      <c r="B290" s="103">
        <v>282</v>
      </c>
      <c r="C290" s="194" t="s">
        <v>1028</v>
      </c>
      <c r="D290" s="225">
        <v>0</v>
      </c>
      <c r="E290" s="225">
        <v>0</v>
      </c>
    </row>
    <row r="291" spans="2:5" ht="12.75" customHeight="1" x14ac:dyDescent="0.2">
      <c r="B291" s="103">
        <v>283</v>
      </c>
      <c r="C291" s="194" t="s">
        <v>1029</v>
      </c>
      <c r="D291" s="225">
        <v>0</v>
      </c>
      <c r="E291" s="225">
        <v>0</v>
      </c>
    </row>
    <row r="292" spans="2:5" ht="12.75" customHeight="1" x14ac:dyDescent="0.2">
      <c r="B292" s="103">
        <v>284</v>
      </c>
      <c r="C292" s="194" t="s">
        <v>1030</v>
      </c>
      <c r="D292" s="225">
        <v>0</v>
      </c>
      <c r="E292" s="225">
        <v>0</v>
      </c>
    </row>
    <row r="293" spans="2:5" ht="12.75" customHeight="1" x14ac:dyDescent="0.2">
      <c r="B293" s="103">
        <v>285</v>
      </c>
      <c r="C293" s="194" t="s">
        <v>1031</v>
      </c>
      <c r="D293" s="225">
        <v>0</v>
      </c>
      <c r="E293" s="225">
        <v>0</v>
      </c>
    </row>
    <row r="294" spans="2:5" ht="12.75" customHeight="1" x14ac:dyDescent="0.2">
      <c r="B294" s="103">
        <v>286</v>
      </c>
      <c r="C294" s="194" t="s">
        <v>1032</v>
      </c>
      <c r="D294" s="225">
        <v>0</v>
      </c>
      <c r="E294" s="225">
        <v>0</v>
      </c>
    </row>
    <row r="295" spans="2:5" ht="12.75" customHeight="1" x14ac:dyDescent="0.2">
      <c r="B295" s="103">
        <v>287</v>
      </c>
      <c r="C295" s="194" t="s">
        <v>1033</v>
      </c>
      <c r="D295" s="225">
        <v>0</v>
      </c>
      <c r="E295" s="225">
        <v>0</v>
      </c>
    </row>
    <row r="296" spans="2:5" ht="12.75" customHeight="1" x14ac:dyDescent="0.2">
      <c r="B296" s="103">
        <v>288</v>
      </c>
      <c r="C296" s="194" t="s">
        <v>1034</v>
      </c>
      <c r="D296" s="225">
        <v>0</v>
      </c>
      <c r="E296" s="225">
        <v>0</v>
      </c>
    </row>
    <row r="297" spans="2:5" ht="12.75" customHeight="1" x14ac:dyDescent="0.2">
      <c r="B297" s="103">
        <v>289</v>
      </c>
      <c r="C297" s="194" t="s">
        <v>1035</v>
      </c>
      <c r="D297" s="225">
        <v>0</v>
      </c>
      <c r="E297" s="225">
        <v>0</v>
      </c>
    </row>
    <row r="298" spans="2:5" ht="12.75" customHeight="1" x14ac:dyDescent="0.2">
      <c r="B298" s="103">
        <v>290</v>
      </c>
      <c r="C298" s="194" t="s">
        <v>1036</v>
      </c>
      <c r="D298" s="225">
        <v>0</v>
      </c>
      <c r="E298" s="225">
        <v>0</v>
      </c>
    </row>
    <row r="299" spans="2:5" ht="12.75" customHeight="1" x14ac:dyDescent="0.2">
      <c r="B299" s="103">
        <v>291</v>
      </c>
      <c r="C299" s="194" t="s">
        <v>1037</v>
      </c>
      <c r="D299" s="225">
        <v>0</v>
      </c>
      <c r="E299" s="225">
        <v>0</v>
      </c>
    </row>
    <row r="300" spans="2:5" ht="12.75" customHeight="1" x14ac:dyDescent="0.2">
      <c r="B300" s="103">
        <v>292</v>
      </c>
      <c r="C300" s="194" t="s">
        <v>1038</v>
      </c>
      <c r="D300" s="225">
        <v>0</v>
      </c>
      <c r="E300" s="225">
        <v>0</v>
      </c>
    </row>
    <row r="301" spans="2:5" ht="12.75" customHeight="1" x14ac:dyDescent="0.2">
      <c r="B301" s="103">
        <v>6</v>
      </c>
      <c r="C301" s="194" t="s">
        <v>1039</v>
      </c>
      <c r="D301" s="225">
        <v>0</v>
      </c>
      <c r="E301" s="225">
        <v>0</v>
      </c>
    </row>
    <row r="302" spans="2:5" ht="12.75" customHeight="1" x14ac:dyDescent="0.2">
      <c r="B302" s="103">
        <v>294</v>
      </c>
      <c r="C302" s="194" t="s">
        <v>1040</v>
      </c>
      <c r="D302" s="225">
        <v>0</v>
      </c>
      <c r="E302" s="225">
        <v>0</v>
      </c>
    </row>
    <row r="303" spans="2:5" ht="12.75" customHeight="1" x14ac:dyDescent="0.2">
      <c r="B303" s="103">
        <v>295</v>
      </c>
      <c r="C303" s="194" t="s">
        <v>1041</v>
      </c>
      <c r="D303" s="225">
        <v>0</v>
      </c>
      <c r="E303" s="225">
        <v>0</v>
      </c>
    </row>
    <row r="304" spans="2:5" ht="12.75" customHeight="1" x14ac:dyDescent="0.2">
      <c r="B304" s="103">
        <v>296</v>
      </c>
      <c r="C304" s="194" t="s">
        <v>1042</v>
      </c>
      <c r="D304" s="225">
        <v>0</v>
      </c>
      <c r="E304" s="225">
        <v>0</v>
      </c>
    </row>
    <row r="305" spans="2:5" ht="12.75" customHeight="1" x14ac:dyDescent="0.2">
      <c r="B305" s="103">
        <v>297</v>
      </c>
      <c r="C305" s="194" t="s">
        <v>1043</v>
      </c>
      <c r="D305" s="225">
        <v>0</v>
      </c>
      <c r="E305" s="225">
        <v>0</v>
      </c>
    </row>
    <row r="306" spans="2:5" ht="12.75" customHeight="1" x14ac:dyDescent="0.2">
      <c r="B306" s="103">
        <v>298</v>
      </c>
      <c r="C306" s="194" t="s">
        <v>1044</v>
      </c>
      <c r="D306" s="225">
        <v>0</v>
      </c>
      <c r="E306" s="225">
        <v>0</v>
      </c>
    </row>
    <row r="307" spans="2:5" ht="12.75" customHeight="1" x14ac:dyDescent="0.2">
      <c r="B307" s="103">
        <v>299</v>
      </c>
      <c r="C307" s="194" t="s">
        <v>1045</v>
      </c>
      <c r="D307" s="225">
        <v>0</v>
      </c>
      <c r="E307" s="225">
        <v>0</v>
      </c>
    </row>
    <row r="308" spans="2:5" ht="12.75" customHeight="1" x14ac:dyDescent="0.2">
      <c r="B308" s="103">
        <v>300</v>
      </c>
      <c r="C308" s="194" t="s">
        <v>1046</v>
      </c>
      <c r="D308" s="225">
        <v>0</v>
      </c>
      <c r="E308" s="225">
        <v>0</v>
      </c>
    </row>
    <row r="309" spans="2:5" ht="12.75" customHeight="1" x14ac:dyDescent="0.2">
      <c r="B309" s="103">
        <v>301</v>
      </c>
      <c r="C309" s="194" t="s">
        <v>1047</v>
      </c>
      <c r="D309" s="225">
        <v>0</v>
      </c>
      <c r="E309" s="225">
        <v>0</v>
      </c>
    </row>
    <row r="310" spans="2:5" ht="12.75" customHeight="1" x14ac:dyDescent="0.2">
      <c r="B310" s="103">
        <v>302</v>
      </c>
      <c r="C310" s="194" t="s">
        <v>1048</v>
      </c>
      <c r="D310" s="225">
        <v>0</v>
      </c>
      <c r="E310" s="225">
        <v>0</v>
      </c>
    </row>
    <row r="311" spans="2:5" ht="12.75" customHeight="1" x14ac:dyDescent="0.2">
      <c r="B311" s="103">
        <v>303</v>
      </c>
      <c r="C311" s="194" t="s">
        <v>1049</v>
      </c>
      <c r="D311" s="225">
        <v>0</v>
      </c>
      <c r="E311" s="225">
        <v>0</v>
      </c>
    </row>
    <row r="312" spans="2:5" ht="12.75" customHeight="1" x14ac:dyDescent="0.2">
      <c r="B312" s="103">
        <v>304</v>
      </c>
      <c r="C312" s="194" t="s">
        <v>1050</v>
      </c>
      <c r="D312" s="225">
        <v>0</v>
      </c>
      <c r="E312" s="225">
        <v>0</v>
      </c>
    </row>
    <row r="313" spans="2:5" ht="12.75" customHeight="1" x14ac:dyDescent="0.2">
      <c r="B313" s="103">
        <v>305</v>
      </c>
      <c r="C313" s="194" t="s">
        <v>1051</v>
      </c>
      <c r="D313" s="225">
        <v>0</v>
      </c>
      <c r="E313" s="225">
        <v>0</v>
      </c>
    </row>
    <row r="314" spans="2:5" ht="12.75" customHeight="1" x14ac:dyDescent="0.2">
      <c r="B314" s="103">
        <v>306</v>
      </c>
      <c r="C314" s="194" t="s">
        <v>1052</v>
      </c>
      <c r="D314" s="225">
        <v>0</v>
      </c>
      <c r="E314" s="225">
        <v>0</v>
      </c>
    </row>
    <row r="315" spans="2:5" ht="12.75" customHeight="1" x14ac:dyDescent="0.2">
      <c r="B315" s="103">
        <v>307</v>
      </c>
      <c r="C315" s="194" t="s">
        <v>1053</v>
      </c>
      <c r="D315" s="225">
        <v>0</v>
      </c>
      <c r="E315" s="225">
        <v>0</v>
      </c>
    </row>
    <row r="316" spans="2:5" ht="12.75" customHeight="1" x14ac:dyDescent="0.2">
      <c r="B316" s="103">
        <v>308</v>
      </c>
      <c r="C316" s="194" t="s">
        <v>1054</v>
      </c>
      <c r="D316" s="225">
        <v>0</v>
      </c>
      <c r="E316" s="225">
        <v>0</v>
      </c>
    </row>
    <row r="317" spans="2:5" ht="12.75" customHeight="1" x14ac:dyDescent="0.2">
      <c r="B317" s="103">
        <v>309</v>
      </c>
      <c r="C317" s="194" t="s">
        <v>1055</v>
      </c>
      <c r="D317" s="225">
        <v>0</v>
      </c>
      <c r="E317" s="225">
        <v>0</v>
      </c>
    </row>
    <row r="318" spans="2:5" ht="12.75" customHeight="1" x14ac:dyDescent="0.2">
      <c r="B318" s="103">
        <v>310</v>
      </c>
      <c r="C318" s="194" t="s">
        <v>1056</v>
      </c>
      <c r="D318" s="225">
        <v>0</v>
      </c>
      <c r="E318" s="225">
        <v>0</v>
      </c>
    </row>
    <row r="319" spans="2:5" ht="12.75" customHeight="1" x14ac:dyDescent="0.2">
      <c r="B319" s="103">
        <v>311</v>
      </c>
      <c r="C319" s="194" t="s">
        <v>1057</v>
      </c>
      <c r="D319" s="225">
        <v>0</v>
      </c>
      <c r="E319" s="225">
        <v>0</v>
      </c>
    </row>
    <row r="320" spans="2:5" ht="12.75" customHeight="1" x14ac:dyDescent="0.2">
      <c r="B320" s="103">
        <v>312</v>
      </c>
      <c r="C320" s="194" t="s">
        <v>1058</v>
      </c>
      <c r="D320" s="225">
        <v>0</v>
      </c>
      <c r="E320" s="225">
        <v>0</v>
      </c>
    </row>
    <row r="321" spans="2:5" ht="12.75" customHeight="1" x14ac:dyDescent="0.2">
      <c r="B321" s="103">
        <v>313</v>
      </c>
      <c r="C321" s="194" t="s">
        <v>1059</v>
      </c>
      <c r="D321" s="225">
        <v>0</v>
      </c>
      <c r="E321" s="225">
        <v>0</v>
      </c>
    </row>
    <row r="322" spans="2:5" ht="12.75" customHeight="1" x14ac:dyDescent="0.2">
      <c r="B322" s="103">
        <v>314</v>
      </c>
      <c r="C322" s="194" t="s">
        <v>1060</v>
      </c>
      <c r="D322" s="225">
        <v>0</v>
      </c>
      <c r="E322" s="225">
        <v>0</v>
      </c>
    </row>
    <row r="323" spans="2:5" ht="12.75" customHeight="1" x14ac:dyDescent="0.2">
      <c r="B323" s="103">
        <v>315</v>
      </c>
      <c r="C323" s="194" t="s">
        <v>1061</v>
      </c>
      <c r="D323" s="225">
        <v>0</v>
      </c>
      <c r="E323" s="225">
        <v>0</v>
      </c>
    </row>
    <row r="324" spans="2:5" ht="12.75" customHeight="1" x14ac:dyDescent="0.2">
      <c r="B324" s="103">
        <v>316</v>
      </c>
      <c r="C324" s="194" t="s">
        <v>1062</v>
      </c>
      <c r="D324" s="225">
        <v>0</v>
      </c>
      <c r="E324" s="225">
        <v>0</v>
      </c>
    </row>
    <row r="325" spans="2:5" ht="12.75" customHeight="1" x14ac:dyDescent="0.2">
      <c r="B325" s="103">
        <v>317</v>
      </c>
      <c r="C325" s="194" t="s">
        <v>1063</v>
      </c>
      <c r="D325" s="225">
        <v>0</v>
      </c>
      <c r="E325" s="225">
        <v>0</v>
      </c>
    </row>
    <row r="326" spans="2:5" ht="12.75" customHeight="1" x14ac:dyDescent="0.2">
      <c r="B326" s="103">
        <v>318</v>
      </c>
      <c r="C326" s="194" t="s">
        <v>1064</v>
      </c>
      <c r="D326" s="225">
        <v>0</v>
      </c>
      <c r="E326" s="225">
        <v>0</v>
      </c>
    </row>
    <row r="327" spans="2:5" ht="12.75" customHeight="1" x14ac:dyDescent="0.2">
      <c r="B327" s="103">
        <v>319</v>
      </c>
      <c r="C327" s="194" t="s">
        <v>1065</v>
      </c>
      <c r="D327" s="225">
        <v>0</v>
      </c>
      <c r="E327" s="225">
        <v>0</v>
      </c>
    </row>
    <row r="328" spans="2:5" ht="12.75" customHeight="1" x14ac:dyDescent="0.2">
      <c r="B328" s="103">
        <v>320</v>
      </c>
      <c r="C328" s="194" t="s">
        <v>1066</v>
      </c>
      <c r="D328" s="225">
        <v>0</v>
      </c>
      <c r="E328" s="225">
        <v>0</v>
      </c>
    </row>
    <row r="329" spans="2:5" ht="12.75" customHeight="1" x14ac:dyDescent="0.2">
      <c r="B329" s="103">
        <v>321</v>
      </c>
      <c r="C329" s="194" t="s">
        <v>1067</v>
      </c>
      <c r="D329" s="225">
        <v>0</v>
      </c>
      <c r="E329" s="225">
        <v>0</v>
      </c>
    </row>
    <row r="330" spans="2:5" ht="12.75" customHeight="1" x14ac:dyDescent="0.2">
      <c r="B330" s="103">
        <v>322</v>
      </c>
      <c r="C330" s="194" t="s">
        <v>1068</v>
      </c>
      <c r="D330" s="225">
        <v>0</v>
      </c>
      <c r="E330" s="225">
        <v>0</v>
      </c>
    </row>
    <row r="331" spans="2:5" ht="12.75" customHeight="1" x14ac:dyDescent="0.2">
      <c r="B331" s="103">
        <v>323</v>
      </c>
      <c r="C331" s="194" t="s">
        <v>1069</v>
      </c>
      <c r="D331" s="225">
        <v>0</v>
      </c>
      <c r="E331" s="225">
        <v>0</v>
      </c>
    </row>
    <row r="332" spans="2:5" ht="12.75" customHeight="1" x14ac:dyDescent="0.2">
      <c r="B332" s="103">
        <v>324</v>
      </c>
      <c r="C332" s="194" t="s">
        <v>1070</v>
      </c>
      <c r="D332" s="225">
        <v>0</v>
      </c>
      <c r="E332" s="225">
        <v>0</v>
      </c>
    </row>
    <row r="333" spans="2:5" ht="12.75" customHeight="1" x14ac:dyDescent="0.2">
      <c r="B333" s="103">
        <v>325</v>
      </c>
      <c r="C333" s="194" t="s">
        <v>1071</v>
      </c>
      <c r="D333" s="225">
        <v>0</v>
      </c>
      <c r="E333" s="225">
        <v>0</v>
      </c>
    </row>
    <row r="334" spans="2:5" ht="12.75" customHeight="1" x14ac:dyDescent="0.2">
      <c r="B334" s="103">
        <v>326</v>
      </c>
      <c r="C334" s="194" t="s">
        <v>1072</v>
      </c>
      <c r="D334" s="225">
        <v>0</v>
      </c>
      <c r="E334" s="225">
        <v>0</v>
      </c>
    </row>
    <row r="335" spans="2:5" ht="12.75" customHeight="1" x14ac:dyDescent="0.2">
      <c r="B335" s="103">
        <v>327</v>
      </c>
      <c r="C335" s="194" t="s">
        <v>1073</v>
      </c>
      <c r="D335" s="225">
        <v>0</v>
      </c>
      <c r="E335" s="225">
        <v>0</v>
      </c>
    </row>
    <row r="336" spans="2:5" ht="12.75" customHeight="1" x14ac:dyDescent="0.2">
      <c r="B336" s="103">
        <v>328</v>
      </c>
      <c r="C336" s="194" t="s">
        <v>1074</v>
      </c>
      <c r="D336" s="225">
        <v>0</v>
      </c>
      <c r="E336" s="225">
        <v>0</v>
      </c>
    </row>
    <row r="337" spans="2:5" ht="12.75" customHeight="1" x14ac:dyDescent="0.2">
      <c r="B337" s="103">
        <v>329</v>
      </c>
      <c r="C337" s="194" t="s">
        <v>1075</v>
      </c>
      <c r="D337" s="225">
        <v>0</v>
      </c>
      <c r="E337" s="225">
        <v>0</v>
      </c>
    </row>
    <row r="338" spans="2:5" ht="12.75" customHeight="1" x14ac:dyDescent="0.2">
      <c r="B338" s="103">
        <v>330</v>
      </c>
      <c r="C338" s="194" t="s">
        <v>1076</v>
      </c>
      <c r="D338" s="225">
        <v>0</v>
      </c>
      <c r="E338" s="225">
        <v>0</v>
      </c>
    </row>
    <row r="339" spans="2:5" ht="12.75" customHeight="1" x14ac:dyDescent="0.2">
      <c r="B339" s="103">
        <v>331</v>
      </c>
      <c r="C339" s="194" t="s">
        <v>1077</v>
      </c>
      <c r="D339" s="225">
        <v>0</v>
      </c>
      <c r="E339" s="225">
        <v>0</v>
      </c>
    </row>
    <row r="340" spans="2:5" ht="12.75" customHeight="1" x14ac:dyDescent="0.2">
      <c r="B340" s="103">
        <v>332</v>
      </c>
      <c r="C340" s="194" t="s">
        <v>1078</v>
      </c>
      <c r="D340" s="225">
        <v>0</v>
      </c>
      <c r="E340" s="225">
        <v>0</v>
      </c>
    </row>
    <row r="341" spans="2:5" ht="12.75" customHeight="1" x14ac:dyDescent="0.2">
      <c r="B341" s="103">
        <v>333</v>
      </c>
      <c r="C341" s="194" t="s">
        <v>1079</v>
      </c>
      <c r="D341" s="225">
        <v>0</v>
      </c>
      <c r="E341" s="225">
        <v>0</v>
      </c>
    </row>
    <row r="342" spans="2:5" ht="12.75" customHeight="1" x14ac:dyDescent="0.2">
      <c r="B342" s="103">
        <v>334</v>
      </c>
      <c r="C342" s="194" t="s">
        <v>1080</v>
      </c>
      <c r="D342" s="225">
        <v>0</v>
      </c>
      <c r="E342" s="225">
        <v>0</v>
      </c>
    </row>
    <row r="343" spans="2:5" ht="12.75" customHeight="1" x14ac:dyDescent="0.2">
      <c r="B343" s="103">
        <v>335</v>
      </c>
      <c r="C343" s="194" t="s">
        <v>1081</v>
      </c>
      <c r="D343" s="225">
        <v>0</v>
      </c>
      <c r="E343" s="225">
        <v>0</v>
      </c>
    </row>
    <row r="344" spans="2:5" ht="12.75" customHeight="1" x14ac:dyDescent="0.2">
      <c r="B344" s="103">
        <v>336</v>
      </c>
      <c r="C344" s="194" t="s">
        <v>1082</v>
      </c>
      <c r="D344" s="225">
        <v>0</v>
      </c>
      <c r="E344" s="225">
        <v>0</v>
      </c>
    </row>
    <row r="345" spans="2:5" ht="12.75" customHeight="1" x14ac:dyDescent="0.2">
      <c r="B345" s="103">
        <v>7</v>
      </c>
      <c r="C345" s="194" t="s">
        <v>1083</v>
      </c>
      <c r="D345" s="225">
        <v>0</v>
      </c>
      <c r="E345" s="225">
        <v>0</v>
      </c>
    </row>
    <row r="346" spans="2:5" ht="12.75" customHeight="1" x14ac:dyDescent="0.2">
      <c r="B346" s="103">
        <v>338</v>
      </c>
      <c r="C346" s="194" t="s">
        <v>1084</v>
      </c>
      <c r="D346" s="225">
        <v>0</v>
      </c>
      <c r="E346" s="225">
        <v>0</v>
      </c>
    </row>
    <row r="347" spans="2:5" ht="12.75" customHeight="1" x14ac:dyDescent="0.2">
      <c r="B347" s="103">
        <v>339</v>
      </c>
      <c r="C347" s="194" t="s">
        <v>1085</v>
      </c>
      <c r="D347" s="225">
        <v>0</v>
      </c>
      <c r="E347" s="225">
        <v>0</v>
      </c>
    </row>
    <row r="348" spans="2:5" ht="12.75" customHeight="1" x14ac:dyDescent="0.2">
      <c r="B348" s="103">
        <v>340</v>
      </c>
      <c r="C348" s="194" t="s">
        <v>1086</v>
      </c>
      <c r="D348" s="225">
        <v>0</v>
      </c>
      <c r="E348" s="225">
        <v>0</v>
      </c>
    </row>
    <row r="349" spans="2:5" ht="12.75" customHeight="1" x14ac:dyDescent="0.2">
      <c r="B349" s="103">
        <v>341</v>
      </c>
      <c r="C349" s="194" t="s">
        <v>1087</v>
      </c>
      <c r="D349" s="225">
        <v>0</v>
      </c>
      <c r="E349" s="225">
        <v>0</v>
      </c>
    </row>
    <row r="350" spans="2:5" ht="12.75" customHeight="1" x14ac:dyDescent="0.2">
      <c r="B350" s="103">
        <v>342</v>
      </c>
      <c r="C350" s="194" t="s">
        <v>1088</v>
      </c>
      <c r="D350" s="225">
        <v>0</v>
      </c>
      <c r="E350" s="225">
        <v>0</v>
      </c>
    </row>
    <row r="351" spans="2:5" ht="12.75" customHeight="1" x14ac:dyDescent="0.2">
      <c r="B351" s="103">
        <v>343</v>
      </c>
      <c r="C351" s="194" t="s">
        <v>1089</v>
      </c>
      <c r="D351" s="225">
        <v>0</v>
      </c>
      <c r="E351" s="225">
        <v>0</v>
      </c>
    </row>
    <row r="352" spans="2:5" ht="12.75" customHeight="1" x14ac:dyDescent="0.2">
      <c r="B352" s="103">
        <v>344</v>
      </c>
      <c r="C352" s="194" t="s">
        <v>1090</v>
      </c>
      <c r="D352" s="225">
        <v>0</v>
      </c>
      <c r="E352" s="225">
        <v>0</v>
      </c>
    </row>
    <row r="353" spans="2:5" ht="12.75" customHeight="1" x14ac:dyDescent="0.2">
      <c r="B353" s="103">
        <v>345</v>
      </c>
      <c r="C353" s="194" t="s">
        <v>1091</v>
      </c>
      <c r="D353" s="225">
        <v>0</v>
      </c>
      <c r="E353" s="225">
        <v>0</v>
      </c>
    </row>
    <row r="354" spans="2:5" ht="12.75" customHeight="1" x14ac:dyDescent="0.2">
      <c r="B354" s="103">
        <v>346</v>
      </c>
      <c r="C354" s="194" t="s">
        <v>1092</v>
      </c>
      <c r="D354" s="225">
        <v>0</v>
      </c>
      <c r="E354" s="225">
        <v>0</v>
      </c>
    </row>
    <row r="355" spans="2:5" ht="12.75" customHeight="1" x14ac:dyDescent="0.2">
      <c r="B355" s="103">
        <v>347</v>
      </c>
      <c r="C355" s="194" t="s">
        <v>1093</v>
      </c>
      <c r="D355" s="225">
        <v>0</v>
      </c>
      <c r="E355" s="225">
        <v>0</v>
      </c>
    </row>
    <row r="356" spans="2:5" ht="12.75" customHeight="1" x14ac:dyDescent="0.2">
      <c r="B356" s="103">
        <v>348</v>
      </c>
      <c r="C356" s="194" t="s">
        <v>1094</v>
      </c>
      <c r="D356" s="225">
        <v>0</v>
      </c>
      <c r="E356" s="225">
        <v>0</v>
      </c>
    </row>
    <row r="357" spans="2:5" ht="12.75" customHeight="1" x14ac:dyDescent="0.2">
      <c r="B357" s="103">
        <v>349</v>
      </c>
      <c r="C357" s="194" t="s">
        <v>1095</v>
      </c>
      <c r="D357" s="225">
        <v>0</v>
      </c>
      <c r="E357" s="225">
        <v>0</v>
      </c>
    </row>
    <row r="358" spans="2:5" ht="12.75" customHeight="1" x14ac:dyDescent="0.2">
      <c r="B358" s="103">
        <v>350</v>
      </c>
      <c r="C358" s="194" t="s">
        <v>1096</v>
      </c>
      <c r="D358" s="225">
        <v>0</v>
      </c>
      <c r="E358" s="225">
        <v>0</v>
      </c>
    </row>
    <row r="359" spans="2:5" ht="12.75" customHeight="1" x14ac:dyDescent="0.2">
      <c r="B359" s="103">
        <v>351</v>
      </c>
      <c r="C359" s="194" t="s">
        <v>1097</v>
      </c>
      <c r="D359" s="225">
        <v>0</v>
      </c>
      <c r="E359" s="225">
        <v>0</v>
      </c>
    </row>
    <row r="360" spans="2:5" ht="12.75" customHeight="1" x14ac:dyDescent="0.2">
      <c r="B360" s="103">
        <v>352</v>
      </c>
      <c r="C360" s="194" t="s">
        <v>1098</v>
      </c>
      <c r="D360" s="225">
        <v>0</v>
      </c>
      <c r="E360" s="225">
        <v>0</v>
      </c>
    </row>
    <row r="361" spans="2:5" ht="12.75" customHeight="1" x14ac:dyDescent="0.2">
      <c r="B361" s="103">
        <v>353</v>
      </c>
      <c r="C361" s="194" t="s">
        <v>1099</v>
      </c>
      <c r="D361" s="225">
        <v>0</v>
      </c>
      <c r="E361" s="225">
        <v>0</v>
      </c>
    </row>
    <row r="362" spans="2:5" ht="12.75" customHeight="1" x14ac:dyDescent="0.2">
      <c r="B362" s="103">
        <v>354</v>
      </c>
      <c r="C362" s="194" t="s">
        <v>1100</v>
      </c>
      <c r="D362" s="225">
        <v>0</v>
      </c>
      <c r="E362" s="225">
        <v>0</v>
      </c>
    </row>
    <row r="363" spans="2:5" ht="12.75" customHeight="1" x14ac:dyDescent="0.2">
      <c r="B363" s="103">
        <v>355</v>
      </c>
      <c r="C363" s="194" t="s">
        <v>1101</v>
      </c>
      <c r="D363" s="225">
        <v>0</v>
      </c>
      <c r="E363" s="225">
        <v>0</v>
      </c>
    </row>
    <row r="364" spans="2:5" ht="12.75" customHeight="1" x14ac:dyDescent="0.2">
      <c r="B364" s="103">
        <v>356</v>
      </c>
      <c r="C364" s="194" t="s">
        <v>1102</v>
      </c>
      <c r="D364" s="225">
        <v>0</v>
      </c>
      <c r="E364" s="225">
        <v>0</v>
      </c>
    </row>
    <row r="365" spans="2:5" ht="12.75" customHeight="1" x14ac:dyDescent="0.2">
      <c r="B365" s="103">
        <v>357</v>
      </c>
      <c r="C365" s="194" t="s">
        <v>1103</v>
      </c>
      <c r="D365" s="225">
        <v>0</v>
      </c>
      <c r="E365" s="225">
        <v>0</v>
      </c>
    </row>
    <row r="366" spans="2:5" ht="12.75" customHeight="1" x14ac:dyDescent="0.2">
      <c r="B366" s="103">
        <v>358</v>
      </c>
      <c r="C366" s="194" t="s">
        <v>1104</v>
      </c>
      <c r="D366" s="225">
        <v>0</v>
      </c>
      <c r="E366" s="225">
        <v>0</v>
      </c>
    </row>
    <row r="367" spans="2:5" ht="12.75" customHeight="1" x14ac:dyDescent="0.2">
      <c r="B367" s="103">
        <v>359</v>
      </c>
      <c r="C367" s="194" t="s">
        <v>1105</v>
      </c>
      <c r="D367" s="225">
        <v>0</v>
      </c>
      <c r="E367" s="225">
        <v>0</v>
      </c>
    </row>
    <row r="368" spans="2:5" ht="12.75" customHeight="1" x14ac:dyDescent="0.2">
      <c r="B368" s="103">
        <v>360</v>
      </c>
      <c r="C368" s="194" t="s">
        <v>1106</v>
      </c>
      <c r="D368" s="225">
        <v>0</v>
      </c>
      <c r="E368" s="225">
        <v>0</v>
      </c>
    </row>
    <row r="369" spans="2:5" ht="12.75" customHeight="1" x14ac:dyDescent="0.2">
      <c r="B369" s="103">
        <v>361</v>
      </c>
      <c r="C369" s="194" t="s">
        <v>1107</v>
      </c>
      <c r="D369" s="225">
        <v>0</v>
      </c>
      <c r="E369" s="225">
        <v>0</v>
      </c>
    </row>
    <row r="370" spans="2:5" ht="12.75" customHeight="1" x14ac:dyDescent="0.2">
      <c r="B370" s="103">
        <v>362</v>
      </c>
      <c r="C370" s="194" t="s">
        <v>1108</v>
      </c>
      <c r="D370" s="225">
        <v>0</v>
      </c>
      <c r="E370" s="225">
        <v>0</v>
      </c>
    </row>
    <row r="371" spans="2:5" ht="12.75" customHeight="1" x14ac:dyDescent="0.2">
      <c r="B371" s="103">
        <v>363</v>
      </c>
      <c r="C371" s="194" t="s">
        <v>1109</v>
      </c>
      <c r="D371" s="225">
        <v>0</v>
      </c>
      <c r="E371" s="225">
        <v>0</v>
      </c>
    </row>
    <row r="372" spans="2:5" ht="12.75" customHeight="1" x14ac:dyDescent="0.2">
      <c r="B372" s="103">
        <v>364</v>
      </c>
      <c r="C372" s="194" t="s">
        <v>1110</v>
      </c>
      <c r="D372" s="225">
        <v>0</v>
      </c>
      <c r="E372" s="225">
        <v>0</v>
      </c>
    </row>
    <row r="373" spans="2:5" ht="12.75" customHeight="1" x14ac:dyDescent="0.2">
      <c r="B373" s="103">
        <v>365</v>
      </c>
      <c r="C373" s="194" t="s">
        <v>1111</v>
      </c>
      <c r="D373" s="225">
        <v>0</v>
      </c>
      <c r="E373" s="225">
        <v>0</v>
      </c>
    </row>
    <row r="374" spans="2:5" ht="12.75" customHeight="1" x14ac:dyDescent="0.2">
      <c r="B374" s="103">
        <v>366</v>
      </c>
      <c r="C374" s="194" t="s">
        <v>1112</v>
      </c>
      <c r="D374" s="225">
        <v>0</v>
      </c>
      <c r="E374" s="225">
        <v>0</v>
      </c>
    </row>
    <row r="375" spans="2:5" ht="12.75" customHeight="1" x14ac:dyDescent="0.2">
      <c r="B375" s="103">
        <v>367</v>
      </c>
      <c r="C375" s="194" t="s">
        <v>1113</v>
      </c>
      <c r="D375" s="225">
        <v>0</v>
      </c>
      <c r="E375" s="225">
        <v>0</v>
      </c>
    </row>
    <row r="376" spans="2:5" ht="12.75" customHeight="1" x14ac:dyDescent="0.2">
      <c r="B376" s="103">
        <v>368</v>
      </c>
      <c r="C376" s="194" t="s">
        <v>1114</v>
      </c>
      <c r="D376" s="225">
        <v>0</v>
      </c>
      <c r="E376" s="225">
        <v>0</v>
      </c>
    </row>
    <row r="377" spans="2:5" ht="12.75" customHeight="1" x14ac:dyDescent="0.2">
      <c r="B377" s="103">
        <v>369</v>
      </c>
      <c r="C377" s="194" t="s">
        <v>1115</v>
      </c>
      <c r="D377" s="225">
        <v>0</v>
      </c>
      <c r="E377" s="225">
        <v>0</v>
      </c>
    </row>
    <row r="378" spans="2:5" ht="12.75" customHeight="1" x14ac:dyDescent="0.2">
      <c r="B378" s="103">
        <v>370</v>
      </c>
      <c r="C378" s="194" t="s">
        <v>1116</v>
      </c>
      <c r="D378" s="225">
        <v>0</v>
      </c>
      <c r="E378" s="225">
        <v>0</v>
      </c>
    </row>
    <row r="379" spans="2:5" ht="12.75" customHeight="1" x14ac:dyDescent="0.2">
      <c r="B379" s="103">
        <v>371</v>
      </c>
      <c r="C379" s="194" t="s">
        <v>1117</v>
      </c>
      <c r="D379" s="225">
        <v>0</v>
      </c>
      <c r="E379" s="225">
        <v>0</v>
      </c>
    </row>
    <row r="380" spans="2:5" ht="12.75" customHeight="1" x14ac:dyDescent="0.2">
      <c r="B380" s="103">
        <v>372</v>
      </c>
      <c r="C380" s="194" t="s">
        <v>1118</v>
      </c>
      <c r="D380" s="225">
        <v>0</v>
      </c>
      <c r="E380" s="225">
        <v>0</v>
      </c>
    </row>
    <row r="381" spans="2:5" ht="12.75" customHeight="1" x14ac:dyDescent="0.2">
      <c r="B381" s="103">
        <v>373</v>
      </c>
      <c r="C381" s="194" t="s">
        <v>1119</v>
      </c>
      <c r="D381" s="225">
        <v>0</v>
      </c>
      <c r="E381" s="225">
        <v>0</v>
      </c>
    </row>
    <row r="382" spans="2:5" ht="12.75" customHeight="1" x14ac:dyDescent="0.2">
      <c r="B382" s="103">
        <v>374</v>
      </c>
      <c r="C382" s="194" t="s">
        <v>1120</v>
      </c>
      <c r="D382" s="225">
        <v>0</v>
      </c>
      <c r="E382" s="225">
        <v>0</v>
      </c>
    </row>
    <row r="383" spans="2:5" ht="12.75" customHeight="1" x14ac:dyDescent="0.2">
      <c r="B383" s="103">
        <v>375</v>
      </c>
      <c r="C383" s="194" t="s">
        <v>1121</v>
      </c>
      <c r="D383" s="225">
        <v>0</v>
      </c>
      <c r="E383" s="225">
        <v>0</v>
      </c>
    </row>
    <row r="384" spans="2:5" ht="12.75" customHeight="1" x14ac:dyDescent="0.2">
      <c r="B384" s="103">
        <v>376</v>
      </c>
      <c r="C384" s="194" t="s">
        <v>1122</v>
      </c>
      <c r="D384" s="225">
        <v>0</v>
      </c>
      <c r="E384" s="225">
        <v>0</v>
      </c>
    </row>
    <row r="385" spans="2:5" ht="12.75" customHeight="1" x14ac:dyDescent="0.2">
      <c r="B385" s="103">
        <v>377</v>
      </c>
      <c r="C385" s="194" t="s">
        <v>1123</v>
      </c>
      <c r="D385" s="225">
        <v>0</v>
      </c>
      <c r="E385" s="225">
        <v>0</v>
      </c>
    </row>
    <row r="386" spans="2:5" ht="12.75" customHeight="1" x14ac:dyDescent="0.2">
      <c r="B386" s="103">
        <v>378</v>
      </c>
      <c r="C386" s="194" t="s">
        <v>1124</v>
      </c>
      <c r="D386" s="225">
        <v>0</v>
      </c>
      <c r="E386" s="225">
        <v>0</v>
      </c>
    </row>
    <row r="387" spans="2:5" ht="12.75" customHeight="1" x14ac:dyDescent="0.2">
      <c r="B387" s="103">
        <v>379</v>
      </c>
      <c r="C387" s="194" t="s">
        <v>1125</v>
      </c>
      <c r="D387" s="225">
        <v>0</v>
      </c>
      <c r="E387" s="225">
        <v>0</v>
      </c>
    </row>
    <row r="388" spans="2:5" ht="12.75" customHeight="1" x14ac:dyDescent="0.2">
      <c r="B388" s="103">
        <v>380</v>
      </c>
      <c r="C388" s="194" t="s">
        <v>1126</v>
      </c>
      <c r="D388" s="225">
        <v>0</v>
      </c>
      <c r="E388" s="225">
        <v>0</v>
      </c>
    </row>
    <row r="389" spans="2:5" ht="12.75" customHeight="1" x14ac:dyDescent="0.2">
      <c r="B389" s="103">
        <v>381</v>
      </c>
      <c r="C389" s="194" t="s">
        <v>1127</v>
      </c>
      <c r="D389" s="225">
        <v>0</v>
      </c>
      <c r="E389" s="225">
        <v>0</v>
      </c>
    </row>
    <row r="390" spans="2:5" ht="12.75" customHeight="1" x14ac:dyDescent="0.2">
      <c r="B390" s="103">
        <v>382</v>
      </c>
      <c r="C390" s="194" t="s">
        <v>1128</v>
      </c>
      <c r="D390" s="225">
        <v>0</v>
      </c>
      <c r="E390" s="225">
        <v>0</v>
      </c>
    </row>
    <row r="391" spans="2:5" ht="12.75" customHeight="1" x14ac:dyDescent="0.2">
      <c r="B391" s="103">
        <v>383</v>
      </c>
      <c r="C391" s="194" t="s">
        <v>1129</v>
      </c>
      <c r="D391" s="225">
        <v>0</v>
      </c>
      <c r="E391" s="225">
        <v>0</v>
      </c>
    </row>
    <row r="392" spans="2:5" ht="12.75" customHeight="1" x14ac:dyDescent="0.2">
      <c r="B392" s="103">
        <v>384</v>
      </c>
      <c r="C392" s="194" t="s">
        <v>1130</v>
      </c>
      <c r="D392" s="225">
        <v>0</v>
      </c>
      <c r="E392" s="225">
        <v>0</v>
      </c>
    </row>
    <row r="393" spans="2:5" ht="12.75" customHeight="1" x14ac:dyDescent="0.2">
      <c r="B393" s="103">
        <v>385</v>
      </c>
      <c r="C393" s="194" t="s">
        <v>1131</v>
      </c>
      <c r="D393" s="225">
        <v>0</v>
      </c>
      <c r="E393" s="225">
        <v>0</v>
      </c>
    </row>
    <row r="394" spans="2:5" ht="12.75" customHeight="1" x14ac:dyDescent="0.2">
      <c r="B394" s="103">
        <v>386</v>
      </c>
      <c r="C394" s="194" t="s">
        <v>1132</v>
      </c>
      <c r="D394" s="225">
        <v>0</v>
      </c>
      <c r="E394" s="225">
        <v>0</v>
      </c>
    </row>
    <row r="395" spans="2:5" ht="12.75" customHeight="1" x14ac:dyDescent="0.2">
      <c r="B395" s="103">
        <v>387</v>
      </c>
      <c r="C395" s="194" t="s">
        <v>1133</v>
      </c>
      <c r="D395" s="225">
        <v>0</v>
      </c>
      <c r="E395" s="225">
        <v>0</v>
      </c>
    </row>
    <row r="396" spans="2:5" ht="12.75" customHeight="1" x14ac:dyDescent="0.2">
      <c r="B396" s="103">
        <v>388</v>
      </c>
      <c r="C396" s="194" t="s">
        <v>1134</v>
      </c>
      <c r="D396" s="225">
        <v>0</v>
      </c>
      <c r="E396" s="225">
        <v>0</v>
      </c>
    </row>
    <row r="397" spans="2:5" ht="12.75" customHeight="1" x14ac:dyDescent="0.2">
      <c r="B397" s="103">
        <v>389</v>
      </c>
      <c r="C397" s="194" t="s">
        <v>1135</v>
      </c>
      <c r="D397" s="225">
        <v>0</v>
      </c>
      <c r="E397" s="225">
        <v>0</v>
      </c>
    </row>
    <row r="398" spans="2:5" ht="12.75" customHeight="1" x14ac:dyDescent="0.2">
      <c r="B398" s="103">
        <v>390</v>
      </c>
      <c r="C398" s="194" t="s">
        <v>1136</v>
      </c>
      <c r="D398" s="225">
        <v>0</v>
      </c>
      <c r="E398" s="225">
        <v>0</v>
      </c>
    </row>
    <row r="399" spans="2:5" ht="12.75" customHeight="1" x14ac:dyDescent="0.2">
      <c r="B399" s="103">
        <v>391</v>
      </c>
      <c r="C399" s="194" t="s">
        <v>1137</v>
      </c>
      <c r="D399" s="225">
        <v>0</v>
      </c>
      <c r="E399" s="225">
        <v>0</v>
      </c>
    </row>
    <row r="400" spans="2:5" ht="12.75" customHeight="1" x14ac:dyDescent="0.2">
      <c r="B400" s="103">
        <v>392</v>
      </c>
      <c r="C400" s="194" t="s">
        <v>1138</v>
      </c>
      <c r="D400" s="225">
        <v>0</v>
      </c>
      <c r="E400" s="225">
        <v>0</v>
      </c>
    </row>
    <row r="401" spans="2:5" ht="12.75" customHeight="1" x14ac:dyDescent="0.2">
      <c r="B401" s="103">
        <v>393</v>
      </c>
      <c r="C401" s="194" t="s">
        <v>1139</v>
      </c>
      <c r="D401" s="225">
        <v>0</v>
      </c>
      <c r="E401" s="225">
        <v>0</v>
      </c>
    </row>
    <row r="402" spans="2:5" ht="12.75" customHeight="1" x14ac:dyDescent="0.2">
      <c r="B402" s="103">
        <v>394</v>
      </c>
      <c r="C402" s="194" t="s">
        <v>1140</v>
      </c>
      <c r="D402" s="225">
        <v>0</v>
      </c>
      <c r="E402" s="225">
        <v>0</v>
      </c>
    </row>
    <row r="403" spans="2:5" ht="12.75" customHeight="1" x14ac:dyDescent="0.2">
      <c r="B403" s="103">
        <v>395</v>
      </c>
      <c r="C403" s="194" t="s">
        <v>1141</v>
      </c>
      <c r="D403" s="225">
        <v>0</v>
      </c>
      <c r="E403" s="225">
        <v>0</v>
      </c>
    </row>
    <row r="404" spans="2:5" ht="12.75" customHeight="1" x14ac:dyDescent="0.2">
      <c r="B404" s="103">
        <v>396</v>
      </c>
      <c r="C404" s="194" t="s">
        <v>1142</v>
      </c>
      <c r="D404" s="225">
        <v>0</v>
      </c>
      <c r="E404" s="225">
        <v>0</v>
      </c>
    </row>
    <row r="405" spans="2:5" ht="12.75" customHeight="1" x14ac:dyDescent="0.2">
      <c r="B405" s="103">
        <v>397</v>
      </c>
      <c r="C405" s="194" t="s">
        <v>1143</v>
      </c>
      <c r="D405" s="225">
        <v>0</v>
      </c>
      <c r="E405" s="225">
        <v>0</v>
      </c>
    </row>
    <row r="406" spans="2:5" ht="12.75" customHeight="1" x14ac:dyDescent="0.2">
      <c r="B406" s="103">
        <v>398</v>
      </c>
      <c r="C406" s="194" t="s">
        <v>1144</v>
      </c>
      <c r="D406" s="225">
        <v>0</v>
      </c>
      <c r="E406" s="225">
        <v>0</v>
      </c>
    </row>
    <row r="407" spans="2:5" ht="12.75" customHeight="1" x14ac:dyDescent="0.2">
      <c r="B407" s="103">
        <v>399</v>
      </c>
      <c r="C407" s="194" t="s">
        <v>1145</v>
      </c>
      <c r="D407" s="225">
        <v>0</v>
      </c>
      <c r="E407" s="225">
        <v>0</v>
      </c>
    </row>
    <row r="408" spans="2:5" ht="12.75" customHeight="1" x14ac:dyDescent="0.2">
      <c r="B408" s="103">
        <v>400</v>
      </c>
      <c r="C408" s="194" t="s">
        <v>1146</v>
      </c>
      <c r="D408" s="225">
        <v>0</v>
      </c>
      <c r="E408" s="225">
        <v>0</v>
      </c>
    </row>
    <row r="409" spans="2:5" ht="12.75" customHeight="1" x14ac:dyDescent="0.2">
      <c r="B409" s="103">
        <v>401</v>
      </c>
      <c r="C409" s="194" t="s">
        <v>1147</v>
      </c>
      <c r="D409" s="225">
        <v>0</v>
      </c>
      <c r="E409" s="225">
        <v>0</v>
      </c>
    </row>
    <row r="410" spans="2:5" ht="12.75" customHeight="1" x14ac:dyDescent="0.2">
      <c r="B410" s="103">
        <v>402</v>
      </c>
      <c r="C410" s="194" t="s">
        <v>1148</v>
      </c>
      <c r="D410" s="225">
        <v>0</v>
      </c>
      <c r="E410" s="225">
        <v>0</v>
      </c>
    </row>
    <row r="411" spans="2:5" ht="12.75" customHeight="1" x14ac:dyDescent="0.2">
      <c r="B411" s="103">
        <v>403</v>
      </c>
      <c r="C411" s="194" t="s">
        <v>1149</v>
      </c>
      <c r="D411" s="225">
        <v>0</v>
      </c>
      <c r="E411" s="225">
        <v>0</v>
      </c>
    </row>
    <row r="412" spans="2:5" ht="12.75" customHeight="1" x14ac:dyDescent="0.2">
      <c r="B412" s="103">
        <v>404</v>
      </c>
      <c r="C412" s="194" t="s">
        <v>1150</v>
      </c>
      <c r="D412" s="225">
        <v>0</v>
      </c>
      <c r="E412" s="225">
        <v>0</v>
      </c>
    </row>
    <row r="413" spans="2:5" ht="12.75" customHeight="1" x14ac:dyDescent="0.2">
      <c r="B413" s="103">
        <v>405</v>
      </c>
      <c r="C413" s="194" t="s">
        <v>1151</v>
      </c>
      <c r="D413" s="225">
        <v>0</v>
      </c>
      <c r="E413" s="225">
        <v>0</v>
      </c>
    </row>
    <row r="414" spans="2:5" ht="12.75" customHeight="1" x14ac:dyDescent="0.2">
      <c r="B414" s="103">
        <v>406</v>
      </c>
      <c r="C414" s="194" t="s">
        <v>1152</v>
      </c>
      <c r="D414" s="225">
        <v>0</v>
      </c>
      <c r="E414" s="225">
        <v>0</v>
      </c>
    </row>
    <row r="415" spans="2:5" ht="12.75" customHeight="1" x14ac:dyDescent="0.2">
      <c r="B415" s="103">
        <v>407</v>
      </c>
      <c r="C415" s="194" t="s">
        <v>1153</v>
      </c>
      <c r="D415" s="225">
        <v>0</v>
      </c>
      <c r="E415" s="225">
        <v>0</v>
      </c>
    </row>
    <row r="416" spans="2:5" ht="12.75" customHeight="1" x14ac:dyDescent="0.2">
      <c r="B416" s="103">
        <v>408</v>
      </c>
      <c r="C416" s="194" t="s">
        <v>1154</v>
      </c>
      <c r="D416" s="225">
        <v>0</v>
      </c>
      <c r="E416" s="225">
        <v>0</v>
      </c>
    </row>
    <row r="417" spans="2:5" ht="12.75" customHeight="1" x14ac:dyDescent="0.2">
      <c r="B417" s="103">
        <v>409</v>
      </c>
      <c r="C417" s="194" t="s">
        <v>1155</v>
      </c>
      <c r="D417" s="225">
        <v>0</v>
      </c>
      <c r="E417" s="225">
        <v>0</v>
      </c>
    </row>
    <row r="418" spans="2:5" ht="12.75" customHeight="1" x14ac:dyDescent="0.2">
      <c r="B418" s="103">
        <v>410</v>
      </c>
      <c r="C418" s="194" t="s">
        <v>1156</v>
      </c>
      <c r="D418" s="225">
        <v>0</v>
      </c>
      <c r="E418" s="225">
        <v>0</v>
      </c>
    </row>
    <row r="419" spans="2:5" ht="12.75" customHeight="1" x14ac:dyDescent="0.2">
      <c r="B419" s="103">
        <v>411</v>
      </c>
      <c r="C419" s="194" t="s">
        <v>1157</v>
      </c>
      <c r="D419" s="225">
        <v>0</v>
      </c>
      <c r="E419" s="225">
        <v>0</v>
      </c>
    </row>
    <row r="420" spans="2:5" ht="12.75" customHeight="1" x14ac:dyDescent="0.2">
      <c r="B420" s="103">
        <v>412</v>
      </c>
      <c r="C420" s="194" t="s">
        <v>1158</v>
      </c>
      <c r="D420" s="225">
        <v>0</v>
      </c>
      <c r="E420" s="225">
        <v>0</v>
      </c>
    </row>
    <row r="421" spans="2:5" ht="12.75" customHeight="1" x14ac:dyDescent="0.2">
      <c r="B421" s="103">
        <v>413</v>
      </c>
      <c r="C421" s="194" t="s">
        <v>1159</v>
      </c>
      <c r="D421" s="225">
        <v>0</v>
      </c>
      <c r="E421" s="225">
        <v>0</v>
      </c>
    </row>
    <row r="422" spans="2:5" ht="12.75" customHeight="1" x14ac:dyDescent="0.2">
      <c r="B422" s="103">
        <v>414</v>
      </c>
      <c r="C422" s="194" t="s">
        <v>1160</v>
      </c>
      <c r="D422" s="225">
        <v>0</v>
      </c>
      <c r="E422" s="225">
        <v>0</v>
      </c>
    </row>
    <row r="423" spans="2:5" ht="12.75" customHeight="1" x14ac:dyDescent="0.2">
      <c r="B423" s="103">
        <v>415</v>
      </c>
      <c r="C423" s="194" t="s">
        <v>1161</v>
      </c>
      <c r="D423" s="225">
        <v>0</v>
      </c>
      <c r="E423" s="225">
        <v>0</v>
      </c>
    </row>
    <row r="424" spans="2:5" ht="12.75" customHeight="1" x14ac:dyDescent="0.2">
      <c r="B424" s="103">
        <v>416</v>
      </c>
      <c r="C424" s="194" t="s">
        <v>1162</v>
      </c>
      <c r="D424" s="225">
        <v>0</v>
      </c>
      <c r="E424" s="225">
        <v>0</v>
      </c>
    </row>
    <row r="425" spans="2:5" ht="12.75" customHeight="1" x14ac:dyDescent="0.2">
      <c r="B425" s="103">
        <v>417</v>
      </c>
      <c r="C425" s="194" t="s">
        <v>1163</v>
      </c>
      <c r="D425" s="225">
        <v>0</v>
      </c>
      <c r="E425" s="225">
        <v>0</v>
      </c>
    </row>
    <row r="426" spans="2:5" ht="12.75" customHeight="1" x14ac:dyDescent="0.2">
      <c r="B426" s="103">
        <v>418</v>
      </c>
      <c r="C426" s="194" t="s">
        <v>1164</v>
      </c>
      <c r="D426" s="225">
        <v>0</v>
      </c>
      <c r="E426" s="225">
        <v>0</v>
      </c>
    </row>
    <row r="427" spans="2:5" ht="12.75" customHeight="1" x14ac:dyDescent="0.2">
      <c r="B427" s="103">
        <v>419</v>
      </c>
      <c r="C427" s="194" t="s">
        <v>1165</v>
      </c>
      <c r="D427" s="225">
        <v>0</v>
      </c>
      <c r="E427" s="225">
        <v>0</v>
      </c>
    </row>
    <row r="428" spans="2:5" ht="12.75" customHeight="1" x14ac:dyDescent="0.2">
      <c r="B428" s="103">
        <v>420</v>
      </c>
      <c r="C428" s="194" t="s">
        <v>1166</v>
      </c>
      <c r="D428" s="225">
        <v>0</v>
      </c>
      <c r="E428" s="225">
        <v>0</v>
      </c>
    </row>
    <row r="429" spans="2:5" ht="12.75" customHeight="1" x14ac:dyDescent="0.2">
      <c r="B429" s="103">
        <v>421</v>
      </c>
      <c r="C429" s="194" t="s">
        <v>1167</v>
      </c>
      <c r="D429" s="225">
        <v>0</v>
      </c>
      <c r="E429" s="225">
        <v>0</v>
      </c>
    </row>
    <row r="430" spans="2:5" ht="12.75" customHeight="1" x14ac:dyDescent="0.2">
      <c r="B430" s="103">
        <v>422</v>
      </c>
      <c r="C430" s="194" t="s">
        <v>1168</v>
      </c>
      <c r="D430" s="225">
        <v>0</v>
      </c>
      <c r="E430" s="225">
        <v>0</v>
      </c>
    </row>
    <row r="431" spans="2:5" ht="12.75" customHeight="1" x14ac:dyDescent="0.2">
      <c r="B431" s="103">
        <v>423</v>
      </c>
      <c r="C431" s="194" t="s">
        <v>1169</v>
      </c>
      <c r="D431" s="225">
        <v>0</v>
      </c>
      <c r="E431" s="225">
        <v>0</v>
      </c>
    </row>
    <row r="432" spans="2:5" ht="12.75" customHeight="1" x14ac:dyDescent="0.2">
      <c r="B432" s="103">
        <v>424</v>
      </c>
      <c r="C432" s="194" t="s">
        <v>1170</v>
      </c>
      <c r="D432" s="225">
        <v>0</v>
      </c>
      <c r="E432" s="225">
        <v>0</v>
      </c>
    </row>
    <row r="433" spans="2:5" ht="12.75" customHeight="1" x14ac:dyDescent="0.2">
      <c r="B433" s="103">
        <v>425</v>
      </c>
      <c r="C433" s="194" t="s">
        <v>1171</v>
      </c>
      <c r="D433" s="225">
        <v>0</v>
      </c>
      <c r="E433" s="225">
        <v>0</v>
      </c>
    </row>
    <row r="434" spans="2:5" ht="12.75" customHeight="1" x14ac:dyDescent="0.2">
      <c r="B434" s="103">
        <v>426</v>
      </c>
      <c r="C434" s="194" t="s">
        <v>1172</v>
      </c>
      <c r="D434" s="225">
        <v>0</v>
      </c>
      <c r="E434" s="225">
        <v>0</v>
      </c>
    </row>
    <row r="435" spans="2:5" ht="12.75" customHeight="1" x14ac:dyDescent="0.2">
      <c r="B435" s="103">
        <v>427</v>
      </c>
      <c r="C435" s="194" t="s">
        <v>1173</v>
      </c>
      <c r="D435" s="225">
        <v>0</v>
      </c>
      <c r="E435" s="225">
        <v>0</v>
      </c>
    </row>
    <row r="436" spans="2:5" ht="12.75" customHeight="1" x14ac:dyDescent="0.2">
      <c r="B436" s="103">
        <v>428</v>
      </c>
      <c r="C436" s="194" t="s">
        <v>1174</v>
      </c>
      <c r="D436" s="225">
        <v>0</v>
      </c>
      <c r="E436" s="225">
        <v>0</v>
      </c>
    </row>
    <row r="437" spans="2:5" ht="12.75" customHeight="1" x14ac:dyDescent="0.2">
      <c r="B437" s="103">
        <v>429</v>
      </c>
      <c r="C437" s="194" t="s">
        <v>1175</v>
      </c>
      <c r="D437" s="225">
        <v>0</v>
      </c>
      <c r="E437" s="225">
        <v>0</v>
      </c>
    </row>
    <row r="438" spans="2:5" ht="12.75" customHeight="1" x14ac:dyDescent="0.2">
      <c r="B438" s="103">
        <v>430</v>
      </c>
      <c r="C438" s="194" t="s">
        <v>1176</v>
      </c>
      <c r="D438" s="225">
        <v>0</v>
      </c>
      <c r="E438" s="225">
        <v>0</v>
      </c>
    </row>
    <row r="439" spans="2:5" ht="12.75" customHeight="1" x14ac:dyDescent="0.2">
      <c r="B439" s="103">
        <v>431</v>
      </c>
      <c r="C439" s="194" t="s">
        <v>1177</v>
      </c>
      <c r="D439" s="225">
        <v>0</v>
      </c>
      <c r="E439" s="225">
        <v>0</v>
      </c>
    </row>
    <row r="440" spans="2:5" ht="12.75" customHeight="1" x14ac:dyDescent="0.2">
      <c r="B440" s="103">
        <v>432</v>
      </c>
      <c r="C440" s="194" t="s">
        <v>1178</v>
      </c>
      <c r="D440" s="225">
        <v>0</v>
      </c>
      <c r="E440" s="225">
        <v>0</v>
      </c>
    </row>
    <row r="441" spans="2:5" ht="12.75" customHeight="1" x14ac:dyDescent="0.2">
      <c r="B441" s="103">
        <v>433</v>
      </c>
      <c r="C441" s="194" t="s">
        <v>1179</v>
      </c>
      <c r="D441" s="225">
        <v>0</v>
      </c>
      <c r="E441" s="225">
        <v>0</v>
      </c>
    </row>
    <row r="442" spans="2:5" ht="12.75" customHeight="1" x14ac:dyDescent="0.2">
      <c r="B442" s="103">
        <v>434</v>
      </c>
      <c r="C442" s="194" t="s">
        <v>1180</v>
      </c>
      <c r="D442" s="225">
        <v>0</v>
      </c>
      <c r="E442" s="225">
        <v>0</v>
      </c>
    </row>
    <row r="443" spans="2:5" ht="12.75" customHeight="1" x14ac:dyDescent="0.2">
      <c r="B443" s="103">
        <v>8</v>
      </c>
      <c r="C443" s="194" t="s">
        <v>1181</v>
      </c>
      <c r="D443" s="225">
        <v>0</v>
      </c>
      <c r="E443" s="225">
        <v>0</v>
      </c>
    </row>
    <row r="444" spans="2:5" ht="12.75" customHeight="1" x14ac:dyDescent="0.2">
      <c r="B444" s="103">
        <v>436</v>
      </c>
      <c r="C444" s="194" t="s">
        <v>1182</v>
      </c>
      <c r="D444" s="225">
        <v>0</v>
      </c>
      <c r="E444" s="225">
        <v>0</v>
      </c>
    </row>
    <row r="445" spans="2:5" ht="12.75" customHeight="1" x14ac:dyDescent="0.2">
      <c r="B445" s="103">
        <v>437</v>
      </c>
      <c r="C445" s="194" t="s">
        <v>1183</v>
      </c>
      <c r="D445" s="225">
        <v>0</v>
      </c>
      <c r="E445" s="225">
        <v>0</v>
      </c>
    </row>
    <row r="446" spans="2:5" ht="12.75" customHeight="1" x14ac:dyDescent="0.2">
      <c r="B446" s="103">
        <v>438</v>
      </c>
      <c r="C446" s="194" t="s">
        <v>1184</v>
      </c>
      <c r="D446" s="225">
        <v>0</v>
      </c>
      <c r="E446" s="225">
        <v>0</v>
      </c>
    </row>
    <row r="447" spans="2:5" ht="12.75" customHeight="1" x14ac:dyDescent="0.2">
      <c r="B447" s="103">
        <v>439</v>
      </c>
      <c r="C447" s="194" t="s">
        <v>1185</v>
      </c>
      <c r="D447" s="225">
        <v>0</v>
      </c>
      <c r="E447" s="225">
        <v>0</v>
      </c>
    </row>
    <row r="448" spans="2:5" ht="12.75" customHeight="1" x14ac:dyDescent="0.2">
      <c r="B448" s="103">
        <v>440</v>
      </c>
      <c r="C448" s="194" t="s">
        <v>1186</v>
      </c>
      <c r="D448" s="225">
        <v>0</v>
      </c>
      <c r="E448" s="225">
        <v>0</v>
      </c>
    </row>
    <row r="449" spans="2:10" s="33" customFormat="1" x14ac:dyDescent="0.2">
      <c r="B449" s="103">
        <v>441</v>
      </c>
      <c r="C449" s="87" t="s">
        <v>486</v>
      </c>
      <c r="D449" s="262">
        <f>SUM(D10:D448)</f>
        <v>0</v>
      </c>
      <c r="E449" s="262">
        <f>SUM(E10:E448)</f>
        <v>0</v>
      </c>
      <c r="F449" s="54"/>
      <c r="H449" s="55"/>
      <c r="I449" s="55"/>
      <c r="J449" s="55"/>
    </row>
    <row r="450" spans="2:10" s="33" customFormat="1" ht="5.0999999999999996" customHeight="1" x14ac:dyDescent="0.2">
      <c r="B450" s="9"/>
      <c r="C450" s="56"/>
      <c r="D450" s="56"/>
      <c r="E450" s="191"/>
      <c r="F450" s="54"/>
      <c r="H450" s="55"/>
      <c r="I450" s="55"/>
      <c r="J450" s="55"/>
    </row>
    <row r="451" spans="2:10" s="33" customFormat="1" ht="6" customHeight="1" x14ac:dyDescent="0.25">
      <c r="C451" s="56"/>
      <c r="D451" s="56"/>
      <c r="E451" s="191"/>
      <c r="F451" s="54"/>
    </row>
    <row r="452" spans="2:10" s="33" customFormat="1" x14ac:dyDescent="0.25">
      <c r="C452" s="261" t="s">
        <v>1187</v>
      </c>
      <c r="D452" s="431">
        <f>'02'!$E$97</f>
        <v>1668530568</v>
      </c>
      <c r="E452" s="192">
        <f>'02'!$F$97</f>
        <v>1655160752</v>
      </c>
      <c r="F452" s="54"/>
    </row>
    <row r="453" spans="2:10" ht="6" customHeight="1" x14ac:dyDescent="0.2"/>
    <row r="454" spans="2:10" x14ac:dyDescent="0.2">
      <c r="D454" s="57">
        <f>SUBTOTAL(9,D12:D443)</f>
        <v>0</v>
      </c>
      <c r="E454" s="57">
        <f>SUBTOTAL(9,E12:E443)</f>
        <v>0</v>
      </c>
    </row>
    <row r="455" spans="2:10" x14ac:dyDescent="0.2">
      <c r="D455" s="57">
        <f>D452-D454</f>
        <v>1668530568</v>
      </c>
      <c r="E455" s="57">
        <f>E452-E454</f>
        <v>1655160752</v>
      </c>
    </row>
    <row r="457" spans="2:10" x14ac:dyDescent="0.2">
      <c r="E457" s="57"/>
    </row>
    <row r="458" spans="2:10" x14ac:dyDescent="0.2">
      <c r="E458" s="57"/>
    </row>
    <row r="459" spans="2:10" x14ac:dyDescent="0.2">
      <c r="E459" s="57"/>
    </row>
  </sheetData>
  <sheetProtection algorithmName="SHA-512" hashValue="o/nfj2Wyy62S6T1hhmDcQjkXpTdIEBV0XvPxa7d/3z/EbMHZ7Q4OU1XJiNan1cQYNr5eh4ldD/khQF2qKtFNEg==" saltValue="MHCJUXQP2ynml8N1ffR9uA==" spinCount="100000" sheet="1" formatCells="0" formatColumns="0" sort="0" autoFilter="0"/>
  <autoFilter ref="B9:E449" xr:uid="{00000000-0001-0000-6B00-000000000000}"/>
  <mergeCells count="5">
    <mergeCell ref="B2:E2"/>
    <mergeCell ref="B3:E3"/>
    <mergeCell ref="B4:E4"/>
    <mergeCell ref="B5:E5"/>
    <mergeCell ref="B6:E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59" fitToHeight="4" orientation="portrait" verticalDpi="300" r:id="rId1"/>
  <headerFooter alignWithMargins="0"/>
  <rowBreaks count="1" manualBreakCount="1">
    <brk id="452" max="7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4" tint="-0.249977111117893"/>
    <pageSetUpPr fitToPage="1"/>
  </sheetPr>
  <dimension ref="B1:G459"/>
  <sheetViews>
    <sheetView view="pageBreakPreview" zoomScaleSheetLayoutView="100" workbookViewId="0">
      <selection activeCell="I9" sqref="I9"/>
    </sheetView>
  </sheetViews>
  <sheetFormatPr defaultColWidth="9" defaultRowHeight="12.75" x14ac:dyDescent="0.2"/>
  <cols>
    <col min="1" max="1" width="0.875" style="1" customWidth="1"/>
    <col min="2" max="2" width="5.625" style="1" customWidth="1"/>
    <col min="3" max="3" width="75.625" style="1" customWidth="1"/>
    <col min="4" max="5" width="12.625" style="1" customWidth="1"/>
    <col min="6" max="6" width="0.875" style="1" customWidth="1"/>
    <col min="7" max="7" width="13.375" style="1" customWidth="1"/>
    <col min="8" max="16384" width="9" style="1"/>
  </cols>
  <sheetData>
    <row r="1" spans="2:5" ht="6" customHeight="1" x14ac:dyDescent="0.2"/>
    <row r="2" spans="2:5" s="139" customFormat="1" ht="15.75" customHeight="1" x14ac:dyDescent="0.25">
      <c r="B2" s="532" t="str">
        <f>CONCATENATE(Index!C41," a(z) ",Index!E16," önkormányzati rendelethez")</f>
        <v>22. melléklet a(z) .../2025. (...) önkormányzati rendelethez</v>
      </c>
      <c r="C2" s="532"/>
      <c r="D2" s="532"/>
      <c r="E2" s="532"/>
    </row>
    <row r="3" spans="2:5" s="139" customFormat="1" ht="15.75" customHeight="1" x14ac:dyDescent="0.25">
      <c r="B3" s="550"/>
      <c r="C3" s="550"/>
      <c r="D3" s="550"/>
      <c r="E3" s="550"/>
    </row>
    <row r="4" spans="2:5" s="139" customFormat="1" ht="15.75" customHeight="1" x14ac:dyDescent="0.25">
      <c r="B4" s="533" t="str">
        <f>PAR!E3</f>
        <v>Nagymaros Város Önkormányzata</v>
      </c>
      <c r="C4" s="533"/>
      <c r="D4" s="533"/>
      <c r="E4" s="533"/>
    </row>
    <row r="5" spans="2:5" s="139" customFormat="1" ht="15.75" customHeight="1" x14ac:dyDescent="0.25">
      <c r="B5" s="533" t="str">
        <f>CONCATENATE(PAR!H3," évi kiadási kormányzati funkciók alakulása jogcímenként")</f>
        <v>2025. évi kiadási kormányzati funkciók alakulása jogcímenként</v>
      </c>
      <c r="C5" s="533"/>
      <c r="D5" s="533"/>
      <c r="E5" s="533"/>
    </row>
    <row r="6" spans="2:5" s="139" customFormat="1" ht="15.75" customHeight="1" x14ac:dyDescent="0.25">
      <c r="B6" s="527" t="s">
        <v>337</v>
      </c>
      <c r="C6" s="527"/>
      <c r="D6" s="527"/>
      <c r="E6" s="527"/>
    </row>
    <row r="7" spans="2:5" s="139" customFormat="1" ht="15.75" x14ac:dyDescent="0.25">
      <c r="C7" s="156"/>
      <c r="D7" s="156"/>
      <c r="E7" s="195"/>
    </row>
    <row r="8" spans="2:5" x14ac:dyDescent="0.2">
      <c r="B8" s="193"/>
      <c r="C8" s="77" t="s">
        <v>350</v>
      </c>
      <c r="D8" s="77" t="s">
        <v>351</v>
      </c>
      <c r="E8" s="103" t="s">
        <v>470</v>
      </c>
    </row>
    <row r="9" spans="2:5" ht="38.25" x14ac:dyDescent="0.2">
      <c r="B9" s="77">
        <v>1</v>
      </c>
      <c r="C9" s="154" t="s">
        <v>1188</v>
      </c>
      <c r="D9" s="163" t="str">
        <f>CONCATENATE(PAR!$H$3," évi
eredeti 
előirányzat")</f>
        <v>2025. évi
eredeti 
előirányzat</v>
      </c>
      <c r="E9" s="163" t="str">
        <f>CONCATENATE(PAR!$H$3," évi
módosított 
előirányzat")</f>
        <v>2025. évi
módosított 
előirányzat</v>
      </c>
    </row>
    <row r="10" spans="2:5" ht="12.75" customHeight="1" x14ac:dyDescent="0.2">
      <c r="B10" s="103">
        <v>2</v>
      </c>
      <c r="C10" s="194" t="s">
        <v>748</v>
      </c>
      <c r="D10" s="225">
        <v>0</v>
      </c>
      <c r="E10" s="225">
        <v>0</v>
      </c>
    </row>
    <row r="11" spans="2:5" ht="12.75" customHeight="1" x14ac:dyDescent="0.2">
      <c r="B11" s="103">
        <v>3</v>
      </c>
      <c r="C11" s="194" t="s">
        <v>749</v>
      </c>
      <c r="D11" s="225">
        <v>0</v>
      </c>
      <c r="E11" s="225">
        <v>0</v>
      </c>
    </row>
    <row r="12" spans="2:5" ht="12.75" customHeight="1" x14ac:dyDescent="0.2">
      <c r="B12" s="103">
        <v>2</v>
      </c>
      <c r="C12" s="194" t="s">
        <v>750</v>
      </c>
      <c r="D12" s="225">
        <v>0</v>
      </c>
      <c r="E12" s="225">
        <v>0</v>
      </c>
    </row>
    <row r="13" spans="2:5" ht="12.75" customHeight="1" x14ac:dyDescent="0.2">
      <c r="B13" s="103">
        <v>5</v>
      </c>
      <c r="C13" s="194" t="s">
        <v>751</v>
      </c>
      <c r="D13" s="225">
        <v>0</v>
      </c>
      <c r="E13" s="225">
        <v>0</v>
      </c>
    </row>
    <row r="14" spans="2:5" ht="12.75" customHeight="1" x14ac:dyDescent="0.2">
      <c r="B14" s="103">
        <v>6</v>
      </c>
      <c r="C14" s="194" t="s">
        <v>752</v>
      </c>
      <c r="D14" s="225">
        <v>0</v>
      </c>
      <c r="E14" s="225">
        <v>0</v>
      </c>
    </row>
    <row r="15" spans="2:5" ht="12.75" customHeight="1" x14ac:dyDescent="0.2">
      <c r="B15" s="103">
        <v>7</v>
      </c>
      <c r="C15" s="194" t="s">
        <v>753</v>
      </c>
      <c r="D15" s="225">
        <v>0</v>
      </c>
      <c r="E15" s="225">
        <v>0</v>
      </c>
    </row>
    <row r="16" spans="2:5" ht="12.75" customHeight="1" x14ac:dyDescent="0.2">
      <c r="B16" s="103">
        <v>8</v>
      </c>
      <c r="C16" s="194" t="s">
        <v>754</v>
      </c>
      <c r="D16" s="225">
        <v>0</v>
      </c>
      <c r="E16" s="225">
        <v>0</v>
      </c>
    </row>
    <row r="17" spans="2:5" ht="12.75" customHeight="1" x14ac:dyDescent="0.2">
      <c r="B17" s="103">
        <v>9</v>
      </c>
      <c r="C17" s="194" t="s">
        <v>755</v>
      </c>
      <c r="D17" s="225">
        <v>0</v>
      </c>
      <c r="E17" s="225">
        <v>0</v>
      </c>
    </row>
    <row r="18" spans="2:5" ht="12.75" customHeight="1" x14ac:dyDescent="0.2">
      <c r="B18" s="103">
        <v>10</v>
      </c>
      <c r="C18" s="194" t="s">
        <v>756</v>
      </c>
      <c r="D18" s="225">
        <v>0</v>
      </c>
      <c r="E18" s="225">
        <v>0</v>
      </c>
    </row>
    <row r="19" spans="2:5" ht="12.75" customHeight="1" x14ac:dyDescent="0.2">
      <c r="B19" s="103">
        <v>11</v>
      </c>
      <c r="C19" s="194" t="s">
        <v>757</v>
      </c>
      <c r="D19" s="225">
        <v>0</v>
      </c>
      <c r="E19" s="225">
        <v>0</v>
      </c>
    </row>
    <row r="20" spans="2:5" ht="12.75" customHeight="1" x14ac:dyDescent="0.2">
      <c r="B20" s="103">
        <v>12</v>
      </c>
      <c r="C20" s="194" t="s">
        <v>758</v>
      </c>
      <c r="D20" s="225">
        <v>0</v>
      </c>
      <c r="E20" s="225">
        <v>0</v>
      </c>
    </row>
    <row r="21" spans="2:5" ht="12.75" customHeight="1" x14ac:dyDescent="0.2">
      <c r="B21" s="103">
        <v>13</v>
      </c>
      <c r="C21" s="194" t="s">
        <v>759</v>
      </c>
      <c r="D21" s="225">
        <v>0</v>
      </c>
      <c r="E21" s="225">
        <v>0</v>
      </c>
    </row>
    <row r="22" spans="2:5" ht="12.75" customHeight="1" x14ac:dyDescent="0.2">
      <c r="B22" s="103">
        <v>14</v>
      </c>
      <c r="C22" s="194" t="s">
        <v>760</v>
      </c>
      <c r="D22" s="225">
        <v>0</v>
      </c>
      <c r="E22" s="225">
        <v>0</v>
      </c>
    </row>
    <row r="23" spans="2:5" ht="12.75" customHeight="1" x14ac:dyDescent="0.2">
      <c r="B23" s="103">
        <v>3</v>
      </c>
      <c r="C23" s="194" t="s">
        <v>761</v>
      </c>
      <c r="D23" s="225">
        <v>0</v>
      </c>
      <c r="E23" s="225">
        <v>0</v>
      </c>
    </row>
    <row r="24" spans="2:5" ht="12.75" customHeight="1" x14ac:dyDescent="0.2">
      <c r="B24" s="103">
        <v>16</v>
      </c>
      <c r="C24" s="194" t="s">
        <v>762</v>
      </c>
      <c r="D24" s="225">
        <v>0</v>
      </c>
      <c r="E24" s="225">
        <v>0</v>
      </c>
    </row>
    <row r="25" spans="2:5" ht="12.75" customHeight="1" x14ac:dyDescent="0.2">
      <c r="B25" s="103">
        <v>17</v>
      </c>
      <c r="C25" s="194" t="s">
        <v>763</v>
      </c>
      <c r="D25" s="225">
        <v>0</v>
      </c>
      <c r="E25" s="225">
        <v>0</v>
      </c>
    </row>
    <row r="26" spans="2:5" ht="12.75" customHeight="1" x14ac:dyDescent="0.2">
      <c r="B26" s="103">
        <v>4</v>
      </c>
      <c r="C26" s="194" t="s">
        <v>764</v>
      </c>
      <c r="D26" s="225">
        <v>0</v>
      </c>
      <c r="E26" s="225">
        <v>0</v>
      </c>
    </row>
    <row r="27" spans="2:5" ht="12.75" customHeight="1" x14ac:dyDescent="0.2">
      <c r="B27" s="103">
        <v>19</v>
      </c>
      <c r="C27" s="194" t="s">
        <v>765</v>
      </c>
      <c r="D27" s="225">
        <v>0</v>
      </c>
      <c r="E27" s="225">
        <v>0</v>
      </c>
    </row>
    <row r="28" spans="2:5" ht="12.75" customHeight="1" x14ac:dyDescent="0.2">
      <c r="B28" s="103">
        <v>20</v>
      </c>
      <c r="C28" s="194" t="s">
        <v>766</v>
      </c>
      <c r="D28" s="225">
        <v>0</v>
      </c>
      <c r="E28" s="225">
        <v>0</v>
      </c>
    </row>
    <row r="29" spans="2:5" ht="12.75" customHeight="1" x14ac:dyDescent="0.2">
      <c r="B29" s="103">
        <v>21</v>
      </c>
      <c r="C29" s="194" t="s">
        <v>767</v>
      </c>
      <c r="D29" s="225">
        <v>0</v>
      </c>
      <c r="E29" s="225">
        <v>0</v>
      </c>
    </row>
    <row r="30" spans="2:5" ht="12.75" customHeight="1" x14ac:dyDescent="0.2">
      <c r="B30" s="103">
        <v>22</v>
      </c>
      <c r="C30" s="194" t="s">
        <v>768</v>
      </c>
      <c r="D30" s="225">
        <v>0</v>
      </c>
      <c r="E30" s="225">
        <v>0</v>
      </c>
    </row>
    <row r="31" spans="2:5" ht="12.75" customHeight="1" x14ac:dyDescent="0.2">
      <c r="B31" s="103">
        <v>23</v>
      </c>
      <c r="C31" s="194" t="s">
        <v>769</v>
      </c>
      <c r="D31" s="225">
        <v>0</v>
      </c>
      <c r="E31" s="225">
        <v>0</v>
      </c>
    </row>
    <row r="32" spans="2:5" ht="12.75" customHeight="1" x14ac:dyDescent="0.2">
      <c r="B32" s="103">
        <v>24</v>
      </c>
      <c r="C32" s="194" t="s">
        <v>770</v>
      </c>
      <c r="D32" s="225">
        <v>0</v>
      </c>
      <c r="E32" s="225">
        <v>0</v>
      </c>
    </row>
    <row r="33" spans="2:5" ht="12.75" customHeight="1" x14ac:dyDescent="0.2">
      <c r="B33" s="103">
        <v>25</v>
      </c>
      <c r="C33" s="194" t="s">
        <v>771</v>
      </c>
      <c r="D33" s="225">
        <v>0</v>
      </c>
      <c r="E33" s="225">
        <v>0</v>
      </c>
    </row>
    <row r="34" spans="2:5" ht="12.75" customHeight="1" x14ac:dyDescent="0.2">
      <c r="B34" s="103">
        <v>26</v>
      </c>
      <c r="C34" s="194" t="s">
        <v>772</v>
      </c>
      <c r="D34" s="225">
        <v>0</v>
      </c>
      <c r="E34" s="225">
        <v>0</v>
      </c>
    </row>
    <row r="35" spans="2:5" ht="12.75" customHeight="1" x14ac:dyDescent="0.2">
      <c r="B35" s="103">
        <v>27</v>
      </c>
      <c r="C35" s="194" t="s">
        <v>773</v>
      </c>
      <c r="D35" s="225">
        <v>0</v>
      </c>
      <c r="E35" s="225">
        <v>0</v>
      </c>
    </row>
    <row r="36" spans="2:5" ht="12.75" customHeight="1" x14ac:dyDescent="0.2">
      <c r="B36" s="103">
        <v>28</v>
      </c>
      <c r="C36" s="194" t="s">
        <v>774</v>
      </c>
      <c r="D36" s="225">
        <v>0</v>
      </c>
      <c r="E36" s="225">
        <v>0</v>
      </c>
    </row>
    <row r="37" spans="2:5" ht="12.75" customHeight="1" x14ac:dyDescent="0.2">
      <c r="B37" s="103">
        <v>29</v>
      </c>
      <c r="C37" s="194" t="s">
        <v>775</v>
      </c>
      <c r="D37" s="225">
        <v>0</v>
      </c>
      <c r="E37" s="225">
        <v>0</v>
      </c>
    </row>
    <row r="38" spans="2:5" ht="12.75" customHeight="1" x14ac:dyDescent="0.2">
      <c r="B38" s="103">
        <v>30</v>
      </c>
      <c r="C38" s="194" t="s">
        <v>776</v>
      </c>
      <c r="D38" s="225">
        <v>0</v>
      </c>
      <c r="E38" s="225">
        <v>0</v>
      </c>
    </row>
    <row r="39" spans="2:5" ht="12.75" customHeight="1" x14ac:dyDescent="0.2">
      <c r="B39" s="103">
        <v>31</v>
      </c>
      <c r="C39" s="194" t="s">
        <v>777</v>
      </c>
      <c r="D39" s="225">
        <v>0</v>
      </c>
      <c r="E39" s="225">
        <v>0</v>
      </c>
    </row>
    <row r="40" spans="2:5" ht="12.75" customHeight="1" x14ac:dyDescent="0.2">
      <c r="B40" s="103">
        <v>32</v>
      </c>
      <c r="C40" s="194" t="s">
        <v>778</v>
      </c>
      <c r="D40" s="225">
        <v>0</v>
      </c>
      <c r="E40" s="225">
        <v>0</v>
      </c>
    </row>
    <row r="41" spans="2:5" ht="12.75" customHeight="1" x14ac:dyDescent="0.2">
      <c r="B41" s="103">
        <v>5</v>
      </c>
      <c r="C41" s="194" t="s">
        <v>779</v>
      </c>
      <c r="D41" s="225">
        <v>0</v>
      </c>
      <c r="E41" s="225">
        <v>0</v>
      </c>
    </row>
    <row r="42" spans="2:5" ht="12.75" customHeight="1" x14ac:dyDescent="0.2">
      <c r="B42" s="103">
        <v>34</v>
      </c>
      <c r="C42" s="194" t="s">
        <v>780</v>
      </c>
      <c r="D42" s="225">
        <v>0</v>
      </c>
      <c r="E42" s="225">
        <v>0</v>
      </c>
    </row>
    <row r="43" spans="2:5" ht="12.75" customHeight="1" x14ac:dyDescent="0.2">
      <c r="B43" s="103">
        <v>6</v>
      </c>
      <c r="C43" s="194" t="s">
        <v>781</v>
      </c>
      <c r="D43" s="225">
        <v>0</v>
      </c>
      <c r="E43" s="225">
        <v>0</v>
      </c>
    </row>
    <row r="44" spans="2:5" ht="12.75" customHeight="1" x14ac:dyDescent="0.2">
      <c r="B44" s="103">
        <v>36</v>
      </c>
      <c r="C44" s="194" t="s">
        <v>782</v>
      </c>
      <c r="D44" s="225">
        <v>0</v>
      </c>
      <c r="E44" s="225">
        <v>0</v>
      </c>
    </row>
    <row r="45" spans="2:5" ht="12.75" customHeight="1" x14ac:dyDescent="0.2">
      <c r="B45" s="103">
        <v>37</v>
      </c>
      <c r="C45" s="194" t="s">
        <v>783</v>
      </c>
      <c r="D45" s="225">
        <v>0</v>
      </c>
      <c r="E45" s="225">
        <v>0</v>
      </c>
    </row>
    <row r="46" spans="2:5" ht="12.75" customHeight="1" x14ac:dyDescent="0.2">
      <c r="B46" s="103">
        <v>38</v>
      </c>
      <c r="C46" s="194" t="s">
        <v>784</v>
      </c>
      <c r="D46" s="225">
        <v>0</v>
      </c>
      <c r="E46" s="225">
        <v>0</v>
      </c>
    </row>
    <row r="47" spans="2:5" ht="12.75" customHeight="1" x14ac:dyDescent="0.2">
      <c r="B47" s="103">
        <v>39</v>
      </c>
      <c r="C47" s="194" t="s">
        <v>785</v>
      </c>
      <c r="D47" s="225">
        <v>0</v>
      </c>
      <c r="E47" s="225">
        <v>0</v>
      </c>
    </row>
    <row r="48" spans="2:5" ht="12.75" customHeight="1" x14ac:dyDescent="0.2">
      <c r="B48" s="103">
        <v>40</v>
      </c>
      <c r="C48" s="194" t="s">
        <v>786</v>
      </c>
      <c r="D48" s="225">
        <v>0</v>
      </c>
      <c r="E48" s="225">
        <v>0</v>
      </c>
    </row>
    <row r="49" spans="2:5" ht="12.75" customHeight="1" x14ac:dyDescent="0.2">
      <c r="B49" s="103">
        <v>41</v>
      </c>
      <c r="C49" s="194" t="s">
        <v>787</v>
      </c>
      <c r="D49" s="225">
        <v>0</v>
      </c>
      <c r="E49" s="225">
        <v>0</v>
      </c>
    </row>
    <row r="50" spans="2:5" ht="12.75" customHeight="1" x14ac:dyDescent="0.2">
      <c r="B50" s="103">
        <v>42</v>
      </c>
      <c r="C50" s="194" t="s">
        <v>788</v>
      </c>
      <c r="D50" s="225">
        <v>0</v>
      </c>
      <c r="E50" s="225">
        <v>0</v>
      </c>
    </row>
    <row r="51" spans="2:5" ht="12.75" customHeight="1" x14ac:dyDescent="0.2">
      <c r="B51" s="103">
        <v>43</v>
      </c>
      <c r="C51" s="194" t="s">
        <v>789</v>
      </c>
      <c r="D51" s="225">
        <v>0</v>
      </c>
      <c r="E51" s="225">
        <v>0</v>
      </c>
    </row>
    <row r="52" spans="2:5" ht="12.75" customHeight="1" x14ac:dyDescent="0.2">
      <c r="B52" s="103">
        <v>44</v>
      </c>
      <c r="C52" s="194" t="s">
        <v>790</v>
      </c>
      <c r="D52" s="225">
        <v>0</v>
      </c>
      <c r="E52" s="225">
        <v>0</v>
      </c>
    </row>
    <row r="53" spans="2:5" ht="12.75" customHeight="1" x14ac:dyDescent="0.2">
      <c r="B53" s="103">
        <v>45</v>
      </c>
      <c r="C53" s="194" t="s">
        <v>791</v>
      </c>
      <c r="D53" s="225">
        <v>0</v>
      </c>
      <c r="E53" s="225">
        <v>0</v>
      </c>
    </row>
    <row r="54" spans="2:5" ht="12.75" customHeight="1" x14ac:dyDescent="0.2">
      <c r="B54" s="103">
        <v>46</v>
      </c>
      <c r="C54" s="194" t="s">
        <v>792</v>
      </c>
      <c r="D54" s="225">
        <v>0</v>
      </c>
      <c r="E54" s="225">
        <v>0</v>
      </c>
    </row>
    <row r="55" spans="2:5" ht="12.75" customHeight="1" x14ac:dyDescent="0.2">
      <c r="B55" s="103">
        <v>47</v>
      </c>
      <c r="C55" s="194" t="s">
        <v>793</v>
      </c>
      <c r="D55" s="225">
        <v>0</v>
      </c>
      <c r="E55" s="225">
        <v>0</v>
      </c>
    </row>
    <row r="56" spans="2:5" ht="12.75" customHeight="1" x14ac:dyDescent="0.2">
      <c r="B56" s="103">
        <v>48</v>
      </c>
      <c r="C56" s="194" t="s">
        <v>794</v>
      </c>
      <c r="D56" s="225">
        <v>0</v>
      </c>
      <c r="E56" s="225">
        <v>0</v>
      </c>
    </row>
    <row r="57" spans="2:5" ht="12.75" customHeight="1" x14ac:dyDescent="0.2">
      <c r="B57" s="103">
        <v>49</v>
      </c>
      <c r="C57" s="194" t="s">
        <v>795</v>
      </c>
      <c r="D57" s="225">
        <v>0</v>
      </c>
      <c r="E57" s="225">
        <v>0</v>
      </c>
    </row>
    <row r="58" spans="2:5" ht="12.75" customHeight="1" x14ac:dyDescent="0.2">
      <c r="B58" s="103">
        <v>50</v>
      </c>
      <c r="C58" s="194" t="s">
        <v>796</v>
      </c>
      <c r="D58" s="225">
        <v>0</v>
      </c>
      <c r="E58" s="225">
        <v>0</v>
      </c>
    </row>
    <row r="59" spans="2:5" ht="12.75" customHeight="1" x14ac:dyDescent="0.2">
      <c r="B59" s="103">
        <v>51</v>
      </c>
      <c r="C59" s="194" t="s">
        <v>797</v>
      </c>
      <c r="D59" s="225">
        <v>0</v>
      </c>
      <c r="E59" s="225">
        <v>0</v>
      </c>
    </row>
    <row r="60" spans="2:5" ht="12.75" customHeight="1" x14ac:dyDescent="0.2">
      <c r="B60" s="103">
        <v>52</v>
      </c>
      <c r="C60" s="194" t="s">
        <v>798</v>
      </c>
      <c r="D60" s="225">
        <v>0</v>
      </c>
      <c r="E60" s="225">
        <v>0</v>
      </c>
    </row>
    <row r="61" spans="2:5" ht="12.75" customHeight="1" x14ac:dyDescent="0.2">
      <c r="B61" s="103">
        <v>53</v>
      </c>
      <c r="C61" s="194" t="s">
        <v>799</v>
      </c>
      <c r="D61" s="225">
        <v>0</v>
      </c>
      <c r="E61" s="225">
        <v>0</v>
      </c>
    </row>
    <row r="62" spans="2:5" ht="12.75" customHeight="1" x14ac:dyDescent="0.2">
      <c r="B62" s="103">
        <v>54</v>
      </c>
      <c r="C62" s="194" t="s">
        <v>800</v>
      </c>
      <c r="D62" s="225">
        <v>0</v>
      </c>
      <c r="E62" s="225">
        <v>0</v>
      </c>
    </row>
    <row r="63" spans="2:5" ht="12.75" customHeight="1" x14ac:dyDescent="0.2">
      <c r="B63" s="103">
        <v>55</v>
      </c>
      <c r="C63" s="194" t="s">
        <v>801</v>
      </c>
      <c r="D63" s="225">
        <v>0</v>
      </c>
      <c r="E63" s="225">
        <v>0</v>
      </c>
    </row>
    <row r="64" spans="2:5" ht="12.75" customHeight="1" x14ac:dyDescent="0.2">
      <c r="B64" s="103">
        <v>56</v>
      </c>
      <c r="C64" s="194" t="s">
        <v>802</v>
      </c>
      <c r="D64" s="225">
        <v>0</v>
      </c>
      <c r="E64" s="225">
        <v>0</v>
      </c>
    </row>
    <row r="65" spans="2:5" ht="12.75" customHeight="1" x14ac:dyDescent="0.2">
      <c r="B65" s="103">
        <v>57</v>
      </c>
      <c r="C65" s="194" t="s">
        <v>803</v>
      </c>
      <c r="D65" s="225">
        <v>0</v>
      </c>
      <c r="E65" s="225">
        <v>0</v>
      </c>
    </row>
    <row r="66" spans="2:5" ht="12.75" customHeight="1" x14ac:dyDescent="0.2">
      <c r="B66" s="103">
        <v>58</v>
      </c>
      <c r="C66" s="194" t="s">
        <v>804</v>
      </c>
      <c r="D66" s="225">
        <v>0</v>
      </c>
      <c r="E66" s="225">
        <v>0</v>
      </c>
    </row>
    <row r="67" spans="2:5" ht="12.75" customHeight="1" x14ac:dyDescent="0.2">
      <c r="B67" s="103">
        <v>59</v>
      </c>
      <c r="C67" s="194" t="s">
        <v>805</v>
      </c>
      <c r="D67" s="225">
        <v>0</v>
      </c>
      <c r="E67" s="225">
        <v>0</v>
      </c>
    </row>
    <row r="68" spans="2:5" ht="12.75" customHeight="1" x14ac:dyDescent="0.2">
      <c r="B68" s="103">
        <v>60</v>
      </c>
      <c r="C68" s="194" t="s">
        <v>806</v>
      </c>
      <c r="D68" s="225">
        <v>0</v>
      </c>
      <c r="E68" s="225">
        <v>0</v>
      </c>
    </row>
    <row r="69" spans="2:5" ht="12.75" customHeight="1" x14ac:dyDescent="0.2">
      <c r="B69" s="103">
        <v>61</v>
      </c>
      <c r="C69" s="194" t="s">
        <v>807</v>
      </c>
      <c r="D69" s="225">
        <v>0</v>
      </c>
      <c r="E69" s="225">
        <v>0</v>
      </c>
    </row>
    <row r="70" spans="2:5" ht="12.75" customHeight="1" x14ac:dyDescent="0.2">
      <c r="B70" s="103">
        <v>62</v>
      </c>
      <c r="C70" s="194" t="s">
        <v>808</v>
      </c>
      <c r="D70" s="225">
        <v>0</v>
      </c>
      <c r="E70" s="225">
        <v>0</v>
      </c>
    </row>
    <row r="71" spans="2:5" ht="12.75" customHeight="1" x14ac:dyDescent="0.2">
      <c r="B71" s="103">
        <v>63</v>
      </c>
      <c r="C71" s="194" t="s">
        <v>809</v>
      </c>
      <c r="D71" s="225">
        <v>0</v>
      </c>
      <c r="E71" s="225">
        <v>0</v>
      </c>
    </row>
    <row r="72" spans="2:5" ht="12.75" customHeight="1" x14ac:dyDescent="0.2">
      <c r="B72" s="103">
        <v>64</v>
      </c>
      <c r="C72" s="194" t="s">
        <v>810</v>
      </c>
      <c r="D72" s="225">
        <v>0</v>
      </c>
      <c r="E72" s="225">
        <v>0</v>
      </c>
    </row>
    <row r="73" spans="2:5" ht="12.75" customHeight="1" x14ac:dyDescent="0.2">
      <c r="B73" s="103">
        <v>65</v>
      </c>
      <c r="C73" s="194" t="s">
        <v>811</v>
      </c>
      <c r="D73" s="225">
        <v>0</v>
      </c>
      <c r="E73" s="225">
        <v>0</v>
      </c>
    </row>
    <row r="74" spans="2:5" ht="12.75" customHeight="1" x14ac:dyDescent="0.2">
      <c r="B74" s="103">
        <v>66</v>
      </c>
      <c r="C74" s="194" t="s">
        <v>812</v>
      </c>
      <c r="D74" s="225">
        <v>0</v>
      </c>
      <c r="E74" s="225">
        <v>0</v>
      </c>
    </row>
    <row r="75" spans="2:5" ht="12.75" customHeight="1" x14ac:dyDescent="0.2">
      <c r="B75" s="103">
        <v>67</v>
      </c>
      <c r="C75" s="194" t="s">
        <v>813</v>
      </c>
      <c r="D75" s="225">
        <v>0</v>
      </c>
      <c r="E75" s="225">
        <v>0</v>
      </c>
    </row>
    <row r="76" spans="2:5" ht="12.75" customHeight="1" x14ac:dyDescent="0.2">
      <c r="B76" s="103">
        <v>68</v>
      </c>
      <c r="C76" s="194" t="s">
        <v>814</v>
      </c>
      <c r="D76" s="225">
        <v>0</v>
      </c>
      <c r="E76" s="225">
        <v>0</v>
      </c>
    </row>
    <row r="77" spans="2:5" ht="12.75" customHeight="1" x14ac:dyDescent="0.2">
      <c r="B77" s="103">
        <v>69</v>
      </c>
      <c r="C77" s="194" t="s">
        <v>815</v>
      </c>
      <c r="D77" s="225">
        <v>0</v>
      </c>
      <c r="E77" s="225">
        <v>0</v>
      </c>
    </row>
    <row r="78" spans="2:5" ht="12.75" customHeight="1" x14ac:dyDescent="0.2">
      <c r="B78" s="103">
        <v>70</v>
      </c>
      <c r="C78" s="194" t="s">
        <v>816</v>
      </c>
      <c r="D78" s="225">
        <v>0</v>
      </c>
      <c r="E78" s="225">
        <v>0</v>
      </c>
    </row>
    <row r="79" spans="2:5" ht="12.75" customHeight="1" x14ac:dyDescent="0.2">
      <c r="B79" s="103">
        <v>71</v>
      </c>
      <c r="C79" s="194" t="s">
        <v>817</v>
      </c>
      <c r="D79" s="225">
        <v>0</v>
      </c>
      <c r="E79" s="225">
        <v>0</v>
      </c>
    </row>
    <row r="80" spans="2:5" ht="12.75" customHeight="1" x14ac:dyDescent="0.2">
      <c r="B80" s="103">
        <v>72</v>
      </c>
      <c r="C80" s="194" t="s">
        <v>818</v>
      </c>
      <c r="D80" s="225">
        <v>0</v>
      </c>
      <c r="E80" s="225">
        <v>0</v>
      </c>
    </row>
    <row r="81" spans="2:5" ht="12.75" customHeight="1" x14ac:dyDescent="0.2">
      <c r="B81" s="103">
        <v>73</v>
      </c>
      <c r="C81" s="194" t="s">
        <v>819</v>
      </c>
      <c r="D81" s="225">
        <v>0</v>
      </c>
      <c r="E81" s="225">
        <v>0</v>
      </c>
    </row>
    <row r="82" spans="2:5" ht="12.75" customHeight="1" x14ac:dyDescent="0.2">
      <c r="B82" s="103">
        <v>74</v>
      </c>
      <c r="C82" s="194" t="s">
        <v>820</v>
      </c>
      <c r="D82" s="225">
        <v>0</v>
      </c>
      <c r="E82" s="225">
        <v>0</v>
      </c>
    </row>
    <row r="83" spans="2:5" ht="12.75" customHeight="1" x14ac:dyDescent="0.2">
      <c r="B83" s="103">
        <v>75</v>
      </c>
      <c r="C83" s="194" t="s">
        <v>821</v>
      </c>
      <c r="D83" s="225">
        <v>0</v>
      </c>
      <c r="E83" s="225">
        <v>0</v>
      </c>
    </row>
    <row r="84" spans="2:5" ht="12.75" customHeight="1" x14ac:dyDescent="0.2">
      <c r="B84" s="103">
        <v>76</v>
      </c>
      <c r="C84" s="194" t="s">
        <v>822</v>
      </c>
      <c r="D84" s="225">
        <v>0</v>
      </c>
      <c r="E84" s="225">
        <v>0</v>
      </c>
    </row>
    <row r="85" spans="2:5" ht="12.75" customHeight="1" x14ac:dyDescent="0.2">
      <c r="B85" s="103">
        <v>77</v>
      </c>
      <c r="C85" s="194" t="s">
        <v>823</v>
      </c>
      <c r="D85" s="225">
        <v>0</v>
      </c>
      <c r="E85" s="225">
        <v>0</v>
      </c>
    </row>
    <row r="86" spans="2:5" ht="12.75" customHeight="1" x14ac:dyDescent="0.2">
      <c r="B86" s="103">
        <v>78</v>
      </c>
      <c r="C86" s="194" t="s">
        <v>824</v>
      </c>
      <c r="D86" s="225">
        <v>0</v>
      </c>
      <c r="E86" s="225">
        <v>0</v>
      </c>
    </row>
    <row r="87" spans="2:5" ht="12.75" customHeight="1" x14ac:dyDescent="0.2">
      <c r="B87" s="103">
        <v>79</v>
      </c>
      <c r="C87" s="194" t="s">
        <v>825</v>
      </c>
      <c r="D87" s="225">
        <v>0</v>
      </c>
      <c r="E87" s="225">
        <v>0</v>
      </c>
    </row>
    <row r="88" spans="2:5" ht="12.75" customHeight="1" x14ac:dyDescent="0.2">
      <c r="B88" s="103">
        <v>80</v>
      </c>
      <c r="C88" s="194" t="s">
        <v>826</v>
      </c>
      <c r="D88" s="225">
        <v>0</v>
      </c>
      <c r="E88" s="225">
        <v>0</v>
      </c>
    </row>
    <row r="89" spans="2:5" ht="12.75" customHeight="1" x14ac:dyDescent="0.2">
      <c r="B89" s="103">
        <v>7</v>
      </c>
      <c r="C89" s="194" t="s">
        <v>827</v>
      </c>
      <c r="D89" s="225">
        <v>0</v>
      </c>
      <c r="E89" s="225">
        <v>0</v>
      </c>
    </row>
    <row r="90" spans="2:5" ht="12.75" customHeight="1" x14ac:dyDescent="0.2">
      <c r="B90" s="103">
        <v>82</v>
      </c>
      <c r="C90" s="194" t="s">
        <v>828</v>
      </c>
      <c r="D90" s="225">
        <v>0</v>
      </c>
      <c r="E90" s="225">
        <v>0</v>
      </c>
    </row>
    <row r="91" spans="2:5" ht="12.75" customHeight="1" x14ac:dyDescent="0.2">
      <c r="B91" s="103">
        <v>83</v>
      </c>
      <c r="C91" s="194" t="s">
        <v>829</v>
      </c>
      <c r="D91" s="225">
        <v>0</v>
      </c>
      <c r="E91" s="225">
        <v>0</v>
      </c>
    </row>
    <row r="92" spans="2:5" ht="12.75" customHeight="1" x14ac:dyDescent="0.2">
      <c r="B92" s="103">
        <v>84</v>
      </c>
      <c r="C92" s="194" t="s">
        <v>830</v>
      </c>
      <c r="D92" s="225">
        <v>0</v>
      </c>
      <c r="E92" s="225">
        <v>0</v>
      </c>
    </row>
    <row r="93" spans="2:5" ht="12.75" customHeight="1" x14ac:dyDescent="0.2">
      <c r="B93" s="103">
        <v>85</v>
      </c>
      <c r="C93" s="194" t="s">
        <v>831</v>
      </c>
      <c r="D93" s="225">
        <v>0</v>
      </c>
      <c r="E93" s="225">
        <v>0</v>
      </c>
    </row>
    <row r="94" spans="2:5" ht="12.75" customHeight="1" x14ac:dyDescent="0.2">
      <c r="B94" s="103">
        <v>86</v>
      </c>
      <c r="C94" s="194" t="s">
        <v>832</v>
      </c>
      <c r="D94" s="225">
        <v>0</v>
      </c>
      <c r="E94" s="225">
        <v>0</v>
      </c>
    </row>
    <row r="95" spans="2:5" ht="12.75" customHeight="1" x14ac:dyDescent="0.2">
      <c r="B95" s="103">
        <v>87</v>
      </c>
      <c r="C95" s="194" t="s">
        <v>833</v>
      </c>
      <c r="D95" s="225">
        <v>0</v>
      </c>
      <c r="E95" s="225">
        <v>0</v>
      </c>
    </row>
    <row r="96" spans="2:5" ht="12.75" customHeight="1" x14ac:dyDescent="0.2">
      <c r="B96" s="103">
        <v>88</v>
      </c>
      <c r="C96" s="194" t="s">
        <v>834</v>
      </c>
      <c r="D96" s="225">
        <v>0</v>
      </c>
      <c r="E96" s="225">
        <v>0</v>
      </c>
    </row>
    <row r="97" spans="2:5" ht="12.75" customHeight="1" x14ac:dyDescent="0.2">
      <c r="B97" s="103">
        <v>89</v>
      </c>
      <c r="C97" s="194" t="s">
        <v>835</v>
      </c>
      <c r="D97" s="225">
        <v>0</v>
      </c>
      <c r="E97" s="225">
        <v>0</v>
      </c>
    </row>
    <row r="98" spans="2:5" ht="12.75" customHeight="1" x14ac:dyDescent="0.2">
      <c r="B98" s="103">
        <v>90</v>
      </c>
      <c r="C98" s="194" t="s">
        <v>836</v>
      </c>
      <c r="D98" s="225">
        <v>0</v>
      </c>
      <c r="E98" s="225">
        <v>0</v>
      </c>
    </row>
    <row r="99" spans="2:5" ht="12.75" customHeight="1" x14ac:dyDescent="0.2">
      <c r="B99" s="103">
        <v>91</v>
      </c>
      <c r="C99" s="194" t="s">
        <v>837</v>
      </c>
      <c r="D99" s="225">
        <v>0</v>
      </c>
      <c r="E99" s="225">
        <v>0</v>
      </c>
    </row>
    <row r="100" spans="2:5" ht="12.75" customHeight="1" x14ac:dyDescent="0.2">
      <c r="B100" s="103">
        <v>92</v>
      </c>
      <c r="C100" s="194" t="s">
        <v>838</v>
      </c>
      <c r="D100" s="225">
        <v>0</v>
      </c>
      <c r="E100" s="225">
        <v>0</v>
      </c>
    </row>
    <row r="101" spans="2:5" ht="12.75" customHeight="1" x14ac:dyDescent="0.2">
      <c r="B101" s="103">
        <v>93</v>
      </c>
      <c r="C101" s="194" t="s">
        <v>839</v>
      </c>
      <c r="D101" s="225">
        <v>0</v>
      </c>
      <c r="E101" s="225">
        <v>0</v>
      </c>
    </row>
    <row r="102" spans="2:5" ht="12.75" customHeight="1" x14ac:dyDescent="0.2">
      <c r="B102" s="103">
        <v>94</v>
      </c>
      <c r="C102" s="194" t="s">
        <v>840</v>
      </c>
      <c r="D102" s="225">
        <v>0</v>
      </c>
      <c r="E102" s="225">
        <v>0</v>
      </c>
    </row>
    <row r="103" spans="2:5" ht="12.75" customHeight="1" x14ac:dyDescent="0.2">
      <c r="B103" s="103">
        <v>95</v>
      </c>
      <c r="C103" s="194" t="s">
        <v>841</v>
      </c>
      <c r="D103" s="225">
        <v>0</v>
      </c>
      <c r="E103" s="225">
        <v>0</v>
      </c>
    </row>
    <row r="104" spans="2:5" ht="12.75" customHeight="1" x14ac:dyDescent="0.2">
      <c r="B104" s="103">
        <v>96</v>
      </c>
      <c r="C104" s="194" t="s">
        <v>842</v>
      </c>
      <c r="D104" s="225">
        <v>0</v>
      </c>
      <c r="E104" s="225">
        <v>0</v>
      </c>
    </row>
    <row r="105" spans="2:5" ht="12.75" customHeight="1" x14ac:dyDescent="0.2">
      <c r="B105" s="103">
        <v>97</v>
      </c>
      <c r="C105" s="194" t="s">
        <v>843</v>
      </c>
      <c r="D105" s="225">
        <v>0</v>
      </c>
      <c r="E105" s="225">
        <v>0</v>
      </c>
    </row>
    <row r="106" spans="2:5" ht="12.75" customHeight="1" x14ac:dyDescent="0.2">
      <c r="B106" s="103">
        <v>98</v>
      </c>
      <c r="C106" s="194" t="s">
        <v>844</v>
      </c>
      <c r="D106" s="225">
        <v>0</v>
      </c>
      <c r="E106" s="225">
        <v>0</v>
      </c>
    </row>
    <row r="107" spans="2:5" ht="12.75" customHeight="1" x14ac:dyDescent="0.2">
      <c r="B107" s="103">
        <v>99</v>
      </c>
      <c r="C107" s="194" t="s">
        <v>845</v>
      </c>
      <c r="D107" s="225">
        <v>0</v>
      </c>
      <c r="E107" s="225">
        <v>0</v>
      </c>
    </row>
    <row r="108" spans="2:5" ht="12.75" customHeight="1" x14ac:dyDescent="0.2">
      <c r="B108" s="103">
        <v>100</v>
      </c>
      <c r="C108" s="194" t="s">
        <v>846</v>
      </c>
      <c r="D108" s="225">
        <v>0</v>
      </c>
      <c r="E108" s="225">
        <v>0</v>
      </c>
    </row>
    <row r="109" spans="2:5" ht="12.75" customHeight="1" x14ac:dyDescent="0.2">
      <c r="B109" s="103">
        <v>101</v>
      </c>
      <c r="C109" s="194" t="s">
        <v>847</v>
      </c>
      <c r="D109" s="225">
        <v>0</v>
      </c>
      <c r="E109" s="225">
        <v>0</v>
      </c>
    </row>
    <row r="110" spans="2:5" ht="12.75" customHeight="1" x14ac:dyDescent="0.2">
      <c r="B110" s="103">
        <v>102</v>
      </c>
      <c r="C110" s="194" t="s">
        <v>848</v>
      </c>
      <c r="D110" s="225">
        <v>0</v>
      </c>
      <c r="E110" s="225">
        <v>0</v>
      </c>
    </row>
    <row r="111" spans="2:5" ht="12.75" customHeight="1" x14ac:dyDescent="0.2">
      <c r="B111" s="103">
        <v>103</v>
      </c>
      <c r="C111" s="194" t="s">
        <v>849</v>
      </c>
      <c r="D111" s="225">
        <v>0</v>
      </c>
      <c r="E111" s="225">
        <v>0</v>
      </c>
    </row>
    <row r="112" spans="2:5" ht="12.75" customHeight="1" x14ac:dyDescent="0.2">
      <c r="B112" s="103">
        <v>104</v>
      </c>
      <c r="C112" s="194" t="s">
        <v>850</v>
      </c>
      <c r="D112" s="225">
        <v>0</v>
      </c>
      <c r="E112" s="225">
        <v>0</v>
      </c>
    </row>
    <row r="113" spans="2:5" ht="12.75" customHeight="1" x14ac:dyDescent="0.2">
      <c r="B113" s="103">
        <v>105</v>
      </c>
      <c r="C113" s="194" t="s">
        <v>851</v>
      </c>
      <c r="D113" s="225">
        <v>0</v>
      </c>
      <c r="E113" s="225">
        <v>0</v>
      </c>
    </row>
    <row r="114" spans="2:5" ht="12.75" customHeight="1" x14ac:dyDescent="0.2">
      <c r="B114" s="103">
        <v>106</v>
      </c>
      <c r="C114" s="194" t="s">
        <v>852</v>
      </c>
      <c r="D114" s="225">
        <v>0</v>
      </c>
      <c r="E114" s="225">
        <v>0</v>
      </c>
    </row>
    <row r="115" spans="2:5" ht="12.75" customHeight="1" x14ac:dyDescent="0.2">
      <c r="B115" s="103">
        <v>107</v>
      </c>
      <c r="C115" s="194" t="s">
        <v>853</v>
      </c>
      <c r="D115" s="225">
        <v>0</v>
      </c>
      <c r="E115" s="225">
        <v>0</v>
      </c>
    </row>
    <row r="116" spans="2:5" ht="12.75" customHeight="1" x14ac:dyDescent="0.2">
      <c r="B116" s="103">
        <v>108</v>
      </c>
      <c r="C116" s="194" t="s">
        <v>854</v>
      </c>
      <c r="D116" s="225">
        <v>0</v>
      </c>
      <c r="E116" s="225">
        <v>0</v>
      </c>
    </row>
    <row r="117" spans="2:5" ht="12.75" customHeight="1" x14ac:dyDescent="0.2">
      <c r="B117" s="103">
        <v>109</v>
      </c>
      <c r="C117" s="194" t="s">
        <v>855</v>
      </c>
      <c r="D117" s="225">
        <v>0</v>
      </c>
      <c r="E117" s="225">
        <v>0</v>
      </c>
    </row>
    <row r="118" spans="2:5" ht="12.75" customHeight="1" x14ac:dyDescent="0.2">
      <c r="B118" s="103">
        <v>110</v>
      </c>
      <c r="C118" s="194" t="s">
        <v>856</v>
      </c>
      <c r="D118" s="225">
        <v>0</v>
      </c>
      <c r="E118" s="225">
        <v>0</v>
      </c>
    </row>
    <row r="119" spans="2:5" ht="12.75" customHeight="1" x14ac:dyDescent="0.2">
      <c r="B119" s="103">
        <v>111</v>
      </c>
      <c r="C119" s="194" t="s">
        <v>857</v>
      </c>
      <c r="D119" s="225">
        <v>0</v>
      </c>
      <c r="E119" s="225">
        <v>0</v>
      </c>
    </row>
    <row r="120" spans="2:5" ht="12.75" customHeight="1" x14ac:dyDescent="0.2">
      <c r="B120" s="103">
        <v>112</v>
      </c>
      <c r="C120" s="194" t="s">
        <v>858</v>
      </c>
      <c r="D120" s="225">
        <v>0</v>
      </c>
      <c r="E120" s="225">
        <v>0</v>
      </c>
    </row>
    <row r="121" spans="2:5" ht="12.75" customHeight="1" x14ac:dyDescent="0.2">
      <c r="B121" s="103">
        <v>113</v>
      </c>
      <c r="C121" s="194" t="s">
        <v>859</v>
      </c>
      <c r="D121" s="225">
        <v>0</v>
      </c>
      <c r="E121" s="225">
        <v>0</v>
      </c>
    </row>
    <row r="122" spans="2:5" ht="12.75" customHeight="1" x14ac:dyDescent="0.2">
      <c r="B122" s="103">
        <v>114</v>
      </c>
      <c r="C122" s="194" t="s">
        <v>860</v>
      </c>
      <c r="D122" s="225">
        <v>0</v>
      </c>
      <c r="E122" s="225">
        <v>0</v>
      </c>
    </row>
    <row r="123" spans="2:5" ht="12.75" customHeight="1" x14ac:dyDescent="0.2">
      <c r="B123" s="103">
        <v>115</v>
      </c>
      <c r="C123" s="194" t="s">
        <v>861</v>
      </c>
      <c r="D123" s="225">
        <v>0</v>
      </c>
      <c r="E123" s="225">
        <v>0</v>
      </c>
    </row>
    <row r="124" spans="2:5" ht="12.75" customHeight="1" x14ac:dyDescent="0.2">
      <c r="B124" s="103">
        <v>116</v>
      </c>
      <c r="C124" s="194" t="s">
        <v>862</v>
      </c>
      <c r="D124" s="225">
        <v>0</v>
      </c>
      <c r="E124" s="225">
        <v>0</v>
      </c>
    </row>
    <row r="125" spans="2:5" ht="12.75" customHeight="1" x14ac:dyDescent="0.2">
      <c r="B125" s="103">
        <v>117</v>
      </c>
      <c r="C125" s="194" t="s">
        <v>863</v>
      </c>
      <c r="D125" s="225">
        <v>0</v>
      </c>
      <c r="E125" s="225">
        <v>0</v>
      </c>
    </row>
    <row r="126" spans="2:5" ht="12.75" customHeight="1" x14ac:dyDescent="0.2">
      <c r="B126" s="103">
        <v>118</v>
      </c>
      <c r="C126" s="194" t="s">
        <v>864</v>
      </c>
      <c r="D126" s="225">
        <v>0</v>
      </c>
      <c r="E126" s="225">
        <v>0</v>
      </c>
    </row>
    <row r="127" spans="2:5" ht="12.75" customHeight="1" x14ac:dyDescent="0.2">
      <c r="B127" s="103">
        <v>119</v>
      </c>
      <c r="C127" s="194" t="s">
        <v>865</v>
      </c>
      <c r="D127" s="225">
        <v>0</v>
      </c>
      <c r="E127" s="225">
        <v>0</v>
      </c>
    </row>
    <row r="128" spans="2:5" ht="12.75" customHeight="1" x14ac:dyDescent="0.2">
      <c r="B128" s="103">
        <v>120</v>
      </c>
      <c r="C128" s="194" t="s">
        <v>866</v>
      </c>
      <c r="D128" s="225">
        <v>0</v>
      </c>
      <c r="E128" s="225">
        <v>0</v>
      </c>
    </row>
    <row r="129" spans="2:5" ht="12.75" customHeight="1" x14ac:dyDescent="0.2">
      <c r="B129" s="103">
        <v>121</v>
      </c>
      <c r="C129" s="194" t="s">
        <v>867</v>
      </c>
      <c r="D129" s="225">
        <v>0</v>
      </c>
      <c r="E129" s="225">
        <v>0</v>
      </c>
    </row>
    <row r="130" spans="2:5" ht="12.75" customHeight="1" x14ac:dyDescent="0.2">
      <c r="B130" s="103">
        <v>122</v>
      </c>
      <c r="C130" s="194" t="s">
        <v>868</v>
      </c>
      <c r="D130" s="225">
        <v>0</v>
      </c>
      <c r="E130" s="225">
        <v>0</v>
      </c>
    </row>
    <row r="131" spans="2:5" ht="12.75" customHeight="1" x14ac:dyDescent="0.2">
      <c r="B131" s="103">
        <v>123</v>
      </c>
      <c r="C131" s="194" t="s">
        <v>869</v>
      </c>
      <c r="D131" s="225">
        <v>0</v>
      </c>
      <c r="E131" s="225">
        <v>0</v>
      </c>
    </row>
    <row r="132" spans="2:5" ht="12.75" customHeight="1" x14ac:dyDescent="0.2">
      <c r="B132" s="103">
        <v>124</v>
      </c>
      <c r="C132" s="194" t="s">
        <v>870</v>
      </c>
      <c r="D132" s="225">
        <v>0</v>
      </c>
      <c r="E132" s="225">
        <v>0</v>
      </c>
    </row>
    <row r="133" spans="2:5" ht="12.75" customHeight="1" x14ac:dyDescent="0.2">
      <c r="B133" s="103">
        <v>125</v>
      </c>
      <c r="C133" s="194" t="s">
        <v>871</v>
      </c>
      <c r="D133" s="225">
        <v>0</v>
      </c>
      <c r="E133" s="225">
        <v>0</v>
      </c>
    </row>
    <row r="134" spans="2:5" ht="12.75" customHeight="1" x14ac:dyDescent="0.2">
      <c r="B134" s="103">
        <v>126</v>
      </c>
      <c r="C134" s="194" t="s">
        <v>872</v>
      </c>
      <c r="D134" s="225">
        <v>0</v>
      </c>
      <c r="E134" s="225">
        <v>0</v>
      </c>
    </row>
    <row r="135" spans="2:5" ht="12.75" customHeight="1" x14ac:dyDescent="0.2">
      <c r="B135" s="103">
        <v>127</v>
      </c>
      <c r="C135" s="194" t="s">
        <v>873</v>
      </c>
      <c r="D135" s="225">
        <v>0</v>
      </c>
      <c r="E135" s="225">
        <v>0</v>
      </c>
    </row>
    <row r="136" spans="2:5" ht="12.75" customHeight="1" x14ac:dyDescent="0.2">
      <c r="B136" s="103">
        <v>128</v>
      </c>
      <c r="C136" s="194" t="s">
        <v>874</v>
      </c>
      <c r="D136" s="225">
        <v>0</v>
      </c>
      <c r="E136" s="225">
        <v>0</v>
      </c>
    </row>
    <row r="137" spans="2:5" ht="12.75" customHeight="1" x14ac:dyDescent="0.2">
      <c r="B137" s="103">
        <v>129</v>
      </c>
      <c r="C137" s="194" t="s">
        <v>875</v>
      </c>
      <c r="D137" s="225">
        <v>0</v>
      </c>
      <c r="E137" s="225">
        <v>0</v>
      </c>
    </row>
    <row r="138" spans="2:5" ht="12.75" customHeight="1" x14ac:dyDescent="0.2">
      <c r="B138" s="103">
        <v>130</v>
      </c>
      <c r="C138" s="194" t="s">
        <v>876</v>
      </c>
      <c r="D138" s="225">
        <v>0</v>
      </c>
      <c r="E138" s="225">
        <v>0</v>
      </c>
    </row>
    <row r="139" spans="2:5" ht="12.75" customHeight="1" x14ac:dyDescent="0.2">
      <c r="B139" s="103">
        <v>131</v>
      </c>
      <c r="C139" s="194" t="s">
        <v>877</v>
      </c>
      <c r="D139" s="225">
        <v>0</v>
      </c>
      <c r="E139" s="225">
        <v>0</v>
      </c>
    </row>
    <row r="140" spans="2:5" ht="12.75" customHeight="1" x14ac:dyDescent="0.2">
      <c r="B140" s="103">
        <v>132</v>
      </c>
      <c r="C140" s="194" t="s">
        <v>878</v>
      </c>
      <c r="D140" s="225">
        <v>0</v>
      </c>
      <c r="E140" s="225">
        <v>0</v>
      </c>
    </row>
    <row r="141" spans="2:5" ht="12.75" customHeight="1" x14ac:dyDescent="0.2">
      <c r="B141" s="103">
        <v>133</v>
      </c>
      <c r="C141" s="194" t="s">
        <v>879</v>
      </c>
      <c r="D141" s="225">
        <v>0</v>
      </c>
      <c r="E141" s="225">
        <v>0</v>
      </c>
    </row>
    <row r="142" spans="2:5" ht="12.75" customHeight="1" x14ac:dyDescent="0.2">
      <c r="B142" s="103">
        <v>134</v>
      </c>
      <c r="C142" s="194" t="s">
        <v>880</v>
      </c>
      <c r="D142" s="225">
        <v>0</v>
      </c>
      <c r="E142" s="225">
        <v>0</v>
      </c>
    </row>
    <row r="143" spans="2:5" ht="12.75" customHeight="1" x14ac:dyDescent="0.2">
      <c r="B143" s="103">
        <v>135</v>
      </c>
      <c r="C143" s="194" t="s">
        <v>881</v>
      </c>
      <c r="D143" s="225">
        <v>0</v>
      </c>
      <c r="E143" s="225">
        <v>0</v>
      </c>
    </row>
    <row r="144" spans="2:5" ht="12.75" customHeight="1" x14ac:dyDescent="0.2">
      <c r="B144" s="103">
        <v>136</v>
      </c>
      <c r="C144" s="194" t="s">
        <v>882</v>
      </c>
      <c r="D144" s="225">
        <v>0</v>
      </c>
      <c r="E144" s="225">
        <v>0</v>
      </c>
    </row>
    <row r="145" spans="2:5" ht="12.75" customHeight="1" x14ac:dyDescent="0.2">
      <c r="B145" s="103">
        <v>137</v>
      </c>
      <c r="C145" s="194" t="s">
        <v>883</v>
      </c>
      <c r="D145" s="225">
        <v>0</v>
      </c>
      <c r="E145" s="225">
        <v>0</v>
      </c>
    </row>
    <row r="146" spans="2:5" ht="12.75" customHeight="1" x14ac:dyDescent="0.2">
      <c r="B146" s="103">
        <v>138</v>
      </c>
      <c r="C146" s="194" t="s">
        <v>884</v>
      </c>
      <c r="D146" s="225">
        <v>0</v>
      </c>
      <c r="E146" s="225">
        <v>0</v>
      </c>
    </row>
    <row r="147" spans="2:5" ht="12.75" customHeight="1" x14ac:dyDescent="0.2">
      <c r="B147" s="103">
        <v>139</v>
      </c>
      <c r="C147" s="194" t="s">
        <v>885</v>
      </c>
      <c r="D147" s="225">
        <v>0</v>
      </c>
      <c r="E147" s="225">
        <v>0</v>
      </c>
    </row>
    <row r="148" spans="2:5" ht="12.75" customHeight="1" x14ac:dyDescent="0.2">
      <c r="B148" s="103">
        <v>140</v>
      </c>
      <c r="C148" s="194" t="s">
        <v>886</v>
      </c>
      <c r="D148" s="225">
        <v>0</v>
      </c>
      <c r="E148" s="225">
        <v>0</v>
      </c>
    </row>
    <row r="149" spans="2:5" ht="12.75" customHeight="1" x14ac:dyDescent="0.2">
      <c r="B149" s="103">
        <v>141</v>
      </c>
      <c r="C149" s="194" t="s">
        <v>887</v>
      </c>
      <c r="D149" s="225">
        <v>0</v>
      </c>
      <c r="E149" s="225">
        <v>0</v>
      </c>
    </row>
    <row r="150" spans="2:5" ht="12.75" customHeight="1" x14ac:dyDescent="0.2">
      <c r="B150" s="103">
        <v>142</v>
      </c>
      <c r="C150" s="194" t="s">
        <v>888</v>
      </c>
      <c r="D150" s="225">
        <v>0</v>
      </c>
      <c r="E150" s="225">
        <v>0</v>
      </c>
    </row>
    <row r="151" spans="2:5" ht="12.75" customHeight="1" x14ac:dyDescent="0.2">
      <c r="B151" s="103">
        <v>143</v>
      </c>
      <c r="C151" s="194" t="s">
        <v>889</v>
      </c>
      <c r="D151" s="225">
        <v>0</v>
      </c>
      <c r="E151" s="225">
        <v>0</v>
      </c>
    </row>
    <row r="152" spans="2:5" ht="12.75" customHeight="1" x14ac:dyDescent="0.2">
      <c r="B152" s="103">
        <v>144</v>
      </c>
      <c r="C152" s="194" t="s">
        <v>890</v>
      </c>
      <c r="D152" s="225">
        <v>0</v>
      </c>
      <c r="E152" s="225">
        <v>0</v>
      </c>
    </row>
    <row r="153" spans="2:5" ht="12.75" customHeight="1" x14ac:dyDescent="0.2">
      <c r="B153" s="103">
        <v>145</v>
      </c>
      <c r="C153" s="194" t="s">
        <v>891</v>
      </c>
      <c r="D153" s="225">
        <v>0</v>
      </c>
      <c r="E153" s="225">
        <v>0</v>
      </c>
    </row>
    <row r="154" spans="2:5" ht="12.75" customHeight="1" x14ac:dyDescent="0.2">
      <c r="B154" s="103">
        <v>146</v>
      </c>
      <c r="C154" s="194" t="s">
        <v>892</v>
      </c>
      <c r="D154" s="225">
        <v>0</v>
      </c>
      <c r="E154" s="225">
        <v>0</v>
      </c>
    </row>
    <row r="155" spans="2:5" ht="12.75" customHeight="1" x14ac:dyDescent="0.2">
      <c r="B155" s="103">
        <v>147</v>
      </c>
      <c r="C155" s="194" t="s">
        <v>893</v>
      </c>
      <c r="D155" s="225">
        <v>0</v>
      </c>
      <c r="E155" s="225">
        <v>0</v>
      </c>
    </row>
    <row r="156" spans="2:5" ht="12.75" customHeight="1" x14ac:dyDescent="0.2">
      <c r="B156" s="103">
        <v>148</v>
      </c>
      <c r="C156" s="194" t="s">
        <v>894</v>
      </c>
      <c r="D156" s="225">
        <v>0</v>
      </c>
      <c r="E156" s="225">
        <v>0</v>
      </c>
    </row>
    <row r="157" spans="2:5" ht="12.75" customHeight="1" x14ac:dyDescent="0.2">
      <c r="B157" s="103">
        <v>149</v>
      </c>
      <c r="C157" s="194" t="s">
        <v>895</v>
      </c>
      <c r="D157" s="225">
        <v>0</v>
      </c>
      <c r="E157" s="225">
        <v>0</v>
      </c>
    </row>
    <row r="158" spans="2:5" ht="12.75" customHeight="1" x14ac:dyDescent="0.2">
      <c r="B158" s="103">
        <v>150</v>
      </c>
      <c r="C158" s="194" t="s">
        <v>896</v>
      </c>
      <c r="D158" s="225">
        <v>0</v>
      </c>
      <c r="E158" s="225">
        <v>0</v>
      </c>
    </row>
    <row r="159" spans="2:5" ht="12.75" customHeight="1" x14ac:dyDescent="0.2">
      <c r="B159" s="103">
        <v>151</v>
      </c>
      <c r="C159" s="194" t="s">
        <v>897</v>
      </c>
      <c r="D159" s="225">
        <v>0</v>
      </c>
      <c r="E159" s="225">
        <v>0</v>
      </c>
    </row>
    <row r="160" spans="2:5" ht="12.75" customHeight="1" x14ac:dyDescent="0.2">
      <c r="B160" s="103">
        <v>152</v>
      </c>
      <c r="C160" s="194" t="s">
        <v>898</v>
      </c>
      <c r="D160" s="225">
        <v>0</v>
      </c>
      <c r="E160" s="225">
        <v>0</v>
      </c>
    </row>
    <row r="161" spans="2:5" ht="12.75" customHeight="1" x14ac:dyDescent="0.2">
      <c r="B161" s="103">
        <v>153</v>
      </c>
      <c r="C161" s="194" t="s">
        <v>899</v>
      </c>
      <c r="D161" s="225">
        <v>0</v>
      </c>
      <c r="E161" s="225">
        <v>0</v>
      </c>
    </row>
    <row r="162" spans="2:5" ht="12.75" customHeight="1" x14ac:dyDescent="0.2">
      <c r="B162" s="103">
        <v>154</v>
      </c>
      <c r="C162" s="194" t="s">
        <v>900</v>
      </c>
      <c r="D162" s="225">
        <v>0</v>
      </c>
      <c r="E162" s="225">
        <v>0</v>
      </c>
    </row>
    <row r="163" spans="2:5" ht="12.75" customHeight="1" x14ac:dyDescent="0.2">
      <c r="B163" s="103">
        <v>155</v>
      </c>
      <c r="C163" s="194" t="s">
        <v>901</v>
      </c>
      <c r="D163" s="225">
        <v>0</v>
      </c>
      <c r="E163" s="225">
        <v>0</v>
      </c>
    </row>
    <row r="164" spans="2:5" ht="12.75" customHeight="1" x14ac:dyDescent="0.2">
      <c r="B164" s="103">
        <v>156</v>
      </c>
      <c r="C164" s="194" t="s">
        <v>902</v>
      </c>
      <c r="D164" s="225">
        <v>0</v>
      </c>
      <c r="E164" s="225">
        <v>0</v>
      </c>
    </row>
    <row r="165" spans="2:5" ht="12.75" customHeight="1" x14ac:dyDescent="0.2">
      <c r="B165" s="103">
        <v>157</v>
      </c>
      <c r="C165" s="194" t="s">
        <v>903</v>
      </c>
      <c r="D165" s="225">
        <v>0</v>
      </c>
      <c r="E165" s="225">
        <v>0</v>
      </c>
    </row>
    <row r="166" spans="2:5" ht="12.75" customHeight="1" x14ac:dyDescent="0.2">
      <c r="B166" s="103">
        <v>158</v>
      </c>
      <c r="C166" s="194" t="s">
        <v>904</v>
      </c>
      <c r="D166" s="225">
        <v>0</v>
      </c>
      <c r="E166" s="225">
        <v>0</v>
      </c>
    </row>
    <row r="167" spans="2:5" ht="12.75" customHeight="1" x14ac:dyDescent="0.2">
      <c r="B167" s="103">
        <v>159</v>
      </c>
      <c r="C167" s="194" t="s">
        <v>905</v>
      </c>
      <c r="D167" s="225">
        <v>0</v>
      </c>
      <c r="E167" s="225">
        <v>0</v>
      </c>
    </row>
    <row r="168" spans="2:5" ht="12.75" customHeight="1" x14ac:dyDescent="0.2">
      <c r="B168" s="103">
        <v>160</v>
      </c>
      <c r="C168" s="194" t="s">
        <v>906</v>
      </c>
      <c r="D168" s="225">
        <v>0</v>
      </c>
      <c r="E168" s="225">
        <v>0</v>
      </c>
    </row>
    <row r="169" spans="2:5" ht="12.75" customHeight="1" x14ac:dyDescent="0.2">
      <c r="B169" s="103">
        <v>161</v>
      </c>
      <c r="C169" s="194" t="s">
        <v>907</v>
      </c>
      <c r="D169" s="225">
        <v>0</v>
      </c>
      <c r="E169" s="225">
        <v>0</v>
      </c>
    </row>
    <row r="170" spans="2:5" ht="12.75" customHeight="1" x14ac:dyDescent="0.2">
      <c r="B170" s="103">
        <v>162</v>
      </c>
      <c r="C170" s="194" t="s">
        <v>908</v>
      </c>
      <c r="D170" s="225">
        <v>0</v>
      </c>
      <c r="E170" s="225">
        <v>0</v>
      </c>
    </row>
    <row r="171" spans="2:5" ht="12.75" customHeight="1" x14ac:dyDescent="0.2">
      <c r="B171" s="103">
        <v>163</v>
      </c>
      <c r="C171" s="194" t="s">
        <v>909</v>
      </c>
      <c r="D171" s="225">
        <v>0</v>
      </c>
      <c r="E171" s="225">
        <v>0</v>
      </c>
    </row>
    <row r="172" spans="2:5" ht="12.75" customHeight="1" x14ac:dyDescent="0.2">
      <c r="B172" s="103">
        <v>164</v>
      </c>
      <c r="C172" s="194" t="s">
        <v>910</v>
      </c>
      <c r="D172" s="225">
        <v>0</v>
      </c>
      <c r="E172" s="225">
        <v>0</v>
      </c>
    </row>
    <row r="173" spans="2:5" ht="12.75" customHeight="1" x14ac:dyDescent="0.2">
      <c r="B173" s="103">
        <v>165</v>
      </c>
      <c r="C173" s="194" t="s">
        <v>911</v>
      </c>
      <c r="D173" s="225">
        <v>0</v>
      </c>
      <c r="E173" s="225">
        <v>0</v>
      </c>
    </row>
    <row r="174" spans="2:5" ht="12.75" customHeight="1" x14ac:dyDescent="0.2">
      <c r="B174" s="103">
        <v>166</v>
      </c>
      <c r="C174" s="194" t="s">
        <v>912</v>
      </c>
      <c r="D174" s="225">
        <v>0</v>
      </c>
      <c r="E174" s="225">
        <v>0</v>
      </c>
    </row>
    <row r="175" spans="2:5" ht="12.75" customHeight="1" x14ac:dyDescent="0.2">
      <c r="B175" s="103">
        <v>167</v>
      </c>
      <c r="C175" s="194" t="s">
        <v>913</v>
      </c>
      <c r="D175" s="225">
        <v>0</v>
      </c>
      <c r="E175" s="225">
        <v>0</v>
      </c>
    </row>
    <row r="176" spans="2:5" ht="12.75" customHeight="1" x14ac:dyDescent="0.2">
      <c r="B176" s="103">
        <v>168</v>
      </c>
      <c r="C176" s="194" t="s">
        <v>914</v>
      </c>
      <c r="D176" s="225">
        <v>0</v>
      </c>
      <c r="E176" s="225">
        <v>0</v>
      </c>
    </row>
    <row r="177" spans="2:5" ht="12.75" customHeight="1" x14ac:dyDescent="0.2">
      <c r="B177" s="103">
        <v>169</v>
      </c>
      <c r="C177" s="194" t="s">
        <v>915</v>
      </c>
      <c r="D177" s="225">
        <v>0</v>
      </c>
      <c r="E177" s="225">
        <v>0</v>
      </c>
    </row>
    <row r="178" spans="2:5" ht="12.75" customHeight="1" x14ac:dyDescent="0.2">
      <c r="B178" s="103">
        <v>170</v>
      </c>
      <c r="C178" s="194" t="s">
        <v>916</v>
      </c>
      <c r="D178" s="225">
        <v>0</v>
      </c>
      <c r="E178" s="225">
        <v>0</v>
      </c>
    </row>
    <row r="179" spans="2:5" ht="12.75" customHeight="1" x14ac:dyDescent="0.2">
      <c r="B179" s="103">
        <v>171</v>
      </c>
      <c r="C179" s="194" t="s">
        <v>917</v>
      </c>
      <c r="D179" s="225">
        <v>0</v>
      </c>
      <c r="E179" s="225">
        <v>0</v>
      </c>
    </row>
    <row r="180" spans="2:5" ht="12.75" customHeight="1" x14ac:dyDescent="0.2">
      <c r="B180" s="103">
        <v>172</v>
      </c>
      <c r="C180" s="194" t="s">
        <v>918</v>
      </c>
      <c r="D180" s="225">
        <v>0</v>
      </c>
      <c r="E180" s="225">
        <v>0</v>
      </c>
    </row>
    <row r="181" spans="2:5" ht="12.75" customHeight="1" x14ac:dyDescent="0.2">
      <c r="B181" s="103">
        <v>173</v>
      </c>
      <c r="C181" s="194" t="s">
        <v>919</v>
      </c>
      <c r="D181" s="225">
        <v>0</v>
      </c>
      <c r="E181" s="225">
        <v>0</v>
      </c>
    </row>
    <row r="182" spans="2:5" ht="12.75" customHeight="1" x14ac:dyDescent="0.2">
      <c r="B182" s="103">
        <v>174</v>
      </c>
      <c r="C182" s="194" t="s">
        <v>920</v>
      </c>
      <c r="D182" s="225">
        <v>0</v>
      </c>
      <c r="E182" s="225">
        <v>0</v>
      </c>
    </row>
    <row r="183" spans="2:5" ht="12.75" customHeight="1" x14ac:dyDescent="0.2">
      <c r="B183" s="103">
        <v>8</v>
      </c>
      <c r="C183" s="194" t="s">
        <v>921</v>
      </c>
      <c r="D183" s="225">
        <v>0</v>
      </c>
      <c r="E183" s="225">
        <v>0</v>
      </c>
    </row>
    <row r="184" spans="2:5" ht="12.75" customHeight="1" x14ac:dyDescent="0.2">
      <c r="B184" s="103">
        <v>176</v>
      </c>
      <c r="C184" s="194" t="s">
        <v>922</v>
      </c>
      <c r="D184" s="225">
        <v>0</v>
      </c>
      <c r="E184" s="225">
        <v>0</v>
      </c>
    </row>
    <row r="185" spans="2:5" ht="12.75" customHeight="1" x14ac:dyDescent="0.2">
      <c r="B185" s="103">
        <v>177</v>
      </c>
      <c r="C185" s="194" t="s">
        <v>923</v>
      </c>
      <c r="D185" s="225">
        <v>0</v>
      </c>
      <c r="E185" s="225">
        <v>0</v>
      </c>
    </row>
    <row r="186" spans="2:5" ht="12.75" customHeight="1" x14ac:dyDescent="0.2">
      <c r="B186" s="103">
        <v>9</v>
      </c>
      <c r="C186" s="194" t="s">
        <v>924</v>
      </c>
      <c r="D186" s="225">
        <v>0</v>
      </c>
      <c r="E186" s="225">
        <v>0</v>
      </c>
    </row>
    <row r="187" spans="2:5" ht="12.75" customHeight="1" x14ac:dyDescent="0.2">
      <c r="B187" s="103">
        <v>179</v>
      </c>
      <c r="C187" s="194" t="s">
        <v>925</v>
      </c>
      <c r="D187" s="225">
        <v>0</v>
      </c>
      <c r="E187" s="225">
        <v>0</v>
      </c>
    </row>
    <row r="188" spans="2:5" ht="12.75" customHeight="1" x14ac:dyDescent="0.2">
      <c r="B188" s="103">
        <v>180</v>
      </c>
      <c r="C188" s="194" t="s">
        <v>926</v>
      </c>
      <c r="D188" s="225">
        <v>0</v>
      </c>
      <c r="E188" s="225">
        <v>0</v>
      </c>
    </row>
    <row r="189" spans="2:5" ht="12.75" customHeight="1" x14ac:dyDescent="0.2">
      <c r="B189" s="103">
        <v>181</v>
      </c>
      <c r="C189" s="194" t="s">
        <v>927</v>
      </c>
      <c r="D189" s="225">
        <v>0</v>
      </c>
      <c r="E189" s="225">
        <v>0</v>
      </c>
    </row>
    <row r="190" spans="2:5" ht="12.75" customHeight="1" x14ac:dyDescent="0.2">
      <c r="B190" s="103">
        <v>182</v>
      </c>
      <c r="C190" s="194" t="s">
        <v>928</v>
      </c>
      <c r="D190" s="225">
        <v>0</v>
      </c>
      <c r="E190" s="225">
        <v>0</v>
      </c>
    </row>
    <row r="191" spans="2:5" ht="12.75" customHeight="1" x14ac:dyDescent="0.2">
      <c r="B191" s="103">
        <v>183</v>
      </c>
      <c r="C191" s="194" t="s">
        <v>929</v>
      </c>
      <c r="D191" s="225">
        <v>0</v>
      </c>
      <c r="E191" s="225">
        <v>0</v>
      </c>
    </row>
    <row r="192" spans="2:5" ht="12.75" customHeight="1" x14ac:dyDescent="0.2">
      <c r="B192" s="103">
        <v>184</v>
      </c>
      <c r="C192" s="194" t="s">
        <v>930</v>
      </c>
      <c r="D192" s="225">
        <v>0</v>
      </c>
      <c r="E192" s="225">
        <v>0</v>
      </c>
    </row>
    <row r="193" spans="2:5" ht="12.75" customHeight="1" x14ac:dyDescent="0.2">
      <c r="B193" s="103">
        <v>10</v>
      </c>
      <c r="C193" s="194" t="s">
        <v>931</v>
      </c>
      <c r="D193" s="225">
        <v>0</v>
      </c>
      <c r="E193" s="225">
        <v>0</v>
      </c>
    </row>
    <row r="194" spans="2:5" ht="12.75" customHeight="1" x14ac:dyDescent="0.2">
      <c r="B194" s="103">
        <v>186</v>
      </c>
      <c r="C194" s="194" t="s">
        <v>932</v>
      </c>
      <c r="D194" s="225">
        <v>0</v>
      </c>
      <c r="E194" s="225">
        <v>0</v>
      </c>
    </row>
    <row r="195" spans="2:5" ht="12.75" customHeight="1" x14ac:dyDescent="0.2">
      <c r="B195" s="103">
        <v>187</v>
      </c>
      <c r="C195" s="194" t="s">
        <v>933</v>
      </c>
      <c r="D195" s="225">
        <v>0</v>
      </c>
      <c r="E195" s="225">
        <v>0</v>
      </c>
    </row>
    <row r="196" spans="2:5" ht="12.75" customHeight="1" x14ac:dyDescent="0.2">
      <c r="B196" s="103">
        <v>188</v>
      </c>
      <c r="C196" s="194" t="s">
        <v>934</v>
      </c>
      <c r="D196" s="225">
        <v>0</v>
      </c>
      <c r="E196" s="225">
        <v>0</v>
      </c>
    </row>
    <row r="197" spans="2:5" ht="12.75" customHeight="1" x14ac:dyDescent="0.2">
      <c r="B197" s="103">
        <v>189</v>
      </c>
      <c r="C197" s="194" t="s">
        <v>935</v>
      </c>
      <c r="D197" s="225">
        <v>0</v>
      </c>
      <c r="E197" s="225">
        <v>0</v>
      </c>
    </row>
    <row r="198" spans="2:5" ht="12.75" customHeight="1" x14ac:dyDescent="0.2">
      <c r="B198" s="103">
        <v>190</v>
      </c>
      <c r="C198" s="194" t="s">
        <v>936</v>
      </c>
      <c r="D198" s="225">
        <v>0</v>
      </c>
      <c r="E198" s="225">
        <v>0</v>
      </c>
    </row>
    <row r="199" spans="2:5" ht="12.75" customHeight="1" x14ac:dyDescent="0.2">
      <c r="B199" s="103">
        <v>191</v>
      </c>
      <c r="C199" s="194" t="s">
        <v>937</v>
      </c>
      <c r="D199" s="225">
        <v>0</v>
      </c>
      <c r="E199" s="225">
        <v>0</v>
      </c>
    </row>
    <row r="200" spans="2:5" ht="12.75" customHeight="1" x14ac:dyDescent="0.2">
      <c r="B200" s="103">
        <v>192</v>
      </c>
      <c r="C200" s="194" t="s">
        <v>938</v>
      </c>
      <c r="D200" s="225">
        <v>0</v>
      </c>
      <c r="E200" s="225">
        <v>0</v>
      </c>
    </row>
    <row r="201" spans="2:5" ht="12.75" customHeight="1" x14ac:dyDescent="0.2">
      <c r="B201" s="103">
        <v>193</v>
      </c>
      <c r="C201" s="194" t="s">
        <v>939</v>
      </c>
      <c r="D201" s="225">
        <v>0</v>
      </c>
      <c r="E201" s="225">
        <v>0</v>
      </c>
    </row>
    <row r="202" spans="2:5" ht="12.75" customHeight="1" x14ac:dyDescent="0.2">
      <c r="B202" s="103">
        <v>194</v>
      </c>
      <c r="C202" s="194" t="s">
        <v>940</v>
      </c>
      <c r="D202" s="225">
        <v>0</v>
      </c>
      <c r="E202" s="225">
        <v>0</v>
      </c>
    </row>
    <row r="203" spans="2:5" ht="12.75" customHeight="1" x14ac:dyDescent="0.2">
      <c r="B203" s="103">
        <v>195</v>
      </c>
      <c r="C203" s="194" t="s">
        <v>941</v>
      </c>
      <c r="D203" s="225">
        <v>0</v>
      </c>
      <c r="E203" s="225">
        <v>0</v>
      </c>
    </row>
    <row r="204" spans="2:5" ht="12.75" customHeight="1" x14ac:dyDescent="0.2">
      <c r="B204" s="103">
        <v>196</v>
      </c>
      <c r="C204" s="194" t="s">
        <v>942</v>
      </c>
      <c r="D204" s="225">
        <v>0</v>
      </c>
      <c r="E204" s="225">
        <v>0</v>
      </c>
    </row>
    <row r="205" spans="2:5" ht="12.75" customHeight="1" x14ac:dyDescent="0.2">
      <c r="B205" s="103">
        <v>197</v>
      </c>
      <c r="C205" s="194" t="s">
        <v>943</v>
      </c>
      <c r="D205" s="225">
        <v>0</v>
      </c>
      <c r="E205" s="225">
        <v>0</v>
      </c>
    </row>
    <row r="206" spans="2:5" ht="12.75" customHeight="1" x14ac:dyDescent="0.2">
      <c r="B206" s="103">
        <v>198</v>
      </c>
      <c r="C206" s="194" t="s">
        <v>944</v>
      </c>
      <c r="D206" s="225">
        <v>0</v>
      </c>
      <c r="E206" s="225">
        <v>0</v>
      </c>
    </row>
    <row r="207" spans="2:5" ht="12.75" customHeight="1" x14ac:dyDescent="0.2">
      <c r="B207" s="103">
        <v>199</v>
      </c>
      <c r="C207" s="194" t="s">
        <v>945</v>
      </c>
      <c r="D207" s="225">
        <v>0</v>
      </c>
      <c r="E207" s="225">
        <v>0</v>
      </c>
    </row>
    <row r="208" spans="2:5" ht="12.75" customHeight="1" x14ac:dyDescent="0.2">
      <c r="B208" s="103">
        <v>200</v>
      </c>
      <c r="C208" s="194" t="s">
        <v>946</v>
      </c>
      <c r="D208" s="225">
        <v>0</v>
      </c>
      <c r="E208" s="225">
        <v>0</v>
      </c>
    </row>
    <row r="209" spans="2:5" ht="12.75" customHeight="1" x14ac:dyDescent="0.2">
      <c r="B209" s="103">
        <v>201</v>
      </c>
      <c r="C209" s="194" t="s">
        <v>947</v>
      </c>
      <c r="D209" s="225">
        <v>0</v>
      </c>
      <c r="E209" s="225">
        <v>0</v>
      </c>
    </row>
    <row r="210" spans="2:5" ht="12.75" customHeight="1" x14ac:dyDescent="0.2">
      <c r="B210" s="103">
        <v>202</v>
      </c>
      <c r="C210" s="194" t="s">
        <v>948</v>
      </c>
      <c r="D210" s="225">
        <v>0</v>
      </c>
      <c r="E210" s="225">
        <v>0</v>
      </c>
    </row>
    <row r="211" spans="2:5" ht="12.75" customHeight="1" x14ac:dyDescent="0.2">
      <c r="B211" s="103">
        <v>203</v>
      </c>
      <c r="C211" s="194" t="s">
        <v>949</v>
      </c>
      <c r="D211" s="225">
        <v>0</v>
      </c>
      <c r="E211" s="225">
        <v>0</v>
      </c>
    </row>
    <row r="212" spans="2:5" ht="12.75" customHeight="1" x14ac:dyDescent="0.2">
      <c r="B212" s="103">
        <v>204</v>
      </c>
      <c r="C212" s="194" t="s">
        <v>950</v>
      </c>
      <c r="D212" s="225">
        <v>0</v>
      </c>
      <c r="E212" s="225">
        <v>0</v>
      </c>
    </row>
    <row r="213" spans="2:5" ht="12.75" customHeight="1" x14ac:dyDescent="0.2">
      <c r="B213" s="103">
        <v>205</v>
      </c>
      <c r="C213" s="194" t="s">
        <v>951</v>
      </c>
      <c r="D213" s="225">
        <v>0</v>
      </c>
      <c r="E213" s="225">
        <v>0</v>
      </c>
    </row>
    <row r="214" spans="2:5" ht="12.75" customHeight="1" x14ac:dyDescent="0.2">
      <c r="B214" s="103">
        <v>206</v>
      </c>
      <c r="C214" s="194" t="s">
        <v>952</v>
      </c>
      <c r="D214" s="225">
        <v>0</v>
      </c>
      <c r="E214" s="225">
        <v>0</v>
      </c>
    </row>
    <row r="215" spans="2:5" ht="12.75" customHeight="1" x14ac:dyDescent="0.2">
      <c r="B215" s="103">
        <v>207</v>
      </c>
      <c r="C215" s="194" t="s">
        <v>953</v>
      </c>
      <c r="D215" s="225">
        <v>0</v>
      </c>
      <c r="E215" s="225">
        <v>0</v>
      </c>
    </row>
    <row r="216" spans="2:5" ht="12.75" customHeight="1" x14ac:dyDescent="0.2">
      <c r="B216" s="103">
        <v>208</v>
      </c>
      <c r="C216" s="194" t="s">
        <v>954</v>
      </c>
      <c r="D216" s="225">
        <v>0</v>
      </c>
      <c r="E216" s="225">
        <v>0</v>
      </c>
    </row>
    <row r="217" spans="2:5" ht="12.75" customHeight="1" x14ac:dyDescent="0.2">
      <c r="B217" s="103">
        <v>209</v>
      </c>
      <c r="C217" s="194" t="s">
        <v>955</v>
      </c>
      <c r="D217" s="225">
        <v>0</v>
      </c>
      <c r="E217" s="225">
        <v>0</v>
      </c>
    </row>
    <row r="218" spans="2:5" ht="12.75" customHeight="1" x14ac:dyDescent="0.2">
      <c r="B218" s="103">
        <v>210</v>
      </c>
      <c r="C218" s="194" t="s">
        <v>956</v>
      </c>
      <c r="D218" s="225">
        <v>0</v>
      </c>
      <c r="E218" s="225">
        <v>0</v>
      </c>
    </row>
    <row r="219" spans="2:5" ht="12.75" customHeight="1" x14ac:dyDescent="0.2">
      <c r="B219" s="103">
        <v>211</v>
      </c>
      <c r="C219" s="194" t="s">
        <v>957</v>
      </c>
      <c r="D219" s="225">
        <v>0</v>
      </c>
      <c r="E219" s="225">
        <v>0</v>
      </c>
    </row>
    <row r="220" spans="2:5" ht="12.75" customHeight="1" x14ac:dyDescent="0.2">
      <c r="B220" s="103">
        <v>212</v>
      </c>
      <c r="C220" s="194" t="s">
        <v>958</v>
      </c>
      <c r="D220" s="225">
        <v>0</v>
      </c>
      <c r="E220" s="225">
        <v>0</v>
      </c>
    </row>
    <row r="221" spans="2:5" ht="12.75" customHeight="1" x14ac:dyDescent="0.2">
      <c r="B221" s="103">
        <v>213</v>
      </c>
      <c r="C221" s="194" t="s">
        <v>959</v>
      </c>
      <c r="D221" s="225">
        <v>0</v>
      </c>
      <c r="E221" s="225">
        <v>0</v>
      </c>
    </row>
    <row r="222" spans="2:5" ht="12.75" customHeight="1" x14ac:dyDescent="0.2">
      <c r="B222" s="103">
        <v>214</v>
      </c>
      <c r="C222" s="194" t="s">
        <v>960</v>
      </c>
      <c r="D222" s="225">
        <v>0</v>
      </c>
      <c r="E222" s="225">
        <v>0</v>
      </c>
    </row>
    <row r="223" spans="2:5" ht="12.75" customHeight="1" x14ac:dyDescent="0.2">
      <c r="B223" s="103">
        <v>215</v>
      </c>
      <c r="C223" s="194" t="s">
        <v>961</v>
      </c>
      <c r="D223" s="225">
        <v>0</v>
      </c>
      <c r="E223" s="225">
        <v>0</v>
      </c>
    </row>
    <row r="224" spans="2:5" ht="12.75" customHeight="1" x14ac:dyDescent="0.2">
      <c r="B224" s="103">
        <v>216</v>
      </c>
      <c r="C224" s="194" t="s">
        <v>962</v>
      </c>
      <c r="D224" s="225">
        <v>0</v>
      </c>
      <c r="E224" s="225">
        <v>0</v>
      </c>
    </row>
    <row r="225" spans="2:5" ht="12.75" customHeight="1" x14ac:dyDescent="0.2">
      <c r="B225" s="103">
        <v>217</v>
      </c>
      <c r="C225" s="194" t="s">
        <v>963</v>
      </c>
      <c r="D225" s="225">
        <v>0</v>
      </c>
      <c r="E225" s="225">
        <v>0</v>
      </c>
    </row>
    <row r="226" spans="2:5" ht="12.75" customHeight="1" x14ac:dyDescent="0.2">
      <c r="B226" s="103">
        <v>218</v>
      </c>
      <c r="C226" s="194" t="s">
        <v>964</v>
      </c>
      <c r="D226" s="225">
        <v>0</v>
      </c>
      <c r="E226" s="225">
        <v>0</v>
      </c>
    </row>
    <row r="227" spans="2:5" ht="12.75" customHeight="1" x14ac:dyDescent="0.2">
      <c r="B227" s="103">
        <v>219</v>
      </c>
      <c r="C227" s="194" t="s">
        <v>965</v>
      </c>
      <c r="D227" s="225">
        <v>0</v>
      </c>
      <c r="E227" s="225">
        <v>0</v>
      </c>
    </row>
    <row r="228" spans="2:5" ht="12.75" customHeight="1" x14ac:dyDescent="0.2">
      <c r="B228" s="103">
        <v>220</v>
      </c>
      <c r="C228" s="194" t="s">
        <v>966</v>
      </c>
      <c r="D228" s="225">
        <v>0</v>
      </c>
      <c r="E228" s="225">
        <v>0</v>
      </c>
    </row>
    <row r="229" spans="2:5" ht="12.75" customHeight="1" x14ac:dyDescent="0.2">
      <c r="B229" s="103">
        <v>221</v>
      </c>
      <c r="C229" s="194" t="s">
        <v>967</v>
      </c>
      <c r="D229" s="225">
        <v>0</v>
      </c>
      <c r="E229" s="225">
        <v>0</v>
      </c>
    </row>
    <row r="230" spans="2:5" ht="12.75" customHeight="1" x14ac:dyDescent="0.2">
      <c r="B230" s="103">
        <v>11</v>
      </c>
      <c r="C230" s="194" t="s">
        <v>968</v>
      </c>
      <c r="D230" s="225">
        <v>0</v>
      </c>
      <c r="E230" s="225">
        <v>0</v>
      </c>
    </row>
    <row r="231" spans="2:5" ht="12.75" customHeight="1" x14ac:dyDescent="0.2">
      <c r="B231" s="103">
        <v>223</v>
      </c>
      <c r="C231" s="194" t="s">
        <v>969</v>
      </c>
      <c r="D231" s="225">
        <v>0</v>
      </c>
      <c r="E231" s="225">
        <v>0</v>
      </c>
    </row>
    <row r="232" spans="2:5" ht="12.75" customHeight="1" x14ac:dyDescent="0.2">
      <c r="B232" s="103">
        <v>224</v>
      </c>
      <c r="C232" s="194" t="s">
        <v>970</v>
      </c>
      <c r="D232" s="225">
        <v>0</v>
      </c>
      <c r="E232" s="225">
        <v>0</v>
      </c>
    </row>
    <row r="233" spans="2:5" ht="12.75" customHeight="1" x14ac:dyDescent="0.2">
      <c r="B233" s="103">
        <v>225</v>
      </c>
      <c r="C233" s="194" t="s">
        <v>971</v>
      </c>
      <c r="D233" s="225">
        <v>0</v>
      </c>
      <c r="E233" s="225">
        <v>0</v>
      </c>
    </row>
    <row r="234" spans="2:5" ht="12.75" customHeight="1" x14ac:dyDescent="0.2">
      <c r="B234" s="103">
        <v>226</v>
      </c>
      <c r="C234" s="194" t="s">
        <v>972</v>
      </c>
      <c r="D234" s="225">
        <v>0</v>
      </c>
      <c r="E234" s="225">
        <v>0</v>
      </c>
    </row>
    <row r="235" spans="2:5" ht="12.75" customHeight="1" x14ac:dyDescent="0.2">
      <c r="B235" s="103">
        <v>227</v>
      </c>
      <c r="C235" s="194" t="s">
        <v>973</v>
      </c>
      <c r="D235" s="225">
        <v>0</v>
      </c>
      <c r="E235" s="225">
        <v>0</v>
      </c>
    </row>
    <row r="236" spans="2:5" ht="12.75" customHeight="1" x14ac:dyDescent="0.2">
      <c r="B236" s="103">
        <v>228</v>
      </c>
      <c r="C236" s="194" t="s">
        <v>974</v>
      </c>
      <c r="D236" s="225">
        <v>0</v>
      </c>
      <c r="E236" s="225">
        <v>0</v>
      </c>
    </row>
    <row r="237" spans="2:5" ht="12.75" customHeight="1" x14ac:dyDescent="0.2">
      <c r="B237" s="103">
        <v>229</v>
      </c>
      <c r="C237" s="194" t="s">
        <v>975</v>
      </c>
      <c r="D237" s="225">
        <v>0</v>
      </c>
      <c r="E237" s="225">
        <v>0</v>
      </c>
    </row>
    <row r="238" spans="2:5" ht="12.75" customHeight="1" x14ac:dyDescent="0.2">
      <c r="B238" s="103">
        <v>230</v>
      </c>
      <c r="C238" s="194" t="s">
        <v>976</v>
      </c>
      <c r="D238" s="225">
        <v>0</v>
      </c>
      <c r="E238" s="225">
        <v>0</v>
      </c>
    </row>
    <row r="239" spans="2:5" ht="12.75" customHeight="1" x14ac:dyDescent="0.2">
      <c r="B239" s="103">
        <v>231</v>
      </c>
      <c r="C239" s="194" t="s">
        <v>977</v>
      </c>
      <c r="D239" s="225">
        <v>0</v>
      </c>
      <c r="E239" s="225">
        <v>0</v>
      </c>
    </row>
    <row r="240" spans="2:5" ht="12.75" customHeight="1" x14ac:dyDescent="0.2">
      <c r="B240" s="103">
        <v>232</v>
      </c>
      <c r="C240" s="194" t="s">
        <v>978</v>
      </c>
      <c r="D240" s="225">
        <v>0</v>
      </c>
      <c r="E240" s="225">
        <v>0</v>
      </c>
    </row>
    <row r="241" spans="2:5" ht="12.75" customHeight="1" x14ac:dyDescent="0.2">
      <c r="B241" s="103">
        <v>233</v>
      </c>
      <c r="C241" s="194" t="s">
        <v>979</v>
      </c>
      <c r="D241" s="225">
        <v>0</v>
      </c>
      <c r="E241" s="225">
        <v>0</v>
      </c>
    </row>
    <row r="242" spans="2:5" ht="12.75" customHeight="1" x14ac:dyDescent="0.2">
      <c r="B242" s="103">
        <v>234</v>
      </c>
      <c r="C242" s="194" t="s">
        <v>980</v>
      </c>
      <c r="D242" s="225">
        <v>0</v>
      </c>
      <c r="E242" s="225">
        <v>0</v>
      </c>
    </row>
    <row r="243" spans="2:5" ht="12.75" customHeight="1" x14ac:dyDescent="0.2">
      <c r="B243" s="103">
        <v>235</v>
      </c>
      <c r="C243" s="194" t="s">
        <v>981</v>
      </c>
      <c r="D243" s="225">
        <v>0</v>
      </c>
      <c r="E243" s="225">
        <v>0</v>
      </c>
    </row>
    <row r="244" spans="2:5" ht="12.75" customHeight="1" x14ac:dyDescent="0.2">
      <c r="B244" s="103">
        <v>236</v>
      </c>
      <c r="C244" s="194" t="s">
        <v>982</v>
      </c>
      <c r="D244" s="225">
        <v>0</v>
      </c>
      <c r="E244" s="225">
        <v>0</v>
      </c>
    </row>
    <row r="245" spans="2:5" ht="12.75" customHeight="1" x14ac:dyDescent="0.2">
      <c r="B245" s="103">
        <v>237</v>
      </c>
      <c r="C245" s="194" t="s">
        <v>983</v>
      </c>
      <c r="D245" s="225">
        <v>0</v>
      </c>
      <c r="E245" s="225">
        <v>0</v>
      </c>
    </row>
    <row r="246" spans="2:5" ht="12.75" customHeight="1" x14ac:dyDescent="0.2">
      <c r="B246" s="103">
        <v>238</v>
      </c>
      <c r="C246" s="194" t="s">
        <v>984</v>
      </c>
      <c r="D246" s="225">
        <v>0</v>
      </c>
      <c r="E246" s="225">
        <v>0</v>
      </c>
    </row>
    <row r="247" spans="2:5" ht="12.75" customHeight="1" x14ac:dyDescent="0.2">
      <c r="B247" s="103">
        <v>239</v>
      </c>
      <c r="C247" s="194" t="s">
        <v>985</v>
      </c>
      <c r="D247" s="225">
        <v>0</v>
      </c>
      <c r="E247" s="225">
        <v>0</v>
      </c>
    </row>
    <row r="248" spans="2:5" ht="12.75" customHeight="1" x14ac:dyDescent="0.2">
      <c r="B248" s="103">
        <v>240</v>
      </c>
      <c r="C248" s="194" t="s">
        <v>986</v>
      </c>
      <c r="D248" s="225">
        <v>0</v>
      </c>
      <c r="E248" s="225">
        <v>0</v>
      </c>
    </row>
    <row r="249" spans="2:5" ht="12.75" customHeight="1" x14ac:dyDescent="0.2">
      <c r="B249" s="103">
        <v>241</v>
      </c>
      <c r="C249" s="194" t="s">
        <v>987</v>
      </c>
      <c r="D249" s="225">
        <v>0</v>
      </c>
      <c r="E249" s="225">
        <v>0</v>
      </c>
    </row>
    <row r="250" spans="2:5" ht="12.75" customHeight="1" x14ac:dyDescent="0.2">
      <c r="B250" s="103">
        <v>242</v>
      </c>
      <c r="C250" s="194" t="s">
        <v>988</v>
      </c>
      <c r="D250" s="225">
        <v>0</v>
      </c>
      <c r="E250" s="225">
        <v>0</v>
      </c>
    </row>
    <row r="251" spans="2:5" ht="12.75" customHeight="1" x14ac:dyDescent="0.2">
      <c r="B251" s="103">
        <v>243</v>
      </c>
      <c r="C251" s="194" t="s">
        <v>989</v>
      </c>
      <c r="D251" s="225">
        <v>0</v>
      </c>
      <c r="E251" s="225">
        <v>0</v>
      </c>
    </row>
    <row r="252" spans="2:5" ht="12.75" customHeight="1" x14ac:dyDescent="0.2">
      <c r="B252" s="103">
        <v>244</v>
      </c>
      <c r="C252" s="194" t="s">
        <v>990</v>
      </c>
      <c r="D252" s="225">
        <v>0</v>
      </c>
      <c r="E252" s="225">
        <v>0</v>
      </c>
    </row>
    <row r="253" spans="2:5" ht="12.75" customHeight="1" x14ac:dyDescent="0.2">
      <c r="B253" s="103">
        <v>245</v>
      </c>
      <c r="C253" s="194" t="s">
        <v>991</v>
      </c>
      <c r="D253" s="225">
        <v>0</v>
      </c>
      <c r="E253" s="225">
        <v>0</v>
      </c>
    </row>
    <row r="254" spans="2:5" ht="12.75" customHeight="1" x14ac:dyDescent="0.2">
      <c r="B254" s="103">
        <v>246</v>
      </c>
      <c r="C254" s="194" t="s">
        <v>992</v>
      </c>
      <c r="D254" s="225">
        <v>0</v>
      </c>
      <c r="E254" s="225">
        <v>0</v>
      </c>
    </row>
    <row r="255" spans="2:5" ht="12.75" customHeight="1" x14ac:dyDescent="0.2">
      <c r="B255" s="103">
        <v>247</v>
      </c>
      <c r="C255" s="194" t="s">
        <v>993</v>
      </c>
      <c r="D255" s="225">
        <v>0</v>
      </c>
      <c r="E255" s="225">
        <v>0</v>
      </c>
    </row>
    <row r="256" spans="2:5" ht="12.75" customHeight="1" x14ac:dyDescent="0.2">
      <c r="B256" s="103">
        <v>248</v>
      </c>
      <c r="C256" s="194" t="s">
        <v>994</v>
      </c>
      <c r="D256" s="225">
        <v>0</v>
      </c>
      <c r="E256" s="225">
        <v>0</v>
      </c>
    </row>
    <row r="257" spans="2:5" ht="12.75" customHeight="1" x14ac:dyDescent="0.2">
      <c r="B257" s="103">
        <v>249</v>
      </c>
      <c r="C257" s="194" t="s">
        <v>995</v>
      </c>
      <c r="D257" s="225">
        <v>0</v>
      </c>
      <c r="E257" s="225">
        <v>0</v>
      </c>
    </row>
    <row r="258" spans="2:5" ht="12.75" customHeight="1" x14ac:dyDescent="0.2">
      <c r="B258" s="103">
        <v>250</v>
      </c>
      <c r="C258" s="194" t="s">
        <v>996</v>
      </c>
      <c r="D258" s="225">
        <v>0</v>
      </c>
      <c r="E258" s="225">
        <v>0</v>
      </c>
    </row>
    <row r="259" spans="2:5" ht="12.75" customHeight="1" x14ac:dyDescent="0.2">
      <c r="B259" s="103">
        <v>251</v>
      </c>
      <c r="C259" s="194" t="s">
        <v>997</v>
      </c>
      <c r="D259" s="225">
        <v>0</v>
      </c>
      <c r="E259" s="225">
        <v>0</v>
      </c>
    </row>
    <row r="260" spans="2:5" ht="12.75" customHeight="1" x14ac:dyDescent="0.2">
      <c r="B260" s="103">
        <v>252</v>
      </c>
      <c r="C260" s="194" t="s">
        <v>998</v>
      </c>
      <c r="D260" s="225">
        <v>0</v>
      </c>
      <c r="E260" s="225">
        <v>0</v>
      </c>
    </row>
    <row r="261" spans="2:5" ht="12.75" customHeight="1" x14ac:dyDescent="0.2">
      <c r="B261" s="103">
        <v>253</v>
      </c>
      <c r="C261" s="194" t="s">
        <v>999</v>
      </c>
      <c r="D261" s="225">
        <v>0</v>
      </c>
      <c r="E261" s="225">
        <v>0</v>
      </c>
    </row>
    <row r="262" spans="2:5" ht="12.75" customHeight="1" x14ac:dyDescent="0.2">
      <c r="B262" s="103">
        <v>254</v>
      </c>
      <c r="C262" s="194" t="s">
        <v>1000</v>
      </c>
      <c r="D262" s="225">
        <v>0</v>
      </c>
      <c r="E262" s="225">
        <v>0</v>
      </c>
    </row>
    <row r="263" spans="2:5" ht="12.75" customHeight="1" x14ac:dyDescent="0.2">
      <c r="B263" s="103">
        <v>255</v>
      </c>
      <c r="C263" s="194" t="s">
        <v>1001</v>
      </c>
      <c r="D263" s="225">
        <v>0</v>
      </c>
      <c r="E263" s="225">
        <v>0</v>
      </c>
    </row>
    <row r="264" spans="2:5" ht="12.75" customHeight="1" x14ac:dyDescent="0.2">
      <c r="B264" s="103">
        <v>256</v>
      </c>
      <c r="C264" s="194" t="s">
        <v>1002</v>
      </c>
      <c r="D264" s="225">
        <v>0</v>
      </c>
      <c r="E264" s="225">
        <v>0</v>
      </c>
    </row>
    <row r="265" spans="2:5" ht="12.75" customHeight="1" x14ac:dyDescent="0.2">
      <c r="B265" s="103">
        <v>257</v>
      </c>
      <c r="C265" s="194" t="s">
        <v>1003</v>
      </c>
      <c r="D265" s="225">
        <v>0</v>
      </c>
      <c r="E265" s="225">
        <v>0</v>
      </c>
    </row>
    <row r="266" spans="2:5" ht="12.75" customHeight="1" x14ac:dyDescent="0.2">
      <c r="B266" s="103">
        <v>258</v>
      </c>
      <c r="C266" s="194" t="s">
        <v>1004</v>
      </c>
      <c r="D266" s="225">
        <v>0</v>
      </c>
      <c r="E266" s="225">
        <v>0</v>
      </c>
    </row>
    <row r="267" spans="2:5" ht="12.75" customHeight="1" x14ac:dyDescent="0.2">
      <c r="B267" s="103">
        <v>259</v>
      </c>
      <c r="C267" s="194" t="s">
        <v>1005</v>
      </c>
      <c r="D267" s="225">
        <v>0</v>
      </c>
      <c r="E267" s="225">
        <v>0</v>
      </c>
    </row>
    <row r="268" spans="2:5" ht="12.75" customHeight="1" x14ac:dyDescent="0.2">
      <c r="B268" s="103">
        <v>260</v>
      </c>
      <c r="C268" s="194" t="s">
        <v>1006</v>
      </c>
      <c r="D268" s="225">
        <v>0</v>
      </c>
      <c r="E268" s="225">
        <v>0</v>
      </c>
    </row>
    <row r="269" spans="2:5" ht="12.75" customHeight="1" x14ac:dyDescent="0.2">
      <c r="B269" s="103">
        <v>261</v>
      </c>
      <c r="C269" s="194" t="s">
        <v>1007</v>
      </c>
      <c r="D269" s="225">
        <v>0</v>
      </c>
      <c r="E269" s="225">
        <v>0</v>
      </c>
    </row>
    <row r="270" spans="2:5" ht="12.75" customHeight="1" x14ac:dyDescent="0.2">
      <c r="B270" s="103">
        <v>262</v>
      </c>
      <c r="C270" s="194" t="s">
        <v>1008</v>
      </c>
      <c r="D270" s="225">
        <v>0</v>
      </c>
      <c r="E270" s="225">
        <v>0</v>
      </c>
    </row>
    <row r="271" spans="2:5" ht="12.75" customHeight="1" x14ac:dyDescent="0.2">
      <c r="B271" s="103">
        <v>263</v>
      </c>
      <c r="C271" s="194" t="s">
        <v>1009</v>
      </c>
      <c r="D271" s="225">
        <v>0</v>
      </c>
      <c r="E271" s="225">
        <v>0</v>
      </c>
    </row>
    <row r="272" spans="2:5" ht="12.75" customHeight="1" x14ac:dyDescent="0.2">
      <c r="B272" s="103">
        <v>264</v>
      </c>
      <c r="C272" s="194" t="s">
        <v>1010</v>
      </c>
      <c r="D272" s="225">
        <v>0</v>
      </c>
      <c r="E272" s="225">
        <v>0</v>
      </c>
    </row>
    <row r="273" spans="2:5" ht="12.75" customHeight="1" x14ac:dyDescent="0.2">
      <c r="B273" s="103">
        <v>265</v>
      </c>
      <c r="C273" s="194" t="s">
        <v>1011</v>
      </c>
      <c r="D273" s="225">
        <v>0</v>
      </c>
      <c r="E273" s="225">
        <v>0</v>
      </c>
    </row>
    <row r="274" spans="2:5" ht="12.75" customHeight="1" x14ac:dyDescent="0.2">
      <c r="B274" s="103">
        <v>266</v>
      </c>
      <c r="C274" s="194" t="s">
        <v>1012</v>
      </c>
      <c r="D274" s="225">
        <v>0</v>
      </c>
      <c r="E274" s="225">
        <v>0</v>
      </c>
    </row>
    <row r="275" spans="2:5" ht="12.75" customHeight="1" x14ac:dyDescent="0.2">
      <c r="B275" s="103">
        <v>267</v>
      </c>
      <c r="C275" s="194" t="s">
        <v>1013</v>
      </c>
      <c r="D275" s="225">
        <v>0</v>
      </c>
      <c r="E275" s="225">
        <v>0</v>
      </c>
    </row>
    <row r="276" spans="2:5" ht="12.75" customHeight="1" x14ac:dyDescent="0.2">
      <c r="B276" s="103">
        <v>268</v>
      </c>
      <c r="C276" s="194" t="s">
        <v>1014</v>
      </c>
      <c r="D276" s="225">
        <v>0</v>
      </c>
      <c r="E276" s="225">
        <v>0</v>
      </c>
    </row>
    <row r="277" spans="2:5" ht="12.75" customHeight="1" x14ac:dyDescent="0.2">
      <c r="B277" s="103">
        <v>269</v>
      </c>
      <c r="C277" s="194" t="s">
        <v>1015</v>
      </c>
      <c r="D277" s="225">
        <v>0</v>
      </c>
      <c r="E277" s="225">
        <v>0</v>
      </c>
    </row>
    <row r="278" spans="2:5" ht="12.75" customHeight="1" x14ac:dyDescent="0.2">
      <c r="B278" s="103">
        <v>12</v>
      </c>
      <c r="C278" s="194" t="s">
        <v>1016</v>
      </c>
      <c r="D278" s="225">
        <v>0</v>
      </c>
      <c r="E278" s="225">
        <v>0</v>
      </c>
    </row>
    <row r="279" spans="2:5" ht="12.75" customHeight="1" x14ac:dyDescent="0.2">
      <c r="B279" s="103">
        <v>13</v>
      </c>
      <c r="C279" s="194" t="s">
        <v>1017</v>
      </c>
      <c r="D279" s="225">
        <v>0</v>
      </c>
      <c r="E279" s="225">
        <v>0</v>
      </c>
    </row>
    <row r="280" spans="2:5" ht="12.75" customHeight="1" x14ac:dyDescent="0.2">
      <c r="B280" s="103">
        <v>272</v>
      </c>
      <c r="C280" s="194" t="s">
        <v>1018</v>
      </c>
      <c r="D280" s="225">
        <v>0</v>
      </c>
      <c r="E280" s="225">
        <v>0</v>
      </c>
    </row>
    <row r="281" spans="2:5" ht="12.75" customHeight="1" x14ac:dyDescent="0.2">
      <c r="B281" s="103">
        <v>273</v>
      </c>
      <c r="C281" s="194" t="s">
        <v>1019</v>
      </c>
      <c r="D281" s="225">
        <v>0</v>
      </c>
      <c r="E281" s="225">
        <v>0</v>
      </c>
    </row>
    <row r="282" spans="2:5" ht="12.75" customHeight="1" x14ac:dyDescent="0.2">
      <c r="B282" s="103">
        <v>274</v>
      </c>
      <c r="C282" s="194" t="s">
        <v>1020</v>
      </c>
      <c r="D282" s="225">
        <v>0</v>
      </c>
      <c r="E282" s="225">
        <v>0</v>
      </c>
    </row>
    <row r="283" spans="2:5" ht="12.75" customHeight="1" x14ac:dyDescent="0.2">
      <c r="B283" s="103">
        <v>275</v>
      </c>
      <c r="C283" s="194" t="s">
        <v>1021</v>
      </c>
      <c r="D283" s="225">
        <v>0</v>
      </c>
      <c r="E283" s="225">
        <v>0</v>
      </c>
    </row>
    <row r="284" spans="2:5" ht="12.75" customHeight="1" x14ac:dyDescent="0.2">
      <c r="B284" s="103">
        <v>276</v>
      </c>
      <c r="C284" s="194" t="s">
        <v>1022</v>
      </c>
      <c r="D284" s="225">
        <v>0</v>
      </c>
      <c r="E284" s="225">
        <v>0</v>
      </c>
    </row>
    <row r="285" spans="2:5" ht="12.75" customHeight="1" x14ac:dyDescent="0.2">
      <c r="B285" s="103">
        <v>277</v>
      </c>
      <c r="C285" s="194" t="s">
        <v>1023</v>
      </c>
      <c r="D285" s="225">
        <v>0</v>
      </c>
      <c r="E285" s="225">
        <v>0</v>
      </c>
    </row>
    <row r="286" spans="2:5" ht="12.75" customHeight="1" x14ac:dyDescent="0.2">
      <c r="B286" s="103">
        <v>278</v>
      </c>
      <c r="C286" s="194" t="s">
        <v>1024</v>
      </c>
      <c r="D286" s="225">
        <v>0</v>
      </c>
      <c r="E286" s="225">
        <v>0</v>
      </c>
    </row>
    <row r="287" spans="2:5" ht="12.75" customHeight="1" x14ac:dyDescent="0.2">
      <c r="B287" s="103">
        <v>279</v>
      </c>
      <c r="C287" s="194" t="s">
        <v>1025</v>
      </c>
      <c r="D287" s="225">
        <v>0</v>
      </c>
      <c r="E287" s="225">
        <v>0</v>
      </c>
    </row>
    <row r="288" spans="2:5" ht="12.75" customHeight="1" x14ac:dyDescent="0.2">
      <c r="B288" s="103">
        <v>280</v>
      </c>
      <c r="C288" s="194" t="s">
        <v>1026</v>
      </c>
      <c r="D288" s="225">
        <v>0</v>
      </c>
      <c r="E288" s="225">
        <v>0</v>
      </c>
    </row>
    <row r="289" spans="2:5" ht="12.75" customHeight="1" x14ac:dyDescent="0.2">
      <c r="B289" s="103">
        <v>281</v>
      </c>
      <c r="C289" s="194" t="s">
        <v>1027</v>
      </c>
      <c r="D289" s="225">
        <v>0</v>
      </c>
      <c r="E289" s="225">
        <v>0</v>
      </c>
    </row>
    <row r="290" spans="2:5" ht="12.75" customHeight="1" x14ac:dyDescent="0.2">
      <c r="B290" s="103">
        <v>282</v>
      </c>
      <c r="C290" s="194" t="s">
        <v>1028</v>
      </c>
      <c r="D290" s="225">
        <v>0</v>
      </c>
      <c r="E290" s="225">
        <v>0</v>
      </c>
    </row>
    <row r="291" spans="2:5" ht="12.75" customHeight="1" x14ac:dyDescent="0.2">
      <c r="B291" s="103">
        <v>283</v>
      </c>
      <c r="C291" s="194" t="s">
        <v>1029</v>
      </c>
      <c r="D291" s="225">
        <v>0</v>
      </c>
      <c r="E291" s="225">
        <v>0</v>
      </c>
    </row>
    <row r="292" spans="2:5" ht="12.75" customHeight="1" x14ac:dyDescent="0.2">
      <c r="B292" s="103">
        <v>284</v>
      </c>
      <c r="C292" s="194" t="s">
        <v>1030</v>
      </c>
      <c r="D292" s="225">
        <v>0</v>
      </c>
      <c r="E292" s="225">
        <v>0</v>
      </c>
    </row>
    <row r="293" spans="2:5" ht="12.75" customHeight="1" x14ac:dyDescent="0.2">
      <c r="B293" s="103">
        <v>285</v>
      </c>
      <c r="C293" s="194" t="s">
        <v>1031</v>
      </c>
      <c r="D293" s="225">
        <v>0</v>
      </c>
      <c r="E293" s="225">
        <v>0</v>
      </c>
    </row>
    <row r="294" spans="2:5" ht="12.75" customHeight="1" x14ac:dyDescent="0.2">
      <c r="B294" s="103">
        <v>286</v>
      </c>
      <c r="C294" s="194" t="s">
        <v>1032</v>
      </c>
      <c r="D294" s="225">
        <v>0</v>
      </c>
      <c r="E294" s="225">
        <v>0</v>
      </c>
    </row>
    <row r="295" spans="2:5" ht="12.75" customHeight="1" x14ac:dyDescent="0.2">
      <c r="B295" s="103">
        <v>287</v>
      </c>
      <c r="C295" s="194" t="s">
        <v>1033</v>
      </c>
      <c r="D295" s="225">
        <v>0</v>
      </c>
      <c r="E295" s="225">
        <v>0</v>
      </c>
    </row>
    <row r="296" spans="2:5" ht="12.75" customHeight="1" x14ac:dyDescent="0.2">
      <c r="B296" s="103">
        <v>288</v>
      </c>
      <c r="C296" s="194" t="s">
        <v>1034</v>
      </c>
      <c r="D296" s="225">
        <v>0</v>
      </c>
      <c r="E296" s="225">
        <v>0</v>
      </c>
    </row>
    <row r="297" spans="2:5" ht="12.75" customHeight="1" x14ac:dyDescent="0.2">
      <c r="B297" s="103">
        <v>289</v>
      </c>
      <c r="C297" s="194" t="s">
        <v>1035</v>
      </c>
      <c r="D297" s="225">
        <v>0</v>
      </c>
      <c r="E297" s="225">
        <v>0</v>
      </c>
    </row>
    <row r="298" spans="2:5" ht="12.75" customHeight="1" x14ac:dyDescent="0.2">
      <c r="B298" s="103">
        <v>290</v>
      </c>
      <c r="C298" s="194" t="s">
        <v>1036</v>
      </c>
      <c r="D298" s="225">
        <v>0</v>
      </c>
      <c r="E298" s="225">
        <v>0</v>
      </c>
    </row>
    <row r="299" spans="2:5" ht="12.75" customHeight="1" x14ac:dyDescent="0.2">
      <c r="B299" s="103">
        <v>291</v>
      </c>
      <c r="C299" s="194" t="s">
        <v>1037</v>
      </c>
      <c r="D299" s="225">
        <v>0</v>
      </c>
      <c r="E299" s="225">
        <v>0</v>
      </c>
    </row>
    <row r="300" spans="2:5" ht="12.75" customHeight="1" x14ac:dyDescent="0.2">
      <c r="B300" s="103">
        <v>292</v>
      </c>
      <c r="C300" s="194" t="s">
        <v>1038</v>
      </c>
      <c r="D300" s="225">
        <v>0</v>
      </c>
      <c r="E300" s="225">
        <v>0</v>
      </c>
    </row>
    <row r="301" spans="2:5" ht="12.75" customHeight="1" x14ac:dyDescent="0.2">
      <c r="B301" s="103">
        <v>14</v>
      </c>
      <c r="C301" s="194" t="s">
        <v>1039</v>
      </c>
      <c r="D301" s="225">
        <v>0</v>
      </c>
      <c r="E301" s="225">
        <v>0</v>
      </c>
    </row>
    <row r="302" spans="2:5" ht="12.75" customHeight="1" x14ac:dyDescent="0.2">
      <c r="B302" s="103">
        <v>294</v>
      </c>
      <c r="C302" s="194" t="s">
        <v>1040</v>
      </c>
      <c r="D302" s="225">
        <v>0</v>
      </c>
      <c r="E302" s="225">
        <v>0</v>
      </c>
    </row>
    <row r="303" spans="2:5" ht="12.75" customHeight="1" x14ac:dyDescent="0.2">
      <c r="B303" s="103">
        <v>295</v>
      </c>
      <c r="C303" s="194" t="s">
        <v>1041</v>
      </c>
      <c r="D303" s="225">
        <v>0</v>
      </c>
      <c r="E303" s="225">
        <v>0</v>
      </c>
    </row>
    <row r="304" spans="2:5" ht="12.75" customHeight="1" x14ac:dyDescent="0.2">
      <c r="B304" s="103">
        <v>15</v>
      </c>
      <c r="C304" s="194" t="s">
        <v>1042</v>
      </c>
      <c r="D304" s="225">
        <v>0</v>
      </c>
      <c r="E304" s="225">
        <v>0</v>
      </c>
    </row>
    <row r="305" spans="2:5" ht="12.75" customHeight="1" x14ac:dyDescent="0.2">
      <c r="B305" s="103">
        <v>297</v>
      </c>
      <c r="C305" s="194" t="s">
        <v>1043</v>
      </c>
      <c r="D305" s="225">
        <v>0</v>
      </c>
      <c r="E305" s="225">
        <v>0</v>
      </c>
    </row>
    <row r="306" spans="2:5" ht="12.75" customHeight="1" x14ac:dyDescent="0.2">
      <c r="B306" s="103">
        <v>298</v>
      </c>
      <c r="C306" s="194" t="s">
        <v>1044</v>
      </c>
      <c r="D306" s="225">
        <v>0</v>
      </c>
      <c r="E306" s="225">
        <v>0</v>
      </c>
    </row>
    <row r="307" spans="2:5" ht="12.75" customHeight="1" x14ac:dyDescent="0.2">
      <c r="B307" s="103">
        <v>299</v>
      </c>
      <c r="C307" s="194" t="s">
        <v>1045</v>
      </c>
      <c r="D307" s="225">
        <v>0</v>
      </c>
      <c r="E307" s="225">
        <v>0</v>
      </c>
    </row>
    <row r="308" spans="2:5" ht="12.75" customHeight="1" x14ac:dyDescent="0.2">
      <c r="B308" s="103">
        <v>300</v>
      </c>
      <c r="C308" s="194" t="s">
        <v>1046</v>
      </c>
      <c r="D308" s="225">
        <v>0</v>
      </c>
      <c r="E308" s="225">
        <v>0</v>
      </c>
    </row>
    <row r="309" spans="2:5" ht="12.75" customHeight="1" x14ac:dyDescent="0.2">
      <c r="B309" s="103">
        <v>301</v>
      </c>
      <c r="C309" s="194" t="s">
        <v>1047</v>
      </c>
      <c r="D309" s="225">
        <v>0</v>
      </c>
      <c r="E309" s="225">
        <v>0</v>
      </c>
    </row>
    <row r="310" spans="2:5" ht="12.75" customHeight="1" x14ac:dyDescent="0.2">
      <c r="B310" s="103">
        <v>302</v>
      </c>
      <c r="C310" s="194" t="s">
        <v>1048</v>
      </c>
      <c r="D310" s="225">
        <v>0</v>
      </c>
      <c r="E310" s="225">
        <v>0</v>
      </c>
    </row>
    <row r="311" spans="2:5" ht="12.75" customHeight="1" x14ac:dyDescent="0.2">
      <c r="B311" s="103">
        <v>303</v>
      </c>
      <c r="C311" s="194" t="s">
        <v>1049</v>
      </c>
      <c r="D311" s="225">
        <v>0</v>
      </c>
      <c r="E311" s="225">
        <v>0</v>
      </c>
    </row>
    <row r="312" spans="2:5" ht="12.75" customHeight="1" x14ac:dyDescent="0.2">
      <c r="B312" s="103">
        <v>304</v>
      </c>
      <c r="C312" s="194" t="s">
        <v>1050</v>
      </c>
      <c r="D312" s="225">
        <v>0</v>
      </c>
      <c r="E312" s="225">
        <v>0</v>
      </c>
    </row>
    <row r="313" spans="2:5" ht="12.75" customHeight="1" x14ac:dyDescent="0.2">
      <c r="B313" s="103">
        <v>305</v>
      </c>
      <c r="C313" s="194" t="s">
        <v>1051</v>
      </c>
      <c r="D313" s="225">
        <v>0</v>
      </c>
      <c r="E313" s="225">
        <v>0</v>
      </c>
    </row>
    <row r="314" spans="2:5" ht="12.75" customHeight="1" x14ac:dyDescent="0.2">
      <c r="B314" s="103">
        <v>306</v>
      </c>
      <c r="C314" s="194" t="s">
        <v>1052</v>
      </c>
      <c r="D314" s="225">
        <v>0</v>
      </c>
      <c r="E314" s="225">
        <v>0</v>
      </c>
    </row>
    <row r="315" spans="2:5" ht="12.75" customHeight="1" x14ac:dyDescent="0.2">
      <c r="B315" s="103">
        <v>307</v>
      </c>
      <c r="C315" s="194" t="s">
        <v>1053</v>
      </c>
      <c r="D315" s="225">
        <v>0</v>
      </c>
      <c r="E315" s="225">
        <v>0</v>
      </c>
    </row>
    <row r="316" spans="2:5" ht="12.75" customHeight="1" x14ac:dyDescent="0.2">
      <c r="B316" s="103">
        <v>308</v>
      </c>
      <c r="C316" s="194" t="s">
        <v>1054</v>
      </c>
      <c r="D316" s="225">
        <v>0</v>
      </c>
      <c r="E316" s="225">
        <v>0</v>
      </c>
    </row>
    <row r="317" spans="2:5" ht="12.75" customHeight="1" x14ac:dyDescent="0.2">
      <c r="B317" s="103">
        <v>309</v>
      </c>
      <c r="C317" s="194" t="s">
        <v>1055</v>
      </c>
      <c r="D317" s="225">
        <v>0</v>
      </c>
      <c r="E317" s="225">
        <v>0</v>
      </c>
    </row>
    <row r="318" spans="2:5" ht="12.75" customHeight="1" x14ac:dyDescent="0.2">
      <c r="B318" s="103">
        <v>310</v>
      </c>
      <c r="C318" s="194" t="s">
        <v>1056</v>
      </c>
      <c r="D318" s="225">
        <v>0</v>
      </c>
      <c r="E318" s="225">
        <v>0</v>
      </c>
    </row>
    <row r="319" spans="2:5" ht="12.75" customHeight="1" x14ac:dyDescent="0.2">
      <c r="B319" s="103">
        <v>311</v>
      </c>
      <c r="C319" s="194" t="s">
        <v>1057</v>
      </c>
      <c r="D319" s="225">
        <v>0</v>
      </c>
      <c r="E319" s="225">
        <v>0</v>
      </c>
    </row>
    <row r="320" spans="2:5" ht="12.75" customHeight="1" x14ac:dyDescent="0.2">
      <c r="B320" s="103">
        <v>312</v>
      </c>
      <c r="C320" s="194" t="s">
        <v>1058</v>
      </c>
      <c r="D320" s="225">
        <v>0</v>
      </c>
      <c r="E320" s="225">
        <v>0</v>
      </c>
    </row>
    <row r="321" spans="2:5" ht="12.75" customHeight="1" x14ac:dyDescent="0.2">
      <c r="B321" s="103">
        <v>313</v>
      </c>
      <c r="C321" s="194" t="s">
        <v>1059</v>
      </c>
      <c r="D321" s="225">
        <v>0</v>
      </c>
      <c r="E321" s="225">
        <v>0</v>
      </c>
    </row>
    <row r="322" spans="2:5" ht="12.75" customHeight="1" x14ac:dyDescent="0.2">
      <c r="B322" s="103">
        <v>314</v>
      </c>
      <c r="C322" s="194" t="s">
        <v>1060</v>
      </c>
      <c r="D322" s="225">
        <v>0</v>
      </c>
      <c r="E322" s="225">
        <v>0</v>
      </c>
    </row>
    <row r="323" spans="2:5" ht="12.75" customHeight="1" x14ac:dyDescent="0.2">
      <c r="B323" s="103">
        <v>315</v>
      </c>
      <c r="C323" s="194" t="s">
        <v>1061</v>
      </c>
      <c r="D323" s="225">
        <v>0</v>
      </c>
      <c r="E323" s="225">
        <v>0</v>
      </c>
    </row>
    <row r="324" spans="2:5" ht="12.75" customHeight="1" x14ac:dyDescent="0.2">
      <c r="B324" s="103">
        <v>316</v>
      </c>
      <c r="C324" s="194" t="s">
        <v>1062</v>
      </c>
      <c r="D324" s="225">
        <v>0</v>
      </c>
      <c r="E324" s="225">
        <v>0</v>
      </c>
    </row>
    <row r="325" spans="2:5" ht="12.75" customHeight="1" x14ac:dyDescent="0.2">
      <c r="B325" s="103">
        <v>317</v>
      </c>
      <c r="C325" s="194" t="s">
        <v>1063</v>
      </c>
      <c r="D325" s="225">
        <v>0</v>
      </c>
      <c r="E325" s="225">
        <v>0</v>
      </c>
    </row>
    <row r="326" spans="2:5" ht="12.75" customHeight="1" x14ac:dyDescent="0.2">
      <c r="B326" s="103">
        <v>318</v>
      </c>
      <c r="C326" s="194" t="s">
        <v>1064</v>
      </c>
      <c r="D326" s="225">
        <v>0</v>
      </c>
      <c r="E326" s="225">
        <v>0</v>
      </c>
    </row>
    <row r="327" spans="2:5" ht="12.75" customHeight="1" x14ac:dyDescent="0.2">
      <c r="B327" s="103">
        <v>319</v>
      </c>
      <c r="C327" s="194" t="s">
        <v>1065</v>
      </c>
      <c r="D327" s="225">
        <v>0</v>
      </c>
      <c r="E327" s="225">
        <v>0</v>
      </c>
    </row>
    <row r="328" spans="2:5" ht="12.75" customHeight="1" x14ac:dyDescent="0.2">
      <c r="B328" s="103">
        <v>320</v>
      </c>
      <c r="C328" s="194" t="s">
        <v>1066</v>
      </c>
      <c r="D328" s="225">
        <v>0</v>
      </c>
      <c r="E328" s="225">
        <v>0</v>
      </c>
    </row>
    <row r="329" spans="2:5" ht="12.75" customHeight="1" x14ac:dyDescent="0.2">
      <c r="B329" s="103">
        <v>321</v>
      </c>
      <c r="C329" s="194" t="s">
        <v>1067</v>
      </c>
      <c r="D329" s="225">
        <v>0</v>
      </c>
      <c r="E329" s="225">
        <v>0</v>
      </c>
    </row>
    <row r="330" spans="2:5" ht="12.75" customHeight="1" x14ac:dyDescent="0.2">
      <c r="B330" s="103">
        <v>322</v>
      </c>
      <c r="C330" s="194" t="s">
        <v>1068</v>
      </c>
      <c r="D330" s="225">
        <v>0</v>
      </c>
      <c r="E330" s="225">
        <v>0</v>
      </c>
    </row>
    <row r="331" spans="2:5" ht="12.75" customHeight="1" x14ac:dyDescent="0.2">
      <c r="B331" s="103">
        <v>323</v>
      </c>
      <c r="C331" s="194" t="s">
        <v>1069</v>
      </c>
      <c r="D331" s="225">
        <v>0</v>
      </c>
      <c r="E331" s="225">
        <v>0</v>
      </c>
    </row>
    <row r="332" spans="2:5" ht="12.75" customHeight="1" x14ac:dyDescent="0.2">
      <c r="B332" s="103">
        <v>324</v>
      </c>
      <c r="C332" s="194" t="s">
        <v>1070</v>
      </c>
      <c r="D332" s="225">
        <v>0</v>
      </c>
      <c r="E332" s="225">
        <v>0</v>
      </c>
    </row>
    <row r="333" spans="2:5" ht="12.75" customHeight="1" x14ac:dyDescent="0.2">
      <c r="B333" s="103">
        <v>325</v>
      </c>
      <c r="C333" s="194" t="s">
        <v>1071</v>
      </c>
      <c r="D333" s="225">
        <v>0</v>
      </c>
      <c r="E333" s="225">
        <v>0</v>
      </c>
    </row>
    <row r="334" spans="2:5" ht="12.75" customHeight="1" x14ac:dyDescent="0.2">
      <c r="B334" s="103">
        <v>326</v>
      </c>
      <c r="C334" s="194" t="s">
        <v>1072</v>
      </c>
      <c r="D334" s="225">
        <v>0</v>
      </c>
      <c r="E334" s="225">
        <v>0</v>
      </c>
    </row>
    <row r="335" spans="2:5" ht="12.75" customHeight="1" x14ac:dyDescent="0.2">
      <c r="B335" s="103">
        <v>327</v>
      </c>
      <c r="C335" s="194" t="s">
        <v>1073</v>
      </c>
      <c r="D335" s="225">
        <v>0</v>
      </c>
      <c r="E335" s="225">
        <v>0</v>
      </c>
    </row>
    <row r="336" spans="2:5" ht="12.75" customHeight="1" x14ac:dyDescent="0.2">
      <c r="B336" s="103">
        <v>328</v>
      </c>
      <c r="C336" s="194" t="s">
        <v>1074</v>
      </c>
      <c r="D336" s="225">
        <v>0</v>
      </c>
      <c r="E336" s="225">
        <v>0</v>
      </c>
    </row>
    <row r="337" spans="2:5" ht="12.75" customHeight="1" x14ac:dyDescent="0.2">
      <c r="B337" s="103">
        <v>329</v>
      </c>
      <c r="C337" s="194" t="s">
        <v>1075</v>
      </c>
      <c r="D337" s="225">
        <v>0</v>
      </c>
      <c r="E337" s="225">
        <v>0</v>
      </c>
    </row>
    <row r="338" spans="2:5" ht="12.75" customHeight="1" x14ac:dyDescent="0.2">
      <c r="B338" s="103">
        <v>330</v>
      </c>
      <c r="C338" s="194" t="s">
        <v>1076</v>
      </c>
      <c r="D338" s="225">
        <v>0</v>
      </c>
      <c r="E338" s="225">
        <v>0</v>
      </c>
    </row>
    <row r="339" spans="2:5" ht="12.75" customHeight="1" x14ac:dyDescent="0.2">
      <c r="B339" s="103">
        <v>331</v>
      </c>
      <c r="C339" s="194" t="s">
        <v>1077</v>
      </c>
      <c r="D339" s="225">
        <v>0</v>
      </c>
      <c r="E339" s="225">
        <v>0</v>
      </c>
    </row>
    <row r="340" spans="2:5" ht="12.75" customHeight="1" x14ac:dyDescent="0.2">
      <c r="B340" s="103">
        <v>332</v>
      </c>
      <c r="C340" s="194" t="s">
        <v>1078</v>
      </c>
      <c r="D340" s="225">
        <v>0</v>
      </c>
      <c r="E340" s="225">
        <v>0</v>
      </c>
    </row>
    <row r="341" spans="2:5" ht="12.75" customHeight="1" x14ac:dyDescent="0.2">
      <c r="B341" s="103">
        <v>333</v>
      </c>
      <c r="C341" s="194" t="s">
        <v>1079</v>
      </c>
      <c r="D341" s="225">
        <v>0</v>
      </c>
      <c r="E341" s="225">
        <v>0</v>
      </c>
    </row>
    <row r="342" spans="2:5" ht="12.75" customHeight="1" x14ac:dyDescent="0.2">
      <c r="B342" s="103">
        <v>334</v>
      </c>
      <c r="C342" s="194" t="s">
        <v>1080</v>
      </c>
      <c r="D342" s="225">
        <v>0</v>
      </c>
      <c r="E342" s="225">
        <v>0</v>
      </c>
    </row>
    <row r="343" spans="2:5" ht="12.75" customHeight="1" x14ac:dyDescent="0.2">
      <c r="B343" s="103">
        <v>335</v>
      </c>
      <c r="C343" s="194" t="s">
        <v>1081</v>
      </c>
      <c r="D343" s="225">
        <v>0</v>
      </c>
      <c r="E343" s="225">
        <v>0</v>
      </c>
    </row>
    <row r="344" spans="2:5" ht="12.75" customHeight="1" x14ac:dyDescent="0.2">
      <c r="B344" s="103">
        <v>336</v>
      </c>
      <c r="C344" s="194" t="s">
        <v>1082</v>
      </c>
      <c r="D344" s="225">
        <v>0</v>
      </c>
      <c r="E344" s="225">
        <v>0</v>
      </c>
    </row>
    <row r="345" spans="2:5" ht="12.75" customHeight="1" x14ac:dyDescent="0.2">
      <c r="B345" s="103">
        <v>16</v>
      </c>
      <c r="C345" s="194" t="s">
        <v>1083</v>
      </c>
      <c r="D345" s="225">
        <v>0</v>
      </c>
      <c r="E345" s="225">
        <v>0</v>
      </c>
    </row>
    <row r="346" spans="2:5" ht="12.75" customHeight="1" x14ac:dyDescent="0.2">
      <c r="B346" s="103">
        <v>338</v>
      </c>
      <c r="C346" s="194" t="s">
        <v>1084</v>
      </c>
      <c r="D346" s="225">
        <v>0</v>
      </c>
      <c r="E346" s="225">
        <v>0</v>
      </c>
    </row>
    <row r="347" spans="2:5" ht="12.75" customHeight="1" x14ac:dyDescent="0.2">
      <c r="B347" s="103">
        <v>339</v>
      </c>
      <c r="C347" s="194" t="s">
        <v>1085</v>
      </c>
      <c r="D347" s="225">
        <v>0</v>
      </c>
      <c r="E347" s="225">
        <v>0</v>
      </c>
    </row>
    <row r="348" spans="2:5" ht="12.75" customHeight="1" x14ac:dyDescent="0.2">
      <c r="B348" s="103">
        <v>340</v>
      </c>
      <c r="C348" s="194" t="s">
        <v>1086</v>
      </c>
      <c r="D348" s="225">
        <v>0</v>
      </c>
      <c r="E348" s="225">
        <v>0</v>
      </c>
    </row>
    <row r="349" spans="2:5" ht="12.75" customHeight="1" x14ac:dyDescent="0.2">
      <c r="B349" s="103">
        <v>341</v>
      </c>
      <c r="C349" s="194" t="s">
        <v>1087</v>
      </c>
      <c r="D349" s="225">
        <v>0</v>
      </c>
      <c r="E349" s="225">
        <v>0</v>
      </c>
    </row>
    <row r="350" spans="2:5" ht="12.75" customHeight="1" x14ac:dyDescent="0.2">
      <c r="B350" s="103">
        <v>342</v>
      </c>
      <c r="C350" s="194" t="s">
        <v>1088</v>
      </c>
      <c r="D350" s="225">
        <v>0</v>
      </c>
      <c r="E350" s="225">
        <v>0</v>
      </c>
    </row>
    <row r="351" spans="2:5" ht="12.75" customHeight="1" x14ac:dyDescent="0.2">
      <c r="B351" s="103">
        <v>343</v>
      </c>
      <c r="C351" s="194" t="s">
        <v>1089</v>
      </c>
      <c r="D351" s="225">
        <v>0</v>
      </c>
      <c r="E351" s="225">
        <v>0</v>
      </c>
    </row>
    <row r="352" spans="2:5" ht="12.75" customHeight="1" x14ac:dyDescent="0.2">
      <c r="B352" s="103">
        <v>344</v>
      </c>
      <c r="C352" s="194" t="s">
        <v>1090</v>
      </c>
      <c r="D352" s="225">
        <v>0</v>
      </c>
      <c r="E352" s="225">
        <v>0</v>
      </c>
    </row>
    <row r="353" spans="2:5" ht="12.75" customHeight="1" x14ac:dyDescent="0.2">
      <c r="B353" s="103">
        <v>345</v>
      </c>
      <c r="C353" s="194" t="s">
        <v>1091</v>
      </c>
      <c r="D353" s="225">
        <v>0</v>
      </c>
      <c r="E353" s="225">
        <v>0</v>
      </c>
    </row>
    <row r="354" spans="2:5" ht="12.75" customHeight="1" x14ac:dyDescent="0.2">
      <c r="B354" s="103">
        <v>346</v>
      </c>
      <c r="C354" s="194" t="s">
        <v>1092</v>
      </c>
      <c r="D354" s="225">
        <v>0</v>
      </c>
      <c r="E354" s="225">
        <v>0</v>
      </c>
    </row>
    <row r="355" spans="2:5" ht="12.75" customHeight="1" x14ac:dyDescent="0.2">
      <c r="B355" s="103">
        <v>347</v>
      </c>
      <c r="C355" s="194" t="s">
        <v>1093</v>
      </c>
      <c r="D355" s="225">
        <v>0</v>
      </c>
      <c r="E355" s="225">
        <v>0</v>
      </c>
    </row>
    <row r="356" spans="2:5" ht="12.75" customHeight="1" x14ac:dyDescent="0.2">
      <c r="B356" s="103">
        <v>348</v>
      </c>
      <c r="C356" s="194" t="s">
        <v>1094</v>
      </c>
      <c r="D356" s="225">
        <v>0</v>
      </c>
      <c r="E356" s="225">
        <v>0</v>
      </c>
    </row>
    <row r="357" spans="2:5" ht="12.75" customHeight="1" x14ac:dyDescent="0.2">
      <c r="B357" s="103">
        <v>349</v>
      </c>
      <c r="C357" s="194" t="s">
        <v>1095</v>
      </c>
      <c r="D357" s="225">
        <v>0</v>
      </c>
      <c r="E357" s="225">
        <v>0</v>
      </c>
    </row>
    <row r="358" spans="2:5" ht="12.75" customHeight="1" x14ac:dyDescent="0.2">
      <c r="B358" s="103">
        <v>350</v>
      </c>
      <c r="C358" s="194" t="s">
        <v>1096</v>
      </c>
      <c r="D358" s="225">
        <v>0</v>
      </c>
      <c r="E358" s="225">
        <v>0</v>
      </c>
    </row>
    <row r="359" spans="2:5" ht="12.75" customHeight="1" x14ac:dyDescent="0.2">
      <c r="B359" s="103">
        <v>351</v>
      </c>
      <c r="C359" s="194" t="s">
        <v>1097</v>
      </c>
      <c r="D359" s="225">
        <v>0</v>
      </c>
      <c r="E359" s="225">
        <v>0</v>
      </c>
    </row>
    <row r="360" spans="2:5" ht="12.75" customHeight="1" x14ac:dyDescent="0.2">
      <c r="B360" s="103">
        <v>352</v>
      </c>
      <c r="C360" s="194" t="s">
        <v>1098</v>
      </c>
      <c r="D360" s="225">
        <v>0</v>
      </c>
      <c r="E360" s="225">
        <v>0</v>
      </c>
    </row>
    <row r="361" spans="2:5" ht="12.75" customHeight="1" x14ac:dyDescent="0.2">
      <c r="B361" s="103">
        <v>353</v>
      </c>
      <c r="C361" s="194" t="s">
        <v>1099</v>
      </c>
      <c r="D361" s="225">
        <v>0</v>
      </c>
      <c r="E361" s="225">
        <v>0</v>
      </c>
    </row>
    <row r="362" spans="2:5" ht="12.75" customHeight="1" x14ac:dyDescent="0.2">
      <c r="B362" s="103">
        <v>354</v>
      </c>
      <c r="C362" s="194" t="s">
        <v>1100</v>
      </c>
      <c r="D362" s="225">
        <v>0</v>
      </c>
      <c r="E362" s="225">
        <v>0</v>
      </c>
    </row>
    <row r="363" spans="2:5" ht="12.75" customHeight="1" x14ac:dyDescent="0.2">
      <c r="B363" s="103">
        <v>355</v>
      </c>
      <c r="C363" s="194" t="s">
        <v>1101</v>
      </c>
      <c r="D363" s="225">
        <v>0</v>
      </c>
      <c r="E363" s="225">
        <v>0</v>
      </c>
    </row>
    <row r="364" spans="2:5" ht="12.75" customHeight="1" x14ac:dyDescent="0.2">
      <c r="B364" s="103">
        <v>356</v>
      </c>
      <c r="C364" s="194" t="s">
        <v>1102</v>
      </c>
      <c r="D364" s="225">
        <v>0</v>
      </c>
      <c r="E364" s="225">
        <v>0</v>
      </c>
    </row>
    <row r="365" spans="2:5" ht="12.75" customHeight="1" x14ac:dyDescent="0.2">
      <c r="B365" s="103">
        <v>357</v>
      </c>
      <c r="C365" s="194" t="s">
        <v>1103</v>
      </c>
      <c r="D365" s="225">
        <v>0</v>
      </c>
      <c r="E365" s="225">
        <v>0</v>
      </c>
    </row>
    <row r="366" spans="2:5" ht="12.75" customHeight="1" x14ac:dyDescent="0.2">
      <c r="B366" s="103">
        <v>358</v>
      </c>
      <c r="C366" s="194" t="s">
        <v>1104</v>
      </c>
      <c r="D366" s="225">
        <v>0</v>
      </c>
      <c r="E366" s="225">
        <v>0</v>
      </c>
    </row>
    <row r="367" spans="2:5" ht="12.75" customHeight="1" x14ac:dyDescent="0.2">
      <c r="B367" s="103">
        <v>359</v>
      </c>
      <c r="C367" s="194" t="s">
        <v>1105</v>
      </c>
      <c r="D367" s="225">
        <v>0</v>
      </c>
      <c r="E367" s="225">
        <v>0</v>
      </c>
    </row>
    <row r="368" spans="2:5" ht="12.75" customHeight="1" x14ac:dyDescent="0.2">
      <c r="B368" s="103">
        <v>360</v>
      </c>
      <c r="C368" s="194" t="s">
        <v>1106</v>
      </c>
      <c r="D368" s="225">
        <v>0</v>
      </c>
      <c r="E368" s="225">
        <v>0</v>
      </c>
    </row>
    <row r="369" spans="2:5" ht="12.75" customHeight="1" x14ac:dyDescent="0.2">
      <c r="B369" s="103">
        <v>361</v>
      </c>
      <c r="C369" s="194" t="s">
        <v>1107</v>
      </c>
      <c r="D369" s="225">
        <v>0</v>
      </c>
      <c r="E369" s="225">
        <v>0</v>
      </c>
    </row>
    <row r="370" spans="2:5" ht="12.75" customHeight="1" x14ac:dyDescent="0.2">
      <c r="B370" s="103">
        <v>362</v>
      </c>
      <c r="C370" s="194" t="s">
        <v>1108</v>
      </c>
      <c r="D370" s="225">
        <v>0</v>
      </c>
      <c r="E370" s="225">
        <v>0</v>
      </c>
    </row>
    <row r="371" spans="2:5" ht="12.75" customHeight="1" x14ac:dyDescent="0.2">
      <c r="B371" s="103">
        <v>363</v>
      </c>
      <c r="C371" s="194" t="s">
        <v>1109</v>
      </c>
      <c r="D371" s="225">
        <v>0</v>
      </c>
      <c r="E371" s="225">
        <v>0</v>
      </c>
    </row>
    <row r="372" spans="2:5" ht="12.75" customHeight="1" x14ac:dyDescent="0.2">
      <c r="B372" s="103">
        <v>364</v>
      </c>
      <c r="C372" s="194" t="s">
        <v>1110</v>
      </c>
      <c r="D372" s="225">
        <v>0</v>
      </c>
      <c r="E372" s="225">
        <v>0</v>
      </c>
    </row>
    <row r="373" spans="2:5" ht="12.75" customHeight="1" x14ac:dyDescent="0.2">
      <c r="B373" s="103">
        <v>365</v>
      </c>
      <c r="C373" s="194" t="s">
        <v>1111</v>
      </c>
      <c r="D373" s="225">
        <v>0</v>
      </c>
      <c r="E373" s="225">
        <v>0</v>
      </c>
    </row>
    <row r="374" spans="2:5" ht="12.75" customHeight="1" x14ac:dyDescent="0.2">
      <c r="B374" s="103">
        <v>366</v>
      </c>
      <c r="C374" s="194" t="s">
        <v>1112</v>
      </c>
      <c r="D374" s="225">
        <v>0</v>
      </c>
      <c r="E374" s="225">
        <v>0</v>
      </c>
    </row>
    <row r="375" spans="2:5" ht="12.75" customHeight="1" x14ac:dyDescent="0.2">
      <c r="B375" s="103">
        <v>367</v>
      </c>
      <c r="C375" s="194" t="s">
        <v>1113</v>
      </c>
      <c r="D375" s="225">
        <v>0</v>
      </c>
      <c r="E375" s="225">
        <v>0</v>
      </c>
    </row>
    <row r="376" spans="2:5" ht="12.75" customHeight="1" x14ac:dyDescent="0.2">
      <c r="B376" s="103">
        <v>368</v>
      </c>
      <c r="C376" s="194" t="s">
        <v>1114</v>
      </c>
      <c r="D376" s="225">
        <v>0</v>
      </c>
      <c r="E376" s="225">
        <v>0</v>
      </c>
    </row>
    <row r="377" spans="2:5" ht="12.75" customHeight="1" x14ac:dyDescent="0.2">
      <c r="B377" s="103">
        <v>369</v>
      </c>
      <c r="C377" s="194" t="s">
        <v>1115</v>
      </c>
      <c r="D377" s="225">
        <v>0</v>
      </c>
      <c r="E377" s="225">
        <v>0</v>
      </c>
    </row>
    <row r="378" spans="2:5" ht="12.75" customHeight="1" x14ac:dyDescent="0.2">
      <c r="B378" s="103">
        <v>370</v>
      </c>
      <c r="C378" s="194" t="s">
        <v>1116</v>
      </c>
      <c r="D378" s="225">
        <v>0</v>
      </c>
      <c r="E378" s="225">
        <v>0</v>
      </c>
    </row>
    <row r="379" spans="2:5" ht="12.75" customHeight="1" x14ac:dyDescent="0.2">
      <c r="B379" s="103">
        <v>371</v>
      </c>
      <c r="C379" s="194" t="s">
        <v>1117</v>
      </c>
      <c r="D379" s="225">
        <v>0</v>
      </c>
      <c r="E379" s="225">
        <v>0</v>
      </c>
    </row>
    <row r="380" spans="2:5" ht="12.75" customHeight="1" x14ac:dyDescent="0.2">
      <c r="B380" s="103">
        <v>372</v>
      </c>
      <c r="C380" s="194" t="s">
        <v>1118</v>
      </c>
      <c r="D380" s="225">
        <v>0</v>
      </c>
      <c r="E380" s="225">
        <v>0</v>
      </c>
    </row>
    <row r="381" spans="2:5" ht="12.75" customHeight="1" x14ac:dyDescent="0.2">
      <c r="B381" s="103">
        <v>373</v>
      </c>
      <c r="C381" s="194" t="s">
        <v>1119</v>
      </c>
      <c r="D381" s="225">
        <v>0</v>
      </c>
      <c r="E381" s="225">
        <v>0</v>
      </c>
    </row>
    <row r="382" spans="2:5" ht="12.75" customHeight="1" x14ac:dyDescent="0.2">
      <c r="B382" s="103">
        <v>374</v>
      </c>
      <c r="C382" s="194" t="s">
        <v>1120</v>
      </c>
      <c r="D382" s="225">
        <v>0</v>
      </c>
      <c r="E382" s="225">
        <v>0</v>
      </c>
    </row>
    <row r="383" spans="2:5" ht="12.75" customHeight="1" x14ac:dyDescent="0.2">
      <c r="B383" s="103">
        <v>375</v>
      </c>
      <c r="C383" s="194" t="s">
        <v>1121</v>
      </c>
      <c r="D383" s="225">
        <v>0</v>
      </c>
      <c r="E383" s="225">
        <v>0</v>
      </c>
    </row>
    <row r="384" spans="2:5" ht="12.75" customHeight="1" x14ac:dyDescent="0.2">
      <c r="B384" s="103">
        <v>376</v>
      </c>
      <c r="C384" s="194" t="s">
        <v>1122</v>
      </c>
      <c r="D384" s="225">
        <v>0</v>
      </c>
      <c r="E384" s="225">
        <v>0</v>
      </c>
    </row>
    <row r="385" spans="2:5" ht="12.75" customHeight="1" x14ac:dyDescent="0.2">
      <c r="B385" s="103">
        <v>377</v>
      </c>
      <c r="C385" s="194" t="s">
        <v>1123</v>
      </c>
      <c r="D385" s="225">
        <v>0</v>
      </c>
      <c r="E385" s="225">
        <v>0</v>
      </c>
    </row>
    <row r="386" spans="2:5" ht="12.75" customHeight="1" x14ac:dyDescent="0.2">
      <c r="B386" s="103">
        <v>378</v>
      </c>
      <c r="C386" s="194" t="s">
        <v>1124</v>
      </c>
      <c r="D386" s="225">
        <v>0</v>
      </c>
      <c r="E386" s="225">
        <v>0</v>
      </c>
    </row>
    <row r="387" spans="2:5" ht="12.75" customHeight="1" x14ac:dyDescent="0.2">
      <c r="B387" s="103">
        <v>379</v>
      </c>
      <c r="C387" s="194" t="s">
        <v>1125</v>
      </c>
      <c r="D387" s="225">
        <v>0</v>
      </c>
      <c r="E387" s="225">
        <v>0</v>
      </c>
    </row>
    <row r="388" spans="2:5" ht="12.75" customHeight="1" x14ac:dyDescent="0.2">
      <c r="B388" s="103">
        <v>380</v>
      </c>
      <c r="C388" s="194" t="s">
        <v>1126</v>
      </c>
      <c r="D388" s="225">
        <v>0</v>
      </c>
      <c r="E388" s="225">
        <v>0</v>
      </c>
    </row>
    <row r="389" spans="2:5" ht="12.75" customHeight="1" x14ac:dyDescent="0.2">
      <c r="B389" s="103">
        <v>381</v>
      </c>
      <c r="C389" s="194" t="s">
        <v>1127</v>
      </c>
      <c r="D389" s="225">
        <v>0</v>
      </c>
      <c r="E389" s="225">
        <v>0</v>
      </c>
    </row>
    <row r="390" spans="2:5" ht="12.75" customHeight="1" x14ac:dyDescent="0.2">
      <c r="B390" s="103">
        <v>382</v>
      </c>
      <c r="C390" s="194" t="s">
        <v>1128</v>
      </c>
      <c r="D390" s="225">
        <v>0</v>
      </c>
      <c r="E390" s="225">
        <v>0</v>
      </c>
    </row>
    <row r="391" spans="2:5" ht="12.75" customHeight="1" x14ac:dyDescent="0.2">
      <c r="B391" s="103">
        <v>383</v>
      </c>
      <c r="C391" s="194" t="s">
        <v>1129</v>
      </c>
      <c r="D391" s="225">
        <v>0</v>
      </c>
      <c r="E391" s="225">
        <v>0</v>
      </c>
    </row>
    <row r="392" spans="2:5" ht="12.75" customHeight="1" x14ac:dyDescent="0.2">
      <c r="B392" s="103">
        <v>384</v>
      </c>
      <c r="C392" s="194" t="s">
        <v>1130</v>
      </c>
      <c r="D392" s="225">
        <v>0</v>
      </c>
      <c r="E392" s="225">
        <v>0</v>
      </c>
    </row>
    <row r="393" spans="2:5" ht="12.75" customHeight="1" x14ac:dyDescent="0.2">
      <c r="B393" s="103">
        <v>385</v>
      </c>
      <c r="C393" s="194" t="s">
        <v>1131</v>
      </c>
      <c r="D393" s="225">
        <v>0</v>
      </c>
      <c r="E393" s="225">
        <v>0</v>
      </c>
    </row>
    <row r="394" spans="2:5" ht="12.75" customHeight="1" x14ac:dyDescent="0.2">
      <c r="B394" s="103">
        <v>386</v>
      </c>
      <c r="C394" s="194" t="s">
        <v>1132</v>
      </c>
      <c r="D394" s="225">
        <v>0</v>
      </c>
      <c r="E394" s="225">
        <v>0</v>
      </c>
    </row>
    <row r="395" spans="2:5" ht="12.75" customHeight="1" x14ac:dyDescent="0.2">
      <c r="B395" s="103">
        <v>387</v>
      </c>
      <c r="C395" s="194" t="s">
        <v>1133</v>
      </c>
      <c r="D395" s="225">
        <v>0</v>
      </c>
      <c r="E395" s="225">
        <v>0</v>
      </c>
    </row>
    <row r="396" spans="2:5" ht="12.75" customHeight="1" x14ac:dyDescent="0.2">
      <c r="B396" s="103">
        <v>388</v>
      </c>
      <c r="C396" s="194" t="s">
        <v>1134</v>
      </c>
      <c r="D396" s="225">
        <v>0</v>
      </c>
      <c r="E396" s="225">
        <v>0</v>
      </c>
    </row>
    <row r="397" spans="2:5" ht="12.75" customHeight="1" x14ac:dyDescent="0.2">
      <c r="B397" s="103">
        <v>389</v>
      </c>
      <c r="C397" s="194" t="s">
        <v>1135</v>
      </c>
      <c r="D397" s="225">
        <v>0</v>
      </c>
      <c r="E397" s="225">
        <v>0</v>
      </c>
    </row>
    <row r="398" spans="2:5" ht="12.75" customHeight="1" x14ac:dyDescent="0.2">
      <c r="B398" s="103">
        <v>390</v>
      </c>
      <c r="C398" s="194" t="s">
        <v>1136</v>
      </c>
      <c r="D398" s="225">
        <v>0</v>
      </c>
      <c r="E398" s="225">
        <v>0</v>
      </c>
    </row>
    <row r="399" spans="2:5" ht="12.75" customHeight="1" x14ac:dyDescent="0.2">
      <c r="B399" s="103">
        <v>391</v>
      </c>
      <c r="C399" s="194" t="s">
        <v>1137</v>
      </c>
      <c r="D399" s="225">
        <v>0</v>
      </c>
      <c r="E399" s="225">
        <v>0</v>
      </c>
    </row>
    <row r="400" spans="2:5" ht="12.75" customHeight="1" x14ac:dyDescent="0.2">
      <c r="B400" s="103">
        <v>392</v>
      </c>
      <c r="C400" s="194" t="s">
        <v>1138</v>
      </c>
      <c r="D400" s="225">
        <v>0</v>
      </c>
      <c r="E400" s="225">
        <v>0</v>
      </c>
    </row>
    <row r="401" spans="2:5" ht="12.75" customHeight="1" x14ac:dyDescent="0.2">
      <c r="B401" s="103">
        <v>393</v>
      </c>
      <c r="C401" s="194" t="s">
        <v>1139</v>
      </c>
      <c r="D401" s="225">
        <v>0</v>
      </c>
      <c r="E401" s="225">
        <v>0</v>
      </c>
    </row>
    <row r="402" spans="2:5" ht="12.75" customHeight="1" x14ac:dyDescent="0.2">
      <c r="B402" s="103">
        <v>394</v>
      </c>
      <c r="C402" s="194" t="s">
        <v>1140</v>
      </c>
      <c r="D402" s="225">
        <v>0</v>
      </c>
      <c r="E402" s="225">
        <v>0</v>
      </c>
    </row>
    <row r="403" spans="2:5" ht="12.75" customHeight="1" x14ac:dyDescent="0.2">
      <c r="B403" s="103">
        <v>395</v>
      </c>
      <c r="C403" s="194" t="s">
        <v>1141</v>
      </c>
      <c r="D403" s="225">
        <v>0</v>
      </c>
      <c r="E403" s="225">
        <v>0</v>
      </c>
    </row>
    <row r="404" spans="2:5" ht="12.75" customHeight="1" x14ac:dyDescent="0.2">
      <c r="B404" s="103">
        <v>396</v>
      </c>
      <c r="C404" s="194" t="s">
        <v>1142</v>
      </c>
      <c r="D404" s="225">
        <v>0</v>
      </c>
      <c r="E404" s="225">
        <v>0</v>
      </c>
    </row>
    <row r="405" spans="2:5" ht="12.75" customHeight="1" x14ac:dyDescent="0.2">
      <c r="B405" s="103">
        <v>17</v>
      </c>
      <c r="C405" s="194" t="s">
        <v>1143</v>
      </c>
      <c r="D405" s="225">
        <v>0</v>
      </c>
      <c r="E405" s="225">
        <v>0</v>
      </c>
    </row>
    <row r="406" spans="2:5" ht="12.75" customHeight="1" x14ac:dyDescent="0.2">
      <c r="B406" s="103">
        <v>398</v>
      </c>
      <c r="C406" s="194" t="s">
        <v>1144</v>
      </c>
      <c r="D406" s="225">
        <v>0</v>
      </c>
      <c r="E406" s="225">
        <v>0</v>
      </c>
    </row>
    <row r="407" spans="2:5" ht="12.75" customHeight="1" x14ac:dyDescent="0.2">
      <c r="B407" s="103">
        <v>399</v>
      </c>
      <c r="C407" s="194" t="s">
        <v>1145</v>
      </c>
      <c r="D407" s="225">
        <v>0</v>
      </c>
      <c r="E407" s="225">
        <v>0</v>
      </c>
    </row>
    <row r="408" spans="2:5" ht="12.75" customHeight="1" x14ac:dyDescent="0.2">
      <c r="B408" s="103">
        <v>400</v>
      </c>
      <c r="C408" s="194" t="s">
        <v>1146</v>
      </c>
      <c r="D408" s="225">
        <v>0</v>
      </c>
      <c r="E408" s="225">
        <v>0</v>
      </c>
    </row>
    <row r="409" spans="2:5" ht="12.75" customHeight="1" x14ac:dyDescent="0.2">
      <c r="B409" s="103">
        <v>401</v>
      </c>
      <c r="C409" s="194" t="s">
        <v>1147</v>
      </c>
      <c r="D409" s="225">
        <v>0</v>
      </c>
      <c r="E409" s="225">
        <v>0</v>
      </c>
    </row>
    <row r="410" spans="2:5" ht="12.75" customHeight="1" x14ac:dyDescent="0.2">
      <c r="B410" s="103">
        <v>402</v>
      </c>
      <c r="C410" s="194" t="s">
        <v>1148</v>
      </c>
      <c r="D410" s="225">
        <v>0</v>
      </c>
      <c r="E410" s="225">
        <v>0</v>
      </c>
    </row>
    <row r="411" spans="2:5" ht="12.75" customHeight="1" x14ac:dyDescent="0.2">
      <c r="B411" s="103">
        <v>403</v>
      </c>
      <c r="C411" s="194" t="s">
        <v>1149</v>
      </c>
      <c r="D411" s="225">
        <v>0</v>
      </c>
      <c r="E411" s="225">
        <v>0</v>
      </c>
    </row>
    <row r="412" spans="2:5" ht="12.75" customHeight="1" x14ac:dyDescent="0.2">
      <c r="B412" s="103">
        <v>404</v>
      </c>
      <c r="C412" s="194" t="s">
        <v>1150</v>
      </c>
      <c r="D412" s="225">
        <v>0</v>
      </c>
      <c r="E412" s="225">
        <v>0</v>
      </c>
    </row>
    <row r="413" spans="2:5" ht="12.75" customHeight="1" x14ac:dyDescent="0.2">
      <c r="B413" s="103">
        <v>405</v>
      </c>
      <c r="C413" s="194" t="s">
        <v>1151</v>
      </c>
      <c r="D413" s="225">
        <v>0</v>
      </c>
      <c r="E413" s="225">
        <v>0</v>
      </c>
    </row>
    <row r="414" spans="2:5" ht="12.75" customHeight="1" x14ac:dyDescent="0.2">
      <c r="B414" s="103">
        <v>406</v>
      </c>
      <c r="C414" s="194" t="s">
        <v>1152</v>
      </c>
      <c r="D414" s="225">
        <v>0</v>
      </c>
      <c r="E414" s="225">
        <v>0</v>
      </c>
    </row>
    <row r="415" spans="2:5" ht="12.75" customHeight="1" x14ac:dyDescent="0.2">
      <c r="B415" s="103">
        <v>407</v>
      </c>
      <c r="C415" s="194" t="s">
        <v>1153</v>
      </c>
      <c r="D415" s="225">
        <v>0</v>
      </c>
      <c r="E415" s="225">
        <v>0</v>
      </c>
    </row>
    <row r="416" spans="2:5" ht="12.75" customHeight="1" x14ac:dyDescent="0.2">
      <c r="B416" s="103">
        <v>408</v>
      </c>
      <c r="C416" s="194" t="s">
        <v>1154</v>
      </c>
      <c r="D416" s="225">
        <v>0</v>
      </c>
      <c r="E416" s="225">
        <v>0</v>
      </c>
    </row>
    <row r="417" spans="2:5" ht="12.75" customHeight="1" x14ac:dyDescent="0.2">
      <c r="B417" s="103">
        <v>409</v>
      </c>
      <c r="C417" s="194" t="s">
        <v>1155</v>
      </c>
      <c r="D417" s="225">
        <v>0</v>
      </c>
      <c r="E417" s="225">
        <v>0</v>
      </c>
    </row>
    <row r="418" spans="2:5" ht="12.75" customHeight="1" x14ac:dyDescent="0.2">
      <c r="B418" s="103">
        <v>410</v>
      </c>
      <c r="C418" s="194" t="s">
        <v>1156</v>
      </c>
      <c r="D418" s="225">
        <v>0</v>
      </c>
      <c r="E418" s="225">
        <v>0</v>
      </c>
    </row>
    <row r="419" spans="2:5" ht="12.75" customHeight="1" x14ac:dyDescent="0.2">
      <c r="B419" s="103">
        <v>411</v>
      </c>
      <c r="C419" s="194" t="s">
        <v>1157</v>
      </c>
      <c r="D419" s="225">
        <v>0</v>
      </c>
      <c r="E419" s="225">
        <v>0</v>
      </c>
    </row>
    <row r="420" spans="2:5" ht="12.75" customHeight="1" x14ac:dyDescent="0.2">
      <c r="B420" s="103">
        <v>412</v>
      </c>
      <c r="C420" s="194" t="s">
        <v>1158</v>
      </c>
      <c r="D420" s="225">
        <v>0</v>
      </c>
      <c r="E420" s="225">
        <v>0</v>
      </c>
    </row>
    <row r="421" spans="2:5" ht="12.75" customHeight="1" x14ac:dyDescent="0.2">
      <c r="B421" s="103">
        <v>413</v>
      </c>
      <c r="C421" s="194" t="s">
        <v>1159</v>
      </c>
      <c r="D421" s="225">
        <v>0</v>
      </c>
      <c r="E421" s="225">
        <v>0</v>
      </c>
    </row>
    <row r="422" spans="2:5" ht="12.75" customHeight="1" x14ac:dyDescent="0.2">
      <c r="B422" s="103">
        <v>414</v>
      </c>
      <c r="C422" s="194" t="s">
        <v>1160</v>
      </c>
      <c r="D422" s="225">
        <v>0</v>
      </c>
      <c r="E422" s="225">
        <v>0</v>
      </c>
    </row>
    <row r="423" spans="2:5" ht="12.75" customHeight="1" x14ac:dyDescent="0.2">
      <c r="B423" s="103">
        <v>415</v>
      </c>
      <c r="C423" s="194" t="s">
        <v>1161</v>
      </c>
      <c r="D423" s="225">
        <v>0</v>
      </c>
      <c r="E423" s="225">
        <v>0</v>
      </c>
    </row>
    <row r="424" spans="2:5" ht="12.75" customHeight="1" x14ac:dyDescent="0.2">
      <c r="B424" s="103">
        <v>416</v>
      </c>
      <c r="C424" s="194" t="s">
        <v>1162</v>
      </c>
      <c r="D424" s="225">
        <v>0</v>
      </c>
      <c r="E424" s="225">
        <v>0</v>
      </c>
    </row>
    <row r="425" spans="2:5" ht="12.75" customHeight="1" x14ac:dyDescent="0.2">
      <c r="B425" s="103">
        <v>417</v>
      </c>
      <c r="C425" s="194" t="s">
        <v>1163</v>
      </c>
      <c r="D425" s="225">
        <v>0</v>
      </c>
      <c r="E425" s="225">
        <v>0</v>
      </c>
    </row>
    <row r="426" spans="2:5" ht="12.75" customHeight="1" x14ac:dyDescent="0.2">
      <c r="B426" s="103">
        <v>418</v>
      </c>
      <c r="C426" s="194" t="s">
        <v>1164</v>
      </c>
      <c r="D426" s="225">
        <v>0</v>
      </c>
      <c r="E426" s="225">
        <v>0</v>
      </c>
    </row>
    <row r="427" spans="2:5" ht="12.75" customHeight="1" x14ac:dyDescent="0.2">
      <c r="B427" s="103">
        <v>419</v>
      </c>
      <c r="C427" s="194" t="s">
        <v>1165</v>
      </c>
      <c r="D427" s="225">
        <v>0</v>
      </c>
      <c r="E427" s="225">
        <v>0</v>
      </c>
    </row>
    <row r="428" spans="2:5" ht="12.75" customHeight="1" x14ac:dyDescent="0.2">
      <c r="B428" s="103">
        <v>420</v>
      </c>
      <c r="C428" s="194" t="s">
        <v>1166</v>
      </c>
      <c r="D428" s="225">
        <v>0</v>
      </c>
      <c r="E428" s="225">
        <v>0</v>
      </c>
    </row>
    <row r="429" spans="2:5" ht="12.75" customHeight="1" x14ac:dyDescent="0.2">
      <c r="B429" s="103">
        <v>421</v>
      </c>
      <c r="C429" s="194" t="s">
        <v>1167</v>
      </c>
      <c r="D429" s="225">
        <v>0</v>
      </c>
      <c r="E429" s="225">
        <v>0</v>
      </c>
    </row>
    <row r="430" spans="2:5" ht="12.75" customHeight="1" x14ac:dyDescent="0.2">
      <c r="B430" s="103">
        <v>422</v>
      </c>
      <c r="C430" s="194" t="s">
        <v>1168</v>
      </c>
      <c r="D430" s="225">
        <v>0</v>
      </c>
      <c r="E430" s="225">
        <v>0</v>
      </c>
    </row>
    <row r="431" spans="2:5" ht="12.75" customHeight="1" x14ac:dyDescent="0.2">
      <c r="B431" s="103">
        <v>423</v>
      </c>
      <c r="C431" s="194" t="s">
        <v>1169</v>
      </c>
      <c r="D431" s="225">
        <v>0</v>
      </c>
      <c r="E431" s="225">
        <v>0</v>
      </c>
    </row>
    <row r="432" spans="2:5" ht="12.75" customHeight="1" x14ac:dyDescent="0.2">
      <c r="B432" s="103">
        <v>424</v>
      </c>
      <c r="C432" s="194" t="s">
        <v>1170</v>
      </c>
      <c r="D432" s="225">
        <v>0</v>
      </c>
      <c r="E432" s="225">
        <v>0</v>
      </c>
    </row>
    <row r="433" spans="2:5" ht="12.75" customHeight="1" x14ac:dyDescent="0.2">
      <c r="B433" s="103">
        <v>18</v>
      </c>
      <c r="C433" s="194" t="s">
        <v>1171</v>
      </c>
      <c r="D433" s="225">
        <v>0</v>
      </c>
      <c r="E433" s="225">
        <v>0</v>
      </c>
    </row>
    <row r="434" spans="2:5" ht="12.75" customHeight="1" x14ac:dyDescent="0.2">
      <c r="B434" s="103">
        <v>426</v>
      </c>
      <c r="C434" s="194" t="s">
        <v>1172</v>
      </c>
      <c r="D434" s="225">
        <v>0</v>
      </c>
      <c r="E434" s="225">
        <v>0</v>
      </c>
    </row>
    <row r="435" spans="2:5" ht="12.75" customHeight="1" x14ac:dyDescent="0.2">
      <c r="B435" s="103">
        <v>427</v>
      </c>
      <c r="C435" s="194" t="s">
        <v>1173</v>
      </c>
      <c r="D435" s="225">
        <v>0</v>
      </c>
      <c r="E435" s="225">
        <v>0</v>
      </c>
    </row>
    <row r="436" spans="2:5" ht="12.75" customHeight="1" x14ac:dyDescent="0.2">
      <c r="B436" s="103">
        <v>428</v>
      </c>
      <c r="C436" s="194" t="s">
        <v>1174</v>
      </c>
      <c r="D436" s="225">
        <v>0</v>
      </c>
      <c r="E436" s="225">
        <v>0</v>
      </c>
    </row>
    <row r="437" spans="2:5" ht="12.75" customHeight="1" x14ac:dyDescent="0.2">
      <c r="B437" s="103">
        <v>429</v>
      </c>
      <c r="C437" s="194" t="s">
        <v>1175</v>
      </c>
      <c r="D437" s="225">
        <v>0</v>
      </c>
      <c r="E437" s="225">
        <v>0</v>
      </c>
    </row>
    <row r="438" spans="2:5" ht="12.75" customHeight="1" x14ac:dyDescent="0.2">
      <c r="B438" s="103">
        <v>430</v>
      </c>
      <c r="C438" s="194" t="s">
        <v>1176</v>
      </c>
      <c r="D438" s="225">
        <v>0</v>
      </c>
      <c r="E438" s="225">
        <v>0</v>
      </c>
    </row>
    <row r="439" spans="2:5" ht="12.75" customHeight="1" x14ac:dyDescent="0.2">
      <c r="B439" s="103">
        <v>431</v>
      </c>
      <c r="C439" s="194" t="s">
        <v>1177</v>
      </c>
      <c r="D439" s="225">
        <v>0</v>
      </c>
      <c r="E439" s="225">
        <v>0</v>
      </c>
    </row>
    <row r="440" spans="2:5" ht="12.75" customHeight="1" x14ac:dyDescent="0.2">
      <c r="B440" s="103">
        <v>432</v>
      </c>
      <c r="C440" s="194" t="s">
        <v>1178</v>
      </c>
      <c r="D440" s="225">
        <v>0</v>
      </c>
      <c r="E440" s="225">
        <v>0</v>
      </c>
    </row>
    <row r="441" spans="2:5" ht="12.75" customHeight="1" x14ac:dyDescent="0.2">
      <c r="B441" s="103">
        <v>433</v>
      </c>
      <c r="C441" s="194" t="s">
        <v>1179</v>
      </c>
      <c r="D441" s="225">
        <v>0</v>
      </c>
      <c r="E441" s="225">
        <v>0</v>
      </c>
    </row>
    <row r="442" spans="2:5" ht="12.75" customHeight="1" x14ac:dyDescent="0.2">
      <c r="B442" s="103">
        <v>434</v>
      </c>
      <c r="C442" s="194" t="s">
        <v>1180</v>
      </c>
      <c r="D442" s="225">
        <v>0</v>
      </c>
      <c r="E442" s="225">
        <v>0</v>
      </c>
    </row>
    <row r="443" spans="2:5" ht="12.75" customHeight="1" x14ac:dyDescent="0.2">
      <c r="B443" s="103">
        <v>435</v>
      </c>
      <c r="C443" s="194" t="s">
        <v>1181</v>
      </c>
      <c r="D443" s="225">
        <v>0</v>
      </c>
      <c r="E443" s="225">
        <v>0</v>
      </c>
    </row>
    <row r="444" spans="2:5" ht="12.75" customHeight="1" x14ac:dyDescent="0.2">
      <c r="B444" s="103">
        <v>436</v>
      </c>
      <c r="C444" s="194" t="s">
        <v>1182</v>
      </c>
      <c r="D444" s="225">
        <v>0</v>
      </c>
      <c r="E444" s="225">
        <v>0</v>
      </c>
    </row>
    <row r="445" spans="2:5" ht="12.75" customHeight="1" x14ac:dyDescent="0.2">
      <c r="B445" s="103">
        <v>437</v>
      </c>
      <c r="C445" s="194" t="s">
        <v>1183</v>
      </c>
      <c r="D445" s="225">
        <v>0</v>
      </c>
      <c r="E445" s="225">
        <v>0</v>
      </c>
    </row>
    <row r="446" spans="2:5" ht="12.75" customHeight="1" x14ac:dyDescent="0.2">
      <c r="B446" s="103">
        <v>438</v>
      </c>
      <c r="C446" s="194" t="s">
        <v>1184</v>
      </c>
      <c r="D446" s="225">
        <v>0</v>
      </c>
      <c r="E446" s="225">
        <v>0</v>
      </c>
    </row>
    <row r="447" spans="2:5" ht="12.75" customHeight="1" x14ac:dyDescent="0.2">
      <c r="B447" s="103">
        <v>439</v>
      </c>
      <c r="C447" s="194" t="s">
        <v>1185</v>
      </c>
      <c r="D447" s="225">
        <v>0</v>
      </c>
      <c r="E447" s="225">
        <v>0</v>
      </c>
    </row>
    <row r="448" spans="2:5" ht="12.75" customHeight="1" x14ac:dyDescent="0.2">
      <c r="B448" s="103">
        <v>440</v>
      </c>
      <c r="C448" s="194" t="s">
        <v>1186</v>
      </c>
      <c r="D448" s="225">
        <v>0</v>
      </c>
      <c r="E448" s="225">
        <v>0</v>
      </c>
    </row>
    <row r="449" spans="2:7" x14ac:dyDescent="0.2">
      <c r="B449" s="103">
        <v>441</v>
      </c>
      <c r="C449" s="87" t="s">
        <v>486</v>
      </c>
      <c r="D449" s="262">
        <f>SUM(D10:D448)</f>
        <v>0</v>
      </c>
      <c r="E449" s="262">
        <f>SUM(E10:E448)</f>
        <v>0</v>
      </c>
    </row>
    <row r="450" spans="2:7" ht="6" customHeight="1" x14ac:dyDescent="0.2"/>
    <row r="451" spans="2:7" ht="6" customHeight="1" x14ac:dyDescent="0.2"/>
    <row r="452" spans="2:7" x14ac:dyDescent="0.2">
      <c r="C452" s="261" t="s">
        <v>1187</v>
      </c>
      <c r="D452" s="192">
        <f>'02'!$E$144</f>
        <v>1668530568</v>
      </c>
      <c r="E452" s="192">
        <f>'02'!$F$144</f>
        <v>1655160752</v>
      </c>
      <c r="G452" s="57"/>
    </row>
    <row r="453" spans="2:7" ht="6" customHeight="1" x14ac:dyDescent="0.2"/>
    <row r="454" spans="2:7" x14ac:dyDescent="0.2">
      <c r="D454" s="57">
        <f>SUBTOTAL(9,D12:D433)</f>
        <v>0</v>
      </c>
      <c r="E454" s="57">
        <f>SUBTOTAL(9,E12:E433)</f>
        <v>0</v>
      </c>
    </row>
    <row r="455" spans="2:7" x14ac:dyDescent="0.2">
      <c r="D455" s="57">
        <f>D452-D454</f>
        <v>1668530568</v>
      </c>
      <c r="E455" s="57">
        <f>E452-E454</f>
        <v>1655160752</v>
      </c>
    </row>
    <row r="457" spans="2:7" x14ac:dyDescent="0.2">
      <c r="E457" s="57"/>
    </row>
    <row r="458" spans="2:7" x14ac:dyDescent="0.2">
      <c r="E458" s="57"/>
    </row>
    <row r="459" spans="2:7" x14ac:dyDescent="0.2">
      <c r="E459" s="57"/>
    </row>
  </sheetData>
  <sheetProtection algorithmName="SHA-512" hashValue="uUvmTTSTp+h3UhpZEpsdQAvFRRuNk3z2ZCBsj3+4zcBnF5DIftaZJK4EieNtLhKtegnQvQ0UbfWHRAy6MkeW2A==" saltValue="YUSN4rwnvOVSEj0XFr1V2A==" spinCount="100000" sheet="1" formatCells="0" formatColumns="0" sort="0" autoFilter="0"/>
  <autoFilter ref="B9:E449" xr:uid="{00000000-0001-0000-6C00-000000000000}"/>
  <mergeCells count="5">
    <mergeCell ref="B2:E2"/>
    <mergeCell ref="B3:E3"/>
    <mergeCell ref="B4:E4"/>
    <mergeCell ref="B6:E6"/>
    <mergeCell ref="B5:E5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14" orientation="portrait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Munka48">
    <tabColor theme="4" tint="-0.249977111117893"/>
    <pageSetUpPr fitToPage="1"/>
  </sheetPr>
  <dimension ref="B1:J16"/>
  <sheetViews>
    <sheetView view="pageBreakPreview" zoomScaleSheetLayoutView="100" workbookViewId="0">
      <selection activeCell="K10" sqref="K10"/>
    </sheetView>
  </sheetViews>
  <sheetFormatPr defaultColWidth="9" defaultRowHeight="12.75" x14ac:dyDescent="0.2"/>
  <cols>
    <col min="1" max="1" width="0.875" style="1" customWidth="1"/>
    <col min="2" max="2" width="5.625" style="1" customWidth="1"/>
    <col min="3" max="3" width="5" style="1" customWidth="1"/>
    <col min="4" max="5" width="30.625" style="1" customWidth="1"/>
    <col min="6" max="7" width="12.625" style="1" customWidth="1"/>
    <col min="8" max="8" width="0.875" style="1" customWidth="1"/>
    <col min="9" max="16384" width="9" style="1"/>
  </cols>
  <sheetData>
    <row r="1" spans="2:10" ht="6" customHeight="1" x14ac:dyDescent="0.2"/>
    <row r="2" spans="2:10" s="139" customFormat="1" ht="15.75" x14ac:dyDescent="0.25">
      <c r="B2" s="532" t="str">
        <f>CONCATENATE(Index!C42," a(z) ",Index!E16," önkormányzati rendelethez")</f>
        <v>23. melléklet a(z) .../2025. (...) önkormányzati rendelethez</v>
      </c>
      <c r="C2" s="532"/>
      <c r="D2" s="532"/>
      <c r="E2" s="532"/>
      <c r="F2" s="532"/>
      <c r="G2" s="532"/>
    </row>
    <row r="3" spans="2:10" s="139" customFormat="1" ht="15.75" customHeight="1" x14ac:dyDescent="0.25">
      <c r="B3" s="550"/>
      <c r="C3" s="550"/>
      <c r="D3" s="550"/>
      <c r="E3" s="550"/>
      <c r="F3" s="550"/>
      <c r="G3" s="550"/>
    </row>
    <row r="4" spans="2:10" s="139" customFormat="1" ht="15.75" customHeight="1" x14ac:dyDescent="0.25">
      <c r="B4" s="533" t="str">
        <f>PAR!E3</f>
        <v>Nagymaros Város Önkormányzata</v>
      </c>
      <c r="C4" s="533"/>
      <c r="D4" s="533"/>
      <c r="E4" s="533"/>
      <c r="F4" s="533"/>
      <c r="G4" s="533"/>
    </row>
    <row r="5" spans="2:10" s="139" customFormat="1" ht="17.25" customHeight="1" x14ac:dyDescent="0.25">
      <c r="B5" s="542" t="str">
        <f>CONCATENATE("Kimutatás ",PAR!H3," évben céljelleggel tervezett támogatásokról")</f>
        <v>Kimutatás 2025. évben céljelleggel tervezett támogatásokról</v>
      </c>
      <c r="C5" s="542"/>
      <c r="D5" s="542"/>
      <c r="E5" s="542"/>
      <c r="F5" s="542"/>
      <c r="G5" s="542"/>
    </row>
    <row r="6" spans="2:10" s="139" customFormat="1" ht="17.25" customHeight="1" x14ac:dyDescent="0.25">
      <c r="B6" s="543" t="s">
        <v>337</v>
      </c>
      <c r="C6" s="543"/>
      <c r="D6" s="543"/>
      <c r="E6" s="543"/>
      <c r="F6" s="543"/>
      <c r="G6" s="543"/>
    </row>
    <row r="7" spans="2:10" s="139" customFormat="1" ht="15.75" x14ac:dyDescent="0.25">
      <c r="E7" s="551"/>
      <c r="F7" s="551"/>
      <c r="G7" s="551"/>
    </row>
    <row r="8" spans="2:10" x14ac:dyDescent="0.2">
      <c r="B8" s="103"/>
      <c r="C8" s="103" t="s">
        <v>350</v>
      </c>
      <c r="D8" s="103" t="s">
        <v>351</v>
      </c>
      <c r="E8" s="197" t="s">
        <v>470</v>
      </c>
      <c r="F8" s="197" t="s">
        <v>471</v>
      </c>
      <c r="G8" s="197" t="s">
        <v>44</v>
      </c>
    </row>
    <row r="9" spans="2:10" ht="38.25" x14ac:dyDescent="0.2">
      <c r="B9" s="77">
        <v>1</v>
      </c>
      <c r="C9" s="154" t="s">
        <v>348</v>
      </c>
      <c r="D9" s="143" t="s">
        <v>560</v>
      </c>
      <c r="E9" s="143" t="s">
        <v>561</v>
      </c>
      <c r="F9" s="163" t="str">
        <f>CONCATENATE(PAR!$H$3," évi
eredeti 
előirányzat")</f>
        <v>2025. évi
eredeti 
előirányzat</v>
      </c>
      <c r="G9" s="163" t="str">
        <f>CONCATENATE(PAR!$H$3," évi
módosított 
előirányzat")</f>
        <v>2025. évi
módosított 
előirányzat</v>
      </c>
      <c r="I9" s="57"/>
    </row>
    <row r="10" spans="2:10" x14ac:dyDescent="0.2">
      <c r="B10" s="103">
        <v>2</v>
      </c>
      <c r="C10" s="77">
        <v>1</v>
      </c>
      <c r="D10" s="141"/>
      <c r="E10" s="141"/>
      <c r="F10" s="144"/>
      <c r="G10" s="144"/>
      <c r="J10" s="57"/>
    </row>
    <row r="11" spans="2:10" x14ac:dyDescent="0.2">
      <c r="B11" s="103">
        <v>3</v>
      </c>
      <c r="C11" s="77">
        <v>2</v>
      </c>
      <c r="D11" s="332"/>
      <c r="E11" s="141"/>
      <c r="F11" s="144"/>
      <c r="G11" s="144"/>
      <c r="J11" s="57"/>
    </row>
    <row r="12" spans="2:10" x14ac:dyDescent="0.2">
      <c r="B12" s="103">
        <v>4</v>
      </c>
      <c r="C12" s="77">
        <v>3</v>
      </c>
      <c r="D12" s="332"/>
      <c r="E12" s="141"/>
      <c r="F12" s="144"/>
      <c r="G12" s="144"/>
      <c r="J12" s="57"/>
    </row>
    <row r="13" spans="2:10" x14ac:dyDescent="0.2">
      <c r="B13" s="103">
        <v>5</v>
      </c>
      <c r="C13" s="77">
        <v>4</v>
      </c>
      <c r="D13" s="332"/>
      <c r="E13" s="141"/>
      <c r="F13" s="144"/>
      <c r="G13" s="144"/>
      <c r="J13" s="57"/>
    </row>
    <row r="14" spans="2:10" x14ac:dyDescent="0.2">
      <c r="B14" s="103">
        <v>6</v>
      </c>
      <c r="C14" s="77">
        <v>5</v>
      </c>
      <c r="D14" s="332"/>
      <c r="E14" s="141"/>
      <c r="F14" s="144"/>
      <c r="G14" s="144"/>
      <c r="J14" s="57"/>
    </row>
    <row r="15" spans="2:10" x14ac:dyDescent="0.2">
      <c r="B15" s="103">
        <v>7</v>
      </c>
      <c r="C15" s="143">
        <v>6</v>
      </c>
      <c r="D15" s="142" t="s">
        <v>486</v>
      </c>
      <c r="E15" s="196"/>
      <c r="F15" s="148">
        <f>SUM(F10:F14)</f>
        <v>0</v>
      </c>
      <c r="G15" s="148">
        <f>SUM(G10:G14)</f>
        <v>0</v>
      </c>
    </row>
    <row r="16" spans="2:10" ht="6" customHeight="1" x14ac:dyDescent="0.2"/>
  </sheetData>
  <sheetProtection algorithmName="SHA-512" hashValue="PBEUFSLeKSFm6upUhFZFmDZ07vGXMYQaxWRa+SDWaxjYAx/XI01vF/2pn341R/YokmF/zlInZVeCLWkuDsptgA==" saltValue="XlDK0S4vyVUcB+7oPU2bkw==" spinCount="100000" sheet="1" objects="1" scenarios="1" formatCells="0" formatColumns="0" formatRows="0" insertRows="0" deleteRows="0"/>
  <mergeCells count="6">
    <mergeCell ref="E7:G7"/>
    <mergeCell ref="B2:G2"/>
    <mergeCell ref="B3:G3"/>
    <mergeCell ref="B4:G4"/>
    <mergeCell ref="B5:G5"/>
    <mergeCell ref="B6:G6"/>
  </mergeCells>
  <printOptions horizontalCentered="1"/>
  <pageMargins left="0.39370078740157483" right="0.39370078740157483" top="0.39370078740157483" bottom="0.39370078740157483" header="0.78740157480314965" footer="0.59055118110236227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Munka49">
    <tabColor theme="4" tint="-0.249977111117893"/>
    <pageSetUpPr fitToPage="1"/>
  </sheetPr>
  <dimension ref="B1:H55"/>
  <sheetViews>
    <sheetView view="pageBreakPreview" topLeftCell="A20" zoomScaleSheetLayoutView="100" workbookViewId="0">
      <selection activeCell="J38" sqref="J38"/>
    </sheetView>
  </sheetViews>
  <sheetFormatPr defaultColWidth="9" defaultRowHeight="15.75" x14ac:dyDescent="0.25"/>
  <cols>
    <col min="1" max="1" width="0.875" style="10" customWidth="1"/>
    <col min="2" max="2" width="5.625" style="10" customWidth="1"/>
    <col min="3" max="3" width="5.125" style="10" customWidth="1"/>
    <col min="4" max="4" width="59.75" style="10" customWidth="1"/>
    <col min="5" max="5" width="10.75" style="11" customWidth="1"/>
    <col min="6" max="7" width="10.75" style="10" customWidth="1"/>
    <col min="8" max="8" width="0.875" style="10" customWidth="1"/>
    <col min="9" max="10" width="9" style="10"/>
    <col min="11" max="11" width="15.5" style="10" bestFit="1" customWidth="1"/>
    <col min="12" max="16384" width="9" style="10"/>
  </cols>
  <sheetData>
    <row r="1" spans="2:8" ht="6" customHeight="1" x14ac:dyDescent="0.25"/>
    <row r="2" spans="2:8" x14ac:dyDescent="0.25">
      <c r="B2" s="510" t="str">
        <f>CONCATENATE(Index!C43," a(z) ",Index!E16," önkormányzati rendelethez")</f>
        <v>24. melléklet a(z) .../2025. (...) önkormányzati rendelethez</v>
      </c>
      <c r="C2" s="510"/>
      <c r="D2" s="510"/>
      <c r="E2" s="510"/>
      <c r="F2" s="510"/>
      <c r="G2" s="510"/>
    </row>
    <row r="3" spans="2:8" x14ac:dyDescent="0.25">
      <c r="B3" s="536"/>
      <c r="C3" s="536"/>
      <c r="D3" s="536"/>
      <c r="E3" s="536"/>
      <c r="F3" s="536"/>
      <c r="G3" s="536"/>
    </row>
    <row r="4" spans="2:8" x14ac:dyDescent="0.25">
      <c r="B4" s="511" t="str">
        <f>PAR!E3</f>
        <v>Nagymaros Város Önkormányzata</v>
      </c>
      <c r="C4" s="511"/>
      <c r="D4" s="511"/>
      <c r="E4" s="511"/>
      <c r="F4" s="511"/>
      <c r="G4" s="511"/>
    </row>
    <row r="5" spans="2:8" ht="15.75" customHeight="1" x14ac:dyDescent="0.25">
      <c r="B5" s="552" t="str">
        <f>CONCATENATE(PAR!H3," évi költségvetési évet követő 3 év tervezett bevételei és kiadásai")</f>
        <v>2025. évi költségvetési évet követő 3 év tervezett bevételei és kiadásai</v>
      </c>
      <c r="C5" s="552"/>
      <c r="D5" s="552"/>
      <c r="E5" s="552"/>
      <c r="F5" s="552"/>
      <c r="G5" s="552"/>
    </row>
    <row r="6" spans="2:8" ht="15.75" customHeight="1" x14ac:dyDescent="0.25">
      <c r="B6" s="553" t="s">
        <v>337</v>
      </c>
      <c r="C6" s="553"/>
      <c r="D6" s="553"/>
      <c r="E6" s="553"/>
      <c r="F6" s="553"/>
      <c r="G6" s="553"/>
    </row>
    <row r="7" spans="2:8" s="38" customFormat="1" x14ac:dyDescent="0.25">
      <c r="C7" s="156"/>
      <c r="E7" s="140"/>
    </row>
    <row r="8" spans="2:8" s="38" customFormat="1" ht="15.75" customHeight="1" x14ac:dyDescent="0.25">
      <c r="B8" s="537" t="s">
        <v>635</v>
      </c>
      <c r="C8" s="537"/>
      <c r="D8" s="537"/>
      <c r="E8" s="537"/>
      <c r="F8" s="537"/>
      <c r="G8" s="537"/>
      <c r="H8" s="101"/>
    </row>
    <row r="9" spans="2:8" s="38" customFormat="1" x14ac:dyDescent="0.25">
      <c r="C9" s="156"/>
      <c r="E9" s="140"/>
    </row>
    <row r="10" spans="2:8" s="40" customFormat="1" ht="12.75" x14ac:dyDescent="0.25">
      <c r="B10" s="77"/>
      <c r="C10" s="77" t="s">
        <v>350</v>
      </c>
      <c r="D10" s="77" t="s">
        <v>351</v>
      </c>
      <c r="E10" s="77" t="s">
        <v>470</v>
      </c>
      <c r="F10" s="77" t="s">
        <v>471</v>
      </c>
      <c r="G10" s="77" t="s">
        <v>44</v>
      </c>
    </row>
    <row r="11" spans="2:8" s="18" customFormat="1" ht="25.5" x14ac:dyDescent="0.25">
      <c r="B11" s="68">
        <v>1</v>
      </c>
      <c r="C11" s="78" t="s">
        <v>348</v>
      </c>
      <c r="D11" s="78" t="s">
        <v>349</v>
      </c>
      <c r="E11" s="69" t="str">
        <f>CONCATENATE(PAR!$H$7," évi")</f>
        <v>2026. évi</v>
      </c>
      <c r="F11" s="69" t="str">
        <f>CONCATENATE(PAR!$H$8," évi")</f>
        <v>2027. évi</v>
      </c>
      <c r="G11" s="69" t="str">
        <f>CONCATENATE(PAR!$H$13," évi")</f>
        <v>2028. évi</v>
      </c>
    </row>
    <row r="12" spans="2:8" s="18" customFormat="1" ht="12.75" x14ac:dyDescent="0.25">
      <c r="B12" s="68">
        <v>2</v>
      </c>
      <c r="C12" s="78" t="s">
        <v>352</v>
      </c>
      <c r="D12" s="86" t="s">
        <v>562</v>
      </c>
      <c r="E12" s="80"/>
      <c r="F12" s="80"/>
      <c r="G12" s="80"/>
    </row>
    <row r="13" spans="2:8" s="18" customFormat="1" ht="12.75" x14ac:dyDescent="0.25">
      <c r="B13" s="68">
        <v>3</v>
      </c>
      <c r="C13" s="78" t="s">
        <v>358</v>
      </c>
      <c r="D13" s="159" t="s">
        <v>437</v>
      </c>
      <c r="E13" s="80"/>
      <c r="F13" s="80"/>
      <c r="G13" s="80"/>
    </row>
    <row r="14" spans="2:8" s="18" customFormat="1" ht="12.75" x14ac:dyDescent="0.25">
      <c r="B14" s="68">
        <v>4</v>
      </c>
      <c r="C14" s="78" t="s">
        <v>364</v>
      </c>
      <c r="D14" s="86" t="s">
        <v>449</v>
      </c>
      <c r="E14" s="80"/>
      <c r="F14" s="80"/>
      <c r="G14" s="80"/>
    </row>
    <row r="15" spans="2:8" s="18" customFormat="1" ht="12.75" x14ac:dyDescent="0.25">
      <c r="B15" s="68">
        <v>5</v>
      </c>
      <c r="C15" s="78" t="s">
        <v>365</v>
      </c>
      <c r="D15" s="86" t="s">
        <v>513</v>
      </c>
      <c r="E15" s="80">
        <f>SUM(E16:E21)</f>
        <v>0</v>
      </c>
      <c r="F15" s="80">
        <f>SUM(F16:F21)</f>
        <v>0</v>
      </c>
      <c r="G15" s="80">
        <f>SUM(G16:G21)</f>
        <v>0</v>
      </c>
    </row>
    <row r="16" spans="2:8" s="18" customFormat="1" ht="12.75" customHeight="1" x14ac:dyDescent="0.2">
      <c r="B16" s="68">
        <v>6</v>
      </c>
      <c r="C16" s="81" t="s">
        <v>366</v>
      </c>
      <c r="D16" s="82" t="s">
        <v>249</v>
      </c>
      <c r="E16" s="83"/>
      <c r="F16" s="83"/>
      <c r="G16" s="83"/>
    </row>
    <row r="17" spans="2:8" s="18" customFormat="1" ht="12.75" x14ac:dyDescent="0.2">
      <c r="B17" s="68">
        <v>7</v>
      </c>
      <c r="C17" s="81" t="s">
        <v>367</v>
      </c>
      <c r="D17" s="82" t="s">
        <v>251</v>
      </c>
      <c r="E17" s="83"/>
      <c r="F17" s="83"/>
      <c r="G17" s="83"/>
    </row>
    <row r="18" spans="2:8" s="18" customFormat="1" ht="12.75" x14ac:dyDescent="0.2">
      <c r="B18" s="68">
        <v>8</v>
      </c>
      <c r="C18" s="81" t="s">
        <v>368</v>
      </c>
      <c r="D18" s="82" t="s">
        <v>253</v>
      </c>
      <c r="E18" s="83"/>
      <c r="F18" s="83"/>
      <c r="G18" s="83"/>
    </row>
    <row r="19" spans="2:8" s="18" customFormat="1" ht="12.75" x14ac:dyDescent="0.2">
      <c r="B19" s="68">
        <v>9</v>
      </c>
      <c r="C19" s="81" t="s">
        <v>369</v>
      </c>
      <c r="D19" s="82" t="s">
        <v>256</v>
      </c>
      <c r="E19" s="83"/>
      <c r="F19" s="83"/>
      <c r="G19" s="83"/>
    </row>
    <row r="20" spans="2:8" s="18" customFormat="1" ht="12.75" x14ac:dyDescent="0.2">
      <c r="B20" s="68">
        <v>10</v>
      </c>
      <c r="C20" s="81" t="s">
        <v>370</v>
      </c>
      <c r="D20" s="82" t="s">
        <v>258</v>
      </c>
      <c r="E20" s="83"/>
      <c r="F20" s="83"/>
      <c r="G20" s="83"/>
    </row>
    <row r="21" spans="2:8" s="18" customFormat="1" ht="12.75" x14ac:dyDescent="0.2">
      <c r="B21" s="68">
        <v>11</v>
      </c>
      <c r="C21" s="81" t="s">
        <v>371</v>
      </c>
      <c r="D21" s="82" t="s">
        <v>260</v>
      </c>
      <c r="E21" s="83"/>
      <c r="F21" s="83"/>
      <c r="G21" s="83"/>
    </row>
    <row r="22" spans="2:8" s="18" customFormat="1" ht="12.75" x14ac:dyDescent="0.25">
      <c r="B22" s="68">
        <v>12</v>
      </c>
      <c r="C22" s="78" t="s">
        <v>372</v>
      </c>
      <c r="D22" s="86" t="s">
        <v>563</v>
      </c>
      <c r="E22" s="80"/>
      <c r="F22" s="80"/>
      <c r="G22" s="80"/>
    </row>
    <row r="23" spans="2:8" s="18" customFormat="1" ht="12.75" x14ac:dyDescent="0.25">
      <c r="B23" s="68">
        <v>13</v>
      </c>
      <c r="C23" s="78" t="s">
        <v>379</v>
      </c>
      <c r="D23" s="86" t="s">
        <v>330</v>
      </c>
      <c r="E23" s="80"/>
      <c r="F23" s="80"/>
      <c r="G23" s="80"/>
    </row>
    <row r="24" spans="2:8" s="18" customFormat="1" ht="12.75" x14ac:dyDescent="0.25">
      <c r="B24" s="68">
        <v>14</v>
      </c>
      <c r="C24" s="78" t="s">
        <v>385</v>
      </c>
      <c r="D24" s="86" t="s">
        <v>564</v>
      </c>
      <c r="E24" s="80"/>
      <c r="F24" s="80"/>
      <c r="G24" s="80"/>
    </row>
    <row r="25" spans="2:8" s="18" customFormat="1" ht="12.75" x14ac:dyDescent="0.25">
      <c r="B25" s="68">
        <v>15</v>
      </c>
      <c r="C25" s="78" t="s">
        <v>390</v>
      </c>
      <c r="D25" s="159" t="s">
        <v>565</v>
      </c>
      <c r="E25" s="80"/>
      <c r="F25" s="80"/>
      <c r="G25" s="80"/>
    </row>
    <row r="26" spans="2:8" s="18" customFormat="1" ht="12.75" x14ac:dyDescent="0.25">
      <c r="B26" s="68">
        <v>16</v>
      </c>
      <c r="C26" s="78" t="s">
        <v>429</v>
      </c>
      <c r="D26" s="86" t="s">
        <v>391</v>
      </c>
      <c r="E26" s="80">
        <f>+E12+E13+E14+E15+E22+E23+E24+E25</f>
        <v>0</v>
      </c>
      <c r="F26" s="80">
        <f>+F12+F13+F14+F15+F22+F23+F24+F25</f>
        <v>0</v>
      </c>
      <c r="G26" s="80">
        <f>+G12+G13+G14+G15+G22+G23+G24+G25</f>
        <v>0</v>
      </c>
    </row>
    <row r="27" spans="2:8" s="18" customFormat="1" ht="12.75" x14ac:dyDescent="0.25">
      <c r="B27" s="68">
        <v>17</v>
      </c>
      <c r="C27" s="78" t="s">
        <v>431</v>
      </c>
      <c r="D27" s="86" t="s">
        <v>566</v>
      </c>
      <c r="E27" s="80"/>
      <c r="F27" s="80"/>
      <c r="G27" s="80"/>
    </row>
    <row r="28" spans="2:8" s="18" customFormat="1" ht="12.75" x14ac:dyDescent="0.25">
      <c r="B28" s="68">
        <v>18</v>
      </c>
      <c r="C28" s="78" t="s">
        <v>433</v>
      </c>
      <c r="D28" s="86" t="s">
        <v>567</v>
      </c>
      <c r="E28" s="80">
        <f>+E26+E27</f>
        <v>0</v>
      </c>
      <c r="F28" s="80">
        <f>+F26+F27</f>
        <v>0</v>
      </c>
      <c r="G28" s="80">
        <f>+G26+G27</f>
        <v>0</v>
      </c>
    </row>
    <row r="29" spans="2:8" s="38" customFormat="1" x14ac:dyDescent="0.25">
      <c r="C29" s="156"/>
      <c r="E29" s="140"/>
    </row>
    <row r="30" spans="2:8" s="38" customFormat="1" ht="15.75" customHeight="1" x14ac:dyDescent="0.25">
      <c r="B30" s="537" t="s">
        <v>636</v>
      </c>
      <c r="C30" s="537"/>
      <c r="D30" s="537"/>
      <c r="E30" s="537"/>
      <c r="F30" s="537"/>
      <c r="G30" s="537"/>
      <c r="H30" s="101"/>
    </row>
    <row r="31" spans="2:8" s="38" customFormat="1" x14ac:dyDescent="0.25">
      <c r="C31" s="156"/>
      <c r="E31" s="140"/>
    </row>
    <row r="32" spans="2:8" s="40" customFormat="1" ht="12.75" x14ac:dyDescent="0.25">
      <c r="B32" s="77"/>
      <c r="C32" s="77" t="s">
        <v>350</v>
      </c>
      <c r="D32" s="77" t="s">
        <v>351</v>
      </c>
      <c r="E32" s="77" t="s">
        <v>470</v>
      </c>
      <c r="F32" s="77" t="s">
        <v>471</v>
      </c>
      <c r="G32" s="77" t="s">
        <v>44</v>
      </c>
    </row>
    <row r="33" spans="2:8" s="18" customFormat="1" ht="25.5" x14ac:dyDescent="0.25">
      <c r="B33" s="68">
        <v>1</v>
      </c>
      <c r="C33" s="78" t="s">
        <v>348</v>
      </c>
      <c r="D33" s="78" t="s">
        <v>349</v>
      </c>
      <c r="E33" s="69" t="str">
        <f>CONCATENATE(PAR!$H$7," évi")</f>
        <v>2026. évi</v>
      </c>
      <c r="F33" s="69" t="str">
        <f>CONCATENATE(PAR!$H$8," évi")</f>
        <v>2027. évi</v>
      </c>
      <c r="G33" s="69" t="str">
        <f>CONCATENATE(PAR!$H$13," évi")</f>
        <v>2028. évi</v>
      </c>
    </row>
    <row r="34" spans="2:8" s="18" customFormat="1" ht="12.75" x14ac:dyDescent="0.25">
      <c r="B34" s="68">
        <v>2</v>
      </c>
      <c r="C34" s="78" t="s">
        <v>352</v>
      </c>
      <c r="D34" s="92" t="s">
        <v>568</v>
      </c>
      <c r="E34" s="80"/>
      <c r="F34" s="80"/>
      <c r="G34" s="80"/>
    </row>
    <row r="35" spans="2:8" s="18" customFormat="1" ht="12.75" x14ac:dyDescent="0.25">
      <c r="B35" s="68">
        <v>3</v>
      </c>
      <c r="C35" s="78" t="s">
        <v>358</v>
      </c>
      <c r="D35" s="92" t="s">
        <v>569</v>
      </c>
      <c r="E35" s="80">
        <f>+E36+E37+E38</f>
        <v>0</v>
      </c>
      <c r="F35" s="80">
        <f>+F36+F37+F38</f>
        <v>0</v>
      </c>
      <c r="G35" s="80">
        <f>+G36+G37+G38</f>
        <v>0</v>
      </c>
    </row>
    <row r="36" spans="2:8" s="18" customFormat="1" ht="12.75" x14ac:dyDescent="0.25">
      <c r="B36" s="68">
        <v>4</v>
      </c>
      <c r="C36" s="157" t="s">
        <v>359</v>
      </c>
      <c r="D36" s="161" t="s">
        <v>322</v>
      </c>
      <c r="E36" s="83"/>
      <c r="F36" s="83"/>
      <c r="G36" s="83"/>
    </row>
    <row r="37" spans="2:8" s="18" customFormat="1" ht="12.75" x14ac:dyDescent="0.25">
      <c r="B37" s="68">
        <v>5</v>
      </c>
      <c r="C37" s="157" t="s">
        <v>360</v>
      </c>
      <c r="D37" s="161" t="s">
        <v>323</v>
      </c>
      <c r="E37" s="83"/>
      <c r="F37" s="83"/>
      <c r="G37" s="83"/>
    </row>
    <row r="38" spans="2:8" s="18" customFormat="1" ht="12.75" x14ac:dyDescent="0.25">
      <c r="B38" s="68">
        <v>6</v>
      </c>
      <c r="C38" s="157" t="s">
        <v>361</v>
      </c>
      <c r="D38" s="158" t="s">
        <v>324</v>
      </c>
      <c r="E38" s="83"/>
      <c r="F38" s="83"/>
      <c r="G38" s="83"/>
    </row>
    <row r="39" spans="2:8" s="18" customFormat="1" ht="12.75" x14ac:dyDescent="0.25">
      <c r="B39" s="68">
        <v>7</v>
      </c>
      <c r="C39" s="78" t="s">
        <v>364</v>
      </c>
      <c r="D39" s="86" t="s">
        <v>402</v>
      </c>
      <c r="E39" s="80">
        <f>+E34+E35</f>
        <v>0</v>
      </c>
      <c r="F39" s="80">
        <f>+F34+F35</f>
        <v>0</v>
      </c>
      <c r="G39" s="80">
        <f>+G34+G35</f>
        <v>0</v>
      </c>
    </row>
    <row r="40" spans="2:8" s="18" customFormat="1" ht="12.75" x14ac:dyDescent="0.25">
      <c r="B40" s="68">
        <v>8</v>
      </c>
      <c r="C40" s="78" t="s">
        <v>403</v>
      </c>
      <c r="D40" s="86" t="s">
        <v>570</v>
      </c>
      <c r="E40" s="80"/>
      <c r="F40" s="80"/>
      <c r="G40" s="80"/>
    </row>
    <row r="41" spans="2:8" s="18" customFormat="1" ht="12.75" x14ac:dyDescent="0.25">
      <c r="B41" s="68">
        <v>9</v>
      </c>
      <c r="C41" s="78" t="s">
        <v>372</v>
      </c>
      <c r="D41" s="86" t="s">
        <v>571</v>
      </c>
      <c r="E41" s="168"/>
      <c r="F41" s="168"/>
      <c r="G41" s="168"/>
      <c r="H41" s="58"/>
    </row>
    <row r="42" spans="2:8" s="18" customFormat="1" ht="12.75" x14ac:dyDescent="0.25">
      <c r="B42" s="68">
        <v>10</v>
      </c>
      <c r="C42" s="154" t="s">
        <v>379</v>
      </c>
      <c r="D42" s="159" t="s">
        <v>572</v>
      </c>
      <c r="E42" s="168">
        <f>+E39+E41+E40</f>
        <v>0</v>
      </c>
      <c r="F42" s="168">
        <f>+F39+F41+F40</f>
        <v>0</v>
      </c>
      <c r="G42" s="168">
        <f>+G39+G41+G40</f>
        <v>0</v>
      </c>
    </row>
    <row r="43" spans="2:8" s="18" customFormat="1" ht="6" customHeight="1" x14ac:dyDescent="0.25"/>
    <row r="44" spans="2:8" x14ac:dyDescent="0.25">
      <c r="E44" s="48"/>
      <c r="F44" s="48"/>
      <c r="G44" s="48"/>
    </row>
    <row r="45" spans="2:8" x14ac:dyDescent="0.25">
      <c r="E45" s="48"/>
      <c r="F45" s="48"/>
      <c r="G45" s="48"/>
    </row>
    <row r="46" spans="2:8" ht="16.5" customHeight="1" x14ac:dyDescent="0.25">
      <c r="E46" s="10"/>
    </row>
    <row r="47" spans="2:8" x14ac:dyDescent="0.25">
      <c r="E47" s="10"/>
    </row>
    <row r="48" spans="2:8" x14ac:dyDescent="0.25">
      <c r="E48" s="10"/>
    </row>
    <row r="49" s="10" customFormat="1" x14ac:dyDescent="0.25"/>
    <row r="50" s="10" customFormat="1" x14ac:dyDescent="0.25"/>
    <row r="51" s="10" customFormat="1" x14ac:dyDescent="0.25"/>
    <row r="52" s="10" customFormat="1" x14ac:dyDescent="0.25"/>
    <row r="53" s="10" customFormat="1" x14ac:dyDescent="0.25"/>
    <row r="54" s="10" customFormat="1" x14ac:dyDescent="0.25"/>
    <row r="55" s="10" customFormat="1" x14ac:dyDescent="0.25"/>
  </sheetData>
  <sheetProtection algorithmName="SHA-512" hashValue="6PoUkOai9bHE2AwEDIo3c0MS7bhgUpCvDgHUFAdtRWMB5gRcgDjTbCTPVQedCWQa2d/lS69hPb/r0xOyvDW3eg==" saltValue="9a1uCX4/9u5THkHkBY745Q==" spinCount="100000" sheet="1" objects="1" scenarios="1" formatCells="0" formatColumns="0" formatRows="0"/>
  <mergeCells count="7">
    <mergeCell ref="B8:G8"/>
    <mergeCell ref="B30:G30"/>
    <mergeCell ref="B2:G2"/>
    <mergeCell ref="B3:G3"/>
    <mergeCell ref="B4:G4"/>
    <mergeCell ref="B5:G5"/>
    <mergeCell ref="B6:G6"/>
  </mergeCells>
  <printOptions horizontalCentered="1"/>
  <pageMargins left="0.39370078740157483" right="0.39370078740157483" top="0.39370078740157483" bottom="0.39370078740157483" header="0.78740157480314965" footer="0.59055118110236227"/>
  <pageSetup paperSize="9" scale="91" fitToHeight="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509E4-0772-469E-A9A3-6B6947D1572D}">
  <sheetPr>
    <tabColor theme="4" tint="-0.249977111117893"/>
    <pageSetUpPr fitToPage="1"/>
  </sheetPr>
  <dimension ref="B1:J23"/>
  <sheetViews>
    <sheetView view="pageBreakPreview" zoomScaleNormal="100" zoomScaleSheetLayoutView="100" workbookViewId="0">
      <selection activeCell="M12" sqref="M12"/>
    </sheetView>
  </sheetViews>
  <sheetFormatPr defaultColWidth="9" defaultRowHeight="15.75" x14ac:dyDescent="0.25"/>
  <cols>
    <col min="1" max="1" width="0.875" style="207" customWidth="1"/>
    <col min="2" max="2" width="5.625" style="207" customWidth="1"/>
    <col min="3" max="3" width="5" style="207" customWidth="1"/>
    <col min="4" max="4" width="41.625" style="207" bestFit="1" customWidth="1"/>
    <col min="5" max="10" width="15.5" style="207" customWidth="1"/>
    <col min="11" max="11" width="0.875" style="207" customWidth="1"/>
    <col min="12" max="16384" width="9" style="207"/>
  </cols>
  <sheetData>
    <row r="1" spans="2:10" ht="5.0999999999999996" customHeight="1" x14ac:dyDescent="0.25"/>
    <row r="2" spans="2:10" x14ac:dyDescent="0.25">
      <c r="B2" s="532" t="str">
        <f>CONCATENATE(Index!C44," a(z) ",Index!E16," önkormányzati rendelethez")</f>
        <v>25. melléklet a(z) .../2025. (...) önkormányzati rendelethez</v>
      </c>
      <c r="C2" s="532"/>
      <c r="D2" s="532"/>
      <c r="E2" s="532"/>
      <c r="F2" s="532"/>
      <c r="G2" s="532"/>
      <c r="H2" s="532"/>
      <c r="I2" s="532"/>
      <c r="J2" s="532"/>
    </row>
    <row r="3" spans="2:10" x14ac:dyDescent="0.25">
      <c r="B3" s="550"/>
      <c r="C3" s="550"/>
      <c r="D3" s="550"/>
      <c r="E3" s="550"/>
      <c r="F3" s="550"/>
      <c r="G3" s="550"/>
      <c r="H3" s="550"/>
      <c r="I3" s="550"/>
      <c r="J3" s="550"/>
    </row>
    <row r="4" spans="2:10" x14ac:dyDescent="0.25">
      <c r="B4" s="554" t="str">
        <f>PAR!E3</f>
        <v>Nagymaros Város Önkormányzata</v>
      </c>
      <c r="C4" s="554"/>
      <c r="D4" s="554"/>
      <c r="E4" s="554"/>
      <c r="F4" s="554"/>
      <c r="G4" s="554"/>
      <c r="H4" s="554"/>
      <c r="I4" s="554"/>
      <c r="J4" s="554"/>
    </row>
    <row r="5" spans="2:10" x14ac:dyDescent="0.25">
      <c r="B5" s="555" t="str">
        <f>CONCATENATE("Kimutatás ",PAR!H3," évi lészámgazdálkodásról")</f>
        <v>Kimutatás 2025. évi lészámgazdálkodásról</v>
      </c>
      <c r="C5" s="555"/>
      <c r="D5" s="555"/>
      <c r="E5" s="555"/>
      <c r="F5" s="555"/>
      <c r="G5" s="555"/>
      <c r="H5" s="555"/>
      <c r="I5" s="555"/>
      <c r="J5" s="555"/>
    </row>
    <row r="6" spans="2:10" x14ac:dyDescent="0.25">
      <c r="B6" s="139"/>
      <c r="C6" s="139"/>
      <c r="D6" s="139"/>
      <c r="E6" s="551"/>
      <c r="F6" s="551"/>
      <c r="G6" s="551"/>
      <c r="H6" s="551"/>
      <c r="I6" s="551"/>
      <c r="J6" s="551"/>
    </row>
    <row r="7" spans="2:10" s="206" customFormat="1" ht="12.75" x14ac:dyDescent="0.2">
      <c r="B7" s="103"/>
      <c r="C7" s="103" t="s">
        <v>350</v>
      </c>
      <c r="D7" s="103" t="s">
        <v>351</v>
      </c>
      <c r="E7" s="103" t="s">
        <v>470</v>
      </c>
      <c r="F7" s="103" t="s">
        <v>471</v>
      </c>
      <c r="G7" s="103" t="s">
        <v>44</v>
      </c>
      <c r="H7" s="103" t="s">
        <v>42</v>
      </c>
      <c r="I7" s="103" t="s">
        <v>511</v>
      </c>
      <c r="J7" s="103" t="s">
        <v>591</v>
      </c>
    </row>
    <row r="8" spans="2:10" s="206" customFormat="1" ht="38.25" x14ac:dyDescent="0.2">
      <c r="B8" s="77">
        <v>1</v>
      </c>
      <c r="C8" s="154" t="s">
        <v>348</v>
      </c>
      <c r="D8" s="154" t="s">
        <v>2687</v>
      </c>
      <c r="E8" s="442" t="str">
        <f>IF(PAR!E3&gt;0,PAR!E3,"")</f>
        <v>Nagymaros Város Önkormányzata</v>
      </c>
      <c r="F8" s="442" t="str">
        <f>IF(PAR!E4&gt;0,PAR!E4,"")</f>
        <v>Nagymarosi Polgármesteri Hivatal</v>
      </c>
      <c r="G8" s="442" t="str">
        <f>IF(PAR!E4&gt;0,PAR!E5,"")</f>
        <v>Nagymarosi Napköziotthonos Óvoda és Bölcsőde</v>
      </c>
      <c r="H8" s="442" t="str">
        <f>IF(PAR!E4&gt;0,PAR!E6,"")</f>
        <v>Gondozási Központ</v>
      </c>
      <c r="I8" s="442" t="str">
        <f>IF(PAR!E4&gt;0,PAR!E7,"")</f>
        <v>Nagymaros Városi Könyvtár és Művelődési Ház</v>
      </c>
      <c r="J8" s="154" t="s">
        <v>474</v>
      </c>
    </row>
    <row r="9" spans="2:10" s="440" customFormat="1" ht="12.75" x14ac:dyDescent="0.25">
      <c r="B9" s="77">
        <v>2</v>
      </c>
      <c r="C9" s="77" t="s">
        <v>2672</v>
      </c>
      <c r="D9" s="141" t="s">
        <v>2688</v>
      </c>
      <c r="E9" s="358">
        <v>0</v>
      </c>
      <c r="F9" s="358">
        <v>0</v>
      </c>
      <c r="G9" s="358">
        <v>0</v>
      </c>
      <c r="H9" s="358">
        <v>0</v>
      </c>
      <c r="I9" s="358">
        <v>0</v>
      </c>
      <c r="J9" s="358">
        <f t="shared" ref="J9:J22" si="0">SUM(E9:I9)</f>
        <v>0</v>
      </c>
    </row>
    <row r="10" spans="2:10" s="440" customFormat="1" ht="12.75" x14ac:dyDescent="0.25">
      <c r="B10" s="77">
        <v>3</v>
      </c>
      <c r="C10" s="77" t="s">
        <v>2673</v>
      </c>
      <c r="D10" s="141" t="s">
        <v>2689</v>
      </c>
      <c r="E10" s="358">
        <v>0</v>
      </c>
      <c r="F10" s="358">
        <v>0</v>
      </c>
      <c r="G10" s="358">
        <v>0</v>
      </c>
      <c r="H10" s="358">
        <v>0</v>
      </c>
      <c r="I10" s="358">
        <v>0</v>
      </c>
      <c r="J10" s="358">
        <f t="shared" si="0"/>
        <v>0</v>
      </c>
    </row>
    <row r="11" spans="2:10" s="440" customFormat="1" ht="12.75" x14ac:dyDescent="0.25">
      <c r="B11" s="77">
        <v>4</v>
      </c>
      <c r="C11" s="77" t="s">
        <v>2674</v>
      </c>
      <c r="D11" s="141" t="s">
        <v>2690</v>
      </c>
      <c r="E11" s="358">
        <v>0</v>
      </c>
      <c r="F11" s="358">
        <v>0</v>
      </c>
      <c r="G11" s="358">
        <v>0</v>
      </c>
      <c r="H11" s="358">
        <v>0</v>
      </c>
      <c r="I11" s="358">
        <v>0</v>
      </c>
      <c r="J11" s="358">
        <f t="shared" si="0"/>
        <v>0</v>
      </c>
    </row>
    <row r="12" spans="2:10" s="440" customFormat="1" ht="12.75" x14ac:dyDescent="0.25">
      <c r="B12" s="77">
        <v>5</v>
      </c>
      <c r="C12" s="77" t="s">
        <v>2675</v>
      </c>
      <c r="D12" s="141" t="s">
        <v>2691</v>
      </c>
      <c r="E12" s="358">
        <v>0</v>
      </c>
      <c r="F12" s="358">
        <v>0</v>
      </c>
      <c r="G12" s="358">
        <v>0</v>
      </c>
      <c r="H12" s="358">
        <v>0</v>
      </c>
      <c r="I12" s="358">
        <v>0</v>
      </c>
      <c r="J12" s="358">
        <f t="shared" si="0"/>
        <v>0</v>
      </c>
    </row>
    <row r="13" spans="2:10" s="440" customFormat="1" ht="12.75" x14ac:dyDescent="0.25">
      <c r="B13" s="77">
        <v>6</v>
      </c>
      <c r="C13" s="77" t="s">
        <v>2702</v>
      </c>
      <c r="D13" s="141" t="s">
        <v>2692</v>
      </c>
      <c r="E13" s="358">
        <v>0</v>
      </c>
      <c r="F13" s="358">
        <v>0</v>
      </c>
      <c r="G13" s="358">
        <v>0</v>
      </c>
      <c r="H13" s="358">
        <v>0</v>
      </c>
      <c r="I13" s="358">
        <v>0</v>
      </c>
      <c r="J13" s="358">
        <f t="shared" si="0"/>
        <v>0</v>
      </c>
    </row>
    <row r="14" spans="2:10" s="440" customFormat="1" ht="12.75" x14ac:dyDescent="0.25">
      <c r="B14" s="77">
        <v>7</v>
      </c>
      <c r="C14" s="77" t="s">
        <v>2703</v>
      </c>
      <c r="D14" s="141" t="s">
        <v>2693</v>
      </c>
      <c r="E14" s="358">
        <v>0</v>
      </c>
      <c r="F14" s="358">
        <v>0</v>
      </c>
      <c r="G14" s="358">
        <v>0</v>
      </c>
      <c r="H14" s="358">
        <v>0</v>
      </c>
      <c r="I14" s="358">
        <v>0</v>
      </c>
      <c r="J14" s="358">
        <f t="shared" si="0"/>
        <v>0</v>
      </c>
    </row>
    <row r="15" spans="2:10" s="440" customFormat="1" ht="12.75" x14ac:dyDescent="0.25">
      <c r="B15" s="77">
        <v>8</v>
      </c>
      <c r="C15" s="77" t="s">
        <v>2704</v>
      </c>
      <c r="D15" s="141" t="s">
        <v>2694</v>
      </c>
      <c r="E15" s="358">
        <v>0</v>
      </c>
      <c r="F15" s="358">
        <v>0</v>
      </c>
      <c r="G15" s="358">
        <v>0</v>
      </c>
      <c r="H15" s="358">
        <v>0</v>
      </c>
      <c r="I15" s="358">
        <v>0</v>
      </c>
      <c r="J15" s="358">
        <f t="shared" si="0"/>
        <v>0</v>
      </c>
    </row>
    <row r="16" spans="2:10" s="440" customFormat="1" ht="12.75" x14ac:dyDescent="0.25">
      <c r="B16" s="77">
        <v>9</v>
      </c>
      <c r="C16" s="77" t="s">
        <v>2705</v>
      </c>
      <c r="D16" s="141" t="s">
        <v>2695</v>
      </c>
      <c r="E16" s="358">
        <v>0</v>
      </c>
      <c r="F16" s="358">
        <v>0</v>
      </c>
      <c r="G16" s="358">
        <v>0</v>
      </c>
      <c r="H16" s="358">
        <v>0</v>
      </c>
      <c r="I16" s="358">
        <v>0</v>
      </c>
      <c r="J16" s="358">
        <f t="shared" si="0"/>
        <v>0</v>
      </c>
    </row>
    <row r="17" spans="2:10" s="440" customFormat="1" ht="12.75" x14ac:dyDescent="0.25">
      <c r="B17" s="77">
        <v>10</v>
      </c>
      <c r="C17" s="77" t="s">
        <v>2706</v>
      </c>
      <c r="D17" s="141" t="s">
        <v>2696</v>
      </c>
      <c r="E17" s="358">
        <v>0</v>
      </c>
      <c r="F17" s="358">
        <v>0</v>
      </c>
      <c r="G17" s="358">
        <v>0</v>
      </c>
      <c r="H17" s="358">
        <v>0</v>
      </c>
      <c r="I17" s="358">
        <v>0</v>
      </c>
      <c r="J17" s="358">
        <f t="shared" si="0"/>
        <v>0</v>
      </c>
    </row>
    <row r="18" spans="2:10" s="440" customFormat="1" ht="12.75" x14ac:dyDescent="0.25">
      <c r="B18" s="77">
        <v>11</v>
      </c>
      <c r="C18" s="77" t="s">
        <v>2707</v>
      </c>
      <c r="D18" s="141" t="s">
        <v>2697</v>
      </c>
      <c r="E18" s="358">
        <v>0</v>
      </c>
      <c r="F18" s="358">
        <v>0</v>
      </c>
      <c r="G18" s="358">
        <v>0</v>
      </c>
      <c r="H18" s="358">
        <v>0</v>
      </c>
      <c r="I18" s="358">
        <v>0</v>
      </c>
      <c r="J18" s="358">
        <f t="shared" si="0"/>
        <v>0</v>
      </c>
    </row>
    <row r="19" spans="2:10" s="440" customFormat="1" ht="12.75" x14ac:dyDescent="0.25">
      <c r="B19" s="77">
        <v>12</v>
      </c>
      <c r="C19" s="77" t="s">
        <v>2708</v>
      </c>
      <c r="D19" s="141" t="s">
        <v>2698</v>
      </c>
      <c r="E19" s="358">
        <v>0</v>
      </c>
      <c r="F19" s="358">
        <v>0</v>
      </c>
      <c r="G19" s="358">
        <v>0</v>
      </c>
      <c r="H19" s="358">
        <v>0</v>
      </c>
      <c r="I19" s="358">
        <v>0</v>
      </c>
      <c r="J19" s="358">
        <f t="shared" si="0"/>
        <v>0</v>
      </c>
    </row>
    <row r="20" spans="2:10" s="440" customFormat="1" ht="12.75" x14ac:dyDescent="0.25">
      <c r="B20" s="77">
        <v>13</v>
      </c>
      <c r="C20" s="77" t="s">
        <v>2709</v>
      </c>
      <c r="D20" s="141" t="s">
        <v>2699</v>
      </c>
      <c r="E20" s="358">
        <v>0</v>
      </c>
      <c r="F20" s="358">
        <v>0</v>
      </c>
      <c r="G20" s="358">
        <v>0</v>
      </c>
      <c r="H20" s="358">
        <v>0</v>
      </c>
      <c r="I20" s="358">
        <v>0</v>
      </c>
      <c r="J20" s="358">
        <f t="shared" si="0"/>
        <v>0</v>
      </c>
    </row>
    <row r="21" spans="2:10" s="440" customFormat="1" ht="12.75" x14ac:dyDescent="0.25">
      <c r="B21" s="77">
        <v>14</v>
      </c>
      <c r="C21" s="77" t="s">
        <v>2710</v>
      </c>
      <c r="D21" s="141" t="s">
        <v>2700</v>
      </c>
      <c r="E21" s="358">
        <v>0</v>
      </c>
      <c r="F21" s="358">
        <v>0</v>
      </c>
      <c r="G21" s="358">
        <v>0</v>
      </c>
      <c r="H21" s="358">
        <v>0</v>
      </c>
      <c r="I21" s="358">
        <v>0</v>
      </c>
      <c r="J21" s="358">
        <f t="shared" si="0"/>
        <v>0</v>
      </c>
    </row>
    <row r="22" spans="2:10" s="440" customFormat="1" ht="12.75" x14ac:dyDescent="0.25">
      <c r="B22" s="77">
        <v>15</v>
      </c>
      <c r="C22" s="77" t="s">
        <v>2711</v>
      </c>
      <c r="D22" s="141" t="s">
        <v>2701</v>
      </c>
      <c r="E22" s="358">
        <v>0</v>
      </c>
      <c r="F22" s="358">
        <v>0</v>
      </c>
      <c r="G22" s="358">
        <v>0</v>
      </c>
      <c r="H22" s="358">
        <v>0</v>
      </c>
      <c r="I22" s="358">
        <v>0</v>
      </c>
      <c r="J22" s="358">
        <f t="shared" si="0"/>
        <v>0</v>
      </c>
    </row>
    <row r="23" spans="2:10" s="440" customFormat="1" ht="12.75" x14ac:dyDescent="0.25">
      <c r="B23" s="77">
        <v>16</v>
      </c>
      <c r="C23" s="77"/>
      <c r="D23" s="142" t="s">
        <v>486</v>
      </c>
      <c r="E23" s="441">
        <f>SUM(E9:E22)-E21</f>
        <v>0</v>
      </c>
      <c r="F23" s="441">
        <f t="shared" ref="F23:J23" si="1">SUM(F9:F22)-F21</f>
        <v>0</v>
      </c>
      <c r="G23" s="441">
        <f t="shared" si="1"/>
        <v>0</v>
      </c>
      <c r="H23" s="441">
        <f t="shared" si="1"/>
        <v>0</v>
      </c>
      <c r="I23" s="441">
        <f t="shared" si="1"/>
        <v>0</v>
      </c>
      <c r="J23" s="441">
        <f t="shared" si="1"/>
        <v>0</v>
      </c>
    </row>
  </sheetData>
  <sheetProtection algorithmName="SHA-512" hashValue="K7e5zENZQI84AjydJBFq6IWCcD8JDNnsD4rt7FCSidehi8KFB8DoZirBvdsCmf9iWNiI4jJMSXzA1N3x8eQTJQ==" saltValue="Wmt2yIcl7QvS38jQcUf1aQ==" spinCount="100000" sheet="1" objects="1" scenarios="1" formatCells="0" formatColumns="0" formatRows="0" insertColumns="0" insertRows="0" deleteColumns="0" deleteRows="0"/>
  <mergeCells count="5">
    <mergeCell ref="E6:J6"/>
    <mergeCell ref="B2:J2"/>
    <mergeCell ref="B3:J3"/>
    <mergeCell ref="B4:J4"/>
    <mergeCell ref="B5:J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A7FB8-CCC4-40D1-9A4D-327BA59A9753}">
  <sheetPr>
    <tabColor theme="7" tint="-0.249977111117893"/>
  </sheetPr>
  <dimension ref="B1:M304"/>
  <sheetViews>
    <sheetView showGridLines="0" view="pageBreakPreview" zoomScaleNormal="100" zoomScaleSheetLayoutView="100" workbookViewId="0">
      <pane ySplit="4" topLeftCell="A5" activePane="bottomLeft" state="frozen"/>
      <selection pane="bottomLeft" activeCell="B5" sqref="B5"/>
    </sheetView>
  </sheetViews>
  <sheetFormatPr defaultColWidth="9" defaultRowHeight="12.75" x14ac:dyDescent="0.2"/>
  <cols>
    <col min="1" max="1" width="0.875" style="328" customWidth="1"/>
    <col min="2" max="2" width="8.25" style="326" bestFit="1" customWidth="1"/>
    <col min="3" max="3" width="24" style="326" bestFit="1" customWidth="1"/>
    <col min="4" max="4" width="6.625" style="326" customWidth="1"/>
    <col min="5" max="5" width="11" style="334" customWidth="1"/>
    <col min="6" max="6" width="21.5" style="328" customWidth="1"/>
    <col min="7" max="7" width="15.625" style="328" customWidth="1"/>
    <col min="8" max="8" width="15.625" style="328" hidden="1" customWidth="1"/>
    <col min="9" max="9" width="10.625" style="327" customWidth="1"/>
    <col min="10" max="10" width="16.5" style="328" customWidth="1"/>
    <col min="11" max="11" width="4.875" style="328" bestFit="1" customWidth="1"/>
    <col min="12" max="12" width="9" style="328"/>
    <col min="13" max="13" width="24.5" style="328" customWidth="1"/>
    <col min="14" max="14" width="0.875" style="328" customWidth="1"/>
    <col min="15" max="16384" width="9" style="328"/>
  </cols>
  <sheetData>
    <row r="1" spans="2:13" ht="5.0999999999999996" customHeight="1" x14ac:dyDescent="0.2"/>
    <row r="2" spans="2:13" s="361" customFormat="1" ht="24.75" x14ac:dyDescent="0.4">
      <c r="B2" s="463" t="s">
        <v>1319</v>
      </c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</row>
    <row r="3" spans="2:13" ht="5.0999999999999996" customHeight="1" x14ac:dyDescent="0.2"/>
    <row r="4" spans="2:13" ht="38.25" x14ac:dyDescent="0.2">
      <c r="B4" s="329" t="s">
        <v>1215</v>
      </c>
      <c r="C4" s="329" t="s">
        <v>1552</v>
      </c>
      <c r="D4" s="329" t="s">
        <v>2578</v>
      </c>
      <c r="E4" s="330" t="s">
        <v>1212</v>
      </c>
      <c r="F4" s="329" t="s">
        <v>1218</v>
      </c>
      <c r="G4" s="329" t="s">
        <v>2577</v>
      </c>
      <c r="H4" s="329" t="s">
        <v>1226</v>
      </c>
      <c r="I4" s="330" t="s">
        <v>1227</v>
      </c>
      <c r="J4" s="329" t="s">
        <v>1237</v>
      </c>
      <c r="K4" s="329" t="s">
        <v>1222</v>
      </c>
      <c r="L4" s="329" t="s">
        <v>51</v>
      </c>
      <c r="M4" s="329" t="s">
        <v>1223</v>
      </c>
    </row>
    <row r="5" spans="2:13" x14ac:dyDescent="0.2">
      <c r="B5" s="324"/>
      <c r="C5" s="333" t="str">
        <f>IFERROR(VLOOKUP(B5,PAR!$D$3:$E$53,2,FALSE),"nincs szervezet")</f>
        <v>nincs szervezet</v>
      </c>
      <c r="D5" s="359"/>
      <c r="E5" s="324"/>
      <c r="F5" s="332"/>
      <c r="G5" s="360"/>
      <c r="H5" s="251">
        <f>IF(D5=221,G5*-1,G5)</f>
        <v>0</v>
      </c>
      <c r="I5" s="331"/>
      <c r="J5" s="332"/>
      <c r="K5" s="332"/>
      <c r="L5" s="331"/>
      <c r="M5" s="331"/>
    </row>
    <row r="6" spans="2:13" x14ac:dyDescent="0.2">
      <c r="B6" s="324"/>
      <c r="C6" s="333" t="str">
        <f>IFERROR(VLOOKUP(B6,PAR!$D$3:$E$53,2,FALSE),"nincs szervezet")</f>
        <v>nincs szervezet</v>
      </c>
      <c r="D6" s="359"/>
      <c r="E6" s="324"/>
      <c r="F6" s="332"/>
      <c r="G6" s="360"/>
      <c r="H6" s="251">
        <f t="shared" ref="H6:H69" si="0">IF(D6=221,G6*-1,G6)</f>
        <v>0</v>
      </c>
      <c r="I6" s="331"/>
      <c r="J6" s="332"/>
      <c r="K6" s="332"/>
      <c r="L6" s="331"/>
      <c r="M6" s="331"/>
    </row>
    <row r="7" spans="2:13" x14ac:dyDescent="0.2">
      <c r="B7" s="324"/>
      <c r="C7" s="333" t="str">
        <f>IFERROR(VLOOKUP(B7,PAR!$D$3:$E$53,2,FALSE),"nincs szervezet")</f>
        <v>nincs szervezet</v>
      </c>
      <c r="D7" s="359"/>
      <c r="E7" s="324"/>
      <c r="F7" s="332"/>
      <c r="G7" s="360"/>
      <c r="H7" s="251">
        <f t="shared" si="0"/>
        <v>0</v>
      </c>
      <c r="I7" s="331"/>
      <c r="J7" s="332"/>
      <c r="K7" s="332"/>
      <c r="L7" s="331"/>
      <c r="M7" s="331"/>
    </row>
    <row r="8" spans="2:13" x14ac:dyDescent="0.2">
      <c r="B8" s="324"/>
      <c r="C8" s="333" t="str">
        <f>IFERROR(VLOOKUP(B8,PAR!$D$3:$E$53,2,FALSE),"nincs szervezet")</f>
        <v>nincs szervezet</v>
      </c>
      <c r="D8" s="359"/>
      <c r="E8" s="324"/>
      <c r="F8" s="332"/>
      <c r="G8" s="360"/>
      <c r="H8" s="251">
        <f t="shared" si="0"/>
        <v>0</v>
      </c>
      <c r="I8" s="331"/>
      <c r="J8" s="332"/>
      <c r="K8" s="332"/>
      <c r="L8" s="331"/>
      <c r="M8" s="331"/>
    </row>
    <row r="9" spans="2:13" x14ac:dyDescent="0.2">
      <c r="B9" s="324"/>
      <c r="C9" s="333" t="str">
        <f>IFERROR(VLOOKUP(B9,PAR!$D$3:$E$53,2,FALSE),"nincs szervezet")</f>
        <v>nincs szervezet</v>
      </c>
      <c r="D9" s="359"/>
      <c r="E9" s="324"/>
      <c r="F9" s="332"/>
      <c r="G9" s="360"/>
      <c r="H9" s="251">
        <f t="shared" si="0"/>
        <v>0</v>
      </c>
      <c r="I9" s="331"/>
      <c r="J9" s="332"/>
      <c r="K9" s="332"/>
      <c r="L9" s="331"/>
      <c r="M9" s="331"/>
    </row>
    <row r="10" spans="2:13" x14ac:dyDescent="0.2">
      <c r="B10" s="324"/>
      <c r="C10" s="333" t="str">
        <f>IFERROR(VLOOKUP(B10,PAR!$D$3:$E$53,2,FALSE),"nincs szervezet")</f>
        <v>nincs szervezet</v>
      </c>
      <c r="D10" s="359"/>
      <c r="E10" s="324"/>
      <c r="F10" s="332"/>
      <c r="G10" s="360"/>
      <c r="H10" s="251">
        <f t="shared" si="0"/>
        <v>0</v>
      </c>
      <c r="I10" s="331"/>
      <c r="J10" s="332"/>
      <c r="K10" s="332"/>
      <c r="L10" s="331"/>
      <c r="M10" s="331"/>
    </row>
    <row r="11" spans="2:13" x14ac:dyDescent="0.2">
      <c r="B11" s="324"/>
      <c r="C11" s="333" t="str">
        <f>IFERROR(VLOOKUP(B11,PAR!$D$3:$E$53,2,FALSE),"nincs szervezet")</f>
        <v>nincs szervezet</v>
      </c>
      <c r="D11" s="359"/>
      <c r="E11" s="324"/>
      <c r="F11" s="332"/>
      <c r="G11" s="360"/>
      <c r="H11" s="251">
        <f t="shared" si="0"/>
        <v>0</v>
      </c>
      <c r="I11" s="331"/>
      <c r="J11" s="332"/>
      <c r="K11" s="332"/>
      <c r="L11" s="331"/>
      <c r="M11" s="331"/>
    </row>
    <row r="12" spans="2:13" x14ac:dyDescent="0.2">
      <c r="B12" s="324"/>
      <c r="C12" s="333" t="str">
        <f>IFERROR(VLOOKUP(B12,PAR!$D$3:$E$53,2,FALSE),"nincs szervezet")</f>
        <v>nincs szervezet</v>
      </c>
      <c r="D12" s="359"/>
      <c r="E12" s="324"/>
      <c r="F12" s="332"/>
      <c r="G12" s="360"/>
      <c r="H12" s="251">
        <f t="shared" si="0"/>
        <v>0</v>
      </c>
      <c r="I12" s="331"/>
      <c r="J12" s="332"/>
      <c r="K12" s="332"/>
      <c r="L12" s="331"/>
      <c r="M12" s="331"/>
    </row>
    <row r="13" spans="2:13" x14ac:dyDescent="0.2">
      <c r="B13" s="324"/>
      <c r="C13" s="333" t="str">
        <f>IFERROR(VLOOKUP(B13,PAR!$D$3:$E$53,2,FALSE),"nincs szervezet")</f>
        <v>nincs szervezet</v>
      </c>
      <c r="D13" s="359"/>
      <c r="E13" s="324"/>
      <c r="F13" s="332"/>
      <c r="G13" s="360"/>
      <c r="H13" s="251">
        <f t="shared" si="0"/>
        <v>0</v>
      </c>
      <c r="I13" s="331"/>
      <c r="J13" s="332"/>
      <c r="K13" s="332"/>
      <c r="L13" s="331"/>
      <c r="M13" s="331"/>
    </row>
    <row r="14" spans="2:13" x14ac:dyDescent="0.2">
      <c r="B14" s="324"/>
      <c r="C14" s="333" t="str">
        <f>IFERROR(VLOOKUP(B14,PAR!$D$3:$E$53,2,FALSE),"nincs szervezet")</f>
        <v>nincs szervezet</v>
      </c>
      <c r="D14" s="359"/>
      <c r="E14" s="324"/>
      <c r="F14" s="332"/>
      <c r="G14" s="360"/>
      <c r="H14" s="251">
        <f t="shared" si="0"/>
        <v>0</v>
      </c>
      <c r="I14" s="331"/>
      <c r="J14" s="332"/>
      <c r="K14" s="332"/>
      <c r="L14" s="331"/>
      <c r="M14" s="331"/>
    </row>
    <row r="15" spans="2:13" x14ac:dyDescent="0.2">
      <c r="B15" s="324"/>
      <c r="C15" s="333" t="str">
        <f>IFERROR(VLOOKUP(B15,PAR!$D$3:$E$53,2,FALSE),"nincs szervezet")</f>
        <v>nincs szervezet</v>
      </c>
      <c r="D15" s="359"/>
      <c r="E15" s="324"/>
      <c r="F15" s="332"/>
      <c r="G15" s="360"/>
      <c r="H15" s="251">
        <f t="shared" si="0"/>
        <v>0</v>
      </c>
      <c r="I15" s="331"/>
      <c r="J15" s="332"/>
      <c r="K15" s="332"/>
      <c r="L15" s="331"/>
      <c r="M15" s="331"/>
    </row>
    <row r="16" spans="2:13" x14ac:dyDescent="0.2">
      <c r="B16" s="324"/>
      <c r="C16" s="333" t="str">
        <f>IFERROR(VLOOKUP(B16,PAR!$D$3:$E$53,2,FALSE),"nincs szervezet")</f>
        <v>nincs szervezet</v>
      </c>
      <c r="D16" s="359"/>
      <c r="E16" s="324"/>
      <c r="F16" s="332"/>
      <c r="G16" s="360"/>
      <c r="H16" s="251">
        <f t="shared" si="0"/>
        <v>0</v>
      </c>
      <c r="I16" s="331"/>
      <c r="J16" s="332"/>
      <c r="K16" s="332"/>
      <c r="L16" s="331"/>
      <c r="M16" s="331"/>
    </row>
    <row r="17" spans="2:13" x14ac:dyDescent="0.2">
      <c r="B17" s="324"/>
      <c r="C17" s="333" t="str">
        <f>IFERROR(VLOOKUP(B17,PAR!$D$3:$E$53,2,FALSE),"nincs szervezet")</f>
        <v>nincs szervezet</v>
      </c>
      <c r="D17" s="359"/>
      <c r="E17" s="324"/>
      <c r="F17" s="332"/>
      <c r="G17" s="360"/>
      <c r="H17" s="251">
        <f t="shared" si="0"/>
        <v>0</v>
      </c>
      <c r="I17" s="331"/>
      <c r="J17" s="332"/>
      <c r="K17" s="332"/>
      <c r="L17" s="331"/>
      <c r="M17" s="331"/>
    </row>
    <row r="18" spans="2:13" x14ac:dyDescent="0.2">
      <c r="B18" s="324"/>
      <c r="C18" s="333" t="str">
        <f>IFERROR(VLOOKUP(B18,PAR!$D$3:$E$53,2,FALSE),"nincs szervezet")</f>
        <v>nincs szervezet</v>
      </c>
      <c r="D18" s="359"/>
      <c r="E18" s="324"/>
      <c r="F18" s="332"/>
      <c r="G18" s="360"/>
      <c r="H18" s="251">
        <f t="shared" si="0"/>
        <v>0</v>
      </c>
      <c r="I18" s="331"/>
      <c r="J18" s="332"/>
      <c r="K18" s="332"/>
      <c r="L18" s="331"/>
      <c r="M18" s="331"/>
    </row>
    <row r="19" spans="2:13" x14ac:dyDescent="0.2">
      <c r="B19" s="324"/>
      <c r="C19" s="333" t="str">
        <f>IFERROR(VLOOKUP(B19,PAR!$D$3:$E$53,2,FALSE),"nincs szervezet")</f>
        <v>nincs szervezet</v>
      </c>
      <c r="D19" s="359"/>
      <c r="E19" s="324"/>
      <c r="F19" s="332"/>
      <c r="G19" s="360"/>
      <c r="H19" s="251">
        <f t="shared" si="0"/>
        <v>0</v>
      </c>
      <c r="I19" s="331"/>
      <c r="J19" s="332"/>
      <c r="K19" s="332"/>
      <c r="L19" s="331"/>
      <c r="M19" s="331"/>
    </row>
    <row r="20" spans="2:13" x14ac:dyDescent="0.2">
      <c r="B20" s="324"/>
      <c r="C20" s="333" t="str">
        <f>IFERROR(VLOOKUP(B20,PAR!$D$3:$E$53,2,FALSE),"nincs szervezet")</f>
        <v>nincs szervezet</v>
      </c>
      <c r="D20" s="359"/>
      <c r="E20" s="324"/>
      <c r="F20" s="332"/>
      <c r="G20" s="360"/>
      <c r="H20" s="251">
        <f t="shared" si="0"/>
        <v>0</v>
      </c>
      <c r="I20" s="331"/>
      <c r="J20" s="332"/>
      <c r="K20" s="332"/>
      <c r="L20" s="331"/>
      <c r="M20" s="331"/>
    </row>
    <row r="21" spans="2:13" x14ac:dyDescent="0.2">
      <c r="B21" s="324"/>
      <c r="C21" s="333" t="str">
        <f>IFERROR(VLOOKUP(B21,PAR!$D$3:$E$53,2,FALSE),"nincs szervezet")</f>
        <v>nincs szervezet</v>
      </c>
      <c r="D21" s="359"/>
      <c r="E21" s="324"/>
      <c r="F21" s="332"/>
      <c r="G21" s="360"/>
      <c r="H21" s="251">
        <f t="shared" si="0"/>
        <v>0</v>
      </c>
      <c r="I21" s="331"/>
      <c r="J21" s="332"/>
      <c r="K21" s="332"/>
      <c r="L21" s="331"/>
      <c r="M21" s="331"/>
    </row>
    <row r="22" spans="2:13" x14ac:dyDescent="0.2">
      <c r="B22" s="324"/>
      <c r="C22" s="333" t="str">
        <f>IFERROR(VLOOKUP(B22,PAR!$D$3:$E$53,2,FALSE),"nincs szervezet")</f>
        <v>nincs szervezet</v>
      </c>
      <c r="D22" s="359"/>
      <c r="E22" s="324"/>
      <c r="F22" s="332"/>
      <c r="G22" s="360"/>
      <c r="H22" s="251">
        <f t="shared" si="0"/>
        <v>0</v>
      </c>
      <c r="I22" s="331"/>
      <c r="J22" s="332"/>
      <c r="K22" s="332"/>
      <c r="L22" s="331"/>
      <c r="M22" s="331"/>
    </row>
    <row r="23" spans="2:13" x14ac:dyDescent="0.2">
      <c r="B23" s="324"/>
      <c r="C23" s="333" t="str">
        <f>IFERROR(VLOOKUP(B23,PAR!$D$3:$E$53,2,FALSE),"nincs szervezet")</f>
        <v>nincs szervezet</v>
      </c>
      <c r="D23" s="359"/>
      <c r="E23" s="324"/>
      <c r="F23" s="332"/>
      <c r="G23" s="360"/>
      <c r="H23" s="251">
        <f t="shared" si="0"/>
        <v>0</v>
      </c>
      <c r="I23" s="331"/>
      <c r="J23" s="332"/>
      <c r="K23" s="332"/>
      <c r="L23" s="331"/>
      <c r="M23" s="331"/>
    </row>
    <row r="24" spans="2:13" x14ac:dyDescent="0.2">
      <c r="B24" s="324"/>
      <c r="C24" s="333" t="str">
        <f>IFERROR(VLOOKUP(B24,PAR!$D$3:$E$53,2,FALSE),"nincs szervezet")</f>
        <v>nincs szervezet</v>
      </c>
      <c r="D24" s="359"/>
      <c r="E24" s="324"/>
      <c r="F24" s="332"/>
      <c r="G24" s="360"/>
      <c r="H24" s="251">
        <f t="shared" si="0"/>
        <v>0</v>
      </c>
      <c r="I24" s="331"/>
      <c r="J24" s="332"/>
      <c r="K24" s="332"/>
      <c r="L24" s="331"/>
      <c r="M24" s="331"/>
    </row>
    <row r="25" spans="2:13" x14ac:dyDescent="0.2">
      <c r="B25" s="324"/>
      <c r="C25" s="333" t="str">
        <f>IFERROR(VLOOKUP(B25,PAR!$D$3:$E$53,2,FALSE),"nincs szervezet")</f>
        <v>nincs szervezet</v>
      </c>
      <c r="D25" s="359"/>
      <c r="E25" s="324"/>
      <c r="F25" s="332"/>
      <c r="G25" s="360"/>
      <c r="H25" s="251">
        <f t="shared" si="0"/>
        <v>0</v>
      </c>
      <c r="I25" s="331"/>
      <c r="J25" s="332"/>
      <c r="K25" s="332"/>
      <c r="L25" s="331"/>
      <c r="M25" s="331"/>
    </row>
    <row r="26" spans="2:13" x14ac:dyDescent="0.2">
      <c r="B26" s="324"/>
      <c r="C26" s="333" t="str">
        <f>IFERROR(VLOOKUP(B26,PAR!$D$3:$E$53,2,FALSE),"nincs szervezet")</f>
        <v>nincs szervezet</v>
      </c>
      <c r="D26" s="359"/>
      <c r="E26" s="324"/>
      <c r="F26" s="332"/>
      <c r="G26" s="360"/>
      <c r="H26" s="251">
        <f t="shared" si="0"/>
        <v>0</v>
      </c>
      <c r="I26" s="331"/>
      <c r="J26" s="332"/>
      <c r="K26" s="332"/>
      <c r="L26" s="331"/>
      <c r="M26" s="331"/>
    </row>
    <row r="27" spans="2:13" x14ac:dyDescent="0.2">
      <c r="B27" s="324"/>
      <c r="C27" s="333" t="str">
        <f>IFERROR(VLOOKUP(B27,PAR!$D$3:$E$53,2,FALSE),"nincs szervezet")</f>
        <v>nincs szervezet</v>
      </c>
      <c r="D27" s="359"/>
      <c r="E27" s="324"/>
      <c r="F27" s="332"/>
      <c r="G27" s="360"/>
      <c r="H27" s="251">
        <f t="shared" si="0"/>
        <v>0</v>
      </c>
      <c r="I27" s="331"/>
      <c r="J27" s="332"/>
      <c r="K27" s="332"/>
      <c r="L27" s="331"/>
      <c r="M27" s="331"/>
    </row>
    <row r="28" spans="2:13" x14ac:dyDescent="0.2">
      <c r="B28" s="324"/>
      <c r="C28" s="333" t="str">
        <f>IFERROR(VLOOKUP(B28,PAR!$D$3:$E$53,2,FALSE),"nincs szervezet")</f>
        <v>nincs szervezet</v>
      </c>
      <c r="D28" s="359"/>
      <c r="E28" s="324"/>
      <c r="F28" s="332"/>
      <c r="G28" s="360"/>
      <c r="H28" s="251">
        <f t="shared" si="0"/>
        <v>0</v>
      </c>
      <c r="I28" s="331"/>
      <c r="J28" s="332"/>
      <c r="K28" s="332"/>
      <c r="L28" s="331"/>
      <c r="M28" s="331"/>
    </row>
    <row r="29" spans="2:13" x14ac:dyDescent="0.2">
      <c r="B29" s="324"/>
      <c r="C29" s="333" t="str">
        <f>IFERROR(VLOOKUP(B29,PAR!$D$3:$E$53,2,FALSE),"nincs szervezet")</f>
        <v>nincs szervezet</v>
      </c>
      <c r="D29" s="359"/>
      <c r="E29" s="324"/>
      <c r="F29" s="332"/>
      <c r="G29" s="360"/>
      <c r="H29" s="251">
        <f t="shared" si="0"/>
        <v>0</v>
      </c>
      <c r="I29" s="331"/>
      <c r="J29" s="332"/>
      <c r="K29" s="332"/>
      <c r="L29" s="331"/>
      <c r="M29" s="331"/>
    </row>
    <row r="30" spans="2:13" x14ac:dyDescent="0.2">
      <c r="B30" s="324"/>
      <c r="C30" s="333" t="str">
        <f>IFERROR(VLOOKUP(B30,PAR!$D$3:$E$53,2,FALSE),"nincs szervezet")</f>
        <v>nincs szervezet</v>
      </c>
      <c r="D30" s="359"/>
      <c r="E30" s="324"/>
      <c r="F30" s="332"/>
      <c r="G30" s="360"/>
      <c r="H30" s="251">
        <f t="shared" si="0"/>
        <v>0</v>
      </c>
      <c r="I30" s="331"/>
      <c r="J30" s="332"/>
      <c r="K30" s="332"/>
      <c r="L30" s="331"/>
      <c r="M30" s="331"/>
    </row>
    <row r="31" spans="2:13" x14ac:dyDescent="0.2">
      <c r="B31" s="324"/>
      <c r="C31" s="333" t="str">
        <f>IFERROR(VLOOKUP(B31,PAR!$D$3:$E$53,2,FALSE),"nincs szervezet")</f>
        <v>nincs szervezet</v>
      </c>
      <c r="D31" s="359"/>
      <c r="E31" s="324"/>
      <c r="F31" s="332"/>
      <c r="G31" s="360"/>
      <c r="H31" s="251">
        <f t="shared" si="0"/>
        <v>0</v>
      </c>
      <c r="I31" s="331"/>
      <c r="J31" s="332"/>
      <c r="K31" s="332"/>
      <c r="L31" s="331"/>
      <c r="M31" s="331"/>
    </row>
    <row r="32" spans="2:13" x14ac:dyDescent="0.2">
      <c r="B32" s="324"/>
      <c r="C32" s="333" t="str">
        <f>IFERROR(VLOOKUP(B32,PAR!$D$3:$E$53,2,FALSE),"nincs szervezet")</f>
        <v>nincs szervezet</v>
      </c>
      <c r="D32" s="359"/>
      <c r="E32" s="324"/>
      <c r="F32" s="332"/>
      <c r="G32" s="360"/>
      <c r="H32" s="251">
        <f t="shared" si="0"/>
        <v>0</v>
      </c>
      <c r="I32" s="331"/>
      <c r="J32" s="332"/>
      <c r="K32" s="332"/>
      <c r="L32" s="331"/>
      <c r="M32" s="331"/>
    </row>
    <row r="33" spans="2:13" x14ac:dyDescent="0.2">
      <c r="B33" s="324"/>
      <c r="C33" s="333" t="str">
        <f>IFERROR(VLOOKUP(B33,PAR!$D$3:$E$53,2,FALSE),"nincs szervezet")</f>
        <v>nincs szervezet</v>
      </c>
      <c r="D33" s="359"/>
      <c r="E33" s="324"/>
      <c r="F33" s="332"/>
      <c r="G33" s="360"/>
      <c r="H33" s="251">
        <f t="shared" si="0"/>
        <v>0</v>
      </c>
      <c r="I33" s="331"/>
      <c r="J33" s="332"/>
      <c r="K33" s="332"/>
      <c r="L33" s="331"/>
      <c r="M33" s="331"/>
    </row>
    <row r="34" spans="2:13" x14ac:dyDescent="0.2">
      <c r="B34" s="324"/>
      <c r="C34" s="333" t="str">
        <f>IFERROR(VLOOKUP(B34,PAR!$D$3:$E$53,2,FALSE),"nincs szervezet")</f>
        <v>nincs szervezet</v>
      </c>
      <c r="D34" s="359"/>
      <c r="E34" s="324"/>
      <c r="F34" s="332"/>
      <c r="G34" s="360"/>
      <c r="H34" s="251">
        <f t="shared" si="0"/>
        <v>0</v>
      </c>
      <c r="I34" s="331"/>
      <c r="J34" s="332"/>
      <c r="K34" s="332"/>
      <c r="L34" s="331"/>
      <c r="M34" s="331"/>
    </row>
    <row r="35" spans="2:13" x14ac:dyDescent="0.2">
      <c r="B35" s="324"/>
      <c r="C35" s="333" t="str">
        <f>IFERROR(VLOOKUP(B35,PAR!$D$3:$E$53,2,FALSE),"nincs szervezet")</f>
        <v>nincs szervezet</v>
      </c>
      <c r="D35" s="359"/>
      <c r="E35" s="324"/>
      <c r="F35" s="332"/>
      <c r="G35" s="360"/>
      <c r="H35" s="251">
        <f t="shared" si="0"/>
        <v>0</v>
      </c>
      <c r="I35" s="331"/>
      <c r="J35" s="332"/>
      <c r="K35" s="332"/>
      <c r="L35" s="331"/>
      <c r="M35" s="331"/>
    </row>
    <row r="36" spans="2:13" x14ac:dyDescent="0.2">
      <c r="B36" s="324"/>
      <c r="C36" s="333" t="str">
        <f>IFERROR(VLOOKUP(B36,PAR!$D$3:$E$53,2,FALSE),"nincs szervezet")</f>
        <v>nincs szervezet</v>
      </c>
      <c r="D36" s="359"/>
      <c r="E36" s="324"/>
      <c r="F36" s="332"/>
      <c r="G36" s="360"/>
      <c r="H36" s="251">
        <f t="shared" si="0"/>
        <v>0</v>
      </c>
      <c r="I36" s="331"/>
      <c r="J36" s="332"/>
      <c r="K36" s="332"/>
      <c r="L36" s="331"/>
      <c r="M36" s="331"/>
    </row>
    <row r="37" spans="2:13" x14ac:dyDescent="0.2">
      <c r="B37" s="324"/>
      <c r="C37" s="333" t="str">
        <f>IFERROR(VLOOKUP(B37,PAR!$D$3:$E$53,2,FALSE),"nincs szervezet")</f>
        <v>nincs szervezet</v>
      </c>
      <c r="D37" s="359"/>
      <c r="E37" s="324"/>
      <c r="F37" s="332"/>
      <c r="G37" s="360"/>
      <c r="H37" s="251">
        <f t="shared" si="0"/>
        <v>0</v>
      </c>
      <c r="I37" s="331"/>
      <c r="J37" s="332"/>
      <c r="K37" s="332"/>
      <c r="L37" s="331"/>
      <c r="M37" s="331"/>
    </row>
    <row r="38" spans="2:13" x14ac:dyDescent="0.2">
      <c r="B38" s="324"/>
      <c r="C38" s="333" t="str">
        <f>IFERROR(VLOOKUP(B38,PAR!$D$3:$E$53,2,FALSE),"nincs szervezet")</f>
        <v>nincs szervezet</v>
      </c>
      <c r="D38" s="359"/>
      <c r="E38" s="324"/>
      <c r="F38" s="332"/>
      <c r="G38" s="360"/>
      <c r="H38" s="251">
        <f t="shared" si="0"/>
        <v>0</v>
      </c>
      <c r="I38" s="331"/>
      <c r="J38" s="332"/>
      <c r="K38" s="332"/>
      <c r="L38" s="331"/>
      <c r="M38" s="331"/>
    </row>
    <row r="39" spans="2:13" x14ac:dyDescent="0.2">
      <c r="B39" s="324"/>
      <c r="C39" s="333" t="str">
        <f>IFERROR(VLOOKUP(B39,PAR!$D$3:$E$53,2,FALSE),"nincs szervezet")</f>
        <v>nincs szervezet</v>
      </c>
      <c r="D39" s="359"/>
      <c r="E39" s="324"/>
      <c r="F39" s="332"/>
      <c r="G39" s="360"/>
      <c r="H39" s="251">
        <f t="shared" si="0"/>
        <v>0</v>
      </c>
      <c r="I39" s="331"/>
      <c r="J39" s="332"/>
      <c r="K39" s="332"/>
      <c r="L39" s="331"/>
      <c r="M39" s="331"/>
    </row>
    <row r="40" spans="2:13" x14ac:dyDescent="0.2">
      <c r="B40" s="324"/>
      <c r="C40" s="333" t="str">
        <f>IFERROR(VLOOKUP(B40,PAR!$D$3:$E$53,2,FALSE),"nincs szervezet")</f>
        <v>nincs szervezet</v>
      </c>
      <c r="D40" s="359"/>
      <c r="E40" s="324"/>
      <c r="F40" s="332"/>
      <c r="G40" s="360"/>
      <c r="H40" s="251">
        <f t="shared" si="0"/>
        <v>0</v>
      </c>
      <c r="I40" s="331"/>
      <c r="J40" s="332"/>
      <c r="K40" s="332"/>
      <c r="L40" s="331"/>
      <c r="M40" s="331"/>
    </row>
    <row r="41" spans="2:13" x14ac:dyDescent="0.2">
      <c r="B41" s="324"/>
      <c r="C41" s="333" t="str">
        <f>IFERROR(VLOOKUP(B41,PAR!$D$3:$E$53,2,FALSE),"nincs szervezet")</f>
        <v>nincs szervezet</v>
      </c>
      <c r="D41" s="359"/>
      <c r="E41" s="324"/>
      <c r="F41" s="332"/>
      <c r="G41" s="360"/>
      <c r="H41" s="251">
        <f t="shared" si="0"/>
        <v>0</v>
      </c>
      <c r="I41" s="331"/>
      <c r="J41" s="332"/>
      <c r="K41" s="332"/>
      <c r="L41" s="331"/>
      <c r="M41" s="331"/>
    </row>
    <row r="42" spans="2:13" x14ac:dyDescent="0.2">
      <c r="B42" s="324"/>
      <c r="C42" s="333" t="str">
        <f>IFERROR(VLOOKUP(B42,PAR!$D$3:$E$53,2,FALSE),"nincs szervezet")</f>
        <v>nincs szervezet</v>
      </c>
      <c r="D42" s="359"/>
      <c r="E42" s="324"/>
      <c r="F42" s="332"/>
      <c r="G42" s="360"/>
      <c r="H42" s="251">
        <f t="shared" si="0"/>
        <v>0</v>
      </c>
      <c r="I42" s="331"/>
      <c r="J42" s="332"/>
      <c r="K42" s="332"/>
      <c r="L42" s="331"/>
      <c r="M42" s="331"/>
    </row>
    <row r="43" spans="2:13" x14ac:dyDescent="0.2">
      <c r="B43" s="324"/>
      <c r="C43" s="333" t="str">
        <f>IFERROR(VLOOKUP(B43,PAR!$D$3:$E$53,2,FALSE),"nincs szervezet")</f>
        <v>nincs szervezet</v>
      </c>
      <c r="D43" s="359"/>
      <c r="E43" s="324"/>
      <c r="F43" s="332"/>
      <c r="G43" s="360"/>
      <c r="H43" s="251">
        <f t="shared" si="0"/>
        <v>0</v>
      </c>
      <c r="I43" s="331"/>
      <c r="J43" s="332"/>
      <c r="K43" s="332"/>
      <c r="L43" s="331"/>
      <c r="M43" s="331"/>
    </row>
    <row r="44" spans="2:13" x14ac:dyDescent="0.2">
      <c r="B44" s="324"/>
      <c r="C44" s="333" t="str">
        <f>IFERROR(VLOOKUP(B44,PAR!$D$3:$E$53,2,FALSE),"nincs szervezet")</f>
        <v>nincs szervezet</v>
      </c>
      <c r="D44" s="359"/>
      <c r="E44" s="324"/>
      <c r="F44" s="332"/>
      <c r="G44" s="360"/>
      <c r="H44" s="251">
        <f t="shared" si="0"/>
        <v>0</v>
      </c>
      <c r="I44" s="331"/>
      <c r="J44" s="332"/>
      <c r="K44" s="332"/>
      <c r="L44" s="331"/>
      <c r="M44" s="331"/>
    </row>
    <row r="45" spans="2:13" x14ac:dyDescent="0.2">
      <c r="B45" s="324"/>
      <c r="C45" s="333" t="str">
        <f>IFERROR(VLOOKUP(B45,PAR!$D$3:$E$53,2,FALSE),"nincs szervezet")</f>
        <v>nincs szervezet</v>
      </c>
      <c r="D45" s="359"/>
      <c r="E45" s="324"/>
      <c r="F45" s="332"/>
      <c r="G45" s="360"/>
      <c r="H45" s="251">
        <f t="shared" si="0"/>
        <v>0</v>
      </c>
      <c r="I45" s="331"/>
      <c r="J45" s="332"/>
      <c r="K45" s="332"/>
      <c r="L45" s="331"/>
      <c r="M45" s="331"/>
    </row>
    <row r="46" spans="2:13" x14ac:dyDescent="0.2">
      <c r="B46" s="324"/>
      <c r="C46" s="333" t="str">
        <f>IFERROR(VLOOKUP(B46,PAR!$D$3:$E$53,2,FALSE),"nincs szervezet")</f>
        <v>nincs szervezet</v>
      </c>
      <c r="D46" s="359"/>
      <c r="E46" s="324"/>
      <c r="F46" s="332"/>
      <c r="G46" s="360"/>
      <c r="H46" s="251">
        <f t="shared" si="0"/>
        <v>0</v>
      </c>
      <c r="I46" s="331"/>
      <c r="J46" s="332"/>
      <c r="K46" s="332"/>
      <c r="L46" s="331"/>
      <c r="M46" s="331"/>
    </row>
    <row r="47" spans="2:13" x14ac:dyDescent="0.2">
      <c r="B47" s="324"/>
      <c r="C47" s="333" t="str">
        <f>IFERROR(VLOOKUP(B47,PAR!$D$3:$E$53,2,FALSE),"nincs szervezet")</f>
        <v>nincs szervezet</v>
      </c>
      <c r="D47" s="359"/>
      <c r="E47" s="324"/>
      <c r="F47" s="332"/>
      <c r="G47" s="360"/>
      <c r="H47" s="251">
        <f t="shared" si="0"/>
        <v>0</v>
      </c>
      <c r="I47" s="331"/>
      <c r="J47" s="332"/>
      <c r="K47" s="332"/>
      <c r="L47" s="331"/>
      <c r="M47" s="331"/>
    </row>
    <row r="48" spans="2:13" x14ac:dyDescent="0.2">
      <c r="B48" s="324"/>
      <c r="C48" s="333" t="str">
        <f>IFERROR(VLOOKUP(B48,PAR!$D$3:$E$53,2,FALSE),"nincs szervezet")</f>
        <v>nincs szervezet</v>
      </c>
      <c r="D48" s="359"/>
      <c r="E48" s="324"/>
      <c r="F48" s="332"/>
      <c r="G48" s="360"/>
      <c r="H48" s="251">
        <f t="shared" si="0"/>
        <v>0</v>
      </c>
      <c r="I48" s="331"/>
      <c r="J48" s="332"/>
      <c r="K48" s="332"/>
      <c r="L48" s="331"/>
      <c r="M48" s="331"/>
    </row>
    <row r="49" spans="2:13" x14ac:dyDescent="0.2">
      <c r="B49" s="324"/>
      <c r="C49" s="333" t="str">
        <f>IFERROR(VLOOKUP(B49,PAR!$D$3:$E$53,2,FALSE),"nincs szervezet")</f>
        <v>nincs szervezet</v>
      </c>
      <c r="D49" s="359"/>
      <c r="E49" s="324"/>
      <c r="F49" s="332"/>
      <c r="G49" s="360"/>
      <c r="H49" s="251">
        <f t="shared" si="0"/>
        <v>0</v>
      </c>
      <c r="I49" s="331"/>
      <c r="J49" s="332"/>
      <c r="K49" s="332"/>
      <c r="L49" s="331"/>
      <c r="M49" s="331"/>
    </row>
    <row r="50" spans="2:13" x14ac:dyDescent="0.2">
      <c r="B50" s="324"/>
      <c r="C50" s="333" t="str">
        <f>IFERROR(VLOOKUP(B50,PAR!$D$3:$E$53,2,FALSE),"nincs szervezet")</f>
        <v>nincs szervezet</v>
      </c>
      <c r="D50" s="359"/>
      <c r="E50" s="324"/>
      <c r="F50" s="332"/>
      <c r="G50" s="360"/>
      <c r="H50" s="251">
        <f t="shared" si="0"/>
        <v>0</v>
      </c>
      <c r="I50" s="331"/>
      <c r="J50" s="332"/>
      <c r="K50" s="332"/>
      <c r="L50" s="331"/>
      <c r="M50" s="331"/>
    </row>
    <row r="51" spans="2:13" x14ac:dyDescent="0.2">
      <c r="B51" s="324"/>
      <c r="C51" s="333" t="str">
        <f>IFERROR(VLOOKUP(B51,PAR!$D$3:$E$53,2,FALSE),"nincs szervezet")</f>
        <v>nincs szervezet</v>
      </c>
      <c r="D51" s="359"/>
      <c r="E51" s="324"/>
      <c r="F51" s="332"/>
      <c r="G51" s="360"/>
      <c r="H51" s="251">
        <f t="shared" si="0"/>
        <v>0</v>
      </c>
      <c r="I51" s="331"/>
      <c r="J51" s="332"/>
      <c r="K51" s="332"/>
      <c r="L51" s="331"/>
      <c r="M51" s="331"/>
    </row>
    <row r="52" spans="2:13" x14ac:dyDescent="0.2">
      <c r="B52" s="324"/>
      <c r="C52" s="333" t="str">
        <f>IFERROR(VLOOKUP(B52,PAR!$D$3:$E$53,2,FALSE),"nincs szervezet")</f>
        <v>nincs szervezet</v>
      </c>
      <c r="D52" s="359"/>
      <c r="E52" s="324"/>
      <c r="F52" s="332"/>
      <c r="G52" s="360"/>
      <c r="H52" s="251">
        <f t="shared" si="0"/>
        <v>0</v>
      </c>
      <c r="I52" s="331"/>
      <c r="J52" s="332"/>
      <c r="K52" s="332"/>
      <c r="L52" s="331"/>
      <c r="M52" s="331"/>
    </row>
    <row r="53" spans="2:13" x14ac:dyDescent="0.2">
      <c r="B53" s="324"/>
      <c r="C53" s="333" t="str">
        <f>IFERROR(VLOOKUP(B53,PAR!$D$3:$E$53,2,FALSE),"nincs szervezet")</f>
        <v>nincs szervezet</v>
      </c>
      <c r="D53" s="359"/>
      <c r="E53" s="324"/>
      <c r="F53" s="332"/>
      <c r="G53" s="360"/>
      <c r="H53" s="251">
        <f t="shared" si="0"/>
        <v>0</v>
      </c>
      <c r="I53" s="331"/>
      <c r="J53" s="332"/>
      <c r="K53" s="332"/>
      <c r="L53" s="331"/>
      <c r="M53" s="331"/>
    </row>
    <row r="54" spans="2:13" x14ac:dyDescent="0.2">
      <c r="B54" s="324"/>
      <c r="C54" s="333" t="str">
        <f>IFERROR(VLOOKUP(B54,PAR!$D$3:$E$53,2,FALSE),"nincs szervezet")</f>
        <v>nincs szervezet</v>
      </c>
      <c r="D54" s="359"/>
      <c r="E54" s="324"/>
      <c r="F54" s="332"/>
      <c r="G54" s="360"/>
      <c r="H54" s="251">
        <f t="shared" si="0"/>
        <v>0</v>
      </c>
      <c r="I54" s="331"/>
      <c r="J54" s="332"/>
      <c r="K54" s="332"/>
      <c r="L54" s="331"/>
      <c r="M54" s="331"/>
    </row>
    <row r="55" spans="2:13" x14ac:dyDescent="0.2">
      <c r="B55" s="324"/>
      <c r="C55" s="333" t="str">
        <f>IFERROR(VLOOKUP(B55,PAR!$D$3:$E$53,2,FALSE),"nincs szervezet")</f>
        <v>nincs szervezet</v>
      </c>
      <c r="D55" s="359"/>
      <c r="E55" s="324"/>
      <c r="F55" s="332"/>
      <c r="G55" s="360"/>
      <c r="H55" s="251">
        <f t="shared" si="0"/>
        <v>0</v>
      </c>
      <c r="I55" s="331"/>
      <c r="J55" s="332"/>
      <c r="K55" s="332"/>
      <c r="L55" s="331"/>
      <c r="M55" s="331"/>
    </row>
    <row r="56" spans="2:13" x14ac:dyDescent="0.2">
      <c r="B56" s="324"/>
      <c r="C56" s="333" t="str">
        <f>IFERROR(VLOOKUP(B56,PAR!$D$3:$E$53,2,FALSE),"nincs szervezet")</f>
        <v>nincs szervezet</v>
      </c>
      <c r="D56" s="359"/>
      <c r="E56" s="324"/>
      <c r="F56" s="332"/>
      <c r="G56" s="360"/>
      <c r="H56" s="251">
        <f t="shared" si="0"/>
        <v>0</v>
      </c>
      <c r="I56" s="331"/>
      <c r="J56" s="332"/>
      <c r="K56" s="332"/>
      <c r="L56" s="331"/>
      <c r="M56" s="331"/>
    </row>
    <row r="57" spans="2:13" x14ac:dyDescent="0.2">
      <c r="B57" s="324"/>
      <c r="C57" s="333" t="str">
        <f>IFERROR(VLOOKUP(B57,PAR!$D$3:$E$53,2,FALSE),"nincs szervezet")</f>
        <v>nincs szervezet</v>
      </c>
      <c r="D57" s="359"/>
      <c r="E57" s="324"/>
      <c r="F57" s="332"/>
      <c r="G57" s="360"/>
      <c r="H57" s="251">
        <f t="shared" si="0"/>
        <v>0</v>
      </c>
      <c r="I57" s="331"/>
      <c r="J57" s="332"/>
      <c r="K57" s="332"/>
      <c r="L57" s="331"/>
      <c r="M57" s="331"/>
    </row>
    <row r="58" spans="2:13" x14ac:dyDescent="0.2">
      <c r="B58" s="324"/>
      <c r="C58" s="333" t="str">
        <f>IFERROR(VLOOKUP(B58,PAR!$D$3:$E$53,2,FALSE),"nincs szervezet")</f>
        <v>nincs szervezet</v>
      </c>
      <c r="D58" s="359"/>
      <c r="E58" s="324"/>
      <c r="F58" s="332"/>
      <c r="G58" s="360"/>
      <c r="H58" s="251">
        <f t="shared" si="0"/>
        <v>0</v>
      </c>
      <c r="I58" s="331"/>
      <c r="J58" s="332"/>
      <c r="K58" s="332"/>
      <c r="L58" s="331"/>
      <c r="M58" s="331"/>
    </row>
    <row r="59" spans="2:13" x14ac:dyDescent="0.2">
      <c r="B59" s="324"/>
      <c r="C59" s="333" t="str">
        <f>IFERROR(VLOOKUP(B59,PAR!$D$3:$E$53,2,FALSE),"nincs szervezet")</f>
        <v>nincs szervezet</v>
      </c>
      <c r="D59" s="359"/>
      <c r="E59" s="324"/>
      <c r="F59" s="332"/>
      <c r="G59" s="360"/>
      <c r="H59" s="251">
        <f t="shared" si="0"/>
        <v>0</v>
      </c>
      <c r="I59" s="331"/>
      <c r="J59" s="332"/>
      <c r="K59" s="332"/>
      <c r="L59" s="331"/>
      <c r="M59" s="331"/>
    </row>
    <row r="60" spans="2:13" x14ac:dyDescent="0.2">
      <c r="B60" s="324"/>
      <c r="C60" s="333" t="str">
        <f>IFERROR(VLOOKUP(B60,PAR!$D$3:$E$53,2,FALSE),"nincs szervezet")</f>
        <v>nincs szervezet</v>
      </c>
      <c r="D60" s="359"/>
      <c r="E60" s="324"/>
      <c r="F60" s="332"/>
      <c r="G60" s="360"/>
      <c r="H60" s="251">
        <f t="shared" si="0"/>
        <v>0</v>
      </c>
      <c r="I60" s="331"/>
      <c r="J60" s="332"/>
      <c r="K60" s="332"/>
      <c r="L60" s="331"/>
      <c r="M60" s="331"/>
    </row>
    <row r="61" spans="2:13" x14ac:dyDescent="0.2">
      <c r="B61" s="324"/>
      <c r="C61" s="333" t="str">
        <f>IFERROR(VLOOKUP(B61,PAR!$D$3:$E$53,2,FALSE),"nincs szervezet")</f>
        <v>nincs szervezet</v>
      </c>
      <c r="D61" s="359"/>
      <c r="E61" s="324"/>
      <c r="F61" s="332"/>
      <c r="G61" s="360"/>
      <c r="H61" s="251">
        <f t="shared" si="0"/>
        <v>0</v>
      </c>
      <c r="I61" s="331"/>
      <c r="J61" s="332"/>
      <c r="K61" s="332"/>
      <c r="L61" s="331"/>
      <c r="M61" s="331"/>
    </row>
    <row r="62" spans="2:13" x14ac:dyDescent="0.2">
      <c r="B62" s="324"/>
      <c r="C62" s="333" t="str">
        <f>IFERROR(VLOOKUP(B62,PAR!$D$3:$E$53,2,FALSE),"nincs szervezet")</f>
        <v>nincs szervezet</v>
      </c>
      <c r="D62" s="359"/>
      <c r="E62" s="324"/>
      <c r="F62" s="332"/>
      <c r="G62" s="360"/>
      <c r="H62" s="251">
        <f t="shared" si="0"/>
        <v>0</v>
      </c>
      <c r="I62" s="331"/>
      <c r="J62" s="332"/>
      <c r="K62" s="332"/>
      <c r="L62" s="331"/>
      <c r="M62" s="331"/>
    </row>
    <row r="63" spans="2:13" x14ac:dyDescent="0.2">
      <c r="B63" s="324"/>
      <c r="C63" s="333" t="str">
        <f>IFERROR(VLOOKUP(B63,PAR!$D$3:$E$53,2,FALSE),"nincs szervezet")</f>
        <v>nincs szervezet</v>
      </c>
      <c r="D63" s="359"/>
      <c r="E63" s="324"/>
      <c r="F63" s="332"/>
      <c r="G63" s="360"/>
      <c r="H63" s="251">
        <f t="shared" si="0"/>
        <v>0</v>
      </c>
      <c r="I63" s="331"/>
      <c r="J63" s="332"/>
      <c r="K63" s="332"/>
      <c r="L63" s="331"/>
      <c r="M63" s="331"/>
    </row>
    <row r="64" spans="2:13" x14ac:dyDescent="0.2">
      <c r="B64" s="324"/>
      <c r="C64" s="333" t="str">
        <f>IFERROR(VLOOKUP(B64,PAR!$D$3:$E$53,2,FALSE),"nincs szervezet")</f>
        <v>nincs szervezet</v>
      </c>
      <c r="D64" s="359"/>
      <c r="E64" s="324"/>
      <c r="F64" s="332"/>
      <c r="G64" s="360"/>
      <c r="H64" s="251">
        <f t="shared" si="0"/>
        <v>0</v>
      </c>
      <c r="I64" s="331"/>
      <c r="J64" s="332"/>
      <c r="K64" s="332"/>
      <c r="L64" s="331"/>
      <c r="M64" s="331"/>
    </row>
    <row r="65" spans="2:13" x14ac:dyDescent="0.2">
      <c r="B65" s="324"/>
      <c r="C65" s="333" t="str">
        <f>IFERROR(VLOOKUP(B65,PAR!$D$3:$E$53,2,FALSE),"nincs szervezet")</f>
        <v>nincs szervezet</v>
      </c>
      <c r="D65" s="359"/>
      <c r="E65" s="324"/>
      <c r="F65" s="332"/>
      <c r="G65" s="360"/>
      <c r="H65" s="251">
        <f t="shared" si="0"/>
        <v>0</v>
      </c>
      <c r="I65" s="331"/>
      <c r="J65" s="332"/>
      <c r="K65" s="332"/>
      <c r="L65" s="331"/>
      <c r="M65" s="331"/>
    </row>
    <row r="66" spans="2:13" x14ac:dyDescent="0.2">
      <c r="B66" s="324"/>
      <c r="C66" s="333" t="str">
        <f>IFERROR(VLOOKUP(B66,PAR!$D$3:$E$53,2,FALSE),"nincs szervezet")</f>
        <v>nincs szervezet</v>
      </c>
      <c r="D66" s="359"/>
      <c r="E66" s="324"/>
      <c r="F66" s="332"/>
      <c r="G66" s="360"/>
      <c r="H66" s="251">
        <f t="shared" si="0"/>
        <v>0</v>
      </c>
      <c r="I66" s="331"/>
      <c r="J66" s="332"/>
      <c r="K66" s="332"/>
      <c r="L66" s="331"/>
      <c r="M66" s="331"/>
    </row>
    <row r="67" spans="2:13" x14ac:dyDescent="0.2">
      <c r="B67" s="324"/>
      <c r="C67" s="333" t="str">
        <f>IFERROR(VLOOKUP(B67,PAR!$D$3:$E$53,2,FALSE),"nincs szervezet")</f>
        <v>nincs szervezet</v>
      </c>
      <c r="D67" s="359"/>
      <c r="E67" s="324"/>
      <c r="F67" s="332"/>
      <c r="G67" s="360"/>
      <c r="H67" s="251">
        <f t="shared" si="0"/>
        <v>0</v>
      </c>
      <c r="I67" s="331"/>
      <c r="J67" s="332"/>
      <c r="K67" s="332"/>
      <c r="L67" s="331"/>
      <c r="M67" s="331"/>
    </row>
    <row r="68" spans="2:13" x14ac:dyDescent="0.2">
      <c r="B68" s="324"/>
      <c r="C68" s="333" t="str">
        <f>IFERROR(VLOOKUP(B68,PAR!$D$3:$E$53,2,FALSE),"nincs szervezet")</f>
        <v>nincs szervezet</v>
      </c>
      <c r="D68" s="359"/>
      <c r="E68" s="324"/>
      <c r="F68" s="332"/>
      <c r="G68" s="360"/>
      <c r="H68" s="251">
        <f t="shared" si="0"/>
        <v>0</v>
      </c>
      <c r="I68" s="331"/>
      <c r="J68" s="332"/>
      <c r="K68" s="332"/>
      <c r="L68" s="331"/>
      <c r="M68" s="331"/>
    </row>
    <row r="69" spans="2:13" x14ac:dyDescent="0.2">
      <c r="B69" s="324"/>
      <c r="C69" s="333" t="str">
        <f>IFERROR(VLOOKUP(B69,PAR!$D$3:$E$53,2,FALSE),"nincs szervezet")</f>
        <v>nincs szervezet</v>
      </c>
      <c r="D69" s="359"/>
      <c r="E69" s="324"/>
      <c r="F69" s="332"/>
      <c r="G69" s="360"/>
      <c r="H69" s="251">
        <f t="shared" si="0"/>
        <v>0</v>
      </c>
      <c r="I69" s="331"/>
      <c r="J69" s="332"/>
      <c r="K69" s="332"/>
      <c r="L69" s="331"/>
      <c r="M69" s="331"/>
    </row>
    <row r="70" spans="2:13" x14ac:dyDescent="0.2">
      <c r="B70" s="324"/>
      <c r="C70" s="333" t="str">
        <f>IFERROR(VLOOKUP(B70,PAR!$D$3:$E$53,2,FALSE),"nincs szervezet")</f>
        <v>nincs szervezet</v>
      </c>
      <c r="D70" s="359"/>
      <c r="E70" s="324"/>
      <c r="F70" s="332"/>
      <c r="G70" s="360"/>
      <c r="H70" s="251">
        <f t="shared" ref="H70:H133" si="1">IF(D70=221,G70*-1,G70)</f>
        <v>0</v>
      </c>
      <c r="I70" s="331"/>
      <c r="J70" s="332"/>
      <c r="K70" s="332"/>
      <c r="L70" s="331"/>
      <c r="M70" s="331"/>
    </row>
    <row r="71" spans="2:13" x14ac:dyDescent="0.2">
      <c r="B71" s="324"/>
      <c r="C71" s="333" t="str">
        <f>IFERROR(VLOOKUP(B71,PAR!$D$3:$E$53,2,FALSE),"nincs szervezet")</f>
        <v>nincs szervezet</v>
      </c>
      <c r="D71" s="359"/>
      <c r="E71" s="324"/>
      <c r="F71" s="332"/>
      <c r="G71" s="360"/>
      <c r="H71" s="251">
        <f t="shared" si="1"/>
        <v>0</v>
      </c>
      <c r="I71" s="331"/>
      <c r="J71" s="332"/>
      <c r="K71" s="332"/>
      <c r="L71" s="331"/>
      <c r="M71" s="331"/>
    </row>
    <row r="72" spans="2:13" x14ac:dyDescent="0.2">
      <c r="B72" s="324"/>
      <c r="C72" s="333" t="str">
        <f>IFERROR(VLOOKUP(B72,PAR!$D$3:$E$53,2,FALSE),"nincs szervezet")</f>
        <v>nincs szervezet</v>
      </c>
      <c r="D72" s="359"/>
      <c r="E72" s="324"/>
      <c r="F72" s="332"/>
      <c r="G72" s="360"/>
      <c r="H72" s="251">
        <f t="shared" si="1"/>
        <v>0</v>
      </c>
      <c r="I72" s="331"/>
      <c r="J72" s="332"/>
      <c r="K72" s="332"/>
      <c r="L72" s="331"/>
      <c r="M72" s="331"/>
    </row>
    <row r="73" spans="2:13" x14ac:dyDescent="0.2">
      <c r="B73" s="324"/>
      <c r="C73" s="333" t="str">
        <f>IFERROR(VLOOKUP(B73,PAR!$D$3:$E$53,2,FALSE),"nincs szervezet")</f>
        <v>nincs szervezet</v>
      </c>
      <c r="D73" s="359"/>
      <c r="E73" s="324"/>
      <c r="F73" s="332"/>
      <c r="G73" s="360"/>
      <c r="H73" s="251">
        <f t="shared" si="1"/>
        <v>0</v>
      </c>
      <c r="I73" s="331"/>
      <c r="J73" s="332"/>
      <c r="K73" s="332"/>
      <c r="L73" s="331"/>
      <c r="M73" s="331"/>
    </row>
    <row r="74" spans="2:13" x14ac:dyDescent="0.2">
      <c r="B74" s="324"/>
      <c r="C74" s="333" t="str">
        <f>IFERROR(VLOOKUP(B74,PAR!$D$3:$E$53,2,FALSE),"nincs szervezet")</f>
        <v>nincs szervezet</v>
      </c>
      <c r="D74" s="359"/>
      <c r="E74" s="324"/>
      <c r="F74" s="332"/>
      <c r="G74" s="360"/>
      <c r="H74" s="251">
        <f t="shared" si="1"/>
        <v>0</v>
      </c>
      <c r="I74" s="331"/>
      <c r="J74" s="332"/>
      <c r="K74" s="332"/>
      <c r="L74" s="331"/>
      <c r="M74" s="331"/>
    </row>
    <row r="75" spans="2:13" x14ac:dyDescent="0.2">
      <c r="B75" s="324"/>
      <c r="C75" s="333" t="str">
        <f>IFERROR(VLOOKUP(B75,PAR!$D$3:$E$53,2,FALSE),"nincs szervezet")</f>
        <v>nincs szervezet</v>
      </c>
      <c r="D75" s="359"/>
      <c r="E75" s="324"/>
      <c r="F75" s="332"/>
      <c r="G75" s="360"/>
      <c r="H75" s="251">
        <f t="shared" si="1"/>
        <v>0</v>
      </c>
      <c r="I75" s="331"/>
      <c r="J75" s="332"/>
      <c r="K75" s="332"/>
      <c r="L75" s="331"/>
      <c r="M75" s="331"/>
    </row>
    <row r="76" spans="2:13" x14ac:dyDescent="0.2">
      <c r="B76" s="324"/>
      <c r="C76" s="333" t="str">
        <f>IFERROR(VLOOKUP(B76,PAR!$D$3:$E$53,2,FALSE),"nincs szervezet")</f>
        <v>nincs szervezet</v>
      </c>
      <c r="D76" s="359"/>
      <c r="E76" s="324"/>
      <c r="F76" s="332"/>
      <c r="G76" s="360"/>
      <c r="H76" s="251">
        <f t="shared" si="1"/>
        <v>0</v>
      </c>
      <c r="I76" s="331"/>
      <c r="J76" s="332"/>
      <c r="K76" s="332"/>
      <c r="L76" s="331"/>
      <c r="M76" s="331"/>
    </row>
    <row r="77" spans="2:13" x14ac:dyDescent="0.2">
      <c r="B77" s="324"/>
      <c r="C77" s="333" t="str">
        <f>IFERROR(VLOOKUP(B77,PAR!$D$3:$E$53,2,FALSE),"nincs szervezet")</f>
        <v>nincs szervezet</v>
      </c>
      <c r="D77" s="359"/>
      <c r="E77" s="324"/>
      <c r="F77" s="332"/>
      <c r="G77" s="360"/>
      <c r="H77" s="251">
        <f t="shared" si="1"/>
        <v>0</v>
      </c>
      <c r="I77" s="331"/>
      <c r="J77" s="332"/>
      <c r="K77" s="332"/>
      <c r="L77" s="331"/>
      <c r="M77" s="331"/>
    </row>
    <row r="78" spans="2:13" x14ac:dyDescent="0.2">
      <c r="B78" s="324"/>
      <c r="C78" s="333" t="str">
        <f>IFERROR(VLOOKUP(B78,PAR!$D$3:$E$53,2,FALSE),"nincs szervezet")</f>
        <v>nincs szervezet</v>
      </c>
      <c r="D78" s="359"/>
      <c r="E78" s="324"/>
      <c r="F78" s="332"/>
      <c r="G78" s="360"/>
      <c r="H78" s="251">
        <f t="shared" si="1"/>
        <v>0</v>
      </c>
      <c r="I78" s="331"/>
      <c r="J78" s="332"/>
      <c r="K78" s="332"/>
      <c r="L78" s="331"/>
      <c r="M78" s="331"/>
    </row>
    <row r="79" spans="2:13" x14ac:dyDescent="0.2">
      <c r="B79" s="324"/>
      <c r="C79" s="333" t="str">
        <f>IFERROR(VLOOKUP(B79,PAR!$D$3:$E$53,2,FALSE),"nincs szervezet")</f>
        <v>nincs szervezet</v>
      </c>
      <c r="D79" s="359"/>
      <c r="E79" s="324"/>
      <c r="F79" s="332"/>
      <c r="G79" s="360"/>
      <c r="H79" s="251">
        <f t="shared" si="1"/>
        <v>0</v>
      </c>
      <c r="I79" s="331"/>
      <c r="J79" s="332"/>
      <c r="K79" s="332"/>
      <c r="L79" s="331"/>
      <c r="M79" s="331"/>
    </row>
    <row r="80" spans="2:13" x14ac:dyDescent="0.2">
      <c r="B80" s="324"/>
      <c r="C80" s="333" t="str">
        <f>IFERROR(VLOOKUP(B80,PAR!$D$3:$E$53,2,FALSE),"nincs szervezet")</f>
        <v>nincs szervezet</v>
      </c>
      <c r="D80" s="359"/>
      <c r="E80" s="324"/>
      <c r="F80" s="332"/>
      <c r="G80" s="360"/>
      <c r="H80" s="251">
        <f t="shared" si="1"/>
        <v>0</v>
      </c>
      <c r="I80" s="331"/>
      <c r="J80" s="332"/>
      <c r="K80" s="332"/>
      <c r="L80" s="331"/>
      <c r="M80" s="331"/>
    </row>
    <row r="81" spans="2:13" x14ac:dyDescent="0.2">
      <c r="B81" s="324"/>
      <c r="C81" s="333" t="str">
        <f>IFERROR(VLOOKUP(B81,PAR!$D$3:$E$53,2,FALSE),"nincs szervezet")</f>
        <v>nincs szervezet</v>
      </c>
      <c r="D81" s="359"/>
      <c r="E81" s="324"/>
      <c r="F81" s="332"/>
      <c r="G81" s="360"/>
      <c r="H81" s="251">
        <f t="shared" si="1"/>
        <v>0</v>
      </c>
      <c r="I81" s="331"/>
      <c r="J81" s="332"/>
      <c r="K81" s="332"/>
      <c r="L81" s="331"/>
      <c r="M81" s="331"/>
    </row>
    <row r="82" spans="2:13" x14ac:dyDescent="0.2">
      <c r="B82" s="324"/>
      <c r="C82" s="333" t="str">
        <f>IFERROR(VLOOKUP(B82,PAR!$D$3:$E$53,2,FALSE),"nincs szervezet")</f>
        <v>nincs szervezet</v>
      </c>
      <c r="D82" s="359"/>
      <c r="E82" s="324"/>
      <c r="F82" s="332"/>
      <c r="G82" s="360"/>
      <c r="H82" s="251">
        <f t="shared" si="1"/>
        <v>0</v>
      </c>
      <c r="I82" s="331"/>
      <c r="J82" s="332"/>
      <c r="K82" s="332"/>
      <c r="L82" s="331"/>
      <c r="M82" s="331"/>
    </row>
    <row r="83" spans="2:13" x14ac:dyDescent="0.2">
      <c r="B83" s="324"/>
      <c r="C83" s="333" t="str">
        <f>IFERROR(VLOOKUP(B83,PAR!$D$3:$E$53,2,FALSE),"nincs szervezet")</f>
        <v>nincs szervezet</v>
      </c>
      <c r="D83" s="359"/>
      <c r="E83" s="324"/>
      <c r="F83" s="332"/>
      <c r="G83" s="360"/>
      <c r="H83" s="251">
        <f t="shared" si="1"/>
        <v>0</v>
      </c>
      <c r="I83" s="331"/>
      <c r="J83" s="332"/>
      <c r="K83" s="332"/>
      <c r="L83" s="331"/>
      <c r="M83" s="331"/>
    </row>
    <row r="84" spans="2:13" x14ac:dyDescent="0.2">
      <c r="B84" s="324"/>
      <c r="C84" s="333" t="str">
        <f>IFERROR(VLOOKUP(B84,PAR!$D$3:$E$53,2,FALSE),"nincs szervezet")</f>
        <v>nincs szervezet</v>
      </c>
      <c r="D84" s="359"/>
      <c r="E84" s="324"/>
      <c r="F84" s="332"/>
      <c r="G84" s="360"/>
      <c r="H84" s="251">
        <f t="shared" si="1"/>
        <v>0</v>
      </c>
      <c r="I84" s="331"/>
      <c r="J84" s="332"/>
      <c r="K84" s="332"/>
      <c r="L84" s="331"/>
      <c r="M84" s="331"/>
    </row>
    <row r="85" spans="2:13" x14ac:dyDescent="0.2">
      <c r="B85" s="324"/>
      <c r="C85" s="333" t="str">
        <f>IFERROR(VLOOKUP(B85,PAR!$D$3:$E$53,2,FALSE),"nincs szervezet")</f>
        <v>nincs szervezet</v>
      </c>
      <c r="D85" s="359"/>
      <c r="E85" s="324"/>
      <c r="F85" s="332"/>
      <c r="G85" s="360"/>
      <c r="H85" s="251">
        <f t="shared" si="1"/>
        <v>0</v>
      </c>
      <c r="I85" s="331"/>
      <c r="J85" s="332"/>
      <c r="K85" s="332"/>
      <c r="L85" s="331"/>
      <c r="M85" s="331"/>
    </row>
    <row r="86" spans="2:13" x14ac:dyDescent="0.2">
      <c r="B86" s="324"/>
      <c r="C86" s="333" t="str">
        <f>IFERROR(VLOOKUP(B86,PAR!$D$3:$E$53,2,FALSE),"nincs szervezet")</f>
        <v>nincs szervezet</v>
      </c>
      <c r="D86" s="359"/>
      <c r="E86" s="324"/>
      <c r="F86" s="332"/>
      <c r="G86" s="360"/>
      <c r="H86" s="251">
        <f t="shared" si="1"/>
        <v>0</v>
      </c>
      <c r="I86" s="331"/>
      <c r="J86" s="332"/>
      <c r="K86" s="332"/>
      <c r="L86" s="331"/>
      <c r="M86" s="331"/>
    </row>
    <row r="87" spans="2:13" x14ac:dyDescent="0.2">
      <c r="B87" s="324"/>
      <c r="C87" s="333" t="str">
        <f>IFERROR(VLOOKUP(B87,PAR!$D$3:$E$53,2,FALSE),"nincs szervezet")</f>
        <v>nincs szervezet</v>
      </c>
      <c r="D87" s="359"/>
      <c r="E87" s="324"/>
      <c r="F87" s="332"/>
      <c r="G87" s="360"/>
      <c r="H87" s="251">
        <f t="shared" si="1"/>
        <v>0</v>
      </c>
      <c r="I87" s="331"/>
      <c r="J87" s="332"/>
      <c r="K87" s="332"/>
      <c r="L87" s="331"/>
      <c r="M87" s="331"/>
    </row>
    <row r="88" spans="2:13" x14ac:dyDescent="0.2">
      <c r="B88" s="324"/>
      <c r="C88" s="333" t="str">
        <f>IFERROR(VLOOKUP(B88,PAR!$D$3:$E$53,2,FALSE),"nincs szervezet")</f>
        <v>nincs szervezet</v>
      </c>
      <c r="D88" s="359"/>
      <c r="E88" s="324"/>
      <c r="F88" s="332"/>
      <c r="G88" s="360"/>
      <c r="H88" s="251">
        <f t="shared" si="1"/>
        <v>0</v>
      </c>
      <c r="I88" s="331"/>
      <c r="J88" s="332"/>
      <c r="K88" s="332"/>
      <c r="L88" s="331"/>
      <c r="M88" s="331"/>
    </row>
    <row r="89" spans="2:13" x14ac:dyDescent="0.2">
      <c r="B89" s="324"/>
      <c r="C89" s="333" t="str">
        <f>IFERROR(VLOOKUP(B89,PAR!$D$3:$E$53,2,FALSE),"nincs szervezet")</f>
        <v>nincs szervezet</v>
      </c>
      <c r="D89" s="359"/>
      <c r="E89" s="324"/>
      <c r="F89" s="332"/>
      <c r="G89" s="360"/>
      <c r="H89" s="251">
        <f t="shared" si="1"/>
        <v>0</v>
      </c>
      <c r="I89" s="331"/>
      <c r="J89" s="332"/>
      <c r="K89" s="332"/>
      <c r="L89" s="331"/>
      <c r="M89" s="331"/>
    </row>
    <row r="90" spans="2:13" x14ac:dyDescent="0.2">
      <c r="B90" s="324"/>
      <c r="C90" s="333" t="str">
        <f>IFERROR(VLOOKUP(B90,PAR!$D$3:$E$53,2,FALSE),"nincs szervezet")</f>
        <v>nincs szervezet</v>
      </c>
      <c r="D90" s="359"/>
      <c r="E90" s="324"/>
      <c r="F90" s="332"/>
      <c r="G90" s="360"/>
      <c r="H90" s="251">
        <f t="shared" si="1"/>
        <v>0</v>
      </c>
      <c r="I90" s="331"/>
      <c r="J90" s="332"/>
      <c r="K90" s="332"/>
      <c r="L90" s="331"/>
      <c r="M90" s="331"/>
    </row>
    <row r="91" spans="2:13" x14ac:dyDescent="0.2">
      <c r="B91" s="324"/>
      <c r="C91" s="333" t="str">
        <f>IFERROR(VLOOKUP(B91,PAR!$D$3:$E$53,2,FALSE),"nincs szervezet")</f>
        <v>nincs szervezet</v>
      </c>
      <c r="D91" s="359"/>
      <c r="E91" s="324"/>
      <c r="F91" s="332"/>
      <c r="G91" s="360"/>
      <c r="H91" s="251">
        <f t="shared" si="1"/>
        <v>0</v>
      </c>
      <c r="I91" s="331"/>
      <c r="J91" s="332"/>
      <c r="K91" s="332"/>
      <c r="L91" s="331"/>
      <c r="M91" s="331"/>
    </row>
    <row r="92" spans="2:13" x14ac:dyDescent="0.2">
      <c r="B92" s="324"/>
      <c r="C92" s="333" t="str">
        <f>IFERROR(VLOOKUP(B92,PAR!$D$3:$E$53,2,FALSE),"nincs szervezet")</f>
        <v>nincs szervezet</v>
      </c>
      <c r="D92" s="359"/>
      <c r="E92" s="324"/>
      <c r="F92" s="332"/>
      <c r="G92" s="360"/>
      <c r="H92" s="251">
        <f t="shared" si="1"/>
        <v>0</v>
      </c>
      <c r="I92" s="331"/>
      <c r="J92" s="332"/>
      <c r="K92" s="332"/>
      <c r="L92" s="331"/>
      <c r="M92" s="331"/>
    </row>
    <row r="93" spans="2:13" x14ac:dyDescent="0.2">
      <c r="B93" s="324"/>
      <c r="C93" s="333" t="str">
        <f>IFERROR(VLOOKUP(B93,PAR!$D$3:$E$53,2,FALSE),"nincs szervezet")</f>
        <v>nincs szervezet</v>
      </c>
      <c r="D93" s="359"/>
      <c r="E93" s="324"/>
      <c r="F93" s="332"/>
      <c r="G93" s="360"/>
      <c r="H93" s="251">
        <f t="shared" si="1"/>
        <v>0</v>
      </c>
      <c r="I93" s="331"/>
      <c r="J93" s="332"/>
      <c r="K93" s="332"/>
      <c r="L93" s="331"/>
      <c r="M93" s="331"/>
    </row>
    <row r="94" spans="2:13" x14ac:dyDescent="0.2">
      <c r="B94" s="324"/>
      <c r="C94" s="333" t="str">
        <f>IFERROR(VLOOKUP(B94,PAR!$D$3:$E$53,2,FALSE),"nincs szervezet")</f>
        <v>nincs szervezet</v>
      </c>
      <c r="D94" s="359"/>
      <c r="E94" s="324"/>
      <c r="F94" s="332"/>
      <c r="G94" s="360"/>
      <c r="H94" s="251">
        <f t="shared" si="1"/>
        <v>0</v>
      </c>
      <c r="I94" s="331"/>
      <c r="J94" s="332"/>
      <c r="K94" s="332"/>
      <c r="L94" s="331"/>
      <c r="M94" s="331"/>
    </row>
    <row r="95" spans="2:13" x14ac:dyDescent="0.2">
      <c r="B95" s="324"/>
      <c r="C95" s="333" t="str">
        <f>IFERROR(VLOOKUP(B95,PAR!$D$3:$E$53,2,FALSE),"nincs szervezet")</f>
        <v>nincs szervezet</v>
      </c>
      <c r="D95" s="359"/>
      <c r="E95" s="324"/>
      <c r="F95" s="332"/>
      <c r="G95" s="360"/>
      <c r="H95" s="251">
        <f t="shared" si="1"/>
        <v>0</v>
      </c>
      <c r="I95" s="331"/>
      <c r="J95" s="332"/>
      <c r="K95" s="332"/>
      <c r="L95" s="331"/>
      <c r="M95" s="331"/>
    </row>
    <row r="96" spans="2:13" x14ac:dyDescent="0.2">
      <c r="B96" s="324"/>
      <c r="C96" s="333" t="str">
        <f>IFERROR(VLOOKUP(B96,PAR!$D$3:$E$53,2,FALSE),"nincs szervezet")</f>
        <v>nincs szervezet</v>
      </c>
      <c r="D96" s="359"/>
      <c r="E96" s="324"/>
      <c r="F96" s="332"/>
      <c r="G96" s="360"/>
      <c r="H96" s="251">
        <f t="shared" si="1"/>
        <v>0</v>
      </c>
      <c r="I96" s="331"/>
      <c r="J96" s="332"/>
      <c r="K96" s="332"/>
      <c r="L96" s="331"/>
      <c r="M96" s="331"/>
    </row>
    <row r="97" spans="2:13" x14ac:dyDescent="0.2">
      <c r="B97" s="324"/>
      <c r="C97" s="333" t="str">
        <f>IFERROR(VLOOKUP(B97,PAR!$D$3:$E$53,2,FALSE),"nincs szervezet")</f>
        <v>nincs szervezet</v>
      </c>
      <c r="D97" s="359"/>
      <c r="E97" s="324"/>
      <c r="F97" s="332"/>
      <c r="G97" s="360"/>
      <c r="H97" s="251">
        <f t="shared" si="1"/>
        <v>0</v>
      </c>
      <c r="I97" s="331"/>
      <c r="J97" s="332"/>
      <c r="K97" s="332"/>
      <c r="L97" s="331"/>
      <c r="M97" s="331"/>
    </row>
    <row r="98" spans="2:13" x14ac:dyDescent="0.2">
      <c r="B98" s="324"/>
      <c r="C98" s="333" t="str">
        <f>IFERROR(VLOOKUP(B98,PAR!$D$3:$E$53,2,FALSE),"nincs szervezet")</f>
        <v>nincs szervezet</v>
      </c>
      <c r="D98" s="359"/>
      <c r="E98" s="324"/>
      <c r="F98" s="332"/>
      <c r="G98" s="360"/>
      <c r="H98" s="251">
        <f t="shared" si="1"/>
        <v>0</v>
      </c>
      <c r="I98" s="331"/>
      <c r="J98" s="332"/>
      <c r="K98" s="332"/>
      <c r="L98" s="331"/>
      <c r="M98" s="331"/>
    </row>
    <row r="99" spans="2:13" x14ac:dyDescent="0.2">
      <c r="B99" s="324"/>
      <c r="C99" s="333" t="str">
        <f>IFERROR(VLOOKUP(B99,PAR!$D$3:$E$53,2,FALSE),"nincs szervezet")</f>
        <v>nincs szervezet</v>
      </c>
      <c r="D99" s="359"/>
      <c r="E99" s="324"/>
      <c r="F99" s="332"/>
      <c r="G99" s="360"/>
      <c r="H99" s="251">
        <f t="shared" si="1"/>
        <v>0</v>
      </c>
      <c r="I99" s="331"/>
      <c r="J99" s="332"/>
      <c r="K99" s="332"/>
      <c r="L99" s="331"/>
      <c r="M99" s="331"/>
    </row>
    <row r="100" spans="2:13" x14ac:dyDescent="0.2">
      <c r="B100" s="324"/>
      <c r="C100" s="333" t="str">
        <f>IFERROR(VLOOKUP(B100,PAR!$D$3:$E$53,2,FALSE),"nincs szervezet")</f>
        <v>nincs szervezet</v>
      </c>
      <c r="D100" s="359"/>
      <c r="E100" s="324"/>
      <c r="F100" s="332"/>
      <c r="G100" s="360"/>
      <c r="H100" s="251">
        <f t="shared" si="1"/>
        <v>0</v>
      </c>
      <c r="I100" s="331"/>
      <c r="J100" s="332"/>
      <c r="K100" s="332"/>
      <c r="L100" s="331"/>
      <c r="M100" s="331"/>
    </row>
    <row r="101" spans="2:13" x14ac:dyDescent="0.2">
      <c r="B101" s="324"/>
      <c r="C101" s="333" t="str">
        <f>IFERROR(VLOOKUP(B101,PAR!$D$3:$E$53,2,FALSE),"nincs szervezet")</f>
        <v>nincs szervezet</v>
      </c>
      <c r="D101" s="359"/>
      <c r="E101" s="324"/>
      <c r="F101" s="332"/>
      <c r="G101" s="360"/>
      <c r="H101" s="251">
        <f t="shared" si="1"/>
        <v>0</v>
      </c>
      <c r="I101" s="331"/>
      <c r="J101" s="332"/>
      <c r="K101" s="332"/>
      <c r="L101" s="331"/>
      <c r="M101" s="331"/>
    </row>
    <row r="102" spans="2:13" x14ac:dyDescent="0.2">
      <c r="B102" s="324"/>
      <c r="C102" s="333" t="str">
        <f>IFERROR(VLOOKUP(B102,PAR!$D$3:$E$53,2,FALSE),"nincs szervezet")</f>
        <v>nincs szervezet</v>
      </c>
      <c r="D102" s="359"/>
      <c r="E102" s="324"/>
      <c r="F102" s="332"/>
      <c r="G102" s="360"/>
      <c r="H102" s="251">
        <f t="shared" si="1"/>
        <v>0</v>
      </c>
      <c r="I102" s="331"/>
      <c r="J102" s="332"/>
      <c r="K102" s="332"/>
      <c r="L102" s="331"/>
      <c r="M102" s="331"/>
    </row>
    <row r="103" spans="2:13" x14ac:dyDescent="0.2">
      <c r="B103" s="324"/>
      <c r="C103" s="333" t="str">
        <f>IFERROR(VLOOKUP(B103,PAR!$D$3:$E$53,2,FALSE),"nincs szervezet")</f>
        <v>nincs szervezet</v>
      </c>
      <c r="D103" s="359"/>
      <c r="E103" s="324"/>
      <c r="F103" s="332"/>
      <c r="G103" s="360"/>
      <c r="H103" s="251">
        <f t="shared" si="1"/>
        <v>0</v>
      </c>
      <c r="I103" s="331"/>
      <c r="J103" s="332"/>
      <c r="K103" s="332"/>
      <c r="L103" s="331"/>
      <c r="M103" s="331"/>
    </row>
    <row r="104" spans="2:13" x14ac:dyDescent="0.2">
      <c r="B104" s="324"/>
      <c r="C104" s="333" t="str">
        <f>IFERROR(VLOOKUP(B104,PAR!$D$3:$E$53,2,FALSE),"nincs szervezet")</f>
        <v>nincs szervezet</v>
      </c>
      <c r="D104" s="359"/>
      <c r="E104" s="324"/>
      <c r="F104" s="332"/>
      <c r="G104" s="360"/>
      <c r="H104" s="251">
        <f t="shared" si="1"/>
        <v>0</v>
      </c>
      <c r="I104" s="331"/>
      <c r="J104" s="332"/>
      <c r="K104" s="332"/>
      <c r="L104" s="331"/>
      <c r="M104" s="331"/>
    </row>
    <row r="105" spans="2:13" x14ac:dyDescent="0.2">
      <c r="B105" s="324"/>
      <c r="C105" s="333" t="str">
        <f>IFERROR(VLOOKUP(B105,PAR!$D$3:$E$53,2,FALSE),"nincs szervezet")</f>
        <v>nincs szervezet</v>
      </c>
      <c r="D105" s="359"/>
      <c r="E105" s="324"/>
      <c r="F105" s="332"/>
      <c r="G105" s="360"/>
      <c r="H105" s="251">
        <f t="shared" si="1"/>
        <v>0</v>
      </c>
      <c r="I105" s="331"/>
      <c r="J105" s="332"/>
      <c r="K105" s="332"/>
      <c r="L105" s="331"/>
      <c r="M105" s="331"/>
    </row>
    <row r="106" spans="2:13" x14ac:dyDescent="0.2">
      <c r="B106" s="324"/>
      <c r="C106" s="333" t="str">
        <f>IFERROR(VLOOKUP(B106,PAR!$D$3:$E$53,2,FALSE),"nincs szervezet")</f>
        <v>nincs szervezet</v>
      </c>
      <c r="D106" s="359"/>
      <c r="E106" s="324"/>
      <c r="F106" s="332"/>
      <c r="G106" s="360"/>
      <c r="H106" s="251">
        <f t="shared" si="1"/>
        <v>0</v>
      </c>
      <c r="I106" s="331"/>
      <c r="J106" s="332"/>
      <c r="K106" s="332"/>
      <c r="L106" s="331"/>
      <c r="M106" s="331"/>
    </row>
    <row r="107" spans="2:13" x14ac:dyDescent="0.2">
      <c r="B107" s="324"/>
      <c r="C107" s="333" t="str">
        <f>IFERROR(VLOOKUP(B107,PAR!$D$3:$E$53,2,FALSE),"nincs szervezet")</f>
        <v>nincs szervezet</v>
      </c>
      <c r="D107" s="359"/>
      <c r="E107" s="324"/>
      <c r="F107" s="332"/>
      <c r="G107" s="360"/>
      <c r="H107" s="251">
        <f t="shared" si="1"/>
        <v>0</v>
      </c>
      <c r="I107" s="331"/>
      <c r="J107" s="332"/>
      <c r="K107" s="332"/>
      <c r="L107" s="331"/>
      <c r="M107" s="331"/>
    </row>
    <row r="108" spans="2:13" x14ac:dyDescent="0.2">
      <c r="B108" s="324"/>
      <c r="C108" s="333" t="str">
        <f>IFERROR(VLOOKUP(B108,PAR!$D$3:$E$53,2,FALSE),"nincs szervezet")</f>
        <v>nincs szervezet</v>
      </c>
      <c r="D108" s="359"/>
      <c r="E108" s="324"/>
      <c r="F108" s="332"/>
      <c r="G108" s="360"/>
      <c r="H108" s="251">
        <f t="shared" si="1"/>
        <v>0</v>
      </c>
      <c r="I108" s="331"/>
      <c r="J108" s="332"/>
      <c r="K108" s="332"/>
      <c r="L108" s="331"/>
      <c r="M108" s="331"/>
    </row>
    <row r="109" spans="2:13" x14ac:dyDescent="0.2">
      <c r="B109" s="324"/>
      <c r="C109" s="333" t="str">
        <f>IFERROR(VLOOKUP(B109,PAR!$D$3:$E$53,2,FALSE),"nincs szervezet")</f>
        <v>nincs szervezet</v>
      </c>
      <c r="D109" s="359"/>
      <c r="E109" s="324"/>
      <c r="F109" s="332"/>
      <c r="G109" s="360"/>
      <c r="H109" s="251">
        <f t="shared" si="1"/>
        <v>0</v>
      </c>
      <c r="I109" s="331"/>
      <c r="J109" s="332"/>
      <c r="K109" s="332"/>
      <c r="L109" s="331"/>
      <c r="M109" s="331"/>
    </row>
    <row r="110" spans="2:13" x14ac:dyDescent="0.2">
      <c r="B110" s="324"/>
      <c r="C110" s="333" t="str">
        <f>IFERROR(VLOOKUP(B110,PAR!$D$3:$E$53,2,FALSE),"nincs szervezet")</f>
        <v>nincs szervezet</v>
      </c>
      <c r="D110" s="359"/>
      <c r="E110" s="324"/>
      <c r="F110" s="332"/>
      <c r="G110" s="360"/>
      <c r="H110" s="251">
        <f t="shared" si="1"/>
        <v>0</v>
      </c>
      <c r="I110" s="331"/>
      <c r="J110" s="332"/>
      <c r="K110" s="332"/>
      <c r="L110" s="331"/>
      <c r="M110" s="331"/>
    </row>
    <row r="111" spans="2:13" x14ac:dyDescent="0.2">
      <c r="B111" s="324"/>
      <c r="C111" s="333" t="str">
        <f>IFERROR(VLOOKUP(B111,PAR!$D$3:$E$53,2,FALSE),"nincs szervezet")</f>
        <v>nincs szervezet</v>
      </c>
      <c r="D111" s="359"/>
      <c r="E111" s="324"/>
      <c r="F111" s="332"/>
      <c r="G111" s="360"/>
      <c r="H111" s="251">
        <f t="shared" si="1"/>
        <v>0</v>
      </c>
      <c r="I111" s="331"/>
      <c r="J111" s="332"/>
      <c r="K111" s="332"/>
      <c r="L111" s="331"/>
      <c r="M111" s="331"/>
    </row>
    <row r="112" spans="2:13" x14ac:dyDescent="0.2">
      <c r="B112" s="324"/>
      <c r="C112" s="333" t="str">
        <f>IFERROR(VLOOKUP(B112,PAR!$D$3:$E$53,2,FALSE),"nincs szervezet")</f>
        <v>nincs szervezet</v>
      </c>
      <c r="D112" s="359"/>
      <c r="E112" s="324"/>
      <c r="F112" s="332"/>
      <c r="G112" s="360"/>
      <c r="H112" s="251">
        <f t="shared" si="1"/>
        <v>0</v>
      </c>
      <c r="I112" s="331"/>
      <c r="J112" s="332"/>
      <c r="K112" s="332"/>
      <c r="L112" s="331"/>
      <c r="M112" s="331"/>
    </row>
    <row r="113" spans="2:13" x14ac:dyDescent="0.2">
      <c r="B113" s="324"/>
      <c r="C113" s="333" t="str">
        <f>IFERROR(VLOOKUP(B113,PAR!$D$3:$E$53,2,FALSE),"nincs szervezet")</f>
        <v>nincs szervezet</v>
      </c>
      <c r="D113" s="359"/>
      <c r="E113" s="324"/>
      <c r="F113" s="332"/>
      <c r="G113" s="360"/>
      <c r="H113" s="251">
        <f t="shared" si="1"/>
        <v>0</v>
      </c>
      <c r="I113" s="331"/>
      <c r="J113" s="332"/>
      <c r="K113" s="332"/>
      <c r="L113" s="331"/>
      <c r="M113" s="331"/>
    </row>
    <row r="114" spans="2:13" x14ac:dyDescent="0.2">
      <c r="B114" s="324"/>
      <c r="C114" s="333" t="str">
        <f>IFERROR(VLOOKUP(B114,PAR!$D$3:$E$53,2,FALSE),"nincs szervezet")</f>
        <v>nincs szervezet</v>
      </c>
      <c r="D114" s="359"/>
      <c r="E114" s="324"/>
      <c r="F114" s="332"/>
      <c r="G114" s="360"/>
      <c r="H114" s="251">
        <f t="shared" si="1"/>
        <v>0</v>
      </c>
      <c r="I114" s="331"/>
      <c r="J114" s="332"/>
      <c r="K114" s="332"/>
      <c r="L114" s="331"/>
      <c r="M114" s="331"/>
    </row>
    <row r="115" spans="2:13" x14ac:dyDescent="0.2">
      <c r="B115" s="324"/>
      <c r="C115" s="333" t="str">
        <f>IFERROR(VLOOKUP(B115,PAR!$D$3:$E$53,2,FALSE),"nincs szervezet")</f>
        <v>nincs szervezet</v>
      </c>
      <c r="D115" s="359"/>
      <c r="E115" s="324"/>
      <c r="F115" s="332"/>
      <c r="G115" s="360"/>
      <c r="H115" s="251">
        <f t="shared" si="1"/>
        <v>0</v>
      </c>
      <c r="I115" s="331"/>
      <c r="J115" s="332"/>
      <c r="K115" s="332"/>
      <c r="L115" s="331"/>
      <c r="M115" s="331"/>
    </row>
    <row r="116" spans="2:13" x14ac:dyDescent="0.2">
      <c r="B116" s="324"/>
      <c r="C116" s="333" t="str">
        <f>IFERROR(VLOOKUP(B116,PAR!$D$3:$E$53,2,FALSE),"nincs szervezet")</f>
        <v>nincs szervezet</v>
      </c>
      <c r="D116" s="359"/>
      <c r="E116" s="324"/>
      <c r="F116" s="332"/>
      <c r="G116" s="360"/>
      <c r="H116" s="251">
        <f t="shared" si="1"/>
        <v>0</v>
      </c>
      <c r="I116" s="331"/>
      <c r="J116" s="332"/>
      <c r="K116" s="332"/>
      <c r="L116" s="331"/>
      <c r="M116" s="331"/>
    </row>
    <row r="117" spans="2:13" x14ac:dyDescent="0.2">
      <c r="B117" s="324"/>
      <c r="C117" s="333" t="str">
        <f>IFERROR(VLOOKUP(B117,PAR!$D$3:$E$53,2,FALSE),"nincs szervezet")</f>
        <v>nincs szervezet</v>
      </c>
      <c r="D117" s="359"/>
      <c r="E117" s="324"/>
      <c r="F117" s="332"/>
      <c r="G117" s="360"/>
      <c r="H117" s="251">
        <f t="shared" si="1"/>
        <v>0</v>
      </c>
      <c r="I117" s="331"/>
      <c r="J117" s="332"/>
      <c r="K117" s="332"/>
      <c r="L117" s="331"/>
      <c r="M117" s="331"/>
    </row>
    <row r="118" spans="2:13" x14ac:dyDescent="0.2">
      <c r="B118" s="324"/>
      <c r="C118" s="333" t="str">
        <f>IFERROR(VLOOKUP(B118,PAR!$D$3:$E$53,2,FALSE),"nincs szervezet")</f>
        <v>nincs szervezet</v>
      </c>
      <c r="D118" s="359"/>
      <c r="E118" s="324"/>
      <c r="F118" s="332"/>
      <c r="G118" s="360"/>
      <c r="H118" s="251">
        <f t="shared" si="1"/>
        <v>0</v>
      </c>
      <c r="I118" s="331"/>
      <c r="J118" s="332"/>
      <c r="K118" s="332"/>
      <c r="L118" s="331"/>
      <c r="M118" s="331"/>
    </row>
    <row r="119" spans="2:13" x14ac:dyDescent="0.2">
      <c r="B119" s="324"/>
      <c r="C119" s="333" t="str">
        <f>IFERROR(VLOOKUP(B119,PAR!$D$3:$E$53,2,FALSE),"nincs szervezet")</f>
        <v>nincs szervezet</v>
      </c>
      <c r="D119" s="359"/>
      <c r="E119" s="324"/>
      <c r="F119" s="332"/>
      <c r="G119" s="360"/>
      <c r="H119" s="251">
        <f t="shared" si="1"/>
        <v>0</v>
      </c>
      <c r="I119" s="331"/>
      <c r="J119" s="332"/>
      <c r="K119" s="332"/>
      <c r="L119" s="331"/>
      <c r="M119" s="331"/>
    </row>
    <row r="120" spans="2:13" x14ac:dyDescent="0.2">
      <c r="B120" s="324"/>
      <c r="C120" s="333" t="str">
        <f>IFERROR(VLOOKUP(B120,PAR!$D$3:$E$53,2,FALSE),"nincs szervezet")</f>
        <v>nincs szervezet</v>
      </c>
      <c r="D120" s="359"/>
      <c r="E120" s="324"/>
      <c r="F120" s="332"/>
      <c r="G120" s="360"/>
      <c r="H120" s="251">
        <f t="shared" si="1"/>
        <v>0</v>
      </c>
      <c r="I120" s="331"/>
      <c r="J120" s="332"/>
      <c r="K120" s="332"/>
      <c r="L120" s="331"/>
      <c r="M120" s="331"/>
    </row>
    <row r="121" spans="2:13" x14ac:dyDescent="0.2">
      <c r="B121" s="324"/>
      <c r="C121" s="333" t="str">
        <f>IFERROR(VLOOKUP(B121,PAR!$D$3:$E$53,2,FALSE),"nincs szervezet")</f>
        <v>nincs szervezet</v>
      </c>
      <c r="D121" s="359"/>
      <c r="E121" s="324"/>
      <c r="F121" s="332"/>
      <c r="G121" s="360"/>
      <c r="H121" s="251">
        <f t="shared" si="1"/>
        <v>0</v>
      </c>
      <c r="I121" s="331"/>
      <c r="J121" s="332"/>
      <c r="K121" s="332"/>
      <c r="L121" s="331"/>
      <c r="M121" s="331"/>
    </row>
    <row r="122" spans="2:13" x14ac:dyDescent="0.2">
      <c r="B122" s="324"/>
      <c r="C122" s="333" t="str">
        <f>IFERROR(VLOOKUP(B122,PAR!$D$3:$E$53,2,FALSE),"nincs szervezet")</f>
        <v>nincs szervezet</v>
      </c>
      <c r="D122" s="359"/>
      <c r="E122" s="324"/>
      <c r="F122" s="332"/>
      <c r="G122" s="360"/>
      <c r="H122" s="251">
        <f t="shared" si="1"/>
        <v>0</v>
      </c>
      <c r="I122" s="331"/>
      <c r="J122" s="332"/>
      <c r="K122" s="332"/>
      <c r="L122" s="331"/>
      <c r="M122" s="331"/>
    </row>
    <row r="123" spans="2:13" x14ac:dyDescent="0.2">
      <c r="B123" s="324"/>
      <c r="C123" s="333" t="str">
        <f>IFERROR(VLOOKUP(B123,PAR!$D$3:$E$53,2,FALSE),"nincs szervezet")</f>
        <v>nincs szervezet</v>
      </c>
      <c r="D123" s="359"/>
      <c r="E123" s="324"/>
      <c r="F123" s="332"/>
      <c r="G123" s="360"/>
      <c r="H123" s="251">
        <f t="shared" si="1"/>
        <v>0</v>
      </c>
      <c r="I123" s="331"/>
      <c r="J123" s="332"/>
      <c r="K123" s="332"/>
      <c r="L123" s="331"/>
      <c r="M123" s="331"/>
    </row>
    <row r="124" spans="2:13" x14ac:dyDescent="0.2">
      <c r="B124" s="324"/>
      <c r="C124" s="333" t="str">
        <f>IFERROR(VLOOKUP(B124,PAR!$D$3:$E$53,2,FALSE),"nincs szervezet")</f>
        <v>nincs szervezet</v>
      </c>
      <c r="D124" s="359"/>
      <c r="E124" s="324"/>
      <c r="F124" s="332"/>
      <c r="G124" s="360"/>
      <c r="H124" s="251">
        <f t="shared" si="1"/>
        <v>0</v>
      </c>
      <c r="I124" s="331"/>
      <c r="J124" s="332"/>
      <c r="K124" s="332"/>
      <c r="L124" s="331"/>
      <c r="M124" s="331"/>
    </row>
    <row r="125" spans="2:13" x14ac:dyDescent="0.2">
      <c r="B125" s="324"/>
      <c r="C125" s="333" t="str">
        <f>IFERROR(VLOOKUP(B125,PAR!$D$3:$E$53,2,FALSE),"nincs szervezet")</f>
        <v>nincs szervezet</v>
      </c>
      <c r="D125" s="359"/>
      <c r="E125" s="324"/>
      <c r="F125" s="332"/>
      <c r="G125" s="360"/>
      <c r="H125" s="251">
        <f t="shared" si="1"/>
        <v>0</v>
      </c>
      <c r="I125" s="331"/>
      <c r="J125" s="332"/>
      <c r="K125" s="332"/>
      <c r="L125" s="331"/>
      <c r="M125" s="331"/>
    </row>
    <row r="126" spans="2:13" x14ac:dyDescent="0.2">
      <c r="B126" s="324"/>
      <c r="C126" s="333" t="str">
        <f>IFERROR(VLOOKUP(B126,PAR!$D$3:$E$53,2,FALSE),"nincs szervezet")</f>
        <v>nincs szervezet</v>
      </c>
      <c r="D126" s="359"/>
      <c r="E126" s="324"/>
      <c r="F126" s="332"/>
      <c r="G126" s="360"/>
      <c r="H126" s="251">
        <f t="shared" si="1"/>
        <v>0</v>
      </c>
      <c r="I126" s="331"/>
      <c r="J126" s="332"/>
      <c r="K126" s="332"/>
      <c r="L126" s="331"/>
      <c r="M126" s="331"/>
    </row>
    <row r="127" spans="2:13" x14ac:dyDescent="0.2">
      <c r="B127" s="324"/>
      <c r="C127" s="333" t="str">
        <f>IFERROR(VLOOKUP(B127,PAR!$D$3:$E$53,2,FALSE),"nincs szervezet")</f>
        <v>nincs szervezet</v>
      </c>
      <c r="D127" s="359"/>
      <c r="E127" s="324"/>
      <c r="F127" s="332"/>
      <c r="G127" s="360"/>
      <c r="H127" s="251">
        <f t="shared" si="1"/>
        <v>0</v>
      </c>
      <c r="I127" s="331"/>
      <c r="J127" s="332"/>
      <c r="K127" s="332"/>
      <c r="L127" s="331"/>
      <c r="M127" s="331"/>
    </row>
    <row r="128" spans="2:13" x14ac:dyDescent="0.2">
      <c r="B128" s="324"/>
      <c r="C128" s="333" t="str">
        <f>IFERROR(VLOOKUP(B128,PAR!$D$3:$E$53,2,FALSE),"nincs szervezet")</f>
        <v>nincs szervezet</v>
      </c>
      <c r="D128" s="359"/>
      <c r="E128" s="324"/>
      <c r="F128" s="332"/>
      <c r="G128" s="360"/>
      <c r="H128" s="251">
        <f t="shared" si="1"/>
        <v>0</v>
      </c>
      <c r="I128" s="331"/>
      <c r="J128" s="332"/>
      <c r="K128" s="332"/>
      <c r="L128" s="331"/>
      <c r="M128" s="331"/>
    </row>
    <row r="129" spans="2:13" x14ac:dyDescent="0.2">
      <c r="B129" s="324"/>
      <c r="C129" s="333" t="str">
        <f>IFERROR(VLOOKUP(B129,PAR!$D$3:$E$53,2,FALSE),"nincs szervezet")</f>
        <v>nincs szervezet</v>
      </c>
      <c r="D129" s="359"/>
      <c r="E129" s="324"/>
      <c r="F129" s="332"/>
      <c r="G129" s="360"/>
      <c r="H129" s="251">
        <f t="shared" si="1"/>
        <v>0</v>
      </c>
      <c r="I129" s="331"/>
      <c r="J129" s="332"/>
      <c r="K129" s="332"/>
      <c r="L129" s="331"/>
      <c r="M129" s="331"/>
    </row>
    <row r="130" spans="2:13" x14ac:dyDescent="0.2">
      <c r="B130" s="324"/>
      <c r="C130" s="333" t="str">
        <f>IFERROR(VLOOKUP(B130,PAR!$D$3:$E$53,2,FALSE),"nincs szervezet")</f>
        <v>nincs szervezet</v>
      </c>
      <c r="D130" s="359"/>
      <c r="E130" s="324"/>
      <c r="F130" s="332"/>
      <c r="G130" s="360"/>
      <c r="H130" s="251">
        <f t="shared" si="1"/>
        <v>0</v>
      </c>
      <c r="I130" s="331"/>
      <c r="J130" s="332"/>
      <c r="K130" s="332"/>
      <c r="L130" s="331"/>
      <c r="M130" s="331"/>
    </row>
    <row r="131" spans="2:13" x14ac:dyDescent="0.2">
      <c r="B131" s="324"/>
      <c r="C131" s="333" t="str">
        <f>IFERROR(VLOOKUP(B131,PAR!$D$3:$E$53,2,FALSE),"nincs szervezet")</f>
        <v>nincs szervezet</v>
      </c>
      <c r="D131" s="359"/>
      <c r="E131" s="324"/>
      <c r="F131" s="332"/>
      <c r="G131" s="360"/>
      <c r="H131" s="251">
        <f t="shared" si="1"/>
        <v>0</v>
      </c>
      <c r="I131" s="331"/>
      <c r="J131" s="332"/>
      <c r="K131" s="332"/>
      <c r="L131" s="331"/>
      <c r="M131" s="331"/>
    </row>
    <row r="132" spans="2:13" x14ac:dyDescent="0.2">
      <c r="B132" s="324"/>
      <c r="C132" s="333" t="str">
        <f>IFERROR(VLOOKUP(B132,PAR!$D$3:$E$53,2,FALSE),"nincs szervezet")</f>
        <v>nincs szervezet</v>
      </c>
      <c r="D132" s="359"/>
      <c r="E132" s="324"/>
      <c r="F132" s="332"/>
      <c r="G132" s="360"/>
      <c r="H132" s="251">
        <f t="shared" si="1"/>
        <v>0</v>
      </c>
      <c r="I132" s="331"/>
      <c r="J132" s="332"/>
      <c r="K132" s="332"/>
      <c r="L132" s="331"/>
      <c r="M132" s="331"/>
    </row>
    <row r="133" spans="2:13" x14ac:dyDescent="0.2">
      <c r="B133" s="324"/>
      <c r="C133" s="333" t="str">
        <f>IFERROR(VLOOKUP(B133,PAR!$D$3:$E$53,2,FALSE),"nincs szervezet")</f>
        <v>nincs szervezet</v>
      </c>
      <c r="D133" s="359"/>
      <c r="E133" s="324"/>
      <c r="F133" s="332"/>
      <c r="G133" s="360"/>
      <c r="H133" s="251">
        <f t="shared" si="1"/>
        <v>0</v>
      </c>
      <c r="I133" s="331"/>
      <c r="J133" s="332"/>
      <c r="K133" s="332"/>
      <c r="L133" s="331"/>
      <c r="M133" s="331"/>
    </row>
    <row r="134" spans="2:13" x14ac:dyDescent="0.2">
      <c r="B134" s="324"/>
      <c r="C134" s="333" t="str">
        <f>IFERROR(VLOOKUP(B134,PAR!$D$3:$E$53,2,FALSE),"nincs szervezet")</f>
        <v>nincs szervezet</v>
      </c>
      <c r="D134" s="359"/>
      <c r="E134" s="324"/>
      <c r="F134" s="332"/>
      <c r="G134" s="360"/>
      <c r="H134" s="251">
        <f t="shared" ref="H134:H197" si="2">IF(D134=221,G134*-1,G134)</f>
        <v>0</v>
      </c>
      <c r="I134" s="331"/>
      <c r="J134" s="332"/>
      <c r="K134" s="332"/>
      <c r="L134" s="331"/>
      <c r="M134" s="331"/>
    </row>
    <row r="135" spans="2:13" x14ac:dyDescent="0.2">
      <c r="B135" s="324"/>
      <c r="C135" s="333" t="str">
        <f>IFERROR(VLOOKUP(B135,PAR!$D$3:$E$53,2,FALSE),"nincs szervezet")</f>
        <v>nincs szervezet</v>
      </c>
      <c r="D135" s="359"/>
      <c r="E135" s="324"/>
      <c r="F135" s="332"/>
      <c r="G135" s="360"/>
      <c r="H135" s="251">
        <f t="shared" si="2"/>
        <v>0</v>
      </c>
      <c r="I135" s="331"/>
      <c r="J135" s="332"/>
      <c r="K135" s="332"/>
      <c r="L135" s="331"/>
      <c r="M135" s="331"/>
    </row>
    <row r="136" spans="2:13" x14ac:dyDescent="0.2">
      <c r="B136" s="324"/>
      <c r="C136" s="333" t="str">
        <f>IFERROR(VLOOKUP(B136,PAR!$D$3:$E$53,2,FALSE),"nincs szervezet")</f>
        <v>nincs szervezet</v>
      </c>
      <c r="D136" s="359"/>
      <c r="E136" s="324"/>
      <c r="F136" s="332"/>
      <c r="G136" s="360"/>
      <c r="H136" s="251">
        <f t="shared" si="2"/>
        <v>0</v>
      </c>
      <c r="I136" s="331"/>
      <c r="J136" s="332"/>
      <c r="K136" s="332"/>
      <c r="L136" s="331"/>
      <c r="M136" s="331"/>
    </row>
    <row r="137" spans="2:13" x14ac:dyDescent="0.2">
      <c r="B137" s="324"/>
      <c r="C137" s="333" t="str">
        <f>IFERROR(VLOOKUP(B137,PAR!$D$3:$E$53,2,FALSE),"nincs szervezet")</f>
        <v>nincs szervezet</v>
      </c>
      <c r="D137" s="359"/>
      <c r="E137" s="324"/>
      <c r="F137" s="332"/>
      <c r="G137" s="360"/>
      <c r="H137" s="251">
        <f t="shared" si="2"/>
        <v>0</v>
      </c>
      <c r="I137" s="331"/>
      <c r="J137" s="332"/>
      <c r="K137" s="332"/>
      <c r="L137" s="331"/>
      <c r="M137" s="331"/>
    </row>
    <row r="138" spans="2:13" x14ac:dyDescent="0.2">
      <c r="B138" s="324"/>
      <c r="C138" s="333" t="str">
        <f>IFERROR(VLOOKUP(B138,PAR!$D$3:$E$53,2,FALSE),"nincs szervezet")</f>
        <v>nincs szervezet</v>
      </c>
      <c r="D138" s="359"/>
      <c r="E138" s="324"/>
      <c r="F138" s="332"/>
      <c r="G138" s="360"/>
      <c r="H138" s="251">
        <f t="shared" si="2"/>
        <v>0</v>
      </c>
      <c r="I138" s="331"/>
      <c r="J138" s="332"/>
      <c r="K138" s="332"/>
      <c r="L138" s="331"/>
      <c r="M138" s="331"/>
    </row>
    <row r="139" spans="2:13" x14ac:dyDescent="0.2">
      <c r="B139" s="324"/>
      <c r="C139" s="333" t="str">
        <f>IFERROR(VLOOKUP(B139,PAR!$D$3:$E$53,2,FALSE),"nincs szervezet")</f>
        <v>nincs szervezet</v>
      </c>
      <c r="D139" s="359"/>
      <c r="E139" s="324"/>
      <c r="F139" s="332"/>
      <c r="G139" s="360"/>
      <c r="H139" s="251">
        <f t="shared" si="2"/>
        <v>0</v>
      </c>
      <c r="I139" s="331"/>
      <c r="J139" s="332"/>
      <c r="K139" s="332"/>
      <c r="L139" s="331"/>
      <c r="M139" s="331"/>
    </row>
    <row r="140" spans="2:13" x14ac:dyDescent="0.2">
      <c r="B140" s="324"/>
      <c r="C140" s="333" t="str">
        <f>IFERROR(VLOOKUP(B140,PAR!$D$3:$E$53,2,FALSE),"nincs szervezet")</f>
        <v>nincs szervezet</v>
      </c>
      <c r="D140" s="359"/>
      <c r="E140" s="324"/>
      <c r="F140" s="332"/>
      <c r="G140" s="360"/>
      <c r="H140" s="251">
        <f t="shared" si="2"/>
        <v>0</v>
      </c>
      <c r="I140" s="331"/>
      <c r="J140" s="332"/>
      <c r="K140" s="332"/>
      <c r="L140" s="331"/>
      <c r="M140" s="331"/>
    </row>
    <row r="141" spans="2:13" x14ac:dyDescent="0.2">
      <c r="B141" s="324"/>
      <c r="C141" s="333" t="str">
        <f>IFERROR(VLOOKUP(B141,PAR!$D$3:$E$53,2,FALSE),"nincs szervezet")</f>
        <v>nincs szervezet</v>
      </c>
      <c r="D141" s="359"/>
      <c r="E141" s="324"/>
      <c r="F141" s="332"/>
      <c r="G141" s="360"/>
      <c r="H141" s="251">
        <f t="shared" si="2"/>
        <v>0</v>
      </c>
      <c r="I141" s="331"/>
      <c r="J141" s="332"/>
      <c r="K141" s="332"/>
      <c r="L141" s="331"/>
      <c r="M141" s="331"/>
    </row>
    <row r="142" spans="2:13" x14ac:dyDescent="0.2">
      <c r="B142" s="324"/>
      <c r="C142" s="333" t="str">
        <f>IFERROR(VLOOKUP(B142,PAR!$D$3:$E$53,2,FALSE),"nincs szervezet")</f>
        <v>nincs szervezet</v>
      </c>
      <c r="D142" s="359"/>
      <c r="E142" s="324"/>
      <c r="F142" s="332"/>
      <c r="G142" s="360"/>
      <c r="H142" s="251">
        <f t="shared" si="2"/>
        <v>0</v>
      </c>
      <c r="I142" s="331"/>
      <c r="J142" s="332"/>
      <c r="K142" s="332"/>
      <c r="L142" s="331"/>
      <c r="M142" s="331"/>
    </row>
    <row r="143" spans="2:13" x14ac:dyDescent="0.2">
      <c r="B143" s="324"/>
      <c r="C143" s="333" t="str">
        <f>IFERROR(VLOOKUP(B143,PAR!$D$3:$E$53,2,FALSE),"nincs szervezet")</f>
        <v>nincs szervezet</v>
      </c>
      <c r="D143" s="359"/>
      <c r="E143" s="324"/>
      <c r="F143" s="332"/>
      <c r="G143" s="360"/>
      <c r="H143" s="251">
        <f t="shared" si="2"/>
        <v>0</v>
      </c>
      <c r="I143" s="331"/>
      <c r="J143" s="332"/>
      <c r="K143" s="332"/>
      <c r="L143" s="331"/>
      <c r="M143" s="331"/>
    </row>
    <row r="144" spans="2:13" x14ac:dyDescent="0.2">
      <c r="B144" s="324"/>
      <c r="C144" s="333" t="str">
        <f>IFERROR(VLOOKUP(B144,PAR!$D$3:$E$53,2,FALSE),"nincs szervezet")</f>
        <v>nincs szervezet</v>
      </c>
      <c r="D144" s="359"/>
      <c r="E144" s="324"/>
      <c r="F144" s="332"/>
      <c r="G144" s="360"/>
      <c r="H144" s="251">
        <f t="shared" si="2"/>
        <v>0</v>
      </c>
      <c r="I144" s="331"/>
      <c r="J144" s="332"/>
      <c r="K144" s="332"/>
      <c r="L144" s="331"/>
      <c r="M144" s="331"/>
    </row>
    <row r="145" spans="2:13" x14ac:dyDescent="0.2">
      <c r="B145" s="324"/>
      <c r="C145" s="333" t="str">
        <f>IFERROR(VLOOKUP(B145,PAR!$D$3:$E$53,2,FALSE),"nincs szervezet")</f>
        <v>nincs szervezet</v>
      </c>
      <c r="D145" s="359"/>
      <c r="E145" s="324"/>
      <c r="F145" s="332"/>
      <c r="G145" s="360"/>
      <c r="H145" s="251">
        <f t="shared" si="2"/>
        <v>0</v>
      </c>
      <c r="I145" s="331"/>
      <c r="J145" s="332"/>
      <c r="K145" s="332"/>
      <c r="L145" s="331"/>
      <c r="M145" s="331"/>
    </row>
    <row r="146" spans="2:13" x14ac:dyDescent="0.2">
      <c r="B146" s="324"/>
      <c r="C146" s="333" t="str">
        <f>IFERROR(VLOOKUP(B146,PAR!$D$3:$E$53,2,FALSE),"nincs szervezet")</f>
        <v>nincs szervezet</v>
      </c>
      <c r="D146" s="359"/>
      <c r="E146" s="324"/>
      <c r="F146" s="332"/>
      <c r="G146" s="360"/>
      <c r="H146" s="251">
        <f t="shared" si="2"/>
        <v>0</v>
      </c>
      <c r="I146" s="331"/>
      <c r="J146" s="332"/>
      <c r="K146" s="332"/>
      <c r="L146" s="331"/>
      <c r="M146" s="331"/>
    </row>
    <row r="147" spans="2:13" x14ac:dyDescent="0.2">
      <c r="B147" s="324"/>
      <c r="C147" s="333" t="str">
        <f>IFERROR(VLOOKUP(B147,PAR!$D$3:$E$53,2,FALSE),"nincs szervezet")</f>
        <v>nincs szervezet</v>
      </c>
      <c r="D147" s="359"/>
      <c r="E147" s="324"/>
      <c r="F147" s="332"/>
      <c r="G147" s="360"/>
      <c r="H147" s="251">
        <f t="shared" si="2"/>
        <v>0</v>
      </c>
      <c r="I147" s="331"/>
      <c r="J147" s="332"/>
      <c r="K147" s="332"/>
      <c r="L147" s="331"/>
      <c r="M147" s="331"/>
    </row>
    <row r="148" spans="2:13" x14ac:dyDescent="0.2">
      <c r="B148" s="324"/>
      <c r="C148" s="333" t="str">
        <f>IFERROR(VLOOKUP(B148,PAR!$D$3:$E$53,2,FALSE),"nincs szervezet")</f>
        <v>nincs szervezet</v>
      </c>
      <c r="D148" s="359"/>
      <c r="E148" s="324"/>
      <c r="F148" s="332"/>
      <c r="G148" s="360"/>
      <c r="H148" s="251">
        <f t="shared" si="2"/>
        <v>0</v>
      </c>
      <c r="I148" s="331"/>
      <c r="J148" s="332"/>
      <c r="K148" s="332"/>
      <c r="L148" s="331"/>
      <c r="M148" s="331"/>
    </row>
    <row r="149" spans="2:13" x14ac:dyDescent="0.2">
      <c r="B149" s="324"/>
      <c r="C149" s="333" t="str">
        <f>IFERROR(VLOOKUP(B149,PAR!$D$3:$E$53,2,FALSE),"nincs szervezet")</f>
        <v>nincs szervezet</v>
      </c>
      <c r="D149" s="359"/>
      <c r="E149" s="324"/>
      <c r="F149" s="332"/>
      <c r="G149" s="360"/>
      <c r="H149" s="251">
        <f t="shared" si="2"/>
        <v>0</v>
      </c>
      <c r="I149" s="331"/>
      <c r="J149" s="332"/>
      <c r="K149" s="332"/>
      <c r="L149" s="331"/>
      <c r="M149" s="331"/>
    </row>
    <row r="150" spans="2:13" x14ac:dyDescent="0.2">
      <c r="B150" s="324"/>
      <c r="C150" s="333" t="str">
        <f>IFERROR(VLOOKUP(B150,PAR!$D$3:$E$53,2,FALSE),"nincs szervezet")</f>
        <v>nincs szervezet</v>
      </c>
      <c r="D150" s="359"/>
      <c r="E150" s="324"/>
      <c r="F150" s="332"/>
      <c r="G150" s="360"/>
      <c r="H150" s="251">
        <f t="shared" si="2"/>
        <v>0</v>
      </c>
      <c r="I150" s="331"/>
      <c r="J150" s="332"/>
      <c r="K150" s="332"/>
      <c r="L150" s="331"/>
      <c r="M150" s="331"/>
    </row>
    <row r="151" spans="2:13" x14ac:dyDescent="0.2">
      <c r="B151" s="324"/>
      <c r="C151" s="333" t="str">
        <f>IFERROR(VLOOKUP(B151,PAR!$D$3:$E$53,2,FALSE),"nincs szervezet")</f>
        <v>nincs szervezet</v>
      </c>
      <c r="D151" s="359"/>
      <c r="E151" s="324"/>
      <c r="F151" s="332"/>
      <c r="G151" s="360"/>
      <c r="H151" s="251">
        <f t="shared" si="2"/>
        <v>0</v>
      </c>
      <c r="I151" s="331"/>
      <c r="J151" s="332"/>
      <c r="K151" s="332"/>
      <c r="L151" s="331"/>
      <c r="M151" s="331"/>
    </row>
    <row r="152" spans="2:13" x14ac:dyDescent="0.2">
      <c r="B152" s="324"/>
      <c r="C152" s="333" t="str">
        <f>IFERROR(VLOOKUP(B152,PAR!$D$3:$E$53,2,FALSE),"nincs szervezet")</f>
        <v>nincs szervezet</v>
      </c>
      <c r="D152" s="359"/>
      <c r="E152" s="324"/>
      <c r="F152" s="332"/>
      <c r="G152" s="360"/>
      <c r="H152" s="251">
        <f t="shared" si="2"/>
        <v>0</v>
      </c>
      <c r="I152" s="331"/>
      <c r="J152" s="332"/>
      <c r="K152" s="332"/>
      <c r="L152" s="331"/>
      <c r="M152" s="331"/>
    </row>
    <row r="153" spans="2:13" x14ac:dyDescent="0.2">
      <c r="B153" s="324"/>
      <c r="C153" s="333" t="str">
        <f>IFERROR(VLOOKUP(B153,PAR!$D$3:$E$53,2,FALSE),"nincs szervezet")</f>
        <v>nincs szervezet</v>
      </c>
      <c r="D153" s="359"/>
      <c r="E153" s="324"/>
      <c r="F153" s="332"/>
      <c r="G153" s="360"/>
      <c r="H153" s="251">
        <f t="shared" si="2"/>
        <v>0</v>
      </c>
      <c r="I153" s="331"/>
      <c r="J153" s="332"/>
      <c r="K153" s="332"/>
      <c r="L153" s="331"/>
      <c r="M153" s="331"/>
    </row>
    <row r="154" spans="2:13" x14ac:dyDescent="0.2">
      <c r="B154" s="324"/>
      <c r="C154" s="333" t="str">
        <f>IFERROR(VLOOKUP(B154,PAR!$D$3:$E$53,2,FALSE),"nincs szervezet")</f>
        <v>nincs szervezet</v>
      </c>
      <c r="D154" s="359"/>
      <c r="E154" s="324"/>
      <c r="F154" s="332"/>
      <c r="G154" s="360"/>
      <c r="H154" s="251">
        <f t="shared" si="2"/>
        <v>0</v>
      </c>
      <c r="I154" s="331"/>
      <c r="J154" s="332"/>
      <c r="K154" s="332"/>
      <c r="L154" s="331"/>
      <c r="M154" s="331"/>
    </row>
    <row r="155" spans="2:13" x14ac:dyDescent="0.2">
      <c r="B155" s="324"/>
      <c r="C155" s="333" t="str">
        <f>IFERROR(VLOOKUP(B155,PAR!$D$3:$E$53,2,FALSE),"nincs szervezet")</f>
        <v>nincs szervezet</v>
      </c>
      <c r="D155" s="359"/>
      <c r="E155" s="324"/>
      <c r="F155" s="332"/>
      <c r="G155" s="360"/>
      <c r="H155" s="251">
        <f t="shared" si="2"/>
        <v>0</v>
      </c>
      <c r="I155" s="331"/>
      <c r="J155" s="332"/>
      <c r="K155" s="332"/>
      <c r="L155" s="331"/>
      <c r="M155" s="331"/>
    </row>
    <row r="156" spans="2:13" x14ac:dyDescent="0.2">
      <c r="B156" s="324"/>
      <c r="C156" s="333" t="str">
        <f>IFERROR(VLOOKUP(B156,PAR!$D$3:$E$53,2,FALSE),"nincs szervezet")</f>
        <v>nincs szervezet</v>
      </c>
      <c r="D156" s="359"/>
      <c r="E156" s="324"/>
      <c r="F156" s="332"/>
      <c r="G156" s="360"/>
      <c r="H156" s="251">
        <f t="shared" si="2"/>
        <v>0</v>
      </c>
      <c r="I156" s="331"/>
      <c r="J156" s="332"/>
      <c r="K156" s="332"/>
      <c r="L156" s="331"/>
      <c r="M156" s="331"/>
    </row>
    <row r="157" spans="2:13" x14ac:dyDescent="0.2">
      <c r="B157" s="324"/>
      <c r="C157" s="333" t="str">
        <f>IFERROR(VLOOKUP(B157,PAR!$D$3:$E$53,2,FALSE),"nincs szervezet")</f>
        <v>nincs szervezet</v>
      </c>
      <c r="D157" s="359"/>
      <c r="E157" s="324"/>
      <c r="F157" s="332"/>
      <c r="G157" s="360"/>
      <c r="H157" s="251">
        <f t="shared" si="2"/>
        <v>0</v>
      </c>
      <c r="I157" s="331"/>
      <c r="J157" s="332"/>
      <c r="K157" s="332"/>
      <c r="L157" s="331"/>
      <c r="M157" s="331"/>
    </row>
    <row r="158" spans="2:13" x14ac:dyDescent="0.2">
      <c r="B158" s="324"/>
      <c r="C158" s="333" t="str">
        <f>IFERROR(VLOOKUP(B158,PAR!$D$3:$E$53,2,FALSE),"nincs szervezet")</f>
        <v>nincs szervezet</v>
      </c>
      <c r="D158" s="359"/>
      <c r="E158" s="324"/>
      <c r="F158" s="332"/>
      <c r="G158" s="360"/>
      <c r="H158" s="251">
        <f t="shared" si="2"/>
        <v>0</v>
      </c>
      <c r="I158" s="331"/>
      <c r="J158" s="332"/>
      <c r="K158" s="332"/>
      <c r="L158" s="331"/>
      <c r="M158" s="331"/>
    </row>
    <row r="159" spans="2:13" x14ac:dyDescent="0.2">
      <c r="B159" s="324"/>
      <c r="C159" s="333" t="str">
        <f>IFERROR(VLOOKUP(B159,PAR!$D$3:$E$53,2,FALSE),"nincs szervezet")</f>
        <v>nincs szervezet</v>
      </c>
      <c r="D159" s="359"/>
      <c r="E159" s="324"/>
      <c r="F159" s="332"/>
      <c r="G159" s="360"/>
      <c r="H159" s="251">
        <f t="shared" si="2"/>
        <v>0</v>
      </c>
      <c r="I159" s="331"/>
      <c r="J159" s="332"/>
      <c r="K159" s="332"/>
      <c r="L159" s="331"/>
      <c r="M159" s="331"/>
    </row>
    <row r="160" spans="2:13" x14ac:dyDescent="0.2">
      <c r="B160" s="324"/>
      <c r="C160" s="333" t="str">
        <f>IFERROR(VLOOKUP(B160,PAR!$D$3:$E$53,2,FALSE),"nincs szervezet")</f>
        <v>nincs szervezet</v>
      </c>
      <c r="D160" s="359"/>
      <c r="E160" s="324"/>
      <c r="F160" s="332"/>
      <c r="G160" s="360"/>
      <c r="H160" s="251">
        <f t="shared" si="2"/>
        <v>0</v>
      </c>
      <c r="I160" s="331"/>
      <c r="J160" s="332"/>
      <c r="K160" s="332"/>
      <c r="L160" s="331"/>
      <c r="M160" s="331"/>
    </row>
    <row r="161" spans="2:13" x14ac:dyDescent="0.2">
      <c r="B161" s="324"/>
      <c r="C161" s="333" t="str">
        <f>IFERROR(VLOOKUP(B161,PAR!$D$3:$E$53,2,FALSE),"nincs szervezet")</f>
        <v>nincs szervezet</v>
      </c>
      <c r="D161" s="359"/>
      <c r="E161" s="324"/>
      <c r="F161" s="332"/>
      <c r="G161" s="360"/>
      <c r="H161" s="251">
        <f t="shared" si="2"/>
        <v>0</v>
      </c>
      <c r="I161" s="331"/>
      <c r="J161" s="332"/>
      <c r="K161" s="332"/>
      <c r="L161" s="331"/>
      <c r="M161" s="331"/>
    </row>
    <row r="162" spans="2:13" x14ac:dyDescent="0.2">
      <c r="B162" s="324"/>
      <c r="C162" s="333" t="str">
        <f>IFERROR(VLOOKUP(B162,PAR!$D$3:$E$53,2,FALSE),"nincs szervezet")</f>
        <v>nincs szervezet</v>
      </c>
      <c r="D162" s="359"/>
      <c r="E162" s="324"/>
      <c r="F162" s="332"/>
      <c r="G162" s="360"/>
      <c r="H162" s="251">
        <f t="shared" si="2"/>
        <v>0</v>
      </c>
      <c r="I162" s="331"/>
      <c r="J162" s="332"/>
      <c r="K162" s="332"/>
      <c r="L162" s="331"/>
      <c r="M162" s="331"/>
    </row>
    <row r="163" spans="2:13" x14ac:dyDescent="0.2">
      <c r="B163" s="324"/>
      <c r="C163" s="333" t="str">
        <f>IFERROR(VLOOKUP(B163,PAR!$D$3:$E$53,2,FALSE),"nincs szervezet")</f>
        <v>nincs szervezet</v>
      </c>
      <c r="D163" s="359"/>
      <c r="E163" s="324"/>
      <c r="F163" s="332"/>
      <c r="G163" s="360"/>
      <c r="H163" s="251">
        <f t="shared" si="2"/>
        <v>0</v>
      </c>
      <c r="I163" s="331"/>
      <c r="J163" s="332"/>
      <c r="K163" s="332"/>
      <c r="L163" s="331"/>
      <c r="M163" s="331"/>
    </row>
    <row r="164" spans="2:13" x14ac:dyDescent="0.2">
      <c r="B164" s="324"/>
      <c r="C164" s="333" t="str">
        <f>IFERROR(VLOOKUP(B164,PAR!$D$3:$E$53,2,FALSE),"nincs szervezet")</f>
        <v>nincs szervezet</v>
      </c>
      <c r="D164" s="359"/>
      <c r="E164" s="324"/>
      <c r="F164" s="332"/>
      <c r="G164" s="360"/>
      <c r="H164" s="251">
        <f t="shared" si="2"/>
        <v>0</v>
      </c>
      <c r="I164" s="331"/>
      <c r="J164" s="332"/>
      <c r="K164" s="332"/>
      <c r="L164" s="331"/>
      <c r="M164" s="331"/>
    </row>
    <row r="165" spans="2:13" x14ac:dyDescent="0.2">
      <c r="B165" s="324"/>
      <c r="C165" s="333" t="str">
        <f>IFERROR(VLOOKUP(B165,PAR!$D$3:$E$53,2,FALSE),"nincs szervezet")</f>
        <v>nincs szervezet</v>
      </c>
      <c r="D165" s="359"/>
      <c r="E165" s="324"/>
      <c r="F165" s="332"/>
      <c r="G165" s="360"/>
      <c r="H165" s="251">
        <f t="shared" si="2"/>
        <v>0</v>
      </c>
      <c r="I165" s="331"/>
      <c r="J165" s="332"/>
      <c r="K165" s="332"/>
      <c r="L165" s="331"/>
      <c r="M165" s="331"/>
    </row>
    <row r="166" spans="2:13" x14ac:dyDescent="0.2">
      <c r="B166" s="324"/>
      <c r="C166" s="333" t="str">
        <f>IFERROR(VLOOKUP(B166,PAR!$D$3:$E$53,2,FALSE),"nincs szervezet")</f>
        <v>nincs szervezet</v>
      </c>
      <c r="D166" s="359"/>
      <c r="E166" s="324"/>
      <c r="F166" s="332"/>
      <c r="G166" s="360"/>
      <c r="H166" s="251">
        <f t="shared" si="2"/>
        <v>0</v>
      </c>
      <c r="I166" s="331"/>
      <c r="J166" s="332"/>
      <c r="K166" s="332"/>
      <c r="L166" s="331"/>
      <c r="M166" s="331"/>
    </row>
    <row r="167" spans="2:13" x14ac:dyDescent="0.2">
      <c r="B167" s="324"/>
      <c r="C167" s="333" t="str">
        <f>IFERROR(VLOOKUP(B167,PAR!$D$3:$E$53,2,FALSE),"nincs szervezet")</f>
        <v>nincs szervezet</v>
      </c>
      <c r="D167" s="359"/>
      <c r="E167" s="324"/>
      <c r="F167" s="332"/>
      <c r="G167" s="360"/>
      <c r="H167" s="251">
        <f t="shared" si="2"/>
        <v>0</v>
      </c>
      <c r="I167" s="331"/>
      <c r="J167" s="332"/>
      <c r="K167" s="332"/>
      <c r="L167" s="331"/>
      <c r="M167" s="331"/>
    </row>
    <row r="168" spans="2:13" x14ac:dyDescent="0.2">
      <c r="B168" s="324"/>
      <c r="C168" s="333" t="str">
        <f>IFERROR(VLOOKUP(B168,PAR!$D$3:$E$53,2,FALSE),"nincs szervezet")</f>
        <v>nincs szervezet</v>
      </c>
      <c r="D168" s="359"/>
      <c r="E168" s="324"/>
      <c r="F168" s="332"/>
      <c r="G168" s="360"/>
      <c r="H168" s="251">
        <f t="shared" si="2"/>
        <v>0</v>
      </c>
      <c r="I168" s="331"/>
      <c r="J168" s="332"/>
      <c r="K168" s="332"/>
      <c r="L168" s="331"/>
      <c r="M168" s="331"/>
    </row>
    <row r="169" spans="2:13" x14ac:dyDescent="0.2">
      <c r="B169" s="324"/>
      <c r="C169" s="333" t="str">
        <f>IFERROR(VLOOKUP(B169,PAR!$D$3:$E$53,2,FALSE),"nincs szervezet")</f>
        <v>nincs szervezet</v>
      </c>
      <c r="D169" s="359"/>
      <c r="E169" s="324"/>
      <c r="F169" s="332"/>
      <c r="G169" s="360"/>
      <c r="H169" s="251">
        <f t="shared" si="2"/>
        <v>0</v>
      </c>
      <c r="I169" s="331"/>
      <c r="J169" s="332"/>
      <c r="K169" s="332"/>
      <c r="L169" s="331"/>
      <c r="M169" s="331"/>
    </row>
    <row r="170" spans="2:13" x14ac:dyDescent="0.2">
      <c r="B170" s="324"/>
      <c r="C170" s="333" t="str">
        <f>IFERROR(VLOOKUP(B170,PAR!$D$3:$E$53,2,FALSE),"nincs szervezet")</f>
        <v>nincs szervezet</v>
      </c>
      <c r="D170" s="359"/>
      <c r="E170" s="324"/>
      <c r="F170" s="332"/>
      <c r="G170" s="360"/>
      <c r="H170" s="251">
        <f t="shared" si="2"/>
        <v>0</v>
      </c>
      <c r="I170" s="331"/>
      <c r="J170" s="332"/>
      <c r="K170" s="332"/>
      <c r="L170" s="331"/>
      <c r="M170" s="331"/>
    </row>
    <row r="171" spans="2:13" x14ac:dyDescent="0.2">
      <c r="B171" s="324"/>
      <c r="C171" s="333" t="str">
        <f>IFERROR(VLOOKUP(B171,PAR!$D$3:$E$53,2,FALSE),"nincs szervezet")</f>
        <v>nincs szervezet</v>
      </c>
      <c r="D171" s="359"/>
      <c r="E171" s="324"/>
      <c r="F171" s="332"/>
      <c r="G171" s="360"/>
      <c r="H171" s="251">
        <f t="shared" si="2"/>
        <v>0</v>
      </c>
      <c r="I171" s="331"/>
      <c r="J171" s="332"/>
      <c r="K171" s="332"/>
      <c r="L171" s="331"/>
      <c r="M171" s="331"/>
    </row>
    <row r="172" spans="2:13" x14ac:dyDescent="0.2">
      <c r="B172" s="324"/>
      <c r="C172" s="333" t="str">
        <f>IFERROR(VLOOKUP(B172,PAR!$D$3:$E$53,2,FALSE),"nincs szervezet")</f>
        <v>nincs szervezet</v>
      </c>
      <c r="D172" s="359"/>
      <c r="E172" s="324"/>
      <c r="F172" s="332"/>
      <c r="G172" s="360"/>
      <c r="H172" s="251">
        <f t="shared" si="2"/>
        <v>0</v>
      </c>
      <c r="I172" s="331"/>
      <c r="J172" s="332"/>
      <c r="K172" s="332"/>
      <c r="L172" s="331"/>
      <c r="M172" s="331"/>
    </row>
    <row r="173" spans="2:13" x14ac:dyDescent="0.2">
      <c r="B173" s="324"/>
      <c r="C173" s="333" t="str">
        <f>IFERROR(VLOOKUP(B173,PAR!$D$3:$E$53,2,FALSE),"nincs szervezet")</f>
        <v>nincs szervezet</v>
      </c>
      <c r="D173" s="359"/>
      <c r="E173" s="324"/>
      <c r="F173" s="332"/>
      <c r="G173" s="360"/>
      <c r="H173" s="251">
        <f t="shared" si="2"/>
        <v>0</v>
      </c>
      <c r="I173" s="331"/>
      <c r="J173" s="332"/>
      <c r="K173" s="332"/>
      <c r="L173" s="331"/>
      <c r="M173" s="331"/>
    </row>
    <row r="174" spans="2:13" x14ac:dyDescent="0.2">
      <c r="B174" s="324"/>
      <c r="C174" s="333" t="str">
        <f>IFERROR(VLOOKUP(B174,PAR!$D$3:$E$53,2,FALSE),"nincs szervezet")</f>
        <v>nincs szervezet</v>
      </c>
      <c r="D174" s="359"/>
      <c r="E174" s="324"/>
      <c r="F174" s="332"/>
      <c r="G174" s="360"/>
      <c r="H174" s="251">
        <f t="shared" si="2"/>
        <v>0</v>
      </c>
      <c r="I174" s="331"/>
      <c r="J174" s="332"/>
      <c r="K174" s="332"/>
      <c r="L174" s="331"/>
      <c r="M174" s="331"/>
    </row>
    <row r="175" spans="2:13" x14ac:dyDescent="0.2">
      <c r="B175" s="324"/>
      <c r="C175" s="333" t="str">
        <f>IFERROR(VLOOKUP(B175,PAR!$D$3:$E$53,2,FALSE),"nincs szervezet")</f>
        <v>nincs szervezet</v>
      </c>
      <c r="D175" s="359"/>
      <c r="E175" s="324"/>
      <c r="F175" s="332"/>
      <c r="G175" s="360"/>
      <c r="H175" s="251">
        <f t="shared" si="2"/>
        <v>0</v>
      </c>
      <c r="I175" s="331"/>
      <c r="J175" s="332"/>
      <c r="K175" s="332"/>
      <c r="L175" s="331"/>
      <c r="M175" s="331"/>
    </row>
    <row r="176" spans="2:13" x14ac:dyDescent="0.2">
      <c r="B176" s="324"/>
      <c r="C176" s="333" t="str">
        <f>IFERROR(VLOOKUP(B176,PAR!$D$3:$E$53,2,FALSE),"nincs szervezet")</f>
        <v>nincs szervezet</v>
      </c>
      <c r="D176" s="359"/>
      <c r="E176" s="324"/>
      <c r="F176" s="332"/>
      <c r="G176" s="360"/>
      <c r="H176" s="251">
        <f t="shared" si="2"/>
        <v>0</v>
      </c>
      <c r="I176" s="331"/>
      <c r="J176" s="332"/>
      <c r="K176" s="332"/>
      <c r="L176" s="331"/>
      <c r="M176" s="331"/>
    </row>
    <row r="177" spans="2:13" x14ac:dyDescent="0.2">
      <c r="B177" s="324"/>
      <c r="C177" s="333" t="str">
        <f>IFERROR(VLOOKUP(B177,PAR!$D$3:$E$53,2,FALSE),"nincs szervezet")</f>
        <v>nincs szervezet</v>
      </c>
      <c r="D177" s="359"/>
      <c r="E177" s="324"/>
      <c r="F177" s="332"/>
      <c r="G177" s="360"/>
      <c r="H177" s="251">
        <f t="shared" si="2"/>
        <v>0</v>
      </c>
      <c r="I177" s="331"/>
      <c r="J177" s="332"/>
      <c r="K177" s="332"/>
      <c r="L177" s="331"/>
      <c r="M177" s="331"/>
    </row>
    <row r="178" spans="2:13" x14ac:dyDescent="0.2">
      <c r="B178" s="324"/>
      <c r="C178" s="333" t="str">
        <f>IFERROR(VLOOKUP(B178,PAR!$D$3:$E$53,2,FALSE),"nincs szervezet")</f>
        <v>nincs szervezet</v>
      </c>
      <c r="D178" s="359"/>
      <c r="E178" s="324"/>
      <c r="F178" s="332"/>
      <c r="G178" s="360"/>
      <c r="H178" s="251">
        <f t="shared" si="2"/>
        <v>0</v>
      </c>
      <c r="I178" s="331"/>
      <c r="J178" s="332"/>
      <c r="K178" s="332"/>
      <c r="L178" s="331"/>
      <c r="M178" s="331"/>
    </row>
    <row r="179" spans="2:13" x14ac:dyDescent="0.2">
      <c r="B179" s="324"/>
      <c r="C179" s="333" t="str">
        <f>IFERROR(VLOOKUP(B179,PAR!$D$3:$E$53,2,FALSE),"nincs szervezet")</f>
        <v>nincs szervezet</v>
      </c>
      <c r="D179" s="359"/>
      <c r="E179" s="324"/>
      <c r="F179" s="332"/>
      <c r="G179" s="360"/>
      <c r="H179" s="251">
        <f t="shared" si="2"/>
        <v>0</v>
      </c>
      <c r="I179" s="331"/>
      <c r="J179" s="332"/>
      <c r="K179" s="332"/>
      <c r="L179" s="331"/>
      <c r="M179" s="331"/>
    </row>
    <row r="180" spans="2:13" x14ac:dyDescent="0.2">
      <c r="B180" s="324"/>
      <c r="C180" s="333" t="str">
        <f>IFERROR(VLOOKUP(B180,PAR!$D$3:$E$53,2,FALSE),"nincs szervezet")</f>
        <v>nincs szervezet</v>
      </c>
      <c r="D180" s="359"/>
      <c r="E180" s="324"/>
      <c r="F180" s="332"/>
      <c r="G180" s="360"/>
      <c r="H180" s="251">
        <f t="shared" si="2"/>
        <v>0</v>
      </c>
      <c r="I180" s="331"/>
      <c r="J180" s="332"/>
      <c r="K180" s="332"/>
      <c r="L180" s="331"/>
      <c r="M180" s="331"/>
    </row>
    <row r="181" spans="2:13" x14ac:dyDescent="0.2">
      <c r="B181" s="324"/>
      <c r="C181" s="333" t="str">
        <f>IFERROR(VLOOKUP(B181,PAR!$D$3:$E$53,2,FALSE),"nincs szervezet")</f>
        <v>nincs szervezet</v>
      </c>
      <c r="D181" s="359"/>
      <c r="E181" s="324"/>
      <c r="F181" s="332"/>
      <c r="G181" s="360"/>
      <c r="H181" s="251">
        <f t="shared" si="2"/>
        <v>0</v>
      </c>
      <c r="I181" s="331"/>
      <c r="J181" s="332"/>
      <c r="K181" s="332"/>
      <c r="L181" s="331"/>
      <c r="M181" s="331"/>
    </row>
    <row r="182" spans="2:13" x14ac:dyDescent="0.2">
      <c r="B182" s="324"/>
      <c r="C182" s="333" t="str">
        <f>IFERROR(VLOOKUP(B182,PAR!$D$3:$E$53,2,FALSE),"nincs szervezet")</f>
        <v>nincs szervezet</v>
      </c>
      <c r="D182" s="359"/>
      <c r="E182" s="324"/>
      <c r="F182" s="332"/>
      <c r="G182" s="360"/>
      <c r="H182" s="251">
        <f t="shared" si="2"/>
        <v>0</v>
      </c>
      <c r="I182" s="331"/>
      <c r="J182" s="332"/>
      <c r="K182" s="332"/>
      <c r="L182" s="331"/>
      <c r="M182" s="331"/>
    </row>
    <row r="183" spans="2:13" x14ac:dyDescent="0.2">
      <c r="B183" s="324"/>
      <c r="C183" s="333" t="str">
        <f>IFERROR(VLOOKUP(B183,PAR!$D$3:$E$53,2,FALSE),"nincs szervezet")</f>
        <v>nincs szervezet</v>
      </c>
      <c r="D183" s="359"/>
      <c r="E183" s="324"/>
      <c r="F183" s="332"/>
      <c r="G183" s="360"/>
      <c r="H183" s="251">
        <f t="shared" si="2"/>
        <v>0</v>
      </c>
      <c r="I183" s="331"/>
      <c r="J183" s="332"/>
      <c r="K183" s="332"/>
      <c r="L183" s="331"/>
      <c r="M183" s="331"/>
    </row>
    <row r="184" spans="2:13" x14ac:dyDescent="0.2">
      <c r="B184" s="324"/>
      <c r="C184" s="333" t="str">
        <f>IFERROR(VLOOKUP(B184,PAR!$D$3:$E$53,2,FALSE),"nincs szervezet")</f>
        <v>nincs szervezet</v>
      </c>
      <c r="D184" s="359"/>
      <c r="E184" s="324"/>
      <c r="F184" s="332"/>
      <c r="G184" s="360"/>
      <c r="H184" s="251">
        <f t="shared" si="2"/>
        <v>0</v>
      </c>
      <c r="I184" s="331"/>
      <c r="J184" s="332"/>
      <c r="K184" s="332"/>
      <c r="L184" s="331"/>
      <c r="M184" s="331"/>
    </row>
    <row r="185" spans="2:13" x14ac:dyDescent="0.2">
      <c r="B185" s="324"/>
      <c r="C185" s="333" t="str">
        <f>IFERROR(VLOOKUP(B185,PAR!$D$3:$E$53,2,FALSE),"nincs szervezet")</f>
        <v>nincs szervezet</v>
      </c>
      <c r="D185" s="359"/>
      <c r="E185" s="324"/>
      <c r="F185" s="332"/>
      <c r="G185" s="360"/>
      <c r="H185" s="251">
        <f t="shared" si="2"/>
        <v>0</v>
      </c>
      <c r="I185" s="331"/>
      <c r="J185" s="332"/>
      <c r="K185" s="332"/>
      <c r="L185" s="331"/>
      <c r="M185" s="331"/>
    </row>
    <row r="186" spans="2:13" x14ac:dyDescent="0.2">
      <c r="B186" s="324"/>
      <c r="C186" s="333" t="str">
        <f>IFERROR(VLOOKUP(B186,PAR!$D$3:$E$53,2,FALSE),"nincs szervezet")</f>
        <v>nincs szervezet</v>
      </c>
      <c r="D186" s="359"/>
      <c r="E186" s="324"/>
      <c r="F186" s="332"/>
      <c r="G186" s="360"/>
      <c r="H186" s="251">
        <f t="shared" si="2"/>
        <v>0</v>
      </c>
      <c r="I186" s="331"/>
      <c r="J186" s="332"/>
      <c r="K186" s="332"/>
      <c r="L186" s="331"/>
      <c r="M186" s="331"/>
    </row>
    <row r="187" spans="2:13" x14ac:dyDescent="0.2">
      <c r="B187" s="324"/>
      <c r="C187" s="333" t="str">
        <f>IFERROR(VLOOKUP(B187,PAR!$D$3:$E$53,2,FALSE),"nincs szervezet")</f>
        <v>nincs szervezet</v>
      </c>
      <c r="D187" s="359"/>
      <c r="E187" s="324"/>
      <c r="F187" s="332"/>
      <c r="G187" s="360"/>
      <c r="H187" s="251">
        <f t="shared" si="2"/>
        <v>0</v>
      </c>
      <c r="I187" s="331"/>
      <c r="J187" s="332"/>
      <c r="K187" s="332"/>
      <c r="L187" s="331"/>
      <c r="M187" s="331"/>
    </row>
    <row r="188" spans="2:13" x14ac:dyDescent="0.2">
      <c r="B188" s="324"/>
      <c r="C188" s="333" t="str">
        <f>IFERROR(VLOOKUP(B188,PAR!$D$3:$E$53,2,FALSE),"nincs szervezet")</f>
        <v>nincs szervezet</v>
      </c>
      <c r="D188" s="359"/>
      <c r="E188" s="324"/>
      <c r="F188" s="332"/>
      <c r="G188" s="360"/>
      <c r="H188" s="251">
        <f t="shared" si="2"/>
        <v>0</v>
      </c>
      <c r="I188" s="331"/>
      <c r="J188" s="332"/>
      <c r="K188" s="332"/>
      <c r="L188" s="331"/>
      <c r="M188" s="331"/>
    </row>
    <row r="189" spans="2:13" x14ac:dyDescent="0.2">
      <c r="B189" s="324"/>
      <c r="C189" s="333" t="str">
        <f>IFERROR(VLOOKUP(B189,PAR!$D$3:$E$53,2,FALSE),"nincs szervezet")</f>
        <v>nincs szervezet</v>
      </c>
      <c r="D189" s="359"/>
      <c r="E189" s="324"/>
      <c r="F189" s="332"/>
      <c r="G189" s="360"/>
      <c r="H189" s="251">
        <f t="shared" si="2"/>
        <v>0</v>
      </c>
      <c r="I189" s="331"/>
      <c r="J189" s="332"/>
      <c r="K189" s="332"/>
      <c r="L189" s="331"/>
      <c r="M189" s="331"/>
    </row>
    <row r="190" spans="2:13" x14ac:dyDescent="0.2">
      <c r="B190" s="324"/>
      <c r="C190" s="333" t="str">
        <f>IFERROR(VLOOKUP(B190,PAR!$D$3:$E$53,2,FALSE),"nincs szervezet")</f>
        <v>nincs szervezet</v>
      </c>
      <c r="D190" s="359"/>
      <c r="E190" s="324"/>
      <c r="F190" s="332"/>
      <c r="G190" s="360"/>
      <c r="H190" s="251">
        <f t="shared" si="2"/>
        <v>0</v>
      </c>
      <c r="I190" s="331"/>
      <c r="J190" s="332"/>
      <c r="K190" s="332"/>
      <c r="L190" s="331"/>
      <c r="M190" s="331"/>
    </row>
    <row r="191" spans="2:13" x14ac:dyDescent="0.2">
      <c r="B191" s="324"/>
      <c r="C191" s="333" t="str">
        <f>IFERROR(VLOOKUP(B191,PAR!$D$3:$E$53,2,FALSE),"nincs szervezet")</f>
        <v>nincs szervezet</v>
      </c>
      <c r="D191" s="359"/>
      <c r="E191" s="324"/>
      <c r="F191" s="332"/>
      <c r="G191" s="360"/>
      <c r="H191" s="251">
        <f t="shared" si="2"/>
        <v>0</v>
      </c>
      <c r="I191" s="331"/>
      <c r="J191" s="332"/>
      <c r="K191" s="332"/>
      <c r="L191" s="331"/>
      <c r="M191" s="331"/>
    </row>
    <row r="192" spans="2:13" x14ac:dyDescent="0.2">
      <c r="B192" s="324"/>
      <c r="C192" s="333" t="str">
        <f>IFERROR(VLOOKUP(B192,PAR!$D$3:$E$53,2,FALSE),"nincs szervezet")</f>
        <v>nincs szervezet</v>
      </c>
      <c r="D192" s="359"/>
      <c r="E192" s="324"/>
      <c r="F192" s="332"/>
      <c r="G192" s="360"/>
      <c r="H192" s="251">
        <f t="shared" si="2"/>
        <v>0</v>
      </c>
      <c r="I192" s="331"/>
      <c r="J192" s="332"/>
      <c r="K192" s="332"/>
      <c r="L192" s="331"/>
      <c r="M192" s="331"/>
    </row>
    <row r="193" spans="2:13" x14ac:dyDescent="0.2">
      <c r="B193" s="324"/>
      <c r="C193" s="333" t="str">
        <f>IFERROR(VLOOKUP(B193,PAR!$D$3:$E$53,2,FALSE),"nincs szervezet")</f>
        <v>nincs szervezet</v>
      </c>
      <c r="D193" s="359"/>
      <c r="E193" s="324"/>
      <c r="F193" s="332"/>
      <c r="G193" s="360"/>
      <c r="H193" s="251">
        <f t="shared" si="2"/>
        <v>0</v>
      </c>
      <c r="I193" s="331"/>
      <c r="J193" s="332"/>
      <c r="K193" s="332"/>
      <c r="L193" s="331"/>
      <c r="M193" s="331"/>
    </row>
    <row r="194" spans="2:13" x14ac:dyDescent="0.2">
      <c r="B194" s="324"/>
      <c r="C194" s="333" t="str">
        <f>IFERROR(VLOOKUP(B194,PAR!$D$3:$E$53,2,FALSE),"nincs szervezet")</f>
        <v>nincs szervezet</v>
      </c>
      <c r="D194" s="359"/>
      <c r="E194" s="324"/>
      <c r="F194" s="332"/>
      <c r="G194" s="360"/>
      <c r="H194" s="251">
        <f t="shared" si="2"/>
        <v>0</v>
      </c>
      <c r="I194" s="331"/>
      <c r="J194" s="332"/>
      <c r="K194" s="332"/>
      <c r="L194" s="331"/>
      <c r="M194" s="331"/>
    </row>
    <row r="195" spans="2:13" x14ac:dyDescent="0.2">
      <c r="B195" s="324"/>
      <c r="C195" s="333" t="str">
        <f>IFERROR(VLOOKUP(B195,PAR!$D$3:$E$53,2,FALSE),"nincs szervezet")</f>
        <v>nincs szervezet</v>
      </c>
      <c r="D195" s="359"/>
      <c r="E195" s="324"/>
      <c r="F195" s="332"/>
      <c r="G195" s="360"/>
      <c r="H195" s="251">
        <f t="shared" si="2"/>
        <v>0</v>
      </c>
      <c r="I195" s="331"/>
      <c r="J195" s="332"/>
      <c r="K195" s="332"/>
      <c r="L195" s="331"/>
      <c r="M195" s="331"/>
    </row>
    <row r="196" spans="2:13" x14ac:dyDescent="0.2">
      <c r="B196" s="324"/>
      <c r="C196" s="333" t="str">
        <f>IFERROR(VLOOKUP(B196,PAR!$D$3:$E$53,2,FALSE),"nincs szervezet")</f>
        <v>nincs szervezet</v>
      </c>
      <c r="D196" s="359"/>
      <c r="E196" s="324"/>
      <c r="F196" s="332"/>
      <c r="G196" s="360"/>
      <c r="H196" s="251">
        <f t="shared" si="2"/>
        <v>0</v>
      </c>
      <c r="I196" s="331"/>
      <c r="J196" s="332"/>
      <c r="K196" s="332"/>
      <c r="L196" s="331"/>
      <c r="M196" s="331"/>
    </row>
    <row r="197" spans="2:13" x14ac:dyDescent="0.2">
      <c r="B197" s="324"/>
      <c r="C197" s="333" t="str">
        <f>IFERROR(VLOOKUP(B197,PAR!$D$3:$E$53,2,FALSE),"nincs szervezet")</f>
        <v>nincs szervezet</v>
      </c>
      <c r="D197" s="359"/>
      <c r="E197" s="324"/>
      <c r="F197" s="332"/>
      <c r="G197" s="360"/>
      <c r="H197" s="251">
        <f t="shared" si="2"/>
        <v>0</v>
      </c>
      <c r="I197" s="331"/>
      <c r="J197" s="332"/>
      <c r="K197" s="332"/>
      <c r="L197" s="331"/>
      <c r="M197" s="331"/>
    </row>
    <row r="198" spans="2:13" x14ac:dyDescent="0.2">
      <c r="B198" s="324"/>
      <c r="C198" s="333" t="str">
        <f>IFERROR(VLOOKUP(B198,PAR!$D$3:$E$53,2,FALSE),"nincs szervezet")</f>
        <v>nincs szervezet</v>
      </c>
      <c r="D198" s="359"/>
      <c r="E198" s="324"/>
      <c r="F198" s="332"/>
      <c r="G198" s="360"/>
      <c r="H198" s="251">
        <f t="shared" ref="H198:H261" si="3">IF(D198=221,G198*-1,G198)</f>
        <v>0</v>
      </c>
      <c r="I198" s="331"/>
      <c r="J198" s="332"/>
      <c r="K198" s="332"/>
      <c r="L198" s="331"/>
      <c r="M198" s="331"/>
    </row>
    <row r="199" spans="2:13" x14ac:dyDescent="0.2">
      <c r="B199" s="324"/>
      <c r="C199" s="333" t="str">
        <f>IFERROR(VLOOKUP(B199,PAR!$D$3:$E$53,2,FALSE),"nincs szervezet")</f>
        <v>nincs szervezet</v>
      </c>
      <c r="D199" s="359"/>
      <c r="E199" s="324"/>
      <c r="F199" s="332"/>
      <c r="G199" s="360"/>
      <c r="H199" s="251">
        <f t="shared" si="3"/>
        <v>0</v>
      </c>
      <c r="I199" s="331"/>
      <c r="J199" s="332"/>
      <c r="K199" s="332"/>
      <c r="L199" s="331"/>
      <c r="M199" s="331"/>
    </row>
    <row r="200" spans="2:13" x14ac:dyDescent="0.2">
      <c r="B200" s="324"/>
      <c r="C200" s="333" t="str">
        <f>IFERROR(VLOOKUP(B200,PAR!$D$3:$E$53,2,FALSE),"nincs szervezet")</f>
        <v>nincs szervezet</v>
      </c>
      <c r="D200" s="359"/>
      <c r="E200" s="324"/>
      <c r="F200" s="332"/>
      <c r="G200" s="360"/>
      <c r="H200" s="251">
        <f t="shared" si="3"/>
        <v>0</v>
      </c>
      <c r="I200" s="331"/>
      <c r="J200" s="332"/>
      <c r="K200" s="332"/>
      <c r="L200" s="331"/>
      <c r="M200" s="331"/>
    </row>
    <row r="201" spans="2:13" x14ac:dyDescent="0.2">
      <c r="B201" s="324"/>
      <c r="C201" s="333" t="str">
        <f>IFERROR(VLOOKUP(B201,PAR!$D$3:$E$53,2,FALSE),"nincs szervezet")</f>
        <v>nincs szervezet</v>
      </c>
      <c r="D201" s="359"/>
      <c r="E201" s="324"/>
      <c r="F201" s="332"/>
      <c r="G201" s="360"/>
      <c r="H201" s="251">
        <f t="shared" si="3"/>
        <v>0</v>
      </c>
      <c r="I201" s="331"/>
      <c r="J201" s="332"/>
      <c r="K201" s="332"/>
      <c r="L201" s="331"/>
      <c r="M201" s="331"/>
    </row>
    <row r="202" spans="2:13" x14ac:dyDescent="0.2">
      <c r="B202" s="324"/>
      <c r="C202" s="333" t="str">
        <f>IFERROR(VLOOKUP(B202,PAR!$D$3:$E$53,2,FALSE),"nincs szervezet")</f>
        <v>nincs szervezet</v>
      </c>
      <c r="D202" s="359"/>
      <c r="E202" s="324"/>
      <c r="F202" s="332"/>
      <c r="G202" s="360"/>
      <c r="H202" s="251">
        <f t="shared" si="3"/>
        <v>0</v>
      </c>
      <c r="I202" s="331"/>
      <c r="J202" s="332"/>
      <c r="K202" s="332"/>
      <c r="L202" s="331"/>
      <c r="M202" s="331"/>
    </row>
    <row r="203" spans="2:13" x14ac:dyDescent="0.2">
      <c r="B203" s="324"/>
      <c r="C203" s="333" t="str">
        <f>IFERROR(VLOOKUP(B203,PAR!$D$3:$E$53,2,FALSE),"nincs szervezet")</f>
        <v>nincs szervezet</v>
      </c>
      <c r="D203" s="359"/>
      <c r="E203" s="324"/>
      <c r="F203" s="332"/>
      <c r="G203" s="360"/>
      <c r="H203" s="251">
        <f t="shared" si="3"/>
        <v>0</v>
      </c>
      <c r="I203" s="331"/>
      <c r="J203" s="332"/>
      <c r="K203" s="332"/>
      <c r="L203" s="331"/>
      <c r="M203" s="331"/>
    </row>
    <row r="204" spans="2:13" x14ac:dyDescent="0.2">
      <c r="B204" s="324"/>
      <c r="C204" s="333" t="str">
        <f>IFERROR(VLOOKUP(B204,PAR!$D$3:$E$53,2,FALSE),"nincs szervezet")</f>
        <v>nincs szervezet</v>
      </c>
      <c r="D204" s="359"/>
      <c r="E204" s="324"/>
      <c r="F204" s="332"/>
      <c r="G204" s="360"/>
      <c r="H204" s="251">
        <f t="shared" si="3"/>
        <v>0</v>
      </c>
      <c r="I204" s="331"/>
      <c r="J204" s="332"/>
      <c r="K204" s="332"/>
      <c r="L204" s="331"/>
      <c r="M204" s="331"/>
    </row>
    <row r="205" spans="2:13" x14ac:dyDescent="0.2">
      <c r="B205" s="324"/>
      <c r="C205" s="333" t="str">
        <f>IFERROR(VLOOKUP(B205,PAR!$D$3:$E$53,2,FALSE),"nincs szervezet")</f>
        <v>nincs szervezet</v>
      </c>
      <c r="D205" s="359"/>
      <c r="E205" s="324"/>
      <c r="F205" s="332"/>
      <c r="G205" s="360"/>
      <c r="H205" s="251">
        <f t="shared" si="3"/>
        <v>0</v>
      </c>
      <c r="I205" s="331"/>
      <c r="J205" s="332"/>
      <c r="K205" s="332"/>
      <c r="L205" s="331"/>
      <c r="M205" s="331"/>
    </row>
    <row r="206" spans="2:13" x14ac:dyDescent="0.2">
      <c r="B206" s="324"/>
      <c r="C206" s="333" t="str">
        <f>IFERROR(VLOOKUP(B206,PAR!$D$3:$E$53,2,FALSE),"nincs szervezet")</f>
        <v>nincs szervezet</v>
      </c>
      <c r="D206" s="359"/>
      <c r="E206" s="324"/>
      <c r="F206" s="332"/>
      <c r="G206" s="360"/>
      <c r="H206" s="251">
        <f t="shared" si="3"/>
        <v>0</v>
      </c>
      <c r="I206" s="331"/>
      <c r="J206" s="332"/>
      <c r="K206" s="332"/>
      <c r="L206" s="331"/>
      <c r="M206" s="331"/>
    </row>
    <row r="207" spans="2:13" x14ac:dyDescent="0.2">
      <c r="B207" s="324"/>
      <c r="C207" s="333" t="str">
        <f>IFERROR(VLOOKUP(B207,PAR!$D$3:$E$53,2,FALSE),"nincs szervezet")</f>
        <v>nincs szervezet</v>
      </c>
      <c r="D207" s="359"/>
      <c r="E207" s="324"/>
      <c r="F207" s="332"/>
      <c r="G207" s="360"/>
      <c r="H207" s="251">
        <f t="shared" si="3"/>
        <v>0</v>
      </c>
      <c r="I207" s="331"/>
      <c r="J207" s="332"/>
      <c r="K207" s="332"/>
      <c r="L207" s="331"/>
      <c r="M207" s="331"/>
    </row>
    <row r="208" spans="2:13" x14ac:dyDescent="0.2">
      <c r="B208" s="324"/>
      <c r="C208" s="333" t="str">
        <f>IFERROR(VLOOKUP(B208,PAR!$D$3:$E$53,2,FALSE),"nincs szervezet")</f>
        <v>nincs szervezet</v>
      </c>
      <c r="D208" s="359"/>
      <c r="E208" s="324"/>
      <c r="F208" s="332"/>
      <c r="G208" s="360"/>
      <c r="H208" s="251">
        <f t="shared" si="3"/>
        <v>0</v>
      </c>
      <c r="I208" s="331"/>
      <c r="J208" s="332"/>
      <c r="K208" s="332"/>
      <c r="L208" s="331"/>
      <c r="M208" s="331"/>
    </row>
    <row r="209" spans="2:13" x14ac:dyDescent="0.2">
      <c r="B209" s="324"/>
      <c r="C209" s="333" t="str">
        <f>IFERROR(VLOOKUP(B209,PAR!$D$3:$E$53,2,FALSE),"nincs szervezet")</f>
        <v>nincs szervezet</v>
      </c>
      <c r="D209" s="359"/>
      <c r="E209" s="324"/>
      <c r="F209" s="332"/>
      <c r="G209" s="360"/>
      <c r="H209" s="251">
        <f t="shared" si="3"/>
        <v>0</v>
      </c>
      <c r="I209" s="331"/>
      <c r="J209" s="332"/>
      <c r="K209" s="332"/>
      <c r="L209" s="331"/>
      <c r="M209" s="331"/>
    </row>
    <row r="210" spans="2:13" x14ac:dyDescent="0.2">
      <c r="B210" s="324"/>
      <c r="C210" s="333" t="str">
        <f>IFERROR(VLOOKUP(B210,PAR!$D$3:$E$53,2,FALSE),"nincs szervezet")</f>
        <v>nincs szervezet</v>
      </c>
      <c r="D210" s="359"/>
      <c r="E210" s="324"/>
      <c r="F210" s="332"/>
      <c r="G210" s="360"/>
      <c r="H210" s="251">
        <f t="shared" si="3"/>
        <v>0</v>
      </c>
      <c r="I210" s="331"/>
      <c r="J210" s="332"/>
      <c r="K210" s="332"/>
      <c r="L210" s="331"/>
      <c r="M210" s="331"/>
    </row>
    <row r="211" spans="2:13" x14ac:dyDescent="0.2">
      <c r="B211" s="324"/>
      <c r="C211" s="333" t="str">
        <f>IFERROR(VLOOKUP(B211,PAR!$D$3:$E$53,2,FALSE),"nincs szervezet")</f>
        <v>nincs szervezet</v>
      </c>
      <c r="D211" s="359"/>
      <c r="E211" s="324"/>
      <c r="F211" s="332"/>
      <c r="G211" s="360"/>
      <c r="H211" s="251">
        <f t="shared" si="3"/>
        <v>0</v>
      </c>
      <c r="I211" s="331"/>
      <c r="J211" s="332"/>
      <c r="K211" s="332"/>
      <c r="L211" s="331"/>
      <c r="M211" s="331"/>
    </row>
    <row r="212" spans="2:13" x14ac:dyDescent="0.2">
      <c r="B212" s="324"/>
      <c r="C212" s="333" t="str">
        <f>IFERROR(VLOOKUP(B212,PAR!$D$3:$E$53,2,FALSE),"nincs szervezet")</f>
        <v>nincs szervezet</v>
      </c>
      <c r="D212" s="359"/>
      <c r="E212" s="324"/>
      <c r="F212" s="332"/>
      <c r="G212" s="360"/>
      <c r="H212" s="251">
        <f t="shared" si="3"/>
        <v>0</v>
      </c>
      <c r="I212" s="331"/>
      <c r="J212" s="332"/>
      <c r="K212" s="332"/>
      <c r="L212" s="331"/>
      <c r="M212" s="331"/>
    </row>
    <row r="213" spans="2:13" x14ac:dyDescent="0.2">
      <c r="B213" s="324"/>
      <c r="C213" s="333" t="str">
        <f>IFERROR(VLOOKUP(B213,PAR!$D$3:$E$53,2,FALSE),"nincs szervezet")</f>
        <v>nincs szervezet</v>
      </c>
      <c r="D213" s="359"/>
      <c r="E213" s="324"/>
      <c r="F213" s="332"/>
      <c r="G213" s="360"/>
      <c r="H213" s="251">
        <f t="shared" si="3"/>
        <v>0</v>
      </c>
      <c r="I213" s="331"/>
      <c r="J213" s="332"/>
      <c r="K213" s="332"/>
      <c r="L213" s="331"/>
      <c r="M213" s="331"/>
    </row>
    <row r="214" spans="2:13" x14ac:dyDescent="0.2">
      <c r="B214" s="324"/>
      <c r="C214" s="333" t="str">
        <f>IFERROR(VLOOKUP(B214,PAR!$D$3:$E$53,2,FALSE),"nincs szervezet")</f>
        <v>nincs szervezet</v>
      </c>
      <c r="D214" s="359"/>
      <c r="E214" s="324"/>
      <c r="F214" s="332"/>
      <c r="G214" s="360"/>
      <c r="H214" s="251">
        <f t="shared" si="3"/>
        <v>0</v>
      </c>
      <c r="I214" s="331"/>
      <c r="J214" s="332"/>
      <c r="K214" s="332"/>
      <c r="L214" s="331"/>
      <c r="M214" s="331"/>
    </row>
    <row r="215" spans="2:13" x14ac:dyDescent="0.2">
      <c r="B215" s="324"/>
      <c r="C215" s="333" t="str">
        <f>IFERROR(VLOOKUP(B215,PAR!$D$3:$E$53,2,FALSE),"nincs szervezet")</f>
        <v>nincs szervezet</v>
      </c>
      <c r="D215" s="359"/>
      <c r="E215" s="324"/>
      <c r="F215" s="332"/>
      <c r="G215" s="360"/>
      <c r="H215" s="251">
        <f t="shared" si="3"/>
        <v>0</v>
      </c>
      <c r="I215" s="331"/>
      <c r="J215" s="332"/>
      <c r="K215" s="332"/>
      <c r="L215" s="331"/>
      <c r="M215" s="331"/>
    </row>
    <row r="216" spans="2:13" x14ac:dyDescent="0.2">
      <c r="B216" s="324"/>
      <c r="C216" s="333" t="str">
        <f>IFERROR(VLOOKUP(B216,PAR!$D$3:$E$53,2,FALSE),"nincs szervezet")</f>
        <v>nincs szervezet</v>
      </c>
      <c r="D216" s="359"/>
      <c r="E216" s="324"/>
      <c r="F216" s="332"/>
      <c r="G216" s="360"/>
      <c r="H216" s="251">
        <f t="shared" si="3"/>
        <v>0</v>
      </c>
      <c r="I216" s="331"/>
      <c r="J216" s="332"/>
      <c r="K216" s="332"/>
      <c r="L216" s="331"/>
      <c r="M216" s="331"/>
    </row>
    <row r="217" spans="2:13" x14ac:dyDescent="0.2">
      <c r="B217" s="324"/>
      <c r="C217" s="333" t="str">
        <f>IFERROR(VLOOKUP(B217,PAR!$D$3:$E$53,2,FALSE),"nincs szervezet")</f>
        <v>nincs szervezet</v>
      </c>
      <c r="D217" s="359"/>
      <c r="E217" s="324"/>
      <c r="F217" s="332"/>
      <c r="G217" s="360"/>
      <c r="H217" s="251">
        <f t="shared" si="3"/>
        <v>0</v>
      </c>
      <c r="I217" s="331"/>
      <c r="J217" s="332"/>
      <c r="K217" s="332"/>
      <c r="L217" s="331"/>
      <c r="M217" s="331"/>
    </row>
    <row r="218" spans="2:13" x14ac:dyDescent="0.2">
      <c r="B218" s="324"/>
      <c r="C218" s="333" t="str">
        <f>IFERROR(VLOOKUP(B218,PAR!$D$3:$E$53,2,FALSE),"nincs szervezet")</f>
        <v>nincs szervezet</v>
      </c>
      <c r="D218" s="359"/>
      <c r="E218" s="324"/>
      <c r="F218" s="332"/>
      <c r="G218" s="360"/>
      <c r="H218" s="251">
        <f t="shared" si="3"/>
        <v>0</v>
      </c>
      <c r="I218" s="331"/>
      <c r="J218" s="332"/>
      <c r="K218" s="332"/>
      <c r="L218" s="331"/>
      <c r="M218" s="331"/>
    </row>
    <row r="219" spans="2:13" x14ac:dyDescent="0.2">
      <c r="B219" s="324"/>
      <c r="C219" s="333" t="str">
        <f>IFERROR(VLOOKUP(B219,PAR!$D$3:$E$53,2,FALSE),"nincs szervezet")</f>
        <v>nincs szervezet</v>
      </c>
      <c r="D219" s="359"/>
      <c r="E219" s="324"/>
      <c r="F219" s="332"/>
      <c r="G219" s="360"/>
      <c r="H219" s="251">
        <f t="shared" si="3"/>
        <v>0</v>
      </c>
      <c r="I219" s="331"/>
      <c r="J219" s="332"/>
      <c r="K219" s="332"/>
      <c r="L219" s="331"/>
      <c r="M219" s="331"/>
    </row>
    <row r="220" spans="2:13" x14ac:dyDescent="0.2">
      <c r="B220" s="324"/>
      <c r="C220" s="333" t="str">
        <f>IFERROR(VLOOKUP(B220,PAR!$D$3:$E$53,2,FALSE),"nincs szervezet")</f>
        <v>nincs szervezet</v>
      </c>
      <c r="D220" s="359"/>
      <c r="E220" s="324"/>
      <c r="F220" s="332"/>
      <c r="G220" s="360"/>
      <c r="H220" s="251">
        <f t="shared" si="3"/>
        <v>0</v>
      </c>
      <c r="I220" s="331"/>
      <c r="J220" s="332"/>
      <c r="K220" s="332"/>
      <c r="L220" s="331"/>
      <c r="M220" s="331"/>
    </row>
    <row r="221" spans="2:13" x14ac:dyDescent="0.2">
      <c r="B221" s="324"/>
      <c r="C221" s="333" t="str">
        <f>IFERROR(VLOOKUP(B221,PAR!$D$3:$E$53,2,FALSE),"nincs szervezet")</f>
        <v>nincs szervezet</v>
      </c>
      <c r="D221" s="359"/>
      <c r="E221" s="324"/>
      <c r="F221" s="332"/>
      <c r="G221" s="360"/>
      <c r="H221" s="251">
        <f t="shared" si="3"/>
        <v>0</v>
      </c>
      <c r="I221" s="331"/>
      <c r="J221" s="332"/>
      <c r="K221" s="332"/>
      <c r="L221" s="331"/>
      <c r="M221" s="331"/>
    </row>
    <row r="222" spans="2:13" x14ac:dyDescent="0.2">
      <c r="B222" s="324"/>
      <c r="C222" s="333" t="str">
        <f>IFERROR(VLOOKUP(B222,PAR!$D$3:$E$53,2,FALSE),"nincs szervezet")</f>
        <v>nincs szervezet</v>
      </c>
      <c r="D222" s="359"/>
      <c r="E222" s="324"/>
      <c r="F222" s="332"/>
      <c r="G222" s="360"/>
      <c r="H222" s="251">
        <f t="shared" si="3"/>
        <v>0</v>
      </c>
      <c r="I222" s="331"/>
      <c r="J222" s="332"/>
      <c r="K222" s="332"/>
      <c r="L222" s="331"/>
      <c r="M222" s="331"/>
    </row>
    <row r="223" spans="2:13" x14ac:dyDescent="0.2">
      <c r="B223" s="324"/>
      <c r="C223" s="333" t="str">
        <f>IFERROR(VLOOKUP(B223,PAR!$D$3:$E$53,2,FALSE),"nincs szervezet")</f>
        <v>nincs szervezet</v>
      </c>
      <c r="D223" s="359"/>
      <c r="E223" s="324"/>
      <c r="F223" s="332"/>
      <c r="G223" s="360"/>
      <c r="H223" s="251">
        <f t="shared" si="3"/>
        <v>0</v>
      </c>
      <c r="I223" s="331"/>
      <c r="J223" s="332"/>
      <c r="K223" s="332"/>
      <c r="L223" s="331"/>
      <c r="M223" s="331"/>
    </row>
    <row r="224" spans="2:13" x14ac:dyDescent="0.2">
      <c r="B224" s="324"/>
      <c r="C224" s="333" t="str">
        <f>IFERROR(VLOOKUP(B224,PAR!$D$3:$E$53,2,FALSE),"nincs szervezet")</f>
        <v>nincs szervezet</v>
      </c>
      <c r="D224" s="359"/>
      <c r="E224" s="324"/>
      <c r="F224" s="332"/>
      <c r="G224" s="360"/>
      <c r="H224" s="251">
        <f t="shared" si="3"/>
        <v>0</v>
      </c>
      <c r="I224" s="331"/>
      <c r="J224" s="332"/>
      <c r="K224" s="332"/>
      <c r="L224" s="331"/>
      <c r="M224" s="331"/>
    </row>
    <row r="225" spans="2:13" x14ac:dyDescent="0.2">
      <c r="B225" s="324"/>
      <c r="C225" s="333" t="str">
        <f>IFERROR(VLOOKUP(B225,PAR!$D$3:$E$53,2,FALSE),"nincs szervezet")</f>
        <v>nincs szervezet</v>
      </c>
      <c r="D225" s="359"/>
      <c r="E225" s="324"/>
      <c r="F225" s="332"/>
      <c r="G225" s="360"/>
      <c r="H225" s="251">
        <f t="shared" si="3"/>
        <v>0</v>
      </c>
      <c r="I225" s="331"/>
      <c r="J225" s="332"/>
      <c r="K225" s="332"/>
      <c r="L225" s="331"/>
      <c r="M225" s="331"/>
    </row>
    <row r="226" spans="2:13" x14ac:dyDescent="0.2">
      <c r="B226" s="324"/>
      <c r="C226" s="333" t="str">
        <f>IFERROR(VLOOKUP(B226,PAR!$D$3:$E$53,2,FALSE),"nincs szervezet")</f>
        <v>nincs szervezet</v>
      </c>
      <c r="D226" s="359"/>
      <c r="E226" s="324"/>
      <c r="F226" s="332"/>
      <c r="G226" s="360"/>
      <c r="H226" s="251">
        <f t="shared" si="3"/>
        <v>0</v>
      </c>
      <c r="I226" s="331"/>
      <c r="J226" s="332"/>
      <c r="K226" s="332"/>
      <c r="L226" s="331"/>
      <c r="M226" s="331"/>
    </row>
    <row r="227" spans="2:13" x14ac:dyDescent="0.2">
      <c r="B227" s="324"/>
      <c r="C227" s="333" t="str">
        <f>IFERROR(VLOOKUP(B227,PAR!$D$3:$E$53,2,FALSE),"nincs szervezet")</f>
        <v>nincs szervezet</v>
      </c>
      <c r="D227" s="359"/>
      <c r="E227" s="324"/>
      <c r="F227" s="332"/>
      <c r="G227" s="360"/>
      <c r="H227" s="251">
        <f t="shared" si="3"/>
        <v>0</v>
      </c>
      <c r="I227" s="331"/>
      <c r="J227" s="332"/>
      <c r="K227" s="332"/>
      <c r="L227" s="331"/>
      <c r="M227" s="331"/>
    </row>
    <row r="228" spans="2:13" x14ac:dyDescent="0.2">
      <c r="B228" s="324"/>
      <c r="C228" s="333" t="str">
        <f>IFERROR(VLOOKUP(B228,PAR!$D$3:$E$53,2,FALSE),"nincs szervezet")</f>
        <v>nincs szervezet</v>
      </c>
      <c r="D228" s="359"/>
      <c r="E228" s="324"/>
      <c r="F228" s="332"/>
      <c r="G228" s="360"/>
      <c r="H228" s="251">
        <f t="shared" si="3"/>
        <v>0</v>
      </c>
      <c r="I228" s="331"/>
      <c r="J228" s="332"/>
      <c r="K228" s="332"/>
      <c r="L228" s="331"/>
      <c r="M228" s="331"/>
    </row>
    <row r="229" spans="2:13" x14ac:dyDescent="0.2">
      <c r="B229" s="324"/>
      <c r="C229" s="333" t="str">
        <f>IFERROR(VLOOKUP(B229,PAR!$D$3:$E$53,2,FALSE),"nincs szervezet")</f>
        <v>nincs szervezet</v>
      </c>
      <c r="D229" s="359"/>
      <c r="E229" s="324"/>
      <c r="F229" s="332"/>
      <c r="G229" s="360"/>
      <c r="H229" s="251">
        <f t="shared" si="3"/>
        <v>0</v>
      </c>
      <c r="I229" s="331"/>
      <c r="J229" s="332"/>
      <c r="K229" s="332"/>
      <c r="L229" s="331"/>
      <c r="M229" s="331"/>
    </row>
    <row r="230" spans="2:13" x14ac:dyDescent="0.2">
      <c r="B230" s="324"/>
      <c r="C230" s="333" t="str">
        <f>IFERROR(VLOOKUP(B230,PAR!$D$3:$E$53,2,FALSE),"nincs szervezet")</f>
        <v>nincs szervezet</v>
      </c>
      <c r="D230" s="359"/>
      <c r="E230" s="324"/>
      <c r="F230" s="332"/>
      <c r="G230" s="360"/>
      <c r="H230" s="251">
        <f t="shared" si="3"/>
        <v>0</v>
      </c>
      <c r="I230" s="331"/>
      <c r="J230" s="332"/>
      <c r="K230" s="332"/>
      <c r="L230" s="331"/>
      <c r="M230" s="331"/>
    </row>
    <row r="231" spans="2:13" x14ac:dyDescent="0.2">
      <c r="B231" s="324"/>
      <c r="C231" s="333" t="str">
        <f>IFERROR(VLOOKUP(B231,PAR!$D$3:$E$53,2,FALSE),"nincs szervezet")</f>
        <v>nincs szervezet</v>
      </c>
      <c r="D231" s="359"/>
      <c r="E231" s="324"/>
      <c r="F231" s="332"/>
      <c r="G231" s="360"/>
      <c r="H231" s="251">
        <f t="shared" si="3"/>
        <v>0</v>
      </c>
      <c r="I231" s="331"/>
      <c r="J231" s="332"/>
      <c r="K231" s="332"/>
      <c r="L231" s="331"/>
      <c r="M231" s="331"/>
    </row>
    <row r="232" spans="2:13" x14ac:dyDescent="0.2">
      <c r="B232" s="324"/>
      <c r="C232" s="333" t="str">
        <f>IFERROR(VLOOKUP(B232,PAR!$D$3:$E$53,2,FALSE),"nincs szervezet")</f>
        <v>nincs szervezet</v>
      </c>
      <c r="D232" s="359"/>
      <c r="E232" s="324"/>
      <c r="F232" s="332"/>
      <c r="G232" s="360"/>
      <c r="H232" s="251">
        <f t="shared" si="3"/>
        <v>0</v>
      </c>
      <c r="I232" s="331"/>
      <c r="J232" s="332"/>
      <c r="K232" s="332"/>
      <c r="L232" s="331"/>
      <c r="M232" s="331"/>
    </row>
    <row r="233" spans="2:13" x14ac:dyDescent="0.2">
      <c r="B233" s="324"/>
      <c r="C233" s="333" t="str">
        <f>IFERROR(VLOOKUP(B233,PAR!$D$3:$E$53,2,FALSE),"nincs szervezet")</f>
        <v>nincs szervezet</v>
      </c>
      <c r="D233" s="359"/>
      <c r="E233" s="324"/>
      <c r="F233" s="332"/>
      <c r="G233" s="360"/>
      <c r="H233" s="251">
        <f t="shared" si="3"/>
        <v>0</v>
      </c>
      <c r="I233" s="331"/>
      <c r="J233" s="332"/>
      <c r="K233" s="332"/>
      <c r="L233" s="331"/>
      <c r="M233" s="331"/>
    </row>
    <row r="234" spans="2:13" x14ac:dyDescent="0.2">
      <c r="B234" s="324"/>
      <c r="C234" s="333" t="str">
        <f>IFERROR(VLOOKUP(B234,PAR!$D$3:$E$53,2,FALSE),"nincs szervezet")</f>
        <v>nincs szervezet</v>
      </c>
      <c r="D234" s="359"/>
      <c r="E234" s="324"/>
      <c r="F234" s="332"/>
      <c r="G234" s="360"/>
      <c r="H234" s="251">
        <f t="shared" si="3"/>
        <v>0</v>
      </c>
      <c r="I234" s="331"/>
      <c r="J234" s="332"/>
      <c r="K234" s="332"/>
      <c r="L234" s="331"/>
      <c r="M234" s="331"/>
    </row>
    <row r="235" spans="2:13" x14ac:dyDescent="0.2">
      <c r="B235" s="324"/>
      <c r="C235" s="333" t="str">
        <f>IFERROR(VLOOKUP(B235,PAR!$D$3:$E$53,2,FALSE),"nincs szervezet")</f>
        <v>nincs szervezet</v>
      </c>
      <c r="D235" s="359"/>
      <c r="E235" s="324"/>
      <c r="F235" s="332"/>
      <c r="G235" s="360"/>
      <c r="H235" s="251">
        <f t="shared" si="3"/>
        <v>0</v>
      </c>
      <c r="I235" s="331"/>
      <c r="J235" s="332"/>
      <c r="K235" s="332"/>
      <c r="L235" s="331"/>
      <c r="M235" s="331"/>
    </row>
    <row r="236" spans="2:13" x14ac:dyDescent="0.2">
      <c r="B236" s="324"/>
      <c r="C236" s="333" t="str">
        <f>IFERROR(VLOOKUP(B236,PAR!$D$3:$E$53,2,FALSE),"nincs szervezet")</f>
        <v>nincs szervezet</v>
      </c>
      <c r="D236" s="359"/>
      <c r="E236" s="324"/>
      <c r="F236" s="332"/>
      <c r="G236" s="360"/>
      <c r="H236" s="251">
        <f t="shared" si="3"/>
        <v>0</v>
      </c>
      <c r="I236" s="331"/>
      <c r="J236" s="332"/>
      <c r="K236" s="332"/>
      <c r="L236" s="331"/>
      <c r="M236" s="331"/>
    </row>
    <row r="237" spans="2:13" x14ac:dyDescent="0.2">
      <c r="B237" s="324"/>
      <c r="C237" s="333" t="str">
        <f>IFERROR(VLOOKUP(B237,PAR!$D$3:$E$53,2,FALSE),"nincs szervezet")</f>
        <v>nincs szervezet</v>
      </c>
      <c r="D237" s="359"/>
      <c r="E237" s="324"/>
      <c r="F237" s="332"/>
      <c r="G237" s="360"/>
      <c r="H237" s="251">
        <f t="shared" si="3"/>
        <v>0</v>
      </c>
      <c r="I237" s="331"/>
      <c r="J237" s="332"/>
      <c r="K237" s="332"/>
      <c r="L237" s="331"/>
      <c r="M237" s="331"/>
    </row>
    <row r="238" spans="2:13" x14ac:dyDescent="0.2">
      <c r="B238" s="324"/>
      <c r="C238" s="333" t="str">
        <f>IFERROR(VLOOKUP(B238,PAR!$D$3:$E$53,2,FALSE),"nincs szervezet")</f>
        <v>nincs szervezet</v>
      </c>
      <c r="D238" s="359"/>
      <c r="E238" s="324"/>
      <c r="F238" s="332"/>
      <c r="G238" s="360"/>
      <c r="H238" s="251">
        <f t="shared" si="3"/>
        <v>0</v>
      </c>
      <c r="I238" s="331"/>
      <c r="J238" s="332"/>
      <c r="K238" s="332"/>
      <c r="L238" s="331"/>
      <c r="M238" s="331"/>
    </row>
    <row r="239" spans="2:13" x14ac:dyDescent="0.2">
      <c r="B239" s="324"/>
      <c r="C239" s="333" t="str">
        <f>IFERROR(VLOOKUP(B239,PAR!$D$3:$E$53,2,FALSE),"nincs szervezet")</f>
        <v>nincs szervezet</v>
      </c>
      <c r="D239" s="359"/>
      <c r="E239" s="324"/>
      <c r="F239" s="332"/>
      <c r="G239" s="360"/>
      <c r="H239" s="251">
        <f t="shared" si="3"/>
        <v>0</v>
      </c>
      <c r="I239" s="331"/>
      <c r="J239" s="332"/>
      <c r="K239" s="332"/>
      <c r="L239" s="331"/>
      <c r="M239" s="331"/>
    </row>
    <row r="240" spans="2:13" x14ac:dyDescent="0.2">
      <c r="B240" s="324"/>
      <c r="C240" s="333" t="str">
        <f>IFERROR(VLOOKUP(B240,PAR!$D$3:$E$53,2,FALSE),"nincs szervezet")</f>
        <v>nincs szervezet</v>
      </c>
      <c r="D240" s="359"/>
      <c r="E240" s="324"/>
      <c r="F240" s="332"/>
      <c r="G240" s="360"/>
      <c r="H240" s="251">
        <f t="shared" si="3"/>
        <v>0</v>
      </c>
      <c r="I240" s="331"/>
      <c r="J240" s="332"/>
      <c r="K240" s="332"/>
      <c r="L240" s="331"/>
      <c r="M240" s="331"/>
    </row>
    <row r="241" spans="2:13" x14ac:dyDescent="0.2">
      <c r="B241" s="324"/>
      <c r="C241" s="333" t="str">
        <f>IFERROR(VLOOKUP(B241,PAR!$D$3:$E$53,2,FALSE),"nincs szervezet")</f>
        <v>nincs szervezet</v>
      </c>
      <c r="D241" s="359"/>
      <c r="E241" s="324"/>
      <c r="F241" s="332"/>
      <c r="G241" s="360"/>
      <c r="H241" s="251">
        <f t="shared" si="3"/>
        <v>0</v>
      </c>
      <c r="I241" s="331"/>
      <c r="J241" s="332"/>
      <c r="K241" s="332"/>
      <c r="L241" s="331"/>
      <c r="M241" s="331"/>
    </row>
    <row r="242" spans="2:13" x14ac:dyDescent="0.2">
      <c r="B242" s="324"/>
      <c r="C242" s="333" t="str">
        <f>IFERROR(VLOOKUP(B242,PAR!$D$3:$E$53,2,FALSE),"nincs szervezet")</f>
        <v>nincs szervezet</v>
      </c>
      <c r="D242" s="359"/>
      <c r="E242" s="324"/>
      <c r="F242" s="332"/>
      <c r="G242" s="360"/>
      <c r="H242" s="251">
        <f t="shared" si="3"/>
        <v>0</v>
      </c>
      <c r="I242" s="331"/>
      <c r="J242" s="332"/>
      <c r="K242" s="332"/>
      <c r="L242" s="331"/>
      <c r="M242" s="331"/>
    </row>
    <row r="243" spans="2:13" x14ac:dyDescent="0.2">
      <c r="B243" s="324"/>
      <c r="C243" s="333" t="str">
        <f>IFERROR(VLOOKUP(B243,PAR!$D$3:$E$53,2,FALSE),"nincs szervezet")</f>
        <v>nincs szervezet</v>
      </c>
      <c r="D243" s="359"/>
      <c r="E243" s="324"/>
      <c r="F243" s="332"/>
      <c r="G243" s="360"/>
      <c r="H243" s="251">
        <f t="shared" si="3"/>
        <v>0</v>
      </c>
      <c r="I243" s="331"/>
      <c r="J243" s="332"/>
      <c r="K243" s="332"/>
      <c r="L243" s="331"/>
      <c r="M243" s="331"/>
    </row>
    <row r="244" spans="2:13" x14ac:dyDescent="0.2">
      <c r="B244" s="324"/>
      <c r="C244" s="333" t="str">
        <f>IFERROR(VLOOKUP(B244,PAR!$D$3:$E$53,2,FALSE),"nincs szervezet")</f>
        <v>nincs szervezet</v>
      </c>
      <c r="D244" s="359"/>
      <c r="E244" s="324"/>
      <c r="F244" s="332"/>
      <c r="G244" s="360"/>
      <c r="H244" s="251">
        <f t="shared" si="3"/>
        <v>0</v>
      </c>
      <c r="I244" s="331"/>
      <c r="J244" s="332"/>
      <c r="K244" s="332"/>
      <c r="L244" s="331"/>
      <c r="M244" s="331"/>
    </row>
    <row r="245" spans="2:13" x14ac:dyDescent="0.2">
      <c r="B245" s="324"/>
      <c r="C245" s="333" t="str">
        <f>IFERROR(VLOOKUP(B245,PAR!$D$3:$E$53,2,FALSE),"nincs szervezet")</f>
        <v>nincs szervezet</v>
      </c>
      <c r="D245" s="359"/>
      <c r="E245" s="324"/>
      <c r="F245" s="332"/>
      <c r="G245" s="360"/>
      <c r="H245" s="251">
        <f t="shared" si="3"/>
        <v>0</v>
      </c>
      <c r="I245" s="331"/>
      <c r="J245" s="332"/>
      <c r="K245" s="332"/>
      <c r="L245" s="331"/>
      <c r="M245" s="331"/>
    </row>
    <row r="246" spans="2:13" x14ac:dyDescent="0.2">
      <c r="B246" s="324"/>
      <c r="C246" s="333" t="str">
        <f>IFERROR(VLOOKUP(B246,PAR!$D$3:$E$53,2,FALSE),"nincs szervezet")</f>
        <v>nincs szervezet</v>
      </c>
      <c r="D246" s="359"/>
      <c r="E246" s="324"/>
      <c r="F246" s="332"/>
      <c r="G246" s="360"/>
      <c r="H246" s="251">
        <f t="shared" si="3"/>
        <v>0</v>
      </c>
      <c r="I246" s="331"/>
      <c r="J246" s="332"/>
      <c r="K246" s="332"/>
      <c r="L246" s="331"/>
      <c r="M246" s="331"/>
    </row>
    <row r="247" spans="2:13" x14ac:dyDescent="0.2">
      <c r="B247" s="324"/>
      <c r="C247" s="333" t="str">
        <f>IFERROR(VLOOKUP(B247,PAR!$D$3:$E$53,2,FALSE),"nincs szervezet")</f>
        <v>nincs szervezet</v>
      </c>
      <c r="D247" s="359"/>
      <c r="E247" s="324"/>
      <c r="F247" s="332"/>
      <c r="G247" s="360"/>
      <c r="H247" s="251">
        <f t="shared" si="3"/>
        <v>0</v>
      </c>
      <c r="I247" s="331"/>
      <c r="J247" s="332"/>
      <c r="K247" s="332"/>
      <c r="L247" s="331"/>
      <c r="M247" s="331"/>
    </row>
    <row r="248" spans="2:13" x14ac:dyDescent="0.2">
      <c r="B248" s="324"/>
      <c r="C248" s="333" t="str">
        <f>IFERROR(VLOOKUP(B248,PAR!$D$3:$E$53,2,FALSE),"nincs szervezet")</f>
        <v>nincs szervezet</v>
      </c>
      <c r="D248" s="359"/>
      <c r="E248" s="324"/>
      <c r="F248" s="332"/>
      <c r="G248" s="360"/>
      <c r="H248" s="251">
        <f t="shared" si="3"/>
        <v>0</v>
      </c>
      <c r="I248" s="331"/>
      <c r="J248" s="332"/>
      <c r="K248" s="332"/>
      <c r="L248" s="331"/>
      <c r="M248" s="331"/>
    </row>
    <row r="249" spans="2:13" x14ac:dyDescent="0.2">
      <c r="B249" s="324"/>
      <c r="C249" s="333" t="str">
        <f>IFERROR(VLOOKUP(B249,PAR!$D$3:$E$53,2,FALSE),"nincs szervezet")</f>
        <v>nincs szervezet</v>
      </c>
      <c r="D249" s="359"/>
      <c r="E249" s="324"/>
      <c r="F249" s="332"/>
      <c r="G249" s="360"/>
      <c r="H249" s="251">
        <f t="shared" si="3"/>
        <v>0</v>
      </c>
      <c r="I249" s="331"/>
      <c r="J249" s="332"/>
      <c r="K249" s="332"/>
      <c r="L249" s="331"/>
      <c r="M249" s="331"/>
    </row>
    <row r="250" spans="2:13" x14ac:dyDescent="0.2">
      <c r="B250" s="324"/>
      <c r="C250" s="333" t="str">
        <f>IFERROR(VLOOKUP(B250,PAR!$D$3:$E$53,2,FALSE),"nincs szervezet")</f>
        <v>nincs szervezet</v>
      </c>
      <c r="D250" s="359"/>
      <c r="E250" s="324"/>
      <c r="F250" s="332"/>
      <c r="G250" s="360"/>
      <c r="H250" s="251">
        <f t="shared" si="3"/>
        <v>0</v>
      </c>
      <c r="I250" s="331"/>
      <c r="J250" s="332"/>
      <c r="K250" s="332"/>
      <c r="L250" s="331"/>
      <c r="M250" s="331"/>
    </row>
    <row r="251" spans="2:13" x14ac:dyDescent="0.2">
      <c r="B251" s="324"/>
      <c r="C251" s="333" t="str">
        <f>IFERROR(VLOOKUP(B251,PAR!$D$3:$E$53,2,FALSE),"nincs szervezet")</f>
        <v>nincs szervezet</v>
      </c>
      <c r="D251" s="359"/>
      <c r="E251" s="324"/>
      <c r="F251" s="332"/>
      <c r="G251" s="360"/>
      <c r="H251" s="251">
        <f t="shared" si="3"/>
        <v>0</v>
      </c>
      <c r="I251" s="331"/>
      <c r="J251" s="332"/>
      <c r="K251" s="332"/>
      <c r="L251" s="331"/>
      <c r="M251" s="331"/>
    </row>
    <row r="252" spans="2:13" x14ac:dyDescent="0.2">
      <c r="B252" s="324"/>
      <c r="C252" s="333" t="str">
        <f>IFERROR(VLOOKUP(B252,PAR!$D$3:$E$53,2,FALSE),"nincs szervezet")</f>
        <v>nincs szervezet</v>
      </c>
      <c r="D252" s="359"/>
      <c r="E252" s="324"/>
      <c r="F252" s="332"/>
      <c r="G252" s="360"/>
      <c r="H252" s="251">
        <f t="shared" si="3"/>
        <v>0</v>
      </c>
      <c r="I252" s="331"/>
      <c r="J252" s="332"/>
      <c r="K252" s="332"/>
      <c r="L252" s="331"/>
      <c r="M252" s="331"/>
    </row>
    <row r="253" spans="2:13" x14ac:dyDescent="0.2">
      <c r="B253" s="324"/>
      <c r="C253" s="333" t="str">
        <f>IFERROR(VLOOKUP(B253,PAR!$D$3:$E$53,2,FALSE),"nincs szervezet")</f>
        <v>nincs szervezet</v>
      </c>
      <c r="D253" s="359"/>
      <c r="E253" s="324"/>
      <c r="F253" s="332"/>
      <c r="G253" s="360"/>
      <c r="H253" s="251">
        <f t="shared" si="3"/>
        <v>0</v>
      </c>
      <c r="I253" s="331"/>
      <c r="J253" s="332"/>
      <c r="K253" s="332"/>
      <c r="L253" s="331"/>
      <c r="M253" s="331"/>
    </row>
    <row r="254" spans="2:13" x14ac:dyDescent="0.2">
      <c r="B254" s="324"/>
      <c r="C254" s="333" t="str">
        <f>IFERROR(VLOOKUP(B254,PAR!$D$3:$E$53,2,FALSE),"nincs szervezet")</f>
        <v>nincs szervezet</v>
      </c>
      <c r="D254" s="359"/>
      <c r="E254" s="324"/>
      <c r="F254" s="332"/>
      <c r="G254" s="360"/>
      <c r="H254" s="251">
        <f t="shared" si="3"/>
        <v>0</v>
      </c>
      <c r="I254" s="331"/>
      <c r="J254" s="332"/>
      <c r="K254" s="332"/>
      <c r="L254" s="331"/>
      <c r="M254" s="331"/>
    </row>
    <row r="255" spans="2:13" x14ac:dyDescent="0.2">
      <c r="B255" s="324"/>
      <c r="C255" s="333" t="str">
        <f>IFERROR(VLOOKUP(B255,PAR!$D$3:$E$53,2,FALSE),"nincs szervezet")</f>
        <v>nincs szervezet</v>
      </c>
      <c r="D255" s="359"/>
      <c r="E255" s="324"/>
      <c r="F255" s="332"/>
      <c r="G255" s="360"/>
      <c r="H255" s="251">
        <f t="shared" si="3"/>
        <v>0</v>
      </c>
      <c r="I255" s="331"/>
      <c r="J255" s="332"/>
      <c r="K255" s="332"/>
      <c r="L255" s="331"/>
      <c r="M255" s="331"/>
    </row>
    <row r="256" spans="2:13" x14ac:dyDescent="0.2">
      <c r="B256" s="324"/>
      <c r="C256" s="333" t="str">
        <f>IFERROR(VLOOKUP(B256,PAR!$D$3:$E$53,2,FALSE),"nincs szervezet")</f>
        <v>nincs szervezet</v>
      </c>
      <c r="D256" s="359"/>
      <c r="E256" s="324"/>
      <c r="F256" s="332"/>
      <c r="G256" s="360"/>
      <c r="H256" s="251">
        <f t="shared" si="3"/>
        <v>0</v>
      </c>
      <c r="I256" s="331"/>
      <c r="J256" s="332"/>
      <c r="K256" s="332"/>
      <c r="L256" s="331"/>
      <c r="M256" s="331"/>
    </row>
    <row r="257" spans="2:13" x14ac:dyDescent="0.2">
      <c r="B257" s="324"/>
      <c r="C257" s="333" t="str">
        <f>IFERROR(VLOOKUP(B257,PAR!$D$3:$E$53,2,FALSE),"nincs szervezet")</f>
        <v>nincs szervezet</v>
      </c>
      <c r="D257" s="359"/>
      <c r="E257" s="324"/>
      <c r="F257" s="332"/>
      <c r="G257" s="360"/>
      <c r="H257" s="251">
        <f t="shared" si="3"/>
        <v>0</v>
      </c>
      <c r="I257" s="331"/>
      <c r="J257" s="332"/>
      <c r="K257" s="332"/>
      <c r="L257" s="331"/>
      <c r="M257" s="331"/>
    </row>
    <row r="258" spans="2:13" x14ac:dyDescent="0.2">
      <c r="B258" s="324"/>
      <c r="C258" s="333" t="str">
        <f>IFERROR(VLOOKUP(B258,PAR!$D$3:$E$53,2,FALSE),"nincs szervezet")</f>
        <v>nincs szervezet</v>
      </c>
      <c r="D258" s="359"/>
      <c r="E258" s="324"/>
      <c r="F258" s="332"/>
      <c r="G258" s="360"/>
      <c r="H258" s="251">
        <f t="shared" si="3"/>
        <v>0</v>
      </c>
      <c r="I258" s="331"/>
      <c r="J258" s="332"/>
      <c r="K258" s="332"/>
      <c r="L258" s="331"/>
      <c r="M258" s="331"/>
    </row>
    <row r="259" spans="2:13" x14ac:dyDescent="0.2">
      <c r="B259" s="324"/>
      <c r="C259" s="333" t="str">
        <f>IFERROR(VLOOKUP(B259,PAR!$D$3:$E$53,2,FALSE),"nincs szervezet")</f>
        <v>nincs szervezet</v>
      </c>
      <c r="D259" s="359"/>
      <c r="E259" s="324"/>
      <c r="F259" s="332"/>
      <c r="G259" s="360"/>
      <c r="H259" s="251">
        <f t="shared" si="3"/>
        <v>0</v>
      </c>
      <c r="I259" s="331"/>
      <c r="J259" s="332"/>
      <c r="K259" s="332"/>
      <c r="L259" s="331"/>
      <c r="M259" s="331"/>
    </row>
    <row r="260" spans="2:13" x14ac:dyDescent="0.2">
      <c r="B260" s="324"/>
      <c r="C260" s="333" t="str">
        <f>IFERROR(VLOOKUP(B260,PAR!$D$3:$E$53,2,FALSE),"nincs szervezet")</f>
        <v>nincs szervezet</v>
      </c>
      <c r="D260" s="359"/>
      <c r="E260" s="324"/>
      <c r="F260" s="332"/>
      <c r="G260" s="360"/>
      <c r="H260" s="251">
        <f t="shared" si="3"/>
        <v>0</v>
      </c>
      <c r="I260" s="331"/>
      <c r="J260" s="332"/>
      <c r="K260" s="332"/>
      <c r="L260" s="331"/>
      <c r="M260" s="331"/>
    </row>
    <row r="261" spans="2:13" x14ac:dyDescent="0.2">
      <c r="B261" s="324"/>
      <c r="C261" s="333" t="str">
        <f>IFERROR(VLOOKUP(B261,PAR!$D$3:$E$53,2,FALSE),"nincs szervezet")</f>
        <v>nincs szervezet</v>
      </c>
      <c r="D261" s="359"/>
      <c r="E261" s="324"/>
      <c r="F261" s="332"/>
      <c r="G261" s="360"/>
      <c r="H261" s="251">
        <f t="shared" si="3"/>
        <v>0</v>
      </c>
      <c r="I261" s="331"/>
      <c r="J261" s="332"/>
      <c r="K261" s="332"/>
      <c r="L261" s="331"/>
      <c r="M261" s="331"/>
    </row>
    <row r="262" spans="2:13" x14ac:dyDescent="0.2">
      <c r="B262" s="324"/>
      <c r="C262" s="333" t="str">
        <f>IFERROR(VLOOKUP(B262,PAR!$D$3:$E$53,2,FALSE),"nincs szervezet")</f>
        <v>nincs szervezet</v>
      </c>
      <c r="D262" s="359"/>
      <c r="E262" s="324"/>
      <c r="F262" s="332"/>
      <c r="G262" s="360"/>
      <c r="H262" s="251">
        <f t="shared" ref="H262:H304" si="4">IF(D262=221,G262*-1,G262)</f>
        <v>0</v>
      </c>
      <c r="I262" s="331"/>
      <c r="J262" s="332"/>
      <c r="K262" s="332"/>
      <c r="L262" s="331"/>
      <c r="M262" s="331"/>
    </row>
    <row r="263" spans="2:13" x14ac:dyDescent="0.2">
      <c r="B263" s="324"/>
      <c r="C263" s="333" t="str">
        <f>IFERROR(VLOOKUP(B263,PAR!$D$3:$E$53,2,FALSE),"nincs szervezet")</f>
        <v>nincs szervezet</v>
      </c>
      <c r="D263" s="359"/>
      <c r="E263" s="324"/>
      <c r="F263" s="332"/>
      <c r="G263" s="360"/>
      <c r="H263" s="251">
        <f t="shared" si="4"/>
        <v>0</v>
      </c>
      <c r="I263" s="331"/>
      <c r="J263" s="332"/>
      <c r="K263" s="332"/>
      <c r="L263" s="331"/>
      <c r="M263" s="331"/>
    </row>
    <row r="264" spans="2:13" x14ac:dyDescent="0.2">
      <c r="B264" s="324"/>
      <c r="C264" s="333" t="str">
        <f>IFERROR(VLOOKUP(B264,PAR!$D$3:$E$53,2,FALSE),"nincs szervezet")</f>
        <v>nincs szervezet</v>
      </c>
      <c r="D264" s="359"/>
      <c r="E264" s="324"/>
      <c r="F264" s="332"/>
      <c r="G264" s="360"/>
      <c r="H264" s="251">
        <f t="shared" si="4"/>
        <v>0</v>
      </c>
      <c r="I264" s="331"/>
      <c r="J264" s="332"/>
      <c r="K264" s="332"/>
      <c r="L264" s="331"/>
      <c r="M264" s="331"/>
    </row>
    <row r="265" spans="2:13" x14ac:dyDescent="0.2">
      <c r="B265" s="324"/>
      <c r="C265" s="333" t="str">
        <f>IFERROR(VLOOKUP(B265,PAR!$D$3:$E$53,2,FALSE),"nincs szervezet")</f>
        <v>nincs szervezet</v>
      </c>
      <c r="D265" s="359"/>
      <c r="E265" s="324"/>
      <c r="F265" s="332"/>
      <c r="G265" s="360"/>
      <c r="H265" s="251">
        <f t="shared" si="4"/>
        <v>0</v>
      </c>
      <c r="I265" s="331"/>
      <c r="J265" s="332"/>
      <c r="K265" s="332"/>
      <c r="L265" s="331"/>
      <c r="M265" s="331"/>
    </row>
    <row r="266" spans="2:13" x14ac:dyDescent="0.2">
      <c r="B266" s="324"/>
      <c r="C266" s="333" t="str">
        <f>IFERROR(VLOOKUP(B266,PAR!$D$3:$E$53,2,FALSE),"nincs szervezet")</f>
        <v>nincs szervezet</v>
      </c>
      <c r="D266" s="359"/>
      <c r="E266" s="324"/>
      <c r="F266" s="332"/>
      <c r="G266" s="360"/>
      <c r="H266" s="251">
        <f t="shared" si="4"/>
        <v>0</v>
      </c>
      <c r="I266" s="331"/>
      <c r="J266" s="332"/>
      <c r="K266" s="332"/>
      <c r="L266" s="331"/>
      <c r="M266" s="331"/>
    </row>
    <row r="267" spans="2:13" x14ac:dyDescent="0.2">
      <c r="B267" s="324"/>
      <c r="C267" s="333" t="str">
        <f>IFERROR(VLOOKUP(B267,PAR!$D$3:$E$53,2,FALSE),"nincs szervezet")</f>
        <v>nincs szervezet</v>
      </c>
      <c r="D267" s="359"/>
      <c r="E267" s="324"/>
      <c r="F267" s="332"/>
      <c r="G267" s="360"/>
      <c r="H267" s="251">
        <f t="shared" si="4"/>
        <v>0</v>
      </c>
      <c r="I267" s="331"/>
      <c r="J267" s="332"/>
      <c r="K267" s="332"/>
      <c r="L267" s="331"/>
      <c r="M267" s="331"/>
    </row>
    <row r="268" spans="2:13" x14ac:dyDescent="0.2">
      <c r="B268" s="324"/>
      <c r="C268" s="333" t="str">
        <f>IFERROR(VLOOKUP(B268,PAR!$D$3:$E$53,2,FALSE),"nincs szervezet")</f>
        <v>nincs szervezet</v>
      </c>
      <c r="D268" s="359"/>
      <c r="E268" s="324"/>
      <c r="F268" s="332"/>
      <c r="G268" s="360"/>
      <c r="H268" s="251">
        <f t="shared" si="4"/>
        <v>0</v>
      </c>
      <c r="I268" s="331"/>
      <c r="J268" s="332"/>
      <c r="K268" s="332"/>
      <c r="L268" s="331"/>
      <c r="M268" s="331"/>
    </row>
    <row r="269" spans="2:13" x14ac:dyDescent="0.2">
      <c r="B269" s="324"/>
      <c r="C269" s="333" t="str">
        <f>IFERROR(VLOOKUP(B269,PAR!$D$3:$E$53,2,FALSE),"nincs szervezet")</f>
        <v>nincs szervezet</v>
      </c>
      <c r="D269" s="359"/>
      <c r="E269" s="324"/>
      <c r="F269" s="332"/>
      <c r="G269" s="360"/>
      <c r="H269" s="251">
        <f t="shared" si="4"/>
        <v>0</v>
      </c>
      <c r="I269" s="331"/>
      <c r="J269" s="332"/>
      <c r="K269" s="332"/>
      <c r="L269" s="331"/>
      <c r="M269" s="331"/>
    </row>
    <row r="270" spans="2:13" x14ac:dyDescent="0.2">
      <c r="B270" s="324"/>
      <c r="C270" s="333" t="str">
        <f>IFERROR(VLOOKUP(B270,PAR!$D$3:$E$53,2,FALSE),"nincs szervezet")</f>
        <v>nincs szervezet</v>
      </c>
      <c r="D270" s="359"/>
      <c r="E270" s="324"/>
      <c r="F270" s="332"/>
      <c r="G270" s="360"/>
      <c r="H270" s="251">
        <f t="shared" si="4"/>
        <v>0</v>
      </c>
      <c r="I270" s="331"/>
      <c r="J270" s="332"/>
      <c r="K270" s="332"/>
      <c r="L270" s="331"/>
      <c r="M270" s="331"/>
    </row>
    <row r="271" spans="2:13" x14ac:dyDescent="0.2">
      <c r="B271" s="324"/>
      <c r="C271" s="333" t="str">
        <f>IFERROR(VLOOKUP(B271,PAR!$D$3:$E$53,2,FALSE),"nincs szervezet")</f>
        <v>nincs szervezet</v>
      </c>
      <c r="D271" s="359"/>
      <c r="E271" s="324"/>
      <c r="F271" s="332"/>
      <c r="G271" s="360"/>
      <c r="H271" s="251">
        <f t="shared" si="4"/>
        <v>0</v>
      </c>
      <c r="I271" s="331"/>
      <c r="J271" s="332"/>
      <c r="K271" s="332"/>
      <c r="L271" s="331"/>
      <c r="M271" s="331"/>
    </row>
    <row r="272" spans="2:13" x14ac:dyDescent="0.2">
      <c r="B272" s="324"/>
      <c r="C272" s="333" t="str">
        <f>IFERROR(VLOOKUP(B272,PAR!$D$3:$E$53,2,FALSE),"nincs szervezet")</f>
        <v>nincs szervezet</v>
      </c>
      <c r="D272" s="359"/>
      <c r="E272" s="324"/>
      <c r="F272" s="332"/>
      <c r="G272" s="360"/>
      <c r="H272" s="251">
        <f t="shared" si="4"/>
        <v>0</v>
      </c>
      <c r="I272" s="331"/>
      <c r="J272" s="332"/>
      <c r="K272" s="332"/>
      <c r="L272" s="331"/>
      <c r="M272" s="331"/>
    </row>
    <row r="273" spans="2:13" x14ac:dyDescent="0.2">
      <c r="B273" s="324"/>
      <c r="C273" s="333" t="str">
        <f>IFERROR(VLOOKUP(B273,PAR!$D$3:$E$53,2,FALSE),"nincs szervezet")</f>
        <v>nincs szervezet</v>
      </c>
      <c r="D273" s="359"/>
      <c r="E273" s="324"/>
      <c r="F273" s="332"/>
      <c r="G273" s="360"/>
      <c r="H273" s="251">
        <f t="shared" si="4"/>
        <v>0</v>
      </c>
      <c r="I273" s="331"/>
      <c r="J273" s="332"/>
      <c r="K273" s="332"/>
      <c r="L273" s="331"/>
      <c r="M273" s="331"/>
    </row>
    <row r="274" spans="2:13" x14ac:dyDescent="0.2">
      <c r="B274" s="324"/>
      <c r="C274" s="333" t="str">
        <f>IFERROR(VLOOKUP(B274,PAR!$D$3:$E$53,2,FALSE),"nincs szervezet")</f>
        <v>nincs szervezet</v>
      </c>
      <c r="D274" s="359"/>
      <c r="E274" s="324"/>
      <c r="F274" s="332"/>
      <c r="G274" s="360"/>
      <c r="H274" s="251">
        <f t="shared" si="4"/>
        <v>0</v>
      </c>
      <c r="I274" s="331"/>
      <c r="J274" s="332"/>
      <c r="K274" s="332"/>
      <c r="L274" s="331"/>
      <c r="M274" s="331"/>
    </row>
    <row r="275" spans="2:13" x14ac:dyDescent="0.2">
      <c r="B275" s="324"/>
      <c r="C275" s="333" t="str">
        <f>IFERROR(VLOOKUP(B275,PAR!$D$3:$E$53,2,FALSE),"nincs szervezet")</f>
        <v>nincs szervezet</v>
      </c>
      <c r="D275" s="359"/>
      <c r="E275" s="324"/>
      <c r="F275" s="332"/>
      <c r="G275" s="360"/>
      <c r="H275" s="251">
        <f t="shared" si="4"/>
        <v>0</v>
      </c>
      <c r="I275" s="331"/>
      <c r="J275" s="332"/>
      <c r="K275" s="332"/>
      <c r="L275" s="331"/>
      <c r="M275" s="331"/>
    </row>
    <row r="276" spans="2:13" x14ac:dyDescent="0.2">
      <c r="B276" s="324"/>
      <c r="C276" s="333" t="str">
        <f>IFERROR(VLOOKUP(B276,PAR!$D$3:$E$53,2,FALSE),"nincs szervezet")</f>
        <v>nincs szervezet</v>
      </c>
      <c r="D276" s="359"/>
      <c r="E276" s="324"/>
      <c r="F276" s="332"/>
      <c r="G276" s="360"/>
      <c r="H276" s="251">
        <f t="shared" si="4"/>
        <v>0</v>
      </c>
      <c r="I276" s="331"/>
      <c r="J276" s="332"/>
      <c r="K276" s="332"/>
      <c r="L276" s="331"/>
      <c r="M276" s="331"/>
    </row>
    <row r="277" spans="2:13" x14ac:dyDescent="0.2">
      <c r="B277" s="324"/>
      <c r="C277" s="333" t="str">
        <f>IFERROR(VLOOKUP(B277,PAR!$D$3:$E$53,2,FALSE),"nincs szervezet")</f>
        <v>nincs szervezet</v>
      </c>
      <c r="D277" s="359"/>
      <c r="E277" s="324"/>
      <c r="F277" s="332"/>
      <c r="G277" s="360"/>
      <c r="H277" s="251">
        <f t="shared" si="4"/>
        <v>0</v>
      </c>
      <c r="I277" s="331"/>
      <c r="J277" s="332"/>
      <c r="K277" s="332"/>
      <c r="L277" s="331"/>
      <c r="M277" s="331"/>
    </row>
    <row r="278" spans="2:13" x14ac:dyDescent="0.2">
      <c r="B278" s="324"/>
      <c r="C278" s="333" t="str">
        <f>IFERROR(VLOOKUP(B278,PAR!$D$3:$E$53,2,FALSE),"nincs szervezet")</f>
        <v>nincs szervezet</v>
      </c>
      <c r="D278" s="359"/>
      <c r="E278" s="324"/>
      <c r="F278" s="332"/>
      <c r="G278" s="360"/>
      <c r="H278" s="251">
        <f t="shared" si="4"/>
        <v>0</v>
      </c>
      <c r="I278" s="331"/>
      <c r="J278" s="332"/>
      <c r="K278" s="332"/>
      <c r="L278" s="331"/>
      <c r="M278" s="331"/>
    </row>
    <row r="279" spans="2:13" x14ac:dyDescent="0.2">
      <c r="B279" s="324"/>
      <c r="C279" s="333" t="str">
        <f>IFERROR(VLOOKUP(B279,PAR!$D$3:$E$53,2,FALSE),"nincs szervezet")</f>
        <v>nincs szervezet</v>
      </c>
      <c r="D279" s="359"/>
      <c r="E279" s="324"/>
      <c r="F279" s="332"/>
      <c r="G279" s="360"/>
      <c r="H279" s="251">
        <f t="shared" si="4"/>
        <v>0</v>
      </c>
      <c r="I279" s="331"/>
      <c r="J279" s="332"/>
      <c r="K279" s="332"/>
      <c r="L279" s="331"/>
      <c r="M279" s="331"/>
    </row>
    <row r="280" spans="2:13" x14ac:dyDescent="0.2">
      <c r="B280" s="324"/>
      <c r="C280" s="333" t="str">
        <f>IFERROR(VLOOKUP(B280,PAR!$D$3:$E$53,2,FALSE),"nincs szervezet")</f>
        <v>nincs szervezet</v>
      </c>
      <c r="D280" s="359"/>
      <c r="E280" s="324"/>
      <c r="F280" s="332"/>
      <c r="G280" s="360"/>
      <c r="H280" s="251">
        <f t="shared" si="4"/>
        <v>0</v>
      </c>
      <c r="I280" s="331"/>
      <c r="J280" s="332"/>
      <c r="K280" s="332"/>
      <c r="L280" s="331"/>
      <c r="M280" s="331"/>
    </row>
    <row r="281" spans="2:13" x14ac:dyDescent="0.2">
      <c r="B281" s="324"/>
      <c r="C281" s="333" t="str">
        <f>IFERROR(VLOOKUP(B281,PAR!$D$3:$E$53,2,FALSE),"nincs szervezet")</f>
        <v>nincs szervezet</v>
      </c>
      <c r="D281" s="359"/>
      <c r="E281" s="324"/>
      <c r="F281" s="332"/>
      <c r="G281" s="360"/>
      <c r="H281" s="251">
        <f t="shared" si="4"/>
        <v>0</v>
      </c>
      <c r="I281" s="331"/>
      <c r="J281" s="332"/>
      <c r="K281" s="332"/>
      <c r="L281" s="331"/>
      <c r="M281" s="331"/>
    </row>
    <row r="282" spans="2:13" x14ac:dyDescent="0.2">
      <c r="B282" s="324"/>
      <c r="C282" s="333" t="str">
        <f>IFERROR(VLOOKUP(B282,PAR!$D$3:$E$53,2,FALSE),"nincs szervezet")</f>
        <v>nincs szervezet</v>
      </c>
      <c r="D282" s="359"/>
      <c r="E282" s="324"/>
      <c r="F282" s="332"/>
      <c r="G282" s="360"/>
      <c r="H282" s="251">
        <f t="shared" si="4"/>
        <v>0</v>
      </c>
      <c r="I282" s="331"/>
      <c r="J282" s="332"/>
      <c r="K282" s="332"/>
      <c r="L282" s="331"/>
      <c r="M282" s="331"/>
    </row>
    <row r="283" spans="2:13" x14ac:dyDescent="0.2">
      <c r="B283" s="324"/>
      <c r="C283" s="333" t="str">
        <f>IFERROR(VLOOKUP(B283,PAR!$D$3:$E$53,2,FALSE),"nincs szervezet")</f>
        <v>nincs szervezet</v>
      </c>
      <c r="D283" s="359"/>
      <c r="E283" s="324"/>
      <c r="F283" s="332"/>
      <c r="G283" s="360"/>
      <c r="H283" s="251">
        <f t="shared" si="4"/>
        <v>0</v>
      </c>
      <c r="I283" s="331"/>
      <c r="J283" s="332"/>
      <c r="K283" s="332"/>
      <c r="L283" s="331"/>
      <c r="M283" s="331"/>
    </row>
    <row r="284" spans="2:13" x14ac:dyDescent="0.2">
      <c r="B284" s="324"/>
      <c r="C284" s="333" t="str">
        <f>IFERROR(VLOOKUP(B284,PAR!$D$3:$E$53,2,FALSE),"nincs szervezet")</f>
        <v>nincs szervezet</v>
      </c>
      <c r="D284" s="359"/>
      <c r="E284" s="324"/>
      <c r="F284" s="332"/>
      <c r="G284" s="360"/>
      <c r="H284" s="251">
        <f t="shared" si="4"/>
        <v>0</v>
      </c>
      <c r="I284" s="331"/>
      <c r="J284" s="332"/>
      <c r="K284" s="332"/>
      <c r="L284" s="331"/>
      <c r="M284" s="331"/>
    </row>
    <row r="285" spans="2:13" x14ac:dyDescent="0.2">
      <c r="B285" s="324"/>
      <c r="C285" s="333" t="str">
        <f>IFERROR(VLOOKUP(B285,PAR!$D$3:$E$53,2,FALSE),"nincs szervezet")</f>
        <v>nincs szervezet</v>
      </c>
      <c r="D285" s="359"/>
      <c r="E285" s="324"/>
      <c r="F285" s="332"/>
      <c r="G285" s="360"/>
      <c r="H285" s="251">
        <f t="shared" si="4"/>
        <v>0</v>
      </c>
      <c r="I285" s="331"/>
      <c r="J285" s="332"/>
      <c r="K285" s="332"/>
      <c r="L285" s="331"/>
      <c r="M285" s="331"/>
    </row>
    <row r="286" spans="2:13" x14ac:dyDescent="0.2">
      <c r="B286" s="324"/>
      <c r="C286" s="333" t="str">
        <f>IFERROR(VLOOKUP(B286,PAR!$D$3:$E$53,2,FALSE),"nincs szervezet")</f>
        <v>nincs szervezet</v>
      </c>
      <c r="D286" s="359"/>
      <c r="E286" s="324"/>
      <c r="F286" s="332"/>
      <c r="G286" s="360"/>
      <c r="H286" s="251">
        <f t="shared" si="4"/>
        <v>0</v>
      </c>
      <c r="I286" s="331"/>
      <c r="J286" s="332"/>
      <c r="K286" s="332"/>
      <c r="L286" s="331"/>
      <c r="M286" s="331"/>
    </row>
    <row r="287" spans="2:13" x14ac:dyDescent="0.2">
      <c r="B287" s="324"/>
      <c r="C287" s="333" t="str">
        <f>IFERROR(VLOOKUP(B287,PAR!$D$3:$E$53,2,FALSE),"nincs szervezet")</f>
        <v>nincs szervezet</v>
      </c>
      <c r="D287" s="359"/>
      <c r="E287" s="324"/>
      <c r="F287" s="332"/>
      <c r="G287" s="360"/>
      <c r="H287" s="251">
        <f t="shared" si="4"/>
        <v>0</v>
      </c>
      <c r="I287" s="331"/>
      <c r="J287" s="332"/>
      <c r="K287" s="332"/>
      <c r="L287" s="331"/>
      <c r="M287" s="331"/>
    </row>
    <row r="288" spans="2:13" x14ac:dyDescent="0.2">
      <c r="B288" s="324"/>
      <c r="C288" s="333" t="str">
        <f>IFERROR(VLOOKUP(B288,PAR!$D$3:$E$53,2,FALSE),"nincs szervezet")</f>
        <v>nincs szervezet</v>
      </c>
      <c r="D288" s="359"/>
      <c r="E288" s="324"/>
      <c r="F288" s="332"/>
      <c r="G288" s="360"/>
      <c r="H288" s="251">
        <f t="shared" si="4"/>
        <v>0</v>
      </c>
      <c r="I288" s="331"/>
      <c r="J288" s="332"/>
      <c r="K288" s="332"/>
      <c r="L288" s="331"/>
      <c r="M288" s="331"/>
    </row>
    <row r="289" spans="2:13" x14ac:dyDescent="0.2">
      <c r="B289" s="324"/>
      <c r="C289" s="333" t="str">
        <f>IFERROR(VLOOKUP(B289,PAR!$D$3:$E$53,2,FALSE),"nincs szervezet")</f>
        <v>nincs szervezet</v>
      </c>
      <c r="D289" s="359"/>
      <c r="E289" s="324"/>
      <c r="F289" s="332"/>
      <c r="G289" s="360"/>
      <c r="H289" s="251">
        <f t="shared" si="4"/>
        <v>0</v>
      </c>
      <c r="I289" s="331"/>
      <c r="J289" s="332"/>
      <c r="K289" s="332"/>
      <c r="L289" s="331"/>
      <c r="M289" s="331"/>
    </row>
    <row r="290" spans="2:13" x14ac:dyDescent="0.2">
      <c r="B290" s="324"/>
      <c r="C290" s="333" t="str">
        <f>IFERROR(VLOOKUP(B290,PAR!$D$3:$E$53,2,FALSE),"nincs szervezet")</f>
        <v>nincs szervezet</v>
      </c>
      <c r="D290" s="359"/>
      <c r="E290" s="324"/>
      <c r="F290" s="332"/>
      <c r="G290" s="360"/>
      <c r="H290" s="251">
        <f t="shared" si="4"/>
        <v>0</v>
      </c>
      <c r="I290" s="331"/>
      <c r="J290" s="332"/>
      <c r="K290" s="332"/>
      <c r="L290" s="331"/>
      <c r="M290" s="331"/>
    </row>
    <row r="291" spans="2:13" x14ac:dyDescent="0.2">
      <c r="B291" s="324"/>
      <c r="C291" s="333" t="str">
        <f>IFERROR(VLOOKUP(B291,PAR!$D$3:$E$53,2,FALSE),"nincs szervezet")</f>
        <v>nincs szervezet</v>
      </c>
      <c r="D291" s="359"/>
      <c r="E291" s="324"/>
      <c r="F291" s="332"/>
      <c r="G291" s="360"/>
      <c r="H291" s="251">
        <f t="shared" si="4"/>
        <v>0</v>
      </c>
      <c r="I291" s="331"/>
      <c r="J291" s="332"/>
      <c r="K291" s="332"/>
      <c r="L291" s="331"/>
      <c r="M291" s="331"/>
    </row>
    <row r="292" spans="2:13" x14ac:dyDescent="0.2">
      <c r="B292" s="324"/>
      <c r="C292" s="333" t="str">
        <f>IFERROR(VLOOKUP(B292,PAR!$D$3:$E$53,2,FALSE),"nincs szervezet")</f>
        <v>nincs szervezet</v>
      </c>
      <c r="D292" s="359"/>
      <c r="E292" s="324"/>
      <c r="F292" s="332"/>
      <c r="G292" s="360"/>
      <c r="H292" s="251">
        <f t="shared" si="4"/>
        <v>0</v>
      </c>
      <c r="I292" s="331"/>
      <c r="J292" s="332"/>
      <c r="K292" s="332"/>
      <c r="L292" s="331"/>
      <c r="M292" s="331"/>
    </row>
    <row r="293" spans="2:13" x14ac:dyDescent="0.2">
      <c r="B293" s="324"/>
      <c r="C293" s="333" t="str">
        <f>IFERROR(VLOOKUP(B293,PAR!$D$3:$E$53,2,FALSE),"nincs szervezet")</f>
        <v>nincs szervezet</v>
      </c>
      <c r="D293" s="359"/>
      <c r="E293" s="324"/>
      <c r="F293" s="332"/>
      <c r="G293" s="360"/>
      <c r="H293" s="251">
        <f t="shared" si="4"/>
        <v>0</v>
      </c>
      <c r="I293" s="331"/>
      <c r="J293" s="332"/>
      <c r="K293" s="332"/>
      <c r="L293" s="331"/>
      <c r="M293" s="331"/>
    </row>
    <row r="294" spans="2:13" x14ac:dyDescent="0.2">
      <c r="B294" s="324"/>
      <c r="C294" s="333" t="str">
        <f>IFERROR(VLOOKUP(B294,PAR!$D$3:$E$53,2,FALSE),"nincs szervezet")</f>
        <v>nincs szervezet</v>
      </c>
      <c r="D294" s="359"/>
      <c r="E294" s="324"/>
      <c r="F294" s="332"/>
      <c r="G294" s="360"/>
      <c r="H294" s="251">
        <f t="shared" si="4"/>
        <v>0</v>
      </c>
      <c r="I294" s="331"/>
      <c r="J294" s="332"/>
      <c r="K294" s="332"/>
      <c r="L294" s="331"/>
      <c r="M294" s="331"/>
    </row>
    <row r="295" spans="2:13" x14ac:dyDescent="0.2">
      <c r="B295" s="324"/>
      <c r="C295" s="333" t="str">
        <f>IFERROR(VLOOKUP(B295,PAR!$D$3:$E$53,2,FALSE),"nincs szervezet")</f>
        <v>nincs szervezet</v>
      </c>
      <c r="D295" s="359"/>
      <c r="E295" s="324"/>
      <c r="F295" s="332"/>
      <c r="G295" s="360"/>
      <c r="H295" s="251">
        <f t="shared" si="4"/>
        <v>0</v>
      </c>
      <c r="I295" s="331"/>
      <c r="J295" s="332"/>
      <c r="K295" s="332"/>
      <c r="L295" s="331"/>
      <c r="M295" s="331"/>
    </row>
    <row r="296" spans="2:13" x14ac:dyDescent="0.2">
      <c r="B296" s="324"/>
      <c r="C296" s="333" t="str">
        <f>IFERROR(VLOOKUP(B296,PAR!$D$3:$E$53,2,FALSE),"nincs szervezet")</f>
        <v>nincs szervezet</v>
      </c>
      <c r="D296" s="359"/>
      <c r="E296" s="324"/>
      <c r="F296" s="332"/>
      <c r="G296" s="360"/>
      <c r="H296" s="251">
        <f t="shared" si="4"/>
        <v>0</v>
      </c>
      <c r="I296" s="331"/>
      <c r="J296" s="332"/>
      <c r="K296" s="332"/>
      <c r="L296" s="331"/>
      <c r="M296" s="331"/>
    </row>
    <row r="297" spans="2:13" x14ac:dyDescent="0.2">
      <c r="B297" s="324"/>
      <c r="C297" s="333" t="str">
        <f>IFERROR(VLOOKUP(B297,PAR!$D$3:$E$53,2,FALSE),"nincs szervezet")</f>
        <v>nincs szervezet</v>
      </c>
      <c r="D297" s="359"/>
      <c r="E297" s="324"/>
      <c r="F297" s="332"/>
      <c r="G297" s="360"/>
      <c r="H297" s="251">
        <f t="shared" si="4"/>
        <v>0</v>
      </c>
      <c r="I297" s="331"/>
      <c r="J297" s="332"/>
      <c r="K297" s="332"/>
      <c r="L297" s="331"/>
      <c r="M297" s="331"/>
    </row>
    <row r="298" spans="2:13" x14ac:dyDescent="0.2">
      <c r="B298" s="324"/>
      <c r="C298" s="333" t="str">
        <f>IFERROR(VLOOKUP(B298,PAR!$D$3:$E$53,2,FALSE),"nincs szervezet")</f>
        <v>nincs szervezet</v>
      </c>
      <c r="D298" s="359"/>
      <c r="E298" s="324"/>
      <c r="F298" s="332"/>
      <c r="G298" s="360"/>
      <c r="H298" s="251">
        <f t="shared" si="4"/>
        <v>0</v>
      </c>
      <c r="I298" s="331"/>
      <c r="J298" s="332"/>
      <c r="K298" s="332"/>
      <c r="L298" s="331"/>
      <c r="M298" s="331"/>
    </row>
    <row r="299" spans="2:13" x14ac:dyDescent="0.2">
      <c r="B299" s="324"/>
      <c r="C299" s="333" t="str">
        <f>IFERROR(VLOOKUP(B299,PAR!$D$3:$E$53,2,FALSE),"nincs szervezet")</f>
        <v>nincs szervezet</v>
      </c>
      <c r="D299" s="359"/>
      <c r="E299" s="324"/>
      <c r="F299" s="332"/>
      <c r="G299" s="360"/>
      <c r="H299" s="251">
        <f t="shared" si="4"/>
        <v>0</v>
      </c>
      <c r="I299" s="331"/>
      <c r="J299" s="332"/>
      <c r="K299" s="332"/>
      <c r="L299" s="331"/>
      <c r="M299" s="331"/>
    </row>
    <row r="300" spans="2:13" x14ac:dyDescent="0.2">
      <c r="B300" s="324"/>
      <c r="C300" s="333" t="str">
        <f>IFERROR(VLOOKUP(B300,PAR!$D$3:$E$53,2,FALSE),"nincs szervezet")</f>
        <v>nincs szervezet</v>
      </c>
      <c r="D300" s="359"/>
      <c r="E300" s="324"/>
      <c r="F300" s="332"/>
      <c r="G300" s="360"/>
      <c r="H300" s="251">
        <f t="shared" si="4"/>
        <v>0</v>
      </c>
      <c r="I300" s="331"/>
      <c r="J300" s="332"/>
      <c r="K300" s="332"/>
      <c r="L300" s="331"/>
      <c r="M300" s="331"/>
    </row>
    <row r="301" spans="2:13" x14ac:dyDescent="0.2">
      <c r="B301" s="324"/>
      <c r="C301" s="333" t="str">
        <f>IFERROR(VLOOKUP(B301,PAR!$D$3:$E$53,2,FALSE),"nincs szervezet")</f>
        <v>nincs szervezet</v>
      </c>
      <c r="D301" s="359"/>
      <c r="E301" s="324"/>
      <c r="F301" s="332"/>
      <c r="G301" s="360"/>
      <c r="H301" s="251">
        <f t="shared" si="4"/>
        <v>0</v>
      </c>
      <c r="I301" s="331"/>
      <c r="J301" s="332"/>
      <c r="K301" s="332"/>
      <c r="L301" s="331"/>
      <c r="M301" s="331"/>
    </row>
    <row r="302" spans="2:13" x14ac:dyDescent="0.2">
      <c r="B302" s="324"/>
      <c r="C302" s="333" t="str">
        <f>IFERROR(VLOOKUP(B302,PAR!$D$3:$E$53,2,FALSE),"nincs szervezet")</f>
        <v>nincs szervezet</v>
      </c>
      <c r="D302" s="359"/>
      <c r="E302" s="324"/>
      <c r="F302" s="332"/>
      <c r="G302" s="360"/>
      <c r="H302" s="251">
        <f t="shared" si="4"/>
        <v>0</v>
      </c>
      <c r="I302" s="331"/>
      <c r="J302" s="332"/>
      <c r="K302" s="332"/>
      <c r="L302" s="331"/>
      <c r="M302" s="331"/>
    </row>
    <row r="303" spans="2:13" x14ac:dyDescent="0.2">
      <c r="B303" s="324"/>
      <c r="C303" s="333" t="str">
        <f>IFERROR(VLOOKUP(B303,PAR!$D$3:$E$53,2,FALSE),"nincs szervezet")</f>
        <v>nincs szervezet</v>
      </c>
      <c r="D303" s="359"/>
      <c r="E303" s="324"/>
      <c r="F303" s="332"/>
      <c r="G303" s="360"/>
      <c r="H303" s="251">
        <f t="shared" si="4"/>
        <v>0</v>
      </c>
      <c r="I303" s="331"/>
      <c r="J303" s="332"/>
      <c r="K303" s="332"/>
      <c r="L303" s="331"/>
      <c r="M303" s="331"/>
    </row>
    <row r="304" spans="2:13" x14ac:dyDescent="0.2">
      <c r="B304" s="324"/>
      <c r="C304" s="333" t="str">
        <f>IFERROR(VLOOKUP(B304,PAR!$D$3:$E$53,2,FALSE),"nincs szervezet")</f>
        <v>nincs szervezet</v>
      </c>
      <c r="D304" s="359"/>
      <c r="E304" s="324"/>
      <c r="F304" s="332"/>
      <c r="G304" s="360"/>
      <c r="H304" s="251">
        <f t="shared" si="4"/>
        <v>0</v>
      </c>
      <c r="I304" s="331"/>
      <c r="J304" s="332"/>
      <c r="K304" s="332"/>
      <c r="L304" s="331"/>
      <c r="M304" s="331"/>
    </row>
  </sheetData>
  <sheetProtection algorithmName="SHA-512" hashValue="YDSRt3CoQuPMAF6XSnDOM/SYuinkvvyWqWB5aX0a8+9HqbV/huHcdG1stEX/pE9hrFPe24jKqKFRqC6OD5BRRQ==" saltValue="kc8+olpGXAT8ir54pimnNQ==" spinCount="100000" sheet="1" formatCells="0" formatColumns="0" formatRows="0"/>
  <mergeCells count="1">
    <mergeCell ref="B2:M2"/>
  </mergeCells>
  <phoneticPr fontId="16" type="noConversion"/>
  <pageMargins left="0.7" right="0.7" top="0.75" bottom="0.75" header="0.3" footer="0.3"/>
  <pageSetup paperSize="9" scale="52" orientation="portrait" r:id="rId1"/>
  <colBreaks count="1" manualBreakCount="1">
    <brk id="1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FA88F-4EA4-40D5-A0B2-C98058EF49DE}">
  <sheetPr>
    <tabColor theme="3" tint="-0.249977111117893"/>
    <pageSetUpPr fitToPage="1"/>
  </sheetPr>
  <dimension ref="B1:F490"/>
  <sheetViews>
    <sheetView showGridLines="0" view="pageBreakPreview" zoomScaleNormal="100" zoomScaleSheetLayoutView="100" workbookViewId="0">
      <selection activeCell="A2" sqref="A2:XFD426"/>
    </sheetView>
  </sheetViews>
  <sheetFormatPr defaultColWidth="9" defaultRowHeight="15.75" x14ac:dyDescent="0.25"/>
  <cols>
    <col min="1" max="1" width="0.875" style="342" customWidth="1"/>
    <col min="2" max="2" width="60.625" style="342" customWidth="1"/>
    <col min="3" max="3" width="35.625" style="342" customWidth="1"/>
    <col min="4" max="6" width="15.625" style="342" customWidth="1"/>
    <col min="7" max="7" width="0.875" style="342" customWidth="1"/>
    <col min="8" max="8" width="22.625" style="342" customWidth="1"/>
    <col min="9" max="16384" width="9" style="342"/>
  </cols>
  <sheetData>
    <row r="1" spans="2:6" ht="5.0999999999999996" customHeight="1" x14ac:dyDescent="0.25"/>
    <row r="2" spans="2:6" ht="24.75" x14ac:dyDescent="0.25">
      <c r="B2" s="464" t="s">
        <v>2582</v>
      </c>
      <c r="C2" s="464"/>
      <c r="D2" s="464"/>
      <c r="E2" s="464"/>
      <c r="F2" s="464"/>
    </row>
    <row r="3" spans="2:6" ht="5.0999999999999996" customHeight="1" x14ac:dyDescent="0.25"/>
    <row r="4" spans="2:6" x14ac:dyDescent="0.25">
      <c r="B4" s="447" t="s">
        <v>1552</v>
      </c>
      <c r="C4" s="342" t="s">
        <v>2671</v>
      </c>
    </row>
    <row r="5" spans="2:6" x14ac:dyDescent="0.25">
      <c r="B5" s="354" t="s">
        <v>1555</v>
      </c>
      <c r="C5" s="342" t="s">
        <v>2557</v>
      </c>
    </row>
    <row r="6" spans="2:6" ht="5.0999999999999996" customHeight="1" x14ac:dyDescent="0.25"/>
    <row r="7" spans="2:6" hidden="1" x14ac:dyDescent="0.25">
      <c r="B7" s="353" t="s">
        <v>2593</v>
      </c>
      <c r="C7" s="353" t="s">
        <v>1561</v>
      </c>
      <c r="D7"/>
      <c r="E7"/>
      <c r="F7"/>
    </row>
    <row r="8" spans="2:6" x14ac:dyDescent="0.25">
      <c r="B8" s="355" t="s">
        <v>2555</v>
      </c>
      <c r="C8" s="348" t="s">
        <v>1562</v>
      </c>
      <c r="D8"/>
      <c r="E8"/>
      <c r="F8"/>
    </row>
    <row r="9" spans="2:6" x14ac:dyDescent="0.25">
      <c r="B9" s="356" t="s">
        <v>1562</v>
      </c>
      <c r="C9" s="357">
        <v>0</v>
      </c>
      <c r="D9"/>
      <c r="E9"/>
      <c r="F9"/>
    </row>
    <row r="10" spans="2:6" x14ac:dyDescent="0.25">
      <c r="B10"/>
      <c r="C10"/>
      <c r="D10"/>
      <c r="E10"/>
      <c r="F10"/>
    </row>
    <row r="11" spans="2:6" x14ac:dyDescent="0.25">
      <c r="B11"/>
      <c r="C11"/>
      <c r="D11"/>
      <c r="E11"/>
      <c r="F11"/>
    </row>
    <row r="12" spans="2:6" x14ac:dyDescent="0.25">
      <c r="B12"/>
      <c r="C12"/>
      <c r="D12"/>
      <c r="E12"/>
      <c r="F12"/>
    </row>
    <row r="13" spans="2:6" x14ac:dyDescent="0.25">
      <c r="B13"/>
      <c r="C13"/>
      <c r="D13"/>
      <c r="E13"/>
      <c r="F13"/>
    </row>
    <row r="14" spans="2:6" x14ac:dyDescent="0.25">
      <c r="B14"/>
      <c r="C14"/>
      <c r="D14"/>
      <c r="E14"/>
      <c r="F14"/>
    </row>
    <row r="15" spans="2:6" x14ac:dyDescent="0.25">
      <c r="B15"/>
      <c r="C15"/>
      <c r="D15"/>
      <c r="E15"/>
      <c r="F15"/>
    </row>
    <row r="16" spans="2:6" x14ac:dyDescent="0.25">
      <c r="B16"/>
      <c r="C16"/>
      <c r="D16"/>
      <c r="E16"/>
      <c r="F16"/>
    </row>
    <row r="17" spans="2:6" x14ac:dyDescent="0.25">
      <c r="B17"/>
      <c r="C17"/>
      <c r="D17"/>
      <c r="E17"/>
      <c r="F17"/>
    </row>
    <row r="18" spans="2:6" x14ac:dyDescent="0.25">
      <c r="B18"/>
      <c r="C18"/>
      <c r="D18"/>
      <c r="E18"/>
      <c r="F18"/>
    </row>
    <row r="19" spans="2:6" x14ac:dyDescent="0.25">
      <c r="B19"/>
      <c r="C19"/>
      <c r="D19"/>
      <c r="E19"/>
      <c r="F19"/>
    </row>
    <row r="20" spans="2:6" x14ac:dyDescent="0.25">
      <c r="B20"/>
      <c r="C20"/>
      <c r="D20"/>
      <c r="E20"/>
      <c r="F20"/>
    </row>
    <row r="21" spans="2:6" x14ac:dyDescent="0.25">
      <c r="B21"/>
      <c r="C21"/>
      <c r="D21"/>
      <c r="E21"/>
      <c r="F21"/>
    </row>
    <row r="22" spans="2:6" x14ac:dyDescent="0.25">
      <c r="B22"/>
      <c r="C22"/>
      <c r="D22"/>
      <c r="E22"/>
      <c r="F22"/>
    </row>
    <row r="23" spans="2:6" x14ac:dyDescent="0.25">
      <c r="B23"/>
      <c r="C23"/>
      <c r="D23"/>
      <c r="E23"/>
      <c r="F23"/>
    </row>
    <row r="24" spans="2:6" x14ac:dyDescent="0.25">
      <c r="B24"/>
      <c r="C24"/>
      <c r="D24"/>
      <c r="E24"/>
      <c r="F24"/>
    </row>
    <row r="25" spans="2:6" x14ac:dyDescent="0.25">
      <c r="B25"/>
      <c r="C25"/>
      <c r="D25"/>
      <c r="E25"/>
      <c r="F25"/>
    </row>
    <row r="26" spans="2:6" x14ac:dyDescent="0.25">
      <c r="B26"/>
      <c r="C26"/>
      <c r="D26"/>
      <c r="E26"/>
      <c r="F26"/>
    </row>
    <row r="27" spans="2:6" x14ac:dyDescent="0.25">
      <c r="B27"/>
      <c r="C27"/>
      <c r="D27"/>
      <c r="E27"/>
      <c r="F27"/>
    </row>
    <row r="28" spans="2:6" x14ac:dyDescent="0.25">
      <c r="B28"/>
      <c r="C28"/>
      <c r="D28"/>
      <c r="E28"/>
      <c r="F28"/>
    </row>
    <row r="29" spans="2:6" x14ac:dyDescent="0.25">
      <c r="B29"/>
      <c r="C29"/>
      <c r="D29"/>
      <c r="E29"/>
      <c r="F29"/>
    </row>
    <row r="30" spans="2:6" x14ac:dyDescent="0.25">
      <c r="B30"/>
      <c r="C30"/>
      <c r="D30"/>
      <c r="E30"/>
      <c r="F30"/>
    </row>
    <row r="31" spans="2:6" x14ac:dyDescent="0.25">
      <c r="B31"/>
      <c r="C31"/>
      <c r="D31"/>
      <c r="E31"/>
      <c r="F31"/>
    </row>
    <row r="32" spans="2:6" x14ac:dyDescent="0.25">
      <c r="B32"/>
      <c r="C32"/>
      <c r="D32"/>
      <c r="E32"/>
      <c r="F32"/>
    </row>
    <row r="33" spans="2:6" x14ac:dyDescent="0.25">
      <c r="B33"/>
      <c r="C33"/>
      <c r="D33"/>
      <c r="E33"/>
      <c r="F33"/>
    </row>
    <row r="34" spans="2:6" x14ac:dyDescent="0.25">
      <c r="B34"/>
      <c r="C34"/>
      <c r="D34"/>
      <c r="E34"/>
      <c r="F34"/>
    </row>
    <row r="35" spans="2:6" x14ac:dyDescent="0.25">
      <c r="B35"/>
      <c r="C35"/>
      <c r="D35"/>
      <c r="E35"/>
      <c r="F35"/>
    </row>
    <row r="36" spans="2:6" x14ac:dyDescent="0.25">
      <c r="B36"/>
      <c r="C36"/>
      <c r="D36"/>
      <c r="E36"/>
      <c r="F36"/>
    </row>
    <row r="37" spans="2:6" x14ac:dyDescent="0.25">
      <c r="B37"/>
      <c r="C37"/>
      <c r="D37"/>
      <c r="E37"/>
      <c r="F37"/>
    </row>
    <row r="38" spans="2:6" x14ac:dyDescent="0.25">
      <c r="B38"/>
      <c r="C38"/>
      <c r="D38"/>
      <c r="E38"/>
      <c r="F38"/>
    </row>
    <row r="39" spans="2:6" x14ac:dyDescent="0.25">
      <c r="B39"/>
      <c r="C39"/>
      <c r="D39"/>
      <c r="E39"/>
      <c r="F39"/>
    </row>
    <row r="40" spans="2:6" x14ac:dyDescent="0.25">
      <c r="B40"/>
      <c r="C40"/>
      <c r="D40"/>
      <c r="E40"/>
      <c r="F40"/>
    </row>
    <row r="41" spans="2:6" x14ac:dyDescent="0.25">
      <c r="B41"/>
      <c r="C41"/>
      <c r="D41"/>
      <c r="E41"/>
      <c r="F41"/>
    </row>
    <row r="42" spans="2:6" x14ac:dyDescent="0.25">
      <c r="B42"/>
      <c r="C42"/>
      <c r="D42"/>
      <c r="E42"/>
      <c r="F42"/>
    </row>
    <row r="43" spans="2:6" x14ac:dyDescent="0.25">
      <c r="B43"/>
      <c r="C43"/>
      <c r="D43"/>
      <c r="E43"/>
      <c r="F43"/>
    </row>
    <row r="44" spans="2:6" x14ac:dyDescent="0.25">
      <c r="B44"/>
      <c r="C44"/>
      <c r="D44"/>
      <c r="E44"/>
      <c r="F44"/>
    </row>
    <row r="45" spans="2:6" x14ac:dyDescent="0.25">
      <c r="B45"/>
      <c r="C45"/>
      <c r="D45"/>
      <c r="E45"/>
      <c r="F45"/>
    </row>
    <row r="46" spans="2:6" x14ac:dyDescent="0.25">
      <c r="B46"/>
      <c r="C46"/>
      <c r="D46"/>
      <c r="E46"/>
      <c r="F46"/>
    </row>
    <row r="47" spans="2:6" x14ac:dyDescent="0.25">
      <c r="B47"/>
      <c r="C47"/>
      <c r="D47"/>
      <c r="E47"/>
      <c r="F47"/>
    </row>
    <row r="48" spans="2:6" x14ac:dyDescent="0.25">
      <c r="B48"/>
      <c r="C48"/>
      <c r="D48"/>
      <c r="E48"/>
      <c r="F48"/>
    </row>
    <row r="49" spans="2:6" x14ac:dyDescent="0.25">
      <c r="B49"/>
      <c r="C49"/>
      <c r="D49"/>
      <c r="E49"/>
      <c r="F49"/>
    </row>
    <row r="50" spans="2:6" x14ac:dyDescent="0.25">
      <c r="B50"/>
      <c r="C50"/>
      <c r="D50"/>
      <c r="E50"/>
      <c r="F50"/>
    </row>
    <row r="51" spans="2:6" x14ac:dyDescent="0.25">
      <c r="B51"/>
      <c r="C51"/>
      <c r="D51"/>
      <c r="E51"/>
      <c r="F51"/>
    </row>
    <row r="52" spans="2:6" x14ac:dyDescent="0.25">
      <c r="B52"/>
      <c r="C52"/>
      <c r="D52"/>
      <c r="E52"/>
      <c r="F52"/>
    </row>
    <row r="53" spans="2:6" x14ac:dyDescent="0.25">
      <c r="B53"/>
      <c r="C53"/>
      <c r="D53"/>
      <c r="E53"/>
      <c r="F53"/>
    </row>
    <row r="54" spans="2:6" x14ac:dyDescent="0.25">
      <c r="B54"/>
      <c r="C54"/>
      <c r="D54"/>
      <c r="E54"/>
      <c r="F54"/>
    </row>
    <row r="55" spans="2:6" x14ac:dyDescent="0.25">
      <c r="B55"/>
      <c r="C55"/>
      <c r="D55"/>
      <c r="E55"/>
      <c r="F55"/>
    </row>
    <row r="56" spans="2:6" x14ac:dyDescent="0.25">
      <c r="B56"/>
      <c r="C56"/>
      <c r="D56"/>
      <c r="E56"/>
      <c r="F56"/>
    </row>
    <row r="57" spans="2:6" x14ac:dyDescent="0.25">
      <c r="B57"/>
      <c r="C57"/>
      <c r="D57"/>
      <c r="E57"/>
      <c r="F57"/>
    </row>
    <row r="58" spans="2:6" x14ac:dyDescent="0.25">
      <c r="B58"/>
      <c r="C58"/>
      <c r="D58"/>
      <c r="E58"/>
      <c r="F58"/>
    </row>
    <row r="59" spans="2:6" x14ac:dyDescent="0.25">
      <c r="B59"/>
      <c r="C59"/>
      <c r="D59"/>
      <c r="E59"/>
      <c r="F59"/>
    </row>
    <row r="60" spans="2:6" x14ac:dyDescent="0.25">
      <c r="B60"/>
      <c r="C60"/>
      <c r="D60"/>
      <c r="E60"/>
      <c r="F60"/>
    </row>
    <row r="61" spans="2:6" x14ac:dyDescent="0.25">
      <c r="B61"/>
      <c r="C61"/>
      <c r="D61"/>
      <c r="E61"/>
      <c r="F61"/>
    </row>
    <row r="62" spans="2:6" x14ac:dyDescent="0.25">
      <c r="B62"/>
      <c r="C62"/>
      <c r="D62"/>
      <c r="E62"/>
      <c r="F62"/>
    </row>
    <row r="63" spans="2:6" x14ac:dyDescent="0.25">
      <c r="B63"/>
      <c r="C63"/>
      <c r="D63"/>
      <c r="E63"/>
      <c r="F63"/>
    </row>
    <row r="64" spans="2:6" x14ac:dyDescent="0.25">
      <c r="B64"/>
      <c r="C64"/>
      <c r="D64"/>
      <c r="E64"/>
      <c r="F64"/>
    </row>
    <row r="65" spans="2:6" x14ac:dyDescent="0.25">
      <c r="B65"/>
      <c r="C65"/>
      <c r="D65"/>
      <c r="E65"/>
      <c r="F65"/>
    </row>
    <row r="66" spans="2:6" x14ac:dyDescent="0.25">
      <c r="B66"/>
      <c r="C66"/>
      <c r="D66"/>
      <c r="E66"/>
      <c r="F66"/>
    </row>
    <row r="67" spans="2:6" x14ac:dyDescent="0.25">
      <c r="B67"/>
      <c r="C67"/>
      <c r="D67"/>
      <c r="E67"/>
      <c r="F67"/>
    </row>
    <row r="68" spans="2:6" x14ac:dyDescent="0.25">
      <c r="B68"/>
      <c r="C68"/>
      <c r="D68"/>
      <c r="E68"/>
      <c r="F68"/>
    </row>
    <row r="69" spans="2:6" x14ac:dyDescent="0.25">
      <c r="B69"/>
      <c r="C69"/>
      <c r="D69"/>
      <c r="E69"/>
      <c r="F69"/>
    </row>
    <row r="70" spans="2:6" x14ac:dyDescent="0.25">
      <c r="B70"/>
      <c r="C70"/>
      <c r="D70"/>
      <c r="E70"/>
      <c r="F70"/>
    </row>
    <row r="71" spans="2:6" x14ac:dyDescent="0.25">
      <c r="B71"/>
      <c r="C71"/>
      <c r="D71"/>
      <c r="E71"/>
      <c r="F71"/>
    </row>
    <row r="72" spans="2:6" x14ac:dyDescent="0.25">
      <c r="B72"/>
      <c r="C72"/>
      <c r="D72"/>
      <c r="E72"/>
      <c r="F72"/>
    </row>
    <row r="73" spans="2:6" x14ac:dyDescent="0.25">
      <c r="B73"/>
      <c r="C73"/>
      <c r="D73"/>
      <c r="E73"/>
      <c r="F73"/>
    </row>
    <row r="74" spans="2:6" x14ac:dyDescent="0.25">
      <c r="B74"/>
      <c r="C74"/>
      <c r="D74"/>
      <c r="E74"/>
      <c r="F74"/>
    </row>
    <row r="75" spans="2:6" x14ac:dyDescent="0.25">
      <c r="B75"/>
      <c r="C75"/>
      <c r="D75"/>
      <c r="E75"/>
      <c r="F75"/>
    </row>
    <row r="76" spans="2:6" x14ac:dyDescent="0.25">
      <c r="B76"/>
      <c r="C76"/>
      <c r="D76"/>
      <c r="E76"/>
      <c r="F76"/>
    </row>
    <row r="77" spans="2:6" x14ac:dyDescent="0.25">
      <c r="B77"/>
      <c r="C77"/>
      <c r="D77"/>
      <c r="E77"/>
      <c r="F77"/>
    </row>
    <row r="78" spans="2:6" x14ac:dyDescent="0.25">
      <c r="B78"/>
      <c r="C78"/>
      <c r="D78"/>
      <c r="E78"/>
      <c r="F78"/>
    </row>
    <row r="79" spans="2:6" x14ac:dyDescent="0.25">
      <c r="B79"/>
      <c r="C79"/>
      <c r="D79"/>
      <c r="E79"/>
      <c r="F79"/>
    </row>
    <row r="80" spans="2:6" x14ac:dyDescent="0.25">
      <c r="B80"/>
      <c r="C80"/>
      <c r="D80"/>
      <c r="E80"/>
      <c r="F80"/>
    </row>
    <row r="81" spans="2:6" x14ac:dyDescent="0.25">
      <c r="B81"/>
      <c r="C81"/>
      <c r="D81"/>
      <c r="E81"/>
      <c r="F81"/>
    </row>
    <row r="82" spans="2:6" x14ac:dyDescent="0.25">
      <c r="B82"/>
      <c r="C82"/>
      <c r="D82"/>
      <c r="E82"/>
      <c r="F82"/>
    </row>
    <row r="83" spans="2:6" x14ac:dyDescent="0.25">
      <c r="B83"/>
      <c r="C83"/>
      <c r="D83"/>
      <c r="E83"/>
      <c r="F83"/>
    </row>
    <row r="84" spans="2:6" x14ac:dyDescent="0.25">
      <c r="B84"/>
      <c r="C84"/>
      <c r="D84"/>
      <c r="E84"/>
      <c r="F84"/>
    </row>
    <row r="85" spans="2:6" x14ac:dyDescent="0.25">
      <c r="B85"/>
      <c r="C85"/>
      <c r="D85"/>
      <c r="E85"/>
      <c r="F85"/>
    </row>
    <row r="86" spans="2:6" x14ac:dyDescent="0.25">
      <c r="B86"/>
      <c r="C86"/>
      <c r="D86"/>
      <c r="E86"/>
      <c r="F86"/>
    </row>
    <row r="87" spans="2:6" x14ac:dyDescent="0.25">
      <c r="B87"/>
      <c r="C87"/>
      <c r="D87"/>
      <c r="E87"/>
      <c r="F87"/>
    </row>
    <row r="88" spans="2:6" x14ac:dyDescent="0.25">
      <c r="B88"/>
      <c r="C88"/>
      <c r="D88"/>
      <c r="E88"/>
      <c r="F88"/>
    </row>
    <row r="89" spans="2:6" x14ac:dyDescent="0.25">
      <c r="B89"/>
      <c r="C89"/>
      <c r="D89"/>
      <c r="E89"/>
      <c r="F89"/>
    </row>
    <row r="90" spans="2:6" x14ac:dyDescent="0.25">
      <c r="B90"/>
      <c r="C90"/>
      <c r="D90"/>
      <c r="E90"/>
      <c r="F90"/>
    </row>
    <row r="91" spans="2:6" x14ac:dyDescent="0.25">
      <c r="B91"/>
      <c r="C91"/>
      <c r="D91"/>
      <c r="E91"/>
      <c r="F91"/>
    </row>
    <row r="92" spans="2:6" x14ac:dyDescent="0.25">
      <c r="B92"/>
      <c r="C92"/>
      <c r="D92"/>
      <c r="E92"/>
      <c r="F92"/>
    </row>
    <row r="93" spans="2:6" x14ac:dyDescent="0.25">
      <c r="B93"/>
      <c r="C93"/>
      <c r="D93"/>
      <c r="E93"/>
      <c r="F93"/>
    </row>
    <row r="94" spans="2:6" x14ac:dyDescent="0.25">
      <c r="B94"/>
      <c r="C94"/>
      <c r="D94"/>
      <c r="E94"/>
      <c r="F94"/>
    </row>
    <row r="95" spans="2:6" x14ac:dyDescent="0.25">
      <c r="B95"/>
      <c r="C95"/>
      <c r="D95"/>
      <c r="E95"/>
      <c r="F95"/>
    </row>
    <row r="96" spans="2:6" x14ac:dyDescent="0.25">
      <c r="B96"/>
      <c r="C96"/>
      <c r="D96"/>
      <c r="E96"/>
      <c r="F96"/>
    </row>
    <row r="97" spans="2:6" x14ac:dyDescent="0.25">
      <c r="B97"/>
      <c r="C97"/>
      <c r="D97"/>
      <c r="E97"/>
      <c r="F97"/>
    </row>
    <row r="98" spans="2:6" x14ac:dyDescent="0.25">
      <c r="B98"/>
      <c r="C98"/>
      <c r="D98"/>
      <c r="E98"/>
      <c r="F98"/>
    </row>
    <row r="99" spans="2:6" x14ac:dyDescent="0.25">
      <c r="B99"/>
      <c r="C99"/>
      <c r="D99"/>
      <c r="E99"/>
      <c r="F99"/>
    </row>
    <row r="100" spans="2:6" x14ac:dyDescent="0.25">
      <c r="B100"/>
      <c r="C100"/>
      <c r="D100"/>
      <c r="E100"/>
      <c r="F100"/>
    </row>
    <row r="101" spans="2:6" x14ac:dyDescent="0.25">
      <c r="B101"/>
      <c r="C101"/>
      <c r="D101"/>
      <c r="E101"/>
      <c r="F101"/>
    </row>
    <row r="102" spans="2:6" x14ac:dyDescent="0.25">
      <c r="B102"/>
      <c r="C102"/>
      <c r="D102"/>
      <c r="E102"/>
      <c r="F102"/>
    </row>
    <row r="103" spans="2:6" x14ac:dyDescent="0.25">
      <c r="B103"/>
      <c r="C103"/>
      <c r="D103"/>
      <c r="E103"/>
      <c r="F103"/>
    </row>
    <row r="104" spans="2:6" x14ac:dyDescent="0.25">
      <c r="B104"/>
      <c r="C104"/>
      <c r="D104"/>
      <c r="E104"/>
      <c r="F104"/>
    </row>
    <row r="105" spans="2:6" x14ac:dyDescent="0.25">
      <c r="B105"/>
      <c r="C105"/>
      <c r="D105"/>
      <c r="E105"/>
      <c r="F105"/>
    </row>
    <row r="106" spans="2:6" x14ac:dyDescent="0.25">
      <c r="B106"/>
      <c r="C106"/>
      <c r="D106"/>
      <c r="E106"/>
      <c r="F106"/>
    </row>
    <row r="107" spans="2:6" x14ac:dyDescent="0.25">
      <c r="B107"/>
      <c r="C107"/>
      <c r="D107"/>
      <c r="E107"/>
      <c r="F107"/>
    </row>
    <row r="108" spans="2:6" x14ac:dyDescent="0.25">
      <c r="B108"/>
      <c r="C108"/>
      <c r="D108"/>
      <c r="E108"/>
      <c r="F108"/>
    </row>
    <row r="109" spans="2:6" x14ac:dyDescent="0.25">
      <c r="B109"/>
      <c r="C109"/>
      <c r="D109"/>
      <c r="E109"/>
      <c r="F109"/>
    </row>
    <row r="110" spans="2:6" x14ac:dyDescent="0.25">
      <c r="B110"/>
      <c r="C110"/>
      <c r="D110"/>
      <c r="E110"/>
      <c r="F110"/>
    </row>
    <row r="111" spans="2:6" x14ac:dyDescent="0.25">
      <c r="B111"/>
      <c r="C111"/>
      <c r="D111"/>
      <c r="E111"/>
    </row>
    <row r="112" spans="2:6" x14ac:dyDescent="0.25">
      <c r="B112"/>
      <c r="C112"/>
      <c r="D112"/>
      <c r="E112"/>
    </row>
    <row r="113" spans="2:5" x14ac:dyDescent="0.25">
      <c r="B113"/>
      <c r="C113"/>
      <c r="D113"/>
      <c r="E113"/>
    </row>
    <row r="114" spans="2:5" x14ac:dyDescent="0.25">
      <c r="B114"/>
      <c r="C114"/>
      <c r="D114"/>
      <c r="E114"/>
    </row>
    <row r="115" spans="2:5" x14ac:dyDescent="0.25">
      <c r="B115"/>
      <c r="C115"/>
      <c r="D115"/>
      <c r="E115"/>
    </row>
    <row r="116" spans="2:5" x14ac:dyDescent="0.25">
      <c r="B116"/>
      <c r="C116"/>
      <c r="D116"/>
      <c r="E116"/>
    </row>
    <row r="117" spans="2:5" x14ac:dyDescent="0.25">
      <c r="B117"/>
      <c r="C117"/>
      <c r="D117"/>
      <c r="E117"/>
    </row>
    <row r="118" spans="2:5" x14ac:dyDescent="0.25">
      <c r="B118"/>
      <c r="C118"/>
      <c r="D118"/>
      <c r="E118"/>
    </row>
    <row r="119" spans="2:5" x14ac:dyDescent="0.25">
      <c r="B119"/>
      <c r="C119"/>
      <c r="D119"/>
      <c r="E119"/>
    </row>
    <row r="120" spans="2:5" x14ac:dyDescent="0.25">
      <c r="B120"/>
      <c r="C120"/>
      <c r="D120"/>
      <c r="E120"/>
    </row>
    <row r="121" spans="2:5" x14ac:dyDescent="0.25">
      <c r="B121"/>
      <c r="C121"/>
      <c r="D121"/>
      <c r="E121"/>
    </row>
    <row r="122" spans="2:5" x14ac:dyDescent="0.25">
      <c r="B122"/>
      <c r="C122"/>
      <c r="D122"/>
      <c r="E122"/>
    </row>
    <row r="123" spans="2:5" x14ac:dyDescent="0.25">
      <c r="B123"/>
      <c r="C123"/>
      <c r="D123"/>
      <c r="E123"/>
    </row>
    <row r="124" spans="2:5" x14ac:dyDescent="0.25">
      <c r="B124"/>
      <c r="C124"/>
      <c r="D124"/>
      <c r="E124"/>
    </row>
    <row r="125" spans="2:5" x14ac:dyDescent="0.25">
      <c r="B125"/>
      <c r="C125"/>
      <c r="D125"/>
      <c r="E125"/>
    </row>
    <row r="126" spans="2:5" x14ac:dyDescent="0.25">
      <c r="B126"/>
      <c r="C126"/>
      <c r="D126"/>
      <c r="E126"/>
    </row>
    <row r="127" spans="2:5" x14ac:dyDescent="0.25">
      <c r="B127"/>
      <c r="C127"/>
      <c r="D127"/>
      <c r="E127"/>
    </row>
    <row r="128" spans="2:5" x14ac:dyDescent="0.25">
      <c r="B128"/>
      <c r="C128"/>
      <c r="D128"/>
      <c r="E128"/>
    </row>
    <row r="129" spans="2:5" x14ac:dyDescent="0.25">
      <c r="B129"/>
      <c r="C129"/>
      <c r="D129"/>
      <c r="E129"/>
    </row>
    <row r="130" spans="2:5" x14ac:dyDescent="0.25">
      <c r="B130"/>
      <c r="C130"/>
      <c r="D130"/>
      <c r="E130"/>
    </row>
    <row r="131" spans="2:5" x14ac:dyDescent="0.25">
      <c r="B131"/>
      <c r="C131"/>
      <c r="D131"/>
      <c r="E131"/>
    </row>
    <row r="132" spans="2:5" x14ac:dyDescent="0.25">
      <c r="B132"/>
      <c r="C132"/>
      <c r="D132"/>
      <c r="E132"/>
    </row>
    <row r="133" spans="2:5" x14ac:dyDescent="0.25">
      <c r="B133"/>
      <c r="C133"/>
      <c r="D133"/>
      <c r="E133"/>
    </row>
    <row r="134" spans="2:5" x14ac:dyDescent="0.25">
      <c r="B134"/>
      <c r="C134"/>
      <c r="D134"/>
      <c r="E134"/>
    </row>
    <row r="135" spans="2:5" x14ac:dyDescent="0.25">
      <c r="B135"/>
      <c r="C135"/>
      <c r="D135"/>
      <c r="E135"/>
    </row>
    <row r="136" spans="2:5" x14ac:dyDescent="0.25">
      <c r="B136"/>
      <c r="C136"/>
      <c r="D136"/>
      <c r="E136"/>
    </row>
    <row r="137" spans="2:5" x14ac:dyDescent="0.25">
      <c r="B137"/>
      <c r="C137"/>
      <c r="D137"/>
      <c r="E137"/>
    </row>
    <row r="138" spans="2:5" x14ac:dyDescent="0.25">
      <c r="B138"/>
      <c r="C138"/>
      <c r="D138"/>
      <c r="E138"/>
    </row>
    <row r="139" spans="2:5" x14ac:dyDescent="0.25">
      <c r="B139"/>
      <c r="C139"/>
      <c r="D139"/>
      <c r="E139"/>
    </row>
    <row r="140" spans="2:5" x14ac:dyDescent="0.25">
      <c r="B140"/>
      <c r="C140"/>
      <c r="D140"/>
      <c r="E140"/>
    </row>
    <row r="141" spans="2:5" x14ac:dyDescent="0.25">
      <c r="B141"/>
      <c r="C141"/>
      <c r="D141"/>
      <c r="E141"/>
    </row>
    <row r="142" spans="2:5" x14ac:dyDescent="0.25">
      <c r="B142"/>
      <c r="C142"/>
      <c r="D142"/>
      <c r="E142"/>
    </row>
    <row r="143" spans="2:5" x14ac:dyDescent="0.25">
      <c r="B143"/>
      <c r="C143"/>
      <c r="D143"/>
      <c r="E143"/>
    </row>
    <row r="144" spans="2:5" x14ac:dyDescent="0.25">
      <c r="B144"/>
      <c r="C144"/>
      <c r="D144"/>
      <c r="E144"/>
    </row>
    <row r="145" spans="2:5" x14ac:dyDescent="0.25">
      <c r="B145"/>
      <c r="C145"/>
      <c r="D145"/>
      <c r="E145"/>
    </row>
    <row r="146" spans="2:5" x14ac:dyDescent="0.25">
      <c r="B146"/>
      <c r="C146"/>
      <c r="D146"/>
      <c r="E146"/>
    </row>
    <row r="147" spans="2:5" x14ac:dyDescent="0.25">
      <c r="B147"/>
      <c r="C147"/>
      <c r="D147"/>
      <c r="E147"/>
    </row>
    <row r="148" spans="2:5" x14ac:dyDescent="0.25">
      <c r="B148"/>
      <c r="C148"/>
      <c r="D148"/>
      <c r="E148"/>
    </row>
    <row r="149" spans="2:5" x14ac:dyDescent="0.25">
      <c r="B149"/>
      <c r="C149"/>
      <c r="D149"/>
      <c r="E149"/>
    </row>
    <row r="150" spans="2:5" x14ac:dyDescent="0.25">
      <c r="B150"/>
      <c r="C150"/>
      <c r="D150"/>
      <c r="E150"/>
    </row>
    <row r="151" spans="2:5" x14ac:dyDescent="0.25">
      <c r="B151"/>
      <c r="C151"/>
      <c r="D151"/>
      <c r="E151"/>
    </row>
    <row r="152" spans="2:5" x14ac:dyDescent="0.25">
      <c r="B152"/>
      <c r="C152"/>
      <c r="D152"/>
      <c r="E152"/>
    </row>
    <row r="153" spans="2:5" x14ac:dyDescent="0.25">
      <c r="B153"/>
      <c r="C153"/>
      <c r="D153"/>
      <c r="E153"/>
    </row>
    <row r="154" spans="2:5" x14ac:dyDescent="0.25">
      <c r="B154"/>
      <c r="C154"/>
      <c r="D154"/>
      <c r="E154"/>
    </row>
    <row r="155" spans="2:5" x14ac:dyDescent="0.25">
      <c r="B155"/>
      <c r="C155"/>
      <c r="D155"/>
      <c r="E155"/>
    </row>
    <row r="156" spans="2:5" x14ac:dyDescent="0.25">
      <c r="B156"/>
      <c r="C156"/>
      <c r="D156"/>
      <c r="E156"/>
    </row>
    <row r="157" spans="2:5" x14ac:dyDescent="0.25">
      <c r="B157"/>
      <c r="C157"/>
      <c r="D157"/>
      <c r="E157"/>
    </row>
    <row r="158" spans="2:5" x14ac:dyDescent="0.25">
      <c r="B158"/>
      <c r="C158"/>
      <c r="D158"/>
      <c r="E158"/>
    </row>
    <row r="159" spans="2:5" x14ac:dyDescent="0.25">
      <c r="B159"/>
      <c r="C159"/>
      <c r="D159"/>
      <c r="E159"/>
    </row>
    <row r="160" spans="2:5" x14ac:dyDescent="0.25">
      <c r="B160"/>
      <c r="C160"/>
      <c r="D160"/>
      <c r="E160"/>
    </row>
    <row r="161" spans="2:5" x14ac:dyDescent="0.25">
      <c r="B161"/>
      <c r="C161"/>
      <c r="D161"/>
      <c r="E161"/>
    </row>
    <row r="162" spans="2:5" x14ac:dyDescent="0.25">
      <c r="B162"/>
      <c r="C162"/>
      <c r="D162"/>
      <c r="E162"/>
    </row>
    <row r="163" spans="2:5" x14ac:dyDescent="0.25">
      <c r="B163"/>
      <c r="C163"/>
      <c r="D163"/>
      <c r="E163"/>
    </row>
    <row r="164" spans="2:5" x14ac:dyDescent="0.25">
      <c r="B164"/>
      <c r="C164"/>
      <c r="D164"/>
      <c r="E164"/>
    </row>
    <row r="165" spans="2:5" x14ac:dyDescent="0.25">
      <c r="B165"/>
      <c r="C165"/>
      <c r="D165"/>
      <c r="E165"/>
    </row>
    <row r="166" spans="2:5" x14ac:dyDescent="0.25">
      <c r="B166"/>
      <c r="C166"/>
      <c r="D166"/>
      <c r="E166"/>
    </row>
    <row r="167" spans="2:5" x14ac:dyDescent="0.25">
      <c r="B167"/>
      <c r="C167"/>
      <c r="D167"/>
      <c r="E167"/>
    </row>
    <row r="168" spans="2:5" x14ac:dyDescent="0.25">
      <c r="B168"/>
      <c r="C168"/>
      <c r="D168"/>
      <c r="E168"/>
    </row>
    <row r="169" spans="2:5" x14ac:dyDescent="0.25">
      <c r="B169"/>
      <c r="C169"/>
      <c r="D169"/>
      <c r="E169"/>
    </row>
    <row r="170" spans="2:5" x14ac:dyDescent="0.25">
      <c r="B170"/>
      <c r="C170"/>
      <c r="D170"/>
      <c r="E170"/>
    </row>
    <row r="171" spans="2:5" x14ac:dyDescent="0.25">
      <c r="B171"/>
      <c r="C171"/>
      <c r="D171"/>
      <c r="E171"/>
    </row>
    <row r="172" spans="2:5" x14ac:dyDescent="0.25">
      <c r="B172"/>
      <c r="C172"/>
      <c r="D172"/>
      <c r="E172"/>
    </row>
    <row r="173" spans="2:5" x14ac:dyDescent="0.25">
      <c r="B173"/>
      <c r="C173"/>
      <c r="D173"/>
      <c r="E173"/>
    </row>
    <row r="174" spans="2:5" x14ac:dyDescent="0.25">
      <c r="B174"/>
      <c r="C174"/>
      <c r="D174"/>
      <c r="E174"/>
    </row>
    <row r="175" spans="2:5" x14ac:dyDescent="0.25">
      <c r="B175"/>
      <c r="C175"/>
      <c r="D175"/>
      <c r="E175"/>
    </row>
    <row r="176" spans="2:5" x14ac:dyDescent="0.25">
      <c r="B176"/>
      <c r="C176"/>
      <c r="D176"/>
      <c r="E176"/>
    </row>
    <row r="177" spans="2:5" x14ac:dyDescent="0.25">
      <c r="B177"/>
      <c r="C177"/>
      <c r="D177"/>
      <c r="E177"/>
    </row>
    <row r="178" spans="2:5" x14ac:dyDescent="0.25">
      <c r="B178"/>
      <c r="C178"/>
      <c r="D178"/>
      <c r="E178"/>
    </row>
    <row r="179" spans="2:5" x14ac:dyDescent="0.25">
      <c r="B179"/>
      <c r="C179"/>
      <c r="D179"/>
      <c r="E179"/>
    </row>
    <row r="180" spans="2:5" x14ac:dyDescent="0.25">
      <c r="B180"/>
      <c r="C180"/>
      <c r="D180"/>
      <c r="E180"/>
    </row>
    <row r="181" spans="2:5" x14ac:dyDescent="0.25">
      <c r="B181"/>
      <c r="C181"/>
      <c r="D181"/>
      <c r="E181"/>
    </row>
    <row r="182" spans="2:5" x14ac:dyDescent="0.25">
      <c r="B182"/>
      <c r="C182"/>
      <c r="D182"/>
      <c r="E182"/>
    </row>
    <row r="183" spans="2:5" x14ac:dyDescent="0.25">
      <c r="B183"/>
      <c r="C183"/>
      <c r="D183"/>
      <c r="E183"/>
    </row>
    <row r="184" spans="2:5" x14ac:dyDescent="0.25">
      <c r="B184"/>
      <c r="C184"/>
      <c r="D184"/>
      <c r="E184"/>
    </row>
    <row r="185" spans="2:5" x14ac:dyDescent="0.25">
      <c r="B185"/>
      <c r="C185"/>
      <c r="D185"/>
      <c r="E185"/>
    </row>
    <row r="186" spans="2:5" x14ac:dyDescent="0.25">
      <c r="B186"/>
      <c r="C186"/>
      <c r="D186"/>
      <c r="E186"/>
    </row>
    <row r="187" spans="2:5" x14ac:dyDescent="0.25">
      <c r="B187"/>
      <c r="C187"/>
      <c r="D187"/>
      <c r="E187"/>
    </row>
    <row r="188" spans="2:5" x14ac:dyDescent="0.25">
      <c r="B188"/>
      <c r="C188"/>
      <c r="D188"/>
      <c r="E188"/>
    </row>
    <row r="189" spans="2:5" x14ac:dyDescent="0.25">
      <c r="B189"/>
      <c r="C189"/>
      <c r="D189"/>
      <c r="E189"/>
    </row>
    <row r="190" spans="2:5" x14ac:dyDescent="0.25">
      <c r="B190"/>
      <c r="C190"/>
      <c r="D190"/>
      <c r="E190"/>
    </row>
    <row r="191" spans="2:5" x14ac:dyDescent="0.25">
      <c r="B191"/>
      <c r="C191"/>
      <c r="D191"/>
      <c r="E191"/>
    </row>
    <row r="192" spans="2:5" x14ac:dyDescent="0.25">
      <c r="B192"/>
      <c r="C192"/>
      <c r="D192"/>
      <c r="E192"/>
    </row>
    <row r="193" spans="2:5" x14ac:dyDescent="0.25">
      <c r="B193"/>
      <c r="C193"/>
      <c r="D193"/>
      <c r="E193"/>
    </row>
    <row r="194" spans="2:5" x14ac:dyDescent="0.25">
      <c r="B194"/>
      <c r="C194"/>
      <c r="D194"/>
      <c r="E194"/>
    </row>
    <row r="195" spans="2:5" x14ac:dyDescent="0.25">
      <c r="B195"/>
      <c r="C195"/>
      <c r="D195"/>
      <c r="E195"/>
    </row>
    <row r="196" spans="2:5" x14ac:dyDescent="0.25">
      <c r="B196"/>
      <c r="C196"/>
      <c r="D196"/>
      <c r="E196"/>
    </row>
    <row r="197" spans="2:5" x14ac:dyDescent="0.25">
      <c r="B197"/>
      <c r="C197"/>
      <c r="D197"/>
      <c r="E197"/>
    </row>
    <row r="198" spans="2:5" x14ac:dyDescent="0.25">
      <c r="B198"/>
      <c r="C198"/>
      <c r="D198"/>
      <c r="E198"/>
    </row>
    <row r="199" spans="2:5" x14ac:dyDescent="0.25">
      <c r="B199"/>
      <c r="C199"/>
      <c r="D199"/>
      <c r="E199"/>
    </row>
    <row r="200" spans="2:5" x14ac:dyDescent="0.25">
      <c r="B200"/>
      <c r="C200"/>
      <c r="D200"/>
      <c r="E200"/>
    </row>
    <row r="201" spans="2:5" x14ac:dyDescent="0.25">
      <c r="B201"/>
      <c r="C201"/>
      <c r="D201"/>
      <c r="E201"/>
    </row>
    <row r="202" spans="2:5" x14ac:dyDescent="0.25">
      <c r="B202"/>
      <c r="C202"/>
      <c r="D202"/>
      <c r="E202"/>
    </row>
    <row r="203" spans="2:5" x14ac:dyDescent="0.25">
      <c r="B203"/>
      <c r="C203"/>
      <c r="D203"/>
      <c r="E203"/>
    </row>
    <row r="204" spans="2:5" x14ac:dyDescent="0.25">
      <c r="B204"/>
      <c r="C204"/>
      <c r="D204"/>
      <c r="E204"/>
    </row>
    <row r="205" spans="2:5" x14ac:dyDescent="0.25">
      <c r="B205"/>
      <c r="C205"/>
      <c r="D205"/>
      <c r="E205"/>
    </row>
    <row r="206" spans="2:5" x14ac:dyDescent="0.25">
      <c r="B206"/>
      <c r="C206"/>
      <c r="D206"/>
      <c r="E206"/>
    </row>
    <row r="207" spans="2:5" x14ac:dyDescent="0.25">
      <c r="B207"/>
      <c r="C207"/>
      <c r="D207"/>
      <c r="E207"/>
    </row>
    <row r="208" spans="2:5" x14ac:dyDescent="0.25">
      <c r="B208"/>
      <c r="C208"/>
      <c r="D208"/>
      <c r="E208"/>
    </row>
    <row r="209" spans="2:5" x14ac:dyDescent="0.25">
      <c r="B209"/>
      <c r="C209"/>
      <c r="D209"/>
      <c r="E209"/>
    </row>
    <row r="210" spans="2:5" x14ac:dyDescent="0.25">
      <c r="B210"/>
      <c r="C210"/>
      <c r="D210"/>
      <c r="E210"/>
    </row>
    <row r="211" spans="2:5" x14ac:dyDescent="0.25">
      <c r="B211"/>
      <c r="C211"/>
      <c r="D211"/>
      <c r="E211"/>
    </row>
    <row r="212" spans="2:5" x14ac:dyDescent="0.25">
      <c r="B212"/>
      <c r="C212"/>
      <c r="D212"/>
      <c r="E212"/>
    </row>
    <row r="213" spans="2:5" x14ac:dyDescent="0.25">
      <c r="B213"/>
      <c r="C213"/>
      <c r="D213"/>
      <c r="E213"/>
    </row>
    <row r="214" spans="2:5" x14ac:dyDescent="0.25">
      <c r="B214"/>
      <c r="C214"/>
      <c r="D214"/>
      <c r="E214"/>
    </row>
    <row r="215" spans="2:5" x14ac:dyDescent="0.25">
      <c r="B215"/>
      <c r="C215"/>
      <c r="D215"/>
      <c r="E215"/>
    </row>
    <row r="216" spans="2:5" x14ac:dyDescent="0.25">
      <c r="B216"/>
      <c r="C216"/>
      <c r="D216"/>
      <c r="E216"/>
    </row>
    <row r="217" spans="2:5" x14ac:dyDescent="0.25">
      <c r="B217"/>
      <c r="C217"/>
      <c r="D217"/>
      <c r="E217"/>
    </row>
    <row r="218" spans="2:5" x14ac:dyDescent="0.25">
      <c r="B218"/>
      <c r="C218"/>
      <c r="D218"/>
      <c r="E218"/>
    </row>
    <row r="219" spans="2:5" x14ac:dyDescent="0.25">
      <c r="B219"/>
      <c r="C219"/>
      <c r="D219"/>
      <c r="E219"/>
    </row>
    <row r="220" spans="2:5" x14ac:dyDescent="0.25">
      <c r="B220"/>
      <c r="C220"/>
      <c r="D220"/>
      <c r="E220"/>
    </row>
    <row r="221" spans="2:5" x14ac:dyDescent="0.25">
      <c r="B221"/>
      <c r="C221"/>
      <c r="D221"/>
      <c r="E221"/>
    </row>
    <row r="222" spans="2:5" x14ac:dyDescent="0.25">
      <c r="B222"/>
      <c r="C222"/>
      <c r="D222"/>
      <c r="E222"/>
    </row>
    <row r="223" spans="2:5" x14ac:dyDescent="0.25">
      <c r="B223"/>
      <c r="C223"/>
      <c r="D223"/>
      <c r="E223"/>
    </row>
    <row r="224" spans="2:5" x14ac:dyDescent="0.25">
      <c r="B224"/>
      <c r="C224"/>
      <c r="D224"/>
      <c r="E224"/>
    </row>
    <row r="225" spans="2:5" x14ac:dyDescent="0.25">
      <c r="B225"/>
      <c r="C225"/>
      <c r="D225"/>
      <c r="E225"/>
    </row>
    <row r="226" spans="2:5" x14ac:dyDescent="0.25">
      <c r="B226"/>
      <c r="C226"/>
      <c r="D226"/>
      <c r="E226"/>
    </row>
    <row r="227" spans="2:5" x14ac:dyDescent="0.25">
      <c r="B227"/>
      <c r="C227"/>
      <c r="D227"/>
      <c r="E227"/>
    </row>
    <row r="228" spans="2:5" x14ac:dyDescent="0.25">
      <c r="B228"/>
      <c r="C228"/>
      <c r="D228"/>
      <c r="E228"/>
    </row>
    <row r="229" spans="2:5" x14ac:dyDescent="0.25">
      <c r="B229"/>
      <c r="C229"/>
      <c r="D229"/>
      <c r="E229"/>
    </row>
    <row r="230" spans="2:5" x14ac:dyDescent="0.25">
      <c r="B230"/>
      <c r="C230"/>
      <c r="D230"/>
      <c r="E230"/>
    </row>
    <row r="231" spans="2:5" x14ac:dyDescent="0.25">
      <c r="B231"/>
      <c r="C231"/>
      <c r="D231"/>
      <c r="E231"/>
    </row>
    <row r="232" spans="2:5" x14ac:dyDescent="0.25">
      <c r="B232"/>
      <c r="C232"/>
      <c r="D232"/>
      <c r="E232"/>
    </row>
    <row r="233" spans="2:5" x14ac:dyDescent="0.25">
      <c r="B233"/>
      <c r="C233"/>
      <c r="D233"/>
      <c r="E233"/>
    </row>
    <row r="234" spans="2:5" x14ac:dyDescent="0.25">
      <c r="B234"/>
      <c r="C234"/>
      <c r="D234"/>
      <c r="E234"/>
    </row>
    <row r="235" spans="2:5" x14ac:dyDescent="0.25">
      <c r="B235"/>
      <c r="C235"/>
      <c r="D235"/>
      <c r="E235"/>
    </row>
    <row r="236" spans="2:5" x14ac:dyDescent="0.25">
      <c r="B236"/>
      <c r="C236"/>
      <c r="D236"/>
      <c r="E236"/>
    </row>
    <row r="237" spans="2:5" x14ac:dyDescent="0.25">
      <c r="B237"/>
      <c r="C237"/>
      <c r="D237"/>
      <c r="E237"/>
    </row>
    <row r="238" spans="2:5" x14ac:dyDescent="0.25">
      <c r="B238"/>
      <c r="C238"/>
      <c r="D238"/>
      <c r="E238"/>
    </row>
    <row r="239" spans="2:5" x14ac:dyDescent="0.25">
      <c r="B239"/>
      <c r="C239"/>
      <c r="D239"/>
      <c r="E239"/>
    </row>
    <row r="240" spans="2:5" x14ac:dyDescent="0.25">
      <c r="B240"/>
      <c r="C240"/>
      <c r="D240"/>
      <c r="E240"/>
    </row>
    <row r="241" spans="2:5" x14ac:dyDescent="0.25">
      <c r="B241"/>
      <c r="C241"/>
      <c r="D241"/>
      <c r="E241"/>
    </row>
    <row r="242" spans="2:5" x14ac:dyDescent="0.25">
      <c r="B242"/>
      <c r="C242"/>
      <c r="D242"/>
      <c r="E242"/>
    </row>
    <row r="243" spans="2:5" x14ac:dyDescent="0.25">
      <c r="B243"/>
      <c r="C243"/>
      <c r="D243"/>
      <c r="E243"/>
    </row>
    <row r="244" spans="2:5" x14ac:dyDescent="0.25">
      <c r="B244"/>
      <c r="C244"/>
      <c r="D244"/>
      <c r="E244"/>
    </row>
    <row r="245" spans="2:5" x14ac:dyDescent="0.25">
      <c r="B245"/>
      <c r="C245"/>
      <c r="D245"/>
      <c r="E245"/>
    </row>
    <row r="246" spans="2:5" x14ac:dyDescent="0.25">
      <c r="B246"/>
      <c r="C246"/>
      <c r="D246"/>
      <c r="E246"/>
    </row>
    <row r="247" spans="2:5" x14ac:dyDescent="0.25">
      <c r="B247"/>
      <c r="C247"/>
      <c r="D247"/>
      <c r="E247"/>
    </row>
    <row r="248" spans="2:5" x14ac:dyDescent="0.25">
      <c r="B248"/>
      <c r="C248"/>
      <c r="D248"/>
      <c r="E248"/>
    </row>
    <row r="249" spans="2:5" x14ac:dyDescent="0.25">
      <c r="B249"/>
      <c r="C249"/>
      <c r="D249"/>
      <c r="E249"/>
    </row>
    <row r="250" spans="2:5" x14ac:dyDescent="0.25">
      <c r="B250"/>
      <c r="C250"/>
      <c r="D250"/>
      <c r="E250"/>
    </row>
    <row r="251" spans="2:5" x14ac:dyDescent="0.25">
      <c r="B251"/>
      <c r="C251"/>
      <c r="D251"/>
      <c r="E251"/>
    </row>
    <row r="252" spans="2:5" x14ac:dyDescent="0.25">
      <c r="B252"/>
      <c r="C252"/>
      <c r="D252"/>
      <c r="E252"/>
    </row>
    <row r="253" spans="2:5" x14ac:dyDescent="0.25">
      <c r="B253"/>
      <c r="C253"/>
      <c r="D253"/>
      <c r="E253"/>
    </row>
    <row r="254" spans="2:5" x14ac:dyDescent="0.25">
      <c r="B254"/>
      <c r="C254"/>
      <c r="D254"/>
      <c r="E254"/>
    </row>
    <row r="255" spans="2:5" x14ac:dyDescent="0.25">
      <c r="B255"/>
      <c r="C255"/>
      <c r="D255"/>
      <c r="E255"/>
    </row>
    <row r="256" spans="2:5" x14ac:dyDescent="0.25">
      <c r="B256"/>
      <c r="C256"/>
      <c r="D256"/>
      <c r="E256"/>
    </row>
    <row r="257" spans="2:5" x14ac:dyDescent="0.25">
      <c r="B257"/>
      <c r="C257"/>
      <c r="D257"/>
      <c r="E257"/>
    </row>
    <row r="258" spans="2:5" x14ac:dyDescent="0.25">
      <c r="B258"/>
      <c r="C258"/>
      <c r="D258"/>
      <c r="E258"/>
    </row>
    <row r="259" spans="2:5" x14ac:dyDescent="0.25">
      <c r="B259"/>
      <c r="C259"/>
      <c r="D259"/>
    </row>
    <row r="260" spans="2:5" x14ac:dyDescent="0.25">
      <c r="B260"/>
      <c r="C260"/>
      <c r="D260"/>
    </row>
    <row r="261" spans="2:5" x14ac:dyDescent="0.25">
      <c r="B261"/>
      <c r="C261"/>
      <c r="D261"/>
    </row>
    <row r="262" spans="2:5" x14ac:dyDescent="0.25">
      <c r="B262"/>
      <c r="C262"/>
      <c r="D262"/>
    </row>
    <row r="263" spans="2:5" x14ac:dyDescent="0.25">
      <c r="B263"/>
      <c r="C263"/>
      <c r="D263"/>
    </row>
    <row r="264" spans="2:5" x14ac:dyDescent="0.25">
      <c r="B264"/>
      <c r="C264"/>
      <c r="D264"/>
    </row>
    <row r="265" spans="2:5" x14ac:dyDescent="0.25">
      <c r="B265"/>
      <c r="C265"/>
      <c r="D265"/>
    </row>
    <row r="266" spans="2:5" x14ac:dyDescent="0.25">
      <c r="B266"/>
      <c r="C266"/>
      <c r="D266"/>
    </row>
    <row r="267" spans="2:5" x14ac:dyDescent="0.25">
      <c r="B267"/>
      <c r="C267"/>
      <c r="D267"/>
    </row>
    <row r="268" spans="2:5" x14ac:dyDescent="0.25">
      <c r="B268"/>
      <c r="C268"/>
      <c r="D268"/>
    </row>
    <row r="269" spans="2:5" x14ac:dyDescent="0.25">
      <c r="B269"/>
      <c r="C269"/>
      <c r="D269"/>
    </row>
    <row r="270" spans="2:5" x14ac:dyDescent="0.25">
      <c r="B270"/>
      <c r="C270"/>
      <c r="D270"/>
    </row>
    <row r="271" spans="2:5" x14ac:dyDescent="0.25">
      <c r="B271"/>
      <c r="C271"/>
      <c r="D271"/>
    </row>
    <row r="272" spans="2:5" x14ac:dyDescent="0.25">
      <c r="B272"/>
      <c r="C272"/>
      <c r="D272"/>
    </row>
    <row r="273" spans="2:4" x14ac:dyDescent="0.25">
      <c r="B273"/>
      <c r="C273"/>
      <c r="D273"/>
    </row>
    <row r="274" spans="2:4" x14ac:dyDescent="0.25">
      <c r="B274"/>
      <c r="C274"/>
      <c r="D274"/>
    </row>
    <row r="275" spans="2:4" x14ac:dyDescent="0.25">
      <c r="B275"/>
      <c r="C275"/>
      <c r="D275"/>
    </row>
    <row r="276" spans="2:4" x14ac:dyDescent="0.25">
      <c r="B276"/>
      <c r="C276"/>
      <c r="D276"/>
    </row>
    <row r="277" spans="2:4" x14ac:dyDescent="0.25">
      <c r="B277"/>
      <c r="C277"/>
      <c r="D277"/>
    </row>
    <row r="278" spans="2:4" x14ac:dyDescent="0.25">
      <c r="B278"/>
      <c r="C278"/>
      <c r="D278"/>
    </row>
    <row r="279" spans="2:4" x14ac:dyDescent="0.25">
      <c r="B279"/>
      <c r="C279"/>
      <c r="D279"/>
    </row>
    <row r="280" spans="2:4" x14ac:dyDescent="0.25">
      <c r="B280"/>
      <c r="C280"/>
      <c r="D280"/>
    </row>
    <row r="281" spans="2:4" x14ac:dyDescent="0.25">
      <c r="B281"/>
      <c r="C281"/>
      <c r="D281"/>
    </row>
    <row r="282" spans="2:4" x14ac:dyDescent="0.25">
      <c r="B282"/>
      <c r="C282"/>
      <c r="D282"/>
    </row>
    <row r="283" spans="2:4" x14ac:dyDescent="0.25">
      <c r="B283"/>
      <c r="C283"/>
      <c r="D283"/>
    </row>
    <row r="284" spans="2:4" x14ac:dyDescent="0.25">
      <c r="B284"/>
      <c r="C284"/>
      <c r="D284"/>
    </row>
    <row r="285" spans="2:4" x14ac:dyDescent="0.25">
      <c r="B285"/>
      <c r="C285"/>
      <c r="D285"/>
    </row>
    <row r="286" spans="2:4" x14ac:dyDescent="0.25">
      <c r="B286"/>
      <c r="C286"/>
      <c r="D286"/>
    </row>
    <row r="287" spans="2:4" x14ac:dyDescent="0.25">
      <c r="B287"/>
      <c r="C287"/>
      <c r="D287"/>
    </row>
    <row r="288" spans="2:4" x14ac:dyDescent="0.25">
      <c r="B288"/>
      <c r="C288"/>
      <c r="D288"/>
    </row>
    <row r="289" spans="2:4" x14ac:dyDescent="0.25">
      <c r="B289"/>
      <c r="C289"/>
      <c r="D289"/>
    </row>
    <row r="290" spans="2:4" x14ac:dyDescent="0.25">
      <c r="B290"/>
      <c r="C290"/>
      <c r="D290"/>
    </row>
    <row r="291" spans="2:4" x14ac:dyDescent="0.25">
      <c r="B291"/>
      <c r="C291"/>
      <c r="D291"/>
    </row>
    <row r="292" spans="2:4" x14ac:dyDescent="0.25">
      <c r="B292"/>
      <c r="C292"/>
      <c r="D292"/>
    </row>
    <row r="293" spans="2:4" x14ac:dyDescent="0.25">
      <c r="B293"/>
      <c r="C293"/>
      <c r="D293"/>
    </row>
    <row r="294" spans="2:4" x14ac:dyDescent="0.25">
      <c r="B294"/>
      <c r="C294"/>
      <c r="D294"/>
    </row>
    <row r="295" spans="2:4" x14ac:dyDescent="0.25">
      <c r="B295"/>
      <c r="C295"/>
      <c r="D295"/>
    </row>
    <row r="296" spans="2:4" x14ac:dyDescent="0.25">
      <c r="B296"/>
      <c r="C296"/>
      <c r="D296"/>
    </row>
    <row r="297" spans="2:4" x14ac:dyDescent="0.25">
      <c r="B297"/>
      <c r="C297"/>
      <c r="D297"/>
    </row>
    <row r="298" spans="2:4" x14ac:dyDescent="0.25">
      <c r="B298"/>
      <c r="C298"/>
      <c r="D298"/>
    </row>
    <row r="299" spans="2:4" x14ac:dyDescent="0.25">
      <c r="B299"/>
      <c r="C299"/>
      <c r="D299"/>
    </row>
    <row r="300" spans="2:4" x14ac:dyDescent="0.25">
      <c r="B300"/>
      <c r="C300"/>
      <c r="D300"/>
    </row>
    <row r="301" spans="2:4" x14ac:dyDescent="0.25">
      <c r="B301"/>
      <c r="C301"/>
      <c r="D301"/>
    </row>
    <row r="302" spans="2:4" x14ac:dyDescent="0.25">
      <c r="B302"/>
      <c r="C302"/>
      <c r="D302"/>
    </row>
    <row r="303" spans="2:4" x14ac:dyDescent="0.25">
      <c r="B303"/>
      <c r="C303"/>
      <c r="D303"/>
    </row>
    <row r="304" spans="2:4" x14ac:dyDescent="0.25">
      <c r="B304"/>
      <c r="C304"/>
      <c r="D304"/>
    </row>
    <row r="305" spans="2:4" x14ac:dyDescent="0.25">
      <c r="B305"/>
      <c r="C305"/>
      <c r="D305"/>
    </row>
    <row r="306" spans="2:4" x14ac:dyDescent="0.25">
      <c r="B306"/>
      <c r="C306"/>
      <c r="D306"/>
    </row>
    <row r="307" spans="2:4" x14ac:dyDescent="0.25">
      <c r="B307"/>
      <c r="C307"/>
      <c r="D307"/>
    </row>
    <row r="308" spans="2:4" x14ac:dyDescent="0.25">
      <c r="B308"/>
      <c r="C308"/>
      <c r="D308"/>
    </row>
    <row r="309" spans="2:4" x14ac:dyDescent="0.25">
      <c r="B309"/>
      <c r="C309"/>
      <c r="D309"/>
    </row>
    <row r="310" spans="2:4" x14ac:dyDescent="0.25">
      <c r="B310"/>
      <c r="C310"/>
      <c r="D310"/>
    </row>
    <row r="311" spans="2:4" x14ac:dyDescent="0.25">
      <c r="B311"/>
      <c r="C311"/>
      <c r="D311"/>
    </row>
    <row r="312" spans="2:4" x14ac:dyDescent="0.25">
      <c r="B312"/>
      <c r="C312"/>
      <c r="D312"/>
    </row>
    <row r="313" spans="2:4" x14ac:dyDescent="0.25">
      <c r="B313"/>
      <c r="C313"/>
      <c r="D313"/>
    </row>
    <row r="314" spans="2:4" x14ac:dyDescent="0.25">
      <c r="B314"/>
      <c r="C314"/>
      <c r="D314"/>
    </row>
    <row r="315" spans="2:4" x14ac:dyDescent="0.25">
      <c r="B315"/>
      <c r="C315"/>
      <c r="D315"/>
    </row>
    <row r="316" spans="2:4" x14ac:dyDescent="0.25">
      <c r="B316"/>
      <c r="C316"/>
      <c r="D316"/>
    </row>
    <row r="317" spans="2:4" x14ac:dyDescent="0.25">
      <c r="B317"/>
      <c r="C317"/>
      <c r="D317"/>
    </row>
    <row r="318" spans="2:4" x14ac:dyDescent="0.25">
      <c r="B318"/>
      <c r="C318"/>
      <c r="D318"/>
    </row>
    <row r="319" spans="2:4" x14ac:dyDescent="0.25">
      <c r="B319"/>
      <c r="C319"/>
      <c r="D319"/>
    </row>
    <row r="320" spans="2:4" x14ac:dyDescent="0.25">
      <c r="B320"/>
      <c r="C320"/>
      <c r="D320"/>
    </row>
    <row r="321" spans="2:4" x14ac:dyDescent="0.25">
      <c r="B321"/>
      <c r="C321"/>
      <c r="D321"/>
    </row>
    <row r="322" spans="2:4" x14ac:dyDescent="0.25">
      <c r="B322"/>
      <c r="C322"/>
      <c r="D322"/>
    </row>
    <row r="323" spans="2:4" x14ac:dyDescent="0.25">
      <c r="B323"/>
      <c r="C323"/>
      <c r="D323"/>
    </row>
    <row r="324" spans="2:4" x14ac:dyDescent="0.25">
      <c r="B324"/>
      <c r="C324"/>
      <c r="D324"/>
    </row>
    <row r="325" spans="2:4" x14ac:dyDescent="0.25">
      <c r="B325"/>
      <c r="C325"/>
      <c r="D325"/>
    </row>
    <row r="326" spans="2:4" x14ac:dyDescent="0.25">
      <c r="B326"/>
      <c r="C326"/>
      <c r="D326"/>
    </row>
    <row r="327" spans="2:4" x14ac:dyDescent="0.25">
      <c r="B327"/>
      <c r="C327"/>
      <c r="D327"/>
    </row>
    <row r="328" spans="2:4" x14ac:dyDescent="0.25">
      <c r="B328"/>
      <c r="C328"/>
      <c r="D328"/>
    </row>
    <row r="329" spans="2:4" x14ac:dyDescent="0.25">
      <c r="B329"/>
      <c r="C329"/>
      <c r="D329"/>
    </row>
    <row r="330" spans="2:4" x14ac:dyDescent="0.25">
      <c r="B330"/>
      <c r="C330"/>
      <c r="D330"/>
    </row>
    <row r="331" spans="2:4" x14ac:dyDescent="0.25">
      <c r="B331"/>
      <c r="C331"/>
      <c r="D331"/>
    </row>
    <row r="332" spans="2:4" x14ac:dyDescent="0.25">
      <c r="B332"/>
      <c r="C332"/>
      <c r="D332"/>
    </row>
    <row r="333" spans="2:4" x14ac:dyDescent="0.25">
      <c r="B333"/>
      <c r="C333"/>
      <c r="D333"/>
    </row>
    <row r="334" spans="2:4" x14ac:dyDescent="0.25">
      <c r="B334"/>
      <c r="C334"/>
      <c r="D334"/>
    </row>
    <row r="335" spans="2:4" x14ac:dyDescent="0.25">
      <c r="B335"/>
      <c r="C335"/>
      <c r="D335"/>
    </row>
    <row r="336" spans="2:4" x14ac:dyDescent="0.25">
      <c r="B336"/>
      <c r="C336"/>
      <c r="D336"/>
    </row>
    <row r="337" spans="2:4" x14ac:dyDescent="0.25">
      <c r="B337"/>
      <c r="C337"/>
      <c r="D337"/>
    </row>
    <row r="338" spans="2:4" x14ac:dyDescent="0.25">
      <c r="B338"/>
      <c r="C338"/>
      <c r="D338"/>
    </row>
    <row r="339" spans="2:4" x14ac:dyDescent="0.25">
      <c r="B339"/>
      <c r="C339"/>
      <c r="D339"/>
    </row>
    <row r="340" spans="2:4" x14ac:dyDescent="0.25">
      <c r="B340"/>
      <c r="C340"/>
      <c r="D340"/>
    </row>
    <row r="341" spans="2:4" x14ac:dyDescent="0.25">
      <c r="B341"/>
      <c r="C341"/>
      <c r="D341"/>
    </row>
    <row r="342" spans="2:4" x14ac:dyDescent="0.25">
      <c r="B342"/>
      <c r="C342"/>
      <c r="D342"/>
    </row>
    <row r="343" spans="2:4" x14ac:dyDescent="0.25">
      <c r="B343"/>
      <c r="C343"/>
      <c r="D343"/>
    </row>
    <row r="344" spans="2:4" x14ac:dyDescent="0.25">
      <c r="B344"/>
      <c r="C344"/>
      <c r="D344"/>
    </row>
    <row r="345" spans="2:4" x14ac:dyDescent="0.25">
      <c r="B345"/>
      <c r="C345"/>
      <c r="D345"/>
    </row>
    <row r="346" spans="2:4" x14ac:dyDescent="0.25">
      <c r="B346"/>
      <c r="C346"/>
      <c r="D346"/>
    </row>
    <row r="347" spans="2:4" x14ac:dyDescent="0.25">
      <c r="B347"/>
      <c r="C347"/>
      <c r="D347"/>
    </row>
    <row r="348" spans="2:4" x14ac:dyDescent="0.25">
      <c r="B348"/>
      <c r="C348"/>
      <c r="D348"/>
    </row>
    <row r="349" spans="2:4" x14ac:dyDescent="0.25">
      <c r="B349"/>
      <c r="C349"/>
      <c r="D349"/>
    </row>
    <row r="350" spans="2:4" x14ac:dyDescent="0.25">
      <c r="B350"/>
      <c r="C350"/>
      <c r="D350"/>
    </row>
    <row r="351" spans="2:4" x14ac:dyDescent="0.25">
      <c r="B351"/>
      <c r="C351"/>
      <c r="D351"/>
    </row>
    <row r="352" spans="2:4" x14ac:dyDescent="0.25">
      <c r="B352"/>
      <c r="C352"/>
      <c r="D352"/>
    </row>
    <row r="353" spans="2:4" x14ac:dyDescent="0.25">
      <c r="B353"/>
      <c r="C353"/>
      <c r="D353"/>
    </row>
    <row r="354" spans="2:4" x14ac:dyDescent="0.25">
      <c r="B354"/>
      <c r="C354"/>
      <c r="D354"/>
    </row>
    <row r="355" spans="2:4" x14ac:dyDescent="0.25">
      <c r="B355"/>
      <c r="C355"/>
      <c r="D355"/>
    </row>
    <row r="356" spans="2:4" x14ac:dyDescent="0.25">
      <c r="B356"/>
      <c r="C356"/>
      <c r="D356"/>
    </row>
    <row r="357" spans="2:4" x14ac:dyDescent="0.25">
      <c r="B357"/>
      <c r="C357"/>
      <c r="D357"/>
    </row>
    <row r="358" spans="2:4" x14ac:dyDescent="0.25">
      <c r="B358"/>
      <c r="C358"/>
      <c r="D358"/>
    </row>
    <row r="359" spans="2:4" x14ac:dyDescent="0.25">
      <c r="B359"/>
      <c r="C359"/>
      <c r="D359"/>
    </row>
    <row r="360" spans="2:4" x14ac:dyDescent="0.25">
      <c r="B360"/>
      <c r="C360"/>
      <c r="D360"/>
    </row>
    <row r="361" spans="2:4" x14ac:dyDescent="0.25">
      <c r="B361"/>
      <c r="C361"/>
      <c r="D361"/>
    </row>
    <row r="362" spans="2:4" x14ac:dyDescent="0.25">
      <c r="B362"/>
      <c r="C362"/>
      <c r="D362"/>
    </row>
    <row r="363" spans="2:4" x14ac:dyDescent="0.25">
      <c r="B363"/>
      <c r="C363"/>
      <c r="D363"/>
    </row>
    <row r="364" spans="2:4" x14ac:dyDescent="0.25">
      <c r="B364"/>
      <c r="C364"/>
      <c r="D364"/>
    </row>
    <row r="365" spans="2:4" x14ac:dyDescent="0.25">
      <c r="B365"/>
      <c r="C365"/>
      <c r="D365"/>
    </row>
    <row r="366" spans="2:4" x14ac:dyDescent="0.25">
      <c r="B366"/>
      <c r="C366"/>
      <c r="D366"/>
    </row>
    <row r="367" spans="2:4" x14ac:dyDescent="0.25">
      <c r="B367"/>
      <c r="C367"/>
      <c r="D367"/>
    </row>
    <row r="368" spans="2:4" x14ac:dyDescent="0.25">
      <c r="B368"/>
      <c r="C368"/>
      <c r="D368"/>
    </row>
    <row r="369" spans="2:4" x14ac:dyDescent="0.25">
      <c r="B369"/>
      <c r="C369"/>
      <c r="D369"/>
    </row>
    <row r="370" spans="2:4" x14ac:dyDescent="0.25">
      <c r="B370"/>
      <c r="C370"/>
      <c r="D370"/>
    </row>
    <row r="371" spans="2:4" x14ac:dyDescent="0.25">
      <c r="B371"/>
      <c r="C371"/>
      <c r="D371"/>
    </row>
    <row r="372" spans="2:4" x14ac:dyDescent="0.25">
      <c r="B372"/>
      <c r="C372"/>
      <c r="D372"/>
    </row>
    <row r="373" spans="2:4" x14ac:dyDescent="0.25">
      <c r="B373"/>
      <c r="C373"/>
      <c r="D373"/>
    </row>
    <row r="374" spans="2:4" x14ac:dyDescent="0.25">
      <c r="B374"/>
      <c r="C374"/>
      <c r="D374"/>
    </row>
    <row r="375" spans="2:4" x14ac:dyDescent="0.25">
      <c r="B375"/>
      <c r="C375"/>
      <c r="D375"/>
    </row>
    <row r="376" spans="2:4" x14ac:dyDescent="0.25">
      <c r="B376"/>
      <c r="C376"/>
      <c r="D376"/>
    </row>
    <row r="377" spans="2:4" x14ac:dyDescent="0.25">
      <c r="B377"/>
      <c r="C377"/>
      <c r="D377"/>
    </row>
    <row r="378" spans="2:4" x14ac:dyDescent="0.25">
      <c r="B378"/>
      <c r="C378"/>
      <c r="D378"/>
    </row>
    <row r="379" spans="2:4" x14ac:dyDescent="0.25">
      <c r="B379"/>
      <c r="C379"/>
      <c r="D379"/>
    </row>
    <row r="380" spans="2:4" x14ac:dyDescent="0.25">
      <c r="B380"/>
      <c r="C380"/>
      <c r="D380"/>
    </row>
    <row r="381" spans="2:4" x14ac:dyDescent="0.25">
      <c r="B381"/>
      <c r="C381"/>
      <c r="D381"/>
    </row>
    <row r="382" spans="2:4" x14ac:dyDescent="0.25">
      <c r="B382"/>
      <c r="C382"/>
      <c r="D382"/>
    </row>
    <row r="383" spans="2:4" x14ac:dyDescent="0.25">
      <c r="B383"/>
      <c r="C383"/>
      <c r="D383"/>
    </row>
    <row r="384" spans="2:4" x14ac:dyDescent="0.25">
      <c r="B384"/>
      <c r="C384"/>
      <c r="D384"/>
    </row>
    <row r="385" spans="2:4" x14ac:dyDescent="0.25">
      <c r="B385"/>
      <c r="C385"/>
      <c r="D385"/>
    </row>
    <row r="386" spans="2:4" x14ac:dyDescent="0.25">
      <c r="B386"/>
      <c r="C386"/>
      <c r="D386"/>
    </row>
    <row r="387" spans="2:4" x14ac:dyDescent="0.25">
      <c r="B387"/>
      <c r="C387"/>
      <c r="D387"/>
    </row>
    <row r="388" spans="2:4" x14ac:dyDescent="0.25">
      <c r="B388"/>
      <c r="C388"/>
      <c r="D388"/>
    </row>
    <row r="389" spans="2:4" x14ac:dyDescent="0.25">
      <c r="B389"/>
      <c r="C389"/>
      <c r="D389"/>
    </row>
    <row r="390" spans="2:4" x14ac:dyDescent="0.25">
      <c r="B390"/>
      <c r="C390"/>
      <c r="D390"/>
    </row>
    <row r="391" spans="2:4" x14ac:dyDescent="0.25">
      <c r="B391"/>
      <c r="C391"/>
      <c r="D391"/>
    </row>
    <row r="392" spans="2:4" x14ac:dyDescent="0.25">
      <c r="B392"/>
      <c r="C392"/>
      <c r="D392"/>
    </row>
    <row r="393" spans="2:4" x14ac:dyDescent="0.25">
      <c r="B393"/>
      <c r="C393"/>
      <c r="D393"/>
    </row>
    <row r="394" spans="2:4" x14ac:dyDescent="0.25">
      <c r="B394"/>
      <c r="C394"/>
      <c r="D394"/>
    </row>
    <row r="395" spans="2:4" x14ac:dyDescent="0.25">
      <c r="B395"/>
      <c r="C395"/>
      <c r="D395"/>
    </row>
    <row r="396" spans="2:4" x14ac:dyDescent="0.25">
      <c r="B396"/>
      <c r="C396"/>
      <c r="D396"/>
    </row>
    <row r="397" spans="2:4" x14ac:dyDescent="0.25">
      <c r="B397"/>
      <c r="C397"/>
      <c r="D397"/>
    </row>
    <row r="398" spans="2:4" x14ac:dyDescent="0.25">
      <c r="B398"/>
      <c r="C398"/>
      <c r="D398"/>
    </row>
    <row r="399" spans="2:4" x14ac:dyDescent="0.25">
      <c r="B399"/>
      <c r="C399"/>
      <c r="D399"/>
    </row>
    <row r="400" spans="2:4" x14ac:dyDescent="0.25">
      <c r="B400"/>
      <c r="C400"/>
      <c r="D400"/>
    </row>
    <row r="401" spans="2:4" x14ac:dyDescent="0.25">
      <c r="B401"/>
      <c r="C401"/>
      <c r="D401"/>
    </row>
    <row r="402" spans="2:4" x14ac:dyDescent="0.25">
      <c r="B402"/>
      <c r="C402"/>
      <c r="D402"/>
    </row>
    <row r="403" spans="2:4" x14ac:dyDescent="0.25">
      <c r="B403"/>
      <c r="C403"/>
      <c r="D403"/>
    </row>
    <row r="404" spans="2:4" x14ac:dyDescent="0.25">
      <c r="B404"/>
      <c r="C404"/>
      <c r="D404"/>
    </row>
    <row r="405" spans="2:4" x14ac:dyDescent="0.25">
      <c r="B405"/>
      <c r="C405"/>
      <c r="D405"/>
    </row>
    <row r="406" spans="2:4" x14ac:dyDescent="0.25">
      <c r="B406"/>
      <c r="C406"/>
      <c r="D406"/>
    </row>
    <row r="407" spans="2:4" x14ac:dyDescent="0.25">
      <c r="B407"/>
      <c r="C407"/>
      <c r="D407"/>
    </row>
    <row r="408" spans="2:4" x14ac:dyDescent="0.25">
      <c r="B408"/>
      <c r="C408"/>
      <c r="D408"/>
    </row>
    <row r="409" spans="2:4" x14ac:dyDescent="0.25">
      <c r="B409"/>
      <c r="C409"/>
      <c r="D409"/>
    </row>
    <row r="410" spans="2:4" x14ac:dyDescent="0.25">
      <c r="B410"/>
      <c r="C410"/>
      <c r="D410"/>
    </row>
    <row r="411" spans="2:4" x14ac:dyDescent="0.25">
      <c r="B411"/>
      <c r="C411"/>
      <c r="D411"/>
    </row>
    <row r="412" spans="2:4" x14ac:dyDescent="0.25">
      <c r="B412"/>
      <c r="C412"/>
      <c r="D412"/>
    </row>
    <row r="413" spans="2:4" x14ac:dyDescent="0.25">
      <c r="B413"/>
      <c r="C413"/>
      <c r="D413"/>
    </row>
    <row r="414" spans="2:4" x14ac:dyDescent="0.25">
      <c r="B414"/>
      <c r="C414"/>
      <c r="D414"/>
    </row>
    <row r="415" spans="2:4" x14ac:dyDescent="0.25">
      <c r="B415"/>
      <c r="C415"/>
      <c r="D415"/>
    </row>
    <row r="416" spans="2:4" x14ac:dyDescent="0.25">
      <c r="B416"/>
      <c r="C416"/>
      <c r="D416"/>
    </row>
    <row r="417" spans="2:4" x14ac:dyDescent="0.25">
      <c r="B417"/>
      <c r="C417"/>
      <c r="D417"/>
    </row>
    <row r="418" spans="2:4" x14ac:dyDescent="0.25">
      <c r="B418"/>
      <c r="C418"/>
      <c r="D418"/>
    </row>
    <row r="419" spans="2:4" x14ac:dyDescent="0.25">
      <c r="B419"/>
      <c r="C419"/>
      <c r="D419"/>
    </row>
    <row r="420" spans="2:4" x14ac:dyDescent="0.25">
      <c r="B420"/>
      <c r="C420"/>
      <c r="D420"/>
    </row>
    <row r="421" spans="2:4" x14ac:dyDescent="0.25">
      <c r="B421"/>
      <c r="C421"/>
      <c r="D421"/>
    </row>
    <row r="422" spans="2:4" x14ac:dyDescent="0.25">
      <c r="B422"/>
      <c r="C422"/>
      <c r="D422"/>
    </row>
    <row r="423" spans="2:4" x14ac:dyDescent="0.25">
      <c r="B423"/>
      <c r="C423"/>
      <c r="D423"/>
    </row>
    <row r="424" spans="2:4" x14ac:dyDescent="0.25">
      <c r="B424"/>
      <c r="C424"/>
      <c r="D424"/>
    </row>
    <row r="425" spans="2:4" x14ac:dyDescent="0.25">
      <c r="B425"/>
      <c r="C425"/>
      <c r="D425"/>
    </row>
    <row r="426" spans="2:4" x14ac:dyDescent="0.25">
      <c r="B426"/>
      <c r="C426"/>
      <c r="D426"/>
    </row>
    <row r="427" spans="2:4" x14ac:dyDescent="0.25">
      <c r="B427"/>
      <c r="C427"/>
      <c r="D427"/>
    </row>
    <row r="428" spans="2:4" x14ac:dyDescent="0.25">
      <c r="B428"/>
      <c r="C428"/>
      <c r="D428"/>
    </row>
    <row r="429" spans="2:4" x14ac:dyDescent="0.25">
      <c r="B429"/>
      <c r="C429"/>
      <c r="D429"/>
    </row>
    <row r="430" spans="2:4" x14ac:dyDescent="0.25">
      <c r="B430"/>
      <c r="C430"/>
      <c r="D430"/>
    </row>
    <row r="431" spans="2:4" x14ac:dyDescent="0.25">
      <c r="B431"/>
      <c r="C431"/>
      <c r="D431"/>
    </row>
    <row r="432" spans="2:4" x14ac:dyDescent="0.25">
      <c r="B432"/>
      <c r="C432"/>
      <c r="D432"/>
    </row>
    <row r="433" spans="2:4" x14ac:dyDescent="0.25">
      <c r="B433"/>
      <c r="C433"/>
      <c r="D433"/>
    </row>
    <row r="434" spans="2:4" x14ac:dyDescent="0.25">
      <c r="B434"/>
      <c r="C434"/>
      <c r="D434"/>
    </row>
    <row r="435" spans="2:4" x14ac:dyDescent="0.25">
      <c r="B435"/>
      <c r="C435"/>
      <c r="D435"/>
    </row>
    <row r="436" spans="2:4" x14ac:dyDescent="0.25">
      <c r="B436"/>
      <c r="C436"/>
      <c r="D436"/>
    </row>
    <row r="437" spans="2:4" x14ac:dyDescent="0.25">
      <c r="B437"/>
      <c r="C437"/>
      <c r="D437"/>
    </row>
    <row r="438" spans="2:4" x14ac:dyDescent="0.25">
      <c r="B438"/>
      <c r="C438"/>
      <c r="D438"/>
    </row>
    <row r="439" spans="2:4" x14ac:dyDescent="0.25">
      <c r="B439"/>
      <c r="C439"/>
      <c r="D439"/>
    </row>
    <row r="440" spans="2:4" x14ac:dyDescent="0.25">
      <c r="B440"/>
      <c r="C440"/>
      <c r="D440"/>
    </row>
    <row r="441" spans="2:4" x14ac:dyDescent="0.25">
      <c r="B441"/>
      <c r="C441"/>
      <c r="D441"/>
    </row>
    <row r="442" spans="2:4" x14ac:dyDescent="0.25">
      <c r="B442"/>
      <c r="C442"/>
      <c r="D442"/>
    </row>
    <row r="443" spans="2:4" x14ac:dyDescent="0.25">
      <c r="B443"/>
      <c r="C443"/>
      <c r="D443"/>
    </row>
    <row r="444" spans="2:4" x14ac:dyDescent="0.25">
      <c r="B444"/>
      <c r="C444"/>
      <c r="D444"/>
    </row>
    <row r="445" spans="2:4" x14ac:dyDescent="0.25">
      <c r="B445"/>
      <c r="C445"/>
      <c r="D445"/>
    </row>
    <row r="446" spans="2:4" x14ac:dyDescent="0.25">
      <c r="B446"/>
      <c r="C446"/>
      <c r="D446"/>
    </row>
    <row r="447" spans="2:4" x14ac:dyDescent="0.25">
      <c r="B447"/>
      <c r="C447"/>
      <c r="D447"/>
    </row>
    <row r="448" spans="2:4" x14ac:dyDescent="0.25">
      <c r="B448"/>
      <c r="C448"/>
      <c r="D448"/>
    </row>
    <row r="449" spans="2:4" x14ac:dyDescent="0.25">
      <c r="B449"/>
      <c r="C449"/>
      <c r="D449"/>
    </row>
    <row r="450" spans="2:4" x14ac:dyDescent="0.25">
      <c r="B450"/>
      <c r="C450"/>
      <c r="D450"/>
    </row>
    <row r="451" spans="2:4" x14ac:dyDescent="0.25">
      <c r="B451"/>
      <c r="C451"/>
      <c r="D451"/>
    </row>
    <row r="452" spans="2:4" x14ac:dyDescent="0.25">
      <c r="B452"/>
      <c r="C452"/>
      <c r="D452"/>
    </row>
    <row r="453" spans="2:4" x14ac:dyDescent="0.25">
      <c r="B453"/>
      <c r="C453"/>
      <c r="D453"/>
    </row>
    <row r="454" spans="2:4" x14ac:dyDescent="0.25">
      <c r="B454"/>
      <c r="C454"/>
      <c r="D454"/>
    </row>
    <row r="455" spans="2:4" x14ac:dyDescent="0.25">
      <c r="B455"/>
      <c r="C455"/>
      <c r="D455"/>
    </row>
    <row r="456" spans="2:4" x14ac:dyDescent="0.25">
      <c r="B456"/>
      <c r="C456"/>
      <c r="D456"/>
    </row>
    <row r="457" spans="2:4" x14ac:dyDescent="0.25">
      <c r="B457"/>
      <c r="C457"/>
      <c r="D457"/>
    </row>
    <row r="458" spans="2:4" x14ac:dyDescent="0.25">
      <c r="B458"/>
      <c r="C458"/>
      <c r="D458"/>
    </row>
    <row r="459" spans="2:4" x14ac:dyDescent="0.25">
      <c r="B459"/>
      <c r="C459"/>
      <c r="D459"/>
    </row>
    <row r="460" spans="2:4" x14ac:dyDescent="0.25">
      <c r="B460"/>
      <c r="C460"/>
      <c r="D460"/>
    </row>
    <row r="461" spans="2:4" x14ac:dyDescent="0.25">
      <c r="B461"/>
      <c r="C461"/>
      <c r="D461"/>
    </row>
    <row r="462" spans="2:4" x14ac:dyDescent="0.25">
      <c r="B462"/>
      <c r="C462"/>
      <c r="D462"/>
    </row>
    <row r="463" spans="2:4" x14ac:dyDescent="0.25">
      <c r="B463"/>
      <c r="C463"/>
      <c r="D463"/>
    </row>
    <row r="464" spans="2:4" x14ac:dyDescent="0.25">
      <c r="B464"/>
      <c r="C464"/>
      <c r="D464"/>
    </row>
    <row r="465" spans="2:4" x14ac:dyDescent="0.25">
      <c r="B465"/>
      <c r="C465"/>
      <c r="D465"/>
    </row>
    <row r="466" spans="2:4" x14ac:dyDescent="0.25">
      <c r="B466"/>
      <c r="C466"/>
      <c r="D466"/>
    </row>
    <row r="467" spans="2:4" x14ac:dyDescent="0.25">
      <c r="B467"/>
      <c r="C467"/>
      <c r="D467"/>
    </row>
    <row r="468" spans="2:4" x14ac:dyDescent="0.25">
      <c r="B468"/>
      <c r="C468"/>
      <c r="D468"/>
    </row>
    <row r="469" spans="2:4" x14ac:dyDescent="0.25">
      <c r="B469"/>
      <c r="C469"/>
      <c r="D469"/>
    </row>
    <row r="470" spans="2:4" x14ac:dyDescent="0.25">
      <c r="B470"/>
      <c r="C470"/>
      <c r="D470"/>
    </row>
    <row r="471" spans="2:4" x14ac:dyDescent="0.25">
      <c r="B471"/>
      <c r="C471"/>
      <c r="D471"/>
    </row>
    <row r="472" spans="2:4" x14ac:dyDescent="0.25">
      <c r="B472"/>
      <c r="C472"/>
      <c r="D472"/>
    </row>
    <row r="473" spans="2:4" x14ac:dyDescent="0.25">
      <c r="B473"/>
      <c r="C473"/>
      <c r="D473"/>
    </row>
    <row r="474" spans="2:4" x14ac:dyDescent="0.25">
      <c r="B474"/>
      <c r="C474"/>
      <c r="D474"/>
    </row>
    <row r="475" spans="2:4" x14ac:dyDescent="0.25">
      <c r="B475"/>
      <c r="C475"/>
      <c r="D475"/>
    </row>
    <row r="476" spans="2:4" x14ac:dyDescent="0.25">
      <c r="B476"/>
      <c r="C476"/>
      <c r="D476"/>
    </row>
    <row r="477" spans="2:4" x14ac:dyDescent="0.25">
      <c r="B477"/>
      <c r="C477"/>
      <c r="D477"/>
    </row>
    <row r="478" spans="2:4" x14ac:dyDescent="0.25">
      <c r="B478"/>
      <c r="C478"/>
      <c r="D478"/>
    </row>
    <row r="479" spans="2:4" x14ac:dyDescent="0.25">
      <c r="B479"/>
      <c r="C479"/>
      <c r="D479"/>
    </row>
    <row r="480" spans="2:4" x14ac:dyDescent="0.25">
      <c r="B480"/>
      <c r="C480"/>
      <c r="D480"/>
    </row>
    <row r="481" spans="2:4" x14ac:dyDescent="0.25">
      <c r="B481"/>
      <c r="C481"/>
      <c r="D481"/>
    </row>
    <row r="482" spans="2:4" x14ac:dyDescent="0.25">
      <c r="B482"/>
      <c r="C482"/>
      <c r="D482"/>
    </row>
    <row r="483" spans="2:4" x14ac:dyDescent="0.25">
      <c r="B483"/>
      <c r="C483"/>
      <c r="D483"/>
    </row>
    <row r="484" spans="2:4" x14ac:dyDescent="0.25">
      <c r="B484"/>
      <c r="C484"/>
      <c r="D484"/>
    </row>
    <row r="485" spans="2:4" x14ac:dyDescent="0.25">
      <c r="B485"/>
      <c r="C485"/>
      <c r="D485"/>
    </row>
    <row r="486" spans="2:4" x14ac:dyDescent="0.25">
      <c r="B486"/>
      <c r="C486"/>
      <c r="D486"/>
    </row>
    <row r="487" spans="2:4" x14ac:dyDescent="0.25">
      <c r="B487"/>
      <c r="C487"/>
      <c r="D487"/>
    </row>
    <row r="488" spans="2:4" x14ac:dyDescent="0.25">
      <c r="B488"/>
      <c r="C488"/>
      <c r="D488"/>
    </row>
    <row r="489" spans="2:4" x14ac:dyDescent="0.25">
      <c r="B489"/>
      <c r="C489"/>
      <c r="D489"/>
    </row>
    <row r="490" spans="2:4" x14ac:dyDescent="0.25">
      <c r="B490"/>
      <c r="C490"/>
      <c r="D490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60" fitToHeight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FF053-F5E1-4427-8205-7C593702C347}">
  <sheetPr>
    <tabColor theme="3" tint="-0.249977111117893"/>
    <pageSetUpPr fitToPage="1"/>
  </sheetPr>
  <dimension ref="B1:F74"/>
  <sheetViews>
    <sheetView showGridLines="0" view="pageBreakPreview" zoomScaleNormal="100" zoomScaleSheetLayoutView="100" workbookViewId="0">
      <selection activeCell="E13" sqref="E13"/>
    </sheetView>
  </sheetViews>
  <sheetFormatPr defaultColWidth="9" defaultRowHeight="15.75" x14ac:dyDescent="0.25"/>
  <cols>
    <col min="1" max="1" width="0.875" style="342" customWidth="1"/>
    <col min="2" max="2" width="60.625" style="342" customWidth="1"/>
    <col min="3" max="3" width="35.625" style="342" customWidth="1"/>
    <col min="4" max="6" width="15.625" style="342" customWidth="1"/>
    <col min="7" max="7" width="0.875" style="342" customWidth="1"/>
    <col min="8" max="16384" width="9" style="342"/>
  </cols>
  <sheetData>
    <row r="1" spans="2:6" ht="5.0999999999999996" customHeight="1" x14ac:dyDescent="0.25"/>
    <row r="2" spans="2:6" ht="24.75" x14ac:dyDescent="0.25">
      <c r="B2" s="465" t="s">
        <v>2583</v>
      </c>
      <c r="C2" s="465"/>
      <c r="D2" s="465"/>
      <c r="E2" s="465"/>
      <c r="F2" s="465"/>
    </row>
    <row r="3" spans="2:6" ht="5.0999999999999996" customHeight="1" x14ac:dyDescent="0.25"/>
    <row r="4" spans="2:6" x14ac:dyDescent="0.25">
      <c r="B4" s="343" t="s">
        <v>1552</v>
      </c>
      <c r="C4" s="344" t="s">
        <v>2671</v>
      </c>
    </row>
    <row r="5" spans="2:6" x14ac:dyDescent="0.25">
      <c r="B5" s="343" t="s">
        <v>1555</v>
      </c>
      <c r="C5" s="344" t="s">
        <v>2557</v>
      </c>
    </row>
    <row r="6" spans="2:6" ht="5.0999999999999996" customHeight="1" x14ac:dyDescent="0.25"/>
    <row r="7" spans="2:6" hidden="1" x14ac:dyDescent="0.25">
      <c r="B7" s="343" t="s">
        <v>2593</v>
      </c>
      <c r="C7" s="343" t="s">
        <v>1561</v>
      </c>
      <c r="D7"/>
      <c r="E7"/>
      <c r="F7"/>
    </row>
    <row r="8" spans="2:6" x14ac:dyDescent="0.25">
      <c r="B8" s="349" t="s">
        <v>2571</v>
      </c>
      <c r="C8" s="350" t="s">
        <v>1562</v>
      </c>
      <c r="D8"/>
      <c r="E8"/>
      <c r="F8"/>
    </row>
    <row r="9" spans="2:6" x14ac:dyDescent="0.25">
      <c r="B9" s="345" t="s">
        <v>1562</v>
      </c>
      <c r="C9" s="346">
        <v>0</v>
      </c>
      <c r="D9"/>
      <c r="E9"/>
      <c r="F9"/>
    </row>
    <row r="10" spans="2:6" x14ac:dyDescent="0.25">
      <c r="B10"/>
      <c r="C10"/>
      <c r="D10"/>
      <c r="E10"/>
      <c r="F10"/>
    </row>
    <row r="11" spans="2:6" x14ac:dyDescent="0.25">
      <c r="B11"/>
      <c r="C11"/>
      <c r="D11"/>
      <c r="E11"/>
      <c r="F11"/>
    </row>
    <row r="12" spans="2:6" x14ac:dyDescent="0.25">
      <c r="B12"/>
      <c r="C12"/>
      <c r="D12"/>
      <c r="E12"/>
      <c r="F12"/>
    </row>
    <row r="13" spans="2:6" x14ac:dyDescent="0.25">
      <c r="B13"/>
      <c r="C13"/>
      <c r="D13"/>
      <c r="E13"/>
      <c r="F13"/>
    </row>
    <row r="14" spans="2:6" x14ac:dyDescent="0.25">
      <c r="B14"/>
      <c r="C14"/>
      <c r="D14"/>
      <c r="E14"/>
      <c r="F14"/>
    </row>
    <row r="15" spans="2:6" x14ac:dyDescent="0.25">
      <c r="B15"/>
      <c r="C15"/>
      <c r="D15"/>
      <c r="E15"/>
      <c r="F15"/>
    </row>
    <row r="16" spans="2:6" x14ac:dyDescent="0.25">
      <c r="B16"/>
      <c r="C16"/>
      <c r="D16"/>
      <c r="E16"/>
      <c r="F16"/>
    </row>
    <row r="17" spans="2:6" x14ac:dyDescent="0.25">
      <c r="B17"/>
      <c r="C17"/>
      <c r="D17"/>
      <c r="E17"/>
      <c r="F17"/>
    </row>
    <row r="18" spans="2:6" x14ac:dyDescent="0.25">
      <c r="B18"/>
      <c r="C18"/>
      <c r="D18"/>
      <c r="E18"/>
      <c r="F18"/>
    </row>
    <row r="19" spans="2:6" x14ac:dyDescent="0.25">
      <c r="B19"/>
      <c r="C19"/>
      <c r="D19"/>
      <c r="E19"/>
      <c r="F19"/>
    </row>
    <row r="20" spans="2:6" x14ac:dyDescent="0.25">
      <c r="B20"/>
      <c r="C20"/>
      <c r="D20"/>
      <c r="E20"/>
      <c r="F20"/>
    </row>
    <row r="21" spans="2:6" x14ac:dyDescent="0.25">
      <c r="B21"/>
      <c r="C21"/>
      <c r="D21"/>
      <c r="E21"/>
      <c r="F21"/>
    </row>
    <row r="22" spans="2:6" x14ac:dyDescent="0.25">
      <c r="B22"/>
      <c r="C22"/>
      <c r="D22"/>
      <c r="E22"/>
      <c r="F22"/>
    </row>
    <row r="23" spans="2:6" x14ac:dyDescent="0.25">
      <c r="B23"/>
      <c r="C23"/>
      <c r="D23"/>
      <c r="E23"/>
      <c r="F23"/>
    </row>
    <row r="24" spans="2:6" x14ac:dyDescent="0.25">
      <c r="B24"/>
      <c r="C24"/>
      <c r="D24"/>
      <c r="E24"/>
      <c r="F24"/>
    </row>
    <row r="25" spans="2:6" x14ac:dyDescent="0.25">
      <c r="B25"/>
      <c r="C25"/>
      <c r="D25"/>
      <c r="E25"/>
      <c r="F25"/>
    </row>
    <row r="26" spans="2:6" x14ac:dyDescent="0.25">
      <c r="B26"/>
      <c r="C26"/>
      <c r="D26"/>
      <c r="E26"/>
      <c r="F26"/>
    </row>
    <row r="27" spans="2:6" x14ac:dyDescent="0.25">
      <c r="B27"/>
      <c r="C27"/>
      <c r="D27"/>
      <c r="E27"/>
      <c r="F27"/>
    </row>
    <row r="28" spans="2:6" x14ac:dyDescent="0.25">
      <c r="B28"/>
      <c r="C28"/>
      <c r="D28"/>
      <c r="E28"/>
      <c r="F28"/>
    </row>
    <row r="29" spans="2:6" x14ac:dyDescent="0.25">
      <c r="B29"/>
      <c r="C29"/>
      <c r="D29"/>
      <c r="E29"/>
      <c r="F29"/>
    </row>
    <row r="30" spans="2:6" x14ac:dyDescent="0.25">
      <c r="B30"/>
      <c r="C30"/>
      <c r="D30"/>
      <c r="E30"/>
      <c r="F30"/>
    </row>
    <row r="31" spans="2:6" x14ac:dyDescent="0.25">
      <c r="B31"/>
      <c r="C31"/>
      <c r="D31"/>
      <c r="E31"/>
      <c r="F31"/>
    </row>
    <row r="32" spans="2:6" x14ac:dyDescent="0.25">
      <c r="B32"/>
      <c r="C32"/>
      <c r="D32"/>
      <c r="E32"/>
      <c r="F32"/>
    </row>
    <row r="33" spans="2:6" x14ac:dyDescent="0.25">
      <c r="B33"/>
      <c r="C33"/>
      <c r="D33"/>
      <c r="E33"/>
      <c r="F33"/>
    </row>
    <row r="34" spans="2:6" x14ac:dyDescent="0.25">
      <c r="B34"/>
      <c r="C34"/>
      <c r="D34"/>
      <c r="E34"/>
      <c r="F34"/>
    </row>
    <row r="35" spans="2:6" x14ac:dyDescent="0.25">
      <c r="B35"/>
      <c r="C35"/>
      <c r="D35"/>
      <c r="E35"/>
      <c r="F35"/>
    </row>
    <row r="36" spans="2:6" x14ac:dyDescent="0.25">
      <c r="B36"/>
      <c r="C36"/>
      <c r="D36"/>
      <c r="E36"/>
      <c r="F36"/>
    </row>
    <row r="37" spans="2:6" x14ac:dyDescent="0.25">
      <c r="B37"/>
      <c r="C37"/>
      <c r="D37"/>
      <c r="E37"/>
      <c r="F37"/>
    </row>
    <row r="38" spans="2:6" x14ac:dyDescent="0.25">
      <c r="B38"/>
      <c r="C38"/>
      <c r="D38"/>
      <c r="E38"/>
      <c r="F38"/>
    </row>
    <row r="39" spans="2:6" x14ac:dyDescent="0.25">
      <c r="B39"/>
      <c r="C39"/>
      <c r="D39"/>
      <c r="E39"/>
      <c r="F39"/>
    </row>
    <row r="40" spans="2:6" x14ac:dyDescent="0.25">
      <c r="B40"/>
      <c r="C40"/>
      <c r="D40"/>
      <c r="E40"/>
      <c r="F40"/>
    </row>
    <row r="41" spans="2:6" x14ac:dyDescent="0.25">
      <c r="B41"/>
      <c r="C41"/>
      <c r="D41"/>
      <c r="E41"/>
      <c r="F41"/>
    </row>
    <row r="42" spans="2:6" x14ac:dyDescent="0.25">
      <c r="B42"/>
      <c r="C42"/>
      <c r="D42"/>
      <c r="E42"/>
      <c r="F42"/>
    </row>
    <row r="43" spans="2:6" x14ac:dyDescent="0.25">
      <c r="B43"/>
      <c r="C43"/>
      <c r="D43"/>
      <c r="E43"/>
      <c r="F43"/>
    </row>
    <row r="44" spans="2:6" x14ac:dyDescent="0.25">
      <c r="B44"/>
      <c r="C44"/>
      <c r="D44"/>
      <c r="E44"/>
      <c r="F44"/>
    </row>
    <row r="45" spans="2:6" x14ac:dyDescent="0.25">
      <c r="B45"/>
      <c r="C45"/>
      <c r="D45"/>
      <c r="E45"/>
      <c r="F45"/>
    </row>
    <row r="46" spans="2:6" x14ac:dyDescent="0.25">
      <c r="B46"/>
      <c r="C46"/>
      <c r="D46"/>
      <c r="E46"/>
      <c r="F46"/>
    </row>
    <row r="47" spans="2:6" x14ac:dyDescent="0.25">
      <c r="B47"/>
      <c r="C47"/>
      <c r="D47"/>
      <c r="E47"/>
      <c r="F47"/>
    </row>
    <row r="48" spans="2:6" x14ac:dyDescent="0.25">
      <c r="B48"/>
      <c r="C48"/>
      <c r="D48"/>
      <c r="E48"/>
      <c r="F48"/>
    </row>
    <row r="49" spans="2:6" x14ac:dyDescent="0.25">
      <c r="B49"/>
      <c r="C49"/>
      <c r="D49"/>
      <c r="E49"/>
      <c r="F49"/>
    </row>
    <row r="50" spans="2:6" x14ac:dyDescent="0.25">
      <c r="B50"/>
      <c r="C50"/>
      <c r="D50"/>
      <c r="E50"/>
      <c r="F50"/>
    </row>
    <row r="51" spans="2:6" x14ac:dyDescent="0.25">
      <c r="B51"/>
      <c r="C51"/>
      <c r="D51"/>
      <c r="E51"/>
      <c r="F51"/>
    </row>
    <row r="52" spans="2:6" x14ac:dyDescent="0.25">
      <c r="B52"/>
      <c r="C52"/>
      <c r="D52"/>
      <c r="E52"/>
      <c r="F52"/>
    </row>
    <row r="53" spans="2:6" x14ac:dyDescent="0.25">
      <c r="B53"/>
      <c r="C53"/>
      <c r="D53"/>
      <c r="E53"/>
    </row>
    <row r="54" spans="2:6" x14ac:dyDescent="0.25">
      <c r="B54"/>
      <c r="C54"/>
      <c r="D54"/>
      <c r="E54"/>
    </row>
    <row r="55" spans="2:6" x14ac:dyDescent="0.25">
      <c r="B55"/>
      <c r="C55"/>
      <c r="D55"/>
      <c r="E55"/>
    </row>
    <row r="56" spans="2:6" x14ac:dyDescent="0.25">
      <c r="B56"/>
      <c r="C56"/>
      <c r="D56"/>
      <c r="E56"/>
    </row>
    <row r="57" spans="2:6" x14ac:dyDescent="0.25">
      <c r="B57"/>
      <c r="C57"/>
      <c r="D57"/>
      <c r="E57"/>
    </row>
    <row r="58" spans="2:6" x14ac:dyDescent="0.25">
      <c r="B58"/>
      <c r="C58"/>
      <c r="D58"/>
      <c r="E58"/>
    </row>
    <row r="59" spans="2:6" x14ac:dyDescent="0.25">
      <c r="B59"/>
      <c r="C59"/>
      <c r="D59"/>
      <c r="E59"/>
    </row>
    <row r="60" spans="2:6" x14ac:dyDescent="0.25">
      <c r="B60"/>
      <c r="C60"/>
      <c r="D60"/>
      <c r="E60"/>
    </row>
    <row r="61" spans="2:6" x14ac:dyDescent="0.25">
      <c r="B61"/>
      <c r="C61"/>
      <c r="D61"/>
      <c r="E61"/>
    </row>
    <row r="62" spans="2:6" x14ac:dyDescent="0.25">
      <c r="B62"/>
      <c r="C62"/>
      <c r="D62"/>
      <c r="E62"/>
    </row>
    <row r="63" spans="2:6" x14ac:dyDescent="0.25">
      <c r="B63"/>
      <c r="C63"/>
      <c r="D63"/>
      <c r="E63"/>
    </row>
    <row r="64" spans="2:6" x14ac:dyDescent="0.25">
      <c r="B64"/>
      <c r="C64"/>
      <c r="D64"/>
      <c r="E64"/>
    </row>
    <row r="65" spans="2:5" x14ac:dyDescent="0.25">
      <c r="B65"/>
      <c r="C65"/>
      <c r="D65"/>
      <c r="E65"/>
    </row>
    <row r="66" spans="2:5" x14ac:dyDescent="0.25">
      <c r="B66"/>
      <c r="C66"/>
      <c r="D66"/>
      <c r="E66"/>
    </row>
    <row r="67" spans="2:5" x14ac:dyDescent="0.25">
      <c r="B67"/>
      <c r="C67"/>
      <c r="D67"/>
      <c r="E67"/>
    </row>
    <row r="68" spans="2:5" x14ac:dyDescent="0.25">
      <c r="B68"/>
      <c r="C68"/>
      <c r="D68"/>
      <c r="E68"/>
    </row>
    <row r="69" spans="2:5" x14ac:dyDescent="0.25">
      <c r="B69"/>
      <c r="C69"/>
      <c r="D69"/>
      <c r="E69"/>
    </row>
    <row r="70" spans="2:5" x14ac:dyDescent="0.25">
      <c r="B70"/>
      <c r="C70"/>
      <c r="D70"/>
      <c r="E70"/>
    </row>
    <row r="71" spans="2:5" x14ac:dyDescent="0.25">
      <c r="B71"/>
      <c r="C71"/>
      <c r="D71"/>
      <c r="E71"/>
    </row>
    <row r="72" spans="2:5" x14ac:dyDescent="0.25">
      <c r="B72"/>
      <c r="C72"/>
      <c r="D72"/>
      <c r="E72"/>
    </row>
    <row r="73" spans="2:5" x14ac:dyDescent="0.25">
      <c r="B73"/>
      <c r="C73"/>
      <c r="D73"/>
      <c r="E73"/>
    </row>
    <row r="74" spans="2:5" x14ac:dyDescent="0.25">
      <c r="B74"/>
      <c r="C74"/>
      <c r="D74"/>
      <c r="E74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60" fitToHeight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25A61-6E38-43AF-9583-0156ED776670}">
  <sheetPr>
    <tabColor theme="3" tint="-0.249977111117893"/>
    <pageSetUpPr fitToPage="1"/>
  </sheetPr>
  <dimension ref="B1:F48"/>
  <sheetViews>
    <sheetView showGridLines="0" view="pageBreakPreview" zoomScaleNormal="100" zoomScaleSheetLayoutView="100" workbookViewId="0">
      <selection activeCell="H17" sqref="H17"/>
    </sheetView>
  </sheetViews>
  <sheetFormatPr defaultColWidth="9" defaultRowHeight="15.75" x14ac:dyDescent="0.25"/>
  <cols>
    <col min="1" max="1" width="0.875" style="342" customWidth="1"/>
    <col min="2" max="2" width="60.625" style="342" customWidth="1"/>
    <col min="3" max="3" width="35.625" style="342" customWidth="1"/>
    <col min="4" max="6" width="15.625" style="342" customWidth="1"/>
    <col min="7" max="7" width="0.875" style="342" customWidth="1"/>
    <col min="8" max="8" width="10.5" style="342" bestFit="1" customWidth="1"/>
    <col min="9" max="16384" width="9" style="342"/>
  </cols>
  <sheetData>
    <row r="1" spans="2:6" ht="5.0999999999999996" customHeight="1" x14ac:dyDescent="0.25"/>
    <row r="2" spans="2:6" ht="24.75" x14ac:dyDescent="0.25">
      <c r="B2" s="465" t="s">
        <v>2584</v>
      </c>
      <c r="C2" s="465"/>
      <c r="D2" s="465"/>
      <c r="E2" s="465"/>
      <c r="F2" s="465"/>
    </row>
    <row r="3" spans="2:6" ht="5.0999999999999996" customHeight="1" x14ac:dyDescent="0.25"/>
    <row r="4" spans="2:6" x14ac:dyDescent="0.25">
      <c r="B4" s="347" t="s">
        <v>1552</v>
      </c>
      <c r="C4" s="344" t="s">
        <v>2671</v>
      </c>
    </row>
    <row r="5" spans="2:6" x14ac:dyDescent="0.25">
      <c r="B5" s="347" t="s">
        <v>1555</v>
      </c>
      <c r="C5" s="344" t="s">
        <v>2556</v>
      </c>
    </row>
    <row r="6" spans="2:6" ht="5.0999999999999996" customHeight="1" x14ac:dyDescent="0.25"/>
    <row r="7" spans="2:6" hidden="1" x14ac:dyDescent="0.25">
      <c r="B7" s="343" t="s">
        <v>2593</v>
      </c>
      <c r="C7" s="343" t="s">
        <v>1561</v>
      </c>
      <c r="D7"/>
      <c r="E7"/>
      <c r="F7"/>
    </row>
    <row r="8" spans="2:6" x14ac:dyDescent="0.25">
      <c r="B8" s="349" t="s">
        <v>2562</v>
      </c>
      <c r="C8" s="350" t="s">
        <v>1562</v>
      </c>
      <c r="D8"/>
      <c r="E8"/>
      <c r="F8"/>
    </row>
    <row r="9" spans="2:6" x14ac:dyDescent="0.25">
      <c r="B9" s="345" t="s">
        <v>1562</v>
      </c>
      <c r="C9" s="346">
        <v>0</v>
      </c>
      <c r="D9"/>
      <c r="E9"/>
      <c r="F9"/>
    </row>
    <row r="10" spans="2:6" x14ac:dyDescent="0.25">
      <c r="B10"/>
      <c r="C10"/>
      <c r="D10"/>
      <c r="E10"/>
      <c r="F10"/>
    </row>
    <row r="11" spans="2:6" x14ac:dyDescent="0.25">
      <c r="B11"/>
      <c r="C11"/>
      <c r="D11"/>
      <c r="E11"/>
      <c r="F11"/>
    </row>
    <row r="12" spans="2:6" x14ac:dyDescent="0.25">
      <c r="B12"/>
      <c r="C12"/>
      <c r="D12"/>
      <c r="E12"/>
      <c r="F12"/>
    </row>
    <row r="13" spans="2:6" x14ac:dyDescent="0.25">
      <c r="B13"/>
      <c r="C13"/>
      <c r="D13"/>
      <c r="E13"/>
      <c r="F13"/>
    </row>
    <row r="14" spans="2:6" x14ac:dyDescent="0.25">
      <c r="B14"/>
      <c r="C14"/>
      <c r="D14"/>
      <c r="E14"/>
      <c r="F14"/>
    </row>
    <row r="15" spans="2:6" x14ac:dyDescent="0.25">
      <c r="B15"/>
      <c r="C15"/>
      <c r="D15"/>
      <c r="E15"/>
      <c r="F15"/>
    </row>
    <row r="16" spans="2:6" x14ac:dyDescent="0.25">
      <c r="B16"/>
      <c r="C16"/>
      <c r="D16"/>
      <c r="E16"/>
      <c r="F16"/>
    </row>
    <row r="17" spans="2:6" x14ac:dyDescent="0.25">
      <c r="B17"/>
      <c r="C17"/>
      <c r="D17"/>
      <c r="E17"/>
      <c r="F17"/>
    </row>
    <row r="18" spans="2:6" x14ac:dyDescent="0.25">
      <c r="B18"/>
      <c r="C18"/>
      <c r="D18"/>
      <c r="E18"/>
      <c r="F18"/>
    </row>
    <row r="19" spans="2:6" x14ac:dyDescent="0.25">
      <c r="B19"/>
      <c r="C19"/>
      <c r="D19"/>
      <c r="E19"/>
      <c r="F19"/>
    </row>
    <row r="20" spans="2:6" x14ac:dyDescent="0.25">
      <c r="B20"/>
      <c r="C20"/>
      <c r="D20"/>
      <c r="E20"/>
      <c r="F20"/>
    </row>
    <row r="21" spans="2:6" x14ac:dyDescent="0.25">
      <c r="B21"/>
      <c r="C21"/>
      <c r="D21"/>
      <c r="E21"/>
      <c r="F21"/>
    </row>
    <row r="22" spans="2:6" x14ac:dyDescent="0.25">
      <c r="B22"/>
      <c r="C22"/>
      <c r="D22"/>
      <c r="E22"/>
      <c r="F22"/>
    </row>
    <row r="23" spans="2:6" x14ac:dyDescent="0.25">
      <c r="B23"/>
      <c r="C23"/>
      <c r="D23"/>
      <c r="E23"/>
      <c r="F23"/>
    </row>
    <row r="24" spans="2:6" x14ac:dyDescent="0.25">
      <c r="B24"/>
      <c r="C24"/>
      <c r="D24"/>
      <c r="E24"/>
      <c r="F24"/>
    </row>
    <row r="25" spans="2:6" x14ac:dyDescent="0.25">
      <c r="B25"/>
      <c r="C25"/>
      <c r="D25"/>
      <c r="E25"/>
      <c r="F25"/>
    </row>
    <row r="26" spans="2:6" x14ac:dyDescent="0.25">
      <c r="B26"/>
      <c r="C26"/>
      <c r="D26"/>
      <c r="E26"/>
      <c r="F26"/>
    </row>
    <row r="27" spans="2:6" x14ac:dyDescent="0.25">
      <c r="B27"/>
      <c r="C27"/>
      <c r="D27"/>
      <c r="E27"/>
      <c r="F27"/>
    </row>
    <row r="28" spans="2:6" x14ac:dyDescent="0.25">
      <c r="B28"/>
      <c r="C28"/>
      <c r="D28"/>
      <c r="E28"/>
      <c r="F28"/>
    </row>
    <row r="29" spans="2:6" x14ac:dyDescent="0.25">
      <c r="B29"/>
      <c r="C29"/>
      <c r="D29"/>
      <c r="E29"/>
      <c r="F29"/>
    </row>
    <row r="30" spans="2:6" x14ac:dyDescent="0.25">
      <c r="B30"/>
      <c r="C30"/>
      <c r="D30"/>
      <c r="E30"/>
      <c r="F30"/>
    </row>
    <row r="31" spans="2:6" x14ac:dyDescent="0.25">
      <c r="B31"/>
      <c r="C31"/>
      <c r="D31"/>
      <c r="E31"/>
      <c r="F31"/>
    </row>
    <row r="32" spans="2:6" x14ac:dyDescent="0.25">
      <c r="B32"/>
      <c r="C32"/>
      <c r="D32"/>
      <c r="E32"/>
      <c r="F32"/>
    </row>
    <row r="33" spans="2:6" x14ac:dyDescent="0.25">
      <c r="B33"/>
      <c r="C33"/>
      <c r="D33"/>
      <c r="E33"/>
      <c r="F33"/>
    </row>
    <row r="34" spans="2:6" x14ac:dyDescent="0.25">
      <c r="B34"/>
      <c r="C34"/>
      <c r="D34"/>
      <c r="E34"/>
      <c r="F34"/>
    </row>
    <row r="35" spans="2:6" x14ac:dyDescent="0.25">
      <c r="B35"/>
      <c r="C35"/>
      <c r="D35"/>
      <c r="E35"/>
      <c r="F35"/>
    </row>
    <row r="36" spans="2:6" x14ac:dyDescent="0.25">
      <c r="B36"/>
      <c r="C36"/>
      <c r="D36"/>
      <c r="E36"/>
      <c r="F36"/>
    </row>
    <row r="37" spans="2:6" x14ac:dyDescent="0.25">
      <c r="B37"/>
      <c r="C37"/>
      <c r="D37"/>
      <c r="E37"/>
      <c r="F37"/>
    </row>
    <row r="38" spans="2:6" x14ac:dyDescent="0.25">
      <c r="B38"/>
      <c r="C38"/>
      <c r="D38"/>
      <c r="E38"/>
      <c r="F38"/>
    </row>
    <row r="39" spans="2:6" x14ac:dyDescent="0.25">
      <c r="B39"/>
      <c r="C39"/>
      <c r="D39"/>
      <c r="E39"/>
      <c r="F39"/>
    </row>
    <row r="40" spans="2:6" x14ac:dyDescent="0.25">
      <c r="B40"/>
      <c r="C40"/>
      <c r="D40"/>
      <c r="E40"/>
      <c r="F40"/>
    </row>
    <row r="41" spans="2:6" x14ac:dyDescent="0.25">
      <c r="B41"/>
      <c r="C41"/>
      <c r="D41"/>
      <c r="E41"/>
      <c r="F41"/>
    </row>
    <row r="42" spans="2:6" x14ac:dyDescent="0.25">
      <c r="B42"/>
      <c r="C42"/>
      <c r="D42"/>
      <c r="E42"/>
      <c r="F42"/>
    </row>
    <row r="43" spans="2:6" x14ac:dyDescent="0.25">
      <c r="B43"/>
      <c r="C43"/>
      <c r="D43"/>
      <c r="E43"/>
      <c r="F43"/>
    </row>
    <row r="44" spans="2:6" x14ac:dyDescent="0.25">
      <c r="B44"/>
      <c r="C44"/>
      <c r="D44"/>
      <c r="E44"/>
      <c r="F44"/>
    </row>
    <row r="45" spans="2:6" x14ac:dyDescent="0.25">
      <c r="B45"/>
      <c r="C45"/>
      <c r="D45"/>
    </row>
    <row r="46" spans="2:6" x14ac:dyDescent="0.25">
      <c r="B46"/>
      <c r="C46"/>
      <c r="D46"/>
    </row>
    <row r="47" spans="2:6" x14ac:dyDescent="0.25">
      <c r="B47"/>
      <c r="C47"/>
      <c r="D47"/>
    </row>
    <row r="48" spans="2:6" x14ac:dyDescent="0.25">
      <c r="B48"/>
      <c r="C48"/>
      <c r="D48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60" fitToHeight="10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1005C-1408-41D5-A39D-30799B680556}">
  <sheetPr>
    <tabColor rgb="FFFFFFCC"/>
  </sheetPr>
  <dimension ref="A1:AL334"/>
  <sheetViews>
    <sheetView workbookViewId="0">
      <pane ySplit="1" topLeftCell="A2" activePane="bottomLeft" state="frozen"/>
      <selection pane="bottomLeft" activeCell="A2" sqref="A2:XFD334"/>
    </sheetView>
  </sheetViews>
  <sheetFormatPr defaultColWidth="9" defaultRowHeight="15.75" x14ac:dyDescent="0.25"/>
  <cols>
    <col min="1" max="1" width="7.875" style="207" bestFit="1" customWidth="1"/>
    <col min="2" max="2" width="8.5" style="207" bestFit="1" customWidth="1"/>
    <col min="3" max="4" width="9" style="207"/>
    <col min="5" max="5" width="20.375" style="207" bestFit="1" customWidth="1"/>
    <col min="6" max="6" width="8.875" style="207" bestFit="1" customWidth="1"/>
    <col min="7" max="7" width="7.375" style="207" bestFit="1" customWidth="1"/>
    <col min="8" max="8" width="9" style="207"/>
    <col min="9" max="9" width="8.25" style="207" bestFit="1" customWidth="1"/>
    <col min="10" max="10" width="10.125" style="207" bestFit="1" customWidth="1"/>
    <col min="11" max="11" width="9" style="207"/>
    <col min="12" max="12" width="8.5" style="207" bestFit="1" customWidth="1"/>
    <col min="13" max="13" width="8.75" style="207" bestFit="1" customWidth="1"/>
    <col min="14" max="14" width="7.5" style="207" bestFit="1" customWidth="1"/>
    <col min="15" max="15" width="8.625" style="207" bestFit="1" customWidth="1"/>
    <col min="16" max="16" width="31.875" style="207" bestFit="1" customWidth="1"/>
    <col min="17" max="18" width="8.875" style="207" bestFit="1" customWidth="1"/>
    <col min="19" max="19" width="8" style="207" bestFit="1" customWidth="1"/>
    <col min="20" max="20" width="6.625" style="207" bestFit="1" customWidth="1"/>
    <col min="21" max="21" width="36.125" style="207" bestFit="1" customWidth="1"/>
    <col min="22" max="22" width="8.5" style="207" bestFit="1" customWidth="1"/>
    <col min="23" max="23" width="9" style="207"/>
    <col min="24" max="24" width="10.5" style="207" bestFit="1" customWidth="1"/>
    <col min="25" max="25" width="8.25" style="207" bestFit="1" customWidth="1"/>
    <col min="26" max="26" width="7.375" style="207" bestFit="1" customWidth="1"/>
    <col min="27" max="27" width="9" style="207"/>
    <col min="28" max="28" width="8.25" style="207" bestFit="1" customWidth="1"/>
    <col min="29" max="29" width="8.5" style="207" bestFit="1" customWidth="1"/>
    <col min="30" max="31" width="8.875" style="207" bestFit="1" customWidth="1"/>
    <col min="32" max="32" width="8.25" style="207" bestFit="1" customWidth="1"/>
    <col min="33" max="33" width="8.75" style="207" bestFit="1" customWidth="1"/>
    <col min="34" max="35" width="8.625" style="207" bestFit="1" customWidth="1"/>
    <col min="36" max="36" width="8.25" style="207" bestFit="1" customWidth="1"/>
    <col min="37" max="37" width="20.375" style="207" bestFit="1" customWidth="1"/>
    <col min="38" max="38" width="8.875" style="207" bestFit="1" customWidth="1"/>
    <col min="39" max="16384" width="9" style="207"/>
  </cols>
  <sheetData>
    <row r="1" spans="1:38" ht="126" x14ac:dyDescent="0.25">
      <c r="A1" s="428" t="s">
        <v>1203</v>
      </c>
      <c r="B1" s="428" t="s">
        <v>1204</v>
      </c>
      <c r="C1" s="428" t="s">
        <v>1205</v>
      </c>
      <c r="D1" s="429" t="s">
        <v>1206</v>
      </c>
      <c r="E1" s="429" t="s">
        <v>1207</v>
      </c>
      <c r="F1" s="429" t="s">
        <v>1208</v>
      </c>
      <c r="G1" s="429" t="s">
        <v>1209</v>
      </c>
      <c r="H1" s="429" t="s">
        <v>1210</v>
      </c>
      <c r="I1" s="429" t="s">
        <v>1211</v>
      </c>
      <c r="J1" s="429" t="s">
        <v>1212</v>
      </c>
      <c r="K1" s="429" t="s">
        <v>1213</v>
      </c>
      <c r="L1" s="429" t="s">
        <v>1214</v>
      </c>
      <c r="M1" s="429" t="s">
        <v>1215</v>
      </c>
      <c r="N1" s="429" t="s">
        <v>1216</v>
      </c>
      <c r="O1" s="429" t="s">
        <v>1217</v>
      </c>
      <c r="P1" s="429" t="s">
        <v>1218</v>
      </c>
      <c r="Q1" s="429" t="s">
        <v>1219</v>
      </c>
      <c r="R1" s="429" t="s">
        <v>1220</v>
      </c>
      <c r="S1" s="429" t="s">
        <v>1221</v>
      </c>
      <c r="T1" s="429" t="s">
        <v>1222</v>
      </c>
      <c r="U1" s="429" t="s">
        <v>1223</v>
      </c>
      <c r="V1" s="429" t="s">
        <v>1224</v>
      </c>
      <c r="W1" s="429" t="s">
        <v>1225</v>
      </c>
      <c r="X1" s="429" t="s">
        <v>1226</v>
      </c>
      <c r="Y1" s="429" t="s">
        <v>1227</v>
      </c>
      <c r="Z1" s="429" t="s">
        <v>1228</v>
      </c>
      <c r="AA1" s="429" t="s">
        <v>1229</v>
      </c>
      <c r="AB1" s="429" t="s">
        <v>1230</v>
      </c>
      <c r="AC1" s="429" t="s">
        <v>1224</v>
      </c>
      <c r="AD1" s="429" t="s">
        <v>1231</v>
      </c>
      <c r="AE1" s="429" t="s">
        <v>1232</v>
      </c>
      <c r="AF1" s="429" t="s">
        <v>1233</v>
      </c>
      <c r="AG1" s="429" t="s">
        <v>1234</v>
      </c>
      <c r="AH1" s="429" t="s">
        <v>1235</v>
      </c>
      <c r="AI1" s="429" t="s">
        <v>1236</v>
      </c>
      <c r="AJ1" s="429" t="s">
        <v>51</v>
      </c>
      <c r="AK1" s="429" t="s">
        <v>1237</v>
      </c>
      <c r="AL1" s="429" t="s">
        <v>1238</v>
      </c>
    </row>
    <row r="2" spans="1:38" x14ac:dyDescent="0.25">
      <c r="A2" s="207" t="s">
        <v>2725</v>
      </c>
      <c r="B2" s="207">
        <v>0</v>
      </c>
      <c r="C2" s="207" t="s">
        <v>2726</v>
      </c>
      <c r="D2" s="207" t="s">
        <v>2726</v>
      </c>
      <c r="E2" s="207" t="s">
        <v>2727</v>
      </c>
      <c r="F2" s="207" t="s">
        <v>2728</v>
      </c>
      <c r="G2" s="207" t="s">
        <v>2726</v>
      </c>
      <c r="H2" s="207">
        <v>61</v>
      </c>
      <c r="I2" s="207" t="s">
        <v>2729</v>
      </c>
      <c r="J2" s="207" t="s">
        <v>2730</v>
      </c>
      <c r="K2" s="207" t="s">
        <v>2726</v>
      </c>
      <c r="L2" s="207" t="s">
        <v>2726</v>
      </c>
      <c r="M2" s="207" t="s">
        <v>2731</v>
      </c>
      <c r="N2" s="207" t="s">
        <v>2726</v>
      </c>
      <c r="O2" s="207" t="s">
        <v>2726</v>
      </c>
      <c r="P2" s="207" t="s">
        <v>2732</v>
      </c>
      <c r="Q2" s="207" t="s">
        <v>2733</v>
      </c>
      <c r="R2" s="207">
        <v>220</v>
      </c>
      <c r="S2" s="207" t="s">
        <v>2726</v>
      </c>
      <c r="T2" s="207" t="s">
        <v>1239</v>
      </c>
      <c r="U2" s="207" t="s">
        <v>2734</v>
      </c>
      <c r="V2" s="207" t="s">
        <v>2726</v>
      </c>
      <c r="W2" s="207" t="s">
        <v>629</v>
      </c>
      <c r="X2" s="207">
        <v>-540000</v>
      </c>
      <c r="Y2" s="207" t="s">
        <v>265</v>
      </c>
      <c r="Z2" s="207" t="s">
        <v>2726</v>
      </c>
      <c r="AA2" s="207" t="s">
        <v>2726</v>
      </c>
      <c r="AB2" s="207" t="s">
        <v>2726</v>
      </c>
      <c r="AC2" s="207" t="s">
        <v>2726</v>
      </c>
      <c r="AD2" s="207" t="s">
        <v>2726</v>
      </c>
      <c r="AE2" s="207" t="s">
        <v>2726</v>
      </c>
      <c r="AF2" s="207" t="s">
        <v>2726</v>
      </c>
      <c r="AG2" s="207" t="s">
        <v>2726</v>
      </c>
      <c r="AH2" s="207" t="s">
        <v>2726</v>
      </c>
      <c r="AI2" s="207" t="s">
        <v>1261</v>
      </c>
      <c r="AJ2" s="207" t="s">
        <v>2726</v>
      </c>
      <c r="AK2" s="207" t="s">
        <v>2727</v>
      </c>
    </row>
    <row r="3" spans="1:38" x14ac:dyDescent="0.25">
      <c r="A3" s="207" t="s">
        <v>2735</v>
      </c>
      <c r="B3" s="207">
        <v>0</v>
      </c>
      <c r="C3" s="207" t="s">
        <v>2726</v>
      </c>
      <c r="D3" s="207" t="s">
        <v>2726</v>
      </c>
      <c r="E3" s="207" t="s">
        <v>2736</v>
      </c>
      <c r="F3" s="207" t="s">
        <v>2728</v>
      </c>
      <c r="G3" s="207" t="s">
        <v>2726</v>
      </c>
      <c r="H3" s="207">
        <v>60</v>
      </c>
      <c r="I3" s="207" t="s">
        <v>2737</v>
      </c>
      <c r="J3" s="207" t="s">
        <v>2730</v>
      </c>
      <c r="K3" s="207" t="s">
        <v>2726</v>
      </c>
      <c r="L3" s="207" t="s">
        <v>2726</v>
      </c>
      <c r="M3" s="207" t="s">
        <v>2738</v>
      </c>
      <c r="N3" s="207" t="s">
        <v>2726</v>
      </c>
      <c r="O3" s="207" t="s">
        <v>2726</v>
      </c>
      <c r="P3" s="207" t="s">
        <v>2739</v>
      </c>
      <c r="Q3" s="207" t="s">
        <v>2733</v>
      </c>
      <c r="R3" s="207">
        <v>121</v>
      </c>
      <c r="S3" s="207" t="s">
        <v>2726</v>
      </c>
      <c r="T3" s="207" t="s">
        <v>1239</v>
      </c>
      <c r="U3" s="207" t="s">
        <v>2740</v>
      </c>
      <c r="V3" s="207" t="s">
        <v>2726</v>
      </c>
      <c r="W3" s="207" t="s">
        <v>2741</v>
      </c>
      <c r="X3" s="207">
        <v>22311</v>
      </c>
      <c r="Y3" s="207" t="s">
        <v>102</v>
      </c>
      <c r="Z3" s="207" t="s">
        <v>2726</v>
      </c>
      <c r="AA3" s="207" t="s">
        <v>2726</v>
      </c>
      <c r="AB3" s="207" t="s">
        <v>2726</v>
      </c>
      <c r="AC3" s="207" t="s">
        <v>2726</v>
      </c>
      <c r="AD3" s="207" t="s">
        <v>2726</v>
      </c>
      <c r="AE3" s="207" t="s">
        <v>2726</v>
      </c>
      <c r="AF3" s="207" t="s">
        <v>2726</v>
      </c>
      <c r="AG3" s="207" t="s">
        <v>2726</v>
      </c>
      <c r="AH3" s="207" t="s">
        <v>2726</v>
      </c>
      <c r="AI3" s="207" t="s">
        <v>1248</v>
      </c>
      <c r="AJ3" s="207" t="s">
        <v>2726</v>
      </c>
      <c r="AK3" s="207" t="s">
        <v>2736</v>
      </c>
    </row>
    <row r="4" spans="1:38" x14ac:dyDescent="0.25">
      <c r="A4" s="207" t="s">
        <v>2742</v>
      </c>
      <c r="B4" s="207">
        <v>0</v>
      </c>
      <c r="C4" s="207" t="s">
        <v>2726</v>
      </c>
      <c r="D4" s="207" t="s">
        <v>2726</v>
      </c>
      <c r="E4" s="207" t="s">
        <v>2736</v>
      </c>
      <c r="F4" s="207" t="s">
        <v>2728</v>
      </c>
      <c r="G4" s="207" t="s">
        <v>2726</v>
      </c>
      <c r="H4" s="207">
        <v>60</v>
      </c>
      <c r="I4" s="207" t="s">
        <v>2737</v>
      </c>
      <c r="J4" s="207" t="s">
        <v>2730</v>
      </c>
      <c r="K4" s="207" t="s">
        <v>2726</v>
      </c>
      <c r="L4" s="207" t="s">
        <v>2726</v>
      </c>
      <c r="M4" s="207" t="s">
        <v>2738</v>
      </c>
      <c r="N4" s="207" t="s">
        <v>2726</v>
      </c>
      <c r="O4" s="207" t="s">
        <v>2726</v>
      </c>
      <c r="P4" s="207" t="s">
        <v>2739</v>
      </c>
      <c r="Q4" s="207" t="s">
        <v>2733</v>
      </c>
      <c r="R4" s="207">
        <v>121</v>
      </c>
      <c r="S4" s="207" t="s">
        <v>2726</v>
      </c>
      <c r="T4" s="207" t="s">
        <v>1239</v>
      </c>
      <c r="U4" s="207" t="s">
        <v>2740</v>
      </c>
      <c r="V4" s="207" t="s">
        <v>2726</v>
      </c>
      <c r="W4" s="207" t="s">
        <v>629</v>
      </c>
      <c r="X4" s="207">
        <v>-22311</v>
      </c>
      <c r="Y4" s="207" t="s">
        <v>100</v>
      </c>
      <c r="Z4" s="207" t="s">
        <v>2726</v>
      </c>
      <c r="AA4" s="207" t="s">
        <v>2726</v>
      </c>
      <c r="AB4" s="207" t="s">
        <v>2726</v>
      </c>
      <c r="AC4" s="207" t="s">
        <v>2726</v>
      </c>
      <c r="AD4" s="207" t="s">
        <v>2726</v>
      </c>
      <c r="AE4" s="207" t="s">
        <v>2726</v>
      </c>
      <c r="AF4" s="207" t="s">
        <v>2726</v>
      </c>
      <c r="AG4" s="207" t="s">
        <v>2726</v>
      </c>
      <c r="AH4" s="207" t="s">
        <v>2726</v>
      </c>
      <c r="AI4" s="207" t="s">
        <v>1247</v>
      </c>
      <c r="AJ4" s="207" t="s">
        <v>2726</v>
      </c>
      <c r="AK4" s="207" t="s">
        <v>2736</v>
      </c>
    </row>
    <row r="5" spans="1:38" x14ac:dyDescent="0.25">
      <c r="A5" s="207" t="s">
        <v>2743</v>
      </c>
      <c r="B5" s="207">
        <v>0</v>
      </c>
      <c r="C5" s="207" t="s">
        <v>2726</v>
      </c>
      <c r="D5" s="207" t="s">
        <v>2726</v>
      </c>
      <c r="E5" s="207" t="s">
        <v>2727</v>
      </c>
      <c r="F5" s="207" t="s">
        <v>2728</v>
      </c>
      <c r="G5" s="207" t="s">
        <v>2726</v>
      </c>
      <c r="H5" s="207">
        <v>61</v>
      </c>
      <c r="I5" s="207" t="s">
        <v>2744</v>
      </c>
      <c r="J5" s="207" t="s">
        <v>2730</v>
      </c>
      <c r="K5" s="207" t="s">
        <v>2726</v>
      </c>
      <c r="L5" s="207" t="s">
        <v>2726</v>
      </c>
      <c r="M5" s="207" t="s">
        <v>2731</v>
      </c>
      <c r="N5" s="207" t="s">
        <v>2726</v>
      </c>
      <c r="O5" s="207" t="s">
        <v>2726</v>
      </c>
      <c r="P5" s="207" t="s">
        <v>2732</v>
      </c>
      <c r="Q5" s="207" t="s">
        <v>2733</v>
      </c>
      <c r="R5" s="207">
        <v>120</v>
      </c>
      <c r="S5" s="207" t="s">
        <v>2726</v>
      </c>
      <c r="T5" s="207" t="s">
        <v>1239</v>
      </c>
      <c r="U5" s="207" t="s">
        <v>2745</v>
      </c>
      <c r="V5" s="207" t="s">
        <v>2726</v>
      </c>
      <c r="W5" s="207" t="s">
        <v>2741</v>
      </c>
      <c r="X5" s="207">
        <v>253189388</v>
      </c>
      <c r="Y5" s="207" t="s">
        <v>59</v>
      </c>
      <c r="Z5" s="207" t="s">
        <v>2726</v>
      </c>
      <c r="AA5" s="207" t="s">
        <v>2726</v>
      </c>
      <c r="AB5" s="207" t="s">
        <v>2726</v>
      </c>
      <c r="AC5" s="207" t="s">
        <v>2726</v>
      </c>
      <c r="AD5" s="207" t="s">
        <v>2726</v>
      </c>
      <c r="AE5" s="207" t="s">
        <v>2726</v>
      </c>
      <c r="AF5" s="207" t="s">
        <v>2726</v>
      </c>
      <c r="AG5" s="207" t="s">
        <v>2726</v>
      </c>
      <c r="AH5" s="207" t="s">
        <v>2726</v>
      </c>
      <c r="AI5" s="207" t="s">
        <v>1242</v>
      </c>
      <c r="AJ5" s="207" t="s">
        <v>2726</v>
      </c>
      <c r="AK5" s="207" t="s">
        <v>2727</v>
      </c>
    </row>
    <row r="6" spans="1:38" x14ac:dyDescent="0.25">
      <c r="A6" s="207" t="s">
        <v>2746</v>
      </c>
      <c r="B6" s="207">
        <v>0</v>
      </c>
      <c r="C6" s="207" t="s">
        <v>2726</v>
      </c>
      <c r="D6" s="207" t="s">
        <v>2726</v>
      </c>
      <c r="E6" s="207" t="s">
        <v>2727</v>
      </c>
      <c r="F6" s="207" t="s">
        <v>2728</v>
      </c>
      <c r="G6" s="207" t="s">
        <v>2726</v>
      </c>
      <c r="H6" s="207">
        <v>61</v>
      </c>
      <c r="I6" s="207" t="s">
        <v>2744</v>
      </c>
      <c r="J6" s="207" t="s">
        <v>2730</v>
      </c>
      <c r="K6" s="207" t="s">
        <v>2726</v>
      </c>
      <c r="L6" s="207" t="s">
        <v>2726</v>
      </c>
      <c r="M6" s="207" t="s">
        <v>2731</v>
      </c>
      <c r="N6" s="207" t="s">
        <v>2726</v>
      </c>
      <c r="O6" s="207" t="s">
        <v>2726</v>
      </c>
      <c r="P6" s="207" t="s">
        <v>2732</v>
      </c>
      <c r="Q6" s="207" t="s">
        <v>2733</v>
      </c>
      <c r="R6" s="207">
        <v>120</v>
      </c>
      <c r="S6" s="207" t="s">
        <v>2726</v>
      </c>
      <c r="T6" s="207" t="s">
        <v>1239</v>
      </c>
      <c r="U6" s="207" t="s">
        <v>2745</v>
      </c>
      <c r="V6" s="207" t="s">
        <v>2726</v>
      </c>
      <c r="W6" s="207" t="s">
        <v>2741</v>
      </c>
      <c r="X6" s="207">
        <v>3580210</v>
      </c>
      <c r="Y6" s="207" t="s">
        <v>70</v>
      </c>
      <c r="Z6" s="207" t="s">
        <v>2726</v>
      </c>
      <c r="AA6" s="207" t="s">
        <v>2726</v>
      </c>
      <c r="AB6" s="207" t="s">
        <v>2726</v>
      </c>
      <c r="AC6" s="207" t="s">
        <v>2726</v>
      </c>
      <c r="AD6" s="207" t="s">
        <v>2726</v>
      </c>
      <c r="AE6" s="207" t="s">
        <v>2726</v>
      </c>
      <c r="AF6" s="207" t="s">
        <v>2726</v>
      </c>
      <c r="AG6" s="207" t="s">
        <v>2726</v>
      </c>
      <c r="AH6" s="207" t="s">
        <v>2726</v>
      </c>
      <c r="AI6" s="207" t="s">
        <v>1256</v>
      </c>
      <c r="AJ6" s="207" t="s">
        <v>2726</v>
      </c>
      <c r="AK6" s="207" t="s">
        <v>2727</v>
      </c>
    </row>
    <row r="7" spans="1:38" x14ac:dyDescent="0.25">
      <c r="A7" s="207" t="s">
        <v>2747</v>
      </c>
      <c r="B7" s="207">
        <v>0</v>
      </c>
      <c r="C7" s="207" t="s">
        <v>2726</v>
      </c>
      <c r="D7" s="207" t="s">
        <v>2726</v>
      </c>
      <c r="E7" s="207" t="s">
        <v>2727</v>
      </c>
      <c r="F7" s="207" t="s">
        <v>2728</v>
      </c>
      <c r="G7" s="207" t="s">
        <v>2726</v>
      </c>
      <c r="H7" s="207">
        <v>61</v>
      </c>
      <c r="I7" s="207" t="s">
        <v>2744</v>
      </c>
      <c r="J7" s="207" t="s">
        <v>2730</v>
      </c>
      <c r="K7" s="207" t="s">
        <v>2726</v>
      </c>
      <c r="L7" s="207" t="s">
        <v>2726</v>
      </c>
      <c r="M7" s="207" t="s">
        <v>2731</v>
      </c>
      <c r="N7" s="207" t="s">
        <v>2726</v>
      </c>
      <c r="O7" s="207" t="s">
        <v>2726</v>
      </c>
      <c r="P7" s="207" t="s">
        <v>2732</v>
      </c>
      <c r="Q7" s="207" t="s">
        <v>2733</v>
      </c>
      <c r="R7" s="207">
        <v>120</v>
      </c>
      <c r="S7" s="207" t="s">
        <v>2726</v>
      </c>
      <c r="T7" s="207" t="s">
        <v>1239</v>
      </c>
      <c r="U7" s="207" t="s">
        <v>2745</v>
      </c>
      <c r="V7" s="207" t="s">
        <v>2726</v>
      </c>
      <c r="W7" s="207" t="s">
        <v>2741</v>
      </c>
      <c r="X7" s="207">
        <v>660000</v>
      </c>
      <c r="Y7" s="207" t="s">
        <v>76</v>
      </c>
      <c r="Z7" s="207" t="s">
        <v>2726</v>
      </c>
      <c r="AA7" s="207" t="s">
        <v>2726</v>
      </c>
      <c r="AB7" s="207" t="s">
        <v>2726</v>
      </c>
      <c r="AC7" s="207" t="s">
        <v>2726</v>
      </c>
      <c r="AD7" s="207" t="s">
        <v>2726</v>
      </c>
      <c r="AE7" s="207" t="s">
        <v>2726</v>
      </c>
      <c r="AF7" s="207" t="s">
        <v>2726</v>
      </c>
      <c r="AG7" s="207" t="s">
        <v>2726</v>
      </c>
      <c r="AH7" s="207" t="s">
        <v>2726</v>
      </c>
      <c r="AI7" s="207" t="s">
        <v>1258</v>
      </c>
      <c r="AJ7" s="207" t="s">
        <v>2726</v>
      </c>
      <c r="AK7" s="207" t="s">
        <v>2727</v>
      </c>
    </row>
    <row r="8" spans="1:38" x14ac:dyDescent="0.25">
      <c r="A8" s="207" t="s">
        <v>2748</v>
      </c>
      <c r="B8" s="207">
        <v>0</v>
      </c>
      <c r="C8" s="207" t="s">
        <v>2726</v>
      </c>
      <c r="D8" s="207" t="s">
        <v>2726</v>
      </c>
      <c r="E8" s="207" t="s">
        <v>2727</v>
      </c>
      <c r="F8" s="207" t="s">
        <v>2728</v>
      </c>
      <c r="G8" s="207" t="s">
        <v>2726</v>
      </c>
      <c r="H8" s="207">
        <v>61</v>
      </c>
      <c r="I8" s="207" t="s">
        <v>2744</v>
      </c>
      <c r="J8" s="207" t="s">
        <v>2730</v>
      </c>
      <c r="K8" s="207" t="s">
        <v>2726</v>
      </c>
      <c r="L8" s="207" t="s">
        <v>2726</v>
      </c>
      <c r="M8" s="207" t="s">
        <v>2731</v>
      </c>
      <c r="N8" s="207" t="s">
        <v>2726</v>
      </c>
      <c r="O8" s="207" t="s">
        <v>2726</v>
      </c>
      <c r="P8" s="207" t="s">
        <v>2732</v>
      </c>
      <c r="Q8" s="207" t="s">
        <v>2733</v>
      </c>
      <c r="R8" s="207">
        <v>120</v>
      </c>
      <c r="S8" s="207" t="s">
        <v>2726</v>
      </c>
      <c r="T8" s="207" t="s">
        <v>1239</v>
      </c>
      <c r="U8" s="207" t="s">
        <v>2745</v>
      </c>
      <c r="V8" s="207" t="s">
        <v>2726</v>
      </c>
      <c r="W8" s="207" t="s">
        <v>2741</v>
      </c>
      <c r="X8" s="207">
        <v>429000</v>
      </c>
      <c r="Y8" s="207" t="s">
        <v>84</v>
      </c>
      <c r="Z8" s="207" t="s">
        <v>2726</v>
      </c>
      <c r="AA8" s="207" t="s">
        <v>2726</v>
      </c>
      <c r="AB8" s="207" t="s">
        <v>2726</v>
      </c>
      <c r="AC8" s="207" t="s">
        <v>2726</v>
      </c>
      <c r="AD8" s="207" t="s">
        <v>2726</v>
      </c>
      <c r="AE8" s="207" t="s">
        <v>2726</v>
      </c>
      <c r="AF8" s="207" t="s">
        <v>2726</v>
      </c>
      <c r="AG8" s="207" t="s">
        <v>2726</v>
      </c>
      <c r="AH8" s="207" t="s">
        <v>2726</v>
      </c>
      <c r="AI8" s="207" t="s">
        <v>1300</v>
      </c>
      <c r="AJ8" s="207" t="s">
        <v>2726</v>
      </c>
      <c r="AK8" s="207" t="s">
        <v>2727</v>
      </c>
    </row>
    <row r="9" spans="1:38" x14ac:dyDescent="0.25">
      <c r="A9" s="207" t="s">
        <v>2749</v>
      </c>
      <c r="B9" s="207">
        <v>0</v>
      </c>
      <c r="C9" s="207" t="s">
        <v>2726</v>
      </c>
      <c r="D9" s="207" t="s">
        <v>2726</v>
      </c>
      <c r="E9" s="207" t="s">
        <v>2727</v>
      </c>
      <c r="F9" s="207" t="s">
        <v>2728</v>
      </c>
      <c r="G9" s="207" t="s">
        <v>2726</v>
      </c>
      <c r="H9" s="207">
        <v>61</v>
      </c>
      <c r="I9" s="207" t="s">
        <v>2744</v>
      </c>
      <c r="J9" s="207" t="s">
        <v>2730</v>
      </c>
      <c r="K9" s="207" t="s">
        <v>2726</v>
      </c>
      <c r="L9" s="207" t="s">
        <v>2726</v>
      </c>
      <c r="M9" s="207" t="s">
        <v>2731</v>
      </c>
      <c r="N9" s="207" t="s">
        <v>2726</v>
      </c>
      <c r="O9" s="207" t="s">
        <v>2726</v>
      </c>
      <c r="P9" s="207" t="s">
        <v>2732</v>
      </c>
      <c r="Q9" s="207" t="s">
        <v>2733</v>
      </c>
      <c r="R9" s="207">
        <v>120</v>
      </c>
      <c r="S9" s="207" t="s">
        <v>2726</v>
      </c>
      <c r="T9" s="207" t="s">
        <v>1239</v>
      </c>
      <c r="U9" s="207" t="s">
        <v>2745</v>
      </c>
      <c r="V9" s="207" t="s">
        <v>2726</v>
      </c>
      <c r="W9" s="207" t="s">
        <v>2741</v>
      </c>
      <c r="X9" s="207">
        <v>34547629</v>
      </c>
      <c r="Y9" s="207" t="s">
        <v>92</v>
      </c>
      <c r="Z9" s="207" t="s">
        <v>2726</v>
      </c>
      <c r="AA9" s="207" t="s">
        <v>2726</v>
      </c>
      <c r="AB9" s="207" t="s">
        <v>2726</v>
      </c>
      <c r="AC9" s="207" t="s">
        <v>2726</v>
      </c>
      <c r="AD9" s="207" t="s">
        <v>2726</v>
      </c>
      <c r="AE9" s="207" t="s">
        <v>2726</v>
      </c>
      <c r="AF9" s="207" t="s">
        <v>2726</v>
      </c>
      <c r="AG9" s="207" t="s">
        <v>2726</v>
      </c>
      <c r="AH9" s="207" t="s">
        <v>2726</v>
      </c>
      <c r="AI9" s="207" t="s">
        <v>317</v>
      </c>
      <c r="AJ9" s="207" t="s">
        <v>2726</v>
      </c>
      <c r="AK9" s="207" t="s">
        <v>2727</v>
      </c>
    </row>
    <row r="10" spans="1:38" x14ac:dyDescent="0.25">
      <c r="A10" s="207" t="s">
        <v>2750</v>
      </c>
      <c r="B10" s="207">
        <v>0</v>
      </c>
      <c r="C10" s="207" t="s">
        <v>2726</v>
      </c>
      <c r="D10" s="207" t="s">
        <v>2726</v>
      </c>
      <c r="E10" s="207" t="s">
        <v>2727</v>
      </c>
      <c r="F10" s="207" t="s">
        <v>2728</v>
      </c>
      <c r="G10" s="207" t="s">
        <v>2726</v>
      </c>
      <c r="H10" s="207">
        <v>61</v>
      </c>
      <c r="I10" s="207" t="s">
        <v>2744</v>
      </c>
      <c r="J10" s="207" t="s">
        <v>2730</v>
      </c>
      <c r="K10" s="207" t="s">
        <v>2726</v>
      </c>
      <c r="L10" s="207" t="s">
        <v>2726</v>
      </c>
      <c r="M10" s="207" t="s">
        <v>2731</v>
      </c>
      <c r="N10" s="207" t="s">
        <v>2726</v>
      </c>
      <c r="O10" s="207" t="s">
        <v>2726</v>
      </c>
      <c r="P10" s="207" t="s">
        <v>2732</v>
      </c>
      <c r="Q10" s="207" t="s">
        <v>2733</v>
      </c>
      <c r="R10" s="207">
        <v>120</v>
      </c>
      <c r="S10" s="207" t="s">
        <v>2726</v>
      </c>
      <c r="T10" s="207" t="s">
        <v>1239</v>
      </c>
      <c r="U10" s="207" t="s">
        <v>2745</v>
      </c>
      <c r="V10" s="207" t="s">
        <v>2726</v>
      </c>
      <c r="W10" s="207" t="s">
        <v>2741</v>
      </c>
      <c r="X10" s="207">
        <v>260000</v>
      </c>
      <c r="Y10" s="207" t="s">
        <v>94</v>
      </c>
      <c r="Z10" s="207" t="s">
        <v>2726</v>
      </c>
      <c r="AA10" s="207" t="s">
        <v>2726</v>
      </c>
      <c r="AB10" s="207" t="s">
        <v>2726</v>
      </c>
      <c r="AC10" s="207" t="s">
        <v>2726</v>
      </c>
      <c r="AD10" s="207" t="s">
        <v>2726</v>
      </c>
      <c r="AE10" s="207" t="s">
        <v>2726</v>
      </c>
      <c r="AF10" s="207" t="s">
        <v>2726</v>
      </c>
      <c r="AG10" s="207" t="s">
        <v>2726</v>
      </c>
      <c r="AH10" s="207" t="s">
        <v>2726</v>
      </c>
      <c r="AI10" s="207" t="s">
        <v>1246</v>
      </c>
      <c r="AJ10" s="207" t="s">
        <v>2726</v>
      </c>
      <c r="AK10" s="207" t="s">
        <v>2727</v>
      </c>
    </row>
    <row r="11" spans="1:38" x14ac:dyDescent="0.25">
      <c r="A11" s="207" t="s">
        <v>2751</v>
      </c>
      <c r="B11" s="207">
        <v>0</v>
      </c>
      <c r="C11" s="207" t="s">
        <v>2726</v>
      </c>
      <c r="D11" s="207" t="s">
        <v>2726</v>
      </c>
      <c r="E11" s="207" t="s">
        <v>2727</v>
      </c>
      <c r="F11" s="207" t="s">
        <v>2728</v>
      </c>
      <c r="G11" s="207" t="s">
        <v>2726</v>
      </c>
      <c r="H11" s="207">
        <v>61</v>
      </c>
      <c r="I11" s="207" t="s">
        <v>2744</v>
      </c>
      <c r="J11" s="207" t="s">
        <v>2730</v>
      </c>
      <c r="K11" s="207" t="s">
        <v>2726</v>
      </c>
      <c r="L11" s="207" t="s">
        <v>2726</v>
      </c>
      <c r="M11" s="207" t="s">
        <v>2731</v>
      </c>
      <c r="N11" s="207" t="s">
        <v>2726</v>
      </c>
      <c r="O11" s="207" t="s">
        <v>2726</v>
      </c>
      <c r="P11" s="207" t="s">
        <v>2732</v>
      </c>
      <c r="Q11" s="207" t="s">
        <v>2733</v>
      </c>
      <c r="R11" s="207">
        <v>120</v>
      </c>
      <c r="S11" s="207" t="s">
        <v>2726</v>
      </c>
      <c r="T11" s="207" t="s">
        <v>1239</v>
      </c>
      <c r="U11" s="207" t="s">
        <v>2745</v>
      </c>
      <c r="V11" s="207" t="s">
        <v>2726</v>
      </c>
      <c r="W11" s="207" t="s">
        <v>2741</v>
      </c>
      <c r="X11" s="207">
        <v>2700000</v>
      </c>
      <c r="Y11" s="207" t="s">
        <v>96</v>
      </c>
      <c r="Z11" s="207" t="s">
        <v>2726</v>
      </c>
      <c r="AA11" s="207" t="s">
        <v>2726</v>
      </c>
      <c r="AB11" s="207" t="s">
        <v>2726</v>
      </c>
      <c r="AC11" s="207" t="s">
        <v>2726</v>
      </c>
      <c r="AD11" s="207" t="s">
        <v>2726</v>
      </c>
      <c r="AE11" s="207" t="s">
        <v>2726</v>
      </c>
      <c r="AF11" s="207" t="s">
        <v>2726</v>
      </c>
      <c r="AG11" s="207" t="s">
        <v>2726</v>
      </c>
      <c r="AH11" s="207" t="s">
        <v>2726</v>
      </c>
      <c r="AI11" s="207" t="s">
        <v>1240</v>
      </c>
      <c r="AJ11" s="207" t="s">
        <v>2726</v>
      </c>
      <c r="AK11" s="207" t="s">
        <v>2727</v>
      </c>
    </row>
    <row r="12" spans="1:38" x14ac:dyDescent="0.25">
      <c r="A12" s="207" t="s">
        <v>2752</v>
      </c>
      <c r="B12" s="207">
        <v>0</v>
      </c>
      <c r="C12" s="207" t="s">
        <v>2726</v>
      </c>
      <c r="D12" s="207" t="s">
        <v>2726</v>
      </c>
      <c r="E12" s="207" t="s">
        <v>2727</v>
      </c>
      <c r="F12" s="207" t="s">
        <v>2728</v>
      </c>
      <c r="G12" s="207" t="s">
        <v>2726</v>
      </c>
      <c r="H12" s="207">
        <v>61</v>
      </c>
      <c r="I12" s="207" t="s">
        <v>2744</v>
      </c>
      <c r="J12" s="207" t="s">
        <v>2730</v>
      </c>
      <c r="K12" s="207" t="s">
        <v>2726</v>
      </c>
      <c r="L12" s="207" t="s">
        <v>2726</v>
      </c>
      <c r="M12" s="207" t="s">
        <v>2731</v>
      </c>
      <c r="N12" s="207" t="s">
        <v>2726</v>
      </c>
      <c r="O12" s="207" t="s">
        <v>2726</v>
      </c>
      <c r="P12" s="207" t="s">
        <v>2732</v>
      </c>
      <c r="Q12" s="207" t="s">
        <v>2733</v>
      </c>
      <c r="R12" s="207">
        <v>120</v>
      </c>
      <c r="S12" s="207" t="s">
        <v>2726</v>
      </c>
      <c r="T12" s="207" t="s">
        <v>1239</v>
      </c>
      <c r="U12" s="207" t="s">
        <v>2745</v>
      </c>
      <c r="V12" s="207" t="s">
        <v>2726</v>
      </c>
      <c r="W12" s="207" t="s">
        <v>2741</v>
      </c>
      <c r="X12" s="207">
        <v>660000</v>
      </c>
      <c r="Y12" s="207" t="s">
        <v>100</v>
      </c>
      <c r="Z12" s="207" t="s">
        <v>2726</v>
      </c>
      <c r="AA12" s="207" t="s">
        <v>2726</v>
      </c>
      <c r="AB12" s="207" t="s">
        <v>2726</v>
      </c>
      <c r="AC12" s="207" t="s">
        <v>2726</v>
      </c>
      <c r="AD12" s="207" t="s">
        <v>2726</v>
      </c>
      <c r="AE12" s="207" t="s">
        <v>2726</v>
      </c>
      <c r="AF12" s="207" t="s">
        <v>2726</v>
      </c>
      <c r="AG12" s="207" t="s">
        <v>2726</v>
      </c>
      <c r="AH12" s="207" t="s">
        <v>2726</v>
      </c>
      <c r="AI12" s="207" t="s">
        <v>1247</v>
      </c>
      <c r="AJ12" s="207" t="s">
        <v>2726</v>
      </c>
      <c r="AK12" s="207" t="s">
        <v>2727</v>
      </c>
    </row>
    <row r="13" spans="1:38" x14ac:dyDescent="0.25">
      <c r="A13" s="207" t="s">
        <v>2753</v>
      </c>
      <c r="B13" s="207">
        <v>0</v>
      </c>
      <c r="C13" s="207" t="s">
        <v>2726</v>
      </c>
      <c r="D13" s="207" t="s">
        <v>2726</v>
      </c>
      <c r="E13" s="207" t="s">
        <v>2727</v>
      </c>
      <c r="F13" s="207" t="s">
        <v>2728</v>
      </c>
      <c r="G13" s="207" t="s">
        <v>2726</v>
      </c>
      <c r="H13" s="207">
        <v>61</v>
      </c>
      <c r="I13" s="207" t="s">
        <v>2744</v>
      </c>
      <c r="J13" s="207" t="s">
        <v>2730</v>
      </c>
      <c r="K13" s="207" t="s">
        <v>2726</v>
      </c>
      <c r="L13" s="207" t="s">
        <v>2726</v>
      </c>
      <c r="M13" s="207" t="s">
        <v>2731</v>
      </c>
      <c r="N13" s="207" t="s">
        <v>2726</v>
      </c>
      <c r="O13" s="207" t="s">
        <v>2726</v>
      </c>
      <c r="P13" s="207" t="s">
        <v>2732</v>
      </c>
      <c r="Q13" s="207" t="s">
        <v>2733</v>
      </c>
      <c r="R13" s="207">
        <v>120</v>
      </c>
      <c r="S13" s="207" t="s">
        <v>2726</v>
      </c>
      <c r="T13" s="207" t="s">
        <v>1239</v>
      </c>
      <c r="U13" s="207" t="s">
        <v>2745</v>
      </c>
      <c r="V13" s="207" t="s">
        <v>2726</v>
      </c>
      <c r="W13" s="207" t="s">
        <v>2741</v>
      </c>
      <c r="X13" s="207">
        <v>300000</v>
      </c>
      <c r="Y13" s="207" t="s">
        <v>102</v>
      </c>
      <c r="Z13" s="207" t="s">
        <v>2726</v>
      </c>
      <c r="AA13" s="207" t="s">
        <v>2726</v>
      </c>
      <c r="AB13" s="207" t="s">
        <v>2726</v>
      </c>
      <c r="AC13" s="207" t="s">
        <v>2726</v>
      </c>
      <c r="AD13" s="207" t="s">
        <v>2726</v>
      </c>
      <c r="AE13" s="207" t="s">
        <v>2726</v>
      </c>
      <c r="AF13" s="207" t="s">
        <v>2726</v>
      </c>
      <c r="AG13" s="207" t="s">
        <v>2726</v>
      </c>
      <c r="AH13" s="207" t="s">
        <v>2726</v>
      </c>
      <c r="AI13" s="207" t="s">
        <v>1248</v>
      </c>
      <c r="AJ13" s="207" t="s">
        <v>2726</v>
      </c>
      <c r="AK13" s="207" t="s">
        <v>2727</v>
      </c>
    </row>
    <row r="14" spans="1:38" x14ac:dyDescent="0.25">
      <c r="A14" s="207" t="s">
        <v>2754</v>
      </c>
      <c r="B14" s="207">
        <v>0</v>
      </c>
      <c r="C14" s="207" t="s">
        <v>2726</v>
      </c>
      <c r="D14" s="207" t="s">
        <v>2726</v>
      </c>
      <c r="E14" s="207" t="s">
        <v>2727</v>
      </c>
      <c r="F14" s="207" t="s">
        <v>2728</v>
      </c>
      <c r="G14" s="207" t="s">
        <v>2726</v>
      </c>
      <c r="H14" s="207">
        <v>61</v>
      </c>
      <c r="I14" s="207" t="s">
        <v>2744</v>
      </c>
      <c r="J14" s="207" t="s">
        <v>2730</v>
      </c>
      <c r="K14" s="207" t="s">
        <v>2726</v>
      </c>
      <c r="L14" s="207" t="s">
        <v>2726</v>
      </c>
      <c r="M14" s="207" t="s">
        <v>2731</v>
      </c>
      <c r="N14" s="207" t="s">
        <v>2726</v>
      </c>
      <c r="O14" s="207" t="s">
        <v>2726</v>
      </c>
      <c r="P14" s="207" t="s">
        <v>2732</v>
      </c>
      <c r="Q14" s="207" t="s">
        <v>2733</v>
      </c>
      <c r="R14" s="207">
        <v>120</v>
      </c>
      <c r="S14" s="207" t="s">
        <v>2726</v>
      </c>
      <c r="T14" s="207" t="s">
        <v>1239</v>
      </c>
      <c r="U14" s="207" t="s">
        <v>2745</v>
      </c>
      <c r="V14" s="207" t="s">
        <v>2726</v>
      </c>
      <c r="W14" s="207" t="s">
        <v>2741</v>
      </c>
      <c r="X14" s="207">
        <v>1500000</v>
      </c>
      <c r="Y14" s="207" t="s">
        <v>582</v>
      </c>
      <c r="Z14" s="207" t="s">
        <v>2726</v>
      </c>
      <c r="AA14" s="207" t="s">
        <v>2726</v>
      </c>
      <c r="AB14" s="207" t="s">
        <v>2726</v>
      </c>
      <c r="AC14" s="207" t="s">
        <v>2726</v>
      </c>
      <c r="AD14" s="207" t="s">
        <v>2726</v>
      </c>
      <c r="AE14" s="207" t="s">
        <v>2726</v>
      </c>
      <c r="AF14" s="207" t="s">
        <v>2726</v>
      </c>
      <c r="AG14" s="207" t="s">
        <v>2726</v>
      </c>
      <c r="AH14" s="207" t="s">
        <v>2726</v>
      </c>
      <c r="AI14" s="207" t="s">
        <v>1249</v>
      </c>
      <c r="AJ14" s="207" t="s">
        <v>2726</v>
      </c>
      <c r="AK14" s="207" t="s">
        <v>2727</v>
      </c>
    </row>
    <row r="15" spans="1:38" x14ac:dyDescent="0.25">
      <c r="A15" s="207" t="s">
        <v>2755</v>
      </c>
      <c r="B15" s="207">
        <v>0</v>
      </c>
      <c r="C15" s="207" t="s">
        <v>2726</v>
      </c>
      <c r="D15" s="207" t="s">
        <v>2726</v>
      </c>
      <c r="E15" s="207" t="s">
        <v>2727</v>
      </c>
      <c r="F15" s="207" t="s">
        <v>2728</v>
      </c>
      <c r="G15" s="207" t="s">
        <v>2726</v>
      </c>
      <c r="H15" s="207">
        <v>61</v>
      </c>
      <c r="I15" s="207" t="s">
        <v>2744</v>
      </c>
      <c r="J15" s="207" t="s">
        <v>2730</v>
      </c>
      <c r="K15" s="207" t="s">
        <v>2726</v>
      </c>
      <c r="L15" s="207" t="s">
        <v>2726</v>
      </c>
      <c r="M15" s="207" t="s">
        <v>2731</v>
      </c>
      <c r="N15" s="207" t="s">
        <v>2726</v>
      </c>
      <c r="O15" s="207" t="s">
        <v>2726</v>
      </c>
      <c r="P15" s="207" t="s">
        <v>2732</v>
      </c>
      <c r="Q15" s="207" t="s">
        <v>2733</v>
      </c>
      <c r="R15" s="207">
        <v>120</v>
      </c>
      <c r="S15" s="207" t="s">
        <v>2726</v>
      </c>
      <c r="T15" s="207" t="s">
        <v>1239</v>
      </c>
      <c r="U15" s="207" t="s">
        <v>2745</v>
      </c>
      <c r="V15" s="207" t="s">
        <v>2726</v>
      </c>
      <c r="W15" s="207" t="s">
        <v>2741</v>
      </c>
      <c r="X15" s="207">
        <v>3600000</v>
      </c>
      <c r="Y15" s="207" t="s">
        <v>584</v>
      </c>
      <c r="Z15" s="207" t="s">
        <v>2726</v>
      </c>
      <c r="AA15" s="207" t="s">
        <v>2726</v>
      </c>
      <c r="AB15" s="207" t="s">
        <v>2726</v>
      </c>
      <c r="AC15" s="207" t="s">
        <v>2726</v>
      </c>
      <c r="AD15" s="207" t="s">
        <v>2726</v>
      </c>
      <c r="AE15" s="207" t="s">
        <v>2726</v>
      </c>
      <c r="AF15" s="207" t="s">
        <v>2726</v>
      </c>
      <c r="AG15" s="207" t="s">
        <v>2726</v>
      </c>
      <c r="AH15" s="207" t="s">
        <v>2726</v>
      </c>
      <c r="AI15" s="207" t="s">
        <v>1263</v>
      </c>
      <c r="AJ15" s="207" t="s">
        <v>2726</v>
      </c>
      <c r="AK15" s="207" t="s">
        <v>2727</v>
      </c>
    </row>
    <row r="16" spans="1:38" x14ac:dyDescent="0.25">
      <c r="A16" s="207" t="s">
        <v>2756</v>
      </c>
      <c r="B16" s="207">
        <v>0</v>
      </c>
      <c r="C16" s="207" t="s">
        <v>2726</v>
      </c>
      <c r="D16" s="207" t="s">
        <v>2726</v>
      </c>
      <c r="E16" s="207" t="s">
        <v>2727</v>
      </c>
      <c r="F16" s="207" t="s">
        <v>2728</v>
      </c>
      <c r="G16" s="207" t="s">
        <v>2726</v>
      </c>
      <c r="H16" s="207">
        <v>61</v>
      </c>
      <c r="I16" s="207" t="s">
        <v>2744</v>
      </c>
      <c r="J16" s="207" t="s">
        <v>2730</v>
      </c>
      <c r="K16" s="207" t="s">
        <v>2726</v>
      </c>
      <c r="L16" s="207" t="s">
        <v>2726</v>
      </c>
      <c r="M16" s="207" t="s">
        <v>2731</v>
      </c>
      <c r="N16" s="207" t="s">
        <v>2726</v>
      </c>
      <c r="O16" s="207" t="s">
        <v>2726</v>
      </c>
      <c r="P16" s="207" t="s">
        <v>2732</v>
      </c>
      <c r="Q16" s="207" t="s">
        <v>2733</v>
      </c>
      <c r="R16" s="207">
        <v>120</v>
      </c>
      <c r="S16" s="207" t="s">
        <v>2726</v>
      </c>
      <c r="T16" s="207" t="s">
        <v>1239</v>
      </c>
      <c r="U16" s="207" t="s">
        <v>2745</v>
      </c>
      <c r="V16" s="207" t="s">
        <v>2726</v>
      </c>
      <c r="W16" s="207" t="s">
        <v>2741</v>
      </c>
      <c r="X16" s="207">
        <v>1560000</v>
      </c>
      <c r="Y16" s="207" t="s">
        <v>588</v>
      </c>
      <c r="Z16" s="207" t="s">
        <v>2726</v>
      </c>
      <c r="AA16" s="207" t="s">
        <v>2726</v>
      </c>
      <c r="AB16" s="207" t="s">
        <v>2726</v>
      </c>
      <c r="AC16" s="207" t="s">
        <v>2726</v>
      </c>
      <c r="AD16" s="207" t="s">
        <v>2726</v>
      </c>
      <c r="AE16" s="207" t="s">
        <v>2726</v>
      </c>
      <c r="AF16" s="207" t="s">
        <v>2726</v>
      </c>
      <c r="AG16" s="207" t="s">
        <v>2726</v>
      </c>
      <c r="AH16" s="207" t="s">
        <v>2726</v>
      </c>
      <c r="AI16" s="207" t="s">
        <v>1276</v>
      </c>
      <c r="AJ16" s="207" t="s">
        <v>2726</v>
      </c>
      <c r="AK16" s="207" t="s">
        <v>2727</v>
      </c>
    </row>
    <row r="17" spans="1:37" x14ac:dyDescent="0.25">
      <c r="A17" s="207" t="s">
        <v>2757</v>
      </c>
      <c r="B17" s="207">
        <v>0</v>
      </c>
      <c r="C17" s="207" t="s">
        <v>2726</v>
      </c>
      <c r="D17" s="207" t="s">
        <v>2726</v>
      </c>
      <c r="E17" s="207" t="s">
        <v>2727</v>
      </c>
      <c r="F17" s="207" t="s">
        <v>2728</v>
      </c>
      <c r="G17" s="207" t="s">
        <v>2726</v>
      </c>
      <c r="H17" s="207">
        <v>61</v>
      </c>
      <c r="I17" s="207" t="s">
        <v>2744</v>
      </c>
      <c r="J17" s="207" t="s">
        <v>2730</v>
      </c>
      <c r="K17" s="207" t="s">
        <v>2726</v>
      </c>
      <c r="L17" s="207" t="s">
        <v>2726</v>
      </c>
      <c r="M17" s="207" t="s">
        <v>2731</v>
      </c>
      <c r="N17" s="207" t="s">
        <v>2726</v>
      </c>
      <c r="O17" s="207" t="s">
        <v>2726</v>
      </c>
      <c r="P17" s="207" t="s">
        <v>2732</v>
      </c>
      <c r="Q17" s="207" t="s">
        <v>2733</v>
      </c>
      <c r="R17" s="207">
        <v>120</v>
      </c>
      <c r="S17" s="207" t="s">
        <v>2726</v>
      </c>
      <c r="T17" s="207" t="s">
        <v>1239</v>
      </c>
      <c r="U17" s="207" t="s">
        <v>2745</v>
      </c>
      <c r="V17" s="207" t="s">
        <v>2726</v>
      </c>
      <c r="W17" s="207" t="s">
        <v>2741</v>
      </c>
      <c r="X17" s="207">
        <v>500000</v>
      </c>
      <c r="Y17" s="207" t="s">
        <v>109</v>
      </c>
      <c r="Z17" s="207" t="s">
        <v>2726</v>
      </c>
      <c r="AA17" s="207" t="s">
        <v>2726</v>
      </c>
      <c r="AB17" s="207" t="s">
        <v>2726</v>
      </c>
      <c r="AC17" s="207" t="s">
        <v>2726</v>
      </c>
      <c r="AD17" s="207" t="s">
        <v>2726</v>
      </c>
      <c r="AE17" s="207" t="s">
        <v>2726</v>
      </c>
      <c r="AF17" s="207" t="s">
        <v>2726</v>
      </c>
      <c r="AG17" s="207" t="s">
        <v>2726</v>
      </c>
      <c r="AH17" s="207" t="s">
        <v>2726</v>
      </c>
      <c r="AI17" s="207" t="s">
        <v>1251</v>
      </c>
      <c r="AJ17" s="207" t="s">
        <v>2726</v>
      </c>
      <c r="AK17" s="207" t="s">
        <v>2727</v>
      </c>
    </row>
    <row r="18" spans="1:37" x14ac:dyDescent="0.25">
      <c r="A18" s="207" t="s">
        <v>2758</v>
      </c>
      <c r="B18" s="207">
        <v>0</v>
      </c>
      <c r="C18" s="207" t="s">
        <v>2726</v>
      </c>
      <c r="D18" s="207" t="s">
        <v>2726</v>
      </c>
      <c r="E18" s="207" t="s">
        <v>2727</v>
      </c>
      <c r="F18" s="207" t="s">
        <v>2728</v>
      </c>
      <c r="G18" s="207" t="s">
        <v>2726</v>
      </c>
      <c r="H18" s="207">
        <v>61</v>
      </c>
      <c r="I18" s="207" t="s">
        <v>2744</v>
      </c>
      <c r="J18" s="207" t="s">
        <v>2730</v>
      </c>
      <c r="K18" s="207" t="s">
        <v>2726</v>
      </c>
      <c r="L18" s="207" t="s">
        <v>2726</v>
      </c>
      <c r="M18" s="207" t="s">
        <v>2731</v>
      </c>
      <c r="N18" s="207" t="s">
        <v>2726</v>
      </c>
      <c r="O18" s="207" t="s">
        <v>2726</v>
      </c>
      <c r="P18" s="207" t="s">
        <v>2732</v>
      </c>
      <c r="Q18" s="207" t="s">
        <v>2733</v>
      </c>
      <c r="R18" s="207">
        <v>120</v>
      </c>
      <c r="S18" s="207" t="s">
        <v>2726</v>
      </c>
      <c r="T18" s="207" t="s">
        <v>1239</v>
      </c>
      <c r="U18" s="207" t="s">
        <v>2745</v>
      </c>
      <c r="V18" s="207" t="s">
        <v>2726</v>
      </c>
      <c r="W18" s="207" t="s">
        <v>2741</v>
      </c>
      <c r="X18" s="207">
        <v>750000</v>
      </c>
      <c r="Y18" s="207" t="s">
        <v>113</v>
      </c>
      <c r="Z18" s="207" t="s">
        <v>2726</v>
      </c>
      <c r="AA18" s="207" t="s">
        <v>2726</v>
      </c>
      <c r="AB18" s="207" t="s">
        <v>2726</v>
      </c>
      <c r="AC18" s="207" t="s">
        <v>2726</v>
      </c>
      <c r="AD18" s="207" t="s">
        <v>2726</v>
      </c>
      <c r="AE18" s="207" t="s">
        <v>2726</v>
      </c>
      <c r="AF18" s="207" t="s">
        <v>2726</v>
      </c>
      <c r="AG18" s="207" t="s">
        <v>2726</v>
      </c>
      <c r="AH18" s="207" t="s">
        <v>2726</v>
      </c>
      <c r="AI18" s="207" t="s">
        <v>1265</v>
      </c>
      <c r="AJ18" s="207" t="s">
        <v>2726</v>
      </c>
      <c r="AK18" s="207" t="s">
        <v>2727</v>
      </c>
    </row>
    <row r="19" spans="1:37" x14ac:dyDescent="0.25">
      <c r="A19" s="207" t="s">
        <v>2759</v>
      </c>
      <c r="B19" s="207">
        <v>0</v>
      </c>
      <c r="C19" s="207" t="s">
        <v>2726</v>
      </c>
      <c r="D19" s="207" t="s">
        <v>2726</v>
      </c>
      <c r="E19" s="207" t="s">
        <v>2727</v>
      </c>
      <c r="F19" s="207" t="s">
        <v>2728</v>
      </c>
      <c r="G19" s="207" t="s">
        <v>2726</v>
      </c>
      <c r="H19" s="207">
        <v>61</v>
      </c>
      <c r="I19" s="207" t="s">
        <v>2744</v>
      </c>
      <c r="J19" s="207" t="s">
        <v>2730</v>
      </c>
      <c r="K19" s="207" t="s">
        <v>2726</v>
      </c>
      <c r="L19" s="207" t="s">
        <v>2726</v>
      </c>
      <c r="M19" s="207" t="s">
        <v>2731</v>
      </c>
      <c r="N19" s="207" t="s">
        <v>2726</v>
      </c>
      <c r="O19" s="207" t="s">
        <v>2726</v>
      </c>
      <c r="P19" s="207" t="s">
        <v>2732</v>
      </c>
      <c r="Q19" s="207" t="s">
        <v>2733</v>
      </c>
      <c r="R19" s="207">
        <v>120</v>
      </c>
      <c r="S19" s="207" t="s">
        <v>2726</v>
      </c>
      <c r="T19" s="207" t="s">
        <v>1239</v>
      </c>
      <c r="U19" s="207" t="s">
        <v>2745</v>
      </c>
      <c r="V19" s="207" t="s">
        <v>2726</v>
      </c>
      <c r="W19" s="207" t="s">
        <v>2741</v>
      </c>
      <c r="X19" s="207">
        <v>2559200</v>
      </c>
      <c r="Y19" s="207" t="s">
        <v>115</v>
      </c>
      <c r="Z19" s="207" t="s">
        <v>2726</v>
      </c>
      <c r="AA19" s="207" t="s">
        <v>2726</v>
      </c>
      <c r="AB19" s="207" t="s">
        <v>2726</v>
      </c>
      <c r="AC19" s="207" t="s">
        <v>2726</v>
      </c>
      <c r="AD19" s="207" t="s">
        <v>2726</v>
      </c>
      <c r="AE19" s="207" t="s">
        <v>2726</v>
      </c>
      <c r="AF19" s="207" t="s">
        <v>2726</v>
      </c>
      <c r="AG19" s="207" t="s">
        <v>2726</v>
      </c>
      <c r="AH19" s="207" t="s">
        <v>2726</v>
      </c>
      <c r="AI19" s="207" t="s">
        <v>1241</v>
      </c>
      <c r="AJ19" s="207" t="s">
        <v>2726</v>
      </c>
      <c r="AK19" s="207" t="s">
        <v>2727</v>
      </c>
    </row>
    <row r="20" spans="1:37" x14ac:dyDescent="0.25">
      <c r="A20" s="207" t="s">
        <v>2760</v>
      </c>
      <c r="B20" s="207">
        <v>0</v>
      </c>
      <c r="C20" s="207" t="s">
        <v>2726</v>
      </c>
      <c r="D20" s="207" t="s">
        <v>2726</v>
      </c>
      <c r="E20" s="207" t="s">
        <v>2727</v>
      </c>
      <c r="F20" s="207" t="s">
        <v>2728</v>
      </c>
      <c r="G20" s="207" t="s">
        <v>2726</v>
      </c>
      <c r="H20" s="207">
        <v>61</v>
      </c>
      <c r="I20" s="207" t="s">
        <v>2744</v>
      </c>
      <c r="J20" s="207" t="s">
        <v>2730</v>
      </c>
      <c r="K20" s="207" t="s">
        <v>2726</v>
      </c>
      <c r="L20" s="207" t="s">
        <v>2726</v>
      </c>
      <c r="M20" s="207" t="s">
        <v>2731</v>
      </c>
      <c r="N20" s="207" t="s">
        <v>2726</v>
      </c>
      <c r="O20" s="207" t="s">
        <v>2726</v>
      </c>
      <c r="P20" s="207" t="s">
        <v>2732</v>
      </c>
      <c r="Q20" s="207" t="s">
        <v>2733</v>
      </c>
      <c r="R20" s="207">
        <v>120</v>
      </c>
      <c r="S20" s="207" t="s">
        <v>2726</v>
      </c>
      <c r="T20" s="207" t="s">
        <v>1239</v>
      </c>
      <c r="U20" s="207" t="s">
        <v>2745</v>
      </c>
      <c r="V20" s="207" t="s">
        <v>2726</v>
      </c>
      <c r="W20" s="207" t="s">
        <v>2741</v>
      </c>
      <c r="X20" s="207">
        <v>150000</v>
      </c>
      <c r="Y20" s="207" t="s">
        <v>117</v>
      </c>
      <c r="Z20" s="207" t="s">
        <v>2726</v>
      </c>
      <c r="AA20" s="207" t="s">
        <v>2726</v>
      </c>
      <c r="AB20" s="207" t="s">
        <v>2726</v>
      </c>
      <c r="AC20" s="207" t="s">
        <v>2726</v>
      </c>
      <c r="AD20" s="207" t="s">
        <v>2726</v>
      </c>
      <c r="AE20" s="207" t="s">
        <v>2726</v>
      </c>
      <c r="AF20" s="207" t="s">
        <v>2726</v>
      </c>
      <c r="AG20" s="207" t="s">
        <v>2726</v>
      </c>
      <c r="AH20" s="207" t="s">
        <v>2726</v>
      </c>
      <c r="AI20" s="207" t="s">
        <v>1266</v>
      </c>
      <c r="AJ20" s="207" t="s">
        <v>2726</v>
      </c>
      <c r="AK20" s="207" t="s">
        <v>2727</v>
      </c>
    </row>
    <row r="21" spans="1:37" x14ac:dyDescent="0.25">
      <c r="A21" s="207" t="s">
        <v>2761</v>
      </c>
      <c r="B21" s="207">
        <v>0</v>
      </c>
      <c r="C21" s="207" t="s">
        <v>2726</v>
      </c>
      <c r="D21" s="207" t="s">
        <v>2726</v>
      </c>
      <c r="E21" s="207" t="s">
        <v>2727</v>
      </c>
      <c r="F21" s="207" t="s">
        <v>2728</v>
      </c>
      <c r="G21" s="207" t="s">
        <v>2726</v>
      </c>
      <c r="H21" s="207">
        <v>61</v>
      </c>
      <c r="I21" s="207" t="s">
        <v>2744</v>
      </c>
      <c r="J21" s="207" t="s">
        <v>2730</v>
      </c>
      <c r="K21" s="207" t="s">
        <v>2726</v>
      </c>
      <c r="L21" s="207" t="s">
        <v>2726</v>
      </c>
      <c r="M21" s="207" t="s">
        <v>2731</v>
      </c>
      <c r="N21" s="207" t="s">
        <v>2726</v>
      </c>
      <c r="O21" s="207" t="s">
        <v>2726</v>
      </c>
      <c r="P21" s="207" t="s">
        <v>2732</v>
      </c>
      <c r="Q21" s="207" t="s">
        <v>2733</v>
      </c>
      <c r="R21" s="207">
        <v>120</v>
      </c>
      <c r="S21" s="207" t="s">
        <v>2726</v>
      </c>
      <c r="T21" s="207" t="s">
        <v>1239</v>
      </c>
      <c r="U21" s="207" t="s">
        <v>2745</v>
      </c>
      <c r="V21" s="207" t="s">
        <v>2726</v>
      </c>
      <c r="W21" s="207" t="s">
        <v>2741</v>
      </c>
      <c r="X21" s="207">
        <v>3763584</v>
      </c>
      <c r="Y21" s="207" t="s">
        <v>121</v>
      </c>
      <c r="Z21" s="207" t="s">
        <v>2726</v>
      </c>
      <c r="AA21" s="207" t="s">
        <v>2726</v>
      </c>
      <c r="AB21" s="207" t="s">
        <v>2726</v>
      </c>
      <c r="AC21" s="207" t="s">
        <v>2726</v>
      </c>
      <c r="AD21" s="207" t="s">
        <v>2726</v>
      </c>
      <c r="AE21" s="207" t="s">
        <v>2726</v>
      </c>
      <c r="AF21" s="207" t="s">
        <v>2726</v>
      </c>
      <c r="AG21" s="207" t="s">
        <v>2726</v>
      </c>
      <c r="AH21" s="207" t="s">
        <v>2726</v>
      </c>
      <c r="AI21" s="207" t="s">
        <v>1268</v>
      </c>
      <c r="AJ21" s="207" t="s">
        <v>2726</v>
      </c>
      <c r="AK21" s="207" t="s">
        <v>2727</v>
      </c>
    </row>
    <row r="22" spans="1:37" x14ac:dyDescent="0.25">
      <c r="A22" s="207" t="s">
        <v>2762</v>
      </c>
      <c r="B22" s="207">
        <v>0</v>
      </c>
      <c r="C22" s="207" t="s">
        <v>2726</v>
      </c>
      <c r="D22" s="207" t="s">
        <v>2726</v>
      </c>
      <c r="E22" s="207" t="s">
        <v>2727</v>
      </c>
      <c r="F22" s="207" t="s">
        <v>2728</v>
      </c>
      <c r="G22" s="207" t="s">
        <v>2726</v>
      </c>
      <c r="H22" s="207">
        <v>61</v>
      </c>
      <c r="I22" s="207" t="s">
        <v>2744</v>
      </c>
      <c r="J22" s="207" t="s">
        <v>2730</v>
      </c>
      <c r="K22" s="207" t="s">
        <v>2726</v>
      </c>
      <c r="L22" s="207" t="s">
        <v>2726</v>
      </c>
      <c r="M22" s="207" t="s">
        <v>2731</v>
      </c>
      <c r="N22" s="207" t="s">
        <v>2726</v>
      </c>
      <c r="O22" s="207" t="s">
        <v>2726</v>
      </c>
      <c r="P22" s="207" t="s">
        <v>2732</v>
      </c>
      <c r="Q22" s="207" t="s">
        <v>2733</v>
      </c>
      <c r="R22" s="207">
        <v>120</v>
      </c>
      <c r="S22" s="207" t="s">
        <v>2726</v>
      </c>
      <c r="T22" s="207" t="s">
        <v>1239</v>
      </c>
      <c r="U22" s="207" t="s">
        <v>2745</v>
      </c>
      <c r="V22" s="207" t="s">
        <v>2726</v>
      </c>
      <c r="W22" s="207" t="s">
        <v>2741</v>
      </c>
      <c r="X22" s="207">
        <v>100000</v>
      </c>
      <c r="Y22" s="207" t="s">
        <v>129</v>
      </c>
      <c r="Z22" s="207" t="s">
        <v>2726</v>
      </c>
      <c r="AA22" s="207" t="s">
        <v>2726</v>
      </c>
      <c r="AB22" s="207" t="s">
        <v>2726</v>
      </c>
      <c r="AC22" s="207" t="s">
        <v>2726</v>
      </c>
      <c r="AD22" s="207" t="s">
        <v>2726</v>
      </c>
      <c r="AE22" s="207" t="s">
        <v>2726</v>
      </c>
      <c r="AF22" s="207" t="s">
        <v>2726</v>
      </c>
      <c r="AG22" s="207" t="s">
        <v>2726</v>
      </c>
      <c r="AH22" s="207" t="s">
        <v>2726</v>
      </c>
      <c r="AI22" s="207" t="s">
        <v>1252</v>
      </c>
      <c r="AJ22" s="207" t="s">
        <v>2726</v>
      </c>
      <c r="AK22" s="207" t="s">
        <v>2727</v>
      </c>
    </row>
    <row r="23" spans="1:37" x14ac:dyDescent="0.25">
      <c r="A23" s="207" t="s">
        <v>2763</v>
      </c>
      <c r="B23" s="207">
        <v>0</v>
      </c>
      <c r="C23" s="207" t="s">
        <v>2726</v>
      </c>
      <c r="D23" s="207" t="s">
        <v>2726</v>
      </c>
      <c r="E23" s="207" t="s">
        <v>2727</v>
      </c>
      <c r="F23" s="207" t="s">
        <v>2728</v>
      </c>
      <c r="G23" s="207" t="s">
        <v>2726</v>
      </c>
      <c r="H23" s="207">
        <v>61</v>
      </c>
      <c r="I23" s="207" t="s">
        <v>2729</v>
      </c>
      <c r="J23" s="207" t="s">
        <v>2730</v>
      </c>
      <c r="K23" s="207" t="s">
        <v>2726</v>
      </c>
      <c r="L23" s="207" t="s">
        <v>2726</v>
      </c>
      <c r="M23" s="207" t="s">
        <v>2731</v>
      </c>
      <c r="N23" s="207" t="s">
        <v>2726</v>
      </c>
      <c r="O23" s="207" t="s">
        <v>2726</v>
      </c>
      <c r="P23" s="207" t="s">
        <v>2732</v>
      </c>
      <c r="Q23" s="207" t="s">
        <v>2733</v>
      </c>
      <c r="R23" s="207">
        <v>220</v>
      </c>
      <c r="S23" s="207" t="s">
        <v>2726</v>
      </c>
      <c r="T23" s="207" t="s">
        <v>1239</v>
      </c>
      <c r="U23" s="207" t="s">
        <v>2734</v>
      </c>
      <c r="V23" s="207" t="s">
        <v>2726</v>
      </c>
      <c r="W23" s="207" t="s">
        <v>629</v>
      </c>
      <c r="X23" s="207">
        <v>-1583668</v>
      </c>
      <c r="Y23" s="207" t="s">
        <v>296</v>
      </c>
      <c r="Z23" s="207" t="s">
        <v>2726</v>
      </c>
      <c r="AA23" s="207" t="s">
        <v>2726</v>
      </c>
      <c r="AB23" s="207" t="s">
        <v>2726</v>
      </c>
      <c r="AC23" s="207" t="s">
        <v>2726</v>
      </c>
      <c r="AD23" s="207" t="s">
        <v>2726</v>
      </c>
      <c r="AE23" s="207" t="s">
        <v>2726</v>
      </c>
      <c r="AF23" s="207" t="s">
        <v>2726</v>
      </c>
      <c r="AG23" s="207" t="s">
        <v>2726</v>
      </c>
      <c r="AH23" s="207" t="s">
        <v>2726</v>
      </c>
      <c r="AI23" s="207" t="s">
        <v>1274</v>
      </c>
      <c r="AJ23" s="207" t="s">
        <v>2726</v>
      </c>
      <c r="AK23" s="207" t="s">
        <v>2727</v>
      </c>
    </row>
    <row r="24" spans="1:37" x14ac:dyDescent="0.25">
      <c r="A24" s="207" t="s">
        <v>2764</v>
      </c>
      <c r="B24" s="207">
        <v>0</v>
      </c>
      <c r="C24" s="207" t="s">
        <v>2726</v>
      </c>
      <c r="D24" s="207" t="s">
        <v>2726</v>
      </c>
      <c r="E24" s="207" t="s">
        <v>2727</v>
      </c>
      <c r="F24" s="207" t="s">
        <v>2728</v>
      </c>
      <c r="G24" s="207" t="s">
        <v>2726</v>
      </c>
      <c r="H24" s="207">
        <v>61</v>
      </c>
      <c r="I24" s="207" t="s">
        <v>2729</v>
      </c>
      <c r="J24" s="207" t="s">
        <v>2730</v>
      </c>
      <c r="K24" s="207" t="s">
        <v>2726</v>
      </c>
      <c r="L24" s="207" t="s">
        <v>2726</v>
      </c>
      <c r="M24" s="207" t="s">
        <v>2731</v>
      </c>
      <c r="N24" s="207" t="s">
        <v>2726</v>
      </c>
      <c r="O24" s="207" t="s">
        <v>2726</v>
      </c>
      <c r="P24" s="207" t="s">
        <v>2732</v>
      </c>
      <c r="Q24" s="207" t="s">
        <v>2733</v>
      </c>
      <c r="R24" s="207">
        <v>220</v>
      </c>
      <c r="S24" s="207" t="s">
        <v>2726</v>
      </c>
      <c r="T24" s="207" t="s">
        <v>1239</v>
      </c>
      <c r="U24" s="207" t="s">
        <v>2734</v>
      </c>
      <c r="V24" s="207" t="s">
        <v>2726</v>
      </c>
      <c r="W24" s="207" t="s">
        <v>629</v>
      </c>
      <c r="X24" s="207">
        <v>-312855343</v>
      </c>
      <c r="Y24" s="207" t="s">
        <v>300</v>
      </c>
      <c r="Z24" s="207" t="s">
        <v>2726</v>
      </c>
      <c r="AA24" s="207" t="s">
        <v>2726</v>
      </c>
      <c r="AB24" s="207" t="s">
        <v>2726</v>
      </c>
      <c r="AC24" s="207" t="s">
        <v>2726</v>
      </c>
      <c r="AD24" s="207" t="s">
        <v>2726</v>
      </c>
      <c r="AE24" s="207" t="s">
        <v>2726</v>
      </c>
      <c r="AF24" s="207" t="s">
        <v>2726</v>
      </c>
      <c r="AG24" s="207" t="s">
        <v>2726</v>
      </c>
      <c r="AH24" s="207" t="s">
        <v>2726</v>
      </c>
      <c r="AI24" s="207" t="s">
        <v>1275</v>
      </c>
      <c r="AJ24" s="207" t="s">
        <v>2726</v>
      </c>
      <c r="AK24" s="207" t="s">
        <v>2727</v>
      </c>
    </row>
    <row r="25" spans="1:37" x14ac:dyDescent="0.25">
      <c r="A25" s="207" t="s">
        <v>2765</v>
      </c>
      <c r="B25" s="207">
        <v>0</v>
      </c>
      <c r="C25" s="207" t="s">
        <v>2726</v>
      </c>
      <c r="D25" s="207" t="s">
        <v>2726</v>
      </c>
      <c r="E25" s="207" t="s">
        <v>2727</v>
      </c>
      <c r="F25" s="207" t="s">
        <v>2728</v>
      </c>
      <c r="G25" s="207" t="s">
        <v>2726</v>
      </c>
      <c r="H25" s="207">
        <v>61</v>
      </c>
      <c r="I25" s="207" t="s">
        <v>2744</v>
      </c>
      <c r="J25" s="207" t="s">
        <v>2730</v>
      </c>
      <c r="K25" s="207" t="s">
        <v>2726</v>
      </c>
      <c r="L25" s="207" t="s">
        <v>2726</v>
      </c>
      <c r="M25" s="207" t="s">
        <v>2731</v>
      </c>
      <c r="N25" s="207" t="s">
        <v>2726</v>
      </c>
      <c r="O25" s="207" t="s">
        <v>2726</v>
      </c>
      <c r="P25" s="207" t="s">
        <v>2732</v>
      </c>
      <c r="Q25" s="207" t="s">
        <v>2733</v>
      </c>
      <c r="R25" s="207">
        <v>120</v>
      </c>
      <c r="S25" s="207" t="s">
        <v>2726</v>
      </c>
      <c r="T25" s="207" t="s">
        <v>1239</v>
      </c>
      <c r="U25" s="207" t="s">
        <v>2745</v>
      </c>
      <c r="V25" s="207" t="s">
        <v>2726</v>
      </c>
      <c r="W25" s="207" t="s">
        <v>2741</v>
      </c>
      <c r="X25" s="207">
        <v>4170000</v>
      </c>
      <c r="Y25" s="207" t="s">
        <v>72</v>
      </c>
      <c r="Z25" s="207" t="s">
        <v>2726</v>
      </c>
      <c r="AA25" s="207" t="s">
        <v>2726</v>
      </c>
      <c r="AB25" s="207" t="s">
        <v>2726</v>
      </c>
      <c r="AC25" s="207" t="s">
        <v>2726</v>
      </c>
      <c r="AD25" s="207" t="s">
        <v>2726</v>
      </c>
      <c r="AE25" s="207" t="s">
        <v>2726</v>
      </c>
      <c r="AF25" s="207" t="s">
        <v>2726</v>
      </c>
      <c r="AG25" s="207" t="s">
        <v>2726</v>
      </c>
      <c r="AH25" s="207" t="s">
        <v>2726</v>
      </c>
      <c r="AI25" s="207" t="s">
        <v>1257</v>
      </c>
      <c r="AJ25" s="207" t="s">
        <v>2726</v>
      </c>
      <c r="AK25" s="207" t="s">
        <v>2727</v>
      </c>
    </row>
    <row r="26" spans="1:37" x14ac:dyDescent="0.25">
      <c r="A26" s="207" t="s">
        <v>2766</v>
      </c>
      <c r="B26" s="207">
        <v>0</v>
      </c>
      <c r="C26" s="207" t="s">
        <v>2726</v>
      </c>
      <c r="D26" s="207" t="s">
        <v>2726</v>
      </c>
      <c r="E26" s="207" t="s">
        <v>2767</v>
      </c>
      <c r="F26" s="207" t="s">
        <v>2728</v>
      </c>
      <c r="G26" s="207" t="s">
        <v>2726</v>
      </c>
      <c r="H26" s="207">
        <v>61</v>
      </c>
      <c r="I26" s="207" t="s">
        <v>2744</v>
      </c>
      <c r="J26" s="207" t="s">
        <v>2730</v>
      </c>
      <c r="K26" s="207" t="s">
        <v>2726</v>
      </c>
      <c r="L26" s="207" t="s">
        <v>2726</v>
      </c>
      <c r="M26" s="207" t="s">
        <v>2738</v>
      </c>
      <c r="N26" s="207" t="s">
        <v>2726</v>
      </c>
      <c r="O26" s="207" t="s">
        <v>2726</v>
      </c>
      <c r="P26" s="207" t="s">
        <v>2732</v>
      </c>
      <c r="Q26" s="207" t="s">
        <v>2733</v>
      </c>
      <c r="R26" s="207">
        <v>120</v>
      </c>
      <c r="S26" s="207" t="s">
        <v>2726</v>
      </c>
      <c r="T26" s="207" t="s">
        <v>1262</v>
      </c>
      <c r="U26" s="207" t="s">
        <v>2740</v>
      </c>
      <c r="V26" s="207" t="s">
        <v>2726</v>
      </c>
      <c r="W26" s="207" t="s">
        <v>2741</v>
      </c>
      <c r="X26" s="207">
        <v>64708332</v>
      </c>
      <c r="Y26" s="207" t="s">
        <v>59</v>
      </c>
      <c r="Z26" s="207" t="s">
        <v>2726</v>
      </c>
      <c r="AA26" s="207" t="s">
        <v>2726</v>
      </c>
      <c r="AB26" s="207" t="s">
        <v>2726</v>
      </c>
      <c r="AC26" s="207" t="s">
        <v>2726</v>
      </c>
      <c r="AD26" s="207" t="s">
        <v>2726</v>
      </c>
      <c r="AE26" s="207" t="s">
        <v>2726</v>
      </c>
      <c r="AF26" s="207" t="s">
        <v>2726</v>
      </c>
      <c r="AG26" s="207" t="s">
        <v>2726</v>
      </c>
      <c r="AH26" s="207" t="s">
        <v>2726</v>
      </c>
      <c r="AI26" s="207" t="s">
        <v>1242</v>
      </c>
      <c r="AJ26" s="207" t="s">
        <v>2726</v>
      </c>
      <c r="AK26" s="207" t="s">
        <v>2767</v>
      </c>
    </row>
    <row r="27" spans="1:37" x14ac:dyDescent="0.25">
      <c r="A27" s="207" t="s">
        <v>2768</v>
      </c>
      <c r="B27" s="207">
        <v>0</v>
      </c>
      <c r="C27" s="207" t="s">
        <v>2726</v>
      </c>
      <c r="D27" s="207" t="s">
        <v>2726</v>
      </c>
      <c r="E27" s="207" t="s">
        <v>2769</v>
      </c>
      <c r="F27" s="207" t="s">
        <v>2728</v>
      </c>
      <c r="G27" s="207" t="s">
        <v>2726</v>
      </c>
      <c r="H27" s="207">
        <v>60</v>
      </c>
      <c r="I27" s="207" t="s">
        <v>2737</v>
      </c>
      <c r="J27" s="207" t="s">
        <v>2730</v>
      </c>
      <c r="K27" s="207" t="s">
        <v>2726</v>
      </c>
      <c r="L27" s="207" t="s">
        <v>2726</v>
      </c>
      <c r="M27" s="207" t="s">
        <v>2770</v>
      </c>
      <c r="N27" s="207" t="s">
        <v>2726</v>
      </c>
      <c r="O27" s="207" t="s">
        <v>2726</v>
      </c>
      <c r="P27" s="207" t="s">
        <v>2739</v>
      </c>
      <c r="Q27" s="207" t="s">
        <v>2733</v>
      </c>
      <c r="R27" s="207">
        <v>121</v>
      </c>
      <c r="S27" s="207" t="s">
        <v>2726</v>
      </c>
      <c r="T27" s="207" t="s">
        <v>1239</v>
      </c>
      <c r="U27" s="207" t="s">
        <v>2771</v>
      </c>
      <c r="V27" s="207" t="s">
        <v>2726</v>
      </c>
      <c r="W27" s="207" t="s">
        <v>2741</v>
      </c>
      <c r="X27" s="207">
        <v>1595</v>
      </c>
      <c r="Y27" s="207" t="s">
        <v>125</v>
      </c>
      <c r="Z27" s="207" t="s">
        <v>2726</v>
      </c>
      <c r="AA27" s="207" t="s">
        <v>2726</v>
      </c>
      <c r="AB27" s="207" t="s">
        <v>2726</v>
      </c>
      <c r="AC27" s="207" t="s">
        <v>2726</v>
      </c>
      <c r="AD27" s="207" t="s">
        <v>2726</v>
      </c>
      <c r="AE27" s="207" t="s">
        <v>2726</v>
      </c>
      <c r="AF27" s="207" t="s">
        <v>2726</v>
      </c>
      <c r="AG27" s="207" t="s">
        <v>2726</v>
      </c>
      <c r="AH27" s="207" t="s">
        <v>2726</v>
      </c>
      <c r="AI27" s="207" t="s">
        <v>1302</v>
      </c>
      <c r="AJ27" s="207" t="s">
        <v>2726</v>
      </c>
      <c r="AK27" s="207" t="s">
        <v>2769</v>
      </c>
    </row>
    <row r="28" spans="1:37" x14ac:dyDescent="0.25">
      <c r="A28" s="207" t="s">
        <v>2772</v>
      </c>
      <c r="B28" s="207">
        <v>0</v>
      </c>
      <c r="C28" s="207" t="s">
        <v>2726</v>
      </c>
      <c r="D28" s="207" t="s">
        <v>2726</v>
      </c>
      <c r="E28" s="207" t="s">
        <v>2769</v>
      </c>
      <c r="F28" s="207" t="s">
        <v>2728</v>
      </c>
      <c r="G28" s="207" t="s">
        <v>2726</v>
      </c>
      <c r="H28" s="207">
        <v>60</v>
      </c>
      <c r="I28" s="207" t="s">
        <v>2737</v>
      </c>
      <c r="J28" s="207" t="s">
        <v>2730</v>
      </c>
      <c r="K28" s="207" t="s">
        <v>2726</v>
      </c>
      <c r="L28" s="207" t="s">
        <v>2726</v>
      </c>
      <c r="M28" s="207" t="s">
        <v>2770</v>
      </c>
      <c r="N28" s="207" t="s">
        <v>2726</v>
      </c>
      <c r="O28" s="207" t="s">
        <v>2726</v>
      </c>
      <c r="P28" s="207" t="s">
        <v>2739</v>
      </c>
      <c r="Q28" s="207" t="s">
        <v>2733</v>
      </c>
      <c r="R28" s="207">
        <v>121</v>
      </c>
      <c r="S28" s="207" t="s">
        <v>2726</v>
      </c>
      <c r="T28" s="207" t="s">
        <v>1239</v>
      </c>
      <c r="U28" s="207" t="s">
        <v>2771</v>
      </c>
      <c r="V28" s="207" t="s">
        <v>2726</v>
      </c>
      <c r="W28" s="207" t="s">
        <v>629</v>
      </c>
      <c r="X28" s="207">
        <v>-1595</v>
      </c>
      <c r="Y28" s="207" t="s">
        <v>129</v>
      </c>
      <c r="Z28" s="207" t="s">
        <v>2726</v>
      </c>
      <c r="AA28" s="207" t="s">
        <v>2726</v>
      </c>
      <c r="AB28" s="207" t="s">
        <v>2726</v>
      </c>
      <c r="AC28" s="207" t="s">
        <v>2726</v>
      </c>
      <c r="AD28" s="207" t="s">
        <v>2726</v>
      </c>
      <c r="AE28" s="207" t="s">
        <v>2726</v>
      </c>
      <c r="AF28" s="207" t="s">
        <v>2726</v>
      </c>
      <c r="AG28" s="207" t="s">
        <v>2726</v>
      </c>
      <c r="AH28" s="207" t="s">
        <v>2726</v>
      </c>
      <c r="AI28" s="207" t="s">
        <v>1252</v>
      </c>
      <c r="AJ28" s="207" t="s">
        <v>2726</v>
      </c>
      <c r="AK28" s="207" t="s">
        <v>2769</v>
      </c>
    </row>
    <row r="29" spans="1:37" x14ac:dyDescent="0.25">
      <c r="A29" s="207" t="s">
        <v>2773</v>
      </c>
      <c r="B29" s="207">
        <v>0</v>
      </c>
      <c r="C29" s="207" t="s">
        <v>2726</v>
      </c>
      <c r="D29" s="207" t="s">
        <v>2726</v>
      </c>
      <c r="E29" s="207" t="s">
        <v>2774</v>
      </c>
      <c r="F29" s="207" t="s">
        <v>2728</v>
      </c>
      <c r="G29" s="207" t="s">
        <v>2726</v>
      </c>
      <c r="H29" s="207">
        <v>61</v>
      </c>
      <c r="I29" s="207" t="s">
        <v>2744</v>
      </c>
      <c r="J29" s="207" t="s">
        <v>2730</v>
      </c>
      <c r="K29" s="207" t="s">
        <v>2726</v>
      </c>
      <c r="L29" s="207" t="s">
        <v>2726</v>
      </c>
      <c r="M29" s="207" t="s">
        <v>2770</v>
      </c>
      <c r="N29" s="207" t="s">
        <v>2726</v>
      </c>
      <c r="O29" s="207" t="s">
        <v>2726</v>
      </c>
      <c r="P29" s="207" t="s">
        <v>2732</v>
      </c>
      <c r="Q29" s="207" t="s">
        <v>2733</v>
      </c>
      <c r="R29" s="207">
        <v>120</v>
      </c>
      <c r="S29" s="207" t="s">
        <v>2726</v>
      </c>
      <c r="T29" s="207" t="s">
        <v>1239</v>
      </c>
      <c r="U29" s="207" t="s">
        <v>2771</v>
      </c>
      <c r="V29" s="207" t="s">
        <v>2726</v>
      </c>
      <c r="W29" s="207" t="s">
        <v>2741</v>
      </c>
      <c r="X29" s="207">
        <v>44751560</v>
      </c>
      <c r="Y29" s="207" t="s">
        <v>59</v>
      </c>
      <c r="Z29" s="207" t="s">
        <v>2726</v>
      </c>
      <c r="AA29" s="207" t="s">
        <v>2726</v>
      </c>
      <c r="AB29" s="207" t="s">
        <v>2726</v>
      </c>
      <c r="AC29" s="207" t="s">
        <v>2726</v>
      </c>
      <c r="AD29" s="207" t="s">
        <v>2726</v>
      </c>
      <c r="AE29" s="207" t="s">
        <v>2726</v>
      </c>
      <c r="AF29" s="207" t="s">
        <v>2726</v>
      </c>
      <c r="AG29" s="207" t="s">
        <v>2726</v>
      </c>
      <c r="AH29" s="207" t="s">
        <v>2726</v>
      </c>
      <c r="AI29" s="207" t="s">
        <v>1242</v>
      </c>
      <c r="AJ29" s="207" t="s">
        <v>2726</v>
      </c>
      <c r="AK29" s="207" t="s">
        <v>2774</v>
      </c>
    </row>
    <row r="30" spans="1:37" x14ac:dyDescent="0.25">
      <c r="A30" s="207" t="s">
        <v>2775</v>
      </c>
      <c r="B30" s="207">
        <v>0</v>
      </c>
      <c r="C30" s="207" t="s">
        <v>2726</v>
      </c>
      <c r="D30" s="207" t="s">
        <v>2726</v>
      </c>
      <c r="E30" s="207" t="s">
        <v>2774</v>
      </c>
      <c r="F30" s="207" t="s">
        <v>2728</v>
      </c>
      <c r="G30" s="207" t="s">
        <v>2726</v>
      </c>
      <c r="H30" s="207">
        <v>61</v>
      </c>
      <c r="I30" s="207" t="s">
        <v>2744</v>
      </c>
      <c r="J30" s="207" t="s">
        <v>2730</v>
      </c>
      <c r="K30" s="207" t="s">
        <v>2726</v>
      </c>
      <c r="L30" s="207" t="s">
        <v>2726</v>
      </c>
      <c r="M30" s="207" t="s">
        <v>2770</v>
      </c>
      <c r="N30" s="207" t="s">
        <v>2726</v>
      </c>
      <c r="O30" s="207" t="s">
        <v>2726</v>
      </c>
      <c r="P30" s="207" t="s">
        <v>2732</v>
      </c>
      <c r="Q30" s="207" t="s">
        <v>2733</v>
      </c>
      <c r="R30" s="207">
        <v>120</v>
      </c>
      <c r="S30" s="207" t="s">
        <v>2726</v>
      </c>
      <c r="T30" s="207" t="s">
        <v>1239</v>
      </c>
      <c r="U30" s="207" t="s">
        <v>2771</v>
      </c>
      <c r="V30" s="207" t="s">
        <v>2726</v>
      </c>
      <c r="W30" s="207" t="s">
        <v>2741</v>
      </c>
      <c r="X30" s="207">
        <v>2400000</v>
      </c>
      <c r="Y30" s="207" t="s">
        <v>66</v>
      </c>
      <c r="Z30" s="207" t="s">
        <v>2726</v>
      </c>
      <c r="AA30" s="207" t="s">
        <v>2726</v>
      </c>
      <c r="AB30" s="207" t="s">
        <v>2726</v>
      </c>
      <c r="AC30" s="207" t="s">
        <v>2726</v>
      </c>
      <c r="AD30" s="207" t="s">
        <v>2726</v>
      </c>
      <c r="AE30" s="207" t="s">
        <v>2726</v>
      </c>
      <c r="AF30" s="207" t="s">
        <v>2726</v>
      </c>
      <c r="AG30" s="207" t="s">
        <v>2726</v>
      </c>
      <c r="AH30" s="207" t="s">
        <v>2726</v>
      </c>
      <c r="AI30" s="207" t="s">
        <v>1303</v>
      </c>
      <c r="AJ30" s="207" t="s">
        <v>2726</v>
      </c>
      <c r="AK30" s="207" t="s">
        <v>2774</v>
      </c>
    </row>
    <row r="31" spans="1:37" x14ac:dyDescent="0.25">
      <c r="A31" s="207" t="s">
        <v>2776</v>
      </c>
      <c r="B31" s="207">
        <v>0</v>
      </c>
      <c r="C31" s="207" t="s">
        <v>2726</v>
      </c>
      <c r="D31" s="207" t="s">
        <v>2726</v>
      </c>
      <c r="E31" s="207" t="s">
        <v>2774</v>
      </c>
      <c r="F31" s="207" t="s">
        <v>2728</v>
      </c>
      <c r="G31" s="207" t="s">
        <v>2726</v>
      </c>
      <c r="H31" s="207">
        <v>61</v>
      </c>
      <c r="I31" s="207" t="s">
        <v>2744</v>
      </c>
      <c r="J31" s="207" t="s">
        <v>2730</v>
      </c>
      <c r="K31" s="207" t="s">
        <v>2726</v>
      </c>
      <c r="L31" s="207" t="s">
        <v>2726</v>
      </c>
      <c r="M31" s="207" t="s">
        <v>2770</v>
      </c>
      <c r="N31" s="207" t="s">
        <v>2726</v>
      </c>
      <c r="O31" s="207" t="s">
        <v>2726</v>
      </c>
      <c r="P31" s="207" t="s">
        <v>2732</v>
      </c>
      <c r="Q31" s="207" t="s">
        <v>2733</v>
      </c>
      <c r="R31" s="207">
        <v>120</v>
      </c>
      <c r="S31" s="207" t="s">
        <v>2726</v>
      </c>
      <c r="T31" s="207" t="s">
        <v>1239</v>
      </c>
      <c r="U31" s="207" t="s">
        <v>2771</v>
      </c>
      <c r="V31" s="207" t="s">
        <v>2726</v>
      </c>
      <c r="W31" s="207" t="s">
        <v>2741</v>
      </c>
      <c r="X31" s="207">
        <v>810000</v>
      </c>
      <c r="Y31" s="207" t="s">
        <v>72</v>
      </c>
      <c r="Z31" s="207" t="s">
        <v>2726</v>
      </c>
      <c r="AA31" s="207" t="s">
        <v>2726</v>
      </c>
      <c r="AB31" s="207" t="s">
        <v>2726</v>
      </c>
      <c r="AC31" s="207" t="s">
        <v>2726</v>
      </c>
      <c r="AD31" s="207" t="s">
        <v>2726</v>
      </c>
      <c r="AE31" s="207" t="s">
        <v>2726</v>
      </c>
      <c r="AF31" s="207" t="s">
        <v>2726</v>
      </c>
      <c r="AG31" s="207" t="s">
        <v>2726</v>
      </c>
      <c r="AH31" s="207" t="s">
        <v>2726</v>
      </c>
      <c r="AI31" s="207" t="s">
        <v>1257</v>
      </c>
      <c r="AJ31" s="207" t="s">
        <v>2726</v>
      </c>
      <c r="AK31" s="207" t="s">
        <v>2774</v>
      </c>
    </row>
    <row r="32" spans="1:37" x14ac:dyDescent="0.25">
      <c r="A32" s="207" t="s">
        <v>2777</v>
      </c>
      <c r="B32" s="207">
        <v>0</v>
      </c>
      <c r="C32" s="207" t="s">
        <v>2726</v>
      </c>
      <c r="D32" s="207" t="s">
        <v>2726</v>
      </c>
      <c r="E32" s="207" t="s">
        <v>2774</v>
      </c>
      <c r="F32" s="207" t="s">
        <v>2728</v>
      </c>
      <c r="G32" s="207" t="s">
        <v>2726</v>
      </c>
      <c r="H32" s="207">
        <v>61</v>
      </c>
      <c r="I32" s="207" t="s">
        <v>2744</v>
      </c>
      <c r="J32" s="207" t="s">
        <v>2730</v>
      </c>
      <c r="K32" s="207" t="s">
        <v>2726</v>
      </c>
      <c r="L32" s="207" t="s">
        <v>2726</v>
      </c>
      <c r="M32" s="207" t="s">
        <v>2770</v>
      </c>
      <c r="N32" s="207" t="s">
        <v>2726</v>
      </c>
      <c r="O32" s="207" t="s">
        <v>2726</v>
      </c>
      <c r="P32" s="207" t="s">
        <v>2732</v>
      </c>
      <c r="Q32" s="207" t="s">
        <v>2733</v>
      </c>
      <c r="R32" s="207">
        <v>120</v>
      </c>
      <c r="S32" s="207" t="s">
        <v>2726</v>
      </c>
      <c r="T32" s="207" t="s">
        <v>1239</v>
      </c>
      <c r="U32" s="207" t="s">
        <v>2771</v>
      </c>
      <c r="V32" s="207" t="s">
        <v>2726</v>
      </c>
      <c r="W32" s="207" t="s">
        <v>2741</v>
      </c>
      <c r="X32" s="207">
        <v>96000</v>
      </c>
      <c r="Y32" s="207" t="s">
        <v>84</v>
      </c>
      <c r="Z32" s="207" t="s">
        <v>2726</v>
      </c>
      <c r="AA32" s="207" t="s">
        <v>2726</v>
      </c>
      <c r="AB32" s="207" t="s">
        <v>2726</v>
      </c>
      <c r="AC32" s="207" t="s">
        <v>2726</v>
      </c>
      <c r="AD32" s="207" t="s">
        <v>2726</v>
      </c>
      <c r="AE32" s="207" t="s">
        <v>2726</v>
      </c>
      <c r="AF32" s="207" t="s">
        <v>2726</v>
      </c>
      <c r="AG32" s="207" t="s">
        <v>2726</v>
      </c>
      <c r="AH32" s="207" t="s">
        <v>2726</v>
      </c>
      <c r="AI32" s="207" t="s">
        <v>1300</v>
      </c>
      <c r="AJ32" s="207" t="s">
        <v>2726</v>
      </c>
      <c r="AK32" s="207" t="s">
        <v>2774</v>
      </c>
    </row>
    <row r="33" spans="1:37" x14ac:dyDescent="0.25">
      <c r="A33" s="207" t="s">
        <v>2778</v>
      </c>
      <c r="B33" s="207">
        <v>0</v>
      </c>
      <c r="C33" s="207" t="s">
        <v>2726</v>
      </c>
      <c r="D33" s="207" t="s">
        <v>2726</v>
      </c>
      <c r="E33" s="207" t="s">
        <v>2774</v>
      </c>
      <c r="F33" s="207" t="s">
        <v>2728</v>
      </c>
      <c r="G33" s="207" t="s">
        <v>2726</v>
      </c>
      <c r="H33" s="207">
        <v>61</v>
      </c>
      <c r="I33" s="207" t="s">
        <v>2744</v>
      </c>
      <c r="J33" s="207" t="s">
        <v>2730</v>
      </c>
      <c r="K33" s="207" t="s">
        <v>2726</v>
      </c>
      <c r="L33" s="207" t="s">
        <v>2726</v>
      </c>
      <c r="M33" s="207" t="s">
        <v>2770</v>
      </c>
      <c r="N33" s="207" t="s">
        <v>2726</v>
      </c>
      <c r="O33" s="207" t="s">
        <v>2726</v>
      </c>
      <c r="P33" s="207" t="s">
        <v>2732</v>
      </c>
      <c r="Q33" s="207" t="s">
        <v>2733</v>
      </c>
      <c r="R33" s="207">
        <v>120</v>
      </c>
      <c r="S33" s="207" t="s">
        <v>2726</v>
      </c>
      <c r="T33" s="207" t="s">
        <v>1239</v>
      </c>
      <c r="U33" s="207" t="s">
        <v>2771</v>
      </c>
      <c r="V33" s="207" t="s">
        <v>2726</v>
      </c>
      <c r="W33" s="207" t="s">
        <v>2741</v>
      </c>
      <c r="X33" s="207">
        <v>52663378</v>
      </c>
      <c r="Y33" s="207" t="s">
        <v>86</v>
      </c>
      <c r="Z33" s="207" t="s">
        <v>2726</v>
      </c>
      <c r="AA33" s="207" t="s">
        <v>2726</v>
      </c>
      <c r="AB33" s="207" t="s">
        <v>2726</v>
      </c>
      <c r="AC33" s="207" t="s">
        <v>2726</v>
      </c>
      <c r="AD33" s="207" t="s">
        <v>2726</v>
      </c>
      <c r="AE33" s="207" t="s">
        <v>2726</v>
      </c>
      <c r="AF33" s="207" t="s">
        <v>2726</v>
      </c>
      <c r="AG33" s="207" t="s">
        <v>2726</v>
      </c>
      <c r="AH33" s="207" t="s">
        <v>2726</v>
      </c>
      <c r="AI33" s="207" t="s">
        <v>1244</v>
      </c>
      <c r="AJ33" s="207" t="s">
        <v>2726</v>
      </c>
      <c r="AK33" s="207" t="s">
        <v>2774</v>
      </c>
    </row>
    <row r="34" spans="1:37" x14ac:dyDescent="0.25">
      <c r="A34" s="207" t="s">
        <v>2779</v>
      </c>
      <c r="B34" s="207">
        <v>0</v>
      </c>
      <c r="C34" s="207" t="s">
        <v>2726</v>
      </c>
      <c r="D34" s="207" t="s">
        <v>2726</v>
      </c>
      <c r="E34" s="207" t="s">
        <v>2774</v>
      </c>
      <c r="F34" s="207" t="s">
        <v>2728</v>
      </c>
      <c r="G34" s="207" t="s">
        <v>2726</v>
      </c>
      <c r="H34" s="207">
        <v>61</v>
      </c>
      <c r="I34" s="207" t="s">
        <v>2744</v>
      </c>
      <c r="J34" s="207" t="s">
        <v>2730</v>
      </c>
      <c r="K34" s="207" t="s">
        <v>2726</v>
      </c>
      <c r="L34" s="207" t="s">
        <v>2726</v>
      </c>
      <c r="M34" s="207" t="s">
        <v>2770</v>
      </c>
      <c r="N34" s="207" t="s">
        <v>2726</v>
      </c>
      <c r="O34" s="207" t="s">
        <v>2726</v>
      </c>
      <c r="P34" s="207" t="s">
        <v>2732</v>
      </c>
      <c r="Q34" s="207" t="s">
        <v>2733</v>
      </c>
      <c r="R34" s="207">
        <v>120</v>
      </c>
      <c r="S34" s="207" t="s">
        <v>2726</v>
      </c>
      <c r="T34" s="207" t="s">
        <v>1239</v>
      </c>
      <c r="U34" s="207" t="s">
        <v>2771</v>
      </c>
      <c r="V34" s="207" t="s">
        <v>2726</v>
      </c>
      <c r="W34" s="207" t="s">
        <v>2741</v>
      </c>
      <c r="X34" s="207">
        <v>10032000</v>
      </c>
      <c r="Y34" s="207" t="s">
        <v>88</v>
      </c>
      <c r="Z34" s="207" t="s">
        <v>2726</v>
      </c>
      <c r="AA34" s="207" t="s">
        <v>2726</v>
      </c>
      <c r="AB34" s="207" t="s">
        <v>2726</v>
      </c>
      <c r="AC34" s="207" t="s">
        <v>2726</v>
      </c>
      <c r="AD34" s="207" t="s">
        <v>2726</v>
      </c>
      <c r="AE34" s="207" t="s">
        <v>2726</v>
      </c>
      <c r="AF34" s="207" t="s">
        <v>2726</v>
      </c>
      <c r="AG34" s="207" t="s">
        <v>2726</v>
      </c>
      <c r="AH34" s="207" t="s">
        <v>2726</v>
      </c>
      <c r="AI34" s="207" t="s">
        <v>1245</v>
      </c>
      <c r="AJ34" s="207" t="s">
        <v>2726</v>
      </c>
      <c r="AK34" s="207" t="s">
        <v>2774</v>
      </c>
    </row>
    <row r="35" spans="1:37" x14ac:dyDescent="0.25">
      <c r="A35" s="207" t="s">
        <v>2780</v>
      </c>
      <c r="B35" s="207">
        <v>0</v>
      </c>
      <c r="C35" s="207" t="s">
        <v>2726</v>
      </c>
      <c r="D35" s="207" t="s">
        <v>2726</v>
      </c>
      <c r="E35" s="207" t="s">
        <v>2774</v>
      </c>
      <c r="F35" s="207" t="s">
        <v>2728</v>
      </c>
      <c r="G35" s="207" t="s">
        <v>2726</v>
      </c>
      <c r="H35" s="207">
        <v>61</v>
      </c>
      <c r="I35" s="207" t="s">
        <v>2744</v>
      </c>
      <c r="J35" s="207" t="s">
        <v>2730</v>
      </c>
      <c r="K35" s="207" t="s">
        <v>2726</v>
      </c>
      <c r="L35" s="207" t="s">
        <v>2726</v>
      </c>
      <c r="M35" s="207" t="s">
        <v>2770</v>
      </c>
      <c r="N35" s="207" t="s">
        <v>2726</v>
      </c>
      <c r="O35" s="207" t="s">
        <v>2726</v>
      </c>
      <c r="P35" s="207" t="s">
        <v>2732</v>
      </c>
      <c r="Q35" s="207" t="s">
        <v>2733</v>
      </c>
      <c r="R35" s="207">
        <v>120</v>
      </c>
      <c r="S35" s="207" t="s">
        <v>2726</v>
      </c>
      <c r="T35" s="207" t="s">
        <v>1239</v>
      </c>
      <c r="U35" s="207" t="s">
        <v>2771</v>
      </c>
      <c r="V35" s="207" t="s">
        <v>2726</v>
      </c>
      <c r="W35" s="207" t="s">
        <v>2741</v>
      </c>
      <c r="X35" s="207">
        <v>12128222</v>
      </c>
      <c r="Y35" s="207" t="s">
        <v>92</v>
      </c>
      <c r="Z35" s="207" t="s">
        <v>2726</v>
      </c>
      <c r="AA35" s="207" t="s">
        <v>2726</v>
      </c>
      <c r="AB35" s="207" t="s">
        <v>2726</v>
      </c>
      <c r="AC35" s="207" t="s">
        <v>2726</v>
      </c>
      <c r="AD35" s="207" t="s">
        <v>2726</v>
      </c>
      <c r="AE35" s="207" t="s">
        <v>2726</v>
      </c>
      <c r="AF35" s="207" t="s">
        <v>2726</v>
      </c>
      <c r="AG35" s="207" t="s">
        <v>2726</v>
      </c>
      <c r="AH35" s="207" t="s">
        <v>2726</v>
      </c>
      <c r="AI35" s="207" t="s">
        <v>317</v>
      </c>
      <c r="AJ35" s="207" t="s">
        <v>2726</v>
      </c>
      <c r="AK35" s="207" t="s">
        <v>2774</v>
      </c>
    </row>
    <row r="36" spans="1:37" x14ac:dyDescent="0.25">
      <c r="A36" s="207" t="s">
        <v>2781</v>
      </c>
      <c r="B36" s="207">
        <v>0</v>
      </c>
      <c r="C36" s="207" t="s">
        <v>2726</v>
      </c>
      <c r="D36" s="207" t="s">
        <v>2726</v>
      </c>
      <c r="E36" s="207" t="s">
        <v>2774</v>
      </c>
      <c r="F36" s="207" t="s">
        <v>2728</v>
      </c>
      <c r="G36" s="207" t="s">
        <v>2726</v>
      </c>
      <c r="H36" s="207">
        <v>61</v>
      </c>
      <c r="I36" s="207" t="s">
        <v>2744</v>
      </c>
      <c r="J36" s="207" t="s">
        <v>2730</v>
      </c>
      <c r="K36" s="207" t="s">
        <v>2726</v>
      </c>
      <c r="L36" s="207" t="s">
        <v>2726</v>
      </c>
      <c r="M36" s="207" t="s">
        <v>2770</v>
      </c>
      <c r="N36" s="207" t="s">
        <v>2726</v>
      </c>
      <c r="O36" s="207" t="s">
        <v>2726</v>
      </c>
      <c r="P36" s="207" t="s">
        <v>2732</v>
      </c>
      <c r="Q36" s="207" t="s">
        <v>2733</v>
      </c>
      <c r="R36" s="207">
        <v>120</v>
      </c>
      <c r="S36" s="207" t="s">
        <v>2726</v>
      </c>
      <c r="T36" s="207" t="s">
        <v>1239</v>
      </c>
      <c r="U36" s="207" t="s">
        <v>2771</v>
      </c>
      <c r="V36" s="207" t="s">
        <v>2726</v>
      </c>
      <c r="W36" s="207" t="s">
        <v>2741</v>
      </c>
      <c r="X36" s="207">
        <v>11468857</v>
      </c>
      <c r="Y36" s="207" t="s">
        <v>96</v>
      </c>
      <c r="Z36" s="207" t="s">
        <v>2726</v>
      </c>
      <c r="AA36" s="207" t="s">
        <v>2726</v>
      </c>
      <c r="AB36" s="207" t="s">
        <v>2726</v>
      </c>
      <c r="AC36" s="207" t="s">
        <v>2726</v>
      </c>
      <c r="AD36" s="207" t="s">
        <v>2726</v>
      </c>
      <c r="AE36" s="207" t="s">
        <v>2726</v>
      </c>
      <c r="AF36" s="207" t="s">
        <v>2726</v>
      </c>
      <c r="AG36" s="207" t="s">
        <v>2726</v>
      </c>
      <c r="AH36" s="207" t="s">
        <v>2726</v>
      </c>
      <c r="AI36" s="207" t="s">
        <v>1240</v>
      </c>
      <c r="AJ36" s="207" t="s">
        <v>2726</v>
      </c>
      <c r="AK36" s="207" t="s">
        <v>2774</v>
      </c>
    </row>
    <row r="37" spans="1:37" x14ac:dyDescent="0.25">
      <c r="A37" s="207" t="s">
        <v>2782</v>
      </c>
      <c r="B37" s="207">
        <v>0</v>
      </c>
      <c r="C37" s="207" t="s">
        <v>2726</v>
      </c>
      <c r="D37" s="207" t="s">
        <v>2726</v>
      </c>
      <c r="E37" s="207" t="s">
        <v>2774</v>
      </c>
      <c r="F37" s="207" t="s">
        <v>2728</v>
      </c>
      <c r="G37" s="207" t="s">
        <v>2726</v>
      </c>
      <c r="H37" s="207">
        <v>61</v>
      </c>
      <c r="I37" s="207" t="s">
        <v>2744</v>
      </c>
      <c r="J37" s="207" t="s">
        <v>2730</v>
      </c>
      <c r="K37" s="207" t="s">
        <v>2726</v>
      </c>
      <c r="L37" s="207" t="s">
        <v>2726</v>
      </c>
      <c r="M37" s="207" t="s">
        <v>2770</v>
      </c>
      <c r="N37" s="207" t="s">
        <v>2726</v>
      </c>
      <c r="O37" s="207" t="s">
        <v>2726</v>
      </c>
      <c r="P37" s="207" t="s">
        <v>2732</v>
      </c>
      <c r="Q37" s="207" t="s">
        <v>2733</v>
      </c>
      <c r="R37" s="207">
        <v>120</v>
      </c>
      <c r="S37" s="207" t="s">
        <v>2726</v>
      </c>
      <c r="T37" s="207" t="s">
        <v>1239</v>
      </c>
      <c r="U37" s="207" t="s">
        <v>2771</v>
      </c>
      <c r="V37" s="207" t="s">
        <v>2726</v>
      </c>
      <c r="W37" s="207" t="s">
        <v>2741</v>
      </c>
      <c r="X37" s="207">
        <v>9479508</v>
      </c>
      <c r="Y37" s="207" t="s">
        <v>100</v>
      </c>
      <c r="Z37" s="207" t="s">
        <v>2726</v>
      </c>
      <c r="AA37" s="207" t="s">
        <v>2726</v>
      </c>
      <c r="AB37" s="207" t="s">
        <v>2726</v>
      </c>
      <c r="AC37" s="207" t="s">
        <v>2726</v>
      </c>
      <c r="AD37" s="207" t="s">
        <v>2726</v>
      </c>
      <c r="AE37" s="207" t="s">
        <v>2726</v>
      </c>
      <c r="AF37" s="207" t="s">
        <v>2726</v>
      </c>
      <c r="AG37" s="207" t="s">
        <v>2726</v>
      </c>
      <c r="AH37" s="207" t="s">
        <v>2726</v>
      </c>
      <c r="AI37" s="207" t="s">
        <v>1247</v>
      </c>
      <c r="AJ37" s="207" t="s">
        <v>2726</v>
      </c>
      <c r="AK37" s="207" t="s">
        <v>2774</v>
      </c>
    </row>
    <row r="38" spans="1:37" x14ac:dyDescent="0.25">
      <c r="A38" s="207" t="s">
        <v>2783</v>
      </c>
      <c r="B38" s="207">
        <v>0</v>
      </c>
      <c r="C38" s="207" t="s">
        <v>2726</v>
      </c>
      <c r="D38" s="207" t="s">
        <v>2726</v>
      </c>
      <c r="E38" s="207" t="s">
        <v>2784</v>
      </c>
      <c r="F38" s="207" t="s">
        <v>2728</v>
      </c>
      <c r="G38" s="207" t="s">
        <v>2726</v>
      </c>
      <c r="H38" s="207">
        <v>60</v>
      </c>
      <c r="I38" s="207" t="s">
        <v>2737</v>
      </c>
      <c r="J38" s="207" t="s">
        <v>2785</v>
      </c>
      <c r="K38" s="207" t="s">
        <v>2726</v>
      </c>
      <c r="L38" s="207" t="s">
        <v>2726</v>
      </c>
      <c r="M38" s="207" t="s">
        <v>2731</v>
      </c>
      <c r="N38" s="207" t="s">
        <v>2726</v>
      </c>
      <c r="O38" s="207" t="s">
        <v>2726</v>
      </c>
      <c r="P38" s="207" t="s">
        <v>2739</v>
      </c>
      <c r="Q38" s="207" t="s">
        <v>2733</v>
      </c>
      <c r="R38" s="207">
        <v>121</v>
      </c>
      <c r="S38" s="207" t="s">
        <v>2726</v>
      </c>
      <c r="T38" s="207" t="s">
        <v>1239</v>
      </c>
      <c r="U38" s="207" t="s">
        <v>2745</v>
      </c>
      <c r="V38" s="207" t="s">
        <v>2726</v>
      </c>
      <c r="W38" s="207" t="s">
        <v>2741</v>
      </c>
      <c r="X38" s="207">
        <v>162783</v>
      </c>
      <c r="Y38" s="207" t="s">
        <v>66</v>
      </c>
      <c r="Z38" s="207" t="s">
        <v>2726</v>
      </c>
      <c r="AA38" s="207" t="s">
        <v>2726</v>
      </c>
      <c r="AB38" s="207" t="s">
        <v>2726</v>
      </c>
      <c r="AC38" s="207" t="s">
        <v>2726</v>
      </c>
      <c r="AD38" s="207" t="s">
        <v>2726</v>
      </c>
      <c r="AE38" s="207" t="s">
        <v>2726</v>
      </c>
      <c r="AF38" s="207" t="s">
        <v>2726</v>
      </c>
      <c r="AG38" s="207" t="s">
        <v>2726</v>
      </c>
      <c r="AH38" s="207" t="s">
        <v>2726</v>
      </c>
      <c r="AI38" s="207" t="s">
        <v>1303</v>
      </c>
      <c r="AJ38" s="207" t="s">
        <v>2726</v>
      </c>
      <c r="AK38" s="207" t="s">
        <v>2784</v>
      </c>
    </row>
    <row r="39" spans="1:37" x14ac:dyDescent="0.25">
      <c r="A39" s="207" t="s">
        <v>2786</v>
      </c>
      <c r="B39" s="207">
        <v>0</v>
      </c>
      <c r="C39" s="207" t="s">
        <v>2726</v>
      </c>
      <c r="D39" s="207" t="s">
        <v>2726</v>
      </c>
      <c r="E39" s="207" t="s">
        <v>2784</v>
      </c>
      <c r="F39" s="207" t="s">
        <v>2728</v>
      </c>
      <c r="G39" s="207" t="s">
        <v>2726</v>
      </c>
      <c r="H39" s="207">
        <v>60</v>
      </c>
      <c r="I39" s="207" t="s">
        <v>2737</v>
      </c>
      <c r="J39" s="207" t="s">
        <v>2785</v>
      </c>
      <c r="K39" s="207" t="s">
        <v>2726</v>
      </c>
      <c r="L39" s="207" t="s">
        <v>2726</v>
      </c>
      <c r="M39" s="207" t="s">
        <v>2731</v>
      </c>
      <c r="N39" s="207" t="s">
        <v>2726</v>
      </c>
      <c r="O39" s="207" t="s">
        <v>2726</v>
      </c>
      <c r="P39" s="207" t="s">
        <v>2739</v>
      </c>
      <c r="Q39" s="207" t="s">
        <v>2733</v>
      </c>
      <c r="R39" s="207">
        <v>121</v>
      </c>
      <c r="S39" s="207" t="s">
        <v>2726</v>
      </c>
      <c r="T39" s="207" t="s">
        <v>1239</v>
      </c>
      <c r="U39" s="207" t="s">
        <v>2745</v>
      </c>
      <c r="V39" s="207" t="s">
        <v>2726</v>
      </c>
      <c r="W39" s="207" t="s">
        <v>2741</v>
      </c>
      <c r="X39" s="207">
        <v>101749</v>
      </c>
      <c r="Y39" s="207" t="s">
        <v>84</v>
      </c>
      <c r="Z39" s="207" t="s">
        <v>2726</v>
      </c>
      <c r="AA39" s="207" t="s">
        <v>2726</v>
      </c>
      <c r="AB39" s="207" t="s">
        <v>2726</v>
      </c>
      <c r="AC39" s="207" t="s">
        <v>2726</v>
      </c>
      <c r="AD39" s="207" t="s">
        <v>2726</v>
      </c>
      <c r="AE39" s="207" t="s">
        <v>2726</v>
      </c>
      <c r="AF39" s="207" t="s">
        <v>2726</v>
      </c>
      <c r="AG39" s="207" t="s">
        <v>2726</v>
      </c>
      <c r="AH39" s="207" t="s">
        <v>2726</v>
      </c>
      <c r="AI39" s="207" t="s">
        <v>1300</v>
      </c>
      <c r="AJ39" s="207" t="s">
        <v>2726</v>
      </c>
      <c r="AK39" s="207" t="s">
        <v>2784</v>
      </c>
    </row>
    <row r="40" spans="1:37" x14ac:dyDescent="0.25">
      <c r="A40" s="207" t="s">
        <v>2787</v>
      </c>
      <c r="B40" s="207">
        <v>0</v>
      </c>
      <c r="C40" s="207" t="s">
        <v>2726</v>
      </c>
      <c r="D40" s="207" t="s">
        <v>2726</v>
      </c>
      <c r="E40" s="207" t="s">
        <v>2784</v>
      </c>
      <c r="F40" s="207" t="s">
        <v>2728</v>
      </c>
      <c r="G40" s="207" t="s">
        <v>2726</v>
      </c>
      <c r="H40" s="207">
        <v>60</v>
      </c>
      <c r="I40" s="207" t="s">
        <v>2737</v>
      </c>
      <c r="J40" s="207" t="s">
        <v>2785</v>
      </c>
      <c r="K40" s="207" t="s">
        <v>2726</v>
      </c>
      <c r="L40" s="207" t="s">
        <v>2726</v>
      </c>
      <c r="M40" s="207" t="s">
        <v>2731</v>
      </c>
      <c r="N40" s="207" t="s">
        <v>2726</v>
      </c>
      <c r="O40" s="207" t="s">
        <v>2726</v>
      </c>
      <c r="P40" s="207" t="s">
        <v>2739</v>
      </c>
      <c r="Q40" s="207" t="s">
        <v>2733</v>
      </c>
      <c r="R40" s="207">
        <v>121</v>
      </c>
      <c r="S40" s="207" t="s">
        <v>2726</v>
      </c>
      <c r="T40" s="207" t="s">
        <v>1239</v>
      </c>
      <c r="U40" s="207" t="s">
        <v>2745</v>
      </c>
      <c r="V40" s="207" t="s">
        <v>2726</v>
      </c>
      <c r="W40" s="207" t="s">
        <v>629</v>
      </c>
      <c r="X40" s="207">
        <v>-264532</v>
      </c>
      <c r="Y40" s="207" t="s">
        <v>59</v>
      </c>
      <c r="Z40" s="207" t="s">
        <v>2726</v>
      </c>
      <c r="AA40" s="207" t="s">
        <v>2726</v>
      </c>
      <c r="AB40" s="207" t="s">
        <v>2726</v>
      </c>
      <c r="AC40" s="207" t="s">
        <v>2726</v>
      </c>
      <c r="AD40" s="207" t="s">
        <v>2726</v>
      </c>
      <c r="AE40" s="207" t="s">
        <v>2726</v>
      </c>
      <c r="AF40" s="207" t="s">
        <v>2726</v>
      </c>
      <c r="AG40" s="207" t="s">
        <v>2726</v>
      </c>
      <c r="AH40" s="207" t="s">
        <v>2726</v>
      </c>
      <c r="AI40" s="207" t="s">
        <v>1242</v>
      </c>
      <c r="AJ40" s="207" t="s">
        <v>2726</v>
      </c>
      <c r="AK40" s="207" t="s">
        <v>2784</v>
      </c>
    </row>
    <row r="41" spans="1:37" x14ac:dyDescent="0.25">
      <c r="A41" s="207" t="s">
        <v>2788</v>
      </c>
      <c r="B41" s="207">
        <v>0</v>
      </c>
      <c r="C41" s="207" t="s">
        <v>2726</v>
      </c>
      <c r="D41" s="207" t="s">
        <v>2726</v>
      </c>
      <c r="E41" s="207" t="s">
        <v>2774</v>
      </c>
      <c r="F41" s="207" t="s">
        <v>2728</v>
      </c>
      <c r="G41" s="207" t="s">
        <v>2726</v>
      </c>
      <c r="H41" s="207">
        <v>61</v>
      </c>
      <c r="I41" s="207" t="s">
        <v>2744</v>
      </c>
      <c r="J41" s="207" t="s">
        <v>2730</v>
      </c>
      <c r="K41" s="207" t="s">
        <v>2726</v>
      </c>
      <c r="L41" s="207" t="s">
        <v>2726</v>
      </c>
      <c r="M41" s="207" t="s">
        <v>2770</v>
      </c>
      <c r="N41" s="207" t="s">
        <v>2726</v>
      </c>
      <c r="O41" s="207" t="s">
        <v>2726</v>
      </c>
      <c r="P41" s="207" t="s">
        <v>2732</v>
      </c>
      <c r="Q41" s="207" t="s">
        <v>2733</v>
      </c>
      <c r="R41" s="207">
        <v>120</v>
      </c>
      <c r="S41" s="207" t="s">
        <v>2726</v>
      </c>
      <c r="T41" s="207" t="s">
        <v>1239</v>
      </c>
      <c r="U41" s="207" t="s">
        <v>2771</v>
      </c>
      <c r="V41" s="207" t="s">
        <v>2726</v>
      </c>
      <c r="W41" s="207" t="s">
        <v>2741</v>
      </c>
      <c r="X41" s="207">
        <v>40320000</v>
      </c>
      <c r="Y41" s="207" t="s">
        <v>582</v>
      </c>
      <c r="Z41" s="207" t="s">
        <v>2726</v>
      </c>
      <c r="AA41" s="207" t="s">
        <v>2726</v>
      </c>
      <c r="AB41" s="207" t="s">
        <v>2726</v>
      </c>
      <c r="AC41" s="207" t="s">
        <v>2726</v>
      </c>
      <c r="AD41" s="207" t="s">
        <v>2726</v>
      </c>
      <c r="AE41" s="207" t="s">
        <v>2726</v>
      </c>
      <c r="AF41" s="207" t="s">
        <v>2726</v>
      </c>
      <c r="AG41" s="207" t="s">
        <v>2726</v>
      </c>
      <c r="AH41" s="207" t="s">
        <v>2726</v>
      </c>
      <c r="AI41" s="207" t="s">
        <v>1249</v>
      </c>
      <c r="AJ41" s="207" t="s">
        <v>2726</v>
      </c>
      <c r="AK41" s="207" t="s">
        <v>2774</v>
      </c>
    </row>
    <row r="42" spans="1:37" x14ac:dyDescent="0.25">
      <c r="A42" s="207" t="s">
        <v>2789</v>
      </c>
      <c r="B42" s="207">
        <v>0</v>
      </c>
      <c r="C42" s="207" t="s">
        <v>2726</v>
      </c>
      <c r="D42" s="207" t="s">
        <v>2726</v>
      </c>
      <c r="E42" s="207" t="s">
        <v>2774</v>
      </c>
      <c r="F42" s="207" t="s">
        <v>2728</v>
      </c>
      <c r="G42" s="207" t="s">
        <v>2726</v>
      </c>
      <c r="H42" s="207">
        <v>61</v>
      </c>
      <c r="I42" s="207" t="s">
        <v>2744</v>
      </c>
      <c r="J42" s="207" t="s">
        <v>2730</v>
      </c>
      <c r="K42" s="207" t="s">
        <v>2726</v>
      </c>
      <c r="L42" s="207" t="s">
        <v>2726</v>
      </c>
      <c r="M42" s="207" t="s">
        <v>2770</v>
      </c>
      <c r="N42" s="207" t="s">
        <v>2726</v>
      </c>
      <c r="O42" s="207" t="s">
        <v>2726</v>
      </c>
      <c r="P42" s="207" t="s">
        <v>2732</v>
      </c>
      <c r="Q42" s="207" t="s">
        <v>2733</v>
      </c>
      <c r="R42" s="207">
        <v>120</v>
      </c>
      <c r="S42" s="207" t="s">
        <v>2726</v>
      </c>
      <c r="T42" s="207" t="s">
        <v>1239</v>
      </c>
      <c r="U42" s="207" t="s">
        <v>2771</v>
      </c>
      <c r="V42" s="207" t="s">
        <v>2726</v>
      </c>
      <c r="W42" s="207" t="s">
        <v>2741</v>
      </c>
      <c r="X42" s="207">
        <v>3600000</v>
      </c>
      <c r="Y42" s="207" t="s">
        <v>584</v>
      </c>
      <c r="Z42" s="207" t="s">
        <v>2726</v>
      </c>
      <c r="AA42" s="207" t="s">
        <v>2726</v>
      </c>
      <c r="AB42" s="207" t="s">
        <v>2726</v>
      </c>
      <c r="AC42" s="207" t="s">
        <v>2726</v>
      </c>
      <c r="AD42" s="207" t="s">
        <v>2726</v>
      </c>
      <c r="AE42" s="207" t="s">
        <v>2726</v>
      </c>
      <c r="AF42" s="207" t="s">
        <v>2726</v>
      </c>
      <c r="AG42" s="207" t="s">
        <v>2726</v>
      </c>
      <c r="AH42" s="207" t="s">
        <v>2726</v>
      </c>
      <c r="AI42" s="207" t="s">
        <v>1263</v>
      </c>
      <c r="AJ42" s="207" t="s">
        <v>2726</v>
      </c>
      <c r="AK42" s="207" t="s">
        <v>2774</v>
      </c>
    </row>
    <row r="43" spans="1:37" x14ac:dyDescent="0.25">
      <c r="A43" s="207" t="s">
        <v>2790</v>
      </c>
      <c r="B43" s="207">
        <v>0</v>
      </c>
      <c r="C43" s="207" t="s">
        <v>2726</v>
      </c>
      <c r="D43" s="207" t="s">
        <v>2726</v>
      </c>
      <c r="E43" s="207" t="s">
        <v>2774</v>
      </c>
      <c r="F43" s="207" t="s">
        <v>2728</v>
      </c>
      <c r="G43" s="207" t="s">
        <v>2726</v>
      </c>
      <c r="H43" s="207">
        <v>61</v>
      </c>
      <c r="I43" s="207" t="s">
        <v>2744</v>
      </c>
      <c r="J43" s="207" t="s">
        <v>2730</v>
      </c>
      <c r="K43" s="207" t="s">
        <v>2726</v>
      </c>
      <c r="L43" s="207" t="s">
        <v>2726</v>
      </c>
      <c r="M43" s="207" t="s">
        <v>2770</v>
      </c>
      <c r="N43" s="207" t="s">
        <v>2726</v>
      </c>
      <c r="O43" s="207" t="s">
        <v>2726</v>
      </c>
      <c r="P43" s="207" t="s">
        <v>2732</v>
      </c>
      <c r="Q43" s="207" t="s">
        <v>2733</v>
      </c>
      <c r="R43" s="207">
        <v>120</v>
      </c>
      <c r="S43" s="207" t="s">
        <v>2726</v>
      </c>
      <c r="T43" s="207" t="s">
        <v>1239</v>
      </c>
      <c r="U43" s="207" t="s">
        <v>2771</v>
      </c>
      <c r="V43" s="207" t="s">
        <v>2726</v>
      </c>
      <c r="W43" s="207" t="s">
        <v>2741</v>
      </c>
      <c r="X43" s="207">
        <v>9000000</v>
      </c>
      <c r="Y43" s="207" t="s">
        <v>588</v>
      </c>
      <c r="Z43" s="207" t="s">
        <v>2726</v>
      </c>
      <c r="AA43" s="207" t="s">
        <v>2726</v>
      </c>
      <c r="AB43" s="207" t="s">
        <v>2726</v>
      </c>
      <c r="AC43" s="207" t="s">
        <v>2726</v>
      </c>
      <c r="AD43" s="207" t="s">
        <v>2726</v>
      </c>
      <c r="AE43" s="207" t="s">
        <v>2726</v>
      </c>
      <c r="AF43" s="207" t="s">
        <v>2726</v>
      </c>
      <c r="AG43" s="207" t="s">
        <v>2726</v>
      </c>
      <c r="AH43" s="207" t="s">
        <v>2726</v>
      </c>
      <c r="AI43" s="207" t="s">
        <v>1276</v>
      </c>
      <c r="AJ43" s="207" t="s">
        <v>2726</v>
      </c>
      <c r="AK43" s="207" t="s">
        <v>2774</v>
      </c>
    </row>
    <row r="44" spans="1:37" x14ac:dyDescent="0.25">
      <c r="A44" s="207" t="s">
        <v>2791</v>
      </c>
      <c r="B44" s="207">
        <v>0</v>
      </c>
      <c r="C44" s="207" t="s">
        <v>2726</v>
      </c>
      <c r="D44" s="207" t="s">
        <v>2726</v>
      </c>
      <c r="E44" s="207" t="s">
        <v>2774</v>
      </c>
      <c r="F44" s="207" t="s">
        <v>2728</v>
      </c>
      <c r="G44" s="207" t="s">
        <v>2726</v>
      </c>
      <c r="H44" s="207">
        <v>61</v>
      </c>
      <c r="I44" s="207" t="s">
        <v>2744</v>
      </c>
      <c r="J44" s="207" t="s">
        <v>2730</v>
      </c>
      <c r="K44" s="207" t="s">
        <v>2726</v>
      </c>
      <c r="L44" s="207" t="s">
        <v>2726</v>
      </c>
      <c r="M44" s="207" t="s">
        <v>2770</v>
      </c>
      <c r="N44" s="207" t="s">
        <v>2726</v>
      </c>
      <c r="O44" s="207" t="s">
        <v>2726</v>
      </c>
      <c r="P44" s="207" t="s">
        <v>2732</v>
      </c>
      <c r="Q44" s="207" t="s">
        <v>2733</v>
      </c>
      <c r="R44" s="207">
        <v>120</v>
      </c>
      <c r="S44" s="207" t="s">
        <v>2726</v>
      </c>
      <c r="T44" s="207" t="s">
        <v>1239</v>
      </c>
      <c r="U44" s="207" t="s">
        <v>2771</v>
      </c>
      <c r="V44" s="207" t="s">
        <v>2726</v>
      </c>
      <c r="W44" s="207" t="s">
        <v>2741</v>
      </c>
      <c r="X44" s="207">
        <v>138916890</v>
      </c>
      <c r="Y44" s="207" t="s">
        <v>105</v>
      </c>
      <c r="Z44" s="207" t="s">
        <v>2726</v>
      </c>
      <c r="AA44" s="207" t="s">
        <v>2726</v>
      </c>
      <c r="AB44" s="207" t="s">
        <v>2726</v>
      </c>
      <c r="AC44" s="207" t="s">
        <v>2726</v>
      </c>
      <c r="AD44" s="207" t="s">
        <v>2726</v>
      </c>
      <c r="AE44" s="207" t="s">
        <v>2726</v>
      </c>
      <c r="AF44" s="207" t="s">
        <v>2726</v>
      </c>
      <c r="AG44" s="207" t="s">
        <v>2726</v>
      </c>
      <c r="AH44" s="207" t="s">
        <v>2726</v>
      </c>
      <c r="AI44" s="207" t="s">
        <v>1250</v>
      </c>
      <c r="AJ44" s="207" t="s">
        <v>2726</v>
      </c>
      <c r="AK44" s="207" t="s">
        <v>2774</v>
      </c>
    </row>
    <row r="45" spans="1:37" x14ac:dyDescent="0.25">
      <c r="A45" s="207" t="s">
        <v>2792</v>
      </c>
      <c r="B45" s="207">
        <v>0</v>
      </c>
      <c r="C45" s="207" t="s">
        <v>2726</v>
      </c>
      <c r="D45" s="207" t="s">
        <v>2726</v>
      </c>
      <c r="E45" s="207" t="s">
        <v>2774</v>
      </c>
      <c r="F45" s="207" t="s">
        <v>2728</v>
      </c>
      <c r="G45" s="207" t="s">
        <v>2726</v>
      </c>
      <c r="H45" s="207">
        <v>61</v>
      </c>
      <c r="I45" s="207" t="s">
        <v>2744</v>
      </c>
      <c r="J45" s="207" t="s">
        <v>2730</v>
      </c>
      <c r="K45" s="207" t="s">
        <v>2726</v>
      </c>
      <c r="L45" s="207" t="s">
        <v>2726</v>
      </c>
      <c r="M45" s="207" t="s">
        <v>2770</v>
      </c>
      <c r="N45" s="207" t="s">
        <v>2726</v>
      </c>
      <c r="O45" s="207" t="s">
        <v>2726</v>
      </c>
      <c r="P45" s="207" t="s">
        <v>2732</v>
      </c>
      <c r="Q45" s="207" t="s">
        <v>2733</v>
      </c>
      <c r="R45" s="207">
        <v>120</v>
      </c>
      <c r="S45" s="207" t="s">
        <v>2726</v>
      </c>
      <c r="T45" s="207" t="s">
        <v>1239</v>
      </c>
      <c r="U45" s="207" t="s">
        <v>2771</v>
      </c>
      <c r="V45" s="207" t="s">
        <v>2726</v>
      </c>
      <c r="W45" s="207" t="s">
        <v>2741</v>
      </c>
      <c r="X45" s="207">
        <v>300000</v>
      </c>
      <c r="Y45" s="207" t="s">
        <v>107</v>
      </c>
      <c r="Z45" s="207" t="s">
        <v>2726</v>
      </c>
      <c r="AA45" s="207" t="s">
        <v>2726</v>
      </c>
      <c r="AB45" s="207" t="s">
        <v>2726</v>
      </c>
      <c r="AC45" s="207" t="s">
        <v>2726</v>
      </c>
      <c r="AD45" s="207" t="s">
        <v>2726</v>
      </c>
      <c r="AE45" s="207" t="s">
        <v>2726</v>
      </c>
      <c r="AF45" s="207" t="s">
        <v>2726</v>
      </c>
      <c r="AG45" s="207" t="s">
        <v>2726</v>
      </c>
      <c r="AH45" s="207" t="s">
        <v>2726</v>
      </c>
      <c r="AI45" s="207" t="s">
        <v>1264</v>
      </c>
      <c r="AJ45" s="207" t="s">
        <v>2726</v>
      </c>
      <c r="AK45" s="207" t="s">
        <v>2774</v>
      </c>
    </row>
    <row r="46" spans="1:37" x14ac:dyDescent="0.25">
      <c r="A46" s="207" t="s">
        <v>2793</v>
      </c>
      <c r="B46" s="207">
        <v>0</v>
      </c>
      <c r="C46" s="207" t="s">
        <v>2726</v>
      </c>
      <c r="D46" s="207" t="s">
        <v>2726</v>
      </c>
      <c r="E46" s="207" t="s">
        <v>2774</v>
      </c>
      <c r="F46" s="207" t="s">
        <v>2728</v>
      </c>
      <c r="G46" s="207" t="s">
        <v>2726</v>
      </c>
      <c r="H46" s="207">
        <v>61</v>
      </c>
      <c r="I46" s="207" t="s">
        <v>2744</v>
      </c>
      <c r="J46" s="207" t="s">
        <v>2730</v>
      </c>
      <c r="K46" s="207" t="s">
        <v>2726</v>
      </c>
      <c r="L46" s="207" t="s">
        <v>2726</v>
      </c>
      <c r="M46" s="207" t="s">
        <v>2770</v>
      </c>
      <c r="N46" s="207" t="s">
        <v>2726</v>
      </c>
      <c r="O46" s="207" t="s">
        <v>2726</v>
      </c>
      <c r="P46" s="207" t="s">
        <v>2732</v>
      </c>
      <c r="Q46" s="207" t="s">
        <v>2733</v>
      </c>
      <c r="R46" s="207">
        <v>120</v>
      </c>
      <c r="S46" s="207" t="s">
        <v>2726</v>
      </c>
      <c r="T46" s="207" t="s">
        <v>1239</v>
      </c>
      <c r="U46" s="207" t="s">
        <v>2771</v>
      </c>
      <c r="V46" s="207" t="s">
        <v>2726</v>
      </c>
      <c r="W46" s="207" t="s">
        <v>2741</v>
      </c>
      <c r="X46" s="207">
        <v>18558734</v>
      </c>
      <c r="Y46" s="207" t="s">
        <v>109</v>
      </c>
      <c r="Z46" s="207" t="s">
        <v>2726</v>
      </c>
      <c r="AA46" s="207" t="s">
        <v>2726</v>
      </c>
      <c r="AB46" s="207" t="s">
        <v>2726</v>
      </c>
      <c r="AC46" s="207" t="s">
        <v>2726</v>
      </c>
      <c r="AD46" s="207" t="s">
        <v>2726</v>
      </c>
      <c r="AE46" s="207" t="s">
        <v>2726</v>
      </c>
      <c r="AF46" s="207" t="s">
        <v>2726</v>
      </c>
      <c r="AG46" s="207" t="s">
        <v>2726</v>
      </c>
      <c r="AH46" s="207" t="s">
        <v>2726</v>
      </c>
      <c r="AI46" s="207" t="s">
        <v>1251</v>
      </c>
      <c r="AJ46" s="207" t="s">
        <v>2726</v>
      </c>
      <c r="AK46" s="207" t="s">
        <v>2774</v>
      </c>
    </row>
    <row r="47" spans="1:37" x14ac:dyDescent="0.25">
      <c r="A47" s="207" t="s">
        <v>2794</v>
      </c>
      <c r="B47" s="207">
        <v>0</v>
      </c>
      <c r="C47" s="207" t="s">
        <v>2726</v>
      </c>
      <c r="D47" s="207" t="s">
        <v>2726</v>
      </c>
      <c r="E47" s="207" t="s">
        <v>2774</v>
      </c>
      <c r="F47" s="207" t="s">
        <v>2728</v>
      </c>
      <c r="G47" s="207" t="s">
        <v>2726</v>
      </c>
      <c r="H47" s="207">
        <v>61</v>
      </c>
      <c r="I47" s="207" t="s">
        <v>2744</v>
      </c>
      <c r="J47" s="207" t="s">
        <v>2730</v>
      </c>
      <c r="K47" s="207" t="s">
        <v>2726</v>
      </c>
      <c r="L47" s="207" t="s">
        <v>2726</v>
      </c>
      <c r="M47" s="207" t="s">
        <v>2770</v>
      </c>
      <c r="N47" s="207" t="s">
        <v>2726</v>
      </c>
      <c r="O47" s="207" t="s">
        <v>2726</v>
      </c>
      <c r="P47" s="207" t="s">
        <v>2732</v>
      </c>
      <c r="Q47" s="207" t="s">
        <v>2733</v>
      </c>
      <c r="R47" s="207">
        <v>120</v>
      </c>
      <c r="S47" s="207" t="s">
        <v>2726</v>
      </c>
      <c r="T47" s="207" t="s">
        <v>1239</v>
      </c>
      <c r="U47" s="207" t="s">
        <v>2771</v>
      </c>
      <c r="V47" s="207" t="s">
        <v>2726</v>
      </c>
      <c r="W47" s="207" t="s">
        <v>2741</v>
      </c>
      <c r="X47" s="207">
        <v>15000000</v>
      </c>
      <c r="Y47" s="207" t="s">
        <v>111</v>
      </c>
      <c r="Z47" s="207" t="s">
        <v>2726</v>
      </c>
      <c r="AA47" s="207" t="s">
        <v>2726</v>
      </c>
      <c r="AB47" s="207" t="s">
        <v>2726</v>
      </c>
      <c r="AC47" s="207" t="s">
        <v>2726</v>
      </c>
      <c r="AD47" s="207" t="s">
        <v>2726</v>
      </c>
      <c r="AE47" s="207" t="s">
        <v>2726</v>
      </c>
      <c r="AF47" s="207" t="s">
        <v>2726</v>
      </c>
      <c r="AG47" s="207" t="s">
        <v>2726</v>
      </c>
      <c r="AH47" s="207" t="s">
        <v>2726</v>
      </c>
      <c r="AI47" s="207" t="s">
        <v>1267</v>
      </c>
      <c r="AJ47" s="207" t="s">
        <v>2726</v>
      </c>
      <c r="AK47" s="207" t="s">
        <v>2774</v>
      </c>
    </row>
    <row r="48" spans="1:37" x14ac:dyDescent="0.25">
      <c r="A48" s="207" t="s">
        <v>2795</v>
      </c>
      <c r="B48" s="207">
        <v>0</v>
      </c>
      <c r="C48" s="207" t="s">
        <v>2726</v>
      </c>
      <c r="D48" s="207" t="s">
        <v>2726</v>
      </c>
      <c r="E48" s="207" t="s">
        <v>2774</v>
      </c>
      <c r="F48" s="207" t="s">
        <v>2728</v>
      </c>
      <c r="G48" s="207" t="s">
        <v>2726</v>
      </c>
      <c r="H48" s="207">
        <v>61</v>
      </c>
      <c r="I48" s="207" t="s">
        <v>2744</v>
      </c>
      <c r="J48" s="207" t="s">
        <v>2730</v>
      </c>
      <c r="K48" s="207" t="s">
        <v>2726</v>
      </c>
      <c r="L48" s="207" t="s">
        <v>2726</v>
      </c>
      <c r="M48" s="207" t="s">
        <v>2770</v>
      </c>
      <c r="N48" s="207" t="s">
        <v>2726</v>
      </c>
      <c r="O48" s="207" t="s">
        <v>2726</v>
      </c>
      <c r="P48" s="207" t="s">
        <v>2732</v>
      </c>
      <c r="Q48" s="207" t="s">
        <v>2733</v>
      </c>
      <c r="R48" s="207">
        <v>120</v>
      </c>
      <c r="S48" s="207" t="s">
        <v>2726</v>
      </c>
      <c r="T48" s="207" t="s">
        <v>1239</v>
      </c>
      <c r="U48" s="207" t="s">
        <v>2771</v>
      </c>
      <c r="V48" s="207" t="s">
        <v>2726</v>
      </c>
      <c r="W48" s="207" t="s">
        <v>2741</v>
      </c>
      <c r="X48" s="207">
        <v>6471811</v>
      </c>
      <c r="Y48" s="207" t="s">
        <v>113</v>
      </c>
      <c r="Z48" s="207" t="s">
        <v>2726</v>
      </c>
      <c r="AA48" s="207" t="s">
        <v>2726</v>
      </c>
      <c r="AB48" s="207" t="s">
        <v>2726</v>
      </c>
      <c r="AC48" s="207" t="s">
        <v>2726</v>
      </c>
      <c r="AD48" s="207" t="s">
        <v>2726</v>
      </c>
      <c r="AE48" s="207" t="s">
        <v>2726</v>
      </c>
      <c r="AF48" s="207" t="s">
        <v>2726</v>
      </c>
      <c r="AG48" s="207" t="s">
        <v>2726</v>
      </c>
      <c r="AH48" s="207" t="s">
        <v>2726</v>
      </c>
      <c r="AI48" s="207" t="s">
        <v>1265</v>
      </c>
      <c r="AJ48" s="207" t="s">
        <v>2726</v>
      </c>
      <c r="AK48" s="207" t="s">
        <v>2774</v>
      </c>
    </row>
    <row r="49" spans="1:37" x14ac:dyDescent="0.25">
      <c r="A49" s="207" t="s">
        <v>2796</v>
      </c>
      <c r="B49" s="207">
        <v>0</v>
      </c>
      <c r="C49" s="207" t="s">
        <v>2726</v>
      </c>
      <c r="D49" s="207" t="s">
        <v>2726</v>
      </c>
      <c r="E49" s="207" t="s">
        <v>2774</v>
      </c>
      <c r="F49" s="207" t="s">
        <v>2728</v>
      </c>
      <c r="G49" s="207" t="s">
        <v>2726</v>
      </c>
      <c r="H49" s="207">
        <v>61</v>
      </c>
      <c r="I49" s="207" t="s">
        <v>2744</v>
      </c>
      <c r="J49" s="207" t="s">
        <v>2730</v>
      </c>
      <c r="K49" s="207" t="s">
        <v>2726</v>
      </c>
      <c r="L49" s="207" t="s">
        <v>2726</v>
      </c>
      <c r="M49" s="207" t="s">
        <v>2770</v>
      </c>
      <c r="N49" s="207" t="s">
        <v>2726</v>
      </c>
      <c r="O49" s="207" t="s">
        <v>2726</v>
      </c>
      <c r="P49" s="207" t="s">
        <v>2732</v>
      </c>
      <c r="Q49" s="207" t="s">
        <v>2733</v>
      </c>
      <c r="R49" s="207">
        <v>120</v>
      </c>
      <c r="S49" s="207" t="s">
        <v>2726</v>
      </c>
      <c r="T49" s="207" t="s">
        <v>1239</v>
      </c>
      <c r="U49" s="207" t="s">
        <v>2771</v>
      </c>
      <c r="V49" s="207" t="s">
        <v>2726</v>
      </c>
      <c r="W49" s="207" t="s">
        <v>2741</v>
      </c>
      <c r="X49" s="207">
        <v>73602962</v>
      </c>
      <c r="Y49" s="207" t="s">
        <v>115</v>
      </c>
      <c r="Z49" s="207" t="s">
        <v>2726</v>
      </c>
      <c r="AA49" s="207" t="s">
        <v>2726</v>
      </c>
      <c r="AB49" s="207" t="s">
        <v>2726</v>
      </c>
      <c r="AC49" s="207" t="s">
        <v>2726</v>
      </c>
      <c r="AD49" s="207" t="s">
        <v>2726</v>
      </c>
      <c r="AE49" s="207" t="s">
        <v>2726</v>
      </c>
      <c r="AF49" s="207" t="s">
        <v>2726</v>
      </c>
      <c r="AG49" s="207" t="s">
        <v>2726</v>
      </c>
      <c r="AH49" s="207" t="s">
        <v>2726</v>
      </c>
      <c r="AI49" s="207" t="s">
        <v>1241</v>
      </c>
      <c r="AJ49" s="207" t="s">
        <v>2726</v>
      </c>
      <c r="AK49" s="207" t="s">
        <v>2774</v>
      </c>
    </row>
    <row r="50" spans="1:37" x14ac:dyDescent="0.25">
      <c r="A50" s="207" t="s">
        <v>2797</v>
      </c>
      <c r="B50" s="207">
        <v>0</v>
      </c>
      <c r="C50" s="207" t="s">
        <v>2726</v>
      </c>
      <c r="D50" s="207" t="s">
        <v>2726</v>
      </c>
      <c r="E50" s="207" t="s">
        <v>2774</v>
      </c>
      <c r="F50" s="207" t="s">
        <v>2728</v>
      </c>
      <c r="G50" s="207" t="s">
        <v>2726</v>
      </c>
      <c r="H50" s="207">
        <v>61</v>
      </c>
      <c r="I50" s="207" t="s">
        <v>2744</v>
      </c>
      <c r="J50" s="207" t="s">
        <v>2730</v>
      </c>
      <c r="K50" s="207" t="s">
        <v>2726</v>
      </c>
      <c r="L50" s="207" t="s">
        <v>2726</v>
      </c>
      <c r="M50" s="207" t="s">
        <v>2770</v>
      </c>
      <c r="N50" s="207" t="s">
        <v>2726</v>
      </c>
      <c r="O50" s="207" t="s">
        <v>2726</v>
      </c>
      <c r="P50" s="207" t="s">
        <v>2732</v>
      </c>
      <c r="Q50" s="207" t="s">
        <v>2733</v>
      </c>
      <c r="R50" s="207">
        <v>120</v>
      </c>
      <c r="S50" s="207" t="s">
        <v>2726</v>
      </c>
      <c r="T50" s="207" t="s">
        <v>1239</v>
      </c>
      <c r="U50" s="207" t="s">
        <v>2771</v>
      </c>
      <c r="V50" s="207" t="s">
        <v>2726</v>
      </c>
      <c r="W50" s="207" t="s">
        <v>2741</v>
      </c>
      <c r="X50" s="207">
        <v>3696000</v>
      </c>
      <c r="Y50" s="207" t="s">
        <v>119</v>
      </c>
      <c r="Z50" s="207" t="s">
        <v>2726</v>
      </c>
      <c r="AA50" s="207" t="s">
        <v>2726</v>
      </c>
      <c r="AB50" s="207" t="s">
        <v>2726</v>
      </c>
      <c r="AC50" s="207" t="s">
        <v>2726</v>
      </c>
      <c r="AD50" s="207" t="s">
        <v>2726</v>
      </c>
      <c r="AE50" s="207" t="s">
        <v>2726</v>
      </c>
      <c r="AF50" s="207" t="s">
        <v>2726</v>
      </c>
      <c r="AG50" s="207" t="s">
        <v>2726</v>
      </c>
      <c r="AH50" s="207" t="s">
        <v>2726</v>
      </c>
      <c r="AI50" s="207" t="s">
        <v>1668</v>
      </c>
      <c r="AJ50" s="207" t="s">
        <v>2726</v>
      </c>
      <c r="AK50" s="207" t="s">
        <v>2774</v>
      </c>
    </row>
    <row r="51" spans="1:37" x14ac:dyDescent="0.25">
      <c r="A51" s="207" t="s">
        <v>2798</v>
      </c>
      <c r="B51" s="207">
        <v>0</v>
      </c>
      <c r="C51" s="207" t="s">
        <v>2726</v>
      </c>
      <c r="D51" s="207" t="s">
        <v>2726</v>
      </c>
      <c r="E51" s="207" t="s">
        <v>2799</v>
      </c>
      <c r="F51" s="207" t="s">
        <v>2728</v>
      </c>
      <c r="G51" s="207" t="s">
        <v>2726</v>
      </c>
      <c r="H51" s="207">
        <v>60</v>
      </c>
      <c r="I51" s="207" t="s">
        <v>2737</v>
      </c>
      <c r="J51" s="207" t="s">
        <v>2785</v>
      </c>
      <c r="K51" s="207" t="s">
        <v>2726</v>
      </c>
      <c r="L51" s="207" t="s">
        <v>2726</v>
      </c>
      <c r="M51" s="207" t="s">
        <v>2731</v>
      </c>
      <c r="N51" s="207" t="s">
        <v>2726</v>
      </c>
      <c r="O51" s="207" t="s">
        <v>2726</v>
      </c>
      <c r="P51" s="207" t="s">
        <v>2739</v>
      </c>
      <c r="Q51" s="207" t="s">
        <v>2733</v>
      </c>
      <c r="R51" s="207">
        <v>121</v>
      </c>
      <c r="S51" s="207" t="s">
        <v>2726</v>
      </c>
      <c r="T51" s="207" t="s">
        <v>1239</v>
      </c>
      <c r="U51" s="207" t="s">
        <v>2745</v>
      </c>
      <c r="V51" s="207" t="s">
        <v>2726</v>
      </c>
      <c r="W51" s="207" t="s">
        <v>2741</v>
      </c>
      <c r="X51" s="207">
        <v>20000</v>
      </c>
      <c r="Y51" s="207" t="s">
        <v>88</v>
      </c>
      <c r="Z51" s="207" t="s">
        <v>2726</v>
      </c>
      <c r="AA51" s="207" t="s">
        <v>2726</v>
      </c>
      <c r="AB51" s="207" t="s">
        <v>2726</v>
      </c>
      <c r="AC51" s="207" t="s">
        <v>2726</v>
      </c>
      <c r="AD51" s="207" t="s">
        <v>2726</v>
      </c>
      <c r="AE51" s="207" t="s">
        <v>2726</v>
      </c>
      <c r="AF51" s="207" t="s">
        <v>2726</v>
      </c>
      <c r="AG51" s="207" t="s">
        <v>2726</v>
      </c>
      <c r="AH51" s="207" t="s">
        <v>2726</v>
      </c>
      <c r="AI51" s="207" t="s">
        <v>1245</v>
      </c>
      <c r="AJ51" s="207" t="s">
        <v>2726</v>
      </c>
      <c r="AK51" s="207" t="s">
        <v>2799</v>
      </c>
    </row>
    <row r="52" spans="1:37" x14ac:dyDescent="0.25">
      <c r="A52" s="207" t="s">
        <v>2800</v>
      </c>
      <c r="B52" s="207">
        <v>0</v>
      </c>
      <c r="C52" s="207" t="s">
        <v>2726</v>
      </c>
      <c r="D52" s="207" t="s">
        <v>2726</v>
      </c>
      <c r="E52" s="207" t="s">
        <v>2774</v>
      </c>
      <c r="F52" s="207" t="s">
        <v>2728</v>
      </c>
      <c r="G52" s="207" t="s">
        <v>2726</v>
      </c>
      <c r="H52" s="207">
        <v>61</v>
      </c>
      <c r="I52" s="207" t="s">
        <v>2744</v>
      </c>
      <c r="J52" s="207" t="s">
        <v>2730</v>
      </c>
      <c r="K52" s="207" t="s">
        <v>2726</v>
      </c>
      <c r="L52" s="207" t="s">
        <v>2726</v>
      </c>
      <c r="M52" s="207" t="s">
        <v>2770</v>
      </c>
      <c r="N52" s="207" t="s">
        <v>2726</v>
      </c>
      <c r="O52" s="207" t="s">
        <v>2726</v>
      </c>
      <c r="P52" s="207" t="s">
        <v>2732</v>
      </c>
      <c r="Q52" s="207" t="s">
        <v>2733</v>
      </c>
      <c r="R52" s="207">
        <v>120</v>
      </c>
      <c r="S52" s="207" t="s">
        <v>2726</v>
      </c>
      <c r="T52" s="207" t="s">
        <v>1239</v>
      </c>
      <c r="U52" s="207" t="s">
        <v>2771</v>
      </c>
      <c r="V52" s="207" t="s">
        <v>2726</v>
      </c>
      <c r="W52" s="207" t="s">
        <v>2741</v>
      </c>
      <c r="X52" s="207">
        <v>3347600</v>
      </c>
      <c r="Y52" s="207" t="s">
        <v>129</v>
      </c>
      <c r="Z52" s="207" t="s">
        <v>2726</v>
      </c>
      <c r="AA52" s="207" t="s">
        <v>2726</v>
      </c>
      <c r="AB52" s="207" t="s">
        <v>2726</v>
      </c>
      <c r="AC52" s="207" t="s">
        <v>2726</v>
      </c>
      <c r="AD52" s="207" t="s">
        <v>2726</v>
      </c>
      <c r="AE52" s="207" t="s">
        <v>2726</v>
      </c>
      <c r="AF52" s="207" t="s">
        <v>2726</v>
      </c>
      <c r="AG52" s="207" t="s">
        <v>2726</v>
      </c>
      <c r="AH52" s="207" t="s">
        <v>2726</v>
      </c>
      <c r="AI52" s="207" t="s">
        <v>1252</v>
      </c>
      <c r="AJ52" s="207" t="s">
        <v>2726</v>
      </c>
      <c r="AK52" s="207" t="s">
        <v>2774</v>
      </c>
    </row>
    <row r="53" spans="1:37" x14ac:dyDescent="0.25">
      <c r="A53" s="207" t="s">
        <v>2801</v>
      </c>
      <c r="B53" s="207">
        <v>0</v>
      </c>
      <c r="C53" s="207" t="s">
        <v>2726</v>
      </c>
      <c r="D53" s="207" t="s">
        <v>2726</v>
      </c>
      <c r="E53" s="207" t="s">
        <v>2799</v>
      </c>
      <c r="F53" s="207" t="s">
        <v>2728</v>
      </c>
      <c r="G53" s="207" t="s">
        <v>2726</v>
      </c>
      <c r="H53" s="207">
        <v>60</v>
      </c>
      <c r="I53" s="207" t="s">
        <v>2737</v>
      </c>
      <c r="J53" s="207" t="s">
        <v>2785</v>
      </c>
      <c r="K53" s="207" t="s">
        <v>2726</v>
      </c>
      <c r="L53" s="207" t="s">
        <v>2726</v>
      </c>
      <c r="M53" s="207" t="s">
        <v>2731</v>
      </c>
      <c r="N53" s="207" t="s">
        <v>2726</v>
      </c>
      <c r="O53" s="207" t="s">
        <v>2726</v>
      </c>
      <c r="P53" s="207" t="s">
        <v>2739</v>
      </c>
      <c r="Q53" s="207" t="s">
        <v>2733</v>
      </c>
      <c r="R53" s="207">
        <v>121</v>
      </c>
      <c r="S53" s="207" t="s">
        <v>2726</v>
      </c>
      <c r="T53" s="207" t="s">
        <v>1239</v>
      </c>
      <c r="U53" s="207" t="s">
        <v>2745</v>
      </c>
      <c r="V53" s="207" t="s">
        <v>2726</v>
      </c>
      <c r="W53" s="207" t="s">
        <v>629</v>
      </c>
      <c r="X53" s="207">
        <v>-20000</v>
      </c>
      <c r="Y53" s="207" t="s">
        <v>59</v>
      </c>
      <c r="Z53" s="207" t="s">
        <v>2726</v>
      </c>
      <c r="AA53" s="207" t="s">
        <v>2726</v>
      </c>
      <c r="AB53" s="207" t="s">
        <v>2726</v>
      </c>
      <c r="AC53" s="207" t="s">
        <v>2726</v>
      </c>
      <c r="AD53" s="207" t="s">
        <v>2726</v>
      </c>
      <c r="AE53" s="207" t="s">
        <v>2726</v>
      </c>
      <c r="AF53" s="207" t="s">
        <v>2726</v>
      </c>
      <c r="AG53" s="207" t="s">
        <v>2726</v>
      </c>
      <c r="AH53" s="207" t="s">
        <v>2726</v>
      </c>
      <c r="AI53" s="207" t="s">
        <v>1242</v>
      </c>
      <c r="AJ53" s="207" t="s">
        <v>2726</v>
      </c>
      <c r="AK53" s="207" t="s">
        <v>2799</v>
      </c>
    </row>
    <row r="54" spans="1:37" x14ac:dyDescent="0.25">
      <c r="A54" s="207" t="s">
        <v>2802</v>
      </c>
      <c r="B54" s="207">
        <v>0</v>
      </c>
      <c r="C54" s="207" t="s">
        <v>2726</v>
      </c>
      <c r="D54" s="207" t="s">
        <v>2726</v>
      </c>
      <c r="E54" s="207" t="s">
        <v>2774</v>
      </c>
      <c r="F54" s="207" t="s">
        <v>2728</v>
      </c>
      <c r="G54" s="207" t="s">
        <v>2726</v>
      </c>
      <c r="H54" s="207">
        <v>61</v>
      </c>
      <c r="I54" s="207" t="s">
        <v>2744</v>
      </c>
      <c r="J54" s="207" t="s">
        <v>2730</v>
      </c>
      <c r="K54" s="207" t="s">
        <v>2726</v>
      </c>
      <c r="L54" s="207" t="s">
        <v>2726</v>
      </c>
      <c r="M54" s="207" t="s">
        <v>2770</v>
      </c>
      <c r="N54" s="207" t="s">
        <v>2726</v>
      </c>
      <c r="O54" s="207" t="s">
        <v>2726</v>
      </c>
      <c r="P54" s="207" t="s">
        <v>2732</v>
      </c>
      <c r="Q54" s="207" t="s">
        <v>2733</v>
      </c>
      <c r="R54" s="207">
        <v>120</v>
      </c>
      <c r="S54" s="207" t="s">
        <v>2726</v>
      </c>
      <c r="T54" s="207" t="s">
        <v>1239</v>
      </c>
      <c r="U54" s="207" t="s">
        <v>2771</v>
      </c>
      <c r="V54" s="207" t="s">
        <v>2726</v>
      </c>
      <c r="W54" s="207" t="s">
        <v>2741</v>
      </c>
      <c r="X54" s="207">
        <v>18402260</v>
      </c>
      <c r="Y54" s="207" t="s">
        <v>180</v>
      </c>
      <c r="Z54" s="207" t="s">
        <v>2726</v>
      </c>
      <c r="AA54" s="207" t="s">
        <v>2726</v>
      </c>
      <c r="AB54" s="207" t="s">
        <v>2726</v>
      </c>
      <c r="AC54" s="207" t="s">
        <v>2726</v>
      </c>
      <c r="AD54" s="207" t="s">
        <v>2726</v>
      </c>
      <c r="AE54" s="207" t="s">
        <v>2726</v>
      </c>
      <c r="AF54" s="207" t="s">
        <v>2726</v>
      </c>
      <c r="AG54" s="207" t="s">
        <v>2726</v>
      </c>
      <c r="AH54" s="207" t="s">
        <v>2726</v>
      </c>
      <c r="AI54" s="207" t="s">
        <v>1282</v>
      </c>
      <c r="AJ54" s="207" t="s">
        <v>2726</v>
      </c>
      <c r="AK54" s="207" t="s">
        <v>2774</v>
      </c>
    </row>
    <row r="55" spans="1:37" x14ac:dyDescent="0.25">
      <c r="A55" s="207" t="s">
        <v>2803</v>
      </c>
      <c r="B55" s="207">
        <v>0</v>
      </c>
      <c r="C55" s="207" t="s">
        <v>2726</v>
      </c>
      <c r="D55" s="207" t="s">
        <v>2726</v>
      </c>
      <c r="E55" s="207" t="s">
        <v>2774</v>
      </c>
      <c r="F55" s="207" t="s">
        <v>2728</v>
      </c>
      <c r="G55" s="207" t="s">
        <v>2726</v>
      </c>
      <c r="H55" s="207">
        <v>61</v>
      </c>
      <c r="I55" s="207" t="s">
        <v>2744</v>
      </c>
      <c r="J55" s="207" t="s">
        <v>2730</v>
      </c>
      <c r="K55" s="207" t="s">
        <v>2726</v>
      </c>
      <c r="L55" s="207" t="s">
        <v>2726</v>
      </c>
      <c r="M55" s="207" t="s">
        <v>2770</v>
      </c>
      <c r="N55" s="207" t="s">
        <v>2726</v>
      </c>
      <c r="O55" s="207" t="s">
        <v>2726</v>
      </c>
      <c r="P55" s="207" t="s">
        <v>2732</v>
      </c>
      <c r="Q55" s="207" t="s">
        <v>2733</v>
      </c>
      <c r="R55" s="207">
        <v>120</v>
      </c>
      <c r="S55" s="207" t="s">
        <v>2726</v>
      </c>
      <c r="T55" s="207" t="s">
        <v>1239</v>
      </c>
      <c r="U55" s="207" t="s">
        <v>2771</v>
      </c>
      <c r="V55" s="207" t="s">
        <v>2726</v>
      </c>
      <c r="W55" s="207" t="s">
        <v>2741</v>
      </c>
      <c r="X55" s="207">
        <v>455820</v>
      </c>
      <c r="Y55" s="207" t="s">
        <v>125</v>
      </c>
      <c r="Z55" s="207" t="s">
        <v>2726</v>
      </c>
      <c r="AA55" s="207" t="s">
        <v>2726</v>
      </c>
      <c r="AB55" s="207" t="s">
        <v>2726</v>
      </c>
      <c r="AC55" s="207" t="s">
        <v>2726</v>
      </c>
      <c r="AD55" s="207" t="s">
        <v>2726</v>
      </c>
      <c r="AE55" s="207" t="s">
        <v>2726</v>
      </c>
      <c r="AF55" s="207" t="s">
        <v>2726</v>
      </c>
      <c r="AG55" s="207" t="s">
        <v>2726</v>
      </c>
      <c r="AH55" s="207" t="s">
        <v>2726</v>
      </c>
      <c r="AI55" s="207" t="s">
        <v>1302</v>
      </c>
      <c r="AJ55" s="207" t="s">
        <v>2726</v>
      </c>
      <c r="AK55" s="207" t="s">
        <v>2774</v>
      </c>
    </row>
    <row r="56" spans="1:37" x14ac:dyDescent="0.25">
      <c r="A56" s="207" t="s">
        <v>2804</v>
      </c>
      <c r="B56" s="207">
        <v>0</v>
      </c>
      <c r="C56" s="207" t="s">
        <v>2726</v>
      </c>
      <c r="D56" s="207" t="s">
        <v>2726</v>
      </c>
      <c r="E56" s="207" t="s">
        <v>2774</v>
      </c>
      <c r="F56" s="207" t="s">
        <v>2728</v>
      </c>
      <c r="G56" s="207" t="s">
        <v>2726</v>
      </c>
      <c r="H56" s="207">
        <v>61</v>
      </c>
      <c r="I56" s="207" t="s">
        <v>2744</v>
      </c>
      <c r="J56" s="207" t="s">
        <v>2730</v>
      </c>
      <c r="K56" s="207" t="s">
        <v>2726</v>
      </c>
      <c r="L56" s="207" t="s">
        <v>2726</v>
      </c>
      <c r="M56" s="207" t="s">
        <v>2770</v>
      </c>
      <c r="N56" s="207" t="s">
        <v>2726</v>
      </c>
      <c r="O56" s="207" t="s">
        <v>2726</v>
      </c>
      <c r="P56" s="207" t="s">
        <v>2732</v>
      </c>
      <c r="Q56" s="207" t="s">
        <v>2733</v>
      </c>
      <c r="R56" s="207">
        <v>120</v>
      </c>
      <c r="S56" s="207" t="s">
        <v>2726</v>
      </c>
      <c r="T56" s="207" t="s">
        <v>1239</v>
      </c>
      <c r="U56" s="207" t="s">
        <v>2771</v>
      </c>
      <c r="V56" s="207" t="s">
        <v>2726</v>
      </c>
      <c r="W56" s="207" t="s">
        <v>2741</v>
      </c>
      <c r="X56" s="207">
        <v>86436844</v>
      </c>
      <c r="Y56" s="207" t="s">
        <v>121</v>
      </c>
      <c r="Z56" s="207" t="s">
        <v>2726</v>
      </c>
      <c r="AA56" s="207" t="s">
        <v>2726</v>
      </c>
      <c r="AB56" s="207" t="s">
        <v>2726</v>
      </c>
      <c r="AC56" s="207" t="s">
        <v>2726</v>
      </c>
      <c r="AD56" s="207" t="s">
        <v>2726</v>
      </c>
      <c r="AE56" s="207" t="s">
        <v>2726</v>
      </c>
      <c r="AF56" s="207" t="s">
        <v>2726</v>
      </c>
      <c r="AG56" s="207" t="s">
        <v>2726</v>
      </c>
      <c r="AH56" s="207" t="s">
        <v>2726</v>
      </c>
      <c r="AI56" s="207" t="s">
        <v>1268</v>
      </c>
      <c r="AJ56" s="207" t="s">
        <v>2726</v>
      </c>
      <c r="AK56" s="207" t="s">
        <v>2774</v>
      </c>
    </row>
    <row r="57" spans="1:37" x14ac:dyDescent="0.25">
      <c r="A57" s="207" t="s">
        <v>2805</v>
      </c>
      <c r="B57" s="207">
        <v>0</v>
      </c>
      <c r="C57" s="207" t="s">
        <v>2726</v>
      </c>
      <c r="D57" s="207" t="s">
        <v>2726</v>
      </c>
      <c r="E57" s="207" t="s">
        <v>2774</v>
      </c>
      <c r="F57" s="207" t="s">
        <v>2728</v>
      </c>
      <c r="G57" s="207" t="s">
        <v>2726</v>
      </c>
      <c r="H57" s="207">
        <v>61</v>
      </c>
      <c r="I57" s="207" t="s">
        <v>2744</v>
      </c>
      <c r="J57" s="207" t="s">
        <v>2730</v>
      </c>
      <c r="K57" s="207" t="s">
        <v>2726</v>
      </c>
      <c r="L57" s="207" t="s">
        <v>2726</v>
      </c>
      <c r="M57" s="207" t="s">
        <v>2770</v>
      </c>
      <c r="N57" s="207" t="s">
        <v>2726</v>
      </c>
      <c r="O57" s="207" t="s">
        <v>2726</v>
      </c>
      <c r="P57" s="207" t="s">
        <v>2732</v>
      </c>
      <c r="Q57" s="207" t="s">
        <v>2733</v>
      </c>
      <c r="R57" s="207">
        <v>120</v>
      </c>
      <c r="S57" s="207" t="s">
        <v>2726</v>
      </c>
      <c r="T57" s="207" t="s">
        <v>1239</v>
      </c>
      <c r="U57" s="207" t="s">
        <v>2771</v>
      </c>
      <c r="V57" s="207" t="s">
        <v>2726</v>
      </c>
      <c r="W57" s="207" t="s">
        <v>2741</v>
      </c>
      <c r="X57" s="207">
        <v>8000000</v>
      </c>
      <c r="Y57" s="207" t="s">
        <v>146</v>
      </c>
      <c r="Z57" s="207" t="s">
        <v>2726</v>
      </c>
      <c r="AA57" s="207" t="s">
        <v>2726</v>
      </c>
      <c r="AB57" s="207" t="s">
        <v>2726</v>
      </c>
      <c r="AC57" s="207" t="s">
        <v>2726</v>
      </c>
      <c r="AD57" s="207" t="s">
        <v>2726</v>
      </c>
      <c r="AE57" s="207" t="s">
        <v>2726</v>
      </c>
      <c r="AF57" s="207" t="s">
        <v>2726</v>
      </c>
      <c r="AG57" s="207" t="s">
        <v>2726</v>
      </c>
      <c r="AH57" s="207" t="s">
        <v>2726</v>
      </c>
      <c r="AI57" s="207" t="s">
        <v>1271</v>
      </c>
      <c r="AJ57" s="207" t="s">
        <v>2726</v>
      </c>
      <c r="AK57" s="207" t="s">
        <v>2774</v>
      </c>
    </row>
    <row r="58" spans="1:37" x14ac:dyDescent="0.25">
      <c r="A58" s="207" t="s">
        <v>2806</v>
      </c>
      <c r="B58" s="207">
        <v>0</v>
      </c>
      <c r="C58" s="207" t="s">
        <v>2726</v>
      </c>
      <c r="D58" s="207" t="s">
        <v>2726</v>
      </c>
      <c r="E58" s="207" t="s">
        <v>2774</v>
      </c>
      <c r="F58" s="207" t="s">
        <v>2728</v>
      </c>
      <c r="G58" s="207" t="s">
        <v>2726</v>
      </c>
      <c r="H58" s="207">
        <v>61</v>
      </c>
      <c r="I58" s="207" t="s">
        <v>2744</v>
      </c>
      <c r="J58" s="207" t="s">
        <v>2730</v>
      </c>
      <c r="K58" s="207" t="s">
        <v>2726</v>
      </c>
      <c r="L58" s="207" t="s">
        <v>2726</v>
      </c>
      <c r="M58" s="207" t="s">
        <v>2770</v>
      </c>
      <c r="N58" s="207" t="s">
        <v>2726</v>
      </c>
      <c r="O58" s="207" t="s">
        <v>2726</v>
      </c>
      <c r="P58" s="207" t="s">
        <v>2732</v>
      </c>
      <c r="Q58" s="207" t="s">
        <v>2733</v>
      </c>
      <c r="R58" s="207">
        <v>120</v>
      </c>
      <c r="S58" s="207" t="s">
        <v>2726</v>
      </c>
      <c r="T58" s="207" t="s">
        <v>1239</v>
      </c>
      <c r="U58" s="207" t="s">
        <v>2771</v>
      </c>
      <c r="V58" s="207" t="s">
        <v>2726</v>
      </c>
      <c r="W58" s="207" t="s">
        <v>2741</v>
      </c>
      <c r="X58" s="207">
        <v>785800</v>
      </c>
      <c r="Y58" s="207" t="s">
        <v>152</v>
      </c>
      <c r="Z58" s="207" t="s">
        <v>2726</v>
      </c>
      <c r="AA58" s="207" t="s">
        <v>2726</v>
      </c>
      <c r="AB58" s="207" t="s">
        <v>2726</v>
      </c>
      <c r="AC58" s="207" t="s">
        <v>2726</v>
      </c>
      <c r="AD58" s="207" t="s">
        <v>2726</v>
      </c>
      <c r="AE58" s="207" t="s">
        <v>2726</v>
      </c>
      <c r="AF58" s="207" t="s">
        <v>2726</v>
      </c>
      <c r="AG58" s="207" t="s">
        <v>2726</v>
      </c>
      <c r="AH58" s="207" t="s">
        <v>2726</v>
      </c>
      <c r="AI58" s="207" t="s">
        <v>1311</v>
      </c>
      <c r="AJ58" s="207" t="s">
        <v>2726</v>
      </c>
      <c r="AK58" s="207" t="s">
        <v>2774</v>
      </c>
    </row>
    <row r="59" spans="1:37" x14ac:dyDescent="0.25">
      <c r="A59" s="207" t="s">
        <v>2807</v>
      </c>
      <c r="B59" s="207">
        <v>0</v>
      </c>
      <c r="C59" s="207" t="s">
        <v>2726</v>
      </c>
      <c r="D59" s="207" t="s">
        <v>2726</v>
      </c>
      <c r="E59" s="207" t="s">
        <v>2774</v>
      </c>
      <c r="F59" s="207" t="s">
        <v>2728</v>
      </c>
      <c r="G59" s="207" t="s">
        <v>2726</v>
      </c>
      <c r="H59" s="207">
        <v>61</v>
      </c>
      <c r="I59" s="207" t="s">
        <v>2744</v>
      </c>
      <c r="J59" s="207" t="s">
        <v>2730</v>
      </c>
      <c r="K59" s="207" t="s">
        <v>2726</v>
      </c>
      <c r="L59" s="207" t="s">
        <v>2726</v>
      </c>
      <c r="M59" s="207" t="s">
        <v>2770</v>
      </c>
      <c r="N59" s="207" t="s">
        <v>2726</v>
      </c>
      <c r="O59" s="207" t="s">
        <v>2726</v>
      </c>
      <c r="P59" s="207" t="s">
        <v>2732</v>
      </c>
      <c r="Q59" s="207" t="s">
        <v>2733</v>
      </c>
      <c r="R59" s="207">
        <v>120</v>
      </c>
      <c r="S59" s="207" t="s">
        <v>2726</v>
      </c>
      <c r="T59" s="207" t="s">
        <v>1239</v>
      </c>
      <c r="U59" s="207" t="s">
        <v>2771</v>
      </c>
      <c r="V59" s="207" t="s">
        <v>2726</v>
      </c>
      <c r="W59" s="207" t="s">
        <v>2741</v>
      </c>
      <c r="X59" s="207">
        <v>32565419</v>
      </c>
      <c r="Y59" s="207" t="s">
        <v>170</v>
      </c>
      <c r="Z59" s="207" t="s">
        <v>2726</v>
      </c>
      <c r="AA59" s="207" t="s">
        <v>2726</v>
      </c>
      <c r="AB59" s="207" t="s">
        <v>2726</v>
      </c>
      <c r="AC59" s="207" t="s">
        <v>2726</v>
      </c>
      <c r="AD59" s="207" t="s">
        <v>2726</v>
      </c>
      <c r="AE59" s="207" t="s">
        <v>2726</v>
      </c>
      <c r="AF59" s="207" t="s">
        <v>2726</v>
      </c>
      <c r="AG59" s="207" t="s">
        <v>2726</v>
      </c>
      <c r="AH59" s="207" t="s">
        <v>2726</v>
      </c>
      <c r="AI59" s="207" t="s">
        <v>1277</v>
      </c>
      <c r="AJ59" s="207" t="s">
        <v>2726</v>
      </c>
      <c r="AK59" s="207" t="s">
        <v>2774</v>
      </c>
    </row>
    <row r="60" spans="1:37" x14ac:dyDescent="0.25">
      <c r="A60" s="207" t="s">
        <v>2808</v>
      </c>
      <c r="B60" s="207">
        <v>0</v>
      </c>
      <c r="C60" s="207" t="s">
        <v>2726</v>
      </c>
      <c r="D60" s="207" t="s">
        <v>2726</v>
      </c>
      <c r="E60" s="207" t="s">
        <v>2809</v>
      </c>
      <c r="F60" s="207" t="s">
        <v>2728</v>
      </c>
      <c r="G60" s="207" t="s">
        <v>2726</v>
      </c>
      <c r="H60" s="207">
        <v>60</v>
      </c>
      <c r="I60" s="207" t="s">
        <v>2737</v>
      </c>
      <c r="J60" s="207" t="s">
        <v>2730</v>
      </c>
      <c r="K60" s="207" t="s">
        <v>2726</v>
      </c>
      <c r="L60" s="207" t="s">
        <v>2726</v>
      </c>
      <c r="M60" s="207" t="s">
        <v>2731</v>
      </c>
      <c r="N60" s="207" t="s">
        <v>2726</v>
      </c>
      <c r="O60" s="207" t="s">
        <v>2726</v>
      </c>
      <c r="P60" s="207" t="s">
        <v>2739</v>
      </c>
      <c r="Q60" s="207" t="s">
        <v>2733</v>
      </c>
      <c r="R60" s="207">
        <v>121</v>
      </c>
      <c r="S60" s="207" t="s">
        <v>2726</v>
      </c>
      <c r="T60" s="207" t="s">
        <v>1239</v>
      </c>
      <c r="U60" s="207" t="s">
        <v>2745</v>
      </c>
      <c r="V60" s="207" t="s">
        <v>2726</v>
      </c>
      <c r="W60" s="207" t="s">
        <v>2741</v>
      </c>
      <c r="X60" s="207">
        <v>248456</v>
      </c>
      <c r="Y60" s="207" t="s">
        <v>66</v>
      </c>
      <c r="Z60" s="207" t="s">
        <v>2726</v>
      </c>
      <c r="AA60" s="207" t="s">
        <v>2726</v>
      </c>
      <c r="AB60" s="207" t="s">
        <v>2726</v>
      </c>
      <c r="AC60" s="207" t="s">
        <v>2726</v>
      </c>
      <c r="AD60" s="207" t="s">
        <v>2726</v>
      </c>
      <c r="AE60" s="207" t="s">
        <v>2726</v>
      </c>
      <c r="AF60" s="207" t="s">
        <v>2726</v>
      </c>
      <c r="AG60" s="207" t="s">
        <v>2726</v>
      </c>
      <c r="AH60" s="207" t="s">
        <v>2726</v>
      </c>
      <c r="AI60" s="207" t="s">
        <v>1303</v>
      </c>
      <c r="AJ60" s="207" t="s">
        <v>2726</v>
      </c>
      <c r="AK60" s="207" t="s">
        <v>2809</v>
      </c>
    </row>
    <row r="61" spans="1:37" x14ac:dyDescent="0.25">
      <c r="A61" s="207" t="s">
        <v>2810</v>
      </c>
      <c r="B61" s="207">
        <v>0</v>
      </c>
      <c r="C61" s="207" t="s">
        <v>2726</v>
      </c>
      <c r="D61" s="207" t="s">
        <v>2726</v>
      </c>
      <c r="E61" s="207" t="s">
        <v>2774</v>
      </c>
      <c r="F61" s="207" t="s">
        <v>2728</v>
      </c>
      <c r="G61" s="207" t="s">
        <v>2726</v>
      </c>
      <c r="H61" s="207">
        <v>61</v>
      </c>
      <c r="I61" s="207" t="s">
        <v>2744</v>
      </c>
      <c r="J61" s="207" t="s">
        <v>2730</v>
      </c>
      <c r="K61" s="207" t="s">
        <v>2726</v>
      </c>
      <c r="L61" s="207" t="s">
        <v>2726</v>
      </c>
      <c r="M61" s="207" t="s">
        <v>2770</v>
      </c>
      <c r="N61" s="207" t="s">
        <v>2726</v>
      </c>
      <c r="O61" s="207" t="s">
        <v>2726</v>
      </c>
      <c r="P61" s="207" t="s">
        <v>2732</v>
      </c>
      <c r="Q61" s="207" t="s">
        <v>2733</v>
      </c>
      <c r="R61" s="207">
        <v>120</v>
      </c>
      <c r="S61" s="207" t="s">
        <v>2726</v>
      </c>
      <c r="T61" s="207" t="s">
        <v>1239</v>
      </c>
      <c r="U61" s="207" t="s">
        <v>2771</v>
      </c>
      <c r="V61" s="207" t="s">
        <v>2726</v>
      </c>
      <c r="W61" s="207" t="s">
        <v>2741</v>
      </c>
      <c r="X61" s="207">
        <v>100224060</v>
      </c>
      <c r="Y61" s="207" t="s">
        <v>181</v>
      </c>
      <c r="Z61" s="207" t="s">
        <v>2726</v>
      </c>
      <c r="AA61" s="207" t="s">
        <v>2726</v>
      </c>
      <c r="AB61" s="207" t="s">
        <v>2726</v>
      </c>
      <c r="AC61" s="207" t="s">
        <v>2726</v>
      </c>
      <c r="AD61" s="207" t="s">
        <v>2726</v>
      </c>
      <c r="AE61" s="207" t="s">
        <v>2726</v>
      </c>
      <c r="AF61" s="207" t="s">
        <v>2726</v>
      </c>
      <c r="AG61" s="207" t="s">
        <v>2726</v>
      </c>
      <c r="AH61" s="207" t="s">
        <v>2726</v>
      </c>
      <c r="AI61" s="207" t="s">
        <v>1283</v>
      </c>
      <c r="AJ61" s="207" t="s">
        <v>2726</v>
      </c>
      <c r="AK61" s="207" t="s">
        <v>2774</v>
      </c>
    </row>
    <row r="62" spans="1:37" x14ac:dyDescent="0.25">
      <c r="A62" s="207" t="s">
        <v>2811</v>
      </c>
      <c r="B62" s="207">
        <v>0</v>
      </c>
      <c r="C62" s="207" t="s">
        <v>2726</v>
      </c>
      <c r="D62" s="207" t="s">
        <v>2726</v>
      </c>
      <c r="E62" s="207" t="s">
        <v>2809</v>
      </c>
      <c r="F62" s="207" t="s">
        <v>2728</v>
      </c>
      <c r="G62" s="207" t="s">
        <v>2726</v>
      </c>
      <c r="H62" s="207">
        <v>60</v>
      </c>
      <c r="I62" s="207" t="s">
        <v>2737</v>
      </c>
      <c r="J62" s="207" t="s">
        <v>2730</v>
      </c>
      <c r="K62" s="207" t="s">
        <v>2726</v>
      </c>
      <c r="L62" s="207" t="s">
        <v>2726</v>
      </c>
      <c r="M62" s="207" t="s">
        <v>2731</v>
      </c>
      <c r="N62" s="207" t="s">
        <v>2726</v>
      </c>
      <c r="O62" s="207" t="s">
        <v>2726</v>
      </c>
      <c r="P62" s="207" t="s">
        <v>2739</v>
      </c>
      <c r="Q62" s="207" t="s">
        <v>2733</v>
      </c>
      <c r="R62" s="207">
        <v>121</v>
      </c>
      <c r="S62" s="207" t="s">
        <v>2726</v>
      </c>
      <c r="T62" s="207" t="s">
        <v>1239</v>
      </c>
      <c r="U62" s="207" t="s">
        <v>2745</v>
      </c>
      <c r="V62" s="207" t="s">
        <v>2726</v>
      </c>
      <c r="W62" s="207" t="s">
        <v>2741</v>
      </c>
      <c r="X62" s="207">
        <v>143160</v>
      </c>
      <c r="Y62" s="207" t="s">
        <v>88</v>
      </c>
      <c r="Z62" s="207" t="s">
        <v>2726</v>
      </c>
      <c r="AA62" s="207" t="s">
        <v>2726</v>
      </c>
      <c r="AB62" s="207" t="s">
        <v>2726</v>
      </c>
      <c r="AC62" s="207" t="s">
        <v>2726</v>
      </c>
      <c r="AD62" s="207" t="s">
        <v>2726</v>
      </c>
      <c r="AE62" s="207" t="s">
        <v>2726</v>
      </c>
      <c r="AF62" s="207" t="s">
        <v>2726</v>
      </c>
      <c r="AG62" s="207" t="s">
        <v>2726</v>
      </c>
      <c r="AH62" s="207" t="s">
        <v>2726</v>
      </c>
      <c r="AI62" s="207" t="s">
        <v>1245</v>
      </c>
      <c r="AJ62" s="207" t="s">
        <v>2726</v>
      </c>
      <c r="AK62" s="207" t="s">
        <v>2809</v>
      </c>
    </row>
    <row r="63" spans="1:37" x14ac:dyDescent="0.25">
      <c r="A63" s="207" t="s">
        <v>2812</v>
      </c>
      <c r="B63" s="207">
        <v>0</v>
      </c>
      <c r="C63" s="207" t="s">
        <v>2726</v>
      </c>
      <c r="D63" s="207" t="s">
        <v>2726</v>
      </c>
      <c r="E63" s="207" t="s">
        <v>2774</v>
      </c>
      <c r="F63" s="207" t="s">
        <v>2728</v>
      </c>
      <c r="G63" s="207" t="s">
        <v>2726</v>
      </c>
      <c r="H63" s="207">
        <v>61</v>
      </c>
      <c r="I63" s="207" t="s">
        <v>2744</v>
      </c>
      <c r="J63" s="207" t="s">
        <v>2730</v>
      </c>
      <c r="K63" s="207" t="s">
        <v>2726</v>
      </c>
      <c r="L63" s="207" t="s">
        <v>2726</v>
      </c>
      <c r="M63" s="207" t="s">
        <v>2770</v>
      </c>
      <c r="N63" s="207" t="s">
        <v>2726</v>
      </c>
      <c r="O63" s="207" t="s">
        <v>2726</v>
      </c>
      <c r="P63" s="207" t="s">
        <v>2732</v>
      </c>
      <c r="Q63" s="207" t="s">
        <v>2733</v>
      </c>
      <c r="R63" s="207">
        <v>120</v>
      </c>
      <c r="S63" s="207" t="s">
        <v>2726</v>
      </c>
      <c r="T63" s="207" t="s">
        <v>1239</v>
      </c>
      <c r="U63" s="207" t="s">
        <v>2771</v>
      </c>
      <c r="V63" s="207" t="s">
        <v>2726</v>
      </c>
      <c r="W63" s="207" t="s">
        <v>2741</v>
      </c>
      <c r="X63" s="207">
        <v>99839684</v>
      </c>
      <c r="Y63" s="207" t="s">
        <v>185</v>
      </c>
      <c r="Z63" s="207" t="s">
        <v>2726</v>
      </c>
      <c r="AA63" s="207" t="s">
        <v>2726</v>
      </c>
      <c r="AB63" s="207" t="s">
        <v>2726</v>
      </c>
      <c r="AC63" s="207" t="s">
        <v>2726</v>
      </c>
      <c r="AD63" s="207" t="s">
        <v>2726</v>
      </c>
      <c r="AE63" s="207" t="s">
        <v>2726</v>
      </c>
      <c r="AF63" s="207" t="s">
        <v>2726</v>
      </c>
      <c r="AG63" s="207" t="s">
        <v>2726</v>
      </c>
      <c r="AH63" s="207" t="s">
        <v>2726</v>
      </c>
      <c r="AI63" s="207" t="s">
        <v>1269</v>
      </c>
      <c r="AJ63" s="207" t="s">
        <v>2726</v>
      </c>
      <c r="AK63" s="207" t="s">
        <v>2774</v>
      </c>
    </row>
    <row r="64" spans="1:37" x14ac:dyDescent="0.25">
      <c r="A64" s="207" t="s">
        <v>2813</v>
      </c>
      <c r="B64" s="207">
        <v>0</v>
      </c>
      <c r="C64" s="207" t="s">
        <v>2726</v>
      </c>
      <c r="D64" s="207" t="s">
        <v>2726</v>
      </c>
      <c r="E64" s="207" t="s">
        <v>2809</v>
      </c>
      <c r="F64" s="207" t="s">
        <v>2728</v>
      </c>
      <c r="G64" s="207" t="s">
        <v>2726</v>
      </c>
      <c r="H64" s="207">
        <v>60</v>
      </c>
      <c r="I64" s="207" t="s">
        <v>2737</v>
      </c>
      <c r="J64" s="207" t="s">
        <v>2730</v>
      </c>
      <c r="K64" s="207" t="s">
        <v>2726</v>
      </c>
      <c r="L64" s="207" t="s">
        <v>2726</v>
      </c>
      <c r="M64" s="207" t="s">
        <v>2731</v>
      </c>
      <c r="N64" s="207" t="s">
        <v>2726</v>
      </c>
      <c r="O64" s="207" t="s">
        <v>2726</v>
      </c>
      <c r="P64" s="207" t="s">
        <v>2739</v>
      </c>
      <c r="Q64" s="207" t="s">
        <v>2733</v>
      </c>
      <c r="R64" s="207">
        <v>121</v>
      </c>
      <c r="S64" s="207" t="s">
        <v>2726</v>
      </c>
      <c r="T64" s="207" t="s">
        <v>1239</v>
      </c>
      <c r="U64" s="207" t="s">
        <v>2745</v>
      </c>
      <c r="V64" s="207" t="s">
        <v>2726</v>
      </c>
      <c r="W64" s="207" t="s">
        <v>629</v>
      </c>
      <c r="X64" s="207">
        <v>-391616</v>
      </c>
      <c r="Y64" s="207" t="s">
        <v>59</v>
      </c>
      <c r="Z64" s="207" t="s">
        <v>2726</v>
      </c>
      <c r="AA64" s="207" t="s">
        <v>2726</v>
      </c>
      <c r="AB64" s="207" t="s">
        <v>2726</v>
      </c>
      <c r="AC64" s="207" t="s">
        <v>2726</v>
      </c>
      <c r="AD64" s="207" t="s">
        <v>2726</v>
      </c>
      <c r="AE64" s="207" t="s">
        <v>2726</v>
      </c>
      <c r="AF64" s="207" t="s">
        <v>2726</v>
      </c>
      <c r="AG64" s="207" t="s">
        <v>2726</v>
      </c>
      <c r="AH64" s="207" t="s">
        <v>2726</v>
      </c>
      <c r="AI64" s="207" t="s">
        <v>1242</v>
      </c>
      <c r="AJ64" s="207" t="s">
        <v>2726</v>
      </c>
      <c r="AK64" s="207" t="s">
        <v>2809</v>
      </c>
    </row>
    <row r="65" spans="1:37" x14ac:dyDescent="0.25">
      <c r="A65" s="207" t="s">
        <v>2814</v>
      </c>
      <c r="B65" s="207">
        <v>0</v>
      </c>
      <c r="C65" s="207" t="s">
        <v>2726</v>
      </c>
      <c r="D65" s="207" t="s">
        <v>2726</v>
      </c>
      <c r="E65" s="207" t="s">
        <v>2774</v>
      </c>
      <c r="F65" s="207" t="s">
        <v>2728</v>
      </c>
      <c r="G65" s="207" t="s">
        <v>2726</v>
      </c>
      <c r="H65" s="207">
        <v>61</v>
      </c>
      <c r="I65" s="207" t="s">
        <v>2744</v>
      </c>
      <c r="J65" s="207" t="s">
        <v>2730</v>
      </c>
      <c r="K65" s="207" t="s">
        <v>2726</v>
      </c>
      <c r="L65" s="207" t="s">
        <v>2726</v>
      </c>
      <c r="M65" s="207" t="s">
        <v>2770</v>
      </c>
      <c r="N65" s="207" t="s">
        <v>2726</v>
      </c>
      <c r="O65" s="207" t="s">
        <v>2726</v>
      </c>
      <c r="P65" s="207" t="s">
        <v>2732</v>
      </c>
      <c r="Q65" s="207" t="s">
        <v>2733</v>
      </c>
      <c r="R65" s="207">
        <v>120</v>
      </c>
      <c r="S65" s="207" t="s">
        <v>2726</v>
      </c>
      <c r="T65" s="207" t="s">
        <v>1239</v>
      </c>
      <c r="U65" s="207" t="s">
        <v>2771</v>
      </c>
      <c r="V65" s="207" t="s">
        <v>2726</v>
      </c>
      <c r="W65" s="207" t="s">
        <v>2741</v>
      </c>
      <c r="X65" s="207">
        <v>26956715</v>
      </c>
      <c r="Y65" s="207" t="s">
        <v>188</v>
      </c>
      <c r="Z65" s="207" t="s">
        <v>2726</v>
      </c>
      <c r="AA65" s="207" t="s">
        <v>2726</v>
      </c>
      <c r="AB65" s="207" t="s">
        <v>2726</v>
      </c>
      <c r="AC65" s="207" t="s">
        <v>2726</v>
      </c>
      <c r="AD65" s="207" t="s">
        <v>2726</v>
      </c>
      <c r="AE65" s="207" t="s">
        <v>2726</v>
      </c>
      <c r="AF65" s="207" t="s">
        <v>2726</v>
      </c>
      <c r="AG65" s="207" t="s">
        <v>2726</v>
      </c>
      <c r="AH65" s="207" t="s">
        <v>2726</v>
      </c>
      <c r="AI65" s="207" t="s">
        <v>1270</v>
      </c>
      <c r="AJ65" s="207" t="s">
        <v>2726</v>
      </c>
      <c r="AK65" s="207" t="s">
        <v>2774</v>
      </c>
    </row>
    <row r="66" spans="1:37" x14ac:dyDescent="0.25">
      <c r="A66" s="207" t="s">
        <v>2815</v>
      </c>
      <c r="B66" s="207">
        <v>0</v>
      </c>
      <c r="C66" s="207" t="s">
        <v>2726</v>
      </c>
      <c r="D66" s="207" t="s">
        <v>2726</v>
      </c>
      <c r="E66" s="207" t="s">
        <v>2774</v>
      </c>
      <c r="F66" s="207" t="s">
        <v>2728</v>
      </c>
      <c r="G66" s="207" t="s">
        <v>2726</v>
      </c>
      <c r="H66" s="207">
        <v>61</v>
      </c>
      <c r="I66" s="207" t="s">
        <v>2744</v>
      </c>
      <c r="J66" s="207" t="s">
        <v>2730</v>
      </c>
      <c r="K66" s="207" t="s">
        <v>2726</v>
      </c>
      <c r="L66" s="207" t="s">
        <v>2726</v>
      </c>
      <c r="M66" s="207" t="s">
        <v>2770</v>
      </c>
      <c r="N66" s="207" t="s">
        <v>2726</v>
      </c>
      <c r="O66" s="207" t="s">
        <v>2726</v>
      </c>
      <c r="P66" s="207" t="s">
        <v>2732</v>
      </c>
      <c r="Q66" s="207" t="s">
        <v>2733</v>
      </c>
      <c r="R66" s="207">
        <v>120</v>
      </c>
      <c r="S66" s="207" t="s">
        <v>2726</v>
      </c>
      <c r="T66" s="207" t="s">
        <v>1239</v>
      </c>
      <c r="U66" s="207" t="s">
        <v>2771</v>
      </c>
      <c r="V66" s="207" t="s">
        <v>2726</v>
      </c>
      <c r="W66" s="207" t="s">
        <v>2741</v>
      </c>
      <c r="X66" s="207">
        <v>27218204</v>
      </c>
      <c r="Y66" s="207" t="s">
        <v>189</v>
      </c>
      <c r="Z66" s="207" t="s">
        <v>2726</v>
      </c>
      <c r="AA66" s="207" t="s">
        <v>2726</v>
      </c>
      <c r="AB66" s="207" t="s">
        <v>2726</v>
      </c>
      <c r="AC66" s="207" t="s">
        <v>2726</v>
      </c>
      <c r="AD66" s="207" t="s">
        <v>2726</v>
      </c>
      <c r="AE66" s="207" t="s">
        <v>2726</v>
      </c>
      <c r="AF66" s="207" t="s">
        <v>2726</v>
      </c>
      <c r="AG66" s="207" t="s">
        <v>2726</v>
      </c>
      <c r="AH66" s="207" t="s">
        <v>2726</v>
      </c>
      <c r="AI66" s="207" t="s">
        <v>1285</v>
      </c>
      <c r="AJ66" s="207" t="s">
        <v>2726</v>
      </c>
      <c r="AK66" s="207" t="s">
        <v>2774</v>
      </c>
    </row>
    <row r="67" spans="1:37" x14ac:dyDescent="0.25">
      <c r="A67" s="207" t="s">
        <v>2816</v>
      </c>
      <c r="B67" s="207">
        <v>0</v>
      </c>
      <c r="C67" s="207" t="s">
        <v>2726</v>
      </c>
      <c r="D67" s="207" t="s">
        <v>2726</v>
      </c>
      <c r="E67" s="207" t="s">
        <v>2774</v>
      </c>
      <c r="F67" s="207" t="s">
        <v>2728</v>
      </c>
      <c r="G67" s="207" t="s">
        <v>2726</v>
      </c>
      <c r="H67" s="207">
        <v>61</v>
      </c>
      <c r="I67" s="207" t="s">
        <v>2744</v>
      </c>
      <c r="J67" s="207" t="s">
        <v>2730</v>
      </c>
      <c r="K67" s="207" t="s">
        <v>2726</v>
      </c>
      <c r="L67" s="207" t="s">
        <v>2726</v>
      </c>
      <c r="M67" s="207" t="s">
        <v>2770</v>
      </c>
      <c r="N67" s="207" t="s">
        <v>2726</v>
      </c>
      <c r="O67" s="207" t="s">
        <v>2726</v>
      </c>
      <c r="P67" s="207" t="s">
        <v>2732</v>
      </c>
      <c r="Q67" s="207" t="s">
        <v>2733</v>
      </c>
      <c r="R67" s="207">
        <v>120</v>
      </c>
      <c r="S67" s="207" t="s">
        <v>2726</v>
      </c>
      <c r="T67" s="207" t="s">
        <v>1239</v>
      </c>
      <c r="U67" s="207" t="s">
        <v>2771</v>
      </c>
      <c r="V67" s="207" t="s">
        <v>2726</v>
      </c>
      <c r="W67" s="207" t="s">
        <v>2741</v>
      </c>
      <c r="X67" s="207">
        <v>7348915</v>
      </c>
      <c r="Y67" s="207" t="s">
        <v>192</v>
      </c>
      <c r="Z67" s="207" t="s">
        <v>2726</v>
      </c>
      <c r="AA67" s="207" t="s">
        <v>2726</v>
      </c>
      <c r="AB67" s="207" t="s">
        <v>2726</v>
      </c>
      <c r="AC67" s="207" t="s">
        <v>2726</v>
      </c>
      <c r="AD67" s="207" t="s">
        <v>2726</v>
      </c>
      <c r="AE67" s="207" t="s">
        <v>2726</v>
      </c>
      <c r="AF67" s="207" t="s">
        <v>2726</v>
      </c>
      <c r="AG67" s="207" t="s">
        <v>2726</v>
      </c>
      <c r="AH67" s="207" t="s">
        <v>2726</v>
      </c>
      <c r="AI67" s="207" t="s">
        <v>1286</v>
      </c>
      <c r="AJ67" s="207" t="s">
        <v>2726</v>
      </c>
      <c r="AK67" s="207" t="s">
        <v>2774</v>
      </c>
    </row>
    <row r="68" spans="1:37" x14ac:dyDescent="0.25">
      <c r="A68" s="207" t="s">
        <v>2817</v>
      </c>
      <c r="B68" s="207">
        <v>0</v>
      </c>
      <c r="C68" s="207" t="s">
        <v>2726</v>
      </c>
      <c r="D68" s="207" t="s">
        <v>2726</v>
      </c>
      <c r="E68" s="207" t="s">
        <v>2774</v>
      </c>
      <c r="F68" s="207" t="s">
        <v>2728</v>
      </c>
      <c r="G68" s="207" t="s">
        <v>2726</v>
      </c>
      <c r="H68" s="207">
        <v>61</v>
      </c>
      <c r="I68" s="207" t="s">
        <v>2744</v>
      </c>
      <c r="J68" s="207" t="s">
        <v>2730</v>
      </c>
      <c r="K68" s="207" t="s">
        <v>2726</v>
      </c>
      <c r="L68" s="207" t="s">
        <v>2726</v>
      </c>
      <c r="M68" s="207" t="s">
        <v>2770</v>
      </c>
      <c r="N68" s="207" t="s">
        <v>2726</v>
      </c>
      <c r="O68" s="207" t="s">
        <v>2726</v>
      </c>
      <c r="P68" s="207" t="s">
        <v>2732</v>
      </c>
      <c r="Q68" s="207" t="s">
        <v>2733</v>
      </c>
      <c r="R68" s="207">
        <v>120</v>
      </c>
      <c r="S68" s="207" t="s">
        <v>2726</v>
      </c>
      <c r="T68" s="207" t="s">
        <v>1239</v>
      </c>
      <c r="U68" s="207" t="s">
        <v>2771</v>
      </c>
      <c r="V68" s="207" t="s">
        <v>2726</v>
      </c>
      <c r="W68" s="207" t="s">
        <v>2741</v>
      </c>
      <c r="X68" s="207">
        <v>14729728</v>
      </c>
      <c r="Y68" s="207" t="s">
        <v>202</v>
      </c>
      <c r="Z68" s="207" t="s">
        <v>2726</v>
      </c>
      <c r="AA68" s="207" t="s">
        <v>2726</v>
      </c>
      <c r="AB68" s="207" t="s">
        <v>2726</v>
      </c>
      <c r="AC68" s="207" t="s">
        <v>2726</v>
      </c>
      <c r="AD68" s="207" t="s">
        <v>2726</v>
      </c>
      <c r="AE68" s="207" t="s">
        <v>2726</v>
      </c>
      <c r="AF68" s="207" t="s">
        <v>2726</v>
      </c>
      <c r="AG68" s="207" t="s">
        <v>2726</v>
      </c>
      <c r="AH68" s="207" t="s">
        <v>2726</v>
      </c>
      <c r="AI68" s="207" t="s">
        <v>1451</v>
      </c>
      <c r="AJ68" s="207" t="s">
        <v>2726</v>
      </c>
      <c r="AK68" s="207" t="s">
        <v>2774</v>
      </c>
    </row>
    <row r="69" spans="1:37" x14ac:dyDescent="0.25">
      <c r="A69" s="207" t="s">
        <v>2818</v>
      </c>
      <c r="B69" s="207">
        <v>0</v>
      </c>
      <c r="C69" s="207" t="s">
        <v>2726</v>
      </c>
      <c r="D69" s="207" t="s">
        <v>2726</v>
      </c>
      <c r="E69" s="207" t="s">
        <v>2774</v>
      </c>
      <c r="F69" s="207" t="s">
        <v>2728</v>
      </c>
      <c r="G69" s="207" t="s">
        <v>2726</v>
      </c>
      <c r="H69" s="207">
        <v>61</v>
      </c>
      <c r="I69" s="207" t="s">
        <v>2744</v>
      </c>
      <c r="J69" s="207" t="s">
        <v>2730</v>
      </c>
      <c r="K69" s="207" t="s">
        <v>2726</v>
      </c>
      <c r="L69" s="207" t="s">
        <v>2726</v>
      </c>
      <c r="M69" s="207" t="s">
        <v>2770</v>
      </c>
      <c r="N69" s="207" t="s">
        <v>2726</v>
      </c>
      <c r="O69" s="207" t="s">
        <v>2726</v>
      </c>
      <c r="P69" s="207" t="s">
        <v>2732</v>
      </c>
      <c r="Q69" s="207" t="s">
        <v>2733</v>
      </c>
      <c r="R69" s="207">
        <v>120</v>
      </c>
      <c r="S69" s="207" t="s">
        <v>2726</v>
      </c>
      <c r="T69" s="207" t="s">
        <v>1239</v>
      </c>
      <c r="U69" s="207" t="s">
        <v>2771</v>
      </c>
      <c r="V69" s="207" t="s">
        <v>2726</v>
      </c>
      <c r="W69" s="207" t="s">
        <v>2741</v>
      </c>
      <c r="X69" s="207">
        <v>23155891</v>
      </c>
      <c r="Y69" s="207" t="s">
        <v>212</v>
      </c>
      <c r="Z69" s="207" t="s">
        <v>2726</v>
      </c>
      <c r="AA69" s="207" t="s">
        <v>2726</v>
      </c>
      <c r="AB69" s="207" t="s">
        <v>2726</v>
      </c>
      <c r="AC69" s="207" t="s">
        <v>2726</v>
      </c>
      <c r="AD69" s="207" t="s">
        <v>2726</v>
      </c>
      <c r="AE69" s="207" t="s">
        <v>2726</v>
      </c>
      <c r="AF69" s="207" t="s">
        <v>2726</v>
      </c>
      <c r="AG69" s="207" t="s">
        <v>2726</v>
      </c>
      <c r="AH69" s="207" t="s">
        <v>2726</v>
      </c>
      <c r="AI69" s="207" t="s">
        <v>1287</v>
      </c>
      <c r="AJ69" s="207" t="s">
        <v>2726</v>
      </c>
      <c r="AK69" s="207" t="s">
        <v>2774</v>
      </c>
    </row>
    <row r="70" spans="1:37" x14ac:dyDescent="0.25">
      <c r="A70" s="207" t="s">
        <v>2819</v>
      </c>
      <c r="B70" s="207">
        <v>0</v>
      </c>
      <c r="C70" s="207" t="s">
        <v>2726</v>
      </c>
      <c r="D70" s="207" t="s">
        <v>2726</v>
      </c>
      <c r="E70" s="207" t="s">
        <v>2774</v>
      </c>
      <c r="F70" s="207" t="s">
        <v>2728</v>
      </c>
      <c r="G70" s="207" t="s">
        <v>2726</v>
      </c>
      <c r="H70" s="207">
        <v>61</v>
      </c>
      <c r="I70" s="207" t="s">
        <v>2744</v>
      </c>
      <c r="J70" s="207" t="s">
        <v>2730</v>
      </c>
      <c r="K70" s="207" t="s">
        <v>2726</v>
      </c>
      <c r="L70" s="207" t="s">
        <v>2726</v>
      </c>
      <c r="M70" s="207" t="s">
        <v>2770</v>
      </c>
      <c r="N70" s="207" t="s">
        <v>2726</v>
      </c>
      <c r="O70" s="207" t="s">
        <v>2726</v>
      </c>
      <c r="P70" s="207" t="s">
        <v>2732</v>
      </c>
      <c r="Q70" s="207" t="s">
        <v>2733</v>
      </c>
      <c r="R70" s="207">
        <v>120</v>
      </c>
      <c r="S70" s="207" t="s">
        <v>2726</v>
      </c>
      <c r="T70" s="207" t="s">
        <v>1239</v>
      </c>
      <c r="U70" s="207" t="s">
        <v>2771</v>
      </c>
      <c r="V70" s="207" t="s">
        <v>2726</v>
      </c>
      <c r="W70" s="207" t="s">
        <v>2741</v>
      </c>
      <c r="X70" s="207">
        <v>713571495</v>
      </c>
      <c r="Y70" s="207" t="s">
        <v>213</v>
      </c>
      <c r="Z70" s="207" t="s">
        <v>2726</v>
      </c>
      <c r="AA70" s="207" t="s">
        <v>2726</v>
      </c>
      <c r="AB70" s="207" t="s">
        <v>2726</v>
      </c>
      <c r="AC70" s="207" t="s">
        <v>2726</v>
      </c>
      <c r="AD70" s="207" t="s">
        <v>2726</v>
      </c>
      <c r="AE70" s="207" t="s">
        <v>2726</v>
      </c>
      <c r="AF70" s="207" t="s">
        <v>2726</v>
      </c>
      <c r="AG70" s="207" t="s">
        <v>2726</v>
      </c>
      <c r="AH70" s="207" t="s">
        <v>2726</v>
      </c>
      <c r="AI70" s="207" t="s">
        <v>1253</v>
      </c>
      <c r="AJ70" s="207" t="s">
        <v>2726</v>
      </c>
      <c r="AK70" s="207" t="s">
        <v>2774</v>
      </c>
    </row>
    <row r="71" spans="1:37" x14ac:dyDescent="0.25">
      <c r="A71" s="207" t="s">
        <v>2820</v>
      </c>
      <c r="B71" s="207">
        <v>0</v>
      </c>
      <c r="C71" s="207" t="s">
        <v>2726</v>
      </c>
      <c r="D71" s="207" t="s">
        <v>2726</v>
      </c>
      <c r="E71" s="207" t="s">
        <v>2774</v>
      </c>
      <c r="F71" s="207" t="s">
        <v>2728</v>
      </c>
      <c r="G71" s="207" t="s">
        <v>2726</v>
      </c>
      <c r="H71" s="207">
        <v>61</v>
      </c>
      <c r="I71" s="207" t="s">
        <v>2744</v>
      </c>
      <c r="J71" s="207" t="s">
        <v>2730</v>
      </c>
      <c r="K71" s="207" t="s">
        <v>2726</v>
      </c>
      <c r="L71" s="207" t="s">
        <v>2726</v>
      </c>
      <c r="M71" s="207" t="s">
        <v>2770</v>
      </c>
      <c r="N71" s="207" t="s">
        <v>2726</v>
      </c>
      <c r="O71" s="207" t="s">
        <v>2726</v>
      </c>
      <c r="P71" s="207" t="s">
        <v>2732</v>
      </c>
      <c r="Q71" s="207" t="s">
        <v>2733</v>
      </c>
      <c r="R71" s="207">
        <v>120</v>
      </c>
      <c r="S71" s="207" t="s">
        <v>2726</v>
      </c>
      <c r="T71" s="207" t="s">
        <v>1239</v>
      </c>
      <c r="U71" s="207" t="s">
        <v>2771</v>
      </c>
      <c r="V71" s="207" t="s">
        <v>2726</v>
      </c>
      <c r="W71" s="207" t="s">
        <v>2741</v>
      </c>
      <c r="X71" s="207">
        <v>1149792</v>
      </c>
      <c r="Y71" s="207" t="s">
        <v>215</v>
      </c>
      <c r="Z71" s="207" t="s">
        <v>2726</v>
      </c>
      <c r="AA71" s="207" t="s">
        <v>2726</v>
      </c>
      <c r="AB71" s="207" t="s">
        <v>2726</v>
      </c>
      <c r="AC71" s="207" t="s">
        <v>2726</v>
      </c>
      <c r="AD71" s="207" t="s">
        <v>2726</v>
      </c>
      <c r="AE71" s="207" t="s">
        <v>2726</v>
      </c>
      <c r="AF71" s="207" t="s">
        <v>2726</v>
      </c>
      <c r="AG71" s="207" t="s">
        <v>2726</v>
      </c>
      <c r="AH71" s="207" t="s">
        <v>2726</v>
      </c>
      <c r="AI71" s="207" t="s">
        <v>1476</v>
      </c>
      <c r="AJ71" s="207" t="s">
        <v>2726</v>
      </c>
      <c r="AK71" s="207" t="s">
        <v>2774</v>
      </c>
    </row>
    <row r="72" spans="1:37" x14ac:dyDescent="0.25">
      <c r="A72" s="207" t="s">
        <v>2821</v>
      </c>
      <c r="B72" s="207">
        <v>0</v>
      </c>
      <c r="C72" s="207" t="s">
        <v>2726</v>
      </c>
      <c r="D72" s="207" t="s">
        <v>2726</v>
      </c>
      <c r="E72" s="207" t="s">
        <v>2774</v>
      </c>
      <c r="F72" s="207" t="s">
        <v>2728</v>
      </c>
      <c r="G72" s="207" t="s">
        <v>2726</v>
      </c>
      <c r="H72" s="207">
        <v>61</v>
      </c>
      <c r="I72" s="207" t="s">
        <v>2729</v>
      </c>
      <c r="J72" s="207" t="s">
        <v>2730</v>
      </c>
      <c r="K72" s="207" t="s">
        <v>2726</v>
      </c>
      <c r="L72" s="207" t="s">
        <v>2726</v>
      </c>
      <c r="M72" s="207" t="s">
        <v>2770</v>
      </c>
      <c r="N72" s="207" t="s">
        <v>2726</v>
      </c>
      <c r="O72" s="207" t="s">
        <v>2726</v>
      </c>
      <c r="P72" s="207" t="s">
        <v>2732</v>
      </c>
      <c r="Q72" s="207" t="s">
        <v>2733</v>
      </c>
      <c r="R72" s="207">
        <v>220</v>
      </c>
      <c r="S72" s="207" t="s">
        <v>2726</v>
      </c>
      <c r="T72" s="207" t="s">
        <v>1239</v>
      </c>
      <c r="U72" s="207" t="s">
        <v>2822</v>
      </c>
      <c r="V72" s="207" t="s">
        <v>2726</v>
      </c>
      <c r="W72" s="207" t="s">
        <v>629</v>
      </c>
      <c r="X72" s="207">
        <v>-250117687</v>
      </c>
      <c r="Y72" s="207" t="s">
        <v>226</v>
      </c>
      <c r="Z72" s="207" t="s">
        <v>2726</v>
      </c>
      <c r="AA72" s="207" t="s">
        <v>2726</v>
      </c>
      <c r="AB72" s="207" t="s">
        <v>2726</v>
      </c>
      <c r="AC72" s="207" t="s">
        <v>2726</v>
      </c>
      <c r="AD72" s="207" t="s">
        <v>2726</v>
      </c>
      <c r="AE72" s="207" t="s">
        <v>2726</v>
      </c>
      <c r="AF72" s="207" t="s">
        <v>2726</v>
      </c>
      <c r="AG72" s="207" t="s">
        <v>2726</v>
      </c>
      <c r="AH72" s="207" t="s">
        <v>2726</v>
      </c>
      <c r="AI72" s="207" t="s">
        <v>1288</v>
      </c>
      <c r="AJ72" s="207" t="s">
        <v>2726</v>
      </c>
      <c r="AK72" s="207" t="s">
        <v>2774</v>
      </c>
    </row>
    <row r="73" spans="1:37" x14ac:dyDescent="0.25">
      <c r="A73" s="207" t="s">
        <v>2823</v>
      </c>
      <c r="B73" s="207">
        <v>0</v>
      </c>
      <c r="C73" s="207" t="s">
        <v>2726</v>
      </c>
      <c r="D73" s="207" t="s">
        <v>2726</v>
      </c>
      <c r="E73" s="207" t="s">
        <v>2774</v>
      </c>
      <c r="F73" s="207" t="s">
        <v>2728</v>
      </c>
      <c r="G73" s="207" t="s">
        <v>2726</v>
      </c>
      <c r="H73" s="207">
        <v>61</v>
      </c>
      <c r="I73" s="207" t="s">
        <v>2729</v>
      </c>
      <c r="J73" s="207" t="s">
        <v>2730</v>
      </c>
      <c r="K73" s="207" t="s">
        <v>2726</v>
      </c>
      <c r="L73" s="207" t="s">
        <v>2726</v>
      </c>
      <c r="M73" s="207" t="s">
        <v>2770</v>
      </c>
      <c r="N73" s="207" t="s">
        <v>2726</v>
      </c>
      <c r="O73" s="207" t="s">
        <v>2726</v>
      </c>
      <c r="P73" s="207" t="s">
        <v>2732</v>
      </c>
      <c r="Q73" s="207" t="s">
        <v>2733</v>
      </c>
      <c r="R73" s="207">
        <v>220</v>
      </c>
      <c r="S73" s="207" t="s">
        <v>2726</v>
      </c>
      <c r="T73" s="207" t="s">
        <v>1239</v>
      </c>
      <c r="U73" s="207" t="s">
        <v>2822</v>
      </c>
      <c r="V73" s="207" t="s">
        <v>2726</v>
      </c>
      <c r="W73" s="207" t="s">
        <v>629</v>
      </c>
      <c r="X73" s="207">
        <v>-273336590</v>
      </c>
      <c r="Y73" s="207" t="s">
        <v>227</v>
      </c>
      <c r="Z73" s="207" t="s">
        <v>2726</v>
      </c>
      <c r="AA73" s="207" t="s">
        <v>2726</v>
      </c>
      <c r="AB73" s="207" t="s">
        <v>2726</v>
      </c>
      <c r="AC73" s="207" t="s">
        <v>2726</v>
      </c>
      <c r="AD73" s="207" t="s">
        <v>2726</v>
      </c>
      <c r="AE73" s="207" t="s">
        <v>2726</v>
      </c>
      <c r="AF73" s="207" t="s">
        <v>2726</v>
      </c>
      <c r="AG73" s="207" t="s">
        <v>2726</v>
      </c>
      <c r="AH73" s="207" t="s">
        <v>2726</v>
      </c>
      <c r="AI73" s="207" t="s">
        <v>1289</v>
      </c>
      <c r="AJ73" s="207" t="s">
        <v>2726</v>
      </c>
      <c r="AK73" s="207" t="s">
        <v>2774</v>
      </c>
    </row>
    <row r="74" spans="1:37" x14ac:dyDescent="0.25">
      <c r="A74" s="207" t="s">
        <v>2824</v>
      </c>
      <c r="B74" s="207">
        <v>0</v>
      </c>
      <c r="C74" s="207" t="s">
        <v>2726</v>
      </c>
      <c r="D74" s="207" t="s">
        <v>2726</v>
      </c>
      <c r="E74" s="207" t="s">
        <v>2774</v>
      </c>
      <c r="F74" s="207" t="s">
        <v>2728</v>
      </c>
      <c r="G74" s="207" t="s">
        <v>2726</v>
      </c>
      <c r="H74" s="207">
        <v>61</v>
      </c>
      <c r="I74" s="207" t="s">
        <v>2729</v>
      </c>
      <c r="J74" s="207" t="s">
        <v>2730</v>
      </c>
      <c r="K74" s="207" t="s">
        <v>2726</v>
      </c>
      <c r="L74" s="207" t="s">
        <v>2726</v>
      </c>
      <c r="M74" s="207" t="s">
        <v>2770</v>
      </c>
      <c r="N74" s="207" t="s">
        <v>2726</v>
      </c>
      <c r="O74" s="207" t="s">
        <v>2726</v>
      </c>
      <c r="P74" s="207" t="s">
        <v>2732</v>
      </c>
      <c r="Q74" s="207" t="s">
        <v>2733</v>
      </c>
      <c r="R74" s="207">
        <v>220</v>
      </c>
      <c r="S74" s="207" t="s">
        <v>2726</v>
      </c>
      <c r="T74" s="207" t="s">
        <v>1239</v>
      </c>
      <c r="U74" s="207" t="s">
        <v>2822</v>
      </c>
      <c r="V74" s="207" t="s">
        <v>2726</v>
      </c>
      <c r="W74" s="207" t="s">
        <v>629</v>
      </c>
      <c r="X74" s="207">
        <v>-98121389</v>
      </c>
      <c r="Y74" s="207" t="s">
        <v>228</v>
      </c>
      <c r="Z74" s="207" t="s">
        <v>2726</v>
      </c>
      <c r="AA74" s="207" t="s">
        <v>2726</v>
      </c>
      <c r="AB74" s="207" t="s">
        <v>2726</v>
      </c>
      <c r="AC74" s="207" t="s">
        <v>2726</v>
      </c>
      <c r="AD74" s="207" t="s">
        <v>2726</v>
      </c>
      <c r="AE74" s="207" t="s">
        <v>2726</v>
      </c>
      <c r="AF74" s="207" t="s">
        <v>2726</v>
      </c>
      <c r="AG74" s="207" t="s">
        <v>2726</v>
      </c>
      <c r="AH74" s="207" t="s">
        <v>2726</v>
      </c>
      <c r="AI74" s="207" t="s">
        <v>1290</v>
      </c>
      <c r="AJ74" s="207" t="s">
        <v>2726</v>
      </c>
      <c r="AK74" s="207" t="s">
        <v>2774</v>
      </c>
    </row>
    <row r="75" spans="1:37" x14ac:dyDescent="0.25">
      <c r="A75" s="207" t="s">
        <v>2825</v>
      </c>
      <c r="B75" s="207">
        <v>0</v>
      </c>
      <c r="C75" s="207" t="s">
        <v>2726</v>
      </c>
      <c r="D75" s="207" t="s">
        <v>2726</v>
      </c>
      <c r="E75" s="207" t="s">
        <v>2774</v>
      </c>
      <c r="F75" s="207" t="s">
        <v>2728</v>
      </c>
      <c r="G75" s="207" t="s">
        <v>2726</v>
      </c>
      <c r="H75" s="207">
        <v>61</v>
      </c>
      <c r="I75" s="207" t="s">
        <v>2729</v>
      </c>
      <c r="J75" s="207" t="s">
        <v>2730</v>
      </c>
      <c r="K75" s="207" t="s">
        <v>2726</v>
      </c>
      <c r="L75" s="207" t="s">
        <v>2726</v>
      </c>
      <c r="M75" s="207" t="s">
        <v>2770</v>
      </c>
      <c r="N75" s="207" t="s">
        <v>2726</v>
      </c>
      <c r="O75" s="207" t="s">
        <v>2726</v>
      </c>
      <c r="P75" s="207" t="s">
        <v>2732</v>
      </c>
      <c r="Q75" s="207" t="s">
        <v>2733</v>
      </c>
      <c r="R75" s="207">
        <v>220</v>
      </c>
      <c r="S75" s="207" t="s">
        <v>2726</v>
      </c>
      <c r="T75" s="207" t="s">
        <v>1239</v>
      </c>
      <c r="U75" s="207" t="s">
        <v>2822</v>
      </c>
      <c r="V75" s="207" t="s">
        <v>2726</v>
      </c>
      <c r="W75" s="207" t="s">
        <v>629</v>
      </c>
      <c r="X75" s="207">
        <v>-147019091</v>
      </c>
      <c r="Y75" s="207" t="s">
        <v>229</v>
      </c>
      <c r="Z75" s="207" t="s">
        <v>2726</v>
      </c>
      <c r="AA75" s="207" t="s">
        <v>2726</v>
      </c>
      <c r="AB75" s="207" t="s">
        <v>2726</v>
      </c>
      <c r="AC75" s="207" t="s">
        <v>2726</v>
      </c>
      <c r="AD75" s="207" t="s">
        <v>2726</v>
      </c>
      <c r="AE75" s="207" t="s">
        <v>2726</v>
      </c>
      <c r="AF75" s="207" t="s">
        <v>2726</v>
      </c>
      <c r="AG75" s="207" t="s">
        <v>2726</v>
      </c>
      <c r="AH75" s="207" t="s">
        <v>2726</v>
      </c>
      <c r="AI75" s="207" t="s">
        <v>1254</v>
      </c>
      <c r="AJ75" s="207" t="s">
        <v>2726</v>
      </c>
      <c r="AK75" s="207" t="s">
        <v>2774</v>
      </c>
    </row>
    <row r="76" spans="1:37" x14ac:dyDescent="0.25">
      <c r="A76" s="207" t="s">
        <v>2826</v>
      </c>
      <c r="B76" s="207">
        <v>0</v>
      </c>
      <c r="C76" s="207" t="s">
        <v>2726</v>
      </c>
      <c r="D76" s="207" t="s">
        <v>2726</v>
      </c>
      <c r="E76" s="207" t="s">
        <v>2774</v>
      </c>
      <c r="F76" s="207" t="s">
        <v>2728</v>
      </c>
      <c r="G76" s="207" t="s">
        <v>2726</v>
      </c>
      <c r="H76" s="207">
        <v>61</v>
      </c>
      <c r="I76" s="207" t="s">
        <v>2729</v>
      </c>
      <c r="J76" s="207" t="s">
        <v>2730</v>
      </c>
      <c r="K76" s="207" t="s">
        <v>2726</v>
      </c>
      <c r="L76" s="207" t="s">
        <v>2726</v>
      </c>
      <c r="M76" s="207" t="s">
        <v>2770</v>
      </c>
      <c r="N76" s="207" t="s">
        <v>2726</v>
      </c>
      <c r="O76" s="207" t="s">
        <v>2726</v>
      </c>
      <c r="P76" s="207" t="s">
        <v>2732</v>
      </c>
      <c r="Q76" s="207" t="s">
        <v>2733</v>
      </c>
      <c r="R76" s="207">
        <v>220</v>
      </c>
      <c r="S76" s="207" t="s">
        <v>2726</v>
      </c>
      <c r="T76" s="207" t="s">
        <v>1239</v>
      </c>
      <c r="U76" s="207" t="s">
        <v>2822</v>
      </c>
      <c r="V76" s="207" t="s">
        <v>2726</v>
      </c>
      <c r="W76" s="207" t="s">
        <v>629</v>
      </c>
      <c r="X76" s="207">
        <v>-14913617</v>
      </c>
      <c r="Y76" s="207" t="s">
        <v>230</v>
      </c>
      <c r="Z76" s="207" t="s">
        <v>2726</v>
      </c>
      <c r="AA76" s="207" t="s">
        <v>2726</v>
      </c>
      <c r="AB76" s="207" t="s">
        <v>2726</v>
      </c>
      <c r="AC76" s="207" t="s">
        <v>2726</v>
      </c>
      <c r="AD76" s="207" t="s">
        <v>2726</v>
      </c>
      <c r="AE76" s="207" t="s">
        <v>2726</v>
      </c>
      <c r="AF76" s="207" t="s">
        <v>2726</v>
      </c>
      <c r="AG76" s="207" t="s">
        <v>2726</v>
      </c>
      <c r="AH76" s="207" t="s">
        <v>2726</v>
      </c>
      <c r="AI76" s="207" t="s">
        <v>1291</v>
      </c>
      <c r="AJ76" s="207" t="s">
        <v>2726</v>
      </c>
      <c r="AK76" s="207" t="s">
        <v>2774</v>
      </c>
    </row>
    <row r="77" spans="1:37" x14ac:dyDescent="0.25">
      <c r="A77" s="207" t="s">
        <v>2827</v>
      </c>
      <c r="B77" s="207">
        <v>0</v>
      </c>
      <c r="C77" s="207" t="s">
        <v>2726</v>
      </c>
      <c r="D77" s="207" t="s">
        <v>2726</v>
      </c>
      <c r="E77" s="207" t="s">
        <v>2774</v>
      </c>
      <c r="F77" s="207" t="s">
        <v>2728</v>
      </c>
      <c r="G77" s="207" t="s">
        <v>2726</v>
      </c>
      <c r="H77" s="207">
        <v>61</v>
      </c>
      <c r="I77" s="207" t="s">
        <v>2729</v>
      </c>
      <c r="J77" s="207" t="s">
        <v>2730</v>
      </c>
      <c r="K77" s="207" t="s">
        <v>2726</v>
      </c>
      <c r="L77" s="207" t="s">
        <v>2726</v>
      </c>
      <c r="M77" s="207" t="s">
        <v>2770</v>
      </c>
      <c r="N77" s="207" t="s">
        <v>2726</v>
      </c>
      <c r="O77" s="207" t="s">
        <v>2726</v>
      </c>
      <c r="P77" s="207" t="s">
        <v>2732</v>
      </c>
      <c r="Q77" s="207" t="s">
        <v>2733</v>
      </c>
      <c r="R77" s="207">
        <v>220</v>
      </c>
      <c r="S77" s="207" t="s">
        <v>2726</v>
      </c>
      <c r="T77" s="207" t="s">
        <v>1239</v>
      </c>
      <c r="U77" s="207" t="s">
        <v>2822</v>
      </c>
      <c r="V77" s="207" t="s">
        <v>2726</v>
      </c>
      <c r="W77" s="207" t="s">
        <v>629</v>
      </c>
      <c r="X77" s="207">
        <v>-8184480</v>
      </c>
      <c r="Y77" s="207" t="s">
        <v>238</v>
      </c>
      <c r="Z77" s="207" t="s">
        <v>2726</v>
      </c>
      <c r="AA77" s="207" t="s">
        <v>2726</v>
      </c>
      <c r="AB77" s="207" t="s">
        <v>2726</v>
      </c>
      <c r="AC77" s="207" t="s">
        <v>2726</v>
      </c>
      <c r="AD77" s="207" t="s">
        <v>2726</v>
      </c>
      <c r="AE77" s="207" t="s">
        <v>2726</v>
      </c>
      <c r="AF77" s="207" t="s">
        <v>2726</v>
      </c>
      <c r="AG77" s="207" t="s">
        <v>2726</v>
      </c>
      <c r="AH77" s="207" t="s">
        <v>2726</v>
      </c>
      <c r="AI77" s="207" t="s">
        <v>1278</v>
      </c>
      <c r="AJ77" s="207" t="s">
        <v>2726</v>
      </c>
      <c r="AK77" s="207" t="s">
        <v>2774</v>
      </c>
    </row>
    <row r="78" spans="1:37" x14ac:dyDescent="0.25">
      <c r="A78" s="207" t="s">
        <v>2828</v>
      </c>
      <c r="B78" s="207">
        <v>0</v>
      </c>
      <c r="C78" s="207" t="s">
        <v>2726</v>
      </c>
      <c r="D78" s="207" t="s">
        <v>2726</v>
      </c>
      <c r="E78" s="207" t="s">
        <v>2774</v>
      </c>
      <c r="F78" s="207" t="s">
        <v>2728</v>
      </c>
      <c r="G78" s="207" t="s">
        <v>2726</v>
      </c>
      <c r="H78" s="207">
        <v>61</v>
      </c>
      <c r="I78" s="207" t="s">
        <v>2729</v>
      </c>
      <c r="J78" s="207" t="s">
        <v>2730</v>
      </c>
      <c r="K78" s="207" t="s">
        <v>2726</v>
      </c>
      <c r="L78" s="207" t="s">
        <v>2726</v>
      </c>
      <c r="M78" s="207" t="s">
        <v>2770</v>
      </c>
      <c r="N78" s="207" t="s">
        <v>2726</v>
      </c>
      <c r="O78" s="207" t="s">
        <v>2726</v>
      </c>
      <c r="P78" s="207" t="s">
        <v>2732</v>
      </c>
      <c r="Q78" s="207" t="s">
        <v>2733</v>
      </c>
      <c r="R78" s="207">
        <v>220</v>
      </c>
      <c r="S78" s="207" t="s">
        <v>2726</v>
      </c>
      <c r="T78" s="207" t="s">
        <v>1239</v>
      </c>
      <c r="U78" s="207" t="s">
        <v>2822</v>
      </c>
      <c r="V78" s="207" t="s">
        <v>2726</v>
      </c>
      <c r="W78" s="207" t="s">
        <v>629</v>
      </c>
      <c r="X78" s="207">
        <v>-104900566</v>
      </c>
      <c r="Y78" s="207" t="s">
        <v>239</v>
      </c>
      <c r="Z78" s="207" t="s">
        <v>2726</v>
      </c>
      <c r="AA78" s="207" t="s">
        <v>2726</v>
      </c>
      <c r="AB78" s="207" t="s">
        <v>2726</v>
      </c>
      <c r="AC78" s="207" t="s">
        <v>2726</v>
      </c>
      <c r="AD78" s="207" t="s">
        <v>2726</v>
      </c>
      <c r="AE78" s="207" t="s">
        <v>2726</v>
      </c>
      <c r="AF78" s="207" t="s">
        <v>2726</v>
      </c>
      <c r="AG78" s="207" t="s">
        <v>2726</v>
      </c>
      <c r="AH78" s="207" t="s">
        <v>2726</v>
      </c>
      <c r="AI78" s="207" t="s">
        <v>1339</v>
      </c>
      <c r="AJ78" s="207" t="s">
        <v>2726</v>
      </c>
      <c r="AK78" s="207" t="s">
        <v>2774</v>
      </c>
    </row>
    <row r="79" spans="1:37" x14ac:dyDescent="0.25">
      <c r="A79" s="207" t="s">
        <v>2829</v>
      </c>
      <c r="B79" s="207">
        <v>0</v>
      </c>
      <c r="C79" s="207" t="s">
        <v>2726</v>
      </c>
      <c r="D79" s="207" t="s">
        <v>2726</v>
      </c>
      <c r="E79" s="207" t="s">
        <v>2774</v>
      </c>
      <c r="F79" s="207" t="s">
        <v>2728</v>
      </c>
      <c r="G79" s="207" t="s">
        <v>2726</v>
      </c>
      <c r="H79" s="207">
        <v>61</v>
      </c>
      <c r="I79" s="207" t="s">
        <v>2729</v>
      </c>
      <c r="J79" s="207" t="s">
        <v>2730</v>
      </c>
      <c r="K79" s="207" t="s">
        <v>2726</v>
      </c>
      <c r="L79" s="207" t="s">
        <v>2726</v>
      </c>
      <c r="M79" s="207" t="s">
        <v>2770</v>
      </c>
      <c r="N79" s="207" t="s">
        <v>2726</v>
      </c>
      <c r="O79" s="207" t="s">
        <v>2726</v>
      </c>
      <c r="P79" s="207" t="s">
        <v>2732</v>
      </c>
      <c r="Q79" s="207" t="s">
        <v>2733</v>
      </c>
      <c r="R79" s="207">
        <v>220</v>
      </c>
      <c r="S79" s="207" t="s">
        <v>2726</v>
      </c>
      <c r="T79" s="207" t="s">
        <v>1239</v>
      </c>
      <c r="U79" s="207" t="s">
        <v>2822</v>
      </c>
      <c r="V79" s="207" t="s">
        <v>2726</v>
      </c>
      <c r="W79" s="207" t="s">
        <v>629</v>
      </c>
      <c r="X79" s="207">
        <v>-175000000</v>
      </c>
      <c r="Y79" s="207" t="s">
        <v>248</v>
      </c>
      <c r="Z79" s="207" t="s">
        <v>2726</v>
      </c>
      <c r="AA79" s="207" t="s">
        <v>2726</v>
      </c>
      <c r="AB79" s="207" t="s">
        <v>2726</v>
      </c>
      <c r="AC79" s="207" t="s">
        <v>2726</v>
      </c>
      <c r="AD79" s="207" t="s">
        <v>2726</v>
      </c>
      <c r="AE79" s="207" t="s">
        <v>2726</v>
      </c>
      <c r="AF79" s="207" t="s">
        <v>2726</v>
      </c>
      <c r="AG79" s="207" t="s">
        <v>2726</v>
      </c>
      <c r="AH79" s="207" t="s">
        <v>2726</v>
      </c>
      <c r="AI79" s="207" t="s">
        <v>1259</v>
      </c>
      <c r="AJ79" s="207" t="s">
        <v>2726</v>
      </c>
      <c r="AK79" s="207" t="s">
        <v>2774</v>
      </c>
    </row>
    <row r="80" spans="1:37" x14ac:dyDescent="0.25">
      <c r="A80" s="207" t="s">
        <v>2830</v>
      </c>
      <c r="B80" s="207">
        <v>0</v>
      </c>
      <c r="C80" s="207" t="s">
        <v>2726</v>
      </c>
      <c r="D80" s="207" t="s">
        <v>2726</v>
      </c>
      <c r="E80" s="207" t="s">
        <v>2774</v>
      </c>
      <c r="F80" s="207" t="s">
        <v>2728</v>
      </c>
      <c r="G80" s="207" t="s">
        <v>2726</v>
      </c>
      <c r="H80" s="207">
        <v>61</v>
      </c>
      <c r="I80" s="207" t="s">
        <v>2729</v>
      </c>
      <c r="J80" s="207" t="s">
        <v>2730</v>
      </c>
      <c r="K80" s="207" t="s">
        <v>2726</v>
      </c>
      <c r="L80" s="207" t="s">
        <v>2726</v>
      </c>
      <c r="M80" s="207" t="s">
        <v>2770</v>
      </c>
      <c r="N80" s="207" t="s">
        <v>2726</v>
      </c>
      <c r="O80" s="207" t="s">
        <v>2726</v>
      </c>
      <c r="P80" s="207" t="s">
        <v>2732</v>
      </c>
      <c r="Q80" s="207" t="s">
        <v>2733</v>
      </c>
      <c r="R80" s="207">
        <v>220</v>
      </c>
      <c r="S80" s="207" t="s">
        <v>2726</v>
      </c>
      <c r="T80" s="207" t="s">
        <v>1239</v>
      </c>
      <c r="U80" s="207" t="s">
        <v>2822</v>
      </c>
      <c r="V80" s="207" t="s">
        <v>2726</v>
      </c>
      <c r="W80" s="207" t="s">
        <v>629</v>
      </c>
      <c r="X80" s="207">
        <v>-150000000</v>
      </c>
      <c r="Y80" s="207" t="s">
        <v>250</v>
      </c>
      <c r="Z80" s="207" t="s">
        <v>2726</v>
      </c>
      <c r="AA80" s="207" t="s">
        <v>2726</v>
      </c>
      <c r="AB80" s="207" t="s">
        <v>2726</v>
      </c>
      <c r="AC80" s="207" t="s">
        <v>2726</v>
      </c>
      <c r="AD80" s="207" t="s">
        <v>2726</v>
      </c>
      <c r="AE80" s="207" t="s">
        <v>2726</v>
      </c>
      <c r="AF80" s="207" t="s">
        <v>2726</v>
      </c>
      <c r="AG80" s="207" t="s">
        <v>2726</v>
      </c>
      <c r="AH80" s="207" t="s">
        <v>2726</v>
      </c>
      <c r="AI80" s="207" t="s">
        <v>1260</v>
      </c>
      <c r="AJ80" s="207" t="s">
        <v>2726</v>
      </c>
      <c r="AK80" s="207" t="s">
        <v>2774</v>
      </c>
    </row>
    <row r="81" spans="1:37" x14ac:dyDescent="0.25">
      <c r="A81" s="207" t="s">
        <v>2831</v>
      </c>
      <c r="B81" s="207">
        <v>0</v>
      </c>
      <c r="C81" s="207" t="s">
        <v>2726</v>
      </c>
      <c r="D81" s="207" t="s">
        <v>2726</v>
      </c>
      <c r="E81" s="207" t="s">
        <v>2774</v>
      </c>
      <c r="F81" s="207" t="s">
        <v>2728</v>
      </c>
      <c r="G81" s="207" t="s">
        <v>2726</v>
      </c>
      <c r="H81" s="207">
        <v>61</v>
      </c>
      <c r="I81" s="207" t="s">
        <v>2729</v>
      </c>
      <c r="J81" s="207" t="s">
        <v>2730</v>
      </c>
      <c r="K81" s="207" t="s">
        <v>2726</v>
      </c>
      <c r="L81" s="207" t="s">
        <v>2726</v>
      </c>
      <c r="M81" s="207" t="s">
        <v>2770</v>
      </c>
      <c r="N81" s="207" t="s">
        <v>2726</v>
      </c>
      <c r="O81" s="207" t="s">
        <v>2726</v>
      </c>
      <c r="P81" s="207" t="s">
        <v>2732</v>
      </c>
      <c r="Q81" s="207" t="s">
        <v>2733</v>
      </c>
      <c r="R81" s="207">
        <v>220</v>
      </c>
      <c r="S81" s="207" t="s">
        <v>2726</v>
      </c>
      <c r="T81" s="207" t="s">
        <v>1239</v>
      </c>
      <c r="U81" s="207" t="s">
        <v>2822</v>
      </c>
      <c r="V81" s="207" t="s">
        <v>2726</v>
      </c>
      <c r="W81" s="207" t="s">
        <v>629</v>
      </c>
      <c r="X81" s="207">
        <v>-12000000</v>
      </c>
      <c r="Y81" s="207" t="s">
        <v>257</v>
      </c>
      <c r="Z81" s="207" t="s">
        <v>2726</v>
      </c>
      <c r="AA81" s="207" t="s">
        <v>2726</v>
      </c>
      <c r="AB81" s="207" t="s">
        <v>2726</v>
      </c>
      <c r="AC81" s="207" t="s">
        <v>2726</v>
      </c>
      <c r="AD81" s="207" t="s">
        <v>2726</v>
      </c>
      <c r="AE81" s="207" t="s">
        <v>2726</v>
      </c>
      <c r="AF81" s="207" t="s">
        <v>2726</v>
      </c>
      <c r="AG81" s="207" t="s">
        <v>2726</v>
      </c>
      <c r="AH81" s="207" t="s">
        <v>2726</v>
      </c>
      <c r="AI81" s="207" t="s">
        <v>1292</v>
      </c>
      <c r="AJ81" s="207" t="s">
        <v>2726</v>
      </c>
      <c r="AK81" s="207" t="s">
        <v>2774</v>
      </c>
    </row>
    <row r="82" spans="1:37" x14ac:dyDescent="0.25">
      <c r="A82" s="207" t="s">
        <v>2832</v>
      </c>
      <c r="B82" s="207">
        <v>0</v>
      </c>
      <c r="C82" s="207" t="s">
        <v>2726</v>
      </c>
      <c r="D82" s="207" t="s">
        <v>2726</v>
      </c>
      <c r="E82" s="207" t="s">
        <v>2774</v>
      </c>
      <c r="F82" s="207" t="s">
        <v>2728</v>
      </c>
      <c r="G82" s="207" t="s">
        <v>2726</v>
      </c>
      <c r="H82" s="207">
        <v>61</v>
      </c>
      <c r="I82" s="207" t="s">
        <v>2729</v>
      </c>
      <c r="J82" s="207" t="s">
        <v>2730</v>
      </c>
      <c r="K82" s="207" t="s">
        <v>2726</v>
      </c>
      <c r="L82" s="207" t="s">
        <v>2726</v>
      </c>
      <c r="M82" s="207" t="s">
        <v>2770</v>
      </c>
      <c r="N82" s="207" t="s">
        <v>2726</v>
      </c>
      <c r="O82" s="207" t="s">
        <v>2726</v>
      </c>
      <c r="P82" s="207" t="s">
        <v>2732</v>
      </c>
      <c r="Q82" s="207" t="s">
        <v>2733</v>
      </c>
      <c r="R82" s="207">
        <v>220</v>
      </c>
      <c r="S82" s="207" t="s">
        <v>2726</v>
      </c>
      <c r="T82" s="207" t="s">
        <v>1239</v>
      </c>
      <c r="U82" s="207" t="s">
        <v>2822</v>
      </c>
      <c r="V82" s="207" t="s">
        <v>2726</v>
      </c>
      <c r="W82" s="207" t="s">
        <v>629</v>
      </c>
      <c r="X82" s="207">
        <v>-4800000</v>
      </c>
      <c r="Y82" s="207" t="s">
        <v>259</v>
      </c>
      <c r="Z82" s="207" t="s">
        <v>2726</v>
      </c>
      <c r="AA82" s="207" t="s">
        <v>2726</v>
      </c>
      <c r="AB82" s="207" t="s">
        <v>2726</v>
      </c>
      <c r="AC82" s="207" t="s">
        <v>2726</v>
      </c>
      <c r="AD82" s="207" t="s">
        <v>2726</v>
      </c>
      <c r="AE82" s="207" t="s">
        <v>2726</v>
      </c>
      <c r="AF82" s="207" t="s">
        <v>2726</v>
      </c>
      <c r="AG82" s="207" t="s">
        <v>2726</v>
      </c>
      <c r="AH82" s="207" t="s">
        <v>2726</v>
      </c>
      <c r="AI82" s="207" t="s">
        <v>1293</v>
      </c>
      <c r="AJ82" s="207" t="s">
        <v>2726</v>
      </c>
      <c r="AK82" s="207" t="s">
        <v>2774</v>
      </c>
    </row>
    <row r="83" spans="1:37" x14ac:dyDescent="0.25">
      <c r="A83" s="207" t="s">
        <v>2833</v>
      </c>
      <c r="B83" s="207">
        <v>0</v>
      </c>
      <c r="C83" s="207" t="s">
        <v>2726</v>
      </c>
      <c r="D83" s="207" t="s">
        <v>2726</v>
      </c>
      <c r="E83" s="207" t="s">
        <v>2774</v>
      </c>
      <c r="F83" s="207" t="s">
        <v>2728</v>
      </c>
      <c r="G83" s="207" t="s">
        <v>2726</v>
      </c>
      <c r="H83" s="207">
        <v>61</v>
      </c>
      <c r="I83" s="207" t="s">
        <v>2729</v>
      </c>
      <c r="J83" s="207" t="s">
        <v>2730</v>
      </c>
      <c r="K83" s="207" t="s">
        <v>2726</v>
      </c>
      <c r="L83" s="207" t="s">
        <v>2726</v>
      </c>
      <c r="M83" s="207" t="s">
        <v>2770</v>
      </c>
      <c r="N83" s="207" t="s">
        <v>2726</v>
      </c>
      <c r="O83" s="207" t="s">
        <v>2726</v>
      </c>
      <c r="P83" s="207" t="s">
        <v>2732</v>
      </c>
      <c r="Q83" s="207" t="s">
        <v>2733</v>
      </c>
      <c r="R83" s="207">
        <v>220</v>
      </c>
      <c r="S83" s="207" t="s">
        <v>2726</v>
      </c>
      <c r="T83" s="207" t="s">
        <v>1239</v>
      </c>
      <c r="U83" s="207" t="s">
        <v>2822</v>
      </c>
      <c r="V83" s="207" t="s">
        <v>2726</v>
      </c>
      <c r="W83" s="207" t="s">
        <v>629</v>
      </c>
      <c r="X83" s="207">
        <v>-68240000</v>
      </c>
      <c r="Y83" s="207" t="s">
        <v>262</v>
      </c>
      <c r="Z83" s="207" t="s">
        <v>2726</v>
      </c>
      <c r="AA83" s="207" t="s">
        <v>2726</v>
      </c>
      <c r="AB83" s="207" t="s">
        <v>2726</v>
      </c>
      <c r="AC83" s="207" t="s">
        <v>2726</v>
      </c>
      <c r="AD83" s="207" t="s">
        <v>2726</v>
      </c>
      <c r="AE83" s="207" t="s">
        <v>2726</v>
      </c>
      <c r="AF83" s="207" t="s">
        <v>2726</v>
      </c>
      <c r="AG83" s="207" t="s">
        <v>2726</v>
      </c>
      <c r="AH83" s="207" t="s">
        <v>2726</v>
      </c>
      <c r="AI83" s="207" t="s">
        <v>1279</v>
      </c>
      <c r="AJ83" s="207" t="s">
        <v>2726</v>
      </c>
      <c r="AK83" s="207" t="s">
        <v>2774</v>
      </c>
    </row>
    <row r="84" spans="1:37" x14ac:dyDescent="0.25">
      <c r="A84" s="207" t="s">
        <v>2834</v>
      </c>
      <c r="B84" s="207">
        <v>0</v>
      </c>
      <c r="C84" s="207" t="s">
        <v>2726</v>
      </c>
      <c r="D84" s="207" t="s">
        <v>2726</v>
      </c>
      <c r="E84" s="207" t="s">
        <v>2774</v>
      </c>
      <c r="F84" s="207" t="s">
        <v>2728</v>
      </c>
      <c r="G84" s="207" t="s">
        <v>2726</v>
      </c>
      <c r="H84" s="207">
        <v>61</v>
      </c>
      <c r="I84" s="207" t="s">
        <v>2729</v>
      </c>
      <c r="J84" s="207" t="s">
        <v>2730</v>
      </c>
      <c r="K84" s="207" t="s">
        <v>2726</v>
      </c>
      <c r="L84" s="207" t="s">
        <v>2726</v>
      </c>
      <c r="M84" s="207" t="s">
        <v>2770</v>
      </c>
      <c r="N84" s="207" t="s">
        <v>2726</v>
      </c>
      <c r="O84" s="207" t="s">
        <v>2726</v>
      </c>
      <c r="P84" s="207" t="s">
        <v>2732</v>
      </c>
      <c r="Q84" s="207" t="s">
        <v>2733</v>
      </c>
      <c r="R84" s="207">
        <v>220</v>
      </c>
      <c r="S84" s="207" t="s">
        <v>2726</v>
      </c>
      <c r="T84" s="207" t="s">
        <v>1239</v>
      </c>
      <c r="U84" s="207" t="s">
        <v>2822</v>
      </c>
      <c r="V84" s="207" t="s">
        <v>2726</v>
      </c>
      <c r="W84" s="207" t="s">
        <v>629</v>
      </c>
      <c r="X84" s="207">
        <v>-15000000</v>
      </c>
      <c r="Y84" s="207" t="s">
        <v>263</v>
      </c>
      <c r="Z84" s="207" t="s">
        <v>2726</v>
      </c>
      <c r="AA84" s="207" t="s">
        <v>2726</v>
      </c>
      <c r="AB84" s="207" t="s">
        <v>2726</v>
      </c>
      <c r="AC84" s="207" t="s">
        <v>2726</v>
      </c>
      <c r="AD84" s="207" t="s">
        <v>2726</v>
      </c>
      <c r="AE84" s="207" t="s">
        <v>2726</v>
      </c>
      <c r="AF84" s="207" t="s">
        <v>2726</v>
      </c>
      <c r="AG84" s="207" t="s">
        <v>2726</v>
      </c>
      <c r="AH84" s="207" t="s">
        <v>2726</v>
      </c>
      <c r="AI84" s="207" t="s">
        <v>1272</v>
      </c>
      <c r="AJ84" s="207" t="s">
        <v>2726</v>
      </c>
      <c r="AK84" s="207" t="s">
        <v>2774</v>
      </c>
    </row>
    <row r="85" spans="1:37" x14ac:dyDescent="0.25">
      <c r="A85" s="207" t="s">
        <v>2835</v>
      </c>
      <c r="B85" s="207">
        <v>0</v>
      </c>
      <c r="C85" s="207" t="s">
        <v>2726</v>
      </c>
      <c r="D85" s="207" t="s">
        <v>2726</v>
      </c>
      <c r="E85" s="207" t="s">
        <v>2767</v>
      </c>
      <c r="F85" s="207" t="s">
        <v>2728</v>
      </c>
      <c r="G85" s="207" t="s">
        <v>2726</v>
      </c>
      <c r="H85" s="207">
        <v>61</v>
      </c>
      <c r="I85" s="207" t="s">
        <v>2744</v>
      </c>
      <c r="J85" s="207" t="s">
        <v>2730</v>
      </c>
      <c r="K85" s="207" t="s">
        <v>2726</v>
      </c>
      <c r="L85" s="207" t="s">
        <v>2726</v>
      </c>
      <c r="M85" s="207" t="s">
        <v>2738</v>
      </c>
      <c r="N85" s="207" t="s">
        <v>2726</v>
      </c>
      <c r="O85" s="207" t="s">
        <v>2726</v>
      </c>
      <c r="P85" s="207" t="s">
        <v>2732</v>
      </c>
      <c r="Q85" s="207" t="s">
        <v>2733</v>
      </c>
      <c r="R85" s="207">
        <v>120</v>
      </c>
      <c r="S85" s="207" t="s">
        <v>2726</v>
      </c>
      <c r="T85" s="207" t="s">
        <v>1262</v>
      </c>
      <c r="U85" s="207" t="s">
        <v>2740</v>
      </c>
      <c r="V85" s="207" t="s">
        <v>2726</v>
      </c>
      <c r="W85" s="207" t="s">
        <v>2741</v>
      </c>
      <c r="X85" s="207">
        <v>5382050</v>
      </c>
      <c r="Y85" s="207" t="s">
        <v>70</v>
      </c>
      <c r="Z85" s="207" t="s">
        <v>2726</v>
      </c>
      <c r="AA85" s="207" t="s">
        <v>2726</v>
      </c>
      <c r="AB85" s="207" t="s">
        <v>2726</v>
      </c>
      <c r="AC85" s="207" t="s">
        <v>2726</v>
      </c>
      <c r="AD85" s="207" t="s">
        <v>2726</v>
      </c>
      <c r="AE85" s="207" t="s">
        <v>2726</v>
      </c>
      <c r="AF85" s="207" t="s">
        <v>2726</v>
      </c>
      <c r="AG85" s="207" t="s">
        <v>2726</v>
      </c>
      <c r="AH85" s="207" t="s">
        <v>2726</v>
      </c>
      <c r="AI85" s="207" t="s">
        <v>1256</v>
      </c>
      <c r="AJ85" s="207" t="s">
        <v>2726</v>
      </c>
      <c r="AK85" s="207" t="s">
        <v>2767</v>
      </c>
    </row>
    <row r="86" spans="1:37" x14ac:dyDescent="0.25">
      <c r="A86" s="207" t="s">
        <v>2836</v>
      </c>
      <c r="B86" s="207">
        <v>0</v>
      </c>
      <c r="C86" s="207" t="s">
        <v>2726</v>
      </c>
      <c r="D86" s="207" t="s">
        <v>2726</v>
      </c>
      <c r="E86" s="207" t="s">
        <v>2774</v>
      </c>
      <c r="F86" s="207" t="s">
        <v>2728</v>
      </c>
      <c r="G86" s="207" t="s">
        <v>2726</v>
      </c>
      <c r="H86" s="207">
        <v>61</v>
      </c>
      <c r="I86" s="207" t="s">
        <v>2729</v>
      </c>
      <c r="J86" s="207" t="s">
        <v>2730</v>
      </c>
      <c r="K86" s="207" t="s">
        <v>2726</v>
      </c>
      <c r="L86" s="207" t="s">
        <v>2726</v>
      </c>
      <c r="M86" s="207" t="s">
        <v>2770</v>
      </c>
      <c r="N86" s="207" t="s">
        <v>2726</v>
      </c>
      <c r="O86" s="207" t="s">
        <v>2726</v>
      </c>
      <c r="P86" s="207" t="s">
        <v>2732</v>
      </c>
      <c r="Q86" s="207" t="s">
        <v>2733</v>
      </c>
      <c r="R86" s="207">
        <v>220</v>
      </c>
      <c r="S86" s="207" t="s">
        <v>2726</v>
      </c>
      <c r="T86" s="207" t="s">
        <v>1239</v>
      </c>
      <c r="U86" s="207" t="s">
        <v>2822</v>
      </c>
      <c r="V86" s="207" t="s">
        <v>2726</v>
      </c>
      <c r="W86" s="207" t="s">
        <v>629</v>
      </c>
      <c r="X86" s="207">
        <v>-27840000</v>
      </c>
      <c r="Y86" s="207" t="s">
        <v>265</v>
      </c>
      <c r="Z86" s="207" t="s">
        <v>2726</v>
      </c>
      <c r="AA86" s="207" t="s">
        <v>2726</v>
      </c>
      <c r="AB86" s="207" t="s">
        <v>2726</v>
      </c>
      <c r="AC86" s="207" t="s">
        <v>2726</v>
      </c>
      <c r="AD86" s="207" t="s">
        <v>2726</v>
      </c>
      <c r="AE86" s="207" t="s">
        <v>2726</v>
      </c>
      <c r="AF86" s="207" t="s">
        <v>2726</v>
      </c>
      <c r="AG86" s="207" t="s">
        <v>2726</v>
      </c>
      <c r="AH86" s="207" t="s">
        <v>2726</v>
      </c>
      <c r="AI86" s="207" t="s">
        <v>1261</v>
      </c>
      <c r="AJ86" s="207" t="s">
        <v>2726</v>
      </c>
      <c r="AK86" s="207" t="s">
        <v>2774</v>
      </c>
    </row>
    <row r="87" spans="1:37" x14ac:dyDescent="0.25">
      <c r="A87" s="207" t="s">
        <v>2837</v>
      </c>
      <c r="B87" s="207">
        <v>0</v>
      </c>
      <c r="C87" s="207" t="s">
        <v>2726</v>
      </c>
      <c r="D87" s="207" t="s">
        <v>2726</v>
      </c>
      <c r="E87" s="207" t="s">
        <v>2767</v>
      </c>
      <c r="F87" s="207" t="s">
        <v>2728</v>
      </c>
      <c r="G87" s="207" t="s">
        <v>2726</v>
      </c>
      <c r="H87" s="207">
        <v>61</v>
      </c>
      <c r="I87" s="207" t="s">
        <v>2744</v>
      </c>
      <c r="J87" s="207" t="s">
        <v>2730</v>
      </c>
      <c r="K87" s="207" t="s">
        <v>2726</v>
      </c>
      <c r="L87" s="207" t="s">
        <v>2726</v>
      </c>
      <c r="M87" s="207" t="s">
        <v>2738</v>
      </c>
      <c r="N87" s="207" t="s">
        <v>2726</v>
      </c>
      <c r="O87" s="207" t="s">
        <v>2726</v>
      </c>
      <c r="P87" s="207" t="s">
        <v>2732</v>
      </c>
      <c r="Q87" s="207" t="s">
        <v>2733</v>
      </c>
      <c r="R87" s="207">
        <v>120</v>
      </c>
      <c r="S87" s="207" t="s">
        <v>2726</v>
      </c>
      <c r="T87" s="207" t="s">
        <v>1262</v>
      </c>
      <c r="U87" s="207" t="s">
        <v>2740</v>
      </c>
      <c r="V87" s="207" t="s">
        <v>2726</v>
      </c>
      <c r="W87" s="207" t="s">
        <v>2741</v>
      </c>
      <c r="X87" s="207">
        <v>1110000</v>
      </c>
      <c r="Y87" s="207" t="s">
        <v>72</v>
      </c>
      <c r="Z87" s="207" t="s">
        <v>2726</v>
      </c>
      <c r="AA87" s="207" t="s">
        <v>2726</v>
      </c>
      <c r="AB87" s="207" t="s">
        <v>2726</v>
      </c>
      <c r="AC87" s="207" t="s">
        <v>2726</v>
      </c>
      <c r="AD87" s="207" t="s">
        <v>2726</v>
      </c>
      <c r="AE87" s="207" t="s">
        <v>2726</v>
      </c>
      <c r="AF87" s="207" t="s">
        <v>2726</v>
      </c>
      <c r="AG87" s="207" t="s">
        <v>2726</v>
      </c>
      <c r="AH87" s="207" t="s">
        <v>2726</v>
      </c>
      <c r="AI87" s="207" t="s">
        <v>1257</v>
      </c>
      <c r="AJ87" s="207" t="s">
        <v>2726</v>
      </c>
      <c r="AK87" s="207" t="s">
        <v>2767</v>
      </c>
    </row>
    <row r="88" spans="1:37" x14ac:dyDescent="0.25">
      <c r="A88" s="207" t="s">
        <v>2838</v>
      </c>
      <c r="B88" s="207">
        <v>0</v>
      </c>
      <c r="C88" s="207" t="s">
        <v>2726</v>
      </c>
      <c r="D88" s="207" t="s">
        <v>2726</v>
      </c>
      <c r="E88" s="207" t="s">
        <v>2774</v>
      </c>
      <c r="F88" s="207" t="s">
        <v>2728</v>
      </c>
      <c r="G88" s="207" t="s">
        <v>2726</v>
      </c>
      <c r="H88" s="207">
        <v>61</v>
      </c>
      <c r="I88" s="207" t="s">
        <v>2729</v>
      </c>
      <c r="J88" s="207" t="s">
        <v>2730</v>
      </c>
      <c r="K88" s="207" t="s">
        <v>2726</v>
      </c>
      <c r="L88" s="207" t="s">
        <v>2726</v>
      </c>
      <c r="M88" s="207" t="s">
        <v>2770</v>
      </c>
      <c r="N88" s="207" t="s">
        <v>2726</v>
      </c>
      <c r="O88" s="207" t="s">
        <v>2726</v>
      </c>
      <c r="P88" s="207" t="s">
        <v>2732</v>
      </c>
      <c r="Q88" s="207" t="s">
        <v>2733</v>
      </c>
      <c r="R88" s="207">
        <v>220</v>
      </c>
      <c r="S88" s="207" t="s">
        <v>2726</v>
      </c>
      <c r="T88" s="207" t="s">
        <v>1239</v>
      </c>
      <c r="U88" s="207" t="s">
        <v>2822</v>
      </c>
      <c r="V88" s="207" t="s">
        <v>2726</v>
      </c>
      <c r="W88" s="207" t="s">
        <v>629</v>
      </c>
      <c r="X88" s="207">
        <v>-17560800</v>
      </c>
      <c r="Y88" s="207" t="s">
        <v>266</v>
      </c>
      <c r="Z88" s="207" t="s">
        <v>2726</v>
      </c>
      <c r="AA88" s="207" t="s">
        <v>2726</v>
      </c>
      <c r="AB88" s="207" t="s">
        <v>2726</v>
      </c>
      <c r="AC88" s="207" t="s">
        <v>2726</v>
      </c>
      <c r="AD88" s="207" t="s">
        <v>2726</v>
      </c>
      <c r="AE88" s="207" t="s">
        <v>2726</v>
      </c>
      <c r="AF88" s="207" t="s">
        <v>2726</v>
      </c>
      <c r="AG88" s="207" t="s">
        <v>2726</v>
      </c>
      <c r="AH88" s="207" t="s">
        <v>2726</v>
      </c>
      <c r="AI88" s="207" t="s">
        <v>1273</v>
      </c>
      <c r="AJ88" s="207" t="s">
        <v>2726</v>
      </c>
      <c r="AK88" s="207" t="s">
        <v>2774</v>
      </c>
    </row>
    <row r="89" spans="1:37" x14ac:dyDescent="0.25">
      <c r="A89" s="207" t="s">
        <v>2839</v>
      </c>
      <c r="B89" s="207">
        <v>0</v>
      </c>
      <c r="C89" s="207" t="s">
        <v>2726</v>
      </c>
      <c r="D89" s="207" t="s">
        <v>2726</v>
      </c>
      <c r="E89" s="207" t="s">
        <v>2774</v>
      </c>
      <c r="F89" s="207" t="s">
        <v>2728</v>
      </c>
      <c r="G89" s="207" t="s">
        <v>2726</v>
      </c>
      <c r="H89" s="207">
        <v>61</v>
      </c>
      <c r="I89" s="207" t="s">
        <v>2729</v>
      </c>
      <c r="J89" s="207" t="s">
        <v>2730</v>
      </c>
      <c r="K89" s="207" t="s">
        <v>2726</v>
      </c>
      <c r="L89" s="207" t="s">
        <v>2726</v>
      </c>
      <c r="M89" s="207" t="s">
        <v>2770</v>
      </c>
      <c r="N89" s="207" t="s">
        <v>2726</v>
      </c>
      <c r="O89" s="207" t="s">
        <v>2726</v>
      </c>
      <c r="P89" s="207" t="s">
        <v>2732</v>
      </c>
      <c r="Q89" s="207" t="s">
        <v>2733</v>
      </c>
      <c r="R89" s="207">
        <v>220</v>
      </c>
      <c r="S89" s="207" t="s">
        <v>2726</v>
      </c>
      <c r="T89" s="207" t="s">
        <v>1239</v>
      </c>
      <c r="U89" s="207" t="s">
        <v>2822</v>
      </c>
      <c r="V89" s="207" t="s">
        <v>2726</v>
      </c>
      <c r="W89" s="207" t="s">
        <v>629</v>
      </c>
      <c r="X89" s="207">
        <v>-15840000</v>
      </c>
      <c r="Y89" s="207" t="s">
        <v>267</v>
      </c>
      <c r="Z89" s="207" t="s">
        <v>2726</v>
      </c>
      <c r="AA89" s="207" t="s">
        <v>2726</v>
      </c>
      <c r="AB89" s="207" t="s">
        <v>2726</v>
      </c>
      <c r="AC89" s="207" t="s">
        <v>2726</v>
      </c>
      <c r="AD89" s="207" t="s">
        <v>2726</v>
      </c>
      <c r="AE89" s="207" t="s">
        <v>2726</v>
      </c>
      <c r="AF89" s="207" t="s">
        <v>2726</v>
      </c>
      <c r="AG89" s="207" t="s">
        <v>2726</v>
      </c>
      <c r="AH89" s="207" t="s">
        <v>2726</v>
      </c>
      <c r="AI89" s="207" t="s">
        <v>1363</v>
      </c>
      <c r="AJ89" s="207" t="s">
        <v>2726</v>
      </c>
      <c r="AK89" s="207" t="s">
        <v>2774</v>
      </c>
    </row>
    <row r="90" spans="1:37" x14ac:dyDescent="0.25">
      <c r="A90" s="207" t="s">
        <v>2840</v>
      </c>
      <c r="B90" s="207">
        <v>0</v>
      </c>
      <c r="C90" s="207" t="s">
        <v>2726</v>
      </c>
      <c r="D90" s="207" t="s">
        <v>2726</v>
      </c>
      <c r="E90" s="207" t="s">
        <v>2767</v>
      </c>
      <c r="F90" s="207" t="s">
        <v>2728</v>
      </c>
      <c r="G90" s="207" t="s">
        <v>2726</v>
      </c>
      <c r="H90" s="207">
        <v>61</v>
      </c>
      <c r="I90" s="207" t="s">
        <v>2744</v>
      </c>
      <c r="J90" s="207" t="s">
        <v>2730</v>
      </c>
      <c r="K90" s="207" t="s">
        <v>2726</v>
      </c>
      <c r="L90" s="207" t="s">
        <v>2726</v>
      </c>
      <c r="M90" s="207" t="s">
        <v>2738</v>
      </c>
      <c r="N90" s="207" t="s">
        <v>2726</v>
      </c>
      <c r="O90" s="207" t="s">
        <v>2726</v>
      </c>
      <c r="P90" s="207" t="s">
        <v>2732</v>
      </c>
      <c r="Q90" s="207" t="s">
        <v>2733</v>
      </c>
      <c r="R90" s="207">
        <v>120</v>
      </c>
      <c r="S90" s="207" t="s">
        <v>2726</v>
      </c>
      <c r="T90" s="207" t="s">
        <v>1262</v>
      </c>
      <c r="U90" s="207" t="s">
        <v>2740</v>
      </c>
      <c r="V90" s="207" t="s">
        <v>2726</v>
      </c>
      <c r="W90" s="207" t="s">
        <v>2741</v>
      </c>
      <c r="X90" s="207">
        <v>1740960</v>
      </c>
      <c r="Y90" s="207" t="s">
        <v>76</v>
      </c>
      <c r="Z90" s="207" t="s">
        <v>2726</v>
      </c>
      <c r="AA90" s="207" t="s">
        <v>2726</v>
      </c>
      <c r="AB90" s="207" t="s">
        <v>2726</v>
      </c>
      <c r="AC90" s="207" t="s">
        <v>2726</v>
      </c>
      <c r="AD90" s="207" t="s">
        <v>2726</v>
      </c>
      <c r="AE90" s="207" t="s">
        <v>2726</v>
      </c>
      <c r="AF90" s="207" t="s">
        <v>2726</v>
      </c>
      <c r="AG90" s="207" t="s">
        <v>2726</v>
      </c>
      <c r="AH90" s="207" t="s">
        <v>2726</v>
      </c>
      <c r="AI90" s="207" t="s">
        <v>1258</v>
      </c>
      <c r="AJ90" s="207" t="s">
        <v>2726</v>
      </c>
      <c r="AK90" s="207" t="s">
        <v>2767</v>
      </c>
    </row>
    <row r="91" spans="1:37" x14ac:dyDescent="0.25">
      <c r="A91" s="207" t="s">
        <v>2841</v>
      </c>
      <c r="B91" s="207">
        <v>0</v>
      </c>
      <c r="C91" s="207" t="s">
        <v>2726</v>
      </c>
      <c r="D91" s="207" t="s">
        <v>2726</v>
      </c>
      <c r="E91" s="207" t="s">
        <v>2774</v>
      </c>
      <c r="F91" s="207" t="s">
        <v>2728</v>
      </c>
      <c r="G91" s="207" t="s">
        <v>2726</v>
      </c>
      <c r="H91" s="207">
        <v>61</v>
      </c>
      <c r="I91" s="207" t="s">
        <v>2729</v>
      </c>
      <c r="J91" s="207" t="s">
        <v>2730</v>
      </c>
      <c r="K91" s="207" t="s">
        <v>2726</v>
      </c>
      <c r="L91" s="207" t="s">
        <v>2726</v>
      </c>
      <c r="M91" s="207" t="s">
        <v>2770</v>
      </c>
      <c r="N91" s="207" t="s">
        <v>2726</v>
      </c>
      <c r="O91" s="207" t="s">
        <v>2726</v>
      </c>
      <c r="P91" s="207" t="s">
        <v>2732</v>
      </c>
      <c r="Q91" s="207" t="s">
        <v>2733</v>
      </c>
      <c r="R91" s="207">
        <v>220</v>
      </c>
      <c r="S91" s="207" t="s">
        <v>2726</v>
      </c>
      <c r="T91" s="207" t="s">
        <v>1239</v>
      </c>
      <c r="U91" s="207" t="s">
        <v>2822</v>
      </c>
      <c r="V91" s="207" t="s">
        <v>2726</v>
      </c>
      <c r="W91" s="207" t="s">
        <v>629</v>
      </c>
      <c r="X91" s="207">
        <v>-234609929</v>
      </c>
      <c r="Y91" s="207" t="s">
        <v>296</v>
      </c>
      <c r="Z91" s="207" t="s">
        <v>2726</v>
      </c>
      <c r="AA91" s="207" t="s">
        <v>2726</v>
      </c>
      <c r="AB91" s="207" t="s">
        <v>2726</v>
      </c>
      <c r="AC91" s="207" t="s">
        <v>2726</v>
      </c>
      <c r="AD91" s="207" t="s">
        <v>2726</v>
      </c>
      <c r="AE91" s="207" t="s">
        <v>2726</v>
      </c>
      <c r="AF91" s="207" t="s">
        <v>2726</v>
      </c>
      <c r="AG91" s="207" t="s">
        <v>2726</v>
      </c>
      <c r="AH91" s="207" t="s">
        <v>2726</v>
      </c>
      <c r="AI91" s="207" t="s">
        <v>1274</v>
      </c>
      <c r="AJ91" s="207" t="s">
        <v>2726</v>
      </c>
      <c r="AK91" s="207" t="s">
        <v>2774</v>
      </c>
    </row>
    <row r="92" spans="1:37" x14ac:dyDescent="0.25">
      <c r="A92" s="207" t="s">
        <v>2842</v>
      </c>
      <c r="B92" s="207">
        <v>0</v>
      </c>
      <c r="C92" s="207" t="s">
        <v>2726</v>
      </c>
      <c r="D92" s="207" t="s">
        <v>2726</v>
      </c>
      <c r="E92" s="207" t="s">
        <v>2767</v>
      </c>
      <c r="F92" s="207" t="s">
        <v>2728</v>
      </c>
      <c r="G92" s="207" t="s">
        <v>2726</v>
      </c>
      <c r="H92" s="207">
        <v>61</v>
      </c>
      <c r="I92" s="207" t="s">
        <v>2744</v>
      </c>
      <c r="J92" s="207" t="s">
        <v>2730</v>
      </c>
      <c r="K92" s="207" t="s">
        <v>2726</v>
      </c>
      <c r="L92" s="207" t="s">
        <v>2726</v>
      </c>
      <c r="M92" s="207" t="s">
        <v>2738</v>
      </c>
      <c r="N92" s="207" t="s">
        <v>2726</v>
      </c>
      <c r="O92" s="207" t="s">
        <v>2726</v>
      </c>
      <c r="P92" s="207" t="s">
        <v>2732</v>
      </c>
      <c r="Q92" s="207" t="s">
        <v>2733</v>
      </c>
      <c r="R92" s="207">
        <v>120</v>
      </c>
      <c r="S92" s="207" t="s">
        <v>2726</v>
      </c>
      <c r="T92" s="207" t="s">
        <v>1262</v>
      </c>
      <c r="U92" s="207" t="s">
        <v>2740</v>
      </c>
      <c r="V92" s="207" t="s">
        <v>2726</v>
      </c>
      <c r="W92" s="207" t="s">
        <v>2741</v>
      </c>
      <c r="X92" s="207">
        <v>114000</v>
      </c>
      <c r="Y92" s="207" t="s">
        <v>84</v>
      </c>
      <c r="Z92" s="207" t="s">
        <v>2726</v>
      </c>
      <c r="AA92" s="207" t="s">
        <v>2726</v>
      </c>
      <c r="AB92" s="207" t="s">
        <v>2726</v>
      </c>
      <c r="AC92" s="207" t="s">
        <v>2726</v>
      </c>
      <c r="AD92" s="207" t="s">
        <v>2726</v>
      </c>
      <c r="AE92" s="207" t="s">
        <v>2726</v>
      </c>
      <c r="AF92" s="207" t="s">
        <v>2726</v>
      </c>
      <c r="AG92" s="207" t="s">
        <v>2726</v>
      </c>
      <c r="AH92" s="207" t="s">
        <v>2726</v>
      </c>
      <c r="AI92" s="207" t="s">
        <v>1300</v>
      </c>
      <c r="AJ92" s="207" t="s">
        <v>2726</v>
      </c>
      <c r="AK92" s="207" t="s">
        <v>2767</v>
      </c>
    </row>
    <row r="93" spans="1:37" x14ac:dyDescent="0.25">
      <c r="A93" s="207" t="s">
        <v>2843</v>
      </c>
      <c r="B93" s="207">
        <v>0</v>
      </c>
      <c r="C93" s="207" t="s">
        <v>2726</v>
      </c>
      <c r="D93" s="207" t="s">
        <v>2726</v>
      </c>
      <c r="E93" s="207" t="s">
        <v>2767</v>
      </c>
      <c r="F93" s="207" t="s">
        <v>2728</v>
      </c>
      <c r="G93" s="207" t="s">
        <v>2726</v>
      </c>
      <c r="H93" s="207">
        <v>61</v>
      </c>
      <c r="I93" s="207" t="s">
        <v>2744</v>
      </c>
      <c r="J93" s="207" t="s">
        <v>2730</v>
      </c>
      <c r="K93" s="207" t="s">
        <v>2726</v>
      </c>
      <c r="L93" s="207" t="s">
        <v>2726</v>
      </c>
      <c r="M93" s="207" t="s">
        <v>2738</v>
      </c>
      <c r="N93" s="207" t="s">
        <v>2726</v>
      </c>
      <c r="O93" s="207" t="s">
        <v>2726</v>
      </c>
      <c r="P93" s="207" t="s">
        <v>2732</v>
      </c>
      <c r="Q93" s="207" t="s">
        <v>2733</v>
      </c>
      <c r="R93" s="207">
        <v>120</v>
      </c>
      <c r="S93" s="207" t="s">
        <v>2726</v>
      </c>
      <c r="T93" s="207" t="s">
        <v>1262</v>
      </c>
      <c r="U93" s="207" t="s">
        <v>2740</v>
      </c>
      <c r="V93" s="207" t="s">
        <v>2726</v>
      </c>
      <c r="W93" s="207" t="s">
        <v>2741</v>
      </c>
      <c r="X93" s="207">
        <v>6000000</v>
      </c>
      <c r="Y93" s="207" t="s">
        <v>88</v>
      </c>
      <c r="Z93" s="207" t="s">
        <v>2726</v>
      </c>
      <c r="AA93" s="207" t="s">
        <v>2726</v>
      </c>
      <c r="AB93" s="207" t="s">
        <v>2726</v>
      </c>
      <c r="AC93" s="207" t="s">
        <v>2726</v>
      </c>
      <c r="AD93" s="207" t="s">
        <v>2726</v>
      </c>
      <c r="AE93" s="207" t="s">
        <v>2726</v>
      </c>
      <c r="AF93" s="207" t="s">
        <v>2726</v>
      </c>
      <c r="AG93" s="207" t="s">
        <v>2726</v>
      </c>
      <c r="AH93" s="207" t="s">
        <v>2726</v>
      </c>
      <c r="AI93" s="207" t="s">
        <v>1245</v>
      </c>
      <c r="AJ93" s="207" t="s">
        <v>2726</v>
      </c>
      <c r="AK93" s="207" t="s">
        <v>2767</v>
      </c>
    </row>
    <row r="94" spans="1:37" x14ac:dyDescent="0.25">
      <c r="A94" s="207" t="s">
        <v>2844</v>
      </c>
      <c r="B94" s="207">
        <v>0</v>
      </c>
      <c r="C94" s="207" t="s">
        <v>2726</v>
      </c>
      <c r="D94" s="207" t="s">
        <v>2726</v>
      </c>
      <c r="E94" s="207" t="s">
        <v>2767</v>
      </c>
      <c r="F94" s="207" t="s">
        <v>2728</v>
      </c>
      <c r="G94" s="207" t="s">
        <v>2726</v>
      </c>
      <c r="H94" s="207">
        <v>61</v>
      </c>
      <c r="I94" s="207" t="s">
        <v>2744</v>
      </c>
      <c r="J94" s="207" t="s">
        <v>2730</v>
      </c>
      <c r="K94" s="207" t="s">
        <v>2726</v>
      </c>
      <c r="L94" s="207" t="s">
        <v>2726</v>
      </c>
      <c r="M94" s="207" t="s">
        <v>2738</v>
      </c>
      <c r="N94" s="207" t="s">
        <v>2726</v>
      </c>
      <c r="O94" s="207" t="s">
        <v>2726</v>
      </c>
      <c r="P94" s="207" t="s">
        <v>2732</v>
      </c>
      <c r="Q94" s="207" t="s">
        <v>2733</v>
      </c>
      <c r="R94" s="207">
        <v>120</v>
      </c>
      <c r="S94" s="207" t="s">
        <v>2726</v>
      </c>
      <c r="T94" s="207" t="s">
        <v>1262</v>
      </c>
      <c r="U94" s="207" t="s">
        <v>2740</v>
      </c>
      <c r="V94" s="207" t="s">
        <v>2726</v>
      </c>
      <c r="W94" s="207" t="s">
        <v>2741</v>
      </c>
      <c r="X94" s="207">
        <v>10124551</v>
      </c>
      <c r="Y94" s="207" t="s">
        <v>92</v>
      </c>
      <c r="Z94" s="207" t="s">
        <v>2726</v>
      </c>
      <c r="AA94" s="207" t="s">
        <v>2726</v>
      </c>
      <c r="AB94" s="207" t="s">
        <v>2726</v>
      </c>
      <c r="AC94" s="207" t="s">
        <v>2726</v>
      </c>
      <c r="AD94" s="207" t="s">
        <v>2726</v>
      </c>
      <c r="AE94" s="207" t="s">
        <v>2726</v>
      </c>
      <c r="AF94" s="207" t="s">
        <v>2726</v>
      </c>
      <c r="AG94" s="207" t="s">
        <v>2726</v>
      </c>
      <c r="AH94" s="207" t="s">
        <v>2726</v>
      </c>
      <c r="AI94" s="207" t="s">
        <v>317</v>
      </c>
      <c r="AJ94" s="207" t="s">
        <v>2726</v>
      </c>
      <c r="AK94" s="207" t="s">
        <v>2767</v>
      </c>
    </row>
    <row r="95" spans="1:37" x14ac:dyDescent="0.25">
      <c r="A95" s="207" t="s">
        <v>2845</v>
      </c>
      <c r="B95" s="207">
        <v>0</v>
      </c>
      <c r="C95" s="207" t="s">
        <v>2726</v>
      </c>
      <c r="D95" s="207" t="s">
        <v>2726</v>
      </c>
      <c r="E95" s="207" t="s">
        <v>2767</v>
      </c>
      <c r="F95" s="207" t="s">
        <v>2728</v>
      </c>
      <c r="G95" s="207" t="s">
        <v>2726</v>
      </c>
      <c r="H95" s="207">
        <v>61</v>
      </c>
      <c r="I95" s="207" t="s">
        <v>2744</v>
      </c>
      <c r="J95" s="207" t="s">
        <v>2730</v>
      </c>
      <c r="K95" s="207" t="s">
        <v>2726</v>
      </c>
      <c r="L95" s="207" t="s">
        <v>2726</v>
      </c>
      <c r="M95" s="207" t="s">
        <v>2738</v>
      </c>
      <c r="N95" s="207" t="s">
        <v>2726</v>
      </c>
      <c r="O95" s="207" t="s">
        <v>2726</v>
      </c>
      <c r="P95" s="207" t="s">
        <v>2732</v>
      </c>
      <c r="Q95" s="207" t="s">
        <v>2733</v>
      </c>
      <c r="R95" s="207">
        <v>120</v>
      </c>
      <c r="S95" s="207" t="s">
        <v>2726</v>
      </c>
      <c r="T95" s="207" t="s">
        <v>1262</v>
      </c>
      <c r="U95" s="207" t="s">
        <v>2740</v>
      </c>
      <c r="V95" s="207" t="s">
        <v>2726</v>
      </c>
      <c r="W95" s="207" t="s">
        <v>2741</v>
      </c>
      <c r="X95" s="207">
        <v>2520000</v>
      </c>
      <c r="Y95" s="207" t="s">
        <v>94</v>
      </c>
      <c r="Z95" s="207" t="s">
        <v>2726</v>
      </c>
      <c r="AA95" s="207" t="s">
        <v>2726</v>
      </c>
      <c r="AB95" s="207" t="s">
        <v>2726</v>
      </c>
      <c r="AC95" s="207" t="s">
        <v>2726</v>
      </c>
      <c r="AD95" s="207" t="s">
        <v>2726</v>
      </c>
      <c r="AE95" s="207" t="s">
        <v>2726</v>
      </c>
      <c r="AF95" s="207" t="s">
        <v>2726</v>
      </c>
      <c r="AG95" s="207" t="s">
        <v>2726</v>
      </c>
      <c r="AH95" s="207" t="s">
        <v>2726</v>
      </c>
      <c r="AI95" s="207" t="s">
        <v>1246</v>
      </c>
      <c r="AJ95" s="207" t="s">
        <v>2726</v>
      </c>
      <c r="AK95" s="207" t="s">
        <v>2767</v>
      </c>
    </row>
    <row r="96" spans="1:37" x14ac:dyDescent="0.25">
      <c r="A96" s="207" t="s">
        <v>2846</v>
      </c>
      <c r="B96" s="207">
        <v>0</v>
      </c>
      <c r="C96" s="207" t="s">
        <v>2726</v>
      </c>
      <c r="D96" s="207" t="s">
        <v>2726</v>
      </c>
      <c r="E96" s="207" t="s">
        <v>2767</v>
      </c>
      <c r="F96" s="207" t="s">
        <v>2728</v>
      </c>
      <c r="G96" s="207" t="s">
        <v>2726</v>
      </c>
      <c r="H96" s="207">
        <v>61</v>
      </c>
      <c r="I96" s="207" t="s">
        <v>2744</v>
      </c>
      <c r="J96" s="207" t="s">
        <v>2730</v>
      </c>
      <c r="K96" s="207" t="s">
        <v>2726</v>
      </c>
      <c r="L96" s="207" t="s">
        <v>2726</v>
      </c>
      <c r="M96" s="207" t="s">
        <v>2738</v>
      </c>
      <c r="N96" s="207" t="s">
        <v>2726</v>
      </c>
      <c r="O96" s="207" t="s">
        <v>2726</v>
      </c>
      <c r="P96" s="207" t="s">
        <v>2732</v>
      </c>
      <c r="Q96" s="207" t="s">
        <v>2733</v>
      </c>
      <c r="R96" s="207">
        <v>120</v>
      </c>
      <c r="S96" s="207" t="s">
        <v>2726</v>
      </c>
      <c r="T96" s="207" t="s">
        <v>1262</v>
      </c>
      <c r="U96" s="207" t="s">
        <v>2740</v>
      </c>
      <c r="V96" s="207" t="s">
        <v>2726</v>
      </c>
      <c r="W96" s="207" t="s">
        <v>2741</v>
      </c>
      <c r="X96" s="207">
        <v>3200000</v>
      </c>
      <c r="Y96" s="207" t="s">
        <v>96</v>
      </c>
      <c r="Z96" s="207" t="s">
        <v>2726</v>
      </c>
      <c r="AA96" s="207" t="s">
        <v>2726</v>
      </c>
      <c r="AB96" s="207" t="s">
        <v>2726</v>
      </c>
      <c r="AC96" s="207" t="s">
        <v>2726</v>
      </c>
      <c r="AD96" s="207" t="s">
        <v>2726</v>
      </c>
      <c r="AE96" s="207" t="s">
        <v>2726</v>
      </c>
      <c r="AF96" s="207" t="s">
        <v>2726</v>
      </c>
      <c r="AG96" s="207" t="s">
        <v>2726</v>
      </c>
      <c r="AH96" s="207" t="s">
        <v>2726</v>
      </c>
      <c r="AI96" s="207" t="s">
        <v>1240</v>
      </c>
      <c r="AJ96" s="207" t="s">
        <v>2726</v>
      </c>
      <c r="AK96" s="207" t="s">
        <v>2767</v>
      </c>
    </row>
    <row r="97" spans="1:37" x14ac:dyDescent="0.25">
      <c r="A97" s="207" t="s">
        <v>2847</v>
      </c>
      <c r="B97" s="207">
        <v>0</v>
      </c>
      <c r="C97" s="207" t="s">
        <v>2726</v>
      </c>
      <c r="D97" s="207" t="s">
        <v>2726</v>
      </c>
      <c r="E97" s="207" t="s">
        <v>2767</v>
      </c>
      <c r="F97" s="207" t="s">
        <v>2728</v>
      </c>
      <c r="G97" s="207" t="s">
        <v>2726</v>
      </c>
      <c r="H97" s="207">
        <v>61</v>
      </c>
      <c r="I97" s="207" t="s">
        <v>2744</v>
      </c>
      <c r="J97" s="207" t="s">
        <v>2730</v>
      </c>
      <c r="K97" s="207" t="s">
        <v>2726</v>
      </c>
      <c r="L97" s="207" t="s">
        <v>2726</v>
      </c>
      <c r="M97" s="207" t="s">
        <v>2738</v>
      </c>
      <c r="N97" s="207" t="s">
        <v>2726</v>
      </c>
      <c r="O97" s="207" t="s">
        <v>2726</v>
      </c>
      <c r="P97" s="207" t="s">
        <v>2732</v>
      </c>
      <c r="Q97" s="207" t="s">
        <v>2733</v>
      </c>
      <c r="R97" s="207">
        <v>120</v>
      </c>
      <c r="S97" s="207" t="s">
        <v>2726</v>
      </c>
      <c r="T97" s="207" t="s">
        <v>1262</v>
      </c>
      <c r="U97" s="207" t="s">
        <v>2740</v>
      </c>
      <c r="V97" s="207" t="s">
        <v>2726</v>
      </c>
      <c r="W97" s="207" t="s">
        <v>2741</v>
      </c>
      <c r="X97" s="207">
        <v>290480</v>
      </c>
      <c r="Y97" s="207" t="s">
        <v>100</v>
      </c>
      <c r="Z97" s="207" t="s">
        <v>2726</v>
      </c>
      <c r="AA97" s="207" t="s">
        <v>2726</v>
      </c>
      <c r="AB97" s="207" t="s">
        <v>2726</v>
      </c>
      <c r="AC97" s="207" t="s">
        <v>2726</v>
      </c>
      <c r="AD97" s="207" t="s">
        <v>2726</v>
      </c>
      <c r="AE97" s="207" t="s">
        <v>2726</v>
      </c>
      <c r="AF97" s="207" t="s">
        <v>2726</v>
      </c>
      <c r="AG97" s="207" t="s">
        <v>2726</v>
      </c>
      <c r="AH97" s="207" t="s">
        <v>2726</v>
      </c>
      <c r="AI97" s="207" t="s">
        <v>1247</v>
      </c>
      <c r="AJ97" s="207" t="s">
        <v>2726</v>
      </c>
      <c r="AK97" s="207" t="s">
        <v>2767</v>
      </c>
    </row>
    <row r="98" spans="1:37" x14ac:dyDescent="0.25">
      <c r="A98" s="207" t="s">
        <v>2848</v>
      </c>
      <c r="B98" s="207">
        <v>0</v>
      </c>
      <c r="C98" s="207" t="s">
        <v>2726</v>
      </c>
      <c r="D98" s="207" t="s">
        <v>2726</v>
      </c>
      <c r="E98" s="207" t="s">
        <v>2767</v>
      </c>
      <c r="F98" s="207" t="s">
        <v>2728</v>
      </c>
      <c r="G98" s="207" t="s">
        <v>2726</v>
      </c>
      <c r="H98" s="207">
        <v>61</v>
      </c>
      <c r="I98" s="207" t="s">
        <v>2744</v>
      </c>
      <c r="J98" s="207" t="s">
        <v>2730</v>
      </c>
      <c r="K98" s="207" t="s">
        <v>2726</v>
      </c>
      <c r="L98" s="207" t="s">
        <v>2726</v>
      </c>
      <c r="M98" s="207" t="s">
        <v>2738</v>
      </c>
      <c r="N98" s="207" t="s">
        <v>2726</v>
      </c>
      <c r="O98" s="207" t="s">
        <v>2726</v>
      </c>
      <c r="P98" s="207" t="s">
        <v>2732</v>
      </c>
      <c r="Q98" s="207" t="s">
        <v>2733</v>
      </c>
      <c r="R98" s="207">
        <v>120</v>
      </c>
      <c r="S98" s="207" t="s">
        <v>2726</v>
      </c>
      <c r="T98" s="207" t="s">
        <v>1262</v>
      </c>
      <c r="U98" s="207" t="s">
        <v>2740</v>
      </c>
      <c r="V98" s="207" t="s">
        <v>2726</v>
      </c>
      <c r="W98" s="207" t="s">
        <v>2741</v>
      </c>
      <c r="X98" s="207">
        <v>405684</v>
      </c>
      <c r="Y98" s="207" t="s">
        <v>102</v>
      </c>
      <c r="Z98" s="207" t="s">
        <v>2726</v>
      </c>
      <c r="AA98" s="207" t="s">
        <v>2726</v>
      </c>
      <c r="AB98" s="207" t="s">
        <v>2726</v>
      </c>
      <c r="AC98" s="207" t="s">
        <v>2726</v>
      </c>
      <c r="AD98" s="207" t="s">
        <v>2726</v>
      </c>
      <c r="AE98" s="207" t="s">
        <v>2726</v>
      </c>
      <c r="AF98" s="207" t="s">
        <v>2726</v>
      </c>
      <c r="AG98" s="207" t="s">
        <v>2726</v>
      </c>
      <c r="AH98" s="207" t="s">
        <v>2726</v>
      </c>
      <c r="AI98" s="207" t="s">
        <v>1248</v>
      </c>
      <c r="AJ98" s="207" t="s">
        <v>2726</v>
      </c>
      <c r="AK98" s="207" t="s">
        <v>2767</v>
      </c>
    </row>
    <row r="99" spans="1:37" x14ac:dyDescent="0.25">
      <c r="A99" s="207" t="s">
        <v>2849</v>
      </c>
      <c r="B99" s="207">
        <v>0</v>
      </c>
      <c r="C99" s="207" t="s">
        <v>2726</v>
      </c>
      <c r="D99" s="207" t="s">
        <v>2726</v>
      </c>
      <c r="E99" s="207" t="s">
        <v>2850</v>
      </c>
      <c r="F99" s="207" t="s">
        <v>2728</v>
      </c>
      <c r="G99" s="207" t="s">
        <v>2726</v>
      </c>
      <c r="H99" s="207">
        <v>60</v>
      </c>
      <c r="I99" s="207" t="s">
        <v>2737</v>
      </c>
      <c r="J99" s="207" t="s">
        <v>2730</v>
      </c>
      <c r="K99" s="207" t="s">
        <v>2726</v>
      </c>
      <c r="L99" s="207" t="s">
        <v>2726</v>
      </c>
      <c r="M99" s="207" t="s">
        <v>2851</v>
      </c>
      <c r="N99" s="207" t="s">
        <v>2726</v>
      </c>
      <c r="O99" s="207" t="s">
        <v>2726</v>
      </c>
      <c r="P99" s="207" t="s">
        <v>2739</v>
      </c>
      <c r="Q99" s="207" t="s">
        <v>2733</v>
      </c>
      <c r="R99" s="207">
        <v>121</v>
      </c>
      <c r="S99" s="207" t="s">
        <v>2726</v>
      </c>
      <c r="T99" s="207" t="s">
        <v>1239</v>
      </c>
      <c r="U99" s="207" t="s">
        <v>2852</v>
      </c>
      <c r="V99" s="207" t="s">
        <v>2726</v>
      </c>
      <c r="W99" s="207" t="s">
        <v>2741</v>
      </c>
      <c r="X99" s="207">
        <v>300924</v>
      </c>
      <c r="Y99" s="207" t="s">
        <v>64</v>
      </c>
      <c r="Z99" s="207" t="s">
        <v>2726</v>
      </c>
      <c r="AA99" s="207" t="s">
        <v>2726</v>
      </c>
      <c r="AB99" s="207" t="s">
        <v>2726</v>
      </c>
      <c r="AC99" s="207" t="s">
        <v>2726</v>
      </c>
      <c r="AD99" s="207" t="s">
        <v>2726</v>
      </c>
      <c r="AE99" s="207" t="s">
        <v>2726</v>
      </c>
      <c r="AF99" s="207" t="s">
        <v>2726</v>
      </c>
      <c r="AG99" s="207" t="s">
        <v>2726</v>
      </c>
      <c r="AH99" s="207" t="s">
        <v>2726</v>
      </c>
      <c r="AI99" s="207" t="s">
        <v>1304</v>
      </c>
      <c r="AJ99" s="207" t="s">
        <v>2726</v>
      </c>
      <c r="AK99" s="207" t="s">
        <v>2850</v>
      </c>
    </row>
    <row r="100" spans="1:37" x14ac:dyDescent="0.25">
      <c r="A100" s="207" t="s">
        <v>2853</v>
      </c>
      <c r="B100" s="207">
        <v>0</v>
      </c>
      <c r="C100" s="207" t="s">
        <v>2726</v>
      </c>
      <c r="D100" s="207" t="s">
        <v>2726</v>
      </c>
      <c r="E100" s="207" t="s">
        <v>2850</v>
      </c>
      <c r="F100" s="207" t="s">
        <v>2728</v>
      </c>
      <c r="G100" s="207" t="s">
        <v>2726</v>
      </c>
      <c r="H100" s="207">
        <v>60</v>
      </c>
      <c r="I100" s="207" t="s">
        <v>2737</v>
      </c>
      <c r="J100" s="207" t="s">
        <v>2730</v>
      </c>
      <c r="K100" s="207" t="s">
        <v>2726</v>
      </c>
      <c r="L100" s="207" t="s">
        <v>2726</v>
      </c>
      <c r="M100" s="207" t="s">
        <v>2851</v>
      </c>
      <c r="N100" s="207" t="s">
        <v>2726</v>
      </c>
      <c r="O100" s="207" t="s">
        <v>2726</v>
      </c>
      <c r="P100" s="207" t="s">
        <v>2739</v>
      </c>
      <c r="Q100" s="207" t="s">
        <v>2733</v>
      </c>
      <c r="R100" s="207">
        <v>121</v>
      </c>
      <c r="S100" s="207" t="s">
        <v>2726</v>
      </c>
      <c r="T100" s="207" t="s">
        <v>1239</v>
      </c>
      <c r="U100" s="207" t="s">
        <v>2852</v>
      </c>
      <c r="V100" s="207" t="s">
        <v>2726</v>
      </c>
      <c r="W100" s="207" t="s">
        <v>629</v>
      </c>
      <c r="X100" s="207">
        <v>-115000</v>
      </c>
      <c r="Y100" s="207" t="s">
        <v>121</v>
      </c>
      <c r="Z100" s="207" t="s">
        <v>2726</v>
      </c>
      <c r="AA100" s="207" t="s">
        <v>2726</v>
      </c>
      <c r="AB100" s="207" t="s">
        <v>2726</v>
      </c>
      <c r="AC100" s="207" t="s">
        <v>2726</v>
      </c>
      <c r="AD100" s="207" t="s">
        <v>2726</v>
      </c>
      <c r="AE100" s="207" t="s">
        <v>2726</v>
      </c>
      <c r="AF100" s="207" t="s">
        <v>2726</v>
      </c>
      <c r="AG100" s="207" t="s">
        <v>2726</v>
      </c>
      <c r="AH100" s="207" t="s">
        <v>2726</v>
      </c>
      <c r="AI100" s="207" t="s">
        <v>1268</v>
      </c>
      <c r="AJ100" s="207" t="s">
        <v>2726</v>
      </c>
      <c r="AK100" s="207" t="s">
        <v>2850</v>
      </c>
    </row>
    <row r="101" spans="1:37" x14ac:dyDescent="0.25">
      <c r="A101" s="207" t="s">
        <v>2854</v>
      </c>
      <c r="B101" s="207">
        <v>0</v>
      </c>
      <c r="C101" s="207" t="s">
        <v>2726</v>
      </c>
      <c r="D101" s="207" t="s">
        <v>2726</v>
      </c>
      <c r="E101" s="207" t="s">
        <v>2767</v>
      </c>
      <c r="F101" s="207" t="s">
        <v>2728</v>
      </c>
      <c r="G101" s="207" t="s">
        <v>2726</v>
      </c>
      <c r="H101" s="207">
        <v>61</v>
      </c>
      <c r="I101" s="207" t="s">
        <v>2744</v>
      </c>
      <c r="J101" s="207" t="s">
        <v>2730</v>
      </c>
      <c r="K101" s="207" t="s">
        <v>2726</v>
      </c>
      <c r="L101" s="207" t="s">
        <v>2726</v>
      </c>
      <c r="M101" s="207" t="s">
        <v>2738</v>
      </c>
      <c r="N101" s="207" t="s">
        <v>2726</v>
      </c>
      <c r="O101" s="207" t="s">
        <v>2726</v>
      </c>
      <c r="P101" s="207" t="s">
        <v>2732</v>
      </c>
      <c r="Q101" s="207" t="s">
        <v>2733</v>
      </c>
      <c r="R101" s="207">
        <v>120</v>
      </c>
      <c r="S101" s="207" t="s">
        <v>2726</v>
      </c>
      <c r="T101" s="207" t="s">
        <v>1262</v>
      </c>
      <c r="U101" s="207" t="s">
        <v>2740</v>
      </c>
      <c r="V101" s="207" t="s">
        <v>2726</v>
      </c>
      <c r="W101" s="207" t="s">
        <v>2741</v>
      </c>
      <c r="X101" s="207">
        <v>1320000</v>
      </c>
      <c r="Y101" s="207" t="s">
        <v>582</v>
      </c>
      <c r="Z101" s="207" t="s">
        <v>2726</v>
      </c>
      <c r="AA101" s="207" t="s">
        <v>2726</v>
      </c>
      <c r="AB101" s="207" t="s">
        <v>2726</v>
      </c>
      <c r="AC101" s="207" t="s">
        <v>2726</v>
      </c>
      <c r="AD101" s="207" t="s">
        <v>2726</v>
      </c>
      <c r="AE101" s="207" t="s">
        <v>2726</v>
      </c>
      <c r="AF101" s="207" t="s">
        <v>2726</v>
      </c>
      <c r="AG101" s="207" t="s">
        <v>2726</v>
      </c>
      <c r="AH101" s="207" t="s">
        <v>2726</v>
      </c>
      <c r="AI101" s="207" t="s">
        <v>1249</v>
      </c>
      <c r="AJ101" s="207" t="s">
        <v>2726</v>
      </c>
      <c r="AK101" s="207" t="s">
        <v>2767</v>
      </c>
    </row>
    <row r="102" spans="1:37" x14ac:dyDescent="0.25">
      <c r="A102" s="207" t="s">
        <v>2855</v>
      </c>
      <c r="B102" s="207">
        <v>0</v>
      </c>
      <c r="C102" s="207" t="s">
        <v>2726</v>
      </c>
      <c r="D102" s="207" t="s">
        <v>2726</v>
      </c>
      <c r="E102" s="207" t="s">
        <v>2850</v>
      </c>
      <c r="F102" s="207" t="s">
        <v>2728</v>
      </c>
      <c r="G102" s="207" t="s">
        <v>2726</v>
      </c>
      <c r="H102" s="207">
        <v>60</v>
      </c>
      <c r="I102" s="207" t="s">
        <v>2737</v>
      </c>
      <c r="J102" s="207" t="s">
        <v>2730</v>
      </c>
      <c r="K102" s="207" t="s">
        <v>2726</v>
      </c>
      <c r="L102" s="207" t="s">
        <v>2726</v>
      </c>
      <c r="M102" s="207" t="s">
        <v>2851</v>
      </c>
      <c r="N102" s="207" t="s">
        <v>2726</v>
      </c>
      <c r="O102" s="207" t="s">
        <v>2726</v>
      </c>
      <c r="P102" s="207" t="s">
        <v>2739</v>
      </c>
      <c r="Q102" s="207" t="s">
        <v>2733</v>
      </c>
      <c r="R102" s="207">
        <v>121</v>
      </c>
      <c r="S102" s="207" t="s">
        <v>2726</v>
      </c>
      <c r="T102" s="207" t="s">
        <v>1239</v>
      </c>
      <c r="U102" s="207" t="s">
        <v>2852</v>
      </c>
      <c r="V102" s="207" t="s">
        <v>2726</v>
      </c>
      <c r="W102" s="207" t="s">
        <v>629</v>
      </c>
      <c r="X102" s="207">
        <v>-300924</v>
      </c>
      <c r="Y102" s="207" t="s">
        <v>59</v>
      </c>
      <c r="Z102" s="207" t="s">
        <v>2726</v>
      </c>
      <c r="AA102" s="207" t="s">
        <v>2726</v>
      </c>
      <c r="AB102" s="207" t="s">
        <v>2726</v>
      </c>
      <c r="AC102" s="207" t="s">
        <v>2726</v>
      </c>
      <c r="AD102" s="207" t="s">
        <v>2726</v>
      </c>
      <c r="AE102" s="207" t="s">
        <v>2726</v>
      </c>
      <c r="AF102" s="207" t="s">
        <v>2726</v>
      </c>
      <c r="AG102" s="207" t="s">
        <v>2726</v>
      </c>
      <c r="AH102" s="207" t="s">
        <v>2726</v>
      </c>
      <c r="AI102" s="207" t="s">
        <v>1242</v>
      </c>
      <c r="AJ102" s="207" t="s">
        <v>2726</v>
      </c>
      <c r="AK102" s="207" t="s">
        <v>2850</v>
      </c>
    </row>
    <row r="103" spans="1:37" x14ac:dyDescent="0.25">
      <c r="A103" s="207" t="s">
        <v>2856</v>
      </c>
      <c r="B103" s="207">
        <v>0</v>
      </c>
      <c r="C103" s="207" t="s">
        <v>2726</v>
      </c>
      <c r="D103" s="207" t="s">
        <v>2726</v>
      </c>
      <c r="E103" s="207" t="s">
        <v>2767</v>
      </c>
      <c r="F103" s="207" t="s">
        <v>2728</v>
      </c>
      <c r="G103" s="207" t="s">
        <v>2726</v>
      </c>
      <c r="H103" s="207">
        <v>61</v>
      </c>
      <c r="I103" s="207" t="s">
        <v>2744</v>
      </c>
      <c r="J103" s="207" t="s">
        <v>2730</v>
      </c>
      <c r="K103" s="207" t="s">
        <v>2726</v>
      </c>
      <c r="L103" s="207" t="s">
        <v>2726</v>
      </c>
      <c r="M103" s="207" t="s">
        <v>2738</v>
      </c>
      <c r="N103" s="207" t="s">
        <v>2726</v>
      </c>
      <c r="O103" s="207" t="s">
        <v>2726</v>
      </c>
      <c r="P103" s="207" t="s">
        <v>2732</v>
      </c>
      <c r="Q103" s="207" t="s">
        <v>2733</v>
      </c>
      <c r="R103" s="207">
        <v>120</v>
      </c>
      <c r="S103" s="207" t="s">
        <v>2726</v>
      </c>
      <c r="T103" s="207" t="s">
        <v>1262</v>
      </c>
      <c r="U103" s="207" t="s">
        <v>2740</v>
      </c>
      <c r="V103" s="207" t="s">
        <v>2726</v>
      </c>
      <c r="W103" s="207" t="s">
        <v>2741</v>
      </c>
      <c r="X103" s="207">
        <v>3600000</v>
      </c>
      <c r="Y103" s="207" t="s">
        <v>584</v>
      </c>
      <c r="Z103" s="207" t="s">
        <v>2726</v>
      </c>
      <c r="AA103" s="207" t="s">
        <v>2726</v>
      </c>
      <c r="AB103" s="207" t="s">
        <v>2726</v>
      </c>
      <c r="AC103" s="207" t="s">
        <v>2726</v>
      </c>
      <c r="AD103" s="207" t="s">
        <v>2726</v>
      </c>
      <c r="AE103" s="207" t="s">
        <v>2726</v>
      </c>
      <c r="AF103" s="207" t="s">
        <v>2726</v>
      </c>
      <c r="AG103" s="207" t="s">
        <v>2726</v>
      </c>
      <c r="AH103" s="207" t="s">
        <v>2726</v>
      </c>
      <c r="AI103" s="207" t="s">
        <v>1263</v>
      </c>
      <c r="AJ103" s="207" t="s">
        <v>2726</v>
      </c>
      <c r="AK103" s="207" t="s">
        <v>2767</v>
      </c>
    </row>
    <row r="104" spans="1:37" x14ac:dyDescent="0.25">
      <c r="A104" s="207" t="s">
        <v>2857</v>
      </c>
      <c r="B104" s="207">
        <v>0</v>
      </c>
      <c r="C104" s="207" t="s">
        <v>2726</v>
      </c>
      <c r="D104" s="207" t="s">
        <v>2726</v>
      </c>
      <c r="E104" s="207" t="s">
        <v>2850</v>
      </c>
      <c r="F104" s="207" t="s">
        <v>2728</v>
      </c>
      <c r="G104" s="207" t="s">
        <v>2726</v>
      </c>
      <c r="H104" s="207">
        <v>60</v>
      </c>
      <c r="I104" s="207" t="s">
        <v>2737</v>
      </c>
      <c r="J104" s="207" t="s">
        <v>2730</v>
      </c>
      <c r="K104" s="207" t="s">
        <v>2726</v>
      </c>
      <c r="L104" s="207" t="s">
        <v>2726</v>
      </c>
      <c r="M104" s="207" t="s">
        <v>2851</v>
      </c>
      <c r="N104" s="207" t="s">
        <v>2726</v>
      </c>
      <c r="O104" s="207" t="s">
        <v>2726</v>
      </c>
      <c r="P104" s="207" t="s">
        <v>2739</v>
      </c>
      <c r="Q104" s="207" t="s">
        <v>2733</v>
      </c>
      <c r="R104" s="207">
        <v>121</v>
      </c>
      <c r="S104" s="207" t="s">
        <v>2726</v>
      </c>
      <c r="T104" s="207" t="s">
        <v>1239</v>
      </c>
      <c r="U104" s="207" t="s">
        <v>2852</v>
      </c>
      <c r="V104" s="207" t="s">
        <v>2726</v>
      </c>
      <c r="W104" s="207" t="s">
        <v>2741</v>
      </c>
      <c r="X104" s="207">
        <v>115000</v>
      </c>
      <c r="Y104" s="207" t="s">
        <v>123</v>
      </c>
      <c r="Z104" s="207" t="s">
        <v>2726</v>
      </c>
      <c r="AA104" s="207" t="s">
        <v>2726</v>
      </c>
      <c r="AB104" s="207" t="s">
        <v>2726</v>
      </c>
      <c r="AC104" s="207" t="s">
        <v>2726</v>
      </c>
      <c r="AD104" s="207" t="s">
        <v>2726</v>
      </c>
      <c r="AE104" s="207" t="s">
        <v>2726</v>
      </c>
      <c r="AF104" s="207" t="s">
        <v>2726</v>
      </c>
      <c r="AG104" s="207" t="s">
        <v>2726</v>
      </c>
      <c r="AH104" s="207" t="s">
        <v>2726</v>
      </c>
      <c r="AI104" s="207" t="s">
        <v>1298</v>
      </c>
      <c r="AJ104" s="207" t="s">
        <v>2726</v>
      </c>
      <c r="AK104" s="207" t="s">
        <v>2850</v>
      </c>
    </row>
    <row r="105" spans="1:37" x14ac:dyDescent="0.25">
      <c r="A105" s="207" t="s">
        <v>2858</v>
      </c>
      <c r="B105" s="207">
        <v>0</v>
      </c>
      <c r="C105" s="207" t="s">
        <v>2726</v>
      </c>
      <c r="D105" s="207" t="s">
        <v>2726</v>
      </c>
      <c r="E105" s="207" t="s">
        <v>2767</v>
      </c>
      <c r="F105" s="207" t="s">
        <v>2728</v>
      </c>
      <c r="G105" s="207" t="s">
        <v>2726</v>
      </c>
      <c r="H105" s="207">
        <v>61</v>
      </c>
      <c r="I105" s="207" t="s">
        <v>2744</v>
      </c>
      <c r="J105" s="207" t="s">
        <v>2730</v>
      </c>
      <c r="K105" s="207" t="s">
        <v>2726</v>
      </c>
      <c r="L105" s="207" t="s">
        <v>2726</v>
      </c>
      <c r="M105" s="207" t="s">
        <v>2738</v>
      </c>
      <c r="N105" s="207" t="s">
        <v>2726</v>
      </c>
      <c r="O105" s="207" t="s">
        <v>2726</v>
      </c>
      <c r="P105" s="207" t="s">
        <v>2732</v>
      </c>
      <c r="Q105" s="207" t="s">
        <v>2733</v>
      </c>
      <c r="R105" s="207">
        <v>120</v>
      </c>
      <c r="S105" s="207" t="s">
        <v>2726</v>
      </c>
      <c r="T105" s="207" t="s">
        <v>1262</v>
      </c>
      <c r="U105" s="207" t="s">
        <v>2740</v>
      </c>
      <c r="V105" s="207" t="s">
        <v>2726</v>
      </c>
      <c r="W105" s="207" t="s">
        <v>2741</v>
      </c>
      <c r="X105" s="207">
        <v>840000</v>
      </c>
      <c r="Y105" s="207" t="s">
        <v>588</v>
      </c>
      <c r="Z105" s="207" t="s">
        <v>2726</v>
      </c>
      <c r="AA105" s="207" t="s">
        <v>2726</v>
      </c>
      <c r="AB105" s="207" t="s">
        <v>2726</v>
      </c>
      <c r="AC105" s="207" t="s">
        <v>2726</v>
      </c>
      <c r="AD105" s="207" t="s">
        <v>2726</v>
      </c>
      <c r="AE105" s="207" t="s">
        <v>2726</v>
      </c>
      <c r="AF105" s="207" t="s">
        <v>2726</v>
      </c>
      <c r="AG105" s="207" t="s">
        <v>2726</v>
      </c>
      <c r="AH105" s="207" t="s">
        <v>2726</v>
      </c>
      <c r="AI105" s="207" t="s">
        <v>1276</v>
      </c>
      <c r="AJ105" s="207" t="s">
        <v>2726</v>
      </c>
      <c r="AK105" s="207" t="s">
        <v>2767</v>
      </c>
    </row>
    <row r="106" spans="1:37" x14ac:dyDescent="0.25">
      <c r="A106" s="207" t="s">
        <v>2859</v>
      </c>
      <c r="B106" s="207">
        <v>0</v>
      </c>
      <c r="C106" s="207" t="s">
        <v>2726</v>
      </c>
      <c r="D106" s="207" t="s">
        <v>2726</v>
      </c>
      <c r="E106" s="207" t="s">
        <v>2767</v>
      </c>
      <c r="F106" s="207" t="s">
        <v>2728</v>
      </c>
      <c r="G106" s="207" t="s">
        <v>2726</v>
      </c>
      <c r="H106" s="207">
        <v>61</v>
      </c>
      <c r="I106" s="207" t="s">
        <v>2744</v>
      </c>
      <c r="J106" s="207" t="s">
        <v>2730</v>
      </c>
      <c r="K106" s="207" t="s">
        <v>2726</v>
      </c>
      <c r="L106" s="207" t="s">
        <v>2726</v>
      </c>
      <c r="M106" s="207" t="s">
        <v>2738</v>
      </c>
      <c r="N106" s="207" t="s">
        <v>2726</v>
      </c>
      <c r="O106" s="207" t="s">
        <v>2726</v>
      </c>
      <c r="P106" s="207" t="s">
        <v>2732</v>
      </c>
      <c r="Q106" s="207" t="s">
        <v>2733</v>
      </c>
      <c r="R106" s="207">
        <v>120</v>
      </c>
      <c r="S106" s="207" t="s">
        <v>2726</v>
      </c>
      <c r="T106" s="207" t="s">
        <v>1262</v>
      </c>
      <c r="U106" s="207" t="s">
        <v>2740</v>
      </c>
      <c r="V106" s="207" t="s">
        <v>2726</v>
      </c>
      <c r="W106" s="207" t="s">
        <v>2741</v>
      </c>
      <c r="X106" s="207">
        <v>12600000</v>
      </c>
      <c r="Y106" s="207" t="s">
        <v>105</v>
      </c>
      <c r="Z106" s="207" t="s">
        <v>2726</v>
      </c>
      <c r="AA106" s="207" t="s">
        <v>2726</v>
      </c>
      <c r="AB106" s="207" t="s">
        <v>2726</v>
      </c>
      <c r="AC106" s="207" t="s">
        <v>2726</v>
      </c>
      <c r="AD106" s="207" t="s">
        <v>2726</v>
      </c>
      <c r="AE106" s="207" t="s">
        <v>2726</v>
      </c>
      <c r="AF106" s="207" t="s">
        <v>2726</v>
      </c>
      <c r="AG106" s="207" t="s">
        <v>2726</v>
      </c>
      <c r="AH106" s="207" t="s">
        <v>2726</v>
      </c>
      <c r="AI106" s="207" t="s">
        <v>1250</v>
      </c>
      <c r="AJ106" s="207" t="s">
        <v>2726</v>
      </c>
      <c r="AK106" s="207" t="s">
        <v>2767</v>
      </c>
    </row>
    <row r="107" spans="1:37" x14ac:dyDescent="0.25">
      <c r="A107" s="207" t="s">
        <v>2860</v>
      </c>
      <c r="B107" s="207">
        <v>0</v>
      </c>
      <c r="C107" s="207" t="s">
        <v>2726</v>
      </c>
      <c r="D107" s="207" t="s">
        <v>2726</v>
      </c>
      <c r="E107" s="207" t="s">
        <v>2767</v>
      </c>
      <c r="F107" s="207" t="s">
        <v>2728</v>
      </c>
      <c r="G107" s="207" t="s">
        <v>2726</v>
      </c>
      <c r="H107" s="207">
        <v>61</v>
      </c>
      <c r="I107" s="207" t="s">
        <v>2744</v>
      </c>
      <c r="J107" s="207" t="s">
        <v>2730</v>
      </c>
      <c r="K107" s="207" t="s">
        <v>2726</v>
      </c>
      <c r="L107" s="207" t="s">
        <v>2726</v>
      </c>
      <c r="M107" s="207" t="s">
        <v>2738</v>
      </c>
      <c r="N107" s="207" t="s">
        <v>2726</v>
      </c>
      <c r="O107" s="207" t="s">
        <v>2726</v>
      </c>
      <c r="P107" s="207" t="s">
        <v>2732</v>
      </c>
      <c r="Q107" s="207" t="s">
        <v>2733</v>
      </c>
      <c r="R107" s="207">
        <v>120</v>
      </c>
      <c r="S107" s="207" t="s">
        <v>2726</v>
      </c>
      <c r="T107" s="207" t="s">
        <v>1262</v>
      </c>
      <c r="U107" s="207" t="s">
        <v>2740</v>
      </c>
      <c r="V107" s="207" t="s">
        <v>2726</v>
      </c>
      <c r="W107" s="207" t="s">
        <v>2741</v>
      </c>
      <c r="X107" s="207">
        <v>1963631</v>
      </c>
      <c r="Y107" s="207" t="s">
        <v>109</v>
      </c>
      <c r="Z107" s="207" t="s">
        <v>2726</v>
      </c>
      <c r="AA107" s="207" t="s">
        <v>2726</v>
      </c>
      <c r="AB107" s="207" t="s">
        <v>2726</v>
      </c>
      <c r="AC107" s="207" t="s">
        <v>2726</v>
      </c>
      <c r="AD107" s="207" t="s">
        <v>2726</v>
      </c>
      <c r="AE107" s="207" t="s">
        <v>2726</v>
      </c>
      <c r="AF107" s="207" t="s">
        <v>2726</v>
      </c>
      <c r="AG107" s="207" t="s">
        <v>2726</v>
      </c>
      <c r="AH107" s="207" t="s">
        <v>2726</v>
      </c>
      <c r="AI107" s="207" t="s">
        <v>1251</v>
      </c>
      <c r="AJ107" s="207" t="s">
        <v>2726</v>
      </c>
      <c r="AK107" s="207" t="s">
        <v>2767</v>
      </c>
    </row>
    <row r="108" spans="1:37" x14ac:dyDescent="0.25">
      <c r="A108" s="207" t="s">
        <v>2861</v>
      </c>
      <c r="B108" s="207">
        <v>0</v>
      </c>
      <c r="C108" s="207" t="s">
        <v>2726</v>
      </c>
      <c r="D108" s="207" t="s">
        <v>2726</v>
      </c>
      <c r="E108" s="207" t="s">
        <v>2767</v>
      </c>
      <c r="F108" s="207" t="s">
        <v>2728</v>
      </c>
      <c r="G108" s="207" t="s">
        <v>2726</v>
      </c>
      <c r="H108" s="207">
        <v>61</v>
      </c>
      <c r="I108" s="207" t="s">
        <v>2744</v>
      </c>
      <c r="J108" s="207" t="s">
        <v>2730</v>
      </c>
      <c r="K108" s="207" t="s">
        <v>2726</v>
      </c>
      <c r="L108" s="207" t="s">
        <v>2726</v>
      </c>
      <c r="M108" s="207" t="s">
        <v>2738</v>
      </c>
      <c r="N108" s="207" t="s">
        <v>2726</v>
      </c>
      <c r="O108" s="207" t="s">
        <v>2726</v>
      </c>
      <c r="P108" s="207" t="s">
        <v>2732</v>
      </c>
      <c r="Q108" s="207" t="s">
        <v>2733</v>
      </c>
      <c r="R108" s="207">
        <v>120</v>
      </c>
      <c r="S108" s="207" t="s">
        <v>2726</v>
      </c>
      <c r="T108" s="207" t="s">
        <v>1262</v>
      </c>
      <c r="U108" s="207" t="s">
        <v>2740</v>
      </c>
      <c r="V108" s="207" t="s">
        <v>2726</v>
      </c>
      <c r="W108" s="207" t="s">
        <v>2741</v>
      </c>
      <c r="X108" s="207">
        <v>1615600</v>
      </c>
      <c r="Y108" s="207" t="s">
        <v>113</v>
      </c>
      <c r="Z108" s="207" t="s">
        <v>2726</v>
      </c>
      <c r="AA108" s="207" t="s">
        <v>2726</v>
      </c>
      <c r="AB108" s="207" t="s">
        <v>2726</v>
      </c>
      <c r="AC108" s="207" t="s">
        <v>2726</v>
      </c>
      <c r="AD108" s="207" t="s">
        <v>2726</v>
      </c>
      <c r="AE108" s="207" t="s">
        <v>2726</v>
      </c>
      <c r="AF108" s="207" t="s">
        <v>2726</v>
      </c>
      <c r="AG108" s="207" t="s">
        <v>2726</v>
      </c>
      <c r="AH108" s="207" t="s">
        <v>2726</v>
      </c>
      <c r="AI108" s="207" t="s">
        <v>1265</v>
      </c>
      <c r="AJ108" s="207" t="s">
        <v>2726</v>
      </c>
      <c r="AK108" s="207" t="s">
        <v>2767</v>
      </c>
    </row>
    <row r="109" spans="1:37" x14ac:dyDescent="0.25">
      <c r="A109" s="207" t="s">
        <v>2862</v>
      </c>
      <c r="B109" s="207">
        <v>0</v>
      </c>
      <c r="C109" s="207" t="s">
        <v>2726</v>
      </c>
      <c r="D109" s="207" t="s">
        <v>2726</v>
      </c>
      <c r="E109" s="207" t="s">
        <v>2767</v>
      </c>
      <c r="F109" s="207" t="s">
        <v>2728</v>
      </c>
      <c r="G109" s="207" t="s">
        <v>2726</v>
      </c>
      <c r="H109" s="207">
        <v>61</v>
      </c>
      <c r="I109" s="207" t="s">
        <v>2744</v>
      </c>
      <c r="J109" s="207" t="s">
        <v>2730</v>
      </c>
      <c r="K109" s="207" t="s">
        <v>2726</v>
      </c>
      <c r="L109" s="207" t="s">
        <v>2726</v>
      </c>
      <c r="M109" s="207" t="s">
        <v>2738</v>
      </c>
      <c r="N109" s="207" t="s">
        <v>2726</v>
      </c>
      <c r="O109" s="207" t="s">
        <v>2726</v>
      </c>
      <c r="P109" s="207" t="s">
        <v>2732</v>
      </c>
      <c r="Q109" s="207" t="s">
        <v>2733</v>
      </c>
      <c r="R109" s="207">
        <v>120</v>
      </c>
      <c r="S109" s="207" t="s">
        <v>2726</v>
      </c>
      <c r="T109" s="207" t="s">
        <v>1262</v>
      </c>
      <c r="U109" s="207" t="s">
        <v>2740</v>
      </c>
      <c r="V109" s="207" t="s">
        <v>2726</v>
      </c>
      <c r="W109" s="207" t="s">
        <v>2741</v>
      </c>
      <c r="X109" s="207">
        <v>2266020</v>
      </c>
      <c r="Y109" s="207" t="s">
        <v>115</v>
      </c>
      <c r="Z109" s="207" t="s">
        <v>2726</v>
      </c>
      <c r="AA109" s="207" t="s">
        <v>2726</v>
      </c>
      <c r="AB109" s="207" t="s">
        <v>2726</v>
      </c>
      <c r="AC109" s="207" t="s">
        <v>2726</v>
      </c>
      <c r="AD109" s="207" t="s">
        <v>2726</v>
      </c>
      <c r="AE109" s="207" t="s">
        <v>2726</v>
      </c>
      <c r="AF109" s="207" t="s">
        <v>2726</v>
      </c>
      <c r="AG109" s="207" t="s">
        <v>2726</v>
      </c>
      <c r="AH109" s="207" t="s">
        <v>2726</v>
      </c>
      <c r="AI109" s="207" t="s">
        <v>1241</v>
      </c>
      <c r="AJ109" s="207" t="s">
        <v>2726</v>
      </c>
      <c r="AK109" s="207" t="s">
        <v>2767</v>
      </c>
    </row>
    <row r="110" spans="1:37" x14ac:dyDescent="0.25">
      <c r="A110" s="207" t="s">
        <v>2863</v>
      </c>
      <c r="B110" s="207">
        <v>0</v>
      </c>
      <c r="C110" s="207" t="s">
        <v>2726</v>
      </c>
      <c r="D110" s="207" t="s">
        <v>2726</v>
      </c>
      <c r="E110" s="207" t="s">
        <v>2767</v>
      </c>
      <c r="F110" s="207" t="s">
        <v>2728</v>
      </c>
      <c r="G110" s="207" t="s">
        <v>2726</v>
      </c>
      <c r="H110" s="207">
        <v>61</v>
      </c>
      <c r="I110" s="207" t="s">
        <v>2744</v>
      </c>
      <c r="J110" s="207" t="s">
        <v>2730</v>
      </c>
      <c r="K110" s="207" t="s">
        <v>2726</v>
      </c>
      <c r="L110" s="207" t="s">
        <v>2726</v>
      </c>
      <c r="M110" s="207" t="s">
        <v>2738</v>
      </c>
      <c r="N110" s="207" t="s">
        <v>2726</v>
      </c>
      <c r="O110" s="207" t="s">
        <v>2726</v>
      </c>
      <c r="P110" s="207" t="s">
        <v>2732</v>
      </c>
      <c r="Q110" s="207" t="s">
        <v>2733</v>
      </c>
      <c r="R110" s="207">
        <v>120</v>
      </c>
      <c r="S110" s="207" t="s">
        <v>2726</v>
      </c>
      <c r="T110" s="207" t="s">
        <v>1262</v>
      </c>
      <c r="U110" s="207" t="s">
        <v>2740</v>
      </c>
      <c r="V110" s="207" t="s">
        <v>2726</v>
      </c>
      <c r="W110" s="207" t="s">
        <v>2741</v>
      </c>
      <c r="X110" s="207">
        <v>240000</v>
      </c>
      <c r="Y110" s="207" t="s">
        <v>117</v>
      </c>
      <c r="Z110" s="207" t="s">
        <v>2726</v>
      </c>
      <c r="AA110" s="207" t="s">
        <v>2726</v>
      </c>
      <c r="AB110" s="207" t="s">
        <v>2726</v>
      </c>
      <c r="AC110" s="207" t="s">
        <v>2726</v>
      </c>
      <c r="AD110" s="207" t="s">
        <v>2726</v>
      </c>
      <c r="AE110" s="207" t="s">
        <v>2726</v>
      </c>
      <c r="AF110" s="207" t="s">
        <v>2726</v>
      </c>
      <c r="AG110" s="207" t="s">
        <v>2726</v>
      </c>
      <c r="AH110" s="207" t="s">
        <v>2726</v>
      </c>
      <c r="AI110" s="207" t="s">
        <v>1266</v>
      </c>
      <c r="AJ110" s="207" t="s">
        <v>2726</v>
      </c>
      <c r="AK110" s="207" t="s">
        <v>2767</v>
      </c>
    </row>
    <row r="111" spans="1:37" x14ac:dyDescent="0.25">
      <c r="A111" s="207" t="s">
        <v>2864</v>
      </c>
      <c r="B111" s="207">
        <v>0</v>
      </c>
      <c r="C111" s="207" t="s">
        <v>2726</v>
      </c>
      <c r="D111" s="207" t="s">
        <v>2726</v>
      </c>
      <c r="E111" s="207" t="s">
        <v>2767</v>
      </c>
      <c r="F111" s="207" t="s">
        <v>2728</v>
      </c>
      <c r="G111" s="207" t="s">
        <v>2726</v>
      </c>
      <c r="H111" s="207">
        <v>61</v>
      </c>
      <c r="I111" s="207" t="s">
        <v>2744</v>
      </c>
      <c r="J111" s="207" t="s">
        <v>2730</v>
      </c>
      <c r="K111" s="207" t="s">
        <v>2726</v>
      </c>
      <c r="L111" s="207" t="s">
        <v>2726</v>
      </c>
      <c r="M111" s="207" t="s">
        <v>2738</v>
      </c>
      <c r="N111" s="207" t="s">
        <v>2726</v>
      </c>
      <c r="O111" s="207" t="s">
        <v>2726</v>
      </c>
      <c r="P111" s="207" t="s">
        <v>2732</v>
      </c>
      <c r="Q111" s="207" t="s">
        <v>2733</v>
      </c>
      <c r="R111" s="207">
        <v>120</v>
      </c>
      <c r="S111" s="207" t="s">
        <v>2726</v>
      </c>
      <c r="T111" s="207" t="s">
        <v>1262</v>
      </c>
      <c r="U111" s="207" t="s">
        <v>2740</v>
      </c>
      <c r="V111" s="207" t="s">
        <v>2726</v>
      </c>
      <c r="W111" s="207" t="s">
        <v>2741</v>
      </c>
      <c r="X111" s="207">
        <v>7908413</v>
      </c>
      <c r="Y111" s="207" t="s">
        <v>121</v>
      </c>
      <c r="Z111" s="207" t="s">
        <v>2726</v>
      </c>
      <c r="AA111" s="207" t="s">
        <v>2726</v>
      </c>
      <c r="AB111" s="207" t="s">
        <v>2726</v>
      </c>
      <c r="AC111" s="207" t="s">
        <v>2726</v>
      </c>
      <c r="AD111" s="207" t="s">
        <v>2726</v>
      </c>
      <c r="AE111" s="207" t="s">
        <v>2726</v>
      </c>
      <c r="AF111" s="207" t="s">
        <v>2726</v>
      </c>
      <c r="AG111" s="207" t="s">
        <v>2726</v>
      </c>
      <c r="AH111" s="207" t="s">
        <v>2726</v>
      </c>
      <c r="AI111" s="207" t="s">
        <v>1268</v>
      </c>
      <c r="AJ111" s="207" t="s">
        <v>2726</v>
      </c>
      <c r="AK111" s="207" t="s">
        <v>2767</v>
      </c>
    </row>
    <row r="112" spans="1:37" x14ac:dyDescent="0.25">
      <c r="A112" s="207" t="s">
        <v>2865</v>
      </c>
      <c r="B112" s="207">
        <v>0</v>
      </c>
      <c r="C112" s="207" t="s">
        <v>2726</v>
      </c>
      <c r="D112" s="207" t="s">
        <v>2726</v>
      </c>
      <c r="E112" s="207" t="s">
        <v>2866</v>
      </c>
      <c r="F112" s="207" t="s">
        <v>2728</v>
      </c>
      <c r="G112" s="207" t="s">
        <v>2726</v>
      </c>
      <c r="H112" s="207">
        <v>60</v>
      </c>
      <c r="I112" s="207" t="s">
        <v>2737</v>
      </c>
      <c r="J112" s="207" t="s">
        <v>2730</v>
      </c>
      <c r="K112" s="207" t="s">
        <v>2726</v>
      </c>
      <c r="L112" s="207" t="s">
        <v>2726</v>
      </c>
      <c r="M112" s="207" t="s">
        <v>2851</v>
      </c>
      <c r="N112" s="207" t="s">
        <v>2726</v>
      </c>
      <c r="O112" s="207" t="s">
        <v>2726</v>
      </c>
      <c r="P112" s="207" t="s">
        <v>2739</v>
      </c>
      <c r="Q112" s="207" t="s">
        <v>2733</v>
      </c>
      <c r="R112" s="207">
        <v>121</v>
      </c>
      <c r="S112" s="207" t="s">
        <v>2726</v>
      </c>
      <c r="T112" s="207" t="s">
        <v>1239</v>
      </c>
      <c r="U112" s="207" t="s">
        <v>2852</v>
      </c>
      <c r="V112" s="207" t="s">
        <v>2726</v>
      </c>
      <c r="W112" s="207" t="s">
        <v>629</v>
      </c>
      <c r="X112" s="207">
        <v>-840000</v>
      </c>
      <c r="Y112" s="207" t="s">
        <v>115</v>
      </c>
      <c r="Z112" s="207" t="s">
        <v>2726</v>
      </c>
      <c r="AA112" s="207" t="s">
        <v>2726</v>
      </c>
      <c r="AB112" s="207" t="s">
        <v>2726</v>
      </c>
      <c r="AC112" s="207" t="s">
        <v>2726</v>
      </c>
      <c r="AD112" s="207" t="s">
        <v>2726</v>
      </c>
      <c r="AE112" s="207" t="s">
        <v>2726</v>
      </c>
      <c r="AF112" s="207" t="s">
        <v>2726</v>
      </c>
      <c r="AG112" s="207" t="s">
        <v>2726</v>
      </c>
      <c r="AH112" s="207" t="s">
        <v>2726</v>
      </c>
      <c r="AI112" s="207" t="s">
        <v>1241</v>
      </c>
      <c r="AJ112" s="207" t="s">
        <v>2726</v>
      </c>
      <c r="AK112" s="207" t="s">
        <v>2866</v>
      </c>
    </row>
    <row r="113" spans="1:37" x14ac:dyDescent="0.25">
      <c r="A113" s="207" t="s">
        <v>2867</v>
      </c>
      <c r="B113" s="207">
        <v>0</v>
      </c>
      <c r="C113" s="207" t="s">
        <v>2726</v>
      </c>
      <c r="D113" s="207" t="s">
        <v>2726</v>
      </c>
      <c r="E113" s="207" t="s">
        <v>2767</v>
      </c>
      <c r="F113" s="207" t="s">
        <v>2728</v>
      </c>
      <c r="G113" s="207" t="s">
        <v>2726</v>
      </c>
      <c r="H113" s="207">
        <v>61</v>
      </c>
      <c r="I113" s="207" t="s">
        <v>2744</v>
      </c>
      <c r="J113" s="207" t="s">
        <v>2730</v>
      </c>
      <c r="K113" s="207" t="s">
        <v>2726</v>
      </c>
      <c r="L113" s="207" t="s">
        <v>2726</v>
      </c>
      <c r="M113" s="207" t="s">
        <v>2738</v>
      </c>
      <c r="N113" s="207" t="s">
        <v>2726</v>
      </c>
      <c r="O113" s="207" t="s">
        <v>2726</v>
      </c>
      <c r="P113" s="207" t="s">
        <v>2732</v>
      </c>
      <c r="Q113" s="207" t="s">
        <v>2733</v>
      </c>
      <c r="R113" s="207">
        <v>120</v>
      </c>
      <c r="S113" s="207" t="s">
        <v>2726</v>
      </c>
      <c r="T113" s="207" t="s">
        <v>1262</v>
      </c>
      <c r="U113" s="207" t="s">
        <v>2740</v>
      </c>
      <c r="V113" s="207" t="s">
        <v>2726</v>
      </c>
      <c r="W113" s="207" t="s">
        <v>2741</v>
      </c>
      <c r="X113" s="207">
        <v>20000</v>
      </c>
      <c r="Y113" s="207" t="s">
        <v>129</v>
      </c>
      <c r="Z113" s="207" t="s">
        <v>2726</v>
      </c>
      <c r="AA113" s="207" t="s">
        <v>2726</v>
      </c>
      <c r="AB113" s="207" t="s">
        <v>2726</v>
      </c>
      <c r="AC113" s="207" t="s">
        <v>2726</v>
      </c>
      <c r="AD113" s="207" t="s">
        <v>2726</v>
      </c>
      <c r="AE113" s="207" t="s">
        <v>2726</v>
      </c>
      <c r="AF113" s="207" t="s">
        <v>2726</v>
      </c>
      <c r="AG113" s="207" t="s">
        <v>2726</v>
      </c>
      <c r="AH113" s="207" t="s">
        <v>2726</v>
      </c>
      <c r="AI113" s="207" t="s">
        <v>1252</v>
      </c>
      <c r="AJ113" s="207" t="s">
        <v>2726</v>
      </c>
      <c r="AK113" s="207" t="s">
        <v>2767</v>
      </c>
    </row>
    <row r="114" spans="1:37" x14ac:dyDescent="0.25">
      <c r="A114" s="207" t="s">
        <v>2868</v>
      </c>
      <c r="B114" s="207">
        <v>0</v>
      </c>
      <c r="C114" s="207" t="s">
        <v>2726</v>
      </c>
      <c r="D114" s="207" t="s">
        <v>2726</v>
      </c>
      <c r="E114" s="207" t="s">
        <v>2866</v>
      </c>
      <c r="F114" s="207" t="s">
        <v>2728</v>
      </c>
      <c r="G114" s="207" t="s">
        <v>2726</v>
      </c>
      <c r="H114" s="207">
        <v>60</v>
      </c>
      <c r="I114" s="207" t="s">
        <v>2737</v>
      </c>
      <c r="J114" s="207" t="s">
        <v>2730</v>
      </c>
      <c r="K114" s="207" t="s">
        <v>2726</v>
      </c>
      <c r="L114" s="207" t="s">
        <v>2726</v>
      </c>
      <c r="M114" s="207" t="s">
        <v>2851</v>
      </c>
      <c r="N114" s="207" t="s">
        <v>2726</v>
      </c>
      <c r="O114" s="207" t="s">
        <v>2726</v>
      </c>
      <c r="P114" s="207" t="s">
        <v>2739</v>
      </c>
      <c r="Q114" s="207" t="s">
        <v>2733</v>
      </c>
      <c r="R114" s="207">
        <v>121</v>
      </c>
      <c r="S114" s="207" t="s">
        <v>2726</v>
      </c>
      <c r="T114" s="207" t="s">
        <v>1239</v>
      </c>
      <c r="U114" s="207" t="s">
        <v>2852</v>
      </c>
      <c r="V114" s="207" t="s">
        <v>2726</v>
      </c>
      <c r="W114" s="207" t="s">
        <v>2741</v>
      </c>
      <c r="X114" s="207">
        <v>840000</v>
      </c>
      <c r="Y114" s="207" t="s">
        <v>113</v>
      </c>
      <c r="Z114" s="207" t="s">
        <v>2726</v>
      </c>
      <c r="AA114" s="207" t="s">
        <v>2726</v>
      </c>
      <c r="AB114" s="207" t="s">
        <v>2726</v>
      </c>
      <c r="AC114" s="207" t="s">
        <v>2726</v>
      </c>
      <c r="AD114" s="207" t="s">
        <v>2726</v>
      </c>
      <c r="AE114" s="207" t="s">
        <v>2726</v>
      </c>
      <c r="AF114" s="207" t="s">
        <v>2726</v>
      </c>
      <c r="AG114" s="207" t="s">
        <v>2726</v>
      </c>
      <c r="AH114" s="207" t="s">
        <v>2726</v>
      </c>
      <c r="AI114" s="207" t="s">
        <v>1265</v>
      </c>
      <c r="AJ114" s="207" t="s">
        <v>2726</v>
      </c>
      <c r="AK114" s="207" t="s">
        <v>2866</v>
      </c>
    </row>
    <row r="115" spans="1:37" x14ac:dyDescent="0.25">
      <c r="A115" s="207" t="s">
        <v>2869</v>
      </c>
      <c r="B115" s="207">
        <v>0</v>
      </c>
      <c r="C115" s="207" t="s">
        <v>2726</v>
      </c>
      <c r="D115" s="207" t="s">
        <v>2726</v>
      </c>
      <c r="E115" s="207" t="s">
        <v>2767</v>
      </c>
      <c r="F115" s="207" t="s">
        <v>2728</v>
      </c>
      <c r="G115" s="207" t="s">
        <v>2726</v>
      </c>
      <c r="H115" s="207">
        <v>61</v>
      </c>
      <c r="I115" s="207" t="s">
        <v>2744</v>
      </c>
      <c r="J115" s="207" t="s">
        <v>2730</v>
      </c>
      <c r="K115" s="207" t="s">
        <v>2726</v>
      </c>
      <c r="L115" s="207" t="s">
        <v>2726</v>
      </c>
      <c r="M115" s="207" t="s">
        <v>2738</v>
      </c>
      <c r="N115" s="207" t="s">
        <v>2726</v>
      </c>
      <c r="O115" s="207" t="s">
        <v>2726</v>
      </c>
      <c r="P115" s="207" t="s">
        <v>2732</v>
      </c>
      <c r="Q115" s="207" t="s">
        <v>2733</v>
      </c>
      <c r="R115" s="207">
        <v>120</v>
      </c>
      <c r="S115" s="207" t="s">
        <v>2726</v>
      </c>
      <c r="T115" s="207" t="s">
        <v>1262</v>
      </c>
      <c r="U115" s="207" t="s">
        <v>2740</v>
      </c>
      <c r="V115" s="207" t="s">
        <v>2726</v>
      </c>
      <c r="W115" s="207" t="s">
        <v>2741</v>
      </c>
      <c r="X115" s="207">
        <v>700000</v>
      </c>
      <c r="Y115" s="207" t="s">
        <v>185</v>
      </c>
      <c r="Z115" s="207" t="s">
        <v>2726</v>
      </c>
      <c r="AA115" s="207" t="s">
        <v>2726</v>
      </c>
      <c r="AB115" s="207" t="s">
        <v>2726</v>
      </c>
      <c r="AC115" s="207" t="s">
        <v>2726</v>
      </c>
      <c r="AD115" s="207" t="s">
        <v>2726</v>
      </c>
      <c r="AE115" s="207" t="s">
        <v>2726</v>
      </c>
      <c r="AF115" s="207" t="s">
        <v>2726</v>
      </c>
      <c r="AG115" s="207" t="s">
        <v>2726</v>
      </c>
      <c r="AH115" s="207" t="s">
        <v>2726</v>
      </c>
      <c r="AI115" s="207" t="s">
        <v>1269</v>
      </c>
      <c r="AJ115" s="207" t="s">
        <v>2726</v>
      </c>
      <c r="AK115" s="207" t="s">
        <v>2767</v>
      </c>
    </row>
    <row r="116" spans="1:37" x14ac:dyDescent="0.25">
      <c r="A116" s="207" t="s">
        <v>2870</v>
      </c>
      <c r="B116" s="207">
        <v>0</v>
      </c>
      <c r="C116" s="207" t="s">
        <v>2726</v>
      </c>
      <c r="D116" s="207" t="s">
        <v>2726</v>
      </c>
      <c r="E116" s="207" t="s">
        <v>2871</v>
      </c>
      <c r="F116" s="207" t="s">
        <v>2728</v>
      </c>
      <c r="G116" s="207" t="s">
        <v>2726</v>
      </c>
      <c r="H116" s="207">
        <v>60</v>
      </c>
      <c r="I116" s="207" t="s">
        <v>2737</v>
      </c>
      <c r="J116" s="207" t="s">
        <v>2872</v>
      </c>
      <c r="K116" s="207" t="s">
        <v>2726</v>
      </c>
      <c r="L116" s="207" t="s">
        <v>2726</v>
      </c>
      <c r="M116" s="207" t="s">
        <v>2770</v>
      </c>
      <c r="N116" s="207" t="s">
        <v>2726</v>
      </c>
      <c r="O116" s="207" t="s">
        <v>2726</v>
      </c>
      <c r="P116" s="207" t="s">
        <v>2739</v>
      </c>
      <c r="Q116" s="207" t="s">
        <v>2733</v>
      </c>
      <c r="R116" s="207">
        <v>121</v>
      </c>
      <c r="S116" s="207" t="s">
        <v>2726</v>
      </c>
      <c r="T116" s="207" t="s">
        <v>1239</v>
      </c>
      <c r="U116" s="207" t="s">
        <v>2771</v>
      </c>
      <c r="V116" s="207" t="s">
        <v>2726</v>
      </c>
      <c r="W116" s="207" t="s">
        <v>2741</v>
      </c>
      <c r="X116" s="207">
        <v>30420</v>
      </c>
      <c r="Y116" s="207" t="s">
        <v>76</v>
      </c>
      <c r="Z116" s="207" t="s">
        <v>2726</v>
      </c>
      <c r="AA116" s="207" t="s">
        <v>2726</v>
      </c>
      <c r="AB116" s="207" t="s">
        <v>2726</v>
      </c>
      <c r="AC116" s="207" t="s">
        <v>2726</v>
      </c>
      <c r="AD116" s="207" t="s">
        <v>2726</v>
      </c>
      <c r="AE116" s="207" t="s">
        <v>2726</v>
      </c>
      <c r="AF116" s="207" t="s">
        <v>2726</v>
      </c>
      <c r="AG116" s="207" t="s">
        <v>2726</v>
      </c>
      <c r="AH116" s="207" t="s">
        <v>2726</v>
      </c>
      <c r="AI116" s="207" t="s">
        <v>1258</v>
      </c>
      <c r="AJ116" s="207" t="s">
        <v>2726</v>
      </c>
      <c r="AK116" s="207" t="s">
        <v>2871</v>
      </c>
    </row>
    <row r="117" spans="1:37" x14ac:dyDescent="0.25">
      <c r="A117" s="207" t="s">
        <v>2873</v>
      </c>
      <c r="B117" s="207">
        <v>0</v>
      </c>
      <c r="C117" s="207" t="s">
        <v>2726</v>
      </c>
      <c r="D117" s="207" t="s">
        <v>2726</v>
      </c>
      <c r="E117" s="207" t="s">
        <v>2767</v>
      </c>
      <c r="F117" s="207" t="s">
        <v>2728</v>
      </c>
      <c r="G117" s="207" t="s">
        <v>2726</v>
      </c>
      <c r="H117" s="207">
        <v>61</v>
      </c>
      <c r="I117" s="207" t="s">
        <v>2744</v>
      </c>
      <c r="J117" s="207" t="s">
        <v>2730</v>
      </c>
      <c r="K117" s="207" t="s">
        <v>2726</v>
      </c>
      <c r="L117" s="207" t="s">
        <v>2726</v>
      </c>
      <c r="M117" s="207" t="s">
        <v>2738</v>
      </c>
      <c r="N117" s="207" t="s">
        <v>2726</v>
      </c>
      <c r="O117" s="207" t="s">
        <v>2726</v>
      </c>
      <c r="P117" s="207" t="s">
        <v>2732</v>
      </c>
      <c r="Q117" s="207" t="s">
        <v>2733</v>
      </c>
      <c r="R117" s="207">
        <v>120</v>
      </c>
      <c r="S117" s="207" t="s">
        <v>2726</v>
      </c>
      <c r="T117" s="207" t="s">
        <v>1262</v>
      </c>
      <c r="U117" s="207" t="s">
        <v>2740</v>
      </c>
      <c r="V117" s="207" t="s">
        <v>2726</v>
      </c>
      <c r="W117" s="207" t="s">
        <v>2741</v>
      </c>
      <c r="X117" s="207">
        <v>189000</v>
      </c>
      <c r="Y117" s="207" t="s">
        <v>188</v>
      </c>
      <c r="Z117" s="207" t="s">
        <v>2726</v>
      </c>
      <c r="AA117" s="207" t="s">
        <v>2726</v>
      </c>
      <c r="AB117" s="207" t="s">
        <v>2726</v>
      </c>
      <c r="AC117" s="207" t="s">
        <v>2726</v>
      </c>
      <c r="AD117" s="207" t="s">
        <v>2726</v>
      </c>
      <c r="AE117" s="207" t="s">
        <v>2726</v>
      </c>
      <c r="AF117" s="207" t="s">
        <v>2726</v>
      </c>
      <c r="AG117" s="207" t="s">
        <v>2726</v>
      </c>
      <c r="AH117" s="207" t="s">
        <v>2726</v>
      </c>
      <c r="AI117" s="207" t="s">
        <v>1270</v>
      </c>
      <c r="AJ117" s="207" t="s">
        <v>2726</v>
      </c>
      <c r="AK117" s="207" t="s">
        <v>2767</v>
      </c>
    </row>
    <row r="118" spans="1:37" x14ac:dyDescent="0.25">
      <c r="A118" s="207" t="s">
        <v>2874</v>
      </c>
      <c r="B118" s="207">
        <v>0</v>
      </c>
      <c r="C118" s="207" t="s">
        <v>2726</v>
      </c>
      <c r="D118" s="207" t="s">
        <v>2726</v>
      </c>
      <c r="E118" s="207" t="s">
        <v>2871</v>
      </c>
      <c r="F118" s="207" t="s">
        <v>2728</v>
      </c>
      <c r="G118" s="207" t="s">
        <v>2726</v>
      </c>
      <c r="H118" s="207">
        <v>60</v>
      </c>
      <c r="I118" s="207" t="s">
        <v>2737</v>
      </c>
      <c r="J118" s="207" t="s">
        <v>2872</v>
      </c>
      <c r="K118" s="207" t="s">
        <v>2726</v>
      </c>
      <c r="L118" s="207" t="s">
        <v>2726</v>
      </c>
      <c r="M118" s="207" t="s">
        <v>2770</v>
      </c>
      <c r="N118" s="207" t="s">
        <v>2726</v>
      </c>
      <c r="O118" s="207" t="s">
        <v>2726</v>
      </c>
      <c r="P118" s="207" t="s">
        <v>2739</v>
      </c>
      <c r="Q118" s="207" t="s">
        <v>2733</v>
      </c>
      <c r="R118" s="207">
        <v>121</v>
      </c>
      <c r="S118" s="207" t="s">
        <v>2726</v>
      </c>
      <c r="T118" s="207" t="s">
        <v>1239</v>
      </c>
      <c r="U118" s="207" t="s">
        <v>2771</v>
      </c>
      <c r="V118" s="207" t="s">
        <v>2726</v>
      </c>
      <c r="W118" s="207" t="s">
        <v>629</v>
      </c>
      <c r="X118" s="207">
        <v>-30420</v>
      </c>
      <c r="Y118" s="207" t="s">
        <v>59</v>
      </c>
      <c r="Z118" s="207" t="s">
        <v>2726</v>
      </c>
      <c r="AA118" s="207" t="s">
        <v>2726</v>
      </c>
      <c r="AB118" s="207" t="s">
        <v>2726</v>
      </c>
      <c r="AC118" s="207" t="s">
        <v>2726</v>
      </c>
      <c r="AD118" s="207" t="s">
        <v>2726</v>
      </c>
      <c r="AE118" s="207" t="s">
        <v>2726</v>
      </c>
      <c r="AF118" s="207" t="s">
        <v>2726</v>
      </c>
      <c r="AG118" s="207" t="s">
        <v>2726</v>
      </c>
      <c r="AH118" s="207" t="s">
        <v>2726</v>
      </c>
      <c r="AI118" s="207" t="s">
        <v>1242</v>
      </c>
      <c r="AJ118" s="207" t="s">
        <v>2726</v>
      </c>
      <c r="AK118" s="207" t="s">
        <v>2871</v>
      </c>
    </row>
    <row r="119" spans="1:37" x14ac:dyDescent="0.25">
      <c r="A119" s="207" t="s">
        <v>2875</v>
      </c>
      <c r="B119" s="207">
        <v>0</v>
      </c>
      <c r="C119" s="207" t="s">
        <v>2726</v>
      </c>
      <c r="D119" s="207" t="s">
        <v>2726</v>
      </c>
      <c r="E119" s="207" t="s">
        <v>2767</v>
      </c>
      <c r="F119" s="207" t="s">
        <v>2728</v>
      </c>
      <c r="G119" s="207" t="s">
        <v>2726</v>
      </c>
      <c r="H119" s="207">
        <v>61</v>
      </c>
      <c r="I119" s="207" t="s">
        <v>2729</v>
      </c>
      <c r="J119" s="207" t="s">
        <v>2730</v>
      </c>
      <c r="K119" s="207" t="s">
        <v>2726</v>
      </c>
      <c r="L119" s="207" t="s">
        <v>2726</v>
      </c>
      <c r="M119" s="207" t="s">
        <v>2738</v>
      </c>
      <c r="N119" s="207" t="s">
        <v>2726</v>
      </c>
      <c r="O119" s="207" t="s">
        <v>2726</v>
      </c>
      <c r="P119" s="207" t="s">
        <v>2732</v>
      </c>
      <c r="Q119" s="207" t="s">
        <v>2733</v>
      </c>
      <c r="R119" s="207">
        <v>220</v>
      </c>
      <c r="S119" s="207" t="s">
        <v>2726</v>
      </c>
      <c r="T119" s="207" t="s">
        <v>1262</v>
      </c>
      <c r="U119" s="207" t="s">
        <v>2876</v>
      </c>
      <c r="V119" s="207" t="s">
        <v>2726</v>
      </c>
      <c r="W119" s="207" t="s">
        <v>629</v>
      </c>
      <c r="X119" s="207">
        <v>-34992000</v>
      </c>
      <c r="Y119" s="207" t="s">
        <v>265</v>
      </c>
      <c r="Z119" s="207" t="s">
        <v>2726</v>
      </c>
      <c r="AA119" s="207" t="s">
        <v>2726</v>
      </c>
      <c r="AB119" s="207" t="s">
        <v>2726</v>
      </c>
      <c r="AC119" s="207" t="s">
        <v>2726</v>
      </c>
      <c r="AD119" s="207" t="s">
        <v>2726</v>
      </c>
      <c r="AE119" s="207" t="s">
        <v>2726</v>
      </c>
      <c r="AF119" s="207" t="s">
        <v>2726</v>
      </c>
      <c r="AG119" s="207" t="s">
        <v>2726</v>
      </c>
      <c r="AH119" s="207" t="s">
        <v>2726</v>
      </c>
      <c r="AI119" s="207" t="s">
        <v>1261</v>
      </c>
      <c r="AJ119" s="207" t="s">
        <v>2726</v>
      </c>
      <c r="AK119" s="207" t="s">
        <v>2767</v>
      </c>
    </row>
    <row r="120" spans="1:37" x14ac:dyDescent="0.25">
      <c r="A120" s="207" t="s">
        <v>2877</v>
      </c>
      <c r="B120" s="207">
        <v>0</v>
      </c>
      <c r="C120" s="207" t="s">
        <v>2726</v>
      </c>
      <c r="D120" s="207" t="s">
        <v>2726</v>
      </c>
      <c r="E120" s="207" t="s">
        <v>2767</v>
      </c>
      <c r="F120" s="207" t="s">
        <v>2728</v>
      </c>
      <c r="G120" s="207" t="s">
        <v>2726</v>
      </c>
      <c r="H120" s="207">
        <v>61</v>
      </c>
      <c r="I120" s="207" t="s">
        <v>2729</v>
      </c>
      <c r="J120" s="207" t="s">
        <v>2730</v>
      </c>
      <c r="K120" s="207" t="s">
        <v>2726</v>
      </c>
      <c r="L120" s="207" t="s">
        <v>2726</v>
      </c>
      <c r="M120" s="207" t="s">
        <v>2738</v>
      </c>
      <c r="N120" s="207" t="s">
        <v>2726</v>
      </c>
      <c r="O120" s="207" t="s">
        <v>2726</v>
      </c>
      <c r="P120" s="207" t="s">
        <v>2732</v>
      </c>
      <c r="Q120" s="207" t="s">
        <v>2733</v>
      </c>
      <c r="R120" s="207">
        <v>220</v>
      </c>
      <c r="S120" s="207" t="s">
        <v>2726</v>
      </c>
      <c r="T120" s="207" t="s">
        <v>1262</v>
      </c>
      <c r="U120" s="207" t="s">
        <v>2876</v>
      </c>
      <c r="V120" s="207" t="s">
        <v>2726</v>
      </c>
      <c r="W120" s="207" t="s">
        <v>629</v>
      </c>
      <c r="X120" s="207">
        <v>-2449440</v>
      </c>
      <c r="Y120" s="207" t="s">
        <v>266</v>
      </c>
      <c r="Z120" s="207" t="s">
        <v>2726</v>
      </c>
      <c r="AA120" s="207" t="s">
        <v>2726</v>
      </c>
      <c r="AB120" s="207" t="s">
        <v>2726</v>
      </c>
      <c r="AC120" s="207" t="s">
        <v>2726</v>
      </c>
      <c r="AD120" s="207" t="s">
        <v>2726</v>
      </c>
      <c r="AE120" s="207" t="s">
        <v>2726</v>
      </c>
      <c r="AF120" s="207" t="s">
        <v>2726</v>
      </c>
      <c r="AG120" s="207" t="s">
        <v>2726</v>
      </c>
      <c r="AH120" s="207" t="s">
        <v>2726</v>
      </c>
      <c r="AI120" s="207" t="s">
        <v>1273</v>
      </c>
      <c r="AJ120" s="207" t="s">
        <v>2726</v>
      </c>
      <c r="AK120" s="207" t="s">
        <v>2767</v>
      </c>
    </row>
    <row r="121" spans="1:37" x14ac:dyDescent="0.25">
      <c r="A121" s="207" t="s">
        <v>2878</v>
      </c>
      <c r="B121" s="207">
        <v>0</v>
      </c>
      <c r="C121" s="207" t="s">
        <v>2726</v>
      </c>
      <c r="D121" s="207" t="s">
        <v>2726</v>
      </c>
      <c r="E121" s="207" t="s">
        <v>2767</v>
      </c>
      <c r="F121" s="207" t="s">
        <v>2728</v>
      </c>
      <c r="G121" s="207" t="s">
        <v>2726</v>
      </c>
      <c r="H121" s="207">
        <v>61</v>
      </c>
      <c r="I121" s="207" t="s">
        <v>2729</v>
      </c>
      <c r="J121" s="207" t="s">
        <v>2730</v>
      </c>
      <c r="K121" s="207" t="s">
        <v>2726</v>
      </c>
      <c r="L121" s="207" t="s">
        <v>2726</v>
      </c>
      <c r="M121" s="207" t="s">
        <v>2738</v>
      </c>
      <c r="N121" s="207" t="s">
        <v>2726</v>
      </c>
      <c r="O121" s="207" t="s">
        <v>2726</v>
      </c>
      <c r="P121" s="207" t="s">
        <v>2732</v>
      </c>
      <c r="Q121" s="207" t="s">
        <v>2733</v>
      </c>
      <c r="R121" s="207">
        <v>220</v>
      </c>
      <c r="S121" s="207" t="s">
        <v>2726</v>
      </c>
      <c r="T121" s="207" t="s">
        <v>1262</v>
      </c>
      <c r="U121" s="207" t="s">
        <v>2876</v>
      </c>
      <c r="V121" s="207" t="s">
        <v>2726</v>
      </c>
      <c r="W121" s="207" t="s">
        <v>629</v>
      </c>
      <c r="X121" s="207">
        <v>-2732096</v>
      </c>
      <c r="Y121" s="207" t="s">
        <v>296</v>
      </c>
      <c r="Z121" s="207" t="s">
        <v>2726</v>
      </c>
      <c r="AA121" s="207" t="s">
        <v>2726</v>
      </c>
      <c r="AB121" s="207" t="s">
        <v>2726</v>
      </c>
      <c r="AC121" s="207" t="s">
        <v>2726</v>
      </c>
      <c r="AD121" s="207" t="s">
        <v>2726</v>
      </c>
      <c r="AE121" s="207" t="s">
        <v>2726</v>
      </c>
      <c r="AF121" s="207" t="s">
        <v>2726</v>
      </c>
      <c r="AG121" s="207" t="s">
        <v>2726</v>
      </c>
      <c r="AH121" s="207" t="s">
        <v>2726</v>
      </c>
      <c r="AI121" s="207" t="s">
        <v>1274</v>
      </c>
      <c r="AJ121" s="207" t="s">
        <v>2726</v>
      </c>
      <c r="AK121" s="207" t="s">
        <v>2767</v>
      </c>
    </row>
    <row r="122" spans="1:37" x14ac:dyDescent="0.25">
      <c r="A122" s="207" t="s">
        <v>2879</v>
      </c>
      <c r="B122" s="207">
        <v>0</v>
      </c>
      <c r="C122" s="207" t="s">
        <v>2726</v>
      </c>
      <c r="D122" s="207" t="s">
        <v>2726</v>
      </c>
      <c r="E122" s="207" t="s">
        <v>2767</v>
      </c>
      <c r="F122" s="207" t="s">
        <v>2728</v>
      </c>
      <c r="G122" s="207" t="s">
        <v>2726</v>
      </c>
      <c r="H122" s="207">
        <v>61</v>
      </c>
      <c r="I122" s="207" t="s">
        <v>2729</v>
      </c>
      <c r="J122" s="207" t="s">
        <v>2730</v>
      </c>
      <c r="K122" s="207" t="s">
        <v>2726</v>
      </c>
      <c r="L122" s="207" t="s">
        <v>2726</v>
      </c>
      <c r="M122" s="207" t="s">
        <v>2738</v>
      </c>
      <c r="N122" s="207" t="s">
        <v>2726</v>
      </c>
      <c r="O122" s="207" t="s">
        <v>2726</v>
      </c>
      <c r="P122" s="207" t="s">
        <v>2732</v>
      </c>
      <c r="Q122" s="207" t="s">
        <v>2733</v>
      </c>
      <c r="R122" s="207">
        <v>220</v>
      </c>
      <c r="S122" s="207" t="s">
        <v>2726</v>
      </c>
      <c r="T122" s="207" t="s">
        <v>1262</v>
      </c>
      <c r="U122" s="207" t="s">
        <v>2876</v>
      </c>
      <c r="V122" s="207" t="s">
        <v>2726</v>
      </c>
      <c r="W122" s="207" t="s">
        <v>629</v>
      </c>
      <c r="X122" s="207">
        <v>-88685185</v>
      </c>
      <c r="Y122" s="207" t="s">
        <v>300</v>
      </c>
      <c r="Z122" s="207" t="s">
        <v>2726</v>
      </c>
      <c r="AA122" s="207" t="s">
        <v>2726</v>
      </c>
      <c r="AB122" s="207" t="s">
        <v>2726</v>
      </c>
      <c r="AC122" s="207" t="s">
        <v>2726</v>
      </c>
      <c r="AD122" s="207" t="s">
        <v>2726</v>
      </c>
      <c r="AE122" s="207" t="s">
        <v>2726</v>
      </c>
      <c r="AF122" s="207" t="s">
        <v>2726</v>
      </c>
      <c r="AG122" s="207" t="s">
        <v>2726</v>
      </c>
      <c r="AH122" s="207" t="s">
        <v>2726</v>
      </c>
      <c r="AI122" s="207" t="s">
        <v>1275</v>
      </c>
      <c r="AJ122" s="207" t="s">
        <v>2726</v>
      </c>
      <c r="AK122" s="207" t="s">
        <v>2767</v>
      </c>
    </row>
    <row r="123" spans="1:37" x14ac:dyDescent="0.25">
      <c r="A123" s="207" t="s">
        <v>2880</v>
      </c>
      <c r="B123" s="207">
        <v>0</v>
      </c>
      <c r="C123" s="207" t="s">
        <v>2726</v>
      </c>
      <c r="D123" s="207" t="s">
        <v>2726</v>
      </c>
      <c r="E123" s="207" t="s">
        <v>2881</v>
      </c>
      <c r="F123" s="207" t="s">
        <v>2728</v>
      </c>
      <c r="G123" s="207" t="s">
        <v>2726</v>
      </c>
      <c r="H123" s="207">
        <v>60</v>
      </c>
      <c r="I123" s="207" t="s">
        <v>2737</v>
      </c>
      <c r="J123" s="207" t="s">
        <v>2730</v>
      </c>
      <c r="K123" s="207" t="s">
        <v>2726</v>
      </c>
      <c r="L123" s="207" t="s">
        <v>2726</v>
      </c>
      <c r="M123" s="207" t="s">
        <v>2738</v>
      </c>
      <c r="N123" s="207" t="s">
        <v>2726</v>
      </c>
      <c r="O123" s="207" t="s">
        <v>2726</v>
      </c>
      <c r="P123" s="207" t="s">
        <v>2739</v>
      </c>
      <c r="Q123" s="207" t="s">
        <v>2733</v>
      </c>
      <c r="R123" s="207">
        <v>121</v>
      </c>
      <c r="S123" s="207" t="s">
        <v>2726</v>
      </c>
      <c r="T123" s="207" t="s">
        <v>1262</v>
      </c>
      <c r="U123" s="207" t="s">
        <v>2740</v>
      </c>
      <c r="V123" s="207" t="s">
        <v>2726</v>
      </c>
      <c r="W123" s="207" t="s">
        <v>2741</v>
      </c>
      <c r="X123" s="207">
        <v>129160</v>
      </c>
      <c r="Y123" s="207" t="s">
        <v>84</v>
      </c>
      <c r="Z123" s="207" t="s">
        <v>2726</v>
      </c>
      <c r="AA123" s="207" t="s">
        <v>2726</v>
      </c>
      <c r="AB123" s="207" t="s">
        <v>2726</v>
      </c>
      <c r="AC123" s="207" t="s">
        <v>2726</v>
      </c>
      <c r="AD123" s="207" t="s">
        <v>2726</v>
      </c>
      <c r="AE123" s="207" t="s">
        <v>2726</v>
      </c>
      <c r="AF123" s="207" t="s">
        <v>2726</v>
      </c>
      <c r="AG123" s="207" t="s">
        <v>2726</v>
      </c>
      <c r="AH123" s="207" t="s">
        <v>2726</v>
      </c>
      <c r="AI123" s="207" t="s">
        <v>1300</v>
      </c>
      <c r="AJ123" s="207" t="s">
        <v>2726</v>
      </c>
      <c r="AK123" s="207" t="s">
        <v>2881</v>
      </c>
    </row>
    <row r="124" spans="1:37" x14ac:dyDescent="0.25">
      <c r="A124" s="207" t="s">
        <v>2882</v>
      </c>
      <c r="B124" s="207">
        <v>0</v>
      </c>
      <c r="C124" s="207" t="s">
        <v>2726</v>
      </c>
      <c r="D124" s="207" t="s">
        <v>2726</v>
      </c>
      <c r="E124" s="207" t="s">
        <v>2881</v>
      </c>
      <c r="F124" s="207" t="s">
        <v>2728</v>
      </c>
      <c r="G124" s="207" t="s">
        <v>2726</v>
      </c>
      <c r="H124" s="207">
        <v>60</v>
      </c>
      <c r="I124" s="207" t="s">
        <v>2737</v>
      </c>
      <c r="J124" s="207" t="s">
        <v>2730</v>
      </c>
      <c r="K124" s="207" t="s">
        <v>2726</v>
      </c>
      <c r="L124" s="207" t="s">
        <v>2726</v>
      </c>
      <c r="M124" s="207" t="s">
        <v>2738</v>
      </c>
      <c r="N124" s="207" t="s">
        <v>2726</v>
      </c>
      <c r="O124" s="207" t="s">
        <v>2726</v>
      </c>
      <c r="P124" s="207" t="s">
        <v>2739</v>
      </c>
      <c r="Q124" s="207" t="s">
        <v>2733</v>
      </c>
      <c r="R124" s="207">
        <v>121</v>
      </c>
      <c r="S124" s="207" t="s">
        <v>2726</v>
      </c>
      <c r="T124" s="207" t="s">
        <v>1262</v>
      </c>
      <c r="U124" s="207" t="s">
        <v>2740</v>
      </c>
      <c r="V124" s="207" t="s">
        <v>2726</v>
      </c>
      <c r="W124" s="207" t="s">
        <v>629</v>
      </c>
      <c r="X124" s="207">
        <v>-129160</v>
      </c>
      <c r="Y124" s="207" t="s">
        <v>59</v>
      </c>
      <c r="Z124" s="207" t="s">
        <v>2726</v>
      </c>
      <c r="AA124" s="207" t="s">
        <v>2726</v>
      </c>
      <c r="AB124" s="207" t="s">
        <v>2726</v>
      </c>
      <c r="AC124" s="207" t="s">
        <v>2726</v>
      </c>
      <c r="AD124" s="207" t="s">
        <v>2726</v>
      </c>
      <c r="AE124" s="207" t="s">
        <v>2726</v>
      </c>
      <c r="AF124" s="207" t="s">
        <v>2726</v>
      </c>
      <c r="AG124" s="207" t="s">
        <v>2726</v>
      </c>
      <c r="AH124" s="207" t="s">
        <v>2726</v>
      </c>
      <c r="AI124" s="207" t="s">
        <v>1242</v>
      </c>
      <c r="AJ124" s="207" t="s">
        <v>2726</v>
      </c>
      <c r="AK124" s="207" t="s">
        <v>2881</v>
      </c>
    </row>
    <row r="125" spans="1:37" x14ac:dyDescent="0.25">
      <c r="A125" s="207" t="s">
        <v>2883</v>
      </c>
      <c r="B125" s="207">
        <v>0</v>
      </c>
      <c r="C125" s="207" t="s">
        <v>2726</v>
      </c>
      <c r="D125" s="207" t="s">
        <v>2726</v>
      </c>
      <c r="E125" s="207" t="s">
        <v>2884</v>
      </c>
      <c r="F125" s="207" t="s">
        <v>2728</v>
      </c>
      <c r="G125" s="207" t="s">
        <v>2726</v>
      </c>
      <c r="H125" s="207">
        <v>60</v>
      </c>
      <c r="I125" s="207" t="s">
        <v>2737</v>
      </c>
      <c r="J125" s="207" t="s">
        <v>2730</v>
      </c>
      <c r="K125" s="207" t="s">
        <v>2726</v>
      </c>
      <c r="L125" s="207" t="s">
        <v>2726</v>
      </c>
      <c r="M125" s="207" t="s">
        <v>2770</v>
      </c>
      <c r="N125" s="207" t="s">
        <v>2726</v>
      </c>
      <c r="O125" s="207" t="s">
        <v>2726</v>
      </c>
      <c r="P125" s="207" t="s">
        <v>2739</v>
      </c>
      <c r="Q125" s="207" t="s">
        <v>2733</v>
      </c>
      <c r="R125" s="207">
        <v>121</v>
      </c>
      <c r="S125" s="207" t="s">
        <v>2726</v>
      </c>
      <c r="T125" s="207" t="s">
        <v>1239</v>
      </c>
      <c r="U125" s="207" t="s">
        <v>2771</v>
      </c>
      <c r="V125" s="207" t="s">
        <v>2726</v>
      </c>
      <c r="W125" s="207" t="s">
        <v>2741</v>
      </c>
      <c r="X125" s="207">
        <v>1000000</v>
      </c>
      <c r="Y125" s="207" t="s">
        <v>102</v>
      </c>
      <c r="Z125" s="207" t="s">
        <v>2726</v>
      </c>
      <c r="AA125" s="207" t="s">
        <v>2726</v>
      </c>
      <c r="AB125" s="207" t="s">
        <v>2726</v>
      </c>
      <c r="AC125" s="207" t="s">
        <v>2726</v>
      </c>
      <c r="AD125" s="207" t="s">
        <v>2726</v>
      </c>
      <c r="AE125" s="207" t="s">
        <v>2726</v>
      </c>
      <c r="AF125" s="207" t="s">
        <v>2726</v>
      </c>
      <c r="AG125" s="207" t="s">
        <v>2726</v>
      </c>
      <c r="AH125" s="207" t="s">
        <v>2726</v>
      </c>
      <c r="AI125" s="207" t="s">
        <v>1248</v>
      </c>
      <c r="AJ125" s="207" t="s">
        <v>2726</v>
      </c>
      <c r="AK125" s="207" t="s">
        <v>2884</v>
      </c>
    </row>
    <row r="126" spans="1:37" x14ac:dyDescent="0.25">
      <c r="A126" s="207" t="s">
        <v>2885</v>
      </c>
      <c r="B126" s="207">
        <v>0</v>
      </c>
      <c r="C126" s="207" t="s">
        <v>2726</v>
      </c>
      <c r="D126" s="207" t="s">
        <v>2726</v>
      </c>
      <c r="E126" s="207" t="s">
        <v>2884</v>
      </c>
      <c r="F126" s="207" t="s">
        <v>2728</v>
      </c>
      <c r="G126" s="207" t="s">
        <v>2726</v>
      </c>
      <c r="H126" s="207">
        <v>60</v>
      </c>
      <c r="I126" s="207" t="s">
        <v>2737</v>
      </c>
      <c r="J126" s="207" t="s">
        <v>2730</v>
      </c>
      <c r="K126" s="207" t="s">
        <v>2726</v>
      </c>
      <c r="L126" s="207" t="s">
        <v>2726</v>
      </c>
      <c r="M126" s="207" t="s">
        <v>2770</v>
      </c>
      <c r="N126" s="207" t="s">
        <v>2726</v>
      </c>
      <c r="O126" s="207" t="s">
        <v>2726</v>
      </c>
      <c r="P126" s="207" t="s">
        <v>2739</v>
      </c>
      <c r="Q126" s="207" t="s">
        <v>2733</v>
      </c>
      <c r="R126" s="207">
        <v>121</v>
      </c>
      <c r="S126" s="207" t="s">
        <v>2726</v>
      </c>
      <c r="T126" s="207" t="s">
        <v>1239</v>
      </c>
      <c r="U126" s="207" t="s">
        <v>2771</v>
      </c>
      <c r="V126" s="207" t="s">
        <v>2726</v>
      </c>
      <c r="W126" s="207" t="s">
        <v>2741</v>
      </c>
      <c r="X126" s="207">
        <v>900000</v>
      </c>
      <c r="Y126" s="207" t="s">
        <v>117</v>
      </c>
      <c r="Z126" s="207" t="s">
        <v>2726</v>
      </c>
      <c r="AA126" s="207" t="s">
        <v>2726</v>
      </c>
      <c r="AB126" s="207" t="s">
        <v>2726</v>
      </c>
      <c r="AC126" s="207" t="s">
        <v>2726</v>
      </c>
      <c r="AD126" s="207" t="s">
        <v>2726</v>
      </c>
      <c r="AE126" s="207" t="s">
        <v>2726</v>
      </c>
      <c r="AF126" s="207" t="s">
        <v>2726</v>
      </c>
      <c r="AG126" s="207" t="s">
        <v>2726</v>
      </c>
      <c r="AH126" s="207" t="s">
        <v>2726</v>
      </c>
      <c r="AI126" s="207" t="s">
        <v>1266</v>
      </c>
      <c r="AJ126" s="207" t="s">
        <v>2726</v>
      </c>
      <c r="AK126" s="207" t="s">
        <v>2884</v>
      </c>
    </row>
    <row r="127" spans="1:37" x14ac:dyDescent="0.25">
      <c r="A127" s="207" t="s">
        <v>2886</v>
      </c>
      <c r="B127" s="207">
        <v>0</v>
      </c>
      <c r="C127" s="207" t="s">
        <v>2726</v>
      </c>
      <c r="D127" s="207" t="s">
        <v>2726</v>
      </c>
      <c r="E127" s="207" t="s">
        <v>2884</v>
      </c>
      <c r="F127" s="207" t="s">
        <v>2728</v>
      </c>
      <c r="G127" s="207" t="s">
        <v>2726</v>
      </c>
      <c r="H127" s="207">
        <v>60</v>
      </c>
      <c r="I127" s="207" t="s">
        <v>2737</v>
      </c>
      <c r="J127" s="207" t="s">
        <v>2730</v>
      </c>
      <c r="K127" s="207" t="s">
        <v>2726</v>
      </c>
      <c r="L127" s="207" t="s">
        <v>2726</v>
      </c>
      <c r="M127" s="207" t="s">
        <v>2770</v>
      </c>
      <c r="N127" s="207" t="s">
        <v>2726</v>
      </c>
      <c r="O127" s="207" t="s">
        <v>2726</v>
      </c>
      <c r="P127" s="207" t="s">
        <v>2739</v>
      </c>
      <c r="Q127" s="207" t="s">
        <v>2733</v>
      </c>
      <c r="R127" s="207">
        <v>121</v>
      </c>
      <c r="S127" s="207" t="s">
        <v>2726</v>
      </c>
      <c r="T127" s="207" t="s">
        <v>1239</v>
      </c>
      <c r="U127" s="207" t="s">
        <v>2771</v>
      </c>
      <c r="V127" s="207" t="s">
        <v>2726</v>
      </c>
      <c r="W127" s="207" t="s">
        <v>629</v>
      </c>
      <c r="X127" s="207">
        <v>-1900000</v>
      </c>
      <c r="Y127" s="207" t="s">
        <v>115</v>
      </c>
      <c r="Z127" s="207" t="s">
        <v>2726</v>
      </c>
      <c r="AA127" s="207" t="s">
        <v>2726</v>
      </c>
      <c r="AB127" s="207" t="s">
        <v>2726</v>
      </c>
      <c r="AC127" s="207" t="s">
        <v>2726</v>
      </c>
      <c r="AD127" s="207" t="s">
        <v>2726</v>
      </c>
      <c r="AE127" s="207" t="s">
        <v>2726</v>
      </c>
      <c r="AF127" s="207" t="s">
        <v>2726</v>
      </c>
      <c r="AG127" s="207" t="s">
        <v>2726</v>
      </c>
      <c r="AH127" s="207" t="s">
        <v>2726</v>
      </c>
      <c r="AI127" s="207" t="s">
        <v>1241</v>
      </c>
      <c r="AJ127" s="207" t="s">
        <v>2726</v>
      </c>
      <c r="AK127" s="207" t="s">
        <v>2884</v>
      </c>
    </row>
    <row r="128" spans="1:37" x14ac:dyDescent="0.25">
      <c r="A128" s="207" t="s">
        <v>2887</v>
      </c>
      <c r="B128" s="207">
        <v>0</v>
      </c>
      <c r="C128" s="207" t="s">
        <v>2726</v>
      </c>
      <c r="D128" s="207" t="s">
        <v>2726</v>
      </c>
      <c r="E128" s="207" t="s">
        <v>2888</v>
      </c>
      <c r="F128" s="207" t="s">
        <v>2728</v>
      </c>
      <c r="G128" s="207" t="s">
        <v>2726</v>
      </c>
      <c r="H128" s="207">
        <v>60</v>
      </c>
      <c r="I128" s="207" t="s">
        <v>2737</v>
      </c>
      <c r="J128" s="207" t="s">
        <v>2730</v>
      </c>
      <c r="K128" s="207" t="s">
        <v>2726</v>
      </c>
      <c r="L128" s="207" t="s">
        <v>2726</v>
      </c>
      <c r="M128" s="207" t="s">
        <v>2770</v>
      </c>
      <c r="N128" s="207" t="s">
        <v>2726</v>
      </c>
      <c r="O128" s="207" t="s">
        <v>2726</v>
      </c>
      <c r="P128" s="207" t="s">
        <v>2739</v>
      </c>
      <c r="Q128" s="207" t="s">
        <v>2733</v>
      </c>
      <c r="R128" s="207">
        <v>121</v>
      </c>
      <c r="S128" s="207" t="s">
        <v>2726</v>
      </c>
      <c r="T128" s="207" t="s">
        <v>1239</v>
      </c>
      <c r="U128" s="207" t="s">
        <v>2771</v>
      </c>
      <c r="V128" s="207" t="s">
        <v>2726</v>
      </c>
      <c r="W128" s="207" t="s">
        <v>2741</v>
      </c>
      <c r="X128" s="207">
        <v>83598</v>
      </c>
      <c r="Y128" s="207" t="s">
        <v>90</v>
      </c>
      <c r="Z128" s="207" t="s">
        <v>2726</v>
      </c>
      <c r="AA128" s="207" t="s">
        <v>2726</v>
      </c>
      <c r="AB128" s="207" t="s">
        <v>2726</v>
      </c>
      <c r="AC128" s="207" t="s">
        <v>2726</v>
      </c>
      <c r="AD128" s="207" t="s">
        <v>2726</v>
      </c>
      <c r="AE128" s="207" t="s">
        <v>2726</v>
      </c>
      <c r="AF128" s="207" t="s">
        <v>2726</v>
      </c>
      <c r="AG128" s="207" t="s">
        <v>2726</v>
      </c>
      <c r="AH128" s="207" t="s">
        <v>2726</v>
      </c>
      <c r="AI128" s="207" t="s">
        <v>1281</v>
      </c>
      <c r="AJ128" s="207" t="s">
        <v>2726</v>
      </c>
      <c r="AK128" s="207" t="s">
        <v>2888</v>
      </c>
    </row>
    <row r="129" spans="1:37" x14ac:dyDescent="0.25">
      <c r="A129" s="207" t="s">
        <v>2889</v>
      </c>
      <c r="B129" s="207">
        <v>0</v>
      </c>
      <c r="C129" s="207" t="s">
        <v>2726</v>
      </c>
      <c r="D129" s="207" t="s">
        <v>2726</v>
      </c>
      <c r="E129" s="207" t="s">
        <v>2890</v>
      </c>
      <c r="F129" s="207" t="s">
        <v>2728</v>
      </c>
      <c r="G129" s="207" t="s">
        <v>2726</v>
      </c>
      <c r="H129" s="207">
        <v>60</v>
      </c>
      <c r="I129" s="207" t="s">
        <v>2737</v>
      </c>
      <c r="J129" s="207" t="s">
        <v>2785</v>
      </c>
      <c r="K129" s="207" t="s">
        <v>2726</v>
      </c>
      <c r="L129" s="207" t="s">
        <v>2726</v>
      </c>
      <c r="M129" s="207" t="s">
        <v>2738</v>
      </c>
      <c r="N129" s="207" t="s">
        <v>2726</v>
      </c>
      <c r="O129" s="207" t="s">
        <v>2726</v>
      </c>
      <c r="P129" s="207" t="s">
        <v>2739</v>
      </c>
      <c r="Q129" s="207" t="s">
        <v>2733</v>
      </c>
      <c r="R129" s="207">
        <v>121</v>
      </c>
      <c r="S129" s="207" t="s">
        <v>2726</v>
      </c>
      <c r="T129" s="207" t="s">
        <v>1262</v>
      </c>
      <c r="U129" s="207" t="s">
        <v>2740</v>
      </c>
      <c r="V129" s="207" t="s">
        <v>2726</v>
      </c>
      <c r="W129" s="207" t="s">
        <v>2741</v>
      </c>
      <c r="X129" s="207">
        <v>936</v>
      </c>
      <c r="Y129" s="207" t="s">
        <v>84</v>
      </c>
      <c r="Z129" s="207" t="s">
        <v>2726</v>
      </c>
      <c r="AA129" s="207" t="s">
        <v>2726</v>
      </c>
      <c r="AB129" s="207" t="s">
        <v>2726</v>
      </c>
      <c r="AC129" s="207" t="s">
        <v>2726</v>
      </c>
      <c r="AD129" s="207" t="s">
        <v>2726</v>
      </c>
      <c r="AE129" s="207" t="s">
        <v>2726</v>
      </c>
      <c r="AF129" s="207" t="s">
        <v>2726</v>
      </c>
      <c r="AG129" s="207" t="s">
        <v>2726</v>
      </c>
      <c r="AH129" s="207" t="s">
        <v>2726</v>
      </c>
      <c r="AI129" s="207" t="s">
        <v>1300</v>
      </c>
      <c r="AJ129" s="207" t="s">
        <v>2726</v>
      </c>
      <c r="AK129" s="207" t="s">
        <v>2890</v>
      </c>
    </row>
    <row r="130" spans="1:37" x14ac:dyDescent="0.25">
      <c r="A130" s="207" t="s">
        <v>2891</v>
      </c>
      <c r="B130" s="207">
        <v>0</v>
      </c>
      <c r="C130" s="207" t="s">
        <v>2726</v>
      </c>
      <c r="D130" s="207" t="s">
        <v>2726</v>
      </c>
      <c r="E130" s="207" t="s">
        <v>2890</v>
      </c>
      <c r="F130" s="207" t="s">
        <v>2728</v>
      </c>
      <c r="G130" s="207" t="s">
        <v>2726</v>
      </c>
      <c r="H130" s="207">
        <v>60</v>
      </c>
      <c r="I130" s="207" t="s">
        <v>2737</v>
      </c>
      <c r="J130" s="207" t="s">
        <v>2785</v>
      </c>
      <c r="K130" s="207" t="s">
        <v>2726</v>
      </c>
      <c r="L130" s="207" t="s">
        <v>2726</v>
      </c>
      <c r="M130" s="207" t="s">
        <v>2738</v>
      </c>
      <c r="N130" s="207" t="s">
        <v>2726</v>
      </c>
      <c r="O130" s="207" t="s">
        <v>2726</v>
      </c>
      <c r="P130" s="207" t="s">
        <v>2739</v>
      </c>
      <c r="Q130" s="207" t="s">
        <v>2733</v>
      </c>
      <c r="R130" s="207">
        <v>121</v>
      </c>
      <c r="S130" s="207" t="s">
        <v>2726</v>
      </c>
      <c r="T130" s="207" t="s">
        <v>1239</v>
      </c>
      <c r="U130" s="207" t="s">
        <v>2740</v>
      </c>
      <c r="V130" s="207" t="s">
        <v>2726</v>
      </c>
      <c r="W130" s="207" t="s">
        <v>629</v>
      </c>
      <c r="X130" s="207">
        <v>-936</v>
      </c>
      <c r="Y130" s="207" t="s">
        <v>59</v>
      </c>
      <c r="Z130" s="207" t="s">
        <v>2726</v>
      </c>
      <c r="AA130" s="207" t="s">
        <v>2726</v>
      </c>
      <c r="AB130" s="207" t="s">
        <v>2726</v>
      </c>
      <c r="AC130" s="207" t="s">
        <v>2726</v>
      </c>
      <c r="AD130" s="207" t="s">
        <v>2726</v>
      </c>
      <c r="AE130" s="207" t="s">
        <v>2726</v>
      </c>
      <c r="AF130" s="207" t="s">
        <v>2726</v>
      </c>
      <c r="AG130" s="207" t="s">
        <v>2726</v>
      </c>
      <c r="AH130" s="207" t="s">
        <v>2726</v>
      </c>
      <c r="AI130" s="207" t="s">
        <v>1242</v>
      </c>
      <c r="AJ130" s="207" t="s">
        <v>2726</v>
      </c>
      <c r="AK130" s="207" t="s">
        <v>2890</v>
      </c>
    </row>
    <row r="131" spans="1:37" x14ac:dyDescent="0.25">
      <c r="A131" s="207" t="s">
        <v>2892</v>
      </c>
      <c r="B131" s="207">
        <v>0</v>
      </c>
      <c r="C131" s="207" t="s">
        <v>2726</v>
      </c>
      <c r="D131" s="207" t="s">
        <v>2726</v>
      </c>
      <c r="E131" s="207" t="s">
        <v>2893</v>
      </c>
      <c r="F131" s="207" t="s">
        <v>2728</v>
      </c>
      <c r="G131" s="207" t="s">
        <v>2726</v>
      </c>
      <c r="H131" s="207">
        <v>60</v>
      </c>
      <c r="I131" s="207" t="s">
        <v>2737</v>
      </c>
      <c r="J131" s="207" t="s">
        <v>2894</v>
      </c>
      <c r="K131" s="207" t="s">
        <v>2726</v>
      </c>
      <c r="L131" s="207" t="s">
        <v>2726</v>
      </c>
      <c r="M131" s="207" t="s">
        <v>2770</v>
      </c>
      <c r="N131" s="207" t="s">
        <v>2726</v>
      </c>
      <c r="O131" s="207" t="s">
        <v>2726</v>
      </c>
      <c r="P131" s="207" t="s">
        <v>2739</v>
      </c>
      <c r="Q131" s="207" t="s">
        <v>2733</v>
      </c>
      <c r="R131" s="207">
        <v>121</v>
      </c>
      <c r="S131" s="207" t="s">
        <v>2726</v>
      </c>
      <c r="T131" s="207" t="s">
        <v>1239</v>
      </c>
      <c r="U131" s="207" t="s">
        <v>2771</v>
      </c>
      <c r="V131" s="207" t="s">
        <v>2726</v>
      </c>
      <c r="W131" s="207" t="s">
        <v>2741</v>
      </c>
      <c r="X131" s="207">
        <v>85000</v>
      </c>
      <c r="Y131" s="207" t="s">
        <v>64</v>
      </c>
      <c r="Z131" s="207" t="s">
        <v>2726</v>
      </c>
      <c r="AA131" s="207" t="s">
        <v>2726</v>
      </c>
      <c r="AB131" s="207" t="s">
        <v>2726</v>
      </c>
      <c r="AC131" s="207" t="s">
        <v>2726</v>
      </c>
      <c r="AD131" s="207" t="s">
        <v>2726</v>
      </c>
      <c r="AE131" s="207" t="s">
        <v>2726</v>
      </c>
      <c r="AF131" s="207" t="s">
        <v>2726</v>
      </c>
      <c r="AG131" s="207" t="s">
        <v>2726</v>
      </c>
      <c r="AH131" s="207" t="s">
        <v>2726</v>
      </c>
      <c r="AI131" s="207" t="s">
        <v>1304</v>
      </c>
      <c r="AJ131" s="207" t="s">
        <v>2726</v>
      </c>
      <c r="AK131" s="207" t="s">
        <v>2893</v>
      </c>
    </row>
    <row r="132" spans="1:37" x14ac:dyDescent="0.25">
      <c r="A132" s="207" t="s">
        <v>2895</v>
      </c>
      <c r="B132" s="207">
        <v>0</v>
      </c>
      <c r="C132" s="207" t="s">
        <v>2726</v>
      </c>
      <c r="D132" s="207" t="s">
        <v>2726</v>
      </c>
      <c r="E132" s="207" t="s">
        <v>2896</v>
      </c>
      <c r="F132" s="207" t="s">
        <v>2728</v>
      </c>
      <c r="G132" s="207" t="s">
        <v>2726</v>
      </c>
      <c r="H132" s="207">
        <v>60</v>
      </c>
      <c r="I132" s="207" t="s">
        <v>2737</v>
      </c>
      <c r="J132" s="207" t="s">
        <v>2897</v>
      </c>
      <c r="K132" s="207" t="s">
        <v>2726</v>
      </c>
      <c r="L132" s="207" t="s">
        <v>2726</v>
      </c>
      <c r="M132" s="207" t="s">
        <v>2898</v>
      </c>
      <c r="N132" s="207" t="s">
        <v>2726</v>
      </c>
      <c r="O132" s="207" t="s">
        <v>2726</v>
      </c>
      <c r="P132" s="207" t="s">
        <v>2739</v>
      </c>
      <c r="Q132" s="207" t="s">
        <v>2733</v>
      </c>
      <c r="R132" s="207">
        <v>121</v>
      </c>
      <c r="S132" s="207" t="s">
        <v>2726</v>
      </c>
      <c r="T132" s="207" t="s">
        <v>1239</v>
      </c>
      <c r="U132" s="207" t="s">
        <v>2899</v>
      </c>
      <c r="V132" s="207" t="s">
        <v>2726</v>
      </c>
      <c r="W132" s="207" t="s">
        <v>2741</v>
      </c>
      <c r="X132" s="207">
        <v>916</v>
      </c>
      <c r="Y132" s="207" t="s">
        <v>102</v>
      </c>
      <c r="Z132" s="207" t="s">
        <v>2726</v>
      </c>
      <c r="AA132" s="207" t="s">
        <v>2726</v>
      </c>
      <c r="AB132" s="207" t="s">
        <v>2726</v>
      </c>
      <c r="AC132" s="207" t="s">
        <v>2726</v>
      </c>
      <c r="AD132" s="207" t="s">
        <v>2726</v>
      </c>
      <c r="AE132" s="207" t="s">
        <v>2726</v>
      </c>
      <c r="AF132" s="207" t="s">
        <v>2726</v>
      </c>
      <c r="AG132" s="207" t="s">
        <v>2726</v>
      </c>
      <c r="AH132" s="207" t="s">
        <v>2726</v>
      </c>
      <c r="AI132" s="207" t="s">
        <v>1248</v>
      </c>
      <c r="AJ132" s="207" t="s">
        <v>2726</v>
      </c>
      <c r="AK132" s="207" t="s">
        <v>2896</v>
      </c>
    </row>
    <row r="133" spans="1:37" x14ac:dyDescent="0.25">
      <c r="A133" s="207" t="s">
        <v>2900</v>
      </c>
      <c r="B133" s="207">
        <v>0</v>
      </c>
      <c r="C133" s="207" t="s">
        <v>2726</v>
      </c>
      <c r="D133" s="207" t="s">
        <v>2726</v>
      </c>
      <c r="E133" s="207" t="s">
        <v>2893</v>
      </c>
      <c r="F133" s="207" t="s">
        <v>2728</v>
      </c>
      <c r="G133" s="207" t="s">
        <v>2726</v>
      </c>
      <c r="H133" s="207">
        <v>60</v>
      </c>
      <c r="I133" s="207" t="s">
        <v>2737</v>
      </c>
      <c r="J133" s="207" t="s">
        <v>2894</v>
      </c>
      <c r="K133" s="207" t="s">
        <v>2726</v>
      </c>
      <c r="L133" s="207" t="s">
        <v>2726</v>
      </c>
      <c r="M133" s="207" t="s">
        <v>2770</v>
      </c>
      <c r="N133" s="207" t="s">
        <v>2726</v>
      </c>
      <c r="O133" s="207" t="s">
        <v>2726</v>
      </c>
      <c r="P133" s="207" t="s">
        <v>2739</v>
      </c>
      <c r="Q133" s="207" t="s">
        <v>2733</v>
      </c>
      <c r="R133" s="207">
        <v>121</v>
      </c>
      <c r="S133" s="207" t="s">
        <v>2726</v>
      </c>
      <c r="T133" s="207" t="s">
        <v>1239</v>
      </c>
      <c r="U133" s="207" t="s">
        <v>2771</v>
      </c>
      <c r="V133" s="207" t="s">
        <v>2726</v>
      </c>
      <c r="W133" s="207" t="s">
        <v>629</v>
      </c>
      <c r="X133" s="207">
        <v>-85000</v>
      </c>
      <c r="Y133" s="207" t="s">
        <v>59</v>
      </c>
      <c r="Z133" s="207" t="s">
        <v>2726</v>
      </c>
      <c r="AA133" s="207" t="s">
        <v>2726</v>
      </c>
      <c r="AB133" s="207" t="s">
        <v>2726</v>
      </c>
      <c r="AC133" s="207" t="s">
        <v>2726</v>
      </c>
      <c r="AD133" s="207" t="s">
        <v>2726</v>
      </c>
      <c r="AE133" s="207" t="s">
        <v>2726</v>
      </c>
      <c r="AF133" s="207" t="s">
        <v>2726</v>
      </c>
      <c r="AG133" s="207" t="s">
        <v>2726</v>
      </c>
      <c r="AH133" s="207" t="s">
        <v>2726</v>
      </c>
      <c r="AI133" s="207" t="s">
        <v>1242</v>
      </c>
      <c r="AJ133" s="207" t="s">
        <v>2726</v>
      </c>
      <c r="AK133" s="207" t="s">
        <v>2893</v>
      </c>
    </row>
    <row r="134" spans="1:37" x14ac:dyDescent="0.25">
      <c r="A134" s="207" t="s">
        <v>2901</v>
      </c>
      <c r="B134" s="207">
        <v>0</v>
      </c>
      <c r="C134" s="207" t="s">
        <v>2726</v>
      </c>
      <c r="D134" s="207" t="s">
        <v>2726</v>
      </c>
      <c r="E134" s="207" t="s">
        <v>2896</v>
      </c>
      <c r="F134" s="207" t="s">
        <v>2728</v>
      </c>
      <c r="G134" s="207" t="s">
        <v>2726</v>
      </c>
      <c r="H134" s="207">
        <v>60</v>
      </c>
      <c r="I134" s="207" t="s">
        <v>2737</v>
      </c>
      <c r="J134" s="207" t="s">
        <v>2897</v>
      </c>
      <c r="K134" s="207" t="s">
        <v>2726</v>
      </c>
      <c r="L134" s="207" t="s">
        <v>2726</v>
      </c>
      <c r="M134" s="207" t="s">
        <v>2898</v>
      </c>
      <c r="N134" s="207" t="s">
        <v>2726</v>
      </c>
      <c r="O134" s="207" t="s">
        <v>2726</v>
      </c>
      <c r="P134" s="207" t="s">
        <v>2739</v>
      </c>
      <c r="Q134" s="207" t="s">
        <v>2733</v>
      </c>
      <c r="R134" s="207">
        <v>121</v>
      </c>
      <c r="S134" s="207" t="s">
        <v>2726</v>
      </c>
      <c r="T134" s="207" t="s">
        <v>1239</v>
      </c>
      <c r="U134" s="207" t="s">
        <v>2899</v>
      </c>
      <c r="V134" s="207" t="s">
        <v>2726</v>
      </c>
      <c r="W134" s="207" t="s">
        <v>629</v>
      </c>
      <c r="X134" s="207">
        <v>-916</v>
      </c>
      <c r="Y134" s="207" t="s">
        <v>129</v>
      </c>
      <c r="Z134" s="207" t="s">
        <v>2726</v>
      </c>
      <c r="AA134" s="207" t="s">
        <v>2726</v>
      </c>
      <c r="AB134" s="207" t="s">
        <v>2726</v>
      </c>
      <c r="AC134" s="207" t="s">
        <v>2726</v>
      </c>
      <c r="AD134" s="207" t="s">
        <v>2726</v>
      </c>
      <c r="AE134" s="207" t="s">
        <v>2726</v>
      </c>
      <c r="AF134" s="207" t="s">
        <v>2726</v>
      </c>
      <c r="AG134" s="207" t="s">
        <v>2726</v>
      </c>
      <c r="AH134" s="207" t="s">
        <v>2726</v>
      </c>
      <c r="AI134" s="207" t="s">
        <v>1252</v>
      </c>
      <c r="AJ134" s="207" t="s">
        <v>2726</v>
      </c>
      <c r="AK134" s="207" t="s">
        <v>2896</v>
      </c>
    </row>
    <row r="135" spans="1:37" x14ac:dyDescent="0.25">
      <c r="A135" s="207" t="s">
        <v>2902</v>
      </c>
      <c r="B135" s="207">
        <v>0</v>
      </c>
      <c r="C135" s="207" t="s">
        <v>2726</v>
      </c>
      <c r="D135" s="207" t="s">
        <v>2726</v>
      </c>
      <c r="E135" s="207" t="s">
        <v>2903</v>
      </c>
      <c r="F135" s="207" t="s">
        <v>2728</v>
      </c>
      <c r="G135" s="207" t="s">
        <v>2726</v>
      </c>
      <c r="H135" s="207">
        <v>60</v>
      </c>
      <c r="I135" s="207" t="s">
        <v>2737</v>
      </c>
      <c r="J135" s="207" t="s">
        <v>2730</v>
      </c>
      <c r="K135" s="207" t="s">
        <v>2726</v>
      </c>
      <c r="L135" s="207" t="s">
        <v>2726</v>
      </c>
      <c r="M135" s="207" t="s">
        <v>2851</v>
      </c>
      <c r="N135" s="207" t="s">
        <v>2726</v>
      </c>
      <c r="O135" s="207" t="s">
        <v>2726</v>
      </c>
      <c r="P135" s="207" t="s">
        <v>2739</v>
      </c>
      <c r="Q135" s="207" t="s">
        <v>2733</v>
      </c>
      <c r="R135" s="207">
        <v>121</v>
      </c>
      <c r="S135" s="207" t="s">
        <v>2726</v>
      </c>
      <c r="T135" s="207" t="s">
        <v>1239</v>
      </c>
      <c r="U135" s="207" t="s">
        <v>2852</v>
      </c>
      <c r="V135" s="207" t="s">
        <v>2726</v>
      </c>
      <c r="W135" s="207" t="s">
        <v>2741</v>
      </c>
      <c r="X135" s="207">
        <v>41912</v>
      </c>
      <c r="Y135" s="207" t="s">
        <v>102</v>
      </c>
      <c r="Z135" s="207" t="s">
        <v>2726</v>
      </c>
      <c r="AA135" s="207" t="s">
        <v>2726</v>
      </c>
      <c r="AB135" s="207" t="s">
        <v>2726</v>
      </c>
      <c r="AC135" s="207" t="s">
        <v>2726</v>
      </c>
      <c r="AD135" s="207" t="s">
        <v>2726</v>
      </c>
      <c r="AE135" s="207" t="s">
        <v>2726</v>
      </c>
      <c r="AF135" s="207" t="s">
        <v>2726</v>
      </c>
      <c r="AG135" s="207" t="s">
        <v>2726</v>
      </c>
      <c r="AH135" s="207" t="s">
        <v>2726</v>
      </c>
      <c r="AI135" s="207" t="s">
        <v>1248</v>
      </c>
      <c r="AJ135" s="207" t="s">
        <v>2726</v>
      </c>
      <c r="AK135" s="207" t="s">
        <v>2903</v>
      </c>
    </row>
    <row r="136" spans="1:37" x14ac:dyDescent="0.25">
      <c r="A136" s="207" t="s">
        <v>2904</v>
      </c>
      <c r="B136" s="207">
        <v>0</v>
      </c>
      <c r="C136" s="207" t="s">
        <v>2726</v>
      </c>
      <c r="D136" s="207" t="s">
        <v>2726</v>
      </c>
      <c r="E136" s="207" t="s">
        <v>2903</v>
      </c>
      <c r="F136" s="207" t="s">
        <v>2728</v>
      </c>
      <c r="G136" s="207" t="s">
        <v>2726</v>
      </c>
      <c r="H136" s="207">
        <v>60</v>
      </c>
      <c r="I136" s="207" t="s">
        <v>2737</v>
      </c>
      <c r="J136" s="207" t="s">
        <v>2785</v>
      </c>
      <c r="K136" s="207" t="s">
        <v>2726</v>
      </c>
      <c r="L136" s="207" t="s">
        <v>2726</v>
      </c>
      <c r="M136" s="207" t="s">
        <v>2851</v>
      </c>
      <c r="N136" s="207" t="s">
        <v>2726</v>
      </c>
      <c r="O136" s="207" t="s">
        <v>2726</v>
      </c>
      <c r="P136" s="207" t="s">
        <v>2739</v>
      </c>
      <c r="Q136" s="207" t="s">
        <v>2733</v>
      </c>
      <c r="R136" s="207">
        <v>121</v>
      </c>
      <c r="S136" s="207" t="s">
        <v>2726</v>
      </c>
      <c r="T136" s="207" t="s">
        <v>1239</v>
      </c>
      <c r="U136" s="207" t="s">
        <v>2852</v>
      </c>
      <c r="V136" s="207" t="s">
        <v>2726</v>
      </c>
      <c r="W136" s="207" t="s">
        <v>629</v>
      </c>
      <c r="X136" s="207">
        <v>-41912</v>
      </c>
      <c r="Y136" s="207" t="s">
        <v>100</v>
      </c>
      <c r="Z136" s="207" t="s">
        <v>2726</v>
      </c>
      <c r="AA136" s="207" t="s">
        <v>2726</v>
      </c>
      <c r="AB136" s="207" t="s">
        <v>2726</v>
      </c>
      <c r="AC136" s="207" t="s">
        <v>2726</v>
      </c>
      <c r="AD136" s="207" t="s">
        <v>2726</v>
      </c>
      <c r="AE136" s="207" t="s">
        <v>2726</v>
      </c>
      <c r="AF136" s="207" t="s">
        <v>2726</v>
      </c>
      <c r="AG136" s="207" t="s">
        <v>2726</v>
      </c>
      <c r="AH136" s="207" t="s">
        <v>2726</v>
      </c>
      <c r="AI136" s="207" t="s">
        <v>1247</v>
      </c>
      <c r="AJ136" s="207" t="s">
        <v>2726</v>
      </c>
      <c r="AK136" s="207" t="s">
        <v>2903</v>
      </c>
    </row>
    <row r="137" spans="1:37" x14ac:dyDescent="0.25">
      <c r="A137" s="207" t="s">
        <v>2905</v>
      </c>
      <c r="B137" s="207">
        <v>0</v>
      </c>
      <c r="C137" s="207" t="s">
        <v>2726</v>
      </c>
      <c r="D137" s="207" t="s">
        <v>2726</v>
      </c>
      <c r="E137" s="207" t="s">
        <v>2906</v>
      </c>
      <c r="F137" s="207" t="s">
        <v>2728</v>
      </c>
      <c r="G137" s="207" t="s">
        <v>2726</v>
      </c>
      <c r="H137" s="207">
        <v>60</v>
      </c>
      <c r="I137" s="207" t="s">
        <v>2737</v>
      </c>
      <c r="J137" s="207" t="s">
        <v>2785</v>
      </c>
      <c r="K137" s="207" t="s">
        <v>2726</v>
      </c>
      <c r="L137" s="207" t="s">
        <v>2726</v>
      </c>
      <c r="M137" s="207" t="s">
        <v>2731</v>
      </c>
      <c r="N137" s="207" t="s">
        <v>2726</v>
      </c>
      <c r="O137" s="207" t="s">
        <v>2726</v>
      </c>
      <c r="P137" s="207" t="s">
        <v>2739</v>
      </c>
      <c r="Q137" s="207" t="s">
        <v>2733</v>
      </c>
      <c r="R137" s="207">
        <v>121</v>
      </c>
      <c r="S137" s="207" t="s">
        <v>2726</v>
      </c>
      <c r="T137" s="207" t="s">
        <v>1239</v>
      </c>
      <c r="U137" s="207" t="s">
        <v>2745</v>
      </c>
      <c r="V137" s="207" t="s">
        <v>2726</v>
      </c>
      <c r="W137" s="207" t="s">
        <v>2741</v>
      </c>
      <c r="X137" s="207">
        <v>124616</v>
      </c>
      <c r="Y137" s="207" t="s">
        <v>84</v>
      </c>
      <c r="Z137" s="207" t="s">
        <v>2726</v>
      </c>
      <c r="AA137" s="207" t="s">
        <v>2726</v>
      </c>
      <c r="AB137" s="207" t="s">
        <v>2726</v>
      </c>
      <c r="AC137" s="207" t="s">
        <v>2726</v>
      </c>
      <c r="AD137" s="207" t="s">
        <v>2726</v>
      </c>
      <c r="AE137" s="207" t="s">
        <v>2726</v>
      </c>
      <c r="AF137" s="207" t="s">
        <v>2726</v>
      </c>
      <c r="AG137" s="207" t="s">
        <v>2726</v>
      </c>
      <c r="AH137" s="207" t="s">
        <v>2726</v>
      </c>
      <c r="AI137" s="207" t="s">
        <v>1300</v>
      </c>
      <c r="AJ137" s="207" t="s">
        <v>2726</v>
      </c>
      <c r="AK137" s="207" t="s">
        <v>2906</v>
      </c>
    </row>
    <row r="138" spans="1:37" x14ac:dyDescent="0.25">
      <c r="A138" s="207" t="s">
        <v>2907</v>
      </c>
      <c r="B138" s="207">
        <v>0</v>
      </c>
      <c r="C138" s="207" t="s">
        <v>2726</v>
      </c>
      <c r="D138" s="207" t="s">
        <v>2726</v>
      </c>
      <c r="E138" s="207" t="s">
        <v>2906</v>
      </c>
      <c r="F138" s="207" t="s">
        <v>2728</v>
      </c>
      <c r="G138" s="207" t="s">
        <v>2726</v>
      </c>
      <c r="H138" s="207">
        <v>60</v>
      </c>
      <c r="I138" s="207" t="s">
        <v>2737</v>
      </c>
      <c r="J138" s="207" t="s">
        <v>2785</v>
      </c>
      <c r="K138" s="207" t="s">
        <v>2726</v>
      </c>
      <c r="L138" s="207" t="s">
        <v>2726</v>
      </c>
      <c r="M138" s="207" t="s">
        <v>2731</v>
      </c>
      <c r="N138" s="207" t="s">
        <v>2726</v>
      </c>
      <c r="O138" s="207" t="s">
        <v>2726</v>
      </c>
      <c r="P138" s="207" t="s">
        <v>2739</v>
      </c>
      <c r="Q138" s="207" t="s">
        <v>2733</v>
      </c>
      <c r="R138" s="207">
        <v>121</v>
      </c>
      <c r="S138" s="207" t="s">
        <v>2726</v>
      </c>
      <c r="T138" s="207" t="s">
        <v>1239</v>
      </c>
      <c r="U138" s="207" t="s">
        <v>2745</v>
      </c>
      <c r="V138" s="207" t="s">
        <v>2726</v>
      </c>
      <c r="W138" s="207" t="s">
        <v>629</v>
      </c>
      <c r="X138" s="207">
        <v>-124616</v>
      </c>
      <c r="Y138" s="207" t="s">
        <v>59</v>
      </c>
      <c r="Z138" s="207" t="s">
        <v>2726</v>
      </c>
      <c r="AA138" s="207" t="s">
        <v>2726</v>
      </c>
      <c r="AB138" s="207" t="s">
        <v>2726</v>
      </c>
      <c r="AC138" s="207" t="s">
        <v>2726</v>
      </c>
      <c r="AD138" s="207" t="s">
        <v>2726</v>
      </c>
      <c r="AE138" s="207" t="s">
        <v>2726</v>
      </c>
      <c r="AF138" s="207" t="s">
        <v>2726</v>
      </c>
      <c r="AG138" s="207" t="s">
        <v>2726</v>
      </c>
      <c r="AH138" s="207" t="s">
        <v>2726</v>
      </c>
      <c r="AI138" s="207" t="s">
        <v>1242</v>
      </c>
      <c r="AJ138" s="207" t="s">
        <v>2726</v>
      </c>
      <c r="AK138" s="207" t="s">
        <v>2906</v>
      </c>
    </row>
    <row r="139" spans="1:37" x14ac:dyDescent="0.25">
      <c r="A139" s="207" t="s">
        <v>2908</v>
      </c>
      <c r="B139" s="207">
        <v>0</v>
      </c>
      <c r="C139" s="207" t="s">
        <v>2726</v>
      </c>
      <c r="D139" s="207" t="s">
        <v>2726</v>
      </c>
      <c r="E139" s="207" t="s">
        <v>2909</v>
      </c>
      <c r="F139" s="207" t="s">
        <v>2728</v>
      </c>
      <c r="G139" s="207" t="s">
        <v>2726</v>
      </c>
      <c r="H139" s="207">
        <v>60</v>
      </c>
      <c r="I139" s="207" t="s">
        <v>2737</v>
      </c>
      <c r="J139" s="207" t="s">
        <v>2785</v>
      </c>
      <c r="K139" s="207" t="s">
        <v>2726</v>
      </c>
      <c r="L139" s="207" t="s">
        <v>2726</v>
      </c>
      <c r="M139" s="207" t="s">
        <v>2770</v>
      </c>
      <c r="N139" s="207" t="s">
        <v>2726</v>
      </c>
      <c r="O139" s="207" t="s">
        <v>2726</v>
      </c>
      <c r="P139" s="207" t="s">
        <v>2739</v>
      </c>
      <c r="Q139" s="207" t="s">
        <v>2733</v>
      </c>
      <c r="R139" s="207">
        <v>121</v>
      </c>
      <c r="S139" s="207" t="s">
        <v>2726</v>
      </c>
      <c r="T139" s="207" t="s">
        <v>1239</v>
      </c>
      <c r="U139" s="207" t="s">
        <v>2771</v>
      </c>
      <c r="V139" s="207" t="s">
        <v>2726</v>
      </c>
      <c r="W139" s="207" t="s">
        <v>2741</v>
      </c>
      <c r="X139" s="207">
        <v>100000</v>
      </c>
      <c r="Y139" s="207" t="s">
        <v>64</v>
      </c>
      <c r="Z139" s="207" t="s">
        <v>2726</v>
      </c>
      <c r="AA139" s="207" t="s">
        <v>2726</v>
      </c>
      <c r="AB139" s="207" t="s">
        <v>2726</v>
      </c>
      <c r="AC139" s="207" t="s">
        <v>2726</v>
      </c>
      <c r="AD139" s="207" t="s">
        <v>2726</v>
      </c>
      <c r="AE139" s="207" t="s">
        <v>2726</v>
      </c>
      <c r="AF139" s="207" t="s">
        <v>2726</v>
      </c>
      <c r="AG139" s="207" t="s">
        <v>2726</v>
      </c>
      <c r="AH139" s="207" t="s">
        <v>2726</v>
      </c>
      <c r="AI139" s="207" t="s">
        <v>1304</v>
      </c>
      <c r="AJ139" s="207" t="s">
        <v>2726</v>
      </c>
      <c r="AK139" s="207" t="s">
        <v>2909</v>
      </c>
    </row>
    <row r="140" spans="1:37" x14ac:dyDescent="0.25">
      <c r="A140" s="207" t="s">
        <v>2910</v>
      </c>
      <c r="B140" s="207">
        <v>0</v>
      </c>
      <c r="C140" s="207" t="s">
        <v>2726</v>
      </c>
      <c r="D140" s="207" t="s">
        <v>2726</v>
      </c>
      <c r="E140" s="207" t="s">
        <v>2911</v>
      </c>
      <c r="F140" s="207" t="s">
        <v>2728</v>
      </c>
      <c r="G140" s="207" t="s">
        <v>2726</v>
      </c>
      <c r="H140" s="207">
        <v>60</v>
      </c>
      <c r="I140" s="207" t="s">
        <v>2737</v>
      </c>
      <c r="J140" s="207" t="s">
        <v>2872</v>
      </c>
      <c r="K140" s="207" t="s">
        <v>2726</v>
      </c>
      <c r="L140" s="207" t="s">
        <v>2726</v>
      </c>
      <c r="M140" s="207" t="s">
        <v>2898</v>
      </c>
      <c r="N140" s="207" t="s">
        <v>2726</v>
      </c>
      <c r="O140" s="207" t="s">
        <v>2726</v>
      </c>
      <c r="P140" s="207" t="s">
        <v>2739</v>
      </c>
      <c r="Q140" s="207" t="s">
        <v>2733</v>
      </c>
      <c r="R140" s="207">
        <v>121</v>
      </c>
      <c r="S140" s="207" t="s">
        <v>2726</v>
      </c>
      <c r="T140" s="207" t="s">
        <v>1239</v>
      </c>
      <c r="U140" s="207" t="s">
        <v>2899</v>
      </c>
      <c r="V140" s="207" t="s">
        <v>2726</v>
      </c>
      <c r="W140" s="207" t="s">
        <v>629</v>
      </c>
      <c r="X140" s="207">
        <v>-24900</v>
      </c>
      <c r="Y140" s="207" t="s">
        <v>115</v>
      </c>
      <c r="Z140" s="207" t="s">
        <v>2726</v>
      </c>
      <c r="AA140" s="207" t="s">
        <v>2726</v>
      </c>
      <c r="AB140" s="207" t="s">
        <v>2726</v>
      </c>
      <c r="AC140" s="207" t="s">
        <v>2726</v>
      </c>
      <c r="AD140" s="207" t="s">
        <v>2726</v>
      </c>
      <c r="AE140" s="207" t="s">
        <v>2726</v>
      </c>
      <c r="AF140" s="207" t="s">
        <v>2726</v>
      </c>
      <c r="AG140" s="207" t="s">
        <v>2726</v>
      </c>
      <c r="AH140" s="207" t="s">
        <v>2726</v>
      </c>
      <c r="AI140" s="207" t="s">
        <v>1241</v>
      </c>
      <c r="AJ140" s="207" t="s">
        <v>2726</v>
      </c>
      <c r="AK140" s="207" t="s">
        <v>2911</v>
      </c>
    </row>
    <row r="141" spans="1:37" x14ac:dyDescent="0.25">
      <c r="A141" s="207" t="s">
        <v>2912</v>
      </c>
      <c r="B141" s="207">
        <v>0</v>
      </c>
      <c r="C141" s="207" t="s">
        <v>2726</v>
      </c>
      <c r="D141" s="207" t="s">
        <v>2726</v>
      </c>
      <c r="E141" s="207" t="s">
        <v>2913</v>
      </c>
      <c r="F141" s="207" t="s">
        <v>2728</v>
      </c>
      <c r="G141" s="207" t="s">
        <v>2726</v>
      </c>
      <c r="H141" s="207">
        <v>60</v>
      </c>
      <c r="I141" s="207" t="s">
        <v>2737</v>
      </c>
      <c r="J141" s="207" t="s">
        <v>2785</v>
      </c>
      <c r="K141" s="207" t="s">
        <v>2726</v>
      </c>
      <c r="L141" s="207" t="s">
        <v>2726</v>
      </c>
      <c r="M141" s="207" t="s">
        <v>2738</v>
      </c>
      <c r="N141" s="207" t="s">
        <v>2726</v>
      </c>
      <c r="O141" s="207" t="s">
        <v>2726</v>
      </c>
      <c r="P141" s="207" t="s">
        <v>2739</v>
      </c>
      <c r="Q141" s="207" t="s">
        <v>2733</v>
      </c>
      <c r="R141" s="207">
        <v>121</v>
      </c>
      <c r="S141" s="207" t="s">
        <v>2726</v>
      </c>
      <c r="T141" s="207" t="s">
        <v>1262</v>
      </c>
      <c r="U141" s="207" t="s">
        <v>2740</v>
      </c>
      <c r="V141" s="207" t="s">
        <v>2726</v>
      </c>
      <c r="W141" s="207" t="s">
        <v>2741</v>
      </c>
      <c r="X141" s="207">
        <v>67989</v>
      </c>
      <c r="Y141" s="207" t="s">
        <v>84</v>
      </c>
      <c r="Z141" s="207" t="s">
        <v>2726</v>
      </c>
      <c r="AA141" s="207" t="s">
        <v>2726</v>
      </c>
      <c r="AB141" s="207" t="s">
        <v>2726</v>
      </c>
      <c r="AC141" s="207" t="s">
        <v>2726</v>
      </c>
      <c r="AD141" s="207" t="s">
        <v>2726</v>
      </c>
      <c r="AE141" s="207" t="s">
        <v>2726</v>
      </c>
      <c r="AF141" s="207" t="s">
        <v>2726</v>
      </c>
      <c r="AG141" s="207" t="s">
        <v>2726</v>
      </c>
      <c r="AH141" s="207" t="s">
        <v>2726</v>
      </c>
      <c r="AI141" s="207" t="s">
        <v>1300</v>
      </c>
      <c r="AJ141" s="207" t="s">
        <v>2726</v>
      </c>
      <c r="AK141" s="207" t="s">
        <v>2913</v>
      </c>
    </row>
    <row r="142" spans="1:37" x14ac:dyDescent="0.25">
      <c r="A142" s="207" t="s">
        <v>2914</v>
      </c>
      <c r="B142" s="207">
        <v>0</v>
      </c>
      <c r="C142" s="207" t="s">
        <v>2726</v>
      </c>
      <c r="D142" s="207" t="s">
        <v>2726</v>
      </c>
      <c r="E142" s="207" t="s">
        <v>2913</v>
      </c>
      <c r="F142" s="207" t="s">
        <v>2728</v>
      </c>
      <c r="G142" s="207" t="s">
        <v>2726</v>
      </c>
      <c r="H142" s="207">
        <v>60</v>
      </c>
      <c r="I142" s="207" t="s">
        <v>2737</v>
      </c>
      <c r="J142" s="207" t="s">
        <v>2785</v>
      </c>
      <c r="K142" s="207" t="s">
        <v>2726</v>
      </c>
      <c r="L142" s="207" t="s">
        <v>2726</v>
      </c>
      <c r="M142" s="207" t="s">
        <v>2738</v>
      </c>
      <c r="N142" s="207" t="s">
        <v>2726</v>
      </c>
      <c r="O142" s="207" t="s">
        <v>2726</v>
      </c>
      <c r="P142" s="207" t="s">
        <v>2739</v>
      </c>
      <c r="Q142" s="207" t="s">
        <v>2733</v>
      </c>
      <c r="R142" s="207">
        <v>121</v>
      </c>
      <c r="S142" s="207" t="s">
        <v>2726</v>
      </c>
      <c r="T142" s="207" t="s">
        <v>1239</v>
      </c>
      <c r="U142" s="207" t="s">
        <v>2740</v>
      </c>
      <c r="V142" s="207" t="s">
        <v>2726</v>
      </c>
      <c r="W142" s="207" t="s">
        <v>629</v>
      </c>
      <c r="X142" s="207">
        <v>-67989</v>
      </c>
      <c r="Y142" s="207" t="s">
        <v>59</v>
      </c>
      <c r="Z142" s="207" t="s">
        <v>2726</v>
      </c>
      <c r="AA142" s="207" t="s">
        <v>2726</v>
      </c>
      <c r="AB142" s="207" t="s">
        <v>2726</v>
      </c>
      <c r="AC142" s="207" t="s">
        <v>2726</v>
      </c>
      <c r="AD142" s="207" t="s">
        <v>2726</v>
      </c>
      <c r="AE142" s="207" t="s">
        <v>2726</v>
      </c>
      <c r="AF142" s="207" t="s">
        <v>2726</v>
      </c>
      <c r="AG142" s="207" t="s">
        <v>2726</v>
      </c>
      <c r="AH142" s="207" t="s">
        <v>2726</v>
      </c>
      <c r="AI142" s="207" t="s">
        <v>1242</v>
      </c>
      <c r="AJ142" s="207" t="s">
        <v>2726</v>
      </c>
      <c r="AK142" s="207" t="s">
        <v>2913</v>
      </c>
    </row>
    <row r="143" spans="1:37" x14ac:dyDescent="0.25">
      <c r="A143" s="207" t="s">
        <v>2915</v>
      </c>
      <c r="B143" s="207">
        <v>0</v>
      </c>
      <c r="C143" s="207" t="s">
        <v>2726</v>
      </c>
      <c r="D143" s="207" t="s">
        <v>2726</v>
      </c>
      <c r="E143" s="207" t="s">
        <v>2916</v>
      </c>
      <c r="F143" s="207" t="s">
        <v>2728</v>
      </c>
      <c r="G143" s="207" t="s">
        <v>2726</v>
      </c>
      <c r="H143" s="207">
        <v>60</v>
      </c>
      <c r="I143" s="207" t="s">
        <v>2737</v>
      </c>
      <c r="J143" s="207" t="s">
        <v>2894</v>
      </c>
      <c r="K143" s="207" t="s">
        <v>2726</v>
      </c>
      <c r="L143" s="207" t="s">
        <v>2726</v>
      </c>
      <c r="M143" s="207" t="s">
        <v>2770</v>
      </c>
      <c r="N143" s="207" t="s">
        <v>2726</v>
      </c>
      <c r="O143" s="207" t="s">
        <v>2726</v>
      </c>
      <c r="P143" s="207" t="s">
        <v>2739</v>
      </c>
      <c r="Q143" s="207" t="s">
        <v>2733</v>
      </c>
      <c r="R143" s="207">
        <v>121</v>
      </c>
      <c r="S143" s="207" t="s">
        <v>2726</v>
      </c>
      <c r="T143" s="207" t="s">
        <v>1239</v>
      </c>
      <c r="U143" s="207" t="s">
        <v>2771</v>
      </c>
      <c r="V143" s="207" t="s">
        <v>2726</v>
      </c>
      <c r="W143" s="207" t="s">
        <v>2741</v>
      </c>
      <c r="X143" s="207">
        <v>50000</v>
      </c>
      <c r="Y143" s="207" t="s">
        <v>129</v>
      </c>
      <c r="Z143" s="207" t="s">
        <v>2726</v>
      </c>
      <c r="AA143" s="207" t="s">
        <v>2726</v>
      </c>
      <c r="AB143" s="207" t="s">
        <v>2726</v>
      </c>
      <c r="AC143" s="207" t="s">
        <v>2726</v>
      </c>
      <c r="AD143" s="207" t="s">
        <v>2726</v>
      </c>
      <c r="AE143" s="207" t="s">
        <v>2726</v>
      </c>
      <c r="AF143" s="207" t="s">
        <v>2726</v>
      </c>
      <c r="AG143" s="207" t="s">
        <v>2726</v>
      </c>
      <c r="AH143" s="207" t="s">
        <v>2726</v>
      </c>
      <c r="AI143" s="207" t="s">
        <v>1252</v>
      </c>
      <c r="AJ143" s="207" t="s">
        <v>2726</v>
      </c>
      <c r="AK143" s="207" t="s">
        <v>2916</v>
      </c>
    </row>
    <row r="144" spans="1:37" x14ac:dyDescent="0.25">
      <c r="A144" s="207" t="s">
        <v>2917</v>
      </c>
      <c r="B144" s="207">
        <v>0</v>
      </c>
      <c r="C144" s="207" t="s">
        <v>2726</v>
      </c>
      <c r="D144" s="207" t="s">
        <v>2726</v>
      </c>
      <c r="E144" s="207" t="s">
        <v>2916</v>
      </c>
      <c r="F144" s="207" t="s">
        <v>2728</v>
      </c>
      <c r="G144" s="207" t="s">
        <v>2726</v>
      </c>
      <c r="H144" s="207">
        <v>60</v>
      </c>
      <c r="I144" s="207" t="s">
        <v>2737</v>
      </c>
      <c r="J144" s="207" t="s">
        <v>2894</v>
      </c>
      <c r="K144" s="207" t="s">
        <v>2726</v>
      </c>
      <c r="L144" s="207" t="s">
        <v>2726</v>
      </c>
      <c r="M144" s="207" t="s">
        <v>2770</v>
      </c>
      <c r="N144" s="207" t="s">
        <v>2726</v>
      </c>
      <c r="O144" s="207" t="s">
        <v>2726</v>
      </c>
      <c r="P144" s="207" t="s">
        <v>2739</v>
      </c>
      <c r="Q144" s="207" t="s">
        <v>2733</v>
      </c>
      <c r="R144" s="207">
        <v>121</v>
      </c>
      <c r="S144" s="207" t="s">
        <v>2726</v>
      </c>
      <c r="T144" s="207" t="s">
        <v>1239</v>
      </c>
      <c r="U144" s="207" t="s">
        <v>2771</v>
      </c>
      <c r="V144" s="207" t="s">
        <v>2726</v>
      </c>
      <c r="W144" s="207" t="s">
        <v>629</v>
      </c>
      <c r="X144" s="207">
        <v>-50000</v>
      </c>
      <c r="Y144" s="207" t="s">
        <v>121</v>
      </c>
      <c r="Z144" s="207" t="s">
        <v>2726</v>
      </c>
      <c r="AA144" s="207" t="s">
        <v>2726</v>
      </c>
      <c r="AB144" s="207" t="s">
        <v>2726</v>
      </c>
      <c r="AC144" s="207" t="s">
        <v>2726</v>
      </c>
      <c r="AD144" s="207" t="s">
        <v>2726</v>
      </c>
      <c r="AE144" s="207" t="s">
        <v>2726</v>
      </c>
      <c r="AF144" s="207" t="s">
        <v>2726</v>
      </c>
      <c r="AG144" s="207" t="s">
        <v>2726</v>
      </c>
      <c r="AH144" s="207" t="s">
        <v>2726</v>
      </c>
      <c r="AI144" s="207" t="s">
        <v>1268</v>
      </c>
      <c r="AJ144" s="207" t="s">
        <v>2726</v>
      </c>
      <c r="AK144" s="207" t="s">
        <v>2916</v>
      </c>
    </row>
    <row r="145" spans="1:37" x14ac:dyDescent="0.25">
      <c r="A145" s="207" t="s">
        <v>2918</v>
      </c>
      <c r="B145" s="207">
        <v>0</v>
      </c>
      <c r="C145" s="207" t="s">
        <v>2726</v>
      </c>
      <c r="D145" s="207" t="s">
        <v>2726</v>
      </c>
      <c r="E145" s="207" t="s">
        <v>2919</v>
      </c>
      <c r="F145" s="207" t="s">
        <v>2728</v>
      </c>
      <c r="G145" s="207" t="s">
        <v>2726</v>
      </c>
      <c r="H145" s="207">
        <v>60</v>
      </c>
      <c r="I145" s="207" t="s">
        <v>2737</v>
      </c>
      <c r="J145" s="207" t="s">
        <v>2894</v>
      </c>
      <c r="K145" s="207" t="s">
        <v>2726</v>
      </c>
      <c r="L145" s="207" t="s">
        <v>2726</v>
      </c>
      <c r="M145" s="207" t="s">
        <v>2770</v>
      </c>
      <c r="N145" s="207" t="s">
        <v>2726</v>
      </c>
      <c r="O145" s="207" t="s">
        <v>2726</v>
      </c>
      <c r="P145" s="207" t="s">
        <v>2739</v>
      </c>
      <c r="Q145" s="207" t="s">
        <v>2733</v>
      </c>
      <c r="R145" s="207">
        <v>121</v>
      </c>
      <c r="S145" s="207" t="s">
        <v>2726</v>
      </c>
      <c r="T145" s="207" t="s">
        <v>1239</v>
      </c>
      <c r="U145" s="207" t="s">
        <v>2771</v>
      </c>
      <c r="V145" s="207" t="s">
        <v>2726</v>
      </c>
      <c r="W145" s="207" t="s">
        <v>2741</v>
      </c>
      <c r="X145" s="207">
        <v>2331</v>
      </c>
      <c r="Y145" s="207" t="s">
        <v>90</v>
      </c>
      <c r="Z145" s="207" t="s">
        <v>2726</v>
      </c>
      <c r="AA145" s="207" t="s">
        <v>2726</v>
      </c>
      <c r="AB145" s="207" t="s">
        <v>2726</v>
      </c>
      <c r="AC145" s="207" t="s">
        <v>2726</v>
      </c>
      <c r="AD145" s="207" t="s">
        <v>2726</v>
      </c>
      <c r="AE145" s="207" t="s">
        <v>2726</v>
      </c>
      <c r="AF145" s="207" t="s">
        <v>2726</v>
      </c>
      <c r="AG145" s="207" t="s">
        <v>2726</v>
      </c>
      <c r="AH145" s="207" t="s">
        <v>2726</v>
      </c>
      <c r="AI145" s="207" t="s">
        <v>1281</v>
      </c>
      <c r="AJ145" s="207" t="s">
        <v>2726</v>
      </c>
      <c r="AK145" s="207" t="s">
        <v>2919</v>
      </c>
    </row>
    <row r="146" spans="1:37" x14ac:dyDescent="0.25">
      <c r="A146" s="207" t="s">
        <v>2920</v>
      </c>
      <c r="B146" s="207">
        <v>0</v>
      </c>
      <c r="C146" s="207" t="s">
        <v>2726</v>
      </c>
      <c r="D146" s="207" t="s">
        <v>2726</v>
      </c>
      <c r="E146" s="207" t="s">
        <v>2921</v>
      </c>
      <c r="F146" s="207" t="s">
        <v>2728</v>
      </c>
      <c r="G146" s="207" t="s">
        <v>2726</v>
      </c>
      <c r="H146" s="207">
        <v>60</v>
      </c>
      <c r="I146" s="207" t="s">
        <v>2922</v>
      </c>
      <c r="J146" s="207" t="s">
        <v>2923</v>
      </c>
      <c r="K146" s="207" t="s">
        <v>2726</v>
      </c>
      <c r="L146" s="207" t="s">
        <v>2726</v>
      </c>
      <c r="M146" s="207" t="s">
        <v>2770</v>
      </c>
      <c r="N146" s="207" t="s">
        <v>2726</v>
      </c>
      <c r="O146" s="207" t="s">
        <v>2726</v>
      </c>
      <c r="P146" s="207" t="s">
        <v>2924</v>
      </c>
      <c r="Q146" s="207" t="s">
        <v>2733</v>
      </c>
      <c r="R146" s="207">
        <v>221</v>
      </c>
      <c r="S146" s="207" t="s">
        <v>2726</v>
      </c>
      <c r="T146" s="207" t="s">
        <v>1239</v>
      </c>
      <c r="U146" s="207" t="s">
        <v>2822</v>
      </c>
      <c r="V146" s="207" t="s">
        <v>2726</v>
      </c>
      <c r="W146" s="207" t="s">
        <v>2741</v>
      </c>
      <c r="X146" s="207">
        <v>30559603</v>
      </c>
      <c r="Y146" s="207" t="s">
        <v>239</v>
      </c>
      <c r="Z146" s="207" t="s">
        <v>2726</v>
      </c>
      <c r="AA146" s="207" t="s">
        <v>2726</v>
      </c>
      <c r="AB146" s="207" t="s">
        <v>2726</v>
      </c>
      <c r="AC146" s="207" t="s">
        <v>2726</v>
      </c>
      <c r="AD146" s="207" t="s">
        <v>2726</v>
      </c>
      <c r="AE146" s="207" t="s">
        <v>2726</v>
      </c>
      <c r="AF146" s="207" t="s">
        <v>2726</v>
      </c>
      <c r="AG146" s="207" t="s">
        <v>2726</v>
      </c>
      <c r="AH146" s="207" t="s">
        <v>2726</v>
      </c>
      <c r="AI146" s="207" t="s">
        <v>1339</v>
      </c>
      <c r="AJ146" s="207" t="s">
        <v>2726</v>
      </c>
      <c r="AK146" s="207" t="s">
        <v>2921</v>
      </c>
    </row>
    <row r="147" spans="1:37" x14ac:dyDescent="0.25">
      <c r="A147" s="207" t="s">
        <v>2925</v>
      </c>
      <c r="B147" s="207">
        <v>0</v>
      </c>
      <c r="C147" s="207" t="s">
        <v>2726</v>
      </c>
      <c r="D147" s="207" t="s">
        <v>2726</v>
      </c>
      <c r="E147" s="207" t="s">
        <v>2921</v>
      </c>
      <c r="F147" s="207" t="s">
        <v>2728</v>
      </c>
      <c r="G147" s="207" t="s">
        <v>2726</v>
      </c>
      <c r="H147" s="207">
        <v>60</v>
      </c>
      <c r="I147" s="207" t="s">
        <v>2737</v>
      </c>
      <c r="J147" s="207" t="s">
        <v>2923</v>
      </c>
      <c r="K147" s="207" t="s">
        <v>2726</v>
      </c>
      <c r="L147" s="207" t="s">
        <v>2726</v>
      </c>
      <c r="M147" s="207" t="s">
        <v>2770</v>
      </c>
      <c r="N147" s="207" t="s">
        <v>2726</v>
      </c>
      <c r="O147" s="207" t="s">
        <v>2726</v>
      </c>
      <c r="P147" s="207" t="s">
        <v>2924</v>
      </c>
      <c r="Q147" s="207" t="s">
        <v>2733</v>
      </c>
      <c r="R147" s="207">
        <v>121</v>
      </c>
      <c r="S147" s="207" t="s">
        <v>2726</v>
      </c>
      <c r="T147" s="207" t="s">
        <v>1239</v>
      </c>
      <c r="U147" s="207" t="s">
        <v>2771</v>
      </c>
      <c r="V147" s="207" t="s">
        <v>2726</v>
      </c>
      <c r="W147" s="207" t="s">
        <v>629</v>
      </c>
      <c r="X147" s="207">
        <v>-30559603</v>
      </c>
      <c r="Y147" s="207" t="s">
        <v>181</v>
      </c>
      <c r="Z147" s="207" t="s">
        <v>2726</v>
      </c>
      <c r="AA147" s="207" t="s">
        <v>2726</v>
      </c>
      <c r="AB147" s="207" t="s">
        <v>2726</v>
      </c>
      <c r="AC147" s="207" t="s">
        <v>2726</v>
      </c>
      <c r="AD147" s="207" t="s">
        <v>2726</v>
      </c>
      <c r="AE147" s="207" t="s">
        <v>2726</v>
      </c>
      <c r="AF147" s="207" t="s">
        <v>2726</v>
      </c>
      <c r="AG147" s="207" t="s">
        <v>2726</v>
      </c>
      <c r="AH147" s="207" t="s">
        <v>2726</v>
      </c>
      <c r="AI147" s="207" t="s">
        <v>1283</v>
      </c>
      <c r="AJ147" s="207" t="s">
        <v>2726</v>
      </c>
      <c r="AK147" s="207" t="s">
        <v>2921</v>
      </c>
    </row>
    <row r="148" spans="1:37" x14ac:dyDescent="0.25">
      <c r="A148" s="207" t="s">
        <v>2926</v>
      </c>
      <c r="B148" s="207">
        <v>0</v>
      </c>
      <c r="C148" s="207" t="s">
        <v>2726</v>
      </c>
      <c r="D148" s="207" t="s">
        <v>2726</v>
      </c>
      <c r="E148" s="207" t="s">
        <v>2927</v>
      </c>
      <c r="F148" s="207" t="s">
        <v>2728</v>
      </c>
      <c r="G148" s="207" t="s">
        <v>2726</v>
      </c>
      <c r="H148" s="207">
        <v>61</v>
      </c>
      <c r="I148" s="207" t="s">
        <v>2729</v>
      </c>
      <c r="J148" s="207" t="s">
        <v>2730</v>
      </c>
      <c r="K148" s="207" t="s">
        <v>2726</v>
      </c>
      <c r="L148" s="207" t="s">
        <v>2726</v>
      </c>
      <c r="M148" s="207" t="s">
        <v>2851</v>
      </c>
      <c r="N148" s="207" t="s">
        <v>2726</v>
      </c>
      <c r="O148" s="207" t="s">
        <v>2726</v>
      </c>
      <c r="P148" s="207" t="s">
        <v>2732</v>
      </c>
      <c r="Q148" s="207" t="s">
        <v>2733</v>
      </c>
      <c r="R148" s="207">
        <v>220</v>
      </c>
      <c r="S148" s="207" t="s">
        <v>2726</v>
      </c>
      <c r="T148" s="207" t="s">
        <v>1239</v>
      </c>
      <c r="U148" s="207" t="s">
        <v>2928</v>
      </c>
      <c r="V148" s="207" t="s">
        <v>2726</v>
      </c>
      <c r="W148" s="207" t="s">
        <v>629</v>
      </c>
      <c r="X148" s="207">
        <v>-5720000</v>
      </c>
      <c r="Y148" s="207" t="s">
        <v>262</v>
      </c>
      <c r="Z148" s="207" t="s">
        <v>2726</v>
      </c>
      <c r="AA148" s="207" t="s">
        <v>2726</v>
      </c>
      <c r="AB148" s="207" t="s">
        <v>2726</v>
      </c>
      <c r="AC148" s="207" t="s">
        <v>2726</v>
      </c>
      <c r="AD148" s="207" t="s">
        <v>2726</v>
      </c>
      <c r="AE148" s="207" t="s">
        <v>2726</v>
      </c>
      <c r="AF148" s="207" t="s">
        <v>2726</v>
      </c>
      <c r="AG148" s="207" t="s">
        <v>2726</v>
      </c>
      <c r="AH148" s="207" t="s">
        <v>2726</v>
      </c>
      <c r="AI148" s="207" t="s">
        <v>1279</v>
      </c>
      <c r="AJ148" s="207" t="s">
        <v>2726</v>
      </c>
      <c r="AK148" s="207" t="s">
        <v>2927</v>
      </c>
    </row>
    <row r="149" spans="1:37" x14ac:dyDescent="0.25">
      <c r="A149" s="207" t="s">
        <v>2929</v>
      </c>
      <c r="B149" s="207">
        <v>0</v>
      </c>
      <c r="C149" s="207" t="s">
        <v>2726</v>
      </c>
      <c r="D149" s="207" t="s">
        <v>2726</v>
      </c>
      <c r="E149" s="207" t="s">
        <v>2930</v>
      </c>
      <c r="F149" s="207" t="s">
        <v>2728</v>
      </c>
      <c r="G149" s="207" t="s">
        <v>2726</v>
      </c>
      <c r="H149" s="207">
        <v>61</v>
      </c>
      <c r="I149" s="207" t="s">
        <v>2744</v>
      </c>
      <c r="J149" s="207" t="s">
        <v>2730</v>
      </c>
      <c r="K149" s="207" t="s">
        <v>2726</v>
      </c>
      <c r="L149" s="207" t="s">
        <v>2726</v>
      </c>
      <c r="M149" s="207" t="s">
        <v>2898</v>
      </c>
      <c r="N149" s="207" t="s">
        <v>2726</v>
      </c>
      <c r="O149" s="207" t="s">
        <v>2726</v>
      </c>
      <c r="P149" s="207" t="s">
        <v>2732</v>
      </c>
      <c r="Q149" s="207" t="s">
        <v>2733</v>
      </c>
      <c r="R149" s="207">
        <v>120</v>
      </c>
      <c r="S149" s="207" t="s">
        <v>2726</v>
      </c>
      <c r="T149" s="207" t="s">
        <v>1239</v>
      </c>
      <c r="U149" s="207" t="s">
        <v>2899</v>
      </c>
      <c r="V149" s="207" t="s">
        <v>2726</v>
      </c>
      <c r="W149" s="207" t="s">
        <v>2741</v>
      </c>
      <c r="X149" s="207">
        <v>2962992</v>
      </c>
      <c r="Y149" s="207" t="s">
        <v>109</v>
      </c>
      <c r="Z149" s="207" t="s">
        <v>2726</v>
      </c>
      <c r="AA149" s="207" t="s">
        <v>2726</v>
      </c>
      <c r="AB149" s="207" t="s">
        <v>2726</v>
      </c>
      <c r="AC149" s="207" t="s">
        <v>2726</v>
      </c>
      <c r="AD149" s="207" t="s">
        <v>2726</v>
      </c>
      <c r="AE149" s="207" t="s">
        <v>2726</v>
      </c>
      <c r="AF149" s="207" t="s">
        <v>2726</v>
      </c>
      <c r="AG149" s="207" t="s">
        <v>2726</v>
      </c>
      <c r="AH149" s="207" t="s">
        <v>2726</v>
      </c>
      <c r="AI149" s="207" t="s">
        <v>1251</v>
      </c>
      <c r="AJ149" s="207" t="s">
        <v>2726</v>
      </c>
      <c r="AK149" s="207" t="s">
        <v>2930</v>
      </c>
    </row>
    <row r="150" spans="1:37" x14ac:dyDescent="0.25">
      <c r="A150" s="207" t="s">
        <v>2931</v>
      </c>
      <c r="B150" s="207">
        <v>0</v>
      </c>
      <c r="C150" s="207" t="s">
        <v>2726</v>
      </c>
      <c r="D150" s="207" t="s">
        <v>2726</v>
      </c>
      <c r="E150" s="207" t="s">
        <v>2927</v>
      </c>
      <c r="F150" s="207" t="s">
        <v>2728</v>
      </c>
      <c r="G150" s="207" t="s">
        <v>2726</v>
      </c>
      <c r="H150" s="207">
        <v>61</v>
      </c>
      <c r="I150" s="207" t="s">
        <v>2729</v>
      </c>
      <c r="J150" s="207" t="s">
        <v>2730</v>
      </c>
      <c r="K150" s="207" t="s">
        <v>2726</v>
      </c>
      <c r="L150" s="207" t="s">
        <v>2726</v>
      </c>
      <c r="M150" s="207" t="s">
        <v>2851</v>
      </c>
      <c r="N150" s="207" t="s">
        <v>2726</v>
      </c>
      <c r="O150" s="207" t="s">
        <v>2726</v>
      </c>
      <c r="P150" s="207" t="s">
        <v>2732</v>
      </c>
      <c r="Q150" s="207" t="s">
        <v>2733</v>
      </c>
      <c r="R150" s="207">
        <v>220</v>
      </c>
      <c r="S150" s="207" t="s">
        <v>2726</v>
      </c>
      <c r="T150" s="207" t="s">
        <v>1239</v>
      </c>
      <c r="U150" s="207" t="s">
        <v>2928</v>
      </c>
      <c r="V150" s="207" t="s">
        <v>2726</v>
      </c>
      <c r="W150" s="207" t="s">
        <v>629</v>
      </c>
      <c r="X150" s="207">
        <v>-1611496</v>
      </c>
      <c r="Y150" s="207" t="s">
        <v>296</v>
      </c>
      <c r="Z150" s="207" t="s">
        <v>2726</v>
      </c>
      <c r="AA150" s="207" t="s">
        <v>2726</v>
      </c>
      <c r="AB150" s="207" t="s">
        <v>2726</v>
      </c>
      <c r="AC150" s="207" t="s">
        <v>2726</v>
      </c>
      <c r="AD150" s="207" t="s">
        <v>2726</v>
      </c>
      <c r="AE150" s="207" t="s">
        <v>2726</v>
      </c>
      <c r="AF150" s="207" t="s">
        <v>2726</v>
      </c>
      <c r="AG150" s="207" t="s">
        <v>2726</v>
      </c>
      <c r="AH150" s="207" t="s">
        <v>2726</v>
      </c>
      <c r="AI150" s="207" t="s">
        <v>1274</v>
      </c>
      <c r="AJ150" s="207" t="s">
        <v>2726</v>
      </c>
      <c r="AK150" s="207" t="s">
        <v>2927</v>
      </c>
    </row>
    <row r="151" spans="1:37" x14ac:dyDescent="0.25">
      <c r="A151" s="207" t="s">
        <v>2932</v>
      </c>
      <c r="B151" s="207">
        <v>0</v>
      </c>
      <c r="C151" s="207" t="s">
        <v>2726</v>
      </c>
      <c r="D151" s="207" t="s">
        <v>2726</v>
      </c>
      <c r="E151" s="207" t="s">
        <v>2930</v>
      </c>
      <c r="F151" s="207" t="s">
        <v>2728</v>
      </c>
      <c r="G151" s="207" t="s">
        <v>2726</v>
      </c>
      <c r="H151" s="207">
        <v>61</v>
      </c>
      <c r="I151" s="207" t="s">
        <v>2744</v>
      </c>
      <c r="J151" s="207" t="s">
        <v>2730</v>
      </c>
      <c r="K151" s="207" t="s">
        <v>2726</v>
      </c>
      <c r="L151" s="207" t="s">
        <v>2726</v>
      </c>
      <c r="M151" s="207" t="s">
        <v>2898</v>
      </c>
      <c r="N151" s="207" t="s">
        <v>2726</v>
      </c>
      <c r="O151" s="207" t="s">
        <v>2726</v>
      </c>
      <c r="P151" s="207" t="s">
        <v>2732</v>
      </c>
      <c r="Q151" s="207" t="s">
        <v>2733</v>
      </c>
      <c r="R151" s="207">
        <v>120</v>
      </c>
      <c r="S151" s="207" t="s">
        <v>2726</v>
      </c>
      <c r="T151" s="207" t="s">
        <v>1239</v>
      </c>
      <c r="U151" s="207" t="s">
        <v>2899</v>
      </c>
      <c r="V151" s="207" t="s">
        <v>2726</v>
      </c>
      <c r="W151" s="207" t="s">
        <v>2741</v>
      </c>
      <c r="X151" s="207">
        <v>4524000</v>
      </c>
      <c r="Y151" s="207" t="s">
        <v>113</v>
      </c>
      <c r="Z151" s="207" t="s">
        <v>2726</v>
      </c>
      <c r="AA151" s="207" t="s">
        <v>2726</v>
      </c>
      <c r="AB151" s="207" t="s">
        <v>2726</v>
      </c>
      <c r="AC151" s="207" t="s">
        <v>2726</v>
      </c>
      <c r="AD151" s="207" t="s">
        <v>2726</v>
      </c>
      <c r="AE151" s="207" t="s">
        <v>2726</v>
      </c>
      <c r="AF151" s="207" t="s">
        <v>2726</v>
      </c>
      <c r="AG151" s="207" t="s">
        <v>2726</v>
      </c>
      <c r="AH151" s="207" t="s">
        <v>2726</v>
      </c>
      <c r="AI151" s="207" t="s">
        <v>1265</v>
      </c>
      <c r="AJ151" s="207" t="s">
        <v>2726</v>
      </c>
      <c r="AK151" s="207" t="s">
        <v>2930</v>
      </c>
    </row>
    <row r="152" spans="1:37" x14ac:dyDescent="0.25">
      <c r="A152" s="207" t="s">
        <v>2933</v>
      </c>
      <c r="B152" s="207">
        <v>0</v>
      </c>
      <c r="C152" s="207" t="s">
        <v>2726</v>
      </c>
      <c r="D152" s="207" t="s">
        <v>2726</v>
      </c>
      <c r="E152" s="207" t="s">
        <v>2927</v>
      </c>
      <c r="F152" s="207" t="s">
        <v>2728</v>
      </c>
      <c r="G152" s="207" t="s">
        <v>2726</v>
      </c>
      <c r="H152" s="207">
        <v>61</v>
      </c>
      <c r="I152" s="207" t="s">
        <v>2729</v>
      </c>
      <c r="J152" s="207" t="s">
        <v>2730</v>
      </c>
      <c r="K152" s="207" t="s">
        <v>2726</v>
      </c>
      <c r="L152" s="207" t="s">
        <v>2726</v>
      </c>
      <c r="M152" s="207" t="s">
        <v>2851</v>
      </c>
      <c r="N152" s="207" t="s">
        <v>2726</v>
      </c>
      <c r="O152" s="207" t="s">
        <v>2726</v>
      </c>
      <c r="P152" s="207" t="s">
        <v>2732</v>
      </c>
      <c r="Q152" s="207" t="s">
        <v>2733</v>
      </c>
      <c r="R152" s="207">
        <v>220</v>
      </c>
      <c r="S152" s="207" t="s">
        <v>2726</v>
      </c>
      <c r="T152" s="207" t="s">
        <v>1239</v>
      </c>
      <c r="U152" s="207" t="s">
        <v>2928</v>
      </c>
      <c r="V152" s="207" t="s">
        <v>2726</v>
      </c>
      <c r="W152" s="207" t="s">
        <v>629</v>
      </c>
      <c r="X152" s="207">
        <v>-56999040</v>
      </c>
      <c r="Y152" s="207" t="s">
        <v>300</v>
      </c>
      <c r="Z152" s="207" t="s">
        <v>2726</v>
      </c>
      <c r="AA152" s="207" t="s">
        <v>2726</v>
      </c>
      <c r="AB152" s="207" t="s">
        <v>2726</v>
      </c>
      <c r="AC152" s="207" t="s">
        <v>2726</v>
      </c>
      <c r="AD152" s="207" t="s">
        <v>2726</v>
      </c>
      <c r="AE152" s="207" t="s">
        <v>2726</v>
      </c>
      <c r="AF152" s="207" t="s">
        <v>2726</v>
      </c>
      <c r="AG152" s="207" t="s">
        <v>2726</v>
      </c>
      <c r="AH152" s="207" t="s">
        <v>2726</v>
      </c>
      <c r="AI152" s="207" t="s">
        <v>1275</v>
      </c>
      <c r="AJ152" s="207" t="s">
        <v>2726</v>
      </c>
      <c r="AK152" s="207" t="s">
        <v>2927</v>
      </c>
    </row>
    <row r="153" spans="1:37" x14ac:dyDescent="0.25">
      <c r="A153" s="207" t="s">
        <v>2934</v>
      </c>
      <c r="B153" s="207">
        <v>0</v>
      </c>
      <c r="C153" s="207" t="s">
        <v>2726</v>
      </c>
      <c r="D153" s="207" t="s">
        <v>2726</v>
      </c>
      <c r="E153" s="207" t="s">
        <v>2930</v>
      </c>
      <c r="F153" s="207" t="s">
        <v>2728</v>
      </c>
      <c r="G153" s="207" t="s">
        <v>2726</v>
      </c>
      <c r="H153" s="207">
        <v>61</v>
      </c>
      <c r="I153" s="207" t="s">
        <v>2744</v>
      </c>
      <c r="J153" s="207" t="s">
        <v>2730</v>
      </c>
      <c r="K153" s="207" t="s">
        <v>2726</v>
      </c>
      <c r="L153" s="207" t="s">
        <v>2726</v>
      </c>
      <c r="M153" s="207" t="s">
        <v>2898</v>
      </c>
      <c r="N153" s="207" t="s">
        <v>2726</v>
      </c>
      <c r="O153" s="207" t="s">
        <v>2726</v>
      </c>
      <c r="P153" s="207" t="s">
        <v>2732</v>
      </c>
      <c r="Q153" s="207" t="s">
        <v>2733</v>
      </c>
      <c r="R153" s="207">
        <v>120</v>
      </c>
      <c r="S153" s="207" t="s">
        <v>2726</v>
      </c>
      <c r="T153" s="207" t="s">
        <v>1239</v>
      </c>
      <c r="U153" s="207" t="s">
        <v>2899</v>
      </c>
      <c r="V153" s="207" t="s">
        <v>2726</v>
      </c>
      <c r="W153" s="207" t="s">
        <v>2741</v>
      </c>
      <c r="X153" s="207">
        <v>8887184</v>
      </c>
      <c r="Y153" s="207" t="s">
        <v>115</v>
      </c>
      <c r="Z153" s="207" t="s">
        <v>2726</v>
      </c>
      <c r="AA153" s="207" t="s">
        <v>2726</v>
      </c>
      <c r="AB153" s="207" t="s">
        <v>2726</v>
      </c>
      <c r="AC153" s="207" t="s">
        <v>2726</v>
      </c>
      <c r="AD153" s="207" t="s">
        <v>2726</v>
      </c>
      <c r="AE153" s="207" t="s">
        <v>2726</v>
      </c>
      <c r="AF153" s="207" t="s">
        <v>2726</v>
      </c>
      <c r="AG153" s="207" t="s">
        <v>2726</v>
      </c>
      <c r="AH153" s="207" t="s">
        <v>2726</v>
      </c>
      <c r="AI153" s="207" t="s">
        <v>1241</v>
      </c>
      <c r="AJ153" s="207" t="s">
        <v>2726</v>
      </c>
      <c r="AK153" s="207" t="s">
        <v>2930</v>
      </c>
    </row>
    <row r="154" spans="1:37" x14ac:dyDescent="0.25">
      <c r="A154" s="207" t="s">
        <v>2935</v>
      </c>
      <c r="B154" s="207">
        <v>0</v>
      </c>
      <c r="C154" s="207" t="s">
        <v>2726</v>
      </c>
      <c r="D154" s="207" t="s">
        <v>2726</v>
      </c>
      <c r="E154" s="207" t="s">
        <v>2927</v>
      </c>
      <c r="F154" s="207" t="s">
        <v>2728</v>
      </c>
      <c r="G154" s="207" t="s">
        <v>2726</v>
      </c>
      <c r="H154" s="207">
        <v>61</v>
      </c>
      <c r="I154" s="207" t="s">
        <v>2744</v>
      </c>
      <c r="J154" s="207" t="s">
        <v>2730</v>
      </c>
      <c r="K154" s="207" t="s">
        <v>2726</v>
      </c>
      <c r="L154" s="207" t="s">
        <v>2726</v>
      </c>
      <c r="M154" s="207" t="s">
        <v>2851</v>
      </c>
      <c r="N154" s="207" t="s">
        <v>2726</v>
      </c>
      <c r="O154" s="207" t="s">
        <v>2726</v>
      </c>
      <c r="P154" s="207" t="s">
        <v>2732</v>
      </c>
      <c r="Q154" s="207" t="s">
        <v>2733</v>
      </c>
      <c r="R154" s="207">
        <v>120</v>
      </c>
      <c r="S154" s="207" t="s">
        <v>2726</v>
      </c>
      <c r="T154" s="207" t="s">
        <v>1239</v>
      </c>
      <c r="U154" s="207" t="s">
        <v>2852</v>
      </c>
      <c r="V154" s="207" t="s">
        <v>2726</v>
      </c>
      <c r="W154" s="207" t="s">
        <v>2741</v>
      </c>
      <c r="X154" s="207">
        <v>27600000</v>
      </c>
      <c r="Y154" s="207" t="s">
        <v>59</v>
      </c>
      <c r="Z154" s="207" t="s">
        <v>2726</v>
      </c>
      <c r="AA154" s="207" t="s">
        <v>2726</v>
      </c>
      <c r="AB154" s="207" t="s">
        <v>2726</v>
      </c>
      <c r="AC154" s="207" t="s">
        <v>2726</v>
      </c>
      <c r="AD154" s="207" t="s">
        <v>2726</v>
      </c>
      <c r="AE154" s="207" t="s">
        <v>2726</v>
      </c>
      <c r="AF154" s="207" t="s">
        <v>2726</v>
      </c>
      <c r="AG154" s="207" t="s">
        <v>2726</v>
      </c>
      <c r="AH154" s="207" t="s">
        <v>2726</v>
      </c>
      <c r="AI154" s="207" t="s">
        <v>1242</v>
      </c>
      <c r="AJ154" s="207" t="s">
        <v>2726</v>
      </c>
      <c r="AK154" s="207" t="s">
        <v>2927</v>
      </c>
    </row>
    <row r="155" spans="1:37" x14ac:dyDescent="0.25">
      <c r="A155" s="207" t="s">
        <v>2936</v>
      </c>
      <c r="B155" s="207">
        <v>0</v>
      </c>
      <c r="C155" s="207" t="s">
        <v>2726</v>
      </c>
      <c r="D155" s="207" t="s">
        <v>2726</v>
      </c>
      <c r="E155" s="207" t="s">
        <v>2930</v>
      </c>
      <c r="F155" s="207" t="s">
        <v>2728</v>
      </c>
      <c r="G155" s="207" t="s">
        <v>2726</v>
      </c>
      <c r="H155" s="207">
        <v>61</v>
      </c>
      <c r="I155" s="207" t="s">
        <v>2744</v>
      </c>
      <c r="J155" s="207" t="s">
        <v>2730</v>
      </c>
      <c r="K155" s="207" t="s">
        <v>2726</v>
      </c>
      <c r="L155" s="207" t="s">
        <v>2726</v>
      </c>
      <c r="M155" s="207" t="s">
        <v>2898</v>
      </c>
      <c r="N155" s="207" t="s">
        <v>2726</v>
      </c>
      <c r="O155" s="207" t="s">
        <v>2726</v>
      </c>
      <c r="P155" s="207" t="s">
        <v>2732</v>
      </c>
      <c r="Q155" s="207" t="s">
        <v>2733</v>
      </c>
      <c r="R155" s="207">
        <v>120</v>
      </c>
      <c r="S155" s="207" t="s">
        <v>2726</v>
      </c>
      <c r="T155" s="207" t="s">
        <v>1239</v>
      </c>
      <c r="U155" s="207" t="s">
        <v>2899</v>
      </c>
      <c r="V155" s="207" t="s">
        <v>2726</v>
      </c>
      <c r="W155" s="207" t="s">
        <v>2741</v>
      </c>
      <c r="X155" s="207">
        <v>600000</v>
      </c>
      <c r="Y155" s="207" t="s">
        <v>117</v>
      </c>
      <c r="Z155" s="207" t="s">
        <v>2726</v>
      </c>
      <c r="AA155" s="207" t="s">
        <v>2726</v>
      </c>
      <c r="AB155" s="207" t="s">
        <v>2726</v>
      </c>
      <c r="AC155" s="207" t="s">
        <v>2726</v>
      </c>
      <c r="AD155" s="207" t="s">
        <v>2726</v>
      </c>
      <c r="AE155" s="207" t="s">
        <v>2726</v>
      </c>
      <c r="AF155" s="207" t="s">
        <v>2726</v>
      </c>
      <c r="AG155" s="207" t="s">
        <v>2726</v>
      </c>
      <c r="AH155" s="207" t="s">
        <v>2726</v>
      </c>
      <c r="AI155" s="207" t="s">
        <v>1266</v>
      </c>
      <c r="AJ155" s="207" t="s">
        <v>2726</v>
      </c>
      <c r="AK155" s="207" t="s">
        <v>2930</v>
      </c>
    </row>
    <row r="156" spans="1:37" x14ac:dyDescent="0.25">
      <c r="A156" s="207" t="s">
        <v>2937</v>
      </c>
      <c r="B156" s="207">
        <v>0</v>
      </c>
      <c r="C156" s="207" t="s">
        <v>2726</v>
      </c>
      <c r="D156" s="207" t="s">
        <v>2726</v>
      </c>
      <c r="E156" s="207" t="s">
        <v>2927</v>
      </c>
      <c r="F156" s="207" t="s">
        <v>2728</v>
      </c>
      <c r="G156" s="207" t="s">
        <v>2726</v>
      </c>
      <c r="H156" s="207">
        <v>61</v>
      </c>
      <c r="I156" s="207" t="s">
        <v>2744</v>
      </c>
      <c r="J156" s="207" t="s">
        <v>2730</v>
      </c>
      <c r="K156" s="207" t="s">
        <v>2726</v>
      </c>
      <c r="L156" s="207" t="s">
        <v>2726</v>
      </c>
      <c r="M156" s="207" t="s">
        <v>2851</v>
      </c>
      <c r="N156" s="207" t="s">
        <v>2726</v>
      </c>
      <c r="O156" s="207" t="s">
        <v>2726</v>
      </c>
      <c r="P156" s="207" t="s">
        <v>2732</v>
      </c>
      <c r="Q156" s="207" t="s">
        <v>2733</v>
      </c>
      <c r="R156" s="207">
        <v>120</v>
      </c>
      <c r="S156" s="207" t="s">
        <v>2726</v>
      </c>
      <c r="T156" s="207" t="s">
        <v>1239</v>
      </c>
      <c r="U156" s="207" t="s">
        <v>2852</v>
      </c>
      <c r="V156" s="207" t="s">
        <v>2726</v>
      </c>
      <c r="W156" s="207" t="s">
        <v>2741</v>
      </c>
      <c r="X156" s="207">
        <v>570000</v>
      </c>
      <c r="Y156" s="207" t="s">
        <v>72</v>
      </c>
      <c r="Z156" s="207" t="s">
        <v>2726</v>
      </c>
      <c r="AA156" s="207" t="s">
        <v>2726</v>
      </c>
      <c r="AB156" s="207" t="s">
        <v>2726</v>
      </c>
      <c r="AC156" s="207" t="s">
        <v>2726</v>
      </c>
      <c r="AD156" s="207" t="s">
        <v>2726</v>
      </c>
      <c r="AE156" s="207" t="s">
        <v>2726</v>
      </c>
      <c r="AF156" s="207" t="s">
        <v>2726</v>
      </c>
      <c r="AG156" s="207" t="s">
        <v>2726</v>
      </c>
      <c r="AH156" s="207" t="s">
        <v>2726</v>
      </c>
      <c r="AI156" s="207" t="s">
        <v>1257</v>
      </c>
      <c r="AJ156" s="207" t="s">
        <v>2726</v>
      </c>
      <c r="AK156" s="207" t="s">
        <v>2927</v>
      </c>
    </row>
    <row r="157" spans="1:37" x14ac:dyDescent="0.25">
      <c r="A157" s="207" t="s">
        <v>2938</v>
      </c>
      <c r="B157" s="207">
        <v>0</v>
      </c>
      <c r="C157" s="207" t="s">
        <v>2726</v>
      </c>
      <c r="D157" s="207" t="s">
        <v>2726</v>
      </c>
      <c r="E157" s="207" t="s">
        <v>2930</v>
      </c>
      <c r="F157" s="207" t="s">
        <v>2728</v>
      </c>
      <c r="G157" s="207" t="s">
        <v>2726</v>
      </c>
      <c r="H157" s="207">
        <v>61</v>
      </c>
      <c r="I157" s="207" t="s">
        <v>2744</v>
      </c>
      <c r="J157" s="207" t="s">
        <v>2730</v>
      </c>
      <c r="K157" s="207" t="s">
        <v>2726</v>
      </c>
      <c r="L157" s="207" t="s">
        <v>2726</v>
      </c>
      <c r="M157" s="207" t="s">
        <v>2898</v>
      </c>
      <c r="N157" s="207" t="s">
        <v>2726</v>
      </c>
      <c r="O157" s="207" t="s">
        <v>2726</v>
      </c>
      <c r="P157" s="207" t="s">
        <v>2732</v>
      </c>
      <c r="Q157" s="207" t="s">
        <v>2733</v>
      </c>
      <c r="R157" s="207">
        <v>120</v>
      </c>
      <c r="S157" s="207" t="s">
        <v>2726</v>
      </c>
      <c r="T157" s="207" t="s">
        <v>1239</v>
      </c>
      <c r="U157" s="207" t="s">
        <v>2899</v>
      </c>
      <c r="V157" s="207" t="s">
        <v>2726</v>
      </c>
      <c r="W157" s="207" t="s">
        <v>2741</v>
      </c>
      <c r="X157" s="207">
        <v>6224662</v>
      </c>
      <c r="Y157" s="207" t="s">
        <v>121</v>
      </c>
      <c r="Z157" s="207" t="s">
        <v>2726</v>
      </c>
      <c r="AA157" s="207" t="s">
        <v>2726</v>
      </c>
      <c r="AB157" s="207" t="s">
        <v>2726</v>
      </c>
      <c r="AC157" s="207" t="s">
        <v>2726</v>
      </c>
      <c r="AD157" s="207" t="s">
        <v>2726</v>
      </c>
      <c r="AE157" s="207" t="s">
        <v>2726</v>
      </c>
      <c r="AF157" s="207" t="s">
        <v>2726</v>
      </c>
      <c r="AG157" s="207" t="s">
        <v>2726</v>
      </c>
      <c r="AH157" s="207" t="s">
        <v>2726</v>
      </c>
      <c r="AI157" s="207" t="s">
        <v>1268</v>
      </c>
      <c r="AJ157" s="207" t="s">
        <v>2726</v>
      </c>
      <c r="AK157" s="207" t="s">
        <v>2930</v>
      </c>
    </row>
    <row r="158" spans="1:37" x14ac:dyDescent="0.25">
      <c r="A158" s="207" t="s">
        <v>2939</v>
      </c>
      <c r="B158" s="207">
        <v>0</v>
      </c>
      <c r="C158" s="207" t="s">
        <v>2726</v>
      </c>
      <c r="D158" s="207" t="s">
        <v>2726</v>
      </c>
      <c r="E158" s="207" t="s">
        <v>2927</v>
      </c>
      <c r="F158" s="207" t="s">
        <v>2728</v>
      </c>
      <c r="G158" s="207" t="s">
        <v>2726</v>
      </c>
      <c r="H158" s="207">
        <v>61</v>
      </c>
      <c r="I158" s="207" t="s">
        <v>2744</v>
      </c>
      <c r="J158" s="207" t="s">
        <v>2730</v>
      </c>
      <c r="K158" s="207" t="s">
        <v>2726</v>
      </c>
      <c r="L158" s="207" t="s">
        <v>2726</v>
      </c>
      <c r="M158" s="207" t="s">
        <v>2851</v>
      </c>
      <c r="N158" s="207" t="s">
        <v>2726</v>
      </c>
      <c r="O158" s="207" t="s">
        <v>2726</v>
      </c>
      <c r="P158" s="207" t="s">
        <v>2732</v>
      </c>
      <c r="Q158" s="207" t="s">
        <v>2733</v>
      </c>
      <c r="R158" s="207">
        <v>120</v>
      </c>
      <c r="S158" s="207" t="s">
        <v>2726</v>
      </c>
      <c r="T158" s="207" t="s">
        <v>1239</v>
      </c>
      <c r="U158" s="207" t="s">
        <v>2852</v>
      </c>
      <c r="V158" s="207" t="s">
        <v>2726</v>
      </c>
      <c r="W158" s="207" t="s">
        <v>2741</v>
      </c>
      <c r="X158" s="207">
        <v>97524</v>
      </c>
      <c r="Y158" s="207" t="s">
        <v>76</v>
      </c>
      <c r="Z158" s="207" t="s">
        <v>2726</v>
      </c>
      <c r="AA158" s="207" t="s">
        <v>2726</v>
      </c>
      <c r="AB158" s="207" t="s">
        <v>2726</v>
      </c>
      <c r="AC158" s="207" t="s">
        <v>2726</v>
      </c>
      <c r="AD158" s="207" t="s">
        <v>2726</v>
      </c>
      <c r="AE158" s="207" t="s">
        <v>2726</v>
      </c>
      <c r="AF158" s="207" t="s">
        <v>2726</v>
      </c>
      <c r="AG158" s="207" t="s">
        <v>2726</v>
      </c>
      <c r="AH158" s="207" t="s">
        <v>2726</v>
      </c>
      <c r="AI158" s="207" t="s">
        <v>1258</v>
      </c>
      <c r="AJ158" s="207" t="s">
        <v>2726</v>
      </c>
      <c r="AK158" s="207" t="s">
        <v>2927</v>
      </c>
    </row>
    <row r="159" spans="1:37" x14ac:dyDescent="0.25">
      <c r="A159" s="207" t="s">
        <v>2940</v>
      </c>
      <c r="B159" s="207">
        <v>0</v>
      </c>
      <c r="C159" s="207" t="s">
        <v>2726</v>
      </c>
      <c r="D159" s="207" t="s">
        <v>2726</v>
      </c>
      <c r="E159" s="207" t="s">
        <v>2930</v>
      </c>
      <c r="F159" s="207" t="s">
        <v>2728</v>
      </c>
      <c r="G159" s="207" t="s">
        <v>2726</v>
      </c>
      <c r="H159" s="207">
        <v>61</v>
      </c>
      <c r="I159" s="207" t="s">
        <v>2744</v>
      </c>
      <c r="J159" s="207" t="s">
        <v>2730</v>
      </c>
      <c r="K159" s="207" t="s">
        <v>2726</v>
      </c>
      <c r="L159" s="207" t="s">
        <v>2726</v>
      </c>
      <c r="M159" s="207" t="s">
        <v>2898</v>
      </c>
      <c r="N159" s="207" t="s">
        <v>2726</v>
      </c>
      <c r="O159" s="207" t="s">
        <v>2726</v>
      </c>
      <c r="P159" s="207" t="s">
        <v>2732</v>
      </c>
      <c r="Q159" s="207" t="s">
        <v>2733</v>
      </c>
      <c r="R159" s="207">
        <v>120</v>
      </c>
      <c r="S159" s="207" t="s">
        <v>2726</v>
      </c>
      <c r="T159" s="207" t="s">
        <v>1239</v>
      </c>
      <c r="U159" s="207" t="s">
        <v>2899</v>
      </c>
      <c r="V159" s="207" t="s">
        <v>2726</v>
      </c>
      <c r="W159" s="207" t="s">
        <v>2741</v>
      </c>
      <c r="X159" s="207">
        <v>60000</v>
      </c>
      <c r="Y159" s="207" t="s">
        <v>129</v>
      </c>
      <c r="Z159" s="207" t="s">
        <v>2726</v>
      </c>
      <c r="AA159" s="207" t="s">
        <v>2726</v>
      </c>
      <c r="AB159" s="207" t="s">
        <v>2726</v>
      </c>
      <c r="AC159" s="207" t="s">
        <v>2726</v>
      </c>
      <c r="AD159" s="207" t="s">
        <v>2726</v>
      </c>
      <c r="AE159" s="207" t="s">
        <v>2726</v>
      </c>
      <c r="AF159" s="207" t="s">
        <v>2726</v>
      </c>
      <c r="AG159" s="207" t="s">
        <v>2726</v>
      </c>
      <c r="AH159" s="207" t="s">
        <v>2726</v>
      </c>
      <c r="AI159" s="207" t="s">
        <v>1252</v>
      </c>
      <c r="AJ159" s="207" t="s">
        <v>2726</v>
      </c>
      <c r="AK159" s="207" t="s">
        <v>2930</v>
      </c>
    </row>
    <row r="160" spans="1:37" x14ac:dyDescent="0.25">
      <c r="A160" s="207" t="s">
        <v>2941</v>
      </c>
      <c r="B160" s="207">
        <v>0</v>
      </c>
      <c r="C160" s="207" t="s">
        <v>2726</v>
      </c>
      <c r="D160" s="207" t="s">
        <v>2726</v>
      </c>
      <c r="E160" s="207" t="s">
        <v>2927</v>
      </c>
      <c r="F160" s="207" t="s">
        <v>2728</v>
      </c>
      <c r="G160" s="207" t="s">
        <v>2726</v>
      </c>
      <c r="H160" s="207">
        <v>61</v>
      </c>
      <c r="I160" s="207" t="s">
        <v>2744</v>
      </c>
      <c r="J160" s="207" t="s">
        <v>2730</v>
      </c>
      <c r="K160" s="207" t="s">
        <v>2726</v>
      </c>
      <c r="L160" s="207" t="s">
        <v>2726</v>
      </c>
      <c r="M160" s="207" t="s">
        <v>2851</v>
      </c>
      <c r="N160" s="207" t="s">
        <v>2726</v>
      </c>
      <c r="O160" s="207" t="s">
        <v>2726</v>
      </c>
      <c r="P160" s="207" t="s">
        <v>2732</v>
      </c>
      <c r="Q160" s="207" t="s">
        <v>2733</v>
      </c>
      <c r="R160" s="207">
        <v>120</v>
      </c>
      <c r="S160" s="207" t="s">
        <v>2726</v>
      </c>
      <c r="T160" s="207" t="s">
        <v>1239</v>
      </c>
      <c r="U160" s="207" t="s">
        <v>2852</v>
      </c>
      <c r="V160" s="207" t="s">
        <v>2726</v>
      </c>
      <c r="W160" s="207" t="s">
        <v>2741</v>
      </c>
      <c r="X160" s="207">
        <v>60000</v>
      </c>
      <c r="Y160" s="207" t="s">
        <v>84</v>
      </c>
      <c r="Z160" s="207" t="s">
        <v>2726</v>
      </c>
      <c r="AA160" s="207" t="s">
        <v>2726</v>
      </c>
      <c r="AB160" s="207" t="s">
        <v>2726</v>
      </c>
      <c r="AC160" s="207" t="s">
        <v>2726</v>
      </c>
      <c r="AD160" s="207" t="s">
        <v>2726</v>
      </c>
      <c r="AE160" s="207" t="s">
        <v>2726</v>
      </c>
      <c r="AF160" s="207" t="s">
        <v>2726</v>
      </c>
      <c r="AG160" s="207" t="s">
        <v>2726</v>
      </c>
      <c r="AH160" s="207" t="s">
        <v>2726</v>
      </c>
      <c r="AI160" s="207" t="s">
        <v>1300</v>
      </c>
      <c r="AJ160" s="207" t="s">
        <v>2726</v>
      </c>
      <c r="AK160" s="207" t="s">
        <v>2927</v>
      </c>
    </row>
    <row r="161" spans="1:37" x14ac:dyDescent="0.25">
      <c r="A161" s="207" t="s">
        <v>2942</v>
      </c>
      <c r="B161" s="207">
        <v>0</v>
      </c>
      <c r="C161" s="207" t="s">
        <v>2726</v>
      </c>
      <c r="D161" s="207" t="s">
        <v>2726</v>
      </c>
      <c r="E161" s="207" t="s">
        <v>2930</v>
      </c>
      <c r="F161" s="207" t="s">
        <v>2728</v>
      </c>
      <c r="G161" s="207" t="s">
        <v>2726</v>
      </c>
      <c r="H161" s="207">
        <v>61</v>
      </c>
      <c r="I161" s="207" t="s">
        <v>2744</v>
      </c>
      <c r="J161" s="207" t="s">
        <v>2730</v>
      </c>
      <c r="K161" s="207" t="s">
        <v>2726</v>
      </c>
      <c r="L161" s="207" t="s">
        <v>2726</v>
      </c>
      <c r="M161" s="207" t="s">
        <v>2898</v>
      </c>
      <c r="N161" s="207" t="s">
        <v>2726</v>
      </c>
      <c r="O161" s="207" t="s">
        <v>2726</v>
      </c>
      <c r="P161" s="207" t="s">
        <v>2732</v>
      </c>
      <c r="Q161" s="207" t="s">
        <v>2733</v>
      </c>
      <c r="R161" s="207">
        <v>120</v>
      </c>
      <c r="S161" s="207" t="s">
        <v>2726</v>
      </c>
      <c r="T161" s="207" t="s">
        <v>1239</v>
      </c>
      <c r="U161" s="207" t="s">
        <v>2899</v>
      </c>
      <c r="V161" s="207" t="s">
        <v>2726</v>
      </c>
      <c r="W161" s="207" t="s">
        <v>2741</v>
      </c>
      <c r="X161" s="207">
        <v>1968504</v>
      </c>
      <c r="Y161" s="207" t="s">
        <v>184</v>
      </c>
      <c r="Z161" s="207" t="s">
        <v>2726</v>
      </c>
      <c r="AA161" s="207" t="s">
        <v>2726</v>
      </c>
      <c r="AB161" s="207" t="s">
        <v>2726</v>
      </c>
      <c r="AC161" s="207" t="s">
        <v>2726</v>
      </c>
      <c r="AD161" s="207" t="s">
        <v>2726</v>
      </c>
      <c r="AE161" s="207" t="s">
        <v>2726</v>
      </c>
      <c r="AF161" s="207" t="s">
        <v>2726</v>
      </c>
      <c r="AG161" s="207" t="s">
        <v>2726</v>
      </c>
      <c r="AH161" s="207" t="s">
        <v>2726</v>
      </c>
      <c r="AI161" s="207" t="s">
        <v>1782</v>
      </c>
      <c r="AJ161" s="207" t="s">
        <v>2726</v>
      </c>
      <c r="AK161" s="207" t="s">
        <v>2930</v>
      </c>
    </row>
    <row r="162" spans="1:37" x14ac:dyDescent="0.25">
      <c r="A162" s="207" t="s">
        <v>2943</v>
      </c>
      <c r="B162" s="207">
        <v>0</v>
      </c>
      <c r="C162" s="207" t="s">
        <v>2726</v>
      </c>
      <c r="D162" s="207" t="s">
        <v>2726</v>
      </c>
      <c r="E162" s="207" t="s">
        <v>2927</v>
      </c>
      <c r="F162" s="207" t="s">
        <v>2728</v>
      </c>
      <c r="G162" s="207" t="s">
        <v>2726</v>
      </c>
      <c r="H162" s="207">
        <v>61</v>
      </c>
      <c r="I162" s="207" t="s">
        <v>2744</v>
      </c>
      <c r="J162" s="207" t="s">
        <v>2730</v>
      </c>
      <c r="K162" s="207" t="s">
        <v>2726</v>
      </c>
      <c r="L162" s="207" t="s">
        <v>2726</v>
      </c>
      <c r="M162" s="207" t="s">
        <v>2851</v>
      </c>
      <c r="N162" s="207" t="s">
        <v>2726</v>
      </c>
      <c r="O162" s="207" t="s">
        <v>2726</v>
      </c>
      <c r="P162" s="207" t="s">
        <v>2732</v>
      </c>
      <c r="Q162" s="207" t="s">
        <v>2733</v>
      </c>
      <c r="R162" s="207">
        <v>120</v>
      </c>
      <c r="S162" s="207" t="s">
        <v>2726</v>
      </c>
      <c r="T162" s="207" t="s">
        <v>1239</v>
      </c>
      <c r="U162" s="207" t="s">
        <v>2852</v>
      </c>
      <c r="V162" s="207" t="s">
        <v>2726</v>
      </c>
      <c r="W162" s="207" t="s">
        <v>2741</v>
      </c>
      <c r="X162" s="207">
        <v>840000</v>
      </c>
      <c r="Y162" s="207" t="s">
        <v>88</v>
      </c>
      <c r="Z162" s="207" t="s">
        <v>2726</v>
      </c>
      <c r="AA162" s="207" t="s">
        <v>2726</v>
      </c>
      <c r="AB162" s="207" t="s">
        <v>2726</v>
      </c>
      <c r="AC162" s="207" t="s">
        <v>2726</v>
      </c>
      <c r="AD162" s="207" t="s">
        <v>2726</v>
      </c>
      <c r="AE162" s="207" t="s">
        <v>2726</v>
      </c>
      <c r="AF162" s="207" t="s">
        <v>2726</v>
      </c>
      <c r="AG162" s="207" t="s">
        <v>2726</v>
      </c>
      <c r="AH162" s="207" t="s">
        <v>2726</v>
      </c>
      <c r="AI162" s="207" t="s">
        <v>1245</v>
      </c>
      <c r="AJ162" s="207" t="s">
        <v>2726</v>
      </c>
      <c r="AK162" s="207" t="s">
        <v>2927</v>
      </c>
    </row>
    <row r="163" spans="1:37" x14ac:dyDescent="0.25">
      <c r="A163" s="207" t="s">
        <v>2944</v>
      </c>
      <c r="B163" s="207">
        <v>0</v>
      </c>
      <c r="C163" s="207" t="s">
        <v>2726</v>
      </c>
      <c r="D163" s="207" t="s">
        <v>2726</v>
      </c>
      <c r="E163" s="207" t="s">
        <v>2930</v>
      </c>
      <c r="F163" s="207" t="s">
        <v>2728</v>
      </c>
      <c r="G163" s="207" t="s">
        <v>2726</v>
      </c>
      <c r="H163" s="207">
        <v>61</v>
      </c>
      <c r="I163" s="207" t="s">
        <v>2744</v>
      </c>
      <c r="J163" s="207" t="s">
        <v>2730</v>
      </c>
      <c r="K163" s="207" t="s">
        <v>2726</v>
      </c>
      <c r="L163" s="207" t="s">
        <v>2726</v>
      </c>
      <c r="M163" s="207" t="s">
        <v>2898</v>
      </c>
      <c r="N163" s="207" t="s">
        <v>2726</v>
      </c>
      <c r="O163" s="207" t="s">
        <v>2726</v>
      </c>
      <c r="P163" s="207" t="s">
        <v>2732</v>
      </c>
      <c r="Q163" s="207" t="s">
        <v>2733</v>
      </c>
      <c r="R163" s="207">
        <v>120</v>
      </c>
      <c r="S163" s="207" t="s">
        <v>2726</v>
      </c>
      <c r="T163" s="207" t="s">
        <v>1239</v>
      </c>
      <c r="U163" s="207" t="s">
        <v>2899</v>
      </c>
      <c r="V163" s="207" t="s">
        <v>2726</v>
      </c>
      <c r="W163" s="207" t="s">
        <v>2741</v>
      </c>
      <c r="X163" s="207">
        <v>1574804</v>
      </c>
      <c r="Y163" s="207" t="s">
        <v>185</v>
      </c>
      <c r="Z163" s="207" t="s">
        <v>2726</v>
      </c>
      <c r="AA163" s="207" t="s">
        <v>2726</v>
      </c>
      <c r="AB163" s="207" t="s">
        <v>2726</v>
      </c>
      <c r="AC163" s="207" t="s">
        <v>2726</v>
      </c>
      <c r="AD163" s="207" t="s">
        <v>2726</v>
      </c>
      <c r="AE163" s="207" t="s">
        <v>2726</v>
      </c>
      <c r="AF163" s="207" t="s">
        <v>2726</v>
      </c>
      <c r="AG163" s="207" t="s">
        <v>2726</v>
      </c>
      <c r="AH163" s="207" t="s">
        <v>2726</v>
      </c>
      <c r="AI163" s="207" t="s">
        <v>1269</v>
      </c>
      <c r="AJ163" s="207" t="s">
        <v>2726</v>
      </c>
      <c r="AK163" s="207" t="s">
        <v>2930</v>
      </c>
    </row>
    <row r="164" spans="1:37" x14ac:dyDescent="0.25">
      <c r="A164" s="207" t="s">
        <v>2945</v>
      </c>
      <c r="B164" s="207">
        <v>0</v>
      </c>
      <c r="C164" s="207" t="s">
        <v>2726</v>
      </c>
      <c r="D164" s="207" t="s">
        <v>2726</v>
      </c>
      <c r="E164" s="207" t="s">
        <v>2927</v>
      </c>
      <c r="F164" s="207" t="s">
        <v>2728</v>
      </c>
      <c r="G164" s="207" t="s">
        <v>2726</v>
      </c>
      <c r="H164" s="207">
        <v>61</v>
      </c>
      <c r="I164" s="207" t="s">
        <v>2744</v>
      </c>
      <c r="J164" s="207" t="s">
        <v>2730</v>
      </c>
      <c r="K164" s="207" t="s">
        <v>2726</v>
      </c>
      <c r="L164" s="207" t="s">
        <v>2726</v>
      </c>
      <c r="M164" s="207" t="s">
        <v>2851</v>
      </c>
      <c r="N164" s="207" t="s">
        <v>2726</v>
      </c>
      <c r="O164" s="207" t="s">
        <v>2726</v>
      </c>
      <c r="P164" s="207" t="s">
        <v>2732</v>
      </c>
      <c r="Q164" s="207" t="s">
        <v>2733</v>
      </c>
      <c r="R164" s="207">
        <v>120</v>
      </c>
      <c r="S164" s="207" t="s">
        <v>2726</v>
      </c>
      <c r="T164" s="207" t="s">
        <v>1239</v>
      </c>
      <c r="U164" s="207" t="s">
        <v>2852</v>
      </c>
      <c r="V164" s="207" t="s">
        <v>2726</v>
      </c>
      <c r="W164" s="207" t="s">
        <v>2741</v>
      </c>
      <c r="X164" s="207">
        <v>3856800</v>
      </c>
      <c r="Y164" s="207" t="s">
        <v>92</v>
      </c>
      <c r="Z164" s="207" t="s">
        <v>2726</v>
      </c>
      <c r="AA164" s="207" t="s">
        <v>2726</v>
      </c>
      <c r="AB164" s="207" t="s">
        <v>2726</v>
      </c>
      <c r="AC164" s="207" t="s">
        <v>2726</v>
      </c>
      <c r="AD164" s="207" t="s">
        <v>2726</v>
      </c>
      <c r="AE164" s="207" t="s">
        <v>2726</v>
      </c>
      <c r="AF164" s="207" t="s">
        <v>2726</v>
      </c>
      <c r="AG164" s="207" t="s">
        <v>2726</v>
      </c>
      <c r="AH164" s="207" t="s">
        <v>2726</v>
      </c>
      <c r="AI164" s="207" t="s">
        <v>317</v>
      </c>
      <c r="AJ164" s="207" t="s">
        <v>2726</v>
      </c>
      <c r="AK164" s="207" t="s">
        <v>2927</v>
      </c>
    </row>
    <row r="165" spans="1:37" x14ac:dyDescent="0.25">
      <c r="A165" s="207" t="s">
        <v>2946</v>
      </c>
      <c r="B165" s="207">
        <v>0</v>
      </c>
      <c r="C165" s="207" t="s">
        <v>2726</v>
      </c>
      <c r="D165" s="207" t="s">
        <v>2726</v>
      </c>
      <c r="E165" s="207" t="s">
        <v>2930</v>
      </c>
      <c r="F165" s="207" t="s">
        <v>2728</v>
      </c>
      <c r="G165" s="207" t="s">
        <v>2726</v>
      </c>
      <c r="H165" s="207">
        <v>61</v>
      </c>
      <c r="I165" s="207" t="s">
        <v>2744</v>
      </c>
      <c r="J165" s="207" t="s">
        <v>2730</v>
      </c>
      <c r="K165" s="207" t="s">
        <v>2726</v>
      </c>
      <c r="L165" s="207" t="s">
        <v>2726</v>
      </c>
      <c r="M165" s="207" t="s">
        <v>2898</v>
      </c>
      <c r="N165" s="207" t="s">
        <v>2726</v>
      </c>
      <c r="O165" s="207" t="s">
        <v>2726</v>
      </c>
      <c r="P165" s="207" t="s">
        <v>2732</v>
      </c>
      <c r="Q165" s="207" t="s">
        <v>2733</v>
      </c>
      <c r="R165" s="207">
        <v>120</v>
      </c>
      <c r="S165" s="207" t="s">
        <v>2726</v>
      </c>
      <c r="T165" s="207" t="s">
        <v>1239</v>
      </c>
      <c r="U165" s="207" t="s">
        <v>2899</v>
      </c>
      <c r="V165" s="207" t="s">
        <v>2726</v>
      </c>
      <c r="W165" s="207" t="s">
        <v>2741</v>
      </c>
      <c r="X165" s="207">
        <v>956692</v>
      </c>
      <c r="Y165" s="207" t="s">
        <v>188</v>
      </c>
      <c r="Z165" s="207" t="s">
        <v>2726</v>
      </c>
      <c r="AA165" s="207" t="s">
        <v>2726</v>
      </c>
      <c r="AB165" s="207" t="s">
        <v>2726</v>
      </c>
      <c r="AC165" s="207" t="s">
        <v>2726</v>
      </c>
      <c r="AD165" s="207" t="s">
        <v>2726</v>
      </c>
      <c r="AE165" s="207" t="s">
        <v>2726</v>
      </c>
      <c r="AF165" s="207" t="s">
        <v>2726</v>
      </c>
      <c r="AG165" s="207" t="s">
        <v>2726</v>
      </c>
      <c r="AH165" s="207" t="s">
        <v>2726</v>
      </c>
      <c r="AI165" s="207" t="s">
        <v>1270</v>
      </c>
      <c r="AJ165" s="207" t="s">
        <v>2726</v>
      </c>
      <c r="AK165" s="207" t="s">
        <v>2930</v>
      </c>
    </row>
    <row r="166" spans="1:37" x14ac:dyDescent="0.25">
      <c r="A166" s="207" t="s">
        <v>2947</v>
      </c>
      <c r="B166" s="207">
        <v>0</v>
      </c>
      <c r="C166" s="207" t="s">
        <v>2726</v>
      </c>
      <c r="D166" s="207" t="s">
        <v>2726</v>
      </c>
      <c r="E166" s="207" t="s">
        <v>2927</v>
      </c>
      <c r="F166" s="207" t="s">
        <v>2728</v>
      </c>
      <c r="G166" s="207" t="s">
        <v>2726</v>
      </c>
      <c r="H166" s="207">
        <v>61</v>
      </c>
      <c r="I166" s="207" t="s">
        <v>2744</v>
      </c>
      <c r="J166" s="207" t="s">
        <v>2730</v>
      </c>
      <c r="K166" s="207" t="s">
        <v>2726</v>
      </c>
      <c r="L166" s="207" t="s">
        <v>2726</v>
      </c>
      <c r="M166" s="207" t="s">
        <v>2851</v>
      </c>
      <c r="N166" s="207" t="s">
        <v>2726</v>
      </c>
      <c r="O166" s="207" t="s">
        <v>2726</v>
      </c>
      <c r="P166" s="207" t="s">
        <v>2732</v>
      </c>
      <c r="Q166" s="207" t="s">
        <v>2733</v>
      </c>
      <c r="R166" s="207">
        <v>120</v>
      </c>
      <c r="S166" s="207" t="s">
        <v>2726</v>
      </c>
      <c r="T166" s="207" t="s">
        <v>1239</v>
      </c>
      <c r="U166" s="207" t="s">
        <v>2852</v>
      </c>
      <c r="V166" s="207" t="s">
        <v>2726</v>
      </c>
      <c r="W166" s="207" t="s">
        <v>2741</v>
      </c>
      <c r="X166" s="207">
        <v>620000</v>
      </c>
      <c r="Y166" s="207" t="s">
        <v>96</v>
      </c>
      <c r="Z166" s="207" t="s">
        <v>2726</v>
      </c>
      <c r="AA166" s="207" t="s">
        <v>2726</v>
      </c>
      <c r="AB166" s="207" t="s">
        <v>2726</v>
      </c>
      <c r="AC166" s="207" t="s">
        <v>2726</v>
      </c>
      <c r="AD166" s="207" t="s">
        <v>2726</v>
      </c>
      <c r="AE166" s="207" t="s">
        <v>2726</v>
      </c>
      <c r="AF166" s="207" t="s">
        <v>2726</v>
      </c>
      <c r="AG166" s="207" t="s">
        <v>2726</v>
      </c>
      <c r="AH166" s="207" t="s">
        <v>2726</v>
      </c>
      <c r="AI166" s="207" t="s">
        <v>1240</v>
      </c>
      <c r="AJ166" s="207" t="s">
        <v>2726</v>
      </c>
      <c r="AK166" s="207" t="s">
        <v>2927</v>
      </c>
    </row>
    <row r="167" spans="1:37" x14ac:dyDescent="0.25">
      <c r="A167" s="207" t="s">
        <v>2948</v>
      </c>
      <c r="B167" s="207">
        <v>0</v>
      </c>
      <c r="C167" s="207" t="s">
        <v>2726</v>
      </c>
      <c r="D167" s="207" t="s">
        <v>2726</v>
      </c>
      <c r="E167" s="207" t="s">
        <v>2930</v>
      </c>
      <c r="F167" s="207" t="s">
        <v>2728</v>
      </c>
      <c r="G167" s="207" t="s">
        <v>2726</v>
      </c>
      <c r="H167" s="207">
        <v>61</v>
      </c>
      <c r="I167" s="207" t="s">
        <v>2729</v>
      </c>
      <c r="J167" s="207" t="s">
        <v>2730</v>
      </c>
      <c r="K167" s="207" t="s">
        <v>2726</v>
      </c>
      <c r="L167" s="207" t="s">
        <v>2726</v>
      </c>
      <c r="M167" s="207" t="s">
        <v>2898</v>
      </c>
      <c r="N167" s="207" t="s">
        <v>2726</v>
      </c>
      <c r="O167" s="207" t="s">
        <v>2726</v>
      </c>
      <c r="P167" s="207" t="s">
        <v>2732</v>
      </c>
      <c r="Q167" s="207" t="s">
        <v>2733</v>
      </c>
      <c r="R167" s="207">
        <v>220</v>
      </c>
      <c r="S167" s="207" t="s">
        <v>2726</v>
      </c>
      <c r="T167" s="207" t="s">
        <v>1239</v>
      </c>
      <c r="U167" s="207" t="s">
        <v>2949</v>
      </c>
      <c r="V167" s="207" t="s">
        <v>2726</v>
      </c>
      <c r="W167" s="207" t="s">
        <v>629</v>
      </c>
      <c r="X167" s="207">
        <v>-1000000</v>
      </c>
      <c r="Y167" s="207" t="s">
        <v>262</v>
      </c>
      <c r="Z167" s="207" t="s">
        <v>2726</v>
      </c>
      <c r="AA167" s="207" t="s">
        <v>2726</v>
      </c>
      <c r="AB167" s="207" t="s">
        <v>2726</v>
      </c>
      <c r="AC167" s="207" t="s">
        <v>2726</v>
      </c>
      <c r="AD167" s="207" t="s">
        <v>2726</v>
      </c>
      <c r="AE167" s="207" t="s">
        <v>2726</v>
      </c>
      <c r="AF167" s="207" t="s">
        <v>2726</v>
      </c>
      <c r="AG167" s="207" t="s">
        <v>2726</v>
      </c>
      <c r="AH167" s="207" t="s">
        <v>2726</v>
      </c>
      <c r="AI167" s="207" t="s">
        <v>1279</v>
      </c>
      <c r="AJ167" s="207" t="s">
        <v>2726</v>
      </c>
      <c r="AK167" s="207" t="s">
        <v>2930</v>
      </c>
    </row>
    <row r="168" spans="1:37" x14ac:dyDescent="0.25">
      <c r="A168" s="207" t="s">
        <v>2950</v>
      </c>
      <c r="B168" s="207">
        <v>0</v>
      </c>
      <c r="C168" s="207" t="s">
        <v>2726</v>
      </c>
      <c r="D168" s="207" t="s">
        <v>2726</v>
      </c>
      <c r="E168" s="207" t="s">
        <v>2927</v>
      </c>
      <c r="F168" s="207" t="s">
        <v>2728</v>
      </c>
      <c r="G168" s="207" t="s">
        <v>2726</v>
      </c>
      <c r="H168" s="207">
        <v>61</v>
      </c>
      <c r="I168" s="207" t="s">
        <v>2744</v>
      </c>
      <c r="J168" s="207" t="s">
        <v>2730</v>
      </c>
      <c r="K168" s="207" t="s">
        <v>2726</v>
      </c>
      <c r="L168" s="207" t="s">
        <v>2726</v>
      </c>
      <c r="M168" s="207" t="s">
        <v>2851</v>
      </c>
      <c r="N168" s="207" t="s">
        <v>2726</v>
      </c>
      <c r="O168" s="207" t="s">
        <v>2726</v>
      </c>
      <c r="P168" s="207" t="s">
        <v>2732</v>
      </c>
      <c r="Q168" s="207" t="s">
        <v>2733</v>
      </c>
      <c r="R168" s="207">
        <v>120</v>
      </c>
      <c r="S168" s="207" t="s">
        <v>2726</v>
      </c>
      <c r="T168" s="207" t="s">
        <v>1239</v>
      </c>
      <c r="U168" s="207" t="s">
        <v>2852</v>
      </c>
      <c r="V168" s="207" t="s">
        <v>2726</v>
      </c>
      <c r="W168" s="207" t="s">
        <v>2741</v>
      </c>
      <c r="X168" s="207">
        <v>778920</v>
      </c>
      <c r="Y168" s="207" t="s">
        <v>100</v>
      </c>
      <c r="Z168" s="207" t="s">
        <v>2726</v>
      </c>
      <c r="AA168" s="207" t="s">
        <v>2726</v>
      </c>
      <c r="AB168" s="207" t="s">
        <v>2726</v>
      </c>
      <c r="AC168" s="207" t="s">
        <v>2726</v>
      </c>
      <c r="AD168" s="207" t="s">
        <v>2726</v>
      </c>
      <c r="AE168" s="207" t="s">
        <v>2726</v>
      </c>
      <c r="AF168" s="207" t="s">
        <v>2726</v>
      </c>
      <c r="AG168" s="207" t="s">
        <v>2726</v>
      </c>
      <c r="AH168" s="207" t="s">
        <v>2726</v>
      </c>
      <c r="AI168" s="207" t="s">
        <v>1247</v>
      </c>
      <c r="AJ168" s="207" t="s">
        <v>2726</v>
      </c>
      <c r="AK168" s="207" t="s">
        <v>2927</v>
      </c>
    </row>
    <row r="169" spans="1:37" x14ac:dyDescent="0.25">
      <c r="A169" s="207" t="s">
        <v>2951</v>
      </c>
      <c r="B169" s="207">
        <v>0</v>
      </c>
      <c r="C169" s="207" t="s">
        <v>2726</v>
      </c>
      <c r="D169" s="207" t="s">
        <v>2726</v>
      </c>
      <c r="E169" s="207" t="s">
        <v>2930</v>
      </c>
      <c r="F169" s="207" t="s">
        <v>2728</v>
      </c>
      <c r="G169" s="207" t="s">
        <v>2726</v>
      </c>
      <c r="H169" s="207">
        <v>61</v>
      </c>
      <c r="I169" s="207" t="s">
        <v>2729</v>
      </c>
      <c r="J169" s="207" t="s">
        <v>2730</v>
      </c>
      <c r="K169" s="207" t="s">
        <v>2726</v>
      </c>
      <c r="L169" s="207" t="s">
        <v>2726</v>
      </c>
      <c r="M169" s="207" t="s">
        <v>2898</v>
      </c>
      <c r="N169" s="207" t="s">
        <v>2726</v>
      </c>
      <c r="O169" s="207" t="s">
        <v>2726</v>
      </c>
      <c r="P169" s="207" t="s">
        <v>2732</v>
      </c>
      <c r="Q169" s="207" t="s">
        <v>2733</v>
      </c>
      <c r="R169" s="207">
        <v>220</v>
      </c>
      <c r="S169" s="207" t="s">
        <v>2726</v>
      </c>
      <c r="T169" s="207" t="s">
        <v>1239</v>
      </c>
      <c r="U169" s="207" t="s">
        <v>2949</v>
      </c>
      <c r="V169" s="207" t="s">
        <v>2726</v>
      </c>
      <c r="W169" s="207" t="s">
        <v>629</v>
      </c>
      <c r="X169" s="207">
        <v>-417719</v>
      </c>
      <c r="Y169" s="207" t="s">
        <v>296</v>
      </c>
      <c r="Z169" s="207" t="s">
        <v>2726</v>
      </c>
      <c r="AA169" s="207" t="s">
        <v>2726</v>
      </c>
      <c r="AB169" s="207" t="s">
        <v>2726</v>
      </c>
      <c r="AC169" s="207" t="s">
        <v>2726</v>
      </c>
      <c r="AD169" s="207" t="s">
        <v>2726</v>
      </c>
      <c r="AE169" s="207" t="s">
        <v>2726</v>
      </c>
      <c r="AF169" s="207" t="s">
        <v>2726</v>
      </c>
      <c r="AG169" s="207" t="s">
        <v>2726</v>
      </c>
      <c r="AH169" s="207" t="s">
        <v>2726</v>
      </c>
      <c r="AI169" s="207" t="s">
        <v>1274</v>
      </c>
      <c r="AJ169" s="207" t="s">
        <v>2726</v>
      </c>
      <c r="AK169" s="207" t="s">
        <v>2930</v>
      </c>
    </row>
    <row r="170" spans="1:37" x14ac:dyDescent="0.25">
      <c r="A170" s="207" t="s">
        <v>2952</v>
      </c>
      <c r="B170" s="207">
        <v>0</v>
      </c>
      <c r="C170" s="207" t="s">
        <v>2726</v>
      </c>
      <c r="D170" s="207" t="s">
        <v>2726</v>
      </c>
      <c r="E170" s="207" t="s">
        <v>2927</v>
      </c>
      <c r="F170" s="207" t="s">
        <v>2728</v>
      </c>
      <c r="G170" s="207" t="s">
        <v>2726</v>
      </c>
      <c r="H170" s="207">
        <v>61</v>
      </c>
      <c r="I170" s="207" t="s">
        <v>2744</v>
      </c>
      <c r="J170" s="207" t="s">
        <v>2730</v>
      </c>
      <c r="K170" s="207" t="s">
        <v>2726</v>
      </c>
      <c r="L170" s="207" t="s">
        <v>2726</v>
      </c>
      <c r="M170" s="207" t="s">
        <v>2851</v>
      </c>
      <c r="N170" s="207" t="s">
        <v>2726</v>
      </c>
      <c r="O170" s="207" t="s">
        <v>2726</v>
      </c>
      <c r="P170" s="207" t="s">
        <v>2732</v>
      </c>
      <c r="Q170" s="207" t="s">
        <v>2733</v>
      </c>
      <c r="R170" s="207">
        <v>120</v>
      </c>
      <c r="S170" s="207" t="s">
        <v>2726</v>
      </c>
      <c r="T170" s="207" t="s">
        <v>1239</v>
      </c>
      <c r="U170" s="207" t="s">
        <v>2852</v>
      </c>
      <c r="V170" s="207" t="s">
        <v>2726</v>
      </c>
      <c r="W170" s="207" t="s">
        <v>2741</v>
      </c>
      <c r="X170" s="207">
        <v>216000</v>
      </c>
      <c r="Y170" s="207" t="s">
        <v>102</v>
      </c>
      <c r="Z170" s="207" t="s">
        <v>2726</v>
      </c>
      <c r="AA170" s="207" t="s">
        <v>2726</v>
      </c>
      <c r="AB170" s="207" t="s">
        <v>2726</v>
      </c>
      <c r="AC170" s="207" t="s">
        <v>2726</v>
      </c>
      <c r="AD170" s="207" t="s">
        <v>2726</v>
      </c>
      <c r="AE170" s="207" t="s">
        <v>2726</v>
      </c>
      <c r="AF170" s="207" t="s">
        <v>2726</v>
      </c>
      <c r="AG170" s="207" t="s">
        <v>2726</v>
      </c>
      <c r="AH170" s="207" t="s">
        <v>2726</v>
      </c>
      <c r="AI170" s="207" t="s">
        <v>1248</v>
      </c>
      <c r="AJ170" s="207" t="s">
        <v>2726</v>
      </c>
      <c r="AK170" s="207" t="s">
        <v>2927</v>
      </c>
    </row>
    <row r="171" spans="1:37" x14ac:dyDescent="0.25">
      <c r="A171" s="207" t="s">
        <v>2953</v>
      </c>
      <c r="B171" s="207">
        <v>0</v>
      </c>
      <c r="C171" s="207" t="s">
        <v>2726</v>
      </c>
      <c r="D171" s="207" t="s">
        <v>2726</v>
      </c>
      <c r="E171" s="207" t="s">
        <v>2930</v>
      </c>
      <c r="F171" s="207" t="s">
        <v>2728</v>
      </c>
      <c r="G171" s="207" t="s">
        <v>2726</v>
      </c>
      <c r="H171" s="207">
        <v>61</v>
      </c>
      <c r="I171" s="207" t="s">
        <v>2729</v>
      </c>
      <c r="J171" s="207" t="s">
        <v>2730</v>
      </c>
      <c r="K171" s="207" t="s">
        <v>2726</v>
      </c>
      <c r="L171" s="207" t="s">
        <v>2726</v>
      </c>
      <c r="M171" s="207" t="s">
        <v>2898</v>
      </c>
      <c r="N171" s="207" t="s">
        <v>2726</v>
      </c>
      <c r="O171" s="207" t="s">
        <v>2726</v>
      </c>
      <c r="P171" s="207" t="s">
        <v>2732</v>
      </c>
      <c r="Q171" s="207" t="s">
        <v>2733</v>
      </c>
      <c r="R171" s="207">
        <v>220</v>
      </c>
      <c r="S171" s="207" t="s">
        <v>2726</v>
      </c>
      <c r="T171" s="207" t="s">
        <v>1239</v>
      </c>
      <c r="U171" s="207" t="s">
        <v>2949</v>
      </c>
      <c r="V171" s="207" t="s">
        <v>2726</v>
      </c>
      <c r="W171" s="207" t="s">
        <v>629</v>
      </c>
      <c r="X171" s="207">
        <v>-255031927</v>
      </c>
      <c r="Y171" s="207" t="s">
        <v>300</v>
      </c>
      <c r="Z171" s="207" t="s">
        <v>2726</v>
      </c>
      <c r="AA171" s="207" t="s">
        <v>2726</v>
      </c>
      <c r="AB171" s="207" t="s">
        <v>2726</v>
      </c>
      <c r="AC171" s="207" t="s">
        <v>2726</v>
      </c>
      <c r="AD171" s="207" t="s">
        <v>2726</v>
      </c>
      <c r="AE171" s="207" t="s">
        <v>2726</v>
      </c>
      <c r="AF171" s="207" t="s">
        <v>2726</v>
      </c>
      <c r="AG171" s="207" t="s">
        <v>2726</v>
      </c>
      <c r="AH171" s="207" t="s">
        <v>2726</v>
      </c>
      <c r="AI171" s="207" t="s">
        <v>1275</v>
      </c>
      <c r="AJ171" s="207" t="s">
        <v>2726</v>
      </c>
      <c r="AK171" s="207" t="s">
        <v>2930</v>
      </c>
    </row>
    <row r="172" spans="1:37" x14ac:dyDescent="0.25">
      <c r="A172" s="207" t="s">
        <v>2954</v>
      </c>
      <c r="B172" s="207">
        <v>0</v>
      </c>
      <c r="C172" s="207" t="s">
        <v>2726</v>
      </c>
      <c r="D172" s="207" t="s">
        <v>2726</v>
      </c>
      <c r="E172" s="207" t="s">
        <v>2927</v>
      </c>
      <c r="F172" s="207" t="s">
        <v>2728</v>
      </c>
      <c r="G172" s="207" t="s">
        <v>2726</v>
      </c>
      <c r="H172" s="207">
        <v>61</v>
      </c>
      <c r="I172" s="207" t="s">
        <v>2744</v>
      </c>
      <c r="J172" s="207" t="s">
        <v>2730</v>
      </c>
      <c r="K172" s="207" t="s">
        <v>2726</v>
      </c>
      <c r="L172" s="207" t="s">
        <v>2726</v>
      </c>
      <c r="M172" s="207" t="s">
        <v>2851</v>
      </c>
      <c r="N172" s="207" t="s">
        <v>2726</v>
      </c>
      <c r="O172" s="207" t="s">
        <v>2726</v>
      </c>
      <c r="P172" s="207" t="s">
        <v>2732</v>
      </c>
      <c r="Q172" s="207" t="s">
        <v>2733</v>
      </c>
      <c r="R172" s="207">
        <v>120</v>
      </c>
      <c r="S172" s="207" t="s">
        <v>2726</v>
      </c>
      <c r="T172" s="207" t="s">
        <v>1239</v>
      </c>
      <c r="U172" s="207" t="s">
        <v>2852</v>
      </c>
      <c r="V172" s="207" t="s">
        <v>2726</v>
      </c>
      <c r="W172" s="207" t="s">
        <v>2741</v>
      </c>
      <c r="X172" s="207">
        <v>2040000</v>
      </c>
      <c r="Y172" s="207" t="s">
        <v>582</v>
      </c>
      <c r="Z172" s="207" t="s">
        <v>2726</v>
      </c>
      <c r="AA172" s="207" t="s">
        <v>2726</v>
      </c>
      <c r="AB172" s="207" t="s">
        <v>2726</v>
      </c>
      <c r="AC172" s="207" t="s">
        <v>2726</v>
      </c>
      <c r="AD172" s="207" t="s">
        <v>2726</v>
      </c>
      <c r="AE172" s="207" t="s">
        <v>2726</v>
      </c>
      <c r="AF172" s="207" t="s">
        <v>2726</v>
      </c>
      <c r="AG172" s="207" t="s">
        <v>2726</v>
      </c>
      <c r="AH172" s="207" t="s">
        <v>2726</v>
      </c>
      <c r="AI172" s="207" t="s">
        <v>1249</v>
      </c>
      <c r="AJ172" s="207" t="s">
        <v>2726</v>
      </c>
      <c r="AK172" s="207" t="s">
        <v>2927</v>
      </c>
    </row>
    <row r="173" spans="1:37" x14ac:dyDescent="0.25">
      <c r="A173" s="207" t="s">
        <v>2955</v>
      </c>
      <c r="B173" s="207">
        <v>0</v>
      </c>
      <c r="C173" s="207" t="s">
        <v>2726</v>
      </c>
      <c r="D173" s="207" t="s">
        <v>2726</v>
      </c>
      <c r="E173" s="207" t="s">
        <v>2927</v>
      </c>
      <c r="F173" s="207" t="s">
        <v>2728</v>
      </c>
      <c r="G173" s="207" t="s">
        <v>2726</v>
      </c>
      <c r="H173" s="207">
        <v>61</v>
      </c>
      <c r="I173" s="207" t="s">
        <v>2744</v>
      </c>
      <c r="J173" s="207" t="s">
        <v>2730</v>
      </c>
      <c r="K173" s="207" t="s">
        <v>2726</v>
      </c>
      <c r="L173" s="207" t="s">
        <v>2726</v>
      </c>
      <c r="M173" s="207" t="s">
        <v>2851</v>
      </c>
      <c r="N173" s="207" t="s">
        <v>2726</v>
      </c>
      <c r="O173" s="207" t="s">
        <v>2726</v>
      </c>
      <c r="P173" s="207" t="s">
        <v>2732</v>
      </c>
      <c r="Q173" s="207" t="s">
        <v>2733</v>
      </c>
      <c r="R173" s="207">
        <v>120</v>
      </c>
      <c r="S173" s="207" t="s">
        <v>2726</v>
      </c>
      <c r="T173" s="207" t="s">
        <v>1239</v>
      </c>
      <c r="U173" s="207" t="s">
        <v>2852</v>
      </c>
      <c r="V173" s="207" t="s">
        <v>2726</v>
      </c>
      <c r="W173" s="207" t="s">
        <v>2741</v>
      </c>
      <c r="X173" s="207">
        <v>3120000</v>
      </c>
      <c r="Y173" s="207" t="s">
        <v>584</v>
      </c>
      <c r="Z173" s="207" t="s">
        <v>2726</v>
      </c>
      <c r="AA173" s="207" t="s">
        <v>2726</v>
      </c>
      <c r="AB173" s="207" t="s">
        <v>2726</v>
      </c>
      <c r="AC173" s="207" t="s">
        <v>2726</v>
      </c>
      <c r="AD173" s="207" t="s">
        <v>2726</v>
      </c>
      <c r="AE173" s="207" t="s">
        <v>2726</v>
      </c>
      <c r="AF173" s="207" t="s">
        <v>2726</v>
      </c>
      <c r="AG173" s="207" t="s">
        <v>2726</v>
      </c>
      <c r="AH173" s="207" t="s">
        <v>2726</v>
      </c>
      <c r="AI173" s="207" t="s">
        <v>1263</v>
      </c>
      <c r="AJ173" s="207" t="s">
        <v>2726</v>
      </c>
      <c r="AK173" s="207" t="s">
        <v>2927</v>
      </c>
    </row>
    <row r="174" spans="1:37" x14ac:dyDescent="0.25">
      <c r="A174" s="207" t="s">
        <v>2956</v>
      </c>
      <c r="B174" s="207">
        <v>0</v>
      </c>
      <c r="C174" s="207" t="s">
        <v>2726</v>
      </c>
      <c r="D174" s="207" t="s">
        <v>2726</v>
      </c>
      <c r="E174" s="207" t="s">
        <v>2927</v>
      </c>
      <c r="F174" s="207" t="s">
        <v>2728</v>
      </c>
      <c r="G174" s="207" t="s">
        <v>2726</v>
      </c>
      <c r="H174" s="207">
        <v>61</v>
      </c>
      <c r="I174" s="207" t="s">
        <v>2744</v>
      </c>
      <c r="J174" s="207" t="s">
        <v>2730</v>
      </c>
      <c r="K174" s="207" t="s">
        <v>2726</v>
      </c>
      <c r="L174" s="207" t="s">
        <v>2726</v>
      </c>
      <c r="M174" s="207" t="s">
        <v>2851</v>
      </c>
      <c r="N174" s="207" t="s">
        <v>2726</v>
      </c>
      <c r="O174" s="207" t="s">
        <v>2726</v>
      </c>
      <c r="P174" s="207" t="s">
        <v>2732</v>
      </c>
      <c r="Q174" s="207" t="s">
        <v>2733</v>
      </c>
      <c r="R174" s="207">
        <v>120</v>
      </c>
      <c r="S174" s="207" t="s">
        <v>2726</v>
      </c>
      <c r="T174" s="207" t="s">
        <v>1239</v>
      </c>
      <c r="U174" s="207" t="s">
        <v>2852</v>
      </c>
      <c r="V174" s="207" t="s">
        <v>2726</v>
      </c>
      <c r="W174" s="207" t="s">
        <v>2741</v>
      </c>
      <c r="X174" s="207">
        <v>540000</v>
      </c>
      <c r="Y174" s="207" t="s">
        <v>588</v>
      </c>
      <c r="Z174" s="207" t="s">
        <v>2726</v>
      </c>
      <c r="AA174" s="207" t="s">
        <v>2726</v>
      </c>
      <c r="AB174" s="207" t="s">
        <v>2726</v>
      </c>
      <c r="AC174" s="207" t="s">
        <v>2726</v>
      </c>
      <c r="AD174" s="207" t="s">
        <v>2726</v>
      </c>
      <c r="AE174" s="207" t="s">
        <v>2726</v>
      </c>
      <c r="AF174" s="207" t="s">
        <v>2726</v>
      </c>
      <c r="AG174" s="207" t="s">
        <v>2726</v>
      </c>
      <c r="AH174" s="207" t="s">
        <v>2726</v>
      </c>
      <c r="AI174" s="207" t="s">
        <v>1276</v>
      </c>
      <c r="AJ174" s="207" t="s">
        <v>2726</v>
      </c>
      <c r="AK174" s="207" t="s">
        <v>2927</v>
      </c>
    </row>
    <row r="175" spans="1:37" x14ac:dyDescent="0.25">
      <c r="A175" s="207" t="s">
        <v>2957</v>
      </c>
      <c r="B175" s="207">
        <v>0</v>
      </c>
      <c r="C175" s="207" t="s">
        <v>2726</v>
      </c>
      <c r="D175" s="207" t="s">
        <v>2726</v>
      </c>
      <c r="E175" s="207" t="s">
        <v>2927</v>
      </c>
      <c r="F175" s="207" t="s">
        <v>2728</v>
      </c>
      <c r="G175" s="207" t="s">
        <v>2726</v>
      </c>
      <c r="H175" s="207">
        <v>61</v>
      </c>
      <c r="I175" s="207" t="s">
        <v>2744</v>
      </c>
      <c r="J175" s="207" t="s">
        <v>2730</v>
      </c>
      <c r="K175" s="207" t="s">
        <v>2726</v>
      </c>
      <c r="L175" s="207" t="s">
        <v>2726</v>
      </c>
      <c r="M175" s="207" t="s">
        <v>2851</v>
      </c>
      <c r="N175" s="207" t="s">
        <v>2726</v>
      </c>
      <c r="O175" s="207" t="s">
        <v>2726</v>
      </c>
      <c r="P175" s="207" t="s">
        <v>2732</v>
      </c>
      <c r="Q175" s="207" t="s">
        <v>2733</v>
      </c>
      <c r="R175" s="207">
        <v>120</v>
      </c>
      <c r="S175" s="207" t="s">
        <v>2726</v>
      </c>
      <c r="T175" s="207" t="s">
        <v>1239</v>
      </c>
      <c r="U175" s="207" t="s">
        <v>2852</v>
      </c>
      <c r="V175" s="207" t="s">
        <v>2726</v>
      </c>
      <c r="W175" s="207" t="s">
        <v>2741</v>
      </c>
      <c r="X175" s="207">
        <v>1300000</v>
      </c>
      <c r="Y175" s="207" t="s">
        <v>109</v>
      </c>
      <c r="Z175" s="207" t="s">
        <v>2726</v>
      </c>
      <c r="AA175" s="207" t="s">
        <v>2726</v>
      </c>
      <c r="AB175" s="207" t="s">
        <v>2726</v>
      </c>
      <c r="AC175" s="207" t="s">
        <v>2726</v>
      </c>
      <c r="AD175" s="207" t="s">
        <v>2726</v>
      </c>
      <c r="AE175" s="207" t="s">
        <v>2726</v>
      </c>
      <c r="AF175" s="207" t="s">
        <v>2726</v>
      </c>
      <c r="AG175" s="207" t="s">
        <v>2726</v>
      </c>
      <c r="AH175" s="207" t="s">
        <v>2726</v>
      </c>
      <c r="AI175" s="207" t="s">
        <v>1251</v>
      </c>
      <c r="AJ175" s="207" t="s">
        <v>2726</v>
      </c>
      <c r="AK175" s="207" t="s">
        <v>2927</v>
      </c>
    </row>
    <row r="176" spans="1:37" x14ac:dyDescent="0.25">
      <c r="A176" s="207" t="s">
        <v>2958</v>
      </c>
      <c r="B176" s="207">
        <v>0</v>
      </c>
      <c r="C176" s="207" t="s">
        <v>2726</v>
      </c>
      <c r="D176" s="207" t="s">
        <v>2726</v>
      </c>
      <c r="E176" s="207" t="s">
        <v>2927</v>
      </c>
      <c r="F176" s="207" t="s">
        <v>2728</v>
      </c>
      <c r="G176" s="207" t="s">
        <v>2726</v>
      </c>
      <c r="H176" s="207">
        <v>61</v>
      </c>
      <c r="I176" s="207" t="s">
        <v>2744</v>
      </c>
      <c r="J176" s="207" t="s">
        <v>2730</v>
      </c>
      <c r="K176" s="207" t="s">
        <v>2726</v>
      </c>
      <c r="L176" s="207" t="s">
        <v>2726</v>
      </c>
      <c r="M176" s="207" t="s">
        <v>2851</v>
      </c>
      <c r="N176" s="207" t="s">
        <v>2726</v>
      </c>
      <c r="O176" s="207" t="s">
        <v>2726</v>
      </c>
      <c r="P176" s="207" t="s">
        <v>2732</v>
      </c>
      <c r="Q176" s="207" t="s">
        <v>2733</v>
      </c>
      <c r="R176" s="207">
        <v>120</v>
      </c>
      <c r="S176" s="207" t="s">
        <v>2726</v>
      </c>
      <c r="T176" s="207" t="s">
        <v>1239</v>
      </c>
      <c r="U176" s="207" t="s">
        <v>2852</v>
      </c>
      <c r="V176" s="207" t="s">
        <v>2726</v>
      </c>
      <c r="W176" s="207" t="s">
        <v>2741</v>
      </c>
      <c r="X176" s="207">
        <v>14417024</v>
      </c>
      <c r="Y176" s="207" t="s">
        <v>115</v>
      </c>
      <c r="Z176" s="207" t="s">
        <v>2726</v>
      </c>
      <c r="AA176" s="207" t="s">
        <v>2726</v>
      </c>
      <c r="AB176" s="207" t="s">
        <v>2726</v>
      </c>
      <c r="AC176" s="207" t="s">
        <v>2726</v>
      </c>
      <c r="AD176" s="207" t="s">
        <v>2726</v>
      </c>
      <c r="AE176" s="207" t="s">
        <v>2726</v>
      </c>
      <c r="AF176" s="207" t="s">
        <v>2726</v>
      </c>
      <c r="AG176" s="207" t="s">
        <v>2726</v>
      </c>
      <c r="AH176" s="207" t="s">
        <v>2726</v>
      </c>
      <c r="AI176" s="207" t="s">
        <v>1241</v>
      </c>
      <c r="AJ176" s="207" t="s">
        <v>2726</v>
      </c>
      <c r="AK176" s="207" t="s">
        <v>2927</v>
      </c>
    </row>
    <row r="177" spans="1:37" x14ac:dyDescent="0.25">
      <c r="A177" s="207" t="s">
        <v>2959</v>
      </c>
      <c r="B177" s="207">
        <v>0</v>
      </c>
      <c r="C177" s="207" t="s">
        <v>2726</v>
      </c>
      <c r="D177" s="207" t="s">
        <v>2726</v>
      </c>
      <c r="E177" s="207" t="s">
        <v>2927</v>
      </c>
      <c r="F177" s="207" t="s">
        <v>2728</v>
      </c>
      <c r="G177" s="207" t="s">
        <v>2726</v>
      </c>
      <c r="H177" s="207">
        <v>61</v>
      </c>
      <c r="I177" s="207" t="s">
        <v>2744</v>
      </c>
      <c r="J177" s="207" t="s">
        <v>2730</v>
      </c>
      <c r="K177" s="207" t="s">
        <v>2726</v>
      </c>
      <c r="L177" s="207" t="s">
        <v>2726</v>
      </c>
      <c r="M177" s="207" t="s">
        <v>2851</v>
      </c>
      <c r="N177" s="207" t="s">
        <v>2726</v>
      </c>
      <c r="O177" s="207" t="s">
        <v>2726</v>
      </c>
      <c r="P177" s="207" t="s">
        <v>2732</v>
      </c>
      <c r="Q177" s="207" t="s">
        <v>2733</v>
      </c>
      <c r="R177" s="207">
        <v>120</v>
      </c>
      <c r="S177" s="207" t="s">
        <v>2726</v>
      </c>
      <c r="T177" s="207" t="s">
        <v>1239</v>
      </c>
      <c r="U177" s="207" t="s">
        <v>2852</v>
      </c>
      <c r="V177" s="207" t="s">
        <v>2726</v>
      </c>
      <c r="W177" s="207" t="s">
        <v>2741</v>
      </c>
      <c r="X177" s="207">
        <v>6179268</v>
      </c>
      <c r="Y177" s="207" t="s">
        <v>121</v>
      </c>
      <c r="Z177" s="207" t="s">
        <v>2726</v>
      </c>
      <c r="AA177" s="207" t="s">
        <v>2726</v>
      </c>
      <c r="AB177" s="207" t="s">
        <v>2726</v>
      </c>
      <c r="AC177" s="207" t="s">
        <v>2726</v>
      </c>
      <c r="AD177" s="207" t="s">
        <v>2726</v>
      </c>
      <c r="AE177" s="207" t="s">
        <v>2726</v>
      </c>
      <c r="AF177" s="207" t="s">
        <v>2726</v>
      </c>
      <c r="AG177" s="207" t="s">
        <v>2726</v>
      </c>
      <c r="AH177" s="207" t="s">
        <v>2726</v>
      </c>
      <c r="AI177" s="207" t="s">
        <v>1268</v>
      </c>
      <c r="AJ177" s="207" t="s">
        <v>2726</v>
      </c>
      <c r="AK177" s="207" t="s">
        <v>2927</v>
      </c>
    </row>
    <row r="178" spans="1:37" x14ac:dyDescent="0.25">
      <c r="A178" s="207" t="s">
        <v>2960</v>
      </c>
      <c r="B178" s="207">
        <v>0</v>
      </c>
      <c r="C178" s="207" t="s">
        <v>2726</v>
      </c>
      <c r="D178" s="207" t="s">
        <v>2726</v>
      </c>
      <c r="E178" s="207" t="s">
        <v>2927</v>
      </c>
      <c r="F178" s="207" t="s">
        <v>2728</v>
      </c>
      <c r="G178" s="207" t="s">
        <v>2726</v>
      </c>
      <c r="H178" s="207">
        <v>61</v>
      </c>
      <c r="I178" s="207" t="s">
        <v>2744</v>
      </c>
      <c r="J178" s="207" t="s">
        <v>2730</v>
      </c>
      <c r="K178" s="207" t="s">
        <v>2726</v>
      </c>
      <c r="L178" s="207" t="s">
        <v>2726</v>
      </c>
      <c r="M178" s="207" t="s">
        <v>2851</v>
      </c>
      <c r="N178" s="207" t="s">
        <v>2726</v>
      </c>
      <c r="O178" s="207" t="s">
        <v>2726</v>
      </c>
      <c r="P178" s="207" t="s">
        <v>2732</v>
      </c>
      <c r="Q178" s="207" t="s">
        <v>2733</v>
      </c>
      <c r="R178" s="207">
        <v>120</v>
      </c>
      <c r="S178" s="207" t="s">
        <v>2726</v>
      </c>
      <c r="T178" s="207" t="s">
        <v>1239</v>
      </c>
      <c r="U178" s="207" t="s">
        <v>2852</v>
      </c>
      <c r="V178" s="207" t="s">
        <v>2726</v>
      </c>
      <c r="W178" s="207" t="s">
        <v>2741</v>
      </c>
      <c r="X178" s="207">
        <v>200000</v>
      </c>
      <c r="Y178" s="207" t="s">
        <v>129</v>
      </c>
      <c r="Z178" s="207" t="s">
        <v>2726</v>
      </c>
      <c r="AA178" s="207" t="s">
        <v>2726</v>
      </c>
      <c r="AB178" s="207" t="s">
        <v>2726</v>
      </c>
      <c r="AC178" s="207" t="s">
        <v>2726</v>
      </c>
      <c r="AD178" s="207" t="s">
        <v>2726</v>
      </c>
      <c r="AE178" s="207" t="s">
        <v>2726</v>
      </c>
      <c r="AF178" s="207" t="s">
        <v>2726</v>
      </c>
      <c r="AG178" s="207" t="s">
        <v>2726</v>
      </c>
      <c r="AH178" s="207" t="s">
        <v>2726</v>
      </c>
      <c r="AI178" s="207" t="s">
        <v>1252</v>
      </c>
      <c r="AJ178" s="207" t="s">
        <v>2726</v>
      </c>
      <c r="AK178" s="207" t="s">
        <v>2927</v>
      </c>
    </row>
    <row r="179" spans="1:37" x14ac:dyDescent="0.25">
      <c r="A179" s="207" t="s">
        <v>2961</v>
      </c>
      <c r="B179" s="207">
        <v>0</v>
      </c>
      <c r="C179" s="207" t="s">
        <v>2726</v>
      </c>
      <c r="D179" s="207" t="s">
        <v>2726</v>
      </c>
      <c r="E179" s="207" t="s">
        <v>2927</v>
      </c>
      <c r="F179" s="207" t="s">
        <v>2728</v>
      </c>
      <c r="G179" s="207" t="s">
        <v>2726</v>
      </c>
      <c r="H179" s="207">
        <v>61</v>
      </c>
      <c r="I179" s="207" t="s">
        <v>2744</v>
      </c>
      <c r="J179" s="207" t="s">
        <v>2730</v>
      </c>
      <c r="K179" s="207" t="s">
        <v>2726</v>
      </c>
      <c r="L179" s="207" t="s">
        <v>2726</v>
      </c>
      <c r="M179" s="207" t="s">
        <v>2851</v>
      </c>
      <c r="N179" s="207" t="s">
        <v>2726</v>
      </c>
      <c r="O179" s="207" t="s">
        <v>2726</v>
      </c>
      <c r="P179" s="207" t="s">
        <v>2732</v>
      </c>
      <c r="Q179" s="207" t="s">
        <v>2733</v>
      </c>
      <c r="R179" s="207">
        <v>120</v>
      </c>
      <c r="S179" s="207" t="s">
        <v>2726</v>
      </c>
      <c r="T179" s="207" t="s">
        <v>1239</v>
      </c>
      <c r="U179" s="207" t="s">
        <v>2852</v>
      </c>
      <c r="V179" s="207" t="s">
        <v>2726</v>
      </c>
      <c r="W179" s="207" t="s">
        <v>2741</v>
      </c>
      <c r="X179" s="207">
        <v>500000</v>
      </c>
      <c r="Y179" s="207" t="s">
        <v>184</v>
      </c>
      <c r="Z179" s="207" t="s">
        <v>2726</v>
      </c>
      <c r="AA179" s="207" t="s">
        <v>2726</v>
      </c>
      <c r="AB179" s="207" t="s">
        <v>2726</v>
      </c>
      <c r="AC179" s="207" t="s">
        <v>2726</v>
      </c>
      <c r="AD179" s="207" t="s">
        <v>2726</v>
      </c>
      <c r="AE179" s="207" t="s">
        <v>2726</v>
      </c>
      <c r="AF179" s="207" t="s">
        <v>2726</v>
      </c>
      <c r="AG179" s="207" t="s">
        <v>2726</v>
      </c>
      <c r="AH179" s="207" t="s">
        <v>2726</v>
      </c>
      <c r="AI179" s="207" t="s">
        <v>1782</v>
      </c>
      <c r="AJ179" s="207" t="s">
        <v>2726</v>
      </c>
      <c r="AK179" s="207" t="s">
        <v>2927</v>
      </c>
    </row>
    <row r="180" spans="1:37" x14ac:dyDescent="0.25">
      <c r="A180" s="207" t="s">
        <v>2962</v>
      </c>
      <c r="B180" s="207">
        <v>0</v>
      </c>
      <c r="C180" s="207" t="s">
        <v>2726</v>
      </c>
      <c r="D180" s="207" t="s">
        <v>2726</v>
      </c>
      <c r="E180" s="207" t="s">
        <v>2927</v>
      </c>
      <c r="F180" s="207" t="s">
        <v>2728</v>
      </c>
      <c r="G180" s="207" t="s">
        <v>2726</v>
      </c>
      <c r="H180" s="207">
        <v>61</v>
      </c>
      <c r="I180" s="207" t="s">
        <v>2744</v>
      </c>
      <c r="J180" s="207" t="s">
        <v>2730</v>
      </c>
      <c r="K180" s="207" t="s">
        <v>2726</v>
      </c>
      <c r="L180" s="207" t="s">
        <v>2726</v>
      </c>
      <c r="M180" s="207" t="s">
        <v>2851</v>
      </c>
      <c r="N180" s="207" t="s">
        <v>2726</v>
      </c>
      <c r="O180" s="207" t="s">
        <v>2726</v>
      </c>
      <c r="P180" s="207" t="s">
        <v>2732</v>
      </c>
      <c r="Q180" s="207" t="s">
        <v>2733</v>
      </c>
      <c r="R180" s="207">
        <v>120</v>
      </c>
      <c r="S180" s="207" t="s">
        <v>2726</v>
      </c>
      <c r="T180" s="207" t="s">
        <v>1239</v>
      </c>
      <c r="U180" s="207" t="s">
        <v>2852</v>
      </c>
      <c r="V180" s="207" t="s">
        <v>2726</v>
      </c>
      <c r="W180" s="207" t="s">
        <v>2741</v>
      </c>
      <c r="X180" s="207">
        <v>1200000</v>
      </c>
      <c r="Y180" s="207" t="s">
        <v>185</v>
      </c>
      <c r="Z180" s="207" t="s">
        <v>2726</v>
      </c>
      <c r="AA180" s="207" t="s">
        <v>2726</v>
      </c>
      <c r="AB180" s="207" t="s">
        <v>2726</v>
      </c>
      <c r="AC180" s="207" t="s">
        <v>2726</v>
      </c>
      <c r="AD180" s="207" t="s">
        <v>2726</v>
      </c>
      <c r="AE180" s="207" t="s">
        <v>2726</v>
      </c>
      <c r="AF180" s="207" t="s">
        <v>2726</v>
      </c>
      <c r="AG180" s="207" t="s">
        <v>2726</v>
      </c>
      <c r="AH180" s="207" t="s">
        <v>2726</v>
      </c>
      <c r="AI180" s="207" t="s">
        <v>1269</v>
      </c>
      <c r="AJ180" s="207" t="s">
        <v>2726</v>
      </c>
      <c r="AK180" s="207" t="s">
        <v>2927</v>
      </c>
    </row>
    <row r="181" spans="1:37" x14ac:dyDescent="0.25">
      <c r="A181" s="207" t="s">
        <v>2963</v>
      </c>
      <c r="B181" s="207">
        <v>0</v>
      </c>
      <c r="C181" s="207" t="s">
        <v>2726</v>
      </c>
      <c r="D181" s="207" t="s">
        <v>2726</v>
      </c>
      <c r="E181" s="207" t="s">
        <v>2927</v>
      </c>
      <c r="F181" s="207" t="s">
        <v>2728</v>
      </c>
      <c r="G181" s="207" t="s">
        <v>2726</v>
      </c>
      <c r="H181" s="207">
        <v>61</v>
      </c>
      <c r="I181" s="207" t="s">
        <v>2744</v>
      </c>
      <c r="J181" s="207" t="s">
        <v>2730</v>
      </c>
      <c r="K181" s="207" t="s">
        <v>2726</v>
      </c>
      <c r="L181" s="207" t="s">
        <v>2726</v>
      </c>
      <c r="M181" s="207" t="s">
        <v>2851</v>
      </c>
      <c r="N181" s="207" t="s">
        <v>2726</v>
      </c>
      <c r="O181" s="207" t="s">
        <v>2726</v>
      </c>
      <c r="P181" s="207" t="s">
        <v>2732</v>
      </c>
      <c r="Q181" s="207" t="s">
        <v>2733</v>
      </c>
      <c r="R181" s="207">
        <v>120</v>
      </c>
      <c r="S181" s="207" t="s">
        <v>2726</v>
      </c>
      <c r="T181" s="207" t="s">
        <v>1239</v>
      </c>
      <c r="U181" s="207" t="s">
        <v>2852</v>
      </c>
      <c r="V181" s="207" t="s">
        <v>2726</v>
      </c>
      <c r="W181" s="207" t="s">
        <v>2741</v>
      </c>
      <c r="X181" s="207">
        <v>195000</v>
      </c>
      <c r="Y181" s="207" t="s">
        <v>188</v>
      </c>
      <c r="Z181" s="207" t="s">
        <v>2726</v>
      </c>
      <c r="AA181" s="207" t="s">
        <v>2726</v>
      </c>
      <c r="AB181" s="207" t="s">
        <v>2726</v>
      </c>
      <c r="AC181" s="207" t="s">
        <v>2726</v>
      </c>
      <c r="AD181" s="207" t="s">
        <v>2726</v>
      </c>
      <c r="AE181" s="207" t="s">
        <v>2726</v>
      </c>
      <c r="AF181" s="207" t="s">
        <v>2726</v>
      </c>
      <c r="AG181" s="207" t="s">
        <v>2726</v>
      </c>
      <c r="AH181" s="207" t="s">
        <v>2726</v>
      </c>
      <c r="AI181" s="207" t="s">
        <v>1270</v>
      </c>
      <c r="AJ181" s="207" t="s">
        <v>2726</v>
      </c>
      <c r="AK181" s="207" t="s">
        <v>2927</v>
      </c>
    </row>
    <row r="182" spans="1:37" x14ac:dyDescent="0.25">
      <c r="A182" s="207" t="s">
        <v>2964</v>
      </c>
      <c r="B182" s="207">
        <v>0</v>
      </c>
      <c r="C182" s="207" t="s">
        <v>2726</v>
      </c>
      <c r="D182" s="207" t="s">
        <v>2726</v>
      </c>
      <c r="E182" s="207" t="s">
        <v>2930</v>
      </c>
      <c r="F182" s="207" t="s">
        <v>2728</v>
      </c>
      <c r="G182" s="207" t="s">
        <v>2726</v>
      </c>
      <c r="H182" s="207">
        <v>61</v>
      </c>
      <c r="I182" s="207" t="s">
        <v>2744</v>
      </c>
      <c r="J182" s="207" t="s">
        <v>2730</v>
      </c>
      <c r="K182" s="207" t="s">
        <v>2726</v>
      </c>
      <c r="L182" s="207" t="s">
        <v>2726</v>
      </c>
      <c r="M182" s="207" t="s">
        <v>2898</v>
      </c>
      <c r="N182" s="207" t="s">
        <v>2726</v>
      </c>
      <c r="O182" s="207" t="s">
        <v>2726</v>
      </c>
      <c r="P182" s="207" t="s">
        <v>2732</v>
      </c>
      <c r="Q182" s="207" t="s">
        <v>2733</v>
      </c>
      <c r="R182" s="207">
        <v>120</v>
      </c>
      <c r="S182" s="207" t="s">
        <v>2726</v>
      </c>
      <c r="T182" s="207" t="s">
        <v>1239</v>
      </c>
      <c r="U182" s="207" t="s">
        <v>2899</v>
      </c>
      <c r="V182" s="207" t="s">
        <v>2726</v>
      </c>
      <c r="W182" s="207" t="s">
        <v>2741</v>
      </c>
      <c r="X182" s="207">
        <v>158368000</v>
      </c>
      <c r="Y182" s="207" t="s">
        <v>59</v>
      </c>
      <c r="Z182" s="207" t="s">
        <v>2726</v>
      </c>
      <c r="AA182" s="207" t="s">
        <v>2726</v>
      </c>
      <c r="AB182" s="207" t="s">
        <v>2726</v>
      </c>
      <c r="AC182" s="207" t="s">
        <v>2726</v>
      </c>
      <c r="AD182" s="207" t="s">
        <v>2726</v>
      </c>
      <c r="AE182" s="207" t="s">
        <v>2726</v>
      </c>
      <c r="AF182" s="207" t="s">
        <v>2726</v>
      </c>
      <c r="AG182" s="207" t="s">
        <v>2726</v>
      </c>
      <c r="AH182" s="207" t="s">
        <v>2726</v>
      </c>
      <c r="AI182" s="207" t="s">
        <v>1242</v>
      </c>
      <c r="AJ182" s="207" t="s">
        <v>2726</v>
      </c>
      <c r="AK182" s="207" t="s">
        <v>2930</v>
      </c>
    </row>
    <row r="183" spans="1:37" x14ac:dyDescent="0.25">
      <c r="A183" s="207" t="s">
        <v>2965</v>
      </c>
      <c r="B183" s="207">
        <v>0</v>
      </c>
      <c r="C183" s="207" t="s">
        <v>2726</v>
      </c>
      <c r="D183" s="207" t="s">
        <v>2726</v>
      </c>
      <c r="E183" s="207" t="s">
        <v>2930</v>
      </c>
      <c r="F183" s="207" t="s">
        <v>2728</v>
      </c>
      <c r="G183" s="207" t="s">
        <v>2726</v>
      </c>
      <c r="H183" s="207">
        <v>61</v>
      </c>
      <c r="I183" s="207" t="s">
        <v>2744</v>
      </c>
      <c r="J183" s="207" t="s">
        <v>2730</v>
      </c>
      <c r="K183" s="207" t="s">
        <v>2726</v>
      </c>
      <c r="L183" s="207" t="s">
        <v>2726</v>
      </c>
      <c r="M183" s="207" t="s">
        <v>2898</v>
      </c>
      <c r="N183" s="207" t="s">
        <v>2726</v>
      </c>
      <c r="O183" s="207" t="s">
        <v>2726</v>
      </c>
      <c r="P183" s="207" t="s">
        <v>2732</v>
      </c>
      <c r="Q183" s="207" t="s">
        <v>2733</v>
      </c>
      <c r="R183" s="207">
        <v>120</v>
      </c>
      <c r="S183" s="207" t="s">
        <v>2726</v>
      </c>
      <c r="T183" s="207" t="s">
        <v>1239</v>
      </c>
      <c r="U183" s="207" t="s">
        <v>2899</v>
      </c>
      <c r="V183" s="207" t="s">
        <v>2726</v>
      </c>
      <c r="W183" s="207" t="s">
        <v>2741</v>
      </c>
      <c r="X183" s="207">
        <v>6591880</v>
      </c>
      <c r="Y183" s="207" t="s">
        <v>64</v>
      </c>
      <c r="Z183" s="207" t="s">
        <v>2726</v>
      </c>
      <c r="AA183" s="207" t="s">
        <v>2726</v>
      </c>
      <c r="AB183" s="207" t="s">
        <v>2726</v>
      </c>
      <c r="AC183" s="207" t="s">
        <v>2726</v>
      </c>
      <c r="AD183" s="207" t="s">
        <v>2726</v>
      </c>
      <c r="AE183" s="207" t="s">
        <v>2726</v>
      </c>
      <c r="AF183" s="207" t="s">
        <v>2726</v>
      </c>
      <c r="AG183" s="207" t="s">
        <v>2726</v>
      </c>
      <c r="AH183" s="207" t="s">
        <v>2726</v>
      </c>
      <c r="AI183" s="207" t="s">
        <v>1304</v>
      </c>
      <c r="AJ183" s="207" t="s">
        <v>2726</v>
      </c>
      <c r="AK183" s="207" t="s">
        <v>2930</v>
      </c>
    </row>
    <row r="184" spans="1:37" x14ac:dyDescent="0.25">
      <c r="A184" s="207" t="s">
        <v>2966</v>
      </c>
      <c r="B184" s="207">
        <v>0</v>
      </c>
      <c r="C184" s="207" t="s">
        <v>2726</v>
      </c>
      <c r="D184" s="207" t="s">
        <v>2726</v>
      </c>
      <c r="E184" s="207" t="s">
        <v>2930</v>
      </c>
      <c r="F184" s="207" t="s">
        <v>2728</v>
      </c>
      <c r="G184" s="207" t="s">
        <v>2726</v>
      </c>
      <c r="H184" s="207">
        <v>61</v>
      </c>
      <c r="I184" s="207" t="s">
        <v>2744</v>
      </c>
      <c r="J184" s="207" t="s">
        <v>2730</v>
      </c>
      <c r="K184" s="207" t="s">
        <v>2726</v>
      </c>
      <c r="L184" s="207" t="s">
        <v>2726</v>
      </c>
      <c r="M184" s="207" t="s">
        <v>2898</v>
      </c>
      <c r="N184" s="207" t="s">
        <v>2726</v>
      </c>
      <c r="O184" s="207" t="s">
        <v>2726</v>
      </c>
      <c r="P184" s="207" t="s">
        <v>2732</v>
      </c>
      <c r="Q184" s="207" t="s">
        <v>2733</v>
      </c>
      <c r="R184" s="207">
        <v>120</v>
      </c>
      <c r="S184" s="207" t="s">
        <v>2726</v>
      </c>
      <c r="T184" s="207" t="s">
        <v>1239</v>
      </c>
      <c r="U184" s="207" t="s">
        <v>2899</v>
      </c>
      <c r="V184" s="207" t="s">
        <v>2726</v>
      </c>
      <c r="W184" s="207" t="s">
        <v>2741</v>
      </c>
      <c r="X184" s="207">
        <v>3600000</v>
      </c>
      <c r="Y184" s="207" t="s">
        <v>66</v>
      </c>
      <c r="Z184" s="207" t="s">
        <v>2726</v>
      </c>
      <c r="AA184" s="207" t="s">
        <v>2726</v>
      </c>
      <c r="AB184" s="207" t="s">
        <v>2726</v>
      </c>
      <c r="AC184" s="207" t="s">
        <v>2726</v>
      </c>
      <c r="AD184" s="207" t="s">
        <v>2726</v>
      </c>
      <c r="AE184" s="207" t="s">
        <v>2726</v>
      </c>
      <c r="AF184" s="207" t="s">
        <v>2726</v>
      </c>
      <c r="AG184" s="207" t="s">
        <v>2726</v>
      </c>
      <c r="AH184" s="207" t="s">
        <v>2726</v>
      </c>
      <c r="AI184" s="207" t="s">
        <v>1303</v>
      </c>
      <c r="AJ184" s="207" t="s">
        <v>2726</v>
      </c>
      <c r="AK184" s="207" t="s">
        <v>2930</v>
      </c>
    </row>
    <row r="185" spans="1:37" x14ac:dyDescent="0.25">
      <c r="A185" s="207" t="s">
        <v>2967</v>
      </c>
      <c r="B185" s="207">
        <v>0</v>
      </c>
      <c r="C185" s="207" t="s">
        <v>2726</v>
      </c>
      <c r="D185" s="207" t="s">
        <v>2726</v>
      </c>
      <c r="E185" s="207" t="s">
        <v>2930</v>
      </c>
      <c r="F185" s="207" t="s">
        <v>2728</v>
      </c>
      <c r="G185" s="207" t="s">
        <v>2726</v>
      </c>
      <c r="H185" s="207">
        <v>61</v>
      </c>
      <c r="I185" s="207" t="s">
        <v>2744</v>
      </c>
      <c r="J185" s="207" t="s">
        <v>2730</v>
      </c>
      <c r="K185" s="207" t="s">
        <v>2726</v>
      </c>
      <c r="L185" s="207" t="s">
        <v>2726</v>
      </c>
      <c r="M185" s="207" t="s">
        <v>2898</v>
      </c>
      <c r="N185" s="207" t="s">
        <v>2726</v>
      </c>
      <c r="O185" s="207" t="s">
        <v>2726</v>
      </c>
      <c r="P185" s="207" t="s">
        <v>2732</v>
      </c>
      <c r="Q185" s="207" t="s">
        <v>2733</v>
      </c>
      <c r="R185" s="207">
        <v>120</v>
      </c>
      <c r="S185" s="207" t="s">
        <v>2726</v>
      </c>
      <c r="T185" s="207" t="s">
        <v>1239</v>
      </c>
      <c r="U185" s="207" t="s">
        <v>2899</v>
      </c>
      <c r="V185" s="207" t="s">
        <v>2726</v>
      </c>
      <c r="W185" s="207" t="s">
        <v>2741</v>
      </c>
      <c r="X185" s="207">
        <v>2450000</v>
      </c>
      <c r="Y185" s="207" t="s">
        <v>70</v>
      </c>
      <c r="Z185" s="207" t="s">
        <v>2726</v>
      </c>
      <c r="AA185" s="207" t="s">
        <v>2726</v>
      </c>
      <c r="AB185" s="207" t="s">
        <v>2726</v>
      </c>
      <c r="AC185" s="207" t="s">
        <v>2726</v>
      </c>
      <c r="AD185" s="207" t="s">
        <v>2726</v>
      </c>
      <c r="AE185" s="207" t="s">
        <v>2726</v>
      </c>
      <c r="AF185" s="207" t="s">
        <v>2726</v>
      </c>
      <c r="AG185" s="207" t="s">
        <v>2726</v>
      </c>
      <c r="AH185" s="207" t="s">
        <v>2726</v>
      </c>
      <c r="AI185" s="207" t="s">
        <v>1256</v>
      </c>
      <c r="AJ185" s="207" t="s">
        <v>2726</v>
      </c>
      <c r="AK185" s="207" t="s">
        <v>2930</v>
      </c>
    </row>
    <row r="186" spans="1:37" x14ac:dyDescent="0.25">
      <c r="A186" s="207" t="s">
        <v>2968</v>
      </c>
      <c r="B186" s="207">
        <v>0</v>
      </c>
      <c r="C186" s="207" t="s">
        <v>2726</v>
      </c>
      <c r="D186" s="207" t="s">
        <v>2726</v>
      </c>
      <c r="E186" s="207" t="s">
        <v>2930</v>
      </c>
      <c r="F186" s="207" t="s">
        <v>2728</v>
      </c>
      <c r="G186" s="207" t="s">
        <v>2726</v>
      </c>
      <c r="H186" s="207">
        <v>61</v>
      </c>
      <c r="I186" s="207" t="s">
        <v>2744</v>
      </c>
      <c r="J186" s="207" t="s">
        <v>2730</v>
      </c>
      <c r="K186" s="207" t="s">
        <v>2726</v>
      </c>
      <c r="L186" s="207" t="s">
        <v>2726</v>
      </c>
      <c r="M186" s="207" t="s">
        <v>2898</v>
      </c>
      <c r="N186" s="207" t="s">
        <v>2726</v>
      </c>
      <c r="O186" s="207" t="s">
        <v>2726</v>
      </c>
      <c r="P186" s="207" t="s">
        <v>2732</v>
      </c>
      <c r="Q186" s="207" t="s">
        <v>2733</v>
      </c>
      <c r="R186" s="207">
        <v>120</v>
      </c>
      <c r="S186" s="207" t="s">
        <v>2726</v>
      </c>
      <c r="T186" s="207" t="s">
        <v>1239</v>
      </c>
      <c r="U186" s="207" t="s">
        <v>2899</v>
      </c>
      <c r="V186" s="207" t="s">
        <v>2726</v>
      </c>
      <c r="W186" s="207" t="s">
        <v>2741</v>
      </c>
      <c r="X186" s="207">
        <v>3715567</v>
      </c>
      <c r="Y186" s="207" t="s">
        <v>72</v>
      </c>
      <c r="Z186" s="207" t="s">
        <v>2726</v>
      </c>
      <c r="AA186" s="207" t="s">
        <v>2726</v>
      </c>
      <c r="AB186" s="207" t="s">
        <v>2726</v>
      </c>
      <c r="AC186" s="207" t="s">
        <v>2726</v>
      </c>
      <c r="AD186" s="207" t="s">
        <v>2726</v>
      </c>
      <c r="AE186" s="207" t="s">
        <v>2726</v>
      </c>
      <c r="AF186" s="207" t="s">
        <v>2726</v>
      </c>
      <c r="AG186" s="207" t="s">
        <v>2726</v>
      </c>
      <c r="AH186" s="207" t="s">
        <v>2726</v>
      </c>
      <c r="AI186" s="207" t="s">
        <v>1257</v>
      </c>
      <c r="AJ186" s="207" t="s">
        <v>2726</v>
      </c>
      <c r="AK186" s="207" t="s">
        <v>2930</v>
      </c>
    </row>
    <row r="187" spans="1:37" x14ac:dyDescent="0.25">
      <c r="A187" s="207" t="s">
        <v>2969</v>
      </c>
      <c r="B187" s="207">
        <v>0</v>
      </c>
      <c r="C187" s="207" t="s">
        <v>2726</v>
      </c>
      <c r="D187" s="207" t="s">
        <v>2726</v>
      </c>
      <c r="E187" s="207" t="s">
        <v>2930</v>
      </c>
      <c r="F187" s="207" t="s">
        <v>2728</v>
      </c>
      <c r="G187" s="207" t="s">
        <v>2726</v>
      </c>
      <c r="H187" s="207">
        <v>61</v>
      </c>
      <c r="I187" s="207" t="s">
        <v>2744</v>
      </c>
      <c r="J187" s="207" t="s">
        <v>2730</v>
      </c>
      <c r="K187" s="207" t="s">
        <v>2726</v>
      </c>
      <c r="L187" s="207" t="s">
        <v>2726</v>
      </c>
      <c r="M187" s="207" t="s">
        <v>2898</v>
      </c>
      <c r="N187" s="207" t="s">
        <v>2726</v>
      </c>
      <c r="O187" s="207" t="s">
        <v>2726</v>
      </c>
      <c r="P187" s="207" t="s">
        <v>2732</v>
      </c>
      <c r="Q187" s="207" t="s">
        <v>2733</v>
      </c>
      <c r="R187" s="207">
        <v>120</v>
      </c>
      <c r="S187" s="207" t="s">
        <v>2726</v>
      </c>
      <c r="T187" s="207" t="s">
        <v>1239</v>
      </c>
      <c r="U187" s="207" t="s">
        <v>2899</v>
      </c>
      <c r="V187" s="207" t="s">
        <v>2726</v>
      </c>
      <c r="W187" s="207" t="s">
        <v>2741</v>
      </c>
      <c r="X187" s="207">
        <v>205469</v>
      </c>
      <c r="Y187" s="207" t="s">
        <v>74</v>
      </c>
      <c r="Z187" s="207" t="s">
        <v>2726</v>
      </c>
      <c r="AA187" s="207" t="s">
        <v>2726</v>
      </c>
      <c r="AB187" s="207" t="s">
        <v>2726</v>
      </c>
      <c r="AC187" s="207" t="s">
        <v>2726</v>
      </c>
      <c r="AD187" s="207" t="s">
        <v>2726</v>
      </c>
      <c r="AE187" s="207" t="s">
        <v>2726</v>
      </c>
      <c r="AF187" s="207" t="s">
        <v>2726</v>
      </c>
      <c r="AG187" s="207" t="s">
        <v>2726</v>
      </c>
      <c r="AH187" s="207" t="s">
        <v>2726</v>
      </c>
      <c r="AI187" s="207" t="s">
        <v>1590</v>
      </c>
      <c r="AJ187" s="207" t="s">
        <v>2726</v>
      </c>
      <c r="AK187" s="207" t="s">
        <v>2930</v>
      </c>
    </row>
    <row r="188" spans="1:37" x14ac:dyDescent="0.25">
      <c r="A188" s="207" t="s">
        <v>2970</v>
      </c>
      <c r="B188" s="207">
        <v>0</v>
      </c>
      <c r="C188" s="207" t="s">
        <v>2726</v>
      </c>
      <c r="D188" s="207" t="s">
        <v>2726</v>
      </c>
      <c r="E188" s="207" t="s">
        <v>2930</v>
      </c>
      <c r="F188" s="207" t="s">
        <v>2728</v>
      </c>
      <c r="G188" s="207" t="s">
        <v>2726</v>
      </c>
      <c r="H188" s="207">
        <v>61</v>
      </c>
      <c r="I188" s="207" t="s">
        <v>2744</v>
      </c>
      <c r="J188" s="207" t="s">
        <v>2730</v>
      </c>
      <c r="K188" s="207" t="s">
        <v>2726</v>
      </c>
      <c r="L188" s="207" t="s">
        <v>2726</v>
      </c>
      <c r="M188" s="207" t="s">
        <v>2898</v>
      </c>
      <c r="N188" s="207" t="s">
        <v>2726</v>
      </c>
      <c r="O188" s="207" t="s">
        <v>2726</v>
      </c>
      <c r="P188" s="207" t="s">
        <v>2732</v>
      </c>
      <c r="Q188" s="207" t="s">
        <v>2733</v>
      </c>
      <c r="R188" s="207">
        <v>120</v>
      </c>
      <c r="S188" s="207" t="s">
        <v>2726</v>
      </c>
      <c r="T188" s="207" t="s">
        <v>1239</v>
      </c>
      <c r="U188" s="207" t="s">
        <v>2899</v>
      </c>
      <c r="V188" s="207" t="s">
        <v>2726</v>
      </c>
      <c r="W188" s="207" t="s">
        <v>2741</v>
      </c>
      <c r="X188" s="207">
        <v>921524</v>
      </c>
      <c r="Y188" s="207" t="s">
        <v>76</v>
      </c>
      <c r="Z188" s="207" t="s">
        <v>2726</v>
      </c>
      <c r="AA188" s="207" t="s">
        <v>2726</v>
      </c>
      <c r="AB188" s="207" t="s">
        <v>2726</v>
      </c>
      <c r="AC188" s="207" t="s">
        <v>2726</v>
      </c>
      <c r="AD188" s="207" t="s">
        <v>2726</v>
      </c>
      <c r="AE188" s="207" t="s">
        <v>2726</v>
      </c>
      <c r="AF188" s="207" t="s">
        <v>2726</v>
      </c>
      <c r="AG188" s="207" t="s">
        <v>2726</v>
      </c>
      <c r="AH188" s="207" t="s">
        <v>2726</v>
      </c>
      <c r="AI188" s="207" t="s">
        <v>1258</v>
      </c>
      <c r="AJ188" s="207" t="s">
        <v>2726</v>
      </c>
      <c r="AK188" s="207" t="s">
        <v>2930</v>
      </c>
    </row>
    <row r="189" spans="1:37" x14ac:dyDescent="0.25">
      <c r="A189" s="207" t="s">
        <v>2971</v>
      </c>
      <c r="B189" s="207">
        <v>0</v>
      </c>
      <c r="C189" s="207" t="s">
        <v>2726</v>
      </c>
      <c r="D189" s="207" t="s">
        <v>2726</v>
      </c>
      <c r="E189" s="207" t="s">
        <v>2930</v>
      </c>
      <c r="F189" s="207" t="s">
        <v>2728</v>
      </c>
      <c r="G189" s="207" t="s">
        <v>2726</v>
      </c>
      <c r="H189" s="207">
        <v>61</v>
      </c>
      <c r="I189" s="207" t="s">
        <v>2744</v>
      </c>
      <c r="J189" s="207" t="s">
        <v>2730</v>
      </c>
      <c r="K189" s="207" t="s">
        <v>2726</v>
      </c>
      <c r="L189" s="207" t="s">
        <v>2726</v>
      </c>
      <c r="M189" s="207" t="s">
        <v>2898</v>
      </c>
      <c r="N189" s="207" t="s">
        <v>2726</v>
      </c>
      <c r="O189" s="207" t="s">
        <v>2726</v>
      </c>
      <c r="P189" s="207" t="s">
        <v>2732</v>
      </c>
      <c r="Q189" s="207" t="s">
        <v>2733</v>
      </c>
      <c r="R189" s="207">
        <v>120</v>
      </c>
      <c r="S189" s="207" t="s">
        <v>2726</v>
      </c>
      <c r="T189" s="207" t="s">
        <v>1239</v>
      </c>
      <c r="U189" s="207" t="s">
        <v>2899</v>
      </c>
      <c r="V189" s="207" t="s">
        <v>2726</v>
      </c>
      <c r="W189" s="207" t="s">
        <v>2741</v>
      </c>
      <c r="X189" s="207">
        <v>3600000</v>
      </c>
      <c r="Y189" s="207" t="s">
        <v>78</v>
      </c>
      <c r="Z189" s="207" t="s">
        <v>2726</v>
      </c>
      <c r="AA189" s="207" t="s">
        <v>2726</v>
      </c>
      <c r="AB189" s="207" t="s">
        <v>2726</v>
      </c>
      <c r="AC189" s="207" t="s">
        <v>2726</v>
      </c>
      <c r="AD189" s="207" t="s">
        <v>2726</v>
      </c>
      <c r="AE189" s="207" t="s">
        <v>2726</v>
      </c>
      <c r="AF189" s="207" t="s">
        <v>2726</v>
      </c>
      <c r="AG189" s="207" t="s">
        <v>2726</v>
      </c>
      <c r="AH189" s="207" t="s">
        <v>2726</v>
      </c>
      <c r="AI189" s="207" t="s">
        <v>1243</v>
      </c>
      <c r="AJ189" s="207" t="s">
        <v>2726</v>
      </c>
      <c r="AK189" s="207" t="s">
        <v>2930</v>
      </c>
    </row>
    <row r="190" spans="1:37" x14ac:dyDescent="0.25">
      <c r="A190" s="207" t="s">
        <v>2972</v>
      </c>
      <c r="B190" s="207">
        <v>0</v>
      </c>
      <c r="C190" s="207" t="s">
        <v>2726</v>
      </c>
      <c r="D190" s="207" t="s">
        <v>2726</v>
      </c>
      <c r="E190" s="207" t="s">
        <v>2930</v>
      </c>
      <c r="F190" s="207" t="s">
        <v>2728</v>
      </c>
      <c r="G190" s="207" t="s">
        <v>2726</v>
      </c>
      <c r="H190" s="207">
        <v>61</v>
      </c>
      <c r="I190" s="207" t="s">
        <v>2744</v>
      </c>
      <c r="J190" s="207" t="s">
        <v>2730</v>
      </c>
      <c r="K190" s="207" t="s">
        <v>2726</v>
      </c>
      <c r="L190" s="207" t="s">
        <v>2726</v>
      </c>
      <c r="M190" s="207" t="s">
        <v>2898</v>
      </c>
      <c r="N190" s="207" t="s">
        <v>2726</v>
      </c>
      <c r="O190" s="207" t="s">
        <v>2726</v>
      </c>
      <c r="P190" s="207" t="s">
        <v>2732</v>
      </c>
      <c r="Q190" s="207" t="s">
        <v>2733</v>
      </c>
      <c r="R190" s="207">
        <v>120</v>
      </c>
      <c r="S190" s="207" t="s">
        <v>2726</v>
      </c>
      <c r="T190" s="207" t="s">
        <v>1239</v>
      </c>
      <c r="U190" s="207" t="s">
        <v>2899</v>
      </c>
      <c r="V190" s="207" t="s">
        <v>2726</v>
      </c>
      <c r="W190" s="207" t="s">
        <v>2741</v>
      </c>
      <c r="X190" s="207">
        <v>2629000</v>
      </c>
      <c r="Y190" s="207" t="s">
        <v>84</v>
      </c>
      <c r="Z190" s="207" t="s">
        <v>2726</v>
      </c>
      <c r="AA190" s="207" t="s">
        <v>2726</v>
      </c>
      <c r="AB190" s="207" t="s">
        <v>2726</v>
      </c>
      <c r="AC190" s="207" t="s">
        <v>2726</v>
      </c>
      <c r="AD190" s="207" t="s">
        <v>2726</v>
      </c>
      <c r="AE190" s="207" t="s">
        <v>2726</v>
      </c>
      <c r="AF190" s="207" t="s">
        <v>2726</v>
      </c>
      <c r="AG190" s="207" t="s">
        <v>2726</v>
      </c>
      <c r="AH190" s="207" t="s">
        <v>2726</v>
      </c>
      <c r="AI190" s="207" t="s">
        <v>1300</v>
      </c>
      <c r="AJ190" s="207" t="s">
        <v>2726</v>
      </c>
      <c r="AK190" s="207" t="s">
        <v>2930</v>
      </c>
    </row>
    <row r="191" spans="1:37" x14ac:dyDescent="0.25">
      <c r="A191" s="207" t="s">
        <v>2973</v>
      </c>
      <c r="B191" s="207">
        <v>0</v>
      </c>
      <c r="C191" s="207" t="s">
        <v>2726</v>
      </c>
      <c r="D191" s="207" t="s">
        <v>2726</v>
      </c>
      <c r="E191" s="207" t="s">
        <v>2930</v>
      </c>
      <c r="F191" s="207" t="s">
        <v>2728</v>
      </c>
      <c r="G191" s="207" t="s">
        <v>2726</v>
      </c>
      <c r="H191" s="207">
        <v>61</v>
      </c>
      <c r="I191" s="207" t="s">
        <v>2744</v>
      </c>
      <c r="J191" s="207" t="s">
        <v>2730</v>
      </c>
      <c r="K191" s="207" t="s">
        <v>2726</v>
      </c>
      <c r="L191" s="207" t="s">
        <v>2726</v>
      </c>
      <c r="M191" s="207" t="s">
        <v>2898</v>
      </c>
      <c r="N191" s="207" t="s">
        <v>2726</v>
      </c>
      <c r="O191" s="207" t="s">
        <v>2726</v>
      </c>
      <c r="P191" s="207" t="s">
        <v>2732</v>
      </c>
      <c r="Q191" s="207" t="s">
        <v>2733</v>
      </c>
      <c r="R191" s="207">
        <v>120</v>
      </c>
      <c r="S191" s="207" t="s">
        <v>2726</v>
      </c>
      <c r="T191" s="207" t="s">
        <v>1239</v>
      </c>
      <c r="U191" s="207" t="s">
        <v>2899</v>
      </c>
      <c r="V191" s="207" t="s">
        <v>2726</v>
      </c>
      <c r="W191" s="207" t="s">
        <v>2741</v>
      </c>
      <c r="X191" s="207">
        <v>9120000</v>
      </c>
      <c r="Y191" s="207" t="s">
        <v>88</v>
      </c>
      <c r="Z191" s="207" t="s">
        <v>2726</v>
      </c>
      <c r="AA191" s="207" t="s">
        <v>2726</v>
      </c>
      <c r="AB191" s="207" t="s">
        <v>2726</v>
      </c>
      <c r="AC191" s="207" t="s">
        <v>2726</v>
      </c>
      <c r="AD191" s="207" t="s">
        <v>2726</v>
      </c>
      <c r="AE191" s="207" t="s">
        <v>2726</v>
      </c>
      <c r="AF191" s="207" t="s">
        <v>2726</v>
      </c>
      <c r="AG191" s="207" t="s">
        <v>2726</v>
      </c>
      <c r="AH191" s="207" t="s">
        <v>2726</v>
      </c>
      <c r="AI191" s="207" t="s">
        <v>1245</v>
      </c>
      <c r="AJ191" s="207" t="s">
        <v>2726</v>
      </c>
      <c r="AK191" s="207" t="s">
        <v>2930</v>
      </c>
    </row>
    <row r="192" spans="1:37" x14ac:dyDescent="0.25">
      <c r="A192" s="207" t="s">
        <v>2974</v>
      </c>
      <c r="B192" s="207">
        <v>0</v>
      </c>
      <c r="C192" s="207" t="s">
        <v>2726</v>
      </c>
      <c r="D192" s="207" t="s">
        <v>2726</v>
      </c>
      <c r="E192" s="207" t="s">
        <v>2930</v>
      </c>
      <c r="F192" s="207" t="s">
        <v>2728</v>
      </c>
      <c r="G192" s="207" t="s">
        <v>2726</v>
      </c>
      <c r="H192" s="207">
        <v>61</v>
      </c>
      <c r="I192" s="207" t="s">
        <v>2744</v>
      </c>
      <c r="J192" s="207" t="s">
        <v>2730</v>
      </c>
      <c r="K192" s="207" t="s">
        <v>2726</v>
      </c>
      <c r="L192" s="207" t="s">
        <v>2726</v>
      </c>
      <c r="M192" s="207" t="s">
        <v>2898</v>
      </c>
      <c r="N192" s="207" t="s">
        <v>2726</v>
      </c>
      <c r="O192" s="207" t="s">
        <v>2726</v>
      </c>
      <c r="P192" s="207" t="s">
        <v>2732</v>
      </c>
      <c r="Q192" s="207" t="s">
        <v>2733</v>
      </c>
      <c r="R192" s="207">
        <v>120</v>
      </c>
      <c r="S192" s="207" t="s">
        <v>2726</v>
      </c>
      <c r="T192" s="207" t="s">
        <v>1239</v>
      </c>
      <c r="U192" s="207" t="s">
        <v>2899</v>
      </c>
      <c r="V192" s="207" t="s">
        <v>2726</v>
      </c>
      <c r="W192" s="207" t="s">
        <v>2741</v>
      </c>
      <c r="X192" s="207">
        <v>24062368</v>
      </c>
      <c r="Y192" s="207" t="s">
        <v>92</v>
      </c>
      <c r="Z192" s="207" t="s">
        <v>2726</v>
      </c>
      <c r="AA192" s="207" t="s">
        <v>2726</v>
      </c>
      <c r="AB192" s="207" t="s">
        <v>2726</v>
      </c>
      <c r="AC192" s="207" t="s">
        <v>2726</v>
      </c>
      <c r="AD192" s="207" t="s">
        <v>2726</v>
      </c>
      <c r="AE192" s="207" t="s">
        <v>2726</v>
      </c>
      <c r="AF192" s="207" t="s">
        <v>2726</v>
      </c>
      <c r="AG192" s="207" t="s">
        <v>2726</v>
      </c>
      <c r="AH192" s="207" t="s">
        <v>2726</v>
      </c>
      <c r="AI192" s="207" t="s">
        <v>317</v>
      </c>
      <c r="AJ192" s="207" t="s">
        <v>2726</v>
      </c>
      <c r="AK192" s="207" t="s">
        <v>2930</v>
      </c>
    </row>
    <row r="193" spans="1:37" x14ac:dyDescent="0.25">
      <c r="A193" s="207" t="s">
        <v>2975</v>
      </c>
      <c r="B193" s="207">
        <v>0</v>
      </c>
      <c r="C193" s="207" t="s">
        <v>2726</v>
      </c>
      <c r="D193" s="207" t="s">
        <v>2726</v>
      </c>
      <c r="E193" s="207" t="s">
        <v>2930</v>
      </c>
      <c r="F193" s="207" t="s">
        <v>2728</v>
      </c>
      <c r="G193" s="207" t="s">
        <v>2726</v>
      </c>
      <c r="H193" s="207">
        <v>61</v>
      </c>
      <c r="I193" s="207" t="s">
        <v>2744</v>
      </c>
      <c r="J193" s="207" t="s">
        <v>2730</v>
      </c>
      <c r="K193" s="207" t="s">
        <v>2726</v>
      </c>
      <c r="L193" s="207" t="s">
        <v>2726</v>
      </c>
      <c r="M193" s="207" t="s">
        <v>2898</v>
      </c>
      <c r="N193" s="207" t="s">
        <v>2726</v>
      </c>
      <c r="O193" s="207" t="s">
        <v>2726</v>
      </c>
      <c r="P193" s="207" t="s">
        <v>2732</v>
      </c>
      <c r="Q193" s="207" t="s">
        <v>2733</v>
      </c>
      <c r="R193" s="207">
        <v>120</v>
      </c>
      <c r="S193" s="207" t="s">
        <v>2726</v>
      </c>
      <c r="T193" s="207" t="s">
        <v>1239</v>
      </c>
      <c r="U193" s="207" t="s">
        <v>2899</v>
      </c>
      <c r="V193" s="207" t="s">
        <v>2726</v>
      </c>
      <c r="W193" s="207" t="s">
        <v>2741</v>
      </c>
      <c r="X193" s="207">
        <v>100000</v>
      </c>
      <c r="Y193" s="207" t="s">
        <v>94</v>
      </c>
      <c r="Z193" s="207" t="s">
        <v>2726</v>
      </c>
      <c r="AA193" s="207" t="s">
        <v>2726</v>
      </c>
      <c r="AB193" s="207" t="s">
        <v>2726</v>
      </c>
      <c r="AC193" s="207" t="s">
        <v>2726</v>
      </c>
      <c r="AD193" s="207" t="s">
        <v>2726</v>
      </c>
      <c r="AE193" s="207" t="s">
        <v>2726</v>
      </c>
      <c r="AF193" s="207" t="s">
        <v>2726</v>
      </c>
      <c r="AG193" s="207" t="s">
        <v>2726</v>
      </c>
      <c r="AH193" s="207" t="s">
        <v>2726</v>
      </c>
      <c r="AI193" s="207" t="s">
        <v>1246</v>
      </c>
      <c r="AJ193" s="207" t="s">
        <v>2726</v>
      </c>
      <c r="AK193" s="207" t="s">
        <v>2930</v>
      </c>
    </row>
    <row r="194" spans="1:37" x14ac:dyDescent="0.25">
      <c r="A194" s="207" t="s">
        <v>2976</v>
      </c>
      <c r="B194" s="207">
        <v>0</v>
      </c>
      <c r="C194" s="207" t="s">
        <v>2726</v>
      </c>
      <c r="D194" s="207" t="s">
        <v>2726</v>
      </c>
      <c r="E194" s="207" t="s">
        <v>2930</v>
      </c>
      <c r="F194" s="207" t="s">
        <v>2728</v>
      </c>
      <c r="G194" s="207" t="s">
        <v>2726</v>
      </c>
      <c r="H194" s="207">
        <v>61</v>
      </c>
      <c r="I194" s="207" t="s">
        <v>2744</v>
      </c>
      <c r="J194" s="207" t="s">
        <v>2730</v>
      </c>
      <c r="K194" s="207" t="s">
        <v>2726</v>
      </c>
      <c r="L194" s="207" t="s">
        <v>2726</v>
      </c>
      <c r="M194" s="207" t="s">
        <v>2898</v>
      </c>
      <c r="N194" s="207" t="s">
        <v>2726</v>
      </c>
      <c r="O194" s="207" t="s">
        <v>2726</v>
      </c>
      <c r="P194" s="207" t="s">
        <v>2732</v>
      </c>
      <c r="Q194" s="207" t="s">
        <v>2733</v>
      </c>
      <c r="R194" s="207">
        <v>120</v>
      </c>
      <c r="S194" s="207" t="s">
        <v>2726</v>
      </c>
      <c r="T194" s="207" t="s">
        <v>1239</v>
      </c>
      <c r="U194" s="207" t="s">
        <v>2899</v>
      </c>
      <c r="V194" s="207" t="s">
        <v>2726</v>
      </c>
      <c r="W194" s="207" t="s">
        <v>2741</v>
      </c>
      <c r="X194" s="207">
        <v>4280000</v>
      </c>
      <c r="Y194" s="207" t="s">
        <v>96</v>
      </c>
      <c r="Z194" s="207" t="s">
        <v>2726</v>
      </c>
      <c r="AA194" s="207" t="s">
        <v>2726</v>
      </c>
      <c r="AB194" s="207" t="s">
        <v>2726</v>
      </c>
      <c r="AC194" s="207" t="s">
        <v>2726</v>
      </c>
      <c r="AD194" s="207" t="s">
        <v>2726</v>
      </c>
      <c r="AE194" s="207" t="s">
        <v>2726</v>
      </c>
      <c r="AF194" s="207" t="s">
        <v>2726</v>
      </c>
      <c r="AG194" s="207" t="s">
        <v>2726</v>
      </c>
      <c r="AH194" s="207" t="s">
        <v>2726</v>
      </c>
      <c r="AI194" s="207" t="s">
        <v>1240</v>
      </c>
      <c r="AJ194" s="207" t="s">
        <v>2726</v>
      </c>
      <c r="AK194" s="207" t="s">
        <v>2930</v>
      </c>
    </row>
    <row r="195" spans="1:37" x14ac:dyDescent="0.25">
      <c r="A195" s="207" t="s">
        <v>2977</v>
      </c>
      <c r="B195" s="207">
        <v>0</v>
      </c>
      <c r="C195" s="207" t="s">
        <v>2726</v>
      </c>
      <c r="D195" s="207" t="s">
        <v>2726</v>
      </c>
      <c r="E195" s="207" t="s">
        <v>2930</v>
      </c>
      <c r="F195" s="207" t="s">
        <v>2728</v>
      </c>
      <c r="G195" s="207" t="s">
        <v>2726</v>
      </c>
      <c r="H195" s="207">
        <v>61</v>
      </c>
      <c r="I195" s="207" t="s">
        <v>2744</v>
      </c>
      <c r="J195" s="207" t="s">
        <v>2730</v>
      </c>
      <c r="K195" s="207" t="s">
        <v>2726</v>
      </c>
      <c r="L195" s="207" t="s">
        <v>2726</v>
      </c>
      <c r="M195" s="207" t="s">
        <v>2898</v>
      </c>
      <c r="N195" s="207" t="s">
        <v>2726</v>
      </c>
      <c r="O195" s="207" t="s">
        <v>2726</v>
      </c>
      <c r="P195" s="207" t="s">
        <v>2732</v>
      </c>
      <c r="Q195" s="207" t="s">
        <v>2733</v>
      </c>
      <c r="R195" s="207">
        <v>120</v>
      </c>
      <c r="S195" s="207" t="s">
        <v>2726</v>
      </c>
      <c r="T195" s="207" t="s">
        <v>1239</v>
      </c>
      <c r="U195" s="207" t="s">
        <v>2899</v>
      </c>
      <c r="V195" s="207" t="s">
        <v>2726</v>
      </c>
      <c r="W195" s="207" t="s">
        <v>2741</v>
      </c>
      <c r="X195" s="207">
        <v>3479000</v>
      </c>
      <c r="Y195" s="207" t="s">
        <v>100</v>
      </c>
      <c r="Z195" s="207" t="s">
        <v>2726</v>
      </c>
      <c r="AA195" s="207" t="s">
        <v>2726</v>
      </c>
      <c r="AB195" s="207" t="s">
        <v>2726</v>
      </c>
      <c r="AC195" s="207" t="s">
        <v>2726</v>
      </c>
      <c r="AD195" s="207" t="s">
        <v>2726</v>
      </c>
      <c r="AE195" s="207" t="s">
        <v>2726</v>
      </c>
      <c r="AF195" s="207" t="s">
        <v>2726</v>
      </c>
      <c r="AG195" s="207" t="s">
        <v>2726</v>
      </c>
      <c r="AH195" s="207" t="s">
        <v>2726</v>
      </c>
      <c r="AI195" s="207" t="s">
        <v>1247</v>
      </c>
      <c r="AJ195" s="207" t="s">
        <v>2726</v>
      </c>
      <c r="AK195" s="207" t="s">
        <v>2930</v>
      </c>
    </row>
    <row r="196" spans="1:37" x14ac:dyDescent="0.25">
      <c r="A196" s="207" t="s">
        <v>2978</v>
      </c>
      <c r="B196" s="207">
        <v>0</v>
      </c>
      <c r="C196" s="207" t="s">
        <v>2726</v>
      </c>
      <c r="D196" s="207" t="s">
        <v>2726</v>
      </c>
      <c r="E196" s="207" t="s">
        <v>2930</v>
      </c>
      <c r="F196" s="207" t="s">
        <v>2728</v>
      </c>
      <c r="G196" s="207" t="s">
        <v>2726</v>
      </c>
      <c r="H196" s="207">
        <v>61</v>
      </c>
      <c r="I196" s="207" t="s">
        <v>2744</v>
      </c>
      <c r="J196" s="207" t="s">
        <v>2730</v>
      </c>
      <c r="K196" s="207" t="s">
        <v>2726</v>
      </c>
      <c r="L196" s="207" t="s">
        <v>2726</v>
      </c>
      <c r="M196" s="207" t="s">
        <v>2898</v>
      </c>
      <c r="N196" s="207" t="s">
        <v>2726</v>
      </c>
      <c r="O196" s="207" t="s">
        <v>2726</v>
      </c>
      <c r="P196" s="207" t="s">
        <v>2732</v>
      </c>
      <c r="Q196" s="207" t="s">
        <v>2733</v>
      </c>
      <c r="R196" s="207">
        <v>120</v>
      </c>
      <c r="S196" s="207" t="s">
        <v>2726</v>
      </c>
      <c r="T196" s="207" t="s">
        <v>1239</v>
      </c>
      <c r="U196" s="207" t="s">
        <v>2899</v>
      </c>
      <c r="V196" s="207" t="s">
        <v>2726</v>
      </c>
      <c r="W196" s="207" t="s">
        <v>2741</v>
      </c>
      <c r="X196" s="207">
        <v>924000</v>
      </c>
      <c r="Y196" s="207" t="s">
        <v>102</v>
      </c>
      <c r="Z196" s="207" t="s">
        <v>2726</v>
      </c>
      <c r="AA196" s="207" t="s">
        <v>2726</v>
      </c>
      <c r="AB196" s="207" t="s">
        <v>2726</v>
      </c>
      <c r="AC196" s="207" t="s">
        <v>2726</v>
      </c>
      <c r="AD196" s="207" t="s">
        <v>2726</v>
      </c>
      <c r="AE196" s="207" t="s">
        <v>2726</v>
      </c>
      <c r="AF196" s="207" t="s">
        <v>2726</v>
      </c>
      <c r="AG196" s="207" t="s">
        <v>2726</v>
      </c>
      <c r="AH196" s="207" t="s">
        <v>2726</v>
      </c>
      <c r="AI196" s="207" t="s">
        <v>1248</v>
      </c>
      <c r="AJ196" s="207" t="s">
        <v>2726</v>
      </c>
      <c r="AK196" s="207" t="s">
        <v>2930</v>
      </c>
    </row>
    <row r="197" spans="1:37" x14ac:dyDescent="0.25">
      <c r="A197" s="207" t="s">
        <v>2979</v>
      </c>
      <c r="B197" s="207">
        <v>0</v>
      </c>
      <c r="C197" s="207" t="s">
        <v>2726</v>
      </c>
      <c r="D197" s="207" t="s">
        <v>2726</v>
      </c>
      <c r="E197" s="207" t="s">
        <v>2888</v>
      </c>
      <c r="F197" s="207" t="s">
        <v>2728</v>
      </c>
      <c r="G197" s="207" t="s">
        <v>2726</v>
      </c>
      <c r="H197" s="207">
        <v>60</v>
      </c>
      <c r="I197" s="207" t="s">
        <v>2737</v>
      </c>
      <c r="J197" s="207" t="s">
        <v>2730</v>
      </c>
      <c r="K197" s="207" t="s">
        <v>2726</v>
      </c>
      <c r="L197" s="207" t="s">
        <v>2726</v>
      </c>
      <c r="M197" s="207" t="s">
        <v>2770</v>
      </c>
      <c r="N197" s="207" t="s">
        <v>2726</v>
      </c>
      <c r="O197" s="207" t="s">
        <v>2726</v>
      </c>
      <c r="P197" s="207" t="s">
        <v>2739</v>
      </c>
      <c r="Q197" s="207" t="s">
        <v>2733</v>
      </c>
      <c r="R197" s="207">
        <v>121</v>
      </c>
      <c r="S197" s="207" t="s">
        <v>2726</v>
      </c>
      <c r="T197" s="207" t="s">
        <v>1239</v>
      </c>
      <c r="U197" s="207" t="s">
        <v>2771</v>
      </c>
      <c r="V197" s="207" t="s">
        <v>2726</v>
      </c>
      <c r="W197" s="207" t="s">
        <v>629</v>
      </c>
      <c r="X197" s="207">
        <v>-83598</v>
      </c>
      <c r="Y197" s="207" t="s">
        <v>181</v>
      </c>
      <c r="Z197" s="207" t="s">
        <v>2726</v>
      </c>
      <c r="AA197" s="207" t="s">
        <v>2726</v>
      </c>
      <c r="AB197" s="207" t="s">
        <v>2726</v>
      </c>
      <c r="AC197" s="207" t="s">
        <v>2726</v>
      </c>
      <c r="AD197" s="207" t="s">
        <v>2726</v>
      </c>
      <c r="AE197" s="207" t="s">
        <v>2726</v>
      </c>
      <c r="AF197" s="207" t="s">
        <v>2726</v>
      </c>
      <c r="AG197" s="207" t="s">
        <v>2726</v>
      </c>
      <c r="AH197" s="207" t="s">
        <v>2726</v>
      </c>
      <c r="AI197" s="207" t="s">
        <v>1283</v>
      </c>
      <c r="AJ197" s="207" t="s">
        <v>2726</v>
      </c>
      <c r="AK197" s="207" t="s">
        <v>2888</v>
      </c>
    </row>
    <row r="198" spans="1:37" x14ac:dyDescent="0.25">
      <c r="A198" s="207" t="s">
        <v>2980</v>
      </c>
      <c r="B198" s="207">
        <v>0</v>
      </c>
      <c r="C198" s="207" t="s">
        <v>2726</v>
      </c>
      <c r="D198" s="207" t="s">
        <v>2726</v>
      </c>
      <c r="E198" s="207" t="s">
        <v>2930</v>
      </c>
      <c r="F198" s="207" t="s">
        <v>2728</v>
      </c>
      <c r="G198" s="207" t="s">
        <v>2726</v>
      </c>
      <c r="H198" s="207">
        <v>61</v>
      </c>
      <c r="I198" s="207" t="s">
        <v>2744</v>
      </c>
      <c r="J198" s="207" t="s">
        <v>2730</v>
      </c>
      <c r="K198" s="207" t="s">
        <v>2726</v>
      </c>
      <c r="L198" s="207" t="s">
        <v>2726</v>
      </c>
      <c r="M198" s="207" t="s">
        <v>2898</v>
      </c>
      <c r="N198" s="207" t="s">
        <v>2726</v>
      </c>
      <c r="O198" s="207" t="s">
        <v>2726</v>
      </c>
      <c r="P198" s="207" t="s">
        <v>2732</v>
      </c>
      <c r="Q198" s="207" t="s">
        <v>2733</v>
      </c>
      <c r="R198" s="207">
        <v>120</v>
      </c>
      <c r="S198" s="207" t="s">
        <v>2726</v>
      </c>
      <c r="T198" s="207" t="s">
        <v>1239</v>
      </c>
      <c r="U198" s="207" t="s">
        <v>2899</v>
      </c>
      <c r="V198" s="207" t="s">
        <v>2726</v>
      </c>
      <c r="W198" s="207" t="s">
        <v>2741</v>
      </c>
      <c r="X198" s="207">
        <v>1620000</v>
      </c>
      <c r="Y198" s="207" t="s">
        <v>582</v>
      </c>
      <c r="Z198" s="207" t="s">
        <v>2726</v>
      </c>
      <c r="AA198" s="207" t="s">
        <v>2726</v>
      </c>
      <c r="AB198" s="207" t="s">
        <v>2726</v>
      </c>
      <c r="AC198" s="207" t="s">
        <v>2726</v>
      </c>
      <c r="AD198" s="207" t="s">
        <v>2726</v>
      </c>
      <c r="AE198" s="207" t="s">
        <v>2726</v>
      </c>
      <c r="AF198" s="207" t="s">
        <v>2726</v>
      </c>
      <c r="AG198" s="207" t="s">
        <v>2726</v>
      </c>
      <c r="AH198" s="207" t="s">
        <v>2726</v>
      </c>
      <c r="AI198" s="207" t="s">
        <v>1249</v>
      </c>
      <c r="AJ198" s="207" t="s">
        <v>2726</v>
      </c>
      <c r="AK198" s="207" t="s">
        <v>2930</v>
      </c>
    </row>
    <row r="199" spans="1:37" x14ac:dyDescent="0.25">
      <c r="A199" s="207" t="s">
        <v>2981</v>
      </c>
      <c r="B199" s="207">
        <v>0</v>
      </c>
      <c r="C199" s="207" t="s">
        <v>2726</v>
      </c>
      <c r="D199" s="207" t="s">
        <v>2726</v>
      </c>
      <c r="E199" s="207" t="s">
        <v>2930</v>
      </c>
      <c r="F199" s="207" t="s">
        <v>2728</v>
      </c>
      <c r="G199" s="207" t="s">
        <v>2726</v>
      </c>
      <c r="H199" s="207">
        <v>61</v>
      </c>
      <c r="I199" s="207" t="s">
        <v>2744</v>
      </c>
      <c r="J199" s="207" t="s">
        <v>2730</v>
      </c>
      <c r="K199" s="207" t="s">
        <v>2726</v>
      </c>
      <c r="L199" s="207" t="s">
        <v>2726</v>
      </c>
      <c r="M199" s="207" t="s">
        <v>2898</v>
      </c>
      <c r="N199" s="207" t="s">
        <v>2726</v>
      </c>
      <c r="O199" s="207" t="s">
        <v>2726</v>
      </c>
      <c r="P199" s="207" t="s">
        <v>2732</v>
      </c>
      <c r="Q199" s="207" t="s">
        <v>2733</v>
      </c>
      <c r="R199" s="207">
        <v>120</v>
      </c>
      <c r="S199" s="207" t="s">
        <v>2726</v>
      </c>
      <c r="T199" s="207" t="s">
        <v>1239</v>
      </c>
      <c r="U199" s="207" t="s">
        <v>2899</v>
      </c>
      <c r="V199" s="207" t="s">
        <v>2726</v>
      </c>
      <c r="W199" s="207" t="s">
        <v>2741</v>
      </c>
      <c r="X199" s="207">
        <v>2640000</v>
      </c>
      <c r="Y199" s="207" t="s">
        <v>584</v>
      </c>
      <c r="Z199" s="207" t="s">
        <v>2726</v>
      </c>
      <c r="AA199" s="207" t="s">
        <v>2726</v>
      </c>
      <c r="AB199" s="207" t="s">
        <v>2726</v>
      </c>
      <c r="AC199" s="207" t="s">
        <v>2726</v>
      </c>
      <c r="AD199" s="207" t="s">
        <v>2726</v>
      </c>
      <c r="AE199" s="207" t="s">
        <v>2726</v>
      </c>
      <c r="AF199" s="207" t="s">
        <v>2726</v>
      </c>
      <c r="AG199" s="207" t="s">
        <v>2726</v>
      </c>
      <c r="AH199" s="207" t="s">
        <v>2726</v>
      </c>
      <c r="AI199" s="207" t="s">
        <v>1263</v>
      </c>
      <c r="AJ199" s="207" t="s">
        <v>2726</v>
      </c>
      <c r="AK199" s="207" t="s">
        <v>2930</v>
      </c>
    </row>
    <row r="200" spans="1:37" x14ac:dyDescent="0.25">
      <c r="A200" s="207" t="s">
        <v>2982</v>
      </c>
      <c r="B200" s="207">
        <v>0</v>
      </c>
      <c r="C200" s="207" t="s">
        <v>2726</v>
      </c>
      <c r="D200" s="207" t="s">
        <v>2726</v>
      </c>
      <c r="E200" s="207" t="s">
        <v>2930</v>
      </c>
      <c r="F200" s="207" t="s">
        <v>2728</v>
      </c>
      <c r="G200" s="207" t="s">
        <v>2726</v>
      </c>
      <c r="H200" s="207">
        <v>61</v>
      </c>
      <c r="I200" s="207" t="s">
        <v>2744</v>
      </c>
      <c r="J200" s="207" t="s">
        <v>2730</v>
      </c>
      <c r="K200" s="207" t="s">
        <v>2726</v>
      </c>
      <c r="L200" s="207" t="s">
        <v>2726</v>
      </c>
      <c r="M200" s="207" t="s">
        <v>2898</v>
      </c>
      <c r="N200" s="207" t="s">
        <v>2726</v>
      </c>
      <c r="O200" s="207" t="s">
        <v>2726</v>
      </c>
      <c r="P200" s="207" t="s">
        <v>2732</v>
      </c>
      <c r="Q200" s="207" t="s">
        <v>2733</v>
      </c>
      <c r="R200" s="207">
        <v>120</v>
      </c>
      <c r="S200" s="207" t="s">
        <v>2726</v>
      </c>
      <c r="T200" s="207" t="s">
        <v>1239</v>
      </c>
      <c r="U200" s="207" t="s">
        <v>2899</v>
      </c>
      <c r="V200" s="207" t="s">
        <v>2726</v>
      </c>
      <c r="W200" s="207" t="s">
        <v>2741</v>
      </c>
      <c r="X200" s="207">
        <v>240000</v>
      </c>
      <c r="Y200" s="207" t="s">
        <v>588</v>
      </c>
      <c r="Z200" s="207" t="s">
        <v>2726</v>
      </c>
      <c r="AA200" s="207" t="s">
        <v>2726</v>
      </c>
      <c r="AB200" s="207" t="s">
        <v>2726</v>
      </c>
      <c r="AC200" s="207" t="s">
        <v>2726</v>
      </c>
      <c r="AD200" s="207" t="s">
        <v>2726</v>
      </c>
      <c r="AE200" s="207" t="s">
        <v>2726</v>
      </c>
      <c r="AF200" s="207" t="s">
        <v>2726</v>
      </c>
      <c r="AG200" s="207" t="s">
        <v>2726</v>
      </c>
      <c r="AH200" s="207" t="s">
        <v>2726</v>
      </c>
      <c r="AI200" s="207" t="s">
        <v>1276</v>
      </c>
      <c r="AJ200" s="207" t="s">
        <v>2726</v>
      </c>
      <c r="AK200" s="207" t="s">
        <v>2930</v>
      </c>
    </row>
    <row r="201" spans="1:37" x14ac:dyDescent="0.25">
      <c r="A201" s="207" t="s">
        <v>2983</v>
      </c>
      <c r="B201" s="207">
        <v>0</v>
      </c>
      <c r="C201" s="207" t="s">
        <v>2726</v>
      </c>
      <c r="D201" s="207" t="s">
        <v>2726</v>
      </c>
      <c r="E201" s="207" t="s">
        <v>2930</v>
      </c>
      <c r="F201" s="207" t="s">
        <v>2728</v>
      </c>
      <c r="G201" s="207" t="s">
        <v>2726</v>
      </c>
      <c r="H201" s="207">
        <v>61</v>
      </c>
      <c r="I201" s="207" t="s">
        <v>2744</v>
      </c>
      <c r="J201" s="207" t="s">
        <v>2730</v>
      </c>
      <c r="K201" s="207" t="s">
        <v>2726</v>
      </c>
      <c r="L201" s="207" t="s">
        <v>2726</v>
      </c>
      <c r="M201" s="207" t="s">
        <v>2898</v>
      </c>
      <c r="N201" s="207" t="s">
        <v>2726</v>
      </c>
      <c r="O201" s="207" t="s">
        <v>2726</v>
      </c>
      <c r="P201" s="207" t="s">
        <v>2732</v>
      </c>
      <c r="Q201" s="207" t="s">
        <v>2733</v>
      </c>
      <c r="R201" s="207">
        <v>120</v>
      </c>
      <c r="S201" s="207" t="s">
        <v>2726</v>
      </c>
      <c r="T201" s="207" t="s">
        <v>1239</v>
      </c>
      <c r="U201" s="207" t="s">
        <v>2899</v>
      </c>
      <c r="V201" s="207" t="s">
        <v>2726</v>
      </c>
      <c r="W201" s="207" t="s">
        <v>2741</v>
      </c>
      <c r="X201" s="207">
        <v>144000</v>
      </c>
      <c r="Y201" s="207" t="s">
        <v>107</v>
      </c>
      <c r="Z201" s="207" t="s">
        <v>2726</v>
      </c>
      <c r="AA201" s="207" t="s">
        <v>2726</v>
      </c>
      <c r="AB201" s="207" t="s">
        <v>2726</v>
      </c>
      <c r="AC201" s="207" t="s">
        <v>2726</v>
      </c>
      <c r="AD201" s="207" t="s">
        <v>2726</v>
      </c>
      <c r="AE201" s="207" t="s">
        <v>2726</v>
      </c>
      <c r="AF201" s="207" t="s">
        <v>2726</v>
      </c>
      <c r="AG201" s="207" t="s">
        <v>2726</v>
      </c>
      <c r="AH201" s="207" t="s">
        <v>2726</v>
      </c>
      <c r="AI201" s="207" t="s">
        <v>1264</v>
      </c>
      <c r="AJ201" s="207" t="s">
        <v>2726</v>
      </c>
      <c r="AK201" s="207" t="s">
        <v>2930</v>
      </c>
    </row>
    <row r="202" spans="1:37" x14ac:dyDescent="0.25">
      <c r="A202" s="207" t="s">
        <v>2984</v>
      </c>
      <c r="B202" s="207">
        <v>0</v>
      </c>
      <c r="C202" s="207" t="s">
        <v>2726</v>
      </c>
      <c r="D202" s="207" t="s">
        <v>2726</v>
      </c>
      <c r="E202" s="207" t="s">
        <v>2919</v>
      </c>
      <c r="F202" s="207" t="s">
        <v>2728</v>
      </c>
      <c r="G202" s="207" t="s">
        <v>2726</v>
      </c>
      <c r="H202" s="207">
        <v>60</v>
      </c>
      <c r="I202" s="207" t="s">
        <v>2737</v>
      </c>
      <c r="J202" s="207" t="s">
        <v>2894</v>
      </c>
      <c r="K202" s="207" t="s">
        <v>2726</v>
      </c>
      <c r="L202" s="207" t="s">
        <v>2726</v>
      </c>
      <c r="M202" s="207" t="s">
        <v>2770</v>
      </c>
      <c r="N202" s="207" t="s">
        <v>2726</v>
      </c>
      <c r="O202" s="207" t="s">
        <v>2726</v>
      </c>
      <c r="P202" s="207" t="s">
        <v>2739</v>
      </c>
      <c r="Q202" s="207" t="s">
        <v>2733</v>
      </c>
      <c r="R202" s="207">
        <v>121</v>
      </c>
      <c r="S202" s="207" t="s">
        <v>2726</v>
      </c>
      <c r="T202" s="207" t="s">
        <v>1239</v>
      </c>
      <c r="U202" s="207" t="s">
        <v>2771</v>
      </c>
      <c r="V202" s="207" t="s">
        <v>2726</v>
      </c>
      <c r="W202" s="207" t="s">
        <v>629</v>
      </c>
      <c r="X202" s="207">
        <v>-2331</v>
      </c>
      <c r="Y202" s="207" t="s">
        <v>181</v>
      </c>
      <c r="Z202" s="207" t="s">
        <v>2726</v>
      </c>
      <c r="AA202" s="207" t="s">
        <v>2726</v>
      </c>
      <c r="AB202" s="207" t="s">
        <v>2726</v>
      </c>
      <c r="AC202" s="207" t="s">
        <v>2726</v>
      </c>
      <c r="AD202" s="207" t="s">
        <v>2726</v>
      </c>
      <c r="AE202" s="207" t="s">
        <v>2726</v>
      </c>
      <c r="AF202" s="207" t="s">
        <v>2726</v>
      </c>
      <c r="AG202" s="207" t="s">
        <v>2726</v>
      </c>
      <c r="AH202" s="207" t="s">
        <v>2726</v>
      </c>
      <c r="AI202" s="207" t="s">
        <v>1283</v>
      </c>
      <c r="AJ202" s="207" t="s">
        <v>2726</v>
      </c>
      <c r="AK202" s="207" t="s">
        <v>2919</v>
      </c>
    </row>
    <row r="203" spans="1:37" x14ac:dyDescent="0.25">
      <c r="A203" s="207" t="s">
        <v>2985</v>
      </c>
      <c r="B203" s="207">
        <v>0</v>
      </c>
      <c r="C203" s="207" t="s">
        <v>2726</v>
      </c>
      <c r="D203" s="207" t="s">
        <v>2726</v>
      </c>
      <c r="E203" s="207" t="s">
        <v>2986</v>
      </c>
      <c r="F203" s="207" t="s">
        <v>2728</v>
      </c>
      <c r="G203" s="207" t="s">
        <v>2726</v>
      </c>
      <c r="H203" s="207">
        <v>60</v>
      </c>
      <c r="I203" s="207" t="s">
        <v>2737</v>
      </c>
      <c r="J203" s="207" t="s">
        <v>2897</v>
      </c>
      <c r="K203" s="207" t="s">
        <v>2726</v>
      </c>
      <c r="L203" s="207" t="s">
        <v>2726</v>
      </c>
      <c r="M203" s="207" t="s">
        <v>2770</v>
      </c>
      <c r="N203" s="207" t="s">
        <v>2726</v>
      </c>
      <c r="O203" s="207" t="s">
        <v>2726</v>
      </c>
      <c r="P203" s="207" t="s">
        <v>2739</v>
      </c>
      <c r="Q203" s="207" t="s">
        <v>2733</v>
      </c>
      <c r="R203" s="207">
        <v>121</v>
      </c>
      <c r="S203" s="207" t="s">
        <v>2726</v>
      </c>
      <c r="T203" s="207" t="s">
        <v>1239</v>
      </c>
      <c r="U203" s="207" t="s">
        <v>2771</v>
      </c>
      <c r="V203" s="207" t="s">
        <v>2726</v>
      </c>
      <c r="W203" s="207" t="s">
        <v>629</v>
      </c>
      <c r="X203" s="207">
        <v>-15000</v>
      </c>
      <c r="Y203" s="207" t="s">
        <v>181</v>
      </c>
      <c r="Z203" s="207" t="s">
        <v>2726</v>
      </c>
      <c r="AA203" s="207" t="s">
        <v>2726</v>
      </c>
      <c r="AB203" s="207" t="s">
        <v>2726</v>
      </c>
      <c r="AC203" s="207" t="s">
        <v>2726</v>
      </c>
      <c r="AD203" s="207" t="s">
        <v>2726</v>
      </c>
      <c r="AE203" s="207" t="s">
        <v>2726</v>
      </c>
      <c r="AF203" s="207" t="s">
        <v>2726</v>
      </c>
      <c r="AG203" s="207" t="s">
        <v>2726</v>
      </c>
      <c r="AH203" s="207" t="s">
        <v>2726</v>
      </c>
      <c r="AI203" s="207" t="s">
        <v>1283</v>
      </c>
      <c r="AJ203" s="207" t="s">
        <v>2726</v>
      </c>
      <c r="AK203" s="207" t="s">
        <v>2986</v>
      </c>
    </row>
    <row r="204" spans="1:37" x14ac:dyDescent="0.25">
      <c r="A204" s="207" t="s">
        <v>2987</v>
      </c>
      <c r="B204" s="207">
        <v>0</v>
      </c>
      <c r="C204" s="207" t="s">
        <v>2726</v>
      </c>
      <c r="D204" s="207" t="s">
        <v>2726</v>
      </c>
      <c r="E204" s="207" t="s">
        <v>2988</v>
      </c>
      <c r="F204" s="207" t="s">
        <v>2728</v>
      </c>
      <c r="G204" s="207" t="s">
        <v>2726</v>
      </c>
      <c r="H204" s="207">
        <v>60</v>
      </c>
      <c r="I204" s="207" t="s">
        <v>2737</v>
      </c>
      <c r="J204" s="207" t="s">
        <v>2897</v>
      </c>
      <c r="K204" s="207" t="s">
        <v>2726</v>
      </c>
      <c r="L204" s="207" t="s">
        <v>2726</v>
      </c>
      <c r="M204" s="207" t="s">
        <v>2770</v>
      </c>
      <c r="N204" s="207" t="s">
        <v>2726</v>
      </c>
      <c r="O204" s="207" t="s">
        <v>2726</v>
      </c>
      <c r="P204" s="207" t="s">
        <v>2739</v>
      </c>
      <c r="Q204" s="207" t="s">
        <v>2733</v>
      </c>
      <c r="R204" s="207">
        <v>121</v>
      </c>
      <c r="S204" s="207" t="s">
        <v>2726</v>
      </c>
      <c r="T204" s="207" t="s">
        <v>1239</v>
      </c>
      <c r="U204" s="207" t="s">
        <v>2771</v>
      </c>
      <c r="V204" s="207" t="s">
        <v>2726</v>
      </c>
      <c r="W204" s="207" t="s">
        <v>629</v>
      </c>
      <c r="X204" s="207">
        <v>-9688</v>
      </c>
      <c r="Y204" s="207" t="s">
        <v>181</v>
      </c>
      <c r="Z204" s="207" t="s">
        <v>2726</v>
      </c>
      <c r="AA204" s="207" t="s">
        <v>2726</v>
      </c>
      <c r="AB204" s="207" t="s">
        <v>2726</v>
      </c>
      <c r="AC204" s="207" t="s">
        <v>2726</v>
      </c>
      <c r="AD204" s="207" t="s">
        <v>2726</v>
      </c>
      <c r="AE204" s="207" t="s">
        <v>2726</v>
      </c>
      <c r="AF204" s="207" t="s">
        <v>2726</v>
      </c>
      <c r="AG204" s="207" t="s">
        <v>2726</v>
      </c>
      <c r="AH204" s="207" t="s">
        <v>2726</v>
      </c>
      <c r="AI204" s="207" t="s">
        <v>1283</v>
      </c>
      <c r="AJ204" s="207" t="s">
        <v>2726</v>
      </c>
      <c r="AK204" s="207" t="s">
        <v>2988</v>
      </c>
    </row>
    <row r="205" spans="1:37" x14ac:dyDescent="0.25">
      <c r="A205" s="207" t="s">
        <v>2989</v>
      </c>
      <c r="B205" s="207">
        <v>0</v>
      </c>
      <c r="C205" s="207" t="s">
        <v>2726</v>
      </c>
      <c r="D205" s="207" t="s">
        <v>2726</v>
      </c>
      <c r="E205" s="207" t="s">
        <v>2990</v>
      </c>
      <c r="F205" s="207" t="s">
        <v>2728</v>
      </c>
      <c r="G205" s="207" t="s">
        <v>2726</v>
      </c>
      <c r="H205" s="207">
        <v>60</v>
      </c>
      <c r="I205" s="207" t="s">
        <v>2737</v>
      </c>
      <c r="J205" s="207" t="s">
        <v>2730</v>
      </c>
      <c r="K205" s="207" t="s">
        <v>2726</v>
      </c>
      <c r="L205" s="207" t="s">
        <v>2726</v>
      </c>
      <c r="M205" s="207" t="s">
        <v>2770</v>
      </c>
      <c r="N205" s="207" t="s">
        <v>2726</v>
      </c>
      <c r="O205" s="207" t="s">
        <v>2726</v>
      </c>
      <c r="P205" s="207" t="s">
        <v>2739</v>
      </c>
      <c r="Q205" s="207" t="s">
        <v>2733</v>
      </c>
      <c r="R205" s="207">
        <v>121</v>
      </c>
      <c r="S205" s="207" t="s">
        <v>2726</v>
      </c>
      <c r="T205" s="207" t="s">
        <v>1239</v>
      </c>
      <c r="U205" s="207" t="s">
        <v>2771</v>
      </c>
      <c r="V205" s="207" t="s">
        <v>2726</v>
      </c>
      <c r="W205" s="207" t="s">
        <v>629</v>
      </c>
      <c r="X205" s="207">
        <v>-9947</v>
      </c>
      <c r="Y205" s="207" t="s">
        <v>181</v>
      </c>
      <c r="Z205" s="207" t="s">
        <v>2726</v>
      </c>
      <c r="AA205" s="207" t="s">
        <v>2726</v>
      </c>
      <c r="AB205" s="207" t="s">
        <v>2726</v>
      </c>
      <c r="AC205" s="207" t="s">
        <v>2726</v>
      </c>
      <c r="AD205" s="207" t="s">
        <v>2726</v>
      </c>
      <c r="AE205" s="207" t="s">
        <v>2726</v>
      </c>
      <c r="AF205" s="207" t="s">
        <v>2726</v>
      </c>
      <c r="AG205" s="207" t="s">
        <v>2726</v>
      </c>
      <c r="AH205" s="207" t="s">
        <v>2726</v>
      </c>
      <c r="AI205" s="207" t="s">
        <v>1283</v>
      </c>
      <c r="AJ205" s="207" t="s">
        <v>2726</v>
      </c>
      <c r="AK205" s="207" t="s">
        <v>2990</v>
      </c>
    </row>
    <row r="206" spans="1:37" x14ac:dyDescent="0.25">
      <c r="A206" s="207" t="s">
        <v>2991</v>
      </c>
      <c r="B206" s="207">
        <v>0</v>
      </c>
      <c r="C206" s="207" t="s">
        <v>2726</v>
      </c>
      <c r="D206" s="207" t="s">
        <v>2726</v>
      </c>
      <c r="E206" s="207" t="s">
        <v>2992</v>
      </c>
      <c r="F206" s="207" t="s">
        <v>2728</v>
      </c>
      <c r="G206" s="207" t="s">
        <v>2726</v>
      </c>
      <c r="H206" s="207">
        <v>60</v>
      </c>
      <c r="I206" s="207" t="s">
        <v>2737</v>
      </c>
      <c r="J206" s="207" t="s">
        <v>2993</v>
      </c>
      <c r="K206" s="207" t="s">
        <v>2726</v>
      </c>
      <c r="L206" s="207" t="s">
        <v>2726</v>
      </c>
      <c r="M206" s="207" t="s">
        <v>2770</v>
      </c>
      <c r="N206" s="207" t="s">
        <v>2726</v>
      </c>
      <c r="O206" s="207" t="s">
        <v>2726</v>
      </c>
      <c r="P206" s="207" t="s">
        <v>2739</v>
      </c>
      <c r="Q206" s="207" t="s">
        <v>2733</v>
      </c>
      <c r="R206" s="207">
        <v>121</v>
      </c>
      <c r="S206" s="207" t="s">
        <v>2726</v>
      </c>
      <c r="T206" s="207" t="s">
        <v>1239</v>
      </c>
      <c r="U206" s="207" t="s">
        <v>2771</v>
      </c>
      <c r="V206" s="207" t="s">
        <v>2726</v>
      </c>
      <c r="W206" s="207" t="s">
        <v>2741</v>
      </c>
      <c r="X206" s="207">
        <v>1771703</v>
      </c>
      <c r="Y206" s="207" t="s">
        <v>181</v>
      </c>
      <c r="Z206" s="207" t="s">
        <v>2726</v>
      </c>
      <c r="AA206" s="207" t="s">
        <v>2726</v>
      </c>
      <c r="AB206" s="207" t="s">
        <v>2726</v>
      </c>
      <c r="AC206" s="207" t="s">
        <v>2726</v>
      </c>
      <c r="AD206" s="207" t="s">
        <v>2726</v>
      </c>
      <c r="AE206" s="207" t="s">
        <v>2726</v>
      </c>
      <c r="AF206" s="207" t="s">
        <v>2726</v>
      </c>
      <c r="AG206" s="207" t="s">
        <v>2726</v>
      </c>
      <c r="AH206" s="207" t="s">
        <v>2726</v>
      </c>
      <c r="AI206" s="207" t="s">
        <v>1283</v>
      </c>
      <c r="AJ206" s="207" t="s">
        <v>2726</v>
      </c>
      <c r="AK206" s="207" t="s">
        <v>2992</v>
      </c>
    </row>
    <row r="207" spans="1:37" x14ac:dyDescent="0.25">
      <c r="A207" s="207" t="s">
        <v>2994</v>
      </c>
      <c r="B207" s="207">
        <v>0</v>
      </c>
      <c r="C207" s="207" t="s">
        <v>2726</v>
      </c>
      <c r="D207" s="207" t="s">
        <v>2726</v>
      </c>
      <c r="E207" s="207" t="s">
        <v>2992</v>
      </c>
      <c r="F207" s="207" t="s">
        <v>2728</v>
      </c>
      <c r="G207" s="207" t="s">
        <v>2726</v>
      </c>
      <c r="H207" s="207">
        <v>60</v>
      </c>
      <c r="I207" s="207" t="s">
        <v>2922</v>
      </c>
      <c r="J207" s="207" t="s">
        <v>2993</v>
      </c>
      <c r="K207" s="207" t="s">
        <v>2726</v>
      </c>
      <c r="L207" s="207" t="s">
        <v>2726</v>
      </c>
      <c r="M207" s="207" t="s">
        <v>2770</v>
      </c>
      <c r="N207" s="207" t="s">
        <v>2726</v>
      </c>
      <c r="O207" s="207" t="s">
        <v>2726</v>
      </c>
      <c r="P207" s="207" t="s">
        <v>2739</v>
      </c>
      <c r="Q207" s="207" t="s">
        <v>2733</v>
      </c>
      <c r="R207" s="207">
        <v>221</v>
      </c>
      <c r="S207" s="207" t="s">
        <v>2726</v>
      </c>
      <c r="T207" s="207" t="s">
        <v>1239</v>
      </c>
      <c r="U207" s="207" t="s">
        <v>2822</v>
      </c>
      <c r="V207" s="207" t="s">
        <v>2726</v>
      </c>
      <c r="W207" s="207" t="s">
        <v>629</v>
      </c>
      <c r="X207" s="207">
        <v>-1771703</v>
      </c>
      <c r="Y207" s="207" t="s">
        <v>228</v>
      </c>
      <c r="Z207" s="207" t="s">
        <v>2726</v>
      </c>
      <c r="AA207" s="207" t="s">
        <v>2726</v>
      </c>
      <c r="AB207" s="207" t="s">
        <v>2726</v>
      </c>
      <c r="AC207" s="207" t="s">
        <v>2726</v>
      </c>
      <c r="AD207" s="207" t="s">
        <v>2726</v>
      </c>
      <c r="AE207" s="207" t="s">
        <v>2726</v>
      </c>
      <c r="AF207" s="207" t="s">
        <v>2726</v>
      </c>
      <c r="AG207" s="207" t="s">
        <v>2726</v>
      </c>
      <c r="AH207" s="207" t="s">
        <v>2726</v>
      </c>
      <c r="AI207" s="207" t="s">
        <v>1290</v>
      </c>
      <c r="AJ207" s="207" t="s">
        <v>2726</v>
      </c>
      <c r="AK207" s="207" t="s">
        <v>2992</v>
      </c>
    </row>
    <row r="208" spans="1:37" x14ac:dyDescent="0.25">
      <c r="A208" s="207" t="s">
        <v>2995</v>
      </c>
      <c r="B208" s="207">
        <v>0</v>
      </c>
      <c r="C208" s="207" t="s">
        <v>2726</v>
      </c>
      <c r="D208" s="207" t="s">
        <v>2726</v>
      </c>
      <c r="E208" s="207" t="s">
        <v>2909</v>
      </c>
      <c r="F208" s="207" t="s">
        <v>2728</v>
      </c>
      <c r="G208" s="207" t="s">
        <v>2726</v>
      </c>
      <c r="H208" s="207">
        <v>60</v>
      </c>
      <c r="I208" s="207" t="s">
        <v>2737</v>
      </c>
      <c r="J208" s="207" t="s">
        <v>2785</v>
      </c>
      <c r="K208" s="207" t="s">
        <v>2726</v>
      </c>
      <c r="L208" s="207" t="s">
        <v>2726</v>
      </c>
      <c r="M208" s="207" t="s">
        <v>2770</v>
      </c>
      <c r="N208" s="207" t="s">
        <v>2726</v>
      </c>
      <c r="O208" s="207" t="s">
        <v>2726</v>
      </c>
      <c r="P208" s="207" t="s">
        <v>2739</v>
      </c>
      <c r="Q208" s="207" t="s">
        <v>2733</v>
      </c>
      <c r="R208" s="207">
        <v>121</v>
      </c>
      <c r="S208" s="207" t="s">
        <v>2726</v>
      </c>
      <c r="T208" s="207" t="s">
        <v>1239</v>
      </c>
      <c r="U208" s="207" t="s">
        <v>2771</v>
      </c>
      <c r="V208" s="207" t="s">
        <v>2726</v>
      </c>
      <c r="W208" s="207" t="s">
        <v>629</v>
      </c>
      <c r="X208" s="207">
        <v>-100000</v>
      </c>
      <c r="Y208" s="207" t="s">
        <v>59</v>
      </c>
      <c r="Z208" s="207" t="s">
        <v>2726</v>
      </c>
      <c r="AA208" s="207" t="s">
        <v>2726</v>
      </c>
      <c r="AB208" s="207" t="s">
        <v>2726</v>
      </c>
      <c r="AC208" s="207" t="s">
        <v>2726</v>
      </c>
      <c r="AD208" s="207" t="s">
        <v>2726</v>
      </c>
      <c r="AE208" s="207" t="s">
        <v>2726</v>
      </c>
      <c r="AF208" s="207" t="s">
        <v>2726</v>
      </c>
      <c r="AG208" s="207" t="s">
        <v>2726</v>
      </c>
      <c r="AH208" s="207" t="s">
        <v>2726</v>
      </c>
      <c r="AI208" s="207" t="s">
        <v>1242</v>
      </c>
      <c r="AJ208" s="207" t="s">
        <v>2726</v>
      </c>
      <c r="AK208" s="207" t="s">
        <v>2909</v>
      </c>
    </row>
    <row r="209" spans="1:37" x14ac:dyDescent="0.25">
      <c r="A209" s="207" t="s">
        <v>2996</v>
      </c>
      <c r="B209" s="207">
        <v>0</v>
      </c>
      <c r="C209" s="207" t="s">
        <v>2726</v>
      </c>
      <c r="D209" s="207" t="s">
        <v>2726</v>
      </c>
      <c r="E209" s="207" t="s">
        <v>2997</v>
      </c>
      <c r="F209" s="207" t="s">
        <v>2728</v>
      </c>
      <c r="G209" s="207" t="s">
        <v>2726</v>
      </c>
      <c r="H209" s="207">
        <v>60</v>
      </c>
      <c r="I209" s="207" t="s">
        <v>2922</v>
      </c>
      <c r="J209" s="207" t="s">
        <v>2730</v>
      </c>
      <c r="K209" s="207" t="s">
        <v>2726</v>
      </c>
      <c r="L209" s="207" t="s">
        <v>2726</v>
      </c>
      <c r="M209" s="207" t="s">
        <v>2770</v>
      </c>
      <c r="N209" s="207" t="s">
        <v>2726</v>
      </c>
      <c r="O209" s="207" t="s">
        <v>2726</v>
      </c>
      <c r="P209" s="207" t="s">
        <v>2739</v>
      </c>
      <c r="Q209" s="207" t="s">
        <v>2733</v>
      </c>
      <c r="R209" s="207">
        <v>221</v>
      </c>
      <c r="S209" s="207" t="s">
        <v>2726</v>
      </c>
      <c r="T209" s="207" t="s">
        <v>1239</v>
      </c>
      <c r="U209" s="207" t="s">
        <v>2822</v>
      </c>
      <c r="V209" s="207" t="s">
        <v>2726</v>
      </c>
      <c r="W209" s="207" t="s">
        <v>629</v>
      </c>
      <c r="X209" s="207">
        <v>-315161</v>
      </c>
      <c r="Y209" s="207" t="s">
        <v>298</v>
      </c>
      <c r="Z209" s="207" t="s">
        <v>2726</v>
      </c>
      <c r="AA209" s="207" t="s">
        <v>2726</v>
      </c>
      <c r="AB209" s="207" t="s">
        <v>2726</v>
      </c>
      <c r="AC209" s="207" t="s">
        <v>2726</v>
      </c>
      <c r="AD209" s="207" t="s">
        <v>2726</v>
      </c>
      <c r="AE209" s="207" t="s">
        <v>2726</v>
      </c>
      <c r="AF209" s="207" t="s">
        <v>2726</v>
      </c>
      <c r="AG209" s="207" t="s">
        <v>2726</v>
      </c>
      <c r="AH209" s="207" t="s">
        <v>2726</v>
      </c>
      <c r="AI209" s="207" t="s">
        <v>1301</v>
      </c>
      <c r="AJ209" s="207" t="s">
        <v>2726</v>
      </c>
      <c r="AK209" s="207" t="s">
        <v>2997</v>
      </c>
    </row>
    <row r="210" spans="1:37" x14ac:dyDescent="0.25">
      <c r="A210" s="207" t="s">
        <v>2998</v>
      </c>
      <c r="B210" s="207">
        <v>0</v>
      </c>
      <c r="C210" s="207" t="s">
        <v>2726</v>
      </c>
      <c r="D210" s="207" t="s">
        <v>2726</v>
      </c>
      <c r="E210" s="207" t="s">
        <v>2997</v>
      </c>
      <c r="F210" s="207" t="s">
        <v>2728</v>
      </c>
      <c r="G210" s="207" t="s">
        <v>2726</v>
      </c>
      <c r="H210" s="207">
        <v>60</v>
      </c>
      <c r="I210" s="207" t="s">
        <v>2737</v>
      </c>
      <c r="J210" s="207" t="s">
        <v>2730</v>
      </c>
      <c r="K210" s="207" t="s">
        <v>2726</v>
      </c>
      <c r="L210" s="207" t="s">
        <v>2726</v>
      </c>
      <c r="M210" s="207" t="s">
        <v>2770</v>
      </c>
      <c r="N210" s="207" t="s">
        <v>2726</v>
      </c>
      <c r="O210" s="207" t="s">
        <v>2726</v>
      </c>
      <c r="P210" s="207" t="s">
        <v>2739</v>
      </c>
      <c r="Q210" s="207" t="s">
        <v>2733</v>
      </c>
      <c r="R210" s="207">
        <v>121</v>
      </c>
      <c r="S210" s="207" t="s">
        <v>2726</v>
      </c>
      <c r="T210" s="207" t="s">
        <v>1239</v>
      </c>
      <c r="U210" s="207" t="s">
        <v>2771</v>
      </c>
      <c r="V210" s="207" t="s">
        <v>2726</v>
      </c>
      <c r="W210" s="207" t="s">
        <v>2741</v>
      </c>
      <c r="X210" s="207">
        <v>315161</v>
      </c>
      <c r="Y210" s="207" t="s">
        <v>212</v>
      </c>
      <c r="Z210" s="207" t="s">
        <v>2726</v>
      </c>
      <c r="AA210" s="207" t="s">
        <v>2726</v>
      </c>
      <c r="AB210" s="207" t="s">
        <v>2726</v>
      </c>
      <c r="AC210" s="207" t="s">
        <v>2726</v>
      </c>
      <c r="AD210" s="207" t="s">
        <v>2726</v>
      </c>
      <c r="AE210" s="207" t="s">
        <v>2726</v>
      </c>
      <c r="AF210" s="207" t="s">
        <v>2726</v>
      </c>
      <c r="AG210" s="207" t="s">
        <v>2726</v>
      </c>
      <c r="AH210" s="207" t="s">
        <v>2726</v>
      </c>
      <c r="AI210" s="207" t="s">
        <v>1287</v>
      </c>
      <c r="AJ210" s="207" t="s">
        <v>2726</v>
      </c>
      <c r="AK210" s="207" t="s">
        <v>2997</v>
      </c>
    </row>
    <row r="211" spans="1:37" x14ac:dyDescent="0.25">
      <c r="A211" s="207" t="s">
        <v>2999</v>
      </c>
      <c r="B211" s="207">
        <v>0</v>
      </c>
      <c r="C211" s="207" t="s">
        <v>2726</v>
      </c>
      <c r="D211" s="207" t="s">
        <v>2726</v>
      </c>
      <c r="E211" s="207" t="s">
        <v>3000</v>
      </c>
      <c r="F211" s="207" t="s">
        <v>2728</v>
      </c>
      <c r="G211" s="207" t="s">
        <v>2726</v>
      </c>
      <c r="H211" s="207">
        <v>60</v>
      </c>
      <c r="I211" s="207" t="s">
        <v>2737</v>
      </c>
      <c r="J211" s="207" t="s">
        <v>2730</v>
      </c>
      <c r="K211" s="207" t="s">
        <v>2726</v>
      </c>
      <c r="L211" s="207" t="s">
        <v>2726</v>
      </c>
      <c r="M211" s="207" t="s">
        <v>2770</v>
      </c>
      <c r="N211" s="207" t="s">
        <v>2726</v>
      </c>
      <c r="O211" s="207" t="s">
        <v>2726</v>
      </c>
      <c r="P211" s="207" t="s">
        <v>2739</v>
      </c>
      <c r="Q211" s="207" t="s">
        <v>2733</v>
      </c>
      <c r="R211" s="207">
        <v>121</v>
      </c>
      <c r="S211" s="207" t="s">
        <v>2726</v>
      </c>
      <c r="T211" s="207" t="s">
        <v>1239</v>
      </c>
      <c r="U211" s="207" t="s">
        <v>2771</v>
      </c>
      <c r="V211" s="207" t="s">
        <v>2726</v>
      </c>
      <c r="W211" s="207" t="s">
        <v>2741</v>
      </c>
      <c r="X211" s="207">
        <v>3693</v>
      </c>
      <c r="Y211" s="207" t="s">
        <v>94</v>
      </c>
      <c r="Z211" s="207" t="s">
        <v>2726</v>
      </c>
      <c r="AA211" s="207" t="s">
        <v>2726</v>
      </c>
      <c r="AB211" s="207" t="s">
        <v>2726</v>
      </c>
      <c r="AC211" s="207" t="s">
        <v>2726</v>
      </c>
      <c r="AD211" s="207" t="s">
        <v>2726</v>
      </c>
      <c r="AE211" s="207" t="s">
        <v>2726</v>
      </c>
      <c r="AF211" s="207" t="s">
        <v>2726</v>
      </c>
      <c r="AG211" s="207" t="s">
        <v>2726</v>
      </c>
      <c r="AH211" s="207" t="s">
        <v>2726</v>
      </c>
      <c r="AI211" s="207" t="s">
        <v>1246</v>
      </c>
      <c r="AJ211" s="207" t="s">
        <v>2726</v>
      </c>
      <c r="AK211" s="207" t="s">
        <v>3000</v>
      </c>
    </row>
    <row r="212" spans="1:37" x14ac:dyDescent="0.25">
      <c r="A212" s="207" t="s">
        <v>3001</v>
      </c>
      <c r="B212" s="207">
        <v>0</v>
      </c>
      <c r="C212" s="207" t="s">
        <v>2726</v>
      </c>
      <c r="D212" s="207" t="s">
        <v>2726</v>
      </c>
      <c r="E212" s="207" t="s">
        <v>3000</v>
      </c>
      <c r="F212" s="207" t="s">
        <v>2728</v>
      </c>
      <c r="G212" s="207" t="s">
        <v>2726</v>
      </c>
      <c r="H212" s="207">
        <v>60</v>
      </c>
      <c r="I212" s="207" t="s">
        <v>2737</v>
      </c>
      <c r="J212" s="207" t="s">
        <v>2730</v>
      </c>
      <c r="K212" s="207" t="s">
        <v>2726</v>
      </c>
      <c r="L212" s="207" t="s">
        <v>2726</v>
      </c>
      <c r="M212" s="207" t="s">
        <v>2770</v>
      </c>
      <c r="N212" s="207" t="s">
        <v>2726</v>
      </c>
      <c r="O212" s="207" t="s">
        <v>2726</v>
      </c>
      <c r="P212" s="207" t="s">
        <v>2739</v>
      </c>
      <c r="Q212" s="207" t="s">
        <v>2733</v>
      </c>
      <c r="R212" s="207">
        <v>121</v>
      </c>
      <c r="S212" s="207" t="s">
        <v>2726</v>
      </c>
      <c r="T212" s="207" t="s">
        <v>1239</v>
      </c>
      <c r="U212" s="207" t="s">
        <v>2771</v>
      </c>
      <c r="V212" s="207" t="s">
        <v>2726</v>
      </c>
      <c r="W212" s="207" t="s">
        <v>629</v>
      </c>
      <c r="X212" s="207">
        <v>-3693</v>
      </c>
      <c r="Y212" s="207" t="s">
        <v>96</v>
      </c>
      <c r="Z212" s="207" t="s">
        <v>2726</v>
      </c>
      <c r="AA212" s="207" t="s">
        <v>2726</v>
      </c>
      <c r="AB212" s="207" t="s">
        <v>2726</v>
      </c>
      <c r="AC212" s="207" t="s">
        <v>2726</v>
      </c>
      <c r="AD212" s="207" t="s">
        <v>2726</v>
      </c>
      <c r="AE212" s="207" t="s">
        <v>2726</v>
      </c>
      <c r="AF212" s="207" t="s">
        <v>2726</v>
      </c>
      <c r="AG212" s="207" t="s">
        <v>2726</v>
      </c>
      <c r="AH212" s="207" t="s">
        <v>2726</v>
      </c>
      <c r="AI212" s="207" t="s">
        <v>1240</v>
      </c>
      <c r="AJ212" s="207" t="s">
        <v>2726</v>
      </c>
      <c r="AK212" s="207" t="s">
        <v>3000</v>
      </c>
    </row>
    <row r="213" spans="1:37" x14ac:dyDescent="0.25">
      <c r="A213" s="207" t="s">
        <v>3002</v>
      </c>
      <c r="B213" s="207">
        <v>0</v>
      </c>
      <c r="C213" s="207" t="s">
        <v>2726</v>
      </c>
      <c r="D213" s="207" t="s">
        <v>2726</v>
      </c>
      <c r="E213" s="207" t="s">
        <v>3003</v>
      </c>
      <c r="F213" s="207" t="s">
        <v>2728</v>
      </c>
      <c r="G213" s="207" t="s">
        <v>2726</v>
      </c>
      <c r="H213" s="207">
        <v>60</v>
      </c>
      <c r="I213" s="207" t="s">
        <v>2737</v>
      </c>
      <c r="J213" s="207" t="s">
        <v>2730</v>
      </c>
      <c r="K213" s="207" t="s">
        <v>2726</v>
      </c>
      <c r="L213" s="207" t="s">
        <v>2726</v>
      </c>
      <c r="M213" s="207" t="s">
        <v>2770</v>
      </c>
      <c r="N213" s="207" t="s">
        <v>2726</v>
      </c>
      <c r="O213" s="207" t="s">
        <v>2726</v>
      </c>
      <c r="P213" s="207" t="s">
        <v>2739</v>
      </c>
      <c r="Q213" s="207" t="s">
        <v>2733</v>
      </c>
      <c r="R213" s="207">
        <v>121</v>
      </c>
      <c r="S213" s="207" t="s">
        <v>2726</v>
      </c>
      <c r="T213" s="207" t="s">
        <v>1239</v>
      </c>
      <c r="U213" s="207" t="s">
        <v>2771</v>
      </c>
      <c r="V213" s="207" t="s">
        <v>2726</v>
      </c>
      <c r="W213" s="207" t="s">
        <v>2741</v>
      </c>
      <c r="X213" s="207">
        <v>2465484</v>
      </c>
      <c r="Y213" s="207" t="s">
        <v>152</v>
      </c>
      <c r="Z213" s="207" t="s">
        <v>2726</v>
      </c>
      <c r="AA213" s="207" t="s">
        <v>2726</v>
      </c>
      <c r="AB213" s="207" t="s">
        <v>2726</v>
      </c>
      <c r="AC213" s="207" t="s">
        <v>2726</v>
      </c>
      <c r="AD213" s="207" t="s">
        <v>2726</v>
      </c>
      <c r="AE213" s="207" t="s">
        <v>2726</v>
      </c>
      <c r="AF213" s="207" t="s">
        <v>2726</v>
      </c>
      <c r="AG213" s="207" t="s">
        <v>2726</v>
      </c>
      <c r="AH213" s="207" t="s">
        <v>2726</v>
      </c>
      <c r="AI213" s="207" t="s">
        <v>1311</v>
      </c>
      <c r="AJ213" s="207" t="s">
        <v>2726</v>
      </c>
      <c r="AK213" s="207" t="s">
        <v>3003</v>
      </c>
    </row>
    <row r="214" spans="1:37" x14ac:dyDescent="0.25">
      <c r="A214" s="207" t="s">
        <v>3004</v>
      </c>
      <c r="B214" s="207">
        <v>0</v>
      </c>
      <c r="C214" s="207" t="s">
        <v>2726</v>
      </c>
      <c r="D214" s="207" t="s">
        <v>2726</v>
      </c>
      <c r="E214" s="207" t="s">
        <v>3003</v>
      </c>
      <c r="F214" s="207" t="s">
        <v>2728</v>
      </c>
      <c r="G214" s="207" t="s">
        <v>2726</v>
      </c>
      <c r="H214" s="207">
        <v>60</v>
      </c>
      <c r="I214" s="207" t="s">
        <v>2737</v>
      </c>
      <c r="J214" s="207" t="s">
        <v>2730</v>
      </c>
      <c r="K214" s="207" t="s">
        <v>2726</v>
      </c>
      <c r="L214" s="207" t="s">
        <v>2726</v>
      </c>
      <c r="M214" s="207" t="s">
        <v>2770</v>
      </c>
      <c r="N214" s="207" t="s">
        <v>2726</v>
      </c>
      <c r="O214" s="207" t="s">
        <v>2726</v>
      </c>
      <c r="P214" s="207" t="s">
        <v>2739</v>
      </c>
      <c r="Q214" s="207" t="s">
        <v>2733</v>
      </c>
      <c r="R214" s="207">
        <v>121</v>
      </c>
      <c r="S214" s="207" t="s">
        <v>2726</v>
      </c>
      <c r="T214" s="207" t="s">
        <v>1239</v>
      </c>
      <c r="U214" s="207" t="s">
        <v>2771</v>
      </c>
      <c r="V214" s="207" t="s">
        <v>2726</v>
      </c>
      <c r="W214" s="207" t="s">
        <v>629</v>
      </c>
      <c r="X214" s="207">
        <v>-2465484</v>
      </c>
      <c r="Y214" s="207" t="s">
        <v>181</v>
      </c>
      <c r="Z214" s="207" t="s">
        <v>2726</v>
      </c>
      <c r="AA214" s="207" t="s">
        <v>2726</v>
      </c>
      <c r="AB214" s="207" t="s">
        <v>2726</v>
      </c>
      <c r="AC214" s="207" t="s">
        <v>2726</v>
      </c>
      <c r="AD214" s="207" t="s">
        <v>2726</v>
      </c>
      <c r="AE214" s="207" t="s">
        <v>2726</v>
      </c>
      <c r="AF214" s="207" t="s">
        <v>2726</v>
      </c>
      <c r="AG214" s="207" t="s">
        <v>2726</v>
      </c>
      <c r="AH214" s="207" t="s">
        <v>2726</v>
      </c>
      <c r="AI214" s="207" t="s">
        <v>1283</v>
      </c>
      <c r="AJ214" s="207" t="s">
        <v>2726</v>
      </c>
      <c r="AK214" s="207" t="s">
        <v>3003</v>
      </c>
    </row>
    <row r="215" spans="1:37" x14ac:dyDescent="0.25">
      <c r="A215" s="207" t="s">
        <v>3005</v>
      </c>
      <c r="B215" s="207">
        <v>0</v>
      </c>
      <c r="C215" s="207" t="s">
        <v>2726</v>
      </c>
      <c r="D215" s="207" t="s">
        <v>2726</v>
      </c>
      <c r="E215" s="207" t="s">
        <v>3006</v>
      </c>
      <c r="F215" s="207" t="s">
        <v>2728</v>
      </c>
      <c r="G215" s="207" t="s">
        <v>2726</v>
      </c>
      <c r="H215" s="207">
        <v>60</v>
      </c>
      <c r="I215" s="207" t="s">
        <v>2737</v>
      </c>
      <c r="J215" s="207" t="s">
        <v>2894</v>
      </c>
      <c r="K215" s="207" t="s">
        <v>2726</v>
      </c>
      <c r="L215" s="207" t="s">
        <v>2726</v>
      </c>
      <c r="M215" s="207" t="s">
        <v>2731</v>
      </c>
      <c r="N215" s="207" t="s">
        <v>2726</v>
      </c>
      <c r="O215" s="207" t="s">
        <v>2726</v>
      </c>
      <c r="P215" s="207" t="s">
        <v>2739</v>
      </c>
      <c r="Q215" s="207" t="s">
        <v>2733</v>
      </c>
      <c r="R215" s="207">
        <v>121</v>
      </c>
      <c r="S215" s="207" t="s">
        <v>2726</v>
      </c>
      <c r="T215" s="207" t="s">
        <v>1239</v>
      </c>
      <c r="U215" s="207" t="s">
        <v>2745</v>
      </c>
      <c r="V215" s="207" t="s">
        <v>2726</v>
      </c>
      <c r="W215" s="207" t="s">
        <v>2741</v>
      </c>
      <c r="X215" s="207">
        <v>112450</v>
      </c>
      <c r="Y215" s="207" t="s">
        <v>88</v>
      </c>
      <c r="Z215" s="207" t="s">
        <v>2726</v>
      </c>
      <c r="AA215" s="207" t="s">
        <v>2726</v>
      </c>
      <c r="AB215" s="207" t="s">
        <v>2726</v>
      </c>
      <c r="AC215" s="207" t="s">
        <v>2726</v>
      </c>
      <c r="AD215" s="207" t="s">
        <v>2726</v>
      </c>
      <c r="AE215" s="207" t="s">
        <v>2726</v>
      </c>
      <c r="AF215" s="207" t="s">
        <v>2726</v>
      </c>
      <c r="AG215" s="207" t="s">
        <v>2726</v>
      </c>
      <c r="AH215" s="207" t="s">
        <v>2726</v>
      </c>
      <c r="AI215" s="207" t="s">
        <v>1245</v>
      </c>
      <c r="AJ215" s="207" t="s">
        <v>2726</v>
      </c>
      <c r="AK215" s="207" t="s">
        <v>3006</v>
      </c>
    </row>
    <row r="216" spans="1:37" x14ac:dyDescent="0.25">
      <c r="A216" s="207" t="s">
        <v>3007</v>
      </c>
      <c r="B216" s="207">
        <v>0</v>
      </c>
      <c r="C216" s="207" t="s">
        <v>2726</v>
      </c>
      <c r="D216" s="207" t="s">
        <v>2726</v>
      </c>
      <c r="E216" s="207" t="s">
        <v>3006</v>
      </c>
      <c r="F216" s="207" t="s">
        <v>2728</v>
      </c>
      <c r="G216" s="207" t="s">
        <v>2726</v>
      </c>
      <c r="H216" s="207">
        <v>60</v>
      </c>
      <c r="I216" s="207" t="s">
        <v>2737</v>
      </c>
      <c r="J216" s="207" t="s">
        <v>2894</v>
      </c>
      <c r="K216" s="207" t="s">
        <v>2726</v>
      </c>
      <c r="L216" s="207" t="s">
        <v>2726</v>
      </c>
      <c r="M216" s="207" t="s">
        <v>2731</v>
      </c>
      <c r="N216" s="207" t="s">
        <v>2726</v>
      </c>
      <c r="O216" s="207" t="s">
        <v>2726</v>
      </c>
      <c r="P216" s="207" t="s">
        <v>2739</v>
      </c>
      <c r="Q216" s="207" t="s">
        <v>2733</v>
      </c>
      <c r="R216" s="207">
        <v>121</v>
      </c>
      <c r="S216" s="207" t="s">
        <v>2726</v>
      </c>
      <c r="T216" s="207" t="s">
        <v>1239</v>
      </c>
      <c r="U216" s="207" t="s">
        <v>2745</v>
      </c>
      <c r="V216" s="207" t="s">
        <v>2726</v>
      </c>
      <c r="W216" s="207" t="s">
        <v>629</v>
      </c>
      <c r="X216" s="207">
        <v>-112450</v>
      </c>
      <c r="Y216" s="207" t="s">
        <v>59</v>
      </c>
      <c r="Z216" s="207" t="s">
        <v>2726</v>
      </c>
      <c r="AA216" s="207" t="s">
        <v>2726</v>
      </c>
      <c r="AB216" s="207" t="s">
        <v>2726</v>
      </c>
      <c r="AC216" s="207" t="s">
        <v>2726</v>
      </c>
      <c r="AD216" s="207" t="s">
        <v>2726</v>
      </c>
      <c r="AE216" s="207" t="s">
        <v>2726</v>
      </c>
      <c r="AF216" s="207" t="s">
        <v>2726</v>
      </c>
      <c r="AG216" s="207" t="s">
        <v>2726</v>
      </c>
      <c r="AH216" s="207" t="s">
        <v>2726</v>
      </c>
      <c r="AI216" s="207" t="s">
        <v>1242</v>
      </c>
      <c r="AJ216" s="207" t="s">
        <v>2726</v>
      </c>
      <c r="AK216" s="207" t="s">
        <v>3006</v>
      </c>
    </row>
    <row r="217" spans="1:37" x14ac:dyDescent="0.25">
      <c r="A217" s="207" t="s">
        <v>3008</v>
      </c>
      <c r="B217" s="207">
        <v>0</v>
      </c>
      <c r="C217" s="207" t="s">
        <v>2726</v>
      </c>
      <c r="D217" s="207" t="s">
        <v>2726</v>
      </c>
      <c r="E217" s="207" t="s">
        <v>3009</v>
      </c>
      <c r="F217" s="207" t="s">
        <v>2728</v>
      </c>
      <c r="G217" s="207" t="s">
        <v>2726</v>
      </c>
      <c r="H217" s="207">
        <v>60</v>
      </c>
      <c r="I217" s="207" t="s">
        <v>2737</v>
      </c>
      <c r="J217" s="207" t="s">
        <v>2894</v>
      </c>
      <c r="K217" s="207" t="s">
        <v>2726</v>
      </c>
      <c r="L217" s="207" t="s">
        <v>2726</v>
      </c>
      <c r="M217" s="207" t="s">
        <v>2770</v>
      </c>
      <c r="N217" s="207" t="s">
        <v>2726</v>
      </c>
      <c r="O217" s="207" t="s">
        <v>2726</v>
      </c>
      <c r="P217" s="207" t="s">
        <v>2739</v>
      </c>
      <c r="Q217" s="207" t="s">
        <v>2733</v>
      </c>
      <c r="R217" s="207">
        <v>121</v>
      </c>
      <c r="S217" s="207" t="s">
        <v>2726</v>
      </c>
      <c r="T217" s="207" t="s">
        <v>1239</v>
      </c>
      <c r="U217" s="207" t="s">
        <v>2771</v>
      </c>
      <c r="V217" s="207" t="s">
        <v>2726</v>
      </c>
      <c r="W217" s="207" t="s">
        <v>2741</v>
      </c>
      <c r="X217" s="207">
        <v>40000</v>
      </c>
      <c r="Y217" s="207" t="s">
        <v>107</v>
      </c>
      <c r="Z217" s="207" t="s">
        <v>2726</v>
      </c>
      <c r="AA217" s="207" t="s">
        <v>2726</v>
      </c>
      <c r="AB217" s="207" t="s">
        <v>2726</v>
      </c>
      <c r="AC217" s="207" t="s">
        <v>2726</v>
      </c>
      <c r="AD217" s="207" t="s">
        <v>2726</v>
      </c>
      <c r="AE217" s="207" t="s">
        <v>2726</v>
      </c>
      <c r="AF217" s="207" t="s">
        <v>2726</v>
      </c>
      <c r="AG217" s="207" t="s">
        <v>2726</v>
      </c>
      <c r="AH217" s="207" t="s">
        <v>2726</v>
      </c>
      <c r="AI217" s="207" t="s">
        <v>1264</v>
      </c>
      <c r="AJ217" s="207" t="s">
        <v>2726</v>
      </c>
      <c r="AK217" s="207" t="s">
        <v>3009</v>
      </c>
    </row>
    <row r="218" spans="1:37" x14ac:dyDescent="0.25">
      <c r="A218" s="207" t="s">
        <v>3010</v>
      </c>
      <c r="B218" s="207">
        <v>0</v>
      </c>
      <c r="C218" s="207" t="s">
        <v>2726</v>
      </c>
      <c r="D218" s="207" t="s">
        <v>2726</v>
      </c>
      <c r="E218" s="207" t="s">
        <v>3009</v>
      </c>
      <c r="F218" s="207" t="s">
        <v>2728</v>
      </c>
      <c r="G218" s="207" t="s">
        <v>2726</v>
      </c>
      <c r="H218" s="207">
        <v>60</v>
      </c>
      <c r="I218" s="207" t="s">
        <v>2737</v>
      </c>
      <c r="J218" s="207" t="s">
        <v>2894</v>
      </c>
      <c r="K218" s="207" t="s">
        <v>2726</v>
      </c>
      <c r="L218" s="207" t="s">
        <v>2726</v>
      </c>
      <c r="M218" s="207" t="s">
        <v>2770</v>
      </c>
      <c r="N218" s="207" t="s">
        <v>2726</v>
      </c>
      <c r="O218" s="207" t="s">
        <v>2726</v>
      </c>
      <c r="P218" s="207" t="s">
        <v>3011</v>
      </c>
      <c r="Q218" s="207" t="s">
        <v>2733</v>
      </c>
      <c r="R218" s="207">
        <v>121</v>
      </c>
      <c r="S218" s="207" t="s">
        <v>2726</v>
      </c>
      <c r="T218" s="207" t="s">
        <v>1239</v>
      </c>
      <c r="U218" s="207" t="s">
        <v>2771</v>
      </c>
      <c r="V218" s="207" t="s">
        <v>2726</v>
      </c>
      <c r="W218" s="207" t="s">
        <v>2741</v>
      </c>
      <c r="X218" s="207">
        <v>1980000</v>
      </c>
      <c r="Y218" s="207" t="s">
        <v>113</v>
      </c>
      <c r="Z218" s="207" t="s">
        <v>2726</v>
      </c>
      <c r="AA218" s="207" t="s">
        <v>2726</v>
      </c>
      <c r="AB218" s="207" t="s">
        <v>2726</v>
      </c>
      <c r="AC218" s="207" t="s">
        <v>2726</v>
      </c>
      <c r="AD218" s="207" t="s">
        <v>2726</v>
      </c>
      <c r="AE218" s="207" t="s">
        <v>2726</v>
      </c>
      <c r="AF218" s="207" t="s">
        <v>2726</v>
      </c>
      <c r="AG218" s="207" t="s">
        <v>2726</v>
      </c>
      <c r="AH218" s="207" t="s">
        <v>2726</v>
      </c>
      <c r="AI218" s="207" t="s">
        <v>1265</v>
      </c>
      <c r="AJ218" s="207" t="s">
        <v>2726</v>
      </c>
      <c r="AK218" s="207" t="s">
        <v>3009</v>
      </c>
    </row>
    <row r="219" spans="1:37" x14ac:dyDescent="0.25">
      <c r="A219" s="207" t="s">
        <v>3012</v>
      </c>
      <c r="B219" s="207">
        <v>0</v>
      </c>
      <c r="C219" s="207" t="s">
        <v>2726</v>
      </c>
      <c r="D219" s="207" t="s">
        <v>2726</v>
      </c>
      <c r="E219" s="207" t="s">
        <v>3009</v>
      </c>
      <c r="F219" s="207" t="s">
        <v>2728</v>
      </c>
      <c r="G219" s="207" t="s">
        <v>2726</v>
      </c>
      <c r="H219" s="207">
        <v>60</v>
      </c>
      <c r="I219" s="207" t="s">
        <v>2737</v>
      </c>
      <c r="J219" s="207" t="s">
        <v>2894</v>
      </c>
      <c r="K219" s="207" t="s">
        <v>2726</v>
      </c>
      <c r="L219" s="207" t="s">
        <v>2726</v>
      </c>
      <c r="M219" s="207" t="s">
        <v>2770</v>
      </c>
      <c r="N219" s="207" t="s">
        <v>2726</v>
      </c>
      <c r="O219" s="207" t="s">
        <v>2726</v>
      </c>
      <c r="P219" s="207" t="s">
        <v>3011</v>
      </c>
      <c r="Q219" s="207" t="s">
        <v>2733</v>
      </c>
      <c r="R219" s="207">
        <v>121</v>
      </c>
      <c r="S219" s="207" t="s">
        <v>2726</v>
      </c>
      <c r="T219" s="207" t="s">
        <v>1239</v>
      </c>
      <c r="U219" s="207" t="s">
        <v>2771</v>
      </c>
      <c r="V219" s="207" t="s">
        <v>2726</v>
      </c>
      <c r="W219" s="207" t="s">
        <v>629</v>
      </c>
      <c r="X219" s="207">
        <v>-2514600</v>
      </c>
      <c r="Y219" s="207" t="s">
        <v>181</v>
      </c>
      <c r="Z219" s="207" t="s">
        <v>2726</v>
      </c>
      <c r="AA219" s="207" t="s">
        <v>2726</v>
      </c>
      <c r="AB219" s="207" t="s">
        <v>2726</v>
      </c>
      <c r="AC219" s="207" t="s">
        <v>2726</v>
      </c>
      <c r="AD219" s="207" t="s">
        <v>2726</v>
      </c>
      <c r="AE219" s="207" t="s">
        <v>2726</v>
      </c>
      <c r="AF219" s="207" t="s">
        <v>2726</v>
      </c>
      <c r="AG219" s="207" t="s">
        <v>2726</v>
      </c>
      <c r="AH219" s="207" t="s">
        <v>2726</v>
      </c>
      <c r="AI219" s="207" t="s">
        <v>1283</v>
      </c>
      <c r="AJ219" s="207" t="s">
        <v>2726</v>
      </c>
      <c r="AK219" s="207" t="s">
        <v>3009</v>
      </c>
    </row>
    <row r="220" spans="1:37" x14ac:dyDescent="0.25">
      <c r="A220" s="207" t="s">
        <v>3013</v>
      </c>
      <c r="B220" s="207">
        <v>0</v>
      </c>
      <c r="C220" s="207" t="s">
        <v>2726</v>
      </c>
      <c r="D220" s="207" t="s">
        <v>2726</v>
      </c>
      <c r="E220" s="207" t="s">
        <v>3009</v>
      </c>
      <c r="F220" s="207" t="s">
        <v>2728</v>
      </c>
      <c r="G220" s="207" t="s">
        <v>2726</v>
      </c>
      <c r="H220" s="207">
        <v>60</v>
      </c>
      <c r="I220" s="207" t="s">
        <v>2737</v>
      </c>
      <c r="J220" s="207" t="s">
        <v>2894</v>
      </c>
      <c r="K220" s="207" t="s">
        <v>2726</v>
      </c>
      <c r="L220" s="207" t="s">
        <v>2726</v>
      </c>
      <c r="M220" s="207" t="s">
        <v>2770</v>
      </c>
      <c r="N220" s="207" t="s">
        <v>2726</v>
      </c>
      <c r="O220" s="207" t="s">
        <v>2726</v>
      </c>
      <c r="P220" s="207" t="s">
        <v>2739</v>
      </c>
      <c r="Q220" s="207" t="s">
        <v>2733</v>
      </c>
      <c r="R220" s="207">
        <v>121</v>
      </c>
      <c r="S220" s="207" t="s">
        <v>2726</v>
      </c>
      <c r="T220" s="207" t="s">
        <v>1239</v>
      </c>
      <c r="U220" s="207" t="s">
        <v>2771</v>
      </c>
      <c r="V220" s="207" t="s">
        <v>2726</v>
      </c>
      <c r="W220" s="207" t="s">
        <v>629</v>
      </c>
      <c r="X220" s="207">
        <v>-40000</v>
      </c>
      <c r="Y220" s="207" t="s">
        <v>115</v>
      </c>
      <c r="Z220" s="207" t="s">
        <v>2726</v>
      </c>
      <c r="AA220" s="207" t="s">
        <v>2726</v>
      </c>
      <c r="AB220" s="207" t="s">
        <v>2726</v>
      </c>
      <c r="AC220" s="207" t="s">
        <v>2726</v>
      </c>
      <c r="AD220" s="207" t="s">
        <v>2726</v>
      </c>
      <c r="AE220" s="207" t="s">
        <v>2726</v>
      </c>
      <c r="AF220" s="207" t="s">
        <v>2726</v>
      </c>
      <c r="AG220" s="207" t="s">
        <v>2726</v>
      </c>
      <c r="AH220" s="207" t="s">
        <v>2726</v>
      </c>
      <c r="AI220" s="207" t="s">
        <v>1241</v>
      </c>
      <c r="AJ220" s="207" t="s">
        <v>2726</v>
      </c>
      <c r="AK220" s="207" t="s">
        <v>3009</v>
      </c>
    </row>
    <row r="221" spans="1:37" x14ac:dyDescent="0.25">
      <c r="A221" s="207" t="s">
        <v>3014</v>
      </c>
      <c r="B221" s="207">
        <v>0</v>
      </c>
      <c r="C221" s="207" t="s">
        <v>2726</v>
      </c>
      <c r="D221" s="207" t="s">
        <v>2726</v>
      </c>
      <c r="E221" s="207" t="s">
        <v>3009</v>
      </c>
      <c r="F221" s="207" t="s">
        <v>2728</v>
      </c>
      <c r="G221" s="207" t="s">
        <v>2726</v>
      </c>
      <c r="H221" s="207">
        <v>60</v>
      </c>
      <c r="I221" s="207" t="s">
        <v>2737</v>
      </c>
      <c r="J221" s="207" t="s">
        <v>2894</v>
      </c>
      <c r="K221" s="207" t="s">
        <v>2726</v>
      </c>
      <c r="L221" s="207" t="s">
        <v>2726</v>
      </c>
      <c r="M221" s="207" t="s">
        <v>2770</v>
      </c>
      <c r="N221" s="207" t="s">
        <v>2726</v>
      </c>
      <c r="O221" s="207" t="s">
        <v>2726</v>
      </c>
      <c r="P221" s="207" t="s">
        <v>3011</v>
      </c>
      <c r="Q221" s="207" t="s">
        <v>2733</v>
      </c>
      <c r="R221" s="207">
        <v>121</v>
      </c>
      <c r="S221" s="207" t="s">
        <v>2726</v>
      </c>
      <c r="T221" s="207" t="s">
        <v>1239</v>
      </c>
      <c r="U221" s="207" t="s">
        <v>2771</v>
      </c>
      <c r="V221" s="207" t="s">
        <v>2726</v>
      </c>
      <c r="W221" s="207" t="s">
        <v>2741</v>
      </c>
      <c r="X221" s="207">
        <v>534600</v>
      </c>
      <c r="Y221" s="207" t="s">
        <v>121</v>
      </c>
      <c r="Z221" s="207" t="s">
        <v>2726</v>
      </c>
      <c r="AA221" s="207" t="s">
        <v>2726</v>
      </c>
      <c r="AB221" s="207" t="s">
        <v>2726</v>
      </c>
      <c r="AC221" s="207" t="s">
        <v>2726</v>
      </c>
      <c r="AD221" s="207" t="s">
        <v>2726</v>
      </c>
      <c r="AE221" s="207" t="s">
        <v>2726</v>
      </c>
      <c r="AF221" s="207" t="s">
        <v>2726</v>
      </c>
      <c r="AG221" s="207" t="s">
        <v>2726</v>
      </c>
      <c r="AH221" s="207" t="s">
        <v>2726</v>
      </c>
      <c r="AI221" s="207" t="s">
        <v>1268</v>
      </c>
      <c r="AJ221" s="207" t="s">
        <v>2726</v>
      </c>
      <c r="AK221" s="207" t="s">
        <v>3009</v>
      </c>
    </row>
    <row r="222" spans="1:37" x14ac:dyDescent="0.25">
      <c r="A222" s="207" t="s">
        <v>3015</v>
      </c>
      <c r="B222" s="207">
        <v>0</v>
      </c>
      <c r="C222" s="207" t="s">
        <v>2726</v>
      </c>
      <c r="D222" s="207" t="s">
        <v>2726</v>
      </c>
      <c r="E222" s="207" t="s">
        <v>3016</v>
      </c>
      <c r="F222" s="207" t="s">
        <v>2728</v>
      </c>
      <c r="G222" s="207" t="s">
        <v>2726</v>
      </c>
      <c r="H222" s="207">
        <v>60</v>
      </c>
      <c r="I222" s="207" t="s">
        <v>2737</v>
      </c>
      <c r="J222" s="207" t="s">
        <v>2897</v>
      </c>
      <c r="K222" s="207" t="s">
        <v>2726</v>
      </c>
      <c r="L222" s="207" t="s">
        <v>2726</v>
      </c>
      <c r="M222" s="207" t="s">
        <v>2731</v>
      </c>
      <c r="N222" s="207" t="s">
        <v>2726</v>
      </c>
      <c r="O222" s="207" t="s">
        <v>2726</v>
      </c>
      <c r="P222" s="207" t="s">
        <v>2739</v>
      </c>
      <c r="Q222" s="207" t="s">
        <v>2733</v>
      </c>
      <c r="R222" s="207">
        <v>121</v>
      </c>
      <c r="S222" s="207" t="s">
        <v>2726</v>
      </c>
      <c r="T222" s="207" t="s">
        <v>1239</v>
      </c>
      <c r="U222" s="207" t="s">
        <v>2745</v>
      </c>
      <c r="V222" s="207" t="s">
        <v>2726</v>
      </c>
      <c r="W222" s="207" t="s">
        <v>2741</v>
      </c>
      <c r="X222" s="207">
        <v>153188</v>
      </c>
      <c r="Y222" s="207" t="s">
        <v>66</v>
      </c>
      <c r="Z222" s="207" t="s">
        <v>2726</v>
      </c>
      <c r="AA222" s="207" t="s">
        <v>2726</v>
      </c>
      <c r="AB222" s="207" t="s">
        <v>2726</v>
      </c>
      <c r="AC222" s="207" t="s">
        <v>2726</v>
      </c>
      <c r="AD222" s="207" t="s">
        <v>2726</v>
      </c>
      <c r="AE222" s="207" t="s">
        <v>2726</v>
      </c>
      <c r="AF222" s="207" t="s">
        <v>2726</v>
      </c>
      <c r="AG222" s="207" t="s">
        <v>2726</v>
      </c>
      <c r="AH222" s="207" t="s">
        <v>2726</v>
      </c>
      <c r="AI222" s="207" t="s">
        <v>1303</v>
      </c>
      <c r="AJ222" s="207" t="s">
        <v>2726</v>
      </c>
      <c r="AK222" s="207" t="s">
        <v>3016</v>
      </c>
    </row>
    <row r="223" spans="1:37" x14ac:dyDescent="0.25">
      <c r="A223" s="207" t="s">
        <v>3017</v>
      </c>
      <c r="B223" s="207">
        <v>0</v>
      </c>
      <c r="C223" s="207" t="s">
        <v>2726</v>
      </c>
      <c r="D223" s="207" t="s">
        <v>2726</v>
      </c>
      <c r="E223" s="207" t="s">
        <v>3016</v>
      </c>
      <c r="F223" s="207" t="s">
        <v>2728</v>
      </c>
      <c r="G223" s="207" t="s">
        <v>2726</v>
      </c>
      <c r="H223" s="207">
        <v>60</v>
      </c>
      <c r="I223" s="207" t="s">
        <v>2737</v>
      </c>
      <c r="J223" s="207" t="s">
        <v>2897</v>
      </c>
      <c r="K223" s="207" t="s">
        <v>2726</v>
      </c>
      <c r="L223" s="207" t="s">
        <v>2726</v>
      </c>
      <c r="M223" s="207" t="s">
        <v>2731</v>
      </c>
      <c r="N223" s="207" t="s">
        <v>2726</v>
      </c>
      <c r="O223" s="207" t="s">
        <v>2726</v>
      </c>
      <c r="P223" s="207" t="s">
        <v>2739</v>
      </c>
      <c r="Q223" s="207" t="s">
        <v>2733</v>
      </c>
      <c r="R223" s="207">
        <v>121</v>
      </c>
      <c r="S223" s="207" t="s">
        <v>2726</v>
      </c>
      <c r="T223" s="207" t="s">
        <v>1239</v>
      </c>
      <c r="U223" s="207" t="s">
        <v>2745</v>
      </c>
      <c r="V223" s="207" t="s">
        <v>2726</v>
      </c>
      <c r="W223" s="207" t="s">
        <v>2741</v>
      </c>
      <c r="X223" s="207">
        <v>35290</v>
      </c>
      <c r="Y223" s="207" t="s">
        <v>70</v>
      </c>
      <c r="Z223" s="207" t="s">
        <v>2726</v>
      </c>
      <c r="AA223" s="207" t="s">
        <v>2726</v>
      </c>
      <c r="AB223" s="207" t="s">
        <v>2726</v>
      </c>
      <c r="AC223" s="207" t="s">
        <v>2726</v>
      </c>
      <c r="AD223" s="207" t="s">
        <v>2726</v>
      </c>
      <c r="AE223" s="207" t="s">
        <v>2726</v>
      </c>
      <c r="AF223" s="207" t="s">
        <v>2726</v>
      </c>
      <c r="AG223" s="207" t="s">
        <v>2726</v>
      </c>
      <c r="AH223" s="207" t="s">
        <v>2726</v>
      </c>
      <c r="AI223" s="207" t="s">
        <v>1256</v>
      </c>
      <c r="AJ223" s="207" t="s">
        <v>2726</v>
      </c>
      <c r="AK223" s="207" t="s">
        <v>3016</v>
      </c>
    </row>
    <row r="224" spans="1:37" x14ac:dyDescent="0.25">
      <c r="A224" s="207" t="s">
        <v>3018</v>
      </c>
      <c r="B224" s="207">
        <v>0</v>
      </c>
      <c r="C224" s="207" t="s">
        <v>2726</v>
      </c>
      <c r="D224" s="207" t="s">
        <v>2726</v>
      </c>
      <c r="E224" s="207" t="s">
        <v>3016</v>
      </c>
      <c r="F224" s="207" t="s">
        <v>2728</v>
      </c>
      <c r="G224" s="207" t="s">
        <v>2726</v>
      </c>
      <c r="H224" s="207">
        <v>60</v>
      </c>
      <c r="I224" s="207" t="s">
        <v>2737</v>
      </c>
      <c r="J224" s="207" t="s">
        <v>2897</v>
      </c>
      <c r="K224" s="207" t="s">
        <v>2726</v>
      </c>
      <c r="L224" s="207" t="s">
        <v>2726</v>
      </c>
      <c r="M224" s="207" t="s">
        <v>2731</v>
      </c>
      <c r="N224" s="207" t="s">
        <v>2726</v>
      </c>
      <c r="O224" s="207" t="s">
        <v>2726</v>
      </c>
      <c r="P224" s="207" t="s">
        <v>2739</v>
      </c>
      <c r="Q224" s="207" t="s">
        <v>2733</v>
      </c>
      <c r="R224" s="207">
        <v>121</v>
      </c>
      <c r="S224" s="207" t="s">
        <v>2726</v>
      </c>
      <c r="T224" s="207" t="s">
        <v>1239</v>
      </c>
      <c r="U224" s="207" t="s">
        <v>2745</v>
      </c>
      <c r="V224" s="207" t="s">
        <v>2726</v>
      </c>
      <c r="W224" s="207" t="s">
        <v>2741</v>
      </c>
      <c r="X224" s="207">
        <v>341467</v>
      </c>
      <c r="Y224" s="207" t="s">
        <v>84</v>
      </c>
      <c r="Z224" s="207" t="s">
        <v>2726</v>
      </c>
      <c r="AA224" s="207" t="s">
        <v>2726</v>
      </c>
      <c r="AB224" s="207" t="s">
        <v>2726</v>
      </c>
      <c r="AC224" s="207" t="s">
        <v>2726</v>
      </c>
      <c r="AD224" s="207" t="s">
        <v>2726</v>
      </c>
      <c r="AE224" s="207" t="s">
        <v>2726</v>
      </c>
      <c r="AF224" s="207" t="s">
        <v>2726</v>
      </c>
      <c r="AG224" s="207" t="s">
        <v>2726</v>
      </c>
      <c r="AH224" s="207" t="s">
        <v>2726</v>
      </c>
      <c r="AI224" s="207" t="s">
        <v>1300</v>
      </c>
      <c r="AJ224" s="207" t="s">
        <v>2726</v>
      </c>
      <c r="AK224" s="207" t="s">
        <v>3016</v>
      </c>
    </row>
    <row r="225" spans="1:37" x14ac:dyDescent="0.25">
      <c r="A225" s="207" t="s">
        <v>3019</v>
      </c>
      <c r="B225" s="207">
        <v>0</v>
      </c>
      <c r="C225" s="207" t="s">
        <v>2726</v>
      </c>
      <c r="D225" s="207" t="s">
        <v>2726</v>
      </c>
      <c r="E225" s="207" t="s">
        <v>3016</v>
      </c>
      <c r="F225" s="207" t="s">
        <v>2728</v>
      </c>
      <c r="G225" s="207" t="s">
        <v>2726</v>
      </c>
      <c r="H225" s="207">
        <v>60</v>
      </c>
      <c r="I225" s="207" t="s">
        <v>2737</v>
      </c>
      <c r="J225" s="207" t="s">
        <v>2897</v>
      </c>
      <c r="K225" s="207" t="s">
        <v>2726</v>
      </c>
      <c r="L225" s="207" t="s">
        <v>2726</v>
      </c>
      <c r="M225" s="207" t="s">
        <v>2731</v>
      </c>
      <c r="N225" s="207" t="s">
        <v>2726</v>
      </c>
      <c r="O225" s="207" t="s">
        <v>2726</v>
      </c>
      <c r="P225" s="207" t="s">
        <v>2739</v>
      </c>
      <c r="Q225" s="207" t="s">
        <v>2733</v>
      </c>
      <c r="R225" s="207">
        <v>121</v>
      </c>
      <c r="S225" s="207" t="s">
        <v>2726</v>
      </c>
      <c r="T225" s="207" t="s">
        <v>1239</v>
      </c>
      <c r="U225" s="207" t="s">
        <v>2745</v>
      </c>
      <c r="V225" s="207" t="s">
        <v>2726</v>
      </c>
      <c r="W225" s="207" t="s">
        <v>2741</v>
      </c>
      <c r="X225" s="207">
        <v>392478</v>
      </c>
      <c r="Y225" s="207" t="s">
        <v>88</v>
      </c>
      <c r="Z225" s="207" t="s">
        <v>2726</v>
      </c>
      <c r="AA225" s="207" t="s">
        <v>2726</v>
      </c>
      <c r="AB225" s="207" t="s">
        <v>2726</v>
      </c>
      <c r="AC225" s="207" t="s">
        <v>2726</v>
      </c>
      <c r="AD225" s="207" t="s">
        <v>2726</v>
      </c>
      <c r="AE225" s="207" t="s">
        <v>2726</v>
      </c>
      <c r="AF225" s="207" t="s">
        <v>2726</v>
      </c>
      <c r="AG225" s="207" t="s">
        <v>2726</v>
      </c>
      <c r="AH225" s="207" t="s">
        <v>2726</v>
      </c>
      <c r="AI225" s="207" t="s">
        <v>1245</v>
      </c>
      <c r="AJ225" s="207" t="s">
        <v>2726</v>
      </c>
      <c r="AK225" s="207" t="s">
        <v>3016</v>
      </c>
    </row>
    <row r="226" spans="1:37" x14ac:dyDescent="0.25">
      <c r="A226" s="207" t="s">
        <v>3020</v>
      </c>
      <c r="B226" s="207">
        <v>0</v>
      </c>
      <c r="C226" s="207" t="s">
        <v>2726</v>
      </c>
      <c r="D226" s="207" t="s">
        <v>2726</v>
      </c>
      <c r="E226" s="207" t="s">
        <v>3016</v>
      </c>
      <c r="F226" s="207" t="s">
        <v>2728</v>
      </c>
      <c r="G226" s="207" t="s">
        <v>2726</v>
      </c>
      <c r="H226" s="207">
        <v>60</v>
      </c>
      <c r="I226" s="207" t="s">
        <v>2737</v>
      </c>
      <c r="J226" s="207" t="s">
        <v>2897</v>
      </c>
      <c r="K226" s="207" t="s">
        <v>2726</v>
      </c>
      <c r="L226" s="207" t="s">
        <v>2726</v>
      </c>
      <c r="M226" s="207" t="s">
        <v>2731</v>
      </c>
      <c r="N226" s="207" t="s">
        <v>2726</v>
      </c>
      <c r="O226" s="207" t="s">
        <v>2726</v>
      </c>
      <c r="P226" s="207" t="s">
        <v>2739</v>
      </c>
      <c r="Q226" s="207" t="s">
        <v>2733</v>
      </c>
      <c r="R226" s="207">
        <v>121</v>
      </c>
      <c r="S226" s="207" t="s">
        <v>2726</v>
      </c>
      <c r="T226" s="207" t="s">
        <v>1239</v>
      </c>
      <c r="U226" s="207" t="s">
        <v>2745</v>
      </c>
      <c r="V226" s="207" t="s">
        <v>2726</v>
      </c>
      <c r="W226" s="207" t="s">
        <v>629</v>
      </c>
      <c r="X226" s="207">
        <v>-922423</v>
      </c>
      <c r="Y226" s="207" t="s">
        <v>59</v>
      </c>
      <c r="Z226" s="207" t="s">
        <v>2726</v>
      </c>
      <c r="AA226" s="207" t="s">
        <v>2726</v>
      </c>
      <c r="AB226" s="207" t="s">
        <v>2726</v>
      </c>
      <c r="AC226" s="207" t="s">
        <v>2726</v>
      </c>
      <c r="AD226" s="207" t="s">
        <v>2726</v>
      </c>
      <c r="AE226" s="207" t="s">
        <v>2726</v>
      </c>
      <c r="AF226" s="207" t="s">
        <v>2726</v>
      </c>
      <c r="AG226" s="207" t="s">
        <v>2726</v>
      </c>
      <c r="AH226" s="207" t="s">
        <v>2726</v>
      </c>
      <c r="AI226" s="207" t="s">
        <v>1242</v>
      </c>
      <c r="AJ226" s="207" t="s">
        <v>2726</v>
      </c>
      <c r="AK226" s="207" t="s">
        <v>3016</v>
      </c>
    </row>
    <row r="227" spans="1:37" x14ac:dyDescent="0.25">
      <c r="A227" s="207" t="s">
        <v>3021</v>
      </c>
      <c r="B227" s="207">
        <v>0</v>
      </c>
      <c r="C227" s="207" t="s">
        <v>2726</v>
      </c>
      <c r="D227" s="207" t="s">
        <v>2726</v>
      </c>
      <c r="E227" s="207" t="s">
        <v>3022</v>
      </c>
      <c r="F227" s="207" t="s">
        <v>2728</v>
      </c>
      <c r="G227" s="207" t="s">
        <v>2726</v>
      </c>
      <c r="H227" s="207">
        <v>60</v>
      </c>
      <c r="I227" s="207" t="s">
        <v>2737</v>
      </c>
      <c r="J227" s="207" t="s">
        <v>2894</v>
      </c>
      <c r="K227" s="207" t="s">
        <v>2726</v>
      </c>
      <c r="L227" s="207" t="s">
        <v>2726</v>
      </c>
      <c r="M227" s="207" t="s">
        <v>2731</v>
      </c>
      <c r="N227" s="207" t="s">
        <v>2726</v>
      </c>
      <c r="O227" s="207" t="s">
        <v>2726</v>
      </c>
      <c r="P227" s="207" t="s">
        <v>2739</v>
      </c>
      <c r="Q227" s="207" t="s">
        <v>2733</v>
      </c>
      <c r="R227" s="207">
        <v>121</v>
      </c>
      <c r="S227" s="207" t="s">
        <v>2726</v>
      </c>
      <c r="T227" s="207" t="s">
        <v>1239</v>
      </c>
      <c r="U227" s="207" t="s">
        <v>2745</v>
      </c>
      <c r="V227" s="207" t="s">
        <v>2726</v>
      </c>
      <c r="W227" s="207" t="s">
        <v>2741</v>
      </c>
      <c r="X227" s="207">
        <v>82729</v>
      </c>
      <c r="Y227" s="207" t="s">
        <v>84</v>
      </c>
      <c r="Z227" s="207" t="s">
        <v>2726</v>
      </c>
      <c r="AA227" s="207" t="s">
        <v>2726</v>
      </c>
      <c r="AB227" s="207" t="s">
        <v>2726</v>
      </c>
      <c r="AC227" s="207" t="s">
        <v>2726</v>
      </c>
      <c r="AD227" s="207" t="s">
        <v>2726</v>
      </c>
      <c r="AE227" s="207" t="s">
        <v>2726</v>
      </c>
      <c r="AF227" s="207" t="s">
        <v>2726</v>
      </c>
      <c r="AG227" s="207" t="s">
        <v>2726</v>
      </c>
      <c r="AH227" s="207" t="s">
        <v>2726</v>
      </c>
      <c r="AI227" s="207" t="s">
        <v>1300</v>
      </c>
      <c r="AJ227" s="207" t="s">
        <v>2726</v>
      </c>
      <c r="AK227" s="207" t="s">
        <v>3022</v>
      </c>
    </row>
    <row r="228" spans="1:37" x14ac:dyDescent="0.25">
      <c r="A228" s="207" t="s">
        <v>3023</v>
      </c>
      <c r="B228" s="207">
        <v>0</v>
      </c>
      <c r="C228" s="207" t="s">
        <v>2726</v>
      </c>
      <c r="D228" s="207" t="s">
        <v>2726</v>
      </c>
      <c r="E228" s="207" t="s">
        <v>3022</v>
      </c>
      <c r="F228" s="207" t="s">
        <v>2728</v>
      </c>
      <c r="G228" s="207" t="s">
        <v>2726</v>
      </c>
      <c r="H228" s="207">
        <v>60</v>
      </c>
      <c r="I228" s="207" t="s">
        <v>2737</v>
      </c>
      <c r="J228" s="207" t="s">
        <v>2894</v>
      </c>
      <c r="K228" s="207" t="s">
        <v>2726</v>
      </c>
      <c r="L228" s="207" t="s">
        <v>2726</v>
      </c>
      <c r="M228" s="207" t="s">
        <v>2731</v>
      </c>
      <c r="N228" s="207" t="s">
        <v>2726</v>
      </c>
      <c r="O228" s="207" t="s">
        <v>2726</v>
      </c>
      <c r="P228" s="207" t="s">
        <v>2739</v>
      </c>
      <c r="Q228" s="207" t="s">
        <v>2733</v>
      </c>
      <c r="R228" s="207">
        <v>121</v>
      </c>
      <c r="S228" s="207" t="s">
        <v>2726</v>
      </c>
      <c r="T228" s="207" t="s">
        <v>1239</v>
      </c>
      <c r="U228" s="207" t="s">
        <v>2745</v>
      </c>
      <c r="V228" s="207" t="s">
        <v>2726</v>
      </c>
      <c r="W228" s="207" t="s">
        <v>629</v>
      </c>
      <c r="X228" s="207">
        <v>-82729</v>
      </c>
      <c r="Y228" s="207" t="s">
        <v>59</v>
      </c>
      <c r="Z228" s="207" t="s">
        <v>2726</v>
      </c>
      <c r="AA228" s="207" t="s">
        <v>2726</v>
      </c>
      <c r="AB228" s="207" t="s">
        <v>2726</v>
      </c>
      <c r="AC228" s="207" t="s">
        <v>2726</v>
      </c>
      <c r="AD228" s="207" t="s">
        <v>2726</v>
      </c>
      <c r="AE228" s="207" t="s">
        <v>2726</v>
      </c>
      <c r="AF228" s="207" t="s">
        <v>2726</v>
      </c>
      <c r="AG228" s="207" t="s">
        <v>2726</v>
      </c>
      <c r="AH228" s="207" t="s">
        <v>2726</v>
      </c>
      <c r="AI228" s="207" t="s">
        <v>1242</v>
      </c>
      <c r="AJ228" s="207" t="s">
        <v>2726</v>
      </c>
      <c r="AK228" s="207" t="s">
        <v>3022</v>
      </c>
    </row>
    <row r="229" spans="1:37" x14ac:dyDescent="0.25">
      <c r="A229" s="207" t="s">
        <v>3024</v>
      </c>
      <c r="B229" s="207">
        <v>0</v>
      </c>
      <c r="C229" s="207" t="s">
        <v>2726</v>
      </c>
      <c r="D229" s="207" t="s">
        <v>2726</v>
      </c>
      <c r="E229" s="207" t="s">
        <v>3025</v>
      </c>
      <c r="F229" s="207" t="s">
        <v>2728</v>
      </c>
      <c r="G229" s="207" t="s">
        <v>2726</v>
      </c>
      <c r="H229" s="207">
        <v>60</v>
      </c>
      <c r="I229" s="207" t="s">
        <v>2737</v>
      </c>
      <c r="J229" s="207" t="s">
        <v>2897</v>
      </c>
      <c r="K229" s="207" t="s">
        <v>2726</v>
      </c>
      <c r="L229" s="207" t="s">
        <v>2726</v>
      </c>
      <c r="M229" s="207" t="s">
        <v>2731</v>
      </c>
      <c r="N229" s="207" t="s">
        <v>2726</v>
      </c>
      <c r="O229" s="207" t="s">
        <v>2726</v>
      </c>
      <c r="P229" s="207" t="s">
        <v>2739</v>
      </c>
      <c r="Q229" s="207" t="s">
        <v>2733</v>
      </c>
      <c r="R229" s="207">
        <v>121</v>
      </c>
      <c r="S229" s="207" t="s">
        <v>2726</v>
      </c>
      <c r="T229" s="207" t="s">
        <v>1239</v>
      </c>
      <c r="U229" s="207" t="s">
        <v>2745</v>
      </c>
      <c r="V229" s="207" t="s">
        <v>2726</v>
      </c>
      <c r="W229" s="207" t="s">
        <v>2741</v>
      </c>
      <c r="X229" s="207">
        <v>459998</v>
      </c>
      <c r="Y229" s="207" t="s">
        <v>84</v>
      </c>
      <c r="Z229" s="207" t="s">
        <v>2726</v>
      </c>
      <c r="AA229" s="207" t="s">
        <v>2726</v>
      </c>
      <c r="AB229" s="207" t="s">
        <v>2726</v>
      </c>
      <c r="AC229" s="207" t="s">
        <v>2726</v>
      </c>
      <c r="AD229" s="207" t="s">
        <v>2726</v>
      </c>
      <c r="AE229" s="207" t="s">
        <v>2726</v>
      </c>
      <c r="AF229" s="207" t="s">
        <v>2726</v>
      </c>
      <c r="AG229" s="207" t="s">
        <v>2726</v>
      </c>
      <c r="AH229" s="207" t="s">
        <v>2726</v>
      </c>
      <c r="AI229" s="207" t="s">
        <v>1300</v>
      </c>
      <c r="AJ229" s="207" t="s">
        <v>2726</v>
      </c>
      <c r="AK229" s="207" t="s">
        <v>3025</v>
      </c>
    </row>
    <row r="230" spans="1:37" x14ac:dyDescent="0.25">
      <c r="A230" s="207" t="s">
        <v>3026</v>
      </c>
      <c r="B230" s="207">
        <v>0</v>
      </c>
      <c r="C230" s="207" t="s">
        <v>2726</v>
      </c>
      <c r="D230" s="207" t="s">
        <v>2726</v>
      </c>
      <c r="E230" s="207" t="s">
        <v>3025</v>
      </c>
      <c r="F230" s="207" t="s">
        <v>2728</v>
      </c>
      <c r="G230" s="207" t="s">
        <v>2726</v>
      </c>
      <c r="H230" s="207">
        <v>60</v>
      </c>
      <c r="I230" s="207" t="s">
        <v>2737</v>
      </c>
      <c r="J230" s="207" t="s">
        <v>2897</v>
      </c>
      <c r="K230" s="207" t="s">
        <v>2726</v>
      </c>
      <c r="L230" s="207" t="s">
        <v>2726</v>
      </c>
      <c r="M230" s="207" t="s">
        <v>2731</v>
      </c>
      <c r="N230" s="207" t="s">
        <v>2726</v>
      </c>
      <c r="O230" s="207" t="s">
        <v>2726</v>
      </c>
      <c r="P230" s="207" t="s">
        <v>2739</v>
      </c>
      <c r="Q230" s="207" t="s">
        <v>2733</v>
      </c>
      <c r="R230" s="207">
        <v>121</v>
      </c>
      <c r="S230" s="207" t="s">
        <v>2726</v>
      </c>
      <c r="T230" s="207" t="s">
        <v>1239</v>
      </c>
      <c r="U230" s="207" t="s">
        <v>2745</v>
      </c>
      <c r="V230" s="207" t="s">
        <v>2726</v>
      </c>
      <c r="W230" s="207" t="s">
        <v>629</v>
      </c>
      <c r="X230" s="207">
        <v>-459998</v>
      </c>
      <c r="Y230" s="207" t="s">
        <v>59</v>
      </c>
      <c r="Z230" s="207" t="s">
        <v>2726</v>
      </c>
      <c r="AA230" s="207" t="s">
        <v>2726</v>
      </c>
      <c r="AB230" s="207" t="s">
        <v>2726</v>
      </c>
      <c r="AC230" s="207" t="s">
        <v>2726</v>
      </c>
      <c r="AD230" s="207" t="s">
        <v>2726</v>
      </c>
      <c r="AE230" s="207" t="s">
        <v>2726</v>
      </c>
      <c r="AF230" s="207" t="s">
        <v>2726</v>
      </c>
      <c r="AG230" s="207" t="s">
        <v>2726</v>
      </c>
      <c r="AH230" s="207" t="s">
        <v>2726</v>
      </c>
      <c r="AI230" s="207" t="s">
        <v>1242</v>
      </c>
      <c r="AJ230" s="207" t="s">
        <v>2726</v>
      </c>
      <c r="AK230" s="207" t="s">
        <v>3025</v>
      </c>
    </row>
    <row r="231" spans="1:37" x14ac:dyDescent="0.25">
      <c r="A231" s="207" t="s">
        <v>3027</v>
      </c>
      <c r="B231" s="207">
        <v>0</v>
      </c>
      <c r="C231" s="207" t="s">
        <v>2726</v>
      </c>
      <c r="D231" s="207" t="s">
        <v>2726</v>
      </c>
      <c r="E231" s="207" t="s">
        <v>3028</v>
      </c>
      <c r="F231" s="207" t="s">
        <v>2728</v>
      </c>
      <c r="G231" s="207" t="s">
        <v>2726</v>
      </c>
      <c r="H231" s="207">
        <v>60</v>
      </c>
      <c r="I231" s="207" t="s">
        <v>2737</v>
      </c>
      <c r="J231" s="207" t="s">
        <v>2894</v>
      </c>
      <c r="K231" s="207" t="s">
        <v>2726</v>
      </c>
      <c r="L231" s="207" t="s">
        <v>2726</v>
      </c>
      <c r="M231" s="207" t="s">
        <v>2731</v>
      </c>
      <c r="N231" s="207" t="s">
        <v>2726</v>
      </c>
      <c r="O231" s="207" t="s">
        <v>2726</v>
      </c>
      <c r="P231" s="207" t="s">
        <v>2739</v>
      </c>
      <c r="Q231" s="207" t="s">
        <v>2733</v>
      </c>
      <c r="R231" s="207">
        <v>121</v>
      </c>
      <c r="S231" s="207" t="s">
        <v>2726</v>
      </c>
      <c r="T231" s="207" t="s">
        <v>1239</v>
      </c>
      <c r="U231" s="207" t="s">
        <v>2745</v>
      </c>
      <c r="V231" s="207" t="s">
        <v>2726</v>
      </c>
      <c r="W231" s="207" t="s">
        <v>2741</v>
      </c>
      <c r="X231" s="207">
        <v>155031</v>
      </c>
      <c r="Y231" s="207" t="s">
        <v>66</v>
      </c>
      <c r="Z231" s="207" t="s">
        <v>2726</v>
      </c>
      <c r="AA231" s="207" t="s">
        <v>2726</v>
      </c>
      <c r="AB231" s="207" t="s">
        <v>2726</v>
      </c>
      <c r="AC231" s="207" t="s">
        <v>2726</v>
      </c>
      <c r="AD231" s="207" t="s">
        <v>2726</v>
      </c>
      <c r="AE231" s="207" t="s">
        <v>2726</v>
      </c>
      <c r="AF231" s="207" t="s">
        <v>2726</v>
      </c>
      <c r="AG231" s="207" t="s">
        <v>2726</v>
      </c>
      <c r="AH231" s="207" t="s">
        <v>2726</v>
      </c>
      <c r="AI231" s="207" t="s">
        <v>1303</v>
      </c>
      <c r="AJ231" s="207" t="s">
        <v>2726</v>
      </c>
      <c r="AK231" s="207" t="s">
        <v>3028</v>
      </c>
    </row>
    <row r="232" spans="1:37" x14ac:dyDescent="0.25">
      <c r="A232" s="207" t="s">
        <v>3029</v>
      </c>
      <c r="B232" s="207">
        <v>0</v>
      </c>
      <c r="C232" s="207" t="s">
        <v>2726</v>
      </c>
      <c r="D232" s="207" t="s">
        <v>2726</v>
      </c>
      <c r="E232" s="207" t="s">
        <v>3028</v>
      </c>
      <c r="F232" s="207" t="s">
        <v>2728</v>
      </c>
      <c r="G232" s="207" t="s">
        <v>2726</v>
      </c>
      <c r="H232" s="207">
        <v>60</v>
      </c>
      <c r="I232" s="207" t="s">
        <v>2737</v>
      </c>
      <c r="J232" s="207" t="s">
        <v>2894</v>
      </c>
      <c r="K232" s="207" t="s">
        <v>2726</v>
      </c>
      <c r="L232" s="207" t="s">
        <v>2726</v>
      </c>
      <c r="M232" s="207" t="s">
        <v>2731</v>
      </c>
      <c r="N232" s="207" t="s">
        <v>2726</v>
      </c>
      <c r="O232" s="207" t="s">
        <v>2726</v>
      </c>
      <c r="P232" s="207" t="s">
        <v>2739</v>
      </c>
      <c r="Q232" s="207" t="s">
        <v>2733</v>
      </c>
      <c r="R232" s="207">
        <v>121</v>
      </c>
      <c r="S232" s="207" t="s">
        <v>2726</v>
      </c>
      <c r="T232" s="207" t="s">
        <v>1239</v>
      </c>
      <c r="U232" s="207" t="s">
        <v>2745</v>
      </c>
      <c r="V232" s="207" t="s">
        <v>2726</v>
      </c>
      <c r="W232" s="207" t="s">
        <v>2741</v>
      </c>
      <c r="X232" s="207">
        <v>133829</v>
      </c>
      <c r="Y232" s="207" t="s">
        <v>84</v>
      </c>
      <c r="Z232" s="207" t="s">
        <v>2726</v>
      </c>
      <c r="AA232" s="207" t="s">
        <v>2726</v>
      </c>
      <c r="AB232" s="207" t="s">
        <v>2726</v>
      </c>
      <c r="AC232" s="207" t="s">
        <v>2726</v>
      </c>
      <c r="AD232" s="207" t="s">
        <v>2726</v>
      </c>
      <c r="AE232" s="207" t="s">
        <v>2726</v>
      </c>
      <c r="AF232" s="207" t="s">
        <v>2726</v>
      </c>
      <c r="AG232" s="207" t="s">
        <v>2726</v>
      </c>
      <c r="AH232" s="207" t="s">
        <v>2726</v>
      </c>
      <c r="AI232" s="207" t="s">
        <v>1300</v>
      </c>
      <c r="AJ232" s="207" t="s">
        <v>2726</v>
      </c>
      <c r="AK232" s="207" t="s">
        <v>3028</v>
      </c>
    </row>
    <row r="233" spans="1:37" x14ac:dyDescent="0.25">
      <c r="A233" s="207" t="s">
        <v>3030</v>
      </c>
      <c r="B233" s="207">
        <v>0</v>
      </c>
      <c r="C233" s="207" t="s">
        <v>2726</v>
      </c>
      <c r="D233" s="207" t="s">
        <v>2726</v>
      </c>
      <c r="E233" s="207" t="s">
        <v>3028</v>
      </c>
      <c r="F233" s="207" t="s">
        <v>2728</v>
      </c>
      <c r="G233" s="207" t="s">
        <v>2726</v>
      </c>
      <c r="H233" s="207">
        <v>60</v>
      </c>
      <c r="I233" s="207" t="s">
        <v>2737</v>
      </c>
      <c r="J233" s="207" t="s">
        <v>2894</v>
      </c>
      <c r="K233" s="207" t="s">
        <v>2726</v>
      </c>
      <c r="L233" s="207" t="s">
        <v>2726</v>
      </c>
      <c r="M233" s="207" t="s">
        <v>2731</v>
      </c>
      <c r="N233" s="207" t="s">
        <v>2726</v>
      </c>
      <c r="O233" s="207" t="s">
        <v>2726</v>
      </c>
      <c r="P233" s="207" t="s">
        <v>2739</v>
      </c>
      <c r="Q233" s="207" t="s">
        <v>2733</v>
      </c>
      <c r="R233" s="207">
        <v>121</v>
      </c>
      <c r="S233" s="207" t="s">
        <v>2726</v>
      </c>
      <c r="T233" s="207" t="s">
        <v>1239</v>
      </c>
      <c r="U233" s="207" t="s">
        <v>2745</v>
      </c>
      <c r="V233" s="207" t="s">
        <v>2726</v>
      </c>
      <c r="W233" s="207" t="s">
        <v>629</v>
      </c>
      <c r="X233" s="207">
        <v>-288860</v>
      </c>
      <c r="Y233" s="207" t="s">
        <v>59</v>
      </c>
      <c r="Z233" s="207" t="s">
        <v>2726</v>
      </c>
      <c r="AA233" s="207" t="s">
        <v>2726</v>
      </c>
      <c r="AB233" s="207" t="s">
        <v>2726</v>
      </c>
      <c r="AC233" s="207" t="s">
        <v>2726</v>
      </c>
      <c r="AD233" s="207" t="s">
        <v>2726</v>
      </c>
      <c r="AE233" s="207" t="s">
        <v>2726</v>
      </c>
      <c r="AF233" s="207" t="s">
        <v>2726</v>
      </c>
      <c r="AG233" s="207" t="s">
        <v>2726</v>
      </c>
      <c r="AH233" s="207" t="s">
        <v>2726</v>
      </c>
      <c r="AI233" s="207" t="s">
        <v>1242</v>
      </c>
      <c r="AJ233" s="207" t="s">
        <v>2726</v>
      </c>
      <c r="AK233" s="207" t="s">
        <v>3028</v>
      </c>
    </row>
    <row r="234" spans="1:37" x14ac:dyDescent="0.25">
      <c r="A234" s="207" t="s">
        <v>3031</v>
      </c>
      <c r="B234" s="207">
        <v>0</v>
      </c>
      <c r="C234" s="207" t="s">
        <v>2726</v>
      </c>
      <c r="D234" s="207" t="s">
        <v>2726</v>
      </c>
      <c r="E234" s="207" t="s">
        <v>3032</v>
      </c>
      <c r="F234" s="207" t="s">
        <v>2728</v>
      </c>
      <c r="G234" s="207" t="s">
        <v>2726</v>
      </c>
      <c r="H234" s="207">
        <v>60</v>
      </c>
      <c r="I234" s="207" t="s">
        <v>2737</v>
      </c>
      <c r="J234" s="207" t="s">
        <v>2897</v>
      </c>
      <c r="K234" s="207" t="s">
        <v>2726</v>
      </c>
      <c r="L234" s="207" t="s">
        <v>2726</v>
      </c>
      <c r="M234" s="207" t="s">
        <v>2738</v>
      </c>
      <c r="N234" s="207" t="s">
        <v>2726</v>
      </c>
      <c r="O234" s="207" t="s">
        <v>2726</v>
      </c>
      <c r="P234" s="207" t="s">
        <v>2739</v>
      </c>
      <c r="Q234" s="207" t="s">
        <v>2733</v>
      </c>
      <c r="R234" s="207">
        <v>121</v>
      </c>
      <c r="S234" s="207" t="s">
        <v>2726</v>
      </c>
      <c r="T234" s="207" t="s">
        <v>1262</v>
      </c>
      <c r="U234" s="207" t="s">
        <v>2740</v>
      </c>
      <c r="V234" s="207" t="s">
        <v>2726</v>
      </c>
      <c r="W234" s="207" t="s">
        <v>2741</v>
      </c>
      <c r="X234" s="207">
        <v>116304</v>
      </c>
      <c r="Y234" s="207" t="s">
        <v>66</v>
      </c>
      <c r="Z234" s="207" t="s">
        <v>2726</v>
      </c>
      <c r="AA234" s="207" t="s">
        <v>2726</v>
      </c>
      <c r="AB234" s="207" t="s">
        <v>2726</v>
      </c>
      <c r="AC234" s="207" t="s">
        <v>2726</v>
      </c>
      <c r="AD234" s="207" t="s">
        <v>2726</v>
      </c>
      <c r="AE234" s="207" t="s">
        <v>2726</v>
      </c>
      <c r="AF234" s="207" t="s">
        <v>2726</v>
      </c>
      <c r="AG234" s="207" t="s">
        <v>2726</v>
      </c>
      <c r="AH234" s="207" t="s">
        <v>2726</v>
      </c>
      <c r="AI234" s="207" t="s">
        <v>1303</v>
      </c>
      <c r="AJ234" s="207" t="s">
        <v>2726</v>
      </c>
      <c r="AK234" s="207" t="s">
        <v>3032</v>
      </c>
    </row>
    <row r="235" spans="1:37" x14ac:dyDescent="0.25">
      <c r="A235" s="207" t="s">
        <v>3033</v>
      </c>
      <c r="B235" s="207">
        <v>0</v>
      </c>
      <c r="C235" s="207" t="s">
        <v>2726</v>
      </c>
      <c r="D235" s="207" t="s">
        <v>2726</v>
      </c>
      <c r="E235" s="207" t="s">
        <v>3032</v>
      </c>
      <c r="F235" s="207" t="s">
        <v>2728</v>
      </c>
      <c r="G235" s="207" t="s">
        <v>2726</v>
      </c>
      <c r="H235" s="207">
        <v>60</v>
      </c>
      <c r="I235" s="207" t="s">
        <v>2737</v>
      </c>
      <c r="J235" s="207" t="s">
        <v>2897</v>
      </c>
      <c r="K235" s="207" t="s">
        <v>2726</v>
      </c>
      <c r="L235" s="207" t="s">
        <v>2726</v>
      </c>
      <c r="M235" s="207" t="s">
        <v>2738</v>
      </c>
      <c r="N235" s="207" t="s">
        <v>2726</v>
      </c>
      <c r="O235" s="207" t="s">
        <v>2726</v>
      </c>
      <c r="P235" s="207" t="s">
        <v>2739</v>
      </c>
      <c r="Q235" s="207" t="s">
        <v>2733</v>
      </c>
      <c r="R235" s="207">
        <v>121</v>
      </c>
      <c r="S235" s="207" t="s">
        <v>2726</v>
      </c>
      <c r="T235" s="207" t="s">
        <v>1239</v>
      </c>
      <c r="U235" s="207" t="s">
        <v>2740</v>
      </c>
      <c r="V235" s="207" t="s">
        <v>2726</v>
      </c>
      <c r="W235" s="207" t="s">
        <v>2741</v>
      </c>
      <c r="X235" s="207">
        <v>143908</v>
      </c>
      <c r="Y235" s="207" t="s">
        <v>84</v>
      </c>
      <c r="Z235" s="207" t="s">
        <v>2726</v>
      </c>
      <c r="AA235" s="207" t="s">
        <v>2726</v>
      </c>
      <c r="AB235" s="207" t="s">
        <v>2726</v>
      </c>
      <c r="AC235" s="207" t="s">
        <v>2726</v>
      </c>
      <c r="AD235" s="207" t="s">
        <v>2726</v>
      </c>
      <c r="AE235" s="207" t="s">
        <v>2726</v>
      </c>
      <c r="AF235" s="207" t="s">
        <v>2726</v>
      </c>
      <c r="AG235" s="207" t="s">
        <v>2726</v>
      </c>
      <c r="AH235" s="207" t="s">
        <v>2726</v>
      </c>
      <c r="AI235" s="207" t="s">
        <v>1300</v>
      </c>
      <c r="AJ235" s="207" t="s">
        <v>2726</v>
      </c>
      <c r="AK235" s="207" t="s">
        <v>3032</v>
      </c>
    </row>
    <row r="236" spans="1:37" x14ac:dyDescent="0.25">
      <c r="A236" s="207" t="s">
        <v>3034</v>
      </c>
      <c r="B236" s="207">
        <v>0</v>
      </c>
      <c r="C236" s="207" t="s">
        <v>2726</v>
      </c>
      <c r="D236" s="207" t="s">
        <v>2726</v>
      </c>
      <c r="E236" s="207" t="s">
        <v>3032</v>
      </c>
      <c r="F236" s="207" t="s">
        <v>2728</v>
      </c>
      <c r="G236" s="207" t="s">
        <v>2726</v>
      </c>
      <c r="H236" s="207">
        <v>60</v>
      </c>
      <c r="I236" s="207" t="s">
        <v>2737</v>
      </c>
      <c r="J236" s="207" t="s">
        <v>2897</v>
      </c>
      <c r="K236" s="207" t="s">
        <v>2726</v>
      </c>
      <c r="L236" s="207" t="s">
        <v>2726</v>
      </c>
      <c r="M236" s="207" t="s">
        <v>2738</v>
      </c>
      <c r="N236" s="207" t="s">
        <v>2726</v>
      </c>
      <c r="O236" s="207" t="s">
        <v>2726</v>
      </c>
      <c r="P236" s="207" t="s">
        <v>2739</v>
      </c>
      <c r="Q236" s="207" t="s">
        <v>2733</v>
      </c>
      <c r="R236" s="207">
        <v>121</v>
      </c>
      <c r="S236" s="207" t="s">
        <v>2726</v>
      </c>
      <c r="T236" s="207" t="s">
        <v>1239</v>
      </c>
      <c r="U236" s="207" t="s">
        <v>2740</v>
      </c>
      <c r="V236" s="207" t="s">
        <v>2726</v>
      </c>
      <c r="W236" s="207" t="s">
        <v>629</v>
      </c>
      <c r="X236" s="207">
        <v>-260212</v>
      </c>
      <c r="Y236" s="207" t="s">
        <v>59</v>
      </c>
      <c r="Z236" s="207" t="s">
        <v>2726</v>
      </c>
      <c r="AA236" s="207" t="s">
        <v>2726</v>
      </c>
      <c r="AB236" s="207" t="s">
        <v>2726</v>
      </c>
      <c r="AC236" s="207" t="s">
        <v>2726</v>
      </c>
      <c r="AD236" s="207" t="s">
        <v>2726</v>
      </c>
      <c r="AE236" s="207" t="s">
        <v>2726</v>
      </c>
      <c r="AF236" s="207" t="s">
        <v>2726</v>
      </c>
      <c r="AG236" s="207" t="s">
        <v>2726</v>
      </c>
      <c r="AH236" s="207" t="s">
        <v>2726</v>
      </c>
      <c r="AI236" s="207" t="s">
        <v>1242</v>
      </c>
      <c r="AJ236" s="207" t="s">
        <v>2726</v>
      </c>
      <c r="AK236" s="207" t="s">
        <v>3032</v>
      </c>
    </row>
    <row r="237" spans="1:37" x14ac:dyDescent="0.25">
      <c r="A237" s="207" t="s">
        <v>3035</v>
      </c>
      <c r="B237" s="207">
        <v>0</v>
      </c>
      <c r="C237" s="207" t="s">
        <v>2726</v>
      </c>
      <c r="D237" s="207" t="s">
        <v>2726</v>
      </c>
      <c r="E237" s="207" t="s">
        <v>3036</v>
      </c>
      <c r="F237" s="207" t="s">
        <v>2728</v>
      </c>
      <c r="G237" s="207" t="s">
        <v>2726</v>
      </c>
      <c r="H237" s="207">
        <v>60</v>
      </c>
      <c r="I237" s="207" t="s">
        <v>2737</v>
      </c>
      <c r="J237" s="207" t="s">
        <v>2872</v>
      </c>
      <c r="K237" s="207" t="s">
        <v>2726</v>
      </c>
      <c r="L237" s="207" t="s">
        <v>2726</v>
      </c>
      <c r="M237" s="207" t="s">
        <v>2731</v>
      </c>
      <c r="N237" s="207" t="s">
        <v>2726</v>
      </c>
      <c r="O237" s="207" t="s">
        <v>2726</v>
      </c>
      <c r="P237" s="207" t="s">
        <v>2739</v>
      </c>
      <c r="Q237" s="207" t="s">
        <v>2733</v>
      </c>
      <c r="R237" s="207">
        <v>121</v>
      </c>
      <c r="S237" s="207" t="s">
        <v>2726</v>
      </c>
      <c r="T237" s="207" t="s">
        <v>1239</v>
      </c>
      <c r="U237" s="207" t="s">
        <v>2745</v>
      </c>
      <c r="V237" s="207" t="s">
        <v>2726</v>
      </c>
      <c r="W237" s="207" t="s">
        <v>2741</v>
      </c>
      <c r="X237" s="207">
        <v>29172</v>
      </c>
      <c r="Y237" s="207" t="s">
        <v>84</v>
      </c>
      <c r="Z237" s="207" t="s">
        <v>2726</v>
      </c>
      <c r="AA237" s="207" t="s">
        <v>2726</v>
      </c>
      <c r="AB237" s="207" t="s">
        <v>2726</v>
      </c>
      <c r="AC237" s="207" t="s">
        <v>2726</v>
      </c>
      <c r="AD237" s="207" t="s">
        <v>2726</v>
      </c>
      <c r="AE237" s="207" t="s">
        <v>2726</v>
      </c>
      <c r="AF237" s="207" t="s">
        <v>2726</v>
      </c>
      <c r="AG237" s="207" t="s">
        <v>2726</v>
      </c>
      <c r="AH237" s="207" t="s">
        <v>2726</v>
      </c>
      <c r="AI237" s="207" t="s">
        <v>1300</v>
      </c>
      <c r="AJ237" s="207" t="s">
        <v>2726</v>
      </c>
      <c r="AK237" s="207" t="s">
        <v>3036</v>
      </c>
    </row>
    <row r="238" spans="1:37" x14ac:dyDescent="0.25">
      <c r="A238" s="207" t="s">
        <v>3037</v>
      </c>
      <c r="B238" s="207">
        <v>0</v>
      </c>
      <c r="C238" s="207" t="s">
        <v>2726</v>
      </c>
      <c r="D238" s="207" t="s">
        <v>2726</v>
      </c>
      <c r="E238" s="207" t="s">
        <v>3036</v>
      </c>
      <c r="F238" s="207" t="s">
        <v>2728</v>
      </c>
      <c r="G238" s="207" t="s">
        <v>2726</v>
      </c>
      <c r="H238" s="207">
        <v>60</v>
      </c>
      <c r="I238" s="207" t="s">
        <v>2737</v>
      </c>
      <c r="J238" s="207" t="s">
        <v>2872</v>
      </c>
      <c r="K238" s="207" t="s">
        <v>2726</v>
      </c>
      <c r="L238" s="207" t="s">
        <v>2726</v>
      </c>
      <c r="M238" s="207" t="s">
        <v>2731</v>
      </c>
      <c r="N238" s="207" t="s">
        <v>2726</v>
      </c>
      <c r="O238" s="207" t="s">
        <v>2726</v>
      </c>
      <c r="P238" s="207" t="s">
        <v>2739</v>
      </c>
      <c r="Q238" s="207" t="s">
        <v>2733</v>
      </c>
      <c r="R238" s="207">
        <v>121</v>
      </c>
      <c r="S238" s="207" t="s">
        <v>2726</v>
      </c>
      <c r="T238" s="207" t="s">
        <v>1239</v>
      </c>
      <c r="U238" s="207" t="s">
        <v>2745</v>
      </c>
      <c r="V238" s="207" t="s">
        <v>2726</v>
      </c>
      <c r="W238" s="207" t="s">
        <v>629</v>
      </c>
      <c r="X238" s="207">
        <v>-29172</v>
      </c>
      <c r="Y238" s="207" t="s">
        <v>59</v>
      </c>
      <c r="Z238" s="207" t="s">
        <v>2726</v>
      </c>
      <c r="AA238" s="207" t="s">
        <v>2726</v>
      </c>
      <c r="AB238" s="207" t="s">
        <v>2726</v>
      </c>
      <c r="AC238" s="207" t="s">
        <v>2726</v>
      </c>
      <c r="AD238" s="207" t="s">
        <v>2726</v>
      </c>
      <c r="AE238" s="207" t="s">
        <v>2726</v>
      </c>
      <c r="AF238" s="207" t="s">
        <v>2726</v>
      </c>
      <c r="AG238" s="207" t="s">
        <v>2726</v>
      </c>
      <c r="AH238" s="207" t="s">
        <v>2726</v>
      </c>
      <c r="AI238" s="207" t="s">
        <v>1242</v>
      </c>
      <c r="AJ238" s="207" t="s">
        <v>2726</v>
      </c>
      <c r="AK238" s="207" t="s">
        <v>3036</v>
      </c>
    </row>
    <row r="239" spans="1:37" x14ac:dyDescent="0.25">
      <c r="A239" s="207" t="s">
        <v>3038</v>
      </c>
      <c r="B239" s="207">
        <v>0</v>
      </c>
      <c r="C239" s="207" t="s">
        <v>2726</v>
      </c>
      <c r="D239" s="207" t="s">
        <v>2726</v>
      </c>
      <c r="E239" s="207" t="s">
        <v>3039</v>
      </c>
      <c r="F239" s="207" t="s">
        <v>2728</v>
      </c>
      <c r="G239" s="207" t="s">
        <v>2726</v>
      </c>
      <c r="H239" s="207">
        <v>60</v>
      </c>
      <c r="I239" s="207" t="s">
        <v>2737</v>
      </c>
      <c r="J239" s="207" t="s">
        <v>2872</v>
      </c>
      <c r="K239" s="207" t="s">
        <v>2726</v>
      </c>
      <c r="L239" s="207" t="s">
        <v>2726</v>
      </c>
      <c r="M239" s="207" t="s">
        <v>2738</v>
      </c>
      <c r="N239" s="207" t="s">
        <v>2726</v>
      </c>
      <c r="O239" s="207" t="s">
        <v>2726</v>
      </c>
      <c r="P239" s="207" t="s">
        <v>2739</v>
      </c>
      <c r="Q239" s="207" t="s">
        <v>2733</v>
      </c>
      <c r="R239" s="207">
        <v>121</v>
      </c>
      <c r="S239" s="207" t="s">
        <v>2726</v>
      </c>
      <c r="T239" s="207" t="s">
        <v>1239</v>
      </c>
      <c r="U239" s="207" t="s">
        <v>2740</v>
      </c>
      <c r="V239" s="207" t="s">
        <v>2726</v>
      </c>
      <c r="W239" s="207" t="s">
        <v>2741</v>
      </c>
      <c r="X239" s="207">
        <v>58558</v>
      </c>
      <c r="Y239" s="207" t="s">
        <v>84</v>
      </c>
      <c r="Z239" s="207" t="s">
        <v>2726</v>
      </c>
      <c r="AA239" s="207" t="s">
        <v>2726</v>
      </c>
      <c r="AB239" s="207" t="s">
        <v>2726</v>
      </c>
      <c r="AC239" s="207" t="s">
        <v>2726</v>
      </c>
      <c r="AD239" s="207" t="s">
        <v>2726</v>
      </c>
      <c r="AE239" s="207" t="s">
        <v>2726</v>
      </c>
      <c r="AF239" s="207" t="s">
        <v>2726</v>
      </c>
      <c r="AG239" s="207" t="s">
        <v>2726</v>
      </c>
      <c r="AH239" s="207" t="s">
        <v>2726</v>
      </c>
      <c r="AI239" s="207" t="s">
        <v>1300</v>
      </c>
      <c r="AJ239" s="207" t="s">
        <v>2726</v>
      </c>
      <c r="AK239" s="207" t="s">
        <v>3039</v>
      </c>
    </row>
    <row r="240" spans="1:37" x14ac:dyDescent="0.25">
      <c r="A240" s="207" t="s">
        <v>3040</v>
      </c>
      <c r="B240" s="207">
        <v>0</v>
      </c>
      <c r="C240" s="207" t="s">
        <v>2726</v>
      </c>
      <c r="D240" s="207" t="s">
        <v>2726</v>
      </c>
      <c r="E240" s="207" t="s">
        <v>3039</v>
      </c>
      <c r="F240" s="207" t="s">
        <v>2728</v>
      </c>
      <c r="G240" s="207" t="s">
        <v>2726</v>
      </c>
      <c r="H240" s="207">
        <v>60</v>
      </c>
      <c r="I240" s="207" t="s">
        <v>2737</v>
      </c>
      <c r="J240" s="207" t="s">
        <v>2872</v>
      </c>
      <c r="K240" s="207" t="s">
        <v>2726</v>
      </c>
      <c r="L240" s="207" t="s">
        <v>2726</v>
      </c>
      <c r="M240" s="207" t="s">
        <v>2738</v>
      </c>
      <c r="N240" s="207" t="s">
        <v>2726</v>
      </c>
      <c r="O240" s="207" t="s">
        <v>2726</v>
      </c>
      <c r="P240" s="207" t="s">
        <v>2739</v>
      </c>
      <c r="Q240" s="207" t="s">
        <v>2733</v>
      </c>
      <c r="R240" s="207">
        <v>121</v>
      </c>
      <c r="S240" s="207" t="s">
        <v>2726</v>
      </c>
      <c r="T240" s="207" t="s">
        <v>1239</v>
      </c>
      <c r="U240" s="207" t="s">
        <v>2740</v>
      </c>
      <c r="V240" s="207" t="s">
        <v>2726</v>
      </c>
      <c r="W240" s="207" t="s">
        <v>629</v>
      </c>
      <c r="X240" s="207">
        <v>-58558</v>
      </c>
      <c r="Y240" s="207" t="s">
        <v>59</v>
      </c>
      <c r="Z240" s="207" t="s">
        <v>2726</v>
      </c>
      <c r="AA240" s="207" t="s">
        <v>2726</v>
      </c>
      <c r="AB240" s="207" t="s">
        <v>2726</v>
      </c>
      <c r="AC240" s="207" t="s">
        <v>2726</v>
      </c>
      <c r="AD240" s="207" t="s">
        <v>2726</v>
      </c>
      <c r="AE240" s="207" t="s">
        <v>2726</v>
      </c>
      <c r="AF240" s="207" t="s">
        <v>2726</v>
      </c>
      <c r="AG240" s="207" t="s">
        <v>2726</v>
      </c>
      <c r="AH240" s="207" t="s">
        <v>2726</v>
      </c>
      <c r="AI240" s="207" t="s">
        <v>1242</v>
      </c>
      <c r="AJ240" s="207" t="s">
        <v>2726</v>
      </c>
      <c r="AK240" s="207" t="s">
        <v>3039</v>
      </c>
    </row>
    <row r="241" spans="1:37" x14ac:dyDescent="0.25">
      <c r="A241" s="207" t="s">
        <v>3041</v>
      </c>
      <c r="B241" s="207">
        <v>0</v>
      </c>
      <c r="C241" s="207" t="s">
        <v>2726</v>
      </c>
      <c r="D241" s="207" t="s">
        <v>2726</v>
      </c>
      <c r="E241" s="207" t="s">
        <v>3042</v>
      </c>
      <c r="F241" s="207" t="s">
        <v>2728</v>
      </c>
      <c r="G241" s="207" t="s">
        <v>2726</v>
      </c>
      <c r="H241" s="207">
        <v>60</v>
      </c>
      <c r="I241" s="207" t="s">
        <v>2737</v>
      </c>
      <c r="J241" s="207" t="s">
        <v>2897</v>
      </c>
      <c r="K241" s="207" t="s">
        <v>2726</v>
      </c>
      <c r="L241" s="207" t="s">
        <v>2726</v>
      </c>
      <c r="M241" s="207" t="s">
        <v>2898</v>
      </c>
      <c r="N241" s="207" t="s">
        <v>2726</v>
      </c>
      <c r="O241" s="207" t="s">
        <v>2726</v>
      </c>
      <c r="P241" s="207" t="s">
        <v>2739</v>
      </c>
      <c r="Q241" s="207" t="s">
        <v>2733</v>
      </c>
      <c r="R241" s="207">
        <v>121</v>
      </c>
      <c r="S241" s="207" t="s">
        <v>2726</v>
      </c>
      <c r="T241" s="207" t="s">
        <v>1239</v>
      </c>
      <c r="U241" s="207" t="s">
        <v>2899</v>
      </c>
      <c r="V241" s="207" t="s">
        <v>2726</v>
      </c>
      <c r="W241" s="207" t="s">
        <v>2741</v>
      </c>
      <c r="X241" s="207">
        <v>17612</v>
      </c>
      <c r="Y241" s="207" t="s">
        <v>100</v>
      </c>
      <c r="Z241" s="207" t="s">
        <v>2726</v>
      </c>
      <c r="AA241" s="207" t="s">
        <v>2726</v>
      </c>
      <c r="AB241" s="207" t="s">
        <v>2726</v>
      </c>
      <c r="AC241" s="207" t="s">
        <v>2726</v>
      </c>
      <c r="AD241" s="207" t="s">
        <v>2726</v>
      </c>
      <c r="AE241" s="207" t="s">
        <v>2726</v>
      </c>
      <c r="AF241" s="207" t="s">
        <v>2726</v>
      </c>
      <c r="AG241" s="207" t="s">
        <v>2726</v>
      </c>
      <c r="AH241" s="207" t="s">
        <v>2726</v>
      </c>
      <c r="AI241" s="207" t="s">
        <v>1247</v>
      </c>
      <c r="AJ241" s="207" t="s">
        <v>2726</v>
      </c>
      <c r="AK241" s="207" t="s">
        <v>3042</v>
      </c>
    </row>
    <row r="242" spans="1:37" x14ac:dyDescent="0.25">
      <c r="A242" s="207" t="s">
        <v>3043</v>
      </c>
      <c r="B242" s="207">
        <v>0</v>
      </c>
      <c r="C242" s="207" t="s">
        <v>2726</v>
      </c>
      <c r="D242" s="207" t="s">
        <v>2726</v>
      </c>
      <c r="E242" s="207" t="s">
        <v>3042</v>
      </c>
      <c r="F242" s="207" t="s">
        <v>2728</v>
      </c>
      <c r="G242" s="207" t="s">
        <v>2726</v>
      </c>
      <c r="H242" s="207">
        <v>60</v>
      </c>
      <c r="I242" s="207" t="s">
        <v>2737</v>
      </c>
      <c r="J242" s="207" t="s">
        <v>2897</v>
      </c>
      <c r="K242" s="207" t="s">
        <v>2726</v>
      </c>
      <c r="L242" s="207" t="s">
        <v>2726</v>
      </c>
      <c r="M242" s="207" t="s">
        <v>2898</v>
      </c>
      <c r="N242" s="207" t="s">
        <v>2726</v>
      </c>
      <c r="O242" s="207" t="s">
        <v>2726</v>
      </c>
      <c r="P242" s="207" t="s">
        <v>2739</v>
      </c>
      <c r="Q242" s="207" t="s">
        <v>2733</v>
      </c>
      <c r="R242" s="207">
        <v>121</v>
      </c>
      <c r="S242" s="207" t="s">
        <v>2726</v>
      </c>
      <c r="T242" s="207" t="s">
        <v>1239</v>
      </c>
      <c r="U242" s="207" t="s">
        <v>2899</v>
      </c>
      <c r="V242" s="207" t="s">
        <v>2726</v>
      </c>
      <c r="W242" s="207" t="s">
        <v>629</v>
      </c>
      <c r="X242" s="207">
        <v>-17612</v>
      </c>
      <c r="Y242" s="207" t="s">
        <v>102</v>
      </c>
      <c r="Z242" s="207" t="s">
        <v>2726</v>
      </c>
      <c r="AA242" s="207" t="s">
        <v>2726</v>
      </c>
      <c r="AB242" s="207" t="s">
        <v>2726</v>
      </c>
      <c r="AC242" s="207" t="s">
        <v>2726</v>
      </c>
      <c r="AD242" s="207" t="s">
        <v>2726</v>
      </c>
      <c r="AE242" s="207" t="s">
        <v>2726</v>
      </c>
      <c r="AF242" s="207" t="s">
        <v>2726</v>
      </c>
      <c r="AG242" s="207" t="s">
        <v>2726</v>
      </c>
      <c r="AH242" s="207" t="s">
        <v>2726</v>
      </c>
      <c r="AI242" s="207" t="s">
        <v>1248</v>
      </c>
      <c r="AJ242" s="207" t="s">
        <v>2726</v>
      </c>
      <c r="AK242" s="207" t="s">
        <v>3042</v>
      </c>
    </row>
    <row r="243" spans="1:37" x14ac:dyDescent="0.25">
      <c r="A243" s="207" t="s">
        <v>3044</v>
      </c>
      <c r="B243" s="207">
        <v>0</v>
      </c>
      <c r="C243" s="207" t="s">
        <v>2726</v>
      </c>
      <c r="D243" s="207" t="s">
        <v>2726</v>
      </c>
      <c r="E243" s="207" t="s">
        <v>3045</v>
      </c>
      <c r="F243" s="207" t="s">
        <v>2728</v>
      </c>
      <c r="G243" s="207" t="s">
        <v>2726</v>
      </c>
      <c r="H243" s="207">
        <v>60</v>
      </c>
      <c r="I243" s="207" t="s">
        <v>2922</v>
      </c>
      <c r="J243" s="207" t="s">
        <v>3046</v>
      </c>
      <c r="K243" s="207" t="s">
        <v>2726</v>
      </c>
      <c r="L243" s="207" t="s">
        <v>2726</v>
      </c>
      <c r="M243" s="207" t="s">
        <v>2770</v>
      </c>
      <c r="N243" s="207" t="s">
        <v>2726</v>
      </c>
      <c r="O243" s="207" t="s">
        <v>2726</v>
      </c>
      <c r="P243" s="207" t="s">
        <v>2739</v>
      </c>
      <c r="Q243" s="207" t="s">
        <v>2733</v>
      </c>
      <c r="R243" s="207">
        <v>221</v>
      </c>
      <c r="S243" s="207" t="s">
        <v>2726</v>
      </c>
      <c r="T243" s="207" t="s">
        <v>1239</v>
      </c>
      <c r="U243" s="207" t="s">
        <v>2822</v>
      </c>
      <c r="V243" s="207" t="s">
        <v>2726</v>
      </c>
      <c r="W243" s="207" t="s">
        <v>629</v>
      </c>
      <c r="X243" s="207">
        <v>-1250400</v>
      </c>
      <c r="Y243" s="207" t="s">
        <v>283</v>
      </c>
      <c r="Z243" s="207" t="s">
        <v>2726</v>
      </c>
      <c r="AA243" s="207" t="s">
        <v>2726</v>
      </c>
      <c r="AB243" s="207" t="s">
        <v>2726</v>
      </c>
      <c r="AC243" s="207" t="s">
        <v>2726</v>
      </c>
      <c r="AD243" s="207" t="s">
        <v>2726</v>
      </c>
      <c r="AE243" s="207" t="s">
        <v>2726</v>
      </c>
      <c r="AF243" s="207" t="s">
        <v>2726</v>
      </c>
      <c r="AG243" s="207" t="s">
        <v>2726</v>
      </c>
      <c r="AH243" s="207" t="s">
        <v>2726</v>
      </c>
      <c r="AI243" s="207" t="s">
        <v>1310</v>
      </c>
      <c r="AJ243" s="207" t="s">
        <v>2726</v>
      </c>
      <c r="AK243" s="207" t="s">
        <v>3045</v>
      </c>
    </row>
    <row r="244" spans="1:37" x14ac:dyDescent="0.25">
      <c r="A244" s="207" t="s">
        <v>3047</v>
      </c>
      <c r="B244" s="207">
        <v>0</v>
      </c>
      <c r="C244" s="207" t="s">
        <v>2726</v>
      </c>
      <c r="D244" s="207" t="s">
        <v>2726</v>
      </c>
      <c r="E244" s="207" t="s">
        <v>3045</v>
      </c>
      <c r="F244" s="207" t="s">
        <v>2728</v>
      </c>
      <c r="G244" s="207" t="s">
        <v>2726</v>
      </c>
      <c r="H244" s="207">
        <v>60</v>
      </c>
      <c r="I244" s="207" t="s">
        <v>2737</v>
      </c>
      <c r="J244" s="207" t="s">
        <v>3046</v>
      </c>
      <c r="K244" s="207" t="s">
        <v>2726</v>
      </c>
      <c r="L244" s="207" t="s">
        <v>2726</v>
      </c>
      <c r="M244" s="207" t="s">
        <v>2770</v>
      </c>
      <c r="N244" s="207" t="s">
        <v>2726</v>
      </c>
      <c r="O244" s="207" t="s">
        <v>2726</v>
      </c>
      <c r="P244" s="207" t="s">
        <v>2739</v>
      </c>
      <c r="Q244" s="207" t="s">
        <v>2733</v>
      </c>
      <c r="R244" s="207">
        <v>121</v>
      </c>
      <c r="S244" s="207" t="s">
        <v>2726</v>
      </c>
      <c r="T244" s="207" t="s">
        <v>1239</v>
      </c>
      <c r="U244" s="207" t="s">
        <v>2771</v>
      </c>
      <c r="V244" s="207" t="s">
        <v>2726</v>
      </c>
      <c r="W244" s="207" t="s">
        <v>2741</v>
      </c>
      <c r="X244" s="207">
        <v>1250400</v>
      </c>
      <c r="Y244" s="207" t="s">
        <v>152</v>
      </c>
      <c r="Z244" s="207" t="s">
        <v>2726</v>
      </c>
      <c r="AA244" s="207" t="s">
        <v>2726</v>
      </c>
      <c r="AB244" s="207" t="s">
        <v>2726</v>
      </c>
      <c r="AC244" s="207" t="s">
        <v>2726</v>
      </c>
      <c r="AD244" s="207" t="s">
        <v>2726</v>
      </c>
      <c r="AE244" s="207" t="s">
        <v>2726</v>
      </c>
      <c r="AF244" s="207" t="s">
        <v>2726</v>
      </c>
      <c r="AG244" s="207" t="s">
        <v>2726</v>
      </c>
      <c r="AH244" s="207" t="s">
        <v>2726</v>
      </c>
      <c r="AI244" s="207" t="s">
        <v>1311</v>
      </c>
      <c r="AJ244" s="207" t="s">
        <v>2726</v>
      </c>
      <c r="AK244" s="207" t="s">
        <v>3045</v>
      </c>
    </row>
    <row r="245" spans="1:37" x14ac:dyDescent="0.25">
      <c r="A245" s="207" t="s">
        <v>3048</v>
      </c>
      <c r="B245" s="207">
        <v>0</v>
      </c>
      <c r="C245" s="207" t="s">
        <v>2726</v>
      </c>
      <c r="D245" s="207" t="s">
        <v>2726</v>
      </c>
      <c r="E245" s="207" t="s">
        <v>3049</v>
      </c>
      <c r="F245" s="207" t="s">
        <v>2728</v>
      </c>
      <c r="G245" s="207" t="s">
        <v>2726</v>
      </c>
      <c r="H245" s="207">
        <v>60</v>
      </c>
      <c r="I245" s="207" t="s">
        <v>2737</v>
      </c>
      <c r="J245" s="207" t="s">
        <v>2894</v>
      </c>
      <c r="K245" s="207" t="s">
        <v>2726</v>
      </c>
      <c r="L245" s="207" t="s">
        <v>2726</v>
      </c>
      <c r="M245" s="207" t="s">
        <v>2738</v>
      </c>
      <c r="N245" s="207" t="s">
        <v>2726</v>
      </c>
      <c r="O245" s="207" t="s">
        <v>2726</v>
      </c>
      <c r="P245" s="207" t="s">
        <v>2739</v>
      </c>
      <c r="Q245" s="207" t="s">
        <v>2733</v>
      </c>
      <c r="R245" s="207">
        <v>121</v>
      </c>
      <c r="S245" s="207" t="s">
        <v>2726</v>
      </c>
      <c r="T245" s="207" t="s">
        <v>1262</v>
      </c>
      <c r="U245" s="207" t="s">
        <v>2740</v>
      </c>
      <c r="V245" s="207" t="s">
        <v>2726</v>
      </c>
      <c r="W245" s="207" t="s">
        <v>2741</v>
      </c>
      <c r="X245" s="207">
        <v>216497</v>
      </c>
      <c r="Y245" s="207" t="s">
        <v>66</v>
      </c>
      <c r="Z245" s="207" t="s">
        <v>2726</v>
      </c>
      <c r="AA245" s="207" t="s">
        <v>2726</v>
      </c>
      <c r="AB245" s="207" t="s">
        <v>2726</v>
      </c>
      <c r="AC245" s="207" t="s">
        <v>2726</v>
      </c>
      <c r="AD245" s="207" t="s">
        <v>2726</v>
      </c>
      <c r="AE245" s="207" t="s">
        <v>2726</v>
      </c>
      <c r="AF245" s="207" t="s">
        <v>2726</v>
      </c>
      <c r="AG245" s="207" t="s">
        <v>2726</v>
      </c>
      <c r="AH245" s="207" t="s">
        <v>2726</v>
      </c>
      <c r="AI245" s="207" t="s">
        <v>1303</v>
      </c>
      <c r="AJ245" s="207" t="s">
        <v>2726</v>
      </c>
      <c r="AK245" s="207" t="s">
        <v>3049</v>
      </c>
    </row>
    <row r="246" spans="1:37" x14ac:dyDescent="0.25">
      <c r="A246" s="207" t="s">
        <v>3050</v>
      </c>
      <c r="B246" s="207">
        <v>0</v>
      </c>
      <c r="C246" s="207" t="s">
        <v>2726</v>
      </c>
      <c r="D246" s="207" t="s">
        <v>2726</v>
      </c>
      <c r="E246" s="207" t="s">
        <v>3049</v>
      </c>
      <c r="F246" s="207" t="s">
        <v>2728</v>
      </c>
      <c r="G246" s="207" t="s">
        <v>2726</v>
      </c>
      <c r="H246" s="207">
        <v>60</v>
      </c>
      <c r="I246" s="207" t="s">
        <v>2737</v>
      </c>
      <c r="J246" s="207" t="s">
        <v>2894</v>
      </c>
      <c r="K246" s="207" t="s">
        <v>2726</v>
      </c>
      <c r="L246" s="207" t="s">
        <v>2726</v>
      </c>
      <c r="M246" s="207" t="s">
        <v>2738</v>
      </c>
      <c r="N246" s="207" t="s">
        <v>2726</v>
      </c>
      <c r="O246" s="207" t="s">
        <v>2726</v>
      </c>
      <c r="P246" s="207" t="s">
        <v>2739</v>
      </c>
      <c r="Q246" s="207" t="s">
        <v>2733</v>
      </c>
      <c r="R246" s="207">
        <v>121</v>
      </c>
      <c r="S246" s="207" t="s">
        <v>2726</v>
      </c>
      <c r="T246" s="207" t="s">
        <v>1239</v>
      </c>
      <c r="U246" s="207" t="s">
        <v>2740</v>
      </c>
      <c r="V246" s="207" t="s">
        <v>2726</v>
      </c>
      <c r="W246" s="207" t="s">
        <v>2741</v>
      </c>
      <c r="X246" s="207">
        <v>294502</v>
      </c>
      <c r="Y246" s="207" t="s">
        <v>84</v>
      </c>
      <c r="Z246" s="207" t="s">
        <v>2726</v>
      </c>
      <c r="AA246" s="207" t="s">
        <v>2726</v>
      </c>
      <c r="AB246" s="207" t="s">
        <v>2726</v>
      </c>
      <c r="AC246" s="207" t="s">
        <v>2726</v>
      </c>
      <c r="AD246" s="207" t="s">
        <v>2726</v>
      </c>
      <c r="AE246" s="207" t="s">
        <v>2726</v>
      </c>
      <c r="AF246" s="207" t="s">
        <v>2726</v>
      </c>
      <c r="AG246" s="207" t="s">
        <v>2726</v>
      </c>
      <c r="AH246" s="207" t="s">
        <v>2726</v>
      </c>
      <c r="AI246" s="207" t="s">
        <v>1300</v>
      </c>
      <c r="AJ246" s="207" t="s">
        <v>2726</v>
      </c>
      <c r="AK246" s="207" t="s">
        <v>3049</v>
      </c>
    </row>
    <row r="247" spans="1:37" x14ac:dyDescent="0.25">
      <c r="A247" s="207" t="s">
        <v>3051</v>
      </c>
      <c r="B247" s="207">
        <v>0</v>
      </c>
      <c r="C247" s="207" t="s">
        <v>2726</v>
      </c>
      <c r="D247" s="207" t="s">
        <v>2726</v>
      </c>
      <c r="E247" s="207" t="s">
        <v>3049</v>
      </c>
      <c r="F247" s="207" t="s">
        <v>2728</v>
      </c>
      <c r="G247" s="207" t="s">
        <v>2726</v>
      </c>
      <c r="H247" s="207">
        <v>60</v>
      </c>
      <c r="I247" s="207" t="s">
        <v>2737</v>
      </c>
      <c r="J247" s="207" t="s">
        <v>2894</v>
      </c>
      <c r="K247" s="207" t="s">
        <v>2726</v>
      </c>
      <c r="L247" s="207" t="s">
        <v>2726</v>
      </c>
      <c r="M247" s="207" t="s">
        <v>2738</v>
      </c>
      <c r="N247" s="207" t="s">
        <v>2726</v>
      </c>
      <c r="O247" s="207" t="s">
        <v>2726</v>
      </c>
      <c r="P247" s="207" t="s">
        <v>2739</v>
      </c>
      <c r="Q247" s="207" t="s">
        <v>2733</v>
      </c>
      <c r="R247" s="207">
        <v>121</v>
      </c>
      <c r="S247" s="207" t="s">
        <v>2726</v>
      </c>
      <c r="T247" s="207" t="s">
        <v>1239</v>
      </c>
      <c r="U247" s="207" t="s">
        <v>2740</v>
      </c>
      <c r="V247" s="207" t="s">
        <v>2726</v>
      </c>
      <c r="W247" s="207" t="s">
        <v>629</v>
      </c>
      <c r="X247" s="207">
        <v>-510999</v>
      </c>
      <c r="Y247" s="207" t="s">
        <v>59</v>
      </c>
      <c r="Z247" s="207" t="s">
        <v>2726</v>
      </c>
      <c r="AA247" s="207" t="s">
        <v>2726</v>
      </c>
      <c r="AB247" s="207" t="s">
        <v>2726</v>
      </c>
      <c r="AC247" s="207" t="s">
        <v>2726</v>
      </c>
      <c r="AD247" s="207" t="s">
        <v>2726</v>
      </c>
      <c r="AE247" s="207" t="s">
        <v>2726</v>
      </c>
      <c r="AF247" s="207" t="s">
        <v>2726</v>
      </c>
      <c r="AG247" s="207" t="s">
        <v>2726</v>
      </c>
      <c r="AH247" s="207" t="s">
        <v>2726</v>
      </c>
      <c r="AI247" s="207" t="s">
        <v>1242</v>
      </c>
      <c r="AJ247" s="207" t="s">
        <v>2726</v>
      </c>
      <c r="AK247" s="207" t="s">
        <v>3049</v>
      </c>
    </row>
    <row r="248" spans="1:37" x14ac:dyDescent="0.25">
      <c r="A248" s="207" t="s">
        <v>3052</v>
      </c>
      <c r="B248" s="207">
        <v>0</v>
      </c>
      <c r="C248" s="207" t="s">
        <v>2726</v>
      </c>
      <c r="D248" s="207" t="s">
        <v>2726</v>
      </c>
      <c r="E248" s="207" t="s">
        <v>3053</v>
      </c>
      <c r="F248" s="207" t="s">
        <v>2728</v>
      </c>
      <c r="G248" s="207" t="s">
        <v>2726</v>
      </c>
      <c r="H248" s="207">
        <v>60</v>
      </c>
      <c r="I248" s="207" t="s">
        <v>2737</v>
      </c>
      <c r="J248" s="207" t="s">
        <v>2894</v>
      </c>
      <c r="K248" s="207" t="s">
        <v>2726</v>
      </c>
      <c r="L248" s="207" t="s">
        <v>2726</v>
      </c>
      <c r="M248" s="207" t="s">
        <v>2770</v>
      </c>
      <c r="N248" s="207" t="s">
        <v>2726</v>
      </c>
      <c r="O248" s="207" t="s">
        <v>2726</v>
      </c>
      <c r="P248" s="207" t="s">
        <v>2739</v>
      </c>
      <c r="Q248" s="207" t="s">
        <v>2733</v>
      </c>
      <c r="R248" s="207">
        <v>121</v>
      </c>
      <c r="S248" s="207" t="s">
        <v>2726</v>
      </c>
      <c r="T248" s="207" t="s">
        <v>1239</v>
      </c>
      <c r="U248" s="207" t="s">
        <v>2771</v>
      </c>
      <c r="V248" s="207" t="s">
        <v>2726</v>
      </c>
      <c r="W248" s="207" t="s">
        <v>2741</v>
      </c>
      <c r="X248" s="207">
        <v>36720</v>
      </c>
      <c r="Y248" s="207" t="s">
        <v>76</v>
      </c>
      <c r="Z248" s="207" t="s">
        <v>2726</v>
      </c>
      <c r="AA248" s="207" t="s">
        <v>2726</v>
      </c>
      <c r="AB248" s="207" t="s">
        <v>2726</v>
      </c>
      <c r="AC248" s="207" t="s">
        <v>2726</v>
      </c>
      <c r="AD248" s="207" t="s">
        <v>2726</v>
      </c>
      <c r="AE248" s="207" t="s">
        <v>2726</v>
      </c>
      <c r="AF248" s="207" t="s">
        <v>2726</v>
      </c>
      <c r="AG248" s="207" t="s">
        <v>2726</v>
      </c>
      <c r="AH248" s="207" t="s">
        <v>2726</v>
      </c>
      <c r="AI248" s="207" t="s">
        <v>1258</v>
      </c>
      <c r="AJ248" s="207" t="s">
        <v>2726</v>
      </c>
      <c r="AK248" s="207" t="s">
        <v>3053</v>
      </c>
    </row>
    <row r="249" spans="1:37" x14ac:dyDescent="0.25">
      <c r="A249" s="207" t="s">
        <v>3054</v>
      </c>
      <c r="B249" s="207">
        <v>0</v>
      </c>
      <c r="C249" s="207" t="s">
        <v>2726</v>
      </c>
      <c r="D249" s="207" t="s">
        <v>2726</v>
      </c>
      <c r="E249" s="207" t="s">
        <v>3053</v>
      </c>
      <c r="F249" s="207" t="s">
        <v>2728</v>
      </c>
      <c r="G249" s="207" t="s">
        <v>2726</v>
      </c>
      <c r="H249" s="207">
        <v>60</v>
      </c>
      <c r="I249" s="207" t="s">
        <v>2737</v>
      </c>
      <c r="J249" s="207" t="s">
        <v>2894</v>
      </c>
      <c r="K249" s="207" t="s">
        <v>2726</v>
      </c>
      <c r="L249" s="207" t="s">
        <v>2726</v>
      </c>
      <c r="M249" s="207" t="s">
        <v>2770</v>
      </c>
      <c r="N249" s="207" t="s">
        <v>2726</v>
      </c>
      <c r="O249" s="207" t="s">
        <v>2726</v>
      </c>
      <c r="P249" s="207" t="s">
        <v>2739</v>
      </c>
      <c r="Q249" s="207" t="s">
        <v>2733</v>
      </c>
      <c r="R249" s="207">
        <v>121</v>
      </c>
      <c r="S249" s="207" t="s">
        <v>2726</v>
      </c>
      <c r="T249" s="207" t="s">
        <v>1239</v>
      </c>
      <c r="U249" s="207" t="s">
        <v>2771</v>
      </c>
      <c r="V249" s="207" t="s">
        <v>2726</v>
      </c>
      <c r="W249" s="207" t="s">
        <v>629</v>
      </c>
      <c r="X249" s="207">
        <v>-36720</v>
      </c>
      <c r="Y249" s="207" t="s">
        <v>59</v>
      </c>
      <c r="Z249" s="207" t="s">
        <v>2726</v>
      </c>
      <c r="AA249" s="207" t="s">
        <v>2726</v>
      </c>
      <c r="AB249" s="207" t="s">
        <v>2726</v>
      </c>
      <c r="AC249" s="207" t="s">
        <v>2726</v>
      </c>
      <c r="AD249" s="207" t="s">
        <v>2726</v>
      </c>
      <c r="AE249" s="207" t="s">
        <v>2726</v>
      </c>
      <c r="AF249" s="207" t="s">
        <v>2726</v>
      </c>
      <c r="AG249" s="207" t="s">
        <v>2726</v>
      </c>
      <c r="AH249" s="207" t="s">
        <v>2726</v>
      </c>
      <c r="AI249" s="207" t="s">
        <v>1242</v>
      </c>
      <c r="AJ249" s="207" t="s">
        <v>2726</v>
      </c>
      <c r="AK249" s="207" t="s">
        <v>3053</v>
      </c>
    </row>
    <row r="250" spans="1:37" x14ac:dyDescent="0.25">
      <c r="A250" s="207" t="s">
        <v>3055</v>
      </c>
      <c r="B250" s="207">
        <v>0</v>
      </c>
      <c r="C250" s="207" t="s">
        <v>2726</v>
      </c>
      <c r="D250" s="207" t="s">
        <v>2726</v>
      </c>
      <c r="E250" s="207" t="s">
        <v>3056</v>
      </c>
      <c r="F250" s="207" t="s">
        <v>2728</v>
      </c>
      <c r="G250" s="207" t="s">
        <v>2726</v>
      </c>
      <c r="H250" s="207">
        <v>60</v>
      </c>
      <c r="I250" s="207" t="s">
        <v>2737</v>
      </c>
      <c r="J250" s="207" t="s">
        <v>2894</v>
      </c>
      <c r="K250" s="207" t="s">
        <v>2726</v>
      </c>
      <c r="L250" s="207" t="s">
        <v>2726</v>
      </c>
      <c r="M250" s="207" t="s">
        <v>2770</v>
      </c>
      <c r="N250" s="207" t="s">
        <v>2726</v>
      </c>
      <c r="O250" s="207" t="s">
        <v>2726</v>
      </c>
      <c r="P250" s="207" t="s">
        <v>2739</v>
      </c>
      <c r="Q250" s="207" t="s">
        <v>2733</v>
      </c>
      <c r="R250" s="207">
        <v>121</v>
      </c>
      <c r="S250" s="207" t="s">
        <v>2726</v>
      </c>
      <c r="T250" s="207" t="s">
        <v>1239</v>
      </c>
      <c r="U250" s="207" t="s">
        <v>2771</v>
      </c>
      <c r="V250" s="207" t="s">
        <v>2726</v>
      </c>
      <c r="W250" s="207" t="s">
        <v>2741</v>
      </c>
      <c r="X250" s="207">
        <v>70000</v>
      </c>
      <c r="Y250" s="207" t="s">
        <v>129</v>
      </c>
      <c r="Z250" s="207" t="s">
        <v>2726</v>
      </c>
      <c r="AA250" s="207" t="s">
        <v>2726</v>
      </c>
      <c r="AB250" s="207" t="s">
        <v>2726</v>
      </c>
      <c r="AC250" s="207" t="s">
        <v>2726</v>
      </c>
      <c r="AD250" s="207" t="s">
        <v>2726</v>
      </c>
      <c r="AE250" s="207" t="s">
        <v>2726</v>
      </c>
      <c r="AF250" s="207" t="s">
        <v>2726</v>
      </c>
      <c r="AG250" s="207" t="s">
        <v>2726</v>
      </c>
      <c r="AH250" s="207" t="s">
        <v>2726</v>
      </c>
      <c r="AI250" s="207" t="s">
        <v>1252</v>
      </c>
      <c r="AJ250" s="207" t="s">
        <v>2726</v>
      </c>
      <c r="AK250" s="207" t="s">
        <v>3056</v>
      </c>
    </row>
    <row r="251" spans="1:37" x14ac:dyDescent="0.25">
      <c r="A251" s="207" t="s">
        <v>3057</v>
      </c>
      <c r="B251" s="207">
        <v>0</v>
      </c>
      <c r="C251" s="207" t="s">
        <v>2726</v>
      </c>
      <c r="D251" s="207" t="s">
        <v>2726</v>
      </c>
      <c r="E251" s="207" t="s">
        <v>3056</v>
      </c>
      <c r="F251" s="207" t="s">
        <v>2728</v>
      </c>
      <c r="G251" s="207" t="s">
        <v>2726</v>
      </c>
      <c r="H251" s="207">
        <v>60</v>
      </c>
      <c r="I251" s="207" t="s">
        <v>2737</v>
      </c>
      <c r="J251" s="207" t="s">
        <v>2894</v>
      </c>
      <c r="K251" s="207" t="s">
        <v>2726</v>
      </c>
      <c r="L251" s="207" t="s">
        <v>2726</v>
      </c>
      <c r="M251" s="207" t="s">
        <v>2770</v>
      </c>
      <c r="N251" s="207" t="s">
        <v>2726</v>
      </c>
      <c r="O251" s="207" t="s">
        <v>2726</v>
      </c>
      <c r="P251" s="207" t="s">
        <v>2739</v>
      </c>
      <c r="Q251" s="207" t="s">
        <v>2733</v>
      </c>
      <c r="R251" s="207">
        <v>121</v>
      </c>
      <c r="S251" s="207" t="s">
        <v>2726</v>
      </c>
      <c r="T251" s="207" t="s">
        <v>1239</v>
      </c>
      <c r="U251" s="207" t="s">
        <v>2771</v>
      </c>
      <c r="V251" s="207" t="s">
        <v>2726</v>
      </c>
      <c r="W251" s="207" t="s">
        <v>629</v>
      </c>
      <c r="X251" s="207">
        <v>-70000</v>
      </c>
      <c r="Y251" s="207" t="s">
        <v>181</v>
      </c>
      <c r="Z251" s="207" t="s">
        <v>2726</v>
      </c>
      <c r="AA251" s="207" t="s">
        <v>2726</v>
      </c>
      <c r="AB251" s="207" t="s">
        <v>2726</v>
      </c>
      <c r="AC251" s="207" t="s">
        <v>2726</v>
      </c>
      <c r="AD251" s="207" t="s">
        <v>2726</v>
      </c>
      <c r="AE251" s="207" t="s">
        <v>2726</v>
      </c>
      <c r="AF251" s="207" t="s">
        <v>2726</v>
      </c>
      <c r="AG251" s="207" t="s">
        <v>2726</v>
      </c>
      <c r="AH251" s="207" t="s">
        <v>2726</v>
      </c>
      <c r="AI251" s="207" t="s">
        <v>1283</v>
      </c>
      <c r="AJ251" s="207" t="s">
        <v>2726</v>
      </c>
      <c r="AK251" s="207" t="s">
        <v>3056</v>
      </c>
    </row>
    <row r="252" spans="1:37" x14ac:dyDescent="0.25">
      <c r="A252" s="207" t="s">
        <v>3058</v>
      </c>
      <c r="B252" s="207">
        <v>0</v>
      </c>
      <c r="C252" s="207" t="s">
        <v>2726</v>
      </c>
      <c r="D252" s="207" t="s">
        <v>2726</v>
      </c>
      <c r="E252" s="207" t="s">
        <v>3059</v>
      </c>
      <c r="F252" s="207" t="s">
        <v>2728</v>
      </c>
      <c r="G252" s="207" t="s">
        <v>2726</v>
      </c>
      <c r="H252" s="207">
        <v>60</v>
      </c>
      <c r="I252" s="207" t="s">
        <v>2737</v>
      </c>
      <c r="J252" s="207" t="s">
        <v>2897</v>
      </c>
      <c r="K252" s="207" t="s">
        <v>2726</v>
      </c>
      <c r="L252" s="207" t="s">
        <v>2726</v>
      </c>
      <c r="M252" s="207" t="s">
        <v>2851</v>
      </c>
      <c r="N252" s="207" t="s">
        <v>2726</v>
      </c>
      <c r="O252" s="207" t="s">
        <v>2726</v>
      </c>
      <c r="P252" s="207" t="s">
        <v>2739</v>
      </c>
      <c r="Q252" s="207" t="s">
        <v>2733</v>
      </c>
      <c r="R252" s="207">
        <v>121</v>
      </c>
      <c r="S252" s="207" t="s">
        <v>2726</v>
      </c>
      <c r="T252" s="207" t="s">
        <v>1239</v>
      </c>
      <c r="U252" s="207" t="s">
        <v>2852</v>
      </c>
      <c r="V252" s="207" t="s">
        <v>2726</v>
      </c>
      <c r="W252" s="207" t="s">
        <v>2741</v>
      </c>
      <c r="X252" s="207">
        <v>1333</v>
      </c>
      <c r="Y252" s="207" t="s">
        <v>90</v>
      </c>
      <c r="Z252" s="207" t="s">
        <v>2726</v>
      </c>
      <c r="AA252" s="207" t="s">
        <v>2726</v>
      </c>
      <c r="AB252" s="207" t="s">
        <v>2726</v>
      </c>
      <c r="AC252" s="207" t="s">
        <v>2726</v>
      </c>
      <c r="AD252" s="207" t="s">
        <v>2726</v>
      </c>
      <c r="AE252" s="207" t="s">
        <v>2726</v>
      </c>
      <c r="AF252" s="207" t="s">
        <v>2726</v>
      </c>
      <c r="AG252" s="207" t="s">
        <v>2726</v>
      </c>
      <c r="AH252" s="207" t="s">
        <v>2726</v>
      </c>
      <c r="AI252" s="207" t="s">
        <v>1281</v>
      </c>
      <c r="AJ252" s="207" t="s">
        <v>2726</v>
      </c>
      <c r="AK252" s="207" t="s">
        <v>3059</v>
      </c>
    </row>
    <row r="253" spans="1:37" x14ac:dyDescent="0.25">
      <c r="A253" s="207" t="s">
        <v>3060</v>
      </c>
      <c r="B253" s="207">
        <v>0</v>
      </c>
      <c r="C253" s="207" t="s">
        <v>2726</v>
      </c>
      <c r="D253" s="207" t="s">
        <v>2726</v>
      </c>
      <c r="E253" s="207" t="s">
        <v>3061</v>
      </c>
      <c r="F253" s="207" t="s">
        <v>2728</v>
      </c>
      <c r="G253" s="207" t="s">
        <v>2726</v>
      </c>
      <c r="H253" s="207">
        <v>60</v>
      </c>
      <c r="I253" s="207" t="s">
        <v>2737</v>
      </c>
      <c r="J253" s="207" t="s">
        <v>2897</v>
      </c>
      <c r="K253" s="207" t="s">
        <v>2726</v>
      </c>
      <c r="L253" s="207" t="s">
        <v>2726</v>
      </c>
      <c r="M253" s="207" t="s">
        <v>2770</v>
      </c>
      <c r="N253" s="207" t="s">
        <v>2726</v>
      </c>
      <c r="O253" s="207" t="s">
        <v>2726</v>
      </c>
      <c r="P253" s="207" t="s">
        <v>2739</v>
      </c>
      <c r="Q253" s="207" t="s">
        <v>2733</v>
      </c>
      <c r="R253" s="207">
        <v>121</v>
      </c>
      <c r="S253" s="207" t="s">
        <v>2726</v>
      </c>
      <c r="T253" s="207" t="s">
        <v>1239</v>
      </c>
      <c r="U253" s="207" t="s">
        <v>2771</v>
      </c>
      <c r="V253" s="207" t="s">
        <v>2726</v>
      </c>
      <c r="W253" s="207" t="s">
        <v>2741</v>
      </c>
      <c r="X253" s="207">
        <v>15000</v>
      </c>
      <c r="Y253" s="207" t="s">
        <v>64</v>
      </c>
      <c r="Z253" s="207" t="s">
        <v>2726</v>
      </c>
      <c r="AA253" s="207" t="s">
        <v>2726</v>
      </c>
      <c r="AB253" s="207" t="s">
        <v>2726</v>
      </c>
      <c r="AC253" s="207" t="s">
        <v>2726</v>
      </c>
      <c r="AD253" s="207" t="s">
        <v>2726</v>
      </c>
      <c r="AE253" s="207" t="s">
        <v>2726</v>
      </c>
      <c r="AF253" s="207" t="s">
        <v>2726</v>
      </c>
      <c r="AG253" s="207" t="s">
        <v>2726</v>
      </c>
      <c r="AH253" s="207" t="s">
        <v>2726</v>
      </c>
      <c r="AI253" s="207" t="s">
        <v>1304</v>
      </c>
      <c r="AJ253" s="207" t="s">
        <v>2726</v>
      </c>
      <c r="AK253" s="207" t="s">
        <v>3061</v>
      </c>
    </row>
    <row r="254" spans="1:37" x14ac:dyDescent="0.25">
      <c r="A254" s="207" t="s">
        <v>3062</v>
      </c>
      <c r="B254" s="207">
        <v>0</v>
      </c>
      <c r="C254" s="207" t="s">
        <v>2726</v>
      </c>
      <c r="D254" s="207" t="s">
        <v>2726</v>
      </c>
      <c r="E254" s="207" t="s">
        <v>3059</v>
      </c>
      <c r="F254" s="207" t="s">
        <v>2728</v>
      </c>
      <c r="G254" s="207" t="s">
        <v>2726</v>
      </c>
      <c r="H254" s="207">
        <v>60</v>
      </c>
      <c r="I254" s="207" t="s">
        <v>2737</v>
      </c>
      <c r="J254" s="207" t="s">
        <v>2897</v>
      </c>
      <c r="K254" s="207" t="s">
        <v>2726</v>
      </c>
      <c r="L254" s="207" t="s">
        <v>2726</v>
      </c>
      <c r="M254" s="207" t="s">
        <v>2851</v>
      </c>
      <c r="N254" s="207" t="s">
        <v>2726</v>
      </c>
      <c r="O254" s="207" t="s">
        <v>2726</v>
      </c>
      <c r="P254" s="207" t="s">
        <v>2739</v>
      </c>
      <c r="Q254" s="207" t="s">
        <v>2733</v>
      </c>
      <c r="R254" s="207">
        <v>121</v>
      </c>
      <c r="S254" s="207" t="s">
        <v>2726</v>
      </c>
      <c r="T254" s="207" t="s">
        <v>1239</v>
      </c>
      <c r="U254" s="207" t="s">
        <v>2852</v>
      </c>
      <c r="V254" s="207" t="s">
        <v>2726</v>
      </c>
      <c r="W254" s="207" t="s">
        <v>629</v>
      </c>
      <c r="X254" s="207">
        <v>-1333</v>
      </c>
      <c r="Y254" s="207" t="s">
        <v>96</v>
      </c>
      <c r="Z254" s="207" t="s">
        <v>2726</v>
      </c>
      <c r="AA254" s="207" t="s">
        <v>2726</v>
      </c>
      <c r="AB254" s="207" t="s">
        <v>2726</v>
      </c>
      <c r="AC254" s="207" t="s">
        <v>2726</v>
      </c>
      <c r="AD254" s="207" t="s">
        <v>2726</v>
      </c>
      <c r="AE254" s="207" t="s">
        <v>2726</v>
      </c>
      <c r="AF254" s="207" t="s">
        <v>2726</v>
      </c>
      <c r="AG254" s="207" t="s">
        <v>2726</v>
      </c>
      <c r="AH254" s="207" t="s">
        <v>2726</v>
      </c>
      <c r="AI254" s="207" t="s">
        <v>1240</v>
      </c>
      <c r="AJ254" s="207" t="s">
        <v>2726</v>
      </c>
      <c r="AK254" s="207" t="s">
        <v>3059</v>
      </c>
    </row>
    <row r="255" spans="1:37" x14ac:dyDescent="0.25">
      <c r="A255" s="207" t="s">
        <v>3063</v>
      </c>
      <c r="B255" s="207">
        <v>0</v>
      </c>
      <c r="C255" s="207" t="s">
        <v>2726</v>
      </c>
      <c r="D255" s="207" t="s">
        <v>2726</v>
      </c>
      <c r="E255" s="207" t="s">
        <v>3061</v>
      </c>
      <c r="F255" s="207" t="s">
        <v>2728</v>
      </c>
      <c r="G255" s="207" t="s">
        <v>2726</v>
      </c>
      <c r="H255" s="207">
        <v>60</v>
      </c>
      <c r="I255" s="207" t="s">
        <v>2737</v>
      </c>
      <c r="J255" s="207" t="s">
        <v>2897</v>
      </c>
      <c r="K255" s="207" t="s">
        <v>2726</v>
      </c>
      <c r="L255" s="207" t="s">
        <v>2726</v>
      </c>
      <c r="M255" s="207" t="s">
        <v>2770</v>
      </c>
      <c r="N255" s="207" t="s">
        <v>2726</v>
      </c>
      <c r="O255" s="207" t="s">
        <v>2726</v>
      </c>
      <c r="P255" s="207" t="s">
        <v>2739</v>
      </c>
      <c r="Q255" s="207" t="s">
        <v>2733</v>
      </c>
      <c r="R255" s="207">
        <v>121</v>
      </c>
      <c r="S255" s="207" t="s">
        <v>2726</v>
      </c>
      <c r="T255" s="207" t="s">
        <v>1239</v>
      </c>
      <c r="U255" s="207" t="s">
        <v>2771</v>
      </c>
      <c r="V255" s="207" t="s">
        <v>2726</v>
      </c>
      <c r="W255" s="207" t="s">
        <v>2741</v>
      </c>
      <c r="X255" s="207">
        <v>25650</v>
      </c>
      <c r="Y255" s="207" t="s">
        <v>76</v>
      </c>
      <c r="Z255" s="207" t="s">
        <v>2726</v>
      </c>
      <c r="AA255" s="207" t="s">
        <v>2726</v>
      </c>
      <c r="AB255" s="207" t="s">
        <v>2726</v>
      </c>
      <c r="AC255" s="207" t="s">
        <v>2726</v>
      </c>
      <c r="AD255" s="207" t="s">
        <v>2726</v>
      </c>
      <c r="AE255" s="207" t="s">
        <v>2726</v>
      </c>
      <c r="AF255" s="207" t="s">
        <v>2726</v>
      </c>
      <c r="AG255" s="207" t="s">
        <v>2726</v>
      </c>
      <c r="AH255" s="207" t="s">
        <v>2726</v>
      </c>
      <c r="AI255" s="207" t="s">
        <v>1258</v>
      </c>
      <c r="AJ255" s="207" t="s">
        <v>2726</v>
      </c>
      <c r="AK255" s="207" t="s">
        <v>3061</v>
      </c>
    </row>
    <row r="256" spans="1:37" x14ac:dyDescent="0.25">
      <c r="A256" s="207" t="s">
        <v>3064</v>
      </c>
      <c r="B256" s="207">
        <v>0</v>
      </c>
      <c r="C256" s="207" t="s">
        <v>2726</v>
      </c>
      <c r="D256" s="207" t="s">
        <v>2726</v>
      </c>
      <c r="E256" s="207" t="s">
        <v>3061</v>
      </c>
      <c r="F256" s="207" t="s">
        <v>2728</v>
      </c>
      <c r="G256" s="207" t="s">
        <v>2726</v>
      </c>
      <c r="H256" s="207">
        <v>60</v>
      </c>
      <c r="I256" s="207" t="s">
        <v>2737</v>
      </c>
      <c r="J256" s="207" t="s">
        <v>2897</v>
      </c>
      <c r="K256" s="207" t="s">
        <v>2726</v>
      </c>
      <c r="L256" s="207" t="s">
        <v>2726</v>
      </c>
      <c r="M256" s="207" t="s">
        <v>2770</v>
      </c>
      <c r="N256" s="207" t="s">
        <v>2726</v>
      </c>
      <c r="O256" s="207" t="s">
        <v>2726</v>
      </c>
      <c r="P256" s="207" t="s">
        <v>2739</v>
      </c>
      <c r="Q256" s="207" t="s">
        <v>2733</v>
      </c>
      <c r="R256" s="207">
        <v>121</v>
      </c>
      <c r="S256" s="207" t="s">
        <v>2726</v>
      </c>
      <c r="T256" s="207" t="s">
        <v>1239</v>
      </c>
      <c r="U256" s="207" t="s">
        <v>2771</v>
      </c>
      <c r="V256" s="207" t="s">
        <v>2726</v>
      </c>
      <c r="W256" s="207" t="s">
        <v>2741</v>
      </c>
      <c r="X256" s="207">
        <v>20148</v>
      </c>
      <c r="Y256" s="207" t="s">
        <v>84</v>
      </c>
      <c r="Z256" s="207" t="s">
        <v>2726</v>
      </c>
      <c r="AA256" s="207" t="s">
        <v>2726</v>
      </c>
      <c r="AB256" s="207" t="s">
        <v>2726</v>
      </c>
      <c r="AC256" s="207" t="s">
        <v>2726</v>
      </c>
      <c r="AD256" s="207" t="s">
        <v>2726</v>
      </c>
      <c r="AE256" s="207" t="s">
        <v>2726</v>
      </c>
      <c r="AF256" s="207" t="s">
        <v>2726</v>
      </c>
      <c r="AG256" s="207" t="s">
        <v>2726</v>
      </c>
      <c r="AH256" s="207" t="s">
        <v>2726</v>
      </c>
      <c r="AI256" s="207" t="s">
        <v>1300</v>
      </c>
      <c r="AJ256" s="207" t="s">
        <v>2726</v>
      </c>
      <c r="AK256" s="207" t="s">
        <v>3061</v>
      </c>
    </row>
    <row r="257" spans="1:37" x14ac:dyDescent="0.25">
      <c r="A257" s="207" t="s">
        <v>3065</v>
      </c>
      <c r="B257" s="207">
        <v>0</v>
      </c>
      <c r="C257" s="207" t="s">
        <v>2726</v>
      </c>
      <c r="D257" s="207" t="s">
        <v>2726</v>
      </c>
      <c r="E257" s="207" t="s">
        <v>3061</v>
      </c>
      <c r="F257" s="207" t="s">
        <v>2728</v>
      </c>
      <c r="G257" s="207" t="s">
        <v>2726</v>
      </c>
      <c r="H257" s="207">
        <v>60</v>
      </c>
      <c r="I257" s="207" t="s">
        <v>2737</v>
      </c>
      <c r="J257" s="207" t="s">
        <v>2897</v>
      </c>
      <c r="K257" s="207" t="s">
        <v>2726</v>
      </c>
      <c r="L257" s="207" t="s">
        <v>2726</v>
      </c>
      <c r="M257" s="207" t="s">
        <v>2770</v>
      </c>
      <c r="N257" s="207" t="s">
        <v>2726</v>
      </c>
      <c r="O257" s="207" t="s">
        <v>2726</v>
      </c>
      <c r="P257" s="207" t="s">
        <v>2739</v>
      </c>
      <c r="Q257" s="207" t="s">
        <v>2733</v>
      </c>
      <c r="R257" s="207">
        <v>121</v>
      </c>
      <c r="S257" s="207" t="s">
        <v>2726</v>
      </c>
      <c r="T257" s="207" t="s">
        <v>1239</v>
      </c>
      <c r="U257" s="207" t="s">
        <v>2771</v>
      </c>
      <c r="V257" s="207" t="s">
        <v>2726</v>
      </c>
      <c r="W257" s="207" t="s">
        <v>629</v>
      </c>
      <c r="X257" s="207">
        <v>-60798</v>
      </c>
      <c r="Y257" s="207" t="s">
        <v>59</v>
      </c>
      <c r="Z257" s="207" t="s">
        <v>2726</v>
      </c>
      <c r="AA257" s="207" t="s">
        <v>2726</v>
      </c>
      <c r="AB257" s="207" t="s">
        <v>2726</v>
      </c>
      <c r="AC257" s="207" t="s">
        <v>2726</v>
      </c>
      <c r="AD257" s="207" t="s">
        <v>2726</v>
      </c>
      <c r="AE257" s="207" t="s">
        <v>2726</v>
      </c>
      <c r="AF257" s="207" t="s">
        <v>2726</v>
      </c>
      <c r="AG257" s="207" t="s">
        <v>2726</v>
      </c>
      <c r="AH257" s="207" t="s">
        <v>2726</v>
      </c>
      <c r="AI257" s="207" t="s">
        <v>1242</v>
      </c>
      <c r="AJ257" s="207" t="s">
        <v>2726</v>
      </c>
      <c r="AK257" s="207" t="s">
        <v>3061</v>
      </c>
    </row>
    <row r="258" spans="1:37" x14ac:dyDescent="0.25">
      <c r="A258" s="207" t="s">
        <v>3066</v>
      </c>
      <c r="B258" s="207">
        <v>0</v>
      </c>
      <c r="C258" s="207" t="s">
        <v>2726</v>
      </c>
      <c r="D258" s="207" t="s">
        <v>2726</v>
      </c>
      <c r="E258" s="207" t="s">
        <v>3067</v>
      </c>
      <c r="F258" s="207" t="s">
        <v>2728</v>
      </c>
      <c r="G258" s="207" t="s">
        <v>2726</v>
      </c>
      <c r="H258" s="207">
        <v>60</v>
      </c>
      <c r="I258" s="207" t="s">
        <v>2737</v>
      </c>
      <c r="J258" s="207" t="s">
        <v>2872</v>
      </c>
      <c r="K258" s="207" t="s">
        <v>2726</v>
      </c>
      <c r="L258" s="207" t="s">
        <v>2726</v>
      </c>
      <c r="M258" s="207" t="s">
        <v>2770</v>
      </c>
      <c r="N258" s="207" t="s">
        <v>2726</v>
      </c>
      <c r="O258" s="207" t="s">
        <v>2726</v>
      </c>
      <c r="P258" s="207" t="s">
        <v>2739</v>
      </c>
      <c r="Q258" s="207" t="s">
        <v>2733</v>
      </c>
      <c r="R258" s="207">
        <v>121</v>
      </c>
      <c r="S258" s="207" t="s">
        <v>2726</v>
      </c>
      <c r="T258" s="207" t="s">
        <v>1239</v>
      </c>
      <c r="U258" s="207" t="s">
        <v>2771</v>
      </c>
      <c r="V258" s="207" t="s">
        <v>2726</v>
      </c>
      <c r="W258" s="207" t="s">
        <v>2741</v>
      </c>
      <c r="X258" s="207">
        <v>403600</v>
      </c>
      <c r="Y258" s="207" t="s">
        <v>88</v>
      </c>
      <c r="Z258" s="207" t="s">
        <v>2726</v>
      </c>
      <c r="AA258" s="207" t="s">
        <v>2726</v>
      </c>
      <c r="AB258" s="207" t="s">
        <v>2726</v>
      </c>
      <c r="AC258" s="207" t="s">
        <v>2726</v>
      </c>
      <c r="AD258" s="207" t="s">
        <v>2726</v>
      </c>
      <c r="AE258" s="207" t="s">
        <v>2726</v>
      </c>
      <c r="AF258" s="207" t="s">
        <v>2726</v>
      </c>
      <c r="AG258" s="207" t="s">
        <v>2726</v>
      </c>
      <c r="AH258" s="207" t="s">
        <v>2726</v>
      </c>
      <c r="AI258" s="207" t="s">
        <v>1245</v>
      </c>
      <c r="AJ258" s="207" t="s">
        <v>2726</v>
      </c>
      <c r="AK258" s="207" t="s">
        <v>3067</v>
      </c>
    </row>
    <row r="259" spans="1:37" x14ac:dyDescent="0.25">
      <c r="A259" s="207" t="s">
        <v>3068</v>
      </c>
      <c r="B259" s="207">
        <v>0</v>
      </c>
      <c r="C259" s="207" t="s">
        <v>2726</v>
      </c>
      <c r="D259" s="207" t="s">
        <v>2726</v>
      </c>
      <c r="E259" s="207" t="s">
        <v>3069</v>
      </c>
      <c r="F259" s="207" t="s">
        <v>2728</v>
      </c>
      <c r="G259" s="207" t="s">
        <v>2726</v>
      </c>
      <c r="H259" s="207">
        <v>60</v>
      </c>
      <c r="I259" s="207" t="s">
        <v>2737</v>
      </c>
      <c r="J259" s="207" t="s">
        <v>2872</v>
      </c>
      <c r="K259" s="207" t="s">
        <v>2726</v>
      </c>
      <c r="L259" s="207" t="s">
        <v>2726</v>
      </c>
      <c r="M259" s="207" t="s">
        <v>2851</v>
      </c>
      <c r="N259" s="207" t="s">
        <v>2726</v>
      </c>
      <c r="O259" s="207" t="s">
        <v>2726</v>
      </c>
      <c r="P259" s="207" t="s">
        <v>2739</v>
      </c>
      <c r="Q259" s="207" t="s">
        <v>2733</v>
      </c>
      <c r="R259" s="207">
        <v>121</v>
      </c>
      <c r="S259" s="207" t="s">
        <v>2726</v>
      </c>
      <c r="T259" s="207" t="s">
        <v>1239</v>
      </c>
      <c r="U259" s="207" t="s">
        <v>2852</v>
      </c>
      <c r="V259" s="207" t="s">
        <v>2726</v>
      </c>
      <c r="W259" s="207" t="s">
        <v>2741</v>
      </c>
      <c r="X259" s="207">
        <v>6324</v>
      </c>
      <c r="Y259" s="207" t="s">
        <v>96</v>
      </c>
      <c r="Z259" s="207" t="s">
        <v>2726</v>
      </c>
      <c r="AA259" s="207" t="s">
        <v>2726</v>
      </c>
      <c r="AB259" s="207" t="s">
        <v>2726</v>
      </c>
      <c r="AC259" s="207" t="s">
        <v>2726</v>
      </c>
      <c r="AD259" s="207" t="s">
        <v>2726</v>
      </c>
      <c r="AE259" s="207" t="s">
        <v>2726</v>
      </c>
      <c r="AF259" s="207" t="s">
        <v>2726</v>
      </c>
      <c r="AG259" s="207" t="s">
        <v>2726</v>
      </c>
      <c r="AH259" s="207" t="s">
        <v>2726</v>
      </c>
      <c r="AI259" s="207" t="s">
        <v>1240</v>
      </c>
      <c r="AJ259" s="207" t="s">
        <v>2726</v>
      </c>
      <c r="AK259" s="207" t="s">
        <v>3069</v>
      </c>
    </row>
    <row r="260" spans="1:37" x14ac:dyDescent="0.25">
      <c r="A260" s="207" t="s">
        <v>3070</v>
      </c>
      <c r="B260" s="207">
        <v>0</v>
      </c>
      <c r="C260" s="207" t="s">
        <v>2726</v>
      </c>
      <c r="D260" s="207" t="s">
        <v>2726</v>
      </c>
      <c r="E260" s="207" t="s">
        <v>3067</v>
      </c>
      <c r="F260" s="207" t="s">
        <v>2728</v>
      </c>
      <c r="G260" s="207" t="s">
        <v>2726</v>
      </c>
      <c r="H260" s="207">
        <v>60</v>
      </c>
      <c r="I260" s="207" t="s">
        <v>2737</v>
      </c>
      <c r="J260" s="207" t="s">
        <v>2872</v>
      </c>
      <c r="K260" s="207" t="s">
        <v>2726</v>
      </c>
      <c r="L260" s="207" t="s">
        <v>2726</v>
      </c>
      <c r="M260" s="207" t="s">
        <v>2770</v>
      </c>
      <c r="N260" s="207" t="s">
        <v>2726</v>
      </c>
      <c r="O260" s="207" t="s">
        <v>2726</v>
      </c>
      <c r="P260" s="207" t="s">
        <v>2739</v>
      </c>
      <c r="Q260" s="207" t="s">
        <v>2733</v>
      </c>
      <c r="R260" s="207">
        <v>121</v>
      </c>
      <c r="S260" s="207" t="s">
        <v>2726</v>
      </c>
      <c r="T260" s="207" t="s">
        <v>1239</v>
      </c>
      <c r="U260" s="207" t="s">
        <v>2771</v>
      </c>
      <c r="V260" s="207" t="s">
        <v>2726</v>
      </c>
      <c r="W260" s="207" t="s">
        <v>629</v>
      </c>
      <c r="X260" s="207">
        <v>-403600</v>
      </c>
      <c r="Y260" s="207" t="s">
        <v>59</v>
      </c>
      <c r="Z260" s="207" t="s">
        <v>2726</v>
      </c>
      <c r="AA260" s="207" t="s">
        <v>2726</v>
      </c>
      <c r="AB260" s="207" t="s">
        <v>2726</v>
      </c>
      <c r="AC260" s="207" t="s">
        <v>2726</v>
      </c>
      <c r="AD260" s="207" t="s">
        <v>2726</v>
      </c>
      <c r="AE260" s="207" t="s">
        <v>2726</v>
      </c>
      <c r="AF260" s="207" t="s">
        <v>2726</v>
      </c>
      <c r="AG260" s="207" t="s">
        <v>2726</v>
      </c>
      <c r="AH260" s="207" t="s">
        <v>2726</v>
      </c>
      <c r="AI260" s="207" t="s">
        <v>1242</v>
      </c>
      <c r="AJ260" s="207" t="s">
        <v>2726</v>
      </c>
      <c r="AK260" s="207" t="s">
        <v>3067</v>
      </c>
    </row>
    <row r="261" spans="1:37" x14ac:dyDescent="0.25">
      <c r="A261" s="207" t="s">
        <v>3071</v>
      </c>
      <c r="B261" s="207">
        <v>0</v>
      </c>
      <c r="C261" s="207" t="s">
        <v>2726</v>
      </c>
      <c r="D261" s="207" t="s">
        <v>2726</v>
      </c>
      <c r="E261" s="207" t="s">
        <v>3069</v>
      </c>
      <c r="F261" s="207" t="s">
        <v>2728</v>
      </c>
      <c r="G261" s="207" t="s">
        <v>2726</v>
      </c>
      <c r="H261" s="207">
        <v>60</v>
      </c>
      <c r="I261" s="207" t="s">
        <v>2737</v>
      </c>
      <c r="J261" s="207" t="s">
        <v>2872</v>
      </c>
      <c r="K261" s="207" t="s">
        <v>2726</v>
      </c>
      <c r="L261" s="207" t="s">
        <v>2726</v>
      </c>
      <c r="M261" s="207" t="s">
        <v>2851</v>
      </c>
      <c r="N261" s="207" t="s">
        <v>2726</v>
      </c>
      <c r="O261" s="207" t="s">
        <v>2726</v>
      </c>
      <c r="P261" s="207" t="s">
        <v>2739</v>
      </c>
      <c r="Q261" s="207" t="s">
        <v>2733</v>
      </c>
      <c r="R261" s="207">
        <v>121</v>
      </c>
      <c r="S261" s="207" t="s">
        <v>2726</v>
      </c>
      <c r="T261" s="207" t="s">
        <v>1239</v>
      </c>
      <c r="U261" s="207" t="s">
        <v>2852</v>
      </c>
      <c r="V261" s="207" t="s">
        <v>2726</v>
      </c>
      <c r="W261" s="207" t="s">
        <v>629</v>
      </c>
      <c r="X261" s="207">
        <v>-6324</v>
      </c>
      <c r="Y261" s="207" t="s">
        <v>121</v>
      </c>
      <c r="Z261" s="207" t="s">
        <v>2726</v>
      </c>
      <c r="AA261" s="207" t="s">
        <v>2726</v>
      </c>
      <c r="AB261" s="207" t="s">
        <v>2726</v>
      </c>
      <c r="AC261" s="207" t="s">
        <v>2726</v>
      </c>
      <c r="AD261" s="207" t="s">
        <v>2726</v>
      </c>
      <c r="AE261" s="207" t="s">
        <v>2726</v>
      </c>
      <c r="AF261" s="207" t="s">
        <v>2726</v>
      </c>
      <c r="AG261" s="207" t="s">
        <v>2726</v>
      </c>
      <c r="AH261" s="207" t="s">
        <v>2726</v>
      </c>
      <c r="AI261" s="207" t="s">
        <v>1268</v>
      </c>
      <c r="AJ261" s="207" t="s">
        <v>2726</v>
      </c>
      <c r="AK261" s="207" t="s">
        <v>3069</v>
      </c>
    </row>
    <row r="262" spans="1:37" x14ac:dyDescent="0.25">
      <c r="A262" s="207" t="s">
        <v>3072</v>
      </c>
      <c r="B262" s="207">
        <v>0</v>
      </c>
      <c r="C262" s="207" t="s">
        <v>2726</v>
      </c>
      <c r="D262" s="207" t="s">
        <v>2726</v>
      </c>
      <c r="E262" s="207" t="s">
        <v>3073</v>
      </c>
      <c r="F262" s="207" t="s">
        <v>2728</v>
      </c>
      <c r="G262" s="207" t="s">
        <v>2726</v>
      </c>
      <c r="H262" s="207">
        <v>60</v>
      </c>
      <c r="I262" s="207" t="s">
        <v>2737</v>
      </c>
      <c r="J262" s="207" t="s">
        <v>2897</v>
      </c>
      <c r="K262" s="207" t="s">
        <v>2726</v>
      </c>
      <c r="L262" s="207" t="s">
        <v>2726</v>
      </c>
      <c r="M262" s="207" t="s">
        <v>2770</v>
      </c>
      <c r="N262" s="207" t="s">
        <v>2726</v>
      </c>
      <c r="O262" s="207" t="s">
        <v>2726</v>
      </c>
      <c r="P262" s="207" t="s">
        <v>2739</v>
      </c>
      <c r="Q262" s="207" t="s">
        <v>2733</v>
      </c>
      <c r="R262" s="207">
        <v>121</v>
      </c>
      <c r="S262" s="207" t="s">
        <v>2726</v>
      </c>
      <c r="T262" s="207" t="s">
        <v>1239</v>
      </c>
      <c r="U262" s="207" t="s">
        <v>2771</v>
      </c>
      <c r="V262" s="207" t="s">
        <v>2726</v>
      </c>
      <c r="W262" s="207" t="s">
        <v>2741</v>
      </c>
      <c r="X262" s="207">
        <v>62527</v>
      </c>
      <c r="Y262" s="207" t="s">
        <v>88</v>
      </c>
      <c r="Z262" s="207" t="s">
        <v>2726</v>
      </c>
      <c r="AA262" s="207" t="s">
        <v>2726</v>
      </c>
      <c r="AB262" s="207" t="s">
        <v>2726</v>
      </c>
      <c r="AC262" s="207" t="s">
        <v>2726</v>
      </c>
      <c r="AD262" s="207" t="s">
        <v>2726</v>
      </c>
      <c r="AE262" s="207" t="s">
        <v>2726</v>
      </c>
      <c r="AF262" s="207" t="s">
        <v>2726</v>
      </c>
      <c r="AG262" s="207" t="s">
        <v>2726</v>
      </c>
      <c r="AH262" s="207" t="s">
        <v>2726</v>
      </c>
      <c r="AI262" s="207" t="s">
        <v>1245</v>
      </c>
      <c r="AJ262" s="207" t="s">
        <v>2726</v>
      </c>
      <c r="AK262" s="207" t="s">
        <v>3073</v>
      </c>
    </row>
    <row r="263" spans="1:37" x14ac:dyDescent="0.25">
      <c r="A263" s="207" t="s">
        <v>3074</v>
      </c>
      <c r="B263" s="207">
        <v>0</v>
      </c>
      <c r="C263" s="207" t="s">
        <v>2726</v>
      </c>
      <c r="D263" s="207" t="s">
        <v>2726</v>
      </c>
      <c r="E263" s="207" t="s">
        <v>3073</v>
      </c>
      <c r="F263" s="207" t="s">
        <v>2728</v>
      </c>
      <c r="G263" s="207" t="s">
        <v>2726</v>
      </c>
      <c r="H263" s="207">
        <v>60</v>
      </c>
      <c r="I263" s="207" t="s">
        <v>2737</v>
      </c>
      <c r="J263" s="207" t="s">
        <v>2897</v>
      </c>
      <c r="K263" s="207" t="s">
        <v>2726</v>
      </c>
      <c r="L263" s="207" t="s">
        <v>2726</v>
      </c>
      <c r="M263" s="207" t="s">
        <v>2770</v>
      </c>
      <c r="N263" s="207" t="s">
        <v>2726</v>
      </c>
      <c r="O263" s="207" t="s">
        <v>2726</v>
      </c>
      <c r="P263" s="207" t="s">
        <v>2739</v>
      </c>
      <c r="Q263" s="207" t="s">
        <v>2733</v>
      </c>
      <c r="R263" s="207">
        <v>121</v>
      </c>
      <c r="S263" s="207" t="s">
        <v>2726</v>
      </c>
      <c r="T263" s="207" t="s">
        <v>1239</v>
      </c>
      <c r="U263" s="207" t="s">
        <v>2771</v>
      </c>
      <c r="V263" s="207" t="s">
        <v>2726</v>
      </c>
      <c r="W263" s="207" t="s">
        <v>629</v>
      </c>
      <c r="X263" s="207">
        <v>-62527</v>
      </c>
      <c r="Y263" s="207" t="s">
        <v>59</v>
      </c>
      <c r="Z263" s="207" t="s">
        <v>2726</v>
      </c>
      <c r="AA263" s="207" t="s">
        <v>2726</v>
      </c>
      <c r="AB263" s="207" t="s">
        <v>2726</v>
      </c>
      <c r="AC263" s="207" t="s">
        <v>2726</v>
      </c>
      <c r="AD263" s="207" t="s">
        <v>2726</v>
      </c>
      <c r="AE263" s="207" t="s">
        <v>2726</v>
      </c>
      <c r="AF263" s="207" t="s">
        <v>2726</v>
      </c>
      <c r="AG263" s="207" t="s">
        <v>2726</v>
      </c>
      <c r="AH263" s="207" t="s">
        <v>2726</v>
      </c>
      <c r="AI263" s="207" t="s">
        <v>1242</v>
      </c>
      <c r="AJ263" s="207" t="s">
        <v>2726</v>
      </c>
      <c r="AK263" s="207" t="s">
        <v>3073</v>
      </c>
    </row>
    <row r="264" spans="1:37" x14ac:dyDescent="0.25">
      <c r="A264" s="207" t="s">
        <v>3075</v>
      </c>
      <c r="B264" s="207">
        <v>0</v>
      </c>
      <c r="C264" s="207" t="s">
        <v>2726</v>
      </c>
      <c r="D264" s="207" t="s">
        <v>2726</v>
      </c>
      <c r="E264" s="207" t="s">
        <v>3076</v>
      </c>
      <c r="F264" s="207" t="s">
        <v>2728</v>
      </c>
      <c r="G264" s="207" t="s">
        <v>2726</v>
      </c>
      <c r="H264" s="207">
        <v>60</v>
      </c>
      <c r="I264" s="207" t="s">
        <v>2737</v>
      </c>
      <c r="J264" s="207" t="s">
        <v>2872</v>
      </c>
      <c r="K264" s="207" t="s">
        <v>2726</v>
      </c>
      <c r="L264" s="207" t="s">
        <v>2726</v>
      </c>
      <c r="M264" s="207" t="s">
        <v>2731</v>
      </c>
      <c r="N264" s="207" t="s">
        <v>2726</v>
      </c>
      <c r="O264" s="207" t="s">
        <v>2726</v>
      </c>
      <c r="P264" s="207" t="s">
        <v>2739</v>
      </c>
      <c r="Q264" s="207" t="s">
        <v>2733</v>
      </c>
      <c r="R264" s="207">
        <v>121</v>
      </c>
      <c r="S264" s="207" t="s">
        <v>2726</v>
      </c>
      <c r="T264" s="207" t="s">
        <v>1239</v>
      </c>
      <c r="U264" s="207" t="s">
        <v>2745</v>
      </c>
      <c r="V264" s="207" t="s">
        <v>2726</v>
      </c>
      <c r="W264" s="207" t="s">
        <v>2741</v>
      </c>
      <c r="X264" s="207">
        <v>85</v>
      </c>
      <c r="Y264" s="207" t="s">
        <v>66</v>
      </c>
      <c r="Z264" s="207" t="s">
        <v>2726</v>
      </c>
      <c r="AA264" s="207" t="s">
        <v>2726</v>
      </c>
      <c r="AB264" s="207" t="s">
        <v>2726</v>
      </c>
      <c r="AC264" s="207" t="s">
        <v>2726</v>
      </c>
      <c r="AD264" s="207" t="s">
        <v>2726</v>
      </c>
      <c r="AE264" s="207" t="s">
        <v>2726</v>
      </c>
      <c r="AF264" s="207" t="s">
        <v>2726</v>
      </c>
      <c r="AG264" s="207" t="s">
        <v>2726</v>
      </c>
      <c r="AH264" s="207" t="s">
        <v>2726</v>
      </c>
      <c r="AI264" s="207" t="s">
        <v>1303</v>
      </c>
      <c r="AJ264" s="207" t="s">
        <v>2726</v>
      </c>
      <c r="AK264" s="207" t="s">
        <v>3076</v>
      </c>
    </row>
    <row r="265" spans="1:37" x14ac:dyDescent="0.25">
      <c r="A265" s="207" t="s">
        <v>3077</v>
      </c>
      <c r="B265" s="207">
        <v>0</v>
      </c>
      <c r="C265" s="207" t="s">
        <v>2726</v>
      </c>
      <c r="D265" s="207" t="s">
        <v>2726</v>
      </c>
      <c r="E265" s="207" t="s">
        <v>3076</v>
      </c>
      <c r="F265" s="207" t="s">
        <v>2728</v>
      </c>
      <c r="G265" s="207" t="s">
        <v>2726</v>
      </c>
      <c r="H265" s="207">
        <v>60</v>
      </c>
      <c r="I265" s="207" t="s">
        <v>2737</v>
      </c>
      <c r="J265" s="207" t="s">
        <v>2872</v>
      </c>
      <c r="K265" s="207" t="s">
        <v>2726</v>
      </c>
      <c r="L265" s="207" t="s">
        <v>2726</v>
      </c>
      <c r="M265" s="207" t="s">
        <v>2731</v>
      </c>
      <c r="N265" s="207" t="s">
        <v>2726</v>
      </c>
      <c r="O265" s="207" t="s">
        <v>2726</v>
      </c>
      <c r="P265" s="207" t="s">
        <v>2739</v>
      </c>
      <c r="Q265" s="207" t="s">
        <v>2733</v>
      </c>
      <c r="R265" s="207">
        <v>121</v>
      </c>
      <c r="S265" s="207" t="s">
        <v>2726</v>
      </c>
      <c r="T265" s="207" t="s">
        <v>1239</v>
      </c>
      <c r="U265" s="207" t="s">
        <v>2745</v>
      </c>
      <c r="V265" s="207" t="s">
        <v>2726</v>
      </c>
      <c r="W265" s="207" t="s">
        <v>629</v>
      </c>
      <c r="X265" s="207">
        <v>-85</v>
      </c>
      <c r="Y265" s="207" t="s">
        <v>59</v>
      </c>
      <c r="Z265" s="207" t="s">
        <v>2726</v>
      </c>
      <c r="AA265" s="207" t="s">
        <v>2726</v>
      </c>
      <c r="AB265" s="207" t="s">
        <v>2726</v>
      </c>
      <c r="AC265" s="207" t="s">
        <v>2726</v>
      </c>
      <c r="AD265" s="207" t="s">
        <v>2726</v>
      </c>
      <c r="AE265" s="207" t="s">
        <v>2726</v>
      </c>
      <c r="AF265" s="207" t="s">
        <v>2726</v>
      </c>
      <c r="AG265" s="207" t="s">
        <v>2726</v>
      </c>
      <c r="AH265" s="207" t="s">
        <v>2726</v>
      </c>
      <c r="AI265" s="207" t="s">
        <v>1242</v>
      </c>
      <c r="AJ265" s="207" t="s">
        <v>2726</v>
      </c>
      <c r="AK265" s="207" t="s">
        <v>3076</v>
      </c>
    </row>
    <row r="266" spans="1:37" x14ac:dyDescent="0.25">
      <c r="A266" s="207" t="s">
        <v>3078</v>
      </c>
      <c r="B266" s="207">
        <v>0</v>
      </c>
      <c r="C266" s="207" t="s">
        <v>2726</v>
      </c>
      <c r="D266" s="207" t="s">
        <v>2726</v>
      </c>
      <c r="E266" s="207" t="s">
        <v>3079</v>
      </c>
      <c r="F266" s="207" t="s">
        <v>2728</v>
      </c>
      <c r="G266" s="207" t="s">
        <v>2726</v>
      </c>
      <c r="H266" s="207">
        <v>60</v>
      </c>
      <c r="I266" s="207" t="s">
        <v>2737</v>
      </c>
      <c r="J266" s="207" t="s">
        <v>2897</v>
      </c>
      <c r="K266" s="207" t="s">
        <v>2726</v>
      </c>
      <c r="L266" s="207" t="s">
        <v>2726</v>
      </c>
      <c r="M266" s="207" t="s">
        <v>2770</v>
      </c>
      <c r="N266" s="207" t="s">
        <v>2726</v>
      </c>
      <c r="O266" s="207" t="s">
        <v>2726</v>
      </c>
      <c r="P266" s="207" t="s">
        <v>2739</v>
      </c>
      <c r="Q266" s="207" t="s">
        <v>2733</v>
      </c>
      <c r="R266" s="207">
        <v>121</v>
      </c>
      <c r="S266" s="207" t="s">
        <v>2726</v>
      </c>
      <c r="T266" s="207" t="s">
        <v>1239</v>
      </c>
      <c r="U266" s="207" t="s">
        <v>2771</v>
      </c>
      <c r="V266" s="207" t="s">
        <v>2726</v>
      </c>
      <c r="W266" s="207" t="s">
        <v>2741</v>
      </c>
      <c r="X266" s="207">
        <v>42424</v>
      </c>
      <c r="Y266" s="207" t="s">
        <v>90</v>
      </c>
      <c r="Z266" s="207" t="s">
        <v>2726</v>
      </c>
      <c r="AA266" s="207" t="s">
        <v>2726</v>
      </c>
      <c r="AB266" s="207" t="s">
        <v>2726</v>
      </c>
      <c r="AC266" s="207" t="s">
        <v>2726</v>
      </c>
      <c r="AD266" s="207" t="s">
        <v>2726</v>
      </c>
      <c r="AE266" s="207" t="s">
        <v>2726</v>
      </c>
      <c r="AF266" s="207" t="s">
        <v>2726</v>
      </c>
      <c r="AG266" s="207" t="s">
        <v>2726</v>
      </c>
      <c r="AH266" s="207" t="s">
        <v>2726</v>
      </c>
      <c r="AI266" s="207" t="s">
        <v>1281</v>
      </c>
      <c r="AJ266" s="207" t="s">
        <v>2726</v>
      </c>
      <c r="AK266" s="207" t="s">
        <v>3079</v>
      </c>
    </row>
    <row r="267" spans="1:37" x14ac:dyDescent="0.25">
      <c r="A267" s="207" t="s">
        <v>3080</v>
      </c>
      <c r="B267" s="207">
        <v>0</v>
      </c>
      <c r="C267" s="207" t="s">
        <v>2726</v>
      </c>
      <c r="D267" s="207" t="s">
        <v>2726</v>
      </c>
      <c r="E267" s="207" t="s">
        <v>3081</v>
      </c>
      <c r="F267" s="207" t="s">
        <v>2728</v>
      </c>
      <c r="G267" s="207" t="s">
        <v>2726</v>
      </c>
      <c r="H267" s="207">
        <v>60</v>
      </c>
      <c r="I267" s="207" t="s">
        <v>2737</v>
      </c>
      <c r="J267" s="207" t="s">
        <v>2897</v>
      </c>
      <c r="K267" s="207" t="s">
        <v>2726</v>
      </c>
      <c r="L267" s="207" t="s">
        <v>2726</v>
      </c>
      <c r="M267" s="207" t="s">
        <v>2770</v>
      </c>
      <c r="N267" s="207" t="s">
        <v>2726</v>
      </c>
      <c r="O267" s="207" t="s">
        <v>2726</v>
      </c>
      <c r="P267" s="207" t="s">
        <v>2739</v>
      </c>
      <c r="Q267" s="207" t="s">
        <v>3082</v>
      </c>
      <c r="R267" s="207">
        <v>121</v>
      </c>
      <c r="S267" s="207" t="s">
        <v>2726</v>
      </c>
      <c r="T267" s="207" t="s">
        <v>1239</v>
      </c>
      <c r="U267" s="207" t="s">
        <v>2771</v>
      </c>
      <c r="V267" s="207" t="s">
        <v>2726</v>
      </c>
      <c r="W267" s="207" t="s">
        <v>2741</v>
      </c>
      <c r="X267" s="207">
        <v>2262861</v>
      </c>
      <c r="Y267" s="207" t="s">
        <v>88</v>
      </c>
      <c r="Z267" s="207" t="s">
        <v>2726</v>
      </c>
      <c r="AA267" s="207" t="s">
        <v>2726</v>
      </c>
      <c r="AB267" s="207" t="s">
        <v>2726</v>
      </c>
      <c r="AC267" s="207" t="s">
        <v>2726</v>
      </c>
      <c r="AD267" s="207" t="s">
        <v>2726</v>
      </c>
      <c r="AE267" s="207" t="s">
        <v>2726</v>
      </c>
      <c r="AF267" s="207" t="s">
        <v>2726</v>
      </c>
      <c r="AG267" s="207" t="s">
        <v>2726</v>
      </c>
      <c r="AH267" s="207" t="s">
        <v>2726</v>
      </c>
      <c r="AI267" s="207" t="s">
        <v>1245</v>
      </c>
      <c r="AJ267" s="207" t="s">
        <v>2726</v>
      </c>
      <c r="AK267" s="207" t="s">
        <v>3081</v>
      </c>
    </row>
    <row r="268" spans="1:37" x14ac:dyDescent="0.25">
      <c r="A268" s="207" t="s">
        <v>3083</v>
      </c>
      <c r="B268" s="207">
        <v>0</v>
      </c>
      <c r="C268" s="207" t="s">
        <v>2726</v>
      </c>
      <c r="D268" s="207" t="s">
        <v>2726</v>
      </c>
      <c r="E268" s="207" t="s">
        <v>3079</v>
      </c>
      <c r="F268" s="207" t="s">
        <v>2728</v>
      </c>
      <c r="G268" s="207" t="s">
        <v>2726</v>
      </c>
      <c r="H268" s="207">
        <v>60</v>
      </c>
      <c r="I268" s="207" t="s">
        <v>2737</v>
      </c>
      <c r="J268" s="207" t="s">
        <v>2897</v>
      </c>
      <c r="K268" s="207" t="s">
        <v>2726</v>
      </c>
      <c r="L268" s="207" t="s">
        <v>2726</v>
      </c>
      <c r="M268" s="207" t="s">
        <v>2770</v>
      </c>
      <c r="N268" s="207" t="s">
        <v>2726</v>
      </c>
      <c r="O268" s="207" t="s">
        <v>2726</v>
      </c>
      <c r="P268" s="207" t="s">
        <v>2739</v>
      </c>
      <c r="Q268" s="207" t="s">
        <v>2733</v>
      </c>
      <c r="R268" s="207">
        <v>121</v>
      </c>
      <c r="S268" s="207" t="s">
        <v>2726</v>
      </c>
      <c r="T268" s="207" t="s">
        <v>1239</v>
      </c>
      <c r="U268" s="207" t="s">
        <v>2771</v>
      </c>
      <c r="V268" s="207" t="s">
        <v>2726</v>
      </c>
      <c r="W268" s="207" t="s">
        <v>629</v>
      </c>
      <c r="X268" s="207">
        <v>-42424</v>
      </c>
      <c r="Y268" s="207" t="s">
        <v>181</v>
      </c>
      <c r="Z268" s="207" t="s">
        <v>2726</v>
      </c>
      <c r="AA268" s="207" t="s">
        <v>2726</v>
      </c>
      <c r="AB268" s="207" t="s">
        <v>2726</v>
      </c>
      <c r="AC268" s="207" t="s">
        <v>2726</v>
      </c>
      <c r="AD268" s="207" t="s">
        <v>2726</v>
      </c>
      <c r="AE268" s="207" t="s">
        <v>2726</v>
      </c>
      <c r="AF268" s="207" t="s">
        <v>2726</v>
      </c>
      <c r="AG268" s="207" t="s">
        <v>2726</v>
      </c>
      <c r="AH268" s="207" t="s">
        <v>2726</v>
      </c>
      <c r="AI268" s="207" t="s">
        <v>1283</v>
      </c>
      <c r="AJ268" s="207" t="s">
        <v>2726</v>
      </c>
      <c r="AK268" s="207" t="s">
        <v>3079</v>
      </c>
    </row>
    <row r="269" spans="1:37" x14ac:dyDescent="0.25">
      <c r="A269" s="207" t="s">
        <v>3084</v>
      </c>
      <c r="B269" s="207">
        <v>0</v>
      </c>
      <c r="C269" s="207" t="s">
        <v>2726</v>
      </c>
      <c r="D269" s="207" t="s">
        <v>2726</v>
      </c>
      <c r="E269" s="207" t="s">
        <v>3081</v>
      </c>
      <c r="F269" s="207" t="s">
        <v>2728</v>
      </c>
      <c r="G269" s="207" t="s">
        <v>2726</v>
      </c>
      <c r="H269" s="207">
        <v>60</v>
      </c>
      <c r="I269" s="207" t="s">
        <v>2737</v>
      </c>
      <c r="J269" s="207" t="s">
        <v>2897</v>
      </c>
      <c r="K269" s="207" t="s">
        <v>2726</v>
      </c>
      <c r="L269" s="207" t="s">
        <v>2726</v>
      </c>
      <c r="M269" s="207" t="s">
        <v>2770</v>
      </c>
      <c r="N269" s="207" t="s">
        <v>2726</v>
      </c>
      <c r="O269" s="207" t="s">
        <v>2726</v>
      </c>
      <c r="P269" s="207" t="s">
        <v>2739</v>
      </c>
      <c r="Q269" s="207" t="s">
        <v>3082</v>
      </c>
      <c r="R269" s="207">
        <v>121</v>
      </c>
      <c r="S269" s="207" t="s">
        <v>2726</v>
      </c>
      <c r="T269" s="207" t="s">
        <v>1239</v>
      </c>
      <c r="U269" s="207" t="s">
        <v>2771</v>
      </c>
      <c r="V269" s="207" t="s">
        <v>2726</v>
      </c>
      <c r="W269" s="207" t="s">
        <v>2741</v>
      </c>
      <c r="X269" s="207">
        <v>107536</v>
      </c>
      <c r="Y269" s="207" t="s">
        <v>92</v>
      </c>
      <c r="Z269" s="207" t="s">
        <v>2726</v>
      </c>
      <c r="AA269" s="207" t="s">
        <v>2726</v>
      </c>
      <c r="AB269" s="207" t="s">
        <v>2726</v>
      </c>
      <c r="AC269" s="207" t="s">
        <v>2726</v>
      </c>
      <c r="AD269" s="207" t="s">
        <v>2726</v>
      </c>
      <c r="AE269" s="207" t="s">
        <v>2726</v>
      </c>
      <c r="AF269" s="207" t="s">
        <v>2726</v>
      </c>
      <c r="AG269" s="207" t="s">
        <v>2726</v>
      </c>
      <c r="AH269" s="207" t="s">
        <v>2726</v>
      </c>
      <c r="AI269" s="207" t="s">
        <v>317</v>
      </c>
      <c r="AJ269" s="207" t="s">
        <v>2726</v>
      </c>
      <c r="AK269" s="207" t="s">
        <v>3081</v>
      </c>
    </row>
    <row r="270" spans="1:37" x14ac:dyDescent="0.25">
      <c r="A270" s="207" t="s">
        <v>3085</v>
      </c>
      <c r="B270" s="207">
        <v>0</v>
      </c>
      <c r="C270" s="207" t="s">
        <v>2726</v>
      </c>
      <c r="D270" s="207" t="s">
        <v>2726</v>
      </c>
      <c r="E270" s="207" t="s">
        <v>3079</v>
      </c>
      <c r="F270" s="207" t="s">
        <v>2728</v>
      </c>
      <c r="G270" s="207" t="s">
        <v>2726</v>
      </c>
      <c r="H270" s="207">
        <v>60</v>
      </c>
      <c r="I270" s="207" t="s">
        <v>2737</v>
      </c>
      <c r="J270" s="207" t="s">
        <v>2897</v>
      </c>
      <c r="K270" s="207" t="s">
        <v>2726</v>
      </c>
      <c r="L270" s="207" t="s">
        <v>2726</v>
      </c>
      <c r="M270" s="207" t="s">
        <v>2770</v>
      </c>
      <c r="N270" s="207" t="s">
        <v>2726</v>
      </c>
      <c r="O270" s="207" t="s">
        <v>2726</v>
      </c>
      <c r="P270" s="207" t="s">
        <v>2739</v>
      </c>
      <c r="Q270" s="207" t="s">
        <v>2733</v>
      </c>
      <c r="R270" s="207">
        <v>121</v>
      </c>
      <c r="S270" s="207" t="s">
        <v>2726</v>
      </c>
      <c r="T270" s="207" t="s">
        <v>1239</v>
      </c>
      <c r="U270" s="207" t="s">
        <v>2771</v>
      </c>
      <c r="V270" s="207" t="s">
        <v>2726</v>
      </c>
      <c r="W270" s="207" t="s">
        <v>2741</v>
      </c>
      <c r="X270" s="207">
        <v>188039</v>
      </c>
      <c r="Y270" s="207" t="s">
        <v>113</v>
      </c>
      <c r="Z270" s="207" t="s">
        <v>2726</v>
      </c>
      <c r="AA270" s="207" t="s">
        <v>2726</v>
      </c>
      <c r="AB270" s="207" t="s">
        <v>2726</v>
      </c>
      <c r="AC270" s="207" t="s">
        <v>2726</v>
      </c>
      <c r="AD270" s="207" t="s">
        <v>2726</v>
      </c>
      <c r="AE270" s="207" t="s">
        <v>2726</v>
      </c>
      <c r="AF270" s="207" t="s">
        <v>2726</v>
      </c>
      <c r="AG270" s="207" t="s">
        <v>2726</v>
      </c>
      <c r="AH270" s="207" t="s">
        <v>2726</v>
      </c>
      <c r="AI270" s="207" t="s">
        <v>1265</v>
      </c>
      <c r="AJ270" s="207" t="s">
        <v>2726</v>
      </c>
      <c r="AK270" s="207" t="s">
        <v>3079</v>
      </c>
    </row>
    <row r="271" spans="1:37" x14ac:dyDescent="0.25">
      <c r="A271" s="207" t="s">
        <v>3086</v>
      </c>
      <c r="B271" s="207">
        <v>0</v>
      </c>
      <c r="C271" s="207" t="s">
        <v>2726</v>
      </c>
      <c r="D271" s="207" t="s">
        <v>2726</v>
      </c>
      <c r="E271" s="207" t="s">
        <v>3081</v>
      </c>
      <c r="F271" s="207" t="s">
        <v>2728</v>
      </c>
      <c r="G271" s="207" t="s">
        <v>2726</v>
      </c>
      <c r="H271" s="207">
        <v>60</v>
      </c>
      <c r="I271" s="207" t="s">
        <v>2737</v>
      </c>
      <c r="J271" s="207" t="s">
        <v>2897</v>
      </c>
      <c r="K271" s="207" t="s">
        <v>2726</v>
      </c>
      <c r="L271" s="207" t="s">
        <v>2726</v>
      </c>
      <c r="M271" s="207" t="s">
        <v>2770</v>
      </c>
      <c r="N271" s="207" t="s">
        <v>2726</v>
      </c>
      <c r="O271" s="207" t="s">
        <v>2726</v>
      </c>
      <c r="P271" s="207" t="s">
        <v>2739</v>
      </c>
      <c r="Q271" s="207" t="s">
        <v>3082</v>
      </c>
      <c r="R271" s="207">
        <v>121</v>
      </c>
      <c r="S271" s="207" t="s">
        <v>2726</v>
      </c>
      <c r="T271" s="207" t="s">
        <v>1239</v>
      </c>
      <c r="U271" s="207" t="s">
        <v>2771</v>
      </c>
      <c r="V271" s="207" t="s">
        <v>2726</v>
      </c>
      <c r="W271" s="207" t="s">
        <v>629</v>
      </c>
      <c r="X271" s="207">
        <v>-2370397</v>
      </c>
      <c r="Y271" s="207" t="s">
        <v>115</v>
      </c>
      <c r="Z271" s="207" t="s">
        <v>2726</v>
      </c>
      <c r="AA271" s="207" t="s">
        <v>2726</v>
      </c>
      <c r="AB271" s="207" t="s">
        <v>2726</v>
      </c>
      <c r="AC271" s="207" t="s">
        <v>2726</v>
      </c>
      <c r="AD271" s="207" t="s">
        <v>2726</v>
      </c>
      <c r="AE271" s="207" t="s">
        <v>2726</v>
      </c>
      <c r="AF271" s="207" t="s">
        <v>2726</v>
      </c>
      <c r="AG271" s="207" t="s">
        <v>2726</v>
      </c>
      <c r="AH271" s="207" t="s">
        <v>2726</v>
      </c>
      <c r="AI271" s="207" t="s">
        <v>1241</v>
      </c>
      <c r="AJ271" s="207" t="s">
        <v>2726</v>
      </c>
      <c r="AK271" s="207" t="s">
        <v>3081</v>
      </c>
    </row>
    <row r="272" spans="1:37" x14ac:dyDescent="0.25">
      <c r="A272" s="207" t="s">
        <v>3087</v>
      </c>
      <c r="B272" s="207">
        <v>0</v>
      </c>
      <c r="C272" s="207" t="s">
        <v>2726</v>
      </c>
      <c r="D272" s="207" t="s">
        <v>2726</v>
      </c>
      <c r="E272" s="207" t="s">
        <v>3079</v>
      </c>
      <c r="F272" s="207" t="s">
        <v>2728</v>
      </c>
      <c r="G272" s="207" t="s">
        <v>2726</v>
      </c>
      <c r="H272" s="207">
        <v>60</v>
      </c>
      <c r="I272" s="207" t="s">
        <v>2737</v>
      </c>
      <c r="J272" s="207" t="s">
        <v>2897</v>
      </c>
      <c r="K272" s="207" t="s">
        <v>2726</v>
      </c>
      <c r="L272" s="207" t="s">
        <v>2726</v>
      </c>
      <c r="M272" s="207" t="s">
        <v>2770</v>
      </c>
      <c r="N272" s="207" t="s">
        <v>2726</v>
      </c>
      <c r="O272" s="207" t="s">
        <v>2726</v>
      </c>
      <c r="P272" s="207" t="s">
        <v>2739</v>
      </c>
      <c r="Q272" s="207" t="s">
        <v>2733</v>
      </c>
      <c r="R272" s="207">
        <v>121</v>
      </c>
      <c r="S272" s="207" t="s">
        <v>2726</v>
      </c>
      <c r="T272" s="207" t="s">
        <v>1239</v>
      </c>
      <c r="U272" s="207" t="s">
        <v>2771</v>
      </c>
      <c r="V272" s="207" t="s">
        <v>2726</v>
      </c>
      <c r="W272" s="207" t="s">
        <v>629</v>
      </c>
      <c r="X272" s="207">
        <v>-188039</v>
      </c>
      <c r="Y272" s="207" t="s">
        <v>115</v>
      </c>
      <c r="Z272" s="207" t="s">
        <v>2726</v>
      </c>
      <c r="AA272" s="207" t="s">
        <v>2726</v>
      </c>
      <c r="AB272" s="207" t="s">
        <v>2726</v>
      </c>
      <c r="AC272" s="207" t="s">
        <v>2726</v>
      </c>
      <c r="AD272" s="207" t="s">
        <v>2726</v>
      </c>
      <c r="AE272" s="207" t="s">
        <v>2726</v>
      </c>
      <c r="AF272" s="207" t="s">
        <v>2726</v>
      </c>
      <c r="AG272" s="207" t="s">
        <v>2726</v>
      </c>
      <c r="AH272" s="207" t="s">
        <v>2726</v>
      </c>
      <c r="AI272" s="207" t="s">
        <v>1241</v>
      </c>
      <c r="AJ272" s="207" t="s">
        <v>2726</v>
      </c>
      <c r="AK272" s="207" t="s">
        <v>3079</v>
      </c>
    </row>
    <row r="273" spans="1:37" x14ac:dyDescent="0.25">
      <c r="A273" s="207" t="s">
        <v>3088</v>
      </c>
      <c r="B273" s="207">
        <v>0</v>
      </c>
      <c r="C273" s="207" t="s">
        <v>2726</v>
      </c>
      <c r="D273" s="207" t="s">
        <v>2726</v>
      </c>
      <c r="E273" s="207" t="s">
        <v>3089</v>
      </c>
      <c r="F273" s="207" t="s">
        <v>2728</v>
      </c>
      <c r="G273" s="207" t="s">
        <v>2726</v>
      </c>
      <c r="H273" s="207">
        <v>60</v>
      </c>
      <c r="I273" s="207" t="s">
        <v>2737</v>
      </c>
      <c r="J273" s="207" t="s">
        <v>2872</v>
      </c>
      <c r="K273" s="207" t="s">
        <v>2726</v>
      </c>
      <c r="L273" s="207" t="s">
        <v>2726</v>
      </c>
      <c r="M273" s="207" t="s">
        <v>2770</v>
      </c>
      <c r="N273" s="207" t="s">
        <v>2726</v>
      </c>
      <c r="O273" s="207" t="s">
        <v>2726</v>
      </c>
      <c r="P273" s="207" t="s">
        <v>2739</v>
      </c>
      <c r="Q273" s="207" t="s">
        <v>2733</v>
      </c>
      <c r="R273" s="207">
        <v>121</v>
      </c>
      <c r="S273" s="207" t="s">
        <v>2726</v>
      </c>
      <c r="T273" s="207" t="s">
        <v>1239</v>
      </c>
      <c r="U273" s="207" t="s">
        <v>2771</v>
      </c>
      <c r="V273" s="207" t="s">
        <v>2726</v>
      </c>
      <c r="W273" s="207" t="s">
        <v>2741</v>
      </c>
      <c r="X273" s="207">
        <v>49842</v>
      </c>
      <c r="Y273" s="207" t="s">
        <v>90</v>
      </c>
      <c r="Z273" s="207" t="s">
        <v>2726</v>
      </c>
      <c r="AA273" s="207" t="s">
        <v>2726</v>
      </c>
      <c r="AB273" s="207" t="s">
        <v>2726</v>
      </c>
      <c r="AC273" s="207" t="s">
        <v>2726</v>
      </c>
      <c r="AD273" s="207" t="s">
        <v>2726</v>
      </c>
      <c r="AE273" s="207" t="s">
        <v>2726</v>
      </c>
      <c r="AF273" s="207" t="s">
        <v>2726</v>
      </c>
      <c r="AG273" s="207" t="s">
        <v>2726</v>
      </c>
      <c r="AH273" s="207" t="s">
        <v>2726</v>
      </c>
      <c r="AI273" s="207" t="s">
        <v>1281</v>
      </c>
      <c r="AJ273" s="207" t="s">
        <v>2726</v>
      </c>
      <c r="AK273" s="207" t="s">
        <v>3089</v>
      </c>
    </row>
    <row r="274" spans="1:37" x14ac:dyDescent="0.25">
      <c r="A274" s="207" t="s">
        <v>3090</v>
      </c>
      <c r="B274" s="207">
        <v>0</v>
      </c>
      <c r="C274" s="207" t="s">
        <v>2726</v>
      </c>
      <c r="D274" s="207" t="s">
        <v>2726</v>
      </c>
      <c r="E274" s="207" t="s">
        <v>3089</v>
      </c>
      <c r="F274" s="207" t="s">
        <v>2728</v>
      </c>
      <c r="G274" s="207" t="s">
        <v>2726</v>
      </c>
      <c r="H274" s="207">
        <v>60</v>
      </c>
      <c r="I274" s="207" t="s">
        <v>2737</v>
      </c>
      <c r="J274" s="207" t="s">
        <v>2872</v>
      </c>
      <c r="K274" s="207" t="s">
        <v>2726</v>
      </c>
      <c r="L274" s="207" t="s">
        <v>2726</v>
      </c>
      <c r="M274" s="207" t="s">
        <v>2770</v>
      </c>
      <c r="N274" s="207" t="s">
        <v>2726</v>
      </c>
      <c r="O274" s="207" t="s">
        <v>2726</v>
      </c>
      <c r="P274" s="207" t="s">
        <v>2739</v>
      </c>
      <c r="Q274" s="207" t="s">
        <v>2733</v>
      </c>
      <c r="R274" s="207">
        <v>121</v>
      </c>
      <c r="S274" s="207" t="s">
        <v>2726</v>
      </c>
      <c r="T274" s="207" t="s">
        <v>1239</v>
      </c>
      <c r="U274" s="207" t="s">
        <v>2771</v>
      </c>
      <c r="V274" s="207" t="s">
        <v>2726</v>
      </c>
      <c r="W274" s="207" t="s">
        <v>629</v>
      </c>
      <c r="X274" s="207">
        <v>-49842</v>
      </c>
      <c r="Y274" s="207" t="s">
        <v>181</v>
      </c>
      <c r="Z274" s="207" t="s">
        <v>2726</v>
      </c>
      <c r="AA274" s="207" t="s">
        <v>2726</v>
      </c>
      <c r="AB274" s="207" t="s">
        <v>2726</v>
      </c>
      <c r="AC274" s="207" t="s">
        <v>2726</v>
      </c>
      <c r="AD274" s="207" t="s">
        <v>2726</v>
      </c>
      <c r="AE274" s="207" t="s">
        <v>2726</v>
      </c>
      <c r="AF274" s="207" t="s">
        <v>2726</v>
      </c>
      <c r="AG274" s="207" t="s">
        <v>2726</v>
      </c>
      <c r="AH274" s="207" t="s">
        <v>2726</v>
      </c>
      <c r="AI274" s="207" t="s">
        <v>1283</v>
      </c>
      <c r="AJ274" s="207" t="s">
        <v>2726</v>
      </c>
      <c r="AK274" s="207" t="s">
        <v>3089</v>
      </c>
    </row>
    <row r="275" spans="1:37" x14ac:dyDescent="0.25">
      <c r="A275" s="207" t="s">
        <v>3091</v>
      </c>
      <c r="B275" s="207">
        <v>0</v>
      </c>
      <c r="C275" s="207" t="s">
        <v>2726</v>
      </c>
      <c r="D275" s="207" t="s">
        <v>2726</v>
      </c>
      <c r="E275" s="207" t="s">
        <v>3092</v>
      </c>
      <c r="F275" s="207" t="s">
        <v>2728</v>
      </c>
      <c r="G275" s="207" t="s">
        <v>2726</v>
      </c>
      <c r="H275" s="207">
        <v>60</v>
      </c>
      <c r="I275" s="207" t="s">
        <v>2737</v>
      </c>
      <c r="J275" s="207" t="s">
        <v>2897</v>
      </c>
      <c r="K275" s="207" t="s">
        <v>2726</v>
      </c>
      <c r="L275" s="207" t="s">
        <v>2726</v>
      </c>
      <c r="M275" s="207" t="s">
        <v>2770</v>
      </c>
      <c r="N275" s="207" t="s">
        <v>2726</v>
      </c>
      <c r="O275" s="207" t="s">
        <v>2726</v>
      </c>
      <c r="P275" s="207" t="s">
        <v>2739</v>
      </c>
      <c r="Q275" s="207" t="s">
        <v>2733</v>
      </c>
      <c r="R275" s="207">
        <v>121</v>
      </c>
      <c r="S275" s="207" t="s">
        <v>2726</v>
      </c>
      <c r="T275" s="207" t="s">
        <v>1239</v>
      </c>
      <c r="U275" s="207" t="s">
        <v>2771</v>
      </c>
      <c r="V275" s="207" t="s">
        <v>2726</v>
      </c>
      <c r="W275" s="207" t="s">
        <v>2741</v>
      </c>
      <c r="X275" s="207">
        <v>3543</v>
      </c>
      <c r="Y275" s="207" t="s">
        <v>94</v>
      </c>
      <c r="Z275" s="207" t="s">
        <v>2726</v>
      </c>
      <c r="AA275" s="207" t="s">
        <v>2726</v>
      </c>
      <c r="AB275" s="207" t="s">
        <v>2726</v>
      </c>
      <c r="AC275" s="207" t="s">
        <v>2726</v>
      </c>
      <c r="AD275" s="207" t="s">
        <v>2726</v>
      </c>
      <c r="AE275" s="207" t="s">
        <v>2726</v>
      </c>
      <c r="AF275" s="207" t="s">
        <v>2726</v>
      </c>
      <c r="AG275" s="207" t="s">
        <v>2726</v>
      </c>
      <c r="AH275" s="207" t="s">
        <v>2726</v>
      </c>
      <c r="AI275" s="207" t="s">
        <v>1246</v>
      </c>
      <c r="AJ275" s="207" t="s">
        <v>2726</v>
      </c>
      <c r="AK275" s="207" t="s">
        <v>3092</v>
      </c>
    </row>
    <row r="276" spans="1:37" x14ac:dyDescent="0.25">
      <c r="A276" s="207" t="s">
        <v>3093</v>
      </c>
      <c r="B276" s="207">
        <v>0</v>
      </c>
      <c r="C276" s="207" t="s">
        <v>2726</v>
      </c>
      <c r="D276" s="207" t="s">
        <v>2726</v>
      </c>
      <c r="E276" s="207" t="s">
        <v>3092</v>
      </c>
      <c r="F276" s="207" t="s">
        <v>2728</v>
      </c>
      <c r="G276" s="207" t="s">
        <v>2726</v>
      </c>
      <c r="H276" s="207">
        <v>60</v>
      </c>
      <c r="I276" s="207" t="s">
        <v>2737</v>
      </c>
      <c r="J276" s="207" t="s">
        <v>2897</v>
      </c>
      <c r="K276" s="207" t="s">
        <v>2726</v>
      </c>
      <c r="L276" s="207" t="s">
        <v>2726</v>
      </c>
      <c r="M276" s="207" t="s">
        <v>2770</v>
      </c>
      <c r="N276" s="207" t="s">
        <v>2726</v>
      </c>
      <c r="O276" s="207" t="s">
        <v>2726</v>
      </c>
      <c r="P276" s="207" t="s">
        <v>2739</v>
      </c>
      <c r="Q276" s="207" t="s">
        <v>2733</v>
      </c>
      <c r="R276" s="207">
        <v>121</v>
      </c>
      <c r="S276" s="207" t="s">
        <v>2726</v>
      </c>
      <c r="T276" s="207" t="s">
        <v>1239</v>
      </c>
      <c r="U276" s="207" t="s">
        <v>2771</v>
      </c>
      <c r="V276" s="207" t="s">
        <v>2726</v>
      </c>
      <c r="W276" s="207" t="s">
        <v>629</v>
      </c>
      <c r="X276" s="207">
        <v>-3543</v>
      </c>
      <c r="Y276" s="207" t="s">
        <v>96</v>
      </c>
      <c r="Z276" s="207" t="s">
        <v>2726</v>
      </c>
      <c r="AA276" s="207" t="s">
        <v>2726</v>
      </c>
      <c r="AB276" s="207" t="s">
        <v>2726</v>
      </c>
      <c r="AC276" s="207" t="s">
        <v>2726</v>
      </c>
      <c r="AD276" s="207" t="s">
        <v>2726</v>
      </c>
      <c r="AE276" s="207" t="s">
        <v>2726</v>
      </c>
      <c r="AF276" s="207" t="s">
        <v>2726</v>
      </c>
      <c r="AG276" s="207" t="s">
        <v>2726</v>
      </c>
      <c r="AH276" s="207" t="s">
        <v>2726</v>
      </c>
      <c r="AI276" s="207" t="s">
        <v>1240</v>
      </c>
      <c r="AJ276" s="207" t="s">
        <v>2726</v>
      </c>
      <c r="AK276" s="207" t="s">
        <v>3092</v>
      </c>
    </row>
    <row r="277" spans="1:37" x14ac:dyDescent="0.25">
      <c r="A277" s="207" t="s">
        <v>3094</v>
      </c>
      <c r="B277" s="207">
        <v>0</v>
      </c>
      <c r="C277" s="207" t="s">
        <v>2726</v>
      </c>
      <c r="D277" s="207" t="s">
        <v>2726</v>
      </c>
      <c r="E277" s="207" t="s">
        <v>3095</v>
      </c>
      <c r="F277" s="207" t="s">
        <v>2728</v>
      </c>
      <c r="G277" s="207" t="s">
        <v>2726</v>
      </c>
      <c r="H277" s="207">
        <v>60</v>
      </c>
      <c r="I277" s="207" t="s">
        <v>2737</v>
      </c>
      <c r="J277" s="207" t="s">
        <v>2730</v>
      </c>
      <c r="K277" s="207" t="s">
        <v>2726</v>
      </c>
      <c r="L277" s="207" t="s">
        <v>2726</v>
      </c>
      <c r="M277" s="207" t="s">
        <v>2898</v>
      </c>
      <c r="N277" s="207" t="s">
        <v>2726</v>
      </c>
      <c r="O277" s="207" t="s">
        <v>2726</v>
      </c>
      <c r="P277" s="207" t="s">
        <v>2739</v>
      </c>
      <c r="Q277" s="207" t="s">
        <v>2733</v>
      </c>
      <c r="R277" s="207">
        <v>121</v>
      </c>
      <c r="S277" s="207" t="s">
        <v>2726</v>
      </c>
      <c r="T277" s="207" t="s">
        <v>1239</v>
      </c>
      <c r="U277" s="207" t="s">
        <v>2899</v>
      </c>
      <c r="V277" s="207" t="s">
        <v>2726</v>
      </c>
      <c r="W277" s="207" t="s">
        <v>2741</v>
      </c>
      <c r="X277" s="207">
        <v>62400</v>
      </c>
      <c r="Y277" s="207" t="s">
        <v>129</v>
      </c>
      <c r="Z277" s="207" t="s">
        <v>2726</v>
      </c>
      <c r="AA277" s="207" t="s">
        <v>2726</v>
      </c>
      <c r="AB277" s="207" t="s">
        <v>2726</v>
      </c>
      <c r="AC277" s="207" t="s">
        <v>2726</v>
      </c>
      <c r="AD277" s="207" t="s">
        <v>2726</v>
      </c>
      <c r="AE277" s="207" t="s">
        <v>2726</v>
      </c>
      <c r="AF277" s="207" t="s">
        <v>2726</v>
      </c>
      <c r="AG277" s="207" t="s">
        <v>2726</v>
      </c>
      <c r="AH277" s="207" t="s">
        <v>2726</v>
      </c>
      <c r="AI277" s="207" t="s">
        <v>1252</v>
      </c>
      <c r="AJ277" s="207" t="s">
        <v>2726</v>
      </c>
      <c r="AK277" s="207" t="s">
        <v>3095</v>
      </c>
    </row>
    <row r="278" spans="1:37" x14ac:dyDescent="0.25">
      <c r="A278" s="207" t="s">
        <v>3096</v>
      </c>
      <c r="B278" s="207">
        <v>0</v>
      </c>
      <c r="C278" s="207" t="s">
        <v>2726</v>
      </c>
      <c r="D278" s="207" t="s">
        <v>2726</v>
      </c>
      <c r="E278" s="207" t="s">
        <v>3095</v>
      </c>
      <c r="F278" s="207" t="s">
        <v>2728</v>
      </c>
      <c r="G278" s="207" t="s">
        <v>2726</v>
      </c>
      <c r="H278" s="207">
        <v>60</v>
      </c>
      <c r="I278" s="207" t="s">
        <v>2737</v>
      </c>
      <c r="J278" s="207" t="s">
        <v>2730</v>
      </c>
      <c r="K278" s="207" t="s">
        <v>2726</v>
      </c>
      <c r="L278" s="207" t="s">
        <v>2726</v>
      </c>
      <c r="M278" s="207" t="s">
        <v>2898</v>
      </c>
      <c r="N278" s="207" t="s">
        <v>2726</v>
      </c>
      <c r="O278" s="207" t="s">
        <v>2726</v>
      </c>
      <c r="P278" s="207" t="s">
        <v>2739</v>
      </c>
      <c r="Q278" s="207" t="s">
        <v>2733</v>
      </c>
      <c r="R278" s="207">
        <v>121</v>
      </c>
      <c r="S278" s="207" t="s">
        <v>2726</v>
      </c>
      <c r="T278" s="207" t="s">
        <v>1239</v>
      </c>
      <c r="U278" s="207" t="s">
        <v>2899</v>
      </c>
      <c r="V278" s="207" t="s">
        <v>2726</v>
      </c>
      <c r="W278" s="207" t="s">
        <v>629</v>
      </c>
      <c r="X278" s="207">
        <v>-62400</v>
      </c>
      <c r="Y278" s="207" t="s">
        <v>121</v>
      </c>
      <c r="Z278" s="207" t="s">
        <v>2726</v>
      </c>
      <c r="AA278" s="207" t="s">
        <v>2726</v>
      </c>
      <c r="AB278" s="207" t="s">
        <v>2726</v>
      </c>
      <c r="AC278" s="207" t="s">
        <v>2726</v>
      </c>
      <c r="AD278" s="207" t="s">
        <v>2726</v>
      </c>
      <c r="AE278" s="207" t="s">
        <v>2726</v>
      </c>
      <c r="AF278" s="207" t="s">
        <v>2726</v>
      </c>
      <c r="AG278" s="207" t="s">
        <v>2726</v>
      </c>
      <c r="AH278" s="207" t="s">
        <v>2726</v>
      </c>
      <c r="AI278" s="207" t="s">
        <v>1268</v>
      </c>
      <c r="AJ278" s="207" t="s">
        <v>2726</v>
      </c>
      <c r="AK278" s="207" t="s">
        <v>3095</v>
      </c>
    </row>
    <row r="279" spans="1:37" x14ac:dyDescent="0.25">
      <c r="A279" s="207" t="s">
        <v>3097</v>
      </c>
      <c r="B279" s="207">
        <v>0</v>
      </c>
      <c r="C279" s="207" t="s">
        <v>2726</v>
      </c>
      <c r="D279" s="207" t="s">
        <v>2726</v>
      </c>
      <c r="E279" s="207" t="s">
        <v>3098</v>
      </c>
      <c r="F279" s="207" t="s">
        <v>2728</v>
      </c>
      <c r="G279" s="207" t="s">
        <v>2726</v>
      </c>
      <c r="H279" s="207">
        <v>60</v>
      </c>
      <c r="I279" s="207" t="s">
        <v>2922</v>
      </c>
      <c r="J279" s="207" t="s">
        <v>3099</v>
      </c>
      <c r="K279" s="207" t="s">
        <v>2726</v>
      </c>
      <c r="L279" s="207" t="s">
        <v>2726</v>
      </c>
      <c r="M279" s="207" t="s">
        <v>2770</v>
      </c>
      <c r="N279" s="207" t="s">
        <v>2726</v>
      </c>
      <c r="O279" s="207" t="s">
        <v>2726</v>
      </c>
      <c r="P279" s="207" t="s">
        <v>2739</v>
      </c>
      <c r="Q279" s="207" t="s">
        <v>2733</v>
      </c>
      <c r="R279" s="207">
        <v>221</v>
      </c>
      <c r="S279" s="207" t="s">
        <v>2726</v>
      </c>
      <c r="T279" s="207" t="s">
        <v>1239</v>
      </c>
      <c r="U279" s="207" t="s">
        <v>2822</v>
      </c>
      <c r="V279" s="207" t="s">
        <v>2726</v>
      </c>
      <c r="W279" s="207" t="s">
        <v>629</v>
      </c>
      <c r="X279" s="207">
        <v>-1864016</v>
      </c>
      <c r="Y279" s="207" t="s">
        <v>228</v>
      </c>
      <c r="Z279" s="207" t="s">
        <v>2726</v>
      </c>
      <c r="AA279" s="207" t="s">
        <v>2726</v>
      </c>
      <c r="AB279" s="207" t="s">
        <v>2726</v>
      </c>
      <c r="AC279" s="207" t="s">
        <v>2726</v>
      </c>
      <c r="AD279" s="207" t="s">
        <v>2726</v>
      </c>
      <c r="AE279" s="207" t="s">
        <v>2726</v>
      </c>
      <c r="AF279" s="207" t="s">
        <v>2726</v>
      </c>
      <c r="AG279" s="207" t="s">
        <v>2726</v>
      </c>
      <c r="AH279" s="207" t="s">
        <v>2726</v>
      </c>
      <c r="AI279" s="207" t="s">
        <v>1290</v>
      </c>
      <c r="AJ279" s="207" t="s">
        <v>2726</v>
      </c>
      <c r="AK279" s="207" t="s">
        <v>3098</v>
      </c>
    </row>
    <row r="280" spans="1:37" x14ac:dyDescent="0.25">
      <c r="A280" s="207" t="s">
        <v>3100</v>
      </c>
      <c r="B280" s="207">
        <v>0</v>
      </c>
      <c r="C280" s="207" t="s">
        <v>2726</v>
      </c>
      <c r="D280" s="207" t="s">
        <v>2726</v>
      </c>
      <c r="E280" s="207" t="s">
        <v>3098</v>
      </c>
      <c r="F280" s="207" t="s">
        <v>2728</v>
      </c>
      <c r="G280" s="207" t="s">
        <v>2726</v>
      </c>
      <c r="H280" s="207">
        <v>60</v>
      </c>
      <c r="I280" s="207" t="s">
        <v>2737</v>
      </c>
      <c r="J280" s="207" t="s">
        <v>3099</v>
      </c>
      <c r="K280" s="207" t="s">
        <v>2726</v>
      </c>
      <c r="L280" s="207" t="s">
        <v>2726</v>
      </c>
      <c r="M280" s="207" t="s">
        <v>2770</v>
      </c>
      <c r="N280" s="207" t="s">
        <v>2726</v>
      </c>
      <c r="O280" s="207" t="s">
        <v>2726</v>
      </c>
      <c r="P280" s="207" t="s">
        <v>2739</v>
      </c>
      <c r="Q280" s="207" t="s">
        <v>2733</v>
      </c>
      <c r="R280" s="207">
        <v>121</v>
      </c>
      <c r="S280" s="207" t="s">
        <v>2726</v>
      </c>
      <c r="T280" s="207" t="s">
        <v>1239</v>
      </c>
      <c r="U280" s="207" t="s">
        <v>2771</v>
      </c>
      <c r="V280" s="207" t="s">
        <v>2726</v>
      </c>
      <c r="W280" s="207" t="s">
        <v>2741</v>
      </c>
      <c r="X280" s="207">
        <v>1864016</v>
      </c>
      <c r="Y280" s="207" t="s">
        <v>181</v>
      </c>
      <c r="Z280" s="207" t="s">
        <v>2726</v>
      </c>
      <c r="AA280" s="207" t="s">
        <v>2726</v>
      </c>
      <c r="AB280" s="207" t="s">
        <v>2726</v>
      </c>
      <c r="AC280" s="207" t="s">
        <v>2726</v>
      </c>
      <c r="AD280" s="207" t="s">
        <v>2726</v>
      </c>
      <c r="AE280" s="207" t="s">
        <v>2726</v>
      </c>
      <c r="AF280" s="207" t="s">
        <v>2726</v>
      </c>
      <c r="AG280" s="207" t="s">
        <v>2726</v>
      </c>
      <c r="AH280" s="207" t="s">
        <v>2726</v>
      </c>
      <c r="AI280" s="207" t="s">
        <v>1283</v>
      </c>
      <c r="AJ280" s="207" t="s">
        <v>2726</v>
      </c>
      <c r="AK280" s="207" t="s">
        <v>3098</v>
      </c>
    </row>
    <row r="281" spans="1:37" x14ac:dyDescent="0.25">
      <c r="A281" s="207" t="s">
        <v>3101</v>
      </c>
      <c r="B281" s="207">
        <v>0</v>
      </c>
      <c r="C281" s="207" t="s">
        <v>2726</v>
      </c>
      <c r="D281" s="207" t="s">
        <v>2726</v>
      </c>
      <c r="E281" s="207" t="s">
        <v>3102</v>
      </c>
      <c r="F281" s="207" t="s">
        <v>2728</v>
      </c>
      <c r="G281" s="207" t="s">
        <v>2726</v>
      </c>
      <c r="H281" s="207">
        <v>60</v>
      </c>
      <c r="I281" s="207" t="s">
        <v>2922</v>
      </c>
      <c r="J281" s="207" t="s">
        <v>2897</v>
      </c>
      <c r="K281" s="207" t="s">
        <v>2726</v>
      </c>
      <c r="L281" s="207" t="s">
        <v>2726</v>
      </c>
      <c r="M281" s="207" t="s">
        <v>2770</v>
      </c>
      <c r="N281" s="207" t="s">
        <v>2726</v>
      </c>
      <c r="O281" s="207" t="s">
        <v>2726</v>
      </c>
      <c r="P281" s="207" t="s">
        <v>2739</v>
      </c>
      <c r="Q281" s="207" t="s">
        <v>2733</v>
      </c>
      <c r="R281" s="207">
        <v>221</v>
      </c>
      <c r="S281" s="207" t="s">
        <v>2726</v>
      </c>
      <c r="T281" s="207" t="s">
        <v>1239</v>
      </c>
      <c r="U281" s="207" t="s">
        <v>2822</v>
      </c>
      <c r="V281" s="207" t="s">
        <v>2726</v>
      </c>
      <c r="W281" s="207" t="s">
        <v>629</v>
      </c>
      <c r="X281" s="207">
        <v>-144803</v>
      </c>
      <c r="Y281" s="207" t="s">
        <v>298</v>
      </c>
      <c r="Z281" s="207" t="s">
        <v>2726</v>
      </c>
      <c r="AA281" s="207" t="s">
        <v>2726</v>
      </c>
      <c r="AB281" s="207" t="s">
        <v>2726</v>
      </c>
      <c r="AC281" s="207" t="s">
        <v>2726</v>
      </c>
      <c r="AD281" s="207" t="s">
        <v>2726</v>
      </c>
      <c r="AE281" s="207" t="s">
        <v>2726</v>
      </c>
      <c r="AF281" s="207" t="s">
        <v>2726</v>
      </c>
      <c r="AG281" s="207" t="s">
        <v>2726</v>
      </c>
      <c r="AH281" s="207" t="s">
        <v>2726</v>
      </c>
      <c r="AI281" s="207" t="s">
        <v>1301</v>
      </c>
      <c r="AJ281" s="207" t="s">
        <v>2726</v>
      </c>
      <c r="AK281" s="207" t="s">
        <v>3102</v>
      </c>
    </row>
    <row r="282" spans="1:37" x14ac:dyDescent="0.25">
      <c r="A282" s="207" t="s">
        <v>3103</v>
      </c>
      <c r="B282" s="207">
        <v>0</v>
      </c>
      <c r="C282" s="207" t="s">
        <v>2726</v>
      </c>
      <c r="D282" s="207" t="s">
        <v>2726</v>
      </c>
      <c r="E282" s="207" t="s">
        <v>3102</v>
      </c>
      <c r="F282" s="207" t="s">
        <v>2728</v>
      </c>
      <c r="G282" s="207" t="s">
        <v>2726</v>
      </c>
      <c r="H282" s="207">
        <v>60</v>
      </c>
      <c r="I282" s="207" t="s">
        <v>2737</v>
      </c>
      <c r="J282" s="207" t="s">
        <v>2897</v>
      </c>
      <c r="K282" s="207" t="s">
        <v>2726</v>
      </c>
      <c r="L282" s="207" t="s">
        <v>2726</v>
      </c>
      <c r="M282" s="207" t="s">
        <v>2770</v>
      </c>
      <c r="N282" s="207" t="s">
        <v>2726</v>
      </c>
      <c r="O282" s="207" t="s">
        <v>2726</v>
      </c>
      <c r="P282" s="207" t="s">
        <v>2739</v>
      </c>
      <c r="Q282" s="207" t="s">
        <v>2733</v>
      </c>
      <c r="R282" s="207">
        <v>121</v>
      </c>
      <c r="S282" s="207" t="s">
        <v>2726</v>
      </c>
      <c r="T282" s="207" t="s">
        <v>1239</v>
      </c>
      <c r="U282" s="207" t="s">
        <v>2771</v>
      </c>
      <c r="V282" s="207" t="s">
        <v>2726</v>
      </c>
      <c r="W282" s="207" t="s">
        <v>2741</v>
      </c>
      <c r="X282" s="207">
        <v>144803</v>
      </c>
      <c r="Y282" s="207" t="s">
        <v>212</v>
      </c>
      <c r="Z282" s="207" t="s">
        <v>2726</v>
      </c>
      <c r="AA282" s="207" t="s">
        <v>2726</v>
      </c>
      <c r="AB282" s="207" t="s">
        <v>2726</v>
      </c>
      <c r="AC282" s="207" t="s">
        <v>2726</v>
      </c>
      <c r="AD282" s="207" t="s">
        <v>2726</v>
      </c>
      <c r="AE282" s="207" t="s">
        <v>2726</v>
      </c>
      <c r="AF282" s="207" t="s">
        <v>2726</v>
      </c>
      <c r="AG282" s="207" t="s">
        <v>2726</v>
      </c>
      <c r="AH282" s="207" t="s">
        <v>2726</v>
      </c>
      <c r="AI282" s="207" t="s">
        <v>1287</v>
      </c>
      <c r="AJ282" s="207" t="s">
        <v>2726</v>
      </c>
      <c r="AK282" s="207" t="s">
        <v>3102</v>
      </c>
    </row>
    <row r="283" spans="1:37" x14ac:dyDescent="0.25">
      <c r="A283" s="207" t="s">
        <v>3104</v>
      </c>
      <c r="B283" s="207">
        <v>0</v>
      </c>
      <c r="C283" s="207" t="s">
        <v>2726</v>
      </c>
      <c r="D283" s="207" t="s">
        <v>2726</v>
      </c>
      <c r="E283" s="207" t="s">
        <v>3105</v>
      </c>
      <c r="F283" s="207" t="s">
        <v>2728</v>
      </c>
      <c r="G283" s="207" t="s">
        <v>2726</v>
      </c>
      <c r="H283" s="207">
        <v>60</v>
      </c>
      <c r="I283" s="207" t="s">
        <v>2737</v>
      </c>
      <c r="J283" s="207" t="s">
        <v>2872</v>
      </c>
      <c r="K283" s="207" t="s">
        <v>2726</v>
      </c>
      <c r="L283" s="207" t="s">
        <v>2726</v>
      </c>
      <c r="M283" s="207" t="s">
        <v>2770</v>
      </c>
      <c r="N283" s="207" t="s">
        <v>2726</v>
      </c>
      <c r="O283" s="207" t="s">
        <v>2726</v>
      </c>
      <c r="P283" s="207" t="s">
        <v>2739</v>
      </c>
      <c r="Q283" s="207" t="s">
        <v>2733</v>
      </c>
      <c r="R283" s="207">
        <v>121</v>
      </c>
      <c r="S283" s="207" t="s">
        <v>2726</v>
      </c>
      <c r="T283" s="207" t="s">
        <v>1239</v>
      </c>
      <c r="U283" s="207" t="s">
        <v>2771</v>
      </c>
      <c r="V283" s="207" t="s">
        <v>2726</v>
      </c>
      <c r="W283" s="207" t="s">
        <v>2741</v>
      </c>
      <c r="X283" s="207">
        <v>25984</v>
      </c>
      <c r="Y283" s="207" t="s">
        <v>90</v>
      </c>
      <c r="Z283" s="207" t="s">
        <v>2726</v>
      </c>
      <c r="AA283" s="207" t="s">
        <v>2726</v>
      </c>
      <c r="AB283" s="207" t="s">
        <v>2726</v>
      </c>
      <c r="AC283" s="207" t="s">
        <v>2726</v>
      </c>
      <c r="AD283" s="207" t="s">
        <v>2726</v>
      </c>
      <c r="AE283" s="207" t="s">
        <v>2726</v>
      </c>
      <c r="AF283" s="207" t="s">
        <v>2726</v>
      </c>
      <c r="AG283" s="207" t="s">
        <v>2726</v>
      </c>
      <c r="AH283" s="207" t="s">
        <v>2726</v>
      </c>
      <c r="AI283" s="207" t="s">
        <v>1281</v>
      </c>
      <c r="AJ283" s="207" t="s">
        <v>2726</v>
      </c>
      <c r="AK283" s="207" t="s">
        <v>3105</v>
      </c>
    </row>
    <row r="284" spans="1:37" x14ac:dyDescent="0.25">
      <c r="A284" s="207" t="s">
        <v>3106</v>
      </c>
      <c r="B284" s="207">
        <v>0</v>
      </c>
      <c r="C284" s="207" t="s">
        <v>2726</v>
      </c>
      <c r="D284" s="207" t="s">
        <v>2726</v>
      </c>
      <c r="E284" s="207" t="s">
        <v>3105</v>
      </c>
      <c r="F284" s="207" t="s">
        <v>2728</v>
      </c>
      <c r="G284" s="207" t="s">
        <v>2726</v>
      </c>
      <c r="H284" s="207">
        <v>60</v>
      </c>
      <c r="I284" s="207" t="s">
        <v>2737</v>
      </c>
      <c r="J284" s="207" t="s">
        <v>2872</v>
      </c>
      <c r="K284" s="207" t="s">
        <v>2726</v>
      </c>
      <c r="L284" s="207" t="s">
        <v>2726</v>
      </c>
      <c r="M284" s="207" t="s">
        <v>2770</v>
      </c>
      <c r="N284" s="207" t="s">
        <v>2726</v>
      </c>
      <c r="O284" s="207" t="s">
        <v>2726</v>
      </c>
      <c r="P284" s="207" t="s">
        <v>2739</v>
      </c>
      <c r="Q284" s="207" t="s">
        <v>2733</v>
      </c>
      <c r="R284" s="207">
        <v>121</v>
      </c>
      <c r="S284" s="207" t="s">
        <v>2726</v>
      </c>
      <c r="T284" s="207" t="s">
        <v>1239</v>
      </c>
      <c r="U284" s="207" t="s">
        <v>2771</v>
      </c>
      <c r="V284" s="207" t="s">
        <v>2726</v>
      </c>
      <c r="W284" s="207" t="s">
        <v>629</v>
      </c>
      <c r="X284" s="207">
        <v>-25984</v>
      </c>
      <c r="Y284" s="207" t="s">
        <v>181</v>
      </c>
      <c r="Z284" s="207" t="s">
        <v>2726</v>
      </c>
      <c r="AA284" s="207" t="s">
        <v>2726</v>
      </c>
      <c r="AB284" s="207" t="s">
        <v>2726</v>
      </c>
      <c r="AC284" s="207" t="s">
        <v>2726</v>
      </c>
      <c r="AD284" s="207" t="s">
        <v>2726</v>
      </c>
      <c r="AE284" s="207" t="s">
        <v>2726</v>
      </c>
      <c r="AF284" s="207" t="s">
        <v>2726</v>
      </c>
      <c r="AG284" s="207" t="s">
        <v>2726</v>
      </c>
      <c r="AH284" s="207" t="s">
        <v>2726</v>
      </c>
      <c r="AI284" s="207" t="s">
        <v>1283</v>
      </c>
      <c r="AJ284" s="207" t="s">
        <v>2726</v>
      </c>
      <c r="AK284" s="207" t="s">
        <v>3105</v>
      </c>
    </row>
    <row r="285" spans="1:37" x14ac:dyDescent="0.25">
      <c r="A285" s="207" t="s">
        <v>3107</v>
      </c>
      <c r="B285" s="207">
        <v>0</v>
      </c>
      <c r="C285" s="207" t="s">
        <v>2726</v>
      </c>
      <c r="D285" s="207" t="s">
        <v>2726</v>
      </c>
      <c r="E285" s="207" t="s">
        <v>3108</v>
      </c>
      <c r="F285" s="207" t="s">
        <v>2728</v>
      </c>
      <c r="G285" s="207" t="s">
        <v>2726</v>
      </c>
      <c r="H285" s="207">
        <v>60</v>
      </c>
      <c r="I285" s="207" t="s">
        <v>2737</v>
      </c>
      <c r="J285" s="207" t="s">
        <v>2872</v>
      </c>
      <c r="K285" s="207" t="s">
        <v>2726</v>
      </c>
      <c r="L285" s="207" t="s">
        <v>2726</v>
      </c>
      <c r="M285" s="207" t="s">
        <v>2731</v>
      </c>
      <c r="N285" s="207" t="s">
        <v>2726</v>
      </c>
      <c r="O285" s="207" t="s">
        <v>2726</v>
      </c>
      <c r="P285" s="207" t="s">
        <v>2739</v>
      </c>
      <c r="Q285" s="207" t="s">
        <v>2733</v>
      </c>
      <c r="R285" s="207">
        <v>121</v>
      </c>
      <c r="S285" s="207" t="s">
        <v>2726</v>
      </c>
      <c r="T285" s="207" t="s">
        <v>1239</v>
      </c>
      <c r="U285" s="207" t="s">
        <v>2745</v>
      </c>
      <c r="V285" s="207" t="s">
        <v>2726</v>
      </c>
      <c r="W285" s="207" t="s">
        <v>629</v>
      </c>
      <c r="X285" s="207">
        <v>-274032</v>
      </c>
      <c r="Y285" s="207" t="s">
        <v>59</v>
      </c>
      <c r="Z285" s="207" t="s">
        <v>2726</v>
      </c>
      <c r="AA285" s="207" t="s">
        <v>2726</v>
      </c>
      <c r="AB285" s="207" t="s">
        <v>2726</v>
      </c>
      <c r="AC285" s="207" t="s">
        <v>2726</v>
      </c>
      <c r="AD285" s="207" t="s">
        <v>2726</v>
      </c>
      <c r="AE285" s="207" t="s">
        <v>2726</v>
      </c>
      <c r="AF285" s="207" t="s">
        <v>2726</v>
      </c>
      <c r="AG285" s="207" t="s">
        <v>2726</v>
      </c>
      <c r="AH285" s="207" t="s">
        <v>2726</v>
      </c>
      <c r="AI285" s="207" t="s">
        <v>1242</v>
      </c>
      <c r="AJ285" s="207" t="s">
        <v>2726</v>
      </c>
      <c r="AK285" s="207" t="s">
        <v>3108</v>
      </c>
    </row>
    <row r="286" spans="1:37" x14ac:dyDescent="0.25">
      <c r="A286" s="207" t="s">
        <v>3109</v>
      </c>
      <c r="B286" s="207">
        <v>0</v>
      </c>
      <c r="C286" s="207" t="s">
        <v>2726</v>
      </c>
      <c r="D286" s="207" t="s">
        <v>2726</v>
      </c>
      <c r="E286" s="207" t="s">
        <v>3108</v>
      </c>
      <c r="F286" s="207" t="s">
        <v>2728</v>
      </c>
      <c r="G286" s="207" t="s">
        <v>2726</v>
      </c>
      <c r="H286" s="207">
        <v>60</v>
      </c>
      <c r="I286" s="207" t="s">
        <v>2737</v>
      </c>
      <c r="J286" s="207" t="s">
        <v>2872</v>
      </c>
      <c r="K286" s="207" t="s">
        <v>2726</v>
      </c>
      <c r="L286" s="207" t="s">
        <v>2726</v>
      </c>
      <c r="M286" s="207" t="s">
        <v>2731</v>
      </c>
      <c r="N286" s="207" t="s">
        <v>2726</v>
      </c>
      <c r="O286" s="207" t="s">
        <v>2726</v>
      </c>
      <c r="P286" s="207" t="s">
        <v>2739</v>
      </c>
      <c r="Q286" s="207" t="s">
        <v>2733</v>
      </c>
      <c r="R286" s="207">
        <v>121</v>
      </c>
      <c r="S286" s="207" t="s">
        <v>2726</v>
      </c>
      <c r="T286" s="207" t="s">
        <v>1239</v>
      </c>
      <c r="U286" s="207" t="s">
        <v>2745</v>
      </c>
      <c r="V286" s="207" t="s">
        <v>2726</v>
      </c>
      <c r="W286" s="207" t="s">
        <v>2741</v>
      </c>
      <c r="X286" s="207">
        <v>274032</v>
      </c>
      <c r="Y286" s="207" t="s">
        <v>88</v>
      </c>
      <c r="Z286" s="207" t="s">
        <v>2726</v>
      </c>
      <c r="AA286" s="207" t="s">
        <v>2726</v>
      </c>
      <c r="AB286" s="207" t="s">
        <v>2726</v>
      </c>
      <c r="AC286" s="207" t="s">
        <v>2726</v>
      </c>
      <c r="AD286" s="207" t="s">
        <v>2726</v>
      </c>
      <c r="AE286" s="207" t="s">
        <v>2726</v>
      </c>
      <c r="AF286" s="207" t="s">
        <v>2726</v>
      </c>
      <c r="AG286" s="207" t="s">
        <v>2726</v>
      </c>
      <c r="AH286" s="207" t="s">
        <v>2726</v>
      </c>
      <c r="AI286" s="207" t="s">
        <v>1245</v>
      </c>
      <c r="AJ286" s="207" t="s">
        <v>2726</v>
      </c>
      <c r="AK286" s="207" t="s">
        <v>3108</v>
      </c>
    </row>
    <row r="287" spans="1:37" x14ac:dyDescent="0.25">
      <c r="A287" s="207" t="s">
        <v>3110</v>
      </c>
      <c r="B287" s="207">
        <v>0</v>
      </c>
      <c r="C287" s="207" t="s">
        <v>2726</v>
      </c>
      <c r="D287" s="207" t="s">
        <v>2726</v>
      </c>
      <c r="E287" s="207" t="s">
        <v>3111</v>
      </c>
      <c r="F287" s="207" t="s">
        <v>2728</v>
      </c>
      <c r="G287" s="207" t="s">
        <v>2726</v>
      </c>
      <c r="H287" s="207">
        <v>60</v>
      </c>
      <c r="I287" s="207" t="s">
        <v>2737</v>
      </c>
      <c r="J287" s="207" t="s">
        <v>2897</v>
      </c>
      <c r="K287" s="207" t="s">
        <v>2726</v>
      </c>
      <c r="L287" s="207" t="s">
        <v>2726</v>
      </c>
      <c r="M287" s="207" t="s">
        <v>2770</v>
      </c>
      <c r="N287" s="207" t="s">
        <v>2726</v>
      </c>
      <c r="O287" s="207" t="s">
        <v>2726</v>
      </c>
      <c r="P287" s="207" t="s">
        <v>2739</v>
      </c>
      <c r="Q287" s="207" t="s">
        <v>2733</v>
      </c>
      <c r="R287" s="207">
        <v>121</v>
      </c>
      <c r="S287" s="207" t="s">
        <v>2726</v>
      </c>
      <c r="T287" s="207" t="s">
        <v>1239</v>
      </c>
      <c r="U287" s="207" t="s">
        <v>2771</v>
      </c>
      <c r="V287" s="207" t="s">
        <v>2726</v>
      </c>
      <c r="W287" s="207" t="s">
        <v>2741</v>
      </c>
      <c r="X287" s="207">
        <v>28729</v>
      </c>
      <c r="Y287" s="207" t="s">
        <v>107</v>
      </c>
      <c r="Z287" s="207" t="s">
        <v>2726</v>
      </c>
      <c r="AA287" s="207" t="s">
        <v>2726</v>
      </c>
      <c r="AB287" s="207" t="s">
        <v>2726</v>
      </c>
      <c r="AC287" s="207" t="s">
        <v>2726</v>
      </c>
      <c r="AD287" s="207" t="s">
        <v>2726</v>
      </c>
      <c r="AE287" s="207" t="s">
        <v>2726</v>
      </c>
      <c r="AF287" s="207" t="s">
        <v>2726</v>
      </c>
      <c r="AG287" s="207" t="s">
        <v>2726</v>
      </c>
      <c r="AH287" s="207" t="s">
        <v>2726</v>
      </c>
      <c r="AI287" s="207" t="s">
        <v>1264</v>
      </c>
      <c r="AJ287" s="207" t="s">
        <v>2726</v>
      </c>
      <c r="AK287" s="207" t="s">
        <v>3111</v>
      </c>
    </row>
    <row r="288" spans="1:37" x14ac:dyDescent="0.25">
      <c r="A288" s="207" t="s">
        <v>3112</v>
      </c>
      <c r="B288" s="207">
        <v>0</v>
      </c>
      <c r="C288" s="207" t="s">
        <v>2726</v>
      </c>
      <c r="D288" s="207" t="s">
        <v>2726</v>
      </c>
      <c r="E288" s="207" t="s">
        <v>3111</v>
      </c>
      <c r="F288" s="207" t="s">
        <v>2728</v>
      </c>
      <c r="G288" s="207" t="s">
        <v>2726</v>
      </c>
      <c r="H288" s="207">
        <v>60</v>
      </c>
      <c r="I288" s="207" t="s">
        <v>2737</v>
      </c>
      <c r="J288" s="207" t="s">
        <v>2897</v>
      </c>
      <c r="K288" s="207" t="s">
        <v>2726</v>
      </c>
      <c r="L288" s="207" t="s">
        <v>2726</v>
      </c>
      <c r="M288" s="207" t="s">
        <v>2770</v>
      </c>
      <c r="N288" s="207" t="s">
        <v>2726</v>
      </c>
      <c r="O288" s="207" t="s">
        <v>2726</v>
      </c>
      <c r="P288" s="207" t="s">
        <v>2739</v>
      </c>
      <c r="Q288" s="207" t="s">
        <v>2733</v>
      </c>
      <c r="R288" s="207">
        <v>121</v>
      </c>
      <c r="S288" s="207" t="s">
        <v>2726</v>
      </c>
      <c r="T288" s="207" t="s">
        <v>1239</v>
      </c>
      <c r="U288" s="207" t="s">
        <v>2771</v>
      </c>
      <c r="V288" s="207" t="s">
        <v>2726</v>
      </c>
      <c r="W288" s="207" t="s">
        <v>629</v>
      </c>
      <c r="X288" s="207">
        <v>-28729</v>
      </c>
      <c r="Y288" s="207" t="s">
        <v>121</v>
      </c>
      <c r="Z288" s="207" t="s">
        <v>2726</v>
      </c>
      <c r="AA288" s="207" t="s">
        <v>2726</v>
      </c>
      <c r="AB288" s="207" t="s">
        <v>2726</v>
      </c>
      <c r="AC288" s="207" t="s">
        <v>2726</v>
      </c>
      <c r="AD288" s="207" t="s">
        <v>2726</v>
      </c>
      <c r="AE288" s="207" t="s">
        <v>2726</v>
      </c>
      <c r="AF288" s="207" t="s">
        <v>2726</v>
      </c>
      <c r="AG288" s="207" t="s">
        <v>2726</v>
      </c>
      <c r="AH288" s="207" t="s">
        <v>2726</v>
      </c>
      <c r="AI288" s="207" t="s">
        <v>1268</v>
      </c>
      <c r="AJ288" s="207" t="s">
        <v>2726</v>
      </c>
      <c r="AK288" s="207" t="s">
        <v>3111</v>
      </c>
    </row>
    <row r="289" spans="1:37" x14ac:dyDescent="0.25">
      <c r="A289" s="207" t="s">
        <v>3113</v>
      </c>
      <c r="B289" s="207">
        <v>0</v>
      </c>
      <c r="C289" s="207" t="s">
        <v>2726</v>
      </c>
      <c r="D289" s="207" t="s">
        <v>2726</v>
      </c>
      <c r="E289" s="207" t="s">
        <v>3114</v>
      </c>
      <c r="F289" s="207" t="s">
        <v>2728</v>
      </c>
      <c r="G289" s="207" t="s">
        <v>2726</v>
      </c>
      <c r="H289" s="207">
        <v>60</v>
      </c>
      <c r="I289" s="207" t="s">
        <v>2737</v>
      </c>
      <c r="J289" s="207" t="s">
        <v>2872</v>
      </c>
      <c r="K289" s="207" t="s">
        <v>2726</v>
      </c>
      <c r="L289" s="207" t="s">
        <v>2726</v>
      </c>
      <c r="M289" s="207" t="s">
        <v>2738</v>
      </c>
      <c r="N289" s="207" t="s">
        <v>2726</v>
      </c>
      <c r="O289" s="207" t="s">
        <v>2726</v>
      </c>
      <c r="P289" s="207" t="s">
        <v>2739</v>
      </c>
      <c r="Q289" s="207" t="s">
        <v>2733</v>
      </c>
      <c r="R289" s="207">
        <v>121</v>
      </c>
      <c r="S289" s="207" t="s">
        <v>2726</v>
      </c>
      <c r="T289" s="207" t="s">
        <v>1262</v>
      </c>
      <c r="U289" s="207" t="s">
        <v>2740</v>
      </c>
      <c r="V289" s="207" t="s">
        <v>2726</v>
      </c>
      <c r="W289" s="207" t="s">
        <v>2741</v>
      </c>
      <c r="X289" s="207">
        <v>2582</v>
      </c>
      <c r="Y289" s="207" t="s">
        <v>90</v>
      </c>
      <c r="Z289" s="207" t="s">
        <v>2726</v>
      </c>
      <c r="AA289" s="207" t="s">
        <v>2726</v>
      </c>
      <c r="AB289" s="207" t="s">
        <v>2726</v>
      </c>
      <c r="AC289" s="207" t="s">
        <v>2726</v>
      </c>
      <c r="AD289" s="207" t="s">
        <v>2726</v>
      </c>
      <c r="AE289" s="207" t="s">
        <v>2726</v>
      </c>
      <c r="AF289" s="207" t="s">
        <v>2726</v>
      </c>
      <c r="AG289" s="207" t="s">
        <v>2726</v>
      </c>
      <c r="AH289" s="207" t="s">
        <v>2726</v>
      </c>
      <c r="AI289" s="207" t="s">
        <v>1281</v>
      </c>
      <c r="AJ289" s="207" t="s">
        <v>2726</v>
      </c>
      <c r="AK289" s="207" t="s">
        <v>3114</v>
      </c>
    </row>
    <row r="290" spans="1:37" x14ac:dyDescent="0.25">
      <c r="A290" s="207" t="s">
        <v>3115</v>
      </c>
      <c r="B290" s="207">
        <v>0</v>
      </c>
      <c r="C290" s="207" t="s">
        <v>2726</v>
      </c>
      <c r="D290" s="207" t="s">
        <v>2726</v>
      </c>
      <c r="E290" s="207" t="s">
        <v>3114</v>
      </c>
      <c r="F290" s="207" t="s">
        <v>2728</v>
      </c>
      <c r="G290" s="207" t="s">
        <v>2726</v>
      </c>
      <c r="H290" s="207">
        <v>60</v>
      </c>
      <c r="I290" s="207" t="s">
        <v>2737</v>
      </c>
      <c r="J290" s="207" t="s">
        <v>2872</v>
      </c>
      <c r="K290" s="207" t="s">
        <v>2726</v>
      </c>
      <c r="L290" s="207" t="s">
        <v>2726</v>
      </c>
      <c r="M290" s="207" t="s">
        <v>2738</v>
      </c>
      <c r="N290" s="207" t="s">
        <v>2726</v>
      </c>
      <c r="O290" s="207" t="s">
        <v>2726</v>
      </c>
      <c r="P290" s="207" t="s">
        <v>2739</v>
      </c>
      <c r="Q290" s="207" t="s">
        <v>2733</v>
      </c>
      <c r="R290" s="207">
        <v>121</v>
      </c>
      <c r="S290" s="207" t="s">
        <v>2726</v>
      </c>
      <c r="T290" s="207" t="s">
        <v>1262</v>
      </c>
      <c r="U290" s="207" t="s">
        <v>2740</v>
      </c>
      <c r="V290" s="207" t="s">
        <v>2726</v>
      </c>
      <c r="W290" s="207" t="s">
        <v>629</v>
      </c>
      <c r="X290" s="207">
        <v>-2582</v>
      </c>
      <c r="Y290" s="207" t="s">
        <v>96</v>
      </c>
      <c r="Z290" s="207" t="s">
        <v>2726</v>
      </c>
      <c r="AA290" s="207" t="s">
        <v>2726</v>
      </c>
      <c r="AB290" s="207" t="s">
        <v>2726</v>
      </c>
      <c r="AC290" s="207" t="s">
        <v>2726</v>
      </c>
      <c r="AD290" s="207" t="s">
        <v>2726</v>
      </c>
      <c r="AE290" s="207" t="s">
        <v>2726</v>
      </c>
      <c r="AF290" s="207" t="s">
        <v>2726</v>
      </c>
      <c r="AG290" s="207" t="s">
        <v>2726</v>
      </c>
      <c r="AH290" s="207" t="s">
        <v>2726</v>
      </c>
      <c r="AI290" s="207" t="s">
        <v>1240</v>
      </c>
      <c r="AJ290" s="207" t="s">
        <v>2726</v>
      </c>
      <c r="AK290" s="207" t="s">
        <v>3114</v>
      </c>
    </row>
    <row r="291" spans="1:37" x14ac:dyDescent="0.25">
      <c r="A291" s="207" t="s">
        <v>3116</v>
      </c>
      <c r="B291" s="207">
        <v>0</v>
      </c>
      <c r="C291" s="207" t="s">
        <v>2726</v>
      </c>
      <c r="D291" s="207" t="s">
        <v>2726</v>
      </c>
      <c r="E291" s="207" t="s">
        <v>3117</v>
      </c>
      <c r="F291" s="207" t="s">
        <v>2728</v>
      </c>
      <c r="G291" s="207" t="s">
        <v>2726</v>
      </c>
      <c r="H291" s="207">
        <v>60</v>
      </c>
      <c r="I291" s="207" t="s">
        <v>2737</v>
      </c>
      <c r="J291" s="207" t="s">
        <v>2785</v>
      </c>
      <c r="K291" s="207" t="s">
        <v>2726</v>
      </c>
      <c r="L291" s="207" t="s">
        <v>2726</v>
      </c>
      <c r="M291" s="207" t="s">
        <v>2770</v>
      </c>
      <c r="N291" s="207" t="s">
        <v>2726</v>
      </c>
      <c r="O291" s="207" t="s">
        <v>2726</v>
      </c>
      <c r="P291" s="207" t="s">
        <v>2739</v>
      </c>
      <c r="Q291" s="207" t="s">
        <v>2733</v>
      </c>
      <c r="R291" s="207">
        <v>121</v>
      </c>
      <c r="S291" s="207" t="s">
        <v>2726</v>
      </c>
      <c r="T291" s="207" t="s">
        <v>1239</v>
      </c>
      <c r="U291" s="207" t="s">
        <v>2771</v>
      </c>
      <c r="V291" s="207" t="s">
        <v>2726</v>
      </c>
      <c r="W291" s="207" t="s">
        <v>2741</v>
      </c>
      <c r="X291" s="207">
        <v>40000</v>
      </c>
      <c r="Y291" s="207" t="s">
        <v>129</v>
      </c>
      <c r="Z291" s="207" t="s">
        <v>2726</v>
      </c>
      <c r="AA291" s="207" t="s">
        <v>2726</v>
      </c>
      <c r="AB291" s="207" t="s">
        <v>2726</v>
      </c>
      <c r="AC291" s="207" t="s">
        <v>2726</v>
      </c>
      <c r="AD291" s="207" t="s">
        <v>2726</v>
      </c>
      <c r="AE291" s="207" t="s">
        <v>2726</v>
      </c>
      <c r="AF291" s="207" t="s">
        <v>2726</v>
      </c>
      <c r="AG291" s="207" t="s">
        <v>2726</v>
      </c>
      <c r="AH291" s="207" t="s">
        <v>2726</v>
      </c>
      <c r="AI291" s="207" t="s">
        <v>1252</v>
      </c>
      <c r="AJ291" s="207" t="s">
        <v>2726</v>
      </c>
      <c r="AK291" s="207" t="s">
        <v>3117</v>
      </c>
    </row>
    <row r="292" spans="1:37" x14ac:dyDescent="0.25">
      <c r="A292" s="207" t="s">
        <v>3118</v>
      </c>
      <c r="B292" s="207">
        <v>0</v>
      </c>
      <c r="C292" s="207" t="s">
        <v>2726</v>
      </c>
      <c r="D292" s="207" t="s">
        <v>2726</v>
      </c>
      <c r="E292" s="207" t="s">
        <v>3117</v>
      </c>
      <c r="F292" s="207" t="s">
        <v>2728</v>
      </c>
      <c r="G292" s="207" t="s">
        <v>2726</v>
      </c>
      <c r="H292" s="207">
        <v>60</v>
      </c>
      <c r="I292" s="207" t="s">
        <v>2737</v>
      </c>
      <c r="J292" s="207" t="s">
        <v>2785</v>
      </c>
      <c r="K292" s="207" t="s">
        <v>2726</v>
      </c>
      <c r="L292" s="207" t="s">
        <v>2726</v>
      </c>
      <c r="M292" s="207" t="s">
        <v>2770</v>
      </c>
      <c r="N292" s="207" t="s">
        <v>2726</v>
      </c>
      <c r="O292" s="207" t="s">
        <v>2726</v>
      </c>
      <c r="P292" s="207" t="s">
        <v>2739</v>
      </c>
      <c r="Q292" s="207" t="s">
        <v>2733</v>
      </c>
      <c r="R292" s="207">
        <v>121</v>
      </c>
      <c r="S292" s="207" t="s">
        <v>2726</v>
      </c>
      <c r="T292" s="207" t="s">
        <v>1239</v>
      </c>
      <c r="U292" s="207" t="s">
        <v>2771</v>
      </c>
      <c r="V292" s="207" t="s">
        <v>2726</v>
      </c>
      <c r="W292" s="207" t="s">
        <v>629</v>
      </c>
      <c r="X292" s="207">
        <v>-40000</v>
      </c>
      <c r="Y292" s="207" t="s">
        <v>121</v>
      </c>
      <c r="Z292" s="207" t="s">
        <v>2726</v>
      </c>
      <c r="AA292" s="207" t="s">
        <v>2726</v>
      </c>
      <c r="AB292" s="207" t="s">
        <v>2726</v>
      </c>
      <c r="AC292" s="207" t="s">
        <v>2726</v>
      </c>
      <c r="AD292" s="207" t="s">
        <v>2726</v>
      </c>
      <c r="AE292" s="207" t="s">
        <v>2726</v>
      </c>
      <c r="AF292" s="207" t="s">
        <v>2726</v>
      </c>
      <c r="AG292" s="207" t="s">
        <v>2726</v>
      </c>
      <c r="AH292" s="207" t="s">
        <v>2726</v>
      </c>
      <c r="AI292" s="207" t="s">
        <v>1268</v>
      </c>
      <c r="AJ292" s="207" t="s">
        <v>2726</v>
      </c>
      <c r="AK292" s="207" t="s">
        <v>3117</v>
      </c>
    </row>
    <row r="293" spans="1:37" x14ac:dyDescent="0.25">
      <c r="A293" s="207" t="s">
        <v>3119</v>
      </c>
      <c r="B293" s="207">
        <v>0</v>
      </c>
      <c r="C293" s="207" t="s">
        <v>2726</v>
      </c>
      <c r="D293" s="207" t="s">
        <v>2726</v>
      </c>
      <c r="E293" s="207" t="s">
        <v>3120</v>
      </c>
      <c r="F293" s="207" t="s">
        <v>2728</v>
      </c>
      <c r="G293" s="207" t="s">
        <v>2726</v>
      </c>
      <c r="H293" s="207">
        <v>60</v>
      </c>
      <c r="I293" s="207" t="s">
        <v>2737</v>
      </c>
      <c r="J293" s="207" t="s">
        <v>2730</v>
      </c>
      <c r="K293" s="207" t="s">
        <v>2726</v>
      </c>
      <c r="L293" s="207" t="s">
        <v>2726</v>
      </c>
      <c r="M293" s="207" t="s">
        <v>2731</v>
      </c>
      <c r="N293" s="207" t="s">
        <v>2726</v>
      </c>
      <c r="O293" s="207" t="s">
        <v>2726</v>
      </c>
      <c r="P293" s="207" t="s">
        <v>2739</v>
      </c>
      <c r="Q293" s="207" t="s">
        <v>2733</v>
      </c>
      <c r="R293" s="207">
        <v>121</v>
      </c>
      <c r="S293" s="207" t="s">
        <v>2726</v>
      </c>
      <c r="T293" s="207" t="s">
        <v>1239</v>
      </c>
      <c r="U293" s="207" t="s">
        <v>2745</v>
      </c>
      <c r="V293" s="207" t="s">
        <v>2726</v>
      </c>
      <c r="W293" s="207" t="s">
        <v>2741</v>
      </c>
      <c r="X293" s="207">
        <v>87191</v>
      </c>
      <c r="Y293" s="207" t="s">
        <v>84</v>
      </c>
      <c r="Z293" s="207" t="s">
        <v>2726</v>
      </c>
      <c r="AA293" s="207" t="s">
        <v>2726</v>
      </c>
      <c r="AB293" s="207" t="s">
        <v>2726</v>
      </c>
      <c r="AC293" s="207" t="s">
        <v>2726</v>
      </c>
      <c r="AD293" s="207" t="s">
        <v>2726</v>
      </c>
      <c r="AE293" s="207" t="s">
        <v>2726</v>
      </c>
      <c r="AF293" s="207" t="s">
        <v>2726</v>
      </c>
      <c r="AG293" s="207" t="s">
        <v>2726</v>
      </c>
      <c r="AH293" s="207" t="s">
        <v>2726</v>
      </c>
      <c r="AI293" s="207" t="s">
        <v>1300</v>
      </c>
      <c r="AJ293" s="207" t="s">
        <v>2726</v>
      </c>
      <c r="AK293" s="207" t="s">
        <v>3120</v>
      </c>
    </row>
    <row r="294" spans="1:37" x14ac:dyDescent="0.25">
      <c r="A294" s="207" t="s">
        <v>3121</v>
      </c>
      <c r="B294" s="207">
        <v>0</v>
      </c>
      <c r="C294" s="207" t="s">
        <v>2726</v>
      </c>
      <c r="D294" s="207" t="s">
        <v>2726</v>
      </c>
      <c r="E294" s="207" t="s">
        <v>3120</v>
      </c>
      <c r="F294" s="207" t="s">
        <v>2728</v>
      </c>
      <c r="G294" s="207" t="s">
        <v>2726</v>
      </c>
      <c r="H294" s="207">
        <v>60</v>
      </c>
      <c r="I294" s="207" t="s">
        <v>2737</v>
      </c>
      <c r="J294" s="207" t="s">
        <v>2730</v>
      </c>
      <c r="K294" s="207" t="s">
        <v>2726</v>
      </c>
      <c r="L294" s="207" t="s">
        <v>2726</v>
      </c>
      <c r="M294" s="207" t="s">
        <v>2731</v>
      </c>
      <c r="N294" s="207" t="s">
        <v>2726</v>
      </c>
      <c r="O294" s="207" t="s">
        <v>2726</v>
      </c>
      <c r="P294" s="207" t="s">
        <v>2739</v>
      </c>
      <c r="Q294" s="207" t="s">
        <v>2733</v>
      </c>
      <c r="R294" s="207">
        <v>121</v>
      </c>
      <c r="S294" s="207" t="s">
        <v>2726</v>
      </c>
      <c r="T294" s="207" t="s">
        <v>1239</v>
      </c>
      <c r="U294" s="207" t="s">
        <v>2745</v>
      </c>
      <c r="V294" s="207" t="s">
        <v>2726</v>
      </c>
      <c r="W294" s="207" t="s">
        <v>629</v>
      </c>
      <c r="X294" s="207">
        <v>-87191</v>
      </c>
      <c r="Y294" s="207" t="s">
        <v>59</v>
      </c>
      <c r="Z294" s="207" t="s">
        <v>2726</v>
      </c>
      <c r="AA294" s="207" t="s">
        <v>2726</v>
      </c>
      <c r="AB294" s="207" t="s">
        <v>2726</v>
      </c>
      <c r="AC294" s="207" t="s">
        <v>2726</v>
      </c>
      <c r="AD294" s="207" t="s">
        <v>2726</v>
      </c>
      <c r="AE294" s="207" t="s">
        <v>2726</v>
      </c>
      <c r="AF294" s="207" t="s">
        <v>2726</v>
      </c>
      <c r="AG294" s="207" t="s">
        <v>2726</v>
      </c>
      <c r="AH294" s="207" t="s">
        <v>2726</v>
      </c>
      <c r="AI294" s="207" t="s">
        <v>1242</v>
      </c>
      <c r="AJ294" s="207" t="s">
        <v>2726</v>
      </c>
      <c r="AK294" s="207" t="s">
        <v>3120</v>
      </c>
    </row>
    <row r="295" spans="1:37" x14ac:dyDescent="0.25">
      <c r="A295" s="207" t="s">
        <v>3122</v>
      </c>
      <c r="B295" s="207">
        <v>0</v>
      </c>
      <c r="C295" s="207" t="s">
        <v>2726</v>
      </c>
      <c r="D295" s="207" t="s">
        <v>2726</v>
      </c>
      <c r="E295" s="207" t="s">
        <v>3123</v>
      </c>
      <c r="F295" s="207" t="s">
        <v>2728</v>
      </c>
      <c r="G295" s="207" t="s">
        <v>2726</v>
      </c>
      <c r="H295" s="207">
        <v>60</v>
      </c>
      <c r="I295" s="207" t="s">
        <v>2922</v>
      </c>
      <c r="J295" s="207" t="s">
        <v>3124</v>
      </c>
      <c r="K295" s="207" t="s">
        <v>2726</v>
      </c>
      <c r="L295" s="207" t="s">
        <v>2726</v>
      </c>
      <c r="M295" s="207" t="s">
        <v>2770</v>
      </c>
      <c r="N295" s="207" t="s">
        <v>2726</v>
      </c>
      <c r="O295" s="207" t="s">
        <v>2726</v>
      </c>
      <c r="P295" s="207" t="s">
        <v>2739</v>
      </c>
      <c r="Q295" s="207" t="s">
        <v>2733</v>
      </c>
      <c r="R295" s="207">
        <v>221</v>
      </c>
      <c r="S295" s="207" t="s">
        <v>2726</v>
      </c>
      <c r="T295" s="207" t="s">
        <v>1239</v>
      </c>
      <c r="U295" s="207" t="s">
        <v>2822</v>
      </c>
      <c r="V295" s="207" t="s">
        <v>2726</v>
      </c>
      <c r="W295" s="207" t="s">
        <v>629</v>
      </c>
      <c r="X295" s="207">
        <v>-6604345</v>
      </c>
      <c r="Y295" s="207" t="s">
        <v>226</v>
      </c>
      <c r="Z295" s="207" t="s">
        <v>2726</v>
      </c>
      <c r="AA295" s="207" t="s">
        <v>2726</v>
      </c>
      <c r="AB295" s="207" t="s">
        <v>2726</v>
      </c>
      <c r="AC295" s="207" t="s">
        <v>2726</v>
      </c>
      <c r="AD295" s="207" t="s">
        <v>2726</v>
      </c>
      <c r="AE295" s="207" t="s">
        <v>2726</v>
      </c>
      <c r="AF295" s="207" t="s">
        <v>2726</v>
      </c>
      <c r="AG295" s="207" t="s">
        <v>2726</v>
      </c>
      <c r="AH295" s="207" t="s">
        <v>2726</v>
      </c>
      <c r="AI295" s="207" t="s">
        <v>1288</v>
      </c>
      <c r="AJ295" s="207" t="s">
        <v>2726</v>
      </c>
      <c r="AK295" s="207" t="s">
        <v>3123</v>
      </c>
    </row>
    <row r="296" spans="1:37" x14ac:dyDescent="0.25">
      <c r="A296" s="207" t="s">
        <v>3125</v>
      </c>
      <c r="B296" s="207">
        <v>0</v>
      </c>
      <c r="C296" s="207" t="s">
        <v>2726</v>
      </c>
      <c r="D296" s="207" t="s">
        <v>2726</v>
      </c>
      <c r="E296" s="207" t="s">
        <v>3123</v>
      </c>
      <c r="F296" s="207" t="s">
        <v>2728</v>
      </c>
      <c r="G296" s="207" t="s">
        <v>2726</v>
      </c>
      <c r="H296" s="207">
        <v>60</v>
      </c>
      <c r="I296" s="207" t="s">
        <v>2922</v>
      </c>
      <c r="J296" s="207" t="s">
        <v>3124</v>
      </c>
      <c r="K296" s="207" t="s">
        <v>2726</v>
      </c>
      <c r="L296" s="207" t="s">
        <v>2726</v>
      </c>
      <c r="M296" s="207" t="s">
        <v>2770</v>
      </c>
      <c r="N296" s="207" t="s">
        <v>2726</v>
      </c>
      <c r="O296" s="207" t="s">
        <v>2726</v>
      </c>
      <c r="P296" s="207" t="s">
        <v>2739</v>
      </c>
      <c r="Q296" s="207" t="s">
        <v>2733</v>
      </c>
      <c r="R296" s="207">
        <v>221</v>
      </c>
      <c r="S296" s="207" t="s">
        <v>2726</v>
      </c>
      <c r="T296" s="207" t="s">
        <v>1239</v>
      </c>
      <c r="U296" s="207" t="s">
        <v>2822</v>
      </c>
      <c r="V296" s="207" t="s">
        <v>2726</v>
      </c>
      <c r="W296" s="207" t="s">
        <v>629</v>
      </c>
      <c r="X296" s="207">
        <v>-3395608</v>
      </c>
      <c r="Y296" s="207" t="s">
        <v>228</v>
      </c>
      <c r="Z296" s="207" t="s">
        <v>2726</v>
      </c>
      <c r="AA296" s="207" t="s">
        <v>2726</v>
      </c>
      <c r="AB296" s="207" t="s">
        <v>2726</v>
      </c>
      <c r="AC296" s="207" t="s">
        <v>2726</v>
      </c>
      <c r="AD296" s="207" t="s">
        <v>2726</v>
      </c>
      <c r="AE296" s="207" t="s">
        <v>2726</v>
      </c>
      <c r="AF296" s="207" t="s">
        <v>2726</v>
      </c>
      <c r="AG296" s="207" t="s">
        <v>2726</v>
      </c>
      <c r="AH296" s="207" t="s">
        <v>2726</v>
      </c>
      <c r="AI296" s="207" t="s">
        <v>1290</v>
      </c>
      <c r="AJ296" s="207" t="s">
        <v>2726</v>
      </c>
      <c r="AK296" s="207" t="s">
        <v>3123</v>
      </c>
    </row>
    <row r="297" spans="1:37" x14ac:dyDescent="0.25">
      <c r="A297" s="207" t="s">
        <v>3126</v>
      </c>
      <c r="B297" s="207">
        <v>0</v>
      </c>
      <c r="C297" s="207" t="s">
        <v>2726</v>
      </c>
      <c r="D297" s="207" t="s">
        <v>2726</v>
      </c>
      <c r="E297" s="207" t="s">
        <v>3123</v>
      </c>
      <c r="F297" s="207" t="s">
        <v>2728</v>
      </c>
      <c r="G297" s="207" t="s">
        <v>2726</v>
      </c>
      <c r="H297" s="207">
        <v>60</v>
      </c>
      <c r="I297" s="207" t="s">
        <v>2737</v>
      </c>
      <c r="J297" s="207" t="s">
        <v>3124</v>
      </c>
      <c r="K297" s="207" t="s">
        <v>2726</v>
      </c>
      <c r="L297" s="207" t="s">
        <v>2726</v>
      </c>
      <c r="M297" s="207" t="s">
        <v>2770</v>
      </c>
      <c r="N297" s="207" t="s">
        <v>2726</v>
      </c>
      <c r="O297" s="207" t="s">
        <v>2726</v>
      </c>
      <c r="P297" s="207" t="s">
        <v>2739</v>
      </c>
      <c r="Q297" s="207" t="s">
        <v>2733</v>
      </c>
      <c r="R297" s="207">
        <v>121</v>
      </c>
      <c r="S297" s="207" t="s">
        <v>2726</v>
      </c>
      <c r="T297" s="207" t="s">
        <v>1239</v>
      </c>
      <c r="U297" s="207" t="s">
        <v>2771</v>
      </c>
      <c r="V297" s="207" t="s">
        <v>2726</v>
      </c>
      <c r="W297" s="207" t="s">
        <v>2741</v>
      </c>
      <c r="X297" s="207">
        <v>9999953</v>
      </c>
      <c r="Y297" s="207" t="s">
        <v>181</v>
      </c>
      <c r="Z297" s="207" t="s">
        <v>2726</v>
      </c>
      <c r="AA297" s="207" t="s">
        <v>2726</v>
      </c>
      <c r="AB297" s="207" t="s">
        <v>2726</v>
      </c>
      <c r="AC297" s="207" t="s">
        <v>2726</v>
      </c>
      <c r="AD297" s="207" t="s">
        <v>2726</v>
      </c>
      <c r="AE297" s="207" t="s">
        <v>2726</v>
      </c>
      <c r="AF297" s="207" t="s">
        <v>2726</v>
      </c>
      <c r="AG297" s="207" t="s">
        <v>2726</v>
      </c>
      <c r="AH297" s="207" t="s">
        <v>2726</v>
      </c>
      <c r="AI297" s="207" t="s">
        <v>1283</v>
      </c>
      <c r="AJ297" s="207" t="s">
        <v>2726</v>
      </c>
      <c r="AK297" s="207" t="s">
        <v>3123</v>
      </c>
    </row>
    <row r="298" spans="1:37" x14ac:dyDescent="0.25">
      <c r="A298" s="207" t="s">
        <v>3127</v>
      </c>
      <c r="B298" s="207">
        <v>0</v>
      </c>
      <c r="C298" s="207" t="s">
        <v>2726</v>
      </c>
      <c r="D298" s="207" t="s">
        <v>2726</v>
      </c>
      <c r="E298" s="207" t="s">
        <v>3128</v>
      </c>
      <c r="F298" s="207" t="s">
        <v>2728</v>
      </c>
      <c r="G298" s="207" t="s">
        <v>2726</v>
      </c>
      <c r="H298" s="207">
        <v>60</v>
      </c>
      <c r="I298" s="207" t="s">
        <v>2922</v>
      </c>
      <c r="J298" s="207" t="s">
        <v>3129</v>
      </c>
      <c r="K298" s="207" t="s">
        <v>2726</v>
      </c>
      <c r="L298" s="207" t="s">
        <v>2726</v>
      </c>
      <c r="M298" s="207" t="s">
        <v>2770</v>
      </c>
      <c r="N298" s="207" t="s">
        <v>2726</v>
      </c>
      <c r="O298" s="207" t="s">
        <v>2726</v>
      </c>
      <c r="P298" s="207" t="s">
        <v>2739</v>
      </c>
      <c r="Q298" s="207" t="s">
        <v>2733</v>
      </c>
      <c r="R298" s="207">
        <v>221</v>
      </c>
      <c r="S298" s="207" t="s">
        <v>2726</v>
      </c>
      <c r="T298" s="207" t="s">
        <v>1239</v>
      </c>
      <c r="U298" s="207" t="s">
        <v>2822</v>
      </c>
      <c r="V298" s="207" t="s">
        <v>2726</v>
      </c>
      <c r="W298" s="207" t="s">
        <v>629</v>
      </c>
      <c r="X298" s="207">
        <v>-34529963</v>
      </c>
      <c r="Y298" s="207" t="s">
        <v>243</v>
      </c>
      <c r="Z298" s="207" t="s">
        <v>2726</v>
      </c>
      <c r="AA298" s="207" t="s">
        <v>2726</v>
      </c>
      <c r="AB298" s="207" t="s">
        <v>2726</v>
      </c>
      <c r="AC298" s="207" t="s">
        <v>2726</v>
      </c>
      <c r="AD298" s="207" t="s">
        <v>2726</v>
      </c>
      <c r="AE298" s="207" t="s">
        <v>2726</v>
      </c>
      <c r="AF298" s="207" t="s">
        <v>2726</v>
      </c>
      <c r="AG298" s="207" t="s">
        <v>2726</v>
      </c>
      <c r="AH298" s="207" t="s">
        <v>2726</v>
      </c>
      <c r="AI298" s="207" t="s">
        <v>1255</v>
      </c>
      <c r="AJ298" s="207" t="s">
        <v>2726</v>
      </c>
      <c r="AK298" s="207" t="s">
        <v>3128</v>
      </c>
    </row>
    <row r="299" spans="1:37" x14ac:dyDescent="0.25">
      <c r="A299" s="207" t="s">
        <v>3130</v>
      </c>
      <c r="B299" s="207">
        <v>0</v>
      </c>
      <c r="C299" s="207" t="s">
        <v>2726</v>
      </c>
      <c r="D299" s="207" t="s">
        <v>2726</v>
      </c>
      <c r="E299" s="207" t="s">
        <v>3128</v>
      </c>
      <c r="F299" s="207" t="s">
        <v>2728</v>
      </c>
      <c r="G299" s="207" t="s">
        <v>2726</v>
      </c>
      <c r="H299" s="207">
        <v>60</v>
      </c>
      <c r="I299" s="207" t="s">
        <v>2922</v>
      </c>
      <c r="J299" s="207" t="s">
        <v>3129</v>
      </c>
      <c r="K299" s="207" t="s">
        <v>2726</v>
      </c>
      <c r="L299" s="207" t="s">
        <v>2726</v>
      </c>
      <c r="M299" s="207" t="s">
        <v>2770</v>
      </c>
      <c r="N299" s="207" t="s">
        <v>2726</v>
      </c>
      <c r="O299" s="207" t="s">
        <v>2726</v>
      </c>
      <c r="P299" s="207" t="s">
        <v>2739</v>
      </c>
      <c r="Q299" s="207" t="s">
        <v>2733</v>
      </c>
      <c r="R299" s="207">
        <v>221</v>
      </c>
      <c r="S299" s="207" t="s">
        <v>2726</v>
      </c>
      <c r="T299" s="207" t="s">
        <v>1239</v>
      </c>
      <c r="U299" s="207" t="s">
        <v>2822</v>
      </c>
      <c r="V299" s="207" t="s">
        <v>2726</v>
      </c>
      <c r="W299" s="207" t="s">
        <v>2741</v>
      </c>
      <c r="X299" s="207">
        <v>34529963</v>
      </c>
      <c r="Y299" s="207" t="s">
        <v>239</v>
      </c>
      <c r="Z299" s="207" t="s">
        <v>2726</v>
      </c>
      <c r="AA299" s="207" t="s">
        <v>2726</v>
      </c>
      <c r="AB299" s="207" t="s">
        <v>2726</v>
      </c>
      <c r="AC299" s="207" t="s">
        <v>2726</v>
      </c>
      <c r="AD299" s="207" t="s">
        <v>2726</v>
      </c>
      <c r="AE299" s="207" t="s">
        <v>2726</v>
      </c>
      <c r="AF299" s="207" t="s">
        <v>2726</v>
      </c>
      <c r="AG299" s="207" t="s">
        <v>2726</v>
      </c>
      <c r="AH299" s="207" t="s">
        <v>2726</v>
      </c>
      <c r="AI299" s="207" t="s">
        <v>1339</v>
      </c>
      <c r="AJ299" s="207" t="s">
        <v>2726</v>
      </c>
      <c r="AK299" s="207" t="s">
        <v>3128</v>
      </c>
    </row>
    <row r="300" spans="1:37" x14ac:dyDescent="0.25">
      <c r="A300" s="207" t="s">
        <v>3131</v>
      </c>
      <c r="B300" s="207">
        <v>0</v>
      </c>
      <c r="C300" s="207" t="s">
        <v>2726</v>
      </c>
      <c r="D300" s="207" t="s">
        <v>2726</v>
      </c>
      <c r="E300" s="207" t="s">
        <v>3132</v>
      </c>
      <c r="F300" s="207" t="s">
        <v>2728</v>
      </c>
      <c r="G300" s="207" t="s">
        <v>2726</v>
      </c>
      <c r="H300" s="207">
        <v>60</v>
      </c>
      <c r="I300" s="207" t="s">
        <v>2737</v>
      </c>
      <c r="J300" s="207" t="s">
        <v>2897</v>
      </c>
      <c r="K300" s="207" t="s">
        <v>2726</v>
      </c>
      <c r="L300" s="207" t="s">
        <v>2726</v>
      </c>
      <c r="M300" s="207" t="s">
        <v>2738</v>
      </c>
      <c r="N300" s="207" t="s">
        <v>2726</v>
      </c>
      <c r="O300" s="207" t="s">
        <v>2726</v>
      </c>
      <c r="P300" s="207" t="s">
        <v>2739</v>
      </c>
      <c r="Q300" s="207" t="s">
        <v>2733</v>
      </c>
      <c r="R300" s="207">
        <v>121</v>
      </c>
      <c r="S300" s="207" t="s">
        <v>2726</v>
      </c>
      <c r="T300" s="207" t="s">
        <v>1262</v>
      </c>
      <c r="U300" s="207" t="s">
        <v>2740</v>
      </c>
      <c r="V300" s="207" t="s">
        <v>2726</v>
      </c>
      <c r="W300" s="207" t="s">
        <v>2741</v>
      </c>
      <c r="X300" s="207">
        <v>4450</v>
      </c>
      <c r="Y300" s="207" t="s">
        <v>84</v>
      </c>
      <c r="Z300" s="207" t="s">
        <v>2726</v>
      </c>
      <c r="AA300" s="207" t="s">
        <v>2726</v>
      </c>
      <c r="AB300" s="207" t="s">
        <v>2726</v>
      </c>
      <c r="AC300" s="207" t="s">
        <v>2726</v>
      </c>
      <c r="AD300" s="207" t="s">
        <v>2726</v>
      </c>
      <c r="AE300" s="207" t="s">
        <v>2726</v>
      </c>
      <c r="AF300" s="207" t="s">
        <v>2726</v>
      </c>
      <c r="AG300" s="207" t="s">
        <v>2726</v>
      </c>
      <c r="AH300" s="207" t="s">
        <v>2726</v>
      </c>
      <c r="AI300" s="207" t="s">
        <v>1300</v>
      </c>
      <c r="AJ300" s="207" t="s">
        <v>2726</v>
      </c>
      <c r="AK300" s="207" t="s">
        <v>3132</v>
      </c>
    </row>
    <row r="301" spans="1:37" x14ac:dyDescent="0.25">
      <c r="A301" s="207" t="s">
        <v>3133</v>
      </c>
      <c r="B301" s="207">
        <v>0</v>
      </c>
      <c r="C301" s="207" t="s">
        <v>2726</v>
      </c>
      <c r="D301" s="207" t="s">
        <v>2726</v>
      </c>
      <c r="E301" s="207" t="s">
        <v>3132</v>
      </c>
      <c r="F301" s="207" t="s">
        <v>2728</v>
      </c>
      <c r="G301" s="207" t="s">
        <v>2726</v>
      </c>
      <c r="H301" s="207">
        <v>60</v>
      </c>
      <c r="I301" s="207" t="s">
        <v>2737</v>
      </c>
      <c r="J301" s="207" t="s">
        <v>2897</v>
      </c>
      <c r="K301" s="207" t="s">
        <v>2726</v>
      </c>
      <c r="L301" s="207" t="s">
        <v>2726</v>
      </c>
      <c r="M301" s="207" t="s">
        <v>2738</v>
      </c>
      <c r="N301" s="207" t="s">
        <v>2726</v>
      </c>
      <c r="O301" s="207" t="s">
        <v>2726</v>
      </c>
      <c r="P301" s="207" t="s">
        <v>2739</v>
      </c>
      <c r="Q301" s="207" t="s">
        <v>2733</v>
      </c>
      <c r="R301" s="207">
        <v>121</v>
      </c>
      <c r="S301" s="207" t="s">
        <v>2726</v>
      </c>
      <c r="T301" s="207" t="s">
        <v>1262</v>
      </c>
      <c r="U301" s="207" t="s">
        <v>2740</v>
      </c>
      <c r="V301" s="207" t="s">
        <v>2726</v>
      </c>
      <c r="W301" s="207" t="s">
        <v>629</v>
      </c>
      <c r="X301" s="207">
        <v>-4450</v>
      </c>
      <c r="Y301" s="207" t="s">
        <v>59</v>
      </c>
      <c r="Z301" s="207" t="s">
        <v>2726</v>
      </c>
      <c r="AA301" s="207" t="s">
        <v>2726</v>
      </c>
      <c r="AB301" s="207" t="s">
        <v>2726</v>
      </c>
      <c r="AC301" s="207" t="s">
        <v>2726</v>
      </c>
      <c r="AD301" s="207" t="s">
        <v>2726</v>
      </c>
      <c r="AE301" s="207" t="s">
        <v>2726</v>
      </c>
      <c r="AF301" s="207" t="s">
        <v>2726</v>
      </c>
      <c r="AG301" s="207" t="s">
        <v>2726</v>
      </c>
      <c r="AH301" s="207" t="s">
        <v>2726</v>
      </c>
      <c r="AI301" s="207" t="s">
        <v>1242</v>
      </c>
      <c r="AJ301" s="207" t="s">
        <v>2726</v>
      </c>
      <c r="AK301" s="207" t="s">
        <v>3132</v>
      </c>
    </row>
    <row r="302" spans="1:37" x14ac:dyDescent="0.25">
      <c r="A302" s="207" t="s">
        <v>3134</v>
      </c>
      <c r="B302" s="207">
        <v>0</v>
      </c>
      <c r="C302" s="207" t="s">
        <v>2726</v>
      </c>
      <c r="D302" s="207" t="s">
        <v>2726</v>
      </c>
      <c r="E302" s="207" t="s">
        <v>3135</v>
      </c>
      <c r="F302" s="207" t="s">
        <v>2728</v>
      </c>
      <c r="G302" s="207" t="s">
        <v>2726</v>
      </c>
      <c r="H302" s="207">
        <v>60</v>
      </c>
      <c r="I302" s="207" t="s">
        <v>2737</v>
      </c>
      <c r="J302" s="207" t="s">
        <v>2897</v>
      </c>
      <c r="K302" s="207" t="s">
        <v>2726</v>
      </c>
      <c r="L302" s="207" t="s">
        <v>2726</v>
      </c>
      <c r="M302" s="207" t="s">
        <v>2770</v>
      </c>
      <c r="N302" s="207" t="s">
        <v>2726</v>
      </c>
      <c r="O302" s="207" t="s">
        <v>2726</v>
      </c>
      <c r="P302" s="207" t="s">
        <v>2739</v>
      </c>
      <c r="Q302" s="207" t="s">
        <v>2733</v>
      </c>
      <c r="R302" s="207">
        <v>121</v>
      </c>
      <c r="S302" s="207" t="s">
        <v>2726</v>
      </c>
      <c r="T302" s="207" t="s">
        <v>1239</v>
      </c>
      <c r="U302" s="207" t="s">
        <v>2771</v>
      </c>
      <c r="V302" s="207" t="s">
        <v>2726</v>
      </c>
      <c r="W302" s="207" t="s">
        <v>2741</v>
      </c>
      <c r="X302" s="207">
        <v>18010</v>
      </c>
      <c r="Y302" s="207" t="s">
        <v>84</v>
      </c>
      <c r="Z302" s="207" t="s">
        <v>2726</v>
      </c>
      <c r="AA302" s="207" t="s">
        <v>2726</v>
      </c>
      <c r="AB302" s="207" t="s">
        <v>2726</v>
      </c>
      <c r="AC302" s="207" t="s">
        <v>2726</v>
      </c>
      <c r="AD302" s="207" t="s">
        <v>2726</v>
      </c>
      <c r="AE302" s="207" t="s">
        <v>2726</v>
      </c>
      <c r="AF302" s="207" t="s">
        <v>2726</v>
      </c>
      <c r="AG302" s="207" t="s">
        <v>2726</v>
      </c>
      <c r="AH302" s="207" t="s">
        <v>2726</v>
      </c>
      <c r="AI302" s="207" t="s">
        <v>1300</v>
      </c>
      <c r="AJ302" s="207" t="s">
        <v>2726</v>
      </c>
      <c r="AK302" s="207" t="s">
        <v>3135</v>
      </c>
    </row>
    <row r="303" spans="1:37" x14ac:dyDescent="0.25">
      <c r="A303" s="207" t="s">
        <v>3136</v>
      </c>
      <c r="B303" s="207">
        <v>0</v>
      </c>
      <c r="C303" s="207" t="s">
        <v>2726</v>
      </c>
      <c r="D303" s="207" t="s">
        <v>2726</v>
      </c>
      <c r="E303" s="207" t="s">
        <v>3135</v>
      </c>
      <c r="F303" s="207" t="s">
        <v>2728</v>
      </c>
      <c r="G303" s="207" t="s">
        <v>2726</v>
      </c>
      <c r="H303" s="207">
        <v>60</v>
      </c>
      <c r="I303" s="207" t="s">
        <v>2737</v>
      </c>
      <c r="J303" s="207" t="s">
        <v>2897</v>
      </c>
      <c r="K303" s="207" t="s">
        <v>2726</v>
      </c>
      <c r="L303" s="207" t="s">
        <v>2726</v>
      </c>
      <c r="M303" s="207" t="s">
        <v>2770</v>
      </c>
      <c r="N303" s="207" t="s">
        <v>2726</v>
      </c>
      <c r="O303" s="207" t="s">
        <v>2726</v>
      </c>
      <c r="P303" s="207" t="s">
        <v>2739</v>
      </c>
      <c r="Q303" s="207" t="s">
        <v>2733</v>
      </c>
      <c r="R303" s="207">
        <v>121</v>
      </c>
      <c r="S303" s="207" t="s">
        <v>2726</v>
      </c>
      <c r="T303" s="207" t="s">
        <v>1239</v>
      </c>
      <c r="U303" s="207" t="s">
        <v>2771</v>
      </c>
      <c r="V303" s="207" t="s">
        <v>2726</v>
      </c>
      <c r="W303" s="207" t="s">
        <v>629</v>
      </c>
      <c r="X303" s="207">
        <v>-18010</v>
      </c>
      <c r="Y303" s="207" t="s">
        <v>59</v>
      </c>
      <c r="Z303" s="207" t="s">
        <v>2726</v>
      </c>
      <c r="AA303" s="207" t="s">
        <v>2726</v>
      </c>
      <c r="AB303" s="207" t="s">
        <v>2726</v>
      </c>
      <c r="AC303" s="207" t="s">
        <v>2726</v>
      </c>
      <c r="AD303" s="207" t="s">
        <v>2726</v>
      </c>
      <c r="AE303" s="207" t="s">
        <v>2726</v>
      </c>
      <c r="AF303" s="207" t="s">
        <v>2726</v>
      </c>
      <c r="AG303" s="207" t="s">
        <v>2726</v>
      </c>
      <c r="AH303" s="207" t="s">
        <v>2726</v>
      </c>
      <c r="AI303" s="207" t="s">
        <v>1242</v>
      </c>
      <c r="AJ303" s="207" t="s">
        <v>2726</v>
      </c>
      <c r="AK303" s="207" t="s">
        <v>3135</v>
      </c>
    </row>
    <row r="304" spans="1:37" x14ac:dyDescent="0.25">
      <c r="A304" s="207" t="s">
        <v>3137</v>
      </c>
      <c r="B304" s="207">
        <v>0</v>
      </c>
      <c r="C304" s="207" t="s">
        <v>2726</v>
      </c>
      <c r="D304" s="207" t="s">
        <v>2726</v>
      </c>
      <c r="E304" s="207" t="s">
        <v>3138</v>
      </c>
      <c r="F304" s="207" t="s">
        <v>2728</v>
      </c>
      <c r="G304" s="207" t="s">
        <v>2726</v>
      </c>
      <c r="H304" s="207">
        <v>60</v>
      </c>
      <c r="I304" s="207" t="s">
        <v>2737</v>
      </c>
      <c r="J304" s="207" t="s">
        <v>2872</v>
      </c>
      <c r="K304" s="207" t="s">
        <v>2726</v>
      </c>
      <c r="L304" s="207" t="s">
        <v>2726</v>
      </c>
      <c r="M304" s="207" t="s">
        <v>2770</v>
      </c>
      <c r="N304" s="207" t="s">
        <v>2726</v>
      </c>
      <c r="O304" s="207" t="s">
        <v>2726</v>
      </c>
      <c r="P304" s="207" t="s">
        <v>2739</v>
      </c>
      <c r="Q304" s="207" t="s">
        <v>2733</v>
      </c>
      <c r="R304" s="207">
        <v>121</v>
      </c>
      <c r="S304" s="207" t="s">
        <v>2726</v>
      </c>
      <c r="T304" s="207" t="s">
        <v>1239</v>
      </c>
      <c r="U304" s="207" t="s">
        <v>2771</v>
      </c>
      <c r="V304" s="207" t="s">
        <v>2726</v>
      </c>
      <c r="W304" s="207" t="s">
        <v>2741</v>
      </c>
      <c r="X304" s="207">
        <v>5718</v>
      </c>
      <c r="Y304" s="207" t="s">
        <v>129</v>
      </c>
      <c r="Z304" s="207" t="s">
        <v>2726</v>
      </c>
      <c r="AA304" s="207" t="s">
        <v>2726</v>
      </c>
      <c r="AB304" s="207" t="s">
        <v>2726</v>
      </c>
      <c r="AC304" s="207" t="s">
        <v>2726</v>
      </c>
      <c r="AD304" s="207" t="s">
        <v>2726</v>
      </c>
      <c r="AE304" s="207" t="s">
        <v>2726</v>
      </c>
      <c r="AF304" s="207" t="s">
        <v>2726</v>
      </c>
      <c r="AG304" s="207" t="s">
        <v>2726</v>
      </c>
      <c r="AH304" s="207" t="s">
        <v>2726</v>
      </c>
      <c r="AI304" s="207" t="s">
        <v>1252</v>
      </c>
      <c r="AJ304" s="207" t="s">
        <v>2726</v>
      </c>
      <c r="AK304" s="207" t="s">
        <v>3138</v>
      </c>
    </row>
    <row r="305" spans="1:37" x14ac:dyDescent="0.25">
      <c r="A305" s="207" t="s">
        <v>3139</v>
      </c>
      <c r="B305" s="207">
        <v>0</v>
      </c>
      <c r="C305" s="207" t="s">
        <v>2726</v>
      </c>
      <c r="D305" s="207" t="s">
        <v>2726</v>
      </c>
      <c r="E305" s="207" t="s">
        <v>3138</v>
      </c>
      <c r="F305" s="207" t="s">
        <v>2728</v>
      </c>
      <c r="G305" s="207" t="s">
        <v>2726</v>
      </c>
      <c r="H305" s="207">
        <v>60</v>
      </c>
      <c r="I305" s="207" t="s">
        <v>2737</v>
      </c>
      <c r="J305" s="207" t="s">
        <v>2872</v>
      </c>
      <c r="K305" s="207" t="s">
        <v>2726</v>
      </c>
      <c r="L305" s="207" t="s">
        <v>2726</v>
      </c>
      <c r="M305" s="207" t="s">
        <v>2770</v>
      </c>
      <c r="N305" s="207" t="s">
        <v>2726</v>
      </c>
      <c r="O305" s="207" t="s">
        <v>2726</v>
      </c>
      <c r="P305" s="207" t="s">
        <v>2739</v>
      </c>
      <c r="Q305" s="207" t="s">
        <v>2733</v>
      </c>
      <c r="R305" s="207">
        <v>121</v>
      </c>
      <c r="S305" s="207" t="s">
        <v>2726</v>
      </c>
      <c r="T305" s="207" t="s">
        <v>1239</v>
      </c>
      <c r="U305" s="207" t="s">
        <v>2771</v>
      </c>
      <c r="V305" s="207" t="s">
        <v>2726</v>
      </c>
      <c r="W305" s="207" t="s">
        <v>629</v>
      </c>
      <c r="X305" s="207">
        <v>-5718</v>
      </c>
      <c r="Y305" s="207" t="s">
        <v>115</v>
      </c>
      <c r="Z305" s="207" t="s">
        <v>2726</v>
      </c>
      <c r="AA305" s="207" t="s">
        <v>2726</v>
      </c>
      <c r="AB305" s="207" t="s">
        <v>2726</v>
      </c>
      <c r="AC305" s="207" t="s">
        <v>2726</v>
      </c>
      <c r="AD305" s="207" t="s">
        <v>2726</v>
      </c>
      <c r="AE305" s="207" t="s">
        <v>2726</v>
      </c>
      <c r="AF305" s="207" t="s">
        <v>2726</v>
      </c>
      <c r="AG305" s="207" t="s">
        <v>2726</v>
      </c>
      <c r="AH305" s="207" t="s">
        <v>2726</v>
      </c>
      <c r="AI305" s="207" t="s">
        <v>1241</v>
      </c>
      <c r="AJ305" s="207" t="s">
        <v>2726</v>
      </c>
      <c r="AK305" s="207" t="s">
        <v>3138</v>
      </c>
    </row>
    <row r="306" spans="1:37" x14ac:dyDescent="0.25">
      <c r="A306" s="207" t="s">
        <v>3140</v>
      </c>
      <c r="B306" s="207">
        <v>0</v>
      </c>
      <c r="C306" s="207" t="s">
        <v>2726</v>
      </c>
      <c r="D306" s="207" t="s">
        <v>2726</v>
      </c>
      <c r="E306" s="207" t="s">
        <v>3141</v>
      </c>
      <c r="F306" s="207" t="s">
        <v>2728</v>
      </c>
      <c r="G306" s="207" t="s">
        <v>2726</v>
      </c>
      <c r="H306" s="207">
        <v>60</v>
      </c>
      <c r="I306" s="207" t="s">
        <v>2737</v>
      </c>
      <c r="J306" s="207" t="s">
        <v>2872</v>
      </c>
      <c r="K306" s="207" t="s">
        <v>2726</v>
      </c>
      <c r="L306" s="207" t="s">
        <v>2726</v>
      </c>
      <c r="M306" s="207" t="s">
        <v>2770</v>
      </c>
      <c r="N306" s="207" t="s">
        <v>2726</v>
      </c>
      <c r="O306" s="207" t="s">
        <v>2726</v>
      </c>
      <c r="P306" s="207" t="s">
        <v>2739</v>
      </c>
      <c r="Q306" s="207" t="s">
        <v>2733</v>
      </c>
      <c r="R306" s="207">
        <v>121</v>
      </c>
      <c r="S306" s="207" t="s">
        <v>2726</v>
      </c>
      <c r="T306" s="207" t="s">
        <v>1239</v>
      </c>
      <c r="U306" s="207" t="s">
        <v>2771</v>
      </c>
      <c r="V306" s="207" t="s">
        <v>2726</v>
      </c>
      <c r="W306" s="207" t="s">
        <v>2741</v>
      </c>
      <c r="X306" s="207">
        <v>97000</v>
      </c>
      <c r="Y306" s="207" t="s">
        <v>129</v>
      </c>
      <c r="Z306" s="207" t="s">
        <v>2726</v>
      </c>
      <c r="AA306" s="207" t="s">
        <v>2726</v>
      </c>
      <c r="AB306" s="207" t="s">
        <v>2726</v>
      </c>
      <c r="AC306" s="207" t="s">
        <v>2726</v>
      </c>
      <c r="AD306" s="207" t="s">
        <v>2726</v>
      </c>
      <c r="AE306" s="207" t="s">
        <v>2726</v>
      </c>
      <c r="AF306" s="207" t="s">
        <v>2726</v>
      </c>
      <c r="AG306" s="207" t="s">
        <v>2726</v>
      </c>
      <c r="AH306" s="207" t="s">
        <v>2726</v>
      </c>
      <c r="AI306" s="207" t="s">
        <v>1252</v>
      </c>
      <c r="AJ306" s="207" t="s">
        <v>2726</v>
      </c>
      <c r="AK306" s="207" t="s">
        <v>3141</v>
      </c>
    </row>
    <row r="307" spans="1:37" x14ac:dyDescent="0.25">
      <c r="A307" s="207" t="s">
        <v>3142</v>
      </c>
      <c r="B307" s="207">
        <v>0</v>
      </c>
      <c r="C307" s="207" t="s">
        <v>2726</v>
      </c>
      <c r="D307" s="207" t="s">
        <v>2726</v>
      </c>
      <c r="E307" s="207" t="s">
        <v>3141</v>
      </c>
      <c r="F307" s="207" t="s">
        <v>2728</v>
      </c>
      <c r="G307" s="207" t="s">
        <v>2726</v>
      </c>
      <c r="H307" s="207">
        <v>60</v>
      </c>
      <c r="I307" s="207" t="s">
        <v>2737</v>
      </c>
      <c r="J307" s="207" t="s">
        <v>2872</v>
      </c>
      <c r="K307" s="207" t="s">
        <v>2726</v>
      </c>
      <c r="L307" s="207" t="s">
        <v>2726</v>
      </c>
      <c r="M307" s="207" t="s">
        <v>2770</v>
      </c>
      <c r="N307" s="207" t="s">
        <v>2726</v>
      </c>
      <c r="O307" s="207" t="s">
        <v>2726</v>
      </c>
      <c r="P307" s="207" t="s">
        <v>2739</v>
      </c>
      <c r="Q307" s="207" t="s">
        <v>2733</v>
      </c>
      <c r="R307" s="207">
        <v>121</v>
      </c>
      <c r="S307" s="207" t="s">
        <v>2726</v>
      </c>
      <c r="T307" s="207" t="s">
        <v>1239</v>
      </c>
      <c r="U307" s="207" t="s">
        <v>2771</v>
      </c>
      <c r="V307" s="207" t="s">
        <v>2726</v>
      </c>
      <c r="W307" s="207" t="s">
        <v>629</v>
      </c>
      <c r="X307" s="207">
        <v>-97000</v>
      </c>
      <c r="Y307" s="207" t="s">
        <v>115</v>
      </c>
      <c r="Z307" s="207" t="s">
        <v>2726</v>
      </c>
      <c r="AA307" s="207" t="s">
        <v>2726</v>
      </c>
      <c r="AB307" s="207" t="s">
        <v>2726</v>
      </c>
      <c r="AC307" s="207" t="s">
        <v>2726</v>
      </c>
      <c r="AD307" s="207" t="s">
        <v>2726</v>
      </c>
      <c r="AE307" s="207" t="s">
        <v>2726</v>
      </c>
      <c r="AF307" s="207" t="s">
        <v>2726</v>
      </c>
      <c r="AG307" s="207" t="s">
        <v>2726</v>
      </c>
      <c r="AH307" s="207" t="s">
        <v>2726</v>
      </c>
      <c r="AI307" s="207" t="s">
        <v>1241</v>
      </c>
      <c r="AJ307" s="207" t="s">
        <v>2726</v>
      </c>
      <c r="AK307" s="207" t="s">
        <v>3141</v>
      </c>
    </row>
    <row r="308" spans="1:37" x14ac:dyDescent="0.25">
      <c r="A308" s="207" t="s">
        <v>3143</v>
      </c>
      <c r="B308" s="207">
        <v>0</v>
      </c>
      <c r="C308" s="207" t="s">
        <v>2726</v>
      </c>
      <c r="D308" s="207" t="s">
        <v>2726</v>
      </c>
      <c r="E308" s="207" t="s">
        <v>3141</v>
      </c>
      <c r="F308" s="207" t="s">
        <v>2728</v>
      </c>
      <c r="G308" s="207" t="s">
        <v>2726</v>
      </c>
      <c r="H308" s="207">
        <v>60</v>
      </c>
      <c r="I308" s="207" t="s">
        <v>2737</v>
      </c>
      <c r="J308" s="207" t="s">
        <v>2872</v>
      </c>
      <c r="K308" s="207" t="s">
        <v>2726</v>
      </c>
      <c r="L308" s="207" t="s">
        <v>2726</v>
      </c>
      <c r="M308" s="207" t="s">
        <v>2770</v>
      </c>
      <c r="N308" s="207" t="s">
        <v>2726</v>
      </c>
      <c r="O308" s="207" t="s">
        <v>2726</v>
      </c>
      <c r="P308" s="207" t="s">
        <v>2739</v>
      </c>
      <c r="Q308" s="207" t="s">
        <v>2733</v>
      </c>
      <c r="R308" s="207">
        <v>121</v>
      </c>
      <c r="S308" s="207" t="s">
        <v>2726</v>
      </c>
      <c r="T308" s="207" t="s">
        <v>1239</v>
      </c>
      <c r="U308" s="207" t="s">
        <v>2771</v>
      </c>
      <c r="V308" s="207" t="s">
        <v>2726</v>
      </c>
      <c r="W308" s="207" t="s">
        <v>2741</v>
      </c>
      <c r="X308" s="207">
        <v>181114</v>
      </c>
      <c r="Y308" s="207" t="s">
        <v>90</v>
      </c>
      <c r="Z308" s="207" t="s">
        <v>2726</v>
      </c>
      <c r="AA308" s="207" t="s">
        <v>2726</v>
      </c>
      <c r="AB308" s="207" t="s">
        <v>2726</v>
      </c>
      <c r="AC308" s="207" t="s">
        <v>2726</v>
      </c>
      <c r="AD308" s="207" t="s">
        <v>2726</v>
      </c>
      <c r="AE308" s="207" t="s">
        <v>2726</v>
      </c>
      <c r="AF308" s="207" t="s">
        <v>2726</v>
      </c>
      <c r="AG308" s="207" t="s">
        <v>2726</v>
      </c>
      <c r="AH308" s="207" t="s">
        <v>2726</v>
      </c>
      <c r="AI308" s="207" t="s">
        <v>1281</v>
      </c>
      <c r="AJ308" s="207" t="s">
        <v>2726</v>
      </c>
      <c r="AK308" s="207" t="s">
        <v>3141</v>
      </c>
    </row>
    <row r="309" spans="1:37" x14ac:dyDescent="0.25">
      <c r="A309" s="207" t="s">
        <v>3144</v>
      </c>
      <c r="B309" s="207">
        <v>0</v>
      </c>
      <c r="C309" s="207" t="s">
        <v>2726</v>
      </c>
      <c r="D309" s="207" t="s">
        <v>2726</v>
      </c>
      <c r="E309" s="207" t="s">
        <v>3141</v>
      </c>
      <c r="F309" s="207" t="s">
        <v>2728</v>
      </c>
      <c r="G309" s="207" t="s">
        <v>2726</v>
      </c>
      <c r="H309" s="207">
        <v>60</v>
      </c>
      <c r="I309" s="207" t="s">
        <v>2737</v>
      </c>
      <c r="J309" s="207" t="s">
        <v>2872</v>
      </c>
      <c r="K309" s="207" t="s">
        <v>2726</v>
      </c>
      <c r="L309" s="207" t="s">
        <v>2726</v>
      </c>
      <c r="M309" s="207" t="s">
        <v>2770</v>
      </c>
      <c r="N309" s="207" t="s">
        <v>2726</v>
      </c>
      <c r="O309" s="207" t="s">
        <v>2726</v>
      </c>
      <c r="P309" s="207" t="s">
        <v>2739</v>
      </c>
      <c r="Q309" s="207" t="s">
        <v>2733</v>
      </c>
      <c r="R309" s="207">
        <v>121</v>
      </c>
      <c r="S309" s="207" t="s">
        <v>2726</v>
      </c>
      <c r="T309" s="207" t="s">
        <v>1239</v>
      </c>
      <c r="U309" s="207" t="s">
        <v>2771</v>
      </c>
      <c r="V309" s="207" t="s">
        <v>2726</v>
      </c>
      <c r="W309" s="207" t="s">
        <v>629</v>
      </c>
      <c r="X309" s="207">
        <v>-181114</v>
      </c>
      <c r="Y309" s="207" t="s">
        <v>181</v>
      </c>
      <c r="Z309" s="207" t="s">
        <v>2726</v>
      </c>
      <c r="AA309" s="207" t="s">
        <v>2726</v>
      </c>
      <c r="AB309" s="207" t="s">
        <v>2726</v>
      </c>
      <c r="AC309" s="207" t="s">
        <v>2726</v>
      </c>
      <c r="AD309" s="207" t="s">
        <v>2726</v>
      </c>
      <c r="AE309" s="207" t="s">
        <v>2726</v>
      </c>
      <c r="AF309" s="207" t="s">
        <v>2726</v>
      </c>
      <c r="AG309" s="207" t="s">
        <v>2726</v>
      </c>
      <c r="AH309" s="207" t="s">
        <v>2726</v>
      </c>
      <c r="AI309" s="207" t="s">
        <v>1283</v>
      </c>
      <c r="AJ309" s="207" t="s">
        <v>2726</v>
      </c>
      <c r="AK309" s="207" t="s">
        <v>3141</v>
      </c>
    </row>
    <row r="310" spans="1:37" x14ac:dyDescent="0.25">
      <c r="A310" s="207" t="s">
        <v>3145</v>
      </c>
      <c r="B310" s="207">
        <v>0</v>
      </c>
      <c r="C310" s="207" t="s">
        <v>2726</v>
      </c>
      <c r="D310" s="207" t="s">
        <v>2726</v>
      </c>
      <c r="E310" s="207" t="s">
        <v>3146</v>
      </c>
      <c r="F310" s="207" t="s">
        <v>2728</v>
      </c>
      <c r="G310" s="207" t="s">
        <v>2726</v>
      </c>
      <c r="H310" s="207">
        <v>60</v>
      </c>
      <c r="I310" s="207" t="s">
        <v>2737</v>
      </c>
      <c r="J310" s="207" t="s">
        <v>2897</v>
      </c>
      <c r="K310" s="207" t="s">
        <v>2726</v>
      </c>
      <c r="L310" s="207" t="s">
        <v>2726</v>
      </c>
      <c r="M310" s="207" t="s">
        <v>2731</v>
      </c>
      <c r="N310" s="207" t="s">
        <v>2726</v>
      </c>
      <c r="O310" s="207" t="s">
        <v>2726</v>
      </c>
      <c r="P310" s="207" t="s">
        <v>2739</v>
      </c>
      <c r="Q310" s="207" t="s">
        <v>2733</v>
      </c>
      <c r="R310" s="207">
        <v>121</v>
      </c>
      <c r="S310" s="207" t="s">
        <v>2726</v>
      </c>
      <c r="T310" s="207" t="s">
        <v>1239</v>
      </c>
      <c r="U310" s="207" t="s">
        <v>2745</v>
      </c>
      <c r="V310" s="207" t="s">
        <v>2726</v>
      </c>
      <c r="W310" s="207" t="s">
        <v>2741</v>
      </c>
      <c r="X310" s="207">
        <v>87883</v>
      </c>
      <c r="Y310" s="207" t="s">
        <v>84</v>
      </c>
      <c r="Z310" s="207" t="s">
        <v>2726</v>
      </c>
      <c r="AA310" s="207" t="s">
        <v>2726</v>
      </c>
      <c r="AB310" s="207" t="s">
        <v>2726</v>
      </c>
      <c r="AC310" s="207" t="s">
        <v>2726</v>
      </c>
      <c r="AD310" s="207" t="s">
        <v>2726</v>
      </c>
      <c r="AE310" s="207" t="s">
        <v>2726</v>
      </c>
      <c r="AF310" s="207" t="s">
        <v>2726</v>
      </c>
      <c r="AG310" s="207" t="s">
        <v>2726</v>
      </c>
      <c r="AH310" s="207" t="s">
        <v>2726</v>
      </c>
      <c r="AI310" s="207" t="s">
        <v>1300</v>
      </c>
      <c r="AJ310" s="207" t="s">
        <v>2726</v>
      </c>
      <c r="AK310" s="207" t="s">
        <v>3146</v>
      </c>
    </row>
    <row r="311" spans="1:37" x14ac:dyDescent="0.25">
      <c r="A311" s="207" t="s">
        <v>3147</v>
      </c>
      <c r="B311" s="207">
        <v>0</v>
      </c>
      <c r="C311" s="207" t="s">
        <v>2726</v>
      </c>
      <c r="D311" s="207" t="s">
        <v>2726</v>
      </c>
      <c r="E311" s="207" t="s">
        <v>3146</v>
      </c>
      <c r="F311" s="207" t="s">
        <v>2728</v>
      </c>
      <c r="G311" s="207" t="s">
        <v>2726</v>
      </c>
      <c r="H311" s="207">
        <v>60</v>
      </c>
      <c r="I311" s="207" t="s">
        <v>2737</v>
      </c>
      <c r="J311" s="207" t="s">
        <v>2897</v>
      </c>
      <c r="K311" s="207" t="s">
        <v>2726</v>
      </c>
      <c r="L311" s="207" t="s">
        <v>2726</v>
      </c>
      <c r="M311" s="207" t="s">
        <v>2731</v>
      </c>
      <c r="N311" s="207" t="s">
        <v>2726</v>
      </c>
      <c r="O311" s="207" t="s">
        <v>2726</v>
      </c>
      <c r="P311" s="207" t="s">
        <v>2739</v>
      </c>
      <c r="Q311" s="207" t="s">
        <v>2733</v>
      </c>
      <c r="R311" s="207">
        <v>121</v>
      </c>
      <c r="S311" s="207" t="s">
        <v>2726</v>
      </c>
      <c r="T311" s="207" t="s">
        <v>1239</v>
      </c>
      <c r="U311" s="207" t="s">
        <v>2745</v>
      </c>
      <c r="V311" s="207" t="s">
        <v>2726</v>
      </c>
      <c r="W311" s="207" t="s">
        <v>629</v>
      </c>
      <c r="X311" s="207">
        <v>-87883</v>
      </c>
      <c r="Y311" s="207" t="s">
        <v>59</v>
      </c>
      <c r="Z311" s="207" t="s">
        <v>2726</v>
      </c>
      <c r="AA311" s="207" t="s">
        <v>2726</v>
      </c>
      <c r="AB311" s="207" t="s">
        <v>2726</v>
      </c>
      <c r="AC311" s="207" t="s">
        <v>2726</v>
      </c>
      <c r="AD311" s="207" t="s">
        <v>2726</v>
      </c>
      <c r="AE311" s="207" t="s">
        <v>2726</v>
      </c>
      <c r="AF311" s="207" t="s">
        <v>2726</v>
      </c>
      <c r="AG311" s="207" t="s">
        <v>2726</v>
      </c>
      <c r="AH311" s="207" t="s">
        <v>2726</v>
      </c>
      <c r="AI311" s="207" t="s">
        <v>1242</v>
      </c>
      <c r="AJ311" s="207" t="s">
        <v>2726</v>
      </c>
      <c r="AK311" s="207" t="s">
        <v>3146</v>
      </c>
    </row>
    <row r="312" spans="1:37" x14ac:dyDescent="0.25">
      <c r="A312" s="207" t="s">
        <v>3148</v>
      </c>
      <c r="B312" s="207">
        <v>0</v>
      </c>
      <c r="C312" s="207" t="s">
        <v>2726</v>
      </c>
      <c r="D312" s="207" t="s">
        <v>2726</v>
      </c>
      <c r="E312" s="207" t="s">
        <v>3149</v>
      </c>
      <c r="F312" s="207" t="s">
        <v>2728</v>
      </c>
      <c r="G312" s="207" t="s">
        <v>2726</v>
      </c>
      <c r="H312" s="207">
        <v>60</v>
      </c>
      <c r="I312" s="207" t="s">
        <v>2737</v>
      </c>
      <c r="J312" s="207" t="s">
        <v>2872</v>
      </c>
      <c r="K312" s="207" t="s">
        <v>2726</v>
      </c>
      <c r="L312" s="207" t="s">
        <v>2726</v>
      </c>
      <c r="M312" s="207" t="s">
        <v>2898</v>
      </c>
      <c r="N312" s="207" t="s">
        <v>2726</v>
      </c>
      <c r="O312" s="207" t="s">
        <v>2726</v>
      </c>
      <c r="P312" s="207" t="s">
        <v>2739</v>
      </c>
      <c r="Q312" s="207" t="s">
        <v>2733</v>
      </c>
      <c r="R312" s="207">
        <v>121</v>
      </c>
      <c r="S312" s="207" t="s">
        <v>2726</v>
      </c>
      <c r="T312" s="207" t="s">
        <v>1239</v>
      </c>
      <c r="U312" s="207" t="s">
        <v>2899</v>
      </c>
      <c r="V312" s="207" t="s">
        <v>2726</v>
      </c>
      <c r="W312" s="207" t="s">
        <v>2741</v>
      </c>
      <c r="X312" s="207">
        <v>5000</v>
      </c>
      <c r="Y312" s="207" t="s">
        <v>129</v>
      </c>
      <c r="Z312" s="207" t="s">
        <v>2726</v>
      </c>
      <c r="AA312" s="207" t="s">
        <v>2726</v>
      </c>
      <c r="AB312" s="207" t="s">
        <v>2726</v>
      </c>
      <c r="AC312" s="207" t="s">
        <v>2726</v>
      </c>
      <c r="AD312" s="207" t="s">
        <v>2726</v>
      </c>
      <c r="AE312" s="207" t="s">
        <v>2726</v>
      </c>
      <c r="AF312" s="207" t="s">
        <v>2726</v>
      </c>
      <c r="AG312" s="207" t="s">
        <v>2726</v>
      </c>
      <c r="AH312" s="207" t="s">
        <v>2726</v>
      </c>
      <c r="AI312" s="207" t="s">
        <v>1252</v>
      </c>
      <c r="AJ312" s="207" t="s">
        <v>2726</v>
      </c>
      <c r="AK312" s="207" t="s">
        <v>3149</v>
      </c>
    </row>
    <row r="313" spans="1:37" x14ac:dyDescent="0.25">
      <c r="A313" s="207" t="s">
        <v>3150</v>
      </c>
      <c r="B313" s="207">
        <v>0</v>
      </c>
      <c r="C313" s="207" t="s">
        <v>2726</v>
      </c>
      <c r="D313" s="207" t="s">
        <v>2726</v>
      </c>
      <c r="E313" s="207" t="s">
        <v>3149</v>
      </c>
      <c r="F313" s="207" t="s">
        <v>2728</v>
      </c>
      <c r="G313" s="207" t="s">
        <v>2726</v>
      </c>
      <c r="H313" s="207">
        <v>60</v>
      </c>
      <c r="I313" s="207" t="s">
        <v>2737</v>
      </c>
      <c r="J313" s="207" t="s">
        <v>2872</v>
      </c>
      <c r="K313" s="207" t="s">
        <v>2726</v>
      </c>
      <c r="L313" s="207" t="s">
        <v>2726</v>
      </c>
      <c r="M313" s="207" t="s">
        <v>2898</v>
      </c>
      <c r="N313" s="207" t="s">
        <v>2726</v>
      </c>
      <c r="O313" s="207" t="s">
        <v>2726</v>
      </c>
      <c r="P313" s="207" t="s">
        <v>2739</v>
      </c>
      <c r="Q313" s="207" t="s">
        <v>2733</v>
      </c>
      <c r="R313" s="207">
        <v>121</v>
      </c>
      <c r="S313" s="207" t="s">
        <v>2726</v>
      </c>
      <c r="T313" s="207" t="s">
        <v>1239</v>
      </c>
      <c r="U313" s="207" t="s">
        <v>2899</v>
      </c>
      <c r="V313" s="207" t="s">
        <v>2726</v>
      </c>
      <c r="W313" s="207" t="s">
        <v>629</v>
      </c>
      <c r="X313" s="207">
        <v>-5000</v>
      </c>
      <c r="Y313" s="207" t="s">
        <v>121</v>
      </c>
      <c r="Z313" s="207" t="s">
        <v>2726</v>
      </c>
      <c r="AA313" s="207" t="s">
        <v>2726</v>
      </c>
      <c r="AB313" s="207" t="s">
        <v>2726</v>
      </c>
      <c r="AC313" s="207" t="s">
        <v>2726</v>
      </c>
      <c r="AD313" s="207" t="s">
        <v>2726</v>
      </c>
      <c r="AE313" s="207" t="s">
        <v>2726</v>
      </c>
      <c r="AF313" s="207" t="s">
        <v>2726</v>
      </c>
      <c r="AG313" s="207" t="s">
        <v>2726</v>
      </c>
      <c r="AH313" s="207" t="s">
        <v>2726</v>
      </c>
      <c r="AI313" s="207" t="s">
        <v>1268</v>
      </c>
      <c r="AJ313" s="207" t="s">
        <v>2726</v>
      </c>
      <c r="AK313" s="207" t="s">
        <v>3149</v>
      </c>
    </row>
    <row r="314" spans="1:37" x14ac:dyDescent="0.25">
      <c r="A314" s="207" t="s">
        <v>3151</v>
      </c>
      <c r="B314" s="207">
        <v>0</v>
      </c>
      <c r="C314" s="207" t="s">
        <v>2726</v>
      </c>
      <c r="D314" s="207" t="s">
        <v>2726</v>
      </c>
      <c r="E314" s="207" t="s">
        <v>3152</v>
      </c>
      <c r="F314" s="207" t="s">
        <v>2728</v>
      </c>
      <c r="G314" s="207" t="s">
        <v>2726</v>
      </c>
      <c r="H314" s="207">
        <v>60</v>
      </c>
      <c r="I314" s="207" t="s">
        <v>2737</v>
      </c>
      <c r="J314" s="207" t="s">
        <v>2872</v>
      </c>
      <c r="K314" s="207" t="s">
        <v>2726</v>
      </c>
      <c r="L314" s="207" t="s">
        <v>2726</v>
      </c>
      <c r="M314" s="207" t="s">
        <v>2731</v>
      </c>
      <c r="N314" s="207" t="s">
        <v>2726</v>
      </c>
      <c r="O314" s="207" t="s">
        <v>2726</v>
      </c>
      <c r="P314" s="207" t="s">
        <v>2739</v>
      </c>
      <c r="Q314" s="207" t="s">
        <v>2733</v>
      </c>
      <c r="R314" s="207">
        <v>121</v>
      </c>
      <c r="S314" s="207" t="s">
        <v>2726</v>
      </c>
      <c r="T314" s="207" t="s">
        <v>1239</v>
      </c>
      <c r="U314" s="207" t="s">
        <v>2745</v>
      </c>
      <c r="V314" s="207" t="s">
        <v>2726</v>
      </c>
      <c r="W314" s="207" t="s">
        <v>2741</v>
      </c>
      <c r="X314" s="207">
        <v>270926</v>
      </c>
      <c r="Y314" s="207" t="s">
        <v>66</v>
      </c>
      <c r="Z314" s="207" t="s">
        <v>2726</v>
      </c>
      <c r="AA314" s="207" t="s">
        <v>2726</v>
      </c>
      <c r="AB314" s="207" t="s">
        <v>2726</v>
      </c>
      <c r="AC314" s="207" t="s">
        <v>2726</v>
      </c>
      <c r="AD314" s="207" t="s">
        <v>2726</v>
      </c>
      <c r="AE314" s="207" t="s">
        <v>2726</v>
      </c>
      <c r="AF314" s="207" t="s">
        <v>2726</v>
      </c>
      <c r="AG314" s="207" t="s">
        <v>2726</v>
      </c>
      <c r="AH314" s="207" t="s">
        <v>2726</v>
      </c>
      <c r="AI314" s="207" t="s">
        <v>1303</v>
      </c>
      <c r="AJ314" s="207" t="s">
        <v>2726</v>
      </c>
      <c r="AK314" s="207" t="s">
        <v>3152</v>
      </c>
    </row>
    <row r="315" spans="1:37" x14ac:dyDescent="0.25">
      <c r="A315" s="207" t="s">
        <v>3153</v>
      </c>
      <c r="B315" s="207">
        <v>0</v>
      </c>
      <c r="C315" s="207" t="s">
        <v>2726</v>
      </c>
      <c r="D315" s="207" t="s">
        <v>2726</v>
      </c>
      <c r="E315" s="207" t="s">
        <v>3152</v>
      </c>
      <c r="F315" s="207" t="s">
        <v>2728</v>
      </c>
      <c r="G315" s="207" t="s">
        <v>2726</v>
      </c>
      <c r="H315" s="207">
        <v>60</v>
      </c>
      <c r="I315" s="207" t="s">
        <v>2737</v>
      </c>
      <c r="J315" s="207" t="s">
        <v>2872</v>
      </c>
      <c r="K315" s="207" t="s">
        <v>2726</v>
      </c>
      <c r="L315" s="207" t="s">
        <v>2726</v>
      </c>
      <c r="M315" s="207" t="s">
        <v>2731</v>
      </c>
      <c r="N315" s="207" t="s">
        <v>2726</v>
      </c>
      <c r="O315" s="207" t="s">
        <v>2726</v>
      </c>
      <c r="P315" s="207" t="s">
        <v>2739</v>
      </c>
      <c r="Q315" s="207" t="s">
        <v>2733</v>
      </c>
      <c r="R315" s="207">
        <v>121</v>
      </c>
      <c r="S315" s="207" t="s">
        <v>2726</v>
      </c>
      <c r="T315" s="207" t="s">
        <v>1239</v>
      </c>
      <c r="U315" s="207" t="s">
        <v>2745</v>
      </c>
      <c r="V315" s="207" t="s">
        <v>2726</v>
      </c>
      <c r="W315" s="207" t="s">
        <v>2741</v>
      </c>
      <c r="X315" s="207">
        <v>857017</v>
      </c>
      <c r="Y315" s="207" t="s">
        <v>84</v>
      </c>
      <c r="Z315" s="207" t="s">
        <v>2726</v>
      </c>
      <c r="AA315" s="207" t="s">
        <v>2726</v>
      </c>
      <c r="AB315" s="207" t="s">
        <v>2726</v>
      </c>
      <c r="AC315" s="207" t="s">
        <v>2726</v>
      </c>
      <c r="AD315" s="207" t="s">
        <v>2726</v>
      </c>
      <c r="AE315" s="207" t="s">
        <v>2726</v>
      </c>
      <c r="AF315" s="207" t="s">
        <v>2726</v>
      </c>
      <c r="AG315" s="207" t="s">
        <v>2726</v>
      </c>
      <c r="AH315" s="207" t="s">
        <v>2726</v>
      </c>
      <c r="AI315" s="207" t="s">
        <v>1300</v>
      </c>
      <c r="AJ315" s="207" t="s">
        <v>2726</v>
      </c>
      <c r="AK315" s="207" t="s">
        <v>3152</v>
      </c>
    </row>
    <row r="316" spans="1:37" x14ac:dyDescent="0.25">
      <c r="A316" s="207" t="s">
        <v>3154</v>
      </c>
      <c r="B316" s="207">
        <v>0</v>
      </c>
      <c r="C316" s="207" t="s">
        <v>2726</v>
      </c>
      <c r="D316" s="207" t="s">
        <v>2726</v>
      </c>
      <c r="E316" s="207" t="s">
        <v>3152</v>
      </c>
      <c r="F316" s="207" t="s">
        <v>2728</v>
      </c>
      <c r="G316" s="207" t="s">
        <v>2726</v>
      </c>
      <c r="H316" s="207">
        <v>60</v>
      </c>
      <c r="I316" s="207" t="s">
        <v>2737</v>
      </c>
      <c r="J316" s="207" t="s">
        <v>2872</v>
      </c>
      <c r="K316" s="207" t="s">
        <v>2726</v>
      </c>
      <c r="L316" s="207" t="s">
        <v>2726</v>
      </c>
      <c r="M316" s="207" t="s">
        <v>2731</v>
      </c>
      <c r="N316" s="207" t="s">
        <v>2726</v>
      </c>
      <c r="O316" s="207" t="s">
        <v>2726</v>
      </c>
      <c r="P316" s="207" t="s">
        <v>2739</v>
      </c>
      <c r="Q316" s="207" t="s">
        <v>2733</v>
      </c>
      <c r="R316" s="207">
        <v>121</v>
      </c>
      <c r="S316" s="207" t="s">
        <v>2726</v>
      </c>
      <c r="T316" s="207" t="s">
        <v>1239</v>
      </c>
      <c r="U316" s="207" t="s">
        <v>2745</v>
      </c>
      <c r="V316" s="207" t="s">
        <v>2726</v>
      </c>
      <c r="W316" s="207" t="s">
        <v>2741</v>
      </c>
      <c r="X316" s="207">
        <v>92272</v>
      </c>
      <c r="Y316" s="207" t="s">
        <v>88</v>
      </c>
      <c r="Z316" s="207" t="s">
        <v>2726</v>
      </c>
      <c r="AA316" s="207" t="s">
        <v>2726</v>
      </c>
      <c r="AB316" s="207" t="s">
        <v>2726</v>
      </c>
      <c r="AC316" s="207" t="s">
        <v>2726</v>
      </c>
      <c r="AD316" s="207" t="s">
        <v>2726</v>
      </c>
      <c r="AE316" s="207" t="s">
        <v>2726</v>
      </c>
      <c r="AF316" s="207" t="s">
        <v>2726</v>
      </c>
      <c r="AG316" s="207" t="s">
        <v>2726</v>
      </c>
      <c r="AH316" s="207" t="s">
        <v>2726</v>
      </c>
      <c r="AI316" s="207" t="s">
        <v>1245</v>
      </c>
      <c r="AJ316" s="207" t="s">
        <v>2726</v>
      </c>
      <c r="AK316" s="207" t="s">
        <v>3152</v>
      </c>
    </row>
    <row r="317" spans="1:37" x14ac:dyDescent="0.25">
      <c r="A317" s="207" t="s">
        <v>3155</v>
      </c>
      <c r="B317" s="207">
        <v>0</v>
      </c>
      <c r="C317" s="207" t="s">
        <v>2726</v>
      </c>
      <c r="D317" s="207" t="s">
        <v>2726</v>
      </c>
      <c r="E317" s="207" t="s">
        <v>3152</v>
      </c>
      <c r="F317" s="207" t="s">
        <v>2728</v>
      </c>
      <c r="G317" s="207" t="s">
        <v>2726</v>
      </c>
      <c r="H317" s="207">
        <v>60</v>
      </c>
      <c r="I317" s="207" t="s">
        <v>2737</v>
      </c>
      <c r="J317" s="207" t="s">
        <v>2872</v>
      </c>
      <c r="K317" s="207" t="s">
        <v>2726</v>
      </c>
      <c r="L317" s="207" t="s">
        <v>2726</v>
      </c>
      <c r="M317" s="207" t="s">
        <v>2731</v>
      </c>
      <c r="N317" s="207" t="s">
        <v>2726</v>
      </c>
      <c r="O317" s="207" t="s">
        <v>2726</v>
      </c>
      <c r="P317" s="207" t="s">
        <v>2739</v>
      </c>
      <c r="Q317" s="207" t="s">
        <v>2733</v>
      </c>
      <c r="R317" s="207">
        <v>121</v>
      </c>
      <c r="S317" s="207" t="s">
        <v>2726</v>
      </c>
      <c r="T317" s="207" t="s">
        <v>1239</v>
      </c>
      <c r="U317" s="207" t="s">
        <v>2745</v>
      </c>
      <c r="V317" s="207" t="s">
        <v>2726</v>
      </c>
      <c r="W317" s="207" t="s">
        <v>629</v>
      </c>
      <c r="X317" s="207">
        <v>-1220215</v>
      </c>
      <c r="Y317" s="207" t="s">
        <v>59</v>
      </c>
      <c r="Z317" s="207" t="s">
        <v>2726</v>
      </c>
      <c r="AA317" s="207" t="s">
        <v>2726</v>
      </c>
      <c r="AB317" s="207" t="s">
        <v>2726</v>
      </c>
      <c r="AC317" s="207" t="s">
        <v>2726</v>
      </c>
      <c r="AD317" s="207" t="s">
        <v>2726</v>
      </c>
      <c r="AE317" s="207" t="s">
        <v>2726</v>
      </c>
      <c r="AF317" s="207" t="s">
        <v>2726</v>
      </c>
      <c r="AG317" s="207" t="s">
        <v>2726</v>
      </c>
      <c r="AH317" s="207" t="s">
        <v>2726</v>
      </c>
      <c r="AI317" s="207" t="s">
        <v>1242</v>
      </c>
      <c r="AJ317" s="207" t="s">
        <v>2726</v>
      </c>
      <c r="AK317" s="207" t="s">
        <v>3152</v>
      </c>
    </row>
    <row r="318" spans="1:37" x14ac:dyDescent="0.25">
      <c r="A318" s="207" t="s">
        <v>3156</v>
      </c>
      <c r="B318" s="207">
        <v>0</v>
      </c>
      <c r="C318" s="207" t="s">
        <v>2726</v>
      </c>
      <c r="D318" s="207" t="s">
        <v>2726</v>
      </c>
      <c r="E318" s="207" t="s">
        <v>3157</v>
      </c>
      <c r="F318" s="207" t="s">
        <v>2728</v>
      </c>
      <c r="G318" s="207" t="s">
        <v>2726</v>
      </c>
      <c r="H318" s="207">
        <v>60</v>
      </c>
      <c r="I318" s="207" t="s">
        <v>2737</v>
      </c>
      <c r="J318" s="207" t="s">
        <v>2730</v>
      </c>
      <c r="K318" s="207" t="s">
        <v>2726</v>
      </c>
      <c r="L318" s="207" t="s">
        <v>2726</v>
      </c>
      <c r="M318" s="207" t="s">
        <v>2770</v>
      </c>
      <c r="N318" s="207" t="s">
        <v>2726</v>
      </c>
      <c r="O318" s="207" t="s">
        <v>2726</v>
      </c>
      <c r="P318" s="207" t="s">
        <v>2739</v>
      </c>
      <c r="Q318" s="207" t="s">
        <v>2733</v>
      </c>
      <c r="R318" s="207">
        <v>121</v>
      </c>
      <c r="S318" s="207" t="s">
        <v>2726</v>
      </c>
      <c r="T318" s="207" t="s">
        <v>1239</v>
      </c>
      <c r="U318" s="207" t="s">
        <v>2771</v>
      </c>
      <c r="V318" s="207" t="s">
        <v>2726</v>
      </c>
      <c r="W318" s="207" t="s">
        <v>2741</v>
      </c>
      <c r="X318" s="207">
        <v>1938010</v>
      </c>
      <c r="Y318" s="207" t="s">
        <v>100</v>
      </c>
      <c r="Z318" s="207" t="s">
        <v>2726</v>
      </c>
      <c r="AA318" s="207" t="s">
        <v>2726</v>
      </c>
      <c r="AB318" s="207" t="s">
        <v>2726</v>
      </c>
      <c r="AC318" s="207" t="s">
        <v>2726</v>
      </c>
      <c r="AD318" s="207" t="s">
        <v>2726</v>
      </c>
      <c r="AE318" s="207" t="s">
        <v>2726</v>
      </c>
      <c r="AF318" s="207" t="s">
        <v>2726</v>
      </c>
      <c r="AG318" s="207" t="s">
        <v>2726</v>
      </c>
      <c r="AH318" s="207" t="s">
        <v>2726</v>
      </c>
      <c r="AI318" s="207" t="s">
        <v>1247</v>
      </c>
      <c r="AJ318" s="207" t="s">
        <v>2726</v>
      </c>
      <c r="AK318" s="207" t="s">
        <v>3157</v>
      </c>
    </row>
    <row r="319" spans="1:37" x14ac:dyDescent="0.25">
      <c r="A319" s="207" t="s">
        <v>3158</v>
      </c>
      <c r="B319" s="207">
        <v>0</v>
      </c>
      <c r="C319" s="207" t="s">
        <v>2726</v>
      </c>
      <c r="D319" s="207" t="s">
        <v>2726</v>
      </c>
      <c r="E319" s="207" t="s">
        <v>3157</v>
      </c>
      <c r="F319" s="207" t="s">
        <v>2728</v>
      </c>
      <c r="G319" s="207" t="s">
        <v>2726</v>
      </c>
      <c r="H319" s="207">
        <v>60</v>
      </c>
      <c r="I319" s="207" t="s">
        <v>2737</v>
      </c>
      <c r="J319" s="207" t="s">
        <v>2730</v>
      </c>
      <c r="K319" s="207" t="s">
        <v>2726</v>
      </c>
      <c r="L319" s="207" t="s">
        <v>2726</v>
      </c>
      <c r="M319" s="207" t="s">
        <v>2770</v>
      </c>
      <c r="N319" s="207" t="s">
        <v>2726</v>
      </c>
      <c r="O319" s="207" t="s">
        <v>2726</v>
      </c>
      <c r="P319" s="207" t="s">
        <v>2739</v>
      </c>
      <c r="Q319" s="207" t="s">
        <v>2733</v>
      </c>
      <c r="R319" s="207">
        <v>121</v>
      </c>
      <c r="S319" s="207" t="s">
        <v>2726</v>
      </c>
      <c r="T319" s="207" t="s">
        <v>1239</v>
      </c>
      <c r="U319" s="207" t="s">
        <v>2771</v>
      </c>
      <c r="V319" s="207" t="s">
        <v>2726</v>
      </c>
      <c r="W319" s="207" t="s">
        <v>629</v>
      </c>
      <c r="X319" s="207">
        <v>-1938010</v>
      </c>
      <c r="Y319" s="207" t="s">
        <v>115</v>
      </c>
      <c r="Z319" s="207" t="s">
        <v>2726</v>
      </c>
      <c r="AA319" s="207" t="s">
        <v>2726</v>
      </c>
      <c r="AB319" s="207" t="s">
        <v>2726</v>
      </c>
      <c r="AC319" s="207" t="s">
        <v>2726</v>
      </c>
      <c r="AD319" s="207" t="s">
        <v>2726</v>
      </c>
      <c r="AE319" s="207" t="s">
        <v>2726</v>
      </c>
      <c r="AF319" s="207" t="s">
        <v>2726</v>
      </c>
      <c r="AG319" s="207" t="s">
        <v>2726</v>
      </c>
      <c r="AH319" s="207" t="s">
        <v>2726</v>
      </c>
      <c r="AI319" s="207" t="s">
        <v>1241</v>
      </c>
      <c r="AJ319" s="207" t="s">
        <v>2726</v>
      </c>
      <c r="AK319" s="207" t="s">
        <v>3157</v>
      </c>
    </row>
    <row r="320" spans="1:37" x14ac:dyDescent="0.25">
      <c r="A320" s="207" t="s">
        <v>3159</v>
      </c>
      <c r="B320" s="207">
        <v>0</v>
      </c>
      <c r="C320" s="207" t="s">
        <v>2726</v>
      </c>
      <c r="D320" s="207" t="s">
        <v>2726</v>
      </c>
      <c r="E320" s="207" t="s">
        <v>2986</v>
      </c>
      <c r="F320" s="207" t="s">
        <v>2728</v>
      </c>
      <c r="G320" s="207" t="s">
        <v>2726</v>
      </c>
      <c r="H320" s="207">
        <v>60</v>
      </c>
      <c r="I320" s="207" t="s">
        <v>2737</v>
      </c>
      <c r="J320" s="207" t="s">
        <v>2897</v>
      </c>
      <c r="K320" s="207" t="s">
        <v>2726</v>
      </c>
      <c r="L320" s="207" t="s">
        <v>2726</v>
      </c>
      <c r="M320" s="207" t="s">
        <v>2770</v>
      </c>
      <c r="N320" s="207" t="s">
        <v>2726</v>
      </c>
      <c r="O320" s="207" t="s">
        <v>2726</v>
      </c>
      <c r="P320" s="207" t="s">
        <v>2739</v>
      </c>
      <c r="Q320" s="207" t="s">
        <v>2733</v>
      </c>
      <c r="R320" s="207">
        <v>121</v>
      </c>
      <c r="S320" s="207" t="s">
        <v>2726</v>
      </c>
      <c r="T320" s="207" t="s">
        <v>1239</v>
      </c>
      <c r="U320" s="207" t="s">
        <v>2771</v>
      </c>
      <c r="V320" s="207" t="s">
        <v>2726</v>
      </c>
      <c r="W320" s="207" t="s">
        <v>2741</v>
      </c>
      <c r="X320" s="207">
        <v>15000</v>
      </c>
      <c r="Y320" s="207" t="s">
        <v>90</v>
      </c>
      <c r="Z320" s="207" t="s">
        <v>2726</v>
      </c>
      <c r="AA320" s="207" t="s">
        <v>2726</v>
      </c>
      <c r="AB320" s="207" t="s">
        <v>2726</v>
      </c>
      <c r="AC320" s="207" t="s">
        <v>2726</v>
      </c>
      <c r="AD320" s="207" t="s">
        <v>2726</v>
      </c>
      <c r="AE320" s="207" t="s">
        <v>2726</v>
      </c>
      <c r="AF320" s="207" t="s">
        <v>2726</v>
      </c>
      <c r="AG320" s="207" t="s">
        <v>2726</v>
      </c>
      <c r="AH320" s="207" t="s">
        <v>2726</v>
      </c>
      <c r="AI320" s="207" t="s">
        <v>1281</v>
      </c>
      <c r="AJ320" s="207" t="s">
        <v>2726</v>
      </c>
      <c r="AK320" s="207" t="s">
        <v>2986</v>
      </c>
    </row>
    <row r="321" spans="1:37" x14ac:dyDescent="0.25">
      <c r="A321" s="207" t="s">
        <v>3160</v>
      </c>
      <c r="B321" s="207">
        <v>0</v>
      </c>
      <c r="C321" s="207" t="s">
        <v>2726</v>
      </c>
      <c r="D321" s="207" t="s">
        <v>2726</v>
      </c>
      <c r="E321" s="207" t="s">
        <v>2988</v>
      </c>
      <c r="F321" s="207" t="s">
        <v>2728</v>
      </c>
      <c r="G321" s="207" t="s">
        <v>2726</v>
      </c>
      <c r="H321" s="207">
        <v>60</v>
      </c>
      <c r="I321" s="207" t="s">
        <v>2737</v>
      </c>
      <c r="J321" s="207" t="s">
        <v>2897</v>
      </c>
      <c r="K321" s="207" t="s">
        <v>2726</v>
      </c>
      <c r="L321" s="207" t="s">
        <v>2726</v>
      </c>
      <c r="M321" s="207" t="s">
        <v>2770</v>
      </c>
      <c r="N321" s="207" t="s">
        <v>2726</v>
      </c>
      <c r="O321" s="207" t="s">
        <v>2726</v>
      </c>
      <c r="P321" s="207" t="s">
        <v>2739</v>
      </c>
      <c r="Q321" s="207" t="s">
        <v>2733</v>
      </c>
      <c r="R321" s="207">
        <v>121</v>
      </c>
      <c r="S321" s="207" t="s">
        <v>2726</v>
      </c>
      <c r="T321" s="207" t="s">
        <v>1239</v>
      </c>
      <c r="U321" s="207" t="s">
        <v>2771</v>
      </c>
      <c r="V321" s="207" t="s">
        <v>2726</v>
      </c>
      <c r="W321" s="207" t="s">
        <v>2741</v>
      </c>
      <c r="X321" s="207">
        <v>9688</v>
      </c>
      <c r="Y321" s="207" t="s">
        <v>90</v>
      </c>
      <c r="Z321" s="207" t="s">
        <v>2726</v>
      </c>
      <c r="AA321" s="207" t="s">
        <v>2726</v>
      </c>
      <c r="AB321" s="207" t="s">
        <v>2726</v>
      </c>
      <c r="AC321" s="207" t="s">
        <v>2726</v>
      </c>
      <c r="AD321" s="207" t="s">
        <v>2726</v>
      </c>
      <c r="AE321" s="207" t="s">
        <v>2726</v>
      </c>
      <c r="AF321" s="207" t="s">
        <v>2726</v>
      </c>
      <c r="AG321" s="207" t="s">
        <v>2726</v>
      </c>
      <c r="AH321" s="207" t="s">
        <v>2726</v>
      </c>
      <c r="AI321" s="207" t="s">
        <v>1281</v>
      </c>
      <c r="AJ321" s="207" t="s">
        <v>2726</v>
      </c>
      <c r="AK321" s="207" t="s">
        <v>2988</v>
      </c>
    </row>
    <row r="322" spans="1:37" x14ac:dyDescent="0.25">
      <c r="A322" s="207" t="s">
        <v>3161</v>
      </c>
      <c r="B322" s="207">
        <v>0</v>
      </c>
      <c r="C322" s="207" t="s">
        <v>2726</v>
      </c>
      <c r="D322" s="207" t="s">
        <v>2726</v>
      </c>
      <c r="E322" s="207" t="s">
        <v>3162</v>
      </c>
      <c r="F322" s="207" t="s">
        <v>2728</v>
      </c>
      <c r="G322" s="207" t="s">
        <v>2726</v>
      </c>
      <c r="H322" s="207">
        <v>60</v>
      </c>
      <c r="I322" s="207" t="s">
        <v>2737</v>
      </c>
      <c r="J322" s="207" t="s">
        <v>2872</v>
      </c>
      <c r="K322" s="207" t="s">
        <v>2726</v>
      </c>
      <c r="L322" s="207" t="s">
        <v>2726</v>
      </c>
      <c r="M322" s="207" t="s">
        <v>2738</v>
      </c>
      <c r="N322" s="207" t="s">
        <v>2726</v>
      </c>
      <c r="O322" s="207" t="s">
        <v>2726</v>
      </c>
      <c r="P322" s="207" t="s">
        <v>2739</v>
      </c>
      <c r="Q322" s="207" t="s">
        <v>2733</v>
      </c>
      <c r="R322" s="207">
        <v>121</v>
      </c>
      <c r="S322" s="207" t="s">
        <v>2726</v>
      </c>
      <c r="T322" s="207" t="s">
        <v>1262</v>
      </c>
      <c r="U322" s="207" t="s">
        <v>2740</v>
      </c>
      <c r="V322" s="207" t="s">
        <v>2726</v>
      </c>
      <c r="W322" s="207" t="s">
        <v>629</v>
      </c>
      <c r="X322" s="207">
        <v>-295298</v>
      </c>
      <c r="Y322" s="207" t="s">
        <v>59</v>
      </c>
      <c r="Z322" s="207" t="s">
        <v>2726</v>
      </c>
      <c r="AA322" s="207" t="s">
        <v>2726</v>
      </c>
      <c r="AB322" s="207" t="s">
        <v>2726</v>
      </c>
      <c r="AC322" s="207" t="s">
        <v>2726</v>
      </c>
      <c r="AD322" s="207" t="s">
        <v>2726</v>
      </c>
      <c r="AE322" s="207" t="s">
        <v>2726</v>
      </c>
      <c r="AF322" s="207" t="s">
        <v>2726</v>
      </c>
      <c r="AG322" s="207" t="s">
        <v>2726</v>
      </c>
      <c r="AH322" s="207" t="s">
        <v>2726</v>
      </c>
      <c r="AI322" s="207" t="s">
        <v>1242</v>
      </c>
      <c r="AJ322" s="207" t="s">
        <v>2726</v>
      </c>
      <c r="AK322" s="207" t="s">
        <v>3162</v>
      </c>
    </row>
    <row r="323" spans="1:37" x14ac:dyDescent="0.25">
      <c r="A323" s="207" t="s">
        <v>3163</v>
      </c>
      <c r="B323" s="207">
        <v>0</v>
      </c>
      <c r="C323" s="207" t="s">
        <v>2726</v>
      </c>
      <c r="D323" s="207" t="s">
        <v>2726</v>
      </c>
      <c r="E323" s="207" t="s">
        <v>3162</v>
      </c>
      <c r="F323" s="207" t="s">
        <v>2728</v>
      </c>
      <c r="G323" s="207" t="s">
        <v>2726</v>
      </c>
      <c r="H323" s="207">
        <v>60</v>
      </c>
      <c r="I323" s="207" t="s">
        <v>2737</v>
      </c>
      <c r="J323" s="207" t="s">
        <v>2872</v>
      </c>
      <c r="K323" s="207" t="s">
        <v>2726</v>
      </c>
      <c r="L323" s="207" t="s">
        <v>2726</v>
      </c>
      <c r="M323" s="207" t="s">
        <v>2738</v>
      </c>
      <c r="N323" s="207" t="s">
        <v>2726</v>
      </c>
      <c r="O323" s="207" t="s">
        <v>2726</v>
      </c>
      <c r="P323" s="207" t="s">
        <v>2739</v>
      </c>
      <c r="Q323" s="207" t="s">
        <v>2733</v>
      </c>
      <c r="R323" s="207">
        <v>121</v>
      </c>
      <c r="S323" s="207" t="s">
        <v>2726</v>
      </c>
      <c r="T323" s="207" t="s">
        <v>1239</v>
      </c>
      <c r="U323" s="207" t="s">
        <v>2740</v>
      </c>
      <c r="V323" s="207" t="s">
        <v>2726</v>
      </c>
      <c r="W323" s="207" t="s">
        <v>2741</v>
      </c>
      <c r="X323" s="207">
        <v>220525</v>
      </c>
      <c r="Y323" s="207" t="s">
        <v>66</v>
      </c>
      <c r="Z323" s="207" t="s">
        <v>2726</v>
      </c>
      <c r="AA323" s="207" t="s">
        <v>2726</v>
      </c>
      <c r="AB323" s="207" t="s">
        <v>2726</v>
      </c>
      <c r="AC323" s="207" t="s">
        <v>2726</v>
      </c>
      <c r="AD323" s="207" t="s">
        <v>2726</v>
      </c>
      <c r="AE323" s="207" t="s">
        <v>2726</v>
      </c>
      <c r="AF323" s="207" t="s">
        <v>2726</v>
      </c>
      <c r="AG323" s="207" t="s">
        <v>2726</v>
      </c>
      <c r="AH323" s="207" t="s">
        <v>2726</v>
      </c>
      <c r="AI323" s="207" t="s">
        <v>1303</v>
      </c>
      <c r="AJ323" s="207" t="s">
        <v>2726</v>
      </c>
      <c r="AK323" s="207" t="s">
        <v>3162</v>
      </c>
    </row>
    <row r="324" spans="1:37" x14ac:dyDescent="0.25">
      <c r="A324" s="207" t="s">
        <v>3164</v>
      </c>
      <c r="B324" s="207">
        <v>0</v>
      </c>
      <c r="C324" s="207" t="s">
        <v>2726</v>
      </c>
      <c r="D324" s="207" t="s">
        <v>2726</v>
      </c>
      <c r="E324" s="207" t="s">
        <v>3162</v>
      </c>
      <c r="F324" s="207" t="s">
        <v>2728</v>
      </c>
      <c r="G324" s="207" t="s">
        <v>2726</v>
      </c>
      <c r="H324" s="207">
        <v>60</v>
      </c>
      <c r="I324" s="207" t="s">
        <v>2737</v>
      </c>
      <c r="J324" s="207" t="s">
        <v>2872</v>
      </c>
      <c r="K324" s="207" t="s">
        <v>2726</v>
      </c>
      <c r="L324" s="207" t="s">
        <v>2726</v>
      </c>
      <c r="M324" s="207" t="s">
        <v>2738</v>
      </c>
      <c r="N324" s="207" t="s">
        <v>2726</v>
      </c>
      <c r="O324" s="207" t="s">
        <v>2726</v>
      </c>
      <c r="P324" s="207" t="s">
        <v>2739</v>
      </c>
      <c r="Q324" s="207" t="s">
        <v>2733</v>
      </c>
      <c r="R324" s="207">
        <v>121</v>
      </c>
      <c r="S324" s="207" t="s">
        <v>2726</v>
      </c>
      <c r="T324" s="207" t="s">
        <v>1239</v>
      </c>
      <c r="U324" s="207" t="s">
        <v>2740</v>
      </c>
      <c r="V324" s="207" t="s">
        <v>2726</v>
      </c>
      <c r="W324" s="207" t="s">
        <v>2741</v>
      </c>
      <c r="X324" s="207">
        <v>74773</v>
      </c>
      <c r="Y324" s="207" t="s">
        <v>84</v>
      </c>
      <c r="Z324" s="207" t="s">
        <v>2726</v>
      </c>
      <c r="AA324" s="207" t="s">
        <v>2726</v>
      </c>
      <c r="AB324" s="207" t="s">
        <v>2726</v>
      </c>
      <c r="AC324" s="207" t="s">
        <v>2726</v>
      </c>
      <c r="AD324" s="207" t="s">
        <v>2726</v>
      </c>
      <c r="AE324" s="207" t="s">
        <v>2726</v>
      </c>
      <c r="AF324" s="207" t="s">
        <v>2726</v>
      </c>
      <c r="AG324" s="207" t="s">
        <v>2726</v>
      </c>
      <c r="AH324" s="207" t="s">
        <v>2726</v>
      </c>
      <c r="AI324" s="207" t="s">
        <v>1300</v>
      </c>
      <c r="AJ324" s="207" t="s">
        <v>2726</v>
      </c>
      <c r="AK324" s="207" t="s">
        <v>3162</v>
      </c>
    </row>
    <row r="325" spans="1:37" x14ac:dyDescent="0.25">
      <c r="A325" s="207" t="s">
        <v>3165</v>
      </c>
      <c r="B325" s="207">
        <v>0</v>
      </c>
      <c r="C325" s="207" t="s">
        <v>2726</v>
      </c>
      <c r="D325" s="207" t="s">
        <v>2726</v>
      </c>
      <c r="E325" s="207" t="s">
        <v>3166</v>
      </c>
      <c r="F325" s="207" t="s">
        <v>2728</v>
      </c>
      <c r="G325" s="207" t="s">
        <v>2726</v>
      </c>
      <c r="H325" s="207">
        <v>60</v>
      </c>
      <c r="I325" s="207" t="s">
        <v>2922</v>
      </c>
      <c r="J325" s="207" t="s">
        <v>3167</v>
      </c>
      <c r="K325" s="207" t="s">
        <v>2726</v>
      </c>
      <c r="L325" s="207" t="s">
        <v>2726</v>
      </c>
      <c r="M325" s="207" t="s">
        <v>2770</v>
      </c>
      <c r="N325" s="207" t="s">
        <v>2726</v>
      </c>
      <c r="O325" s="207" t="s">
        <v>2726</v>
      </c>
      <c r="P325" s="207" t="s">
        <v>2739</v>
      </c>
      <c r="Q325" s="207" t="s">
        <v>2733</v>
      </c>
      <c r="R325" s="207">
        <v>221</v>
      </c>
      <c r="S325" s="207" t="s">
        <v>2726</v>
      </c>
      <c r="T325" s="207" t="s">
        <v>1239</v>
      </c>
      <c r="U325" s="207" t="s">
        <v>2822</v>
      </c>
      <c r="V325" s="207" t="s">
        <v>2726</v>
      </c>
      <c r="W325" s="207" t="s">
        <v>629</v>
      </c>
      <c r="X325" s="207">
        <v>-1843751</v>
      </c>
      <c r="Y325" s="207" t="s">
        <v>228</v>
      </c>
      <c r="Z325" s="207" t="s">
        <v>2726</v>
      </c>
      <c r="AA325" s="207" t="s">
        <v>2726</v>
      </c>
      <c r="AB325" s="207" t="s">
        <v>2726</v>
      </c>
      <c r="AC325" s="207" t="s">
        <v>2726</v>
      </c>
      <c r="AD325" s="207" t="s">
        <v>2726</v>
      </c>
      <c r="AE325" s="207" t="s">
        <v>2726</v>
      </c>
      <c r="AF325" s="207" t="s">
        <v>2726</v>
      </c>
      <c r="AG325" s="207" t="s">
        <v>2726</v>
      </c>
      <c r="AH325" s="207" t="s">
        <v>2726</v>
      </c>
      <c r="AI325" s="207" t="s">
        <v>1290</v>
      </c>
      <c r="AJ325" s="207" t="s">
        <v>2726</v>
      </c>
      <c r="AK325" s="207" t="s">
        <v>3166</v>
      </c>
    </row>
    <row r="326" spans="1:37" x14ac:dyDescent="0.25">
      <c r="A326" s="207" t="s">
        <v>3168</v>
      </c>
      <c r="B326" s="207">
        <v>0</v>
      </c>
      <c r="C326" s="207" t="s">
        <v>2726</v>
      </c>
      <c r="D326" s="207" t="s">
        <v>2726</v>
      </c>
      <c r="E326" s="207" t="s">
        <v>3166</v>
      </c>
      <c r="F326" s="207" t="s">
        <v>2728</v>
      </c>
      <c r="G326" s="207" t="s">
        <v>2726</v>
      </c>
      <c r="H326" s="207">
        <v>60</v>
      </c>
      <c r="I326" s="207" t="s">
        <v>2737</v>
      </c>
      <c r="J326" s="207" t="s">
        <v>3167</v>
      </c>
      <c r="K326" s="207" t="s">
        <v>2726</v>
      </c>
      <c r="L326" s="207" t="s">
        <v>2726</v>
      </c>
      <c r="M326" s="207" t="s">
        <v>2770</v>
      </c>
      <c r="N326" s="207" t="s">
        <v>2726</v>
      </c>
      <c r="O326" s="207" t="s">
        <v>2726</v>
      </c>
      <c r="P326" s="207" t="s">
        <v>2739</v>
      </c>
      <c r="Q326" s="207" t="s">
        <v>2733</v>
      </c>
      <c r="R326" s="207">
        <v>121</v>
      </c>
      <c r="S326" s="207" t="s">
        <v>2726</v>
      </c>
      <c r="T326" s="207" t="s">
        <v>1239</v>
      </c>
      <c r="U326" s="207" t="s">
        <v>2771</v>
      </c>
      <c r="V326" s="207" t="s">
        <v>2726</v>
      </c>
      <c r="W326" s="207" t="s">
        <v>2741</v>
      </c>
      <c r="X326" s="207">
        <v>1843751</v>
      </c>
      <c r="Y326" s="207" t="s">
        <v>181</v>
      </c>
      <c r="Z326" s="207" t="s">
        <v>2726</v>
      </c>
      <c r="AA326" s="207" t="s">
        <v>2726</v>
      </c>
      <c r="AB326" s="207" t="s">
        <v>2726</v>
      </c>
      <c r="AC326" s="207" t="s">
        <v>2726</v>
      </c>
      <c r="AD326" s="207" t="s">
        <v>2726</v>
      </c>
      <c r="AE326" s="207" t="s">
        <v>2726</v>
      </c>
      <c r="AF326" s="207" t="s">
        <v>2726</v>
      </c>
      <c r="AG326" s="207" t="s">
        <v>2726</v>
      </c>
      <c r="AH326" s="207" t="s">
        <v>2726</v>
      </c>
      <c r="AI326" s="207" t="s">
        <v>1283</v>
      </c>
      <c r="AJ326" s="207" t="s">
        <v>2726</v>
      </c>
      <c r="AK326" s="207" t="s">
        <v>3166</v>
      </c>
    </row>
    <row r="327" spans="1:37" x14ac:dyDescent="0.25">
      <c r="A327" s="207" t="s">
        <v>3169</v>
      </c>
      <c r="B327" s="207">
        <v>0</v>
      </c>
      <c r="C327" s="207" t="s">
        <v>2726</v>
      </c>
      <c r="D327" s="207" t="s">
        <v>2726</v>
      </c>
      <c r="E327" s="207" t="s">
        <v>3170</v>
      </c>
      <c r="F327" s="207" t="s">
        <v>2728</v>
      </c>
      <c r="G327" s="207" t="s">
        <v>2726</v>
      </c>
      <c r="H327" s="207">
        <v>60</v>
      </c>
      <c r="I327" s="207" t="s">
        <v>2737</v>
      </c>
      <c r="J327" s="207" t="s">
        <v>2872</v>
      </c>
      <c r="K327" s="207" t="s">
        <v>2726</v>
      </c>
      <c r="L327" s="207" t="s">
        <v>2726</v>
      </c>
      <c r="M327" s="207" t="s">
        <v>2770</v>
      </c>
      <c r="N327" s="207" t="s">
        <v>2726</v>
      </c>
      <c r="O327" s="207" t="s">
        <v>2726</v>
      </c>
      <c r="P327" s="207" t="s">
        <v>2739</v>
      </c>
      <c r="Q327" s="207" t="s">
        <v>2733</v>
      </c>
      <c r="R327" s="207">
        <v>121</v>
      </c>
      <c r="S327" s="207" t="s">
        <v>2726</v>
      </c>
      <c r="T327" s="207" t="s">
        <v>1239</v>
      </c>
      <c r="U327" s="207" t="s">
        <v>2771</v>
      </c>
      <c r="V327" s="207" t="s">
        <v>2726</v>
      </c>
      <c r="W327" s="207" t="s">
        <v>2741</v>
      </c>
      <c r="X327" s="207">
        <v>857268</v>
      </c>
      <c r="Y327" s="207" t="s">
        <v>88</v>
      </c>
      <c r="Z327" s="207" t="s">
        <v>2726</v>
      </c>
      <c r="AA327" s="207" t="s">
        <v>2726</v>
      </c>
      <c r="AB327" s="207" t="s">
        <v>2726</v>
      </c>
      <c r="AC327" s="207" t="s">
        <v>2726</v>
      </c>
      <c r="AD327" s="207" t="s">
        <v>2726</v>
      </c>
      <c r="AE327" s="207" t="s">
        <v>2726</v>
      </c>
      <c r="AF327" s="207" t="s">
        <v>2726</v>
      </c>
      <c r="AG327" s="207" t="s">
        <v>2726</v>
      </c>
      <c r="AH327" s="207" t="s">
        <v>2726</v>
      </c>
      <c r="AI327" s="207" t="s">
        <v>1245</v>
      </c>
      <c r="AJ327" s="207" t="s">
        <v>2726</v>
      </c>
      <c r="AK327" s="207" t="s">
        <v>3170</v>
      </c>
    </row>
    <row r="328" spans="1:37" x14ac:dyDescent="0.25">
      <c r="A328" s="207" t="s">
        <v>3171</v>
      </c>
      <c r="B328" s="207">
        <v>0</v>
      </c>
      <c r="C328" s="207" t="s">
        <v>2726</v>
      </c>
      <c r="D328" s="207" t="s">
        <v>2726</v>
      </c>
      <c r="E328" s="207" t="s">
        <v>3170</v>
      </c>
      <c r="F328" s="207" t="s">
        <v>2728</v>
      </c>
      <c r="G328" s="207" t="s">
        <v>2726</v>
      </c>
      <c r="H328" s="207">
        <v>60</v>
      </c>
      <c r="I328" s="207" t="s">
        <v>2737</v>
      </c>
      <c r="J328" s="207" t="s">
        <v>2872</v>
      </c>
      <c r="K328" s="207" t="s">
        <v>2726</v>
      </c>
      <c r="L328" s="207" t="s">
        <v>2726</v>
      </c>
      <c r="M328" s="207" t="s">
        <v>2770</v>
      </c>
      <c r="N328" s="207" t="s">
        <v>2726</v>
      </c>
      <c r="O328" s="207" t="s">
        <v>2726</v>
      </c>
      <c r="P328" s="207" t="s">
        <v>2739</v>
      </c>
      <c r="Q328" s="207" t="s">
        <v>2733</v>
      </c>
      <c r="R328" s="207">
        <v>121</v>
      </c>
      <c r="S328" s="207" t="s">
        <v>2726</v>
      </c>
      <c r="T328" s="207" t="s">
        <v>1239</v>
      </c>
      <c r="U328" s="207" t="s">
        <v>2771</v>
      </c>
      <c r="V328" s="207" t="s">
        <v>2726</v>
      </c>
      <c r="W328" s="207" t="s">
        <v>629</v>
      </c>
      <c r="X328" s="207">
        <v>-857268</v>
      </c>
      <c r="Y328" s="207" t="s">
        <v>59</v>
      </c>
      <c r="Z328" s="207" t="s">
        <v>2726</v>
      </c>
      <c r="AA328" s="207" t="s">
        <v>2726</v>
      </c>
      <c r="AB328" s="207" t="s">
        <v>2726</v>
      </c>
      <c r="AC328" s="207" t="s">
        <v>2726</v>
      </c>
      <c r="AD328" s="207" t="s">
        <v>2726</v>
      </c>
      <c r="AE328" s="207" t="s">
        <v>2726</v>
      </c>
      <c r="AF328" s="207" t="s">
        <v>2726</v>
      </c>
      <c r="AG328" s="207" t="s">
        <v>2726</v>
      </c>
      <c r="AH328" s="207" t="s">
        <v>2726</v>
      </c>
      <c r="AI328" s="207" t="s">
        <v>1242</v>
      </c>
      <c r="AJ328" s="207" t="s">
        <v>2726</v>
      </c>
      <c r="AK328" s="207" t="s">
        <v>3170</v>
      </c>
    </row>
    <row r="329" spans="1:37" x14ac:dyDescent="0.25">
      <c r="A329" s="207" t="s">
        <v>3172</v>
      </c>
      <c r="B329" s="207">
        <v>0</v>
      </c>
      <c r="C329" s="207" t="s">
        <v>2726</v>
      </c>
      <c r="D329" s="207" t="s">
        <v>2726</v>
      </c>
      <c r="E329" s="207" t="s">
        <v>2911</v>
      </c>
      <c r="F329" s="207" t="s">
        <v>2728</v>
      </c>
      <c r="G329" s="207" t="s">
        <v>2726</v>
      </c>
      <c r="H329" s="207">
        <v>60</v>
      </c>
      <c r="I329" s="207" t="s">
        <v>2737</v>
      </c>
      <c r="J329" s="207" t="s">
        <v>2872</v>
      </c>
      <c r="K329" s="207" t="s">
        <v>2726</v>
      </c>
      <c r="L329" s="207" t="s">
        <v>2726</v>
      </c>
      <c r="M329" s="207" t="s">
        <v>2898</v>
      </c>
      <c r="N329" s="207" t="s">
        <v>2726</v>
      </c>
      <c r="O329" s="207" t="s">
        <v>2726</v>
      </c>
      <c r="P329" s="207" t="s">
        <v>2739</v>
      </c>
      <c r="Q329" s="207" t="s">
        <v>2733</v>
      </c>
      <c r="R329" s="207">
        <v>121</v>
      </c>
      <c r="S329" s="207" t="s">
        <v>2726</v>
      </c>
      <c r="T329" s="207" t="s">
        <v>1239</v>
      </c>
      <c r="U329" s="207" t="s">
        <v>2899</v>
      </c>
      <c r="V329" s="207" t="s">
        <v>2726</v>
      </c>
      <c r="W329" s="207" t="s">
        <v>2741</v>
      </c>
      <c r="X329" s="207">
        <v>24900</v>
      </c>
      <c r="Y329" s="207" t="s">
        <v>100</v>
      </c>
      <c r="Z329" s="207" t="s">
        <v>2726</v>
      </c>
      <c r="AA329" s="207" t="s">
        <v>2726</v>
      </c>
      <c r="AB329" s="207" t="s">
        <v>2726</v>
      </c>
      <c r="AC329" s="207" t="s">
        <v>2726</v>
      </c>
      <c r="AD329" s="207" t="s">
        <v>2726</v>
      </c>
      <c r="AE329" s="207" t="s">
        <v>2726</v>
      </c>
      <c r="AF329" s="207" t="s">
        <v>2726</v>
      </c>
      <c r="AG329" s="207" t="s">
        <v>2726</v>
      </c>
      <c r="AH329" s="207" t="s">
        <v>2726</v>
      </c>
      <c r="AI329" s="207" t="s">
        <v>1247</v>
      </c>
      <c r="AJ329" s="207" t="s">
        <v>2726</v>
      </c>
      <c r="AK329" s="207" t="s">
        <v>2911</v>
      </c>
    </row>
    <row r="330" spans="1:37" x14ac:dyDescent="0.25">
      <c r="A330" s="207" t="s">
        <v>3173</v>
      </c>
      <c r="B330" s="207">
        <v>0</v>
      </c>
      <c r="C330" s="207" t="s">
        <v>2726</v>
      </c>
      <c r="D330" s="207" t="s">
        <v>2726</v>
      </c>
      <c r="E330" s="207" t="s">
        <v>2990</v>
      </c>
      <c r="F330" s="207" t="s">
        <v>2728</v>
      </c>
      <c r="G330" s="207" t="s">
        <v>2726</v>
      </c>
      <c r="H330" s="207">
        <v>60</v>
      </c>
      <c r="I330" s="207" t="s">
        <v>2737</v>
      </c>
      <c r="J330" s="207" t="s">
        <v>2730</v>
      </c>
      <c r="K330" s="207" t="s">
        <v>2726</v>
      </c>
      <c r="L330" s="207" t="s">
        <v>2726</v>
      </c>
      <c r="M330" s="207" t="s">
        <v>2770</v>
      </c>
      <c r="N330" s="207" t="s">
        <v>2726</v>
      </c>
      <c r="O330" s="207" t="s">
        <v>2726</v>
      </c>
      <c r="P330" s="207" t="s">
        <v>2739</v>
      </c>
      <c r="Q330" s="207" t="s">
        <v>2733</v>
      </c>
      <c r="R330" s="207">
        <v>121</v>
      </c>
      <c r="S330" s="207" t="s">
        <v>2726</v>
      </c>
      <c r="T330" s="207" t="s">
        <v>1239</v>
      </c>
      <c r="U330" s="207" t="s">
        <v>2771</v>
      </c>
      <c r="V330" s="207" t="s">
        <v>2726</v>
      </c>
      <c r="W330" s="207" t="s">
        <v>2741</v>
      </c>
      <c r="X330" s="207">
        <v>9947</v>
      </c>
      <c r="Y330" s="207" t="s">
        <v>90</v>
      </c>
      <c r="Z330" s="207" t="s">
        <v>2726</v>
      </c>
      <c r="AA330" s="207" t="s">
        <v>2726</v>
      </c>
      <c r="AB330" s="207" t="s">
        <v>2726</v>
      </c>
      <c r="AC330" s="207" t="s">
        <v>2726</v>
      </c>
      <c r="AD330" s="207" t="s">
        <v>2726</v>
      </c>
      <c r="AE330" s="207" t="s">
        <v>2726</v>
      </c>
      <c r="AF330" s="207" t="s">
        <v>2726</v>
      </c>
      <c r="AG330" s="207" t="s">
        <v>2726</v>
      </c>
      <c r="AH330" s="207" t="s">
        <v>2726</v>
      </c>
      <c r="AI330" s="207" t="s">
        <v>1281</v>
      </c>
      <c r="AJ330" s="207" t="s">
        <v>2726</v>
      </c>
      <c r="AK330" s="207" t="s">
        <v>2990</v>
      </c>
    </row>
    <row r="331" spans="1:37" x14ac:dyDescent="0.25">
      <c r="A331" s="207" t="s">
        <v>3174</v>
      </c>
      <c r="B331" s="207">
        <v>0</v>
      </c>
      <c r="C331" s="207" t="s">
        <v>2726</v>
      </c>
      <c r="D331" s="207" t="s">
        <v>2726</v>
      </c>
      <c r="E331" s="207" t="s">
        <v>3175</v>
      </c>
      <c r="F331" s="207" t="s">
        <v>2728</v>
      </c>
      <c r="G331" s="207" t="s">
        <v>2726</v>
      </c>
      <c r="H331" s="207">
        <v>60</v>
      </c>
      <c r="I331" s="207" t="s">
        <v>2737</v>
      </c>
      <c r="J331" s="207" t="s">
        <v>2872</v>
      </c>
      <c r="K331" s="207" t="s">
        <v>2726</v>
      </c>
      <c r="L331" s="207" t="s">
        <v>2726</v>
      </c>
      <c r="M331" s="207" t="s">
        <v>2770</v>
      </c>
      <c r="N331" s="207" t="s">
        <v>2726</v>
      </c>
      <c r="O331" s="207" t="s">
        <v>2726</v>
      </c>
      <c r="P331" s="207" t="s">
        <v>2739</v>
      </c>
      <c r="Q331" s="207" t="s">
        <v>2733</v>
      </c>
      <c r="R331" s="207">
        <v>121</v>
      </c>
      <c r="S331" s="207" t="s">
        <v>2726</v>
      </c>
      <c r="T331" s="207" t="s">
        <v>1239</v>
      </c>
      <c r="U331" s="207" t="s">
        <v>2771</v>
      </c>
      <c r="V331" s="207" t="s">
        <v>2726</v>
      </c>
      <c r="W331" s="207" t="s">
        <v>2741</v>
      </c>
      <c r="X331" s="207">
        <v>10000</v>
      </c>
      <c r="Y331" s="207" t="s">
        <v>129</v>
      </c>
      <c r="Z331" s="207" t="s">
        <v>2726</v>
      </c>
      <c r="AA331" s="207" t="s">
        <v>2726</v>
      </c>
      <c r="AB331" s="207" t="s">
        <v>2726</v>
      </c>
      <c r="AC331" s="207" t="s">
        <v>2726</v>
      </c>
      <c r="AD331" s="207" t="s">
        <v>2726</v>
      </c>
      <c r="AE331" s="207" t="s">
        <v>2726</v>
      </c>
      <c r="AF331" s="207" t="s">
        <v>2726</v>
      </c>
      <c r="AG331" s="207" t="s">
        <v>2726</v>
      </c>
      <c r="AH331" s="207" t="s">
        <v>2726</v>
      </c>
      <c r="AI331" s="207" t="s">
        <v>1252</v>
      </c>
      <c r="AJ331" s="207" t="s">
        <v>2726</v>
      </c>
      <c r="AK331" s="207" t="s">
        <v>3175</v>
      </c>
    </row>
    <row r="332" spans="1:37" x14ac:dyDescent="0.25">
      <c r="A332" s="207" t="s">
        <v>3176</v>
      </c>
      <c r="B332" s="207">
        <v>0</v>
      </c>
      <c r="C332" s="207" t="s">
        <v>2726</v>
      </c>
      <c r="D332" s="207" t="s">
        <v>2726</v>
      </c>
      <c r="E332" s="207" t="s">
        <v>3175</v>
      </c>
      <c r="F332" s="207" t="s">
        <v>2728</v>
      </c>
      <c r="G332" s="207" t="s">
        <v>2726</v>
      </c>
      <c r="H332" s="207">
        <v>60</v>
      </c>
      <c r="I332" s="207" t="s">
        <v>2737</v>
      </c>
      <c r="J332" s="207" t="s">
        <v>2872</v>
      </c>
      <c r="K332" s="207" t="s">
        <v>2726</v>
      </c>
      <c r="L332" s="207" t="s">
        <v>2726</v>
      </c>
      <c r="M332" s="207" t="s">
        <v>2770</v>
      </c>
      <c r="N332" s="207" t="s">
        <v>2726</v>
      </c>
      <c r="O332" s="207" t="s">
        <v>2726</v>
      </c>
      <c r="P332" s="207" t="s">
        <v>2739</v>
      </c>
      <c r="Q332" s="207" t="s">
        <v>2733</v>
      </c>
      <c r="R332" s="207">
        <v>121</v>
      </c>
      <c r="S332" s="207" t="s">
        <v>2726</v>
      </c>
      <c r="T332" s="207" t="s">
        <v>1239</v>
      </c>
      <c r="U332" s="207" t="s">
        <v>2771</v>
      </c>
      <c r="V332" s="207" t="s">
        <v>2726</v>
      </c>
      <c r="W332" s="207" t="s">
        <v>629</v>
      </c>
      <c r="X332" s="207">
        <v>-10000</v>
      </c>
      <c r="Y332" s="207" t="s">
        <v>121</v>
      </c>
      <c r="Z332" s="207" t="s">
        <v>2726</v>
      </c>
      <c r="AA332" s="207" t="s">
        <v>2726</v>
      </c>
      <c r="AB332" s="207" t="s">
        <v>2726</v>
      </c>
      <c r="AC332" s="207" t="s">
        <v>2726</v>
      </c>
      <c r="AD332" s="207" t="s">
        <v>2726</v>
      </c>
      <c r="AE332" s="207" t="s">
        <v>2726</v>
      </c>
      <c r="AF332" s="207" t="s">
        <v>2726</v>
      </c>
      <c r="AG332" s="207" t="s">
        <v>2726</v>
      </c>
      <c r="AH332" s="207" t="s">
        <v>2726</v>
      </c>
      <c r="AI332" s="207" t="s">
        <v>1268</v>
      </c>
      <c r="AJ332" s="207" t="s">
        <v>2726</v>
      </c>
      <c r="AK332" s="207" t="s">
        <v>3175</v>
      </c>
    </row>
    <row r="333" spans="1:37" x14ac:dyDescent="0.25">
      <c r="A333" s="207" t="s">
        <v>3177</v>
      </c>
      <c r="B333" s="207">
        <v>0</v>
      </c>
      <c r="C333" s="207" t="s">
        <v>2726</v>
      </c>
      <c r="D333" s="207" t="s">
        <v>2726</v>
      </c>
      <c r="E333" s="207" t="s">
        <v>3178</v>
      </c>
      <c r="F333" s="207" t="s">
        <v>2728</v>
      </c>
      <c r="G333" s="207" t="s">
        <v>2726</v>
      </c>
      <c r="H333" s="207">
        <v>60</v>
      </c>
      <c r="I333" s="207" t="s">
        <v>2737</v>
      </c>
      <c r="J333" s="207" t="s">
        <v>2730</v>
      </c>
      <c r="K333" s="207" t="s">
        <v>2726</v>
      </c>
      <c r="L333" s="207" t="s">
        <v>2726</v>
      </c>
      <c r="M333" s="207" t="s">
        <v>2770</v>
      </c>
      <c r="N333" s="207" t="s">
        <v>2726</v>
      </c>
      <c r="O333" s="207" t="s">
        <v>2726</v>
      </c>
      <c r="P333" s="207" t="s">
        <v>2739</v>
      </c>
      <c r="Q333" s="207" t="s">
        <v>2733</v>
      </c>
      <c r="R333" s="207">
        <v>121</v>
      </c>
      <c r="S333" s="207" t="s">
        <v>2726</v>
      </c>
      <c r="T333" s="207" t="s">
        <v>1239</v>
      </c>
      <c r="U333" s="207" t="s">
        <v>2771</v>
      </c>
      <c r="V333" s="207" t="s">
        <v>2726</v>
      </c>
      <c r="W333" s="207" t="s">
        <v>2741</v>
      </c>
      <c r="X333" s="207">
        <v>3000000</v>
      </c>
      <c r="Y333" s="207" t="s">
        <v>113</v>
      </c>
      <c r="Z333" s="207" t="s">
        <v>2726</v>
      </c>
      <c r="AA333" s="207" t="s">
        <v>2726</v>
      </c>
      <c r="AB333" s="207" t="s">
        <v>2726</v>
      </c>
      <c r="AC333" s="207" t="s">
        <v>2726</v>
      </c>
      <c r="AD333" s="207" t="s">
        <v>2726</v>
      </c>
      <c r="AE333" s="207" t="s">
        <v>2726</v>
      </c>
      <c r="AF333" s="207" t="s">
        <v>2726</v>
      </c>
      <c r="AG333" s="207" t="s">
        <v>2726</v>
      </c>
      <c r="AH333" s="207" t="s">
        <v>2726</v>
      </c>
      <c r="AI333" s="207" t="s">
        <v>1265</v>
      </c>
      <c r="AJ333" s="207" t="s">
        <v>2726</v>
      </c>
      <c r="AK333" s="207" t="s">
        <v>3178</v>
      </c>
    </row>
    <row r="334" spans="1:37" x14ac:dyDescent="0.25">
      <c r="A334" s="207" t="s">
        <v>3179</v>
      </c>
      <c r="B334" s="207">
        <v>0</v>
      </c>
      <c r="C334" s="207" t="s">
        <v>2726</v>
      </c>
      <c r="D334" s="207" t="s">
        <v>2726</v>
      </c>
      <c r="E334" s="207" t="s">
        <v>3178</v>
      </c>
      <c r="F334" s="207" t="s">
        <v>2728</v>
      </c>
      <c r="G334" s="207" t="s">
        <v>2726</v>
      </c>
      <c r="H334" s="207">
        <v>60</v>
      </c>
      <c r="I334" s="207" t="s">
        <v>2737</v>
      </c>
      <c r="J334" s="207" t="s">
        <v>2730</v>
      </c>
      <c r="K334" s="207" t="s">
        <v>2726</v>
      </c>
      <c r="L334" s="207" t="s">
        <v>2726</v>
      </c>
      <c r="M334" s="207" t="s">
        <v>2770</v>
      </c>
      <c r="N334" s="207" t="s">
        <v>2726</v>
      </c>
      <c r="O334" s="207" t="s">
        <v>2726</v>
      </c>
      <c r="P334" s="207" t="s">
        <v>2739</v>
      </c>
      <c r="Q334" s="207" t="s">
        <v>2733</v>
      </c>
      <c r="R334" s="207">
        <v>121</v>
      </c>
      <c r="S334" s="207" t="s">
        <v>2726</v>
      </c>
      <c r="T334" s="207" t="s">
        <v>1239</v>
      </c>
      <c r="U334" s="207" t="s">
        <v>2771</v>
      </c>
      <c r="V334" s="207" t="s">
        <v>2726</v>
      </c>
      <c r="W334" s="207" t="s">
        <v>629</v>
      </c>
      <c r="X334" s="207">
        <v>-3000000</v>
      </c>
      <c r="Y334" s="207" t="s">
        <v>115</v>
      </c>
      <c r="Z334" s="207" t="s">
        <v>2726</v>
      </c>
      <c r="AA334" s="207" t="s">
        <v>2726</v>
      </c>
      <c r="AB334" s="207" t="s">
        <v>2726</v>
      </c>
      <c r="AC334" s="207" t="s">
        <v>2726</v>
      </c>
      <c r="AD334" s="207" t="s">
        <v>2726</v>
      </c>
      <c r="AE334" s="207" t="s">
        <v>2726</v>
      </c>
      <c r="AF334" s="207" t="s">
        <v>2726</v>
      </c>
      <c r="AG334" s="207" t="s">
        <v>2726</v>
      </c>
      <c r="AH334" s="207" t="s">
        <v>2726</v>
      </c>
      <c r="AI334" s="207" t="s">
        <v>1241</v>
      </c>
      <c r="AJ334" s="207" t="s">
        <v>2726</v>
      </c>
      <c r="AK334" s="207" t="s">
        <v>3178</v>
      </c>
    </row>
  </sheetData>
  <sheetProtection algorithmName="SHA-512" hashValue="Zq53ugd1bPxkwme8uy+N8Bh9yBe5s17qUPYIlksvfhTq/D4Lhgb37oWsK5n5xsMf9ToFt65Gj54UJK+LnUFhOA==" saltValue="WjIZ5/8wpiRubfPE7tguJw==" spinCount="100000" sheet="1" objects="1" scenarios="1" formatCells="0" formatColumns="0" formatRows="0" insertColumns="0" insertRows="0" deleteRows="0" sort="0" autoFilter="0"/>
  <phoneticPr fontId="16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57DB0-6FB8-45BB-8335-881E14765A92}">
  <sheetPr>
    <tabColor rgb="FF00B050"/>
  </sheetPr>
  <dimension ref="A1:AJ3000"/>
  <sheetViews>
    <sheetView workbookViewId="0">
      <pane ySplit="1" topLeftCell="A2" activePane="bottomLeft" state="frozen"/>
      <selection pane="bottomLeft" activeCell="A2" sqref="A2"/>
    </sheetView>
  </sheetViews>
  <sheetFormatPr defaultRowHeight="15.75" x14ac:dyDescent="0.25"/>
  <cols>
    <col min="1" max="1" width="9.375" style="59" bestFit="1" customWidth="1"/>
    <col min="2" max="2" width="9.375" customWidth="1"/>
    <col min="3" max="3" width="10.5" bestFit="1" customWidth="1"/>
    <col min="4" max="4" width="9.875" bestFit="1" customWidth="1"/>
    <col min="5" max="5" width="13.375" customWidth="1"/>
    <col min="6" max="6" width="6.625" bestFit="1" customWidth="1"/>
    <col min="7" max="7" width="5.625" bestFit="1" customWidth="1"/>
    <col min="8" max="8" width="18.375" bestFit="1" customWidth="1"/>
    <col min="9" max="9" width="30.875" bestFit="1" customWidth="1"/>
    <col min="10" max="10" width="6.25" bestFit="1" customWidth="1"/>
    <col min="11" max="11" width="10" bestFit="1" customWidth="1"/>
    <col min="12" max="12" width="36.125" bestFit="1" customWidth="1"/>
    <col min="13" max="13" width="12.125" bestFit="1" customWidth="1"/>
    <col min="14" max="21" width="12.125" customWidth="1"/>
    <col min="22" max="22" width="11.875" bestFit="1" customWidth="1"/>
    <col min="23" max="23" width="10.875" bestFit="1" customWidth="1"/>
    <col min="24" max="24" width="14" bestFit="1" customWidth="1"/>
    <col min="25" max="25" width="9.875" bestFit="1" customWidth="1"/>
    <col min="26" max="26" width="13.75" bestFit="1" customWidth="1"/>
    <col min="29" max="29" width="16" bestFit="1" customWidth="1"/>
    <col min="33" max="33" width="20.125" bestFit="1" customWidth="1"/>
  </cols>
  <sheetData>
    <row r="1" spans="1:36" x14ac:dyDescent="0.25">
      <c r="A1" s="59" t="s">
        <v>1215</v>
      </c>
      <c r="B1" t="s">
        <v>1210</v>
      </c>
      <c r="C1" t="s">
        <v>1212</v>
      </c>
      <c r="D1" t="s">
        <v>1218</v>
      </c>
      <c r="E1" t="s">
        <v>1226</v>
      </c>
      <c r="F1" t="s">
        <v>1321</v>
      </c>
      <c r="G1" t="s">
        <v>1523</v>
      </c>
      <c r="H1" t="s">
        <v>1227</v>
      </c>
      <c r="I1" t="s">
        <v>1237</v>
      </c>
      <c r="J1" t="s">
        <v>1222</v>
      </c>
      <c r="K1" t="s">
        <v>51</v>
      </c>
      <c r="L1" t="s">
        <v>1223</v>
      </c>
      <c r="M1" t="s">
        <v>1552</v>
      </c>
      <c r="N1" t="s">
        <v>1555</v>
      </c>
      <c r="O1" t="s">
        <v>1545</v>
      </c>
      <c r="P1" t="s">
        <v>674</v>
      </c>
      <c r="Q1" t="s">
        <v>1559</v>
      </c>
      <c r="R1" t="s">
        <v>2559</v>
      </c>
      <c r="S1" t="s">
        <v>1560</v>
      </c>
      <c r="T1" t="s">
        <v>2592</v>
      </c>
      <c r="U1" t="s">
        <v>1218</v>
      </c>
      <c r="V1" t="s">
        <v>1320</v>
      </c>
      <c r="W1" t="s">
        <v>1322</v>
      </c>
      <c r="X1" t="s">
        <v>1323</v>
      </c>
      <c r="Y1" t="s">
        <v>1327</v>
      </c>
      <c r="Z1" t="s">
        <v>1338</v>
      </c>
      <c r="AA1" t="s">
        <v>1491</v>
      </c>
      <c r="AB1" t="s">
        <v>1492</v>
      </c>
      <c r="AC1" t="s">
        <v>1494</v>
      </c>
      <c r="AD1" t="s">
        <v>1495</v>
      </c>
      <c r="AE1" t="s">
        <v>1498</v>
      </c>
      <c r="AF1" t="s">
        <v>1499</v>
      </c>
      <c r="AG1" t="s">
        <v>2658</v>
      </c>
      <c r="AH1" t="s">
        <v>2659</v>
      </c>
      <c r="AI1" t="s">
        <v>2661</v>
      </c>
      <c r="AJ1" t="s">
        <v>2662</v>
      </c>
    </row>
    <row r="2" spans="1:36" x14ac:dyDescent="0.25">
      <c r="A2" s="325">
        <f>Tervezés!B5</f>
        <v>0</v>
      </c>
      <c r="B2">
        <v>60</v>
      </c>
      <c r="C2">
        <f>Tervezés!E5</f>
        <v>0</v>
      </c>
      <c r="D2">
        <f>Tervezés!F5</f>
        <v>0</v>
      </c>
      <c r="E2">
        <f>Tervezés!H5</f>
        <v>0</v>
      </c>
      <c r="F2" t="str">
        <f>LEFT(G2,2)</f>
        <v>0</v>
      </c>
      <c r="G2" t="str">
        <f>LEFT(H2,3)</f>
        <v>0</v>
      </c>
      <c r="H2">
        <f>Tervezés!I5</f>
        <v>0</v>
      </c>
      <c r="I2">
        <f>Tervezés!J5</f>
        <v>0</v>
      </c>
      <c r="J2">
        <f>Tervezés!K5</f>
        <v>0</v>
      </c>
      <c r="K2">
        <f>Tervezés!L5</f>
        <v>0</v>
      </c>
      <c r="L2">
        <f>Tervezés!M5</f>
        <v>0</v>
      </c>
      <c r="M2" s="322" t="str">
        <f>IFERROR(VLOOKUP(A2,PAR!$D$3:$E$53,2,FALSE),"nincs szervezet")</f>
        <v>nincs szervezet</v>
      </c>
      <c r="N2" s="322" t="str">
        <f>VLOOKUP(F2,PAR!$R$3:$S$5,2,FALSE)</f>
        <v>3 - egyik sem</v>
      </c>
      <c r="O2" t="str">
        <f>IFERROR(VLOOKUP(J2,PAR!$O$3:$P$5,2,FALSE),"nincs feladat")</f>
        <v>nincs feladat</v>
      </c>
      <c r="P2" t="str">
        <f>IFERROR(VLOOKUP(G2,PAR!$J$2:$M$19,4),"nincs rovat")</f>
        <v>nincs rovat</v>
      </c>
      <c r="Q2" t="str">
        <f>IF(H2&gt;0,VLOOKUP(H2,PAR!$AA$3:$AC$187,3,FALSE),"nincs főkönyvi számla")</f>
        <v>nincs főkönyvi számla</v>
      </c>
      <c r="R2" t="str">
        <f>IFERROR(VLOOKUP(K2,PAR!$V$3:$X$438,3,FALSE),"000000 - Nincs COFOG")</f>
        <v>000000 - Nincs COFOG</v>
      </c>
      <c r="S2">
        <f>E2</f>
        <v>0</v>
      </c>
      <c r="T2">
        <f>IF(F2="09",E2*-1,E2)</f>
        <v>0</v>
      </c>
      <c r="U2" t="str">
        <f>IF(Tervezés!F5&gt;0,CONCATENATE(Tervezés!E5," - ",Tervezés!F5,", ",Tervezés!J5),"nincs megjegyzés")</f>
        <v>nincs megjegyzés</v>
      </c>
      <c r="V2" t="str">
        <f t="shared" ref="V2:V65" si="0">CONCATENATE(B2,A2,G2)</f>
        <v>6000</v>
      </c>
      <c r="W2" t="str">
        <f t="shared" ref="W2:W65" si="1">CONCATENATE(B2,A2,F2)</f>
        <v>6000</v>
      </c>
      <c r="X2" t="str">
        <f t="shared" ref="X2:X65" si="2">CONCATENATE(A2,H2)</f>
        <v>00</v>
      </c>
      <c r="Y2" t="str">
        <f t="shared" ref="Y2:Y65" si="3">CONCATENATE(B2,H2)</f>
        <v>600</v>
      </c>
      <c r="Z2" t="str">
        <f>CONCATENATE(J2,H2)</f>
        <v>00</v>
      </c>
      <c r="AA2" t="str">
        <f t="shared" ref="AA2:AA65" si="4">CONCATENATE(B2,G2)</f>
        <v>600</v>
      </c>
      <c r="AB2" t="str">
        <f t="shared" ref="AB2:AB65" si="5">CONCATENATE(J2,G2)</f>
        <v>00</v>
      </c>
      <c r="AC2" t="str">
        <f t="shared" ref="AC2:AC65" si="6">CONCATENATE(B2,A2,H2)</f>
        <v>6000</v>
      </c>
      <c r="AD2" t="str">
        <f t="shared" ref="AD2:AD65" si="7">CONCATENATE(A2,H2,J2)</f>
        <v>000</v>
      </c>
      <c r="AE2" t="str">
        <f t="shared" ref="AE2:AE65" si="8">CONCATENATE(B2,A2,G2)</f>
        <v>6000</v>
      </c>
      <c r="AF2" t="str">
        <f t="shared" ref="AF2:AF65" si="9">CONCATENATE(A2,G2,J2)</f>
        <v>000</v>
      </c>
      <c r="AG2" t="str">
        <f>CONCATENATE(B2,A2,H2,L2)</f>
        <v>60000</v>
      </c>
      <c r="AH2" t="str">
        <f>CONCATENATE(A2,J2,H2,L2)</f>
        <v>0000</v>
      </c>
      <c r="AI2" t="str">
        <f>CONCATENATE(B2,A2,G2,L2)</f>
        <v>60000</v>
      </c>
      <c r="AJ2" t="str">
        <f>CONCATENATE(A2,G2,J2,L2)</f>
        <v>0000</v>
      </c>
    </row>
    <row r="3" spans="1:36" x14ac:dyDescent="0.25">
      <c r="A3" s="325">
        <f>Tervezés!B6</f>
        <v>0</v>
      </c>
      <c r="B3">
        <v>60</v>
      </c>
      <c r="C3">
        <f>Tervezés!E6</f>
        <v>0</v>
      </c>
      <c r="D3">
        <f>Tervezés!F6</f>
        <v>0</v>
      </c>
      <c r="E3">
        <f>Tervezés!H6</f>
        <v>0</v>
      </c>
      <c r="F3" t="str">
        <f t="shared" ref="F3:F66" si="10">LEFT(G3,2)</f>
        <v>0</v>
      </c>
      <c r="G3" t="str">
        <f t="shared" ref="G3:G66" si="11">LEFT(H3,3)</f>
        <v>0</v>
      </c>
      <c r="H3">
        <f>Tervezés!I6</f>
        <v>0</v>
      </c>
      <c r="I3">
        <f>Tervezés!J6</f>
        <v>0</v>
      </c>
      <c r="J3">
        <f>Tervezés!K6</f>
        <v>0</v>
      </c>
      <c r="K3">
        <f>Tervezés!L6</f>
        <v>0</v>
      </c>
      <c r="L3">
        <f>Tervezés!M6</f>
        <v>0</v>
      </c>
      <c r="M3" s="322" t="str">
        <f>IFERROR(VLOOKUP(A3,PAR!$D$3:$E$53,2,FALSE),"nincs szervezet")</f>
        <v>nincs szervezet</v>
      </c>
      <c r="N3" s="322" t="str">
        <f>VLOOKUP(F3,PAR!$R$3:$S$5,2,FALSE)</f>
        <v>3 - egyik sem</v>
      </c>
      <c r="O3" t="str">
        <f>IFERROR(VLOOKUP(J3,PAR!$O$3:$P$5,2,FALSE),"nincs feladat")</f>
        <v>nincs feladat</v>
      </c>
      <c r="P3" t="str">
        <f>IFERROR(VLOOKUP(G3,PAR!$J$2:$M$19,4),"nincs rovat")</f>
        <v>nincs rovat</v>
      </c>
      <c r="Q3" t="str">
        <f>IF(H3&gt;0,VLOOKUP(H3,PAR!$AA$3:$AC$187,3,FALSE),"nincs főkönyvi számla")</f>
        <v>nincs főkönyvi számla</v>
      </c>
      <c r="R3" t="str">
        <f>IFERROR(VLOOKUP(K3,PAR!$V$3:$X$438,3,FALSE),"000000 - Nincs COFOG")</f>
        <v>000000 - Nincs COFOG</v>
      </c>
      <c r="S3">
        <f t="shared" ref="S3:S66" si="12">E3</f>
        <v>0</v>
      </c>
      <c r="T3">
        <f t="shared" ref="T3:T66" si="13">IF(F3="09",E3*-1,E3)</f>
        <v>0</v>
      </c>
      <c r="U3" t="str">
        <f>IF(Tervezés!F6&gt;0,CONCATENATE(Tervezés!E6," - ",Tervezés!F6,", ",Tervezés!J6),"nincs megjegyzés")</f>
        <v>nincs megjegyzés</v>
      </c>
      <c r="V3" t="str">
        <f t="shared" si="0"/>
        <v>6000</v>
      </c>
      <c r="W3" t="str">
        <f t="shared" si="1"/>
        <v>6000</v>
      </c>
      <c r="X3" t="str">
        <f t="shared" si="2"/>
        <v>00</v>
      </c>
      <c r="Y3" t="str">
        <f t="shared" si="3"/>
        <v>600</v>
      </c>
      <c r="Z3" t="str">
        <f t="shared" ref="Z3:Z66" si="14">CONCATENATE(J3,H3)</f>
        <v>00</v>
      </c>
      <c r="AA3" t="str">
        <f t="shared" si="4"/>
        <v>600</v>
      </c>
      <c r="AB3" t="str">
        <f t="shared" si="5"/>
        <v>00</v>
      </c>
      <c r="AC3" t="str">
        <f t="shared" si="6"/>
        <v>6000</v>
      </c>
      <c r="AD3" t="str">
        <f t="shared" si="7"/>
        <v>000</v>
      </c>
      <c r="AE3" t="str">
        <f t="shared" si="8"/>
        <v>6000</v>
      </c>
      <c r="AF3" t="str">
        <f t="shared" si="9"/>
        <v>000</v>
      </c>
      <c r="AG3" t="str">
        <f t="shared" ref="AG3:AG66" si="15">CONCATENATE(B3,A3,H3,L3)</f>
        <v>60000</v>
      </c>
      <c r="AH3" t="str">
        <f t="shared" ref="AH3:AH66" si="16">CONCATENATE(A3,J3,H3,L3)</f>
        <v>0000</v>
      </c>
      <c r="AI3" t="str">
        <f t="shared" ref="AI3:AI66" si="17">CONCATENATE(B3,A3,G3,L3)</f>
        <v>60000</v>
      </c>
      <c r="AJ3" t="str">
        <f t="shared" ref="AJ3:AJ66" si="18">CONCATENATE(A3,G3,J3,L3)</f>
        <v>0000</v>
      </c>
    </row>
    <row r="4" spans="1:36" x14ac:dyDescent="0.25">
      <c r="A4" s="325">
        <f>Tervezés!B7</f>
        <v>0</v>
      </c>
      <c r="B4">
        <v>60</v>
      </c>
      <c r="C4">
        <f>Tervezés!E7</f>
        <v>0</v>
      </c>
      <c r="D4">
        <f>Tervezés!F7</f>
        <v>0</v>
      </c>
      <c r="E4">
        <f>Tervezés!H7</f>
        <v>0</v>
      </c>
      <c r="F4" t="str">
        <f t="shared" si="10"/>
        <v>0</v>
      </c>
      <c r="G4" t="str">
        <f t="shared" si="11"/>
        <v>0</v>
      </c>
      <c r="H4">
        <f>Tervezés!I7</f>
        <v>0</v>
      </c>
      <c r="I4">
        <f>Tervezés!J7</f>
        <v>0</v>
      </c>
      <c r="J4">
        <f>Tervezés!K7</f>
        <v>0</v>
      </c>
      <c r="K4">
        <f>Tervezés!L7</f>
        <v>0</v>
      </c>
      <c r="L4">
        <f>Tervezés!M7</f>
        <v>0</v>
      </c>
      <c r="M4" s="322" t="str">
        <f>IFERROR(VLOOKUP(A4,PAR!$D$3:$E$53,2,FALSE),"nincs szervezet")</f>
        <v>nincs szervezet</v>
      </c>
      <c r="N4" s="322" t="str">
        <f>VLOOKUP(F4,PAR!$R$3:$S$5,2,FALSE)</f>
        <v>3 - egyik sem</v>
      </c>
      <c r="O4" t="str">
        <f>IFERROR(VLOOKUP(J4,PAR!$O$3:$P$5,2,FALSE),"nincs feladat")</f>
        <v>nincs feladat</v>
      </c>
      <c r="P4" t="str">
        <f>IFERROR(VLOOKUP(G4,PAR!$J$2:$M$19,4),"nincs rovat")</f>
        <v>nincs rovat</v>
      </c>
      <c r="Q4" t="str">
        <f>IF(H4&gt;0,VLOOKUP(H4,PAR!$AA$3:$AC$187,3,FALSE),"nincs főkönyvi számla")</f>
        <v>nincs főkönyvi számla</v>
      </c>
      <c r="R4" t="str">
        <f>IFERROR(VLOOKUP(K4,PAR!$V$3:$X$438,3,FALSE),"000000 - Nincs COFOG")</f>
        <v>000000 - Nincs COFOG</v>
      </c>
      <c r="S4">
        <f t="shared" si="12"/>
        <v>0</v>
      </c>
      <c r="T4">
        <f t="shared" si="13"/>
        <v>0</v>
      </c>
      <c r="U4" t="str">
        <f>IF(Tervezés!F7&gt;0,CONCATENATE(Tervezés!E7," - ",Tervezés!F7,", ",Tervezés!J7),"nincs megjegyzés")</f>
        <v>nincs megjegyzés</v>
      </c>
      <c r="V4" t="str">
        <f t="shared" si="0"/>
        <v>6000</v>
      </c>
      <c r="W4" t="str">
        <f t="shared" si="1"/>
        <v>6000</v>
      </c>
      <c r="X4" t="str">
        <f t="shared" si="2"/>
        <v>00</v>
      </c>
      <c r="Y4" t="str">
        <f t="shared" si="3"/>
        <v>600</v>
      </c>
      <c r="Z4" t="str">
        <f t="shared" si="14"/>
        <v>00</v>
      </c>
      <c r="AA4" t="str">
        <f t="shared" si="4"/>
        <v>600</v>
      </c>
      <c r="AB4" t="str">
        <f t="shared" si="5"/>
        <v>00</v>
      </c>
      <c r="AC4" t="str">
        <f t="shared" si="6"/>
        <v>6000</v>
      </c>
      <c r="AD4" t="str">
        <f t="shared" si="7"/>
        <v>000</v>
      </c>
      <c r="AE4" t="str">
        <f t="shared" si="8"/>
        <v>6000</v>
      </c>
      <c r="AF4" t="str">
        <f t="shared" si="9"/>
        <v>000</v>
      </c>
      <c r="AG4" t="str">
        <f t="shared" si="15"/>
        <v>60000</v>
      </c>
      <c r="AH4" t="str">
        <f t="shared" si="16"/>
        <v>0000</v>
      </c>
      <c r="AI4" t="str">
        <f t="shared" si="17"/>
        <v>60000</v>
      </c>
      <c r="AJ4" t="str">
        <f t="shared" si="18"/>
        <v>0000</v>
      </c>
    </row>
    <row r="5" spans="1:36" x14ac:dyDescent="0.25">
      <c r="A5" s="325">
        <f>Tervezés!B8</f>
        <v>0</v>
      </c>
      <c r="B5">
        <v>60</v>
      </c>
      <c r="C5">
        <f>Tervezés!E8</f>
        <v>0</v>
      </c>
      <c r="D5">
        <f>Tervezés!F8</f>
        <v>0</v>
      </c>
      <c r="E5">
        <f>Tervezés!H8</f>
        <v>0</v>
      </c>
      <c r="F5" t="str">
        <f t="shared" si="10"/>
        <v>0</v>
      </c>
      <c r="G5" t="str">
        <f t="shared" si="11"/>
        <v>0</v>
      </c>
      <c r="H5">
        <f>Tervezés!I8</f>
        <v>0</v>
      </c>
      <c r="I5">
        <f>Tervezés!J8</f>
        <v>0</v>
      </c>
      <c r="J5">
        <f>Tervezés!K8</f>
        <v>0</v>
      </c>
      <c r="K5">
        <f>Tervezés!L8</f>
        <v>0</v>
      </c>
      <c r="L5">
        <f>Tervezés!M8</f>
        <v>0</v>
      </c>
      <c r="M5" s="322" t="str">
        <f>IFERROR(VLOOKUP(A5,PAR!$D$3:$E$53,2,FALSE),"nincs szervezet")</f>
        <v>nincs szervezet</v>
      </c>
      <c r="N5" s="322" t="str">
        <f>VLOOKUP(F5,PAR!$R$3:$S$5,2,FALSE)</f>
        <v>3 - egyik sem</v>
      </c>
      <c r="O5" t="str">
        <f>IFERROR(VLOOKUP(J5,PAR!$O$3:$P$5,2,FALSE),"nincs feladat")</f>
        <v>nincs feladat</v>
      </c>
      <c r="P5" t="str">
        <f>IFERROR(VLOOKUP(G5,PAR!$J$2:$M$19,4),"nincs rovat")</f>
        <v>nincs rovat</v>
      </c>
      <c r="Q5" t="str">
        <f>IF(H5&gt;0,VLOOKUP(H5,PAR!$AA$3:$AC$187,3,FALSE),"nincs főkönyvi számla")</f>
        <v>nincs főkönyvi számla</v>
      </c>
      <c r="R5" t="str">
        <f>IFERROR(VLOOKUP(K5,PAR!$V$3:$X$438,3,FALSE),"000000 - Nincs COFOG")</f>
        <v>000000 - Nincs COFOG</v>
      </c>
      <c r="S5">
        <f t="shared" si="12"/>
        <v>0</v>
      </c>
      <c r="T5">
        <f t="shared" si="13"/>
        <v>0</v>
      </c>
      <c r="U5" t="str">
        <f>IF(Tervezés!F8&gt;0,CONCATENATE(Tervezés!E8," - ",Tervezés!F8,", ",Tervezés!J8),"nincs megjegyzés")</f>
        <v>nincs megjegyzés</v>
      </c>
      <c r="V5" t="str">
        <f t="shared" si="0"/>
        <v>6000</v>
      </c>
      <c r="W5" t="str">
        <f t="shared" si="1"/>
        <v>6000</v>
      </c>
      <c r="X5" t="str">
        <f t="shared" si="2"/>
        <v>00</v>
      </c>
      <c r="Y5" t="str">
        <f t="shared" si="3"/>
        <v>600</v>
      </c>
      <c r="Z5" t="str">
        <f t="shared" si="14"/>
        <v>00</v>
      </c>
      <c r="AA5" t="str">
        <f t="shared" si="4"/>
        <v>600</v>
      </c>
      <c r="AB5" t="str">
        <f t="shared" si="5"/>
        <v>00</v>
      </c>
      <c r="AC5" t="str">
        <f t="shared" si="6"/>
        <v>6000</v>
      </c>
      <c r="AD5" t="str">
        <f t="shared" si="7"/>
        <v>000</v>
      </c>
      <c r="AE5" t="str">
        <f t="shared" si="8"/>
        <v>6000</v>
      </c>
      <c r="AF5" t="str">
        <f t="shared" si="9"/>
        <v>000</v>
      </c>
      <c r="AG5" t="str">
        <f t="shared" si="15"/>
        <v>60000</v>
      </c>
      <c r="AH5" t="str">
        <f t="shared" si="16"/>
        <v>0000</v>
      </c>
      <c r="AI5" t="str">
        <f t="shared" si="17"/>
        <v>60000</v>
      </c>
      <c r="AJ5" t="str">
        <f t="shared" si="18"/>
        <v>0000</v>
      </c>
    </row>
    <row r="6" spans="1:36" x14ac:dyDescent="0.25">
      <c r="A6" s="325">
        <f>Tervezés!B9</f>
        <v>0</v>
      </c>
      <c r="B6">
        <v>60</v>
      </c>
      <c r="C6">
        <f>Tervezés!E9</f>
        <v>0</v>
      </c>
      <c r="D6">
        <f>Tervezés!F9</f>
        <v>0</v>
      </c>
      <c r="E6">
        <f>Tervezés!H9</f>
        <v>0</v>
      </c>
      <c r="F6" t="str">
        <f t="shared" si="10"/>
        <v>0</v>
      </c>
      <c r="G6" t="str">
        <f t="shared" si="11"/>
        <v>0</v>
      </c>
      <c r="H6">
        <f>Tervezés!I9</f>
        <v>0</v>
      </c>
      <c r="I6">
        <f>Tervezés!J9</f>
        <v>0</v>
      </c>
      <c r="J6">
        <f>Tervezés!K9</f>
        <v>0</v>
      </c>
      <c r="K6">
        <f>Tervezés!L9</f>
        <v>0</v>
      </c>
      <c r="L6">
        <f>Tervezés!M9</f>
        <v>0</v>
      </c>
      <c r="M6" s="322" t="str">
        <f>IFERROR(VLOOKUP(A6,PAR!$D$3:$E$53,2,FALSE),"nincs szervezet")</f>
        <v>nincs szervezet</v>
      </c>
      <c r="N6" s="322" t="str">
        <f>VLOOKUP(F6,PAR!$R$3:$S$5,2,FALSE)</f>
        <v>3 - egyik sem</v>
      </c>
      <c r="O6" t="str">
        <f>IFERROR(VLOOKUP(J6,PAR!$O$3:$P$5,2,FALSE),"nincs feladat")</f>
        <v>nincs feladat</v>
      </c>
      <c r="P6" t="str">
        <f>IFERROR(VLOOKUP(G6,PAR!$J$2:$M$19,4),"nincs rovat")</f>
        <v>nincs rovat</v>
      </c>
      <c r="Q6" t="str">
        <f>IF(H6&gt;0,VLOOKUP(H6,PAR!$AA$3:$AC$187,3,FALSE),"nincs főkönyvi számla")</f>
        <v>nincs főkönyvi számla</v>
      </c>
      <c r="R6" t="str">
        <f>IFERROR(VLOOKUP(K6,PAR!$V$3:$X$438,3,FALSE),"000000 - Nincs COFOG")</f>
        <v>000000 - Nincs COFOG</v>
      </c>
      <c r="S6">
        <f t="shared" si="12"/>
        <v>0</v>
      </c>
      <c r="T6">
        <f t="shared" si="13"/>
        <v>0</v>
      </c>
      <c r="U6" t="str">
        <f>IF(Tervezés!F9&gt;0,CONCATENATE(Tervezés!E9," - ",Tervezés!F9,", ",Tervezés!J9),"nincs megjegyzés")</f>
        <v>nincs megjegyzés</v>
      </c>
      <c r="V6" t="str">
        <f t="shared" si="0"/>
        <v>6000</v>
      </c>
      <c r="W6" t="str">
        <f t="shared" si="1"/>
        <v>6000</v>
      </c>
      <c r="X6" t="str">
        <f t="shared" si="2"/>
        <v>00</v>
      </c>
      <c r="Y6" t="str">
        <f t="shared" si="3"/>
        <v>600</v>
      </c>
      <c r="Z6" t="str">
        <f t="shared" si="14"/>
        <v>00</v>
      </c>
      <c r="AA6" t="str">
        <f t="shared" si="4"/>
        <v>600</v>
      </c>
      <c r="AB6" t="str">
        <f t="shared" si="5"/>
        <v>00</v>
      </c>
      <c r="AC6" t="str">
        <f t="shared" si="6"/>
        <v>6000</v>
      </c>
      <c r="AD6" t="str">
        <f t="shared" si="7"/>
        <v>000</v>
      </c>
      <c r="AE6" t="str">
        <f t="shared" si="8"/>
        <v>6000</v>
      </c>
      <c r="AF6" t="str">
        <f t="shared" si="9"/>
        <v>000</v>
      </c>
      <c r="AG6" t="str">
        <f t="shared" si="15"/>
        <v>60000</v>
      </c>
      <c r="AH6" t="str">
        <f t="shared" si="16"/>
        <v>0000</v>
      </c>
      <c r="AI6" t="str">
        <f t="shared" si="17"/>
        <v>60000</v>
      </c>
      <c r="AJ6" t="str">
        <f t="shared" si="18"/>
        <v>0000</v>
      </c>
    </row>
    <row r="7" spans="1:36" x14ac:dyDescent="0.25">
      <c r="A7" s="325">
        <f>Tervezés!B10</f>
        <v>0</v>
      </c>
      <c r="B7">
        <v>60</v>
      </c>
      <c r="C7">
        <f>Tervezés!E10</f>
        <v>0</v>
      </c>
      <c r="D7">
        <f>Tervezés!F10</f>
        <v>0</v>
      </c>
      <c r="E7">
        <f>Tervezés!H10</f>
        <v>0</v>
      </c>
      <c r="F7" t="str">
        <f t="shared" si="10"/>
        <v>0</v>
      </c>
      <c r="G7" t="str">
        <f t="shared" si="11"/>
        <v>0</v>
      </c>
      <c r="H7">
        <f>Tervezés!I10</f>
        <v>0</v>
      </c>
      <c r="I7">
        <f>Tervezés!J10</f>
        <v>0</v>
      </c>
      <c r="J7">
        <f>Tervezés!K10</f>
        <v>0</v>
      </c>
      <c r="K7">
        <f>Tervezés!L10</f>
        <v>0</v>
      </c>
      <c r="L7">
        <f>Tervezés!M10</f>
        <v>0</v>
      </c>
      <c r="M7" s="322" t="str">
        <f>IFERROR(VLOOKUP(A7,PAR!$D$3:$E$53,2,FALSE),"nincs szervezet")</f>
        <v>nincs szervezet</v>
      </c>
      <c r="N7" s="322" t="str">
        <f>VLOOKUP(F7,PAR!$R$3:$S$5,2,FALSE)</f>
        <v>3 - egyik sem</v>
      </c>
      <c r="O7" t="str">
        <f>IFERROR(VLOOKUP(J7,PAR!$O$3:$P$5,2,FALSE),"nincs feladat")</f>
        <v>nincs feladat</v>
      </c>
      <c r="P7" t="str">
        <f>IFERROR(VLOOKUP(G7,PAR!$J$2:$M$19,4),"nincs rovat")</f>
        <v>nincs rovat</v>
      </c>
      <c r="Q7" t="str">
        <f>IF(H7&gt;0,VLOOKUP(H7,PAR!$AA$3:$AC$187,3,FALSE),"nincs főkönyvi számla")</f>
        <v>nincs főkönyvi számla</v>
      </c>
      <c r="R7" t="str">
        <f>IFERROR(VLOOKUP(K7,PAR!$V$3:$X$438,3,FALSE),"000000 - Nincs COFOG")</f>
        <v>000000 - Nincs COFOG</v>
      </c>
      <c r="S7">
        <f t="shared" si="12"/>
        <v>0</v>
      </c>
      <c r="T7">
        <f t="shared" si="13"/>
        <v>0</v>
      </c>
      <c r="U7" t="str">
        <f>IF(Tervezés!F10&gt;0,CONCATENATE(Tervezés!E10," - ",Tervezés!F10,", ",Tervezés!J10),"nincs megjegyzés")</f>
        <v>nincs megjegyzés</v>
      </c>
      <c r="V7" t="str">
        <f t="shared" si="0"/>
        <v>6000</v>
      </c>
      <c r="W7" t="str">
        <f t="shared" si="1"/>
        <v>6000</v>
      </c>
      <c r="X7" t="str">
        <f t="shared" si="2"/>
        <v>00</v>
      </c>
      <c r="Y7" t="str">
        <f t="shared" si="3"/>
        <v>600</v>
      </c>
      <c r="Z7" t="str">
        <f t="shared" si="14"/>
        <v>00</v>
      </c>
      <c r="AA7" t="str">
        <f t="shared" si="4"/>
        <v>600</v>
      </c>
      <c r="AB7" t="str">
        <f t="shared" si="5"/>
        <v>00</v>
      </c>
      <c r="AC7" t="str">
        <f t="shared" si="6"/>
        <v>6000</v>
      </c>
      <c r="AD7" t="str">
        <f t="shared" si="7"/>
        <v>000</v>
      </c>
      <c r="AE7" t="str">
        <f t="shared" si="8"/>
        <v>6000</v>
      </c>
      <c r="AF7" t="str">
        <f t="shared" si="9"/>
        <v>000</v>
      </c>
      <c r="AG7" t="str">
        <f t="shared" si="15"/>
        <v>60000</v>
      </c>
      <c r="AH7" t="str">
        <f t="shared" si="16"/>
        <v>0000</v>
      </c>
      <c r="AI7" t="str">
        <f t="shared" si="17"/>
        <v>60000</v>
      </c>
      <c r="AJ7" t="str">
        <f t="shared" si="18"/>
        <v>0000</v>
      </c>
    </row>
    <row r="8" spans="1:36" x14ac:dyDescent="0.25">
      <c r="A8" s="325">
        <f>Tervezés!B11</f>
        <v>0</v>
      </c>
      <c r="B8">
        <v>60</v>
      </c>
      <c r="C8">
        <f>Tervezés!E11</f>
        <v>0</v>
      </c>
      <c r="D8">
        <f>Tervezés!F11</f>
        <v>0</v>
      </c>
      <c r="E8">
        <f>Tervezés!H11</f>
        <v>0</v>
      </c>
      <c r="F8" t="str">
        <f t="shared" si="10"/>
        <v>0</v>
      </c>
      <c r="G8" t="str">
        <f t="shared" si="11"/>
        <v>0</v>
      </c>
      <c r="H8">
        <f>Tervezés!I11</f>
        <v>0</v>
      </c>
      <c r="I8">
        <f>Tervezés!J11</f>
        <v>0</v>
      </c>
      <c r="J8">
        <f>Tervezés!K11</f>
        <v>0</v>
      </c>
      <c r="K8">
        <f>Tervezés!L11</f>
        <v>0</v>
      </c>
      <c r="L8">
        <f>Tervezés!M11</f>
        <v>0</v>
      </c>
      <c r="M8" s="322" t="str">
        <f>IFERROR(VLOOKUP(A8,PAR!$D$3:$E$53,2,FALSE),"nincs szervezet")</f>
        <v>nincs szervezet</v>
      </c>
      <c r="N8" s="322" t="str">
        <f>VLOOKUP(F8,PAR!$R$3:$S$5,2,FALSE)</f>
        <v>3 - egyik sem</v>
      </c>
      <c r="O8" t="str">
        <f>IFERROR(VLOOKUP(J8,PAR!$O$3:$P$5,2,FALSE),"nincs feladat")</f>
        <v>nincs feladat</v>
      </c>
      <c r="P8" t="str">
        <f>IFERROR(VLOOKUP(G8,PAR!$J$2:$M$19,4),"nincs rovat")</f>
        <v>nincs rovat</v>
      </c>
      <c r="Q8" t="str">
        <f>IF(H8&gt;0,VLOOKUP(H8,PAR!$AA$3:$AC$187,3,FALSE),"nincs főkönyvi számla")</f>
        <v>nincs főkönyvi számla</v>
      </c>
      <c r="R8" t="str">
        <f>IFERROR(VLOOKUP(K8,PAR!$V$3:$X$438,3,FALSE),"000000 - Nincs COFOG")</f>
        <v>000000 - Nincs COFOG</v>
      </c>
      <c r="S8">
        <f t="shared" si="12"/>
        <v>0</v>
      </c>
      <c r="T8">
        <f t="shared" si="13"/>
        <v>0</v>
      </c>
      <c r="U8" t="str">
        <f>IF(Tervezés!F11&gt;0,CONCATENATE(Tervezés!E11," - ",Tervezés!F11,", ",Tervezés!J11),"nincs megjegyzés")</f>
        <v>nincs megjegyzés</v>
      </c>
      <c r="V8" t="str">
        <f t="shared" si="0"/>
        <v>6000</v>
      </c>
      <c r="W8" t="str">
        <f t="shared" si="1"/>
        <v>6000</v>
      </c>
      <c r="X8" t="str">
        <f t="shared" si="2"/>
        <v>00</v>
      </c>
      <c r="Y8" t="str">
        <f t="shared" si="3"/>
        <v>600</v>
      </c>
      <c r="Z8" t="str">
        <f t="shared" si="14"/>
        <v>00</v>
      </c>
      <c r="AA8" t="str">
        <f t="shared" si="4"/>
        <v>600</v>
      </c>
      <c r="AB8" t="str">
        <f t="shared" si="5"/>
        <v>00</v>
      </c>
      <c r="AC8" t="str">
        <f t="shared" si="6"/>
        <v>6000</v>
      </c>
      <c r="AD8" t="str">
        <f t="shared" si="7"/>
        <v>000</v>
      </c>
      <c r="AE8" t="str">
        <f t="shared" si="8"/>
        <v>6000</v>
      </c>
      <c r="AF8" t="str">
        <f t="shared" si="9"/>
        <v>000</v>
      </c>
      <c r="AG8" t="str">
        <f t="shared" si="15"/>
        <v>60000</v>
      </c>
      <c r="AH8" t="str">
        <f t="shared" si="16"/>
        <v>0000</v>
      </c>
      <c r="AI8" t="str">
        <f t="shared" si="17"/>
        <v>60000</v>
      </c>
      <c r="AJ8" t="str">
        <f t="shared" si="18"/>
        <v>0000</v>
      </c>
    </row>
    <row r="9" spans="1:36" x14ac:dyDescent="0.25">
      <c r="A9" s="325">
        <f>Tervezés!B12</f>
        <v>0</v>
      </c>
      <c r="B9">
        <v>60</v>
      </c>
      <c r="C9">
        <f>Tervezés!E12</f>
        <v>0</v>
      </c>
      <c r="D9">
        <f>Tervezés!F12</f>
        <v>0</v>
      </c>
      <c r="E9">
        <f>Tervezés!H12</f>
        <v>0</v>
      </c>
      <c r="F9" t="str">
        <f t="shared" si="10"/>
        <v>0</v>
      </c>
      <c r="G9" t="str">
        <f t="shared" si="11"/>
        <v>0</v>
      </c>
      <c r="H9">
        <f>Tervezés!I12</f>
        <v>0</v>
      </c>
      <c r="I9">
        <f>Tervezés!J12</f>
        <v>0</v>
      </c>
      <c r="J9">
        <f>Tervezés!K12</f>
        <v>0</v>
      </c>
      <c r="K9">
        <f>Tervezés!L12</f>
        <v>0</v>
      </c>
      <c r="L9">
        <f>Tervezés!M12</f>
        <v>0</v>
      </c>
      <c r="M9" s="322" t="str">
        <f>IFERROR(VLOOKUP(A9,PAR!$D$3:$E$53,2,FALSE),"nincs szervezet")</f>
        <v>nincs szervezet</v>
      </c>
      <c r="N9" s="322" t="str">
        <f>VLOOKUP(F9,PAR!$R$3:$S$5,2,FALSE)</f>
        <v>3 - egyik sem</v>
      </c>
      <c r="O9" t="str">
        <f>IFERROR(VLOOKUP(J9,PAR!$O$3:$P$5,2,FALSE),"nincs feladat")</f>
        <v>nincs feladat</v>
      </c>
      <c r="P9" t="str">
        <f>IFERROR(VLOOKUP(G9,PAR!$J$2:$M$19,4),"nincs rovat")</f>
        <v>nincs rovat</v>
      </c>
      <c r="Q9" t="str">
        <f>IF(H9&gt;0,VLOOKUP(H9,PAR!$AA$3:$AC$187,3,FALSE),"nincs főkönyvi számla")</f>
        <v>nincs főkönyvi számla</v>
      </c>
      <c r="R9" t="str">
        <f>IFERROR(VLOOKUP(K9,PAR!$V$3:$X$438,3,FALSE),"000000 - Nincs COFOG")</f>
        <v>000000 - Nincs COFOG</v>
      </c>
      <c r="S9">
        <f t="shared" si="12"/>
        <v>0</v>
      </c>
      <c r="T9">
        <f t="shared" si="13"/>
        <v>0</v>
      </c>
      <c r="U9" t="str">
        <f>IF(Tervezés!F12&gt;0,CONCATENATE(Tervezés!E12," - ",Tervezés!F12,", ",Tervezés!J12),"nincs megjegyzés")</f>
        <v>nincs megjegyzés</v>
      </c>
      <c r="V9" t="str">
        <f t="shared" si="0"/>
        <v>6000</v>
      </c>
      <c r="W9" t="str">
        <f t="shared" si="1"/>
        <v>6000</v>
      </c>
      <c r="X9" t="str">
        <f t="shared" si="2"/>
        <v>00</v>
      </c>
      <c r="Y9" t="str">
        <f t="shared" si="3"/>
        <v>600</v>
      </c>
      <c r="Z9" t="str">
        <f t="shared" si="14"/>
        <v>00</v>
      </c>
      <c r="AA9" t="str">
        <f t="shared" si="4"/>
        <v>600</v>
      </c>
      <c r="AB9" t="str">
        <f t="shared" si="5"/>
        <v>00</v>
      </c>
      <c r="AC9" t="str">
        <f t="shared" si="6"/>
        <v>6000</v>
      </c>
      <c r="AD9" t="str">
        <f t="shared" si="7"/>
        <v>000</v>
      </c>
      <c r="AE9" t="str">
        <f t="shared" si="8"/>
        <v>6000</v>
      </c>
      <c r="AF9" t="str">
        <f t="shared" si="9"/>
        <v>000</v>
      </c>
      <c r="AG9" t="str">
        <f t="shared" si="15"/>
        <v>60000</v>
      </c>
      <c r="AH9" t="str">
        <f t="shared" si="16"/>
        <v>0000</v>
      </c>
      <c r="AI9" t="str">
        <f t="shared" si="17"/>
        <v>60000</v>
      </c>
      <c r="AJ9" t="str">
        <f t="shared" si="18"/>
        <v>0000</v>
      </c>
    </row>
    <row r="10" spans="1:36" x14ac:dyDescent="0.25">
      <c r="A10" s="325">
        <f>Tervezés!B13</f>
        <v>0</v>
      </c>
      <c r="B10">
        <v>60</v>
      </c>
      <c r="C10">
        <f>Tervezés!E13</f>
        <v>0</v>
      </c>
      <c r="D10">
        <f>Tervezés!F13</f>
        <v>0</v>
      </c>
      <c r="E10">
        <f>Tervezés!H13</f>
        <v>0</v>
      </c>
      <c r="F10" t="str">
        <f t="shared" si="10"/>
        <v>0</v>
      </c>
      <c r="G10" t="str">
        <f t="shared" si="11"/>
        <v>0</v>
      </c>
      <c r="H10">
        <f>Tervezés!I13</f>
        <v>0</v>
      </c>
      <c r="I10">
        <f>Tervezés!J13</f>
        <v>0</v>
      </c>
      <c r="J10">
        <f>Tervezés!K13</f>
        <v>0</v>
      </c>
      <c r="K10">
        <f>Tervezés!L13</f>
        <v>0</v>
      </c>
      <c r="L10">
        <f>Tervezés!M13</f>
        <v>0</v>
      </c>
      <c r="M10" s="322" t="str">
        <f>IFERROR(VLOOKUP(A10,PAR!$D$3:$E$53,2,FALSE),"nincs szervezet")</f>
        <v>nincs szervezet</v>
      </c>
      <c r="N10" s="322" t="str">
        <f>VLOOKUP(F10,PAR!$R$3:$S$5,2,FALSE)</f>
        <v>3 - egyik sem</v>
      </c>
      <c r="O10" t="str">
        <f>IFERROR(VLOOKUP(J10,PAR!$O$3:$P$5,2,FALSE),"nincs feladat")</f>
        <v>nincs feladat</v>
      </c>
      <c r="P10" t="str">
        <f>IFERROR(VLOOKUP(G10,PAR!$J$2:$M$19,4),"nincs rovat")</f>
        <v>nincs rovat</v>
      </c>
      <c r="Q10" t="str">
        <f>IF(H10&gt;0,VLOOKUP(H10,PAR!$AA$3:$AC$187,3,FALSE),"nincs főkönyvi számla")</f>
        <v>nincs főkönyvi számla</v>
      </c>
      <c r="R10" t="str">
        <f>IFERROR(VLOOKUP(K10,PAR!$V$3:$X$438,3,FALSE),"000000 - Nincs COFOG")</f>
        <v>000000 - Nincs COFOG</v>
      </c>
      <c r="S10">
        <f t="shared" si="12"/>
        <v>0</v>
      </c>
      <c r="T10">
        <f t="shared" si="13"/>
        <v>0</v>
      </c>
      <c r="U10" t="str">
        <f>IF(Tervezés!F13&gt;0,CONCATENATE(Tervezés!E13," - ",Tervezés!F13,", ",Tervezés!J13),"nincs megjegyzés")</f>
        <v>nincs megjegyzés</v>
      </c>
      <c r="V10" t="str">
        <f t="shared" si="0"/>
        <v>6000</v>
      </c>
      <c r="W10" t="str">
        <f t="shared" si="1"/>
        <v>6000</v>
      </c>
      <c r="X10" t="str">
        <f t="shared" si="2"/>
        <v>00</v>
      </c>
      <c r="Y10" t="str">
        <f t="shared" si="3"/>
        <v>600</v>
      </c>
      <c r="Z10" t="str">
        <f t="shared" si="14"/>
        <v>00</v>
      </c>
      <c r="AA10" t="str">
        <f t="shared" si="4"/>
        <v>600</v>
      </c>
      <c r="AB10" t="str">
        <f t="shared" si="5"/>
        <v>00</v>
      </c>
      <c r="AC10" t="str">
        <f t="shared" si="6"/>
        <v>6000</v>
      </c>
      <c r="AD10" t="str">
        <f t="shared" si="7"/>
        <v>000</v>
      </c>
      <c r="AE10" t="str">
        <f t="shared" si="8"/>
        <v>6000</v>
      </c>
      <c r="AF10" t="str">
        <f t="shared" si="9"/>
        <v>000</v>
      </c>
      <c r="AG10" t="str">
        <f t="shared" si="15"/>
        <v>60000</v>
      </c>
      <c r="AH10" t="str">
        <f t="shared" si="16"/>
        <v>0000</v>
      </c>
      <c r="AI10" t="str">
        <f t="shared" si="17"/>
        <v>60000</v>
      </c>
      <c r="AJ10" t="str">
        <f t="shared" si="18"/>
        <v>0000</v>
      </c>
    </row>
    <row r="11" spans="1:36" x14ac:dyDescent="0.25">
      <c r="A11" s="325">
        <f>Tervezés!B14</f>
        <v>0</v>
      </c>
      <c r="B11">
        <v>60</v>
      </c>
      <c r="C11">
        <f>Tervezés!E14</f>
        <v>0</v>
      </c>
      <c r="D11">
        <f>Tervezés!F14</f>
        <v>0</v>
      </c>
      <c r="E11">
        <f>Tervezés!H14</f>
        <v>0</v>
      </c>
      <c r="F11" t="str">
        <f t="shared" si="10"/>
        <v>0</v>
      </c>
      <c r="G11" t="str">
        <f t="shared" si="11"/>
        <v>0</v>
      </c>
      <c r="H11">
        <f>Tervezés!I14</f>
        <v>0</v>
      </c>
      <c r="I11">
        <f>Tervezés!J14</f>
        <v>0</v>
      </c>
      <c r="J11">
        <f>Tervezés!K14</f>
        <v>0</v>
      </c>
      <c r="K11">
        <f>Tervezés!L14</f>
        <v>0</v>
      </c>
      <c r="L11">
        <f>Tervezés!M14</f>
        <v>0</v>
      </c>
      <c r="M11" s="322" t="str">
        <f>IFERROR(VLOOKUP(A11,PAR!$D$3:$E$53,2,FALSE),"nincs szervezet")</f>
        <v>nincs szervezet</v>
      </c>
      <c r="N11" s="322" t="str">
        <f>VLOOKUP(F11,PAR!$R$3:$S$5,2,FALSE)</f>
        <v>3 - egyik sem</v>
      </c>
      <c r="O11" t="str">
        <f>IFERROR(VLOOKUP(J11,PAR!$O$3:$P$5,2,FALSE),"nincs feladat")</f>
        <v>nincs feladat</v>
      </c>
      <c r="P11" t="str">
        <f>IFERROR(VLOOKUP(G11,PAR!$J$2:$M$19,4),"nincs rovat")</f>
        <v>nincs rovat</v>
      </c>
      <c r="Q11" t="str">
        <f>IF(H11&gt;0,VLOOKUP(H11,PAR!$AA$3:$AC$187,3,FALSE),"nincs főkönyvi számla")</f>
        <v>nincs főkönyvi számla</v>
      </c>
      <c r="R11" t="str">
        <f>IFERROR(VLOOKUP(K11,PAR!$V$3:$X$438,3,FALSE),"000000 - Nincs COFOG")</f>
        <v>000000 - Nincs COFOG</v>
      </c>
      <c r="S11">
        <f t="shared" si="12"/>
        <v>0</v>
      </c>
      <c r="T11">
        <f t="shared" si="13"/>
        <v>0</v>
      </c>
      <c r="U11" t="str">
        <f>IF(Tervezés!F14&gt;0,CONCATENATE(Tervezés!E14," - ",Tervezés!F14,", ",Tervezés!J14),"nincs megjegyzés")</f>
        <v>nincs megjegyzés</v>
      </c>
      <c r="V11" t="str">
        <f t="shared" si="0"/>
        <v>6000</v>
      </c>
      <c r="W11" t="str">
        <f t="shared" si="1"/>
        <v>6000</v>
      </c>
      <c r="X11" t="str">
        <f t="shared" si="2"/>
        <v>00</v>
      </c>
      <c r="Y11" t="str">
        <f t="shared" si="3"/>
        <v>600</v>
      </c>
      <c r="Z11" t="str">
        <f t="shared" si="14"/>
        <v>00</v>
      </c>
      <c r="AA11" t="str">
        <f t="shared" si="4"/>
        <v>600</v>
      </c>
      <c r="AB11" t="str">
        <f t="shared" si="5"/>
        <v>00</v>
      </c>
      <c r="AC11" t="str">
        <f t="shared" si="6"/>
        <v>6000</v>
      </c>
      <c r="AD11" t="str">
        <f t="shared" si="7"/>
        <v>000</v>
      </c>
      <c r="AE11" t="str">
        <f t="shared" si="8"/>
        <v>6000</v>
      </c>
      <c r="AF11" t="str">
        <f t="shared" si="9"/>
        <v>000</v>
      </c>
      <c r="AG11" t="str">
        <f t="shared" si="15"/>
        <v>60000</v>
      </c>
      <c r="AH11" t="str">
        <f t="shared" si="16"/>
        <v>0000</v>
      </c>
      <c r="AI11" t="str">
        <f t="shared" si="17"/>
        <v>60000</v>
      </c>
      <c r="AJ11" t="str">
        <f t="shared" si="18"/>
        <v>0000</v>
      </c>
    </row>
    <row r="12" spans="1:36" x14ac:dyDescent="0.25">
      <c r="A12" s="325">
        <f>Tervezés!B15</f>
        <v>0</v>
      </c>
      <c r="B12">
        <v>60</v>
      </c>
      <c r="C12">
        <f>Tervezés!E15</f>
        <v>0</v>
      </c>
      <c r="D12">
        <f>Tervezés!F15</f>
        <v>0</v>
      </c>
      <c r="E12">
        <f>Tervezés!H15</f>
        <v>0</v>
      </c>
      <c r="F12" t="str">
        <f t="shared" si="10"/>
        <v>0</v>
      </c>
      <c r="G12" t="str">
        <f t="shared" si="11"/>
        <v>0</v>
      </c>
      <c r="H12">
        <f>Tervezés!I15</f>
        <v>0</v>
      </c>
      <c r="I12">
        <f>Tervezés!J15</f>
        <v>0</v>
      </c>
      <c r="J12">
        <f>Tervezés!K15</f>
        <v>0</v>
      </c>
      <c r="K12">
        <f>Tervezés!L15</f>
        <v>0</v>
      </c>
      <c r="L12">
        <f>Tervezés!M15</f>
        <v>0</v>
      </c>
      <c r="M12" s="322" t="str">
        <f>IFERROR(VLOOKUP(A12,PAR!$D$3:$E$53,2,FALSE),"nincs szervezet")</f>
        <v>nincs szervezet</v>
      </c>
      <c r="N12" s="322" t="str">
        <f>VLOOKUP(F12,PAR!$R$3:$S$5,2,FALSE)</f>
        <v>3 - egyik sem</v>
      </c>
      <c r="O12" t="str">
        <f>IFERROR(VLOOKUP(J12,PAR!$O$3:$P$5,2,FALSE),"nincs feladat")</f>
        <v>nincs feladat</v>
      </c>
      <c r="P12" t="str">
        <f>IFERROR(VLOOKUP(G12,PAR!$J$2:$M$19,4),"nincs rovat")</f>
        <v>nincs rovat</v>
      </c>
      <c r="Q12" t="str">
        <f>IF(H12&gt;0,VLOOKUP(H12,PAR!$AA$3:$AC$187,3,FALSE),"nincs főkönyvi számla")</f>
        <v>nincs főkönyvi számla</v>
      </c>
      <c r="R12" t="str">
        <f>IFERROR(VLOOKUP(K12,PAR!$V$3:$X$438,3,FALSE),"000000 - Nincs COFOG")</f>
        <v>000000 - Nincs COFOG</v>
      </c>
      <c r="S12">
        <f t="shared" si="12"/>
        <v>0</v>
      </c>
      <c r="T12">
        <f t="shared" si="13"/>
        <v>0</v>
      </c>
      <c r="U12" t="str">
        <f>IF(Tervezés!F15&gt;0,CONCATENATE(Tervezés!E15," - ",Tervezés!F15,", ",Tervezés!J15),"nincs megjegyzés")</f>
        <v>nincs megjegyzés</v>
      </c>
      <c r="V12" t="str">
        <f t="shared" si="0"/>
        <v>6000</v>
      </c>
      <c r="W12" t="str">
        <f t="shared" si="1"/>
        <v>6000</v>
      </c>
      <c r="X12" t="str">
        <f t="shared" si="2"/>
        <v>00</v>
      </c>
      <c r="Y12" t="str">
        <f t="shared" si="3"/>
        <v>600</v>
      </c>
      <c r="Z12" t="str">
        <f t="shared" si="14"/>
        <v>00</v>
      </c>
      <c r="AA12" t="str">
        <f t="shared" si="4"/>
        <v>600</v>
      </c>
      <c r="AB12" t="str">
        <f t="shared" si="5"/>
        <v>00</v>
      </c>
      <c r="AC12" t="str">
        <f t="shared" si="6"/>
        <v>6000</v>
      </c>
      <c r="AD12" t="str">
        <f t="shared" si="7"/>
        <v>000</v>
      </c>
      <c r="AE12" t="str">
        <f t="shared" si="8"/>
        <v>6000</v>
      </c>
      <c r="AF12" t="str">
        <f t="shared" si="9"/>
        <v>000</v>
      </c>
      <c r="AG12" t="str">
        <f t="shared" si="15"/>
        <v>60000</v>
      </c>
      <c r="AH12" t="str">
        <f t="shared" si="16"/>
        <v>0000</v>
      </c>
      <c r="AI12" t="str">
        <f t="shared" si="17"/>
        <v>60000</v>
      </c>
      <c r="AJ12" t="str">
        <f t="shared" si="18"/>
        <v>0000</v>
      </c>
    </row>
    <row r="13" spans="1:36" x14ac:dyDescent="0.25">
      <c r="A13" s="325">
        <f>Tervezés!B16</f>
        <v>0</v>
      </c>
      <c r="B13">
        <v>60</v>
      </c>
      <c r="C13">
        <f>Tervezés!E16</f>
        <v>0</v>
      </c>
      <c r="D13">
        <f>Tervezés!F16</f>
        <v>0</v>
      </c>
      <c r="E13">
        <f>Tervezés!H16</f>
        <v>0</v>
      </c>
      <c r="F13" t="str">
        <f t="shared" si="10"/>
        <v>0</v>
      </c>
      <c r="G13" t="str">
        <f t="shared" si="11"/>
        <v>0</v>
      </c>
      <c r="H13">
        <f>Tervezés!I16</f>
        <v>0</v>
      </c>
      <c r="I13">
        <f>Tervezés!J16</f>
        <v>0</v>
      </c>
      <c r="J13">
        <f>Tervezés!K16</f>
        <v>0</v>
      </c>
      <c r="K13">
        <f>Tervezés!L16</f>
        <v>0</v>
      </c>
      <c r="L13">
        <f>Tervezés!M16</f>
        <v>0</v>
      </c>
      <c r="M13" s="322" t="str">
        <f>IFERROR(VLOOKUP(A13,PAR!$D$3:$E$53,2,FALSE),"nincs szervezet")</f>
        <v>nincs szervezet</v>
      </c>
      <c r="N13" s="322" t="str">
        <f>VLOOKUP(F13,PAR!$R$3:$S$5,2,FALSE)</f>
        <v>3 - egyik sem</v>
      </c>
      <c r="O13" t="str">
        <f>IFERROR(VLOOKUP(J13,PAR!$O$3:$P$5,2,FALSE),"nincs feladat")</f>
        <v>nincs feladat</v>
      </c>
      <c r="P13" t="str">
        <f>IFERROR(VLOOKUP(G13,PAR!$J$2:$M$19,4),"nincs rovat")</f>
        <v>nincs rovat</v>
      </c>
      <c r="Q13" t="str">
        <f>IF(H13&gt;0,VLOOKUP(H13,PAR!$AA$3:$AC$187,3,FALSE),"nincs főkönyvi számla")</f>
        <v>nincs főkönyvi számla</v>
      </c>
      <c r="R13" t="str">
        <f>IFERROR(VLOOKUP(K13,PAR!$V$3:$X$438,3,FALSE),"000000 - Nincs COFOG")</f>
        <v>000000 - Nincs COFOG</v>
      </c>
      <c r="S13">
        <f t="shared" si="12"/>
        <v>0</v>
      </c>
      <c r="T13">
        <f t="shared" si="13"/>
        <v>0</v>
      </c>
      <c r="U13" t="str">
        <f>IF(Tervezés!F16&gt;0,CONCATENATE(Tervezés!E16," - ",Tervezés!F16,", ",Tervezés!J16),"nincs megjegyzés")</f>
        <v>nincs megjegyzés</v>
      </c>
      <c r="V13" t="str">
        <f t="shared" si="0"/>
        <v>6000</v>
      </c>
      <c r="W13" t="str">
        <f t="shared" si="1"/>
        <v>6000</v>
      </c>
      <c r="X13" t="str">
        <f t="shared" si="2"/>
        <v>00</v>
      </c>
      <c r="Y13" t="str">
        <f t="shared" si="3"/>
        <v>600</v>
      </c>
      <c r="Z13" t="str">
        <f t="shared" si="14"/>
        <v>00</v>
      </c>
      <c r="AA13" t="str">
        <f t="shared" si="4"/>
        <v>600</v>
      </c>
      <c r="AB13" t="str">
        <f t="shared" si="5"/>
        <v>00</v>
      </c>
      <c r="AC13" t="str">
        <f t="shared" si="6"/>
        <v>6000</v>
      </c>
      <c r="AD13" t="str">
        <f t="shared" si="7"/>
        <v>000</v>
      </c>
      <c r="AE13" t="str">
        <f t="shared" si="8"/>
        <v>6000</v>
      </c>
      <c r="AF13" t="str">
        <f t="shared" si="9"/>
        <v>000</v>
      </c>
      <c r="AG13" t="str">
        <f t="shared" si="15"/>
        <v>60000</v>
      </c>
      <c r="AH13" t="str">
        <f t="shared" si="16"/>
        <v>0000</v>
      </c>
      <c r="AI13" t="str">
        <f t="shared" si="17"/>
        <v>60000</v>
      </c>
      <c r="AJ13" t="str">
        <f t="shared" si="18"/>
        <v>0000</v>
      </c>
    </row>
    <row r="14" spans="1:36" x14ac:dyDescent="0.25">
      <c r="A14" s="325">
        <f>Tervezés!B17</f>
        <v>0</v>
      </c>
      <c r="B14">
        <v>60</v>
      </c>
      <c r="C14">
        <f>Tervezés!E17</f>
        <v>0</v>
      </c>
      <c r="D14">
        <f>Tervezés!F17</f>
        <v>0</v>
      </c>
      <c r="E14">
        <f>Tervezés!H17</f>
        <v>0</v>
      </c>
      <c r="F14" t="str">
        <f t="shared" si="10"/>
        <v>0</v>
      </c>
      <c r="G14" t="str">
        <f t="shared" si="11"/>
        <v>0</v>
      </c>
      <c r="H14">
        <f>Tervezés!I17</f>
        <v>0</v>
      </c>
      <c r="I14">
        <f>Tervezés!J17</f>
        <v>0</v>
      </c>
      <c r="J14">
        <f>Tervezés!K17</f>
        <v>0</v>
      </c>
      <c r="K14">
        <f>Tervezés!L17</f>
        <v>0</v>
      </c>
      <c r="L14">
        <f>Tervezés!M17</f>
        <v>0</v>
      </c>
      <c r="M14" s="322" t="str">
        <f>IFERROR(VLOOKUP(A14,PAR!$D$3:$E$53,2,FALSE),"nincs szervezet")</f>
        <v>nincs szervezet</v>
      </c>
      <c r="N14" s="322" t="str">
        <f>VLOOKUP(F14,PAR!$R$3:$S$5,2,FALSE)</f>
        <v>3 - egyik sem</v>
      </c>
      <c r="O14" t="str">
        <f>IFERROR(VLOOKUP(J14,PAR!$O$3:$P$5,2,FALSE),"nincs feladat")</f>
        <v>nincs feladat</v>
      </c>
      <c r="P14" t="str">
        <f>IFERROR(VLOOKUP(G14,PAR!$J$2:$M$19,4),"nincs rovat")</f>
        <v>nincs rovat</v>
      </c>
      <c r="Q14" t="str">
        <f>IF(H14&gt;0,VLOOKUP(H14,PAR!$AA$3:$AC$187,3,FALSE),"nincs főkönyvi számla")</f>
        <v>nincs főkönyvi számla</v>
      </c>
      <c r="R14" t="str">
        <f>IFERROR(VLOOKUP(K14,PAR!$V$3:$X$438,3,FALSE),"000000 - Nincs COFOG")</f>
        <v>000000 - Nincs COFOG</v>
      </c>
      <c r="S14">
        <f t="shared" si="12"/>
        <v>0</v>
      </c>
      <c r="T14">
        <f t="shared" si="13"/>
        <v>0</v>
      </c>
      <c r="U14" t="str">
        <f>IF(Tervezés!F17&gt;0,CONCATENATE(Tervezés!E17," - ",Tervezés!F17,", ",Tervezés!J17),"nincs megjegyzés")</f>
        <v>nincs megjegyzés</v>
      </c>
      <c r="V14" t="str">
        <f t="shared" si="0"/>
        <v>6000</v>
      </c>
      <c r="W14" t="str">
        <f t="shared" si="1"/>
        <v>6000</v>
      </c>
      <c r="X14" t="str">
        <f t="shared" si="2"/>
        <v>00</v>
      </c>
      <c r="Y14" t="str">
        <f t="shared" si="3"/>
        <v>600</v>
      </c>
      <c r="Z14" t="str">
        <f t="shared" si="14"/>
        <v>00</v>
      </c>
      <c r="AA14" t="str">
        <f t="shared" si="4"/>
        <v>600</v>
      </c>
      <c r="AB14" t="str">
        <f t="shared" si="5"/>
        <v>00</v>
      </c>
      <c r="AC14" t="str">
        <f t="shared" si="6"/>
        <v>6000</v>
      </c>
      <c r="AD14" t="str">
        <f t="shared" si="7"/>
        <v>000</v>
      </c>
      <c r="AE14" t="str">
        <f t="shared" si="8"/>
        <v>6000</v>
      </c>
      <c r="AF14" t="str">
        <f t="shared" si="9"/>
        <v>000</v>
      </c>
      <c r="AG14" t="str">
        <f t="shared" si="15"/>
        <v>60000</v>
      </c>
      <c r="AH14" t="str">
        <f t="shared" si="16"/>
        <v>0000</v>
      </c>
      <c r="AI14" t="str">
        <f t="shared" si="17"/>
        <v>60000</v>
      </c>
      <c r="AJ14" t="str">
        <f t="shared" si="18"/>
        <v>0000</v>
      </c>
    </row>
    <row r="15" spans="1:36" x14ac:dyDescent="0.25">
      <c r="A15" s="325">
        <f>Tervezés!B18</f>
        <v>0</v>
      </c>
      <c r="B15">
        <v>60</v>
      </c>
      <c r="C15">
        <f>Tervezés!E18</f>
        <v>0</v>
      </c>
      <c r="D15">
        <f>Tervezés!F18</f>
        <v>0</v>
      </c>
      <c r="E15">
        <f>Tervezés!H18</f>
        <v>0</v>
      </c>
      <c r="F15" t="str">
        <f t="shared" si="10"/>
        <v>0</v>
      </c>
      <c r="G15" t="str">
        <f t="shared" si="11"/>
        <v>0</v>
      </c>
      <c r="H15">
        <f>Tervezés!I18</f>
        <v>0</v>
      </c>
      <c r="I15">
        <f>Tervezés!J18</f>
        <v>0</v>
      </c>
      <c r="J15">
        <f>Tervezés!K18</f>
        <v>0</v>
      </c>
      <c r="K15">
        <f>Tervezés!L18</f>
        <v>0</v>
      </c>
      <c r="L15">
        <f>Tervezés!M18</f>
        <v>0</v>
      </c>
      <c r="M15" s="322" t="str">
        <f>IFERROR(VLOOKUP(A15,PAR!$D$3:$E$53,2,FALSE),"nincs szervezet")</f>
        <v>nincs szervezet</v>
      </c>
      <c r="N15" s="322" t="str">
        <f>VLOOKUP(F15,PAR!$R$3:$S$5,2,FALSE)</f>
        <v>3 - egyik sem</v>
      </c>
      <c r="O15" t="str">
        <f>IFERROR(VLOOKUP(J15,PAR!$O$3:$P$5,2,FALSE),"nincs feladat")</f>
        <v>nincs feladat</v>
      </c>
      <c r="P15" t="str">
        <f>IFERROR(VLOOKUP(G15,PAR!$J$2:$M$19,4),"nincs rovat")</f>
        <v>nincs rovat</v>
      </c>
      <c r="Q15" t="str">
        <f>IF(H15&gt;0,VLOOKUP(H15,PAR!$AA$3:$AC$187,3,FALSE),"nincs főkönyvi számla")</f>
        <v>nincs főkönyvi számla</v>
      </c>
      <c r="R15" t="str">
        <f>IFERROR(VLOOKUP(K15,PAR!$V$3:$X$438,3,FALSE),"000000 - Nincs COFOG")</f>
        <v>000000 - Nincs COFOG</v>
      </c>
      <c r="S15">
        <f t="shared" si="12"/>
        <v>0</v>
      </c>
      <c r="T15">
        <f t="shared" si="13"/>
        <v>0</v>
      </c>
      <c r="U15" t="str">
        <f>IF(Tervezés!F18&gt;0,CONCATENATE(Tervezés!E18," - ",Tervezés!F18,", ",Tervezés!J18),"nincs megjegyzés")</f>
        <v>nincs megjegyzés</v>
      </c>
      <c r="V15" t="str">
        <f t="shared" si="0"/>
        <v>6000</v>
      </c>
      <c r="W15" t="str">
        <f t="shared" si="1"/>
        <v>6000</v>
      </c>
      <c r="X15" t="str">
        <f t="shared" si="2"/>
        <v>00</v>
      </c>
      <c r="Y15" t="str">
        <f t="shared" si="3"/>
        <v>600</v>
      </c>
      <c r="Z15" t="str">
        <f t="shared" si="14"/>
        <v>00</v>
      </c>
      <c r="AA15" t="str">
        <f t="shared" si="4"/>
        <v>600</v>
      </c>
      <c r="AB15" t="str">
        <f t="shared" si="5"/>
        <v>00</v>
      </c>
      <c r="AC15" t="str">
        <f t="shared" si="6"/>
        <v>6000</v>
      </c>
      <c r="AD15" t="str">
        <f t="shared" si="7"/>
        <v>000</v>
      </c>
      <c r="AE15" t="str">
        <f t="shared" si="8"/>
        <v>6000</v>
      </c>
      <c r="AF15" t="str">
        <f t="shared" si="9"/>
        <v>000</v>
      </c>
      <c r="AG15" t="str">
        <f t="shared" si="15"/>
        <v>60000</v>
      </c>
      <c r="AH15" t="str">
        <f t="shared" si="16"/>
        <v>0000</v>
      </c>
      <c r="AI15" t="str">
        <f t="shared" si="17"/>
        <v>60000</v>
      </c>
      <c r="AJ15" t="str">
        <f t="shared" si="18"/>
        <v>0000</v>
      </c>
    </row>
    <row r="16" spans="1:36" x14ac:dyDescent="0.25">
      <c r="A16" s="325">
        <f>Tervezés!B19</f>
        <v>0</v>
      </c>
      <c r="B16">
        <v>60</v>
      </c>
      <c r="C16">
        <f>Tervezés!E19</f>
        <v>0</v>
      </c>
      <c r="D16">
        <f>Tervezés!F19</f>
        <v>0</v>
      </c>
      <c r="E16">
        <f>Tervezés!H19</f>
        <v>0</v>
      </c>
      <c r="F16" t="str">
        <f t="shared" si="10"/>
        <v>0</v>
      </c>
      <c r="G16" t="str">
        <f t="shared" si="11"/>
        <v>0</v>
      </c>
      <c r="H16">
        <f>Tervezés!I19</f>
        <v>0</v>
      </c>
      <c r="I16">
        <f>Tervezés!J19</f>
        <v>0</v>
      </c>
      <c r="J16">
        <f>Tervezés!K19</f>
        <v>0</v>
      </c>
      <c r="K16">
        <f>Tervezés!L19</f>
        <v>0</v>
      </c>
      <c r="L16">
        <f>Tervezés!M19</f>
        <v>0</v>
      </c>
      <c r="M16" s="322" t="str">
        <f>IFERROR(VLOOKUP(A16,PAR!$D$3:$E$53,2,FALSE),"nincs szervezet")</f>
        <v>nincs szervezet</v>
      </c>
      <c r="N16" s="322" t="str">
        <f>VLOOKUP(F16,PAR!$R$3:$S$5,2,FALSE)</f>
        <v>3 - egyik sem</v>
      </c>
      <c r="O16" t="str">
        <f>IFERROR(VLOOKUP(J16,PAR!$O$3:$P$5,2,FALSE),"nincs feladat")</f>
        <v>nincs feladat</v>
      </c>
      <c r="P16" t="str">
        <f>IFERROR(VLOOKUP(G16,PAR!$J$2:$M$19,4),"nincs rovat")</f>
        <v>nincs rovat</v>
      </c>
      <c r="Q16" t="str">
        <f>IF(H16&gt;0,VLOOKUP(H16,PAR!$AA$3:$AC$187,3,FALSE),"nincs főkönyvi számla")</f>
        <v>nincs főkönyvi számla</v>
      </c>
      <c r="R16" t="str">
        <f>IFERROR(VLOOKUP(K16,PAR!$V$3:$X$438,3,FALSE),"000000 - Nincs COFOG")</f>
        <v>000000 - Nincs COFOG</v>
      </c>
      <c r="S16">
        <f t="shared" si="12"/>
        <v>0</v>
      </c>
      <c r="T16">
        <f t="shared" si="13"/>
        <v>0</v>
      </c>
      <c r="U16" t="str">
        <f>IF(Tervezés!F19&gt;0,CONCATENATE(Tervezés!E19," - ",Tervezés!F19,", ",Tervezés!J19),"nincs megjegyzés")</f>
        <v>nincs megjegyzés</v>
      </c>
      <c r="V16" t="str">
        <f t="shared" si="0"/>
        <v>6000</v>
      </c>
      <c r="W16" t="str">
        <f t="shared" si="1"/>
        <v>6000</v>
      </c>
      <c r="X16" t="str">
        <f t="shared" si="2"/>
        <v>00</v>
      </c>
      <c r="Y16" t="str">
        <f t="shared" si="3"/>
        <v>600</v>
      </c>
      <c r="Z16" t="str">
        <f t="shared" si="14"/>
        <v>00</v>
      </c>
      <c r="AA16" t="str">
        <f t="shared" si="4"/>
        <v>600</v>
      </c>
      <c r="AB16" t="str">
        <f t="shared" si="5"/>
        <v>00</v>
      </c>
      <c r="AC16" t="str">
        <f t="shared" si="6"/>
        <v>6000</v>
      </c>
      <c r="AD16" t="str">
        <f t="shared" si="7"/>
        <v>000</v>
      </c>
      <c r="AE16" t="str">
        <f t="shared" si="8"/>
        <v>6000</v>
      </c>
      <c r="AF16" t="str">
        <f t="shared" si="9"/>
        <v>000</v>
      </c>
      <c r="AG16" t="str">
        <f t="shared" si="15"/>
        <v>60000</v>
      </c>
      <c r="AH16" t="str">
        <f t="shared" si="16"/>
        <v>0000</v>
      </c>
      <c r="AI16" t="str">
        <f t="shared" si="17"/>
        <v>60000</v>
      </c>
      <c r="AJ16" t="str">
        <f t="shared" si="18"/>
        <v>0000</v>
      </c>
    </row>
    <row r="17" spans="1:36" x14ac:dyDescent="0.25">
      <c r="A17" s="325">
        <f>Tervezés!B20</f>
        <v>0</v>
      </c>
      <c r="B17">
        <v>60</v>
      </c>
      <c r="C17">
        <f>Tervezés!E20</f>
        <v>0</v>
      </c>
      <c r="D17">
        <f>Tervezés!F20</f>
        <v>0</v>
      </c>
      <c r="E17">
        <f>Tervezés!H20</f>
        <v>0</v>
      </c>
      <c r="F17" t="str">
        <f t="shared" si="10"/>
        <v>0</v>
      </c>
      <c r="G17" t="str">
        <f t="shared" si="11"/>
        <v>0</v>
      </c>
      <c r="H17">
        <f>Tervezés!I20</f>
        <v>0</v>
      </c>
      <c r="I17">
        <f>Tervezés!J20</f>
        <v>0</v>
      </c>
      <c r="J17">
        <f>Tervezés!K20</f>
        <v>0</v>
      </c>
      <c r="K17">
        <f>Tervezés!L20</f>
        <v>0</v>
      </c>
      <c r="L17">
        <f>Tervezés!M20</f>
        <v>0</v>
      </c>
      <c r="M17" s="322" t="str">
        <f>IFERROR(VLOOKUP(A17,PAR!$D$3:$E$53,2,FALSE),"nincs szervezet")</f>
        <v>nincs szervezet</v>
      </c>
      <c r="N17" s="322" t="str">
        <f>VLOOKUP(F17,PAR!$R$3:$S$5,2,FALSE)</f>
        <v>3 - egyik sem</v>
      </c>
      <c r="O17" t="str">
        <f>IFERROR(VLOOKUP(J17,PAR!$O$3:$P$5,2,FALSE),"nincs feladat")</f>
        <v>nincs feladat</v>
      </c>
      <c r="P17" t="str">
        <f>IFERROR(VLOOKUP(G17,PAR!$J$2:$M$19,4),"nincs rovat")</f>
        <v>nincs rovat</v>
      </c>
      <c r="Q17" t="str">
        <f>IF(H17&gt;0,VLOOKUP(H17,PAR!$AA$3:$AC$187,3,FALSE),"nincs főkönyvi számla")</f>
        <v>nincs főkönyvi számla</v>
      </c>
      <c r="R17" t="str">
        <f>IFERROR(VLOOKUP(K17,PAR!$V$3:$X$438,3,FALSE),"000000 - Nincs COFOG")</f>
        <v>000000 - Nincs COFOG</v>
      </c>
      <c r="S17">
        <f t="shared" si="12"/>
        <v>0</v>
      </c>
      <c r="T17">
        <f t="shared" si="13"/>
        <v>0</v>
      </c>
      <c r="U17" t="str">
        <f>IF(Tervezés!F20&gt;0,CONCATENATE(Tervezés!E20," - ",Tervezés!F20,", ",Tervezés!J20),"nincs megjegyzés")</f>
        <v>nincs megjegyzés</v>
      </c>
      <c r="V17" t="str">
        <f t="shared" si="0"/>
        <v>6000</v>
      </c>
      <c r="W17" t="str">
        <f t="shared" si="1"/>
        <v>6000</v>
      </c>
      <c r="X17" t="str">
        <f t="shared" si="2"/>
        <v>00</v>
      </c>
      <c r="Y17" t="str">
        <f t="shared" si="3"/>
        <v>600</v>
      </c>
      <c r="Z17" t="str">
        <f t="shared" si="14"/>
        <v>00</v>
      </c>
      <c r="AA17" t="str">
        <f t="shared" si="4"/>
        <v>600</v>
      </c>
      <c r="AB17" t="str">
        <f t="shared" si="5"/>
        <v>00</v>
      </c>
      <c r="AC17" t="str">
        <f t="shared" si="6"/>
        <v>6000</v>
      </c>
      <c r="AD17" t="str">
        <f t="shared" si="7"/>
        <v>000</v>
      </c>
      <c r="AE17" t="str">
        <f t="shared" si="8"/>
        <v>6000</v>
      </c>
      <c r="AF17" t="str">
        <f t="shared" si="9"/>
        <v>000</v>
      </c>
      <c r="AG17" t="str">
        <f t="shared" si="15"/>
        <v>60000</v>
      </c>
      <c r="AH17" t="str">
        <f t="shared" si="16"/>
        <v>0000</v>
      </c>
      <c r="AI17" t="str">
        <f t="shared" si="17"/>
        <v>60000</v>
      </c>
      <c r="AJ17" t="str">
        <f t="shared" si="18"/>
        <v>0000</v>
      </c>
    </row>
    <row r="18" spans="1:36" x14ac:dyDescent="0.25">
      <c r="A18" s="325">
        <f>Tervezés!B21</f>
        <v>0</v>
      </c>
      <c r="B18">
        <v>60</v>
      </c>
      <c r="C18">
        <f>Tervezés!E21</f>
        <v>0</v>
      </c>
      <c r="D18">
        <f>Tervezés!F21</f>
        <v>0</v>
      </c>
      <c r="E18">
        <f>Tervezés!H21</f>
        <v>0</v>
      </c>
      <c r="F18" t="str">
        <f t="shared" si="10"/>
        <v>0</v>
      </c>
      <c r="G18" t="str">
        <f t="shared" si="11"/>
        <v>0</v>
      </c>
      <c r="H18">
        <f>Tervezés!I21</f>
        <v>0</v>
      </c>
      <c r="I18">
        <f>Tervezés!J21</f>
        <v>0</v>
      </c>
      <c r="J18">
        <f>Tervezés!K21</f>
        <v>0</v>
      </c>
      <c r="K18">
        <f>Tervezés!L21</f>
        <v>0</v>
      </c>
      <c r="L18">
        <f>Tervezés!M21</f>
        <v>0</v>
      </c>
      <c r="M18" s="322" t="str">
        <f>IFERROR(VLOOKUP(A18,PAR!$D$3:$E$53,2,FALSE),"nincs szervezet")</f>
        <v>nincs szervezet</v>
      </c>
      <c r="N18" s="322" t="str">
        <f>VLOOKUP(F18,PAR!$R$3:$S$5,2,FALSE)</f>
        <v>3 - egyik sem</v>
      </c>
      <c r="O18" t="str">
        <f>IFERROR(VLOOKUP(J18,PAR!$O$3:$P$5,2,FALSE),"nincs feladat")</f>
        <v>nincs feladat</v>
      </c>
      <c r="P18" t="str">
        <f>IFERROR(VLOOKUP(G18,PAR!$J$2:$M$19,4),"nincs rovat")</f>
        <v>nincs rovat</v>
      </c>
      <c r="Q18" t="str">
        <f>IF(H18&gt;0,VLOOKUP(H18,PAR!$AA$3:$AC$187,3,FALSE),"nincs főkönyvi számla")</f>
        <v>nincs főkönyvi számla</v>
      </c>
      <c r="R18" t="str">
        <f>IFERROR(VLOOKUP(K18,PAR!$V$3:$X$438,3,FALSE),"000000 - Nincs COFOG")</f>
        <v>000000 - Nincs COFOG</v>
      </c>
      <c r="S18">
        <f t="shared" si="12"/>
        <v>0</v>
      </c>
      <c r="T18">
        <f t="shared" si="13"/>
        <v>0</v>
      </c>
      <c r="U18" t="str">
        <f>IF(Tervezés!F21&gt;0,CONCATENATE(Tervezés!E21," - ",Tervezés!F21,", ",Tervezés!J21),"nincs megjegyzés")</f>
        <v>nincs megjegyzés</v>
      </c>
      <c r="V18" t="str">
        <f t="shared" si="0"/>
        <v>6000</v>
      </c>
      <c r="W18" t="str">
        <f t="shared" si="1"/>
        <v>6000</v>
      </c>
      <c r="X18" t="str">
        <f t="shared" si="2"/>
        <v>00</v>
      </c>
      <c r="Y18" t="str">
        <f t="shared" si="3"/>
        <v>600</v>
      </c>
      <c r="Z18" t="str">
        <f t="shared" si="14"/>
        <v>00</v>
      </c>
      <c r="AA18" t="str">
        <f t="shared" si="4"/>
        <v>600</v>
      </c>
      <c r="AB18" t="str">
        <f t="shared" si="5"/>
        <v>00</v>
      </c>
      <c r="AC18" t="str">
        <f t="shared" si="6"/>
        <v>6000</v>
      </c>
      <c r="AD18" t="str">
        <f t="shared" si="7"/>
        <v>000</v>
      </c>
      <c r="AE18" t="str">
        <f t="shared" si="8"/>
        <v>6000</v>
      </c>
      <c r="AF18" t="str">
        <f t="shared" si="9"/>
        <v>000</v>
      </c>
      <c r="AG18" t="str">
        <f t="shared" si="15"/>
        <v>60000</v>
      </c>
      <c r="AH18" t="str">
        <f t="shared" si="16"/>
        <v>0000</v>
      </c>
      <c r="AI18" t="str">
        <f t="shared" si="17"/>
        <v>60000</v>
      </c>
      <c r="AJ18" t="str">
        <f t="shared" si="18"/>
        <v>0000</v>
      </c>
    </row>
    <row r="19" spans="1:36" x14ac:dyDescent="0.25">
      <c r="A19" s="325">
        <f>Tervezés!B22</f>
        <v>0</v>
      </c>
      <c r="B19">
        <v>60</v>
      </c>
      <c r="C19">
        <f>Tervezés!E22</f>
        <v>0</v>
      </c>
      <c r="D19">
        <f>Tervezés!F22</f>
        <v>0</v>
      </c>
      <c r="E19">
        <f>Tervezés!H22</f>
        <v>0</v>
      </c>
      <c r="F19" t="str">
        <f t="shared" si="10"/>
        <v>0</v>
      </c>
      <c r="G19" t="str">
        <f t="shared" si="11"/>
        <v>0</v>
      </c>
      <c r="H19">
        <f>Tervezés!I22</f>
        <v>0</v>
      </c>
      <c r="I19">
        <f>Tervezés!J22</f>
        <v>0</v>
      </c>
      <c r="J19">
        <f>Tervezés!K22</f>
        <v>0</v>
      </c>
      <c r="K19">
        <f>Tervezés!L22</f>
        <v>0</v>
      </c>
      <c r="L19">
        <f>Tervezés!M22</f>
        <v>0</v>
      </c>
      <c r="M19" s="322" t="str">
        <f>IFERROR(VLOOKUP(A19,PAR!$D$3:$E$53,2,FALSE),"nincs szervezet")</f>
        <v>nincs szervezet</v>
      </c>
      <c r="N19" s="322" t="str">
        <f>VLOOKUP(F19,PAR!$R$3:$S$5,2,FALSE)</f>
        <v>3 - egyik sem</v>
      </c>
      <c r="O19" t="str">
        <f>IFERROR(VLOOKUP(J19,PAR!$O$3:$P$5,2,FALSE),"nincs feladat")</f>
        <v>nincs feladat</v>
      </c>
      <c r="P19" t="str">
        <f>IFERROR(VLOOKUP(G19,PAR!$J$2:$M$19,4),"nincs rovat")</f>
        <v>nincs rovat</v>
      </c>
      <c r="Q19" t="str">
        <f>IF(H19&gt;0,VLOOKUP(H19,PAR!$AA$3:$AC$187,3,FALSE),"nincs főkönyvi számla")</f>
        <v>nincs főkönyvi számla</v>
      </c>
      <c r="R19" t="str">
        <f>IFERROR(VLOOKUP(K19,PAR!$V$3:$X$438,3,FALSE),"000000 - Nincs COFOG")</f>
        <v>000000 - Nincs COFOG</v>
      </c>
      <c r="S19">
        <f t="shared" si="12"/>
        <v>0</v>
      </c>
      <c r="T19">
        <f t="shared" si="13"/>
        <v>0</v>
      </c>
      <c r="U19" t="str">
        <f>IF(Tervezés!F22&gt;0,CONCATENATE(Tervezés!E22," - ",Tervezés!F22,", ",Tervezés!J22),"nincs megjegyzés")</f>
        <v>nincs megjegyzés</v>
      </c>
      <c r="V19" t="str">
        <f t="shared" si="0"/>
        <v>6000</v>
      </c>
      <c r="W19" t="str">
        <f t="shared" si="1"/>
        <v>6000</v>
      </c>
      <c r="X19" t="str">
        <f t="shared" si="2"/>
        <v>00</v>
      </c>
      <c r="Y19" t="str">
        <f t="shared" si="3"/>
        <v>600</v>
      </c>
      <c r="Z19" t="str">
        <f t="shared" si="14"/>
        <v>00</v>
      </c>
      <c r="AA19" t="str">
        <f t="shared" si="4"/>
        <v>600</v>
      </c>
      <c r="AB19" t="str">
        <f t="shared" si="5"/>
        <v>00</v>
      </c>
      <c r="AC19" t="str">
        <f t="shared" si="6"/>
        <v>6000</v>
      </c>
      <c r="AD19" t="str">
        <f t="shared" si="7"/>
        <v>000</v>
      </c>
      <c r="AE19" t="str">
        <f t="shared" si="8"/>
        <v>6000</v>
      </c>
      <c r="AF19" t="str">
        <f t="shared" si="9"/>
        <v>000</v>
      </c>
      <c r="AG19" t="str">
        <f t="shared" si="15"/>
        <v>60000</v>
      </c>
      <c r="AH19" t="str">
        <f t="shared" si="16"/>
        <v>0000</v>
      </c>
      <c r="AI19" t="str">
        <f t="shared" si="17"/>
        <v>60000</v>
      </c>
      <c r="AJ19" t="str">
        <f t="shared" si="18"/>
        <v>0000</v>
      </c>
    </row>
    <row r="20" spans="1:36" x14ac:dyDescent="0.25">
      <c r="A20" s="325">
        <f>Tervezés!B23</f>
        <v>0</v>
      </c>
      <c r="B20">
        <v>60</v>
      </c>
      <c r="C20">
        <f>Tervezés!E23</f>
        <v>0</v>
      </c>
      <c r="D20">
        <f>Tervezés!F23</f>
        <v>0</v>
      </c>
      <c r="E20">
        <f>Tervezés!H23</f>
        <v>0</v>
      </c>
      <c r="F20" t="str">
        <f t="shared" si="10"/>
        <v>0</v>
      </c>
      <c r="G20" t="str">
        <f t="shared" si="11"/>
        <v>0</v>
      </c>
      <c r="H20">
        <f>Tervezés!I23</f>
        <v>0</v>
      </c>
      <c r="I20">
        <f>Tervezés!J23</f>
        <v>0</v>
      </c>
      <c r="J20">
        <f>Tervezés!K23</f>
        <v>0</v>
      </c>
      <c r="K20">
        <f>Tervezés!L23</f>
        <v>0</v>
      </c>
      <c r="L20">
        <f>Tervezés!M23</f>
        <v>0</v>
      </c>
      <c r="M20" s="322" t="str">
        <f>IFERROR(VLOOKUP(A20,PAR!$D$3:$E$53,2,FALSE),"nincs szervezet")</f>
        <v>nincs szervezet</v>
      </c>
      <c r="N20" s="322" t="str">
        <f>VLOOKUP(F20,PAR!$R$3:$S$5,2,FALSE)</f>
        <v>3 - egyik sem</v>
      </c>
      <c r="O20" t="str">
        <f>IFERROR(VLOOKUP(J20,PAR!$O$3:$P$5,2,FALSE),"nincs feladat")</f>
        <v>nincs feladat</v>
      </c>
      <c r="P20" t="str">
        <f>IFERROR(VLOOKUP(G20,PAR!$J$2:$M$19,4),"nincs rovat")</f>
        <v>nincs rovat</v>
      </c>
      <c r="Q20" t="str">
        <f>IF(H20&gt;0,VLOOKUP(H20,PAR!$AA$3:$AC$187,3,FALSE),"nincs főkönyvi számla")</f>
        <v>nincs főkönyvi számla</v>
      </c>
      <c r="R20" t="str">
        <f>IFERROR(VLOOKUP(K20,PAR!$V$3:$X$438,3,FALSE),"000000 - Nincs COFOG")</f>
        <v>000000 - Nincs COFOG</v>
      </c>
      <c r="S20">
        <f t="shared" si="12"/>
        <v>0</v>
      </c>
      <c r="T20">
        <f t="shared" si="13"/>
        <v>0</v>
      </c>
      <c r="U20" t="str">
        <f>IF(Tervezés!F23&gt;0,CONCATENATE(Tervezés!E23," - ",Tervezés!F23,", ",Tervezés!J23),"nincs megjegyzés")</f>
        <v>nincs megjegyzés</v>
      </c>
      <c r="V20" t="str">
        <f t="shared" si="0"/>
        <v>6000</v>
      </c>
      <c r="W20" t="str">
        <f t="shared" si="1"/>
        <v>6000</v>
      </c>
      <c r="X20" t="str">
        <f t="shared" si="2"/>
        <v>00</v>
      </c>
      <c r="Y20" t="str">
        <f t="shared" si="3"/>
        <v>600</v>
      </c>
      <c r="Z20" t="str">
        <f t="shared" si="14"/>
        <v>00</v>
      </c>
      <c r="AA20" t="str">
        <f t="shared" si="4"/>
        <v>600</v>
      </c>
      <c r="AB20" t="str">
        <f t="shared" si="5"/>
        <v>00</v>
      </c>
      <c r="AC20" t="str">
        <f t="shared" si="6"/>
        <v>6000</v>
      </c>
      <c r="AD20" t="str">
        <f t="shared" si="7"/>
        <v>000</v>
      </c>
      <c r="AE20" t="str">
        <f t="shared" si="8"/>
        <v>6000</v>
      </c>
      <c r="AF20" t="str">
        <f t="shared" si="9"/>
        <v>000</v>
      </c>
      <c r="AG20" t="str">
        <f t="shared" si="15"/>
        <v>60000</v>
      </c>
      <c r="AH20" t="str">
        <f t="shared" si="16"/>
        <v>0000</v>
      </c>
      <c r="AI20" t="str">
        <f t="shared" si="17"/>
        <v>60000</v>
      </c>
      <c r="AJ20" t="str">
        <f t="shared" si="18"/>
        <v>0000</v>
      </c>
    </row>
    <row r="21" spans="1:36" x14ac:dyDescent="0.25">
      <c r="A21" s="325">
        <f>Tervezés!B24</f>
        <v>0</v>
      </c>
      <c r="B21">
        <v>60</v>
      </c>
      <c r="C21">
        <f>Tervezés!E24</f>
        <v>0</v>
      </c>
      <c r="D21">
        <f>Tervezés!F24</f>
        <v>0</v>
      </c>
      <c r="E21">
        <f>Tervezés!H24</f>
        <v>0</v>
      </c>
      <c r="F21" t="str">
        <f t="shared" si="10"/>
        <v>0</v>
      </c>
      <c r="G21" t="str">
        <f t="shared" si="11"/>
        <v>0</v>
      </c>
      <c r="H21">
        <f>Tervezés!I24</f>
        <v>0</v>
      </c>
      <c r="I21">
        <f>Tervezés!J24</f>
        <v>0</v>
      </c>
      <c r="J21">
        <f>Tervezés!K24</f>
        <v>0</v>
      </c>
      <c r="K21">
        <f>Tervezés!L24</f>
        <v>0</v>
      </c>
      <c r="L21">
        <f>Tervezés!M24</f>
        <v>0</v>
      </c>
      <c r="M21" s="322" t="str">
        <f>IFERROR(VLOOKUP(A21,PAR!$D$3:$E$53,2,FALSE),"nincs szervezet")</f>
        <v>nincs szervezet</v>
      </c>
      <c r="N21" s="322" t="str">
        <f>VLOOKUP(F21,PAR!$R$3:$S$5,2,FALSE)</f>
        <v>3 - egyik sem</v>
      </c>
      <c r="O21" t="str">
        <f>IFERROR(VLOOKUP(J21,PAR!$O$3:$P$5,2,FALSE),"nincs feladat")</f>
        <v>nincs feladat</v>
      </c>
      <c r="P21" t="str">
        <f>IFERROR(VLOOKUP(G21,PAR!$J$2:$M$19,4),"nincs rovat")</f>
        <v>nincs rovat</v>
      </c>
      <c r="Q21" t="str">
        <f>IF(H21&gt;0,VLOOKUP(H21,PAR!$AA$3:$AC$187,3,FALSE),"nincs főkönyvi számla")</f>
        <v>nincs főkönyvi számla</v>
      </c>
      <c r="R21" t="str">
        <f>IFERROR(VLOOKUP(K21,PAR!$V$3:$X$438,3,FALSE),"000000 - Nincs COFOG")</f>
        <v>000000 - Nincs COFOG</v>
      </c>
      <c r="S21">
        <f t="shared" si="12"/>
        <v>0</v>
      </c>
      <c r="T21">
        <f t="shared" si="13"/>
        <v>0</v>
      </c>
      <c r="U21" t="str">
        <f>IF(Tervezés!F24&gt;0,CONCATENATE(Tervezés!E24," - ",Tervezés!F24,", ",Tervezés!J24),"nincs megjegyzés")</f>
        <v>nincs megjegyzés</v>
      </c>
      <c r="V21" t="str">
        <f t="shared" si="0"/>
        <v>6000</v>
      </c>
      <c r="W21" t="str">
        <f t="shared" si="1"/>
        <v>6000</v>
      </c>
      <c r="X21" t="str">
        <f t="shared" si="2"/>
        <v>00</v>
      </c>
      <c r="Y21" t="str">
        <f t="shared" si="3"/>
        <v>600</v>
      </c>
      <c r="Z21" t="str">
        <f t="shared" si="14"/>
        <v>00</v>
      </c>
      <c r="AA21" t="str">
        <f t="shared" si="4"/>
        <v>600</v>
      </c>
      <c r="AB21" t="str">
        <f t="shared" si="5"/>
        <v>00</v>
      </c>
      <c r="AC21" t="str">
        <f t="shared" si="6"/>
        <v>6000</v>
      </c>
      <c r="AD21" t="str">
        <f t="shared" si="7"/>
        <v>000</v>
      </c>
      <c r="AE21" t="str">
        <f t="shared" si="8"/>
        <v>6000</v>
      </c>
      <c r="AF21" t="str">
        <f t="shared" si="9"/>
        <v>000</v>
      </c>
      <c r="AG21" t="str">
        <f t="shared" si="15"/>
        <v>60000</v>
      </c>
      <c r="AH21" t="str">
        <f t="shared" si="16"/>
        <v>0000</v>
      </c>
      <c r="AI21" t="str">
        <f t="shared" si="17"/>
        <v>60000</v>
      </c>
      <c r="AJ21" t="str">
        <f t="shared" si="18"/>
        <v>0000</v>
      </c>
    </row>
    <row r="22" spans="1:36" x14ac:dyDescent="0.25">
      <c r="A22" s="325">
        <f>Tervezés!B25</f>
        <v>0</v>
      </c>
      <c r="B22">
        <v>60</v>
      </c>
      <c r="C22">
        <f>Tervezés!E25</f>
        <v>0</v>
      </c>
      <c r="D22">
        <f>Tervezés!F25</f>
        <v>0</v>
      </c>
      <c r="E22">
        <f>Tervezés!H25</f>
        <v>0</v>
      </c>
      <c r="F22" t="str">
        <f t="shared" si="10"/>
        <v>0</v>
      </c>
      <c r="G22" t="str">
        <f t="shared" si="11"/>
        <v>0</v>
      </c>
      <c r="H22">
        <f>Tervezés!I25</f>
        <v>0</v>
      </c>
      <c r="I22">
        <f>Tervezés!J25</f>
        <v>0</v>
      </c>
      <c r="J22">
        <f>Tervezés!K25</f>
        <v>0</v>
      </c>
      <c r="K22">
        <f>Tervezés!L25</f>
        <v>0</v>
      </c>
      <c r="L22">
        <f>Tervezés!M25</f>
        <v>0</v>
      </c>
      <c r="M22" s="322" t="str">
        <f>IFERROR(VLOOKUP(A22,PAR!$D$3:$E$53,2,FALSE),"nincs szervezet")</f>
        <v>nincs szervezet</v>
      </c>
      <c r="N22" s="322" t="str">
        <f>VLOOKUP(F22,PAR!$R$3:$S$5,2,FALSE)</f>
        <v>3 - egyik sem</v>
      </c>
      <c r="O22" t="str">
        <f>IFERROR(VLOOKUP(J22,PAR!$O$3:$P$5,2,FALSE),"nincs feladat")</f>
        <v>nincs feladat</v>
      </c>
      <c r="P22" t="str">
        <f>IFERROR(VLOOKUP(G22,PAR!$J$2:$M$19,4),"nincs rovat")</f>
        <v>nincs rovat</v>
      </c>
      <c r="Q22" t="str">
        <f>IF(H22&gt;0,VLOOKUP(H22,PAR!$AA$3:$AC$187,3,FALSE),"nincs főkönyvi számla")</f>
        <v>nincs főkönyvi számla</v>
      </c>
      <c r="R22" t="str">
        <f>IFERROR(VLOOKUP(K22,PAR!$V$3:$X$438,3,FALSE),"000000 - Nincs COFOG")</f>
        <v>000000 - Nincs COFOG</v>
      </c>
      <c r="S22">
        <f t="shared" si="12"/>
        <v>0</v>
      </c>
      <c r="T22">
        <f t="shared" si="13"/>
        <v>0</v>
      </c>
      <c r="U22" t="str">
        <f>IF(Tervezés!F25&gt;0,CONCATENATE(Tervezés!E25," - ",Tervezés!F25,", ",Tervezés!J25),"nincs megjegyzés")</f>
        <v>nincs megjegyzés</v>
      </c>
      <c r="V22" t="str">
        <f t="shared" si="0"/>
        <v>6000</v>
      </c>
      <c r="W22" t="str">
        <f t="shared" si="1"/>
        <v>6000</v>
      </c>
      <c r="X22" t="str">
        <f t="shared" si="2"/>
        <v>00</v>
      </c>
      <c r="Y22" t="str">
        <f t="shared" si="3"/>
        <v>600</v>
      </c>
      <c r="Z22" t="str">
        <f t="shared" si="14"/>
        <v>00</v>
      </c>
      <c r="AA22" t="str">
        <f t="shared" si="4"/>
        <v>600</v>
      </c>
      <c r="AB22" t="str">
        <f t="shared" si="5"/>
        <v>00</v>
      </c>
      <c r="AC22" t="str">
        <f t="shared" si="6"/>
        <v>6000</v>
      </c>
      <c r="AD22" t="str">
        <f t="shared" si="7"/>
        <v>000</v>
      </c>
      <c r="AE22" t="str">
        <f t="shared" si="8"/>
        <v>6000</v>
      </c>
      <c r="AF22" t="str">
        <f t="shared" si="9"/>
        <v>000</v>
      </c>
      <c r="AG22" t="str">
        <f t="shared" si="15"/>
        <v>60000</v>
      </c>
      <c r="AH22" t="str">
        <f t="shared" si="16"/>
        <v>0000</v>
      </c>
      <c r="AI22" t="str">
        <f t="shared" si="17"/>
        <v>60000</v>
      </c>
      <c r="AJ22" t="str">
        <f t="shared" si="18"/>
        <v>0000</v>
      </c>
    </row>
    <row r="23" spans="1:36" x14ac:dyDescent="0.25">
      <c r="A23" s="325">
        <f>Tervezés!B26</f>
        <v>0</v>
      </c>
      <c r="B23">
        <v>60</v>
      </c>
      <c r="C23">
        <f>Tervezés!E26</f>
        <v>0</v>
      </c>
      <c r="D23">
        <f>Tervezés!F26</f>
        <v>0</v>
      </c>
      <c r="E23">
        <f>Tervezés!H26</f>
        <v>0</v>
      </c>
      <c r="F23" t="str">
        <f t="shared" si="10"/>
        <v>0</v>
      </c>
      <c r="G23" t="str">
        <f t="shared" si="11"/>
        <v>0</v>
      </c>
      <c r="H23">
        <f>Tervezés!I26</f>
        <v>0</v>
      </c>
      <c r="I23">
        <f>Tervezés!J26</f>
        <v>0</v>
      </c>
      <c r="J23">
        <f>Tervezés!K26</f>
        <v>0</v>
      </c>
      <c r="K23">
        <f>Tervezés!L26</f>
        <v>0</v>
      </c>
      <c r="L23">
        <f>Tervezés!M26</f>
        <v>0</v>
      </c>
      <c r="M23" s="322" t="str">
        <f>IFERROR(VLOOKUP(A23,PAR!$D$3:$E$53,2,FALSE),"nincs szervezet")</f>
        <v>nincs szervezet</v>
      </c>
      <c r="N23" s="322" t="str">
        <f>VLOOKUP(F23,PAR!$R$3:$S$5,2,FALSE)</f>
        <v>3 - egyik sem</v>
      </c>
      <c r="O23" t="str">
        <f>IFERROR(VLOOKUP(J23,PAR!$O$3:$P$5,2,FALSE),"nincs feladat")</f>
        <v>nincs feladat</v>
      </c>
      <c r="P23" t="str">
        <f>IFERROR(VLOOKUP(G23,PAR!$J$2:$M$19,4),"nincs rovat")</f>
        <v>nincs rovat</v>
      </c>
      <c r="Q23" t="str">
        <f>IF(H23&gt;0,VLOOKUP(H23,PAR!$AA$3:$AC$187,3,FALSE),"nincs főkönyvi számla")</f>
        <v>nincs főkönyvi számla</v>
      </c>
      <c r="R23" t="str">
        <f>IFERROR(VLOOKUP(K23,PAR!$V$3:$X$438,3,FALSE),"000000 - Nincs COFOG")</f>
        <v>000000 - Nincs COFOG</v>
      </c>
      <c r="S23">
        <f t="shared" si="12"/>
        <v>0</v>
      </c>
      <c r="T23">
        <f t="shared" si="13"/>
        <v>0</v>
      </c>
      <c r="U23" t="str">
        <f>IF(Tervezés!F26&gt;0,CONCATENATE(Tervezés!E26," - ",Tervezés!F26,", ",Tervezés!J26),"nincs megjegyzés")</f>
        <v>nincs megjegyzés</v>
      </c>
      <c r="V23" t="str">
        <f t="shared" si="0"/>
        <v>6000</v>
      </c>
      <c r="W23" t="str">
        <f t="shared" si="1"/>
        <v>6000</v>
      </c>
      <c r="X23" t="str">
        <f t="shared" si="2"/>
        <v>00</v>
      </c>
      <c r="Y23" t="str">
        <f t="shared" si="3"/>
        <v>600</v>
      </c>
      <c r="Z23" t="str">
        <f t="shared" si="14"/>
        <v>00</v>
      </c>
      <c r="AA23" t="str">
        <f t="shared" si="4"/>
        <v>600</v>
      </c>
      <c r="AB23" t="str">
        <f t="shared" si="5"/>
        <v>00</v>
      </c>
      <c r="AC23" t="str">
        <f t="shared" si="6"/>
        <v>6000</v>
      </c>
      <c r="AD23" t="str">
        <f t="shared" si="7"/>
        <v>000</v>
      </c>
      <c r="AE23" t="str">
        <f t="shared" si="8"/>
        <v>6000</v>
      </c>
      <c r="AF23" t="str">
        <f t="shared" si="9"/>
        <v>000</v>
      </c>
      <c r="AG23" t="str">
        <f t="shared" si="15"/>
        <v>60000</v>
      </c>
      <c r="AH23" t="str">
        <f t="shared" si="16"/>
        <v>0000</v>
      </c>
      <c r="AI23" t="str">
        <f t="shared" si="17"/>
        <v>60000</v>
      </c>
      <c r="AJ23" t="str">
        <f t="shared" si="18"/>
        <v>0000</v>
      </c>
    </row>
    <row r="24" spans="1:36" x14ac:dyDescent="0.25">
      <c r="A24" s="325">
        <f>Tervezés!B27</f>
        <v>0</v>
      </c>
      <c r="B24">
        <v>60</v>
      </c>
      <c r="C24">
        <f>Tervezés!E27</f>
        <v>0</v>
      </c>
      <c r="D24">
        <f>Tervezés!F27</f>
        <v>0</v>
      </c>
      <c r="E24">
        <f>Tervezés!H27</f>
        <v>0</v>
      </c>
      <c r="F24" t="str">
        <f t="shared" si="10"/>
        <v>0</v>
      </c>
      <c r="G24" t="str">
        <f t="shared" si="11"/>
        <v>0</v>
      </c>
      <c r="H24">
        <f>Tervezés!I27</f>
        <v>0</v>
      </c>
      <c r="I24">
        <f>Tervezés!J27</f>
        <v>0</v>
      </c>
      <c r="J24">
        <f>Tervezés!K27</f>
        <v>0</v>
      </c>
      <c r="K24">
        <f>Tervezés!L27</f>
        <v>0</v>
      </c>
      <c r="L24">
        <f>Tervezés!M27</f>
        <v>0</v>
      </c>
      <c r="M24" s="322" t="str">
        <f>IFERROR(VLOOKUP(A24,PAR!$D$3:$E$53,2,FALSE),"nincs szervezet")</f>
        <v>nincs szervezet</v>
      </c>
      <c r="N24" s="322" t="str">
        <f>VLOOKUP(F24,PAR!$R$3:$S$5,2,FALSE)</f>
        <v>3 - egyik sem</v>
      </c>
      <c r="O24" t="str">
        <f>IFERROR(VLOOKUP(J24,PAR!$O$3:$P$5,2,FALSE),"nincs feladat")</f>
        <v>nincs feladat</v>
      </c>
      <c r="P24" t="str">
        <f>IFERROR(VLOOKUP(G24,PAR!$J$2:$M$19,4),"nincs rovat")</f>
        <v>nincs rovat</v>
      </c>
      <c r="Q24" t="str">
        <f>IF(H24&gt;0,VLOOKUP(H24,PAR!$AA$3:$AC$187,3,FALSE),"nincs főkönyvi számla")</f>
        <v>nincs főkönyvi számla</v>
      </c>
      <c r="R24" t="str">
        <f>IFERROR(VLOOKUP(K24,PAR!$V$3:$X$438,3,FALSE),"000000 - Nincs COFOG")</f>
        <v>000000 - Nincs COFOG</v>
      </c>
      <c r="S24">
        <f t="shared" si="12"/>
        <v>0</v>
      </c>
      <c r="T24">
        <f t="shared" si="13"/>
        <v>0</v>
      </c>
      <c r="U24" t="str">
        <f>IF(Tervezés!F27&gt;0,CONCATENATE(Tervezés!E27," - ",Tervezés!F27,", ",Tervezés!J27),"nincs megjegyzés")</f>
        <v>nincs megjegyzés</v>
      </c>
      <c r="V24" t="str">
        <f t="shared" si="0"/>
        <v>6000</v>
      </c>
      <c r="W24" t="str">
        <f t="shared" si="1"/>
        <v>6000</v>
      </c>
      <c r="X24" t="str">
        <f t="shared" si="2"/>
        <v>00</v>
      </c>
      <c r="Y24" t="str">
        <f t="shared" si="3"/>
        <v>600</v>
      </c>
      <c r="Z24" t="str">
        <f t="shared" si="14"/>
        <v>00</v>
      </c>
      <c r="AA24" t="str">
        <f t="shared" si="4"/>
        <v>600</v>
      </c>
      <c r="AB24" t="str">
        <f t="shared" si="5"/>
        <v>00</v>
      </c>
      <c r="AC24" t="str">
        <f t="shared" si="6"/>
        <v>6000</v>
      </c>
      <c r="AD24" t="str">
        <f t="shared" si="7"/>
        <v>000</v>
      </c>
      <c r="AE24" t="str">
        <f t="shared" si="8"/>
        <v>6000</v>
      </c>
      <c r="AF24" t="str">
        <f t="shared" si="9"/>
        <v>000</v>
      </c>
      <c r="AG24" t="str">
        <f t="shared" si="15"/>
        <v>60000</v>
      </c>
      <c r="AH24" t="str">
        <f t="shared" si="16"/>
        <v>0000</v>
      </c>
      <c r="AI24" t="str">
        <f t="shared" si="17"/>
        <v>60000</v>
      </c>
      <c r="AJ24" t="str">
        <f t="shared" si="18"/>
        <v>0000</v>
      </c>
    </row>
    <row r="25" spans="1:36" x14ac:dyDescent="0.25">
      <c r="A25" s="325">
        <f>Tervezés!B28</f>
        <v>0</v>
      </c>
      <c r="B25">
        <v>60</v>
      </c>
      <c r="C25">
        <f>Tervezés!E28</f>
        <v>0</v>
      </c>
      <c r="D25">
        <f>Tervezés!F28</f>
        <v>0</v>
      </c>
      <c r="E25">
        <f>Tervezés!H28</f>
        <v>0</v>
      </c>
      <c r="F25" t="str">
        <f t="shared" si="10"/>
        <v>0</v>
      </c>
      <c r="G25" t="str">
        <f t="shared" si="11"/>
        <v>0</v>
      </c>
      <c r="H25">
        <f>Tervezés!I28</f>
        <v>0</v>
      </c>
      <c r="I25">
        <f>Tervezés!J28</f>
        <v>0</v>
      </c>
      <c r="J25">
        <f>Tervezés!K28</f>
        <v>0</v>
      </c>
      <c r="K25">
        <f>Tervezés!L28</f>
        <v>0</v>
      </c>
      <c r="L25">
        <f>Tervezés!M28</f>
        <v>0</v>
      </c>
      <c r="M25" s="322" t="str">
        <f>IFERROR(VLOOKUP(A25,PAR!$D$3:$E$53,2,FALSE),"nincs szervezet")</f>
        <v>nincs szervezet</v>
      </c>
      <c r="N25" s="322" t="str">
        <f>VLOOKUP(F25,PAR!$R$3:$S$5,2,FALSE)</f>
        <v>3 - egyik sem</v>
      </c>
      <c r="O25" t="str">
        <f>IFERROR(VLOOKUP(J25,PAR!$O$3:$P$5,2,FALSE),"nincs feladat")</f>
        <v>nincs feladat</v>
      </c>
      <c r="P25" t="str">
        <f>IFERROR(VLOOKUP(G25,PAR!$J$2:$M$19,4),"nincs rovat")</f>
        <v>nincs rovat</v>
      </c>
      <c r="Q25" t="str">
        <f>IF(H25&gt;0,VLOOKUP(H25,PAR!$AA$3:$AC$187,3,FALSE),"nincs főkönyvi számla")</f>
        <v>nincs főkönyvi számla</v>
      </c>
      <c r="R25" t="str">
        <f>IFERROR(VLOOKUP(K25,PAR!$V$3:$X$438,3,FALSE),"000000 - Nincs COFOG")</f>
        <v>000000 - Nincs COFOG</v>
      </c>
      <c r="S25">
        <f t="shared" si="12"/>
        <v>0</v>
      </c>
      <c r="T25">
        <f t="shared" si="13"/>
        <v>0</v>
      </c>
      <c r="U25" t="str">
        <f>IF(Tervezés!F28&gt;0,CONCATENATE(Tervezés!E28," - ",Tervezés!F28,", ",Tervezés!J28),"nincs megjegyzés")</f>
        <v>nincs megjegyzés</v>
      </c>
      <c r="V25" t="str">
        <f t="shared" si="0"/>
        <v>6000</v>
      </c>
      <c r="W25" t="str">
        <f t="shared" si="1"/>
        <v>6000</v>
      </c>
      <c r="X25" t="str">
        <f t="shared" si="2"/>
        <v>00</v>
      </c>
      <c r="Y25" t="str">
        <f t="shared" si="3"/>
        <v>600</v>
      </c>
      <c r="Z25" t="str">
        <f t="shared" si="14"/>
        <v>00</v>
      </c>
      <c r="AA25" t="str">
        <f t="shared" si="4"/>
        <v>600</v>
      </c>
      <c r="AB25" t="str">
        <f t="shared" si="5"/>
        <v>00</v>
      </c>
      <c r="AC25" t="str">
        <f t="shared" si="6"/>
        <v>6000</v>
      </c>
      <c r="AD25" t="str">
        <f t="shared" si="7"/>
        <v>000</v>
      </c>
      <c r="AE25" t="str">
        <f t="shared" si="8"/>
        <v>6000</v>
      </c>
      <c r="AF25" t="str">
        <f t="shared" si="9"/>
        <v>000</v>
      </c>
      <c r="AG25" t="str">
        <f t="shared" si="15"/>
        <v>60000</v>
      </c>
      <c r="AH25" t="str">
        <f t="shared" si="16"/>
        <v>0000</v>
      </c>
      <c r="AI25" t="str">
        <f t="shared" si="17"/>
        <v>60000</v>
      </c>
      <c r="AJ25" t="str">
        <f t="shared" si="18"/>
        <v>0000</v>
      </c>
    </row>
    <row r="26" spans="1:36" x14ac:dyDescent="0.25">
      <c r="A26" s="325">
        <f>Tervezés!B29</f>
        <v>0</v>
      </c>
      <c r="B26">
        <v>60</v>
      </c>
      <c r="C26">
        <f>Tervezés!E29</f>
        <v>0</v>
      </c>
      <c r="D26">
        <f>Tervezés!F29</f>
        <v>0</v>
      </c>
      <c r="E26">
        <f>Tervezés!H29</f>
        <v>0</v>
      </c>
      <c r="F26" t="str">
        <f t="shared" si="10"/>
        <v>0</v>
      </c>
      <c r="G26" t="str">
        <f t="shared" si="11"/>
        <v>0</v>
      </c>
      <c r="H26">
        <f>Tervezés!I29</f>
        <v>0</v>
      </c>
      <c r="I26">
        <f>Tervezés!J29</f>
        <v>0</v>
      </c>
      <c r="J26">
        <f>Tervezés!K29</f>
        <v>0</v>
      </c>
      <c r="K26">
        <f>Tervezés!L29</f>
        <v>0</v>
      </c>
      <c r="L26">
        <f>Tervezés!M29</f>
        <v>0</v>
      </c>
      <c r="M26" s="322" t="str">
        <f>IFERROR(VLOOKUP(A26,PAR!$D$3:$E$53,2,FALSE),"nincs szervezet")</f>
        <v>nincs szervezet</v>
      </c>
      <c r="N26" s="322" t="str">
        <f>VLOOKUP(F26,PAR!$R$3:$S$5,2,FALSE)</f>
        <v>3 - egyik sem</v>
      </c>
      <c r="O26" t="str">
        <f>IFERROR(VLOOKUP(J26,PAR!$O$3:$P$5,2,FALSE),"nincs feladat")</f>
        <v>nincs feladat</v>
      </c>
      <c r="P26" t="str">
        <f>IFERROR(VLOOKUP(G26,PAR!$J$2:$M$19,4),"nincs rovat")</f>
        <v>nincs rovat</v>
      </c>
      <c r="Q26" t="str">
        <f>IF(H26&gt;0,VLOOKUP(H26,PAR!$AA$3:$AC$187,3,FALSE),"nincs főkönyvi számla")</f>
        <v>nincs főkönyvi számla</v>
      </c>
      <c r="R26" t="str">
        <f>IFERROR(VLOOKUP(K26,PAR!$V$3:$X$438,3,FALSE),"000000 - Nincs COFOG")</f>
        <v>000000 - Nincs COFOG</v>
      </c>
      <c r="S26">
        <f t="shared" si="12"/>
        <v>0</v>
      </c>
      <c r="T26">
        <f t="shared" si="13"/>
        <v>0</v>
      </c>
      <c r="U26" t="str">
        <f>IF(Tervezés!F29&gt;0,CONCATENATE(Tervezés!E29," - ",Tervezés!F29,", ",Tervezés!J29),"nincs megjegyzés")</f>
        <v>nincs megjegyzés</v>
      </c>
      <c r="V26" t="str">
        <f t="shared" si="0"/>
        <v>6000</v>
      </c>
      <c r="W26" t="str">
        <f t="shared" si="1"/>
        <v>6000</v>
      </c>
      <c r="X26" t="str">
        <f t="shared" si="2"/>
        <v>00</v>
      </c>
      <c r="Y26" t="str">
        <f t="shared" si="3"/>
        <v>600</v>
      </c>
      <c r="Z26" t="str">
        <f t="shared" si="14"/>
        <v>00</v>
      </c>
      <c r="AA26" t="str">
        <f t="shared" si="4"/>
        <v>600</v>
      </c>
      <c r="AB26" t="str">
        <f t="shared" si="5"/>
        <v>00</v>
      </c>
      <c r="AC26" t="str">
        <f t="shared" si="6"/>
        <v>6000</v>
      </c>
      <c r="AD26" t="str">
        <f t="shared" si="7"/>
        <v>000</v>
      </c>
      <c r="AE26" t="str">
        <f t="shared" si="8"/>
        <v>6000</v>
      </c>
      <c r="AF26" t="str">
        <f t="shared" si="9"/>
        <v>000</v>
      </c>
      <c r="AG26" t="str">
        <f t="shared" si="15"/>
        <v>60000</v>
      </c>
      <c r="AH26" t="str">
        <f t="shared" si="16"/>
        <v>0000</v>
      </c>
      <c r="AI26" t="str">
        <f t="shared" si="17"/>
        <v>60000</v>
      </c>
      <c r="AJ26" t="str">
        <f t="shared" si="18"/>
        <v>0000</v>
      </c>
    </row>
    <row r="27" spans="1:36" x14ac:dyDescent="0.25">
      <c r="A27" s="325">
        <f>Tervezés!B30</f>
        <v>0</v>
      </c>
      <c r="B27">
        <v>60</v>
      </c>
      <c r="C27">
        <f>Tervezés!E30</f>
        <v>0</v>
      </c>
      <c r="D27">
        <f>Tervezés!F30</f>
        <v>0</v>
      </c>
      <c r="E27">
        <f>Tervezés!H30</f>
        <v>0</v>
      </c>
      <c r="F27" t="str">
        <f t="shared" si="10"/>
        <v>0</v>
      </c>
      <c r="G27" t="str">
        <f t="shared" si="11"/>
        <v>0</v>
      </c>
      <c r="H27">
        <f>Tervezés!I30</f>
        <v>0</v>
      </c>
      <c r="I27">
        <f>Tervezés!J30</f>
        <v>0</v>
      </c>
      <c r="J27">
        <f>Tervezés!K30</f>
        <v>0</v>
      </c>
      <c r="K27">
        <f>Tervezés!L30</f>
        <v>0</v>
      </c>
      <c r="L27">
        <f>Tervezés!M30</f>
        <v>0</v>
      </c>
      <c r="M27" s="322" t="str">
        <f>IFERROR(VLOOKUP(A27,PAR!$D$3:$E$53,2,FALSE),"nincs szervezet")</f>
        <v>nincs szervezet</v>
      </c>
      <c r="N27" s="322" t="str">
        <f>VLOOKUP(F27,PAR!$R$3:$S$5,2,FALSE)</f>
        <v>3 - egyik sem</v>
      </c>
      <c r="O27" t="str">
        <f>IFERROR(VLOOKUP(J27,PAR!$O$3:$P$5,2,FALSE),"nincs feladat")</f>
        <v>nincs feladat</v>
      </c>
      <c r="P27" t="str">
        <f>IFERROR(VLOOKUP(G27,PAR!$J$2:$M$19,4),"nincs rovat")</f>
        <v>nincs rovat</v>
      </c>
      <c r="Q27" t="str">
        <f>IF(H27&gt;0,VLOOKUP(H27,PAR!$AA$3:$AC$187,3,FALSE),"nincs főkönyvi számla")</f>
        <v>nincs főkönyvi számla</v>
      </c>
      <c r="R27" t="str">
        <f>IFERROR(VLOOKUP(K27,PAR!$V$3:$X$438,3,FALSE),"000000 - Nincs COFOG")</f>
        <v>000000 - Nincs COFOG</v>
      </c>
      <c r="S27">
        <f t="shared" si="12"/>
        <v>0</v>
      </c>
      <c r="T27">
        <f t="shared" si="13"/>
        <v>0</v>
      </c>
      <c r="U27" t="str">
        <f>IF(Tervezés!F30&gt;0,CONCATENATE(Tervezés!E30," - ",Tervezés!F30,", ",Tervezés!J30),"nincs megjegyzés")</f>
        <v>nincs megjegyzés</v>
      </c>
      <c r="V27" t="str">
        <f t="shared" si="0"/>
        <v>6000</v>
      </c>
      <c r="W27" t="str">
        <f t="shared" si="1"/>
        <v>6000</v>
      </c>
      <c r="X27" t="str">
        <f t="shared" si="2"/>
        <v>00</v>
      </c>
      <c r="Y27" t="str">
        <f t="shared" si="3"/>
        <v>600</v>
      </c>
      <c r="Z27" t="str">
        <f t="shared" si="14"/>
        <v>00</v>
      </c>
      <c r="AA27" t="str">
        <f t="shared" si="4"/>
        <v>600</v>
      </c>
      <c r="AB27" t="str">
        <f t="shared" si="5"/>
        <v>00</v>
      </c>
      <c r="AC27" t="str">
        <f t="shared" si="6"/>
        <v>6000</v>
      </c>
      <c r="AD27" t="str">
        <f t="shared" si="7"/>
        <v>000</v>
      </c>
      <c r="AE27" t="str">
        <f t="shared" si="8"/>
        <v>6000</v>
      </c>
      <c r="AF27" t="str">
        <f t="shared" si="9"/>
        <v>000</v>
      </c>
      <c r="AG27" t="str">
        <f t="shared" si="15"/>
        <v>60000</v>
      </c>
      <c r="AH27" t="str">
        <f t="shared" si="16"/>
        <v>0000</v>
      </c>
      <c r="AI27" t="str">
        <f t="shared" si="17"/>
        <v>60000</v>
      </c>
      <c r="AJ27" t="str">
        <f t="shared" si="18"/>
        <v>0000</v>
      </c>
    </row>
    <row r="28" spans="1:36" x14ac:dyDescent="0.25">
      <c r="A28" s="325">
        <f>Tervezés!B31</f>
        <v>0</v>
      </c>
      <c r="B28">
        <v>60</v>
      </c>
      <c r="C28">
        <f>Tervezés!E31</f>
        <v>0</v>
      </c>
      <c r="D28">
        <f>Tervezés!F31</f>
        <v>0</v>
      </c>
      <c r="E28">
        <f>Tervezés!H31</f>
        <v>0</v>
      </c>
      <c r="F28" t="str">
        <f t="shared" si="10"/>
        <v>0</v>
      </c>
      <c r="G28" t="str">
        <f t="shared" si="11"/>
        <v>0</v>
      </c>
      <c r="H28">
        <f>Tervezés!I31</f>
        <v>0</v>
      </c>
      <c r="I28">
        <f>Tervezés!J31</f>
        <v>0</v>
      </c>
      <c r="J28">
        <f>Tervezés!K31</f>
        <v>0</v>
      </c>
      <c r="K28">
        <f>Tervezés!L31</f>
        <v>0</v>
      </c>
      <c r="L28">
        <f>Tervezés!M31</f>
        <v>0</v>
      </c>
      <c r="M28" s="322" t="str">
        <f>IFERROR(VLOOKUP(A28,PAR!$D$3:$E$53,2,FALSE),"nincs szervezet")</f>
        <v>nincs szervezet</v>
      </c>
      <c r="N28" s="322" t="str">
        <f>VLOOKUP(F28,PAR!$R$3:$S$5,2,FALSE)</f>
        <v>3 - egyik sem</v>
      </c>
      <c r="O28" t="str">
        <f>IFERROR(VLOOKUP(J28,PAR!$O$3:$P$5,2,FALSE),"nincs feladat")</f>
        <v>nincs feladat</v>
      </c>
      <c r="P28" t="str">
        <f>IFERROR(VLOOKUP(G28,PAR!$J$2:$M$19,4),"nincs rovat")</f>
        <v>nincs rovat</v>
      </c>
      <c r="Q28" t="str">
        <f>IF(H28&gt;0,VLOOKUP(H28,PAR!$AA$3:$AC$187,3,FALSE),"nincs főkönyvi számla")</f>
        <v>nincs főkönyvi számla</v>
      </c>
      <c r="R28" t="str">
        <f>IFERROR(VLOOKUP(K28,PAR!$V$3:$X$438,3,FALSE),"000000 - Nincs COFOG")</f>
        <v>000000 - Nincs COFOG</v>
      </c>
      <c r="S28">
        <f t="shared" si="12"/>
        <v>0</v>
      </c>
      <c r="T28">
        <f t="shared" si="13"/>
        <v>0</v>
      </c>
      <c r="U28" t="str">
        <f>IF(Tervezés!F31&gt;0,CONCATENATE(Tervezés!E31," - ",Tervezés!F31,", ",Tervezés!J31),"nincs megjegyzés")</f>
        <v>nincs megjegyzés</v>
      </c>
      <c r="V28" t="str">
        <f t="shared" si="0"/>
        <v>6000</v>
      </c>
      <c r="W28" t="str">
        <f t="shared" si="1"/>
        <v>6000</v>
      </c>
      <c r="X28" t="str">
        <f t="shared" si="2"/>
        <v>00</v>
      </c>
      <c r="Y28" t="str">
        <f t="shared" si="3"/>
        <v>600</v>
      </c>
      <c r="Z28" t="str">
        <f t="shared" si="14"/>
        <v>00</v>
      </c>
      <c r="AA28" t="str">
        <f t="shared" si="4"/>
        <v>600</v>
      </c>
      <c r="AB28" t="str">
        <f t="shared" si="5"/>
        <v>00</v>
      </c>
      <c r="AC28" t="str">
        <f t="shared" si="6"/>
        <v>6000</v>
      </c>
      <c r="AD28" t="str">
        <f t="shared" si="7"/>
        <v>000</v>
      </c>
      <c r="AE28" t="str">
        <f t="shared" si="8"/>
        <v>6000</v>
      </c>
      <c r="AF28" t="str">
        <f t="shared" si="9"/>
        <v>000</v>
      </c>
      <c r="AG28" t="str">
        <f t="shared" si="15"/>
        <v>60000</v>
      </c>
      <c r="AH28" t="str">
        <f t="shared" si="16"/>
        <v>0000</v>
      </c>
      <c r="AI28" t="str">
        <f t="shared" si="17"/>
        <v>60000</v>
      </c>
      <c r="AJ28" t="str">
        <f t="shared" si="18"/>
        <v>0000</v>
      </c>
    </row>
    <row r="29" spans="1:36" x14ac:dyDescent="0.25">
      <c r="A29" s="325">
        <f>Tervezés!B32</f>
        <v>0</v>
      </c>
      <c r="B29">
        <v>60</v>
      </c>
      <c r="C29">
        <f>Tervezés!E32</f>
        <v>0</v>
      </c>
      <c r="D29">
        <f>Tervezés!F32</f>
        <v>0</v>
      </c>
      <c r="E29">
        <f>Tervezés!H32</f>
        <v>0</v>
      </c>
      <c r="F29" t="str">
        <f t="shared" si="10"/>
        <v>0</v>
      </c>
      <c r="G29" t="str">
        <f t="shared" si="11"/>
        <v>0</v>
      </c>
      <c r="H29">
        <f>Tervezés!I32</f>
        <v>0</v>
      </c>
      <c r="I29">
        <f>Tervezés!J32</f>
        <v>0</v>
      </c>
      <c r="J29">
        <f>Tervezés!K32</f>
        <v>0</v>
      </c>
      <c r="K29">
        <f>Tervezés!L32</f>
        <v>0</v>
      </c>
      <c r="L29">
        <f>Tervezés!M32</f>
        <v>0</v>
      </c>
      <c r="M29" s="322" t="str">
        <f>IFERROR(VLOOKUP(A29,PAR!$D$3:$E$53,2,FALSE),"nincs szervezet")</f>
        <v>nincs szervezet</v>
      </c>
      <c r="N29" s="322" t="str">
        <f>VLOOKUP(F29,PAR!$R$3:$S$5,2,FALSE)</f>
        <v>3 - egyik sem</v>
      </c>
      <c r="O29" t="str">
        <f>IFERROR(VLOOKUP(J29,PAR!$O$3:$P$5,2,FALSE),"nincs feladat")</f>
        <v>nincs feladat</v>
      </c>
      <c r="P29" t="str">
        <f>IFERROR(VLOOKUP(G29,PAR!$J$2:$M$19,4),"nincs rovat")</f>
        <v>nincs rovat</v>
      </c>
      <c r="Q29" t="str">
        <f>IF(H29&gt;0,VLOOKUP(H29,PAR!$AA$3:$AC$187,3,FALSE),"nincs főkönyvi számla")</f>
        <v>nincs főkönyvi számla</v>
      </c>
      <c r="R29" t="str">
        <f>IFERROR(VLOOKUP(K29,PAR!$V$3:$X$438,3,FALSE),"000000 - Nincs COFOG")</f>
        <v>000000 - Nincs COFOG</v>
      </c>
      <c r="S29">
        <f t="shared" si="12"/>
        <v>0</v>
      </c>
      <c r="T29">
        <f t="shared" si="13"/>
        <v>0</v>
      </c>
      <c r="U29" t="str">
        <f>IF(Tervezés!F32&gt;0,CONCATENATE(Tervezés!E32," - ",Tervezés!F32,", ",Tervezés!J32),"nincs megjegyzés")</f>
        <v>nincs megjegyzés</v>
      </c>
      <c r="V29" t="str">
        <f t="shared" si="0"/>
        <v>6000</v>
      </c>
      <c r="W29" t="str">
        <f t="shared" si="1"/>
        <v>6000</v>
      </c>
      <c r="X29" t="str">
        <f t="shared" si="2"/>
        <v>00</v>
      </c>
      <c r="Y29" t="str">
        <f t="shared" si="3"/>
        <v>600</v>
      </c>
      <c r="Z29" t="str">
        <f t="shared" si="14"/>
        <v>00</v>
      </c>
      <c r="AA29" t="str">
        <f t="shared" si="4"/>
        <v>600</v>
      </c>
      <c r="AB29" t="str">
        <f t="shared" si="5"/>
        <v>00</v>
      </c>
      <c r="AC29" t="str">
        <f t="shared" si="6"/>
        <v>6000</v>
      </c>
      <c r="AD29" t="str">
        <f t="shared" si="7"/>
        <v>000</v>
      </c>
      <c r="AE29" t="str">
        <f t="shared" si="8"/>
        <v>6000</v>
      </c>
      <c r="AF29" t="str">
        <f t="shared" si="9"/>
        <v>000</v>
      </c>
      <c r="AG29" t="str">
        <f t="shared" si="15"/>
        <v>60000</v>
      </c>
      <c r="AH29" t="str">
        <f t="shared" si="16"/>
        <v>0000</v>
      </c>
      <c r="AI29" t="str">
        <f t="shared" si="17"/>
        <v>60000</v>
      </c>
      <c r="AJ29" t="str">
        <f t="shared" si="18"/>
        <v>0000</v>
      </c>
    </row>
    <row r="30" spans="1:36" x14ac:dyDescent="0.25">
      <c r="A30" s="325">
        <f>Tervezés!B33</f>
        <v>0</v>
      </c>
      <c r="B30">
        <v>60</v>
      </c>
      <c r="C30">
        <f>Tervezés!E33</f>
        <v>0</v>
      </c>
      <c r="D30">
        <f>Tervezés!F33</f>
        <v>0</v>
      </c>
      <c r="E30">
        <f>Tervezés!H33</f>
        <v>0</v>
      </c>
      <c r="F30" t="str">
        <f t="shared" si="10"/>
        <v>0</v>
      </c>
      <c r="G30" t="str">
        <f t="shared" si="11"/>
        <v>0</v>
      </c>
      <c r="H30">
        <f>Tervezés!I33</f>
        <v>0</v>
      </c>
      <c r="I30">
        <f>Tervezés!J33</f>
        <v>0</v>
      </c>
      <c r="J30">
        <f>Tervezés!K33</f>
        <v>0</v>
      </c>
      <c r="K30">
        <f>Tervezés!L33</f>
        <v>0</v>
      </c>
      <c r="L30">
        <f>Tervezés!M33</f>
        <v>0</v>
      </c>
      <c r="M30" s="322" t="str">
        <f>IFERROR(VLOOKUP(A30,PAR!$D$3:$E$53,2,FALSE),"nincs szervezet")</f>
        <v>nincs szervezet</v>
      </c>
      <c r="N30" s="322" t="str">
        <f>VLOOKUP(F30,PAR!$R$3:$S$5,2,FALSE)</f>
        <v>3 - egyik sem</v>
      </c>
      <c r="O30" t="str">
        <f>IFERROR(VLOOKUP(J30,PAR!$O$3:$P$5,2,FALSE),"nincs feladat")</f>
        <v>nincs feladat</v>
      </c>
      <c r="P30" t="str">
        <f>IFERROR(VLOOKUP(G30,PAR!$J$2:$M$19,4),"nincs rovat")</f>
        <v>nincs rovat</v>
      </c>
      <c r="Q30" t="str">
        <f>IF(H30&gt;0,VLOOKUP(H30,PAR!$AA$3:$AC$187,3,FALSE),"nincs főkönyvi számla")</f>
        <v>nincs főkönyvi számla</v>
      </c>
      <c r="R30" t="str">
        <f>IFERROR(VLOOKUP(K30,PAR!$V$3:$X$438,3,FALSE),"000000 - Nincs COFOG")</f>
        <v>000000 - Nincs COFOG</v>
      </c>
      <c r="S30">
        <f t="shared" si="12"/>
        <v>0</v>
      </c>
      <c r="T30">
        <f t="shared" si="13"/>
        <v>0</v>
      </c>
      <c r="U30" t="str">
        <f>IF(Tervezés!F33&gt;0,CONCATENATE(Tervezés!E33," - ",Tervezés!F33,", ",Tervezés!J33),"nincs megjegyzés")</f>
        <v>nincs megjegyzés</v>
      </c>
      <c r="V30" t="str">
        <f t="shared" si="0"/>
        <v>6000</v>
      </c>
      <c r="W30" t="str">
        <f t="shared" si="1"/>
        <v>6000</v>
      </c>
      <c r="X30" t="str">
        <f t="shared" si="2"/>
        <v>00</v>
      </c>
      <c r="Y30" t="str">
        <f t="shared" si="3"/>
        <v>600</v>
      </c>
      <c r="Z30" t="str">
        <f t="shared" si="14"/>
        <v>00</v>
      </c>
      <c r="AA30" t="str">
        <f t="shared" si="4"/>
        <v>600</v>
      </c>
      <c r="AB30" t="str">
        <f t="shared" si="5"/>
        <v>00</v>
      </c>
      <c r="AC30" t="str">
        <f t="shared" si="6"/>
        <v>6000</v>
      </c>
      <c r="AD30" t="str">
        <f t="shared" si="7"/>
        <v>000</v>
      </c>
      <c r="AE30" t="str">
        <f t="shared" si="8"/>
        <v>6000</v>
      </c>
      <c r="AF30" t="str">
        <f t="shared" si="9"/>
        <v>000</v>
      </c>
      <c r="AG30" t="str">
        <f t="shared" si="15"/>
        <v>60000</v>
      </c>
      <c r="AH30" t="str">
        <f t="shared" si="16"/>
        <v>0000</v>
      </c>
      <c r="AI30" t="str">
        <f t="shared" si="17"/>
        <v>60000</v>
      </c>
      <c r="AJ30" t="str">
        <f t="shared" si="18"/>
        <v>0000</v>
      </c>
    </row>
    <row r="31" spans="1:36" x14ac:dyDescent="0.25">
      <c r="A31" s="325">
        <f>Tervezés!B34</f>
        <v>0</v>
      </c>
      <c r="B31">
        <v>60</v>
      </c>
      <c r="C31">
        <f>Tervezés!E34</f>
        <v>0</v>
      </c>
      <c r="D31">
        <f>Tervezés!F34</f>
        <v>0</v>
      </c>
      <c r="E31">
        <f>Tervezés!H34</f>
        <v>0</v>
      </c>
      <c r="F31" t="str">
        <f t="shared" si="10"/>
        <v>0</v>
      </c>
      <c r="G31" t="str">
        <f t="shared" si="11"/>
        <v>0</v>
      </c>
      <c r="H31">
        <f>Tervezés!I34</f>
        <v>0</v>
      </c>
      <c r="I31">
        <f>Tervezés!J34</f>
        <v>0</v>
      </c>
      <c r="J31">
        <f>Tervezés!K34</f>
        <v>0</v>
      </c>
      <c r="K31">
        <f>Tervezés!L34</f>
        <v>0</v>
      </c>
      <c r="L31">
        <f>Tervezés!M34</f>
        <v>0</v>
      </c>
      <c r="M31" s="322" t="str">
        <f>IFERROR(VLOOKUP(A31,PAR!$D$3:$E$53,2,FALSE),"nincs szervezet")</f>
        <v>nincs szervezet</v>
      </c>
      <c r="N31" s="322" t="str">
        <f>VLOOKUP(F31,PAR!$R$3:$S$5,2,FALSE)</f>
        <v>3 - egyik sem</v>
      </c>
      <c r="O31" t="str">
        <f>IFERROR(VLOOKUP(J31,PAR!$O$3:$P$5,2,FALSE),"nincs feladat")</f>
        <v>nincs feladat</v>
      </c>
      <c r="P31" t="str">
        <f>IFERROR(VLOOKUP(G31,PAR!$J$2:$M$19,4),"nincs rovat")</f>
        <v>nincs rovat</v>
      </c>
      <c r="Q31" t="str">
        <f>IF(H31&gt;0,VLOOKUP(H31,PAR!$AA$3:$AC$187,3,FALSE),"nincs főkönyvi számla")</f>
        <v>nincs főkönyvi számla</v>
      </c>
      <c r="R31" t="str">
        <f>IFERROR(VLOOKUP(K31,PAR!$V$3:$X$438,3,FALSE),"000000 - Nincs COFOG")</f>
        <v>000000 - Nincs COFOG</v>
      </c>
      <c r="S31">
        <f t="shared" si="12"/>
        <v>0</v>
      </c>
      <c r="T31">
        <f t="shared" si="13"/>
        <v>0</v>
      </c>
      <c r="U31" t="str">
        <f>IF(Tervezés!F34&gt;0,CONCATENATE(Tervezés!E34," - ",Tervezés!F34,", ",Tervezés!J34),"nincs megjegyzés")</f>
        <v>nincs megjegyzés</v>
      </c>
      <c r="V31" t="str">
        <f t="shared" si="0"/>
        <v>6000</v>
      </c>
      <c r="W31" t="str">
        <f t="shared" si="1"/>
        <v>6000</v>
      </c>
      <c r="X31" t="str">
        <f t="shared" si="2"/>
        <v>00</v>
      </c>
      <c r="Y31" t="str">
        <f t="shared" si="3"/>
        <v>600</v>
      </c>
      <c r="Z31" t="str">
        <f t="shared" si="14"/>
        <v>00</v>
      </c>
      <c r="AA31" t="str">
        <f t="shared" si="4"/>
        <v>600</v>
      </c>
      <c r="AB31" t="str">
        <f t="shared" si="5"/>
        <v>00</v>
      </c>
      <c r="AC31" t="str">
        <f t="shared" si="6"/>
        <v>6000</v>
      </c>
      <c r="AD31" t="str">
        <f t="shared" si="7"/>
        <v>000</v>
      </c>
      <c r="AE31" t="str">
        <f t="shared" si="8"/>
        <v>6000</v>
      </c>
      <c r="AF31" t="str">
        <f t="shared" si="9"/>
        <v>000</v>
      </c>
      <c r="AG31" t="str">
        <f t="shared" si="15"/>
        <v>60000</v>
      </c>
      <c r="AH31" t="str">
        <f t="shared" si="16"/>
        <v>0000</v>
      </c>
      <c r="AI31" t="str">
        <f t="shared" si="17"/>
        <v>60000</v>
      </c>
      <c r="AJ31" t="str">
        <f t="shared" si="18"/>
        <v>0000</v>
      </c>
    </row>
    <row r="32" spans="1:36" x14ac:dyDescent="0.25">
      <c r="A32" s="325">
        <f>Tervezés!B35</f>
        <v>0</v>
      </c>
      <c r="B32">
        <v>60</v>
      </c>
      <c r="C32">
        <f>Tervezés!E35</f>
        <v>0</v>
      </c>
      <c r="D32">
        <f>Tervezés!F35</f>
        <v>0</v>
      </c>
      <c r="E32">
        <f>Tervezés!H35</f>
        <v>0</v>
      </c>
      <c r="F32" t="str">
        <f t="shared" si="10"/>
        <v>0</v>
      </c>
      <c r="G32" t="str">
        <f t="shared" si="11"/>
        <v>0</v>
      </c>
      <c r="H32">
        <f>Tervezés!I35</f>
        <v>0</v>
      </c>
      <c r="I32">
        <f>Tervezés!J35</f>
        <v>0</v>
      </c>
      <c r="J32">
        <f>Tervezés!K35</f>
        <v>0</v>
      </c>
      <c r="K32">
        <f>Tervezés!L35</f>
        <v>0</v>
      </c>
      <c r="L32">
        <f>Tervezés!M35</f>
        <v>0</v>
      </c>
      <c r="M32" s="322" t="str">
        <f>IFERROR(VLOOKUP(A32,PAR!$D$3:$E$53,2,FALSE),"nincs szervezet")</f>
        <v>nincs szervezet</v>
      </c>
      <c r="N32" s="322" t="str">
        <f>VLOOKUP(F32,PAR!$R$3:$S$5,2,FALSE)</f>
        <v>3 - egyik sem</v>
      </c>
      <c r="O32" t="str">
        <f>IFERROR(VLOOKUP(J32,PAR!$O$3:$P$5,2,FALSE),"nincs feladat")</f>
        <v>nincs feladat</v>
      </c>
      <c r="P32" t="str">
        <f>IFERROR(VLOOKUP(G32,PAR!$J$2:$M$19,4),"nincs rovat")</f>
        <v>nincs rovat</v>
      </c>
      <c r="Q32" t="str">
        <f>IF(H32&gt;0,VLOOKUP(H32,PAR!$AA$3:$AC$187,3,FALSE),"nincs főkönyvi számla")</f>
        <v>nincs főkönyvi számla</v>
      </c>
      <c r="R32" t="str">
        <f>IFERROR(VLOOKUP(K32,PAR!$V$3:$X$438,3,FALSE),"000000 - Nincs COFOG")</f>
        <v>000000 - Nincs COFOG</v>
      </c>
      <c r="S32">
        <f t="shared" si="12"/>
        <v>0</v>
      </c>
      <c r="T32">
        <f t="shared" si="13"/>
        <v>0</v>
      </c>
      <c r="U32" t="str">
        <f>IF(Tervezés!F35&gt;0,CONCATENATE(Tervezés!E35," - ",Tervezés!F35,", ",Tervezés!J35),"nincs megjegyzés")</f>
        <v>nincs megjegyzés</v>
      </c>
      <c r="V32" t="str">
        <f t="shared" si="0"/>
        <v>6000</v>
      </c>
      <c r="W32" t="str">
        <f t="shared" si="1"/>
        <v>6000</v>
      </c>
      <c r="X32" t="str">
        <f t="shared" si="2"/>
        <v>00</v>
      </c>
      <c r="Y32" t="str">
        <f t="shared" si="3"/>
        <v>600</v>
      </c>
      <c r="Z32" t="str">
        <f t="shared" si="14"/>
        <v>00</v>
      </c>
      <c r="AA32" t="str">
        <f t="shared" si="4"/>
        <v>600</v>
      </c>
      <c r="AB32" t="str">
        <f t="shared" si="5"/>
        <v>00</v>
      </c>
      <c r="AC32" t="str">
        <f t="shared" si="6"/>
        <v>6000</v>
      </c>
      <c r="AD32" t="str">
        <f t="shared" si="7"/>
        <v>000</v>
      </c>
      <c r="AE32" t="str">
        <f t="shared" si="8"/>
        <v>6000</v>
      </c>
      <c r="AF32" t="str">
        <f t="shared" si="9"/>
        <v>000</v>
      </c>
      <c r="AG32" t="str">
        <f t="shared" si="15"/>
        <v>60000</v>
      </c>
      <c r="AH32" t="str">
        <f t="shared" si="16"/>
        <v>0000</v>
      </c>
      <c r="AI32" t="str">
        <f t="shared" si="17"/>
        <v>60000</v>
      </c>
      <c r="AJ32" t="str">
        <f t="shared" si="18"/>
        <v>0000</v>
      </c>
    </row>
    <row r="33" spans="1:36" x14ac:dyDescent="0.25">
      <c r="A33" s="325">
        <f>Tervezés!B36</f>
        <v>0</v>
      </c>
      <c r="B33">
        <v>60</v>
      </c>
      <c r="C33">
        <f>Tervezés!E36</f>
        <v>0</v>
      </c>
      <c r="D33">
        <f>Tervezés!F36</f>
        <v>0</v>
      </c>
      <c r="E33">
        <f>Tervezés!H36</f>
        <v>0</v>
      </c>
      <c r="F33" t="str">
        <f t="shared" si="10"/>
        <v>0</v>
      </c>
      <c r="G33" t="str">
        <f t="shared" si="11"/>
        <v>0</v>
      </c>
      <c r="H33">
        <f>Tervezés!I36</f>
        <v>0</v>
      </c>
      <c r="I33">
        <f>Tervezés!J36</f>
        <v>0</v>
      </c>
      <c r="J33">
        <f>Tervezés!K36</f>
        <v>0</v>
      </c>
      <c r="K33">
        <f>Tervezés!L36</f>
        <v>0</v>
      </c>
      <c r="L33">
        <f>Tervezés!M36</f>
        <v>0</v>
      </c>
      <c r="M33" s="322" t="str">
        <f>IFERROR(VLOOKUP(A33,PAR!$D$3:$E$53,2,FALSE),"nincs szervezet")</f>
        <v>nincs szervezet</v>
      </c>
      <c r="N33" s="322" t="str">
        <f>VLOOKUP(F33,PAR!$R$3:$S$5,2,FALSE)</f>
        <v>3 - egyik sem</v>
      </c>
      <c r="O33" t="str">
        <f>IFERROR(VLOOKUP(J33,PAR!$O$3:$P$5,2,FALSE),"nincs feladat")</f>
        <v>nincs feladat</v>
      </c>
      <c r="P33" t="str">
        <f>IFERROR(VLOOKUP(G33,PAR!$J$2:$M$19,4),"nincs rovat")</f>
        <v>nincs rovat</v>
      </c>
      <c r="Q33" t="str">
        <f>IF(H33&gt;0,VLOOKUP(H33,PAR!$AA$3:$AC$187,3,FALSE),"nincs főkönyvi számla")</f>
        <v>nincs főkönyvi számla</v>
      </c>
      <c r="R33" t="str">
        <f>IFERROR(VLOOKUP(K33,PAR!$V$3:$X$438,3,FALSE),"000000 - Nincs COFOG")</f>
        <v>000000 - Nincs COFOG</v>
      </c>
      <c r="S33">
        <f t="shared" si="12"/>
        <v>0</v>
      </c>
      <c r="T33">
        <f t="shared" si="13"/>
        <v>0</v>
      </c>
      <c r="U33" t="str">
        <f>IF(Tervezés!F36&gt;0,CONCATENATE(Tervezés!E36," - ",Tervezés!F36,", ",Tervezés!J36),"nincs megjegyzés")</f>
        <v>nincs megjegyzés</v>
      </c>
      <c r="V33" t="str">
        <f t="shared" si="0"/>
        <v>6000</v>
      </c>
      <c r="W33" t="str">
        <f t="shared" si="1"/>
        <v>6000</v>
      </c>
      <c r="X33" t="str">
        <f t="shared" si="2"/>
        <v>00</v>
      </c>
      <c r="Y33" t="str">
        <f t="shared" si="3"/>
        <v>600</v>
      </c>
      <c r="Z33" t="str">
        <f t="shared" si="14"/>
        <v>00</v>
      </c>
      <c r="AA33" t="str">
        <f t="shared" si="4"/>
        <v>600</v>
      </c>
      <c r="AB33" t="str">
        <f t="shared" si="5"/>
        <v>00</v>
      </c>
      <c r="AC33" t="str">
        <f t="shared" si="6"/>
        <v>6000</v>
      </c>
      <c r="AD33" t="str">
        <f t="shared" si="7"/>
        <v>000</v>
      </c>
      <c r="AE33" t="str">
        <f t="shared" si="8"/>
        <v>6000</v>
      </c>
      <c r="AF33" t="str">
        <f t="shared" si="9"/>
        <v>000</v>
      </c>
      <c r="AG33" t="str">
        <f t="shared" si="15"/>
        <v>60000</v>
      </c>
      <c r="AH33" t="str">
        <f t="shared" si="16"/>
        <v>0000</v>
      </c>
      <c r="AI33" t="str">
        <f t="shared" si="17"/>
        <v>60000</v>
      </c>
      <c r="AJ33" t="str">
        <f t="shared" si="18"/>
        <v>0000</v>
      </c>
    </row>
    <row r="34" spans="1:36" x14ac:dyDescent="0.25">
      <c r="A34" s="325">
        <f>Tervezés!B37</f>
        <v>0</v>
      </c>
      <c r="B34">
        <v>60</v>
      </c>
      <c r="C34">
        <f>Tervezés!E37</f>
        <v>0</v>
      </c>
      <c r="D34">
        <f>Tervezés!F37</f>
        <v>0</v>
      </c>
      <c r="E34">
        <f>Tervezés!H37</f>
        <v>0</v>
      </c>
      <c r="F34" t="str">
        <f t="shared" si="10"/>
        <v>0</v>
      </c>
      <c r="G34" t="str">
        <f t="shared" si="11"/>
        <v>0</v>
      </c>
      <c r="H34">
        <f>Tervezés!I37</f>
        <v>0</v>
      </c>
      <c r="I34">
        <f>Tervezés!J37</f>
        <v>0</v>
      </c>
      <c r="J34">
        <f>Tervezés!K37</f>
        <v>0</v>
      </c>
      <c r="K34">
        <f>Tervezés!L37</f>
        <v>0</v>
      </c>
      <c r="L34">
        <f>Tervezés!M37</f>
        <v>0</v>
      </c>
      <c r="M34" s="322" t="str">
        <f>IFERROR(VLOOKUP(A34,PAR!$D$3:$E$53,2,FALSE),"nincs szervezet")</f>
        <v>nincs szervezet</v>
      </c>
      <c r="N34" s="322" t="str">
        <f>VLOOKUP(F34,PAR!$R$3:$S$5,2,FALSE)</f>
        <v>3 - egyik sem</v>
      </c>
      <c r="O34" t="str">
        <f>IFERROR(VLOOKUP(J34,PAR!$O$3:$P$5,2,FALSE),"nincs feladat")</f>
        <v>nincs feladat</v>
      </c>
      <c r="P34" t="str">
        <f>IFERROR(VLOOKUP(G34,PAR!$J$2:$M$19,4),"nincs rovat")</f>
        <v>nincs rovat</v>
      </c>
      <c r="Q34" t="str">
        <f>IF(H34&gt;0,VLOOKUP(H34,PAR!$AA$3:$AC$187,3,FALSE),"nincs főkönyvi számla")</f>
        <v>nincs főkönyvi számla</v>
      </c>
      <c r="R34" t="str">
        <f>IFERROR(VLOOKUP(K34,PAR!$V$3:$X$438,3,FALSE),"000000 - Nincs COFOG")</f>
        <v>000000 - Nincs COFOG</v>
      </c>
      <c r="S34">
        <f t="shared" si="12"/>
        <v>0</v>
      </c>
      <c r="T34">
        <f t="shared" si="13"/>
        <v>0</v>
      </c>
      <c r="U34" t="str">
        <f>IF(Tervezés!F37&gt;0,CONCATENATE(Tervezés!E37," - ",Tervezés!F37,", ",Tervezés!J37),"nincs megjegyzés")</f>
        <v>nincs megjegyzés</v>
      </c>
      <c r="V34" t="str">
        <f t="shared" si="0"/>
        <v>6000</v>
      </c>
      <c r="W34" t="str">
        <f t="shared" si="1"/>
        <v>6000</v>
      </c>
      <c r="X34" t="str">
        <f t="shared" si="2"/>
        <v>00</v>
      </c>
      <c r="Y34" t="str">
        <f t="shared" si="3"/>
        <v>600</v>
      </c>
      <c r="Z34" t="str">
        <f t="shared" si="14"/>
        <v>00</v>
      </c>
      <c r="AA34" t="str">
        <f t="shared" si="4"/>
        <v>600</v>
      </c>
      <c r="AB34" t="str">
        <f t="shared" si="5"/>
        <v>00</v>
      </c>
      <c r="AC34" t="str">
        <f t="shared" si="6"/>
        <v>6000</v>
      </c>
      <c r="AD34" t="str">
        <f t="shared" si="7"/>
        <v>000</v>
      </c>
      <c r="AE34" t="str">
        <f t="shared" si="8"/>
        <v>6000</v>
      </c>
      <c r="AF34" t="str">
        <f t="shared" si="9"/>
        <v>000</v>
      </c>
      <c r="AG34" t="str">
        <f t="shared" si="15"/>
        <v>60000</v>
      </c>
      <c r="AH34" t="str">
        <f t="shared" si="16"/>
        <v>0000</v>
      </c>
      <c r="AI34" t="str">
        <f t="shared" si="17"/>
        <v>60000</v>
      </c>
      <c r="AJ34" t="str">
        <f t="shared" si="18"/>
        <v>0000</v>
      </c>
    </row>
    <row r="35" spans="1:36" x14ac:dyDescent="0.25">
      <c r="A35" s="325">
        <f>Tervezés!B38</f>
        <v>0</v>
      </c>
      <c r="B35">
        <v>60</v>
      </c>
      <c r="C35">
        <f>Tervezés!E38</f>
        <v>0</v>
      </c>
      <c r="D35">
        <f>Tervezés!F38</f>
        <v>0</v>
      </c>
      <c r="E35">
        <f>Tervezés!H38</f>
        <v>0</v>
      </c>
      <c r="F35" t="str">
        <f t="shared" si="10"/>
        <v>0</v>
      </c>
      <c r="G35" t="str">
        <f t="shared" si="11"/>
        <v>0</v>
      </c>
      <c r="H35">
        <f>Tervezés!I38</f>
        <v>0</v>
      </c>
      <c r="I35">
        <f>Tervezés!J38</f>
        <v>0</v>
      </c>
      <c r="J35">
        <f>Tervezés!K38</f>
        <v>0</v>
      </c>
      <c r="K35">
        <f>Tervezés!L38</f>
        <v>0</v>
      </c>
      <c r="L35">
        <f>Tervezés!M38</f>
        <v>0</v>
      </c>
      <c r="M35" s="322" t="str">
        <f>IFERROR(VLOOKUP(A35,PAR!$D$3:$E$53,2,FALSE),"nincs szervezet")</f>
        <v>nincs szervezet</v>
      </c>
      <c r="N35" s="322" t="str">
        <f>VLOOKUP(F35,PAR!$R$3:$S$5,2,FALSE)</f>
        <v>3 - egyik sem</v>
      </c>
      <c r="O35" t="str">
        <f>IFERROR(VLOOKUP(J35,PAR!$O$3:$P$5,2,FALSE),"nincs feladat")</f>
        <v>nincs feladat</v>
      </c>
      <c r="P35" t="str">
        <f>IFERROR(VLOOKUP(G35,PAR!$J$2:$M$19,4),"nincs rovat")</f>
        <v>nincs rovat</v>
      </c>
      <c r="Q35" t="str">
        <f>IF(H35&gt;0,VLOOKUP(H35,PAR!$AA$3:$AC$187,3,FALSE),"nincs főkönyvi számla")</f>
        <v>nincs főkönyvi számla</v>
      </c>
      <c r="R35" t="str">
        <f>IFERROR(VLOOKUP(K35,PAR!$V$3:$X$438,3,FALSE),"000000 - Nincs COFOG")</f>
        <v>000000 - Nincs COFOG</v>
      </c>
      <c r="S35">
        <f t="shared" si="12"/>
        <v>0</v>
      </c>
      <c r="T35">
        <f t="shared" si="13"/>
        <v>0</v>
      </c>
      <c r="U35" t="str">
        <f>IF(Tervezés!F38&gt;0,CONCATENATE(Tervezés!E38," - ",Tervezés!F38,", ",Tervezés!J38),"nincs megjegyzés")</f>
        <v>nincs megjegyzés</v>
      </c>
      <c r="V35" t="str">
        <f t="shared" si="0"/>
        <v>6000</v>
      </c>
      <c r="W35" t="str">
        <f t="shared" si="1"/>
        <v>6000</v>
      </c>
      <c r="X35" t="str">
        <f t="shared" si="2"/>
        <v>00</v>
      </c>
      <c r="Y35" t="str">
        <f t="shared" si="3"/>
        <v>600</v>
      </c>
      <c r="Z35" t="str">
        <f t="shared" si="14"/>
        <v>00</v>
      </c>
      <c r="AA35" t="str">
        <f t="shared" si="4"/>
        <v>600</v>
      </c>
      <c r="AB35" t="str">
        <f t="shared" si="5"/>
        <v>00</v>
      </c>
      <c r="AC35" t="str">
        <f t="shared" si="6"/>
        <v>6000</v>
      </c>
      <c r="AD35" t="str">
        <f t="shared" si="7"/>
        <v>000</v>
      </c>
      <c r="AE35" t="str">
        <f t="shared" si="8"/>
        <v>6000</v>
      </c>
      <c r="AF35" t="str">
        <f t="shared" si="9"/>
        <v>000</v>
      </c>
      <c r="AG35" t="str">
        <f t="shared" si="15"/>
        <v>60000</v>
      </c>
      <c r="AH35" t="str">
        <f t="shared" si="16"/>
        <v>0000</v>
      </c>
      <c r="AI35" t="str">
        <f t="shared" si="17"/>
        <v>60000</v>
      </c>
      <c r="AJ35" t="str">
        <f t="shared" si="18"/>
        <v>0000</v>
      </c>
    </row>
    <row r="36" spans="1:36" x14ac:dyDescent="0.25">
      <c r="A36" s="325">
        <f>Tervezés!B39</f>
        <v>0</v>
      </c>
      <c r="B36">
        <v>60</v>
      </c>
      <c r="C36">
        <f>Tervezés!E39</f>
        <v>0</v>
      </c>
      <c r="D36">
        <f>Tervezés!F39</f>
        <v>0</v>
      </c>
      <c r="E36">
        <f>Tervezés!H39</f>
        <v>0</v>
      </c>
      <c r="F36" t="str">
        <f t="shared" si="10"/>
        <v>0</v>
      </c>
      <c r="G36" t="str">
        <f t="shared" si="11"/>
        <v>0</v>
      </c>
      <c r="H36">
        <f>Tervezés!I39</f>
        <v>0</v>
      </c>
      <c r="I36">
        <f>Tervezés!J39</f>
        <v>0</v>
      </c>
      <c r="J36">
        <f>Tervezés!K39</f>
        <v>0</v>
      </c>
      <c r="K36">
        <f>Tervezés!L39</f>
        <v>0</v>
      </c>
      <c r="L36">
        <f>Tervezés!M39</f>
        <v>0</v>
      </c>
      <c r="M36" s="322" t="str">
        <f>IFERROR(VLOOKUP(A36,PAR!$D$3:$E$53,2,FALSE),"nincs szervezet")</f>
        <v>nincs szervezet</v>
      </c>
      <c r="N36" s="322" t="str">
        <f>VLOOKUP(F36,PAR!$R$3:$S$5,2,FALSE)</f>
        <v>3 - egyik sem</v>
      </c>
      <c r="O36" t="str">
        <f>IFERROR(VLOOKUP(J36,PAR!$O$3:$P$5,2,FALSE),"nincs feladat")</f>
        <v>nincs feladat</v>
      </c>
      <c r="P36" t="str">
        <f>IFERROR(VLOOKUP(G36,PAR!$J$2:$M$19,4),"nincs rovat")</f>
        <v>nincs rovat</v>
      </c>
      <c r="Q36" t="str">
        <f>IF(H36&gt;0,VLOOKUP(H36,PAR!$AA$3:$AC$187,3,FALSE),"nincs főkönyvi számla")</f>
        <v>nincs főkönyvi számla</v>
      </c>
      <c r="R36" t="str">
        <f>IFERROR(VLOOKUP(K36,PAR!$V$3:$X$438,3,FALSE),"000000 - Nincs COFOG")</f>
        <v>000000 - Nincs COFOG</v>
      </c>
      <c r="S36">
        <f t="shared" si="12"/>
        <v>0</v>
      </c>
      <c r="T36">
        <f t="shared" si="13"/>
        <v>0</v>
      </c>
      <c r="U36" t="str">
        <f>IF(Tervezés!F39&gt;0,CONCATENATE(Tervezés!E39," - ",Tervezés!F39,", ",Tervezés!J39),"nincs megjegyzés")</f>
        <v>nincs megjegyzés</v>
      </c>
      <c r="V36" t="str">
        <f t="shared" si="0"/>
        <v>6000</v>
      </c>
      <c r="W36" t="str">
        <f t="shared" si="1"/>
        <v>6000</v>
      </c>
      <c r="X36" t="str">
        <f t="shared" si="2"/>
        <v>00</v>
      </c>
      <c r="Y36" t="str">
        <f t="shared" si="3"/>
        <v>600</v>
      </c>
      <c r="Z36" t="str">
        <f t="shared" si="14"/>
        <v>00</v>
      </c>
      <c r="AA36" t="str">
        <f t="shared" si="4"/>
        <v>600</v>
      </c>
      <c r="AB36" t="str">
        <f t="shared" si="5"/>
        <v>00</v>
      </c>
      <c r="AC36" t="str">
        <f t="shared" si="6"/>
        <v>6000</v>
      </c>
      <c r="AD36" t="str">
        <f t="shared" si="7"/>
        <v>000</v>
      </c>
      <c r="AE36" t="str">
        <f t="shared" si="8"/>
        <v>6000</v>
      </c>
      <c r="AF36" t="str">
        <f t="shared" si="9"/>
        <v>000</v>
      </c>
      <c r="AG36" t="str">
        <f t="shared" si="15"/>
        <v>60000</v>
      </c>
      <c r="AH36" t="str">
        <f t="shared" si="16"/>
        <v>0000</v>
      </c>
      <c r="AI36" t="str">
        <f t="shared" si="17"/>
        <v>60000</v>
      </c>
      <c r="AJ36" t="str">
        <f t="shared" si="18"/>
        <v>0000</v>
      </c>
    </row>
    <row r="37" spans="1:36" x14ac:dyDescent="0.25">
      <c r="A37" s="325">
        <f>Tervezés!B40</f>
        <v>0</v>
      </c>
      <c r="B37">
        <v>60</v>
      </c>
      <c r="C37">
        <f>Tervezés!E40</f>
        <v>0</v>
      </c>
      <c r="D37">
        <f>Tervezés!F40</f>
        <v>0</v>
      </c>
      <c r="E37">
        <f>Tervezés!H40</f>
        <v>0</v>
      </c>
      <c r="F37" t="str">
        <f t="shared" si="10"/>
        <v>0</v>
      </c>
      <c r="G37" t="str">
        <f t="shared" si="11"/>
        <v>0</v>
      </c>
      <c r="H37">
        <f>Tervezés!I40</f>
        <v>0</v>
      </c>
      <c r="I37">
        <f>Tervezés!J40</f>
        <v>0</v>
      </c>
      <c r="J37">
        <f>Tervezés!K40</f>
        <v>0</v>
      </c>
      <c r="K37">
        <f>Tervezés!L40</f>
        <v>0</v>
      </c>
      <c r="L37">
        <f>Tervezés!M40</f>
        <v>0</v>
      </c>
      <c r="M37" s="322" t="str">
        <f>IFERROR(VLOOKUP(A37,PAR!$D$3:$E$53,2,FALSE),"nincs szervezet")</f>
        <v>nincs szervezet</v>
      </c>
      <c r="N37" s="322" t="str">
        <f>VLOOKUP(F37,PAR!$R$3:$S$5,2,FALSE)</f>
        <v>3 - egyik sem</v>
      </c>
      <c r="O37" t="str">
        <f>IFERROR(VLOOKUP(J37,PAR!$O$3:$P$5,2,FALSE),"nincs feladat")</f>
        <v>nincs feladat</v>
      </c>
      <c r="P37" t="str">
        <f>IFERROR(VLOOKUP(G37,PAR!$J$2:$M$19,4),"nincs rovat")</f>
        <v>nincs rovat</v>
      </c>
      <c r="Q37" t="str">
        <f>IF(H37&gt;0,VLOOKUP(H37,PAR!$AA$3:$AC$187,3,FALSE),"nincs főkönyvi számla")</f>
        <v>nincs főkönyvi számla</v>
      </c>
      <c r="R37" t="str">
        <f>IFERROR(VLOOKUP(K37,PAR!$V$3:$X$438,3,FALSE),"000000 - Nincs COFOG")</f>
        <v>000000 - Nincs COFOG</v>
      </c>
      <c r="S37">
        <f t="shared" si="12"/>
        <v>0</v>
      </c>
      <c r="T37">
        <f t="shared" si="13"/>
        <v>0</v>
      </c>
      <c r="U37" t="str">
        <f>IF(Tervezés!F40&gt;0,CONCATENATE(Tervezés!E40," - ",Tervezés!F40,", ",Tervezés!J40),"nincs megjegyzés")</f>
        <v>nincs megjegyzés</v>
      </c>
      <c r="V37" t="str">
        <f t="shared" si="0"/>
        <v>6000</v>
      </c>
      <c r="W37" t="str">
        <f t="shared" si="1"/>
        <v>6000</v>
      </c>
      <c r="X37" t="str">
        <f t="shared" si="2"/>
        <v>00</v>
      </c>
      <c r="Y37" t="str">
        <f t="shared" si="3"/>
        <v>600</v>
      </c>
      <c r="Z37" t="str">
        <f t="shared" si="14"/>
        <v>00</v>
      </c>
      <c r="AA37" t="str">
        <f t="shared" si="4"/>
        <v>600</v>
      </c>
      <c r="AB37" t="str">
        <f t="shared" si="5"/>
        <v>00</v>
      </c>
      <c r="AC37" t="str">
        <f t="shared" si="6"/>
        <v>6000</v>
      </c>
      <c r="AD37" t="str">
        <f t="shared" si="7"/>
        <v>000</v>
      </c>
      <c r="AE37" t="str">
        <f t="shared" si="8"/>
        <v>6000</v>
      </c>
      <c r="AF37" t="str">
        <f t="shared" si="9"/>
        <v>000</v>
      </c>
      <c r="AG37" t="str">
        <f t="shared" si="15"/>
        <v>60000</v>
      </c>
      <c r="AH37" t="str">
        <f t="shared" si="16"/>
        <v>0000</v>
      </c>
      <c r="AI37" t="str">
        <f t="shared" si="17"/>
        <v>60000</v>
      </c>
      <c r="AJ37" t="str">
        <f t="shared" si="18"/>
        <v>0000</v>
      </c>
    </row>
    <row r="38" spans="1:36" x14ac:dyDescent="0.25">
      <c r="A38" s="325">
        <f>Tervezés!B41</f>
        <v>0</v>
      </c>
      <c r="B38">
        <v>60</v>
      </c>
      <c r="C38">
        <f>Tervezés!E41</f>
        <v>0</v>
      </c>
      <c r="D38">
        <f>Tervezés!F41</f>
        <v>0</v>
      </c>
      <c r="E38">
        <f>Tervezés!H41</f>
        <v>0</v>
      </c>
      <c r="F38" t="str">
        <f t="shared" si="10"/>
        <v>0</v>
      </c>
      <c r="G38" t="str">
        <f t="shared" si="11"/>
        <v>0</v>
      </c>
      <c r="H38">
        <f>Tervezés!I41</f>
        <v>0</v>
      </c>
      <c r="I38">
        <f>Tervezés!J41</f>
        <v>0</v>
      </c>
      <c r="J38">
        <f>Tervezés!K41</f>
        <v>0</v>
      </c>
      <c r="K38">
        <f>Tervezés!L41</f>
        <v>0</v>
      </c>
      <c r="L38">
        <f>Tervezés!M41</f>
        <v>0</v>
      </c>
      <c r="M38" s="322" t="str">
        <f>IFERROR(VLOOKUP(A38,PAR!$D$3:$E$53,2,FALSE),"nincs szervezet")</f>
        <v>nincs szervezet</v>
      </c>
      <c r="N38" s="322" t="str">
        <f>VLOOKUP(F38,PAR!$R$3:$S$5,2,FALSE)</f>
        <v>3 - egyik sem</v>
      </c>
      <c r="O38" t="str">
        <f>IFERROR(VLOOKUP(J38,PAR!$O$3:$P$5,2,FALSE),"nincs feladat")</f>
        <v>nincs feladat</v>
      </c>
      <c r="P38" t="str">
        <f>IFERROR(VLOOKUP(G38,PAR!$J$2:$M$19,4),"nincs rovat")</f>
        <v>nincs rovat</v>
      </c>
      <c r="Q38" t="str">
        <f>IF(H38&gt;0,VLOOKUP(H38,PAR!$AA$3:$AC$187,3,FALSE),"nincs főkönyvi számla")</f>
        <v>nincs főkönyvi számla</v>
      </c>
      <c r="R38" t="str">
        <f>IFERROR(VLOOKUP(K38,PAR!$V$3:$X$438,3,FALSE),"000000 - Nincs COFOG")</f>
        <v>000000 - Nincs COFOG</v>
      </c>
      <c r="S38">
        <f t="shared" si="12"/>
        <v>0</v>
      </c>
      <c r="T38">
        <f t="shared" si="13"/>
        <v>0</v>
      </c>
      <c r="U38" t="str">
        <f>IF(Tervezés!F41&gt;0,CONCATENATE(Tervezés!E41," - ",Tervezés!F41,", ",Tervezés!J41),"nincs megjegyzés")</f>
        <v>nincs megjegyzés</v>
      </c>
      <c r="V38" t="str">
        <f t="shared" si="0"/>
        <v>6000</v>
      </c>
      <c r="W38" t="str">
        <f t="shared" si="1"/>
        <v>6000</v>
      </c>
      <c r="X38" t="str">
        <f t="shared" si="2"/>
        <v>00</v>
      </c>
      <c r="Y38" t="str">
        <f t="shared" si="3"/>
        <v>600</v>
      </c>
      <c r="Z38" t="str">
        <f t="shared" si="14"/>
        <v>00</v>
      </c>
      <c r="AA38" t="str">
        <f t="shared" si="4"/>
        <v>600</v>
      </c>
      <c r="AB38" t="str">
        <f t="shared" si="5"/>
        <v>00</v>
      </c>
      <c r="AC38" t="str">
        <f t="shared" si="6"/>
        <v>6000</v>
      </c>
      <c r="AD38" t="str">
        <f t="shared" si="7"/>
        <v>000</v>
      </c>
      <c r="AE38" t="str">
        <f t="shared" si="8"/>
        <v>6000</v>
      </c>
      <c r="AF38" t="str">
        <f t="shared" si="9"/>
        <v>000</v>
      </c>
      <c r="AG38" t="str">
        <f t="shared" si="15"/>
        <v>60000</v>
      </c>
      <c r="AH38" t="str">
        <f t="shared" si="16"/>
        <v>0000</v>
      </c>
      <c r="AI38" t="str">
        <f t="shared" si="17"/>
        <v>60000</v>
      </c>
      <c r="AJ38" t="str">
        <f t="shared" si="18"/>
        <v>0000</v>
      </c>
    </row>
    <row r="39" spans="1:36" x14ac:dyDescent="0.25">
      <c r="A39" s="325">
        <f>Tervezés!B42</f>
        <v>0</v>
      </c>
      <c r="B39">
        <v>60</v>
      </c>
      <c r="C39">
        <f>Tervezés!E42</f>
        <v>0</v>
      </c>
      <c r="D39">
        <f>Tervezés!F42</f>
        <v>0</v>
      </c>
      <c r="E39">
        <f>Tervezés!H42</f>
        <v>0</v>
      </c>
      <c r="F39" t="str">
        <f t="shared" si="10"/>
        <v>0</v>
      </c>
      <c r="G39" t="str">
        <f t="shared" si="11"/>
        <v>0</v>
      </c>
      <c r="H39">
        <f>Tervezés!I42</f>
        <v>0</v>
      </c>
      <c r="I39">
        <f>Tervezés!J42</f>
        <v>0</v>
      </c>
      <c r="J39">
        <f>Tervezés!K42</f>
        <v>0</v>
      </c>
      <c r="K39">
        <f>Tervezés!L42</f>
        <v>0</v>
      </c>
      <c r="L39">
        <f>Tervezés!M42</f>
        <v>0</v>
      </c>
      <c r="M39" s="322" t="str">
        <f>IFERROR(VLOOKUP(A39,PAR!$D$3:$E$53,2,FALSE),"nincs szervezet")</f>
        <v>nincs szervezet</v>
      </c>
      <c r="N39" s="322" t="str">
        <f>VLOOKUP(F39,PAR!$R$3:$S$5,2,FALSE)</f>
        <v>3 - egyik sem</v>
      </c>
      <c r="O39" t="str">
        <f>IFERROR(VLOOKUP(J39,PAR!$O$3:$P$5,2,FALSE),"nincs feladat")</f>
        <v>nincs feladat</v>
      </c>
      <c r="P39" t="str">
        <f>IFERROR(VLOOKUP(G39,PAR!$J$2:$M$19,4),"nincs rovat")</f>
        <v>nincs rovat</v>
      </c>
      <c r="Q39" t="str">
        <f>IF(H39&gt;0,VLOOKUP(H39,PAR!$AA$3:$AC$187,3,FALSE),"nincs főkönyvi számla")</f>
        <v>nincs főkönyvi számla</v>
      </c>
      <c r="R39" t="str">
        <f>IFERROR(VLOOKUP(K39,PAR!$V$3:$X$438,3,FALSE),"000000 - Nincs COFOG")</f>
        <v>000000 - Nincs COFOG</v>
      </c>
      <c r="S39">
        <f t="shared" si="12"/>
        <v>0</v>
      </c>
      <c r="T39">
        <f t="shared" si="13"/>
        <v>0</v>
      </c>
      <c r="U39" t="str">
        <f>IF(Tervezés!F42&gt;0,CONCATENATE(Tervezés!E42," - ",Tervezés!F42,", ",Tervezés!J42),"nincs megjegyzés")</f>
        <v>nincs megjegyzés</v>
      </c>
      <c r="V39" t="str">
        <f t="shared" si="0"/>
        <v>6000</v>
      </c>
      <c r="W39" t="str">
        <f t="shared" si="1"/>
        <v>6000</v>
      </c>
      <c r="X39" t="str">
        <f t="shared" si="2"/>
        <v>00</v>
      </c>
      <c r="Y39" t="str">
        <f t="shared" si="3"/>
        <v>600</v>
      </c>
      <c r="Z39" t="str">
        <f t="shared" si="14"/>
        <v>00</v>
      </c>
      <c r="AA39" t="str">
        <f t="shared" si="4"/>
        <v>600</v>
      </c>
      <c r="AB39" t="str">
        <f t="shared" si="5"/>
        <v>00</v>
      </c>
      <c r="AC39" t="str">
        <f t="shared" si="6"/>
        <v>6000</v>
      </c>
      <c r="AD39" t="str">
        <f t="shared" si="7"/>
        <v>000</v>
      </c>
      <c r="AE39" t="str">
        <f t="shared" si="8"/>
        <v>6000</v>
      </c>
      <c r="AF39" t="str">
        <f t="shared" si="9"/>
        <v>000</v>
      </c>
      <c r="AG39" t="str">
        <f t="shared" si="15"/>
        <v>60000</v>
      </c>
      <c r="AH39" t="str">
        <f t="shared" si="16"/>
        <v>0000</v>
      </c>
      <c r="AI39" t="str">
        <f t="shared" si="17"/>
        <v>60000</v>
      </c>
      <c r="AJ39" t="str">
        <f t="shared" si="18"/>
        <v>0000</v>
      </c>
    </row>
    <row r="40" spans="1:36" x14ac:dyDescent="0.25">
      <c r="A40" s="325">
        <f>Tervezés!B43</f>
        <v>0</v>
      </c>
      <c r="B40">
        <v>60</v>
      </c>
      <c r="C40">
        <f>Tervezés!E43</f>
        <v>0</v>
      </c>
      <c r="D40">
        <f>Tervezés!F43</f>
        <v>0</v>
      </c>
      <c r="E40">
        <f>Tervezés!H43</f>
        <v>0</v>
      </c>
      <c r="F40" t="str">
        <f t="shared" si="10"/>
        <v>0</v>
      </c>
      <c r="G40" t="str">
        <f t="shared" si="11"/>
        <v>0</v>
      </c>
      <c r="H40">
        <f>Tervezés!I43</f>
        <v>0</v>
      </c>
      <c r="I40">
        <f>Tervezés!J43</f>
        <v>0</v>
      </c>
      <c r="J40">
        <f>Tervezés!K43</f>
        <v>0</v>
      </c>
      <c r="K40">
        <f>Tervezés!L43</f>
        <v>0</v>
      </c>
      <c r="L40">
        <f>Tervezés!M43</f>
        <v>0</v>
      </c>
      <c r="M40" s="322" t="str">
        <f>IFERROR(VLOOKUP(A40,PAR!$D$3:$E$53,2,FALSE),"nincs szervezet")</f>
        <v>nincs szervezet</v>
      </c>
      <c r="N40" s="322" t="str">
        <f>VLOOKUP(F40,PAR!$R$3:$S$5,2,FALSE)</f>
        <v>3 - egyik sem</v>
      </c>
      <c r="O40" t="str">
        <f>IFERROR(VLOOKUP(J40,PAR!$O$3:$P$5,2,FALSE),"nincs feladat")</f>
        <v>nincs feladat</v>
      </c>
      <c r="P40" t="str">
        <f>IFERROR(VLOOKUP(G40,PAR!$J$2:$M$19,4),"nincs rovat")</f>
        <v>nincs rovat</v>
      </c>
      <c r="Q40" t="str">
        <f>IF(H40&gt;0,VLOOKUP(H40,PAR!$AA$3:$AC$187,3,FALSE),"nincs főkönyvi számla")</f>
        <v>nincs főkönyvi számla</v>
      </c>
      <c r="R40" t="str">
        <f>IFERROR(VLOOKUP(K40,PAR!$V$3:$X$438,3,FALSE),"000000 - Nincs COFOG")</f>
        <v>000000 - Nincs COFOG</v>
      </c>
      <c r="S40">
        <f t="shared" si="12"/>
        <v>0</v>
      </c>
      <c r="T40">
        <f t="shared" si="13"/>
        <v>0</v>
      </c>
      <c r="U40" t="str">
        <f>IF(Tervezés!F43&gt;0,CONCATENATE(Tervezés!E43," - ",Tervezés!F43,", ",Tervezés!J43),"nincs megjegyzés")</f>
        <v>nincs megjegyzés</v>
      </c>
      <c r="V40" t="str">
        <f t="shared" si="0"/>
        <v>6000</v>
      </c>
      <c r="W40" t="str">
        <f t="shared" si="1"/>
        <v>6000</v>
      </c>
      <c r="X40" t="str">
        <f t="shared" si="2"/>
        <v>00</v>
      </c>
      <c r="Y40" t="str">
        <f t="shared" si="3"/>
        <v>600</v>
      </c>
      <c r="Z40" t="str">
        <f t="shared" si="14"/>
        <v>00</v>
      </c>
      <c r="AA40" t="str">
        <f t="shared" si="4"/>
        <v>600</v>
      </c>
      <c r="AB40" t="str">
        <f t="shared" si="5"/>
        <v>00</v>
      </c>
      <c r="AC40" t="str">
        <f t="shared" si="6"/>
        <v>6000</v>
      </c>
      <c r="AD40" t="str">
        <f t="shared" si="7"/>
        <v>000</v>
      </c>
      <c r="AE40" t="str">
        <f t="shared" si="8"/>
        <v>6000</v>
      </c>
      <c r="AF40" t="str">
        <f t="shared" si="9"/>
        <v>000</v>
      </c>
      <c r="AG40" t="str">
        <f t="shared" si="15"/>
        <v>60000</v>
      </c>
      <c r="AH40" t="str">
        <f t="shared" si="16"/>
        <v>0000</v>
      </c>
      <c r="AI40" t="str">
        <f t="shared" si="17"/>
        <v>60000</v>
      </c>
      <c r="AJ40" t="str">
        <f t="shared" si="18"/>
        <v>0000</v>
      </c>
    </row>
    <row r="41" spans="1:36" x14ac:dyDescent="0.25">
      <c r="A41" s="325">
        <f>Tervezés!B44</f>
        <v>0</v>
      </c>
      <c r="B41">
        <v>60</v>
      </c>
      <c r="C41">
        <f>Tervezés!E44</f>
        <v>0</v>
      </c>
      <c r="D41">
        <f>Tervezés!F44</f>
        <v>0</v>
      </c>
      <c r="E41">
        <f>Tervezés!H44</f>
        <v>0</v>
      </c>
      <c r="F41" t="str">
        <f t="shared" si="10"/>
        <v>0</v>
      </c>
      <c r="G41" t="str">
        <f t="shared" si="11"/>
        <v>0</v>
      </c>
      <c r="H41">
        <f>Tervezés!I44</f>
        <v>0</v>
      </c>
      <c r="I41">
        <f>Tervezés!J44</f>
        <v>0</v>
      </c>
      <c r="J41">
        <f>Tervezés!K44</f>
        <v>0</v>
      </c>
      <c r="K41">
        <f>Tervezés!L44</f>
        <v>0</v>
      </c>
      <c r="L41">
        <f>Tervezés!M44</f>
        <v>0</v>
      </c>
      <c r="M41" s="322" t="str">
        <f>IFERROR(VLOOKUP(A41,PAR!$D$3:$E$53,2,FALSE),"nincs szervezet")</f>
        <v>nincs szervezet</v>
      </c>
      <c r="N41" s="322" t="str">
        <f>VLOOKUP(F41,PAR!$R$3:$S$5,2,FALSE)</f>
        <v>3 - egyik sem</v>
      </c>
      <c r="O41" t="str">
        <f>IFERROR(VLOOKUP(J41,PAR!$O$3:$P$5,2,FALSE),"nincs feladat")</f>
        <v>nincs feladat</v>
      </c>
      <c r="P41" t="str">
        <f>IFERROR(VLOOKUP(G41,PAR!$J$2:$M$19,4),"nincs rovat")</f>
        <v>nincs rovat</v>
      </c>
      <c r="Q41" t="str">
        <f>IF(H41&gt;0,VLOOKUP(H41,PAR!$AA$3:$AC$187,3,FALSE),"nincs főkönyvi számla")</f>
        <v>nincs főkönyvi számla</v>
      </c>
      <c r="R41" t="str">
        <f>IFERROR(VLOOKUP(K41,PAR!$V$3:$X$438,3,FALSE),"000000 - Nincs COFOG")</f>
        <v>000000 - Nincs COFOG</v>
      </c>
      <c r="S41">
        <f t="shared" si="12"/>
        <v>0</v>
      </c>
      <c r="T41">
        <f t="shared" si="13"/>
        <v>0</v>
      </c>
      <c r="U41" t="str">
        <f>IF(Tervezés!F44&gt;0,CONCATENATE(Tervezés!E44," - ",Tervezés!F44,", ",Tervezés!J44),"nincs megjegyzés")</f>
        <v>nincs megjegyzés</v>
      </c>
      <c r="V41" t="str">
        <f t="shared" si="0"/>
        <v>6000</v>
      </c>
      <c r="W41" t="str">
        <f t="shared" si="1"/>
        <v>6000</v>
      </c>
      <c r="X41" t="str">
        <f t="shared" si="2"/>
        <v>00</v>
      </c>
      <c r="Y41" t="str">
        <f t="shared" si="3"/>
        <v>600</v>
      </c>
      <c r="Z41" t="str">
        <f t="shared" si="14"/>
        <v>00</v>
      </c>
      <c r="AA41" t="str">
        <f t="shared" si="4"/>
        <v>600</v>
      </c>
      <c r="AB41" t="str">
        <f t="shared" si="5"/>
        <v>00</v>
      </c>
      <c r="AC41" t="str">
        <f t="shared" si="6"/>
        <v>6000</v>
      </c>
      <c r="AD41" t="str">
        <f t="shared" si="7"/>
        <v>000</v>
      </c>
      <c r="AE41" t="str">
        <f t="shared" si="8"/>
        <v>6000</v>
      </c>
      <c r="AF41" t="str">
        <f t="shared" si="9"/>
        <v>000</v>
      </c>
      <c r="AG41" t="str">
        <f t="shared" si="15"/>
        <v>60000</v>
      </c>
      <c r="AH41" t="str">
        <f t="shared" si="16"/>
        <v>0000</v>
      </c>
      <c r="AI41" t="str">
        <f t="shared" si="17"/>
        <v>60000</v>
      </c>
      <c r="AJ41" t="str">
        <f t="shared" si="18"/>
        <v>0000</v>
      </c>
    </row>
    <row r="42" spans="1:36" x14ac:dyDescent="0.25">
      <c r="A42" s="325">
        <f>Tervezés!B45</f>
        <v>0</v>
      </c>
      <c r="B42">
        <v>60</v>
      </c>
      <c r="C42">
        <f>Tervezés!E45</f>
        <v>0</v>
      </c>
      <c r="D42">
        <f>Tervezés!F45</f>
        <v>0</v>
      </c>
      <c r="E42">
        <f>Tervezés!H45</f>
        <v>0</v>
      </c>
      <c r="F42" t="str">
        <f t="shared" si="10"/>
        <v>0</v>
      </c>
      <c r="G42" t="str">
        <f t="shared" si="11"/>
        <v>0</v>
      </c>
      <c r="H42">
        <f>Tervezés!I45</f>
        <v>0</v>
      </c>
      <c r="I42">
        <f>Tervezés!J45</f>
        <v>0</v>
      </c>
      <c r="J42">
        <f>Tervezés!K45</f>
        <v>0</v>
      </c>
      <c r="K42">
        <f>Tervezés!L45</f>
        <v>0</v>
      </c>
      <c r="L42">
        <f>Tervezés!M45</f>
        <v>0</v>
      </c>
      <c r="M42" s="322" t="str">
        <f>IFERROR(VLOOKUP(A42,PAR!$D$3:$E$53,2,FALSE),"nincs szervezet")</f>
        <v>nincs szervezet</v>
      </c>
      <c r="N42" s="322" t="str">
        <f>VLOOKUP(F42,PAR!$R$3:$S$5,2,FALSE)</f>
        <v>3 - egyik sem</v>
      </c>
      <c r="O42" t="str">
        <f>IFERROR(VLOOKUP(J42,PAR!$O$3:$P$5,2,FALSE),"nincs feladat")</f>
        <v>nincs feladat</v>
      </c>
      <c r="P42" t="str">
        <f>IFERROR(VLOOKUP(G42,PAR!$J$2:$M$19,4),"nincs rovat")</f>
        <v>nincs rovat</v>
      </c>
      <c r="Q42" t="str">
        <f>IF(H42&gt;0,VLOOKUP(H42,PAR!$AA$3:$AC$187,3,FALSE),"nincs főkönyvi számla")</f>
        <v>nincs főkönyvi számla</v>
      </c>
      <c r="R42" t="str">
        <f>IFERROR(VLOOKUP(K42,PAR!$V$3:$X$438,3,FALSE),"000000 - Nincs COFOG")</f>
        <v>000000 - Nincs COFOG</v>
      </c>
      <c r="S42">
        <f t="shared" si="12"/>
        <v>0</v>
      </c>
      <c r="T42">
        <f t="shared" si="13"/>
        <v>0</v>
      </c>
      <c r="U42" t="str">
        <f>IF(Tervezés!F45&gt;0,CONCATENATE(Tervezés!E45," - ",Tervezés!F45,", ",Tervezés!J45),"nincs megjegyzés")</f>
        <v>nincs megjegyzés</v>
      </c>
      <c r="V42" t="str">
        <f t="shared" si="0"/>
        <v>6000</v>
      </c>
      <c r="W42" t="str">
        <f t="shared" si="1"/>
        <v>6000</v>
      </c>
      <c r="X42" t="str">
        <f t="shared" si="2"/>
        <v>00</v>
      </c>
      <c r="Y42" t="str">
        <f t="shared" si="3"/>
        <v>600</v>
      </c>
      <c r="Z42" t="str">
        <f t="shared" si="14"/>
        <v>00</v>
      </c>
      <c r="AA42" t="str">
        <f t="shared" si="4"/>
        <v>600</v>
      </c>
      <c r="AB42" t="str">
        <f t="shared" si="5"/>
        <v>00</v>
      </c>
      <c r="AC42" t="str">
        <f t="shared" si="6"/>
        <v>6000</v>
      </c>
      <c r="AD42" t="str">
        <f t="shared" si="7"/>
        <v>000</v>
      </c>
      <c r="AE42" t="str">
        <f t="shared" si="8"/>
        <v>6000</v>
      </c>
      <c r="AF42" t="str">
        <f t="shared" si="9"/>
        <v>000</v>
      </c>
      <c r="AG42" t="str">
        <f t="shared" si="15"/>
        <v>60000</v>
      </c>
      <c r="AH42" t="str">
        <f t="shared" si="16"/>
        <v>0000</v>
      </c>
      <c r="AI42" t="str">
        <f t="shared" si="17"/>
        <v>60000</v>
      </c>
      <c r="AJ42" t="str">
        <f t="shared" si="18"/>
        <v>0000</v>
      </c>
    </row>
    <row r="43" spans="1:36" x14ac:dyDescent="0.25">
      <c r="A43" s="325">
        <f>Tervezés!B46</f>
        <v>0</v>
      </c>
      <c r="B43">
        <v>60</v>
      </c>
      <c r="C43">
        <f>Tervezés!E46</f>
        <v>0</v>
      </c>
      <c r="D43">
        <f>Tervezés!F46</f>
        <v>0</v>
      </c>
      <c r="E43">
        <f>Tervezés!H46</f>
        <v>0</v>
      </c>
      <c r="F43" t="str">
        <f t="shared" si="10"/>
        <v>0</v>
      </c>
      <c r="G43" t="str">
        <f t="shared" si="11"/>
        <v>0</v>
      </c>
      <c r="H43">
        <f>Tervezés!I46</f>
        <v>0</v>
      </c>
      <c r="I43">
        <f>Tervezés!J46</f>
        <v>0</v>
      </c>
      <c r="J43">
        <f>Tervezés!K46</f>
        <v>0</v>
      </c>
      <c r="K43">
        <f>Tervezés!L46</f>
        <v>0</v>
      </c>
      <c r="L43">
        <f>Tervezés!M46</f>
        <v>0</v>
      </c>
      <c r="M43" s="322" t="str">
        <f>IFERROR(VLOOKUP(A43,PAR!$D$3:$E$53,2,FALSE),"nincs szervezet")</f>
        <v>nincs szervezet</v>
      </c>
      <c r="N43" s="322" t="str">
        <f>VLOOKUP(F43,PAR!$R$3:$S$5,2,FALSE)</f>
        <v>3 - egyik sem</v>
      </c>
      <c r="O43" t="str">
        <f>IFERROR(VLOOKUP(J43,PAR!$O$3:$P$5,2,FALSE),"nincs feladat")</f>
        <v>nincs feladat</v>
      </c>
      <c r="P43" t="str">
        <f>IFERROR(VLOOKUP(G43,PAR!$J$2:$M$19,4),"nincs rovat")</f>
        <v>nincs rovat</v>
      </c>
      <c r="Q43" t="str">
        <f>IF(H43&gt;0,VLOOKUP(H43,PAR!$AA$3:$AC$187,3,FALSE),"nincs főkönyvi számla")</f>
        <v>nincs főkönyvi számla</v>
      </c>
      <c r="R43" t="str">
        <f>IFERROR(VLOOKUP(K43,PAR!$V$3:$X$438,3,FALSE),"000000 - Nincs COFOG")</f>
        <v>000000 - Nincs COFOG</v>
      </c>
      <c r="S43">
        <f t="shared" si="12"/>
        <v>0</v>
      </c>
      <c r="T43">
        <f t="shared" si="13"/>
        <v>0</v>
      </c>
      <c r="U43" t="str">
        <f>IF(Tervezés!F46&gt;0,CONCATENATE(Tervezés!E46," - ",Tervezés!F46,", ",Tervezés!J46),"nincs megjegyzés")</f>
        <v>nincs megjegyzés</v>
      </c>
      <c r="V43" t="str">
        <f t="shared" si="0"/>
        <v>6000</v>
      </c>
      <c r="W43" t="str">
        <f t="shared" si="1"/>
        <v>6000</v>
      </c>
      <c r="X43" t="str">
        <f t="shared" si="2"/>
        <v>00</v>
      </c>
      <c r="Y43" t="str">
        <f t="shared" si="3"/>
        <v>600</v>
      </c>
      <c r="Z43" t="str">
        <f t="shared" si="14"/>
        <v>00</v>
      </c>
      <c r="AA43" t="str">
        <f t="shared" si="4"/>
        <v>600</v>
      </c>
      <c r="AB43" t="str">
        <f t="shared" si="5"/>
        <v>00</v>
      </c>
      <c r="AC43" t="str">
        <f t="shared" si="6"/>
        <v>6000</v>
      </c>
      <c r="AD43" t="str">
        <f t="shared" si="7"/>
        <v>000</v>
      </c>
      <c r="AE43" t="str">
        <f t="shared" si="8"/>
        <v>6000</v>
      </c>
      <c r="AF43" t="str">
        <f t="shared" si="9"/>
        <v>000</v>
      </c>
      <c r="AG43" t="str">
        <f t="shared" si="15"/>
        <v>60000</v>
      </c>
      <c r="AH43" t="str">
        <f t="shared" si="16"/>
        <v>0000</v>
      </c>
      <c r="AI43" t="str">
        <f t="shared" si="17"/>
        <v>60000</v>
      </c>
      <c r="AJ43" t="str">
        <f t="shared" si="18"/>
        <v>0000</v>
      </c>
    </row>
    <row r="44" spans="1:36" x14ac:dyDescent="0.25">
      <c r="A44" s="325">
        <f>Tervezés!B47</f>
        <v>0</v>
      </c>
      <c r="B44">
        <v>60</v>
      </c>
      <c r="C44">
        <f>Tervezés!E47</f>
        <v>0</v>
      </c>
      <c r="D44">
        <f>Tervezés!F47</f>
        <v>0</v>
      </c>
      <c r="E44">
        <f>Tervezés!H47</f>
        <v>0</v>
      </c>
      <c r="F44" t="str">
        <f t="shared" si="10"/>
        <v>0</v>
      </c>
      <c r="G44" t="str">
        <f t="shared" si="11"/>
        <v>0</v>
      </c>
      <c r="H44">
        <f>Tervezés!I47</f>
        <v>0</v>
      </c>
      <c r="I44">
        <f>Tervezés!J47</f>
        <v>0</v>
      </c>
      <c r="J44">
        <f>Tervezés!K47</f>
        <v>0</v>
      </c>
      <c r="K44">
        <f>Tervezés!L47</f>
        <v>0</v>
      </c>
      <c r="L44">
        <f>Tervezés!M47</f>
        <v>0</v>
      </c>
      <c r="M44" s="322" t="str">
        <f>IFERROR(VLOOKUP(A44,PAR!$D$3:$E$53,2,FALSE),"nincs szervezet")</f>
        <v>nincs szervezet</v>
      </c>
      <c r="N44" s="322" t="str">
        <f>VLOOKUP(F44,PAR!$R$3:$S$5,2,FALSE)</f>
        <v>3 - egyik sem</v>
      </c>
      <c r="O44" t="str">
        <f>IFERROR(VLOOKUP(J44,PAR!$O$3:$P$5,2,FALSE),"nincs feladat")</f>
        <v>nincs feladat</v>
      </c>
      <c r="P44" t="str">
        <f>IFERROR(VLOOKUP(G44,PAR!$J$2:$M$19,4),"nincs rovat")</f>
        <v>nincs rovat</v>
      </c>
      <c r="Q44" t="str">
        <f>IF(H44&gt;0,VLOOKUP(H44,PAR!$AA$3:$AC$187,3,FALSE),"nincs főkönyvi számla")</f>
        <v>nincs főkönyvi számla</v>
      </c>
      <c r="R44" t="str">
        <f>IFERROR(VLOOKUP(K44,PAR!$V$3:$X$438,3,FALSE),"000000 - Nincs COFOG")</f>
        <v>000000 - Nincs COFOG</v>
      </c>
      <c r="S44">
        <f t="shared" si="12"/>
        <v>0</v>
      </c>
      <c r="T44">
        <f t="shared" si="13"/>
        <v>0</v>
      </c>
      <c r="U44" t="str">
        <f>IF(Tervezés!F47&gt;0,CONCATENATE(Tervezés!E47," - ",Tervezés!F47,", ",Tervezés!J47),"nincs megjegyzés")</f>
        <v>nincs megjegyzés</v>
      </c>
      <c r="V44" t="str">
        <f t="shared" si="0"/>
        <v>6000</v>
      </c>
      <c r="W44" t="str">
        <f t="shared" si="1"/>
        <v>6000</v>
      </c>
      <c r="X44" t="str">
        <f t="shared" si="2"/>
        <v>00</v>
      </c>
      <c r="Y44" t="str">
        <f t="shared" si="3"/>
        <v>600</v>
      </c>
      <c r="Z44" t="str">
        <f t="shared" si="14"/>
        <v>00</v>
      </c>
      <c r="AA44" t="str">
        <f t="shared" si="4"/>
        <v>600</v>
      </c>
      <c r="AB44" t="str">
        <f t="shared" si="5"/>
        <v>00</v>
      </c>
      <c r="AC44" t="str">
        <f t="shared" si="6"/>
        <v>6000</v>
      </c>
      <c r="AD44" t="str">
        <f t="shared" si="7"/>
        <v>000</v>
      </c>
      <c r="AE44" t="str">
        <f t="shared" si="8"/>
        <v>6000</v>
      </c>
      <c r="AF44" t="str">
        <f t="shared" si="9"/>
        <v>000</v>
      </c>
      <c r="AG44" t="str">
        <f t="shared" si="15"/>
        <v>60000</v>
      </c>
      <c r="AH44" t="str">
        <f t="shared" si="16"/>
        <v>0000</v>
      </c>
      <c r="AI44" t="str">
        <f t="shared" si="17"/>
        <v>60000</v>
      </c>
      <c r="AJ44" t="str">
        <f t="shared" si="18"/>
        <v>0000</v>
      </c>
    </row>
    <row r="45" spans="1:36" x14ac:dyDescent="0.25">
      <c r="A45" s="325">
        <f>Tervezés!B48</f>
        <v>0</v>
      </c>
      <c r="B45">
        <v>60</v>
      </c>
      <c r="C45">
        <f>Tervezés!E48</f>
        <v>0</v>
      </c>
      <c r="D45">
        <f>Tervezés!F48</f>
        <v>0</v>
      </c>
      <c r="E45">
        <f>Tervezés!H48</f>
        <v>0</v>
      </c>
      <c r="F45" t="str">
        <f t="shared" si="10"/>
        <v>0</v>
      </c>
      <c r="G45" t="str">
        <f t="shared" si="11"/>
        <v>0</v>
      </c>
      <c r="H45">
        <f>Tervezés!I48</f>
        <v>0</v>
      </c>
      <c r="I45">
        <f>Tervezés!J48</f>
        <v>0</v>
      </c>
      <c r="J45">
        <f>Tervezés!K48</f>
        <v>0</v>
      </c>
      <c r="K45">
        <f>Tervezés!L48</f>
        <v>0</v>
      </c>
      <c r="L45">
        <f>Tervezés!M48</f>
        <v>0</v>
      </c>
      <c r="M45" s="322" t="str">
        <f>IFERROR(VLOOKUP(A45,PAR!$D$3:$E$53,2,FALSE),"nincs szervezet")</f>
        <v>nincs szervezet</v>
      </c>
      <c r="N45" s="322" t="str">
        <f>VLOOKUP(F45,PAR!$R$3:$S$5,2,FALSE)</f>
        <v>3 - egyik sem</v>
      </c>
      <c r="O45" t="str">
        <f>IFERROR(VLOOKUP(J45,PAR!$O$3:$P$5,2,FALSE),"nincs feladat")</f>
        <v>nincs feladat</v>
      </c>
      <c r="P45" t="str">
        <f>IFERROR(VLOOKUP(G45,PAR!$J$2:$M$19,4),"nincs rovat")</f>
        <v>nincs rovat</v>
      </c>
      <c r="Q45" t="str">
        <f>IF(H45&gt;0,VLOOKUP(H45,PAR!$AA$3:$AC$187,3,FALSE),"nincs főkönyvi számla")</f>
        <v>nincs főkönyvi számla</v>
      </c>
      <c r="R45" t="str">
        <f>IFERROR(VLOOKUP(K45,PAR!$V$3:$X$438,3,FALSE),"000000 - Nincs COFOG")</f>
        <v>000000 - Nincs COFOG</v>
      </c>
      <c r="S45">
        <f t="shared" si="12"/>
        <v>0</v>
      </c>
      <c r="T45">
        <f t="shared" si="13"/>
        <v>0</v>
      </c>
      <c r="U45" t="str">
        <f>IF(Tervezés!F48&gt;0,CONCATENATE(Tervezés!E48," - ",Tervezés!F48,", ",Tervezés!J48),"nincs megjegyzés")</f>
        <v>nincs megjegyzés</v>
      </c>
      <c r="V45" t="str">
        <f t="shared" si="0"/>
        <v>6000</v>
      </c>
      <c r="W45" t="str">
        <f t="shared" si="1"/>
        <v>6000</v>
      </c>
      <c r="X45" t="str">
        <f t="shared" si="2"/>
        <v>00</v>
      </c>
      <c r="Y45" t="str">
        <f t="shared" si="3"/>
        <v>600</v>
      </c>
      <c r="Z45" t="str">
        <f t="shared" si="14"/>
        <v>00</v>
      </c>
      <c r="AA45" t="str">
        <f t="shared" si="4"/>
        <v>600</v>
      </c>
      <c r="AB45" t="str">
        <f t="shared" si="5"/>
        <v>00</v>
      </c>
      <c r="AC45" t="str">
        <f t="shared" si="6"/>
        <v>6000</v>
      </c>
      <c r="AD45" t="str">
        <f t="shared" si="7"/>
        <v>000</v>
      </c>
      <c r="AE45" t="str">
        <f t="shared" si="8"/>
        <v>6000</v>
      </c>
      <c r="AF45" t="str">
        <f t="shared" si="9"/>
        <v>000</v>
      </c>
      <c r="AG45" t="str">
        <f t="shared" si="15"/>
        <v>60000</v>
      </c>
      <c r="AH45" t="str">
        <f t="shared" si="16"/>
        <v>0000</v>
      </c>
      <c r="AI45" t="str">
        <f t="shared" si="17"/>
        <v>60000</v>
      </c>
      <c r="AJ45" t="str">
        <f t="shared" si="18"/>
        <v>0000</v>
      </c>
    </row>
    <row r="46" spans="1:36" x14ac:dyDescent="0.25">
      <c r="A46" s="325">
        <f>Tervezés!B49</f>
        <v>0</v>
      </c>
      <c r="B46">
        <v>60</v>
      </c>
      <c r="C46">
        <f>Tervezés!E49</f>
        <v>0</v>
      </c>
      <c r="D46">
        <f>Tervezés!F49</f>
        <v>0</v>
      </c>
      <c r="E46">
        <f>Tervezés!H49</f>
        <v>0</v>
      </c>
      <c r="F46" t="str">
        <f t="shared" si="10"/>
        <v>0</v>
      </c>
      <c r="G46" t="str">
        <f t="shared" si="11"/>
        <v>0</v>
      </c>
      <c r="H46">
        <f>Tervezés!I49</f>
        <v>0</v>
      </c>
      <c r="I46">
        <f>Tervezés!J49</f>
        <v>0</v>
      </c>
      <c r="J46">
        <f>Tervezés!K49</f>
        <v>0</v>
      </c>
      <c r="K46">
        <f>Tervezés!L49</f>
        <v>0</v>
      </c>
      <c r="L46">
        <f>Tervezés!M49</f>
        <v>0</v>
      </c>
      <c r="M46" s="322" t="str">
        <f>IFERROR(VLOOKUP(A46,PAR!$D$3:$E$53,2,FALSE),"nincs szervezet")</f>
        <v>nincs szervezet</v>
      </c>
      <c r="N46" s="322" t="str">
        <f>VLOOKUP(F46,PAR!$R$3:$S$5,2,FALSE)</f>
        <v>3 - egyik sem</v>
      </c>
      <c r="O46" t="str">
        <f>IFERROR(VLOOKUP(J46,PAR!$O$3:$P$5,2,FALSE),"nincs feladat")</f>
        <v>nincs feladat</v>
      </c>
      <c r="P46" t="str">
        <f>IFERROR(VLOOKUP(G46,PAR!$J$2:$M$19,4),"nincs rovat")</f>
        <v>nincs rovat</v>
      </c>
      <c r="Q46" t="str">
        <f>IF(H46&gt;0,VLOOKUP(H46,PAR!$AA$3:$AC$187,3,FALSE),"nincs főkönyvi számla")</f>
        <v>nincs főkönyvi számla</v>
      </c>
      <c r="R46" t="str">
        <f>IFERROR(VLOOKUP(K46,PAR!$V$3:$X$438,3,FALSE),"000000 - Nincs COFOG")</f>
        <v>000000 - Nincs COFOG</v>
      </c>
      <c r="S46">
        <f t="shared" si="12"/>
        <v>0</v>
      </c>
      <c r="T46">
        <f t="shared" si="13"/>
        <v>0</v>
      </c>
      <c r="U46" t="str">
        <f>IF(Tervezés!F49&gt;0,CONCATENATE(Tervezés!E49," - ",Tervezés!F49,", ",Tervezés!J49),"nincs megjegyzés")</f>
        <v>nincs megjegyzés</v>
      </c>
      <c r="V46" t="str">
        <f t="shared" si="0"/>
        <v>6000</v>
      </c>
      <c r="W46" t="str">
        <f t="shared" si="1"/>
        <v>6000</v>
      </c>
      <c r="X46" t="str">
        <f t="shared" si="2"/>
        <v>00</v>
      </c>
      <c r="Y46" t="str">
        <f t="shared" si="3"/>
        <v>600</v>
      </c>
      <c r="Z46" t="str">
        <f t="shared" si="14"/>
        <v>00</v>
      </c>
      <c r="AA46" t="str">
        <f t="shared" si="4"/>
        <v>600</v>
      </c>
      <c r="AB46" t="str">
        <f t="shared" si="5"/>
        <v>00</v>
      </c>
      <c r="AC46" t="str">
        <f t="shared" si="6"/>
        <v>6000</v>
      </c>
      <c r="AD46" t="str">
        <f t="shared" si="7"/>
        <v>000</v>
      </c>
      <c r="AE46" t="str">
        <f t="shared" si="8"/>
        <v>6000</v>
      </c>
      <c r="AF46" t="str">
        <f t="shared" si="9"/>
        <v>000</v>
      </c>
      <c r="AG46" t="str">
        <f t="shared" si="15"/>
        <v>60000</v>
      </c>
      <c r="AH46" t="str">
        <f t="shared" si="16"/>
        <v>0000</v>
      </c>
      <c r="AI46" t="str">
        <f t="shared" si="17"/>
        <v>60000</v>
      </c>
      <c r="AJ46" t="str">
        <f t="shared" si="18"/>
        <v>0000</v>
      </c>
    </row>
    <row r="47" spans="1:36" x14ac:dyDescent="0.25">
      <c r="A47" s="325">
        <f>Tervezés!B50</f>
        <v>0</v>
      </c>
      <c r="B47">
        <v>60</v>
      </c>
      <c r="C47">
        <f>Tervezés!E50</f>
        <v>0</v>
      </c>
      <c r="D47">
        <f>Tervezés!F50</f>
        <v>0</v>
      </c>
      <c r="E47">
        <f>Tervezés!H50</f>
        <v>0</v>
      </c>
      <c r="F47" t="str">
        <f t="shared" si="10"/>
        <v>0</v>
      </c>
      <c r="G47" t="str">
        <f t="shared" si="11"/>
        <v>0</v>
      </c>
      <c r="H47">
        <f>Tervezés!I50</f>
        <v>0</v>
      </c>
      <c r="I47">
        <f>Tervezés!J50</f>
        <v>0</v>
      </c>
      <c r="J47">
        <f>Tervezés!K50</f>
        <v>0</v>
      </c>
      <c r="K47">
        <f>Tervezés!L50</f>
        <v>0</v>
      </c>
      <c r="L47">
        <f>Tervezés!M50</f>
        <v>0</v>
      </c>
      <c r="M47" s="322" t="str">
        <f>IFERROR(VLOOKUP(A47,PAR!$D$3:$E$53,2,FALSE),"nincs szervezet")</f>
        <v>nincs szervezet</v>
      </c>
      <c r="N47" s="322" t="str">
        <f>VLOOKUP(F47,PAR!$R$3:$S$5,2,FALSE)</f>
        <v>3 - egyik sem</v>
      </c>
      <c r="O47" t="str">
        <f>IFERROR(VLOOKUP(J47,PAR!$O$3:$P$5,2,FALSE),"nincs feladat")</f>
        <v>nincs feladat</v>
      </c>
      <c r="P47" t="str">
        <f>IFERROR(VLOOKUP(G47,PAR!$J$2:$M$19,4),"nincs rovat")</f>
        <v>nincs rovat</v>
      </c>
      <c r="Q47" t="str">
        <f>IF(H47&gt;0,VLOOKUP(H47,PAR!$AA$3:$AC$187,3,FALSE),"nincs főkönyvi számla")</f>
        <v>nincs főkönyvi számla</v>
      </c>
      <c r="R47" t="str">
        <f>IFERROR(VLOOKUP(K47,PAR!$V$3:$X$438,3,FALSE),"000000 - Nincs COFOG")</f>
        <v>000000 - Nincs COFOG</v>
      </c>
      <c r="S47">
        <f t="shared" si="12"/>
        <v>0</v>
      </c>
      <c r="T47">
        <f t="shared" si="13"/>
        <v>0</v>
      </c>
      <c r="U47" t="str">
        <f>IF(Tervezés!F50&gt;0,CONCATENATE(Tervezés!E50," - ",Tervezés!F50,", ",Tervezés!J50),"nincs megjegyzés")</f>
        <v>nincs megjegyzés</v>
      </c>
      <c r="V47" t="str">
        <f t="shared" si="0"/>
        <v>6000</v>
      </c>
      <c r="W47" t="str">
        <f t="shared" si="1"/>
        <v>6000</v>
      </c>
      <c r="X47" t="str">
        <f t="shared" si="2"/>
        <v>00</v>
      </c>
      <c r="Y47" t="str">
        <f t="shared" si="3"/>
        <v>600</v>
      </c>
      <c r="Z47" t="str">
        <f t="shared" si="14"/>
        <v>00</v>
      </c>
      <c r="AA47" t="str">
        <f t="shared" si="4"/>
        <v>600</v>
      </c>
      <c r="AB47" t="str">
        <f t="shared" si="5"/>
        <v>00</v>
      </c>
      <c r="AC47" t="str">
        <f t="shared" si="6"/>
        <v>6000</v>
      </c>
      <c r="AD47" t="str">
        <f t="shared" si="7"/>
        <v>000</v>
      </c>
      <c r="AE47" t="str">
        <f t="shared" si="8"/>
        <v>6000</v>
      </c>
      <c r="AF47" t="str">
        <f t="shared" si="9"/>
        <v>000</v>
      </c>
      <c r="AG47" t="str">
        <f t="shared" si="15"/>
        <v>60000</v>
      </c>
      <c r="AH47" t="str">
        <f t="shared" si="16"/>
        <v>0000</v>
      </c>
      <c r="AI47" t="str">
        <f t="shared" si="17"/>
        <v>60000</v>
      </c>
      <c r="AJ47" t="str">
        <f t="shared" si="18"/>
        <v>0000</v>
      </c>
    </row>
    <row r="48" spans="1:36" x14ac:dyDescent="0.25">
      <c r="A48" s="325">
        <f>Tervezés!B51</f>
        <v>0</v>
      </c>
      <c r="B48">
        <v>60</v>
      </c>
      <c r="C48">
        <f>Tervezés!E51</f>
        <v>0</v>
      </c>
      <c r="D48">
        <f>Tervezés!F51</f>
        <v>0</v>
      </c>
      <c r="E48">
        <f>Tervezés!H51</f>
        <v>0</v>
      </c>
      <c r="F48" t="str">
        <f t="shared" si="10"/>
        <v>0</v>
      </c>
      <c r="G48" t="str">
        <f t="shared" si="11"/>
        <v>0</v>
      </c>
      <c r="H48">
        <f>Tervezés!I51</f>
        <v>0</v>
      </c>
      <c r="I48">
        <f>Tervezés!J51</f>
        <v>0</v>
      </c>
      <c r="J48">
        <f>Tervezés!K51</f>
        <v>0</v>
      </c>
      <c r="K48">
        <f>Tervezés!L51</f>
        <v>0</v>
      </c>
      <c r="L48">
        <f>Tervezés!M51</f>
        <v>0</v>
      </c>
      <c r="M48" s="322" t="str">
        <f>IFERROR(VLOOKUP(A48,PAR!$D$3:$E$53,2,FALSE),"nincs szervezet")</f>
        <v>nincs szervezet</v>
      </c>
      <c r="N48" s="322" t="str">
        <f>VLOOKUP(F48,PAR!$R$3:$S$5,2,FALSE)</f>
        <v>3 - egyik sem</v>
      </c>
      <c r="O48" t="str">
        <f>IFERROR(VLOOKUP(J48,PAR!$O$3:$P$5,2,FALSE),"nincs feladat")</f>
        <v>nincs feladat</v>
      </c>
      <c r="P48" t="str">
        <f>IFERROR(VLOOKUP(G48,PAR!$J$2:$M$19,4),"nincs rovat")</f>
        <v>nincs rovat</v>
      </c>
      <c r="Q48" t="str">
        <f>IF(H48&gt;0,VLOOKUP(H48,PAR!$AA$3:$AC$187,3,FALSE),"nincs főkönyvi számla")</f>
        <v>nincs főkönyvi számla</v>
      </c>
      <c r="R48" t="str">
        <f>IFERROR(VLOOKUP(K48,PAR!$V$3:$X$438,3,FALSE),"000000 - Nincs COFOG")</f>
        <v>000000 - Nincs COFOG</v>
      </c>
      <c r="S48">
        <f t="shared" si="12"/>
        <v>0</v>
      </c>
      <c r="T48">
        <f t="shared" si="13"/>
        <v>0</v>
      </c>
      <c r="U48" t="str">
        <f>IF(Tervezés!F51&gt;0,CONCATENATE(Tervezés!E51," - ",Tervezés!F51,", ",Tervezés!J51),"nincs megjegyzés")</f>
        <v>nincs megjegyzés</v>
      </c>
      <c r="V48" t="str">
        <f t="shared" si="0"/>
        <v>6000</v>
      </c>
      <c r="W48" t="str">
        <f t="shared" si="1"/>
        <v>6000</v>
      </c>
      <c r="X48" t="str">
        <f t="shared" si="2"/>
        <v>00</v>
      </c>
      <c r="Y48" t="str">
        <f t="shared" si="3"/>
        <v>600</v>
      </c>
      <c r="Z48" t="str">
        <f t="shared" si="14"/>
        <v>00</v>
      </c>
      <c r="AA48" t="str">
        <f t="shared" si="4"/>
        <v>600</v>
      </c>
      <c r="AB48" t="str">
        <f t="shared" si="5"/>
        <v>00</v>
      </c>
      <c r="AC48" t="str">
        <f t="shared" si="6"/>
        <v>6000</v>
      </c>
      <c r="AD48" t="str">
        <f t="shared" si="7"/>
        <v>000</v>
      </c>
      <c r="AE48" t="str">
        <f t="shared" si="8"/>
        <v>6000</v>
      </c>
      <c r="AF48" t="str">
        <f t="shared" si="9"/>
        <v>000</v>
      </c>
      <c r="AG48" t="str">
        <f t="shared" si="15"/>
        <v>60000</v>
      </c>
      <c r="AH48" t="str">
        <f t="shared" si="16"/>
        <v>0000</v>
      </c>
      <c r="AI48" t="str">
        <f t="shared" si="17"/>
        <v>60000</v>
      </c>
      <c r="AJ48" t="str">
        <f t="shared" si="18"/>
        <v>0000</v>
      </c>
    </row>
    <row r="49" spans="1:36" x14ac:dyDescent="0.25">
      <c r="A49" s="325">
        <f>Tervezés!B52</f>
        <v>0</v>
      </c>
      <c r="B49">
        <v>60</v>
      </c>
      <c r="C49">
        <f>Tervezés!E52</f>
        <v>0</v>
      </c>
      <c r="D49">
        <f>Tervezés!F52</f>
        <v>0</v>
      </c>
      <c r="E49">
        <f>Tervezés!H52</f>
        <v>0</v>
      </c>
      <c r="F49" t="str">
        <f t="shared" si="10"/>
        <v>0</v>
      </c>
      <c r="G49" t="str">
        <f t="shared" si="11"/>
        <v>0</v>
      </c>
      <c r="H49">
        <f>Tervezés!I52</f>
        <v>0</v>
      </c>
      <c r="I49">
        <f>Tervezés!J52</f>
        <v>0</v>
      </c>
      <c r="J49">
        <f>Tervezés!K52</f>
        <v>0</v>
      </c>
      <c r="K49">
        <f>Tervezés!L52</f>
        <v>0</v>
      </c>
      <c r="L49">
        <f>Tervezés!M52</f>
        <v>0</v>
      </c>
      <c r="M49" s="322" t="str">
        <f>IFERROR(VLOOKUP(A49,PAR!$D$3:$E$53,2,FALSE),"nincs szervezet")</f>
        <v>nincs szervezet</v>
      </c>
      <c r="N49" s="322" t="str">
        <f>VLOOKUP(F49,PAR!$R$3:$S$5,2,FALSE)</f>
        <v>3 - egyik sem</v>
      </c>
      <c r="O49" t="str">
        <f>IFERROR(VLOOKUP(J49,PAR!$O$3:$P$5,2,FALSE),"nincs feladat")</f>
        <v>nincs feladat</v>
      </c>
      <c r="P49" t="str">
        <f>IFERROR(VLOOKUP(G49,PAR!$J$2:$M$19,4),"nincs rovat")</f>
        <v>nincs rovat</v>
      </c>
      <c r="Q49" t="str">
        <f>IF(H49&gt;0,VLOOKUP(H49,PAR!$AA$3:$AC$187,3,FALSE),"nincs főkönyvi számla")</f>
        <v>nincs főkönyvi számla</v>
      </c>
      <c r="R49" t="str">
        <f>IFERROR(VLOOKUP(K49,PAR!$V$3:$X$438,3,FALSE),"000000 - Nincs COFOG")</f>
        <v>000000 - Nincs COFOG</v>
      </c>
      <c r="S49">
        <f t="shared" si="12"/>
        <v>0</v>
      </c>
      <c r="T49">
        <f t="shared" si="13"/>
        <v>0</v>
      </c>
      <c r="U49" t="str">
        <f>IF(Tervezés!F52&gt;0,CONCATENATE(Tervezés!E52," - ",Tervezés!F52,", ",Tervezés!J52),"nincs megjegyzés")</f>
        <v>nincs megjegyzés</v>
      </c>
      <c r="V49" t="str">
        <f t="shared" si="0"/>
        <v>6000</v>
      </c>
      <c r="W49" t="str">
        <f t="shared" si="1"/>
        <v>6000</v>
      </c>
      <c r="X49" t="str">
        <f t="shared" si="2"/>
        <v>00</v>
      </c>
      <c r="Y49" t="str">
        <f t="shared" si="3"/>
        <v>600</v>
      </c>
      <c r="Z49" t="str">
        <f t="shared" si="14"/>
        <v>00</v>
      </c>
      <c r="AA49" t="str">
        <f t="shared" si="4"/>
        <v>600</v>
      </c>
      <c r="AB49" t="str">
        <f t="shared" si="5"/>
        <v>00</v>
      </c>
      <c r="AC49" t="str">
        <f t="shared" si="6"/>
        <v>6000</v>
      </c>
      <c r="AD49" t="str">
        <f t="shared" si="7"/>
        <v>000</v>
      </c>
      <c r="AE49" t="str">
        <f t="shared" si="8"/>
        <v>6000</v>
      </c>
      <c r="AF49" t="str">
        <f t="shared" si="9"/>
        <v>000</v>
      </c>
      <c r="AG49" t="str">
        <f t="shared" si="15"/>
        <v>60000</v>
      </c>
      <c r="AH49" t="str">
        <f t="shared" si="16"/>
        <v>0000</v>
      </c>
      <c r="AI49" t="str">
        <f t="shared" si="17"/>
        <v>60000</v>
      </c>
      <c r="AJ49" t="str">
        <f t="shared" si="18"/>
        <v>0000</v>
      </c>
    </row>
    <row r="50" spans="1:36" x14ac:dyDescent="0.25">
      <c r="A50" s="325">
        <f>Tervezés!B53</f>
        <v>0</v>
      </c>
      <c r="B50">
        <v>60</v>
      </c>
      <c r="C50">
        <f>Tervezés!E53</f>
        <v>0</v>
      </c>
      <c r="D50">
        <f>Tervezés!F53</f>
        <v>0</v>
      </c>
      <c r="E50">
        <f>Tervezés!H53</f>
        <v>0</v>
      </c>
      <c r="F50" t="str">
        <f t="shared" si="10"/>
        <v>0</v>
      </c>
      <c r="G50" t="str">
        <f t="shared" si="11"/>
        <v>0</v>
      </c>
      <c r="H50">
        <f>Tervezés!I53</f>
        <v>0</v>
      </c>
      <c r="I50">
        <f>Tervezés!J53</f>
        <v>0</v>
      </c>
      <c r="J50">
        <f>Tervezés!K53</f>
        <v>0</v>
      </c>
      <c r="K50">
        <f>Tervezés!L53</f>
        <v>0</v>
      </c>
      <c r="L50">
        <f>Tervezés!M53</f>
        <v>0</v>
      </c>
      <c r="M50" s="322" t="str">
        <f>IFERROR(VLOOKUP(A50,PAR!$D$3:$E$53,2,FALSE),"nincs szervezet")</f>
        <v>nincs szervezet</v>
      </c>
      <c r="N50" s="322" t="str">
        <f>VLOOKUP(F50,PAR!$R$3:$S$5,2,FALSE)</f>
        <v>3 - egyik sem</v>
      </c>
      <c r="O50" t="str">
        <f>IFERROR(VLOOKUP(J50,PAR!$O$3:$P$5,2,FALSE),"nincs feladat")</f>
        <v>nincs feladat</v>
      </c>
      <c r="P50" t="str">
        <f>IFERROR(VLOOKUP(G50,PAR!$J$2:$M$19,4),"nincs rovat")</f>
        <v>nincs rovat</v>
      </c>
      <c r="Q50" t="str">
        <f>IF(H50&gt;0,VLOOKUP(H50,PAR!$AA$3:$AC$187,3,FALSE),"nincs főkönyvi számla")</f>
        <v>nincs főkönyvi számla</v>
      </c>
      <c r="R50" t="str">
        <f>IFERROR(VLOOKUP(K50,PAR!$V$3:$X$438,3,FALSE),"000000 - Nincs COFOG")</f>
        <v>000000 - Nincs COFOG</v>
      </c>
      <c r="S50">
        <f t="shared" si="12"/>
        <v>0</v>
      </c>
      <c r="T50">
        <f t="shared" si="13"/>
        <v>0</v>
      </c>
      <c r="U50" t="str">
        <f>IF(Tervezés!F53&gt;0,CONCATENATE(Tervezés!E53," - ",Tervezés!F53,", ",Tervezés!J53),"nincs megjegyzés")</f>
        <v>nincs megjegyzés</v>
      </c>
      <c r="V50" t="str">
        <f t="shared" si="0"/>
        <v>6000</v>
      </c>
      <c r="W50" t="str">
        <f t="shared" si="1"/>
        <v>6000</v>
      </c>
      <c r="X50" t="str">
        <f t="shared" si="2"/>
        <v>00</v>
      </c>
      <c r="Y50" t="str">
        <f t="shared" si="3"/>
        <v>600</v>
      </c>
      <c r="Z50" t="str">
        <f t="shared" si="14"/>
        <v>00</v>
      </c>
      <c r="AA50" t="str">
        <f t="shared" si="4"/>
        <v>600</v>
      </c>
      <c r="AB50" t="str">
        <f t="shared" si="5"/>
        <v>00</v>
      </c>
      <c r="AC50" t="str">
        <f t="shared" si="6"/>
        <v>6000</v>
      </c>
      <c r="AD50" t="str">
        <f t="shared" si="7"/>
        <v>000</v>
      </c>
      <c r="AE50" t="str">
        <f t="shared" si="8"/>
        <v>6000</v>
      </c>
      <c r="AF50" t="str">
        <f t="shared" si="9"/>
        <v>000</v>
      </c>
      <c r="AG50" t="str">
        <f t="shared" si="15"/>
        <v>60000</v>
      </c>
      <c r="AH50" t="str">
        <f t="shared" si="16"/>
        <v>0000</v>
      </c>
      <c r="AI50" t="str">
        <f t="shared" si="17"/>
        <v>60000</v>
      </c>
      <c r="AJ50" t="str">
        <f t="shared" si="18"/>
        <v>0000</v>
      </c>
    </row>
    <row r="51" spans="1:36" x14ac:dyDescent="0.25">
      <c r="A51" s="325">
        <f>Tervezés!B54</f>
        <v>0</v>
      </c>
      <c r="B51">
        <v>60</v>
      </c>
      <c r="C51">
        <f>Tervezés!E54</f>
        <v>0</v>
      </c>
      <c r="D51">
        <f>Tervezés!F54</f>
        <v>0</v>
      </c>
      <c r="E51">
        <f>Tervezés!H54</f>
        <v>0</v>
      </c>
      <c r="F51" t="str">
        <f t="shared" si="10"/>
        <v>0</v>
      </c>
      <c r="G51" t="str">
        <f t="shared" si="11"/>
        <v>0</v>
      </c>
      <c r="H51">
        <f>Tervezés!I54</f>
        <v>0</v>
      </c>
      <c r="I51">
        <f>Tervezés!J54</f>
        <v>0</v>
      </c>
      <c r="J51">
        <f>Tervezés!K54</f>
        <v>0</v>
      </c>
      <c r="K51">
        <f>Tervezés!L54</f>
        <v>0</v>
      </c>
      <c r="L51">
        <f>Tervezés!M54</f>
        <v>0</v>
      </c>
      <c r="M51" s="322" t="str">
        <f>IFERROR(VLOOKUP(A51,PAR!$D$3:$E$53,2,FALSE),"nincs szervezet")</f>
        <v>nincs szervezet</v>
      </c>
      <c r="N51" s="322" t="str">
        <f>VLOOKUP(F51,PAR!$R$3:$S$5,2,FALSE)</f>
        <v>3 - egyik sem</v>
      </c>
      <c r="O51" t="str">
        <f>IFERROR(VLOOKUP(J51,PAR!$O$3:$P$5,2,FALSE),"nincs feladat")</f>
        <v>nincs feladat</v>
      </c>
      <c r="P51" t="str">
        <f>IFERROR(VLOOKUP(G51,PAR!$J$2:$M$19,4),"nincs rovat")</f>
        <v>nincs rovat</v>
      </c>
      <c r="Q51" t="str">
        <f>IF(H51&gt;0,VLOOKUP(H51,PAR!$AA$3:$AC$187,3,FALSE),"nincs főkönyvi számla")</f>
        <v>nincs főkönyvi számla</v>
      </c>
      <c r="R51" t="str">
        <f>IFERROR(VLOOKUP(K51,PAR!$V$3:$X$438,3,FALSE),"000000 - Nincs COFOG")</f>
        <v>000000 - Nincs COFOG</v>
      </c>
      <c r="S51">
        <f t="shared" si="12"/>
        <v>0</v>
      </c>
      <c r="T51">
        <f t="shared" si="13"/>
        <v>0</v>
      </c>
      <c r="U51" t="str">
        <f>IF(Tervezés!F54&gt;0,CONCATENATE(Tervezés!E54," - ",Tervezés!F54,", ",Tervezés!J54),"nincs megjegyzés")</f>
        <v>nincs megjegyzés</v>
      </c>
      <c r="V51" t="str">
        <f t="shared" si="0"/>
        <v>6000</v>
      </c>
      <c r="W51" t="str">
        <f t="shared" si="1"/>
        <v>6000</v>
      </c>
      <c r="X51" t="str">
        <f t="shared" si="2"/>
        <v>00</v>
      </c>
      <c r="Y51" t="str">
        <f t="shared" si="3"/>
        <v>600</v>
      </c>
      <c r="Z51" t="str">
        <f t="shared" si="14"/>
        <v>00</v>
      </c>
      <c r="AA51" t="str">
        <f t="shared" si="4"/>
        <v>600</v>
      </c>
      <c r="AB51" t="str">
        <f t="shared" si="5"/>
        <v>00</v>
      </c>
      <c r="AC51" t="str">
        <f t="shared" si="6"/>
        <v>6000</v>
      </c>
      <c r="AD51" t="str">
        <f t="shared" si="7"/>
        <v>000</v>
      </c>
      <c r="AE51" t="str">
        <f t="shared" si="8"/>
        <v>6000</v>
      </c>
      <c r="AF51" t="str">
        <f t="shared" si="9"/>
        <v>000</v>
      </c>
      <c r="AG51" t="str">
        <f t="shared" si="15"/>
        <v>60000</v>
      </c>
      <c r="AH51" t="str">
        <f t="shared" si="16"/>
        <v>0000</v>
      </c>
      <c r="AI51" t="str">
        <f t="shared" si="17"/>
        <v>60000</v>
      </c>
      <c r="AJ51" t="str">
        <f t="shared" si="18"/>
        <v>0000</v>
      </c>
    </row>
    <row r="52" spans="1:36" x14ac:dyDescent="0.25">
      <c r="A52" s="325">
        <f>Tervezés!B55</f>
        <v>0</v>
      </c>
      <c r="B52">
        <v>60</v>
      </c>
      <c r="C52">
        <f>Tervezés!E55</f>
        <v>0</v>
      </c>
      <c r="D52">
        <f>Tervezés!F55</f>
        <v>0</v>
      </c>
      <c r="E52">
        <f>Tervezés!H55</f>
        <v>0</v>
      </c>
      <c r="F52" t="str">
        <f t="shared" si="10"/>
        <v>0</v>
      </c>
      <c r="G52" t="str">
        <f t="shared" si="11"/>
        <v>0</v>
      </c>
      <c r="H52">
        <f>Tervezés!I55</f>
        <v>0</v>
      </c>
      <c r="I52">
        <f>Tervezés!J55</f>
        <v>0</v>
      </c>
      <c r="J52">
        <f>Tervezés!K55</f>
        <v>0</v>
      </c>
      <c r="K52">
        <f>Tervezés!L55</f>
        <v>0</v>
      </c>
      <c r="L52">
        <f>Tervezés!M55</f>
        <v>0</v>
      </c>
      <c r="M52" s="322" t="str">
        <f>IFERROR(VLOOKUP(A52,PAR!$D$3:$E$53,2,FALSE),"nincs szervezet")</f>
        <v>nincs szervezet</v>
      </c>
      <c r="N52" s="322" t="str">
        <f>VLOOKUP(F52,PAR!$R$3:$S$5,2,FALSE)</f>
        <v>3 - egyik sem</v>
      </c>
      <c r="O52" t="str">
        <f>IFERROR(VLOOKUP(J52,PAR!$O$3:$P$5,2,FALSE),"nincs feladat")</f>
        <v>nincs feladat</v>
      </c>
      <c r="P52" t="str">
        <f>IFERROR(VLOOKUP(G52,PAR!$J$2:$M$19,4),"nincs rovat")</f>
        <v>nincs rovat</v>
      </c>
      <c r="Q52" t="str">
        <f>IF(H52&gt;0,VLOOKUP(H52,PAR!$AA$3:$AC$187,3,FALSE),"nincs főkönyvi számla")</f>
        <v>nincs főkönyvi számla</v>
      </c>
      <c r="R52" t="str">
        <f>IFERROR(VLOOKUP(K52,PAR!$V$3:$X$438,3,FALSE),"000000 - Nincs COFOG")</f>
        <v>000000 - Nincs COFOG</v>
      </c>
      <c r="S52">
        <f t="shared" si="12"/>
        <v>0</v>
      </c>
      <c r="T52">
        <f t="shared" si="13"/>
        <v>0</v>
      </c>
      <c r="U52" t="str">
        <f>IF(Tervezés!F55&gt;0,CONCATENATE(Tervezés!E55," - ",Tervezés!F55,", ",Tervezés!J55),"nincs megjegyzés")</f>
        <v>nincs megjegyzés</v>
      </c>
      <c r="V52" t="str">
        <f t="shared" si="0"/>
        <v>6000</v>
      </c>
      <c r="W52" t="str">
        <f t="shared" si="1"/>
        <v>6000</v>
      </c>
      <c r="X52" t="str">
        <f t="shared" si="2"/>
        <v>00</v>
      </c>
      <c r="Y52" t="str">
        <f t="shared" si="3"/>
        <v>600</v>
      </c>
      <c r="Z52" t="str">
        <f t="shared" si="14"/>
        <v>00</v>
      </c>
      <c r="AA52" t="str">
        <f t="shared" si="4"/>
        <v>600</v>
      </c>
      <c r="AB52" t="str">
        <f t="shared" si="5"/>
        <v>00</v>
      </c>
      <c r="AC52" t="str">
        <f t="shared" si="6"/>
        <v>6000</v>
      </c>
      <c r="AD52" t="str">
        <f t="shared" si="7"/>
        <v>000</v>
      </c>
      <c r="AE52" t="str">
        <f t="shared" si="8"/>
        <v>6000</v>
      </c>
      <c r="AF52" t="str">
        <f t="shared" si="9"/>
        <v>000</v>
      </c>
      <c r="AG52" t="str">
        <f t="shared" si="15"/>
        <v>60000</v>
      </c>
      <c r="AH52" t="str">
        <f t="shared" si="16"/>
        <v>0000</v>
      </c>
      <c r="AI52" t="str">
        <f t="shared" si="17"/>
        <v>60000</v>
      </c>
      <c r="AJ52" t="str">
        <f t="shared" si="18"/>
        <v>0000</v>
      </c>
    </row>
    <row r="53" spans="1:36" x14ac:dyDescent="0.25">
      <c r="A53" s="325">
        <f>Tervezés!B56</f>
        <v>0</v>
      </c>
      <c r="B53">
        <v>60</v>
      </c>
      <c r="C53">
        <f>Tervezés!E56</f>
        <v>0</v>
      </c>
      <c r="D53">
        <f>Tervezés!F56</f>
        <v>0</v>
      </c>
      <c r="E53">
        <f>Tervezés!H56</f>
        <v>0</v>
      </c>
      <c r="F53" t="str">
        <f t="shared" si="10"/>
        <v>0</v>
      </c>
      <c r="G53" t="str">
        <f t="shared" si="11"/>
        <v>0</v>
      </c>
      <c r="H53">
        <f>Tervezés!I56</f>
        <v>0</v>
      </c>
      <c r="I53">
        <f>Tervezés!J56</f>
        <v>0</v>
      </c>
      <c r="J53">
        <f>Tervezés!K56</f>
        <v>0</v>
      </c>
      <c r="K53">
        <f>Tervezés!L56</f>
        <v>0</v>
      </c>
      <c r="L53">
        <f>Tervezés!M56</f>
        <v>0</v>
      </c>
      <c r="M53" s="322" t="str">
        <f>IFERROR(VLOOKUP(A53,PAR!$D$3:$E$53,2,FALSE),"nincs szervezet")</f>
        <v>nincs szervezet</v>
      </c>
      <c r="N53" s="322" t="str">
        <f>VLOOKUP(F53,PAR!$R$3:$S$5,2,FALSE)</f>
        <v>3 - egyik sem</v>
      </c>
      <c r="O53" t="str">
        <f>IFERROR(VLOOKUP(J53,PAR!$O$3:$P$5,2,FALSE),"nincs feladat")</f>
        <v>nincs feladat</v>
      </c>
      <c r="P53" t="str">
        <f>IFERROR(VLOOKUP(G53,PAR!$J$2:$M$19,4),"nincs rovat")</f>
        <v>nincs rovat</v>
      </c>
      <c r="Q53" t="str">
        <f>IF(H53&gt;0,VLOOKUP(H53,PAR!$AA$3:$AC$187,3,FALSE),"nincs főkönyvi számla")</f>
        <v>nincs főkönyvi számla</v>
      </c>
      <c r="R53" t="str">
        <f>IFERROR(VLOOKUP(K53,PAR!$V$3:$X$438,3,FALSE),"000000 - Nincs COFOG")</f>
        <v>000000 - Nincs COFOG</v>
      </c>
      <c r="S53">
        <f t="shared" si="12"/>
        <v>0</v>
      </c>
      <c r="T53">
        <f t="shared" si="13"/>
        <v>0</v>
      </c>
      <c r="U53" t="str">
        <f>IF(Tervezés!F56&gt;0,CONCATENATE(Tervezés!E56," - ",Tervezés!F56,", ",Tervezés!J56),"nincs megjegyzés")</f>
        <v>nincs megjegyzés</v>
      </c>
      <c r="V53" t="str">
        <f t="shared" si="0"/>
        <v>6000</v>
      </c>
      <c r="W53" t="str">
        <f t="shared" si="1"/>
        <v>6000</v>
      </c>
      <c r="X53" t="str">
        <f t="shared" si="2"/>
        <v>00</v>
      </c>
      <c r="Y53" t="str">
        <f t="shared" si="3"/>
        <v>600</v>
      </c>
      <c r="Z53" t="str">
        <f t="shared" si="14"/>
        <v>00</v>
      </c>
      <c r="AA53" t="str">
        <f t="shared" si="4"/>
        <v>600</v>
      </c>
      <c r="AB53" t="str">
        <f t="shared" si="5"/>
        <v>00</v>
      </c>
      <c r="AC53" t="str">
        <f t="shared" si="6"/>
        <v>6000</v>
      </c>
      <c r="AD53" t="str">
        <f t="shared" si="7"/>
        <v>000</v>
      </c>
      <c r="AE53" t="str">
        <f t="shared" si="8"/>
        <v>6000</v>
      </c>
      <c r="AF53" t="str">
        <f t="shared" si="9"/>
        <v>000</v>
      </c>
      <c r="AG53" t="str">
        <f t="shared" si="15"/>
        <v>60000</v>
      </c>
      <c r="AH53" t="str">
        <f t="shared" si="16"/>
        <v>0000</v>
      </c>
      <c r="AI53" t="str">
        <f t="shared" si="17"/>
        <v>60000</v>
      </c>
      <c r="AJ53" t="str">
        <f t="shared" si="18"/>
        <v>0000</v>
      </c>
    </row>
    <row r="54" spans="1:36" x14ac:dyDescent="0.25">
      <c r="A54" s="325">
        <f>Tervezés!B57</f>
        <v>0</v>
      </c>
      <c r="B54">
        <v>60</v>
      </c>
      <c r="C54">
        <f>Tervezés!E57</f>
        <v>0</v>
      </c>
      <c r="D54">
        <f>Tervezés!F57</f>
        <v>0</v>
      </c>
      <c r="E54">
        <f>Tervezés!H57</f>
        <v>0</v>
      </c>
      <c r="F54" t="str">
        <f t="shared" si="10"/>
        <v>0</v>
      </c>
      <c r="G54" t="str">
        <f t="shared" si="11"/>
        <v>0</v>
      </c>
      <c r="H54">
        <f>Tervezés!I57</f>
        <v>0</v>
      </c>
      <c r="I54">
        <f>Tervezés!J57</f>
        <v>0</v>
      </c>
      <c r="J54">
        <f>Tervezés!K57</f>
        <v>0</v>
      </c>
      <c r="K54">
        <f>Tervezés!L57</f>
        <v>0</v>
      </c>
      <c r="L54">
        <f>Tervezés!M57</f>
        <v>0</v>
      </c>
      <c r="M54" s="322" t="str">
        <f>IFERROR(VLOOKUP(A54,PAR!$D$3:$E$53,2,FALSE),"nincs szervezet")</f>
        <v>nincs szervezet</v>
      </c>
      <c r="N54" s="322" t="str">
        <f>VLOOKUP(F54,PAR!$R$3:$S$5,2,FALSE)</f>
        <v>3 - egyik sem</v>
      </c>
      <c r="O54" t="str">
        <f>IFERROR(VLOOKUP(J54,PAR!$O$3:$P$5,2,FALSE),"nincs feladat")</f>
        <v>nincs feladat</v>
      </c>
      <c r="P54" t="str">
        <f>IFERROR(VLOOKUP(G54,PAR!$J$2:$M$19,4),"nincs rovat")</f>
        <v>nincs rovat</v>
      </c>
      <c r="Q54" t="str">
        <f>IF(H54&gt;0,VLOOKUP(H54,PAR!$AA$3:$AC$187,3,FALSE),"nincs főkönyvi számla")</f>
        <v>nincs főkönyvi számla</v>
      </c>
      <c r="R54" t="str">
        <f>IFERROR(VLOOKUP(K54,PAR!$V$3:$X$438,3,FALSE),"000000 - Nincs COFOG")</f>
        <v>000000 - Nincs COFOG</v>
      </c>
      <c r="S54">
        <f t="shared" si="12"/>
        <v>0</v>
      </c>
      <c r="T54">
        <f t="shared" si="13"/>
        <v>0</v>
      </c>
      <c r="U54" t="str">
        <f>IF(Tervezés!F57&gt;0,CONCATENATE(Tervezés!E57," - ",Tervezés!F57,", ",Tervezés!J57),"nincs megjegyzés")</f>
        <v>nincs megjegyzés</v>
      </c>
      <c r="V54" t="str">
        <f t="shared" si="0"/>
        <v>6000</v>
      </c>
      <c r="W54" t="str">
        <f t="shared" si="1"/>
        <v>6000</v>
      </c>
      <c r="X54" t="str">
        <f t="shared" si="2"/>
        <v>00</v>
      </c>
      <c r="Y54" t="str">
        <f t="shared" si="3"/>
        <v>600</v>
      </c>
      <c r="Z54" t="str">
        <f t="shared" si="14"/>
        <v>00</v>
      </c>
      <c r="AA54" t="str">
        <f t="shared" si="4"/>
        <v>600</v>
      </c>
      <c r="AB54" t="str">
        <f t="shared" si="5"/>
        <v>00</v>
      </c>
      <c r="AC54" t="str">
        <f t="shared" si="6"/>
        <v>6000</v>
      </c>
      <c r="AD54" t="str">
        <f t="shared" si="7"/>
        <v>000</v>
      </c>
      <c r="AE54" t="str">
        <f t="shared" si="8"/>
        <v>6000</v>
      </c>
      <c r="AF54" t="str">
        <f t="shared" si="9"/>
        <v>000</v>
      </c>
      <c r="AG54" t="str">
        <f t="shared" si="15"/>
        <v>60000</v>
      </c>
      <c r="AH54" t="str">
        <f t="shared" si="16"/>
        <v>0000</v>
      </c>
      <c r="AI54" t="str">
        <f t="shared" si="17"/>
        <v>60000</v>
      </c>
      <c r="AJ54" t="str">
        <f t="shared" si="18"/>
        <v>0000</v>
      </c>
    </row>
    <row r="55" spans="1:36" x14ac:dyDescent="0.25">
      <c r="A55" s="325">
        <f>Tervezés!B58</f>
        <v>0</v>
      </c>
      <c r="B55">
        <v>60</v>
      </c>
      <c r="C55">
        <f>Tervezés!E58</f>
        <v>0</v>
      </c>
      <c r="D55">
        <f>Tervezés!F58</f>
        <v>0</v>
      </c>
      <c r="E55">
        <f>Tervezés!H58</f>
        <v>0</v>
      </c>
      <c r="F55" t="str">
        <f t="shared" si="10"/>
        <v>0</v>
      </c>
      <c r="G55" t="str">
        <f t="shared" si="11"/>
        <v>0</v>
      </c>
      <c r="H55">
        <f>Tervezés!I58</f>
        <v>0</v>
      </c>
      <c r="I55">
        <f>Tervezés!J58</f>
        <v>0</v>
      </c>
      <c r="J55">
        <f>Tervezés!K58</f>
        <v>0</v>
      </c>
      <c r="K55">
        <f>Tervezés!L58</f>
        <v>0</v>
      </c>
      <c r="L55">
        <f>Tervezés!M58</f>
        <v>0</v>
      </c>
      <c r="M55" s="322" t="str">
        <f>IFERROR(VLOOKUP(A55,PAR!$D$3:$E$53,2,FALSE),"nincs szervezet")</f>
        <v>nincs szervezet</v>
      </c>
      <c r="N55" s="322" t="str">
        <f>VLOOKUP(F55,PAR!$R$3:$S$5,2,FALSE)</f>
        <v>3 - egyik sem</v>
      </c>
      <c r="O55" t="str">
        <f>IFERROR(VLOOKUP(J55,PAR!$O$3:$P$5,2,FALSE),"nincs feladat")</f>
        <v>nincs feladat</v>
      </c>
      <c r="P55" t="str">
        <f>IFERROR(VLOOKUP(G55,PAR!$J$2:$M$19,4),"nincs rovat")</f>
        <v>nincs rovat</v>
      </c>
      <c r="Q55" t="str">
        <f>IF(H55&gt;0,VLOOKUP(H55,PAR!$AA$3:$AC$187,3,FALSE),"nincs főkönyvi számla")</f>
        <v>nincs főkönyvi számla</v>
      </c>
      <c r="R55" t="str">
        <f>IFERROR(VLOOKUP(K55,PAR!$V$3:$X$438,3,FALSE),"000000 - Nincs COFOG")</f>
        <v>000000 - Nincs COFOG</v>
      </c>
      <c r="S55">
        <f t="shared" si="12"/>
        <v>0</v>
      </c>
      <c r="T55">
        <f t="shared" si="13"/>
        <v>0</v>
      </c>
      <c r="U55" t="str">
        <f>IF(Tervezés!F58&gt;0,CONCATENATE(Tervezés!E58," - ",Tervezés!F58,", ",Tervezés!J58),"nincs megjegyzés")</f>
        <v>nincs megjegyzés</v>
      </c>
      <c r="V55" t="str">
        <f t="shared" si="0"/>
        <v>6000</v>
      </c>
      <c r="W55" t="str">
        <f t="shared" si="1"/>
        <v>6000</v>
      </c>
      <c r="X55" t="str">
        <f t="shared" si="2"/>
        <v>00</v>
      </c>
      <c r="Y55" t="str">
        <f t="shared" si="3"/>
        <v>600</v>
      </c>
      <c r="Z55" t="str">
        <f t="shared" si="14"/>
        <v>00</v>
      </c>
      <c r="AA55" t="str">
        <f t="shared" si="4"/>
        <v>600</v>
      </c>
      <c r="AB55" t="str">
        <f t="shared" si="5"/>
        <v>00</v>
      </c>
      <c r="AC55" t="str">
        <f t="shared" si="6"/>
        <v>6000</v>
      </c>
      <c r="AD55" t="str">
        <f t="shared" si="7"/>
        <v>000</v>
      </c>
      <c r="AE55" t="str">
        <f t="shared" si="8"/>
        <v>6000</v>
      </c>
      <c r="AF55" t="str">
        <f t="shared" si="9"/>
        <v>000</v>
      </c>
      <c r="AG55" t="str">
        <f t="shared" si="15"/>
        <v>60000</v>
      </c>
      <c r="AH55" t="str">
        <f t="shared" si="16"/>
        <v>0000</v>
      </c>
      <c r="AI55" t="str">
        <f t="shared" si="17"/>
        <v>60000</v>
      </c>
      <c r="AJ55" t="str">
        <f t="shared" si="18"/>
        <v>0000</v>
      </c>
    </row>
    <row r="56" spans="1:36" x14ac:dyDescent="0.25">
      <c r="A56" s="325">
        <f>Tervezés!B59</f>
        <v>0</v>
      </c>
      <c r="B56">
        <v>60</v>
      </c>
      <c r="C56">
        <f>Tervezés!E59</f>
        <v>0</v>
      </c>
      <c r="D56">
        <f>Tervezés!F59</f>
        <v>0</v>
      </c>
      <c r="E56">
        <f>Tervezés!H59</f>
        <v>0</v>
      </c>
      <c r="F56" t="str">
        <f t="shared" si="10"/>
        <v>0</v>
      </c>
      <c r="G56" t="str">
        <f t="shared" si="11"/>
        <v>0</v>
      </c>
      <c r="H56">
        <f>Tervezés!I59</f>
        <v>0</v>
      </c>
      <c r="I56">
        <f>Tervezés!J59</f>
        <v>0</v>
      </c>
      <c r="J56">
        <f>Tervezés!K59</f>
        <v>0</v>
      </c>
      <c r="K56">
        <f>Tervezés!L59</f>
        <v>0</v>
      </c>
      <c r="L56">
        <f>Tervezés!M59</f>
        <v>0</v>
      </c>
      <c r="M56" s="322" t="str">
        <f>IFERROR(VLOOKUP(A56,PAR!$D$3:$E$53,2,FALSE),"nincs szervezet")</f>
        <v>nincs szervezet</v>
      </c>
      <c r="N56" s="322" t="str">
        <f>VLOOKUP(F56,PAR!$R$3:$S$5,2,FALSE)</f>
        <v>3 - egyik sem</v>
      </c>
      <c r="O56" t="str">
        <f>IFERROR(VLOOKUP(J56,PAR!$O$3:$P$5,2,FALSE),"nincs feladat")</f>
        <v>nincs feladat</v>
      </c>
      <c r="P56" t="str">
        <f>IFERROR(VLOOKUP(G56,PAR!$J$2:$M$19,4),"nincs rovat")</f>
        <v>nincs rovat</v>
      </c>
      <c r="Q56" t="str">
        <f>IF(H56&gt;0,VLOOKUP(H56,PAR!$AA$3:$AC$187,3,FALSE),"nincs főkönyvi számla")</f>
        <v>nincs főkönyvi számla</v>
      </c>
      <c r="R56" t="str">
        <f>IFERROR(VLOOKUP(K56,PAR!$V$3:$X$438,3,FALSE),"000000 - Nincs COFOG")</f>
        <v>000000 - Nincs COFOG</v>
      </c>
      <c r="S56">
        <f t="shared" si="12"/>
        <v>0</v>
      </c>
      <c r="T56">
        <f t="shared" si="13"/>
        <v>0</v>
      </c>
      <c r="U56" t="str">
        <f>IF(Tervezés!F59&gt;0,CONCATENATE(Tervezés!E59," - ",Tervezés!F59,", ",Tervezés!J59),"nincs megjegyzés")</f>
        <v>nincs megjegyzés</v>
      </c>
      <c r="V56" t="str">
        <f t="shared" si="0"/>
        <v>6000</v>
      </c>
      <c r="W56" t="str">
        <f t="shared" si="1"/>
        <v>6000</v>
      </c>
      <c r="X56" t="str">
        <f t="shared" si="2"/>
        <v>00</v>
      </c>
      <c r="Y56" t="str">
        <f t="shared" si="3"/>
        <v>600</v>
      </c>
      <c r="Z56" t="str">
        <f t="shared" si="14"/>
        <v>00</v>
      </c>
      <c r="AA56" t="str">
        <f t="shared" si="4"/>
        <v>600</v>
      </c>
      <c r="AB56" t="str">
        <f t="shared" si="5"/>
        <v>00</v>
      </c>
      <c r="AC56" t="str">
        <f t="shared" si="6"/>
        <v>6000</v>
      </c>
      <c r="AD56" t="str">
        <f t="shared" si="7"/>
        <v>000</v>
      </c>
      <c r="AE56" t="str">
        <f t="shared" si="8"/>
        <v>6000</v>
      </c>
      <c r="AF56" t="str">
        <f t="shared" si="9"/>
        <v>000</v>
      </c>
      <c r="AG56" t="str">
        <f t="shared" si="15"/>
        <v>60000</v>
      </c>
      <c r="AH56" t="str">
        <f t="shared" si="16"/>
        <v>0000</v>
      </c>
      <c r="AI56" t="str">
        <f t="shared" si="17"/>
        <v>60000</v>
      </c>
      <c r="AJ56" t="str">
        <f t="shared" si="18"/>
        <v>0000</v>
      </c>
    </row>
    <row r="57" spans="1:36" x14ac:dyDescent="0.25">
      <c r="A57" s="325">
        <f>Tervezés!B60</f>
        <v>0</v>
      </c>
      <c r="B57">
        <v>60</v>
      </c>
      <c r="C57">
        <f>Tervezés!E60</f>
        <v>0</v>
      </c>
      <c r="D57">
        <f>Tervezés!F60</f>
        <v>0</v>
      </c>
      <c r="E57">
        <f>Tervezés!H60</f>
        <v>0</v>
      </c>
      <c r="F57" t="str">
        <f t="shared" si="10"/>
        <v>0</v>
      </c>
      <c r="G57" t="str">
        <f t="shared" si="11"/>
        <v>0</v>
      </c>
      <c r="H57">
        <f>Tervezés!I60</f>
        <v>0</v>
      </c>
      <c r="I57">
        <f>Tervezés!J60</f>
        <v>0</v>
      </c>
      <c r="J57">
        <f>Tervezés!K60</f>
        <v>0</v>
      </c>
      <c r="K57">
        <f>Tervezés!L60</f>
        <v>0</v>
      </c>
      <c r="L57">
        <f>Tervezés!M60</f>
        <v>0</v>
      </c>
      <c r="M57" s="322" t="str">
        <f>IFERROR(VLOOKUP(A57,PAR!$D$3:$E$53,2,FALSE),"nincs szervezet")</f>
        <v>nincs szervezet</v>
      </c>
      <c r="N57" s="322" t="str">
        <f>VLOOKUP(F57,PAR!$R$3:$S$5,2,FALSE)</f>
        <v>3 - egyik sem</v>
      </c>
      <c r="O57" t="str">
        <f>IFERROR(VLOOKUP(J57,PAR!$O$3:$P$5,2,FALSE),"nincs feladat")</f>
        <v>nincs feladat</v>
      </c>
      <c r="P57" t="str">
        <f>IFERROR(VLOOKUP(G57,PAR!$J$2:$M$19,4),"nincs rovat")</f>
        <v>nincs rovat</v>
      </c>
      <c r="Q57" t="str">
        <f>IF(H57&gt;0,VLOOKUP(H57,PAR!$AA$3:$AC$187,3,FALSE),"nincs főkönyvi számla")</f>
        <v>nincs főkönyvi számla</v>
      </c>
      <c r="R57" t="str">
        <f>IFERROR(VLOOKUP(K57,PAR!$V$3:$X$438,3,FALSE),"000000 - Nincs COFOG")</f>
        <v>000000 - Nincs COFOG</v>
      </c>
      <c r="S57">
        <f t="shared" si="12"/>
        <v>0</v>
      </c>
      <c r="T57">
        <f t="shared" si="13"/>
        <v>0</v>
      </c>
      <c r="U57" t="str">
        <f>IF(Tervezés!F60&gt;0,CONCATENATE(Tervezés!E60," - ",Tervezés!F60,", ",Tervezés!J60),"nincs megjegyzés")</f>
        <v>nincs megjegyzés</v>
      </c>
      <c r="V57" t="str">
        <f t="shared" si="0"/>
        <v>6000</v>
      </c>
      <c r="W57" t="str">
        <f t="shared" si="1"/>
        <v>6000</v>
      </c>
      <c r="X57" t="str">
        <f t="shared" si="2"/>
        <v>00</v>
      </c>
      <c r="Y57" t="str">
        <f t="shared" si="3"/>
        <v>600</v>
      </c>
      <c r="Z57" t="str">
        <f t="shared" si="14"/>
        <v>00</v>
      </c>
      <c r="AA57" t="str">
        <f t="shared" si="4"/>
        <v>600</v>
      </c>
      <c r="AB57" t="str">
        <f t="shared" si="5"/>
        <v>00</v>
      </c>
      <c r="AC57" t="str">
        <f t="shared" si="6"/>
        <v>6000</v>
      </c>
      <c r="AD57" t="str">
        <f t="shared" si="7"/>
        <v>000</v>
      </c>
      <c r="AE57" t="str">
        <f t="shared" si="8"/>
        <v>6000</v>
      </c>
      <c r="AF57" t="str">
        <f t="shared" si="9"/>
        <v>000</v>
      </c>
      <c r="AG57" t="str">
        <f t="shared" si="15"/>
        <v>60000</v>
      </c>
      <c r="AH57" t="str">
        <f t="shared" si="16"/>
        <v>0000</v>
      </c>
      <c r="AI57" t="str">
        <f t="shared" si="17"/>
        <v>60000</v>
      </c>
      <c r="AJ57" t="str">
        <f t="shared" si="18"/>
        <v>0000</v>
      </c>
    </row>
    <row r="58" spans="1:36" x14ac:dyDescent="0.25">
      <c r="A58" s="325">
        <f>Tervezés!B61</f>
        <v>0</v>
      </c>
      <c r="B58">
        <v>60</v>
      </c>
      <c r="C58">
        <f>Tervezés!E61</f>
        <v>0</v>
      </c>
      <c r="D58">
        <f>Tervezés!F61</f>
        <v>0</v>
      </c>
      <c r="E58">
        <f>Tervezés!H61</f>
        <v>0</v>
      </c>
      <c r="F58" t="str">
        <f t="shared" si="10"/>
        <v>0</v>
      </c>
      <c r="G58" t="str">
        <f t="shared" si="11"/>
        <v>0</v>
      </c>
      <c r="H58">
        <f>Tervezés!I61</f>
        <v>0</v>
      </c>
      <c r="I58">
        <f>Tervezés!J61</f>
        <v>0</v>
      </c>
      <c r="J58">
        <f>Tervezés!K61</f>
        <v>0</v>
      </c>
      <c r="K58">
        <f>Tervezés!L61</f>
        <v>0</v>
      </c>
      <c r="L58">
        <f>Tervezés!M61</f>
        <v>0</v>
      </c>
      <c r="M58" s="322" t="str">
        <f>IFERROR(VLOOKUP(A58,PAR!$D$3:$E$53,2,FALSE),"nincs szervezet")</f>
        <v>nincs szervezet</v>
      </c>
      <c r="N58" s="322" t="str">
        <f>VLOOKUP(F58,PAR!$R$3:$S$5,2,FALSE)</f>
        <v>3 - egyik sem</v>
      </c>
      <c r="O58" t="str">
        <f>IFERROR(VLOOKUP(J58,PAR!$O$3:$P$5,2,FALSE),"nincs feladat")</f>
        <v>nincs feladat</v>
      </c>
      <c r="P58" t="str">
        <f>IFERROR(VLOOKUP(G58,PAR!$J$2:$M$19,4),"nincs rovat")</f>
        <v>nincs rovat</v>
      </c>
      <c r="Q58" t="str">
        <f>IF(H58&gt;0,VLOOKUP(H58,PAR!$AA$3:$AC$187,3,FALSE),"nincs főkönyvi számla")</f>
        <v>nincs főkönyvi számla</v>
      </c>
      <c r="R58" t="str">
        <f>IFERROR(VLOOKUP(K58,PAR!$V$3:$X$438,3,FALSE),"000000 - Nincs COFOG")</f>
        <v>000000 - Nincs COFOG</v>
      </c>
      <c r="S58">
        <f t="shared" si="12"/>
        <v>0</v>
      </c>
      <c r="T58">
        <f t="shared" si="13"/>
        <v>0</v>
      </c>
      <c r="U58" t="str">
        <f>IF(Tervezés!F61&gt;0,CONCATENATE(Tervezés!E61," - ",Tervezés!F61,", ",Tervezés!J61),"nincs megjegyzés")</f>
        <v>nincs megjegyzés</v>
      </c>
      <c r="V58" t="str">
        <f t="shared" si="0"/>
        <v>6000</v>
      </c>
      <c r="W58" t="str">
        <f t="shared" si="1"/>
        <v>6000</v>
      </c>
      <c r="X58" t="str">
        <f t="shared" si="2"/>
        <v>00</v>
      </c>
      <c r="Y58" t="str">
        <f t="shared" si="3"/>
        <v>600</v>
      </c>
      <c r="Z58" t="str">
        <f t="shared" si="14"/>
        <v>00</v>
      </c>
      <c r="AA58" t="str">
        <f t="shared" si="4"/>
        <v>600</v>
      </c>
      <c r="AB58" t="str">
        <f t="shared" si="5"/>
        <v>00</v>
      </c>
      <c r="AC58" t="str">
        <f t="shared" si="6"/>
        <v>6000</v>
      </c>
      <c r="AD58" t="str">
        <f t="shared" si="7"/>
        <v>000</v>
      </c>
      <c r="AE58" t="str">
        <f t="shared" si="8"/>
        <v>6000</v>
      </c>
      <c r="AF58" t="str">
        <f t="shared" si="9"/>
        <v>000</v>
      </c>
      <c r="AG58" t="str">
        <f t="shared" si="15"/>
        <v>60000</v>
      </c>
      <c r="AH58" t="str">
        <f t="shared" si="16"/>
        <v>0000</v>
      </c>
      <c r="AI58" t="str">
        <f t="shared" si="17"/>
        <v>60000</v>
      </c>
      <c r="AJ58" t="str">
        <f t="shared" si="18"/>
        <v>0000</v>
      </c>
    </row>
    <row r="59" spans="1:36" x14ac:dyDescent="0.25">
      <c r="A59" s="325">
        <f>Tervezés!B62</f>
        <v>0</v>
      </c>
      <c r="B59">
        <v>60</v>
      </c>
      <c r="C59">
        <f>Tervezés!E62</f>
        <v>0</v>
      </c>
      <c r="D59">
        <f>Tervezés!F62</f>
        <v>0</v>
      </c>
      <c r="E59">
        <f>Tervezés!H62</f>
        <v>0</v>
      </c>
      <c r="F59" t="str">
        <f t="shared" si="10"/>
        <v>0</v>
      </c>
      <c r="G59" t="str">
        <f t="shared" si="11"/>
        <v>0</v>
      </c>
      <c r="H59">
        <f>Tervezés!I62</f>
        <v>0</v>
      </c>
      <c r="I59">
        <f>Tervezés!J62</f>
        <v>0</v>
      </c>
      <c r="J59">
        <f>Tervezés!K62</f>
        <v>0</v>
      </c>
      <c r="K59">
        <f>Tervezés!L62</f>
        <v>0</v>
      </c>
      <c r="L59">
        <f>Tervezés!M62</f>
        <v>0</v>
      </c>
      <c r="M59" s="322" t="str">
        <f>IFERROR(VLOOKUP(A59,PAR!$D$3:$E$53,2,FALSE),"nincs szervezet")</f>
        <v>nincs szervezet</v>
      </c>
      <c r="N59" s="322" t="str">
        <f>VLOOKUP(F59,PAR!$R$3:$S$5,2,FALSE)</f>
        <v>3 - egyik sem</v>
      </c>
      <c r="O59" t="str">
        <f>IFERROR(VLOOKUP(J59,PAR!$O$3:$P$5,2,FALSE),"nincs feladat")</f>
        <v>nincs feladat</v>
      </c>
      <c r="P59" t="str">
        <f>IFERROR(VLOOKUP(G59,PAR!$J$2:$M$19,4),"nincs rovat")</f>
        <v>nincs rovat</v>
      </c>
      <c r="Q59" t="str">
        <f>IF(H59&gt;0,VLOOKUP(H59,PAR!$AA$3:$AC$187,3,FALSE),"nincs főkönyvi számla")</f>
        <v>nincs főkönyvi számla</v>
      </c>
      <c r="R59" t="str">
        <f>IFERROR(VLOOKUP(K59,PAR!$V$3:$X$438,3,FALSE),"000000 - Nincs COFOG")</f>
        <v>000000 - Nincs COFOG</v>
      </c>
      <c r="S59">
        <f t="shared" si="12"/>
        <v>0</v>
      </c>
      <c r="T59">
        <f t="shared" si="13"/>
        <v>0</v>
      </c>
      <c r="U59" t="str">
        <f>IF(Tervezés!F62&gt;0,CONCATENATE(Tervezés!E62," - ",Tervezés!F62,", ",Tervezés!J62),"nincs megjegyzés")</f>
        <v>nincs megjegyzés</v>
      </c>
      <c r="V59" t="str">
        <f t="shared" si="0"/>
        <v>6000</v>
      </c>
      <c r="W59" t="str">
        <f t="shared" si="1"/>
        <v>6000</v>
      </c>
      <c r="X59" t="str">
        <f t="shared" si="2"/>
        <v>00</v>
      </c>
      <c r="Y59" t="str">
        <f t="shared" si="3"/>
        <v>600</v>
      </c>
      <c r="Z59" t="str">
        <f t="shared" si="14"/>
        <v>00</v>
      </c>
      <c r="AA59" t="str">
        <f t="shared" si="4"/>
        <v>600</v>
      </c>
      <c r="AB59" t="str">
        <f t="shared" si="5"/>
        <v>00</v>
      </c>
      <c r="AC59" t="str">
        <f t="shared" si="6"/>
        <v>6000</v>
      </c>
      <c r="AD59" t="str">
        <f t="shared" si="7"/>
        <v>000</v>
      </c>
      <c r="AE59" t="str">
        <f t="shared" si="8"/>
        <v>6000</v>
      </c>
      <c r="AF59" t="str">
        <f t="shared" si="9"/>
        <v>000</v>
      </c>
      <c r="AG59" t="str">
        <f t="shared" si="15"/>
        <v>60000</v>
      </c>
      <c r="AH59" t="str">
        <f t="shared" si="16"/>
        <v>0000</v>
      </c>
      <c r="AI59" t="str">
        <f t="shared" si="17"/>
        <v>60000</v>
      </c>
      <c r="AJ59" t="str">
        <f t="shared" si="18"/>
        <v>0000</v>
      </c>
    </row>
    <row r="60" spans="1:36" x14ac:dyDescent="0.25">
      <c r="A60" s="325">
        <f>Tervezés!B63</f>
        <v>0</v>
      </c>
      <c r="B60">
        <v>60</v>
      </c>
      <c r="C60">
        <f>Tervezés!E63</f>
        <v>0</v>
      </c>
      <c r="D60">
        <f>Tervezés!F63</f>
        <v>0</v>
      </c>
      <c r="E60">
        <f>Tervezés!H63</f>
        <v>0</v>
      </c>
      <c r="F60" t="str">
        <f t="shared" si="10"/>
        <v>0</v>
      </c>
      <c r="G60" t="str">
        <f t="shared" si="11"/>
        <v>0</v>
      </c>
      <c r="H60">
        <f>Tervezés!I63</f>
        <v>0</v>
      </c>
      <c r="I60">
        <f>Tervezés!J63</f>
        <v>0</v>
      </c>
      <c r="J60">
        <f>Tervezés!K63</f>
        <v>0</v>
      </c>
      <c r="K60">
        <f>Tervezés!L63</f>
        <v>0</v>
      </c>
      <c r="L60">
        <f>Tervezés!M63</f>
        <v>0</v>
      </c>
      <c r="M60" s="322" t="str">
        <f>IFERROR(VLOOKUP(A60,PAR!$D$3:$E$53,2,FALSE),"nincs szervezet")</f>
        <v>nincs szervezet</v>
      </c>
      <c r="N60" s="322" t="str">
        <f>VLOOKUP(F60,PAR!$R$3:$S$5,2,FALSE)</f>
        <v>3 - egyik sem</v>
      </c>
      <c r="O60" t="str">
        <f>IFERROR(VLOOKUP(J60,PAR!$O$3:$P$5,2,FALSE),"nincs feladat")</f>
        <v>nincs feladat</v>
      </c>
      <c r="P60" t="str">
        <f>IFERROR(VLOOKUP(G60,PAR!$J$2:$M$19,4),"nincs rovat")</f>
        <v>nincs rovat</v>
      </c>
      <c r="Q60" t="str">
        <f>IF(H60&gt;0,VLOOKUP(H60,PAR!$AA$3:$AC$187,3,FALSE),"nincs főkönyvi számla")</f>
        <v>nincs főkönyvi számla</v>
      </c>
      <c r="R60" t="str">
        <f>IFERROR(VLOOKUP(K60,PAR!$V$3:$X$438,3,FALSE),"000000 - Nincs COFOG")</f>
        <v>000000 - Nincs COFOG</v>
      </c>
      <c r="S60">
        <f t="shared" si="12"/>
        <v>0</v>
      </c>
      <c r="T60">
        <f t="shared" si="13"/>
        <v>0</v>
      </c>
      <c r="U60" t="str">
        <f>IF(Tervezés!F63&gt;0,CONCATENATE(Tervezés!E63," - ",Tervezés!F63,", ",Tervezés!J63),"nincs megjegyzés")</f>
        <v>nincs megjegyzés</v>
      </c>
      <c r="V60" t="str">
        <f t="shared" si="0"/>
        <v>6000</v>
      </c>
      <c r="W60" t="str">
        <f t="shared" si="1"/>
        <v>6000</v>
      </c>
      <c r="X60" t="str">
        <f t="shared" si="2"/>
        <v>00</v>
      </c>
      <c r="Y60" t="str">
        <f t="shared" si="3"/>
        <v>600</v>
      </c>
      <c r="Z60" t="str">
        <f t="shared" si="14"/>
        <v>00</v>
      </c>
      <c r="AA60" t="str">
        <f t="shared" si="4"/>
        <v>600</v>
      </c>
      <c r="AB60" t="str">
        <f t="shared" si="5"/>
        <v>00</v>
      </c>
      <c r="AC60" t="str">
        <f t="shared" si="6"/>
        <v>6000</v>
      </c>
      <c r="AD60" t="str">
        <f t="shared" si="7"/>
        <v>000</v>
      </c>
      <c r="AE60" t="str">
        <f t="shared" si="8"/>
        <v>6000</v>
      </c>
      <c r="AF60" t="str">
        <f t="shared" si="9"/>
        <v>000</v>
      </c>
      <c r="AG60" t="str">
        <f t="shared" si="15"/>
        <v>60000</v>
      </c>
      <c r="AH60" t="str">
        <f t="shared" si="16"/>
        <v>0000</v>
      </c>
      <c r="AI60" t="str">
        <f t="shared" si="17"/>
        <v>60000</v>
      </c>
      <c r="AJ60" t="str">
        <f t="shared" si="18"/>
        <v>0000</v>
      </c>
    </row>
    <row r="61" spans="1:36" x14ac:dyDescent="0.25">
      <c r="A61" s="325">
        <f>Tervezés!B64</f>
        <v>0</v>
      </c>
      <c r="B61">
        <v>60</v>
      </c>
      <c r="C61">
        <f>Tervezés!E64</f>
        <v>0</v>
      </c>
      <c r="D61">
        <f>Tervezés!F64</f>
        <v>0</v>
      </c>
      <c r="E61">
        <f>Tervezés!H64</f>
        <v>0</v>
      </c>
      <c r="F61" t="str">
        <f t="shared" si="10"/>
        <v>0</v>
      </c>
      <c r="G61" t="str">
        <f t="shared" si="11"/>
        <v>0</v>
      </c>
      <c r="H61">
        <f>Tervezés!I64</f>
        <v>0</v>
      </c>
      <c r="I61">
        <f>Tervezés!J64</f>
        <v>0</v>
      </c>
      <c r="J61">
        <f>Tervezés!K64</f>
        <v>0</v>
      </c>
      <c r="K61">
        <f>Tervezés!L64</f>
        <v>0</v>
      </c>
      <c r="L61">
        <f>Tervezés!M64</f>
        <v>0</v>
      </c>
      <c r="M61" s="322" t="str">
        <f>IFERROR(VLOOKUP(A61,PAR!$D$3:$E$53,2,FALSE),"nincs szervezet")</f>
        <v>nincs szervezet</v>
      </c>
      <c r="N61" s="322" t="str">
        <f>VLOOKUP(F61,PAR!$R$3:$S$5,2,FALSE)</f>
        <v>3 - egyik sem</v>
      </c>
      <c r="O61" t="str">
        <f>IFERROR(VLOOKUP(J61,PAR!$O$3:$P$5,2,FALSE),"nincs feladat")</f>
        <v>nincs feladat</v>
      </c>
      <c r="P61" t="str">
        <f>IFERROR(VLOOKUP(G61,PAR!$J$2:$M$19,4),"nincs rovat")</f>
        <v>nincs rovat</v>
      </c>
      <c r="Q61" t="str">
        <f>IF(H61&gt;0,VLOOKUP(H61,PAR!$AA$3:$AC$187,3,FALSE),"nincs főkönyvi számla")</f>
        <v>nincs főkönyvi számla</v>
      </c>
      <c r="R61" t="str">
        <f>IFERROR(VLOOKUP(K61,PAR!$V$3:$X$438,3,FALSE),"000000 - Nincs COFOG")</f>
        <v>000000 - Nincs COFOG</v>
      </c>
      <c r="S61">
        <f t="shared" si="12"/>
        <v>0</v>
      </c>
      <c r="T61">
        <f t="shared" si="13"/>
        <v>0</v>
      </c>
      <c r="U61" t="str">
        <f>IF(Tervezés!F64&gt;0,CONCATENATE(Tervezés!E64," - ",Tervezés!F64,", ",Tervezés!J64),"nincs megjegyzés")</f>
        <v>nincs megjegyzés</v>
      </c>
      <c r="V61" t="str">
        <f t="shared" si="0"/>
        <v>6000</v>
      </c>
      <c r="W61" t="str">
        <f t="shared" si="1"/>
        <v>6000</v>
      </c>
      <c r="X61" t="str">
        <f t="shared" si="2"/>
        <v>00</v>
      </c>
      <c r="Y61" t="str">
        <f t="shared" si="3"/>
        <v>600</v>
      </c>
      <c r="Z61" t="str">
        <f t="shared" si="14"/>
        <v>00</v>
      </c>
      <c r="AA61" t="str">
        <f t="shared" si="4"/>
        <v>600</v>
      </c>
      <c r="AB61" t="str">
        <f t="shared" si="5"/>
        <v>00</v>
      </c>
      <c r="AC61" t="str">
        <f t="shared" si="6"/>
        <v>6000</v>
      </c>
      <c r="AD61" t="str">
        <f t="shared" si="7"/>
        <v>000</v>
      </c>
      <c r="AE61" t="str">
        <f t="shared" si="8"/>
        <v>6000</v>
      </c>
      <c r="AF61" t="str">
        <f t="shared" si="9"/>
        <v>000</v>
      </c>
      <c r="AG61" t="str">
        <f t="shared" si="15"/>
        <v>60000</v>
      </c>
      <c r="AH61" t="str">
        <f t="shared" si="16"/>
        <v>0000</v>
      </c>
      <c r="AI61" t="str">
        <f t="shared" si="17"/>
        <v>60000</v>
      </c>
      <c r="AJ61" t="str">
        <f t="shared" si="18"/>
        <v>0000</v>
      </c>
    </row>
    <row r="62" spans="1:36" x14ac:dyDescent="0.25">
      <c r="A62" s="325">
        <f>Tervezés!B65</f>
        <v>0</v>
      </c>
      <c r="B62">
        <v>60</v>
      </c>
      <c r="C62">
        <f>Tervezés!E65</f>
        <v>0</v>
      </c>
      <c r="D62">
        <f>Tervezés!F65</f>
        <v>0</v>
      </c>
      <c r="E62">
        <f>Tervezés!H65</f>
        <v>0</v>
      </c>
      <c r="F62" t="str">
        <f t="shared" si="10"/>
        <v>0</v>
      </c>
      <c r="G62" t="str">
        <f t="shared" si="11"/>
        <v>0</v>
      </c>
      <c r="H62">
        <f>Tervezés!I65</f>
        <v>0</v>
      </c>
      <c r="I62">
        <f>Tervezés!J65</f>
        <v>0</v>
      </c>
      <c r="J62">
        <f>Tervezés!K65</f>
        <v>0</v>
      </c>
      <c r="K62">
        <f>Tervezés!L65</f>
        <v>0</v>
      </c>
      <c r="L62">
        <f>Tervezés!M65</f>
        <v>0</v>
      </c>
      <c r="M62" s="322" t="str">
        <f>IFERROR(VLOOKUP(A62,PAR!$D$3:$E$53,2,FALSE),"nincs szervezet")</f>
        <v>nincs szervezet</v>
      </c>
      <c r="N62" s="322" t="str">
        <f>VLOOKUP(F62,PAR!$R$3:$S$5,2,FALSE)</f>
        <v>3 - egyik sem</v>
      </c>
      <c r="O62" t="str">
        <f>IFERROR(VLOOKUP(J62,PAR!$O$3:$P$5,2,FALSE),"nincs feladat")</f>
        <v>nincs feladat</v>
      </c>
      <c r="P62" t="str">
        <f>IFERROR(VLOOKUP(G62,PAR!$J$2:$M$19,4),"nincs rovat")</f>
        <v>nincs rovat</v>
      </c>
      <c r="Q62" t="str">
        <f>IF(H62&gt;0,VLOOKUP(H62,PAR!$AA$3:$AC$187,3,FALSE),"nincs főkönyvi számla")</f>
        <v>nincs főkönyvi számla</v>
      </c>
      <c r="R62" t="str">
        <f>IFERROR(VLOOKUP(K62,PAR!$V$3:$X$438,3,FALSE),"000000 - Nincs COFOG")</f>
        <v>000000 - Nincs COFOG</v>
      </c>
      <c r="S62">
        <f t="shared" si="12"/>
        <v>0</v>
      </c>
      <c r="T62">
        <f t="shared" si="13"/>
        <v>0</v>
      </c>
      <c r="U62" t="str">
        <f>IF(Tervezés!F65&gt;0,CONCATENATE(Tervezés!E65," - ",Tervezés!F65,", ",Tervezés!J65),"nincs megjegyzés")</f>
        <v>nincs megjegyzés</v>
      </c>
      <c r="V62" t="str">
        <f t="shared" si="0"/>
        <v>6000</v>
      </c>
      <c r="W62" t="str">
        <f t="shared" si="1"/>
        <v>6000</v>
      </c>
      <c r="X62" t="str">
        <f t="shared" si="2"/>
        <v>00</v>
      </c>
      <c r="Y62" t="str">
        <f t="shared" si="3"/>
        <v>600</v>
      </c>
      <c r="Z62" t="str">
        <f t="shared" si="14"/>
        <v>00</v>
      </c>
      <c r="AA62" t="str">
        <f t="shared" si="4"/>
        <v>600</v>
      </c>
      <c r="AB62" t="str">
        <f t="shared" si="5"/>
        <v>00</v>
      </c>
      <c r="AC62" t="str">
        <f t="shared" si="6"/>
        <v>6000</v>
      </c>
      <c r="AD62" t="str">
        <f t="shared" si="7"/>
        <v>000</v>
      </c>
      <c r="AE62" t="str">
        <f t="shared" si="8"/>
        <v>6000</v>
      </c>
      <c r="AF62" t="str">
        <f t="shared" si="9"/>
        <v>000</v>
      </c>
      <c r="AG62" t="str">
        <f t="shared" si="15"/>
        <v>60000</v>
      </c>
      <c r="AH62" t="str">
        <f t="shared" si="16"/>
        <v>0000</v>
      </c>
      <c r="AI62" t="str">
        <f t="shared" si="17"/>
        <v>60000</v>
      </c>
      <c r="AJ62" t="str">
        <f t="shared" si="18"/>
        <v>0000</v>
      </c>
    </row>
    <row r="63" spans="1:36" x14ac:dyDescent="0.25">
      <c r="A63" s="325">
        <f>Tervezés!B66</f>
        <v>0</v>
      </c>
      <c r="B63">
        <v>60</v>
      </c>
      <c r="C63">
        <f>Tervezés!E66</f>
        <v>0</v>
      </c>
      <c r="D63">
        <f>Tervezés!F66</f>
        <v>0</v>
      </c>
      <c r="E63">
        <f>Tervezés!H66</f>
        <v>0</v>
      </c>
      <c r="F63" t="str">
        <f t="shared" si="10"/>
        <v>0</v>
      </c>
      <c r="G63" t="str">
        <f t="shared" si="11"/>
        <v>0</v>
      </c>
      <c r="H63">
        <f>Tervezés!I66</f>
        <v>0</v>
      </c>
      <c r="I63">
        <f>Tervezés!J66</f>
        <v>0</v>
      </c>
      <c r="J63">
        <f>Tervezés!K66</f>
        <v>0</v>
      </c>
      <c r="K63">
        <f>Tervezés!L66</f>
        <v>0</v>
      </c>
      <c r="L63">
        <f>Tervezés!M66</f>
        <v>0</v>
      </c>
      <c r="M63" s="322" t="str">
        <f>IFERROR(VLOOKUP(A63,PAR!$D$3:$E$53,2,FALSE),"nincs szervezet")</f>
        <v>nincs szervezet</v>
      </c>
      <c r="N63" s="322" t="str">
        <f>VLOOKUP(F63,PAR!$R$3:$S$5,2,FALSE)</f>
        <v>3 - egyik sem</v>
      </c>
      <c r="O63" t="str">
        <f>IFERROR(VLOOKUP(J63,PAR!$O$3:$P$5,2,FALSE),"nincs feladat")</f>
        <v>nincs feladat</v>
      </c>
      <c r="P63" t="str">
        <f>IFERROR(VLOOKUP(G63,PAR!$J$2:$M$19,4),"nincs rovat")</f>
        <v>nincs rovat</v>
      </c>
      <c r="Q63" t="str">
        <f>IF(H63&gt;0,VLOOKUP(H63,PAR!$AA$3:$AC$187,3,FALSE),"nincs főkönyvi számla")</f>
        <v>nincs főkönyvi számla</v>
      </c>
      <c r="R63" t="str">
        <f>IFERROR(VLOOKUP(K63,PAR!$V$3:$X$438,3,FALSE),"000000 - Nincs COFOG")</f>
        <v>000000 - Nincs COFOG</v>
      </c>
      <c r="S63">
        <f t="shared" si="12"/>
        <v>0</v>
      </c>
      <c r="T63">
        <f t="shared" si="13"/>
        <v>0</v>
      </c>
      <c r="U63" t="str">
        <f>IF(Tervezés!F66&gt;0,CONCATENATE(Tervezés!E66," - ",Tervezés!F66,", ",Tervezés!J66),"nincs megjegyzés")</f>
        <v>nincs megjegyzés</v>
      </c>
      <c r="V63" t="str">
        <f t="shared" si="0"/>
        <v>6000</v>
      </c>
      <c r="W63" t="str">
        <f t="shared" si="1"/>
        <v>6000</v>
      </c>
      <c r="X63" t="str">
        <f t="shared" si="2"/>
        <v>00</v>
      </c>
      <c r="Y63" t="str">
        <f t="shared" si="3"/>
        <v>600</v>
      </c>
      <c r="Z63" t="str">
        <f t="shared" si="14"/>
        <v>00</v>
      </c>
      <c r="AA63" t="str">
        <f t="shared" si="4"/>
        <v>600</v>
      </c>
      <c r="AB63" t="str">
        <f t="shared" si="5"/>
        <v>00</v>
      </c>
      <c r="AC63" t="str">
        <f t="shared" si="6"/>
        <v>6000</v>
      </c>
      <c r="AD63" t="str">
        <f t="shared" si="7"/>
        <v>000</v>
      </c>
      <c r="AE63" t="str">
        <f t="shared" si="8"/>
        <v>6000</v>
      </c>
      <c r="AF63" t="str">
        <f t="shared" si="9"/>
        <v>000</v>
      </c>
      <c r="AG63" t="str">
        <f t="shared" si="15"/>
        <v>60000</v>
      </c>
      <c r="AH63" t="str">
        <f t="shared" si="16"/>
        <v>0000</v>
      </c>
      <c r="AI63" t="str">
        <f t="shared" si="17"/>
        <v>60000</v>
      </c>
      <c r="AJ63" t="str">
        <f t="shared" si="18"/>
        <v>0000</v>
      </c>
    </row>
    <row r="64" spans="1:36" x14ac:dyDescent="0.25">
      <c r="A64" s="325">
        <f>Tervezés!B67</f>
        <v>0</v>
      </c>
      <c r="B64">
        <v>60</v>
      </c>
      <c r="C64">
        <f>Tervezés!E67</f>
        <v>0</v>
      </c>
      <c r="D64">
        <f>Tervezés!F67</f>
        <v>0</v>
      </c>
      <c r="E64">
        <f>Tervezés!H67</f>
        <v>0</v>
      </c>
      <c r="F64" t="str">
        <f t="shared" si="10"/>
        <v>0</v>
      </c>
      <c r="G64" t="str">
        <f t="shared" si="11"/>
        <v>0</v>
      </c>
      <c r="H64">
        <f>Tervezés!I67</f>
        <v>0</v>
      </c>
      <c r="I64">
        <f>Tervezés!J67</f>
        <v>0</v>
      </c>
      <c r="J64">
        <f>Tervezés!K67</f>
        <v>0</v>
      </c>
      <c r="K64">
        <f>Tervezés!L67</f>
        <v>0</v>
      </c>
      <c r="L64">
        <f>Tervezés!M67</f>
        <v>0</v>
      </c>
      <c r="M64" s="322" t="str">
        <f>IFERROR(VLOOKUP(A64,PAR!$D$3:$E$53,2,FALSE),"nincs szervezet")</f>
        <v>nincs szervezet</v>
      </c>
      <c r="N64" s="322" t="str">
        <f>VLOOKUP(F64,PAR!$R$3:$S$5,2,FALSE)</f>
        <v>3 - egyik sem</v>
      </c>
      <c r="O64" t="str">
        <f>IFERROR(VLOOKUP(J64,PAR!$O$3:$P$5,2,FALSE),"nincs feladat")</f>
        <v>nincs feladat</v>
      </c>
      <c r="P64" t="str">
        <f>IFERROR(VLOOKUP(G64,PAR!$J$2:$M$19,4),"nincs rovat")</f>
        <v>nincs rovat</v>
      </c>
      <c r="Q64" t="str">
        <f>IF(H64&gt;0,VLOOKUP(H64,PAR!$AA$3:$AC$187,3,FALSE),"nincs főkönyvi számla")</f>
        <v>nincs főkönyvi számla</v>
      </c>
      <c r="R64" t="str">
        <f>IFERROR(VLOOKUP(K64,PAR!$V$3:$X$438,3,FALSE),"000000 - Nincs COFOG")</f>
        <v>000000 - Nincs COFOG</v>
      </c>
      <c r="S64">
        <f t="shared" si="12"/>
        <v>0</v>
      </c>
      <c r="T64">
        <f t="shared" si="13"/>
        <v>0</v>
      </c>
      <c r="U64" t="str">
        <f>IF(Tervezés!F67&gt;0,CONCATENATE(Tervezés!E67," - ",Tervezés!F67,", ",Tervezés!J67),"nincs megjegyzés")</f>
        <v>nincs megjegyzés</v>
      </c>
      <c r="V64" t="str">
        <f t="shared" si="0"/>
        <v>6000</v>
      </c>
      <c r="W64" t="str">
        <f t="shared" si="1"/>
        <v>6000</v>
      </c>
      <c r="X64" t="str">
        <f t="shared" si="2"/>
        <v>00</v>
      </c>
      <c r="Y64" t="str">
        <f t="shared" si="3"/>
        <v>600</v>
      </c>
      <c r="Z64" t="str">
        <f t="shared" si="14"/>
        <v>00</v>
      </c>
      <c r="AA64" t="str">
        <f t="shared" si="4"/>
        <v>600</v>
      </c>
      <c r="AB64" t="str">
        <f t="shared" si="5"/>
        <v>00</v>
      </c>
      <c r="AC64" t="str">
        <f t="shared" si="6"/>
        <v>6000</v>
      </c>
      <c r="AD64" t="str">
        <f t="shared" si="7"/>
        <v>000</v>
      </c>
      <c r="AE64" t="str">
        <f t="shared" si="8"/>
        <v>6000</v>
      </c>
      <c r="AF64" t="str">
        <f t="shared" si="9"/>
        <v>000</v>
      </c>
      <c r="AG64" t="str">
        <f t="shared" si="15"/>
        <v>60000</v>
      </c>
      <c r="AH64" t="str">
        <f t="shared" si="16"/>
        <v>0000</v>
      </c>
      <c r="AI64" t="str">
        <f t="shared" si="17"/>
        <v>60000</v>
      </c>
      <c r="AJ64" t="str">
        <f t="shared" si="18"/>
        <v>0000</v>
      </c>
    </row>
    <row r="65" spans="1:36" x14ac:dyDescent="0.25">
      <c r="A65" s="325">
        <f>Tervezés!B68</f>
        <v>0</v>
      </c>
      <c r="B65">
        <v>60</v>
      </c>
      <c r="C65">
        <f>Tervezés!E68</f>
        <v>0</v>
      </c>
      <c r="D65">
        <f>Tervezés!F68</f>
        <v>0</v>
      </c>
      <c r="E65">
        <f>Tervezés!H68</f>
        <v>0</v>
      </c>
      <c r="F65" t="str">
        <f t="shared" si="10"/>
        <v>0</v>
      </c>
      <c r="G65" t="str">
        <f t="shared" si="11"/>
        <v>0</v>
      </c>
      <c r="H65">
        <f>Tervezés!I68</f>
        <v>0</v>
      </c>
      <c r="I65">
        <f>Tervezés!J68</f>
        <v>0</v>
      </c>
      <c r="J65">
        <f>Tervezés!K68</f>
        <v>0</v>
      </c>
      <c r="K65">
        <f>Tervezés!L68</f>
        <v>0</v>
      </c>
      <c r="L65">
        <f>Tervezés!M68</f>
        <v>0</v>
      </c>
      <c r="M65" s="322" t="str">
        <f>IFERROR(VLOOKUP(A65,PAR!$D$3:$E$53,2,FALSE),"nincs szervezet")</f>
        <v>nincs szervezet</v>
      </c>
      <c r="N65" s="322" t="str">
        <f>VLOOKUP(F65,PAR!$R$3:$S$5,2,FALSE)</f>
        <v>3 - egyik sem</v>
      </c>
      <c r="O65" t="str">
        <f>IFERROR(VLOOKUP(J65,PAR!$O$3:$P$5,2,FALSE),"nincs feladat")</f>
        <v>nincs feladat</v>
      </c>
      <c r="P65" t="str">
        <f>IFERROR(VLOOKUP(G65,PAR!$J$2:$M$19,4),"nincs rovat")</f>
        <v>nincs rovat</v>
      </c>
      <c r="Q65" t="str">
        <f>IF(H65&gt;0,VLOOKUP(H65,PAR!$AA$3:$AC$187,3,FALSE),"nincs főkönyvi számla")</f>
        <v>nincs főkönyvi számla</v>
      </c>
      <c r="R65" t="str">
        <f>IFERROR(VLOOKUP(K65,PAR!$V$3:$X$438,3,FALSE),"000000 - Nincs COFOG")</f>
        <v>000000 - Nincs COFOG</v>
      </c>
      <c r="S65">
        <f t="shared" si="12"/>
        <v>0</v>
      </c>
      <c r="T65">
        <f t="shared" si="13"/>
        <v>0</v>
      </c>
      <c r="U65" t="str">
        <f>IF(Tervezés!F68&gt;0,CONCATENATE(Tervezés!E68," - ",Tervezés!F68,", ",Tervezés!J68),"nincs megjegyzés")</f>
        <v>nincs megjegyzés</v>
      </c>
      <c r="V65" t="str">
        <f t="shared" si="0"/>
        <v>6000</v>
      </c>
      <c r="W65" t="str">
        <f t="shared" si="1"/>
        <v>6000</v>
      </c>
      <c r="X65" t="str">
        <f t="shared" si="2"/>
        <v>00</v>
      </c>
      <c r="Y65" t="str">
        <f t="shared" si="3"/>
        <v>600</v>
      </c>
      <c r="Z65" t="str">
        <f t="shared" si="14"/>
        <v>00</v>
      </c>
      <c r="AA65" t="str">
        <f t="shared" si="4"/>
        <v>600</v>
      </c>
      <c r="AB65" t="str">
        <f t="shared" si="5"/>
        <v>00</v>
      </c>
      <c r="AC65" t="str">
        <f t="shared" si="6"/>
        <v>6000</v>
      </c>
      <c r="AD65" t="str">
        <f t="shared" si="7"/>
        <v>000</v>
      </c>
      <c r="AE65" t="str">
        <f t="shared" si="8"/>
        <v>6000</v>
      </c>
      <c r="AF65" t="str">
        <f t="shared" si="9"/>
        <v>000</v>
      </c>
      <c r="AG65" t="str">
        <f t="shared" si="15"/>
        <v>60000</v>
      </c>
      <c r="AH65" t="str">
        <f t="shared" si="16"/>
        <v>0000</v>
      </c>
      <c r="AI65" t="str">
        <f t="shared" si="17"/>
        <v>60000</v>
      </c>
      <c r="AJ65" t="str">
        <f t="shared" si="18"/>
        <v>0000</v>
      </c>
    </row>
    <row r="66" spans="1:36" x14ac:dyDescent="0.25">
      <c r="A66" s="325">
        <f>Tervezés!B69</f>
        <v>0</v>
      </c>
      <c r="B66">
        <v>60</v>
      </c>
      <c r="C66">
        <f>Tervezés!E69</f>
        <v>0</v>
      </c>
      <c r="D66">
        <f>Tervezés!F69</f>
        <v>0</v>
      </c>
      <c r="E66">
        <f>Tervezés!H69</f>
        <v>0</v>
      </c>
      <c r="F66" t="str">
        <f t="shared" si="10"/>
        <v>0</v>
      </c>
      <c r="G66" t="str">
        <f t="shared" si="11"/>
        <v>0</v>
      </c>
      <c r="H66">
        <f>Tervezés!I69</f>
        <v>0</v>
      </c>
      <c r="I66">
        <f>Tervezés!J69</f>
        <v>0</v>
      </c>
      <c r="J66">
        <f>Tervezés!K69</f>
        <v>0</v>
      </c>
      <c r="K66">
        <f>Tervezés!L69</f>
        <v>0</v>
      </c>
      <c r="L66">
        <f>Tervezés!M69</f>
        <v>0</v>
      </c>
      <c r="M66" s="322" t="str">
        <f>IFERROR(VLOOKUP(A66,PAR!$D$3:$E$53,2,FALSE),"nincs szervezet")</f>
        <v>nincs szervezet</v>
      </c>
      <c r="N66" s="322" t="str">
        <f>VLOOKUP(F66,PAR!$R$3:$S$5,2,FALSE)</f>
        <v>3 - egyik sem</v>
      </c>
      <c r="O66" t="str">
        <f>IFERROR(VLOOKUP(J66,PAR!$O$3:$P$5,2,FALSE),"nincs feladat")</f>
        <v>nincs feladat</v>
      </c>
      <c r="P66" t="str">
        <f>IFERROR(VLOOKUP(G66,PAR!$J$2:$M$19,4),"nincs rovat")</f>
        <v>nincs rovat</v>
      </c>
      <c r="Q66" t="str">
        <f>IF(H66&gt;0,VLOOKUP(H66,PAR!$AA$3:$AC$187,3,FALSE),"nincs főkönyvi számla")</f>
        <v>nincs főkönyvi számla</v>
      </c>
      <c r="R66" t="str">
        <f>IFERROR(VLOOKUP(K66,PAR!$V$3:$X$438,3,FALSE),"000000 - Nincs COFOG")</f>
        <v>000000 - Nincs COFOG</v>
      </c>
      <c r="S66">
        <f t="shared" si="12"/>
        <v>0</v>
      </c>
      <c r="T66">
        <f t="shared" si="13"/>
        <v>0</v>
      </c>
      <c r="U66" t="str">
        <f>IF(Tervezés!F69&gt;0,CONCATENATE(Tervezés!E69," - ",Tervezés!F69,", ",Tervezés!J69),"nincs megjegyzés")</f>
        <v>nincs megjegyzés</v>
      </c>
      <c r="V66" t="str">
        <f t="shared" ref="V66:V129" si="19">CONCATENATE(B66,A66,G66)</f>
        <v>6000</v>
      </c>
      <c r="W66" t="str">
        <f t="shared" ref="W66:W129" si="20">CONCATENATE(B66,A66,F66)</f>
        <v>6000</v>
      </c>
      <c r="X66" t="str">
        <f t="shared" ref="X66:X129" si="21">CONCATENATE(A66,H66)</f>
        <v>00</v>
      </c>
      <c r="Y66" t="str">
        <f t="shared" ref="Y66:Y129" si="22">CONCATENATE(B66,H66)</f>
        <v>600</v>
      </c>
      <c r="Z66" t="str">
        <f t="shared" si="14"/>
        <v>00</v>
      </c>
      <c r="AA66" t="str">
        <f t="shared" ref="AA66:AA129" si="23">CONCATENATE(B66,G66)</f>
        <v>600</v>
      </c>
      <c r="AB66" t="str">
        <f t="shared" ref="AB66:AB129" si="24">CONCATENATE(J66,G66)</f>
        <v>00</v>
      </c>
      <c r="AC66" t="str">
        <f t="shared" ref="AC66:AC129" si="25">CONCATENATE(B66,A66,H66)</f>
        <v>6000</v>
      </c>
      <c r="AD66" t="str">
        <f t="shared" ref="AD66:AD129" si="26">CONCATENATE(A66,H66,J66)</f>
        <v>000</v>
      </c>
      <c r="AE66" t="str">
        <f t="shared" ref="AE66:AE129" si="27">CONCATENATE(B66,A66,G66)</f>
        <v>6000</v>
      </c>
      <c r="AF66" t="str">
        <f t="shared" ref="AF66:AF129" si="28">CONCATENATE(A66,G66,J66)</f>
        <v>000</v>
      </c>
      <c r="AG66" t="str">
        <f t="shared" si="15"/>
        <v>60000</v>
      </c>
      <c r="AH66" t="str">
        <f t="shared" si="16"/>
        <v>0000</v>
      </c>
      <c r="AI66" t="str">
        <f t="shared" si="17"/>
        <v>60000</v>
      </c>
      <c r="AJ66" t="str">
        <f t="shared" si="18"/>
        <v>0000</v>
      </c>
    </row>
    <row r="67" spans="1:36" x14ac:dyDescent="0.25">
      <c r="A67" s="325">
        <f>Tervezés!B70</f>
        <v>0</v>
      </c>
      <c r="B67">
        <v>60</v>
      </c>
      <c r="C67">
        <f>Tervezés!E70</f>
        <v>0</v>
      </c>
      <c r="D67">
        <f>Tervezés!F70</f>
        <v>0</v>
      </c>
      <c r="E67">
        <f>Tervezés!H70</f>
        <v>0</v>
      </c>
      <c r="F67" t="str">
        <f t="shared" ref="F67:F130" si="29">LEFT(G67,2)</f>
        <v>0</v>
      </c>
      <c r="G67" t="str">
        <f t="shared" ref="G67:G130" si="30">LEFT(H67,3)</f>
        <v>0</v>
      </c>
      <c r="H67">
        <f>Tervezés!I70</f>
        <v>0</v>
      </c>
      <c r="I67">
        <f>Tervezés!J70</f>
        <v>0</v>
      </c>
      <c r="J67">
        <f>Tervezés!K70</f>
        <v>0</v>
      </c>
      <c r="K67">
        <f>Tervezés!L70</f>
        <v>0</v>
      </c>
      <c r="L67">
        <f>Tervezés!M70</f>
        <v>0</v>
      </c>
      <c r="M67" s="322" t="str">
        <f>IFERROR(VLOOKUP(A67,PAR!$D$3:$E$53,2,FALSE),"nincs szervezet")</f>
        <v>nincs szervezet</v>
      </c>
      <c r="N67" s="322" t="str">
        <f>VLOOKUP(F67,PAR!$R$3:$S$5,2,FALSE)</f>
        <v>3 - egyik sem</v>
      </c>
      <c r="O67" t="str">
        <f>IFERROR(VLOOKUP(J67,PAR!$O$3:$P$5,2,FALSE),"nincs feladat")</f>
        <v>nincs feladat</v>
      </c>
      <c r="P67" t="str">
        <f>IFERROR(VLOOKUP(G67,PAR!$J$2:$M$19,4),"nincs rovat")</f>
        <v>nincs rovat</v>
      </c>
      <c r="Q67" t="str">
        <f>IF(H67&gt;0,VLOOKUP(H67,PAR!$AA$3:$AC$187,3,FALSE),"nincs főkönyvi számla")</f>
        <v>nincs főkönyvi számla</v>
      </c>
      <c r="R67" t="str">
        <f>IFERROR(VLOOKUP(K67,PAR!$V$3:$X$438,3,FALSE),"000000 - Nincs COFOG")</f>
        <v>000000 - Nincs COFOG</v>
      </c>
      <c r="S67">
        <f t="shared" ref="S67:S130" si="31">E67</f>
        <v>0</v>
      </c>
      <c r="T67">
        <f t="shared" ref="T67:T130" si="32">IF(F67="09",E67*-1,E67)</f>
        <v>0</v>
      </c>
      <c r="U67" t="str">
        <f>IF(Tervezés!F70&gt;0,CONCATENATE(Tervezés!E70," - ",Tervezés!F70,", ",Tervezés!J70),"nincs megjegyzés")</f>
        <v>nincs megjegyzés</v>
      </c>
      <c r="V67" t="str">
        <f t="shared" si="19"/>
        <v>6000</v>
      </c>
      <c r="W67" t="str">
        <f t="shared" si="20"/>
        <v>6000</v>
      </c>
      <c r="X67" t="str">
        <f t="shared" si="21"/>
        <v>00</v>
      </c>
      <c r="Y67" t="str">
        <f t="shared" si="22"/>
        <v>600</v>
      </c>
      <c r="Z67" t="str">
        <f t="shared" ref="Z67:Z130" si="33">CONCATENATE(J67,H67)</f>
        <v>00</v>
      </c>
      <c r="AA67" t="str">
        <f t="shared" si="23"/>
        <v>600</v>
      </c>
      <c r="AB67" t="str">
        <f t="shared" si="24"/>
        <v>00</v>
      </c>
      <c r="AC67" t="str">
        <f t="shared" si="25"/>
        <v>6000</v>
      </c>
      <c r="AD67" t="str">
        <f t="shared" si="26"/>
        <v>000</v>
      </c>
      <c r="AE67" t="str">
        <f t="shared" si="27"/>
        <v>6000</v>
      </c>
      <c r="AF67" t="str">
        <f t="shared" si="28"/>
        <v>000</v>
      </c>
      <c r="AG67" t="str">
        <f t="shared" ref="AG67:AG130" si="34">CONCATENATE(B67,A67,H67,L67)</f>
        <v>60000</v>
      </c>
      <c r="AH67" t="str">
        <f t="shared" ref="AH67:AH130" si="35">CONCATENATE(A67,J67,H67,L67)</f>
        <v>0000</v>
      </c>
      <c r="AI67" t="str">
        <f t="shared" ref="AI67:AI130" si="36">CONCATENATE(B67,A67,G67,L67)</f>
        <v>60000</v>
      </c>
      <c r="AJ67" t="str">
        <f t="shared" ref="AJ67:AJ130" si="37">CONCATENATE(A67,G67,J67,L67)</f>
        <v>0000</v>
      </c>
    </row>
    <row r="68" spans="1:36" x14ac:dyDescent="0.25">
      <c r="A68" s="325">
        <f>Tervezés!B71</f>
        <v>0</v>
      </c>
      <c r="B68">
        <v>60</v>
      </c>
      <c r="C68">
        <f>Tervezés!E71</f>
        <v>0</v>
      </c>
      <c r="D68">
        <f>Tervezés!F71</f>
        <v>0</v>
      </c>
      <c r="E68">
        <f>Tervezés!H71</f>
        <v>0</v>
      </c>
      <c r="F68" t="str">
        <f t="shared" si="29"/>
        <v>0</v>
      </c>
      <c r="G68" t="str">
        <f t="shared" si="30"/>
        <v>0</v>
      </c>
      <c r="H68">
        <f>Tervezés!I71</f>
        <v>0</v>
      </c>
      <c r="I68">
        <f>Tervezés!J71</f>
        <v>0</v>
      </c>
      <c r="J68">
        <f>Tervezés!K71</f>
        <v>0</v>
      </c>
      <c r="K68">
        <f>Tervezés!L71</f>
        <v>0</v>
      </c>
      <c r="L68">
        <f>Tervezés!M71</f>
        <v>0</v>
      </c>
      <c r="M68" s="322" t="str">
        <f>IFERROR(VLOOKUP(A68,PAR!$D$3:$E$53,2,FALSE),"nincs szervezet")</f>
        <v>nincs szervezet</v>
      </c>
      <c r="N68" s="322" t="str">
        <f>VLOOKUP(F68,PAR!$R$3:$S$5,2,FALSE)</f>
        <v>3 - egyik sem</v>
      </c>
      <c r="O68" t="str">
        <f>IFERROR(VLOOKUP(J68,PAR!$O$3:$P$5,2,FALSE),"nincs feladat")</f>
        <v>nincs feladat</v>
      </c>
      <c r="P68" t="str">
        <f>IFERROR(VLOOKUP(G68,PAR!$J$2:$M$19,4),"nincs rovat")</f>
        <v>nincs rovat</v>
      </c>
      <c r="Q68" t="str">
        <f>IF(H68&gt;0,VLOOKUP(H68,PAR!$AA$3:$AC$187,3,FALSE),"nincs főkönyvi számla")</f>
        <v>nincs főkönyvi számla</v>
      </c>
      <c r="R68" t="str">
        <f>IFERROR(VLOOKUP(K68,PAR!$V$3:$X$438,3,FALSE),"000000 - Nincs COFOG")</f>
        <v>000000 - Nincs COFOG</v>
      </c>
      <c r="S68">
        <f t="shared" si="31"/>
        <v>0</v>
      </c>
      <c r="T68">
        <f t="shared" si="32"/>
        <v>0</v>
      </c>
      <c r="U68" t="str">
        <f>IF(Tervezés!F71&gt;0,CONCATENATE(Tervezés!E71," - ",Tervezés!F71,", ",Tervezés!J71),"nincs megjegyzés")</f>
        <v>nincs megjegyzés</v>
      </c>
      <c r="V68" t="str">
        <f t="shared" si="19"/>
        <v>6000</v>
      </c>
      <c r="W68" t="str">
        <f t="shared" si="20"/>
        <v>6000</v>
      </c>
      <c r="X68" t="str">
        <f t="shared" si="21"/>
        <v>00</v>
      </c>
      <c r="Y68" t="str">
        <f t="shared" si="22"/>
        <v>600</v>
      </c>
      <c r="Z68" t="str">
        <f t="shared" si="33"/>
        <v>00</v>
      </c>
      <c r="AA68" t="str">
        <f t="shared" si="23"/>
        <v>600</v>
      </c>
      <c r="AB68" t="str">
        <f t="shared" si="24"/>
        <v>00</v>
      </c>
      <c r="AC68" t="str">
        <f t="shared" si="25"/>
        <v>6000</v>
      </c>
      <c r="AD68" t="str">
        <f t="shared" si="26"/>
        <v>000</v>
      </c>
      <c r="AE68" t="str">
        <f t="shared" si="27"/>
        <v>6000</v>
      </c>
      <c r="AF68" t="str">
        <f t="shared" si="28"/>
        <v>000</v>
      </c>
      <c r="AG68" t="str">
        <f t="shared" si="34"/>
        <v>60000</v>
      </c>
      <c r="AH68" t="str">
        <f t="shared" si="35"/>
        <v>0000</v>
      </c>
      <c r="AI68" t="str">
        <f t="shared" si="36"/>
        <v>60000</v>
      </c>
      <c r="AJ68" t="str">
        <f t="shared" si="37"/>
        <v>0000</v>
      </c>
    </row>
    <row r="69" spans="1:36" x14ac:dyDescent="0.25">
      <c r="A69" s="325">
        <f>Tervezés!B72</f>
        <v>0</v>
      </c>
      <c r="B69">
        <v>60</v>
      </c>
      <c r="C69">
        <f>Tervezés!E72</f>
        <v>0</v>
      </c>
      <c r="D69">
        <f>Tervezés!F72</f>
        <v>0</v>
      </c>
      <c r="E69">
        <f>Tervezés!H72</f>
        <v>0</v>
      </c>
      <c r="F69" t="str">
        <f t="shared" si="29"/>
        <v>0</v>
      </c>
      <c r="G69" t="str">
        <f t="shared" si="30"/>
        <v>0</v>
      </c>
      <c r="H69">
        <f>Tervezés!I72</f>
        <v>0</v>
      </c>
      <c r="I69">
        <f>Tervezés!J72</f>
        <v>0</v>
      </c>
      <c r="J69">
        <f>Tervezés!K72</f>
        <v>0</v>
      </c>
      <c r="K69">
        <f>Tervezés!L72</f>
        <v>0</v>
      </c>
      <c r="L69">
        <f>Tervezés!M72</f>
        <v>0</v>
      </c>
      <c r="M69" s="322" t="str">
        <f>IFERROR(VLOOKUP(A69,PAR!$D$3:$E$53,2,FALSE),"nincs szervezet")</f>
        <v>nincs szervezet</v>
      </c>
      <c r="N69" s="322" t="str">
        <f>VLOOKUP(F69,PAR!$R$3:$S$5,2,FALSE)</f>
        <v>3 - egyik sem</v>
      </c>
      <c r="O69" t="str">
        <f>IFERROR(VLOOKUP(J69,PAR!$O$3:$P$5,2,FALSE),"nincs feladat")</f>
        <v>nincs feladat</v>
      </c>
      <c r="P69" t="str">
        <f>IFERROR(VLOOKUP(G69,PAR!$J$2:$M$19,4),"nincs rovat")</f>
        <v>nincs rovat</v>
      </c>
      <c r="Q69" t="str">
        <f>IF(H69&gt;0,VLOOKUP(H69,PAR!$AA$3:$AC$187,3,FALSE),"nincs főkönyvi számla")</f>
        <v>nincs főkönyvi számla</v>
      </c>
      <c r="R69" t="str">
        <f>IFERROR(VLOOKUP(K69,PAR!$V$3:$X$438,3,FALSE),"000000 - Nincs COFOG")</f>
        <v>000000 - Nincs COFOG</v>
      </c>
      <c r="S69">
        <f t="shared" si="31"/>
        <v>0</v>
      </c>
      <c r="T69">
        <f t="shared" si="32"/>
        <v>0</v>
      </c>
      <c r="U69" t="str">
        <f>IF(Tervezés!F72&gt;0,CONCATENATE(Tervezés!E72," - ",Tervezés!F72,", ",Tervezés!J72),"nincs megjegyzés")</f>
        <v>nincs megjegyzés</v>
      </c>
      <c r="V69" t="str">
        <f t="shared" si="19"/>
        <v>6000</v>
      </c>
      <c r="W69" t="str">
        <f t="shared" si="20"/>
        <v>6000</v>
      </c>
      <c r="X69" t="str">
        <f t="shared" si="21"/>
        <v>00</v>
      </c>
      <c r="Y69" t="str">
        <f t="shared" si="22"/>
        <v>600</v>
      </c>
      <c r="Z69" t="str">
        <f t="shared" si="33"/>
        <v>00</v>
      </c>
      <c r="AA69" t="str">
        <f t="shared" si="23"/>
        <v>600</v>
      </c>
      <c r="AB69" t="str">
        <f t="shared" si="24"/>
        <v>00</v>
      </c>
      <c r="AC69" t="str">
        <f t="shared" si="25"/>
        <v>6000</v>
      </c>
      <c r="AD69" t="str">
        <f t="shared" si="26"/>
        <v>000</v>
      </c>
      <c r="AE69" t="str">
        <f t="shared" si="27"/>
        <v>6000</v>
      </c>
      <c r="AF69" t="str">
        <f t="shared" si="28"/>
        <v>000</v>
      </c>
      <c r="AG69" t="str">
        <f t="shared" si="34"/>
        <v>60000</v>
      </c>
      <c r="AH69" t="str">
        <f t="shared" si="35"/>
        <v>0000</v>
      </c>
      <c r="AI69" t="str">
        <f t="shared" si="36"/>
        <v>60000</v>
      </c>
      <c r="AJ69" t="str">
        <f t="shared" si="37"/>
        <v>0000</v>
      </c>
    </row>
    <row r="70" spans="1:36" x14ac:dyDescent="0.25">
      <c r="A70" s="325">
        <f>Tervezés!B73</f>
        <v>0</v>
      </c>
      <c r="B70">
        <v>60</v>
      </c>
      <c r="C70">
        <f>Tervezés!E73</f>
        <v>0</v>
      </c>
      <c r="D70">
        <f>Tervezés!F73</f>
        <v>0</v>
      </c>
      <c r="E70">
        <f>Tervezés!H73</f>
        <v>0</v>
      </c>
      <c r="F70" t="str">
        <f t="shared" si="29"/>
        <v>0</v>
      </c>
      <c r="G70" t="str">
        <f t="shared" si="30"/>
        <v>0</v>
      </c>
      <c r="H70">
        <f>Tervezés!I73</f>
        <v>0</v>
      </c>
      <c r="I70">
        <f>Tervezés!J73</f>
        <v>0</v>
      </c>
      <c r="J70">
        <f>Tervezés!K73</f>
        <v>0</v>
      </c>
      <c r="K70">
        <f>Tervezés!L73</f>
        <v>0</v>
      </c>
      <c r="L70">
        <f>Tervezés!M73</f>
        <v>0</v>
      </c>
      <c r="M70" s="322" t="str">
        <f>IFERROR(VLOOKUP(A70,PAR!$D$3:$E$53,2,FALSE),"nincs szervezet")</f>
        <v>nincs szervezet</v>
      </c>
      <c r="N70" s="322" t="str">
        <f>VLOOKUP(F70,PAR!$R$3:$S$5,2,FALSE)</f>
        <v>3 - egyik sem</v>
      </c>
      <c r="O70" t="str">
        <f>IFERROR(VLOOKUP(J70,PAR!$O$3:$P$5,2,FALSE),"nincs feladat")</f>
        <v>nincs feladat</v>
      </c>
      <c r="P70" t="str">
        <f>IFERROR(VLOOKUP(G70,PAR!$J$2:$M$19,4),"nincs rovat")</f>
        <v>nincs rovat</v>
      </c>
      <c r="Q70" t="str">
        <f>IF(H70&gt;0,VLOOKUP(H70,PAR!$AA$3:$AC$187,3,FALSE),"nincs főkönyvi számla")</f>
        <v>nincs főkönyvi számla</v>
      </c>
      <c r="R70" t="str">
        <f>IFERROR(VLOOKUP(K70,PAR!$V$3:$X$438,3,FALSE),"000000 - Nincs COFOG")</f>
        <v>000000 - Nincs COFOG</v>
      </c>
      <c r="S70">
        <f t="shared" si="31"/>
        <v>0</v>
      </c>
      <c r="T70">
        <f t="shared" si="32"/>
        <v>0</v>
      </c>
      <c r="U70" t="str">
        <f>IF(Tervezés!F73&gt;0,CONCATENATE(Tervezés!E73," - ",Tervezés!F73,", ",Tervezés!J73),"nincs megjegyzés")</f>
        <v>nincs megjegyzés</v>
      </c>
      <c r="V70" t="str">
        <f t="shared" si="19"/>
        <v>6000</v>
      </c>
      <c r="W70" t="str">
        <f t="shared" si="20"/>
        <v>6000</v>
      </c>
      <c r="X70" t="str">
        <f t="shared" si="21"/>
        <v>00</v>
      </c>
      <c r="Y70" t="str">
        <f t="shared" si="22"/>
        <v>600</v>
      </c>
      <c r="Z70" t="str">
        <f t="shared" si="33"/>
        <v>00</v>
      </c>
      <c r="AA70" t="str">
        <f t="shared" si="23"/>
        <v>600</v>
      </c>
      <c r="AB70" t="str">
        <f t="shared" si="24"/>
        <v>00</v>
      </c>
      <c r="AC70" t="str">
        <f t="shared" si="25"/>
        <v>6000</v>
      </c>
      <c r="AD70" t="str">
        <f t="shared" si="26"/>
        <v>000</v>
      </c>
      <c r="AE70" t="str">
        <f t="shared" si="27"/>
        <v>6000</v>
      </c>
      <c r="AF70" t="str">
        <f t="shared" si="28"/>
        <v>000</v>
      </c>
      <c r="AG70" t="str">
        <f t="shared" si="34"/>
        <v>60000</v>
      </c>
      <c r="AH70" t="str">
        <f t="shared" si="35"/>
        <v>0000</v>
      </c>
      <c r="AI70" t="str">
        <f t="shared" si="36"/>
        <v>60000</v>
      </c>
      <c r="AJ70" t="str">
        <f t="shared" si="37"/>
        <v>0000</v>
      </c>
    </row>
    <row r="71" spans="1:36" x14ac:dyDescent="0.25">
      <c r="A71" s="325">
        <f>Tervezés!B74</f>
        <v>0</v>
      </c>
      <c r="B71">
        <v>60</v>
      </c>
      <c r="C71">
        <f>Tervezés!E74</f>
        <v>0</v>
      </c>
      <c r="D71">
        <f>Tervezés!F74</f>
        <v>0</v>
      </c>
      <c r="E71">
        <f>Tervezés!H74</f>
        <v>0</v>
      </c>
      <c r="F71" t="str">
        <f t="shared" si="29"/>
        <v>0</v>
      </c>
      <c r="G71" t="str">
        <f t="shared" si="30"/>
        <v>0</v>
      </c>
      <c r="H71">
        <f>Tervezés!I74</f>
        <v>0</v>
      </c>
      <c r="I71">
        <f>Tervezés!J74</f>
        <v>0</v>
      </c>
      <c r="J71">
        <f>Tervezés!K74</f>
        <v>0</v>
      </c>
      <c r="K71">
        <f>Tervezés!L74</f>
        <v>0</v>
      </c>
      <c r="L71">
        <f>Tervezés!M74</f>
        <v>0</v>
      </c>
      <c r="M71" s="322" t="str">
        <f>IFERROR(VLOOKUP(A71,PAR!$D$3:$E$53,2,FALSE),"nincs szervezet")</f>
        <v>nincs szervezet</v>
      </c>
      <c r="N71" s="322" t="str">
        <f>VLOOKUP(F71,PAR!$R$3:$S$5,2,FALSE)</f>
        <v>3 - egyik sem</v>
      </c>
      <c r="O71" t="str">
        <f>IFERROR(VLOOKUP(J71,PAR!$O$3:$P$5,2,FALSE),"nincs feladat")</f>
        <v>nincs feladat</v>
      </c>
      <c r="P71" t="str">
        <f>IFERROR(VLOOKUP(G71,PAR!$J$2:$M$19,4),"nincs rovat")</f>
        <v>nincs rovat</v>
      </c>
      <c r="Q71" t="str">
        <f>IF(H71&gt;0,VLOOKUP(H71,PAR!$AA$3:$AC$187,3,FALSE),"nincs főkönyvi számla")</f>
        <v>nincs főkönyvi számla</v>
      </c>
      <c r="R71" t="str">
        <f>IFERROR(VLOOKUP(K71,PAR!$V$3:$X$438,3,FALSE),"000000 - Nincs COFOG")</f>
        <v>000000 - Nincs COFOG</v>
      </c>
      <c r="S71">
        <f t="shared" si="31"/>
        <v>0</v>
      </c>
      <c r="T71">
        <f t="shared" si="32"/>
        <v>0</v>
      </c>
      <c r="U71" t="str">
        <f>IF(Tervezés!F74&gt;0,CONCATENATE(Tervezés!E74," - ",Tervezés!F74,", ",Tervezés!J74),"nincs megjegyzés")</f>
        <v>nincs megjegyzés</v>
      </c>
      <c r="V71" t="str">
        <f t="shared" si="19"/>
        <v>6000</v>
      </c>
      <c r="W71" t="str">
        <f t="shared" si="20"/>
        <v>6000</v>
      </c>
      <c r="X71" t="str">
        <f t="shared" si="21"/>
        <v>00</v>
      </c>
      <c r="Y71" t="str">
        <f t="shared" si="22"/>
        <v>600</v>
      </c>
      <c r="Z71" t="str">
        <f t="shared" si="33"/>
        <v>00</v>
      </c>
      <c r="AA71" t="str">
        <f t="shared" si="23"/>
        <v>600</v>
      </c>
      <c r="AB71" t="str">
        <f t="shared" si="24"/>
        <v>00</v>
      </c>
      <c r="AC71" t="str">
        <f t="shared" si="25"/>
        <v>6000</v>
      </c>
      <c r="AD71" t="str">
        <f t="shared" si="26"/>
        <v>000</v>
      </c>
      <c r="AE71" t="str">
        <f t="shared" si="27"/>
        <v>6000</v>
      </c>
      <c r="AF71" t="str">
        <f t="shared" si="28"/>
        <v>000</v>
      </c>
      <c r="AG71" t="str">
        <f t="shared" si="34"/>
        <v>60000</v>
      </c>
      <c r="AH71" t="str">
        <f t="shared" si="35"/>
        <v>0000</v>
      </c>
      <c r="AI71" t="str">
        <f t="shared" si="36"/>
        <v>60000</v>
      </c>
      <c r="AJ71" t="str">
        <f t="shared" si="37"/>
        <v>0000</v>
      </c>
    </row>
    <row r="72" spans="1:36" x14ac:dyDescent="0.25">
      <c r="A72" s="325">
        <f>Tervezés!B75</f>
        <v>0</v>
      </c>
      <c r="B72">
        <v>60</v>
      </c>
      <c r="C72">
        <f>Tervezés!E75</f>
        <v>0</v>
      </c>
      <c r="D72">
        <f>Tervezés!F75</f>
        <v>0</v>
      </c>
      <c r="E72">
        <f>Tervezés!H75</f>
        <v>0</v>
      </c>
      <c r="F72" t="str">
        <f t="shared" si="29"/>
        <v>0</v>
      </c>
      <c r="G72" t="str">
        <f t="shared" si="30"/>
        <v>0</v>
      </c>
      <c r="H72">
        <f>Tervezés!I75</f>
        <v>0</v>
      </c>
      <c r="I72">
        <f>Tervezés!J75</f>
        <v>0</v>
      </c>
      <c r="J72">
        <f>Tervezés!K75</f>
        <v>0</v>
      </c>
      <c r="K72">
        <f>Tervezés!L75</f>
        <v>0</v>
      </c>
      <c r="L72">
        <f>Tervezés!M75</f>
        <v>0</v>
      </c>
      <c r="M72" s="322" t="str">
        <f>IFERROR(VLOOKUP(A72,PAR!$D$3:$E$53,2,FALSE),"nincs szervezet")</f>
        <v>nincs szervezet</v>
      </c>
      <c r="N72" s="322" t="str">
        <f>VLOOKUP(F72,PAR!$R$3:$S$5,2,FALSE)</f>
        <v>3 - egyik sem</v>
      </c>
      <c r="O72" t="str">
        <f>IFERROR(VLOOKUP(J72,PAR!$O$3:$P$5,2,FALSE),"nincs feladat")</f>
        <v>nincs feladat</v>
      </c>
      <c r="P72" t="str">
        <f>IFERROR(VLOOKUP(G72,PAR!$J$2:$M$19,4),"nincs rovat")</f>
        <v>nincs rovat</v>
      </c>
      <c r="Q72" t="str">
        <f>IF(H72&gt;0,VLOOKUP(H72,PAR!$AA$3:$AC$187,3,FALSE),"nincs főkönyvi számla")</f>
        <v>nincs főkönyvi számla</v>
      </c>
      <c r="R72" t="str">
        <f>IFERROR(VLOOKUP(K72,PAR!$V$3:$X$438,3,FALSE),"000000 - Nincs COFOG")</f>
        <v>000000 - Nincs COFOG</v>
      </c>
      <c r="S72">
        <f t="shared" si="31"/>
        <v>0</v>
      </c>
      <c r="T72">
        <f t="shared" si="32"/>
        <v>0</v>
      </c>
      <c r="U72" t="str">
        <f>IF(Tervezés!F75&gt;0,CONCATENATE(Tervezés!E75," - ",Tervezés!F75,", ",Tervezés!J75),"nincs megjegyzés")</f>
        <v>nincs megjegyzés</v>
      </c>
      <c r="V72" t="str">
        <f t="shared" si="19"/>
        <v>6000</v>
      </c>
      <c r="W72" t="str">
        <f t="shared" si="20"/>
        <v>6000</v>
      </c>
      <c r="X72" t="str">
        <f t="shared" si="21"/>
        <v>00</v>
      </c>
      <c r="Y72" t="str">
        <f t="shared" si="22"/>
        <v>600</v>
      </c>
      <c r="Z72" t="str">
        <f t="shared" si="33"/>
        <v>00</v>
      </c>
      <c r="AA72" t="str">
        <f t="shared" si="23"/>
        <v>600</v>
      </c>
      <c r="AB72" t="str">
        <f t="shared" si="24"/>
        <v>00</v>
      </c>
      <c r="AC72" t="str">
        <f t="shared" si="25"/>
        <v>6000</v>
      </c>
      <c r="AD72" t="str">
        <f t="shared" si="26"/>
        <v>000</v>
      </c>
      <c r="AE72" t="str">
        <f t="shared" si="27"/>
        <v>6000</v>
      </c>
      <c r="AF72" t="str">
        <f t="shared" si="28"/>
        <v>000</v>
      </c>
      <c r="AG72" t="str">
        <f t="shared" si="34"/>
        <v>60000</v>
      </c>
      <c r="AH72" t="str">
        <f t="shared" si="35"/>
        <v>0000</v>
      </c>
      <c r="AI72" t="str">
        <f t="shared" si="36"/>
        <v>60000</v>
      </c>
      <c r="AJ72" t="str">
        <f t="shared" si="37"/>
        <v>0000</v>
      </c>
    </row>
    <row r="73" spans="1:36" x14ac:dyDescent="0.25">
      <c r="A73" s="325">
        <f>Tervezés!B76</f>
        <v>0</v>
      </c>
      <c r="B73">
        <v>60</v>
      </c>
      <c r="C73">
        <f>Tervezés!E76</f>
        <v>0</v>
      </c>
      <c r="D73">
        <f>Tervezés!F76</f>
        <v>0</v>
      </c>
      <c r="E73">
        <f>Tervezés!H76</f>
        <v>0</v>
      </c>
      <c r="F73" t="str">
        <f t="shared" si="29"/>
        <v>0</v>
      </c>
      <c r="G73" t="str">
        <f t="shared" si="30"/>
        <v>0</v>
      </c>
      <c r="H73">
        <f>Tervezés!I76</f>
        <v>0</v>
      </c>
      <c r="I73">
        <f>Tervezés!J76</f>
        <v>0</v>
      </c>
      <c r="J73">
        <f>Tervezés!K76</f>
        <v>0</v>
      </c>
      <c r="K73">
        <f>Tervezés!L76</f>
        <v>0</v>
      </c>
      <c r="L73">
        <f>Tervezés!M76</f>
        <v>0</v>
      </c>
      <c r="M73" s="322" t="str">
        <f>IFERROR(VLOOKUP(A73,PAR!$D$3:$E$53,2,FALSE),"nincs szervezet")</f>
        <v>nincs szervezet</v>
      </c>
      <c r="N73" s="322" t="str">
        <f>VLOOKUP(F73,PAR!$R$3:$S$5,2,FALSE)</f>
        <v>3 - egyik sem</v>
      </c>
      <c r="O73" t="str">
        <f>IFERROR(VLOOKUP(J73,PAR!$O$3:$P$5,2,FALSE),"nincs feladat")</f>
        <v>nincs feladat</v>
      </c>
      <c r="P73" t="str">
        <f>IFERROR(VLOOKUP(G73,PAR!$J$2:$M$19,4),"nincs rovat")</f>
        <v>nincs rovat</v>
      </c>
      <c r="Q73" t="str">
        <f>IF(H73&gt;0,VLOOKUP(H73,PAR!$AA$3:$AC$187,3,FALSE),"nincs főkönyvi számla")</f>
        <v>nincs főkönyvi számla</v>
      </c>
      <c r="R73" t="str">
        <f>IFERROR(VLOOKUP(K73,PAR!$V$3:$X$438,3,FALSE),"000000 - Nincs COFOG")</f>
        <v>000000 - Nincs COFOG</v>
      </c>
      <c r="S73">
        <f t="shared" si="31"/>
        <v>0</v>
      </c>
      <c r="T73">
        <f t="shared" si="32"/>
        <v>0</v>
      </c>
      <c r="U73" t="str">
        <f>IF(Tervezés!F76&gt;0,CONCATENATE(Tervezés!E76," - ",Tervezés!F76,", ",Tervezés!J76),"nincs megjegyzés")</f>
        <v>nincs megjegyzés</v>
      </c>
      <c r="V73" t="str">
        <f t="shared" si="19"/>
        <v>6000</v>
      </c>
      <c r="W73" t="str">
        <f t="shared" si="20"/>
        <v>6000</v>
      </c>
      <c r="X73" t="str">
        <f t="shared" si="21"/>
        <v>00</v>
      </c>
      <c r="Y73" t="str">
        <f t="shared" si="22"/>
        <v>600</v>
      </c>
      <c r="Z73" t="str">
        <f t="shared" si="33"/>
        <v>00</v>
      </c>
      <c r="AA73" t="str">
        <f t="shared" si="23"/>
        <v>600</v>
      </c>
      <c r="AB73" t="str">
        <f t="shared" si="24"/>
        <v>00</v>
      </c>
      <c r="AC73" t="str">
        <f t="shared" si="25"/>
        <v>6000</v>
      </c>
      <c r="AD73" t="str">
        <f t="shared" si="26"/>
        <v>000</v>
      </c>
      <c r="AE73" t="str">
        <f t="shared" si="27"/>
        <v>6000</v>
      </c>
      <c r="AF73" t="str">
        <f t="shared" si="28"/>
        <v>000</v>
      </c>
      <c r="AG73" t="str">
        <f t="shared" si="34"/>
        <v>60000</v>
      </c>
      <c r="AH73" t="str">
        <f t="shared" si="35"/>
        <v>0000</v>
      </c>
      <c r="AI73" t="str">
        <f t="shared" si="36"/>
        <v>60000</v>
      </c>
      <c r="AJ73" t="str">
        <f t="shared" si="37"/>
        <v>0000</v>
      </c>
    </row>
    <row r="74" spans="1:36" x14ac:dyDescent="0.25">
      <c r="A74" s="325">
        <f>Tervezés!B77</f>
        <v>0</v>
      </c>
      <c r="B74">
        <v>60</v>
      </c>
      <c r="C74">
        <f>Tervezés!E77</f>
        <v>0</v>
      </c>
      <c r="D74">
        <f>Tervezés!F77</f>
        <v>0</v>
      </c>
      <c r="E74">
        <f>Tervezés!H77</f>
        <v>0</v>
      </c>
      <c r="F74" t="str">
        <f t="shared" si="29"/>
        <v>0</v>
      </c>
      <c r="G74" t="str">
        <f t="shared" si="30"/>
        <v>0</v>
      </c>
      <c r="H74">
        <f>Tervezés!I77</f>
        <v>0</v>
      </c>
      <c r="I74">
        <f>Tervezés!J77</f>
        <v>0</v>
      </c>
      <c r="J74">
        <f>Tervezés!K77</f>
        <v>0</v>
      </c>
      <c r="K74">
        <f>Tervezés!L77</f>
        <v>0</v>
      </c>
      <c r="L74">
        <f>Tervezés!M77</f>
        <v>0</v>
      </c>
      <c r="M74" s="322" t="str">
        <f>IFERROR(VLOOKUP(A74,PAR!$D$3:$E$53,2,FALSE),"nincs szervezet")</f>
        <v>nincs szervezet</v>
      </c>
      <c r="N74" s="322" t="str">
        <f>VLOOKUP(F74,PAR!$R$3:$S$5,2,FALSE)</f>
        <v>3 - egyik sem</v>
      </c>
      <c r="O74" t="str">
        <f>IFERROR(VLOOKUP(J74,PAR!$O$3:$P$5,2,FALSE),"nincs feladat")</f>
        <v>nincs feladat</v>
      </c>
      <c r="P74" t="str">
        <f>IFERROR(VLOOKUP(G74,PAR!$J$2:$M$19,4),"nincs rovat")</f>
        <v>nincs rovat</v>
      </c>
      <c r="Q74" t="str">
        <f>IF(H74&gt;0,VLOOKUP(H74,PAR!$AA$3:$AC$187,3,FALSE),"nincs főkönyvi számla")</f>
        <v>nincs főkönyvi számla</v>
      </c>
      <c r="R74" t="str">
        <f>IFERROR(VLOOKUP(K74,PAR!$V$3:$X$438,3,FALSE),"000000 - Nincs COFOG")</f>
        <v>000000 - Nincs COFOG</v>
      </c>
      <c r="S74">
        <f t="shared" si="31"/>
        <v>0</v>
      </c>
      <c r="T74">
        <f t="shared" si="32"/>
        <v>0</v>
      </c>
      <c r="U74" t="str">
        <f>IF(Tervezés!F77&gt;0,CONCATENATE(Tervezés!E77," - ",Tervezés!F77,", ",Tervezés!J77),"nincs megjegyzés")</f>
        <v>nincs megjegyzés</v>
      </c>
      <c r="V74" t="str">
        <f t="shared" si="19"/>
        <v>6000</v>
      </c>
      <c r="W74" t="str">
        <f t="shared" si="20"/>
        <v>6000</v>
      </c>
      <c r="X74" t="str">
        <f t="shared" si="21"/>
        <v>00</v>
      </c>
      <c r="Y74" t="str">
        <f t="shared" si="22"/>
        <v>600</v>
      </c>
      <c r="Z74" t="str">
        <f t="shared" si="33"/>
        <v>00</v>
      </c>
      <c r="AA74" t="str">
        <f t="shared" si="23"/>
        <v>600</v>
      </c>
      <c r="AB74" t="str">
        <f t="shared" si="24"/>
        <v>00</v>
      </c>
      <c r="AC74" t="str">
        <f t="shared" si="25"/>
        <v>6000</v>
      </c>
      <c r="AD74" t="str">
        <f t="shared" si="26"/>
        <v>000</v>
      </c>
      <c r="AE74" t="str">
        <f t="shared" si="27"/>
        <v>6000</v>
      </c>
      <c r="AF74" t="str">
        <f t="shared" si="28"/>
        <v>000</v>
      </c>
      <c r="AG74" t="str">
        <f t="shared" si="34"/>
        <v>60000</v>
      </c>
      <c r="AH74" t="str">
        <f t="shared" si="35"/>
        <v>0000</v>
      </c>
      <c r="AI74" t="str">
        <f t="shared" si="36"/>
        <v>60000</v>
      </c>
      <c r="AJ74" t="str">
        <f t="shared" si="37"/>
        <v>0000</v>
      </c>
    </row>
    <row r="75" spans="1:36" x14ac:dyDescent="0.25">
      <c r="A75" s="325">
        <f>Tervezés!B78</f>
        <v>0</v>
      </c>
      <c r="B75">
        <v>60</v>
      </c>
      <c r="C75">
        <f>Tervezés!E78</f>
        <v>0</v>
      </c>
      <c r="D75">
        <f>Tervezés!F78</f>
        <v>0</v>
      </c>
      <c r="E75">
        <f>Tervezés!H78</f>
        <v>0</v>
      </c>
      <c r="F75" t="str">
        <f t="shared" si="29"/>
        <v>0</v>
      </c>
      <c r="G75" t="str">
        <f t="shared" si="30"/>
        <v>0</v>
      </c>
      <c r="H75">
        <f>Tervezés!I78</f>
        <v>0</v>
      </c>
      <c r="I75">
        <f>Tervezés!J78</f>
        <v>0</v>
      </c>
      <c r="J75">
        <f>Tervezés!K78</f>
        <v>0</v>
      </c>
      <c r="K75">
        <f>Tervezés!L78</f>
        <v>0</v>
      </c>
      <c r="L75">
        <f>Tervezés!M78</f>
        <v>0</v>
      </c>
      <c r="M75" s="322" t="str">
        <f>IFERROR(VLOOKUP(A75,PAR!$D$3:$E$53,2,FALSE),"nincs szervezet")</f>
        <v>nincs szervezet</v>
      </c>
      <c r="N75" s="322" t="str">
        <f>VLOOKUP(F75,PAR!$R$3:$S$5,2,FALSE)</f>
        <v>3 - egyik sem</v>
      </c>
      <c r="O75" t="str">
        <f>IFERROR(VLOOKUP(J75,PAR!$O$3:$P$5,2,FALSE),"nincs feladat")</f>
        <v>nincs feladat</v>
      </c>
      <c r="P75" t="str">
        <f>IFERROR(VLOOKUP(G75,PAR!$J$2:$M$19,4),"nincs rovat")</f>
        <v>nincs rovat</v>
      </c>
      <c r="Q75" t="str">
        <f>IF(H75&gt;0,VLOOKUP(H75,PAR!$AA$3:$AC$187,3,FALSE),"nincs főkönyvi számla")</f>
        <v>nincs főkönyvi számla</v>
      </c>
      <c r="R75" t="str">
        <f>IFERROR(VLOOKUP(K75,PAR!$V$3:$X$438,3,FALSE),"000000 - Nincs COFOG")</f>
        <v>000000 - Nincs COFOG</v>
      </c>
      <c r="S75">
        <f t="shared" si="31"/>
        <v>0</v>
      </c>
      <c r="T75">
        <f t="shared" si="32"/>
        <v>0</v>
      </c>
      <c r="U75" t="str">
        <f>IF(Tervezés!F78&gt;0,CONCATENATE(Tervezés!E78," - ",Tervezés!F78,", ",Tervezés!J78),"nincs megjegyzés")</f>
        <v>nincs megjegyzés</v>
      </c>
      <c r="V75" t="str">
        <f t="shared" si="19"/>
        <v>6000</v>
      </c>
      <c r="W75" t="str">
        <f t="shared" si="20"/>
        <v>6000</v>
      </c>
      <c r="X75" t="str">
        <f t="shared" si="21"/>
        <v>00</v>
      </c>
      <c r="Y75" t="str">
        <f t="shared" si="22"/>
        <v>600</v>
      </c>
      <c r="Z75" t="str">
        <f t="shared" si="33"/>
        <v>00</v>
      </c>
      <c r="AA75" t="str">
        <f t="shared" si="23"/>
        <v>600</v>
      </c>
      <c r="AB75" t="str">
        <f t="shared" si="24"/>
        <v>00</v>
      </c>
      <c r="AC75" t="str">
        <f t="shared" si="25"/>
        <v>6000</v>
      </c>
      <c r="AD75" t="str">
        <f t="shared" si="26"/>
        <v>000</v>
      </c>
      <c r="AE75" t="str">
        <f t="shared" si="27"/>
        <v>6000</v>
      </c>
      <c r="AF75" t="str">
        <f t="shared" si="28"/>
        <v>000</v>
      </c>
      <c r="AG75" t="str">
        <f t="shared" si="34"/>
        <v>60000</v>
      </c>
      <c r="AH75" t="str">
        <f t="shared" si="35"/>
        <v>0000</v>
      </c>
      <c r="AI75" t="str">
        <f t="shared" si="36"/>
        <v>60000</v>
      </c>
      <c r="AJ75" t="str">
        <f t="shared" si="37"/>
        <v>0000</v>
      </c>
    </row>
    <row r="76" spans="1:36" x14ac:dyDescent="0.25">
      <c r="A76" s="325">
        <f>Tervezés!B79</f>
        <v>0</v>
      </c>
      <c r="B76">
        <v>60</v>
      </c>
      <c r="C76">
        <f>Tervezés!E79</f>
        <v>0</v>
      </c>
      <c r="D76">
        <f>Tervezés!F79</f>
        <v>0</v>
      </c>
      <c r="E76">
        <f>Tervezés!H79</f>
        <v>0</v>
      </c>
      <c r="F76" t="str">
        <f t="shared" si="29"/>
        <v>0</v>
      </c>
      <c r="G76" t="str">
        <f t="shared" si="30"/>
        <v>0</v>
      </c>
      <c r="H76">
        <f>Tervezés!I79</f>
        <v>0</v>
      </c>
      <c r="I76">
        <f>Tervezés!J79</f>
        <v>0</v>
      </c>
      <c r="J76">
        <f>Tervezés!K79</f>
        <v>0</v>
      </c>
      <c r="K76">
        <f>Tervezés!L79</f>
        <v>0</v>
      </c>
      <c r="L76">
        <f>Tervezés!M79</f>
        <v>0</v>
      </c>
      <c r="M76" s="322" t="str">
        <f>IFERROR(VLOOKUP(A76,PAR!$D$3:$E$53,2,FALSE),"nincs szervezet")</f>
        <v>nincs szervezet</v>
      </c>
      <c r="N76" s="322" t="str">
        <f>VLOOKUP(F76,PAR!$R$3:$S$5,2,FALSE)</f>
        <v>3 - egyik sem</v>
      </c>
      <c r="O76" t="str">
        <f>IFERROR(VLOOKUP(J76,PAR!$O$3:$P$5,2,FALSE),"nincs feladat")</f>
        <v>nincs feladat</v>
      </c>
      <c r="P76" t="str">
        <f>IFERROR(VLOOKUP(G76,PAR!$J$2:$M$19,4),"nincs rovat")</f>
        <v>nincs rovat</v>
      </c>
      <c r="Q76" t="str">
        <f>IF(H76&gt;0,VLOOKUP(H76,PAR!$AA$3:$AC$187,3,FALSE),"nincs főkönyvi számla")</f>
        <v>nincs főkönyvi számla</v>
      </c>
      <c r="R76" t="str">
        <f>IFERROR(VLOOKUP(K76,PAR!$V$3:$X$438,3,FALSE),"000000 - Nincs COFOG")</f>
        <v>000000 - Nincs COFOG</v>
      </c>
      <c r="S76">
        <f t="shared" si="31"/>
        <v>0</v>
      </c>
      <c r="T76">
        <f t="shared" si="32"/>
        <v>0</v>
      </c>
      <c r="U76" t="str">
        <f>IF(Tervezés!F79&gt;0,CONCATENATE(Tervezés!E79," - ",Tervezés!F79,", ",Tervezés!J79),"nincs megjegyzés")</f>
        <v>nincs megjegyzés</v>
      </c>
      <c r="V76" t="str">
        <f t="shared" si="19"/>
        <v>6000</v>
      </c>
      <c r="W76" t="str">
        <f t="shared" si="20"/>
        <v>6000</v>
      </c>
      <c r="X76" t="str">
        <f t="shared" si="21"/>
        <v>00</v>
      </c>
      <c r="Y76" t="str">
        <f t="shared" si="22"/>
        <v>600</v>
      </c>
      <c r="Z76" t="str">
        <f t="shared" si="33"/>
        <v>00</v>
      </c>
      <c r="AA76" t="str">
        <f t="shared" si="23"/>
        <v>600</v>
      </c>
      <c r="AB76" t="str">
        <f t="shared" si="24"/>
        <v>00</v>
      </c>
      <c r="AC76" t="str">
        <f t="shared" si="25"/>
        <v>6000</v>
      </c>
      <c r="AD76" t="str">
        <f t="shared" si="26"/>
        <v>000</v>
      </c>
      <c r="AE76" t="str">
        <f t="shared" si="27"/>
        <v>6000</v>
      </c>
      <c r="AF76" t="str">
        <f t="shared" si="28"/>
        <v>000</v>
      </c>
      <c r="AG76" t="str">
        <f t="shared" si="34"/>
        <v>60000</v>
      </c>
      <c r="AH76" t="str">
        <f t="shared" si="35"/>
        <v>0000</v>
      </c>
      <c r="AI76" t="str">
        <f t="shared" si="36"/>
        <v>60000</v>
      </c>
      <c r="AJ76" t="str">
        <f t="shared" si="37"/>
        <v>0000</v>
      </c>
    </row>
    <row r="77" spans="1:36" x14ac:dyDescent="0.25">
      <c r="A77" s="325">
        <f>Tervezés!B80</f>
        <v>0</v>
      </c>
      <c r="B77">
        <v>60</v>
      </c>
      <c r="C77">
        <f>Tervezés!E80</f>
        <v>0</v>
      </c>
      <c r="D77">
        <f>Tervezés!F80</f>
        <v>0</v>
      </c>
      <c r="E77">
        <f>Tervezés!H80</f>
        <v>0</v>
      </c>
      <c r="F77" t="str">
        <f t="shared" si="29"/>
        <v>0</v>
      </c>
      <c r="G77" t="str">
        <f t="shared" si="30"/>
        <v>0</v>
      </c>
      <c r="H77">
        <f>Tervezés!I80</f>
        <v>0</v>
      </c>
      <c r="I77">
        <f>Tervezés!J80</f>
        <v>0</v>
      </c>
      <c r="J77">
        <f>Tervezés!K80</f>
        <v>0</v>
      </c>
      <c r="K77">
        <f>Tervezés!L80</f>
        <v>0</v>
      </c>
      <c r="L77">
        <f>Tervezés!M80</f>
        <v>0</v>
      </c>
      <c r="M77" s="322" t="str">
        <f>IFERROR(VLOOKUP(A77,PAR!$D$3:$E$53,2,FALSE),"nincs szervezet")</f>
        <v>nincs szervezet</v>
      </c>
      <c r="N77" s="322" t="str">
        <f>VLOOKUP(F77,PAR!$R$3:$S$5,2,FALSE)</f>
        <v>3 - egyik sem</v>
      </c>
      <c r="O77" t="str">
        <f>IFERROR(VLOOKUP(J77,PAR!$O$3:$P$5,2,FALSE),"nincs feladat")</f>
        <v>nincs feladat</v>
      </c>
      <c r="P77" t="str">
        <f>IFERROR(VLOOKUP(G77,PAR!$J$2:$M$19,4),"nincs rovat")</f>
        <v>nincs rovat</v>
      </c>
      <c r="Q77" t="str">
        <f>IF(H77&gt;0,VLOOKUP(H77,PAR!$AA$3:$AC$187,3,FALSE),"nincs főkönyvi számla")</f>
        <v>nincs főkönyvi számla</v>
      </c>
      <c r="R77" t="str">
        <f>IFERROR(VLOOKUP(K77,PAR!$V$3:$X$438,3,FALSE),"000000 - Nincs COFOG")</f>
        <v>000000 - Nincs COFOG</v>
      </c>
      <c r="S77">
        <f t="shared" si="31"/>
        <v>0</v>
      </c>
      <c r="T77">
        <f t="shared" si="32"/>
        <v>0</v>
      </c>
      <c r="U77" t="str">
        <f>IF(Tervezés!F80&gt;0,CONCATENATE(Tervezés!E80," - ",Tervezés!F80,", ",Tervezés!J80),"nincs megjegyzés")</f>
        <v>nincs megjegyzés</v>
      </c>
      <c r="V77" t="str">
        <f t="shared" si="19"/>
        <v>6000</v>
      </c>
      <c r="W77" t="str">
        <f t="shared" si="20"/>
        <v>6000</v>
      </c>
      <c r="X77" t="str">
        <f t="shared" si="21"/>
        <v>00</v>
      </c>
      <c r="Y77" t="str">
        <f t="shared" si="22"/>
        <v>600</v>
      </c>
      <c r="Z77" t="str">
        <f t="shared" si="33"/>
        <v>00</v>
      </c>
      <c r="AA77" t="str">
        <f t="shared" si="23"/>
        <v>600</v>
      </c>
      <c r="AB77" t="str">
        <f t="shared" si="24"/>
        <v>00</v>
      </c>
      <c r="AC77" t="str">
        <f t="shared" si="25"/>
        <v>6000</v>
      </c>
      <c r="AD77" t="str">
        <f t="shared" si="26"/>
        <v>000</v>
      </c>
      <c r="AE77" t="str">
        <f t="shared" si="27"/>
        <v>6000</v>
      </c>
      <c r="AF77" t="str">
        <f t="shared" si="28"/>
        <v>000</v>
      </c>
      <c r="AG77" t="str">
        <f t="shared" si="34"/>
        <v>60000</v>
      </c>
      <c r="AH77" t="str">
        <f t="shared" si="35"/>
        <v>0000</v>
      </c>
      <c r="AI77" t="str">
        <f t="shared" si="36"/>
        <v>60000</v>
      </c>
      <c r="AJ77" t="str">
        <f t="shared" si="37"/>
        <v>0000</v>
      </c>
    </row>
    <row r="78" spans="1:36" x14ac:dyDescent="0.25">
      <c r="A78" s="325">
        <f>Tervezés!B81</f>
        <v>0</v>
      </c>
      <c r="B78">
        <v>60</v>
      </c>
      <c r="C78">
        <f>Tervezés!E81</f>
        <v>0</v>
      </c>
      <c r="D78">
        <f>Tervezés!F81</f>
        <v>0</v>
      </c>
      <c r="E78">
        <f>Tervezés!H81</f>
        <v>0</v>
      </c>
      <c r="F78" t="str">
        <f t="shared" si="29"/>
        <v>0</v>
      </c>
      <c r="G78" t="str">
        <f t="shared" si="30"/>
        <v>0</v>
      </c>
      <c r="H78">
        <f>Tervezés!I81</f>
        <v>0</v>
      </c>
      <c r="I78">
        <f>Tervezés!J81</f>
        <v>0</v>
      </c>
      <c r="J78">
        <f>Tervezés!K81</f>
        <v>0</v>
      </c>
      <c r="K78">
        <f>Tervezés!L81</f>
        <v>0</v>
      </c>
      <c r="L78">
        <f>Tervezés!M81</f>
        <v>0</v>
      </c>
      <c r="M78" s="322" t="str">
        <f>IFERROR(VLOOKUP(A78,PAR!$D$3:$E$53,2,FALSE),"nincs szervezet")</f>
        <v>nincs szervezet</v>
      </c>
      <c r="N78" s="322" t="str">
        <f>VLOOKUP(F78,PAR!$R$3:$S$5,2,FALSE)</f>
        <v>3 - egyik sem</v>
      </c>
      <c r="O78" t="str">
        <f>IFERROR(VLOOKUP(J78,PAR!$O$3:$P$5,2,FALSE),"nincs feladat")</f>
        <v>nincs feladat</v>
      </c>
      <c r="P78" t="str">
        <f>IFERROR(VLOOKUP(G78,PAR!$J$2:$M$19,4),"nincs rovat")</f>
        <v>nincs rovat</v>
      </c>
      <c r="Q78" t="str">
        <f>IF(H78&gt;0,VLOOKUP(H78,PAR!$AA$3:$AC$187,3,FALSE),"nincs főkönyvi számla")</f>
        <v>nincs főkönyvi számla</v>
      </c>
      <c r="R78" t="str">
        <f>IFERROR(VLOOKUP(K78,PAR!$V$3:$X$438,3,FALSE),"000000 - Nincs COFOG")</f>
        <v>000000 - Nincs COFOG</v>
      </c>
      <c r="S78">
        <f t="shared" si="31"/>
        <v>0</v>
      </c>
      <c r="T78">
        <f t="shared" si="32"/>
        <v>0</v>
      </c>
      <c r="U78" t="str">
        <f>IF(Tervezés!F81&gt;0,CONCATENATE(Tervezés!E81," - ",Tervezés!F81,", ",Tervezés!J81),"nincs megjegyzés")</f>
        <v>nincs megjegyzés</v>
      </c>
      <c r="V78" t="str">
        <f t="shared" si="19"/>
        <v>6000</v>
      </c>
      <c r="W78" t="str">
        <f t="shared" si="20"/>
        <v>6000</v>
      </c>
      <c r="X78" t="str">
        <f t="shared" si="21"/>
        <v>00</v>
      </c>
      <c r="Y78" t="str">
        <f t="shared" si="22"/>
        <v>600</v>
      </c>
      <c r="Z78" t="str">
        <f t="shared" si="33"/>
        <v>00</v>
      </c>
      <c r="AA78" t="str">
        <f t="shared" si="23"/>
        <v>600</v>
      </c>
      <c r="AB78" t="str">
        <f t="shared" si="24"/>
        <v>00</v>
      </c>
      <c r="AC78" t="str">
        <f t="shared" si="25"/>
        <v>6000</v>
      </c>
      <c r="AD78" t="str">
        <f t="shared" si="26"/>
        <v>000</v>
      </c>
      <c r="AE78" t="str">
        <f t="shared" si="27"/>
        <v>6000</v>
      </c>
      <c r="AF78" t="str">
        <f t="shared" si="28"/>
        <v>000</v>
      </c>
      <c r="AG78" t="str">
        <f t="shared" si="34"/>
        <v>60000</v>
      </c>
      <c r="AH78" t="str">
        <f t="shared" si="35"/>
        <v>0000</v>
      </c>
      <c r="AI78" t="str">
        <f t="shared" si="36"/>
        <v>60000</v>
      </c>
      <c r="AJ78" t="str">
        <f t="shared" si="37"/>
        <v>0000</v>
      </c>
    </row>
    <row r="79" spans="1:36" x14ac:dyDescent="0.25">
      <c r="A79" s="325">
        <f>Tervezés!B82</f>
        <v>0</v>
      </c>
      <c r="B79">
        <v>60</v>
      </c>
      <c r="C79">
        <f>Tervezés!E82</f>
        <v>0</v>
      </c>
      <c r="D79">
        <f>Tervezés!F82</f>
        <v>0</v>
      </c>
      <c r="E79">
        <f>Tervezés!H82</f>
        <v>0</v>
      </c>
      <c r="F79" t="str">
        <f t="shared" si="29"/>
        <v>0</v>
      </c>
      <c r="G79" t="str">
        <f t="shared" si="30"/>
        <v>0</v>
      </c>
      <c r="H79">
        <f>Tervezés!I82</f>
        <v>0</v>
      </c>
      <c r="I79">
        <f>Tervezés!J82</f>
        <v>0</v>
      </c>
      <c r="J79">
        <f>Tervezés!K82</f>
        <v>0</v>
      </c>
      <c r="K79">
        <f>Tervezés!L82</f>
        <v>0</v>
      </c>
      <c r="L79">
        <f>Tervezés!M82</f>
        <v>0</v>
      </c>
      <c r="M79" s="322" t="str">
        <f>IFERROR(VLOOKUP(A79,PAR!$D$3:$E$53,2,FALSE),"nincs szervezet")</f>
        <v>nincs szervezet</v>
      </c>
      <c r="N79" s="322" t="str">
        <f>VLOOKUP(F79,PAR!$R$3:$S$5,2,FALSE)</f>
        <v>3 - egyik sem</v>
      </c>
      <c r="O79" t="str">
        <f>IFERROR(VLOOKUP(J79,PAR!$O$3:$P$5,2,FALSE),"nincs feladat")</f>
        <v>nincs feladat</v>
      </c>
      <c r="P79" t="str">
        <f>IFERROR(VLOOKUP(G79,PAR!$J$2:$M$19,4),"nincs rovat")</f>
        <v>nincs rovat</v>
      </c>
      <c r="Q79" t="str">
        <f>IF(H79&gt;0,VLOOKUP(H79,PAR!$AA$3:$AC$187,3,FALSE),"nincs főkönyvi számla")</f>
        <v>nincs főkönyvi számla</v>
      </c>
      <c r="R79" t="str">
        <f>IFERROR(VLOOKUP(K79,PAR!$V$3:$X$438,3,FALSE),"000000 - Nincs COFOG")</f>
        <v>000000 - Nincs COFOG</v>
      </c>
      <c r="S79">
        <f t="shared" si="31"/>
        <v>0</v>
      </c>
      <c r="T79">
        <f t="shared" si="32"/>
        <v>0</v>
      </c>
      <c r="U79" t="str">
        <f>IF(Tervezés!F82&gt;0,CONCATENATE(Tervezés!E82," - ",Tervezés!F82,", ",Tervezés!J82),"nincs megjegyzés")</f>
        <v>nincs megjegyzés</v>
      </c>
      <c r="V79" t="str">
        <f t="shared" si="19"/>
        <v>6000</v>
      </c>
      <c r="W79" t="str">
        <f t="shared" si="20"/>
        <v>6000</v>
      </c>
      <c r="X79" t="str">
        <f t="shared" si="21"/>
        <v>00</v>
      </c>
      <c r="Y79" t="str">
        <f t="shared" si="22"/>
        <v>600</v>
      </c>
      <c r="Z79" t="str">
        <f t="shared" si="33"/>
        <v>00</v>
      </c>
      <c r="AA79" t="str">
        <f t="shared" si="23"/>
        <v>600</v>
      </c>
      <c r="AB79" t="str">
        <f t="shared" si="24"/>
        <v>00</v>
      </c>
      <c r="AC79" t="str">
        <f t="shared" si="25"/>
        <v>6000</v>
      </c>
      <c r="AD79" t="str">
        <f t="shared" si="26"/>
        <v>000</v>
      </c>
      <c r="AE79" t="str">
        <f t="shared" si="27"/>
        <v>6000</v>
      </c>
      <c r="AF79" t="str">
        <f t="shared" si="28"/>
        <v>000</v>
      </c>
      <c r="AG79" t="str">
        <f t="shared" si="34"/>
        <v>60000</v>
      </c>
      <c r="AH79" t="str">
        <f t="shared" si="35"/>
        <v>0000</v>
      </c>
      <c r="AI79" t="str">
        <f t="shared" si="36"/>
        <v>60000</v>
      </c>
      <c r="AJ79" t="str">
        <f t="shared" si="37"/>
        <v>0000</v>
      </c>
    </row>
    <row r="80" spans="1:36" x14ac:dyDescent="0.25">
      <c r="A80" s="325">
        <f>Tervezés!B83</f>
        <v>0</v>
      </c>
      <c r="B80">
        <v>60</v>
      </c>
      <c r="C80">
        <f>Tervezés!E83</f>
        <v>0</v>
      </c>
      <c r="D80">
        <f>Tervezés!F83</f>
        <v>0</v>
      </c>
      <c r="E80">
        <f>Tervezés!H83</f>
        <v>0</v>
      </c>
      <c r="F80" t="str">
        <f t="shared" si="29"/>
        <v>0</v>
      </c>
      <c r="G80" t="str">
        <f t="shared" si="30"/>
        <v>0</v>
      </c>
      <c r="H80">
        <f>Tervezés!I83</f>
        <v>0</v>
      </c>
      <c r="I80">
        <f>Tervezés!J83</f>
        <v>0</v>
      </c>
      <c r="J80">
        <f>Tervezés!K83</f>
        <v>0</v>
      </c>
      <c r="K80">
        <f>Tervezés!L83</f>
        <v>0</v>
      </c>
      <c r="L80">
        <f>Tervezés!M83</f>
        <v>0</v>
      </c>
      <c r="M80" s="322" t="str">
        <f>IFERROR(VLOOKUP(A80,PAR!$D$3:$E$53,2,FALSE),"nincs szervezet")</f>
        <v>nincs szervezet</v>
      </c>
      <c r="N80" s="322" t="str">
        <f>VLOOKUP(F80,PAR!$R$3:$S$5,2,FALSE)</f>
        <v>3 - egyik sem</v>
      </c>
      <c r="O80" t="str">
        <f>IFERROR(VLOOKUP(J80,PAR!$O$3:$P$5,2,FALSE),"nincs feladat")</f>
        <v>nincs feladat</v>
      </c>
      <c r="P80" t="str">
        <f>IFERROR(VLOOKUP(G80,PAR!$J$2:$M$19,4),"nincs rovat")</f>
        <v>nincs rovat</v>
      </c>
      <c r="Q80" t="str">
        <f>IF(H80&gt;0,VLOOKUP(H80,PAR!$AA$3:$AC$187,3,FALSE),"nincs főkönyvi számla")</f>
        <v>nincs főkönyvi számla</v>
      </c>
      <c r="R80" t="str">
        <f>IFERROR(VLOOKUP(K80,PAR!$V$3:$X$438,3,FALSE),"000000 - Nincs COFOG")</f>
        <v>000000 - Nincs COFOG</v>
      </c>
      <c r="S80">
        <f t="shared" si="31"/>
        <v>0</v>
      </c>
      <c r="T80">
        <f t="shared" si="32"/>
        <v>0</v>
      </c>
      <c r="U80" t="str">
        <f>IF(Tervezés!F83&gt;0,CONCATENATE(Tervezés!E83," - ",Tervezés!F83,", ",Tervezés!J83),"nincs megjegyzés")</f>
        <v>nincs megjegyzés</v>
      </c>
      <c r="V80" t="str">
        <f t="shared" si="19"/>
        <v>6000</v>
      </c>
      <c r="W80" t="str">
        <f t="shared" si="20"/>
        <v>6000</v>
      </c>
      <c r="X80" t="str">
        <f t="shared" si="21"/>
        <v>00</v>
      </c>
      <c r="Y80" t="str">
        <f t="shared" si="22"/>
        <v>600</v>
      </c>
      <c r="Z80" t="str">
        <f t="shared" si="33"/>
        <v>00</v>
      </c>
      <c r="AA80" t="str">
        <f t="shared" si="23"/>
        <v>600</v>
      </c>
      <c r="AB80" t="str">
        <f t="shared" si="24"/>
        <v>00</v>
      </c>
      <c r="AC80" t="str">
        <f t="shared" si="25"/>
        <v>6000</v>
      </c>
      <c r="AD80" t="str">
        <f t="shared" si="26"/>
        <v>000</v>
      </c>
      <c r="AE80" t="str">
        <f t="shared" si="27"/>
        <v>6000</v>
      </c>
      <c r="AF80" t="str">
        <f t="shared" si="28"/>
        <v>000</v>
      </c>
      <c r="AG80" t="str">
        <f t="shared" si="34"/>
        <v>60000</v>
      </c>
      <c r="AH80" t="str">
        <f t="shared" si="35"/>
        <v>0000</v>
      </c>
      <c r="AI80" t="str">
        <f t="shared" si="36"/>
        <v>60000</v>
      </c>
      <c r="AJ80" t="str">
        <f t="shared" si="37"/>
        <v>0000</v>
      </c>
    </row>
    <row r="81" spans="1:36" x14ac:dyDescent="0.25">
      <c r="A81" s="325">
        <f>Tervezés!B84</f>
        <v>0</v>
      </c>
      <c r="B81">
        <v>60</v>
      </c>
      <c r="C81">
        <f>Tervezés!E84</f>
        <v>0</v>
      </c>
      <c r="D81">
        <f>Tervezés!F84</f>
        <v>0</v>
      </c>
      <c r="E81">
        <f>Tervezés!H84</f>
        <v>0</v>
      </c>
      <c r="F81" t="str">
        <f t="shared" si="29"/>
        <v>0</v>
      </c>
      <c r="G81" t="str">
        <f t="shared" si="30"/>
        <v>0</v>
      </c>
      <c r="H81">
        <f>Tervezés!I84</f>
        <v>0</v>
      </c>
      <c r="I81">
        <f>Tervezés!J84</f>
        <v>0</v>
      </c>
      <c r="J81">
        <f>Tervezés!K84</f>
        <v>0</v>
      </c>
      <c r="K81">
        <f>Tervezés!L84</f>
        <v>0</v>
      </c>
      <c r="L81">
        <f>Tervezés!M84</f>
        <v>0</v>
      </c>
      <c r="M81" s="322" t="str">
        <f>IFERROR(VLOOKUP(A81,PAR!$D$3:$E$53,2,FALSE),"nincs szervezet")</f>
        <v>nincs szervezet</v>
      </c>
      <c r="N81" s="322" t="str">
        <f>VLOOKUP(F81,PAR!$R$3:$S$5,2,FALSE)</f>
        <v>3 - egyik sem</v>
      </c>
      <c r="O81" t="str">
        <f>IFERROR(VLOOKUP(J81,PAR!$O$3:$P$5,2,FALSE),"nincs feladat")</f>
        <v>nincs feladat</v>
      </c>
      <c r="P81" t="str">
        <f>IFERROR(VLOOKUP(G81,PAR!$J$2:$M$19,4),"nincs rovat")</f>
        <v>nincs rovat</v>
      </c>
      <c r="Q81" t="str">
        <f>IF(H81&gt;0,VLOOKUP(H81,PAR!$AA$3:$AC$187,3,FALSE),"nincs főkönyvi számla")</f>
        <v>nincs főkönyvi számla</v>
      </c>
      <c r="R81" t="str">
        <f>IFERROR(VLOOKUP(K81,PAR!$V$3:$X$438,3,FALSE),"000000 - Nincs COFOG")</f>
        <v>000000 - Nincs COFOG</v>
      </c>
      <c r="S81">
        <f t="shared" si="31"/>
        <v>0</v>
      </c>
      <c r="T81">
        <f t="shared" si="32"/>
        <v>0</v>
      </c>
      <c r="U81" t="str">
        <f>IF(Tervezés!F84&gt;0,CONCATENATE(Tervezés!E84," - ",Tervezés!F84,", ",Tervezés!J84),"nincs megjegyzés")</f>
        <v>nincs megjegyzés</v>
      </c>
      <c r="V81" t="str">
        <f t="shared" si="19"/>
        <v>6000</v>
      </c>
      <c r="W81" t="str">
        <f t="shared" si="20"/>
        <v>6000</v>
      </c>
      <c r="X81" t="str">
        <f t="shared" si="21"/>
        <v>00</v>
      </c>
      <c r="Y81" t="str">
        <f t="shared" si="22"/>
        <v>600</v>
      </c>
      <c r="Z81" t="str">
        <f t="shared" si="33"/>
        <v>00</v>
      </c>
      <c r="AA81" t="str">
        <f t="shared" si="23"/>
        <v>600</v>
      </c>
      <c r="AB81" t="str">
        <f t="shared" si="24"/>
        <v>00</v>
      </c>
      <c r="AC81" t="str">
        <f t="shared" si="25"/>
        <v>6000</v>
      </c>
      <c r="AD81" t="str">
        <f t="shared" si="26"/>
        <v>000</v>
      </c>
      <c r="AE81" t="str">
        <f t="shared" si="27"/>
        <v>6000</v>
      </c>
      <c r="AF81" t="str">
        <f t="shared" si="28"/>
        <v>000</v>
      </c>
      <c r="AG81" t="str">
        <f t="shared" si="34"/>
        <v>60000</v>
      </c>
      <c r="AH81" t="str">
        <f t="shared" si="35"/>
        <v>0000</v>
      </c>
      <c r="AI81" t="str">
        <f t="shared" si="36"/>
        <v>60000</v>
      </c>
      <c r="AJ81" t="str">
        <f t="shared" si="37"/>
        <v>0000</v>
      </c>
    </row>
    <row r="82" spans="1:36" x14ac:dyDescent="0.25">
      <c r="A82" s="325">
        <f>Tervezés!B85</f>
        <v>0</v>
      </c>
      <c r="B82">
        <v>60</v>
      </c>
      <c r="C82">
        <f>Tervezés!E85</f>
        <v>0</v>
      </c>
      <c r="D82">
        <f>Tervezés!F85</f>
        <v>0</v>
      </c>
      <c r="E82">
        <f>Tervezés!H85</f>
        <v>0</v>
      </c>
      <c r="F82" t="str">
        <f t="shared" si="29"/>
        <v>0</v>
      </c>
      <c r="G82" t="str">
        <f t="shared" si="30"/>
        <v>0</v>
      </c>
      <c r="H82">
        <f>Tervezés!I85</f>
        <v>0</v>
      </c>
      <c r="I82">
        <f>Tervezés!J85</f>
        <v>0</v>
      </c>
      <c r="J82">
        <f>Tervezés!K85</f>
        <v>0</v>
      </c>
      <c r="K82">
        <f>Tervezés!L85</f>
        <v>0</v>
      </c>
      <c r="L82">
        <f>Tervezés!M85</f>
        <v>0</v>
      </c>
      <c r="M82" s="322" t="str">
        <f>IFERROR(VLOOKUP(A82,PAR!$D$3:$E$53,2,FALSE),"nincs szervezet")</f>
        <v>nincs szervezet</v>
      </c>
      <c r="N82" s="322" t="str">
        <f>VLOOKUP(F82,PAR!$R$3:$S$5,2,FALSE)</f>
        <v>3 - egyik sem</v>
      </c>
      <c r="O82" t="str">
        <f>IFERROR(VLOOKUP(J82,PAR!$O$3:$P$5,2,FALSE),"nincs feladat")</f>
        <v>nincs feladat</v>
      </c>
      <c r="P82" t="str">
        <f>IFERROR(VLOOKUP(G82,PAR!$J$2:$M$19,4),"nincs rovat")</f>
        <v>nincs rovat</v>
      </c>
      <c r="Q82" t="str">
        <f>IF(H82&gt;0,VLOOKUP(H82,PAR!$AA$3:$AC$187,3,FALSE),"nincs főkönyvi számla")</f>
        <v>nincs főkönyvi számla</v>
      </c>
      <c r="R82" t="str">
        <f>IFERROR(VLOOKUP(K82,PAR!$V$3:$X$438,3,FALSE),"000000 - Nincs COFOG")</f>
        <v>000000 - Nincs COFOG</v>
      </c>
      <c r="S82">
        <f t="shared" si="31"/>
        <v>0</v>
      </c>
      <c r="T82">
        <f t="shared" si="32"/>
        <v>0</v>
      </c>
      <c r="U82" t="str">
        <f>IF(Tervezés!F85&gt;0,CONCATENATE(Tervezés!E85," - ",Tervezés!F85,", ",Tervezés!J85),"nincs megjegyzés")</f>
        <v>nincs megjegyzés</v>
      </c>
      <c r="V82" t="str">
        <f t="shared" si="19"/>
        <v>6000</v>
      </c>
      <c r="W82" t="str">
        <f t="shared" si="20"/>
        <v>6000</v>
      </c>
      <c r="X82" t="str">
        <f t="shared" si="21"/>
        <v>00</v>
      </c>
      <c r="Y82" t="str">
        <f t="shared" si="22"/>
        <v>600</v>
      </c>
      <c r="Z82" t="str">
        <f t="shared" si="33"/>
        <v>00</v>
      </c>
      <c r="AA82" t="str">
        <f t="shared" si="23"/>
        <v>600</v>
      </c>
      <c r="AB82" t="str">
        <f t="shared" si="24"/>
        <v>00</v>
      </c>
      <c r="AC82" t="str">
        <f t="shared" si="25"/>
        <v>6000</v>
      </c>
      <c r="AD82" t="str">
        <f t="shared" si="26"/>
        <v>000</v>
      </c>
      <c r="AE82" t="str">
        <f t="shared" si="27"/>
        <v>6000</v>
      </c>
      <c r="AF82" t="str">
        <f t="shared" si="28"/>
        <v>000</v>
      </c>
      <c r="AG82" t="str">
        <f t="shared" si="34"/>
        <v>60000</v>
      </c>
      <c r="AH82" t="str">
        <f t="shared" si="35"/>
        <v>0000</v>
      </c>
      <c r="AI82" t="str">
        <f t="shared" si="36"/>
        <v>60000</v>
      </c>
      <c r="AJ82" t="str">
        <f t="shared" si="37"/>
        <v>0000</v>
      </c>
    </row>
    <row r="83" spans="1:36" x14ac:dyDescent="0.25">
      <c r="A83" s="325">
        <f>Tervezés!B86</f>
        <v>0</v>
      </c>
      <c r="B83">
        <v>60</v>
      </c>
      <c r="C83">
        <f>Tervezés!E86</f>
        <v>0</v>
      </c>
      <c r="D83">
        <f>Tervezés!F86</f>
        <v>0</v>
      </c>
      <c r="E83">
        <f>Tervezés!H86</f>
        <v>0</v>
      </c>
      <c r="F83" t="str">
        <f t="shared" si="29"/>
        <v>0</v>
      </c>
      <c r="G83" t="str">
        <f t="shared" si="30"/>
        <v>0</v>
      </c>
      <c r="H83">
        <f>Tervezés!I86</f>
        <v>0</v>
      </c>
      <c r="I83">
        <f>Tervezés!J86</f>
        <v>0</v>
      </c>
      <c r="J83">
        <f>Tervezés!K86</f>
        <v>0</v>
      </c>
      <c r="K83">
        <f>Tervezés!L86</f>
        <v>0</v>
      </c>
      <c r="L83">
        <f>Tervezés!M86</f>
        <v>0</v>
      </c>
      <c r="M83" s="322" t="str">
        <f>IFERROR(VLOOKUP(A83,PAR!$D$3:$E$53,2,FALSE),"nincs szervezet")</f>
        <v>nincs szervezet</v>
      </c>
      <c r="N83" s="322" t="str">
        <f>VLOOKUP(F83,PAR!$R$3:$S$5,2,FALSE)</f>
        <v>3 - egyik sem</v>
      </c>
      <c r="O83" t="str">
        <f>IFERROR(VLOOKUP(J83,PAR!$O$3:$P$5,2,FALSE),"nincs feladat")</f>
        <v>nincs feladat</v>
      </c>
      <c r="P83" t="str">
        <f>IFERROR(VLOOKUP(G83,PAR!$J$2:$M$19,4),"nincs rovat")</f>
        <v>nincs rovat</v>
      </c>
      <c r="Q83" t="str">
        <f>IF(H83&gt;0,VLOOKUP(H83,PAR!$AA$3:$AC$187,3,FALSE),"nincs főkönyvi számla")</f>
        <v>nincs főkönyvi számla</v>
      </c>
      <c r="R83" t="str">
        <f>IFERROR(VLOOKUP(K83,PAR!$V$3:$X$438,3,FALSE),"000000 - Nincs COFOG")</f>
        <v>000000 - Nincs COFOG</v>
      </c>
      <c r="S83">
        <f t="shared" si="31"/>
        <v>0</v>
      </c>
      <c r="T83">
        <f t="shared" si="32"/>
        <v>0</v>
      </c>
      <c r="U83" t="str">
        <f>IF(Tervezés!F86&gt;0,CONCATENATE(Tervezés!E86," - ",Tervezés!F86,", ",Tervezés!J86),"nincs megjegyzés")</f>
        <v>nincs megjegyzés</v>
      </c>
      <c r="V83" t="str">
        <f t="shared" si="19"/>
        <v>6000</v>
      </c>
      <c r="W83" t="str">
        <f t="shared" si="20"/>
        <v>6000</v>
      </c>
      <c r="X83" t="str">
        <f t="shared" si="21"/>
        <v>00</v>
      </c>
      <c r="Y83" t="str">
        <f t="shared" si="22"/>
        <v>600</v>
      </c>
      <c r="Z83" t="str">
        <f t="shared" si="33"/>
        <v>00</v>
      </c>
      <c r="AA83" t="str">
        <f t="shared" si="23"/>
        <v>600</v>
      </c>
      <c r="AB83" t="str">
        <f t="shared" si="24"/>
        <v>00</v>
      </c>
      <c r="AC83" t="str">
        <f t="shared" si="25"/>
        <v>6000</v>
      </c>
      <c r="AD83" t="str">
        <f t="shared" si="26"/>
        <v>000</v>
      </c>
      <c r="AE83" t="str">
        <f t="shared" si="27"/>
        <v>6000</v>
      </c>
      <c r="AF83" t="str">
        <f t="shared" si="28"/>
        <v>000</v>
      </c>
      <c r="AG83" t="str">
        <f t="shared" si="34"/>
        <v>60000</v>
      </c>
      <c r="AH83" t="str">
        <f t="shared" si="35"/>
        <v>0000</v>
      </c>
      <c r="AI83" t="str">
        <f t="shared" si="36"/>
        <v>60000</v>
      </c>
      <c r="AJ83" t="str">
        <f t="shared" si="37"/>
        <v>0000</v>
      </c>
    </row>
    <row r="84" spans="1:36" x14ac:dyDescent="0.25">
      <c r="A84" s="325">
        <f>Tervezés!B87</f>
        <v>0</v>
      </c>
      <c r="B84">
        <v>60</v>
      </c>
      <c r="C84">
        <f>Tervezés!E87</f>
        <v>0</v>
      </c>
      <c r="D84">
        <f>Tervezés!F87</f>
        <v>0</v>
      </c>
      <c r="E84">
        <f>Tervezés!H87</f>
        <v>0</v>
      </c>
      <c r="F84" t="str">
        <f t="shared" si="29"/>
        <v>0</v>
      </c>
      <c r="G84" t="str">
        <f t="shared" si="30"/>
        <v>0</v>
      </c>
      <c r="H84">
        <f>Tervezés!I87</f>
        <v>0</v>
      </c>
      <c r="I84">
        <f>Tervezés!J87</f>
        <v>0</v>
      </c>
      <c r="J84">
        <f>Tervezés!K87</f>
        <v>0</v>
      </c>
      <c r="K84">
        <f>Tervezés!L87</f>
        <v>0</v>
      </c>
      <c r="L84">
        <f>Tervezés!M87</f>
        <v>0</v>
      </c>
      <c r="M84" s="322" t="str">
        <f>IFERROR(VLOOKUP(A84,PAR!$D$3:$E$53,2,FALSE),"nincs szervezet")</f>
        <v>nincs szervezet</v>
      </c>
      <c r="N84" s="322" t="str">
        <f>VLOOKUP(F84,PAR!$R$3:$S$5,2,FALSE)</f>
        <v>3 - egyik sem</v>
      </c>
      <c r="O84" t="str">
        <f>IFERROR(VLOOKUP(J84,PAR!$O$3:$P$5,2,FALSE),"nincs feladat")</f>
        <v>nincs feladat</v>
      </c>
      <c r="P84" t="str">
        <f>IFERROR(VLOOKUP(G84,PAR!$J$2:$M$19,4),"nincs rovat")</f>
        <v>nincs rovat</v>
      </c>
      <c r="Q84" t="str">
        <f>IF(H84&gt;0,VLOOKUP(H84,PAR!$AA$3:$AC$187,3,FALSE),"nincs főkönyvi számla")</f>
        <v>nincs főkönyvi számla</v>
      </c>
      <c r="R84" t="str">
        <f>IFERROR(VLOOKUP(K84,PAR!$V$3:$X$438,3,FALSE),"000000 - Nincs COFOG")</f>
        <v>000000 - Nincs COFOG</v>
      </c>
      <c r="S84">
        <f t="shared" si="31"/>
        <v>0</v>
      </c>
      <c r="T84">
        <f t="shared" si="32"/>
        <v>0</v>
      </c>
      <c r="U84" t="str">
        <f>IF(Tervezés!F87&gt;0,CONCATENATE(Tervezés!E87," - ",Tervezés!F87,", ",Tervezés!J87),"nincs megjegyzés")</f>
        <v>nincs megjegyzés</v>
      </c>
      <c r="V84" t="str">
        <f t="shared" si="19"/>
        <v>6000</v>
      </c>
      <c r="W84" t="str">
        <f t="shared" si="20"/>
        <v>6000</v>
      </c>
      <c r="X84" t="str">
        <f t="shared" si="21"/>
        <v>00</v>
      </c>
      <c r="Y84" t="str">
        <f t="shared" si="22"/>
        <v>600</v>
      </c>
      <c r="Z84" t="str">
        <f t="shared" si="33"/>
        <v>00</v>
      </c>
      <c r="AA84" t="str">
        <f t="shared" si="23"/>
        <v>600</v>
      </c>
      <c r="AB84" t="str">
        <f t="shared" si="24"/>
        <v>00</v>
      </c>
      <c r="AC84" t="str">
        <f t="shared" si="25"/>
        <v>6000</v>
      </c>
      <c r="AD84" t="str">
        <f t="shared" si="26"/>
        <v>000</v>
      </c>
      <c r="AE84" t="str">
        <f t="shared" si="27"/>
        <v>6000</v>
      </c>
      <c r="AF84" t="str">
        <f t="shared" si="28"/>
        <v>000</v>
      </c>
      <c r="AG84" t="str">
        <f t="shared" si="34"/>
        <v>60000</v>
      </c>
      <c r="AH84" t="str">
        <f t="shared" si="35"/>
        <v>0000</v>
      </c>
      <c r="AI84" t="str">
        <f t="shared" si="36"/>
        <v>60000</v>
      </c>
      <c r="AJ84" t="str">
        <f t="shared" si="37"/>
        <v>0000</v>
      </c>
    </row>
    <row r="85" spans="1:36" x14ac:dyDescent="0.25">
      <c r="A85" s="325">
        <f>Tervezés!B88</f>
        <v>0</v>
      </c>
      <c r="B85">
        <v>60</v>
      </c>
      <c r="C85">
        <f>Tervezés!E88</f>
        <v>0</v>
      </c>
      <c r="D85">
        <f>Tervezés!F88</f>
        <v>0</v>
      </c>
      <c r="E85">
        <f>Tervezés!H88</f>
        <v>0</v>
      </c>
      <c r="F85" t="str">
        <f t="shared" si="29"/>
        <v>0</v>
      </c>
      <c r="G85" t="str">
        <f t="shared" si="30"/>
        <v>0</v>
      </c>
      <c r="H85">
        <f>Tervezés!I88</f>
        <v>0</v>
      </c>
      <c r="I85">
        <f>Tervezés!J88</f>
        <v>0</v>
      </c>
      <c r="J85">
        <f>Tervezés!K88</f>
        <v>0</v>
      </c>
      <c r="K85">
        <f>Tervezés!L88</f>
        <v>0</v>
      </c>
      <c r="L85">
        <f>Tervezés!M88</f>
        <v>0</v>
      </c>
      <c r="M85" s="322" t="str">
        <f>IFERROR(VLOOKUP(A85,PAR!$D$3:$E$53,2,FALSE),"nincs szervezet")</f>
        <v>nincs szervezet</v>
      </c>
      <c r="N85" s="322" t="str">
        <f>VLOOKUP(F85,PAR!$R$3:$S$5,2,FALSE)</f>
        <v>3 - egyik sem</v>
      </c>
      <c r="O85" t="str">
        <f>IFERROR(VLOOKUP(J85,PAR!$O$3:$P$5,2,FALSE),"nincs feladat")</f>
        <v>nincs feladat</v>
      </c>
      <c r="P85" t="str">
        <f>IFERROR(VLOOKUP(G85,PAR!$J$2:$M$19,4),"nincs rovat")</f>
        <v>nincs rovat</v>
      </c>
      <c r="Q85" t="str">
        <f>IF(H85&gt;0,VLOOKUP(H85,PAR!$AA$3:$AC$187,3,FALSE),"nincs főkönyvi számla")</f>
        <v>nincs főkönyvi számla</v>
      </c>
      <c r="R85" t="str">
        <f>IFERROR(VLOOKUP(K85,PAR!$V$3:$X$438,3,FALSE),"000000 - Nincs COFOG")</f>
        <v>000000 - Nincs COFOG</v>
      </c>
      <c r="S85">
        <f t="shared" si="31"/>
        <v>0</v>
      </c>
      <c r="T85">
        <f t="shared" si="32"/>
        <v>0</v>
      </c>
      <c r="U85" t="str">
        <f>IF(Tervezés!F88&gt;0,CONCATENATE(Tervezés!E88," - ",Tervezés!F88,", ",Tervezés!J88),"nincs megjegyzés")</f>
        <v>nincs megjegyzés</v>
      </c>
      <c r="V85" t="str">
        <f t="shared" si="19"/>
        <v>6000</v>
      </c>
      <c r="W85" t="str">
        <f t="shared" si="20"/>
        <v>6000</v>
      </c>
      <c r="X85" t="str">
        <f t="shared" si="21"/>
        <v>00</v>
      </c>
      <c r="Y85" t="str">
        <f t="shared" si="22"/>
        <v>600</v>
      </c>
      <c r="Z85" t="str">
        <f t="shared" si="33"/>
        <v>00</v>
      </c>
      <c r="AA85" t="str">
        <f t="shared" si="23"/>
        <v>600</v>
      </c>
      <c r="AB85" t="str">
        <f t="shared" si="24"/>
        <v>00</v>
      </c>
      <c r="AC85" t="str">
        <f t="shared" si="25"/>
        <v>6000</v>
      </c>
      <c r="AD85" t="str">
        <f t="shared" si="26"/>
        <v>000</v>
      </c>
      <c r="AE85" t="str">
        <f t="shared" si="27"/>
        <v>6000</v>
      </c>
      <c r="AF85" t="str">
        <f t="shared" si="28"/>
        <v>000</v>
      </c>
      <c r="AG85" t="str">
        <f t="shared" si="34"/>
        <v>60000</v>
      </c>
      <c r="AH85" t="str">
        <f t="shared" si="35"/>
        <v>0000</v>
      </c>
      <c r="AI85" t="str">
        <f t="shared" si="36"/>
        <v>60000</v>
      </c>
      <c r="AJ85" t="str">
        <f t="shared" si="37"/>
        <v>0000</v>
      </c>
    </row>
    <row r="86" spans="1:36" x14ac:dyDescent="0.25">
      <c r="A86" s="325">
        <f>Tervezés!B89</f>
        <v>0</v>
      </c>
      <c r="B86">
        <v>60</v>
      </c>
      <c r="C86">
        <f>Tervezés!E89</f>
        <v>0</v>
      </c>
      <c r="D86">
        <f>Tervezés!F89</f>
        <v>0</v>
      </c>
      <c r="E86">
        <f>Tervezés!H89</f>
        <v>0</v>
      </c>
      <c r="F86" t="str">
        <f t="shared" si="29"/>
        <v>0</v>
      </c>
      <c r="G86" t="str">
        <f t="shared" si="30"/>
        <v>0</v>
      </c>
      <c r="H86">
        <f>Tervezés!I89</f>
        <v>0</v>
      </c>
      <c r="I86">
        <f>Tervezés!J89</f>
        <v>0</v>
      </c>
      <c r="J86">
        <f>Tervezés!K89</f>
        <v>0</v>
      </c>
      <c r="K86">
        <f>Tervezés!L89</f>
        <v>0</v>
      </c>
      <c r="L86">
        <f>Tervezés!M89</f>
        <v>0</v>
      </c>
      <c r="M86" s="322" t="str">
        <f>IFERROR(VLOOKUP(A86,PAR!$D$3:$E$53,2,FALSE),"nincs szervezet")</f>
        <v>nincs szervezet</v>
      </c>
      <c r="N86" s="322" t="str">
        <f>VLOOKUP(F86,PAR!$R$3:$S$5,2,FALSE)</f>
        <v>3 - egyik sem</v>
      </c>
      <c r="O86" t="str">
        <f>IFERROR(VLOOKUP(J86,PAR!$O$3:$P$5,2,FALSE),"nincs feladat")</f>
        <v>nincs feladat</v>
      </c>
      <c r="P86" t="str">
        <f>IFERROR(VLOOKUP(G86,PAR!$J$2:$M$19,4),"nincs rovat")</f>
        <v>nincs rovat</v>
      </c>
      <c r="Q86" t="str">
        <f>IF(H86&gt;0,VLOOKUP(H86,PAR!$AA$3:$AC$187,3,FALSE),"nincs főkönyvi számla")</f>
        <v>nincs főkönyvi számla</v>
      </c>
      <c r="R86" t="str">
        <f>IFERROR(VLOOKUP(K86,PAR!$V$3:$X$438,3,FALSE),"000000 - Nincs COFOG")</f>
        <v>000000 - Nincs COFOG</v>
      </c>
      <c r="S86">
        <f t="shared" si="31"/>
        <v>0</v>
      </c>
      <c r="T86">
        <f t="shared" si="32"/>
        <v>0</v>
      </c>
      <c r="U86" t="str">
        <f>IF(Tervezés!F89&gt;0,CONCATENATE(Tervezés!E89," - ",Tervezés!F89,", ",Tervezés!J89),"nincs megjegyzés")</f>
        <v>nincs megjegyzés</v>
      </c>
      <c r="V86" t="str">
        <f t="shared" si="19"/>
        <v>6000</v>
      </c>
      <c r="W86" t="str">
        <f t="shared" si="20"/>
        <v>6000</v>
      </c>
      <c r="X86" t="str">
        <f t="shared" si="21"/>
        <v>00</v>
      </c>
      <c r="Y86" t="str">
        <f t="shared" si="22"/>
        <v>600</v>
      </c>
      <c r="Z86" t="str">
        <f t="shared" si="33"/>
        <v>00</v>
      </c>
      <c r="AA86" t="str">
        <f t="shared" si="23"/>
        <v>600</v>
      </c>
      <c r="AB86" t="str">
        <f t="shared" si="24"/>
        <v>00</v>
      </c>
      <c r="AC86" t="str">
        <f t="shared" si="25"/>
        <v>6000</v>
      </c>
      <c r="AD86" t="str">
        <f t="shared" si="26"/>
        <v>000</v>
      </c>
      <c r="AE86" t="str">
        <f t="shared" si="27"/>
        <v>6000</v>
      </c>
      <c r="AF86" t="str">
        <f t="shared" si="28"/>
        <v>000</v>
      </c>
      <c r="AG86" t="str">
        <f t="shared" si="34"/>
        <v>60000</v>
      </c>
      <c r="AH86" t="str">
        <f t="shared" si="35"/>
        <v>0000</v>
      </c>
      <c r="AI86" t="str">
        <f t="shared" si="36"/>
        <v>60000</v>
      </c>
      <c r="AJ86" t="str">
        <f t="shared" si="37"/>
        <v>0000</v>
      </c>
    </row>
    <row r="87" spans="1:36" x14ac:dyDescent="0.25">
      <c r="A87" s="325">
        <f>Tervezés!B90</f>
        <v>0</v>
      </c>
      <c r="B87">
        <v>60</v>
      </c>
      <c r="C87">
        <f>Tervezés!E90</f>
        <v>0</v>
      </c>
      <c r="D87">
        <f>Tervezés!F90</f>
        <v>0</v>
      </c>
      <c r="E87">
        <f>Tervezés!H90</f>
        <v>0</v>
      </c>
      <c r="F87" t="str">
        <f t="shared" si="29"/>
        <v>0</v>
      </c>
      <c r="G87" t="str">
        <f t="shared" si="30"/>
        <v>0</v>
      </c>
      <c r="H87">
        <f>Tervezés!I90</f>
        <v>0</v>
      </c>
      <c r="I87">
        <f>Tervezés!J90</f>
        <v>0</v>
      </c>
      <c r="J87">
        <f>Tervezés!K90</f>
        <v>0</v>
      </c>
      <c r="K87">
        <f>Tervezés!L90</f>
        <v>0</v>
      </c>
      <c r="L87">
        <f>Tervezés!M90</f>
        <v>0</v>
      </c>
      <c r="M87" s="322" t="str">
        <f>IFERROR(VLOOKUP(A87,PAR!$D$3:$E$53,2,FALSE),"nincs szervezet")</f>
        <v>nincs szervezet</v>
      </c>
      <c r="N87" s="322" t="str">
        <f>VLOOKUP(F87,PAR!$R$3:$S$5,2,FALSE)</f>
        <v>3 - egyik sem</v>
      </c>
      <c r="O87" t="str">
        <f>IFERROR(VLOOKUP(J87,PAR!$O$3:$P$5,2,FALSE),"nincs feladat")</f>
        <v>nincs feladat</v>
      </c>
      <c r="P87" t="str">
        <f>IFERROR(VLOOKUP(G87,PAR!$J$2:$M$19,4),"nincs rovat")</f>
        <v>nincs rovat</v>
      </c>
      <c r="Q87" t="str">
        <f>IF(H87&gt;0,VLOOKUP(H87,PAR!$AA$3:$AC$187,3,FALSE),"nincs főkönyvi számla")</f>
        <v>nincs főkönyvi számla</v>
      </c>
      <c r="R87" t="str">
        <f>IFERROR(VLOOKUP(K87,PAR!$V$3:$X$438,3,FALSE),"000000 - Nincs COFOG")</f>
        <v>000000 - Nincs COFOG</v>
      </c>
      <c r="S87">
        <f t="shared" si="31"/>
        <v>0</v>
      </c>
      <c r="T87">
        <f t="shared" si="32"/>
        <v>0</v>
      </c>
      <c r="U87" t="str">
        <f>IF(Tervezés!F90&gt;0,CONCATENATE(Tervezés!E90," - ",Tervezés!F90,", ",Tervezés!J90),"nincs megjegyzés")</f>
        <v>nincs megjegyzés</v>
      </c>
      <c r="V87" t="str">
        <f t="shared" si="19"/>
        <v>6000</v>
      </c>
      <c r="W87" t="str">
        <f t="shared" si="20"/>
        <v>6000</v>
      </c>
      <c r="X87" t="str">
        <f t="shared" si="21"/>
        <v>00</v>
      </c>
      <c r="Y87" t="str">
        <f t="shared" si="22"/>
        <v>600</v>
      </c>
      <c r="Z87" t="str">
        <f t="shared" si="33"/>
        <v>00</v>
      </c>
      <c r="AA87" t="str">
        <f t="shared" si="23"/>
        <v>600</v>
      </c>
      <c r="AB87" t="str">
        <f t="shared" si="24"/>
        <v>00</v>
      </c>
      <c r="AC87" t="str">
        <f t="shared" si="25"/>
        <v>6000</v>
      </c>
      <c r="AD87" t="str">
        <f t="shared" si="26"/>
        <v>000</v>
      </c>
      <c r="AE87" t="str">
        <f t="shared" si="27"/>
        <v>6000</v>
      </c>
      <c r="AF87" t="str">
        <f t="shared" si="28"/>
        <v>000</v>
      </c>
      <c r="AG87" t="str">
        <f t="shared" si="34"/>
        <v>60000</v>
      </c>
      <c r="AH87" t="str">
        <f t="shared" si="35"/>
        <v>0000</v>
      </c>
      <c r="AI87" t="str">
        <f t="shared" si="36"/>
        <v>60000</v>
      </c>
      <c r="AJ87" t="str">
        <f t="shared" si="37"/>
        <v>0000</v>
      </c>
    </row>
    <row r="88" spans="1:36" x14ac:dyDescent="0.25">
      <c r="A88" s="325">
        <f>Tervezés!B91</f>
        <v>0</v>
      </c>
      <c r="B88">
        <v>60</v>
      </c>
      <c r="C88">
        <f>Tervezés!E91</f>
        <v>0</v>
      </c>
      <c r="D88">
        <f>Tervezés!F91</f>
        <v>0</v>
      </c>
      <c r="E88">
        <f>Tervezés!H91</f>
        <v>0</v>
      </c>
      <c r="F88" t="str">
        <f t="shared" si="29"/>
        <v>0</v>
      </c>
      <c r="G88" t="str">
        <f t="shared" si="30"/>
        <v>0</v>
      </c>
      <c r="H88">
        <f>Tervezés!I91</f>
        <v>0</v>
      </c>
      <c r="I88">
        <f>Tervezés!J91</f>
        <v>0</v>
      </c>
      <c r="J88">
        <f>Tervezés!K91</f>
        <v>0</v>
      </c>
      <c r="K88">
        <f>Tervezés!L91</f>
        <v>0</v>
      </c>
      <c r="L88">
        <f>Tervezés!M91</f>
        <v>0</v>
      </c>
      <c r="M88" s="322" t="str">
        <f>IFERROR(VLOOKUP(A88,PAR!$D$3:$E$53,2,FALSE),"nincs szervezet")</f>
        <v>nincs szervezet</v>
      </c>
      <c r="N88" s="322" t="str">
        <f>VLOOKUP(F88,PAR!$R$3:$S$5,2,FALSE)</f>
        <v>3 - egyik sem</v>
      </c>
      <c r="O88" t="str">
        <f>IFERROR(VLOOKUP(J88,PAR!$O$3:$P$5,2,FALSE),"nincs feladat")</f>
        <v>nincs feladat</v>
      </c>
      <c r="P88" t="str">
        <f>IFERROR(VLOOKUP(G88,PAR!$J$2:$M$19,4),"nincs rovat")</f>
        <v>nincs rovat</v>
      </c>
      <c r="Q88" t="str">
        <f>IF(H88&gt;0,VLOOKUP(H88,PAR!$AA$3:$AC$187,3,FALSE),"nincs főkönyvi számla")</f>
        <v>nincs főkönyvi számla</v>
      </c>
      <c r="R88" t="str">
        <f>IFERROR(VLOOKUP(K88,PAR!$V$3:$X$438,3,FALSE),"000000 - Nincs COFOG")</f>
        <v>000000 - Nincs COFOG</v>
      </c>
      <c r="S88">
        <f t="shared" si="31"/>
        <v>0</v>
      </c>
      <c r="T88">
        <f t="shared" si="32"/>
        <v>0</v>
      </c>
      <c r="U88" t="str">
        <f>IF(Tervezés!F91&gt;0,CONCATENATE(Tervezés!E91," - ",Tervezés!F91,", ",Tervezés!J91),"nincs megjegyzés")</f>
        <v>nincs megjegyzés</v>
      </c>
      <c r="V88" t="str">
        <f t="shared" si="19"/>
        <v>6000</v>
      </c>
      <c r="W88" t="str">
        <f t="shared" si="20"/>
        <v>6000</v>
      </c>
      <c r="X88" t="str">
        <f t="shared" si="21"/>
        <v>00</v>
      </c>
      <c r="Y88" t="str">
        <f t="shared" si="22"/>
        <v>600</v>
      </c>
      <c r="Z88" t="str">
        <f t="shared" si="33"/>
        <v>00</v>
      </c>
      <c r="AA88" t="str">
        <f t="shared" si="23"/>
        <v>600</v>
      </c>
      <c r="AB88" t="str">
        <f t="shared" si="24"/>
        <v>00</v>
      </c>
      <c r="AC88" t="str">
        <f t="shared" si="25"/>
        <v>6000</v>
      </c>
      <c r="AD88" t="str">
        <f t="shared" si="26"/>
        <v>000</v>
      </c>
      <c r="AE88" t="str">
        <f t="shared" si="27"/>
        <v>6000</v>
      </c>
      <c r="AF88" t="str">
        <f t="shared" si="28"/>
        <v>000</v>
      </c>
      <c r="AG88" t="str">
        <f t="shared" si="34"/>
        <v>60000</v>
      </c>
      <c r="AH88" t="str">
        <f t="shared" si="35"/>
        <v>0000</v>
      </c>
      <c r="AI88" t="str">
        <f t="shared" si="36"/>
        <v>60000</v>
      </c>
      <c r="AJ88" t="str">
        <f t="shared" si="37"/>
        <v>0000</v>
      </c>
    </row>
    <row r="89" spans="1:36" x14ac:dyDescent="0.25">
      <c r="A89" s="325">
        <f>Tervezés!B92</f>
        <v>0</v>
      </c>
      <c r="B89">
        <v>60</v>
      </c>
      <c r="C89">
        <f>Tervezés!E92</f>
        <v>0</v>
      </c>
      <c r="D89">
        <f>Tervezés!F92</f>
        <v>0</v>
      </c>
      <c r="E89">
        <f>Tervezés!H92</f>
        <v>0</v>
      </c>
      <c r="F89" t="str">
        <f t="shared" si="29"/>
        <v>0</v>
      </c>
      <c r="G89" t="str">
        <f t="shared" si="30"/>
        <v>0</v>
      </c>
      <c r="H89">
        <f>Tervezés!I92</f>
        <v>0</v>
      </c>
      <c r="I89">
        <f>Tervezés!J92</f>
        <v>0</v>
      </c>
      <c r="J89">
        <f>Tervezés!K92</f>
        <v>0</v>
      </c>
      <c r="K89">
        <f>Tervezés!L92</f>
        <v>0</v>
      </c>
      <c r="L89">
        <f>Tervezés!M92</f>
        <v>0</v>
      </c>
      <c r="M89" s="322" t="str">
        <f>IFERROR(VLOOKUP(A89,PAR!$D$3:$E$53,2,FALSE),"nincs szervezet")</f>
        <v>nincs szervezet</v>
      </c>
      <c r="N89" s="322" t="str">
        <f>VLOOKUP(F89,PAR!$R$3:$S$5,2,FALSE)</f>
        <v>3 - egyik sem</v>
      </c>
      <c r="O89" t="str">
        <f>IFERROR(VLOOKUP(J89,PAR!$O$3:$P$5,2,FALSE),"nincs feladat")</f>
        <v>nincs feladat</v>
      </c>
      <c r="P89" t="str">
        <f>IFERROR(VLOOKUP(G89,PAR!$J$2:$M$19,4),"nincs rovat")</f>
        <v>nincs rovat</v>
      </c>
      <c r="Q89" t="str">
        <f>IF(H89&gt;0,VLOOKUP(H89,PAR!$AA$3:$AC$187,3,FALSE),"nincs főkönyvi számla")</f>
        <v>nincs főkönyvi számla</v>
      </c>
      <c r="R89" t="str">
        <f>IFERROR(VLOOKUP(K89,PAR!$V$3:$X$438,3,FALSE),"000000 - Nincs COFOG")</f>
        <v>000000 - Nincs COFOG</v>
      </c>
      <c r="S89">
        <f t="shared" si="31"/>
        <v>0</v>
      </c>
      <c r="T89">
        <f t="shared" si="32"/>
        <v>0</v>
      </c>
      <c r="U89" t="str">
        <f>IF(Tervezés!F92&gt;0,CONCATENATE(Tervezés!E92," - ",Tervezés!F92,", ",Tervezés!J92),"nincs megjegyzés")</f>
        <v>nincs megjegyzés</v>
      </c>
      <c r="V89" t="str">
        <f t="shared" si="19"/>
        <v>6000</v>
      </c>
      <c r="W89" t="str">
        <f t="shared" si="20"/>
        <v>6000</v>
      </c>
      <c r="X89" t="str">
        <f t="shared" si="21"/>
        <v>00</v>
      </c>
      <c r="Y89" t="str">
        <f t="shared" si="22"/>
        <v>600</v>
      </c>
      <c r="Z89" t="str">
        <f t="shared" si="33"/>
        <v>00</v>
      </c>
      <c r="AA89" t="str">
        <f t="shared" si="23"/>
        <v>600</v>
      </c>
      <c r="AB89" t="str">
        <f t="shared" si="24"/>
        <v>00</v>
      </c>
      <c r="AC89" t="str">
        <f t="shared" si="25"/>
        <v>6000</v>
      </c>
      <c r="AD89" t="str">
        <f t="shared" si="26"/>
        <v>000</v>
      </c>
      <c r="AE89" t="str">
        <f t="shared" si="27"/>
        <v>6000</v>
      </c>
      <c r="AF89" t="str">
        <f t="shared" si="28"/>
        <v>000</v>
      </c>
      <c r="AG89" t="str">
        <f t="shared" si="34"/>
        <v>60000</v>
      </c>
      <c r="AH89" t="str">
        <f t="shared" si="35"/>
        <v>0000</v>
      </c>
      <c r="AI89" t="str">
        <f t="shared" si="36"/>
        <v>60000</v>
      </c>
      <c r="AJ89" t="str">
        <f t="shared" si="37"/>
        <v>0000</v>
      </c>
    </row>
    <row r="90" spans="1:36" x14ac:dyDescent="0.25">
      <c r="A90" s="325">
        <f>Tervezés!B93</f>
        <v>0</v>
      </c>
      <c r="B90">
        <v>60</v>
      </c>
      <c r="C90">
        <f>Tervezés!E93</f>
        <v>0</v>
      </c>
      <c r="D90">
        <f>Tervezés!F93</f>
        <v>0</v>
      </c>
      <c r="E90">
        <f>Tervezés!H93</f>
        <v>0</v>
      </c>
      <c r="F90" t="str">
        <f t="shared" si="29"/>
        <v>0</v>
      </c>
      <c r="G90" t="str">
        <f t="shared" si="30"/>
        <v>0</v>
      </c>
      <c r="H90">
        <f>Tervezés!I93</f>
        <v>0</v>
      </c>
      <c r="I90">
        <f>Tervezés!J93</f>
        <v>0</v>
      </c>
      <c r="J90">
        <f>Tervezés!K93</f>
        <v>0</v>
      </c>
      <c r="K90">
        <f>Tervezés!L93</f>
        <v>0</v>
      </c>
      <c r="L90">
        <f>Tervezés!M93</f>
        <v>0</v>
      </c>
      <c r="M90" s="322" t="str">
        <f>IFERROR(VLOOKUP(A90,PAR!$D$3:$E$53,2,FALSE),"nincs szervezet")</f>
        <v>nincs szervezet</v>
      </c>
      <c r="N90" s="322" t="str">
        <f>VLOOKUP(F90,PAR!$R$3:$S$5,2,FALSE)</f>
        <v>3 - egyik sem</v>
      </c>
      <c r="O90" t="str">
        <f>IFERROR(VLOOKUP(J90,PAR!$O$3:$P$5,2,FALSE),"nincs feladat")</f>
        <v>nincs feladat</v>
      </c>
      <c r="P90" t="str">
        <f>IFERROR(VLOOKUP(G90,PAR!$J$2:$M$19,4),"nincs rovat")</f>
        <v>nincs rovat</v>
      </c>
      <c r="Q90" t="str">
        <f>IF(H90&gt;0,VLOOKUP(H90,PAR!$AA$3:$AC$187,3,FALSE),"nincs főkönyvi számla")</f>
        <v>nincs főkönyvi számla</v>
      </c>
      <c r="R90" t="str">
        <f>IFERROR(VLOOKUP(K90,PAR!$V$3:$X$438,3,FALSE),"000000 - Nincs COFOG")</f>
        <v>000000 - Nincs COFOG</v>
      </c>
      <c r="S90">
        <f t="shared" si="31"/>
        <v>0</v>
      </c>
      <c r="T90">
        <f t="shared" si="32"/>
        <v>0</v>
      </c>
      <c r="U90" t="str">
        <f>IF(Tervezés!F93&gt;0,CONCATENATE(Tervezés!E93," - ",Tervezés!F93,", ",Tervezés!J93),"nincs megjegyzés")</f>
        <v>nincs megjegyzés</v>
      </c>
      <c r="V90" t="str">
        <f t="shared" si="19"/>
        <v>6000</v>
      </c>
      <c r="W90" t="str">
        <f t="shared" si="20"/>
        <v>6000</v>
      </c>
      <c r="X90" t="str">
        <f t="shared" si="21"/>
        <v>00</v>
      </c>
      <c r="Y90" t="str">
        <f t="shared" si="22"/>
        <v>600</v>
      </c>
      <c r="Z90" t="str">
        <f t="shared" si="33"/>
        <v>00</v>
      </c>
      <c r="AA90" t="str">
        <f t="shared" si="23"/>
        <v>600</v>
      </c>
      <c r="AB90" t="str">
        <f t="shared" si="24"/>
        <v>00</v>
      </c>
      <c r="AC90" t="str">
        <f t="shared" si="25"/>
        <v>6000</v>
      </c>
      <c r="AD90" t="str">
        <f t="shared" si="26"/>
        <v>000</v>
      </c>
      <c r="AE90" t="str">
        <f t="shared" si="27"/>
        <v>6000</v>
      </c>
      <c r="AF90" t="str">
        <f t="shared" si="28"/>
        <v>000</v>
      </c>
      <c r="AG90" t="str">
        <f t="shared" si="34"/>
        <v>60000</v>
      </c>
      <c r="AH90" t="str">
        <f t="shared" si="35"/>
        <v>0000</v>
      </c>
      <c r="AI90" t="str">
        <f t="shared" si="36"/>
        <v>60000</v>
      </c>
      <c r="AJ90" t="str">
        <f t="shared" si="37"/>
        <v>0000</v>
      </c>
    </row>
    <row r="91" spans="1:36" x14ac:dyDescent="0.25">
      <c r="A91" s="325">
        <f>Tervezés!B94</f>
        <v>0</v>
      </c>
      <c r="B91">
        <v>60</v>
      </c>
      <c r="C91">
        <f>Tervezés!E94</f>
        <v>0</v>
      </c>
      <c r="D91">
        <f>Tervezés!F94</f>
        <v>0</v>
      </c>
      <c r="E91">
        <f>Tervezés!H94</f>
        <v>0</v>
      </c>
      <c r="F91" t="str">
        <f t="shared" si="29"/>
        <v>0</v>
      </c>
      <c r="G91" t="str">
        <f t="shared" si="30"/>
        <v>0</v>
      </c>
      <c r="H91">
        <f>Tervezés!I94</f>
        <v>0</v>
      </c>
      <c r="I91">
        <f>Tervezés!J94</f>
        <v>0</v>
      </c>
      <c r="J91">
        <f>Tervezés!K94</f>
        <v>0</v>
      </c>
      <c r="K91">
        <f>Tervezés!L94</f>
        <v>0</v>
      </c>
      <c r="L91">
        <f>Tervezés!M94</f>
        <v>0</v>
      </c>
      <c r="M91" s="322" t="str">
        <f>IFERROR(VLOOKUP(A91,PAR!$D$3:$E$53,2,FALSE),"nincs szervezet")</f>
        <v>nincs szervezet</v>
      </c>
      <c r="N91" s="322" t="str">
        <f>VLOOKUP(F91,PAR!$R$3:$S$5,2,FALSE)</f>
        <v>3 - egyik sem</v>
      </c>
      <c r="O91" t="str">
        <f>IFERROR(VLOOKUP(J91,PAR!$O$3:$P$5,2,FALSE),"nincs feladat")</f>
        <v>nincs feladat</v>
      </c>
      <c r="P91" t="str">
        <f>IFERROR(VLOOKUP(G91,PAR!$J$2:$M$19,4),"nincs rovat")</f>
        <v>nincs rovat</v>
      </c>
      <c r="Q91" t="str">
        <f>IF(H91&gt;0,VLOOKUP(H91,PAR!$AA$3:$AC$187,3,FALSE),"nincs főkönyvi számla")</f>
        <v>nincs főkönyvi számla</v>
      </c>
      <c r="R91" t="str">
        <f>IFERROR(VLOOKUP(K91,PAR!$V$3:$X$438,3,FALSE),"000000 - Nincs COFOG")</f>
        <v>000000 - Nincs COFOG</v>
      </c>
      <c r="S91">
        <f t="shared" si="31"/>
        <v>0</v>
      </c>
      <c r="T91">
        <f t="shared" si="32"/>
        <v>0</v>
      </c>
      <c r="U91" t="str">
        <f>IF(Tervezés!F94&gt;0,CONCATENATE(Tervezés!E94," - ",Tervezés!F94,", ",Tervezés!J94),"nincs megjegyzés")</f>
        <v>nincs megjegyzés</v>
      </c>
      <c r="V91" t="str">
        <f t="shared" si="19"/>
        <v>6000</v>
      </c>
      <c r="W91" t="str">
        <f t="shared" si="20"/>
        <v>6000</v>
      </c>
      <c r="X91" t="str">
        <f t="shared" si="21"/>
        <v>00</v>
      </c>
      <c r="Y91" t="str">
        <f t="shared" si="22"/>
        <v>600</v>
      </c>
      <c r="Z91" t="str">
        <f t="shared" si="33"/>
        <v>00</v>
      </c>
      <c r="AA91" t="str">
        <f t="shared" si="23"/>
        <v>600</v>
      </c>
      <c r="AB91" t="str">
        <f t="shared" si="24"/>
        <v>00</v>
      </c>
      <c r="AC91" t="str">
        <f t="shared" si="25"/>
        <v>6000</v>
      </c>
      <c r="AD91" t="str">
        <f t="shared" si="26"/>
        <v>000</v>
      </c>
      <c r="AE91" t="str">
        <f t="shared" si="27"/>
        <v>6000</v>
      </c>
      <c r="AF91" t="str">
        <f t="shared" si="28"/>
        <v>000</v>
      </c>
      <c r="AG91" t="str">
        <f t="shared" si="34"/>
        <v>60000</v>
      </c>
      <c r="AH91" t="str">
        <f t="shared" si="35"/>
        <v>0000</v>
      </c>
      <c r="AI91" t="str">
        <f t="shared" si="36"/>
        <v>60000</v>
      </c>
      <c r="AJ91" t="str">
        <f t="shared" si="37"/>
        <v>0000</v>
      </c>
    </row>
    <row r="92" spans="1:36" x14ac:dyDescent="0.25">
      <c r="A92" s="325">
        <f>Tervezés!B95</f>
        <v>0</v>
      </c>
      <c r="B92">
        <v>60</v>
      </c>
      <c r="C92">
        <f>Tervezés!E95</f>
        <v>0</v>
      </c>
      <c r="D92">
        <f>Tervezés!F95</f>
        <v>0</v>
      </c>
      <c r="E92">
        <f>Tervezés!H95</f>
        <v>0</v>
      </c>
      <c r="F92" t="str">
        <f t="shared" si="29"/>
        <v>0</v>
      </c>
      <c r="G92" t="str">
        <f t="shared" si="30"/>
        <v>0</v>
      </c>
      <c r="H92">
        <f>Tervezés!I95</f>
        <v>0</v>
      </c>
      <c r="I92">
        <f>Tervezés!J95</f>
        <v>0</v>
      </c>
      <c r="J92">
        <f>Tervezés!K95</f>
        <v>0</v>
      </c>
      <c r="K92">
        <f>Tervezés!L95</f>
        <v>0</v>
      </c>
      <c r="L92">
        <f>Tervezés!M95</f>
        <v>0</v>
      </c>
      <c r="M92" s="322" t="str">
        <f>IFERROR(VLOOKUP(A92,PAR!$D$3:$E$53,2,FALSE),"nincs szervezet")</f>
        <v>nincs szervezet</v>
      </c>
      <c r="N92" s="322" t="str">
        <f>VLOOKUP(F92,PAR!$R$3:$S$5,2,FALSE)</f>
        <v>3 - egyik sem</v>
      </c>
      <c r="O92" t="str">
        <f>IFERROR(VLOOKUP(J92,PAR!$O$3:$P$5,2,FALSE),"nincs feladat")</f>
        <v>nincs feladat</v>
      </c>
      <c r="P92" t="str">
        <f>IFERROR(VLOOKUP(G92,PAR!$J$2:$M$19,4),"nincs rovat")</f>
        <v>nincs rovat</v>
      </c>
      <c r="Q92" t="str">
        <f>IF(H92&gt;0,VLOOKUP(H92,PAR!$AA$3:$AC$187,3,FALSE),"nincs főkönyvi számla")</f>
        <v>nincs főkönyvi számla</v>
      </c>
      <c r="R92" t="str">
        <f>IFERROR(VLOOKUP(K92,PAR!$V$3:$X$438,3,FALSE),"000000 - Nincs COFOG")</f>
        <v>000000 - Nincs COFOG</v>
      </c>
      <c r="S92">
        <f t="shared" si="31"/>
        <v>0</v>
      </c>
      <c r="T92">
        <f t="shared" si="32"/>
        <v>0</v>
      </c>
      <c r="U92" t="str">
        <f>IF(Tervezés!F95&gt;0,CONCATENATE(Tervezés!E95," - ",Tervezés!F95,", ",Tervezés!J95),"nincs megjegyzés")</f>
        <v>nincs megjegyzés</v>
      </c>
      <c r="V92" t="str">
        <f t="shared" si="19"/>
        <v>6000</v>
      </c>
      <c r="W92" t="str">
        <f t="shared" si="20"/>
        <v>6000</v>
      </c>
      <c r="X92" t="str">
        <f t="shared" si="21"/>
        <v>00</v>
      </c>
      <c r="Y92" t="str">
        <f t="shared" si="22"/>
        <v>600</v>
      </c>
      <c r="Z92" t="str">
        <f t="shared" si="33"/>
        <v>00</v>
      </c>
      <c r="AA92" t="str">
        <f t="shared" si="23"/>
        <v>600</v>
      </c>
      <c r="AB92" t="str">
        <f t="shared" si="24"/>
        <v>00</v>
      </c>
      <c r="AC92" t="str">
        <f t="shared" si="25"/>
        <v>6000</v>
      </c>
      <c r="AD92" t="str">
        <f t="shared" si="26"/>
        <v>000</v>
      </c>
      <c r="AE92" t="str">
        <f t="shared" si="27"/>
        <v>6000</v>
      </c>
      <c r="AF92" t="str">
        <f t="shared" si="28"/>
        <v>000</v>
      </c>
      <c r="AG92" t="str">
        <f t="shared" si="34"/>
        <v>60000</v>
      </c>
      <c r="AH92" t="str">
        <f t="shared" si="35"/>
        <v>0000</v>
      </c>
      <c r="AI92" t="str">
        <f t="shared" si="36"/>
        <v>60000</v>
      </c>
      <c r="AJ92" t="str">
        <f t="shared" si="37"/>
        <v>0000</v>
      </c>
    </row>
    <row r="93" spans="1:36" x14ac:dyDescent="0.25">
      <c r="A93" s="325">
        <f>Tervezés!B96</f>
        <v>0</v>
      </c>
      <c r="B93">
        <v>60</v>
      </c>
      <c r="C93">
        <f>Tervezés!E96</f>
        <v>0</v>
      </c>
      <c r="D93">
        <f>Tervezés!F96</f>
        <v>0</v>
      </c>
      <c r="E93">
        <f>Tervezés!H96</f>
        <v>0</v>
      </c>
      <c r="F93" t="str">
        <f t="shared" si="29"/>
        <v>0</v>
      </c>
      <c r="G93" t="str">
        <f t="shared" si="30"/>
        <v>0</v>
      </c>
      <c r="H93">
        <f>Tervezés!I96</f>
        <v>0</v>
      </c>
      <c r="I93">
        <f>Tervezés!J96</f>
        <v>0</v>
      </c>
      <c r="J93">
        <f>Tervezés!K96</f>
        <v>0</v>
      </c>
      <c r="K93">
        <f>Tervezés!L96</f>
        <v>0</v>
      </c>
      <c r="L93">
        <f>Tervezés!M96</f>
        <v>0</v>
      </c>
      <c r="M93" s="322" t="str">
        <f>IFERROR(VLOOKUP(A93,PAR!$D$3:$E$53,2,FALSE),"nincs szervezet")</f>
        <v>nincs szervezet</v>
      </c>
      <c r="N93" s="322" t="str">
        <f>VLOOKUP(F93,PAR!$R$3:$S$5,2,FALSE)</f>
        <v>3 - egyik sem</v>
      </c>
      <c r="O93" t="str">
        <f>IFERROR(VLOOKUP(J93,PAR!$O$3:$P$5,2,FALSE),"nincs feladat")</f>
        <v>nincs feladat</v>
      </c>
      <c r="P93" t="str">
        <f>IFERROR(VLOOKUP(G93,PAR!$J$2:$M$19,4),"nincs rovat")</f>
        <v>nincs rovat</v>
      </c>
      <c r="Q93" t="str">
        <f>IF(H93&gt;0,VLOOKUP(H93,PAR!$AA$3:$AC$187,3,FALSE),"nincs főkönyvi számla")</f>
        <v>nincs főkönyvi számla</v>
      </c>
      <c r="R93" t="str">
        <f>IFERROR(VLOOKUP(K93,PAR!$V$3:$X$438,3,FALSE),"000000 - Nincs COFOG")</f>
        <v>000000 - Nincs COFOG</v>
      </c>
      <c r="S93">
        <f t="shared" si="31"/>
        <v>0</v>
      </c>
      <c r="T93">
        <f t="shared" si="32"/>
        <v>0</v>
      </c>
      <c r="U93" t="str">
        <f>IF(Tervezés!F96&gt;0,CONCATENATE(Tervezés!E96," - ",Tervezés!F96,", ",Tervezés!J96),"nincs megjegyzés")</f>
        <v>nincs megjegyzés</v>
      </c>
      <c r="V93" t="str">
        <f t="shared" si="19"/>
        <v>6000</v>
      </c>
      <c r="W93" t="str">
        <f t="shared" si="20"/>
        <v>6000</v>
      </c>
      <c r="X93" t="str">
        <f t="shared" si="21"/>
        <v>00</v>
      </c>
      <c r="Y93" t="str">
        <f t="shared" si="22"/>
        <v>600</v>
      </c>
      <c r="Z93" t="str">
        <f t="shared" si="33"/>
        <v>00</v>
      </c>
      <c r="AA93" t="str">
        <f t="shared" si="23"/>
        <v>600</v>
      </c>
      <c r="AB93" t="str">
        <f t="shared" si="24"/>
        <v>00</v>
      </c>
      <c r="AC93" t="str">
        <f t="shared" si="25"/>
        <v>6000</v>
      </c>
      <c r="AD93" t="str">
        <f t="shared" si="26"/>
        <v>000</v>
      </c>
      <c r="AE93" t="str">
        <f t="shared" si="27"/>
        <v>6000</v>
      </c>
      <c r="AF93" t="str">
        <f t="shared" si="28"/>
        <v>000</v>
      </c>
      <c r="AG93" t="str">
        <f t="shared" si="34"/>
        <v>60000</v>
      </c>
      <c r="AH93" t="str">
        <f t="shared" si="35"/>
        <v>0000</v>
      </c>
      <c r="AI93" t="str">
        <f t="shared" si="36"/>
        <v>60000</v>
      </c>
      <c r="AJ93" t="str">
        <f t="shared" si="37"/>
        <v>0000</v>
      </c>
    </row>
    <row r="94" spans="1:36" x14ac:dyDescent="0.25">
      <c r="A94" s="325">
        <f>Tervezés!B97</f>
        <v>0</v>
      </c>
      <c r="B94">
        <v>60</v>
      </c>
      <c r="C94">
        <f>Tervezés!E97</f>
        <v>0</v>
      </c>
      <c r="D94">
        <f>Tervezés!F97</f>
        <v>0</v>
      </c>
      <c r="E94">
        <f>Tervezés!H97</f>
        <v>0</v>
      </c>
      <c r="F94" t="str">
        <f t="shared" si="29"/>
        <v>0</v>
      </c>
      <c r="G94" t="str">
        <f t="shared" si="30"/>
        <v>0</v>
      </c>
      <c r="H94">
        <f>Tervezés!I97</f>
        <v>0</v>
      </c>
      <c r="I94">
        <f>Tervezés!J97</f>
        <v>0</v>
      </c>
      <c r="J94">
        <f>Tervezés!K97</f>
        <v>0</v>
      </c>
      <c r="K94">
        <f>Tervezés!L97</f>
        <v>0</v>
      </c>
      <c r="L94">
        <f>Tervezés!M97</f>
        <v>0</v>
      </c>
      <c r="M94" s="322" t="str">
        <f>IFERROR(VLOOKUP(A94,PAR!$D$3:$E$53,2,FALSE),"nincs szervezet")</f>
        <v>nincs szervezet</v>
      </c>
      <c r="N94" s="322" t="str">
        <f>VLOOKUP(F94,PAR!$R$3:$S$5,2,FALSE)</f>
        <v>3 - egyik sem</v>
      </c>
      <c r="O94" t="str">
        <f>IFERROR(VLOOKUP(J94,PAR!$O$3:$P$5,2,FALSE),"nincs feladat")</f>
        <v>nincs feladat</v>
      </c>
      <c r="P94" t="str">
        <f>IFERROR(VLOOKUP(G94,PAR!$J$2:$M$19,4),"nincs rovat")</f>
        <v>nincs rovat</v>
      </c>
      <c r="Q94" t="str">
        <f>IF(H94&gt;0,VLOOKUP(H94,PAR!$AA$3:$AC$187,3,FALSE),"nincs főkönyvi számla")</f>
        <v>nincs főkönyvi számla</v>
      </c>
      <c r="R94" t="str">
        <f>IFERROR(VLOOKUP(K94,PAR!$V$3:$X$438,3,FALSE),"000000 - Nincs COFOG")</f>
        <v>000000 - Nincs COFOG</v>
      </c>
      <c r="S94">
        <f t="shared" si="31"/>
        <v>0</v>
      </c>
      <c r="T94">
        <f t="shared" si="32"/>
        <v>0</v>
      </c>
      <c r="U94" t="str">
        <f>IF(Tervezés!F97&gt;0,CONCATENATE(Tervezés!E97," - ",Tervezés!F97,", ",Tervezés!J97),"nincs megjegyzés")</f>
        <v>nincs megjegyzés</v>
      </c>
      <c r="V94" t="str">
        <f t="shared" si="19"/>
        <v>6000</v>
      </c>
      <c r="W94" t="str">
        <f t="shared" si="20"/>
        <v>6000</v>
      </c>
      <c r="X94" t="str">
        <f t="shared" si="21"/>
        <v>00</v>
      </c>
      <c r="Y94" t="str">
        <f t="shared" si="22"/>
        <v>600</v>
      </c>
      <c r="Z94" t="str">
        <f t="shared" si="33"/>
        <v>00</v>
      </c>
      <c r="AA94" t="str">
        <f t="shared" si="23"/>
        <v>600</v>
      </c>
      <c r="AB94" t="str">
        <f t="shared" si="24"/>
        <v>00</v>
      </c>
      <c r="AC94" t="str">
        <f t="shared" si="25"/>
        <v>6000</v>
      </c>
      <c r="AD94" t="str">
        <f t="shared" si="26"/>
        <v>000</v>
      </c>
      <c r="AE94" t="str">
        <f t="shared" si="27"/>
        <v>6000</v>
      </c>
      <c r="AF94" t="str">
        <f t="shared" si="28"/>
        <v>000</v>
      </c>
      <c r="AG94" t="str">
        <f t="shared" si="34"/>
        <v>60000</v>
      </c>
      <c r="AH94" t="str">
        <f t="shared" si="35"/>
        <v>0000</v>
      </c>
      <c r="AI94" t="str">
        <f t="shared" si="36"/>
        <v>60000</v>
      </c>
      <c r="AJ94" t="str">
        <f t="shared" si="37"/>
        <v>0000</v>
      </c>
    </row>
    <row r="95" spans="1:36" x14ac:dyDescent="0.25">
      <c r="A95" s="325">
        <f>Tervezés!B98</f>
        <v>0</v>
      </c>
      <c r="B95">
        <v>60</v>
      </c>
      <c r="C95">
        <f>Tervezés!E98</f>
        <v>0</v>
      </c>
      <c r="D95">
        <f>Tervezés!F98</f>
        <v>0</v>
      </c>
      <c r="E95">
        <f>Tervezés!H98</f>
        <v>0</v>
      </c>
      <c r="F95" t="str">
        <f t="shared" si="29"/>
        <v>0</v>
      </c>
      <c r="G95" t="str">
        <f t="shared" si="30"/>
        <v>0</v>
      </c>
      <c r="H95">
        <f>Tervezés!I98</f>
        <v>0</v>
      </c>
      <c r="I95">
        <f>Tervezés!J98</f>
        <v>0</v>
      </c>
      <c r="J95">
        <f>Tervezés!K98</f>
        <v>0</v>
      </c>
      <c r="K95">
        <f>Tervezés!L98</f>
        <v>0</v>
      </c>
      <c r="L95">
        <f>Tervezés!M98</f>
        <v>0</v>
      </c>
      <c r="M95" s="322" t="str">
        <f>IFERROR(VLOOKUP(A95,PAR!$D$3:$E$53,2,FALSE),"nincs szervezet")</f>
        <v>nincs szervezet</v>
      </c>
      <c r="N95" s="322" t="str">
        <f>VLOOKUP(F95,PAR!$R$3:$S$5,2,FALSE)</f>
        <v>3 - egyik sem</v>
      </c>
      <c r="O95" t="str">
        <f>IFERROR(VLOOKUP(J95,PAR!$O$3:$P$5,2,FALSE),"nincs feladat")</f>
        <v>nincs feladat</v>
      </c>
      <c r="P95" t="str">
        <f>IFERROR(VLOOKUP(G95,PAR!$J$2:$M$19,4),"nincs rovat")</f>
        <v>nincs rovat</v>
      </c>
      <c r="Q95" t="str">
        <f>IF(H95&gt;0,VLOOKUP(H95,PAR!$AA$3:$AC$187,3,FALSE),"nincs főkönyvi számla")</f>
        <v>nincs főkönyvi számla</v>
      </c>
      <c r="R95" t="str">
        <f>IFERROR(VLOOKUP(K95,PAR!$V$3:$X$438,3,FALSE),"000000 - Nincs COFOG")</f>
        <v>000000 - Nincs COFOG</v>
      </c>
      <c r="S95">
        <f t="shared" si="31"/>
        <v>0</v>
      </c>
      <c r="T95">
        <f t="shared" si="32"/>
        <v>0</v>
      </c>
      <c r="U95" t="str">
        <f>IF(Tervezés!F98&gt;0,CONCATENATE(Tervezés!E98," - ",Tervezés!F98,", ",Tervezés!J98),"nincs megjegyzés")</f>
        <v>nincs megjegyzés</v>
      </c>
      <c r="V95" t="str">
        <f t="shared" si="19"/>
        <v>6000</v>
      </c>
      <c r="W95" t="str">
        <f t="shared" si="20"/>
        <v>6000</v>
      </c>
      <c r="X95" t="str">
        <f t="shared" si="21"/>
        <v>00</v>
      </c>
      <c r="Y95" t="str">
        <f t="shared" si="22"/>
        <v>600</v>
      </c>
      <c r="Z95" t="str">
        <f t="shared" si="33"/>
        <v>00</v>
      </c>
      <c r="AA95" t="str">
        <f t="shared" si="23"/>
        <v>600</v>
      </c>
      <c r="AB95" t="str">
        <f t="shared" si="24"/>
        <v>00</v>
      </c>
      <c r="AC95" t="str">
        <f t="shared" si="25"/>
        <v>6000</v>
      </c>
      <c r="AD95" t="str">
        <f t="shared" si="26"/>
        <v>000</v>
      </c>
      <c r="AE95" t="str">
        <f t="shared" si="27"/>
        <v>6000</v>
      </c>
      <c r="AF95" t="str">
        <f t="shared" si="28"/>
        <v>000</v>
      </c>
      <c r="AG95" t="str">
        <f t="shared" si="34"/>
        <v>60000</v>
      </c>
      <c r="AH95" t="str">
        <f t="shared" si="35"/>
        <v>0000</v>
      </c>
      <c r="AI95" t="str">
        <f t="shared" si="36"/>
        <v>60000</v>
      </c>
      <c r="AJ95" t="str">
        <f t="shared" si="37"/>
        <v>0000</v>
      </c>
    </row>
    <row r="96" spans="1:36" x14ac:dyDescent="0.25">
      <c r="A96" s="325">
        <f>Tervezés!B99</f>
        <v>0</v>
      </c>
      <c r="B96">
        <v>60</v>
      </c>
      <c r="C96">
        <f>Tervezés!E99</f>
        <v>0</v>
      </c>
      <c r="D96">
        <f>Tervezés!F99</f>
        <v>0</v>
      </c>
      <c r="E96">
        <f>Tervezés!H99</f>
        <v>0</v>
      </c>
      <c r="F96" t="str">
        <f t="shared" si="29"/>
        <v>0</v>
      </c>
      <c r="G96" t="str">
        <f t="shared" si="30"/>
        <v>0</v>
      </c>
      <c r="H96">
        <f>Tervezés!I99</f>
        <v>0</v>
      </c>
      <c r="I96">
        <f>Tervezés!J99</f>
        <v>0</v>
      </c>
      <c r="J96">
        <f>Tervezés!K99</f>
        <v>0</v>
      </c>
      <c r="K96">
        <f>Tervezés!L99</f>
        <v>0</v>
      </c>
      <c r="L96">
        <f>Tervezés!M99</f>
        <v>0</v>
      </c>
      <c r="M96" s="322" t="str">
        <f>IFERROR(VLOOKUP(A96,PAR!$D$3:$E$53,2,FALSE),"nincs szervezet")</f>
        <v>nincs szervezet</v>
      </c>
      <c r="N96" s="322" t="str">
        <f>VLOOKUP(F96,PAR!$R$3:$S$5,2,FALSE)</f>
        <v>3 - egyik sem</v>
      </c>
      <c r="O96" t="str">
        <f>IFERROR(VLOOKUP(J96,PAR!$O$3:$P$5,2,FALSE),"nincs feladat")</f>
        <v>nincs feladat</v>
      </c>
      <c r="P96" t="str">
        <f>IFERROR(VLOOKUP(G96,PAR!$J$2:$M$19,4),"nincs rovat")</f>
        <v>nincs rovat</v>
      </c>
      <c r="Q96" t="str">
        <f>IF(H96&gt;0,VLOOKUP(H96,PAR!$AA$3:$AC$187,3,FALSE),"nincs főkönyvi számla")</f>
        <v>nincs főkönyvi számla</v>
      </c>
      <c r="R96" t="str">
        <f>IFERROR(VLOOKUP(K96,PAR!$V$3:$X$438,3,FALSE),"000000 - Nincs COFOG")</f>
        <v>000000 - Nincs COFOG</v>
      </c>
      <c r="S96">
        <f t="shared" si="31"/>
        <v>0</v>
      </c>
      <c r="T96">
        <f t="shared" si="32"/>
        <v>0</v>
      </c>
      <c r="U96" t="str">
        <f>IF(Tervezés!F99&gt;0,CONCATENATE(Tervezés!E99," - ",Tervezés!F99,", ",Tervezés!J99),"nincs megjegyzés")</f>
        <v>nincs megjegyzés</v>
      </c>
      <c r="V96" t="str">
        <f t="shared" si="19"/>
        <v>6000</v>
      </c>
      <c r="W96" t="str">
        <f t="shared" si="20"/>
        <v>6000</v>
      </c>
      <c r="X96" t="str">
        <f t="shared" si="21"/>
        <v>00</v>
      </c>
      <c r="Y96" t="str">
        <f t="shared" si="22"/>
        <v>600</v>
      </c>
      <c r="Z96" t="str">
        <f t="shared" si="33"/>
        <v>00</v>
      </c>
      <c r="AA96" t="str">
        <f t="shared" si="23"/>
        <v>600</v>
      </c>
      <c r="AB96" t="str">
        <f t="shared" si="24"/>
        <v>00</v>
      </c>
      <c r="AC96" t="str">
        <f t="shared" si="25"/>
        <v>6000</v>
      </c>
      <c r="AD96" t="str">
        <f t="shared" si="26"/>
        <v>000</v>
      </c>
      <c r="AE96" t="str">
        <f t="shared" si="27"/>
        <v>6000</v>
      </c>
      <c r="AF96" t="str">
        <f t="shared" si="28"/>
        <v>000</v>
      </c>
      <c r="AG96" t="str">
        <f t="shared" si="34"/>
        <v>60000</v>
      </c>
      <c r="AH96" t="str">
        <f t="shared" si="35"/>
        <v>0000</v>
      </c>
      <c r="AI96" t="str">
        <f t="shared" si="36"/>
        <v>60000</v>
      </c>
      <c r="AJ96" t="str">
        <f t="shared" si="37"/>
        <v>0000</v>
      </c>
    </row>
    <row r="97" spans="1:36" x14ac:dyDescent="0.25">
      <c r="A97" s="325">
        <f>Tervezés!B100</f>
        <v>0</v>
      </c>
      <c r="B97">
        <v>60</v>
      </c>
      <c r="C97">
        <f>Tervezés!E100</f>
        <v>0</v>
      </c>
      <c r="D97">
        <f>Tervezés!F100</f>
        <v>0</v>
      </c>
      <c r="E97">
        <f>Tervezés!H100</f>
        <v>0</v>
      </c>
      <c r="F97" t="str">
        <f t="shared" si="29"/>
        <v>0</v>
      </c>
      <c r="G97" t="str">
        <f t="shared" si="30"/>
        <v>0</v>
      </c>
      <c r="H97">
        <f>Tervezés!I100</f>
        <v>0</v>
      </c>
      <c r="I97">
        <f>Tervezés!J100</f>
        <v>0</v>
      </c>
      <c r="J97">
        <f>Tervezés!K100</f>
        <v>0</v>
      </c>
      <c r="K97">
        <f>Tervezés!L100</f>
        <v>0</v>
      </c>
      <c r="L97">
        <f>Tervezés!M100</f>
        <v>0</v>
      </c>
      <c r="M97" s="322" t="str">
        <f>IFERROR(VLOOKUP(A97,PAR!$D$3:$E$53,2,FALSE),"nincs szervezet")</f>
        <v>nincs szervezet</v>
      </c>
      <c r="N97" s="322" t="str">
        <f>VLOOKUP(F97,PAR!$R$3:$S$5,2,FALSE)</f>
        <v>3 - egyik sem</v>
      </c>
      <c r="O97" t="str">
        <f>IFERROR(VLOOKUP(J97,PAR!$O$3:$P$5,2,FALSE),"nincs feladat")</f>
        <v>nincs feladat</v>
      </c>
      <c r="P97" t="str">
        <f>IFERROR(VLOOKUP(G97,PAR!$J$2:$M$19,4),"nincs rovat")</f>
        <v>nincs rovat</v>
      </c>
      <c r="Q97" t="str">
        <f>IF(H97&gt;0,VLOOKUP(H97,PAR!$AA$3:$AC$187,3,FALSE),"nincs főkönyvi számla")</f>
        <v>nincs főkönyvi számla</v>
      </c>
      <c r="R97" t="str">
        <f>IFERROR(VLOOKUP(K97,PAR!$V$3:$X$438,3,FALSE),"000000 - Nincs COFOG")</f>
        <v>000000 - Nincs COFOG</v>
      </c>
      <c r="S97">
        <f t="shared" si="31"/>
        <v>0</v>
      </c>
      <c r="T97">
        <f t="shared" si="32"/>
        <v>0</v>
      </c>
      <c r="U97" t="str">
        <f>IF(Tervezés!F100&gt;0,CONCATENATE(Tervezés!E100," - ",Tervezés!F100,", ",Tervezés!J100),"nincs megjegyzés")</f>
        <v>nincs megjegyzés</v>
      </c>
      <c r="V97" t="str">
        <f t="shared" si="19"/>
        <v>6000</v>
      </c>
      <c r="W97" t="str">
        <f t="shared" si="20"/>
        <v>6000</v>
      </c>
      <c r="X97" t="str">
        <f t="shared" si="21"/>
        <v>00</v>
      </c>
      <c r="Y97" t="str">
        <f t="shared" si="22"/>
        <v>600</v>
      </c>
      <c r="Z97" t="str">
        <f t="shared" si="33"/>
        <v>00</v>
      </c>
      <c r="AA97" t="str">
        <f t="shared" si="23"/>
        <v>600</v>
      </c>
      <c r="AB97" t="str">
        <f t="shared" si="24"/>
        <v>00</v>
      </c>
      <c r="AC97" t="str">
        <f t="shared" si="25"/>
        <v>6000</v>
      </c>
      <c r="AD97" t="str">
        <f t="shared" si="26"/>
        <v>000</v>
      </c>
      <c r="AE97" t="str">
        <f t="shared" si="27"/>
        <v>6000</v>
      </c>
      <c r="AF97" t="str">
        <f t="shared" si="28"/>
        <v>000</v>
      </c>
      <c r="AG97" t="str">
        <f t="shared" si="34"/>
        <v>60000</v>
      </c>
      <c r="AH97" t="str">
        <f t="shared" si="35"/>
        <v>0000</v>
      </c>
      <c r="AI97" t="str">
        <f t="shared" si="36"/>
        <v>60000</v>
      </c>
      <c r="AJ97" t="str">
        <f t="shared" si="37"/>
        <v>0000</v>
      </c>
    </row>
    <row r="98" spans="1:36" x14ac:dyDescent="0.25">
      <c r="A98" s="325">
        <f>Tervezés!B101</f>
        <v>0</v>
      </c>
      <c r="B98">
        <v>60</v>
      </c>
      <c r="C98">
        <f>Tervezés!E101</f>
        <v>0</v>
      </c>
      <c r="D98">
        <f>Tervezés!F101</f>
        <v>0</v>
      </c>
      <c r="E98">
        <f>Tervezés!H101</f>
        <v>0</v>
      </c>
      <c r="F98" t="str">
        <f t="shared" si="29"/>
        <v>0</v>
      </c>
      <c r="G98" t="str">
        <f t="shared" si="30"/>
        <v>0</v>
      </c>
      <c r="H98">
        <f>Tervezés!I101</f>
        <v>0</v>
      </c>
      <c r="I98">
        <f>Tervezés!J101</f>
        <v>0</v>
      </c>
      <c r="J98">
        <f>Tervezés!K101</f>
        <v>0</v>
      </c>
      <c r="K98">
        <f>Tervezés!L101</f>
        <v>0</v>
      </c>
      <c r="L98">
        <f>Tervezés!M101</f>
        <v>0</v>
      </c>
      <c r="M98" s="322" t="str">
        <f>IFERROR(VLOOKUP(A98,PAR!$D$3:$E$53,2,FALSE),"nincs szervezet")</f>
        <v>nincs szervezet</v>
      </c>
      <c r="N98" s="322" t="str">
        <f>VLOOKUP(F98,PAR!$R$3:$S$5,2,FALSE)</f>
        <v>3 - egyik sem</v>
      </c>
      <c r="O98" t="str">
        <f>IFERROR(VLOOKUP(J98,PAR!$O$3:$P$5,2,FALSE),"nincs feladat")</f>
        <v>nincs feladat</v>
      </c>
      <c r="P98" t="str">
        <f>IFERROR(VLOOKUP(G98,PAR!$J$2:$M$19,4),"nincs rovat")</f>
        <v>nincs rovat</v>
      </c>
      <c r="Q98" t="str">
        <f>IF(H98&gt;0,VLOOKUP(H98,PAR!$AA$3:$AC$187,3,FALSE),"nincs főkönyvi számla")</f>
        <v>nincs főkönyvi számla</v>
      </c>
      <c r="R98" t="str">
        <f>IFERROR(VLOOKUP(K98,PAR!$V$3:$X$438,3,FALSE),"000000 - Nincs COFOG")</f>
        <v>000000 - Nincs COFOG</v>
      </c>
      <c r="S98">
        <f t="shared" si="31"/>
        <v>0</v>
      </c>
      <c r="T98">
        <f t="shared" si="32"/>
        <v>0</v>
      </c>
      <c r="U98" t="str">
        <f>IF(Tervezés!F101&gt;0,CONCATENATE(Tervezés!E101," - ",Tervezés!F101,", ",Tervezés!J101),"nincs megjegyzés")</f>
        <v>nincs megjegyzés</v>
      </c>
      <c r="V98" t="str">
        <f t="shared" si="19"/>
        <v>6000</v>
      </c>
      <c r="W98" t="str">
        <f t="shared" si="20"/>
        <v>6000</v>
      </c>
      <c r="X98" t="str">
        <f t="shared" si="21"/>
        <v>00</v>
      </c>
      <c r="Y98" t="str">
        <f t="shared" si="22"/>
        <v>600</v>
      </c>
      <c r="Z98" t="str">
        <f t="shared" si="33"/>
        <v>00</v>
      </c>
      <c r="AA98" t="str">
        <f t="shared" si="23"/>
        <v>600</v>
      </c>
      <c r="AB98" t="str">
        <f t="shared" si="24"/>
        <v>00</v>
      </c>
      <c r="AC98" t="str">
        <f t="shared" si="25"/>
        <v>6000</v>
      </c>
      <c r="AD98" t="str">
        <f t="shared" si="26"/>
        <v>000</v>
      </c>
      <c r="AE98" t="str">
        <f t="shared" si="27"/>
        <v>6000</v>
      </c>
      <c r="AF98" t="str">
        <f t="shared" si="28"/>
        <v>000</v>
      </c>
      <c r="AG98" t="str">
        <f t="shared" si="34"/>
        <v>60000</v>
      </c>
      <c r="AH98" t="str">
        <f t="shared" si="35"/>
        <v>0000</v>
      </c>
      <c r="AI98" t="str">
        <f t="shared" si="36"/>
        <v>60000</v>
      </c>
      <c r="AJ98" t="str">
        <f t="shared" si="37"/>
        <v>0000</v>
      </c>
    </row>
    <row r="99" spans="1:36" x14ac:dyDescent="0.25">
      <c r="A99" s="325">
        <f>Tervezés!B102</f>
        <v>0</v>
      </c>
      <c r="B99">
        <v>60</v>
      </c>
      <c r="C99">
        <f>Tervezés!E102</f>
        <v>0</v>
      </c>
      <c r="D99">
        <f>Tervezés!F102</f>
        <v>0</v>
      </c>
      <c r="E99">
        <f>Tervezés!H102</f>
        <v>0</v>
      </c>
      <c r="F99" t="str">
        <f t="shared" si="29"/>
        <v>0</v>
      </c>
      <c r="G99" t="str">
        <f t="shared" si="30"/>
        <v>0</v>
      </c>
      <c r="H99">
        <f>Tervezés!I102</f>
        <v>0</v>
      </c>
      <c r="I99">
        <f>Tervezés!J102</f>
        <v>0</v>
      </c>
      <c r="J99">
        <f>Tervezés!K102</f>
        <v>0</v>
      </c>
      <c r="K99">
        <f>Tervezés!L102</f>
        <v>0</v>
      </c>
      <c r="L99">
        <f>Tervezés!M102</f>
        <v>0</v>
      </c>
      <c r="M99" s="322" t="str">
        <f>IFERROR(VLOOKUP(A99,PAR!$D$3:$E$53,2,FALSE),"nincs szervezet")</f>
        <v>nincs szervezet</v>
      </c>
      <c r="N99" s="322" t="str">
        <f>VLOOKUP(F99,PAR!$R$3:$S$5,2,FALSE)</f>
        <v>3 - egyik sem</v>
      </c>
      <c r="O99" t="str">
        <f>IFERROR(VLOOKUP(J99,PAR!$O$3:$P$5,2,FALSE),"nincs feladat")</f>
        <v>nincs feladat</v>
      </c>
      <c r="P99" t="str">
        <f>IFERROR(VLOOKUP(G99,PAR!$J$2:$M$19,4),"nincs rovat")</f>
        <v>nincs rovat</v>
      </c>
      <c r="Q99" t="str">
        <f>IF(H99&gt;0,VLOOKUP(H99,PAR!$AA$3:$AC$187,3,FALSE),"nincs főkönyvi számla")</f>
        <v>nincs főkönyvi számla</v>
      </c>
      <c r="R99" t="str">
        <f>IFERROR(VLOOKUP(K99,PAR!$V$3:$X$438,3,FALSE),"000000 - Nincs COFOG")</f>
        <v>000000 - Nincs COFOG</v>
      </c>
      <c r="S99">
        <f t="shared" si="31"/>
        <v>0</v>
      </c>
      <c r="T99">
        <f t="shared" si="32"/>
        <v>0</v>
      </c>
      <c r="U99" t="str">
        <f>IF(Tervezés!F102&gt;0,CONCATENATE(Tervezés!E102," - ",Tervezés!F102,", ",Tervezés!J102),"nincs megjegyzés")</f>
        <v>nincs megjegyzés</v>
      </c>
      <c r="V99" t="str">
        <f t="shared" si="19"/>
        <v>6000</v>
      </c>
      <c r="W99" t="str">
        <f t="shared" si="20"/>
        <v>6000</v>
      </c>
      <c r="X99" t="str">
        <f t="shared" si="21"/>
        <v>00</v>
      </c>
      <c r="Y99" t="str">
        <f t="shared" si="22"/>
        <v>600</v>
      </c>
      <c r="Z99" t="str">
        <f t="shared" si="33"/>
        <v>00</v>
      </c>
      <c r="AA99" t="str">
        <f t="shared" si="23"/>
        <v>600</v>
      </c>
      <c r="AB99" t="str">
        <f t="shared" si="24"/>
        <v>00</v>
      </c>
      <c r="AC99" t="str">
        <f t="shared" si="25"/>
        <v>6000</v>
      </c>
      <c r="AD99" t="str">
        <f t="shared" si="26"/>
        <v>000</v>
      </c>
      <c r="AE99" t="str">
        <f t="shared" si="27"/>
        <v>6000</v>
      </c>
      <c r="AF99" t="str">
        <f t="shared" si="28"/>
        <v>000</v>
      </c>
      <c r="AG99" t="str">
        <f t="shared" si="34"/>
        <v>60000</v>
      </c>
      <c r="AH99" t="str">
        <f t="shared" si="35"/>
        <v>0000</v>
      </c>
      <c r="AI99" t="str">
        <f t="shared" si="36"/>
        <v>60000</v>
      </c>
      <c r="AJ99" t="str">
        <f t="shared" si="37"/>
        <v>0000</v>
      </c>
    </row>
    <row r="100" spans="1:36" x14ac:dyDescent="0.25">
      <c r="A100" s="325">
        <f>Tervezés!B103</f>
        <v>0</v>
      </c>
      <c r="B100">
        <v>60</v>
      </c>
      <c r="C100">
        <f>Tervezés!E103</f>
        <v>0</v>
      </c>
      <c r="D100">
        <f>Tervezés!F103</f>
        <v>0</v>
      </c>
      <c r="E100">
        <f>Tervezés!H103</f>
        <v>0</v>
      </c>
      <c r="F100" t="str">
        <f t="shared" si="29"/>
        <v>0</v>
      </c>
      <c r="G100" t="str">
        <f t="shared" si="30"/>
        <v>0</v>
      </c>
      <c r="H100">
        <f>Tervezés!I103</f>
        <v>0</v>
      </c>
      <c r="I100">
        <f>Tervezés!J103</f>
        <v>0</v>
      </c>
      <c r="J100">
        <f>Tervezés!K103</f>
        <v>0</v>
      </c>
      <c r="K100">
        <f>Tervezés!L103</f>
        <v>0</v>
      </c>
      <c r="L100">
        <f>Tervezés!M103</f>
        <v>0</v>
      </c>
      <c r="M100" s="322" t="str">
        <f>IFERROR(VLOOKUP(A100,PAR!$D$3:$E$53,2,FALSE),"nincs szervezet")</f>
        <v>nincs szervezet</v>
      </c>
      <c r="N100" s="322" t="str">
        <f>VLOOKUP(F100,PAR!$R$3:$S$5,2,FALSE)</f>
        <v>3 - egyik sem</v>
      </c>
      <c r="O100" t="str">
        <f>IFERROR(VLOOKUP(J100,PAR!$O$3:$P$5,2,FALSE),"nincs feladat")</f>
        <v>nincs feladat</v>
      </c>
      <c r="P100" t="str">
        <f>IFERROR(VLOOKUP(G100,PAR!$J$2:$M$19,4),"nincs rovat")</f>
        <v>nincs rovat</v>
      </c>
      <c r="Q100" t="str">
        <f>IF(H100&gt;0,VLOOKUP(H100,PAR!$AA$3:$AC$187,3,FALSE),"nincs főkönyvi számla")</f>
        <v>nincs főkönyvi számla</v>
      </c>
      <c r="R100" t="str">
        <f>IFERROR(VLOOKUP(K100,PAR!$V$3:$X$438,3,FALSE),"000000 - Nincs COFOG")</f>
        <v>000000 - Nincs COFOG</v>
      </c>
      <c r="S100">
        <f t="shared" si="31"/>
        <v>0</v>
      </c>
      <c r="T100">
        <f t="shared" si="32"/>
        <v>0</v>
      </c>
      <c r="U100" t="str">
        <f>IF(Tervezés!F103&gt;0,CONCATENATE(Tervezés!E103," - ",Tervezés!F103,", ",Tervezés!J103),"nincs megjegyzés")</f>
        <v>nincs megjegyzés</v>
      </c>
      <c r="V100" t="str">
        <f t="shared" si="19"/>
        <v>6000</v>
      </c>
      <c r="W100" t="str">
        <f t="shared" si="20"/>
        <v>6000</v>
      </c>
      <c r="X100" t="str">
        <f t="shared" si="21"/>
        <v>00</v>
      </c>
      <c r="Y100" t="str">
        <f t="shared" si="22"/>
        <v>600</v>
      </c>
      <c r="Z100" t="str">
        <f t="shared" si="33"/>
        <v>00</v>
      </c>
      <c r="AA100" t="str">
        <f t="shared" si="23"/>
        <v>600</v>
      </c>
      <c r="AB100" t="str">
        <f t="shared" si="24"/>
        <v>00</v>
      </c>
      <c r="AC100" t="str">
        <f t="shared" si="25"/>
        <v>6000</v>
      </c>
      <c r="AD100" t="str">
        <f t="shared" si="26"/>
        <v>000</v>
      </c>
      <c r="AE100" t="str">
        <f t="shared" si="27"/>
        <v>6000</v>
      </c>
      <c r="AF100" t="str">
        <f t="shared" si="28"/>
        <v>000</v>
      </c>
      <c r="AG100" t="str">
        <f t="shared" si="34"/>
        <v>60000</v>
      </c>
      <c r="AH100" t="str">
        <f t="shared" si="35"/>
        <v>0000</v>
      </c>
      <c r="AI100" t="str">
        <f t="shared" si="36"/>
        <v>60000</v>
      </c>
      <c r="AJ100" t="str">
        <f t="shared" si="37"/>
        <v>0000</v>
      </c>
    </row>
    <row r="101" spans="1:36" x14ac:dyDescent="0.25">
      <c r="A101" s="325">
        <f>Tervezés!B104</f>
        <v>0</v>
      </c>
      <c r="B101">
        <v>60</v>
      </c>
      <c r="C101">
        <f>Tervezés!E104</f>
        <v>0</v>
      </c>
      <c r="D101">
        <f>Tervezés!F104</f>
        <v>0</v>
      </c>
      <c r="E101">
        <f>Tervezés!H104</f>
        <v>0</v>
      </c>
      <c r="F101" t="str">
        <f t="shared" si="29"/>
        <v>0</v>
      </c>
      <c r="G101" t="str">
        <f t="shared" si="30"/>
        <v>0</v>
      </c>
      <c r="H101">
        <f>Tervezés!I104</f>
        <v>0</v>
      </c>
      <c r="I101">
        <f>Tervezés!J104</f>
        <v>0</v>
      </c>
      <c r="J101">
        <f>Tervezés!K104</f>
        <v>0</v>
      </c>
      <c r="K101">
        <f>Tervezés!L104</f>
        <v>0</v>
      </c>
      <c r="L101">
        <f>Tervezés!M104</f>
        <v>0</v>
      </c>
      <c r="M101" s="322" t="str">
        <f>IFERROR(VLOOKUP(A101,PAR!$D$3:$E$53,2,FALSE),"nincs szervezet")</f>
        <v>nincs szervezet</v>
      </c>
      <c r="N101" s="322" t="str">
        <f>VLOOKUP(F101,PAR!$R$3:$S$5,2,FALSE)</f>
        <v>3 - egyik sem</v>
      </c>
      <c r="O101" t="str">
        <f>IFERROR(VLOOKUP(J101,PAR!$O$3:$P$5,2,FALSE),"nincs feladat")</f>
        <v>nincs feladat</v>
      </c>
      <c r="P101" t="str">
        <f>IFERROR(VLOOKUP(G101,PAR!$J$2:$M$19,4),"nincs rovat")</f>
        <v>nincs rovat</v>
      </c>
      <c r="Q101" t="str">
        <f>IF(H101&gt;0,VLOOKUP(H101,PAR!$AA$3:$AC$187,3,FALSE),"nincs főkönyvi számla")</f>
        <v>nincs főkönyvi számla</v>
      </c>
      <c r="R101" t="str">
        <f>IFERROR(VLOOKUP(K101,PAR!$V$3:$X$438,3,FALSE),"000000 - Nincs COFOG")</f>
        <v>000000 - Nincs COFOG</v>
      </c>
      <c r="S101">
        <f t="shared" si="31"/>
        <v>0</v>
      </c>
      <c r="T101">
        <f t="shared" si="32"/>
        <v>0</v>
      </c>
      <c r="U101" t="str">
        <f>IF(Tervezés!F104&gt;0,CONCATENATE(Tervezés!E104," - ",Tervezés!F104,", ",Tervezés!J104),"nincs megjegyzés")</f>
        <v>nincs megjegyzés</v>
      </c>
      <c r="V101" t="str">
        <f t="shared" si="19"/>
        <v>6000</v>
      </c>
      <c r="W101" t="str">
        <f t="shared" si="20"/>
        <v>6000</v>
      </c>
      <c r="X101" t="str">
        <f t="shared" si="21"/>
        <v>00</v>
      </c>
      <c r="Y101" t="str">
        <f t="shared" si="22"/>
        <v>600</v>
      </c>
      <c r="Z101" t="str">
        <f t="shared" si="33"/>
        <v>00</v>
      </c>
      <c r="AA101" t="str">
        <f t="shared" si="23"/>
        <v>600</v>
      </c>
      <c r="AB101" t="str">
        <f t="shared" si="24"/>
        <v>00</v>
      </c>
      <c r="AC101" t="str">
        <f t="shared" si="25"/>
        <v>6000</v>
      </c>
      <c r="AD101" t="str">
        <f t="shared" si="26"/>
        <v>000</v>
      </c>
      <c r="AE101" t="str">
        <f t="shared" si="27"/>
        <v>6000</v>
      </c>
      <c r="AF101" t="str">
        <f t="shared" si="28"/>
        <v>000</v>
      </c>
      <c r="AG101" t="str">
        <f t="shared" si="34"/>
        <v>60000</v>
      </c>
      <c r="AH101" t="str">
        <f t="shared" si="35"/>
        <v>0000</v>
      </c>
      <c r="AI101" t="str">
        <f t="shared" si="36"/>
        <v>60000</v>
      </c>
      <c r="AJ101" t="str">
        <f t="shared" si="37"/>
        <v>0000</v>
      </c>
    </row>
    <row r="102" spans="1:36" x14ac:dyDescent="0.25">
      <c r="A102" s="325">
        <f>Tervezés!B105</f>
        <v>0</v>
      </c>
      <c r="B102">
        <v>60</v>
      </c>
      <c r="C102">
        <f>Tervezés!E105</f>
        <v>0</v>
      </c>
      <c r="D102">
        <f>Tervezés!F105</f>
        <v>0</v>
      </c>
      <c r="E102">
        <f>Tervezés!H105</f>
        <v>0</v>
      </c>
      <c r="F102" t="str">
        <f t="shared" si="29"/>
        <v>0</v>
      </c>
      <c r="G102" t="str">
        <f t="shared" si="30"/>
        <v>0</v>
      </c>
      <c r="H102">
        <f>Tervezés!I105</f>
        <v>0</v>
      </c>
      <c r="I102">
        <f>Tervezés!J105</f>
        <v>0</v>
      </c>
      <c r="J102">
        <f>Tervezés!K105</f>
        <v>0</v>
      </c>
      <c r="K102">
        <f>Tervezés!L105</f>
        <v>0</v>
      </c>
      <c r="L102">
        <f>Tervezés!M105</f>
        <v>0</v>
      </c>
      <c r="M102" s="322" t="str">
        <f>IFERROR(VLOOKUP(A102,PAR!$D$3:$E$53,2,FALSE),"nincs szervezet")</f>
        <v>nincs szervezet</v>
      </c>
      <c r="N102" s="322" t="str">
        <f>VLOOKUP(F102,PAR!$R$3:$S$5,2,FALSE)</f>
        <v>3 - egyik sem</v>
      </c>
      <c r="O102" t="str">
        <f>IFERROR(VLOOKUP(J102,PAR!$O$3:$P$5,2,FALSE),"nincs feladat")</f>
        <v>nincs feladat</v>
      </c>
      <c r="P102" t="str">
        <f>IFERROR(VLOOKUP(G102,PAR!$J$2:$M$19,4),"nincs rovat")</f>
        <v>nincs rovat</v>
      </c>
      <c r="Q102" t="str">
        <f>IF(H102&gt;0,VLOOKUP(H102,PAR!$AA$3:$AC$187,3,FALSE),"nincs főkönyvi számla")</f>
        <v>nincs főkönyvi számla</v>
      </c>
      <c r="R102" t="str">
        <f>IFERROR(VLOOKUP(K102,PAR!$V$3:$X$438,3,FALSE),"000000 - Nincs COFOG")</f>
        <v>000000 - Nincs COFOG</v>
      </c>
      <c r="S102">
        <f t="shared" si="31"/>
        <v>0</v>
      </c>
      <c r="T102">
        <f t="shared" si="32"/>
        <v>0</v>
      </c>
      <c r="U102" t="str">
        <f>IF(Tervezés!F105&gt;0,CONCATENATE(Tervezés!E105," - ",Tervezés!F105,", ",Tervezés!J105),"nincs megjegyzés")</f>
        <v>nincs megjegyzés</v>
      </c>
      <c r="V102" t="str">
        <f t="shared" si="19"/>
        <v>6000</v>
      </c>
      <c r="W102" t="str">
        <f t="shared" si="20"/>
        <v>6000</v>
      </c>
      <c r="X102" t="str">
        <f t="shared" si="21"/>
        <v>00</v>
      </c>
      <c r="Y102" t="str">
        <f t="shared" si="22"/>
        <v>600</v>
      </c>
      <c r="Z102" t="str">
        <f t="shared" si="33"/>
        <v>00</v>
      </c>
      <c r="AA102" t="str">
        <f t="shared" si="23"/>
        <v>600</v>
      </c>
      <c r="AB102" t="str">
        <f t="shared" si="24"/>
        <v>00</v>
      </c>
      <c r="AC102" t="str">
        <f t="shared" si="25"/>
        <v>6000</v>
      </c>
      <c r="AD102" t="str">
        <f t="shared" si="26"/>
        <v>000</v>
      </c>
      <c r="AE102" t="str">
        <f t="shared" si="27"/>
        <v>6000</v>
      </c>
      <c r="AF102" t="str">
        <f t="shared" si="28"/>
        <v>000</v>
      </c>
      <c r="AG102" t="str">
        <f t="shared" si="34"/>
        <v>60000</v>
      </c>
      <c r="AH102" t="str">
        <f t="shared" si="35"/>
        <v>0000</v>
      </c>
      <c r="AI102" t="str">
        <f t="shared" si="36"/>
        <v>60000</v>
      </c>
      <c r="AJ102" t="str">
        <f t="shared" si="37"/>
        <v>0000</v>
      </c>
    </row>
    <row r="103" spans="1:36" x14ac:dyDescent="0.25">
      <c r="A103" s="325">
        <f>Tervezés!B106</f>
        <v>0</v>
      </c>
      <c r="B103">
        <v>60</v>
      </c>
      <c r="C103">
        <f>Tervezés!E106</f>
        <v>0</v>
      </c>
      <c r="D103">
        <f>Tervezés!F106</f>
        <v>0</v>
      </c>
      <c r="E103">
        <f>Tervezés!H106</f>
        <v>0</v>
      </c>
      <c r="F103" t="str">
        <f t="shared" si="29"/>
        <v>0</v>
      </c>
      <c r="G103" t="str">
        <f t="shared" si="30"/>
        <v>0</v>
      </c>
      <c r="H103">
        <f>Tervezés!I106</f>
        <v>0</v>
      </c>
      <c r="I103">
        <f>Tervezés!J106</f>
        <v>0</v>
      </c>
      <c r="J103">
        <f>Tervezés!K106</f>
        <v>0</v>
      </c>
      <c r="K103">
        <f>Tervezés!L106</f>
        <v>0</v>
      </c>
      <c r="L103">
        <f>Tervezés!M106</f>
        <v>0</v>
      </c>
      <c r="M103" s="322" t="str">
        <f>IFERROR(VLOOKUP(A103,PAR!$D$3:$E$53,2,FALSE),"nincs szervezet")</f>
        <v>nincs szervezet</v>
      </c>
      <c r="N103" s="322" t="str">
        <f>VLOOKUP(F103,PAR!$R$3:$S$5,2,FALSE)</f>
        <v>3 - egyik sem</v>
      </c>
      <c r="O103" t="str">
        <f>IFERROR(VLOOKUP(J103,PAR!$O$3:$P$5,2,FALSE),"nincs feladat")</f>
        <v>nincs feladat</v>
      </c>
      <c r="P103" t="str">
        <f>IFERROR(VLOOKUP(G103,PAR!$J$2:$M$19,4),"nincs rovat")</f>
        <v>nincs rovat</v>
      </c>
      <c r="Q103" t="str">
        <f>IF(H103&gt;0,VLOOKUP(H103,PAR!$AA$3:$AC$187,3,FALSE),"nincs főkönyvi számla")</f>
        <v>nincs főkönyvi számla</v>
      </c>
      <c r="R103" t="str">
        <f>IFERROR(VLOOKUP(K103,PAR!$V$3:$X$438,3,FALSE),"000000 - Nincs COFOG")</f>
        <v>000000 - Nincs COFOG</v>
      </c>
      <c r="S103">
        <f t="shared" si="31"/>
        <v>0</v>
      </c>
      <c r="T103">
        <f t="shared" si="32"/>
        <v>0</v>
      </c>
      <c r="U103" t="str">
        <f>IF(Tervezés!F106&gt;0,CONCATENATE(Tervezés!E106," - ",Tervezés!F106,", ",Tervezés!J106),"nincs megjegyzés")</f>
        <v>nincs megjegyzés</v>
      </c>
      <c r="V103" t="str">
        <f t="shared" si="19"/>
        <v>6000</v>
      </c>
      <c r="W103" t="str">
        <f t="shared" si="20"/>
        <v>6000</v>
      </c>
      <c r="X103" t="str">
        <f t="shared" si="21"/>
        <v>00</v>
      </c>
      <c r="Y103" t="str">
        <f t="shared" si="22"/>
        <v>600</v>
      </c>
      <c r="Z103" t="str">
        <f t="shared" si="33"/>
        <v>00</v>
      </c>
      <c r="AA103" t="str">
        <f t="shared" si="23"/>
        <v>600</v>
      </c>
      <c r="AB103" t="str">
        <f t="shared" si="24"/>
        <v>00</v>
      </c>
      <c r="AC103" t="str">
        <f t="shared" si="25"/>
        <v>6000</v>
      </c>
      <c r="AD103" t="str">
        <f t="shared" si="26"/>
        <v>000</v>
      </c>
      <c r="AE103" t="str">
        <f t="shared" si="27"/>
        <v>6000</v>
      </c>
      <c r="AF103" t="str">
        <f t="shared" si="28"/>
        <v>000</v>
      </c>
      <c r="AG103" t="str">
        <f t="shared" si="34"/>
        <v>60000</v>
      </c>
      <c r="AH103" t="str">
        <f t="shared" si="35"/>
        <v>0000</v>
      </c>
      <c r="AI103" t="str">
        <f t="shared" si="36"/>
        <v>60000</v>
      </c>
      <c r="AJ103" t="str">
        <f t="shared" si="37"/>
        <v>0000</v>
      </c>
    </row>
    <row r="104" spans="1:36" x14ac:dyDescent="0.25">
      <c r="A104" s="325">
        <f>Tervezés!B107</f>
        <v>0</v>
      </c>
      <c r="B104">
        <v>60</v>
      </c>
      <c r="C104">
        <f>Tervezés!E107</f>
        <v>0</v>
      </c>
      <c r="D104">
        <f>Tervezés!F107</f>
        <v>0</v>
      </c>
      <c r="E104">
        <f>Tervezés!H107</f>
        <v>0</v>
      </c>
      <c r="F104" t="str">
        <f t="shared" si="29"/>
        <v>0</v>
      </c>
      <c r="G104" t="str">
        <f t="shared" si="30"/>
        <v>0</v>
      </c>
      <c r="H104">
        <f>Tervezés!I107</f>
        <v>0</v>
      </c>
      <c r="I104">
        <f>Tervezés!J107</f>
        <v>0</v>
      </c>
      <c r="J104">
        <f>Tervezés!K107</f>
        <v>0</v>
      </c>
      <c r="K104">
        <f>Tervezés!L107</f>
        <v>0</v>
      </c>
      <c r="L104">
        <f>Tervezés!M107</f>
        <v>0</v>
      </c>
      <c r="M104" s="322" t="str">
        <f>IFERROR(VLOOKUP(A104,PAR!$D$3:$E$53,2,FALSE),"nincs szervezet")</f>
        <v>nincs szervezet</v>
      </c>
      <c r="N104" s="322" t="str">
        <f>VLOOKUP(F104,PAR!$R$3:$S$5,2,FALSE)</f>
        <v>3 - egyik sem</v>
      </c>
      <c r="O104" t="str">
        <f>IFERROR(VLOOKUP(J104,PAR!$O$3:$P$5,2,FALSE),"nincs feladat")</f>
        <v>nincs feladat</v>
      </c>
      <c r="P104" t="str">
        <f>IFERROR(VLOOKUP(G104,PAR!$J$2:$M$19,4),"nincs rovat")</f>
        <v>nincs rovat</v>
      </c>
      <c r="Q104" t="str">
        <f>IF(H104&gt;0,VLOOKUP(H104,PAR!$AA$3:$AC$187,3,FALSE),"nincs főkönyvi számla")</f>
        <v>nincs főkönyvi számla</v>
      </c>
      <c r="R104" t="str">
        <f>IFERROR(VLOOKUP(K104,PAR!$V$3:$X$438,3,FALSE),"000000 - Nincs COFOG")</f>
        <v>000000 - Nincs COFOG</v>
      </c>
      <c r="S104">
        <f t="shared" si="31"/>
        <v>0</v>
      </c>
      <c r="T104">
        <f t="shared" si="32"/>
        <v>0</v>
      </c>
      <c r="U104" t="str">
        <f>IF(Tervezés!F107&gt;0,CONCATENATE(Tervezés!E107," - ",Tervezés!F107,", ",Tervezés!J107),"nincs megjegyzés")</f>
        <v>nincs megjegyzés</v>
      </c>
      <c r="V104" t="str">
        <f t="shared" si="19"/>
        <v>6000</v>
      </c>
      <c r="W104" t="str">
        <f t="shared" si="20"/>
        <v>6000</v>
      </c>
      <c r="X104" t="str">
        <f t="shared" si="21"/>
        <v>00</v>
      </c>
      <c r="Y104" t="str">
        <f t="shared" si="22"/>
        <v>600</v>
      </c>
      <c r="Z104" t="str">
        <f t="shared" si="33"/>
        <v>00</v>
      </c>
      <c r="AA104" t="str">
        <f t="shared" si="23"/>
        <v>600</v>
      </c>
      <c r="AB104" t="str">
        <f t="shared" si="24"/>
        <v>00</v>
      </c>
      <c r="AC104" t="str">
        <f t="shared" si="25"/>
        <v>6000</v>
      </c>
      <c r="AD104" t="str">
        <f t="shared" si="26"/>
        <v>000</v>
      </c>
      <c r="AE104" t="str">
        <f t="shared" si="27"/>
        <v>6000</v>
      </c>
      <c r="AF104" t="str">
        <f t="shared" si="28"/>
        <v>000</v>
      </c>
      <c r="AG104" t="str">
        <f t="shared" si="34"/>
        <v>60000</v>
      </c>
      <c r="AH104" t="str">
        <f t="shared" si="35"/>
        <v>0000</v>
      </c>
      <c r="AI104" t="str">
        <f t="shared" si="36"/>
        <v>60000</v>
      </c>
      <c r="AJ104" t="str">
        <f t="shared" si="37"/>
        <v>0000</v>
      </c>
    </row>
    <row r="105" spans="1:36" x14ac:dyDescent="0.25">
      <c r="A105" s="325">
        <f>Tervezés!B108</f>
        <v>0</v>
      </c>
      <c r="B105">
        <v>60</v>
      </c>
      <c r="C105">
        <f>Tervezés!E108</f>
        <v>0</v>
      </c>
      <c r="D105">
        <f>Tervezés!F108</f>
        <v>0</v>
      </c>
      <c r="E105">
        <f>Tervezés!H108</f>
        <v>0</v>
      </c>
      <c r="F105" t="str">
        <f t="shared" si="29"/>
        <v>0</v>
      </c>
      <c r="G105" t="str">
        <f t="shared" si="30"/>
        <v>0</v>
      </c>
      <c r="H105">
        <f>Tervezés!I108</f>
        <v>0</v>
      </c>
      <c r="I105">
        <f>Tervezés!J108</f>
        <v>0</v>
      </c>
      <c r="J105">
        <f>Tervezés!K108</f>
        <v>0</v>
      </c>
      <c r="K105">
        <f>Tervezés!L108</f>
        <v>0</v>
      </c>
      <c r="L105">
        <f>Tervezés!M108</f>
        <v>0</v>
      </c>
      <c r="M105" s="322" t="str">
        <f>IFERROR(VLOOKUP(A105,PAR!$D$3:$E$53,2,FALSE),"nincs szervezet")</f>
        <v>nincs szervezet</v>
      </c>
      <c r="N105" s="322" t="str">
        <f>VLOOKUP(F105,PAR!$R$3:$S$5,2,FALSE)</f>
        <v>3 - egyik sem</v>
      </c>
      <c r="O105" t="str">
        <f>IFERROR(VLOOKUP(J105,PAR!$O$3:$P$5,2,FALSE),"nincs feladat")</f>
        <v>nincs feladat</v>
      </c>
      <c r="P105" t="str">
        <f>IFERROR(VLOOKUP(G105,PAR!$J$2:$M$19,4),"nincs rovat")</f>
        <v>nincs rovat</v>
      </c>
      <c r="Q105" t="str">
        <f>IF(H105&gt;0,VLOOKUP(H105,PAR!$AA$3:$AC$187,3,FALSE),"nincs főkönyvi számla")</f>
        <v>nincs főkönyvi számla</v>
      </c>
      <c r="R105" t="str">
        <f>IFERROR(VLOOKUP(K105,PAR!$V$3:$X$438,3,FALSE),"000000 - Nincs COFOG")</f>
        <v>000000 - Nincs COFOG</v>
      </c>
      <c r="S105">
        <f t="shared" si="31"/>
        <v>0</v>
      </c>
      <c r="T105">
        <f t="shared" si="32"/>
        <v>0</v>
      </c>
      <c r="U105" t="str">
        <f>IF(Tervezés!F108&gt;0,CONCATENATE(Tervezés!E108," - ",Tervezés!F108,", ",Tervezés!J108),"nincs megjegyzés")</f>
        <v>nincs megjegyzés</v>
      </c>
      <c r="V105" t="str">
        <f t="shared" si="19"/>
        <v>6000</v>
      </c>
      <c r="W105" t="str">
        <f t="shared" si="20"/>
        <v>6000</v>
      </c>
      <c r="X105" t="str">
        <f t="shared" si="21"/>
        <v>00</v>
      </c>
      <c r="Y105" t="str">
        <f t="shared" si="22"/>
        <v>600</v>
      </c>
      <c r="Z105" t="str">
        <f t="shared" si="33"/>
        <v>00</v>
      </c>
      <c r="AA105" t="str">
        <f t="shared" si="23"/>
        <v>600</v>
      </c>
      <c r="AB105" t="str">
        <f t="shared" si="24"/>
        <v>00</v>
      </c>
      <c r="AC105" t="str">
        <f t="shared" si="25"/>
        <v>6000</v>
      </c>
      <c r="AD105" t="str">
        <f t="shared" si="26"/>
        <v>000</v>
      </c>
      <c r="AE105" t="str">
        <f t="shared" si="27"/>
        <v>6000</v>
      </c>
      <c r="AF105" t="str">
        <f t="shared" si="28"/>
        <v>000</v>
      </c>
      <c r="AG105" t="str">
        <f t="shared" si="34"/>
        <v>60000</v>
      </c>
      <c r="AH105" t="str">
        <f t="shared" si="35"/>
        <v>0000</v>
      </c>
      <c r="AI105" t="str">
        <f t="shared" si="36"/>
        <v>60000</v>
      </c>
      <c r="AJ105" t="str">
        <f t="shared" si="37"/>
        <v>0000</v>
      </c>
    </row>
    <row r="106" spans="1:36" x14ac:dyDescent="0.25">
      <c r="A106" s="325">
        <f>Tervezés!B109</f>
        <v>0</v>
      </c>
      <c r="B106">
        <v>60</v>
      </c>
      <c r="C106">
        <f>Tervezés!E109</f>
        <v>0</v>
      </c>
      <c r="D106">
        <f>Tervezés!F109</f>
        <v>0</v>
      </c>
      <c r="E106">
        <f>Tervezés!H109</f>
        <v>0</v>
      </c>
      <c r="F106" t="str">
        <f t="shared" si="29"/>
        <v>0</v>
      </c>
      <c r="G106" t="str">
        <f t="shared" si="30"/>
        <v>0</v>
      </c>
      <c r="H106">
        <f>Tervezés!I109</f>
        <v>0</v>
      </c>
      <c r="I106">
        <f>Tervezés!J109</f>
        <v>0</v>
      </c>
      <c r="J106">
        <f>Tervezés!K109</f>
        <v>0</v>
      </c>
      <c r="K106">
        <f>Tervezés!L109</f>
        <v>0</v>
      </c>
      <c r="L106">
        <f>Tervezés!M109</f>
        <v>0</v>
      </c>
      <c r="M106" s="322" t="str">
        <f>IFERROR(VLOOKUP(A106,PAR!$D$3:$E$53,2,FALSE),"nincs szervezet")</f>
        <v>nincs szervezet</v>
      </c>
      <c r="N106" s="322" t="str">
        <f>VLOOKUP(F106,PAR!$R$3:$S$5,2,FALSE)</f>
        <v>3 - egyik sem</v>
      </c>
      <c r="O106" t="str">
        <f>IFERROR(VLOOKUP(J106,PAR!$O$3:$P$5,2,FALSE),"nincs feladat")</f>
        <v>nincs feladat</v>
      </c>
      <c r="P106" t="str">
        <f>IFERROR(VLOOKUP(G106,PAR!$J$2:$M$19,4),"nincs rovat")</f>
        <v>nincs rovat</v>
      </c>
      <c r="Q106" t="str">
        <f>IF(H106&gt;0,VLOOKUP(H106,PAR!$AA$3:$AC$187,3,FALSE),"nincs főkönyvi számla")</f>
        <v>nincs főkönyvi számla</v>
      </c>
      <c r="R106" t="str">
        <f>IFERROR(VLOOKUP(K106,PAR!$V$3:$X$438,3,FALSE),"000000 - Nincs COFOG")</f>
        <v>000000 - Nincs COFOG</v>
      </c>
      <c r="S106">
        <f t="shared" si="31"/>
        <v>0</v>
      </c>
      <c r="T106">
        <f t="shared" si="32"/>
        <v>0</v>
      </c>
      <c r="U106" t="str">
        <f>IF(Tervezés!F109&gt;0,CONCATENATE(Tervezés!E109," - ",Tervezés!F109,", ",Tervezés!J109),"nincs megjegyzés")</f>
        <v>nincs megjegyzés</v>
      </c>
      <c r="V106" t="str">
        <f t="shared" si="19"/>
        <v>6000</v>
      </c>
      <c r="W106" t="str">
        <f t="shared" si="20"/>
        <v>6000</v>
      </c>
      <c r="X106" t="str">
        <f t="shared" si="21"/>
        <v>00</v>
      </c>
      <c r="Y106" t="str">
        <f t="shared" si="22"/>
        <v>600</v>
      </c>
      <c r="Z106" t="str">
        <f t="shared" si="33"/>
        <v>00</v>
      </c>
      <c r="AA106" t="str">
        <f t="shared" si="23"/>
        <v>600</v>
      </c>
      <c r="AB106" t="str">
        <f t="shared" si="24"/>
        <v>00</v>
      </c>
      <c r="AC106" t="str">
        <f t="shared" si="25"/>
        <v>6000</v>
      </c>
      <c r="AD106" t="str">
        <f t="shared" si="26"/>
        <v>000</v>
      </c>
      <c r="AE106" t="str">
        <f t="shared" si="27"/>
        <v>6000</v>
      </c>
      <c r="AF106" t="str">
        <f t="shared" si="28"/>
        <v>000</v>
      </c>
      <c r="AG106" t="str">
        <f t="shared" si="34"/>
        <v>60000</v>
      </c>
      <c r="AH106" t="str">
        <f t="shared" si="35"/>
        <v>0000</v>
      </c>
      <c r="AI106" t="str">
        <f t="shared" si="36"/>
        <v>60000</v>
      </c>
      <c r="AJ106" t="str">
        <f t="shared" si="37"/>
        <v>0000</v>
      </c>
    </row>
    <row r="107" spans="1:36" x14ac:dyDescent="0.25">
      <c r="A107" s="325">
        <f>Tervezés!B110</f>
        <v>0</v>
      </c>
      <c r="B107">
        <v>60</v>
      </c>
      <c r="C107">
        <f>Tervezés!E110</f>
        <v>0</v>
      </c>
      <c r="D107">
        <f>Tervezés!F110</f>
        <v>0</v>
      </c>
      <c r="E107">
        <f>Tervezés!H110</f>
        <v>0</v>
      </c>
      <c r="F107" t="str">
        <f t="shared" si="29"/>
        <v>0</v>
      </c>
      <c r="G107" t="str">
        <f t="shared" si="30"/>
        <v>0</v>
      </c>
      <c r="H107">
        <f>Tervezés!I110</f>
        <v>0</v>
      </c>
      <c r="I107">
        <f>Tervezés!J110</f>
        <v>0</v>
      </c>
      <c r="J107">
        <f>Tervezés!K110</f>
        <v>0</v>
      </c>
      <c r="K107">
        <f>Tervezés!L110</f>
        <v>0</v>
      </c>
      <c r="L107">
        <f>Tervezés!M110</f>
        <v>0</v>
      </c>
      <c r="M107" s="322" t="str">
        <f>IFERROR(VLOOKUP(A107,PAR!$D$3:$E$53,2,FALSE),"nincs szervezet")</f>
        <v>nincs szervezet</v>
      </c>
      <c r="N107" s="322" t="str">
        <f>VLOOKUP(F107,PAR!$R$3:$S$5,2,FALSE)</f>
        <v>3 - egyik sem</v>
      </c>
      <c r="O107" t="str">
        <f>IFERROR(VLOOKUP(J107,PAR!$O$3:$P$5,2,FALSE),"nincs feladat")</f>
        <v>nincs feladat</v>
      </c>
      <c r="P107" t="str">
        <f>IFERROR(VLOOKUP(G107,PAR!$J$2:$M$19,4),"nincs rovat")</f>
        <v>nincs rovat</v>
      </c>
      <c r="Q107" t="str">
        <f>IF(H107&gt;0,VLOOKUP(H107,PAR!$AA$3:$AC$187,3,FALSE),"nincs főkönyvi számla")</f>
        <v>nincs főkönyvi számla</v>
      </c>
      <c r="R107" t="str">
        <f>IFERROR(VLOOKUP(K107,PAR!$V$3:$X$438,3,FALSE),"000000 - Nincs COFOG")</f>
        <v>000000 - Nincs COFOG</v>
      </c>
      <c r="S107">
        <f t="shared" si="31"/>
        <v>0</v>
      </c>
      <c r="T107">
        <f t="shared" si="32"/>
        <v>0</v>
      </c>
      <c r="U107" t="str">
        <f>IF(Tervezés!F110&gt;0,CONCATENATE(Tervezés!E110," - ",Tervezés!F110,", ",Tervezés!J110),"nincs megjegyzés")</f>
        <v>nincs megjegyzés</v>
      </c>
      <c r="V107" t="str">
        <f t="shared" si="19"/>
        <v>6000</v>
      </c>
      <c r="W107" t="str">
        <f t="shared" si="20"/>
        <v>6000</v>
      </c>
      <c r="X107" t="str">
        <f t="shared" si="21"/>
        <v>00</v>
      </c>
      <c r="Y107" t="str">
        <f t="shared" si="22"/>
        <v>600</v>
      </c>
      <c r="Z107" t="str">
        <f t="shared" si="33"/>
        <v>00</v>
      </c>
      <c r="AA107" t="str">
        <f t="shared" si="23"/>
        <v>600</v>
      </c>
      <c r="AB107" t="str">
        <f t="shared" si="24"/>
        <v>00</v>
      </c>
      <c r="AC107" t="str">
        <f t="shared" si="25"/>
        <v>6000</v>
      </c>
      <c r="AD107" t="str">
        <f t="shared" si="26"/>
        <v>000</v>
      </c>
      <c r="AE107" t="str">
        <f t="shared" si="27"/>
        <v>6000</v>
      </c>
      <c r="AF107" t="str">
        <f t="shared" si="28"/>
        <v>000</v>
      </c>
      <c r="AG107" t="str">
        <f t="shared" si="34"/>
        <v>60000</v>
      </c>
      <c r="AH107" t="str">
        <f t="shared" si="35"/>
        <v>0000</v>
      </c>
      <c r="AI107" t="str">
        <f t="shared" si="36"/>
        <v>60000</v>
      </c>
      <c r="AJ107" t="str">
        <f t="shared" si="37"/>
        <v>0000</v>
      </c>
    </row>
    <row r="108" spans="1:36" x14ac:dyDescent="0.25">
      <c r="A108" s="325">
        <f>Tervezés!B111</f>
        <v>0</v>
      </c>
      <c r="B108">
        <v>60</v>
      </c>
      <c r="C108">
        <f>Tervezés!E111</f>
        <v>0</v>
      </c>
      <c r="D108">
        <f>Tervezés!F111</f>
        <v>0</v>
      </c>
      <c r="E108">
        <f>Tervezés!H111</f>
        <v>0</v>
      </c>
      <c r="F108" t="str">
        <f t="shared" si="29"/>
        <v>0</v>
      </c>
      <c r="G108" t="str">
        <f t="shared" si="30"/>
        <v>0</v>
      </c>
      <c r="H108">
        <f>Tervezés!I111</f>
        <v>0</v>
      </c>
      <c r="I108">
        <f>Tervezés!J111</f>
        <v>0</v>
      </c>
      <c r="J108">
        <f>Tervezés!K111</f>
        <v>0</v>
      </c>
      <c r="K108">
        <f>Tervezés!L111</f>
        <v>0</v>
      </c>
      <c r="L108">
        <f>Tervezés!M111</f>
        <v>0</v>
      </c>
      <c r="M108" s="322" t="str">
        <f>IFERROR(VLOOKUP(A108,PAR!$D$3:$E$53,2,FALSE),"nincs szervezet")</f>
        <v>nincs szervezet</v>
      </c>
      <c r="N108" s="322" t="str">
        <f>VLOOKUP(F108,PAR!$R$3:$S$5,2,FALSE)</f>
        <v>3 - egyik sem</v>
      </c>
      <c r="O108" t="str">
        <f>IFERROR(VLOOKUP(J108,PAR!$O$3:$P$5,2,FALSE),"nincs feladat")</f>
        <v>nincs feladat</v>
      </c>
      <c r="P108" t="str">
        <f>IFERROR(VLOOKUP(G108,PAR!$J$2:$M$19,4),"nincs rovat")</f>
        <v>nincs rovat</v>
      </c>
      <c r="Q108" t="str">
        <f>IF(H108&gt;0,VLOOKUP(H108,PAR!$AA$3:$AC$187,3,FALSE),"nincs főkönyvi számla")</f>
        <v>nincs főkönyvi számla</v>
      </c>
      <c r="R108" t="str">
        <f>IFERROR(VLOOKUP(K108,PAR!$V$3:$X$438,3,FALSE),"000000 - Nincs COFOG")</f>
        <v>000000 - Nincs COFOG</v>
      </c>
      <c r="S108">
        <f t="shared" si="31"/>
        <v>0</v>
      </c>
      <c r="T108">
        <f t="shared" si="32"/>
        <v>0</v>
      </c>
      <c r="U108" t="str">
        <f>IF(Tervezés!F111&gt;0,CONCATENATE(Tervezés!E111," - ",Tervezés!F111,", ",Tervezés!J111),"nincs megjegyzés")</f>
        <v>nincs megjegyzés</v>
      </c>
      <c r="V108" t="str">
        <f t="shared" si="19"/>
        <v>6000</v>
      </c>
      <c r="W108" t="str">
        <f t="shared" si="20"/>
        <v>6000</v>
      </c>
      <c r="X108" t="str">
        <f t="shared" si="21"/>
        <v>00</v>
      </c>
      <c r="Y108" t="str">
        <f t="shared" si="22"/>
        <v>600</v>
      </c>
      <c r="Z108" t="str">
        <f t="shared" si="33"/>
        <v>00</v>
      </c>
      <c r="AA108" t="str">
        <f t="shared" si="23"/>
        <v>600</v>
      </c>
      <c r="AB108" t="str">
        <f t="shared" si="24"/>
        <v>00</v>
      </c>
      <c r="AC108" t="str">
        <f t="shared" si="25"/>
        <v>6000</v>
      </c>
      <c r="AD108" t="str">
        <f t="shared" si="26"/>
        <v>000</v>
      </c>
      <c r="AE108" t="str">
        <f t="shared" si="27"/>
        <v>6000</v>
      </c>
      <c r="AF108" t="str">
        <f t="shared" si="28"/>
        <v>000</v>
      </c>
      <c r="AG108" t="str">
        <f t="shared" si="34"/>
        <v>60000</v>
      </c>
      <c r="AH108" t="str">
        <f t="shared" si="35"/>
        <v>0000</v>
      </c>
      <c r="AI108" t="str">
        <f t="shared" si="36"/>
        <v>60000</v>
      </c>
      <c r="AJ108" t="str">
        <f t="shared" si="37"/>
        <v>0000</v>
      </c>
    </row>
    <row r="109" spans="1:36" x14ac:dyDescent="0.25">
      <c r="A109" s="325">
        <f>Tervezés!B112</f>
        <v>0</v>
      </c>
      <c r="B109">
        <v>60</v>
      </c>
      <c r="C109">
        <f>Tervezés!E112</f>
        <v>0</v>
      </c>
      <c r="D109">
        <f>Tervezés!F112</f>
        <v>0</v>
      </c>
      <c r="E109">
        <f>Tervezés!H112</f>
        <v>0</v>
      </c>
      <c r="F109" t="str">
        <f t="shared" si="29"/>
        <v>0</v>
      </c>
      <c r="G109" t="str">
        <f t="shared" si="30"/>
        <v>0</v>
      </c>
      <c r="H109">
        <f>Tervezés!I112</f>
        <v>0</v>
      </c>
      <c r="I109">
        <f>Tervezés!J112</f>
        <v>0</v>
      </c>
      <c r="J109">
        <f>Tervezés!K112</f>
        <v>0</v>
      </c>
      <c r="K109">
        <f>Tervezés!L112</f>
        <v>0</v>
      </c>
      <c r="L109">
        <f>Tervezés!M112</f>
        <v>0</v>
      </c>
      <c r="M109" s="322" t="str">
        <f>IFERROR(VLOOKUP(A109,PAR!$D$3:$E$53,2,FALSE),"nincs szervezet")</f>
        <v>nincs szervezet</v>
      </c>
      <c r="N109" s="322" t="str">
        <f>VLOOKUP(F109,PAR!$R$3:$S$5,2,FALSE)</f>
        <v>3 - egyik sem</v>
      </c>
      <c r="O109" t="str">
        <f>IFERROR(VLOOKUP(J109,PAR!$O$3:$P$5,2,FALSE),"nincs feladat")</f>
        <v>nincs feladat</v>
      </c>
      <c r="P109" t="str">
        <f>IFERROR(VLOOKUP(G109,PAR!$J$2:$M$19,4),"nincs rovat")</f>
        <v>nincs rovat</v>
      </c>
      <c r="Q109" t="str">
        <f>IF(H109&gt;0,VLOOKUP(H109,PAR!$AA$3:$AC$187,3,FALSE),"nincs főkönyvi számla")</f>
        <v>nincs főkönyvi számla</v>
      </c>
      <c r="R109" t="str">
        <f>IFERROR(VLOOKUP(K109,PAR!$V$3:$X$438,3,FALSE),"000000 - Nincs COFOG")</f>
        <v>000000 - Nincs COFOG</v>
      </c>
      <c r="S109">
        <f t="shared" si="31"/>
        <v>0</v>
      </c>
      <c r="T109">
        <f t="shared" si="32"/>
        <v>0</v>
      </c>
      <c r="U109" t="str">
        <f>IF(Tervezés!F112&gt;0,CONCATENATE(Tervezés!E112," - ",Tervezés!F112,", ",Tervezés!J112),"nincs megjegyzés")</f>
        <v>nincs megjegyzés</v>
      </c>
      <c r="V109" t="str">
        <f t="shared" si="19"/>
        <v>6000</v>
      </c>
      <c r="W109" t="str">
        <f t="shared" si="20"/>
        <v>6000</v>
      </c>
      <c r="X109" t="str">
        <f t="shared" si="21"/>
        <v>00</v>
      </c>
      <c r="Y109" t="str">
        <f t="shared" si="22"/>
        <v>600</v>
      </c>
      <c r="Z109" t="str">
        <f t="shared" si="33"/>
        <v>00</v>
      </c>
      <c r="AA109" t="str">
        <f t="shared" si="23"/>
        <v>600</v>
      </c>
      <c r="AB109" t="str">
        <f t="shared" si="24"/>
        <v>00</v>
      </c>
      <c r="AC109" t="str">
        <f t="shared" si="25"/>
        <v>6000</v>
      </c>
      <c r="AD109" t="str">
        <f t="shared" si="26"/>
        <v>000</v>
      </c>
      <c r="AE109" t="str">
        <f t="shared" si="27"/>
        <v>6000</v>
      </c>
      <c r="AF109" t="str">
        <f t="shared" si="28"/>
        <v>000</v>
      </c>
      <c r="AG109" t="str">
        <f t="shared" si="34"/>
        <v>60000</v>
      </c>
      <c r="AH109" t="str">
        <f t="shared" si="35"/>
        <v>0000</v>
      </c>
      <c r="AI109" t="str">
        <f t="shared" si="36"/>
        <v>60000</v>
      </c>
      <c r="AJ109" t="str">
        <f t="shared" si="37"/>
        <v>0000</v>
      </c>
    </row>
    <row r="110" spans="1:36" x14ac:dyDescent="0.25">
      <c r="A110" s="325">
        <f>Tervezés!B113</f>
        <v>0</v>
      </c>
      <c r="B110">
        <v>60</v>
      </c>
      <c r="C110">
        <f>Tervezés!E113</f>
        <v>0</v>
      </c>
      <c r="D110">
        <f>Tervezés!F113</f>
        <v>0</v>
      </c>
      <c r="E110">
        <f>Tervezés!H113</f>
        <v>0</v>
      </c>
      <c r="F110" t="str">
        <f t="shared" si="29"/>
        <v>0</v>
      </c>
      <c r="G110" t="str">
        <f t="shared" si="30"/>
        <v>0</v>
      </c>
      <c r="H110">
        <f>Tervezés!I113</f>
        <v>0</v>
      </c>
      <c r="I110">
        <f>Tervezés!J113</f>
        <v>0</v>
      </c>
      <c r="J110">
        <f>Tervezés!K113</f>
        <v>0</v>
      </c>
      <c r="K110">
        <f>Tervezés!L113</f>
        <v>0</v>
      </c>
      <c r="L110">
        <f>Tervezés!M113</f>
        <v>0</v>
      </c>
      <c r="M110" s="322" t="str">
        <f>IFERROR(VLOOKUP(A110,PAR!$D$3:$E$53,2,FALSE),"nincs szervezet")</f>
        <v>nincs szervezet</v>
      </c>
      <c r="N110" s="322" t="str">
        <f>VLOOKUP(F110,PAR!$R$3:$S$5,2,FALSE)</f>
        <v>3 - egyik sem</v>
      </c>
      <c r="O110" t="str">
        <f>IFERROR(VLOOKUP(J110,PAR!$O$3:$P$5,2,FALSE),"nincs feladat")</f>
        <v>nincs feladat</v>
      </c>
      <c r="P110" t="str">
        <f>IFERROR(VLOOKUP(G110,PAR!$J$2:$M$19,4),"nincs rovat")</f>
        <v>nincs rovat</v>
      </c>
      <c r="Q110" t="str">
        <f>IF(H110&gt;0,VLOOKUP(H110,PAR!$AA$3:$AC$187,3,FALSE),"nincs főkönyvi számla")</f>
        <v>nincs főkönyvi számla</v>
      </c>
      <c r="R110" t="str">
        <f>IFERROR(VLOOKUP(K110,PAR!$V$3:$X$438,3,FALSE),"000000 - Nincs COFOG")</f>
        <v>000000 - Nincs COFOG</v>
      </c>
      <c r="S110">
        <f t="shared" si="31"/>
        <v>0</v>
      </c>
      <c r="T110">
        <f t="shared" si="32"/>
        <v>0</v>
      </c>
      <c r="U110" t="str">
        <f>IF(Tervezés!F113&gt;0,CONCATENATE(Tervezés!E113," - ",Tervezés!F113,", ",Tervezés!J113),"nincs megjegyzés")</f>
        <v>nincs megjegyzés</v>
      </c>
      <c r="V110" t="str">
        <f t="shared" si="19"/>
        <v>6000</v>
      </c>
      <c r="W110" t="str">
        <f t="shared" si="20"/>
        <v>6000</v>
      </c>
      <c r="X110" t="str">
        <f t="shared" si="21"/>
        <v>00</v>
      </c>
      <c r="Y110" t="str">
        <f t="shared" si="22"/>
        <v>600</v>
      </c>
      <c r="Z110" t="str">
        <f t="shared" si="33"/>
        <v>00</v>
      </c>
      <c r="AA110" t="str">
        <f t="shared" si="23"/>
        <v>600</v>
      </c>
      <c r="AB110" t="str">
        <f t="shared" si="24"/>
        <v>00</v>
      </c>
      <c r="AC110" t="str">
        <f t="shared" si="25"/>
        <v>6000</v>
      </c>
      <c r="AD110" t="str">
        <f t="shared" si="26"/>
        <v>000</v>
      </c>
      <c r="AE110" t="str">
        <f t="shared" si="27"/>
        <v>6000</v>
      </c>
      <c r="AF110" t="str">
        <f t="shared" si="28"/>
        <v>000</v>
      </c>
      <c r="AG110" t="str">
        <f t="shared" si="34"/>
        <v>60000</v>
      </c>
      <c r="AH110" t="str">
        <f t="shared" si="35"/>
        <v>0000</v>
      </c>
      <c r="AI110" t="str">
        <f t="shared" si="36"/>
        <v>60000</v>
      </c>
      <c r="AJ110" t="str">
        <f t="shared" si="37"/>
        <v>0000</v>
      </c>
    </row>
    <row r="111" spans="1:36" x14ac:dyDescent="0.25">
      <c r="A111" s="325">
        <f>Tervezés!B114</f>
        <v>0</v>
      </c>
      <c r="B111">
        <v>60</v>
      </c>
      <c r="C111">
        <f>Tervezés!E114</f>
        <v>0</v>
      </c>
      <c r="D111">
        <f>Tervezés!F114</f>
        <v>0</v>
      </c>
      <c r="E111">
        <f>Tervezés!H114</f>
        <v>0</v>
      </c>
      <c r="F111" t="str">
        <f t="shared" si="29"/>
        <v>0</v>
      </c>
      <c r="G111" t="str">
        <f t="shared" si="30"/>
        <v>0</v>
      </c>
      <c r="H111">
        <f>Tervezés!I114</f>
        <v>0</v>
      </c>
      <c r="I111">
        <f>Tervezés!J114</f>
        <v>0</v>
      </c>
      <c r="J111">
        <f>Tervezés!K114</f>
        <v>0</v>
      </c>
      <c r="K111">
        <f>Tervezés!L114</f>
        <v>0</v>
      </c>
      <c r="L111">
        <f>Tervezés!M114</f>
        <v>0</v>
      </c>
      <c r="M111" s="322" t="str">
        <f>IFERROR(VLOOKUP(A111,PAR!$D$3:$E$53,2,FALSE),"nincs szervezet")</f>
        <v>nincs szervezet</v>
      </c>
      <c r="N111" s="322" t="str">
        <f>VLOOKUP(F111,PAR!$R$3:$S$5,2,FALSE)</f>
        <v>3 - egyik sem</v>
      </c>
      <c r="O111" t="str">
        <f>IFERROR(VLOOKUP(J111,PAR!$O$3:$P$5,2,FALSE),"nincs feladat")</f>
        <v>nincs feladat</v>
      </c>
      <c r="P111" t="str">
        <f>IFERROR(VLOOKUP(G111,PAR!$J$2:$M$19,4),"nincs rovat")</f>
        <v>nincs rovat</v>
      </c>
      <c r="Q111" t="str">
        <f>IF(H111&gt;0,VLOOKUP(H111,PAR!$AA$3:$AC$187,3,FALSE),"nincs főkönyvi számla")</f>
        <v>nincs főkönyvi számla</v>
      </c>
      <c r="R111" t="str">
        <f>IFERROR(VLOOKUP(K111,PAR!$V$3:$X$438,3,FALSE),"000000 - Nincs COFOG")</f>
        <v>000000 - Nincs COFOG</v>
      </c>
      <c r="S111">
        <f t="shared" si="31"/>
        <v>0</v>
      </c>
      <c r="T111">
        <f t="shared" si="32"/>
        <v>0</v>
      </c>
      <c r="U111" t="str">
        <f>IF(Tervezés!F114&gt;0,CONCATENATE(Tervezés!E114," - ",Tervezés!F114,", ",Tervezés!J114),"nincs megjegyzés")</f>
        <v>nincs megjegyzés</v>
      </c>
      <c r="V111" t="str">
        <f t="shared" si="19"/>
        <v>6000</v>
      </c>
      <c r="W111" t="str">
        <f t="shared" si="20"/>
        <v>6000</v>
      </c>
      <c r="X111" t="str">
        <f t="shared" si="21"/>
        <v>00</v>
      </c>
      <c r="Y111" t="str">
        <f t="shared" si="22"/>
        <v>600</v>
      </c>
      <c r="Z111" t="str">
        <f t="shared" si="33"/>
        <v>00</v>
      </c>
      <c r="AA111" t="str">
        <f t="shared" si="23"/>
        <v>600</v>
      </c>
      <c r="AB111" t="str">
        <f t="shared" si="24"/>
        <v>00</v>
      </c>
      <c r="AC111" t="str">
        <f t="shared" si="25"/>
        <v>6000</v>
      </c>
      <c r="AD111" t="str">
        <f t="shared" si="26"/>
        <v>000</v>
      </c>
      <c r="AE111" t="str">
        <f t="shared" si="27"/>
        <v>6000</v>
      </c>
      <c r="AF111" t="str">
        <f t="shared" si="28"/>
        <v>000</v>
      </c>
      <c r="AG111" t="str">
        <f t="shared" si="34"/>
        <v>60000</v>
      </c>
      <c r="AH111" t="str">
        <f t="shared" si="35"/>
        <v>0000</v>
      </c>
      <c r="AI111" t="str">
        <f t="shared" si="36"/>
        <v>60000</v>
      </c>
      <c r="AJ111" t="str">
        <f t="shared" si="37"/>
        <v>0000</v>
      </c>
    </row>
    <row r="112" spans="1:36" x14ac:dyDescent="0.25">
      <c r="A112" s="325">
        <f>Tervezés!B115</f>
        <v>0</v>
      </c>
      <c r="B112">
        <v>60</v>
      </c>
      <c r="C112">
        <f>Tervezés!E115</f>
        <v>0</v>
      </c>
      <c r="D112">
        <f>Tervezés!F115</f>
        <v>0</v>
      </c>
      <c r="E112">
        <f>Tervezés!H115</f>
        <v>0</v>
      </c>
      <c r="F112" t="str">
        <f t="shared" si="29"/>
        <v>0</v>
      </c>
      <c r="G112" t="str">
        <f t="shared" si="30"/>
        <v>0</v>
      </c>
      <c r="H112">
        <f>Tervezés!I115</f>
        <v>0</v>
      </c>
      <c r="I112">
        <f>Tervezés!J115</f>
        <v>0</v>
      </c>
      <c r="J112">
        <f>Tervezés!K115</f>
        <v>0</v>
      </c>
      <c r="K112">
        <f>Tervezés!L115</f>
        <v>0</v>
      </c>
      <c r="L112">
        <f>Tervezés!M115</f>
        <v>0</v>
      </c>
      <c r="M112" s="322" t="str">
        <f>IFERROR(VLOOKUP(A112,PAR!$D$3:$E$53,2,FALSE),"nincs szervezet")</f>
        <v>nincs szervezet</v>
      </c>
      <c r="N112" s="322" t="str">
        <f>VLOOKUP(F112,PAR!$R$3:$S$5,2,FALSE)</f>
        <v>3 - egyik sem</v>
      </c>
      <c r="O112" t="str">
        <f>IFERROR(VLOOKUP(J112,PAR!$O$3:$P$5,2,FALSE),"nincs feladat")</f>
        <v>nincs feladat</v>
      </c>
      <c r="P112" t="str">
        <f>IFERROR(VLOOKUP(G112,PAR!$J$2:$M$19,4),"nincs rovat")</f>
        <v>nincs rovat</v>
      </c>
      <c r="Q112" t="str">
        <f>IF(H112&gt;0,VLOOKUP(H112,PAR!$AA$3:$AC$187,3,FALSE),"nincs főkönyvi számla")</f>
        <v>nincs főkönyvi számla</v>
      </c>
      <c r="R112" t="str">
        <f>IFERROR(VLOOKUP(K112,PAR!$V$3:$X$438,3,FALSE),"000000 - Nincs COFOG")</f>
        <v>000000 - Nincs COFOG</v>
      </c>
      <c r="S112">
        <f t="shared" si="31"/>
        <v>0</v>
      </c>
      <c r="T112">
        <f t="shared" si="32"/>
        <v>0</v>
      </c>
      <c r="U112" t="str">
        <f>IF(Tervezés!F115&gt;0,CONCATENATE(Tervezés!E115," - ",Tervezés!F115,", ",Tervezés!J115),"nincs megjegyzés")</f>
        <v>nincs megjegyzés</v>
      </c>
      <c r="V112" t="str">
        <f t="shared" si="19"/>
        <v>6000</v>
      </c>
      <c r="W112" t="str">
        <f t="shared" si="20"/>
        <v>6000</v>
      </c>
      <c r="X112" t="str">
        <f t="shared" si="21"/>
        <v>00</v>
      </c>
      <c r="Y112" t="str">
        <f t="shared" si="22"/>
        <v>600</v>
      </c>
      <c r="Z112" t="str">
        <f t="shared" si="33"/>
        <v>00</v>
      </c>
      <c r="AA112" t="str">
        <f t="shared" si="23"/>
        <v>600</v>
      </c>
      <c r="AB112" t="str">
        <f t="shared" si="24"/>
        <v>00</v>
      </c>
      <c r="AC112" t="str">
        <f t="shared" si="25"/>
        <v>6000</v>
      </c>
      <c r="AD112" t="str">
        <f t="shared" si="26"/>
        <v>000</v>
      </c>
      <c r="AE112" t="str">
        <f t="shared" si="27"/>
        <v>6000</v>
      </c>
      <c r="AF112" t="str">
        <f t="shared" si="28"/>
        <v>000</v>
      </c>
      <c r="AG112" t="str">
        <f t="shared" si="34"/>
        <v>60000</v>
      </c>
      <c r="AH112" t="str">
        <f t="shared" si="35"/>
        <v>0000</v>
      </c>
      <c r="AI112" t="str">
        <f t="shared" si="36"/>
        <v>60000</v>
      </c>
      <c r="AJ112" t="str">
        <f t="shared" si="37"/>
        <v>0000</v>
      </c>
    </row>
    <row r="113" spans="1:36" x14ac:dyDescent="0.25">
      <c r="A113" s="325">
        <f>Tervezés!B116</f>
        <v>0</v>
      </c>
      <c r="B113">
        <v>60</v>
      </c>
      <c r="C113">
        <f>Tervezés!E116</f>
        <v>0</v>
      </c>
      <c r="D113">
        <f>Tervezés!F116</f>
        <v>0</v>
      </c>
      <c r="E113">
        <f>Tervezés!H116</f>
        <v>0</v>
      </c>
      <c r="F113" t="str">
        <f t="shared" si="29"/>
        <v>0</v>
      </c>
      <c r="G113" t="str">
        <f t="shared" si="30"/>
        <v>0</v>
      </c>
      <c r="H113">
        <f>Tervezés!I116</f>
        <v>0</v>
      </c>
      <c r="I113">
        <f>Tervezés!J116</f>
        <v>0</v>
      </c>
      <c r="J113">
        <f>Tervezés!K116</f>
        <v>0</v>
      </c>
      <c r="K113">
        <f>Tervezés!L116</f>
        <v>0</v>
      </c>
      <c r="L113">
        <f>Tervezés!M116</f>
        <v>0</v>
      </c>
      <c r="M113" s="322" t="str">
        <f>IFERROR(VLOOKUP(A113,PAR!$D$3:$E$53,2,FALSE),"nincs szervezet")</f>
        <v>nincs szervezet</v>
      </c>
      <c r="N113" s="322" t="str">
        <f>VLOOKUP(F113,PAR!$R$3:$S$5,2,FALSE)</f>
        <v>3 - egyik sem</v>
      </c>
      <c r="O113" t="str">
        <f>IFERROR(VLOOKUP(J113,PAR!$O$3:$P$5,2,FALSE),"nincs feladat")</f>
        <v>nincs feladat</v>
      </c>
      <c r="P113" t="str">
        <f>IFERROR(VLOOKUP(G113,PAR!$J$2:$M$19,4),"nincs rovat")</f>
        <v>nincs rovat</v>
      </c>
      <c r="Q113" t="str">
        <f>IF(H113&gt;0,VLOOKUP(H113,PAR!$AA$3:$AC$187,3,FALSE),"nincs főkönyvi számla")</f>
        <v>nincs főkönyvi számla</v>
      </c>
      <c r="R113" t="str">
        <f>IFERROR(VLOOKUP(K113,PAR!$V$3:$X$438,3,FALSE),"000000 - Nincs COFOG")</f>
        <v>000000 - Nincs COFOG</v>
      </c>
      <c r="S113">
        <f t="shared" si="31"/>
        <v>0</v>
      </c>
      <c r="T113">
        <f t="shared" si="32"/>
        <v>0</v>
      </c>
      <c r="U113" t="str">
        <f>IF(Tervezés!F116&gt;0,CONCATENATE(Tervezés!E116," - ",Tervezés!F116,", ",Tervezés!J116),"nincs megjegyzés")</f>
        <v>nincs megjegyzés</v>
      </c>
      <c r="V113" t="str">
        <f t="shared" si="19"/>
        <v>6000</v>
      </c>
      <c r="W113" t="str">
        <f t="shared" si="20"/>
        <v>6000</v>
      </c>
      <c r="X113" t="str">
        <f t="shared" si="21"/>
        <v>00</v>
      </c>
      <c r="Y113" t="str">
        <f t="shared" si="22"/>
        <v>600</v>
      </c>
      <c r="Z113" t="str">
        <f t="shared" si="33"/>
        <v>00</v>
      </c>
      <c r="AA113" t="str">
        <f t="shared" si="23"/>
        <v>600</v>
      </c>
      <c r="AB113" t="str">
        <f t="shared" si="24"/>
        <v>00</v>
      </c>
      <c r="AC113" t="str">
        <f t="shared" si="25"/>
        <v>6000</v>
      </c>
      <c r="AD113" t="str">
        <f t="shared" si="26"/>
        <v>000</v>
      </c>
      <c r="AE113" t="str">
        <f t="shared" si="27"/>
        <v>6000</v>
      </c>
      <c r="AF113" t="str">
        <f t="shared" si="28"/>
        <v>000</v>
      </c>
      <c r="AG113" t="str">
        <f t="shared" si="34"/>
        <v>60000</v>
      </c>
      <c r="AH113" t="str">
        <f t="shared" si="35"/>
        <v>0000</v>
      </c>
      <c r="AI113" t="str">
        <f t="shared" si="36"/>
        <v>60000</v>
      </c>
      <c r="AJ113" t="str">
        <f t="shared" si="37"/>
        <v>0000</v>
      </c>
    </row>
    <row r="114" spans="1:36" x14ac:dyDescent="0.25">
      <c r="A114" s="325">
        <f>Tervezés!B117</f>
        <v>0</v>
      </c>
      <c r="B114">
        <v>60</v>
      </c>
      <c r="C114">
        <f>Tervezés!E117</f>
        <v>0</v>
      </c>
      <c r="D114">
        <f>Tervezés!F117</f>
        <v>0</v>
      </c>
      <c r="E114">
        <f>Tervezés!H117</f>
        <v>0</v>
      </c>
      <c r="F114" t="str">
        <f t="shared" si="29"/>
        <v>0</v>
      </c>
      <c r="G114" t="str">
        <f t="shared" si="30"/>
        <v>0</v>
      </c>
      <c r="H114">
        <f>Tervezés!I117</f>
        <v>0</v>
      </c>
      <c r="I114">
        <f>Tervezés!J117</f>
        <v>0</v>
      </c>
      <c r="J114">
        <f>Tervezés!K117</f>
        <v>0</v>
      </c>
      <c r="K114">
        <f>Tervezés!L117</f>
        <v>0</v>
      </c>
      <c r="L114">
        <f>Tervezés!M117</f>
        <v>0</v>
      </c>
      <c r="M114" s="322" t="str">
        <f>IFERROR(VLOOKUP(A114,PAR!$D$3:$E$53,2,FALSE),"nincs szervezet")</f>
        <v>nincs szervezet</v>
      </c>
      <c r="N114" s="322" t="str">
        <f>VLOOKUP(F114,PAR!$R$3:$S$5,2,FALSE)</f>
        <v>3 - egyik sem</v>
      </c>
      <c r="O114" t="str">
        <f>IFERROR(VLOOKUP(J114,PAR!$O$3:$P$5,2,FALSE),"nincs feladat")</f>
        <v>nincs feladat</v>
      </c>
      <c r="P114" t="str">
        <f>IFERROR(VLOOKUP(G114,PAR!$J$2:$M$19,4),"nincs rovat")</f>
        <v>nincs rovat</v>
      </c>
      <c r="Q114" t="str">
        <f>IF(H114&gt;0,VLOOKUP(H114,PAR!$AA$3:$AC$187,3,FALSE),"nincs főkönyvi számla")</f>
        <v>nincs főkönyvi számla</v>
      </c>
      <c r="R114" t="str">
        <f>IFERROR(VLOOKUP(K114,PAR!$V$3:$X$438,3,FALSE),"000000 - Nincs COFOG")</f>
        <v>000000 - Nincs COFOG</v>
      </c>
      <c r="S114">
        <f t="shared" si="31"/>
        <v>0</v>
      </c>
      <c r="T114">
        <f t="shared" si="32"/>
        <v>0</v>
      </c>
      <c r="U114" t="str">
        <f>IF(Tervezés!F117&gt;0,CONCATENATE(Tervezés!E117," - ",Tervezés!F117,", ",Tervezés!J117),"nincs megjegyzés")</f>
        <v>nincs megjegyzés</v>
      </c>
      <c r="V114" t="str">
        <f t="shared" si="19"/>
        <v>6000</v>
      </c>
      <c r="W114" t="str">
        <f t="shared" si="20"/>
        <v>6000</v>
      </c>
      <c r="X114" t="str">
        <f t="shared" si="21"/>
        <v>00</v>
      </c>
      <c r="Y114" t="str">
        <f t="shared" si="22"/>
        <v>600</v>
      </c>
      <c r="Z114" t="str">
        <f t="shared" si="33"/>
        <v>00</v>
      </c>
      <c r="AA114" t="str">
        <f t="shared" si="23"/>
        <v>600</v>
      </c>
      <c r="AB114" t="str">
        <f t="shared" si="24"/>
        <v>00</v>
      </c>
      <c r="AC114" t="str">
        <f t="shared" si="25"/>
        <v>6000</v>
      </c>
      <c r="AD114" t="str">
        <f t="shared" si="26"/>
        <v>000</v>
      </c>
      <c r="AE114" t="str">
        <f t="shared" si="27"/>
        <v>6000</v>
      </c>
      <c r="AF114" t="str">
        <f t="shared" si="28"/>
        <v>000</v>
      </c>
      <c r="AG114" t="str">
        <f t="shared" si="34"/>
        <v>60000</v>
      </c>
      <c r="AH114" t="str">
        <f t="shared" si="35"/>
        <v>0000</v>
      </c>
      <c r="AI114" t="str">
        <f t="shared" si="36"/>
        <v>60000</v>
      </c>
      <c r="AJ114" t="str">
        <f t="shared" si="37"/>
        <v>0000</v>
      </c>
    </row>
    <row r="115" spans="1:36" x14ac:dyDescent="0.25">
      <c r="A115" s="325">
        <f>Tervezés!B118</f>
        <v>0</v>
      </c>
      <c r="B115">
        <v>60</v>
      </c>
      <c r="C115">
        <f>Tervezés!E118</f>
        <v>0</v>
      </c>
      <c r="D115">
        <f>Tervezés!F118</f>
        <v>0</v>
      </c>
      <c r="E115">
        <f>Tervezés!H118</f>
        <v>0</v>
      </c>
      <c r="F115" t="str">
        <f t="shared" si="29"/>
        <v>0</v>
      </c>
      <c r="G115" t="str">
        <f t="shared" si="30"/>
        <v>0</v>
      </c>
      <c r="H115">
        <f>Tervezés!I118</f>
        <v>0</v>
      </c>
      <c r="I115">
        <f>Tervezés!J118</f>
        <v>0</v>
      </c>
      <c r="J115">
        <f>Tervezés!K118</f>
        <v>0</v>
      </c>
      <c r="K115">
        <f>Tervezés!L118</f>
        <v>0</v>
      </c>
      <c r="L115">
        <f>Tervezés!M118</f>
        <v>0</v>
      </c>
      <c r="M115" s="322" t="str">
        <f>IFERROR(VLOOKUP(A115,PAR!$D$3:$E$53,2,FALSE),"nincs szervezet")</f>
        <v>nincs szervezet</v>
      </c>
      <c r="N115" s="322" t="str">
        <f>VLOOKUP(F115,PAR!$R$3:$S$5,2,FALSE)</f>
        <v>3 - egyik sem</v>
      </c>
      <c r="O115" t="str">
        <f>IFERROR(VLOOKUP(J115,PAR!$O$3:$P$5,2,FALSE),"nincs feladat")</f>
        <v>nincs feladat</v>
      </c>
      <c r="P115" t="str">
        <f>IFERROR(VLOOKUP(G115,PAR!$J$2:$M$19,4),"nincs rovat")</f>
        <v>nincs rovat</v>
      </c>
      <c r="Q115" t="str">
        <f>IF(H115&gt;0,VLOOKUP(H115,PAR!$AA$3:$AC$187,3,FALSE),"nincs főkönyvi számla")</f>
        <v>nincs főkönyvi számla</v>
      </c>
      <c r="R115" t="str">
        <f>IFERROR(VLOOKUP(K115,PAR!$V$3:$X$438,3,FALSE),"000000 - Nincs COFOG")</f>
        <v>000000 - Nincs COFOG</v>
      </c>
      <c r="S115">
        <f t="shared" si="31"/>
        <v>0</v>
      </c>
      <c r="T115">
        <f t="shared" si="32"/>
        <v>0</v>
      </c>
      <c r="U115" t="str">
        <f>IF(Tervezés!F118&gt;0,CONCATENATE(Tervezés!E118," - ",Tervezés!F118,", ",Tervezés!J118),"nincs megjegyzés")</f>
        <v>nincs megjegyzés</v>
      </c>
      <c r="V115" t="str">
        <f t="shared" si="19"/>
        <v>6000</v>
      </c>
      <c r="W115" t="str">
        <f t="shared" si="20"/>
        <v>6000</v>
      </c>
      <c r="X115" t="str">
        <f t="shared" si="21"/>
        <v>00</v>
      </c>
      <c r="Y115" t="str">
        <f t="shared" si="22"/>
        <v>600</v>
      </c>
      <c r="Z115" t="str">
        <f t="shared" si="33"/>
        <v>00</v>
      </c>
      <c r="AA115" t="str">
        <f t="shared" si="23"/>
        <v>600</v>
      </c>
      <c r="AB115" t="str">
        <f t="shared" si="24"/>
        <v>00</v>
      </c>
      <c r="AC115" t="str">
        <f t="shared" si="25"/>
        <v>6000</v>
      </c>
      <c r="AD115" t="str">
        <f t="shared" si="26"/>
        <v>000</v>
      </c>
      <c r="AE115" t="str">
        <f t="shared" si="27"/>
        <v>6000</v>
      </c>
      <c r="AF115" t="str">
        <f t="shared" si="28"/>
        <v>000</v>
      </c>
      <c r="AG115" t="str">
        <f t="shared" si="34"/>
        <v>60000</v>
      </c>
      <c r="AH115" t="str">
        <f t="shared" si="35"/>
        <v>0000</v>
      </c>
      <c r="AI115" t="str">
        <f t="shared" si="36"/>
        <v>60000</v>
      </c>
      <c r="AJ115" t="str">
        <f t="shared" si="37"/>
        <v>0000</v>
      </c>
    </row>
    <row r="116" spans="1:36" x14ac:dyDescent="0.25">
      <c r="A116" s="325">
        <f>Tervezés!B119</f>
        <v>0</v>
      </c>
      <c r="B116">
        <v>60</v>
      </c>
      <c r="C116">
        <f>Tervezés!E119</f>
        <v>0</v>
      </c>
      <c r="D116">
        <f>Tervezés!F119</f>
        <v>0</v>
      </c>
      <c r="E116">
        <f>Tervezés!H119</f>
        <v>0</v>
      </c>
      <c r="F116" t="str">
        <f t="shared" si="29"/>
        <v>0</v>
      </c>
      <c r="G116" t="str">
        <f t="shared" si="30"/>
        <v>0</v>
      </c>
      <c r="H116">
        <f>Tervezés!I119</f>
        <v>0</v>
      </c>
      <c r="I116">
        <f>Tervezés!J119</f>
        <v>0</v>
      </c>
      <c r="J116">
        <f>Tervezés!K119</f>
        <v>0</v>
      </c>
      <c r="K116">
        <f>Tervezés!L119</f>
        <v>0</v>
      </c>
      <c r="L116">
        <f>Tervezés!M119</f>
        <v>0</v>
      </c>
      <c r="M116" s="322" t="str">
        <f>IFERROR(VLOOKUP(A116,PAR!$D$3:$E$53,2,FALSE),"nincs szervezet")</f>
        <v>nincs szervezet</v>
      </c>
      <c r="N116" s="322" t="str">
        <f>VLOOKUP(F116,PAR!$R$3:$S$5,2,FALSE)</f>
        <v>3 - egyik sem</v>
      </c>
      <c r="O116" t="str">
        <f>IFERROR(VLOOKUP(J116,PAR!$O$3:$P$5,2,FALSE),"nincs feladat")</f>
        <v>nincs feladat</v>
      </c>
      <c r="P116" t="str">
        <f>IFERROR(VLOOKUP(G116,PAR!$J$2:$M$19,4),"nincs rovat")</f>
        <v>nincs rovat</v>
      </c>
      <c r="Q116" t="str">
        <f>IF(H116&gt;0,VLOOKUP(H116,PAR!$AA$3:$AC$187,3,FALSE),"nincs főkönyvi számla")</f>
        <v>nincs főkönyvi számla</v>
      </c>
      <c r="R116" t="str">
        <f>IFERROR(VLOOKUP(K116,PAR!$V$3:$X$438,3,FALSE),"000000 - Nincs COFOG")</f>
        <v>000000 - Nincs COFOG</v>
      </c>
      <c r="S116">
        <f t="shared" si="31"/>
        <v>0</v>
      </c>
      <c r="T116">
        <f t="shared" si="32"/>
        <v>0</v>
      </c>
      <c r="U116" t="str">
        <f>IF(Tervezés!F119&gt;0,CONCATENATE(Tervezés!E119," - ",Tervezés!F119,", ",Tervezés!J119),"nincs megjegyzés")</f>
        <v>nincs megjegyzés</v>
      </c>
      <c r="V116" t="str">
        <f t="shared" si="19"/>
        <v>6000</v>
      </c>
      <c r="W116" t="str">
        <f t="shared" si="20"/>
        <v>6000</v>
      </c>
      <c r="X116" t="str">
        <f t="shared" si="21"/>
        <v>00</v>
      </c>
      <c r="Y116" t="str">
        <f t="shared" si="22"/>
        <v>600</v>
      </c>
      <c r="Z116" t="str">
        <f t="shared" si="33"/>
        <v>00</v>
      </c>
      <c r="AA116" t="str">
        <f t="shared" si="23"/>
        <v>600</v>
      </c>
      <c r="AB116" t="str">
        <f t="shared" si="24"/>
        <v>00</v>
      </c>
      <c r="AC116" t="str">
        <f t="shared" si="25"/>
        <v>6000</v>
      </c>
      <c r="AD116" t="str">
        <f t="shared" si="26"/>
        <v>000</v>
      </c>
      <c r="AE116" t="str">
        <f t="shared" si="27"/>
        <v>6000</v>
      </c>
      <c r="AF116" t="str">
        <f t="shared" si="28"/>
        <v>000</v>
      </c>
      <c r="AG116" t="str">
        <f t="shared" si="34"/>
        <v>60000</v>
      </c>
      <c r="AH116" t="str">
        <f t="shared" si="35"/>
        <v>0000</v>
      </c>
      <c r="AI116" t="str">
        <f t="shared" si="36"/>
        <v>60000</v>
      </c>
      <c r="AJ116" t="str">
        <f t="shared" si="37"/>
        <v>0000</v>
      </c>
    </row>
    <row r="117" spans="1:36" x14ac:dyDescent="0.25">
      <c r="A117" s="325">
        <f>Tervezés!B120</f>
        <v>0</v>
      </c>
      <c r="B117">
        <v>60</v>
      </c>
      <c r="C117">
        <f>Tervezés!E120</f>
        <v>0</v>
      </c>
      <c r="D117">
        <f>Tervezés!F120</f>
        <v>0</v>
      </c>
      <c r="E117">
        <f>Tervezés!H120</f>
        <v>0</v>
      </c>
      <c r="F117" t="str">
        <f t="shared" si="29"/>
        <v>0</v>
      </c>
      <c r="G117" t="str">
        <f t="shared" si="30"/>
        <v>0</v>
      </c>
      <c r="H117">
        <f>Tervezés!I120</f>
        <v>0</v>
      </c>
      <c r="I117">
        <f>Tervezés!J120</f>
        <v>0</v>
      </c>
      <c r="J117">
        <f>Tervezés!K120</f>
        <v>0</v>
      </c>
      <c r="K117">
        <f>Tervezés!L120</f>
        <v>0</v>
      </c>
      <c r="L117">
        <f>Tervezés!M120</f>
        <v>0</v>
      </c>
      <c r="M117" s="322" t="str">
        <f>IFERROR(VLOOKUP(A117,PAR!$D$3:$E$53,2,FALSE),"nincs szervezet")</f>
        <v>nincs szervezet</v>
      </c>
      <c r="N117" s="322" t="str">
        <f>VLOOKUP(F117,PAR!$R$3:$S$5,2,FALSE)</f>
        <v>3 - egyik sem</v>
      </c>
      <c r="O117" t="str">
        <f>IFERROR(VLOOKUP(J117,PAR!$O$3:$P$5,2,FALSE),"nincs feladat")</f>
        <v>nincs feladat</v>
      </c>
      <c r="P117" t="str">
        <f>IFERROR(VLOOKUP(G117,PAR!$J$2:$M$19,4),"nincs rovat")</f>
        <v>nincs rovat</v>
      </c>
      <c r="Q117" t="str">
        <f>IF(H117&gt;0,VLOOKUP(H117,PAR!$AA$3:$AC$187,3,FALSE),"nincs főkönyvi számla")</f>
        <v>nincs főkönyvi számla</v>
      </c>
      <c r="R117" t="str">
        <f>IFERROR(VLOOKUP(K117,PAR!$V$3:$X$438,3,FALSE),"000000 - Nincs COFOG")</f>
        <v>000000 - Nincs COFOG</v>
      </c>
      <c r="S117">
        <f t="shared" si="31"/>
        <v>0</v>
      </c>
      <c r="T117">
        <f t="shared" si="32"/>
        <v>0</v>
      </c>
      <c r="U117" t="str">
        <f>IF(Tervezés!F120&gt;0,CONCATENATE(Tervezés!E120," - ",Tervezés!F120,", ",Tervezés!J120),"nincs megjegyzés")</f>
        <v>nincs megjegyzés</v>
      </c>
      <c r="V117" t="str">
        <f t="shared" si="19"/>
        <v>6000</v>
      </c>
      <c r="W117" t="str">
        <f t="shared" si="20"/>
        <v>6000</v>
      </c>
      <c r="X117" t="str">
        <f t="shared" si="21"/>
        <v>00</v>
      </c>
      <c r="Y117" t="str">
        <f t="shared" si="22"/>
        <v>600</v>
      </c>
      <c r="Z117" t="str">
        <f t="shared" si="33"/>
        <v>00</v>
      </c>
      <c r="AA117" t="str">
        <f t="shared" si="23"/>
        <v>600</v>
      </c>
      <c r="AB117" t="str">
        <f t="shared" si="24"/>
        <v>00</v>
      </c>
      <c r="AC117" t="str">
        <f t="shared" si="25"/>
        <v>6000</v>
      </c>
      <c r="AD117" t="str">
        <f t="shared" si="26"/>
        <v>000</v>
      </c>
      <c r="AE117" t="str">
        <f t="shared" si="27"/>
        <v>6000</v>
      </c>
      <c r="AF117" t="str">
        <f t="shared" si="28"/>
        <v>000</v>
      </c>
      <c r="AG117" t="str">
        <f t="shared" si="34"/>
        <v>60000</v>
      </c>
      <c r="AH117" t="str">
        <f t="shared" si="35"/>
        <v>0000</v>
      </c>
      <c r="AI117" t="str">
        <f t="shared" si="36"/>
        <v>60000</v>
      </c>
      <c r="AJ117" t="str">
        <f t="shared" si="37"/>
        <v>0000</v>
      </c>
    </row>
    <row r="118" spans="1:36" x14ac:dyDescent="0.25">
      <c r="A118" s="325">
        <f>Tervezés!B121</f>
        <v>0</v>
      </c>
      <c r="B118">
        <v>60</v>
      </c>
      <c r="C118">
        <f>Tervezés!E121</f>
        <v>0</v>
      </c>
      <c r="D118">
        <f>Tervezés!F121</f>
        <v>0</v>
      </c>
      <c r="E118">
        <f>Tervezés!H121</f>
        <v>0</v>
      </c>
      <c r="F118" t="str">
        <f t="shared" si="29"/>
        <v>0</v>
      </c>
      <c r="G118" t="str">
        <f t="shared" si="30"/>
        <v>0</v>
      </c>
      <c r="H118">
        <f>Tervezés!I121</f>
        <v>0</v>
      </c>
      <c r="I118">
        <f>Tervezés!J121</f>
        <v>0</v>
      </c>
      <c r="J118">
        <f>Tervezés!K121</f>
        <v>0</v>
      </c>
      <c r="K118">
        <f>Tervezés!L121</f>
        <v>0</v>
      </c>
      <c r="L118">
        <f>Tervezés!M121</f>
        <v>0</v>
      </c>
      <c r="M118" s="322" t="str">
        <f>IFERROR(VLOOKUP(A118,PAR!$D$3:$E$53,2,FALSE),"nincs szervezet")</f>
        <v>nincs szervezet</v>
      </c>
      <c r="N118" s="322" t="str">
        <f>VLOOKUP(F118,PAR!$R$3:$S$5,2,FALSE)</f>
        <v>3 - egyik sem</v>
      </c>
      <c r="O118" t="str">
        <f>IFERROR(VLOOKUP(J118,PAR!$O$3:$P$5,2,FALSE),"nincs feladat")</f>
        <v>nincs feladat</v>
      </c>
      <c r="P118" t="str">
        <f>IFERROR(VLOOKUP(G118,PAR!$J$2:$M$19,4),"nincs rovat")</f>
        <v>nincs rovat</v>
      </c>
      <c r="Q118" t="str">
        <f>IF(H118&gt;0,VLOOKUP(H118,PAR!$AA$3:$AC$187,3,FALSE),"nincs főkönyvi számla")</f>
        <v>nincs főkönyvi számla</v>
      </c>
      <c r="R118" t="str">
        <f>IFERROR(VLOOKUP(K118,PAR!$V$3:$X$438,3,FALSE),"000000 - Nincs COFOG")</f>
        <v>000000 - Nincs COFOG</v>
      </c>
      <c r="S118">
        <f t="shared" si="31"/>
        <v>0</v>
      </c>
      <c r="T118">
        <f t="shared" si="32"/>
        <v>0</v>
      </c>
      <c r="U118" t="str">
        <f>IF(Tervezés!F121&gt;0,CONCATENATE(Tervezés!E121," - ",Tervezés!F121,", ",Tervezés!J121),"nincs megjegyzés")</f>
        <v>nincs megjegyzés</v>
      </c>
      <c r="V118" t="str">
        <f t="shared" si="19"/>
        <v>6000</v>
      </c>
      <c r="W118" t="str">
        <f t="shared" si="20"/>
        <v>6000</v>
      </c>
      <c r="X118" t="str">
        <f t="shared" si="21"/>
        <v>00</v>
      </c>
      <c r="Y118" t="str">
        <f t="shared" si="22"/>
        <v>600</v>
      </c>
      <c r="Z118" t="str">
        <f t="shared" si="33"/>
        <v>00</v>
      </c>
      <c r="AA118" t="str">
        <f t="shared" si="23"/>
        <v>600</v>
      </c>
      <c r="AB118" t="str">
        <f t="shared" si="24"/>
        <v>00</v>
      </c>
      <c r="AC118" t="str">
        <f t="shared" si="25"/>
        <v>6000</v>
      </c>
      <c r="AD118" t="str">
        <f t="shared" si="26"/>
        <v>000</v>
      </c>
      <c r="AE118" t="str">
        <f t="shared" si="27"/>
        <v>6000</v>
      </c>
      <c r="AF118" t="str">
        <f t="shared" si="28"/>
        <v>000</v>
      </c>
      <c r="AG118" t="str">
        <f t="shared" si="34"/>
        <v>60000</v>
      </c>
      <c r="AH118" t="str">
        <f t="shared" si="35"/>
        <v>0000</v>
      </c>
      <c r="AI118" t="str">
        <f t="shared" si="36"/>
        <v>60000</v>
      </c>
      <c r="AJ118" t="str">
        <f t="shared" si="37"/>
        <v>0000</v>
      </c>
    </row>
    <row r="119" spans="1:36" x14ac:dyDescent="0.25">
      <c r="A119" s="325">
        <f>Tervezés!B122</f>
        <v>0</v>
      </c>
      <c r="B119">
        <v>60</v>
      </c>
      <c r="C119">
        <f>Tervezés!E122</f>
        <v>0</v>
      </c>
      <c r="D119">
        <f>Tervezés!F122</f>
        <v>0</v>
      </c>
      <c r="E119">
        <f>Tervezés!H122</f>
        <v>0</v>
      </c>
      <c r="F119" t="str">
        <f t="shared" si="29"/>
        <v>0</v>
      </c>
      <c r="G119" t="str">
        <f t="shared" si="30"/>
        <v>0</v>
      </c>
      <c r="H119">
        <f>Tervezés!I122</f>
        <v>0</v>
      </c>
      <c r="I119">
        <f>Tervezés!J122</f>
        <v>0</v>
      </c>
      <c r="J119">
        <f>Tervezés!K122</f>
        <v>0</v>
      </c>
      <c r="K119">
        <f>Tervezés!L122</f>
        <v>0</v>
      </c>
      <c r="L119">
        <f>Tervezés!M122</f>
        <v>0</v>
      </c>
      <c r="M119" s="322" t="str">
        <f>IFERROR(VLOOKUP(A119,PAR!$D$3:$E$53,2,FALSE),"nincs szervezet")</f>
        <v>nincs szervezet</v>
      </c>
      <c r="N119" s="322" t="str">
        <f>VLOOKUP(F119,PAR!$R$3:$S$5,2,FALSE)</f>
        <v>3 - egyik sem</v>
      </c>
      <c r="O119" t="str">
        <f>IFERROR(VLOOKUP(J119,PAR!$O$3:$P$5,2,FALSE),"nincs feladat")</f>
        <v>nincs feladat</v>
      </c>
      <c r="P119" t="str">
        <f>IFERROR(VLOOKUP(G119,PAR!$J$2:$M$19,4),"nincs rovat")</f>
        <v>nincs rovat</v>
      </c>
      <c r="Q119" t="str">
        <f>IF(H119&gt;0,VLOOKUP(H119,PAR!$AA$3:$AC$187,3,FALSE),"nincs főkönyvi számla")</f>
        <v>nincs főkönyvi számla</v>
      </c>
      <c r="R119" t="str">
        <f>IFERROR(VLOOKUP(K119,PAR!$V$3:$X$438,3,FALSE),"000000 - Nincs COFOG")</f>
        <v>000000 - Nincs COFOG</v>
      </c>
      <c r="S119">
        <f t="shared" si="31"/>
        <v>0</v>
      </c>
      <c r="T119">
        <f t="shared" si="32"/>
        <v>0</v>
      </c>
      <c r="U119" t="str">
        <f>IF(Tervezés!F122&gt;0,CONCATENATE(Tervezés!E122," - ",Tervezés!F122,", ",Tervezés!J122),"nincs megjegyzés")</f>
        <v>nincs megjegyzés</v>
      </c>
      <c r="V119" t="str">
        <f t="shared" si="19"/>
        <v>6000</v>
      </c>
      <c r="W119" t="str">
        <f t="shared" si="20"/>
        <v>6000</v>
      </c>
      <c r="X119" t="str">
        <f t="shared" si="21"/>
        <v>00</v>
      </c>
      <c r="Y119" t="str">
        <f t="shared" si="22"/>
        <v>600</v>
      </c>
      <c r="Z119" t="str">
        <f t="shared" si="33"/>
        <v>00</v>
      </c>
      <c r="AA119" t="str">
        <f t="shared" si="23"/>
        <v>600</v>
      </c>
      <c r="AB119" t="str">
        <f t="shared" si="24"/>
        <v>00</v>
      </c>
      <c r="AC119" t="str">
        <f t="shared" si="25"/>
        <v>6000</v>
      </c>
      <c r="AD119" t="str">
        <f t="shared" si="26"/>
        <v>000</v>
      </c>
      <c r="AE119" t="str">
        <f t="shared" si="27"/>
        <v>6000</v>
      </c>
      <c r="AF119" t="str">
        <f t="shared" si="28"/>
        <v>000</v>
      </c>
      <c r="AG119" t="str">
        <f t="shared" si="34"/>
        <v>60000</v>
      </c>
      <c r="AH119" t="str">
        <f t="shared" si="35"/>
        <v>0000</v>
      </c>
      <c r="AI119" t="str">
        <f t="shared" si="36"/>
        <v>60000</v>
      </c>
      <c r="AJ119" t="str">
        <f t="shared" si="37"/>
        <v>0000</v>
      </c>
    </row>
    <row r="120" spans="1:36" x14ac:dyDescent="0.25">
      <c r="A120" s="325">
        <f>Tervezés!B123</f>
        <v>0</v>
      </c>
      <c r="B120">
        <v>60</v>
      </c>
      <c r="C120">
        <f>Tervezés!E123</f>
        <v>0</v>
      </c>
      <c r="D120">
        <f>Tervezés!F123</f>
        <v>0</v>
      </c>
      <c r="E120">
        <f>Tervezés!H123</f>
        <v>0</v>
      </c>
      <c r="F120" t="str">
        <f t="shared" si="29"/>
        <v>0</v>
      </c>
      <c r="G120" t="str">
        <f t="shared" si="30"/>
        <v>0</v>
      </c>
      <c r="H120">
        <f>Tervezés!I123</f>
        <v>0</v>
      </c>
      <c r="I120">
        <f>Tervezés!J123</f>
        <v>0</v>
      </c>
      <c r="J120">
        <f>Tervezés!K123</f>
        <v>0</v>
      </c>
      <c r="K120">
        <f>Tervezés!L123</f>
        <v>0</v>
      </c>
      <c r="L120">
        <f>Tervezés!M123</f>
        <v>0</v>
      </c>
      <c r="M120" s="322" t="str">
        <f>IFERROR(VLOOKUP(A120,PAR!$D$3:$E$53,2,FALSE),"nincs szervezet")</f>
        <v>nincs szervezet</v>
      </c>
      <c r="N120" s="322" t="str">
        <f>VLOOKUP(F120,PAR!$R$3:$S$5,2,FALSE)</f>
        <v>3 - egyik sem</v>
      </c>
      <c r="O120" t="str">
        <f>IFERROR(VLOOKUP(J120,PAR!$O$3:$P$5,2,FALSE),"nincs feladat")</f>
        <v>nincs feladat</v>
      </c>
      <c r="P120" t="str">
        <f>IFERROR(VLOOKUP(G120,PAR!$J$2:$M$19,4),"nincs rovat")</f>
        <v>nincs rovat</v>
      </c>
      <c r="Q120" t="str">
        <f>IF(H120&gt;0,VLOOKUP(H120,PAR!$AA$3:$AC$187,3,FALSE),"nincs főkönyvi számla")</f>
        <v>nincs főkönyvi számla</v>
      </c>
      <c r="R120" t="str">
        <f>IFERROR(VLOOKUP(K120,PAR!$V$3:$X$438,3,FALSE),"000000 - Nincs COFOG")</f>
        <v>000000 - Nincs COFOG</v>
      </c>
      <c r="S120">
        <f t="shared" si="31"/>
        <v>0</v>
      </c>
      <c r="T120">
        <f t="shared" si="32"/>
        <v>0</v>
      </c>
      <c r="U120" t="str">
        <f>IF(Tervezés!F123&gt;0,CONCATENATE(Tervezés!E123," - ",Tervezés!F123,", ",Tervezés!J123),"nincs megjegyzés")</f>
        <v>nincs megjegyzés</v>
      </c>
      <c r="V120" t="str">
        <f t="shared" si="19"/>
        <v>6000</v>
      </c>
      <c r="W120" t="str">
        <f t="shared" si="20"/>
        <v>6000</v>
      </c>
      <c r="X120" t="str">
        <f t="shared" si="21"/>
        <v>00</v>
      </c>
      <c r="Y120" t="str">
        <f t="shared" si="22"/>
        <v>600</v>
      </c>
      <c r="Z120" t="str">
        <f t="shared" si="33"/>
        <v>00</v>
      </c>
      <c r="AA120" t="str">
        <f t="shared" si="23"/>
        <v>600</v>
      </c>
      <c r="AB120" t="str">
        <f t="shared" si="24"/>
        <v>00</v>
      </c>
      <c r="AC120" t="str">
        <f t="shared" si="25"/>
        <v>6000</v>
      </c>
      <c r="AD120" t="str">
        <f t="shared" si="26"/>
        <v>000</v>
      </c>
      <c r="AE120" t="str">
        <f t="shared" si="27"/>
        <v>6000</v>
      </c>
      <c r="AF120" t="str">
        <f t="shared" si="28"/>
        <v>000</v>
      </c>
      <c r="AG120" t="str">
        <f t="shared" si="34"/>
        <v>60000</v>
      </c>
      <c r="AH120" t="str">
        <f t="shared" si="35"/>
        <v>0000</v>
      </c>
      <c r="AI120" t="str">
        <f t="shared" si="36"/>
        <v>60000</v>
      </c>
      <c r="AJ120" t="str">
        <f t="shared" si="37"/>
        <v>0000</v>
      </c>
    </row>
    <row r="121" spans="1:36" x14ac:dyDescent="0.25">
      <c r="A121" s="325">
        <f>Tervezés!B124</f>
        <v>0</v>
      </c>
      <c r="B121">
        <v>60</v>
      </c>
      <c r="C121">
        <f>Tervezés!E124</f>
        <v>0</v>
      </c>
      <c r="D121">
        <f>Tervezés!F124</f>
        <v>0</v>
      </c>
      <c r="E121">
        <f>Tervezés!H124</f>
        <v>0</v>
      </c>
      <c r="F121" t="str">
        <f t="shared" si="29"/>
        <v>0</v>
      </c>
      <c r="G121" t="str">
        <f t="shared" si="30"/>
        <v>0</v>
      </c>
      <c r="H121">
        <f>Tervezés!I124</f>
        <v>0</v>
      </c>
      <c r="I121">
        <f>Tervezés!J124</f>
        <v>0</v>
      </c>
      <c r="J121">
        <f>Tervezés!K124</f>
        <v>0</v>
      </c>
      <c r="K121">
        <f>Tervezés!L124</f>
        <v>0</v>
      </c>
      <c r="L121">
        <f>Tervezés!M124</f>
        <v>0</v>
      </c>
      <c r="M121" s="322" t="str">
        <f>IFERROR(VLOOKUP(A121,PAR!$D$3:$E$53,2,FALSE),"nincs szervezet")</f>
        <v>nincs szervezet</v>
      </c>
      <c r="N121" s="322" t="str">
        <f>VLOOKUP(F121,PAR!$R$3:$S$5,2,FALSE)</f>
        <v>3 - egyik sem</v>
      </c>
      <c r="O121" t="str">
        <f>IFERROR(VLOOKUP(J121,PAR!$O$3:$P$5,2,FALSE),"nincs feladat")</f>
        <v>nincs feladat</v>
      </c>
      <c r="P121" t="str">
        <f>IFERROR(VLOOKUP(G121,PAR!$J$2:$M$19,4),"nincs rovat")</f>
        <v>nincs rovat</v>
      </c>
      <c r="Q121" t="str">
        <f>IF(H121&gt;0,VLOOKUP(H121,PAR!$AA$3:$AC$187,3,FALSE),"nincs főkönyvi számla")</f>
        <v>nincs főkönyvi számla</v>
      </c>
      <c r="R121" t="str">
        <f>IFERROR(VLOOKUP(K121,PAR!$V$3:$X$438,3,FALSE),"000000 - Nincs COFOG")</f>
        <v>000000 - Nincs COFOG</v>
      </c>
      <c r="S121">
        <f t="shared" si="31"/>
        <v>0</v>
      </c>
      <c r="T121">
        <f t="shared" si="32"/>
        <v>0</v>
      </c>
      <c r="U121" t="str">
        <f>IF(Tervezés!F124&gt;0,CONCATENATE(Tervezés!E124," - ",Tervezés!F124,", ",Tervezés!J124),"nincs megjegyzés")</f>
        <v>nincs megjegyzés</v>
      </c>
      <c r="V121" t="str">
        <f t="shared" si="19"/>
        <v>6000</v>
      </c>
      <c r="W121" t="str">
        <f t="shared" si="20"/>
        <v>6000</v>
      </c>
      <c r="X121" t="str">
        <f t="shared" si="21"/>
        <v>00</v>
      </c>
      <c r="Y121" t="str">
        <f t="shared" si="22"/>
        <v>600</v>
      </c>
      <c r="Z121" t="str">
        <f t="shared" si="33"/>
        <v>00</v>
      </c>
      <c r="AA121" t="str">
        <f t="shared" si="23"/>
        <v>600</v>
      </c>
      <c r="AB121" t="str">
        <f t="shared" si="24"/>
        <v>00</v>
      </c>
      <c r="AC121" t="str">
        <f t="shared" si="25"/>
        <v>6000</v>
      </c>
      <c r="AD121" t="str">
        <f t="shared" si="26"/>
        <v>000</v>
      </c>
      <c r="AE121" t="str">
        <f t="shared" si="27"/>
        <v>6000</v>
      </c>
      <c r="AF121" t="str">
        <f t="shared" si="28"/>
        <v>000</v>
      </c>
      <c r="AG121" t="str">
        <f t="shared" si="34"/>
        <v>60000</v>
      </c>
      <c r="AH121" t="str">
        <f t="shared" si="35"/>
        <v>0000</v>
      </c>
      <c r="AI121" t="str">
        <f t="shared" si="36"/>
        <v>60000</v>
      </c>
      <c r="AJ121" t="str">
        <f t="shared" si="37"/>
        <v>0000</v>
      </c>
    </row>
    <row r="122" spans="1:36" x14ac:dyDescent="0.25">
      <c r="A122" s="325">
        <f>Tervezés!B125</f>
        <v>0</v>
      </c>
      <c r="B122">
        <v>60</v>
      </c>
      <c r="C122">
        <f>Tervezés!E125</f>
        <v>0</v>
      </c>
      <c r="D122">
        <f>Tervezés!F125</f>
        <v>0</v>
      </c>
      <c r="E122">
        <f>Tervezés!H125</f>
        <v>0</v>
      </c>
      <c r="F122" t="str">
        <f t="shared" si="29"/>
        <v>0</v>
      </c>
      <c r="G122" t="str">
        <f t="shared" si="30"/>
        <v>0</v>
      </c>
      <c r="H122">
        <f>Tervezés!I125</f>
        <v>0</v>
      </c>
      <c r="I122">
        <f>Tervezés!J125</f>
        <v>0</v>
      </c>
      <c r="J122">
        <f>Tervezés!K125</f>
        <v>0</v>
      </c>
      <c r="K122">
        <f>Tervezés!L125</f>
        <v>0</v>
      </c>
      <c r="L122">
        <f>Tervezés!M125</f>
        <v>0</v>
      </c>
      <c r="M122" s="322" t="str">
        <f>IFERROR(VLOOKUP(A122,PAR!$D$3:$E$53,2,FALSE),"nincs szervezet")</f>
        <v>nincs szervezet</v>
      </c>
      <c r="N122" s="322" t="str">
        <f>VLOOKUP(F122,PAR!$R$3:$S$5,2,FALSE)</f>
        <v>3 - egyik sem</v>
      </c>
      <c r="O122" t="str">
        <f>IFERROR(VLOOKUP(J122,PAR!$O$3:$P$5,2,FALSE),"nincs feladat")</f>
        <v>nincs feladat</v>
      </c>
      <c r="P122" t="str">
        <f>IFERROR(VLOOKUP(G122,PAR!$J$2:$M$19,4),"nincs rovat")</f>
        <v>nincs rovat</v>
      </c>
      <c r="Q122" t="str">
        <f>IF(H122&gt;0,VLOOKUP(H122,PAR!$AA$3:$AC$187,3,FALSE),"nincs főkönyvi számla")</f>
        <v>nincs főkönyvi számla</v>
      </c>
      <c r="R122" t="str">
        <f>IFERROR(VLOOKUP(K122,PAR!$V$3:$X$438,3,FALSE),"000000 - Nincs COFOG")</f>
        <v>000000 - Nincs COFOG</v>
      </c>
      <c r="S122">
        <f t="shared" si="31"/>
        <v>0</v>
      </c>
      <c r="T122">
        <f t="shared" si="32"/>
        <v>0</v>
      </c>
      <c r="U122" t="str">
        <f>IF(Tervezés!F125&gt;0,CONCATENATE(Tervezés!E125," - ",Tervezés!F125,", ",Tervezés!J125),"nincs megjegyzés")</f>
        <v>nincs megjegyzés</v>
      </c>
      <c r="V122" t="str">
        <f t="shared" si="19"/>
        <v>6000</v>
      </c>
      <c r="W122" t="str">
        <f t="shared" si="20"/>
        <v>6000</v>
      </c>
      <c r="X122" t="str">
        <f t="shared" si="21"/>
        <v>00</v>
      </c>
      <c r="Y122" t="str">
        <f t="shared" si="22"/>
        <v>600</v>
      </c>
      <c r="Z122" t="str">
        <f t="shared" si="33"/>
        <v>00</v>
      </c>
      <c r="AA122" t="str">
        <f t="shared" si="23"/>
        <v>600</v>
      </c>
      <c r="AB122" t="str">
        <f t="shared" si="24"/>
        <v>00</v>
      </c>
      <c r="AC122" t="str">
        <f t="shared" si="25"/>
        <v>6000</v>
      </c>
      <c r="AD122" t="str">
        <f t="shared" si="26"/>
        <v>000</v>
      </c>
      <c r="AE122" t="str">
        <f t="shared" si="27"/>
        <v>6000</v>
      </c>
      <c r="AF122" t="str">
        <f t="shared" si="28"/>
        <v>000</v>
      </c>
      <c r="AG122" t="str">
        <f t="shared" si="34"/>
        <v>60000</v>
      </c>
      <c r="AH122" t="str">
        <f t="shared" si="35"/>
        <v>0000</v>
      </c>
      <c r="AI122" t="str">
        <f t="shared" si="36"/>
        <v>60000</v>
      </c>
      <c r="AJ122" t="str">
        <f t="shared" si="37"/>
        <v>0000</v>
      </c>
    </row>
    <row r="123" spans="1:36" x14ac:dyDescent="0.25">
      <c r="A123" s="325">
        <f>Tervezés!B126</f>
        <v>0</v>
      </c>
      <c r="B123">
        <v>60</v>
      </c>
      <c r="C123">
        <f>Tervezés!E126</f>
        <v>0</v>
      </c>
      <c r="D123">
        <f>Tervezés!F126</f>
        <v>0</v>
      </c>
      <c r="E123">
        <f>Tervezés!H126</f>
        <v>0</v>
      </c>
      <c r="F123" t="str">
        <f t="shared" si="29"/>
        <v>0</v>
      </c>
      <c r="G123" t="str">
        <f t="shared" si="30"/>
        <v>0</v>
      </c>
      <c r="H123">
        <f>Tervezés!I126</f>
        <v>0</v>
      </c>
      <c r="I123">
        <f>Tervezés!J126</f>
        <v>0</v>
      </c>
      <c r="J123">
        <f>Tervezés!K126</f>
        <v>0</v>
      </c>
      <c r="K123">
        <f>Tervezés!L126</f>
        <v>0</v>
      </c>
      <c r="L123">
        <f>Tervezés!M126</f>
        <v>0</v>
      </c>
      <c r="M123" s="322" t="str">
        <f>IFERROR(VLOOKUP(A123,PAR!$D$3:$E$53,2,FALSE),"nincs szervezet")</f>
        <v>nincs szervezet</v>
      </c>
      <c r="N123" s="322" t="str">
        <f>VLOOKUP(F123,PAR!$R$3:$S$5,2,FALSE)</f>
        <v>3 - egyik sem</v>
      </c>
      <c r="O123" t="str">
        <f>IFERROR(VLOOKUP(J123,PAR!$O$3:$P$5,2,FALSE),"nincs feladat")</f>
        <v>nincs feladat</v>
      </c>
      <c r="P123" t="str">
        <f>IFERROR(VLOOKUP(G123,PAR!$J$2:$M$19,4),"nincs rovat")</f>
        <v>nincs rovat</v>
      </c>
      <c r="Q123" t="str">
        <f>IF(H123&gt;0,VLOOKUP(H123,PAR!$AA$3:$AC$187,3,FALSE),"nincs főkönyvi számla")</f>
        <v>nincs főkönyvi számla</v>
      </c>
      <c r="R123" t="str">
        <f>IFERROR(VLOOKUP(K123,PAR!$V$3:$X$438,3,FALSE),"000000 - Nincs COFOG")</f>
        <v>000000 - Nincs COFOG</v>
      </c>
      <c r="S123">
        <f t="shared" si="31"/>
        <v>0</v>
      </c>
      <c r="T123">
        <f t="shared" si="32"/>
        <v>0</v>
      </c>
      <c r="U123" t="str">
        <f>IF(Tervezés!F126&gt;0,CONCATENATE(Tervezés!E126," - ",Tervezés!F126,", ",Tervezés!J126),"nincs megjegyzés")</f>
        <v>nincs megjegyzés</v>
      </c>
      <c r="V123" t="str">
        <f t="shared" si="19"/>
        <v>6000</v>
      </c>
      <c r="W123" t="str">
        <f t="shared" si="20"/>
        <v>6000</v>
      </c>
      <c r="X123" t="str">
        <f t="shared" si="21"/>
        <v>00</v>
      </c>
      <c r="Y123" t="str">
        <f t="shared" si="22"/>
        <v>600</v>
      </c>
      <c r="Z123" t="str">
        <f t="shared" si="33"/>
        <v>00</v>
      </c>
      <c r="AA123" t="str">
        <f t="shared" si="23"/>
        <v>600</v>
      </c>
      <c r="AB123" t="str">
        <f t="shared" si="24"/>
        <v>00</v>
      </c>
      <c r="AC123" t="str">
        <f t="shared" si="25"/>
        <v>6000</v>
      </c>
      <c r="AD123" t="str">
        <f t="shared" si="26"/>
        <v>000</v>
      </c>
      <c r="AE123" t="str">
        <f t="shared" si="27"/>
        <v>6000</v>
      </c>
      <c r="AF123" t="str">
        <f t="shared" si="28"/>
        <v>000</v>
      </c>
      <c r="AG123" t="str">
        <f t="shared" si="34"/>
        <v>60000</v>
      </c>
      <c r="AH123" t="str">
        <f t="shared" si="35"/>
        <v>0000</v>
      </c>
      <c r="AI123" t="str">
        <f t="shared" si="36"/>
        <v>60000</v>
      </c>
      <c r="AJ123" t="str">
        <f t="shared" si="37"/>
        <v>0000</v>
      </c>
    </row>
    <row r="124" spans="1:36" x14ac:dyDescent="0.25">
      <c r="A124" s="325">
        <f>Tervezés!B127</f>
        <v>0</v>
      </c>
      <c r="B124">
        <v>60</v>
      </c>
      <c r="C124">
        <f>Tervezés!E127</f>
        <v>0</v>
      </c>
      <c r="D124">
        <f>Tervezés!F127</f>
        <v>0</v>
      </c>
      <c r="E124">
        <f>Tervezés!H127</f>
        <v>0</v>
      </c>
      <c r="F124" t="str">
        <f t="shared" si="29"/>
        <v>0</v>
      </c>
      <c r="G124" t="str">
        <f t="shared" si="30"/>
        <v>0</v>
      </c>
      <c r="H124">
        <f>Tervezés!I127</f>
        <v>0</v>
      </c>
      <c r="I124">
        <f>Tervezés!J127</f>
        <v>0</v>
      </c>
      <c r="J124">
        <f>Tervezés!K127</f>
        <v>0</v>
      </c>
      <c r="K124">
        <f>Tervezés!L127</f>
        <v>0</v>
      </c>
      <c r="L124">
        <f>Tervezés!M127</f>
        <v>0</v>
      </c>
      <c r="M124" s="322" t="str">
        <f>IFERROR(VLOOKUP(A124,PAR!$D$3:$E$53,2,FALSE),"nincs szervezet")</f>
        <v>nincs szervezet</v>
      </c>
      <c r="N124" s="322" t="str">
        <f>VLOOKUP(F124,PAR!$R$3:$S$5,2,FALSE)</f>
        <v>3 - egyik sem</v>
      </c>
      <c r="O124" t="str">
        <f>IFERROR(VLOOKUP(J124,PAR!$O$3:$P$5,2,FALSE),"nincs feladat")</f>
        <v>nincs feladat</v>
      </c>
      <c r="P124" t="str">
        <f>IFERROR(VLOOKUP(G124,PAR!$J$2:$M$19,4),"nincs rovat")</f>
        <v>nincs rovat</v>
      </c>
      <c r="Q124" t="str">
        <f>IF(H124&gt;0,VLOOKUP(H124,PAR!$AA$3:$AC$187,3,FALSE),"nincs főkönyvi számla")</f>
        <v>nincs főkönyvi számla</v>
      </c>
      <c r="R124" t="str">
        <f>IFERROR(VLOOKUP(K124,PAR!$V$3:$X$438,3,FALSE),"000000 - Nincs COFOG")</f>
        <v>000000 - Nincs COFOG</v>
      </c>
      <c r="S124">
        <f t="shared" si="31"/>
        <v>0</v>
      </c>
      <c r="T124">
        <f t="shared" si="32"/>
        <v>0</v>
      </c>
      <c r="U124" t="str">
        <f>IF(Tervezés!F127&gt;0,CONCATENATE(Tervezés!E127," - ",Tervezés!F127,", ",Tervezés!J127),"nincs megjegyzés")</f>
        <v>nincs megjegyzés</v>
      </c>
      <c r="V124" t="str">
        <f t="shared" si="19"/>
        <v>6000</v>
      </c>
      <c r="W124" t="str">
        <f t="shared" si="20"/>
        <v>6000</v>
      </c>
      <c r="X124" t="str">
        <f t="shared" si="21"/>
        <v>00</v>
      </c>
      <c r="Y124" t="str">
        <f t="shared" si="22"/>
        <v>600</v>
      </c>
      <c r="Z124" t="str">
        <f t="shared" si="33"/>
        <v>00</v>
      </c>
      <c r="AA124" t="str">
        <f t="shared" si="23"/>
        <v>600</v>
      </c>
      <c r="AB124" t="str">
        <f t="shared" si="24"/>
        <v>00</v>
      </c>
      <c r="AC124" t="str">
        <f t="shared" si="25"/>
        <v>6000</v>
      </c>
      <c r="AD124" t="str">
        <f t="shared" si="26"/>
        <v>000</v>
      </c>
      <c r="AE124" t="str">
        <f t="shared" si="27"/>
        <v>6000</v>
      </c>
      <c r="AF124" t="str">
        <f t="shared" si="28"/>
        <v>000</v>
      </c>
      <c r="AG124" t="str">
        <f t="shared" si="34"/>
        <v>60000</v>
      </c>
      <c r="AH124" t="str">
        <f t="shared" si="35"/>
        <v>0000</v>
      </c>
      <c r="AI124" t="str">
        <f t="shared" si="36"/>
        <v>60000</v>
      </c>
      <c r="AJ124" t="str">
        <f t="shared" si="37"/>
        <v>0000</v>
      </c>
    </row>
    <row r="125" spans="1:36" x14ac:dyDescent="0.25">
      <c r="A125" s="325">
        <f>Tervezés!B128</f>
        <v>0</v>
      </c>
      <c r="B125">
        <v>60</v>
      </c>
      <c r="C125">
        <f>Tervezés!E128</f>
        <v>0</v>
      </c>
      <c r="D125">
        <f>Tervezés!F128</f>
        <v>0</v>
      </c>
      <c r="E125">
        <f>Tervezés!H128</f>
        <v>0</v>
      </c>
      <c r="F125" t="str">
        <f t="shared" si="29"/>
        <v>0</v>
      </c>
      <c r="G125" t="str">
        <f t="shared" si="30"/>
        <v>0</v>
      </c>
      <c r="H125">
        <f>Tervezés!I128</f>
        <v>0</v>
      </c>
      <c r="I125">
        <f>Tervezés!J128</f>
        <v>0</v>
      </c>
      <c r="J125">
        <f>Tervezés!K128</f>
        <v>0</v>
      </c>
      <c r="K125">
        <f>Tervezés!L128</f>
        <v>0</v>
      </c>
      <c r="L125">
        <f>Tervezés!M128</f>
        <v>0</v>
      </c>
      <c r="M125" s="322" t="str">
        <f>IFERROR(VLOOKUP(A125,PAR!$D$3:$E$53,2,FALSE),"nincs szervezet")</f>
        <v>nincs szervezet</v>
      </c>
      <c r="N125" s="322" t="str">
        <f>VLOOKUP(F125,PAR!$R$3:$S$5,2,FALSE)</f>
        <v>3 - egyik sem</v>
      </c>
      <c r="O125" t="str">
        <f>IFERROR(VLOOKUP(J125,PAR!$O$3:$P$5,2,FALSE),"nincs feladat")</f>
        <v>nincs feladat</v>
      </c>
      <c r="P125" t="str">
        <f>IFERROR(VLOOKUP(G125,PAR!$J$2:$M$19,4),"nincs rovat")</f>
        <v>nincs rovat</v>
      </c>
      <c r="Q125" t="str">
        <f>IF(H125&gt;0,VLOOKUP(H125,PAR!$AA$3:$AC$187,3,FALSE),"nincs főkönyvi számla")</f>
        <v>nincs főkönyvi számla</v>
      </c>
      <c r="R125" t="str">
        <f>IFERROR(VLOOKUP(K125,PAR!$V$3:$X$438,3,FALSE),"000000 - Nincs COFOG")</f>
        <v>000000 - Nincs COFOG</v>
      </c>
      <c r="S125">
        <f t="shared" si="31"/>
        <v>0</v>
      </c>
      <c r="T125">
        <f t="shared" si="32"/>
        <v>0</v>
      </c>
      <c r="U125" t="str">
        <f>IF(Tervezés!F128&gt;0,CONCATENATE(Tervezés!E128," - ",Tervezés!F128,", ",Tervezés!J128),"nincs megjegyzés")</f>
        <v>nincs megjegyzés</v>
      </c>
      <c r="V125" t="str">
        <f t="shared" si="19"/>
        <v>6000</v>
      </c>
      <c r="W125" t="str">
        <f t="shared" si="20"/>
        <v>6000</v>
      </c>
      <c r="X125" t="str">
        <f t="shared" si="21"/>
        <v>00</v>
      </c>
      <c r="Y125" t="str">
        <f t="shared" si="22"/>
        <v>600</v>
      </c>
      <c r="Z125" t="str">
        <f t="shared" si="33"/>
        <v>00</v>
      </c>
      <c r="AA125" t="str">
        <f t="shared" si="23"/>
        <v>600</v>
      </c>
      <c r="AB125" t="str">
        <f t="shared" si="24"/>
        <v>00</v>
      </c>
      <c r="AC125" t="str">
        <f t="shared" si="25"/>
        <v>6000</v>
      </c>
      <c r="AD125" t="str">
        <f t="shared" si="26"/>
        <v>000</v>
      </c>
      <c r="AE125" t="str">
        <f t="shared" si="27"/>
        <v>6000</v>
      </c>
      <c r="AF125" t="str">
        <f t="shared" si="28"/>
        <v>000</v>
      </c>
      <c r="AG125" t="str">
        <f t="shared" si="34"/>
        <v>60000</v>
      </c>
      <c r="AH125" t="str">
        <f t="shared" si="35"/>
        <v>0000</v>
      </c>
      <c r="AI125" t="str">
        <f t="shared" si="36"/>
        <v>60000</v>
      </c>
      <c r="AJ125" t="str">
        <f t="shared" si="37"/>
        <v>0000</v>
      </c>
    </row>
    <row r="126" spans="1:36" x14ac:dyDescent="0.25">
      <c r="A126" s="325">
        <f>Tervezés!B129</f>
        <v>0</v>
      </c>
      <c r="B126">
        <v>60</v>
      </c>
      <c r="C126">
        <f>Tervezés!E129</f>
        <v>0</v>
      </c>
      <c r="D126">
        <f>Tervezés!F129</f>
        <v>0</v>
      </c>
      <c r="E126">
        <f>Tervezés!H129</f>
        <v>0</v>
      </c>
      <c r="F126" t="str">
        <f t="shared" si="29"/>
        <v>0</v>
      </c>
      <c r="G126" t="str">
        <f t="shared" si="30"/>
        <v>0</v>
      </c>
      <c r="H126">
        <f>Tervezés!I129</f>
        <v>0</v>
      </c>
      <c r="I126">
        <f>Tervezés!J129</f>
        <v>0</v>
      </c>
      <c r="J126">
        <f>Tervezés!K129</f>
        <v>0</v>
      </c>
      <c r="K126">
        <f>Tervezés!L129</f>
        <v>0</v>
      </c>
      <c r="L126">
        <f>Tervezés!M129</f>
        <v>0</v>
      </c>
      <c r="M126" s="322" t="str">
        <f>IFERROR(VLOOKUP(A126,PAR!$D$3:$E$53,2,FALSE),"nincs szervezet")</f>
        <v>nincs szervezet</v>
      </c>
      <c r="N126" s="322" t="str">
        <f>VLOOKUP(F126,PAR!$R$3:$S$5,2,FALSE)</f>
        <v>3 - egyik sem</v>
      </c>
      <c r="O126" t="str">
        <f>IFERROR(VLOOKUP(J126,PAR!$O$3:$P$5,2,FALSE),"nincs feladat")</f>
        <v>nincs feladat</v>
      </c>
      <c r="P126" t="str">
        <f>IFERROR(VLOOKUP(G126,PAR!$J$2:$M$19,4),"nincs rovat")</f>
        <v>nincs rovat</v>
      </c>
      <c r="Q126" t="str">
        <f>IF(H126&gt;0,VLOOKUP(H126,PAR!$AA$3:$AC$187,3,FALSE),"nincs főkönyvi számla")</f>
        <v>nincs főkönyvi számla</v>
      </c>
      <c r="R126" t="str">
        <f>IFERROR(VLOOKUP(K126,PAR!$V$3:$X$438,3,FALSE),"000000 - Nincs COFOG")</f>
        <v>000000 - Nincs COFOG</v>
      </c>
      <c r="S126">
        <f t="shared" si="31"/>
        <v>0</v>
      </c>
      <c r="T126">
        <f t="shared" si="32"/>
        <v>0</v>
      </c>
      <c r="U126" t="str">
        <f>IF(Tervezés!F129&gt;0,CONCATENATE(Tervezés!E129," - ",Tervezés!F129,", ",Tervezés!J129),"nincs megjegyzés")</f>
        <v>nincs megjegyzés</v>
      </c>
      <c r="V126" t="str">
        <f t="shared" si="19"/>
        <v>6000</v>
      </c>
      <c r="W126" t="str">
        <f t="shared" si="20"/>
        <v>6000</v>
      </c>
      <c r="X126" t="str">
        <f t="shared" si="21"/>
        <v>00</v>
      </c>
      <c r="Y126" t="str">
        <f t="shared" si="22"/>
        <v>600</v>
      </c>
      <c r="Z126" t="str">
        <f t="shared" si="33"/>
        <v>00</v>
      </c>
      <c r="AA126" t="str">
        <f t="shared" si="23"/>
        <v>600</v>
      </c>
      <c r="AB126" t="str">
        <f t="shared" si="24"/>
        <v>00</v>
      </c>
      <c r="AC126" t="str">
        <f t="shared" si="25"/>
        <v>6000</v>
      </c>
      <c r="AD126" t="str">
        <f t="shared" si="26"/>
        <v>000</v>
      </c>
      <c r="AE126" t="str">
        <f t="shared" si="27"/>
        <v>6000</v>
      </c>
      <c r="AF126" t="str">
        <f t="shared" si="28"/>
        <v>000</v>
      </c>
      <c r="AG126" t="str">
        <f t="shared" si="34"/>
        <v>60000</v>
      </c>
      <c r="AH126" t="str">
        <f t="shared" si="35"/>
        <v>0000</v>
      </c>
      <c r="AI126" t="str">
        <f t="shared" si="36"/>
        <v>60000</v>
      </c>
      <c r="AJ126" t="str">
        <f t="shared" si="37"/>
        <v>0000</v>
      </c>
    </row>
    <row r="127" spans="1:36" x14ac:dyDescent="0.25">
      <c r="A127" s="325">
        <f>Tervezés!B130</f>
        <v>0</v>
      </c>
      <c r="B127">
        <v>60</v>
      </c>
      <c r="C127">
        <f>Tervezés!E130</f>
        <v>0</v>
      </c>
      <c r="D127">
        <f>Tervezés!F130</f>
        <v>0</v>
      </c>
      <c r="E127">
        <f>Tervezés!H130</f>
        <v>0</v>
      </c>
      <c r="F127" t="str">
        <f t="shared" si="29"/>
        <v>0</v>
      </c>
      <c r="G127" t="str">
        <f t="shared" si="30"/>
        <v>0</v>
      </c>
      <c r="H127">
        <f>Tervezés!I130</f>
        <v>0</v>
      </c>
      <c r="I127">
        <f>Tervezés!J130</f>
        <v>0</v>
      </c>
      <c r="J127">
        <f>Tervezés!K130</f>
        <v>0</v>
      </c>
      <c r="K127">
        <f>Tervezés!L130</f>
        <v>0</v>
      </c>
      <c r="L127">
        <f>Tervezés!M130</f>
        <v>0</v>
      </c>
      <c r="M127" s="322" t="str">
        <f>IFERROR(VLOOKUP(A127,PAR!$D$3:$E$53,2,FALSE),"nincs szervezet")</f>
        <v>nincs szervezet</v>
      </c>
      <c r="N127" s="322" t="str">
        <f>VLOOKUP(F127,PAR!$R$3:$S$5,2,FALSE)</f>
        <v>3 - egyik sem</v>
      </c>
      <c r="O127" t="str">
        <f>IFERROR(VLOOKUP(J127,PAR!$O$3:$P$5,2,FALSE),"nincs feladat")</f>
        <v>nincs feladat</v>
      </c>
      <c r="P127" t="str">
        <f>IFERROR(VLOOKUP(G127,PAR!$J$2:$M$19,4),"nincs rovat")</f>
        <v>nincs rovat</v>
      </c>
      <c r="Q127" t="str">
        <f>IF(H127&gt;0,VLOOKUP(H127,PAR!$AA$3:$AC$187,3,FALSE),"nincs főkönyvi számla")</f>
        <v>nincs főkönyvi számla</v>
      </c>
      <c r="R127" t="str">
        <f>IFERROR(VLOOKUP(K127,PAR!$V$3:$X$438,3,FALSE),"000000 - Nincs COFOG")</f>
        <v>000000 - Nincs COFOG</v>
      </c>
      <c r="S127">
        <f t="shared" si="31"/>
        <v>0</v>
      </c>
      <c r="T127">
        <f t="shared" si="32"/>
        <v>0</v>
      </c>
      <c r="U127" t="str">
        <f>IF(Tervezés!F130&gt;0,CONCATENATE(Tervezés!E130," - ",Tervezés!F130,", ",Tervezés!J130),"nincs megjegyzés")</f>
        <v>nincs megjegyzés</v>
      </c>
      <c r="V127" t="str">
        <f t="shared" si="19"/>
        <v>6000</v>
      </c>
      <c r="W127" t="str">
        <f t="shared" si="20"/>
        <v>6000</v>
      </c>
      <c r="X127" t="str">
        <f t="shared" si="21"/>
        <v>00</v>
      </c>
      <c r="Y127" t="str">
        <f t="shared" si="22"/>
        <v>600</v>
      </c>
      <c r="Z127" t="str">
        <f t="shared" si="33"/>
        <v>00</v>
      </c>
      <c r="AA127" t="str">
        <f t="shared" si="23"/>
        <v>600</v>
      </c>
      <c r="AB127" t="str">
        <f t="shared" si="24"/>
        <v>00</v>
      </c>
      <c r="AC127" t="str">
        <f t="shared" si="25"/>
        <v>6000</v>
      </c>
      <c r="AD127" t="str">
        <f t="shared" si="26"/>
        <v>000</v>
      </c>
      <c r="AE127" t="str">
        <f t="shared" si="27"/>
        <v>6000</v>
      </c>
      <c r="AF127" t="str">
        <f t="shared" si="28"/>
        <v>000</v>
      </c>
      <c r="AG127" t="str">
        <f t="shared" si="34"/>
        <v>60000</v>
      </c>
      <c r="AH127" t="str">
        <f t="shared" si="35"/>
        <v>0000</v>
      </c>
      <c r="AI127" t="str">
        <f t="shared" si="36"/>
        <v>60000</v>
      </c>
      <c r="AJ127" t="str">
        <f t="shared" si="37"/>
        <v>0000</v>
      </c>
    </row>
    <row r="128" spans="1:36" x14ac:dyDescent="0.25">
      <c r="A128" s="325">
        <f>Tervezés!B131</f>
        <v>0</v>
      </c>
      <c r="B128">
        <v>60</v>
      </c>
      <c r="C128">
        <f>Tervezés!E131</f>
        <v>0</v>
      </c>
      <c r="D128">
        <f>Tervezés!F131</f>
        <v>0</v>
      </c>
      <c r="E128">
        <f>Tervezés!H131</f>
        <v>0</v>
      </c>
      <c r="F128" t="str">
        <f t="shared" si="29"/>
        <v>0</v>
      </c>
      <c r="G128" t="str">
        <f t="shared" si="30"/>
        <v>0</v>
      </c>
      <c r="H128">
        <f>Tervezés!I131</f>
        <v>0</v>
      </c>
      <c r="I128">
        <f>Tervezés!J131</f>
        <v>0</v>
      </c>
      <c r="J128">
        <f>Tervezés!K131</f>
        <v>0</v>
      </c>
      <c r="K128">
        <f>Tervezés!L131</f>
        <v>0</v>
      </c>
      <c r="L128">
        <f>Tervezés!M131</f>
        <v>0</v>
      </c>
      <c r="M128" s="322" t="str">
        <f>IFERROR(VLOOKUP(A128,PAR!$D$3:$E$53,2,FALSE),"nincs szervezet")</f>
        <v>nincs szervezet</v>
      </c>
      <c r="N128" s="322" t="str">
        <f>VLOOKUP(F128,PAR!$R$3:$S$5,2,FALSE)</f>
        <v>3 - egyik sem</v>
      </c>
      <c r="O128" t="str">
        <f>IFERROR(VLOOKUP(J128,PAR!$O$3:$P$5,2,FALSE),"nincs feladat")</f>
        <v>nincs feladat</v>
      </c>
      <c r="P128" t="str">
        <f>IFERROR(VLOOKUP(G128,PAR!$J$2:$M$19,4),"nincs rovat")</f>
        <v>nincs rovat</v>
      </c>
      <c r="Q128" t="str">
        <f>IF(H128&gt;0,VLOOKUP(H128,PAR!$AA$3:$AC$187,3,FALSE),"nincs főkönyvi számla")</f>
        <v>nincs főkönyvi számla</v>
      </c>
      <c r="R128" t="str">
        <f>IFERROR(VLOOKUP(K128,PAR!$V$3:$X$438,3,FALSE),"000000 - Nincs COFOG")</f>
        <v>000000 - Nincs COFOG</v>
      </c>
      <c r="S128">
        <f t="shared" si="31"/>
        <v>0</v>
      </c>
      <c r="T128">
        <f t="shared" si="32"/>
        <v>0</v>
      </c>
      <c r="U128" t="str">
        <f>IF(Tervezés!F131&gt;0,CONCATENATE(Tervezés!E131," - ",Tervezés!F131,", ",Tervezés!J131),"nincs megjegyzés")</f>
        <v>nincs megjegyzés</v>
      </c>
      <c r="V128" t="str">
        <f t="shared" si="19"/>
        <v>6000</v>
      </c>
      <c r="W128" t="str">
        <f t="shared" si="20"/>
        <v>6000</v>
      </c>
      <c r="X128" t="str">
        <f t="shared" si="21"/>
        <v>00</v>
      </c>
      <c r="Y128" t="str">
        <f t="shared" si="22"/>
        <v>600</v>
      </c>
      <c r="Z128" t="str">
        <f t="shared" si="33"/>
        <v>00</v>
      </c>
      <c r="AA128" t="str">
        <f t="shared" si="23"/>
        <v>600</v>
      </c>
      <c r="AB128" t="str">
        <f t="shared" si="24"/>
        <v>00</v>
      </c>
      <c r="AC128" t="str">
        <f t="shared" si="25"/>
        <v>6000</v>
      </c>
      <c r="AD128" t="str">
        <f t="shared" si="26"/>
        <v>000</v>
      </c>
      <c r="AE128" t="str">
        <f t="shared" si="27"/>
        <v>6000</v>
      </c>
      <c r="AF128" t="str">
        <f t="shared" si="28"/>
        <v>000</v>
      </c>
      <c r="AG128" t="str">
        <f t="shared" si="34"/>
        <v>60000</v>
      </c>
      <c r="AH128" t="str">
        <f t="shared" si="35"/>
        <v>0000</v>
      </c>
      <c r="AI128" t="str">
        <f t="shared" si="36"/>
        <v>60000</v>
      </c>
      <c r="AJ128" t="str">
        <f t="shared" si="37"/>
        <v>0000</v>
      </c>
    </row>
    <row r="129" spans="1:36" x14ac:dyDescent="0.25">
      <c r="A129" s="325">
        <f>Tervezés!B132</f>
        <v>0</v>
      </c>
      <c r="B129">
        <v>60</v>
      </c>
      <c r="C129">
        <f>Tervezés!E132</f>
        <v>0</v>
      </c>
      <c r="D129">
        <f>Tervezés!F132</f>
        <v>0</v>
      </c>
      <c r="E129">
        <f>Tervezés!H132</f>
        <v>0</v>
      </c>
      <c r="F129" t="str">
        <f t="shared" si="29"/>
        <v>0</v>
      </c>
      <c r="G129" t="str">
        <f t="shared" si="30"/>
        <v>0</v>
      </c>
      <c r="H129">
        <f>Tervezés!I132</f>
        <v>0</v>
      </c>
      <c r="I129">
        <f>Tervezés!J132</f>
        <v>0</v>
      </c>
      <c r="J129">
        <f>Tervezés!K132</f>
        <v>0</v>
      </c>
      <c r="K129">
        <f>Tervezés!L132</f>
        <v>0</v>
      </c>
      <c r="L129">
        <f>Tervezés!M132</f>
        <v>0</v>
      </c>
      <c r="M129" s="322" t="str">
        <f>IFERROR(VLOOKUP(A129,PAR!$D$3:$E$53,2,FALSE),"nincs szervezet")</f>
        <v>nincs szervezet</v>
      </c>
      <c r="N129" s="322" t="str">
        <f>VLOOKUP(F129,PAR!$R$3:$S$5,2,FALSE)</f>
        <v>3 - egyik sem</v>
      </c>
      <c r="O129" t="str">
        <f>IFERROR(VLOOKUP(J129,PAR!$O$3:$P$5,2,FALSE),"nincs feladat")</f>
        <v>nincs feladat</v>
      </c>
      <c r="P129" t="str">
        <f>IFERROR(VLOOKUP(G129,PAR!$J$2:$M$19,4),"nincs rovat")</f>
        <v>nincs rovat</v>
      </c>
      <c r="Q129" t="str">
        <f>IF(H129&gt;0,VLOOKUP(H129,PAR!$AA$3:$AC$187,3,FALSE),"nincs főkönyvi számla")</f>
        <v>nincs főkönyvi számla</v>
      </c>
      <c r="R129" t="str">
        <f>IFERROR(VLOOKUP(K129,PAR!$V$3:$X$438,3,FALSE),"000000 - Nincs COFOG")</f>
        <v>000000 - Nincs COFOG</v>
      </c>
      <c r="S129">
        <f t="shared" si="31"/>
        <v>0</v>
      </c>
      <c r="T129">
        <f t="shared" si="32"/>
        <v>0</v>
      </c>
      <c r="U129" t="str">
        <f>IF(Tervezés!F132&gt;0,CONCATENATE(Tervezés!E132," - ",Tervezés!F132,", ",Tervezés!J132),"nincs megjegyzés")</f>
        <v>nincs megjegyzés</v>
      </c>
      <c r="V129" t="str">
        <f t="shared" si="19"/>
        <v>6000</v>
      </c>
      <c r="W129" t="str">
        <f t="shared" si="20"/>
        <v>6000</v>
      </c>
      <c r="X129" t="str">
        <f t="shared" si="21"/>
        <v>00</v>
      </c>
      <c r="Y129" t="str">
        <f t="shared" si="22"/>
        <v>600</v>
      </c>
      <c r="Z129" t="str">
        <f t="shared" si="33"/>
        <v>00</v>
      </c>
      <c r="AA129" t="str">
        <f t="shared" si="23"/>
        <v>600</v>
      </c>
      <c r="AB129" t="str">
        <f t="shared" si="24"/>
        <v>00</v>
      </c>
      <c r="AC129" t="str">
        <f t="shared" si="25"/>
        <v>6000</v>
      </c>
      <c r="AD129" t="str">
        <f t="shared" si="26"/>
        <v>000</v>
      </c>
      <c r="AE129" t="str">
        <f t="shared" si="27"/>
        <v>6000</v>
      </c>
      <c r="AF129" t="str">
        <f t="shared" si="28"/>
        <v>000</v>
      </c>
      <c r="AG129" t="str">
        <f t="shared" si="34"/>
        <v>60000</v>
      </c>
      <c r="AH129" t="str">
        <f t="shared" si="35"/>
        <v>0000</v>
      </c>
      <c r="AI129" t="str">
        <f t="shared" si="36"/>
        <v>60000</v>
      </c>
      <c r="AJ129" t="str">
        <f t="shared" si="37"/>
        <v>0000</v>
      </c>
    </row>
    <row r="130" spans="1:36" x14ac:dyDescent="0.25">
      <c r="A130" s="325">
        <f>Tervezés!B133</f>
        <v>0</v>
      </c>
      <c r="B130">
        <v>60</v>
      </c>
      <c r="C130">
        <f>Tervezés!E133</f>
        <v>0</v>
      </c>
      <c r="D130">
        <f>Tervezés!F133</f>
        <v>0</v>
      </c>
      <c r="E130">
        <f>Tervezés!H133</f>
        <v>0</v>
      </c>
      <c r="F130" t="str">
        <f t="shared" si="29"/>
        <v>0</v>
      </c>
      <c r="G130" t="str">
        <f t="shared" si="30"/>
        <v>0</v>
      </c>
      <c r="H130">
        <f>Tervezés!I133</f>
        <v>0</v>
      </c>
      <c r="I130">
        <f>Tervezés!J133</f>
        <v>0</v>
      </c>
      <c r="J130">
        <f>Tervezés!K133</f>
        <v>0</v>
      </c>
      <c r="K130">
        <f>Tervezés!L133</f>
        <v>0</v>
      </c>
      <c r="L130">
        <f>Tervezés!M133</f>
        <v>0</v>
      </c>
      <c r="M130" s="322" t="str">
        <f>IFERROR(VLOOKUP(A130,PAR!$D$3:$E$53,2,FALSE),"nincs szervezet")</f>
        <v>nincs szervezet</v>
      </c>
      <c r="N130" s="322" t="str">
        <f>VLOOKUP(F130,PAR!$R$3:$S$5,2,FALSE)</f>
        <v>3 - egyik sem</v>
      </c>
      <c r="O130" t="str">
        <f>IFERROR(VLOOKUP(J130,PAR!$O$3:$P$5,2,FALSE),"nincs feladat")</f>
        <v>nincs feladat</v>
      </c>
      <c r="P130" t="str">
        <f>IFERROR(VLOOKUP(G130,PAR!$J$2:$M$19,4),"nincs rovat")</f>
        <v>nincs rovat</v>
      </c>
      <c r="Q130" t="str">
        <f>IF(H130&gt;0,VLOOKUP(H130,PAR!$AA$3:$AC$187,3,FALSE),"nincs főkönyvi számla")</f>
        <v>nincs főkönyvi számla</v>
      </c>
      <c r="R130" t="str">
        <f>IFERROR(VLOOKUP(K130,PAR!$V$3:$X$438,3,FALSE),"000000 - Nincs COFOG")</f>
        <v>000000 - Nincs COFOG</v>
      </c>
      <c r="S130">
        <f t="shared" si="31"/>
        <v>0</v>
      </c>
      <c r="T130">
        <f t="shared" si="32"/>
        <v>0</v>
      </c>
      <c r="U130" t="str">
        <f>IF(Tervezés!F133&gt;0,CONCATENATE(Tervezés!E133," - ",Tervezés!F133,", ",Tervezés!J133),"nincs megjegyzés")</f>
        <v>nincs megjegyzés</v>
      </c>
      <c r="V130" t="str">
        <f t="shared" ref="V130:V193" si="38">CONCATENATE(B130,A130,G130)</f>
        <v>6000</v>
      </c>
      <c r="W130" t="str">
        <f t="shared" ref="W130:W193" si="39">CONCATENATE(B130,A130,F130)</f>
        <v>6000</v>
      </c>
      <c r="X130" t="str">
        <f t="shared" ref="X130:X193" si="40">CONCATENATE(A130,H130)</f>
        <v>00</v>
      </c>
      <c r="Y130" t="str">
        <f t="shared" ref="Y130:Y193" si="41">CONCATENATE(B130,H130)</f>
        <v>600</v>
      </c>
      <c r="Z130" t="str">
        <f t="shared" si="33"/>
        <v>00</v>
      </c>
      <c r="AA130" t="str">
        <f t="shared" ref="AA130:AA193" si="42">CONCATENATE(B130,G130)</f>
        <v>600</v>
      </c>
      <c r="AB130" t="str">
        <f t="shared" ref="AB130:AB193" si="43">CONCATENATE(J130,G130)</f>
        <v>00</v>
      </c>
      <c r="AC130" t="str">
        <f t="shared" ref="AC130:AC193" si="44">CONCATENATE(B130,A130,H130)</f>
        <v>6000</v>
      </c>
      <c r="AD130" t="str">
        <f t="shared" ref="AD130:AD193" si="45">CONCATENATE(A130,H130,J130)</f>
        <v>000</v>
      </c>
      <c r="AE130" t="str">
        <f t="shared" ref="AE130:AE193" si="46">CONCATENATE(B130,A130,G130)</f>
        <v>6000</v>
      </c>
      <c r="AF130" t="str">
        <f t="shared" ref="AF130:AF193" si="47">CONCATENATE(A130,G130,J130)</f>
        <v>000</v>
      </c>
      <c r="AG130" t="str">
        <f t="shared" si="34"/>
        <v>60000</v>
      </c>
      <c r="AH130" t="str">
        <f t="shared" si="35"/>
        <v>0000</v>
      </c>
      <c r="AI130" t="str">
        <f t="shared" si="36"/>
        <v>60000</v>
      </c>
      <c r="AJ130" t="str">
        <f t="shared" si="37"/>
        <v>0000</v>
      </c>
    </row>
    <row r="131" spans="1:36" x14ac:dyDescent="0.25">
      <c r="A131" s="325">
        <f>Tervezés!B134</f>
        <v>0</v>
      </c>
      <c r="B131">
        <v>60</v>
      </c>
      <c r="C131">
        <f>Tervezés!E134</f>
        <v>0</v>
      </c>
      <c r="D131">
        <f>Tervezés!F134</f>
        <v>0</v>
      </c>
      <c r="E131">
        <f>Tervezés!H134</f>
        <v>0</v>
      </c>
      <c r="F131" t="str">
        <f t="shared" ref="F131:F194" si="48">LEFT(G131,2)</f>
        <v>0</v>
      </c>
      <c r="G131" t="str">
        <f t="shared" ref="G131:G194" si="49">LEFT(H131,3)</f>
        <v>0</v>
      </c>
      <c r="H131">
        <f>Tervezés!I134</f>
        <v>0</v>
      </c>
      <c r="I131">
        <f>Tervezés!J134</f>
        <v>0</v>
      </c>
      <c r="J131">
        <f>Tervezés!K134</f>
        <v>0</v>
      </c>
      <c r="K131">
        <f>Tervezés!L134</f>
        <v>0</v>
      </c>
      <c r="L131">
        <f>Tervezés!M134</f>
        <v>0</v>
      </c>
      <c r="M131" s="322" t="str">
        <f>IFERROR(VLOOKUP(A131,PAR!$D$3:$E$53,2,FALSE),"nincs szervezet")</f>
        <v>nincs szervezet</v>
      </c>
      <c r="N131" s="322" t="str">
        <f>VLOOKUP(F131,PAR!$R$3:$S$5,2,FALSE)</f>
        <v>3 - egyik sem</v>
      </c>
      <c r="O131" t="str">
        <f>IFERROR(VLOOKUP(J131,PAR!$O$3:$P$5,2,FALSE),"nincs feladat")</f>
        <v>nincs feladat</v>
      </c>
      <c r="P131" t="str">
        <f>IFERROR(VLOOKUP(G131,PAR!$J$2:$M$19,4),"nincs rovat")</f>
        <v>nincs rovat</v>
      </c>
      <c r="Q131" t="str">
        <f>IF(H131&gt;0,VLOOKUP(H131,PAR!$AA$3:$AC$187,3,FALSE),"nincs főkönyvi számla")</f>
        <v>nincs főkönyvi számla</v>
      </c>
      <c r="R131" t="str">
        <f>IFERROR(VLOOKUP(K131,PAR!$V$3:$X$438,3,FALSE),"000000 - Nincs COFOG")</f>
        <v>000000 - Nincs COFOG</v>
      </c>
      <c r="S131">
        <f t="shared" ref="S131:S194" si="50">E131</f>
        <v>0</v>
      </c>
      <c r="T131">
        <f t="shared" ref="T131:T194" si="51">IF(F131="09",E131*-1,E131)</f>
        <v>0</v>
      </c>
      <c r="U131" t="str">
        <f>IF(Tervezés!F134&gt;0,CONCATENATE(Tervezés!E134," - ",Tervezés!F134,", ",Tervezés!J134),"nincs megjegyzés")</f>
        <v>nincs megjegyzés</v>
      </c>
      <c r="V131" t="str">
        <f t="shared" si="38"/>
        <v>6000</v>
      </c>
      <c r="W131" t="str">
        <f t="shared" si="39"/>
        <v>6000</v>
      </c>
      <c r="X131" t="str">
        <f t="shared" si="40"/>
        <v>00</v>
      </c>
      <c r="Y131" t="str">
        <f t="shared" si="41"/>
        <v>600</v>
      </c>
      <c r="Z131" t="str">
        <f t="shared" ref="Z131:Z194" si="52">CONCATENATE(J131,H131)</f>
        <v>00</v>
      </c>
      <c r="AA131" t="str">
        <f t="shared" si="42"/>
        <v>600</v>
      </c>
      <c r="AB131" t="str">
        <f t="shared" si="43"/>
        <v>00</v>
      </c>
      <c r="AC131" t="str">
        <f t="shared" si="44"/>
        <v>6000</v>
      </c>
      <c r="AD131" t="str">
        <f t="shared" si="45"/>
        <v>000</v>
      </c>
      <c r="AE131" t="str">
        <f t="shared" si="46"/>
        <v>6000</v>
      </c>
      <c r="AF131" t="str">
        <f t="shared" si="47"/>
        <v>000</v>
      </c>
      <c r="AG131" t="str">
        <f t="shared" ref="AG131:AG194" si="53">CONCATENATE(B131,A131,H131,L131)</f>
        <v>60000</v>
      </c>
      <c r="AH131" t="str">
        <f t="shared" ref="AH131:AH194" si="54">CONCATENATE(A131,J131,H131,L131)</f>
        <v>0000</v>
      </c>
      <c r="AI131" t="str">
        <f t="shared" ref="AI131:AI194" si="55">CONCATENATE(B131,A131,G131,L131)</f>
        <v>60000</v>
      </c>
      <c r="AJ131" t="str">
        <f t="shared" ref="AJ131:AJ194" si="56">CONCATENATE(A131,G131,J131,L131)</f>
        <v>0000</v>
      </c>
    </row>
    <row r="132" spans="1:36" x14ac:dyDescent="0.25">
      <c r="A132" s="325">
        <f>Tervezés!B135</f>
        <v>0</v>
      </c>
      <c r="B132">
        <v>60</v>
      </c>
      <c r="C132">
        <f>Tervezés!E135</f>
        <v>0</v>
      </c>
      <c r="D132">
        <f>Tervezés!F135</f>
        <v>0</v>
      </c>
      <c r="E132">
        <f>Tervezés!H135</f>
        <v>0</v>
      </c>
      <c r="F132" t="str">
        <f t="shared" si="48"/>
        <v>0</v>
      </c>
      <c r="G132" t="str">
        <f t="shared" si="49"/>
        <v>0</v>
      </c>
      <c r="H132">
        <f>Tervezés!I135</f>
        <v>0</v>
      </c>
      <c r="I132">
        <f>Tervezés!J135</f>
        <v>0</v>
      </c>
      <c r="J132">
        <f>Tervezés!K135</f>
        <v>0</v>
      </c>
      <c r="K132">
        <f>Tervezés!L135</f>
        <v>0</v>
      </c>
      <c r="L132">
        <f>Tervezés!M135</f>
        <v>0</v>
      </c>
      <c r="M132" s="322" t="str">
        <f>IFERROR(VLOOKUP(A132,PAR!$D$3:$E$53,2,FALSE),"nincs szervezet")</f>
        <v>nincs szervezet</v>
      </c>
      <c r="N132" s="322" t="str">
        <f>VLOOKUP(F132,PAR!$R$3:$S$5,2,FALSE)</f>
        <v>3 - egyik sem</v>
      </c>
      <c r="O132" t="str">
        <f>IFERROR(VLOOKUP(J132,PAR!$O$3:$P$5,2,FALSE),"nincs feladat")</f>
        <v>nincs feladat</v>
      </c>
      <c r="P132" t="str">
        <f>IFERROR(VLOOKUP(G132,PAR!$J$2:$M$19,4),"nincs rovat")</f>
        <v>nincs rovat</v>
      </c>
      <c r="Q132" t="str">
        <f>IF(H132&gt;0,VLOOKUP(H132,PAR!$AA$3:$AC$187,3,FALSE),"nincs főkönyvi számla")</f>
        <v>nincs főkönyvi számla</v>
      </c>
      <c r="R132" t="str">
        <f>IFERROR(VLOOKUP(K132,PAR!$V$3:$X$438,3,FALSE),"000000 - Nincs COFOG")</f>
        <v>000000 - Nincs COFOG</v>
      </c>
      <c r="S132">
        <f t="shared" si="50"/>
        <v>0</v>
      </c>
      <c r="T132">
        <f t="shared" si="51"/>
        <v>0</v>
      </c>
      <c r="U132" t="str">
        <f>IF(Tervezés!F135&gt;0,CONCATENATE(Tervezés!E135," - ",Tervezés!F135,", ",Tervezés!J135),"nincs megjegyzés")</f>
        <v>nincs megjegyzés</v>
      </c>
      <c r="V132" t="str">
        <f t="shared" si="38"/>
        <v>6000</v>
      </c>
      <c r="W132" t="str">
        <f t="shared" si="39"/>
        <v>6000</v>
      </c>
      <c r="X132" t="str">
        <f t="shared" si="40"/>
        <v>00</v>
      </c>
      <c r="Y132" t="str">
        <f t="shared" si="41"/>
        <v>600</v>
      </c>
      <c r="Z132" t="str">
        <f t="shared" si="52"/>
        <v>00</v>
      </c>
      <c r="AA132" t="str">
        <f t="shared" si="42"/>
        <v>600</v>
      </c>
      <c r="AB132" t="str">
        <f t="shared" si="43"/>
        <v>00</v>
      </c>
      <c r="AC132" t="str">
        <f t="shared" si="44"/>
        <v>6000</v>
      </c>
      <c r="AD132" t="str">
        <f t="shared" si="45"/>
        <v>000</v>
      </c>
      <c r="AE132" t="str">
        <f t="shared" si="46"/>
        <v>6000</v>
      </c>
      <c r="AF132" t="str">
        <f t="shared" si="47"/>
        <v>000</v>
      </c>
      <c r="AG132" t="str">
        <f t="shared" si="53"/>
        <v>60000</v>
      </c>
      <c r="AH132" t="str">
        <f t="shared" si="54"/>
        <v>0000</v>
      </c>
      <c r="AI132" t="str">
        <f t="shared" si="55"/>
        <v>60000</v>
      </c>
      <c r="AJ132" t="str">
        <f t="shared" si="56"/>
        <v>0000</v>
      </c>
    </row>
    <row r="133" spans="1:36" x14ac:dyDescent="0.25">
      <c r="A133" s="325">
        <f>Tervezés!B136</f>
        <v>0</v>
      </c>
      <c r="B133">
        <v>60</v>
      </c>
      <c r="C133">
        <f>Tervezés!E136</f>
        <v>0</v>
      </c>
      <c r="D133">
        <f>Tervezés!F136</f>
        <v>0</v>
      </c>
      <c r="E133">
        <f>Tervezés!H136</f>
        <v>0</v>
      </c>
      <c r="F133" t="str">
        <f t="shared" si="48"/>
        <v>0</v>
      </c>
      <c r="G133" t="str">
        <f t="shared" si="49"/>
        <v>0</v>
      </c>
      <c r="H133">
        <f>Tervezés!I136</f>
        <v>0</v>
      </c>
      <c r="I133">
        <f>Tervezés!J136</f>
        <v>0</v>
      </c>
      <c r="J133">
        <f>Tervezés!K136</f>
        <v>0</v>
      </c>
      <c r="K133">
        <f>Tervezés!L136</f>
        <v>0</v>
      </c>
      <c r="L133">
        <f>Tervezés!M136</f>
        <v>0</v>
      </c>
      <c r="M133" s="322" t="str">
        <f>IFERROR(VLOOKUP(A133,PAR!$D$3:$E$53,2,FALSE),"nincs szervezet")</f>
        <v>nincs szervezet</v>
      </c>
      <c r="N133" s="322" t="str">
        <f>VLOOKUP(F133,PAR!$R$3:$S$5,2,FALSE)</f>
        <v>3 - egyik sem</v>
      </c>
      <c r="O133" t="str">
        <f>IFERROR(VLOOKUP(J133,PAR!$O$3:$P$5,2,FALSE),"nincs feladat")</f>
        <v>nincs feladat</v>
      </c>
      <c r="P133" t="str">
        <f>IFERROR(VLOOKUP(G133,PAR!$J$2:$M$19,4),"nincs rovat")</f>
        <v>nincs rovat</v>
      </c>
      <c r="Q133" t="str">
        <f>IF(H133&gt;0,VLOOKUP(H133,PAR!$AA$3:$AC$187,3,FALSE),"nincs főkönyvi számla")</f>
        <v>nincs főkönyvi számla</v>
      </c>
      <c r="R133" t="str">
        <f>IFERROR(VLOOKUP(K133,PAR!$V$3:$X$438,3,FALSE),"000000 - Nincs COFOG")</f>
        <v>000000 - Nincs COFOG</v>
      </c>
      <c r="S133">
        <f t="shared" si="50"/>
        <v>0</v>
      </c>
      <c r="T133">
        <f t="shared" si="51"/>
        <v>0</v>
      </c>
      <c r="U133" t="str">
        <f>IF(Tervezés!F136&gt;0,CONCATENATE(Tervezés!E136," - ",Tervezés!F136,", ",Tervezés!J136),"nincs megjegyzés")</f>
        <v>nincs megjegyzés</v>
      </c>
      <c r="V133" t="str">
        <f t="shared" si="38"/>
        <v>6000</v>
      </c>
      <c r="W133" t="str">
        <f t="shared" si="39"/>
        <v>6000</v>
      </c>
      <c r="X133" t="str">
        <f t="shared" si="40"/>
        <v>00</v>
      </c>
      <c r="Y133" t="str">
        <f t="shared" si="41"/>
        <v>600</v>
      </c>
      <c r="Z133" t="str">
        <f t="shared" si="52"/>
        <v>00</v>
      </c>
      <c r="AA133" t="str">
        <f t="shared" si="42"/>
        <v>600</v>
      </c>
      <c r="AB133" t="str">
        <f t="shared" si="43"/>
        <v>00</v>
      </c>
      <c r="AC133" t="str">
        <f t="shared" si="44"/>
        <v>6000</v>
      </c>
      <c r="AD133" t="str">
        <f t="shared" si="45"/>
        <v>000</v>
      </c>
      <c r="AE133" t="str">
        <f t="shared" si="46"/>
        <v>6000</v>
      </c>
      <c r="AF133" t="str">
        <f t="shared" si="47"/>
        <v>000</v>
      </c>
      <c r="AG133" t="str">
        <f t="shared" si="53"/>
        <v>60000</v>
      </c>
      <c r="AH133" t="str">
        <f t="shared" si="54"/>
        <v>0000</v>
      </c>
      <c r="AI133" t="str">
        <f t="shared" si="55"/>
        <v>60000</v>
      </c>
      <c r="AJ133" t="str">
        <f t="shared" si="56"/>
        <v>0000</v>
      </c>
    </row>
    <row r="134" spans="1:36" x14ac:dyDescent="0.25">
      <c r="A134" s="325">
        <f>Tervezés!B137</f>
        <v>0</v>
      </c>
      <c r="B134">
        <v>60</v>
      </c>
      <c r="C134">
        <f>Tervezés!E137</f>
        <v>0</v>
      </c>
      <c r="D134">
        <f>Tervezés!F137</f>
        <v>0</v>
      </c>
      <c r="E134">
        <f>Tervezés!H137</f>
        <v>0</v>
      </c>
      <c r="F134" t="str">
        <f t="shared" si="48"/>
        <v>0</v>
      </c>
      <c r="G134" t="str">
        <f t="shared" si="49"/>
        <v>0</v>
      </c>
      <c r="H134">
        <f>Tervezés!I137</f>
        <v>0</v>
      </c>
      <c r="I134">
        <f>Tervezés!J137</f>
        <v>0</v>
      </c>
      <c r="J134">
        <f>Tervezés!K137</f>
        <v>0</v>
      </c>
      <c r="K134">
        <f>Tervezés!L137</f>
        <v>0</v>
      </c>
      <c r="L134">
        <f>Tervezés!M137</f>
        <v>0</v>
      </c>
      <c r="M134" s="322" t="str">
        <f>IFERROR(VLOOKUP(A134,PAR!$D$3:$E$53,2,FALSE),"nincs szervezet")</f>
        <v>nincs szervezet</v>
      </c>
      <c r="N134" s="322" t="str">
        <f>VLOOKUP(F134,PAR!$R$3:$S$5,2,FALSE)</f>
        <v>3 - egyik sem</v>
      </c>
      <c r="O134" t="str">
        <f>IFERROR(VLOOKUP(J134,PAR!$O$3:$P$5,2,FALSE),"nincs feladat")</f>
        <v>nincs feladat</v>
      </c>
      <c r="P134" t="str">
        <f>IFERROR(VLOOKUP(G134,PAR!$J$2:$M$19,4),"nincs rovat")</f>
        <v>nincs rovat</v>
      </c>
      <c r="Q134" t="str">
        <f>IF(H134&gt;0,VLOOKUP(H134,PAR!$AA$3:$AC$187,3,FALSE),"nincs főkönyvi számla")</f>
        <v>nincs főkönyvi számla</v>
      </c>
      <c r="R134" t="str">
        <f>IFERROR(VLOOKUP(K134,PAR!$V$3:$X$438,3,FALSE),"000000 - Nincs COFOG")</f>
        <v>000000 - Nincs COFOG</v>
      </c>
      <c r="S134">
        <f t="shared" si="50"/>
        <v>0</v>
      </c>
      <c r="T134">
        <f t="shared" si="51"/>
        <v>0</v>
      </c>
      <c r="U134" t="str">
        <f>IF(Tervezés!F137&gt;0,CONCATENATE(Tervezés!E137," - ",Tervezés!F137,", ",Tervezés!J137),"nincs megjegyzés")</f>
        <v>nincs megjegyzés</v>
      </c>
      <c r="V134" t="str">
        <f t="shared" si="38"/>
        <v>6000</v>
      </c>
      <c r="W134" t="str">
        <f t="shared" si="39"/>
        <v>6000</v>
      </c>
      <c r="X134" t="str">
        <f t="shared" si="40"/>
        <v>00</v>
      </c>
      <c r="Y134" t="str">
        <f t="shared" si="41"/>
        <v>600</v>
      </c>
      <c r="Z134" t="str">
        <f t="shared" si="52"/>
        <v>00</v>
      </c>
      <c r="AA134" t="str">
        <f t="shared" si="42"/>
        <v>600</v>
      </c>
      <c r="AB134" t="str">
        <f t="shared" si="43"/>
        <v>00</v>
      </c>
      <c r="AC134" t="str">
        <f t="shared" si="44"/>
        <v>6000</v>
      </c>
      <c r="AD134" t="str">
        <f t="shared" si="45"/>
        <v>000</v>
      </c>
      <c r="AE134" t="str">
        <f t="shared" si="46"/>
        <v>6000</v>
      </c>
      <c r="AF134" t="str">
        <f t="shared" si="47"/>
        <v>000</v>
      </c>
      <c r="AG134" t="str">
        <f t="shared" si="53"/>
        <v>60000</v>
      </c>
      <c r="AH134" t="str">
        <f t="shared" si="54"/>
        <v>0000</v>
      </c>
      <c r="AI134" t="str">
        <f t="shared" si="55"/>
        <v>60000</v>
      </c>
      <c r="AJ134" t="str">
        <f t="shared" si="56"/>
        <v>0000</v>
      </c>
    </row>
    <row r="135" spans="1:36" x14ac:dyDescent="0.25">
      <c r="A135" s="325">
        <f>Tervezés!B138</f>
        <v>0</v>
      </c>
      <c r="B135">
        <v>60</v>
      </c>
      <c r="C135">
        <f>Tervezés!E138</f>
        <v>0</v>
      </c>
      <c r="D135">
        <f>Tervezés!F138</f>
        <v>0</v>
      </c>
      <c r="E135">
        <f>Tervezés!H138</f>
        <v>0</v>
      </c>
      <c r="F135" t="str">
        <f t="shared" si="48"/>
        <v>0</v>
      </c>
      <c r="G135" t="str">
        <f t="shared" si="49"/>
        <v>0</v>
      </c>
      <c r="H135">
        <f>Tervezés!I138</f>
        <v>0</v>
      </c>
      <c r="I135">
        <f>Tervezés!J138</f>
        <v>0</v>
      </c>
      <c r="J135">
        <f>Tervezés!K138</f>
        <v>0</v>
      </c>
      <c r="K135">
        <f>Tervezés!L138</f>
        <v>0</v>
      </c>
      <c r="L135">
        <f>Tervezés!M138</f>
        <v>0</v>
      </c>
      <c r="M135" s="322" t="str">
        <f>IFERROR(VLOOKUP(A135,PAR!$D$3:$E$53,2,FALSE),"nincs szervezet")</f>
        <v>nincs szervezet</v>
      </c>
      <c r="N135" s="322" t="str">
        <f>VLOOKUP(F135,PAR!$R$3:$S$5,2,FALSE)</f>
        <v>3 - egyik sem</v>
      </c>
      <c r="O135" t="str">
        <f>IFERROR(VLOOKUP(J135,PAR!$O$3:$P$5,2,FALSE),"nincs feladat")</f>
        <v>nincs feladat</v>
      </c>
      <c r="P135" t="str">
        <f>IFERROR(VLOOKUP(G135,PAR!$J$2:$M$19,4),"nincs rovat")</f>
        <v>nincs rovat</v>
      </c>
      <c r="Q135" t="str">
        <f>IF(H135&gt;0,VLOOKUP(H135,PAR!$AA$3:$AC$187,3,FALSE),"nincs főkönyvi számla")</f>
        <v>nincs főkönyvi számla</v>
      </c>
      <c r="R135" t="str">
        <f>IFERROR(VLOOKUP(K135,PAR!$V$3:$X$438,3,FALSE),"000000 - Nincs COFOG")</f>
        <v>000000 - Nincs COFOG</v>
      </c>
      <c r="S135">
        <f t="shared" si="50"/>
        <v>0</v>
      </c>
      <c r="T135">
        <f t="shared" si="51"/>
        <v>0</v>
      </c>
      <c r="U135" t="str">
        <f>IF(Tervezés!F138&gt;0,CONCATENATE(Tervezés!E138," - ",Tervezés!F138,", ",Tervezés!J138),"nincs megjegyzés")</f>
        <v>nincs megjegyzés</v>
      </c>
      <c r="V135" t="str">
        <f t="shared" si="38"/>
        <v>6000</v>
      </c>
      <c r="W135" t="str">
        <f t="shared" si="39"/>
        <v>6000</v>
      </c>
      <c r="X135" t="str">
        <f t="shared" si="40"/>
        <v>00</v>
      </c>
      <c r="Y135" t="str">
        <f t="shared" si="41"/>
        <v>600</v>
      </c>
      <c r="Z135" t="str">
        <f t="shared" si="52"/>
        <v>00</v>
      </c>
      <c r="AA135" t="str">
        <f t="shared" si="42"/>
        <v>600</v>
      </c>
      <c r="AB135" t="str">
        <f t="shared" si="43"/>
        <v>00</v>
      </c>
      <c r="AC135" t="str">
        <f t="shared" si="44"/>
        <v>6000</v>
      </c>
      <c r="AD135" t="str">
        <f t="shared" si="45"/>
        <v>000</v>
      </c>
      <c r="AE135" t="str">
        <f t="shared" si="46"/>
        <v>6000</v>
      </c>
      <c r="AF135" t="str">
        <f t="shared" si="47"/>
        <v>000</v>
      </c>
      <c r="AG135" t="str">
        <f t="shared" si="53"/>
        <v>60000</v>
      </c>
      <c r="AH135" t="str">
        <f t="shared" si="54"/>
        <v>0000</v>
      </c>
      <c r="AI135" t="str">
        <f t="shared" si="55"/>
        <v>60000</v>
      </c>
      <c r="AJ135" t="str">
        <f t="shared" si="56"/>
        <v>0000</v>
      </c>
    </row>
    <row r="136" spans="1:36" x14ac:dyDescent="0.25">
      <c r="A136" s="325">
        <f>Tervezés!B139</f>
        <v>0</v>
      </c>
      <c r="B136">
        <v>60</v>
      </c>
      <c r="C136">
        <f>Tervezés!E139</f>
        <v>0</v>
      </c>
      <c r="D136">
        <f>Tervezés!F139</f>
        <v>0</v>
      </c>
      <c r="E136">
        <f>Tervezés!H139</f>
        <v>0</v>
      </c>
      <c r="F136" t="str">
        <f t="shared" si="48"/>
        <v>0</v>
      </c>
      <c r="G136" t="str">
        <f t="shared" si="49"/>
        <v>0</v>
      </c>
      <c r="H136">
        <f>Tervezés!I139</f>
        <v>0</v>
      </c>
      <c r="I136">
        <f>Tervezés!J139</f>
        <v>0</v>
      </c>
      <c r="J136">
        <f>Tervezés!K139</f>
        <v>0</v>
      </c>
      <c r="K136">
        <f>Tervezés!L139</f>
        <v>0</v>
      </c>
      <c r="L136">
        <f>Tervezés!M139</f>
        <v>0</v>
      </c>
      <c r="M136" s="322" t="str">
        <f>IFERROR(VLOOKUP(A136,PAR!$D$3:$E$53,2,FALSE),"nincs szervezet")</f>
        <v>nincs szervezet</v>
      </c>
      <c r="N136" s="322" t="str">
        <f>VLOOKUP(F136,PAR!$R$3:$S$5,2,FALSE)</f>
        <v>3 - egyik sem</v>
      </c>
      <c r="O136" t="str">
        <f>IFERROR(VLOOKUP(J136,PAR!$O$3:$P$5,2,FALSE),"nincs feladat")</f>
        <v>nincs feladat</v>
      </c>
      <c r="P136" t="str">
        <f>IFERROR(VLOOKUP(G136,PAR!$J$2:$M$19,4),"nincs rovat")</f>
        <v>nincs rovat</v>
      </c>
      <c r="Q136" t="str">
        <f>IF(H136&gt;0,VLOOKUP(H136,PAR!$AA$3:$AC$187,3,FALSE),"nincs főkönyvi számla")</f>
        <v>nincs főkönyvi számla</v>
      </c>
      <c r="R136" t="str">
        <f>IFERROR(VLOOKUP(K136,PAR!$V$3:$X$438,3,FALSE),"000000 - Nincs COFOG")</f>
        <v>000000 - Nincs COFOG</v>
      </c>
      <c r="S136">
        <f t="shared" si="50"/>
        <v>0</v>
      </c>
      <c r="T136">
        <f t="shared" si="51"/>
        <v>0</v>
      </c>
      <c r="U136" t="str">
        <f>IF(Tervezés!F139&gt;0,CONCATENATE(Tervezés!E139," - ",Tervezés!F139,", ",Tervezés!J139),"nincs megjegyzés")</f>
        <v>nincs megjegyzés</v>
      </c>
      <c r="V136" t="str">
        <f t="shared" si="38"/>
        <v>6000</v>
      </c>
      <c r="W136" t="str">
        <f t="shared" si="39"/>
        <v>6000</v>
      </c>
      <c r="X136" t="str">
        <f t="shared" si="40"/>
        <v>00</v>
      </c>
      <c r="Y136" t="str">
        <f t="shared" si="41"/>
        <v>600</v>
      </c>
      <c r="Z136" t="str">
        <f t="shared" si="52"/>
        <v>00</v>
      </c>
      <c r="AA136" t="str">
        <f t="shared" si="42"/>
        <v>600</v>
      </c>
      <c r="AB136" t="str">
        <f t="shared" si="43"/>
        <v>00</v>
      </c>
      <c r="AC136" t="str">
        <f t="shared" si="44"/>
        <v>6000</v>
      </c>
      <c r="AD136" t="str">
        <f t="shared" si="45"/>
        <v>000</v>
      </c>
      <c r="AE136" t="str">
        <f t="shared" si="46"/>
        <v>6000</v>
      </c>
      <c r="AF136" t="str">
        <f t="shared" si="47"/>
        <v>000</v>
      </c>
      <c r="AG136" t="str">
        <f t="shared" si="53"/>
        <v>60000</v>
      </c>
      <c r="AH136" t="str">
        <f t="shared" si="54"/>
        <v>0000</v>
      </c>
      <c r="AI136" t="str">
        <f t="shared" si="55"/>
        <v>60000</v>
      </c>
      <c r="AJ136" t="str">
        <f t="shared" si="56"/>
        <v>0000</v>
      </c>
    </row>
    <row r="137" spans="1:36" x14ac:dyDescent="0.25">
      <c r="A137" s="325">
        <f>Tervezés!B140</f>
        <v>0</v>
      </c>
      <c r="B137">
        <v>60</v>
      </c>
      <c r="C137">
        <f>Tervezés!E140</f>
        <v>0</v>
      </c>
      <c r="D137">
        <f>Tervezés!F140</f>
        <v>0</v>
      </c>
      <c r="E137">
        <f>Tervezés!H140</f>
        <v>0</v>
      </c>
      <c r="F137" t="str">
        <f t="shared" si="48"/>
        <v>0</v>
      </c>
      <c r="G137" t="str">
        <f t="shared" si="49"/>
        <v>0</v>
      </c>
      <c r="H137">
        <f>Tervezés!I140</f>
        <v>0</v>
      </c>
      <c r="I137">
        <f>Tervezés!J140</f>
        <v>0</v>
      </c>
      <c r="J137">
        <f>Tervezés!K140</f>
        <v>0</v>
      </c>
      <c r="K137">
        <f>Tervezés!L140</f>
        <v>0</v>
      </c>
      <c r="L137">
        <f>Tervezés!M140</f>
        <v>0</v>
      </c>
      <c r="M137" s="322" t="str">
        <f>IFERROR(VLOOKUP(A137,PAR!$D$3:$E$53,2,FALSE),"nincs szervezet")</f>
        <v>nincs szervezet</v>
      </c>
      <c r="N137" s="322" t="str">
        <f>VLOOKUP(F137,PAR!$R$3:$S$5,2,FALSE)</f>
        <v>3 - egyik sem</v>
      </c>
      <c r="O137" t="str">
        <f>IFERROR(VLOOKUP(J137,PAR!$O$3:$P$5,2,FALSE),"nincs feladat")</f>
        <v>nincs feladat</v>
      </c>
      <c r="P137" t="str">
        <f>IFERROR(VLOOKUP(G137,PAR!$J$2:$M$19,4),"nincs rovat")</f>
        <v>nincs rovat</v>
      </c>
      <c r="Q137" t="str">
        <f>IF(H137&gt;0,VLOOKUP(H137,PAR!$AA$3:$AC$187,3,FALSE),"nincs főkönyvi számla")</f>
        <v>nincs főkönyvi számla</v>
      </c>
      <c r="R137" t="str">
        <f>IFERROR(VLOOKUP(K137,PAR!$V$3:$X$438,3,FALSE),"000000 - Nincs COFOG")</f>
        <v>000000 - Nincs COFOG</v>
      </c>
      <c r="S137">
        <f t="shared" si="50"/>
        <v>0</v>
      </c>
      <c r="T137">
        <f t="shared" si="51"/>
        <v>0</v>
      </c>
      <c r="U137" t="str">
        <f>IF(Tervezés!F140&gt;0,CONCATENATE(Tervezés!E140," - ",Tervezés!F140,", ",Tervezés!J140),"nincs megjegyzés")</f>
        <v>nincs megjegyzés</v>
      </c>
      <c r="V137" t="str">
        <f t="shared" si="38"/>
        <v>6000</v>
      </c>
      <c r="W137" t="str">
        <f t="shared" si="39"/>
        <v>6000</v>
      </c>
      <c r="X137" t="str">
        <f t="shared" si="40"/>
        <v>00</v>
      </c>
      <c r="Y137" t="str">
        <f t="shared" si="41"/>
        <v>600</v>
      </c>
      <c r="Z137" t="str">
        <f t="shared" si="52"/>
        <v>00</v>
      </c>
      <c r="AA137" t="str">
        <f t="shared" si="42"/>
        <v>600</v>
      </c>
      <c r="AB137" t="str">
        <f t="shared" si="43"/>
        <v>00</v>
      </c>
      <c r="AC137" t="str">
        <f t="shared" si="44"/>
        <v>6000</v>
      </c>
      <c r="AD137" t="str">
        <f t="shared" si="45"/>
        <v>000</v>
      </c>
      <c r="AE137" t="str">
        <f t="shared" si="46"/>
        <v>6000</v>
      </c>
      <c r="AF137" t="str">
        <f t="shared" si="47"/>
        <v>000</v>
      </c>
      <c r="AG137" t="str">
        <f t="shared" si="53"/>
        <v>60000</v>
      </c>
      <c r="AH137" t="str">
        <f t="shared" si="54"/>
        <v>0000</v>
      </c>
      <c r="AI137" t="str">
        <f t="shared" si="55"/>
        <v>60000</v>
      </c>
      <c r="AJ137" t="str">
        <f t="shared" si="56"/>
        <v>0000</v>
      </c>
    </row>
    <row r="138" spans="1:36" x14ac:dyDescent="0.25">
      <c r="A138" s="325">
        <f>Tervezés!B141</f>
        <v>0</v>
      </c>
      <c r="B138">
        <v>60</v>
      </c>
      <c r="C138">
        <f>Tervezés!E141</f>
        <v>0</v>
      </c>
      <c r="D138">
        <f>Tervezés!F141</f>
        <v>0</v>
      </c>
      <c r="E138">
        <f>Tervezés!H141</f>
        <v>0</v>
      </c>
      <c r="F138" t="str">
        <f t="shared" si="48"/>
        <v>0</v>
      </c>
      <c r="G138" t="str">
        <f t="shared" si="49"/>
        <v>0</v>
      </c>
      <c r="H138">
        <f>Tervezés!I141</f>
        <v>0</v>
      </c>
      <c r="I138">
        <f>Tervezés!J141</f>
        <v>0</v>
      </c>
      <c r="J138">
        <f>Tervezés!K141</f>
        <v>0</v>
      </c>
      <c r="K138">
        <f>Tervezés!L141</f>
        <v>0</v>
      </c>
      <c r="L138">
        <f>Tervezés!M141</f>
        <v>0</v>
      </c>
      <c r="M138" s="322" t="str">
        <f>IFERROR(VLOOKUP(A138,PAR!$D$3:$E$53,2,FALSE),"nincs szervezet")</f>
        <v>nincs szervezet</v>
      </c>
      <c r="N138" s="322" t="str">
        <f>VLOOKUP(F138,PAR!$R$3:$S$5,2,FALSE)</f>
        <v>3 - egyik sem</v>
      </c>
      <c r="O138" t="str">
        <f>IFERROR(VLOOKUP(J138,PAR!$O$3:$P$5,2,FALSE),"nincs feladat")</f>
        <v>nincs feladat</v>
      </c>
      <c r="P138" t="str">
        <f>IFERROR(VLOOKUP(G138,PAR!$J$2:$M$19,4),"nincs rovat")</f>
        <v>nincs rovat</v>
      </c>
      <c r="Q138" t="str">
        <f>IF(H138&gt;0,VLOOKUP(H138,PAR!$AA$3:$AC$187,3,FALSE),"nincs főkönyvi számla")</f>
        <v>nincs főkönyvi számla</v>
      </c>
      <c r="R138" t="str">
        <f>IFERROR(VLOOKUP(K138,PAR!$V$3:$X$438,3,FALSE),"000000 - Nincs COFOG")</f>
        <v>000000 - Nincs COFOG</v>
      </c>
      <c r="S138">
        <f t="shared" si="50"/>
        <v>0</v>
      </c>
      <c r="T138">
        <f t="shared" si="51"/>
        <v>0</v>
      </c>
      <c r="U138" t="str">
        <f>IF(Tervezés!F141&gt;0,CONCATENATE(Tervezés!E141," - ",Tervezés!F141,", ",Tervezés!J141),"nincs megjegyzés")</f>
        <v>nincs megjegyzés</v>
      </c>
      <c r="V138" t="str">
        <f t="shared" si="38"/>
        <v>6000</v>
      </c>
      <c r="W138" t="str">
        <f t="shared" si="39"/>
        <v>6000</v>
      </c>
      <c r="X138" t="str">
        <f t="shared" si="40"/>
        <v>00</v>
      </c>
      <c r="Y138" t="str">
        <f t="shared" si="41"/>
        <v>600</v>
      </c>
      <c r="Z138" t="str">
        <f t="shared" si="52"/>
        <v>00</v>
      </c>
      <c r="AA138" t="str">
        <f t="shared" si="42"/>
        <v>600</v>
      </c>
      <c r="AB138" t="str">
        <f t="shared" si="43"/>
        <v>00</v>
      </c>
      <c r="AC138" t="str">
        <f t="shared" si="44"/>
        <v>6000</v>
      </c>
      <c r="AD138" t="str">
        <f t="shared" si="45"/>
        <v>000</v>
      </c>
      <c r="AE138" t="str">
        <f t="shared" si="46"/>
        <v>6000</v>
      </c>
      <c r="AF138" t="str">
        <f t="shared" si="47"/>
        <v>000</v>
      </c>
      <c r="AG138" t="str">
        <f t="shared" si="53"/>
        <v>60000</v>
      </c>
      <c r="AH138" t="str">
        <f t="shared" si="54"/>
        <v>0000</v>
      </c>
      <c r="AI138" t="str">
        <f t="shared" si="55"/>
        <v>60000</v>
      </c>
      <c r="AJ138" t="str">
        <f t="shared" si="56"/>
        <v>0000</v>
      </c>
    </row>
    <row r="139" spans="1:36" x14ac:dyDescent="0.25">
      <c r="A139" s="325">
        <f>Tervezés!B142</f>
        <v>0</v>
      </c>
      <c r="B139">
        <v>60</v>
      </c>
      <c r="C139">
        <f>Tervezés!E142</f>
        <v>0</v>
      </c>
      <c r="D139">
        <f>Tervezés!F142</f>
        <v>0</v>
      </c>
      <c r="E139">
        <f>Tervezés!H142</f>
        <v>0</v>
      </c>
      <c r="F139" t="str">
        <f t="shared" si="48"/>
        <v>0</v>
      </c>
      <c r="G139" t="str">
        <f t="shared" si="49"/>
        <v>0</v>
      </c>
      <c r="H139">
        <f>Tervezés!I142</f>
        <v>0</v>
      </c>
      <c r="I139">
        <f>Tervezés!J142</f>
        <v>0</v>
      </c>
      <c r="J139">
        <f>Tervezés!K142</f>
        <v>0</v>
      </c>
      <c r="K139">
        <f>Tervezés!L142</f>
        <v>0</v>
      </c>
      <c r="L139">
        <f>Tervezés!M142</f>
        <v>0</v>
      </c>
      <c r="M139" s="322" t="str">
        <f>IFERROR(VLOOKUP(A139,PAR!$D$3:$E$53,2,FALSE),"nincs szervezet")</f>
        <v>nincs szervezet</v>
      </c>
      <c r="N139" s="322" t="str">
        <f>VLOOKUP(F139,PAR!$R$3:$S$5,2,FALSE)</f>
        <v>3 - egyik sem</v>
      </c>
      <c r="O139" t="str">
        <f>IFERROR(VLOOKUP(J139,PAR!$O$3:$P$5,2,FALSE),"nincs feladat")</f>
        <v>nincs feladat</v>
      </c>
      <c r="P139" t="str">
        <f>IFERROR(VLOOKUP(G139,PAR!$J$2:$M$19,4),"nincs rovat")</f>
        <v>nincs rovat</v>
      </c>
      <c r="Q139" t="str">
        <f>IF(H139&gt;0,VLOOKUP(H139,PAR!$AA$3:$AC$187,3,FALSE),"nincs főkönyvi számla")</f>
        <v>nincs főkönyvi számla</v>
      </c>
      <c r="R139" t="str">
        <f>IFERROR(VLOOKUP(K139,PAR!$V$3:$X$438,3,FALSE),"000000 - Nincs COFOG")</f>
        <v>000000 - Nincs COFOG</v>
      </c>
      <c r="S139">
        <f t="shared" si="50"/>
        <v>0</v>
      </c>
      <c r="T139">
        <f t="shared" si="51"/>
        <v>0</v>
      </c>
      <c r="U139" t="str">
        <f>IF(Tervezés!F142&gt;0,CONCATENATE(Tervezés!E142," - ",Tervezés!F142,", ",Tervezés!J142),"nincs megjegyzés")</f>
        <v>nincs megjegyzés</v>
      </c>
      <c r="V139" t="str">
        <f t="shared" si="38"/>
        <v>6000</v>
      </c>
      <c r="W139" t="str">
        <f t="shared" si="39"/>
        <v>6000</v>
      </c>
      <c r="X139" t="str">
        <f t="shared" si="40"/>
        <v>00</v>
      </c>
      <c r="Y139" t="str">
        <f t="shared" si="41"/>
        <v>600</v>
      </c>
      <c r="Z139" t="str">
        <f t="shared" si="52"/>
        <v>00</v>
      </c>
      <c r="AA139" t="str">
        <f t="shared" si="42"/>
        <v>600</v>
      </c>
      <c r="AB139" t="str">
        <f t="shared" si="43"/>
        <v>00</v>
      </c>
      <c r="AC139" t="str">
        <f t="shared" si="44"/>
        <v>6000</v>
      </c>
      <c r="AD139" t="str">
        <f t="shared" si="45"/>
        <v>000</v>
      </c>
      <c r="AE139" t="str">
        <f t="shared" si="46"/>
        <v>6000</v>
      </c>
      <c r="AF139" t="str">
        <f t="shared" si="47"/>
        <v>000</v>
      </c>
      <c r="AG139" t="str">
        <f t="shared" si="53"/>
        <v>60000</v>
      </c>
      <c r="AH139" t="str">
        <f t="shared" si="54"/>
        <v>0000</v>
      </c>
      <c r="AI139" t="str">
        <f t="shared" si="55"/>
        <v>60000</v>
      </c>
      <c r="AJ139" t="str">
        <f t="shared" si="56"/>
        <v>0000</v>
      </c>
    </row>
    <row r="140" spans="1:36" x14ac:dyDescent="0.25">
      <c r="A140" s="325">
        <f>Tervezés!B143</f>
        <v>0</v>
      </c>
      <c r="B140">
        <v>60</v>
      </c>
      <c r="C140">
        <f>Tervezés!E143</f>
        <v>0</v>
      </c>
      <c r="D140">
        <f>Tervezés!F143</f>
        <v>0</v>
      </c>
      <c r="E140">
        <f>Tervezés!H143</f>
        <v>0</v>
      </c>
      <c r="F140" t="str">
        <f t="shared" si="48"/>
        <v>0</v>
      </c>
      <c r="G140" t="str">
        <f t="shared" si="49"/>
        <v>0</v>
      </c>
      <c r="H140">
        <f>Tervezés!I143</f>
        <v>0</v>
      </c>
      <c r="I140">
        <f>Tervezés!J143</f>
        <v>0</v>
      </c>
      <c r="J140">
        <f>Tervezés!K143</f>
        <v>0</v>
      </c>
      <c r="K140">
        <f>Tervezés!L143</f>
        <v>0</v>
      </c>
      <c r="L140">
        <f>Tervezés!M143</f>
        <v>0</v>
      </c>
      <c r="M140" s="322" t="str">
        <f>IFERROR(VLOOKUP(A140,PAR!$D$3:$E$53,2,FALSE),"nincs szervezet")</f>
        <v>nincs szervezet</v>
      </c>
      <c r="N140" s="322" t="str">
        <f>VLOOKUP(F140,PAR!$R$3:$S$5,2,FALSE)</f>
        <v>3 - egyik sem</v>
      </c>
      <c r="O140" t="str">
        <f>IFERROR(VLOOKUP(J140,PAR!$O$3:$P$5,2,FALSE),"nincs feladat")</f>
        <v>nincs feladat</v>
      </c>
      <c r="P140" t="str">
        <f>IFERROR(VLOOKUP(G140,PAR!$J$2:$M$19,4),"nincs rovat")</f>
        <v>nincs rovat</v>
      </c>
      <c r="Q140" t="str">
        <f>IF(H140&gt;0,VLOOKUP(H140,PAR!$AA$3:$AC$187,3,FALSE),"nincs főkönyvi számla")</f>
        <v>nincs főkönyvi számla</v>
      </c>
      <c r="R140" t="str">
        <f>IFERROR(VLOOKUP(K140,PAR!$V$3:$X$438,3,FALSE),"000000 - Nincs COFOG")</f>
        <v>000000 - Nincs COFOG</v>
      </c>
      <c r="S140">
        <f t="shared" si="50"/>
        <v>0</v>
      </c>
      <c r="T140">
        <f t="shared" si="51"/>
        <v>0</v>
      </c>
      <c r="U140" t="str">
        <f>IF(Tervezés!F143&gt;0,CONCATENATE(Tervezés!E143," - ",Tervezés!F143,", ",Tervezés!J143),"nincs megjegyzés")</f>
        <v>nincs megjegyzés</v>
      </c>
      <c r="V140" t="str">
        <f t="shared" si="38"/>
        <v>6000</v>
      </c>
      <c r="W140" t="str">
        <f t="shared" si="39"/>
        <v>6000</v>
      </c>
      <c r="X140" t="str">
        <f t="shared" si="40"/>
        <v>00</v>
      </c>
      <c r="Y140" t="str">
        <f t="shared" si="41"/>
        <v>600</v>
      </c>
      <c r="Z140" t="str">
        <f t="shared" si="52"/>
        <v>00</v>
      </c>
      <c r="AA140" t="str">
        <f t="shared" si="42"/>
        <v>600</v>
      </c>
      <c r="AB140" t="str">
        <f t="shared" si="43"/>
        <v>00</v>
      </c>
      <c r="AC140" t="str">
        <f t="shared" si="44"/>
        <v>6000</v>
      </c>
      <c r="AD140" t="str">
        <f t="shared" si="45"/>
        <v>000</v>
      </c>
      <c r="AE140" t="str">
        <f t="shared" si="46"/>
        <v>6000</v>
      </c>
      <c r="AF140" t="str">
        <f t="shared" si="47"/>
        <v>000</v>
      </c>
      <c r="AG140" t="str">
        <f t="shared" si="53"/>
        <v>60000</v>
      </c>
      <c r="AH140" t="str">
        <f t="shared" si="54"/>
        <v>0000</v>
      </c>
      <c r="AI140" t="str">
        <f t="shared" si="55"/>
        <v>60000</v>
      </c>
      <c r="AJ140" t="str">
        <f t="shared" si="56"/>
        <v>0000</v>
      </c>
    </row>
    <row r="141" spans="1:36" x14ac:dyDescent="0.25">
      <c r="A141" s="325">
        <f>Tervezés!B144</f>
        <v>0</v>
      </c>
      <c r="B141">
        <v>60</v>
      </c>
      <c r="C141">
        <f>Tervezés!E144</f>
        <v>0</v>
      </c>
      <c r="D141">
        <f>Tervezés!F144</f>
        <v>0</v>
      </c>
      <c r="E141">
        <f>Tervezés!H144</f>
        <v>0</v>
      </c>
      <c r="F141" t="str">
        <f t="shared" si="48"/>
        <v>0</v>
      </c>
      <c r="G141" t="str">
        <f t="shared" si="49"/>
        <v>0</v>
      </c>
      <c r="H141">
        <f>Tervezés!I144</f>
        <v>0</v>
      </c>
      <c r="I141">
        <f>Tervezés!J144</f>
        <v>0</v>
      </c>
      <c r="J141">
        <f>Tervezés!K144</f>
        <v>0</v>
      </c>
      <c r="K141">
        <f>Tervezés!L144</f>
        <v>0</v>
      </c>
      <c r="L141">
        <f>Tervezés!M144</f>
        <v>0</v>
      </c>
      <c r="M141" s="322" t="str">
        <f>IFERROR(VLOOKUP(A141,PAR!$D$3:$E$53,2,FALSE),"nincs szervezet")</f>
        <v>nincs szervezet</v>
      </c>
      <c r="N141" s="322" t="str">
        <f>VLOOKUP(F141,PAR!$R$3:$S$5,2,FALSE)</f>
        <v>3 - egyik sem</v>
      </c>
      <c r="O141" t="str">
        <f>IFERROR(VLOOKUP(J141,PAR!$O$3:$P$5,2,FALSE),"nincs feladat")</f>
        <v>nincs feladat</v>
      </c>
      <c r="P141" t="str">
        <f>IFERROR(VLOOKUP(G141,PAR!$J$2:$M$19,4),"nincs rovat")</f>
        <v>nincs rovat</v>
      </c>
      <c r="Q141" t="str">
        <f>IF(H141&gt;0,VLOOKUP(H141,PAR!$AA$3:$AC$187,3,FALSE),"nincs főkönyvi számla")</f>
        <v>nincs főkönyvi számla</v>
      </c>
      <c r="R141" t="str">
        <f>IFERROR(VLOOKUP(K141,PAR!$V$3:$X$438,3,FALSE),"000000 - Nincs COFOG")</f>
        <v>000000 - Nincs COFOG</v>
      </c>
      <c r="S141">
        <f t="shared" si="50"/>
        <v>0</v>
      </c>
      <c r="T141">
        <f t="shared" si="51"/>
        <v>0</v>
      </c>
      <c r="U141" t="str">
        <f>IF(Tervezés!F144&gt;0,CONCATENATE(Tervezés!E144," - ",Tervezés!F144,", ",Tervezés!J144),"nincs megjegyzés")</f>
        <v>nincs megjegyzés</v>
      </c>
      <c r="V141" t="str">
        <f t="shared" si="38"/>
        <v>6000</v>
      </c>
      <c r="W141" t="str">
        <f t="shared" si="39"/>
        <v>6000</v>
      </c>
      <c r="X141" t="str">
        <f t="shared" si="40"/>
        <v>00</v>
      </c>
      <c r="Y141" t="str">
        <f t="shared" si="41"/>
        <v>600</v>
      </c>
      <c r="Z141" t="str">
        <f t="shared" si="52"/>
        <v>00</v>
      </c>
      <c r="AA141" t="str">
        <f t="shared" si="42"/>
        <v>600</v>
      </c>
      <c r="AB141" t="str">
        <f t="shared" si="43"/>
        <v>00</v>
      </c>
      <c r="AC141" t="str">
        <f t="shared" si="44"/>
        <v>6000</v>
      </c>
      <c r="AD141" t="str">
        <f t="shared" si="45"/>
        <v>000</v>
      </c>
      <c r="AE141" t="str">
        <f t="shared" si="46"/>
        <v>6000</v>
      </c>
      <c r="AF141" t="str">
        <f t="shared" si="47"/>
        <v>000</v>
      </c>
      <c r="AG141" t="str">
        <f t="shared" si="53"/>
        <v>60000</v>
      </c>
      <c r="AH141" t="str">
        <f t="shared" si="54"/>
        <v>0000</v>
      </c>
      <c r="AI141" t="str">
        <f t="shared" si="55"/>
        <v>60000</v>
      </c>
      <c r="AJ141" t="str">
        <f t="shared" si="56"/>
        <v>0000</v>
      </c>
    </row>
    <row r="142" spans="1:36" x14ac:dyDescent="0.25">
      <c r="A142" s="325">
        <f>Tervezés!B145</f>
        <v>0</v>
      </c>
      <c r="B142">
        <v>60</v>
      </c>
      <c r="C142">
        <f>Tervezés!E145</f>
        <v>0</v>
      </c>
      <c r="D142">
        <f>Tervezés!F145</f>
        <v>0</v>
      </c>
      <c r="E142">
        <f>Tervezés!H145</f>
        <v>0</v>
      </c>
      <c r="F142" t="str">
        <f t="shared" si="48"/>
        <v>0</v>
      </c>
      <c r="G142" t="str">
        <f t="shared" si="49"/>
        <v>0</v>
      </c>
      <c r="H142">
        <f>Tervezés!I145</f>
        <v>0</v>
      </c>
      <c r="I142">
        <f>Tervezés!J145</f>
        <v>0</v>
      </c>
      <c r="J142">
        <f>Tervezés!K145</f>
        <v>0</v>
      </c>
      <c r="K142">
        <f>Tervezés!L145</f>
        <v>0</v>
      </c>
      <c r="L142">
        <f>Tervezés!M145</f>
        <v>0</v>
      </c>
      <c r="M142" s="322" t="str">
        <f>IFERROR(VLOOKUP(A142,PAR!$D$3:$E$53,2,FALSE),"nincs szervezet")</f>
        <v>nincs szervezet</v>
      </c>
      <c r="N142" s="322" t="str">
        <f>VLOOKUP(F142,PAR!$R$3:$S$5,2,FALSE)</f>
        <v>3 - egyik sem</v>
      </c>
      <c r="O142" t="str">
        <f>IFERROR(VLOOKUP(J142,PAR!$O$3:$P$5,2,FALSE),"nincs feladat")</f>
        <v>nincs feladat</v>
      </c>
      <c r="P142" t="str">
        <f>IFERROR(VLOOKUP(G142,PAR!$J$2:$M$19,4),"nincs rovat")</f>
        <v>nincs rovat</v>
      </c>
      <c r="Q142" t="str">
        <f>IF(H142&gt;0,VLOOKUP(H142,PAR!$AA$3:$AC$187,3,FALSE),"nincs főkönyvi számla")</f>
        <v>nincs főkönyvi számla</v>
      </c>
      <c r="R142" t="str">
        <f>IFERROR(VLOOKUP(K142,PAR!$V$3:$X$438,3,FALSE),"000000 - Nincs COFOG")</f>
        <v>000000 - Nincs COFOG</v>
      </c>
      <c r="S142">
        <f t="shared" si="50"/>
        <v>0</v>
      </c>
      <c r="T142">
        <f t="shared" si="51"/>
        <v>0</v>
      </c>
      <c r="U142" t="str">
        <f>IF(Tervezés!F145&gt;0,CONCATENATE(Tervezés!E145," - ",Tervezés!F145,", ",Tervezés!J145),"nincs megjegyzés")</f>
        <v>nincs megjegyzés</v>
      </c>
      <c r="V142" t="str">
        <f t="shared" si="38"/>
        <v>6000</v>
      </c>
      <c r="W142" t="str">
        <f t="shared" si="39"/>
        <v>6000</v>
      </c>
      <c r="X142" t="str">
        <f t="shared" si="40"/>
        <v>00</v>
      </c>
      <c r="Y142" t="str">
        <f t="shared" si="41"/>
        <v>600</v>
      </c>
      <c r="Z142" t="str">
        <f t="shared" si="52"/>
        <v>00</v>
      </c>
      <c r="AA142" t="str">
        <f t="shared" si="42"/>
        <v>600</v>
      </c>
      <c r="AB142" t="str">
        <f t="shared" si="43"/>
        <v>00</v>
      </c>
      <c r="AC142" t="str">
        <f t="shared" si="44"/>
        <v>6000</v>
      </c>
      <c r="AD142" t="str">
        <f t="shared" si="45"/>
        <v>000</v>
      </c>
      <c r="AE142" t="str">
        <f t="shared" si="46"/>
        <v>6000</v>
      </c>
      <c r="AF142" t="str">
        <f t="shared" si="47"/>
        <v>000</v>
      </c>
      <c r="AG142" t="str">
        <f t="shared" si="53"/>
        <v>60000</v>
      </c>
      <c r="AH142" t="str">
        <f t="shared" si="54"/>
        <v>0000</v>
      </c>
      <c r="AI142" t="str">
        <f t="shared" si="55"/>
        <v>60000</v>
      </c>
      <c r="AJ142" t="str">
        <f t="shared" si="56"/>
        <v>0000</v>
      </c>
    </row>
    <row r="143" spans="1:36" x14ac:dyDescent="0.25">
      <c r="A143" s="325">
        <f>Tervezés!B146</f>
        <v>0</v>
      </c>
      <c r="B143">
        <v>60</v>
      </c>
      <c r="C143">
        <f>Tervezés!E146</f>
        <v>0</v>
      </c>
      <c r="D143">
        <f>Tervezés!F146</f>
        <v>0</v>
      </c>
      <c r="E143">
        <f>Tervezés!H146</f>
        <v>0</v>
      </c>
      <c r="F143" t="str">
        <f t="shared" si="48"/>
        <v>0</v>
      </c>
      <c r="G143" t="str">
        <f t="shared" si="49"/>
        <v>0</v>
      </c>
      <c r="H143">
        <f>Tervezés!I146</f>
        <v>0</v>
      </c>
      <c r="I143">
        <f>Tervezés!J146</f>
        <v>0</v>
      </c>
      <c r="J143">
        <f>Tervezés!K146</f>
        <v>0</v>
      </c>
      <c r="K143">
        <f>Tervezés!L146</f>
        <v>0</v>
      </c>
      <c r="L143">
        <f>Tervezés!M146</f>
        <v>0</v>
      </c>
      <c r="M143" s="322" t="str">
        <f>IFERROR(VLOOKUP(A143,PAR!$D$3:$E$53,2,FALSE),"nincs szervezet")</f>
        <v>nincs szervezet</v>
      </c>
      <c r="N143" s="322" t="str">
        <f>VLOOKUP(F143,PAR!$R$3:$S$5,2,FALSE)</f>
        <v>3 - egyik sem</v>
      </c>
      <c r="O143" t="str">
        <f>IFERROR(VLOOKUP(J143,PAR!$O$3:$P$5,2,FALSE),"nincs feladat")</f>
        <v>nincs feladat</v>
      </c>
      <c r="P143" t="str">
        <f>IFERROR(VLOOKUP(G143,PAR!$J$2:$M$19,4),"nincs rovat")</f>
        <v>nincs rovat</v>
      </c>
      <c r="Q143" t="str">
        <f>IF(H143&gt;0,VLOOKUP(H143,PAR!$AA$3:$AC$187,3,FALSE),"nincs főkönyvi számla")</f>
        <v>nincs főkönyvi számla</v>
      </c>
      <c r="R143" t="str">
        <f>IFERROR(VLOOKUP(K143,PAR!$V$3:$X$438,3,FALSE),"000000 - Nincs COFOG")</f>
        <v>000000 - Nincs COFOG</v>
      </c>
      <c r="S143">
        <f t="shared" si="50"/>
        <v>0</v>
      </c>
      <c r="T143">
        <f t="shared" si="51"/>
        <v>0</v>
      </c>
      <c r="U143" t="str">
        <f>IF(Tervezés!F146&gt;0,CONCATENATE(Tervezés!E146," - ",Tervezés!F146,", ",Tervezés!J146),"nincs megjegyzés")</f>
        <v>nincs megjegyzés</v>
      </c>
      <c r="V143" t="str">
        <f t="shared" si="38"/>
        <v>6000</v>
      </c>
      <c r="W143" t="str">
        <f t="shared" si="39"/>
        <v>6000</v>
      </c>
      <c r="X143" t="str">
        <f t="shared" si="40"/>
        <v>00</v>
      </c>
      <c r="Y143" t="str">
        <f t="shared" si="41"/>
        <v>600</v>
      </c>
      <c r="Z143" t="str">
        <f t="shared" si="52"/>
        <v>00</v>
      </c>
      <c r="AA143" t="str">
        <f t="shared" si="42"/>
        <v>600</v>
      </c>
      <c r="AB143" t="str">
        <f t="shared" si="43"/>
        <v>00</v>
      </c>
      <c r="AC143" t="str">
        <f t="shared" si="44"/>
        <v>6000</v>
      </c>
      <c r="AD143" t="str">
        <f t="shared" si="45"/>
        <v>000</v>
      </c>
      <c r="AE143" t="str">
        <f t="shared" si="46"/>
        <v>6000</v>
      </c>
      <c r="AF143" t="str">
        <f t="shared" si="47"/>
        <v>000</v>
      </c>
      <c r="AG143" t="str">
        <f t="shared" si="53"/>
        <v>60000</v>
      </c>
      <c r="AH143" t="str">
        <f t="shared" si="54"/>
        <v>0000</v>
      </c>
      <c r="AI143" t="str">
        <f t="shared" si="55"/>
        <v>60000</v>
      </c>
      <c r="AJ143" t="str">
        <f t="shared" si="56"/>
        <v>0000</v>
      </c>
    </row>
    <row r="144" spans="1:36" x14ac:dyDescent="0.25">
      <c r="A144" s="325">
        <f>Tervezés!B147</f>
        <v>0</v>
      </c>
      <c r="B144">
        <v>60</v>
      </c>
      <c r="C144">
        <f>Tervezés!E147</f>
        <v>0</v>
      </c>
      <c r="D144">
        <f>Tervezés!F147</f>
        <v>0</v>
      </c>
      <c r="E144">
        <f>Tervezés!H147</f>
        <v>0</v>
      </c>
      <c r="F144" t="str">
        <f t="shared" si="48"/>
        <v>0</v>
      </c>
      <c r="G144" t="str">
        <f t="shared" si="49"/>
        <v>0</v>
      </c>
      <c r="H144">
        <f>Tervezés!I147</f>
        <v>0</v>
      </c>
      <c r="I144">
        <f>Tervezés!J147</f>
        <v>0</v>
      </c>
      <c r="J144">
        <f>Tervezés!K147</f>
        <v>0</v>
      </c>
      <c r="K144">
        <f>Tervezés!L147</f>
        <v>0</v>
      </c>
      <c r="L144">
        <f>Tervezés!M147</f>
        <v>0</v>
      </c>
      <c r="M144" s="322" t="str">
        <f>IFERROR(VLOOKUP(A144,PAR!$D$3:$E$53,2,FALSE),"nincs szervezet")</f>
        <v>nincs szervezet</v>
      </c>
      <c r="N144" s="322" t="str">
        <f>VLOOKUP(F144,PAR!$R$3:$S$5,2,FALSE)</f>
        <v>3 - egyik sem</v>
      </c>
      <c r="O144" t="str">
        <f>IFERROR(VLOOKUP(J144,PAR!$O$3:$P$5,2,FALSE),"nincs feladat")</f>
        <v>nincs feladat</v>
      </c>
      <c r="P144" t="str">
        <f>IFERROR(VLOOKUP(G144,PAR!$J$2:$M$19,4),"nincs rovat")</f>
        <v>nincs rovat</v>
      </c>
      <c r="Q144" t="str">
        <f>IF(H144&gt;0,VLOOKUP(H144,PAR!$AA$3:$AC$187,3,FALSE),"nincs főkönyvi számla")</f>
        <v>nincs főkönyvi számla</v>
      </c>
      <c r="R144" t="str">
        <f>IFERROR(VLOOKUP(K144,PAR!$V$3:$X$438,3,FALSE),"000000 - Nincs COFOG")</f>
        <v>000000 - Nincs COFOG</v>
      </c>
      <c r="S144">
        <f t="shared" si="50"/>
        <v>0</v>
      </c>
      <c r="T144">
        <f t="shared" si="51"/>
        <v>0</v>
      </c>
      <c r="U144" t="str">
        <f>IF(Tervezés!F147&gt;0,CONCATENATE(Tervezés!E147," - ",Tervezés!F147,", ",Tervezés!J147),"nincs megjegyzés")</f>
        <v>nincs megjegyzés</v>
      </c>
      <c r="V144" t="str">
        <f t="shared" si="38"/>
        <v>6000</v>
      </c>
      <c r="W144" t="str">
        <f t="shared" si="39"/>
        <v>6000</v>
      </c>
      <c r="X144" t="str">
        <f t="shared" si="40"/>
        <v>00</v>
      </c>
      <c r="Y144" t="str">
        <f t="shared" si="41"/>
        <v>600</v>
      </c>
      <c r="Z144" t="str">
        <f t="shared" si="52"/>
        <v>00</v>
      </c>
      <c r="AA144" t="str">
        <f t="shared" si="42"/>
        <v>600</v>
      </c>
      <c r="AB144" t="str">
        <f t="shared" si="43"/>
        <v>00</v>
      </c>
      <c r="AC144" t="str">
        <f t="shared" si="44"/>
        <v>6000</v>
      </c>
      <c r="AD144" t="str">
        <f t="shared" si="45"/>
        <v>000</v>
      </c>
      <c r="AE144" t="str">
        <f t="shared" si="46"/>
        <v>6000</v>
      </c>
      <c r="AF144" t="str">
        <f t="shared" si="47"/>
        <v>000</v>
      </c>
      <c r="AG144" t="str">
        <f t="shared" si="53"/>
        <v>60000</v>
      </c>
      <c r="AH144" t="str">
        <f t="shared" si="54"/>
        <v>0000</v>
      </c>
      <c r="AI144" t="str">
        <f t="shared" si="55"/>
        <v>60000</v>
      </c>
      <c r="AJ144" t="str">
        <f t="shared" si="56"/>
        <v>0000</v>
      </c>
    </row>
    <row r="145" spans="1:36" x14ac:dyDescent="0.25">
      <c r="A145" s="325">
        <f>Tervezés!B148</f>
        <v>0</v>
      </c>
      <c r="B145">
        <v>60</v>
      </c>
      <c r="C145">
        <f>Tervezés!E148</f>
        <v>0</v>
      </c>
      <c r="D145">
        <f>Tervezés!F148</f>
        <v>0</v>
      </c>
      <c r="E145">
        <f>Tervezés!H148</f>
        <v>0</v>
      </c>
      <c r="F145" t="str">
        <f t="shared" si="48"/>
        <v>0</v>
      </c>
      <c r="G145" t="str">
        <f t="shared" si="49"/>
        <v>0</v>
      </c>
      <c r="H145">
        <f>Tervezés!I148</f>
        <v>0</v>
      </c>
      <c r="I145">
        <f>Tervezés!J148</f>
        <v>0</v>
      </c>
      <c r="J145">
        <f>Tervezés!K148</f>
        <v>0</v>
      </c>
      <c r="K145">
        <f>Tervezés!L148</f>
        <v>0</v>
      </c>
      <c r="L145">
        <f>Tervezés!M148</f>
        <v>0</v>
      </c>
      <c r="M145" s="322" t="str">
        <f>IFERROR(VLOOKUP(A145,PAR!$D$3:$E$53,2,FALSE),"nincs szervezet")</f>
        <v>nincs szervezet</v>
      </c>
      <c r="N145" s="322" t="str">
        <f>VLOOKUP(F145,PAR!$R$3:$S$5,2,FALSE)</f>
        <v>3 - egyik sem</v>
      </c>
      <c r="O145" t="str">
        <f>IFERROR(VLOOKUP(J145,PAR!$O$3:$P$5,2,FALSE),"nincs feladat")</f>
        <v>nincs feladat</v>
      </c>
      <c r="P145" t="str">
        <f>IFERROR(VLOOKUP(G145,PAR!$J$2:$M$19,4),"nincs rovat")</f>
        <v>nincs rovat</v>
      </c>
      <c r="Q145" t="str">
        <f>IF(H145&gt;0,VLOOKUP(H145,PAR!$AA$3:$AC$187,3,FALSE),"nincs főkönyvi számla")</f>
        <v>nincs főkönyvi számla</v>
      </c>
      <c r="R145" t="str">
        <f>IFERROR(VLOOKUP(K145,PAR!$V$3:$X$438,3,FALSE),"000000 - Nincs COFOG")</f>
        <v>000000 - Nincs COFOG</v>
      </c>
      <c r="S145">
        <f t="shared" si="50"/>
        <v>0</v>
      </c>
      <c r="T145">
        <f t="shared" si="51"/>
        <v>0</v>
      </c>
      <c r="U145" t="str">
        <f>IF(Tervezés!F148&gt;0,CONCATENATE(Tervezés!E148," - ",Tervezés!F148,", ",Tervezés!J148),"nincs megjegyzés")</f>
        <v>nincs megjegyzés</v>
      </c>
      <c r="V145" t="str">
        <f t="shared" si="38"/>
        <v>6000</v>
      </c>
      <c r="W145" t="str">
        <f t="shared" si="39"/>
        <v>6000</v>
      </c>
      <c r="X145" t="str">
        <f t="shared" si="40"/>
        <v>00</v>
      </c>
      <c r="Y145" t="str">
        <f t="shared" si="41"/>
        <v>600</v>
      </c>
      <c r="Z145" t="str">
        <f t="shared" si="52"/>
        <v>00</v>
      </c>
      <c r="AA145" t="str">
        <f t="shared" si="42"/>
        <v>600</v>
      </c>
      <c r="AB145" t="str">
        <f t="shared" si="43"/>
        <v>00</v>
      </c>
      <c r="AC145" t="str">
        <f t="shared" si="44"/>
        <v>6000</v>
      </c>
      <c r="AD145" t="str">
        <f t="shared" si="45"/>
        <v>000</v>
      </c>
      <c r="AE145" t="str">
        <f t="shared" si="46"/>
        <v>6000</v>
      </c>
      <c r="AF145" t="str">
        <f t="shared" si="47"/>
        <v>000</v>
      </c>
      <c r="AG145" t="str">
        <f t="shared" si="53"/>
        <v>60000</v>
      </c>
      <c r="AH145" t="str">
        <f t="shared" si="54"/>
        <v>0000</v>
      </c>
      <c r="AI145" t="str">
        <f t="shared" si="55"/>
        <v>60000</v>
      </c>
      <c r="AJ145" t="str">
        <f t="shared" si="56"/>
        <v>0000</v>
      </c>
    </row>
    <row r="146" spans="1:36" x14ac:dyDescent="0.25">
      <c r="A146" s="325">
        <f>Tervezés!B149</f>
        <v>0</v>
      </c>
      <c r="B146">
        <v>60</v>
      </c>
      <c r="C146">
        <f>Tervezés!E149</f>
        <v>0</v>
      </c>
      <c r="D146">
        <f>Tervezés!F149</f>
        <v>0</v>
      </c>
      <c r="E146">
        <f>Tervezés!H149</f>
        <v>0</v>
      </c>
      <c r="F146" t="str">
        <f t="shared" si="48"/>
        <v>0</v>
      </c>
      <c r="G146" t="str">
        <f t="shared" si="49"/>
        <v>0</v>
      </c>
      <c r="H146">
        <f>Tervezés!I149</f>
        <v>0</v>
      </c>
      <c r="I146">
        <f>Tervezés!J149</f>
        <v>0</v>
      </c>
      <c r="J146">
        <f>Tervezés!K149</f>
        <v>0</v>
      </c>
      <c r="K146">
        <f>Tervezés!L149</f>
        <v>0</v>
      </c>
      <c r="L146">
        <f>Tervezés!M149</f>
        <v>0</v>
      </c>
      <c r="M146" s="322" t="str">
        <f>IFERROR(VLOOKUP(A146,PAR!$D$3:$E$53,2,FALSE),"nincs szervezet")</f>
        <v>nincs szervezet</v>
      </c>
      <c r="N146" s="322" t="str">
        <f>VLOOKUP(F146,PAR!$R$3:$S$5,2,FALSE)</f>
        <v>3 - egyik sem</v>
      </c>
      <c r="O146" t="str">
        <f>IFERROR(VLOOKUP(J146,PAR!$O$3:$P$5,2,FALSE),"nincs feladat")</f>
        <v>nincs feladat</v>
      </c>
      <c r="P146" t="str">
        <f>IFERROR(VLOOKUP(G146,PAR!$J$2:$M$19,4),"nincs rovat")</f>
        <v>nincs rovat</v>
      </c>
      <c r="Q146" t="str">
        <f>IF(H146&gt;0,VLOOKUP(H146,PAR!$AA$3:$AC$187,3,FALSE),"nincs főkönyvi számla")</f>
        <v>nincs főkönyvi számla</v>
      </c>
      <c r="R146" t="str">
        <f>IFERROR(VLOOKUP(K146,PAR!$V$3:$X$438,3,FALSE),"000000 - Nincs COFOG")</f>
        <v>000000 - Nincs COFOG</v>
      </c>
      <c r="S146">
        <f t="shared" si="50"/>
        <v>0</v>
      </c>
      <c r="T146">
        <f t="shared" si="51"/>
        <v>0</v>
      </c>
      <c r="U146" t="str">
        <f>IF(Tervezés!F149&gt;0,CONCATENATE(Tervezés!E149," - ",Tervezés!F149,", ",Tervezés!J149),"nincs megjegyzés")</f>
        <v>nincs megjegyzés</v>
      </c>
      <c r="V146" t="str">
        <f t="shared" si="38"/>
        <v>6000</v>
      </c>
      <c r="W146" t="str">
        <f t="shared" si="39"/>
        <v>6000</v>
      </c>
      <c r="X146" t="str">
        <f t="shared" si="40"/>
        <v>00</v>
      </c>
      <c r="Y146" t="str">
        <f t="shared" si="41"/>
        <v>600</v>
      </c>
      <c r="Z146" t="str">
        <f t="shared" si="52"/>
        <v>00</v>
      </c>
      <c r="AA146" t="str">
        <f t="shared" si="42"/>
        <v>600</v>
      </c>
      <c r="AB146" t="str">
        <f t="shared" si="43"/>
        <v>00</v>
      </c>
      <c r="AC146" t="str">
        <f t="shared" si="44"/>
        <v>6000</v>
      </c>
      <c r="AD146" t="str">
        <f t="shared" si="45"/>
        <v>000</v>
      </c>
      <c r="AE146" t="str">
        <f t="shared" si="46"/>
        <v>6000</v>
      </c>
      <c r="AF146" t="str">
        <f t="shared" si="47"/>
        <v>000</v>
      </c>
      <c r="AG146" t="str">
        <f t="shared" si="53"/>
        <v>60000</v>
      </c>
      <c r="AH146" t="str">
        <f t="shared" si="54"/>
        <v>0000</v>
      </c>
      <c r="AI146" t="str">
        <f t="shared" si="55"/>
        <v>60000</v>
      </c>
      <c r="AJ146" t="str">
        <f t="shared" si="56"/>
        <v>0000</v>
      </c>
    </row>
    <row r="147" spans="1:36" x14ac:dyDescent="0.25">
      <c r="A147" s="325">
        <f>Tervezés!B150</f>
        <v>0</v>
      </c>
      <c r="B147">
        <v>60</v>
      </c>
      <c r="C147">
        <f>Tervezés!E150</f>
        <v>0</v>
      </c>
      <c r="D147">
        <f>Tervezés!F150</f>
        <v>0</v>
      </c>
      <c r="E147">
        <f>Tervezés!H150</f>
        <v>0</v>
      </c>
      <c r="F147" t="str">
        <f t="shared" si="48"/>
        <v>0</v>
      </c>
      <c r="G147" t="str">
        <f t="shared" si="49"/>
        <v>0</v>
      </c>
      <c r="H147">
        <f>Tervezés!I150</f>
        <v>0</v>
      </c>
      <c r="I147">
        <f>Tervezés!J150</f>
        <v>0</v>
      </c>
      <c r="J147">
        <f>Tervezés!K150</f>
        <v>0</v>
      </c>
      <c r="K147">
        <f>Tervezés!L150</f>
        <v>0</v>
      </c>
      <c r="L147">
        <f>Tervezés!M150</f>
        <v>0</v>
      </c>
      <c r="M147" s="322" t="str">
        <f>IFERROR(VLOOKUP(A147,PAR!$D$3:$E$53,2,FALSE),"nincs szervezet")</f>
        <v>nincs szervezet</v>
      </c>
      <c r="N147" s="322" t="str">
        <f>VLOOKUP(F147,PAR!$R$3:$S$5,2,FALSE)</f>
        <v>3 - egyik sem</v>
      </c>
      <c r="O147" t="str">
        <f>IFERROR(VLOOKUP(J147,PAR!$O$3:$P$5,2,FALSE),"nincs feladat")</f>
        <v>nincs feladat</v>
      </c>
      <c r="P147" t="str">
        <f>IFERROR(VLOOKUP(G147,PAR!$J$2:$M$19,4),"nincs rovat")</f>
        <v>nincs rovat</v>
      </c>
      <c r="Q147" t="str">
        <f>IF(H147&gt;0,VLOOKUP(H147,PAR!$AA$3:$AC$187,3,FALSE),"nincs főkönyvi számla")</f>
        <v>nincs főkönyvi számla</v>
      </c>
      <c r="R147" t="str">
        <f>IFERROR(VLOOKUP(K147,PAR!$V$3:$X$438,3,FALSE),"000000 - Nincs COFOG")</f>
        <v>000000 - Nincs COFOG</v>
      </c>
      <c r="S147">
        <f t="shared" si="50"/>
        <v>0</v>
      </c>
      <c r="T147">
        <f t="shared" si="51"/>
        <v>0</v>
      </c>
      <c r="U147" t="str">
        <f>IF(Tervezés!F150&gt;0,CONCATENATE(Tervezés!E150," - ",Tervezés!F150,", ",Tervezés!J150),"nincs megjegyzés")</f>
        <v>nincs megjegyzés</v>
      </c>
      <c r="V147" t="str">
        <f t="shared" si="38"/>
        <v>6000</v>
      </c>
      <c r="W147" t="str">
        <f t="shared" si="39"/>
        <v>6000</v>
      </c>
      <c r="X147" t="str">
        <f t="shared" si="40"/>
        <v>00</v>
      </c>
      <c r="Y147" t="str">
        <f t="shared" si="41"/>
        <v>600</v>
      </c>
      <c r="Z147" t="str">
        <f t="shared" si="52"/>
        <v>00</v>
      </c>
      <c r="AA147" t="str">
        <f t="shared" si="42"/>
        <v>600</v>
      </c>
      <c r="AB147" t="str">
        <f t="shared" si="43"/>
        <v>00</v>
      </c>
      <c r="AC147" t="str">
        <f t="shared" si="44"/>
        <v>6000</v>
      </c>
      <c r="AD147" t="str">
        <f t="shared" si="45"/>
        <v>000</v>
      </c>
      <c r="AE147" t="str">
        <f t="shared" si="46"/>
        <v>6000</v>
      </c>
      <c r="AF147" t="str">
        <f t="shared" si="47"/>
        <v>000</v>
      </c>
      <c r="AG147" t="str">
        <f t="shared" si="53"/>
        <v>60000</v>
      </c>
      <c r="AH147" t="str">
        <f t="shared" si="54"/>
        <v>0000</v>
      </c>
      <c r="AI147" t="str">
        <f t="shared" si="55"/>
        <v>60000</v>
      </c>
      <c r="AJ147" t="str">
        <f t="shared" si="56"/>
        <v>0000</v>
      </c>
    </row>
    <row r="148" spans="1:36" x14ac:dyDescent="0.25">
      <c r="A148" s="325">
        <f>Tervezés!B151</f>
        <v>0</v>
      </c>
      <c r="B148">
        <v>60</v>
      </c>
      <c r="C148">
        <f>Tervezés!E151</f>
        <v>0</v>
      </c>
      <c r="D148">
        <f>Tervezés!F151</f>
        <v>0</v>
      </c>
      <c r="E148">
        <f>Tervezés!H151</f>
        <v>0</v>
      </c>
      <c r="F148" t="str">
        <f t="shared" si="48"/>
        <v>0</v>
      </c>
      <c r="G148" t="str">
        <f t="shared" si="49"/>
        <v>0</v>
      </c>
      <c r="H148">
        <f>Tervezés!I151</f>
        <v>0</v>
      </c>
      <c r="I148">
        <f>Tervezés!J151</f>
        <v>0</v>
      </c>
      <c r="J148">
        <f>Tervezés!K151</f>
        <v>0</v>
      </c>
      <c r="K148">
        <f>Tervezés!L151</f>
        <v>0</v>
      </c>
      <c r="L148">
        <f>Tervezés!M151</f>
        <v>0</v>
      </c>
      <c r="M148" s="322" t="str">
        <f>IFERROR(VLOOKUP(A148,PAR!$D$3:$E$53,2,FALSE),"nincs szervezet")</f>
        <v>nincs szervezet</v>
      </c>
      <c r="N148" s="322" t="str">
        <f>VLOOKUP(F148,PAR!$R$3:$S$5,2,FALSE)</f>
        <v>3 - egyik sem</v>
      </c>
      <c r="O148" t="str">
        <f>IFERROR(VLOOKUP(J148,PAR!$O$3:$P$5,2,FALSE),"nincs feladat")</f>
        <v>nincs feladat</v>
      </c>
      <c r="P148" t="str">
        <f>IFERROR(VLOOKUP(G148,PAR!$J$2:$M$19,4),"nincs rovat")</f>
        <v>nincs rovat</v>
      </c>
      <c r="Q148" t="str">
        <f>IF(H148&gt;0,VLOOKUP(H148,PAR!$AA$3:$AC$187,3,FALSE),"nincs főkönyvi számla")</f>
        <v>nincs főkönyvi számla</v>
      </c>
      <c r="R148" t="str">
        <f>IFERROR(VLOOKUP(K148,PAR!$V$3:$X$438,3,FALSE),"000000 - Nincs COFOG")</f>
        <v>000000 - Nincs COFOG</v>
      </c>
      <c r="S148">
        <f t="shared" si="50"/>
        <v>0</v>
      </c>
      <c r="T148">
        <f t="shared" si="51"/>
        <v>0</v>
      </c>
      <c r="U148" t="str">
        <f>IF(Tervezés!F151&gt;0,CONCATENATE(Tervezés!E151," - ",Tervezés!F151,", ",Tervezés!J151),"nincs megjegyzés")</f>
        <v>nincs megjegyzés</v>
      </c>
      <c r="V148" t="str">
        <f t="shared" si="38"/>
        <v>6000</v>
      </c>
      <c r="W148" t="str">
        <f t="shared" si="39"/>
        <v>6000</v>
      </c>
      <c r="X148" t="str">
        <f t="shared" si="40"/>
        <v>00</v>
      </c>
      <c r="Y148" t="str">
        <f t="shared" si="41"/>
        <v>600</v>
      </c>
      <c r="Z148" t="str">
        <f t="shared" si="52"/>
        <v>00</v>
      </c>
      <c r="AA148" t="str">
        <f t="shared" si="42"/>
        <v>600</v>
      </c>
      <c r="AB148" t="str">
        <f t="shared" si="43"/>
        <v>00</v>
      </c>
      <c r="AC148" t="str">
        <f t="shared" si="44"/>
        <v>6000</v>
      </c>
      <c r="AD148" t="str">
        <f t="shared" si="45"/>
        <v>000</v>
      </c>
      <c r="AE148" t="str">
        <f t="shared" si="46"/>
        <v>6000</v>
      </c>
      <c r="AF148" t="str">
        <f t="shared" si="47"/>
        <v>000</v>
      </c>
      <c r="AG148" t="str">
        <f t="shared" si="53"/>
        <v>60000</v>
      </c>
      <c r="AH148" t="str">
        <f t="shared" si="54"/>
        <v>0000</v>
      </c>
      <c r="AI148" t="str">
        <f t="shared" si="55"/>
        <v>60000</v>
      </c>
      <c r="AJ148" t="str">
        <f t="shared" si="56"/>
        <v>0000</v>
      </c>
    </row>
    <row r="149" spans="1:36" x14ac:dyDescent="0.25">
      <c r="A149" s="325">
        <f>Tervezés!B152</f>
        <v>0</v>
      </c>
      <c r="B149">
        <v>60</v>
      </c>
      <c r="C149">
        <f>Tervezés!E152</f>
        <v>0</v>
      </c>
      <c r="D149">
        <f>Tervezés!F152</f>
        <v>0</v>
      </c>
      <c r="E149">
        <f>Tervezés!H152</f>
        <v>0</v>
      </c>
      <c r="F149" t="str">
        <f t="shared" si="48"/>
        <v>0</v>
      </c>
      <c r="G149" t="str">
        <f t="shared" si="49"/>
        <v>0</v>
      </c>
      <c r="H149">
        <f>Tervezés!I152</f>
        <v>0</v>
      </c>
      <c r="I149">
        <f>Tervezés!J152</f>
        <v>0</v>
      </c>
      <c r="J149">
        <f>Tervezés!K152</f>
        <v>0</v>
      </c>
      <c r="K149">
        <f>Tervezés!L152</f>
        <v>0</v>
      </c>
      <c r="L149">
        <f>Tervezés!M152</f>
        <v>0</v>
      </c>
      <c r="M149" s="322" t="str">
        <f>IFERROR(VLOOKUP(A149,PAR!$D$3:$E$53,2,FALSE),"nincs szervezet")</f>
        <v>nincs szervezet</v>
      </c>
      <c r="N149" s="322" t="str">
        <f>VLOOKUP(F149,PAR!$R$3:$S$5,2,FALSE)</f>
        <v>3 - egyik sem</v>
      </c>
      <c r="O149" t="str">
        <f>IFERROR(VLOOKUP(J149,PAR!$O$3:$P$5,2,FALSE),"nincs feladat")</f>
        <v>nincs feladat</v>
      </c>
      <c r="P149" t="str">
        <f>IFERROR(VLOOKUP(G149,PAR!$J$2:$M$19,4),"nincs rovat")</f>
        <v>nincs rovat</v>
      </c>
      <c r="Q149" t="str">
        <f>IF(H149&gt;0,VLOOKUP(H149,PAR!$AA$3:$AC$187,3,FALSE),"nincs főkönyvi számla")</f>
        <v>nincs főkönyvi számla</v>
      </c>
      <c r="R149" t="str">
        <f>IFERROR(VLOOKUP(K149,PAR!$V$3:$X$438,3,FALSE),"000000 - Nincs COFOG")</f>
        <v>000000 - Nincs COFOG</v>
      </c>
      <c r="S149">
        <f t="shared" si="50"/>
        <v>0</v>
      </c>
      <c r="T149">
        <f t="shared" si="51"/>
        <v>0</v>
      </c>
      <c r="U149" t="str">
        <f>IF(Tervezés!F152&gt;0,CONCATENATE(Tervezés!E152," - ",Tervezés!F152,", ",Tervezés!J152),"nincs megjegyzés")</f>
        <v>nincs megjegyzés</v>
      </c>
      <c r="V149" t="str">
        <f t="shared" si="38"/>
        <v>6000</v>
      </c>
      <c r="W149" t="str">
        <f t="shared" si="39"/>
        <v>6000</v>
      </c>
      <c r="X149" t="str">
        <f t="shared" si="40"/>
        <v>00</v>
      </c>
      <c r="Y149" t="str">
        <f t="shared" si="41"/>
        <v>600</v>
      </c>
      <c r="Z149" t="str">
        <f t="shared" si="52"/>
        <v>00</v>
      </c>
      <c r="AA149" t="str">
        <f t="shared" si="42"/>
        <v>600</v>
      </c>
      <c r="AB149" t="str">
        <f t="shared" si="43"/>
        <v>00</v>
      </c>
      <c r="AC149" t="str">
        <f t="shared" si="44"/>
        <v>6000</v>
      </c>
      <c r="AD149" t="str">
        <f t="shared" si="45"/>
        <v>000</v>
      </c>
      <c r="AE149" t="str">
        <f t="shared" si="46"/>
        <v>6000</v>
      </c>
      <c r="AF149" t="str">
        <f t="shared" si="47"/>
        <v>000</v>
      </c>
      <c r="AG149" t="str">
        <f t="shared" si="53"/>
        <v>60000</v>
      </c>
      <c r="AH149" t="str">
        <f t="shared" si="54"/>
        <v>0000</v>
      </c>
      <c r="AI149" t="str">
        <f t="shared" si="55"/>
        <v>60000</v>
      </c>
      <c r="AJ149" t="str">
        <f t="shared" si="56"/>
        <v>0000</v>
      </c>
    </row>
    <row r="150" spans="1:36" x14ac:dyDescent="0.25">
      <c r="A150" s="325">
        <f>Tervezés!B153</f>
        <v>0</v>
      </c>
      <c r="B150">
        <v>60</v>
      </c>
      <c r="C150">
        <f>Tervezés!E153</f>
        <v>0</v>
      </c>
      <c r="D150">
        <f>Tervezés!F153</f>
        <v>0</v>
      </c>
      <c r="E150">
        <f>Tervezés!H153</f>
        <v>0</v>
      </c>
      <c r="F150" t="str">
        <f t="shared" si="48"/>
        <v>0</v>
      </c>
      <c r="G150" t="str">
        <f t="shared" si="49"/>
        <v>0</v>
      </c>
      <c r="H150">
        <f>Tervezés!I153</f>
        <v>0</v>
      </c>
      <c r="I150">
        <f>Tervezés!J153</f>
        <v>0</v>
      </c>
      <c r="J150">
        <f>Tervezés!K153</f>
        <v>0</v>
      </c>
      <c r="K150">
        <f>Tervezés!L153</f>
        <v>0</v>
      </c>
      <c r="L150">
        <f>Tervezés!M153</f>
        <v>0</v>
      </c>
      <c r="M150" s="322" t="str">
        <f>IFERROR(VLOOKUP(A150,PAR!$D$3:$E$53,2,FALSE),"nincs szervezet")</f>
        <v>nincs szervezet</v>
      </c>
      <c r="N150" s="322" t="str">
        <f>VLOOKUP(F150,PAR!$R$3:$S$5,2,FALSE)</f>
        <v>3 - egyik sem</v>
      </c>
      <c r="O150" t="str">
        <f>IFERROR(VLOOKUP(J150,PAR!$O$3:$P$5,2,FALSE),"nincs feladat")</f>
        <v>nincs feladat</v>
      </c>
      <c r="P150" t="str">
        <f>IFERROR(VLOOKUP(G150,PAR!$J$2:$M$19,4),"nincs rovat")</f>
        <v>nincs rovat</v>
      </c>
      <c r="Q150" t="str">
        <f>IF(H150&gt;0,VLOOKUP(H150,PAR!$AA$3:$AC$187,3,FALSE),"nincs főkönyvi számla")</f>
        <v>nincs főkönyvi számla</v>
      </c>
      <c r="R150" t="str">
        <f>IFERROR(VLOOKUP(K150,PAR!$V$3:$X$438,3,FALSE),"000000 - Nincs COFOG")</f>
        <v>000000 - Nincs COFOG</v>
      </c>
      <c r="S150">
        <f t="shared" si="50"/>
        <v>0</v>
      </c>
      <c r="T150">
        <f t="shared" si="51"/>
        <v>0</v>
      </c>
      <c r="U150" t="str">
        <f>IF(Tervezés!F153&gt;0,CONCATENATE(Tervezés!E153," - ",Tervezés!F153,", ",Tervezés!J153),"nincs megjegyzés")</f>
        <v>nincs megjegyzés</v>
      </c>
      <c r="V150" t="str">
        <f t="shared" si="38"/>
        <v>6000</v>
      </c>
      <c r="W150" t="str">
        <f t="shared" si="39"/>
        <v>6000</v>
      </c>
      <c r="X150" t="str">
        <f t="shared" si="40"/>
        <v>00</v>
      </c>
      <c r="Y150" t="str">
        <f t="shared" si="41"/>
        <v>600</v>
      </c>
      <c r="Z150" t="str">
        <f t="shared" si="52"/>
        <v>00</v>
      </c>
      <c r="AA150" t="str">
        <f t="shared" si="42"/>
        <v>600</v>
      </c>
      <c r="AB150" t="str">
        <f t="shared" si="43"/>
        <v>00</v>
      </c>
      <c r="AC150" t="str">
        <f t="shared" si="44"/>
        <v>6000</v>
      </c>
      <c r="AD150" t="str">
        <f t="shared" si="45"/>
        <v>000</v>
      </c>
      <c r="AE150" t="str">
        <f t="shared" si="46"/>
        <v>6000</v>
      </c>
      <c r="AF150" t="str">
        <f t="shared" si="47"/>
        <v>000</v>
      </c>
      <c r="AG150" t="str">
        <f t="shared" si="53"/>
        <v>60000</v>
      </c>
      <c r="AH150" t="str">
        <f t="shared" si="54"/>
        <v>0000</v>
      </c>
      <c r="AI150" t="str">
        <f t="shared" si="55"/>
        <v>60000</v>
      </c>
      <c r="AJ150" t="str">
        <f t="shared" si="56"/>
        <v>0000</v>
      </c>
    </row>
    <row r="151" spans="1:36" x14ac:dyDescent="0.25">
      <c r="A151" s="325">
        <f>Tervezés!B154</f>
        <v>0</v>
      </c>
      <c r="B151">
        <v>60</v>
      </c>
      <c r="C151">
        <f>Tervezés!E154</f>
        <v>0</v>
      </c>
      <c r="D151">
        <f>Tervezés!F154</f>
        <v>0</v>
      </c>
      <c r="E151">
        <f>Tervezés!H154</f>
        <v>0</v>
      </c>
      <c r="F151" t="str">
        <f t="shared" si="48"/>
        <v>0</v>
      </c>
      <c r="G151" t="str">
        <f t="shared" si="49"/>
        <v>0</v>
      </c>
      <c r="H151">
        <f>Tervezés!I154</f>
        <v>0</v>
      </c>
      <c r="I151">
        <f>Tervezés!J154</f>
        <v>0</v>
      </c>
      <c r="J151">
        <f>Tervezés!K154</f>
        <v>0</v>
      </c>
      <c r="K151">
        <f>Tervezés!L154</f>
        <v>0</v>
      </c>
      <c r="L151">
        <f>Tervezés!M154</f>
        <v>0</v>
      </c>
      <c r="M151" s="322" t="str">
        <f>IFERROR(VLOOKUP(A151,PAR!$D$3:$E$53,2,FALSE),"nincs szervezet")</f>
        <v>nincs szervezet</v>
      </c>
      <c r="N151" s="322" t="str">
        <f>VLOOKUP(F151,PAR!$R$3:$S$5,2,FALSE)</f>
        <v>3 - egyik sem</v>
      </c>
      <c r="O151" t="str">
        <f>IFERROR(VLOOKUP(J151,PAR!$O$3:$P$5,2,FALSE),"nincs feladat")</f>
        <v>nincs feladat</v>
      </c>
      <c r="P151" t="str">
        <f>IFERROR(VLOOKUP(G151,PAR!$J$2:$M$19,4),"nincs rovat")</f>
        <v>nincs rovat</v>
      </c>
      <c r="Q151" t="str">
        <f>IF(H151&gt;0,VLOOKUP(H151,PAR!$AA$3:$AC$187,3,FALSE),"nincs főkönyvi számla")</f>
        <v>nincs főkönyvi számla</v>
      </c>
      <c r="R151" t="str">
        <f>IFERROR(VLOOKUP(K151,PAR!$V$3:$X$438,3,FALSE),"000000 - Nincs COFOG")</f>
        <v>000000 - Nincs COFOG</v>
      </c>
      <c r="S151">
        <f t="shared" si="50"/>
        <v>0</v>
      </c>
      <c r="T151">
        <f t="shared" si="51"/>
        <v>0</v>
      </c>
      <c r="U151" t="str">
        <f>IF(Tervezés!F154&gt;0,CONCATENATE(Tervezés!E154," - ",Tervezés!F154,", ",Tervezés!J154),"nincs megjegyzés")</f>
        <v>nincs megjegyzés</v>
      </c>
      <c r="V151" t="str">
        <f t="shared" si="38"/>
        <v>6000</v>
      </c>
      <c r="W151" t="str">
        <f t="shared" si="39"/>
        <v>6000</v>
      </c>
      <c r="X151" t="str">
        <f t="shared" si="40"/>
        <v>00</v>
      </c>
      <c r="Y151" t="str">
        <f t="shared" si="41"/>
        <v>600</v>
      </c>
      <c r="Z151" t="str">
        <f t="shared" si="52"/>
        <v>00</v>
      </c>
      <c r="AA151" t="str">
        <f t="shared" si="42"/>
        <v>600</v>
      </c>
      <c r="AB151" t="str">
        <f t="shared" si="43"/>
        <v>00</v>
      </c>
      <c r="AC151" t="str">
        <f t="shared" si="44"/>
        <v>6000</v>
      </c>
      <c r="AD151" t="str">
        <f t="shared" si="45"/>
        <v>000</v>
      </c>
      <c r="AE151" t="str">
        <f t="shared" si="46"/>
        <v>6000</v>
      </c>
      <c r="AF151" t="str">
        <f t="shared" si="47"/>
        <v>000</v>
      </c>
      <c r="AG151" t="str">
        <f t="shared" si="53"/>
        <v>60000</v>
      </c>
      <c r="AH151" t="str">
        <f t="shared" si="54"/>
        <v>0000</v>
      </c>
      <c r="AI151" t="str">
        <f t="shared" si="55"/>
        <v>60000</v>
      </c>
      <c r="AJ151" t="str">
        <f t="shared" si="56"/>
        <v>0000</v>
      </c>
    </row>
    <row r="152" spans="1:36" x14ac:dyDescent="0.25">
      <c r="A152" s="325">
        <f>Tervezés!B155</f>
        <v>0</v>
      </c>
      <c r="B152">
        <v>60</v>
      </c>
      <c r="C152">
        <f>Tervezés!E155</f>
        <v>0</v>
      </c>
      <c r="D152">
        <f>Tervezés!F155</f>
        <v>0</v>
      </c>
      <c r="E152">
        <f>Tervezés!H155</f>
        <v>0</v>
      </c>
      <c r="F152" t="str">
        <f t="shared" si="48"/>
        <v>0</v>
      </c>
      <c r="G152" t="str">
        <f t="shared" si="49"/>
        <v>0</v>
      </c>
      <c r="H152">
        <f>Tervezés!I155</f>
        <v>0</v>
      </c>
      <c r="I152">
        <f>Tervezés!J155</f>
        <v>0</v>
      </c>
      <c r="J152">
        <f>Tervezés!K155</f>
        <v>0</v>
      </c>
      <c r="K152">
        <f>Tervezés!L155</f>
        <v>0</v>
      </c>
      <c r="L152">
        <f>Tervezés!M155</f>
        <v>0</v>
      </c>
      <c r="M152" s="322" t="str">
        <f>IFERROR(VLOOKUP(A152,PAR!$D$3:$E$53,2,FALSE),"nincs szervezet")</f>
        <v>nincs szervezet</v>
      </c>
      <c r="N152" s="322" t="str">
        <f>VLOOKUP(F152,PAR!$R$3:$S$5,2,FALSE)</f>
        <v>3 - egyik sem</v>
      </c>
      <c r="O152" t="str">
        <f>IFERROR(VLOOKUP(J152,PAR!$O$3:$P$5,2,FALSE),"nincs feladat")</f>
        <v>nincs feladat</v>
      </c>
      <c r="P152" t="str">
        <f>IFERROR(VLOOKUP(G152,PAR!$J$2:$M$19,4),"nincs rovat")</f>
        <v>nincs rovat</v>
      </c>
      <c r="Q152" t="str">
        <f>IF(H152&gt;0,VLOOKUP(H152,PAR!$AA$3:$AC$187,3,FALSE),"nincs főkönyvi számla")</f>
        <v>nincs főkönyvi számla</v>
      </c>
      <c r="R152" t="str">
        <f>IFERROR(VLOOKUP(K152,PAR!$V$3:$X$438,3,FALSE),"000000 - Nincs COFOG")</f>
        <v>000000 - Nincs COFOG</v>
      </c>
      <c r="S152">
        <f t="shared" si="50"/>
        <v>0</v>
      </c>
      <c r="T152">
        <f t="shared" si="51"/>
        <v>0</v>
      </c>
      <c r="U152" t="str">
        <f>IF(Tervezés!F155&gt;0,CONCATENATE(Tervezés!E155," - ",Tervezés!F155,", ",Tervezés!J155),"nincs megjegyzés")</f>
        <v>nincs megjegyzés</v>
      </c>
      <c r="V152" t="str">
        <f t="shared" si="38"/>
        <v>6000</v>
      </c>
      <c r="W152" t="str">
        <f t="shared" si="39"/>
        <v>6000</v>
      </c>
      <c r="X152" t="str">
        <f t="shared" si="40"/>
        <v>00</v>
      </c>
      <c r="Y152" t="str">
        <f t="shared" si="41"/>
        <v>600</v>
      </c>
      <c r="Z152" t="str">
        <f t="shared" si="52"/>
        <v>00</v>
      </c>
      <c r="AA152" t="str">
        <f t="shared" si="42"/>
        <v>600</v>
      </c>
      <c r="AB152" t="str">
        <f t="shared" si="43"/>
        <v>00</v>
      </c>
      <c r="AC152" t="str">
        <f t="shared" si="44"/>
        <v>6000</v>
      </c>
      <c r="AD152" t="str">
        <f t="shared" si="45"/>
        <v>000</v>
      </c>
      <c r="AE152" t="str">
        <f t="shared" si="46"/>
        <v>6000</v>
      </c>
      <c r="AF152" t="str">
        <f t="shared" si="47"/>
        <v>000</v>
      </c>
      <c r="AG152" t="str">
        <f t="shared" si="53"/>
        <v>60000</v>
      </c>
      <c r="AH152" t="str">
        <f t="shared" si="54"/>
        <v>0000</v>
      </c>
      <c r="AI152" t="str">
        <f t="shared" si="55"/>
        <v>60000</v>
      </c>
      <c r="AJ152" t="str">
        <f t="shared" si="56"/>
        <v>0000</v>
      </c>
    </row>
    <row r="153" spans="1:36" x14ac:dyDescent="0.25">
      <c r="A153" s="325">
        <f>Tervezés!B156</f>
        <v>0</v>
      </c>
      <c r="B153">
        <v>60</v>
      </c>
      <c r="C153">
        <f>Tervezés!E156</f>
        <v>0</v>
      </c>
      <c r="D153">
        <f>Tervezés!F156</f>
        <v>0</v>
      </c>
      <c r="E153">
        <f>Tervezés!H156</f>
        <v>0</v>
      </c>
      <c r="F153" t="str">
        <f t="shared" si="48"/>
        <v>0</v>
      </c>
      <c r="G153" t="str">
        <f t="shared" si="49"/>
        <v>0</v>
      </c>
      <c r="H153">
        <f>Tervezés!I156</f>
        <v>0</v>
      </c>
      <c r="I153">
        <f>Tervezés!J156</f>
        <v>0</v>
      </c>
      <c r="J153">
        <f>Tervezés!K156</f>
        <v>0</v>
      </c>
      <c r="K153">
        <f>Tervezés!L156</f>
        <v>0</v>
      </c>
      <c r="L153">
        <f>Tervezés!M156</f>
        <v>0</v>
      </c>
      <c r="M153" s="322" t="str">
        <f>IFERROR(VLOOKUP(A153,PAR!$D$3:$E$53,2,FALSE),"nincs szervezet")</f>
        <v>nincs szervezet</v>
      </c>
      <c r="N153" s="322" t="str">
        <f>VLOOKUP(F153,PAR!$R$3:$S$5,2,FALSE)</f>
        <v>3 - egyik sem</v>
      </c>
      <c r="O153" t="str">
        <f>IFERROR(VLOOKUP(J153,PAR!$O$3:$P$5,2,FALSE),"nincs feladat")</f>
        <v>nincs feladat</v>
      </c>
      <c r="P153" t="str">
        <f>IFERROR(VLOOKUP(G153,PAR!$J$2:$M$19,4),"nincs rovat")</f>
        <v>nincs rovat</v>
      </c>
      <c r="Q153" t="str">
        <f>IF(H153&gt;0,VLOOKUP(H153,PAR!$AA$3:$AC$187,3,FALSE),"nincs főkönyvi számla")</f>
        <v>nincs főkönyvi számla</v>
      </c>
      <c r="R153" t="str">
        <f>IFERROR(VLOOKUP(K153,PAR!$V$3:$X$438,3,FALSE),"000000 - Nincs COFOG")</f>
        <v>000000 - Nincs COFOG</v>
      </c>
      <c r="S153">
        <f t="shared" si="50"/>
        <v>0</v>
      </c>
      <c r="T153">
        <f t="shared" si="51"/>
        <v>0</v>
      </c>
      <c r="U153" t="str">
        <f>IF(Tervezés!F156&gt;0,CONCATENATE(Tervezés!E156," - ",Tervezés!F156,", ",Tervezés!J156),"nincs megjegyzés")</f>
        <v>nincs megjegyzés</v>
      </c>
      <c r="V153" t="str">
        <f t="shared" si="38"/>
        <v>6000</v>
      </c>
      <c r="W153" t="str">
        <f t="shared" si="39"/>
        <v>6000</v>
      </c>
      <c r="X153" t="str">
        <f t="shared" si="40"/>
        <v>00</v>
      </c>
      <c r="Y153" t="str">
        <f t="shared" si="41"/>
        <v>600</v>
      </c>
      <c r="Z153" t="str">
        <f t="shared" si="52"/>
        <v>00</v>
      </c>
      <c r="AA153" t="str">
        <f t="shared" si="42"/>
        <v>600</v>
      </c>
      <c r="AB153" t="str">
        <f t="shared" si="43"/>
        <v>00</v>
      </c>
      <c r="AC153" t="str">
        <f t="shared" si="44"/>
        <v>6000</v>
      </c>
      <c r="AD153" t="str">
        <f t="shared" si="45"/>
        <v>000</v>
      </c>
      <c r="AE153" t="str">
        <f t="shared" si="46"/>
        <v>6000</v>
      </c>
      <c r="AF153" t="str">
        <f t="shared" si="47"/>
        <v>000</v>
      </c>
      <c r="AG153" t="str">
        <f t="shared" si="53"/>
        <v>60000</v>
      </c>
      <c r="AH153" t="str">
        <f t="shared" si="54"/>
        <v>0000</v>
      </c>
      <c r="AI153" t="str">
        <f t="shared" si="55"/>
        <v>60000</v>
      </c>
      <c r="AJ153" t="str">
        <f t="shared" si="56"/>
        <v>0000</v>
      </c>
    </row>
    <row r="154" spans="1:36" x14ac:dyDescent="0.25">
      <c r="A154" s="325">
        <f>Tervezés!B157</f>
        <v>0</v>
      </c>
      <c r="B154">
        <v>60</v>
      </c>
      <c r="C154">
        <f>Tervezés!E157</f>
        <v>0</v>
      </c>
      <c r="D154">
        <f>Tervezés!F157</f>
        <v>0</v>
      </c>
      <c r="E154">
        <f>Tervezés!H157</f>
        <v>0</v>
      </c>
      <c r="F154" t="str">
        <f t="shared" si="48"/>
        <v>0</v>
      </c>
      <c r="G154" t="str">
        <f t="shared" si="49"/>
        <v>0</v>
      </c>
      <c r="H154">
        <f>Tervezés!I157</f>
        <v>0</v>
      </c>
      <c r="I154">
        <f>Tervezés!J157</f>
        <v>0</v>
      </c>
      <c r="J154">
        <f>Tervezés!K157</f>
        <v>0</v>
      </c>
      <c r="K154">
        <f>Tervezés!L157</f>
        <v>0</v>
      </c>
      <c r="L154">
        <f>Tervezés!M157</f>
        <v>0</v>
      </c>
      <c r="M154" s="322" t="str">
        <f>IFERROR(VLOOKUP(A154,PAR!$D$3:$E$53,2,FALSE),"nincs szervezet")</f>
        <v>nincs szervezet</v>
      </c>
      <c r="N154" s="322" t="str">
        <f>VLOOKUP(F154,PAR!$R$3:$S$5,2,FALSE)</f>
        <v>3 - egyik sem</v>
      </c>
      <c r="O154" t="str">
        <f>IFERROR(VLOOKUP(J154,PAR!$O$3:$P$5,2,FALSE),"nincs feladat")</f>
        <v>nincs feladat</v>
      </c>
      <c r="P154" t="str">
        <f>IFERROR(VLOOKUP(G154,PAR!$J$2:$M$19,4),"nincs rovat")</f>
        <v>nincs rovat</v>
      </c>
      <c r="Q154" t="str">
        <f>IF(H154&gt;0,VLOOKUP(H154,PAR!$AA$3:$AC$187,3,FALSE),"nincs főkönyvi számla")</f>
        <v>nincs főkönyvi számla</v>
      </c>
      <c r="R154" t="str">
        <f>IFERROR(VLOOKUP(K154,PAR!$V$3:$X$438,3,FALSE),"000000 - Nincs COFOG")</f>
        <v>000000 - Nincs COFOG</v>
      </c>
      <c r="S154">
        <f t="shared" si="50"/>
        <v>0</v>
      </c>
      <c r="T154">
        <f t="shared" si="51"/>
        <v>0</v>
      </c>
      <c r="U154" t="str">
        <f>IF(Tervezés!F157&gt;0,CONCATENATE(Tervezés!E157," - ",Tervezés!F157,", ",Tervezés!J157),"nincs megjegyzés")</f>
        <v>nincs megjegyzés</v>
      </c>
      <c r="V154" t="str">
        <f t="shared" si="38"/>
        <v>6000</v>
      </c>
      <c r="W154" t="str">
        <f t="shared" si="39"/>
        <v>6000</v>
      </c>
      <c r="X154" t="str">
        <f t="shared" si="40"/>
        <v>00</v>
      </c>
      <c r="Y154" t="str">
        <f t="shared" si="41"/>
        <v>600</v>
      </c>
      <c r="Z154" t="str">
        <f t="shared" si="52"/>
        <v>00</v>
      </c>
      <c r="AA154" t="str">
        <f t="shared" si="42"/>
        <v>600</v>
      </c>
      <c r="AB154" t="str">
        <f t="shared" si="43"/>
        <v>00</v>
      </c>
      <c r="AC154" t="str">
        <f t="shared" si="44"/>
        <v>6000</v>
      </c>
      <c r="AD154" t="str">
        <f t="shared" si="45"/>
        <v>000</v>
      </c>
      <c r="AE154" t="str">
        <f t="shared" si="46"/>
        <v>6000</v>
      </c>
      <c r="AF154" t="str">
        <f t="shared" si="47"/>
        <v>000</v>
      </c>
      <c r="AG154" t="str">
        <f t="shared" si="53"/>
        <v>60000</v>
      </c>
      <c r="AH154" t="str">
        <f t="shared" si="54"/>
        <v>0000</v>
      </c>
      <c r="AI154" t="str">
        <f t="shared" si="55"/>
        <v>60000</v>
      </c>
      <c r="AJ154" t="str">
        <f t="shared" si="56"/>
        <v>0000</v>
      </c>
    </row>
    <row r="155" spans="1:36" x14ac:dyDescent="0.25">
      <c r="A155" s="325">
        <f>Tervezés!B158</f>
        <v>0</v>
      </c>
      <c r="B155">
        <v>60</v>
      </c>
      <c r="C155">
        <f>Tervezés!E158</f>
        <v>0</v>
      </c>
      <c r="D155">
        <f>Tervezés!F158</f>
        <v>0</v>
      </c>
      <c r="E155">
        <f>Tervezés!H158</f>
        <v>0</v>
      </c>
      <c r="F155" t="str">
        <f t="shared" si="48"/>
        <v>0</v>
      </c>
      <c r="G155" t="str">
        <f t="shared" si="49"/>
        <v>0</v>
      </c>
      <c r="H155">
        <f>Tervezés!I158</f>
        <v>0</v>
      </c>
      <c r="I155">
        <f>Tervezés!J158</f>
        <v>0</v>
      </c>
      <c r="J155">
        <f>Tervezés!K158</f>
        <v>0</v>
      </c>
      <c r="K155">
        <f>Tervezés!L158</f>
        <v>0</v>
      </c>
      <c r="L155">
        <f>Tervezés!M158</f>
        <v>0</v>
      </c>
      <c r="M155" s="322" t="str">
        <f>IFERROR(VLOOKUP(A155,PAR!$D$3:$E$53,2,FALSE),"nincs szervezet")</f>
        <v>nincs szervezet</v>
      </c>
      <c r="N155" s="322" t="str">
        <f>VLOOKUP(F155,PAR!$R$3:$S$5,2,FALSE)</f>
        <v>3 - egyik sem</v>
      </c>
      <c r="O155" t="str">
        <f>IFERROR(VLOOKUP(J155,PAR!$O$3:$P$5,2,FALSE),"nincs feladat")</f>
        <v>nincs feladat</v>
      </c>
      <c r="P155" t="str">
        <f>IFERROR(VLOOKUP(G155,PAR!$J$2:$M$19,4),"nincs rovat")</f>
        <v>nincs rovat</v>
      </c>
      <c r="Q155" t="str">
        <f>IF(H155&gt;0,VLOOKUP(H155,PAR!$AA$3:$AC$187,3,FALSE),"nincs főkönyvi számla")</f>
        <v>nincs főkönyvi számla</v>
      </c>
      <c r="R155" t="str">
        <f>IFERROR(VLOOKUP(K155,PAR!$V$3:$X$438,3,FALSE),"000000 - Nincs COFOG")</f>
        <v>000000 - Nincs COFOG</v>
      </c>
      <c r="S155">
        <f t="shared" si="50"/>
        <v>0</v>
      </c>
      <c r="T155">
        <f t="shared" si="51"/>
        <v>0</v>
      </c>
      <c r="U155" t="str">
        <f>IF(Tervezés!F158&gt;0,CONCATENATE(Tervezés!E158," - ",Tervezés!F158,", ",Tervezés!J158),"nincs megjegyzés")</f>
        <v>nincs megjegyzés</v>
      </c>
      <c r="V155" t="str">
        <f t="shared" si="38"/>
        <v>6000</v>
      </c>
      <c r="W155" t="str">
        <f t="shared" si="39"/>
        <v>6000</v>
      </c>
      <c r="X155" t="str">
        <f t="shared" si="40"/>
        <v>00</v>
      </c>
      <c r="Y155" t="str">
        <f t="shared" si="41"/>
        <v>600</v>
      </c>
      <c r="Z155" t="str">
        <f t="shared" si="52"/>
        <v>00</v>
      </c>
      <c r="AA155" t="str">
        <f t="shared" si="42"/>
        <v>600</v>
      </c>
      <c r="AB155" t="str">
        <f t="shared" si="43"/>
        <v>00</v>
      </c>
      <c r="AC155" t="str">
        <f t="shared" si="44"/>
        <v>6000</v>
      </c>
      <c r="AD155" t="str">
        <f t="shared" si="45"/>
        <v>000</v>
      </c>
      <c r="AE155" t="str">
        <f t="shared" si="46"/>
        <v>6000</v>
      </c>
      <c r="AF155" t="str">
        <f t="shared" si="47"/>
        <v>000</v>
      </c>
      <c r="AG155" t="str">
        <f t="shared" si="53"/>
        <v>60000</v>
      </c>
      <c r="AH155" t="str">
        <f t="shared" si="54"/>
        <v>0000</v>
      </c>
      <c r="AI155" t="str">
        <f t="shared" si="55"/>
        <v>60000</v>
      </c>
      <c r="AJ155" t="str">
        <f t="shared" si="56"/>
        <v>0000</v>
      </c>
    </row>
    <row r="156" spans="1:36" x14ac:dyDescent="0.25">
      <c r="A156" s="325">
        <f>Tervezés!B159</f>
        <v>0</v>
      </c>
      <c r="B156">
        <v>60</v>
      </c>
      <c r="C156">
        <f>Tervezés!E159</f>
        <v>0</v>
      </c>
      <c r="D156">
        <f>Tervezés!F159</f>
        <v>0</v>
      </c>
      <c r="E156">
        <f>Tervezés!H159</f>
        <v>0</v>
      </c>
      <c r="F156" t="str">
        <f t="shared" si="48"/>
        <v>0</v>
      </c>
      <c r="G156" t="str">
        <f t="shared" si="49"/>
        <v>0</v>
      </c>
      <c r="H156">
        <f>Tervezés!I159</f>
        <v>0</v>
      </c>
      <c r="I156">
        <f>Tervezés!J159</f>
        <v>0</v>
      </c>
      <c r="J156">
        <f>Tervezés!K159</f>
        <v>0</v>
      </c>
      <c r="K156">
        <f>Tervezés!L159</f>
        <v>0</v>
      </c>
      <c r="L156">
        <f>Tervezés!M159</f>
        <v>0</v>
      </c>
      <c r="M156" s="322" t="str">
        <f>IFERROR(VLOOKUP(A156,PAR!$D$3:$E$53,2,FALSE),"nincs szervezet")</f>
        <v>nincs szervezet</v>
      </c>
      <c r="N156" s="322" t="str">
        <f>VLOOKUP(F156,PAR!$R$3:$S$5,2,FALSE)</f>
        <v>3 - egyik sem</v>
      </c>
      <c r="O156" t="str">
        <f>IFERROR(VLOOKUP(J156,PAR!$O$3:$P$5,2,FALSE),"nincs feladat")</f>
        <v>nincs feladat</v>
      </c>
      <c r="P156" t="str">
        <f>IFERROR(VLOOKUP(G156,PAR!$J$2:$M$19,4),"nincs rovat")</f>
        <v>nincs rovat</v>
      </c>
      <c r="Q156" t="str">
        <f>IF(H156&gt;0,VLOOKUP(H156,PAR!$AA$3:$AC$187,3,FALSE),"nincs főkönyvi számla")</f>
        <v>nincs főkönyvi számla</v>
      </c>
      <c r="R156" t="str">
        <f>IFERROR(VLOOKUP(K156,PAR!$V$3:$X$438,3,FALSE),"000000 - Nincs COFOG")</f>
        <v>000000 - Nincs COFOG</v>
      </c>
      <c r="S156">
        <f t="shared" si="50"/>
        <v>0</v>
      </c>
      <c r="T156">
        <f t="shared" si="51"/>
        <v>0</v>
      </c>
      <c r="U156" t="str">
        <f>IF(Tervezés!F159&gt;0,CONCATENATE(Tervezés!E159," - ",Tervezés!F159,", ",Tervezés!J159),"nincs megjegyzés")</f>
        <v>nincs megjegyzés</v>
      </c>
      <c r="V156" t="str">
        <f t="shared" si="38"/>
        <v>6000</v>
      </c>
      <c r="W156" t="str">
        <f t="shared" si="39"/>
        <v>6000</v>
      </c>
      <c r="X156" t="str">
        <f t="shared" si="40"/>
        <v>00</v>
      </c>
      <c r="Y156" t="str">
        <f t="shared" si="41"/>
        <v>600</v>
      </c>
      <c r="Z156" t="str">
        <f t="shared" si="52"/>
        <v>00</v>
      </c>
      <c r="AA156" t="str">
        <f t="shared" si="42"/>
        <v>600</v>
      </c>
      <c r="AB156" t="str">
        <f t="shared" si="43"/>
        <v>00</v>
      </c>
      <c r="AC156" t="str">
        <f t="shared" si="44"/>
        <v>6000</v>
      </c>
      <c r="AD156" t="str">
        <f t="shared" si="45"/>
        <v>000</v>
      </c>
      <c r="AE156" t="str">
        <f t="shared" si="46"/>
        <v>6000</v>
      </c>
      <c r="AF156" t="str">
        <f t="shared" si="47"/>
        <v>000</v>
      </c>
      <c r="AG156" t="str">
        <f t="shared" si="53"/>
        <v>60000</v>
      </c>
      <c r="AH156" t="str">
        <f t="shared" si="54"/>
        <v>0000</v>
      </c>
      <c r="AI156" t="str">
        <f t="shared" si="55"/>
        <v>60000</v>
      </c>
      <c r="AJ156" t="str">
        <f t="shared" si="56"/>
        <v>0000</v>
      </c>
    </row>
    <row r="157" spans="1:36" x14ac:dyDescent="0.25">
      <c r="A157" s="325">
        <f>Tervezés!B160</f>
        <v>0</v>
      </c>
      <c r="B157">
        <v>60</v>
      </c>
      <c r="C157">
        <f>Tervezés!E160</f>
        <v>0</v>
      </c>
      <c r="D157">
        <f>Tervezés!F160</f>
        <v>0</v>
      </c>
      <c r="E157">
        <f>Tervezés!H160</f>
        <v>0</v>
      </c>
      <c r="F157" t="str">
        <f t="shared" si="48"/>
        <v>0</v>
      </c>
      <c r="G157" t="str">
        <f t="shared" si="49"/>
        <v>0</v>
      </c>
      <c r="H157">
        <f>Tervezés!I160</f>
        <v>0</v>
      </c>
      <c r="I157">
        <f>Tervezés!J160</f>
        <v>0</v>
      </c>
      <c r="J157">
        <f>Tervezés!K160</f>
        <v>0</v>
      </c>
      <c r="K157">
        <f>Tervezés!L160</f>
        <v>0</v>
      </c>
      <c r="L157">
        <f>Tervezés!M160</f>
        <v>0</v>
      </c>
      <c r="M157" s="322" t="str">
        <f>IFERROR(VLOOKUP(A157,PAR!$D$3:$E$53,2,FALSE),"nincs szervezet")</f>
        <v>nincs szervezet</v>
      </c>
      <c r="N157" s="322" t="str">
        <f>VLOOKUP(F157,PAR!$R$3:$S$5,2,FALSE)</f>
        <v>3 - egyik sem</v>
      </c>
      <c r="O157" t="str">
        <f>IFERROR(VLOOKUP(J157,PAR!$O$3:$P$5,2,FALSE),"nincs feladat")</f>
        <v>nincs feladat</v>
      </c>
      <c r="P157" t="str">
        <f>IFERROR(VLOOKUP(G157,PAR!$J$2:$M$19,4),"nincs rovat")</f>
        <v>nincs rovat</v>
      </c>
      <c r="Q157" t="str">
        <f>IF(H157&gt;0,VLOOKUP(H157,PAR!$AA$3:$AC$187,3,FALSE),"nincs főkönyvi számla")</f>
        <v>nincs főkönyvi számla</v>
      </c>
      <c r="R157" t="str">
        <f>IFERROR(VLOOKUP(K157,PAR!$V$3:$X$438,3,FALSE),"000000 - Nincs COFOG")</f>
        <v>000000 - Nincs COFOG</v>
      </c>
      <c r="S157">
        <f t="shared" si="50"/>
        <v>0</v>
      </c>
      <c r="T157">
        <f t="shared" si="51"/>
        <v>0</v>
      </c>
      <c r="U157" t="str">
        <f>IF(Tervezés!F160&gt;0,CONCATENATE(Tervezés!E160," - ",Tervezés!F160,", ",Tervezés!J160),"nincs megjegyzés")</f>
        <v>nincs megjegyzés</v>
      </c>
      <c r="V157" t="str">
        <f t="shared" si="38"/>
        <v>6000</v>
      </c>
      <c r="W157" t="str">
        <f t="shared" si="39"/>
        <v>6000</v>
      </c>
      <c r="X157" t="str">
        <f t="shared" si="40"/>
        <v>00</v>
      </c>
      <c r="Y157" t="str">
        <f t="shared" si="41"/>
        <v>600</v>
      </c>
      <c r="Z157" t="str">
        <f t="shared" si="52"/>
        <v>00</v>
      </c>
      <c r="AA157" t="str">
        <f t="shared" si="42"/>
        <v>600</v>
      </c>
      <c r="AB157" t="str">
        <f t="shared" si="43"/>
        <v>00</v>
      </c>
      <c r="AC157" t="str">
        <f t="shared" si="44"/>
        <v>6000</v>
      </c>
      <c r="AD157" t="str">
        <f t="shared" si="45"/>
        <v>000</v>
      </c>
      <c r="AE157" t="str">
        <f t="shared" si="46"/>
        <v>6000</v>
      </c>
      <c r="AF157" t="str">
        <f t="shared" si="47"/>
        <v>000</v>
      </c>
      <c r="AG157" t="str">
        <f t="shared" si="53"/>
        <v>60000</v>
      </c>
      <c r="AH157" t="str">
        <f t="shared" si="54"/>
        <v>0000</v>
      </c>
      <c r="AI157" t="str">
        <f t="shared" si="55"/>
        <v>60000</v>
      </c>
      <c r="AJ157" t="str">
        <f t="shared" si="56"/>
        <v>0000</v>
      </c>
    </row>
    <row r="158" spans="1:36" x14ac:dyDescent="0.25">
      <c r="A158" s="325">
        <f>Tervezés!B161</f>
        <v>0</v>
      </c>
      <c r="B158">
        <v>60</v>
      </c>
      <c r="C158">
        <f>Tervezés!E161</f>
        <v>0</v>
      </c>
      <c r="D158">
        <f>Tervezés!F161</f>
        <v>0</v>
      </c>
      <c r="E158">
        <f>Tervezés!H161</f>
        <v>0</v>
      </c>
      <c r="F158" t="str">
        <f t="shared" si="48"/>
        <v>0</v>
      </c>
      <c r="G158" t="str">
        <f t="shared" si="49"/>
        <v>0</v>
      </c>
      <c r="H158">
        <f>Tervezés!I161</f>
        <v>0</v>
      </c>
      <c r="I158">
        <f>Tervezés!J161</f>
        <v>0</v>
      </c>
      <c r="J158">
        <f>Tervezés!K161</f>
        <v>0</v>
      </c>
      <c r="K158">
        <f>Tervezés!L161</f>
        <v>0</v>
      </c>
      <c r="L158">
        <f>Tervezés!M161</f>
        <v>0</v>
      </c>
      <c r="M158" s="322" t="str">
        <f>IFERROR(VLOOKUP(A158,PAR!$D$3:$E$53,2,FALSE),"nincs szervezet")</f>
        <v>nincs szervezet</v>
      </c>
      <c r="N158" s="322" t="str">
        <f>VLOOKUP(F158,PAR!$R$3:$S$5,2,FALSE)</f>
        <v>3 - egyik sem</v>
      </c>
      <c r="O158" t="str">
        <f>IFERROR(VLOOKUP(J158,PAR!$O$3:$P$5,2,FALSE),"nincs feladat")</f>
        <v>nincs feladat</v>
      </c>
      <c r="P158" t="str">
        <f>IFERROR(VLOOKUP(G158,PAR!$J$2:$M$19,4),"nincs rovat")</f>
        <v>nincs rovat</v>
      </c>
      <c r="Q158" t="str">
        <f>IF(H158&gt;0,VLOOKUP(H158,PAR!$AA$3:$AC$187,3,FALSE),"nincs főkönyvi számla")</f>
        <v>nincs főkönyvi számla</v>
      </c>
      <c r="R158" t="str">
        <f>IFERROR(VLOOKUP(K158,PAR!$V$3:$X$438,3,FALSE),"000000 - Nincs COFOG")</f>
        <v>000000 - Nincs COFOG</v>
      </c>
      <c r="S158">
        <f t="shared" si="50"/>
        <v>0</v>
      </c>
      <c r="T158">
        <f t="shared" si="51"/>
        <v>0</v>
      </c>
      <c r="U158" t="str">
        <f>IF(Tervezés!F161&gt;0,CONCATENATE(Tervezés!E161," - ",Tervezés!F161,", ",Tervezés!J161),"nincs megjegyzés")</f>
        <v>nincs megjegyzés</v>
      </c>
      <c r="V158" t="str">
        <f t="shared" si="38"/>
        <v>6000</v>
      </c>
      <c r="W158" t="str">
        <f t="shared" si="39"/>
        <v>6000</v>
      </c>
      <c r="X158" t="str">
        <f t="shared" si="40"/>
        <v>00</v>
      </c>
      <c r="Y158" t="str">
        <f t="shared" si="41"/>
        <v>600</v>
      </c>
      <c r="Z158" t="str">
        <f t="shared" si="52"/>
        <v>00</v>
      </c>
      <c r="AA158" t="str">
        <f t="shared" si="42"/>
        <v>600</v>
      </c>
      <c r="AB158" t="str">
        <f t="shared" si="43"/>
        <v>00</v>
      </c>
      <c r="AC158" t="str">
        <f t="shared" si="44"/>
        <v>6000</v>
      </c>
      <c r="AD158" t="str">
        <f t="shared" si="45"/>
        <v>000</v>
      </c>
      <c r="AE158" t="str">
        <f t="shared" si="46"/>
        <v>6000</v>
      </c>
      <c r="AF158" t="str">
        <f t="shared" si="47"/>
        <v>000</v>
      </c>
      <c r="AG158" t="str">
        <f t="shared" si="53"/>
        <v>60000</v>
      </c>
      <c r="AH158" t="str">
        <f t="shared" si="54"/>
        <v>0000</v>
      </c>
      <c r="AI158" t="str">
        <f t="shared" si="55"/>
        <v>60000</v>
      </c>
      <c r="AJ158" t="str">
        <f t="shared" si="56"/>
        <v>0000</v>
      </c>
    </row>
    <row r="159" spans="1:36" x14ac:dyDescent="0.25">
      <c r="A159" s="325">
        <f>Tervezés!B162</f>
        <v>0</v>
      </c>
      <c r="B159">
        <v>60</v>
      </c>
      <c r="C159">
        <f>Tervezés!E162</f>
        <v>0</v>
      </c>
      <c r="D159">
        <f>Tervezés!F162</f>
        <v>0</v>
      </c>
      <c r="E159">
        <f>Tervezés!H162</f>
        <v>0</v>
      </c>
      <c r="F159" t="str">
        <f t="shared" si="48"/>
        <v>0</v>
      </c>
      <c r="G159" t="str">
        <f t="shared" si="49"/>
        <v>0</v>
      </c>
      <c r="H159">
        <f>Tervezés!I162</f>
        <v>0</v>
      </c>
      <c r="I159">
        <f>Tervezés!J162</f>
        <v>0</v>
      </c>
      <c r="J159">
        <f>Tervezés!K162</f>
        <v>0</v>
      </c>
      <c r="K159">
        <f>Tervezés!L162</f>
        <v>0</v>
      </c>
      <c r="L159">
        <f>Tervezés!M162</f>
        <v>0</v>
      </c>
      <c r="M159" s="322" t="str">
        <f>IFERROR(VLOOKUP(A159,PAR!$D$3:$E$53,2,FALSE),"nincs szervezet")</f>
        <v>nincs szervezet</v>
      </c>
      <c r="N159" s="322" t="str">
        <f>VLOOKUP(F159,PAR!$R$3:$S$5,2,FALSE)</f>
        <v>3 - egyik sem</v>
      </c>
      <c r="O159" t="str">
        <f>IFERROR(VLOOKUP(J159,PAR!$O$3:$P$5,2,FALSE),"nincs feladat")</f>
        <v>nincs feladat</v>
      </c>
      <c r="P159" t="str">
        <f>IFERROR(VLOOKUP(G159,PAR!$J$2:$M$19,4),"nincs rovat")</f>
        <v>nincs rovat</v>
      </c>
      <c r="Q159" t="str">
        <f>IF(H159&gt;0,VLOOKUP(H159,PAR!$AA$3:$AC$187,3,FALSE),"nincs főkönyvi számla")</f>
        <v>nincs főkönyvi számla</v>
      </c>
      <c r="R159" t="str">
        <f>IFERROR(VLOOKUP(K159,PAR!$V$3:$X$438,3,FALSE),"000000 - Nincs COFOG")</f>
        <v>000000 - Nincs COFOG</v>
      </c>
      <c r="S159">
        <f t="shared" si="50"/>
        <v>0</v>
      </c>
      <c r="T159">
        <f t="shared" si="51"/>
        <v>0</v>
      </c>
      <c r="U159" t="str">
        <f>IF(Tervezés!F162&gt;0,CONCATENATE(Tervezés!E162," - ",Tervezés!F162,", ",Tervezés!J162),"nincs megjegyzés")</f>
        <v>nincs megjegyzés</v>
      </c>
      <c r="V159" t="str">
        <f t="shared" si="38"/>
        <v>6000</v>
      </c>
      <c r="W159" t="str">
        <f t="shared" si="39"/>
        <v>6000</v>
      </c>
      <c r="X159" t="str">
        <f t="shared" si="40"/>
        <v>00</v>
      </c>
      <c r="Y159" t="str">
        <f t="shared" si="41"/>
        <v>600</v>
      </c>
      <c r="Z159" t="str">
        <f t="shared" si="52"/>
        <v>00</v>
      </c>
      <c r="AA159" t="str">
        <f t="shared" si="42"/>
        <v>600</v>
      </c>
      <c r="AB159" t="str">
        <f t="shared" si="43"/>
        <v>00</v>
      </c>
      <c r="AC159" t="str">
        <f t="shared" si="44"/>
        <v>6000</v>
      </c>
      <c r="AD159" t="str">
        <f t="shared" si="45"/>
        <v>000</v>
      </c>
      <c r="AE159" t="str">
        <f t="shared" si="46"/>
        <v>6000</v>
      </c>
      <c r="AF159" t="str">
        <f t="shared" si="47"/>
        <v>000</v>
      </c>
      <c r="AG159" t="str">
        <f t="shared" si="53"/>
        <v>60000</v>
      </c>
      <c r="AH159" t="str">
        <f t="shared" si="54"/>
        <v>0000</v>
      </c>
      <c r="AI159" t="str">
        <f t="shared" si="55"/>
        <v>60000</v>
      </c>
      <c r="AJ159" t="str">
        <f t="shared" si="56"/>
        <v>0000</v>
      </c>
    </row>
    <row r="160" spans="1:36" x14ac:dyDescent="0.25">
      <c r="A160" s="325">
        <f>Tervezés!B163</f>
        <v>0</v>
      </c>
      <c r="B160">
        <v>60</v>
      </c>
      <c r="C160">
        <f>Tervezés!E163</f>
        <v>0</v>
      </c>
      <c r="D160">
        <f>Tervezés!F163</f>
        <v>0</v>
      </c>
      <c r="E160">
        <f>Tervezés!H163</f>
        <v>0</v>
      </c>
      <c r="F160" t="str">
        <f t="shared" si="48"/>
        <v>0</v>
      </c>
      <c r="G160" t="str">
        <f t="shared" si="49"/>
        <v>0</v>
      </c>
      <c r="H160">
        <f>Tervezés!I163</f>
        <v>0</v>
      </c>
      <c r="I160">
        <f>Tervezés!J163</f>
        <v>0</v>
      </c>
      <c r="J160">
        <f>Tervezés!K163</f>
        <v>0</v>
      </c>
      <c r="K160">
        <f>Tervezés!L163</f>
        <v>0</v>
      </c>
      <c r="L160">
        <f>Tervezés!M163</f>
        <v>0</v>
      </c>
      <c r="M160" s="322" t="str">
        <f>IFERROR(VLOOKUP(A160,PAR!$D$3:$E$53,2,FALSE),"nincs szervezet")</f>
        <v>nincs szervezet</v>
      </c>
      <c r="N160" s="322" t="str">
        <f>VLOOKUP(F160,PAR!$R$3:$S$5,2,FALSE)</f>
        <v>3 - egyik sem</v>
      </c>
      <c r="O160" t="str">
        <f>IFERROR(VLOOKUP(J160,PAR!$O$3:$P$5,2,FALSE),"nincs feladat")</f>
        <v>nincs feladat</v>
      </c>
      <c r="P160" t="str">
        <f>IFERROR(VLOOKUP(G160,PAR!$J$2:$M$19,4),"nincs rovat")</f>
        <v>nincs rovat</v>
      </c>
      <c r="Q160" t="str">
        <f>IF(H160&gt;0,VLOOKUP(H160,PAR!$AA$3:$AC$187,3,FALSE),"nincs főkönyvi számla")</f>
        <v>nincs főkönyvi számla</v>
      </c>
      <c r="R160" t="str">
        <f>IFERROR(VLOOKUP(K160,PAR!$V$3:$X$438,3,FALSE),"000000 - Nincs COFOG")</f>
        <v>000000 - Nincs COFOG</v>
      </c>
      <c r="S160">
        <f t="shared" si="50"/>
        <v>0</v>
      </c>
      <c r="T160">
        <f t="shared" si="51"/>
        <v>0</v>
      </c>
      <c r="U160" t="str">
        <f>IF(Tervezés!F163&gt;0,CONCATENATE(Tervezés!E163," - ",Tervezés!F163,", ",Tervezés!J163),"nincs megjegyzés")</f>
        <v>nincs megjegyzés</v>
      </c>
      <c r="V160" t="str">
        <f t="shared" si="38"/>
        <v>6000</v>
      </c>
      <c r="W160" t="str">
        <f t="shared" si="39"/>
        <v>6000</v>
      </c>
      <c r="X160" t="str">
        <f t="shared" si="40"/>
        <v>00</v>
      </c>
      <c r="Y160" t="str">
        <f t="shared" si="41"/>
        <v>600</v>
      </c>
      <c r="Z160" t="str">
        <f t="shared" si="52"/>
        <v>00</v>
      </c>
      <c r="AA160" t="str">
        <f t="shared" si="42"/>
        <v>600</v>
      </c>
      <c r="AB160" t="str">
        <f t="shared" si="43"/>
        <v>00</v>
      </c>
      <c r="AC160" t="str">
        <f t="shared" si="44"/>
        <v>6000</v>
      </c>
      <c r="AD160" t="str">
        <f t="shared" si="45"/>
        <v>000</v>
      </c>
      <c r="AE160" t="str">
        <f t="shared" si="46"/>
        <v>6000</v>
      </c>
      <c r="AF160" t="str">
        <f t="shared" si="47"/>
        <v>000</v>
      </c>
      <c r="AG160" t="str">
        <f t="shared" si="53"/>
        <v>60000</v>
      </c>
      <c r="AH160" t="str">
        <f t="shared" si="54"/>
        <v>0000</v>
      </c>
      <c r="AI160" t="str">
        <f t="shared" si="55"/>
        <v>60000</v>
      </c>
      <c r="AJ160" t="str">
        <f t="shared" si="56"/>
        <v>0000</v>
      </c>
    </row>
    <row r="161" spans="1:36" x14ac:dyDescent="0.25">
      <c r="A161" s="325">
        <f>Tervezés!B164</f>
        <v>0</v>
      </c>
      <c r="B161">
        <v>60</v>
      </c>
      <c r="C161">
        <f>Tervezés!E164</f>
        <v>0</v>
      </c>
      <c r="D161">
        <f>Tervezés!F164</f>
        <v>0</v>
      </c>
      <c r="E161">
        <f>Tervezés!H164</f>
        <v>0</v>
      </c>
      <c r="F161" t="str">
        <f t="shared" si="48"/>
        <v>0</v>
      </c>
      <c r="G161" t="str">
        <f t="shared" si="49"/>
        <v>0</v>
      </c>
      <c r="H161">
        <f>Tervezés!I164</f>
        <v>0</v>
      </c>
      <c r="I161">
        <f>Tervezés!J164</f>
        <v>0</v>
      </c>
      <c r="J161">
        <f>Tervezés!K164</f>
        <v>0</v>
      </c>
      <c r="K161">
        <f>Tervezés!L164</f>
        <v>0</v>
      </c>
      <c r="L161">
        <f>Tervezés!M164</f>
        <v>0</v>
      </c>
      <c r="M161" s="322" t="str">
        <f>IFERROR(VLOOKUP(A161,PAR!$D$3:$E$53,2,FALSE),"nincs szervezet")</f>
        <v>nincs szervezet</v>
      </c>
      <c r="N161" s="322" t="str">
        <f>VLOOKUP(F161,PAR!$R$3:$S$5,2,FALSE)</f>
        <v>3 - egyik sem</v>
      </c>
      <c r="O161" t="str">
        <f>IFERROR(VLOOKUP(J161,PAR!$O$3:$P$5,2,FALSE),"nincs feladat")</f>
        <v>nincs feladat</v>
      </c>
      <c r="P161" t="str">
        <f>IFERROR(VLOOKUP(G161,PAR!$J$2:$M$19,4),"nincs rovat")</f>
        <v>nincs rovat</v>
      </c>
      <c r="Q161" t="str">
        <f>IF(H161&gt;0,VLOOKUP(H161,PAR!$AA$3:$AC$187,3,FALSE),"nincs főkönyvi számla")</f>
        <v>nincs főkönyvi számla</v>
      </c>
      <c r="R161" t="str">
        <f>IFERROR(VLOOKUP(K161,PAR!$V$3:$X$438,3,FALSE),"000000 - Nincs COFOG")</f>
        <v>000000 - Nincs COFOG</v>
      </c>
      <c r="S161">
        <f t="shared" si="50"/>
        <v>0</v>
      </c>
      <c r="T161">
        <f t="shared" si="51"/>
        <v>0</v>
      </c>
      <c r="U161" t="str">
        <f>IF(Tervezés!F164&gt;0,CONCATENATE(Tervezés!E164," - ",Tervezés!F164,", ",Tervezés!J164),"nincs megjegyzés")</f>
        <v>nincs megjegyzés</v>
      </c>
      <c r="V161" t="str">
        <f t="shared" si="38"/>
        <v>6000</v>
      </c>
      <c r="W161" t="str">
        <f t="shared" si="39"/>
        <v>6000</v>
      </c>
      <c r="X161" t="str">
        <f t="shared" si="40"/>
        <v>00</v>
      </c>
      <c r="Y161" t="str">
        <f t="shared" si="41"/>
        <v>600</v>
      </c>
      <c r="Z161" t="str">
        <f t="shared" si="52"/>
        <v>00</v>
      </c>
      <c r="AA161" t="str">
        <f t="shared" si="42"/>
        <v>600</v>
      </c>
      <c r="AB161" t="str">
        <f t="shared" si="43"/>
        <v>00</v>
      </c>
      <c r="AC161" t="str">
        <f t="shared" si="44"/>
        <v>6000</v>
      </c>
      <c r="AD161" t="str">
        <f t="shared" si="45"/>
        <v>000</v>
      </c>
      <c r="AE161" t="str">
        <f t="shared" si="46"/>
        <v>6000</v>
      </c>
      <c r="AF161" t="str">
        <f t="shared" si="47"/>
        <v>000</v>
      </c>
      <c r="AG161" t="str">
        <f t="shared" si="53"/>
        <v>60000</v>
      </c>
      <c r="AH161" t="str">
        <f t="shared" si="54"/>
        <v>0000</v>
      </c>
      <c r="AI161" t="str">
        <f t="shared" si="55"/>
        <v>60000</v>
      </c>
      <c r="AJ161" t="str">
        <f t="shared" si="56"/>
        <v>0000</v>
      </c>
    </row>
    <row r="162" spans="1:36" x14ac:dyDescent="0.25">
      <c r="A162" s="325">
        <f>Tervezés!B165</f>
        <v>0</v>
      </c>
      <c r="B162">
        <v>60</v>
      </c>
      <c r="C162">
        <f>Tervezés!E165</f>
        <v>0</v>
      </c>
      <c r="D162">
        <f>Tervezés!F165</f>
        <v>0</v>
      </c>
      <c r="E162">
        <f>Tervezés!H165</f>
        <v>0</v>
      </c>
      <c r="F162" t="str">
        <f t="shared" si="48"/>
        <v>0</v>
      </c>
      <c r="G162" t="str">
        <f t="shared" si="49"/>
        <v>0</v>
      </c>
      <c r="H162">
        <f>Tervezés!I165</f>
        <v>0</v>
      </c>
      <c r="I162">
        <f>Tervezés!J165</f>
        <v>0</v>
      </c>
      <c r="J162">
        <f>Tervezés!K165</f>
        <v>0</v>
      </c>
      <c r="K162">
        <f>Tervezés!L165</f>
        <v>0</v>
      </c>
      <c r="L162">
        <f>Tervezés!M165</f>
        <v>0</v>
      </c>
      <c r="M162" s="322" t="str">
        <f>IFERROR(VLOOKUP(A162,PAR!$D$3:$E$53,2,FALSE),"nincs szervezet")</f>
        <v>nincs szervezet</v>
      </c>
      <c r="N162" s="322" t="str">
        <f>VLOOKUP(F162,PAR!$R$3:$S$5,2,FALSE)</f>
        <v>3 - egyik sem</v>
      </c>
      <c r="O162" t="str">
        <f>IFERROR(VLOOKUP(J162,PAR!$O$3:$P$5,2,FALSE),"nincs feladat")</f>
        <v>nincs feladat</v>
      </c>
      <c r="P162" t="str">
        <f>IFERROR(VLOOKUP(G162,PAR!$J$2:$M$19,4),"nincs rovat")</f>
        <v>nincs rovat</v>
      </c>
      <c r="Q162" t="str">
        <f>IF(H162&gt;0,VLOOKUP(H162,PAR!$AA$3:$AC$187,3,FALSE),"nincs főkönyvi számla")</f>
        <v>nincs főkönyvi számla</v>
      </c>
      <c r="R162" t="str">
        <f>IFERROR(VLOOKUP(K162,PAR!$V$3:$X$438,3,FALSE),"000000 - Nincs COFOG")</f>
        <v>000000 - Nincs COFOG</v>
      </c>
      <c r="S162">
        <f t="shared" si="50"/>
        <v>0</v>
      </c>
      <c r="T162">
        <f t="shared" si="51"/>
        <v>0</v>
      </c>
      <c r="U162" t="str">
        <f>IF(Tervezés!F165&gt;0,CONCATENATE(Tervezés!E165," - ",Tervezés!F165,", ",Tervezés!J165),"nincs megjegyzés")</f>
        <v>nincs megjegyzés</v>
      </c>
      <c r="V162" t="str">
        <f t="shared" si="38"/>
        <v>6000</v>
      </c>
      <c r="W162" t="str">
        <f t="shared" si="39"/>
        <v>6000</v>
      </c>
      <c r="X162" t="str">
        <f t="shared" si="40"/>
        <v>00</v>
      </c>
      <c r="Y162" t="str">
        <f t="shared" si="41"/>
        <v>600</v>
      </c>
      <c r="Z162" t="str">
        <f t="shared" si="52"/>
        <v>00</v>
      </c>
      <c r="AA162" t="str">
        <f t="shared" si="42"/>
        <v>600</v>
      </c>
      <c r="AB162" t="str">
        <f t="shared" si="43"/>
        <v>00</v>
      </c>
      <c r="AC162" t="str">
        <f t="shared" si="44"/>
        <v>6000</v>
      </c>
      <c r="AD162" t="str">
        <f t="shared" si="45"/>
        <v>000</v>
      </c>
      <c r="AE162" t="str">
        <f t="shared" si="46"/>
        <v>6000</v>
      </c>
      <c r="AF162" t="str">
        <f t="shared" si="47"/>
        <v>000</v>
      </c>
      <c r="AG162" t="str">
        <f t="shared" si="53"/>
        <v>60000</v>
      </c>
      <c r="AH162" t="str">
        <f t="shared" si="54"/>
        <v>0000</v>
      </c>
      <c r="AI162" t="str">
        <f t="shared" si="55"/>
        <v>60000</v>
      </c>
      <c r="AJ162" t="str">
        <f t="shared" si="56"/>
        <v>0000</v>
      </c>
    </row>
    <row r="163" spans="1:36" x14ac:dyDescent="0.25">
      <c r="A163" s="325">
        <f>Tervezés!B166</f>
        <v>0</v>
      </c>
      <c r="B163">
        <v>60</v>
      </c>
      <c r="C163">
        <f>Tervezés!E166</f>
        <v>0</v>
      </c>
      <c r="D163">
        <f>Tervezés!F166</f>
        <v>0</v>
      </c>
      <c r="E163">
        <f>Tervezés!H166</f>
        <v>0</v>
      </c>
      <c r="F163" t="str">
        <f t="shared" si="48"/>
        <v>0</v>
      </c>
      <c r="G163" t="str">
        <f t="shared" si="49"/>
        <v>0</v>
      </c>
      <c r="H163">
        <f>Tervezés!I166</f>
        <v>0</v>
      </c>
      <c r="I163">
        <f>Tervezés!J166</f>
        <v>0</v>
      </c>
      <c r="J163">
        <f>Tervezés!K166</f>
        <v>0</v>
      </c>
      <c r="K163">
        <f>Tervezés!L166</f>
        <v>0</v>
      </c>
      <c r="L163">
        <f>Tervezés!M166</f>
        <v>0</v>
      </c>
      <c r="M163" s="322" t="str">
        <f>IFERROR(VLOOKUP(A163,PAR!$D$3:$E$53,2,FALSE),"nincs szervezet")</f>
        <v>nincs szervezet</v>
      </c>
      <c r="N163" s="322" t="str">
        <f>VLOOKUP(F163,PAR!$R$3:$S$5,2,FALSE)</f>
        <v>3 - egyik sem</v>
      </c>
      <c r="O163" t="str">
        <f>IFERROR(VLOOKUP(J163,PAR!$O$3:$P$5,2,FALSE),"nincs feladat")</f>
        <v>nincs feladat</v>
      </c>
      <c r="P163" t="str">
        <f>IFERROR(VLOOKUP(G163,PAR!$J$2:$M$19,4),"nincs rovat")</f>
        <v>nincs rovat</v>
      </c>
      <c r="Q163" t="str">
        <f>IF(H163&gt;0,VLOOKUP(H163,PAR!$AA$3:$AC$187,3,FALSE),"nincs főkönyvi számla")</f>
        <v>nincs főkönyvi számla</v>
      </c>
      <c r="R163" t="str">
        <f>IFERROR(VLOOKUP(K163,PAR!$V$3:$X$438,3,FALSE),"000000 - Nincs COFOG")</f>
        <v>000000 - Nincs COFOG</v>
      </c>
      <c r="S163">
        <f t="shared" si="50"/>
        <v>0</v>
      </c>
      <c r="T163">
        <f t="shared" si="51"/>
        <v>0</v>
      </c>
      <c r="U163" t="str">
        <f>IF(Tervezés!F166&gt;0,CONCATENATE(Tervezés!E166," - ",Tervezés!F166,", ",Tervezés!J166),"nincs megjegyzés")</f>
        <v>nincs megjegyzés</v>
      </c>
      <c r="V163" t="str">
        <f t="shared" si="38"/>
        <v>6000</v>
      </c>
      <c r="W163" t="str">
        <f t="shared" si="39"/>
        <v>6000</v>
      </c>
      <c r="X163" t="str">
        <f t="shared" si="40"/>
        <v>00</v>
      </c>
      <c r="Y163" t="str">
        <f t="shared" si="41"/>
        <v>600</v>
      </c>
      <c r="Z163" t="str">
        <f t="shared" si="52"/>
        <v>00</v>
      </c>
      <c r="AA163" t="str">
        <f t="shared" si="42"/>
        <v>600</v>
      </c>
      <c r="AB163" t="str">
        <f t="shared" si="43"/>
        <v>00</v>
      </c>
      <c r="AC163" t="str">
        <f t="shared" si="44"/>
        <v>6000</v>
      </c>
      <c r="AD163" t="str">
        <f t="shared" si="45"/>
        <v>000</v>
      </c>
      <c r="AE163" t="str">
        <f t="shared" si="46"/>
        <v>6000</v>
      </c>
      <c r="AF163" t="str">
        <f t="shared" si="47"/>
        <v>000</v>
      </c>
      <c r="AG163" t="str">
        <f t="shared" si="53"/>
        <v>60000</v>
      </c>
      <c r="AH163" t="str">
        <f t="shared" si="54"/>
        <v>0000</v>
      </c>
      <c r="AI163" t="str">
        <f t="shared" si="55"/>
        <v>60000</v>
      </c>
      <c r="AJ163" t="str">
        <f t="shared" si="56"/>
        <v>0000</v>
      </c>
    </row>
    <row r="164" spans="1:36" x14ac:dyDescent="0.25">
      <c r="A164" s="325">
        <f>Tervezés!B167</f>
        <v>0</v>
      </c>
      <c r="B164">
        <v>60</v>
      </c>
      <c r="C164">
        <f>Tervezés!E167</f>
        <v>0</v>
      </c>
      <c r="D164">
        <f>Tervezés!F167</f>
        <v>0</v>
      </c>
      <c r="E164">
        <f>Tervezés!H167</f>
        <v>0</v>
      </c>
      <c r="F164" t="str">
        <f t="shared" si="48"/>
        <v>0</v>
      </c>
      <c r="G164" t="str">
        <f t="shared" si="49"/>
        <v>0</v>
      </c>
      <c r="H164">
        <f>Tervezés!I167</f>
        <v>0</v>
      </c>
      <c r="I164">
        <f>Tervezés!J167</f>
        <v>0</v>
      </c>
      <c r="J164">
        <f>Tervezés!K167</f>
        <v>0</v>
      </c>
      <c r="K164">
        <f>Tervezés!L167</f>
        <v>0</v>
      </c>
      <c r="L164">
        <f>Tervezés!M167</f>
        <v>0</v>
      </c>
      <c r="M164" s="322" t="str">
        <f>IFERROR(VLOOKUP(A164,PAR!$D$3:$E$53,2,FALSE),"nincs szervezet")</f>
        <v>nincs szervezet</v>
      </c>
      <c r="N164" s="322" t="str">
        <f>VLOOKUP(F164,PAR!$R$3:$S$5,2,FALSE)</f>
        <v>3 - egyik sem</v>
      </c>
      <c r="O164" t="str">
        <f>IFERROR(VLOOKUP(J164,PAR!$O$3:$P$5,2,FALSE),"nincs feladat")</f>
        <v>nincs feladat</v>
      </c>
      <c r="P164" t="str">
        <f>IFERROR(VLOOKUP(G164,PAR!$J$2:$M$19,4),"nincs rovat")</f>
        <v>nincs rovat</v>
      </c>
      <c r="Q164" t="str">
        <f>IF(H164&gt;0,VLOOKUP(H164,PAR!$AA$3:$AC$187,3,FALSE),"nincs főkönyvi számla")</f>
        <v>nincs főkönyvi számla</v>
      </c>
      <c r="R164" t="str">
        <f>IFERROR(VLOOKUP(K164,PAR!$V$3:$X$438,3,FALSE),"000000 - Nincs COFOG")</f>
        <v>000000 - Nincs COFOG</v>
      </c>
      <c r="S164">
        <f t="shared" si="50"/>
        <v>0</v>
      </c>
      <c r="T164">
        <f t="shared" si="51"/>
        <v>0</v>
      </c>
      <c r="U164" t="str">
        <f>IF(Tervezés!F167&gt;0,CONCATENATE(Tervezés!E167," - ",Tervezés!F167,", ",Tervezés!J167),"nincs megjegyzés")</f>
        <v>nincs megjegyzés</v>
      </c>
      <c r="V164" t="str">
        <f t="shared" si="38"/>
        <v>6000</v>
      </c>
      <c r="W164" t="str">
        <f t="shared" si="39"/>
        <v>6000</v>
      </c>
      <c r="X164" t="str">
        <f t="shared" si="40"/>
        <v>00</v>
      </c>
      <c r="Y164" t="str">
        <f t="shared" si="41"/>
        <v>600</v>
      </c>
      <c r="Z164" t="str">
        <f t="shared" si="52"/>
        <v>00</v>
      </c>
      <c r="AA164" t="str">
        <f t="shared" si="42"/>
        <v>600</v>
      </c>
      <c r="AB164" t="str">
        <f t="shared" si="43"/>
        <v>00</v>
      </c>
      <c r="AC164" t="str">
        <f t="shared" si="44"/>
        <v>6000</v>
      </c>
      <c r="AD164" t="str">
        <f t="shared" si="45"/>
        <v>000</v>
      </c>
      <c r="AE164" t="str">
        <f t="shared" si="46"/>
        <v>6000</v>
      </c>
      <c r="AF164" t="str">
        <f t="shared" si="47"/>
        <v>000</v>
      </c>
      <c r="AG164" t="str">
        <f t="shared" si="53"/>
        <v>60000</v>
      </c>
      <c r="AH164" t="str">
        <f t="shared" si="54"/>
        <v>0000</v>
      </c>
      <c r="AI164" t="str">
        <f t="shared" si="55"/>
        <v>60000</v>
      </c>
      <c r="AJ164" t="str">
        <f t="shared" si="56"/>
        <v>0000</v>
      </c>
    </row>
    <row r="165" spans="1:36" x14ac:dyDescent="0.25">
      <c r="A165" s="325">
        <f>Tervezés!B168</f>
        <v>0</v>
      </c>
      <c r="B165">
        <v>60</v>
      </c>
      <c r="C165">
        <f>Tervezés!E168</f>
        <v>0</v>
      </c>
      <c r="D165">
        <f>Tervezés!F168</f>
        <v>0</v>
      </c>
      <c r="E165">
        <f>Tervezés!H168</f>
        <v>0</v>
      </c>
      <c r="F165" t="str">
        <f t="shared" si="48"/>
        <v>0</v>
      </c>
      <c r="G165" t="str">
        <f t="shared" si="49"/>
        <v>0</v>
      </c>
      <c r="H165">
        <f>Tervezés!I168</f>
        <v>0</v>
      </c>
      <c r="I165">
        <f>Tervezés!J168</f>
        <v>0</v>
      </c>
      <c r="J165">
        <f>Tervezés!K168</f>
        <v>0</v>
      </c>
      <c r="K165">
        <f>Tervezés!L168</f>
        <v>0</v>
      </c>
      <c r="L165">
        <f>Tervezés!M168</f>
        <v>0</v>
      </c>
      <c r="M165" s="322" t="str">
        <f>IFERROR(VLOOKUP(A165,PAR!$D$3:$E$53,2,FALSE),"nincs szervezet")</f>
        <v>nincs szervezet</v>
      </c>
      <c r="N165" s="322" t="str">
        <f>VLOOKUP(F165,PAR!$R$3:$S$5,2,FALSE)</f>
        <v>3 - egyik sem</v>
      </c>
      <c r="O165" t="str">
        <f>IFERROR(VLOOKUP(J165,PAR!$O$3:$P$5,2,FALSE),"nincs feladat")</f>
        <v>nincs feladat</v>
      </c>
      <c r="P165" t="str">
        <f>IFERROR(VLOOKUP(G165,PAR!$J$2:$M$19,4),"nincs rovat")</f>
        <v>nincs rovat</v>
      </c>
      <c r="Q165" t="str">
        <f>IF(H165&gt;0,VLOOKUP(H165,PAR!$AA$3:$AC$187,3,FALSE),"nincs főkönyvi számla")</f>
        <v>nincs főkönyvi számla</v>
      </c>
      <c r="R165" t="str">
        <f>IFERROR(VLOOKUP(K165,PAR!$V$3:$X$438,3,FALSE),"000000 - Nincs COFOG")</f>
        <v>000000 - Nincs COFOG</v>
      </c>
      <c r="S165">
        <f t="shared" si="50"/>
        <v>0</v>
      </c>
      <c r="T165">
        <f t="shared" si="51"/>
        <v>0</v>
      </c>
      <c r="U165" t="str">
        <f>IF(Tervezés!F168&gt;0,CONCATENATE(Tervezés!E168," - ",Tervezés!F168,", ",Tervezés!J168),"nincs megjegyzés")</f>
        <v>nincs megjegyzés</v>
      </c>
      <c r="V165" t="str">
        <f t="shared" si="38"/>
        <v>6000</v>
      </c>
      <c r="W165" t="str">
        <f t="shared" si="39"/>
        <v>6000</v>
      </c>
      <c r="X165" t="str">
        <f t="shared" si="40"/>
        <v>00</v>
      </c>
      <c r="Y165" t="str">
        <f t="shared" si="41"/>
        <v>600</v>
      </c>
      <c r="Z165" t="str">
        <f t="shared" si="52"/>
        <v>00</v>
      </c>
      <c r="AA165" t="str">
        <f t="shared" si="42"/>
        <v>600</v>
      </c>
      <c r="AB165" t="str">
        <f t="shared" si="43"/>
        <v>00</v>
      </c>
      <c r="AC165" t="str">
        <f t="shared" si="44"/>
        <v>6000</v>
      </c>
      <c r="AD165" t="str">
        <f t="shared" si="45"/>
        <v>000</v>
      </c>
      <c r="AE165" t="str">
        <f t="shared" si="46"/>
        <v>6000</v>
      </c>
      <c r="AF165" t="str">
        <f t="shared" si="47"/>
        <v>000</v>
      </c>
      <c r="AG165" t="str">
        <f t="shared" si="53"/>
        <v>60000</v>
      </c>
      <c r="AH165" t="str">
        <f t="shared" si="54"/>
        <v>0000</v>
      </c>
      <c r="AI165" t="str">
        <f t="shared" si="55"/>
        <v>60000</v>
      </c>
      <c r="AJ165" t="str">
        <f t="shared" si="56"/>
        <v>0000</v>
      </c>
    </row>
    <row r="166" spans="1:36" x14ac:dyDescent="0.25">
      <c r="A166" s="325">
        <f>Tervezés!B169</f>
        <v>0</v>
      </c>
      <c r="B166">
        <v>60</v>
      </c>
      <c r="C166">
        <f>Tervezés!E169</f>
        <v>0</v>
      </c>
      <c r="D166">
        <f>Tervezés!F169</f>
        <v>0</v>
      </c>
      <c r="E166">
        <f>Tervezés!H169</f>
        <v>0</v>
      </c>
      <c r="F166" t="str">
        <f t="shared" si="48"/>
        <v>0</v>
      </c>
      <c r="G166" t="str">
        <f t="shared" si="49"/>
        <v>0</v>
      </c>
      <c r="H166">
        <f>Tervezés!I169</f>
        <v>0</v>
      </c>
      <c r="I166">
        <f>Tervezés!J169</f>
        <v>0</v>
      </c>
      <c r="J166">
        <f>Tervezés!K169</f>
        <v>0</v>
      </c>
      <c r="K166">
        <f>Tervezés!L169</f>
        <v>0</v>
      </c>
      <c r="L166">
        <f>Tervezés!M169</f>
        <v>0</v>
      </c>
      <c r="M166" s="322" t="str">
        <f>IFERROR(VLOOKUP(A166,PAR!$D$3:$E$53,2,FALSE),"nincs szervezet")</f>
        <v>nincs szervezet</v>
      </c>
      <c r="N166" s="322" t="str">
        <f>VLOOKUP(F166,PAR!$R$3:$S$5,2,FALSE)</f>
        <v>3 - egyik sem</v>
      </c>
      <c r="O166" t="str">
        <f>IFERROR(VLOOKUP(J166,PAR!$O$3:$P$5,2,FALSE),"nincs feladat")</f>
        <v>nincs feladat</v>
      </c>
      <c r="P166" t="str">
        <f>IFERROR(VLOOKUP(G166,PAR!$J$2:$M$19,4),"nincs rovat")</f>
        <v>nincs rovat</v>
      </c>
      <c r="Q166" t="str">
        <f>IF(H166&gt;0,VLOOKUP(H166,PAR!$AA$3:$AC$187,3,FALSE),"nincs főkönyvi számla")</f>
        <v>nincs főkönyvi számla</v>
      </c>
      <c r="R166" t="str">
        <f>IFERROR(VLOOKUP(K166,PAR!$V$3:$X$438,3,FALSE),"000000 - Nincs COFOG")</f>
        <v>000000 - Nincs COFOG</v>
      </c>
      <c r="S166">
        <f t="shared" si="50"/>
        <v>0</v>
      </c>
      <c r="T166">
        <f t="shared" si="51"/>
        <v>0</v>
      </c>
      <c r="U166" t="str">
        <f>IF(Tervezés!F169&gt;0,CONCATENATE(Tervezés!E169," - ",Tervezés!F169,", ",Tervezés!J169),"nincs megjegyzés")</f>
        <v>nincs megjegyzés</v>
      </c>
      <c r="V166" t="str">
        <f t="shared" si="38"/>
        <v>6000</v>
      </c>
      <c r="W166" t="str">
        <f t="shared" si="39"/>
        <v>6000</v>
      </c>
      <c r="X166" t="str">
        <f t="shared" si="40"/>
        <v>00</v>
      </c>
      <c r="Y166" t="str">
        <f t="shared" si="41"/>
        <v>600</v>
      </c>
      <c r="Z166" t="str">
        <f t="shared" si="52"/>
        <v>00</v>
      </c>
      <c r="AA166" t="str">
        <f t="shared" si="42"/>
        <v>600</v>
      </c>
      <c r="AB166" t="str">
        <f t="shared" si="43"/>
        <v>00</v>
      </c>
      <c r="AC166" t="str">
        <f t="shared" si="44"/>
        <v>6000</v>
      </c>
      <c r="AD166" t="str">
        <f t="shared" si="45"/>
        <v>000</v>
      </c>
      <c r="AE166" t="str">
        <f t="shared" si="46"/>
        <v>6000</v>
      </c>
      <c r="AF166" t="str">
        <f t="shared" si="47"/>
        <v>000</v>
      </c>
      <c r="AG166" t="str">
        <f t="shared" si="53"/>
        <v>60000</v>
      </c>
      <c r="AH166" t="str">
        <f t="shared" si="54"/>
        <v>0000</v>
      </c>
      <c r="AI166" t="str">
        <f t="shared" si="55"/>
        <v>60000</v>
      </c>
      <c r="AJ166" t="str">
        <f t="shared" si="56"/>
        <v>0000</v>
      </c>
    </row>
    <row r="167" spans="1:36" x14ac:dyDescent="0.25">
      <c r="A167" s="325">
        <f>Tervezés!B170</f>
        <v>0</v>
      </c>
      <c r="B167">
        <v>60</v>
      </c>
      <c r="C167">
        <f>Tervezés!E170</f>
        <v>0</v>
      </c>
      <c r="D167">
        <f>Tervezés!F170</f>
        <v>0</v>
      </c>
      <c r="E167">
        <f>Tervezés!H170</f>
        <v>0</v>
      </c>
      <c r="F167" t="str">
        <f t="shared" si="48"/>
        <v>0</v>
      </c>
      <c r="G167" t="str">
        <f t="shared" si="49"/>
        <v>0</v>
      </c>
      <c r="H167">
        <f>Tervezés!I170</f>
        <v>0</v>
      </c>
      <c r="I167">
        <f>Tervezés!J170</f>
        <v>0</v>
      </c>
      <c r="J167">
        <f>Tervezés!K170</f>
        <v>0</v>
      </c>
      <c r="K167">
        <f>Tervezés!L170</f>
        <v>0</v>
      </c>
      <c r="L167">
        <f>Tervezés!M170</f>
        <v>0</v>
      </c>
      <c r="M167" s="322" t="str">
        <f>IFERROR(VLOOKUP(A167,PAR!$D$3:$E$53,2,FALSE),"nincs szervezet")</f>
        <v>nincs szervezet</v>
      </c>
      <c r="N167" s="322" t="str">
        <f>VLOOKUP(F167,PAR!$R$3:$S$5,2,FALSE)</f>
        <v>3 - egyik sem</v>
      </c>
      <c r="O167" t="str">
        <f>IFERROR(VLOOKUP(J167,PAR!$O$3:$P$5,2,FALSE),"nincs feladat")</f>
        <v>nincs feladat</v>
      </c>
      <c r="P167" t="str">
        <f>IFERROR(VLOOKUP(G167,PAR!$J$2:$M$19,4),"nincs rovat")</f>
        <v>nincs rovat</v>
      </c>
      <c r="Q167" t="str">
        <f>IF(H167&gt;0,VLOOKUP(H167,PAR!$AA$3:$AC$187,3,FALSE),"nincs főkönyvi számla")</f>
        <v>nincs főkönyvi számla</v>
      </c>
      <c r="R167" t="str">
        <f>IFERROR(VLOOKUP(K167,PAR!$V$3:$X$438,3,FALSE),"000000 - Nincs COFOG")</f>
        <v>000000 - Nincs COFOG</v>
      </c>
      <c r="S167">
        <f t="shared" si="50"/>
        <v>0</v>
      </c>
      <c r="T167">
        <f t="shared" si="51"/>
        <v>0</v>
      </c>
      <c r="U167" t="str">
        <f>IF(Tervezés!F170&gt;0,CONCATENATE(Tervezés!E170," - ",Tervezés!F170,", ",Tervezés!J170),"nincs megjegyzés")</f>
        <v>nincs megjegyzés</v>
      </c>
      <c r="V167" t="str">
        <f t="shared" si="38"/>
        <v>6000</v>
      </c>
      <c r="W167" t="str">
        <f t="shared" si="39"/>
        <v>6000</v>
      </c>
      <c r="X167" t="str">
        <f t="shared" si="40"/>
        <v>00</v>
      </c>
      <c r="Y167" t="str">
        <f t="shared" si="41"/>
        <v>600</v>
      </c>
      <c r="Z167" t="str">
        <f t="shared" si="52"/>
        <v>00</v>
      </c>
      <c r="AA167" t="str">
        <f t="shared" si="42"/>
        <v>600</v>
      </c>
      <c r="AB167" t="str">
        <f t="shared" si="43"/>
        <v>00</v>
      </c>
      <c r="AC167" t="str">
        <f t="shared" si="44"/>
        <v>6000</v>
      </c>
      <c r="AD167" t="str">
        <f t="shared" si="45"/>
        <v>000</v>
      </c>
      <c r="AE167" t="str">
        <f t="shared" si="46"/>
        <v>6000</v>
      </c>
      <c r="AF167" t="str">
        <f t="shared" si="47"/>
        <v>000</v>
      </c>
      <c r="AG167" t="str">
        <f t="shared" si="53"/>
        <v>60000</v>
      </c>
      <c r="AH167" t="str">
        <f t="shared" si="54"/>
        <v>0000</v>
      </c>
      <c r="AI167" t="str">
        <f t="shared" si="55"/>
        <v>60000</v>
      </c>
      <c r="AJ167" t="str">
        <f t="shared" si="56"/>
        <v>0000</v>
      </c>
    </row>
    <row r="168" spans="1:36" x14ac:dyDescent="0.25">
      <c r="A168" s="325">
        <f>Tervezés!B171</f>
        <v>0</v>
      </c>
      <c r="B168">
        <v>60</v>
      </c>
      <c r="C168">
        <f>Tervezés!E171</f>
        <v>0</v>
      </c>
      <c r="D168">
        <f>Tervezés!F171</f>
        <v>0</v>
      </c>
      <c r="E168">
        <f>Tervezés!H171</f>
        <v>0</v>
      </c>
      <c r="F168" t="str">
        <f t="shared" si="48"/>
        <v>0</v>
      </c>
      <c r="G168" t="str">
        <f t="shared" si="49"/>
        <v>0</v>
      </c>
      <c r="H168">
        <f>Tervezés!I171</f>
        <v>0</v>
      </c>
      <c r="I168">
        <f>Tervezés!J171</f>
        <v>0</v>
      </c>
      <c r="J168">
        <f>Tervezés!K171</f>
        <v>0</v>
      </c>
      <c r="K168">
        <f>Tervezés!L171</f>
        <v>0</v>
      </c>
      <c r="L168">
        <f>Tervezés!M171</f>
        <v>0</v>
      </c>
      <c r="M168" s="322" t="str">
        <f>IFERROR(VLOOKUP(A168,PAR!$D$3:$E$53,2,FALSE),"nincs szervezet")</f>
        <v>nincs szervezet</v>
      </c>
      <c r="N168" s="322" t="str">
        <f>VLOOKUP(F168,PAR!$R$3:$S$5,2,FALSE)</f>
        <v>3 - egyik sem</v>
      </c>
      <c r="O168" t="str">
        <f>IFERROR(VLOOKUP(J168,PAR!$O$3:$P$5,2,FALSE),"nincs feladat")</f>
        <v>nincs feladat</v>
      </c>
      <c r="P168" t="str">
        <f>IFERROR(VLOOKUP(G168,PAR!$J$2:$M$19,4),"nincs rovat")</f>
        <v>nincs rovat</v>
      </c>
      <c r="Q168" t="str">
        <f>IF(H168&gt;0,VLOOKUP(H168,PAR!$AA$3:$AC$187,3,FALSE),"nincs főkönyvi számla")</f>
        <v>nincs főkönyvi számla</v>
      </c>
      <c r="R168" t="str">
        <f>IFERROR(VLOOKUP(K168,PAR!$V$3:$X$438,3,FALSE),"000000 - Nincs COFOG")</f>
        <v>000000 - Nincs COFOG</v>
      </c>
      <c r="S168">
        <f t="shared" si="50"/>
        <v>0</v>
      </c>
      <c r="T168">
        <f t="shared" si="51"/>
        <v>0</v>
      </c>
      <c r="U168" t="str">
        <f>IF(Tervezés!F171&gt;0,CONCATENATE(Tervezés!E171," - ",Tervezés!F171,", ",Tervezés!J171),"nincs megjegyzés")</f>
        <v>nincs megjegyzés</v>
      </c>
      <c r="V168" t="str">
        <f t="shared" si="38"/>
        <v>6000</v>
      </c>
      <c r="W168" t="str">
        <f t="shared" si="39"/>
        <v>6000</v>
      </c>
      <c r="X168" t="str">
        <f t="shared" si="40"/>
        <v>00</v>
      </c>
      <c r="Y168" t="str">
        <f t="shared" si="41"/>
        <v>600</v>
      </c>
      <c r="Z168" t="str">
        <f t="shared" si="52"/>
        <v>00</v>
      </c>
      <c r="AA168" t="str">
        <f t="shared" si="42"/>
        <v>600</v>
      </c>
      <c r="AB168" t="str">
        <f t="shared" si="43"/>
        <v>00</v>
      </c>
      <c r="AC168" t="str">
        <f t="shared" si="44"/>
        <v>6000</v>
      </c>
      <c r="AD168" t="str">
        <f t="shared" si="45"/>
        <v>000</v>
      </c>
      <c r="AE168" t="str">
        <f t="shared" si="46"/>
        <v>6000</v>
      </c>
      <c r="AF168" t="str">
        <f t="shared" si="47"/>
        <v>000</v>
      </c>
      <c r="AG168" t="str">
        <f t="shared" si="53"/>
        <v>60000</v>
      </c>
      <c r="AH168" t="str">
        <f t="shared" si="54"/>
        <v>0000</v>
      </c>
      <c r="AI168" t="str">
        <f t="shared" si="55"/>
        <v>60000</v>
      </c>
      <c r="AJ168" t="str">
        <f t="shared" si="56"/>
        <v>0000</v>
      </c>
    </row>
    <row r="169" spans="1:36" x14ac:dyDescent="0.25">
      <c r="A169" s="325">
        <f>Tervezés!B172</f>
        <v>0</v>
      </c>
      <c r="B169">
        <v>60</v>
      </c>
      <c r="C169">
        <f>Tervezés!E172</f>
        <v>0</v>
      </c>
      <c r="D169">
        <f>Tervezés!F172</f>
        <v>0</v>
      </c>
      <c r="E169">
        <f>Tervezés!H172</f>
        <v>0</v>
      </c>
      <c r="F169" t="str">
        <f t="shared" si="48"/>
        <v>0</v>
      </c>
      <c r="G169" t="str">
        <f t="shared" si="49"/>
        <v>0</v>
      </c>
      <c r="H169">
        <f>Tervezés!I172</f>
        <v>0</v>
      </c>
      <c r="I169">
        <f>Tervezés!J172</f>
        <v>0</v>
      </c>
      <c r="J169">
        <f>Tervezés!K172</f>
        <v>0</v>
      </c>
      <c r="K169">
        <f>Tervezés!L172</f>
        <v>0</v>
      </c>
      <c r="L169">
        <f>Tervezés!M172</f>
        <v>0</v>
      </c>
      <c r="M169" s="322" t="str">
        <f>IFERROR(VLOOKUP(A169,PAR!$D$3:$E$53,2,FALSE),"nincs szervezet")</f>
        <v>nincs szervezet</v>
      </c>
      <c r="N169" s="322" t="str">
        <f>VLOOKUP(F169,PAR!$R$3:$S$5,2,FALSE)</f>
        <v>3 - egyik sem</v>
      </c>
      <c r="O169" t="str">
        <f>IFERROR(VLOOKUP(J169,PAR!$O$3:$P$5,2,FALSE),"nincs feladat")</f>
        <v>nincs feladat</v>
      </c>
      <c r="P169" t="str">
        <f>IFERROR(VLOOKUP(G169,PAR!$J$2:$M$19,4),"nincs rovat")</f>
        <v>nincs rovat</v>
      </c>
      <c r="Q169" t="str">
        <f>IF(H169&gt;0,VLOOKUP(H169,PAR!$AA$3:$AC$187,3,FALSE),"nincs főkönyvi számla")</f>
        <v>nincs főkönyvi számla</v>
      </c>
      <c r="R169" t="str">
        <f>IFERROR(VLOOKUP(K169,PAR!$V$3:$X$438,3,FALSE),"000000 - Nincs COFOG")</f>
        <v>000000 - Nincs COFOG</v>
      </c>
      <c r="S169">
        <f t="shared" si="50"/>
        <v>0</v>
      </c>
      <c r="T169">
        <f t="shared" si="51"/>
        <v>0</v>
      </c>
      <c r="U169" t="str">
        <f>IF(Tervezés!F172&gt;0,CONCATENATE(Tervezés!E172," - ",Tervezés!F172,", ",Tervezés!J172),"nincs megjegyzés")</f>
        <v>nincs megjegyzés</v>
      </c>
      <c r="V169" t="str">
        <f t="shared" si="38"/>
        <v>6000</v>
      </c>
      <c r="W169" t="str">
        <f t="shared" si="39"/>
        <v>6000</v>
      </c>
      <c r="X169" t="str">
        <f t="shared" si="40"/>
        <v>00</v>
      </c>
      <c r="Y169" t="str">
        <f t="shared" si="41"/>
        <v>600</v>
      </c>
      <c r="Z169" t="str">
        <f t="shared" si="52"/>
        <v>00</v>
      </c>
      <c r="AA169" t="str">
        <f t="shared" si="42"/>
        <v>600</v>
      </c>
      <c r="AB169" t="str">
        <f t="shared" si="43"/>
        <v>00</v>
      </c>
      <c r="AC169" t="str">
        <f t="shared" si="44"/>
        <v>6000</v>
      </c>
      <c r="AD169" t="str">
        <f t="shared" si="45"/>
        <v>000</v>
      </c>
      <c r="AE169" t="str">
        <f t="shared" si="46"/>
        <v>6000</v>
      </c>
      <c r="AF169" t="str">
        <f t="shared" si="47"/>
        <v>000</v>
      </c>
      <c r="AG169" t="str">
        <f t="shared" si="53"/>
        <v>60000</v>
      </c>
      <c r="AH169" t="str">
        <f t="shared" si="54"/>
        <v>0000</v>
      </c>
      <c r="AI169" t="str">
        <f t="shared" si="55"/>
        <v>60000</v>
      </c>
      <c r="AJ169" t="str">
        <f t="shared" si="56"/>
        <v>0000</v>
      </c>
    </row>
    <row r="170" spans="1:36" x14ac:dyDescent="0.25">
      <c r="A170" s="325">
        <f>Tervezés!B173</f>
        <v>0</v>
      </c>
      <c r="B170">
        <v>60</v>
      </c>
      <c r="C170">
        <f>Tervezés!E173</f>
        <v>0</v>
      </c>
      <c r="D170">
        <f>Tervezés!F173</f>
        <v>0</v>
      </c>
      <c r="E170">
        <f>Tervezés!H173</f>
        <v>0</v>
      </c>
      <c r="F170" t="str">
        <f t="shared" si="48"/>
        <v>0</v>
      </c>
      <c r="G170" t="str">
        <f t="shared" si="49"/>
        <v>0</v>
      </c>
      <c r="H170">
        <f>Tervezés!I173</f>
        <v>0</v>
      </c>
      <c r="I170">
        <f>Tervezés!J173</f>
        <v>0</v>
      </c>
      <c r="J170">
        <f>Tervezés!K173</f>
        <v>0</v>
      </c>
      <c r="K170">
        <f>Tervezés!L173</f>
        <v>0</v>
      </c>
      <c r="L170">
        <f>Tervezés!M173</f>
        <v>0</v>
      </c>
      <c r="M170" s="322" t="str">
        <f>IFERROR(VLOOKUP(A170,PAR!$D$3:$E$53,2,FALSE),"nincs szervezet")</f>
        <v>nincs szervezet</v>
      </c>
      <c r="N170" s="322" t="str">
        <f>VLOOKUP(F170,PAR!$R$3:$S$5,2,FALSE)</f>
        <v>3 - egyik sem</v>
      </c>
      <c r="O170" t="str">
        <f>IFERROR(VLOOKUP(J170,PAR!$O$3:$P$5,2,FALSE),"nincs feladat")</f>
        <v>nincs feladat</v>
      </c>
      <c r="P170" t="str">
        <f>IFERROR(VLOOKUP(G170,PAR!$J$2:$M$19,4),"nincs rovat")</f>
        <v>nincs rovat</v>
      </c>
      <c r="Q170" t="str">
        <f>IF(H170&gt;0,VLOOKUP(H170,PAR!$AA$3:$AC$187,3,FALSE),"nincs főkönyvi számla")</f>
        <v>nincs főkönyvi számla</v>
      </c>
      <c r="R170" t="str">
        <f>IFERROR(VLOOKUP(K170,PAR!$V$3:$X$438,3,FALSE),"000000 - Nincs COFOG")</f>
        <v>000000 - Nincs COFOG</v>
      </c>
      <c r="S170">
        <f t="shared" si="50"/>
        <v>0</v>
      </c>
      <c r="T170">
        <f t="shared" si="51"/>
        <v>0</v>
      </c>
      <c r="U170" t="str">
        <f>IF(Tervezés!F173&gt;0,CONCATENATE(Tervezés!E173," - ",Tervezés!F173,", ",Tervezés!J173),"nincs megjegyzés")</f>
        <v>nincs megjegyzés</v>
      </c>
      <c r="V170" t="str">
        <f t="shared" si="38"/>
        <v>6000</v>
      </c>
      <c r="W170" t="str">
        <f t="shared" si="39"/>
        <v>6000</v>
      </c>
      <c r="X170" t="str">
        <f t="shared" si="40"/>
        <v>00</v>
      </c>
      <c r="Y170" t="str">
        <f t="shared" si="41"/>
        <v>600</v>
      </c>
      <c r="Z170" t="str">
        <f t="shared" si="52"/>
        <v>00</v>
      </c>
      <c r="AA170" t="str">
        <f t="shared" si="42"/>
        <v>600</v>
      </c>
      <c r="AB170" t="str">
        <f t="shared" si="43"/>
        <v>00</v>
      </c>
      <c r="AC170" t="str">
        <f t="shared" si="44"/>
        <v>6000</v>
      </c>
      <c r="AD170" t="str">
        <f t="shared" si="45"/>
        <v>000</v>
      </c>
      <c r="AE170" t="str">
        <f t="shared" si="46"/>
        <v>6000</v>
      </c>
      <c r="AF170" t="str">
        <f t="shared" si="47"/>
        <v>000</v>
      </c>
      <c r="AG170" t="str">
        <f t="shared" si="53"/>
        <v>60000</v>
      </c>
      <c r="AH170" t="str">
        <f t="shared" si="54"/>
        <v>0000</v>
      </c>
      <c r="AI170" t="str">
        <f t="shared" si="55"/>
        <v>60000</v>
      </c>
      <c r="AJ170" t="str">
        <f t="shared" si="56"/>
        <v>0000</v>
      </c>
    </row>
    <row r="171" spans="1:36" x14ac:dyDescent="0.25">
      <c r="A171" s="325">
        <f>Tervezés!B174</f>
        <v>0</v>
      </c>
      <c r="B171">
        <v>60</v>
      </c>
      <c r="C171">
        <f>Tervezés!E174</f>
        <v>0</v>
      </c>
      <c r="D171">
        <f>Tervezés!F174</f>
        <v>0</v>
      </c>
      <c r="E171">
        <f>Tervezés!H174</f>
        <v>0</v>
      </c>
      <c r="F171" t="str">
        <f t="shared" si="48"/>
        <v>0</v>
      </c>
      <c r="G171" t="str">
        <f t="shared" si="49"/>
        <v>0</v>
      </c>
      <c r="H171">
        <f>Tervezés!I174</f>
        <v>0</v>
      </c>
      <c r="I171">
        <f>Tervezés!J174</f>
        <v>0</v>
      </c>
      <c r="J171">
        <f>Tervezés!K174</f>
        <v>0</v>
      </c>
      <c r="K171">
        <f>Tervezés!L174</f>
        <v>0</v>
      </c>
      <c r="L171">
        <f>Tervezés!M174</f>
        <v>0</v>
      </c>
      <c r="M171" s="322" t="str">
        <f>IFERROR(VLOOKUP(A171,PAR!$D$3:$E$53,2,FALSE),"nincs szervezet")</f>
        <v>nincs szervezet</v>
      </c>
      <c r="N171" s="322" t="str">
        <f>VLOOKUP(F171,PAR!$R$3:$S$5,2,FALSE)</f>
        <v>3 - egyik sem</v>
      </c>
      <c r="O171" t="str">
        <f>IFERROR(VLOOKUP(J171,PAR!$O$3:$P$5,2,FALSE),"nincs feladat")</f>
        <v>nincs feladat</v>
      </c>
      <c r="P171" t="str">
        <f>IFERROR(VLOOKUP(G171,PAR!$J$2:$M$19,4),"nincs rovat")</f>
        <v>nincs rovat</v>
      </c>
      <c r="Q171" t="str">
        <f>IF(H171&gt;0,VLOOKUP(H171,PAR!$AA$3:$AC$187,3,FALSE),"nincs főkönyvi számla")</f>
        <v>nincs főkönyvi számla</v>
      </c>
      <c r="R171" t="str">
        <f>IFERROR(VLOOKUP(K171,PAR!$V$3:$X$438,3,FALSE),"000000 - Nincs COFOG")</f>
        <v>000000 - Nincs COFOG</v>
      </c>
      <c r="S171">
        <f t="shared" si="50"/>
        <v>0</v>
      </c>
      <c r="T171">
        <f t="shared" si="51"/>
        <v>0</v>
      </c>
      <c r="U171" t="str">
        <f>IF(Tervezés!F174&gt;0,CONCATENATE(Tervezés!E174," - ",Tervezés!F174,", ",Tervezés!J174),"nincs megjegyzés")</f>
        <v>nincs megjegyzés</v>
      </c>
      <c r="V171" t="str">
        <f t="shared" si="38"/>
        <v>6000</v>
      </c>
      <c r="W171" t="str">
        <f t="shared" si="39"/>
        <v>6000</v>
      </c>
      <c r="X171" t="str">
        <f t="shared" si="40"/>
        <v>00</v>
      </c>
      <c r="Y171" t="str">
        <f t="shared" si="41"/>
        <v>600</v>
      </c>
      <c r="Z171" t="str">
        <f t="shared" si="52"/>
        <v>00</v>
      </c>
      <c r="AA171" t="str">
        <f t="shared" si="42"/>
        <v>600</v>
      </c>
      <c r="AB171" t="str">
        <f t="shared" si="43"/>
        <v>00</v>
      </c>
      <c r="AC171" t="str">
        <f t="shared" si="44"/>
        <v>6000</v>
      </c>
      <c r="AD171" t="str">
        <f t="shared" si="45"/>
        <v>000</v>
      </c>
      <c r="AE171" t="str">
        <f t="shared" si="46"/>
        <v>6000</v>
      </c>
      <c r="AF171" t="str">
        <f t="shared" si="47"/>
        <v>000</v>
      </c>
      <c r="AG171" t="str">
        <f t="shared" si="53"/>
        <v>60000</v>
      </c>
      <c r="AH171" t="str">
        <f t="shared" si="54"/>
        <v>0000</v>
      </c>
      <c r="AI171" t="str">
        <f t="shared" si="55"/>
        <v>60000</v>
      </c>
      <c r="AJ171" t="str">
        <f t="shared" si="56"/>
        <v>0000</v>
      </c>
    </row>
    <row r="172" spans="1:36" x14ac:dyDescent="0.25">
      <c r="A172" s="325">
        <f>Tervezés!B175</f>
        <v>0</v>
      </c>
      <c r="B172">
        <v>60</v>
      </c>
      <c r="C172">
        <f>Tervezés!E175</f>
        <v>0</v>
      </c>
      <c r="D172">
        <f>Tervezés!F175</f>
        <v>0</v>
      </c>
      <c r="E172">
        <f>Tervezés!H175</f>
        <v>0</v>
      </c>
      <c r="F172" t="str">
        <f t="shared" si="48"/>
        <v>0</v>
      </c>
      <c r="G172" t="str">
        <f t="shared" si="49"/>
        <v>0</v>
      </c>
      <c r="H172">
        <f>Tervezés!I175</f>
        <v>0</v>
      </c>
      <c r="I172">
        <f>Tervezés!J175</f>
        <v>0</v>
      </c>
      <c r="J172">
        <f>Tervezés!K175</f>
        <v>0</v>
      </c>
      <c r="K172">
        <f>Tervezés!L175</f>
        <v>0</v>
      </c>
      <c r="L172">
        <f>Tervezés!M175</f>
        <v>0</v>
      </c>
      <c r="M172" s="322" t="str">
        <f>IFERROR(VLOOKUP(A172,PAR!$D$3:$E$53,2,FALSE),"nincs szervezet")</f>
        <v>nincs szervezet</v>
      </c>
      <c r="N172" s="322" t="str">
        <f>VLOOKUP(F172,PAR!$R$3:$S$5,2,FALSE)</f>
        <v>3 - egyik sem</v>
      </c>
      <c r="O172" t="str">
        <f>IFERROR(VLOOKUP(J172,PAR!$O$3:$P$5,2,FALSE),"nincs feladat")</f>
        <v>nincs feladat</v>
      </c>
      <c r="P172" t="str">
        <f>IFERROR(VLOOKUP(G172,PAR!$J$2:$M$19,4),"nincs rovat")</f>
        <v>nincs rovat</v>
      </c>
      <c r="Q172" t="str">
        <f>IF(H172&gt;0,VLOOKUP(H172,PAR!$AA$3:$AC$187,3,FALSE),"nincs főkönyvi számla")</f>
        <v>nincs főkönyvi számla</v>
      </c>
      <c r="R172" t="str">
        <f>IFERROR(VLOOKUP(K172,PAR!$V$3:$X$438,3,FALSE),"000000 - Nincs COFOG")</f>
        <v>000000 - Nincs COFOG</v>
      </c>
      <c r="S172">
        <f t="shared" si="50"/>
        <v>0</v>
      </c>
      <c r="T172">
        <f t="shared" si="51"/>
        <v>0</v>
      </c>
      <c r="U172" t="str">
        <f>IF(Tervezés!F175&gt;0,CONCATENATE(Tervezés!E175," - ",Tervezés!F175,", ",Tervezés!J175),"nincs megjegyzés")</f>
        <v>nincs megjegyzés</v>
      </c>
      <c r="V172" t="str">
        <f t="shared" si="38"/>
        <v>6000</v>
      </c>
      <c r="W172" t="str">
        <f t="shared" si="39"/>
        <v>6000</v>
      </c>
      <c r="X172" t="str">
        <f t="shared" si="40"/>
        <v>00</v>
      </c>
      <c r="Y172" t="str">
        <f t="shared" si="41"/>
        <v>600</v>
      </c>
      <c r="Z172" t="str">
        <f t="shared" si="52"/>
        <v>00</v>
      </c>
      <c r="AA172" t="str">
        <f t="shared" si="42"/>
        <v>600</v>
      </c>
      <c r="AB172" t="str">
        <f t="shared" si="43"/>
        <v>00</v>
      </c>
      <c r="AC172" t="str">
        <f t="shared" si="44"/>
        <v>6000</v>
      </c>
      <c r="AD172" t="str">
        <f t="shared" si="45"/>
        <v>000</v>
      </c>
      <c r="AE172" t="str">
        <f t="shared" si="46"/>
        <v>6000</v>
      </c>
      <c r="AF172" t="str">
        <f t="shared" si="47"/>
        <v>000</v>
      </c>
      <c r="AG172" t="str">
        <f t="shared" si="53"/>
        <v>60000</v>
      </c>
      <c r="AH172" t="str">
        <f t="shared" si="54"/>
        <v>0000</v>
      </c>
      <c r="AI172" t="str">
        <f t="shared" si="55"/>
        <v>60000</v>
      </c>
      <c r="AJ172" t="str">
        <f t="shared" si="56"/>
        <v>0000</v>
      </c>
    </row>
    <row r="173" spans="1:36" x14ac:dyDescent="0.25">
      <c r="A173" s="325">
        <f>Tervezés!B176</f>
        <v>0</v>
      </c>
      <c r="B173">
        <v>60</v>
      </c>
      <c r="C173">
        <f>Tervezés!E176</f>
        <v>0</v>
      </c>
      <c r="D173">
        <f>Tervezés!F176</f>
        <v>0</v>
      </c>
      <c r="E173">
        <f>Tervezés!H176</f>
        <v>0</v>
      </c>
      <c r="F173" t="str">
        <f t="shared" si="48"/>
        <v>0</v>
      </c>
      <c r="G173" t="str">
        <f t="shared" si="49"/>
        <v>0</v>
      </c>
      <c r="H173">
        <f>Tervezés!I176</f>
        <v>0</v>
      </c>
      <c r="I173">
        <f>Tervezés!J176</f>
        <v>0</v>
      </c>
      <c r="J173">
        <f>Tervezés!K176</f>
        <v>0</v>
      </c>
      <c r="K173">
        <f>Tervezés!L176</f>
        <v>0</v>
      </c>
      <c r="L173">
        <f>Tervezés!M176</f>
        <v>0</v>
      </c>
      <c r="M173" s="322" t="str">
        <f>IFERROR(VLOOKUP(A173,PAR!$D$3:$E$53,2,FALSE),"nincs szervezet")</f>
        <v>nincs szervezet</v>
      </c>
      <c r="N173" s="322" t="str">
        <f>VLOOKUP(F173,PAR!$R$3:$S$5,2,FALSE)</f>
        <v>3 - egyik sem</v>
      </c>
      <c r="O173" t="str">
        <f>IFERROR(VLOOKUP(J173,PAR!$O$3:$P$5,2,FALSE),"nincs feladat")</f>
        <v>nincs feladat</v>
      </c>
      <c r="P173" t="str">
        <f>IFERROR(VLOOKUP(G173,PAR!$J$2:$M$19,4),"nincs rovat")</f>
        <v>nincs rovat</v>
      </c>
      <c r="Q173" t="str">
        <f>IF(H173&gt;0,VLOOKUP(H173,PAR!$AA$3:$AC$187,3,FALSE),"nincs főkönyvi számla")</f>
        <v>nincs főkönyvi számla</v>
      </c>
      <c r="R173" t="str">
        <f>IFERROR(VLOOKUP(K173,PAR!$V$3:$X$438,3,FALSE),"000000 - Nincs COFOG")</f>
        <v>000000 - Nincs COFOG</v>
      </c>
      <c r="S173">
        <f t="shared" si="50"/>
        <v>0</v>
      </c>
      <c r="T173">
        <f t="shared" si="51"/>
        <v>0</v>
      </c>
      <c r="U173" t="str">
        <f>IF(Tervezés!F176&gt;0,CONCATENATE(Tervezés!E176," - ",Tervezés!F176,", ",Tervezés!J176),"nincs megjegyzés")</f>
        <v>nincs megjegyzés</v>
      </c>
      <c r="V173" t="str">
        <f t="shared" si="38"/>
        <v>6000</v>
      </c>
      <c r="W173" t="str">
        <f t="shared" si="39"/>
        <v>6000</v>
      </c>
      <c r="X173" t="str">
        <f t="shared" si="40"/>
        <v>00</v>
      </c>
      <c r="Y173" t="str">
        <f t="shared" si="41"/>
        <v>600</v>
      </c>
      <c r="Z173" t="str">
        <f t="shared" si="52"/>
        <v>00</v>
      </c>
      <c r="AA173" t="str">
        <f t="shared" si="42"/>
        <v>600</v>
      </c>
      <c r="AB173" t="str">
        <f t="shared" si="43"/>
        <v>00</v>
      </c>
      <c r="AC173" t="str">
        <f t="shared" si="44"/>
        <v>6000</v>
      </c>
      <c r="AD173" t="str">
        <f t="shared" si="45"/>
        <v>000</v>
      </c>
      <c r="AE173" t="str">
        <f t="shared" si="46"/>
        <v>6000</v>
      </c>
      <c r="AF173" t="str">
        <f t="shared" si="47"/>
        <v>000</v>
      </c>
      <c r="AG173" t="str">
        <f t="shared" si="53"/>
        <v>60000</v>
      </c>
      <c r="AH173" t="str">
        <f t="shared" si="54"/>
        <v>0000</v>
      </c>
      <c r="AI173" t="str">
        <f t="shared" si="55"/>
        <v>60000</v>
      </c>
      <c r="AJ173" t="str">
        <f t="shared" si="56"/>
        <v>0000</v>
      </c>
    </row>
    <row r="174" spans="1:36" x14ac:dyDescent="0.25">
      <c r="A174" s="325">
        <f>Tervezés!B177</f>
        <v>0</v>
      </c>
      <c r="B174">
        <v>60</v>
      </c>
      <c r="C174">
        <f>Tervezés!E177</f>
        <v>0</v>
      </c>
      <c r="D174">
        <f>Tervezés!F177</f>
        <v>0</v>
      </c>
      <c r="E174">
        <f>Tervezés!H177</f>
        <v>0</v>
      </c>
      <c r="F174" t="str">
        <f t="shared" si="48"/>
        <v>0</v>
      </c>
      <c r="G174" t="str">
        <f t="shared" si="49"/>
        <v>0</v>
      </c>
      <c r="H174">
        <f>Tervezés!I177</f>
        <v>0</v>
      </c>
      <c r="I174">
        <f>Tervezés!J177</f>
        <v>0</v>
      </c>
      <c r="J174">
        <f>Tervezés!K177</f>
        <v>0</v>
      </c>
      <c r="K174">
        <f>Tervezés!L177</f>
        <v>0</v>
      </c>
      <c r="L174">
        <f>Tervezés!M177</f>
        <v>0</v>
      </c>
      <c r="M174" s="322" t="str">
        <f>IFERROR(VLOOKUP(A174,PAR!$D$3:$E$53,2,FALSE),"nincs szervezet")</f>
        <v>nincs szervezet</v>
      </c>
      <c r="N174" s="322" t="str">
        <f>VLOOKUP(F174,PAR!$R$3:$S$5,2,FALSE)</f>
        <v>3 - egyik sem</v>
      </c>
      <c r="O174" t="str">
        <f>IFERROR(VLOOKUP(J174,PAR!$O$3:$P$5,2,FALSE),"nincs feladat")</f>
        <v>nincs feladat</v>
      </c>
      <c r="P174" t="str">
        <f>IFERROR(VLOOKUP(G174,PAR!$J$2:$M$19,4),"nincs rovat")</f>
        <v>nincs rovat</v>
      </c>
      <c r="Q174" t="str">
        <f>IF(H174&gt;0,VLOOKUP(H174,PAR!$AA$3:$AC$187,3,FALSE),"nincs főkönyvi számla")</f>
        <v>nincs főkönyvi számla</v>
      </c>
      <c r="R174" t="str">
        <f>IFERROR(VLOOKUP(K174,PAR!$V$3:$X$438,3,FALSE),"000000 - Nincs COFOG")</f>
        <v>000000 - Nincs COFOG</v>
      </c>
      <c r="S174">
        <f t="shared" si="50"/>
        <v>0</v>
      </c>
      <c r="T174">
        <f t="shared" si="51"/>
        <v>0</v>
      </c>
      <c r="U174" t="str">
        <f>IF(Tervezés!F177&gt;0,CONCATENATE(Tervezés!E177," - ",Tervezés!F177,", ",Tervezés!J177),"nincs megjegyzés")</f>
        <v>nincs megjegyzés</v>
      </c>
      <c r="V174" t="str">
        <f t="shared" si="38"/>
        <v>6000</v>
      </c>
      <c r="W174" t="str">
        <f t="shared" si="39"/>
        <v>6000</v>
      </c>
      <c r="X174" t="str">
        <f t="shared" si="40"/>
        <v>00</v>
      </c>
      <c r="Y174" t="str">
        <f t="shared" si="41"/>
        <v>600</v>
      </c>
      <c r="Z174" t="str">
        <f t="shared" si="52"/>
        <v>00</v>
      </c>
      <c r="AA174" t="str">
        <f t="shared" si="42"/>
        <v>600</v>
      </c>
      <c r="AB174" t="str">
        <f t="shared" si="43"/>
        <v>00</v>
      </c>
      <c r="AC174" t="str">
        <f t="shared" si="44"/>
        <v>6000</v>
      </c>
      <c r="AD174" t="str">
        <f t="shared" si="45"/>
        <v>000</v>
      </c>
      <c r="AE174" t="str">
        <f t="shared" si="46"/>
        <v>6000</v>
      </c>
      <c r="AF174" t="str">
        <f t="shared" si="47"/>
        <v>000</v>
      </c>
      <c r="AG174" t="str">
        <f t="shared" si="53"/>
        <v>60000</v>
      </c>
      <c r="AH174" t="str">
        <f t="shared" si="54"/>
        <v>0000</v>
      </c>
      <c r="AI174" t="str">
        <f t="shared" si="55"/>
        <v>60000</v>
      </c>
      <c r="AJ174" t="str">
        <f t="shared" si="56"/>
        <v>0000</v>
      </c>
    </row>
    <row r="175" spans="1:36" x14ac:dyDescent="0.25">
      <c r="A175" s="325">
        <f>Tervezés!B178</f>
        <v>0</v>
      </c>
      <c r="B175">
        <v>60</v>
      </c>
      <c r="C175">
        <f>Tervezés!E178</f>
        <v>0</v>
      </c>
      <c r="D175">
        <f>Tervezés!F178</f>
        <v>0</v>
      </c>
      <c r="E175">
        <f>Tervezés!H178</f>
        <v>0</v>
      </c>
      <c r="F175" t="str">
        <f t="shared" si="48"/>
        <v>0</v>
      </c>
      <c r="G175" t="str">
        <f t="shared" si="49"/>
        <v>0</v>
      </c>
      <c r="H175">
        <f>Tervezés!I178</f>
        <v>0</v>
      </c>
      <c r="I175">
        <f>Tervezés!J178</f>
        <v>0</v>
      </c>
      <c r="J175">
        <f>Tervezés!K178</f>
        <v>0</v>
      </c>
      <c r="K175">
        <f>Tervezés!L178</f>
        <v>0</v>
      </c>
      <c r="L175">
        <f>Tervezés!M178</f>
        <v>0</v>
      </c>
      <c r="M175" s="322" t="str">
        <f>IFERROR(VLOOKUP(A175,PAR!$D$3:$E$53,2,FALSE),"nincs szervezet")</f>
        <v>nincs szervezet</v>
      </c>
      <c r="N175" s="322" t="str">
        <f>VLOOKUP(F175,PAR!$R$3:$S$5,2,FALSE)</f>
        <v>3 - egyik sem</v>
      </c>
      <c r="O175" t="str">
        <f>IFERROR(VLOOKUP(J175,PAR!$O$3:$P$5,2,FALSE),"nincs feladat")</f>
        <v>nincs feladat</v>
      </c>
      <c r="P175" t="str">
        <f>IFERROR(VLOOKUP(G175,PAR!$J$2:$M$19,4),"nincs rovat")</f>
        <v>nincs rovat</v>
      </c>
      <c r="Q175" t="str">
        <f>IF(H175&gt;0,VLOOKUP(H175,PAR!$AA$3:$AC$187,3,FALSE),"nincs főkönyvi számla")</f>
        <v>nincs főkönyvi számla</v>
      </c>
      <c r="R175" t="str">
        <f>IFERROR(VLOOKUP(K175,PAR!$V$3:$X$438,3,FALSE),"000000 - Nincs COFOG")</f>
        <v>000000 - Nincs COFOG</v>
      </c>
      <c r="S175">
        <f t="shared" si="50"/>
        <v>0</v>
      </c>
      <c r="T175">
        <f t="shared" si="51"/>
        <v>0</v>
      </c>
      <c r="U175" t="str">
        <f>IF(Tervezés!F178&gt;0,CONCATENATE(Tervezés!E178," - ",Tervezés!F178,", ",Tervezés!J178),"nincs megjegyzés")</f>
        <v>nincs megjegyzés</v>
      </c>
      <c r="V175" t="str">
        <f t="shared" si="38"/>
        <v>6000</v>
      </c>
      <c r="W175" t="str">
        <f t="shared" si="39"/>
        <v>6000</v>
      </c>
      <c r="X175" t="str">
        <f t="shared" si="40"/>
        <v>00</v>
      </c>
      <c r="Y175" t="str">
        <f t="shared" si="41"/>
        <v>600</v>
      </c>
      <c r="Z175" t="str">
        <f t="shared" si="52"/>
        <v>00</v>
      </c>
      <c r="AA175" t="str">
        <f t="shared" si="42"/>
        <v>600</v>
      </c>
      <c r="AB175" t="str">
        <f t="shared" si="43"/>
        <v>00</v>
      </c>
      <c r="AC175" t="str">
        <f t="shared" si="44"/>
        <v>6000</v>
      </c>
      <c r="AD175" t="str">
        <f t="shared" si="45"/>
        <v>000</v>
      </c>
      <c r="AE175" t="str">
        <f t="shared" si="46"/>
        <v>6000</v>
      </c>
      <c r="AF175" t="str">
        <f t="shared" si="47"/>
        <v>000</v>
      </c>
      <c r="AG175" t="str">
        <f t="shared" si="53"/>
        <v>60000</v>
      </c>
      <c r="AH175" t="str">
        <f t="shared" si="54"/>
        <v>0000</v>
      </c>
      <c r="AI175" t="str">
        <f t="shared" si="55"/>
        <v>60000</v>
      </c>
      <c r="AJ175" t="str">
        <f t="shared" si="56"/>
        <v>0000</v>
      </c>
    </row>
    <row r="176" spans="1:36" x14ac:dyDescent="0.25">
      <c r="A176" s="325">
        <f>Tervezés!B179</f>
        <v>0</v>
      </c>
      <c r="B176">
        <v>60</v>
      </c>
      <c r="C176">
        <f>Tervezés!E179</f>
        <v>0</v>
      </c>
      <c r="D176">
        <f>Tervezés!F179</f>
        <v>0</v>
      </c>
      <c r="E176">
        <f>Tervezés!H179</f>
        <v>0</v>
      </c>
      <c r="F176" t="str">
        <f t="shared" si="48"/>
        <v>0</v>
      </c>
      <c r="G176" t="str">
        <f t="shared" si="49"/>
        <v>0</v>
      </c>
      <c r="H176">
        <f>Tervezés!I179</f>
        <v>0</v>
      </c>
      <c r="I176">
        <f>Tervezés!J179</f>
        <v>0</v>
      </c>
      <c r="J176">
        <f>Tervezés!K179</f>
        <v>0</v>
      </c>
      <c r="K176">
        <f>Tervezés!L179</f>
        <v>0</v>
      </c>
      <c r="L176">
        <f>Tervezés!M179</f>
        <v>0</v>
      </c>
      <c r="M176" s="322" t="str">
        <f>IFERROR(VLOOKUP(A176,PAR!$D$3:$E$53,2,FALSE),"nincs szervezet")</f>
        <v>nincs szervezet</v>
      </c>
      <c r="N176" s="322" t="str">
        <f>VLOOKUP(F176,PAR!$R$3:$S$5,2,FALSE)</f>
        <v>3 - egyik sem</v>
      </c>
      <c r="O176" t="str">
        <f>IFERROR(VLOOKUP(J176,PAR!$O$3:$P$5,2,FALSE),"nincs feladat")</f>
        <v>nincs feladat</v>
      </c>
      <c r="P176" t="str">
        <f>IFERROR(VLOOKUP(G176,PAR!$J$2:$M$19,4),"nincs rovat")</f>
        <v>nincs rovat</v>
      </c>
      <c r="Q176" t="str">
        <f>IF(H176&gt;0,VLOOKUP(H176,PAR!$AA$3:$AC$187,3,FALSE),"nincs főkönyvi számla")</f>
        <v>nincs főkönyvi számla</v>
      </c>
      <c r="R176" t="str">
        <f>IFERROR(VLOOKUP(K176,PAR!$V$3:$X$438,3,FALSE),"000000 - Nincs COFOG")</f>
        <v>000000 - Nincs COFOG</v>
      </c>
      <c r="S176">
        <f t="shared" si="50"/>
        <v>0</v>
      </c>
      <c r="T176">
        <f t="shared" si="51"/>
        <v>0</v>
      </c>
      <c r="U176" t="str">
        <f>IF(Tervezés!F179&gt;0,CONCATENATE(Tervezés!E179," - ",Tervezés!F179,", ",Tervezés!J179),"nincs megjegyzés")</f>
        <v>nincs megjegyzés</v>
      </c>
      <c r="V176" t="str">
        <f t="shared" si="38"/>
        <v>6000</v>
      </c>
      <c r="W176" t="str">
        <f t="shared" si="39"/>
        <v>6000</v>
      </c>
      <c r="X176" t="str">
        <f t="shared" si="40"/>
        <v>00</v>
      </c>
      <c r="Y176" t="str">
        <f t="shared" si="41"/>
        <v>600</v>
      </c>
      <c r="Z176" t="str">
        <f t="shared" si="52"/>
        <v>00</v>
      </c>
      <c r="AA176" t="str">
        <f t="shared" si="42"/>
        <v>600</v>
      </c>
      <c r="AB176" t="str">
        <f t="shared" si="43"/>
        <v>00</v>
      </c>
      <c r="AC176" t="str">
        <f t="shared" si="44"/>
        <v>6000</v>
      </c>
      <c r="AD176" t="str">
        <f t="shared" si="45"/>
        <v>000</v>
      </c>
      <c r="AE176" t="str">
        <f t="shared" si="46"/>
        <v>6000</v>
      </c>
      <c r="AF176" t="str">
        <f t="shared" si="47"/>
        <v>000</v>
      </c>
      <c r="AG176" t="str">
        <f t="shared" si="53"/>
        <v>60000</v>
      </c>
      <c r="AH176" t="str">
        <f t="shared" si="54"/>
        <v>0000</v>
      </c>
      <c r="AI176" t="str">
        <f t="shared" si="55"/>
        <v>60000</v>
      </c>
      <c r="AJ176" t="str">
        <f t="shared" si="56"/>
        <v>0000</v>
      </c>
    </row>
    <row r="177" spans="1:36" x14ac:dyDescent="0.25">
      <c r="A177" s="325">
        <f>Tervezés!B180</f>
        <v>0</v>
      </c>
      <c r="B177">
        <v>60</v>
      </c>
      <c r="C177">
        <f>Tervezés!E180</f>
        <v>0</v>
      </c>
      <c r="D177">
        <f>Tervezés!F180</f>
        <v>0</v>
      </c>
      <c r="E177">
        <f>Tervezés!H180</f>
        <v>0</v>
      </c>
      <c r="F177" t="str">
        <f t="shared" si="48"/>
        <v>0</v>
      </c>
      <c r="G177" t="str">
        <f t="shared" si="49"/>
        <v>0</v>
      </c>
      <c r="H177">
        <f>Tervezés!I180</f>
        <v>0</v>
      </c>
      <c r="I177">
        <f>Tervezés!J180</f>
        <v>0</v>
      </c>
      <c r="J177">
        <f>Tervezés!K180</f>
        <v>0</v>
      </c>
      <c r="K177">
        <f>Tervezés!L180</f>
        <v>0</v>
      </c>
      <c r="L177">
        <f>Tervezés!M180</f>
        <v>0</v>
      </c>
      <c r="M177" s="322" t="str">
        <f>IFERROR(VLOOKUP(A177,PAR!$D$3:$E$53,2,FALSE),"nincs szervezet")</f>
        <v>nincs szervezet</v>
      </c>
      <c r="N177" s="322" t="str">
        <f>VLOOKUP(F177,PAR!$R$3:$S$5,2,FALSE)</f>
        <v>3 - egyik sem</v>
      </c>
      <c r="O177" t="str">
        <f>IFERROR(VLOOKUP(J177,PAR!$O$3:$P$5,2,FALSE),"nincs feladat")</f>
        <v>nincs feladat</v>
      </c>
      <c r="P177" t="str">
        <f>IFERROR(VLOOKUP(G177,PAR!$J$2:$M$19,4),"nincs rovat")</f>
        <v>nincs rovat</v>
      </c>
      <c r="Q177" t="str">
        <f>IF(H177&gt;0,VLOOKUP(H177,PAR!$AA$3:$AC$187,3,FALSE),"nincs főkönyvi számla")</f>
        <v>nincs főkönyvi számla</v>
      </c>
      <c r="R177" t="str">
        <f>IFERROR(VLOOKUP(K177,PAR!$V$3:$X$438,3,FALSE),"000000 - Nincs COFOG")</f>
        <v>000000 - Nincs COFOG</v>
      </c>
      <c r="S177">
        <f t="shared" si="50"/>
        <v>0</v>
      </c>
      <c r="T177">
        <f t="shared" si="51"/>
        <v>0</v>
      </c>
      <c r="U177" t="str">
        <f>IF(Tervezés!F180&gt;0,CONCATENATE(Tervezés!E180," - ",Tervezés!F180,", ",Tervezés!J180),"nincs megjegyzés")</f>
        <v>nincs megjegyzés</v>
      </c>
      <c r="V177" t="str">
        <f t="shared" si="38"/>
        <v>6000</v>
      </c>
      <c r="W177" t="str">
        <f t="shared" si="39"/>
        <v>6000</v>
      </c>
      <c r="X177" t="str">
        <f t="shared" si="40"/>
        <v>00</v>
      </c>
      <c r="Y177" t="str">
        <f t="shared" si="41"/>
        <v>600</v>
      </c>
      <c r="Z177" t="str">
        <f t="shared" si="52"/>
        <v>00</v>
      </c>
      <c r="AA177" t="str">
        <f t="shared" si="42"/>
        <v>600</v>
      </c>
      <c r="AB177" t="str">
        <f t="shared" si="43"/>
        <v>00</v>
      </c>
      <c r="AC177" t="str">
        <f t="shared" si="44"/>
        <v>6000</v>
      </c>
      <c r="AD177" t="str">
        <f t="shared" si="45"/>
        <v>000</v>
      </c>
      <c r="AE177" t="str">
        <f t="shared" si="46"/>
        <v>6000</v>
      </c>
      <c r="AF177" t="str">
        <f t="shared" si="47"/>
        <v>000</v>
      </c>
      <c r="AG177" t="str">
        <f t="shared" si="53"/>
        <v>60000</v>
      </c>
      <c r="AH177" t="str">
        <f t="shared" si="54"/>
        <v>0000</v>
      </c>
      <c r="AI177" t="str">
        <f t="shared" si="55"/>
        <v>60000</v>
      </c>
      <c r="AJ177" t="str">
        <f t="shared" si="56"/>
        <v>0000</v>
      </c>
    </row>
    <row r="178" spans="1:36" x14ac:dyDescent="0.25">
      <c r="A178" s="325">
        <f>Tervezés!B181</f>
        <v>0</v>
      </c>
      <c r="B178">
        <v>60</v>
      </c>
      <c r="C178">
        <f>Tervezés!E181</f>
        <v>0</v>
      </c>
      <c r="D178">
        <f>Tervezés!F181</f>
        <v>0</v>
      </c>
      <c r="E178">
        <f>Tervezés!H181</f>
        <v>0</v>
      </c>
      <c r="F178" t="str">
        <f t="shared" si="48"/>
        <v>0</v>
      </c>
      <c r="G178" t="str">
        <f t="shared" si="49"/>
        <v>0</v>
      </c>
      <c r="H178">
        <f>Tervezés!I181</f>
        <v>0</v>
      </c>
      <c r="I178">
        <f>Tervezés!J181</f>
        <v>0</v>
      </c>
      <c r="J178">
        <f>Tervezés!K181</f>
        <v>0</v>
      </c>
      <c r="K178">
        <f>Tervezés!L181</f>
        <v>0</v>
      </c>
      <c r="L178">
        <f>Tervezés!M181</f>
        <v>0</v>
      </c>
      <c r="M178" s="322" t="str">
        <f>IFERROR(VLOOKUP(A178,PAR!$D$3:$E$53,2,FALSE),"nincs szervezet")</f>
        <v>nincs szervezet</v>
      </c>
      <c r="N178" s="322" t="str">
        <f>VLOOKUP(F178,PAR!$R$3:$S$5,2,FALSE)</f>
        <v>3 - egyik sem</v>
      </c>
      <c r="O178" t="str">
        <f>IFERROR(VLOOKUP(J178,PAR!$O$3:$P$5,2,FALSE),"nincs feladat")</f>
        <v>nincs feladat</v>
      </c>
      <c r="P178" t="str">
        <f>IFERROR(VLOOKUP(G178,PAR!$J$2:$M$19,4),"nincs rovat")</f>
        <v>nincs rovat</v>
      </c>
      <c r="Q178" t="str">
        <f>IF(H178&gt;0,VLOOKUP(H178,PAR!$AA$3:$AC$187,3,FALSE),"nincs főkönyvi számla")</f>
        <v>nincs főkönyvi számla</v>
      </c>
      <c r="R178" t="str">
        <f>IFERROR(VLOOKUP(K178,PAR!$V$3:$X$438,3,FALSE),"000000 - Nincs COFOG")</f>
        <v>000000 - Nincs COFOG</v>
      </c>
      <c r="S178">
        <f t="shared" si="50"/>
        <v>0</v>
      </c>
      <c r="T178">
        <f t="shared" si="51"/>
        <v>0</v>
      </c>
      <c r="U178" t="str">
        <f>IF(Tervezés!F181&gt;0,CONCATENATE(Tervezés!E181," - ",Tervezés!F181,", ",Tervezés!J181),"nincs megjegyzés")</f>
        <v>nincs megjegyzés</v>
      </c>
      <c r="V178" t="str">
        <f t="shared" si="38"/>
        <v>6000</v>
      </c>
      <c r="W178" t="str">
        <f t="shared" si="39"/>
        <v>6000</v>
      </c>
      <c r="X178" t="str">
        <f t="shared" si="40"/>
        <v>00</v>
      </c>
      <c r="Y178" t="str">
        <f t="shared" si="41"/>
        <v>600</v>
      </c>
      <c r="Z178" t="str">
        <f t="shared" si="52"/>
        <v>00</v>
      </c>
      <c r="AA178" t="str">
        <f t="shared" si="42"/>
        <v>600</v>
      </c>
      <c r="AB178" t="str">
        <f t="shared" si="43"/>
        <v>00</v>
      </c>
      <c r="AC178" t="str">
        <f t="shared" si="44"/>
        <v>6000</v>
      </c>
      <c r="AD178" t="str">
        <f t="shared" si="45"/>
        <v>000</v>
      </c>
      <c r="AE178" t="str">
        <f t="shared" si="46"/>
        <v>6000</v>
      </c>
      <c r="AF178" t="str">
        <f t="shared" si="47"/>
        <v>000</v>
      </c>
      <c r="AG178" t="str">
        <f t="shared" si="53"/>
        <v>60000</v>
      </c>
      <c r="AH178" t="str">
        <f t="shared" si="54"/>
        <v>0000</v>
      </c>
      <c r="AI178" t="str">
        <f t="shared" si="55"/>
        <v>60000</v>
      </c>
      <c r="AJ178" t="str">
        <f t="shared" si="56"/>
        <v>0000</v>
      </c>
    </row>
    <row r="179" spans="1:36" x14ac:dyDescent="0.25">
      <c r="A179" s="325">
        <f>Tervezés!B182</f>
        <v>0</v>
      </c>
      <c r="B179">
        <v>60</v>
      </c>
      <c r="C179">
        <f>Tervezés!E182</f>
        <v>0</v>
      </c>
      <c r="D179">
        <f>Tervezés!F182</f>
        <v>0</v>
      </c>
      <c r="E179">
        <f>Tervezés!H182</f>
        <v>0</v>
      </c>
      <c r="F179" t="str">
        <f t="shared" si="48"/>
        <v>0</v>
      </c>
      <c r="G179" t="str">
        <f t="shared" si="49"/>
        <v>0</v>
      </c>
      <c r="H179">
        <f>Tervezés!I182</f>
        <v>0</v>
      </c>
      <c r="I179">
        <f>Tervezés!J182</f>
        <v>0</v>
      </c>
      <c r="J179">
        <f>Tervezés!K182</f>
        <v>0</v>
      </c>
      <c r="K179">
        <f>Tervezés!L182</f>
        <v>0</v>
      </c>
      <c r="L179">
        <f>Tervezés!M182</f>
        <v>0</v>
      </c>
      <c r="M179" s="322" t="str">
        <f>IFERROR(VLOOKUP(A179,PAR!$D$3:$E$53,2,FALSE),"nincs szervezet")</f>
        <v>nincs szervezet</v>
      </c>
      <c r="N179" s="322" t="str">
        <f>VLOOKUP(F179,PAR!$R$3:$S$5,2,FALSE)</f>
        <v>3 - egyik sem</v>
      </c>
      <c r="O179" t="str">
        <f>IFERROR(VLOOKUP(J179,PAR!$O$3:$P$5,2,FALSE),"nincs feladat")</f>
        <v>nincs feladat</v>
      </c>
      <c r="P179" t="str">
        <f>IFERROR(VLOOKUP(G179,PAR!$J$2:$M$19,4),"nincs rovat")</f>
        <v>nincs rovat</v>
      </c>
      <c r="Q179" t="str">
        <f>IF(H179&gt;0,VLOOKUP(H179,PAR!$AA$3:$AC$187,3,FALSE),"nincs főkönyvi számla")</f>
        <v>nincs főkönyvi számla</v>
      </c>
      <c r="R179" t="str">
        <f>IFERROR(VLOOKUP(K179,PAR!$V$3:$X$438,3,FALSE),"000000 - Nincs COFOG")</f>
        <v>000000 - Nincs COFOG</v>
      </c>
      <c r="S179">
        <f t="shared" si="50"/>
        <v>0</v>
      </c>
      <c r="T179">
        <f t="shared" si="51"/>
        <v>0</v>
      </c>
      <c r="U179" t="str">
        <f>IF(Tervezés!F182&gt;0,CONCATENATE(Tervezés!E182," - ",Tervezés!F182,", ",Tervezés!J182),"nincs megjegyzés")</f>
        <v>nincs megjegyzés</v>
      </c>
      <c r="V179" t="str">
        <f t="shared" si="38"/>
        <v>6000</v>
      </c>
      <c r="W179" t="str">
        <f t="shared" si="39"/>
        <v>6000</v>
      </c>
      <c r="X179" t="str">
        <f t="shared" si="40"/>
        <v>00</v>
      </c>
      <c r="Y179" t="str">
        <f t="shared" si="41"/>
        <v>600</v>
      </c>
      <c r="Z179" t="str">
        <f t="shared" si="52"/>
        <v>00</v>
      </c>
      <c r="AA179" t="str">
        <f t="shared" si="42"/>
        <v>600</v>
      </c>
      <c r="AB179" t="str">
        <f t="shared" si="43"/>
        <v>00</v>
      </c>
      <c r="AC179" t="str">
        <f t="shared" si="44"/>
        <v>6000</v>
      </c>
      <c r="AD179" t="str">
        <f t="shared" si="45"/>
        <v>000</v>
      </c>
      <c r="AE179" t="str">
        <f t="shared" si="46"/>
        <v>6000</v>
      </c>
      <c r="AF179" t="str">
        <f t="shared" si="47"/>
        <v>000</v>
      </c>
      <c r="AG179" t="str">
        <f t="shared" si="53"/>
        <v>60000</v>
      </c>
      <c r="AH179" t="str">
        <f t="shared" si="54"/>
        <v>0000</v>
      </c>
      <c r="AI179" t="str">
        <f t="shared" si="55"/>
        <v>60000</v>
      </c>
      <c r="AJ179" t="str">
        <f t="shared" si="56"/>
        <v>0000</v>
      </c>
    </row>
    <row r="180" spans="1:36" x14ac:dyDescent="0.25">
      <c r="A180" s="325">
        <f>Tervezés!B183</f>
        <v>0</v>
      </c>
      <c r="B180">
        <v>60</v>
      </c>
      <c r="C180">
        <f>Tervezés!E183</f>
        <v>0</v>
      </c>
      <c r="D180">
        <f>Tervezés!F183</f>
        <v>0</v>
      </c>
      <c r="E180">
        <f>Tervezés!H183</f>
        <v>0</v>
      </c>
      <c r="F180" t="str">
        <f t="shared" si="48"/>
        <v>0</v>
      </c>
      <c r="G180" t="str">
        <f t="shared" si="49"/>
        <v>0</v>
      </c>
      <c r="H180">
        <f>Tervezés!I183</f>
        <v>0</v>
      </c>
      <c r="I180">
        <f>Tervezés!J183</f>
        <v>0</v>
      </c>
      <c r="J180">
        <f>Tervezés!K183</f>
        <v>0</v>
      </c>
      <c r="K180">
        <f>Tervezés!L183</f>
        <v>0</v>
      </c>
      <c r="L180">
        <f>Tervezés!M183</f>
        <v>0</v>
      </c>
      <c r="M180" s="322" t="str">
        <f>IFERROR(VLOOKUP(A180,PAR!$D$3:$E$53,2,FALSE),"nincs szervezet")</f>
        <v>nincs szervezet</v>
      </c>
      <c r="N180" s="322" t="str">
        <f>VLOOKUP(F180,PAR!$R$3:$S$5,2,FALSE)</f>
        <v>3 - egyik sem</v>
      </c>
      <c r="O180" t="str">
        <f>IFERROR(VLOOKUP(J180,PAR!$O$3:$P$5,2,FALSE),"nincs feladat")</f>
        <v>nincs feladat</v>
      </c>
      <c r="P180" t="str">
        <f>IFERROR(VLOOKUP(G180,PAR!$J$2:$M$19,4),"nincs rovat")</f>
        <v>nincs rovat</v>
      </c>
      <c r="Q180" t="str">
        <f>IF(H180&gt;0,VLOOKUP(H180,PAR!$AA$3:$AC$187,3,FALSE),"nincs főkönyvi számla")</f>
        <v>nincs főkönyvi számla</v>
      </c>
      <c r="R180" t="str">
        <f>IFERROR(VLOOKUP(K180,PAR!$V$3:$X$438,3,FALSE),"000000 - Nincs COFOG")</f>
        <v>000000 - Nincs COFOG</v>
      </c>
      <c r="S180">
        <f t="shared" si="50"/>
        <v>0</v>
      </c>
      <c r="T180">
        <f t="shared" si="51"/>
        <v>0</v>
      </c>
      <c r="U180" t="str">
        <f>IF(Tervezés!F183&gt;0,CONCATENATE(Tervezés!E183," - ",Tervezés!F183,", ",Tervezés!J183),"nincs megjegyzés")</f>
        <v>nincs megjegyzés</v>
      </c>
      <c r="V180" t="str">
        <f t="shared" si="38"/>
        <v>6000</v>
      </c>
      <c r="W180" t="str">
        <f t="shared" si="39"/>
        <v>6000</v>
      </c>
      <c r="X180" t="str">
        <f t="shared" si="40"/>
        <v>00</v>
      </c>
      <c r="Y180" t="str">
        <f t="shared" si="41"/>
        <v>600</v>
      </c>
      <c r="Z180" t="str">
        <f t="shared" si="52"/>
        <v>00</v>
      </c>
      <c r="AA180" t="str">
        <f t="shared" si="42"/>
        <v>600</v>
      </c>
      <c r="AB180" t="str">
        <f t="shared" si="43"/>
        <v>00</v>
      </c>
      <c r="AC180" t="str">
        <f t="shared" si="44"/>
        <v>6000</v>
      </c>
      <c r="AD180" t="str">
        <f t="shared" si="45"/>
        <v>000</v>
      </c>
      <c r="AE180" t="str">
        <f t="shared" si="46"/>
        <v>6000</v>
      </c>
      <c r="AF180" t="str">
        <f t="shared" si="47"/>
        <v>000</v>
      </c>
      <c r="AG180" t="str">
        <f t="shared" si="53"/>
        <v>60000</v>
      </c>
      <c r="AH180" t="str">
        <f t="shared" si="54"/>
        <v>0000</v>
      </c>
      <c r="AI180" t="str">
        <f t="shared" si="55"/>
        <v>60000</v>
      </c>
      <c r="AJ180" t="str">
        <f t="shared" si="56"/>
        <v>0000</v>
      </c>
    </row>
    <row r="181" spans="1:36" x14ac:dyDescent="0.25">
      <c r="A181" s="325">
        <f>Tervezés!B184</f>
        <v>0</v>
      </c>
      <c r="B181">
        <v>60</v>
      </c>
      <c r="C181">
        <f>Tervezés!E184</f>
        <v>0</v>
      </c>
      <c r="D181">
        <f>Tervezés!F184</f>
        <v>0</v>
      </c>
      <c r="E181">
        <f>Tervezés!H184</f>
        <v>0</v>
      </c>
      <c r="F181" t="str">
        <f t="shared" si="48"/>
        <v>0</v>
      </c>
      <c r="G181" t="str">
        <f t="shared" si="49"/>
        <v>0</v>
      </c>
      <c r="H181">
        <f>Tervezés!I184</f>
        <v>0</v>
      </c>
      <c r="I181">
        <f>Tervezés!J184</f>
        <v>0</v>
      </c>
      <c r="J181">
        <f>Tervezés!K184</f>
        <v>0</v>
      </c>
      <c r="K181">
        <f>Tervezés!L184</f>
        <v>0</v>
      </c>
      <c r="L181">
        <f>Tervezés!M184</f>
        <v>0</v>
      </c>
      <c r="M181" s="322" t="str">
        <f>IFERROR(VLOOKUP(A181,PAR!$D$3:$E$53,2,FALSE),"nincs szervezet")</f>
        <v>nincs szervezet</v>
      </c>
      <c r="N181" s="322" t="str">
        <f>VLOOKUP(F181,PAR!$R$3:$S$5,2,FALSE)</f>
        <v>3 - egyik sem</v>
      </c>
      <c r="O181" t="str">
        <f>IFERROR(VLOOKUP(J181,PAR!$O$3:$P$5,2,FALSE),"nincs feladat")</f>
        <v>nincs feladat</v>
      </c>
      <c r="P181" t="str">
        <f>IFERROR(VLOOKUP(G181,PAR!$J$2:$M$19,4),"nincs rovat")</f>
        <v>nincs rovat</v>
      </c>
      <c r="Q181" t="str">
        <f>IF(H181&gt;0,VLOOKUP(H181,PAR!$AA$3:$AC$187,3,FALSE),"nincs főkönyvi számla")</f>
        <v>nincs főkönyvi számla</v>
      </c>
      <c r="R181" t="str">
        <f>IFERROR(VLOOKUP(K181,PAR!$V$3:$X$438,3,FALSE),"000000 - Nincs COFOG")</f>
        <v>000000 - Nincs COFOG</v>
      </c>
      <c r="S181">
        <f t="shared" si="50"/>
        <v>0</v>
      </c>
      <c r="T181">
        <f t="shared" si="51"/>
        <v>0</v>
      </c>
      <c r="U181" t="str">
        <f>IF(Tervezés!F184&gt;0,CONCATENATE(Tervezés!E184," - ",Tervezés!F184,", ",Tervezés!J184),"nincs megjegyzés")</f>
        <v>nincs megjegyzés</v>
      </c>
      <c r="V181" t="str">
        <f t="shared" si="38"/>
        <v>6000</v>
      </c>
      <c r="W181" t="str">
        <f t="shared" si="39"/>
        <v>6000</v>
      </c>
      <c r="X181" t="str">
        <f t="shared" si="40"/>
        <v>00</v>
      </c>
      <c r="Y181" t="str">
        <f t="shared" si="41"/>
        <v>600</v>
      </c>
      <c r="Z181" t="str">
        <f t="shared" si="52"/>
        <v>00</v>
      </c>
      <c r="AA181" t="str">
        <f t="shared" si="42"/>
        <v>600</v>
      </c>
      <c r="AB181" t="str">
        <f t="shared" si="43"/>
        <v>00</v>
      </c>
      <c r="AC181" t="str">
        <f t="shared" si="44"/>
        <v>6000</v>
      </c>
      <c r="AD181" t="str">
        <f t="shared" si="45"/>
        <v>000</v>
      </c>
      <c r="AE181" t="str">
        <f t="shared" si="46"/>
        <v>6000</v>
      </c>
      <c r="AF181" t="str">
        <f t="shared" si="47"/>
        <v>000</v>
      </c>
      <c r="AG181" t="str">
        <f t="shared" si="53"/>
        <v>60000</v>
      </c>
      <c r="AH181" t="str">
        <f t="shared" si="54"/>
        <v>0000</v>
      </c>
      <c r="AI181" t="str">
        <f t="shared" si="55"/>
        <v>60000</v>
      </c>
      <c r="AJ181" t="str">
        <f t="shared" si="56"/>
        <v>0000</v>
      </c>
    </row>
    <row r="182" spans="1:36" x14ac:dyDescent="0.25">
      <c r="A182" s="325">
        <f>Tervezés!B185</f>
        <v>0</v>
      </c>
      <c r="B182">
        <v>60</v>
      </c>
      <c r="C182">
        <f>Tervezés!E185</f>
        <v>0</v>
      </c>
      <c r="D182">
        <f>Tervezés!F185</f>
        <v>0</v>
      </c>
      <c r="E182">
        <f>Tervezés!H185</f>
        <v>0</v>
      </c>
      <c r="F182" t="str">
        <f t="shared" si="48"/>
        <v>0</v>
      </c>
      <c r="G182" t="str">
        <f t="shared" si="49"/>
        <v>0</v>
      </c>
      <c r="H182">
        <f>Tervezés!I185</f>
        <v>0</v>
      </c>
      <c r="I182">
        <f>Tervezés!J185</f>
        <v>0</v>
      </c>
      <c r="J182">
        <f>Tervezés!K185</f>
        <v>0</v>
      </c>
      <c r="K182">
        <f>Tervezés!L185</f>
        <v>0</v>
      </c>
      <c r="L182">
        <f>Tervezés!M185</f>
        <v>0</v>
      </c>
      <c r="M182" s="322" t="str">
        <f>IFERROR(VLOOKUP(A182,PAR!$D$3:$E$53,2,FALSE),"nincs szervezet")</f>
        <v>nincs szervezet</v>
      </c>
      <c r="N182" s="322" t="str">
        <f>VLOOKUP(F182,PAR!$R$3:$S$5,2,FALSE)</f>
        <v>3 - egyik sem</v>
      </c>
      <c r="O182" t="str">
        <f>IFERROR(VLOOKUP(J182,PAR!$O$3:$P$5,2,FALSE),"nincs feladat")</f>
        <v>nincs feladat</v>
      </c>
      <c r="P182" t="str">
        <f>IFERROR(VLOOKUP(G182,PAR!$J$2:$M$19,4),"nincs rovat")</f>
        <v>nincs rovat</v>
      </c>
      <c r="Q182" t="str">
        <f>IF(H182&gt;0,VLOOKUP(H182,PAR!$AA$3:$AC$187,3,FALSE),"nincs főkönyvi számla")</f>
        <v>nincs főkönyvi számla</v>
      </c>
      <c r="R182" t="str">
        <f>IFERROR(VLOOKUP(K182,PAR!$V$3:$X$438,3,FALSE),"000000 - Nincs COFOG")</f>
        <v>000000 - Nincs COFOG</v>
      </c>
      <c r="S182">
        <f t="shared" si="50"/>
        <v>0</v>
      </c>
      <c r="T182">
        <f t="shared" si="51"/>
        <v>0</v>
      </c>
      <c r="U182" t="str">
        <f>IF(Tervezés!F185&gt;0,CONCATENATE(Tervezés!E185," - ",Tervezés!F185,", ",Tervezés!J185),"nincs megjegyzés")</f>
        <v>nincs megjegyzés</v>
      </c>
      <c r="V182" t="str">
        <f t="shared" si="38"/>
        <v>6000</v>
      </c>
      <c r="W182" t="str">
        <f t="shared" si="39"/>
        <v>6000</v>
      </c>
      <c r="X182" t="str">
        <f t="shared" si="40"/>
        <v>00</v>
      </c>
      <c r="Y182" t="str">
        <f t="shared" si="41"/>
        <v>600</v>
      </c>
      <c r="Z182" t="str">
        <f t="shared" si="52"/>
        <v>00</v>
      </c>
      <c r="AA182" t="str">
        <f t="shared" si="42"/>
        <v>600</v>
      </c>
      <c r="AB182" t="str">
        <f t="shared" si="43"/>
        <v>00</v>
      </c>
      <c r="AC182" t="str">
        <f t="shared" si="44"/>
        <v>6000</v>
      </c>
      <c r="AD182" t="str">
        <f t="shared" si="45"/>
        <v>000</v>
      </c>
      <c r="AE182" t="str">
        <f t="shared" si="46"/>
        <v>6000</v>
      </c>
      <c r="AF182" t="str">
        <f t="shared" si="47"/>
        <v>000</v>
      </c>
      <c r="AG182" t="str">
        <f t="shared" si="53"/>
        <v>60000</v>
      </c>
      <c r="AH182" t="str">
        <f t="shared" si="54"/>
        <v>0000</v>
      </c>
      <c r="AI182" t="str">
        <f t="shared" si="55"/>
        <v>60000</v>
      </c>
      <c r="AJ182" t="str">
        <f t="shared" si="56"/>
        <v>0000</v>
      </c>
    </row>
    <row r="183" spans="1:36" x14ac:dyDescent="0.25">
      <c r="A183" s="325">
        <f>Tervezés!B186</f>
        <v>0</v>
      </c>
      <c r="B183">
        <v>60</v>
      </c>
      <c r="C183">
        <f>Tervezés!E186</f>
        <v>0</v>
      </c>
      <c r="D183">
        <f>Tervezés!F186</f>
        <v>0</v>
      </c>
      <c r="E183">
        <f>Tervezés!H186</f>
        <v>0</v>
      </c>
      <c r="F183" t="str">
        <f t="shared" si="48"/>
        <v>0</v>
      </c>
      <c r="G183" t="str">
        <f t="shared" si="49"/>
        <v>0</v>
      </c>
      <c r="H183">
        <f>Tervezés!I186</f>
        <v>0</v>
      </c>
      <c r="I183">
        <f>Tervezés!J186</f>
        <v>0</v>
      </c>
      <c r="J183">
        <f>Tervezés!K186</f>
        <v>0</v>
      </c>
      <c r="K183">
        <f>Tervezés!L186</f>
        <v>0</v>
      </c>
      <c r="L183">
        <f>Tervezés!M186</f>
        <v>0</v>
      </c>
      <c r="M183" s="322" t="str">
        <f>IFERROR(VLOOKUP(A183,PAR!$D$3:$E$53,2,FALSE),"nincs szervezet")</f>
        <v>nincs szervezet</v>
      </c>
      <c r="N183" s="322" t="str">
        <f>VLOOKUP(F183,PAR!$R$3:$S$5,2,FALSE)</f>
        <v>3 - egyik sem</v>
      </c>
      <c r="O183" t="str">
        <f>IFERROR(VLOOKUP(J183,PAR!$O$3:$P$5,2,FALSE),"nincs feladat")</f>
        <v>nincs feladat</v>
      </c>
      <c r="P183" t="str">
        <f>IFERROR(VLOOKUP(G183,PAR!$J$2:$M$19,4),"nincs rovat")</f>
        <v>nincs rovat</v>
      </c>
      <c r="Q183" t="str">
        <f>IF(H183&gt;0,VLOOKUP(H183,PAR!$AA$3:$AC$187,3,FALSE),"nincs főkönyvi számla")</f>
        <v>nincs főkönyvi számla</v>
      </c>
      <c r="R183" t="str">
        <f>IFERROR(VLOOKUP(K183,PAR!$V$3:$X$438,3,FALSE),"000000 - Nincs COFOG")</f>
        <v>000000 - Nincs COFOG</v>
      </c>
      <c r="S183">
        <f t="shared" si="50"/>
        <v>0</v>
      </c>
      <c r="T183">
        <f t="shared" si="51"/>
        <v>0</v>
      </c>
      <c r="U183" t="str">
        <f>IF(Tervezés!F186&gt;0,CONCATENATE(Tervezés!E186," - ",Tervezés!F186,", ",Tervezés!J186),"nincs megjegyzés")</f>
        <v>nincs megjegyzés</v>
      </c>
      <c r="V183" t="str">
        <f t="shared" si="38"/>
        <v>6000</v>
      </c>
      <c r="W183" t="str">
        <f t="shared" si="39"/>
        <v>6000</v>
      </c>
      <c r="X183" t="str">
        <f t="shared" si="40"/>
        <v>00</v>
      </c>
      <c r="Y183" t="str">
        <f t="shared" si="41"/>
        <v>600</v>
      </c>
      <c r="Z183" t="str">
        <f t="shared" si="52"/>
        <v>00</v>
      </c>
      <c r="AA183" t="str">
        <f t="shared" si="42"/>
        <v>600</v>
      </c>
      <c r="AB183" t="str">
        <f t="shared" si="43"/>
        <v>00</v>
      </c>
      <c r="AC183" t="str">
        <f t="shared" si="44"/>
        <v>6000</v>
      </c>
      <c r="AD183" t="str">
        <f t="shared" si="45"/>
        <v>000</v>
      </c>
      <c r="AE183" t="str">
        <f t="shared" si="46"/>
        <v>6000</v>
      </c>
      <c r="AF183" t="str">
        <f t="shared" si="47"/>
        <v>000</v>
      </c>
      <c r="AG183" t="str">
        <f t="shared" si="53"/>
        <v>60000</v>
      </c>
      <c r="AH183" t="str">
        <f t="shared" si="54"/>
        <v>0000</v>
      </c>
      <c r="AI183" t="str">
        <f t="shared" si="55"/>
        <v>60000</v>
      </c>
      <c r="AJ183" t="str">
        <f t="shared" si="56"/>
        <v>0000</v>
      </c>
    </row>
    <row r="184" spans="1:36" x14ac:dyDescent="0.25">
      <c r="A184" s="325">
        <f>Tervezés!B187</f>
        <v>0</v>
      </c>
      <c r="B184">
        <v>60</v>
      </c>
      <c r="C184">
        <f>Tervezés!E187</f>
        <v>0</v>
      </c>
      <c r="D184">
        <f>Tervezés!F187</f>
        <v>0</v>
      </c>
      <c r="E184">
        <f>Tervezés!H187</f>
        <v>0</v>
      </c>
      <c r="F184" t="str">
        <f t="shared" si="48"/>
        <v>0</v>
      </c>
      <c r="G184" t="str">
        <f t="shared" si="49"/>
        <v>0</v>
      </c>
      <c r="H184">
        <f>Tervezés!I187</f>
        <v>0</v>
      </c>
      <c r="I184">
        <f>Tervezés!J187</f>
        <v>0</v>
      </c>
      <c r="J184">
        <f>Tervezés!K187</f>
        <v>0</v>
      </c>
      <c r="K184">
        <f>Tervezés!L187</f>
        <v>0</v>
      </c>
      <c r="L184">
        <f>Tervezés!M187</f>
        <v>0</v>
      </c>
      <c r="M184" s="322" t="str">
        <f>IFERROR(VLOOKUP(A184,PAR!$D$3:$E$53,2,FALSE),"nincs szervezet")</f>
        <v>nincs szervezet</v>
      </c>
      <c r="N184" s="322" t="str">
        <f>VLOOKUP(F184,PAR!$R$3:$S$5,2,FALSE)</f>
        <v>3 - egyik sem</v>
      </c>
      <c r="O184" t="str">
        <f>IFERROR(VLOOKUP(J184,PAR!$O$3:$P$5,2,FALSE),"nincs feladat")</f>
        <v>nincs feladat</v>
      </c>
      <c r="P184" t="str">
        <f>IFERROR(VLOOKUP(G184,PAR!$J$2:$M$19,4),"nincs rovat")</f>
        <v>nincs rovat</v>
      </c>
      <c r="Q184" t="str">
        <f>IF(H184&gt;0,VLOOKUP(H184,PAR!$AA$3:$AC$187,3,FALSE),"nincs főkönyvi számla")</f>
        <v>nincs főkönyvi számla</v>
      </c>
      <c r="R184" t="str">
        <f>IFERROR(VLOOKUP(K184,PAR!$V$3:$X$438,3,FALSE),"000000 - Nincs COFOG")</f>
        <v>000000 - Nincs COFOG</v>
      </c>
      <c r="S184">
        <f t="shared" si="50"/>
        <v>0</v>
      </c>
      <c r="T184">
        <f t="shared" si="51"/>
        <v>0</v>
      </c>
      <c r="U184" t="str">
        <f>IF(Tervezés!F187&gt;0,CONCATENATE(Tervezés!E187," - ",Tervezés!F187,", ",Tervezés!J187),"nincs megjegyzés")</f>
        <v>nincs megjegyzés</v>
      </c>
      <c r="V184" t="str">
        <f t="shared" si="38"/>
        <v>6000</v>
      </c>
      <c r="W184" t="str">
        <f t="shared" si="39"/>
        <v>6000</v>
      </c>
      <c r="X184" t="str">
        <f t="shared" si="40"/>
        <v>00</v>
      </c>
      <c r="Y184" t="str">
        <f t="shared" si="41"/>
        <v>600</v>
      </c>
      <c r="Z184" t="str">
        <f t="shared" si="52"/>
        <v>00</v>
      </c>
      <c r="AA184" t="str">
        <f t="shared" si="42"/>
        <v>600</v>
      </c>
      <c r="AB184" t="str">
        <f t="shared" si="43"/>
        <v>00</v>
      </c>
      <c r="AC184" t="str">
        <f t="shared" si="44"/>
        <v>6000</v>
      </c>
      <c r="AD184" t="str">
        <f t="shared" si="45"/>
        <v>000</v>
      </c>
      <c r="AE184" t="str">
        <f t="shared" si="46"/>
        <v>6000</v>
      </c>
      <c r="AF184" t="str">
        <f t="shared" si="47"/>
        <v>000</v>
      </c>
      <c r="AG184" t="str">
        <f t="shared" si="53"/>
        <v>60000</v>
      </c>
      <c r="AH184" t="str">
        <f t="shared" si="54"/>
        <v>0000</v>
      </c>
      <c r="AI184" t="str">
        <f t="shared" si="55"/>
        <v>60000</v>
      </c>
      <c r="AJ184" t="str">
        <f t="shared" si="56"/>
        <v>0000</v>
      </c>
    </row>
    <row r="185" spans="1:36" x14ac:dyDescent="0.25">
      <c r="A185" s="325">
        <f>Tervezés!B188</f>
        <v>0</v>
      </c>
      <c r="B185">
        <v>60</v>
      </c>
      <c r="C185">
        <f>Tervezés!E188</f>
        <v>0</v>
      </c>
      <c r="D185">
        <f>Tervezés!F188</f>
        <v>0</v>
      </c>
      <c r="E185">
        <f>Tervezés!H188</f>
        <v>0</v>
      </c>
      <c r="F185" t="str">
        <f t="shared" si="48"/>
        <v>0</v>
      </c>
      <c r="G185" t="str">
        <f t="shared" si="49"/>
        <v>0</v>
      </c>
      <c r="H185">
        <f>Tervezés!I188</f>
        <v>0</v>
      </c>
      <c r="I185">
        <f>Tervezés!J188</f>
        <v>0</v>
      </c>
      <c r="J185">
        <f>Tervezés!K188</f>
        <v>0</v>
      </c>
      <c r="K185">
        <f>Tervezés!L188</f>
        <v>0</v>
      </c>
      <c r="L185">
        <f>Tervezés!M188</f>
        <v>0</v>
      </c>
      <c r="M185" s="322" t="str">
        <f>IFERROR(VLOOKUP(A185,PAR!$D$3:$E$53,2,FALSE),"nincs szervezet")</f>
        <v>nincs szervezet</v>
      </c>
      <c r="N185" s="322" t="str">
        <f>VLOOKUP(F185,PAR!$R$3:$S$5,2,FALSE)</f>
        <v>3 - egyik sem</v>
      </c>
      <c r="O185" t="str">
        <f>IFERROR(VLOOKUP(J185,PAR!$O$3:$P$5,2,FALSE),"nincs feladat")</f>
        <v>nincs feladat</v>
      </c>
      <c r="P185" t="str">
        <f>IFERROR(VLOOKUP(G185,PAR!$J$2:$M$19,4),"nincs rovat")</f>
        <v>nincs rovat</v>
      </c>
      <c r="Q185" t="str">
        <f>IF(H185&gt;0,VLOOKUP(H185,PAR!$AA$3:$AC$187,3,FALSE),"nincs főkönyvi számla")</f>
        <v>nincs főkönyvi számla</v>
      </c>
      <c r="R185" t="str">
        <f>IFERROR(VLOOKUP(K185,PAR!$V$3:$X$438,3,FALSE),"000000 - Nincs COFOG")</f>
        <v>000000 - Nincs COFOG</v>
      </c>
      <c r="S185">
        <f t="shared" si="50"/>
        <v>0</v>
      </c>
      <c r="T185">
        <f t="shared" si="51"/>
        <v>0</v>
      </c>
      <c r="U185" t="str">
        <f>IF(Tervezés!F188&gt;0,CONCATENATE(Tervezés!E188," - ",Tervezés!F188,", ",Tervezés!J188),"nincs megjegyzés")</f>
        <v>nincs megjegyzés</v>
      </c>
      <c r="V185" t="str">
        <f t="shared" si="38"/>
        <v>6000</v>
      </c>
      <c r="W185" t="str">
        <f t="shared" si="39"/>
        <v>6000</v>
      </c>
      <c r="X185" t="str">
        <f t="shared" si="40"/>
        <v>00</v>
      </c>
      <c r="Y185" t="str">
        <f t="shared" si="41"/>
        <v>600</v>
      </c>
      <c r="Z185" t="str">
        <f t="shared" si="52"/>
        <v>00</v>
      </c>
      <c r="AA185" t="str">
        <f t="shared" si="42"/>
        <v>600</v>
      </c>
      <c r="AB185" t="str">
        <f t="shared" si="43"/>
        <v>00</v>
      </c>
      <c r="AC185" t="str">
        <f t="shared" si="44"/>
        <v>6000</v>
      </c>
      <c r="AD185" t="str">
        <f t="shared" si="45"/>
        <v>000</v>
      </c>
      <c r="AE185" t="str">
        <f t="shared" si="46"/>
        <v>6000</v>
      </c>
      <c r="AF185" t="str">
        <f t="shared" si="47"/>
        <v>000</v>
      </c>
      <c r="AG185" t="str">
        <f t="shared" si="53"/>
        <v>60000</v>
      </c>
      <c r="AH185" t="str">
        <f t="shared" si="54"/>
        <v>0000</v>
      </c>
      <c r="AI185" t="str">
        <f t="shared" si="55"/>
        <v>60000</v>
      </c>
      <c r="AJ185" t="str">
        <f t="shared" si="56"/>
        <v>0000</v>
      </c>
    </row>
    <row r="186" spans="1:36" x14ac:dyDescent="0.25">
      <c r="A186" s="325">
        <f>Tervezés!B189</f>
        <v>0</v>
      </c>
      <c r="B186">
        <v>60</v>
      </c>
      <c r="C186">
        <f>Tervezés!E189</f>
        <v>0</v>
      </c>
      <c r="D186">
        <f>Tervezés!F189</f>
        <v>0</v>
      </c>
      <c r="E186">
        <f>Tervezés!H189</f>
        <v>0</v>
      </c>
      <c r="F186" t="str">
        <f t="shared" si="48"/>
        <v>0</v>
      </c>
      <c r="G186" t="str">
        <f t="shared" si="49"/>
        <v>0</v>
      </c>
      <c r="H186">
        <f>Tervezés!I189</f>
        <v>0</v>
      </c>
      <c r="I186">
        <f>Tervezés!J189</f>
        <v>0</v>
      </c>
      <c r="J186">
        <f>Tervezés!K189</f>
        <v>0</v>
      </c>
      <c r="K186">
        <f>Tervezés!L189</f>
        <v>0</v>
      </c>
      <c r="L186">
        <f>Tervezés!M189</f>
        <v>0</v>
      </c>
      <c r="M186" s="322" t="str">
        <f>IFERROR(VLOOKUP(A186,PAR!$D$3:$E$53,2,FALSE),"nincs szervezet")</f>
        <v>nincs szervezet</v>
      </c>
      <c r="N186" s="322" t="str">
        <f>VLOOKUP(F186,PAR!$R$3:$S$5,2,FALSE)</f>
        <v>3 - egyik sem</v>
      </c>
      <c r="O186" t="str">
        <f>IFERROR(VLOOKUP(J186,PAR!$O$3:$P$5,2,FALSE),"nincs feladat")</f>
        <v>nincs feladat</v>
      </c>
      <c r="P186" t="str">
        <f>IFERROR(VLOOKUP(G186,PAR!$J$2:$M$19,4),"nincs rovat")</f>
        <v>nincs rovat</v>
      </c>
      <c r="Q186" t="str">
        <f>IF(H186&gt;0,VLOOKUP(H186,PAR!$AA$3:$AC$187,3,FALSE),"nincs főkönyvi számla")</f>
        <v>nincs főkönyvi számla</v>
      </c>
      <c r="R186" t="str">
        <f>IFERROR(VLOOKUP(K186,PAR!$V$3:$X$438,3,FALSE),"000000 - Nincs COFOG")</f>
        <v>000000 - Nincs COFOG</v>
      </c>
      <c r="S186">
        <f t="shared" si="50"/>
        <v>0</v>
      </c>
      <c r="T186">
        <f t="shared" si="51"/>
        <v>0</v>
      </c>
      <c r="U186" t="str">
        <f>IF(Tervezés!F189&gt;0,CONCATENATE(Tervezés!E189," - ",Tervezés!F189,", ",Tervezés!J189),"nincs megjegyzés")</f>
        <v>nincs megjegyzés</v>
      </c>
      <c r="V186" t="str">
        <f t="shared" si="38"/>
        <v>6000</v>
      </c>
      <c r="W186" t="str">
        <f t="shared" si="39"/>
        <v>6000</v>
      </c>
      <c r="X186" t="str">
        <f t="shared" si="40"/>
        <v>00</v>
      </c>
      <c r="Y186" t="str">
        <f t="shared" si="41"/>
        <v>600</v>
      </c>
      <c r="Z186" t="str">
        <f t="shared" si="52"/>
        <v>00</v>
      </c>
      <c r="AA186" t="str">
        <f t="shared" si="42"/>
        <v>600</v>
      </c>
      <c r="AB186" t="str">
        <f t="shared" si="43"/>
        <v>00</v>
      </c>
      <c r="AC186" t="str">
        <f t="shared" si="44"/>
        <v>6000</v>
      </c>
      <c r="AD186" t="str">
        <f t="shared" si="45"/>
        <v>000</v>
      </c>
      <c r="AE186" t="str">
        <f t="shared" si="46"/>
        <v>6000</v>
      </c>
      <c r="AF186" t="str">
        <f t="shared" si="47"/>
        <v>000</v>
      </c>
      <c r="AG186" t="str">
        <f t="shared" si="53"/>
        <v>60000</v>
      </c>
      <c r="AH186" t="str">
        <f t="shared" si="54"/>
        <v>0000</v>
      </c>
      <c r="AI186" t="str">
        <f t="shared" si="55"/>
        <v>60000</v>
      </c>
      <c r="AJ186" t="str">
        <f t="shared" si="56"/>
        <v>0000</v>
      </c>
    </row>
    <row r="187" spans="1:36" x14ac:dyDescent="0.25">
      <c r="A187" s="325">
        <f>Tervezés!B190</f>
        <v>0</v>
      </c>
      <c r="B187">
        <v>60</v>
      </c>
      <c r="C187">
        <f>Tervezés!E190</f>
        <v>0</v>
      </c>
      <c r="D187">
        <f>Tervezés!F190</f>
        <v>0</v>
      </c>
      <c r="E187">
        <f>Tervezés!H190</f>
        <v>0</v>
      </c>
      <c r="F187" t="str">
        <f t="shared" si="48"/>
        <v>0</v>
      </c>
      <c r="G187" t="str">
        <f t="shared" si="49"/>
        <v>0</v>
      </c>
      <c r="H187">
        <f>Tervezés!I190</f>
        <v>0</v>
      </c>
      <c r="I187">
        <f>Tervezés!J190</f>
        <v>0</v>
      </c>
      <c r="J187">
        <f>Tervezés!K190</f>
        <v>0</v>
      </c>
      <c r="K187">
        <f>Tervezés!L190</f>
        <v>0</v>
      </c>
      <c r="L187">
        <f>Tervezés!M190</f>
        <v>0</v>
      </c>
      <c r="M187" s="322" t="str">
        <f>IFERROR(VLOOKUP(A187,PAR!$D$3:$E$53,2,FALSE),"nincs szervezet")</f>
        <v>nincs szervezet</v>
      </c>
      <c r="N187" s="322" t="str">
        <f>VLOOKUP(F187,PAR!$R$3:$S$5,2,FALSE)</f>
        <v>3 - egyik sem</v>
      </c>
      <c r="O187" t="str">
        <f>IFERROR(VLOOKUP(J187,PAR!$O$3:$P$5,2,FALSE),"nincs feladat")</f>
        <v>nincs feladat</v>
      </c>
      <c r="P187" t="str">
        <f>IFERROR(VLOOKUP(G187,PAR!$J$2:$M$19,4),"nincs rovat")</f>
        <v>nincs rovat</v>
      </c>
      <c r="Q187" t="str">
        <f>IF(H187&gt;0,VLOOKUP(H187,PAR!$AA$3:$AC$187,3,FALSE),"nincs főkönyvi számla")</f>
        <v>nincs főkönyvi számla</v>
      </c>
      <c r="R187" t="str">
        <f>IFERROR(VLOOKUP(K187,PAR!$V$3:$X$438,3,FALSE),"000000 - Nincs COFOG")</f>
        <v>000000 - Nincs COFOG</v>
      </c>
      <c r="S187">
        <f t="shared" si="50"/>
        <v>0</v>
      </c>
      <c r="T187">
        <f t="shared" si="51"/>
        <v>0</v>
      </c>
      <c r="U187" t="str">
        <f>IF(Tervezés!F190&gt;0,CONCATENATE(Tervezés!E190," - ",Tervezés!F190,", ",Tervezés!J190),"nincs megjegyzés")</f>
        <v>nincs megjegyzés</v>
      </c>
      <c r="V187" t="str">
        <f t="shared" si="38"/>
        <v>6000</v>
      </c>
      <c r="W187" t="str">
        <f t="shared" si="39"/>
        <v>6000</v>
      </c>
      <c r="X187" t="str">
        <f t="shared" si="40"/>
        <v>00</v>
      </c>
      <c r="Y187" t="str">
        <f t="shared" si="41"/>
        <v>600</v>
      </c>
      <c r="Z187" t="str">
        <f t="shared" si="52"/>
        <v>00</v>
      </c>
      <c r="AA187" t="str">
        <f t="shared" si="42"/>
        <v>600</v>
      </c>
      <c r="AB187" t="str">
        <f t="shared" si="43"/>
        <v>00</v>
      </c>
      <c r="AC187" t="str">
        <f t="shared" si="44"/>
        <v>6000</v>
      </c>
      <c r="AD187" t="str">
        <f t="shared" si="45"/>
        <v>000</v>
      </c>
      <c r="AE187" t="str">
        <f t="shared" si="46"/>
        <v>6000</v>
      </c>
      <c r="AF187" t="str">
        <f t="shared" si="47"/>
        <v>000</v>
      </c>
      <c r="AG187" t="str">
        <f t="shared" si="53"/>
        <v>60000</v>
      </c>
      <c r="AH187" t="str">
        <f t="shared" si="54"/>
        <v>0000</v>
      </c>
      <c r="AI187" t="str">
        <f t="shared" si="55"/>
        <v>60000</v>
      </c>
      <c r="AJ187" t="str">
        <f t="shared" si="56"/>
        <v>0000</v>
      </c>
    </row>
    <row r="188" spans="1:36" x14ac:dyDescent="0.25">
      <c r="A188" s="325">
        <f>Tervezés!B191</f>
        <v>0</v>
      </c>
      <c r="B188">
        <v>60</v>
      </c>
      <c r="C188">
        <f>Tervezés!E191</f>
        <v>0</v>
      </c>
      <c r="D188">
        <f>Tervezés!F191</f>
        <v>0</v>
      </c>
      <c r="E188">
        <f>Tervezés!H191</f>
        <v>0</v>
      </c>
      <c r="F188" t="str">
        <f t="shared" si="48"/>
        <v>0</v>
      </c>
      <c r="G188" t="str">
        <f t="shared" si="49"/>
        <v>0</v>
      </c>
      <c r="H188">
        <f>Tervezés!I191</f>
        <v>0</v>
      </c>
      <c r="I188">
        <f>Tervezés!J191</f>
        <v>0</v>
      </c>
      <c r="J188">
        <f>Tervezés!K191</f>
        <v>0</v>
      </c>
      <c r="K188">
        <f>Tervezés!L191</f>
        <v>0</v>
      </c>
      <c r="L188">
        <f>Tervezés!M191</f>
        <v>0</v>
      </c>
      <c r="M188" s="322" t="str">
        <f>IFERROR(VLOOKUP(A188,PAR!$D$3:$E$53,2,FALSE),"nincs szervezet")</f>
        <v>nincs szervezet</v>
      </c>
      <c r="N188" s="322" t="str">
        <f>VLOOKUP(F188,PAR!$R$3:$S$5,2,FALSE)</f>
        <v>3 - egyik sem</v>
      </c>
      <c r="O188" t="str">
        <f>IFERROR(VLOOKUP(J188,PAR!$O$3:$P$5,2,FALSE),"nincs feladat")</f>
        <v>nincs feladat</v>
      </c>
      <c r="P188" t="str">
        <f>IFERROR(VLOOKUP(G188,PAR!$J$2:$M$19,4),"nincs rovat")</f>
        <v>nincs rovat</v>
      </c>
      <c r="Q188" t="str">
        <f>IF(H188&gt;0,VLOOKUP(H188,PAR!$AA$3:$AC$187,3,FALSE),"nincs főkönyvi számla")</f>
        <v>nincs főkönyvi számla</v>
      </c>
      <c r="R188" t="str">
        <f>IFERROR(VLOOKUP(K188,PAR!$V$3:$X$438,3,FALSE),"000000 - Nincs COFOG")</f>
        <v>000000 - Nincs COFOG</v>
      </c>
      <c r="S188">
        <f t="shared" si="50"/>
        <v>0</v>
      </c>
      <c r="T188">
        <f t="shared" si="51"/>
        <v>0</v>
      </c>
      <c r="U188" t="str">
        <f>IF(Tervezés!F191&gt;0,CONCATENATE(Tervezés!E191," - ",Tervezés!F191,", ",Tervezés!J191),"nincs megjegyzés")</f>
        <v>nincs megjegyzés</v>
      </c>
      <c r="V188" t="str">
        <f t="shared" si="38"/>
        <v>6000</v>
      </c>
      <c r="W188" t="str">
        <f t="shared" si="39"/>
        <v>6000</v>
      </c>
      <c r="X188" t="str">
        <f t="shared" si="40"/>
        <v>00</v>
      </c>
      <c r="Y188" t="str">
        <f t="shared" si="41"/>
        <v>600</v>
      </c>
      <c r="Z188" t="str">
        <f t="shared" si="52"/>
        <v>00</v>
      </c>
      <c r="AA188" t="str">
        <f t="shared" si="42"/>
        <v>600</v>
      </c>
      <c r="AB188" t="str">
        <f t="shared" si="43"/>
        <v>00</v>
      </c>
      <c r="AC188" t="str">
        <f t="shared" si="44"/>
        <v>6000</v>
      </c>
      <c r="AD188" t="str">
        <f t="shared" si="45"/>
        <v>000</v>
      </c>
      <c r="AE188" t="str">
        <f t="shared" si="46"/>
        <v>6000</v>
      </c>
      <c r="AF188" t="str">
        <f t="shared" si="47"/>
        <v>000</v>
      </c>
      <c r="AG188" t="str">
        <f t="shared" si="53"/>
        <v>60000</v>
      </c>
      <c r="AH188" t="str">
        <f t="shared" si="54"/>
        <v>0000</v>
      </c>
      <c r="AI188" t="str">
        <f t="shared" si="55"/>
        <v>60000</v>
      </c>
      <c r="AJ188" t="str">
        <f t="shared" si="56"/>
        <v>0000</v>
      </c>
    </row>
    <row r="189" spans="1:36" x14ac:dyDescent="0.25">
      <c r="A189" s="325">
        <f>Tervezés!B192</f>
        <v>0</v>
      </c>
      <c r="B189">
        <v>60</v>
      </c>
      <c r="C189">
        <f>Tervezés!E192</f>
        <v>0</v>
      </c>
      <c r="D189">
        <f>Tervezés!F192</f>
        <v>0</v>
      </c>
      <c r="E189">
        <f>Tervezés!H192</f>
        <v>0</v>
      </c>
      <c r="F189" t="str">
        <f t="shared" si="48"/>
        <v>0</v>
      </c>
      <c r="G189" t="str">
        <f t="shared" si="49"/>
        <v>0</v>
      </c>
      <c r="H189">
        <f>Tervezés!I192</f>
        <v>0</v>
      </c>
      <c r="I189">
        <f>Tervezés!J192</f>
        <v>0</v>
      </c>
      <c r="J189">
        <f>Tervezés!K192</f>
        <v>0</v>
      </c>
      <c r="K189">
        <f>Tervezés!L192</f>
        <v>0</v>
      </c>
      <c r="L189">
        <f>Tervezés!M192</f>
        <v>0</v>
      </c>
      <c r="M189" s="322" t="str">
        <f>IFERROR(VLOOKUP(A189,PAR!$D$3:$E$53,2,FALSE),"nincs szervezet")</f>
        <v>nincs szervezet</v>
      </c>
      <c r="N189" s="322" t="str">
        <f>VLOOKUP(F189,PAR!$R$3:$S$5,2,FALSE)</f>
        <v>3 - egyik sem</v>
      </c>
      <c r="O189" t="str">
        <f>IFERROR(VLOOKUP(J189,PAR!$O$3:$P$5,2,FALSE),"nincs feladat")</f>
        <v>nincs feladat</v>
      </c>
      <c r="P189" t="str">
        <f>IFERROR(VLOOKUP(G189,PAR!$J$2:$M$19,4),"nincs rovat")</f>
        <v>nincs rovat</v>
      </c>
      <c r="Q189" t="str">
        <f>IF(H189&gt;0,VLOOKUP(H189,PAR!$AA$3:$AC$187,3,FALSE),"nincs főkönyvi számla")</f>
        <v>nincs főkönyvi számla</v>
      </c>
      <c r="R189" t="str">
        <f>IFERROR(VLOOKUP(K189,PAR!$V$3:$X$438,3,FALSE),"000000 - Nincs COFOG")</f>
        <v>000000 - Nincs COFOG</v>
      </c>
      <c r="S189">
        <f t="shared" si="50"/>
        <v>0</v>
      </c>
      <c r="T189">
        <f t="shared" si="51"/>
        <v>0</v>
      </c>
      <c r="U189" t="str">
        <f>IF(Tervezés!F192&gt;0,CONCATENATE(Tervezés!E192," - ",Tervezés!F192,", ",Tervezés!J192),"nincs megjegyzés")</f>
        <v>nincs megjegyzés</v>
      </c>
      <c r="V189" t="str">
        <f t="shared" si="38"/>
        <v>6000</v>
      </c>
      <c r="W189" t="str">
        <f t="shared" si="39"/>
        <v>6000</v>
      </c>
      <c r="X189" t="str">
        <f t="shared" si="40"/>
        <v>00</v>
      </c>
      <c r="Y189" t="str">
        <f t="shared" si="41"/>
        <v>600</v>
      </c>
      <c r="Z189" t="str">
        <f t="shared" si="52"/>
        <v>00</v>
      </c>
      <c r="AA189" t="str">
        <f t="shared" si="42"/>
        <v>600</v>
      </c>
      <c r="AB189" t="str">
        <f t="shared" si="43"/>
        <v>00</v>
      </c>
      <c r="AC189" t="str">
        <f t="shared" si="44"/>
        <v>6000</v>
      </c>
      <c r="AD189" t="str">
        <f t="shared" si="45"/>
        <v>000</v>
      </c>
      <c r="AE189" t="str">
        <f t="shared" si="46"/>
        <v>6000</v>
      </c>
      <c r="AF189" t="str">
        <f t="shared" si="47"/>
        <v>000</v>
      </c>
      <c r="AG189" t="str">
        <f t="shared" si="53"/>
        <v>60000</v>
      </c>
      <c r="AH189" t="str">
        <f t="shared" si="54"/>
        <v>0000</v>
      </c>
      <c r="AI189" t="str">
        <f t="shared" si="55"/>
        <v>60000</v>
      </c>
      <c r="AJ189" t="str">
        <f t="shared" si="56"/>
        <v>0000</v>
      </c>
    </row>
    <row r="190" spans="1:36" x14ac:dyDescent="0.25">
      <c r="A190" s="325">
        <f>Tervezés!B193</f>
        <v>0</v>
      </c>
      <c r="B190">
        <v>60</v>
      </c>
      <c r="C190">
        <f>Tervezés!E193</f>
        <v>0</v>
      </c>
      <c r="D190">
        <f>Tervezés!F193</f>
        <v>0</v>
      </c>
      <c r="E190">
        <f>Tervezés!H193</f>
        <v>0</v>
      </c>
      <c r="F190" t="str">
        <f t="shared" si="48"/>
        <v>0</v>
      </c>
      <c r="G190" t="str">
        <f t="shared" si="49"/>
        <v>0</v>
      </c>
      <c r="H190">
        <f>Tervezés!I193</f>
        <v>0</v>
      </c>
      <c r="I190">
        <f>Tervezés!J193</f>
        <v>0</v>
      </c>
      <c r="J190">
        <f>Tervezés!K193</f>
        <v>0</v>
      </c>
      <c r="K190">
        <f>Tervezés!L193</f>
        <v>0</v>
      </c>
      <c r="L190">
        <f>Tervezés!M193</f>
        <v>0</v>
      </c>
      <c r="M190" s="322" t="str">
        <f>IFERROR(VLOOKUP(A190,PAR!$D$3:$E$53,2,FALSE),"nincs szervezet")</f>
        <v>nincs szervezet</v>
      </c>
      <c r="N190" s="322" t="str">
        <f>VLOOKUP(F190,PAR!$R$3:$S$5,2,FALSE)</f>
        <v>3 - egyik sem</v>
      </c>
      <c r="O190" t="str">
        <f>IFERROR(VLOOKUP(J190,PAR!$O$3:$P$5,2,FALSE),"nincs feladat")</f>
        <v>nincs feladat</v>
      </c>
      <c r="P190" t="str">
        <f>IFERROR(VLOOKUP(G190,PAR!$J$2:$M$19,4),"nincs rovat")</f>
        <v>nincs rovat</v>
      </c>
      <c r="Q190" t="str">
        <f>IF(H190&gt;0,VLOOKUP(H190,PAR!$AA$3:$AC$187,3,FALSE),"nincs főkönyvi számla")</f>
        <v>nincs főkönyvi számla</v>
      </c>
      <c r="R190" t="str">
        <f>IFERROR(VLOOKUP(K190,PAR!$V$3:$X$438,3,FALSE),"000000 - Nincs COFOG")</f>
        <v>000000 - Nincs COFOG</v>
      </c>
      <c r="S190">
        <f t="shared" si="50"/>
        <v>0</v>
      </c>
      <c r="T190">
        <f t="shared" si="51"/>
        <v>0</v>
      </c>
      <c r="U190" t="str">
        <f>IF(Tervezés!F193&gt;0,CONCATENATE(Tervezés!E193," - ",Tervezés!F193,", ",Tervezés!J193),"nincs megjegyzés")</f>
        <v>nincs megjegyzés</v>
      </c>
      <c r="V190" t="str">
        <f t="shared" si="38"/>
        <v>6000</v>
      </c>
      <c r="W190" t="str">
        <f t="shared" si="39"/>
        <v>6000</v>
      </c>
      <c r="X190" t="str">
        <f t="shared" si="40"/>
        <v>00</v>
      </c>
      <c r="Y190" t="str">
        <f t="shared" si="41"/>
        <v>600</v>
      </c>
      <c r="Z190" t="str">
        <f t="shared" si="52"/>
        <v>00</v>
      </c>
      <c r="AA190" t="str">
        <f t="shared" si="42"/>
        <v>600</v>
      </c>
      <c r="AB190" t="str">
        <f t="shared" si="43"/>
        <v>00</v>
      </c>
      <c r="AC190" t="str">
        <f t="shared" si="44"/>
        <v>6000</v>
      </c>
      <c r="AD190" t="str">
        <f t="shared" si="45"/>
        <v>000</v>
      </c>
      <c r="AE190" t="str">
        <f t="shared" si="46"/>
        <v>6000</v>
      </c>
      <c r="AF190" t="str">
        <f t="shared" si="47"/>
        <v>000</v>
      </c>
      <c r="AG190" t="str">
        <f t="shared" si="53"/>
        <v>60000</v>
      </c>
      <c r="AH190" t="str">
        <f t="shared" si="54"/>
        <v>0000</v>
      </c>
      <c r="AI190" t="str">
        <f t="shared" si="55"/>
        <v>60000</v>
      </c>
      <c r="AJ190" t="str">
        <f t="shared" si="56"/>
        <v>0000</v>
      </c>
    </row>
    <row r="191" spans="1:36" x14ac:dyDescent="0.25">
      <c r="A191" s="325">
        <f>Tervezés!B194</f>
        <v>0</v>
      </c>
      <c r="B191">
        <v>60</v>
      </c>
      <c r="C191">
        <f>Tervezés!E194</f>
        <v>0</v>
      </c>
      <c r="D191">
        <f>Tervezés!F194</f>
        <v>0</v>
      </c>
      <c r="E191">
        <f>Tervezés!H194</f>
        <v>0</v>
      </c>
      <c r="F191" t="str">
        <f t="shared" si="48"/>
        <v>0</v>
      </c>
      <c r="G191" t="str">
        <f t="shared" si="49"/>
        <v>0</v>
      </c>
      <c r="H191">
        <f>Tervezés!I194</f>
        <v>0</v>
      </c>
      <c r="I191">
        <f>Tervezés!J194</f>
        <v>0</v>
      </c>
      <c r="J191">
        <f>Tervezés!K194</f>
        <v>0</v>
      </c>
      <c r="K191">
        <f>Tervezés!L194</f>
        <v>0</v>
      </c>
      <c r="L191">
        <f>Tervezés!M194</f>
        <v>0</v>
      </c>
      <c r="M191" s="322" t="str">
        <f>IFERROR(VLOOKUP(A191,PAR!$D$3:$E$53,2,FALSE),"nincs szervezet")</f>
        <v>nincs szervezet</v>
      </c>
      <c r="N191" s="322" t="str">
        <f>VLOOKUP(F191,PAR!$R$3:$S$5,2,FALSE)</f>
        <v>3 - egyik sem</v>
      </c>
      <c r="O191" t="str">
        <f>IFERROR(VLOOKUP(J191,PAR!$O$3:$P$5,2,FALSE),"nincs feladat")</f>
        <v>nincs feladat</v>
      </c>
      <c r="P191" t="str">
        <f>IFERROR(VLOOKUP(G191,PAR!$J$2:$M$19,4),"nincs rovat")</f>
        <v>nincs rovat</v>
      </c>
      <c r="Q191" t="str">
        <f>IF(H191&gt;0,VLOOKUP(H191,PAR!$AA$3:$AC$187,3,FALSE),"nincs főkönyvi számla")</f>
        <v>nincs főkönyvi számla</v>
      </c>
      <c r="R191" t="str">
        <f>IFERROR(VLOOKUP(K191,PAR!$V$3:$X$438,3,FALSE),"000000 - Nincs COFOG")</f>
        <v>000000 - Nincs COFOG</v>
      </c>
      <c r="S191">
        <f t="shared" si="50"/>
        <v>0</v>
      </c>
      <c r="T191">
        <f t="shared" si="51"/>
        <v>0</v>
      </c>
      <c r="U191" t="str">
        <f>IF(Tervezés!F194&gt;0,CONCATENATE(Tervezés!E194," - ",Tervezés!F194,", ",Tervezés!J194),"nincs megjegyzés")</f>
        <v>nincs megjegyzés</v>
      </c>
      <c r="V191" t="str">
        <f t="shared" si="38"/>
        <v>6000</v>
      </c>
      <c r="W191" t="str">
        <f t="shared" si="39"/>
        <v>6000</v>
      </c>
      <c r="X191" t="str">
        <f t="shared" si="40"/>
        <v>00</v>
      </c>
      <c r="Y191" t="str">
        <f t="shared" si="41"/>
        <v>600</v>
      </c>
      <c r="Z191" t="str">
        <f t="shared" si="52"/>
        <v>00</v>
      </c>
      <c r="AA191" t="str">
        <f t="shared" si="42"/>
        <v>600</v>
      </c>
      <c r="AB191" t="str">
        <f t="shared" si="43"/>
        <v>00</v>
      </c>
      <c r="AC191" t="str">
        <f t="shared" si="44"/>
        <v>6000</v>
      </c>
      <c r="AD191" t="str">
        <f t="shared" si="45"/>
        <v>000</v>
      </c>
      <c r="AE191" t="str">
        <f t="shared" si="46"/>
        <v>6000</v>
      </c>
      <c r="AF191" t="str">
        <f t="shared" si="47"/>
        <v>000</v>
      </c>
      <c r="AG191" t="str">
        <f t="shared" si="53"/>
        <v>60000</v>
      </c>
      <c r="AH191" t="str">
        <f t="shared" si="54"/>
        <v>0000</v>
      </c>
      <c r="AI191" t="str">
        <f t="shared" si="55"/>
        <v>60000</v>
      </c>
      <c r="AJ191" t="str">
        <f t="shared" si="56"/>
        <v>0000</v>
      </c>
    </row>
    <row r="192" spans="1:36" x14ac:dyDescent="0.25">
      <c r="A192" s="325">
        <f>Tervezés!B195</f>
        <v>0</v>
      </c>
      <c r="B192">
        <v>60</v>
      </c>
      <c r="C192">
        <f>Tervezés!E195</f>
        <v>0</v>
      </c>
      <c r="D192">
        <f>Tervezés!F195</f>
        <v>0</v>
      </c>
      <c r="E192">
        <f>Tervezés!H195</f>
        <v>0</v>
      </c>
      <c r="F192" t="str">
        <f t="shared" si="48"/>
        <v>0</v>
      </c>
      <c r="G192" t="str">
        <f t="shared" si="49"/>
        <v>0</v>
      </c>
      <c r="H192">
        <f>Tervezés!I195</f>
        <v>0</v>
      </c>
      <c r="I192">
        <f>Tervezés!J195</f>
        <v>0</v>
      </c>
      <c r="J192">
        <f>Tervezés!K195</f>
        <v>0</v>
      </c>
      <c r="K192">
        <f>Tervezés!L195</f>
        <v>0</v>
      </c>
      <c r="L192">
        <f>Tervezés!M195</f>
        <v>0</v>
      </c>
      <c r="M192" s="322" t="str">
        <f>IFERROR(VLOOKUP(A192,PAR!$D$3:$E$53,2,FALSE),"nincs szervezet")</f>
        <v>nincs szervezet</v>
      </c>
      <c r="N192" s="322" t="str">
        <f>VLOOKUP(F192,PAR!$R$3:$S$5,2,FALSE)</f>
        <v>3 - egyik sem</v>
      </c>
      <c r="O192" t="str">
        <f>IFERROR(VLOOKUP(J192,PAR!$O$3:$P$5,2,FALSE),"nincs feladat")</f>
        <v>nincs feladat</v>
      </c>
      <c r="P192" t="str">
        <f>IFERROR(VLOOKUP(G192,PAR!$J$2:$M$19,4),"nincs rovat")</f>
        <v>nincs rovat</v>
      </c>
      <c r="Q192" t="str">
        <f>IF(H192&gt;0,VLOOKUP(H192,PAR!$AA$3:$AC$187,3,FALSE),"nincs főkönyvi számla")</f>
        <v>nincs főkönyvi számla</v>
      </c>
      <c r="R192" t="str">
        <f>IFERROR(VLOOKUP(K192,PAR!$V$3:$X$438,3,FALSE),"000000 - Nincs COFOG")</f>
        <v>000000 - Nincs COFOG</v>
      </c>
      <c r="S192">
        <f t="shared" si="50"/>
        <v>0</v>
      </c>
      <c r="T192">
        <f t="shared" si="51"/>
        <v>0</v>
      </c>
      <c r="U192" t="str">
        <f>IF(Tervezés!F195&gt;0,CONCATENATE(Tervezés!E195," - ",Tervezés!F195,", ",Tervezés!J195),"nincs megjegyzés")</f>
        <v>nincs megjegyzés</v>
      </c>
      <c r="V192" t="str">
        <f t="shared" si="38"/>
        <v>6000</v>
      </c>
      <c r="W192" t="str">
        <f t="shared" si="39"/>
        <v>6000</v>
      </c>
      <c r="X192" t="str">
        <f t="shared" si="40"/>
        <v>00</v>
      </c>
      <c r="Y192" t="str">
        <f t="shared" si="41"/>
        <v>600</v>
      </c>
      <c r="Z192" t="str">
        <f t="shared" si="52"/>
        <v>00</v>
      </c>
      <c r="AA192" t="str">
        <f t="shared" si="42"/>
        <v>600</v>
      </c>
      <c r="AB192" t="str">
        <f t="shared" si="43"/>
        <v>00</v>
      </c>
      <c r="AC192" t="str">
        <f t="shared" si="44"/>
        <v>6000</v>
      </c>
      <c r="AD192" t="str">
        <f t="shared" si="45"/>
        <v>000</v>
      </c>
      <c r="AE192" t="str">
        <f t="shared" si="46"/>
        <v>6000</v>
      </c>
      <c r="AF192" t="str">
        <f t="shared" si="47"/>
        <v>000</v>
      </c>
      <c r="AG192" t="str">
        <f t="shared" si="53"/>
        <v>60000</v>
      </c>
      <c r="AH192" t="str">
        <f t="shared" si="54"/>
        <v>0000</v>
      </c>
      <c r="AI192" t="str">
        <f t="shared" si="55"/>
        <v>60000</v>
      </c>
      <c r="AJ192" t="str">
        <f t="shared" si="56"/>
        <v>0000</v>
      </c>
    </row>
    <row r="193" spans="1:36" x14ac:dyDescent="0.25">
      <c r="A193" s="325">
        <f>Tervezés!B196</f>
        <v>0</v>
      </c>
      <c r="B193">
        <v>60</v>
      </c>
      <c r="C193">
        <f>Tervezés!E196</f>
        <v>0</v>
      </c>
      <c r="D193">
        <f>Tervezés!F196</f>
        <v>0</v>
      </c>
      <c r="E193">
        <f>Tervezés!H196</f>
        <v>0</v>
      </c>
      <c r="F193" t="str">
        <f t="shared" si="48"/>
        <v>0</v>
      </c>
      <c r="G193" t="str">
        <f t="shared" si="49"/>
        <v>0</v>
      </c>
      <c r="H193">
        <f>Tervezés!I196</f>
        <v>0</v>
      </c>
      <c r="I193">
        <f>Tervezés!J196</f>
        <v>0</v>
      </c>
      <c r="J193">
        <f>Tervezés!K196</f>
        <v>0</v>
      </c>
      <c r="K193">
        <f>Tervezés!L196</f>
        <v>0</v>
      </c>
      <c r="L193">
        <f>Tervezés!M196</f>
        <v>0</v>
      </c>
      <c r="M193" s="322" t="str">
        <f>IFERROR(VLOOKUP(A193,PAR!$D$3:$E$53,2,FALSE),"nincs szervezet")</f>
        <v>nincs szervezet</v>
      </c>
      <c r="N193" s="322" t="str">
        <f>VLOOKUP(F193,PAR!$R$3:$S$5,2,FALSE)</f>
        <v>3 - egyik sem</v>
      </c>
      <c r="O193" t="str">
        <f>IFERROR(VLOOKUP(J193,PAR!$O$3:$P$5,2,FALSE),"nincs feladat")</f>
        <v>nincs feladat</v>
      </c>
      <c r="P193" t="str">
        <f>IFERROR(VLOOKUP(G193,PAR!$J$2:$M$19,4),"nincs rovat")</f>
        <v>nincs rovat</v>
      </c>
      <c r="Q193" t="str">
        <f>IF(H193&gt;0,VLOOKUP(H193,PAR!$AA$3:$AC$187,3,FALSE),"nincs főkönyvi számla")</f>
        <v>nincs főkönyvi számla</v>
      </c>
      <c r="R193" t="str">
        <f>IFERROR(VLOOKUP(K193,PAR!$V$3:$X$438,3,FALSE),"000000 - Nincs COFOG")</f>
        <v>000000 - Nincs COFOG</v>
      </c>
      <c r="S193">
        <f t="shared" si="50"/>
        <v>0</v>
      </c>
      <c r="T193">
        <f t="shared" si="51"/>
        <v>0</v>
      </c>
      <c r="U193" t="str">
        <f>IF(Tervezés!F196&gt;0,CONCATENATE(Tervezés!E196," - ",Tervezés!F196,", ",Tervezés!J196),"nincs megjegyzés")</f>
        <v>nincs megjegyzés</v>
      </c>
      <c r="V193" t="str">
        <f t="shared" si="38"/>
        <v>6000</v>
      </c>
      <c r="W193" t="str">
        <f t="shared" si="39"/>
        <v>6000</v>
      </c>
      <c r="X193" t="str">
        <f t="shared" si="40"/>
        <v>00</v>
      </c>
      <c r="Y193" t="str">
        <f t="shared" si="41"/>
        <v>600</v>
      </c>
      <c r="Z193" t="str">
        <f t="shared" si="52"/>
        <v>00</v>
      </c>
      <c r="AA193" t="str">
        <f t="shared" si="42"/>
        <v>600</v>
      </c>
      <c r="AB193" t="str">
        <f t="shared" si="43"/>
        <v>00</v>
      </c>
      <c r="AC193" t="str">
        <f t="shared" si="44"/>
        <v>6000</v>
      </c>
      <c r="AD193" t="str">
        <f t="shared" si="45"/>
        <v>000</v>
      </c>
      <c r="AE193" t="str">
        <f t="shared" si="46"/>
        <v>6000</v>
      </c>
      <c r="AF193" t="str">
        <f t="shared" si="47"/>
        <v>000</v>
      </c>
      <c r="AG193" t="str">
        <f t="shared" si="53"/>
        <v>60000</v>
      </c>
      <c r="AH193" t="str">
        <f t="shared" si="54"/>
        <v>0000</v>
      </c>
      <c r="AI193" t="str">
        <f t="shared" si="55"/>
        <v>60000</v>
      </c>
      <c r="AJ193" t="str">
        <f t="shared" si="56"/>
        <v>0000</v>
      </c>
    </row>
    <row r="194" spans="1:36" x14ac:dyDescent="0.25">
      <c r="A194" s="325">
        <f>Tervezés!B197</f>
        <v>0</v>
      </c>
      <c r="B194">
        <v>60</v>
      </c>
      <c r="C194">
        <f>Tervezés!E197</f>
        <v>0</v>
      </c>
      <c r="D194">
        <f>Tervezés!F197</f>
        <v>0</v>
      </c>
      <c r="E194">
        <f>Tervezés!H197</f>
        <v>0</v>
      </c>
      <c r="F194" t="str">
        <f t="shared" si="48"/>
        <v>0</v>
      </c>
      <c r="G194" t="str">
        <f t="shared" si="49"/>
        <v>0</v>
      </c>
      <c r="H194">
        <f>Tervezés!I197</f>
        <v>0</v>
      </c>
      <c r="I194">
        <f>Tervezés!J197</f>
        <v>0</v>
      </c>
      <c r="J194">
        <f>Tervezés!K197</f>
        <v>0</v>
      </c>
      <c r="K194">
        <f>Tervezés!L197</f>
        <v>0</v>
      </c>
      <c r="L194">
        <f>Tervezés!M197</f>
        <v>0</v>
      </c>
      <c r="M194" s="322" t="str">
        <f>IFERROR(VLOOKUP(A194,PAR!$D$3:$E$53,2,FALSE),"nincs szervezet")</f>
        <v>nincs szervezet</v>
      </c>
      <c r="N194" s="322" t="str">
        <f>VLOOKUP(F194,PAR!$R$3:$S$5,2,FALSE)</f>
        <v>3 - egyik sem</v>
      </c>
      <c r="O194" t="str">
        <f>IFERROR(VLOOKUP(J194,PAR!$O$3:$P$5,2,FALSE),"nincs feladat")</f>
        <v>nincs feladat</v>
      </c>
      <c r="P194" t="str">
        <f>IFERROR(VLOOKUP(G194,PAR!$J$2:$M$19,4),"nincs rovat")</f>
        <v>nincs rovat</v>
      </c>
      <c r="Q194" t="str">
        <f>IF(H194&gt;0,VLOOKUP(H194,PAR!$AA$3:$AC$187,3,FALSE),"nincs főkönyvi számla")</f>
        <v>nincs főkönyvi számla</v>
      </c>
      <c r="R194" t="str">
        <f>IFERROR(VLOOKUP(K194,PAR!$V$3:$X$438,3,FALSE),"000000 - Nincs COFOG")</f>
        <v>000000 - Nincs COFOG</v>
      </c>
      <c r="S194">
        <f t="shared" si="50"/>
        <v>0</v>
      </c>
      <c r="T194">
        <f t="shared" si="51"/>
        <v>0</v>
      </c>
      <c r="U194" t="str">
        <f>IF(Tervezés!F197&gt;0,CONCATENATE(Tervezés!E197," - ",Tervezés!F197,", ",Tervezés!J197),"nincs megjegyzés")</f>
        <v>nincs megjegyzés</v>
      </c>
      <c r="V194" t="str">
        <f t="shared" ref="V194:V257" si="57">CONCATENATE(B194,A194,G194)</f>
        <v>6000</v>
      </c>
      <c r="W194" t="str">
        <f t="shared" ref="W194:W257" si="58">CONCATENATE(B194,A194,F194)</f>
        <v>6000</v>
      </c>
      <c r="X194" t="str">
        <f t="shared" ref="X194:X257" si="59">CONCATENATE(A194,H194)</f>
        <v>00</v>
      </c>
      <c r="Y194" t="str">
        <f t="shared" ref="Y194:Y257" si="60">CONCATENATE(B194,H194)</f>
        <v>600</v>
      </c>
      <c r="Z194" t="str">
        <f t="shared" si="52"/>
        <v>00</v>
      </c>
      <c r="AA194" t="str">
        <f t="shared" ref="AA194:AA257" si="61">CONCATENATE(B194,G194)</f>
        <v>600</v>
      </c>
      <c r="AB194" t="str">
        <f t="shared" ref="AB194:AB257" si="62">CONCATENATE(J194,G194)</f>
        <v>00</v>
      </c>
      <c r="AC194" t="str">
        <f t="shared" ref="AC194:AC257" si="63">CONCATENATE(B194,A194,H194)</f>
        <v>6000</v>
      </c>
      <c r="AD194" t="str">
        <f t="shared" ref="AD194:AD257" si="64">CONCATENATE(A194,H194,J194)</f>
        <v>000</v>
      </c>
      <c r="AE194" t="str">
        <f t="shared" ref="AE194:AE257" si="65">CONCATENATE(B194,A194,G194)</f>
        <v>6000</v>
      </c>
      <c r="AF194" t="str">
        <f t="shared" ref="AF194:AF257" si="66">CONCATENATE(A194,G194,J194)</f>
        <v>000</v>
      </c>
      <c r="AG194" t="str">
        <f t="shared" si="53"/>
        <v>60000</v>
      </c>
      <c r="AH194" t="str">
        <f t="shared" si="54"/>
        <v>0000</v>
      </c>
      <c r="AI194" t="str">
        <f t="shared" si="55"/>
        <v>60000</v>
      </c>
      <c r="AJ194" t="str">
        <f t="shared" si="56"/>
        <v>0000</v>
      </c>
    </row>
    <row r="195" spans="1:36" x14ac:dyDescent="0.25">
      <c r="A195" s="325">
        <f>Tervezés!B198</f>
        <v>0</v>
      </c>
      <c r="B195">
        <v>60</v>
      </c>
      <c r="C195">
        <f>Tervezés!E198</f>
        <v>0</v>
      </c>
      <c r="D195">
        <f>Tervezés!F198</f>
        <v>0</v>
      </c>
      <c r="E195">
        <f>Tervezés!H198</f>
        <v>0</v>
      </c>
      <c r="F195" t="str">
        <f t="shared" ref="F195:F258" si="67">LEFT(G195,2)</f>
        <v>0</v>
      </c>
      <c r="G195" t="str">
        <f t="shared" ref="G195:G258" si="68">LEFT(H195,3)</f>
        <v>0</v>
      </c>
      <c r="H195">
        <f>Tervezés!I198</f>
        <v>0</v>
      </c>
      <c r="I195">
        <f>Tervezés!J198</f>
        <v>0</v>
      </c>
      <c r="J195">
        <f>Tervezés!K198</f>
        <v>0</v>
      </c>
      <c r="K195">
        <f>Tervezés!L198</f>
        <v>0</v>
      </c>
      <c r="L195">
        <f>Tervezés!M198</f>
        <v>0</v>
      </c>
      <c r="M195" s="322" t="str">
        <f>IFERROR(VLOOKUP(A195,PAR!$D$3:$E$53,2,FALSE),"nincs szervezet")</f>
        <v>nincs szervezet</v>
      </c>
      <c r="N195" s="322" t="str">
        <f>VLOOKUP(F195,PAR!$R$3:$S$5,2,FALSE)</f>
        <v>3 - egyik sem</v>
      </c>
      <c r="O195" t="str">
        <f>IFERROR(VLOOKUP(J195,PAR!$O$3:$P$5,2,FALSE),"nincs feladat")</f>
        <v>nincs feladat</v>
      </c>
      <c r="P195" t="str">
        <f>IFERROR(VLOOKUP(G195,PAR!$J$2:$M$19,4),"nincs rovat")</f>
        <v>nincs rovat</v>
      </c>
      <c r="Q195" t="str">
        <f>IF(H195&gt;0,VLOOKUP(H195,PAR!$AA$3:$AC$187,3,FALSE),"nincs főkönyvi számla")</f>
        <v>nincs főkönyvi számla</v>
      </c>
      <c r="R195" t="str">
        <f>IFERROR(VLOOKUP(K195,PAR!$V$3:$X$438,3,FALSE),"000000 - Nincs COFOG")</f>
        <v>000000 - Nincs COFOG</v>
      </c>
      <c r="S195">
        <f t="shared" ref="S195:S258" si="69">E195</f>
        <v>0</v>
      </c>
      <c r="T195">
        <f t="shared" ref="T195:T258" si="70">IF(F195="09",E195*-1,E195)</f>
        <v>0</v>
      </c>
      <c r="U195" t="str">
        <f>IF(Tervezés!F198&gt;0,CONCATENATE(Tervezés!E198," - ",Tervezés!F198,", ",Tervezés!J198),"nincs megjegyzés")</f>
        <v>nincs megjegyzés</v>
      </c>
      <c r="V195" t="str">
        <f t="shared" si="57"/>
        <v>6000</v>
      </c>
      <c r="W195" t="str">
        <f t="shared" si="58"/>
        <v>6000</v>
      </c>
      <c r="X195" t="str">
        <f t="shared" si="59"/>
        <v>00</v>
      </c>
      <c r="Y195" t="str">
        <f t="shared" si="60"/>
        <v>600</v>
      </c>
      <c r="Z195" t="str">
        <f t="shared" ref="Z195:Z258" si="71">CONCATENATE(J195,H195)</f>
        <v>00</v>
      </c>
      <c r="AA195" t="str">
        <f t="shared" si="61"/>
        <v>600</v>
      </c>
      <c r="AB195" t="str">
        <f t="shared" si="62"/>
        <v>00</v>
      </c>
      <c r="AC195" t="str">
        <f t="shared" si="63"/>
        <v>6000</v>
      </c>
      <c r="AD195" t="str">
        <f t="shared" si="64"/>
        <v>000</v>
      </c>
      <c r="AE195" t="str">
        <f t="shared" si="65"/>
        <v>6000</v>
      </c>
      <c r="AF195" t="str">
        <f t="shared" si="66"/>
        <v>000</v>
      </c>
      <c r="AG195" t="str">
        <f t="shared" ref="AG195:AG258" si="72">CONCATENATE(B195,A195,H195,L195)</f>
        <v>60000</v>
      </c>
      <c r="AH195" t="str">
        <f t="shared" ref="AH195:AH258" si="73">CONCATENATE(A195,J195,H195,L195)</f>
        <v>0000</v>
      </c>
      <c r="AI195" t="str">
        <f t="shared" ref="AI195:AI258" si="74">CONCATENATE(B195,A195,G195,L195)</f>
        <v>60000</v>
      </c>
      <c r="AJ195" t="str">
        <f t="shared" ref="AJ195:AJ258" si="75">CONCATENATE(A195,G195,J195,L195)</f>
        <v>0000</v>
      </c>
    </row>
    <row r="196" spans="1:36" x14ac:dyDescent="0.25">
      <c r="A196" s="325">
        <f>Tervezés!B199</f>
        <v>0</v>
      </c>
      <c r="B196">
        <v>60</v>
      </c>
      <c r="C196">
        <f>Tervezés!E199</f>
        <v>0</v>
      </c>
      <c r="D196">
        <f>Tervezés!F199</f>
        <v>0</v>
      </c>
      <c r="E196">
        <f>Tervezés!H199</f>
        <v>0</v>
      </c>
      <c r="F196" t="str">
        <f t="shared" si="67"/>
        <v>0</v>
      </c>
      <c r="G196" t="str">
        <f t="shared" si="68"/>
        <v>0</v>
      </c>
      <c r="H196">
        <f>Tervezés!I199</f>
        <v>0</v>
      </c>
      <c r="I196">
        <f>Tervezés!J199</f>
        <v>0</v>
      </c>
      <c r="J196">
        <f>Tervezés!K199</f>
        <v>0</v>
      </c>
      <c r="K196">
        <f>Tervezés!L199</f>
        <v>0</v>
      </c>
      <c r="L196">
        <f>Tervezés!M199</f>
        <v>0</v>
      </c>
      <c r="M196" s="322" t="str">
        <f>IFERROR(VLOOKUP(A196,PAR!$D$3:$E$53,2,FALSE),"nincs szervezet")</f>
        <v>nincs szervezet</v>
      </c>
      <c r="N196" s="322" t="str">
        <f>VLOOKUP(F196,PAR!$R$3:$S$5,2,FALSE)</f>
        <v>3 - egyik sem</v>
      </c>
      <c r="O196" t="str">
        <f>IFERROR(VLOOKUP(J196,PAR!$O$3:$P$5,2,FALSE),"nincs feladat")</f>
        <v>nincs feladat</v>
      </c>
      <c r="P196" t="str">
        <f>IFERROR(VLOOKUP(G196,PAR!$J$2:$M$19,4),"nincs rovat")</f>
        <v>nincs rovat</v>
      </c>
      <c r="Q196" t="str">
        <f>IF(H196&gt;0,VLOOKUP(H196,PAR!$AA$3:$AC$187,3,FALSE),"nincs főkönyvi számla")</f>
        <v>nincs főkönyvi számla</v>
      </c>
      <c r="R196" t="str">
        <f>IFERROR(VLOOKUP(K196,PAR!$V$3:$X$438,3,FALSE),"000000 - Nincs COFOG")</f>
        <v>000000 - Nincs COFOG</v>
      </c>
      <c r="S196">
        <f t="shared" si="69"/>
        <v>0</v>
      </c>
      <c r="T196">
        <f t="shared" si="70"/>
        <v>0</v>
      </c>
      <c r="U196" t="str">
        <f>IF(Tervezés!F199&gt;0,CONCATENATE(Tervezés!E199," - ",Tervezés!F199,", ",Tervezés!J199),"nincs megjegyzés")</f>
        <v>nincs megjegyzés</v>
      </c>
      <c r="V196" t="str">
        <f t="shared" si="57"/>
        <v>6000</v>
      </c>
      <c r="W196" t="str">
        <f t="shared" si="58"/>
        <v>6000</v>
      </c>
      <c r="X196" t="str">
        <f t="shared" si="59"/>
        <v>00</v>
      </c>
      <c r="Y196" t="str">
        <f t="shared" si="60"/>
        <v>600</v>
      </c>
      <c r="Z196" t="str">
        <f t="shared" si="71"/>
        <v>00</v>
      </c>
      <c r="AA196" t="str">
        <f t="shared" si="61"/>
        <v>600</v>
      </c>
      <c r="AB196" t="str">
        <f t="shared" si="62"/>
        <v>00</v>
      </c>
      <c r="AC196" t="str">
        <f t="shared" si="63"/>
        <v>6000</v>
      </c>
      <c r="AD196" t="str">
        <f t="shared" si="64"/>
        <v>000</v>
      </c>
      <c r="AE196" t="str">
        <f t="shared" si="65"/>
        <v>6000</v>
      </c>
      <c r="AF196" t="str">
        <f t="shared" si="66"/>
        <v>000</v>
      </c>
      <c r="AG196" t="str">
        <f t="shared" si="72"/>
        <v>60000</v>
      </c>
      <c r="AH196" t="str">
        <f t="shared" si="73"/>
        <v>0000</v>
      </c>
      <c r="AI196" t="str">
        <f t="shared" si="74"/>
        <v>60000</v>
      </c>
      <c r="AJ196" t="str">
        <f t="shared" si="75"/>
        <v>0000</v>
      </c>
    </row>
    <row r="197" spans="1:36" x14ac:dyDescent="0.25">
      <c r="A197" s="325">
        <f>Tervezés!B200</f>
        <v>0</v>
      </c>
      <c r="B197">
        <v>60</v>
      </c>
      <c r="C197">
        <f>Tervezés!E200</f>
        <v>0</v>
      </c>
      <c r="D197">
        <f>Tervezés!F200</f>
        <v>0</v>
      </c>
      <c r="E197">
        <f>Tervezés!H200</f>
        <v>0</v>
      </c>
      <c r="F197" t="str">
        <f t="shared" si="67"/>
        <v>0</v>
      </c>
      <c r="G197" t="str">
        <f t="shared" si="68"/>
        <v>0</v>
      </c>
      <c r="H197">
        <f>Tervezés!I200</f>
        <v>0</v>
      </c>
      <c r="I197">
        <f>Tervezés!J200</f>
        <v>0</v>
      </c>
      <c r="J197">
        <f>Tervezés!K200</f>
        <v>0</v>
      </c>
      <c r="K197">
        <f>Tervezés!L200</f>
        <v>0</v>
      </c>
      <c r="L197">
        <f>Tervezés!M200</f>
        <v>0</v>
      </c>
      <c r="M197" s="322" t="str">
        <f>IFERROR(VLOOKUP(A197,PAR!$D$3:$E$53,2,FALSE),"nincs szervezet")</f>
        <v>nincs szervezet</v>
      </c>
      <c r="N197" s="322" t="str">
        <f>VLOOKUP(F197,PAR!$R$3:$S$5,2,FALSE)</f>
        <v>3 - egyik sem</v>
      </c>
      <c r="O197" t="str">
        <f>IFERROR(VLOOKUP(J197,PAR!$O$3:$P$5,2,FALSE),"nincs feladat")</f>
        <v>nincs feladat</v>
      </c>
      <c r="P197" t="str">
        <f>IFERROR(VLOOKUP(G197,PAR!$J$2:$M$19,4),"nincs rovat")</f>
        <v>nincs rovat</v>
      </c>
      <c r="Q197" t="str">
        <f>IF(H197&gt;0,VLOOKUP(H197,PAR!$AA$3:$AC$187,3,FALSE),"nincs főkönyvi számla")</f>
        <v>nincs főkönyvi számla</v>
      </c>
      <c r="R197" t="str">
        <f>IFERROR(VLOOKUP(K197,PAR!$V$3:$X$438,3,FALSE),"000000 - Nincs COFOG")</f>
        <v>000000 - Nincs COFOG</v>
      </c>
      <c r="S197">
        <f t="shared" si="69"/>
        <v>0</v>
      </c>
      <c r="T197">
        <f t="shared" si="70"/>
        <v>0</v>
      </c>
      <c r="U197" t="str">
        <f>IF(Tervezés!F200&gt;0,CONCATENATE(Tervezés!E200," - ",Tervezés!F200,", ",Tervezés!J200),"nincs megjegyzés")</f>
        <v>nincs megjegyzés</v>
      </c>
      <c r="V197" t="str">
        <f t="shared" si="57"/>
        <v>6000</v>
      </c>
      <c r="W197" t="str">
        <f t="shared" si="58"/>
        <v>6000</v>
      </c>
      <c r="X197" t="str">
        <f t="shared" si="59"/>
        <v>00</v>
      </c>
      <c r="Y197" t="str">
        <f t="shared" si="60"/>
        <v>600</v>
      </c>
      <c r="Z197" t="str">
        <f t="shared" si="71"/>
        <v>00</v>
      </c>
      <c r="AA197" t="str">
        <f t="shared" si="61"/>
        <v>600</v>
      </c>
      <c r="AB197" t="str">
        <f t="shared" si="62"/>
        <v>00</v>
      </c>
      <c r="AC197" t="str">
        <f t="shared" si="63"/>
        <v>6000</v>
      </c>
      <c r="AD197" t="str">
        <f t="shared" si="64"/>
        <v>000</v>
      </c>
      <c r="AE197" t="str">
        <f t="shared" si="65"/>
        <v>6000</v>
      </c>
      <c r="AF197" t="str">
        <f t="shared" si="66"/>
        <v>000</v>
      </c>
      <c r="AG197" t="str">
        <f t="shared" si="72"/>
        <v>60000</v>
      </c>
      <c r="AH197" t="str">
        <f t="shared" si="73"/>
        <v>0000</v>
      </c>
      <c r="AI197" t="str">
        <f t="shared" si="74"/>
        <v>60000</v>
      </c>
      <c r="AJ197" t="str">
        <f t="shared" si="75"/>
        <v>0000</v>
      </c>
    </row>
    <row r="198" spans="1:36" x14ac:dyDescent="0.25">
      <c r="A198" s="325">
        <f>Tervezés!B201</f>
        <v>0</v>
      </c>
      <c r="B198">
        <v>60</v>
      </c>
      <c r="C198">
        <f>Tervezés!E201</f>
        <v>0</v>
      </c>
      <c r="D198">
        <f>Tervezés!F201</f>
        <v>0</v>
      </c>
      <c r="E198">
        <f>Tervezés!H201</f>
        <v>0</v>
      </c>
      <c r="F198" t="str">
        <f t="shared" si="67"/>
        <v>0</v>
      </c>
      <c r="G198" t="str">
        <f t="shared" si="68"/>
        <v>0</v>
      </c>
      <c r="H198">
        <f>Tervezés!I201</f>
        <v>0</v>
      </c>
      <c r="I198">
        <f>Tervezés!J201</f>
        <v>0</v>
      </c>
      <c r="J198">
        <f>Tervezés!K201</f>
        <v>0</v>
      </c>
      <c r="K198">
        <f>Tervezés!L201</f>
        <v>0</v>
      </c>
      <c r="L198">
        <f>Tervezés!M201</f>
        <v>0</v>
      </c>
      <c r="M198" s="322" t="str">
        <f>IFERROR(VLOOKUP(A198,PAR!$D$3:$E$53,2,FALSE),"nincs szervezet")</f>
        <v>nincs szervezet</v>
      </c>
      <c r="N198" s="322" t="str">
        <f>VLOOKUP(F198,PAR!$R$3:$S$5,2,FALSE)</f>
        <v>3 - egyik sem</v>
      </c>
      <c r="O198" t="str">
        <f>IFERROR(VLOOKUP(J198,PAR!$O$3:$P$5,2,FALSE),"nincs feladat")</f>
        <v>nincs feladat</v>
      </c>
      <c r="P198" t="str">
        <f>IFERROR(VLOOKUP(G198,PAR!$J$2:$M$19,4),"nincs rovat")</f>
        <v>nincs rovat</v>
      </c>
      <c r="Q198" t="str">
        <f>IF(H198&gt;0,VLOOKUP(H198,PAR!$AA$3:$AC$187,3,FALSE),"nincs főkönyvi számla")</f>
        <v>nincs főkönyvi számla</v>
      </c>
      <c r="R198" t="str">
        <f>IFERROR(VLOOKUP(K198,PAR!$V$3:$X$438,3,FALSE),"000000 - Nincs COFOG")</f>
        <v>000000 - Nincs COFOG</v>
      </c>
      <c r="S198">
        <f t="shared" si="69"/>
        <v>0</v>
      </c>
      <c r="T198">
        <f t="shared" si="70"/>
        <v>0</v>
      </c>
      <c r="U198" t="str">
        <f>IF(Tervezés!F201&gt;0,CONCATENATE(Tervezés!E201," - ",Tervezés!F201,", ",Tervezés!J201),"nincs megjegyzés")</f>
        <v>nincs megjegyzés</v>
      </c>
      <c r="V198" t="str">
        <f t="shared" si="57"/>
        <v>6000</v>
      </c>
      <c r="W198" t="str">
        <f t="shared" si="58"/>
        <v>6000</v>
      </c>
      <c r="X198" t="str">
        <f t="shared" si="59"/>
        <v>00</v>
      </c>
      <c r="Y198" t="str">
        <f t="shared" si="60"/>
        <v>600</v>
      </c>
      <c r="Z198" t="str">
        <f t="shared" si="71"/>
        <v>00</v>
      </c>
      <c r="AA198" t="str">
        <f t="shared" si="61"/>
        <v>600</v>
      </c>
      <c r="AB198" t="str">
        <f t="shared" si="62"/>
        <v>00</v>
      </c>
      <c r="AC198" t="str">
        <f t="shared" si="63"/>
        <v>6000</v>
      </c>
      <c r="AD198" t="str">
        <f t="shared" si="64"/>
        <v>000</v>
      </c>
      <c r="AE198" t="str">
        <f t="shared" si="65"/>
        <v>6000</v>
      </c>
      <c r="AF198" t="str">
        <f t="shared" si="66"/>
        <v>000</v>
      </c>
      <c r="AG198" t="str">
        <f t="shared" si="72"/>
        <v>60000</v>
      </c>
      <c r="AH198" t="str">
        <f t="shared" si="73"/>
        <v>0000</v>
      </c>
      <c r="AI198" t="str">
        <f t="shared" si="74"/>
        <v>60000</v>
      </c>
      <c r="AJ198" t="str">
        <f t="shared" si="75"/>
        <v>0000</v>
      </c>
    </row>
    <row r="199" spans="1:36" x14ac:dyDescent="0.25">
      <c r="A199" s="325">
        <f>Tervezés!B202</f>
        <v>0</v>
      </c>
      <c r="B199">
        <v>60</v>
      </c>
      <c r="C199">
        <f>Tervezés!E202</f>
        <v>0</v>
      </c>
      <c r="D199">
        <f>Tervezés!F202</f>
        <v>0</v>
      </c>
      <c r="E199">
        <f>Tervezés!H202</f>
        <v>0</v>
      </c>
      <c r="F199" t="str">
        <f t="shared" si="67"/>
        <v>0</v>
      </c>
      <c r="G199" t="str">
        <f t="shared" si="68"/>
        <v>0</v>
      </c>
      <c r="H199">
        <f>Tervezés!I202</f>
        <v>0</v>
      </c>
      <c r="I199">
        <f>Tervezés!J202</f>
        <v>0</v>
      </c>
      <c r="J199">
        <f>Tervezés!K202</f>
        <v>0</v>
      </c>
      <c r="K199">
        <f>Tervezés!L202</f>
        <v>0</v>
      </c>
      <c r="L199">
        <f>Tervezés!M202</f>
        <v>0</v>
      </c>
      <c r="M199" s="322" t="str">
        <f>IFERROR(VLOOKUP(A199,PAR!$D$3:$E$53,2,FALSE),"nincs szervezet")</f>
        <v>nincs szervezet</v>
      </c>
      <c r="N199" s="322" t="str">
        <f>VLOOKUP(F199,PAR!$R$3:$S$5,2,FALSE)</f>
        <v>3 - egyik sem</v>
      </c>
      <c r="O199" t="str">
        <f>IFERROR(VLOOKUP(J199,PAR!$O$3:$P$5,2,FALSE),"nincs feladat")</f>
        <v>nincs feladat</v>
      </c>
      <c r="P199" t="str">
        <f>IFERROR(VLOOKUP(G199,PAR!$J$2:$M$19,4),"nincs rovat")</f>
        <v>nincs rovat</v>
      </c>
      <c r="Q199" t="str">
        <f>IF(H199&gt;0,VLOOKUP(H199,PAR!$AA$3:$AC$187,3,FALSE),"nincs főkönyvi számla")</f>
        <v>nincs főkönyvi számla</v>
      </c>
      <c r="R199" t="str">
        <f>IFERROR(VLOOKUP(K199,PAR!$V$3:$X$438,3,FALSE),"000000 - Nincs COFOG")</f>
        <v>000000 - Nincs COFOG</v>
      </c>
      <c r="S199">
        <f t="shared" si="69"/>
        <v>0</v>
      </c>
      <c r="T199">
        <f t="shared" si="70"/>
        <v>0</v>
      </c>
      <c r="U199" t="str">
        <f>IF(Tervezés!F202&gt;0,CONCATENATE(Tervezés!E202," - ",Tervezés!F202,", ",Tervezés!J202),"nincs megjegyzés")</f>
        <v>nincs megjegyzés</v>
      </c>
      <c r="V199" t="str">
        <f t="shared" si="57"/>
        <v>6000</v>
      </c>
      <c r="W199" t="str">
        <f t="shared" si="58"/>
        <v>6000</v>
      </c>
      <c r="X199" t="str">
        <f t="shared" si="59"/>
        <v>00</v>
      </c>
      <c r="Y199" t="str">
        <f t="shared" si="60"/>
        <v>600</v>
      </c>
      <c r="Z199" t="str">
        <f t="shared" si="71"/>
        <v>00</v>
      </c>
      <c r="AA199" t="str">
        <f t="shared" si="61"/>
        <v>600</v>
      </c>
      <c r="AB199" t="str">
        <f t="shared" si="62"/>
        <v>00</v>
      </c>
      <c r="AC199" t="str">
        <f t="shared" si="63"/>
        <v>6000</v>
      </c>
      <c r="AD199" t="str">
        <f t="shared" si="64"/>
        <v>000</v>
      </c>
      <c r="AE199" t="str">
        <f t="shared" si="65"/>
        <v>6000</v>
      </c>
      <c r="AF199" t="str">
        <f t="shared" si="66"/>
        <v>000</v>
      </c>
      <c r="AG199" t="str">
        <f t="shared" si="72"/>
        <v>60000</v>
      </c>
      <c r="AH199" t="str">
        <f t="shared" si="73"/>
        <v>0000</v>
      </c>
      <c r="AI199" t="str">
        <f t="shared" si="74"/>
        <v>60000</v>
      </c>
      <c r="AJ199" t="str">
        <f t="shared" si="75"/>
        <v>0000</v>
      </c>
    </row>
    <row r="200" spans="1:36" x14ac:dyDescent="0.25">
      <c r="A200" s="325">
        <f>Tervezés!B203</f>
        <v>0</v>
      </c>
      <c r="B200">
        <v>60</v>
      </c>
      <c r="C200">
        <f>Tervezés!E203</f>
        <v>0</v>
      </c>
      <c r="D200">
        <f>Tervezés!F203</f>
        <v>0</v>
      </c>
      <c r="E200">
        <f>Tervezés!H203</f>
        <v>0</v>
      </c>
      <c r="F200" t="str">
        <f t="shared" si="67"/>
        <v>0</v>
      </c>
      <c r="G200" t="str">
        <f t="shared" si="68"/>
        <v>0</v>
      </c>
      <c r="H200">
        <f>Tervezés!I203</f>
        <v>0</v>
      </c>
      <c r="I200">
        <f>Tervezés!J203</f>
        <v>0</v>
      </c>
      <c r="J200">
        <f>Tervezés!K203</f>
        <v>0</v>
      </c>
      <c r="K200">
        <f>Tervezés!L203</f>
        <v>0</v>
      </c>
      <c r="L200">
        <f>Tervezés!M203</f>
        <v>0</v>
      </c>
      <c r="M200" s="322" t="str">
        <f>IFERROR(VLOOKUP(A200,PAR!$D$3:$E$53,2,FALSE),"nincs szervezet")</f>
        <v>nincs szervezet</v>
      </c>
      <c r="N200" s="322" t="str">
        <f>VLOOKUP(F200,PAR!$R$3:$S$5,2,FALSE)</f>
        <v>3 - egyik sem</v>
      </c>
      <c r="O200" t="str">
        <f>IFERROR(VLOOKUP(J200,PAR!$O$3:$P$5,2,FALSE),"nincs feladat")</f>
        <v>nincs feladat</v>
      </c>
      <c r="P200" t="str">
        <f>IFERROR(VLOOKUP(G200,PAR!$J$2:$M$19,4),"nincs rovat")</f>
        <v>nincs rovat</v>
      </c>
      <c r="Q200" t="str">
        <f>IF(H200&gt;0,VLOOKUP(H200,PAR!$AA$3:$AC$187,3,FALSE),"nincs főkönyvi számla")</f>
        <v>nincs főkönyvi számla</v>
      </c>
      <c r="R200" t="str">
        <f>IFERROR(VLOOKUP(K200,PAR!$V$3:$X$438,3,FALSE),"000000 - Nincs COFOG")</f>
        <v>000000 - Nincs COFOG</v>
      </c>
      <c r="S200">
        <f t="shared" si="69"/>
        <v>0</v>
      </c>
      <c r="T200">
        <f t="shared" si="70"/>
        <v>0</v>
      </c>
      <c r="U200" t="str">
        <f>IF(Tervezés!F203&gt;0,CONCATENATE(Tervezés!E203," - ",Tervezés!F203,", ",Tervezés!J203),"nincs megjegyzés")</f>
        <v>nincs megjegyzés</v>
      </c>
      <c r="V200" t="str">
        <f t="shared" si="57"/>
        <v>6000</v>
      </c>
      <c r="W200" t="str">
        <f t="shared" si="58"/>
        <v>6000</v>
      </c>
      <c r="X200" t="str">
        <f t="shared" si="59"/>
        <v>00</v>
      </c>
      <c r="Y200" t="str">
        <f t="shared" si="60"/>
        <v>600</v>
      </c>
      <c r="Z200" t="str">
        <f t="shared" si="71"/>
        <v>00</v>
      </c>
      <c r="AA200" t="str">
        <f t="shared" si="61"/>
        <v>600</v>
      </c>
      <c r="AB200" t="str">
        <f t="shared" si="62"/>
        <v>00</v>
      </c>
      <c r="AC200" t="str">
        <f t="shared" si="63"/>
        <v>6000</v>
      </c>
      <c r="AD200" t="str">
        <f t="shared" si="64"/>
        <v>000</v>
      </c>
      <c r="AE200" t="str">
        <f t="shared" si="65"/>
        <v>6000</v>
      </c>
      <c r="AF200" t="str">
        <f t="shared" si="66"/>
        <v>000</v>
      </c>
      <c r="AG200" t="str">
        <f t="shared" si="72"/>
        <v>60000</v>
      </c>
      <c r="AH200" t="str">
        <f t="shared" si="73"/>
        <v>0000</v>
      </c>
      <c r="AI200" t="str">
        <f t="shared" si="74"/>
        <v>60000</v>
      </c>
      <c r="AJ200" t="str">
        <f t="shared" si="75"/>
        <v>0000</v>
      </c>
    </row>
    <row r="201" spans="1:36" x14ac:dyDescent="0.25">
      <c r="A201" s="325">
        <f>Tervezés!B204</f>
        <v>0</v>
      </c>
      <c r="B201">
        <v>60</v>
      </c>
      <c r="C201">
        <f>Tervezés!E204</f>
        <v>0</v>
      </c>
      <c r="D201">
        <f>Tervezés!F204</f>
        <v>0</v>
      </c>
      <c r="E201">
        <f>Tervezés!H204</f>
        <v>0</v>
      </c>
      <c r="F201" t="str">
        <f t="shared" si="67"/>
        <v>0</v>
      </c>
      <c r="G201" t="str">
        <f t="shared" si="68"/>
        <v>0</v>
      </c>
      <c r="H201">
        <f>Tervezés!I204</f>
        <v>0</v>
      </c>
      <c r="I201">
        <f>Tervezés!J204</f>
        <v>0</v>
      </c>
      <c r="J201">
        <f>Tervezés!K204</f>
        <v>0</v>
      </c>
      <c r="K201">
        <f>Tervezés!L204</f>
        <v>0</v>
      </c>
      <c r="L201">
        <f>Tervezés!M204</f>
        <v>0</v>
      </c>
      <c r="M201" s="322" t="str">
        <f>IFERROR(VLOOKUP(A201,PAR!$D$3:$E$53,2,FALSE),"nincs szervezet")</f>
        <v>nincs szervezet</v>
      </c>
      <c r="N201" s="322" t="str">
        <f>VLOOKUP(F201,PAR!$R$3:$S$5,2,FALSE)</f>
        <v>3 - egyik sem</v>
      </c>
      <c r="O201" t="str">
        <f>IFERROR(VLOOKUP(J201,PAR!$O$3:$P$5,2,FALSE),"nincs feladat")</f>
        <v>nincs feladat</v>
      </c>
      <c r="P201" t="str">
        <f>IFERROR(VLOOKUP(G201,PAR!$J$2:$M$19,4),"nincs rovat")</f>
        <v>nincs rovat</v>
      </c>
      <c r="Q201" t="str">
        <f>IF(H201&gt;0,VLOOKUP(H201,PAR!$AA$3:$AC$187,3,FALSE),"nincs főkönyvi számla")</f>
        <v>nincs főkönyvi számla</v>
      </c>
      <c r="R201" t="str">
        <f>IFERROR(VLOOKUP(K201,PAR!$V$3:$X$438,3,FALSE),"000000 - Nincs COFOG")</f>
        <v>000000 - Nincs COFOG</v>
      </c>
      <c r="S201">
        <f t="shared" si="69"/>
        <v>0</v>
      </c>
      <c r="T201">
        <f t="shared" si="70"/>
        <v>0</v>
      </c>
      <c r="U201" t="str">
        <f>IF(Tervezés!F204&gt;0,CONCATENATE(Tervezés!E204," - ",Tervezés!F204,", ",Tervezés!J204),"nincs megjegyzés")</f>
        <v>nincs megjegyzés</v>
      </c>
      <c r="V201" t="str">
        <f t="shared" si="57"/>
        <v>6000</v>
      </c>
      <c r="W201" t="str">
        <f t="shared" si="58"/>
        <v>6000</v>
      </c>
      <c r="X201" t="str">
        <f t="shared" si="59"/>
        <v>00</v>
      </c>
      <c r="Y201" t="str">
        <f t="shared" si="60"/>
        <v>600</v>
      </c>
      <c r="Z201" t="str">
        <f t="shared" si="71"/>
        <v>00</v>
      </c>
      <c r="AA201" t="str">
        <f t="shared" si="61"/>
        <v>600</v>
      </c>
      <c r="AB201" t="str">
        <f t="shared" si="62"/>
        <v>00</v>
      </c>
      <c r="AC201" t="str">
        <f t="shared" si="63"/>
        <v>6000</v>
      </c>
      <c r="AD201" t="str">
        <f t="shared" si="64"/>
        <v>000</v>
      </c>
      <c r="AE201" t="str">
        <f t="shared" si="65"/>
        <v>6000</v>
      </c>
      <c r="AF201" t="str">
        <f t="shared" si="66"/>
        <v>000</v>
      </c>
      <c r="AG201" t="str">
        <f t="shared" si="72"/>
        <v>60000</v>
      </c>
      <c r="AH201" t="str">
        <f t="shared" si="73"/>
        <v>0000</v>
      </c>
      <c r="AI201" t="str">
        <f t="shared" si="74"/>
        <v>60000</v>
      </c>
      <c r="AJ201" t="str">
        <f t="shared" si="75"/>
        <v>0000</v>
      </c>
    </row>
    <row r="202" spans="1:36" x14ac:dyDescent="0.25">
      <c r="A202" s="325">
        <f>Tervezés!B205</f>
        <v>0</v>
      </c>
      <c r="B202">
        <v>60</v>
      </c>
      <c r="C202">
        <f>Tervezés!E205</f>
        <v>0</v>
      </c>
      <c r="D202">
        <f>Tervezés!F205</f>
        <v>0</v>
      </c>
      <c r="E202">
        <f>Tervezés!H205</f>
        <v>0</v>
      </c>
      <c r="F202" t="str">
        <f t="shared" si="67"/>
        <v>0</v>
      </c>
      <c r="G202" t="str">
        <f t="shared" si="68"/>
        <v>0</v>
      </c>
      <c r="H202">
        <f>Tervezés!I205</f>
        <v>0</v>
      </c>
      <c r="I202">
        <f>Tervezés!J205</f>
        <v>0</v>
      </c>
      <c r="J202">
        <f>Tervezés!K205</f>
        <v>0</v>
      </c>
      <c r="K202">
        <f>Tervezés!L205</f>
        <v>0</v>
      </c>
      <c r="L202">
        <f>Tervezés!M205</f>
        <v>0</v>
      </c>
      <c r="M202" s="322" t="str">
        <f>IFERROR(VLOOKUP(A202,PAR!$D$3:$E$53,2,FALSE),"nincs szervezet")</f>
        <v>nincs szervezet</v>
      </c>
      <c r="N202" s="322" t="str">
        <f>VLOOKUP(F202,PAR!$R$3:$S$5,2,FALSE)</f>
        <v>3 - egyik sem</v>
      </c>
      <c r="O202" t="str">
        <f>IFERROR(VLOOKUP(J202,PAR!$O$3:$P$5,2,FALSE),"nincs feladat")</f>
        <v>nincs feladat</v>
      </c>
      <c r="P202" t="str">
        <f>IFERROR(VLOOKUP(G202,PAR!$J$2:$M$19,4),"nincs rovat")</f>
        <v>nincs rovat</v>
      </c>
      <c r="Q202" t="str">
        <f>IF(H202&gt;0,VLOOKUP(H202,PAR!$AA$3:$AC$187,3,FALSE),"nincs főkönyvi számla")</f>
        <v>nincs főkönyvi számla</v>
      </c>
      <c r="R202" t="str">
        <f>IFERROR(VLOOKUP(K202,PAR!$V$3:$X$438,3,FALSE),"000000 - Nincs COFOG")</f>
        <v>000000 - Nincs COFOG</v>
      </c>
      <c r="S202">
        <f t="shared" si="69"/>
        <v>0</v>
      </c>
      <c r="T202">
        <f t="shared" si="70"/>
        <v>0</v>
      </c>
      <c r="U202" t="str">
        <f>IF(Tervezés!F205&gt;0,CONCATENATE(Tervezés!E205," - ",Tervezés!F205,", ",Tervezés!J205),"nincs megjegyzés")</f>
        <v>nincs megjegyzés</v>
      </c>
      <c r="V202" t="str">
        <f t="shared" si="57"/>
        <v>6000</v>
      </c>
      <c r="W202" t="str">
        <f t="shared" si="58"/>
        <v>6000</v>
      </c>
      <c r="X202" t="str">
        <f t="shared" si="59"/>
        <v>00</v>
      </c>
      <c r="Y202" t="str">
        <f t="shared" si="60"/>
        <v>600</v>
      </c>
      <c r="Z202" t="str">
        <f t="shared" si="71"/>
        <v>00</v>
      </c>
      <c r="AA202" t="str">
        <f t="shared" si="61"/>
        <v>600</v>
      </c>
      <c r="AB202" t="str">
        <f t="shared" si="62"/>
        <v>00</v>
      </c>
      <c r="AC202" t="str">
        <f t="shared" si="63"/>
        <v>6000</v>
      </c>
      <c r="AD202" t="str">
        <f t="shared" si="64"/>
        <v>000</v>
      </c>
      <c r="AE202" t="str">
        <f t="shared" si="65"/>
        <v>6000</v>
      </c>
      <c r="AF202" t="str">
        <f t="shared" si="66"/>
        <v>000</v>
      </c>
      <c r="AG202" t="str">
        <f t="shared" si="72"/>
        <v>60000</v>
      </c>
      <c r="AH202" t="str">
        <f t="shared" si="73"/>
        <v>0000</v>
      </c>
      <c r="AI202" t="str">
        <f t="shared" si="74"/>
        <v>60000</v>
      </c>
      <c r="AJ202" t="str">
        <f t="shared" si="75"/>
        <v>0000</v>
      </c>
    </row>
    <row r="203" spans="1:36" x14ac:dyDescent="0.25">
      <c r="A203" s="325">
        <f>Tervezés!B206</f>
        <v>0</v>
      </c>
      <c r="B203">
        <v>60</v>
      </c>
      <c r="C203">
        <f>Tervezés!E206</f>
        <v>0</v>
      </c>
      <c r="D203">
        <f>Tervezés!F206</f>
        <v>0</v>
      </c>
      <c r="E203">
        <f>Tervezés!H206</f>
        <v>0</v>
      </c>
      <c r="F203" t="str">
        <f t="shared" si="67"/>
        <v>0</v>
      </c>
      <c r="G203" t="str">
        <f t="shared" si="68"/>
        <v>0</v>
      </c>
      <c r="H203">
        <f>Tervezés!I206</f>
        <v>0</v>
      </c>
      <c r="I203">
        <f>Tervezés!J206</f>
        <v>0</v>
      </c>
      <c r="J203">
        <f>Tervezés!K206</f>
        <v>0</v>
      </c>
      <c r="K203">
        <f>Tervezés!L206</f>
        <v>0</v>
      </c>
      <c r="L203">
        <f>Tervezés!M206</f>
        <v>0</v>
      </c>
      <c r="M203" s="322" t="str">
        <f>IFERROR(VLOOKUP(A203,PAR!$D$3:$E$53,2,FALSE),"nincs szervezet")</f>
        <v>nincs szervezet</v>
      </c>
      <c r="N203" s="322" t="str">
        <f>VLOOKUP(F203,PAR!$R$3:$S$5,2,FALSE)</f>
        <v>3 - egyik sem</v>
      </c>
      <c r="O203" t="str">
        <f>IFERROR(VLOOKUP(J203,PAR!$O$3:$P$5,2,FALSE),"nincs feladat")</f>
        <v>nincs feladat</v>
      </c>
      <c r="P203" t="str">
        <f>IFERROR(VLOOKUP(G203,PAR!$J$2:$M$19,4),"nincs rovat")</f>
        <v>nincs rovat</v>
      </c>
      <c r="Q203" t="str">
        <f>IF(H203&gt;0,VLOOKUP(H203,PAR!$AA$3:$AC$187,3,FALSE),"nincs főkönyvi számla")</f>
        <v>nincs főkönyvi számla</v>
      </c>
      <c r="R203" t="str">
        <f>IFERROR(VLOOKUP(K203,PAR!$V$3:$X$438,3,FALSE),"000000 - Nincs COFOG")</f>
        <v>000000 - Nincs COFOG</v>
      </c>
      <c r="S203">
        <f t="shared" si="69"/>
        <v>0</v>
      </c>
      <c r="T203">
        <f t="shared" si="70"/>
        <v>0</v>
      </c>
      <c r="U203" t="str">
        <f>IF(Tervezés!F206&gt;0,CONCATENATE(Tervezés!E206," - ",Tervezés!F206,", ",Tervezés!J206),"nincs megjegyzés")</f>
        <v>nincs megjegyzés</v>
      </c>
      <c r="V203" t="str">
        <f t="shared" si="57"/>
        <v>6000</v>
      </c>
      <c r="W203" t="str">
        <f t="shared" si="58"/>
        <v>6000</v>
      </c>
      <c r="X203" t="str">
        <f t="shared" si="59"/>
        <v>00</v>
      </c>
      <c r="Y203" t="str">
        <f t="shared" si="60"/>
        <v>600</v>
      </c>
      <c r="Z203" t="str">
        <f t="shared" si="71"/>
        <v>00</v>
      </c>
      <c r="AA203" t="str">
        <f t="shared" si="61"/>
        <v>600</v>
      </c>
      <c r="AB203" t="str">
        <f t="shared" si="62"/>
        <v>00</v>
      </c>
      <c r="AC203" t="str">
        <f t="shared" si="63"/>
        <v>6000</v>
      </c>
      <c r="AD203" t="str">
        <f t="shared" si="64"/>
        <v>000</v>
      </c>
      <c r="AE203" t="str">
        <f t="shared" si="65"/>
        <v>6000</v>
      </c>
      <c r="AF203" t="str">
        <f t="shared" si="66"/>
        <v>000</v>
      </c>
      <c r="AG203" t="str">
        <f t="shared" si="72"/>
        <v>60000</v>
      </c>
      <c r="AH203" t="str">
        <f t="shared" si="73"/>
        <v>0000</v>
      </c>
      <c r="AI203" t="str">
        <f t="shared" si="74"/>
        <v>60000</v>
      </c>
      <c r="AJ203" t="str">
        <f t="shared" si="75"/>
        <v>0000</v>
      </c>
    </row>
    <row r="204" spans="1:36" x14ac:dyDescent="0.25">
      <c r="A204" s="325">
        <f>Tervezés!B207</f>
        <v>0</v>
      </c>
      <c r="B204">
        <v>60</v>
      </c>
      <c r="C204">
        <f>Tervezés!E207</f>
        <v>0</v>
      </c>
      <c r="D204">
        <f>Tervezés!F207</f>
        <v>0</v>
      </c>
      <c r="E204">
        <f>Tervezés!H207</f>
        <v>0</v>
      </c>
      <c r="F204" t="str">
        <f t="shared" si="67"/>
        <v>0</v>
      </c>
      <c r="G204" t="str">
        <f t="shared" si="68"/>
        <v>0</v>
      </c>
      <c r="H204">
        <f>Tervezés!I207</f>
        <v>0</v>
      </c>
      <c r="I204">
        <f>Tervezés!J207</f>
        <v>0</v>
      </c>
      <c r="J204">
        <f>Tervezés!K207</f>
        <v>0</v>
      </c>
      <c r="K204">
        <f>Tervezés!L207</f>
        <v>0</v>
      </c>
      <c r="L204">
        <f>Tervezés!M207</f>
        <v>0</v>
      </c>
      <c r="M204" s="322" t="str">
        <f>IFERROR(VLOOKUP(A204,PAR!$D$3:$E$53,2,FALSE),"nincs szervezet")</f>
        <v>nincs szervezet</v>
      </c>
      <c r="N204" s="322" t="str">
        <f>VLOOKUP(F204,PAR!$R$3:$S$5,2,FALSE)</f>
        <v>3 - egyik sem</v>
      </c>
      <c r="O204" t="str">
        <f>IFERROR(VLOOKUP(J204,PAR!$O$3:$P$5,2,FALSE),"nincs feladat")</f>
        <v>nincs feladat</v>
      </c>
      <c r="P204" t="str">
        <f>IFERROR(VLOOKUP(G204,PAR!$J$2:$M$19,4),"nincs rovat")</f>
        <v>nincs rovat</v>
      </c>
      <c r="Q204" t="str">
        <f>IF(H204&gt;0,VLOOKUP(H204,PAR!$AA$3:$AC$187,3,FALSE),"nincs főkönyvi számla")</f>
        <v>nincs főkönyvi számla</v>
      </c>
      <c r="R204" t="str">
        <f>IFERROR(VLOOKUP(K204,PAR!$V$3:$X$438,3,FALSE),"000000 - Nincs COFOG")</f>
        <v>000000 - Nincs COFOG</v>
      </c>
      <c r="S204">
        <f t="shared" si="69"/>
        <v>0</v>
      </c>
      <c r="T204">
        <f t="shared" si="70"/>
        <v>0</v>
      </c>
      <c r="U204" t="str">
        <f>IF(Tervezés!F207&gt;0,CONCATENATE(Tervezés!E207," - ",Tervezés!F207,", ",Tervezés!J207),"nincs megjegyzés")</f>
        <v>nincs megjegyzés</v>
      </c>
      <c r="V204" t="str">
        <f t="shared" si="57"/>
        <v>6000</v>
      </c>
      <c r="W204" t="str">
        <f t="shared" si="58"/>
        <v>6000</v>
      </c>
      <c r="X204" t="str">
        <f t="shared" si="59"/>
        <v>00</v>
      </c>
      <c r="Y204" t="str">
        <f t="shared" si="60"/>
        <v>600</v>
      </c>
      <c r="Z204" t="str">
        <f t="shared" si="71"/>
        <v>00</v>
      </c>
      <c r="AA204" t="str">
        <f t="shared" si="61"/>
        <v>600</v>
      </c>
      <c r="AB204" t="str">
        <f t="shared" si="62"/>
        <v>00</v>
      </c>
      <c r="AC204" t="str">
        <f t="shared" si="63"/>
        <v>6000</v>
      </c>
      <c r="AD204" t="str">
        <f t="shared" si="64"/>
        <v>000</v>
      </c>
      <c r="AE204" t="str">
        <f t="shared" si="65"/>
        <v>6000</v>
      </c>
      <c r="AF204" t="str">
        <f t="shared" si="66"/>
        <v>000</v>
      </c>
      <c r="AG204" t="str">
        <f t="shared" si="72"/>
        <v>60000</v>
      </c>
      <c r="AH204" t="str">
        <f t="shared" si="73"/>
        <v>0000</v>
      </c>
      <c r="AI204" t="str">
        <f t="shared" si="74"/>
        <v>60000</v>
      </c>
      <c r="AJ204" t="str">
        <f t="shared" si="75"/>
        <v>0000</v>
      </c>
    </row>
    <row r="205" spans="1:36" x14ac:dyDescent="0.25">
      <c r="A205" s="325">
        <f>Tervezés!B208</f>
        <v>0</v>
      </c>
      <c r="B205">
        <v>60</v>
      </c>
      <c r="C205">
        <f>Tervezés!E208</f>
        <v>0</v>
      </c>
      <c r="D205">
        <f>Tervezés!F208</f>
        <v>0</v>
      </c>
      <c r="E205">
        <f>Tervezés!H208</f>
        <v>0</v>
      </c>
      <c r="F205" t="str">
        <f t="shared" si="67"/>
        <v>0</v>
      </c>
      <c r="G205" t="str">
        <f t="shared" si="68"/>
        <v>0</v>
      </c>
      <c r="H205">
        <f>Tervezés!I208</f>
        <v>0</v>
      </c>
      <c r="I205">
        <f>Tervezés!J208</f>
        <v>0</v>
      </c>
      <c r="J205">
        <f>Tervezés!K208</f>
        <v>0</v>
      </c>
      <c r="K205">
        <f>Tervezés!L208</f>
        <v>0</v>
      </c>
      <c r="L205">
        <f>Tervezés!M208</f>
        <v>0</v>
      </c>
      <c r="M205" s="322" t="str">
        <f>IFERROR(VLOOKUP(A205,PAR!$D$3:$E$53,2,FALSE),"nincs szervezet")</f>
        <v>nincs szervezet</v>
      </c>
      <c r="N205" s="322" t="str">
        <f>VLOOKUP(F205,PAR!$R$3:$S$5,2,FALSE)</f>
        <v>3 - egyik sem</v>
      </c>
      <c r="O205" t="str">
        <f>IFERROR(VLOOKUP(J205,PAR!$O$3:$P$5,2,FALSE),"nincs feladat")</f>
        <v>nincs feladat</v>
      </c>
      <c r="P205" t="str">
        <f>IFERROR(VLOOKUP(G205,PAR!$J$2:$M$19,4),"nincs rovat")</f>
        <v>nincs rovat</v>
      </c>
      <c r="Q205" t="str">
        <f>IF(H205&gt;0,VLOOKUP(H205,PAR!$AA$3:$AC$187,3,FALSE),"nincs főkönyvi számla")</f>
        <v>nincs főkönyvi számla</v>
      </c>
      <c r="R205" t="str">
        <f>IFERROR(VLOOKUP(K205,PAR!$V$3:$X$438,3,FALSE),"000000 - Nincs COFOG")</f>
        <v>000000 - Nincs COFOG</v>
      </c>
      <c r="S205">
        <f t="shared" si="69"/>
        <v>0</v>
      </c>
      <c r="T205">
        <f t="shared" si="70"/>
        <v>0</v>
      </c>
      <c r="U205" t="str">
        <f>IF(Tervezés!F208&gt;0,CONCATENATE(Tervezés!E208," - ",Tervezés!F208,", ",Tervezés!J208),"nincs megjegyzés")</f>
        <v>nincs megjegyzés</v>
      </c>
      <c r="V205" t="str">
        <f t="shared" si="57"/>
        <v>6000</v>
      </c>
      <c r="W205" t="str">
        <f t="shared" si="58"/>
        <v>6000</v>
      </c>
      <c r="X205" t="str">
        <f t="shared" si="59"/>
        <v>00</v>
      </c>
      <c r="Y205" t="str">
        <f t="shared" si="60"/>
        <v>600</v>
      </c>
      <c r="Z205" t="str">
        <f t="shared" si="71"/>
        <v>00</v>
      </c>
      <c r="AA205" t="str">
        <f t="shared" si="61"/>
        <v>600</v>
      </c>
      <c r="AB205" t="str">
        <f t="shared" si="62"/>
        <v>00</v>
      </c>
      <c r="AC205" t="str">
        <f t="shared" si="63"/>
        <v>6000</v>
      </c>
      <c r="AD205" t="str">
        <f t="shared" si="64"/>
        <v>000</v>
      </c>
      <c r="AE205" t="str">
        <f t="shared" si="65"/>
        <v>6000</v>
      </c>
      <c r="AF205" t="str">
        <f t="shared" si="66"/>
        <v>000</v>
      </c>
      <c r="AG205" t="str">
        <f t="shared" si="72"/>
        <v>60000</v>
      </c>
      <c r="AH205" t="str">
        <f t="shared" si="73"/>
        <v>0000</v>
      </c>
      <c r="AI205" t="str">
        <f t="shared" si="74"/>
        <v>60000</v>
      </c>
      <c r="AJ205" t="str">
        <f t="shared" si="75"/>
        <v>0000</v>
      </c>
    </row>
    <row r="206" spans="1:36" x14ac:dyDescent="0.25">
      <c r="A206" s="325">
        <f>Tervezés!B209</f>
        <v>0</v>
      </c>
      <c r="B206">
        <v>60</v>
      </c>
      <c r="C206">
        <f>Tervezés!E209</f>
        <v>0</v>
      </c>
      <c r="D206">
        <f>Tervezés!F209</f>
        <v>0</v>
      </c>
      <c r="E206">
        <f>Tervezés!H209</f>
        <v>0</v>
      </c>
      <c r="F206" t="str">
        <f t="shared" si="67"/>
        <v>0</v>
      </c>
      <c r="G206" t="str">
        <f t="shared" si="68"/>
        <v>0</v>
      </c>
      <c r="H206">
        <f>Tervezés!I209</f>
        <v>0</v>
      </c>
      <c r="I206">
        <f>Tervezés!J209</f>
        <v>0</v>
      </c>
      <c r="J206">
        <f>Tervezés!K209</f>
        <v>0</v>
      </c>
      <c r="K206">
        <f>Tervezés!L209</f>
        <v>0</v>
      </c>
      <c r="L206">
        <f>Tervezés!M209</f>
        <v>0</v>
      </c>
      <c r="M206" s="322" t="str">
        <f>IFERROR(VLOOKUP(A206,PAR!$D$3:$E$53,2,FALSE),"nincs szervezet")</f>
        <v>nincs szervezet</v>
      </c>
      <c r="N206" s="322" t="str">
        <f>VLOOKUP(F206,PAR!$R$3:$S$5,2,FALSE)</f>
        <v>3 - egyik sem</v>
      </c>
      <c r="O206" t="str">
        <f>IFERROR(VLOOKUP(J206,PAR!$O$3:$P$5,2,FALSE),"nincs feladat")</f>
        <v>nincs feladat</v>
      </c>
      <c r="P206" t="str">
        <f>IFERROR(VLOOKUP(G206,PAR!$J$2:$M$19,4),"nincs rovat")</f>
        <v>nincs rovat</v>
      </c>
      <c r="Q206" t="str">
        <f>IF(H206&gt;0,VLOOKUP(H206,PAR!$AA$3:$AC$187,3,FALSE),"nincs főkönyvi számla")</f>
        <v>nincs főkönyvi számla</v>
      </c>
      <c r="R206" t="str">
        <f>IFERROR(VLOOKUP(K206,PAR!$V$3:$X$438,3,FALSE),"000000 - Nincs COFOG")</f>
        <v>000000 - Nincs COFOG</v>
      </c>
      <c r="S206">
        <f t="shared" si="69"/>
        <v>0</v>
      </c>
      <c r="T206">
        <f t="shared" si="70"/>
        <v>0</v>
      </c>
      <c r="U206" t="str">
        <f>IF(Tervezés!F209&gt;0,CONCATENATE(Tervezés!E209," - ",Tervezés!F209,", ",Tervezés!J209),"nincs megjegyzés")</f>
        <v>nincs megjegyzés</v>
      </c>
      <c r="V206" t="str">
        <f t="shared" si="57"/>
        <v>6000</v>
      </c>
      <c r="W206" t="str">
        <f t="shared" si="58"/>
        <v>6000</v>
      </c>
      <c r="X206" t="str">
        <f t="shared" si="59"/>
        <v>00</v>
      </c>
      <c r="Y206" t="str">
        <f t="shared" si="60"/>
        <v>600</v>
      </c>
      <c r="Z206" t="str">
        <f t="shared" si="71"/>
        <v>00</v>
      </c>
      <c r="AA206" t="str">
        <f t="shared" si="61"/>
        <v>600</v>
      </c>
      <c r="AB206" t="str">
        <f t="shared" si="62"/>
        <v>00</v>
      </c>
      <c r="AC206" t="str">
        <f t="shared" si="63"/>
        <v>6000</v>
      </c>
      <c r="AD206" t="str">
        <f t="shared" si="64"/>
        <v>000</v>
      </c>
      <c r="AE206" t="str">
        <f t="shared" si="65"/>
        <v>6000</v>
      </c>
      <c r="AF206" t="str">
        <f t="shared" si="66"/>
        <v>000</v>
      </c>
      <c r="AG206" t="str">
        <f t="shared" si="72"/>
        <v>60000</v>
      </c>
      <c r="AH206" t="str">
        <f t="shared" si="73"/>
        <v>0000</v>
      </c>
      <c r="AI206" t="str">
        <f t="shared" si="74"/>
        <v>60000</v>
      </c>
      <c r="AJ206" t="str">
        <f t="shared" si="75"/>
        <v>0000</v>
      </c>
    </row>
    <row r="207" spans="1:36" x14ac:dyDescent="0.25">
      <c r="A207" s="325">
        <f>Tervezés!B210</f>
        <v>0</v>
      </c>
      <c r="B207">
        <v>60</v>
      </c>
      <c r="C207">
        <f>Tervezés!E210</f>
        <v>0</v>
      </c>
      <c r="D207">
        <f>Tervezés!F210</f>
        <v>0</v>
      </c>
      <c r="E207">
        <f>Tervezés!H210</f>
        <v>0</v>
      </c>
      <c r="F207" t="str">
        <f t="shared" si="67"/>
        <v>0</v>
      </c>
      <c r="G207" t="str">
        <f t="shared" si="68"/>
        <v>0</v>
      </c>
      <c r="H207">
        <f>Tervezés!I210</f>
        <v>0</v>
      </c>
      <c r="I207">
        <f>Tervezés!J210</f>
        <v>0</v>
      </c>
      <c r="J207">
        <f>Tervezés!K210</f>
        <v>0</v>
      </c>
      <c r="K207">
        <f>Tervezés!L210</f>
        <v>0</v>
      </c>
      <c r="L207">
        <f>Tervezés!M210</f>
        <v>0</v>
      </c>
      <c r="M207" s="322" t="str">
        <f>IFERROR(VLOOKUP(A207,PAR!$D$3:$E$53,2,FALSE),"nincs szervezet")</f>
        <v>nincs szervezet</v>
      </c>
      <c r="N207" s="322" t="str">
        <f>VLOOKUP(F207,PAR!$R$3:$S$5,2,FALSE)</f>
        <v>3 - egyik sem</v>
      </c>
      <c r="O207" t="str">
        <f>IFERROR(VLOOKUP(J207,PAR!$O$3:$P$5,2,FALSE),"nincs feladat")</f>
        <v>nincs feladat</v>
      </c>
      <c r="P207" t="str">
        <f>IFERROR(VLOOKUP(G207,PAR!$J$2:$M$19,4),"nincs rovat")</f>
        <v>nincs rovat</v>
      </c>
      <c r="Q207" t="str">
        <f>IF(H207&gt;0,VLOOKUP(H207,PAR!$AA$3:$AC$187,3,FALSE),"nincs főkönyvi számla")</f>
        <v>nincs főkönyvi számla</v>
      </c>
      <c r="R207" t="str">
        <f>IFERROR(VLOOKUP(K207,PAR!$V$3:$X$438,3,FALSE),"000000 - Nincs COFOG")</f>
        <v>000000 - Nincs COFOG</v>
      </c>
      <c r="S207">
        <f t="shared" si="69"/>
        <v>0</v>
      </c>
      <c r="T207">
        <f t="shared" si="70"/>
        <v>0</v>
      </c>
      <c r="U207" t="str">
        <f>IF(Tervezés!F210&gt;0,CONCATENATE(Tervezés!E210," - ",Tervezés!F210,", ",Tervezés!J210),"nincs megjegyzés")</f>
        <v>nincs megjegyzés</v>
      </c>
      <c r="V207" t="str">
        <f t="shared" si="57"/>
        <v>6000</v>
      </c>
      <c r="W207" t="str">
        <f t="shared" si="58"/>
        <v>6000</v>
      </c>
      <c r="X207" t="str">
        <f t="shared" si="59"/>
        <v>00</v>
      </c>
      <c r="Y207" t="str">
        <f t="shared" si="60"/>
        <v>600</v>
      </c>
      <c r="Z207" t="str">
        <f t="shared" si="71"/>
        <v>00</v>
      </c>
      <c r="AA207" t="str">
        <f t="shared" si="61"/>
        <v>600</v>
      </c>
      <c r="AB207" t="str">
        <f t="shared" si="62"/>
        <v>00</v>
      </c>
      <c r="AC207" t="str">
        <f t="shared" si="63"/>
        <v>6000</v>
      </c>
      <c r="AD207" t="str">
        <f t="shared" si="64"/>
        <v>000</v>
      </c>
      <c r="AE207" t="str">
        <f t="shared" si="65"/>
        <v>6000</v>
      </c>
      <c r="AF207" t="str">
        <f t="shared" si="66"/>
        <v>000</v>
      </c>
      <c r="AG207" t="str">
        <f t="shared" si="72"/>
        <v>60000</v>
      </c>
      <c r="AH207" t="str">
        <f t="shared" si="73"/>
        <v>0000</v>
      </c>
      <c r="AI207" t="str">
        <f t="shared" si="74"/>
        <v>60000</v>
      </c>
      <c r="AJ207" t="str">
        <f t="shared" si="75"/>
        <v>0000</v>
      </c>
    </row>
    <row r="208" spans="1:36" x14ac:dyDescent="0.25">
      <c r="A208" s="325">
        <f>Tervezés!B211</f>
        <v>0</v>
      </c>
      <c r="B208">
        <v>60</v>
      </c>
      <c r="C208">
        <f>Tervezés!E211</f>
        <v>0</v>
      </c>
      <c r="D208">
        <f>Tervezés!F211</f>
        <v>0</v>
      </c>
      <c r="E208">
        <f>Tervezés!H211</f>
        <v>0</v>
      </c>
      <c r="F208" t="str">
        <f t="shared" si="67"/>
        <v>0</v>
      </c>
      <c r="G208" t="str">
        <f t="shared" si="68"/>
        <v>0</v>
      </c>
      <c r="H208">
        <f>Tervezés!I211</f>
        <v>0</v>
      </c>
      <c r="I208">
        <f>Tervezés!J211</f>
        <v>0</v>
      </c>
      <c r="J208">
        <f>Tervezés!K211</f>
        <v>0</v>
      </c>
      <c r="K208">
        <f>Tervezés!L211</f>
        <v>0</v>
      </c>
      <c r="L208">
        <f>Tervezés!M211</f>
        <v>0</v>
      </c>
      <c r="M208" s="322" t="str">
        <f>IFERROR(VLOOKUP(A208,PAR!$D$3:$E$53,2,FALSE),"nincs szervezet")</f>
        <v>nincs szervezet</v>
      </c>
      <c r="N208" s="322" t="str">
        <f>VLOOKUP(F208,PAR!$R$3:$S$5,2,FALSE)</f>
        <v>3 - egyik sem</v>
      </c>
      <c r="O208" t="str">
        <f>IFERROR(VLOOKUP(J208,PAR!$O$3:$P$5,2,FALSE),"nincs feladat")</f>
        <v>nincs feladat</v>
      </c>
      <c r="P208" t="str">
        <f>IFERROR(VLOOKUP(G208,PAR!$J$2:$M$19,4),"nincs rovat")</f>
        <v>nincs rovat</v>
      </c>
      <c r="Q208" t="str">
        <f>IF(H208&gt;0,VLOOKUP(H208,PAR!$AA$3:$AC$187,3,FALSE),"nincs főkönyvi számla")</f>
        <v>nincs főkönyvi számla</v>
      </c>
      <c r="R208" t="str">
        <f>IFERROR(VLOOKUP(K208,PAR!$V$3:$X$438,3,FALSE),"000000 - Nincs COFOG")</f>
        <v>000000 - Nincs COFOG</v>
      </c>
      <c r="S208">
        <f t="shared" si="69"/>
        <v>0</v>
      </c>
      <c r="T208">
        <f t="shared" si="70"/>
        <v>0</v>
      </c>
      <c r="U208" t="str">
        <f>IF(Tervezés!F211&gt;0,CONCATENATE(Tervezés!E211," - ",Tervezés!F211,", ",Tervezés!J211),"nincs megjegyzés")</f>
        <v>nincs megjegyzés</v>
      </c>
      <c r="V208" t="str">
        <f t="shared" si="57"/>
        <v>6000</v>
      </c>
      <c r="W208" t="str">
        <f t="shared" si="58"/>
        <v>6000</v>
      </c>
      <c r="X208" t="str">
        <f t="shared" si="59"/>
        <v>00</v>
      </c>
      <c r="Y208" t="str">
        <f t="shared" si="60"/>
        <v>600</v>
      </c>
      <c r="Z208" t="str">
        <f t="shared" si="71"/>
        <v>00</v>
      </c>
      <c r="AA208" t="str">
        <f t="shared" si="61"/>
        <v>600</v>
      </c>
      <c r="AB208" t="str">
        <f t="shared" si="62"/>
        <v>00</v>
      </c>
      <c r="AC208" t="str">
        <f t="shared" si="63"/>
        <v>6000</v>
      </c>
      <c r="AD208" t="str">
        <f t="shared" si="64"/>
        <v>000</v>
      </c>
      <c r="AE208" t="str">
        <f t="shared" si="65"/>
        <v>6000</v>
      </c>
      <c r="AF208" t="str">
        <f t="shared" si="66"/>
        <v>000</v>
      </c>
      <c r="AG208" t="str">
        <f t="shared" si="72"/>
        <v>60000</v>
      </c>
      <c r="AH208" t="str">
        <f t="shared" si="73"/>
        <v>0000</v>
      </c>
      <c r="AI208" t="str">
        <f t="shared" si="74"/>
        <v>60000</v>
      </c>
      <c r="AJ208" t="str">
        <f t="shared" si="75"/>
        <v>0000</v>
      </c>
    </row>
    <row r="209" spans="1:36" x14ac:dyDescent="0.25">
      <c r="A209" s="325">
        <f>Tervezés!B212</f>
        <v>0</v>
      </c>
      <c r="B209">
        <v>60</v>
      </c>
      <c r="C209">
        <f>Tervezés!E212</f>
        <v>0</v>
      </c>
      <c r="D209">
        <f>Tervezés!F212</f>
        <v>0</v>
      </c>
      <c r="E209">
        <f>Tervezés!H212</f>
        <v>0</v>
      </c>
      <c r="F209" t="str">
        <f t="shared" si="67"/>
        <v>0</v>
      </c>
      <c r="G209" t="str">
        <f t="shared" si="68"/>
        <v>0</v>
      </c>
      <c r="H209">
        <f>Tervezés!I212</f>
        <v>0</v>
      </c>
      <c r="I209">
        <f>Tervezés!J212</f>
        <v>0</v>
      </c>
      <c r="J209">
        <f>Tervezés!K212</f>
        <v>0</v>
      </c>
      <c r="K209">
        <f>Tervezés!L212</f>
        <v>0</v>
      </c>
      <c r="L209">
        <f>Tervezés!M212</f>
        <v>0</v>
      </c>
      <c r="M209" s="322" t="str">
        <f>IFERROR(VLOOKUP(A209,PAR!$D$3:$E$53,2,FALSE),"nincs szervezet")</f>
        <v>nincs szervezet</v>
      </c>
      <c r="N209" s="322" t="str">
        <f>VLOOKUP(F209,PAR!$R$3:$S$5,2,FALSE)</f>
        <v>3 - egyik sem</v>
      </c>
      <c r="O209" t="str">
        <f>IFERROR(VLOOKUP(J209,PAR!$O$3:$P$5,2,FALSE),"nincs feladat")</f>
        <v>nincs feladat</v>
      </c>
      <c r="P209" t="str">
        <f>IFERROR(VLOOKUP(G209,PAR!$J$2:$M$19,4),"nincs rovat")</f>
        <v>nincs rovat</v>
      </c>
      <c r="Q209" t="str">
        <f>IF(H209&gt;0,VLOOKUP(H209,PAR!$AA$3:$AC$187,3,FALSE),"nincs főkönyvi számla")</f>
        <v>nincs főkönyvi számla</v>
      </c>
      <c r="R209" t="str">
        <f>IFERROR(VLOOKUP(K209,PAR!$V$3:$X$438,3,FALSE),"000000 - Nincs COFOG")</f>
        <v>000000 - Nincs COFOG</v>
      </c>
      <c r="S209">
        <f t="shared" si="69"/>
        <v>0</v>
      </c>
      <c r="T209">
        <f t="shared" si="70"/>
        <v>0</v>
      </c>
      <c r="U209" t="str">
        <f>IF(Tervezés!F212&gt;0,CONCATENATE(Tervezés!E212," - ",Tervezés!F212,", ",Tervezés!J212),"nincs megjegyzés")</f>
        <v>nincs megjegyzés</v>
      </c>
      <c r="V209" t="str">
        <f t="shared" si="57"/>
        <v>6000</v>
      </c>
      <c r="W209" t="str">
        <f t="shared" si="58"/>
        <v>6000</v>
      </c>
      <c r="X209" t="str">
        <f t="shared" si="59"/>
        <v>00</v>
      </c>
      <c r="Y209" t="str">
        <f t="shared" si="60"/>
        <v>600</v>
      </c>
      <c r="Z209" t="str">
        <f t="shared" si="71"/>
        <v>00</v>
      </c>
      <c r="AA209" t="str">
        <f t="shared" si="61"/>
        <v>600</v>
      </c>
      <c r="AB209" t="str">
        <f t="shared" si="62"/>
        <v>00</v>
      </c>
      <c r="AC209" t="str">
        <f t="shared" si="63"/>
        <v>6000</v>
      </c>
      <c r="AD209" t="str">
        <f t="shared" si="64"/>
        <v>000</v>
      </c>
      <c r="AE209" t="str">
        <f t="shared" si="65"/>
        <v>6000</v>
      </c>
      <c r="AF209" t="str">
        <f t="shared" si="66"/>
        <v>000</v>
      </c>
      <c r="AG209" t="str">
        <f t="shared" si="72"/>
        <v>60000</v>
      </c>
      <c r="AH209" t="str">
        <f t="shared" si="73"/>
        <v>0000</v>
      </c>
      <c r="AI209" t="str">
        <f t="shared" si="74"/>
        <v>60000</v>
      </c>
      <c r="AJ209" t="str">
        <f t="shared" si="75"/>
        <v>0000</v>
      </c>
    </row>
    <row r="210" spans="1:36" x14ac:dyDescent="0.25">
      <c r="A210" s="325">
        <f>Tervezés!B213</f>
        <v>0</v>
      </c>
      <c r="B210">
        <v>60</v>
      </c>
      <c r="C210">
        <f>Tervezés!E213</f>
        <v>0</v>
      </c>
      <c r="D210">
        <f>Tervezés!F213</f>
        <v>0</v>
      </c>
      <c r="E210">
        <f>Tervezés!H213</f>
        <v>0</v>
      </c>
      <c r="F210" t="str">
        <f t="shared" si="67"/>
        <v>0</v>
      </c>
      <c r="G210" t="str">
        <f t="shared" si="68"/>
        <v>0</v>
      </c>
      <c r="H210">
        <f>Tervezés!I213</f>
        <v>0</v>
      </c>
      <c r="I210">
        <f>Tervezés!J213</f>
        <v>0</v>
      </c>
      <c r="J210">
        <f>Tervezés!K213</f>
        <v>0</v>
      </c>
      <c r="K210">
        <f>Tervezés!L213</f>
        <v>0</v>
      </c>
      <c r="L210">
        <f>Tervezés!M213</f>
        <v>0</v>
      </c>
      <c r="M210" s="322" t="str">
        <f>IFERROR(VLOOKUP(A210,PAR!$D$3:$E$53,2,FALSE),"nincs szervezet")</f>
        <v>nincs szervezet</v>
      </c>
      <c r="N210" s="322" t="str">
        <f>VLOOKUP(F210,PAR!$R$3:$S$5,2,FALSE)</f>
        <v>3 - egyik sem</v>
      </c>
      <c r="O210" t="str">
        <f>IFERROR(VLOOKUP(J210,PAR!$O$3:$P$5,2,FALSE),"nincs feladat")</f>
        <v>nincs feladat</v>
      </c>
      <c r="P210" t="str">
        <f>IFERROR(VLOOKUP(G210,PAR!$J$2:$M$19,4),"nincs rovat")</f>
        <v>nincs rovat</v>
      </c>
      <c r="Q210" t="str">
        <f>IF(H210&gt;0,VLOOKUP(H210,PAR!$AA$3:$AC$187,3,FALSE),"nincs főkönyvi számla")</f>
        <v>nincs főkönyvi számla</v>
      </c>
      <c r="R210" t="str">
        <f>IFERROR(VLOOKUP(K210,PAR!$V$3:$X$438,3,FALSE),"000000 - Nincs COFOG")</f>
        <v>000000 - Nincs COFOG</v>
      </c>
      <c r="S210">
        <f t="shared" si="69"/>
        <v>0</v>
      </c>
      <c r="T210">
        <f t="shared" si="70"/>
        <v>0</v>
      </c>
      <c r="U210" t="str">
        <f>IF(Tervezés!F213&gt;0,CONCATENATE(Tervezés!E213," - ",Tervezés!F213,", ",Tervezés!J213),"nincs megjegyzés")</f>
        <v>nincs megjegyzés</v>
      </c>
      <c r="V210" t="str">
        <f t="shared" si="57"/>
        <v>6000</v>
      </c>
      <c r="W210" t="str">
        <f t="shared" si="58"/>
        <v>6000</v>
      </c>
      <c r="X210" t="str">
        <f t="shared" si="59"/>
        <v>00</v>
      </c>
      <c r="Y210" t="str">
        <f t="shared" si="60"/>
        <v>600</v>
      </c>
      <c r="Z210" t="str">
        <f t="shared" si="71"/>
        <v>00</v>
      </c>
      <c r="AA210" t="str">
        <f t="shared" si="61"/>
        <v>600</v>
      </c>
      <c r="AB210" t="str">
        <f t="shared" si="62"/>
        <v>00</v>
      </c>
      <c r="AC210" t="str">
        <f t="shared" si="63"/>
        <v>6000</v>
      </c>
      <c r="AD210" t="str">
        <f t="shared" si="64"/>
        <v>000</v>
      </c>
      <c r="AE210" t="str">
        <f t="shared" si="65"/>
        <v>6000</v>
      </c>
      <c r="AF210" t="str">
        <f t="shared" si="66"/>
        <v>000</v>
      </c>
      <c r="AG210" t="str">
        <f t="shared" si="72"/>
        <v>60000</v>
      </c>
      <c r="AH210" t="str">
        <f t="shared" si="73"/>
        <v>0000</v>
      </c>
      <c r="AI210" t="str">
        <f t="shared" si="74"/>
        <v>60000</v>
      </c>
      <c r="AJ210" t="str">
        <f t="shared" si="75"/>
        <v>0000</v>
      </c>
    </row>
    <row r="211" spans="1:36" x14ac:dyDescent="0.25">
      <c r="A211" s="325">
        <f>Tervezés!B214</f>
        <v>0</v>
      </c>
      <c r="B211">
        <v>60</v>
      </c>
      <c r="C211">
        <f>Tervezés!E214</f>
        <v>0</v>
      </c>
      <c r="D211">
        <f>Tervezés!F214</f>
        <v>0</v>
      </c>
      <c r="E211">
        <f>Tervezés!H214</f>
        <v>0</v>
      </c>
      <c r="F211" t="str">
        <f t="shared" si="67"/>
        <v>0</v>
      </c>
      <c r="G211" t="str">
        <f t="shared" si="68"/>
        <v>0</v>
      </c>
      <c r="H211">
        <f>Tervezés!I214</f>
        <v>0</v>
      </c>
      <c r="I211">
        <f>Tervezés!J214</f>
        <v>0</v>
      </c>
      <c r="J211">
        <f>Tervezés!K214</f>
        <v>0</v>
      </c>
      <c r="K211">
        <f>Tervezés!L214</f>
        <v>0</v>
      </c>
      <c r="L211">
        <f>Tervezés!M214</f>
        <v>0</v>
      </c>
      <c r="M211" s="322" t="str">
        <f>IFERROR(VLOOKUP(A211,PAR!$D$3:$E$53,2,FALSE),"nincs szervezet")</f>
        <v>nincs szervezet</v>
      </c>
      <c r="N211" s="322" t="str">
        <f>VLOOKUP(F211,PAR!$R$3:$S$5,2,FALSE)</f>
        <v>3 - egyik sem</v>
      </c>
      <c r="O211" t="str">
        <f>IFERROR(VLOOKUP(J211,PAR!$O$3:$P$5,2,FALSE),"nincs feladat")</f>
        <v>nincs feladat</v>
      </c>
      <c r="P211" t="str">
        <f>IFERROR(VLOOKUP(G211,PAR!$J$2:$M$19,4),"nincs rovat")</f>
        <v>nincs rovat</v>
      </c>
      <c r="Q211" t="str">
        <f>IF(H211&gt;0,VLOOKUP(H211,PAR!$AA$3:$AC$187,3,FALSE),"nincs főkönyvi számla")</f>
        <v>nincs főkönyvi számla</v>
      </c>
      <c r="R211" t="str">
        <f>IFERROR(VLOOKUP(K211,PAR!$V$3:$X$438,3,FALSE),"000000 - Nincs COFOG")</f>
        <v>000000 - Nincs COFOG</v>
      </c>
      <c r="S211">
        <f t="shared" si="69"/>
        <v>0</v>
      </c>
      <c r="T211">
        <f t="shared" si="70"/>
        <v>0</v>
      </c>
      <c r="U211" t="str">
        <f>IF(Tervezés!F214&gt;0,CONCATENATE(Tervezés!E214," - ",Tervezés!F214,", ",Tervezés!J214),"nincs megjegyzés")</f>
        <v>nincs megjegyzés</v>
      </c>
      <c r="V211" t="str">
        <f t="shared" si="57"/>
        <v>6000</v>
      </c>
      <c r="W211" t="str">
        <f t="shared" si="58"/>
        <v>6000</v>
      </c>
      <c r="X211" t="str">
        <f t="shared" si="59"/>
        <v>00</v>
      </c>
      <c r="Y211" t="str">
        <f t="shared" si="60"/>
        <v>600</v>
      </c>
      <c r="Z211" t="str">
        <f t="shared" si="71"/>
        <v>00</v>
      </c>
      <c r="AA211" t="str">
        <f t="shared" si="61"/>
        <v>600</v>
      </c>
      <c r="AB211" t="str">
        <f t="shared" si="62"/>
        <v>00</v>
      </c>
      <c r="AC211" t="str">
        <f t="shared" si="63"/>
        <v>6000</v>
      </c>
      <c r="AD211" t="str">
        <f t="shared" si="64"/>
        <v>000</v>
      </c>
      <c r="AE211" t="str">
        <f t="shared" si="65"/>
        <v>6000</v>
      </c>
      <c r="AF211" t="str">
        <f t="shared" si="66"/>
        <v>000</v>
      </c>
      <c r="AG211" t="str">
        <f t="shared" si="72"/>
        <v>60000</v>
      </c>
      <c r="AH211" t="str">
        <f t="shared" si="73"/>
        <v>0000</v>
      </c>
      <c r="AI211" t="str">
        <f t="shared" si="74"/>
        <v>60000</v>
      </c>
      <c r="AJ211" t="str">
        <f t="shared" si="75"/>
        <v>0000</v>
      </c>
    </row>
    <row r="212" spans="1:36" x14ac:dyDescent="0.25">
      <c r="A212" s="325">
        <f>Tervezés!B215</f>
        <v>0</v>
      </c>
      <c r="B212">
        <v>60</v>
      </c>
      <c r="C212">
        <f>Tervezés!E215</f>
        <v>0</v>
      </c>
      <c r="D212">
        <f>Tervezés!F215</f>
        <v>0</v>
      </c>
      <c r="E212">
        <f>Tervezés!H215</f>
        <v>0</v>
      </c>
      <c r="F212" t="str">
        <f t="shared" si="67"/>
        <v>0</v>
      </c>
      <c r="G212" t="str">
        <f t="shared" si="68"/>
        <v>0</v>
      </c>
      <c r="H212">
        <f>Tervezés!I215</f>
        <v>0</v>
      </c>
      <c r="I212">
        <f>Tervezés!J215</f>
        <v>0</v>
      </c>
      <c r="J212">
        <f>Tervezés!K215</f>
        <v>0</v>
      </c>
      <c r="K212">
        <f>Tervezés!L215</f>
        <v>0</v>
      </c>
      <c r="L212">
        <f>Tervezés!M215</f>
        <v>0</v>
      </c>
      <c r="M212" s="322" t="str">
        <f>IFERROR(VLOOKUP(A212,PAR!$D$3:$E$53,2,FALSE),"nincs szervezet")</f>
        <v>nincs szervezet</v>
      </c>
      <c r="N212" s="322" t="str">
        <f>VLOOKUP(F212,PAR!$R$3:$S$5,2,FALSE)</f>
        <v>3 - egyik sem</v>
      </c>
      <c r="O212" t="str">
        <f>IFERROR(VLOOKUP(J212,PAR!$O$3:$P$5,2,FALSE),"nincs feladat")</f>
        <v>nincs feladat</v>
      </c>
      <c r="P212" t="str">
        <f>IFERROR(VLOOKUP(G212,PAR!$J$2:$M$19,4),"nincs rovat")</f>
        <v>nincs rovat</v>
      </c>
      <c r="Q212" t="str">
        <f>IF(H212&gt;0,VLOOKUP(H212,PAR!$AA$3:$AC$187,3,FALSE),"nincs főkönyvi számla")</f>
        <v>nincs főkönyvi számla</v>
      </c>
      <c r="R212" t="str">
        <f>IFERROR(VLOOKUP(K212,PAR!$V$3:$X$438,3,FALSE),"000000 - Nincs COFOG")</f>
        <v>000000 - Nincs COFOG</v>
      </c>
      <c r="S212">
        <f t="shared" si="69"/>
        <v>0</v>
      </c>
      <c r="T212">
        <f t="shared" si="70"/>
        <v>0</v>
      </c>
      <c r="U212" t="str">
        <f>IF(Tervezés!F215&gt;0,CONCATENATE(Tervezés!E215," - ",Tervezés!F215,", ",Tervezés!J215),"nincs megjegyzés")</f>
        <v>nincs megjegyzés</v>
      </c>
      <c r="V212" t="str">
        <f t="shared" si="57"/>
        <v>6000</v>
      </c>
      <c r="W212" t="str">
        <f t="shared" si="58"/>
        <v>6000</v>
      </c>
      <c r="X212" t="str">
        <f t="shared" si="59"/>
        <v>00</v>
      </c>
      <c r="Y212" t="str">
        <f t="shared" si="60"/>
        <v>600</v>
      </c>
      <c r="Z212" t="str">
        <f t="shared" si="71"/>
        <v>00</v>
      </c>
      <c r="AA212" t="str">
        <f t="shared" si="61"/>
        <v>600</v>
      </c>
      <c r="AB212" t="str">
        <f t="shared" si="62"/>
        <v>00</v>
      </c>
      <c r="AC212" t="str">
        <f t="shared" si="63"/>
        <v>6000</v>
      </c>
      <c r="AD212" t="str">
        <f t="shared" si="64"/>
        <v>000</v>
      </c>
      <c r="AE212" t="str">
        <f t="shared" si="65"/>
        <v>6000</v>
      </c>
      <c r="AF212" t="str">
        <f t="shared" si="66"/>
        <v>000</v>
      </c>
      <c r="AG212" t="str">
        <f t="shared" si="72"/>
        <v>60000</v>
      </c>
      <c r="AH212" t="str">
        <f t="shared" si="73"/>
        <v>0000</v>
      </c>
      <c r="AI212" t="str">
        <f t="shared" si="74"/>
        <v>60000</v>
      </c>
      <c r="AJ212" t="str">
        <f t="shared" si="75"/>
        <v>0000</v>
      </c>
    </row>
    <row r="213" spans="1:36" x14ac:dyDescent="0.25">
      <c r="A213" s="325">
        <f>Tervezés!B216</f>
        <v>0</v>
      </c>
      <c r="B213">
        <v>60</v>
      </c>
      <c r="C213">
        <f>Tervezés!E216</f>
        <v>0</v>
      </c>
      <c r="D213">
        <f>Tervezés!F216</f>
        <v>0</v>
      </c>
      <c r="E213">
        <f>Tervezés!H216</f>
        <v>0</v>
      </c>
      <c r="F213" t="str">
        <f t="shared" si="67"/>
        <v>0</v>
      </c>
      <c r="G213" t="str">
        <f t="shared" si="68"/>
        <v>0</v>
      </c>
      <c r="H213">
        <f>Tervezés!I216</f>
        <v>0</v>
      </c>
      <c r="I213">
        <f>Tervezés!J216</f>
        <v>0</v>
      </c>
      <c r="J213">
        <f>Tervezés!K216</f>
        <v>0</v>
      </c>
      <c r="K213">
        <f>Tervezés!L216</f>
        <v>0</v>
      </c>
      <c r="L213">
        <f>Tervezés!M216</f>
        <v>0</v>
      </c>
      <c r="M213" s="322" t="str">
        <f>IFERROR(VLOOKUP(A213,PAR!$D$3:$E$53,2,FALSE),"nincs szervezet")</f>
        <v>nincs szervezet</v>
      </c>
      <c r="N213" s="322" t="str">
        <f>VLOOKUP(F213,PAR!$R$3:$S$5,2,FALSE)</f>
        <v>3 - egyik sem</v>
      </c>
      <c r="O213" t="str">
        <f>IFERROR(VLOOKUP(J213,PAR!$O$3:$P$5,2,FALSE),"nincs feladat")</f>
        <v>nincs feladat</v>
      </c>
      <c r="P213" t="str">
        <f>IFERROR(VLOOKUP(G213,PAR!$J$2:$M$19,4),"nincs rovat")</f>
        <v>nincs rovat</v>
      </c>
      <c r="Q213" t="str">
        <f>IF(H213&gt;0,VLOOKUP(H213,PAR!$AA$3:$AC$187,3,FALSE),"nincs főkönyvi számla")</f>
        <v>nincs főkönyvi számla</v>
      </c>
      <c r="R213" t="str">
        <f>IFERROR(VLOOKUP(K213,PAR!$V$3:$X$438,3,FALSE),"000000 - Nincs COFOG")</f>
        <v>000000 - Nincs COFOG</v>
      </c>
      <c r="S213">
        <f t="shared" si="69"/>
        <v>0</v>
      </c>
      <c r="T213">
        <f t="shared" si="70"/>
        <v>0</v>
      </c>
      <c r="U213" t="str">
        <f>IF(Tervezés!F216&gt;0,CONCATENATE(Tervezés!E216," - ",Tervezés!F216,", ",Tervezés!J216),"nincs megjegyzés")</f>
        <v>nincs megjegyzés</v>
      </c>
      <c r="V213" t="str">
        <f t="shared" si="57"/>
        <v>6000</v>
      </c>
      <c r="W213" t="str">
        <f t="shared" si="58"/>
        <v>6000</v>
      </c>
      <c r="X213" t="str">
        <f t="shared" si="59"/>
        <v>00</v>
      </c>
      <c r="Y213" t="str">
        <f t="shared" si="60"/>
        <v>600</v>
      </c>
      <c r="Z213" t="str">
        <f t="shared" si="71"/>
        <v>00</v>
      </c>
      <c r="AA213" t="str">
        <f t="shared" si="61"/>
        <v>600</v>
      </c>
      <c r="AB213" t="str">
        <f t="shared" si="62"/>
        <v>00</v>
      </c>
      <c r="AC213" t="str">
        <f t="shared" si="63"/>
        <v>6000</v>
      </c>
      <c r="AD213" t="str">
        <f t="shared" si="64"/>
        <v>000</v>
      </c>
      <c r="AE213" t="str">
        <f t="shared" si="65"/>
        <v>6000</v>
      </c>
      <c r="AF213" t="str">
        <f t="shared" si="66"/>
        <v>000</v>
      </c>
      <c r="AG213" t="str">
        <f t="shared" si="72"/>
        <v>60000</v>
      </c>
      <c r="AH213" t="str">
        <f t="shared" si="73"/>
        <v>0000</v>
      </c>
      <c r="AI213" t="str">
        <f t="shared" si="74"/>
        <v>60000</v>
      </c>
      <c r="AJ213" t="str">
        <f t="shared" si="75"/>
        <v>0000</v>
      </c>
    </row>
    <row r="214" spans="1:36" x14ac:dyDescent="0.25">
      <c r="A214" s="325">
        <f>Tervezés!B217</f>
        <v>0</v>
      </c>
      <c r="B214">
        <v>60</v>
      </c>
      <c r="C214">
        <f>Tervezés!E217</f>
        <v>0</v>
      </c>
      <c r="D214">
        <f>Tervezés!F217</f>
        <v>0</v>
      </c>
      <c r="E214">
        <f>Tervezés!H217</f>
        <v>0</v>
      </c>
      <c r="F214" t="str">
        <f t="shared" si="67"/>
        <v>0</v>
      </c>
      <c r="G214" t="str">
        <f t="shared" si="68"/>
        <v>0</v>
      </c>
      <c r="H214">
        <f>Tervezés!I217</f>
        <v>0</v>
      </c>
      <c r="I214">
        <f>Tervezés!J217</f>
        <v>0</v>
      </c>
      <c r="J214">
        <f>Tervezés!K217</f>
        <v>0</v>
      </c>
      <c r="K214">
        <f>Tervezés!L217</f>
        <v>0</v>
      </c>
      <c r="L214">
        <f>Tervezés!M217</f>
        <v>0</v>
      </c>
      <c r="M214" s="322" t="str">
        <f>IFERROR(VLOOKUP(A214,PAR!$D$3:$E$53,2,FALSE),"nincs szervezet")</f>
        <v>nincs szervezet</v>
      </c>
      <c r="N214" s="322" t="str">
        <f>VLOOKUP(F214,PAR!$R$3:$S$5,2,FALSE)</f>
        <v>3 - egyik sem</v>
      </c>
      <c r="O214" t="str">
        <f>IFERROR(VLOOKUP(J214,PAR!$O$3:$P$5,2,FALSE),"nincs feladat")</f>
        <v>nincs feladat</v>
      </c>
      <c r="P214" t="str">
        <f>IFERROR(VLOOKUP(G214,PAR!$J$2:$M$19,4),"nincs rovat")</f>
        <v>nincs rovat</v>
      </c>
      <c r="Q214" t="str">
        <f>IF(H214&gt;0,VLOOKUP(H214,PAR!$AA$3:$AC$187,3,FALSE),"nincs főkönyvi számla")</f>
        <v>nincs főkönyvi számla</v>
      </c>
      <c r="R214" t="str">
        <f>IFERROR(VLOOKUP(K214,PAR!$V$3:$X$438,3,FALSE),"000000 - Nincs COFOG")</f>
        <v>000000 - Nincs COFOG</v>
      </c>
      <c r="S214">
        <f t="shared" si="69"/>
        <v>0</v>
      </c>
      <c r="T214">
        <f t="shared" si="70"/>
        <v>0</v>
      </c>
      <c r="U214" t="str">
        <f>IF(Tervezés!F217&gt;0,CONCATENATE(Tervezés!E217," - ",Tervezés!F217,", ",Tervezés!J217),"nincs megjegyzés")</f>
        <v>nincs megjegyzés</v>
      </c>
      <c r="V214" t="str">
        <f t="shared" si="57"/>
        <v>6000</v>
      </c>
      <c r="W214" t="str">
        <f t="shared" si="58"/>
        <v>6000</v>
      </c>
      <c r="X214" t="str">
        <f t="shared" si="59"/>
        <v>00</v>
      </c>
      <c r="Y214" t="str">
        <f t="shared" si="60"/>
        <v>600</v>
      </c>
      <c r="Z214" t="str">
        <f t="shared" si="71"/>
        <v>00</v>
      </c>
      <c r="AA214" t="str">
        <f t="shared" si="61"/>
        <v>600</v>
      </c>
      <c r="AB214" t="str">
        <f t="shared" si="62"/>
        <v>00</v>
      </c>
      <c r="AC214" t="str">
        <f t="shared" si="63"/>
        <v>6000</v>
      </c>
      <c r="AD214" t="str">
        <f t="shared" si="64"/>
        <v>000</v>
      </c>
      <c r="AE214" t="str">
        <f t="shared" si="65"/>
        <v>6000</v>
      </c>
      <c r="AF214" t="str">
        <f t="shared" si="66"/>
        <v>000</v>
      </c>
      <c r="AG214" t="str">
        <f t="shared" si="72"/>
        <v>60000</v>
      </c>
      <c r="AH214" t="str">
        <f t="shared" si="73"/>
        <v>0000</v>
      </c>
      <c r="AI214" t="str">
        <f t="shared" si="74"/>
        <v>60000</v>
      </c>
      <c r="AJ214" t="str">
        <f t="shared" si="75"/>
        <v>0000</v>
      </c>
    </row>
    <row r="215" spans="1:36" x14ac:dyDescent="0.25">
      <c r="A215" s="325">
        <f>Tervezés!B218</f>
        <v>0</v>
      </c>
      <c r="B215">
        <v>60</v>
      </c>
      <c r="C215">
        <f>Tervezés!E218</f>
        <v>0</v>
      </c>
      <c r="D215">
        <f>Tervezés!F218</f>
        <v>0</v>
      </c>
      <c r="E215">
        <f>Tervezés!H218</f>
        <v>0</v>
      </c>
      <c r="F215" t="str">
        <f t="shared" si="67"/>
        <v>0</v>
      </c>
      <c r="G215" t="str">
        <f t="shared" si="68"/>
        <v>0</v>
      </c>
      <c r="H215">
        <f>Tervezés!I218</f>
        <v>0</v>
      </c>
      <c r="I215">
        <f>Tervezés!J218</f>
        <v>0</v>
      </c>
      <c r="J215">
        <f>Tervezés!K218</f>
        <v>0</v>
      </c>
      <c r="K215">
        <f>Tervezés!L218</f>
        <v>0</v>
      </c>
      <c r="L215">
        <f>Tervezés!M218</f>
        <v>0</v>
      </c>
      <c r="M215" s="322" t="str">
        <f>IFERROR(VLOOKUP(A215,PAR!$D$3:$E$53,2,FALSE),"nincs szervezet")</f>
        <v>nincs szervezet</v>
      </c>
      <c r="N215" s="322" t="str">
        <f>VLOOKUP(F215,PAR!$R$3:$S$5,2,FALSE)</f>
        <v>3 - egyik sem</v>
      </c>
      <c r="O215" t="str">
        <f>IFERROR(VLOOKUP(J215,PAR!$O$3:$P$5,2,FALSE),"nincs feladat")</f>
        <v>nincs feladat</v>
      </c>
      <c r="P215" t="str">
        <f>IFERROR(VLOOKUP(G215,PAR!$J$2:$M$19,4),"nincs rovat")</f>
        <v>nincs rovat</v>
      </c>
      <c r="Q215" t="str">
        <f>IF(H215&gt;0,VLOOKUP(H215,PAR!$AA$3:$AC$187,3,FALSE),"nincs főkönyvi számla")</f>
        <v>nincs főkönyvi számla</v>
      </c>
      <c r="R215" t="str">
        <f>IFERROR(VLOOKUP(K215,PAR!$V$3:$X$438,3,FALSE),"000000 - Nincs COFOG")</f>
        <v>000000 - Nincs COFOG</v>
      </c>
      <c r="S215">
        <f t="shared" si="69"/>
        <v>0</v>
      </c>
      <c r="T215">
        <f t="shared" si="70"/>
        <v>0</v>
      </c>
      <c r="U215" t="str">
        <f>IF(Tervezés!F218&gt;0,CONCATENATE(Tervezés!E218," - ",Tervezés!F218,", ",Tervezés!J218),"nincs megjegyzés")</f>
        <v>nincs megjegyzés</v>
      </c>
      <c r="V215" t="str">
        <f t="shared" si="57"/>
        <v>6000</v>
      </c>
      <c r="W215" t="str">
        <f t="shared" si="58"/>
        <v>6000</v>
      </c>
      <c r="X215" t="str">
        <f t="shared" si="59"/>
        <v>00</v>
      </c>
      <c r="Y215" t="str">
        <f t="shared" si="60"/>
        <v>600</v>
      </c>
      <c r="Z215" t="str">
        <f t="shared" si="71"/>
        <v>00</v>
      </c>
      <c r="AA215" t="str">
        <f t="shared" si="61"/>
        <v>600</v>
      </c>
      <c r="AB215" t="str">
        <f t="shared" si="62"/>
        <v>00</v>
      </c>
      <c r="AC215" t="str">
        <f t="shared" si="63"/>
        <v>6000</v>
      </c>
      <c r="AD215" t="str">
        <f t="shared" si="64"/>
        <v>000</v>
      </c>
      <c r="AE215" t="str">
        <f t="shared" si="65"/>
        <v>6000</v>
      </c>
      <c r="AF215" t="str">
        <f t="shared" si="66"/>
        <v>000</v>
      </c>
      <c r="AG215" t="str">
        <f t="shared" si="72"/>
        <v>60000</v>
      </c>
      <c r="AH215" t="str">
        <f t="shared" si="73"/>
        <v>0000</v>
      </c>
      <c r="AI215" t="str">
        <f t="shared" si="74"/>
        <v>60000</v>
      </c>
      <c r="AJ215" t="str">
        <f t="shared" si="75"/>
        <v>0000</v>
      </c>
    </row>
    <row r="216" spans="1:36" x14ac:dyDescent="0.25">
      <c r="A216" s="325">
        <f>Tervezés!B219</f>
        <v>0</v>
      </c>
      <c r="B216">
        <v>60</v>
      </c>
      <c r="C216">
        <f>Tervezés!E219</f>
        <v>0</v>
      </c>
      <c r="D216">
        <f>Tervezés!F219</f>
        <v>0</v>
      </c>
      <c r="E216">
        <f>Tervezés!H219</f>
        <v>0</v>
      </c>
      <c r="F216" t="str">
        <f t="shared" si="67"/>
        <v>0</v>
      </c>
      <c r="G216" t="str">
        <f t="shared" si="68"/>
        <v>0</v>
      </c>
      <c r="H216">
        <f>Tervezés!I219</f>
        <v>0</v>
      </c>
      <c r="I216">
        <f>Tervezés!J219</f>
        <v>0</v>
      </c>
      <c r="J216">
        <f>Tervezés!K219</f>
        <v>0</v>
      </c>
      <c r="K216">
        <f>Tervezés!L219</f>
        <v>0</v>
      </c>
      <c r="L216">
        <f>Tervezés!M219</f>
        <v>0</v>
      </c>
      <c r="M216" s="322" t="str">
        <f>IFERROR(VLOOKUP(A216,PAR!$D$3:$E$53,2,FALSE),"nincs szervezet")</f>
        <v>nincs szervezet</v>
      </c>
      <c r="N216" s="322" t="str">
        <f>VLOOKUP(F216,PAR!$R$3:$S$5,2,FALSE)</f>
        <v>3 - egyik sem</v>
      </c>
      <c r="O216" t="str">
        <f>IFERROR(VLOOKUP(J216,PAR!$O$3:$P$5,2,FALSE),"nincs feladat")</f>
        <v>nincs feladat</v>
      </c>
      <c r="P216" t="str">
        <f>IFERROR(VLOOKUP(G216,PAR!$J$2:$M$19,4),"nincs rovat")</f>
        <v>nincs rovat</v>
      </c>
      <c r="Q216" t="str">
        <f>IF(H216&gt;0,VLOOKUP(H216,PAR!$AA$3:$AC$187,3,FALSE),"nincs főkönyvi számla")</f>
        <v>nincs főkönyvi számla</v>
      </c>
      <c r="R216" t="str">
        <f>IFERROR(VLOOKUP(K216,PAR!$V$3:$X$438,3,FALSE),"000000 - Nincs COFOG")</f>
        <v>000000 - Nincs COFOG</v>
      </c>
      <c r="S216">
        <f t="shared" si="69"/>
        <v>0</v>
      </c>
      <c r="T216">
        <f t="shared" si="70"/>
        <v>0</v>
      </c>
      <c r="U216" t="str">
        <f>IF(Tervezés!F219&gt;0,CONCATENATE(Tervezés!E219," - ",Tervezés!F219,", ",Tervezés!J219),"nincs megjegyzés")</f>
        <v>nincs megjegyzés</v>
      </c>
      <c r="V216" t="str">
        <f t="shared" si="57"/>
        <v>6000</v>
      </c>
      <c r="W216" t="str">
        <f t="shared" si="58"/>
        <v>6000</v>
      </c>
      <c r="X216" t="str">
        <f t="shared" si="59"/>
        <v>00</v>
      </c>
      <c r="Y216" t="str">
        <f t="shared" si="60"/>
        <v>600</v>
      </c>
      <c r="Z216" t="str">
        <f t="shared" si="71"/>
        <v>00</v>
      </c>
      <c r="AA216" t="str">
        <f t="shared" si="61"/>
        <v>600</v>
      </c>
      <c r="AB216" t="str">
        <f t="shared" si="62"/>
        <v>00</v>
      </c>
      <c r="AC216" t="str">
        <f t="shared" si="63"/>
        <v>6000</v>
      </c>
      <c r="AD216" t="str">
        <f t="shared" si="64"/>
        <v>000</v>
      </c>
      <c r="AE216" t="str">
        <f t="shared" si="65"/>
        <v>6000</v>
      </c>
      <c r="AF216" t="str">
        <f t="shared" si="66"/>
        <v>000</v>
      </c>
      <c r="AG216" t="str">
        <f t="shared" si="72"/>
        <v>60000</v>
      </c>
      <c r="AH216" t="str">
        <f t="shared" si="73"/>
        <v>0000</v>
      </c>
      <c r="AI216" t="str">
        <f t="shared" si="74"/>
        <v>60000</v>
      </c>
      <c r="AJ216" t="str">
        <f t="shared" si="75"/>
        <v>0000</v>
      </c>
    </row>
    <row r="217" spans="1:36" x14ac:dyDescent="0.25">
      <c r="A217" s="325">
        <f>Tervezés!B220</f>
        <v>0</v>
      </c>
      <c r="B217">
        <v>60</v>
      </c>
      <c r="C217">
        <f>Tervezés!E220</f>
        <v>0</v>
      </c>
      <c r="D217">
        <f>Tervezés!F220</f>
        <v>0</v>
      </c>
      <c r="E217">
        <f>Tervezés!H220</f>
        <v>0</v>
      </c>
      <c r="F217" t="str">
        <f t="shared" si="67"/>
        <v>0</v>
      </c>
      <c r="G217" t="str">
        <f t="shared" si="68"/>
        <v>0</v>
      </c>
      <c r="H217">
        <f>Tervezés!I220</f>
        <v>0</v>
      </c>
      <c r="I217">
        <f>Tervezés!J220</f>
        <v>0</v>
      </c>
      <c r="J217">
        <f>Tervezés!K220</f>
        <v>0</v>
      </c>
      <c r="K217">
        <f>Tervezés!L220</f>
        <v>0</v>
      </c>
      <c r="L217">
        <f>Tervezés!M220</f>
        <v>0</v>
      </c>
      <c r="M217" s="322" t="str">
        <f>IFERROR(VLOOKUP(A217,PAR!$D$3:$E$53,2,FALSE),"nincs szervezet")</f>
        <v>nincs szervezet</v>
      </c>
      <c r="N217" s="322" t="str">
        <f>VLOOKUP(F217,PAR!$R$3:$S$5,2,FALSE)</f>
        <v>3 - egyik sem</v>
      </c>
      <c r="O217" t="str">
        <f>IFERROR(VLOOKUP(J217,PAR!$O$3:$P$5,2,FALSE),"nincs feladat")</f>
        <v>nincs feladat</v>
      </c>
      <c r="P217" t="str">
        <f>IFERROR(VLOOKUP(G217,PAR!$J$2:$M$19,4),"nincs rovat")</f>
        <v>nincs rovat</v>
      </c>
      <c r="Q217" t="str">
        <f>IF(H217&gt;0,VLOOKUP(H217,PAR!$AA$3:$AC$187,3,FALSE),"nincs főkönyvi számla")</f>
        <v>nincs főkönyvi számla</v>
      </c>
      <c r="R217" t="str">
        <f>IFERROR(VLOOKUP(K217,PAR!$V$3:$X$438,3,FALSE),"000000 - Nincs COFOG")</f>
        <v>000000 - Nincs COFOG</v>
      </c>
      <c r="S217">
        <f t="shared" si="69"/>
        <v>0</v>
      </c>
      <c r="T217">
        <f t="shared" si="70"/>
        <v>0</v>
      </c>
      <c r="U217" t="str">
        <f>IF(Tervezés!F220&gt;0,CONCATENATE(Tervezés!E220," - ",Tervezés!F220,", ",Tervezés!J220),"nincs megjegyzés")</f>
        <v>nincs megjegyzés</v>
      </c>
      <c r="V217" t="str">
        <f t="shared" si="57"/>
        <v>6000</v>
      </c>
      <c r="W217" t="str">
        <f t="shared" si="58"/>
        <v>6000</v>
      </c>
      <c r="X217" t="str">
        <f t="shared" si="59"/>
        <v>00</v>
      </c>
      <c r="Y217" t="str">
        <f t="shared" si="60"/>
        <v>600</v>
      </c>
      <c r="Z217" t="str">
        <f t="shared" si="71"/>
        <v>00</v>
      </c>
      <c r="AA217" t="str">
        <f t="shared" si="61"/>
        <v>600</v>
      </c>
      <c r="AB217" t="str">
        <f t="shared" si="62"/>
        <v>00</v>
      </c>
      <c r="AC217" t="str">
        <f t="shared" si="63"/>
        <v>6000</v>
      </c>
      <c r="AD217" t="str">
        <f t="shared" si="64"/>
        <v>000</v>
      </c>
      <c r="AE217" t="str">
        <f t="shared" si="65"/>
        <v>6000</v>
      </c>
      <c r="AF217" t="str">
        <f t="shared" si="66"/>
        <v>000</v>
      </c>
      <c r="AG217" t="str">
        <f t="shared" si="72"/>
        <v>60000</v>
      </c>
      <c r="AH217" t="str">
        <f t="shared" si="73"/>
        <v>0000</v>
      </c>
      <c r="AI217" t="str">
        <f t="shared" si="74"/>
        <v>60000</v>
      </c>
      <c r="AJ217" t="str">
        <f t="shared" si="75"/>
        <v>0000</v>
      </c>
    </row>
    <row r="218" spans="1:36" x14ac:dyDescent="0.25">
      <c r="A218" s="325">
        <f>Tervezés!B221</f>
        <v>0</v>
      </c>
      <c r="B218">
        <v>60</v>
      </c>
      <c r="C218">
        <f>Tervezés!E221</f>
        <v>0</v>
      </c>
      <c r="D218">
        <f>Tervezés!F221</f>
        <v>0</v>
      </c>
      <c r="E218">
        <f>Tervezés!H221</f>
        <v>0</v>
      </c>
      <c r="F218" t="str">
        <f t="shared" si="67"/>
        <v>0</v>
      </c>
      <c r="G218" t="str">
        <f t="shared" si="68"/>
        <v>0</v>
      </c>
      <c r="H218">
        <f>Tervezés!I221</f>
        <v>0</v>
      </c>
      <c r="I218">
        <f>Tervezés!J221</f>
        <v>0</v>
      </c>
      <c r="J218">
        <f>Tervezés!K221</f>
        <v>0</v>
      </c>
      <c r="K218">
        <f>Tervezés!L221</f>
        <v>0</v>
      </c>
      <c r="L218">
        <f>Tervezés!M221</f>
        <v>0</v>
      </c>
      <c r="M218" s="322" t="str">
        <f>IFERROR(VLOOKUP(A218,PAR!$D$3:$E$53,2,FALSE),"nincs szervezet")</f>
        <v>nincs szervezet</v>
      </c>
      <c r="N218" s="322" t="str">
        <f>VLOOKUP(F218,PAR!$R$3:$S$5,2,FALSE)</f>
        <v>3 - egyik sem</v>
      </c>
      <c r="O218" t="str">
        <f>IFERROR(VLOOKUP(J218,PAR!$O$3:$P$5,2,FALSE),"nincs feladat")</f>
        <v>nincs feladat</v>
      </c>
      <c r="P218" t="str">
        <f>IFERROR(VLOOKUP(G218,PAR!$J$2:$M$19,4),"nincs rovat")</f>
        <v>nincs rovat</v>
      </c>
      <c r="Q218" t="str">
        <f>IF(H218&gt;0,VLOOKUP(H218,PAR!$AA$3:$AC$187,3,FALSE),"nincs főkönyvi számla")</f>
        <v>nincs főkönyvi számla</v>
      </c>
      <c r="R218" t="str">
        <f>IFERROR(VLOOKUP(K218,PAR!$V$3:$X$438,3,FALSE),"000000 - Nincs COFOG")</f>
        <v>000000 - Nincs COFOG</v>
      </c>
      <c r="S218">
        <f t="shared" si="69"/>
        <v>0</v>
      </c>
      <c r="T218">
        <f t="shared" si="70"/>
        <v>0</v>
      </c>
      <c r="U218" t="str">
        <f>IF(Tervezés!F221&gt;0,CONCATENATE(Tervezés!E221," - ",Tervezés!F221,", ",Tervezés!J221),"nincs megjegyzés")</f>
        <v>nincs megjegyzés</v>
      </c>
      <c r="V218" t="str">
        <f t="shared" si="57"/>
        <v>6000</v>
      </c>
      <c r="W218" t="str">
        <f t="shared" si="58"/>
        <v>6000</v>
      </c>
      <c r="X218" t="str">
        <f t="shared" si="59"/>
        <v>00</v>
      </c>
      <c r="Y218" t="str">
        <f t="shared" si="60"/>
        <v>600</v>
      </c>
      <c r="Z218" t="str">
        <f t="shared" si="71"/>
        <v>00</v>
      </c>
      <c r="AA218" t="str">
        <f t="shared" si="61"/>
        <v>600</v>
      </c>
      <c r="AB218" t="str">
        <f t="shared" si="62"/>
        <v>00</v>
      </c>
      <c r="AC218" t="str">
        <f t="shared" si="63"/>
        <v>6000</v>
      </c>
      <c r="AD218" t="str">
        <f t="shared" si="64"/>
        <v>000</v>
      </c>
      <c r="AE218" t="str">
        <f t="shared" si="65"/>
        <v>6000</v>
      </c>
      <c r="AF218" t="str">
        <f t="shared" si="66"/>
        <v>000</v>
      </c>
      <c r="AG218" t="str">
        <f t="shared" si="72"/>
        <v>60000</v>
      </c>
      <c r="AH218" t="str">
        <f t="shared" si="73"/>
        <v>0000</v>
      </c>
      <c r="AI218" t="str">
        <f t="shared" si="74"/>
        <v>60000</v>
      </c>
      <c r="AJ218" t="str">
        <f t="shared" si="75"/>
        <v>0000</v>
      </c>
    </row>
    <row r="219" spans="1:36" x14ac:dyDescent="0.25">
      <c r="A219" s="325">
        <f>Tervezés!B222</f>
        <v>0</v>
      </c>
      <c r="B219">
        <v>60</v>
      </c>
      <c r="C219">
        <f>Tervezés!E222</f>
        <v>0</v>
      </c>
      <c r="D219">
        <f>Tervezés!F222</f>
        <v>0</v>
      </c>
      <c r="E219">
        <f>Tervezés!H222</f>
        <v>0</v>
      </c>
      <c r="F219" t="str">
        <f t="shared" si="67"/>
        <v>0</v>
      </c>
      <c r="G219" t="str">
        <f t="shared" si="68"/>
        <v>0</v>
      </c>
      <c r="H219">
        <f>Tervezés!I222</f>
        <v>0</v>
      </c>
      <c r="I219">
        <f>Tervezés!J222</f>
        <v>0</v>
      </c>
      <c r="J219">
        <f>Tervezés!K222</f>
        <v>0</v>
      </c>
      <c r="K219">
        <f>Tervezés!L222</f>
        <v>0</v>
      </c>
      <c r="L219">
        <f>Tervezés!M222</f>
        <v>0</v>
      </c>
      <c r="M219" s="322" t="str">
        <f>IFERROR(VLOOKUP(A219,PAR!$D$3:$E$53,2,FALSE),"nincs szervezet")</f>
        <v>nincs szervezet</v>
      </c>
      <c r="N219" s="322" t="str">
        <f>VLOOKUP(F219,PAR!$R$3:$S$5,2,FALSE)</f>
        <v>3 - egyik sem</v>
      </c>
      <c r="O219" t="str">
        <f>IFERROR(VLOOKUP(J219,PAR!$O$3:$P$5,2,FALSE),"nincs feladat")</f>
        <v>nincs feladat</v>
      </c>
      <c r="P219" t="str">
        <f>IFERROR(VLOOKUP(G219,PAR!$J$2:$M$19,4),"nincs rovat")</f>
        <v>nincs rovat</v>
      </c>
      <c r="Q219" t="str">
        <f>IF(H219&gt;0,VLOOKUP(H219,PAR!$AA$3:$AC$187,3,FALSE),"nincs főkönyvi számla")</f>
        <v>nincs főkönyvi számla</v>
      </c>
      <c r="R219" t="str">
        <f>IFERROR(VLOOKUP(K219,PAR!$V$3:$X$438,3,FALSE),"000000 - Nincs COFOG")</f>
        <v>000000 - Nincs COFOG</v>
      </c>
      <c r="S219">
        <f t="shared" si="69"/>
        <v>0</v>
      </c>
      <c r="T219">
        <f t="shared" si="70"/>
        <v>0</v>
      </c>
      <c r="U219" t="str">
        <f>IF(Tervezés!F222&gt;0,CONCATENATE(Tervezés!E222," - ",Tervezés!F222,", ",Tervezés!J222),"nincs megjegyzés")</f>
        <v>nincs megjegyzés</v>
      </c>
      <c r="V219" t="str">
        <f t="shared" si="57"/>
        <v>6000</v>
      </c>
      <c r="W219" t="str">
        <f t="shared" si="58"/>
        <v>6000</v>
      </c>
      <c r="X219" t="str">
        <f t="shared" si="59"/>
        <v>00</v>
      </c>
      <c r="Y219" t="str">
        <f t="shared" si="60"/>
        <v>600</v>
      </c>
      <c r="Z219" t="str">
        <f t="shared" si="71"/>
        <v>00</v>
      </c>
      <c r="AA219" t="str">
        <f t="shared" si="61"/>
        <v>600</v>
      </c>
      <c r="AB219" t="str">
        <f t="shared" si="62"/>
        <v>00</v>
      </c>
      <c r="AC219" t="str">
        <f t="shared" si="63"/>
        <v>6000</v>
      </c>
      <c r="AD219" t="str">
        <f t="shared" si="64"/>
        <v>000</v>
      </c>
      <c r="AE219" t="str">
        <f t="shared" si="65"/>
        <v>6000</v>
      </c>
      <c r="AF219" t="str">
        <f t="shared" si="66"/>
        <v>000</v>
      </c>
      <c r="AG219" t="str">
        <f t="shared" si="72"/>
        <v>60000</v>
      </c>
      <c r="AH219" t="str">
        <f t="shared" si="73"/>
        <v>0000</v>
      </c>
      <c r="AI219" t="str">
        <f t="shared" si="74"/>
        <v>60000</v>
      </c>
      <c r="AJ219" t="str">
        <f t="shared" si="75"/>
        <v>0000</v>
      </c>
    </row>
    <row r="220" spans="1:36" x14ac:dyDescent="0.25">
      <c r="A220" s="325">
        <f>Tervezés!B223</f>
        <v>0</v>
      </c>
      <c r="B220">
        <v>60</v>
      </c>
      <c r="C220">
        <f>Tervezés!E223</f>
        <v>0</v>
      </c>
      <c r="D220">
        <f>Tervezés!F223</f>
        <v>0</v>
      </c>
      <c r="E220">
        <f>Tervezés!H223</f>
        <v>0</v>
      </c>
      <c r="F220" t="str">
        <f t="shared" si="67"/>
        <v>0</v>
      </c>
      <c r="G220" t="str">
        <f t="shared" si="68"/>
        <v>0</v>
      </c>
      <c r="H220">
        <f>Tervezés!I223</f>
        <v>0</v>
      </c>
      <c r="I220">
        <f>Tervezés!J223</f>
        <v>0</v>
      </c>
      <c r="J220">
        <f>Tervezés!K223</f>
        <v>0</v>
      </c>
      <c r="K220">
        <f>Tervezés!L223</f>
        <v>0</v>
      </c>
      <c r="L220">
        <f>Tervezés!M223</f>
        <v>0</v>
      </c>
      <c r="M220" s="322" t="str">
        <f>IFERROR(VLOOKUP(A220,PAR!$D$3:$E$53,2,FALSE),"nincs szervezet")</f>
        <v>nincs szervezet</v>
      </c>
      <c r="N220" s="322" t="str">
        <f>VLOOKUP(F220,PAR!$R$3:$S$5,2,FALSE)</f>
        <v>3 - egyik sem</v>
      </c>
      <c r="O220" t="str">
        <f>IFERROR(VLOOKUP(J220,PAR!$O$3:$P$5,2,FALSE),"nincs feladat")</f>
        <v>nincs feladat</v>
      </c>
      <c r="P220" t="str">
        <f>IFERROR(VLOOKUP(G220,PAR!$J$2:$M$19,4),"nincs rovat")</f>
        <v>nincs rovat</v>
      </c>
      <c r="Q220" t="str">
        <f>IF(H220&gt;0,VLOOKUP(H220,PAR!$AA$3:$AC$187,3,FALSE),"nincs főkönyvi számla")</f>
        <v>nincs főkönyvi számla</v>
      </c>
      <c r="R220" t="str">
        <f>IFERROR(VLOOKUP(K220,PAR!$V$3:$X$438,3,FALSE),"000000 - Nincs COFOG")</f>
        <v>000000 - Nincs COFOG</v>
      </c>
      <c r="S220">
        <f t="shared" si="69"/>
        <v>0</v>
      </c>
      <c r="T220">
        <f t="shared" si="70"/>
        <v>0</v>
      </c>
      <c r="U220" t="str">
        <f>IF(Tervezés!F223&gt;0,CONCATENATE(Tervezés!E223," - ",Tervezés!F223,", ",Tervezés!J223),"nincs megjegyzés")</f>
        <v>nincs megjegyzés</v>
      </c>
      <c r="V220" t="str">
        <f t="shared" si="57"/>
        <v>6000</v>
      </c>
      <c r="W220" t="str">
        <f t="shared" si="58"/>
        <v>6000</v>
      </c>
      <c r="X220" t="str">
        <f t="shared" si="59"/>
        <v>00</v>
      </c>
      <c r="Y220" t="str">
        <f t="shared" si="60"/>
        <v>600</v>
      </c>
      <c r="Z220" t="str">
        <f t="shared" si="71"/>
        <v>00</v>
      </c>
      <c r="AA220" t="str">
        <f t="shared" si="61"/>
        <v>600</v>
      </c>
      <c r="AB220" t="str">
        <f t="shared" si="62"/>
        <v>00</v>
      </c>
      <c r="AC220" t="str">
        <f t="shared" si="63"/>
        <v>6000</v>
      </c>
      <c r="AD220" t="str">
        <f t="shared" si="64"/>
        <v>000</v>
      </c>
      <c r="AE220" t="str">
        <f t="shared" si="65"/>
        <v>6000</v>
      </c>
      <c r="AF220" t="str">
        <f t="shared" si="66"/>
        <v>000</v>
      </c>
      <c r="AG220" t="str">
        <f t="shared" si="72"/>
        <v>60000</v>
      </c>
      <c r="AH220" t="str">
        <f t="shared" si="73"/>
        <v>0000</v>
      </c>
      <c r="AI220" t="str">
        <f t="shared" si="74"/>
        <v>60000</v>
      </c>
      <c r="AJ220" t="str">
        <f t="shared" si="75"/>
        <v>0000</v>
      </c>
    </row>
    <row r="221" spans="1:36" x14ac:dyDescent="0.25">
      <c r="A221" s="325">
        <f>Tervezés!B224</f>
        <v>0</v>
      </c>
      <c r="B221">
        <v>60</v>
      </c>
      <c r="C221">
        <f>Tervezés!E224</f>
        <v>0</v>
      </c>
      <c r="D221">
        <f>Tervezés!F224</f>
        <v>0</v>
      </c>
      <c r="E221">
        <f>Tervezés!H224</f>
        <v>0</v>
      </c>
      <c r="F221" t="str">
        <f t="shared" si="67"/>
        <v>0</v>
      </c>
      <c r="G221" t="str">
        <f t="shared" si="68"/>
        <v>0</v>
      </c>
      <c r="H221">
        <f>Tervezés!I224</f>
        <v>0</v>
      </c>
      <c r="I221">
        <f>Tervezés!J224</f>
        <v>0</v>
      </c>
      <c r="J221">
        <f>Tervezés!K224</f>
        <v>0</v>
      </c>
      <c r="K221">
        <f>Tervezés!L224</f>
        <v>0</v>
      </c>
      <c r="L221">
        <f>Tervezés!M224</f>
        <v>0</v>
      </c>
      <c r="M221" s="322" t="str">
        <f>IFERROR(VLOOKUP(A221,PAR!$D$3:$E$53,2,FALSE),"nincs szervezet")</f>
        <v>nincs szervezet</v>
      </c>
      <c r="N221" s="322" t="str">
        <f>VLOOKUP(F221,PAR!$R$3:$S$5,2,FALSE)</f>
        <v>3 - egyik sem</v>
      </c>
      <c r="O221" t="str">
        <f>IFERROR(VLOOKUP(J221,PAR!$O$3:$P$5,2,FALSE),"nincs feladat")</f>
        <v>nincs feladat</v>
      </c>
      <c r="P221" t="str">
        <f>IFERROR(VLOOKUP(G221,PAR!$J$2:$M$19,4),"nincs rovat")</f>
        <v>nincs rovat</v>
      </c>
      <c r="Q221" t="str">
        <f>IF(H221&gt;0,VLOOKUP(H221,PAR!$AA$3:$AC$187,3,FALSE),"nincs főkönyvi számla")</f>
        <v>nincs főkönyvi számla</v>
      </c>
      <c r="R221" t="str">
        <f>IFERROR(VLOOKUP(K221,PAR!$V$3:$X$438,3,FALSE),"000000 - Nincs COFOG")</f>
        <v>000000 - Nincs COFOG</v>
      </c>
      <c r="S221">
        <f t="shared" si="69"/>
        <v>0</v>
      </c>
      <c r="T221">
        <f t="shared" si="70"/>
        <v>0</v>
      </c>
      <c r="U221" t="str">
        <f>IF(Tervezés!F224&gt;0,CONCATENATE(Tervezés!E224," - ",Tervezés!F224,", ",Tervezés!J224),"nincs megjegyzés")</f>
        <v>nincs megjegyzés</v>
      </c>
      <c r="V221" t="str">
        <f t="shared" si="57"/>
        <v>6000</v>
      </c>
      <c r="W221" t="str">
        <f t="shared" si="58"/>
        <v>6000</v>
      </c>
      <c r="X221" t="str">
        <f t="shared" si="59"/>
        <v>00</v>
      </c>
      <c r="Y221" t="str">
        <f t="shared" si="60"/>
        <v>600</v>
      </c>
      <c r="Z221" t="str">
        <f t="shared" si="71"/>
        <v>00</v>
      </c>
      <c r="AA221" t="str">
        <f t="shared" si="61"/>
        <v>600</v>
      </c>
      <c r="AB221" t="str">
        <f t="shared" si="62"/>
        <v>00</v>
      </c>
      <c r="AC221" t="str">
        <f t="shared" si="63"/>
        <v>6000</v>
      </c>
      <c r="AD221" t="str">
        <f t="shared" si="64"/>
        <v>000</v>
      </c>
      <c r="AE221" t="str">
        <f t="shared" si="65"/>
        <v>6000</v>
      </c>
      <c r="AF221" t="str">
        <f t="shared" si="66"/>
        <v>000</v>
      </c>
      <c r="AG221" t="str">
        <f t="shared" si="72"/>
        <v>60000</v>
      </c>
      <c r="AH221" t="str">
        <f t="shared" si="73"/>
        <v>0000</v>
      </c>
      <c r="AI221" t="str">
        <f t="shared" si="74"/>
        <v>60000</v>
      </c>
      <c r="AJ221" t="str">
        <f t="shared" si="75"/>
        <v>0000</v>
      </c>
    </row>
    <row r="222" spans="1:36" x14ac:dyDescent="0.25">
      <c r="A222" s="325">
        <f>Tervezés!B225</f>
        <v>0</v>
      </c>
      <c r="B222">
        <v>60</v>
      </c>
      <c r="C222">
        <f>Tervezés!E225</f>
        <v>0</v>
      </c>
      <c r="D222">
        <f>Tervezés!F225</f>
        <v>0</v>
      </c>
      <c r="E222">
        <f>Tervezés!H225</f>
        <v>0</v>
      </c>
      <c r="F222" t="str">
        <f t="shared" si="67"/>
        <v>0</v>
      </c>
      <c r="G222" t="str">
        <f t="shared" si="68"/>
        <v>0</v>
      </c>
      <c r="H222">
        <f>Tervezés!I225</f>
        <v>0</v>
      </c>
      <c r="I222">
        <f>Tervezés!J225</f>
        <v>0</v>
      </c>
      <c r="J222">
        <f>Tervezés!K225</f>
        <v>0</v>
      </c>
      <c r="K222">
        <f>Tervezés!L225</f>
        <v>0</v>
      </c>
      <c r="L222">
        <f>Tervezés!M225</f>
        <v>0</v>
      </c>
      <c r="M222" s="322" t="str">
        <f>IFERROR(VLOOKUP(A222,PAR!$D$3:$E$53,2,FALSE),"nincs szervezet")</f>
        <v>nincs szervezet</v>
      </c>
      <c r="N222" s="322" t="str">
        <f>VLOOKUP(F222,PAR!$R$3:$S$5,2,FALSE)</f>
        <v>3 - egyik sem</v>
      </c>
      <c r="O222" t="str">
        <f>IFERROR(VLOOKUP(J222,PAR!$O$3:$P$5,2,FALSE),"nincs feladat")</f>
        <v>nincs feladat</v>
      </c>
      <c r="P222" t="str">
        <f>IFERROR(VLOOKUP(G222,PAR!$J$2:$M$19,4),"nincs rovat")</f>
        <v>nincs rovat</v>
      </c>
      <c r="Q222" t="str">
        <f>IF(H222&gt;0,VLOOKUP(H222,PAR!$AA$3:$AC$187,3,FALSE),"nincs főkönyvi számla")</f>
        <v>nincs főkönyvi számla</v>
      </c>
      <c r="R222" t="str">
        <f>IFERROR(VLOOKUP(K222,PAR!$V$3:$X$438,3,FALSE),"000000 - Nincs COFOG")</f>
        <v>000000 - Nincs COFOG</v>
      </c>
      <c r="S222">
        <f t="shared" si="69"/>
        <v>0</v>
      </c>
      <c r="T222">
        <f t="shared" si="70"/>
        <v>0</v>
      </c>
      <c r="U222" t="str">
        <f>IF(Tervezés!F225&gt;0,CONCATENATE(Tervezés!E225," - ",Tervezés!F225,", ",Tervezés!J225),"nincs megjegyzés")</f>
        <v>nincs megjegyzés</v>
      </c>
      <c r="V222" t="str">
        <f t="shared" si="57"/>
        <v>6000</v>
      </c>
      <c r="W222" t="str">
        <f t="shared" si="58"/>
        <v>6000</v>
      </c>
      <c r="X222" t="str">
        <f t="shared" si="59"/>
        <v>00</v>
      </c>
      <c r="Y222" t="str">
        <f t="shared" si="60"/>
        <v>600</v>
      </c>
      <c r="Z222" t="str">
        <f t="shared" si="71"/>
        <v>00</v>
      </c>
      <c r="AA222" t="str">
        <f t="shared" si="61"/>
        <v>600</v>
      </c>
      <c r="AB222" t="str">
        <f t="shared" si="62"/>
        <v>00</v>
      </c>
      <c r="AC222" t="str">
        <f t="shared" si="63"/>
        <v>6000</v>
      </c>
      <c r="AD222" t="str">
        <f t="shared" si="64"/>
        <v>000</v>
      </c>
      <c r="AE222" t="str">
        <f t="shared" si="65"/>
        <v>6000</v>
      </c>
      <c r="AF222" t="str">
        <f t="shared" si="66"/>
        <v>000</v>
      </c>
      <c r="AG222" t="str">
        <f t="shared" si="72"/>
        <v>60000</v>
      </c>
      <c r="AH222" t="str">
        <f t="shared" si="73"/>
        <v>0000</v>
      </c>
      <c r="AI222" t="str">
        <f t="shared" si="74"/>
        <v>60000</v>
      </c>
      <c r="AJ222" t="str">
        <f t="shared" si="75"/>
        <v>0000</v>
      </c>
    </row>
    <row r="223" spans="1:36" x14ac:dyDescent="0.25">
      <c r="A223" s="325">
        <f>Tervezés!B226</f>
        <v>0</v>
      </c>
      <c r="B223">
        <v>60</v>
      </c>
      <c r="C223">
        <f>Tervezés!E226</f>
        <v>0</v>
      </c>
      <c r="D223">
        <f>Tervezés!F226</f>
        <v>0</v>
      </c>
      <c r="E223">
        <f>Tervezés!H226</f>
        <v>0</v>
      </c>
      <c r="F223" t="str">
        <f t="shared" si="67"/>
        <v>0</v>
      </c>
      <c r="G223" t="str">
        <f t="shared" si="68"/>
        <v>0</v>
      </c>
      <c r="H223">
        <f>Tervezés!I226</f>
        <v>0</v>
      </c>
      <c r="I223">
        <f>Tervezés!J226</f>
        <v>0</v>
      </c>
      <c r="J223">
        <f>Tervezés!K226</f>
        <v>0</v>
      </c>
      <c r="K223">
        <f>Tervezés!L226</f>
        <v>0</v>
      </c>
      <c r="L223">
        <f>Tervezés!M226</f>
        <v>0</v>
      </c>
      <c r="M223" s="322" t="str">
        <f>IFERROR(VLOOKUP(A223,PAR!$D$3:$E$53,2,FALSE),"nincs szervezet")</f>
        <v>nincs szervezet</v>
      </c>
      <c r="N223" s="322" t="str">
        <f>VLOOKUP(F223,PAR!$R$3:$S$5,2,FALSE)</f>
        <v>3 - egyik sem</v>
      </c>
      <c r="O223" t="str">
        <f>IFERROR(VLOOKUP(J223,PAR!$O$3:$P$5,2,FALSE),"nincs feladat")</f>
        <v>nincs feladat</v>
      </c>
      <c r="P223" t="str">
        <f>IFERROR(VLOOKUP(G223,PAR!$J$2:$M$19,4),"nincs rovat")</f>
        <v>nincs rovat</v>
      </c>
      <c r="Q223" t="str">
        <f>IF(H223&gt;0,VLOOKUP(H223,PAR!$AA$3:$AC$187,3,FALSE),"nincs főkönyvi számla")</f>
        <v>nincs főkönyvi számla</v>
      </c>
      <c r="R223" t="str">
        <f>IFERROR(VLOOKUP(K223,PAR!$V$3:$X$438,3,FALSE),"000000 - Nincs COFOG")</f>
        <v>000000 - Nincs COFOG</v>
      </c>
      <c r="S223">
        <f t="shared" si="69"/>
        <v>0</v>
      </c>
      <c r="T223">
        <f t="shared" si="70"/>
        <v>0</v>
      </c>
      <c r="U223" t="str">
        <f>IF(Tervezés!F226&gt;0,CONCATENATE(Tervezés!E226," - ",Tervezés!F226,", ",Tervezés!J226),"nincs megjegyzés")</f>
        <v>nincs megjegyzés</v>
      </c>
      <c r="V223" t="str">
        <f t="shared" si="57"/>
        <v>6000</v>
      </c>
      <c r="W223" t="str">
        <f t="shared" si="58"/>
        <v>6000</v>
      </c>
      <c r="X223" t="str">
        <f t="shared" si="59"/>
        <v>00</v>
      </c>
      <c r="Y223" t="str">
        <f t="shared" si="60"/>
        <v>600</v>
      </c>
      <c r="Z223" t="str">
        <f t="shared" si="71"/>
        <v>00</v>
      </c>
      <c r="AA223" t="str">
        <f t="shared" si="61"/>
        <v>600</v>
      </c>
      <c r="AB223" t="str">
        <f t="shared" si="62"/>
        <v>00</v>
      </c>
      <c r="AC223" t="str">
        <f t="shared" si="63"/>
        <v>6000</v>
      </c>
      <c r="AD223" t="str">
        <f t="shared" si="64"/>
        <v>000</v>
      </c>
      <c r="AE223" t="str">
        <f t="shared" si="65"/>
        <v>6000</v>
      </c>
      <c r="AF223" t="str">
        <f t="shared" si="66"/>
        <v>000</v>
      </c>
      <c r="AG223" t="str">
        <f t="shared" si="72"/>
        <v>60000</v>
      </c>
      <c r="AH223" t="str">
        <f t="shared" si="73"/>
        <v>0000</v>
      </c>
      <c r="AI223" t="str">
        <f t="shared" si="74"/>
        <v>60000</v>
      </c>
      <c r="AJ223" t="str">
        <f t="shared" si="75"/>
        <v>0000</v>
      </c>
    </row>
    <row r="224" spans="1:36" x14ac:dyDescent="0.25">
      <c r="A224" s="325">
        <f>Tervezés!B227</f>
        <v>0</v>
      </c>
      <c r="B224">
        <v>60</v>
      </c>
      <c r="C224">
        <f>Tervezés!E227</f>
        <v>0</v>
      </c>
      <c r="D224">
        <f>Tervezés!F227</f>
        <v>0</v>
      </c>
      <c r="E224">
        <f>Tervezés!H227</f>
        <v>0</v>
      </c>
      <c r="F224" t="str">
        <f t="shared" si="67"/>
        <v>0</v>
      </c>
      <c r="G224" t="str">
        <f t="shared" si="68"/>
        <v>0</v>
      </c>
      <c r="H224">
        <f>Tervezés!I227</f>
        <v>0</v>
      </c>
      <c r="I224">
        <f>Tervezés!J227</f>
        <v>0</v>
      </c>
      <c r="J224">
        <f>Tervezés!K227</f>
        <v>0</v>
      </c>
      <c r="K224">
        <f>Tervezés!L227</f>
        <v>0</v>
      </c>
      <c r="L224">
        <f>Tervezés!M227</f>
        <v>0</v>
      </c>
      <c r="M224" s="322" t="str">
        <f>IFERROR(VLOOKUP(A224,PAR!$D$3:$E$53,2,FALSE),"nincs szervezet")</f>
        <v>nincs szervezet</v>
      </c>
      <c r="N224" s="322" t="str">
        <f>VLOOKUP(F224,PAR!$R$3:$S$5,2,FALSE)</f>
        <v>3 - egyik sem</v>
      </c>
      <c r="O224" t="str">
        <f>IFERROR(VLOOKUP(J224,PAR!$O$3:$P$5,2,FALSE),"nincs feladat")</f>
        <v>nincs feladat</v>
      </c>
      <c r="P224" t="str">
        <f>IFERROR(VLOOKUP(G224,PAR!$J$2:$M$19,4),"nincs rovat")</f>
        <v>nincs rovat</v>
      </c>
      <c r="Q224" t="str">
        <f>IF(H224&gt;0,VLOOKUP(H224,PAR!$AA$3:$AC$187,3,FALSE),"nincs főkönyvi számla")</f>
        <v>nincs főkönyvi számla</v>
      </c>
      <c r="R224" t="str">
        <f>IFERROR(VLOOKUP(K224,PAR!$V$3:$X$438,3,FALSE),"000000 - Nincs COFOG")</f>
        <v>000000 - Nincs COFOG</v>
      </c>
      <c r="S224">
        <f t="shared" si="69"/>
        <v>0</v>
      </c>
      <c r="T224">
        <f t="shared" si="70"/>
        <v>0</v>
      </c>
      <c r="U224" t="str">
        <f>IF(Tervezés!F227&gt;0,CONCATENATE(Tervezés!E227," - ",Tervezés!F227,", ",Tervezés!J227),"nincs megjegyzés")</f>
        <v>nincs megjegyzés</v>
      </c>
      <c r="V224" t="str">
        <f t="shared" si="57"/>
        <v>6000</v>
      </c>
      <c r="W224" t="str">
        <f t="shared" si="58"/>
        <v>6000</v>
      </c>
      <c r="X224" t="str">
        <f t="shared" si="59"/>
        <v>00</v>
      </c>
      <c r="Y224" t="str">
        <f t="shared" si="60"/>
        <v>600</v>
      </c>
      <c r="Z224" t="str">
        <f t="shared" si="71"/>
        <v>00</v>
      </c>
      <c r="AA224" t="str">
        <f t="shared" si="61"/>
        <v>600</v>
      </c>
      <c r="AB224" t="str">
        <f t="shared" si="62"/>
        <v>00</v>
      </c>
      <c r="AC224" t="str">
        <f t="shared" si="63"/>
        <v>6000</v>
      </c>
      <c r="AD224" t="str">
        <f t="shared" si="64"/>
        <v>000</v>
      </c>
      <c r="AE224" t="str">
        <f t="shared" si="65"/>
        <v>6000</v>
      </c>
      <c r="AF224" t="str">
        <f t="shared" si="66"/>
        <v>000</v>
      </c>
      <c r="AG224" t="str">
        <f t="shared" si="72"/>
        <v>60000</v>
      </c>
      <c r="AH224" t="str">
        <f t="shared" si="73"/>
        <v>0000</v>
      </c>
      <c r="AI224" t="str">
        <f t="shared" si="74"/>
        <v>60000</v>
      </c>
      <c r="AJ224" t="str">
        <f t="shared" si="75"/>
        <v>0000</v>
      </c>
    </row>
    <row r="225" spans="1:36" x14ac:dyDescent="0.25">
      <c r="A225" s="325">
        <f>Tervezés!B228</f>
        <v>0</v>
      </c>
      <c r="B225">
        <v>60</v>
      </c>
      <c r="C225">
        <f>Tervezés!E228</f>
        <v>0</v>
      </c>
      <c r="D225">
        <f>Tervezés!F228</f>
        <v>0</v>
      </c>
      <c r="E225">
        <f>Tervezés!H228</f>
        <v>0</v>
      </c>
      <c r="F225" t="str">
        <f t="shared" si="67"/>
        <v>0</v>
      </c>
      <c r="G225" t="str">
        <f t="shared" si="68"/>
        <v>0</v>
      </c>
      <c r="H225">
        <f>Tervezés!I228</f>
        <v>0</v>
      </c>
      <c r="I225">
        <f>Tervezés!J228</f>
        <v>0</v>
      </c>
      <c r="J225">
        <f>Tervezés!K228</f>
        <v>0</v>
      </c>
      <c r="K225">
        <f>Tervezés!L228</f>
        <v>0</v>
      </c>
      <c r="L225">
        <f>Tervezés!M228</f>
        <v>0</v>
      </c>
      <c r="M225" s="322" t="str">
        <f>IFERROR(VLOOKUP(A225,PAR!$D$3:$E$53,2,FALSE),"nincs szervezet")</f>
        <v>nincs szervezet</v>
      </c>
      <c r="N225" s="322" t="str">
        <f>VLOOKUP(F225,PAR!$R$3:$S$5,2,FALSE)</f>
        <v>3 - egyik sem</v>
      </c>
      <c r="O225" t="str">
        <f>IFERROR(VLOOKUP(J225,PAR!$O$3:$P$5,2,FALSE),"nincs feladat")</f>
        <v>nincs feladat</v>
      </c>
      <c r="P225" t="str">
        <f>IFERROR(VLOOKUP(G225,PAR!$J$2:$M$19,4),"nincs rovat")</f>
        <v>nincs rovat</v>
      </c>
      <c r="Q225" t="str">
        <f>IF(H225&gt;0,VLOOKUP(H225,PAR!$AA$3:$AC$187,3,FALSE),"nincs főkönyvi számla")</f>
        <v>nincs főkönyvi számla</v>
      </c>
      <c r="R225" t="str">
        <f>IFERROR(VLOOKUP(K225,PAR!$V$3:$X$438,3,FALSE),"000000 - Nincs COFOG")</f>
        <v>000000 - Nincs COFOG</v>
      </c>
      <c r="S225">
        <f t="shared" si="69"/>
        <v>0</v>
      </c>
      <c r="T225">
        <f t="shared" si="70"/>
        <v>0</v>
      </c>
      <c r="U225" t="str">
        <f>IF(Tervezés!F228&gt;0,CONCATENATE(Tervezés!E228," - ",Tervezés!F228,", ",Tervezés!J228),"nincs megjegyzés")</f>
        <v>nincs megjegyzés</v>
      </c>
      <c r="V225" t="str">
        <f t="shared" si="57"/>
        <v>6000</v>
      </c>
      <c r="W225" t="str">
        <f t="shared" si="58"/>
        <v>6000</v>
      </c>
      <c r="X225" t="str">
        <f t="shared" si="59"/>
        <v>00</v>
      </c>
      <c r="Y225" t="str">
        <f t="shared" si="60"/>
        <v>600</v>
      </c>
      <c r="Z225" t="str">
        <f t="shared" si="71"/>
        <v>00</v>
      </c>
      <c r="AA225" t="str">
        <f t="shared" si="61"/>
        <v>600</v>
      </c>
      <c r="AB225" t="str">
        <f t="shared" si="62"/>
        <v>00</v>
      </c>
      <c r="AC225" t="str">
        <f t="shared" si="63"/>
        <v>6000</v>
      </c>
      <c r="AD225" t="str">
        <f t="shared" si="64"/>
        <v>000</v>
      </c>
      <c r="AE225" t="str">
        <f t="shared" si="65"/>
        <v>6000</v>
      </c>
      <c r="AF225" t="str">
        <f t="shared" si="66"/>
        <v>000</v>
      </c>
      <c r="AG225" t="str">
        <f t="shared" si="72"/>
        <v>60000</v>
      </c>
      <c r="AH225" t="str">
        <f t="shared" si="73"/>
        <v>0000</v>
      </c>
      <c r="AI225" t="str">
        <f t="shared" si="74"/>
        <v>60000</v>
      </c>
      <c r="AJ225" t="str">
        <f t="shared" si="75"/>
        <v>0000</v>
      </c>
    </row>
    <row r="226" spans="1:36" x14ac:dyDescent="0.25">
      <c r="A226" s="325">
        <f>Tervezés!B229</f>
        <v>0</v>
      </c>
      <c r="B226">
        <v>60</v>
      </c>
      <c r="C226">
        <f>Tervezés!E229</f>
        <v>0</v>
      </c>
      <c r="D226">
        <f>Tervezés!F229</f>
        <v>0</v>
      </c>
      <c r="E226">
        <f>Tervezés!H229</f>
        <v>0</v>
      </c>
      <c r="F226" t="str">
        <f t="shared" si="67"/>
        <v>0</v>
      </c>
      <c r="G226" t="str">
        <f t="shared" si="68"/>
        <v>0</v>
      </c>
      <c r="H226">
        <f>Tervezés!I229</f>
        <v>0</v>
      </c>
      <c r="I226">
        <f>Tervezés!J229</f>
        <v>0</v>
      </c>
      <c r="J226">
        <f>Tervezés!K229</f>
        <v>0</v>
      </c>
      <c r="K226">
        <f>Tervezés!L229</f>
        <v>0</v>
      </c>
      <c r="L226">
        <f>Tervezés!M229</f>
        <v>0</v>
      </c>
      <c r="M226" s="322" t="str">
        <f>IFERROR(VLOOKUP(A226,PAR!$D$3:$E$53,2,FALSE),"nincs szervezet")</f>
        <v>nincs szervezet</v>
      </c>
      <c r="N226" s="322" t="str">
        <f>VLOOKUP(F226,PAR!$R$3:$S$5,2,FALSE)</f>
        <v>3 - egyik sem</v>
      </c>
      <c r="O226" t="str">
        <f>IFERROR(VLOOKUP(J226,PAR!$O$3:$P$5,2,FALSE),"nincs feladat")</f>
        <v>nincs feladat</v>
      </c>
      <c r="P226" t="str">
        <f>IFERROR(VLOOKUP(G226,PAR!$J$2:$M$19,4),"nincs rovat")</f>
        <v>nincs rovat</v>
      </c>
      <c r="Q226" t="str">
        <f>IF(H226&gt;0,VLOOKUP(H226,PAR!$AA$3:$AC$187,3,FALSE),"nincs főkönyvi számla")</f>
        <v>nincs főkönyvi számla</v>
      </c>
      <c r="R226" t="str">
        <f>IFERROR(VLOOKUP(K226,PAR!$V$3:$X$438,3,FALSE),"000000 - Nincs COFOG")</f>
        <v>000000 - Nincs COFOG</v>
      </c>
      <c r="S226">
        <f t="shared" si="69"/>
        <v>0</v>
      </c>
      <c r="T226">
        <f t="shared" si="70"/>
        <v>0</v>
      </c>
      <c r="U226" t="str">
        <f>IF(Tervezés!F229&gt;0,CONCATENATE(Tervezés!E229," - ",Tervezés!F229,", ",Tervezés!J229),"nincs megjegyzés")</f>
        <v>nincs megjegyzés</v>
      </c>
      <c r="V226" t="str">
        <f t="shared" si="57"/>
        <v>6000</v>
      </c>
      <c r="W226" t="str">
        <f t="shared" si="58"/>
        <v>6000</v>
      </c>
      <c r="X226" t="str">
        <f t="shared" si="59"/>
        <v>00</v>
      </c>
      <c r="Y226" t="str">
        <f t="shared" si="60"/>
        <v>600</v>
      </c>
      <c r="Z226" t="str">
        <f t="shared" si="71"/>
        <v>00</v>
      </c>
      <c r="AA226" t="str">
        <f t="shared" si="61"/>
        <v>600</v>
      </c>
      <c r="AB226" t="str">
        <f t="shared" si="62"/>
        <v>00</v>
      </c>
      <c r="AC226" t="str">
        <f t="shared" si="63"/>
        <v>6000</v>
      </c>
      <c r="AD226" t="str">
        <f t="shared" si="64"/>
        <v>000</v>
      </c>
      <c r="AE226" t="str">
        <f t="shared" si="65"/>
        <v>6000</v>
      </c>
      <c r="AF226" t="str">
        <f t="shared" si="66"/>
        <v>000</v>
      </c>
      <c r="AG226" t="str">
        <f t="shared" si="72"/>
        <v>60000</v>
      </c>
      <c r="AH226" t="str">
        <f t="shared" si="73"/>
        <v>0000</v>
      </c>
      <c r="AI226" t="str">
        <f t="shared" si="74"/>
        <v>60000</v>
      </c>
      <c r="AJ226" t="str">
        <f t="shared" si="75"/>
        <v>0000</v>
      </c>
    </row>
    <row r="227" spans="1:36" x14ac:dyDescent="0.25">
      <c r="A227" s="325">
        <f>Tervezés!B230</f>
        <v>0</v>
      </c>
      <c r="B227">
        <v>60</v>
      </c>
      <c r="C227">
        <f>Tervezés!E230</f>
        <v>0</v>
      </c>
      <c r="D227">
        <f>Tervezés!F230</f>
        <v>0</v>
      </c>
      <c r="E227">
        <f>Tervezés!H230</f>
        <v>0</v>
      </c>
      <c r="F227" t="str">
        <f t="shared" si="67"/>
        <v>0</v>
      </c>
      <c r="G227" t="str">
        <f t="shared" si="68"/>
        <v>0</v>
      </c>
      <c r="H227">
        <f>Tervezés!I230</f>
        <v>0</v>
      </c>
      <c r="I227">
        <f>Tervezés!J230</f>
        <v>0</v>
      </c>
      <c r="J227">
        <f>Tervezés!K230</f>
        <v>0</v>
      </c>
      <c r="K227">
        <f>Tervezés!L230</f>
        <v>0</v>
      </c>
      <c r="L227">
        <f>Tervezés!M230</f>
        <v>0</v>
      </c>
      <c r="M227" s="322" t="str">
        <f>IFERROR(VLOOKUP(A227,PAR!$D$3:$E$53,2,FALSE),"nincs szervezet")</f>
        <v>nincs szervezet</v>
      </c>
      <c r="N227" s="322" t="str">
        <f>VLOOKUP(F227,PAR!$R$3:$S$5,2,FALSE)</f>
        <v>3 - egyik sem</v>
      </c>
      <c r="O227" t="str">
        <f>IFERROR(VLOOKUP(J227,PAR!$O$3:$P$5,2,FALSE),"nincs feladat")</f>
        <v>nincs feladat</v>
      </c>
      <c r="P227" t="str">
        <f>IFERROR(VLOOKUP(G227,PAR!$J$2:$M$19,4),"nincs rovat")</f>
        <v>nincs rovat</v>
      </c>
      <c r="Q227" t="str">
        <f>IF(H227&gt;0,VLOOKUP(H227,PAR!$AA$3:$AC$187,3,FALSE),"nincs főkönyvi számla")</f>
        <v>nincs főkönyvi számla</v>
      </c>
      <c r="R227" t="str">
        <f>IFERROR(VLOOKUP(K227,PAR!$V$3:$X$438,3,FALSE),"000000 - Nincs COFOG")</f>
        <v>000000 - Nincs COFOG</v>
      </c>
      <c r="S227">
        <f t="shared" si="69"/>
        <v>0</v>
      </c>
      <c r="T227">
        <f t="shared" si="70"/>
        <v>0</v>
      </c>
      <c r="U227" t="str">
        <f>IF(Tervezés!F230&gt;0,CONCATENATE(Tervezés!E230," - ",Tervezés!F230,", ",Tervezés!J230),"nincs megjegyzés")</f>
        <v>nincs megjegyzés</v>
      </c>
      <c r="V227" t="str">
        <f t="shared" si="57"/>
        <v>6000</v>
      </c>
      <c r="W227" t="str">
        <f t="shared" si="58"/>
        <v>6000</v>
      </c>
      <c r="X227" t="str">
        <f t="shared" si="59"/>
        <v>00</v>
      </c>
      <c r="Y227" t="str">
        <f t="shared" si="60"/>
        <v>600</v>
      </c>
      <c r="Z227" t="str">
        <f t="shared" si="71"/>
        <v>00</v>
      </c>
      <c r="AA227" t="str">
        <f t="shared" si="61"/>
        <v>600</v>
      </c>
      <c r="AB227" t="str">
        <f t="shared" si="62"/>
        <v>00</v>
      </c>
      <c r="AC227" t="str">
        <f t="shared" si="63"/>
        <v>6000</v>
      </c>
      <c r="AD227" t="str">
        <f t="shared" si="64"/>
        <v>000</v>
      </c>
      <c r="AE227" t="str">
        <f t="shared" si="65"/>
        <v>6000</v>
      </c>
      <c r="AF227" t="str">
        <f t="shared" si="66"/>
        <v>000</v>
      </c>
      <c r="AG227" t="str">
        <f t="shared" si="72"/>
        <v>60000</v>
      </c>
      <c r="AH227" t="str">
        <f t="shared" si="73"/>
        <v>0000</v>
      </c>
      <c r="AI227" t="str">
        <f t="shared" si="74"/>
        <v>60000</v>
      </c>
      <c r="AJ227" t="str">
        <f t="shared" si="75"/>
        <v>0000</v>
      </c>
    </row>
    <row r="228" spans="1:36" x14ac:dyDescent="0.25">
      <c r="A228" s="325">
        <f>Tervezés!B231</f>
        <v>0</v>
      </c>
      <c r="B228">
        <v>60</v>
      </c>
      <c r="C228">
        <f>Tervezés!E231</f>
        <v>0</v>
      </c>
      <c r="D228">
        <f>Tervezés!F231</f>
        <v>0</v>
      </c>
      <c r="E228">
        <f>Tervezés!H231</f>
        <v>0</v>
      </c>
      <c r="F228" t="str">
        <f t="shared" si="67"/>
        <v>0</v>
      </c>
      <c r="G228" t="str">
        <f t="shared" si="68"/>
        <v>0</v>
      </c>
      <c r="H228">
        <f>Tervezés!I231</f>
        <v>0</v>
      </c>
      <c r="I228">
        <f>Tervezés!J231</f>
        <v>0</v>
      </c>
      <c r="J228">
        <f>Tervezés!K231</f>
        <v>0</v>
      </c>
      <c r="K228">
        <f>Tervezés!L231</f>
        <v>0</v>
      </c>
      <c r="L228">
        <f>Tervezés!M231</f>
        <v>0</v>
      </c>
      <c r="M228" s="322" t="str">
        <f>IFERROR(VLOOKUP(A228,PAR!$D$3:$E$53,2,FALSE),"nincs szervezet")</f>
        <v>nincs szervezet</v>
      </c>
      <c r="N228" s="322" t="str">
        <f>VLOOKUP(F228,PAR!$R$3:$S$5,2,FALSE)</f>
        <v>3 - egyik sem</v>
      </c>
      <c r="O228" t="str">
        <f>IFERROR(VLOOKUP(J228,PAR!$O$3:$P$5,2,FALSE),"nincs feladat")</f>
        <v>nincs feladat</v>
      </c>
      <c r="P228" t="str">
        <f>IFERROR(VLOOKUP(G228,PAR!$J$2:$M$19,4),"nincs rovat")</f>
        <v>nincs rovat</v>
      </c>
      <c r="Q228" t="str">
        <f>IF(H228&gt;0,VLOOKUP(H228,PAR!$AA$3:$AC$187,3,FALSE),"nincs főkönyvi számla")</f>
        <v>nincs főkönyvi számla</v>
      </c>
      <c r="R228" t="str">
        <f>IFERROR(VLOOKUP(K228,PAR!$V$3:$X$438,3,FALSE),"000000 - Nincs COFOG")</f>
        <v>000000 - Nincs COFOG</v>
      </c>
      <c r="S228">
        <f t="shared" si="69"/>
        <v>0</v>
      </c>
      <c r="T228">
        <f t="shared" si="70"/>
        <v>0</v>
      </c>
      <c r="U228" t="str">
        <f>IF(Tervezés!F231&gt;0,CONCATENATE(Tervezés!E231," - ",Tervezés!F231,", ",Tervezés!J231),"nincs megjegyzés")</f>
        <v>nincs megjegyzés</v>
      </c>
      <c r="V228" t="str">
        <f t="shared" si="57"/>
        <v>6000</v>
      </c>
      <c r="W228" t="str">
        <f t="shared" si="58"/>
        <v>6000</v>
      </c>
      <c r="X228" t="str">
        <f t="shared" si="59"/>
        <v>00</v>
      </c>
      <c r="Y228" t="str">
        <f t="shared" si="60"/>
        <v>600</v>
      </c>
      <c r="Z228" t="str">
        <f t="shared" si="71"/>
        <v>00</v>
      </c>
      <c r="AA228" t="str">
        <f t="shared" si="61"/>
        <v>600</v>
      </c>
      <c r="AB228" t="str">
        <f t="shared" si="62"/>
        <v>00</v>
      </c>
      <c r="AC228" t="str">
        <f t="shared" si="63"/>
        <v>6000</v>
      </c>
      <c r="AD228" t="str">
        <f t="shared" si="64"/>
        <v>000</v>
      </c>
      <c r="AE228" t="str">
        <f t="shared" si="65"/>
        <v>6000</v>
      </c>
      <c r="AF228" t="str">
        <f t="shared" si="66"/>
        <v>000</v>
      </c>
      <c r="AG228" t="str">
        <f t="shared" si="72"/>
        <v>60000</v>
      </c>
      <c r="AH228" t="str">
        <f t="shared" si="73"/>
        <v>0000</v>
      </c>
      <c r="AI228" t="str">
        <f t="shared" si="74"/>
        <v>60000</v>
      </c>
      <c r="AJ228" t="str">
        <f t="shared" si="75"/>
        <v>0000</v>
      </c>
    </row>
    <row r="229" spans="1:36" x14ac:dyDescent="0.25">
      <c r="A229" s="325">
        <f>Tervezés!B232</f>
        <v>0</v>
      </c>
      <c r="B229">
        <v>60</v>
      </c>
      <c r="C229">
        <f>Tervezés!E232</f>
        <v>0</v>
      </c>
      <c r="D229">
        <f>Tervezés!F232</f>
        <v>0</v>
      </c>
      <c r="E229">
        <f>Tervezés!H232</f>
        <v>0</v>
      </c>
      <c r="F229" t="str">
        <f t="shared" si="67"/>
        <v>0</v>
      </c>
      <c r="G229" t="str">
        <f t="shared" si="68"/>
        <v>0</v>
      </c>
      <c r="H229">
        <f>Tervezés!I232</f>
        <v>0</v>
      </c>
      <c r="I229">
        <f>Tervezés!J232</f>
        <v>0</v>
      </c>
      <c r="J229">
        <f>Tervezés!K232</f>
        <v>0</v>
      </c>
      <c r="K229">
        <f>Tervezés!L232</f>
        <v>0</v>
      </c>
      <c r="L229">
        <f>Tervezés!M232</f>
        <v>0</v>
      </c>
      <c r="M229" s="322" t="str">
        <f>IFERROR(VLOOKUP(A229,PAR!$D$3:$E$53,2,FALSE),"nincs szervezet")</f>
        <v>nincs szervezet</v>
      </c>
      <c r="N229" s="322" t="str">
        <f>VLOOKUP(F229,PAR!$R$3:$S$5,2,FALSE)</f>
        <v>3 - egyik sem</v>
      </c>
      <c r="O229" t="str">
        <f>IFERROR(VLOOKUP(J229,PAR!$O$3:$P$5,2,FALSE),"nincs feladat")</f>
        <v>nincs feladat</v>
      </c>
      <c r="P229" t="str">
        <f>IFERROR(VLOOKUP(G229,PAR!$J$2:$M$19,4),"nincs rovat")</f>
        <v>nincs rovat</v>
      </c>
      <c r="Q229" t="str">
        <f>IF(H229&gt;0,VLOOKUP(H229,PAR!$AA$3:$AC$187,3,FALSE),"nincs főkönyvi számla")</f>
        <v>nincs főkönyvi számla</v>
      </c>
      <c r="R229" t="str">
        <f>IFERROR(VLOOKUP(K229,PAR!$V$3:$X$438,3,FALSE),"000000 - Nincs COFOG")</f>
        <v>000000 - Nincs COFOG</v>
      </c>
      <c r="S229">
        <f t="shared" si="69"/>
        <v>0</v>
      </c>
      <c r="T229">
        <f t="shared" si="70"/>
        <v>0</v>
      </c>
      <c r="U229" t="str">
        <f>IF(Tervezés!F232&gt;0,CONCATENATE(Tervezés!E232," - ",Tervezés!F232,", ",Tervezés!J232),"nincs megjegyzés")</f>
        <v>nincs megjegyzés</v>
      </c>
      <c r="V229" t="str">
        <f t="shared" si="57"/>
        <v>6000</v>
      </c>
      <c r="W229" t="str">
        <f t="shared" si="58"/>
        <v>6000</v>
      </c>
      <c r="X229" t="str">
        <f t="shared" si="59"/>
        <v>00</v>
      </c>
      <c r="Y229" t="str">
        <f t="shared" si="60"/>
        <v>600</v>
      </c>
      <c r="Z229" t="str">
        <f t="shared" si="71"/>
        <v>00</v>
      </c>
      <c r="AA229" t="str">
        <f t="shared" si="61"/>
        <v>600</v>
      </c>
      <c r="AB229" t="str">
        <f t="shared" si="62"/>
        <v>00</v>
      </c>
      <c r="AC229" t="str">
        <f t="shared" si="63"/>
        <v>6000</v>
      </c>
      <c r="AD229" t="str">
        <f t="shared" si="64"/>
        <v>000</v>
      </c>
      <c r="AE229" t="str">
        <f t="shared" si="65"/>
        <v>6000</v>
      </c>
      <c r="AF229" t="str">
        <f t="shared" si="66"/>
        <v>000</v>
      </c>
      <c r="AG229" t="str">
        <f t="shared" si="72"/>
        <v>60000</v>
      </c>
      <c r="AH229" t="str">
        <f t="shared" si="73"/>
        <v>0000</v>
      </c>
      <c r="AI229" t="str">
        <f t="shared" si="74"/>
        <v>60000</v>
      </c>
      <c r="AJ229" t="str">
        <f t="shared" si="75"/>
        <v>0000</v>
      </c>
    </row>
    <row r="230" spans="1:36" x14ac:dyDescent="0.25">
      <c r="A230" s="325">
        <f>Tervezés!B233</f>
        <v>0</v>
      </c>
      <c r="B230">
        <v>60</v>
      </c>
      <c r="C230">
        <f>Tervezés!E233</f>
        <v>0</v>
      </c>
      <c r="D230">
        <f>Tervezés!F233</f>
        <v>0</v>
      </c>
      <c r="E230">
        <f>Tervezés!H233</f>
        <v>0</v>
      </c>
      <c r="F230" t="str">
        <f t="shared" si="67"/>
        <v>0</v>
      </c>
      <c r="G230" t="str">
        <f t="shared" si="68"/>
        <v>0</v>
      </c>
      <c r="H230">
        <f>Tervezés!I233</f>
        <v>0</v>
      </c>
      <c r="I230">
        <f>Tervezés!J233</f>
        <v>0</v>
      </c>
      <c r="J230">
        <f>Tervezés!K233</f>
        <v>0</v>
      </c>
      <c r="K230">
        <f>Tervezés!L233</f>
        <v>0</v>
      </c>
      <c r="L230">
        <f>Tervezés!M233</f>
        <v>0</v>
      </c>
      <c r="M230" s="322" t="str">
        <f>IFERROR(VLOOKUP(A230,PAR!$D$3:$E$53,2,FALSE),"nincs szervezet")</f>
        <v>nincs szervezet</v>
      </c>
      <c r="N230" s="322" t="str">
        <f>VLOOKUP(F230,PAR!$R$3:$S$5,2,FALSE)</f>
        <v>3 - egyik sem</v>
      </c>
      <c r="O230" t="str">
        <f>IFERROR(VLOOKUP(J230,PAR!$O$3:$P$5,2,FALSE),"nincs feladat")</f>
        <v>nincs feladat</v>
      </c>
      <c r="P230" t="str">
        <f>IFERROR(VLOOKUP(G230,PAR!$J$2:$M$19,4),"nincs rovat")</f>
        <v>nincs rovat</v>
      </c>
      <c r="Q230" t="str">
        <f>IF(H230&gt;0,VLOOKUP(H230,PAR!$AA$3:$AC$187,3,FALSE),"nincs főkönyvi számla")</f>
        <v>nincs főkönyvi számla</v>
      </c>
      <c r="R230" t="str">
        <f>IFERROR(VLOOKUP(K230,PAR!$V$3:$X$438,3,FALSE),"000000 - Nincs COFOG")</f>
        <v>000000 - Nincs COFOG</v>
      </c>
      <c r="S230">
        <f t="shared" si="69"/>
        <v>0</v>
      </c>
      <c r="T230">
        <f t="shared" si="70"/>
        <v>0</v>
      </c>
      <c r="U230" t="str">
        <f>IF(Tervezés!F233&gt;0,CONCATENATE(Tervezés!E233," - ",Tervezés!F233,", ",Tervezés!J233),"nincs megjegyzés")</f>
        <v>nincs megjegyzés</v>
      </c>
      <c r="V230" t="str">
        <f t="shared" si="57"/>
        <v>6000</v>
      </c>
      <c r="W230" t="str">
        <f t="shared" si="58"/>
        <v>6000</v>
      </c>
      <c r="X230" t="str">
        <f t="shared" si="59"/>
        <v>00</v>
      </c>
      <c r="Y230" t="str">
        <f t="shared" si="60"/>
        <v>600</v>
      </c>
      <c r="Z230" t="str">
        <f t="shared" si="71"/>
        <v>00</v>
      </c>
      <c r="AA230" t="str">
        <f t="shared" si="61"/>
        <v>600</v>
      </c>
      <c r="AB230" t="str">
        <f t="shared" si="62"/>
        <v>00</v>
      </c>
      <c r="AC230" t="str">
        <f t="shared" si="63"/>
        <v>6000</v>
      </c>
      <c r="AD230" t="str">
        <f t="shared" si="64"/>
        <v>000</v>
      </c>
      <c r="AE230" t="str">
        <f t="shared" si="65"/>
        <v>6000</v>
      </c>
      <c r="AF230" t="str">
        <f t="shared" si="66"/>
        <v>000</v>
      </c>
      <c r="AG230" t="str">
        <f t="shared" si="72"/>
        <v>60000</v>
      </c>
      <c r="AH230" t="str">
        <f t="shared" si="73"/>
        <v>0000</v>
      </c>
      <c r="AI230" t="str">
        <f t="shared" si="74"/>
        <v>60000</v>
      </c>
      <c r="AJ230" t="str">
        <f t="shared" si="75"/>
        <v>0000</v>
      </c>
    </row>
    <row r="231" spans="1:36" x14ac:dyDescent="0.25">
      <c r="A231" s="325">
        <f>Tervezés!B234</f>
        <v>0</v>
      </c>
      <c r="B231">
        <v>60</v>
      </c>
      <c r="C231">
        <f>Tervezés!E234</f>
        <v>0</v>
      </c>
      <c r="D231">
        <f>Tervezés!F234</f>
        <v>0</v>
      </c>
      <c r="E231">
        <f>Tervezés!H234</f>
        <v>0</v>
      </c>
      <c r="F231" t="str">
        <f t="shared" si="67"/>
        <v>0</v>
      </c>
      <c r="G231" t="str">
        <f t="shared" si="68"/>
        <v>0</v>
      </c>
      <c r="H231">
        <f>Tervezés!I234</f>
        <v>0</v>
      </c>
      <c r="I231">
        <f>Tervezés!J234</f>
        <v>0</v>
      </c>
      <c r="J231">
        <f>Tervezés!K234</f>
        <v>0</v>
      </c>
      <c r="K231">
        <f>Tervezés!L234</f>
        <v>0</v>
      </c>
      <c r="L231">
        <f>Tervezés!M234</f>
        <v>0</v>
      </c>
      <c r="M231" s="322" t="str">
        <f>IFERROR(VLOOKUP(A231,PAR!$D$3:$E$53,2,FALSE),"nincs szervezet")</f>
        <v>nincs szervezet</v>
      </c>
      <c r="N231" s="322" t="str">
        <f>VLOOKUP(F231,PAR!$R$3:$S$5,2,FALSE)</f>
        <v>3 - egyik sem</v>
      </c>
      <c r="O231" t="str">
        <f>IFERROR(VLOOKUP(J231,PAR!$O$3:$P$5,2,FALSE),"nincs feladat")</f>
        <v>nincs feladat</v>
      </c>
      <c r="P231" t="str">
        <f>IFERROR(VLOOKUP(G231,PAR!$J$2:$M$19,4),"nincs rovat")</f>
        <v>nincs rovat</v>
      </c>
      <c r="Q231" t="str">
        <f>IF(H231&gt;0,VLOOKUP(H231,PAR!$AA$3:$AC$187,3,FALSE),"nincs főkönyvi számla")</f>
        <v>nincs főkönyvi számla</v>
      </c>
      <c r="R231" t="str">
        <f>IFERROR(VLOOKUP(K231,PAR!$V$3:$X$438,3,FALSE),"000000 - Nincs COFOG")</f>
        <v>000000 - Nincs COFOG</v>
      </c>
      <c r="S231">
        <f t="shared" si="69"/>
        <v>0</v>
      </c>
      <c r="T231">
        <f t="shared" si="70"/>
        <v>0</v>
      </c>
      <c r="U231" t="str">
        <f>IF(Tervezés!F234&gt;0,CONCATENATE(Tervezés!E234," - ",Tervezés!F234,", ",Tervezés!J234),"nincs megjegyzés")</f>
        <v>nincs megjegyzés</v>
      </c>
      <c r="V231" t="str">
        <f t="shared" si="57"/>
        <v>6000</v>
      </c>
      <c r="W231" t="str">
        <f t="shared" si="58"/>
        <v>6000</v>
      </c>
      <c r="X231" t="str">
        <f t="shared" si="59"/>
        <v>00</v>
      </c>
      <c r="Y231" t="str">
        <f t="shared" si="60"/>
        <v>600</v>
      </c>
      <c r="Z231" t="str">
        <f t="shared" si="71"/>
        <v>00</v>
      </c>
      <c r="AA231" t="str">
        <f t="shared" si="61"/>
        <v>600</v>
      </c>
      <c r="AB231" t="str">
        <f t="shared" si="62"/>
        <v>00</v>
      </c>
      <c r="AC231" t="str">
        <f t="shared" si="63"/>
        <v>6000</v>
      </c>
      <c r="AD231" t="str">
        <f t="shared" si="64"/>
        <v>000</v>
      </c>
      <c r="AE231" t="str">
        <f t="shared" si="65"/>
        <v>6000</v>
      </c>
      <c r="AF231" t="str">
        <f t="shared" si="66"/>
        <v>000</v>
      </c>
      <c r="AG231" t="str">
        <f t="shared" si="72"/>
        <v>60000</v>
      </c>
      <c r="AH231" t="str">
        <f t="shared" si="73"/>
        <v>0000</v>
      </c>
      <c r="AI231" t="str">
        <f t="shared" si="74"/>
        <v>60000</v>
      </c>
      <c r="AJ231" t="str">
        <f t="shared" si="75"/>
        <v>0000</v>
      </c>
    </row>
    <row r="232" spans="1:36" x14ac:dyDescent="0.25">
      <c r="A232" s="325">
        <f>Tervezés!B235</f>
        <v>0</v>
      </c>
      <c r="B232">
        <v>60</v>
      </c>
      <c r="C232">
        <f>Tervezés!E235</f>
        <v>0</v>
      </c>
      <c r="D232">
        <f>Tervezés!F235</f>
        <v>0</v>
      </c>
      <c r="E232">
        <f>Tervezés!H235</f>
        <v>0</v>
      </c>
      <c r="F232" t="str">
        <f t="shared" si="67"/>
        <v>0</v>
      </c>
      <c r="G232" t="str">
        <f t="shared" si="68"/>
        <v>0</v>
      </c>
      <c r="H232">
        <f>Tervezés!I235</f>
        <v>0</v>
      </c>
      <c r="I232">
        <f>Tervezés!J235</f>
        <v>0</v>
      </c>
      <c r="J232">
        <f>Tervezés!K235</f>
        <v>0</v>
      </c>
      <c r="K232">
        <f>Tervezés!L235</f>
        <v>0</v>
      </c>
      <c r="L232">
        <f>Tervezés!M235</f>
        <v>0</v>
      </c>
      <c r="M232" s="322" t="str">
        <f>IFERROR(VLOOKUP(A232,PAR!$D$3:$E$53,2,FALSE),"nincs szervezet")</f>
        <v>nincs szervezet</v>
      </c>
      <c r="N232" s="322" t="str">
        <f>VLOOKUP(F232,PAR!$R$3:$S$5,2,FALSE)</f>
        <v>3 - egyik sem</v>
      </c>
      <c r="O232" t="str">
        <f>IFERROR(VLOOKUP(J232,PAR!$O$3:$P$5,2,FALSE),"nincs feladat")</f>
        <v>nincs feladat</v>
      </c>
      <c r="P232" t="str">
        <f>IFERROR(VLOOKUP(G232,PAR!$J$2:$M$19,4),"nincs rovat")</f>
        <v>nincs rovat</v>
      </c>
      <c r="Q232" t="str">
        <f>IF(H232&gt;0,VLOOKUP(H232,PAR!$AA$3:$AC$187,3,FALSE),"nincs főkönyvi számla")</f>
        <v>nincs főkönyvi számla</v>
      </c>
      <c r="R232" t="str">
        <f>IFERROR(VLOOKUP(K232,PAR!$V$3:$X$438,3,FALSE),"000000 - Nincs COFOG")</f>
        <v>000000 - Nincs COFOG</v>
      </c>
      <c r="S232">
        <f t="shared" si="69"/>
        <v>0</v>
      </c>
      <c r="T232">
        <f t="shared" si="70"/>
        <v>0</v>
      </c>
      <c r="U232" t="str">
        <f>IF(Tervezés!F235&gt;0,CONCATENATE(Tervezés!E235," - ",Tervezés!F235,", ",Tervezés!J235),"nincs megjegyzés")</f>
        <v>nincs megjegyzés</v>
      </c>
      <c r="V232" t="str">
        <f t="shared" si="57"/>
        <v>6000</v>
      </c>
      <c r="W232" t="str">
        <f t="shared" si="58"/>
        <v>6000</v>
      </c>
      <c r="X232" t="str">
        <f t="shared" si="59"/>
        <v>00</v>
      </c>
      <c r="Y232" t="str">
        <f t="shared" si="60"/>
        <v>600</v>
      </c>
      <c r="Z232" t="str">
        <f t="shared" si="71"/>
        <v>00</v>
      </c>
      <c r="AA232" t="str">
        <f t="shared" si="61"/>
        <v>600</v>
      </c>
      <c r="AB232" t="str">
        <f t="shared" si="62"/>
        <v>00</v>
      </c>
      <c r="AC232" t="str">
        <f t="shared" si="63"/>
        <v>6000</v>
      </c>
      <c r="AD232" t="str">
        <f t="shared" si="64"/>
        <v>000</v>
      </c>
      <c r="AE232" t="str">
        <f t="shared" si="65"/>
        <v>6000</v>
      </c>
      <c r="AF232" t="str">
        <f t="shared" si="66"/>
        <v>000</v>
      </c>
      <c r="AG232" t="str">
        <f t="shared" si="72"/>
        <v>60000</v>
      </c>
      <c r="AH232" t="str">
        <f t="shared" si="73"/>
        <v>0000</v>
      </c>
      <c r="AI232" t="str">
        <f t="shared" si="74"/>
        <v>60000</v>
      </c>
      <c r="AJ232" t="str">
        <f t="shared" si="75"/>
        <v>0000</v>
      </c>
    </row>
    <row r="233" spans="1:36" x14ac:dyDescent="0.25">
      <c r="A233" s="325">
        <f>Tervezés!B236</f>
        <v>0</v>
      </c>
      <c r="B233">
        <v>60</v>
      </c>
      <c r="C233">
        <f>Tervezés!E236</f>
        <v>0</v>
      </c>
      <c r="D233">
        <f>Tervezés!F236</f>
        <v>0</v>
      </c>
      <c r="E233">
        <f>Tervezés!H236</f>
        <v>0</v>
      </c>
      <c r="F233" t="str">
        <f t="shared" si="67"/>
        <v>0</v>
      </c>
      <c r="G233" t="str">
        <f t="shared" si="68"/>
        <v>0</v>
      </c>
      <c r="H233">
        <f>Tervezés!I236</f>
        <v>0</v>
      </c>
      <c r="I233">
        <f>Tervezés!J236</f>
        <v>0</v>
      </c>
      <c r="J233">
        <f>Tervezés!K236</f>
        <v>0</v>
      </c>
      <c r="K233">
        <f>Tervezés!L236</f>
        <v>0</v>
      </c>
      <c r="L233">
        <f>Tervezés!M236</f>
        <v>0</v>
      </c>
      <c r="M233" s="322" t="str">
        <f>IFERROR(VLOOKUP(A233,PAR!$D$3:$E$53,2,FALSE),"nincs szervezet")</f>
        <v>nincs szervezet</v>
      </c>
      <c r="N233" s="322" t="str">
        <f>VLOOKUP(F233,PAR!$R$3:$S$5,2,FALSE)</f>
        <v>3 - egyik sem</v>
      </c>
      <c r="O233" t="str">
        <f>IFERROR(VLOOKUP(J233,PAR!$O$3:$P$5,2,FALSE),"nincs feladat")</f>
        <v>nincs feladat</v>
      </c>
      <c r="P233" t="str">
        <f>IFERROR(VLOOKUP(G233,PAR!$J$2:$M$19,4),"nincs rovat")</f>
        <v>nincs rovat</v>
      </c>
      <c r="Q233" t="str">
        <f>IF(H233&gt;0,VLOOKUP(H233,PAR!$AA$3:$AC$187,3,FALSE),"nincs főkönyvi számla")</f>
        <v>nincs főkönyvi számla</v>
      </c>
      <c r="R233" t="str">
        <f>IFERROR(VLOOKUP(K233,PAR!$V$3:$X$438,3,FALSE),"000000 - Nincs COFOG")</f>
        <v>000000 - Nincs COFOG</v>
      </c>
      <c r="S233">
        <f t="shared" si="69"/>
        <v>0</v>
      </c>
      <c r="T233">
        <f t="shared" si="70"/>
        <v>0</v>
      </c>
      <c r="U233" t="str">
        <f>IF(Tervezés!F236&gt;0,CONCATENATE(Tervezés!E236," - ",Tervezés!F236,", ",Tervezés!J236),"nincs megjegyzés")</f>
        <v>nincs megjegyzés</v>
      </c>
      <c r="V233" t="str">
        <f t="shared" si="57"/>
        <v>6000</v>
      </c>
      <c r="W233" t="str">
        <f t="shared" si="58"/>
        <v>6000</v>
      </c>
      <c r="X233" t="str">
        <f t="shared" si="59"/>
        <v>00</v>
      </c>
      <c r="Y233" t="str">
        <f t="shared" si="60"/>
        <v>600</v>
      </c>
      <c r="Z233" t="str">
        <f t="shared" si="71"/>
        <v>00</v>
      </c>
      <c r="AA233" t="str">
        <f t="shared" si="61"/>
        <v>600</v>
      </c>
      <c r="AB233" t="str">
        <f t="shared" si="62"/>
        <v>00</v>
      </c>
      <c r="AC233" t="str">
        <f t="shared" si="63"/>
        <v>6000</v>
      </c>
      <c r="AD233" t="str">
        <f t="shared" si="64"/>
        <v>000</v>
      </c>
      <c r="AE233" t="str">
        <f t="shared" si="65"/>
        <v>6000</v>
      </c>
      <c r="AF233" t="str">
        <f t="shared" si="66"/>
        <v>000</v>
      </c>
      <c r="AG233" t="str">
        <f t="shared" si="72"/>
        <v>60000</v>
      </c>
      <c r="AH233" t="str">
        <f t="shared" si="73"/>
        <v>0000</v>
      </c>
      <c r="AI233" t="str">
        <f t="shared" si="74"/>
        <v>60000</v>
      </c>
      <c r="AJ233" t="str">
        <f t="shared" si="75"/>
        <v>0000</v>
      </c>
    </row>
    <row r="234" spans="1:36" x14ac:dyDescent="0.25">
      <c r="A234" s="325">
        <f>Tervezés!B237</f>
        <v>0</v>
      </c>
      <c r="B234">
        <v>60</v>
      </c>
      <c r="C234">
        <f>Tervezés!E237</f>
        <v>0</v>
      </c>
      <c r="D234">
        <f>Tervezés!F237</f>
        <v>0</v>
      </c>
      <c r="E234">
        <f>Tervezés!H237</f>
        <v>0</v>
      </c>
      <c r="F234" t="str">
        <f t="shared" si="67"/>
        <v>0</v>
      </c>
      <c r="G234" t="str">
        <f t="shared" si="68"/>
        <v>0</v>
      </c>
      <c r="H234">
        <f>Tervezés!I237</f>
        <v>0</v>
      </c>
      <c r="I234">
        <f>Tervezés!J237</f>
        <v>0</v>
      </c>
      <c r="J234">
        <f>Tervezés!K237</f>
        <v>0</v>
      </c>
      <c r="K234">
        <f>Tervezés!L237</f>
        <v>0</v>
      </c>
      <c r="L234">
        <f>Tervezés!M237</f>
        <v>0</v>
      </c>
      <c r="M234" s="322" t="str">
        <f>IFERROR(VLOOKUP(A234,PAR!$D$3:$E$53,2,FALSE),"nincs szervezet")</f>
        <v>nincs szervezet</v>
      </c>
      <c r="N234" s="322" t="str">
        <f>VLOOKUP(F234,PAR!$R$3:$S$5,2,FALSE)</f>
        <v>3 - egyik sem</v>
      </c>
      <c r="O234" t="str">
        <f>IFERROR(VLOOKUP(J234,PAR!$O$3:$P$5,2,FALSE),"nincs feladat")</f>
        <v>nincs feladat</v>
      </c>
      <c r="P234" t="str">
        <f>IFERROR(VLOOKUP(G234,PAR!$J$2:$M$19,4),"nincs rovat")</f>
        <v>nincs rovat</v>
      </c>
      <c r="Q234" t="str">
        <f>IF(H234&gt;0,VLOOKUP(H234,PAR!$AA$3:$AC$187,3,FALSE),"nincs főkönyvi számla")</f>
        <v>nincs főkönyvi számla</v>
      </c>
      <c r="R234" t="str">
        <f>IFERROR(VLOOKUP(K234,PAR!$V$3:$X$438,3,FALSE),"000000 - Nincs COFOG")</f>
        <v>000000 - Nincs COFOG</v>
      </c>
      <c r="S234">
        <f t="shared" si="69"/>
        <v>0</v>
      </c>
      <c r="T234">
        <f t="shared" si="70"/>
        <v>0</v>
      </c>
      <c r="U234" t="str">
        <f>IF(Tervezés!F237&gt;0,CONCATENATE(Tervezés!E237," - ",Tervezés!F237,", ",Tervezés!J237),"nincs megjegyzés")</f>
        <v>nincs megjegyzés</v>
      </c>
      <c r="V234" t="str">
        <f t="shared" si="57"/>
        <v>6000</v>
      </c>
      <c r="W234" t="str">
        <f t="shared" si="58"/>
        <v>6000</v>
      </c>
      <c r="X234" t="str">
        <f t="shared" si="59"/>
        <v>00</v>
      </c>
      <c r="Y234" t="str">
        <f t="shared" si="60"/>
        <v>600</v>
      </c>
      <c r="Z234" t="str">
        <f t="shared" si="71"/>
        <v>00</v>
      </c>
      <c r="AA234" t="str">
        <f t="shared" si="61"/>
        <v>600</v>
      </c>
      <c r="AB234" t="str">
        <f t="shared" si="62"/>
        <v>00</v>
      </c>
      <c r="AC234" t="str">
        <f t="shared" si="63"/>
        <v>6000</v>
      </c>
      <c r="AD234" t="str">
        <f t="shared" si="64"/>
        <v>000</v>
      </c>
      <c r="AE234" t="str">
        <f t="shared" si="65"/>
        <v>6000</v>
      </c>
      <c r="AF234" t="str">
        <f t="shared" si="66"/>
        <v>000</v>
      </c>
      <c r="AG234" t="str">
        <f t="shared" si="72"/>
        <v>60000</v>
      </c>
      <c r="AH234" t="str">
        <f t="shared" si="73"/>
        <v>0000</v>
      </c>
      <c r="AI234" t="str">
        <f t="shared" si="74"/>
        <v>60000</v>
      </c>
      <c r="AJ234" t="str">
        <f t="shared" si="75"/>
        <v>0000</v>
      </c>
    </row>
    <row r="235" spans="1:36" x14ac:dyDescent="0.25">
      <c r="A235" s="325">
        <f>Tervezés!B238</f>
        <v>0</v>
      </c>
      <c r="B235">
        <v>60</v>
      </c>
      <c r="C235">
        <f>Tervezés!E238</f>
        <v>0</v>
      </c>
      <c r="D235">
        <f>Tervezés!F238</f>
        <v>0</v>
      </c>
      <c r="E235">
        <f>Tervezés!H238</f>
        <v>0</v>
      </c>
      <c r="F235" t="str">
        <f t="shared" si="67"/>
        <v>0</v>
      </c>
      <c r="G235" t="str">
        <f t="shared" si="68"/>
        <v>0</v>
      </c>
      <c r="H235">
        <f>Tervezés!I238</f>
        <v>0</v>
      </c>
      <c r="I235">
        <f>Tervezés!J238</f>
        <v>0</v>
      </c>
      <c r="J235">
        <f>Tervezés!K238</f>
        <v>0</v>
      </c>
      <c r="K235">
        <f>Tervezés!L238</f>
        <v>0</v>
      </c>
      <c r="L235">
        <f>Tervezés!M238</f>
        <v>0</v>
      </c>
      <c r="M235" s="322" t="str">
        <f>IFERROR(VLOOKUP(A235,PAR!$D$3:$E$53,2,FALSE),"nincs szervezet")</f>
        <v>nincs szervezet</v>
      </c>
      <c r="N235" s="322" t="str">
        <f>VLOOKUP(F235,PAR!$R$3:$S$5,2,FALSE)</f>
        <v>3 - egyik sem</v>
      </c>
      <c r="O235" t="str">
        <f>IFERROR(VLOOKUP(J235,PAR!$O$3:$P$5,2,FALSE),"nincs feladat")</f>
        <v>nincs feladat</v>
      </c>
      <c r="P235" t="str">
        <f>IFERROR(VLOOKUP(G235,PAR!$J$2:$M$19,4),"nincs rovat")</f>
        <v>nincs rovat</v>
      </c>
      <c r="Q235" t="str">
        <f>IF(H235&gt;0,VLOOKUP(H235,PAR!$AA$3:$AC$187,3,FALSE),"nincs főkönyvi számla")</f>
        <v>nincs főkönyvi számla</v>
      </c>
      <c r="R235" t="str">
        <f>IFERROR(VLOOKUP(K235,PAR!$V$3:$X$438,3,FALSE),"000000 - Nincs COFOG")</f>
        <v>000000 - Nincs COFOG</v>
      </c>
      <c r="S235">
        <f t="shared" si="69"/>
        <v>0</v>
      </c>
      <c r="T235">
        <f t="shared" si="70"/>
        <v>0</v>
      </c>
      <c r="U235" t="str">
        <f>IF(Tervezés!F238&gt;0,CONCATENATE(Tervezés!E238," - ",Tervezés!F238,", ",Tervezés!J238),"nincs megjegyzés")</f>
        <v>nincs megjegyzés</v>
      </c>
      <c r="V235" t="str">
        <f t="shared" si="57"/>
        <v>6000</v>
      </c>
      <c r="W235" t="str">
        <f t="shared" si="58"/>
        <v>6000</v>
      </c>
      <c r="X235" t="str">
        <f t="shared" si="59"/>
        <v>00</v>
      </c>
      <c r="Y235" t="str">
        <f t="shared" si="60"/>
        <v>600</v>
      </c>
      <c r="Z235" t="str">
        <f t="shared" si="71"/>
        <v>00</v>
      </c>
      <c r="AA235" t="str">
        <f t="shared" si="61"/>
        <v>600</v>
      </c>
      <c r="AB235" t="str">
        <f t="shared" si="62"/>
        <v>00</v>
      </c>
      <c r="AC235" t="str">
        <f t="shared" si="63"/>
        <v>6000</v>
      </c>
      <c r="AD235" t="str">
        <f t="shared" si="64"/>
        <v>000</v>
      </c>
      <c r="AE235" t="str">
        <f t="shared" si="65"/>
        <v>6000</v>
      </c>
      <c r="AF235" t="str">
        <f t="shared" si="66"/>
        <v>000</v>
      </c>
      <c r="AG235" t="str">
        <f t="shared" si="72"/>
        <v>60000</v>
      </c>
      <c r="AH235" t="str">
        <f t="shared" si="73"/>
        <v>0000</v>
      </c>
      <c r="AI235" t="str">
        <f t="shared" si="74"/>
        <v>60000</v>
      </c>
      <c r="AJ235" t="str">
        <f t="shared" si="75"/>
        <v>0000</v>
      </c>
    </row>
    <row r="236" spans="1:36" x14ac:dyDescent="0.25">
      <c r="A236" s="325">
        <f>Tervezés!B239</f>
        <v>0</v>
      </c>
      <c r="B236">
        <v>60</v>
      </c>
      <c r="C236">
        <f>Tervezés!E239</f>
        <v>0</v>
      </c>
      <c r="D236">
        <f>Tervezés!F239</f>
        <v>0</v>
      </c>
      <c r="E236">
        <f>Tervezés!H239</f>
        <v>0</v>
      </c>
      <c r="F236" t="str">
        <f t="shared" si="67"/>
        <v>0</v>
      </c>
      <c r="G236" t="str">
        <f t="shared" si="68"/>
        <v>0</v>
      </c>
      <c r="H236">
        <f>Tervezés!I239</f>
        <v>0</v>
      </c>
      <c r="I236">
        <f>Tervezés!J239</f>
        <v>0</v>
      </c>
      <c r="J236">
        <f>Tervezés!K239</f>
        <v>0</v>
      </c>
      <c r="K236">
        <f>Tervezés!L239</f>
        <v>0</v>
      </c>
      <c r="L236">
        <f>Tervezés!M239</f>
        <v>0</v>
      </c>
      <c r="M236" s="322" t="str">
        <f>IFERROR(VLOOKUP(A236,PAR!$D$3:$E$53,2,FALSE),"nincs szervezet")</f>
        <v>nincs szervezet</v>
      </c>
      <c r="N236" s="322" t="str">
        <f>VLOOKUP(F236,PAR!$R$3:$S$5,2,FALSE)</f>
        <v>3 - egyik sem</v>
      </c>
      <c r="O236" t="str">
        <f>IFERROR(VLOOKUP(J236,PAR!$O$3:$P$5,2,FALSE),"nincs feladat")</f>
        <v>nincs feladat</v>
      </c>
      <c r="P236" t="str">
        <f>IFERROR(VLOOKUP(G236,PAR!$J$2:$M$19,4),"nincs rovat")</f>
        <v>nincs rovat</v>
      </c>
      <c r="Q236" t="str">
        <f>IF(H236&gt;0,VLOOKUP(H236,PAR!$AA$3:$AC$187,3,FALSE),"nincs főkönyvi számla")</f>
        <v>nincs főkönyvi számla</v>
      </c>
      <c r="R236" t="str">
        <f>IFERROR(VLOOKUP(K236,PAR!$V$3:$X$438,3,FALSE),"000000 - Nincs COFOG")</f>
        <v>000000 - Nincs COFOG</v>
      </c>
      <c r="S236">
        <f t="shared" si="69"/>
        <v>0</v>
      </c>
      <c r="T236">
        <f t="shared" si="70"/>
        <v>0</v>
      </c>
      <c r="U236" t="str">
        <f>IF(Tervezés!F239&gt;0,CONCATENATE(Tervezés!E239," - ",Tervezés!F239,", ",Tervezés!J239),"nincs megjegyzés")</f>
        <v>nincs megjegyzés</v>
      </c>
      <c r="V236" t="str">
        <f t="shared" si="57"/>
        <v>6000</v>
      </c>
      <c r="W236" t="str">
        <f t="shared" si="58"/>
        <v>6000</v>
      </c>
      <c r="X236" t="str">
        <f t="shared" si="59"/>
        <v>00</v>
      </c>
      <c r="Y236" t="str">
        <f t="shared" si="60"/>
        <v>600</v>
      </c>
      <c r="Z236" t="str">
        <f t="shared" si="71"/>
        <v>00</v>
      </c>
      <c r="AA236" t="str">
        <f t="shared" si="61"/>
        <v>600</v>
      </c>
      <c r="AB236" t="str">
        <f t="shared" si="62"/>
        <v>00</v>
      </c>
      <c r="AC236" t="str">
        <f t="shared" si="63"/>
        <v>6000</v>
      </c>
      <c r="AD236" t="str">
        <f t="shared" si="64"/>
        <v>000</v>
      </c>
      <c r="AE236" t="str">
        <f t="shared" si="65"/>
        <v>6000</v>
      </c>
      <c r="AF236" t="str">
        <f t="shared" si="66"/>
        <v>000</v>
      </c>
      <c r="AG236" t="str">
        <f t="shared" si="72"/>
        <v>60000</v>
      </c>
      <c r="AH236" t="str">
        <f t="shared" si="73"/>
        <v>0000</v>
      </c>
      <c r="AI236" t="str">
        <f t="shared" si="74"/>
        <v>60000</v>
      </c>
      <c r="AJ236" t="str">
        <f t="shared" si="75"/>
        <v>0000</v>
      </c>
    </row>
    <row r="237" spans="1:36" x14ac:dyDescent="0.25">
      <c r="A237" s="325">
        <f>Tervezés!B240</f>
        <v>0</v>
      </c>
      <c r="B237">
        <v>60</v>
      </c>
      <c r="C237">
        <f>Tervezés!E240</f>
        <v>0</v>
      </c>
      <c r="D237">
        <f>Tervezés!F240</f>
        <v>0</v>
      </c>
      <c r="E237">
        <f>Tervezés!H240</f>
        <v>0</v>
      </c>
      <c r="F237" t="str">
        <f t="shared" si="67"/>
        <v>0</v>
      </c>
      <c r="G237" t="str">
        <f t="shared" si="68"/>
        <v>0</v>
      </c>
      <c r="H237">
        <f>Tervezés!I240</f>
        <v>0</v>
      </c>
      <c r="I237">
        <f>Tervezés!J240</f>
        <v>0</v>
      </c>
      <c r="J237">
        <f>Tervezés!K240</f>
        <v>0</v>
      </c>
      <c r="K237">
        <f>Tervezés!L240</f>
        <v>0</v>
      </c>
      <c r="L237">
        <f>Tervezés!M240</f>
        <v>0</v>
      </c>
      <c r="M237" s="322" t="str">
        <f>IFERROR(VLOOKUP(A237,PAR!$D$3:$E$53,2,FALSE),"nincs szervezet")</f>
        <v>nincs szervezet</v>
      </c>
      <c r="N237" s="322" t="str">
        <f>VLOOKUP(F237,PAR!$R$3:$S$5,2,FALSE)</f>
        <v>3 - egyik sem</v>
      </c>
      <c r="O237" t="str">
        <f>IFERROR(VLOOKUP(J237,PAR!$O$3:$P$5,2,FALSE),"nincs feladat")</f>
        <v>nincs feladat</v>
      </c>
      <c r="P237" t="str">
        <f>IFERROR(VLOOKUP(G237,PAR!$J$2:$M$19,4),"nincs rovat")</f>
        <v>nincs rovat</v>
      </c>
      <c r="Q237" t="str">
        <f>IF(H237&gt;0,VLOOKUP(H237,PAR!$AA$3:$AC$187,3,FALSE),"nincs főkönyvi számla")</f>
        <v>nincs főkönyvi számla</v>
      </c>
      <c r="R237" t="str">
        <f>IFERROR(VLOOKUP(K237,PAR!$V$3:$X$438,3,FALSE),"000000 - Nincs COFOG")</f>
        <v>000000 - Nincs COFOG</v>
      </c>
      <c r="S237">
        <f t="shared" si="69"/>
        <v>0</v>
      </c>
      <c r="T237">
        <f t="shared" si="70"/>
        <v>0</v>
      </c>
      <c r="U237" t="str">
        <f>IF(Tervezés!F240&gt;0,CONCATENATE(Tervezés!E240," - ",Tervezés!F240,", ",Tervezés!J240),"nincs megjegyzés")</f>
        <v>nincs megjegyzés</v>
      </c>
      <c r="V237" t="str">
        <f t="shared" si="57"/>
        <v>6000</v>
      </c>
      <c r="W237" t="str">
        <f t="shared" si="58"/>
        <v>6000</v>
      </c>
      <c r="X237" t="str">
        <f t="shared" si="59"/>
        <v>00</v>
      </c>
      <c r="Y237" t="str">
        <f t="shared" si="60"/>
        <v>600</v>
      </c>
      <c r="Z237" t="str">
        <f t="shared" si="71"/>
        <v>00</v>
      </c>
      <c r="AA237" t="str">
        <f t="shared" si="61"/>
        <v>600</v>
      </c>
      <c r="AB237" t="str">
        <f t="shared" si="62"/>
        <v>00</v>
      </c>
      <c r="AC237" t="str">
        <f t="shared" si="63"/>
        <v>6000</v>
      </c>
      <c r="AD237" t="str">
        <f t="shared" si="64"/>
        <v>000</v>
      </c>
      <c r="AE237" t="str">
        <f t="shared" si="65"/>
        <v>6000</v>
      </c>
      <c r="AF237" t="str">
        <f t="shared" si="66"/>
        <v>000</v>
      </c>
      <c r="AG237" t="str">
        <f t="shared" si="72"/>
        <v>60000</v>
      </c>
      <c r="AH237" t="str">
        <f t="shared" si="73"/>
        <v>0000</v>
      </c>
      <c r="AI237" t="str">
        <f t="shared" si="74"/>
        <v>60000</v>
      </c>
      <c r="AJ237" t="str">
        <f t="shared" si="75"/>
        <v>0000</v>
      </c>
    </row>
    <row r="238" spans="1:36" x14ac:dyDescent="0.25">
      <c r="A238" s="325">
        <f>Tervezés!B241</f>
        <v>0</v>
      </c>
      <c r="B238">
        <v>60</v>
      </c>
      <c r="C238">
        <f>Tervezés!E241</f>
        <v>0</v>
      </c>
      <c r="D238">
        <f>Tervezés!F241</f>
        <v>0</v>
      </c>
      <c r="E238">
        <f>Tervezés!H241</f>
        <v>0</v>
      </c>
      <c r="F238" t="str">
        <f t="shared" si="67"/>
        <v>0</v>
      </c>
      <c r="G238" t="str">
        <f t="shared" si="68"/>
        <v>0</v>
      </c>
      <c r="H238">
        <f>Tervezés!I241</f>
        <v>0</v>
      </c>
      <c r="I238">
        <f>Tervezés!J241</f>
        <v>0</v>
      </c>
      <c r="J238">
        <f>Tervezés!K241</f>
        <v>0</v>
      </c>
      <c r="K238">
        <f>Tervezés!L241</f>
        <v>0</v>
      </c>
      <c r="L238">
        <f>Tervezés!M241</f>
        <v>0</v>
      </c>
      <c r="M238" s="322" t="str">
        <f>IFERROR(VLOOKUP(A238,PAR!$D$3:$E$53,2,FALSE),"nincs szervezet")</f>
        <v>nincs szervezet</v>
      </c>
      <c r="N238" s="322" t="str">
        <f>VLOOKUP(F238,PAR!$R$3:$S$5,2,FALSE)</f>
        <v>3 - egyik sem</v>
      </c>
      <c r="O238" t="str">
        <f>IFERROR(VLOOKUP(J238,PAR!$O$3:$P$5,2,FALSE),"nincs feladat")</f>
        <v>nincs feladat</v>
      </c>
      <c r="P238" t="str">
        <f>IFERROR(VLOOKUP(G238,PAR!$J$2:$M$19,4),"nincs rovat")</f>
        <v>nincs rovat</v>
      </c>
      <c r="Q238" t="str">
        <f>IF(H238&gt;0,VLOOKUP(H238,PAR!$AA$3:$AC$187,3,FALSE),"nincs főkönyvi számla")</f>
        <v>nincs főkönyvi számla</v>
      </c>
      <c r="R238" t="str">
        <f>IFERROR(VLOOKUP(K238,PAR!$V$3:$X$438,3,FALSE),"000000 - Nincs COFOG")</f>
        <v>000000 - Nincs COFOG</v>
      </c>
      <c r="S238">
        <f t="shared" si="69"/>
        <v>0</v>
      </c>
      <c r="T238">
        <f t="shared" si="70"/>
        <v>0</v>
      </c>
      <c r="U238" t="str">
        <f>IF(Tervezés!F241&gt;0,CONCATENATE(Tervezés!E241," - ",Tervezés!F241,", ",Tervezés!J241),"nincs megjegyzés")</f>
        <v>nincs megjegyzés</v>
      </c>
      <c r="V238" t="str">
        <f t="shared" si="57"/>
        <v>6000</v>
      </c>
      <c r="W238" t="str">
        <f t="shared" si="58"/>
        <v>6000</v>
      </c>
      <c r="X238" t="str">
        <f t="shared" si="59"/>
        <v>00</v>
      </c>
      <c r="Y238" t="str">
        <f t="shared" si="60"/>
        <v>600</v>
      </c>
      <c r="Z238" t="str">
        <f t="shared" si="71"/>
        <v>00</v>
      </c>
      <c r="AA238" t="str">
        <f t="shared" si="61"/>
        <v>600</v>
      </c>
      <c r="AB238" t="str">
        <f t="shared" si="62"/>
        <v>00</v>
      </c>
      <c r="AC238" t="str">
        <f t="shared" si="63"/>
        <v>6000</v>
      </c>
      <c r="AD238" t="str">
        <f t="shared" si="64"/>
        <v>000</v>
      </c>
      <c r="AE238" t="str">
        <f t="shared" si="65"/>
        <v>6000</v>
      </c>
      <c r="AF238" t="str">
        <f t="shared" si="66"/>
        <v>000</v>
      </c>
      <c r="AG238" t="str">
        <f t="shared" si="72"/>
        <v>60000</v>
      </c>
      <c r="AH238" t="str">
        <f t="shared" si="73"/>
        <v>0000</v>
      </c>
      <c r="AI238" t="str">
        <f t="shared" si="74"/>
        <v>60000</v>
      </c>
      <c r="AJ238" t="str">
        <f t="shared" si="75"/>
        <v>0000</v>
      </c>
    </row>
    <row r="239" spans="1:36" x14ac:dyDescent="0.25">
      <c r="A239" s="325">
        <f>Tervezés!B242</f>
        <v>0</v>
      </c>
      <c r="B239">
        <v>60</v>
      </c>
      <c r="C239">
        <f>Tervezés!E242</f>
        <v>0</v>
      </c>
      <c r="D239">
        <f>Tervezés!F242</f>
        <v>0</v>
      </c>
      <c r="E239">
        <f>Tervezés!H242</f>
        <v>0</v>
      </c>
      <c r="F239" t="str">
        <f t="shared" si="67"/>
        <v>0</v>
      </c>
      <c r="G239" t="str">
        <f t="shared" si="68"/>
        <v>0</v>
      </c>
      <c r="H239">
        <f>Tervezés!I242</f>
        <v>0</v>
      </c>
      <c r="I239">
        <f>Tervezés!J242</f>
        <v>0</v>
      </c>
      <c r="J239">
        <f>Tervezés!K242</f>
        <v>0</v>
      </c>
      <c r="K239">
        <f>Tervezés!L242</f>
        <v>0</v>
      </c>
      <c r="L239">
        <f>Tervezés!M242</f>
        <v>0</v>
      </c>
      <c r="M239" s="322" t="str">
        <f>IFERROR(VLOOKUP(A239,PAR!$D$3:$E$53,2,FALSE),"nincs szervezet")</f>
        <v>nincs szervezet</v>
      </c>
      <c r="N239" s="322" t="str">
        <f>VLOOKUP(F239,PAR!$R$3:$S$5,2,FALSE)</f>
        <v>3 - egyik sem</v>
      </c>
      <c r="O239" t="str">
        <f>IFERROR(VLOOKUP(J239,PAR!$O$3:$P$5,2,FALSE),"nincs feladat")</f>
        <v>nincs feladat</v>
      </c>
      <c r="P239" t="str">
        <f>IFERROR(VLOOKUP(G239,PAR!$J$2:$M$19,4),"nincs rovat")</f>
        <v>nincs rovat</v>
      </c>
      <c r="Q239" t="str">
        <f>IF(H239&gt;0,VLOOKUP(H239,PAR!$AA$3:$AC$187,3,FALSE),"nincs főkönyvi számla")</f>
        <v>nincs főkönyvi számla</v>
      </c>
      <c r="R239" t="str">
        <f>IFERROR(VLOOKUP(K239,PAR!$V$3:$X$438,3,FALSE),"000000 - Nincs COFOG")</f>
        <v>000000 - Nincs COFOG</v>
      </c>
      <c r="S239">
        <f t="shared" si="69"/>
        <v>0</v>
      </c>
      <c r="T239">
        <f t="shared" si="70"/>
        <v>0</v>
      </c>
      <c r="U239" t="str">
        <f>IF(Tervezés!F242&gt;0,CONCATENATE(Tervezés!E242," - ",Tervezés!F242,", ",Tervezés!J242),"nincs megjegyzés")</f>
        <v>nincs megjegyzés</v>
      </c>
      <c r="V239" t="str">
        <f t="shared" si="57"/>
        <v>6000</v>
      </c>
      <c r="W239" t="str">
        <f t="shared" si="58"/>
        <v>6000</v>
      </c>
      <c r="X239" t="str">
        <f t="shared" si="59"/>
        <v>00</v>
      </c>
      <c r="Y239" t="str">
        <f t="shared" si="60"/>
        <v>600</v>
      </c>
      <c r="Z239" t="str">
        <f t="shared" si="71"/>
        <v>00</v>
      </c>
      <c r="AA239" t="str">
        <f t="shared" si="61"/>
        <v>600</v>
      </c>
      <c r="AB239" t="str">
        <f t="shared" si="62"/>
        <v>00</v>
      </c>
      <c r="AC239" t="str">
        <f t="shared" si="63"/>
        <v>6000</v>
      </c>
      <c r="AD239" t="str">
        <f t="shared" si="64"/>
        <v>000</v>
      </c>
      <c r="AE239" t="str">
        <f t="shared" si="65"/>
        <v>6000</v>
      </c>
      <c r="AF239" t="str">
        <f t="shared" si="66"/>
        <v>000</v>
      </c>
      <c r="AG239" t="str">
        <f t="shared" si="72"/>
        <v>60000</v>
      </c>
      <c r="AH239" t="str">
        <f t="shared" si="73"/>
        <v>0000</v>
      </c>
      <c r="AI239" t="str">
        <f t="shared" si="74"/>
        <v>60000</v>
      </c>
      <c r="AJ239" t="str">
        <f t="shared" si="75"/>
        <v>0000</v>
      </c>
    </row>
    <row r="240" spans="1:36" x14ac:dyDescent="0.25">
      <c r="A240" s="325">
        <f>Tervezés!B243</f>
        <v>0</v>
      </c>
      <c r="B240">
        <v>60</v>
      </c>
      <c r="C240">
        <f>Tervezés!E243</f>
        <v>0</v>
      </c>
      <c r="D240">
        <f>Tervezés!F243</f>
        <v>0</v>
      </c>
      <c r="E240">
        <f>Tervezés!H243</f>
        <v>0</v>
      </c>
      <c r="F240" t="str">
        <f t="shared" si="67"/>
        <v>0</v>
      </c>
      <c r="G240" t="str">
        <f t="shared" si="68"/>
        <v>0</v>
      </c>
      <c r="H240">
        <f>Tervezés!I243</f>
        <v>0</v>
      </c>
      <c r="I240">
        <f>Tervezés!J243</f>
        <v>0</v>
      </c>
      <c r="J240">
        <f>Tervezés!K243</f>
        <v>0</v>
      </c>
      <c r="K240">
        <f>Tervezés!L243</f>
        <v>0</v>
      </c>
      <c r="L240">
        <f>Tervezés!M243</f>
        <v>0</v>
      </c>
      <c r="M240" s="322" t="str">
        <f>IFERROR(VLOOKUP(A240,PAR!$D$3:$E$53,2,FALSE),"nincs szervezet")</f>
        <v>nincs szervezet</v>
      </c>
      <c r="N240" s="322" t="str">
        <f>VLOOKUP(F240,PAR!$R$3:$S$5,2,FALSE)</f>
        <v>3 - egyik sem</v>
      </c>
      <c r="O240" t="str">
        <f>IFERROR(VLOOKUP(J240,PAR!$O$3:$P$5,2,FALSE),"nincs feladat")</f>
        <v>nincs feladat</v>
      </c>
      <c r="P240" t="str">
        <f>IFERROR(VLOOKUP(G240,PAR!$J$2:$M$19,4),"nincs rovat")</f>
        <v>nincs rovat</v>
      </c>
      <c r="Q240" t="str">
        <f>IF(H240&gt;0,VLOOKUP(H240,PAR!$AA$3:$AC$187,3,FALSE),"nincs főkönyvi számla")</f>
        <v>nincs főkönyvi számla</v>
      </c>
      <c r="R240" t="str">
        <f>IFERROR(VLOOKUP(K240,PAR!$V$3:$X$438,3,FALSE),"000000 - Nincs COFOG")</f>
        <v>000000 - Nincs COFOG</v>
      </c>
      <c r="S240">
        <f t="shared" si="69"/>
        <v>0</v>
      </c>
      <c r="T240">
        <f t="shared" si="70"/>
        <v>0</v>
      </c>
      <c r="U240" t="str">
        <f>IF(Tervezés!F243&gt;0,CONCATENATE(Tervezés!E243," - ",Tervezés!F243,", ",Tervezés!J243),"nincs megjegyzés")</f>
        <v>nincs megjegyzés</v>
      </c>
      <c r="V240" t="str">
        <f t="shared" si="57"/>
        <v>6000</v>
      </c>
      <c r="W240" t="str">
        <f t="shared" si="58"/>
        <v>6000</v>
      </c>
      <c r="X240" t="str">
        <f t="shared" si="59"/>
        <v>00</v>
      </c>
      <c r="Y240" t="str">
        <f t="shared" si="60"/>
        <v>600</v>
      </c>
      <c r="Z240" t="str">
        <f t="shared" si="71"/>
        <v>00</v>
      </c>
      <c r="AA240" t="str">
        <f t="shared" si="61"/>
        <v>600</v>
      </c>
      <c r="AB240" t="str">
        <f t="shared" si="62"/>
        <v>00</v>
      </c>
      <c r="AC240" t="str">
        <f t="shared" si="63"/>
        <v>6000</v>
      </c>
      <c r="AD240" t="str">
        <f t="shared" si="64"/>
        <v>000</v>
      </c>
      <c r="AE240" t="str">
        <f t="shared" si="65"/>
        <v>6000</v>
      </c>
      <c r="AF240" t="str">
        <f t="shared" si="66"/>
        <v>000</v>
      </c>
      <c r="AG240" t="str">
        <f t="shared" si="72"/>
        <v>60000</v>
      </c>
      <c r="AH240" t="str">
        <f t="shared" si="73"/>
        <v>0000</v>
      </c>
      <c r="AI240" t="str">
        <f t="shared" si="74"/>
        <v>60000</v>
      </c>
      <c r="AJ240" t="str">
        <f t="shared" si="75"/>
        <v>0000</v>
      </c>
    </row>
    <row r="241" spans="1:36" x14ac:dyDescent="0.25">
      <c r="A241" s="325">
        <f>Tervezés!B244</f>
        <v>0</v>
      </c>
      <c r="B241">
        <v>60</v>
      </c>
      <c r="C241">
        <f>Tervezés!E244</f>
        <v>0</v>
      </c>
      <c r="D241">
        <f>Tervezés!F244</f>
        <v>0</v>
      </c>
      <c r="E241">
        <f>Tervezés!H244</f>
        <v>0</v>
      </c>
      <c r="F241" t="str">
        <f t="shared" si="67"/>
        <v>0</v>
      </c>
      <c r="G241" t="str">
        <f t="shared" si="68"/>
        <v>0</v>
      </c>
      <c r="H241">
        <f>Tervezés!I244</f>
        <v>0</v>
      </c>
      <c r="I241">
        <f>Tervezés!J244</f>
        <v>0</v>
      </c>
      <c r="J241">
        <f>Tervezés!K244</f>
        <v>0</v>
      </c>
      <c r="K241">
        <f>Tervezés!L244</f>
        <v>0</v>
      </c>
      <c r="L241">
        <f>Tervezés!M244</f>
        <v>0</v>
      </c>
      <c r="M241" s="322" t="str">
        <f>IFERROR(VLOOKUP(A241,PAR!$D$3:$E$53,2,FALSE),"nincs szervezet")</f>
        <v>nincs szervezet</v>
      </c>
      <c r="N241" s="322" t="str">
        <f>VLOOKUP(F241,PAR!$R$3:$S$5,2,FALSE)</f>
        <v>3 - egyik sem</v>
      </c>
      <c r="O241" t="str">
        <f>IFERROR(VLOOKUP(J241,PAR!$O$3:$P$5,2,FALSE),"nincs feladat")</f>
        <v>nincs feladat</v>
      </c>
      <c r="P241" t="str">
        <f>IFERROR(VLOOKUP(G241,PAR!$J$2:$M$19,4),"nincs rovat")</f>
        <v>nincs rovat</v>
      </c>
      <c r="Q241" t="str">
        <f>IF(H241&gt;0,VLOOKUP(H241,PAR!$AA$3:$AC$187,3,FALSE),"nincs főkönyvi számla")</f>
        <v>nincs főkönyvi számla</v>
      </c>
      <c r="R241" t="str">
        <f>IFERROR(VLOOKUP(K241,PAR!$V$3:$X$438,3,FALSE),"000000 - Nincs COFOG")</f>
        <v>000000 - Nincs COFOG</v>
      </c>
      <c r="S241">
        <f t="shared" si="69"/>
        <v>0</v>
      </c>
      <c r="T241">
        <f t="shared" si="70"/>
        <v>0</v>
      </c>
      <c r="U241" t="str">
        <f>IF(Tervezés!F244&gt;0,CONCATENATE(Tervezés!E244," - ",Tervezés!F244,", ",Tervezés!J244),"nincs megjegyzés")</f>
        <v>nincs megjegyzés</v>
      </c>
      <c r="V241" t="str">
        <f t="shared" si="57"/>
        <v>6000</v>
      </c>
      <c r="W241" t="str">
        <f t="shared" si="58"/>
        <v>6000</v>
      </c>
      <c r="X241" t="str">
        <f t="shared" si="59"/>
        <v>00</v>
      </c>
      <c r="Y241" t="str">
        <f t="shared" si="60"/>
        <v>600</v>
      </c>
      <c r="Z241" t="str">
        <f t="shared" si="71"/>
        <v>00</v>
      </c>
      <c r="AA241" t="str">
        <f t="shared" si="61"/>
        <v>600</v>
      </c>
      <c r="AB241" t="str">
        <f t="shared" si="62"/>
        <v>00</v>
      </c>
      <c r="AC241" t="str">
        <f t="shared" si="63"/>
        <v>6000</v>
      </c>
      <c r="AD241" t="str">
        <f t="shared" si="64"/>
        <v>000</v>
      </c>
      <c r="AE241" t="str">
        <f t="shared" si="65"/>
        <v>6000</v>
      </c>
      <c r="AF241" t="str">
        <f t="shared" si="66"/>
        <v>000</v>
      </c>
      <c r="AG241" t="str">
        <f t="shared" si="72"/>
        <v>60000</v>
      </c>
      <c r="AH241" t="str">
        <f t="shared" si="73"/>
        <v>0000</v>
      </c>
      <c r="AI241" t="str">
        <f t="shared" si="74"/>
        <v>60000</v>
      </c>
      <c r="AJ241" t="str">
        <f t="shared" si="75"/>
        <v>0000</v>
      </c>
    </row>
    <row r="242" spans="1:36" x14ac:dyDescent="0.25">
      <c r="A242" s="325">
        <f>Tervezés!B245</f>
        <v>0</v>
      </c>
      <c r="B242">
        <v>60</v>
      </c>
      <c r="C242">
        <f>Tervezés!E245</f>
        <v>0</v>
      </c>
      <c r="D242">
        <f>Tervezés!F245</f>
        <v>0</v>
      </c>
      <c r="E242">
        <f>Tervezés!H245</f>
        <v>0</v>
      </c>
      <c r="F242" t="str">
        <f t="shared" si="67"/>
        <v>0</v>
      </c>
      <c r="G242" t="str">
        <f t="shared" si="68"/>
        <v>0</v>
      </c>
      <c r="H242">
        <f>Tervezés!I245</f>
        <v>0</v>
      </c>
      <c r="I242">
        <f>Tervezés!J245</f>
        <v>0</v>
      </c>
      <c r="J242">
        <f>Tervezés!K245</f>
        <v>0</v>
      </c>
      <c r="K242">
        <f>Tervezés!L245</f>
        <v>0</v>
      </c>
      <c r="L242">
        <f>Tervezés!M245</f>
        <v>0</v>
      </c>
      <c r="M242" s="322" t="str">
        <f>IFERROR(VLOOKUP(A242,PAR!$D$3:$E$53,2,FALSE),"nincs szervezet")</f>
        <v>nincs szervezet</v>
      </c>
      <c r="N242" s="322" t="str">
        <f>VLOOKUP(F242,PAR!$R$3:$S$5,2,FALSE)</f>
        <v>3 - egyik sem</v>
      </c>
      <c r="O242" t="str">
        <f>IFERROR(VLOOKUP(J242,PAR!$O$3:$P$5,2,FALSE),"nincs feladat")</f>
        <v>nincs feladat</v>
      </c>
      <c r="P242" t="str">
        <f>IFERROR(VLOOKUP(G242,PAR!$J$2:$M$19,4),"nincs rovat")</f>
        <v>nincs rovat</v>
      </c>
      <c r="Q242" t="str">
        <f>IF(H242&gt;0,VLOOKUP(H242,PAR!$AA$3:$AC$187,3,FALSE),"nincs főkönyvi számla")</f>
        <v>nincs főkönyvi számla</v>
      </c>
      <c r="R242" t="str">
        <f>IFERROR(VLOOKUP(K242,PAR!$V$3:$X$438,3,FALSE),"000000 - Nincs COFOG")</f>
        <v>000000 - Nincs COFOG</v>
      </c>
      <c r="S242">
        <f t="shared" si="69"/>
        <v>0</v>
      </c>
      <c r="T242">
        <f t="shared" si="70"/>
        <v>0</v>
      </c>
      <c r="U242" t="str">
        <f>IF(Tervezés!F245&gt;0,CONCATENATE(Tervezés!E245," - ",Tervezés!F245,", ",Tervezés!J245),"nincs megjegyzés")</f>
        <v>nincs megjegyzés</v>
      </c>
      <c r="V242" t="str">
        <f t="shared" si="57"/>
        <v>6000</v>
      </c>
      <c r="W242" t="str">
        <f t="shared" si="58"/>
        <v>6000</v>
      </c>
      <c r="X242" t="str">
        <f t="shared" si="59"/>
        <v>00</v>
      </c>
      <c r="Y242" t="str">
        <f t="shared" si="60"/>
        <v>600</v>
      </c>
      <c r="Z242" t="str">
        <f t="shared" si="71"/>
        <v>00</v>
      </c>
      <c r="AA242" t="str">
        <f t="shared" si="61"/>
        <v>600</v>
      </c>
      <c r="AB242" t="str">
        <f t="shared" si="62"/>
        <v>00</v>
      </c>
      <c r="AC242" t="str">
        <f t="shared" si="63"/>
        <v>6000</v>
      </c>
      <c r="AD242" t="str">
        <f t="shared" si="64"/>
        <v>000</v>
      </c>
      <c r="AE242" t="str">
        <f t="shared" si="65"/>
        <v>6000</v>
      </c>
      <c r="AF242" t="str">
        <f t="shared" si="66"/>
        <v>000</v>
      </c>
      <c r="AG242" t="str">
        <f t="shared" si="72"/>
        <v>60000</v>
      </c>
      <c r="AH242" t="str">
        <f t="shared" si="73"/>
        <v>0000</v>
      </c>
      <c r="AI242" t="str">
        <f t="shared" si="74"/>
        <v>60000</v>
      </c>
      <c r="AJ242" t="str">
        <f t="shared" si="75"/>
        <v>0000</v>
      </c>
    </row>
    <row r="243" spans="1:36" x14ac:dyDescent="0.25">
      <c r="A243" s="325">
        <f>Tervezés!B246</f>
        <v>0</v>
      </c>
      <c r="B243">
        <v>60</v>
      </c>
      <c r="C243">
        <f>Tervezés!E246</f>
        <v>0</v>
      </c>
      <c r="D243">
        <f>Tervezés!F246</f>
        <v>0</v>
      </c>
      <c r="E243">
        <f>Tervezés!H246</f>
        <v>0</v>
      </c>
      <c r="F243" t="str">
        <f t="shared" si="67"/>
        <v>0</v>
      </c>
      <c r="G243" t="str">
        <f t="shared" si="68"/>
        <v>0</v>
      </c>
      <c r="H243">
        <f>Tervezés!I246</f>
        <v>0</v>
      </c>
      <c r="I243">
        <f>Tervezés!J246</f>
        <v>0</v>
      </c>
      <c r="J243">
        <f>Tervezés!K246</f>
        <v>0</v>
      </c>
      <c r="K243">
        <f>Tervezés!L246</f>
        <v>0</v>
      </c>
      <c r="L243">
        <f>Tervezés!M246</f>
        <v>0</v>
      </c>
      <c r="M243" s="322" t="str">
        <f>IFERROR(VLOOKUP(A243,PAR!$D$3:$E$53,2,FALSE),"nincs szervezet")</f>
        <v>nincs szervezet</v>
      </c>
      <c r="N243" s="322" t="str">
        <f>VLOOKUP(F243,PAR!$R$3:$S$5,2,FALSE)</f>
        <v>3 - egyik sem</v>
      </c>
      <c r="O243" t="str">
        <f>IFERROR(VLOOKUP(J243,PAR!$O$3:$P$5,2,FALSE),"nincs feladat")</f>
        <v>nincs feladat</v>
      </c>
      <c r="P243" t="str">
        <f>IFERROR(VLOOKUP(G243,PAR!$J$2:$M$19,4),"nincs rovat")</f>
        <v>nincs rovat</v>
      </c>
      <c r="Q243" t="str">
        <f>IF(H243&gt;0,VLOOKUP(H243,PAR!$AA$3:$AC$187,3,FALSE),"nincs főkönyvi számla")</f>
        <v>nincs főkönyvi számla</v>
      </c>
      <c r="R243" t="str">
        <f>IFERROR(VLOOKUP(K243,PAR!$V$3:$X$438,3,FALSE),"000000 - Nincs COFOG")</f>
        <v>000000 - Nincs COFOG</v>
      </c>
      <c r="S243">
        <f t="shared" si="69"/>
        <v>0</v>
      </c>
      <c r="T243">
        <f t="shared" si="70"/>
        <v>0</v>
      </c>
      <c r="U243" t="str">
        <f>IF(Tervezés!F246&gt;0,CONCATENATE(Tervezés!E246," - ",Tervezés!F246,", ",Tervezés!J246),"nincs megjegyzés")</f>
        <v>nincs megjegyzés</v>
      </c>
      <c r="V243" t="str">
        <f t="shared" si="57"/>
        <v>6000</v>
      </c>
      <c r="W243" t="str">
        <f t="shared" si="58"/>
        <v>6000</v>
      </c>
      <c r="X243" t="str">
        <f t="shared" si="59"/>
        <v>00</v>
      </c>
      <c r="Y243" t="str">
        <f t="shared" si="60"/>
        <v>600</v>
      </c>
      <c r="Z243" t="str">
        <f t="shared" si="71"/>
        <v>00</v>
      </c>
      <c r="AA243" t="str">
        <f t="shared" si="61"/>
        <v>600</v>
      </c>
      <c r="AB243" t="str">
        <f t="shared" si="62"/>
        <v>00</v>
      </c>
      <c r="AC243" t="str">
        <f t="shared" si="63"/>
        <v>6000</v>
      </c>
      <c r="AD243" t="str">
        <f t="shared" si="64"/>
        <v>000</v>
      </c>
      <c r="AE243" t="str">
        <f t="shared" si="65"/>
        <v>6000</v>
      </c>
      <c r="AF243" t="str">
        <f t="shared" si="66"/>
        <v>000</v>
      </c>
      <c r="AG243" t="str">
        <f t="shared" si="72"/>
        <v>60000</v>
      </c>
      <c r="AH243" t="str">
        <f t="shared" si="73"/>
        <v>0000</v>
      </c>
      <c r="AI243" t="str">
        <f t="shared" si="74"/>
        <v>60000</v>
      </c>
      <c r="AJ243" t="str">
        <f t="shared" si="75"/>
        <v>0000</v>
      </c>
    </row>
    <row r="244" spans="1:36" x14ac:dyDescent="0.25">
      <c r="A244" s="325">
        <f>Tervezés!B247</f>
        <v>0</v>
      </c>
      <c r="B244">
        <v>60</v>
      </c>
      <c r="C244">
        <f>Tervezés!E247</f>
        <v>0</v>
      </c>
      <c r="D244">
        <f>Tervezés!F247</f>
        <v>0</v>
      </c>
      <c r="E244">
        <f>Tervezés!H247</f>
        <v>0</v>
      </c>
      <c r="F244" t="str">
        <f t="shared" si="67"/>
        <v>0</v>
      </c>
      <c r="G244" t="str">
        <f t="shared" si="68"/>
        <v>0</v>
      </c>
      <c r="H244">
        <f>Tervezés!I247</f>
        <v>0</v>
      </c>
      <c r="I244">
        <f>Tervezés!J247</f>
        <v>0</v>
      </c>
      <c r="J244">
        <f>Tervezés!K247</f>
        <v>0</v>
      </c>
      <c r="K244">
        <f>Tervezés!L247</f>
        <v>0</v>
      </c>
      <c r="L244">
        <f>Tervezés!M247</f>
        <v>0</v>
      </c>
      <c r="M244" s="322" t="str">
        <f>IFERROR(VLOOKUP(A244,PAR!$D$3:$E$53,2,FALSE),"nincs szervezet")</f>
        <v>nincs szervezet</v>
      </c>
      <c r="N244" s="322" t="str">
        <f>VLOOKUP(F244,PAR!$R$3:$S$5,2,FALSE)</f>
        <v>3 - egyik sem</v>
      </c>
      <c r="O244" t="str">
        <f>IFERROR(VLOOKUP(J244,PAR!$O$3:$P$5,2,FALSE),"nincs feladat")</f>
        <v>nincs feladat</v>
      </c>
      <c r="P244" t="str">
        <f>IFERROR(VLOOKUP(G244,PAR!$J$2:$M$19,4),"nincs rovat")</f>
        <v>nincs rovat</v>
      </c>
      <c r="Q244" t="str">
        <f>IF(H244&gt;0,VLOOKUP(H244,PAR!$AA$3:$AC$187,3,FALSE),"nincs főkönyvi számla")</f>
        <v>nincs főkönyvi számla</v>
      </c>
      <c r="R244" t="str">
        <f>IFERROR(VLOOKUP(K244,PAR!$V$3:$X$438,3,FALSE),"000000 - Nincs COFOG")</f>
        <v>000000 - Nincs COFOG</v>
      </c>
      <c r="S244">
        <f t="shared" si="69"/>
        <v>0</v>
      </c>
      <c r="T244">
        <f t="shared" si="70"/>
        <v>0</v>
      </c>
      <c r="U244" t="str">
        <f>IF(Tervezés!F247&gt;0,CONCATENATE(Tervezés!E247," - ",Tervezés!F247,", ",Tervezés!J247),"nincs megjegyzés")</f>
        <v>nincs megjegyzés</v>
      </c>
      <c r="V244" t="str">
        <f t="shared" si="57"/>
        <v>6000</v>
      </c>
      <c r="W244" t="str">
        <f t="shared" si="58"/>
        <v>6000</v>
      </c>
      <c r="X244" t="str">
        <f t="shared" si="59"/>
        <v>00</v>
      </c>
      <c r="Y244" t="str">
        <f t="shared" si="60"/>
        <v>600</v>
      </c>
      <c r="Z244" t="str">
        <f t="shared" si="71"/>
        <v>00</v>
      </c>
      <c r="AA244" t="str">
        <f t="shared" si="61"/>
        <v>600</v>
      </c>
      <c r="AB244" t="str">
        <f t="shared" si="62"/>
        <v>00</v>
      </c>
      <c r="AC244" t="str">
        <f t="shared" si="63"/>
        <v>6000</v>
      </c>
      <c r="AD244" t="str">
        <f t="shared" si="64"/>
        <v>000</v>
      </c>
      <c r="AE244" t="str">
        <f t="shared" si="65"/>
        <v>6000</v>
      </c>
      <c r="AF244" t="str">
        <f t="shared" si="66"/>
        <v>000</v>
      </c>
      <c r="AG244" t="str">
        <f t="shared" si="72"/>
        <v>60000</v>
      </c>
      <c r="AH244" t="str">
        <f t="shared" si="73"/>
        <v>0000</v>
      </c>
      <c r="AI244" t="str">
        <f t="shared" si="74"/>
        <v>60000</v>
      </c>
      <c r="AJ244" t="str">
        <f t="shared" si="75"/>
        <v>0000</v>
      </c>
    </row>
    <row r="245" spans="1:36" x14ac:dyDescent="0.25">
      <c r="A245" s="325">
        <f>Tervezés!B248</f>
        <v>0</v>
      </c>
      <c r="B245">
        <v>60</v>
      </c>
      <c r="C245">
        <f>Tervezés!E248</f>
        <v>0</v>
      </c>
      <c r="D245">
        <f>Tervezés!F248</f>
        <v>0</v>
      </c>
      <c r="E245">
        <f>Tervezés!H248</f>
        <v>0</v>
      </c>
      <c r="F245" t="str">
        <f t="shared" si="67"/>
        <v>0</v>
      </c>
      <c r="G245" t="str">
        <f t="shared" si="68"/>
        <v>0</v>
      </c>
      <c r="H245">
        <f>Tervezés!I248</f>
        <v>0</v>
      </c>
      <c r="I245">
        <f>Tervezés!J248</f>
        <v>0</v>
      </c>
      <c r="J245">
        <f>Tervezés!K248</f>
        <v>0</v>
      </c>
      <c r="K245">
        <f>Tervezés!L248</f>
        <v>0</v>
      </c>
      <c r="L245">
        <f>Tervezés!M248</f>
        <v>0</v>
      </c>
      <c r="M245" s="322" t="str">
        <f>IFERROR(VLOOKUP(A245,PAR!$D$3:$E$53,2,FALSE),"nincs szervezet")</f>
        <v>nincs szervezet</v>
      </c>
      <c r="N245" s="322" t="str">
        <f>VLOOKUP(F245,PAR!$R$3:$S$5,2,FALSE)</f>
        <v>3 - egyik sem</v>
      </c>
      <c r="O245" t="str">
        <f>IFERROR(VLOOKUP(J245,PAR!$O$3:$P$5,2,FALSE),"nincs feladat")</f>
        <v>nincs feladat</v>
      </c>
      <c r="P245" t="str">
        <f>IFERROR(VLOOKUP(G245,PAR!$J$2:$M$19,4),"nincs rovat")</f>
        <v>nincs rovat</v>
      </c>
      <c r="Q245" t="str">
        <f>IF(H245&gt;0,VLOOKUP(H245,PAR!$AA$3:$AC$187,3,FALSE),"nincs főkönyvi számla")</f>
        <v>nincs főkönyvi számla</v>
      </c>
      <c r="R245" t="str">
        <f>IFERROR(VLOOKUP(K245,PAR!$V$3:$X$438,3,FALSE),"000000 - Nincs COFOG")</f>
        <v>000000 - Nincs COFOG</v>
      </c>
      <c r="S245">
        <f t="shared" si="69"/>
        <v>0</v>
      </c>
      <c r="T245">
        <f t="shared" si="70"/>
        <v>0</v>
      </c>
      <c r="U245" t="str">
        <f>IF(Tervezés!F248&gt;0,CONCATENATE(Tervezés!E248," - ",Tervezés!F248,", ",Tervezés!J248),"nincs megjegyzés")</f>
        <v>nincs megjegyzés</v>
      </c>
      <c r="V245" t="str">
        <f t="shared" si="57"/>
        <v>6000</v>
      </c>
      <c r="W245" t="str">
        <f t="shared" si="58"/>
        <v>6000</v>
      </c>
      <c r="X245" t="str">
        <f t="shared" si="59"/>
        <v>00</v>
      </c>
      <c r="Y245" t="str">
        <f t="shared" si="60"/>
        <v>600</v>
      </c>
      <c r="Z245" t="str">
        <f t="shared" si="71"/>
        <v>00</v>
      </c>
      <c r="AA245" t="str">
        <f t="shared" si="61"/>
        <v>600</v>
      </c>
      <c r="AB245" t="str">
        <f t="shared" si="62"/>
        <v>00</v>
      </c>
      <c r="AC245" t="str">
        <f t="shared" si="63"/>
        <v>6000</v>
      </c>
      <c r="AD245" t="str">
        <f t="shared" si="64"/>
        <v>000</v>
      </c>
      <c r="AE245" t="str">
        <f t="shared" si="65"/>
        <v>6000</v>
      </c>
      <c r="AF245" t="str">
        <f t="shared" si="66"/>
        <v>000</v>
      </c>
      <c r="AG245" t="str">
        <f t="shared" si="72"/>
        <v>60000</v>
      </c>
      <c r="AH245" t="str">
        <f t="shared" si="73"/>
        <v>0000</v>
      </c>
      <c r="AI245" t="str">
        <f t="shared" si="74"/>
        <v>60000</v>
      </c>
      <c r="AJ245" t="str">
        <f t="shared" si="75"/>
        <v>0000</v>
      </c>
    </row>
    <row r="246" spans="1:36" x14ac:dyDescent="0.25">
      <c r="A246" s="325">
        <f>Tervezés!B249</f>
        <v>0</v>
      </c>
      <c r="B246">
        <v>60</v>
      </c>
      <c r="C246">
        <f>Tervezés!E249</f>
        <v>0</v>
      </c>
      <c r="D246">
        <f>Tervezés!F249</f>
        <v>0</v>
      </c>
      <c r="E246">
        <f>Tervezés!H249</f>
        <v>0</v>
      </c>
      <c r="F246" t="str">
        <f t="shared" si="67"/>
        <v>0</v>
      </c>
      <c r="G246" t="str">
        <f t="shared" si="68"/>
        <v>0</v>
      </c>
      <c r="H246">
        <f>Tervezés!I249</f>
        <v>0</v>
      </c>
      <c r="I246">
        <f>Tervezés!J249</f>
        <v>0</v>
      </c>
      <c r="J246">
        <f>Tervezés!K249</f>
        <v>0</v>
      </c>
      <c r="K246">
        <f>Tervezés!L249</f>
        <v>0</v>
      </c>
      <c r="L246">
        <f>Tervezés!M249</f>
        <v>0</v>
      </c>
      <c r="M246" s="322" t="str">
        <f>IFERROR(VLOOKUP(A246,PAR!$D$3:$E$53,2,FALSE),"nincs szervezet")</f>
        <v>nincs szervezet</v>
      </c>
      <c r="N246" s="322" t="str">
        <f>VLOOKUP(F246,PAR!$R$3:$S$5,2,FALSE)</f>
        <v>3 - egyik sem</v>
      </c>
      <c r="O246" t="str">
        <f>IFERROR(VLOOKUP(J246,PAR!$O$3:$P$5,2,FALSE),"nincs feladat")</f>
        <v>nincs feladat</v>
      </c>
      <c r="P246" t="str">
        <f>IFERROR(VLOOKUP(G246,PAR!$J$2:$M$19,4),"nincs rovat")</f>
        <v>nincs rovat</v>
      </c>
      <c r="Q246" t="str">
        <f>IF(H246&gt;0,VLOOKUP(H246,PAR!$AA$3:$AC$187,3,FALSE),"nincs főkönyvi számla")</f>
        <v>nincs főkönyvi számla</v>
      </c>
      <c r="R246" t="str">
        <f>IFERROR(VLOOKUP(K246,PAR!$V$3:$X$438,3,FALSE),"000000 - Nincs COFOG")</f>
        <v>000000 - Nincs COFOG</v>
      </c>
      <c r="S246">
        <f t="shared" si="69"/>
        <v>0</v>
      </c>
      <c r="T246">
        <f t="shared" si="70"/>
        <v>0</v>
      </c>
      <c r="U246" t="str">
        <f>IF(Tervezés!F249&gt;0,CONCATENATE(Tervezés!E249," - ",Tervezés!F249,", ",Tervezés!J249),"nincs megjegyzés")</f>
        <v>nincs megjegyzés</v>
      </c>
      <c r="V246" t="str">
        <f t="shared" si="57"/>
        <v>6000</v>
      </c>
      <c r="W246" t="str">
        <f t="shared" si="58"/>
        <v>6000</v>
      </c>
      <c r="X246" t="str">
        <f t="shared" si="59"/>
        <v>00</v>
      </c>
      <c r="Y246" t="str">
        <f t="shared" si="60"/>
        <v>600</v>
      </c>
      <c r="Z246" t="str">
        <f t="shared" si="71"/>
        <v>00</v>
      </c>
      <c r="AA246" t="str">
        <f t="shared" si="61"/>
        <v>600</v>
      </c>
      <c r="AB246" t="str">
        <f t="shared" si="62"/>
        <v>00</v>
      </c>
      <c r="AC246" t="str">
        <f t="shared" si="63"/>
        <v>6000</v>
      </c>
      <c r="AD246" t="str">
        <f t="shared" si="64"/>
        <v>000</v>
      </c>
      <c r="AE246" t="str">
        <f t="shared" si="65"/>
        <v>6000</v>
      </c>
      <c r="AF246" t="str">
        <f t="shared" si="66"/>
        <v>000</v>
      </c>
      <c r="AG246" t="str">
        <f t="shared" si="72"/>
        <v>60000</v>
      </c>
      <c r="AH246" t="str">
        <f t="shared" si="73"/>
        <v>0000</v>
      </c>
      <c r="AI246" t="str">
        <f t="shared" si="74"/>
        <v>60000</v>
      </c>
      <c r="AJ246" t="str">
        <f t="shared" si="75"/>
        <v>0000</v>
      </c>
    </row>
    <row r="247" spans="1:36" x14ac:dyDescent="0.25">
      <c r="A247" s="325">
        <f>Tervezés!B250</f>
        <v>0</v>
      </c>
      <c r="B247">
        <v>60</v>
      </c>
      <c r="C247">
        <f>Tervezés!E250</f>
        <v>0</v>
      </c>
      <c r="D247">
        <f>Tervezés!F250</f>
        <v>0</v>
      </c>
      <c r="E247">
        <f>Tervezés!H250</f>
        <v>0</v>
      </c>
      <c r="F247" t="str">
        <f t="shared" si="67"/>
        <v>0</v>
      </c>
      <c r="G247" t="str">
        <f t="shared" si="68"/>
        <v>0</v>
      </c>
      <c r="H247">
        <f>Tervezés!I250</f>
        <v>0</v>
      </c>
      <c r="I247">
        <f>Tervezés!J250</f>
        <v>0</v>
      </c>
      <c r="J247">
        <f>Tervezés!K250</f>
        <v>0</v>
      </c>
      <c r="K247">
        <f>Tervezés!L250</f>
        <v>0</v>
      </c>
      <c r="L247">
        <f>Tervezés!M250</f>
        <v>0</v>
      </c>
      <c r="M247" s="322" t="str">
        <f>IFERROR(VLOOKUP(A247,PAR!$D$3:$E$53,2,FALSE),"nincs szervezet")</f>
        <v>nincs szervezet</v>
      </c>
      <c r="N247" s="322" t="str">
        <f>VLOOKUP(F247,PAR!$R$3:$S$5,2,FALSE)</f>
        <v>3 - egyik sem</v>
      </c>
      <c r="O247" t="str">
        <f>IFERROR(VLOOKUP(J247,PAR!$O$3:$P$5,2,FALSE),"nincs feladat")</f>
        <v>nincs feladat</v>
      </c>
      <c r="P247" t="str">
        <f>IFERROR(VLOOKUP(G247,PAR!$J$2:$M$19,4),"nincs rovat")</f>
        <v>nincs rovat</v>
      </c>
      <c r="Q247" t="str">
        <f>IF(H247&gt;0,VLOOKUP(H247,PAR!$AA$3:$AC$187,3,FALSE),"nincs főkönyvi számla")</f>
        <v>nincs főkönyvi számla</v>
      </c>
      <c r="R247" t="str">
        <f>IFERROR(VLOOKUP(K247,PAR!$V$3:$X$438,3,FALSE),"000000 - Nincs COFOG")</f>
        <v>000000 - Nincs COFOG</v>
      </c>
      <c r="S247">
        <f t="shared" si="69"/>
        <v>0</v>
      </c>
      <c r="T247">
        <f t="shared" si="70"/>
        <v>0</v>
      </c>
      <c r="U247" t="str">
        <f>IF(Tervezés!F250&gt;0,CONCATENATE(Tervezés!E250," - ",Tervezés!F250,", ",Tervezés!J250),"nincs megjegyzés")</f>
        <v>nincs megjegyzés</v>
      </c>
      <c r="V247" t="str">
        <f t="shared" si="57"/>
        <v>6000</v>
      </c>
      <c r="W247" t="str">
        <f t="shared" si="58"/>
        <v>6000</v>
      </c>
      <c r="X247" t="str">
        <f t="shared" si="59"/>
        <v>00</v>
      </c>
      <c r="Y247" t="str">
        <f t="shared" si="60"/>
        <v>600</v>
      </c>
      <c r="Z247" t="str">
        <f t="shared" si="71"/>
        <v>00</v>
      </c>
      <c r="AA247" t="str">
        <f t="shared" si="61"/>
        <v>600</v>
      </c>
      <c r="AB247" t="str">
        <f t="shared" si="62"/>
        <v>00</v>
      </c>
      <c r="AC247" t="str">
        <f t="shared" si="63"/>
        <v>6000</v>
      </c>
      <c r="AD247" t="str">
        <f t="shared" si="64"/>
        <v>000</v>
      </c>
      <c r="AE247" t="str">
        <f t="shared" si="65"/>
        <v>6000</v>
      </c>
      <c r="AF247" t="str">
        <f t="shared" si="66"/>
        <v>000</v>
      </c>
      <c r="AG247" t="str">
        <f t="shared" si="72"/>
        <v>60000</v>
      </c>
      <c r="AH247" t="str">
        <f t="shared" si="73"/>
        <v>0000</v>
      </c>
      <c r="AI247" t="str">
        <f t="shared" si="74"/>
        <v>60000</v>
      </c>
      <c r="AJ247" t="str">
        <f t="shared" si="75"/>
        <v>0000</v>
      </c>
    </row>
    <row r="248" spans="1:36" x14ac:dyDescent="0.25">
      <c r="A248" s="325">
        <f>Tervezés!B251</f>
        <v>0</v>
      </c>
      <c r="B248">
        <v>60</v>
      </c>
      <c r="C248">
        <f>Tervezés!E251</f>
        <v>0</v>
      </c>
      <c r="D248">
        <f>Tervezés!F251</f>
        <v>0</v>
      </c>
      <c r="E248">
        <f>Tervezés!H251</f>
        <v>0</v>
      </c>
      <c r="F248" t="str">
        <f t="shared" si="67"/>
        <v>0</v>
      </c>
      <c r="G248" t="str">
        <f t="shared" si="68"/>
        <v>0</v>
      </c>
      <c r="H248">
        <f>Tervezés!I251</f>
        <v>0</v>
      </c>
      <c r="I248">
        <f>Tervezés!J251</f>
        <v>0</v>
      </c>
      <c r="J248">
        <f>Tervezés!K251</f>
        <v>0</v>
      </c>
      <c r="K248">
        <f>Tervezés!L251</f>
        <v>0</v>
      </c>
      <c r="L248">
        <f>Tervezés!M251</f>
        <v>0</v>
      </c>
      <c r="M248" s="322" t="str">
        <f>IFERROR(VLOOKUP(A248,PAR!$D$3:$E$53,2,FALSE),"nincs szervezet")</f>
        <v>nincs szervezet</v>
      </c>
      <c r="N248" s="322" t="str">
        <f>VLOOKUP(F248,PAR!$R$3:$S$5,2,FALSE)</f>
        <v>3 - egyik sem</v>
      </c>
      <c r="O248" t="str">
        <f>IFERROR(VLOOKUP(J248,PAR!$O$3:$P$5,2,FALSE),"nincs feladat")</f>
        <v>nincs feladat</v>
      </c>
      <c r="P248" t="str">
        <f>IFERROR(VLOOKUP(G248,PAR!$J$2:$M$19,4),"nincs rovat")</f>
        <v>nincs rovat</v>
      </c>
      <c r="Q248" t="str">
        <f>IF(H248&gt;0,VLOOKUP(H248,PAR!$AA$3:$AC$187,3,FALSE),"nincs főkönyvi számla")</f>
        <v>nincs főkönyvi számla</v>
      </c>
      <c r="R248" t="str">
        <f>IFERROR(VLOOKUP(K248,PAR!$V$3:$X$438,3,FALSE),"000000 - Nincs COFOG")</f>
        <v>000000 - Nincs COFOG</v>
      </c>
      <c r="S248">
        <f t="shared" si="69"/>
        <v>0</v>
      </c>
      <c r="T248">
        <f t="shared" si="70"/>
        <v>0</v>
      </c>
      <c r="U248" t="str">
        <f>IF(Tervezés!F251&gt;0,CONCATENATE(Tervezés!E251," - ",Tervezés!F251,", ",Tervezés!J251),"nincs megjegyzés")</f>
        <v>nincs megjegyzés</v>
      </c>
      <c r="V248" t="str">
        <f t="shared" si="57"/>
        <v>6000</v>
      </c>
      <c r="W248" t="str">
        <f t="shared" si="58"/>
        <v>6000</v>
      </c>
      <c r="X248" t="str">
        <f t="shared" si="59"/>
        <v>00</v>
      </c>
      <c r="Y248" t="str">
        <f t="shared" si="60"/>
        <v>600</v>
      </c>
      <c r="Z248" t="str">
        <f t="shared" si="71"/>
        <v>00</v>
      </c>
      <c r="AA248" t="str">
        <f t="shared" si="61"/>
        <v>600</v>
      </c>
      <c r="AB248" t="str">
        <f t="shared" si="62"/>
        <v>00</v>
      </c>
      <c r="AC248" t="str">
        <f t="shared" si="63"/>
        <v>6000</v>
      </c>
      <c r="AD248" t="str">
        <f t="shared" si="64"/>
        <v>000</v>
      </c>
      <c r="AE248" t="str">
        <f t="shared" si="65"/>
        <v>6000</v>
      </c>
      <c r="AF248" t="str">
        <f t="shared" si="66"/>
        <v>000</v>
      </c>
      <c r="AG248" t="str">
        <f t="shared" si="72"/>
        <v>60000</v>
      </c>
      <c r="AH248" t="str">
        <f t="shared" si="73"/>
        <v>0000</v>
      </c>
      <c r="AI248" t="str">
        <f t="shared" si="74"/>
        <v>60000</v>
      </c>
      <c r="AJ248" t="str">
        <f t="shared" si="75"/>
        <v>0000</v>
      </c>
    </row>
    <row r="249" spans="1:36" x14ac:dyDescent="0.25">
      <c r="A249" s="325">
        <f>Tervezés!B252</f>
        <v>0</v>
      </c>
      <c r="B249">
        <v>60</v>
      </c>
      <c r="C249">
        <f>Tervezés!E252</f>
        <v>0</v>
      </c>
      <c r="D249">
        <f>Tervezés!F252</f>
        <v>0</v>
      </c>
      <c r="E249">
        <f>Tervezés!H252</f>
        <v>0</v>
      </c>
      <c r="F249" t="str">
        <f t="shared" si="67"/>
        <v>0</v>
      </c>
      <c r="G249" t="str">
        <f t="shared" si="68"/>
        <v>0</v>
      </c>
      <c r="H249">
        <f>Tervezés!I252</f>
        <v>0</v>
      </c>
      <c r="I249">
        <f>Tervezés!J252</f>
        <v>0</v>
      </c>
      <c r="J249">
        <f>Tervezés!K252</f>
        <v>0</v>
      </c>
      <c r="K249">
        <f>Tervezés!L252</f>
        <v>0</v>
      </c>
      <c r="L249">
        <f>Tervezés!M252</f>
        <v>0</v>
      </c>
      <c r="M249" s="322" t="str">
        <f>IFERROR(VLOOKUP(A249,PAR!$D$3:$E$53,2,FALSE),"nincs szervezet")</f>
        <v>nincs szervezet</v>
      </c>
      <c r="N249" s="322" t="str">
        <f>VLOOKUP(F249,PAR!$R$3:$S$5,2,FALSE)</f>
        <v>3 - egyik sem</v>
      </c>
      <c r="O249" t="str">
        <f>IFERROR(VLOOKUP(J249,PAR!$O$3:$P$5,2,FALSE),"nincs feladat")</f>
        <v>nincs feladat</v>
      </c>
      <c r="P249" t="str">
        <f>IFERROR(VLOOKUP(G249,PAR!$J$2:$M$19,4),"nincs rovat")</f>
        <v>nincs rovat</v>
      </c>
      <c r="Q249" t="str">
        <f>IF(H249&gt;0,VLOOKUP(H249,PAR!$AA$3:$AC$187,3,FALSE),"nincs főkönyvi számla")</f>
        <v>nincs főkönyvi számla</v>
      </c>
      <c r="R249" t="str">
        <f>IFERROR(VLOOKUP(K249,PAR!$V$3:$X$438,3,FALSE),"000000 - Nincs COFOG")</f>
        <v>000000 - Nincs COFOG</v>
      </c>
      <c r="S249">
        <f t="shared" si="69"/>
        <v>0</v>
      </c>
      <c r="T249">
        <f t="shared" si="70"/>
        <v>0</v>
      </c>
      <c r="U249" t="str">
        <f>IF(Tervezés!F252&gt;0,CONCATENATE(Tervezés!E252," - ",Tervezés!F252,", ",Tervezés!J252),"nincs megjegyzés")</f>
        <v>nincs megjegyzés</v>
      </c>
      <c r="V249" t="str">
        <f t="shared" si="57"/>
        <v>6000</v>
      </c>
      <c r="W249" t="str">
        <f t="shared" si="58"/>
        <v>6000</v>
      </c>
      <c r="X249" t="str">
        <f t="shared" si="59"/>
        <v>00</v>
      </c>
      <c r="Y249" t="str">
        <f t="shared" si="60"/>
        <v>600</v>
      </c>
      <c r="Z249" t="str">
        <f t="shared" si="71"/>
        <v>00</v>
      </c>
      <c r="AA249" t="str">
        <f t="shared" si="61"/>
        <v>600</v>
      </c>
      <c r="AB249" t="str">
        <f t="shared" si="62"/>
        <v>00</v>
      </c>
      <c r="AC249" t="str">
        <f t="shared" si="63"/>
        <v>6000</v>
      </c>
      <c r="AD249" t="str">
        <f t="shared" si="64"/>
        <v>000</v>
      </c>
      <c r="AE249" t="str">
        <f t="shared" si="65"/>
        <v>6000</v>
      </c>
      <c r="AF249" t="str">
        <f t="shared" si="66"/>
        <v>000</v>
      </c>
      <c r="AG249" t="str">
        <f t="shared" si="72"/>
        <v>60000</v>
      </c>
      <c r="AH249" t="str">
        <f t="shared" si="73"/>
        <v>0000</v>
      </c>
      <c r="AI249" t="str">
        <f t="shared" si="74"/>
        <v>60000</v>
      </c>
      <c r="AJ249" t="str">
        <f t="shared" si="75"/>
        <v>0000</v>
      </c>
    </row>
    <row r="250" spans="1:36" x14ac:dyDescent="0.25">
      <c r="A250" s="325">
        <f>Tervezés!B253</f>
        <v>0</v>
      </c>
      <c r="B250">
        <v>60</v>
      </c>
      <c r="C250">
        <f>Tervezés!E253</f>
        <v>0</v>
      </c>
      <c r="D250">
        <f>Tervezés!F253</f>
        <v>0</v>
      </c>
      <c r="E250">
        <f>Tervezés!H253</f>
        <v>0</v>
      </c>
      <c r="F250" t="str">
        <f t="shared" si="67"/>
        <v>0</v>
      </c>
      <c r="G250" t="str">
        <f t="shared" si="68"/>
        <v>0</v>
      </c>
      <c r="H250">
        <f>Tervezés!I253</f>
        <v>0</v>
      </c>
      <c r="I250">
        <f>Tervezés!J253</f>
        <v>0</v>
      </c>
      <c r="J250">
        <f>Tervezés!K253</f>
        <v>0</v>
      </c>
      <c r="K250">
        <f>Tervezés!L253</f>
        <v>0</v>
      </c>
      <c r="L250">
        <f>Tervezés!M253</f>
        <v>0</v>
      </c>
      <c r="M250" s="322" t="str">
        <f>IFERROR(VLOOKUP(A250,PAR!$D$3:$E$53,2,FALSE),"nincs szervezet")</f>
        <v>nincs szervezet</v>
      </c>
      <c r="N250" s="322" t="str">
        <f>VLOOKUP(F250,PAR!$R$3:$S$5,2,FALSE)</f>
        <v>3 - egyik sem</v>
      </c>
      <c r="O250" t="str">
        <f>IFERROR(VLOOKUP(J250,PAR!$O$3:$P$5,2,FALSE),"nincs feladat")</f>
        <v>nincs feladat</v>
      </c>
      <c r="P250" t="str">
        <f>IFERROR(VLOOKUP(G250,PAR!$J$2:$M$19,4),"nincs rovat")</f>
        <v>nincs rovat</v>
      </c>
      <c r="Q250" t="str">
        <f>IF(H250&gt;0,VLOOKUP(H250,PAR!$AA$3:$AC$187,3,FALSE),"nincs főkönyvi számla")</f>
        <v>nincs főkönyvi számla</v>
      </c>
      <c r="R250" t="str">
        <f>IFERROR(VLOOKUP(K250,PAR!$V$3:$X$438,3,FALSE),"000000 - Nincs COFOG")</f>
        <v>000000 - Nincs COFOG</v>
      </c>
      <c r="S250">
        <f t="shared" si="69"/>
        <v>0</v>
      </c>
      <c r="T250">
        <f t="shared" si="70"/>
        <v>0</v>
      </c>
      <c r="U250" t="str">
        <f>IF(Tervezés!F253&gt;0,CONCATENATE(Tervezés!E253," - ",Tervezés!F253,", ",Tervezés!J253),"nincs megjegyzés")</f>
        <v>nincs megjegyzés</v>
      </c>
      <c r="V250" t="str">
        <f t="shared" si="57"/>
        <v>6000</v>
      </c>
      <c r="W250" t="str">
        <f t="shared" si="58"/>
        <v>6000</v>
      </c>
      <c r="X250" t="str">
        <f t="shared" si="59"/>
        <v>00</v>
      </c>
      <c r="Y250" t="str">
        <f t="shared" si="60"/>
        <v>600</v>
      </c>
      <c r="Z250" t="str">
        <f t="shared" si="71"/>
        <v>00</v>
      </c>
      <c r="AA250" t="str">
        <f t="shared" si="61"/>
        <v>600</v>
      </c>
      <c r="AB250" t="str">
        <f t="shared" si="62"/>
        <v>00</v>
      </c>
      <c r="AC250" t="str">
        <f t="shared" si="63"/>
        <v>6000</v>
      </c>
      <c r="AD250" t="str">
        <f t="shared" si="64"/>
        <v>000</v>
      </c>
      <c r="AE250" t="str">
        <f t="shared" si="65"/>
        <v>6000</v>
      </c>
      <c r="AF250" t="str">
        <f t="shared" si="66"/>
        <v>000</v>
      </c>
      <c r="AG250" t="str">
        <f t="shared" si="72"/>
        <v>60000</v>
      </c>
      <c r="AH250" t="str">
        <f t="shared" si="73"/>
        <v>0000</v>
      </c>
      <c r="AI250" t="str">
        <f t="shared" si="74"/>
        <v>60000</v>
      </c>
      <c r="AJ250" t="str">
        <f t="shared" si="75"/>
        <v>0000</v>
      </c>
    </row>
    <row r="251" spans="1:36" x14ac:dyDescent="0.25">
      <c r="A251" s="325">
        <f>Tervezés!B254</f>
        <v>0</v>
      </c>
      <c r="B251">
        <v>60</v>
      </c>
      <c r="C251">
        <f>Tervezés!E254</f>
        <v>0</v>
      </c>
      <c r="D251">
        <f>Tervezés!F254</f>
        <v>0</v>
      </c>
      <c r="E251">
        <f>Tervezés!H254</f>
        <v>0</v>
      </c>
      <c r="F251" t="str">
        <f t="shared" si="67"/>
        <v>0</v>
      </c>
      <c r="G251" t="str">
        <f t="shared" si="68"/>
        <v>0</v>
      </c>
      <c r="H251">
        <f>Tervezés!I254</f>
        <v>0</v>
      </c>
      <c r="I251">
        <f>Tervezés!J254</f>
        <v>0</v>
      </c>
      <c r="J251">
        <f>Tervezés!K254</f>
        <v>0</v>
      </c>
      <c r="K251">
        <f>Tervezés!L254</f>
        <v>0</v>
      </c>
      <c r="L251">
        <f>Tervezés!M254</f>
        <v>0</v>
      </c>
      <c r="M251" s="322" t="str">
        <f>IFERROR(VLOOKUP(A251,PAR!$D$3:$E$53,2,FALSE),"nincs szervezet")</f>
        <v>nincs szervezet</v>
      </c>
      <c r="N251" s="322" t="str">
        <f>VLOOKUP(F251,PAR!$R$3:$S$5,2,FALSE)</f>
        <v>3 - egyik sem</v>
      </c>
      <c r="O251" t="str">
        <f>IFERROR(VLOOKUP(J251,PAR!$O$3:$P$5,2,FALSE),"nincs feladat")</f>
        <v>nincs feladat</v>
      </c>
      <c r="P251" t="str">
        <f>IFERROR(VLOOKUP(G251,PAR!$J$2:$M$19,4),"nincs rovat")</f>
        <v>nincs rovat</v>
      </c>
      <c r="Q251" t="str">
        <f>IF(H251&gt;0,VLOOKUP(H251,PAR!$AA$3:$AC$187,3,FALSE),"nincs főkönyvi számla")</f>
        <v>nincs főkönyvi számla</v>
      </c>
      <c r="R251" t="str">
        <f>IFERROR(VLOOKUP(K251,PAR!$V$3:$X$438,3,FALSE),"000000 - Nincs COFOG")</f>
        <v>000000 - Nincs COFOG</v>
      </c>
      <c r="S251">
        <f t="shared" si="69"/>
        <v>0</v>
      </c>
      <c r="T251">
        <f t="shared" si="70"/>
        <v>0</v>
      </c>
      <c r="U251" t="str">
        <f>IF(Tervezés!F254&gt;0,CONCATENATE(Tervezés!E254," - ",Tervezés!F254,", ",Tervezés!J254),"nincs megjegyzés")</f>
        <v>nincs megjegyzés</v>
      </c>
      <c r="V251" t="str">
        <f t="shared" si="57"/>
        <v>6000</v>
      </c>
      <c r="W251" t="str">
        <f t="shared" si="58"/>
        <v>6000</v>
      </c>
      <c r="X251" t="str">
        <f t="shared" si="59"/>
        <v>00</v>
      </c>
      <c r="Y251" t="str">
        <f t="shared" si="60"/>
        <v>600</v>
      </c>
      <c r="Z251" t="str">
        <f t="shared" si="71"/>
        <v>00</v>
      </c>
      <c r="AA251" t="str">
        <f t="shared" si="61"/>
        <v>600</v>
      </c>
      <c r="AB251" t="str">
        <f t="shared" si="62"/>
        <v>00</v>
      </c>
      <c r="AC251" t="str">
        <f t="shared" si="63"/>
        <v>6000</v>
      </c>
      <c r="AD251" t="str">
        <f t="shared" si="64"/>
        <v>000</v>
      </c>
      <c r="AE251" t="str">
        <f t="shared" si="65"/>
        <v>6000</v>
      </c>
      <c r="AF251" t="str">
        <f t="shared" si="66"/>
        <v>000</v>
      </c>
      <c r="AG251" t="str">
        <f t="shared" si="72"/>
        <v>60000</v>
      </c>
      <c r="AH251" t="str">
        <f t="shared" si="73"/>
        <v>0000</v>
      </c>
      <c r="AI251" t="str">
        <f t="shared" si="74"/>
        <v>60000</v>
      </c>
      <c r="AJ251" t="str">
        <f t="shared" si="75"/>
        <v>0000</v>
      </c>
    </row>
    <row r="252" spans="1:36" x14ac:dyDescent="0.25">
      <c r="A252" s="325">
        <f>Tervezés!B255</f>
        <v>0</v>
      </c>
      <c r="B252">
        <v>60</v>
      </c>
      <c r="C252">
        <f>Tervezés!E255</f>
        <v>0</v>
      </c>
      <c r="D252">
        <f>Tervezés!F255</f>
        <v>0</v>
      </c>
      <c r="E252">
        <f>Tervezés!H255</f>
        <v>0</v>
      </c>
      <c r="F252" t="str">
        <f t="shared" si="67"/>
        <v>0</v>
      </c>
      <c r="G252" t="str">
        <f t="shared" si="68"/>
        <v>0</v>
      </c>
      <c r="H252">
        <f>Tervezés!I255</f>
        <v>0</v>
      </c>
      <c r="I252">
        <f>Tervezés!J255</f>
        <v>0</v>
      </c>
      <c r="J252">
        <f>Tervezés!K255</f>
        <v>0</v>
      </c>
      <c r="K252">
        <f>Tervezés!L255</f>
        <v>0</v>
      </c>
      <c r="L252">
        <f>Tervezés!M255</f>
        <v>0</v>
      </c>
      <c r="M252" s="322" t="str">
        <f>IFERROR(VLOOKUP(A252,PAR!$D$3:$E$53,2,FALSE),"nincs szervezet")</f>
        <v>nincs szervezet</v>
      </c>
      <c r="N252" s="322" t="str">
        <f>VLOOKUP(F252,PAR!$R$3:$S$5,2,FALSE)</f>
        <v>3 - egyik sem</v>
      </c>
      <c r="O252" t="str">
        <f>IFERROR(VLOOKUP(J252,PAR!$O$3:$P$5,2,FALSE),"nincs feladat")</f>
        <v>nincs feladat</v>
      </c>
      <c r="P252" t="str">
        <f>IFERROR(VLOOKUP(G252,PAR!$J$2:$M$19,4),"nincs rovat")</f>
        <v>nincs rovat</v>
      </c>
      <c r="Q252" t="str">
        <f>IF(H252&gt;0,VLOOKUP(H252,PAR!$AA$3:$AC$187,3,FALSE),"nincs főkönyvi számla")</f>
        <v>nincs főkönyvi számla</v>
      </c>
      <c r="R252" t="str">
        <f>IFERROR(VLOOKUP(K252,PAR!$V$3:$X$438,3,FALSE),"000000 - Nincs COFOG")</f>
        <v>000000 - Nincs COFOG</v>
      </c>
      <c r="S252">
        <f t="shared" si="69"/>
        <v>0</v>
      </c>
      <c r="T252">
        <f t="shared" si="70"/>
        <v>0</v>
      </c>
      <c r="U252" t="str">
        <f>IF(Tervezés!F255&gt;0,CONCATENATE(Tervezés!E255," - ",Tervezés!F255,", ",Tervezés!J255),"nincs megjegyzés")</f>
        <v>nincs megjegyzés</v>
      </c>
      <c r="V252" t="str">
        <f t="shared" si="57"/>
        <v>6000</v>
      </c>
      <c r="W252" t="str">
        <f t="shared" si="58"/>
        <v>6000</v>
      </c>
      <c r="X252" t="str">
        <f t="shared" si="59"/>
        <v>00</v>
      </c>
      <c r="Y252" t="str">
        <f t="shared" si="60"/>
        <v>600</v>
      </c>
      <c r="Z252" t="str">
        <f t="shared" si="71"/>
        <v>00</v>
      </c>
      <c r="AA252" t="str">
        <f t="shared" si="61"/>
        <v>600</v>
      </c>
      <c r="AB252" t="str">
        <f t="shared" si="62"/>
        <v>00</v>
      </c>
      <c r="AC252" t="str">
        <f t="shared" si="63"/>
        <v>6000</v>
      </c>
      <c r="AD252" t="str">
        <f t="shared" si="64"/>
        <v>000</v>
      </c>
      <c r="AE252" t="str">
        <f t="shared" si="65"/>
        <v>6000</v>
      </c>
      <c r="AF252" t="str">
        <f t="shared" si="66"/>
        <v>000</v>
      </c>
      <c r="AG252" t="str">
        <f t="shared" si="72"/>
        <v>60000</v>
      </c>
      <c r="AH252" t="str">
        <f t="shared" si="73"/>
        <v>0000</v>
      </c>
      <c r="AI252" t="str">
        <f t="shared" si="74"/>
        <v>60000</v>
      </c>
      <c r="AJ252" t="str">
        <f t="shared" si="75"/>
        <v>0000</v>
      </c>
    </row>
    <row r="253" spans="1:36" x14ac:dyDescent="0.25">
      <c r="A253" s="325">
        <f>Tervezés!B256</f>
        <v>0</v>
      </c>
      <c r="B253">
        <v>60</v>
      </c>
      <c r="C253">
        <f>Tervezés!E256</f>
        <v>0</v>
      </c>
      <c r="D253">
        <f>Tervezés!F256</f>
        <v>0</v>
      </c>
      <c r="E253">
        <f>Tervezés!H256</f>
        <v>0</v>
      </c>
      <c r="F253" t="str">
        <f t="shared" si="67"/>
        <v>0</v>
      </c>
      <c r="G253" t="str">
        <f t="shared" si="68"/>
        <v>0</v>
      </c>
      <c r="H253">
        <f>Tervezés!I256</f>
        <v>0</v>
      </c>
      <c r="I253">
        <f>Tervezés!J256</f>
        <v>0</v>
      </c>
      <c r="J253">
        <f>Tervezés!K256</f>
        <v>0</v>
      </c>
      <c r="K253">
        <f>Tervezés!L256</f>
        <v>0</v>
      </c>
      <c r="L253">
        <f>Tervezés!M256</f>
        <v>0</v>
      </c>
      <c r="M253" s="322" t="str">
        <f>IFERROR(VLOOKUP(A253,PAR!$D$3:$E$53,2,FALSE),"nincs szervezet")</f>
        <v>nincs szervezet</v>
      </c>
      <c r="N253" s="322" t="str">
        <f>VLOOKUP(F253,PAR!$R$3:$S$5,2,FALSE)</f>
        <v>3 - egyik sem</v>
      </c>
      <c r="O253" t="str">
        <f>IFERROR(VLOOKUP(J253,PAR!$O$3:$P$5,2,FALSE),"nincs feladat")</f>
        <v>nincs feladat</v>
      </c>
      <c r="P253" t="str">
        <f>IFERROR(VLOOKUP(G253,PAR!$J$2:$M$19,4),"nincs rovat")</f>
        <v>nincs rovat</v>
      </c>
      <c r="Q253" t="str">
        <f>IF(H253&gt;0,VLOOKUP(H253,PAR!$AA$3:$AC$187,3,FALSE),"nincs főkönyvi számla")</f>
        <v>nincs főkönyvi számla</v>
      </c>
      <c r="R253" t="str">
        <f>IFERROR(VLOOKUP(K253,PAR!$V$3:$X$438,3,FALSE),"000000 - Nincs COFOG")</f>
        <v>000000 - Nincs COFOG</v>
      </c>
      <c r="S253">
        <f t="shared" si="69"/>
        <v>0</v>
      </c>
      <c r="T253">
        <f t="shared" si="70"/>
        <v>0</v>
      </c>
      <c r="U253" t="str">
        <f>IF(Tervezés!F256&gt;0,CONCATENATE(Tervezés!E256," - ",Tervezés!F256,", ",Tervezés!J256),"nincs megjegyzés")</f>
        <v>nincs megjegyzés</v>
      </c>
      <c r="V253" t="str">
        <f t="shared" si="57"/>
        <v>6000</v>
      </c>
      <c r="W253" t="str">
        <f t="shared" si="58"/>
        <v>6000</v>
      </c>
      <c r="X253" t="str">
        <f t="shared" si="59"/>
        <v>00</v>
      </c>
      <c r="Y253" t="str">
        <f t="shared" si="60"/>
        <v>600</v>
      </c>
      <c r="Z253" t="str">
        <f t="shared" si="71"/>
        <v>00</v>
      </c>
      <c r="AA253" t="str">
        <f t="shared" si="61"/>
        <v>600</v>
      </c>
      <c r="AB253" t="str">
        <f t="shared" si="62"/>
        <v>00</v>
      </c>
      <c r="AC253" t="str">
        <f t="shared" si="63"/>
        <v>6000</v>
      </c>
      <c r="AD253" t="str">
        <f t="shared" si="64"/>
        <v>000</v>
      </c>
      <c r="AE253" t="str">
        <f t="shared" si="65"/>
        <v>6000</v>
      </c>
      <c r="AF253" t="str">
        <f t="shared" si="66"/>
        <v>000</v>
      </c>
      <c r="AG253" t="str">
        <f t="shared" si="72"/>
        <v>60000</v>
      </c>
      <c r="AH253" t="str">
        <f t="shared" si="73"/>
        <v>0000</v>
      </c>
      <c r="AI253" t="str">
        <f t="shared" si="74"/>
        <v>60000</v>
      </c>
      <c r="AJ253" t="str">
        <f t="shared" si="75"/>
        <v>0000</v>
      </c>
    </row>
    <row r="254" spans="1:36" x14ac:dyDescent="0.25">
      <c r="A254" s="325">
        <f>Tervezés!B257</f>
        <v>0</v>
      </c>
      <c r="B254">
        <v>60</v>
      </c>
      <c r="C254">
        <f>Tervezés!E257</f>
        <v>0</v>
      </c>
      <c r="D254">
        <f>Tervezés!F257</f>
        <v>0</v>
      </c>
      <c r="E254">
        <f>Tervezés!H257</f>
        <v>0</v>
      </c>
      <c r="F254" t="str">
        <f t="shared" si="67"/>
        <v>0</v>
      </c>
      <c r="G254" t="str">
        <f t="shared" si="68"/>
        <v>0</v>
      </c>
      <c r="H254">
        <f>Tervezés!I257</f>
        <v>0</v>
      </c>
      <c r="I254">
        <f>Tervezés!J257</f>
        <v>0</v>
      </c>
      <c r="J254">
        <f>Tervezés!K257</f>
        <v>0</v>
      </c>
      <c r="K254">
        <f>Tervezés!L257</f>
        <v>0</v>
      </c>
      <c r="L254">
        <f>Tervezés!M257</f>
        <v>0</v>
      </c>
      <c r="M254" s="322" t="str">
        <f>IFERROR(VLOOKUP(A254,PAR!$D$3:$E$53,2,FALSE),"nincs szervezet")</f>
        <v>nincs szervezet</v>
      </c>
      <c r="N254" s="322" t="str">
        <f>VLOOKUP(F254,PAR!$R$3:$S$5,2,FALSE)</f>
        <v>3 - egyik sem</v>
      </c>
      <c r="O254" t="str">
        <f>IFERROR(VLOOKUP(J254,PAR!$O$3:$P$5,2,FALSE),"nincs feladat")</f>
        <v>nincs feladat</v>
      </c>
      <c r="P254" t="str">
        <f>IFERROR(VLOOKUP(G254,PAR!$J$2:$M$19,4),"nincs rovat")</f>
        <v>nincs rovat</v>
      </c>
      <c r="Q254" t="str">
        <f>IF(H254&gt;0,VLOOKUP(H254,PAR!$AA$3:$AC$187,3,FALSE),"nincs főkönyvi számla")</f>
        <v>nincs főkönyvi számla</v>
      </c>
      <c r="R254" t="str">
        <f>IFERROR(VLOOKUP(K254,PAR!$V$3:$X$438,3,FALSE),"000000 - Nincs COFOG")</f>
        <v>000000 - Nincs COFOG</v>
      </c>
      <c r="S254">
        <f t="shared" si="69"/>
        <v>0</v>
      </c>
      <c r="T254">
        <f t="shared" si="70"/>
        <v>0</v>
      </c>
      <c r="U254" t="str">
        <f>IF(Tervezés!F257&gt;0,CONCATENATE(Tervezés!E257," - ",Tervezés!F257,", ",Tervezés!J257),"nincs megjegyzés")</f>
        <v>nincs megjegyzés</v>
      </c>
      <c r="V254" t="str">
        <f t="shared" si="57"/>
        <v>6000</v>
      </c>
      <c r="W254" t="str">
        <f t="shared" si="58"/>
        <v>6000</v>
      </c>
      <c r="X254" t="str">
        <f t="shared" si="59"/>
        <v>00</v>
      </c>
      <c r="Y254" t="str">
        <f t="shared" si="60"/>
        <v>600</v>
      </c>
      <c r="Z254" t="str">
        <f t="shared" si="71"/>
        <v>00</v>
      </c>
      <c r="AA254" t="str">
        <f t="shared" si="61"/>
        <v>600</v>
      </c>
      <c r="AB254" t="str">
        <f t="shared" si="62"/>
        <v>00</v>
      </c>
      <c r="AC254" t="str">
        <f t="shared" si="63"/>
        <v>6000</v>
      </c>
      <c r="AD254" t="str">
        <f t="shared" si="64"/>
        <v>000</v>
      </c>
      <c r="AE254" t="str">
        <f t="shared" si="65"/>
        <v>6000</v>
      </c>
      <c r="AF254" t="str">
        <f t="shared" si="66"/>
        <v>000</v>
      </c>
      <c r="AG254" t="str">
        <f t="shared" si="72"/>
        <v>60000</v>
      </c>
      <c r="AH254" t="str">
        <f t="shared" si="73"/>
        <v>0000</v>
      </c>
      <c r="AI254" t="str">
        <f t="shared" si="74"/>
        <v>60000</v>
      </c>
      <c r="AJ254" t="str">
        <f t="shared" si="75"/>
        <v>0000</v>
      </c>
    </row>
    <row r="255" spans="1:36" x14ac:dyDescent="0.25">
      <c r="A255" s="325">
        <f>Tervezés!B258</f>
        <v>0</v>
      </c>
      <c r="B255">
        <v>60</v>
      </c>
      <c r="C255">
        <f>Tervezés!E258</f>
        <v>0</v>
      </c>
      <c r="D255">
        <f>Tervezés!F258</f>
        <v>0</v>
      </c>
      <c r="E255">
        <f>Tervezés!H258</f>
        <v>0</v>
      </c>
      <c r="F255" t="str">
        <f t="shared" si="67"/>
        <v>0</v>
      </c>
      <c r="G255" t="str">
        <f t="shared" si="68"/>
        <v>0</v>
      </c>
      <c r="H255">
        <f>Tervezés!I258</f>
        <v>0</v>
      </c>
      <c r="I255">
        <f>Tervezés!J258</f>
        <v>0</v>
      </c>
      <c r="J255">
        <f>Tervezés!K258</f>
        <v>0</v>
      </c>
      <c r="K255">
        <f>Tervezés!L258</f>
        <v>0</v>
      </c>
      <c r="L255">
        <f>Tervezés!M258</f>
        <v>0</v>
      </c>
      <c r="M255" s="322" t="str">
        <f>IFERROR(VLOOKUP(A255,PAR!$D$3:$E$53,2,FALSE),"nincs szervezet")</f>
        <v>nincs szervezet</v>
      </c>
      <c r="N255" s="322" t="str">
        <f>VLOOKUP(F255,PAR!$R$3:$S$5,2,FALSE)</f>
        <v>3 - egyik sem</v>
      </c>
      <c r="O255" t="str">
        <f>IFERROR(VLOOKUP(J255,PAR!$O$3:$P$5,2,FALSE),"nincs feladat")</f>
        <v>nincs feladat</v>
      </c>
      <c r="P255" t="str">
        <f>IFERROR(VLOOKUP(G255,PAR!$J$2:$M$19,4),"nincs rovat")</f>
        <v>nincs rovat</v>
      </c>
      <c r="Q255" t="str">
        <f>IF(H255&gt;0,VLOOKUP(H255,PAR!$AA$3:$AC$187,3,FALSE),"nincs főkönyvi számla")</f>
        <v>nincs főkönyvi számla</v>
      </c>
      <c r="R255" t="str">
        <f>IFERROR(VLOOKUP(K255,PAR!$V$3:$X$438,3,FALSE),"000000 - Nincs COFOG")</f>
        <v>000000 - Nincs COFOG</v>
      </c>
      <c r="S255">
        <f t="shared" si="69"/>
        <v>0</v>
      </c>
      <c r="T255">
        <f t="shared" si="70"/>
        <v>0</v>
      </c>
      <c r="U255" t="str">
        <f>IF(Tervezés!F258&gt;0,CONCATENATE(Tervezés!E258," - ",Tervezés!F258,", ",Tervezés!J258),"nincs megjegyzés")</f>
        <v>nincs megjegyzés</v>
      </c>
      <c r="V255" t="str">
        <f t="shared" si="57"/>
        <v>6000</v>
      </c>
      <c r="W255" t="str">
        <f t="shared" si="58"/>
        <v>6000</v>
      </c>
      <c r="X255" t="str">
        <f t="shared" si="59"/>
        <v>00</v>
      </c>
      <c r="Y255" t="str">
        <f t="shared" si="60"/>
        <v>600</v>
      </c>
      <c r="Z255" t="str">
        <f t="shared" si="71"/>
        <v>00</v>
      </c>
      <c r="AA255" t="str">
        <f t="shared" si="61"/>
        <v>600</v>
      </c>
      <c r="AB255" t="str">
        <f t="shared" si="62"/>
        <v>00</v>
      </c>
      <c r="AC255" t="str">
        <f t="shared" si="63"/>
        <v>6000</v>
      </c>
      <c r="AD255" t="str">
        <f t="shared" si="64"/>
        <v>000</v>
      </c>
      <c r="AE255" t="str">
        <f t="shared" si="65"/>
        <v>6000</v>
      </c>
      <c r="AF255" t="str">
        <f t="shared" si="66"/>
        <v>000</v>
      </c>
      <c r="AG255" t="str">
        <f t="shared" si="72"/>
        <v>60000</v>
      </c>
      <c r="AH255" t="str">
        <f t="shared" si="73"/>
        <v>0000</v>
      </c>
      <c r="AI255" t="str">
        <f t="shared" si="74"/>
        <v>60000</v>
      </c>
      <c r="AJ255" t="str">
        <f t="shared" si="75"/>
        <v>0000</v>
      </c>
    </row>
    <row r="256" spans="1:36" x14ac:dyDescent="0.25">
      <c r="A256" s="325">
        <f>Tervezés!B259</f>
        <v>0</v>
      </c>
      <c r="B256">
        <v>60</v>
      </c>
      <c r="C256">
        <f>Tervezés!E259</f>
        <v>0</v>
      </c>
      <c r="D256">
        <f>Tervezés!F259</f>
        <v>0</v>
      </c>
      <c r="E256">
        <f>Tervezés!H259</f>
        <v>0</v>
      </c>
      <c r="F256" t="str">
        <f t="shared" si="67"/>
        <v>0</v>
      </c>
      <c r="G256" t="str">
        <f t="shared" si="68"/>
        <v>0</v>
      </c>
      <c r="H256">
        <f>Tervezés!I259</f>
        <v>0</v>
      </c>
      <c r="I256">
        <f>Tervezés!J259</f>
        <v>0</v>
      </c>
      <c r="J256">
        <f>Tervezés!K259</f>
        <v>0</v>
      </c>
      <c r="K256">
        <f>Tervezés!L259</f>
        <v>0</v>
      </c>
      <c r="L256">
        <f>Tervezés!M259</f>
        <v>0</v>
      </c>
      <c r="M256" s="322" t="str">
        <f>IFERROR(VLOOKUP(A256,PAR!$D$3:$E$53,2,FALSE),"nincs szervezet")</f>
        <v>nincs szervezet</v>
      </c>
      <c r="N256" s="322" t="str">
        <f>VLOOKUP(F256,PAR!$R$3:$S$5,2,FALSE)</f>
        <v>3 - egyik sem</v>
      </c>
      <c r="O256" t="str">
        <f>IFERROR(VLOOKUP(J256,PAR!$O$3:$P$5,2,FALSE),"nincs feladat")</f>
        <v>nincs feladat</v>
      </c>
      <c r="P256" t="str">
        <f>IFERROR(VLOOKUP(G256,PAR!$J$2:$M$19,4),"nincs rovat")</f>
        <v>nincs rovat</v>
      </c>
      <c r="Q256" t="str">
        <f>IF(H256&gt;0,VLOOKUP(H256,PAR!$AA$3:$AC$187,3,FALSE),"nincs főkönyvi számla")</f>
        <v>nincs főkönyvi számla</v>
      </c>
      <c r="R256" t="str">
        <f>IFERROR(VLOOKUP(K256,PAR!$V$3:$X$438,3,FALSE),"000000 - Nincs COFOG")</f>
        <v>000000 - Nincs COFOG</v>
      </c>
      <c r="S256">
        <f t="shared" si="69"/>
        <v>0</v>
      </c>
      <c r="T256">
        <f t="shared" si="70"/>
        <v>0</v>
      </c>
      <c r="U256" t="str">
        <f>IF(Tervezés!F259&gt;0,CONCATENATE(Tervezés!E259," - ",Tervezés!F259,", ",Tervezés!J259),"nincs megjegyzés")</f>
        <v>nincs megjegyzés</v>
      </c>
      <c r="V256" t="str">
        <f t="shared" si="57"/>
        <v>6000</v>
      </c>
      <c r="W256" t="str">
        <f t="shared" si="58"/>
        <v>6000</v>
      </c>
      <c r="X256" t="str">
        <f t="shared" si="59"/>
        <v>00</v>
      </c>
      <c r="Y256" t="str">
        <f t="shared" si="60"/>
        <v>600</v>
      </c>
      <c r="Z256" t="str">
        <f t="shared" si="71"/>
        <v>00</v>
      </c>
      <c r="AA256" t="str">
        <f t="shared" si="61"/>
        <v>600</v>
      </c>
      <c r="AB256" t="str">
        <f t="shared" si="62"/>
        <v>00</v>
      </c>
      <c r="AC256" t="str">
        <f t="shared" si="63"/>
        <v>6000</v>
      </c>
      <c r="AD256" t="str">
        <f t="shared" si="64"/>
        <v>000</v>
      </c>
      <c r="AE256" t="str">
        <f t="shared" si="65"/>
        <v>6000</v>
      </c>
      <c r="AF256" t="str">
        <f t="shared" si="66"/>
        <v>000</v>
      </c>
      <c r="AG256" t="str">
        <f t="shared" si="72"/>
        <v>60000</v>
      </c>
      <c r="AH256" t="str">
        <f t="shared" si="73"/>
        <v>0000</v>
      </c>
      <c r="AI256" t="str">
        <f t="shared" si="74"/>
        <v>60000</v>
      </c>
      <c r="AJ256" t="str">
        <f t="shared" si="75"/>
        <v>0000</v>
      </c>
    </row>
    <row r="257" spans="1:36" x14ac:dyDescent="0.25">
      <c r="A257" s="325">
        <f>Tervezés!B260</f>
        <v>0</v>
      </c>
      <c r="B257">
        <v>60</v>
      </c>
      <c r="C257">
        <f>Tervezés!E260</f>
        <v>0</v>
      </c>
      <c r="D257">
        <f>Tervezés!F260</f>
        <v>0</v>
      </c>
      <c r="E257">
        <f>Tervezés!H260</f>
        <v>0</v>
      </c>
      <c r="F257" t="str">
        <f t="shared" si="67"/>
        <v>0</v>
      </c>
      <c r="G257" t="str">
        <f t="shared" si="68"/>
        <v>0</v>
      </c>
      <c r="H257">
        <f>Tervezés!I260</f>
        <v>0</v>
      </c>
      <c r="I257">
        <f>Tervezés!J260</f>
        <v>0</v>
      </c>
      <c r="J257">
        <f>Tervezés!K260</f>
        <v>0</v>
      </c>
      <c r="K257">
        <f>Tervezés!L260</f>
        <v>0</v>
      </c>
      <c r="L257">
        <f>Tervezés!M260</f>
        <v>0</v>
      </c>
      <c r="M257" s="322" t="str">
        <f>IFERROR(VLOOKUP(A257,PAR!$D$3:$E$53,2,FALSE),"nincs szervezet")</f>
        <v>nincs szervezet</v>
      </c>
      <c r="N257" s="322" t="str">
        <f>VLOOKUP(F257,PAR!$R$3:$S$5,2,FALSE)</f>
        <v>3 - egyik sem</v>
      </c>
      <c r="O257" t="str">
        <f>IFERROR(VLOOKUP(J257,PAR!$O$3:$P$5,2,FALSE),"nincs feladat")</f>
        <v>nincs feladat</v>
      </c>
      <c r="P257" t="str">
        <f>IFERROR(VLOOKUP(G257,PAR!$J$2:$M$19,4),"nincs rovat")</f>
        <v>nincs rovat</v>
      </c>
      <c r="Q257" t="str">
        <f>IF(H257&gt;0,VLOOKUP(H257,PAR!$AA$3:$AC$187,3,FALSE),"nincs főkönyvi számla")</f>
        <v>nincs főkönyvi számla</v>
      </c>
      <c r="R257" t="str">
        <f>IFERROR(VLOOKUP(K257,PAR!$V$3:$X$438,3,FALSE),"000000 - Nincs COFOG")</f>
        <v>000000 - Nincs COFOG</v>
      </c>
      <c r="S257">
        <f t="shared" si="69"/>
        <v>0</v>
      </c>
      <c r="T257">
        <f t="shared" si="70"/>
        <v>0</v>
      </c>
      <c r="U257" t="str">
        <f>IF(Tervezés!F260&gt;0,CONCATENATE(Tervezés!E260," - ",Tervezés!F260,", ",Tervezés!J260),"nincs megjegyzés")</f>
        <v>nincs megjegyzés</v>
      </c>
      <c r="V257" t="str">
        <f t="shared" si="57"/>
        <v>6000</v>
      </c>
      <c r="W257" t="str">
        <f t="shared" si="58"/>
        <v>6000</v>
      </c>
      <c r="X257" t="str">
        <f t="shared" si="59"/>
        <v>00</v>
      </c>
      <c r="Y257" t="str">
        <f t="shared" si="60"/>
        <v>600</v>
      </c>
      <c r="Z257" t="str">
        <f t="shared" si="71"/>
        <v>00</v>
      </c>
      <c r="AA257" t="str">
        <f t="shared" si="61"/>
        <v>600</v>
      </c>
      <c r="AB257" t="str">
        <f t="shared" si="62"/>
        <v>00</v>
      </c>
      <c r="AC257" t="str">
        <f t="shared" si="63"/>
        <v>6000</v>
      </c>
      <c r="AD257" t="str">
        <f t="shared" si="64"/>
        <v>000</v>
      </c>
      <c r="AE257" t="str">
        <f t="shared" si="65"/>
        <v>6000</v>
      </c>
      <c r="AF257" t="str">
        <f t="shared" si="66"/>
        <v>000</v>
      </c>
      <c r="AG257" t="str">
        <f t="shared" si="72"/>
        <v>60000</v>
      </c>
      <c r="AH257" t="str">
        <f t="shared" si="73"/>
        <v>0000</v>
      </c>
      <c r="AI257" t="str">
        <f t="shared" si="74"/>
        <v>60000</v>
      </c>
      <c r="AJ257" t="str">
        <f t="shared" si="75"/>
        <v>0000</v>
      </c>
    </row>
    <row r="258" spans="1:36" x14ac:dyDescent="0.25">
      <c r="A258" s="325">
        <f>Tervezés!B261</f>
        <v>0</v>
      </c>
      <c r="B258">
        <v>60</v>
      </c>
      <c r="C258">
        <f>Tervezés!E261</f>
        <v>0</v>
      </c>
      <c r="D258">
        <f>Tervezés!F261</f>
        <v>0</v>
      </c>
      <c r="E258">
        <f>Tervezés!H261</f>
        <v>0</v>
      </c>
      <c r="F258" t="str">
        <f t="shared" si="67"/>
        <v>0</v>
      </c>
      <c r="G258" t="str">
        <f t="shared" si="68"/>
        <v>0</v>
      </c>
      <c r="H258">
        <f>Tervezés!I261</f>
        <v>0</v>
      </c>
      <c r="I258">
        <f>Tervezés!J261</f>
        <v>0</v>
      </c>
      <c r="J258">
        <f>Tervezés!K261</f>
        <v>0</v>
      </c>
      <c r="K258">
        <f>Tervezés!L261</f>
        <v>0</v>
      </c>
      <c r="L258">
        <f>Tervezés!M261</f>
        <v>0</v>
      </c>
      <c r="M258" s="322" t="str">
        <f>IFERROR(VLOOKUP(A258,PAR!$D$3:$E$53,2,FALSE),"nincs szervezet")</f>
        <v>nincs szervezet</v>
      </c>
      <c r="N258" s="322" t="str">
        <f>VLOOKUP(F258,PAR!$R$3:$S$5,2,FALSE)</f>
        <v>3 - egyik sem</v>
      </c>
      <c r="O258" t="str">
        <f>IFERROR(VLOOKUP(J258,PAR!$O$3:$P$5,2,FALSE),"nincs feladat")</f>
        <v>nincs feladat</v>
      </c>
      <c r="P258" t="str">
        <f>IFERROR(VLOOKUP(G258,PAR!$J$2:$M$19,4),"nincs rovat")</f>
        <v>nincs rovat</v>
      </c>
      <c r="Q258" t="str">
        <f>IF(H258&gt;0,VLOOKUP(H258,PAR!$AA$3:$AC$187,3,FALSE),"nincs főkönyvi számla")</f>
        <v>nincs főkönyvi számla</v>
      </c>
      <c r="R258" t="str">
        <f>IFERROR(VLOOKUP(K258,PAR!$V$3:$X$438,3,FALSE),"000000 - Nincs COFOG")</f>
        <v>000000 - Nincs COFOG</v>
      </c>
      <c r="S258">
        <f t="shared" si="69"/>
        <v>0</v>
      </c>
      <c r="T258">
        <f t="shared" si="70"/>
        <v>0</v>
      </c>
      <c r="U258" t="str">
        <f>IF(Tervezés!F261&gt;0,CONCATENATE(Tervezés!E261," - ",Tervezés!F261,", ",Tervezés!J261),"nincs megjegyzés")</f>
        <v>nincs megjegyzés</v>
      </c>
      <c r="V258" t="str">
        <f t="shared" ref="V258:V321" si="76">CONCATENATE(B258,A258,G258)</f>
        <v>6000</v>
      </c>
      <c r="W258" t="str">
        <f t="shared" ref="W258:W321" si="77">CONCATENATE(B258,A258,F258)</f>
        <v>6000</v>
      </c>
      <c r="X258" t="str">
        <f t="shared" ref="X258:X321" si="78">CONCATENATE(A258,H258)</f>
        <v>00</v>
      </c>
      <c r="Y258" t="str">
        <f t="shared" ref="Y258:Y321" si="79">CONCATENATE(B258,H258)</f>
        <v>600</v>
      </c>
      <c r="Z258" t="str">
        <f t="shared" si="71"/>
        <v>00</v>
      </c>
      <c r="AA258" t="str">
        <f t="shared" ref="AA258:AA321" si="80">CONCATENATE(B258,G258)</f>
        <v>600</v>
      </c>
      <c r="AB258" t="str">
        <f t="shared" ref="AB258:AB321" si="81">CONCATENATE(J258,G258)</f>
        <v>00</v>
      </c>
      <c r="AC258" t="str">
        <f t="shared" ref="AC258:AC321" si="82">CONCATENATE(B258,A258,H258)</f>
        <v>6000</v>
      </c>
      <c r="AD258" t="str">
        <f t="shared" ref="AD258:AD321" si="83">CONCATENATE(A258,H258,J258)</f>
        <v>000</v>
      </c>
      <c r="AE258" t="str">
        <f t="shared" ref="AE258:AE321" si="84">CONCATENATE(B258,A258,G258)</f>
        <v>6000</v>
      </c>
      <c r="AF258" t="str">
        <f t="shared" ref="AF258:AF321" si="85">CONCATENATE(A258,G258,J258)</f>
        <v>000</v>
      </c>
      <c r="AG258" t="str">
        <f t="shared" si="72"/>
        <v>60000</v>
      </c>
      <c r="AH258" t="str">
        <f t="shared" si="73"/>
        <v>0000</v>
      </c>
      <c r="AI258" t="str">
        <f t="shared" si="74"/>
        <v>60000</v>
      </c>
      <c r="AJ258" t="str">
        <f t="shared" si="75"/>
        <v>0000</v>
      </c>
    </row>
    <row r="259" spans="1:36" x14ac:dyDescent="0.25">
      <c r="A259" s="325">
        <f>Tervezés!B262</f>
        <v>0</v>
      </c>
      <c r="B259">
        <v>60</v>
      </c>
      <c r="C259">
        <f>Tervezés!E262</f>
        <v>0</v>
      </c>
      <c r="D259">
        <f>Tervezés!F262</f>
        <v>0</v>
      </c>
      <c r="E259">
        <f>Tervezés!H262</f>
        <v>0</v>
      </c>
      <c r="F259" t="str">
        <f t="shared" ref="F259:F322" si="86">LEFT(G259,2)</f>
        <v>0</v>
      </c>
      <c r="G259" t="str">
        <f t="shared" ref="G259:G322" si="87">LEFT(H259,3)</f>
        <v>0</v>
      </c>
      <c r="H259">
        <f>Tervezés!I262</f>
        <v>0</v>
      </c>
      <c r="I259">
        <f>Tervezés!J262</f>
        <v>0</v>
      </c>
      <c r="J259">
        <f>Tervezés!K262</f>
        <v>0</v>
      </c>
      <c r="K259">
        <f>Tervezés!L262</f>
        <v>0</v>
      </c>
      <c r="L259">
        <f>Tervezés!M262</f>
        <v>0</v>
      </c>
      <c r="M259" s="322" t="str">
        <f>IFERROR(VLOOKUP(A259,PAR!$D$3:$E$53,2,FALSE),"nincs szervezet")</f>
        <v>nincs szervezet</v>
      </c>
      <c r="N259" s="322" t="str">
        <f>VLOOKUP(F259,PAR!$R$3:$S$5,2,FALSE)</f>
        <v>3 - egyik sem</v>
      </c>
      <c r="O259" t="str">
        <f>IFERROR(VLOOKUP(J259,PAR!$O$3:$P$5,2,FALSE),"nincs feladat")</f>
        <v>nincs feladat</v>
      </c>
      <c r="P259" t="str">
        <f>IFERROR(VLOOKUP(G259,PAR!$J$2:$M$19,4),"nincs rovat")</f>
        <v>nincs rovat</v>
      </c>
      <c r="Q259" t="str">
        <f>IF(H259&gt;0,VLOOKUP(H259,PAR!$AA$3:$AC$187,3,FALSE),"nincs főkönyvi számla")</f>
        <v>nincs főkönyvi számla</v>
      </c>
      <c r="R259" t="str">
        <f>IFERROR(VLOOKUP(K259,PAR!$V$3:$X$438,3,FALSE),"000000 - Nincs COFOG")</f>
        <v>000000 - Nincs COFOG</v>
      </c>
      <c r="S259">
        <f t="shared" ref="S259:S322" si="88">E259</f>
        <v>0</v>
      </c>
      <c r="T259">
        <f t="shared" ref="T259:T322" si="89">IF(F259="09",E259*-1,E259)</f>
        <v>0</v>
      </c>
      <c r="U259" t="str">
        <f>IF(Tervezés!F262&gt;0,CONCATENATE(Tervezés!E262," - ",Tervezés!F262,", ",Tervezés!J262),"nincs megjegyzés")</f>
        <v>nincs megjegyzés</v>
      </c>
      <c r="V259" t="str">
        <f t="shared" si="76"/>
        <v>6000</v>
      </c>
      <c r="W259" t="str">
        <f t="shared" si="77"/>
        <v>6000</v>
      </c>
      <c r="X259" t="str">
        <f t="shared" si="78"/>
        <v>00</v>
      </c>
      <c r="Y259" t="str">
        <f t="shared" si="79"/>
        <v>600</v>
      </c>
      <c r="Z259" t="str">
        <f t="shared" ref="Z259:Z322" si="90">CONCATENATE(J259,H259)</f>
        <v>00</v>
      </c>
      <c r="AA259" t="str">
        <f t="shared" si="80"/>
        <v>600</v>
      </c>
      <c r="AB259" t="str">
        <f t="shared" si="81"/>
        <v>00</v>
      </c>
      <c r="AC259" t="str">
        <f t="shared" si="82"/>
        <v>6000</v>
      </c>
      <c r="AD259" t="str">
        <f t="shared" si="83"/>
        <v>000</v>
      </c>
      <c r="AE259" t="str">
        <f t="shared" si="84"/>
        <v>6000</v>
      </c>
      <c r="AF259" t="str">
        <f t="shared" si="85"/>
        <v>000</v>
      </c>
      <c r="AG259" t="str">
        <f t="shared" ref="AG259:AG322" si="91">CONCATENATE(B259,A259,H259,L259)</f>
        <v>60000</v>
      </c>
      <c r="AH259" t="str">
        <f t="shared" ref="AH259:AH322" si="92">CONCATENATE(A259,J259,H259,L259)</f>
        <v>0000</v>
      </c>
      <c r="AI259" t="str">
        <f t="shared" ref="AI259:AI322" si="93">CONCATENATE(B259,A259,G259,L259)</f>
        <v>60000</v>
      </c>
      <c r="AJ259" t="str">
        <f t="shared" ref="AJ259:AJ322" si="94">CONCATENATE(A259,G259,J259,L259)</f>
        <v>0000</v>
      </c>
    </row>
    <row r="260" spans="1:36" x14ac:dyDescent="0.25">
      <c r="A260" s="325">
        <f>Tervezés!B263</f>
        <v>0</v>
      </c>
      <c r="B260">
        <v>60</v>
      </c>
      <c r="C260">
        <f>Tervezés!E263</f>
        <v>0</v>
      </c>
      <c r="D260">
        <f>Tervezés!F263</f>
        <v>0</v>
      </c>
      <c r="E260">
        <f>Tervezés!H263</f>
        <v>0</v>
      </c>
      <c r="F260" t="str">
        <f t="shared" si="86"/>
        <v>0</v>
      </c>
      <c r="G260" t="str">
        <f t="shared" si="87"/>
        <v>0</v>
      </c>
      <c r="H260">
        <f>Tervezés!I263</f>
        <v>0</v>
      </c>
      <c r="I260">
        <f>Tervezés!J263</f>
        <v>0</v>
      </c>
      <c r="J260">
        <f>Tervezés!K263</f>
        <v>0</v>
      </c>
      <c r="K260">
        <f>Tervezés!L263</f>
        <v>0</v>
      </c>
      <c r="L260">
        <f>Tervezés!M263</f>
        <v>0</v>
      </c>
      <c r="M260" s="322" t="str">
        <f>IFERROR(VLOOKUP(A260,PAR!$D$3:$E$53,2,FALSE),"nincs szervezet")</f>
        <v>nincs szervezet</v>
      </c>
      <c r="N260" s="322" t="str">
        <f>VLOOKUP(F260,PAR!$R$3:$S$5,2,FALSE)</f>
        <v>3 - egyik sem</v>
      </c>
      <c r="O260" t="str">
        <f>IFERROR(VLOOKUP(J260,PAR!$O$3:$P$5,2,FALSE),"nincs feladat")</f>
        <v>nincs feladat</v>
      </c>
      <c r="P260" t="str">
        <f>IFERROR(VLOOKUP(G260,PAR!$J$2:$M$19,4),"nincs rovat")</f>
        <v>nincs rovat</v>
      </c>
      <c r="Q260" t="str">
        <f>IF(H260&gt;0,VLOOKUP(H260,PAR!$AA$3:$AC$187,3,FALSE),"nincs főkönyvi számla")</f>
        <v>nincs főkönyvi számla</v>
      </c>
      <c r="R260" t="str">
        <f>IFERROR(VLOOKUP(K260,PAR!$V$3:$X$438,3,FALSE),"000000 - Nincs COFOG")</f>
        <v>000000 - Nincs COFOG</v>
      </c>
      <c r="S260">
        <f t="shared" si="88"/>
        <v>0</v>
      </c>
      <c r="T260">
        <f t="shared" si="89"/>
        <v>0</v>
      </c>
      <c r="U260" t="str">
        <f>IF(Tervezés!F263&gt;0,CONCATENATE(Tervezés!E263," - ",Tervezés!F263,", ",Tervezés!J263),"nincs megjegyzés")</f>
        <v>nincs megjegyzés</v>
      </c>
      <c r="V260" t="str">
        <f t="shared" si="76"/>
        <v>6000</v>
      </c>
      <c r="W260" t="str">
        <f t="shared" si="77"/>
        <v>6000</v>
      </c>
      <c r="X260" t="str">
        <f t="shared" si="78"/>
        <v>00</v>
      </c>
      <c r="Y260" t="str">
        <f t="shared" si="79"/>
        <v>600</v>
      </c>
      <c r="Z260" t="str">
        <f t="shared" si="90"/>
        <v>00</v>
      </c>
      <c r="AA260" t="str">
        <f t="shared" si="80"/>
        <v>600</v>
      </c>
      <c r="AB260" t="str">
        <f t="shared" si="81"/>
        <v>00</v>
      </c>
      <c r="AC260" t="str">
        <f t="shared" si="82"/>
        <v>6000</v>
      </c>
      <c r="AD260" t="str">
        <f t="shared" si="83"/>
        <v>000</v>
      </c>
      <c r="AE260" t="str">
        <f t="shared" si="84"/>
        <v>6000</v>
      </c>
      <c r="AF260" t="str">
        <f t="shared" si="85"/>
        <v>000</v>
      </c>
      <c r="AG260" t="str">
        <f t="shared" si="91"/>
        <v>60000</v>
      </c>
      <c r="AH260" t="str">
        <f t="shared" si="92"/>
        <v>0000</v>
      </c>
      <c r="AI260" t="str">
        <f t="shared" si="93"/>
        <v>60000</v>
      </c>
      <c r="AJ260" t="str">
        <f t="shared" si="94"/>
        <v>0000</v>
      </c>
    </row>
    <row r="261" spans="1:36" x14ac:dyDescent="0.25">
      <c r="A261" s="325">
        <f>Tervezés!B264</f>
        <v>0</v>
      </c>
      <c r="B261">
        <v>60</v>
      </c>
      <c r="C261">
        <f>Tervezés!E264</f>
        <v>0</v>
      </c>
      <c r="D261">
        <f>Tervezés!F264</f>
        <v>0</v>
      </c>
      <c r="E261">
        <f>Tervezés!H264</f>
        <v>0</v>
      </c>
      <c r="F261" t="str">
        <f t="shared" si="86"/>
        <v>0</v>
      </c>
      <c r="G261" t="str">
        <f t="shared" si="87"/>
        <v>0</v>
      </c>
      <c r="H261">
        <f>Tervezés!I264</f>
        <v>0</v>
      </c>
      <c r="I261">
        <f>Tervezés!J264</f>
        <v>0</v>
      </c>
      <c r="J261">
        <f>Tervezés!K264</f>
        <v>0</v>
      </c>
      <c r="K261">
        <f>Tervezés!L264</f>
        <v>0</v>
      </c>
      <c r="L261">
        <f>Tervezés!M264</f>
        <v>0</v>
      </c>
      <c r="M261" s="322" t="str">
        <f>IFERROR(VLOOKUP(A261,PAR!$D$3:$E$53,2,FALSE),"nincs szervezet")</f>
        <v>nincs szervezet</v>
      </c>
      <c r="N261" s="322" t="str">
        <f>VLOOKUP(F261,PAR!$R$3:$S$5,2,FALSE)</f>
        <v>3 - egyik sem</v>
      </c>
      <c r="O261" t="str">
        <f>IFERROR(VLOOKUP(J261,PAR!$O$3:$P$5,2,FALSE),"nincs feladat")</f>
        <v>nincs feladat</v>
      </c>
      <c r="P261" t="str">
        <f>IFERROR(VLOOKUP(G261,PAR!$J$2:$M$19,4),"nincs rovat")</f>
        <v>nincs rovat</v>
      </c>
      <c r="Q261" t="str">
        <f>IF(H261&gt;0,VLOOKUP(H261,PAR!$AA$3:$AC$187,3,FALSE),"nincs főkönyvi számla")</f>
        <v>nincs főkönyvi számla</v>
      </c>
      <c r="R261" t="str">
        <f>IFERROR(VLOOKUP(K261,PAR!$V$3:$X$438,3,FALSE),"000000 - Nincs COFOG")</f>
        <v>000000 - Nincs COFOG</v>
      </c>
      <c r="S261">
        <f t="shared" si="88"/>
        <v>0</v>
      </c>
      <c r="T261">
        <f t="shared" si="89"/>
        <v>0</v>
      </c>
      <c r="U261" t="str">
        <f>IF(Tervezés!F264&gt;0,CONCATENATE(Tervezés!E264," - ",Tervezés!F264,", ",Tervezés!J264),"nincs megjegyzés")</f>
        <v>nincs megjegyzés</v>
      </c>
      <c r="V261" t="str">
        <f t="shared" si="76"/>
        <v>6000</v>
      </c>
      <c r="W261" t="str">
        <f t="shared" si="77"/>
        <v>6000</v>
      </c>
      <c r="X261" t="str">
        <f t="shared" si="78"/>
        <v>00</v>
      </c>
      <c r="Y261" t="str">
        <f t="shared" si="79"/>
        <v>600</v>
      </c>
      <c r="Z261" t="str">
        <f t="shared" si="90"/>
        <v>00</v>
      </c>
      <c r="AA261" t="str">
        <f t="shared" si="80"/>
        <v>600</v>
      </c>
      <c r="AB261" t="str">
        <f t="shared" si="81"/>
        <v>00</v>
      </c>
      <c r="AC261" t="str">
        <f t="shared" si="82"/>
        <v>6000</v>
      </c>
      <c r="AD261" t="str">
        <f t="shared" si="83"/>
        <v>000</v>
      </c>
      <c r="AE261" t="str">
        <f t="shared" si="84"/>
        <v>6000</v>
      </c>
      <c r="AF261" t="str">
        <f t="shared" si="85"/>
        <v>000</v>
      </c>
      <c r="AG261" t="str">
        <f t="shared" si="91"/>
        <v>60000</v>
      </c>
      <c r="AH261" t="str">
        <f t="shared" si="92"/>
        <v>0000</v>
      </c>
      <c r="AI261" t="str">
        <f t="shared" si="93"/>
        <v>60000</v>
      </c>
      <c r="AJ261" t="str">
        <f t="shared" si="94"/>
        <v>0000</v>
      </c>
    </row>
    <row r="262" spans="1:36" x14ac:dyDescent="0.25">
      <c r="A262" s="325">
        <f>Tervezés!B265</f>
        <v>0</v>
      </c>
      <c r="B262">
        <v>60</v>
      </c>
      <c r="C262">
        <f>Tervezés!E265</f>
        <v>0</v>
      </c>
      <c r="D262">
        <f>Tervezés!F265</f>
        <v>0</v>
      </c>
      <c r="E262">
        <f>Tervezés!H265</f>
        <v>0</v>
      </c>
      <c r="F262" t="str">
        <f t="shared" si="86"/>
        <v>0</v>
      </c>
      <c r="G262" t="str">
        <f t="shared" si="87"/>
        <v>0</v>
      </c>
      <c r="H262">
        <f>Tervezés!I265</f>
        <v>0</v>
      </c>
      <c r="I262">
        <f>Tervezés!J265</f>
        <v>0</v>
      </c>
      <c r="J262">
        <f>Tervezés!K265</f>
        <v>0</v>
      </c>
      <c r="K262">
        <f>Tervezés!L265</f>
        <v>0</v>
      </c>
      <c r="L262">
        <f>Tervezés!M265</f>
        <v>0</v>
      </c>
      <c r="M262" s="322" t="str">
        <f>IFERROR(VLOOKUP(A262,PAR!$D$3:$E$53,2,FALSE),"nincs szervezet")</f>
        <v>nincs szervezet</v>
      </c>
      <c r="N262" s="322" t="str">
        <f>VLOOKUP(F262,PAR!$R$3:$S$5,2,FALSE)</f>
        <v>3 - egyik sem</v>
      </c>
      <c r="O262" t="str">
        <f>IFERROR(VLOOKUP(J262,PAR!$O$3:$P$5,2,FALSE),"nincs feladat")</f>
        <v>nincs feladat</v>
      </c>
      <c r="P262" t="str">
        <f>IFERROR(VLOOKUP(G262,PAR!$J$2:$M$19,4),"nincs rovat")</f>
        <v>nincs rovat</v>
      </c>
      <c r="Q262" t="str">
        <f>IF(H262&gt;0,VLOOKUP(H262,PAR!$AA$3:$AC$187,3,FALSE),"nincs főkönyvi számla")</f>
        <v>nincs főkönyvi számla</v>
      </c>
      <c r="R262" t="str">
        <f>IFERROR(VLOOKUP(K262,PAR!$V$3:$X$438,3,FALSE),"000000 - Nincs COFOG")</f>
        <v>000000 - Nincs COFOG</v>
      </c>
      <c r="S262">
        <f t="shared" si="88"/>
        <v>0</v>
      </c>
      <c r="T262">
        <f t="shared" si="89"/>
        <v>0</v>
      </c>
      <c r="U262" t="str">
        <f>IF(Tervezés!F265&gt;0,CONCATENATE(Tervezés!E265," - ",Tervezés!F265,", ",Tervezés!J265),"nincs megjegyzés")</f>
        <v>nincs megjegyzés</v>
      </c>
      <c r="V262" t="str">
        <f t="shared" si="76"/>
        <v>6000</v>
      </c>
      <c r="W262" t="str">
        <f t="shared" si="77"/>
        <v>6000</v>
      </c>
      <c r="X262" t="str">
        <f t="shared" si="78"/>
        <v>00</v>
      </c>
      <c r="Y262" t="str">
        <f t="shared" si="79"/>
        <v>600</v>
      </c>
      <c r="Z262" t="str">
        <f t="shared" si="90"/>
        <v>00</v>
      </c>
      <c r="AA262" t="str">
        <f t="shared" si="80"/>
        <v>600</v>
      </c>
      <c r="AB262" t="str">
        <f t="shared" si="81"/>
        <v>00</v>
      </c>
      <c r="AC262" t="str">
        <f t="shared" si="82"/>
        <v>6000</v>
      </c>
      <c r="AD262" t="str">
        <f t="shared" si="83"/>
        <v>000</v>
      </c>
      <c r="AE262" t="str">
        <f t="shared" si="84"/>
        <v>6000</v>
      </c>
      <c r="AF262" t="str">
        <f t="shared" si="85"/>
        <v>000</v>
      </c>
      <c r="AG262" t="str">
        <f t="shared" si="91"/>
        <v>60000</v>
      </c>
      <c r="AH262" t="str">
        <f t="shared" si="92"/>
        <v>0000</v>
      </c>
      <c r="AI262" t="str">
        <f t="shared" si="93"/>
        <v>60000</v>
      </c>
      <c r="AJ262" t="str">
        <f t="shared" si="94"/>
        <v>0000</v>
      </c>
    </row>
    <row r="263" spans="1:36" x14ac:dyDescent="0.25">
      <c r="A263" s="325">
        <f>Tervezés!B266</f>
        <v>0</v>
      </c>
      <c r="B263">
        <v>60</v>
      </c>
      <c r="C263">
        <f>Tervezés!E266</f>
        <v>0</v>
      </c>
      <c r="D263">
        <f>Tervezés!F266</f>
        <v>0</v>
      </c>
      <c r="E263">
        <f>Tervezés!H266</f>
        <v>0</v>
      </c>
      <c r="F263" t="str">
        <f t="shared" si="86"/>
        <v>0</v>
      </c>
      <c r="G263" t="str">
        <f t="shared" si="87"/>
        <v>0</v>
      </c>
      <c r="H263">
        <f>Tervezés!I266</f>
        <v>0</v>
      </c>
      <c r="I263">
        <f>Tervezés!J266</f>
        <v>0</v>
      </c>
      <c r="J263">
        <f>Tervezés!K266</f>
        <v>0</v>
      </c>
      <c r="K263">
        <f>Tervezés!L266</f>
        <v>0</v>
      </c>
      <c r="L263">
        <f>Tervezés!M266</f>
        <v>0</v>
      </c>
      <c r="M263" s="322" t="str">
        <f>IFERROR(VLOOKUP(A263,PAR!$D$3:$E$53,2,FALSE),"nincs szervezet")</f>
        <v>nincs szervezet</v>
      </c>
      <c r="N263" s="322" t="str">
        <f>VLOOKUP(F263,PAR!$R$3:$S$5,2,FALSE)</f>
        <v>3 - egyik sem</v>
      </c>
      <c r="O263" t="str">
        <f>IFERROR(VLOOKUP(J263,PAR!$O$3:$P$5,2,FALSE),"nincs feladat")</f>
        <v>nincs feladat</v>
      </c>
      <c r="P263" t="str">
        <f>IFERROR(VLOOKUP(G263,PAR!$J$2:$M$19,4),"nincs rovat")</f>
        <v>nincs rovat</v>
      </c>
      <c r="Q263" t="str">
        <f>IF(H263&gt;0,VLOOKUP(H263,PAR!$AA$3:$AC$187,3,FALSE),"nincs főkönyvi számla")</f>
        <v>nincs főkönyvi számla</v>
      </c>
      <c r="R263" t="str">
        <f>IFERROR(VLOOKUP(K263,PAR!$V$3:$X$438,3,FALSE),"000000 - Nincs COFOG")</f>
        <v>000000 - Nincs COFOG</v>
      </c>
      <c r="S263">
        <f t="shared" si="88"/>
        <v>0</v>
      </c>
      <c r="T263">
        <f t="shared" si="89"/>
        <v>0</v>
      </c>
      <c r="U263" t="str">
        <f>IF(Tervezés!F266&gt;0,CONCATENATE(Tervezés!E266," - ",Tervezés!F266,", ",Tervezés!J266),"nincs megjegyzés")</f>
        <v>nincs megjegyzés</v>
      </c>
      <c r="V263" t="str">
        <f t="shared" si="76"/>
        <v>6000</v>
      </c>
      <c r="W263" t="str">
        <f t="shared" si="77"/>
        <v>6000</v>
      </c>
      <c r="X263" t="str">
        <f t="shared" si="78"/>
        <v>00</v>
      </c>
      <c r="Y263" t="str">
        <f t="shared" si="79"/>
        <v>600</v>
      </c>
      <c r="Z263" t="str">
        <f t="shared" si="90"/>
        <v>00</v>
      </c>
      <c r="AA263" t="str">
        <f t="shared" si="80"/>
        <v>600</v>
      </c>
      <c r="AB263" t="str">
        <f t="shared" si="81"/>
        <v>00</v>
      </c>
      <c r="AC263" t="str">
        <f t="shared" si="82"/>
        <v>6000</v>
      </c>
      <c r="AD263" t="str">
        <f t="shared" si="83"/>
        <v>000</v>
      </c>
      <c r="AE263" t="str">
        <f t="shared" si="84"/>
        <v>6000</v>
      </c>
      <c r="AF263" t="str">
        <f t="shared" si="85"/>
        <v>000</v>
      </c>
      <c r="AG263" t="str">
        <f t="shared" si="91"/>
        <v>60000</v>
      </c>
      <c r="AH263" t="str">
        <f t="shared" si="92"/>
        <v>0000</v>
      </c>
      <c r="AI263" t="str">
        <f t="shared" si="93"/>
        <v>60000</v>
      </c>
      <c r="AJ263" t="str">
        <f t="shared" si="94"/>
        <v>0000</v>
      </c>
    </row>
    <row r="264" spans="1:36" x14ac:dyDescent="0.25">
      <c r="A264" s="325">
        <f>Tervezés!B267</f>
        <v>0</v>
      </c>
      <c r="B264">
        <v>60</v>
      </c>
      <c r="C264">
        <f>Tervezés!E267</f>
        <v>0</v>
      </c>
      <c r="D264">
        <f>Tervezés!F267</f>
        <v>0</v>
      </c>
      <c r="E264">
        <f>Tervezés!H267</f>
        <v>0</v>
      </c>
      <c r="F264" t="str">
        <f t="shared" si="86"/>
        <v>0</v>
      </c>
      <c r="G264" t="str">
        <f t="shared" si="87"/>
        <v>0</v>
      </c>
      <c r="H264">
        <f>Tervezés!I267</f>
        <v>0</v>
      </c>
      <c r="I264">
        <f>Tervezés!J267</f>
        <v>0</v>
      </c>
      <c r="J264">
        <f>Tervezés!K267</f>
        <v>0</v>
      </c>
      <c r="K264">
        <f>Tervezés!L267</f>
        <v>0</v>
      </c>
      <c r="L264">
        <f>Tervezés!M267</f>
        <v>0</v>
      </c>
      <c r="M264" s="322" t="str">
        <f>IFERROR(VLOOKUP(A264,PAR!$D$3:$E$53,2,FALSE),"nincs szervezet")</f>
        <v>nincs szervezet</v>
      </c>
      <c r="N264" s="322" t="str">
        <f>VLOOKUP(F264,PAR!$R$3:$S$5,2,FALSE)</f>
        <v>3 - egyik sem</v>
      </c>
      <c r="O264" t="str">
        <f>IFERROR(VLOOKUP(J264,PAR!$O$3:$P$5,2,FALSE),"nincs feladat")</f>
        <v>nincs feladat</v>
      </c>
      <c r="P264" t="str">
        <f>IFERROR(VLOOKUP(G264,PAR!$J$2:$M$19,4),"nincs rovat")</f>
        <v>nincs rovat</v>
      </c>
      <c r="Q264" t="str">
        <f>IF(H264&gt;0,VLOOKUP(H264,PAR!$AA$3:$AC$187,3,FALSE),"nincs főkönyvi számla")</f>
        <v>nincs főkönyvi számla</v>
      </c>
      <c r="R264" t="str">
        <f>IFERROR(VLOOKUP(K264,PAR!$V$3:$X$438,3,FALSE),"000000 - Nincs COFOG")</f>
        <v>000000 - Nincs COFOG</v>
      </c>
      <c r="S264">
        <f t="shared" si="88"/>
        <v>0</v>
      </c>
      <c r="T264">
        <f t="shared" si="89"/>
        <v>0</v>
      </c>
      <c r="U264" t="str">
        <f>IF(Tervezés!F267&gt;0,CONCATENATE(Tervezés!E267," - ",Tervezés!F267,", ",Tervezés!J267),"nincs megjegyzés")</f>
        <v>nincs megjegyzés</v>
      </c>
      <c r="V264" t="str">
        <f t="shared" si="76"/>
        <v>6000</v>
      </c>
      <c r="W264" t="str">
        <f t="shared" si="77"/>
        <v>6000</v>
      </c>
      <c r="X264" t="str">
        <f t="shared" si="78"/>
        <v>00</v>
      </c>
      <c r="Y264" t="str">
        <f t="shared" si="79"/>
        <v>600</v>
      </c>
      <c r="Z264" t="str">
        <f t="shared" si="90"/>
        <v>00</v>
      </c>
      <c r="AA264" t="str">
        <f t="shared" si="80"/>
        <v>600</v>
      </c>
      <c r="AB264" t="str">
        <f t="shared" si="81"/>
        <v>00</v>
      </c>
      <c r="AC264" t="str">
        <f t="shared" si="82"/>
        <v>6000</v>
      </c>
      <c r="AD264" t="str">
        <f t="shared" si="83"/>
        <v>000</v>
      </c>
      <c r="AE264" t="str">
        <f t="shared" si="84"/>
        <v>6000</v>
      </c>
      <c r="AF264" t="str">
        <f t="shared" si="85"/>
        <v>000</v>
      </c>
      <c r="AG264" t="str">
        <f t="shared" si="91"/>
        <v>60000</v>
      </c>
      <c r="AH264" t="str">
        <f t="shared" si="92"/>
        <v>0000</v>
      </c>
      <c r="AI264" t="str">
        <f t="shared" si="93"/>
        <v>60000</v>
      </c>
      <c r="AJ264" t="str">
        <f t="shared" si="94"/>
        <v>0000</v>
      </c>
    </row>
    <row r="265" spans="1:36" x14ac:dyDescent="0.25">
      <c r="A265" s="325">
        <f>Tervezés!B268</f>
        <v>0</v>
      </c>
      <c r="B265">
        <v>60</v>
      </c>
      <c r="C265">
        <f>Tervezés!E268</f>
        <v>0</v>
      </c>
      <c r="D265">
        <f>Tervezés!F268</f>
        <v>0</v>
      </c>
      <c r="E265">
        <f>Tervezés!H268</f>
        <v>0</v>
      </c>
      <c r="F265" t="str">
        <f t="shared" si="86"/>
        <v>0</v>
      </c>
      <c r="G265" t="str">
        <f t="shared" si="87"/>
        <v>0</v>
      </c>
      <c r="H265">
        <f>Tervezés!I268</f>
        <v>0</v>
      </c>
      <c r="I265">
        <f>Tervezés!J268</f>
        <v>0</v>
      </c>
      <c r="J265">
        <f>Tervezés!K268</f>
        <v>0</v>
      </c>
      <c r="K265">
        <f>Tervezés!L268</f>
        <v>0</v>
      </c>
      <c r="L265">
        <f>Tervezés!M268</f>
        <v>0</v>
      </c>
      <c r="M265" s="322" t="str">
        <f>IFERROR(VLOOKUP(A265,PAR!$D$3:$E$53,2,FALSE),"nincs szervezet")</f>
        <v>nincs szervezet</v>
      </c>
      <c r="N265" s="322" t="str">
        <f>VLOOKUP(F265,PAR!$R$3:$S$5,2,FALSE)</f>
        <v>3 - egyik sem</v>
      </c>
      <c r="O265" t="str">
        <f>IFERROR(VLOOKUP(J265,PAR!$O$3:$P$5,2,FALSE),"nincs feladat")</f>
        <v>nincs feladat</v>
      </c>
      <c r="P265" t="str">
        <f>IFERROR(VLOOKUP(G265,PAR!$J$2:$M$19,4),"nincs rovat")</f>
        <v>nincs rovat</v>
      </c>
      <c r="Q265" t="str">
        <f>IF(H265&gt;0,VLOOKUP(H265,PAR!$AA$3:$AC$187,3,FALSE),"nincs főkönyvi számla")</f>
        <v>nincs főkönyvi számla</v>
      </c>
      <c r="R265" t="str">
        <f>IFERROR(VLOOKUP(K265,PAR!$V$3:$X$438,3,FALSE),"000000 - Nincs COFOG")</f>
        <v>000000 - Nincs COFOG</v>
      </c>
      <c r="S265">
        <f t="shared" si="88"/>
        <v>0</v>
      </c>
      <c r="T265">
        <f t="shared" si="89"/>
        <v>0</v>
      </c>
      <c r="U265" t="str">
        <f>IF(Tervezés!F268&gt;0,CONCATENATE(Tervezés!E268," - ",Tervezés!F268,", ",Tervezés!J268),"nincs megjegyzés")</f>
        <v>nincs megjegyzés</v>
      </c>
      <c r="V265" t="str">
        <f t="shared" si="76"/>
        <v>6000</v>
      </c>
      <c r="W265" t="str">
        <f t="shared" si="77"/>
        <v>6000</v>
      </c>
      <c r="X265" t="str">
        <f t="shared" si="78"/>
        <v>00</v>
      </c>
      <c r="Y265" t="str">
        <f t="shared" si="79"/>
        <v>600</v>
      </c>
      <c r="Z265" t="str">
        <f t="shared" si="90"/>
        <v>00</v>
      </c>
      <c r="AA265" t="str">
        <f t="shared" si="80"/>
        <v>600</v>
      </c>
      <c r="AB265" t="str">
        <f t="shared" si="81"/>
        <v>00</v>
      </c>
      <c r="AC265" t="str">
        <f t="shared" si="82"/>
        <v>6000</v>
      </c>
      <c r="AD265" t="str">
        <f t="shared" si="83"/>
        <v>000</v>
      </c>
      <c r="AE265" t="str">
        <f t="shared" si="84"/>
        <v>6000</v>
      </c>
      <c r="AF265" t="str">
        <f t="shared" si="85"/>
        <v>000</v>
      </c>
      <c r="AG265" t="str">
        <f t="shared" si="91"/>
        <v>60000</v>
      </c>
      <c r="AH265" t="str">
        <f t="shared" si="92"/>
        <v>0000</v>
      </c>
      <c r="AI265" t="str">
        <f t="shared" si="93"/>
        <v>60000</v>
      </c>
      <c r="AJ265" t="str">
        <f t="shared" si="94"/>
        <v>0000</v>
      </c>
    </row>
    <row r="266" spans="1:36" x14ac:dyDescent="0.25">
      <c r="A266" s="325">
        <f>Tervezés!B269</f>
        <v>0</v>
      </c>
      <c r="B266">
        <v>60</v>
      </c>
      <c r="C266">
        <f>Tervezés!E269</f>
        <v>0</v>
      </c>
      <c r="D266">
        <f>Tervezés!F269</f>
        <v>0</v>
      </c>
      <c r="E266">
        <f>Tervezés!H269</f>
        <v>0</v>
      </c>
      <c r="F266" t="str">
        <f t="shared" si="86"/>
        <v>0</v>
      </c>
      <c r="G266" t="str">
        <f t="shared" si="87"/>
        <v>0</v>
      </c>
      <c r="H266">
        <f>Tervezés!I269</f>
        <v>0</v>
      </c>
      <c r="I266">
        <f>Tervezés!J269</f>
        <v>0</v>
      </c>
      <c r="J266">
        <f>Tervezés!K269</f>
        <v>0</v>
      </c>
      <c r="K266">
        <f>Tervezés!L269</f>
        <v>0</v>
      </c>
      <c r="L266">
        <f>Tervezés!M269</f>
        <v>0</v>
      </c>
      <c r="M266" s="322" t="str">
        <f>IFERROR(VLOOKUP(A266,PAR!$D$3:$E$53,2,FALSE),"nincs szervezet")</f>
        <v>nincs szervezet</v>
      </c>
      <c r="N266" s="322" t="str">
        <f>VLOOKUP(F266,PAR!$R$3:$S$5,2,FALSE)</f>
        <v>3 - egyik sem</v>
      </c>
      <c r="O266" t="str">
        <f>IFERROR(VLOOKUP(J266,PAR!$O$3:$P$5,2,FALSE),"nincs feladat")</f>
        <v>nincs feladat</v>
      </c>
      <c r="P266" t="str">
        <f>IFERROR(VLOOKUP(G266,PAR!$J$2:$M$19,4),"nincs rovat")</f>
        <v>nincs rovat</v>
      </c>
      <c r="Q266" t="str">
        <f>IF(H266&gt;0,VLOOKUP(H266,PAR!$AA$3:$AC$187,3,FALSE),"nincs főkönyvi számla")</f>
        <v>nincs főkönyvi számla</v>
      </c>
      <c r="R266" t="str">
        <f>IFERROR(VLOOKUP(K266,PAR!$V$3:$X$438,3,FALSE),"000000 - Nincs COFOG")</f>
        <v>000000 - Nincs COFOG</v>
      </c>
      <c r="S266">
        <f t="shared" si="88"/>
        <v>0</v>
      </c>
      <c r="T266">
        <f t="shared" si="89"/>
        <v>0</v>
      </c>
      <c r="U266" t="str">
        <f>IF(Tervezés!F269&gt;0,CONCATENATE(Tervezés!E269," - ",Tervezés!F269,", ",Tervezés!J269),"nincs megjegyzés")</f>
        <v>nincs megjegyzés</v>
      </c>
      <c r="V266" t="str">
        <f t="shared" si="76"/>
        <v>6000</v>
      </c>
      <c r="W266" t="str">
        <f t="shared" si="77"/>
        <v>6000</v>
      </c>
      <c r="X266" t="str">
        <f t="shared" si="78"/>
        <v>00</v>
      </c>
      <c r="Y266" t="str">
        <f t="shared" si="79"/>
        <v>600</v>
      </c>
      <c r="Z266" t="str">
        <f t="shared" si="90"/>
        <v>00</v>
      </c>
      <c r="AA266" t="str">
        <f t="shared" si="80"/>
        <v>600</v>
      </c>
      <c r="AB266" t="str">
        <f t="shared" si="81"/>
        <v>00</v>
      </c>
      <c r="AC266" t="str">
        <f t="shared" si="82"/>
        <v>6000</v>
      </c>
      <c r="AD266" t="str">
        <f t="shared" si="83"/>
        <v>000</v>
      </c>
      <c r="AE266" t="str">
        <f t="shared" si="84"/>
        <v>6000</v>
      </c>
      <c r="AF266" t="str">
        <f t="shared" si="85"/>
        <v>000</v>
      </c>
      <c r="AG266" t="str">
        <f t="shared" si="91"/>
        <v>60000</v>
      </c>
      <c r="AH266" t="str">
        <f t="shared" si="92"/>
        <v>0000</v>
      </c>
      <c r="AI266" t="str">
        <f t="shared" si="93"/>
        <v>60000</v>
      </c>
      <c r="AJ266" t="str">
        <f t="shared" si="94"/>
        <v>0000</v>
      </c>
    </row>
    <row r="267" spans="1:36" x14ac:dyDescent="0.25">
      <c r="A267" s="325">
        <f>Tervezés!B270</f>
        <v>0</v>
      </c>
      <c r="B267">
        <v>60</v>
      </c>
      <c r="C267">
        <f>Tervezés!E270</f>
        <v>0</v>
      </c>
      <c r="D267">
        <f>Tervezés!F270</f>
        <v>0</v>
      </c>
      <c r="E267">
        <f>Tervezés!H270</f>
        <v>0</v>
      </c>
      <c r="F267" t="str">
        <f t="shared" si="86"/>
        <v>0</v>
      </c>
      <c r="G267" t="str">
        <f t="shared" si="87"/>
        <v>0</v>
      </c>
      <c r="H267">
        <f>Tervezés!I270</f>
        <v>0</v>
      </c>
      <c r="I267">
        <f>Tervezés!J270</f>
        <v>0</v>
      </c>
      <c r="J267">
        <f>Tervezés!K270</f>
        <v>0</v>
      </c>
      <c r="K267">
        <f>Tervezés!L270</f>
        <v>0</v>
      </c>
      <c r="L267">
        <f>Tervezés!M270</f>
        <v>0</v>
      </c>
      <c r="M267" s="322" t="str">
        <f>IFERROR(VLOOKUP(A267,PAR!$D$3:$E$53,2,FALSE),"nincs szervezet")</f>
        <v>nincs szervezet</v>
      </c>
      <c r="N267" s="322" t="str">
        <f>VLOOKUP(F267,PAR!$R$3:$S$5,2,FALSE)</f>
        <v>3 - egyik sem</v>
      </c>
      <c r="O267" t="str">
        <f>IFERROR(VLOOKUP(J267,PAR!$O$3:$P$5,2,FALSE),"nincs feladat")</f>
        <v>nincs feladat</v>
      </c>
      <c r="P267" t="str">
        <f>IFERROR(VLOOKUP(G267,PAR!$J$2:$M$19,4),"nincs rovat")</f>
        <v>nincs rovat</v>
      </c>
      <c r="Q267" t="str">
        <f>IF(H267&gt;0,VLOOKUP(H267,PAR!$AA$3:$AC$187,3,FALSE),"nincs főkönyvi számla")</f>
        <v>nincs főkönyvi számla</v>
      </c>
      <c r="R267" t="str">
        <f>IFERROR(VLOOKUP(K267,PAR!$V$3:$X$438,3,FALSE),"000000 - Nincs COFOG")</f>
        <v>000000 - Nincs COFOG</v>
      </c>
      <c r="S267">
        <f t="shared" si="88"/>
        <v>0</v>
      </c>
      <c r="T267">
        <f t="shared" si="89"/>
        <v>0</v>
      </c>
      <c r="U267" t="str">
        <f>IF(Tervezés!F270&gt;0,CONCATENATE(Tervezés!E270," - ",Tervezés!F270,", ",Tervezés!J270),"nincs megjegyzés")</f>
        <v>nincs megjegyzés</v>
      </c>
      <c r="V267" t="str">
        <f t="shared" si="76"/>
        <v>6000</v>
      </c>
      <c r="W267" t="str">
        <f t="shared" si="77"/>
        <v>6000</v>
      </c>
      <c r="X267" t="str">
        <f t="shared" si="78"/>
        <v>00</v>
      </c>
      <c r="Y267" t="str">
        <f t="shared" si="79"/>
        <v>600</v>
      </c>
      <c r="Z267" t="str">
        <f t="shared" si="90"/>
        <v>00</v>
      </c>
      <c r="AA267" t="str">
        <f t="shared" si="80"/>
        <v>600</v>
      </c>
      <c r="AB267" t="str">
        <f t="shared" si="81"/>
        <v>00</v>
      </c>
      <c r="AC267" t="str">
        <f t="shared" si="82"/>
        <v>6000</v>
      </c>
      <c r="AD267" t="str">
        <f t="shared" si="83"/>
        <v>000</v>
      </c>
      <c r="AE267" t="str">
        <f t="shared" si="84"/>
        <v>6000</v>
      </c>
      <c r="AF267" t="str">
        <f t="shared" si="85"/>
        <v>000</v>
      </c>
      <c r="AG267" t="str">
        <f t="shared" si="91"/>
        <v>60000</v>
      </c>
      <c r="AH267" t="str">
        <f t="shared" si="92"/>
        <v>0000</v>
      </c>
      <c r="AI267" t="str">
        <f t="shared" si="93"/>
        <v>60000</v>
      </c>
      <c r="AJ267" t="str">
        <f t="shared" si="94"/>
        <v>0000</v>
      </c>
    </row>
    <row r="268" spans="1:36" x14ac:dyDescent="0.25">
      <c r="A268" s="325">
        <f>Tervezés!B271</f>
        <v>0</v>
      </c>
      <c r="B268">
        <v>60</v>
      </c>
      <c r="C268">
        <f>Tervezés!E271</f>
        <v>0</v>
      </c>
      <c r="D268">
        <f>Tervezés!F271</f>
        <v>0</v>
      </c>
      <c r="E268">
        <f>Tervezés!H271</f>
        <v>0</v>
      </c>
      <c r="F268" t="str">
        <f t="shared" si="86"/>
        <v>0</v>
      </c>
      <c r="G268" t="str">
        <f t="shared" si="87"/>
        <v>0</v>
      </c>
      <c r="H268">
        <f>Tervezés!I271</f>
        <v>0</v>
      </c>
      <c r="I268">
        <f>Tervezés!J271</f>
        <v>0</v>
      </c>
      <c r="J268">
        <f>Tervezés!K271</f>
        <v>0</v>
      </c>
      <c r="K268">
        <f>Tervezés!L271</f>
        <v>0</v>
      </c>
      <c r="L268">
        <f>Tervezés!M271</f>
        <v>0</v>
      </c>
      <c r="M268" s="322" t="str">
        <f>IFERROR(VLOOKUP(A268,PAR!$D$3:$E$53,2,FALSE),"nincs szervezet")</f>
        <v>nincs szervezet</v>
      </c>
      <c r="N268" s="322" t="str">
        <f>VLOOKUP(F268,PAR!$R$3:$S$5,2,FALSE)</f>
        <v>3 - egyik sem</v>
      </c>
      <c r="O268" t="str">
        <f>IFERROR(VLOOKUP(J268,PAR!$O$3:$P$5,2,FALSE),"nincs feladat")</f>
        <v>nincs feladat</v>
      </c>
      <c r="P268" t="str">
        <f>IFERROR(VLOOKUP(G268,PAR!$J$2:$M$19,4),"nincs rovat")</f>
        <v>nincs rovat</v>
      </c>
      <c r="Q268" t="str">
        <f>IF(H268&gt;0,VLOOKUP(H268,PAR!$AA$3:$AC$187,3,FALSE),"nincs főkönyvi számla")</f>
        <v>nincs főkönyvi számla</v>
      </c>
      <c r="R268" t="str">
        <f>IFERROR(VLOOKUP(K268,PAR!$V$3:$X$438,3,FALSE),"000000 - Nincs COFOG")</f>
        <v>000000 - Nincs COFOG</v>
      </c>
      <c r="S268">
        <f t="shared" si="88"/>
        <v>0</v>
      </c>
      <c r="T268">
        <f t="shared" si="89"/>
        <v>0</v>
      </c>
      <c r="U268" t="str">
        <f>IF(Tervezés!F271&gt;0,CONCATENATE(Tervezés!E271," - ",Tervezés!F271,", ",Tervezés!J271),"nincs megjegyzés")</f>
        <v>nincs megjegyzés</v>
      </c>
      <c r="V268" t="str">
        <f t="shared" si="76"/>
        <v>6000</v>
      </c>
      <c r="W268" t="str">
        <f t="shared" si="77"/>
        <v>6000</v>
      </c>
      <c r="X268" t="str">
        <f t="shared" si="78"/>
        <v>00</v>
      </c>
      <c r="Y268" t="str">
        <f t="shared" si="79"/>
        <v>600</v>
      </c>
      <c r="Z268" t="str">
        <f t="shared" si="90"/>
        <v>00</v>
      </c>
      <c r="AA268" t="str">
        <f t="shared" si="80"/>
        <v>600</v>
      </c>
      <c r="AB268" t="str">
        <f t="shared" si="81"/>
        <v>00</v>
      </c>
      <c r="AC268" t="str">
        <f t="shared" si="82"/>
        <v>6000</v>
      </c>
      <c r="AD268" t="str">
        <f t="shared" si="83"/>
        <v>000</v>
      </c>
      <c r="AE268" t="str">
        <f t="shared" si="84"/>
        <v>6000</v>
      </c>
      <c r="AF268" t="str">
        <f t="shared" si="85"/>
        <v>000</v>
      </c>
      <c r="AG268" t="str">
        <f t="shared" si="91"/>
        <v>60000</v>
      </c>
      <c r="AH268" t="str">
        <f t="shared" si="92"/>
        <v>0000</v>
      </c>
      <c r="AI268" t="str">
        <f t="shared" si="93"/>
        <v>60000</v>
      </c>
      <c r="AJ268" t="str">
        <f t="shared" si="94"/>
        <v>0000</v>
      </c>
    </row>
    <row r="269" spans="1:36" x14ac:dyDescent="0.25">
      <c r="A269" s="325">
        <f>Tervezés!B272</f>
        <v>0</v>
      </c>
      <c r="B269">
        <v>60</v>
      </c>
      <c r="C269">
        <f>Tervezés!E272</f>
        <v>0</v>
      </c>
      <c r="D269">
        <f>Tervezés!F272</f>
        <v>0</v>
      </c>
      <c r="E269">
        <f>Tervezés!H272</f>
        <v>0</v>
      </c>
      <c r="F269" t="str">
        <f t="shared" si="86"/>
        <v>0</v>
      </c>
      <c r="G269" t="str">
        <f t="shared" si="87"/>
        <v>0</v>
      </c>
      <c r="H269">
        <f>Tervezés!I272</f>
        <v>0</v>
      </c>
      <c r="I269">
        <f>Tervezés!J272</f>
        <v>0</v>
      </c>
      <c r="J269">
        <f>Tervezés!K272</f>
        <v>0</v>
      </c>
      <c r="K269">
        <f>Tervezés!L272</f>
        <v>0</v>
      </c>
      <c r="L269">
        <f>Tervezés!M272</f>
        <v>0</v>
      </c>
      <c r="M269" s="322" t="str">
        <f>IFERROR(VLOOKUP(A269,PAR!$D$3:$E$53,2,FALSE),"nincs szervezet")</f>
        <v>nincs szervezet</v>
      </c>
      <c r="N269" s="322" t="str">
        <f>VLOOKUP(F269,PAR!$R$3:$S$5,2,FALSE)</f>
        <v>3 - egyik sem</v>
      </c>
      <c r="O269" t="str">
        <f>IFERROR(VLOOKUP(J269,PAR!$O$3:$P$5,2,FALSE),"nincs feladat")</f>
        <v>nincs feladat</v>
      </c>
      <c r="P269" t="str">
        <f>IFERROR(VLOOKUP(G269,PAR!$J$2:$M$19,4),"nincs rovat")</f>
        <v>nincs rovat</v>
      </c>
      <c r="Q269" t="str">
        <f>IF(H269&gt;0,VLOOKUP(H269,PAR!$AA$3:$AC$187,3,FALSE),"nincs főkönyvi számla")</f>
        <v>nincs főkönyvi számla</v>
      </c>
      <c r="R269" t="str">
        <f>IFERROR(VLOOKUP(K269,PAR!$V$3:$X$438,3,FALSE),"000000 - Nincs COFOG")</f>
        <v>000000 - Nincs COFOG</v>
      </c>
      <c r="S269">
        <f t="shared" si="88"/>
        <v>0</v>
      </c>
      <c r="T269">
        <f t="shared" si="89"/>
        <v>0</v>
      </c>
      <c r="U269" t="str">
        <f>IF(Tervezés!F272&gt;0,CONCATENATE(Tervezés!E272," - ",Tervezés!F272,", ",Tervezés!J272),"nincs megjegyzés")</f>
        <v>nincs megjegyzés</v>
      </c>
      <c r="V269" t="str">
        <f t="shared" si="76"/>
        <v>6000</v>
      </c>
      <c r="W269" t="str">
        <f t="shared" si="77"/>
        <v>6000</v>
      </c>
      <c r="X269" t="str">
        <f t="shared" si="78"/>
        <v>00</v>
      </c>
      <c r="Y269" t="str">
        <f t="shared" si="79"/>
        <v>600</v>
      </c>
      <c r="Z269" t="str">
        <f t="shared" si="90"/>
        <v>00</v>
      </c>
      <c r="AA269" t="str">
        <f t="shared" si="80"/>
        <v>600</v>
      </c>
      <c r="AB269" t="str">
        <f t="shared" si="81"/>
        <v>00</v>
      </c>
      <c r="AC269" t="str">
        <f t="shared" si="82"/>
        <v>6000</v>
      </c>
      <c r="AD269" t="str">
        <f t="shared" si="83"/>
        <v>000</v>
      </c>
      <c r="AE269" t="str">
        <f t="shared" si="84"/>
        <v>6000</v>
      </c>
      <c r="AF269" t="str">
        <f t="shared" si="85"/>
        <v>000</v>
      </c>
      <c r="AG269" t="str">
        <f t="shared" si="91"/>
        <v>60000</v>
      </c>
      <c r="AH269" t="str">
        <f t="shared" si="92"/>
        <v>0000</v>
      </c>
      <c r="AI269" t="str">
        <f t="shared" si="93"/>
        <v>60000</v>
      </c>
      <c r="AJ269" t="str">
        <f t="shared" si="94"/>
        <v>0000</v>
      </c>
    </row>
    <row r="270" spans="1:36" x14ac:dyDescent="0.25">
      <c r="A270" s="325">
        <f>Tervezés!B273</f>
        <v>0</v>
      </c>
      <c r="B270">
        <v>60</v>
      </c>
      <c r="C270">
        <f>Tervezés!E273</f>
        <v>0</v>
      </c>
      <c r="D270">
        <f>Tervezés!F273</f>
        <v>0</v>
      </c>
      <c r="E270">
        <f>Tervezés!H273</f>
        <v>0</v>
      </c>
      <c r="F270" t="str">
        <f t="shared" si="86"/>
        <v>0</v>
      </c>
      <c r="G270" t="str">
        <f t="shared" si="87"/>
        <v>0</v>
      </c>
      <c r="H270">
        <f>Tervezés!I273</f>
        <v>0</v>
      </c>
      <c r="I270">
        <f>Tervezés!J273</f>
        <v>0</v>
      </c>
      <c r="J270">
        <f>Tervezés!K273</f>
        <v>0</v>
      </c>
      <c r="K270">
        <f>Tervezés!L273</f>
        <v>0</v>
      </c>
      <c r="L270">
        <f>Tervezés!M273</f>
        <v>0</v>
      </c>
      <c r="M270" s="322" t="str">
        <f>IFERROR(VLOOKUP(A270,PAR!$D$3:$E$53,2,FALSE),"nincs szervezet")</f>
        <v>nincs szervezet</v>
      </c>
      <c r="N270" s="322" t="str">
        <f>VLOOKUP(F270,PAR!$R$3:$S$5,2,FALSE)</f>
        <v>3 - egyik sem</v>
      </c>
      <c r="O270" t="str">
        <f>IFERROR(VLOOKUP(J270,PAR!$O$3:$P$5,2,FALSE),"nincs feladat")</f>
        <v>nincs feladat</v>
      </c>
      <c r="P270" t="str">
        <f>IFERROR(VLOOKUP(G270,PAR!$J$2:$M$19,4),"nincs rovat")</f>
        <v>nincs rovat</v>
      </c>
      <c r="Q270" t="str">
        <f>IF(H270&gt;0,VLOOKUP(H270,PAR!$AA$3:$AC$187,3,FALSE),"nincs főkönyvi számla")</f>
        <v>nincs főkönyvi számla</v>
      </c>
      <c r="R270" t="str">
        <f>IFERROR(VLOOKUP(K270,PAR!$V$3:$X$438,3,FALSE),"000000 - Nincs COFOG")</f>
        <v>000000 - Nincs COFOG</v>
      </c>
      <c r="S270">
        <f t="shared" si="88"/>
        <v>0</v>
      </c>
      <c r="T270">
        <f t="shared" si="89"/>
        <v>0</v>
      </c>
      <c r="U270" t="str">
        <f>IF(Tervezés!F273&gt;0,CONCATENATE(Tervezés!E273," - ",Tervezés!F273,", ",Tervezés!J273),"nincs megjegyzés")</f>
        <v>nincs megjegyzés</v>
      </c>
      <c r="V270" t="str">
        <f t="shared" si="76"/>
        <v>6000</v>
      </c>
      <c r="W270" t="str">
        <f t="shared" si="77"/>
        <v>6000</v>
      </c>
      <c r="X270" t="str">
        <f t="shared" si="78"/>
        <v>00</v>
      </c>
      <c r="Y270" t="str">
        <f t="shared" si="79"/>
        <v>600</v>
      </c>
      <c r="Z270" t="str">
        <f t="shared" si="90"/>
        <v>00</v>
      </c>
      <c r="AA270" t="str">
        <f t="shared" si="80"/>
        <v>600</v>
      </c>
      <c r="AB270" t="str">
        <f t="shared" si="81"/>
        <v>00</v>
      </c>
      <c r="AC270" t="str">
        <f t="shared" si="82"/>
        <v>6000</v>
      </c>
      <c r="AD270" t="str">
        <f t="shared" si="83"/>
        <v>000</v>
      </c>
      <c r="AE270" t="str">
        <f t="shared" si="84"/>
        <v>6000</v>
      </c>
      <c r="AF270" t="str">
        <f t="shared" si="85"/>
        <v>000</v>
      </c>
      <c r="AG270" t="str">
        <f t="shared" si="91"/>
        <v>60000</v>
      </c>
      <c r="AH270" t="str">
        <f t="shared" si="92"/>
        <v>0000</v>
      </c>
      <c r="AI270" t="str">
        <f t="shared" si="93"/>
        <v>60000</v>
      </c>
      <c r="AJ270" t="str">
        <f t="shared" si="94"/>
        <v>0000</v>
      </c>
    </row>
    <row r="271" spans="1:36" x14ac:dyDescent="0.25">
      <c r="A271" s="325">
        <f>Tervezés!B274</f>
        <v>0</v>
      </c>
      <c r="B271">
        <v>60</v>
      </c>
      <c r="C271">
        <f>Tervezés!E274</f>
        <v>0</v>
      </c>
      <c r="D271">
        <f>Tervezés!F274</f>
        <v>0</v>
      </c>
      <c r="E271">
        <f>Tervezés!H274</f>
        <v>0</v>
      </c>
      <c r="F271" t="str">
        <f t="shared" si="86"/>
        <v>0</v>
      </c>
      <c r="G271" t="str">
        <f t="shared" si="87"/>
        <v>0</v>
      </c>
      <c r="H271">
        <f>Tervezés!I274</f>
        <v>0</v>
      </c>
      <c r="I271">
        <f>Tervezés!J274</f>
        <v>0</v>
      </c>
      <c r="J271">
        <f>Tervezés!K274</f>
        <v>0</v>
      </c>
      <c r="K271">
        <f>Tervezés!L274</f>
        <v>0</v>
      </c>
      <c r="L271">
        <f>Tervezés!M274</f>
        <v>0</v>
      </c>
      <c r="M271" s="322" t="str">
        <f>IFERROR(VLOOKUP(A271,PAR!$D$3:$E$53,2,FALSE),"nincs szervezet")</f>
        <v>nincs szervezet</v>
      </c>
      <c r="N271" s="322" t="str">
        <f>VLOOKUP(F271,PAR!$R$3:$S$5,2,FALSE)</f>
        <v>3 - egyik sem</v>
      </c>
      <c r="O271" t="str">
        <f>IFERROR(VLOOKUP(J271,PAR!$O$3:$P$5,2,FALSE),"nincs feladat")</f>
        <v>nincs feladat</v>
      </c>
      <c r="P271" t="str">
        <f>IFERROR(VLOOKUP(G271,PAR!$J$2:$M$19,4),"nincs rovat")</f>
        <v>nincs rovat</v>
      </c>
      <c r="Q271" t="str">
        <f>IF(H271&gt;0,VLOOKUP(H271,PAR!$AA$3:$AC$187,3,FALSE),"nincs főkönyvi számla")</f>
        <v>nincs főkönyvi számla</v>
      </c>
      <c r="R271" t="str">
        <f>IFERROR(VLOOKUP(K271,PAR!$V$3:$X$438,3,FALSE),"000000 - Nincs COFOG")</f>
        <v>000000 - Nincs COFOG</v>
      </c>
      <c r="S271">
        <f t="shared" si="88"/>
        <v>0</v>
      </c>
      <c r="T271">
        <f t="shared" si="89"/>
        <v>0</v>
      </c>
      <c r="U271" t="str">
        <f>IF(Tervezés!F274&gt;0,CONCATENATE(Tervezés!E274," - ",Tervezés!F274,", ",Tervezés!J274),"nincs megjegyzés")</f>
        <v>nincs megjegyzés</v>
      </c>
      <c r="V271" t="str">
        <f t="shared" si="76"/>
        <v>6000</v>
      </c>
      <c r="W271" t="str">
        <f t="shared" si="77"/>
        <v>6000</v>
      </c>
      <c r="X271" t="str">
        <f t="shared" si="78"/>
        <v>00</v>
      </c>
      <c r="Y271" t="str">
        <f t="shared" si="79"/>
        <v>600</v>
      </c>
      <c r="Z271" t="str">
        <f t="shared" si="90"/>
        <v>00</v>
      </c>
      <c r="AA271" t="str">
        <f t="shared" si="80"/>
        <v>600</v>
      </c>
      <c r="AB271" t="str">
        <f t="shared" si="81"/>
        <v>00</v>
      </c>
      <c r="AC271" t="str">
        <f t="shared" si="82"/>
        <v>6000</v>
      </c>
      <c r="AD271" t="str">
        <f t="shared" si="83"/>
        <v>000</v>
      </c>
      <c r="AE271" t="str">
        <f t="shared" si="84"/>
        <v>6000</v>
      </c>
      <c r="AF271" t="str">
        <f t="shared" si="85"/>
        <v>000</v>
      </c>
      <c r="AG271" t="str">
        <f t="shared" si="91"/>
        <v>60000</v>
      </c>
      <c r="AH271" t="str">
        <f t="shared" si="92"/>
        <v>0000</v>
      </c>
      <c r="AI271" t="str">
        <f t="shared" si="93"/>
        <v>60000</v>
      </c>
      <c r="AJ271" t="str">
        <f t="shared" si="94"/>
        <v>0000</v>
      </c>
    </row>
    <row r="272" spans="1:36" x14ac:dyDescent="0.25">
      <c r="A272" s="325">
        <f>Tervezés!B275</f>
        <v>0</v>
      </c>
      <c r="B272">
        <v>60</v>
      </c>
      <c r="C272">
        <f>Tervezés!E275</f>
        <v>0</v>
      </c>
      <c r="D272">
        <f>Tervezés!F275</f>
        <v>0</v>
      </c>
      <c r="E272">
        <f>Tervezés!H275</f>
        <v>0</v>
      </c>
      <c r="F272" t="str">
        <f t="shared" si="86"/>
        <v>0</v>
      </c>
      <c r="G272" t="str">
        <f t="shared" si="87"/>
        <v>0</v>
      </c>
      <c r="H272">
        <f>Tervezés!I275</f>
        <v>0</v>
      </c>
      <c r="I272">
        <f>Tervezés!J275</f>
        <v>0</v>
      </c>
      <c r="J272">
        <f>Tervezés!K275</f>
        <v>0</v>
      </c>
      <c r="K272">
        <f>Tervezés!L275</f>
        <v>0</v>
      </c>
      <c r="L272">
        <f>Tervezés!M275</f>
        <v>0</v>
      </c>
      <c r="M272" s="322" t="str">
        <f>IFERROR(VLOOKUP(A272,PAR!$D$3:$E$53,2,FALSE),"nincs szervezet")</f>
        <v>nincs szervezet</v>
      </c>
      <c r="N272" s="322" t="str">
        <f>VLOOKUP(F272,PAR!$R$3:$S$5,2,FALSE)</f>
        <v>3 - egyik sem</v>
      </c>
      <c r="O272" t="str">
        <f>IFERROR(VLOOKUP(J272,PAR!$O$3:$P$5,2,FALSE),"nincs feladat")</f>
        <v>nincs feladat</v>
      </c>
      <c r="P272" t="str">
        <f>IFERROR(VLOOKUP(G272,PAR!$J$2:$M$19,4),"nincs rovat")</f>
        <v>nincs rovat</v>
      </c>
      <c r="Q272" t="str">
        <f>IF(H272&gt;0,VLOOKUP(H272,PAR!$AA$3:$AC$187,3,FALSE),"nincs főkönyvi számla")</f>
        <v>nincs főkönyvi számla</v>
      </c>
      <c r="R272" t="str">
        <f>IFERROR(VLOOKUP(K272,PAR!$V$3:$X$438,3,FALSE),"000000 - Nincs COFOG")</f>
        <v>000000 - Nincs COFOG</v>
      </c>
      <c r="S272">
        <f t="shared" si="88"/>
        <v>0</v>
      </c>
      <c r="T272">
        <f t="shared" si="89"/>
        <v>0</v>
      </c>
      <c r="U272" t="str">
        <f>IF(Tervezés!F275&gt;0,CONCATENATE(Tervezés!E275," - ",Tervezés!F275,", ",Tervezés!J275),"nincs megjegyzés")</f>
        <v>nincs megjegyzés</v>
      </c>
      <c r="V272" t="str">
        <f t="shared" si="76"/>
        <v>6000</v>
      </c>
      <c r="W272" t="str">
        <f t="shared" si="77"/>
        <v>6000</v>
      </c>
      <c r="X272" t="str">
        <f t="shared" si="78"/>
        <v>00</v>
      </c>
      <c r="Y272" t="str">
        <f t="shared" si="79"/>
        <v>600</v>
      </c>
      <c r="Z272" t="str">
        <f t="shared" si="90"/>
        <v>00</v>
      </c>
      <c r="AA272" t="str">
        <f t="shared" si="80"/>
        <v>600</v>
      </c>
      <c r="AB272" t="str">
        <f t="shared" si="81"/>
        <v>00</v>
      </c>
      <c r="AC272" t="str">
        <f t="shared" si="82"/>
        <v>6000</v>
      </c>
      <c r="AD272" t="str">
        <f t="shared" si="83"/>
        <v>000</v>
      </c>
      <c r="AE272" t="str">
        <f t="shared" si="84"/>
        <v>6000</v>
      </c>
      <c r="AF272" t="str">
        <f t="shared" si="85"/>
        <v>000</v>
      </c>
      <c r="AG272" t="str">
        <f t="shared" si="91"/>
        <v>60000</v>
      </c>
      <c r="AH272" t="str">
        <f t="shared" si="92"/>
        <v>0000</v>
      </c>
      <c r="AI272" t="str">
        <f t="shared" si="93"/>
        <v>60000</v>
      </c>
      <c r="AJ272" t="str">
        <f t="shared" si="94"/>
        <v>0000</v>
      </c>
    </row>
    <row r="273" spans="1:36" x14ac:dyDescent="0.25">
      <c r="A273" s="325">
        <f>Tervezés!B276</f>
        <v>0</v>
      </c>
      <c r="B273">
        <v>60</v>
      </c>
      <c r="C273">
        <f>Tervezés!E276</f>
        <v>0</v>
      </c>
      <c r="D273">
        <f>Tervezés!F276</f>
        <v>0</v>
      </c>
      <c r="E273">
        <f>Tervezés!H276</f>
        <v>0</v>
      </c>
      <c r="F273" t="str">
        <f t="shared" si="86"/>
        <v>0</v>
      </c>
      <c r="G273" t="str">
        <f t="shared" si="87"/>
        <v>0</v>
      </c>
      <c r="H273">
        <f>Tervezés!I276</f>
        <v>0</v>
      </c>
      <c r="I273">
        <f>Tervezés!J276</f>
        <v>0</v>
      </c>
      <c r="J273">
        <f>Tervezés!K276</f>
        <v>0</v>
      </c>
      <c r="K273">
        <f>Tervezés!L276</f>
        <v>0</v>
      </c>
      <c r="L273">
        <f>Tervezés!M276</f>
        <v>0</v>
      </c>
      <c r="M273" s="322" t="str">
        <f>IFERROR(VLOOKUP(A273,PAR!$D$3:$E$53,2,FALSE),"nincs szervezet")</f>
        <v>nincs szervezet</v>
      </c>
      <c r="N273" s="322" t="str">
        <f>VLOOKUP(F273,PAR!$R$3:$S$5,2,FALSE)</f>
        <v>3 - egyik sem</v>
      </c>
      <c r="O273" t="str">
        <f>IFERROR(VLOOKUP(J273,PAR!$O$3:$P$5,2,FALSE),"nincs feladat")</f>
        <v>nincs feladat</v>
      </c>
      <c r="P273" t="str">
        <f>IFERROR(VLOOKUP(G273,PAR!$J$2:$M$19,4),"nincs rovat")</f>
        <v>nincs rovat</v>
      </c>
      <c r="Q273" t="str">
        <f>IF(H273&gt;0,VLOOKUP(H273,PAR!$AA$3:$AC$187,3,FALSE),"nincs főkönyvi számla")</f>
        <v>nincs főkönyvi számla</v>
      </c>
      <c r="R273" t="str">
        <f>IFERROR(VLOOKUP(K273,PAR!$V$3:$X$438,3,FALSE),"000000 - Nincs COFOG")</f>
        <v>000000 - Nincs COFOG</v>
      </c>
      <c r="S273">
        <f t="shared" si="88"/>
        <v>0</v>
      </c>
      <c r="T273">
        <f t="shared" si="89"/>
        <v>0</v>
      </c>
      <c r="U273" t="str">
        <f>IF(Tervezés!F276&gt;0,CONCATENATE(Tervezés!E276," - ",Tervezés!F276,", ",Tervezés!J276),"nincs megjegyzés")</f>
        <v>nincs megjegyzés</v>
      </c>
      <c r="V273" t="str">
        <f t="shared" si="76"/>
        <v>6000</v>
      </c>
      <c r="W273" t="str">
        <f t="shared" si="77"/>
        <v>6000</v>
      </c>
      <c r="X273" t="str">
        <f t="shared" si="78"/>
        <v>00</v>
      </c>
      <c r="Y273" t="str">
        <f t="shared" si="79"/>
        <v>600</v>
      </c>
      <c r="Z273" t="str">
        <f t="shared" si="90"/>
        <v>00</v>
      </c>
      <c r="AA273" t="str">
        <f t="shared" si="80"/>
        <v>600</v>
      </c>
      <c r="AB273" t="str">
        <f t="shared" si="81"/>
        <v>00</v>
      </c>
      <c r="AC273" t="str">
        <f t="shared" si="82"/>
        <v>6000</v>
      </c>
      <c r="AD273" t="str">
        <f t="shared" si="83"/>
        <v>000</v>
      </c>
      <c r="AE273" t="str">
        <f t="shared" si="84"/>
        <v>6000</v>
      </c>
      <c r="AF273" t="str">
        <f t="shared" si="85"/>
        <v>000</v>
      </c>
      <c r="AG273" t="str">
        <f t="shared" si="91"/>
        <v>60000</v>
      </c>
      <c r="AH273" t="str">
        <f t="shared" si="92"/>
        <v>0000</v>
      </c>
      <c r="AI273" t="str">
        <f t="shared" si="93"/>
        <v>60000</v>
      </c>
      <c r="AJ273" t="str">
        <f t="shared" si="94"/>
        <v>0000</v>
      </c>
    </row>
    <row r="274" spans="1:36" x14ac:dyDescent="0.25">
      <c r="A274" s="325">
        <f>Tervezés!B277</f>
        <v>0</v>
      </c>
      <c r="B274">
        <v>60</v>
      </c>
      <c r="C274">
        <f>Tervezés!E277</f>
        <v>0</v>
      </c>
      <c r="D274">
        <f>Tervezés!F277</f>
        <v>0</v>
      </c>
      <c r="E274">
        <f>Tervezés!H277</f>
        <v>0</v>
      </c>
      <c r="F274" t="str">
        <f t="shared" si="86"/>
        <v>0</v>
      </c>
      <c r="G274" t="str">
        <f t="shared" si="87"/>
        <v>0</v>
      </c>
      <c r="H274">
        <f>Tervezés!I277</f>
        <v>0</v>
      </c>
      <c r="I274">
        <f>Tervezés!J277</f>
        <v>0</v>
      </c>
      <c r="J274">
        <f>Tervezés!K277</f>
        <v>0</v>
      </c>
      <c r="K274">
        <f>Tervezés!L277</f>
        <v>0</v>
      </c>
      <c r="L274">
        <f>Tervezés!M277</f>
        <v>0</v>
      </c>
      <c r="M274" s="322" t="str">
        <f>IFERROR(VLOOKUP(A274,PAR!$D$3:$E$53,2,FALSE),"nincs szervezet")</f>
        <v>nincs szervezet</v>
      </c>
      <c r="N274" s="322" t="str">
        <f>VLOOKUP(F274,PAR!$R$3:$S$5,2,FALSE)</f>
        <v>3 - egyik sem</v>
      </c>
      <c r="O274" t="str">
        <f>IFERROR(VLOOKUP(J274,PAR!$O$3:$P$5,2,FALSE),"nincs feladat")</f>
        <v>nincs feladat</v>
      </c>
      <c r="P274" t="str">
        <f>IFERROR(VLOOKUP(G274,PAR!$J$2:$M$19,4),"nincs rovat")</f>
        <v>nincs rovat</v>
      </c>
      <c r="Q274" t="str">
        <f>IF(H274&gt;0,VLOOKUP(H274,PAR!$AA$3:$AC$187,3,FALSE),"nincs főkönyvi számla")</f>
        <v>nincs főkönyvi számla</v>
      </c>
      <c r="R274" t="str">
        <f>IFERROR(VLOOKUP(K274,PAR!$V$3:$X$438,3,FALSE),"000000 - Nincs COFOG")</f>
        <v>000000 - Nincs COFOG</v>
      </c>
      <c r="S274">
        <f t="shared" si="88"/>
        <v>0</v>
      </c>
      <c r="T274">
        <f t="shared" si="89"/>
        <v>0</v>
      </c>
      <c r="U274" t="str">
        <f>IF(Tervezés!F277&gt;0,CONCATENATE(Tervezés!E277," - ",Tervezés!F277,", ",Tervezés!J277),"nincs megjegyzés")</f>
        <v>nincs megjegyzés</v>
      </c>
      <c r="V274" t="str">
        <f t="shared" si="76"/>
        <v>6000</v>
      </c>
      <c r="W274" t="str">
        <f t="shared" si="77"/>
        <v>6000</v>
      </c>
      <c r="X274" t="str">
        <f t="shared" si="78"/>
        <v>00</v>
      </c>
      <c r="Y274" t="str">
        <f t="shared" si="79"/>
        <v>600</v>
      </c>
      <c r="Z274" t="str">
        <f t="shared" si="90"/>
        <v>00</v>
      </c>
      <c r="AA274" t="str">
        <f t="shared" si="80"/>
        <v>600</v>
      </c>
      <c r="AB274" t="str">
        <f t="shared" si="81"/>
        <v>00</v>
      </c>
      <c r="AC274" t="str">
        <f t="shared" si="82"/>
        <v>6000</v>
      </c>
      <c r="AD274" t="str">
        <f t="shared" si="83"/>
        <v>000</v>
      </c>
      <c r="AE274" t="str">
        <f t="shared" si="84"/>
        <v>6000</v>
      </c>
      <c r="AF274" t="str">
        <f t="shared" si="85"/>
        <v>000</v>
      </c>
      <c r="AG274" t="str">
        <f t="shared" si="91"/>
        <v>60000</v>
      </c>
      <c r="AH274" t="str">
        <f t="shared" si="92"/>
        <v>0000</v>
      </c>
      <c r="AI274" t="str">
        <f t="shared" si="93"/>
        <v>60000</v>
      </c>
      <c r="AJ274" t="str">
        <f t="shared" si="94"/>
        <v>0000</v>
      </c>
    </row>
    <row r="275" spans="1:36" x14ac:dyDescent="0.25">
      <c r="A275" s="325">
        <f>Tervezés!B278</f>
        <v>0</v>
      </c>
      <c r="B275">
        <v>60</v>
      </c>
      <c r="C275">
        <f>Tervezés!E278</f>
        <v>0</v>
      </c>
      <c r="D275">
        <f>Tervezés!F278</f>
        <v>0</v>
      </c>
      <c r="E275">
        <f>Tervezés!H278</f>
        <v>0</v>
      </c>
      <c r="F275" t="str">
        <f t="shared" si="86"/>
        <v>0</v>
      </c>
      <c r="G275" t="str">
        <f t="shared" si="87"/>
        <v>0</v>
      </c>
      <c r="H275">
        <f>Tervezés!I278</f>
        <v>0</v>
      </c>
      <c r="I275">
        <f>Tervezés!J278</f>
        <v>0</v>
      </c>
      <c r="J275">
        <f>Tervezés!K278</f>
        <v>0</v>
      </c>
      <c r="K275">
        <f>Tervezés!L278</f>
        <v>0</v>
      </c>
      <c r="L275">
        <f>Tervezés!M278</f>
        <v>0</v>
      </c>
      <c r="M275" s="322" t="str">
        <f>IFERROR(VLOOKUP(A275,PAR!$D$3:$E$53,2,FALSE),"nincs szervezet")</f>
        <v>nincs szervezet</v>
      </c>
      <c r="N275" s="322" t="str">
        <f>VLOOKUP(F275,PAR!$R$3:$S$5,2,FALSE)</f>
        <v>3 - egyik sem</v>
      </c>
      <c r="O275" t="str">
        <f>IFERROR(VLOOKUP(J275,PAR!$O$3:$P$5,2,FALSE),"nincs feladat")</f>
        <v>nincs feladat</v>
      </c>
      <c r="P275" t="str">
        <f>IFERROR(VLOOKUP(G275,PAR!$J$2:$M$19,4),"nincs rovat")</f>
        <v>nincs rovat</v>
      </c>
      <c r="Q275" t="str">
        <f>IF(H275&gt;0,VLOOKUP(H275,PAR!$AA$3:$AC$187,3,FALSE),"nincs főkönyvi számla")</f>
        <v>nincs főkönyvi számla</v>
      </c>
      <c r="R275" t="str">
        <f>IFERROR(VLOOKUP(K275,PAR!$V$3:$X$438,3,FALSE),"000000 - Nincs COFOG")</f>
        <v>000000 - Nincs COFOG</v>
      </c>
      <c r="S275">
        <f t="shared" si="88"/>
        <v>0</v>
      </c>
      <c r="T275">
        <f t="shared" si="89"/>
        <v>0</v>
      </c>
      <c r="U275" t="str">
        <f>IF(Tervezés!F278&gt;0,CONCATENATE(Tervezés!E278," - ",Tervezés!F278,", ",Tervezés!J278),"nincs megjegyzés")</f>
        <v>nincs megjegyzés</v>
      </c>
      <c r="V275" t="str">
        <f t="shared" si="76"/>
        <v>6000</v>
      </c>
      <c r="W275" t="str">
        <f t="shared" si="77"/>
        <v>6000</v>
      </c>
      <c r="X275" t="str">
        <f t="shared" si="78"/>
        <v>00</v>
      </c>
      <c r="Y275" t="str">
        <f t="shared" si="79"/>
        <v>600</v>
      </c>
      <c r="Z275" t="str">
        <f t="shared" si="90"/>
        <v>00</v>
      </c>
      <c r="AA275" t="str">
        <f t="shared" si="80"/>
        <v>600</v>
      </c>
      <c r="AB275" t="str">
        <f t="shared" si="81"/>
        <v>00</v>
      </c>
      <c r="AC275" t="str">
        <f t="shared" si="82"/>
        <v>6000</v>
      </c>
      <c r="AD275" t="str">
        <f t="shared" si="83"/>
        <v>000</v>
      </c>
      <c r="AE275" t="str">
        <f t="shared" si="84"/>
        <v>6000</v>
      </c>
      <c r="AF275" t="str">
        <f t="shared" si="85"/>
        <v>000</v>
      </c>
      <c r="AG275" t="str">
        <f t="shared" si="91"/>
        <v>60000</v>
      </c>
      <c r="AH275" t="str">
        <f t="shared" si="92"/>
        <v>0000</v>
      </c>
      <c r="AI275" t="str">
        <f t="shared" si="93"/>
        <v>60000</v>
      </c>
      <c r="AJ275" t="str">
        <f t="shared" si="94"/>
        <v>0000</v>
      </c>
    </row>
    <row r="276" spans="1:36" x14ac:dyDescent="0.25">
      <c r="A276" s="325">
        <f>Tervezés!B279</f>
        <v>0</v>
      </c>
      <c r="B276">
        <v>60</v>
      </c>
      <c r="C276">
        <f>Tervezés!E279</f>
        <v>0</v>
      </c>
      <c r="D276">
        <f>Tervezés!F279</f>
        <v>0</v>
      </c>
      <c r="E276">
        <f>Tervezés!H279</f>
        <v>0</v>
      </c>
      <c r="F276" t="str">
        <f t="shared" si="86"/>
        <v>0</v>
      </c>
      <c r="G276" t="str">
        <f t="shared" si="87"/>
        <v>0</v>
      </c>
      <c r="H276">
        <f>Tervezés!I279</f>
        <v>0</v>
      </c>
      <c r="I276">
        <f>Tervezés!J279</f>
        <v>0</v>
      </c>
      <c r="J276">
        <f>Tervezés!K279</f>
        <v>0</v>
      </c>
      <c r="K276">
        <f>Tervezés!L279</f>
        <v>0</v>
      </c>
      <c r="L276">
        <f>Tervezés!M279</f>
        <v>0</v>
      </c>
      <c r="M276" s="322" t="str">
        <f>IFERROR(VLOOKUP(A276,PAR!$D$3:$E$53,2,FALSE),"nincs szervezet")</f>
        <v>nincs szervezet</v>
      </c>
      <c r="N276" s="322" t="str">
        <f>VLOOKUP(F276,PAR!$R$3:$S$5,2,FALSE)</f>
        <v>3 - egyik sem</v>
      </c>
      <c r="O276" t="str">
        <f>IFERROR(VLOOKUP(J276,PAR!$O$3:$P$5,2,FALSE),"nincs feladat")</f>
        <v>nincs feladat</v>
      </c>
      <c r="P276" t="str">
        <f>IFERROR(VLOOKUP(G276,PAR!$J$2:$M$19,4),"nincs rovat")</f>
        <v>nincs rovat</v>
      </c>
      <c r="Q276" t="str">
        <f>IF(H276&gt;0,VLOOKUP(H276,PAR!$AA$3:$AC$187,3,FALSE),"nincs főkönyvi számla")</f>
        <v>nincs főkönyvi számla</v>
      </c>
      <c r="R276" t="str">
        <f>IFERROR(VLOOKUP(K276,PAR!$V$3:$X$438,3,FALSE),"000000 - Nincs COFOG")</f>
        <v>000000 - Nincs COFOG</v>
      </c>
      <c r="S276">
        <f t="shared" si="88"/>
        <v>0</v>
      </c>
      <c r="T276">
        <f t="shared" si="89"/>
        <v>0</v>
      </c>
      <c r="U276" t="str">
        <f>IF(Tervezés!F279&gt;0,CONCATENATE(Tervezés!E279," - ",Tervezés!F279,", ",Tervezés!J279),"nincs megjegyzés")</f>
        <v>nincs megjegyzés</v>
      </c>
      <c r="V276" t="str">
        <f t="shared" si="76"/>
        <v>6000</v>
      </c>
      <c r="W276" t="str">
        <f t="shared" si="77"/>
        <v>6000</v>
      </c>
      <c r="X276" t="str">
        <f t="shared" si="78"/>
        <v>00</v>
      </c>
      <c r="Y276" t="str">
        <f t="shared" si="79"/>
        <v>600</v>
      </c>
      <c r="Z276" t="str">
        <f t="shared" si="90"/>
        <v>00</v>
      </c>
      <c r="AA276" t="str">
        <f t="shared" si="80"/>
        <v>600</v>
      </c>
      <c r="AB276" t="str">
        <f t="shared" si="81"/>
        <v>00</v>
      </c>
      <c r="AC276" t="str">
        <f t="shared" si="82"/>
        <v>6000</v>
      </c>
      <c r="AD276" t="str">
        <f t="shared" si="83"/>
        <v>000</v>
      </c>
      <c r="AE276" t="str">
        <f t="shared" si="84"/>
        <v>6000</v>
      </c>
      <c r="AF276" t="str">
        <f t="shared" si="85"/>
        <v>000</v>
      </c>
      <c r="AG276" t="str">
        <f t="shared" si="91"/>
        <v>60000</v>
      </c>
      <c r="AH276" t="str">
        <f t="shared" si="92"/>
        <v>0000</v>
      </c>
      <c r="AI276" t="str">
        <f t="shared" si="93"/>
        <v>60000</v>
      </c>
      <c r="AJ276" t="str">
        <f t="shared" si="94"/>
        <v>0000</v>
      </c>
    </row>
    <row r="277" spans="1:36" x14ac:dyDescent="0.25">
      <c r="A277" s="325">
        <f>Tervezés!B280</f>
        <v>0</v>
      </c>
      <c r="B277">
        <v>60</v>
      </c>
      <c r="C277">
        <f>Tervezés!E280</f>
        <v>0</v>
      </c>
      <c r="D277">
        <f>Tervezés!F280</f>
        <v>0</v>
      </c>
      <c r="E277">
        <f>Tervezés!H280</f>
        <v>0</v>
      </c>
      <c r="F277" t="str">
        <f t="shared" si="86"/>
        <v>0</v>
      </c>
      <c r="G277" t="str">
        <f t="shared" si="87"/>
        <v>0</v>
      </c>
      <c r="H277">
        <f>Tervezés!I280</f>
        <v>0</v>
      </c>
      <c r="I277">
        <f>Tervezés!J280</f>
        <v>0</v>
      </c>
      <c r="J277">
        <f>Tervezés!K280</f>
        <v>0</v>
      </c>
      <c r="K277">
        <f>Tervezés!L280</f>
        <v>0</v>
      </c>
      <c r="L277">
        <f>Tervezés!M280</f>
        <v>0</v>
      </c>
      <c r="M277" s="322" t="str">
        <f>IFERROR(VLOOKUP(A277,PAR!$D$3:$E$53,2,FALSE),"nincs szervezet")</f>
        <v>nincs szervezet</v>
      </c>
      <c r="N277" s="322" t="str">
        <f>VLOOKUP(F277,PAR!$R$3:$S$5,2,FALSE)</f>
        <v>3 - egyik sem</v>
      </c>
      <c r="O277" t="str">
        <f>IFERROR(VLOOKUP(J277,PAR!$O$3:$P$5,2,FALSE),"nincs feladat")</f>
        <v>nincs feladat</v>
      </c>
      <c r="P277" t="str">
        <f>IFERROR(VLOOKUP(G277,PAR!$J$2:$M$19,4),"nincs rovat")</f>
        <v>nincs rovat</v>
      </c>
      <c r="Q277" t="str">
        <f>IF(H277&gt;0,VLOOKUP(H277,PAR!$AA$3:$AC$187,3,FALSE),"nincs főkönyvi számla")</f>
        <v>nincs főkönyvi számla</v>
      </c>
      <c r="R277" t="str">
        <f>IFERROR(VLOOKUP(K277,PAR!$V$3:$X$438,3,FALSE),"000000 - Nincs COFOG")</f>
        <v>000000 - Nincs COFOG</v>
      </c>
      <c r="S277">
        <f t="shared" si="88"/>
        <v>0</v>
      </c>
      <c r="T277">
        <f t="shared" si="89"/>
        <v>0</v>
      </c>
      <c r="U277" t="str">
        <f>IF(Tervezés!F280&gt;0,CONCATENATE(Tervezés!E280," - ",Tervezés!F280,", ",Tervezés!J280),"nincs megjegyzés")</f>
        <v>nincs megjegyzés</v>
      </c>
      <c r="V277" t="str">
        <f t="shared" si="76"/>
        <v>6000</v>
      </c>
      <c r="W277" t="str">
        <f t="shared" si="77"/>
        <v>6000</v>
      </c>
      <c r="X277" t="str">
        <f t="shared" si="78"/>
        <v>00</v>
      </c>
      <c r="Y277" t="str">
        <f t="shared" si="79"/>
        <v>600</v>
      </c>
      <c r="Z277" t="str">
        <f t="shared" si="90"/>
        <v>00</v>
      </c>
      <c r="AA277" t="str">
        <f t="shared" si="80"/>
        <v>600</v>
      </c>
      <c r="AB277" t="str">
        <f t="shared" si="81"/>
        <v>00</v>
      </c>
      <c r="AC277" t="str">
        <f t="shared" si="82"/>
        <v>6000</v>
      </c>
      <c r="AD277" t="str">
        <f t="shared" si="83"/>
        <v>000</v>
      </c>
      <c r="AE277" t="str">
        <f t="shared" si="84"/>
        <v>6000</v>
      </c>
      <c r="AF277" t="str">
        <f t="shared" si="85"/>
        <v>000</v>
      </c>
      <c r="AG277" t="str">
        <f t="shared" si="91"/>
        <v>60000</v>
      </c>
      <c r="AH277" t="str">
        <f t="shared" si="92"/>
        <v>0000</v>
      </c>
      <c r="AI277" t="str">
        <f t="shared" si="93"/>
        <v>60000</v>
      </c>
      <c r="AJ277" t="str">
        <f t="shared" si="94"/>
        <v>0000</v>
      </c>
    </row>
    <row r="278" spans="1:36" x14ac:dyDescent="0.25">
      <c r="A278" s="325">
        <f>Tervezés!B281</f>
        <v>0</v>
      </c>
      <c r="B278">
        <v>60</v>
      </c>
      <c r="C278">
        <f>Tervezés!E281</f>
        <v>0</v>
      </c>
      <c r="D278">
        <f>Tervezés!F281</f>
        <v>0</v>
      </c>
      <c r="E278">
        <f>Tervezés!H281</f>
        <v>0</v>
      </c>
      <c r="F278" t="str">
        <f t="shared" si="86"/>
        <v>0</v>
      </c>
      <c r="G278" t="str">
        <f t="shared" si="87"/>
        <v>0</v>
      </c>
      <c r="H278">
        <f>Tervezés!I281</f>
        <v>0</v>
      </c>
      <c r="I278">
        <f>Tervezés!J281</f>
        <v>0</v>
      </c>
      <c r="J278">
        <f>Tervezés!K281</f>
        <v>0</v>
      </c>
      <c r="K278">
        <f>Tervezés!L281</f>
        <v>0</v>
      </c>
      <c r="L278">
        <f>Tervezés!M281</f>
        <v>0</v>
      </c>
      <c r="M278" s="322" t="str">
        <f>IFERROR(VLOOKUP(A278,PAR!$D$3:$E$53,2,FALSE),"nincs szervezet")</f>
        <v>nincs szervezet</v>
      </c>
      <c r="N278" s="322" t="str">
        <f>VLOOKUP(F278,PAR!$R$3:$S$5,2,FALSE)</f>
        <v>3 - egyik sem</v>
      </c>
      <c r="O278" t="str">
        <f>IFERROR(VLOOKUP(J278,PAR!$O$3:$P$5,2,FALSE),"nincs feladat")</f>
        <v>nincs feladat</v>
      </c>
      <c r="P278" t="str">
        <f>IFERROR(VLOOKUP(G278,PAR!$J$2:$M$19,4),"nincs rovat")</f>
        <v>nincs rovat</v>
      </c>
      <c r="Q278" t="str">
        <f>IF(H278&gt;0,VLOOKUP(H278,PAR!$AA$3:$AC$187,3,FALSE),"nincs főkönyvi számla")</f>
        <v>nincs főkönyvi számla</v>
      </c>
      <c r="R278" t="str">
        <f>IFERROR(VLOOKUP(K278,PAR!$V$3:$X$438,3,FALSE),"000000 - Nincs COFOG")</f>
        <v>000000 - Nincs COFOG</v>
      </c>
      <c r="S278">
        <f t="shared" si="88"/>
        <v>0</v>
      </c>
      <c r="T278">
        <f t="shared" si="89"/>
        <v>0</v>
      </c>
      <c r="U278" t="str">
        <f>IF(Tervezés!F281&gt;0,CONCATENATE(Tervezés!E281," - ",Tervezés!F281,", ",Tervezés!J281),"nincs megjegyzés")</f>
        <v>nincs megjegyzés</v>
      </c>
      <c r="V278" t="str">
        <f t="shared" si="76"/>
        <v>6000</v>
      </c>
      <c r="W278" t="str">
        <f t="shared" si="77"/>
        <v>6000</v>
      </c>
      <c r="X278" t="str">
        <f t="shared" si="78"/>
        <v>00</v>
      </c>
      <c r="Y278" t="str">
        <f t="shared" si="79"/>
        <v>600</v>
      </c>
      <c r="Z278" t="str">
        <f t="shared" si="90"/>
        <v>00</v>
      </c>
      <c r="AA278" t="str">
        <f t="shared" si="80"/>
        <v>600</v>
      </c>
      <c r="AB278" t="str">
        <f t="shared" si="81"/>
        <v>00</v>
      </c>
      <c r="AC278" t="str">
        <f t="shared" si="82"/>
        <v>6000</v>
      </c>
      <c r="AD278" t="str">
        <f t="shared" si="83"/>
        <v>000</v>
      </c>
      <c r="AE278" t="str">
        <f t="shared" si="84"/>
        <v>6000</v>
      </c>
      <c r="AF278" t="str">
        <f t="shared" si="85"/>
        <v>000</v>
      </c>
      <c r="AG278" t="str">
        <f t="shared" si="91"/>
        <v>60000</v>
      </c>
      <c r="AH278" t="str">
        <f t="shared" si="92"/>
        <v>0000</v>
      </c>
      <c r="AI278" t="str">
        <f t="shared" si="93"/>
        <v>60000</v>
      </c>
      <c r="AJ278" t="str">
        <f t="shared" si="94"/>
        <v>0000</v>
      </c>
    </row>
    <row r="279" spans="1:36" x14ac:dyDescent="0.25">
      <c r="A279" s="325">
        <f>Tervezés!B282</f>
        <v>0</v>
      </c>
      <c r="B279">
        <v>60</v>
      </c>
      <c r="C279">
        <f>Tervezés!E282</f>
        <v>0</v>
      </c>
      <c r="D279">
        <f>Tervezés!F282</f>
        <v>0</v>
      </c>
      <c r="E279">
        <f>Tervezés!H282</f>
        <v>0</v>
      </c>
      <c r="F279" t="str">
        <f t="shared" si="86"/>
        <v>0</v>
      </c>
      <c r="G279" t="str">
        <f t="shared" si="87"/>
        <v>0</v>
      </c>
      <c r="H279">
        <f>Tervezés!I282</f>
        <v>0</v>
      </c>
      <c r="I279">
        <f>Tervezés!J282</f>
        <v>0</v>
      </c>
      <c r="J279">
        <f>Tervezés!K282</f>
        <v>0</v>
      </c>
      <c r="K279">
        <f>Tervezés!L282</f>
        <v>0</v>
      </c>
      <c r="L279">
        <f>Tervezés!M282</f>
        <v>0</v>
      </c>
      <c r="M279" s="322" t="str">
        <f>IFERROR(VLOOKUP(A279,PAR!$D$3:$E$53,2,FALSE),"nincs szervezet")</f>
        <v>nincs szervezet</v>
      </c>
      <c r="N279" s="322" t="str">
        <f>VLOOKUP(F279,PAR!$R$3:$S$5,2,FALSE)</f>
        <v>3 - egyik sem</v>
      </c>
      <c r="O279" t="str">
        <f>IFERROR(VLOOKUP(J279,PAR!$O$3:$P$5,2,FALSE),"nincs feladat")</f>
        <v>nincs feladat</v>
      </c>
      <c r="P279" t="str">
        <f>IFERROR(VLOOKUP(G279,PAR!$J$2:$M$19,4),"nincs rovat")</f>
        <v>nincs rovat</v>
      </c>
      <c r="Q279" t="str">
        <f>IF(H279&gt;0,VLOOKUP(H279,PAR!$AA$3:$AC$187,3,FALSE),"nincs főkönyvi számla")</f>
        <v>nincs főkönyvi számla</v>
      </c>
      <c r="R279" t="str">
        <f>IFERROR(VLOOKUP(K279,PAR!$V$3:$X$438,3,FALSE),"000000 - Nincs COFOG")</f>
        <v>000000 - Nincs COFOG</v>
      </c>
      <c r="S279">
        <f t="shared" si="88"/>
        <v>0</v>
      </c>
      <c r="T279">
        <f t="shared" si="89"/>
        <v>0</v>
      </c>
      <c r="U279" t="str">
        <f>IF(Tervezés!F282&gt;0,CONCATENATE(Tervezés!E282," - ",Tervezés!F282,", ",Tervezés!J282),"nincs megjegyzés")</f>
        <v>nincs megjegyzés</v>
      </c>
      <c r="V279" t="str">
        <f t="shared" si="76"/>
        <v>6000</v>
      </c>
      <c r="W279" t="str">
        <f t="shared" si="77"/>
        <v>6000</v>
      </c>
      <c r="X279" t="str">
        <f t="shared" si="78"/>
        <v>00</v>
      </c>
      <c r="Y279" t="str">
        <f t="shared" si="79"/>
        <v>600</v>
      </c>
      <c r="Z279" t="str">
        <f t="shared" si="90"/>
        <v>00</v>
      </c>
      <c r="AA279" t="str">
        <f t="shared" si="80"/>
        <v>600</v>
      </c>
      <c r="AB279" t="str">
        <f t="shared" si="81"/>
        <v>00</v>
      </c>
      <c r="AC279" t="str">
        <f t="shared" si="82"/>
        <v>6000</v>
      </c>
      <c r="AD279" t="str">
        <f t="shared" si="83"/>
        <v>000</v>
      </c>
      <c r="AE279" t="str">
        <f t="shared" si="84"/>
        <v>6000</v>
      </c>
      <c r="AF279" t="str">
        <f t="shared" si="85"/>
        <v>000</v>
      </c>
      <c r="AG279" t="str">
        <f t="shared" si="91"/>
        <v>60000</v>
      </c>
      <c r="AH279" t="str">
        <f t="shared" si="92"/>
        <v>0000</v>
      </c>
      <c r="AI279" t="str">
        <f t="shared" si="93"/>
        <v>60000</v>
      </c>
      <c r="AJ279" t="str">
        <f t="shared" si="94"/>
        <v>0000</v>
      </c>
    </row>
    <row r="280" spans="1:36" x14ac:dyDescent="0.25">
      <c r="A280" s="325">
        <f>Tervezés!B283</f>
        <v>0</v>
      </c>
      <c r="B280">
        <v>60</v>
      </c>
      <c r="C280">
        <f>Tervezés!E283</f>
        <v>0</v>
      </c>
      <c r="D280">
        <f>Tervezés!F283</f>
        <v>0</v>
      </c>
      <c r="E280">
        <f>Tervezés!H283</f>
        <v>0</v>
      </c>
      <c r="F280" t="str">
        <f t="shared" si="86"/>
        <v>0</v>
      </c>
      <c r="G280" t="str">
        <f t="shared" si="87"/>
        <v>0</v>
      </c>
      <c r="H280">
        <f>Tervezés!I283</f>
        <v>0</v>
      </c>
      <c r="I280">
        <f>Tervezés!J283</f>
        <v>0</v>
      </c>
      <c r="J280">
        <f>Tervezés!K283</f>
        <v>0</v>
      </c>
      <c r="K280">
        <f>Tervezés!L283</f>
        <v>0</v>
      </c>
      <c r="L280">
        <f>Tervezés!M283</f>
        <v>0</v>
      </c>
      <c r="M280" s="322" t="str">
        <f>IFERROR(VLOOKUP(A280,PAR!$D$3:$E$53,2,FALSE),"nincs szervezet")</f>
        <v>nincs szervezet</v>
      </c>
      <c r="N280" s="322" t="str">
        <f>VLOOKUP(F280,PAR!$R$3:$S$5,2,FALSE)</f>
        <v>3 - egyik sem</v>
      </c>
      <c r="O280" t="str">
        <f>IFERROR(VLOOKUP(J280,PAR!$O$3:$P$5,2,FALSE),"nincs feladat")</f>
        <v>nincs feladat</v>
      </c>
      <c r="P280" t="str">
        <f>IFERROR(VLOOKUP(G280,PAR!$J$2:$M$19,4),"nincs rovat")</f>
        <v>nincs rovat</v>
      </c>
      <c r="Q280" t="str">
        <f>IF(H280&gt;0,VLOOKUP(H280,PAR!$AA$3:$AC$187,3,FALSE),"nincs főkönyvi számla")</f>
        <v>nincs főkönyvi számla</v>
      </c>
      <c r="R280" t="str">
        <f>IFERROR(VLOOKUP(K280,PAR!$V$3:$X$438,3,FALSE),"000000 - Nincs COFOG")</f>
        <v>000000 - Nincs COFOG</v>
      </c>
      <c r="S280">
        <f t="shared" si="88"/>
        <v>0</v>
      </c>
      <c r="T280">
        <f t="shared" si="89"/>
        <v>0</v>
      </c>
      <c r="U280" t="str">
        <f>IF(Tervezés!F283&gt;0,CONCATENATE(Tervezés!E283," - ",Tervezés!F283,", ",Tervezés!J283),"nincs megjegyzés")</f>
        <v>nincs megjegyzés</v>
      </c>
      <c r="V280" t="str">
        <f t="shared" si="76"/>
        <v>6000</v>
      </c>
      <c r="W280" t="str">
        <f t="shared" si="77"/>
        <v>6000</v>
      </c>
      <c r="X280" t="str">
        <f t="shared" si="78"/>
        <v>00</v>
      </c>
      <c r="Y280" t="str">
        <f t="shared" si="79"/>
        <v>600</v>
      </c>
      <c r="Z280" t="str">
        <f t="shared" si="90"/>
        <v>00</v>
      </c>
      <c r="AA280" t="str">
        <f t="shared" si="80"/>
        <v>600</v>
      </c>
      <c r="AB280" t="str">
        <f t="shared" si="81"/>
        <v>00</v>
      </c>
      <c r="AC280" t="str">
        <f t="shared" si="82"/>
        <v>6000</v>
      </c>
      <c r="AD280" t="str">
        <f t="shared" si="83"/>
        <v>000</v>
      </c>
      <c r="AE280" t="str">
        <f t="shared" si="84"/>
        <v>6000</v>
      </c>
      <c r="AF280" t="str">
        <f t="shared" si="85"/>
        <v>000</v>
      </c>
      <c r="AG280" t="str">
        <f t="shared" si="91"/>
        <v>60000</v>
      </c>
      <c r="AH280" t="str">
        <f t="shared" si="92"/>
        <v>0000</v>
      </c>
      <c r="AI280" t="str">
        <f t="shared" si="93"/>
        <v>60000</v>
      </c>
      <c r="AJ280" t="str">
        <f t="shared" si="94"/>
        <v>0000</v>
      </c>
    </row>
    <row r="281" spans="1:36" x14ac:dyDescent="0.25">
      <c r="A281" s="325">
        <f>Tervezés!B284</f>
        <v>0</v>
      </c>
      <c r="B281">
        <v>60</v>
      </c>
      <c r="C281">
        <f>Tervezés!E284</f>
        <v>0</v>
      </c>
      <c r="D281">
        <f>Tervezés!F284</f>
        <v>0</v>
      </c>
      <c r="E281">
        <f>Tervezés!H284</f>
        <v>0</v>
      </c>
      <c r="F281" t="str">
        <f t="shared" si="86"/>
        <v>0</v>
      </c>
      <c r="G281" t="str">
        <f t="shared" si="87"/>
        <v>0</v>
      </c>
      <c r="H281">
        <f>Tervezés!I284</f>
        <v>0</v>
      </c>
      <c r="I281">
        <f>Tervezés!J284</f>
        <v>0</v>
      </c>
      <c r="J281">
        <f>Tervezés!K284</f>
        <v>0</v>
      </c>
      <c r="K281">
        <f>Tervezés!L284</f>
        <v>0</v>
      </c>
      <c r="L281">
        <f>Tervezés!M284</f>
        <v>0</v>
      </c>
      <c r="M281" s="322" t="str">
        <f>IFERROR(VLOOKUP(A281,PAR!$D$3:$E$53,2,FALSE),"nincs szervezet")</f>
        <v>nincs szervezet</v>
      </c>
      <c r="N281" s="322" t="str">
        <f>VLOOKUP(F281,PAR!$R$3:$S$5,2,FALSE)</f>
        <v>3 - egyik sem</v>
      </c>
      <c r="O281" t="str">
        <f>IFERROR(VLOOKUP(J281,PAR!$O$3:$P$5,2,FALSE),"nincs feladat")</f>
        <v>nincs feladat</v>
      </c>
      <c r="P281" t="str">
        <f>IFERROR(VLOOKUP(G281,PAR!$J$2:$M$19,4),"nincs rovat")</f>
        <v>nincs rovat</v>
      </c>
      <c r="Q281" t="str">
        <f>IF(H281&gt;0,VLOOKUP(H281,PAR!$AA$3:$AC$187,3,FALSE),"nincs főkönyvi számla")</f>
        <v>nincs főkönyvi számla</v>
      </c>
      <c r="R281" t="str">
        <f>IFERROR(VLOOKUP(K281,PAR!$V$3:$X$438,3,FALSE),"000000 - Nincs COFOG")</f>
        <v>000000 - Nincs COFOG</v>
      </c>
      <c r="S281">
        <f t="shared" si="88"/>
        <v>0</v>
      </c>
      <c r="T281">
        <f t="shared" si="89"/>
        <v>0</v>
      </c>
      <c r="U281" t="str">
        <f>IF(Tervezés!F284&gt;0,CONCATENATE(Tervezés!E284," - ",Tervezés!F284,", ",Tervezés!J284),"nincs megjegyzés")</f>
        <v>nincs megjegyzés</v>
      </c>
      <c r="V281" t="str">
        <f t="shared" si="76"/>
        <v>6000</v>
      </c>
      <c r="W281" t="str">
        <f t="shared" si="77"/>
        <v>6000</v>
      </c>
      <c r="X281" t="str">
        <f t="shared" si="78"/>
        <v>00</v>
      </c>
      <c r="Y281" t="str">
        <f t="shared" si="79"/>
        <v>600</v>
      </c>
      <c r="Z281" t="str">
        <f t="shared" si="90"/>
        <v>00</v>
      </c>
      <c r="AA281" t="str">
        <f t="shared" si="80"/>
        <v>600</v>
      </c>
      <c r="AB281" t="str">
        <f t="shared" si="81"/>
        <v>00</v>
      </c>
      <c r="AC281" t="str">
        <f t="shared" si="82"/>
        <v>6000</v>
      </c>
      <c r="AD281" t="str">
        <f t="shared" si="83"/>
        <v>000</v>
      </c>
      <c r="AE281" t="str">
        <f t="shared" si="84"/>
        <v>6000</v>
      </c>
      <c r="AF281" t="str">
        <f t="shared" si="85"/>
        <v>000</v>
      </c>
      <c r="AG281" t="str">
        <f t="shared" si="91"/>
        <v>60000</v>
      </c>
      <c r="AH281" t="str">
        <f t="shared" si="92"/>
        <v>0000</v>
      </c>
      <c r="AI281" t="str">
        <f t="shared" si="93"/>
        <v>60000</v>
      </c>
      <c r="AJ281" t="str">
        <f t="shared" si="94"/>
        <v>0000</v>
      </c>
    </row>
    <row r="282" spans="1:36" x14ac:dyDescent="0.25">
      <c r="A282" s="325">
        <f>Tervezés!B285</f>
        <v>0</v>
      </c>
      <c r="B282">
        <v>60</v>
      </c>
      <c r="C282">
        <f>Tervezés!E285</f>
        <v>0</v>
      </c>
      <c r="D282">
        <f>Tervezés!F285</f>
        <v>0</v>
      </c>
      <c r="E282">
        <f>Tervezés!H285</f>
        <v>0</v>
      </c>
      <c r="F282" t="str">
        <f t="shared" si="86"/>
        <v>0</v>
      </c>
      <c r="G282" t="str">
        <f t="shared" si="87"/>
        <v>0</v>
      </c>
      <c r="H282">
        <f>Tervezés!I285</f>
        <v>0</v>
      </c>
      <c r="I282">
        <f>Tervezés!J285</f>
        <v>0</v>
      </c>
      <c r="J282">
        <f>Tervezés!K285</f>
        <v>0</v>
      </c>
      <c r="K282">
        <f>Tervezés!L285</f>
        <v>0</v>
      </c>
      <c r="L282">
        <f>Tervezés!M285</f>
        <v>0</v>
      </c>
      <c r="M282" s="322" t="str">
        <f>IFERROR(VLOOKUP(A282,PAR!$D$3:$E$53,2,FALSE),"nincs szervezet")</f>
        <v>nincs szervezet</v>
      </c>
      <c r="N282" s="322" t="str">
        <f>VLOOKUP(F282,PAR!$R$3:$S$5,2,FALSE)</f>
        <v>3 - egyik sem</v>
      </c>
      <c r="O282" t="str">
        <f>IFERROR(VLOOKUP(J282,PAR!$O$3:$P$5,2,FALSE),"nincs feladat")</f>
        <v>nincs feladat</v>
      </c>
      <c r="P282" t="str">
        <f>IFERROR(VLOOKUP(G282,PAR!$J$2:$M$19,4),"nincs rovat")</f>
        <v>nincs rovat</v>
      </c>
      <c r="Q282" t="str">
        <f>IF(H282&gt;0,VLOOKUP(H282,PAR!$AA$3:$AC$187,3,FALSE),"nincs főkönyvi számla")</f>
        <v>nincs főkönyvi számla</v>
      </c>
      <c r="R282" t="str">
        <f>IFERROR(VLOOKUP(K282,PAR!$V$3:$X$438,3,FALSE),"000000 - Nincs COFOG")</f>
        <v>000000 - Nincs COFOG</v>
      </c>
      <c r="S282">
        <f t="shared" si="88"/>
        <v>0</v>
      </c>
      <c r="T282">
        <f t="shared" si="89"/>
        <v>0</v>
      </c>
      <c r="U282" t="str">
        <f>IF(Tervezés!F285&gt;0,CONCATENATE(Tervezés!E285," - ",Tervezés!F285,", ",Tervezés!J285),"nincs megjegyzés")</f>
        <v>nincs megjegyzés</v>
      </c>
      <c r="V282" t="str">
        <f t="shared" si="76"/>
        <v>6000</v>
      </c>
      <c r="W282" t="str">
        <f t="shared" si="77"/>
        <v>6000</v>
      </c>
      <c r="X282" t="str">
        <f t="shared" si="78"/>
        <v>00</v>
      </c>
      <c r="Y282" t="str">
        <f t="shared" si="79"/>
        <v>600</v>
      </c>
      <c r="Z282" t="str">
        <f t="shared" si="90"/>
        <v>00</v>
      </c>
      <c r="AA282" t="str">
        <f t="shared" si="80"/>
        <v>600</v>
      </c>
      <c r="AB282" t="str">
        <f t="shared" si="81"/>
        <v>00</v>
      </c>
      <c r="AC282" t="str">
        <f t="shared" si="82"/>
        <v>6000</v>
      </c>
      <c r="AD282" t="str">
        <f t="shared" si="83"/>
        <v>000</v>
      </c>
      <c r="AE282" t="str">
        <f t="shared" si="84"/>
        <v>6000</v>
      </c>
      <c r="AF282" t="str">
        <f t="shared" si="85"/>
        <v>000</v>
      </c>
      <c r="AG282" t="str">
        <f t="shared" si="91"/>
        <v>60000</v>
      </c>
      <c r="AH282" t="str">
        <f t="shared" si="92"/>
        <v>0000</v>
      </c>
      <c r="AI282" t="str">
        <f t="shared" si="93"/>
        <v>60000</v>
      </c>
      <c r="AJ282" t="str">
        <f t="shared" si="94"/>
        <v>0000</v>
      </c>
    </row>
    <row r="283" spans="1:36" x14ac:dyDescent="0.25">
      <c r="A283" s="325">
        <f>Tervezés!B286</f>
        <v>0</v>
      </c>
      <c r="B283">
        <v>60</v>
      </c>
      <c r="C283">
        <f>Tervezés!E286</f>
        <v>0</v>
      </c>
      <c r="D283">
        <f>Tervezés!F286</f>
        <v>0</v>
      </c>
      <c r="E283">
        <f>Tervezés!H286</f>
        <v>0</v>
      </c>
      <c r="F283" t="str">
        <f t="shared" si="86"/>
        <v>0</v>
      </c>
      <c r="G283" t="str">
        <f t="shared" si="87"/>
        <v>0</v>
      </c>
      <c r="H283">
        <f>Tervezés!I286</f>
        <v>0</v>
      </c>
      <c r="I283">
        <f>Tervezés!J286</f>
        <v>0</v>
      </c>
      <c r="J283">
        <f>Tervezés!K286</f>
        <v>0</v>
      </c>
      <c r="K283">
        <f>Tervezés!L286</f>
        <v>0</v>
      </c>
      <c r="L283">
        <f>Tervezés!M286</f>
        <v>0</v>
      </c>
      <c r="M283" s="322" t="str">
        <f>IFERROR(VLOOKUP(A283,PAR!$D$3:$E$53,2,FALSE),"nincs szervezet")</f>
        <v>nincs szervezet</v>
      </c>
      <c r="N283" s="322" t="str">
        <f>VLOOKUP(F283,PAR!$R$3:$S$5,2,FALSE)</f>
        <v>3 - egyik sem</v>
      </c>
      <c r="O283" t="str">
        <f>IFERROR(VLOOKUP(J283,PAR!$O$3:$P$5,2,FALSE),"nincs feladat")</f>
        <v>nincs feladat</v>
      </c>
      <c r="P283" t="str">
        <f>IFERROR(VLOOKUP(G283,PAR!$J$2:$M$19,4),"nincs rovat")</f>
        <v>nincs rovat</v>
      </c>
      <c r="Q283" t="str">
        <f>IF(H283&gt;0,VLOOKUP(H283,PAR!$AA$3:$AC$187,3,FALSE),"nincs főkönyvi számla")</f>
        <v>nincs főkönyvi számla</v>
      </c>
      <c r="R283" t="str">
        <f>IFERROR(VLOOKUP(K283,PAR!$V$3:$X$438,3,FALSE),"000000 - Nincs COFOG")</f>
        <v>000000 - Nincs COFOG</v>
      </c>
      <c r="S283">
        <f t="shared" si="88"/>
        <v>0</v>
      </c>
      <c r="T283">
        <f t="shared" si="89"/>
        <v>0</v>
      </c>
      <c r="U283" t="str">
        <f>IF(Tervezés!F286&gt;0,CONCATENATE(Tervezés!E286," - ",Tervezés!F286,", ",Tervezés!J286),"nincs megjegyzés")</f>
        <v>nincs megjegyzés</v>
      </c>
      <c r="V283" t="str">
        <f t="shared" si="76"/>
        <v>6000</v>
      </c>
      <c r="W283" t="str">
        <f t="shared" si="77"/>
        <v>6000</v>
      </c>
      <c r="X283" t="str">
        <f t="shared" si="78"/>
        <v>00</v>
      </c>
      <c r="Y283" t="str">
        <f t="shared" si="79"/>
        <v>600</v>
      </c>
      <c r="Z283" t="str">
        <f t="shared" si="90"/>
        <v>00</v>
      </c>
      <c r="AA283" t="str">
        <f t="shared" si="80"/>
        <v>600</v>
      </c>
      <c r="AB283" t="str">
        <f t="shared" si="81"/>
        <v>00</v>
      </c>
      <c r="AC283" t="str">
        <f t="shared" si="82"/>
        <v>6000</v>
      </c>
      <c r="AD283" t="str">
        <f t="shared" si="83"/>
        <v>000</v>
      </c>
      <c r="AE283" t="str">
        <f t="shared" si="84"/>
        <v>6000</v>
      </c>
      <c r="AF283" t="str">
        <f t="shared" si="85"/>
        <v>000</v>
      </c>
      <c r="AG283" t="str">
        <f t="shared" si="91"/>
        <v>60000</v>
      </c>
      <c r="AH283" t="str">
        <f t="shared" si="92"/>
        <v>0000</v>
      </c>
      <c r="AI283" t="str">
        <f t="shared" si="93"/>
        <v>60000</v>
      </c>
      <c r="AJ283" t="str">
        <f t="shared" si="94"/>
        <v>0000</v>
      </c>
    </row>
    <row r="284" spans="1:36" x14ac:dyDescent="0.25">
      <c r="A284" s="325">
        <f>Tervezés!B287</f>
        <v>0</v>
      </c>
      <c r="B284">
        <v>60</v>
      </c>
      <c r="C284">
        <f>Tervezés!E287</f>
        <v>0</v>
      </c>
      <c r="D284">
        <f>Tervezés!F287</f>
        <v>0</v>
      </c>
      <c r="E284">
        <f>Tervezés!H287</f>
        <v>0</v>
      </c>
      <c r="F284" t="str">
        <f t="shared" si="86"/>
        <v>0</v>
      </c>
      <c r="G284" t="str">
        <f t="shared" si="87"/>
        <v>0</v>
      </c>
      <c r="H284">
        <f>Tervezés!I287</f>
        <v>0</v>
      </c>
      <c r="I284">
        <f>Tervezés!J287</f>
        <v>0</v>
      </c>
      <c r="J284">
        <f>Tervezés!K287</f>
        <v>0</v>
      </c>
      <c r="K284">
        <f>Tervezés!L287</f>
        <v>0</v>
      </c>
      <c r="L284">
        <f>Tervezés!M287</f>
        <v>0</v>
      </c>
      <c r="M284" s="322" t="str">
        <f>IFERROR(VLOOKUP(A284,PAR!$D$3:$E$53,2,FALSE),"nincs szervezet")</f>
        <v>nincs szervezet</v>
      </c>
      <c r="N284" s="322" t="str">
        <f>VLOOKUP(F284,PAR!$R$3:$S$5,2,FALSE)</f>
        <v>3 - egyik sem</v>
      </c>
      <c r="O284" t="str">
        <f>IFERROR(VLOOKUP(J284,PAR!$O$3:$P$5,2,FALSE),"nincs feladat")</f>
        <v>nincs feladat</v>
      </c>
      <c r="P284" t="str">
        <f>IFERROR(VLOOKUP(G284,PAR!$J$2:$M$19,4),"nincs rovat")</f>
        <v>nincs rovat</v>
      </c>
      <c r="Q284" t="str">
        <f>IF(H284&gt;0,VLOOKUP(H284,PAR!$AA$3:$AC$187,3,FALSE),"nincs főkönyvi számla")</f>
        <v>nincs főkönyvi számla</v>
      </c>
      <c r="R284" t="str">
        <f>IFERROR(VLOOKUP(K284,PAR!$V$3:$X$438,3,FALSE),"000000 - Nincs COFOG")</f>
        <v>000000 - Nincs COFOG</v>
      </c>
      <c r="S284">
        <f t="shared" si="88"/>
        <v>0</v>
      </c>
      <c r="T284">
        <f t="shared" si="89"/>
        <v>0</v>
      </c>
      <c r="U284" t="str">
        <f>IF(Tervezés!F287&gt;0,CONCATENATE(Tervezés!E287," - ",Tervezés!F287,", ",Tervezés!J287),"nincs megjegyzés")</f>
        <v>nincs megjegyzés</v>
      </c>
      <c r="V284" t="str">
        <f t="shared" si="76"/>
        <v>6000</v>
      </c>
      <c r="W284" t="str">
        <f t="shared" si="77"/>
        <v>6000</v>
      </c>
      <c r="X284" t="str">
        <f t="shared" si="78"/>
        <v>00</v>
      </c>
      <c r="Y284" t="str">
        <f t="shared" si="79"/>
        <v>600</v>
      </c>
      <c r="Z284" t="str">
        <f t="shared" si="90"/>
        <v>00</v>
      </c>
      <c r="AA284" t="str">
        <f t="shared" si="80"/>
        <v>600</v>
      </c>
      <c r="AB284" t="str">
        <f t="shared" si="81"/>
        <v>00</v>
      </c>
      <c r="AC284" t="str">
        <f t="shared" si="82"/>
        <v>6000</v>
      </c>
      <c r="AD284" t="str">
        <f t="shared" si="83"/>
        <v>000</v>
      </c>
      <c r="AE284" t="str">
        <f t="shared" si="84"/>
        <v>6000</v>
      </c>
      <c r="AF284" t="str">
        <f t="shared" si="85"/>
        <v>000</v>
      </c>
      <c r="AG284" t="str">
        <f t="shared" si="91"/>
        <v>60000</v>
      </c>
      <c r="AH284" t="str">
        <f t="shared" si="92"/>
        <v>0000</v>
      </c>
      <c r="AI284" t="str">
        <f t="shared" si="93"/>
        <v>60000</v>
      </c>
      <c r="AJ284" t="str">
        <f t="shared" si="94"/>
        <v>0000</v>
      </c>
    </row>
    <row r="285" spans="1:36" x14ac:dyDescent="0.25">
      <c r="A285" s="325">
        <f>Tervezés!B288</f>
        <v>0</v>
      </c>
      <c r="B285">
        <v>60</v>
      </c>
      <c r="C285">
        <f>Tervezés!E288</f>
        <v>0</v>
      </c>
      <c r="D285">
        <f>Tervezés!F288</f>
        <v>0</v>
      </c>
      <c r="E285">
        <f>Tervezés!H288</f>
        <v>0</v>
      </c>
      <c r="F285" t="str">
        <f t="shared" si="86"/>
        <v>0</v>
      </c>
      <c r="G285" t="str">
        <f t="shared" si="87"/>
        <v>0</v>
      </c>
      <c r="H285">
        <f>Tervezés!I288</f>
        <v>0</v>
      </c>
      <c r="I285">
        <f>Tervezés!J288</f>
        <v>0</v>
      </c>
      <c r="J285">
        <f>Tervezés!K288</f>
        <v>0</v>
      </c>
      <c r="K285">
        <f>Tervezés!L288</f>
        <v>0</v>
      </c>
      <c r="L285">
        <f>Tervezés!M288</f>
        <v>0</v>
      </c>
      <c r="M285" s="322" t="str">
        <f>IFERROR(VLOOKUP(A285,PAR!$D$3:$E$53,2,FALSE),"nincs szervezet")</f>
        <v>nincs szervezet</v>
      </c>
      <c r="N285" s="322" t="str">
        <f>VLOOKUP(F285,PAR!$R$3:$S$5,2,FALSE)</f>
        <v>3 - egyik sem</v>
      </c>
      <c r="O285" t="str">
        <f>IFERROR(VLOOKUP(J285,PAR!$O$3:$P$5,2,FALSE),"nincs feladat")</f>
        <v>nincs feladat</v>
      </c>
      <c r="P285" t="str">
        <f>IFERROR(VLOOKUP(G285,PAR!$J$2:$M$19,4),"nincs rovat")</f>
        <v>nincs rovat</v>
      </c>
      <c r="Q285" t="str">
        <f>IF(H285&gt;0,VLOOKUP(H285,PAR!$AA$3:$AC$187,3,FALSE),"nincs főkönyvi számla")</f>
        <v>nincs főkönyvi számla</v>
      </c>
      <c r="R285" t="str">
        <f>IFERROR(VLOOKUP(K285,PAR!$V$3:$X$438,3,FALSE),"000000 - Nincs COFOG")</f>
        <v>000000 - Nincs COFOG</v>
      </c>
      <c r="S285">
        <f t="shared" si="88"/>
        <v>0</v>
      </c>
      <c r="T285">
        <f t="shared" si="89"/>
        <v>0</v>
      </c>
      <c r="U285" t="str">
        <f>IF(Tervezés!F288&gt;0,CONCATENATE(Tervezés!E288," - ",Tervezés!F288,", ",Tervezés!J288),"nincs megjegyzés")</f>
        <v>nincs megjegyzés</v>
      </c>
      <c r="V285" t="str">
        <f t="shared" si="76"/>
        <v>6000</v>
      </c>
      <c r="W285" t="str">
        <f t="shared" si="77"/>
        <v>6000</v>
      </c>
      <c r="X285" t="str">
        <f t="shared" si="78"/>
        <v>00</v>
      </c>
      <c r="Y285" t="str">
        <f t="shared" si="79"/>
        <v>600</v>
      </c>
      <c r="Z285" t="str">
        <f t="shared" si="90"/>
        <v>00</v>
      </c>
      <c r="AA285" t="str">
        <f t="shared" si="80"/>
        <v>600</v>
      </c>
      <c r="AB285" t="str">
        <f t="shared" si="81"/>
        <v>00</v>
      </c>
      <c r="AC285" t="str">
        <f t="shared" si="82"/>
        <v>6000</v>
      </c>
      <c r="AD285" t="str">
        <f t="shared" si="83"/>
        <v>000</v>
      </c>
      <c r="AE285" t="str">
        <f t="shared" si="84"/>
        <v>6000</v>
      </c>
      <c r="AF285" t="str">
        <f t="shared" si="85"/>
        <v>000</v>
      </c>
      <c r="AG285" t="str">
        <f t="shared" si="91"/>
        <v>60000</v>
      </c>
      <c r="AH285" t="str">
        <f t="shared" si="92"/>
        <v>0000</v>
      </c>
      <c r="AI285" t="str">
        <f t="shared" si="93"/>
        <v>60000</v>
      </c>
      <c r="AJ285" t="str">
        <f t="shared" si="94"/>
        <v>0000</v>
      </c>
    </row>
    <row r="286" spans="1:36" x14ac:dyDescent="0.25">
      <c r="A286" s="325">
        <f>Tervezés!B289</f>
        <v>0</v>
      </c>
      <c r="B286">
        <v>60</v>
      </c>
      <c r="C286">
        <f>Tervezés!E289</f>
        <v>0</v>
      </c>
      <c r="D286">
        <f>Tervezés!F289</f>
        <v>0</v>
      </c>
      <c r="E286">
        <f>Tervezés!H289</f>
        <v>0</v>
      </c>
      <c r="F286" t="str">
        <f t="shared" si="86"/>
        <v>0</v>
      </c>
      <c r="G286" t="str">
        <f t="shared" si="87"/>
        <v>0</v>
      </c>
      <c r="H286">
        <f>Tervezés!I289</f>
        <v>0</v>
      </c>
      <c r="I286">
        <f>Tervezés!J289</f>
        <v>0</v>
      </c>
      <c r="J286">
        <f>Tervezés!K289</f>
        <v>0</v>
      </c>
      <c r="K286">
        <f>Tervezés!L289</f>
        <v>0</v>
      </c>
      <c r="L286">
        <f>Tervezés!M289</f>
        <v>0</v>
      </c>
      <c r="M286" s="322" t="str">
        <f>IFERROR(VLOOKUP(A286,PAR!$D$3:$E$53,2,FALSE),"nincs szervezet")</f>
        <v>nincs szervezet</v>
      </c>
      <c r="N286" s="322" t="str">
        <f>VLOOKUP(F286,PAR!$R$3:$S$5,2,FALSE)</f>
        <v>3 - egyik sem</v>
      </c>
      <c r="O286" t="str">
        <f>IFERROR(VLOOKUP(J286,PAR!$O$3:$P$5,2,FALSE),"nincs feladat")</f>
        <v>nincs feladat</v>
      </c>
      <c r="P286" t="str">
        <f>IFERROR(VLOOKUP(G286,PAR!$J$2:$M$19,4),"nincs rovat")</f>
        <v>nincs rovat</v>
      </c>
      <c r="Q286" t="str">
        <f>IF(H286&gt;0,VLOOKUP(H286,PAR!$AA$3:$AC$187,3,FALSE),"nincs főkönyvi számla")</f>
        <v>nincs főkönyvi számla</v>
      </c>
      <c r="R286" t="str">
        <f>IFERROR(VLOOKUP(K286,PAR!$V$3:$X$438,3,FALSE),"000000 - Nincs COFOG")</f>
        <v>000000 - Nincs COFOG</v>
      </c>
      <c r="S286">
        <f t="shared" si="88"/>
        <v>0</v>
      </c>
      <c r="T286">
        <f t="shared" si="89"/>
        <v>0</v>
      </c>
      <c r="U286" t="str">
        <f>IF(Tervezés!F289&gt;0,CONCATENATE(Tervezés!E289," - ",Tervezés!F289,", ",Tervezés!J289),"nincs megjegyzés")</f>
        <v>nincs megjegyzés</v>
      </c>
      <c r="V286" t="str">
        <f t="shared" si="76"/>
        <v>6000</v>
      </c>
      <c r="W286" t="str">
        <f t="shared" si="77"/>
        <v>6000</v>
      </c>
      <c r="X286" t="str">
        <f t="shared" si="78"/>
        <v>00</v>
      </c>
      <c r="Y286" t="str">
        <f t="shared" si="79"/>
        <v>600</v>
      </c>
      <c r="Z286" t="str">
        <f t="shared" si="90"/>
        <v>00</v>
      </c>
      <c r="AA286" t="str">
        <f t="shared" si="80"/>
        <v>600</v>
      </c>
      <c r="AB286" t="str">
        <f t="shared" si="81"/>
        <v>00</v>
      </c>
      <c r="AC286" t="str">
        <f t="shared" si="82"/>
        <v>6000</v>
      </c>
      <c r="AD286" t="str">
        <f t="shared" si="83"/>
        <v>000</v>
      </c>
      <c r="AE286" t="str">
        <f t="shared" si="84"/>
        <v>6000</v>
      </c>
      <c r="AF286" t="str">
        <f t="shared" si="85"/>
        <v>000</v>
      </c>
      <c r="AG286" t="str">
        <f t="shared" si="91"/>
        <v>60000</v>
      </c>
      <c r="AH286" t="str">
        <f t="shared" si="92"/>
        <v>0000</v>
      </c>
      <c r="AI286" t="str">
        <f t="shared" si="93"/>
        <v>60000</v>
      </c>
      <c r="AJ286" t="str">
        <f t="shared" si="94"/>
        <v>0000</v>
      </c>
    </row>
    <row r="287" spans="1:36" x14ac:dyDescent="0.25">
      <c r="A287" s="325">
        <f>Tervezés!B290</f>
        <v>0</v>
      </c>
      <c r="B287">
        <v>60</v>
      </c>
      <c r="C287">
        <f>Tervezés!E290</f>
        <v>0</v>
      </c>
      <c r="D287">
        <f>Tervezés!F290</f>
        <v>0</v>
      </c>
      <c r="E287">
        <f>Tervezés!H290</f>
        <v>0</v>
      </c>
      <c r="F287" t="str">
        <f t="shared" si="86"/>
        <v>0</v>
      </c>
      <c r="G287" t="str">
        <f t="shared" si="87"/>
        <v>0</v>
      </c>
      <c r="H287">
        <f>Tervezés!I290</f>
        <v>0</v>
      </c>
      <c r="I287">
        <f>Tervezés!J290</f>
        <v>0</v>
      </c>
      <c r="J287">
        <f>Tervezés!K290</f>
        <v>0</v>
      </c>
      <c r="K287">
        <f>Tervezés!L290</f>
        <v>0</v>
      </c>
      <c r="L287">
        <f>Tervezés!M290</f>
        <v>0</v>
      </c>
      <c r="M287" s="322" t="str">
        <f>IFERROR(VLOOKUP(A287,PAR!$D$3:$E$53,2,FALSE),"nincs szervezet")</f>
        <v>nincs szervezet</v>
      </c>
      <c r="N287" s="322" t="str">
        <f>VLOOKUP(F287,PAR!$R$3:$S$5,2,FALSE)</f>
        <v>3 - egyik sem</v>
      </c>
      <c r="O287" t="str">
        <f>IFERROR(VLOOKUP(J287,PAR!$O$3:$P$5,2,FALSE),"nincs feladat")</f>
        <v>nincs feladat</v>
      </c>
      <c r="P287" t="str">
        <f>IFERROR(VLOOKUP(G287,PAR!$J$2:$M$19,4),"nincs rovat")</f>
        <v>nincs rovat</v>
      </c>
      <c r="Q287" t="str">
        <f>IF(H287&gt;0,VLOOKUP(H287,PAR!$AA$3:$AC$187,3,FALSE),"nincs főkönyvi számla")</f>
        <v>nincs főkönyvi számla</v>
      </c>
      <c r="R287" t="str">
        <f>IFERROR(VLOOKUP(K287,PAR!$V$3:$X$438,3,FALSE),"000000 - Nincs COFOG")</f>
        <v>000000 - Nincs COFOG</v>
      </c>
      <c r="S287">
        <f t="shared" si="88"/>
        <v>0</v>
      </c>
      <c r="T287">
        <f t="shared" si="89"/>
        <v>0</v>
      </c>
      <c r="U287" t="str">
        <f>IF(Tervezés!F290&gt;0,CONCATENATE(Tervezés!E290," - ",Tervezés!F290,", ",Tervezés!J290),"nincs megjegyzés")</f>
        <v>nincs megjegyzés</v>
      </c>
      <c r="V287" t="str">
        <f t="shared" si="76"/>
        <v>6000</v>
      </c>
      <c r="W287" t="str">
        <f t="shared" si="77"/>
        <v>6000</v>
      </c>
      <c r="X287" t="str">
        <f t="shared" si="78"/>
        <v>00</v>
      </c>
      <c r="Y287" t="str">
        <f t="shared" si="79"/>
        <v>600</v>
      </c>
      <c r="Z287" t="str">
        <f t="shared" si="90"/>
        <v>00</v>
      </c>
      <c r="AA287" t="str">
        <f t="shared" si="80"/>
        <v>600</v>
      </c>
      <c r="AB287" t="str">
        <f t="shared" si="81"/>
        <v>00</v>
      </c>
      <c r="AC287" t="str">
        <f t="shared" si="82"/>
        <v>6000</v>
      </c>
      <c r="AD287" t="str">
        <f t="shared" si="83"/>
        <v>000</v>
      </c>
      <c r="AE287" t="str">
        <f t="shared" si="84"/>
        <v>6000</v>
      </c>
      <c r="AF287" t="str">
        <f t="shared" si="85"/>
        <v>000</v>
      </c>
      <c r="AG287" t="str">
        <f t="shared" si="91"/>
        <v>60000</v>
      </c>
      <c r="AH287" t="str">
        <f t="shared" si="92"/>
        <v>0000</v>
      </c>
      <c r="AI287" t="str">
        <f t="shared" si="93"/>
        <v>60000</v>
      </c>
      <c r="AJ287" t="str">
        <f t="shared" si="94"/>
        <v>0000</v>
      </c>
    </row>
    <row r="288" spans="1:36" x14ac:dyDescent="0.25">
      <c r="A288" s="325">
        <f>Tervezés!B291</f>
        <v>0</v>
      </c>
      <c r="B288">
        <v>60</v>
      </c>
      <c r="C288">
        <f>Tervezés!E291</f>
        <v>0</v>
      </c>
      <c r="D288">
        <f>Tervezés!F291</f>
        <v>0</v>
      </c>
      <c r="E288">
        <f>Tervezés!H291</f>
        <v>0</v>
      </c>
      <c r="F288" t="str">
        <f t="shared" si="86"/>
        <v>0</v>
      </c>
      <c r="G288" t="str">
        <f t="shared" si="87"/>
        <v>0</v>
      </c>
      <c r="H288">
        <f>Tervezés!I291</f>
        <v>0</v>
      </c>
      <c r="I288">
        <f>Tervezés!J291</f>
        <v>0</v>
      </c>
      <c r="J288">
        <f>Tervezés!K291</f>
        <v>0</v>
      </c>
      <c r="K288">
        <f>Tervezés!L291</f>
        <v>0</v>
      </c>
      <c r="L288">
        <f>Tervezés!M291</f>
        <v>0</v>
      </c>
      <c r="M288" s="322" t="str">
        <f>IFERROR(VLOOKUP(A288,PAR!$D$3:$E$53,2,FALSE),"nincs szervezet")</f>
        <v>nincs szervezet</v>
      </c>
      <c r="N288" s="322" t="str">
        <f>VLOOKUP(F288,PAR!$R$3:$S$5,2,FALSE)</f>
        <v>3 - egyik sem</v>
      </c>
      <c r="O288" t="str">
        <f>IFERROR(VLOOKUP(J288,PAR!$O$3:$P$5,2,FALSE),"nincs feladat")</f>
        <v>nincs feladat</v>
      </c>
      <c r="P288" t="str">
        <f>IFERROR(VLOOKUP(G288,PAR!$J$2:$M$19,4),"nincs rovat")</f>
        <v>nincs rovat</v>
      </c>
      <c r="Q288" t="str">
        <f>IF(H288&gt;0,VLOOKUP(H288,PAR!$AA$3:$AC$187,3,FALSE),"nincs főkönyvi számla")</f>
        <v>nincs főkönyvi számla</v>
      </c>
      <c r="R288" t="str">
        <f>IFERROR(VLOOKUP(K288,PAR!$V$3:$X$438,3,FALSE),"000000 - Nincs COFOG")</f>
        <v>000000 - Nincs COFOG</v>
      </c>
      <c r="S288">
        <f t="shared" si="88"/>
        <v>0</v>
      </c>
      <c r="T288">
        <f t="shared" si="89"/>
        <v>0</v>
      </c>
      <c r="U288" t="str">
        <f>IF(Tervezés!F291&gt;0,CONCATENATE(Tervezés!E291," - ",Tervezés!F291,", ",Tervezés!J291),"nincs megjegyzés")</f>
        <v>nincs megjegyzés</v>
      </c>
      <c r="V288" t="str">
        <f t="shared" si="76"/>
        <v>6000</v>
      </c>
      <c r="W288" t="str">
        <f t="shared" si="77"/>
        <v>6000</v>
      </c>
      <c r="X288" t="str">
        <f t="shared" si="78"/>
        <v>00</v>
      </c>
      <c r="Y288" t="str">
        <f t="shared" si="79"/>
        <v>600</v>
      </c>
      <c r="Z288" t="str">
        <f t="shared" si="90"/>
        <v>00</v>
      </c>
      <c r="AA288" t="str">
        <f t="shared" si="80"/>
        <v>600</v>
      </c>
      <c r="AB288" t="str">
        <f t="shared" si="81"/>
        <v>00</v>
      </c>
      <c r="AC288" t="str">
        <f t="shared" si="82"/>
        <v>6000</v>
      </c>
      <c r="AD288" t="str">
        <f t="shared" si="83"/>
        <v>000</v>
      </c>
      <c r="AE288" t="str">
        <f t="shared" si="84"/>
        <v>6000</v>
      </c>
      <c r="AF288" t="str">
        <f t="shared" si="85"/>
        <v>000</v>
      </c>
      <c r="AG288" t="str">
        <f t="shared" si="91"/>
        <v>60000</v>
      </c>
      <c r="AH288" t="str">
        <f t="shared" si="92"/>
        <v>0000</v>
      </c>
      <c r="AI288" t="str">
        <f t="shared" si="93"/>
        <v>60000</v>
      </c>
      <c r="AJ288" t="str">
        <f t="shared" si="94"/>
        <v>0000</v>
      </c>
    </row>
    <row r="289" spans="1:36" x14ac:dyDescent="0.25">
      <c r="A289" s="325">
        <f>Tervezés!B292</f>
        <v>0</v>
      </c>
      <c r="B289">
        <v>60</v>
      </c>
      <c r="C289">
        <f>Tervezés!E292</f>
        <v>0</v>
      </c>
      <c r="D289">
        <f>Tervezés!F292</f>
        <v>0</v>
      </c>
      <c r="E289">
        <f>Tervezés!H292</f>
        <v>0</v>
      </c>
      <c r="F289" t="str">
        <f t="shared" si="86"/>
        <v>0</v>
      </c>
      <c r="G289" t="str">
        <f t="shared" si="87"/>
        <v>0</v>
      </c>
      <c r="H289">
        <f>Tervezés!I292</f>
        <v>0</v>
      </c>
      <c r="I289">
        <f>Tervezés!J292</f>
        <v>0</v>
      </c>
      <c r="J289">
        <f>Tervezés!K292</f>
        <v>0</v>
      </c>
      <c r="K289">
        <f>Tervezés!L292</f>
        <v>0</v>
      </c>
      <c r="L289">
        <f>Tervezés!M292</f>
        <v>0</v>
      </c>
      <c r="M289" s="322" t="str">
        <f>IFERROR(VLOOKUP(A289,PAR!$D$3:$E$53,2,FALSE),"nincs szervezet")</f>
        <v>nincs szervezet</v>
      </c>
      <c r="N289" s="322" t="str">
        <f>VLOOKUP(F289,PAR!$R$3:$S$5,2,FALSE)</f>
        <v>3 - egyik sem</v>
      </c>
      <c r="O289" t="str">
        <f>IFERROR(VLOOKUP(J289,PAR!$O$3:$P$5,2,FALSE),"nincs feladat")</f>
        <v>nincs feladat</v>
      </c>
      <c r="P289" t="str">
        <f>IFERROR(VLOOKUP(G289,PAR!$J$2:$M$19,4),"nincs rovat")</f>
        <v>nincs rovat</v>
      </c>
      <c r="Q289" t="str">
        <f>IF(H289&gt;0,VLOOKUP(H289,PAR!$AA$3:$AC$187,3,FALSE),"nincs főkönyvi számla")</f>
        <v>nincs főkönyvi számla</v>
      </c>
      <c r="R289" t="str">
        <f>IFERROR(VLOOKUP(K289,PAR!$V$3:$X$438,3,FALSE),"000000 - Nincs COFOG")</f>
        <v>000000 - Nincs COFOG</v>
      </c>
      <c r="S289">
        <f t="shared" si="88"/>
        <v>0</v>
      </c>
      <c r="T289">
        <f t="shared" si="89"/>
        <v>0</v>
      </c>
      <c r="U289" t="str">
        <f>IF(Tervezés!F292&gt;0,CONCATENATE(Tervezés!E292," - ",Tervezés!F292,", ",Tervezés!J292),"nincs megjegyzés")</f>
        <v>nincs megjegyzés</v>
      </c>
      <c r="V289" t="str">
        <f t="shared" si="76"/>
        <v>6000</v>
      </c>
      <c r="W289" t="str">
        <f t="shared" si="77"/>
        <v>6000</v>
      </c>
      <c r="X289" t="str">
        <f t="shared" si="78"/>
        <v>00</v>
      </c>
      <c r="Y289" t="str">
        <f t="shared" si="79"/>
        <v>600</v>
      </c>
      <c r="Z289" t="str">
        <f t="shared" si="90"/>
        <v>00</v>
      </c>
      <c r="AA289" t="str">
        <f t="shared" si="80"/>
        <v>600</v>
      </c>
      <c r="AB289" t="str">
        <f t="shared" si="81"/>
        <v>00</v>
      </c>
      <c r="AC289" t="str">
        <f t="shared" si="82"/>
        <v>6000</v>
      </c>
      <c r="AD289" t="str">
        <f t="shared" si="83"/>
        <v>000</v>
      </c>
      <c r="AE289" t="str">
        <f t="shared" si="84"/>
        <v>6000</v>
      </c>
      <c r="AF289" t="str">
        <f t="shared" si="85"/>
        <v>000</v>
      </c>
      <c r="AG289" t="str">
        <f t="shared" si="91"/>
        <v>60000</v>
      </c>
      <c r="AH289" t="str">
        <f t="shared" si="92"/>
        <v>0000</v>
      </c>
      <c r="AI289" t="str">
        <f t="shared" si="93"/>
        <v>60000</v>
      </c>
      <c r="AJ289" t="str">
        <f t="shared" si="94"/>
        <v>0000</v>
      </c>
    </row>
    <row r="290" spans="1:36" x14ac:dyDescent="0.25">
      <c r="A290" s="325">
        <f>Tervezés!B293</f>
        <v>0</v>
      </c>
      <c r="B290">
        <v>60</v>
      </c>
      <c r="C290">
        <f>Tervezés!E293</f>
        <v>0</v>
      </c>
      <c r="D290">
        <f>Tervezés!F293</f>
        <v>0</v>
      </c>
      <c r="E290">
        <f>Tervezés!H293</f>
        <v>0</v>
      </c>
      <c r="F290" t="str">
        <f t="shared" si="86"/>
        <v>0</v>
      </c>
      <c r="G290" t="str">
        <f t="shared" si="87"/>
        <v>0</v>
      </c>
      <c r="H290">
        <f>Tervezés!I293</f>
        <v>0</v>
      </c>
      <c r="I290">
        <f>Tervezés!J293</f>
        <v>0</v>
      </c>
      <c r="J290">
        <f>Tervezés!K293</f>
        <v>0</v>
      </c>
      <c r="K290">
        <f>Tervezés!L293</f>
        <v>0</v>
      </c>
      <c r="L290">
        <f>Tervezés!M293</f>
        <v>0</v>
      </c>
      <c r="M290" s="322" t="str">
        <f>IFERROR(VLOOKUP(A290,PAR!$D$3:$E$53,2,FALSE),"nincs szervezet")</f>
        <v>nincs szervezet</v>
      </c>
      <c r="N290" s="322" t="str">
        <f>VLOOKUP(F290,PAR!$R$3:$S$5,2,FALSE)</f>
        <v>3 - egyik sem</v>
      </c>
      <c r="O290" t="str">
        <f>IFERROR(VLOOKUP(J290,PAR!$O$3:$P$5,2,FALSE),"nincs feladat")</f>
        <v>nincs feladat</v>
      </c>
      <c r="P290" t="str">
        <f>IFERROR(VLOOKUP(G290,PAR!$J$2:$M$19,4),"nincs rovat")</f>
        <v>nincs rovat</v>
      </c>
      <c r="Q290" t="str">
        <f>IF(H290&gt;0,VLOOKUP(H290,PAR!$AA$3:$AC$187,3,FALSE),"nincs főkönyvi számla")</f>
        <v>nincs főkönyvi számla</v>
      </c>
      <c r="R290" t="str">
        <f>IFERROR(VLOOKUP(K290,PAR!$V$3:$X$438,3,FALSE),"000000 - Nincs COFOG")</f>
        <v>000000 - Nincs COFOG</v>
      </c>
      <c r="S290">
        <f t="shared" si="88"/>
        <v>0</v>
      </c>
      <c r="T290">
        <f t="shared" si="89"/>
        <v>0</v>
      </c>
      <c r="U290" t="str">
        <f>IF(Tervezés!F293&gt;0,CONCATENATE(Tervezés!E293," - ",Tervezés!F293,", ",Tervezés!J293),"nincs megjegyzés")</f>
        <v>nincs megjegyzés</v>
      </c>
      <c r="V290" t="str">
        <f t="shared" si="76"/>
        <v>6000</v>
      </c>
      <c r="W290" t="str">
        <f t="shared" si="77"/>
        <v>6000</v>
      </c>
      <c r="X290" t="str">
        <f t="shared" si="78"/>
        <v>00</v>
      </c>
      <c r="Y290" t="str">
        <f t="shared" si="79"/>
        <v>600</v>
      </c>
      <c r="Z290" t="str">
        <f t="shared" si="90"/>
        <v>00</v>
      </c>
      <c r="AA290" t="str">
        <f t="shared" si="80"/>
        <v>600</v>
      </c>
      <c r="AB290" t="str">
        <f t="shared" si="81"/>
        <v>00</v>
      </c>
      <c r="AC290" t="str">
        <f t="shared" si="82"/>
        <v>6000</v>
      </c>
      <c r="AD290" t="str">
        <f t="shared" si="83"/>
        <v>000</v>
      </c>
      <c r="AE290" t="str">
        <f t="shared" si="84"/>
        <v>6000</v>
      </c>
      <c r="AF290" t="str">
        <f t="shared" si="85"/>
        <v>000</v>
      </c>
      <c r="AG290" t="str">
        <f t="shared" si="91"/>
        <v>60000</v>
      </c>
      <c r="AH290" t="str">
        <f t="shared" si="92"/>
        <v>0000</v>
      </c>
      <c r="AI290" t="str">
        <f t="shared" si="93"/>
        <v>60000</v>
      </c>
      <c r="AJ290" t="str">
        <f t="shared" si="94"/>
        <v>0000</v>
      </c>
    </row>
    <row r="291" spans="1:36" x14ac:dyDescent="0.25">
      <c r="A291" s="325">
        <f>Tervezés!B294</f>
        <v>0</v>
      </c>
      <c r="B291">
        <v>60</v>
      </c>
      <c r="C291">
        <f>Tervezés!E294</f>
        <v>0</v>
      </c>
      <c r="D291">
        <f>Tervezés!F294</f>
        <v>0</v>
      </c>
      <c r="E291">
        <f>Tervezés!H294</f>
        <v>0</v>
      </c>
      <c r="F291" t="str">
        <f t="shared" si="86"/>
        <v>0</v>
      </c>
      <c r="G291" t="str">
        <f t="shared" si="87"/>
        <v>0</v>
      </c>
      <c r="H291">
        <f>Tervezés!I294</f>
        <v>0</v>
      </c>
      <c r="I291">
        <f>Tervezés!J294</f>
        <v>0</v>
      </c>
      <c r="J291">
        <f>Tervezés!K294</f>
        <v>0</v>
      </c>
      <c r="K291">
        <f>Tervezés!L294</f>
        <v>0</v>
      </c>
      <c r="L291">
        <f>Tervezés!M294</f>
        <v>0</v>
      </c>
      <c r="M291" s="322" t="str">
        <f>IFERROR(VLOOKUP(A291,PAR!$D$3:$E$53,2,FALSE),"nincs szervezet")</f>
        <v>nincs szervezet</v>
      </c>
      <c r="N291" s="322" t="str">
        <f>VLOOKUP(F291,PAR!$R$3:$S$5,2,FALSE)</f>
        <v>3 - egyik sem</v>
      </c>
      <c r="O291" t="str">
        <f>IFERROR(VLOOKUP(J291,PAR!$O$3:$P$5,2,FALSE),"nincs feladat")</f>
        <v>nincs feladat</v>
      </c>
      <c r="P291" t="str">
        <f>IFERROR(VLOOKUP(G291,PAR!$J$2:$M$19,4),"nincs rovat")</f>
        <v>nincs rovat</v>
      </c>
      <c r="Q291" t="str">
        <f>IF(H291&gt;0,VLOOKUP(H291,PAR!$AA$3:$AC$187,3,FALSE),"nincs főkönyvi számla")</f>
        <v>nincs főkönyvi számla</v>
      </c>
      <c r="R291" t="str">
        <f>IFERROR(VLOOKUP(K291,PAR!$V$3:$X$438,3,FALSE),"000000 - Nincs COFOG")</f>
        <v>000000 - Nincs COFOG</v>
      </c>
      <c r="S291">
        <f t="shared" si="88"/>
        <v>0</v>
      </c>
      <c r="T291">
        <f t="shared" si="89"/>
        <v>0</v>
      </c>
      <c r="U291" t="str">
        <f>IF(Tervezés!F294&gt;0,CONCATENATE(Tervezés!E294," - ",Tervezés!F294,", ",Tervezés!J294),"nincs megjegyzés")</f>
        <v>nincs megjegyzés</v>
      </c>
      <c r="V291" t="str">
        <f t="shared" si="76"/>
        <v>6000</v>
      </c>
      <c r="W291" t="str">
        <f t="shared" si="77"/>
        <v>6000</v>
      </c>
      <c r="X291" t="str">
        <f t="shared" si="78"/>
        <v>00</v>
      </c>
      <c r="Y291" t="str">
        <f t="shared" si="79"/>
        <v>600</v>
      </c>
      <c r="Z291" t="str">
        <f t="shared" si="90"/>
        <v>00</v>
      </c>
      <c r="AA291" t="str">
        <f t="shared" si="80"/>
        <v>600</v>
      </c>
      <c r="AB291" t="str">
        <f t="shared" si="81"/>
        <v>00</v>
      </c>
      <c r="AC291" t="str">
        <f t="shared" si="82"/>
        <v>6000</v>
      </c>
      <c r="AD291" t="str">
        <f t="shared" si="83"/>
        <v>000</v>
      </c>
      <c r="AE291" t="str">
        <f t="shared" si="84"/>
        <v>6000</v>
      </c>
      <c r="AF291" t="str">
        <f t="shared" si="85"/>
        <v>000</v>
      </c>
      <c r="AG291" t="str">
        <f t="shared" si="91"/>
        <v>60000</v>
      </c>
      <c r="AH291" t="str">
        <f t="shared" si="92"/>
        <v>0000</v>
      </c>
      <c r="AI291" t="str">
        <f t="shared" si="93"/>
        <v>60000</v>
      </c>
      <c r="AJ291" t="str">
        <f t="shared" si="94"/>
        <v>0000</v>
      </c>
    </row>
    <row r="292" spans="1:36" x14ac:dyDescent="0.25">
      <c r="A292" s="325">
        <f>Tervezés!B295</f>
        <v>0</v>
      </c>
      <c r="B292">
        <v>60</v>
      </c>
      <c r="C292">
        <f>Tervezés!E295</f>
        <v>0</v>
      </c>
      <c r="D292">
        <f>Tervezés!F295</f>
        <v>0</v>
      </c>
      <c r="E292">
        <f>Tervezés!H295</f>
        <v>0</v>
      </c>
      <c r="F292" t="str">
        <f t="shared" si="86"/>
        <v>0</v>
      </c>
      <c r="G292" t="str">
        <f t="shared" si="87"/>
        <v>0</v>
      </c>
      <c r="H292">
        <f>Tervezés!I295</f>
        <v>0</v>
      </c>
      <c r="I292">
        <f>Tervezés!J295</f>
        <v>0</v>
      </c>
      <c r="J292">
        <f>Tervezés!K295</f>
        <v>0</v>
      </c>
      <c r="K292">
        <f>Tervezés!L295</f>
        <v>0</v>
      </c>
      <c r="L292">
        <f>Tervezés!M295</f>
        <v>0</v>
      </c>
      <c r="M292" s="322" t="str">
        <f>IFERROR(VLOOKUP(A292,PAR!$D$3:$E$53,2,FALSE),"nincs szervezet")</f>
        <v>nincs szervezet</v>
      </c>
      <c r="N292" s="322" t="str">
        <f>VLOOKUP(F292,PAR!$R$3:$S$5,2,FALSE)</f>
        <v>3 - egyik sem</v>
      </c>
      <c r="O292" t="str">
        <f>IFERROR(VLOOKUP(J292,PAR!$O$3:$P$5,2,FALSE),"nincs feladat")</f>
        <v>nincs feladat</v>
      </c>
      <c r="P292" t="str">
        <f>IFERROR(VLOOKUP(G292,PAR!$J$2:$M$19,4),"nincs rovat")</f>
        <v>nincs rovat</v>
      </c>
      <c r="Q292" t="str">
        <f>IF(H292&gt;0,VLOOKUP(H292,PAR!$AA$3:$AC$187,3,FALSE),"nincs főkönyvi számla")</f>
        <v>nincs főkönyvi számla</v>
      </c>
      <c r="R292" t="str">
        <f>IFERROR(VLOOKUP(K292,PAR!$V$3:$X$438,3,FALSE),"000000 - Nincs COFOG")</f>
        <v>000000 - Nincs COFOG</v>
      </c>
      <c r="S292">
        <f t="shared" si="88"/>
        <v>0</v>
      </c>
      <c r="T292">
        <f t="shared" si="89"/>
        <v>0</v>
      </c>
      <c r="U292" t="str">
        <f>IF(Tervezés!F295&gt;0,CONCATENATE(Tervezés!E295," - ",Tervezés!F295,", ",Tervezés!J295),"nincs megjegyzés")</f>
        <v>nincs megjegyzés</v>
      </c>
      <c r="V292" t="str">
        <f t="shared" si="76"/>
        <v>6000</v>
      </c>
      <c r="W292" t="str">
        <f t="shared" si="77"/>
        <v>6000</v>
      </c>
      <c r="X292" t="str">
        <f t="shared" si="78"/>
        <v>00</v>
      </c>
      <c r="Y292" t="str">
        <f t="shared" si="79"/>
        <v>600</v>
      </c>
      <c r="Z292" t="str">
        <f t="shared" si="90"/>
        <v>00</v>
      </c>
      <c r="AA292" t="str">
        <f t="shared" si="80"/>
        <v>600</v>
      </c>
      <c r="AB292" t="str">
        <f t="shared" si="81"/>
        <v>00</v>
      </c>
      <c r="AC292" t="str">
        <f t="shared" si="82"/>
        <v>6000</v>
      </c>
      <c r="AD292" t="str">
        <f t="shared" si="83"/>
        <v>000</v>
      </c>
      <c r="AE292" t="str">
        <f t="shared" si="84"/>
        <v>6000</v>
      </c>
      <c r="AF292" t="str">
        <f t="shared" si="85"/>
        <v>000</v>
      </c>
      <c r="AG292" t="str">
        <f t="shared" si="91"/>
        <v>60000</v>
      </c>
      <c r="AH292" t="str">
        <f t="shared" si="92"/>
        <v>0000</v>
      </c>
      <c r="AI292" t="str">
        <f t="shared" si="93"/>
        <v>60000</v>
      </c>
      <c r="AJ292" t="str">
        <f t="shared" si="94"/>
        <v>0000</v>
      </c>
    </row>
    <row r="293" spans="1:36" x14ac:dyDescent="0.25">
      <c r="A293" s="325">
        <f>Tervezés!B296</f>
        <v>0</v>
      </c>
      <c r="B293">
        <v>60</v>
      </c>
      <c r="C293">
        <f>Tervezés!E296</f>
        <v>0</v>
      </c>
      <c r="D293">
        <f>Tervezés!F296</f>
        <v>0</v>
      </c>
      <c r="E293">
        <f>Tervezés!H296</f>
        <v>0</v>
      </c>
      <c r="F293" t="str">
        <f t="shared" si="86"/>
        <v>0</v>
      </c>
      <c r="G293" t="str">
        <f t="shared" si="87"/>
        <v>0</v>
      </c>
      <c r="H293">
        <f>Tervezés!I296</f>
        <v>0</v>
      </c>
      <c r="I293">
        <f>Tervezés!J296</f>
        <v>0</v>
      </c>
      <c r="J293">
        <f>Tervezés!K296</f>
        <v>0</v>
      </c>
      <c r="K293">
        <f>Tervezés!L296</f>
        <v>0</v>
      </c>
      <c r="L293">
        <f>Tervezés!M296</f>
        <v>0</v>
      </c>
      <c r="M293" s="322" t="str">
        <f>IFERROR(VLOOKUP(A293,PAR!$D$3:$E$53,2,FALSE),"nincs szervezet")</f>
        <v>nincs szervezet</v>
      </c>
      <c r="N293" s="322" t="str">
        <f>VLOOKUP(F293,PAR!$R$3:$S$5,2,FALSE)</f>
        <v>3 - egyik sem</v>
      </c>
      <c r="O293" t="str">
        <f>IFERROR(VLOOKUP(J293,PAR!$O$3:$P$5,2,FALSE),"nincs feladat")</f>
        <v>nincs feladat</v>
      </c>
      <c r="P293" t="str">
        <f>IFERROR(VLOOKUP(G293,PAR!$J$2:$M$19,4),"nincs rovat")</f>
        <v>nincs rovat</v>
      </c>
      <c r="Q293" t="str">
        <f>IF(H293&gt;0,VLOOKUP(H293,PAR!$AA$3:$AC$187,3,FALSE),"nincs főkönyvi számla")</f>
        <v>nincs főkönyvi számla</v>
      </c>
      <c r="R293" t="str">
        <f>IFERROR(VLOOKUP(K293,PAR!$V$3:$X$438,3,FALSE),"000000 - Nincs COFOG")</f>
        <v>000000 - Nincs COFOG</v>
      </c>
      <c r="S293">
        <f t="shared" si="88"/>
        <v>0</v>
      </c>
      <c r="T293">
        <f t="shared" si="89"/>
        <v>0</v>
      </c>
      <c r="U293" t="str">
        <f>IF(Tervezés!F296&gt;0,CONCATENATE(Tervezés!E296," - ",Tervezés!F296,", ",Tervezés!J296),"nincs megjegyzés")</f>
        <v>nincs megjegyzés</v>
      </c>
      <c r="V293" t="str">
        <f t="shared" si="76"/>
        <v>6000</v>
      </c>
      <c r="W293" t="str">
        <f t="shared" si="77"/>
        <v>6000</v>
      </c>
      <c r="X293" t="str">
        <f t="shared" si="78"/>
        <v>00</v>
      </c>
      <c r="Y293" t="str">
        <f t="shared" si="79"/>
        <v>600</v>
      </c>
      <c r="Z293" t="str">
        <f t="shared" si="90"/>
        <v>00</v>
      </c>
      <c r="AA293" t="str">
        <f t="shared" si="80"/>
        <v>600</v>
      </c>
      <c r="AB293" t="str">
        <f t="shared" si="81"/>
        <v>00</v>
      </c>
      <c r="AC293" t="str">
        <f t="shared" si="82"/>
        <v>6000</v>
      </c>
      <c r="AD293" t="str">
        <f t="shared" si="83"/>
        <v>000</v>
      </c>
      <c r="AE293" t="str">
        <f t="shared" si="84"/>
        <v>6000</v>
      </c>
      <c r="AF293" t="str">
        <f t="shared" si="85"/>
        <v>000</v>
      </c>
      <c r="AG293" t="str">
        <f t="shared" si="91"/>
        <v>60000</v>
      </c>
      <c r="AH293" t="str">
        <f t="shared" si="92"/>
        <v>0000</v>
      </c>
      <c r="AI293" t="str">
        <f t="shared" si="93"/>
        <v>60000</v>
      </c>
      <c r="AJ293" t="str">
        <f t="shared" si="94"/>
        <v>0000</v>
      </c>
    </row>
    <row r="294" spans="1:36" x14ac:dyDescent="0.25">
      <c r="A294" s="325">
        <f>Tervezés!B297</f>
        <v>0</v>
      </c>
      <c r="B294">
        <v>60</v>
      </c>
      <c r="C294">
        <f>Tervezés!E297</f>
        <v>0</v>
      </c>
      <c r="D294">
        <f>Tervezés!F297</f>
        <v>0</v>
      </c>
      <c r="E294">
        <f>Tervezés!H297</f>
        <v>0</v>
      </c>
      <c r="F294" t="str">
        <f t="shared" si="86"/>
        <v>0</v>
      </c>
      <c r="G294" t="str">
        <f t="shared" si="87"/>
        <v>0</v>
      </c>
      <c r="H294">
        <f>Tervezés!I297</f>
        <v>0</v>
      </c>
      <c r="I294">
        <f>Tervezés!J297</f>
        <v>0</v>
      </c>
      <c r="J294">
        <f>Tervezés!K297</f>
        <v>0</v>
      </c>
      <c r="K294">
        <f>Tervezés!L297</f>
        <v>0</v>
      </c>
      <c r="L294">
        <f>Tervezés!M297</f>
        <v>0</v>
      </c>
      <c r="M294" s="322" t="str">
        <f>IFERROR(VLOOKUP(A294,PAR!$D$3:$E$53,2,FALSE),"nincs szervezet")</f>
        <v>nincs szervezet</v>
      </c>
      <c r="N294" s="322" t="str">
        <f>VLOOKUP(F294,PAR!$R$3:$S$5,2,FALSE)</f>
        <v>3 - egyik sem</v>
      </c>
      <c r="O294" t="str">
        <f>IFERROR(VLOOKUP(J294,PAR!$O$3:$P$5,2,FALSE),"nincs feladat")</f>
        <v>nincs feladat</v>
      </c>
      <c r="P294" t="str">
        <f>IFERROR(VLOOKUP(G294,PAR!$J$2:$M$19,4),"nincs rovat")</f>
        <v>nincs rovat</v>
      </c>
      <c r="Q294" t="str">
        <f>IF(H294&gt;0,VLOOKUP(H294,PAR!$AA$3:$AC$187,3,FALSE),"nincs főkönyvi számla")</f>
        <v>nincs főkönyvi számla</v>
      </c>
      <c r="R294" t="str">
        <f>IFERROR(VLOOKUP(K294,PAR!$V$3:$X$438,3,FALSE),"000000 - Nincs COFOG")</f>
        <v>000000 - Nincs COFOG</v>
      </c>
      <c r="S294">
        <f t="shared" si="88"/>
        <v>0</v>
      </c>
      <c r="T294">
        <f t="shared" si="89"/>
        <v>0</v>
      </c>
      <c r="U294" t="str">
        <f>IF(Tervezés!F297&gt;0,CONCATENATE(Tervezés!E297," - ",Tervezés!F297,", ",Tervezés!J297),"nincs megjegyzés")</f>
        <v>nincs megjegyzés</v>
      </c>
      <c r="V294" t="str">
        <f t="shared" si="76"/>
        <v>6000</v>
      </c>
      <c r="W294" t="str">
        <f t="shared" si="77"/>
        <v>6000</v>
      </c>
      <c r="X294" t="str">
        <f t="shared" si="78"/>
        <v>00</v>
      </c>
      <c r="Y294" t="str">
        <f t="shared" si="79"/>
        <v>600</v>
      </c>
      <c r="Z294" t="str">
        <f t="shared" si="90"/>
        <v>00</v>
      </c>
      <c r="AA294" t="str">
        <f t="shared" si="80"/>
        <v>600</v>
      </c>
      <c r="AB294" t="str">
        <f t="shared" si="81"/>
        <v>00</v>
      </c>
      <c r="AC294" t="str">
        <f t="shared" si="82"/>
        <v>6000</v>
      </c>
      <c r="AD294" t="str">
        <f t="shared" si="83"/>
        <v>000</v>
      </c>
      <c r="AE294" t="str">
        <f t="shared" si="84"/>
        <v>6000</v>
      </c>
      <c r="AF294" t="str">
        <f t="shared" si="85"/>
        <v>000</v>
      </c>
      <c r="AG294" t="str">
        <f t="shared" si="91"/>
        <v>60000</v>
      </c>
      <c r="AH294" t="str">
        <f t="shared" si="92"/>
        <v>0000</v>
      </c>
      <c r="AI294" t="str">
        <f t="shared" si="93"/>
        <v>60000</v>
      </c>
      <c r="AJ294" t="str">
        <f t="shared" si="94"/>
        <v>0000</v>
      </c>
    </row>
    <row r="295" spans="1:36" x14ac:dyDescent="0.25">
      <c r="A295" s="325">
        <f>Tervezés!B298</f>
        <v>0</v>
      </c>
      <c r="B295">
        <v>60</v>
      </c>
      <c r="C295">
        <f>Tervezés!E298</f>
        <v>0</v>
      </c>
      <c r="D295">
        <f>Tervezés!F298</f>
        <v>0</v>
      </c>
      <c r="E295">
        <f>Tervezés!H298</f>
        <v>0</v>
      </c>
      <c r="F295" t="str">
        <f t="shared" si="86"/>
        <v>0</v>
      </c>
      <c r="G295" t="str">
        <f t="shared" si="87"/>
        <v>0</v>
      </c>
      <c r="H295">
        <f>Tervezés!I298</f>
        <v>0</v>
      </c>
      <c r="I295">
        <f>Tervezés!J298</f>
        <v>0</v>
      </c>
      <c r="J295">
        <f>Tervezés!K298</f>
        <v>0</v>
      </c>
      <c r="K295">
        <f>Tervezés!L298</f>
        <v>0</v>
      </c>
      <c r="L295">
        <f>Tervezés!M298</f>
        <v>0</v>
      </c>
      <c r="M295" s="322" t="str">
        <f>IFERROR(VLOOKUP(A295,PAR!$D$3:$E$53,2,FALSE),"nincs szervezet")</f>
        <v>nincs szervezet</v>
      </c>
      <c r="N295" s="322" t="str">
        <f>VLOOKUP(F295,PAR!$R$3:$S$5,2,FALSE)</f>
        <v>3 - egyik sem</v>
      </c>
      <c r="O295" t="str">
        <f>IFERROR(VLOOKUP(J295,PAR!$O$3:$P$5,2,FALSE),"nincs feladat")</f>
        <v>nincs feladat</v>
      </c>
      <c r="P295" t="str">
        <f>IFERROR(VLOOKUP(G295,PAR!$J$2:$M$19,4),"nincs rovat")</f>
        <v>nincs rovat</v>
      </c>
      <c r="Q295" t="str">
        <f>IF(H295&gt;0,VLOOKUP(H295,PAR!$AA$3:$AC$187,3,FALSE),"nincs főkönyvi számla")</f>
        <v>nincs főkönyvi számla</v>
      </c>
      <c r="R295" t="str">
        <f>IFERROR(VLOOKUP(K295,PAR!$V$3:$X$438,3,FALSE),"000000 - Nincs COFOG")</f>
        <v>000000 - Nincs COFOG</v>
      </c>
      <c r="S295">
        <f t="shared" si="88"/>
        <v>0</v>
      </c>
      <c r="T295">
        <f t="shared" si="89"/>
        <v>0</v>
      </c>
      <c r="U295" t="str">
        <f>IF(Tervezés!F298&gt;0,CONCATENATE(Tervezés!E298," - ",Tervezés!F298,", ",Tervezés!J298),"nincs megjegyzés")</f>
        <v>nincs megjegyzés</v>
      </c>
      <c r="V295" t="str">
        <f t="shared" si="76"/>
        <v>6000</v>
      </c>
      <c r="W295" t="str">
        <f t="shared" si="77"/>
        <v>6000</v>
      </c>
      <c r="X295" t="str">
        <f t="shared" si="78"/>
        <v>00</v>
      </c>
      <c r="Y295" t="str">
        <f t="shared" si="79"/>
        <v>600</v>
      </c>
      <c r="Z295" t="str">
        <f t="shared" si="90"/>
        <v>00</v>
      </c>
      <c r="AA295" t="str">
        <f t="shared" si="80"/>
        <v>600</v>
      </c>
      <c r="AB295" t="str">
        <f t="shared" si="81"/>
        <v>00</v>
      </c>
      <c r="AC295" t="str">
        <f t="shared" si="82"/>
        <v>6000</v>
      </c>
      <c r="AD295" t="str">
        <f t="shared" si="83"/>
        <v>000</v>
      </c>
      <c r="AE295" t="str">
        <f t="shared" si="84"/>
        <v>6000</v>
      </c>
      <c r="AF295" t="str">
        <f t="shared" si="85"/>
        <v>000</v>
      </c>
      <c r="AG295" t="str">
        <f t="shared" si="91"/>
        <v>60000</v>
      </c>
      <c r="AH295" t="str">
        <f t="shared" si="92"/>
        <v>0000</v>
      </c>
      <c r="AI295" t="str">
        <f t="shared" si="93"/>
        <v>60000</v>
      </c>
      <c r="AJ295" t="str">
        <f t="shared" si="94"/>
        <v>0000</v>
      </c>
    </row>
    <row r="296" spans="1:36" x14ac:dyDescent="0.25">
      <c r="A296" s="325">
        <f>Tervezés!B299</f>
        <v>0</v>
      </c>
      <c r="B296">
        <v>60</v>
      </c>
      <c r="C296">
        <f>Tervezés!E299</f>
        <v>0</v>
      </c>
      <c r="D296">
        <f>Tervezés!F299</f>
        <v>0</v>
      </c>
      <c r="E296">
        <f>Tervezés!H299</f>
        <v>0</v>
      </c>
      <c r="F296" t="str">
        <f t="shared" si="86"/>
        <v>0</v>
      </c>
      <c r="G296" t="str">
        <f t="shared" si="87"/>
        <v>0</v>
      </c>
      <c r="H296">
        <f>Tervezés!I299</f>
        <v>0</v>
      </c>
      <c r="I296">
        <f>Tervezés!J299</f>
        <v>0</v>
      </c>
      <c r="J296">
        <f>Tervezés!K299</f>
        <v>0</v>
      </c>
      <c r="K296">
        <f>Tervezés!L299</f>
        <v>0</v>
      </c>
      <c r="L296">
        <f>Tervezés!M299</f>
        <v>0</v>
      </c>
      <c r="M296" s="322" t="str">
        <f>IFERROR(VLOOKUP(A296,PAR!$D$3:$E$53,2,FALSE),"nincs szervezet")</f>
        <v>nincs szervezet</v>
      </c>
      <c r="N296" s="322" t="str">
        <f>VLOOKUP(F296,PAR!$R$3:$S$5,2,FALSE)</f>
        <v>3 - egyik sem</v>
      </c>
      <c r="O296" t="str">
        <f>IFERROR(VLOOKUP(J296,PAR!$O$3:$P$5,2,FALSE),"nincs feladat")</f>
        <v>nincs feladat</v>
      </c>
      <c r="P296" t="str">
        <f>IFERROR(VLOOKUP(G296,PAR!$J$2:$M$19,4),"nincs rovat")</f>
        <v>nincs rovat</v>
      </c>
      <c r="Q296" t="str">
        <f>IF(H296&gt;0,VLOOKUP(H296,PAR!$AA$3:$AC$187,3,FALSE),"nincs főkönyvi számla")</f>
        <v>nincs főkönyvi számla</v>
      </c>
      <c r="R296" t="str">
        <f>IFERROR(VLOOKUP(K296,PAR!$V$3:$X$438,3,FALSE),"000000 - Nincs COFOG")</f>
        <v>000000 - Nincs COFOG</v>
      </c>
      <c r="S296">
        <f t="shared" si="88"/>
        <v>0</v>
      </c>
      <c r="T296">
        <f t="shared" si="89"/>
        <v>0</v>
      </c>
      <c r="U296" t="str">
        <f>IF(Tervezés!F299&gt;0,CONCATENATE(Tervezés!E299," - ",Tervezés!F299,", ",Tervezés!J299),"nincs megjegyzés")</f>
        <v>nincs megjegyzés</v>
      </c>
      <c r="V296" t="str">
        <f t="shared" si="76"/>
        <v>6000</v>
      </c>
      <c r="W296" t="str">
        <f t="shared" si="77"/>
        <v>6000</v>
      </c>
      <c r="X296" t="str">
        <f t="shared" si="78"/>
        <v>00</v>
      </c>
      <c r="Y296" t="str">
        <f t="shared" si="79"/>
        <v>600</v>
      </c>
      <c r="Z296" t="str">
        <f t="shared" si="90"/>
        <v>00</v>
      </c>
      <c r="AA296" t="str">
        <f t="shared" si="80"/>
        <v>600</v>
      </c>
      <c r="AB296" t="str">
        <f t="shared" si="81"/>
        <v>00</v>
      </c>
      <c r="AC296" t="str">
        <f t="shared" si="82"/>
        <v>6000</v>
      </c>
      <c r="AD296" t="str">
        <f t="shared" si="83"/>
        <v>000</v>
      </c>
      <c r="AE296" t="str">
        <f t="shared" si="84"/>
        <v>6000</v>
      </c>
      <c r="AF296" t="str">
        <f t="shared" si="85"/>
        <v>000</v>
      </c>
      <c r="AG296" t="str">
        <f t="shared" si="91"/>
        <v>60000</v>
      </c>
      <c r="AH296" t="str">
        <f t="shared" si="92"/>
        <v>0000</v>
      </c>
      <c r="AI296" t="str">
        <f t="shared" si="93"/>
        <v>60000</v>
      </c>
      <c r="AJ296" t="str">
        <f t="shared" si="94"/>
        <v>0000</v>
      </c>
    </row>
    <row r="297" spans="1:36" x14ac:dyDescent="0.25">
      <c r="A297" s="325">
        <f>Tervezés!B300</f>
        <v>0</v>
      </c>
      <c r="B297">
        <v>60</v>
      </c>
      <c r="C297">
        <f>Tervezés!E300</f>
        <v>0</v>
      </c>
      <c r="D297">
        <f>Tervezés!F300</f>
        <v>0</v>
      </c>
      <c r="E297">
        <f>Tervezés!H300</f>
        <v>0</v>
      </c>
      <c r="F297" t="str">
        <f t="shared" si="86"/>
        <v>0</v>
      </c>
      <c r="G297" t="str">
        <f t="shared" si="87"/>
        <v>0</v>
      </c>
      <c r="H297">
        <f>Tervezés!I300</f>
        <v>0</v>
      </c>
      <c r="I297">
        <f>Tervezés!J300</f>
        <v>0</v>
      </c>
      <c r="J297">
        <f>Tervezés!K300</f>
        <v>0</v>
      </c>
      <c r="K297">
        <f>Tervezés!L300</f>
        <v>0</v>
      </c>
      <c r="L297">
        <f>Tervezés!M300</f>
        <v>0</v>
      </c>
      <c r="M297" s="322" t="str">
        <f>IFERROR(VLOOKUP(A297,PAR!$D$3:$E$53,2,FALSE),"nincs szervezet")</f>
        <v>nincs szervezet</v>
      </c>
      <c r="N297" s="322" t="str">
        <f>VLOOKUP(F297,PAR!$R$3:$S$5,2,FALSE)</f>
        <v>3 - egyik sem</v>
      </c>
      <c r="O297" t="str">
        <f>IFERROR(VLOOKUP(J297,PAR!$O$3:$P$5,2,FALSE),"nincs feladat")</f>
        <v>nincs feladat</v>
      </c>
      <c r="P297" t="str">
        <f>IFERROR(VLOOKUP(G297,PAR!$J$2:$M$19,4),"nincs rovat")</f>
        <v>nincs rovat</v>
      </c>
      <c r="Q297" t="str">
        <f>IF(H297&gt;0,VLOOKUP(H297,PAR!$AA$3:$AC$187,3,FALSE),"nincs főkönyvi számla")</f>
        <v>nincs főkönyvi számla</v>
      </c>
      <c r="R297" t="str">
        <f>IFERROR(VLOOKUP(K297,PAR!$V$3:$X$438,3,FALSE),"000000 - Nincs COFOG")</f>
        <v>000000 - Nincs COFOG</v>
      </c>
      <c r="S297">
        <f t="shared" si="88"/>
        <v>0</v>
      </c>
      <c r="T297">
        <f t="shared" si="89"/>
        <v>0</v>
      </c>
      <c r="U297" t="str">
        <f>IF(Tervezés!F300&gt;0,CONCATENATE(Tervezés!E300," - ",Tervezés!F300,", ",Tervezés!J300),"nincs megjegyzés")</f>
        <v>nincs megjegyzés</v>
      </c>
      <c r="V297" t="str">
        <f t="shared" si="76"/>
        <v>6000</v>
      </c>
      <c r="W297" t="str">
        <f t="shared" si="77"/>
        <v>6000</v>
      </c>
      <c r="X297" t="str">
        <f t="shared" si="78"/>
        <v>00</v>
      </c>
      <c r="Y297" t="str">
        <f t="shared" si="79"/>
        <v>600</v>
      </c>
      <c r="Z297" t="str">
        <f t="shared" si="90"/>
        <v>00</v>
      </c>
      <c r="AA297" t="str">
        <f t="shared" si="80"/>
        <v>600</v>
      </c>
      <c r="AB297" t="str">
        <f t="shared" si="81"/>
        <v>00</v>
      </c>
      <c r="AC297" t="str">
        <f t="shared" si="82"/>
        <v>6000</v>
      </c>
      <c r="AD297" t="str">
        <f t="shared" si="83"/>
        <v>000</v>
      </c>
      <c r="AE297" t="str">
        <f t="shared" si="84"/>
        <v>6000</v>
      </c>
      <c r="AF297" t="str">
        <f t="shared" si="85"/>
        <v>000</v>
      </c>
      <c r="AG297" t="str">
        <f t="shared" si="91"/>
        <v>60000</v>
      </c>
      <c r="AH297" t="str">
        <f t="shared" si="92"/>
        <v>0000</v>
      </c>
      <c r="AI297" t="str">
        <f t="shared" si="93"/>
        <v>60000</v>
      </c>
      <c r="AJ297" t="str">
        <f t="shared" si="94"/>
        <v>0000</v>
      </c>
    </row>
    <row r="298" spans="1:36" x14ac:dyDescent="0.25">
      <c r="A298" s="325">
        <f>Tervezés!B301</f>
        <v>0</v>
      </c>
      <c r="B298">
        <v>60</v>
      </c>
      <c r="C298">
        <f>Tervezés!E301</f>
        <v>0</v>
      </c>
      <c r="D298">
        <f>Tervezés!F301</f>
        <v>0</v>
      </c>
      <c r="E298">
        <f>Tervezés!H301</f>
        <v>0</v>
      </c>
      <c r="F298" t="str">
        <f t="shared" si="86"/>
        <v>0</v>
      </c>
      <c r="G298" t="str">
        <f t="shared" si="87"/>
        <v>0</v>
      </c>
      <c r="H298">
        <f>Tervezés!I301</f>
        <v>0</v>
      </c>
      <c r="I298">
        <f>Tervezés!J301</f>
        <v>0</v>
      </c>
      <c r="J298">
        <f>Tervezés!K301</f>
        <v>0</v>
      </c>
      <c r="K298">
        <f>Tervezés!L301</f>
        <v>0</v>
      </c>
      <c r="L298">
        <f>Tervezés!M301</f>
        <v>0</v>
      </c>
      <c r="M298" s="322" t="str">
        <f>IFERROR(VLOOKUP(A298,PAR!$D$3:$E$53,2,FALSE),"nincs szervezet")</f>
        <v>nincs szervezet</v>
      </c>
      <c r="N298" s="322" t="str">
        <f>VLOOKUP(F298,PAR!$R$3:$S$5,2,FALSE)</f>
        <v>3 - egyik sem</v>
      </c>
      <c r="O298" t="str">
        <f>IFERROR(VLOOKUP(J298,PAR!$O$3:$P$5,2,FALSE),"nincs feladat")</f>
        <v>nincs feladat</v>
      </c>
      <c r="P298" t="str">
        <f>IFERROR(VLOOKUP(G298,PAR!$J$2:$M$19,4),"nincs rovat")</f>
        <v>nincs rovat</v>
      </c>
      <c r="Q298" t="str">
        <f>IF(H298&gt;0,VLOOKUP(H298,PAR!$AA$3:$AC$187,3,FALSE),"nincs főkönyvi számla")</f>
        <v>nincs főkönyvi számla</v>
      </c>
      <c r="R298" t="str">
        <f>IFERROR(VLOOKUP(K298,PAR!$V$3:$X$438,3,FALSE),"000000 - Nincs COFOG")</f>
        <v>000000 - Nincs COFOG</v>
      </c>
      <c r="S298">
        <f t="shared" si="88"/>
        <v>0</v>
      </c>
      <c r="T298">
        <f t="shared" si="89"/>
        <v>0</v>
      </c>
      <c r="U298" t="str">
        <f>IF(Tervezés!F301&gt;0,CONCATENATE(Tervezés!E301," - ",Tervezés!F301,", ",Tervezés!J301),"nincs megjegyzés")</f>
        <v>nincs megjegyzés</v>
      </c>
      <c r="V298" t="str">
        <f t="shared" si="76"/>
        <v>6000</v>
      </c>
      <c r="W298" t="str">
        <f t="shared" si="77"/>
        <v>6000</v>
      </c>
      <c r="X298" t="str">
        <f t="shared" si="78"/>
        <v>00</v>
      </c>
      <c r="Y298" t="str">
        <f t="shared" si="79"/>
        <v>600</v>
      </c>
      <c r="Z298" t="str">
        <f t="shared" si="90"/>
        <v>00</v>
      </c>
      <c r="AA298" t="str">
        <f t="shared" si="80"/>
        <v>600</v>
      </c>
      <c r="AB298" t="str">
        <f t="shared" si="81"/>
        <v>00</v>
      </c>
      <c r="AC298" t="str">
        <f t="shared" si="82"/>
        <v>6000</v>
      </c>
      <c r="AD298" t="str">
        <f t="shared" si="83"/>
        <v>000</v>
      </c>
      <c r="AE298" t="str">
        <f t="shared" si="84"/>
        <v>6000</v>
      </c>
      <c r="AF298" t="str">
        <f t="shared" si="85"/>
        <v>000</v>
      </c>
      <c r="AG298" t="str">
        <f t="shared" si="91"/>
        <v>60000</v>
      </c>
      <c r="AH298" t="str">
        <f t="shared" si="92"/>
        <v>0000</v>
      </c>
      <c r="AI298" t="str">
        <f t="shared" si="93"/>
        <v>60000</v>
      </c>
      <c r="AJ298" t="str">
        <f t="shared" si="94"/>
        <v>0000</v>
      </c>
    </row>
    <row r="299" spans="1:36" x14ac:dyDescent="0.25">
      <c r="A299" s="325">
        <f>Tervezés!B302</f>
        <v>0</v>
      </c>
      <c r="B299">
        <v>60</v>
      </c>
      <c r="C299">
        <f>Tervezés!E302</f>
        <v>0</v>
      </c>
      <c r="D299">
        <f>Tervezés!F302</f>
        <v>0</v>
      </c>
      <c r="E299">
        <f>Tervezés!H302</f>
        <v>0</v>
      </c>
      <c r="F299" t="str">
        <f t="shared" si="86"/>
        <v>0</v>
      </c>
      <c r="G299" t="str">
        <f t="shared" si="87"/>
        <v>0</v>
      </c>
      <c r="H299">
        <f>Tervezés!I302</f>
        <v>0</v>
      </c>
      <c r="I299">
        <f>Tervezés!J302</f>
        <v>0</v>
      </c>
      <c r="J299">
        <f>Tervezés!K302</f>
        <v>0</v>
      </c>
      <c r="K299">
        <f>Tervezés!L302</f>
        <v>0</v>
      </c>
      <c r="L299">
        <f>Tervezés!M302</f>
        <v>0</v>
      </c>
      <c r="M299" s="322" t="str">
        <f>IFERROR(VLOOKUP(A299,PAR!$D$3:$E$53,2,FALSE),"nincs szervezet")</f>
        <v>nincs szervezet</v>
      </c>
      <c r="N299" s="322" t="str">
        <f>VLOOKUP(F299,PAR!$R$3:$S$5,2,FALSE)</f>
        <v>3 - egyik sem</v>
      </c>
      <c r="O299" t="str">
        <f>IFERROR(VLOOKUP(J299,PAR!$O$3:$P$5,2,FALSE),"nincs feladat")</f>
        <v>nincs feladat</v>
      </c>
      <c r="P299" t="str">
        <f>IFERROR(VLOOKUP(G299,PAR!$J$2:$M$19,4),"nincs rovat")</f>
        <v>nincs rovat</v>
      </c>
      <c r="Q299" t="str">
        <f>IF(H299&gt;0,VLOOKUP(H299,PAR!$AA$3:$AC$187,3,FALSE),"nincs főkönyvi számla")</f>
        <v>nincs főkönyvi számla</v>
      </c>
      <c r="R299" t="str">
        <f>IFERROR(VLOOKUP(K299,PAR!$V$3:$X$438,3,FALSE),"000000 - Nincs COFOG")</f>
        <v>000000 - Nincs COFOG</v>
      </c>
      <c r="S299">
        <f t="shared" si="88"/>
        <v>0</v>
      </c>
      <c r="T299">
        <f t="shared" si="89"/>
        <v>0</v>
      </c>
      <c r="U299" t="str">
        <f>IF(Tervezés!F302&gt;0,CONCATENATE(Tervezés!E302," - ",Tervezés!F302,", ",Tervezés!J302),"nincs megjegyzés")</f>
        <v>nincs megjegyzés</v>
      </c>
      <c r="V299" t="str">
        <f t="shared" si="76"/>
        <v>6000</v>
      </c>
      <c r="W299" t="str">
        <f t="shared" si="77"/>
        <v>6000</v>
      </c>
      <c r="X299" t="str">
        <f t="shared" si="78"/>
        <v>00</v>
      </c>
      <c r="Y299" t="str">
        <f t="shared" si="79"/>
        <v>600</v>
      </c>
      <c r="Z299" t="str">
        <f t="shared" si="90"/>
        <v>00</v>
      </c>
      <c r="AA299" t="str">
        <f t="shared" si="80"/>
        <v>600</v>
      </c>
      <c r="AB299" t="str">
        <f t="shared" si="81"/>
        <v>00</v>
      </c>
      <c r="AC299" t="str">
        <f t="shared" si="82"/>
        <v>6000</v>
      </c>
      <c r="AD299" t="str">
        <f t="shared" si="83"/>
        <v>000</v>
      </c>
      <c r="AE299" t="str">
        <f t="shared" si="84"/>
        <v>6000</v>
      </c>
      <c r="AF299" t="str">
        <f t="shared" si="85"/>
        <v>000</v>
      </c>
      <c r="AG299" t="str">
        <f t="shared" si="91"/>
        <v>60000</v>
      </c>
      <c r="AH299" t="str">
        <f t="shared" si="92"/>
        <v>0000</v>
      </c>
      <c r="AI299" t="str">
        <f t="shared" si="93"/>
        <v>60000</v>
      </c>
      <c r="AJ299" t="str">
        <f t="shared" si="94"/>
        <v>0000</v>
      </c>
    </row>
    <row r="300" spans="1:36" x14ac:dyDescent="0.25">
      <c r="A300" s="325">
        <f>Tervezés!B303</f>
        <v>0</v>
      </c>
      <c r="B300">
        <v>60</v>
      </c>
      <c r="C300">
        <f>Tervezés!E303</f>
        <v>0</v>
      </c>
      <c r="D300">
        <f>Tervezés!F303</f>
        <v>0</v>
      </c>
      <c r="E300">
        <f>Tervezés!H303</f>
        <v>0</v>
      </c>
      <c r="F300" t="str">
        <f t="shared" si="86"/>
        <v>0</v>
      </c>
      <c r="G300" t="str">
        <f t="shared" si="87"/>
        <v>0</v>
      </c>
      <c r="H300">
        <f>Tervezés!I303</f>
        <v>0</v>
      </c>
      <c r="I300">
        <f>Tervezés!J303</f>
        <v>0</v>
      </c>
      <c r="J300">
        <f>Tervezés!K303</f>
        <v>0</v>
      </c>
      <c r="K300">
        <f>Tervezés!L303</f>
        <v>0</v>
      </c>
      <c r="L300">
        <f>Tervezés!M303</f>
        <v>0</v>
      </c>
      <c r="M300" s="322" t="str">
        <f>IFERROR(VLOOKUP(A300,PAR!$D$3:$E$53,2,FALSE),"nincs szervezet")</f>
        <v>nincs szervezet</v>
      </c>
      <c r="N300" s="322" t="str">
        <f>VLOOKUP(F300,PAR!$R$3:$S$5,2,FALSE)</f>
        <v>3 - egyik sem</v>
      </c>
      <c r="O300" t="str">
        <f>IFERROR(VLOOKUP(J300,PAR!$O$3:$P$5,2,FALSE),"nincs feladat")</f>
        <v>nincs feladat</v>
      </c>
      <c r="P300" t="str">
        <f>IFERROR(VLOOKUP(G300,PAR!$J$2:$M$19,4),"nincs rovat")</f>
        <v>nincs rovat</v>
      </c>
      <c r="Q300" t="str">
        <f>IF(H300&gt;0,VLOOKUP(H300,PAR!$AA$3:$AC$187,3,FALSE),"nincs főkönyvi számla")</f>
        <v>nincs főkönyvi számla</v>
      </c>
      <c r="R300" t="str">
        <f>IFERROR(VLOOKUP(K300,PAR!$V$3:$X$438,3,FALSE),"000000 - Nincs COFOG")</f>
        <v>000000 - Nincs COFOG</v>
      </c>
      <c r="S300">
        <f t="shared" si="88"/>
        <v>0</v>
      </c>
      <c r="T300">
        <f t="shared" si="89"/>
        <v>0</v>
      </c>
      <c r="U300" t="str">
        <f>IF(Tervezés!F303&gt;0,CONCATENATE(Tervezés!E303," - ",Tervezés!F303,", ",Tervezés!J303),"nincs megjegyzés")</f>
        <v>nincs megjegyzés</v>
      </c>
      <c r="V300" t="str">
        <f t="shared" si="76"/>
        <v>6000</v>
      </c>
      <c r="W300" t="str">
        <f t="shared" si="77"/>
        <v>6000</v>
      </c>
      <c r="X300" t="str">
        <f t="shared" si="78"/>
        <v>00</v>
      </c>
      <c r="Y300" t="str">
        <f t="shared" si="79"/>
        <v>600</v>
      </c>
      <c r="Z300" t="str">
        <f t="shared" si="90"/>
        <v>00</v>
      </c>
      <c r="AA300" t="str">
        <f t="shared" si="80"/>
        <v>600</v>
      </c>
      <c r="AB300" t="str">
        <f t="shared" si="81"/>
        <v>00</v>
      </c>
      <c r="AC300" t="str">
        <f t="shared" si="82"/>
        <v>6000</v>
      </c>
      <c r="AD300" t="str">
        <f t="shared" si="83"/>
        <v>000</v>
      </c>
      <c r="AE300" t="str">
        <f t="shared" si="84"/>
        <v>6000</v>
      </c>
      <c r="AF300" t="str">
        <f t="shared" si="85"/>
        <v>000</v>
      </c>
      <c r="AG300" t="str">
        <f t="shared" si="91"/>
        <v>60000</v>
      </c>
      <c r="AH300" t="str">
        <f t="shared" si="92"/>
        <v>0000</v>
      </c>
      <c r="AI300" t="str">
        <f t="shared" si="93"/>
        <v>60000</v>
      </c>
      <c r="AJ300" t="str">
        <f t="shared" si="94"/>
        <v>0000</v>
      </c>
    </row>
    <row r="301" spans="1:36" x14ac:dyDescent="0.25">
      <c r="A301" s="325">
        <f>Tervezés!B304</f>
        <v>0</v>
      </c>
      <c r="B301">
        <v>60</v>
      </c>
      <c r="C301">
        <f>Tervezés!E304</f>
        <v>0</v>
      </c>
      <c r="D301">
        <f>Tervezés!F304</f>
        <v>0</v>
      </c>
      <c r="E301">
        <f>Tervezés!H304</f>
        <v>0</v>
      </c>
      <c r="F301" t="str">
        <f t="shared" si="86"/>
        <v>0</v>
      </c>
      <c r="G301" t="str">
        <f t="shared" si="87"/>
        <v>0</v>
      </c>
      <c r="H301">
        <f>Tervezés!I304</f>
        <v>0</v>
      </c>
      <c r="I301">
        <f>Tervezés!J304</f>
        <v>0</v>
      </c>
      <c r="J301">
        <f>Tervezés!K304</f>
        <v>0</v>
      </c>
      <c r="K301">
        <f>Tervezés!L304</f>
        <v>0</v>
      </c>
      <c r="L301">
        <f>Tervezés!M304</f>
        <v>0</v>
      </c>
      <c r="M301" s="322" t="str">
        <f>IFERROR(VLOOKUP(A301,PAR!$D$3:$E$53,2,FALSE),"nincs szervezet")</f>
        <v>nincs szervezet</v>
      </c>
      <c r="N301" s="322" t="str">
        <f>VLOOKUP(F301,PAR!$R$3:$S$5,2,FALSE)</f>
        <v>3 - egyik sem</v>
      </c>
      <c r="O301" t="str">
        <f>IFERROR(VLOOKUP(J301,PAR!$O$3:$P$5,2,FALSE),"nincs feladat")</f>
        <v>nincs feladat</v>
      </c>
      <c r="P301" t="str">
        <f>IFERROR(VLOOKUP(G301,PAR!$J$2:$M$19,4),"nincs rovat")</f>
        <v>nincs rovat</v>
      </c>
      <c r="Q301" t="str">
        <f>IF(H301&gt;0,VLOOKUP(H301,PAR!$AA$3:$AC$187,3,FALSE),"nincs főkönyvi számla")</f>
        <v>nincs főkönyvi számla</v>
      </c>
      <c r="R301" t="str">
        <f>IFERROR(VLOOKUP(K301,PAR!$V$3:$X$438,3,FALSE),"000000 - Nincs COFOG")</f>
        <v>000000 - Nincs COFOG</v>
      </c>
      <c r="S301">
        <f t="shared" si="88"/>
        <v>0</v>
      </c>
      <c r="T301">
        <f t="shared" si="89"/>
        <v>0</v>
      </c>
      <c r="U301" t="str">
        <f>IF(Tervezés!F304&gt;0,CONCATENATE(Tervezés!E304," - ",Tervezés!F304,", ",Tervezés!J304),"nincs megjegyzés")</f>
        <v>nincs megjegyzés</v>
      </c>
      <c r="V301" t="str">
        <f t="shared" si="76"/>
        <v>6000</v>
      </c>
      <c r="W301" t="str">
        <f t="shared" si="77"/>
        <v>6000</v>
      </c>
      <c r="X301" t="str">
        <f t="shared" si="78"/>
        <v>00</v>
      </c>
      <c r="Y301" t="str">
        <f t="shared" si="79"/>
        <v>600</v>
      </c>
      <c r="Z301" t="str">
        <f t="shared" si="90"/>
        <v>00</v>
      </c>
      <c r="AA301" t="str">
        <f t="shared" si="80"/>
        <v>600</v>
      </c>
      <c r="AB301" t="str">
        <f t="shared" si="81"/>
        <v>00</v>
      </c>
      <c r="AC301" t="str">
        <f t="shared" si="82"/>
        <v>6000</v>
      </c>
      <c r="AD301" t="str">
        <f t="shared" si="83"/>
        <v>000</v>
      </c>
      <c r="AE301" t="str">
        <f t="shared" si="84"/>
        <v>6000</v>
      </c>
      <c r="AF301" t="str">
        <f t="shared" si="85"/>
        <v>000</v>
      </c>
      <c r="AG301" t="str">
        <f t="shared" si="91"/>
        <v>60000</v>
      </c>
      <c r="AH301" t="str">
        <f t="shared" si="92"/>
        <v>0000</v>
      </c>
      <c r="AI301" t="str">
        <f t="shared" si="93"/>
        <v>60000</v>
      </c>
      <c r="AJ301" t="str">
        <f t="shared" si="94"/>
        <v>0000</v>
      </c>
    </row>
    <row r="302" spans="1:36" x14ac:dyDescent="0.25">
      <c r="A302" s="325" t="str">
        <f>CONCATENATE("P",'906MP'!M2)</f>
        <v>P654427</v>
      </c>
      <c r="B302">
        <f>'906MP'!H2</f>
        <v>61</v>
      </c>
      <c r="C302" t="str">
        <f>'906MP'!J2</f>
        <v>2025-01-01</v>
      </c>
      <c r="D302" t="str">
        <f>'906MP'!P2</f>
        <v>eredeti ei</v>
      </c>
      <c r="E302">
        <f>'906MP'!X2</f>
        <v>-540000</v>
      </c>
      <c r="F302" t="str">
        <f t="shared" si="86"/>
        <v>09</v>
      </c>
      <c r="G302" t="str">
        <f t="shared" si="87"/>
        <v>094</v>
      </c>
      <c r="H302" t="str">
        <f>'906MP'!Y2</f>
        <v>094051</v>
      </c>
      <c r="I302" t="str">
        <f>'906MP'!AK2</f>
        <v>2025/EEI-654427/1</v>
      </c>
      <c r="J302" t="str">
        <f>'906MP'!T2</f>
        <v>(KÖT)</v>
      </c>
      <c r="K302" t="str">
        <f>'906MP'!AJ2</f>
        <v/>
      </c>
      <c r="L302" t="str">
        <f>'906MP'!U2</f>
        <v>93100</v>
      </c>
      <c r="M302" s="322" t="str">
        <f>IFERROR(VLOOKUP(A302,PAR!$D$3:$E$53,2,FALSE),"nincs szervezet")</f>
        <v>Nagymarosi Napköziotthonos Óvoda és Bölcsőde</v>
      </c>
      <c r="N302" s="322" t="str">
        <f>VLOOKUP(F302,PAR!$R$3:$S$5,2,FALSE)</f>
        <v>1 - Bevétel</v>
      </c>
      <c r="O302" t="str">
        <f>IFERROR(VLOOKUP(J302,PAR!$O$3:$P$5,2,FALSE),"nincs feladat")</f>
        <v>1 - (KÖT)</v>
      </c>
      <c r="P302" t="str">
        <f>IFERROR(VLOOKUP(G302,PAR!$J$2:$M$19,4),"nincs rovat")</f>
        <v>B4 - Működési bevételek</v>
      </c>
      <c r="Q302" t="str">
        <f>IF(H302&gt;0,VLOOKUP(H302,PAR!$AA$3:$AC$187,3,FALSE),"nincs főkönyvi számla")</f>
        <v>094051 -  Ellátási díjak előirányzata</v>
      </c>
      <c r="R302" t="str">
        <f>IFERROR(VLOOKUP(K302,PAR!$V$3:$X$438,3,FALSE),"000000 - Nincs COFOG")</f>
        <v>000000 - Nincs COFOG</v>
      </c>
      <c r="S302">
        <f t="shared" si="88"/>
        <v>-540000</v>
      </c>
      <c r="T302">
        <f t="shared" si="89"/>
        <v>540000</v>
      </c>
      <c r="U302" t="str">
        <f>IF('906MP'!J2&gt;0,CONCATENATE('906MP'!J2," - ",'906MP'!P2,", ",'906MP'!E2),"nincs megjegyzés")</f>
        <v>2025-01-01 - eredeti ei, 2025/EEI-654427/1</v>
      </c>
      <c r="V302" t="str">
        <f t="shared" si="76"/>
        <v>61P654427094</v>
      </c>
      <c r="W302" t="str">
        <f t="shared" si="77"/>
        <v>61P65442709</v>
      </c>
      <c r="X302" t="str">
        <f t="shared" si="78"/>
        <v>P654427094051</v>
      </c>
      <c r="Y302" t="str">
        <f t="shared" si="79"/>
        <v>61094051</v>
      </c>
      <c r="Z302" t="str">
        <f t="shared" si="90"/>
        <v>(KÖT)094051</v>
      </c>
      <c r="AA302" t="str">
        <f t="shared" si="80"/>
        <v>61094</v>
      </c>
      <c r="AB302" t="str">
        <f t="shared" si="81"/>
        <v>(KÖT)094</v>
      </c>
      <c r="AC302" t="str">
        <f t="shared" si="82"/>
        <v>61P654427094051</v>
      </c>
      <c r="AD302" t="str">
        <f t="shared" si="83"/>
        <v>P654427094051(KÖT)</v>
      </c>
      <c r="AE302" t="str">
        <f t="shared" si="84"/>
        <v>61P654427094</v>
      </c>
      <c r="AF302" t="str">
        <f>CONCATENATE(A302,G302,J302)</f>
        <v>P654427094(KÖT)</v>
      </c>
      <c r="AG302" t="str">
        <f>CONCATENATE(B302,A302,H302,L302)</f>
        <v>61P65442709405193100</v>
      </c>
      <c r="AH302" t="str">
        <f t="shared" si="92"/>
        <v>P654427(KÖT)09405193100</v>
      </c>
      <c r="AI302" t="str">
        <f t="shared" si="93"/>
        <v>61P65442709493100</v>
      </c>
      <c r="AJ302" t="str">
        <f t="shared" si="94"/>
        <v>P654427094(KÖT)93100</v>
      </c>
    </row>
    <row r="303" spans="1:36" x14ac:dyDescent="0.25">
      <c r="A303" s="325" t="str">
        <f>CONCATENATE("P",'906MP'!M3)</f>
        <v>P654449</v>
      </c>
      <c r="B303">
        <f>'906MP'!H3</f>
        <v>60</v>
      </c>
      <c r="C303" t="str">
        <f>'906MP'!J3</f>
        <v>2025-01-01</v>
      </c>
      <c r="D303" t="str">
        <f>'906MP'!P3</f>
        <v>módosított ei</v>
      </c>
      <c r="E303">
        <f>'906MP'!X3</f>
        <v>22311</v>
      </c>
      <c r="F303" t="str">
        <f t="shared" si="86"/>
        <v>05</v>
      </c>
      <c r="G303" t="str">
        <f t="shared" si="87"/>
        <v>053</v>
      </c>
      <c r="H303" t="str">
        <f>'906MP'!Y3</f>
        <v>053221</v>
      </c>
      <c r="I303" t="str">
        <f>'906MP'!AK3</f>
        <v>2025/MEI-654449/4</v>
      </c>
      <c r="J303" t="str">
        <f>'906MP'!T3</f>
        <v>(KÖT)</v>
      </c>
      <c r="K303" t="str">
        <f>'906MP'!AJ3</f>
        <v/>
      </c>
      <c r="L303" t="str">
        <f>'906MP'!U3</f>
        <v>15100</v>
      </c>
      <c r="M303" s="322" t="str">
        <f>IFERROR(VLOOKUP(A303,PAR!$D$3:$E$53,2,FALSE),"nincs szervezet")</f>
        <v>Gondozási Központ</v>
      </c>
      <c r="N303" s="322" t="str">
        <f>VLOOKUP(F303,PAR!$R$3:$S$5,2,FALSE)</f>
        <v>2 - Kiadás</v>
      </c>
      <c r="O303" t="str">
        <f>IFERROR(VLOOKUP(J303,PAR!$O$3:$P$5,2,FALSE),"nincs feladat")</f>
        <v>1 - (KÖT)</v>
      </c>
      <c r="P303" t="str">
        <f>IFERROR(VLOOKUP(G303,PAR!$J$2:$M$19,4),"nincs rovat")</f>
        <v>K3 - Dologi kiadások</v>
      </c>
      <c r="Q303" t="str">
        <f>IF(H303&gt;0,VLOOKUP(H303,PAR!$AA$3:$AC$187,3,FALSE),"nincs főkönyvi számla")</f>
        <v>053221 -  Egyéb kommunikációs szolgáltatások előirányzata</v>
      </c>
      <c r="R303" t="str">
        <f>IFERROR(VLOOKUP(K303,PAR!$V$3:$X$438,3,FALSE),"000000 - Nincs COFOG")</f>
        <v>000000 - Nincs COFOG</v>
      </c>
      <c r="S303">
        <f t="shared" si="88"/>
        <v>22311</v>
      </c>
      <c r="T303">
        <f t="shared" si="89"/>
        <v>22311</v>
      </c>
      <c r="U303" t="str">
        <f>IF('906MP'!J3&gt;0,CONCATENATE('906MP'!J3," - ",'906MP'!P3,", ",'906MP'!E3),"nincs megjegyzés")</f>
        <v>2025-01-01 - módosított ei, 2025/MEI-654449/4</v>
      </c>
      <c r="V303" t="str">
        <f t="shared" si="76"/>
        <v>60P654449053</v>
      </c>
      <c r="W303" t="str">
        <f t="shared" si="77"/>
        <v>60P65444905</v>
      </c>
      <c r="X303" t="str">
        <f t="shared" si="78"/>
        <v>P654449053221</v>
      </c>
      <c r="Y303" t="str">
        <f t="shared" si="79"/>
        <v>60053221</v>
      </c>
      <c r="Z303" t="str">
        <f t="shared" si="90"/>
        <v>(KÖT)053221</v>
      </c>
      <c r="AA303" t="str">
        <f t="shared" si="80"/>
        <v>60053</v>
      </c>
      <c r="AB303" t="str">
        <f t="shared" si="81"/>
        <v>(KÖT)053</v>
      </c>
      <c r="AC303" t="str">
        <f t="shared" si="82"/>
        <v>60P654449053221</v>
      </c>
      <c r="AD303" t="str">
        <f t="shared" si="83"/>
        <v>P654449053221(KÖT)</v>
      </c>
      <c r="AE303" t="str">
        <f t="shared" si="84"/>
        <v>60P654449053</v>
      </c>
      <c r="AF303" t="str">
        <f t="shared" si="85"/>
        <v>P654449053(KÖT)</v>
      </c>
      <c r="AG303" t="str">
        <f t="shared" si="91"/>
        <v>60P65444905322115100</v>
      </c>
      <c r="AH303" t="str">
        <f t="shared" si="92"/>
        <v>P654449(KÖT)05322115100</v>
      </c>
      <c r="AI303" t="str">
        <f t="shared" si="93"/>
        <v>60P65444905315100</v>
      </c>
      <c r="AJ303" t="str">
        <f t="shared" si="94"/>
        <v>P654449053(KÖT)15100</v>
      </c>
    </row>
    <row r="304" spans="1:36" x14ac:dyDescent="0.25">
      <c r="A304" s="325" t="str">
        <f>CONCATENATE("P",'906MP'!M4)</f>
        <v>P654449</v>
      </c>
      <c r="B304">
        <f>'906MP'!H4</f>
        <v>60</v>
      </c>
      <c r="C304" t="str">
        <f>'906MP'!J4</f>
        <v>2025-01-01</v>
      </c>
      <c r="D304" t="str">
        <f>'906MP'!P4</f>
        <v>módosított ei</v>
      </c>
      <c r="E304">
        <f>'906MP'!X4</f>
        <v>-22311</v>
      </c>
      <c r="F304" t="str">
        <f t="shared" si="86"/>
        <v>05</v>
      </c>
      <c r="G304" t="str">
        <f t="shared" si="87"/>
        <v>053</v>
      </c>
      <c r="H304" t="str">
        <f>'906MP'!Y4</f>
        <v>053211</v>
      </c>
      <c r="I304" t="str">
        <f>'906MP'!AK4</f>
        <v>2025/MEI-654449/4</v>
      </c>
      <c r="J304" t="str">
        <f>'906MP'!T4</f>
        <v>(KÖT)</v>
      </c>
      <c r="K304" t="str">
        <f>'906MP'!AJ4</f>
        <v/>
      </c>
      <c r="L304" t="str">
        <f>'906MP'!U4</f>
        <v>15100</v>
      </c>
      <c r="M304" s="322" t="str">
        <f>IFERROR(VLOOKUP(A304,PAR!$D$3:$E$53,2,FALSE),"nincs szervezet")</f>
        <v>Gondozási Központ</v>
      </c>
      <c r="N304" s="322" t="str">
        <f>VLOOKUP(F304,PAR!$R$3:$S$5,2,FALSE)</f>
        <v>2 - Kiadás</v>
      </c>
      <c r="O304" t="str">
        <f>IFERROR(VLOOKUP(J304,PAR!$O$3:$P$5,2,FALSE),"nincs feladat")</f>
        <v>1 - (KÖT)</v>
      </c>
      <c r="P304" t="str">
        <f>IFERROR(VLOOKUP(G304,PAR!$J$2:$M$19,4),"nincs rovat")</f>
        <v>K3 - Dologi kiadások</v>
      </c>
      <c r="Q304" t="str">
        <f>IF(H304&gt;0,VLOOKUP(H304,PAR!$AA$3:$AC$187,3,FALSE),"nincs főkönyvi számla")</f>
        <v>053211 -  Informatikai szolgáltatások igénybevétele előirányzata</v>
      </c>
      <c r="R304" t="str">
        <f>IFERROR(VLOOKUP(K304,PAR!$V$3:$X$438,3,FALSE),"000000 - Nincs COFOG")</f>
        <v>000000 - Nincs COFOG</v>
      </c>
      <c r="S304">
        <f t="shared" si="88"/>
        <v>-22311</v>
      </c>
      <c r="T304">
        <f t="shared" si="89"/>
        <v>-22311</v>
      </c>
      <c r="U304" t="str">
        <f>IF('906MP'!J4&gt;0,CONCATENATE('906MP'!J4," - ",'906MP'!P4,", ",'906MP'!E4),"nincs megjegyzés")</f>
        <v>2025-01-01 - módosított ei, 2025/MEI-654449/4</v>
      </c>
      <c r="V304" t="str">
        <f t="shared" si="76"/>
        <v>60P654449053</v>
      </c>
      <c r="W304" t="str">
        <f t="shared" si="77"/>
        <v>60P65444905</v>
      </c>
      <c r="X304" t="str">
        <f t="shared" si="78"/>
        <v>P654449053211</v>
      </c>
      <c r="Y304" t="str">
        <f t="shared" si="79"/>
        <v>60053211</v>
      </c>
      <c r="Z304" t="str">
        <f t="shared" si="90"/>
        <v>(KÖT)053211</v>
      </c>
      <c r="AA304" t="str">
        <f t="shared" si="80"/>
        <v>60053</v>
      </c>
      <c r="AB304" t="str">
        <f t="shared" si="81"/>
        <v>(KÖT)053</v>
      </c>
      <c r="AC304" t="str">
        <f t="shared" si="82"/>
        <v>60P654449053211</v>
      </c>
      <c r="AD304" t="str">
        <f t="shared" si="83"/>
        <v>P654449053211(KÖT)</v>
      </c>
      <c r="AE304" t="str">
        <f t="shared" si="84"/>
        <v>60P654449053</v>
      </c>
      <c r="AF304" t="str">
        <f t="shared" si="85"/>
        <v>P654449053(KÖT)</v>
      </c>
      <c r="AG304" t="str">
        <f t="shared" si="91"/>
        <v>60P65444905321115100</v>
      </c>
      <c r="AH304" t="str">
        <f t="shared" si="92"/>
        <v>P654449(KÖT)05321115100</v>
      </c>
      <c r="AI304" t="str">
        <f t="shared" si="93"/>
        <v>60P65444905315100</v>
      </c>
      <c r="AJ304" t="str">
        <f t="shared" si="94"/>
        <v>P654449053(KÖT)15100</v>
      </c>
    </row>
    <row r="305" spans="1:36" x14ac:dyDescent="0.25">
      <c r="A305" s="325" t="str">
        <f>CONCATENATE("P",'906MP'!M5)</f>
        <v>P654427</v>
      </c>
      <c r="B305">
        <f>'906MP'!H5</f>
        <v>61</v>
      </c>
      <c r="C305" t="str">
        <f>'906MP'!J5</f>
        <v>2025-01-01</v>
      </c>
      <c r="D305" t="str">
        <f>'906MP'!P5</f>
        <v>eredeti ei</v>
      </c>
      <c r="E305">
        <f>'906MP'!X5</f>
        <v>253189388</v>
      </c>
      <c r="F305" t="str">
        <f t="shared" si="86"/>
        <v>05</v>
      </c>
      <c r="G305" t="str">
        <f t="shared" si="87"/>
        <v>051</v>
      </c>
      <c r="H305" t="str">
        <f>'906MP'!Y5</f>
        <v>0511011</v>
      </c>
      <c r="I305" t="str">
        <f>'906MP'!AK5</f>
        <v>2025/EEI-654427/1</v>
      </c>
      <c r="J305" t="str">
        <f>'906MP'!T5</f>
        <v>(KÖT)</v>
      </c>
      <c r="K305" t="str">
        <f>'906MP'!AJ5</f>
        <v/>
      </c>
      <c r="L305" t="str">
        <f>'906MP'!U5</f>
        <v>13100</v>
      </c>
      <c r="M305" s="322" t="str">
        <f>IFERROR(VLOOKUP(A305,PAR!$D$3:$E$53,2,FALSE),"nincs szervezet")</f>
        <v>Nagymarosi Napköziotthonos Óvoda és Bölcsőde</v>
      </c>
      <c r="N305" s="322" t="str">
        <f>VLOOKUP(F305,PAR!$R$3:$S$5,2,FALSE)</f>
        <v>2 - Kiadás</v>
      </c>
      <c r="O305" t="str">
        <f>IFERROR(VLOOKUP(J305,PAR!$O$3:$P$5,2,FALSE),"nincs feladat")</f>
        <v>1 - (KÖT)</v>
      </c>
      <c r="P305" t="str">
        <f>IFERROR(VLOOKUP(G305,PAR!$J$2:$M$19,4),"nincs rovat")</f>
        <v>K1 - Személyi juttatások</v>
      </c>
      <c r="Q305" t="str">
        <f>IF(H305&gt;0,VLOOKUP(H305,PAR!$AA$3:$AC$187,3,FALSE),"nincs főkönyvi számla")</f>
        <v>0511011 -  Törvény szerinti illetmények, munkabérek előirányzata</v>
      </c>
      <c r="R305" t="str">
        <f>IFERROR(VLOOKUP(K305,PAR!$V$3:$X$438,3,FALSE),"000000 - Nincs COFOG")</f>
        <v>000000 - Nincs COFOG</v>
      </c>
      <c r="S305">
        <f t="shared" si="88"/>
        <v>253189388</v>
      </c>
      <c r="T305">
        <f t="shared" si="89"/>
        <v>253189388</v>
      </c>
      <c r="U305" t="str">
        <f>IF('906MP'!J5&gt;0,CONCATENATE('906MP'!J5," - ",'906MP'!P5,", ",'906MP'!E5),"nincs megjegyzés")</f>
        <v>2025-01-01 - eredeti ei, 2025/EEI-654427/1</v>
      </c>
      <c r="V305" t="str">
        <f t="shared" si="76"/>
        <v>61P654427051</v>
      </c>
      <c r="W305" t="str">
        <f t="shared" si="77"/>
        <v>61P65442705</v>
      </c>
      <c r="X305" t="str">
        <f t="shared" si="78"/>
        <v>P6544270511011</v>
      </c>
      <c r="Y305" t="str">
        <f t="shared" si="79"/>
        <v>610511011</v>
      </c>
      <c r="Z305" t="str">
        <f t="shared" si="90"/>
        <v>(KÖT)0511011</v>
      </c>
      <c r="AA305" t="str">
        <f t="shared" si="80"/>
        <v>61051</v>
      </c>
      <c r="AB305" t="str">
        <f t="shared" si="81"/>
        <v>(KÖT)051</v>
      </c>
      <c r="AC305" t="str">
        <f t="shared" si="82"/>
        <v>61P6544270511011</v>
      </c>
      <c r="AD305" t="str">
        <f t="shared" si="83"/>
        <v>P6544270511011(KÖT)</v>
      </c>
      <c r="AE305" t="str">
        <f t="shared" si="84"/>
        <v>61P654427051</v>
      </c>
      <c r="AF305" t="str">
        <f t="shared" si="85"/>
        <v>P654427051(KÖT)</v>
      </c>
      <c r="AG305" t="str">
        <f t="shared" si="91"/>
        <v>61P654427051101113100</v>
      </c>
      <c r="AH305" t="str">
        <f t="shared" si="92"/>
        <v>P654427(KÖT)051101113100</v>
      </c>
      <c r="AI305" t="str">
        <f t="shared" si="93"/>
        <v>61P65442705113100</v>
      </c>
      <c r="AJ305" t="str">
        <f t="shared" si="94"/>
        <v>P654427051(KÖT)13100</v>
      </c>
    </row>
    <row r="306" spans="1:36" x14ac:dyDescent="0.25">
      <c r="A306" s="325" t="str">
        <f>CONCATENATE("P",'906MP'!M6)</f>
        <v>P654427</v>
      </c>
      <c r="B306">
        <f>'906MP'!H6</f>
        <v>61</v>
      </c>
      <c r="C306" t="str">
        <f>'906MP'!J6</f>
        <v>2025-01-01</v>
      </c>
      <c r="D306" t="str">
        <f>'906MP'!P6</f>
        <v>eredeti ei</v>
      </c>
      <c r="E306">
        <f>'906MP'!X6</f>
        <v>3580210</v>
      </c>
      <c r="F306" t="str">
        <f t="shared" si="86"/>
        <v>05</v>
      </c>
      <c r="G306" t="str">
        <f t="shared" si="87"/>
        <v>051</v>
      </c>
      <c r="H306" t="str">
        <f>'906MP'!Y6</f>
        <v>0511061</v>
      </c>
      <c r="I306" t="str">
        <f>'906MP'!AK6</f>
        <v>2025/EEI-654427/1</v>
      </c>
      <c r="J306" t="str">
        <f>'906MP'!T6</f>
        <v>(KÖT)</v>
      </c>
      <c r="K306" t="str">
        <f>'906MP'!AJ6</f>
        <v/>
      </c>
      <c r="L306" t="str">
        <f>'906MP'!U6</f>
        <v>13100</v>
      </c>
      <c r="M306" s="322" t="str">
        <f>IFERROR(VLOOKUP(A306,PAR!$D$3:$E$53,2,FALSE),"nincs szervezet")</f>
        <v>Nagymarosi Napköziotthonos Óvoda és Bölcsőde</v>
      </c>
      <c r="N306" s="322" t="str">
        <f>VLOOKUP(F306,PAR!$R$3:$S$5,2,FALSE)</f>
        <v>2 - Kiadás</v>
      </c>
      <c r="O306" t="str">
        <f>IFERROR(VLOOKUP(J306,PAR!$O$3:$P$5,2,FALSE),"nincs feladat")</f>
        <v>1 - (KÖT)</v>
      </c>
      <c r="P306" t="str">
        <f>IFERROR(VLOOKUP(G306,PAR!$J$2:$M$19,4),"nincs rovat")</f>
        <v>K1 - Személyi juttatások</v>
      </c>
      <c r="Q306" t="str">
        <f>IF(H306&gt;0,VLOOKUP(H306,PAR!$AA$3:$AC$187,3,FALSE),"nincs főkönyvi számla")</f>
        <v>0511061 -  Jubileumi jutalom előirányzata</v>
      </c>
      <c r="R306" t="str">
        <f>IFERROR(VLOOKUP(K306,PAR!$V$3:$X$438,3,FALSE),"000000 - Nincs COFOG")</f>
        <v>000000 - Nincs COFOG</v>
      </c>
      <c r="S306">
        <f t="shared" si="88"/>
        <v>3580210</v>
      </c>
      <c r="T306">
        <f t="shared" si="89"/>
        <v>3580210</v>
      </c>
      <c r="U306" t="str">
        <f>IF('906MP'!J6&gt;0,CONCATENATE('906MP'!J6," - ",'906MP'!P6,", ",'906MP'!E6),"nincs megjegyzés")</f>
        <v>2025-01-01 - eredeti ei, 2025/EEI-654427/1</v>
      </c>
      <c r="V306" t="str">
        <f t="shared" si="76"/>
        <v>61P654427051</v>
      </c>
      <c r="W306" t="str">
        <f t="shared" si="77"/>
        <v>61P65442705</v>
      </c>
      <c r="X306" t="str">
        <f t="shared" si="78"/>
        <v>P6544270511061</v>
      </c>
      <c r="Y306" t="str">
        <f t="shared" si="79"/>
        <v>610511061</v>
      </c>
      <c r="Z306" t="str">
        <f t="shared" si="90"/>
        <v>(KÖT)0511061</v>
      </c>
      <c r="AA306" t="str">
        <f t="shared" si="80"/>
        <v>61051</v>
      </c>
      <c r="AB306" t="str">
        <f t="shared" si="81"/>
        <v>(KÖT)051</v>
      </c>
      <c r="AC306" t="str">
        <f t="shared" si="82"/>
        <v>61P6544270511061</v>
      </c>
      <c r="AD306" t="str">
        <f t="shared" si="83"/>
        <v>P6544270511061(KÖT)</v>
      </c>
      <c r="AE306" t="str">
        <f t="shared" si="84"/>
        <v>61P654427051</v>
      </c>
      <c r="AF306" t="str">
        <f t="shared" si="85"/>
        <v>P654427051(KÖT)</v>
      </c>
      <c r="AG306" t="str">
        <f t="shared" si="91"/>
        <v>61P654427051106113100</v>
      </c>
      <c r="AH306" t="str">
        <f t="shared" si="92"/>
        <v>P654427(KÖT)051106113100</v>
      </c>
      <c r="AI306" t="str">
        <f t="shared" si="93"/>
        <v>61P65442705113100</v>
      </c>
      <c r="AJ306" t="str">
        <f t="shared" si="94"/>
        <v>P654427051(KÖT)13100</v>
      </c>
    </row>
    <row r="307" spans="1:36" x14ac:dyDescent="0.25">
      <c r="A307" s="325" t="str">
        <f>CONCATENATE("P",'906MP'!M7)</f>
        <v>P654427</v>
      </c>
      <c r="B307">
        <f>'906MP'!H7</f>
        <v>61</v>
      </c>
      <c r="C307" t="str">
        <f>'906MP'!J7</f>
        <v>2025-01-01</v>
      </c>
      <c r="D307" t="str">
        <f>'906MP'!P7</f>
        <v>eredeti ei</v>
      </c>
      <c r="E307">
        <f>'906MP'!X7</f>
        <v>660000</v>
      </c>
      <c r="F307" t="str">
        <f t="shared" si="86"/>
        <v>05</v>
      </c>
      <c r="G307" t="str">
        <f t="shared" si="87"/>
        <v>051</v>
      </c>
      <c r="H307" t="str">
        <f>'906MP'!Y7</f>
        <v>0511091</v>
      </c>
      <c r="I307" t="str">
        <f>'906MP'!AK7</f>
        <v>2025/EEI-654427/1</v>
      </c>
      <c r="J307" t="str">
        <f>'906MP'!T7</f>
        <v>(KÖT)</v>
      </c>
      <c r="K307" t="str">
        <f>'906MP'!AJ7</f>
        <v/>
      </c>
      <c r="L307" t="str">
        <f>'906MP'!U7</f>
        <v>13100</v>
      </c>
      <c r="M307" s="322" t="str">
        <f>IFERROR(VLOOKUP(A307,PAR!$D$3:$E$53,2,FALSE),"nincs szervezet")</f>
        <v>Nagymarosi Napköziotthonos Óvoda és Bölcsőde</v>
      </c>
      <c r="N307" s="322" t="str">
        <f>VLOOKUP(F307,PAR!$R$3:$S$5,2,FALSE)</f>
        <v>2 - Kiadás</v>
      </c>
      <c r="O307" t="str">
        <f>IFERROR(VLOOKUP(J307,PAR!$O$3:$P$5,2,FALSE),"nincs feladat")</f>
        <v>1 - (KÖT)</v>
      </c>
      <c r="P307" t="str">
        <f>IFERROR(VLOOKUP(G307,PAR!$J$2:$M$19,4),"nincs rovat")</f>
        <v>K1 - Személyi juttatások</v>
      </c>
      <c r="Q307" t="str">
        <f>IF(H307&gt;0,VLOOKUP(H307,PAR!$AA$3:$AC$187,3,FALSE),"nincs főkönyvi számla")</f>
        <v>0511091 -  Közlekedési költségtérítés előirányzata</v>
      </c>
      <c r="R307" t="str">
        <f>IFERROR(VLOOKUP(K307,PAR!$V$3:$X$438,3,FALSE),"000000 - Nincs COFOG")</f>
        <v>000000 - Nincs COFOG</v>
      </c>
      <c r="S307">
        <f t="shared" si="88"/>
        <v>660000</v>
      </c>
      <c r="T307">
        <f t="shared" si="89"/>
        <v>660000</v>
      </c>
      <c r="U307" t="str">
        <f>IF('906MP'!J7&gt;0,CONCATENATE('906MP'!J7," - ",'906MP'!P7,", ",'906MP'!E7),"nincs megjegyzés")</f>
        <v>2025-01-01 - eredeti ei, 2025/EEI-654427/1</v>
      </c>
      <c r="V307" t="str">
        <f t="shared" si="76"/>
        <v>61P654427051</v>
      </c>
      <c r="W307" t="str">
        <f t="shared" si="77"/>
        <v>61P65442705</v>
      </c>
      <c r="X307" t="str">
        <f t="shared" si="78"/>
        <v>P6544270511091</v>
      </c>
      <c r="Y307" t="str">
        <f t="shared" si="79"/>
        <v>610511091</v>
      </c>
      <c r="Z307" t="str">
        <f t="shared" si="90"/>
        <v>(KÖT)0511091</v>
      </c>
      <c r="AA307" t="str">
        <f t="shared" si="80"/>
        <v>61051</v>
      </c>
      <c r="AB307" t="str">
        <f t="shared" si="81"/>
        <v>(KÖT)051</v>
      </c>
      <c r="AC307" t="str">
        <f t="shared" si="82"/>
        <v>61P6544270511091</v>
      </c>
      <c r="AD307" t="str">
        <f t="shared" si="83"/>
        <v>P6544270511091(KÖT)</v>
      </c>
      <c r="AE307" t="str">
        <f t="shared" si="84"/>
        <v>61P654427051</v>
      </c>
      <c r="AF307" t="str">
        <f t="shared" si="85"/>
        <v>P654427051(KÖT)</v>
      </c>
      <c r="AG307" t="str">
        <f t="shared" si="91"/>
        <v>61P654427051109113100</v>
      </c>
      <c r="AH307" t="str">
        <f t="shared" si="92"/>
        <v>P654427(KÖT)051109113100</v>
      </c>
      <c r="AI307" t="str">
        <f t="shared" si="93"/>
        <v>61P65442705113100</v>
      </c>
      <c r="AJ307" t="str">
        <f t="shared" si="94"/>
        <v>P654427051(KÖT)13100</v>
      </c>
    </row>
    <row r="308" spans="1:36" x14ac:dyDescent="0.25">
      <c r="A308" s="325" t="str">
        <f>CONCATENATE("P",'906MP'!M8)</f>
        <v>P654427</v>
      </c>
      <c r="B308">
        <f>'906MP'!H8</f>
        <v>61</v>
      </c>
      <c r="C308" t="str">
        <f>'906MP'!J8</f>
        <v>2025-01-01</v>
      </c>
      <c r="D308" t="str">
        <f>'906MP'!P8</f>
        <v>eredeti ei</v>
      </c>
      <c r="E308">
        <f>'906MP'!X8</f>
        <v>429000</v>
      </c>
      <c r="F308" t="str">
        <f t="shared" si="86"/>
        <v>05</v>
      </c>
      <c r="G308" t="str">
        <f t="shared" si="87"/>
        <v>051</v>
      </c>
      <c r="H308" t="str">
        <f>'906MP'!Y8</f>
        <v>0511131</v>
      </c>
      <c r="I308" t="str">
        <f>'906MP'!AK8</f>
        <v>2025/EEI-654427/1</v>
      </c>
      <c r="J308" t="str">
        <f>'906MP'!T8</f>
        <v>(KÖT)</v>
      </c>
      <c r="K308" t="str">
        <f>'906MP'!AJ8</f>
        <v/>
      </c>
      <c r="L308" t="str">
        <f>'906MP'!U8</f>
        <v>13100</v>
      </c>
      <c r="M308" s="322" t="str">
        <f>IFERROR(VLOOKUP(A308,PAR!$D$3:$E$53,2,FALSE),"nincs szervezet")</f>
        <v>Nagymarosi Napköziotthonos Óvoda és Bölcsőde</v>
      </c>
      <c r="N308" s="322" t="str">
        <f>VLOOKUP(F308,PAR!$R$3:$S$5,2,FALSE)</f>
        <v>2 - Kiadás</v>
      </c>
      <c r="O308" t="str">
        <f>IFERROR(VLOOKUP(J308,PAR!$O$3:$P$5,2,FALSE),"nincs feladat")</f>
        <v>1 - (KÖT)</v>
      </c>
      <c r="P308" t="str">
        <f>IFERROR(VLOOKUP(G308,PAR!$J$2:$M$19,4),"nincs rovat")</f>
        <v>K1 - Személyi juttatások</v>
      </c>
      <c r="Q308" t="str">
        <f>IF(H308&gt;0,VLOOKUP(H308,PAR!$AA$3:$AC$187,3,FALSE),"nincs főkönyvi számla")</f>
        <v>0511131 -  Foglalkoztatottak egyéb személyi juttatásai előirányzata</v>
      </c>
      <c r="R308" t="str">
        <f>IFERROR(VLOOKUP(K308,PAR!$V$3:$X$438,3,FALSE),"000000 - Nincs COFOG")</f>
        <v>000000 - Nincs COFOG</v>
      </c>
      <c r="S308">
        <f t="shared" si="88"/>
        <v>429000</v>
      </c>
      <c r="T308">
        <f t="shared" si="89"/>
        <v>429000</v>
      </c>
      <c r="U308" t="str">
        <f>IF('906MP'!J8&gt;0,CONCATENATE('906MP'!J8," - ",'906MP'!P8,", ",'906MP'!E8),"nincs megjegyzés")</f>
        <v>2025-01-01 - eredeti ei, 2025/EEI-654427/1</v>
      </c>
      <c r="V308" t="str">
        <f t="shared" si="76"/>
        <v>61P654427051</v>
      </c>
      <c r="W308" t="str">
        <f t="shared" si="77"/>
        <v>61P65442705</v>
      </c>
      <c r="X308" t="str">
        <f t="shared" si="78"/>
        <v>P6544270511131</v>
      </c>
      <c r="Y308" t="str">
        <f t="shared" si="79"/>
        <v>610511131</v>
      </c>
      <c r="Z308" t="str">
        <f t="shared" si="90"/>
        <v>(KÖT)0511131</v>
      </c>
      <c r="AA308" t="str">
        <f t="shared" si="80"/>
        <v>61051</v>
      </c>
      <c r="AB308" t="str">
        <f t="shared" si="81"/>
        <v>(KÖT)051</v>
      </c>
      <c r="AC308" t="str">
        <f t="shared" si="82"/>
        <v>61P6544270511131</v>
      </c>
      <c r="AD308" t="str">
        <f t="shared" si="83"/>
        <v>P6544270511131(KÖT)</v>
      </c>
      <c r="AE308" t="str">
        <f t="shared" si="84"/>
        <v>61P654427051</v>
      </c>
      <c r="AF308" t="str">
        <f t="shared" si="85"/>
        <v>P654427051(KÖT)</v>
      </c>
      <c r="AG308" t="str">
        <f t="shared" si="91"/>
        <v>61P654427051113113100</v>
      </c>
      <c r="AH308" t="str">
        <f t="shared" si="92"/>
        <v>P654427(KÖT)051113113100</v>
      </c>
      <c r="AI308" t="str">
        <f t="shared" si="93"/>
        <v>61P65442705113100</v>
      </c>
      <c r="AJ308" t="str">
        <f t="shared" si="94"/>
        <v>P654427051(KÖT)13100</v>
      </c>
    </row>
    <row r="309" spans="1:36" x14ac:dyDescent="0.25">
      <c r="A309" s="325" t="str">
        <f>CONCATENATE("P",'906MP'!M9)</f>
        <v>P654427</v>
      </c>
      <c r="B309">
        <f>'906MP'!H9</f>
        <v>61</v>
      </c>
      <c r="C309" t="str">
        <f>'906MP'!J9</f>
        <v>2025-01-01</v>
      </c>
      <c r="D309" t="str">
        <f>'906MP'!P9</f>
        <v>eredeti ei</v>
      </c>
      <c r="E309">
        <f>'906MP'!X9</f>
        <v>34547629</v>
      </c>
      <c r="F309" t="str">
        <f t="shared" si="86"/>
        <v>05</v>
      </c>
      <c r="G309" t="str">
        <f t="shared" si="87"/>
        <v>052</v>
      </c>
      <c r="H309" t="str">
        <f>'906MP'!Y9</f>
        <v>0521</v>
      </c>
      <c r="I309" t="str">
        <f>'906MP'!AK9</f>
        <v>2025/EEI-654427/1</v>
      </c>
      <c r="J309" t="str">
        <f>'906MP'!T9</f>
        <v>(KÖT)</v>
      </c>
      <c r="K309" t="str">
        <f>'906MP'!AJ9</f>
        <v/>
      </c>
      <c r="L309" t="str">
        <f>'906MP'!U9</f>
        <v>13100</v>
      </c>
      <c r="M309" s="322" t="str">
        <f>IFERROR(VLOOKUP(A309,PAR!$D$3:$E$53,2,FALSE),"nincs szervezet")</f>
        <v>Nagymarosi Napköziotthonos Óvoda és Bölcsőde</v>
      </c>
      <c r="N309" s="322" t="str">
        <f>VLOOKUP(F309,PAR!$R$3:$S$5,2,FALSE)</f>
        <v>2 - Kiadás</v>
      </c>
      <c r="O309" t="str">
        <f>IFERROR(VLOOKUP(J309,PAR!$O$3:$P$5,2,FALSE),"nincs feladat")</f>
        <v>1 - (KÖT)</v>
      </c>
      <c r="P309" t="str">
        <f>IFERROR(VLOOKUP(G309,PAR!$J$2:$M$19,4),"nincs rovat")</f>
        <v>K2 - Munkaadókat terhelő járulékok és szociális hozzájárulási adó</v>
      </c>
      <c r="Q309" t="str">
        <f>IF(H309&gt;0,VLOOKUP(H309,PAR!$AA$3:$AC$187,3,FALSE),"nincs főkönyvi számla")</f>
        <v>0521 -  Munkaadókat terhelő járulékok és szociális hozzájárulási adó előirányzata</v>
      </c>
      <c r="R309" t="str">
        <f>IFERROR(VLOOKUP(K309,PAR!$V$3:$X$438,3,FALSE),"000000 - Nincs COFOG")</f>
        <v>000000 - Nincs COFOG</v>
      </c>
      <c r="S309">
        <f t="shared" si="88"/>
        <v>34547629</v>
      </c>
      <c r="T309">
        <f t="shared" si="89"/>
        <v>34547629</v>
      </c>
      <c r="U309" t="str">
        <f>IF('906MP'!J9&gt;0,CONCATENATE('906MP'!J9," - ",'906MP'!P9,", ",'906MP'!E9),"nincs megjegyzés")</f>
        <v>2025-01-01 - eredeti ei, 2025/EEI-654427/1</v>
      </c>
      <c r="V309" t="str">
        <f t="shared" si="76"/>
        <v>61P654427052</v>
      </c>
      <c r="W309" t="str">
        <f t="shared" si="77"/>
        <v>61P65442705</v>
      </c>
      <c r="X309" t="str">
        <f t="shared" si="78"/>
        <v>P6544270521</v>
      </c>
      <c r="Y309" t="str">
        <f t="shared" si="79"/>
        <v>610521</v>
      </c>
      <c r="Z309" t="str">
        <f t="shared" si="90"/>
        <v>(KÖT)0521</v>
      </c>
      <c r="AA309" t="str">
        <f t="shared" si="80"/>
        <v>61052</v>
      </c>
      <c r="AB309" t="str">
        <f t="shared" si="81"/>
        <v>(KÖT)052</v>
      </c>
      <c r="AC309" t="str">
        <f t="shared" si="82"/>
        <v>61P6544270521</v>
      </c>
      <c r="AD309" t="str">
        <f t="shared" si="83"/>
        <v>P6544270521(KÖT)</v>
      </c>
      <c r="AE309" t="str">
        <f t="shared" si="84"/>
        <v>61P654427052</v>
      </c>
      <c r="AF309" t="str">
        <f t="shared" si="85"/>
        <v>P654427052(KÖT)</v>
      </c>
      <c r="AG309" t="str">
        <f t="shared" si="91"/>
        <v>61P654427052113100</v>
      </c>
      <c r="AH309" t="str">
        <f t="shared" si="92"/>
        <v>P654427(KÖT)052113100</v>
      </c>
      <c r="AI309" t="str">
        <f t="shared" si="93"/>
        <v>61P65442705213100</v>
      </c>
      <c r="AJ309" t="str">
        <f t="shared" si="94"/>
        <v>P654427052(KÖT)13100</v>
      </c>
    </row>
    <row r="310" spans="1:36" x14ac:dyDescent="0.25">
      <c r="A310" s="325" t="str">
        <f>CONCATENATE("P",'906MP'!M10)</f>
        <v>P654427</v>
      </c>
      <c r="B310">
        <f>'906MP'!H10</f>
        <v>61</v>
      </c>
      <c r="C310" t="str">
        <f>'906MP'!J10</f>
        <v>2025-01-01</v>
      </c>
      <c r="D310" t="str">
        <f>'906MP'!P10</f>
        <v>eredeti ei</v>
      </c>
      <c r="E310">
        <f>'906MP'!X10</f>
        <v>260000</v>
      </c>
      <c r="F310" t="str">
        <f t="shared" si="86"/>
        <v>05</v>
      </c>
      <c r="G310" t="str">
        <f t="shared" si="87"/>
        <v>053</v>
      </c>
      <c r="H310" t="str">
        <f>'906MP'!Y10</f>
        <v>053111</v>
      </c>
      <c r="I310" t="str">
        <f>'906MP'!AK10</f>
        <v>2025/EEI-654427/1</v>
      </c>
      <c r="J310" t="str">
        <f>'906MP'!T10</f>
        <v>(KÖT)</v>
      </c>
      <c r="K310" t="str">
        <f>'906MP'!AJ10</f>
        <v/>
      </c>
      <c r="L310" t="str">
        <f>'906MP'!U10</f>
        <v>13100</v>
      </c>
      <c r="M310" s="322" t="str">
        <f>IFERROR(VLOOKUP(A310,PAR!$D$3:$E$53,2,FALSE),"nincs szervezet")</f>
        <v>Nagymarosi Napköziotthonos Óvoda és Bölcsőde</v>
      </c>
      <c r="N310" s="322" t="str">
        <f>VLOOKUP(F310,PAR!$R$3:$S$5,2,FALSE)</f>
        <v>2 - Kiadás</v>
      </c>
      <c r="O310" t="str">
        <f>IFERROR(VLOOKUP(J310,PAR!$O$3:$P$5,2,FALSE),"nincs feladat")</f>
        <v>1 - (KÖT)</v>
      </c>
      <c r="P310" t="str">
        <f>IFERROR(VLOOKUP(G310,PAR!$J$2:$M$19,4),"nincs rovat")</f>
        <v>K3 - Dologi kiadások</v>
      </c>
      <c r="Q310" t="str">
        <f>IF(H310&gt;0,VLOOKUP(H310,PAR!$AA$3:$AC$187,3,FALSE),"nincs főkönyvi számla")</f>
        <v>053111 -  Szakmai anyagok beszerzése előirányzata</v>
      </c>
      <c r="R310" t="str">
        <f>IFERROR(VLOOKUP(K310,PAR!$V$3:$X$438,3,FALSE),"000000 - Nincs COFOG")</f>
        <v>000000 - Nincs COFOG</v>
      </c>
      <c r="S310">
        <f t="shared" si="88"/>
        <v>260000</v>
      </c>
      <c r="T310">
        <f t="shared" si="89"/>
        <v>260000</v>
      </c>
      <c r="U310" t="str">
        <f>IF('906MP'!J10&gt;0,CONCATENATE('906MP'!J10," - ",'906MP'!P10,", ",'906MP'!E10),"nincs megjegyzés")</f>
        <v>2025-01-01 - eredeti ei, 2025/EEI-654427/1</v>
      </c>
      <c r="V310" t="str">
        <f t="shared" si="76"/>
        <v>61P654427053</v>
      </c>
      <c r="W310" t="str">
        <f t="shared" si="77"/>
        <v>61P65442705</v>
      </c>
      <c r="X310" t="str">
        <f t="shared" si="78"/>
        <v>P654427053111</v>
      </c>
      <c r="Y310" t="str">
        <f t="shared" si="79"/>
        <v>61053111</v>
      </c>
      <c r="Z310" t="str">
        <f t="shared" si="90"/>
        <v>(KÖT)053111</v>
      </c>
      <c r="AA310" t="str">
        <f t="shared" si="80"/>
        <v>61053</v>
      </c>
      <c r="AB310" t="str">
        <f t="shared" si="81"/>
        <v>(KÖT)053</v>
      </c>
      <c r="AC310" t="str">
        <f t="shared" si="82"/>
        <v>61P654427053111</v>
      </c>
      <c r="AD310" t="str">
        <f t="shared" si="83"/>
        <v>P654427053111(KÖT)</v>
      </c>
      <c r="AE310" t="str">
        <f t="shared" si="84"/>
        <v>61P654427053</v>
      </c>
      <c r="AF310" t="str">
        <f t="shared" si="85"/>
        <v>P654427053(KÖT)</v>
      </c>
      <c r="AG310" t="str">
        <f t="shared" si="91"/>
        <v>61P65442705311113100</v>
      </c>
      <c r="AH310" t="str">
        <f t="shared" si="92"/>
        <v>P654427(KÖT)05311113100</v>
      </c>
      <c r="AI310" t="str">
        <f t="shared" si="93"/>
        <v>61P65442705313100</v>
      </c>
      <c r="AJ310" t="str">
        <f t="shared" si="94"/>
        <v>P654427053(KÖT)13100</v>
      </c>
    </row>
    <row r="311" spans="1:36" x14ac:dyDescent="0.25">
      <c r="A311" s="325" t="str">
        <f>CONCATENATE("P",'906MP'!M11)</f>
        <v>P654427</v>
      </c>
      <c r="B311">
        <f>'906MP'!H11</f>
        <v>61</v>
      </c>
      <c r="C311" t="str">
        <f>'906MP'!J11</f>
        <v>2025-01-01</v>
      </c>
      <c r="D311" t="str">
        <f>'906MP'!P11</f>
        <v>eredeti ei</v>
      </c>
      <c r="E311">
        <f>'906MP'!X11</f>
        <v>2700000</v>
      </c>
      <c r="F311" t="str">
        <f t="shared" si="86"/>
        <v>05</v>
      </c>
      <c r="G311" t="str">
        <f t="shared" si="87"/>
        <v>053</v>
      </c>
      <c r="H311" t="str">
        <f>'906MP'!Y11</f>
        <v>053121</v>
      </c>
      <c r="I311" t="str">
        <f>'906MP'!AK11</f>
        <v>2025/EEI-654427/1</v>
      </c>
      <c r="J311" t="str">
        <f>'906MP'!T11</f>
        <v>(KÖT)</v>
      </c>
      <c r="K311" t="str">
        <f>'906MP'!AJ11</f>
        <v/>
      </c>
      <c r="L311" t="str">
        <f>'906MP'!U11</f>
        <v>13100</v>
      </c>
      <c r="M311" s="322" t="str">
        <f>IFERROR(VLOOKUP(A311,PAR!$D$3:$E$53,2,FALSE),"nincs szervezet")</f>
        <v>Nagymarosi Napköziotthonos Óvoda és Bölcsőde</v>
      </c>
      <c r="N311" s="322" t="str">
        <f>VLOOKUP(F311,PAR!$R$3:$S$5,2,FALSE)</f>
        <v>2 - Kiadás</v>
      </c>
      <c r="O311" t="str">
        <f>IFERROR(VLOOKUP(J311,PAR!$O$3:$P$5,2,FALSE),"nincs feladat")</f>
        <v>1 - (KÖT)</v>
      </c>
      <c r="P311" t="str">
        <f>IFERROR(VLOOKUP(G311,PAR!$J$2:$M$19,4),"nincs rovat")</f>
        <v>K3 - Dologi kiadások</v>
      </c>
      <c r="Q311" t="str">
        <f>IF(H311&gt;0,VLOOKUP(H311,PAR!$AA$3:$AC$187,3,FALSE),"nincs főkönyvi számla")</f>
        <v>053121 -  Üzemeltetési anyagok beszerzése előirányzata</v>
      </c>
      <c r="R311" t="str">
        <f>IFERROR(VLOOKUP(K311,PAR!$V$3:$X$438,3,FALSE),"000000 - Nincs COFOG")</f>
        <v>000000 - Nincs COFOG</v>
      </c>
      <c r="S311">
        <f t="shared" si="88"/>
        <v>2700000</v>
      </c>
      <c r="T311">
        <f t="shared" si="89"/>
        <v>2700000</v>
      </c>
      <c r="U311" t="str">
        <f>IF('906MP'!J11&gt;0,CONCATENATE('906MP'!J11," - ",'906MP'!P11,", ",'906MP'!E11),"nincs megjegyzés")</f>
        <v>2025-01-01 - eredeti ei, 2025/EEI-654427/1</v>
      </c>
      <c r="V311" t="str">
        <f t="shared" si="76"/>
        <v>61P654427053</v>
      </c>
      <c r="W311" t="str">
        <f t="shared" si="77"/>
        <v>61P65442705</v>
      </c>
      <c r="X311" t="str">
        <f t="shared" si="78"/>
        <v>P654427053121</v>
      </c>
      <c r="Y311" t="str">
        <f t="shared" si="79"/>
        <v>61053121</v>
      </c>
      <c r="Z311" t="str">
        <f t="shared" si="90"/>
        <v>(KÖT)053121</v>
      </c>
      <c r="AA311" t="str">
        <f t="shared" si="80"/>
        <v>61053</v>
      </c>
      <c r="AB311" t="str">
        <f t="shared" si="81"/>
        <v>(KÖT)053</v>
      </c>
      <c r="AC311" t="str">
        <f t="shared" si="82"/>
        <v>61P654427053121</v>
      </c>
      <c r="AD311" t="str">
        <f t="shared" si="83"/>
        <v>P654427053121(KÖT)</v>
      </c>
      <c r="AE311" t="str">
        <f t="shared" si="84"/>
        <v>61P654427053</v>
      </c>
      <c r="AF311" t="str">
        <f t="shared" si="85"/>
        <v>P654427053(KÖT)</v>
      </c>
      <c r="AG311" t="str">
        <f t="shared" si="91"/>
        <v>61P65442705312113100</v>
      </c>
      <c r="AH311" t="str">
        <f t="shared" si="92"/>
        <v>P654427(KÖT)05312113100</v>
      </c>
      <c r="AI311" t="str">
        <f t="shared" si="93"/>
        <v>61P65442705313100</v>
      </c>
      <c r="AJ311" t="str">
        <f t="shared" si="94"/>
        <v>P654427053(KÖT)13100</v>
      </c>
    </row>
    <row r="312" spans="1:36" x14ac:dyDescent="0.25">
      <c r="A312" s="325" t="str">
        <f>CONCATENATE("P",'906MP'!M12)</f>
        <v>P654427</v>
      </c>
      <c r="B312">
        <f>'906MP'!H12</f>
        <v>61</v>
      </c>
      <c r="C312" t="str">
        <f>'906MP'!J12</f>
        <v>2025-01-01</v>
      </c>
      <c r="D312" t="str">
        <f>'906MP'!P12</f>
        <v>eredeti ei</v>
      </c>
      <c r="E312">
        <f>'906MP'!X12</f>
        <v>660000</v>
      </c>
      <c r="F312" t="str">
        <f t="shared" si="86"/>
        <v>05</v>
      </c>
      <c r="G312" t="str">
        <f t="shared" si="87"/>
        <v>053</v>
      </c>
      <c r="H312" t="str">
        <f>'906MP'!Y12</f>
        <v>053211</v>
      </c>
      <c r="I312" t="str">
        <f>'906MP'!AK12</f>
        <v>2025/EEI-654427/1</v>
      </c>
      <c r="J312" t="str">
        <f>'906MP'!T12</f>
        <v>(KÖT)</v>
      </c>
      <c r="K312" t="str">
        <f>'906MP'!AJ12</f>
        <v/>
      </c>
      <c r="L312" t="str">
        <f>'906MP'!U12</f>
        <v>13100</v>
      </c>
      <c r="M312" s="322" t="str">
        <f>IFERROR(VLOOKUP(A312,PAR!$D$3:$E$53,2,FALSE),"nincs szervezet")</f>
        <v>Nagymarosi Napköziotthonos Óvoda és Bölcsőde</v>
      </c>
      <c r="N312" s="322" t="str">
        <f>VLOOKUP(F312,PAR!$R$3:$S$5,2,FALSE)</f>
        <v>2 - Kiadás</v>
      </c>
      <c r="O312" t="str">
        <f>IFERROR(VLOOKUP(J312,PAR!$O$3:$P$5,2,FALSE),"nincs feladat")</f>
        <v>1 - (KÖT)</v>
      </c>
      <c r="P312" t="str">
        <f>IFERROR(VLOOKUP(G312,PAR!$J$2:$M$19,4),"nincs rovat")</f>
        <v>K3 - Dologi kiadások</v>
      </c>
      <c r="Q312" t="str">
        <f>IF(H312&gt;0,VLOOKUP(H312,PAR!$AA$3:$AC$187,3,FALSE),"nincs főkönyvi számla")</f>
        <v>053211 -  Informatikai szolgáltatások igénybevétele előirányzata</v>
      </c>
      <c r="R312" t="str">
        <f>IFERROR(VLOOKUP(K312,PAR!$V$3:$X$438,3,FALSE),"000000 - Nincs COFOG")</f>
        <v>000000 - Nincs COFOG</v>
      </c>
      <c r="S312">
        <f t="shared" si="88"/>
        <v>660000</v>
      </c>
      <c r="T312">
        <f t="shared" si="89"/>
        <v>660000</v>
      </c>
      <c r="U312" t="str">
        <f>IF('906MP'!J12&gt;0,CONCATENATE('906MP'!J12," - ",'906MP'!P12,", ",'906MP'!E12),"nincs megjegyzés")</f>
        <v>2025-01-01 - eredeti ei, 2025/EEI-654427/1</v>
      </c>
      <c r="V312" t="str">
        <f t="shared" si="76"/>
        <v>61P654427053</v>
      </c>
      <c r="W312" t="str">
        <f t="shared" si="77"/>
        <v>61P65442705</v>
      </c>
      <c r="X312" t="str">
        <f t="shared" si="78"/>
        <v>P654427053211</v>
      </c>
      <c r="Y312" t="str">
        <f t="shared" si="79"/>
        <v>61053211</v>
      </c>
      <c r="Z312" t="str">
        <f t="shared" si="90"/>
        <v>(KÖT)053211</v>
      </c>
      <c r="AA312" t="str">
        <f t="shared" si="80"/>
        <v>61053</v>
      </c>
      <c r="AB312" t="str">
        <f t="shared" si="81"/>
        <v>(KÖT)053</v>
      </c>
      <c r="AC312" t="str">
        <f t="shared" si="82"/>
        <v>61P654427053211</v>
      </c>
      <c r="AD312" t="str">
        <f t="shared" si="83"/>
        <v>P654427053211(KÖT)</v>
      </c>
      <c r="AE312" t="str">
        <f t="shared" si="84"/>
        <v>61P654427053</v>
      </c>
      <c r="AF312" t="str">
        <f t="shared" si="85"/>
        <v>P654427053(KÖT)</v>
      </c>
      <c r="AG312" t="str">
        <f t="shared" si="91"/>
        <v>61P65442705321113100</v>
      </c>
      <c r="AH312" t="str">
        <f t="shared" si="92"/>
        <v>P654427(KÖT)05321113100</v>
      </c>
      <c r="AI312" t="str">
        <f t="shared" si="93"/>
        <v>61P65442705313100</v>
      </c>
      <c r="AJ312" t="str">
        <f t="shared" si="94"/>
        <v>P654427053(KÖT)13100</v>
      </c>
    </row>
    <row r="313" spans="1:36" x14ac:dyDescent="0.25">
      <c r="A313" s="325" t="str">
        <f>CONCATENATE("P",'906MP'!M13)</f>
        <v>P654427</v>
      </c>
      <c r="B313">
        <f>'906MP'!H13</f>
        <v>61</v>
      </c>
      <c r="C313" t="str">
        <f>'906MP'!J13</f>
        <v>2025-01-01</v>
      </c>
      <c r="D313" t="str">
        <f>'906MP'!P13</f>
        <v>eredeti ei</v>
      </c>
      <c r="E313">
        <f>'906MP'!X13</f>
        <v>300000</v>
      </c>
      <c r="F313" t="str">
        <f t="shared" si="86"/>
        <v>05</v>
      </c>
      <c r="G313" t="str">
        <f t="shared" si="87"/>
        <v>053</v>
      </c>
      <c r="H313" t="str">
        <f>'906MP'!Y13</f>
        <v>053221</v>
      </c>
      <c r="I313" t="str">
        <f>'906MP'!AK13</f>
        <v>2025/EEI-654427/1</v>
      </c>
      <c r="J313" t="str">
        <f>'906MP'!T13</f>
        <v>(KÖT)</v>
      </c>
      <c r="K313" t="str">
        <f>'906MP'!AJ13</f>
        <v/>
      </c>
      <c r="L313" t="str">
        <f>'906MP'!U13</f>
        <v>13100</v>
      </c>
      <c r="M313" s="322" t="str">
        <f>IFERROR(VLOOKUP(A313,PAR!$D$3:$E$53,2,FALSE),"nincs szervezet")</f>
        <v>Nagymarosi Napköziotthonos Óvoda és Bölcsőde</v>
      </c>
      <c r="N313" s="322" t="str">
        <f>VLOOKUP(F313,PAR!$R$3:$S$5,2,FALSE)</f>
        <v>2 - Kiadás</v>
      </c>
      <c r="O313" t="str">
        <f>IFERROR(VLOOKUP(J313,PAR!$O$3:$P$5,2,FALSE),"nincs feladat")</f>
        <v>1 - (KÖT)</v>
      </c>
      <c r="P313" t="str">
        <f>IFERROR(VLOOKUP(G313,PAR!$J$2:$M$19,4),"nincs rovat")</f>
        <v>K3 - Dologi kiadások</v>
      </c>
      <c r="Q313" t="str">
        <f>IF(H313&gt;0,VLOOKUP(H313,PAR!$AA$3:$AC$187,3,FALSE),"nincs főkönyvi számla")</f>
        <v>053221 -  Egyéb kommunikációs szolgáltatások előirányzata</v>
      </c>
      <c r="R313" t="str">
        <f>IFERROR(VLOOKUP(K313,PAR!$V$3:$X$438,3,FALSE),"000000 - Nincs COFOG")</f>
        <v>000000 - Nincs COFOG</v>
      </c>
      <c r="S313">
        <f t="shared" si="88"/>
        <v>300000</v>
      </c>
      <c r="T313">
        <f t="shared" si="89"/>
        <v>300000</v>
      </c>
      <c r="U313" t="str">
        <f>IF('906MP'!J13&gt;0,CONCATENATE('906MP'!J13," - ",'906MP'!P13,", ",'906MP'!E13),"nincs megjegyzés")</f>
        <v>2025-01-01 - eredeti ei, 2025/EEI-654427/1</v>
      </c>
      <c r="V313" t="str">
        <f t="shared" si="76"/>
        <v>61P654427053</v>
      </c>
      <c r="W313" t="str">
        <f t="shared" si="77"/>
        <v>61P65442705</v>
      </c>
      <c r="X313" t="str">
        <f t="shared" si="78"/>
        <v>P654427053221</v>
      </c>
      <c r="Y313" t="str">
        <f t="shared" si="79"/>
        <v>61053221</v>
      </c>
      <c r="Z313" t="str">
        <f t="shared" si="90"/>
        <v>(KÖT)053221</v>
      </c>
      <c r="AA313" t="str">
        <f t="shared" si="80"/>
        <v>61053</v>
      </c>
      <c r="AB313" t="str">
        <f t="shared" si="81"/>
        <v>(KÖT)053</v>
      </c>
      <c r="AC313" t="str">
        <f t="shared" si="82"/>
        <v>61P654427053221</v>
      </c>
      <c r="AD313" t="str">
        <f t="shared" si="83"/>
        <v>P654427053221(KÖT)</v>
      </c>
      <c r="AE313" t="str">
        <f t="shared" si="84"/>
        <v>61P654427053</v>
      </c>
      <c r="AF313" t="str">
        <f t="shared" si="85"/>
        <v>P654427053(KÖT)</v>
      </c>
      <c r="AG313" t="str">
        <f t="shared" si="91"/>
        <v>61P65442705322113100</v>
      </c>
      <c r="AH313" t="str">
        <f t="shared" si="92"/>
        <v>P654427(KÖT)05322113100</v>
      </c>
      <c r="AI313" t="str">
        <f t="shared" si="93"/>
        <v>61P65442705313100</v>
      </c>
      <c r="AJ313" t="str">
        <f t="shared" si="94"/>
        <v>P654427053(KÖT)13100</v>
      </c>
    </row>
    <row r="314" spans="1:36" x14ac:dyDescent="0.25">
      <c r="A314" s="325" t="str">
        <f>CONCATENATE("P",'906MP'!M14)</f>
        <v>P654427</v>
      </c>
      <c r="B314">
        <f>'906MP'!H14</f>
        <v>61</v>
      </c>
      <c r="C314" t="str">
        <f>'906MP'!J14</f>
        <v>2025-01-01</v>
      </c>
      <c r="D314" t="str">
        <f>'906MP'!P14</f>
        <v>eredeti ei</v>
      </c>
      <c r="E314">
        <f>'906MP'!X14</f>
        <v>1500000</v>
      </c>
      <c r="F314" t="str">
        <f t="shared" si="86"/>
        <v>05</v>
      </c>
      <c r="G314" t="str">
        <f t="shared" si="87"/>
        <v>053</v>
      </c>
      <c r="H314" t="str">
        <f>'906MP'!Y14</f>
        <v>0533111</v>
      </c>
      <c r="I314" t="str">
        <f>'906MP'!AK14</f>
        <v>2025/EEI-654427/1</v>
      </c>
      <c r="J314" t="str">
        <f>'906MP'!T14</f>
        <v>(KÖT)</v>
      </c>
      <c r="K314" t="str">
        <f>'906MP'!AJ14</f>
        <v/>
      </c>
      <c r="L314" t="str">
        <f>'906MP'!U14</f>
        <v>13100</v>
      </c>
      <c r="M314" s="322" t="str">
        <f>IFERROR(VLOOKUP(A314,PAR!$D$3:$E$53,2,FALSE),"nincs szervezet")</f>
        <v>Nagymarosi Napköziotthonos Óvoda és Bölcsőde</v>
      </c>
      <c r="N314" s="322" t="str">
        <f>VLOOKUP(F314,PAR!$R$3:$S$5,2,FALSE)</f>
        <v>2 - Kiadás</v>
      </c>
      <c r="O314" t="str">
        <f>IFERROR(VLOOKUP(J314,PAR!$O$3:$P$5,2,FALSE),"nincs feladat")</f>
        <v>1 - (KÖT)</v>
      </c>
      <c r="P314" t="str">
        <f>IFERROR(VLOOKUP(G314,PAR!$J$2:$M$19,4),"nincs rovat")</f>
        <v>K3 - Dologi kiadások</v>
      </c>
      <c r="Q314" t="str">
        <f>IF(H314&gt;0,VLOOKUP(H314,PAR!$AA$3:$AC$187,3,FALSE),"nincs főkönyvi számla")</f>
        <v>0533111 -  Villamosenergia szolgáltatás díja előirányzata</v>
      </c>
      <c r="R314" t="str">
        <f>IFERROR(VLOOKUP(K314,PAR!$V$3:$X$438,3,FALSE),"000000 - Nincs COFOG")</f>
        <v>000000 - Nincs COFOG</v>
      </c>
      <c r="S314">
        <f t="shared" si="88"/>
        <v>1500000</v>
      </c>
      <c r="T314">
        <f t="shared" si="89"/>
        <v>1500000</v>
      </c>
      <c r="U314" t="str">
        <f>IF('906MP'!J14&gt;0,CONCATENATE('906MP'!J14," - ",'906MP'!P14,", ",'906MP'!E14),"nincs megjegyzés")</f>
        <v>2025-01-01 - eredeti ei, 2025/EEI-654427/1</v>
      </c>
      <c r="V314" t="str">
        <f t="shared" si="76"/>
        <v>61P654427053</v>
      </c>
      <c r="W314" t="str">
        <f t="shared" si="77"/>
        <v>61P65442705</v>
      </c>
      <c r="X314" t="str">
        <f t="shared" si="78"/>
        <v>P6544270533111</v>
      </c>
      <c r="Y314" t="str">
        <f t="shared" si="79"/>
        <v>610533111</v>
      </c>
      <c r="Z314" t="str">
        <f t="shared" si="90"/>
        <v>(KÖT)0533111</v>
      </c>
      <c r="AA314" t="str">
        <f t="shared" si="80"/>
        <v>61053</v>
      </c>
      <c r="AB314" t="str">
        <f t="shared" si="81"/>
        <v>(KÖT)053</v>
      </c>
      <c r="AC314" t="str">
        <f t="shared" si="82"/>
        <v>61P6544270533111</v>
      </c>
      <c r="AD314" t="str">
        <f t="shared" si="83"/>
        <v>P6544270533111(KÖT)</v>
      </c>
      <c r="AE314" t="str">
        <f t="shared" si="84"/>
        <v>61P654427053</v>
      </c>
      <c r="AF314" t="str">
        <f t="shared" si="85"/>
        <v>P654427053(KÖT)</v>
      </c>
      <c r="AG314" t="str">
        <f t="shared" si="91"/>
        <v>61P654427053311113100</v>
      </c>
      <c r="AH314" t="str">
        <f t="shared" si="92"/>
        <v>P654427(KÖT)053311113100</v>
      </c>
      <c r="AI314" t="str">
        <f t="shared" si="93"/>
        <v>61P65442705313100</v>
      </c>
      <c r="AJ314" t="str">
        <f t="shared" si="94"/>
        <v>P654427053(KÖT)13100</v>
      </c>
    </row>
    <row r="315" spans="1:36" x14ac:dyDescent="0.25">
      <c r="A315" s="325" t="str">
        <f>CONCATENATE("P",'906MP'!M15)</f>
        <v>P654427</v>
      </c>
      <c r="B315">
        <f>'906MP'!H15</f>
        <v>61</v>
      </c>
      <c r="C315" t="str">
        <f>'906MP'!J15</f>
        <v>2025-01-01</v>
      </c>
      <c r="D315" t="str">
        <f>'906MP'!P15</f>
        <v>eredeti ei</v>
      </c>
      <c r="E315">
        <f>'906MP'!X15</f>
        <v>3600000</v>
      </c>
      <c r="F315" t="str">
        <f t="shared" si="86"/>
        <v>05</v>
      </c>
      <c r="G315" t="str">
        <f t="shared" si="87"/>
        <v>053</v>
      </c>
      <c r="H315" t="str">
        <f>'906MP'!Y15</f>
        <v>0533121</v>
      </c>
      <c r="I315" t="str">
        <f>'906MP'!AK15</f>
        <v>2025/EEI-654427/1</v>
      </c>
      <c r="J315" t="str">
        <f>'906MP'!T15</f>
        <v>(KÖT)</v>
      </c>
      <c r="K315" t="str">
        <f>'906MP'!AJ15</f>
        <v/>
      </c>
      <c r="L315" t="str">
        <f>'906MP'!U15</f>
        <v>13100</v>
      </c>
      <c r="M315" s="322" t="str">
        <f>IFERROR(VLOOKUP(A315,PAR!$D$3:$E$53,2,FALSE),"nincs szervezet")</f>
        <v>Nagymarosi Napköziotthonos Óvoda és Bölcsőde</v>
      </c>
      <c r="N315" s="322" t="str">
        <f>VLOOKUP(F315,PAR!$R$3:$S$5,2,FALSE)</f>
        <v>2 - Kiadás</v>
      </c>
      <c r="O315" t="str">
        <f>IFERROR(VLOOKUP(J315,PAR!$O$3:$P$5,2,FALSE),"nincs feladat")</f>
        <v>1 - (KÖT)</v>
      </c>
      <c r="P315" t="str">
        <f>IFERROR(VLOOKUP(G315,PAR!$J$2:$M$19,4),"nincs rovat")</f>
        <v>K3 - Dologi kiadások</v>
      </c>
      <c r="Q315" t="str">
        <f>IF(H315&gt;0,VLOOKUP(H315,PAR!$AA$3:$AC$187,3,FALSE),"nincs főkönyvi számla")</f>
        <v>0533121 -  Gázenergia szolgáltatás díja előirányzata</v>
      </c>
      <c r="R315" t="str">
        <f>IFERROR(VLOOKUP(K315,PAR!$V$3:$X$438,3,FALSE),"000000 - Nincs COFOG")</f>
        <v>000000 - Nincs COFOG</v>
      </c>
      <c r="S315">
        <f t="shared" si="88"/>
        <v>3600000</v>
      </c>
      <c r="T315">
        <f t="shared" si="89"/>
        <v>3600000</v>
      </c>
      <c r="U315" t="str">
        <f>IF('906MP'!J15&gt;0,CONCATENATE('906MP'!J15," - ",'906MP'!P15,", ",'906MP'!E15),"nincs megjegyzés")</f>
        <v>2025-01-01 - eredeti ei, 2025/EEI-654427/1</v>
      </c>
      <c r="V315" t="str">
        <f t="shared" si="76"/>
        <v>61P654427053</v>
      </c>
      <c r="W315" t="str">
        <f t="shared" si="77"/>
        <v>61P65442705</v>
      </c>
      <c r="X315" t="str">
        <f t="shared" si="78"/>
        <v>P6544270533121</v>
      </c>
      <c r="Y315" t="str">
        <f t="shared" si="79"/>
        <v>610533121</v>
      </c>
      <c r="Z315" t="str">
        <f t="shared" si="90"/>
        <v>(KÖT)0533121</v>
      </c>
      <c r="AA315" t="str">
        <f t="shared" si="80"/>
        <v>61053</v>
      </c>
      <c r="AB315" t="str">
        <f t="shared" si="81"/>
        <v>(KÖT)053</v>
      </c>
      <c r="AC315" t="str">
        <f t="shared" si="82"/>
        <v>61P6544270533121</v>
      </c>
      <c r="AD315" t="str">
        <f t="shared" si="83"/>
        <v>P6544270533121(KÖT)</v>
      </c>
      <c r="AE315" t="str">
        <f t="shared" si="84"/>
        <v>61P654427053</v>
      </c>
      <c r="AF315" t="str">
        <f t="shared" si="85"/>
        <v>P654427053(KÖT)</v>
      </c>
      <c r="AG315" t="str">
        <f t="shared" si="91"/>
        <v>61P654427053312113100</v>
      </c>
      <c r="AH315" t="str">
        <f t="shared" si="92"/>
        <v>P654427(KÖT)053312113100</v>
      </c>
      <c r="AI315" t="str">
        <f t="shared" si="93"/>
        <v>61P65442705313100</v>
      </c>
      <c r="AJ315" t="str">
        <f t="shared" si="94"/>
        <v>P654427053(KÖT)13100</v>
      </c>
    </row>
    <row r="316" spans="1:36" x14ac:dyDescent="0.25">
      <c r="A316" s="325" t="str">
        <f>CONCATENATE("P",'906MP'!M16)</f>
        <v>P654427</v>
      </c>
      <c r="B316">
        <f>'906MP'!H16</f>
        <v>61</v>
      </c>
      <c r="C316" t="str">
        <f>'906MP'!J16</f>
        <v>2025-01-01</v>
      </c>
      <c r="D316" t="str">
        <f>'906MP'!P16</f>
        <v>eredeti ei</v>
      </c>
      <c r="E316">
        <f>'906MP'!X16</f>
        <v>1560000</v>
      </c>
      <c r="F316" t="str">
        <f t="shared" si="86"/>
        <v>05</v>
      </c>
      <c r="G316" t="str">
        <f t="shared" si="87"/>
        <v>053</v>
      </c>
      <c r="H316" t="str">
        <f>'906MP'!Y16</f>
        <v>0533141</v>
      </c>
      <c r="I316" t="str">
        <f>'906MP'!AK16</f>
        <v>2025/EEI-654427/1</v>
      </c>
      <c r="J316" t="str">
        <f>'906MP'!T16</f>
        <v>(KÖT)</v>
      </c>
      <c r="K316" t="str">
        <f>'906MP'!AJ16</f>
        <v/>
      </c>
      <c r="L316" t="str">
        <f>'906MP'!U16</f>
        <v>13100</v>
      </c>
      <c r="M316" s="322" t="str">
        <f>IFERROR(VLOOKUP(A316,PAR!$D$3:$E$53,2,FALSE),"nincs szervezet")</f>
        <v>Nagymarosi Napköziotthonos Óvoda és Bölcsőde</v>
      </c>
      <c r="N316" s="322" t="str">
        <f>VLOOKUP(F316,PAR!$R$3:$S$5,2,FALSE)</f>
        <v>2 - Kiadás</v>
      </c>
      <c r="O316" t="str">
        <f>IFERROR(VLOOKUP(J316,PAR!$O$3:$P$5,2,FALSE),"nincs feladat")</f>
        <v>1 - (KÖT)</v>
      </c>
      <c r="P316" t="str">
        <f>IFERROR(VLOOKUP(G316,PAR!$J$2:$M$19,4),"nincs rovat")</f>
        <v>K3 - Dologi kiadások</v>
      </c>
      <c r="Q316" t="str">
        <f>IF(H316&gt;0,VLOOKUP(H316,PAR!$AA$3:$AC$187,3,FALSE),"nincs főkönyvi számla")</f>
        <v>0533141 -  Víz- és csatorna szolgáltatás díja előirányzata</v>
      </c>
      <c r="R316" t="str">
        <f>IFERROR(VLOOKUP(K316,PAR!$V$3:$X$438,3,FALSE),"000000 - Nincs COFOG")</f>
        <v>000000 - Nincs COFOG</v>
      </c>
      <c r="S316">
        <f t="shared" si="88"/>
        <v>1560000</v>
      </c>
      <c r="T316">
        <f t="shared" si="89"/>
        <v>1560000</v>
      </c>
      <c r="U316" t="str">
        <f>IF('906MP'!J16&gt;0,CONCATENATE('906MP'!J16," - ",'906MP'!P16,", ",'906MP'!E16),"nincs megjegyzés")</f>
        <v>2025-01-01 - eredeti ei, 2025/EEI-654427/1</v>
      </c>
      <c r="V316" t="str">
        <f t="shared" si="76"/>
        <v>61P654427053</v>
      </c>
      <c r="W316" t="str">
        <f t="shared" si="77"/>
        <v>61P65442705</v>
      </c>
      <c r="X316" t="str">
        <f t="shared" si="78"/>
        <v>P6544270533141</v>
      </c>
      <c r="Y316" t="str">
        <f t="shared" si="79"/>
        <v>610533141</v>
      </c>
      <c r="Z316" t="str">
        <f t="shared" si="90"/>
        <v>(KÖT)0533141</v>
      </c>
      <c r="AA316" t="str">
        <f t="shared" si="80"/>
        <v>61053</v>
      </c>
      <c r="AB316" t="str">
        <f t="shared" si="81"/>
        <v>(KÖT)053</v>
      </c>
      <c r="AC316" t="str">
        <f t="shared" si="82"/>
        <v>61P6544270533141</v>
      </c>
      <c r="AD316" t="str">
        <f t="shared" si="83"/>
        <v>P6544270533141(KÖT)</v>
      </c>
      <c r="AE316" t="str">
        <f t="shared" si="84"/>
        <v>61P654427053</v>
      </c>
      <c r="AF316" t="str">
        <f t="shared" si="85"/>
        <v>P654427053(KÖT)</v>
      </c>
      <c r="AG316" t="str">
        <f t="shared" si="91"/>
        <v>61P654427053314113100</v>
      </c>
      <c r="AH316" t="str">
        <f t="shared" si="92"/>
        <v>P654427(KÖT)053314113100</v>
      </c>
      <c r="AI316" t="str">
        <f t="shared" si="93"/>
        <v>61P65442705313100</v>
      </c>
      <c r="AJ316" t="str">
        <f t="shared" si="94"/>
        <v>P654427053(KÖT)13100</v>
      </c>
    </row>
    <row r="317" spans="1:36" x14ac:dyDescent="0.25">
      <c r="A317" s="325" t="str">
        <f>CONCATENATE("P",'906MP'!M17)</f>
        <v>P654427</v>
      </c>
      <c r="B317">
        <f>'906MP'!H17</f>
        <v>61</v>
      </c>
      <c r="C317" t="str">
        <f>'906MP'!J17</f>
        <v>2025-01-01</v>
      </c>
      <c r="D317" t="str">
        <f>'906MP'!P17</f>
        <v>eredeti ei</v>
      </c>
      <c r="E317">
        <f>'906MP'!X17</f>
        <v>500000</v>
      </c>
      <c r="F317" t="str">
        <f t="shared" si="86"/>
        <v>05</v>
      </c>
      <c r="G317" t="str">
        <f t="shared" si="87"/>
        <v>053</v>
      </c>
      <c r="H317" t="str">
        <f>'906MP'!Y17</f>
        <v>053341</v>
      </c>
      <c r="I317" t="str">
        <f>'906MP'!AK17</f>
        <v>2025/EEI-654427/1</v>
      </c>
      <c r="J317" t="str">
        <f>'906MP'!T17</f>
        <v>(KÖT)</v>
      </c>
      <c r="K317" t="str">
        <f>'906MP'!AJ17</f>
        <v/>
      </c>
      <c r="L317" t="str">
        <f>'906MP'!U17</f>
        <v>13100</v>
      </c>
      <c r="M317" s="322" t="str">
        <f>IFERROR(VLOOKUP(A317,PAR!$D$3:$E$53,2,FALSE),"nincs szervezet")</f>
        <v>Nagymarosi Napköziotthonos Óvoda és Bölcsőde</v>
      </c>
      <c r="N317" s="322" t="str">
        <f>VLOOKUP(F317,PAR!$R$3:$S$5,2,FALSE)</f>
        <v>2 - Kiadás</v>
      </c>
      <c r="O317" t="str">
        <f>IFERROR(VLOOKUP(J317,PAR!$O$3:$P$5,2,FALSE),"nincs feladat")</f>
        <v>1 - (KÖT)</v>
      </c>
      <c r="P317" t="str">
        <f>IFERROR(VLOOKUP(G317,PAR!$J$2:$M$19,4),"nincs rovat")</f>
        <v>K3 - Dologi kiadások</v>
      </c>
      <c r="Q317" t="str">
        <f>IF(H317&gt;0,VLOOKUP(H317,PAR!$AA$3:$AC$187,3,FALSE),"nincs főkönyvi számla")</f>
        <v>053341 -  Karbantartási, kisjavítási szolgáltatások előirányzata</v>
      </c>
      <c r="R317" t="str">
        <f>IFERROR(VLOOKUP(K317,PAR!$V$3:$X$438,3,FALSE),"000000 - Nincs COFOG")</f>
        <v>000000 - Nincs COFOG</v>
      </c>
      <c r="S317">
        <f t="shared" si="88"/>
        <v>500000</v>
      </c>
      <c r="T317">
        <f t="shared" si="89"/>
        <v>500000</v>
      </c>
      <c r="U317" t="str">
        <f>IF('906MP'!J17&gt;0,CONCATENATE('906MP'!J17," - ",'906MP'!P17,", ",'906MP'!E17),"nincs megjegyzés")</f>
        <v>2025-01-01 - eredeti ei, 2025/EEI-654427/1</v>
      </c>
      <c r="V317" t="str">
        <f t="shared" si="76"/>
        <v>61P654427053</v>
      </c>
      <c r="W317" t="str">
        <f t="shared" si="77"/>
        <v>61P65442705</v>
      </c>
      <c r="X317" t="str">
        <f t="shared" si="78"/>
        <v>P654427053341</v>
      </c>
      <c r="Y317" t="str">
        <f t="shared" si="79"/>
        <v>61053341</v>
      </c>
      <c r="Z317" t="str">
        <f t="shared" si="90"/>
        <v>(KÖT)053341</v>
      </c>
      <c r="AA317" t="str">
        <f t="shared" si="80"/>
        <v>61053</v>
      </c>
      <c r="AB317" t="str">
        <f t="shared" si="81"/>
        <v>(KÖT)053</v>
      </c>
      <c r="AC317" t="str">
        <f t="shared" si="82"/>
        <v>61P654427053341</v>
      </c>
      <c r="AD317" t="str">
        <f t="shared" si="83"/>
        <v>P654427053341(KÖT)</v>
      </c>
      <c r="AE317" t="str">
        <f t="shared" si="84"/>
        <v>61P654427053</v>
      </c>
      <c r="AF317" t="str">
        <f t="shared" si="85"/>
        <v>P654427053(KÖT)</v>
      </c>
      <c r="AG317" t="str">
        <f t="shared" si="91"/>
        <v>61P65442705334113100</v>
      </c>
      <c r="AH317" t="str">
        <f t="shared" si="92"/>
        <v>P654427(KÖT)05334113100</v>
      </c>
      <c r="AI317" t="str">
        <f t="shared" si="93"/>
        <v>61P65442705313100</v>
      </c>
      <c r="AJ317" t="str">
        <f t="shared" si="94"/>
        <v>P654427053(KÖT)13100</v>
      </c>
    </row>
    <row r="318" spans="1:36" x14ac:dyDescent="0.25">
      <c r="A318" s="325" t="str">
        <f>CONCATENATE("P",'906MP'!M18)</f>
        <v>P654427</v>
      </c>
      <c r="B318">
        <f>'906MP'!H18</f>
        <v>61</v>
      </c>
      <c r="C318" t="str">
        <f>'906MP'!J18</f>
        <v>2025-01-01</v>
      </c>
      <c r="D318" t="str">
        <f>'906MP'!P18</f>
        <v>eredeti ei</v>
      </c>
      <c r="E318">
        <f>'906MP'!X18</f>
        <v>750000</v>
      </c>
      <c r="F318" t="str">
        <f t="shared" si="86"/>
        <v>05</v>
      </c>
      <c r="G318" t="str">
        <f t="shared" si="87"/>
        <v>053</v>
      </c>
      <c r="H318" t="str">
        <f>'906MP'!Y18</f>
        <v>053361</v>
      </c>
      <c r="I318" t="str">
        <f>'906MP'!AK18</f>
        <v>2025/EEI-654427/1</v>
      </c>
      <c r="J318" t="str">
        <f>'906MP'!T18</f>
        <v>(KÖT)</v>
      </c>
      <c r="K318" t="str">
        <f>'906MP'!AJ18</f>
        <v/>
      </c>
      <c r="L318" t="str">
        <f>'906MP'!U18</f>
        <v>13100</v>
      </c>
      <c r="M318" s="322" t="str">
        <f>IFERROR(VLOOKUP(A318,PAR!$D$3:$E$53,2,FALSE),"nincs szervezet")</f>
        <v>Nagymarosi Napköziotthonos Óvoda és Bölcsőde</v>
      </c>
      <c r="N318" s="322" t="str">
        <f>VLOOKUP(F318,PAR!$R$3:$S$5,2,FALSE)</f>
        <v>2 - Kiadás</v>
      </c>
      <c r="O318" t="str">
        <f>IFERROR(VLOOKUP(J318,PAR!$O$3:$P$5,2,FALSE),"nincs feladat")</f>
        <v>1 - (KÖT)</v>
      </c>
      <c r="P318" t="str">
        <f>IFERROR(VLOOKUP(G318,PAR!$J$2:$M$19,4),"nincs rovat")</f>
        <v>K3 - Dologi kiadások</v>
      </c>
      <c r="Q318" t="str">
        <f>IF(H318&gt;0,VLOOKUP(H318,PAR!$AA$3:$AC$187,3,FALSE),"nincs főkönyvi számla")</f>
        <v>053361 -  Szakmai tevékenységet segítő szolgáltatások előirányzata</v>
      </c>
      <c r="R318" t="str">
        <f>IFERROR(VLOOKUP(K318,PAR!$V$3:$X$438,3,FALSE),"000000 - Nincs COFOG")</f>
        <v>000000 - Nincs COFOG</v>
      </c>
      <c r="S318">
        <f t="shared" si="88"/>
        <v>750000</v>
      </c>
      <c r="T318">
        <f t="shared" si="89"/>
        <v>750000</v>
      </c>
      <c r="U318" t="str">
        <f>IF('906MP'!J18&gt;0,CONCATENATE('906MP'!J18," - ",'906MP'!P18,", ",'906MP'!E18),"nincs megjegyzés")</f>
        <v>2025-01-01 - eredeti ei, 2025/EEI-654427/1</v>
      </c>
      <c r="V318" t="str">
        <f t="shared" si="76"/>
        <v>61P654427053</v>
      </c>
      <c r="W318" t="str">
        <f t="shared" si="77"/>
        <v>61P65442705</v>
      </c>
      <c r="X318" t="str">
        <f t="shared" si="78"/>
        <v>P654427053361</v>
      </c>
      <c r="Y318" t="str">
        <f t="shared" si="79"/>
        <v>61053361</v>
      </c>
      <c r="Z318" t="str">
        <f t="shared" si="90"/>
        <v>(KÖT)053361</v>
      </c>
      <c r="AA318" t="str">
        <f t="shared" si="80"/>
        <v>61053</v>
      </c>
      <c r="AB318" t="str">
        <f t="shared" si="81"/>
        <v>(KÖT)053</v>
      </c>
      <c r="AC318" t="str">
        <f t="shared" si="82"/>
        <v>61P654427053361</v>
      </c>
      <c r="AD318" t="str">
        <f t="shared" si="83"/>
        <v>P654427053361(KÖT)</v>
      </c>
      <c r="AE318" t="str">
        <f t="shared" si="84"/>
        <v>61P654427053</v>
      </c>
      <c r="AF318" t="str">
        <f t="shared" si="85"/>
        <v>P654427053(KÖT)</v>
      </c>
      <c r="AG318" t="str">
        <f t="shared" si="91"/>
        <v>61P65442705336113100</v>
      </c>
      <c r="AH318" t="str">
        <f t="shared" si="92"/>
        <v>P654427(KÖT)05336113100</v>
      </c>
      <c r="AI318" t="str">
        <f t="shared" si="93"/>
        <v>61P65442705313100</v>
      </c>
      <c r="AJ318" t="str">
        <f t="shared" si="94"/>
        <v>P654427053(KÖT)13100</v>
      </c>
    </row>
    <row r="319" spans="1:36" x14ac:dyDescent="0.25">
      <c r="A319" s="325" t="str">
        <f>CONCATENATE("P",'906MP'!M19)</f>
        <v>P654427</v>
      </c>
      <c r="B319">
        <f>'906MP'!H19</f>
        <v>61</v>
      </c>
      <c r="C319" t="str">
        <f>'906MP'!J19</f>
        <v>2025-01-01</v>
      </c>
      <c r="D319" t="str">
        <f>'906MP'!P19</f>
        <v>eredeti ei</v>
      </c>
      <c r="E319">
        <f>'906MP'!X19</f>
        <v>2559200</v>
      </c>
      <c r="F319" t="str">
        <f t="shared" si="86"/>
        <v>05</v>
      </c>
      <c r="G319" t="str">
        <f t="shared" si="87"/>
        <v>053</v>
      </c>
      <c r="H319" t="str">
        <f>'906MP'!Y19</f>
        <v>053371</v>
      </c>
      <c r="I319" t="str">
        <f>'906MP'!AK19</f>
        <v>2025/EEI-654427/1</v>
      </c>
      <c r="J319" t="str">
        <f>'906MP'!T19</f>
        <v>(KÖT)</v>
      </c>
      <c r="K319" t="str">
        <f>'906MP'!AJ19</f>
        <v/>
      </c>
      <c r="L319" t="str">
        <f>'906MP'!U19</f>
        <v>13100</v>
      </c>
      <c r="M319" s="322" t="str">
        <f>IFERROR(VLOOKUP(A319,PAR!$D$3:$E$53,2,FALSE),"nincs szervezet")</f>
        <v>Nagymarosi Napköziotthonos Óvoda és Bölcsőde</v>
      </c>
      <c r="N319" s="322" t="str">
        <f>VLOOKUP(F319,PAR!$R$3:$S$5,2,FALSE)</f>
        <v>2 - Kiadás</v>
      </c>
      <c r="O319" t="str">
        <f>IFERROR(VLOOKUP(J319,PAR!$O$3:$P$5,2,FALSE),"nincs feladat")</f>
        <v>1 - (KÖT)</v>
      </c>
      <c r="P319" t="str">
        <f>IFERROR(VLOOKUP(G319,PAR!$J$2:$M$19,4),"nincs rovat")</f>
        <v>K3 - Dologi kiadások</v>
      </c>
      <c r="Q319" t="str">
        <f>IF(H319&gt;0,VLOOKUP(H319,PAR!$AA$3:$AC$187,3,FALSE),"nincs főkönyvi számla")</f>
        <v>053371 -  Egyéb szolgáltatások előirányzata</v>
      </c>
      <c r="R319" t="str">
        <f>IFERROR(VLOOKUP(K319,PAR!$V$3:$X$438,3,FALSE),"000000 - Nincs COFOG")</f>
        <v>000000 - Nincs COFOG</v>
      </c>
      <c r="S319">
        <f t="shared" si="88"/>
        <v>2559200</v>
      </c>
      <c r="T319">
        <f t="shared" si="89"/>
        <v>2559200</v>
      </c>
      <c r="U319" t="str">
        <f>IF('906MP'!J19&gt;0,CONCATENATE('906MP'!J19," - ",'906MP'!P19,", ",'906MP'!E19),"nincs megjegyzés")</f>
        <v>2025-01-01 - eredeti ei, 2025/EEI-654427/1</v>
      </c>
      <c r="V319" t="str">
        <f t="shared" si="76"/>
        <v>61P654427053</v>
      </c>
      <c r="W319" t="str">
        <f t="shared" si="77"/>
        <v>61P65442705</v>
      </c>
      <c r="X319" t="str">
        <f t="shared" si="78"/>
        <v>P654427053371</v>
      </c>
      <c r="Y319" t="str">
        <f t="shared" si="79"/>
        <v>61053371</v>
      </c>
      <c r="Z319" t="str">
        <f t="shared" si="90"/>
        <v>(KÖT)053371</v>
      </c>
      <c r="AA319" t="str">
        <f t="shared" si="80"/>
        <v>61053</v>
      </c>
      <c r="AB319" t="str">
        <f t="shared" si="81"/>
        <v>(KÖT)053</v>
      </c>
      <c r="AC319" t="str">
        <f t="shared" si="82"/>
        <v>61P654427053371</v>
      </c>
      <c r="AD319" t="str">
        <f t="shared" si="83"/>
        <v>P654427053371(KÖT)</v>
      </c>
      <c r="AE319" t="str">
        <f t="shared" si="84"/>
        <v>61P654427053</v>
      </c>
      <c r="AF319" t="str">
        <f t="shared" si="85"/>
        <v>P654427053(KÖT)</v>
      </c>
      <c r="AG319" t="str">
        <f t="shared" si="91"/>
        <v>61P65442705337113100</v>
      </c>
      <c r="AH319" t="str">
        <f t="shared" si="92"/>
        <v>P654427(KÖT)05337113100</v>
      </c>
      <c r="AI319" t="str">
        <f t="shared" si="93"/>
        <v>61P65442705313100</v>
      </c>
      <c r="AJ319" t="str">
        <f t="shared" si="94"/>
        <v>P654427053(KÖT)13100</v>
      </c>
    </row>
    <row r="320" spans="1:36" x14ac:dyDescent="0.25">
      <c r="A320" s="325" t="str">
        <f>CONCATENATE("P",'906MP'!M20)</f>
        <v>P654427</v>
      </c>
      <c r="B320">
        <f>'906MP'!H20</f>
        <v>61</v>
      </c>
      <c r="C320" t="str">
        <f>'906MP'!J20</f>
        <v>2025-01-01</v>
      </c>
      <c r="D320" t="str">
        <f>'906MP'!P20</f>
        <v>eredeti ei</v>
      </c>
      <c r="E320">
        <f>'906MP'!X20</f>
        <v>150000</v>
      </c>
      <c r="F320" t="str">
        <f t="shared" si="86"/>
        <v>05</v>
      </c>
      <c r="G320" t="str">
        <f t="shared" si="87"/>
        <v>053</v>
      </c>
      <c r="H320" t="str">
        <f>'906MP'!Y20</f>
        <v>053411</v>
      </c>
      <c r="I320" t="str">
        <f>'906MP'!AK20</f>
        <v>2025/EEI-654427/1</v>
      </c>
      <c r="J320" t="str">
        <f>'906MP'!T20</f>
        <v>(KÖT)</v>
      </c>
      <c r="K320" t="str">
        <f>'906MP'!AJ20</f>
        <v/>
      </c>
      <c r="L320" t="str">
        <f>'906MP'!U20</f>
        <v>13100</v>
      </c>
      <c r="M320" s="322" t="str">
        <f>IFERROR(VLOOKUP(A320,PAR!$D$3:$E$53,2,FALSE),"nincs szervezet")</f>
        <v>Nagymarosi Napköziotthonos Óvoda és Bölcsőde</v>
      </c>
      <c r="N320" s="322" t="str">
        <f>VLOOKUP(F320,PAR!$R$3:$S$5,2,FALSE)</f>
        <v>2 - Kiadás</v>
      </c>
      <c r="O320" t="str">
        <f>IFERROR(VLOOKUP(J320,PAR!$O$3:$P$5,2,FALSE),"nincs feladat")</f>
        <v>1 - (KÖT)</v>
      </c>
      <c r="P320" t="str">
        <f>IFERROR(VLOOKUP(G320,PAR!$J$2:$M$19,4),"nincs rovat")</f>
        <v>K3 - Dologi kiadások</v>
      </c>
      <c r="Q320" t="str">
        <f>IF(H320&gt;0,VLOOKUP(H320,PAR!$AA$3:$AC$187,3,FALSE),"nincs főkönyvi számla")</f>
        <v>053411 -  Kiküldetések kiadásai előirányzata</v>
      </c>
      <c r="R320" t="str">
        <f>IFERROR(VLOOKUP(K320,PAR!$V$3:$X$438,3,FALSE),"000000 - Nincs COFOG")</f>
        <v>000000 - Nincs COFOG</v>
      </c>
      <c r="S320">
        <f t="shared" si="88"/>
        <v>150000</v>
      </c>
      <c r="T320">
        <f t="shared" si="89"/>
        <v>150000</v>
      </c>
      <c r="U320" t="str">
        <f>IF('906MP'!J20&gt;0,CONCATENATE('906MP'!J20," - ",'906MP'!P20,", ",'906MP'!E20),"nincs megjegyzés")</f>
        <v>2025-01-01 - eredeti ei, 2025/EEI-654427/1</v>
      </c>
      <c r="V320" t="str">
        <f t="shared" si="76"/>
        <v>61P654427053</v>
      </c>
      <c r="W320" t="str">
        <f t="shared" si="77"/>
        <v>61P65442705</v>
      </c>
      <c r="X320" t="str">
        <f t="shared" si="78"/>
        <v>P654427053411</v>
      </c>
      <c r="Y320" t="str">
        <f t="shared" si="79"/>
        <v>61053411</v>
      </c>
      <c r="Z320" t="str">
        <f t="shared" si="90"/>
        <v>(KÖT)053411</v>
      </c>
      <c r="AA320" t="str">
        <f t="shared" si="80"/>
        <v>61053</v>
      </c>
      <c r="AB320" t="str">
        <f t="shared" si="81"/>
        <v>(KÖT)053</v>
      </c>
      <c r="AC320" t="str">
        <f t="shared" si="82"/>
        <v>61P654427053411</v>
      </c>
      <c r="AD320" t="str">
        <f t="shared" si="83"/>
        <v>P654427053411(KÖT)</v>
      </c>
      <c r="AE320" t="str">
        <f t="shared" si="84"/>
        <v>61P654427053</v>
      </c>
      <c r="AF320" t="str">
        <f t="shared" si="85"/>
        <v>P654427053(KÖT)</v>
      </c>
      <c r="AG320" t="str">
        <f t="shared" si="91"/>
        <v>61P65442705341113100</v>
      </c>
      <c r="AH320" t="str">
        <f t="shared" si="92"/>
        <v>P654427(KÖT)05341113100</v>
      </c>
      <c r="AI320" t="str">
        <f t="shared" si="93"/>
        <v>61P65442705313100</v>
      </c>
      <c r="AJ320" t="str">
        <f t="shared" si="94"/>
        <v>P654427053(KÖT)13100</v>
      </c>
    </row>
    <row r="321" spans="1:36" x14ac:dyDescent="0.25">
      <c r="A321" s="325" t="str">
        <f>CONCATENATE("P",'906MP'!M21)</f>
        <v>P654427</v>
      </c>
      <c r="B321">
        <f>'906MP'!H21</f>
        <v>61</v>
      </c>
      <c r="C321" t="str">
        <f>'906MP'!J21</f>
        <v>2025-01-01</v>
      </c>
      <c r="D321" t="str">
        <f>'906MP'!P21</f>
        <v>eredeti ei</v>
      </c>
      <c r="E321">
        <f>'906MP'!X21</f>
        <v>3763584</v>
      </c>
      <c r="F321" t="str">
        <f t="shared" si="86"/>
        <v>05</v>
      </c>
      <c r="G321" t="str">
        <f t="shared" si="87"/>
        <v>053</v>
      </c>
      <c r="H321" t="str">
        <f>'906MP'!Y21</f>
        <v>053511</v>
      </c>
      <c r="I321" t="str">
        <f>'906MP'!AK21</f>
        <v>2025/EEI-654427/1</v>
      </c>
      <c r="J321" t="str">
        <f>'906MP'!T21</f>
        <v>(KÖT)</v>
      </c>
      <c r="K321" t="str">
        <f>'906MP'!AJ21</f>
        <v/>
      </c>
      <c r="L321" t="str">
        <f>'906MP'!U21</f>
        <v>13100</v>
      </c>
      <c r="M321" s="322" t="str">
        <f>IFERROR(VLOOKUP(A321,PAR!$D$3:$E$53,2,FALSE),"nincs szervezet")</f>
        <v>Nagymarosi Napköziotthonos Óvoda és Bölcsőde</v>
      </c>
      <c r="N321" s="322" t="str">
        <f>VLOOKUP(F321,PAR!$R$3:$S$5,2,FALSE)</f>
        <v>2 - Kiadás</v>
      </c>
      <c r="O321" t="str">
        <f>IFERROR(VLOOKUP(J321,PAR!$O$3:$P$5,2,FALSE),"nincs feladat")</f>
        <v>1 - (KÖT)</v>
      </c>
      <c r="P321" t="str">
        <f>IFERROR(VLOOKUP(G321,PAR!$J$2:$M$19,4),"nincs rovat")</f>
        <v>K3 - Dologi kiadások</v>
      </c>
      <c r="Q321" t="str">
        <f>IF(H321&gt;0,VLOOKUP(H321,PAR!$AA$3:$AC$187,3,FALSE),"nincs főkönyvi számla")</f>
        <v>053511 -  Működési célú előzetesen felszámított általános forgalmi adó előirányzata</v>
      </c>
      <c r="R321" t="str">
        <f>IFERROR(VLOOKUP(K321,PAR!$V$3:$X$438,3,FALSE),"000000 - Nincs COFOG")</f>
        <v>000000 - Nincs COFOG</v>
      </c>
      <c r="S321">
        <f t="shared" si="88"/>
        <v>3763584</v>
      </c>
      <c r="T321">
        <f t="shared" si="89"/>
        <v>3763584</v>
      </c>
      <c r="U321" t="str">
        <f>IF('906MP'!J21&gt;0,CONCATENATE('906MP'!J21," - ",'906MP'!P21,", ",'906MP'!E21),"nincs megjegyzés")</f>
        <v>2025-01-01 - eredeti ei, 2025/EEI-654427/1</v>
      </c>
      <c r="V321" t="str">
        <f t="shared" si="76"/>
        <v>61P654427053</v>
      </c>
      <c r="W321" t="str">
        <f t="shared" si="77"/>
        <v>61P65442705</v>
      </c>
      <c r="X321" t="str">
        <f t="shared" si="78"/>
        <v>P654427053511</v>
      </c>
      <c r="Y321" t="str">
        <f t="shared" si="79"/>
        <v>61053511</v>
      </c>
      <c r="Z321" t="str">
        <f t="shared" si="90"/>
        <v>(KÖT)053511</v>
      </c>
      <c r="AA321" t="str">
        <f t="shared" si="80"/>
        <v>61053</v>
      </c>
      <c r="AB321" t="str">
        <f t="shared" si="81"/>
        <v>(KÖT)053</v>
      </c>
      <c r="AC321" t="str">
        <f t="shared" si="82"/>
        <v>61P654427053511</v>
      </c>
      <c r="AD321" t="str">
        <f t="shared" si="83"/>
        <v>P654427053511(KÖT)</v>
      </c>
      <c r="AE321" t="str">
        <f t="shared" si="84"/>
        <v>61P654427053</v>
      </c>
      <c r="AF321" t="str">
        <f t="shared" si="85"/>
        <v>P654427053(KÖT)</v>
      </c>
      <c r="AG321" t="str">
        <f t="shared" si="91"/>
        <v>61P65442705351113100</v>
      </c>
      <c r="AH321" t="str">
        <f t="shared" si="92"/>
        <v>P654427(KÖT)05351113100</v>
      </c>
      <c r="AI321" t="str">
        <f t="shared" si="93"/>
        <v>61P65442705313100</v>
      </c>
      <c r="AJ321" t="str">
        <f t="shared" si="94"/>
        <v>P654427053(KÖT)13100</v>
      </c>
    </row>
    <row r="322" spans="1:36" x14ac:dyDescent="0.25">
      <c r="A322" s="325" t="str">
        <f>CONCATENATE("P",'906MP'!M22)</f>
        <v>P654427</v>
      </c>
      <c r="B322">
        <f>'906MP'!H22</f>
        <v>61</v>
      </c>
      <c r="C322" t="str">
        <f>'906MP'!J22</f>
        <v>2025-01-01</v>
      </c>
      <c r="D322" t="str">
        <f>'906MP'!P22</f>
        <v>eredeti ei</v>
      </c>
      <c r="E322">
        <f>'906MP'!X22</f>
        <v>100000</v>
      </c>
      <c r="F322" t="str">
        <f t="shared" si="86"/>
        <v>05</v>
      </c>
      <c r="G322" t="str">
        <f t="shared" si="87"/>
        <v>053</v>
      </c>
      <c r="H322" t="str">
        <f>'906MP'!Y22</f>
        <v>053551</v>
      </c>
      <c r="I322" t="str">
        <f>'906MP'!AK22</f>
        <v>2025/EEI-654427/1</v>
      </c>
      <c r="J322" t="str">
        <f>'906MP'!T22</f>
        <v>(KÖT)</v>
      </c>
      <c r="K322" t="str">
        <f>'906MP'!AJ22</f>
        <v/>
      </c>
      <c r="L322" t="str">
        <f>'906MP'!U22</f>
        <v>13100</v>
      </c>
      <c r="M322" s="322" t="str">
        <f>IFERROR(VLOOKUP(A322,PAR!$D$3:$E$53,2,FALSE),"nincs szervezet")</f>
        <v>Nagymarosi Napköziotthonos Óvoda és Bölcsőde</v>
      </c>
      <c r="N322" s="322" t="str">
        <f>VLOOKUP(F322,PAR!$R$3:$S$5,2,FALSE)</f>
        <v>2 - Kiadás</v>
      </c>
      <c r="O322" t="str">
        <f>IFERROR(VLOOKUP(J322,PAR!$O$3:$P$5,2,FALSE),"nincs feladat")</f>
        <v>1 - (KÖT)</v>
      </c>
      <c r="P322" t="str">
        <f>IFERROR(VLOOKUP(G322,PAR!$J$2:$M$19,4),"nincs rovat")</f>
        <v>K3 - Dologi kiadások</v>
      </c>
      <c r="Q322" t="str">
        <f>IF(H322&gt;0,VLOOKUP(H322,PAR!$AA$3:$AC$187,3,FALSE),"nincs főkönyvi számla")</f>
        <v>053551 -  Egyéb dologi kiadások előirányzata</v>
      </c>
      <c r="R322" t="str">
        <f>IFERROR(VLOOKUP(K322,PAR!$V$3:$X$438,3,FALSE),"000000 - Nincs COFOG")</f>
        <v>000000 - Nincs COFOG</v>
      </c>
      <c r="S322">
        <f t="shared" si="88"/>
        <v>100000</v>
      </c>
      <c r="T322">
        <f t="shared" si="89"/>
        <v>100000</v>
      </c>
      <c r="U322" t="str">
        <f>IF('906MP'!J22&gt;0,CONCATENATE('906MP'!J22," - ",'906MP'!P22,", ",'906MP'!E22),"nincs megjegyzés")</f>
        <v>2025-01-01 - eredeti ei, 2025/EEI-654427/1</v>
      </c>
      <c r="V322" t="str">
        <f t="shared" ref="V322:V385" si="95">CONCATENATE(B322,A322,G322)</f>
        <v>61P654427053</v>
      </c>
      <c r="W322" t="str">
        <f t="shared" ref="W322:W385" si="96">CONCATENATE(B322,A322,F322)</f>
        <v>61P65442705</v>
      </c>
      <c r="X322" t="str">
        <f t="shared" ref="X322:X385" si="97">CONCATENATE(A322,H322)</f>
        <v>P654427053551</v>
      </c>
      <c r="Y322" t="str">
        <f t="shared" ref="Y322:Y385" si="98">CONCATENATE(B322,H322)</f>
        <v>61053551</v>
      </c>
      <c r="Z322" t="str">
        <f t="shared" si="90"/>
        <v>(KÖT)053551</v>
      </c>
      <c r="AA322" t="str">
        <f t="shared" ref="AA322:AA385" si="99">CONCATENATE(B322,G322)</f>
        <v>61053</v>
      </c>
      <c r="AB322" t="str">
        <f t="shared" ref="AB322:AB385" si="100">CONCATENATE(J322,G322)</f>
        <v>(KÖT)053</v>
      </c>
      <c r="AC322" t="str">
        <f t="shared" ref="AC322:AC385" si="101">CONCATENATE(B322,A322,H322)</f>
        <v>61P654427053551</v>
      </c>
      <c r="AD322" t="str">
        <f t="shared" ref="AD322:AD385" si="102">CONCATENATE(A322,H322,J322)</f>
        <v>P654427053551(KÖT)</v>
      </c>
      <c r="AE322" t="str">
        <f t="shared" ref="AE322:AE385" si="103">CONCATENATE(B322,A322,G322)</f>
        <v>61P654427053</v>
      </c>
      <c r="AF322" t="str">
        <f t="shared" ref="AF322:AF385" si="104">CONCATENATE(A322,G322,J322)</f>
        <v>P654427053(KÖT)</v>
      </c>
      <c r="AG322" t="str">
        <f t="shared" si="91"/>
        <v>61P65442705355113100</v>
      </c>
      <c r="AH322" t="str">
        <f t="shared" si="92"/>
        <v>P654427(KÖT)05355113100</v>
      </c>
      <c r="AI322" t="str">
        <f t="shared" si="93"/>
        <v>61P65442705313100</v>
      </c>
      <c r="AJ322" t="str">
        <f t="shared" si="94"/>
        <v>P654427053(KÖT)13100</v>
      </c>
    </row>
    <row r="323" spans="1:36" x14ac:dyDescent="0.25">
      <c r="A323" s="325" t="str">
        <f>CONCATENATE("P",'906MP'!M23)</f>
        <v>P654427</v>
      </c>
      <c r="B323">
        <f>'906MP'!H23</f>
        <v>61</v>
      </c>
      <c r="C323" t="str">
        <f>'906MP'!J23</f>
        <v>2025-01-01</v>
      </c>
      <c r="D323" t="str">
        <f>'906MP'!P23</f>
        <v>eredeti ei</v>
      </c>
      <c r="E323">
        <f>'906MP'!X23</f>
        <v>-1583668</v>
      </c>
      <c r="F323" t="str">
        <f t="shared" ref="F323:F386" si="105">LEFT(G323,2)</f>
        <v>09</v>
      </c>
      <c r="G323" t="str">
        <f t="shared" ref="G323:G386" si="106">LEFT(H323,3)</f>
        <v>098</v>
      </c>
      <c r="H323" t="str">
        <f>'906MP'!Y23</f>
        <v>0981311</v>
      </c>
      <c r="I323" t="str">
        <f>'906MP'!AK23</f>
        <v>2025/EEI-654427/1</v>
      </c>
      <c r="J323" t="str">
        <f>'906MP'!T23</f>
        <v>(KÖT)</v>
      </c>
      <c r="K323" t="str">
        <f>'906MP'!AJ23</f>
        <v/>
      </c>
      <c r="L323" t="str">
        <f>'906MP'!U23</f>
        <v>93100</v>
      </c>
      <c r="M323" s="322" t="str">
        <f>IFERROR(VLOOKUP(A323,PAR!$D$3:$E$53,2,FALSE),"nincs szervezet")</f>
        <v>Nagymarosi Napköziotthonos Óvoda és Bölcsőde</v>
      </c>
      <c r="N323" s="322" t="str">
        <f>VLOOKUP(F323,PAR!$R$3:$S$5,2,FALSE)</f>
        <v>1 - Bevétel</v>
      </c>
      <c r="O323" t="str">
        <f>IFERROR(VLOOKUP(J323,PAR!$O$3:$P$5,2,FALSE),"nincs feladat")</f>
        <v>1 - (KÖT)</v>
      </c>
      <c r="P323" t="str">
        <f>IFERROR(VLOOKUP(G323,PAR!$J$2:$M$19,4),"nincs rovat")</f>
        <v>B8 - Finanszírozási bevételek</v>
      </c>
      <c r="Q323" t="str">
        <f>IF(H323&gt;0,VLOOKUP(H323,PAR!$AA$3:$AC$187,3,FALSE),"nincs főkönyvi számla")</f>
        <v>0981311 -  Előző év költségvetési maradványának igénybevétele előirányzata</v>
      </c>
      <c r="R323" t="str">
        <f>IFERROR(VLOOKUP(K323,PAR!$V$3:$X$438,3,FALSE),"000000 - Nincs COFOG")</f>
        <v>000000 - Nincs COFOG</v>
      </c>
      <c r="S323">
        <f t="shared" ref="S323:S386" si="107">E323</f>
        <v>-1583668</v>
      </c>
      <c r="T323">
        <f t="shared" ref="T323:T386" si="108">IF(F323="09",E323*-1,E323)</f>
        <v>1583668</v>
      </c>
      <c r="U323" t="str">
        <f>IF('906MP'!J23&gt;0,CONCATENATE('906MP'!J23," - ",'906MP'!P23,", ",'906MP'!E23),"nincs megjegyzés")</f>
        <v>2025-01-01 - eredeti ei, 2025/EEI-654427/1</v>
      </c>
      <c r="V323" t="str">
        <f t="shared" si="95"/>
        <v>61P654427098</v>
      </c>
      <c r="W323" t="str">
        <f t="shared" si="96"/>
        <v>61P65442709</v>
      </c>
      <c r="X323" t="str">
        <f t="shared" si="97"/>
        <v>P6544270981311</v>
      </c>
      <c r="Y323" t="str">
        <f t="shared" si="98"/>
        <v>610981311</v>
      </c>
      <c r="Z323" t="str">
        <f t="shared" ref="Z323:Z386" si="109">CONCATENATE(J323,H323)</f>
        <v>(KÖT)0981311</v>
      </c>
      <c r="AA323" t="str">
        <f t="shared" si="99"/>
        <v>61098</v>
      </c>
      <c r="AB323" t="str">
        <f t="shared" si="100"/>
        <v>(KÖT)098</v>
      </c>
      <c r="AC323" t="str">
        <f t="shared" si="101"/>
        <v>61P6544270981311</v>
      </c>
      <c r="AD323" t="str">
        <f t="shared" si="102"/>
        <v>P6544270981311(KÖT)</v>
      </c>
      <c r="AE323" t="str">
        <f t="shared" si="103"/>
        <v>61P654427098</v>
      </c>
      <c r="AF323" t="str">
        <f t="shared" si="104"/>
        <v>P654427098(KÖT)</v>
      </c>
      <c r="AG323" t="str">
        <f t="shared" ref="AG323:AG386" si="110">CONCATENATE(B323,A323,H323,L323)</f>
        <v>61P654427098131193100</v>
      </c>
      <c r="AH323" t="str">
        <f t="shared" ref="AH323:AH386" si="111">CONCATENATE(A323,J323,H323,L323)</f>
        <v>P654427(KÖT)098131193100</v>
      </c>
      <c r="AI323" t="str">
        <f t="shared" ref="AI323:AI386" si="112">CONCATENATE(B323,A323,G323,L323)</f>
        <v>61P65442709893100</v>
      </c>
      <c r="AJ323" t="str">
        <f t="shared" ref="AJ323:AJ386" si="113">CONCATENATE(A323,G323,J323,L323)</f>
        <v>P654427098(KÖT)93100</v>
      </c>
    </row>
    <row r="324" spans="1:36" x14ac:dyDescent="0.25">
      <c r="A324" s="325" t="str">
        <f>CONCATENATE("P",'906MP'!M24)</f>
        <v>P654427</v>
      </c>
      <c r="B324">
        <f>'906MP'!H24</f>
        <v>61</v>
      </c>
      <c r="C324" t="str">
        <f>'906MP'!J24</f>
        <v>2025-01-01</v>
      </c>
      <c r="D324" t="str">
        <f>'906MP'!P24</f>
        <v>eredeti ei</v>
      </c>
      <c r="E324">
        <f>'906MP'!X24</f>
        <v>-312855343</v>
      </c>
      <c r="F324" t="str">
        <f t="shared" si="105"/>
        <v>09</v>
      </c>
      <c r="G324" t="str">
        <f t="shared" si="106"/>
        <v>098</v>
      </c>
      <c r="H324" t="str">
        <f>'906MP'!Y24</f>
        <v>098161</v>
      </c>
      <c r="I324" t="str">
        <f>'906MP'!AK24</f>
        <v>2025/EEI-654427/1</v>
      </c>
      <c r="J324" t="str">
        <f>'906MP'!T24</f>
        <v>(KÖT)</v>
      </c>
      <c r="K324" t="str">
        <f>'906MP'!AJ24</f>
        <v/>
      </c>
      <c r="L324" t="str">
        <f>'906MP'!U24</f>
        <v>93100</v>
      </c>
      <c r="M324" s="322" t="str">
        <f>IFERROR(VLOOKUP(A324,PAR!$D$3:$E$53,2,FALSE),"nincs szervezet")</f>
        <v>Nagymarosi Napköziotthonos Óvoda és Bölcsőde</v>
      </c>
      <c r="N324" s="322" t="str">
        <f>VLOOKUP(F324,PAR!$R$3:$S$5,2,FALSE)</f>
        <v>1 - Bevétel</v>
      </c>
      <c r="O324" t="str">
        <f>IFERROR(VLOOKUP(J324,PAR!$O$3:$P$5,2,FALSE),"nincs feladat")</f>
        <v>1 - (KÖT)</v>
      </c>
      <c r="P324" t="str">
        <f>IFERROR(VLOOKUP(G324,PAR!$J$2:$M$19,4),"nincs rovat")</f>
        <v>B8 - Finanszírozási bevételek</v>
      </c>
      <c r="Q324" t="str">
        <f>IF(H324&gt;0,VLOOKUP(H324,PAR!$AA$3:$AC$187,3,FALSE),"nincs főkönyvi számla")</f>
        <v>098161 -  Központi, irányító szervi támogatás előirányzata</v>
      </c>
      <c r="R324" t="str">
        <f>IFERROR(VLOOKUP(K324,PAR!$V$3:$X$438,3,FALSE),"000000 - Nincs COFOG")</f>
        <v>000000 - Nincs COFOG</v>
      </c>
      <c r="S324">
        <f t="shared" si="107"/>
        <v>-312855343</v>
      </c>
      <c r="T324">
        <f t="shared" si="108"/>
        <v>312855343</v>
      </c>
      <c r="U324" t="str">
        <f>IF('906MP'!J24&gt;0,CONCATENATE('906MP'!J24," - ",'906MP'!P24,", ",'906MP'!E24),"nincs megjegyzés")</f>
        <v>2025-01-01 - eredeti ei, 2025/EEI-654427/1</v>
      </c>
      <c r="V324" t="str">
        <f t="shared" si="95"/>
        <v>61P654427098</v>
      </c>
      <c r="W324" t="str">
        <f t="shared" si="96"/>
        <v>61P65442709</v>
      </c>
      <c r="X324" t="str">
        <f t="shared" si="97"/>
        <v>P654427098161</v>
      </c>
      <c r="Y324" t="str">
        <f t="shared" si="98"/>
        <v>61098161</v>
      </c>
      <c r="Z324" t="str">
        <f t="shared" si="109"/>
        <v>(KÖT)098161</v>
      </c>
      <c r="AA324" t="str">
        <f t="shared" si="99"/>
        <v>61098</v>
      </c>
      <c r="AB324" t="str">
        <f t="shared" si="100"/>
        <v>(KÖT)098</v>
      </c>
      <c r="AC324" t="str">
        <f t="shared" si="101"/>
        <v>61P654427098161</v>
      </c>
      <c r="AD324" t="str">
        <f t="shared" si="102"/>
        <v>P654427098161(KÖT)</v>
      </c>
      <c r="AE324" t="str">
        <f t="shared" si="103"/>
        <v>61P654427098</v>
      </c>
      <c r="AF324" t="str">
        <f t="shared" si="104"/>
        <v>P654427098(KÖT)</v>
      </c>
      <c r="AG324" t="str">
        <f t="shared" si="110"/>
        <v>61P65442709816193100</v>
      </c>
      <c r="AH324" t="str">
        <f t="shared" si="111"/>
        <v>P654427(KÖT)09816193100</v>
      </c>
      <c r="AI324" t="str">
        <f t="shared" si="112"/>
        <v>61P65442709893100</v>
      </c>
      <c r="AJ324" t="str">
        <f t="shared" si="113"/>
        <v>P654427098(KÖT)93100</v>
      </c>
    </row>
    <row r="325" spans="1:36" x14ac:dyDescent="0.25">
      <c r="A325" s="325" t="str">
        <f>CONCATENATE("P",'906MP'!M25)</f>
        <v>P654427</v>
      </c>
      <c r="B325">
        <f>'906MP'!H25</f>
        <v>61</v>
      </c>
      <c r="C325" t="str">
        <f>'906MP'!J25</f>
        <v>2025-01-01</v>
      </c>
      <c r="D325" t="str">
        <f>'906MP'!P25</f>
        <v>eredeti ei</v>
      </c>
      <c r="E325">
        <f>'906MP'!X25</f>
        <v>4170000</v>
      </c>
      <c r="F325" t="str">
        <f t="shared" si="105"/>
        <v>05</v>
      </c>
      <c r="G325" t="str">
        <f t="shared" si="106"/>
        <v>051</v>
      </c>
      <c r="H325" t="str">
        <f>'906MP'!Y25</f>
        <v>0511071</v>
      </c>
      <c r="I325" t="str">
        <f>'906MP'!AK25</f>
        <v>2025/EEI-654427/1</v>
      </c>
      <c r="J325" t="str">
        <f>'906MP'!T25</f>
        <v>(KÖT)</v>
      </c>
      <c r="K325" t="str">
        <f>'906MP'!AJ25</f>
        <v/>
      </c>
      <c r="L325" t="str">
        <f>'906MP'!U25</f>
        <v>13100</v>
      </c>
      <c r="M325" s="322" t="str">
        <f>IFERROR(VLOOKUP(A325,PAR!$D$3:$E$53,2,FALSE),"nincs szervezet")</f>
        <v>Nagymarosi Napköziotthonos Óvoda és Bölcsőde</v>
      </c>
      <c r="N325" s="322" t="str">
        <f>VLOOKUP(F325,PAR!$R$3:$S$5,2,FALSE)</f>
        <v>2 - Kiadás</v>
      </c>
      <c r="O325" t="str">
        <f>IFERROR(VLOOKUP(J325,PAR!$O$3:$P$5,2,FALSE),"nincs feladat")</f>
        <v>1 - (KÖT)</v>
      </c>
      <c r="P325" t="str">
        <f>IFERROR(VLOOKUP(G325,PAR!$J$2:$M$19,4),"nincs rovat")</f>
        <v>K1 - Személyi juttatások</v>
      </c>
      <c r="Q325" t="str">
        <f>IF(H325&gt;0,VLOOKUP(H325,PAR!$AA$3:$AC$187,3,FALSE),"nincs főkönyvi számla")</f>
        <v>0511071 -  Béren kívüli juttatások előirányzata</v>
      </c>
      <c r="R325" t="str">
        <f>IFERROR(VLOOKUP(K325,PAR!$V$3:$X$438,3,FALSE),"000000 - Nincs COFOG")</f>
        <v>000000 - Nincs COFOG</v>
      </c>
      <c r="S325">
        <f t="shared" si="107"/>
        <v>4170000</v>
      </c>
      <c r="T325">
        <f t="shared" si="108"/>
        <v>4170000</v>
      </c>
      <c r="U325" t="str">
        <f>IF('906MP'!J25&gt;0,CONCATENATE('906MP'!J25," - ",'906MP'!P25,", ",'906MP'!E25),"nincs megjegyzés")</f>
        <v>2025-01-01 - eredeti ei, 2025/EEI-654427/1</v>
      </c>
      <c r="V325" t="str">
        <f t="shared" si="95"/>
        <v>61P654427051</v>
      </c>
      <c r="W325" t="str">
        <f t="shared" si="96"/>
        <v>61P65442705</v>
      </c>
      <c r="X325" t="str">
        <f t="shared" si="97"/>
        <v>P6544270511071</v>
      </c>
      <c r="Y325" t="str">
        <f t="shared" si="98"/>
        <v>610511071</v>
      </c>
      <c r="Z325" t="str">
        <f t="shared" si="109"/>
        <v>(KÖT)0511071</v>
      </c>
      <c r="AA325" t="str">
        <f t="shared" si="99"/>
        <v>61051</v>
      </c>
      <c r="AB325" t="str">
        <f t="shared" si="100"/>
        <v>(KÖT)051</v>
      </c>
      <c r="AC325" t="str">
        <f t="shared" si="101"/>
        <v>61P6544270511071</v>
      </c>
      <c r="AD325" t="str">
        <f t="shared" si="102"/>
        <v>P6544270511071(KÖT)</v>
      </c>
      <c r="AE325" t="str">
        <f t="shared" si="103"/>
        <v>61P654427051</v>
      </c>
      <c r="AF325" t="str">
        <f t="shared" si="104"/>
        <v>P654427051(KÖT)</v>
      </c>
      <c r="AG325" t="str">
        <f t="shared" si="110"/>
        <v>61P654427051107113100</v>
      </c>
      <c r="AH325" t="str">
        <f t="shared" si="111"/>
        <v>P654427(KÖT)051107113100</v>
      </c>
      <c r="AI325" t="str">
        <f t="shared" si="112"/>
        <v>61P65442705113100</v>
      </c>
      <c r="AJ325" t="str">
        <f t="shared" si="113"/>
        <v>P654427051(KÖT)13100</v>
      </c>
    </row>
    <row r="326" spans="1:36" x14ac:dyDescent="0.25">
      <c r="A326" s="325" t="str">
        <f>CONCATENATE("P",'906MP'!M26)</f>
        <v>P654449</v>
      </c>
      <c r="B326">
        <f>'906MP'!H26</f>
        <v>61</v>
      </c>
      <c r="C326" t="str">
        <f>'906MP'!J26</f>
        <v>2025-01-01</v>
      </c>
      <c r="D326" t="str">
        <f>'906MP'!P26</f>
        <v>eredeti ei</v>
      </c>
      <c r="E326">
        <f>'906MP'!X26</f>
        <v>64708332</v>
      </c>
      <c r="F326" t="str">
        <f t="shared" si="105"/>
        <v>05</v>
      </c>
      <c r="G326" t="str">
        <f t="shared" si="106"/>
        <v>051</v>
      </c>
      <c r="H326" t="str">
        <f>'906MP'!Y26</f>
        <v>0511011</v>
      </c>
      <c r="I326" t="str">
        <f>'906MP'!AK26</f>
        <v>2025/EEI-654449/2</v>
      </c>
      <c r="J326" t="str">
        <f>'906MP'!T26</f>
        <v>(ÖNV)</v>
      </c>
      <c r="K326" t="str">
        <f>'906MP'!AJ26</f>
        <v/>
      </c>
      <c r="L326" t="str">
        <f>'906MP'!U26</f>
        <v>15100</v>
      </c>
      <c r="M326" s="322" t="str">
        <f>IFERROR(VLOOKUP(A326,PAR!$D$3:$E$53,2,FALSE),"nincs szervezet")</f>
        <v>Gondozási Központ</v>
      </c>
      <c r="N326" s="322" t="str">
        <f>VLOOKUP(F326,PAR!$R$3:$S$5,2,FALSE)</f>
        <v>2 - Kiadás</v>
      </c>
      <c r="O326" t="str">
        <f>IFERROR(VLOOKUP(J326,PAR!$O$3:$P$5,2,FALSE),"nincs feladat")</f>
        <v>2 - (ÖNV)</v>
      </c>
      <c r="P326" t="str">
        <f>IFERROR(VLOOKUP(G326,PAR!$J$2:$M$19,4),"nincs rovat")</f>
        <v>K1 - Személyi juttatások</v>
      </c>
      <c r="Q326" t="str">
        <f>IF(H326&gt;0,VLOOKUP(H326,PAR!$AA$3:$AC$187,3,FALSE),"nincs főkönyvi számla")</f>
        <v>0511011 -  Törvény szerinti illetmények, munkabérek előirányzata</v>
      </c>
      <c r="R326" t="str">
        <f>IFERROR(VLOOKUP(K326,PAR!$V$3:$X$438,3,FALSE),"000000 - Nincs COFOG")</f>
        <v>000000 - Nincs COFOG</v>
      </c>
      <c r="S326">
        <f t="shared" si="107"/>
        <v>64708332</v>
      </c>
      <c r="T326">
        <f t="shared" si="108"/>
        <v>64708332</v>
      </c>
      <c r="U326" t="str">
        <f>IF('906MP'!J26&gt;0,CONCATENATE('906MP'!J26," - ",'906MP'!P26,", ",'906MP'!E26),"nincs megjegyzés")</f>
        <v>2025-01-01 - eredeti ei, 2025/EEI-654449/2</v>
      </c>
      <c r="V326" t="str">
        <f t="shared" si="95"/>
        <v>61P654449051</v>
      </c>
      <c r="W326" t="str">
        <f t="shared" si="96"/>
        <v>61P65444905</v>
      </c>
      <c r="X326" t="str">
        <f t="shared" si="97"/>
        <v>P6544490511011</v>
      </c>
      <c r="Y326" t="str">
        <f t="shared" si="98"/>
        <v>610511011</v>
      </c>
      <c r="Z326" t="str">
        <f t="shared" si="109"/>
        <v>(ÖNV)0511011</v>
      </c>
      <c r="AA326" t="str">
        <f t="shared" si="99"/>
        <v>61051</v>
      </c>
      <c r="AB326" t="str">
        <f t="shared" si="100"/>
        <v>(ÖNV)051</v>
      </c>
      <c r="AC326" t="str">
        <f t="shared" si="101"/>
        <v>61P6544490511011</v>
      </c>
      <c r="AD326" t="str">
        <f t="shared" si="102"/>
        <v>P6544490511011(ÖNV)</v>
      </c>
      <c r="AE326" t="str">
        <f t="shared" si="103"/>
        <v>61P654449051</v>
      </c>
      <c r="AF326" t="str">
        <f t="shared" si="104"/>
        <v>P654449051(ÖNV)</v>
      </c>
      <c r="AG326" t="str">
        <f t="shared" si="110"/>
        <v>61P654449051101115100</v>
      </c>
      <c r="AH326" t="str">
        <f t="shared" si="111"/>
        <v>P654449(ÖNV)051101115100</v>
      </c>
      <c r="AI326" t="str">
        <f t="shared" si="112"/>
        <v>61P65444905115100</v>
      </c>
      <c r="AJ326" t="str">
        <f t="shared" si="113"/>
        <v>P654449051(ÖNV)15100</v>
      </c>
    </row>
    <row r="327" spans="1:36" x14ac:dyDescent="0.25">
      <c r="A327" s="325" t="str">
        <f>CONCATENATE("P",'906MP'!M27)</f>
        <v>P731113</v>
      </c>
      <c r="B327">
        <f>'906MP'!H27</f>
        <v>60</v>
      </c>
      <c r="C327" t="str">
        <f>'906MP'!J27</f>
        <v>2025-01-01</v>
      </c>
      <c r="D327" t="str">
        <f>'906MP'!P27</f>
        <v>módosított ei</v>
      </c>
      <c r="E327">
        <f>'906MP'!X27</f>
        <v>1595</v>
      </c>
      <c r="F327" t="str">
        <f t="shared" si="105"/>
        <v>05</v>
      </c>
      <c r="G327" t="str">
        <f t="shared" si="106"/>
        <v>053</v>
      </c>
      <c r="H327" t="str">
        <f>'906MP'!Y27</f>
        <v>053531</v>
      </c>
      <c r="I327" t="str">
        <f>'906MP'!AK27</f>
        <v>2025/MEI-731113/19</v>
      </c>
      <c r="J327" t="str">
        <f>'906MP'!T27</f>
        <v>(KÖT)</v>
      </c>
      <c r="K327" t="str">
        <f>'906MP'!AJ27</f>
        <v/>
      </c>
      <c r="L327" t="str">
        <f>'906MP'!U27</f>
        <v>11100</v>
      </c>
      <c r="M327" s="322" t="str">
        <f>IFERROR(VLOOKUP(A327,PAR!$D$3:$E$53,2,FALSE),"nincs szervezet")</f>
        <v>Nagymaros Város Önkormányzata</v>
      </c>
      <c r="N327" s="322" t="str">
        <f>VLOOKUP(F327,PAR!$R$3:$S$5,2,FALSE)</f>
        <v>2 - Kiadás</v>
      </c>
      <c r="O327" t="str">
        <f>IFERROR(VLOOKUP(J327,PAR!$O$3:$P$5,2,FALSE),"nincs feladat")</f>
        <v>1 - (KÖT)</v>
      </c>
      <c r="P327" t="str">
        <f>IFERROR(VLOOKUP(G327,PAR!$J$2:$M$19,4),"nincs rovat")</f>
        <v>K3 - Dologi kiadások</v>
      </c>
      <c r="Q327" t="str">
        <f>IF(H327&gt;0,VLOOKUP(H327,PAR!$AA$3:$AC$187,3,FALSE),"nincs főkönyvi számla")</f>
        <v>053531 -  Kamatkiadások előirányzata</v>
      </c>
      <c r="R327" t="str">
        <f>IFERROR(VLOOKUP(K327,PAR!$V$3:$X$438,3,FALSE),"000000 - Nincs COFOG")</f>
        <v>000000 - Nincs COFOG</v>
      </c>
      <c r="S327">
        <f t="shared" si="107"/>
        <v>1595</v>
      </c>
      <c r="T327">
        <f t="shared" si="108"/>
        <v>1595</v>
      </c>
      <c r="U327" t="str">
        <f>IF('906MP'!J27&gt;0,CONCATENATE('906MP'!J27," - ",'906MP'!P27,", ",'906MP'!E27),"nincs megjegyzés")</f>
        <v>2025-01-01 - módosított ei, 2025/MEI-731113/19</v>
      </c>
      <c r="V327" t="str">
        <f t="shared" si="95"/>
        <v>60P731113053</v>
      </c>
      <c r="W327" t="str">
        <f t="shared" si="96"/>
        <v>60P73111305</v>
      </c>
      <c r="X327" t="str">
        <f t="shared" si="97"/>
        <v>P731113053531</v>
      </c>
      <c r="Y327" t="str">
        <f t="shared" si="98"/>
        <v>60053531</v>
      </c>
      <c r="Z327" t="str">
        <f t="shared" si="109"/>
        <v>(KÖT)053531</v>
      </c>
      <c r="AA327" t="str">
        <f t="shared" si="99"/>
        <v>60053</v>
      </c>
      <c r="AB327" t="str">
        <f t="shared" si="100"/>
        <v>(KÖT)053</v>
      </c>
      <c r="AC327" t="str">
        <f t="shared" si="101"/>
        <v>60P731113053531</v>
      </c>
      <c r="AD327" t="str">
        <f t="shared" si="102"/>
        <v>P731113053531(KÖT)</v>
      </c>
      <c r="AE327" t="str">
        <f t="shared" si="103"/>
        <v>60P731113053</v>
      </c>
      <c r="AF327" t="str">
        <f t="shared" si="104"/>
        <v>P731113053(KÖT)</v>
      </c>
      <c r="AG327" t="str">
        <f t="shared" si="110"/>
        <v>60P73111305353111100</v>
      </c>
      <c r="AH327" t="str">
        <f t="shared" si="111"/>
        <v>P731113(KÖT)05353111100</v>
      </c>
      <c r="AI327" t="str">
        <f t="shared" si="112"/>
        <v>60P73111305311100</v>
      </c>
      <c r="AJ327" t="str">
        <f t="shared" si="113"/>
        <v>P731113053(KÖT)11100</v>
      </c>
    </row>
    <row r="328" spans="1:36" x14ac:dyDescent="0.25">
      <c r="A328" s="325" t="str">
        <f>CONCATENATE("P",'906MP'!M28)</f>
        <v>P731113</v>
      </c>
      <c r="B328">
        <f>'906MP'!H28</f>
        <v>60</v>
      </c>
      <c r="C328" t="str">
        <f>'906MP'!J28</f>
        <v>2025-01-01</v>
      </c>
      <c r="D328" t="str">
        <f>'906MP'!P28</f>
        <v>módosított ei</v>
      </c>
      <c r="E328">
        <f>'906MP'!X28</f>
        <v>-1595</v>
      </c>
      <c r="F328" t="str">
        <f t="shared" si="105"/>
        <v>05</v>
      </c>
      <c r="G328" t="str">
        <f t="shared" si="106"/>
        <v>053</v>
      </c>
      <c r="H328" t="str">
        <f>'906MP'!Y28</f>
        <v>053551</v>
      </c>
      <c r="I328" t="str">
        <f>'906MP'!AK28</f>
        <v>2025/MEI-731113/19</v>
      </c>
      <c r="J328" t="str">
        <f>'906MP'!T28</f>
        <v>(KÖT)</v>
      </c>
      <c r="K328" t="str">
        <f>'906MP'!AJ28</f>
        <v/>
      </c>
      <c r="L328" t="str">
        <f>'906MP'!U28</f>
        <v>11100</v>
      </c>
      <c r="M328" s="322" t="str">
        <f>IFERROR(VLOOKUP(A328,PAR!$D$3:$E$53,2,FALSE),"nincs szervezet")</f>
        <v>Nagymaros Város Önkormányzata</v>
      </c>
      <c r="N328" s="322" t="str">
        <f>VLOOKUP(F328,PAR!$R$3:$S$5,2,FALSE)</f>
        <v>2 - Kiadás</v>
      </c>
      <c r="O328" t="str">
        <f>IFERROR(VLOOKUP(J328,PAR!$O$3:$P$5,2,FALSE),"nincs feladat")</f>
        <v>1 - (KÖT)</v>
      </c>
      <c r="P328" t="str">
        <f>IFERROR(VLOOKUP(G328,PAR!$J$2:$M$19,4),"nincs rovat")</f>
        <v>K3 - Dologi kiadások</v>
      </c>
      <c r="Q328" t="str">
        <f>IF(H328&gt;0,VLOOKUP(H328,PAR!$AA$3:$AC$187,3,FALSE),"nincs főkönyvi számla")</f>
        <v>053551 -  Egyéb dologi kiadások előirányzata</v>
      </c>
      <c r="R328" t="str">
        <f>IFERROR(VLOOKUP(K328,PAR!$V$3:$X$438,3,FALSE),"000000 - Nincs COFOG")</f>
        <v>000000 - Nincs COFOG</v>
      </c>
      <c r="S328">
        <f t="shared" si="107"/>
        <v>-1595</v>
      </c>
      <c r="T328">
        <f t="shared" si="108"/>
        <v>-1595</v>
      </c>
      <c r="U328" t="str">
        <f>IF('906MP'!J28&gt;0,CONCATENATE('906MP'!J28," - ",'906MP'!P28,", ",'906MP'!E28),"nincs megjegyzés")</f>
        <v>2025-01-01 - módosított ei, 2025/MEI-731113/19</v>
      </c>
      <c r="V328" t="str">
        <f t="shared" si="95"/>
        <v>60P731113053</v>
      </c>
      <c r="W328" t="str">
        <f t="shared" si="96"/>
        <v>60P73111305</v>
      </c>
      <c r="X328" t="str">
        <f t="shared" si="97"/>
        <v>P731113053551</v>
      </c>
      <c r="Y328" t="str">
        <f t="shared" si="98"/>
        <v>60053551</v>
      </c>
      <c r="Z328" t="str">
        <f t="shared" si="109"/>
        <v>(KÖT)053551</v>
      </c>
      <c r="AA328" t="str">
        <f t="shared" si="99"/>
        <v>60053</v>
      </c>
      <c r="AB328" t="str">
        <f t="shared" si="100"/>
        <v>(KÖT)053</v>
      </c>
      <c r="AC328" t="str">
        <f t="shared" si="101"/>
        <v>60P731113053551</v>
      </c>
      <c r="AD328" t="str">
        <f t="shared" si="102"/>
        <v>P731113053551(KÖT)</v>
      </c>
      <c r="AE328" t="str">
        <f t="shared" si="103"/>
        <v>60P731113053</v>
      </c>
      <c r="AF328" t="str">
        <f t="shared" si="104"/>
        <v>P731113053(KÖT)</v>
      </c>
      <c r="AG328" t="str">
        <f t="shared" si="110"/>
        <v>60P73111305355111100</v>
      </c>
      <c r="AH328" t="str">
        <f t="shared" si="111"/>
        <v>P731113(KÖT)05355111100</v>
      </c>
      <c r="AI328" t="str">
        <f t="shared" si="112"/>
        <v>60P73111305311100</v>
      </c>
      <c r="AJ328" t="str">
        <f t="shared" si="113"/>
        <v>P731113053(KÖT)11100</v>
      </c>
    </row>
    <row r="329" spans="1:36" x14ac:dyDescent="0.25">
      <c r="A329" s="325" t="str">
        <f>CONCATENATE("P",'906MP'!M29)</f>
        <v>P731113</v>
      </c>
      <c r="B329">
        <f>'906MP'!H29</f>
        <v>61</v>
      </c>
      <c r="C329" t="str">
        <f>'906MP'!J29</f>
        <v>2025-01-01</v>
      </c>
      <c r="D329" t="str">
        <f>'906MP'!P29</f>
        <v>eredeti ei</v>
      </c>
      <c r="E329">
        <f>'906MP'!X29</f>
        <v>44751560</v>
      </c>
      <c r="F329" t="str">
        <f t="shared" si="105"/>
        <v>05</v>
      </c>
      <c r="G329" t="str">
        <f t="shared" si="106"/>
        <v>051</v>
      </c>
      <c r="H329" t="str">
        <f>'906MP'!Y29</f>
        <v>0511011</v>
      </c>
      <c r="I329" t="str">
        <f>'906MP'!AK29</f>
        <v>2025/EEI-731113/1</v>
      </c>
      <c r="J329" t="str">
        <f>'906MP'!T29</f>
        <v>(KÖT)</v>
      </c>
      <c r="K329" t="str">
        <f>'906MP'!AJ29</f>
        <v/>
      </c>
      <c r="L329" t="str">
        <f>'906MP'!U29</f>
        <v>11100</v>
      </c>
      <c r="M329" s="322" t="str">
        <f>IFERROR(VLOOKUP(A329,PAR!$D$3:$E$53,2,FALSE),"nincs szervezet")</f>
        <v>Nagymaros Város Önkormányzata</v>
      </c>
      <c r="N329" s="322" t="str">
        <f>VLOOKUP(F329,PAR!$R$3:$S$5,2,FALSE)</f>
        <v>2 - Kiadás</v>
      </c>
      <c r="O329" t="str">
        <f>IFERROR(VLOOKUP(J329,PAR!$O$3:$P$5,2,FALSE),"nincs feladat")</f>
        <v>1 - (KÖT)</v>
      </c>
      <c r="P329" t="str">
        <f>IFERROR(VLOOKUP(G329,PAR!$J$2:$M$19,4),"nincs rovat")</f>
        <v>K1 - Személyi juttatások</v>
      </c>
      <c r="Q329" t="str">
        <f>IF(H329&gt;0,VLOOKUP(H329,PAR!$AA$3:$AC$187,3,FALSE),"nincs főkönyvi számla")</f>
        <v>0511011 -  Törvény szerinti illetmények, munkabérek előirányzata</v>
      </c>
      <c r="R329" t="str">
        <f>IFERROR(VLOOKUP(K329,PAR!$V$3:$X$438,3,FALSE),"000000 - Nincs COFOG")</f>
        <v>000000 - Nincs COFOG</v>
      </c>
      <c r="S329">
        <f t="shared" si="107"/>
        <v>44751560</v>
      </c>
      <c r="T329">
        <f t="shared" si="108"/>
        <v>44751560</v>
      </c>
      <c r="U329" t="str">
        <f>IF('906MP'!J29&gt;0,CONCATENATE('906MP'!J29," - ",'906MP'!P29,", ",'906MP'!E29),"nincs megjegyzés")</f>
        <v>2025-01-01 - eredeti ei, 2025/EEI-731113/1</v>
      </c>
      <c r="V329" t="str">
        <f t="shared" si="95"/>
        <v>61P731113051</v>
      </c>
      <c r="W329" t="str">
        <f t="shared" si="96"/>
        <v>61P73111305</v>
      </c>
      <c r="X329" t="str">
        <f t="shared" si="97"/>
        <v>P7311130511011</v>
      </c>
      <c r="Y329" t="str">
        <f t="shared" si="98"/>
        <v>610511011</v>
      </c>
      <c r="Z329" t="str">
        <f t="shared" si="109"/>
        <v>(KÖT)0511011</v>
      </c>
      <c r="AA329" t="str">
        <f t="shared" si="99"/>
        <v>61051</v>
      </c>
      <c r="AB329" t="str">
        <f t="shared" si="100"/>
        <v>(KÖT)051</v>
      </c>
      <c r="AC329" t="str">
        <f t="shared" si="101"/>
        <v>61P7311130511011</v>
      </c>
      <c r="AD329" t="str">
        <f t="shared" si="102"/>
        <v>P7311130511011(KÖT)</v>
      </c>
      <c r="AE329" t="str">
        <f t="shared" si="103"/>
        <v>61P731113051</v>
      </c>
      <c r="AF329" t="str">
        <f t="shared" si="104"/>
        <v>P731113051(KÖT)</v>
      </c>
      <c r="AG329" t="str">
        <f t="shared" si="110"/>
        <v>61P731113051101111100</v>
      </c>
      <c r="AH329" t="str">
        <f t="shared" si="111"/>
        <v>P731113(KÖT)051101111100</v>
      </c>
      <c r="AI329" t="str">
        <f t="shared" si="112"/>
        <v>61P73111305111100</v>
      </c>
      <c r="AJ329" t="str">
        <f t="shared" si="113"/>
        <v>P731113051(KÖT)11100</v>
      </c>
    </row>
    <row r="330" spans="1:36" x14ac:dyDescent="0.25">
      <c r="A330" s="325" t="str">
        <f>CONCATENATE("P",'906MP'!M30)</f>
        <v>P731113</v>
      </c>
      <c r="B330">
        <f>'906MP'!H30</f>
        <v>61</v>
      </c>
      <c r="C330" t="str">
        <f>'906MP'!J30</f>
        <v>2025-01-01</v>
      </c>
      <c r="D330" t="str">
        <f>'906MP'!P30</f>
        <v>eredeti ei</v>
      </c>
      <c r="E330">
        <f>'906MP'!X30</f>
        <v>2400000</v>
      </c>
      <c r="F330" t="str">
        <f t="shared" si="105"/>
        <v>05</v>
      </c>
      <c r="G330" t="str">
        <f t="shared" si="106"/>
        <v>051</v>
      </c>
      <c r="H330" t="str">
        <f>'906MP'!Y30</f>
        <v>0511041</v>
      </c>
      <c r="I330" t="str">
        <f>'906MP'!AK30</f>
        <v>2025/EEI-731113/1</v>
      </c>
      <c r="J330" t="str">
        <f>'906MP'!T30</f>
        <v>(KÖT)</v>
      </c>
      <c r="K330" t="str">
        <f>'906MP'!AJ30</f>
        <v/>
      </c>
      <c r="L330" t="str">
        <f>'906MP'!U30</f>
        <v>11100</v>
      </c>
      <c r="M330" s="322" t="str">
        <f>IFERROR(VLOOKUP(A330,PAR!$D$3:$E$53,2,FALSE),"nincs szervezet")</f>
        <v>Nagymaros Város Önkormányzata</v>
      </c>
      <c r="N330" s="322" t="str">
        <f>VLOOKUP(F330,PAR!$R$3:$S$5,2,FALSE)</f>
        <v>2 - Kiadás</v>
      </c>
      <c r="O330" t="str">
        <f>IFERROR(VLOOKUP(J330,PAR!$O$3:$P$5,2,FALSE),"nincs feladat")</f>
        <v>1 - (KÖT)</v>
      </c>
      <c r="P330" t="str">
        <f>IFERROR(VLOOKUP(G330,PAR!$J$2:$M$19,4),"nincs rovat")</f>
        <v>K1 - Személyi juttatások</v>
      </c>
      <c r="Q330" t="str">
        <f>IF(H330&gt;0,VLOOKUP(H330,PAR!$AA$3:$AC$187,3,FALSE),"nincs főkönyvi számla")</f>
        <v>0511041 -  Készenléti, ügyeleti, helyettesítési díj, túlóra, túlszolgálat előirányzata</v>
      </c>
      <c r="R330" t="str">
        <f>IFERROR(VLOOKUP(K330,PAR!$V$3:$X$438,3,FALSE),"000000 - Nincs COFOG")</f>
        <v>000000 - Nincs COFOG</v>
      </c>
      <c r="S330">
        <f t="shared" si="107"/>
        <v>2400000</v>
      </c>
      <c r="T330">
        <f t="shared" si="108"/>
        <v>2400000</v>
      </c>
      <c r="U330" t="str">
        <f>IF('906MP'!J30&gt;0,CONCATENATE('906MP'!J30," - ",'906MP'!P30,", ",'906MP'!E30),"nincs megjegyzés")</f>
        <v>2025-01-01 - eredeti ei, 2025/EEI-731113/1</v>
      </c>
      <c r="V330" t="str">
        <f t="shared" si="95"/>
        <v>61P731113051</v>
      </c>
      <c r="W330" t="str">
        <f t="shared" si="96"/>
        <v>61P73111305</v>
      </c>
      <c r="X330" t="str">
        <f t="shared" si="97"/>
        <v>P7311130511041</v>
      </c>
      <c r="Y330" t="str">
        <f t="shared" si="98"/>
        <v>610511041</v>
      </c>
      <c r="Z330" t="str">
        <f t="shared" si="109"/>
        <v>(KÖT)0511041</v>
      </c>
      <c r="AA330" t="str">
        <f t="shared" si="99"/>
        <v>61051</v>
      </c>
      <c r="AB330" t="str">
        <f t="shared" si="100"/>
        <v>(KÖT)051</v>
      </c>
      <c r="AC330" t="str">
        <f t="shared" si="101"/>
        <v>61P7311130511041</v>
      </c>
      <c r="AD330" t="str">
        <f t="shared" si="102"/>
        <v>P7311130511041(KÖT)</v>
      </c>
      <c r="AE330" t="str">
        <f t="shared" si="103"/>
        <v>61P731113051</v>
      </c>
      <c r="AF330" t="str">
        <f t="shared" si="104"/>
        <v>P731113051(KÖT)</v>
      </c>
      <c r="AG330" t="str">
        <f t="shared" si="110"/>
        <v>61P731113051104111100</v>
      </c>
      <c r="AH330" t="str">
        <f t="shared" si="111"/>
        <v>P731113(KÖT)051104111100</v>
      </c>
      <c r="AI330" t="str">
        <f t="shared" si="112"/>
        <v>61P73111305111100</v>
      </c>
      <c r="AJ330" t="str">
        <f t="shared" si="113"/>
        <v>P731113051(KÖT)11100</v>
      </c>
    </row>
    <row r="331" spans="1:36" x14ac:dyDescent="0.25">
      <c r="A331" s="325" t="str">
        <f>CONCATENATE("P",'906MP'!M31)</f>
        <v>P731113</v>
      </c>
      <c r="B331">
        <f>'906MP'!H31</f>
        <v>61</v>
      </c>
      <c r="C331" t="str">
        <f>'906MP'!J31</f>
        <v>2025-01-01</v>
      </c>
      <c r="D331" t="str">
        <f>'906MP'!P31</f>
        <v>eredeti ei</v>
      </c>
      <c r="E331">
        <f>'906MP'!X31</f>
        <v>810000</v>
      </c>
      <c r="F331" t="str">
        <f t="shared" si="105"/>
        <v>05</v>
      </c>
      <c r="G331" t="str">
        <f t="shared" si="106"/>
        <v>051</v>
      </c>
      <c r="H331" t="str">
        <f>'906MP'!Y31</f>
        <v>0511071</v>
      </c>
      <c r="I331" t="str">
        <f>'906MP'!AK31</f>
        <v>2025/EEI-731113/1</v>
      </c>
      <c r="J331" t="str">
        <f>'906MP'!T31</f>
        <v>(KÖT)</v>
      </c>
      <c r="K331" t="str">
        <f>'906MP'!AJ31</f>
        <v/>
      </c>
      <c r="L331" t="str">
        <f>'906MP'!U31</f>
        <v>11100</v>
      </c>
      <c r="M331" s="322" t="str">
        <f>IFERROR(VLOOKUP(A331,PAR!$D$3:$E$53,2,FALSE),"nincs szervezet")</f>
        <v>Nagymaros Város Önkormányzata</v>
      </c>
      <c r="N331" s="322" t="str">
        <f>VLOOKUP(F331,PAR!$R$3:$S$5,2,FALSE)</f>
        <v>2 - Kiadás</v>
      </c>
      <c r="O331" t="str">
        <f>IFERROR(VLOOKUP(J331,PAR!$O$3:$P$5,2,FALSE),"nincs feladat")</f>
        <v>1 - (KÖT)</v>
      </c>
      <c r="P331" t="str">
        <f>IFERROR(VLOOKUP(G331,PAR!$J$2:$M$19,4),"nincs rovat")</f>
        <v>K1 - Személyi juttatások</v>
      </c>
      <c r="Q331" t="str">
        <f>IF(H331&gt;0,VLOOKUP(H331,PAR!$AA$3:$AC$187,3,FALSE),"nincs főkönyvi számla")</f>
        <v>0511071 -  Béren kívüli juttatások előirányzata</v>
      </c>
      <c r="R331" t="str">
        <f>IFERROR(VLOOKUP(K331,PAR!$V$3:$X$438,3,FALSE),"000000 - Nincs COFOG")</f>
        <v>000000 - Nincs COFOG</v>
      </c>
      <c r="S331">
        <f t="shared" si="107"/>
        <v>810000</v>
      </c>
      <c r="T331">
        <f t="shared" si="108"/>
        <v>810000</v>
      </c>
      <c r="U331" t="str">
        <f>IF('906MP'!J31&gt;0,CONCATENATE('906MP'!J31," - ",'906MP'!P31,", ",'906MP'!E31),"nincs megjegyzés")</f>
        <v>2025-01-01 - eredeti ei, 2025/EEI-731113/1</v>
      </c>
      <c r="V331" t="str">
        <f t="shared" si="95"/>
        <v>61P731113051</v>
      </c>
      <c r="W331" t="str">
        <f t="shared" si="96"/>
        <v>61P73111305</v>
      </c>
      <c r="X331" t="str">
        <f t="shared" si="97"/>
        <v>P7311130511071</v>
      </c>
      <c r="Y331" t="str">
        <f t="shared" si="98"/>
        <v>610511071</v>
      </c>
      <c r="Z331" t="str">
        <f t="shared" si="109"/>
        <v>(KÖT)0511071</v>
      </c>
      <c r="AA331" t="str">
        <f t="shared" si="99"/>
        <v>61051</v>
      </c>
      <c r="AB331" t="str">
        <f t="shared" si="100"/>
        <v>(KÖT)051</v>
      </c>
      <c r="AC331" t="str">
        <f t="shared" si="101"/>
        <v>61P7311130511071</v>
      </c>
      <c r="AD331" t="str">
        <f t="shared" si="102"/>
        <v>P7311130511071(KÖT)</v>
      </c>
      <c r="AE331" t="str">
        <f t="shared" si="103"/>
        <v>61P731113051</v>
      </c>
      <c r="AF331" t="str">
        <f t="shared" si="104"/>
        <v>P731113051(KÖT)</v>
      </c>
      <c r="AG331" t="str">
        <f t="shared" si="110"/>
        <v>61P731113051107111100</v>
      </c>
      <c r="AH331" t="str">
        <f t="shared" si="111"/>
        <v>P731113(KÖT)051107111100</v>
      </c>
      <c r="AI331" t="str">
        <f t="shared" si="112"/>
        <v>61P73111305111100</v>
      </c>
      <c r="AJ331" t="str">
        <f t="shared" si="113"/>
        <v>P731113051(KÖT)11100</v>
      </c>
    </row>
    <row r="332" spans="1:36" x14ac:dyDescent="0.25">
      <c r="A332" s="325" t="str">
        <f>CONCATENATE("P",'906MP'!M32)</f>
        <v>P731113</v>
      </c>
      <c r="B332">
        <f>'906MP'!H32</f>
        <v>61</v>
      </c>
      <c r="C332" t="str">
        <f>'906MP'!J32</f>
        <v>2025-01-01</v>
      </c>
      <c r="D332" t="str">
        <f>'906MP'!P32</f>
        <v>eredeti ei</v>
      </c>
      <c r="E332">
        <f>'906MP'!X32</f>
        <v>96000</v>
      </c>
      <c r="F332" t="str">
        <f t="shared" si="105"/>
        <v>05</v>
      </c>
      <c r="G332" t="str">
        <f t="shared" si="106"/>
        <v>051</v>
      </c>
      <c r="H332" t="str">
        <f>'906MP'!Y32</f>
        <v>0511131</v>
      </c>
      <c r="I332" t="str">
        <f>'906MP'!AK32</f>
        <v>2025/EEI-731113/1</v>
      </c>
      <c r="J332" t="str">
        <f>'906MP'!T32</f>
        <v>(KÖT)</v>
      </c>
      <c r="K332" t="str">
        <f>'906MP'!AJ32</f>
        <v/>
      </c>
      <c r="L332" t="str">
        <f>'906MP'!U32</f>
        <v>11100</v>
      </c>
      <c r="M332" s="322" t="str">
        <f>IFERROR(VLOOKUP(A332,PAR!$D$3:$E$53,2,FALSE),"nincs szervezet")</f>
        <v>Nagymaros Város Önkormányzata</v>
      </c>
      <c r="N332" s="322" t="str">
        <f>VLOOKUP(F332,PAR!$R$3:$S$5,2,FALSE)</f>
        <v>2 - Kiadás</v>
      </c>
      <c r="O332" t="str">
        <f>IFERROR(VLOOKUP(J332,PAR!$O$3:$P$5,2,FALSE),"nincs feladat")</f>
        <v>1 - (KÖT)</v>
      </c>
      <c r="P332" t="str">
        <f>IFERROR(VLOOKUP(G332,PAR!$J$2:$M$19,4),"nincs rovat")</f>
        <v>K1 - Személyi juttatások</v>
      </c>
      <c r="Q332" t="str">
        <f>IF(H332&gt;0,VLOOKUP(H332,PAR!$AA$3:$AC$187,3,FALSE),"nincs főkönyvi számla")</f>
        <v>0511131 -  Foglalkoztatottak egyéb személyi juttatásai előirányzata</v>
      </c>
      <c r="R332" t="str">
        <f>IFERROR(VLOOKUP(K332,PAR!$V$3:$X$438,3,FALSE),"000000 - Nincs COFOG")</f>
        <v>000000 - Nincs COFOG</v>
      </c>
      <c r="S332">
        <f t="shared" si="107"/>
        <v>96000</v>
      </c>
      <c r="T332">
        <f t="shared" si="108"/>
        <v>96000</v>
      </c>
      <c r="U332" t="str">
        <f>IF('906MP'!J32&gt;0,CONCATENATE('906MP'!J32," - ",'906MP'!P32,", ",'906MP'!E32),"nincs megjegyzés")</f>
        <v>2025-01-01 - eredeti ei, 2025/EEI-731113/1</v>
      </c>
      <c r="V332" t="str">
        <f t="shared" si="95"/>
        <v>61P731113051</v>
      </c>
      <c r="W332" t="str">
        <f t="shared" si="96"/>
        <v>61P73111305</v>
      </c>
      <c r="X332" t="str">
        <f t="shared" si="97"/>
        <v>P7311130511131</v>
      </c>
      <c r="Y332" t="str">
        <f t="shared" si="98"/>
        <v>610511131</v>
      </c>
      <c r="Z332" t="str">
        <f t="shared" si="109"/>
        <v>(KÖT)0511131</v>
      </c>
      <c r="AA332" t="str">
        <f t="shared" si="99"/>
        <v>61051</v>
      </c>
      <c r="AB332" t="str">
        <f t="shared" si="100"/>
        <v>(KÖT)051</v>
      </c>
      <c r="AC332" t="str">
        <f t="shared" si="101"/>
        <v>61P7311130511131</v>
      </c>
      <c r="AD332" t="str">
        <f t="shared" si="102"/>
        <v>P7311130511131(KÖT)</v>
      </c>
      <c r="AE332" t="str">
        <f t="shared" si="103"/>
        <v>61P731113051</v>
      </c>
      <c r="AF332" t="str">
        <f t="shared" si="104"/>
        <v>P731113051(KÖT)</v>
      </c>
      <c r="AG332" t="str">
        <f t="shared" si="110"/>
        <v>61P731113051113111100</v>
      </c>
      <c r="AH332" t="str">
        <f t="shared" si="111"/>
        <v>P731113(KÖT)051113111100</v>
      </c>
      <c r="AI332" t="str">
        <f t="shared" si="112"/>
        <v>61P73111305111100</v>
      </c>
      <c r="AJ332" t="str">
        <f t="shared" si="113"/>
        <v>P731113051(KÖT)11100</v>
      </c>
    </row>
    <row r="333" spans="1:36" x14ac:dyDescent="0.25">
      <c r="A333" s="325" t="str">
        <f>CONCATENATE("P",'906MP'!M33)</f>
        <v>P731113</v>
      </c>
      <c r="B333">
        <f>'906MP'!H33</f>
        <v>61</v>
      </c>
      <c r="C333" t="str">
        <f>'906MP'!J33</f>
        <v>2025-01-01</v>
      </c>
      <c r="D333" t="str">
        <f>'906MP'!P33</f>
        <v>eredeti ei</v>
      </c>
      <c r="E333">
        <f>'906MP'!X33</f>
        <v>52663378</v>
      </c>
      <c r="F333" t="str">
        <f t="shared" si="105"/>
        <v>05</v>
      </c>
      <c r="G333" t="str">
        <f t="shared" si="106"/>
        <v>051</v>
      </c>
      <c r="H333" t="str">
        <f>'906MP'!Y33</f>
        <v>051211</v>
      </c>
      <c r="I333" t="str">
        <f>'906MP'!AK33</f>
        <v>2025/EEI-731113/1</v>
      </c>
      <c r="J333" t="str">
        <f>'906MP'!T33</f>
        <v>(KÖT)</v>
      </c>
      <c r="K333" t="str">
        <f>'906MP'!AJ33</f>
        <v/>
      </c>
      <c r="L333" t="str">
        <f>'906MP'!U33</f>
        <v>11100</v>
      </c>
      <c r="M333" s="322" t="str">
        <f>IFERROR(VLOOKUP(A333,PAR!$D$3:$E$53,2,FALSE),"nincs szervezet")</f>
        <v>Nagymaros Város Önkormányzata</v>
      </c>
      <c r="N333" s="322" t="str">
        <f>VLOOKUP(F333,PAR!$R$3:$S$5,2,FALSE)</f>
        <v>2 - Kiadás</v>
      </c>
      <c r="O333" t="str">
        <f>IFERROR(VLOOKUP(J333,PAR!$O$3:$P$5,2,FALSE),"nincs feladat")</f>
        <v>1 - (KÖT)</v>
      </c>
      <c r="P333" t="str">
        <f>IFERROR(VLOOKUP(G333,PAR!$J$2:$M$19,4),"nincs rovat")</f>
        <v>K1 - Személyi juttatások</v>
      </c>
      <c r="Q333" t="str">
        <f>IF(H333&gt;0,VLOOKUP(H333,PAR!$AA$3:$AC$187,3,FALSE),"nincs főkönyvi számla")</f>
        <v>051211 -  Választott tisztségviselők juttatásai előirányzata</v>
      </c>
      <c r="R333" t="str">
        <f>IFERROR(VLOOKUP(K333,PAR!$V$3:$X$438,3,FALSE),"000000 - Nincs COFOG")</f>
        <v>000000 - Nincs COFOG</v>
      </c>
      <c r="S333">
        <f t="shared" si="107"/>
        <v>52663378</v>
      </c>
      <c r="T333">
        <f t="shared" si="108"/>
        <v>52663378</v>
      </c>
      <c r="U333" t="str">
        <f>IF('906MP'!J33&gt;0,CONCATENATE('906MP'!J33," - ",'906MP'!P33,", ",'906MP'!E33),"nincs megjegyzés")</f>
        <v>2025-01-01 - eredeti ei, 2025/EEI-731113/1</v>
      </c>
      <c r="V333" t="str">
        <f t="shared" si="95"/>
        <v>61P731113051</v>
      </c>
      <c r="W333" t="str">
        <f t="shared" si="96"/>
        <v>61P73111305</v>
      </c>
      <c r="X333" t="str">
        <f t="shared" si="97"/>
        <v>P731113051211</v>
      </c>
      <c r="Y333" t="str">
        <f t="shared" si="98"/>
        <v>61051211</v>
      </c>
      <c r="Z333" t="str">
        <f t="shared" si="109"/>
        <v>(KÖT)051211</v>
      </c>
      <c r="AA333" t="str">
        <f t="shared" si="99"/>
        <v>61051</v>
      </c>
      <c r="AB333" t="str">
        <f t="shared" si="100"/>
        <v>(KÖT)051</v>
      </c>
      <c r="AC333" t="str">
        <f t="shared" si="101"/>
        <v>61P731113051211</v>
      </c>
      <c r="AD333" t="str">
        <f t="shared" si="102"/>
        <v>P731113051211(KÖT)</v>
      </c>
      <c r="AE333" t="str">
        <f t="shared" si="103"/>
        <v>61P731113051</v>
      </c>
      <c r="AF333" t="str">
        <f t="shared" si="104"/>
        <v>P731113051(KÖT)</v>
      </c>
      <c r="AG333" t="str">
        <f t="shared" si="110"/>
        <v>61P73111305121111100</v>
      </c>
      <c r="AH333" t="str">
        <f t="shared" si="111"/>
        <v>P731113(KÖT)05121111100</v>
      </c>
      <c r="AI333" t="str">
        <f t="shared" si="112"/>
        <v>61P73111305111100</v>
      </c>
      <c r="AJ333" t="str">
        <f t="shared" si="113"/>
        <v>P731113051(KÖT)11100</v>
      </c>
    </row>
    <row r="334" spans="1:36" x14ac:dyDescent="0.25">
      <c r="A334" s="325" t="str">
        <f>CONCATENATE("P",'906MP'!M34)</f>
        <v>P731113</v>
      </c>
      <c r="B334">
        <f>'906MP'!H34</f>
        <v>61</v>
      </c>
      <c r="C334" t="str">
        <f>'906MP'!J34</f>
        <v>2025-01-01</v>
      </c>
      <c r="D334" t="str">
        <f>'906MP'!P34</f>
        <v>eredeti ei</v>
      </c>
      <c r="E334">
        <f>'906MP'!X34</f>
        <v>10032000</v>
      </c>
      <c r="F334" t="str">
        <f t="shared" si="105"/>
        <v>05</v>
      </c>
      <c r="G334" t="str">
        <f t="shared" si="106"/>
        <v>051</v>
      </c>
      <c r="H334" t="str">
        <f>'906MP'!Y34</f>
        <v>051221</v>
      </c>
      <c r="I334" t="str">
        <f>'906MP'!AK34</f>
        <v>2025/EEI-731113/1</v>
      </c>
      <c r="J334" t="str">
        <f>'906MP'!T34</f>
        <v>(KÖT)</v>
      </c>
      <c r="K334" t="str">
        <f>'906MP'!AJ34</f>
        <v/>
      </c>
      <c r="L334" t="str">
        <f>'906MP'!U34</f>
        <v>11100</v>
      </c>
      <c r="M334" s="322" t="str">
        <f>IFERROR(VLOOKUP(A334,PAR!$D$3:$E$53,2,FALSE),"nincs szervezet")</f>
        <v>Nagymaros Város Önkormányzata</v>
      </c>
      <c r="N334" s="322" t="str">
        <f>VLOOKUP(F334,PAR!$R$3:$S$5,2,FALSE)</f>
        <v>2 - Kiadás</v>
      </c>
      <c r="O334" t="str">
        <f>IFERROR(VLOOKUP(J334,PAR!$O$3:$P$5,2,FALSE),"nincs feladat")</f>
        <v>1 - (KÖT)</v>
      </c>
      <c r="P334" t="str">
        <f>IFERROR(VLOOKUP(G334,PAR!$J$2:$M$19,4),"nincs rovat")</f>
        <v>K1 - Személyi juttatások</v>
      </c>
      <c r="Q334" t="str">
        <f>IF(H334&gt;0,VLOOKUP(H334,PAR!$AA$3:$AC$187,3,FALSE),"nincs főkönyvi számla")</f>
        <v>051221 -  Munkavégzésre irányuló egyéb jogviszonyban nem saját foglalkoztatottnak fizetett juttatások előirányzata</v>
      </c>
      <c r="R334" t="str">
        <f>IFERROR(VLOOKUP(K334,PAR!$V$3:$X$438,3,FALSE),"000000 - Nincs COFOG")</f>
        <v>000000 - Nincs COFOG</v>
      </c>
      <c r="S334">
        <f t="shared" si="107"/>
        <v>10032000</v>
      </c>
      <c r="T334">
        <f t="shared" si="108"/>
        <v>10032000</v>
      </c>
      <c r="U334" t="str">
        <f>IF('906MP'!J34&gt;0,CONCATENATE('906MP'!J34," - ",'906MP'!P34,", ",'906MP'!E34),"nincs megjegyzés")</f>
        <v>2025-01-01 - eredeti ei, 2025/EEI-731113/1</v>
      </c>
      <c r="V334" t="str">
        <f t="shared" si="95"/>
        <v>61P731113051</v>
      </c>
      <c r="W334" t="str">
        <f t="shared" si="96"/>
        <v>61P73111305</v>
      </c>
      <c r="X334" t="str">
        <f t="shared" si="97"/>
        <v>P731113051221</v>
      </c>
      <c r="Y334" t="str">
        <f t="shared" si="98"/>
        <v>61051221</v>
      </c>
      <c r="Z334" t="str">
        <f t="shared" si="109"/>
        <v>(KÖT)051221</v>
      </c>
      <c r="AA334" t="str">
        <f t="shared" si="99"/>
        <v>61051</v>
      </c>
      <c r="AB334" t="str">
        <f t="shared" si="100"/>
        <v>(KÖT)051</v>
      </c>
      <c r="AC334" t="str">
        <f t="shared" si="101"/>
        <v>61P731113051221</v>
      </c>
      <c r="AD334" t="str">
        <f t="shared" si="102"/>
        <v>P731113051221(KÖT)</v>
      </c>
      <c r="AE334" t="str">
        <f t="shared" si="103"/>
        <v>61P731113051</v>
      </c>
      <c r="AF334" t="str">
        <f t="shared" si="104"/>
        <v>P731113051(KÖT)</v>
      </c>
      <c r="AG334" t="str">
        <f t="shared" si="110"/>
        <v>61P73111305122111100</v>
      </c>
      <c r="AH334" t="str">
        <f t="shared" si="111"/>
        <v>P731113(KÖT)05122111100</v>
      </c>
      <c r="AI334" t="str">
        <f t="shared" si="112"/>
        <v>61P73111305111100</v>
      </c>
      <c r="AJ334" t="str">
        <f t="shared" si="113"/>
        <v>P731113051(KÖT)11100</v>
      </c>
    </row>
    <row r="335" spans="1:36" x14ac:dyDescent="0.25">
      <c r="A335" s="325" t="str">
        <f>CONCATENATE("P",'906MP'!M35)</f>
        <v>P731113</v>
      </c>
      <c r="B335">
        <f>'906MP'!H35</f>
        <v>61</v>
      </c>
      <c r="C335" t="str">
        <f>'906MP'!J35</f>
        <v>2025-01-01</v>
      </c>
      <c r="D335" t="str">
        <f>'906MP'!P35</f>
        <v>eredeti ei</v>
      </c>
      <c r="E335">
        <f>'906MP'!X35</f>
        <v>12128222</v>
      </c>
      <c r="F335" t="str">
        <f t="shared" si="105"/>
        <v>05</v>
      </c>
      <c r="G335" t="str">
        <f t="shared" si="106"/>
        <v>052</v>
      </c>
      <c r="H335" t="str">
        <f>'906MP'!Y35</f>
        <v>0521</v>
      </c>
      <c r="I335" t="str">
        <f>'906MP'!AK35</f>
        <v>2025/EEI-731113/1</v>
      </c>
      <c r="J335" t="str">
        <f>'906MP'!T35</f>
        <v>(KÖT)</v>
      </c>
      <c r="K335" t="str">
        <f>'906MP'!AJ35</f>
        <v/>
      </c>
      <c r="L335" t="str">
        <f>'906MP'!U35</f>
        <v>11100</v>
      </c>
      <c r="M335" s="322" t="str">
        <f>IFERROR(VLOOKUP(A335,PAR!$D$3:$E$53,2,FALSE),"nincs szervezet")</f>
        <v>Nagymaros Város Önkormányzata</v>
      </c>
      <c r="N335" s="322" t="str">
        <f>VLOOKUP(F335,PAR!$R$3:$S$5,2,FALSE)</f>
        <v>2 - Kiadás</v>
      </c>
      <c r="O335" t="str">
        <f>IFERROR(VLOOKUP(J335,PAR!$O$3:$P$5,2,FALSE),"nincs feladat")</f>
        <v>1 - (KÖT)</v>
      </c>
      <c r="P335" t="str">
        <f>IFERROR(VLOOKUP(G335,PAR!$J$2:$M$19,4),"nincs rovat")</f>
        <v>K2 - Munkaadókat terhelő járulékok és szociális hozzájárulási adó</v>
      </c>
      <c r="Q335" t="str">
        <f>IF(H335&gt;0,VLOOKUP(H335,PAR!$AA$3:$AC$187,3,FALSE),"nincs főkönyvi számla")</f>
        <v>0521 -  Munkaadókat terhelő járulékok és szociális hozzájárulási adó előirányzata</v>
      </c>
      <c r="R335" t="str">
        <f>IFERROR(VLOOKUP(K335,PAR!$V$3:$X$438,3,FALSE),"000000 - Nincs COFOG")</f>
        <v>000000 - Nincs COFOG</v>
      </c>
      <c r="S335">
        <f t="shared" si="107"/>
        <v>12128222</v>
      </c>
      <c r="T335">
        <f t="shared" si="108"/>
        <v>12128222</v>
      </c>
      <c r="U335" t="str">
        <f>IF('906MP'!J35&gt;0,CONCATENATE('906MP'!J35," - ",'906MP'!P35,", ",'906MP'!E35),"nincs megjegyzés")</f>
        <v>2025-01-01 - eredeti ei, 2025/EEI-731113/1</v>
      </c>
      <c r="V335" t="str">
        <f t="shared" si="95"/>
        <v>61P731113052</v>
      </c>
      <c r="W335" t="str">
        <f t="shared" si="96"/>
        <v>61P73111305</v>
      </c>
      <c r="X335" t="str">
        <f t="shared" si="97"/>
        <v>P7311130521</v>
      </c>
      <c r="Y335" t="str">
        <f t="shared" si="98"/>
        <v>610521</v>
      </c>
      <c r="Z335" t="str">
        <f t="shared" si="109"/>
        <v>(KÖT)0521</v>
      </c>
      <c r="AA335" t="str">
        <f t="shared" si="99"/>
        <v>61052</v>
      </c>
      <c r="AB335" t="str">
        <f t="shared" si="100"/>
        <v>(KÖT)052</v>
      </c>
      <c r="AC335" t="str">
        <f t="shared" si="101"/>
        <v>61P7311130521</v>
      </c>
      <c r="AD335" t="str">
        <f t="shared" si="102"/>
        <v>P7311130521(KÖT)</v>
      </c>
      <c r="AE335" t="str">
        <f t="shared" si="103"/>
        <v>61P731113052</v>
      </c>
      <c r="AF335" t="str">
        <f t="shared" si="104"/>
        <v>P731113052(KÖT)</v>
      </c>
      <c r="AG335" t="str">
        <f t="shared" si="110"/>
        <v>61P731113052111100</v>
      </c>
      <c r="AH335" t="str">
        <f t="shared" si="111"/>
        <v>P731113(KÖT)052111100</v>
      </c>
      <c r="AI335" t="str">
        <f t="shared" si="112"/>
        <v>61P73111305211100</v>
      </c>
      <c r="AJ335" t="str">
        <f t="shared" si="113"/>
        <v>P731113052(KÖT)11100</v>
      </c>
    </row>
    <row r="336" spans="1:36" x14ac:dyDescent="0.25">
      <c r="A336" s="325" t="str">
        <f>CONCATENATE("P",'906MP'!M36)</f>
        <v>P731113</v>
      </c>
      <c r="B336">
        <f>'906MP'!H36</f>
        <v>61</v>
      </c>
      <c r="C336" t="str">
        <f>'906MP'!J36</f>
        <v>2025-01-01</v>
      </c>
      <c r="D336" t="str">
        <f>'906MP'!P36</f>
        <v>eredeti ei</v>
      </c>
      <c r="E336">
        <f>'906MP'!X36</f>
        <v>11468857</v>
      </c>
      <c r="F336" t="str">
        <f t="shared" si="105"/>
        <v>05</v>
      </c>
      <c r="G336" t="str">
        <f t="shared" si="106"/>
        <v>053</v>
      </c>
      <c r="H336" t="str">
        <f>'906MP'!Y36</f>
        <v>053121</v>
      </c>
      <c r="I336" t="str">
        <f>'906MP'!AK36</f>
        <v>2025/EEI-731113/1</v>
      </c>
      <c r="J336" t="str">
        <f>'906MP'!T36</f>
        <v>(KÖT)</v>
      </c>
      <c r="K336" t="str">
        <f>'906MP'!AJ36</f>
        <v/>
      </c>
      <c r="L336" t="str">
        <f>'906MP'!U36</f>
        <v>11100</v>
      </c>
      <c r="M336" s="322" t="str">
        <f>IFERROR(VLOOKUP(A336,PAR!$D$3:$E$53,2,FALSE),"nincs szervezet")</f>
        <v>Nagymaros Város Önkormányzata</v>
      </c>
      <c r="N336" s="322" t="str">
        <f>VLOOKUP(F336,PAR!$R$3:$S$5,2,FALSE)</f>
        <v>2 - Kiadás</v>
      </c>
      <c r="O336" t="str">
        <f>IFERROR(VLOOKUP(J336,PAR!$O$3:$P$5,2,FALSE),"nincs feladat")</f>
        <v>1 - (KÖT)</v>
      </c>
      <c r="P336" t="str">
        <f>IFERROR(VLOOKUP(G336,PAR!$J$2:$M$19,4),"nincs rovat")</f>
        <v>K3 - Dologi kiadások</v>
      </c>
      <c r="Q336" t="str">
        <f>IF(H336&gt;0,VLOOKUP(H336,PAR!$AA$3:$AC$187,3,FALSE),"nincs főkönyvi számla")</f>
        <v>053121 -  Üzemeltetési anyagok beszerzése előirányzata</v>
      </c>
      <c r="R336" t="str">
        <f>IFERROR(VLOOKUP(K336,PAR!$V$3:$X$438,3,FALSE),"000000 - Nincs COFOG")</f>
        <v>000000 - Nincs COFOG</v>
      </c>
      <c r="S336">
        <f t="shared" si="107"/>
        <v>11468857</v>
      </c>
      <c r="T336">
        <f t="shared" si="108"/>
        <v>11468857</v>
      </c>
      <c r="U336" t="str">
        <f>IF('906MP'!J36&gt;0,CONCATENATE('906MP'!J36," - ",'906MP'!P36,", ",'906MP'!E36),"nincs megjegyzés")</f>
        <v>2025-01-01 - eredeti ei, 2025/EEI-731113/1</v>
      </c>
      <c r="V336" t="str">
        <f t="shared" si="95"/>
        <v>61P731113053</v>
      </c>
      <c r="W336" t="str">
        <f t="shared" si="96"/>
        <v>61P73111305</v>
      </c>
      <c r="X336" t="str">
        <f t="shared" si="97"/>
        <v>P731113053121</v>
      </c>
      <c r="Y336" t="str">
        <f t="shared" si="98"/>
        <v>61053121</v>
      </c>
      <c r="Z336" t="str">
        <f t="shared" si="109"/>
        <v>(KÖT)053121</v>
      </c>
      <c r="AA336" t="str">
        <f t="shared" si="99"/>
        <v>61053</v>
      </c>
      <c r="AB336" t="str">
        <f t="shared" si="100"/>
        <v>(KÖT)053</v>
      </c>
      <c r="AC336" t="str">
        <f t="shared" si="101"/>
        <v>61P731113053121</v>
      </c>
      <c r="AD336" t="str">
        <f t="shared" si="102"/>
        <v>P731113053121(KÖT)</v>
      </c>
      <c r="AE336" t="str">
        <f t="shared" si="103"/>
        <v>61P731113053</v>
      </c>
      <c r="AF336" t="str">
        <f t="shared" si="104"/>
        <v>P731113053(KÖT)</v>
      </c>
      <c r="AG336" t="str">
        <f t="shared" si="110"/>
        <v>61P73111305312111100</v>
      </c>
      <c r="AH336" t="str">
        <f t="shared" si="111"/>
        <v>P731113(KÖT)05312111100</v>
      </c>
      <c r="AI336" t="str">
        <f t="shared" si="112"/>
        <v>61P73111305311100</v>
      </c>
      <c r="AJ336" t="str">
        <f t="shared" si="113"/>
        <v>P731113053(KÖT)11100</v>
      </c>
    </row>
    <row r="337" spans="1:36" x14ac:dyDescent="0.25">
      <c r="A337" s="325" t="str">
        <f>CONCATENATE("P",'906MP'!M37)</f>
        <v>P731113</v>
      </c>
      <c r="B337">
        <f>'906MP'!H37</f>
        <v>61</v>
      </c>
      <c r="C337" t="str">
        <f>'906MP'!J37</f>
        <v>2025-01-01</v>
      </c>
      <c r="D337" t="str">
        <f>'906MP'!P37</f>
        <v>eredeti ei</v>
      </c>
      <c r="E337">
        <f>'906MP'!X37</f>
        <v>9479508</v>
      </c>
      <c r="F337" t="str">
        <f t="shared" si="105"/>
        <v>05</v>
      </c>
      <c r="G337" t="str">
        <f t="shared" si="106"/>
        <v>053</v>
      </c>
      <c r="H337" t="str">
        <f>'906MP'!Y37</f>
        <v>053211</v>
      </c>
      <c r="I337" t="str">
        <f>'906MP'!AK37</f>
        <v>2025/EEI-731113/1</v>
      </c>
      <c r="J337" t="str">
        <f>'906MP'!T37</f>
        <v>(KÖT)</v>
      </c>
      <c r="K337" t="str">
        <f>'906MP'!AJ37</f>
        <v/>
      </c>
      <c r="L337" t="str">
        <f>'906MP'!U37</f>
        <v>11100</v>
      </c>
      <c r="M337" s="322" t="str">
        <f>IFERROR(VLOOKUP(A337,PAR!$D$3:$E$53,2,FALSE),"nincs szervezet")</f>
        <v>Nagymaros Város Önkormányzata</v>
      </c>
      <c r="N337" s="322" t="str">
        <f>VLOOKUP(F337,PAR!$R$3:$S$5,2,FALSE)</f>
        <v>2 - Kiadás</v>
      </c>
      <c r="O337" t="str">
        <f>IFERROR(VLOOKUP(J337,PAR!$O$3:$P$5,2,FALSE),"nincs feladat")</f>
        <v>1 - (KÖT)</v>
      </c>
      <c r="P337" t="str">
        <f>IFERROR(VLOOKUP(G337,PAR!$J$2:$M$19,4),"nincs rovat")</f>
        <v>K3 - Dologi kiadások</v>
      </c>
      <c r="Q337" t="str">
        <f>IF(H337&gt;0,VLOOKUP(H337,PAR!$AA$3:$AC$187,3,FALSE),"nincs főkönyvi számla")</f>
        <v>053211 -  Informatikai szolgáltatások igénybevétele előirányzata</v>
      </c>
      <c r="R337" t="str">
        <f>IFERROR(VLOOKUP(K337,PAR!$V$3:$X$438,3,FALSE),"000000 - Nincs COFOG")</f>
        <v>000000 - Nincs COFOG</v>
      </c>
      <c r="S337">
        <f t="shared" si="107"/>
        <v>9479508</v>
      </c>
      <c r="T337">
        <f t="shared" si="108"/>
        <v>9479508</v>
      </c>
      <c r="U337" t="str">
        <f>IF('906MP'!J37&gt;0,CONCATENATE('906MP'!J37," - ",'906MP'!P37,", ",'906MP'!E37),"nincs megjegyzés")</f>
        <v>2025-01-01 - eredeti ei, 2025/EEI-731113/1</v>
      </c>
      <c r="V337" t="str">
        <f t="shared" si="95"/>
        <v>61P731113053</v>
      </c>
      <c r="W337" t="str">
        <f t="shared" si="96"/>
        <v>61P73111305</v>
      </c>
      <c r="X337" t="str">
        <f t="shared" si="97"/>
        <v>P731113053211</v>
      </c>
      <c r="Y337" t="str">
        <f t="shared" si="98"/>
        <v>61053211</v>
      </c>
      <c r="Z337" t="str">
        <f t="shared" si="109"/>
        <v>(KÖT)053211</v>
      </c>
      <c r="AA337" t="str">
        <f t="shared" si="99"/>
        <v>61053</v>
      </c>
      <c r="AB337" t="str">
        <f t="shared" si="100"/>
        <v>(KÖT)053</v>
      </c>
      <c r="AC337" t="str">
        <f t="shared" si="101"/>
        <v>61P731113053211</v>
      </c>
      <c r="AD337" t="str">
        <f t="shared" si="102"/>
        <v>P731113053211(KÖT)</v>
      </c>
      <c r="AE337" t="str">
        <f t="shared" si="103"/>
        <v>61P731113053</v>
      </c>
      <c r="AF337" t="str">
        <f t="shared" si="104"/>
        <v>P731113053(KÖT)</v>
      </c>
      <c r="AG337" t="str">
        <f t="shared" si="110"/>
        <v>61P73111305321111100</v>
      </c>
      <c r="AH337" t="str">
        <f t="shared" si="111"/>
        <v>P731113(KÖT)05321111100</v>
      </c>
      <c r="AI337" t="str">
        <f t="shared" si="112"/>
        <v>61P73111305311100</v>
      </c>
      <c r="AJ337" t="str">
        <f t="shared" si="113"/>
        <v>P731113053(KÖT)11100</v>
      </c>
    </row>
    <row r="338" spans="1:36" x14ac:dyDescent="0.25">
      <c r="A338" s="325" t="str">
        <f>CONCATENATE("P",'906MP'!M38)</f>
        <v>P654427</v>
      </c>
      <c r="B338">
        <f>'906MP'!H38</f>
        <v>60</v>
      </c>
      <c r="C338" t="str">
        <f>'906MP'!J38</f>
        <v>2025-03-01</v>
      </c>
      <c r="D338" t="str">
        <f>'906MP'!P38</f>
        <v>módosított ei</v>
      </c>
      <c r="E338">
        <f>'906MP'!X38</f>
        <v>162783</v>
      </c>
      <c r="F338" t="str">
        <f t="shared" si="105"/>
        <v>05</v>
      </c>
      <c r="G338" t="str">
        <f t="shared" si="106"/>
        <v>051</v>
      </c>
      <c r="H338" t="str">
        <f>'906MP'!Y38</f>
        <v>0511041</v>
      </c>
      <c r="I338" t="str">
        <f>'906MP'!AK38</f>
        <v>2025/MEI-654427/5</v>
      </c>
      <c r="J338" t="str">
        <f>'906MP'!T38</f>
        <v>(KÖT)</v>
      </c>
      <c r="K338" t="str">
        <f>'906MP'!AJ38</f>
        <v/>
      </c>
      <c r="L338" t="str">
        <f>'906MP'!U38</f>
        <v>13100</v>
      </c>
      <c r="M338" s="322" t="str">
        <f>IFERROR(VLOOKUP(A338,PAR!$D$3:$E$53,2,FALSE),"nincs szervezet")</f>
        <v>Nagymarosi Napköziotthonos Óvoda és Bölcsőde</v>
      </c>
      <c r="N338" s="322" t="str">
        <f>VLOOKUP(F338,PAR!$R$3:$S$5,2,FALSE)</f>
        <v>2 - Kiadás</v>
      </c>
      <c r="O338" t="str">
        <f>IFERROR(VLOOKUP(J338,PAR!$O$3:$P$5,2,FALSE),"nincs feladat")</f>
        <v>1 - (KÖT)</v>
      </c>
      <c r="P338" t="str">
        <f>IFERROR(VLOOKUP(G338,PAR!$J$2:$M$19,4),"nincs rovat")</f>
        <v>K1 - Személyi juttatások</v>
      </c>
      <c r="Q338" t="str">
        <f>IF(H338&gt;0,VLOOKUP(H338,PAR!$AA$3:$AC$187,3,FALSE),"nincs főkönyvi számla")</f>
        <v>0511041 -  Készenléti, ügyeleti, helyettesítési díj, túlóra, túlszolgálat előirányzata</v>
      </c>
      <c r="R338" t="str">
        <f>IFERROR(VLOOKUP(K338,PAR!$V$3:$X$438,3,FALSE),"000000 - Nincs COFOG")</f>
        <v>000000 - Nincs COFOG</v>
      </c>
      <c r="S338">
        <f t="shared" si="107"/>
        <v>162783</v>
      </c>
      <c r="T338">
        <f t="shared" si="108"/>
        <v>162783</v>
      </c>
      <c r="U338" t="str">
        <f>IF('906MP'!J38&gt;0,CONCATENATE('906MP'!J38," - ",'906MP'!P38,", ",'906MP'!E38),"nincs megjegyzés")</f>
        <v>2025-03-01 - módosított ei, 2025/MEI-654427/5</v>
      </c>
      <c r="V338" t="str">
        <f t="shared" si="95"/>
        <v>60P654427051</v>
      </c>
      <c r="W338" t="str">
        <f t="shared" si="96"/>
        <v>60P65442705</v>
      </c>
      <c r="X338" t="str">
        <f t="shared" si="97"/>
        <v>P6544270511041</v>
      </c>
      <c r="Y338" t="str">
        <f t="shared" si="98"/>
        <v>600511041</v>
      </c>
      <c r="Z338" t="str">
        <f t="shared" si="109"/>
        <v>(KÖT)0511041</v>
      </c>
      <c r="AA338" t="str">
        <f t="shared" si="99"/>
        <v>60051</v>
      </c>
      <c r="AB338" t="str">
        <f t="shared" si="100"/>
        <v>(KÖT)051</v>
      </c>
      <c r="AC338" t="str">
        <f t="shared" si="101"/>
        <v>60P6544270511041</v>
      </c>
      <c r="AD338" t="str">
        <f t="shared" si="102"/>
        <v>P6544270511041(KÖT)</v>
      </c>
      <c r="AE338" t="str">
        <f t="shared" si="103"/>
        <v>60P654427051</v>
      </c>
      <c r="AF338" t="str">
        <f t="shared" si="104"/>
        <v>P654427051(KÖT)</v>
      </c>
      <c r="AG338" t="str">
        <f t="shared" si="110"/>
        <v>60P654427051104113100</v>
      </c>
      <c r="AH338" t="str">
        <f t="shared" si="111"/>
        <v>P654427(KÖT)051104113100</v>
      </c>
      <c r="AI338" t="str">
        <f t="shared" si="112"/>
        <v>60P65442705113100</v>
      </c>
      <c r="AJ338" t="str">
        <f t="shared" si="113"/>
        <v>P654427051(KÖT)13100</v>
      </c>
    </row>
    <row r="339" spans="1:36" x14ac:dyDescent="0.25">
      <c r="A339" s="325" t="str">
        <f>CONCATENATE("P",'906MP'!M39)</f>
        <v>P654427</v>
      </c>
      <c r="B339">
        <f>'906MP'!H39</f>
        <v>60</v>
      </c>
      <c r="C339" t="str">
        <f>'906MP'!J39</f>
        <v>2025-03-01</v>
      </c>
      <c r="D339" t="str">
        <f>'906MP'!P39</f>
        <v>módosított ei</v>
      </c>
      <c r="E339">
        <f>'906MP'!X39</f>
        <v>101749</v>
      </c>
      <c r="F339" t="str">
        <f t="shared" si="105"/>
        <v>05</v>
      </c>
      <c r="G339" t="str">
        <f t="shared" si="106"/>
        <v>051</v>
      </c>
      <c r="H339" t="str">
        <f>'906MP'!Y39</f>
        <v>0511131</v>
      </c>
      <c r="I339" t="str">
        <f>'906MP'!AK39</f>
        <v>2025/MEI-654427/5</v>
      </c>
      <c r="J339" t="str">
        <f>'906MP'!T39</f>
        <v>(KÖT)</v>
      </c>
      <c r="K339" t="str">
        <f>'906MP'!AJ39</f>
        <v/>
      </c>
      <c r="L339" t="str">
        <f>'906MP'!U39</f>
        <v>13100</v>
      </c>
      <c r="M339" s="322" t="str">
        <f>IFERROR(VLOOKUP(A339,PAR!$D$3:$E$53,2,FALSE),"nincs szervezet")</f>
        <v>Nagymarosi Napköziotthonos Óvoda és Bölcsőde</v>
      </c>
      <c r="N339" s="322" t="str">
        <f>VLOOKUP(F339,PAR!$R$3:$S$5,2,FALSE)</f>
        <v>2 - Kiadás</v>
      </c>
      <c r="O339" t="str">
        <f>IFERROR(VLOOKUP(J339,PAR!$O$3:$P$5,2,FALSE),"nincs feladat")</f>
        <v>1 - (KÖT)</v>
      </c>
      <c r="P339" t="str">
        <f>IFERROR(VLOOKUP(G339,PAR!$J$2:$M$19,4),"nincs rovat")</f>
        <v>K1 - Személyi juttatások</v>
      </c>
      <c r="Q339" t="str">
        <f>IF(H339&gt;0,VLOOKUP(H339,PAR!$AA$3:$AC$187,3,FALSE),"nincs főkönyvi számla")</f>
        <v>0511131 -  Foglalkoztatottak egyéb személyi juttatásai előirányzata</v>
      </c>
      <c r="R339" t="str">
        <f>IFERROR(VLOOKUP(K339,PAR!$V$3:$X$438,3,FALSE),"000000 - Nincs COFOG")</f>
        <v>000000 - Nincs COFOG</v>
      </c>
      <c r="S339">
        <f t="shared" si="107"/>
        <v>101749</v>
      </c>
      <c r="T339">
        <f t="shared" si="108"/>
        <v>101749</v>
      </c>
      <c r="U339" t="str">
        <f>IF('906MP'!J39&gt;0,CONCATENATE('906MP'!J39," - ",'906MP'!P39,", ",'906MP'!E39),"nincs megjegyzés")</f>
        <v>2025-03-01 - módosított ei, 2025/MEI-654427/5</v>
      </c>
      <c r="V339" t="str">
        <f t="shared" si="95"/>
        <v>60P654427051</v>
      </c>
      <c r="W339" t="str">
        <f t="shared" si="96"/>
        <v>60P65442705</v>
      </c>
      <c r="X339" t="str">
        <f t="shared" si="97"/>
        <v>P6544270511131</v>
      </c>
      <c r="Y339" t="str">
        <f t="shared" si="98"/>
        <v>600511131</v>
      </c>
      <c r="Z339" t="str">
        <f t="shared" si="109"/>
        <v>(KÖT)0511131</v>
      </c>
      <c r="AA339" t="str">
        <f t="shared" si="99"/>
        <v>60051</v>
      </c>
      <c r="AB339" t="str">
        <f t="shared" si="100"/>
        <v>(KÖT)051</v>
      </c>
      <c r="AC339" t="str">
        <f t="shared" si="101"/>
        <v>60P6544270511131</v>
      </c>
      <c r="AD339" t="str">
        <f t="shared" si="102"/>
        <v>P6544270511131(KÖT)</v>
      </c>
      <c r="AE339" t="str">
        <f t="shared" si="103"/>
        <v>60P654427051</v>
      </c>
      <c r="AF339" t="str">
        <f t="shared" si="104"/>
        <v>P654427051(KÖT)</v>
      </c>
      <c r="AG339" t="str">
        <f t="shared" si="110"/>
        <v>60P654427051113113100</v>
      </c>
      <c r="AH339" t="str">
        <f t="shared" si="111"/>
        <v>P654427(KÖT)051113113100</v>
      </c>
      <c r="AI339" t="str">
        <f t="shared" si="112"/>
        <v>60P65442705113100</v>
      </c>
      <c r="AJ339" t="str">
        <f t="shared" si="113"/>
        <v>P654427051(KÖT)13100</v>
      </c>
    </row>
    <row r="340" spans="1:36" x14ac:dyDescent="0.25">
      <c r="A340" s="325" t="str">
        <f>CONCATENATE("P",'906MP'!M40)</f>
        <v>P654427</v>
      </c>
      <c r="B340">
        <f>'906MP'!H40</f>
        <v>60</v>
      </c>
      <c r="C340" t="str">
        <f>'906MP'!J40</f>
        <v>2025-03-01</v>
      </c>
      <c r="D340" t="str">
        <f>'906MP'!P40</f>
        <v>módosított ei</v>
      </c>
      <c r="E340">
        <f>'906MP'!X40</f>
        <v>-264532</v>
      </c>
      <c r="F340" t="str">
        <f t="shared" si="105"/>
        <v>05</v>
      </c>
      <c r="G340" t="str">
        <f t="shared" si="106"/>
        <v>051</v>
      </c>
      <c r="H340" t="str">
        <f>'906MP'!Y40</f>
        <v>0511011</v>
      </c>
      <c r="I340" t="str">
        <f>'906MP'!AK40</f>
        <v>2025/MEI-654427/5</v>
      </c>
      <c r="J340" t="str">
        <f>'906MP'!T40</f>
        <v>(KÖT)</v>
      </c>
      <c r="K340" t="str">
        <f>'906MP'!AJ40</f>
        <v/>
      </c>
      <c r="L340" t="str">
        <f>'906MP'!U40</f>
        <v>13100</v>
      </c>
      <c r="M340" s="322" t="str">
        <f>IFERROR(VLOOKUP(A340,PAR!$D$3:$E$53,2,FALSE),"nincs szervezet")</f>
        <v>Nagymarosi Napköziotthonos Óvoda és Bölcsőde</v>
      </c>
      <c r="N340" s="322" t="str">
        <f>VLOOKUP(F340,PAR!$R$3:$S$5,2,FALSE)</f>
        <v>2 - Kiadás</v>
      </c>
      <c r="O340" t="str">
        <f>IFERROR(VLOOKUP(J340,PAR!$O$3:$P$5,2,FALSE),"nincs feladat")</f>
        <v>1 - (KÖT)</v>
      </c>
      <c r="P340" t="str">
        <f>IFERROR(VLOOKUP(G340,PAR!$J$2:$M$19,4),"nincs rovat")</f>
        <v>K1 - Személyi juttatások</v>
      </c>
      <c r="Q340" t="str">
        <f>IF(H340&gt;0,VLOOKUP(H340,PAR!$AA$3:$AC$187,3,FALSE),"nincs főkönyvi számla")</f>
        <v>0511011 -  Törvény szerinti illetmények, munkabérek előirányzata</v>
      </c>
      <c r="R340" t="str">
        <f>IFERROR(VLOOKUP(K340,PAR!$V$3:$X$438,3,FALSE),"000000 - Nincs COFOG")</f>
        <v>000000 - Nincs COFOG</v>
      </c>
      <c r="S340">
        <f t="shared" si="107"/>
        <v>-264532</v>
      </c>
      <c r="T340">
        <f t="shared" si="108"/>
        <v>-264532</v>
      </c>
      <c r="U340" t="str">
        <f>IF('906MP'!J40&gt;0,CONCATENATE('906MP'!J40," - ",'906MP'!P40,", ",'906MP'!E40),"nincs megjegyzés")</f>
        <v>2025-03-01 - módosított ei, 2025/MEI-654427/5</v>
      </c>
      <c r="V340" t="str">
        <f t="shared" si="95"/>
        <v>60P654427051</v>
      </c>
      <c r="W340" t="str">
        <f t="shared" si="96"/>
        <v>60P65442705</v>
      </c>
      <c r="X340" t="str">
        <f t="shared" si="97"/>
        <v>P6544270511011</v>
      </c>
      <c r="Y340" t="str">
        <f t="shared" si="98"/>
        <v>600511011</v>
      </c>
      <c r="Z340" t="str">
        <f t="shared" si="109"/>
        <v>(KÖT)0511011</v>
      </c>
      <c r="AA340" t="str">
        <f t="shared" si="99"/>
        <v>60051</v>
      </c>
      <c r="AB340" t="str">
        <f t="shared" si="100"/>
        <v>(KÖT)051</v>
      </c>
      <c r="AC340" t="str">
        <f t="shared" si="101"/>
        <v>60P6544270511011</v>
      </c>
      <c r="AD340" t="str">
        <f t="shared" si="102"/>
        <v>P6544270511011(KÖT)</v>
      </c>
      <c r="AE340" t="str">
        <f t="shared" si="103"/>
        <v>60P654427051</v>
      </c>
      <c r="AF340" t="str">
        <f t="shared" si="104"/>
        <v>P654427051(KÖT)</v>
      </c>
      <c r="AG340" t="str">
        <f t="shared" si="110"/>
        <v>60P654427051101113100</v>
      </c>
      <c r="AH340" t="str">
        <f t="shared" si="111"/>
        <v>P654427(KÖT)051101113100</v>
      </c>
      <c r="AI340" t="str">
        <f t="shared" si="112"/>
        <v>60P65442705113100</v>
      </c>
      <c r="AJ340" t="str">
        <f t="shared" si="113"/>
        <v>P654427051(KÖT)13100</v>
      </c>
    </row>
    <row r="341" spans="1:36" x14ac:dyDescent="0.25">
      <c r="A341" s="325" t="str">
        <f>CONCATENATE("P",'906MP'!M41)</f>
        <v>P731113</v>
      </c>
      <c r="B341">
        <f>'906MP'!H41</f>
        <v>61</v>
      </c>
      <c r="C341" t="str">
        <f>'906MP'!J41</f>
        <v>2025-01-01</v>
      </c>
      <c r="D341" t="str">
        <f>'906MP'!P41</f>
        <v>eredeti ei</v>
      </c>
      <c r="E341">
        <f>'906MP'!X41</f>
        <v>40320000</v>
      </c>
      <c r="F341" t="str">
        <f t="shared" si="105"/>
        <v>05</v>
      </c>
      <c r="G341" t="str">
        <f t="shared" si="106"/>
        <v>053</v>
      </c>
      <c r="H341" t="str">
        <f>'906MP'!Y41</f>
        <v>0533111</v>
      </c>
      <c r="I341" t="str">
        <f>'906MP'!AK41</f>
        <v>2025/EEI-731113/1</v>
      </c>
      <c r="J341" t="str">
        <f>'906MP'!T41</f>
        <v>(KÖT)</v>
      </c>
      <c r="K341" t="str">
        <f>'906MP'!AJ41</f>
        <v/>
      </c>
      <c r="L341" t="str">
        <f>'906MP'!U41</f>
        <v>11100</v>
      </c>
      <c r="M341" s="322" t="str">
        <f>IFERROR(VLOOKUP(A341,PAR!$D$3:$E$53,2,FALSE),"nincs szervezet")</f>
        <v>Nagymaros Város Önkormányzata</v>
      </c>
      <c r="N341" s="322" t="str">
        <f>VLOOKUP(F341,PAR!$R$3:$S$5,2,FALSE)</f>
        <v>2 - Kiadás</v>
      </c>
      <c r="O341" t="str">
        <f>IFERROR(VLOOKUP(J341,PAR!$O$3:$P$5,2,FALSE),"nincs feladat")</f>
        <v>1 - (KÖT)</v>
      </c>
      <c r="P341" t="str">
        <f>IFERROR(VLOOKUP(G341,PAR!$J$2:$M$19,4),"nincs rovat")</f>
        <v>K3 - Dologi kiadások</v>
      </c>
      <c r="Q341" t="str">
        <f>IF(H341&gt;0,VLOOKUP(H341,PAR!$AA$3:$AC$187,3,FALSE),"nincs főkönyvi számla")</f>
        <v>0533111 -  Villamosenergia szolgáltatás díja előirányzata</v>
      </c>
      <c r="R341" t="str">
        <f>IFERROR(VLOOKUP(K341,PAR!$V$3:$X$438,3,FALSE),"000000 - Nincs COFOG")</f>
        <v>000000 - Nincs COFOG</v>
      </c>
      <c r="S341">
        <f t="shared" si="107"/>
        <v>40320000</v>
      </c>
      <c r="T341">
        <f t="shared" si="108"/>
        <v>40320000</v>
      </c>
      <c r="U341" t="str">
        <f>IF('906MP'!J41&gt;0,CONCATENATE('906MP'!J41," - ",'906MP'!P41,", ",'906MP'!E41),"nincs megjegyzés")</f>
        <v>2025-01-01 - eredeti ei, 2025/EEI-731113/1</v>
      </c>
      <c r="V341" t="str">
        <f t="shared" si="95"/>
        <v>61P731113053</v>
      </c>
      <c r="W341" t="str">
        <f t="shared" si="96"/>
        <v>61P73111305</v>
      </c>
      <c r="X341" t="str">
        <f t="shared" si="97"/>
        <v>P7311130533111</v>
      </c>
      <c r="Y341" t="str">
        <f t="shared" si="98"/>
        <v>610533111</v>
      </c>
      <c r="Z341" t="str">
        <f t="shared" si="109"/>
        <v>(KÖT)0533111</v>
      </c>
      <c r="AA341" t="str">
        <f t="shared" si="99"/>
        <v>61053</v>
      </c>
      <c r="AB341" t="str">
        <f t="shared" si="100"/>
        <v>(KÖT)053</v>
      </c>
      <c r="AC341" t="str">
        <f t="shared" si="101"/>
        <v>61P7311130533111</v>
      </c>
      <c r="AD341" t="str">
        <f t="shared" si="102"/>
        <v>P7311130533111(KÖT)</v>
      </c>
      <c r="AE341" t="str">
        <f t="shared" si="103"/>
        <v>61P731113053</v>
      </c>
      <c r="AF341" t="str">
        <f t="shared" si="104"/>
        <v>P731113053(KÖT)</v>
      </c>
      <c r="AG341" t="str">
        <f t="shared" si="110"/>
        <v>61P731113053311111100</v>
      </c>
      <c r="AH341" t="str">
        <f t="shared" si="111"/>
        <v>P731113(KÖT)053311111100</v>
      </c>
      <c r="AI341" t="str">
        <f t="shared" si="112"/>
        <v>61P73111305311100</v>
      </c>
      <c r="AJ341" t="str">
        <f t="shared" si="113"/>
        <v>P731113053(KÖT)11100</v>
      </c>
    </row>
    <row r="342" spans="1:36" x14ac:dyDescent="0.25">
      <c r="A342" s="325" t="str">
        <f>CONCATENATE("P",'906MP'!M42)</f>
        <v>P731113</v>
      </c>
      <c r="B342">
        <f>'906MP'!H42</f>
        <v>61</v>
      </c>
      <c r="C342" t="str">
        <f>'906MP'!J42</f>
        <v>2025-01-01</v>
      </c>
      <c r="D342" t="str">
        <f>'906MP'!P42</f>
        <v>eredeti ei</v>
      </c>
      <c r="E342">
        <f>'906MP'!X42</f>
        <v>3600000</v>
      </c>
      <c r="F342" t="str">
        <f t="shared" si="105"/>
        <v>05</v>
      </c>
      <c r="G342" t="str">
        <f t="shared" si="106"/>
        <v>053</v>
      </c>
      <c r="H342" t="str">
        <f>'906MP'!Y42</f>
        <v>0533121</v>
      </c>
      <c r="I342" t="str">
        <f>'906MP'!AK42</f>
        <v>2025/EEI-731113/1</v>
      </c>
      <c r="J342" t="str">
        <f>'906MP'!T42</f>
        <v>(KÖT)</v>
      </c>
      <c r="K342" t="str">
        <f>'906MP'!AJ42</f>
        <v/>
      </c>
      <c r="L342" t="str">
        <f>'906MP'!U42</f>
        <v>11100</v>
      </c>
      <c r="M342" s="322" t="str">
        <f>IFERROR(VLOOKUP(A342,PAR!$D$3:$E$53,2,FALSE),"nincs szervezet")</f>
        <v>Nagymaros Város Önkormányzata</v>
      </c>
      <c r="N342" s="322" t="str">
        <f>VLOOKUP(F342,PAR!$R$3:$S$5,2,FALSE)</f>
        <v>2 - Kiadás</v>
      </c>
      <c r="O342" t="str">
        <f>IFERROR(VLOOKUP(J342,PAR!$O$3:$P$5,2,FALSE),"nincs feladat")</f>
        <v>1 - (KÖT)</v>
      </c>
      <c r="P342" t="str">
        <f>IFERROR(VLOOKUP(G342,PAR!$J$2:$M$19,4),"nincs rovat")</f>
        <v>K3 - Dologi kiadások</v>
      </c>
      <c r="Q342" t="str">
        <f>IF(H342&gt;0,VLOOKUP(H342,PAR!$AA$3:$AC$187,3,FALSE),"nincs főkönyvi számla")</f>
        <v>0533121 -  Gázenergia szolgáltatás díja előirányzata</v>
      </c>
      <c r="R342" t="str">
        <f>IFERROR(VLOOKUP(K342,PAR!$V$3:$X$438,3,FALSE),"000000 - Nincs COFOG")</f>
        <v>000000 - Nincs COFOG</v>
      </c>
      <c r="S342">
        <f t="shared" si="107"/>
        <v>3600000</v>
      </c>
      <c r="T342">
        <f t="shared" si="108"/>
        <v>3600000</v>
      </c>
      <c r="U342" t="str">
        <f>IF('906MP'!J42&gt;0,CONCATENATE('906MP'!J42," - ",'906MP'!P42,", ",'906MP'!E42),"nincs megjegyzés")</f>
        <v>2025-01-01 - eredeti ei, 2025/EEI-731113/1</v>
      </c>
      <c r="V342" t="str">
        <f t="shared" si="95"/>
        <v>61P731113053</v>
      </c>
      <c r="W342" t="str">
        <f t="shared" si="96"/>
        <v>61P73111305</v>
      </c>
      <c r="X342" t="str">
        <f t="shared" si="97"/>
        <v>P7311130533121</v>
      </c>
      <c r="Y342" t="str">
        <f t="shared" si="98"/>
        <v>610533121</v>
      </c>
      <c r="Z342" t="str">
        <f t="shared" si="109"/>
        <v>(KÖT)0533121</v>
      </c>
      <c r="AA342" t="str">
        <f t="shared" si="99"/>
        <v>61053</v>
      </c>
      <c r="AB342" t="str">
        <f t="shared" si="100"/>
        <v>(KÖT)053</v>
      </c>
      <c r="AC342" t="str">
        <f t="shared" si="101"/>
        <v>61P7311130533121</v>
      </c>
      <c r="AD342" t="str">
        <f t="shared" si="102"/>
        <v>P7311130533121(KÖT)</v>
      </c>
      <c r="AE342" t="str">
        <f t="shared" si="103"/>
        <v>61P731113053</v>
      </c>
      <c r="AF342" t="str">
        <f t="shared" si="104"/>
        <v>P731113053(KÖT)</v>
      </c>
      <c r="AG342" t="str">
        <f t="shared" si="110"/>
        <v>61P731113053312111100</v>
      </c>
      <c r="AH342" t="str">
        <f t="shared" si="111"/>
        <v>P731113(KÖT)053312111100</v>
      </c>
      <c r="AI342" t="str">
        <f t="shared" si="112"/>
        <v>61P73111305311100</v>
      </c>
      <c r="AJ342" t="str">
        <f t="shared" si="113"/>
        <v>P731113053(KÖT)11100</v>
      </c>
    </row>
    <row r="343" spans="1:36" x14ac:dyDescent="0.25">
      <c r="A343" s="325" t="str">
        <f>CONCATENATE("P",'906MP'!M43)</f>
        <v>P731113</v>
      </c>
      <c r="B343">
        <f>'906MP'!H43</f>
        <v>61</v>
      </c>
      <c r="C343" t="str">
        <f>'906MP'!J43</f>
        <v>2025-01-01</v>
      </c>
      <c r="D343" t="str">
        <f>'906MP'!P43</f>
        <v>eredeti ei</v>
      </c>
      <c r="E343">
        <f>'906MP'!X43</f>
        <v>9000000</v>
      </c>
      <c r="F343" t="str">
        <f t="shared" si="105"/>
        <v>05</v>
      </c>
      <c r="G343" t="str">
        <f t="shared" si="106"/>
        <v>053</v>
      </c>
      <c r="H343" t="str">
        <f>'906MP'!Y43</f>
        <v>0533141</v>
      </c>
      <c r="I343" t="str">
        <f>'906MP'!AK43</f>
        <v>2025/EEI-731113/1</v>
      </c>
      <c r="J343" t="str">
        <f>'906MP'!T43</f>
        <v>(KÖT)</v>
      </c>
      <c r="K343" t="str">
        <f>'906MP'!AJ43</f>
        <v/>
      </c>
      <c r="L343" t="str">
        <f>'906MP'!U43</f>
        <v>11100</v>
      </c>
      <c r="M343" s="322" t="str">
        <f>IFERROR(VLOOKUP(A343,PAR!$D$3:$E$53,2,FALSE),"nincs szervezet")</f>
        <v>Nagymaros Város Önkormányzata</v>
      </c>
      <c r="N343" s="322" t="str">
        <f>VLOOKUP(F343,PAR!$R$3:$S$5,2,FALSE)</f>
        <v>2 - Kiadás</v>
      </c>
      <c r="O343" t="str">
        <f>IFERROR(VLOOKUP(J343,PAR!$O$3:$P$5,2,FALSE),"nincs feladat")</f>
        <v>1 - (KÖT)</v>
      </c>
      <c r="P343" t="str">
        <f>IFERROR(VLOOKUP(G343,PAR!$J$2:$M$19,4),"nincs rovat")</f>
        <v>K3 - Dologi kiadások</v>
      </c>
      <c r="Q343" t="str">
        <f>IF(H343&gt;0,VLOOKUP(H343,PAR!$AA$3:$AC$187,3,FALSE),"nincs főkönyvi számla")</f>
        <v>0533141 -  Víz- és csatorna szolgáltatás díja előirányzata</v>
      </c>
      <c r="R343" t="str">
        <f>IFERROR(VLOOKUP(K343,PAR!$V$3:$X$438,3,FALSE),"000000 - Nincs COFOG")</f>
        <v>000000 - Nincs COFOG</v>
      </c>
      <c r="S343">
        <f t="shared" si="107"/>
        <v>9000000</v>
      </c>
      <c r="T343">
        <f t="shared" si="108"/>
        <v>9000000</v>
      </c>
      <c r="U343" t="str">
        <f>IF('906MP'!J43&gt;0,CONCATENATE('906MP'!J43," - ",'906MP'!P43,", ",'906MP'!E43),"nincs megjegyzés")</f>
        <v>2025-01-01 - eredeti ei, 2025/EEI-731113/1</v>
      </c>
      <c r="V343" t="str">
        <f t="shared" si="95"/>
        <v>61P731113053</v>
      </c>
      <c r="W343" t="str">
        <f t="shared" si="96"/>
        <v>61P73111305</v>
      </c>
      <c r="X343" t="str">
        <f t="shared" si="97"/>
        <v>P7311130533141</v>
      </c>
      <c r="Y343" t="str">
        <f t="shared" si="98"/>
        <v>610533141</v>
      </c>
      <c r="Z343" t="str">
        <f t="shared" si="109"/>
        <v>(KÖT)0533141</v>
      </c>
      <c r="AA343" t="str">
        <f t="shared" si="99"/>
        <v>61053</v>
      </c>
      <c r="AB343" t="str">
        <f t="shared" si="100"/>
        <v>(KÖT)053</v>
      </c>
      <c r="AC343" t="str">
        <f t="shared" si="101"/>
        <v>61P7311130533141</v>
      </c>
      <c r="AD343" t="str">
        <f t="shared" si="102"/>
        <v>P7311130533141(KÖT)</v>
      </c>
      <c r="AE343" t="str">
        <f t="shared" si="103"/>
        <v>61P731113053</v>
      </c>
      <c r="AF343" t="str">
        <f t="shared" si="104"/>
        <v>P731113053(KÖT)</v>
      </c>
      <c r="AG343" t="str">
        <f t="shared" si="110"/>
        <v>61P731113053314111100</v>
      </c>
      <c r="AH343" t="str">
        <f t="shared" si="111"/>
        <v>P731113(KÖT)053314111100</v>
      </c>
      <c r="AI343" t="str">
        <f t="shared" si="112"/>
        <v>61P73111305311100</v>
      </c>
      <c r="AJ343" t="str">
        <f t="shared" si="113"/>
        <v>P731113053(KÖT)11100</v>
      </c>
    </row>
    <row r="344" spans="1:36" x14ac:dyDescent="0.25">
      <c r="A344" s="325" t="str">
        <f>CONCATENATE("P",'906MP'!M44)</f>
        <v>P731113</v>
      </c>
      <c r="B344">
        <f>'906MP'!H44</f>
        <v>61</v>
      </c>
      <c r="C344" t="str">
        <f>'906MP'!J44</f>
        <v>2025-01-01</v>
      </c>
      <c r="D344" t="str">
        <f>'906MP'!P44</f>
        <v>eredeti ei</v>
      </c>
      <c r="E344">
        <f>'906MP'!X44</f>
        <v>138916890</v>
      </c>
      <c r="F344" t="str">
        <f t="shared" si="105"/>
        <v>05</v>
      </c>
      <c r="G344" t="str">
        <f t="shared" si="106"/>
        <v>053</v>
      </c>
      <c r="H344" t="str">
        <f>'906MP'!Y44</f>
        <v>053321</v>
      </c>
      <c r="I344" t="str">
        <f>'906MP'!AK44</f>
        <v>2025/EEI-731113/1</v>
      </c>
      <c r="J344" t="str">
        <f>'906MP'!T44</f>
        <v>(KÖT)</v>
      </c>
      <c r="K344" t="str">
        <f>'906MP'!AJ44</f>
        <v/>
      </c>
      <c r="L344" t="str">
        <f>'906MP'!U44</f>
        <v>11100</v>
      </c>
      <c r="M344" s="322" t="str">
        <f>IFERROR(VLOOKUP(A344,PAR!$D$3:$E$53,2,FALSE),"nincs szervezet")</f>
        <v>Nagymaros Város Önkormányzata</v>
      </c>
      <c r="N344" s="322" t="str">
        <f>VLOOKUP(F344,PAR!$R$3:$S$5,2,FALSE)</f>
        <v>2 - Kiadás</v>
      </c>
      <c r="O344" t="str">
        <f>IFERROR(VLOOKUP(J344,PAR!$O$3:$P$5,2,FALSE),"nincs feladat")</f>
        <v>1 - (KÖT)</v>
      </c>
      <c r="P344" t="str">
        <f>IFERROR(VLOOKUP(G344,PAR!$J$2:$M$19,4),"nincs rovat")</f>
        <v>K3 - Dologi kiadások</v>
      </c>
      <c r="Q344" t="str">
        <f>IF(H344&gt;0,VLOOKUP(H344,PAR!$AA$3:$AC$187,3,FALSE),"nincs főkönyvi számla")</f>
        <v>053321 -  Vásárolt élelmezés előirányzata</v>
      </c>
      <c r="R344" t="str">
        <f>IFERROR(VLOOKUP(K344,PAR!$V$3:$X$438,3,FALSE),"000000 - Nincs COFOG")</f>
        <v>000000 - Nincs COFOG</v>
      </c>
      <c r="S344">
        <f t="shared" si="107"/>
        <v>138916890</v>
      </c>
      <c r="T344">
        <f t="shared" si="108"/>
        <v>138916890</v>
      </c>
      <c r="U344" t="str">
        <f>IF('906MP'!J44&gt;0,CONCATENATE('906MP'!J44," - ",'906MP'!P44,", ",'906MP'!E44),"nincs megjegyzés")</f>
        <v>2025-01-01 - eredeti ei, 2025/EEI-731113/1</v>
      </c>
      <c r="V344" t="str">
        <f t="shared" si="95"/>
        <v>61P731113053</v>
      </c>
      <c r="W344" t="str">
        <f t="shared" si="96"/>
        <v>61P73111305</v>
      </c>
      <c r="X344" t="str">
        <f t="shared" si="97"/>
        <v>P731113053321</v>
      </c>
      <c r="Y344" t="str">
        <f t="shared" si="98"/>
        <v>61053321</v>
      </c>
      <c r="Z344" t="str">
        <f t="shared" si="109"/>
        <v>(KÖT)053321</v>
      </c>
      <c r="AA344" t="str">
        <f t="shared" si="99"/>
        <v>61053</v>
      </c>
      <c r="AB344" t="str">
        <f t="shared" si="100"/>
        <v>(KÖT)053</v>
      </c>
      <c r="AC344" t="str">
        <f t="shared" si="101"/>
        <v>61P731113053321</v>
      </c>
      <c r="AD344" t="str">
        <f t="shared" si="102"/>
        <v>P731113053321(KÖT)</v>
      </c>
      <c r="AE344" t="str">
        <f t="shared" si="103"/>
        <v>61P731113053</v>
      </c>
      <c r="AF344" t="str">
        <f t="shared" si="104"/>
        <v>P731113053(KÖT)</v>
      </c>
      <c r="AG344" t="str">
        <f t="shared" si="110"/>
        <v>61P73111305332111100</v>
      </c>
      <c r="AH344" t="str">
        <f t="shared" si="111"/>
        <v>P731113(KÖT)05332111100</v>
      </c>
      <c r="AI344" t="str">
        <f t="shared" si="112"/>
        <v>61P73111305311100</v>
      </c>
      <c r="AJ344" t="str">
        <f t="shared" si="113"/>
        <v>P731113053(KÖT)11100</v>
      </c>
    </row>
    <row r="345" spans="1:36" x14ac:dyDescent="0.25">
      <c r="A345" s="325" t="str">
        <f>CONCATENATE("P",'906MP'!M45)</f>
        <v>P731113</v>
      </c>
      <c r="B345">
        <f>'906MP'!H45</f>
        <v>61</v>
      </c>
      <c r="C345" t="str">
        <f>'906MP'!J45</f>
        <v>2025-01-01</v>
      </c>
      <c r="D345" t="str">
        <f>'906MP'!P45</f>
        <v>eredeti ei</v>
      </c>
      <c r="E345">
        <f>'906MP'!X45</f>
        <v>300000</v>
      </c>
      <c r="F345" t="str">
        <f t="shared" si="105"/>
        <v>05</v>
      </c>
      <c r="G345" t="str">
        <f t="shared" si="106"/>
        <v>053</v>
      </c>
      <c r="H345" t="str">
        <f>'906MP'!Y45</f>
        <v>053331</v>
      </c>
      <c r="I345" t="str">
        <f>'906MP'!AK45</f>
        <v>2025/EEI-731113/1</v>
      </c>
      <c r="J345" t="str">
        <f>'906MP'!T45</f>
        <v>(KÖT)</v>
      </c>
      <c r="K345" t="str">
        <f>'906MP'!AJ45</f>
        <v/>
      </c>
      <c r="L345" t="str">
        <f>'906MP'!U45</f>
        <v>11100</v>
      </c>
      <c r="M345" s="322" t="str">
        <f>IFERROR(VLOOKUP(A345,PAR!$D$3:$E$53,2,FALSE),"nincs szervezet")</f>
        <v>Nagymaros Város Önkormányzata</v>
      </c>
      <c r="N345" s="322" t="str">
        <f>VLOOKUP(F345,PAR!$R$3:$S$5,2,FALSE)</f>
        <v>2 - Kiadás</v>
      </c>
      <c r="O345" t="str">
        <f>IFERROR(VLOOKUP(J345,PAR!$O$3:$P$5,2,FALSE),"nincs feladat")</f>
        <v>1 - (KÖT)</v>
      </c>
      <c r="P345" t="str">
        <f>IFERROR(VLOOKUP(G345,PAR!$J$2:$M$19,4),"nincs rovat")</f>
        <v>K3 - Dologi kiadások</v>
      </c>
      <c r="Q345" t="str">
        <f>IF(H345&gt;0,VLOOKUP(H345,PAR!$AA$3:$AC$187,3,FALSE),"nincs főkönyvi számla")</f>
        <v>053331 -  Bérleti és lízing díjak előirányzata</v>
      </c>
      <c r="R345" t="str">
        <f>IFERROR(VLOOKUP(K345,PAR!$V$3:$X$438,3,FALSE),"000000 - Nincs COFOG")</f>
        <v>000000 - Nincs COFOG</v>
      </c>
      <c r="S345">
        <f t="shared" si="107"/>
        <v>300000</v>
      </c>
      <c r="T345">
        <f t="shared" si="108"/>
        <v>300000</v>
      </c>
      <c r="U345" t="str">
        <f>IF('906MP'!J45&gt;0,CONCATENATE('906MP'!J45," - ",'906MP'!P45,", ",'906MP'!E45),"nincs megjegyzés")</f>
        <v>2025-01-01 - eredeti ei, 2025/EEI-731113/1</v>
      </c>
      <c r="V345" t="str">
        <f t="shared" si="95"/>
        <v>61P731113053</v>
      </c>
      <c r="W345" t="str">
        <f t="shared" si="96"/>
        <v>61P73111305</v>
      </c>
      <c r="X345" t="str">
        <f t="shared" si="97"/>
        <v>P731113053331</v>
      </c>
      <c r="Y345" t="str">
        <f t="shared" si="98"/>
        <v>61053331</v>
      </c>
      <c r="Z345" t="str">
        <f t="shared" si="109"/>
        <v>(KÖT)053331</v>
      </c>
      <c r="AA345" t="str">
        <f t="shared" si="99"/>
        <v>61053</v>
      </c>
      <c r="AB345" t="str">
        <f t="shared" si="100"/>
        <v>(KÖT)053</v>
      </c>
      <c r="AC345" t="str">
        <f t="shared" si="101"/>
        <v>61P731113053331</v>
      </c>
      <c r="AD345" t="str">
        <f t="shared" si="102"/>
        <v>P731113053331(KÖT)</v>
      </c>
      <c r="AE345" t="str">
        <f t="shared" si="103"/>
        <v>61P731113053</v>
      </c>
      <c r="AF345" t="str">
        <f t="shared" si="104"/>
        <v>P731113053(KÖT)</v>
      </c>
      <c r="AG345" t="str">
        <f t="shared" si="110"/>
        <v>61P73111305333111100</v>
      </c>
      <c r="AH345" t="str">
        <f t="shared" si="111"/>
        <v>P731113(KÖT)05333111100</v>
      </c>
      <c r="AI345" t="str">
        <f t="shared" si="112"/>
        <v>61P73111305311100</v>
      </c>
      <c r="AJ345" t="str">
        <f t="shared" si="113"/>
        <v>P731113053(KÖT)11100</v>
      </c>
    </row>
    <row r="346" spans="1:36" x14ac:dyDescent="0.25">
      <c r="A346" s="325" t="str">
        <f>CONCATENATE("P",'906MP'!M46)</f>
        <v>P731113</v>
      </c>
      <c r="B346">
        <f>'906MP'!H46</f>
        <v>61</v>
      </c>
      <c r="C346" t="str">
        <f>'906MP'!J46</f>
        <v>2025-01-01</v>
      </c>
      <c r="D346" t="str">
        <f>'906MP'!P46</f>
        <v>eredeti ei</v>
      </c>
      <c r="E346">
        <f>'906MP'!X46</f>
        <v>18558734</v>
      </c>
      <c r="F346" t="str">
        <f t="shared" si="105"/>
        <v>05</v>
      </c>
      <c r="G346" t="str">
        <f t="shared" si="106"/>
        <v>053</v>
      </c>
      <c r="H346" t="str">
        <f>'906MP'!Y46</f>
        <v>053341</v>
      </c>
      <c r="I346" t="str">
        <f>'906MP'!AK46</f>
        <v>2025/EEI-731113/1</v>
      </c>
      <c r="J346" t="str">
        <f>'906MP'!T46</f>
        <v>(KÖT)</v>
      </c>
      <c r="K346" t="str">
        <f>'906MP'!AJ46</f>
        <v/>
      </c>
      <c r="L346" t="str">
        <f>'906MP'!U46</f>
        <v>11100</v>
      </c>
      <c r="M346" s="322" t="str">
        <f>IFERROR(VLOOKUP(A346,PAR!$D$3:$E$53,2,FALSE),"nincs szervezet")</f>
        <v>Nagymaros Város Önkormányzata</v>
      </c>
      <c r="N346" s="322" t="str">
        <f>VLOOKUP(F346,PAR!$R$3:$S$5,2,FALSE)</f>
        <v>2 - Kiadás</v>
      </c>
      <c r="O346" t="str">
        <f>IFERROR(VLOOKUP(J346,PAR!$O$3:$P$5,2,FALSE),"nincs feladat")</f>
        <v>1 - (KÖT)</v>
      </c>
      <c r="P346" t="str">
        <f>IFERROR(VLOOKUP(G346,PAR!$J$2:$M$19,4),"nincs rovat")</f>
        <v>K3 - Dologi kiadások</v>
      </c>
      <c r="Q346" t="str">
        <f>IF(H346&gt;0,VLOOKUP(H346,PAR!$AA$3:$AC$187,3,FALSE),"nincs főkönyvi számla")</f>
        <v>053341 -  Karbantartási, kisjavítási szolgáltatások előirányzata</v>
      </c>
      <c r="R346" t="str">
        <f>IFERROR(VLOOKUP(K346,PAR!$V$3:$X$438,3,FALSE),"000000 - Nincs COFOG")</f>
        <v>000000 - Nincs COFOG</v>
      </c>
      <c r="S346">
        <f t="shared" si="107"/>
        <v>18558734</v>
      </c>
      <c r="T346">
        <f t="shared" si="108"/>
        <v>18558734</v>
      </c>
      <c r="U346" t="str">
        <f>IF('906MP'!J46&gt;0,CONCATENATE('906MP'!J46," - ",'906MP'!P46,", ",'906MP'!E46),"nincs megjegyzés")</f>
        <v>2025-01-01 - eredeti ei, 2025/EEI-731113/1</v>
      </c>
      <c r="V346" t="str">
        <f t="shared" si="95"/>
        <v>61P731113053</v>
      </c>
      <c r="W346" t="str">
        <f t="shared" si="96"/>
        <v>61P73111305</v>
      </c>
      <c r="X346" t="str">
        <f t="shared" si="97"/>
        <v>P731113053341</v>
      </c>
      <c r="Y346" t="str">
        <f t="shared" si="98"/>
        <v>61053341</v>
      </c>
      <c r="Z346" t="str">
        <f t="shared" si="109"/>
        <v>(KÖT)053341</v>
      </c>
      <c r="AA346" t="str">
        <f t="shared" si="99"/>
        <v>61053</v>
      </c>
      <c r="AB346" t="str">
        <f t="shared" si="100"/>
        <v>(KÖT)053</v>
      </c>
      <c r="AC346" t="str">
        <f t="shared" si="101"/>
        <v>61P731113053341</v>
      </c>
      <c r="AD346" t="str">
        <f t="shared" si="102"/>
        <v>P731113053341(KÖT)</v>
      </c>
      <c r="AE346" t="str">
        <f t="shared" si="103"/>
        <v>61P731113053</v>
      </c>
      <c r="AF346" t="str">
        <f t="shared" si="104"/>
        <v>P731113053(KÖT)</v>
      </c>
      <c r="AG346" t="str">
        <f t="shared" si="110"/>
        <v>61P73111305334111100</v>
      </c>
      <c r="AH346" t="str">
        <f t="shared" si="111"/>
        <v>P731113(KÖT)05334111100</v>
      </c>
      <c r="AI346" t="str">
        <f t="shared" si="112"/>
        <v>61P73111305311100</v>
      </c>
      <c r="AJ346" t="str">
        <f t="shared" si="113"/>
        <v>P731113053(KÖT)11100</v>
      </c>
    </row>
    <row r="347" spans="1:36" x14ac:dyDescent="0.25">
      <c r="A347" s="325" t="str">
        <f>CONCATENATE("P",'906MP'!M47)</f>
        <v>P731113</v>
      </c>
      <c r="B347">
        <f>'906MP'!H47</f>
        <v>61</v>
      </c>
      <c r="C347" t="str">
        <f>'906MP'!J47</f>
        <v>2025-01-01</v>
      </c>
      <c r="D347" t="str">
        <f>'906MP'!P47</f>
        <v>eredeti ei</v>
      </c>
      <c r="E347">
        <f>'906MP'!X47</f>
        <v>15000000</v>
      </c>
      <c r="F347" t="str">
        <f t="shared" si="105"/>
        <v>05</v>
      </c>
      <c r="G347" t="str">
        <f t="shared" si="106"/>
        <v>053</v>
      </c>
      <c r="H347" t="str">
        <f>'906MP'!Y47</f>
        <v>053351</v>
      </c>
      <c r="I347" t="str">
        <f>'906MP'!AK47</f>
        <v>2025/EEI-731113/1</v>
      </c>
      <c r="J347" t="str">
        <f>'906MP'!T47</f>
        <v>(KÖT)</v>
      </c>
      <c r="K347" t="str">
        <f>'906MP'!AJ47</f>
        <v/>
      </c>
      <c r="L347" t="str">
        <f>'906MP'!U47</f>
        <v>11100</v>
      </c>
      <c r="M347" s="322" t="str">
        <f>IFERROR(VLOOKUP(A347,PAR!$D$3:$E$53,2,FALSE),"nincs szervezet")</f>
        <v>Nagymaros Város Önkormányzata</v>
      </c>
      <c r="N347" s="322" t="str">
        <f>VLOOKUP(F347,PAR!$R$3:$S$5,2,FALSE)</f>
        <v>2 - Kiadás</v>
      </c>
      <c r="O347" t="str">
        <f>IFERROR(VLOOKUP(J347,PAR!$O$3:$P$5,2,FALSE),"nincs feladat")</f>
        <v>1 - (KÖT)</v>
      </c>
      <c r="P347" t="str">
        <f>IFERROR(VLOOKUP(G347,PAR!$J$2:$M$19,4),"nincs rovat")</f>
        <v>K3 - Dologi kiadások</v>
      </c>
      <c r="Q347" t="str">
        <f>IF(H347&gt;0,VLOOKUP(H347,PAR!$AA$3:$AC$187,3,FALSE),"nincs főkönyvi számla")</f>
        <v>053351 -  Közvetített szolgáltatások előirányzata</v>
      </c>
      <c r="R347" t="str">
        <f>IFERROR(VLOOKUP(K347,PAR!$V$3:$X$438,3,FALSE),"000000 - Nincs COFOG")</f>
        <v>000000 - Nincs COFOG</v>
      </c>
      <c r="S347">
        <f t="shared" si="107"/>
        <v>15000000</v>
      </c>
      <c r="T347">
        <f t="shared" si="108"/>
        <v>15000000</v>
      </c>
      <c r="U347" t="str">
        <f>IF('906MP'!J47&gt;0,CONCATENATE('906MP'!J47," - ",'906MP'!P47,", ",'906MP'!E47),"nincs megjegyzés")</f>
        <v>2025-01-01 - eredeti ei, 2025/EEI-731113/1</v>
      </c>
      <c r="V347" t="str">
        <f t="shared" si="95"/>
        <v>61P731113053</v>
      </c>
      <c r="W347" t="str">
        <f t="shared" si="96"/>
        <v>61P73111305</v>
      </c>
      <c r="X347" t="str">
        <f t="shared" si="97"/>
        <v>P731113053351</v>
      </c>
      <c r="Y347" t="str">
        <f t="shared" si="98"/>
        <v>61053351</v>
      </c>
      <c r="Z347" t="str">
        <f t="shared" si="109"/>
        <v>(KÖT)053351</v>
      </c>
      <c r="AA347" t="str">
        <f t="shared" si="99"/>
        <v>61053</v>
      </c>
      <c r="AB347" t="str">
        <f t="shared" si="100"/>
        <v>(KÖT)053</v>
      </c>
      <c r="AC347" t="str">
        <f t="shared" si="101"/>
        <v>61P731113053351</v>
      </c>
      <c r="AD347" t="str">
        <f t="shared" si="102"/>
        <v>P731113053351(KÖT)</v>
      </c>
      <c r="AE347" t="str">
        <f t="shared" si="103"/>
        <v>61P731113053</v>
      </c>
      <c r="AF347" t="str">
        <f t="shared" si="104"/>
        <v>P731113053(KÖT)</v>
      </c>
      <c r="AG347" t="str">
        <f t="shared" si="110"/>
        <v>61P73111305335111100</v>
      </c>
      <c r="AH347" t="str">
        <f t="shared" si="111"/>
        <v>P731113(KÖT)05335111100</v>
      </c>
      <c r="AI347" t="str">
        <f t="shared" si="112"/>
        <v>61P73111305311100</v>
      </c>
      <c r="AJ347" t="str">
        <f t="shared" si="113"/>
        <v>P731113053(KÖT)11100</v>
      </c>
    </row>
    <row r="348" spans="1:36" x14ac:dyDescent="0.25">
      <c r="A348" s="325" t="str">
        <f>CONCATENATE("P",'906MP'!M48)</f>
        <v>P731113</v>
      </c>
      <c r="B348">
        <f>'906MP'!H48</f>
        <v>61</v>
      </c>
      <c r="C348" t="str">
        <f>'906MP'!J48</f>
        <v>2025-01-01</v>
      </c>
      <c r="D348" t="str">
        <f>'906MP'!P48</f>
        <v>eredeti ei</v>
      </c>
      <c r="E348">
        <f>'906MP'!X48</f>
        <v>6471811</v>
      </c>
      <c r="F348" t="str">
        <f t="shared" si="105"/>
        <v>05</v>
      </c>
      <c r="G348" t="str">
        <f t="shared" si="106"/>
        <v>053</v>
      </c>
      <c r="H348" t="str">
        <f>'906MP'!Y48</f>
        <v>053361</v>
      </c>
      <c r="I348" t="str">
        <f>'906MP'!AK48</f>
        <v>2025/EEI-731113/1</v>
      </c>
      <c r="J348" t="str">
        <f>'906MP'!T48</f>
        <v>(KÖT)</v>
      </c>
      <c r="K348" t="str">
        <f>'906MP'!AJ48</f>
        <v/>
      </c>
      <c r="L348" t="str">
        <f>'906MP'!U48</f>
        <v>11100</v>
      </c>
      <c r="M348" s="322" t="str">
        <f>IFERROR(VLOOKUP(A348,PAR!$D$3:$E$53,2,FALSE),"nincs szervezet")</f>
        <v>Nagymaros Város Önkormányzata</v>
      </c>
      <c r="N348" s="322" t="str">
        <f>VLOOKUP(F348,PAR!$R$3:$S$5,2,FALSE)</f>
        <v>2 - Kiadás</v>
      </c>
      <c r="O348" t="str">
        <f>IFERROR(VLOOKUP(J348,PAR!$O$3:$P$5,2,FALSE),"nincs feladat")</f>
        <v>1 - (KÖT)</v>
      </c>
      <c r="P348" t="str">
        <f>IFERROR(VLOOKUP(G348,PAR!$J$2:$M$19,4),"nincs rovat")</f>
        <v>K3 - Dologi kiadások</v>
      </c>
      <c r="Q348" t="str">
        <f>IF(H348&gt;0,VLOOKUP(H348,PAR!$AA$3:$AC$187,3,FALSE),"nincs főkönyvi számla")</f>
        <v>053361 -  Szakmai tevékenységet segítő szolgáltatások előirányzata</v>
      </c>
      <c r="R348" t="str">
        <f>IFERROR(VLOOKUP(K348,PAR!$V$3:$X$438,3,FALSE),"000000 - Nincs COFOG")</f>
        <v>000000 - Nincs COFOG</v>
      </c>
      <c r="S348">
        <f t="shared" si="107"/>
        <v>6471811</v>
      </c>
      <c r="T348">
        <f t="shared" si="108"/>
        <v>6471811</v>
      </c>
      <c r="U348" t="str">
        <f>IF('906MP'!J48&gt;0,CONCATENATE('906MP'!J48," - ",'906MP'!P48,", ",'906MP'!E48),"nincs megjegyzés")</f>
        <v>2025-01-01 - eredeti ei, 2025/EEI-731113/1</v>
      </c>
      <c r="V348" t="str">
        <f t="shared" si="95"/>
        <v>61P731113053</v>
      </c>
      <c r="W348" t="str">
        <f t="shared" si="96"/>
        <v>61P73111305</v>
      </c>
      <c r="X348" t="str">
        <f t="shared" si="97"/>
        <v>P731113053361</v>
      </c>
      <c r="Y348" t="str">
        <f t="shared" si="98"/>
        <v>61053361</v>
      </c>
      <c r="Z348" t="str">
        <f t="shared" si="109"/>
        <v>(KÖT)053361</v>
      </c>
      <c r="AA348" t="str">
        <f t="shared" si="99"/>
        <v>61053</v>
      </c>
      <c r="AB348" t="str">
        <f t="shared" si="100"/>
        <v>(KÖT)053</v>
      </c>
      <c r="AC348" t="str">
        <f t="shared" si="101"/>
        <v>61P731113053361</v>
      </c>
      <c r="AD348" t="str">
        <f t="shared" si="102"/>
        <v>P731113053361(KÖT)</v>
      </c>
      <c r="AE348" t="str">
        <f t="shared" si="103"/>
        <v>61P731113053</v>
      </c>
      <c r="AF348" t="str">
        <f t="shared" si="104"/>
        <v>P731113053(KÖT)</v>
      </c>
      <c r="AG348" t="str">
        <f t="shared" si="110"/>
        <v>61P73111305336111100</v>
      </c>
      <c r="AH348" t="str">
        <f t="shared" si="111"/>
        <v>P731113(KÖT)05336111100</v>
      </c>
      <c r="AI348" t="str">
        <f t="shared" si="112"/>
        <v>61P73111305311100</v>
      </c>
      <c r="AJ348" t="str">
        <f t="shared" si="113"/>
        <v>P731113053(KÖT)11100</v>
      </c>
    </row>
    <row r="349" spans="1:36" x14ac:dyDescent="0.25">
      <c r="A349" s="325" t="str">
        <f>CONCATENATE("P",'906MP'!M49)</f>
        <v>P731113</v>
      </c>
      <c r="B349">
        <f>'906MP'!H49</f>
        <v>61</v>
      </c>
      <c r="C349" t="str">
        <f>'906MP'!J49</f>
        <v>2025-01-01</v>
      </c>
      <c r="D349" t="str">
        <f>'906MP'!P49</f>
        <v>eredeti ei</v>
      </c>
      <c r="E349">
        <f>'906MP'!X49</f>
        <v>73602962</v>
      </c>
      <c r="F349" t="str">
        <f t="shared" si="105"/>
        <v>05</v>
      </c>
      <c r="G349" t="str">
        <f t="shared" si="106"/>
        <v>053</v>
      </c>
      <c r="H349" t="str">
        <f>'906MP'!Y49</f>
        <v>053371</v>
      </c>
      <c r="I349" t="str">
        <f>'906MP'!AK49</f>
        <v>2025/EEI-731113/1</v>
      </c>
      <c r="J349" t="str">
        <f>'906MP'!T49</f>
        <v>(KÖT)</v>
      </c>
      <c r="K349" t="str">
        <f>'906MP'!AJ49</f>
        <v/>
      </c>
      <c r="L349" t="str">
        <f>'906MP'!U49</f>
        <v>11100</v>
      </c>
      <c r="M349" s="322" t="str">
        <f>IFERROR(VLOOKUP(A349,PAR!$D$3:$E$53,2,FALSE),"nincs szervezet")</f>
        <v>Nagymaros Város Önkormányzata</v>
      </c>
      <c r="N349" s="322" t="str">
        <f>VLOOKUP(F349,PAR!$R$3:$S$5,2,FALSE)</f>
        <v>2 - Kiadás</v>
      </c>
      <c r="O349" t="str">
        <f>IFERROR(VLOOKUP(J349,PAR!$O$3:$P$5,2,FALSE),"nincs feladat")</f>
        <v>1 - (KÖT)</v>
      </c>
      <c r="P349" t="str">
        <f>IFERROR(VLOOKUP(G349,PAR!$J$2:$M$19,4),"nincs rovat")</f>
        <v>K3 - Dologi kiadások</v>
      </c>
      <c r="Q349" t="str">
        <f>IF(H349&gt;0,VLOOKUP(H349,PAR!$AA$3:$AC$187,3,FALSE),"nincs főkönyvi számla")</f>
        <v>053371 -  Egyéb szolgáltatások előirányzata</v>
      </c>
      <c r="R349" t="str">
        <f>IFERROR(VLOOKUP(K349,PAR!$V$3:$X$438,3,FALSE),"000000 - Nincs COFOG")</f>
        <v>000000 - Nincs COFOG</v>
      </c>
      <c r="S349">
        <f t="shared" si="107"/>
        <v>73602962</v>
      </c>
      <c r="T349">
        <f t="shared" si="108"/>
        <v>73602962</v>
      </c>
      <c r="U349" t="str">
        <f>IF('906MP'!J49&gt;0,CONCATENATE('906MP'!J49," - ",'906MP'!P49,", ",'906MP'!E49),"nincs megjegyzés")</f>
        <v>2025-01-01 - eredeti ei, 2025/EEI-731113/1</v>
      </c>
      <c r="V349" t="str">
        <f t="shared" si="95"/>
        <v>61P731113053</v>
      </c>
      <c r="W349" t="str">
        <f t="shared" si="96"/>
        <v>61P73111305</v>
      </c>
      <c r="X349" t="str">
        <f t="shared" si="97"/>
        <v>P731113053371</v>
      </c>
      <c r="Y349" t="str">
        <f t="shared" si="98"/>
        <v>61053371</v>
      </c>
      <c r="Z349" t="str">
        <f t="shared" si="109"/>
        <v>(KÖT)053371</v>
      </c>
      <c r="AA349" t="str">
        <f t="shared" si="99"/>
        <v>61053</v>
      </c>
      <c r="AB349" t="str">
        <f t="shared" si="100"/>
        <v>(KÖT)053</v>
      </c>
      <c r="AC349" t="str">
        <f t="shared" si="101"/>
        <v>61P731113053371</v>
      </c>
      <c r="AD349" t="str">
        <f t="shared" si="102"/>
        <v>P731113053371(KÖT)</v>
      </c>
      <c r="AE349" t="str">
        <f t="shared" si="103"/>
        <v>61P731113053</v>
      </c>
      <c r="AF349" t="str">
        <f t="shared" si="104"/>
        <v>P731113053(KÖT)</v>
      </c>
      <c r="AG349" t="str">
        <f t="shared" si="110"/>
        <v>61P73111305337111100</v>
      </c>
      <c r="AH349" t="str">
        <f t="shared" si="111"/>
        <v>P731113(KÖT)05337111100</v>
      </c>
      <c r="AI349" t="str">
        <f t="shared" si="112"/>
        <v>61P73111305311100</v>
      </c>
      <c r="AJ349" t="str">
        <f t="shared" si="113"/>
        <v>P731113053(KÖT)11100</v>
      </c>
    </row>
    <row r="350" spans="1:36" x14ac:dyDescent="0.25">
      <c r="A350" s="325" t="str">
        <f>CONCATENATE("P",'906MP'!M50)</f>
        <v>P731113</v>
      </c>
      <c r="B350">
        <f>'906MP'!H50</f>
        <v>61</v>
      </c>
      <c r="C350" t="str">
        <f>'906MP'!J50</f>
        <v>2025-01-01</v>
      </c>
      <c r="D350" t="str">
        <f>'906MP'!P50</f>
        <v>eredeti ei</v>
      </c>
      <c r="E350">
        <f>'906MP'!X50</f>
        <v>3696000</v>
      </c>
      <c r="F350" t="str">
        <f t="shared" si="105"/>
        <v>05</v>
      </c>
      <c r="G350" t="str">
        <f t="shared" si="106"/>
        <v>053</v>
      </c>
      <c r="H350" t="str">
        <f>'906MP'!Y50</f>
        <v>053421</v>
      </c>
      <c r="I350" t="str">
        <f>'906MP'!AK50</f>
        <v>2025/EEI-731113/1</v>
      </c>
      <c r="J350" t="str">
        <f>'906MP'!T50</f>
        <v>(KÖT)</v>
      </c>
      <c r="K350" t="str">
        <f>'906MP'!AJ50</f>
        <v/>
      </c>
      <c r="L350" t="str">
        <f>'906MP'!U50</f>
        <v>11100</v>
      </c>
      <c r="M350" s="322" t="str">
        <f>IFERROR(VLOOKUP(A350,PAR!$D$3:$E$53,2,FALSE),"nincs szervezet")</f>
        <v>Nagymaros Város Önkormányzata</v>
      </c>
      <c r="N350" s="322" t="str">
        <f>VLOOKUP(F350,PAR!$R$3:$S$5,2,FALSE)</f>
        <v>2 - Kiadás</v>
      </c>
      <c r="O350" t="str">
        <f>IFERROR(VLOOKUP(J350,PAR!$O$3:$P$5,2,FALSE),"nincs feladat")</f>
        <v>1 - (KÖT)</v>
      </c>
      <c r="P350" t="str">
        <f>IFERROR(VLOOKUP(G350,PAR!$J$2:$M$19,4),"nincs rovat")</f>
        <v>K3 - Dologi kiadások</v>
      </c>
      <c r="Q350" t="str">
        <f>IF(H350&gt;0,VLOOKUP(H350,PAR!$AA$3:$AC$187,3,FALSE),"nincs főkönyvi számla")</f>
        <v>053421 -  Reklám- és propagandakiadások előirányzata</v>
      </c>
      <c r="R350" t="str">
        <f>IFERROR(VLOOKUP(K350,PAR!$V$3:$X$438,3,FALSE),"000000 - Nincs COFOG")</f>
        <v>000000 - Nincs COFOG</v>
      </c>
      <c r="S350">
        <f t="shared" si="107"/>
        <v>3696000</v>
      </c>
      <c r="T350">
        <f t="shared" si="108"/>
        <v>3696000</v>
      </c>
      <c r="U350" t="str">
        <f>IF('906MP'!J50&gt;0,CONCATENATE('906MP'!J50," - ",'906MP'!P50,", ",'906MP'!E50),"nincs megjegyzés")</f>
        <v>2025-01-01 - eredeti ei, 2025/EEI-731113/1</v>
      </c>
      <c r="V350" t="str">
        <f t="shared" si="95"/>
        <v>61P731113053</v>
      </c>
      <c r="W350" t="str">
        <f t="shared" si="96"/>
        <v>61P73111305</v>
      </c>
      <c r="X350" t="str">
        <f t="shared" si="97"/>
        <v>P731113053421</v>
      </c>
      <c r="Y350" t="str">
        <f t="shared" si="98"/>
        <v>61053421</v>
      </c>
      <c r="Z350" t="str">
        <f t="shared" si="109"/>
        <v>(KÖT)053421</v>
      </c>
      <c r="AA350" t="str">
        <f t="shared" si="99"/>
        <v>61053</v>
      </c>
      <c r="AB350" t="str">
        <f t="shared" si="100"/>
        <v>(KÖT)053</v>
      </c>
      <c r="AC350" t="str">
        <f t="shared" si="101"/>
        <v>61P731113053421</v>
      </c>
      <c r="AD350" t="str">
        <f t="shared" si="102"/>
        <v>P731113053421(KÖT)</v>
      </c>
      <c r="AE350" t="str">
        <f t="shared" si="103"/>
        <v>61P731113053</v>
      </c>
      <c r="AF350" t="str">
        <f t="shared" si="104"/>
        <v>P731113053(KÖT)</v>
      </c>
      <c r="AG350" t="str">
        <f t="shared" si="110"/>
        <v>61P73111305342111100</v>
      </c>
      <c r="AH350" t="str">
        <f t="shared" si="111"/>
        <v>P731113(KÖT)05342111100</v>
      </c>
      <c r="AI350" t="str">
        <f t="shared" si="112"/>
        <v>61P73111305311100</v>
      </c>
      <c r="AJ350" t="str">
        <f t="shared" si="113"/>
        <v>P731113053(KÖT)11100</v>
      </c>
    </row>
    <row r="351" spans="1:36" x14ac:dyDescent="0.25">
      <c r="A351" s="325" t="str">
        <f>CONCATENATE("P",'906MP'!M51)</f>
        <v>P654427</v>
      </c>
      <c r="B351">
        <f>'906MP'!H51</f>
        <v>60</v>
      </c>
      <c r="C351" t="str">
        <f>'906MP'!J51</f>
        <v>2025-03-01</v>
      </c>
      <c r="D351" t="str">
        <f>'906MP'!P51</f>
        <v>módosított ei</v>
      </c>
      <c r="E351">
        <f>'906MP'!X51</f>
        <v>20000</v>
      </c>
      <c r="F351" t="str">
        <f t="shared" si="105"/>
        <v>05</v>
      </c>
      <c r="G351" t="str">
        <f t="shared" si="106"/>
        <v>051</v>
      </c>
      <c r="H351" t="str">
        <f>'906MP'!Y51</f>
        <v>051221</v>
      </c>
      <c r="I351" t="str">
        <f>'906MP'!AK51</f>
        <v>2025/MEI-654427/6</v>
      </c>
      <c r="J351" t="str">
        <f>'906MP'!T51</f>
        <v>(KÖT)</v>
      </c>
      <c r="K351" t="str">
        <f>'906MP'!AJ51</f>
        <v/>
      </c>
      <c r="L351" t="str">
        <f>'906MP'!U51</f>
        <v>13100</v>
      </c>
      <c r="M351" s="322" t="str">
        <f>IFERROR(VLOOKUP(A351,PAR!$D$3:$E$53,2,FALSE),"nincs szervezet")</f>
        <v>Nagymarosi Napköziotthonos Óvoda és Bölcsőde</v>
      </c>
      <c r="N351" s="322" t="str">
        <f>VLOOKUP(F351,PAR!$R$3:$S$5,2,FALSE)</f>
        <v>2 - Kiadás</v>
      </c>
      <c r="O351" t="str">
        <f>IFERROR(VLOOKUP(J351,PAR!$O$3:$P$5,2,FALSE),"nincs feladat")</f>
        <v>1 - (KÖT)</v>
      </c>
      <c r="P351" t="str">
        <f>IFERROR(VLOOKUP(G351,PAR!$J$2:$M$19,4),"nincs rovat")</f>
        <v>K1 - Személyi juttatások</v>
      </c>
      <c r="Q351" t="str">
        <f>IF(H351&gt;0,VLOOKUP(H351,PAR!$AA$3:$AC$187,3,FALSE),"nincs főkönyvi számla")</f>
        <v>051221 -  Munkavégzésre irányuló egyéb jogviszonyban nem saját foglalkoztatottnak fizetett juttatások előirányzata</v>
      </c>
      <c r="R351" t="str">
        <f>IFERROR(VLOOKUP(K351,PAR!$V$3:$X$438,3,FALSE),"000000 - Nincs COFOG")</f>
        <v>000000 - Nincs COFOG</v>
      </c>
      <c r="S351">
        <f t="shared" si="107"/>
        <v>20000</v>
      </c>
      <c r="T351">
        <f t="shared" si="108"/>
        <v>20000</v>
      </c>
      <c r="U351" t="str">
        <f>IF('906MP'!J51&gt;0,CONCATENATE('906MP'!J51," - ",'906MP'!P51,", ",'906MP'!E51),"nincs megjegyzés")</f>
        <v>2025-03-01 - módosított ei, 2025/MEI-654427/6</v>
      </c>
      <c r="V351" t="str">
        <f t="shared" si="95"/>
        <v>60P654427051</v>
      </c>
      <c r="W351" t="str">
        <f t="shared" si="96"/>
        <v>60P65442705</v>
      </c>
      <c r="X351" t="str">
        <f t="shared" si="97"/>
        <v>P654427051221</v>
      </c>
      <c r="Y351" t="str">
        <f t="shared" si="98"/>
        <v>60051221</v>
      </c>
      <c r="Z351" t="str">
        <f t="shared" si="109"/>
        <v>(KÖT)051221</v>
      </c>
      <c r="AA351" t="str">
        <f t="shared" si="99"/>
        <v>60051</v>
      </c>
      <c r="AB351" t="str">
        <f t="shared" si="100"/>
        <v>(KÖT)051</v>
      </c>
      <c r="AC351" t="str">
        <f t="shared" si="101"/>
        <v>60P654427051221</v>
      </c>
      <c r="AD351" t="str">
        <f t="shared" si="102"/>
        <v>P654427051221(KÖT)</v>
      </c>
      <c r="AE351" t="str">
        <f t="shared" si="103"/>
        <v>60P654427051</v>
      </c>
      <c r="AF351" t="str">
        <f t="shared" si="104"/>
        <v>P654427051(KÖT)</v>
      </c>
      <c r="AG351" t="str">
        <f t="shared" si="110"/>
        <v>60P65442705122113100</v>
      </c>
      <c r="AH351" t="str">
        <f t="shared" si="111"/>
        <v>P654427(KÖT)05122113100</v>
      </c>
      <c r="AI351" t="str">
        <f t="shared" si="112"/>
        <v>60P65442705113100</v>
      </c>
      <c r="AJ351" t="str">
        <f t="shared" si="113"/>
        <v>P654427051(KÖT)13100</v>
      </c>
    </row>
    <row r="352" spans="1:36" x14ac:dyDescent="0.25">
      <c r="A352" s="325" t="str">
        <f>CONCATENATE("P",'906MP'!M52)</f>
        <v>P731113</v>
      </c>
      <c r="B352">
        <f>'906MP'!H52</f>
        <v>61</v>
      </c>
      <c r="C352" t="str">
        <f>'906MP'!J52</f>
        <v>2025-01-01</v>
      </c>
      <c r="D352" t="str">
        <f>'906MP'!P52</f>
        <v>eredeti ei</v>
      </c>
      <c r="E352">
        <f>'906MP'!X52</f>
        <v>3347600</v>
      </c>
      <c r="F352" t="str">
        <f t="shared" si="105"/>
        <v>05</v>
      </c>
      <c r="G352" t="str">
        <f t="shared" si="106"/>
        <v>053</v>
      </c>
      <c r="H352" t="str">
        <f>'906MP'!Y52</f>
        <v>053551</v>
      </c>
      <c r="I352" t="str">
        <f>'906MP'!AK52</f>
        <v>2025/EEI-731113/1</v>
      </c>
      <c r="J352" t="str">
        <f>'906MP'!T52</f>
        <v>(KÖT)</v>
      </c>
      <c r="K352" t="str">
        <f>'906MP'!AJ52</f>
        <v/>
      </c>
      <c r="L352" t="str">
        <f>'906MP'!U52</f>
        <v>11100</v>
      </c>
      <c r="M352" s="322" t="str">
        <f>IFERROR(VLOOKUP(A352,PAR!$D$3:$E$53,2,FALSE),"nincs szervezet")</f>
        <v>Nagymaros Város Önkormányzata</v>
      </c>
      <c r="N352" s="322" t="str">
        <f>VLOOKUP(F352,PAR!$R$3:$S$5,2,FALSE)</f>
        <v>2 - Kiadás</v>
      </c>
      <c r="O352" t="str">
        <f>IFERROR(VLOOKUP(J352,PAR!$O$3:$P$5,2,FALSE),"nincs feladat")</f>
        <v>1 - (KÖT)</v>
      </c>
      <c r="P352" t="str">
        <f>IFERROR(VLOOKUP(G352,PAR!$J$2:$M$19,4),"nincs rovat")</f>
        <v>K3 - Dologi kiadások</v>
      </c>
      <c r="Q352" t="str">
        <f>IF(H352&gt;0,VLOOKUP(H352,PAR!$AA$3:$AC$187,3,FALSE),"nincs főkönyvi számla")</f>
        <v>053551 -  Egyéb dologi kiadások előirányzata</v>
      </c>
      <c r="R352" t="str">
        <f>IFERROR(VLOOKUP(K352,PAR!$V$3:$X$438,3,FALSE),"000000 - Nincs COFOG")</f>
        <v>000000 - Nincs COFOG</v>
      </c>
      <c r="S352">
        <f t="shared" si="107"/>
        <v>3347600</v>
      </c>
      <c r="T352">
        <f t="shared" si="108"/>
        <v>3347600</v>
      </c>
      <c r="U352" t="str">
        <f>IF('906MP'!J52&gt;0,CONCATENATE('906MP'!J52," - ",'906MP'!P52,", ",'906MP'!E52),"nincs megjegyzés")</f>
        <v>2025-01-01 - eredeti ei, 2025/EEI-731113/1</v>
      </c>
      <c r="V352" t="str">
        <f t="shared" si="95"/>
        <v>61P731113053</v>
      </c>
      <c r="W352" t="str">
        <f t="shared" si="96"/>
        <v>61P73111305</v>
      </c>
      <c r="X352" t="str">
        <f t="shared" si="97"/>
        <v>P731113053551</v>
      </c>
      <c r="Y352" t="str">
        <f t="shared" si="98"/>
        <v>61053551</v>
      </c>
      <c r="Z352" t="str">
        <f t="shared" si="109"/>
        <v>(KÖT)053551</v>
      </c>
      <c r="AA352" t="str">
        <f t="shared" si="99"/>
        <v>61053</v>
      </c>
      <c r="AB352" t="str">
        <f t="shared" si="100"/>
        <v>(KÖT)053</v>
      </c>
      <c r="AC352" t="str">
        <f t="shared" si="101"/>
        <v>61P731113053551</v>
      </c>
      <c r="AD352" t="str">
        <f t="shared" si="102"/>
        <v>P731113053551(KÖT)</v>
      </c>
      <c r="AE352" t="str">
        <f t="shared" si="103"/>
        <v>61P731113053</v>
      </c>
      <c r="AF352" t="str">
        <f t="shared" si="104"/>
        <v>P731113053(KÖT)</v>
      </c>
      <c r="AG352" t="str">
        <f t="shared" si="110"/>
        <v>61P73111305355111100</v>
      </c>
      <c r="AH352" t="str">
        <f t="shared" si="111"/>
        <v>P731113(KÖT)05355111100</v>
      </c>
      <c r="AI352" t="str">
        <f t="shared" si="112"/>
        <v>61P73111305311100</v>
      </c>
      <c r="AJ352" t="str">
        <f t="shared" si="113"/>
        <v>P731113053(KÖT)11100</v>
      </c>
    </row>
    <row r="353" spans="1:36" x14ac:dyDescent="0.25">
      <c r="A353" s="325" t="str">
        <f>CONCATENATE("P",'906MP'!M53)</f>
        <v>P654427</v>
      </c>
      <c r="B353">
        <f>'906MP'!H53</f>
        <v>60</v>
      </c>
      <c r="C353" t="str">
        <f>'906MP'!J53</f>
        <v>2025-03-01</v>
      </c>
      <c r="D353" t="str">
        <f>'906MP'!P53</f>
        <v>módosított ei</v>
      </c>
      <c r="E353">
        <f>'906MP'!X53</f>
        <v>-20000</v>
      </c>
      <c r="F353" t="str">
        <f t="shared" si="105"/>
        <v>05</v>
      </c>
      <c r="G353" t="str">
        <f t="shared" si="106"/>
        <v>051</v>
      </c>
      <c r="H353" t="str">
        <f>'906MP'!Y53</f>
        <v>0511011</v>
      </c>
      <c r="I353" t="str">
        <f>'906MP'!AK53</f>
        <v>2025/MEI-654427/6</v>
      </c>
      <c r="J353" t="str">
        <f>'906MP'!T53</f>
        <v>(KÖT)</v>
      </c>
      <c r="K353" t="str">
        <f>'906MP'!AJ53</f>
        <v/>
      </c>
      <c r="L353" t="str">
        <f>'906MP'!U53</f>
        <v>13100</v>
      </c>
      <c r="M353" s="322" t="str">
        <f>IFERROR(VLOOKUP(A353,PAR!$D$3:$E$53,2,FALSE),"nincs szervezet")</f>
        <v>Nagymarosi Napköziotthonos Óvoda és Bölcsőde</v>
      </c>
      <c r="N353" s="322" t="str">
        <f>VLOOKUP(F353,PAR!$R$3:$S$5,2,FALSE)</f>
        <v>2 - Kiadás</v>
      </c>
      <c r="O353" t="str">
        <f>IFERROR(VLOOKUP(J353,PAR!$O$3:$P$5,2,FALSE),"nincs feladat")</f>
        <v>1 - (KÖT)</v>
      </c>
      <c r="P353" t="str">
        <f>IFERROR(VLOOKUP(G353,PAR!$J$2:$M$19,4),"nincs rovat")</f>
        <v>K1 - Személyi juttatások</v>
      </c>
      <c r="Q353" t="str">
        <f>IF(H353&gt;0,VLOOKUP(H353,PAR!$AA$3:$AC$187,3,FALSE),"nincs főkönyvi számla")</f>
        <v>0511011 -  Törvény szerinti illetmények, munkabérek előirányzata</v>
      </c>
      <c r="R353" t="str">
        <f>IFERROR(VLOOKUP(K353,PAR!$V$3:$X$438,3,FALSE),"000000 - Nincs COFOG")</f>
        <v>000000 - Nincs COFOG</v>
      </c>
      <c r="S353">
        <f t="shared" si="107"/>
        <v>-20000</v>
      </c>
      <c r="T353">
        <f t="shared" si="108"/>
        <v>-20000</v>
      </c>
      <c r="U353" t="str">
        <f>IF('906MP'!J53&gt;0,CONCATENATE('906MP'!J53," - ",'906MP'!P53,", ",'906MP'!E53),"nincs megjegyzés")</f>
        <v>2025-03-01 - módosított ei, 2025/MEI-654427/6</v>
      </c>
      <c r="V353" t="str">
        <f t="shared" si="95"/>
        <v>60P654427051</v>
      </c>
      <c r="W353" t="str">
        <f t="shared" si="96"/>
        <v>60P65442705</v>
      </c>
      <c r="X353" t="str">
        <f t="shared" si="97"/>
        <v>P6544270511011</v>
      </c>
      <c r="Y353" t="str">
        <f t="shared" si="98"/>
        <v>600511011</v>
      </c>
      <c r="Z353" t="str">
        <f t="shared" si="109"/>
        <v>(KÖT)0511011</v>
      </c>
      <c r="AA353" t="str">
        <f t="shared" si="99"/>
        <v>60051</v>
      </c>
      <c r="AB353" t="str">
        <f t="shared" si="100"/>
        <v>(KÖT)051</v>
      </c>
      <c r="AC353" t="str">
        <f t="shared" si="101"/>
        <v>60P6544270511011</v>
      </c>
      <c r="AD353" t="str">
        <f t="shared" si="102"/>
        <v>P6544270511011(KÖT)</v>
      </c>
      <c r="AE353" t="str">
        <f t="shared" si="103"/>
        <v>60P654427051</v>
      </c>
      <c r="AF353" t="str">
        <f t="shared" si="104"/>
        <v>P654427051(KÖT)</v>
      </c>
      <c r="AG353" t="str">
        <f t="shared" si="110"/>
        <v>60P654427051101113100</v>
      </c>
      <c r="AH353" t="str">
        <f t="shared" si="111"/>
        <v>P654427(KÖT)051101113100</v>
      </c>
      <c r="AI353" t="str">
        <f t="shared" si="112"/>
        <v>60P65442705113100</v>
      </c>
      <c r="AJ353" t="str">
        <f t="shared" si="113"/>
        <v>P654427051(KÖT)13100</v>
      </c>
    </row>
    <row r="354" spans="1:36" x14ac:dyDescent="0.25">
      <c r="A354" s="325" t="str">
        <f>CONCATENATE("P",'906MP'!M54)</f>
        <v>P731113</v>
      </c>
      <c r="B354">
        <f>'906MP'!H54</f>
        <v>61</v>
      </c>
      <c r="C354" t="str">
        <f>'906MP'!J54</f>
        <v>2025-01-01</v>
      </c>
      <c r="D354" t="str">
        <f>'906MP'!P54</f>
        <v>eredeti ei</v>
      </c>
      <c r="E354">
        <f>'906MP'!X54</f>
        <v>18402260</v>
      </c>
      <c r="F354" t="str">
        <f t="shared" si="105"/>
        <v>05</v>
      </c>
      <c r="G354" t="str">
        <f t="shared" si="106"/>
        <v>055</v>
      </c>
      <c r="H354" t="str">
        <f>'906MP'!Y54</f>
        <v>055121</v>
      </c>
      <c r="I354" t="str">
        <f>'906MP'!AK54</f>
        <v>2025/EEI-731113/1</v>
      </c>
      <c r="J354" t="str">
        <f>'906MP'!T54</f>
        <v>(KÖT)</v>
      </c>
      <c r="K354" t="str">
        <f>'906MP'!AJ54</f>
        <v/>
      </c>
      <c r="L354" t="str">
        <f>'906MP'!U54</f>
        <v>11100</v>
      </c>
      <c r="M354" s="322" t="str">
        <f>IFERROR(VLOOKUP(A354,PAR!$D$3:$E$53,2,FALSE),"nincs szervezet")</f>
        <v>Nagymaros Város Önkormányzata</v>
      </c>
      <c r="N354" s="322" t="str">
        <f>VLOOKUP(F354,PAR!$R$3:$S$5,2,FALSE)</f>
        <v>2 - Kiadás</v>
      </c>
      <c r="O354" t="str">
        <f>IFERROR(VLOOKUP(J354,PAR!$O$3:$P$5,2,FALSE),"nincs feladat")</f>
        <v>1 - (KÖT)</v>
      </c>
      <c r="P354" t="str">
        <f>IFERROR(VLOOKUP(G354,PAR!$J$2:$M$19,4),"nincs rovat")</f>
        <v>K5 - Egyéb működési célú kiadások</v>
      </c>
      <c r="Q354" t="str">
        <f>IF(H354&gt;0,VLOOKUP(H354,PAR!$AA$3:$AC$187,3,FALSE),"nincs főkönyvi számla")</f>
        <v>055121 -  Egyéb működési célú támogatások államháztartáson kívülre előirányzata</v>
      </c>
      <c r="R354" t="str">
        <f>IFERROR(VLOOKUP(K354,PAR!$V$3:$X$438,3,FALSE),"000000 - Nincs COFOG")</f>
        <v>000000 - Nincs COFOG</v>
      </c>
      <c r="S354">
        <f t="shared" si="107"/>
        <v>18402260</v>
      </c>
      <c r="T354">
        <f t="shared" si="108"/>
        <v>18402260</v>
      </c>
      <c r="U354" t="str">
        <f>IF('906MP'!J54&gt;0,CONCATENATE('906MP'!J54," - ",'906MP'!P54,", ",'906MP'!E54),"nincs megjegyzés")</f>
        <v>2025-01-01 - eredeti ei, 2025/EEI-731113/1</v>
      </c>
      <c r="V354" t="str">
        <f t="shared" si="95"/>
        <v>61P731113055</v>
      </c>
      <c r="W354" t="str">
        <f t="shared" si="96"/>
        <v>61P73111305</v>
      </c>
      <c r="X354" t="str">
        <f t="shared" si="97"/>
        <v>P731113055121</v>
      </c>
      <c r="Y354" t="str">
        <f t="shared" si="98"/>
        <v>61055121</v>
      </c>
      <c r="Z354" t="str">
        <f t="shared" si="109"/>
        <v>(KÖT)055121</v>
      </c>
      <c r="AA354" t="str">
        <f t="shared" si="99"/>
        <v>61055</v>
      </c>
      <c r="AB354" t="str">
        <f t="shared" si="100"/>
        <v>(KÖT)055</v>
      </c>
      <c r="AC354" t="str">
        <f t="shared" si="101"/>
        <v>61P731113055121</v>
      </c>
      <c r="AD354" t="str">
        <f t="shared" si="102"/>
        <v>P731113055121(KÖT)</v>
      </c>
      <c r="AE354" t="str">
        <f t="shared" si="103"/>
        <v>61P731113055</v>
      </c>
      <c r="AF354" t="str">
        <f t="shared" si="104"/>
        <v>P731113055(KÖT)</v>
      </c>
      <c r="AG354" t="str">
        <f t="shared" si="110"/>
        <v>61P73111305512111100</v>
      </c>
      <c r="AH354" t="str">
        <f t="shared" si="111"/>
        <v>P731113(KÖT)05512111100</v>
      </c>
      <c r="AI354" t="str">
        <f t="shared" si="112"/>
        <v>61P73111305511100</v>
      </c>
      <c r="AJ354" t="str">
        <f t="shared" si="113"/>
        <v>P731113055(KÖT)11100</v>
      </c>
    </row>
    <row r="355" spans="1:36" x14ac:dyDescent="0.25">
      <c r="A355" s="325" t="str">
        <f>CONCATENATE("P",'906MP'!M55)</f>
        <v>P731113</v>
      </c>
      <c r="B355">
        <f>'906MP'!H55</f>
        <v>61</v>
      </c>
      <c r="C355" t="str">
        <f>'906MP'!J55</f>
        <v>2025-01-01</v>
      </c>
      <c r="D355" t="str">
        <f>'906MP'!P55</f>
        <v>eredeti ei</v>
      </c>
      <c r="E355">
        <f>'906MP'!X55</f>
        <v>455820</v>
      </c>
      <c r="F355" t="str">
        <f t="shared" si="105"/>
        <v>05</v>
      </c>
      <c r="G355" t="str">
        <f t="shared" si="106"/>
        <v>053</v>
      </c>
      <c r="H355" t="str">
        <f>'906MP'!Y55</f>
        <v>053531</v>
      </c>
      <c r="I355" t="str">
        <f>'906MP'!AK55</f>
        <v>2025/EEI-731113/1</v>
      </c>
      <c r="J355" t="str">
        <f>'906MP'!T55</f>
        <v>(KÖT)</v>
      </c>
      <c r="K355" t="str">
        <f>'906MP'!AJ55</f>
        <v/>
      </c>
      <c r="L355" t="str">
        <f>'906MP'!U55</f>
        <v>11100</v>
      </c>
      <c r="M355" s="322" t="str">
        <f>IFERROR(VLOOKUP(A355,PAR!$D$3:$E$53,2,FALSE),"nincs szervezet")</f>
        <v>Nagymaros Város Önkormányzata</v>
      </c>
      <c r="N355" s="322" t="str">
        <f>VLOOKUP(F355,PAR!$R$3:$S$5,2,FALSE)</f>
        <v>2 - Kiadás</v>
      </c>
      <c r="O355" t="str">
        <f>IFERROR(VLOOKUP(J355,PAR!$O$3:$P$5,2,FALSE),"nincs feladat")</f>
        <v>1 - (KÖT)</v>
      </c>
      <c r="P355" t="str">
        <f>IFERROR(VLOOKUP(G355,PAR!$J$2:$M$19,4),"nincs rovat")</f>
        <v>K3 - Dologi kiadások</v>
      </c>
      <c r="Q355" t="str">
        <f>IF(H355&gt;0,VLOOKUP(H355,PAR!$AA$3:$AC$187,3,FALSE),"nincs főkönyvi számla")</f>
        <v>053531 -  Kamatkiadások előirányzata</v>
      </c>
      <c r="R355" t="str">
        <f>IFERROR(VLOOKUP(K355,PAR!$V$3:$X$438,3,FALSE),"000000 - Nincs COFOG")</f>
        <v>000000 - Nincs COFOG</v>
      </c>
      <c r="S355">
        <f t="shared" si="107"/>
        <v>455820</v>
      </c>
      <c r="T355">
        <f t="shared" si="108"/>
        <v>455820</v>
      </c>
      <c r="U355" t="str">
        <f>IF('906MP'!J55&gt;0,CONCATENATE('906MP'!J55," - ",'906MP'!P55,", ",'906MP'!E55),"nincs megjegyzés")</f>
        <v>2025-01-01 - eredeti ei, 2025/EEI-731113/1</v>
      </c>
      <c r="V355" t="str">
        <f t="shared" si="95"/>
        <v>61P731113053</v>
      </c>
      <c r="W355" t="str">
        <f t="shared" si="96"/>
        <v>61P73111305</v>
      </c>
      <c r="X355" t="str">
        <f t="shared" si="97"/>
        <v>P731113053531</v>
      </c>
      <c r="Y355" t="str">
        <f t="shared" si="98"/>
        <v>61053531</v>
      </c>
      <c r="Z355" t="str">
        <f t="shared" si="109"/>
        <v>(KÖT)053531</v>
      </c>
      <c r="AA355" t="str">
        <f t="shared" si="99"/>
        <v>61053</v>
      </c>
      <c r="AB355" t="str">
        <f t="shared" si="100"/>
        <v>(KÖT)053</v>
      </c>
      <c r="AC355" t="str">
        <f t="shared" si="101"/>
        <v>61P731113053531</v>
      </c>
      <c r="AD355" t="str">
        <f t="shared" si="102"/>
        <v>P731113053531(KÖT)</v>
      </c>
      <c r="AE355" t="str">
        <f t="shared" si="103"/>
        <v>61P731113053</v>
      </c>
      <c r="AF355" t="str">
        <f t="shared" si="104"/>
        <v>P731113053(KÖT)</v>
      </c>
      <c r="AG355" t="str">
        <f t="shared" si="110"/>
        <v>61P73111305353111100</v>
      </c>
      <c r="AH355" t="str">
        <f t="shared" si="111"/>
        <v>P731113(KÖT)05353111100</v>
      </c>
      <c r="AI355" t="str">
        <f t="shared" si="112"/>
        <v>61P73111305311100</v>
      </c>
      <c r="AJ355" t="str">
        <f t="shared" si="113"/>
        <v>P731113053(KÖT)11100</v>
      </c>
    </row>
    <row r="356" spans="1:36" x14ac:dyDescent="0.25">
      <c r="A356" s="325" t="str">
        <f>CONCATENATE("P",'906MP'!M56)</f>
        <v>P731113</v>
      </c>
      <c r="B356">
        <f>'906MP'!H56</f>
        <v>61</v>
      </c>
      <c r="C356" t="str">
        <f>'906MP'!J56</f>
        <v>2025-01-01</v>
      </c>
      <c r="D356" t="str">
        <f>'906MP'!P56</f>
        <v>eredeti ei</v>
      </c>
      <c r="E356">
        <f>'906MP'!X56</f>
        <v>86436844</v>
      </c>
      <c r="F356" t="str">
        <f t="shared" si="105"/>
        <v>05</v>
      </c>
      <c r="G356" t="str">
        <f t="shared" si="106"/>
        <v>053</v>
      </c>
      <c r="H356" t="str">
        <f>'906MP'!Y56</f>
        <v>053511</v>
      </c>
      <c r="I356" t="str">
        <f>'906MP'!AK56</f>
        <v>2025/EEI-731113/1</v>
      </c>
      <c r="J356" t="str">
        <f>'906MP'!T56</f>
        <v>(KÖT)</v>
      </c>
      <c r="K356" t="str">
        <f>'906MP'!AJ56</f>
        <v/>
      </c>
      <c r="L356" t="str">
        <f>'906MP'!U56</f>
        <v>11100</v>
      </c>
      <c r="M356" s="322" t="str">
        <f>IFERROR(VLOOKUP(A356,PAR!$D$3:$E$53,2,FALSE),"nincs szervezet")</f>
        <v>Nagymaros Város Önkormányzata</v>
      </c>
      <c r="N356" s="322" t="str">
        <f>VLOOKUP(F356,PAR!$R$3:$S$5,2,FALSE)</f>
        <v>2 - Kiadás</v>
      </c>
      <c r="O356" t="str">
        <f>IFERROR(VLOOKUP(J356,PAR!$O$3:$P$5,2,FALSE),"nincs feladat")</f>
        <v>1 - (KÖT)</v>
      </c>
      <c r="P356" t="str">
        <f>IFERROR(VLOOKUP(G356,PAR!$J$2:$M$19,4),"nincs rovat")</f>
        <v>K3 - Dologi kiadások</v>
      </c>
      <c r="Q356" t="str">
        <f>IF(H356&gt;0,VLOOKUP(H356,PAR!$AA$3:$AC$187,3,FALSE),"nincs főkönyvi számla")</f>
        <v>053511 -  Működési célú előzetesen felszámított általános forgalmi adó előirányzata</v>
      </c>
      <c r="R356" t="str">
        <f>IFERROR(VLOOKUP(K356,PAR!$V$3:$X$438,3,FALSE),"000000 - Nincs COFOG")</f>
        <v>000000 - Nincs COFOG</v>
      </c>
      <c r="S356">
        <f t="shared" si="107"/>
        <v>86436844</v>
      </c>
      <c r="T356">
        <f t="shared" si="108"/>
        <v>86436844</v>
      </c>
      <c r="U356" t="str">
        <f>IF('906MP'!J56&gt;0,CONCATENATE('906MP'!J56," - ",'906MP'!P56,", ",'906MP'!E56),"nincs megjegyzés")</f>
        <v>2025-01-01 - eredeti ei, 2025/EEI-731113/1</v>
      </c>
      <c r="V356" t="str">
        <f t="shared" si="95"/>
        <v>61P731113053</v>
      </c>
      <c r="W356" t="str">
        <f t="shared" si="96"/>
        <v>61P73111305</v>
      </c>
      <c r="X356" t="str">
        <f t="shared" si="97"/>
        <v>P731113053511</v>
      </c>
      <c r="Y356" t="str">
        <f t="shared" si="98"/>
        <v>61053511</v>
      </c>
      <c r="Z356" t="str">
        <f t="shared" si="109"/>
        <v>(KÖT)053511</v>
      </c>
      <c r="AA356" t="str">
        <f t="shared" si="99"/>
        <v>61053</v>
      </c>
      <c r="AB356" t="str">
        <f t="shared" si="100"/>
        <v>(KÖT)053</v>
      </c>
      <c r="AC356" t="str">
        <f t="shared" si="101"/>
        <v>61P731113053511</v>
      </c>
      <c r="AD356" t="str">
        <f t="shared" si="102"/>
        <v>P731113053511(KÖT)</v>
      </c>
      <c r="AE356" t="str">
        <f t="shared" si="103"/>
        <v>61P731113053</v>
      </c>
      <c r="AF356" t="str">
        <f t="shared" si="104"/>
        <v>P731113053(KÖT)</v>
      </c>
      <c r="AG356" t="str">
        <f t="shared" si="110"/>
        <v>61P73111305351111100</v>
      </c>
      <c r="AH356" t="str">
        <f t="shared" si="111"/>
        <v>P731113(KÖT)05351111100</v>
      </c>
      <c r="AI356" t="str">
        <f t="shared" si="112"/>
        <v>61P73111305311100</v>
      </c>
      <c r="AJ356" t="str">
        <f t="shared" si="113"/>
        <v>P731113053(KÖT)11100</v>
      </c>
    </row>
    <row r="357" spans="1:36" x14ac:dyDescent="0.25">
      <c r="A357" s="325" t="str">
        <f>CONCATENATE("P",'906MP'!M57)</f>
        <v>P731113</v>
      </c>
      <c r="B357">
        <f>'906MP'!H57</f>
        <v>61</v>
      </c>
      <c r="C357" t="str">
        <f>'906MP'!J57</f>
        <v>2025-01-01</v>
      </c>
      <c r="D357" t="str">
        <f>'906MP'!P57</f>
        <v>eredeti ei</v>
      </c>
      <c r="E357">
        <f>'906MP'!X57</f>
        <v>8000000</v>
      </c>
      <c r="F357" t="str">
        <f t="shared" si="105"/>
        <v>05</v>
      </c>
      <c r="G357" t="str">
        <f t="shared" si="106"/>
        <v>054</v>
      </c>
      <c r="H357" t="str">
        <f>'906MP'!Y57</f>
        <v>05481</v>
      </c>
      <c r="I357" t="str">
        <f>'906MP'!AK57</f>
        <v>2025/EEI-731113/1</v>
      </c>
      <c r="J357" t="str">
        <f>'906MP'!T57</f>
        <v>(KÖT)</v>
      </c>
      <c r="K357" t="str">
        <f>'906MP'!AJ57</f>
        <v/>
      </c>
      <c r="L357" t="str">
        <f>'906MP'!U57</f>
        <v>11100</v>
      </c>
      <c r="M357" s="322" t="str">
        <f>IFERROR(VLOOKUP(A357,PAR!$D$3:$E$53,2,FALSE),"nincs szervezet")</f>
        <v>Nagymaros Város Önkormányzata</v>
      </c>
      <c r="N357" s="322" t="str">
        <f>VLOOKUP(F357,PAR!$R$3:$S$5,2,FALSE)</f>
        <v>2 - Kiadás</v>
      </c>
      <c r="O357" t="str">
        <f>IFERROR(VLOOKUP(J357,PAR!$O$3:$P$5,2,FALSE),"nincs feladat")</f>
        <v>1 - (KÖT)</v>
      </c>
      <c r="P357" t="str">
        <f>IFERROR(VLOOKUP(G357,PAR!$J$2:$M$19,4),"nincs rovat")</f>
        <v>K4 - Ellátottak pénzbeli juttatásai</v>
      </c>
      <c r="Q357" t="str">
        <f>IF(H357&gt;0,VLOOKUP(H357,PAR!$AA$3:$AC$187,3,FALSE),"nincs főkönyvi számla")</f>
        <v>05481 -  Egyéb nem intézményi ellátások előirányzata</v>
      </c>
      <c r="R357" t="str">
        <f>IFERROR(VLOOKUP(K357,PAR!$V$3:$X$438,3,FALSE),"000000 - Nincs COFOG")</f>
        <v>000000 - Nincs COFOG</v>
      </c>
      <c r="S357">
        <f t="shared" si="107"/>
        <v>8000000</v>
      </c>
      <c r="T357">
        <f t="shared" si="108"/>
        <v>8000000</v>
      </c>
      <c r="U357" t="str">
        <f>IF('906MP'!J57&gt;0,CONCATENATE('906MP'!J57," - ",'906MP'!P57,", ",'906MP'!E57),"nincs megjegyzés")</f>
        <v>2025-01-01 - eredeti ei, 2025/EEI-731113/1</v>
      </c>
      <c r="V357" t="str">
        <f t="shared" si="95"/>
        <v>61P731113054</v>
      </c>
      <c r="W357" t="str">
        <f t="shared" si="96"/>
        <v>61P73111305</v>
      </c>
      <c r="X357" t="str">
        <f t="shared" si="97"/>
        <v>P73111305481</v>
      </c>
      <c r="Y357" t="str">
        <f t="shared" si="98"/>
        <v>6105481</v>
      </c>
      <c r="Z357" t="str">
        <f t="shared" si="109"/>
        <v>(KÖT)05481</v>
      </c>
      <c r="AA357" t="str">
        <f t="shared" si="99"/>
        <v>61054</v>
      </c>
      <c r="AB357" t="str">
        <f t="shared" si="100"/>
        <v>(KÖT)054</v>
      </c>
      <c r="AC357" t="str">
        <f t="shared" si="101"/>
        <v>61P73111305481</v>
      </c>
      <c r="AD357" t="str">
        <f t="shared" si="102"/>
        <v>P73111305481(KÖT)</v>
      </c>
      <c r="AE357" t="str">
        <f t="shared" si="103"/>
        <v>61P731113054</v>
      </c>
      <c r="AF357" t="str">
        <f t="shared" si="104"/>
        <v>P731113054(KÖT)</v>
      </c>
      <c r="AG357" t="str">
        <f t="shared" si="110"/>
        <v>61P7311130548111100</v>
      </c>
      <c r="AH357" t="str">
        <f t="shared" si="111"/>
        <v>P731113(KÖT)0548111100</v>
      </c>
      <c r="AI357" t="str">
        <f t="shared" si="112"/>
        <v>61P73111305411100</v>
      </c>
      <c r="AJ357" t="str">
        <f t="shared" si="113"/>
        <v>P731113054(KÖT)11100</v>
      </c>
    </row>
    <row r="358" spans="1:36" x14ac:dyDescent="0.25">
      <c r="A358" s="325" t="str">
        <f>CONCATENATE("P",'906MP'!M58)</f>
        <v>P731113</v>
      </c>
      <c r="B358">
        <f>'906MP'!H58</f>
        <v>61</v>
      </c>
      <c r="C358" t="str">
        <f>'906MP'!J58</f>
        <v>2025-01-01</v>
      </c>
      <c r="D358" t="str">
        <f>'906MP'!P58</f>
        <v>eredeti ei</v>
      </c>
      <c r="E358">
        <f>'906MP'!X58</f>
        <v>785800</v>
      </c>
      <c r="F358" t="str">
        <f t="shared" si="105"/>
        <v>05</v>
      </c>
      <c r="G358" t="str">
        <f t="shared" si="106"/>
        <v>055</v>
      </c>
      <c r="H358" t="str">
        <f>'906MP'!Y58</f>
        <v>0550211</v>
      </c>
      <c r="I358" t="str">
        <f>'906MP'!AK58</f>
        <v>2025/EEI-731113/1</v>
      </c>
      <c r="J358" t="str">
        <f>'906MP'!T58</f>
        <v>(KÖT)</v>
      </c>
      <c r="K358" t="str">
        <f>'906MP'!AJ58</f>
        <v/>
      </c>
      <c r="L358" t="str">
        <f>'906MP'!U58</f>
        <v>11100</v>
      </c>
      <c r="M358" s="322" t="str">
        <f>IFERROR(VLOOKUP(A358,PAR!$D$3:$E$53,2,FALSE),"nincs szervezet")</f>
        <v>Nagymaros Város Önkormányzata</v>
      </c>
      <c r="N358" s="322" t="str">
        <f>VLOOKUP(F358,PAR!$R$3:$S$5,2,FALSE)</f>
        <v>2 - Kiadás</v>
      </c>
      <c r="O358" t="str">
        <f>IFERROR(VLOOKUP(J358,PAR!$O$3:$P$5,2,FALSE),"nincs feladat")</f>
        <v>1 - (KÖT)</v>
      </c>
      <c r="P358" t="str">
        <f>IFERROR(VLOOKUP(G358,PAR!$J$2:$M$19,4),"nincs rovat")</f>
        <v>K5 - Egyéb működési célú kiadások</v>
      </c>
      <c r="Q358" t="str">
        <f>IF(H358&gt;0,VLOOKUP(H358,PAR!$AA$3:$AC$187,3,FALSE),"nincs főkönyvi számla")</f>
        <v>0550211 -  A helyi önkormányzatok előző évi elszámolásából származó kiadások előirányzata</v>
      </c>
      <c r="R358" t="str">
        <f>IFERROR(VLOOKUP(K358,PAR!$V$3:$X$438,3,FALSE),"000000 - Nincs COFOG")</f>
        <v>000000 - Nincs COFOG</v>
      </c>
      <c r="S358">
        <f t="shared" si="107"/>
        <v>785800</v>
      </c>
      <c r="T358">
        <f t="shared" si="108"/>
        <v>785800</v>
      </c>
      <c r="U358" t="str">
        <f>IF('906MP'!J58&gt;0,CONCATENATE('906MP'!J58," - ",'906MP'!P58,", ",'906MP'!E58),"nincs megjegyzés")</f>
        <v>2025-01-01 - eredeti ei, 2025/EEI-731113/1</v>
      </c>
      <c r="V358" t="str">
        <f t="shared" si="95"/>
        <v>61P731113055</v>
      </c>
      <c r="W358" t="str">
        <f t="shared" si="96"/>
        <v>61P73111305</v>
      </c>
      <c r="X358" t="str">
        <f t="shared" si="97"/>
        <v>P7311130550211</v>
      </c>
      <c r="Y358" t="str">
        <f t="shared" si="98"/>
        <v>610550211</v>
      </c>
      <c r="Z358" t="str">
        <f t="shared" si="109"/>
        <v>(KÖT)0550211</v>
      </c>
      <c r="AA358" t="str">
        <f t="shared" si="99"/>
        <v>61055</v>
      </c>
      <c r="AB358" t="str">
        <f t="shared" si="100"/>
        <v>(KÖT)055</v>
      </c>
      <c r="AC358" t="str">
        <f t="shared" si="101"/>
        <v>61P7311130550211</v>
      </c>
      <c r="AD358" t="str">
        <f t="shared" si="102"/>
        <v>P7311130550211(KÖT)</v>
      </c>
      <c r="AE358" t="str">
        <f t="shared" si="103"/>
        <v>61P731113055</v>
      </c>
      <c r="AF358" t="str">
        <f t="shared" si="104"/>
        <v>P731113055(KÖT)</v>
      </c>
      <c r="AG358" t="str">
        <f t="shared" si="110"/>
        <v>61P731113055021111100</v>
      </c>
      <c r="AH358" t="str">
        <f t="shared" si="111"/>
        <v>P731113(KÖT)055021111100</v>
      </c>
      <c r="AI358" t="str">
        <f t="shared" si="112"/>
        <v>61P73111305511100</v>
      </c>
      <c r="AJ358" t="str">
        <f t="shared" si="113"/>
        <v>P731113055(KÖT)11100</v>
      </c>
    </row>
    <row r="359" spans="1:36" x14ac:dyDescent="0.25">
      <c r="A359" s="325" t="str">
        <f>CONCATENATE("P",'906MP'!M59)</f>
        <v>P731113</v>
      </c>
      <c r="B359">
        <f>'906MP'!H59</f>
        <v>61</v>
      </c>
      <c r="C359" t="str">
        <f>'906MP'!J59</f>
        <v>2025-01-01</v>
      </c>
      <c r="D359" t="str">
        <f>'906MP'!P59</f>
        <v>eredeti ei</v>
      </c>
      <c r="E359">
        <f>'906MP'!X59</f>
        <v>32565419</v>
      </c>
      <c r="F359" t="str">
        <f t="shared" si="105"/>
        <v>05</v>
      </c>
      <c r="G359" t="str">
        <f t="shared" si="106"/>
        <v>055</v>
      </c>
      <c r="H359" t="str">
        <f>'906MP'!Y59</f>
        <v>055061</v>
      </c>
      <c r="I359" t="str">
        <f>'906MP'!AK59</f>
        <v>2025/EEI-731113/1</v>
      </c>
      <c r="J359" t="str">
        <f>'906MP'!T59</f>
        <v>(KÖT)</v>
      </c>
      <c r="K359" t="str">
        <f>'906MP'!AJ59</f>
        <v/>
      </c>
      <c r="L359" t="str">
        <f>'906MP'!U59</f>
        <v>11100</v>
      </c>
      <c r="M359" s="322" t="str">
        <f>IFERROR(VLOOKUP(A359,PAR!$D$3:$E$53,2,FALSE),"nincs szervezet")</f>
        <v>Nagymaros Város Önkormányzata</v>
      </c>
      <c r="N359" s="322" t="str">
        <f>VLOOKUP(F359,PAR!$R$3:$S$5,2,FALSE)</f>
        <v>2 - Kiadás</v>
      </c>
      <c r="O359" t="str">
        <f>IFERROR(VLOOKUP(J359,PAR!$O$3:$P$5,2,FALSE),"nincs feladat")</f>
        <v>1 - (KÖT)</v>
      </c>
      <c r="P359" t="str">
        <f>IFERROR(VLOOKUP(G359,PAR!$J$2:$M$19,4),"nincs rovat")</f>
        <v>K5 - Egyéb működési célú kiadások</v>
      </c>
      <c r="Q359" t="str">
        <f>IF(H359&gt;0,VLOOKUP(H359,PAR!$AA$3:$AC$187,3,FALSE),"nincs főkönyvi számla")</f>
        <v>055061 -  Egyéb működési célú támogatások államháztartáson belülre előirányzata</v>
      </c>
      <c r="R359" t="str">
        <f>IFERROR(VLOOKUP(K359,PAR!$V$3:$X$438,3,FALSE),"000000 - Nincs COFOG")</f>
        <v>000000 - Nincs COFOG</v>
      </c>
      <c r="S359">
        <f t="shared" si="107"/>
        <v>32565419</v>
      </c>
      <c r="T359">
        <f t="shared" si="108"/>
        <v>32565419</v>
      </c>
      <c r="U359" t="str">
        <f>IF('906MP'!J59&gt;0,CONCATENATE('906MP'!J59," - ",'906MP'!P59,", ",'906MP'!E59),"nincs megjegyzés")</f>
        <v>2025-01-01 - eredeti ei, 2025/EEI-731113/1</v>
      </c>
      <c r="V359" t="str">
        <f t="shared" si="95"/>
        <v>61P731113055</v>
      </c>
      <c r="W359" t="str">
        <f t="shared" si="96"/>
        <v>61P73111305</v>
      </c>
      <c r="X359" t="str">
        <f t="shared" si="97"/>
        <v>P731113055061</v>
      </c>
      <c r="Y359" t="str">
        <f t="shared" si="98"/>
        <v>61055061</v>
      </c>
      <c r="Z359" t="str">
        <f t="shared" si="109"/>
        <v>(KÖT)055061</v>
      </c>
      <c r="AA359" t="str">
        <f t="shared" si="99"/>
        <v>61055</v>
      </c>
      <c r="AB359" t="str">
        <f t="shared" si="100"/>
        <v>(KÖT)055</v>
      </c>
      <c r="AC359" t="str">
        <f t="shared" si="101"/>
        <v>61P731113055061</v>
      </c>
      <c r="AD359" t="str">
        <f t="shared" si="102"/>
        <v>P731113055061(KÖT)</v>
      </c>
      <c r="AE359" t="str">
        <f t="shared" si="103"/>
        <v>61P731113055</v>
      </c>
      <c r="AF359" t="str">
        <f t="shared" si="104"/>
        <v>P731113055(KÖT)</v>
      </c>
      <c r="AG359" t="str">
        <f t="shared" si="110"/>
        <v>61P73111305506111100</v>
      </c>
      <c r="AH359" t="str">
        <f t="shared" si="111"/>
        <v>P731113(KÖT)05506111100</v>
      </c>
      <c r="AI359" t="str">
        <f t="shared" si="112"/>
        <v>61P73111305511100</v>
      </c>
      <c r="AJ359" t="str">
        <f t="shared" si="113"/>
        <v>P731113055(KÖT)11100</v>
      </c>
    </row>
    <row r="360" spans="1:36" x14ac:dyDescent="0.25">
      <c r="A360" s="325" t="str">
        <f>CONCATENATE("P",'906MP'!M60)</f>
        <v>P654427</v>
      </c>
      <c r="B360">
        <f>'906MP'!H60</f>
        <v>60</v>
      </c>
      <c r="C360" t="str">
        <f>'906MP'!J60</f>
        <v>2025-01-01</v>
      </c>
      <c r="D360" t="str">
        <f>'906MP'!P60</f>
        <v>módosított ei</v>
      </c>
      <c r="E360">
        <f>'906MP'!X60</f>
        <v>248456</v>
      </c>
      <c r="F360" t="str">
        <f t="shared" si="105"/>
        <v>05</v>
      </c>
      <c r="G360" t="str">
        <f t="shared" si="106"/>
        <v>051</v>
      </c>
      <c r="H360" t="str">
        <f>'906MP'!Y60</f>
        <v>0511041</v>
      </c>
      <c r="I360" t="str">
        <f>'906MP'!AK60</f>
        <v>2025/MEI-654427/3</v>
      </c>
      <c r="J360" t="str">
        <f>'906MP'!T60</f>
        <v>(KÖT)</v>
      </c>
      <c r="K360" t="str">
        <f>'906MP'!AJ60</f>
        <v/>
      </c>
      <c r="L360" t="str">
        <f>'906MP'!U60</f>
        <v>13100</v>
      </c>
      <c r="M360" s="322" t="str">
        <f>IFERROR(VLOOKUP(A360,PAR!$D$3:$E$53,2,FALSE),"nincs szervezet")</f>
        <v>Nagymarosi Napköziotthonos Óvoda és Bölcsőde</v>
      </c>
      <c r="N360" s="322" t="str">
        <f>VLOOKUP(F360,PAR!$R$3:$S$5,2,FALSE)</f>
        <v>2 - Kiadás</v>
      </c>
      <c r="O360" t="str">
        <f>IFERROR(VLOOKUP(J360,PAR!$O$3:$P$5,2,FALSE),"nincs feladat")</f>
        <v>1 - (KÖT)</v>
      </c>
      <c r="P360" t="str">
        <f>IFERROR(VLOOKUP(G360,PAR!$J$2:$M$19,4),"nincs rovat")</f>
        <v>K1 - Személyi juttatások</v>
      </c>
      <c r="Q360" t="str">
        <f>IF(H360&gt;0,VLOOKUP(H360,PAR!$AA$3:$AC$187,3,FALSE),"nincs főkönyvi számla")</f>
        <v>0511041 -  Készenléti, ügyeleti, helyettesítési díj, túlóra, túlszolgálat előirányzata</v>
      </c>
      <c r="R360" t="str">
        <f>IFERROR(VLOOKUP(K360,PAR!$V$3:$X$438,3,FALSE),"000000 - Nincs COFOG")</f>
        <v>000000 - Nincs COFOG</v>
      </c>
      <c r="S360">
        <f t="shared" si="107"/>
        <v>248456</v>
      </c>
      <c r="T360">
        <f t="shared" si="108"/>
        <v>248456</v>
      </c>
      <c r="U360" t="str">
        <f>IF('906MP'!J60&gt;0,CONCATENATE('906MP'!J60," - ",'906MP'!P60,", ",'906MP'!E60),"nincs megjegyzés")</f>
        <v>2025-01-01 - módosított ei, 2025/MEI-654427/3</v>
      </c>
      <c r="V360" t="str">
        <f t="shared" si="95"/>
        <v>60P654427051</v>
      </c>
      <c r="W360" t="str">
        <f t="shared" si="96"/>
        <v>60P65442705</v>
      </c>
      <c r="X360" t="str">
        <f t="shared" si="97"/>
        <v>P6544270511041</v>
      </c>
      <c r="Y360" t="str">
        <f t="shared" si="98"/>
        <v>600511041</v>
      </c>
      <c r="Z360" t="str">
        <f t="shared" si="109"/>
        <v>(KÖT)0511041</v>
      </c>
      <c r="AA360" t="str">
        <f t="shared" si="99"/>
        <v>60051</v>
      </c>
      <c r="AB360" t="str">
        <f t="shared" si="100"/>
        <v>(KÖT)051</v>
      </c>
      <c r="AC360" t="str">
        <f t="shared" si="101"/>
        <v>60P6544270511041</v>
      </c>
      <c r="AD360" t="str">
        <f t="shared" si="102"/>
        <v>P6544270511041(KÖT)</v>
      </c>
      <c r="AE360" t="str">
        <f t="shared" si="103"/>
        <v>60P654427051</v>
      </c>
      <c r="AF360" t="str">
        <f t="shared" si="104"/>
        <v>P654427051(KÖT)</v>
      </c>
      <c r="AG360" t="str">
        <f t="shared" si="110"/>
        <v>60P654427051104113100</v>
      </c>
      <c r="AH360" t="str">
        <f t="shared" si="111"/>
        <v>P654427(KÖT)051104113100</v>
      </c>
      <c r="AI360" t="str">
        <f t="shared" si="112"/>
        <v>60P65442705113100</v>
      </c>
      <c r="AJ360" t="str">
        <f t="shared" si="113"/>
        <v>P654427051(KÖT)13100</v>
      </c>
    </row>
    <row r="361" spans="1:36" x14ac:dyDescent="0.25">
      <c r="A361" s="325" t="str">
        <f>CONCATENATE("P",'906MP'!M61)</f>
        <v>P731113</v>
      </c>
      <c r="B361">
        <f>'906MP'!H61</f>
        <v>61</v>
      </c>
      <c r="C361" t="str">
        <f>'906MP'!J61</f>
        <v>2025-01-01</v>
      </c>
      <c r="D361" t="str">
        <f>'906MP'!P61</f>
        <v>eredeti ei</v>
      </c>
      <c r="E361">
        <f>'906MP'!X61</f>
        <v>100224060</v>
      </c>
      <c r="F361" t="str">
        <f t="shared" si="105"/>
        <v>05</v>
      </c>
      <c r="G361" t="str">
        <f t="shared" si="106"/>
        <v>055</v>
      </c>
      <c r="H361" t="str">
        <f>'906MP'!Y61</f>
        <v>055131</v>
      </c>
      <c r="I361" t="str">
        <f>'906MP'!AK61</f>
        <v>2025/EEI-731113/1</v>
      </c>
      <c r="J361" t="str">
        <f>'906MP'!T61</f>
        <v>(KÖT)</v>
      </c>
      <c r="K361" t="str">
        <f>'906MP'!AJ61</f>
        <v/>
      </c>
      <c r="L361" t="str">
        <f>'906MP'!U61</f>
        <v>11100</v>
      </c>
      <c r="M361" s="322" t="str">
        <f>IFERROR(VLOOKUP(A361,PAR!$D$3:$E$53,2,FALSE),"nincs szervezet")</f>
        <v>Nagymaros Város Önkormányzata</v>
      </c>
      <c r="N361" s="322" t="str">
        <f>VLOOKUP(F361,PAR!$R$3:$S$5,2,FALSE)</f>
        <v>2 - Kiadás</v>
      </c>
      <c r="O361" t="str">
        <f>IFERROR(VLOOKUP(J361,PAR!$O$3:$P$5,2,FALSE),"nincs feladat")</f>
        <v>1 - (KÖT)</v>
      </c>
      <c r="P361" t="str">
        <f>IFERROR(VLOOKUP(G361,PAR!$J$2:$M$19,4),"nincs rovat")</f>
        <v>K5 - Egyéb működési célú kiadások</v>
      </c>
      <c r="Q361" t="str">
        <f>IF(H361&gt;0,VLOOKUP(H361,PAR!$AA$3:$AC$187,3,FALSE),"nincs főkönyvi számla")</f>
        <v>055131 -  Tartalékok előirányzata</v>
      </c>
      <c r="R361" t="str">
        <f>IFERROR(VLOOKUP(K361,PAR!$V$3:$X$438,3,FALSE),"000000 - Nincs COFOG")</f>
        <v>000000 - Nincs COFOG</v>
      </c>
      <c r="S361">
        <f t="shared" si="107"/>
        <v>100224060</v>
      </c>
      <c r="T361">
        <f t="shared" si="108"/>
        <v>100224060</v>
      </c>
      <c r="U361" t="str">
        <f>IF('906MP'!J61&gt;0,CONCATENATE('906MP'!J61," - ",'906MP'!P61,", ",'906MP'!E61),"nincs megjegyzés")</f>
        <v>2025-01-01 - eredeti ei, 2025/EEI-731113/1</v>
      </c>
      <c r="V361" t="str">
        <f t="shared" si="95"/>
        <v>61P731113055</v>
      </c>
      <c r="W361" t="str">
        <f t="shared" si="96"/>
        <v>61P73111305</v>
      </c>
      <c r="X361" t="str">
        <f t="shared" si="97"/>
        <v>P731113055131</v>
      </c>
      <c r="Y361" t="str">
        <f t="shared" si="98"/>
        <v>61055131</v>
      </c>
      <c r="Z361" t="str">
        <f t="shared" si="109"/>
        <v>(KÖT)055131</v>
      </c>
      <c r="AA361" t="str">
        <f t="shared" si="99"/>
        <v>61055</v>
      </c>
      <c r="AB361" t="str">
        <f t="shared" si="100"/>
        <v>(KÖT)055</v>
      </c>
      <c r="AC361" t="str">
        <f t="shared" si="101"/>
        <v>61P731113055131</v>
      </c>
      <c r="AD361" t="str">
        <f t="shared" si="102"/>
        <v>P731113055131(KÖT)</v>
      </c>
      <c r="AE361" t="str">
        <f t="shared" si="103"/>
        <v>61P731113055</v>
      </c>
      <c r="AF361" t="str">
        <f t="shared" si="104"/>
        <v>P731113055(KÖT)</v>
      </c>
      <c r="AG361" t="str">
        <f t="shared" si="110"/>
        <v>61P73111305513111100</v>
      </c>
      <c r="AH361" t="str">
        <f t="shared" si="111"/>
        <v>P731113(KÖT)05513111100</v>
      </c>
      <c r="AI361" t="str">
        <f t="shared" si="112"/>
        <v>61P73111305511100</v>
      </c>
      <c r="AJ361" t="str">
        <f t="shared" si="113"/>
        <v>P731113055(KÖT)11100</v>
      </c>
    </row>
    <row r="362" spans="1:36" x14ac:dyDescent="0.25">
      <c r="A362" s="325" t="str">
        <f>CONCATENATE("P",'906MP'!M62)</f>
        <v>P654427</v>
      </c>
      <c r="B362">
        <f>'906MP'!H62</f>
        <v>60</v>
      </c>
      <c r="C362" t="str">
        <f>'906MP'!J62</f>
        <v>2025-01-01</v>
      </c>
      <c r="D362" t="str">
        <f>'906MP'!P62</f>
        <v>módosított ei</v>
      </c>
      <c r="E362">
        <f>'906MP'!X62</f>
        <v>143160</v>
      </c>
      <c r="F362" t="str">
        <f t="shared" si="105"/>
        <v>05</v>
      </c>
      <c r="G362" t="str">
        <f t="shared" si="106"/>
        <v>051</v>
      </c>
      <c r="H362" t="str">
        <f>'906MP'!Y62</f>
        <v>051221</v>
      </c>
      <c r="I362" t="str">
        <f>'906MP'!AK62</f>
        <v>2025/MEI-654427/3</v>
      </c>
      <c r="J362" t="str">
        <f>'906MP'!T62</f>
        <v>(KÖT)</v>
      </c>
      <c r="K362" t="str">
        <f>'906MP'!AJ62</f>
        <v/>
      </c>
      <c r="L362" t="str">
        <f>'906MP'!U62</f>
        <v>13100</v>
      </c>
      <c r="M362" s="322" t="str">
        <f>IFERROR(VLOOKUP(A362,PAR!$D$3:$E$53,2,FALSE),"nincs szervezet")</f>
        <v>Nagymarosi Napköziotthonos Óvoda és Bölcsőde</v>
      </c>
      <c r="N362" s="322" t="str">
        <f>VLOOKUP(F362,PAR!$R$3:$S$5,2,FALSE)</f>
        <v>2 - Kiadás</v>
      </c>
      <c r="O362" t="str">
        <f>IFERROR(VLOOKUP(J362,PAR!$O$3:$P$5,2,FALSE),"nincs feladat")</f>
        <v>1 - (KÖT)</v>
      </c>
      <c r="P362" t="str">
        <f>IFERROR(VLOOKUP(G362,PAR!$J$2:$M$19,4),"nincs rovat")</f>
        <v>K1 - Személyi juttatások</v>
      </c>
      <c r="Q362" t="str">
        <f>IF(H362&gt;0,VLOOKUP(H362,PAR!$AA$3:$AC$187,3,FALSE),"nincs főkönyvi számla")</f>
        <v>051221 -  Munkavégzésre irányuló egyéb jogviszonyban nem saját foglalkoztatottnak fizetett juttatások előirányzata</v>
      </c>
      <c r="R362" t="str">
        <f>IFERROR(VLOOKUP(K362,PAR!$V$3:$X$438,3,FALSE),"000000 - Nincs COFOG")</f>
        <v>000000 - Nincs COFOG</v>
      </c>
      <c r="S362">
        <f t="shared" si="107"/>
        <v>143160</v>
      </c>
      <c r="T362">
        <f t="shared" si="108"/>
        <v>143160</v>
      </c>
      <c r="U362" t="str">
        <f>IF('906MP'!J62&gt;0,CONCATENATE('906MP'!J62," - ",'906MP'!P62,", ",'906MP'!E62),"nincs megjegyzés")</f>
        <v>2025-01-01 - módosított ei, 2025/MEI-654427/3</v>
      </c>
      <c r="V362" t="str">
        <f t="shared" si="95"/>
        <v>60P654427051</v>
      </c>
      <c r="W362" t="str">
        <f t="shared" si="96"/>
        <v>60P65442705</v>
      </c>
      <c r="X362" t="str">
        <f t="shared" si="97"/>
        <v>P654427051221</v>
      </c>
      <c r="Y362" t="str">
        <f t="shared" si="98"/>
        <v>60051221</v>
      </c>
      <c r="Z362" t="str">
        <f t="shared" si="109"/>
        <v>(KÖT)051221</v>
      </c>
      <c r="AA362" t="str">
        <f t="shared" si="99"/>
        <v>60051</v>
      </c>
      <c r="AB362" t="str">
        <f t="shared" si="100"/>
        <v>(KÖT)051</v>
      </c>
      <c r="AC362" t="str">
        <f t="shared" si="101"/>
        <v>60P654427051221</v>
      </c>
      <c r="AD362" t="str">
        <f t="shared" si="102"/>
        <v>P654427051221(KÖT)</v>
      </c>
      <c r="AE362" t="str">
        <f t="shared" si="103"/>
        <v>60P654427051</v>
      </c>
      <c r="AF362" t="str">
        <f t="shared" si="104"/>
        <v>P654427051(KÖT)</v>
      </c>
      <c r="AG362" t="str">
        <f t="shared" si="110"/>
        <v>60P65442705122113100</v>
      </c>
      <c r="AH362" t="str">
        <f t="shared" si="111"/>
        <v>P654427(KÖT)05122113100</v>
      </c>
      <c r="AI362" t="str">
        <f t="shared" si="112"/>
        <v>60P65442705113100</v>
      </c>
      <c r="AJ362" t="str">
        <f t="shared" si="113"/>
        <v>P654427051(KÖT)13100</v>
      </c>
    </row>
    <row r="363" spans="1:36" x14ac:dyDescent="0.25">
      <c r="A363" s="325" t="str">
        <f>CONCATENATE("P",'906MP'!M63)</f>
        <v>P731113</v>
      </c>
      <c r="B363">
        <f>'906MP'!H63</f>
        <v>61</v>
      </c>
      <c r="C363" t="str">
        <f>'906MP'!J63</f>
        <v>2025-01-01</v>
      </c>
      <c r="D363" t="str">
        <f>'906MP'!P63</f>
        <v>eredeti ei</v>
      </c>
      <c r="E363">
        <f>'906MP'!X63</f>
        <v>99839684</v>
      </c>
      <c r="F363" t="str">
        <f t="shared" si="105"/>
        <v>05</v>
      </c>
      <c r="G363" t="str">
        <f t="shared" si="106"/>
        <v>056</v>
      </c>
      <c r="H363" t="str">
        <f>'906MP'!Y63</f>
        <v>05641</v>
      </c>
      <c r="I363" t="str">
        <f>'906MP'!AK63</f>
        <v>2025/EEI-731113/1</v>
      </c>
      <c r="J363" t="str">
        <f>'906MP'!T63</f>
        <v>(KÖT)</v>
      </c>
      <c r="K363" t="str">
        <f>'906MP'!AJ63</f>
        <v/>
      </c>
      <c r="L363" t="str">
        <f>'906MP'!U63</f>
        <v>11100</v>
      </c>
      <c r="M363" s="322" t="str">
        <f>IFERROR(VLOOKUP(A363,PAR!$D$3:$E$53,2,FALSE),"nincs szervezet")</f>
        <v>Nagymaros Város Önkormányzata</v>
      </c>
      <c r="N363" s="322" t="str">
        <f>VLOOKUP(F363,PAR!$R$3:$S$5,2,FALSE)</f>
        <v>2 - Kiadás</v>
      </c>
      <c r="O363" t="str">
        <f>IFERROR(VLOOKUP(J363,PAR!$O$3:$P$5,2,FALSE),"nincs feladat")</f>
        <v>1 - (KÖT)</v>
      </c>
      <c r="P363" t="str">
        <f>IFERROR(VLOOKUP(G363,PAR!$J$2:$M$19,4),"nincs rovat")</f>
        <v>K6 - Beruházások</v>
      </c>
      <c r="Q363" t="str">
        <f>IF(H363&gt;0,VLOOKUP(H363,PAR!$AA$3:$AC$187,3,FALSE),"nincs főkönyvi számla")</f>
        <v>05641 -  Egyéb tárgyi eszközök beszerzése, létesítése előirányzata</v>
      </c>
      <c r="R363" t="str">
        <f>IFERROR(VLOOKUP(K363,PAR!$V$3:$X$438,3,FALSE),"000000 - Nincs COFOG")</f>
        <v>000000 - Nincs COFOG</v>
      </c>
      <c r="S363">
        <f t="shared" si="107"/>
        <v>99839684</v>
      </c>
      <c r="T363">
        <f t="shared" si="108"/>
        <v>99839684</v>
      </c>
      <c r="U363" t="str">
        <f>IF('906MP'!J63&gt;0,CONCATENATE('906MP'!J63," - ",'906MP'!P63,", ",'906MP'!E63),"nincs megjegyzés")</f>
        <v>2025-01-01 - eredeti ei, 2025/EEI-731113/1</v>
      </c>
      <c r="V363" t="str">
        <f t="shared" si="95"/>
        <v>61P731113056</v>
      </c>
      <c r="W363" t="str">
        <f t="shared" si="96"/>
        <v>61P73111305</v>
      </c>
      <c r="X363" t="str">
        <f t="shared" si="97"/>
        <v>P73111305641</v>
      </c>
      <c r="Y363" t="str">
        <f t="shared" si="98"/>
        <v>6105641</v>
      </c>
      <c r="Z363" t="str">
        <f t="shared" si="109"/>
        <v>(KÖT)05641</v>
      </c>
      <c r="AA363" t="str">
        <f t="shared" si="99"/>
        <v>61056</v>
      </c>
      <c r="AB363" t="str">
        <f t="shared" si="100"/>
        <v>(KÖT)056</v>
      </c>
      <c r="AC363" t="str">
        <f t="shared" si="101"/>
        <v>61P73111305641</v>
      </c>
      <c r="AD363" t="str">
        <f t="shared" si="102"/>
        <v>P73111305641(KÖT)</v>
      </c>
      <c r="AE363" t="str">
        <f t="shared" si="103"/>
        <v>61P731113056</v>
      </c>
      <c r="AF363" t="str">
        <f t="shared" si="104"/>
        <v>P731113056(KÖT)</v>
      </c>
      <c r="AG363" t="str">
        <f t="shared" si="110"/>
        <v>61P7311130564111100</v>
      </c>
      <c r="AH363" t="str">
        <f t="shared" si="111"/>
        <v>P731113(KÖT)0564111100</v>
      </c>
      <c r="AI363" t="str">
        <f t="shared" si="112"/>
        <v>61P73111305611100</v>
      </c>
      <c r="AJ363" t="str">
        <f t="shared" si="113"/>
        <v>P731113056(KÖT)11100</v>
      </c>
    </row>
    <row r="364" spans="1:36" x14ac:dyDescent="0.25">
      <c r="A364" s="325" t="str">
        <f>CONCATENATE("P",'906MP'!M64)</f>
        <v>P654427</v>
      </c>
      <c r="B364">
        <f>'906MP'!H64</f>
        <v>60</v>
      </c>
      <c r="C364" t="str">
        <f>'906MP'!J64</f>
        <v>2025-01-01</v>
      </c>
      <c r="D364" t="str">
        <f>'906MP'!P64</f>
        <v>módosított ei</v>
      </c>
      <c r="E364">
        <f>'906MP'!X64</f>
        <v>-391616</v>
      </c>
      <c r="F364" t="str">
        <f t="shared" si="105"/>
        <v>05</v>
      </c>
      <c r="G364" t="str">
        <f t="shared" si="106"/>
        <v>051</v>
      </c>
      <c r="H364" t="str">
        <f>'906MP'!Y64</f>
        <v>0511011</v>
      </c>
      <c r="I364" t="str">
        <f>'906MP'!AK64</f>
        <v>2025/MEI-654427/3</v>
      </c>
      <c r="J364" t="str">
        <f>'906MP'!T64</f>
        <v>(KÖT)</v>
      </c>
      <c r="K364" t="str">
        <f>'906MP'!AJ64</f>
        <v/>
      </c>
      <c r="L364" t="str">
        <f>'906MP'!U64</f>
        <v>13100</v>
      </c>
      <c r="M364" s="322" t="str">
        <f>IFERROR(VLOOKUP(A364,PAR!$D$3:$E$53,2,FALSE),"nincs szervezet")</f>
        <v>Nagymarosi Napköziotthonos Óvoda és Bölcsőde</v>
      </c>
      <c r="N364" s="322" t="str">
        <f>VLOOKUP(F364,PAR!$R$3:$S$5,2,FALSE)</f>
        <v>2 - Kiadás</v>
      </c>
      <c r="O364" t="str">
        <f>IFERROR(VLOOKUP(J364,PAR!$O$3:$P$5,2,FALSE),"nincs feladat")</f>
        <v>1 - (KÖT)</v>
      </c>
      <c r="P364" t="str">
        <f>IFERROR(VLOOKUP(G364,PAR!$J$2:$M$19,4),"nincs rovat")</f>
        <v>K1 - Személyi juttatások</v>
      </c>
      <c r="Q364" t="str">
        <f>IF(H364&gt;0,VLOOKUP(H364,PAR!$AA$3:$AC$187,3,FALSE),"nincs főkönyvi számla")</f>
        <v>0511011 -  Törvény szerinti illetmények, munkabérek előirányzata</v>
      </c>
      <c r="R364" t="str">
        <f>IFERROR(VLOOKUP(K364,PAR!$V$3:$X$438,3,FALSE),"000000 - Nincs COFOG")</f>
        <v>000000 - Nincs COFOG</v>
      </c>
      <c r="S364">
        <f t="shared" si="107"/>
        <v>-391616</v>
      </c>
      <c r="T364">
        <f t="shared" si="108"/>
        <v>-391616</v>
      </c>
      <c r="U364" t="str">
        <f>IF('906MP'!J64&gt;0,CONCATENATE('906MP'!J64," - ",'906MP'!P64,", ",'906MP'!E64),"nincs megjegyzés")</f>
        <v>2025-01-01 - módosított ei, 2025/MEI-654427/3</v>
      </c>
      <c r="V364" t="str">
        <f t="shared" si="95"/>
        <v>60P654427051</v>
      </c>
      <c r="W364" t="str">
        <f t="shared" si="96"/>
        <v>60P65442705</v>
      </c>
      <c r="X364" t="str">
        <f t="shared" si="97"/>
        <v>P6544270511011</v>
      </c>
      <c r="Y364" t="str">
        <f t="shared" si="98"/>
        <v>600511011</v>
      </c>
      <c r="Z364" t="str">
        <f t="shared" si="109"/>
        <v>(KÖT)0511011</v>
      </c>
      <c r="AA364" t="str">
        <f t="shared" si="99"/>
        <v>60051</v>
      </c>
      <c r="AB364" t="str">
        <f t="shared" si="100"/>
        <v>(KÖT)051</v>
      </c>
      <c r="AC364" t="str">
        <f t="shared" si="101"/>
        <v>60P6544270511011</v>
      </c>
      <c r="AD364" t="str">
        <f t="shared" si="102"/>
        <v>P6544270511011(KÖT)</v>
      </c>
      <c r="AE364" t="str">
        <f t="shared" si="103"/>
        <v>60P654427051</v>
      </c>
      <c r="AF364" t="str">
        <f t="shared" si="104"/>
        <v>P654427051(KÖT)</v>
      </c>
      <c r="AG364" t="str">
        <f t="shared" si="110"/>
        <v>60P654427051101113100</v>
      </c>
      <c r="AH364" t="str">
        <f t="shared" si="111"/>
        <v>P654427(KÖT)051101113100</v>
      </c>
      <c r="AI364" t="str">
        <f t="shared" si="112"/>
        <v>60P65442705113100</v>
      </c>
      <c r="AJ364" t="str">
        <f t="shared" si="113"/>
        <v>P654427051(KÖT)13100</v>
      </c>
    </row>
    <row r="365" spans="1:36" x14ac:dyDescent="0.25">
      <c r="A365" s="325" t="str">
        <f>CONCATENATE("P",'906MP'!M65)</f>
        <v>P731113</v>
      </c>
      <c r="B365">
        <f>'906MP'!H65</f>
        <v>61</v>
      </c>
      <c r="C365" t="str">
        <f>'906MP'!J65</f>
        <v>2025-01-01</v>
      </c>
      <c r="D365" t="str">
        <f>'906MP'!P65</f>
        <v>eredeti ei</v>
      </c>
      <c r="E365">
        <f>'906MP'!X65</f>
        <v>26956715</v>
      </c>
      <c r="F365" t="str">
        <f t="shared" si="105"/>
        <v>05</v>
      </c>
      <c r="G365" t="str">
        <f t="shared" si="106"/>
        <v>056</v>
      </c>
      <c r="H365" t="str">
        <f>'906MP'!Y65</f>
        <v>05671</v>
      </c>
      <c r="I365" t="str">
        <f>'906MP'!AK65</f>
        <v>2025/EEI-731113/1</v>
      </c>
      <c r="J365" t="str">
        <f>'906MP'!T65</f>
        <v>(KÖT)</v>
      </c>
      <c r="K365" t="str">
        <f>'906MP'!AJ65</f>
        <v/>
      </c>
      <c r="L365" t="str">
        <f>'906MP'!U65</f>
        <v>11100</v>
      </c>
      <c r="M365" s="322" t="str">
        <f>IFERROR(VLOOKUP(A365,PAR!$D$3:$E$53,2,FALSE),"nincs szervezet")</f>
        <v>Nagymaros Város Önkormányzata</v>
      </c>
      <c r="N365" s="322" t="str">
        <f>VLOOKUP(F365,PAR!$R$3:$S$5,2,FALSE)</f>
        <v>2 - Kiadás</v>
      </c>
      <c r="O365" t="str">
        <f>IFERROR(VLOOKUP(J365,PAR!$O$3:$P$5,2,FALSE),"nincs feladat")</f>
        <v>1 - (KÖT)</v>
      </c>
      <c r="P365" t="str">
        <f>IFERROR(VLOOKUP(G365,PAR!$J$2:$M$19,4),"nincs rovat")</f>
        <v>K6 - Beruházások</v>
      </c>
      <c r="Q365" t="str">
        <f>IF(H365&gt;0,VLOOKUP(H365,PAR!$AA$3:$AC$187,3,FALSE),"nincs főkönyvi számla")</f>
        <v>05671 -  Beruházási célú előzetesen felszámított általános forgalmi adó előirányzata</v>
      </c>
      <c r="R365" t="str">
        <f>IFERROR(VLOOKUP(K365,PAR!$V$3:$X$438,3,FALSE),"000000 - Nincs COFOG")</f>
        <v>000000 - Nincs COFOG</v>
      </c>
      <c r="S365">
        <f t="shared" si="107"/>
        <v>26956715</v>
      </c>
      <c r="T365">
        <f t="shared" si="108"/>
        <v>26956715</v>
      </c>
      <c r="U365" t="str">
        <f>IF('906MP'!J65&gt;0,CONCATENATE('906MP'!J65," - ",'906MP'!P65,", ",'906MP'!E65),"nincs megjegyzés")</f>
        <v>2025-01-01 - eredeti ei, 2025/EEI-731113/1</v>
      </c>
      <c r="V365" t="str">
        <f t="shared" si="95"/>
        <v>61P731113056</v>
      </c>
      <c r="W365" t="str">
        <f t="shared" si="96"/>
        <v>61P73111305</v>
      </c>
      <c r="X365" t="str">
        <f t="shared" si="97"/>
        <v>P73111305671</v>
      </c>
      <c r="Y365" t="str">
        <f t="shared" si="98"/>
        <v>6105671</v>
      </c>
      <c r="Z365" t="str">
        <f t="shared" si="109"/>
        <v>(KÖT)05671</v>
      </c>
      <c r="AA365" t="str">
        <f t="shared" si="99"/>
        <v>61056</v>
      </c>
      <c r="AB365" t="str">
        <f t="shared" si="100"/>
        <v>(KÖT)056</v>
      </c>
      <c r="AC365" t="str">
        <f t="shared" si="101"/>
        <v>61P73111305671</v>
      </c>
      <c r="AD365" t="str">
        <f t="shared" si="102"/>
        <v>P73111305671(KÖT)</v>
      </c>
      <c r="AE365" t="str">
        <f t="shared" si="103"/>
        <v>61P731113056</v>
      </c>
      <c r="AF365" t="str">
        <f t="shared" si="104"/>
        <v>P731113056(KÖT)</v>
      </c>
      <c r="AG365" t="str">
        <f t="shared" si="110"/>
        <v>61P7311130567111100</v>
      </c>
      <c r="AH365" t="str">
        <f t="shared" si="111"/>
        <v>P731113(KÖT)0567111100</v>
      </c>
      <c r="AI365" t="str">
        <f t="shared" si="112"/>
        <v>61P73111305611100</v>
      </c>
      <c r="AJ365" t="str">
        <f t="shared" si="113"/>
        <v>P731113056(KÖT)11100</v>
      </c>
    </row>
    <row r="366" spans="1:36" x14ac:dyDescent="0.25">
      <c r="A366" s="325" t="str">
        <f>CONCATENATE("P",'906MP'!M66)</f>
        <v>P731113</v>
      </c>
      <c r="B366">
        <f>'906MP'!H66</f>
        <v>61</v>
      </c>
      <c r="C366" t="str">
        <f>'906MP'!J66</f>
        <v>2025-01-01</v>
      </c>
      <c r="D366" t="str">
        <f>'906MP'!P66</f>
        <v>eredeti ei</v>
      </c>
      <c r="E366">
        <f>'906MP'!X66</f>
        <v>27218204</v>
      </c>
      <c r="F366" t="str">
        <f t="shared" si="105"/>
        <v>05</v>
      </c>
      <c r="G366" t="str">
        <f t="shared" si="106"/>
        <v>057</v>
      </c>
      <c r="H366" t="str">
        <f>'906MP'!Y66</f>
        <v>05711</v>
      </c>
      <c r="I366" t="str">
        <f>'906MP'!AK66</f>
        <v>2025/EEI-731113/1</v>
      </c>
      <c r="J366" t="str">
        <f>'906MP'!T66</f>
        <v>(KÖT)</v>
      </c>
      <c r="K366" t="str">
        <f>'906MP'!AJ66</f>
        <v/>
      </c>
      <c r="L366" t="str">
        <f>'906MP'!U66</f>
        <v>11100</v>
      </c>
      <c r="M366" s="322" t="str">
        <f>IFERROR(VLOOKUP(A366,PAR!$D$3:$E$53,2,FALSE),"nincs szervezet")</f>
        <v>Nagymaros Város Önkormányzata</v>
      </c>
      <c r="N366" s="322" t="str">
        <f>VLOOKUP(F366,PAR!$R$3:$S$5,2,FALSE)</f>
        <v>2 - Kiadás</v>
      </c>
      <c r="O366" t="str">
        <f>IFERROR(VLOOKUP(J366,PAR!$O$3:$P$5,2,FALSE),"nincs feladat")</f>
        <v>1 - (KÖT)</v>
      </c>
      <c r="P366" t="str">
        <f>IFERROR(VLOOKUP(G366,PAR!$J$2:$M$19,4),"nincs rovat")</f>
        <v>K7 - Felújítások</v>
      </c>
      <c r="Q366" t="str">
        <f>IF(H366&gt;0,VLOOKUP(H366,PAR!$AA$3:$AC$187,3,FALSE),"nincs főkönyvi számla")</f>
        <v>05711 -  Ingatlanok felújítása előirányzata</v>
      </c>
      <c r="R366" t="str">
        <f>IFERROR(VLOOKUP(K366,PAR!$V$3:$X$438,3,FALSE),"000000 - Nincs COFOG")</f>
        <v>000000 - Nincs COFOG</v>
      </c>
      <c r="S366">
        <f t="shared" si="107"/>
        <v>27218204</v>
      </c>
      <c r="T366">
        <f t="shared" si="108"/>
        <v>27218204</v>
      </c>
      <c r="U366" t="str">
        <f>IF('906MP'!J66&gt;0,CONCATENATE('906MP'!J66," - ",'906MP'!P66,", ",'906MP'!E66),"nincs megjegyzés")</f>
        <v>2025-01-01 - eredeti ei, 2025/EEI-731113/1</v>
      </c>
      <c r="V366" t="str">
        <f t="shared" si="95"/>
        <v>61P731113057</v>
      </c>
      <c r="W366" t="str">
        <f t="shared" si="96"/>
        <v>61P73111305</v>
      </c>
      <c r="X366" t="str">
        <f t="shared" si="97"/>
        <v>P73111305711</v>
      </c>
      <c r="Y366" t="str">
        <f t="shared" si="98"/>
        <v>6105711</v>
      </c>
      <c r="Z366" t="str">
        <f t="shared" si="109"/>
        <v>(KÖT)05711</v>
      </c>
      <c r="AA366" t="str">
        <f t="shared" si="99"/>
        <v>61057</v>
      </c>
      <c r="AB366" t="str">
        <f t="shared" si="100"/>
        <v>(KÖT)057</v>
      </c>
      <c r="AC366" t="str">
        <f t="shared" si="101"/>
        <v>61P73111305711</v>
      </c>
      <c r="AD366" t="str">
        <f t="shared" si="102"/>
        <v>P73111305711(KÖT)</v>
      </c>
      <c r="AE366" t="str">
        <f t="shared" si="103"/>
        <v>61P731113057</v>
      </c>
      <c r="AF366" t="str">
        <f t="shared" si="104"/>
        <v>P731113057(KÖT)</v>
      </c>
      <c r="AG366" t="str">
        <f t="shared" si="110"/>
        <v>61P7311130571111100</v>
      </c>
      <c r="AH366" t="str">
        <f t="shared" si="111"/>
        <v>P731113(KÖT)0571111100</v>
      </c>
      <c r="AI366" t="str">
        <f t="shared" si="112"/>
        <v>61P73111305711100</v>
      </c>
      <c r="AJ366" t="str">
        <f t="shared" si="113"/>
        <v>P731113057(KÖT)11100</v>
      </c>
    </row>
    <row r="367" spans="1:36" x14ac:dyDescent="0.25">
      <c r="A367" s="325" t="str">
        <f>CONCATENATE("P",'906MP'!M67)</f>
        <v>P731113</v>
      </c>
      <c r="B367">
        <f>'906MP'!H67</f>
        <v>61</v>
      </c>
      <c r="C367" t="str">
        <f>'906MP'!J67</f>
        <v>2025-01-01</v>
      </c>
      <c r="D367" t="str">
        <f>'906MP'!P67</f>
        <v>eredeti ei</v>
      </c>
      <c r="E367">
        <f>'906MP'!X67</f>
        <v>7348915</v>
      </c>
      <c r="F367" t="str">
        <f t="shared" si="105"/>
        <v>05</v>
      </c>
      <c r="G367" t="str">
        <f t="shared" si="106"/>
        <v>057</v>
      </c>
      <c r="H367" t="str">
        <f>'906MP'!Y67</f>
        <v>05741</v>
      </c>
      <c r="I367" t="str">
        <f>'906MP'!AK67</f>
        <v>2025/EEI-731113/1</v>
      </c>
      <c r="J367" t="str">
        <f>'906MP'!T67</f>
        <v>(KÖT)</v>
      </c>
      <c r="K367" t="str">
        <f>'906MP'!AJ67</f>
        <v/>
      </c>
      <c r="L367" t="str">
        <f>'906MP'!U67</f>
        <v>11100</v>
      </c>
      <c r="M367" s="322" t="str">
        <f>IFERROR(VLOOKUP(A367,PAR!$D$3:$E$53,2,FALSE),"nincs szervezet")</f>
        <v>Nagymaros Város Önkormányzata</v>
      </c>
      <c r="N367" s="322" t="str">
        <f>VLOOKUP(F367,PAR!$R$3:$S$5,2,FALSE)</f>
        <v>2 - Kiadás</v>
      </c>
      <c r="O367" t="str">
        <f>IFERROR(VLOOKUP(J367,PAR!$O$3:$P$5,2,FALSE),"nincs feladat")</f>
        <v>1 - (KÖT)</v>
      </c>
      <c r="P367" t="str">
        <f>IFERROR(VLOOKUP(G367,PAR!$J$2:$M$19,4),"nincs rovat")</f>
        <v>K7 - Felújítások</v>
      </c>
      <c r="Q367" t="str">
        <f>IF(H367&gt;0,VLOOKUP(H367,PAR!$AA$3:$AC$187,3,FALSE),"nincs főkönyvi számla")</f>
        <v>05741 -  Felújítási célú előzetesen felszámított általános forgalmi adó előirányzata</v>
      </c>
      <c r="R367" t="str">
        <f>IFERROR(VLOOKUP(K367,PAR!$V$3:$X$438,3,FALSE),"000000 - Nincs COFOG")</f>
        <v>000000 - Nincs COFOG</v>
      </c>
      <c r="S367">
        <f t="shared" si="107"/>
        <v>7348915</v>
      </c>
      <c r="T367">
        <f t="shared" si="108"/>
        <v>7348915</v>
      </c>
      <c r="U367" t="str">
        <f>IF('906MP'!J67&gt;0,CONCATENATE('906MP'!J67," - ",'906MP'!P67,", ",'906MP'!E67),"nincs megjegyzés")</f>
        <v>2025-01-01 - eredeti ei, 2025/EEI-731113/1</v>
      </c>
      <c r="V367" t="str">
        <f t="shared" si="95"/>
        <v>61P731113057</v>
      </c>
      <c r="W367" t="str">
        <f t="shared" si="96"/>
        <v>61P73111305</v>
      </c>
      <c r="X367" t="str">
        <f t="shared" si="97"/>
        <v>P73111305741</v>
      </c>
      <c r="Y367" t="str">
        <f t="shared" si="98"/>
        <v>6105741</v>
      </c>
      <c r="Z367" t="str">
        <f t="shared" si="109"/>
        <v>(KÖT)05741</v>
      </c>
      <c r="AA367" t="str">
        <f t="shared" si="99"/>
        <v>61057</v>
      </c>
      <c r="AB367" t="str">
        <f t="shared" si="100"/>
        <v>(KÖT)057</v>
      </c>
      <c r="AC367" t="str">
        <f t="shared" si="101"/>
        <v>61P73111305741</v>
      </c>
      <c r="AD367" t="str">
        <f t="shared" si="102"/>
        <v>P73111305741(KÖT)</v>
      </c>
      <c r="AE367" t="str">
        <f t="shared" si="103"/>
        <v>61P731113057</v>
      </c>
      <c r="AF367" t="str">
        <f t="shared" si="104"/>
        <v>P731113057(KÖT)</v>
      </c>
      <c r="AG367" t="str">
        <f t="shared" si="110"/>
        <v>61P7311130574111100</v>
      </c>
      <c r="AH367" t="str">
        <f t="shared" si="111"/>
        <v>P731113(KÖT)0574111100</v>
      </c>
      <c r="AI367" t="str">
        <f t="shared" si="112"/>
        <v>61P73111305711100</v>
      </c>
      <c r="AJ367" t="str">
        <f t="shared" si="113"/>
        <v>P731113057(KÖT)11100</v>
      </c>
    </row>
    <row r="368" spans="1:36" x14ac:dyDescent="0.25">
      <c r="A368" s="325" t="str">
        <f>CONCATENATE("P",'906MP'!M68)</f>
        <v>P731113</v>
      </c>
      <c r="B368">
        <f>'906MP'!H68</f>
        <v>61</v>
      </c>
      <c r="C368" t="str">
        <f>'906MP'!J68</f>
        <v>2025-01-01</v>
      </c>
      <c r="D368" t="str">
        <f>'906MP'!P68</f>
        <v>eredeti ei</v>
      </c>
      <c r="E368">
        <f>'906MP'!X68</f>
        <v>14729728</v>
      </c>
      <c r="F368" t="str">
        <f t="shared" si="105"/>
        <v>05</v>
      </c>
      <c r="G368" t="str">
        <f t="shared" si="106"/>
        <v>059</v>
      </c>
      <c r="H368" t="str">
        <f>'906MP'!Y68</f>
        <v>0591111</v>
      </c>
      <c r="I368" t="str">
        <f>'906MP'!AK68</f>
        <v>2025/EEI-731113/1</v>
      </c>
      <c r="J368" t="str">
        <f>'906MP'!T68</f>
        <v>(KÖT)</v>
      </c>
      <c r="K368" t="str">
        <f>'906MP'!AJ68</f>
        <v/>
      </c>
      <c r="L368" t="str">
        <f>'906MP'!U68</f>
        <v>11100</v>
      </c>
      <c r="M368" s="322" t="str">
        <f>IFERROR(VLOOKUP(A368,PAR!$D$3:$E$53,2,FALSE),"nincs szervezet")</f>
        <v>Nagymaros Város Önkormányzata</v>
      </c>
      <c r="N368" s="322" t="str">
        <f>VLOOKUP(F368,PAR!$R$3:$S$5,2,FALSE)</f>
        <v>2 - Kiadás</v>
      </c>
      <c r="O368" t="str">
        <f>IFERROR(VLOOKUP(J368,PAR!$O$3:$P$5,2,FALSE),"nincs feladat")</f>
        <v>1 - (KÖT)</v>
      </c>
      <c r="P368" t="str">
        <f>IFERROR(VLOOKUP(G368,PAR!$J$2:$M$19,4),"nincs rovat")</f>
        <v>K9 - Finanszírozási kiadások</v>
      </c>
      <c r="Q368" t="str">
        <f>IF(H368&gt;0,VLOOKUP(H368,PAR!$AA$3:$AC$187,3,FALSE),"nincs főkönyvi számla")</f>
        <v>0591111 -  Hosszú lejáratú hitelek, kölcsönök törlesztése pénzügyi vállalkozásnak előirányzata</v>
      </c>
      <c r="R368" t="str">
        <f>IFERROR(VLOOKUP(K368,PAR!$V$3:$X$438,3,FALSE),"000000 - Nincs COFOG")</f>
        <v>000000 - Nincs COFOG</v>
      </c>
      <c r="S368">
        <f t="shared" si="107"/>
        <v>14729728</v>
      </c>
      <c r="T368">
        <f t="shared" si="108"/>
        <v>14729728</v>
      </c>
      <c r="U368" t="str">
        <f>IF('906MP'!J68&gt;0,CONCATENATE('906MP'!J68," - ",'906MP'!P68,", ",'906MP'!E68),"nincs megjegyzés")</f>
        <v>2025-01-01 - eredeti ei, 2025/EEI-731113/1</v>
      </c>
      <c r="V368" t="str">
        <f t="shared" si="95"/>
        <v>61P731113059</v>
      </c>
      <c r="W368" t="str">
        <f t="shared" si="96"/>
        <v>61P73111305</v>
      </c>
      <c r="X368" t="str">
        <f t="shared" si="97"/>
        <v>P7311130591111</v>
      </c>
      <c r="Y368" t="str">
        <f t="shared" si="98"/>
        <v>610591111</v>
      </c>
      <c r="Z368" t="str">
        <f t="shared" si="109"/>
        <v>(KÖT)0591111</v>
      </c>
      <c r="AA368" t="str">
        <f t="shared" si="99"/>
        <v>61059</v>
      </c>
      <c r="AB368" t="str">
        <f t="shared" si="100"/>
        <v>(KÖT)059</v>
      </c>
      <c r="AC368" t="str">
        <f t="shared" si="101"/>
        <v>61P7311130591111</v>
      </c>
      <c r="AD368" t="str">
        <f t="shared" si="102"/>
        <v>P7311130591111(KÖT)</v>
      </c>
      <c r="AE368" t="str">
        <f t="shared" si="103"/>
        <v>61P731113059</v>
      </c>
      <c r="AF368" t="str">
        <f t="shared" si="104"/>
        <v>P731113059(KÖT)</v>
      </c>
      <c r="AG368" t="str">
        <f t="shared" si="110"/>
        <v>61P731113059111111100</v>
      </c>
      <c r="AH368" t="str">
        <f t="shared" si="111"/>
        <v>P731113(KÖT)059111111100</v>
      </c>
      <c r="AI368" t="str">
        <f t="shared" si="112"/>
        <v>61P73111305911100</v>
      </c>
      <c r="AJ368" t="str">
        <f t="shared" si="113"/>
        <v>P731113059(KÖT)11100</v>
      </c>
    </row>
    <row r="369" spans="1:36" x14ac:dyDescent="0.25">
      <c r="A369" s="325" t="str">
        <f>CONCATENATE("P",'906MP'!M69)</f>
        <v>P731113</v>
      </c>
      <c r="B369">
        <f>'906MP'!H69</f>
        <v>61</v>
      </c>
      <c r="C369" t="str">
        <f>'906MP'!J69</f>
        <v>2025-01-01</v>
      </c>
      <c r="D369" t="str">
        <f>'906MP'!P69</f>
        <v>eredeti ei</v>
      </c>
      <c r="E369">
        <f>'906MP'!X69</f>
        <v>23155891</v>
      </c>
      <c r="F369" t="str">
        <f t="shared" si="105"/>
        <v>05</v>
      </c>
      <c r="G369" t="str">
        <f t="shared" si="106"/>
        <v>059</v>
      </c>
      <c r="H369" t="str">
        <f>'906MP'!Y69</f>
        <v>059141</v>
      </c>
      <c r="I369" t="str">
        <f>'906MP'!AK69</f>
        <v>2025/EEI-731113/1</v>
      </c>
      <c r="J369" t="str">
        <f>'906MP'!T69</f>
        <v>(KÖT)</v>
      </c>
      <c r="K369" t="str">
        <f>'906MP'!AJ69</f>
        <v/>
      </c>
      <c r="L369" t="str">
        <f>'906MP'!U69</f>
        <v>11100</v>
      </c>
      <c r="M369" s="322" t="str">
        <f>IFERROR(VLOOKUP(A369,PAR!$D$3:$E$53,2,FALSE),"nincs szervezet")</f>
        <v>Nagymaros Város Önkormányzata</v>
      </c>
      <c r="N369" s="322" t="str">
        <f>VLOOKUP(F369,PAR!$R$3:$S$5,2,FALSE)</f>
        <v>2 - Kiadás</v>
      </c>
      <c r="O369" t="str">
        <f>IFERROR(VLOOKUP(J369,PAR!$O$3:$P$5,2,FALSE),"nincs feladat")</f>
        <v>1 - (KÖT)</v>
      </c>
      <c r="P369" t="str">
        <f>IFERROR(VLOOKUP(G369,PAR!$J$2:$M$19,4),"nincs rovat")</f>
        <v>K9 - Finanszírozási kiadások</v>
      </c>
      <c r="Q369" t="str">
        <f>IF(H369&gt;0,VLOOKUP(H369,PAR!$AA$3:$AC$187,3,FALSE),"nincs főkönyvi számla")</f>
        <v>059141 -  Államháztartáson belüli megelőlegezések visszafizetése előirányzata</v>
      </c>
      <c r="R369" t="str">
        <f>IFERROR(VLOOKUP(K369,PAR!$V$3:$X$438,3,FALSE),"000000 - Nincs COFOG")</f>
        <v>000000 - Nincs COFOG</v>
      </c>
      <c r="S369">
        <f t="shared" si="107"/>
        <v>23155891</v>
      </c>
      <c r="T369">
        <f t="shared" si="108"/>
        <v>23155891</v>
      </c>
      <c r="U369" t="str">
        <f>IF('906MP'!J69&gt;0,CONCATENATE('906MP'!J69," - ",'906MP'!P69,", ",'906MP'!E69),"nincs megjegyzés")</f>
        <v>2025-01-01 - eredeti ei, 2025/EEI-731113/1</v>
      </c>
      <c r="V369" t="str">
        <f t="shared" si="95"/>
        <v>61P731113059</v>
      </c>
      <c r="W369" t="str">
        <f t="shared" si="96"/>
        <v>61P73111305</v>
      </c>
      <c r="X369" t="str">
        <f t="shared" si="97"/>
        <v>P731113059141</v>
      </c>
      <c r="Y369" t="str">
        <f t="shared" si="98"/>
        <v>61059141</v>
      </c>
      <c r="Z369" t="str">
        <f t="shared" si="109"/>
        <v>(KÖT)059141</v>
      </c>
      <c r="AA369" t="str">
        <f t="shared" si="99"/>
        <v>61059</v>
      </c>
      <c r="AB369" t="str">
        <f t="shared" si="100"/>
        <v>(KÖT)059</v>
      </c>
      <c r="AC369" t="str">
        <f t="shared" si="101"/>
        <v>61P731113059141</v>
      </c>
      <c r="AD369" t="str">
        <f t="shared" si="102"/>
        <v>P731113059141(KÖT)</v>
      </c>
      <c r="AE369" t="str">
        <f t="shared" si="103"/>
        <v>61P731113059</v>
      </c>
      <c r="AF369" t="str">
        <f t="shared" si="104"/>
        <v>P731113059(KÖT)</v>
      </c>
      <c r="AG369" t="str">
        <f t="shared" si="110"/>
        <v>61P73111305914111100</v>
      </c>
      <c r="AH369" t="str">
        <f t="shared" si="111"/>
        <v>P731113(KÖT)05914111100</v>
      </c>
      <c r="AI369" t="str">
        <f t="shared" si="112"/>
        <v>61P73111305911100</v>
      </c>
      <c r="AJ369" t="str">
        <f t="shared" si="113"/>
        <v>P731113059(KÖT)11100</v>
      </c>
    </row>
    <row r="370" spans="1:36" x14ac:dyDescent="0.25">
      <c r="A370" s="325" t="str">
        <f>CONCATENATE("P",'906MP'!M70)</f>
        <v>P731113</v>
      </c>
      <c r="B370">
        <f>'906MP'!H70</f>
        <v>61</v>
      </c>
      <c r="C370" t="str">
        <f>'906MP'!J70</f>
        <v>2025-01-01</v>
      </c>
      <c r="D370" t="str">
        <f>'906MP'!P70</f>
        <v>eredeti ei</v>
      </c>
      <c r="E370">
        <f>'906MP'!X70</f>
        <v>713571495</v>
      </c>
      <c r="F370" t="str">
        <f t="shared" si="105"/>
        <v>05</v>
      </c>
      <c r="G370" t="str">
        <f t="shared" si="106"/>
        <v>059</v>
      </c>
      <c r="H370" t="str">
        <f>'906MP'!Y70</f>
        <v>059151</v>
      </c>
      <c r="I370" t="str">
        <f>'906MP'!AK70</f>
        <v>2025/EEI-731113/1</v>
      </c>
      <c r="J370" t="str">
        <f>'906MP'!T70</f>
        <v>(KÖT)</v>
      </c>
      <c r="K370" t="str">
        <f>'906MP'!AJ70</f>
        <v/>
      </c>
      <c r="L370" t="str">
        <f>'906MP'!U70</f>
        <v>11100</v>
      </c>
      <c r="M370" s="322" t="str">
        <f>IFERROR(VLOOKUP(A370,PAR!$D$3:$E$53,2,FALSE),"nincs szervezet")</f>
        <v>Nagymaros Város Önkormányzata</v>
      </c>
      <c r="N370" s="322" t="str">
        <f>VLOOKUP(F370,PAR!$R$3:$S$5,2,FALSE)</f>
        <v>2 - Kiadás</v>
      </c>
      <c r="O370" t="str">
        <f>IFERROR(VLOOKUP(J370,PAR!$O$3:$P$5,2,FALSE),"nincs feladat")</f>
        <v>1 - (KÖT)</v>
      </c>
      <c r="P370" t="str">
        <f>IFERROR(VLOOKUP(G370,PAR!$J$2:$M$19,4),"nincs rovat")</f>
        <v>K9 - Finanszírozási kiadások</v>
      </c>
      <c r="Q370" t="str">
        <f>IF(H370&gt;0,VLOOKUP(H370,PAR!$AA$3:$AC$187,3,FALSE),"nincs főkönyvi számla")</f>
        <v>059151 -  Központi, irányító szervi támogatás folyósítása előirányzata</v>
      </c>
      <c r="R370" t="str">
        <f>IFERROR(VLOOKUP(K370,PAR!$V$3:$X$438,3,FALSE),"000000 - Nincs COFOG")</f>
        <v>000000 - Nincs COFOG</v>
      </c>
      <c r="S370">
        <f t="shared" si="107"/>
        <v>713571495</v>
      </c>
      <c r="T370">
        <f t="shared" si="108"/>
        <v>713571495</v>
      </c>
      <c r="U370" t="str">
        <f>IF('906MP'!J70&gt;0,CONCATENATE('906MP'!J70," - ",'906MP'!P70,", ",'906MP'!E70),"nincs megjegyzés")</f>
        <v>2025-01-01 - eredeti ei, 2025/EEI-731113/1</v>
      </c>
      <c r="V370" t="str">
        <f t="shared" si="95"/>
        <v>61P731113059</v>
      </c>
      <c r="W370" t="str">
        <f t="shared" si="96"/>
        <v>61P73111305</v>
      </c>
      <c r="X370" t="str">
        <f t="shared" si="97"/>
        <v>P731113059151</v>
      </c>
      <c r="Y370" t="str">
        <f t="shared" si="98"/>
        <v>61059151</v>
      </c>
      <c r="Z370" t="str">
        <f t="shared" si="109"/>
        <v>(KÖT)059151</v>
      </c>
      <c r="AA370" t="str">
        <f t="shared" si="99"/>
        <v>61059</v>
      </c>
      <c r="AB370" t="str">
        <f t="shared" si="100"/>
        <v>(KÖT)059</v>
      </c>
      <c r="AC370" t="str">
        <f t="shared" si="101"/>
        <v>61P731113059151</v>
      </c>
      <c r="AD370" t="str">
        <f t="shared" si="102"/>
        <v>P731113059151(KÖT)</v>
      </c>
      <c r="AE370" t="str">
        <f t="shared" si="103"/>
        <v>61P731113059</v>
      </c>
      <c r="AF370" t="str">
        <f t="shared" si="104"/>
        <v>P731113059(KÖT)</v>
      </c>
      <c r="AG370" t="str">
        <f t="shared" si="110"/>
        <v>61P73111305915111100</v>
      </c>
      <c r="AH370" t="str">
        <f t="shared" si="111"/>
        <v>P731113(KÖT)05915111100</v>
      </c>
      <c r="AI370" t="str">
        <f t="shared" si="112"/>
        <v>61P73111305911100</v>
      </c>
      <c r="AJ370" t="str">
        <f t="shared" si="113"/>
        <v>P731113059(KÖT)11100</v>
      </c>
    </row>
    <row r="371" spans="1:36" x14ac:dyDescent="0.25">
      <c r="A371" s="325" t="str">
        <f>CONCATENATE("P",'906MP'!M71)</f>
        <v>P731113</v>
      </c>
      <c r="B371">
        <f>'906MP'!H71</f>
        <v>61</v>
      </c>
      <c r="C371" t="str">
        <f>'906MP'!J71</f>
        <v>2025-01-01</v>
      </c>
      <c r="D371" t="str">
        <f>'906MP'!P71</f>
        <v>eredeti ei</v>
      </c>
      <c r="E371">
        <f>'906MP'!X71</f>
        <v>1149792</v>
      </c>
      <c r="F371" t="str">
        <f t="shared" si="105"/>
        <v>05</v>
      </c>
      <c r="G371" t="str">
        <f t="shared" si="106"/>
        <v>059</v>
      </c>
      <c r="H371" t="str">
        <f>'906MP'!Y71</f>
        <v>059171</v>
      </c>
      <c r="I371" t="str">
        <f>'906MP'!AK71</f>
        <v>2025/EEI-731113/1</v>
      </c>
      <c r="J371" t="str">
        <f>'906MP'!T71</f>
        <v>(KÖT)</v>
      </c>
      <c r="K371" t="str">
        <f>'906MP'!AJ71</f>
        <v/>
      </c>
      <c r="L371" t="str">
        <f>'906MP'!U71</f>
        <v>11100</v>
      </c>
      <c r="M371" s="322" t="str">
        <f>IFERROR(VLOOKUP(A371,PAR!$D$3:$E$53,2,FALSE),"nincs szervezet")</f>
        <v>Nagymaros Város Önkormányzata</v>
      </c>
      <c r="N371" s="322" t="str">
        <f>VLOOKUP(F371,PAR!$R$3:$S$5,2,FALSE)</f>
        <v>2 - Kiadás</v>
      </c>
      <c r="O371" t="str">
        <f>IFERROR(VLOOKUP(J371,PAR!$O$3:$P$5,2,FALSE),"nincs feladat")</f>
        <v>1 - (KÖT)</v>
      </c>
      <c r="P371" t="str">
        <f>IFERROR(VLOOKUP(G371,PAR!$J$2:$M$19,4),"nincs rovat")</f>
        <v>K9 - Finanszírozási kiadások</v>
      </c>
      <c r="Q371" t="str">
        <f>IF(H371&gt;0,VLOOKUP(H371,PAR!$AA$3:$AC$187,3,FALSE),"nincs főkönyvi számla")</f>
        <v>059171 -  Pénzügyi lízing kiadásai előirányzata</v>
      </c>
      <c r="R371" t="str">
        <f>IFERROR(VLOOKUP(K371,PAR!$V$3:$X$438,3,FALSE),"000000 - Nincs COFOG")</f>
        <v>000000 - Nincs COFOG</v>
      </c>
      <c r="S371">
        <f t="shared" si="107"/>
        <v>1149792</v>
      </c>
      <c r="T371">
        <f t="shared" si="108"/>
        <v>1149792</v>
      </c>
      <c r="U371" t="str">
        <f>IF('906MP'!J71&gt;0,CONCATENATE('906MP'!J71," - ",'906MP'!P71,", ",'906MP'!E71),"nincs megjegyzés")</f>
        <v>2025-01-01 - eredeti ei, 2025/EEI-731113/1</v>
      </c>
      <c r="V371" t="str">
        <f t="shared" si="95"/>
        <v>61P731113059</v>
      </c>
      <c r="W371" t="str">
        <f t="shared" si="96"/>
        <v>61P73111305</v>
      </c>
      <c r="X371" t="str">
        <f t="shared" si="97"/>
        <v>P731113059171</v>
      </c>
      <c r="Y371" t="str">
        <f t="shared" si="98"/>
        <v>61059171</v>
      </c>
      <c r="Z371" t="str">
        <f t="shared" si="109"/>
        <v>(KÖT)059171</v>
      </c>
      <c r="AA371" t="str">
        <f t="shared" si="99"/>
        <v>61059</v>
      </c>
      <c r="AB371" t="str">
        <f t="shared" si="100"/>
        <v>(KÖT)059</v>
      </c>
      <c r="AC371" t="str">
        <f t="shared" si="101"/>
        <v>61P731113059171</v>
      </c>
      <c r="AD371" t="str">
        <f t="shared" si="102"/>
        <v>P731113059171(KÖT)</v>
      </c>
      <c r="AE371" t="str">
        <f t="shared" si="103"/>
        <v>61P731113059</v>
      </c>
      <c r="AF371" t="str">
        <f t="shared" si="104"/>
        <v>P731113059(KÖT)</v>
      </c>
      <c r="AG371" t="str">
        <f t="shared" si="110"/>
        <v>61P73111305917111100</v>
      </c>
      <c r="AH371" t="str">
        <f t="shared" si="111"/>
        <v>P731113(KÖT)05917111100</v>
      </c>
      <c r="AI371" t="str">
        <f t="shared" si="112"/>
        <v>61P73111305911100</v>
      </c>
      <c r="AJ371" t="str">
        <f t="shared" si="113"/>
        <v>P731113059(KÖT)11100</v>
      </c>
    </row>
    <row r="372" spans="1:36" x14ac:dyDescent="0.25">
      <c r="A372" s="325" t="str">
        <f>CONCATENATE("P",'906MP'!M72)</f>
        <v>P731113</v>
      </c>
      <c r="B372">
        <f>'906MP'!H72</f>
        <v>61</v>
      </c>
      <c r="C372" t="str">
        <f>'906MP'!J72</f>
        <v>2025-01-01</v>
      </c>
      <c r="D372" t="str">
        <f>'906MP'!P72</f>
        <v>eredeti ei</v>
      </c>
      <c r="E372">
        <f>'906MP'!X72</f>
        <v>-250117687</v>
      </c>
      <c r="F372" t="str">
        <f t="shared" si="105"/>
        <v>09</v>
      </c>
      <c r="G372" t="str">
        <f t="shared" si="106"/>
        <v>091</v>
      </c>
      <c r="H372" t="str">
        <f>'906MP'!Y72</f>
        <v>091111</v>
      </c>
      <c r="I372" t="str">
        <f>'906MP'!AK72</f>
        <v>2025/EEI-731113/1</v>
      </c>
      <c r="J372" t="str">
        <f>'906MP'!T72</f>
        <v>(KÖT)</v>
      </c>
      <c r="K372" t="str">
        <f>'906MP'!AJ72</f>
        <v/>
      </c>
      <c r="L372" t="str">
        <f>'906MP'!U72</f>
        <v>91100</v>
      </c>
      <c r="M372" s="322" t="str">
        <f>IFERROR(VLOOKUP(A372,PAR!$D$3:$E$53,2,FALSE),"nincs szervezet")</f>
        <v>Nagymaros Város Önkormányzata</v>
      </c>
      <c r="N372" s="322" t="str">
        <f>VLOOKUP(F372,PAR!$R$3:$S$5,2,FALSE)</f>
        <v>1 - Bevétel</v>
      </c>
      <c r="O372" t="str">
        <f>IFERROR(VLOOKUP(J372,PAR!$O$3:$P$5,2,FALSE),"nincs feladat")</f>
        <v>1 - (KÖT)</v>
      </c>
      <c r="P372" t="str">
        <f>IFERROR(VLOOKUP(G372,PAR!$J$2:$M$19,4),"nincs rovat")</f>
        <v>B1 - Működési célú támogatások államháztartáson belülről</v>
      </c>
      <c r="Q372" t="str">
        <f>IF(H372&gt;0,VLOOKUP(H372,PAR!$AA$3:$AC$187,3,FALSE),"nincs főkönyvi számla")</f>
        <v>091111 -  Helyi önkormányzatok működésének általános támogatása előirányzata</v>
      </c>
      <c r="R372" t="str">
        <f>IFERROR(VLOOKUP(K372,PAR!$V$3:$X$438,3,FALSE),"000000 - Nincs COFOG")</f>
        <v>000000 - Nincs COFOG</v>
      </c>
      <c r="S372">
        <f t="shared" si="107"/>
        <v>-250117687</v>
      </c>
      <c r="T372">
        <f t="shared" si="108"/>
        <v>250117687</v>
      </c>
      <c r="U372" t="str">
        <f>IF('906MP'!J72&gt;0,CONCATENATE('906MP'!J72," - ",'906MP'!P72,", ",'906MP'!E72),"nincs megjegyzés")</f>
        <v>2025-01-01 - eredeti ei, 2025/EEI-731113/1</v>
      </c>
      <c r="V372" t="str">
        <f t="shared" si="95"/>
        <v>61P731113091</v>
      </c>
      <c r="W372" t="str">
        <f t="shared" si="96"/>
        <v>61P73111309</v>
      </c>
      <c r="X372" t="str">
        <f t="shared" si="97"/>
        <v>P731113091111</v>
      </c>
      <c r="Y372" t="str">
        <f t="shared" si="98"/>
        <v>61091111</v>
      </c>
      <c r="Z372" t="str">
        <f t="shared" si="109"/>
        <v>(KÖT)091111</v>
      </c>
      <c r="AA372" t="str">
        <f t="shared" si="99"/>
        <v>61091</v>
      </c>
      <c r="AB372" t="str">
        <f t="shared" si="100"/>
        <v>(KÖT)091</v>
      </c>
      <c r="AC372" t="str">
        <f t="shared" si="101"/>
        <v>61P731113091111</v>
      </c>
      <c r="AD372" t="str">
        <f t="shared" si="102"/>
        <v>P731113091111(KÖT)</v>
      </c>
      <c r="AE372" t="str">
        <f t="shared" si="103"/>
        <v>61P731113091</v>
      </c>
      <c r="AF372" t="str">
        <f t="shared" si="104"/>
        <v>P731113091(KÖT)</v>
      </c>
      <c r="AG372" t="str">
        <f t="shared" si="110"/>
        <v>61P73111309111191100</v>
      </c>
      <c r="AH372" t="str">
        <f t="shared" si="111"/>
        <v>P731113(KÖT)09111191100</v>
      </c>
      <c r="AI372" t="str">
        <f t="shared" si="112"/>
        <v>61P73111309191100</v>
      </c>
      <c r="AJ372" t="str">
        <f t="shared" si="113"/>
        <v>P731113091(KÖT)91100</v>
      </c>
    </row>
    <row r="373" spans="1:36" x14ac:dyDescent="0.25">
      <c r="A373" s="325" t="str">
        <f>CONCATENATE("P",'906MP'!M73)</f>
        <v>P731113</v>
      </c>
      <c r="B373">
        <f>'906MP'!H73</f>
        <v>61</v>
      </c>
      <c r="C373" t="str">
        <f>'906MP'!J73</f>
        <v>2025-01-01</v>
      </c>
      <c r="D373" t="str">
        <f>'906MP'!P73</f>
        <v>eredeti ei</v>
      </c>
      <c r="E373">
        <f>'906MP'!X73</f>
        <v>-273336590</v>
      </c>
      <c r="F373" t="str">
        <f t="shared" si="105"/>
        <v>09</v>
      </c>
      <c r="G373" t="str">
        <f t="shared" si="106"/>
        <v>091</v>
      </c>
      <c r="H373" t="str">
        <f>'906MP'!Y73</f>
        <v>091121</v>
      </c>
      <c r="I373" t="str">
        <f>'906MP'!AK73</f>
        <v>2025/EEI-731113/1</v>
      </c>
      <c r="J373" t="str">
        <f>'906MP'!T73</f>
        <v>(KÖT)</v>
      </c>
      <c r="K373" t="str">
        <f>'906MP'!AJ73</f>
        <v/>
      </c>
      <c r="L373" t="str">
        <f>'906MP'!U73</f>
        <v>91100</v>
      </c>
      <c r="M373" s="322" t="str">
        <f>IFERROR(VLOOKUP(A373,PAR!$D$3:$E$53,2,FALSE),"nincs szervezet")</f>
        <v>Nagymaros Város Önkormányzata</v>
      </c>
      <c r="N373" s="322" t="str">
        <f>VLOOKUP(F373,PAR!$R$3:$S$5,2,FALSE)</f>
        <v>1 - Bevétel</v>
      </c>
      <c r="O373" t="str">
        <f>IFERROR(VLOOKUP(J373,PAR!$O$3:$P$5,2,FALSE),"nincs feladat")</f>
        <v>1 - (KÖT)</v>
      </c>
      <c r="P373" t="str">
        <f>IFERROR(VLOOKUP(G373,PAR!$J$2:$M$19,4),"nincs rovat")</f>
        <v>B1 - Működési célú támogatások államháztartáson belülről</v>
      </c>
      <c r="Q373" t="str">
        <f>IF(H373&gt;0,VLOOKUP(H373,PAR!$AA$3:$AC$187,3,FALSE),"nincs főkönyvi számla")</f>
        <v>091121 -  Települési önkormányzatok egyes köznevelési feladatainak támogatása előirányzata</v>
      </c>
      <c r="R373" t="str">
        <f>IFERROR(VLOOKUP(K373,PAR!$V$3:$X$438,3,FALSE),"000000 - Nincs COFOG")</f>
        <v>000000 - Nincs COFOG</v>
      </c>
      <c r="S373">
        <f t="shared" si="107"/>
        <v>-273336590</v>
      </c>
      <c r="T373">
        <f t="shared" si="108"/>
        <v>273336590</v>
      </c>
      <c r="U373" t="str">
        <f>IF('906MP'!J73&gt;0,CONCATENATE('906MP'!J73," - ",'906MP'!P73,", ",'906MP'!E73),"nincs megjegyzés")</f>
        <v>2025-01-01 - eredeti ei, 2025/EEI-731113/1</v>
      </c>
      <c r="V373" t="str">
        <f t="shared" si="95"/>
        <v>61P731113091</v>
      </c>
      <c r="W373" t="str">
        <f t="shared" si="96"/>
        <v>61P73111309</v>
      </c>
      <c r="X373" t="str">
        <f t="shared" si="97"/>
        <v>P731113091121</v>
      </c>
      <c r="Y373" t="str">
        <f t="shared" si="98"/>
        <v>61091121</v>
      </c>
      <c r="Z373" t="str">
        <f t="shared" si="109"/>
        <v>(KÖT)091121</v>
      </c>
      <c r="AA373" t="str">
        <f t="shared" si="99"/>
        <v>61091</v>
      </c>
      <c r="AB373" t="str">
        <f t="shared" si="100"/>
        <v>(KÖT)091</v>
      </c>
      <c r="AC373" t="str">
        <f t="shared" si="101"/>
        <v>61P731113091121</v>
      </c>
      <c r="AD373" t="str">
        <f t="shared" si="102"/>
        <v>P731113091121(KÖT)</v>
      </c>
      <c r="AE373" t="str">
        <f t="shared" si="103"/>
        <v>61P731113091</v>
      </c>
      <c r="AF373" t="str">
        <f t="shared" si="104"/>
        <v>P731113091(KÖT)</v>
      </c>
      <c r="AG373" t="str">
        <f t="shared" si="110"/>
        <v>61P73111309112191100</v>
      </c>
      <c r="AH373" t="str">
        <f t="shared" si="111"/>
        <v>P731113(KÖT)09112191100</v>
      </c>
      <c r="AI373" t="str">
        <f t="shared" si="112"/>
        <v>61P73111309191100</v>
      </c>
      <c r="AJ373" t="str">
        <f t="shared" si="113"/>
        <v>P731113091(KÖT)91100</v>
      </c>
    </row>
    <row r="374" spans="1:36" x14ac:dyDescent="0.25">
      <c r="A374" s="325" t="str">
        <f>CONCATENATE("P",'906MP'!M74)</f>
        <v>P731113</v>
      </c>
      <c r="B374">
        <f>'906MP'!H74</f>
        <v>61</v>
      </c>
      <c r="C374" t="str">
        <f>'906MP'!J74</f>
        <v>2025-01-01</v>
      </c>
      <c r="D374" t="str">
        <f>'906MP'!P74</f>
        <v>eredeti ei</v>
      </c>
      <c r="E374">
        <f>'906MP'!X74</f>
        <v>-98121389</v>
      </c>
      <c r="F374" t="str">
        <f t="shared" si="105"/>
        <v>09</v>
      </c>
      <c r="G374" t="str">
        <f t="shared" si="106"/>
        <v>091</v>
      </c>
      <c r="H374" t="str">
        <f>'906MP'!Y74</f>
        <v>0911311</v>
      </c>
      <c r="I374" t="str">
        <f>'906MP'!AK74</f>
        <v>2025/EEI-731113/1</v>
      </c>
      <c r="J374" t="str">
        <f>'906MP'!T74</f>
        <v>(KÖT)</v>
      </c>
      <c r="K374" t="str">
        <f>'906MP'!AJ74</f>
        <v/>
      </c>
      <c r="L374" t="str">
        <f>'906MP'!U74</f>
        <v>91100</v>
      </c>
      <c r="M374" s="322" t="str">
        <f>IFERROR(VLOOKUP(A374,PAR!$D$3:$E$53,2,FALSE),"nincs szervezet")</f>
        <v>Nagymaros Város Önkormányzata</v>
      </c>
      <c r="N374" s="322" t="str">
        <f>VLOOKUP(F374,PAR!$R$3:$S$5,2,FALSE)</f>
        <v>1 - Bevétel</v>
      </c>
      <c r="O374" t="str">
        <f>IFERROR(VLOOKUP(J374,PAR!$O$3:$P$5,2,FALSE),"nincs feladat")</f>
        <v>1 - (KÖT)</v>
      </c>
      <c r="P374" t="str">
        <f>IFERROR(VLOOKUP(G374,PAR!$J$2:$M$19,4),"nincs rovat")</f>
        <v>B1 - Működési célú támogatások államháztartáson belülről</v>
      </c>
      <c r="Q374" t="str">
        <f>IF(H374&gt;0,VLOOKUP(H374,PAR!$AA$3:$AC$187,3,FALSE),"nincs főkönyvi számla")</f>
        <v>0911311 -  Települési önkormányzatok egyes szociális és gyermekjóléti feladatainak támogatása előirányzata</v>
      </c>
      <c r="R374" t="str">
        <f>IFERROR(VLOOKUP(K374,PAR!$V$3:$X$438,3,FALSE),"000000 - Nincs COFOG")</f>
        <v>000000 - Nincs COFOG</v>
      </c>
      <c r="S374">
        <f t="shared" si="107"/>
        <v>-98121389</v>
      </c>
      <c r="T374">
        <f t="shared" si="108"/>
        <v>98121389</v>
      </c>
      <c r="U374" t="str">
        <f>IF('906MP'!J74&gt;0,CONCATENATE('906MP'!J74," - ",'906MP'!P74,", ",'906MP'!E74),"nincs megjegyzés")</f>
        <v>2025-01-01 - eredeti ei, 2025/EEI-731113/1</v>
      </c>
      <c r="V374" t="str">
        <f t="shared" si="95"/>
        <v>61P731113091</v>
      </c>
      <c r="W374" t="str">
        <f t="shared" si="96"/>
        <v>61P73111309</v>
      </c>
      <c r="X374" t="str">
        <f t="shared" si="97"/>
        <v>P7311130911311</v>
      </c>
      <c r="Y374" t="str">
        <f t="shared" si="98"/>
        <v>610911311</v>
      </c>
      <c r="Z374" t="str">
        <f t="shared" si="109"/>
        <v>(KÖT)0911311</v>
      </c>
      <c r="AA374" t="str">
        <f t="shared" si="99"/>
        <v>61091</v>
      </c>
      <c r="AB374" t="str">
        <f t="shared" si="100"/>
        <v>(KÖT)091</v>
      </c>
      <c r="AC374" t="str">
        <f t="shared" si="101"/>
        <v>61P7311130911311</v>
      </c>
      <c r="AD374" t="str">
        <f t="shared" si="102"/>
        <v>P7311130911311(KÖT)</v>
      </c>
      <c r="AE374" t="str">
        <f t="shared" si="103"/>
        <v>61P731113091</v>
      </c>
      <c r="AF374" t="str">
        <f t="shared" si="104"/>
        <v>P731113091(KÖT)</v>
      </c>
      <c r="AG374" t="str">
        <f t="shared" si="110"/>
        <v>61P731113091131191100</v>
      </c>
      <c r="AH374" t="str">
        <f t="shared" si="111"/>
        <v>P731113(KÖT)091131191100</v>
      </c>
      <c r="AI374" t="str">
        <f t="shared" si="112"/>
        <v>61P73111309191100</v>
      </c>
      <c r="AJ374" t="str">
        <f t="shared" si="113"/>
        <v>P731113091(KÖT)91100</v>
      </c>
    </row>
    <row r="375" spans="1:36" x14ac:dyDescent="0.25">
      <c r="A375" s="325" t="str">
        <f>CONCATENATE("P",'906MP'!M75)</f>
        <v>P731113</v>
      </c>
      <c r="B375">
        <f>'906MP'!H75</f>
        <v>61</v>
      </c>
      <c r="C375" t="str">
        <f>'906MP'!J75</f>
        <v>2025-01-01</v>
      </c>
      <c r="D375" t="str">
        <f>'906MP'!P75</f>
        <v>eredeti ei</v>
      </c>
      <c r="E375">
        <f>'906MP'!X75</f>
        <v>-147019091</v>
      </c>
      <c r="F375" t="str">
        <f t="shared" si="105"/>
        <v>09</v>
      </c>
      <c r="G375" t="str">
        <f t="shared" si="106"/>
        <v>091</v>
      </c>
      <c r="H375" t="str">
        <f>'906MP'!Y75</f>
        <v>0911321</v>
      </c>
      <c r="I375" t="str">
        <f>'906MP'!AK75</f>
        <v>2025/EEI-731113/1</v>
      </c>
      <c r="J375" t="str">
        <f>'906MP'!T75</f>
        <v>(KÖT)</v>
      </c>
      <c r="K375" t="str">
        <f>'906MP'!AJ75</f>
        <v/>
      </c>
      <c r="L375" t="str">
        <f>'906MP'!U75</f>
        <v>91100</v>
      </c>
      <c r="M375" s="322" t="str">
        <f>IFERROR(VLOOKUP(A375,PAR!$D$3:$E$53,2,FALSE),"nincs szervezet")</f>
        <v>Nagymaros Város Önkormányzata</v>
      </c>
      <c r="N375" s="322" t="str">
        <f>VLOOKUP(F375,PAR!$R$3:$S$5,2,FALSE)</f>
        <v>1 - Bevétel</v>
      </c>
      <c r="O375" t="str">
        <f>IFERROR(VLOOKUP(J375,PAR!$O$3:$P$5,2,FALSE),"nincs feladat")</f>
        <v>1 - (KÖT)</v>
      </c>
      <c r="P375" t="str">
        <f>IFERROR(VLOOKUP(G375,PAR!$J$2:$M$19,4),"nincs rovat")</f>
        <v>B1 - Működési célú támogatások államháztartáson belülről</v>
      </c>
      <c r="Q375" t="str">
        <f>IF(H375&gt;0,VLOOKUP(H375,PAR!$AA$3:$AC$187,3,FALSE),"nincs főkönyvi számla")</f>
        <v>0911321 -  Települési önkormányzatok gyermekétkeztetési feladatainak támogatása előirányzata</v>
      </c>
      <c r="R375" t="str">
        <f>IFERROR(VLOOKUP(K375,PAR!$V$3:$X$438,3,FALSE),"000000 - Nincs COFOG")</f>
        <v>000000 - Nincs COFOG</v>
      </c>
      <c r="S375">
        <f t="shared" si="107"/>
        <v>-147019091</v>
      </c>
      <c r="T375">
        <f t="shared" si="108"/>
        <v>147019091</v>
      </c>
      <c r="U375" t="str">
        <f>IF('906MP'!J75&gt;0,CONCATENATE('906MP'!J75," - ",'906MP'!P75,", ",'906MP'!E75),"nincs megjegyzés")</f>
        <v>2025-01-01 - eredeti ei, 2025/EEI-731113/1</v>
      </c>
      <c r="V375" t="str">
        <f t="shared" si="95"/>
        <v>61P731113091</v>
      </c>
      <c r="W375" t="str">
        <f t="shared" si="96"/>
        <v>61P73111309</v>
      </c>
      <c r="X375" t="str">
        <f t="shared" si="97"/>
        <v>P7311130911321</v>
      </c>
      <c r="Y375" t="str">
        <f t="shared" si="98"/>
        <v>610911321</v>
      </c>
      <c r="Z375" t="str">
        <f t="shared" si="109"/>
        <v>(KÖT)0911321</v>
      </c>
      <c r="AA375" t="str">
        <f t="shared" si="99"/>
        <v>61091</v>
      </c>
      <c r="AB375" t="str">
        <f t="shared" si="100"/>
        <v>(KÖT)091</v>
      </c>
      <c r="AC375" t="str">
        <f t="shared" si="101"/>
        <v>61P7311130911321</v>
      </c>
      <c r="AD375" t="str">
        <f t="shared" si="102"/>
        <v>P7311130911321(KÖT)</v>
      </c>
      <c r="AE375" t="str">
        <f t="shared" si="103"/>
        <v>61P731113091</v>
      </c>
      <c r="AF375" t="str">
        <f t="shared" si="104"/>
        <v>P731113091(KÖT)</v>
      </c>
      <c r="AG375" t="str">
        <f t="shared" si="110"/>
        <v>61P731113091132191100</v>
      </c>
      <c r="AH375" t="str">
        <f t="shared" si="111"/>
        <v>P731113(KÖT)091132191100</v>
      </c>
      <c r="AI375" t="str">
        <f t="shared" si="112"/>
        <v>61P73111309191100</v>
      </c>
      <c r="AJ375" t="str">
        <f t="shared" si="113"/>
        <v>P731113091(KÖT)91100</v>
      </c>
    </row>
    <row r="376" spans="1:36" x14ac:dyDescent="0.25">
      <c r="A376" s="325" t="str">
        <f>CONCATENATE("P",'906MP'!M76)</f>
        <v>P731113</v>
      </c>
      <c r="B376">
        <f>'906MP'!H76</f>
        <v>61</v>
      </c>
      <c r="C376" t="str">
        <f>'906MP'!J76</f>
        <v>2025-01-01</v>
      </c>
      <c r="D376" t="str">
        <f>'906MP'!P76</f>
        <v>eredeti ei</v>
      </c>
      <c r="E376">
        <f>'906MP'!X76</f>
        <v>-14913617</v>
      </c>
      <c r="F376" t="str">
        <f t="shared" si="105"/>
        <v>09</v>
      </c>
      <c r="G376" t="str">
        <f t="shared" si="106"/>
        <v>091</v>
      </c>
      <c r="H376" t="str">
        <f>'906MP'!Y76</f>
        <v>091141</v>
      </c>
      <c r="I376" t="str">
        <f>'906MP'!AK76</f>
        <v>2025/EEI-731113/1</v>
      </c>
      <c r="J376" t="str">
        <f>'906MP'!T76</f>
        <v>(KÖT)</v>
      </c>
      <c r="K376" t="str">
        <f>'906MP'!AJ76</f>
        <v/>
      </c>
      <c r="L376" t="str">
        <f>'906MP'!U76</f>
        <v>91100</v>
      </c>
      <c r="M376" s="322" t="str">
        <f>IFERROR(VLOOKUP(A376,PAR!$D$3:$E$53,2,FALSE),"nincs szervezet")</f>
        <v>Nagymaros Város Önkormányzata</v>
      </c>
      <c r="N376" s="322" t="str">
        <f>VLOOKUP(F376,PAR!$R$3:$S$5,2,FALSE)</f>
        <v>1 - Bevétel</v>
      </c>
      <c r="O376" t="str">
        <f>IFERROR(VLOOKUP(J376,PAR!$O$3:$P$5,2,FALSE),"nincs feladat")</f>
        <v>1 - (KÖT)</v>
      </c>
      <c r="P376" t="str">
        <f>IFERROR(VLOOKUP(G376,PAR!$J$2:$M$19,4),"nincs rovat")</f>
        <v>B1 - Működési célú támogatások államháztartáson belülről</v>
      </c>
      <c r="Q376" t="str">
        <f>IF(H376&gt;0,VLOOKUP(H376,PAR!$AA$3:$AC$187,3,FALSE),"nincs főkönyvi számla")</f>
        <v>091141 -  Települési önkormányzatok kulturális feladatainak támogatása előirányzata</v>
      </c>
      <c r="R376" t="str">
        <f>IFERROR(VLOOKUP(K376,PAR!$V$3:$X$438,3,FALSE),"000000 - Nincs COFOG")</f>
        <v>000000 - Nincs COFOG</v>
      </c>
      <c r="S376">
        <f t="shared" si="107"/>
        <v>-14913617</v>
      </c>
      <c r="T376">
        <f t="shared" si="108"/>
        <v>14913617</v>
      </c>
      <c r="U376" t="str">
        <f>IF('906MP'!J76&gt;0,CONCATENATE('906MP'!J76," - ",'906MP'!P76,", ",'906MP'!E76),"nincs megjegyzés")</f>
        <v>2025-01-01 - eredeti ei, 2025/EEI-731113/1</v>
      </c>
      <c r="V376" t="str">
        <f t="shared" si="95"/>
        <v>61P731113091</v>
      </c>
      <c r="W376" t="str">
        <f t="shared" si="96"/>
        <v>61P73111309</v>
      </c>
      <c r="X376" t="str">
        <f t="shared" si="97"/>
        <v>P731113091141</v>
      </c>
      <c r="Y376" t="str">
        <f t="shared" si="98"/>
        <v>61091141</v>
      </c>
      <c r="Z376" t="str">
        <f t="shared" si="109"/>
        <v>(KÖT)091141</v>
      </c>
      <c r="AA376" t="str">
        <f t="shared" si="99"/>
        <v>61091</v>
      </c>
      <c r="AB376" t="str">
        <f t="shared" si="100"/>
        <v>(KÖT)091</v>
      </c>
      <c r="AC376" t="str">
        <f t="shared" si="101"/>
        <v>61P731113091141</v>
      </c>
      <c r="AD376" t="str">
        <f t="shared" si="102"/>
        <v>P731113091141(KÖT)</v>
      </c>
      <c r="AE376" t="str">
        <f t="shared" si="103"/>
        <v>61P731113091</v>
      </c>
      <c r="AF376" t="str">
        <f t="shared" si="104"/>
        <v>P731113091(KÖT)</v>
      </c>
      <c r="AG376" t="str">
        <f t="shared" si="110"/>
        <v>61P73111309114191100</v>
      </c>
      <c r="AH376" t="str">
        <f t="shared" si="111"/>
        <v>P731113(KÖT)09114191100</v>
      </c>
      <c r="AI376" t="str">
        <f t="shared" si="112"/>
        <v>61P73111309191100</v>
      </c>
      <c r="AJ376" t="str">
        <f t="shared" si="113"/>
        <v>P731113091(KÖT)91100</v>
      </c>
    </row>
    <row r="377" spans="1:36" x14ac:dyDescent="0.25">
      <c r="A377" s="325" t="str">
        <f>CONCATENATE("P",'906MP'!M77)</f>
        <v>P731113</v>
      </c>
      <c r="B377">
        <f>'906MP'!H77</f>
        <v>61</v>
      </c>
      <c r="C377" t="str">
        <f>'906MP'!J77</f>
        <v>2025-01-01</v>
      </c>
      <c r="D377" t="str">
        <f>'906MP'!P77</f>
        <v>eredeti ei</v>
      </c>
      <c r="E377">
        <f>'906MP'!X77</f>
        <v>-8184480</v>
      </c>
      <c r="F377" t="str">
        <f t="shared" si="105"/>
        <v>09</v>
      </c>
      <c r="G377" t="str">
        <f t="shared" si="106"/>
        <v>091</v>
      </c>
      <c r="H377" t="str">
        <f>'906MP'!Y77</f>
        <v>09161</v>
      </c>
      <c r="I377" t="str">
        <f>'906MP'!AK77</f>
        <v>2025/EEI-731113/1</v>
      </c>
      <c r="J377" t="str">
        <f>'906MP'!T77</f>
        <v>(KÖT)</v>
      </c>
      <c r="K377" t="str">
        <f>'906MP'!AJ77</f>
        <v/>
      </c>
      <c r="L377" t="str">
        <f>'906MP'!U77</f>
        <v>91100</v>
      </c>
      <c r="M377" s="322" t="str">
        <f>IFERROR(VLOOKUP(A377,PAR!$D$3:$E$53,2,FALSE),"nincs szervezet")</f>
        <v>Nagymaros Város Önkormányzata</v>
      </c>
      <c r="N377" s="322" t="str">
        <f>VLOOKUP(F377,PAR!$R$3:$S$5,2,FALSE)</f>
        <v>1 - Bevétel</v>
      </c>
      <c r="O377" t="str">
        <f>IFERROR(VLOOKUP(J377,PAR!$O$3:$P$5,2,FALSE),"nincs feladat")</f>
        <v>1 - (KÖT)</v>
      </c>
      <c r="P377" t="str">
        <f>IFERROR(VLOOKUP(G377,PAR!$J$2:$M$19,4),"nincs rovat")</f>
        <v>B1 - Működési célú támogatások államháztartáson belülről</v>
      </c>
      <c r="Q377" t="str">
        <f>IF(H377&gt;0,VLOOKUP(H377,PAR!$AA$3:$AC$187,3,FALSE),"nincs főkönyvi számla")</f>
        <v>09161 -  Egyéb működési célú támogatások bevételei államháztartáson belülről előirányzata</v>
      </c>
      <c r="R377" t="str">
        <f>IFERROR(VLOOKUP(K377,PAR!$V$3:$X$438,3,FALSE),"000000 - Nincs COFOG")</f>
        <v>000000 - Nincs COFOG</v>
      </c>
      <c r="S377">
        <f t="shared" si="107"/>
        <v>-8184480</v>
      </c>
      <c r="T377">
        <f t="shared" si="108"/>
        <v>8184480</v>
      </c>
      <c r="U377" t="str">
        <f>IF('906MP'!J77&gt;0,CONCATENATE('906MP'!J77," - ",'906MP'!P77,", ",'906MP'!E77),"nincs megjegyzés")</f>
        <v>2025-01-01 - eredeti ei, 2025/EEI-731113/1</v>
      </c>
      <c r="V377" t="str">
        <f t="shared" si="95"/>
        <v>61P731113091</v>
      </c>
      <c r="W377" t="str">
        <f t="shared" si="96"/>
        <v>61P73111309</v>
      </c>
      <c r="X377" t="str">
        <f t="shared" si="97"/>
        <v>P73111309161</v>
      </c>
      <c r="Y377" t="str">
        <f t="shared" si="98"/>
        <v>6109161</v>
      </c>
      <c r="Z377" t="str">
        <f t="shared" si="109"/>
        <v>(KÖT)09161</v>
      </c>
      <c r="AA377" t="str">
        <f t="shared" si="99"/>
        <v>61091</v>
      </c>
      <c r="AB377" t="str">
        <f t="shared" si="100"/>
        <v>(KÖT)091</v>
      </c>
      <c r="AC377" t="str">
        <f t="shared" si="101"/>
        <v>61P73111309161</v>
      </c>
      <c r="AD377" t="str">
        <f t="shared" si="102"/>
        <v>P73111309161(KÖT)</v>
      </c>
      <c r="AE377" t="str">
        <f t="shared" si="103"/>
        <v>61P731113091</v>
      </c>
      <c r="AF377" t="str">
        <f t="shared" si="104"/>
        <v>P731113091(KÖT)</v>
      </c>
      <c r="AG377" t="str">
        <f t="shared" si="110"/>
        <v>61P7311130916191100</v>
      </c>
      <c r="AH377" t="str">
        <f t="shared" si="111"/>
        <v>P731113(KÖT)0916191100</v>
      </c>
      <c r="AI377" t="str">
        <f t="shared" si="112"/>
        <v>61P73111309191100</v>
      </c>
      <c r="AJ377" t="str">
        <f t="shared" si="113"/>
        <v>P731113091(KÖT)91100</v>
      </c>
    </row>
    <row r="378" spans="1:36" x14ac:dyDescent="0.25">
      <c r="A378" s="325" t="str">
        <f>CONCATENATE("P",'906MP'!M78)</f>
        <v>P731113</v>
      </c>
      <c r="B378">
        <f>'906MP'!H78</f>
        <v>61</v>
      </c>
      <c r="C378" t="str">
        <f>'906MP'!J78</f>
        <v>2025-01-01</v>
      </c>
      <c r="D378" t="str">
        <f>'906MP'!P78</f>
        <v>eredeti ei</v>
      </c>
      <c r="E378">
        <f>'906MP'!X78</f>
        <v>-104900566</v>
      </c>
      <c r="F378" t="str">
        <f t="shared" si="105"/>
        <v>09</v>
      </c>
      <c r="G378" t="str">
        <f t="shared" si="106"/>
        <v>092</v>
      </c>
      <c r="H378" t="str">
        <f>'906MP'!Y78</f>
        <v>09211</v>
      </c>
      <c r="I378" t="str">
        <f>'906MP'!AK78</f>
        <v>2025/EEI-731113/1</v>
      </c>
      <c r="J378" t="str">
        <f>'906MP'!T78</f>
        <v>(KÖT)</v>
      </c>
      <c r="K378" t="str">
        <f>'906MP'!AJ78</f>
        <v/>
      </c>
      <c r="L378" t="str">
        <f>'906MP'!U78</f>
        <v>91100</v>
      </c>
      <c r="M378" s="322" t="str">
        <f>IFERROR(VLOOKUP(A378,PAR!$D$3:$E$53,2,FALSE),"nincs szervezet")</f>
        <v>Nagymaros Város Önkormányzata</v>
      </c>
      <c r="N378" s="322" t="str">
        <f>VLOOKUP(F378,PAR!$R$3:$S$5,2,FALSE)</f>
        <v>1 - Bevétel</v>
      </c>
      <c r="O378" t="str">
        <f>IFERROR(VLOOKUP(J378,PAR!$O$3:$P$5,2,FALSE),"nincs feladat")</f>
        <v>1 - (KÖT)</v>
      </c>
      <c r="P378" t="str">
        <f>IFERROR(VLOOKUP(G378,PAR!$J$2:$M$19,4),"nincs rovat")</f>
        <v>B2 - Felhalmozási célú támogatások államháztartáson belülről</v>
      </c>
      <c r="Q378" t="str">
        <f>IF(H378&gt;0,VLOOKUP(H378,PAR!$AA$3:$AC$187,3,FALSE),"nincs főkönyvi számla")</f>
        <v>09211 -  Felhalmozási célú önkormányzati támogatások előirányzata</v>
      </c>
      <c r="R378" t="str">
        <f>IFERROR(VLOOKUP(K378,PAR!$V$3:$X$438,3,FALSE),"000000 - Nincs COFOG")</f>
        <v>000000 - Nincs COFOG</v>
      </c>
      <c r="S378">
        <f t="shared" si="107"/>
        <v>-104900566</v>
      </c>
      <c r="T378">
        <f t="shared" si="108"/>
        <v>104900566</v>
      </c>
      <c r="U378" t="str">
        <f>IF('906MP'!J78&gt;0,CONCATENATE('906MP'!J78," - ",'906MP'!P78,", ",'906MP'!E78),"nincs megjegyzés")</f>
        <v>2025-01-01 - eredeti ei, 2025/EEI-731113/1</v>
      </c>
      <c r="V378" t="str">
        <f t="shared" si="95"/>
        <v>61P731113092</v>
      </c>
      <c r="W378" t="str">
        <f t="shared" si="96"/>
        <v>61P73111309</v>
      </c>
      <c r="X378" t="str">
        <f t="shared" si="97"/>
        <v>P73111309211</v>
      </c>
      <c r="Y378" t="str">
        <f t="shared" si="98"/>
        <v>6109211</v>
      </c>
      <c r="Z378" t="str">
        <f t="shared" si="109"/>
        <v>(KÖT)09211</v>
      </c>
      <c r="AA378" t="str">
        <f t="shared" si="99"/>
        <v>61092</v>
      </c>
      <c r="AB378" t="str">
        <f t="shared" si="100"/>
        <v>(KÖT)092</v>
      </c>
      <c r="AC378" t="str">
        <f t="shared" si="101"/>
        <v>61P73111309211</v>
      </c>
      <c r="AD378" t="str">
        <f t="shared" si="102"/>
        <v>P73111309211(KÖT)</v>
      </c>
      <c r="AE378" t="str">
        <f t="shared" si="103"/>
        <v>61P731113092</v>
      </c>
      <c r="AF378" t="str">
        <f t="shared" si="104"/>
        <v>P731113092(KÖT)</v>
      </c>
      <c r="AG378" t="str">
        <f t="shared" si="110"/>
        <v>61P7311130921191100</v>
      </c>
      <c r="AH378" t="str">
        <f t="shared" si="111"/>
        <v>P731113(KÖT)0921191100</v>
      </c>
      <c r="AI378" t="str">
        <f t="shared" si="112"/>
        <v>61P73111309291100</v>
      </c>
      <c r="AJ378" t="str">
        <f t="shared" si="113"/>
        <v>P731113092(KÖT)91100</v>
      </c>
    </row>
    <row r="379" spans="1:36" x14ac:dyDescent="0.25">
      <c r="A379" s="325" t="str">
        <f>CONCATENATE("P",'906MP'!M79)</f>
        <v>P731113</v>
      </c>
      <c r="B379">
        <f>'906MP'!H79</f>
        <v>61</v>
      </c>
      <c r="C379" t="str">
        <f>'906MP'!J79</f>
        <v>2025-01-01</v>
      </c>
      <c r="D379" t="str">
        <f>'906MP'!P79</f>
        <v>eredeti ei</v>
      </c>
      <c r="E379">
        <f>'906MP'!X79</f>
        <v>-175000000</v>
      </c>
      <c r="F379" t="str">
        <f t="shared" si="105"/>
        <v>09</v>
      </c>
      <c r="G379" t="str">
        <f t="shared" si="106"/>
        <v>093</v>
      </c>
      <c r="H379" t="str">
        <f>'906MP'!Y79</f>
        <v>09341</v>
      </c>
      <c r="I379" t="str">
        <f>'906MP'!AK79</f>
        <v>2025/EEI-731113/1</v>
      </c>
      <c r="J379" t="str">
        <f>'906MP'!T79</f>
        <v>(KÖT)</v>
      </c>
      <c r="K379" t="str">
        <f>'906MP'!AJ79</f>
        <v/>
      </c>
      <c r="L379" t="str">
        <f>'906MP'!U79</f>
        <v>91100</v>
      </c>
      <c r="M379" s="322" t="str">
        <f>IFERROR(VLOOKUP(A379,PAR!$D$3:$E$53,2,FALSE),"nincs szervezet")</f>
        <v>Nagymaros Város Önkormányzata</v>
      </c>
      <c r="N379" s="322" t="str">
        <f>VLOOKUP(F379,PAR!$R$3:$S$5,2,FALSE)</f>
        <v>1 - Bevétel</v>
      </c>
      <c r="O379" t="str">
        <f>IFERROR(VLOOKUP(J379,PAR!$O$3:$P$5,2,FALSE),"nincs feladat")</f>
        <v>1 - (KÖT)</v>
      </c>
      <c r="P379" t="str">
        <f>IFERROR(VLOOKUP(G379,PAR!$J$2:$M$19,4),"nincs rovat")</f>
        <v>B3 - Közhatalmi bevételek</v>
      </c>
      <c r="Q379" t="str">
        <f>IF(H379&gt;0,VLOOKUP(H379,PAR!$AA$3:$AC$187,3,FALSE),"nincs főkönyvi számla")</f>
        <v>09341 -  Vagyoni típusú adók előirányzata</v>
      </c>
      <c r="R379" t="str">
        <f>IFERROR(VLOOKUP(K379,PAR!$V$3:$X$438,3,FALSE),"000000 - Nincs COFOG")</f>
        <v>000000 - Nincs COFOG</v>
      </c>
      <c r="S379">
        <f t="shared" si="107"/>
        <v>-175000000</v>
      </c>
      <c r="T379">
        <f t="shared" si="108"/>
        <v>175000000</v>
      </c>
      <c r="U379" t="str">
        <f>IF('906MP'!J79&gt;0,CONCATENATE('906MP'!J79," - ",'906MP'!P79,", ",'906MP'!E79),"nincs megjegyzés")</f>
        <v>2025-01-01 - eredeti ei, 2025/EEI-731113/1</v>
      </c>
      <c r="V379" t="str">
        <f t="shared" si="95"/>
        <v>61P731113093</v>
      </c>
      <c r="W379" t="str">
        <f t="shared" si="96"/>
        <v>61P73111309</v>
      </c>
      <c r="X379" t="str">
        <f t="shared" si="97"/>
        <v>P73111309341</v>
      </c>
      <c r="Y379" t="str">
        <f t="shared" si="98"/>
        <v>6109341</v>
      </c>
      <c r="Z379" t="str">
        <f t="shared" si="109"/>
        <v>(KÖT)09341</v>
      </c>
      <c r="AA379" t="str">
        <f t="shared" si="99"/>
        <v>61093</v>
      </c>
      <c r="AB379" t="str">
        <f t="shared" si="100"/>
        <v>(KÖT)093</v>
      </c>
      <c r="AC379" t="str">
        <f t="shared" si="101"/>
        <v>61P73111309341</v>
      </c>
      <c r="AD379" t="str">
        <f t="shared" si="102"/>
        <v>P73111309341(KÖT)</v>
      </c>
      <c r="AE379" t="str">
        <f t="shared" si="103"/>
        <v>61P731113093</v>
      </c>
      <c r="AF379" t="str">
        <f t="shared" si="104"/>
        <v>P731113093(KÖT)</v>
      </c>
      <c r="AG379" t="str">
        <f t="shared" si="110"/>
        <v>61P7311130934191100</v>
      </c>
      <c r="AH379" t="str">
        <f t="shared" si="111"/>
        <v>P731113(KÖT)0934191100</v>
      </c>
      <c r="AI379" t="str">
        <f t="shared" si="112"/>
        <v>61P73111309391100</v>
      </c>
      <c r="AJ379" t="str">
        <f t="shared" si="113"/>
        <v>P731113093(KÖT)91100</v>
      </c>
    </row>
    <row r="380" spans="1:36" x14ac:dyDescent="0.25">
      <c r="A380" s="325" t="str">
        <f>CONCATENATE("P",'906MP'!M80)</f>
        <v>P731113</v>
      </c>
      <c r="B380">
        <f>'906MP'!H80</f>
        <v>61</v>
      </c>
      <c r="C380" t="str">
        <f>'906MP'!J80</f>
        <v>2025-01-01</v>
      </c>
      <c r="D380" t="str">
        <f>'906MP'!P80</f>
        <v>eredeti ei</v>
      </c>
      <c r="E380">
        <f>'906MP'!X80</f>
        <v>-150000000</v>
      </c>
      <c r="F380" t="str">
        <f t="shared" si="105"/>
        <v>09</v>
      </c>
      <c r="G380" t="str">
        <f t="shared" si="106"/>
        <v>093</v>
      </c>
      <c r="H380" t="str">
        <f>'906MP'!Y80</f>
        <v>093511</v>
      </c>
      <c r="I380" t="str">
        <f>'906MP'!AK80</f>
        <v>2025/EEI-731113/1</v>
      </c>
      <c r="J380" t="str">
        <f>'906MP'!T80</f>
        <v>(KÖT)</v>
      </c>
      <c r="K380" t="str">
        <f>'906MP'!AJ80</f>
        <v/>
      </c>
      <c r="L380" t="str">
        <f>'906MP'!U80</f>
        <v>91100</v>
      </c>
      <c r="M380" s="322" t="str">
        <f>IFERROR(VLOOKUP(A380,PAR!$D$3:$E$53,2,FALSE),"nincs szervezet")</f>
        <v>Nagymaros Város Önkormányzata</v>
      </c>
      <c r="N380" s="322" t="str">
        <f>VLOOKUP(F380,PAR!$R$3:$S$5,2,FALSE)</f>
        <v>1 - Bevétel</v>
      </c>
      <c r="O380" t="str">
        <f>IFERROR(VLOOKUP(J380,PAR!$O$3:$P$5,2,FALSE),"nincs feladat")</f>
        <v>1 - (KÖT)</v>
      </c>
      <c r="P380" t="str">
        <f>IFERROR(VLOOKUP(G380,PAR!$J$2:$M$19,4),"nincs rovat")</f>
        <v>B3 - Közhatalmi bevételek</v>
      </c>
      <c r="Q380" t="str">
        <f>IF(H380&gt;0,VLOOKUP(H380,PAR!$AA$3:$AC$187,3,FALSE),"nincs főkönyvi számla")</f>
        <v>093511 -  Értékesítési és forgalmi adók előirányzata</v>
      </c>
      <c r="R380" t="str">
        <f>IFERROR(VLOOKUP(K380,PAR!$V$3:$X$438,3,FALSE),"000000 - Nincs COFOG")</f>
        <v>000000 - Nincs COFOG</v>
      </c>
      <c r="S380">
        <f t="shared" si="107"/>
        <v>-150000000</v>
      </c>
      <c r="T380">
        <f t="shared" si="108"/>
        <v>150000000</v>
      </c>
      <c r="U380" t="str">
        <f>IF('906MP'!J80&gt;0,CONCATENATE('906MP'!J80," - ",'906MP'!P80,", ",'906MP'!E80),"nincs megjegyzés")</f>
        <v>2025-01-01 - eredeti ei, 2025/EEI-731113/1</v>
      </c>
      <c r="V380" t="str">
        <f t="shared" si="95"/>
        <v>61P731113093</v>
      </c>
      <c r="W380" t="str">
        <f t="shared" si="96"/>
        <v>61P73111309</v>
      </c>
      <c r="X380" t="str">
        <f t="shared" si="97"/>
        <v>P731113093511</v>
      </c>
      <c r="Y380" t="str">
        <f t="shared" si="98"/>
        <v>61093511</v>
      </c>
      <c r="Z380" t="str">
        <f t="shared" si="109"/>
        <v>(KÖT)093511</v>
      </c>
      <c r="AA380" t="str">
        <f t="shared" si="99"/>
        <v>61093</v>
      </c>
      <c r="AB380" t="str">
        <f t="shared" si="100"/>
        <v>(KÖT)093</v>
      </c>
      <c r="AC380" t="str">
        <f t="shared" si="101"/>
        <v>61P731113093511</v>
      </c>
      <c r="AD380" t="str">
        <f t="shared" si="102"/>
        <v>P731113093511(KÖT)</v>
      </c>
      <c r="AE380" t="str">
        <f t="shared" si="103"/>
        <v>61P731113093</v>
      </c>
      <c r="AF380" t="str">
        <f t="shared" si="104"/>
        <v>P731113093(KÖT)</v>
      </c>
      <c r="AG380" t="str">
        <f t="shared" si="110"/>
        <v>61P73111309351191100</v>
      </c>
      <c r="AH380" t="str">
        <f t="shared" si="111"/>
        <v>P731113(KÖT)09351191100</v>
      </c>
      <c r="AI380" t="str">
        <f t="shared" si="112"/>
        <v>61P73111309391100</v>
      </c>
      <c r="AJ380" t="str">
        <f t="shared" si="113"/>
        <v>P731113093(KÖT)91100</v>
      </c>
    </row>
    <row r="381" spans="1:36" x14ac:dyDescent="0.25">
      <c r="A381" s="325" t="str">
        <f>CONCATENATE("P",'906MP'!M81)</f>
        <v>P731113</v>
      </c>
      <c r="B381">
        <f>'906MP'!H81</f>
        <v>61</v>
      </c>
      <c r="C381" t="str">
        <f>'906MP'!J81</f>
        <v>2025-01-01</v>
      </c>
      <c r="D381" t="str">
        <f>'906MP'!P81</f>
        <v>eredeti ei</v>
      </c>
      <c r="E381">
        <f>'906MP'!X81</f>
        <v>-12000000</v>
      </c>
      <c r="F381" t="str">
        <f t="shared" si="105"/>
        <v>09</v>
      </c>
      <c r="G381" t="str">
        <f t="shared" si="106"/>
        <v>093</v>
      </c>
      <c r="H381" t="str">
        <f>'906MP'!Y81</f>
        <v>093551</v>
      </c>
      <c r="I381" t="str">
        <f>'906MP'!AK81</f>
        <v>2025/EEI-731113/1</v>
      </c>
      <c r="J381" t="str">
        <f>'906MP'!T81</f>
        <v>(KÖT)</v>
      </c>
      <c r="K381" t="str">
        <f>'906MP'!AJ81</f>
        <v/>
      </c>
      <c r="L381" t="str">
        <f>'906MP'!U81</f>
        <v>91100</v>
      </c>
      <c r="M381" s="322" t="str">
        <f>IFERROR(VLOOKUP(A381,PAR!$D$3:$E$53,2,FALSE),"nincs szervezet")</f>
        <v>Nagymaros Város Önkormányzata</v>
      </c>
      <c r="N381" s="322" t="str">
        <f>VLOOKUP(F381,PAR!$R$3:$S$5,2,FALSE)</f>
        <v>1 - Bevétel</v>
      </c>
      <c r="O381" t="str">
        <f>IFERROR(VLOOKUP(J381,PAR!$O$3:$P$5,2,FALSE),"nincs feladat")</f>
        <v>1 - (KÖT)</v>
      </c>
      <c r="P381" t="str">
        <f>IFERROR(VLOOKUP(G381,PAR!$J$2:$M$19,4),"nincs rovat")</f>
        <v>B3 - Közhatalmi bevételek</v>
      </c>
      <c r="Q381" t="str">
        <f>IF(H381&gt;0,VLOOKUP(H381,PAR!$AA$3:$AC$187,3,FALSE),"nincs főkönyvi számla")</f>
        <v>093551 -  Egyéb áruhasználati és szolgáltatási adók előirányzata</v>
      </c>
      <c r="R381" t="str">
        <f>IFERROR(VLOOKUP(K381,PAR!$V$3:$X$438,3,FALSE),"000000 - Nincs COFOG")</f>
        <v>000000 - Nincs COFOG</v>
      </c>
      <c r="S381">
        <f t="shared" si="107"/>
        <v>-12000000</v>
      </c>
      <c r="T381">
        <f t="shared" si="108"/>
        <v>12000000</v>
      </c>
      <c r="U381" t="str">
        <f>IF('906MP'!J81&gt;0,CONCATENATE('906MP'!J81," - ",'906MP'!P81,", ",'906MP'!E81),"nincs megjegyzés")</f>
        <v>2025-01-01 - eredeti ei, 2025/EEI-731113/1</v>
      </c>
      <c r="V381" t="str">
        <f t="shared" si="95"/>
        <v>61P731113093</v>
      </c>
      <c r="W381" t="str">
        <f t="shared" si="96"/>
        <v>61P73111309</v>
      </c>
      <c r="X381" t="str">
        <f t="shared" si="97"/>
        <v>P731113093551</v>
      </c>
      <c r="Y381" t="str">
        <f t="shared" si="98"/>
        <v>61093551</v>
      </c>
      <c r="Z381" t="str">
        <f t="shared" si="109"/>
        <v>(KÖT)093551</v>
      </c>
      <c r="AA381" t="str">
        <f t="shared" si="99"/>
        <v>61093</v>
      </c>
      <c r="AB381" t="str">
        <f t="shared" si="100"/>
        <v>(KÖT)093</v>
      </c>
      <c r="AC381" t="str">
        <f t="shared" si="101"/>
        <v>61P731113093551</v>
      </c>
      <c r="AD381" t="str">
        <f t="shared" si="102"/>
        <v>P731113093551(KÖT)</v>
      </c>
      <c r="AE381" t="str">
        <f t="shared" si="103"/>
        <v>61P731113093</v>
      </c>
      <c r="AF381" t="str">
        <f t="shared" si="104"/>
        <v>P731113093(KÖT)</v>
      </c>
      <c r="AG381" t="str">
        <f t="shared" si="110"/>
        <v>61P73111309355191100</v>
      </c>
      <c r="AH381" t="str">
        <f t="shared" si="111"/>
        <v>P731113(KÖT)09355191100</v>
      </c>
      <c r="AI381" t="str">
        <f t="shared" si="112"/>
        <v>61P73111309391100</v>
      </c>
      <c r="AJ381" t="str">
        <f t="shared" si="113"/>
        <v>P731113093(KÖT)91100</v>
      </c>
    </row>
    <row r="382" spans="1:36" x14ac:dyDescent="0.25">
      <c r="A382" s="325" t="str">
        <f>CONCATENATE("P",'906MP'!M82)</f>
        <v>P731113</v>
      </c>
      <c r="B382">
        <f>'906MP'!H82</f>
        <v>61</v>
      </c>
      <c r="C382" t="str">
        <f>'906MP'!J82</f>
        <v>2025-01-01</v>
      </c>
      <c r="D382" t="str">
        <f>'906MP'!P82</f>
        <v>eredeti ei</v>
      </c>
      <c r="E382">
        <f>'906MP'!X82</f>
        <v>-4800000</v>
      </c>
      <c r="F382" t="str">
        <f t="shared" si="105"/>
        <v>09</v>
      </c>
      <c r="G382" t="str">
        <f t="shared" si="106"/>
        <v>093</v>
      </c>
      <c r="H382" t="str">
        <f>'906MP'!Y82</f>
        <v>09361</v>
      </c>
      <c r="I382" t="str">
        <f>'906MP'!AK82</f>
        <v>2025/EEI-731113/1</v>
      </c>
      <c r="J382" t="str">
        <f>'906MP'!T82</f>
        <v>(KÖT)</v>
      </c>
      <c r="K382" t="str">
        <f>'906MP'!AJ82</f>
        <v/>
      </c>
      <c r="L382" t="str">
        <f>'906MP'!U82</f>
        <v>91100</v>
      </c>
      <c r="M382" s="322" t="str">
        <f>IFERROR(VLOOKUP(A382,PAR!$D$3:$E$53,2,FALSE),"nincs szervezet")</f>
        <v>Nagymaros Város Önkormányzata</v>
      </c>
      <c r="N382" s="322" t="str">
        <f>VLOOKUP(F382,PAR!$R$3:$S$5,2,FALSE)</f>
        <v>1 - Bevétel</v>
      </c>
      <c r="O382" t="str">
        <f>IFERROR(VLOOKUP(J382,PAR!$O$3:$P$5,2,FALSE),"nincs feladat")</f>
        <v>1 - (KÖT)</v>
      </c>
      <c r="P382" t="str">
        <f>IFERROR(VLOOKUP(G382,PAR!$J$2:$M$19,4),"nincs rovat")</f>
        <v>B3 - Közhatalmi bevételek</v>
      </c>
      <c r="Q382" t="str">
        <f>IF(H382&gt;0,VLOOKUP(H382,PAR!$AA$3:$AC$187,3,FALSE),"nincs főkönyvi számla")</f>
        <v>09361 -  Egyéb közhatalmi bevételek előirányzata</v>
      </c>
      <c r="R382" t="str">
        <f>IFERROR(VLOOKUP(K382,PAR!$V$3:$X$438,3,FALSE),"000000 - Nincs COFOG")</f>
        <v>000000 - Nincs COFOG</v>
      </c>
      <c r="S382">
        <f t="shared" si="107"/>
        <v>-4800000</v>
      </c>
      <c r="T382">
        <f t="shared" si="108"/>
        <v>4800000</v>
      </c>
      <c r="U382" t="str">
        <f>IF('906MP'!J82&gt;0,CONCATENATE('906MP'!J82," - ",'906MP'!P82,", ",'906MP'!E82),"nincs megjegyzés")</f>
        <v>2025-01-01 - eredeti ei, 2025/EEI-731113/1</v>
      </c>
      <c r="V382" t="str">
        <f t="shared" si="95"/>
        <v>61P731113093</v>
      </c>
      <c r="W382" t="str">
        <f t="shared" si="96"/>
        <v>61P73111309</v>
      </c>
      <c r="X382" t="str">
        <f t="shared" si="97"/>
        <v>P73111309361</v>
      </c>
      <c r="Y382" t="str">
        <f t="shared" si="98"/>
        <v>6109361</v>
      </c>
      <c r="Z382" t="str">
        <f t="shared" si="109"/>
        <v>(KÖT)09361</v>
      </c>
      <c r="AA382" t="str">
        <f t="shared" si="99"/>
        <v>61093</v>
      </c>
      <c r="AB382" t="str">
        <f t="shared" si="100"/>
        <v>(KÖT)093</v>
      </c>
      <c r="AC382" t="str">
        <f t="shared" si="101"/>
        <v>61P73111309361</v>
      </c>
      <c r="AD382" t="str">
        <f t="shared" si="102"/>
        <v>P73111309361(KÖT)</v>
      </c>
      <c r="AE382" t="str">
        <f t="shared" si="103"/>
        <v>61P731113093</v>
      </c>
      <c r="AF382" t="str">
        <f t="shared" si="104"/>
        <v>P731113093(KÖT)</v>
      </c>
      <c r="AG382" t="str">
        <f t="shared" si="110"/>
        <v>61P7311130936191100</v>
      </c>
      <c r="AH382" t="str">
        <f t="shared" si="111"/>
        <v>P731113(KÖT)0936191100</v>
      </c>
      <c r="AI382" t="str">
        <f t="shared" si="112"/>
        <v>61P73111309391100</v>
      </c>
      <c r="AJ382" t="str">
        <f t="shared" si="113"/>
        <v>P731113093(KÖT)91100</v>
      </c>
    </row>
    <row r="383" spans="1:36" x14ac:dyDescent="0.25">
      <c r="A383" s="325" t="str">
        <f>CONCATENATE("P",'906MP'!M83)</f>
        <v>P731113</v>
      </c>
      <c r="B383">
        <f>'906MP'!H83</f>
        <v>61</v>
      </c>
      <c r="C383" t="str">
        <f>'906MP'!J83</f>
        <v>2025-01-01</v>
      </c>
      <c r="D383" t="str">
        <f>'906MP'!P83</f>
        <v>eredeti ei</v>
      </c>
      <c r="E383">
        <f>'906MP'!X83</f>
        <v>-68240000</v>
      </c>
      <c r="F383" t="str">
        <f t="shared" si="105"/>
        <v>09</v>
      </c>
      <c r="G383" t="str">
        <f t="shared" si="106"/>
        <v>094</v>
      </c>
      <c r="H383" t="str">
        <f>'906MP'!Y83</f>
        <v>094021</v>
      </c>
      <c r="I383" t="str">
        <f>'906MP'!AK83</f>
        <v>2025/EEI-731113/1</v>
      </c>
      <c r="J383" t="str">
        <f>'906MP'!T83</f>
        <v>(KÖT)</v>
      </c>
      <c r="K383" t="str">
        <f>'906MP'!AJ83</f>
        <v/>
      </c>
      <c r="L383" t="str">
        <f>'906MP'!U83</f>
        <v>91100</v>
      </c>
      <c r="M383" s="322" t="str">
        <f>IFERROR(VLOOKUP(A383,PAR!$D$3:$E$53,2,FALSE),"nincs szervezet")</f>
        <v>Nagymaros Város Önkormányzata</v>
      </c>
      <c r="N383" s="322" t="str">
        <f>VLOOKUP(F383,PAR!$R$3:$S$5,2,FALSE)</f>
        <v>1 - Bevétel</v>
      </c>
      <c r="O383" t="str">
        <f>IFERROR(VLOOKUP(J383,PAR!$O$3:$P$5,2,FALSE),"nincs feladat")</f>
        <v>1 - (KÖT)</v>
      </c>
      <c r="P383" t="str">
        <f>IFERROR(VLOOKUP(G383,PAR!$J$2:$M$19,4),"nincs rovat")</f>
        <v>B4 - Működési bevételek</v>
      </c>
      <c r="Q383" t="str">
        <f>IF(H383&gt;0,VLOOKUP(H383,PAR!$AA$3:$AC$187,3,FALSE),"nincs főkönyvi számla")</f>
        <v>094021 -  Szolgáltatások ellenértéke előirányzata</v>
      </c>
      <c r="R383" t="str">
        <f>IFERROR(VLOOKUP(K383,PAR!$V$3:$X$438,3,FALSE),"000000 - Nincs COFOG")</f>
        <v>000000 - Nincs COFOG</v>
      </c>
      <c r="S383">
        <f t="shared" si="107"/>
        <v>-68240000</v>
      </c>
      <c r="T383">
        <f t="shared" si="108"/>
        <v>68240000</v>
      </c>
      <c r="U383" t="str">
        <f>IF('906MP'!J83&gt;0,CONCATENATE('906MP'!J83," - ",'906MP'!P83,", ",'906MP'!E83),"nincs megjegyzés")</f>
        <v>2025-01-01 - eredeti ei, 2025/EEI-731113/1</v>
      </c>
      <c r="V383" t="str">
        <f t="shared" si="95"/>
        <v>61P731113094</v>
      </c>
      <c r="W383" t="str">
        <f t="shared" si="96"/>
        <v>61P73111309</v>
      </c>
      <c r="X383" t="str">
        <f t="shared" si="97"/>
        <v>P731113094021</v>
      </c>
      <c r="Y383" t="str">
        <f t="shared" si="98"/>
        <v>61094021</v>
      </c>
      <c r="Z383" t="str">
        <f t="shared" si="109"/>
        <v>(KÖT)094021</v>
      </c>
      <c r="AA383" t="str">
        <f t="shared" si="99"/>
        <v>61094</v>
      </c>
      <c r="AB383" t="str">
        <f t="shared" si="100"/>
        <v>(KÖT)094</v>
      </c>
      <c r="AC383" t="str">
        <f t="shared" si="101"/>
        <v>61P731113094021</v>
      </c>
      <c r="AD383" t="str">
        <f t="shared" si="102"/>
        <v>P731113094021(KÖT)</v>
      </c>
      <c r="AE383" t="str">
        <f t="shared" si="103"/>
        <v>61P731113094</v>
      </c>
      <c r="AF383" t="str">
        <f t="shared" si="104"/>
        <v>P731113094(KÖT)</v>
      </c>
      <c r="AG383" t="str">
        <f t="shared" si="110"/>
        <v>61P73111309402191100</v>
      </c>
      <c r="AH383" t="str">
        <f t="shared" si="111"/>
        <v>P731113(KÖT)09402191100</v>
      </c>
      <c r="AI383" t="str">
        <f t="shared" si="112"/>
        <v>61P73111309491100</v>
      </c>
      <c r="AJ383" t="str">
        <f t="shared" si="113"/>
        <v>P731113094(KÖT)91100</v>
      </c>
    </row>
    <row r="384" spans="1:36" x14ac:dyDescent="0.25">
      <c r="A384" s="325" t="str">
        <f>CONCATENATE("P",'906MP'!M84)</f>
        <v>P731113</v>
      </c>
      <c r="B384">
        <f>'906MP'!H84</f>
        <v>61</v>
      </c>
      <c r="C384" t="str">
        <f>'906MP'!J84</f>
        <v>2025-01-01</v>
      </c>
      <c r="D384" t="str">
        <f>'906MP'!P84</f>
        <v>eredeti ei</v>
      </c>
      <c r="E384">
        <f>'906MP'!X84</f>
        <v>-15000000</v>
      </c>
      <c r="F384" t="str">
        <f t="shared" si="105"/>
        <v>09</v>
      </c>
      <c r="G384" t="str">
        <f t="shared" si="106"/>
        <v>094</v>
      </c>
      <c r="H384" t="str">
        <f>'906MP'!Y84</f>
        <v>094031</v>
      </c>
      <c r="I384" t="str">
        <f>'906MP'!AK84</f>
        <v>2025/EEI-731113/1</v>
      </c>
      <c r="J384" t="str">
        <f>'906MP'!T84</f>
        <v>(KÖT)</v>
      </c>
      <c r="K384" t="str">
        <f>'906MP'!AJ84</f>
        <v/>
      </c>
      <c r="L384" t="str">
        <f>'906MP'!U84</f>
        <v>91100</v>
      </c>
      <c r="M384" s="322" t="str">
        <f>IFERROR(VLOOKUP(A384,PAR!$D$3:$E$53,2,FALSE),"nincs szervezet")</f>
        <v>Nagymaros Város Önkormányzata</v>
      </c>
      <c r="N384" s="322" t="str">
        <f>VLOOKUP(F384,PAR!$R$3:$S$5,2,FALSE)</f>
        <v>1 - Bevétel</v>
      </c>
      <c r="O384" t="str">
        <f>IFERROR(VLOOKUP(J384,PAR!$O$3:$P$5,2,FALSE),"nincs feladat")</f>
        <v>1 - (KÖT)</v>
      </c>
      <c r="P384" t="str">
        <f>IFERROR(VLOOKUP(G384,PAR!$J$2:$M$19,4),"nincs rovat")</f>
        <v>B4 - Működési bevételek</v>
      </c>
      <c r="Q384" t="str">
        <f>IF(H384&gt;0,VLOOKUP(H384,PAR!$AA$3:$AC$187,3,FALSE),"nincs főkönyvi számla")</f>
        <v>094031 -  Közvetített szolgáltatások ellenértéke előirányzata</v>
      </c>
      <c r="R384" t="str">
        <f>IFERROR(VLOOKUP(K384,PAR!$V$3:$X$438,3,FALSE),"000000 - Nincs COFOG")</f>
        <v>000000 - Nincs COFOG</v>
      </c>
      <c r="S384">
        <f t="shared" si="107"/>
        <v>-15000000</v>
      </c>
      <c r="T384">
        <f t="shared" si="108"/>
        <v>15000000</v>
      </c>
      <c r="U384" t="str">
        <f>IF('906MP'!J84&gt;0,CONCATENATE('906MP'!J84," - ",'906MP'!P84,", ",'906MP'!E84),"nincs megjegyzés")</f>
        <v>2025-01-01 - eredeti ei, 2025/EEI-731113/1</v>
      </c>
      <c r="V384" t="str">
        <f t="shared" si="95"/>
        <v>61P731113094</v>
      </c>
      <c r="W384" t="str">
        <f t="shared" si="96"/>
        <v>61P73111309</v>
      </c>
      <c r="X384" t="str">
        <f t="shared" si="97"/>
        <v>P731113094031</v>
      </c>
      <c r="Y384" t="str">
        <f t="shared" si="98"/>
        <v>61094031</v>
      </c>
      <c r="Z384" t="str">
        <f t="shared" si="109"/>
        <v>(KÖT)094031</v>
      </c>
      <c r="AA384" t="str">
        <f t="shared" si="99"/>
        <v>61094</v>
      </c>
      <c r="AB384" t="str">
        <f t="shared" si="100"/>
        <v>(KÖT)094</v>
      </c>
      <c r="AC384" t="str">
        <f t="shared" si="101"/>
        <v>61P731113094031</v>
      </c>
      <c r="AD384" t="str">
        <f t="shared" si="102"/>
        <v>P731113094031(KÖT)</v>
      </c>
      <c r="AE384" t="str">
        <f t="shared" si="103"/>
        <v>61P731113094</v>
      </c>
      <c r="AF384" t="str">
        <f t="shared" si="104"/>
        <v>P731113094(KÖT)</v>
      </c>
      <c r="AG384" t="str">
        <f t="shared" si="110"/>
        <v>61P73111309403191100</v>
      </c>
      <c r="AH384" t="str">
        <f t="shared" si="111"/>
        <v>P731113(KÖT)09403191100</v>
      </c>
      <c r="AI384" t="str">
        <f t="shared" si="112"/>
        <v>61P73111309491100</v>
      </c>
      <c r="AJ384" t="str">
        <f t="shared" si="113"/>
        <v>P731113094(KÖT)91100</v>
      </c>
    </row>
    <row r="385" spans="1:36" x14ac:dyDescent="0.25">
      <c r="A385" s="325" t="str">
        <f>CONCATENATE("P",'906MP'!M85)</f>
        <v>P654449</v>
      </c>
      <c r="B385">
        <f>'906MP'!H85</f>
        <v>61</v>
      </c>
      <c r="C385" t="str">
        <f>'906MP'!J85</f>
        <v>2025-01-01</v>
      </c>
      <c r="D385" t="str">
        <f>'906MP'!P85</f>
        <v>eredeti ei</v>
      </c>
      <c r="E385">
        <f>'906MP'!X85</f>
        <v>5382050</v>
      </c>
      <c r="F385" t="str">
        <f t="shared" si="105"/>
        <v>05</v>
      </c>
      <c r="G385" t="str">
        <f t="shared" si="106"/>
        <v>051</v>
      </c>
      <c r="H385" t="str">
        <f>'906MP'!Y85</f>
        <v>0511061</v>
      </c>
      <c r="I385" t="str">
        <f>'906MP'!AK85</f>
        <v>2025/EEI-654449/2</v>
      </c>
      <c r="J385" t="str">
        <f>'906MP'!T85</f>
        <v>(ÖNV)</v>
      </c>
      <c r="K385" t="str">
        <f>'906MP'!AJ85</f>
        <v/>
      </c>
      <c r="L385" t="str">
        <f>'906MP'!U85</f>
        <v>15100</v>
      </c>
      <c r="M385" s="322" t="str">
        <f>IFERROR(VLOOKUP(A385,PAR!$D$3:$E$53,2,FALSE),"nincs szervezet")</f>
        <v>Gondozási Központ</v>
      </c>
      <c r="N385" s="322" t="str">
        <f>VLOOKUP(F385,PAR!$R$3:$S$5,2,FALSE)</f>
        <v>2 - Kiadás</v>
      </c>
      <c r="O385" t="str">
        <f>IFERROR(VLOOKUP(J385,PAR!$O$3:$P$5,2,FALSE),"nincs feladat")</f>
        <v>2 - (ÖNV)</v>
      </c>
      <c r="P385" t="str">
        <f>IFERROR(VLOOKUP(G385,PAR!$J$2:$M$19,4),"nincs rovat")</f>
        <v>K1 - Személyi juttatások</v>
      </c>
      <c r="Q385" t="str">
        <f>IF(H385&gt;0,VLOOKUP(H385,PAR!$AA$3:$AC$187,3,FALSE),"nincs főkönyvi számla")</f>
        <v>0511061 -  Jubileumi jutalom előirányzata</v>
      </c>
      <c r="R385" t="str">
        <f>IFERROR(VLOOKUP(K385,PAR!$V$3:$X$438,3,FALSE),"000000 - Nincs COFOG")</f>
        <v>000000 - Nincs COFOG</v>
      </c>
      <c r="S385">
        <f t="shared" si="107"/>
        <v>5382050</v>
      </c>
      <c r="T385">
        <f t="shared" si="108"/>
        <v>5382050</v>
      </c>
      <c r="U385" t="str">
        <f>IF('906MP'!J85&gt;0,CONCATENATE('906MP'!J85," - ",'906MP'!P85,", ",'906MP'!E85),"nincs megjegyzés")</f>
        <v>2025-01-01 - eredeti ei, 2025/EEI-654449/2</v>
      </c>
      <c r="V385" t="str">
        <f t="shared" si="95"/>
        <v>61P654449051</v>
      </c>
      <c r="W385" t="str">
        <f t="shared" si="96"/>
        <v>61P65444905</v>
      </c>
      <c r="X385" t="str">
        <f t="shared" si="97"/>
        <v>P6544490511061</v>
      </c>
      <c r="Y385" t="str">
        <f t="shared" si="98"/>
        <v>610511061</v>
      </c>
      <c r="Z385" t="str">
        <f t="shared" si="109"/>
        <v>(ÖNV)0511061</v>
      </c>
      <c r="AA385" t="str">
        <f t="shared" si="99"/>
        <v>61051</v>
      </c>
      <c r="AB385" t="str">
        <f t="shared" si="100"/>
        <v>(ÖNV)051</v>
      </c>
      <c r="AC385" t="str">
        <f t="shared" si="101"/>
        <v>61P6544490511061</v>
      </c>
      <c r="AD385" t="str">
        <f t="shared" si="102"/>
        <v>P6544490511061(ÖNV)</v>
      </c>
      <c r="AE385" t="str">
        <f t="shared" si="103"/>
        <v>61P654449051</v>
      </c>
      <c r="AF385" t="str">
        <f t="shared" si="104"/>
        <v>P654449051(ÖNV)</v>
      </c>
      <c r="AG385" t="str">
        <f t="shared" si="110"/>
        <v>61P654449051106115100</v>
      </c>
      <c r="AH385" t="str">
        <f t="shared" si="111"/>
        <v>P654449(ÖNV)051106115100</v>
      </c>
      <c r="AI385" t="str">
        <f t="shared" si="112"/>
        <v>61P65444905115100</v>
      </c>
      <c r="AJ385" t="str">
        <f t="shared" si="113"/>
        <v>P654449051(ÖNV)15100</v>
      </c>
    </row>
    <row r="386" spans="1:36" x14ac:dyDescent="0.25">
      <c r="A386" s="325" t="str">
        <f>CONCATENATE("P",'906MP'!M86)</f>
        <v>P731113</v>
      </c>
      <c r="B386">
        <f>'906MP'!H86</f>
        <v>61</v>
      </c>
      <c r="C386" t="str">
        <f>'906MP'!J86</f>
        <v>2025-01-01</v>
      </c>
      <c r="D386" t="str">
        <f>'906MP'!P86</f>
        <v>eredeti ei</v>
      </c>
      <c r="E386">
        <f>'906MP'!X86</f>
        <v>-27840000</v>
      </c>
      <c r="F386" t="str">
        <f t="shared" si="105"/>
        <v>09</v>
      </c>
      <c r="G386" t="str">
        <f t="shared" si="106"/>
        <v>094</v>
      </c>
      <c r="H386" t="str">
        <f>'906MP'!Y86</f>
        <v>094051</v>
      </c>
      <c r="I386" t="str">
        <f>'906MP'!AK86</f>
        <v>2025/EEI-731113/1</v>
      </c>
      <c r="J386" t="str">
        <f>'906MP'!T86</f>
        <v>(KÖT)</v>
      </c>
      <c r="K386" t="str">
        <f>'906MP'!AJ86</f>
        <v/>
      </c>
      <c r="L386" t="str">
        <f>'906MP'!U86</f>
        <v>91100</v>
      </c>
      <c r="M386" s="322" t="str">
        <f>IFERROR(VLOOKUP(A386,PAR!$D$3:$E$53,2,FALSE),"nincs szervezet")</f>
        <v>Nagymaros Város Önkormányzata</v>
      </c>
      <c r="N386" s="322" t="str">
        <f>VLOOKUP(F386,PAR!$R$3:$S$5,2,FALSE)</f>
        <v>1 - Bevétel</v>
      </c>
      <c r="O386" t="str">
        <f>IFERROR(VLOOKUP(J386,PAR!$O$3:$P$5,2,FALSE),"nincs feladat")</f>
        <v>1 - (KÖT)</v>
      </c>
      <c r="P386" t="str">
        <f>IFERROR(VLOOKUP(G386,PAR!$J$2:$M$19,4),"nincs rovat")</f>
        <v>B4 - Működési bevételek</v>
      </c>
      <c r="Q386" t="str">
        <f>IF(H386&gt;0,VLOOKUP(H386,PAR!$AA$3:$AC$187,3,FALSE),"nincs főkönyvi számla")</f>
        <v>094051 -  Ellátási díjak előirányzata</v>
      </c>
      <c r="R386" t="str">
        <f>IFERROR(VLOOKUP(K386,PAR!$V$3:$X$438,3,FALSE),"000000 - Nincs COFOG")</f>
        <v>000000 - Nincs COFOG</v>
      </c>
      <c r="S386">
        <f t="shared" si="107"/>
        <v>-27840000</v>
      </c>
      <c r="T386">
        <f t="shared" si="108"/>
        <v>27840000</v>
      </c>
      <c r="U386" t="str">
        <f>IF('906MP'!J86&gt;0,CONCATENATE('906MP'!J86," - ",'906MP'!P86,", ",'906MP'!E86),"nincs megjegyzés")</f>
        <v>2025-01-01 - eredeti ei, 2025/EEI-731113/1</v>
      </c>
      <c r="V386" t="str">
        <f t="shared" ref="V386:V449" si="114">CONCATENATE(B386,A386,G386)</f>
        <v>61P731113094</v>
      </c>
      <c r="W386" t="str">
        <f t="shared" ref="W386:W449" si="115">CONCATENATE(B386,A386,F386)</f>
        <v>61P73111309</v>
      </c>
      <c r="X386" t="str">
        <f t="shared" ref="X386:X449" si="116">CONCATENATE(A386,H386)</f>
        <v>P731113094051</v>
      </c>
      <c r="Y386" t="str">
        <f t="shared" ref="Y386:Y449" si="117">CONCATENATE(B386,H386)</f>
        <v>61094051</v>
      </c>
      <c r="Z386" t="str">
        <f t="shared" si="109"/>
        <v>(KÖT)094051</v>
      </c>
      <c r="AA386" t="str">
        <f t="shared" ref="AA386:AA449" si="118">CONCATENATE(B386,G386)</f>
        <v>61094</v>
      </c>
      <c r="AB386" t="str">
        <f t="shared" ref="AB386:AB449" si="119">CONCATENATE(J386,G386)</f>
        <v>(KÖT)094</v>
      </c>
      <c r="AC386" t="str">
        <f t="shared" ref="AC386:AC449" si="120">CONCATENATE(B386,A386,H386)</f>
        <v>61P731113094051</v>
      </c>
      <c r="AD386" t="str">
        <f t="shared" ref="AD386:AD449" si="121">CONCATENATE(A386,H386,J386)</f>
        <v>P731113094051(KÖT)</v>
      </c>
      <c r="AE386" t="str">
        <f t="shared" ref="AE386:AE449" si="122">CONCATENATE(B386,A386,G386)</f>
        <v>61P731113094</v>
      </c>
      <c r="AF386" t="str">
        <f t="shared" ref="AF386:AF449" si="123">CONCATENATE(A386,G386,J386)</f>
        <v>P731113094(KÖT)</v>
      </c>
      <c r="AG386" t="str">
        <f t="shared" si="110"/>
        <v>61P73111309405191100</v>
      </c>
      <c r="AH386" t="str">
        <f t="shared" si="111"/>
        <v>P731113(KÖT)09405191100</v>
      </c>
      <c r="AI386" t="str">
        <f t="shared" si="112"/>
        <v>61P73111309491100</v>
      </c>
      <c r="AJ386" t="str">
        <f t="shared" si="113"/>
        <v>P731113094(KÖT)91100</v>
      </c>
    </row>
    <row r="387" spans="1:36" x14ac:dyDescent="0.25">
      <c r="A387" s="325" t="str">
        <f>CONCATENATE("P",'906MP'!M87)</f>
        <v>P654449</v>
      </c>
      <c r="B387">
        <f>'906MP'!H87</f>
        <v>61</v>
      </c>
      <c r="C387" t="str">
        <f>'906MP'!J87</f>
        <v>2025-01-01</v>
      </c>
      <c r="D387" t="str">
        <f>'906MP'!P87</f>
        <v>eredeti ei</v>
      </c>
      <c r="E387">
        <f>'906MP'!X87</f>
        <v>1110000</v>
      </c>
      <c r="F387" t="str">
        <f t="shared" ref="F387:F450" si="124">LEFT(G387,2)</f>
        <v>05</v>
      </c>
      <c r="G387" t="str">
        <f t="shared" ref="G387:G450" si="125">LEFT(H387,3)</f>
        <v>051</v>
      </c>
      <c r="H387" t="str">
        <f>'906MP'!Y87</f>
        <v>0511071</v>
      </c>
      <c r="I387" t="str">
        <f>'906MP'!AK87</f>
        <v>2025/EEI-654449/2</v>
      </c>
      <c r="J387" t="str">
        <f>'906MP'!T87</f>
        <v>(ÖNV)</v>
      </c>
      <c r="K387" t="str">
        <f>'906MP'!AJ87</f>
        <v/>
      </c>
      <c r="L387" t="str">
        <f>'906MP'!U87</f>
        <v>15100</v>
      </c>
      <c r="M387" s="322" t="str">
        <f>IFERROR(VLOOKUP(A387,PAR!$D$3:$E$53,2,FALSE),"nincs szervezet")</f>
        <v>Gondozási Központ</v>
      </c>
      <c r="N387" s="322" t="str">
        <f>VLOOKUP(F387,PAR!$R$3:$S$5,2,FALSE)</f>
        <v>2 - Kiadás</v>
      </c>
      <c r="O387" t="str">
        <f>IFERROR(VLOOKUP(J387,PAR!$O$3:$P$5,2,FALSE),"nincs feladat")</f>
        <v>2 - (ÖNV)</v>
      </c>
      <c r="P387" t="str">
        <f>IFERROR(VLOOKUP(G387,PAR!$J$2:$M$19,4),"nincs rovat")</f>
        <v>K1 - Személyi juttatások</v>
      </c>
      <c r="Q387" t="str">
        <f>IF(H387&gt;0,VLOOKUP(H387,PAR!$AA$3:$AC$187,3,FALSE),"nincs főkönyvi számla")</f>
        <v>0511071 -  Béren kívüli juttatások előirányzata</v>
      </c>
      <c r="R387" t="str">
        <f>IFERROR(VLOOKUP(K387,PAR!$V$3:$X$438,3,FALSE),"000000 - Nincs COFOG")</f>
        <v>000000 - Nincs COFOG</v>
      </c>
      <c r="S387">
        <f t="shared" ref="S387:S450" si="126">E387</f>
        <v>1110000</v>
      </c>
      <c r="T387">
        <f t="shared" ref="T387:T450" si="127">IF(F387="09",E387*-1,E387)</f>
        <v>1110000</v>
      </c>
      <c r="U387" t="str">
        <f>IF('906MP'!J87&gt;0,CONCATENATE('906MP'!J87," - ",'906MP'!P87,", ",'906MP'!E87),"nincs megjegyzés")</f>
        <v>2025-01-01 - eredeti ei, 2025/EEI-654449/2</v>
      </c>
      <c r="V387" t="str">
        <f t="shared" si="114"/>
        <v>61P654449051</v>
      </c>
      <c r="W387" t="str">
        <f t="shared" si="115"/>
        <v>61P65444905</v>
      </c>
      <c r="X387" t="str">
        <f t="shared" si="116"/>
        <v>P6544490511071</v>
      </c>
      <c r="Y387" t="str">
        <f t="shared" si="117"/>
        <v>610511071</v>
      </c>
      <c r="Z387" t="str">
        <f t="shared" ref="Z387:Z450" si="128">CONCATENATE(J387,H387)</f>
        <v>(ÖNV)0511071</v>
      </c>
      <c r="AA387" t="str">
        <f t="shared" si="118"/>
        <v>61051</v>
      </c>
      <c r="AB387" t="str">
        <f t="shared" si="119"/>
        <v>(ÖNV)051</v>
      </c>
      <c r="AC387" t="str">
        <f t="shared" si="120"/>
        <v>61P6544490511071</v>
      </c>
      <c r="AD387" t="str">
        <f t="shared" si="121"/>
        <v>P6544490511071(ÖNV)</v>
      </c>
      <c r="AE387" t="str">
        <f t="shared" si="122"/>
        <v>61P654449051</v>
      </c>
      <c r="AF387" t="str">
        <f t="shared" si="123"/>
        <v>P654449051(ÖNV)</v>
      </c>
      <c r="AG387" t="str">
        <f t="shared" ref="AG387:AG450" si="129">CONCATENATE(B387,A387,H387,L387)</f>
        <v>61P654449051107115100</v>
      </c>
      <c r="AH387" t="str">
        <f t="shared" ref="AH387:AH450" si="130">CONCATENATE(A387,J387,H387,L387)</f>
        <v>P654449(ÖNV)051107115100</v>
      </c>
      <c r="AI387" t="str">
        <f t="shared" ref="AI387:AI450" si="131">CONCATENATE(B387,A387,G387,L387)</f>
        <v>61P65444905115100</v>
      </c>
      <c r="AJ387" t="str">
        <f t="shared" ref="AJ387:AJ450" si="132">CONCATENATE(A387,G387,J387,L387)</f>
        <v>P654449051(ÖNV)15100</v>
      </c>
    </row>
    <row r="388" spans="1:36" x14ac:dyDescent="0.25">
      <c r="A388" s="325" t="str">
        <f>CONCATENATE("P",'906MP'!M88)</f>
        <v>P731113</v>
      </c>
      <c r="B388">
        <f>'906MP'!H88</f>
        <v>61</v>
      </c>
      <c r="C388" t="str">
        <f>'906MP'!J88</f>
        <v>2025-01-01</v>
      </c>
      <c r="D388" t="str">
        <f>'906MP'!P88</f>
        <v>eredeti ei</v>
      </c>
      <c r="E388">
        <f>'906MP'!X88</f>
        <v>-17560800</v>
      </c>
      <c r="F388" t="str">
        <f t="shared" si="124"/>
        <v>09</v>
      </c>
      <c r="G388" t="str">
        <f t="shared" si="125"/>
        <v>094</v>
      </c>
      <c r="H388" t="str">
        <f>'906MP'!Y88</f>
        <v>094061</v>
      </c>
      <c r="I388" t="str">
        <f>'906MP'!AK88</f>
        <v>2025/EEI-731113/1</v>
      </c>
      <c r="J388" t="str">
        <f>'906MP'!T88</f>
        <v>(KÖT)</v>
      </c>
      <c r="K388" t="str">
        <f>'906MP'!AJ88</f>
        <v/>
      </c>
      <c r="L388" t="str">
        <f>'906MP'!U88</f>
        <v>91100</v>
      </c>
      <c r="M388" s="322" t="str">
        <f>IFERROR(VLOOKUP(A388,PAR!$D$3:$E$53,2,FALSE),"nincs szervezet")</f>
        <v>Nagymaros Város Önkormányzata</v>
      </c>
      <c r="N388" s="322" t="str">
        <f>VLOOKUP(F388,PAR!$R$3:$S$5,2,FALSE)</f>
        <v>1 - Bevétel</v>
      </c>
      <c r="O388" t="str">
        <f>IFERROR(VLOOKUP(J388,PAR!$O$3:$P$5,2,FALSE),"nincs feladat")</f>
        <v>1 - (KÖT)</v>
      </c>
      <c r="P388" t="str">
        <f>IFERROR(VLOOKUP(G388,PAR!$J$2:$M$19,4),"nincs rovat")</f>
        <v>B4 - Működési bevételek</v>
      </c>
      <c r="Q388" t="str">
        <f>IF(H388&gt;0,VLOOKUP(H388,PAR!$AA$3:$AC$187,3,FALSE),"nincs főkönyvi számla")</f>
        <v>094061 -  Kiszámlázott általános forgalmi adó előirányzata</v>
      </c>
      <c r="R388" t="str">
        <f>IFERROR(VLOOKUP(K388,PAR!$V$3:$X$438,3,FALSE),"000000 - Nincs COFOG")</f>
        <v>000000 - Nincs COFOG</v>
      </c>
      <c r="S388">
        <f t="shared" si="126"/>
        <v>-17560800</v>
      </c>
      <c r="T388">
        <f t="shared" si="127"/>
        <v>17560800</v>
      </c>
      <c r="U388" t="str">
        <f>IF('906MP'!J88&gt;0,CONCATENATE('906MP'!J88," - ",'906MP'!P88,", ",'906MP'!E88),"nincs megjegyzés")</f>
        <v>2025-01-01 - eredeti ei, 2025/EEI-731113/1</v>
      </c>
      <c r="V388" t="str">
        <f t="shared" si="114"/>
        <v>61P731113094</v>
      </c>
      <c r="W388" t="str">
        <f t="shared" si="115"/>
        <v>61P73111309</v>
      </c>
      <c r="X388" t="str">
        <f t="shared" si="116"/>
        <v>P731113094061</v>
      </c>
      <c r="Y388" t="str">
        <f t="shared" si="117"/>
        <v>61094061</v>
      </c>
      <c r="Z388" t="str">
        <f t="shared" si="128"/>
        <v>(KÖT)094061</v>
      </c>
      <c r="AA388" t="str">
        <f t="shared" si="118"/>
        <v>61094</v>
      </c>
      <c r="AB388" t="str">
        <f t="shared" si="119"/>
        <v>(KÖT)094</v>
      </c>
      <c r="AC388" t="str">
        <f t="shared" si="120"/>
        <v>61P731113094061</v>
      </c>
      <c r="AD388" t="str">
        <f t="shared" si="121"/>
        <v>P731113094061(KÖT)</v>
      </c>
      <c r="AE388" t="str">
        <f t="shared" si="122"/>
        <v>61P731113094</v>
      </c>
      <c r="AF388" t="str">
        <f t="shared" si="123"/>
        <v>P731113094(KÖT)</v>
      </c>
      <c r="AG388" t="str">
        <f t="shared" si="129"/>
        <v>61P73111309406191100</v>
      </c>
      <c r="AH388" t="str">
        <f t="shared" si="130"/>
        <v>P731113(KÖT)09406191100</v>
      </c>
      <c r="AI388" t="str">
        <f t="shared" si="131"/>
        <v>61P73111309491100</v>
      </c>
      <c r="AJ388" t="str">
        <f t="shared" si="132"/>
        <v>P731113094(KÖT)91100</v>
      </c>
    </row>
    <row r="389" spans="1:36" x14ac:dyDescent="0.25">
      <c r="A389" s="325" t="str">
        <f>CONCATENATE("P",'906MP'!M89)</f>
        <v>P731113</v>
      </c>
      <c r="B389">
        <f>'906MP'!H89</f>
        <v>61</v>
      </c>
      <c r="C389" t="str">
        <f>'906MP'!J89</f>
        <v>2025-01-01</v>
      </c>
      <c r="D389" t="str">
        <f>'906MP'!P89</f>
        <v>eredeti ei</v>
      </c>
      <c r="E389">
        <f>'906MP'!X89</f>
        <v>-15840000</v>
      </c>
      <c r="F389" t="str">
        <f t="shared" si="124"/>
        <v>09</v>
      </c>
      <c r="G389" t="str">
        <f t="shared" si="125"/>
        <v>094</v>
      </c>
      <c r="H389" t="str">
        <f>'906MP'!Y89</f>
        <v>094071</v>
      </c>
      <c r="I389" t="str">
        <f>'906MP'!AK89</f>
        <v>2025/EEI-731113/1</v>
      </c>
      <c r="J389" t="str">
        <f>'906MP'!T89</f>
        <v>(KÖT)</v>
      </c>
      <c r="K389" t="str">
        <f>'906MP'!AJ89</f>
        <v/>
      </c>
      <c r="L389" t="str">
        <f>'906MP'!U89</f>
        <v>91100</v>
      </c>
      <c r="M389" s="322" t="str">
        <f>IFERROR(VLOOKUP(A389,PAR!$D$3:$E$53,2,FALSE),"nincs szervezet")</f>
        <v>Nagymaros Város Önkormányzata</v>
      </c>
      <c r="N389" s="322" t="str">
        <f>VLOOKUP(F389,PAR!$R$3:$S$5,2,FALSE)</f>
        <v>1 - Bevétel</v>
      </c>
      <c r="O389" t="str">
        <f>IFERROR(VLOOKUP(J389,PAR!$O$3:$P$5,2,FALSE),"nincs feladat")</f>
        <v>1 - (KÖT)</v>
      </c>
      <c r="P389" t="str">
        <f>IFERROR(VLOOKUP(G389,PAR!$J$2:$M$19,4),"nincs rovat")</f>
        <v>B4 - Működési bevételek</v>
      </c>
      <c r="Q389" t="str">
        <f>IF(H389&gt;0,VLOOKUP(H389,PAR!$AA$3:$AC$187,3,FALSE),"nincs főkönyvi számla")</f>
        <v>094071 -  Általános forgalmi adó visszatérítése előirányzata</v>
      </c>
      <c r="R389" t="str">
        <f>IFERROR(VLOOKUP(K389,PAR!$V$3:$X$438,3,FALSE),"000000 - Nincs COFOG")</f>
        <v>000000 - Nincs COFOG</v>
      </c>
      <c r="S389">
        <f t="shared" si="126"/>
        <v>-15840000</v>
      </c>
      <c r="T389">
        <f t="shared" si="127"/>
        <v>15840000</v>
      </c>
      <c r="U389" t="str">
        <f>IF('906MP'!J89&gt;0,CONCATENATE('906MP'!J89," - ",'906MP'!P89,", ",'906MP'!E89),"nincs megjegyzés")</f>
        <v>2025-01-01 - eredeti ei, 2025/EEI-731113/1</v>
      </c>
      <c r="V389" t="str">
        <f t="shared" si="114"/>
        <v>61P731113094</v>
      </c>
      <c r="W389" t="str">
        <f t="shared" si="115"/>
        <v>61P73111309</v>
      </c>
      <c r="X389" t="str">
        <f t="shared" si="116"/>
        <v>P731113094071</v>
      </c>
      <c r="Y389" t="str">
        <f t="shared" si="117"/>
        <v>61094071</v>
      </c>
      <c r="Z389" t="str">
        <f t="shared" si="128"/>
        <v>(KÖT)094071</v>
      </c>
      <c r="AA389" t="str">
        <f t="shared" si="118"/>
        <v>61094</v>
      </c>
      <c r="AB389" t="str">
        <f t="shared" si="119"/>
        <v>(KÖT)094</v>
      </c>
      <c r="AC389" t="str">
        <f t="shared" si="120"/>
        <v>61P731113094071</v>
      </c>
      <c r="AD389" t="str">
        <f t="shared" si="121"/>
        <v>P731113094071(KÖT)</v>
      </c>
      <c r="AE389" t="str">
        <f t="shared" si="122"/>
        <v>61P731113094</v>
      </c>
      <c r="AF389" t="str">
        <f t="shared" si="123"/>
        <v>P731113094(KÖT)</v>
      </c>
      <c r="AG389" t="str">
        <f t="shared" si="129"/>
        <v>61P73111309407191100</v>
      </c>
      <c r="AH389" t="str">
        <f t="shared" si="130"/>
        <v>P731113(KÖT)09407191100</v>
      </c>
      <c r="AI389" t="str">
        <f t="shared" si="131"/>
        <v>61P73111309491100</v>
      </c>
      <c r="AJ389" t="str">
        <f t="shared" si="132"/>
        <v>P731113094(KÖT)91100</v>
      </c>
    </row>
    <row r="390" spans="1:36" x14ac:dyDescent="0.25">
      <c r="A390" s="325" t="str">
        <f>CONCATENATE("P",'906MP'!M90)</f>
        <v>P654449</v>
      </c>
      <c r="B390">
        <f>'906MP'!H90</f>
        <v>61</v>
      </c>
      <c r="C390" t="str">
        <f>'906MP'!J90</f>
        <v>2025-01-01</v>
      </c>
      <c r="D390" t="str">
        <f>'906MP'!P90</f>
        <v>eredeti ei</v>
      </c>
      <c r="E390">
        <f>'906MP'!X90</f>
        <v>1740960</v>
      </c>
      <c r="F390" t="str">
        <f t="shared" si="124"/>
        <v>05</v>
      </c>
      <c r="G390" t="str">
        <f t="shared" si="125"/>
        <v>051</v>
      </c>
      <c r="H390" t="str">
        <f>'906MP'!Y90</f>
        <v>0511091</v>
      </c>
      <c r="I390" t="str">
        <f>'906MP'!AK90</f>
        <v>2025/EEI-654449/2</v>
      </c>
      <c r="J390" t="str">
        <f>'906MP'!T90</f>
        <v>(ÖNV)</v>
      </c>
      <c r="K390" t="str">
        <f>'906MP'!AJ90</f>
        <v/>
      </c>
      <c r="L390" t="str">
        <f>'906MP'!U90</f>
        <v>15100</v>
      </c>
      <c r="M390" s="322" t="str">
        <f>IFERROR(VLOOKUP(A390,PAR!$D$3:$E$53,2,FALSE),"nincs szervezet")</f>
        <v>Gondozási Központ</v>
      </c>
      <c r="N390" s="322" t="str">
        <f>VLOOKUP(F390,PAR!$R$3:$S$5,2,FALSE)</f>
        <v>2 - Kiadás</v>
      </c>
      <c r="O390" t="str">
        <f>IFERROR(VLOOKUP(J390,PAR!$O$3:$P$5,2,FALSE),"nincs feladat")</f>
        <v>2 - (ÖNV)</v>
      </c>
      <c r="P390" t="str">
        <f>IFERROR(VLOOKUP(G390,PAR!$J$2:$M$19,4),"nincs rovat")</f>
        <v>K1 - Személyi juttatások</v>
      </c>
      <c r="Q390" t="str">
        <f>IF(H390&gt;0,VLOOKUP(H390,PAR!$AA$3:$AC$187,3,FALSE),"nincs főkönyvi számla")</f>
        <v>0511091 -  Közlekedési költségtérítés előirányzata</v>
      </c>
      <c r="R390" t="str">
        <f>IFERROR(VLOOKUP(K390,PAR!$V$3:$X$438,3,FALSE),"000000 - Nincs COFOG")</f>
        <v>000000 - Nincs COFOG</v>
      </c>
      <c r="S390">
        <f t="shared" si="126"/>
        <v>1740960</v>
      </c>
      <c r="T390">
        <f t="shared" si="127"/>
        <v>1740960</v>
      </c>
      <c r="U390" t="str">
        <f>IF('906MP'!J90&gt;0,CONCATENATE('906MP'!J90," - ",'906MP'!P90,", ",'906MP'!E90),"nincs megjegyzés")</f>
        <v>2025-01-01 - eredeti ei, 2025/EEI-654449/2</v>
      </c>
      <c r="V390" t="str">
        <f t="shared" si="114"/>
        <v>61P654449051</v>
      </c>
      <c r="W390" t="str">
        <f t="shared" si="115"/>
        <v>61P65444905</v>
      </c>
      <c r="X390" t="str">
        <f t="shared" si="116"/>
        <v>P6544490511091</v>
      </c>
      <c r="Y390" t="str">
        <f t="shared" si="117"/>
        <v>610511091</v>
      </c>
      <c r="Z390" t="str">
        <f t="shared" si="128"/>
        <v>(ÖNV)0511091</v>
      </c>
      <c r="AA390" t="str">
        <f t="shared" si="118"/>
        <v>61051</v>
      </c>
      <c r="AB390" t="str">
        <f t="shared" si="119"/>
        <v>(ÖNV)051</v>
      </c>
      <c r="AC390" t="str">
        <f t="shared" si="120"/>
        <v>61P6544490511091</v>
      </c>
      <c r="AD390" t="str">
        <f t="shared" si="121"/>
        <v>P6544490511091(ÖNV)</v>
      </c>
      <c r="AE390" t="str">
        <f t="shared" si="122"/>
        <v>61P654449051</v>
      </c>
      <c r="AF390" t="str">
        <f t="shared" si="123"/>
        <v>P654449051(ÖNV)</v>
      </c>
      <c r="AG390" t="str">
        <f t="shared" si="129"/>
        <v>61P654449051109115100</v>
      </c>
      <c r="AH390" t="str">
        <f t="shared" si="130"/>
        <v>P654449(ÖNV)051109115100</v>
      </c>
      <c r="AI390" t="str">
        <f t="shared" si="131"/>
        <v>61P65444905115100</v>
      </c>
      <c r="AJ390" t="str">
        <f t="shared" si="132"/>
        <v>P654449051(ÖNV)15100</v>
      </c>
    </row>
    <row r="391" spans="1:36" x14ac:dyDescent="0.25">
      <c r="A391" s="325" t="str">
        <f>CONCATENATE("P",'906MP'!M91)</f>
        <v>P731113</v>
      </c>
      <c r="B391">
        <f>'906MP'!H91</f>
        <v>61</v>
      </c>
      <c r="C391" t="str">
        <f>'906MP'!J91</f>
        <v>2025-01-01</v>
      </c>
      <c r="D391" t="str">
        <f>'906MP'!P91</f>
        <v>eredeti ei</v>
      </c>
      <c r="E391">
        <f>'906MP'!X91</f>
        <v>-234609929</v>
      </c>
      <c r="F391" t="str">
        <f t="shared" si="124"/>
        <v>09</v>
      </c>
      <c r="G391" t="str">
        <f t="shared" si="125"/>
        <v>098</v>
      </c>
      <c r="H391" t="str">
        <f>'906MP'!Y91</f>
        <v>0981311</v>
      </c>
      <c r="I391" t="str">
        <f>'906MP'!AK91</f>
        <v>2025/EEI-731113/1</v>
      </c>
      <c r="J391" t="str">
        <f>'906MP'!T91</f>
        <v>(KÖT)</v>
      </c>
      <c r="K391" t="str">
        <f>'906MP'!AJ91</f>
        <v/>
      </c>
      <c r="L391" t="str">
        <f>'906MP'!U91</f>
        <v>91100</v>
      </c>
      <c r="M391" s="322" t="str">
        <f>IFERROR(VLOOKUP(A391,PAR!$D$3:$E$53,2,FALSE),"nincs szervezet")</f>
        <v>Nagymaros Város Önkormányzata</v>
      </c>
      <c r="N391" s="322" t="str">
        <f>VLOOKUP(F391,PAR!$R$3:$S$5,2,FALSE)</f>
        <v>1 - Bevétel</v>
      </c>
      <c r="O391" t="str">
        <f>IFERROR(VLOOKUP(J391,PAR!$O$3:$P$5,2,FALSE),"nincs feladat")</f>
        <v>1 - (KÖT)</v>
      </c>
      <c r="P391" t="str">
        <f>IFERROR(VLOOKUP(G391,PAR!$J$2:$M$19,4),"nincs rovat")</f>
        <v>B8 - Finanszírozási bevételek</v>
      </c>
      <c r="Q391" t="str">
        <f>IF(H391&gt;0,VLOOKUP(H391,PAR!$AA$3:$AC$187,3,FALSE),"nincs főkönyvi számla")</f>
        <v>0981311 -  Előző év költségvetési maradványának igénybevétele előirányzata</v>
      </c>
      <c r="R391" t="str">
        <f>IFERROR(VLOOKUP(K391,PAR!$V$3:$X$438,3,FALSE),"000000 - Nincs COFOG")</f>
        <v>000000 - Nincs COFOG</v>
      </c>
      <c r="S391">
        <f t="shared" si="126"/>
        <v>-234609929</v>
      </c>
      <c r="T391">
        <f t="shared" si="127"/>
        <v>234609929</v>
      </c>
      <c r="U391" t="str">
        <f>IF('906MP'!J91&gt;0,CONCATENATE('906MP'!J91," - ",'906MP'!P91,", ",'906MP'!E91),"nincs megjegyzés")</f>
        <v>2025-01-01 - eredeti ei, 2025/EEI-731113/1</v>
      </c>
      <c r="V391" t="str">
        <f t="shared" si="114"/>
        <v>61P731113098</v>
      </c>
      <c r="W391" t="str">
        <f t="shared" si="115"/>
        <v>61P73111309</v>
      </c>
      <c r="X391" t="str">
        <f t="shared" si="116"/>
        <v>P7311130981311</v>
      </c>
      <c r="Y391" t="str">
        <f t="shared" si="117"/>
        <v>610981311</v>
      </c>
      <c r="Z391" t="str">
        <f t="shared" si="128"/>
        <v>(KÖT)0981311</v>
      </c>
      <c r="AA391" t="str">
        <f t="shared" si="118"/>
        <v>61098</v>
      </c>
      <c r="AB391" t="str">
        <f t="shared" si="119"/>
        <v>(KÖT)098</v>
      </c>
      <c r="AC391" t="str">
        <f t="shared" si="120"/>
        <v>61P7311130981311</v>
      </c>
      <c r="AD391" t="str">
        <f t="shared" si="121"/>
        <v>P7311130981311(KÖT)</v>
      </c>
      <c r="AE391" t="str">
        <f t="shared" si="122"/>
        <v>61P731113098</v>
      </c>
      <c r="AF391" t="str">
        <f t="shared" si="123"/>
        <v>P731113098(KÖT)</v>
      </c>
      <c r="AG391" t="str">
        <f t="shared" si="129"/>
        <v>61P731113098131191100</v>
      </c>
      <c r="AH391" t="str">
        <f t="shared" si="130"/>
        <v>P731113(KÖT)098131191100</v>
      </c>
      <c r="AI391" t="str">
        <f t="shared" si="131"/>
        <v>61P73111309891100</v>
      </c>
      <c r="AJ391" t="str">
        <f t="shared" si="132"/>
        <v>P731113098(KÖT)91100</v>
      </c>
    </row>
    <row r="392" spans="1:36" x14ac:dyDescent="0.25">
      <c r="A392" s="325" t="str">
        <f>CONCATENATE("P",'906MP'!M92)</f>
        <v>P654449</v>
      </c>
      <c r="B392">
        <f>'906MP'!H92</f>
        <v>61</v>
      </c>
      <c r="C392" t="str">
        <f>'906MP'!J92</f>
        <v>2025-01-01</v>
      </c>
      <c r="D392" t="str">
        <f>'906MP'!P92</f>
        <v>eredeti ei</v>
      </c>
      <c r="E392">
        <f>'906MP'!X92</f>
        <v>114000</v>
      </c>
      <c r="F392" t="str">
        <f t="shared" si="124"/>
        <v>05</v>
      </c>
      <c r="G392" t="str">
        <f t="shared" si="125"/>
        <v>051</v>
      </c>
      <c r="H392" t="str">
        <f>'906MP'!Y92</f>
        <v>0511131</v>
      </c>
      <c r="I392" t="str">
        <f>'906MP'!AK92</f>
        <v>2025/EEI-654449/2</v>
      </c>
      <c r="J392" t="str">
        <f>'906MP'!T92</f>
        <v>(ÖNV)</v>
      </c>
      <c r="K392" t="str">
        <f>'906MP'!AJ92</f>
        <v/>
      </c>
      <c r="L392" t="str">
        <f>'906MP'!U92</f>
        <v>15100</v>
      </c>
      <c r="M392" s="322" t="str">
        <f>IFERROR(VLOOKUP(A392,PAR!$D$3:$E$53,2,FALSE),"nincs szervezet")</f>
        <v>Gondozási Központ</v>
      </c>
      <c r="N392" s="322" t="str">
        <f>VLOOKUP(F392,PAR!$R$3:$S$5,2,FALSE)</f>
        <v>2 - Kiadás</v>
      </c>
      <c r="O392" t="str">
        <f>IFERROR(VLOOKUP(J392,PAR!$O$3:$P$5,2,FALSE),"nincs feladat")</f>
        <v>2 - (ÖNV)</v>
      </c>
      <c r="P392" t="str">
        <f>IFERROR(VLOOKUP(G392,PAR!$J$2:$M$19,4),"nincs rovat")</f>
        <v>K1 - Személyi juttatások</v>
      </c>
      <c r="Q392" t="str">
        <f>IF(H392&gt;0,VLOOKUP(H392,PAR!$AA$3:$AC$187,3,FALSE),"nincs főkönyvi számla")</f>
        <v>0511131 -  Foglalkoztatottak egyéb személyi juttatásai előirányzata</v>
      </c>
      <c r="R392" t="str">
        <f>IFERROR(VLOOKUP(K392,PAR!$V$3:$X$438,3,FALSE),"000000 - Nincs COFOG")</f>
        <v>000000 - Nincs COFOG</v>
      </c>
      <c r="S392">
        <f t="shared" si="126"/>
        <v>114000</v>
      </c>
      <c r="T392">
        <f t="shared" si="127"/>
        <v>114000</v>
      </c>
      <c r="U392" t="str">
        <f>IF('906MP'!J92&gt;0,CONCATENATE('906MP'!J92," - ",'906MP'!P92,", ",'906MP'!E92),"nincs megjegyzés")</f>
        <v>2025-01-01 - eredeti ei, 2025/EEI-654449/2</v>
      </c>
      <c r="V392" t="str">
        <f t="shared" si="114"/>
        <v>61P654449051</v>
      </c>
      <c r="W392" t="str">
        <f t="shared" si="115"/>
        <v>61P65444905</v>
      </c>
      <c r="X392" t="str">
        <f t="shared" si="116"/>
        <v>P6544490511131</v>
      </c>
      <c r="Y392" t="str">
        <f t="shared" si="117"/>
        <v>610511131</v>
      </c>
      <c r="Z392" t="str">
        <f t="shared" si="128"/>
        <v>(ÖNV)0511131</v>
      </c>
      <c r="AA392" t="str">
        <f t="shared" si="118"/>
        <v>61051</v>
      </c>
      <c r="AB392" t="str">
        <f t="shared" si="119"/>
        <v>(ÖNV)051</v>
      </c>
      <c r="AC392" t="str">
        <f t="shared" si="120"/>
        <v>61P6544490511131</v>
      </c>
      <c r="AD392" t="str">
        <f t="shared" si="121"/>
        <v>P6544490511131(ÖNV)</v>
      </c>
      <c r="AE392" t="str">
        <f t="shared" si="122"/>
        <v>61P654449051</v>
      </c>
      <c r="AF392" t="str">
        <f t="shared" si="123"/>
        <v>P654449051(ÖNV)</v>
      </c>
      <c r="AG392" t="str">
        <f t="shared" si="129"/>
        <v>61P654449051113115100</v>
      </c>
      <c r="AH392" t="str">
        <f t="shared" si="130"/>
        <v>P654449(ÖNV)051113115100</v>
      </c>
      <c r="AI392" t="str">
        <f t="shared" si="131"/>
        <v>61P65444905115100</v>
      </c>
      <c r="AJ392" t="str">
        <f t="shared" si="132"/>
        <v>P654449051(ÖNV)15100</v>
      </c>
    </row>
    <row r="393" spans="1:36" x14ac:dyDescent="0.25">
      <c r="A393" s="325" t="str">
        <f>CONCATENATE("P",'906MP'!M93)</f>
        <v>P654449</v>
      </c>
      <c r="B393">
        <f>'906MP'!H93</f>
        <v>61</v>
      </c>
      <c r="C393" t="str">
        <f>'906MP'!J93</f>
        <v>2025-01-01</v>
      </c>
      <c r="D393" t="str">
        <f>'906MP'!P93</f>
        <v>eredeti ei</v>
      </c>
      <c r="E393">
        <f>'906MP'!X93</f>
        <v>6000000</v>
      </c>
      <c r="F393" t="str">
        <f t="shared" si="124"/>
        <v>05</v>
      </c>
      <c r="G393" t="str">
        <f t="shared" si="125"/>
        <v>051</v>
      </c>
      <c r="H393" t="str">
        <f>'906MP'!Y93</f>
        <v>051221</v>
      </c>
      <c r="I393" t="str">
        <f>'906MP'!AK93</f>
        <v>2025/EEI-654449/2</v>
      </c>
      <c r="J393" t="str">
        <f>'906MP'!T93</f>
        <v>(ÖNV)</v>
      </c>
      <c r="K393" t="str">
        <f>'906MP'!AJ93</f>
        <v/>
      </c>
      <c r="L393" t="str">
        <f>'906MP'!U93</f>
        <v>15100</v>
      </c>
      <c r="M393" s="322" t="str">
        <f>IFERROR(VLOOKUP(A393,PAR!$D$3:$E$53,2,FALSE),"nincs szervezet")</f>
        <v>Gondozási Központ</v>
      </c>
      <c r="N393" s="322" t="str">
        <f>VLOOKUP(F393,PAR!$R$3:$S$5,2,FALSE)</f>
        <v>2 - Kiadás</v>
      </c>
      <c r="O393" t="str">
        <f>IFERROR(VLOOKUP(J393,PAR!$O$3:$P$5,2,FALSE),"nincs feladat")</f>
        <v>2 - (ÖNV)</v>
      </c>
      <c r="P393" t="str">
        <f>IFERROR(VLOOKUP(G393,PAR!$J$2:$M$19,4),"nincs rovat")</f>
        <v>K1 - Személyi juttatások</v>
      </c>
      <c r="Q393" t="str">
        <f>IF(H393&gt;0,VLOOKUP(H393,PAR!$AA$3:$AC$187,3,FALSE),"nincs főkönyvi számla")</f>
        <v>051221 -  Munkavégzésre irányuló egyéb jogviszonyban nem saját foglalkoztatottnak fizetett juttatások előirányzata</v>
      </c>
      <c r="R393" t="str">
        <f>IFERROR(VLOOKUP(K393,PAR!$V$3:$X$438,3,FALSE),"000000 - Nincs COFOG")</f>
        <v>000000 - Nincs COFOG</v>
      </c>
      <c r="S393">
        <f t="shared" si="126"/>
        <v>6000000</v>
      </c>
      <c r="T393">
        <f t="shared" si="127"/>
        <v>6000000</v>
      </c>
      <c r="U393" t="str">
        <f>IF('906MP'!J93&gt;0,CONCATENATE('906MP'!J93," - ",'906MP'!P93,", ",'906MP'!E93),"nincs megjegyzés")</f>
        <v>2025-01-01 - eredeti ei, 2025/EEI-654449/2</v>
      </c>
      <c r="V393" t="str">
        <f t="shared" si="114"/>
        <v>61P654449051</v>
      </c>
      <c r="W393" t="str">
        <f t="shared" si="115"/>
        <v>61P65444905</v>
      </c>
      <c r="X393" t="str">
        <f t="shared" si="116"/>
        <v>P654449051221</v>
      </c>
      <c r="Y393" t="str">
        <f t="shared" si="117"/>
        <v>61051221</v>
      </c>
      <c r="Z393" t="str">
        <f t="shared" si="128"/>
        <v>(ÖNV)051221</v>
      </c>
      <c r="AA393" t="str">
        <f t="shared" si="118"/>
        <v>61051</v>
      </c>
      <c r="AB393" t="str">
        <f t="shared" si="119"/>
        <v>(ÖNV)051</v>
      </c>
      <c r="AC393" t="str">
        <f t="shared" si="120"/>
        <v>61P654449051221</v>
      </c>
      <c r="AD393" t="str">
        <f t="shared" si="121"/>
        <v>P654449051221(ÖNV)</v>
      </c>
      <c r="AE393" t="str">
        <f t="shared" si="122"/>
        <v>61P654449051</v>
      </c>
      <c r="AF393" t="str">
        <f t="shared" si="123"/>
        <v>P654449051(ÖNV)</v>
      </c>
      <c r="AG393" t="str">
        <f t="shared" si="129"/>
        <v>61P65444905122115100</v>
      </c>
      <c r="AH393" t="str">
        <f t="shared" si="130"/>
        <v>P654449(ÖNV)05122115100</v>
      </c>
      <c r="AI393" t="str">
        <f t="shared" si="131"/>
        <v>61P65444905115100</v>
      </c>
      <c r="AJ393" t="str">
        <f t="shared" si="132"/>
        <v>P654449051(ÖNV)15100</v>
      </c>
    </row>
    <row r="394" spans="1:36" x14ac:dyDescent="0.25">
      <c r="A394" s="325" t="str">
        <f>CONCATENATE("P",'906MP'!M94)</f>
        <v>P654449</v>
      </c>
      <c r="B394">
        <f>'906MP'!H94</f>
        <v>61</v>
      </c>
      <c r="C394" t="str">
        <f>'906MP'!J94</f>
        <v>2025-01-01</v>
      </c>
      <c r="D394" t="str">
        <f>'906MP'!P94</f>
        <v>eredeti ei</v>
      </c>
      <c r="E394">
        <f>'906MP'!X94</f>
        <v>10124551</v>
      </c>
      <c r="F394" t="str">
        <f t="shared" si="124"/>
        <v>05</v>
      </c>
      <c r="G394" t="str">
        <f t="shared" si="125"/>
        <v>052</v>
      </c>
      <c r="H394" t="str">
        <f>'906MP'!Y94</f>
        <v>0521</v>
      </c>
      <c r="I394" t="str">
        <f>'906MP'!AK94</f>
        <v>2025/EEI-654449/2</v>
      </c>
      <c r="J394" t="str">
        <f>'906MP'!T94</f>
        <v>(ÖNV)</v>
      </c>
      <c r="K394" t="str">
        <f>'906MP'!AJ94</f>
        <v/>
      </c>
      <c r="L394" t="str">
        <f>'906MP'!U94</f>
        <v>15100</v>
      </c>
      <c r="M394" s="322" t="str">
        <f>IFERROR(VLOOKUP(A394,PAR!$D$3:$E$53,2,FALSE),"nincs szervezet")</f>
        <v>Gondozási Központ</v>
      </c>
      <c r="N394" s="322" t="str">
        <f>VLOOKUP(F394,PAR!$R$3:$S$5,2,FALSE)</f>
        <v>2 - Kiadás</v>
      </c>
      <c r="O394" t="str">
        <f>IFERROR(VLOOKUP(J394,PAR!$O$3:$P$5,2,FALSE),"nincs feladat")</f>
        <v>2 - (ÖNV)</v>
      </c>
      <c r="P394" t="str">
        <f>IFERROR(VLOOKUP(G394,PAR!$J$2:$M$19,4),"nincs rovat")</f>
        <v>K2 - Munkaadókat terhelő járulékok és szociális hozzájárulási adó</v>
      </c>
      <c r="Q394" t="str">
        <f>IF(H394&gt;0,VLOOKUP(H394,PAR!$AA$3:$AC$187,3,FALSE),"nincs főkönyvi számla")</f>
        <v>0521 -  Munkaadókat terhelő járulékok és szociális hozzájárulási adó előirányzata</v>
      </c>
      <c r="R394" t="str">
        <f>IFERROR(VLOOKUP(K394,PAR!$V$3:$X$438,3,FALSE),"000000 - Nincs COFOG")</f>
        <v>000000 - Nincs COFOG</v>
      </c>
      <c r="S394">
        <f t="shared" si="126"/>
        <v>10124551</v>
      </c>
      <c r="T394">
        <f t="shared" si="127"/>
        <v>10124551</v>
      </c>
      <c r="U394" t="str">
        <f>IF('906MP'!J94&gt;0,CONCATENATE('906MP'!J94," - ",'906MP'!P94,", ",'906MP'!E94),"nincs megjegyzés")</f>
        <v>2025-01-01 - eredeti ei, 2025/EEI-654449/2</v>
      </c>
      <c r="V394" t="str">
        <f t="shared" si="114"/>
        <v>61P654449052</v>
      </c>
      <c r="W394" t="str">
        <f t="shared" si="115"/>
        <v>61P65444905</v>
      </c>
      <c r="X394" t="str">
        <f t="shared" si="116"/>
        <v>P6544490521</v>
      </c>
      <c r="Y394" t="str">
        <f t="shared" si="117"/>
        <v>610521</v>
      </c>
      <c r="Z394" t="str">
        <f t="shared" si="128"/>
        <v>(ÖNV)0521</v>
      </c>
      <c r="AA394" t="str">
        <f t="shared" si="118"/>
        <v>61052</v>
      </c>
      <c r="AB394" t="str">
        <f t="shared" si="119"/>
        <v>(ÖNV)052</v>
      </c>
      <c r="AC394" t="str">
        <f t="shared" si="120"/>
        <v>61P6544490521</v>
      </c>
      <c r="AD394" t="str">
        <f t="shared" si="121"/>
        <v>P6544490521(ÖNV)</v>
      </c>
      <c r="AE394" t="str">
        <f t="shared" si="122"/>
        <v>61P654449052</v>
      </c>
      <c r="AF394" t="str">
        <f t="shared" si="123"/>
        <v>P654449052(ÖNV)</v>
      </c>
      <c r="AG394" t="str">
        <f t="shared" si="129"/>
        <v>61P654449052115100</v>
      </c>
      <c r="AH394" t="str">
        <f t="shared" si="130"/>
        <v>P654449(ÖNV)052115100</v>
      </c>
      <c r="AI394" t="str">
        <f t="shared" si="131"/>
        <v>61P65444905215100</v>
      </c>
      <c r="AJ394" t="str">
        <f t="shared" si="132"/>
        <v>P654449052(ÖNV)15100</v>
      </c>
    </row>
    <row r="395" spans="1:36" x14ac:dyDescent="0.25">
      <c r="A395" s="325" t="str">
        <f>CONCATENATE("P",'906MP'!M95)</f>
        <v>P654449</v>
      </c>
      <c r="B395">
        <f>'906MP'!H95</f>
        <v>61</v>
      </c>
      <c r="C395" t="str">
        <f>'906MP'!J95</f>
        <v>2025-01-01</v>
      </c>
      <c r="D395" t="str">
        <f>'906MP'!P95</f>
        <v>eredeti ei</v>
      </c>
      <c r="E395">
        <f>'906MP'!X95</f>
        <v>2520000</v>
      </c>
      <c r="F395" t="str">
        <f t="shared" si="124"/>
        <v>05</v>
      </c>
      <c r="G395" t="str">
        <f t="shared" si="125"/>
        <v>053</v>
      </c>
      <c r="H395" t="str">
        <f>'906MP'!Y95</f>
        <v>053111</v>
      </c>
      <c r="I395" t="str">
        <f>'906MP'!AK95</f>
        <v>2025/EEI-654449/2</v>
      </c>
      <c r="J395" t="str">
        <f>'906MP'!T95</f>
        <v>(ÖNV)</v>
      </c>
      <c r="K395" t="str">
        <f>'906MP'!AJ95</f>
        <v/>
      </c>
      <c r="L395" t="str">
        <f>'906MP'!U95</f>
        <v>15100</v>
      </c>
      <c r="M395" s="322" t="str">
        <f>IFERROR(VLOOKUP(A395,PAR!$D$3:$E$53,2,FALSE),"nincs szervezet")</f>
        <v>Gondozási Központ</v>
      </c>
      <c r="N395" s="322" t="str">
        <f>VLOOKUP(F395,PAR!$R$3:$S$5,2,FALSE)</f>
        <v>2 - Kiadás</v>
      </c>
      <c r="O395" t="str">
        <f>IFERROR(VLOOKUP(J395,PAR!$O$3:$P$5,2,FALSE),"nincs feladat")</f>
        <v>2 - (ÖNV)</v>
      </c>
      <c r="P395" t="str">
        <f>IFERROR(VLOOKUP(G395,PAR!$J$2:$M$19,4),"nincs rovat")</f>
        <v>K3 - Dologi kiadások</v>
      </c>
      <c r="Q395" t="str">
        <f>IF(H395&gt;0,VLOOKUP(H395,PAR!$AA$3:$AC$187,3,FALSE),"nincs főkönyvi számla")</f>
        <v>053111 -  Szakmai anyagok beszerzése előirányzata</v>
      </c>
      <c r="R395" t="str">
        <f>IFERROR(VLOOKUP(K395,PAR!$V$3:$X$438,3,FALSE),"000000 - Nincs COFOG")</f>
        <v>000000 - Nincs COFOG</v>
      </c>
      <c r="S395">
        <f t="shared" si="126"/>
        <v>2520000</v>
      </c>
      <c r="T395">
        <f t="shared" si="127"/>
        <v>2520000</v>
      </c>
      <c r="U395" t="str">
        <f>IF('906MP'!J95&gt;0,CONCATENATE('906MP'!J95," - ",'906MP'!P95,", ",'906MP'!E95),"nincs megjegyzés")</f>
        <v>2025-01-01 - eredeti ei, 2025/EEI-654449/2</v>
      </c>
      <c r="V395" t="str">
        <f t="shared" si="114"/>
        <v>61P654449053</v>
      </c>
      <c r="W395" t="str">
        <f t="shared" si="115"/>
        <v>61P65444905</v>
      </c>
      <c r="X395" t="str">
        <f t="shared" si="116"/>
        <v>P654449053111</v>
      </c>
      <c r="Y395" t="str">
        <f t="shared" si="117"/>
        <v>61053111</v>
      </c>
      <c r="Z395" t="str">
        <f t="shared" si="128"/>
        <v>(ÖNV)053111</v>
      </c>
      <c r="AA395" t="str">
        <f t="shared" si="118"/>
        <v>61053</v>
      </c>
      <c r="AB395" t="str">
        <f t="shared" si="119"/>
        <v>(ÖNV)053</v>
      </c>
      <c r="AC395" t="str">
        <f t="shared" si="120"/>
        <v>61P654449053111</v>
      </c>
      <c r="AD395" t="str">
        <f t="shared" si="121"/>
        <v>P654449053111(ÖNV)</v>
      </c>
      <c r="AE395" t="str">
        <f t="shared" si="122"/>
        <v>61P654449053</v>
      </c>
      <c r="AF395" t="str">
        <f t="shared" si="123"/>
        <v>P654449053(ÖNV)</v>
      </c>
      <c r="AG395" t="str">
        <f t="shared" si="129"/>
        <v>61P65444905311115100</v>
      </c>
      <c r="AH395" t="str">
        <f t="shared" si="130"/>
        <v>P654449(ÖNV)05311115100</v>
      </c>
      <c r="AI395" t="str">
        <f t="shared" si="131"/>
        <v>61P65444905315100</v>
      </c>
      <c r="AJ395" t="str">
        <f t="shared" si="132"/>
        <v>P654449053(ÖNV)15100</v>
      </c>
    </row>
    <row r="396" spans="1:36" x14ac:dyDescent="0.25">
      <c r="A396" s="325" t="str">
        <f>CONCATENATE("P",'906MP'!M96)</f>
        <v>P654449</v>
      </c>
      <c r="B396">
        <f>'906MP'!H96</f>
        <v>61</v>
      </c>
      <c r="C396" t="str">
        <f>'906MP'!J96</f>
        <v>2025-01-01</v>
      </c>
      <c r="D396" t="str">
        <f>'906MP'!P96</f>
        <v>eredeti ei</v>
      </c>
      <c r="E396">
        <f>'906MP'!X96</f>
        <v>3200000</v>
      </c>
      <c r="F396" t="str">
        <f t="shared" si="124"/>
        <v>05</v>
      </c>
      <c r="G396" t="str">
        <f t="shared" si="125"/>
        <v>053</v>
      </c>
      <c r="H396" t="str">
        <f>'906MP'!Y96</f>
        <v>053121</v>
      </c>
      <c r="I396" t="str">
        <f>'906MP'!AK96</f>
        <v>2025/EEI-654449/2</v>
      </c>
      <c r="J396" t="str">
        <f>'906MP'!T96</f>
        <v>(ÖNV)</v>
      </c>
      <c r="K396" t="str">
        <f>'906MP'!AJ96</f>
        <v/>
      </c>
      <c r="L396" t="str">
        <f>'906MP'!U96</f>
        <v>15100</v>
      </c>
      <c r="M396" s="322" t="str">
        <f>IFERROR(VLOOKUP(A396,PAR!$D$3:$E$53,2,FALSE),"nincs szervezet")</f>
        <v>Gondozási Központ</v>
      </c>
      <c r="N396" s="322" t="str">
        <f>VLOOKUP(F396,PAR!$R$3:$S$5,2,FALSE)</f>
        <v>2 - Kiadás</v>
      </c>
      <c r="O396" t="str">
        <f>IFERROR(VLOOKUP(J396,PAR!$O$3:$P$5,2,FALSE),"nincs feladat")</f>
        <v>2 - (ÖNV)</v>
      </c>
      <c r="P396" t="str">
        <f>IFERROR(VLOOKUP(G396,PAR!$J$2:$M$19,4),"nincs rovat")</f>
        <v>K3 - Dologi kiadások</v>
      </c>
      <c r="Q396" t="str">
        <f>IF(H396&gt;0,VLOOKUP(H396,PAR!$AA$3:$AC$187,3,FALSE),"nincs főkönyvi számla")</f>
        <v>053121 -  Üzemeltetési anyagok beszerzése előirányzata</v>
      </c>
      <c r="R396" t="str">
        <f>IFERROR(VLOOKUP(K396,PAR!$V$3:$X$438,3,FALSE),"000000 - Nincs COFOG")</f>
        <v>000000 - Nincs COFOG</v>
      </c>
      <c r="S396">
        <f t="shared" si="126"/>
        <v>3200000</v>
      </c>
      <c r="T396">
        <f t="shared" si="127"/>
        <v>3200000</v>
      </c>
      <c r="U396" t="str">
        <f>IF('906MP'!J96&gt;0,CONCATENATE('906MP'!J96," - ",'906MP'!P96,", ",'906MP'!E96),"nincs megjegyzés")</f>
        <v>2025-01-01 - eredeti ei, 2025/EEI-654449/2</v>
      </c>
      <c r="V396" t="str">
        <f t="shared" si="114"/>
        <v>61P654449053</v>
      </c>
      <c r="W396" t="str">
        <f t="shared" si="115"/>
        <v>61P65444905</v>
      </c>
      <c r="X396" t="str">
        <f t="shared" si="116"/>
        <v>P654449053121</v>
      </c>
      <c r="Y396" t="str">
        <f t="shared" si="117"/>
        <v>61053121</v>
      </c>
      <c r="Z396" t="str">
        <f t="shared" si="128"/>
        <v>(ÖNV)053121</v>
      </c>
      <c r="AA396" t="str">
        <f t="shared" si="118"/>
        <v>61053</v>
      </c>
      <c r="AB396" t="str">
        <f t="shared" si="119"/>
        <v>(ÖNV)053</v>
      </c>
      <c r="AC396" t="str">
        <f t="shared" si="120"/>
        <v>61P654449053121</v>
      </c>
      <c r="AD396" t="str">
        <f t="shared" si="121"/>
        <v>P654449053121(ÖNV)</v>
      </c>
      <c r="AE396" t="str">
        <f t="shared" si="122"/>
        <v>61P654449053</v>
      </c>
      <c r="AF396" t="str">
        <f t="shared" si="123"/>
        <v>P654449053(ÖNV)</v>
      </c>
      <c r="AG396" t="str">
        <f t="shared" si="129"/>
        <v>61P65444905312115100</v>
      </c>
      <c r="AH396" t="str">
        <f t="shared" si="130"/>
        <v>P654449(ÖNV)05312115100</v>
      </c>
      <c r="AI396" t="str">
        <f t="shared" si="131"/>
        <v>61P65444905315100</v>
      </c>
      <c r="AJ396" t="str">
        <f t="shared" si="132"/>
        <v>P654449053(ÖNV)15100</v>
      </c>
    </row>
    <row r="397" spans="1:36" x14ac:dyDescent="0.25">
      <c r="A397" s="325" t="str">
        <f>CONCATENATE("P",'906MP'!M97)</f>
        <v>P654449</v>
      </c>
      <c r="B397">
        <f>'906MP'!H97</f>
        <v>61</v>
      </c>
      <c r="C397" t="str">
        <f>'906MP'!J97</f>
        <v>2025-01-01</v>
      </c>
      <c r="D397" t="str">
        <f>'906MP'!P97</f>
        <v>eredeti ei</v>
      </c>
      <c r="E397">
        <f>'906MP'!X97</f>
        <v>290480</v>
      </c>
      <c r="F397" t="str">
        <f t="shared" si="124"/>
        <v>05</v>
      </c>
      <c r="G397" t="str">
        <f t="shared" si="125"/>
        <v>053</v>
      </c>
      <c r="H397" t="str">
        <f>'906MP'!Y97</f>
        <v>053211</v>
      </c>
      <c r="I397" t="str">
        <f>'906MP'!AK97</f>
        <v>2025/EEI-654449/2</v>
      </c>
      <c r="J397" t="str">
        <f>'906MP'!T97</f>
        <v>(ÖNV)</v>
      </c>
      <c r="K397" t="str">
        <f>'906MP'!AJ97</f>
        <v/>
      </c>
      <c r="L397" t="str">
        <f>'906MP'!U97</f>
        <v>15100</v>
      </c>
      <c r="M397" s="322" t="str">
        <f>IFERROR(VLOOKUP(A397,PAR!$D$3:$E$53,2,FALSE),"nincs szervezet")</f>
        <v>Gondozási Központ</v>
      </c>
      <c r="N397" s="322" t="str">
        <f>VLOOKUP(F397,PAR!$R$3:$S$5,2,FALSE)</f>
        <v>2 - Kiadás</v>
      </c>
      <c r="O397" t="str">
        <f>IFERROR(VLOOKUP(J397,PAR!$O$3:$P$5,2,FALSE),"nincs feladat")</f>
        <v>2 - (ÖNV)</v>
      </c>
      <c r="P397" t="str">
        <f>IFERROR(VLOOKUP(G397,PAR!$J$2:$M$19,4),"nincs rovat")</f>
        <v>K3 - Dologi kiadások</v>
      </c>
      <c r="Q397" t="str">
        <f>IF(H397&gt;0,VLOOKUP(H397,PAR!$AA$3:$AC$187,3,FALSE),"nincs főkönyvi számla")</f>
        <v>053211 -  Informatikai szolgáltatások igénybevétele előirányzata</v>
      </c>
      <c r="R397" t="str">
        <f>IFERROR(VLOOKUP(K397,PAR!$V$3:$X$438,3,FALSE),"000000 - Nincs COFOG")</f>
        <v>000000 - Nincs COFOG</v>
      </c>
      <c r="S397">
        <f t="shared" si="126"/>
        <v>290480</v>
      </c>
      <c r="T397">
        <f t="shared" si="127"/>
        <v>290480</v>
      </c>
      <c r="U397" t="str">
        <f>IF('906MP'!J97&gt;0,CONCATENATE('906MP'!J97," - ",'906MP'!P97,", ",'906MP'!E97),"nincs megjegyzés")</f>
        <v>2025-01-01 - eredeti ei, 2025/EEI-654449/2</v>
      </c>
      <c r="V397" t="str">
        <f t="shared" si="114"/>
        <v>61P654449053</v>
      </c>
      <c r="W397" t="str">
        <f t="shared" si="115"/>
        <v>61P65444905</v>
      </c>
      <c r="X397" t="str">
        <f t="shared" si="116"/>
        <v>P654449053211</v>
      </c>
      <c r="Y397" t="str">
        <f t="shared" si="117"/>
        <v>61053211</v>
      </c>
      <c r="Z397" t="str">
        <f t="shared" si="128"/>
        <v>(ÖNV)053211</v>
      </c>
      <c r="AA397" t="str">
        <f t="shared" si="118"/>
        <v>61053</v>
      </c>
      <c r="AB397" t="str">
        <f t="shared" si="119"/>
        <v>(ÖNV)053</v>
      </c>
      <c r="AC397" t="str">
        <f t="shared" si="120"/>
        <v>61P654449053211</v>
      </c>
      <c r="AD397" t="str">
        <f t="shared" si="121"/>
        <v>P654449053211(ÖNV)</v>
      </c>
      <c r="AE397" t="str">
        <f t="shared" si="122"/>
        <v>61P654449053</v>
      </c>
      <c r="AF397" t="str">
        <f t="shared" si="123"/>
        <v>P654449053(ÖNV)</v>
      </c>
      <c r="AG397" t="str">
        <f t="shared" si="129"/>
        <v>61P65444905321115100</v>
      </c>
      <c r="AH397" t="str">
        <f t="shared" si="130"/>
        <v>P654449(ÖNV)05321115100</v>
      </c>
      <c r="AI397" t="str">
        <f t="shared" si="131"/>
        <v>61P65444905315100</v>
      </c>
      <c r="AJ397" t="str">
        <f t="shared" si="132"/>
        <v>P654449053(ÖNV)15100</v>
      </c>
    </row>
    <row r="398" spans="1:36" x14ac:dyDescent="0.25">
      <c r="A398" s="325" t="str">
        <f>CONCATENATE("P",'906MP'!M98)</f>
        <v>P654449</v>
      </c>
      <c r="B398">
        <f>'906MP'!H98</f>
        <v>61</v>
      </c>
      <c r="C398" t="str">
        <f>'906MP'!J98</f>
        <v>2025-01-01</v>
      </c>
      <c r="D398" t="str">
        <f>'906MP'!P98</f>
        <v>eredeti ei</v>
      </c>
      <c r="E398">
        <f>'906MP'!X98</f>
        <v>405684</v>
      </c>
      <c r="F398" t="str">
        <f t="shared" si="124"/>
        <v>05</v>
      </c>
      <c r="G398" t="str">
        <f t="shared" si="125"/>
        <v>053</v>
      </c>
      <c r="H398" t="str">
        <f>'906MP'!Y98</f>
        <v>053221</v>
      </c>
      <c r="I398" t="str">
        <f>'906MP'!AK98</f>
        <v>2025/EEI-654449/2</v>
      </c>
      <c r="J398" t="str">
        <f>'906MP'!T98</f>
        <v>(ÖNV)</v>
      </c>
      <c r="K398" t="str">
        <f>'906MP'!AJ98</f>
        <v/>
      </c>
      <c r="L398" t="str">
        <f>'906MP'!U98</f>
        <v>15100</v>
      </c>
      <c r="M398" s="322" t="str">
        <f>IFERROR(VLOOKUP(A398,PAR!$D$3:$E$53,2,FALSE),"nincs szervezet")</f>
        <v>Gondozási Központ</v>
      </c>
      <c r="N398" s="322" t="str">
        <f>VLOOKUP(F398,PAR!$R$3:$S$5,2,FALSE)</f>
        <v>2 - Kiadás</v>
      </c>
      <c r="O398" t="str">
        <f>IFERROR(VLOOKUP(J398,PAR!$O$3:$P$5,2,FALSE),"nincs feladat")</f>
        <v>2 - (ÖNV)</v>
      </c>
      <c r="P398" t="str">
        <f>IFERROR(VLOOKUP(G398,PAR!$J$2:$M$19,4),"nincs rovat")</f>
        <v>K3 - Dologi kiadások</v>
      </c>
      <c r="Q398" t="str">
        <f>IF(H398&gt;0,VLOOKUP(H398,PAR!$AA$3:$AC$187,3,FALSE),"nincs főkönyvi számla")</f>
        <v>053221 -  Egyéb kommunikációs szolgáltatások előirányzata</v>
      </c>
      <c r="R398" t="str">
        <f>IFERROR(VLOOKUP(K398,PAR!$V$3:$X$438,3,FALSE),"000000 - Nincs COFOG")</f>
        <v>000000 - Nincs COFOG</v>
      </c>
      <c r="S398">
        <f t="shared" si="126"/>
        <v>405684</v>
      </c>
      <c r="T398">
        <f t="shared" si="127"/>
        <v>405684</v>
      </c>
      <c r="U398" t="str">
        <f>IF('906MP'!J98&gt;0,CONCATENATE('906MP'!J98," - ",'906MP'!P98,", ",'906MP'!E98),"nincs megjegyzés")</f>
        <v>2025-01-01 - eredeti ei, 2025/EEI-654449/2</v>
      </c>
      <c r="V398" t="str">
        <f t="shared" si="114"/>
        <v>61P654449053</v>
      </c>
      <c r="W398" t="str">
        <f t="shared" si="115"/>
        <v>61P65444905</v>
      </c>
      <c r="X398" t="str">
        <f t="shared" si="116"/>
        <v>P654449053221</v>
      </c>
      <c r="Y398" t="str">
        <f t="shared" si="117"/>
        <v>61053221</v>
      </c>
      <c r="Z398" t="str">
        <f t="shared" si="128"/>
        <v>(ÖNV)053221</v>
      </c>
      <c r="AA398" t="str">
        <f t="shared" si="118"/>
        <v>61053</v>
      </c>
      <c r="AB398" t="str">
        <f t="shared" si="119"/>
        <v>(ÖNV)053</v>
      </c>
      <c r="AC398" t="str">
        <f t="shared" si="120"/>
        <v>61P654449053221</v>
      </c>
      <c r="AD398" t="str">
        <f t="shared" si="121"/>
        <v>P654449053221(ÖNV)</v>
      </c>
      <c r="AE398" t="str">
        <f t="shared" si="122"/>
        <v>61P654449053</v>
      </c>
      <c r="AF398" t="str">
        <f t="shared" si="123"/>
        <v>P654449053(ÖNV)</v>
      </c>
      <c r="AG398" t="str">
        <f t="shared" si="129"/>
        <v>61P65444905322115100</v>
      </c>
      <c r="AH398" t="str">
        <f t="shared" si="130"/>
        <v>P654449(ÖNV)05322115100</v>
      </c>
      <c r="AI398" t="str">
        <f t="shared" si="131"/>
        <v>61P65444905315100</v>
      </c>
      <c r="AJ398" t="str">
        <f t="shared" si="132"/>
        <v>P654449053(ÖNV)15100</v>
      </c>
    </row>
    <row r="399" spans="1:36" x14ac:dyDescent="0.25">
      <c r="A399" s="325" t="str">
        <f>CONCATENATE("P",'906MP'!M99)</f>
        <v>P654472</v>
      </c>
      <c r="B399">
        <f>'906MP'!H99</f>
        <v>60</v>
      </c>
      <c r="C399" t="str">
        <f>'906MP'!J99</f>
        <v>2025-01-01</v>
      </c>
      <c r="D399" t="str">
        <f>'906MP'!P99</f>
        <v>módosított ei</v>
      </c>
      <c r="E399">
        <f>'906MP'!X99</f>
        <v>300924</v>
      </c>
      <c r="F399" t="str">
        <f t="shared" si="124"/>
        <v>05</v>
      </c>
      <c r="G399" t="str">
        <f t="shared" si="125"/>
        <v>051</v>
      </c>
      <c r="H399" t="str">
        <f>'906MP'!Y99</f>
        <v>0511031</v>
      </c>
      <c r="I399" t="str">
        <f>'906MP'!AK99</f>
        <v>2025/MEI-654472/3</v>
      </c>
      <c r="J399" t="str">
        <f>'906MP'!T99</f>
        <v>(KÖT)</v>
      </c>
      <c r="K399" t="str">
        <f>'906MP'!AJ99</f>
        <v/>
      </c>
      <c r="L399" t="str">
        <f>'906MP'!U99</f>
        <v>14050</v>
      </c>
      <c r="M399" s="322" t="str">
        <f>IFERROR(VLOOKUP(A399,PAR!$D$3:$E$53,2,FALSE),"nincs szervezet")</f>
        <v>Nagymaros Városi Könyvtár és Művelődési Ház</v>
      </c>
      <c r="N399" s="322" t="str">
        <f>VLOOKUP(F399,PAR!$R$3:$S$5,2,FALSE)</f>
        <v>2 - Kiadás</v>
      </c>
      <c r="O399" t="str">
        <f>IFERROR(VLOOKUP(J399,PAR!$O$3:$P$5,2,FALSE),"nincs feladat")</f>
        <v>1 - (KÖT)</v>
      </c>
      <c r="P399" t="str">
        <f>IFERROR(VLOOKUP(G399,PAR!$J$2:$M$19,4),"nincs rovat")</f>
        <v>K1 - Személyi juttatások</v>
      </c>
      <c r="Q399" t="str">
        <f>IF(H399&gt;0,VLOOKUP(H399,PAR!$AA$3:$AC$187,3,FALSE),"nincs főkönyvi számla")</f>
        <v>0511031 -  Céljuttatás, projektprémium előirányzata</v>
      </c>
      <c r="R399" t="str">
        <f>IFERROR(VLOOKUP(K399,PAR!$V$3:$X$438,3,FALSE),"000000 - Nincs COFOG")</f>
        <v>000000 - Nincs COFOG</v>
      </c>
      <c r="S399">
        <f t="shared" si="126"/>
        <v>300924</v>
      </c>
      <c r="T399">
        <f t="shared" si="127"/>
        <v>300924</v>
      </c>
      <c r="U399" t="str">
        <f>IF('906MP'!J99&gt;0,CONCATENATE('906MP'!J99," - ",'906MP'!P99,", ",'906MP'!E99),"nincs megjegyzés")</f>
        <v>2025-01-01 - módosított ei, 2025/MEI-654472/3</v>
      </c>
      <c r="V399" t="str">
        <f t="shared" si="114"/>
        <v>60P654472051</v>
      </c>
      <c r="W399" t="str">
        <f t="shared" si="115"/>
        <v>60P65447205</v>
      </c>
      <c r="X399" t="str">
        <f t="shared" si="116"/>
        <v>P6544720511031</v>
      </c>
      <c r="Y399" t="str">
        <f t="shared" si="117"/>
        <v>600511031</v>
      </c>
      <c r="Z399" t="str">
        <f t="shared" si="128"/>
        <v>(KÖT)0511031</v>
      </c>
      <c r="AA399" t="str">
        <f t="shared" si="118"/>
        <v>60051</v>
      </c>
      <c r="AB399" t="str">
        <f t="shared" si="119"/>
        <v>(KÖT)051</v>
      </c>
      <c r="AC399" t="str">
        <f t="shared" si="120"/>
        <v>60P6544720511031</v>
      </c>
      <c r="AD399" t="str">
        <f t="shared" si="121"/>
        <v>P6544720511031(KÖT)</v>
      </c>
      <c r="AE399" t="str">
        <f t="shared" si="122"/>
        <v>60P654472051</v>
      </c>
      <c r="AF399" t="str">
        <f t="shared" si="123"/>
        <v>P654472051(KÖT)</v>
      </c>
      <c r="AG399" t="str">
        <f t="shared" si="129"/>
        <v>60P654472051103114050</v>
      </c>
      <c r="AH399" t="str">
        <f t="shared" si="130"/>
        <v>P654472(KÖT)051103114050</v>
      </c>
      <c r="AI399" t="str">
        <f t="shared" si="131"/>
        <v>60P65447205114050</v>
      </c>
      <c r="AJ399" t="str">
        <f t="shared" si="132"/>
        <v>P654472051(KÖT)14050</v>
      </c>
    </row>
    <row r="400" spans="1:36" x14ac:dyDescent="0.25">
      <c r="A400" s="325" t="str">
        <f>CONCATENATE("P",'906MP'!M100)</f>
        <v>P654472</v>
      </c>
      <c r="B400">
        <f>'906MP'!H100</f>
        <v>60</v>
      </c>
      <c r="C400" t="str">
        <f>'906MP'!J100</f>
        <v>2025-01-01</v>
      </c>
      <c r="D400" t="str">
        <f>'906MP'!P100</f>
        <v>módosított ei</v>
      </c>
      <c r="E400">
        <f>'906MP'!X100</f>
        <v>-115000</v>
      </c>
      <c r="F400" t="str">
        <f t="shared" si="124"/>
        <v>05</v>
      </c>
      <c r="G400" t="str">
        <f t="shared" si="125"/>
        <v>053</v>
      </c>
      <c r="H400" t="str">
        <f>'906MP'!Y100</f>
        <v>053511</v>
      </c>
      <c r="I400" t="str">
        <f>'906MP'!AK100</f>
        <v>2025/MEI-654472/3</v>
      </c>
      <c r="J400" t="str">
        <f>'906MP'!T100</f>
        <v>(KÖT)</v>
      </c>
      <c r="K400" t="str">
        <f>'906MP'!AJ100</f>
        <v/>
      </c>
      <c r="L400" t="str">
        <f>'906MP'!U100</f>
        <v>14050</v>
      </c>
      <c r="M400" s="322" t="str">
        <f>IFERROR(VLOOKUP(A400,PAR!$D$3:$E$53,2,FALSE),"nincs szervezet")</f>
        <v>Nagymaros Városi Könyvtár és Művelődési Ház</v>
      </c>
      <c r="N400" s="322" t="str">
        <f>VLOOKUP(F400,PAR!$R$3:$S$5,2,FALSE)</f>
        <v>2 - Kiadás</v>
      </c>
      <c r="O400" t="str">
        <f>IFERROR(VLOOKUP(J400,PAR!$O$3:$P$5,2,FALSE),"nincs feladat")</f>
        <v>1 - (KÖT)</v>
      </c>
      <c r="P400" t="str">
        <f>IFERROR(VLOOKUP(G400,PAR!$J$2:$M$19,4),"nincs rovat")</f>
        <v>K3 - Dologi kiadások</v>
      </c>
      <c r="Q400" t="str">
        <f>IF(H400&gt;0,VLOOKUP(H400,PAR!$AA$3:$AC$187,3,FALSE),"nincs főkönyvi számla")</f>
        <v>053511 -  Működési célú előzetesen felszámított általános forgalmi adó előirányzata</v>
      </c>
      <c r="R400" t="str">
        <f>IFERROR(VLOOKUP(K400,PAR!$V$3:$X$438,3,FALSE),"000000 - Nincs COFOG")</f>
        <v>000000 - Nincs COFOG</v>
      </c>
      <c r="S400">
        <f t="shared" si="126"/>
        <v>-115000</v>
      </c>
      <c r="T400">
        <f t="shared" si="127"/>
        <v>-115000</v>
      </c>
      <c r="U400" t="str">
        <f>IF('906MP'!J100&gt;0,CONCATENATE('906MP'!J100," - ",'906MP'!P100,", ",'906MP'!E100),"nincs megjegyzés")</f>
        <v>2025-01-01 - módosított ei, 2025/MEI-654472/3</v>
      </c>
      <c r="V400" t="str">
        <f t="shared" si="114"/>
        <v>60P654472053</v>
      </c>
      <c r="W400" t="str">
        <f t="shared" si="115"/>
        <v>60P65447205</v>
      </c>
      <c r="X400" t="str">
        <f t="shared" si="116"/>
        <v>P654472053511</v>
      </c>
      <c r="Y400" t="str">
        <f t="shared" si="117"/>
        <v>60053511</v>
      </c>
      <c r="Z400" t="str">
        <f t="shared" si="128"/>
        <v>(KÖT)053511</v>
      </c>
      <c r="AA400" t="str">
        <f t="shared" si="118"/>
        <v>60053</v>
      </c>
      <c r="AB400" t="str">
        <f t="shared" si="119"/>
        <v>(KÖT)053</v>
      </c>
      <c r="AC400" t="str">
        <f t="shared" si="120"/>
        <v>60P654472053511</v>
      </c>
      <c r="AD400" t="str">
        <f t="shared" si="121"/>
        <v>P654472053511(KÖT)</v>
      </c>
      <c r="AE400" t="str">
        <f t="shared" si="122"/>
        <v>60P654472053</v>
      </c>
      <c r="AF400" t="str">
        <f t="shared" si="123"/>
        <v>P654472053(KÖT)</v>
      </c>
      <c r="AG400" t="str">
        <f t="shared" si="129"/>
        <v>60P65447205351114050</v>
      </c>
      <c r="AH400" t="str">
        <f t="shared" si="130"/>
        <v>P654472(KÖT)05351114050</v>
      </c>
      <c r="AI400" t="str">
        <f t="shared" si="131"/>
        <v>60P65447205314050</v>
      </c>
      <c r="AJ400" t="str">
        <f t="shared" si="132"/>
        <v>P654472053(KÖT)14050</v>
      </c>
    </row>
    <row r="401" spans="1:36" x14ac:dyDescent="0.25">
      <c r="A401" s="325" t="str">
        <f>CONCATENATE("P",'906MP'!M101)</f>
        <v>P654449</v>
      </c>
      <c r="B401">
        <f>'906MP'!H101</f>
        <v>61</v>
      </c>
      <c r="C401" t="str">
        <f>'906MP'!J101</f>
        <v>2025-01-01</v>
      </c>
      <c r="D401" t="str">
        <f>'906MP'!P101</f>
        <v>eredeti ei</v>
      </c>
      <c r="E401">
        <f>'906MP'!X101</f>
        <v>1320000</v>
      </c>
      <c r="F401" t="str">
        <f t="shared" si="124"/>
        <v>05</v>
      </c>
      <c r="G401" t="str">
        <f t="shared" si="125"/>
        <v>053</v>
      </c>
      <c r="H401" t="str">
        <f>'906MP'!Y101</f>
        <v>0533111</v>
      </c>
      <c r="I401" t="str">
        <f>'906MP'!AK101</f>
        <v>2025/EEI-654449/2</v>
      </c>
      <c r="J401" t="str">
        <f>'906MP'!T101</f>
        <v>(ÖNV)</v>
      </c>
      <c r="K401" t="str">
        <f>'906MP'!AJ101</f>
        <v/>
      </c>
      <c r="L401" t="str">
        <f>'906MP'!U101</f>
        <v>15100</v>
      </c>
      <c r="M401" s="322" t="str">
        <f>IFERROR(VLOOKUP(A401,PAR!$D$3:$E$53,2,FALSE),"nincs szervezet")</f>
        <v>Gondozási Központ</v>
      </c>
      <c r="N401" s="322" t="str">
        <f>VLOOKUP(F401,PAR!$R$3:$S$5,2,FALSE)</f>
        <v>2 - Kiadás</v>
      </c>
      <c r="O401" t="str">
        <f>IFERROR(VLOOKUP(J401,PAR!$O$3:$P$5,2,FALSE),"nincs feladat")</f>
        <v>2 - (ÖNV)</v>
      </c>
      <c r="P401" t="str">
        <f>IFERROR(VLOOKUP(G401,PAR!$J$2:$M$19,4),"nincs rovat")</f>
        <v>K3 - Dologi kiadások</v>
      </c>
      <c r="Q401" t="str">
        <f>IF(H401&gt;0,VLOOKUP(H401,PAR!$AA$3:$AC$187,3,FALSE),"nincs főkönyvi számla")</f>
        <v>0533111 -  Villamosenergia szolgáltatás díja előirányzata</v>
      </c>
      <c r="R401" t="str">
        <f>IFERROR(VLOOKUP(K401,PAR!$V$3:$X$438,3,FALSE),"000000 - Nincs COFOG")</f>
        <v>000000 - Nincs COFOG</v>
      </c>
      <c r="S401">
        <f t="shared" si="126"/>
        <v>1320000</v>
      </c>
      <c r="T401">
        <f t="shared" si="127"/>
        <v>1320000</v>
      </c>
      <c r="U401" t="str">
        <f>IF('906MP'!J101&gt;0,CONCATENATE('906MP'!J101," - ",'906MP'!P101,", ",'906MP'!E101),"nincs megjegyzés")</f>
        <v>2025-01-01 - eredeti ei, 2025/EEI-654449/2</v>
      </c>
      <c r="V401" t="str">
        <f t="shared" si="114"/>
        <v>61P654449053</v>
      </c>
      <c r="W401" t="str">
        <f t="shared" si="115"/>
        <v>61P65444905</v>
      </c>
      <c r="X401" t="str">
        <f t="shared" si="116"/>
        <v>P6544490533111</v>
      </c>
      <c r="Y401" t="str">
        <f t="shared" si="117"/>
        <v>610533111</v>
      </c>
      <c r="Z401" t="str">
        <f t="shared" si="128"/>
        <v>(ÖNV)0533111</v>
      </c>
      <c r="AA401" t="str">
        <f t="shared" si="118"/>
        <v>61053</v>
      </c>
      <c r="AB401" t="str">
        <f t="shared" si="119"/>
        <v>(ÖNV)053</v>
      </c>
      <c r="AC401" t="str">
        <f t="shared" si="120"/>
        <v>61P6544490533111</v>
      </c>
      <c r="AD401" t="str">
        <f t="shared" si="121"/>
        <v>P6544490533111(ÖNV)</v>
      </c>
      <c r="AE401" t="str">
        <f t="shared" si="122"/>
        <v>61P654449053</v>
      </c>
      <c r="AF401" t="str">
        <f t="shared" si="123"/>
        <v>P654449053(ÖNV)</v>
      </c>
      <c r="AG401" t="str">
        <f t="shared" si="129"/>
        <v>61P654449053311115100</v>
      </c>
      <c r="AH401" t="str">
        <f t="shared" si="130"/>
        <v>P654449(ÖNV)053311115100</v>
      </c>
      <c r="AI401" t="str">
        <f t="shared" si="131"/>
        <v>61P65444905315100</v>
      </c>
      <c r="AJ401" t="str">
        <f t="shared" si="132"/>
        <v>P654449053(ÖNV)15100</v>
      </c>
    </row>
    <row r="402" spans="1:36" x14ac:dyDescent="0.25">
      <c r="A402" s="325" t="str">
        <f>CONCATENATE("P",'906MP'!M102)</f>
        <v>P654472</v>
      </c>
      <c r="B402">
        <f>'906MP'!H102</f>
        <v>60</v>
      </c>
      <c r="C402" t="str">
        <f>'906MP'!J102</f>
        <v>2025-01-01</v>
      </c>
      <c r="D402" t="str">
        <f>'906MP'!P102</f>
        <v>módosított ei</v>
      </c>
      <c r="E402">
        <f>'906MP'!X102</f>
        <v>-300924</v>
      </c>
      <c r="F402" t="str">
        <f t="shared" si="124"/>
        <v>05</v>
      </c>
      <c r="G402" t="str">
        <f t="shared" si="125"/>
        <v>051</v>
      </c>
      <c r="H402" t="str">
        <f>'906MP'!Y102</f>
        <v>0511011</v>
      </c>
      <c r="I402" t="str">
        <f>'906MP'!AK102</f>
        <v>2025/MEI-654472/3</v>
      </c>
      <c r="J402" t="str">
        <f>'906MP'!T102</f>
        <v>(KÖT)</v>
      </c>
      <c r="K402" t="str">
        <f>'906MP'!AJ102</f>
        <v/>
      </c>
      <c r="L402" t="str">
        <f>'906MP'!U102</f>
        <v>14050</v>
      </c>
      <c r="M402" s="322" t="str">
        <f>IFERROR(VLOOKUP(A402,PAR!$D$3:$E$53,2,FALSE),"nincs szervezet")</f>
        <v>Nagymaros Városi Könyvtár és Művelődési Ház</v>
      </c>
      <c r="N402" s="322" t="str">
        <f>VLOOKUP(F402,PAR!$R$3:$S$5,2,FALSE)</f>
        <v>2 - Kiadás</v>
      </c>
      <c r="O402" t="str">
        <f>IFERROR(VLOOKUP(J402,PAR!$O$3:$P$5,2,FALSE),"nincs feladat")</f>
        <v>1 - (KÖT)</v>
      </c>
      <c r="P402" t="str">
        <f>IFERROR(VLOOKUP(G402,PAR!$J$2:$M$19,4),"nincs rovat")</f>
        <v>K1 - Személyi juttatások</v>
      </c>
      <c r="Q402" t="str">
        <f>IF(H402&gt;0,VLOOKUP(H402,PAR!$AA$3:$AC$187,3,FALSE),"nincs főkönyvi számla")</f>
        <v>0511011 -  Törvény szerinti illetmények, munkabérek előirányzata</v>
      </c>
      <c r="R402" t="str">
        <f>IFERROR(VLOOKUP(K402,PAR!$V$3:$X$438,3,FALSE),"000000 - Nincs COFOG")</f>
        <v>000000 - Nincs COFOG</v>
      </c>
      <c r="S402">
        <f t="shared" si="126"/>
        <v>-300924</v>
      </c>
      <c r="T402">
        <f t="shared" si="127"/>
        <v>-300924</v>
      </c>
      <c r="U402" t="str">
        <f>IF('906MP'!J102&gt;0,CONCATENATE('906MP'!J102," - ",'906MP'!P102,", ",'906MP'!E102),"nincs megjegyzés")</f>
        <v>2025-01-01 - módosított ei, 2025/MEI-654472/3</v>
      </c>
      <c r="V402" t="str">
        <f t="shared" si="114"/>
        <v>60P654472051</v>
      </c>
      <c r="W402" t="str">
        <f t="shared" si="115"/>
        <v>60P65447205</v>
      </c>
      <c r="X402" t="str">
        <f t="shared" si="116"/>
        <v>P6544720511011</v>
      </c>
      <c r="Y402" t="str">
        <f t="shared" si="117"/>
        <v>600511011</v>
      </c>
      <c r="Z402" t="str">
        <f t="shared" si="128"/>
        <v>(KÖT)0511011</v>
      </c>
      <c r="AA402" t="str">
        <f t="shared" si="118"/>
        <v>60051</v>
      </c>
      <c r="AB402" t="str">
        <f t="shared" si="119"/>
        <v>(KÖT)051</v>
      </c>
      <c r="AC402" t="str">
        <f t="shared" si="120"/>
        <v>60P6544720511011</v>
      </c>
      <c r="AD402" t="str">
        <f t="shared" si="121"/>
        <v>P6544720511011(KÖT)</v>
      </c>
      <c r="AE402" t="str">
        <f t="shared" si="122"/>
        <v>60P654472051</v>
      </c>
      <c r="AF402" t="str">
        <f t="shared" si="123"/>
        <v>P654472051(KÖT)</v>
      </c>
      <c r="AG402" t="str">
        <f t="shared" si="129"/>
        <v>60P654472051101114050</v>
      </c>
      <c r="AH402" t="str">
        <f t="shared" si="130"/>
        <v>P654472(KÖT)051101114050</v>
      </c>
      <c r="AI402" t="str">
        <f t="shared" si="131"/>
        <v>60P65447205114050</v>
      </c>
      <c r="AJ402" t="str">
        <f t="shared" si="132"/>
        <v>P654472051(KÖT)14050</v>
      </c>
    </row>
    <row r="403" spans="1:36" x14ac:dyDescent="0.25">
      <c r="A403" s="325" t="str">
        <f>CONCATENATE("P",'906MP'!M103)</f>
        <v>P654449</v>
      </c>
      <c r="B403">
        <f>'906MP'!H103</f>
        <v>61</v>
      </c>
      <c r="C403" t="str">
        <f>'906MP'!J103</f>
        <v>2025-01-01</v>
      </c>
      <c r="D403" t="str">
        <f>'906MP'!P103</f>
        <v>eredeti ei</v>
      </c>
      <c r="E403">
        <f>'906MP'!X103</f>
        <v>3600000</v>
      </c>
      <c r="F403" t="str">
        <f t="shared" si="124"/>
        <v>05</v>
      </c>
      <c r="G403" t="str">
        <f t="shared" si="125"/>
        <v>053</v>
      </c>
      <c r="H403" t="str">
        <f>'906MP'!Y103</f>
        <v>0533121</v>
      </c>
      <c r="I403" t="str">
        <f>'906MP'!AK103</f>
        <v>2025/EEI-654449/2</v>
      </c>
      <c r="J403" t="str">
        <f>'906MP'!T103</f>
        <v>(ÖNV)</v>
      </c>
      <c r="K403" t="str">
        <f>'906MP'!AJ103</f>
        <v/>
      </c>
      <c r="L403" t="str">
        <f>'906MP'!U103</f>
        <v>15100</v>
      </c>
      <c r="M403" s="322" t="str">
        <f>IFERROR(VLOOKUP(A403,PAR!$D$3:$E$53,2,FALSE),"nincs szervezet")</f>
        <v>Gondozási Központ</v>
      </c>
      <c r="N403" s="322" t="str">
        <f>VLOOKUP(F403,PAR!$R$3:$S$5,2,FALSE)</f>
        <v>2 - Kiadás</v>
      </c>
      <c r="O403" t="str">
        <f>IFERROR(VLOOKUP(J403,PAR!$O$3:$P$5,2,FALSE),"nincs feladat")</f>
        <v>2 - (ÖNV)</v>
      </c>
      <c r="P403" t="str">
        <f>IFERROR(VLOOKUP(G403,PAR!$J$2:$M$19,4),"nincs rovat")</f>
        <v>K3 - Dologi kiadások</v>
      </c>
      <c r="Q403" t="str">
        <f>IF(H403&gt;0,VLOOKUP(H403,PAR!$AA$3:$AC$187,3,FALSE),"nincs főkönyvi számla")</f>
        <v>0533121 -  Gázenergia szolgáltatás díja előirányzata</v>
      </c>
      <c r="R403" t="str">
        <f>IFERROR(VLOOKUP(K403,PAR!$V$3:$X$438,3,FALSE),"000000 - Nincs COFOG")</f>
        <v>000000 - Nincs COFOG</v>
      </c>
      <c r="S403">
        <f t="shared" si="126"/>
        <v>3600000</v>
      </c>
      <c r="T403">
        <f t="shared" si="127"/>
        <v>3600000</v>
      </c>
      <c r="U403" t="str">
        <f>IF('906MP'!J103&gt;0,CONCATENATE('906MP'!J103," - ",'906MP'!P103,", ",'906MP'!E103),"nincs megjegyzés")</f>
        <v>2025-01-01 - eredeti ei, 2025/EEI-654449/2</v>
      </c>
      <c r="V403" t="str">
        <f t="shared" si="114"/>
        <v>61P654449053</v>
      </c>
      <c r="W403" t="str">
        <f t="shared" si="115"/>
        <v>61P65444905</v>
      </c>
      <c r="X403" t="str">
        <f t="shared" si="116"/>
        <v>P6544490533121</v>
      </c>
      <c r="Y403" t="str">
        <f t="shared" si="117"/>
        <v>610533121</v>
      </c>
      <c r="Z403" t="str">
        <f t="shared" si="128"/>
        <v>(ÖNV)0533121</v>
      </c>
      <c r="AA403" t="str">
        <f t="shared" si="118"/>
        <v>61053</v>
      </c>
      <c r="AB403" t="str">
        <f t="shared" si="119"/>
        <v>(ÖNV)053</v>
      </c>
      <c r="AC403" t="str">
        <f t="shared" si="120"/>
        <v>61P6544490533121</v>
      </c>
      <c r="AD403" t="str">
        <f t="shared" si="121"/>
        <v>P6544490533121(ÖNV)</v>
      </c>
      <c r="AE403" t="str">
        <f t="shared" si="122"/>
        <v>61P654449053</v>
      </c>
      <c r="AF403" t="str">
        <f t="shared" si="123"/>
        <v>P654449053(ÖNV)</v>
      </c>
      <c r="AG403" t="str">
        <f t="shared" si="129"/>
        <v>61P654449053312115100</v>
      </c>
      <c r="AH403" t="str">
        <f t="shared" si="130"/>
        <v>P654449(ÖNV)053312115100</v>
      </c>
      <c r="AI403" t="str">
        <f t="shared" si="131"/>
        <v>61P65444905315100</v>
      </c>
      <c r="AJ403" t="str">
        <f t="shared" si="132"/>
        <v>P654449053(ÖNV)15100</v>
      </c>
    </row>
    <row r="404" spans="1:36" x14ac:dyDescent="0.25">
      <c r="A404" s="325" t="str">
        <f>CONCATENATE("P",'906MP'!M104)</f>
        <v>P654472</v>
      </c>
      <c r="B404">
        <f>'906MP'!H104</f>
        <v>60</v>
      </c>
      <c r="C404" t="str">
        <f>'906MP'!J104</f>
        <v>2025-01-01</v>
      </c>
      <c r="D404" t="str">
        <f>'906MP'!P104</f>
        <v>módosított ei</v>
      </c>
      <c r="E404">
        <f>'906MP'!X104</f>
        <v>115000</v>
      </c>
      <c r="F404" t="str">
        <f t="shared" si="124"/>
        <v>05</v>
      </c>
      <c r="G404" t="str">
        <f t="shared" si="125"/>
        <v>053</v>
      </c>
      <c r="H404" t="str">
        <f>'906MP'!Y104</f>
        <v>053521</v>
      </c>
      <c r="I404" t="str">
        <f>'906MP'!AK104</f>
        <v>2025/MEI-654472/3</v>
      </c>
      <c r="J404" t="str">
        <f>'906MP'!T104</f>
        <v>(KÖT)</v>
      </c>
      <c r="K404" t="str">
        <f>'906MP'!AJ104</f>
        <v/>
      </c>
      <c r="L404" t="str">
        <f>'906MP'!U104</f>
        <v>14050</v>
      </c>
      <c r="M404" s="322" t="str">
        <f>IFERROR(VLOOKUP(A404,PAR!$D$3:$E$53,2,FALSE),"nincs szervezet")</f>
        <v>Nagymaros Városi Könyvtár és Művelődési Ház</v>
      </c>
      <c r="N404" s="322" t="str">
        <f>VLOOKUP(F404,PAR!$R$3:$S$5,2,FALSE)</f>
        <v>2 - Kiadás</v>
      </c>
      <c r="O404" t="str">
        <f>IFERROR(VLOOKUP(J404,PAR!$O$3:$P$5,2,FALSE),"nincs feladat")</f>
        <v>1 - (KÖT)</v>
      </c>
      <c r="P404" t="str">
        <f>IFERROR(VLOOKUP(G404,PAR!$J$2:$M$19,4),"nincs rovat")</f>
        <v>K3 - Dologi kiadások</v>
      </c>
      <c r="Q404" t="str">
        <f>IF(H404&gt;0,VLOOKUP(H404,PAR!$AA$3:$AC$187,3,FALSE),"nincs főkönyvi számla")</f>
        <v>053521 -  Fizetendő általános forgalmi adó előirányzata</v>
      </c>
      <c r="R404" t="str">
        <f>IFERROR(VLOOKUP(K404,PAR!$V$3:$X$438,3,FALSE),"000000 - Nincs COFOG")</f>
        <v>000000 - Nincs COFOG</v>
      </c>
      <c r="S404">
        <f t="shared" si="126"/>
        <v>115000</v>
      </c>
      <c r="T404">
        <f t="shared" si="127"/>
        <v>115000</v>
      </c>
      <c r="U404" t="str">
        <f>IF('906MP'!J104&gt;0,CONCATENATE('906MP'!J104," - ",'906MP'!P104,", ",'906MP'!E104),"nincs megjegyzés")</f>
        <v>2025-01-01 - módosított ei, 2025/MEI-654472/3</v>
      </c>
      <c r="V404" t="str">
        <f t="shared" si="114"/>
        <v>60P654472053</v>
      </c>
      <c r="W404" t="str">
        <f t="shared" si="115"/>
        <v>60P65447205</v>
      </c>
      <c r="X404" t="str">
        <f t="shared" si="116"/>
        <v>P654472053521</v>
      </c>
      <c r="Y404" t="str">
        <f t="shared" si="117"/>
        <v>60053521</v>
      </c>
      <c r="Z404" t="str">
        <f t="shared" si="128"/>
        <v>(KÖT)053521</v>
      </c>
      <c r="AA404" t="str">
        <f t="shared" si="118"/>
        <v>60053</v>
      </c>
      <c r="AB404" t="str">
        <f t="shared" si="119"/>
        <v>(KÖT)053</v>
      </c>
      <c r="AC404" t="str">
        <f t="shared" si="120"/>
        <v>60P654472053521</v>
      </c>
      <c r="AD404" t="str">
        <f t="shared" si="121"/>
        <v>P654472053521(KÖT)</v>
      </c>
      <c r="AE404" t="str">
        <f t="shared" si="122"/>
        <v>60P654472053</v>
      </c>
      <c r="AF404" t="str">
        <f t="shared" si="123"/>
        <v>P654472053(KÖT)</v>
      </c>
      <c r="AG404" t="str">
        <f t="shared" si="129"/>
        <v>60P65447205352114050</v>
      </c>
      <c r="AH404" t="str">
        <f t="shared" si="130"/>
        <v>P654472(KÖT)05352114050</v>
      </c>
      <c r="AI404" t="str">
        <f t="shared" si="131"/>
        <v>60P65447205314050</v>
      </c>
      <c r="AJ404" t="str">
        <f t="shared" si="132"/>
        <v>P654472053(KÖT)14050</v>
      </c>
    </row>
    <row r="405" spans="1:36" x14ac:dyDescent="0.25">
      <c r="A405" s="325" t="str">
        <f>CONCATENATE("P",'906MP'!M105)</f>
        <v>P654449</v>
      </c>
      <c r="B405">
        <f>'906MP'!H105</f>
        <v>61</v>
      </c>
      <c r="C405" t="str">
        <f>'906MP'!J105</f>
        <v>2025-01-01</v>
      </c>
      <c r="D405" t="str">
        <f>'906MP'!P105</f>
        <v>eredeti ei</v>
      </c>
      <c r="E405">
        <f>'906MP'!X105</f>
        <v>840000</v>
      </c>
      <c r="F405" t="str">
        <f t="shared" si="124"/>
        <v>05</v>
      </c>
      <c r="G405" t="str">
        <f t="shared" si="125"/>
        <v>053</v>
      </c>
      <c r="H405" t="str">
        <f>'906MP'!Y105</f>
        <v>0533141</v>
      </c>
      <c r="I405" t="str">
        <f>'906MP'!AK105</f>
        <v>2025/EEI-654449/2</v>
      </c>
      <c r="J405" t="str">
        <f>'906MP'!T105</f>
        <v>(ÖNV)</v>
      </c>
      <c r="K405" t="str">
        <f>'906MP'!AJ105</f>
        <v/>
      </c>
      <c r="L405" t="str">
        <f>'906MP'!U105</f>
        <v>15100</v>
      </c>
      <c r="M405" s="322" t="str">
        <f>IFERROR(VLOOKUP(A405,PAR!$D$3:$E$53,2,FALSE),"nincs szervezet")</f>
        <v>Gondozási Központ</v>
      </c>
      <c r="N405" s="322" t="str">
        <f>VLOOKUP(F405,PAR!$R$3:$S$5,2,FALSE)</f>
        <v>2 - Kiadás</v>
      </c>
      <c r="O405" t="str">
        <f>IFERROR(VLOOKUP(J405,PAR!$O$3:$P$5,2,FALSE),"nincs feladat")</f>
        <v>2 - (ÖNV)</v>
      </c>
      <c r="P405" t="str">
        <f>IFERROR(VLOOKUP(G405,PAR!$J$2:$M$19,4),"nincs rovat")</f>
        <v>K3 - Dologi kiadások</v>
      </c>
      <c r="Q405" t="str">
        <f>IF(H405&gt;0,VLOOKUP(H405,PAR!$AA$3:$AC$187,3,FALSE),"nincs főkönyvi számla")</f>
        <v>0533141 -  Víz- és csatorna szolgáltatás díja előirányzata</v>
      </c>
      <c r="R405" t="str">
        <f>IFERROR(VLOOKUP(K405,PAR!$V$3:$X$438,3,FALSE),"000000 - Nincs COFOG")</f>
        <v>000000 - Nincs COFOG</v>
      </c>
      <c r="S405">
        <f t="shared" si="126"/>
        <v>840000</v>
      </c>
      <c r="T405">
        <f t="shared" si="127"/>
        <v>840000</v>
      </c>
      <c r="U405" t="str">
        <f>IF('906MP'!J105&gt;0,CONCATENATE('906MP'!J105," - ",'906MP'!P105,", ",'906MP'!E105),"nincs megjegyzés")</f>
        <v>2025-01-01 - eredeti ei, 2025/EEI-654449/2</v>
      </c>
      <c r="V405" t="str">
        <f t="shared" si="114"/>
        <v>61P654449053</v>
      </c>
      <c r="W405" t="str">
        <f t="shared" si="115"/>
        <v>61P65444905</v>
      </c>
      <c r="X405" t="str">
        <f t="shared" si="116"/>
        <v>P6544490533141</v>
      </c>
      <c r="Y405" t="str">
        <f t="shared" si="117"/>
        <v>610533141</v>
      </c>
      <c r="Z405" t="str">
        <f t="shared" si="128"/>
        <v>(ÖNV)0533141</v>
      </c>
      <c r="AA405" t="str">
        <f t="shared" si="118"/>
        <v>61053</v>
      </c>
      <c r="AB405" t="str">
        <f t="shared" si="119"/>
        <v>(ÖNV)053</v>
      </c>
      <c r="AC405" t="str">
        <f t="shared" si="120"/>
        <v>61P6544490533141</v>
      </c>
      <c r="AD405" t="str">
        <f t="shared" si="121"/>
        <v>P6544490533141(ÖNV)</v>
      </c>
      <c r="AE405" t="str">
        <f t="shared" si="122"/>
        <v>61P654449053</v>
      </c>
      <c r="AF405" t="str">
        <f t="shared" si="123"/>
        <v>P654449053(ÖNV)</v>
      </c>
      <c r="AG405" t="str">
        <f t="shared" si="129"/>
        <v>61P654449053314115100</v>
      </c>
      <c r="AH405" t="str">
        <f t="shared" si="130"/>
        <v>P654449(ÖNV)053314115100</v>
      </c>
      <c r="AI405" t="str">
        <f t="shared" si="131"/>
        <v>61P65444905315100</v>
      </c>
      <c r="AJ405" t="str">
        <f t="shared" si="132"/>
        <v>P654449053(ÖNV)15100</v>
      </c>
    </row>
    <row r="406" spans="1:36" x14ac:dyDescent="0.25">
      <c r="A406" s="325" t="str">
        <f>CONCATENATE("P",'906MP'!M106)</f>
        <v>P654449</v>
      </c>
      <c r="B406">
        <f>'906MP'!H106</f>
        <v>61</v>
      </c>
      <c r="C406" t="str">
        <f>'906MP'!J106</f>
        <v>2025-01-01</v>
      </c>
      <c r="D406" t="str">
        <f>'906MP'!P106</f>
        <v>eredeti ei</v>
      </c>
      <c r="E406">
        <f>'906MP'!X106</f>
        <v>12600000</v>
      </c>
      <c r="F406" t="str">
        <f t="shared" si="124"/>
        <v>05</v>
      </c>
      <c r="G406" t="str">
        <f t="shared" si="125"/>
        <v>053</v>
      </c>
      <c r="H406" t="str">
        <f>'906MP'!Y106</f>
        <v>053321</v>
      </c>
      <c r="I406" t="str">
        <f>'906MP'!AK106</f>
        <v>2025/EEI-654449/2</v>
      </c>
      <c r="J406" t="str">
        <f>'906MP'!T106</f>
        <v>(ÖNV)</v>
      </c>
      <c r="K406" t="str">
        <f>'906MP'!AJ106</f>
        <v/>
      </c>
      <c r="L406" t="str">
        <f>'906MP'!U106</f>
        <v>15100</v>
      </c>
      <c r="M406" s="322" t="str">
        <f>IFERROR(VLOOKUP(A406,PAR!$D$3:$E$53,2,FALSE),"nincs szervezet")</f>
        <v>Gondozási Központ</v>
      </c>
      <c r="N406" s="322" t="str">
        <f>VLOOKUP(F406,PAR!$R$3:$S$5,2,FALSE)</f>
        <v>2 - Kiadás</v>
      </c>
      <c r="O406" t="str">
        <f>IFERROR(VLOOKUP(J406,PAR!$O$3:$P$5,2,FALSE),"nincs feladat")</f>
        <v>2 - (ÖNV)</v>
      </c>
      <c r="P406" t="str">
        <f>IFERROR(VLOOKUP(G406,PAR!$J$2:$M$19,4),"nincs rovat")</f>
        <v>K3 - Dologi kiadások</v>
      </c>
      <c r="Q406" t="str">
        <f>IF(H406&gt;0,VLOOKUP(H406,PAR!$AA$3:$AC$187,3,FALSE),"nincs főkönyvi számla")</f>
        <v>053321 -  Vásárolt élelmezés előirányzata</v>
      </c>
      <c r="R406" t="str">
        <f>IFERROR(VLOOKUP(K406,PAR!$V$3:$X$438,3,FALSE),"000000 - Nincs COFOG")</f>
        <v>000000 - Nincs COFOG</v>
      </c>
      <c r="S406">
        <f t="shared" si="126"/>
        <v>12600000</v>
      </c>
      <c r="T406">
        <f t="shared" si="127"/>
        <v>12600000</v>
      </c>
      <c r="U406" t="str">
        <f>IF('906MP'!J106&gt;0,CONCATENATE('906MP'!J106," - ",'906MP'!P106,", ",'906MP'!E106),"nincs megjegyzés")</f>
        <v>2025-01-01 - eredeti ei, 2025/EEI-654449/2</v>
      </c>
      <c r="V406" t="str">
        <f t="shared" si="114"/>
        <v>61P654449053</v>
      </c>
      <c r="W406" t="str">
        <f t="shared" si="115"/>
        <v>61P65444905</v>
      </c>
      <c r="X406" t="str">
        <f t="shared" si="116"/>
        <v>P654449053321</v>
      </c>
      <c r="Y406" t="str">
        <f t="shared" si="117"/>
        <v>61053321</v>
      </c>
      <c r="Z406" t="str">
        <f t="shared" si="128"/>
        <v>(ÖNV)053321</v>
      </c>
      <c r="AA406" t="str">
        <f t="shared" si="118"/>
        <v>61053</v>
      </c>
      <c r="AB406" t="str">
        <f t="shared" si="119"/>
        <v>(ÖNV)053</v>
      </c>
      <c r="AC406" t="str">
        <f t="shared" si="120"/>
        <v>61P654449053321</v>
      </c>
      <c r="AD406" t="str">
        <f t="shared" si="121"/>
        <v>P654449053321(ÖNV)</v>
      </c>
      <c r="AE406" t="str">
        <f t="shared" si="122"/>
        <v>61P654449053</v>
      </c>
      <c r="AF406" t="str">
        <f t="shared" si="123"/>
        <v>P654449053(ÖNV)</v>
      </c>
      <c r="AG406" t="str">
        <f t="shared" si="129"/>
        <v>61P65444905332115100</v>
      </c>
      <c r="AH406" t="str">
        <f t="shared" si="130"/>
        <v>P654449(ÖNV)05332115100</v>
      </c>
      <c r="AI406" t="str">
        <f t="shared" si="131"/>
        <v>61P65444905315100</v>
      </c>
      <c r="AJ406" t="str">
        <f t="shared" si="132"/>
        <v>P654449053(ÖNV)15100</v>
      </c>
    </row>
    <row r="407" spans="1:36" x14ac:dyDescent="0.25">
      <c r="A407" s="325" t="str">
        <f>CONCATENATE("P",'906MP'!M107)</f>
        <v>P654449</v>
      </c>
      <c r="B407">
        <f>'906MP'!H107</f>
        <v>61</v>
      </c>
      <c r="C407" t="str">
        <f>'906MP'!J107</f>
        <v>2025-01-01</v>
      </c>
      <c r="D407" t="str">
        <f>'906MP'!P107</f>
        <v>eredeti ei</v>
      </c>
      <c r="E407">
        <f>'906MP'!X107</f>
        <v>1963631</v>
      </c>
      <c r="F407" t="str">
        <f t="shared" si="124"/>
        <v>05</v>
      </c>
      <c r="G407" t="str">
        <f t="shared" si="125"/>
        <v>053</v>
      </c>
      <c r="H407" t="str">
        <f>'906MP'!Y107</f>
        <v>053341</v>
      </c>
      <c r="I407" t="str">
        <f>'906MP'!AK107</f>
        <v>2025/EEI-654449/2</v>
      </c>
      <c r="J407" t="str">
        <f>'906MP'!T107</f>
        <v>(ÖNV)</v>
      </c>
      <c r="K407" t="str">
        <f>'906MP'!AJ107</f>
        <v/>
      </c>
      <c r="L407" t="str">
        <f>'906MP'!U107</f>
        <v>15100</v>
      </c>
      <c r="M407" s="322" t="str">
        <f>IFERROR(VLOOKUP(A407,PAR!$D$3:$E$53,2,FALSE),"nincs szervezet")</f>
        <v>Gondozási Központ</v>
      </c>
      <c r="N407" s="322" t="str">
        <f>VLOOKUP(F407,PAR!$R$3:$S$5,2,FALSE)</f>
        <v>2 - Kiadás</v>
      </c>
      <c r="O407" t="str">
        <f>IFERROR(VLOOKUP(J407,PAR!$O$3:$P$5,2,FALSE),"nincs feladat")</f>
        <v>2 - (ÖNV)</v>
      </c>
      <c r="P407" t="str">
        <f>IFERROR(VLOOKUP(G407,PAR!$J$2:$M$19,4),"nincs rovat")</f>
        <v>K3 - Dologi kiadások</v>
      </c>
      <c r="Q407" t="str">
        <f>IF(H407&gt;0,VLOOKUP(H407,PAR!$AA$3:$AC$187,3,FALSE),"nincs főkönyvi számla")</f>
        <v>053341 -  Karbantartási, kisjavítási szolgáltatások előirányzata</v>
      </c>
      <c r="R407" t="str">
        <f>IFERROR(VLOOKUP(K407,PAR!$V$3:$X$438,3,FALSE),"000000 - Nincs COFOG")</f>
        <v>000000 - Nincs COFOG</v>
      </c>
      <c r="S407">
        <f t="shared" si="126"/>
        <v>1963631</v>
      </c>
      <c r="T407">
        <f t="shared" si="127"/>
        <v>1963631</v>
      </c>
      <c r="U407" t="str">
        <f>IF('906MP'!J107&gt;0,CONCATENATE('906MP'!J107," - ",'906MP'!P107,", ",'906MP'!E107),"nincs megjegyzés")</f>
        <v>2025-01-01 - eredeti ei, 2025/EEI-654449/2</v>
      </c>
      <c r="V407" t="str">
        <f t="shared" si="114"/>
        <v>61P654449053</v>
      </c>
      <c r="W407" t="str">
        <f t="shared" si="115"/>
        <v>61P65444905</v>
      </c>
      <c r="X407" t="str">
        <f t="shared" si="116"/>
        <v>P654449053341</v>
      </c>
      <c r="Y407" t="str">
        <f t="shared" si="117"/>
        <v>61053341</v>
      </c>
      <c r="Z407" t="str">
        <f t="shared" si="128"/>
        <v>(ÖNV)053341</v>
      </c>
      <c r="AA407" t="str">
        <f t="shared" si="118"/>
        <v>61053</v>
      </c>
      <c r="AB407" t="str">
        <f t="shared" si="119"/>
        <v>(ÖNV)053</v>
      </c>
      <c r="AC407" t="str">
        <f t="shared" si="120"/>
        <v>61P654449053341</v>
      </c>
      <c r="AD407" t="str">
        <f t="shared" si="121"/>
        <v>P654449053341(ÖNV)</v>
      </c>
      <c r="AE407" t="str">
        <f t="shared" si="122"/>
        <v>61P654449053</v>
      </c>
      <c r="AF407" t="str">
        <f t="shared" si="123"/>
        <v>P654449053(ÖNV)</v>
      </c>
      <c r="AG407" t="str">
        <f t="shared" si="129"/>
        <v>61P65444905334115100</v>
      </c>
      <c r="AH407" t="str">
        <f t="shared" si="130"/>
        <v>P654449(ÖNV)05334115100</v>
      </c>
      <c r="AI407" t="str">
        <f t="shared" si="131"/>
        <v>61P65444905315100</v>
      </c>
      <c r="AJ407" t="str">
        <f t="shared" si="132"/>
        <v>P654449053(ÖNV)15100</v>
      </c>
    </row>
    <row r="408" spans="1:36" x14ac:dyDescent="0.25">
      <c r="A408" s="325" t="str">
        <f>CONCATENATE("P",'906MP'!M108)</f>
        <v>P654449</v>
      </c>
      <c r="B408">
        <f>'906MP'!H108</f>
        <v>61</v>
      </c>
      <c r="C408" t="str">
        <f>'906MP'!J108</f>
        <v>2025-01-01</v>
      </c>
      <c r="D408" t="str">
        <f>'906MP'!P108</f>
        <v>eredeti ei</v>
      </c>
      <c r="E408">
        <f>'906MP'!X108</f>
        <v>1615600</v>
      </c>
      <c r="F408" t="str">
        <f t="shared" si="124"/>
        <v>05</v>
      </c>
      <c r="G408" t="str">
        <f t="shared" si="125"/>
        <v>053</v>
      </c>
      <c r="H408" t="str">
        <f>'906MP'!Y108</f>
        <v>053361</v>
      </c>
      <c r="I408" t="str">
        <f>'906MP'!AK108</f>
        <v>2025/EEI-654449/2</v>
      </c>
      <c r="J408" t="str">
        <f>'906MP'!T108</f>
        <v>(ÖNV)</v>
      </c>
      <c r="K408" t="str">
        <f>'906MP'!AJ108</f>
        <v/>
      </c>
      <c r="L408" t="str">
        <f>'906MP'!U108</f>
        <v>15100</v>
      </c>
      <c r="M408" s="322" t="str">
        <f>IFERROR(VLOOKUP(A408,PAR!$D$3:$E$53,2,FALSE),"nincs szervezet")</f>
        <v>Gondozási Központ</v>
      </c>
      <c r="N408" s="322" t="str">
        <f>VLOOKUP(F408,PAR!$R$3:$S$5,2,FALSE)</f>
        <v>2 - Kiadás</v>
      </c>
      <c r="O408" t="str">
        <f>IFERROR(VLOOKUP(J408,PAR!$O$3:$P$5,2,FALSE),"nincs feladat")</f>
        <v>2 - (ÖNV)</v>
      </c>
      <c r="P408" t="str">
        <f>IFERROR(VLOOKUP(G408,PAR!$J$2:$M$19,4),"nincs rovat")</f>
        <v>K3 - Dologi kiadások</v>
      </c>
      <c r="Q408" t="str">
        <f>IF(H408&gt;0,VLOOKUP(H408,PAR!$AA$3:$AC$187,3,FALSE),"nincs főkönyvi számla")</f>
        <v>053361 -  Szakmai tevékenységet segítő szolgáltatások előirányzata</v>
      </c>
      <c r="R408" t="str">
        <f>IFERROR(VLOOKUP(K408,PAR!$V$3:$X$438,3,FALSE),"000000 - Nincs COFOG")</f>
        <v>000000 - Nincs COFOG</v>
      </c>
      <c r="S408">
        <f t="shared" si="126"/>
        <v>1615600</v>
      </c>
      <c r="T408">
        <f t="shared" si="127"/>
        <v>1615600</v>
      </c>
      <c r="U408" t="str">
        <f>IF('906MP'!J108&gt;0,CONCATENATE('906MP'!J108," - ",'906MP'!P108,", ",'906MP'!E108),"nincs megjegyzés")</f>
        <v>2025-01-01 - eredeti ei, 2025/EEI-654449/2</v>
      </c>
      <c r="V408" t="str">
        <f t="shared" si="114"/>
        <v>61P654449053</v>
      </c>
      <c r="W408" t="str">
        <f t="shared" si="115"/>
        <v>61P65444905</v>
      </c>
      <c r="X408" t="str">
        <f t="shared" si="116"/>
        <v>P654449053361</v>
      </c>
      <c r="Y408" t="str">
        <f t="shared" si="117"/>
        <v>61053361</v>
      </c>
      <c r="Z408" t="str">
        <f t="shared" si="128"/>
        <v>(ÖNV)053361</v>
      </c>
      <c r="AA408" t="str">
        <f t="shared" si="118"/>
        <v>61053</v>
      </c>
      <c r="AB408" t="str">
        <f t="shared" si="119"/>
        <v>(ÖNV)053</v>
      </c>
      <c r="AC408" t="str">
        <f t="shared" si="120"/>
        <v>61P654449053361</v>
      </c>
      <c r="AD408" t="str">
        <f t="shared" si="121"/>
        <v>P654449053361(ÖNV)</v>
      </c>
      <c r="AE408" t="str">
        <f t="shared" si="122"/>
        <v>61P654449053</v>
      </c>
      <c r="AF408" t="str">
        <f t="shared" si="123"/>
        <v>P654449053(ÖNV)</v>
      </c>
      <c r="AG408" t="str">
        <f t="shared" si="129"/>
        <v>61P65444905336115100</v>
      </c>
      <c r="AH408" t="str">
        <f t="shared" si="130"/>
        <v>P654449(ÖNV)05336115100</v>
      </c>
      <c r="AI408" t="str">
        <f t="shared" si="131"/>
        <v>61P65444905315100</v>
      </c>
      <c r="AJ408" t="str">
        <f t="shared" si="132"/>
        <v>P654449053(ÖNV)15100</v>
      </c>
    </row>
    <row r="409" spans="1:36" x14ac:dyDescent="0.25">
      <c r="A409" s="325" t="str">
        <f>CONCATENATE("P",'906MP'!M109)</f>
        <v>P654449</v>
      </c>
      <c r="B409">
        <f>'906MP'!H109</f>
        <v>61</v>
      </c>
      <c r="C409" t="str">
        <f>'906MP'!J109</f>
        <v>2025-01-01</v>
      </c>
      <c r="D409" t="str">
        <f>'906MP'!P109</f>
        <v>eredeti ei</v>
      </c>
      <c r="E409">
        <f>'906MP'!X109</f>
        <v>2266020</v>
      </c>
      <c r="F409" t="str">
        <f t="shared" si="124"/>
        <v>05</v>
      </c>
      <c r="G409" t="str">
        <f t="shared" si="125"/>
        <v>053</v>
      </c>
      <c r="H409" t="str">
        <f>'906MP'!Y109</f>
        <v>053371</v>
      </c>
      <c r="I409" t="str">
        <f>'906MP'!AK109</f>
        <v>2025/EEI-654449/2</v>
      </c>
      <c r="J409" t="str">
        <f>'906MP'!T109</f>
        <v>(ÖNV)</v>
      </c>
      <c r="K409" t="str">
        <f>'906MP'!AJ109</f>
        <v/>
      </c>
      <c r="L409" t="str">
        <f>'906MP'!U109</f>
        <v>15100</v>
      </c>
      <c r="M409" s="322" t="str">
        <f>IFERROR(VLOOKUP(A409,PAR!$D$3:$E$53,2,FALSE),"nincs szervezet")</f>
        <v>Gondozási Központ</v>
      </c>
      <c r="N409" s="322" t="str">
        <f>VLOOKUP(F409,PAR!$R$3:$S$5,2,FALSE)</f>
        <v>2 - Kiadás</v>
      </c>
      <c r="O409" t="str">
        <f>IFERROR(VLOOKUP(J409,PAR!$O$3:$P$5,2,FALSE),"nincs feladat")</f>
        <v>2 - (ÖNV)</v>
      </c>
      <c r="P409" t="str">
        <f>IFERROR(VLOOKUP(G409,PAR!$J$2:$M$19,4),"nincs rovat")</f>
        <v>K3 - Dologi kiadások</v>
      </c>
      <c r="Q409" t="str">
        <f>IF(H409&gt;0,VLOOKUP(H409,PAR!$AA$3:$AC$187,3,FALSE),"nincs főkönyvi számla")</f>
        <v>053371 -  Egyéb szolgáltatások előirányzata</v>
      </c>
      <c r="R409" t="str">
        <f>IFERROR(VLOOKUP(K409,PAR!$V$3:$X$438,3,FALSE),"000000 - Nincs COFOG")</f>
        <v>000000 - Nincs COFOG</v>
      </c>
      <c r="S409">
        <f t="shared" si="126"/>
        <v>2266020</v>
      </c>
      <c r="T409">
        <f t="shared" si="127"/>
        <v>2266020</v>
      </c>
      <c r="U409" t="str">
        <f>IF('906MP'!J109&gt;0,CONCATENATE('906MP'!J109," - ",'906MP'!P109,", ",'906MP'!E109),"nincs megjegyzés")</f>
        <v>2025-01-01 - eredeti ei, 2025/EEI-654449/2</v>
      </c>
      <c r="V409" t="str">
        <f t="shared" si="114"/>
        <v>61P654449053</v>
      </c>
      <c r="W409" t="str">
        <f t="shared" si="115"/>
        <v>61P65444905</v>
      </c>
      <c r="X409" t="str">
        <f t="shared" si="116"/>
        <v>P654449053371</v>
      </c>
      <c r="Y409" t="str">
        <f t="shared" si="117"/>
        <v>61053371</v>
      </c>
      <c r="Z409" t="str">
        <f t="shared" si="128"/>
        <v>(ÖNV)053371</v>
      </c>
      <c r="AA409" t="str">
        <f t="shared" si="118"/>
        <v>61053</v>
      </c>
      <c r="AB409" t="str">
        <f t="shared" si="119"/>
        <v>(ÖNV)053</v>
      </c>
      <c r="AC409" t="str">
        <f t="shared" si="120"/>
        <v>61P654449053371</v>
      </c>
      <c r="AD409" t="str">
        <f t="shared" si="121"/>
        <v>P654449053371(ÖNV)</v>
      </c>
      <c r="AE409" t="str">
        <f t="shared" si="122"/>
        <v>61P654449053</v>
      </c>
      <c r="AF409" t="str">
        <f t="shared" si="123"/>
        <v>P654449053(ÖNV)</v>
      </c>
      <c r="AG409" t="str">
        <f t="shared" si="129"/>
        <v>61P65444905337115100</v>
      </c>
      <c r="AH409" t="str">
        <f t="shared" si="130"/>
        <v>P654449(ÖNV)05337115100</v>
      </c>
      <c r="AI409" t="str">
        <f t="shared" si="131"/>
        <v>61P65444905315100</v>
      </c>
      <c r="AJ409" t="str">
        <f t="shared" si="132"/>
        <v>P654449053(ÖNV)15100</v>
      </c>
    </row>
    <row r="410" spans="1:36" x14ac:dyDescent="0.25">
      <c r="A410" s="325" t="str">
        <f>CONCATENATE("P",'906MP'!M110)</f>
        <v>P654449</v>
      </c>
      <c r="B410">
        <f>'906MP'!H110</f>
        <v>61</v>
      </c>
      <c r="C410" t="str">
        <f>'906MP'!J110</f>
        <v>2025-01-01</v>
      </c>
      <c r="D410" t="str">
        <f>'906MP'!P110</f>
        <v>eredeti ei</v>
      </c>
      <c r="E410">
        <f>'906MP'!X110</f>
        <v>240000</v>
      </c>
      <c r="F410" t="str">
        <f t="shared" si="124"/>
        <v>05</v>
      </c>
      <c r="G410" t="str">
        <f t="shared" si="125"/>
        <v>053</v>
      </c>
      <c r="H410" t="str">
        <f>'906MP'!Y110</f>
        <v>053411</v>
      </c>
      <c r="I410" t="str">
        <f>'906MP'!AK110</f>
        <v>2025/EEI-654449/2</v>
      </c>
      <c r="J410" t="str">
        <f>'906MP'!T110</f>
        <v>(ÖNV)</v>
      </c>
      <c r="K410" t="str">
        <f>'906MP'!AJ110</f>
        <v/>
      </c>
      <c r="L410" t="str">
        <f>'906MP'!U110</f>
        <v>15100</v>
      </c>
      <c r="M410" s="322" t="str">
        <f>IFERROR(VLOOKUP(A410,PAR!$D$3:$E$53,2,FALSE),"nincs szervezet")</f>
        <v>Gondozási Központ</v>
      </c>
      <c r="N410" s="322" t="str">
        <f>VLOOKUP(F410,PAR!$R$3:$S$5,2,FALSE)</f>
        <v>2 - Kiadás</v>
      </c>
      <c r="O410" t="str">
        <f>IFERROR(VLOOKUP(J410,PAR!$O$3:$P$5,2,FALSE),"nincs feladat")</f>
        <v>2 - (ÖNV)</v>
      </c>
      <c r="P410" t="str">
        <f>IFERROR(VLOOKUP(G410,PAR!$J$2:$M$19,4),"nincs rovat")</f>
        <v>K3 - Dologi kiadások</v>
      </c>
      <c r="Q410" t="str">
        <f>IF(H410&gt;0,VLOOKUP(H410,PAR!$AA$3:$AC$187,3,FALSE),"nincs főkönyvi számla")</f>
        <v>053411 -  Kiküldetések kiadásai előirányzata</v>
      </c>
      <c r="R410" t="str">
        <f>IFERROR(VLOOKUP(K410,PAR!$V$3:$X$438,3,FALSE),"000000 - Nincs COFOG")</f>
        <v>000000 - Nincs COFOG</v>
      </c>
      <c r="S410">
        <f t="shared" si="126"/>
        <v>240000</v>
      </c>
      <c r="T410">
        <f t="shared" si="127"/>
        <v>240000</v>
      </c>
      <c r="U410" t="str">
        <f>IF('906MP'!J110&gt;0,CONCATENATE('906MP'!J110," - ",'906MP'!P110,", ",'906MP'!E110),"nincs megjegyzés")</f>
        <v>2025-01-01 - eredeti ei, 2025/EEI-654449/2</v>
      </c>
      <c r="V410" t="str">
        <f t="shared" si="114"/>
        <v>61P654449053</v>
      </c>
      <c r="W410" t="str">
        <f t="shared" si="115"/>
        <v>61P65444905</v>
      </c>
      <c r="X410" t="str">
        <f t="shared" si="116"/>
        <v>P654449053411</v>
      </c>
      <c r="Y410" t="str">
        <f t="shared" si="117"/>
        <v>61053411</v>
      </c>
      <c r="Z410" t="str">
        <f t="shared" si="128"/>
        <v>(ÖNV)053411</v>
      </c>
      <c r="AA410" t="str">
        <f t="shared" si="118"/>
        <v>61053</v>
      </c>
      <c r="AB410" t="str">
        <f t="shared" si="119"/>
        <v>(ÖNV)053</v>
      </c>
      <c r="AC410" t="str">
        <f t="shared" si="120"/>
        <v>61P654449053411</v>
      </c>
      <c r="AD410" t="str">
        <f t="shared" si="121"/>
        <v>P654449053411(ÖNV)</v>
      </c>
      <c r="AE410" t="str">
        <f t="shared" si="122"/>
        <v>61P654449053</v>
      </c>
      <c r="AF410" t="str">
        <f t="shared" si="123"/>
        <v>P654449053(ÖNV)</v>
      </c>
      <c r="AG410" t="str">
        <f t="shared" si="129"/>
        <v>61P65444905341115100</v>
      </c>
      <c r="AH410" t="str">
        <f t="shared" si="130"/>
        <v>P654449(ÖNV)05341115100</v>
      </c>
      <c r="AI410" t="str">
        <f t="shared" si="131"/>
        <v>61P65444905315100</v>
      </c>
      <c r="AJ410" t="str">
        <f t="shared" si="132"/>
        <v>P654449053(ÖNV)15100</v>
      </c>
    </row>
    <row r="411" spans="1:36" x14ac:dyDescent="0.25">
      <c r="A411" s="325" t="str">
        <f>CONCATENATE("P",'906MP'!M111)</f>
        <v>P654449</v>
      </c>
      <c r="B411">
        <f>'906MP'!H111</f>
        <v>61</v>
      </c>
      <c r="C411" t="str">
        <f>'906MP'!J111</f>
        <v>2025-01-01</v>
      </c>
      <c r="D411" t="str">
        <f>'906MP'!P111</f>
        <v>eredeti ei</v>
      </c>
      <c r="E411">
        <f>'906MP'!X111</f>
        <v>7908413</v>
      </c>
      <c r="F411" t="str">
        <f t="shared" si="124"/>
        <v>05</v>
      </c>
      <c r="G411" t="str">
        <f t="shared" si="125"/>
        <v>053</v>
      </c>
      <c r="H411" t="str">
        <f>'906MP'!Y111</f>
        <v>053511</v>
      </c>
      <c r="I411" t="str">
        <f>'906MP'!AK111</f>
        <v>2025/EEI-654449/2</v>
      </c>
      <c r="J411" t="str">
        <f>'906MP'!T111</f>
        <v>(ÖNV)</v>
      </c>
      <c r="K411" t="str">
        <f>'906MP'!AJ111</f>
        <v/>
      </c>
      <c r="L411" t="str">
        <f>'906MP'!U111</f>
        <v>15100</v>
      </c>
      <c r="M411" s="322" t="str">
        <f>IFERROR(VLOOKUP(A411,PAR!$D$3:$E$53,2,FALSE),"nincs szervezet")</f>
        <v>Gondozási Központ</v>
      </c>
      <c r="N411" s="322" t="str">
        <f>VLOOKUP(F411,PAR!$R$3:$S$5,2,FALSE)</f>
        <v>2 - Kiadás</v>
      </c>
      <c r="O411" t="str">
        <f>IFERROR(VLOOKUP(J411,PAR!$O$3:$P$5,2,FALSE),"nincs feladat")</f>
        <v>2 - (ÖNV)</v>
      </c>
      <c r="P411" t="str">
        <f>IFERROR(VLOOKUP(G411,PAR!$J$2:$M$19,4),"nincs rovat")</f>
        <v>K3 - Dologi kiadások</v>
      </c>
      <c r="Q411" t="str">
        <f>IF(H411&gt;0,VLOOKUP(H411,PAR!$AA$3:$AC$187,3,FALSE),"nincs főkönyvi számla")</f>
        <v>053511 -  Működési célú előzetesen felszámított általános forgalmi adó előirányzata</v>
      </c>
      <c r="R411" t="str">
        <f>IFERROR(VLOOKUP(K411,PAR!$V$3:$X$438,3,FALSE),"000000 - Nincs COFOG")</f>
        <v>000000 - Nincs COFOG</v>
      </c>
      <c r="S411">
        <f t="shared" si="126"/>
        <v>7908413</v>
      </c>
      <c r="T411">
        <f t="shared" si="127"/>
        <v>7908413</v>
      </c>
      <c r="U411" t="str">
        <f>IF('906MP'!J111&gt;0,CONCATENATE('906MP'!J111," - ",'906MP'!P111,", ",'906MP'!E111),"nincs megjegyzés")</f>
        <v>2025-01-01 - eredeti ei, 2025/EEI-654449/2</v>
      </c>
      <c r="V411" t="str">
        <f t="shared" si="114"/>
        <v>61P654449053</v>
      </c>
      <c r="W411" t="str">
        <f t="shared" si="115"/>
        <v>61P65444905</v>
      </c>
      <c r="X411" t="str">
        <f t="shared" si="116"/>
        <v>P654449053511</v>
      </c>
      <c r="Y411" t="str">
        <f t="shared" si="117"/>
        <v>61053511</v>
      </c>
      <c r="Z411" t="str">
        <f t="shared" si="128"/>
        <v>(ÖNV)053511</v>
      </c>
      <c r="AA411" t="str">
        <f t="shared" si="118"/>
        <v>61053</v>
      </c>
      <c r="AB411" t="str">
        <f t="shared" si="119"/>
        <v>(ÖNV)053</v>
      </c>
      <c r="AC411" t="str">
        <f t="shared" si="120"/>
        <v>61P654449053511</v>
      </c>
      <c r="AD411" t="str">
        <f t="shared" si="121"/>
        <v>P654449053511(ÖNV)</v>
      </c>
      <c r="AE411" t="str">
        <f t="shared" si="122"/>
        <v>61P654449053</v>
      </c>
      <c r="AF411" t="str">
        <f t="shared" si="123"/>
        <v>P654449053(ÖNV)</v>
      </c>
      <c r="AG411" t="str">
        <f t="shared" si="129"/>
        <v>61P65444905351115100</v>
      </c>
      <c r="AH411" t="str">
        <f t="shared" si="130"/>
        <v>P654449(ÖNV)05351115100</v>
      </c>
      <c r="AI411" t="str">
        <f t="shared" si="131"/>
        <v>61P65444905315100</v>
      </c>
      <c r="AJ411" t="str">
        <f t="shared" si="132"/>
        <v>P654449053(ÖNV)15100</v>
      </c>
    </row>
    <row r="412" spans="1:36" x14ac:dyDescent="0.25">
      <c r="A412" s="325" t="str">
        <f>CONCATENATE("P",'906MP'!M112)</f>
        <v>P654472</v>
      </c>
      <c r="B412">
        <f>'906MP'!H112</f>
        <v>60</v>
      </c>
      <c r="C412" t="str">
        <f>'906MP'!J112</f>
        <v>2025-01-01</v>
      </c>
      <c r="D412" t="str">
        <f>'906MP'!P112</f>
        <v>módosított ei</v>
      </c>
      <c r="E412">
        <f>'906MP'!X112</f>
        <v>-840000</v>
      </c>
      <c r="F412" t="str">
        <f t="shared" si="124"/>
        <v>05</v>
      </c>
      <c r="G412" t="str">
        <f t="shared" si="125"/>
        <v>053</v>
      </c>
      <c r="H412" t="str">
        <f>'906MP'!Y112</f>
        <v>053371</v>
      </c>
      <c r="I412" t="str">
        <f>'906MP'!AK112</f>
        <v>2025/MEI-654472/4</v>
      </c>
      <c r="J412" t="str">
        <f>'906MP'!T112</f>
        <v>(KÖT)</v>
      </c>
      <c r="K412" t="str">
        <f>'906MP'!AJ112</f>
        <v/>
      </c>
      <c r="L412" t="str">
        <f>'906MP'!U112</f>
        <v>14050</v>
      </c>
      <c r="M412" s="322" t="str">
        <f>IFERROR(VLOOKUP(A412,PAR!$D$3:$E$53,2,FALSE),"nincs szervezet")</f>
        <v>Nagymaros Városi Könyvtár és Művelődési Ház</v>
      </c>
      <c r="N412" s="322" t="str">
        <f>VLOOKUP(F412,PAR!$R$3:$S$5,2,FALSE)</f>
        <v>2 - Kiadás</v>
      </c>
      <c r="O412" t="str">
        <f>IFERROR(VLOOKUP(J412,PAR!$O$3:$P$5,2,FALSE),"nincs feladat")</f>
        <v>1 - (KÖT)</v>
      </c>
      <c r="P412" t="str">
        <f>IFERROR(VLOOKUP(G412,PAR!$J$2:$M$19,4),"nincs rovat")</f>
        <v>K3 - Dologi kiadások</v>
      </c>
      <c r="Q412" t="str">
        <f>IF(H412&gt;0,VLOOKUP(H412,PAR!$AA$3:$AC$187,3,FALSE),"nincs főkönyvi számla")</f>
        <v>053371 -  Egyéb szolgáltatások előirányzata</v>
      </c>
      <c r="R412" t="str">
        <f>IFERROR(VLOOKUP(K412,PAR!$V$3:$X$438,3,FALSE),"000000 - Nincs COFOG")</f>
        <v>000000 - Nincs COFOG</v>
      </c>
      <c r="S412">
        <f t="shared" si="126"/>
        <v>-840000</v>
      </c>
      <c r="T412">
        <f t="shared" si="127"/>
        <v>-840000</v>
      </c>
      <c r="U412" t="str">
        <f>IF('906MP'!J112&gt;0,CONCATENATE('906MP'!J112," - ",'906MP'!P112,", ",'906MP'!E112),"nincs megjegyzés")</f>
        <v>2025-01-01 - módosított ei, 2025/MEI-654472/4</v>
      </c>
      <c r="V412" t="str">
        <f t="shared" si="114"/>
        <v>60P654472053</v>
      </c>
      <c r="W412" t="str">
        <f t="shared" si="115"/>
        <v>60P65447205</v>
      </c>
      <c r="X412" t="str">
        <f t="shared" si="116"/>
        <v>P654472053371</v>
      </c>
      <c r="Y412" t="str">
        <f t="shared" si="117"/>
        <v>60053371</v>
      </c>
      <c r="Z412" t="str">
        <f t="shared" si="128"/>
        <v>(KÖT)053371</v>
      </c>
      <c r="AA412" t="str">
        <f t="shared" si="118"/>
        <v>60053</v>
      </c>
      <c r="AB412" t="str">
        <f t="shared" si="119"/>
        <v>(KÖT)053</v>
      </c>
      <c r="AC412" t="str">
        <f t="shared" si="120"/>
        <v>60P654472053371</v>
      </c>
      <c r="AD412" t="str">
        <f t="shared" si="121"/>
        <v>P654472053371(KÖT)</v>
      </c>
      <c r="AE412" t="str">
        <f t="shared" si="122"/>
        <v>60P654472053</v>
      </c>
      <c r="AF412" t="str">
        <f t="shared" si="123"/>
        <v>P654472053(KÖT)</v>
      </c>
      <c r="AG412" t="str">
        <f t="shared" si="129"/>
        <v>60P65447205337114050</v>
      </c>
      <c r="AH412" t="str">
        <f t="shared" si="130"/>
        <v>P654472(KÖT)05337114050</v>
      </c>
      <c r="AI412" t="str">
        <f t="shared" si="131"/>
        <v>60P65447205314050</v>
      </c>
      <c r="AJ412" t="str">
        <f t="shared" si="132"/>
        <v>P654472053(KÖT)14050</v>
      </c>
    </row>
    <row r="413" spans="1:36" x14ac:dyDescent="0.25">
      <c r="A413" s="325" t="str">
        <f>CONCATENATE("P",'906MP'!M113)</f>
        <v>P654449</v>
      </c>
      <c r="B413">
        <f>'906MP'!H113</f>
        <v>61</v>
      </c>
      <c r="C413" t="str">
        <f>'906MP'!J113</f>
        <v>2025-01-01</v>
      </c>
      <c r="D413" t="str">
        <f>'906MP'!P113</f>
        <v>eredeti ei</v>
      </c>
      <c r="E413">
        <f>'906MP'!X113</f>
        <v>20000</v>
      </c>
      <c r="F413" t="str">
        <f t="shared" si="124"/>
        <v>05</v>
      </c>
      <c r="G413" t="str">
        <f t="shared" si="125"/>
        <v>053</v>
      </c>
      <c r="H413" t="str">
        <f>'906MP'!Y113</f>
        <v>053551</v>
      </c>
      <c r="I413" t="str">
        <f>'906MP'!AK113</f>
        <v>2025/EEI-654449/2</v>
      </c>
      <c r="J413" t="str">
        <f>'906MP'!T113</f>
        <v>(ÖNV)</v>
      </c>
      <c r="K413" t="str">
        <f>'906MP'!AJ113</f>
        <v/>
      </c>
      <c r="L413" t="str">
        <f>'906MP'!U113</f>
        <v>15100</v>
      </c>
      <c r="M413" s="322" t="str">
        <f>IFERROR(VLOOKUP(A413,PAR!$D$3:$E$53,2,FALSE),"nincs szervezet")</f>
        <v>Gondozási Központ</v>
      </c>
      <c r="N413" s="322" t="str">
        <f>VLOOKUP(F413,PAR!$R$3:$S$5,2,FALSE)</f>
        <v>2 - Kiadás</v>
      </c>
      <c r="O413" t="str">
        <f>IFERROR(VLOOKUP(J413,PAR!$O$3:$P$5,2,FALSE),"nincs feladat")</f>
        <v>2 - (ÖNV)</v>
      </c>
      <c r="P413" t="str">
        <f>IFERROR(VLOOKUP(G413,PAR!$J$2:$M$19,4),"nincs rovat")</f>
        <v>K3 - Dologi kiadások</v>
      </c>
      <c r="Q413" t="str">
        <f>IF(H413&gt;0,VLOOKUP(H413,PAR!$AA$3:$AC$187,3,FALSE),"nincs főkönyvi számla")</f>
        <v>053551 -  Egyéb dologi kiadások előirányzata</v>
      </c>
      <c r="R413" t="str">
        <f>IFERROR(VLOOKUP(K413,PAR!$V$3:$X$438,3,FALSE),"000000 - Nincs COFOG")</f>
        <v>000000 - Nincs COFOG</v>
      </c>
      <c r="S413">
        <f t="shared" si="126"/>
        <v>20000</v>
      </c>
      <c r="T413">
        <f t="shared" si="127"/>
        <v>20000</v>
      </c>
      <c r="U413" t="str">
        <f>IF('906MP'!J113&gt;0,CONCATENATE('906MP'!J113," - ",'906MP'!P113,", ",'906MP'!E113),"nincs megjegyzés")</f>
        <v>2025-01-01 - eredeti ei, 2025/EEI-654449/2</v>
      </c>
      <c r="V413" t="str">
        <f t="shared" si="114"/>
        <v>61P654449053</v>
      </c>
      <c r="W413" t="str">
        <f t="shared" si="115"/>
        <v>61P65444905</v>
      </c>
      <c r="X413" t="str">
        <f t="shared" si="116"/>
        <v>P654449053551</v>
      </c>
      <c r="Y413" t="str">
        <f t="shared" si="117"/>
        <v>61053551</v>
      </c>
      <c r="Z413" t="str">
        <f t="shared" si="128"/>
        <v>(ÖNV)053551</v>
      </c>
      <c r="AA413" t="str">
        <f t="shared" si="118"/>
        <v>61053</v>
      </c>
      <c r="AB413" t="str">
        <f t="shared" si="119"/>
        <v>(ÖNV)053</v>
      </c>
      <c r="AC413" t="str">
        <f t="shared" si="120"/>
        <v>61P654449053551</v>
      </c>
      <c r="AD413" t="str">
        <f t="shared" si="121"/>
        <v>P654449053551(ÖNV)</v>
      </c>
      <c r="AE413" t="str">
        <f t="shared" si="122"/>
        <v>61P654449053</v>
      </c>
      <c r="AF413" t="str">
        <f t="shared" si="123"/>
        <v>P654449053(ÖNV)</v>
      </c>
      <c r="AG413" t="str">
        <f t="shared" si="129"/>
        <v>61P65444905355115100</v>
      </c>
      <c r="AH413" t="str">
        <f t="shared" si="130"/>
        <v>P654449(ÖNV)05355115100</v>
      </c>
      <c r="AI413" t="str">
        <f t="shared" si="131"/>
        <v>61P65444905315100</v>
      </c>
      <c r="AJ413" t="str">
        <f t="shared" si="132"/>
        <v>P654449053(ÖNV)15100</v>
      </c>
    </row>
    <row r="414" spans="1:36" x14ac:dyDescent="0.25">
      <c r="A414" s="325" t="str">
        <f>CONCATENATE("P",'906MP'!M114)</f>
        <v>P654472</v>
      </c>
      <c r="B414">
        <f>'906MP'!H114</f>
        <v>60</v>
      </c>
      <c r="C414" t="str">
        <f>'906MP'!J114</f>
        <v>2025-01-01</v>
      </c>
      <c r="D414" t="str">
        <f>'906MP'!P114</f>
        <v>módosított ei</v>
      </c>
      <c r="E414">
        <f>'906MP'!X114</f>
        <v>840000</v>
      </c>
      <c r="F414" t="str">
        <f t="shared" si="124"/>
        <v>05</v>
      </c>
      <c r="G414" t="str">
        <f t="shared" si="125"/>
        <v>053</v>
      </c>
      <c r="H414" t="str">
        <f>'906MP'!Y114</f>
        <v>053361</v>
      </c>
      <c r="I414" t="str">
        <f>'906MP'!AK114</f>
        <v>2025/MEI-654472/4</v>
      </c>
      <c r="J414" t="str">
        <f>'906MP'!T114</f>
        <v>(KÖT)</v>
      </c>
      <c r="K414" t="str">
        <f>'906MP'!AJ114</f>
        <v/>
      </c>
      <c r="L414" t="str">
        <f>'906MP'!U114</f>
        <v>14050</v>
      </c>
      <c r="M414" s="322" t="str">
        <f>IFERROR(VLOOKUP(A414,PAR!$D$3:$E$53,2,FALSE),"nincs szervezet")</f>
        <v>Nagymaros Városi Könyvtár és Művelődési Ház</v>
      </c>
      <c r="N414" s="322" t="str">
        <f>VLOOKUP(F414,PAR!$R$3:$S$5,2,FALSE)</f>
        <v>2 - Kiadás</v>
      </c>
      <c r="O414" t="str">
        <f>IFERROR(VLOOKUP(J414,PAR!$O$3:$P$5,2,FALSE),"nincs feladat")</f>
        <v>1 - (KÖT)</v>
      </c>
      <c r="P414" t="str">
        <f>IFERROR(VLOOKUP(G414,PAR!$J$2:$M$19,4),"nincs rovat")</f>
        <v>K3 - Dologi kiadások</v>
      </c>
      <c r="Q414" t="str">
        <f>IF(H414&gt;0,VLOOKUP(H414,PAR!$AA$3:$AC$187,3,FALSE),"nincs főkönyvi számla")</f>
        <v>053361 -  Szakmai tevékenységet segítő szolgáltatások előirányzata</v>
      </c>
      <c r="R414" t="str">
        <f>IFERROR(VLOOKUP(K414,PAR!$V$3:$X$438,3,FALSE),"000000 - Nincs COFOG")</f>
        <v>000000 - Nincs COFOG</v>
      </c>
      <c r="S414">
        <f t="shared" si="126"/>
        <v>840000</v>
      </c>
      <c r="T414">
        <f t="shared" si="127"/>
        <v>840000</v>
      </c>
      <c r="U414" t="str">
        <f>IF('906MP'!J114&gt;0,CONCATENATE('906MP'!J114," - ",'906MP'!P114,", ",'906MP'!E114),"nincs megjegyzés")</f>
        <v>2025-01-01 - módosított ei, 2025/MEI-654472/4</v>
      </c>
      <c r="V414" t="str">
        <f t="shared" si="114"/>
        <v>60P654472053</v>
      </c>
      <c r="W414" t="str">
        <f t="shared" si="115"/>
        <v>60P65447205</v>
      </c>
      <c r="X414" t="str">
        <f t="shared" si="116"/>
        <v>P654472053361</v>
      </c>
      <c r="Y414" t="str">
        <f t="shared" si="117"/>
        <v>60053361</v>
      </c>
      <c r="Z414" t="str">
        <f t="shared" si="128"/>
        <v>(KÖT)053361</v>
      </c>
      <c r="AA414" t="str">
        <f t="shared" si="118"/>
        <v>60053</v>
      </c>
      <c r="AB414" t="str">
        <f t="shared" si="119"/>
        <v>(KÖT)053</v>
      </c>
      <c r="AC414" t="str">
        <f t="shared" si="120"/>
        <v>60P654472053361</v>
      </c>
      <c r="AD414" t="str">
        <f t="shared" si="121"/>
        <v>P654472053361(KÖT)</v>
      </c>
      <c r="AE414" t="str">
        <f t="shared" si="122"/>
        <v>60P654472053</v>
      </c>
      <c r="AF414" t="str">
        <f t="shared" si="123"/>
        <v>P654472053(KÖT)</v>
      </c>
      <c r="AG414" t="str">
        <f t="shared" si="129"/>
        <v>60P65447205336114050</v>
      </c>
      <c r="AH414" t="str">
        <f t="shared" si="130"/>
        <v>P654472(KÖT)05336114050</v>
      </c>
      <c r="AI414" t="str">
        <f t="shared" si="131"/>
        <v>60P65447205314050</v>
      </c>
      <c r="AJ414" t="str">
        <f t="shared" si="132"/>
        <v>P654472053(KÖT)14050</v>
      </c>
    </row>
    <row r="415" spans="1:36" x14ac:dyDescent="0.25">
      <c r="A415" s="325" t="str">
        <f>CONCATENATE("P",'906MP'!M115)</f>
        <v>P654449</v>
      </c>
      <c r="B415">
        <f>'906MP'!H115</f>
        <v>61</v>
      </c>
      <c r="C415" t="str">
        <f>'906MP'!J115</f>
        <v>2025-01-01</v>
      </c>
      <c r="D415" t="str">
        <f>'906MP'!P115</f>
        <v>eredeti ei</v>
      </c>
      <c r="E415">
        <f>'906MP'!X115</f>
        <v>700000</v>
      </c>
      <c r="F415" t="str">
        <f t="shared" si="124"/>
        <v>05</v>
      </c>
      <c r="G415" t="str">
        <f t="shared" si="125"/>
        <v>056</v>
      </c>
      <c r="H415" t="str">
        <f>'906MP'!Y115</f>
        <v>05641</v>
      </c>
      <c r="I415" t="str">
        <f>'906MP'!AK115</f>
        <v>2025/EEI-654449/2</v>
      </c>
      <c r="J415" t="str">
        <f>'906MP'!T115</f>
        <v>(ÖNV)</v>
      </c>
      <c r="K415" t="str">
        <f>'906MP'!AJ115</f>
        <v/>
      </c>
      <c r="L415" t="str">
        <f>'906MP'!U115</f>
        <v>15100</v>
      </c>
      <c r="M415" s="322" t="str">
        <f>IFERROR(VLOOKUP(A415,PAR!$D$3:$E$53,2,FALSE),"nincs szervezet")</f>
        <v>Gondozási Központ</v>
      </c>
      <c r="N415" s="322" t="str">
        <f>VLOOKUP(F415,PAR!$R$3:$S$5,2,FALSE)</f>
        <v>2 - Kiadás</v>
      </c>
      <c r="O415" t="str">
        <f>IFERROR(VLOOKUP(J415,PAR!$O$3:$P$5,2,FALSE),"nincs feladat")</f>
        <v>2 - (ÖNV)</v>
      </c>
      <c r="P415" t="str">
        <f>IFERROR(VLOOKUP(G415,PAR!$J$2:$M$19,4),"nincs rovat")</f>
        <v>K6 - Beruházások</v>
      </c>
      <c r="Q415" t="str">
        <f>IF(H415&gt;0,VLOOKUP(H415,PAR!$AA$3:$AC$187,3,FALSE),"nincs főkönyvi számla")</f>
        <v>05641 -  Egyéb tárgyi eszközök beszerzése, létesítése előirányzata</v>
      </c>
      <c r="R415" t="str">
        <f>IFERROR(VLOOKUP(K415,PAR!$V$3:$X$438,3,FALSE),"000000 - Nincs COFOG")</f>
        <v>000000 - Nincs COFOG</v>
      </c>
      <c r="S415">
        <f t="shared" si="126"/>
        <v>700000</v>
      </c>
      <c r="T415">
        <f t="shared" si="127"/>
        <v>700000</v>
      </c>
      <c r="U415" t="str">
        <f>IF('906MP'!J115&gt;0,CONCATENATE('906MP'!J115," - ",'906MP'!P115,", ",'906MP'!E115),"nincs megjegyzés")</f>
        <v>2025-01-01 - eredeti ei, 2025/EEI-654449/2</v>
      </c>
      <c r="V415" t="str">
        <f t="shared" si="114"/>
        <v>61P654449056</v>
      </c>
      <c r="W415" t="str">
        <f t="shared" si="115"/>
        <v>61P65444905</v>
      </c>
      <c r="X415" t="str">
        <f t="shared" si="116"/>
        <v>P65444905641</v>
      </c>
      <c r="Y415" t="str">
        <f t="shared" si="117"/>
        <v>6105641</v>
      </c>
      <c r="Z415" t="str">
        <f t="shared" si="128"/>
        <v>(ÖNV)05641</v>
      </c>
      <c r="AA415" t="str">
        <f t="shared" si="118"/>
        <v>61056</v>
      </c>
      <c r="AB415" t="str">
        <f t="shared" si="119"/>
        <v>(ÖNV)056</v>
      </c>
      <c r="AC415" t="str">
        <f t="shared" si="120"/>
        <v>61P65444905641</v>
      </c>
      <c r="AD415" t="str">
        <f t="shared" si="121"/>
        <v>P65444905641(ÖNV)</v>
      </c>
      <c r="AE415" t="str">
        <f t="shared" si="122"/>
        <v>61P654449056</v>
      </c>
      <c r="AF415" t="str">
        <f t="shared" si="123"/>
        <v>P654449056(ÖNV)</v>
      </c>
      <c r="AG415" t="str">
        <f t="shared" si="129"/>
        <v>61P6544490564115100</v>
      </c>
      <c r="AH415" t="str">
        <f t="shared" si="130"/>
        <v>P654449(ÖNV)0564115100</v>
      </c>
      <c r="AI415" t="str">
        <f t="shared" si="131"/>
        <v>61P65444905615100</v>
      </c>
      <c r="AJ415" t="str">
        <f t="shared" si="132"/>
        <v>P654449056(ÖNV)15100</v>
      </c>
    </row>
    <row r="416" spans="1:36" x14ac:dyDescent="0.25">
      <c r="A416" s="325" t="str">
        <f>CONCATENATE("P",'906MP'!M116)</f>
        <v>P731113</v>
      </c>
      <c r="B416">
        <f>'906MP'!H116</f>
        <v>60</v>
      </c>
      <c r="C416" t="str">
        <f>'906MP'!J116</f>
        <v>2025-06-01</v>
      </c>
      <c r="D416" t="str">
        <f>'906MP'!P116</f>
        <v>módosított ei</v>
      </c>
      <c r="E416">
        <f>'906MP'!X116</f>
        <v>30420</v>
      </c>
      <c r="F416" t="str">
        <f t="shared" si="124"/>
        <v>05</v>
      </c>
      <c r="G416" t="str">
        <f t="shared" si="125"/>
        <v>051</v>
      </c>
      <c r="H416" t="str">
        <f>'906MP'!Y116</f>
        <v>0511091</v>
      </c>
      <c r="I416" t="str">
        <f>'906MP'!AK116</f>
        <v>2025/MEI-731113/51</v>
      </c>
      <c r="J416" t="str">
        <f>'906MP'!T116</f>
        <v>(KÖT)</v>
      </c>
      <c r="K416" t="str">
        <f>'906MP'!AJ116</f>
        <v/>
      </c>
      <c r="L416" t="str">
        <f>'906MP'!U116</f>
        <v>11100</v>
      </c>
      <c r="M416" s="322" t="str">
        <f>IFERROR(VLOOKUP(A416,PAR!$D$3:$E$53,2,FALSE),"nincs szervezet")</f>
        <v>Nagymaros Város Önkormányzata</v>
      </c>
      <c r="N416" s="322" t="str">
        <f>VLOOKUP(F416,PAR!$R$3:$S$5,2,FALSE)</f>
        <v>2 - Kiadás</v>
      </c>
      <c r="O416" t="str">
        <f>IFERROR(VLOOKUP(J416,PAR!$O$3:$P$5,2,FALSE),"nincs feladat")</f>
        <v>1 - (KÖT)</v>
      </c>
      <c r="P416" t="str">
        <f>IFERROR(VLOOKUP(G416,PAR!$J$2:$M$19,4),"nincs rovat")</f>
        <v>K1 - Személyi juttatások</v>
      </c>
      <c r="Q416" t="str">
        <f>IF(H416&gt;0,VLOOKUP(H416,PAR!$AA$3:$AC$187,3,FALSE),"nincs főkönyvi számla")</f>
        <v>0511091 -  Közlekedési költségtérítés előirányzata</v>
      </c>
      <c r="R416" t="str">
        <f>IFERROR(VLOOKUP(K416,PAR!$V$3:$X$438,3,FALSE),"000000 - Nincs COFOG")</f>
        <v>000000 - Nincs COFOG</v>
      </c>
      <c r="S416">
        <f t="shared" si="126"/>
        <v>30420</v>
      </c>
      <c r="T416">
        <f t="shared" si="127"/>
        <v>30420</v>
      </c>
      <c r="U416" t="str">
        <f>IF('906MP'!J116&gt;0,CONCATENATE('906MP'!J116," - ",'906MP'!P116,", ",'906MP'!E116),"nincs megjegyzés")</f>
        <v>2025-06-01 - módosított ei, 2025/MEI-731113/51</v>
      </c>
      <c r="V416" t="str">
        <f t="shared" si="114"/>
        <v>60P731113051</v>
      </c>
      <c r="W416" t="str">
        <f t="shared" si="115"/>
        <v>60P73111305</v>
      </c>
      <c r="X416" t="str">
        <f t="shared" si="116"/>
        <v>P7311130511091</v>
      </c>
      <c r="Y416" t="str">
        <f t="shared" si="117"/>
        <v>600511091</v>
      </c>
      <c r="Z416" t="str">
        <f t="shared" si="128"/>
        <v>(KÖT)0511091</v>
      </c>
      <c r="AA416" t="str">
        <f t="shared" si="118"/>
        <v>60051</v>
      </c>
      <c r="AB416" t="str">
        <f t="shared" si="119"/>
        <v>(KÖT)051</v>
      </c>
      <c r="AC416" t="str">
        <f t="shared" si="120"/>
        <v>60P7311130511091</v>
      </c>
      <c r="AD416" t="str">
        <f t="shared" si="121"/>
        <v>P7311130511091(KÖT)</v>
      </c>
      <c r="AE416" t="str">
        <f t="shared" si="122"/>
        <v>60P731113051</v>
      </c>
      <c r="AF416" t="str">
        <f t="shared" si="123"/>
        <v>P731113051(KÖT)</v>
      </c>
      <c r="AG416" t="str">
        <f t="shared" si="129"/>
        <v>60P731113051109111100</v>
      </c>
      <c r="AH416" t="str">
        <f t="shared" si="130"/>
        <v>P731113(KÖT)051109111100</v>
      </c>
      <c r="AI416" t="str">
        <f t="shared" si="131"/>
        <v>60P73111305111100</v>
      </c>
      <c r="AJ416" t="str">
        <f t="shared" si="132"/>
        <v>P731113051(KÖT)11100</v>
      </c>
    </row>
    <row r="417" spans="1:36" x14ac:dyDescent="0.25">
      <c r="A417" s="325" t="str">
        <f>CONCATENATE("P",'906MP'!M117)</f>
        <v>P654449</v>
      </c>
      <c r="B417">
        <f>'906MP'!H117</f>
        <v>61</v>
      </c>
      <c r="C417" t="str">
        <f>'906MP'!J117</f>
        <v>2025-01-01</v>
      </c>
      <c r="D417" t="str">
        <f>'906MP'!P117</f>
        <v>eredeti ei</v>
      </c>
      <c r="E417">
        <f>'906MP'!X117</f>
        <v>189000</v>
      </c>
      <c r="F417" t="str">
        <f t="shared" si="124"/>
        <v>05</v>
      </c>
      <c r="G417" t="str">
        <f t="shared" si="125"/>
        <v>056</v>
      </c>
      <c r="H417" t="str">
        <f>'906MP'!Y117</f>
        <v>05671</v>
      </c>
      <c r="I417" t="str">
        <f>'906MP'!AK117</f>
        <v>2025/EEI-654449/2</v>
      </c>
      <c r="J417" t="str">
        <f>'906MP'!T117</f>
        <v>(ÖNV)</v>
      </c>
      <c r="K417" t="str">
        <f>'906MP'!AJ117</f>
        <v/>
      </c>
      <c r="L417" t="str">
        <f>'906MP'!U117</f>
        <v>15100</v>
      </c>
      <c r="M417" s="322" t="str">
        <f>IFERROR(VLOOKUP(A417,PAR!$D$3:$E$53,2,FALSE),"nincs szervezet")</f>
        <v>Gondozási Központ</v>
      </c>
      <c r="N417" s="322" t="str">
        <f>VLOOKUP(F417,PAR!$R$3:$S$5,2,FALSE)</f>
        <v>2 - Kiadás</v>
      </c>
      <c r="O417" t="str">
        <f>IFERROR(VLOOKUP(J417,PAR!$O$3:$P$5,2,FALSE),"nincs feladat")</f>
        <v>2 - (ÖNV)</v>
      </c>
      <c r="P417" t="str">
        <f>IFERROR(VLOOKUP(G417,PAR!$J$2:$M$19,4),"nincs rovat")</f>
        <v>K6 - Beruházások</v>
      </c>
      <c r="Q417" t="str">
        <f>IF(H417&gt;0,VLOOKUP(H417,PAR!$AA$3:$AC$187,3,FALSE),"nincs főkönyvi számla")</f>
        <v>05671 -  Beruházási célú előzetesen felszámított általános forgalmi adó előirányzata</v>
      </c>
      <c r="R417" t="str">
        <f>IFERROR(VLOOKUP(K417,PAR!$V$3:$X$438,3,FALSE),"000000 - Nincs COFOG")</f>
        <v>000000 - Nincs COFOG</v>
      </c>
      <c r="S417">
        <f t="shared" si="126"/>
        <v>189000</v>
      </c>
      <c r="T417">
        <f t="shared" si="127"/>
        <v>189000</v>
      </c>
      <c r="U417" t="str">
        <f>IF('906MP'!J117&gt;0,CONCATENATE('906MP'!J117," - ",'906MP'!P117,", ",'906MP'!E117),"nincs megjegyzés")</f>
        <v>2025-01-01 - eredeti ei, 2025/EEI-654449/2</v>
      </c>
      <c r="V417" t="str">
        <f t="shared" si="114"/>
        <v>61P654449056</v>
      </c>
      <c r="W417" t="str">
        <f t="shared" si="115"/>
        <v>61P65444905</v>
      </c>
      <c r="X417" t="str">
        <f t="shared" si="116"/>
        <v>P65444905671</v>
      </c>
      <c r="Y417" t="str">
        <f t="shared" si="117"/>
        <v>6105671</v>
      </c>
      <c r="Z417" t="str">
        <f t="shared" si="128"/>
        <v>(ÖNV)05671</v>
      </c>
      <c r="AA417" t="str">
        <f t="shared" si="118"/>
        <v>61056</v>
      </c>
      <c r="AB417" t="str">
        <f t="shared" si="119"/>
        <v>(ÖNV)056</v>
      </c>
      <c r="AC417" t="str">
        <f t="shared" si="120"/>
        <v>61P65444905671</v>
      </c>
      <c r="AD417" t="str">
        <f t="shared" si="121"/>
        <v>P65444905671(ÖNV)</v>
      </c>
      <c r="AE417" t="str">
        <f t="shared" si="122"/>
        <v>61P654449056</v>
      </c>
      <c r="AF417" t="str">
        <f t="shared" si="123"/>
        <v>P654449056(ÖNV)</v>
      </c>
      <c r="AG417" t="str">
        <f t="shared" si="129"/>
        <v>61P6544490567115100</v>
      </c>
      <c r="AH417" t="str">
        <f t="shared" si="130"/>
        <v>P654449(ÖNV)0567115100</v>
      </c>
      <c r="AI417" t="str">
        <f t="shared" si="131"/>
        <v>61P65444905615100</v>
      </c>
      <c r="AJ417" t="str">
        <f t="shared" si="132"/>
        <v>P654449056(ÖNV)15100</v>
      </c>
    </row>
    <row r="418" spans="1:36" x14ac:dyDescent="0.25">
      <c r="A418" s="325" t="str">
        <f>CONCATENATE("P",'906MP'!M118)</f>
        <v>P731113</v>
      </c>
      <c r="B418">
        <f>'906MP'!H118</f>
        <v>60</v>
      </c>
      <c r="C418" t="str">
        <f>'906MP'!J118</f>
        <v>2025-06-01</v>
      </c>
      <c r="D418" t="str">
        <f>'906MP'!P118</f>
        <v>módosított ei</v>
      </c>
      <c r="E418">
        <f>'906MP'!X118</f>
        <v>-30420</v>
      </c>
      <c r="F418" t="str">
        <f t="shared" si="124"/>
        <v>05</v>
      </c>
      <c r="G418" t="str">
        <f t="shared" si="125"/>
        <v>051</v>
      </c>
      <c r="H418" t="str">
        <f>'906MP'!Y118</f>
        <v>0511011</v>
      </c>
      <c r="I418" t="str">
        <f>'906MP'!AK118</f>
        <v>2025/MEI-731113/51</v>
      </c>
      <c r="J418" t="str">
        <f>'906MP'!T118</f>
        <v>(KÖT)</v>
      </c>
      <c r="K418" t="str">
        <f>'906MP'!AJ118</f>
        <v/>
      </c>
      <c r="L418" t="str">
        <f>'906MP'!U118</f>
        <v>11100</v>
      </c>
      <c r="M418" s="322" t="str">
        <f>IFERROR(VLOOKUP(A418,PAR!$D$3:$E$53,2,FALSE),"nincs szervezet")</f>
        <v>Nagymaros Város Önkormányzata</v>
      </c>
      <c r="N418" s="322" t="str">
        <f>VLOOKUP(F418,PAR!$R$3:$S$5,2,FALSE)</f>
        <v>2 - Kiadás</v>
      </c>
      <c r="O418" t="str">
        <f>IFERROR(VLOOKUP(J418,PAR!$O$3:$P$5,2,FALSE),"nincs feladat")</f>
        <v>1 - (KÖT)</v>
      </c>
      <c r="P418" t="str">
        <f>IFERROR(VLOOKUP(G418,PAR!$J$2:$M$19,4),"nincs rovat")</f>
        <v>K1 - Személyi juttatások</v>
      </c>
      <c r="Q418" t="str">
        <f>IF(H418&gt;0,VLOOKUP(H418,PAR!$AA$3:$AC$187,3,FALSE),"nincs főkönyvi számla")</f>
        <v>0511011 -  Törvény szerinti illetmények, munkabérek előirányzata</v>
      </c>
      <c r="R418" t="str">
        <f>IFERROR(VLOOKUP(K418,PAR!$V$3:$X$438,3,FALSE),"000000 - Nincs COFOG")</f>
        <v>000000 - Nincs COFOG</v>
      </c>
      <c r="S418">
        <f t="shared" si="126"/>
        <v>-30420</v>
      </c>
      <c r="T418">
        <f t="shared" si="127"/>
        <v>-30420</v>
      </c>
      <c r="U418" t="str">
        <f>IF('906MP'!J118&gt;0,CONCATENATE('906MP'!J118," - ",'906MP'!P118,", ",'906MP'!E118),"nincs megjegyzés")</f>
        <v>2025-06-01 - módosított ei, 2025/MEI-731113/51</v>
      </c>
      <c r="V418" t="str">
        <f t="shared" si="114"/>
        <v>60P731113051</v>
      </c>
      <c r="W418" t="str">
        <f t="shared" si="115"/>
        <v>60P73111305</v>
      </c>
      <c r="X418" t="str">
        <f t="shared" si="116"/>
        <v>P7311130511011</v>
      </c>
      <c r="Y418" t="str">
        <f t="shared" si="117"/>
        <v>600511011</v>
      </c>
      <c r="Z418" t="str">
        <f t="shared" si="128"/>
        <v>(KÖT)0511011</v>
      </c>
      <c r="AA418" t="str">
        <f t="shared" si="118"/>
        <v>60051</v>
      </c>
      <c r="AB418" t="str">
        <f t="shared" si="119"/>
        <v>(KÖT)051</v>
      </c>
      <c r="AC418" t="str">
        <f t="shared" si="120"/>
        <v>60P7311130511011</v>
      </c>
      <c r="AD418" t="str">
        <f t="shared" si="121"/>
        <v>P7311130511011(KÖT)</v>
      </c>
      <c r="AE418" t="str">
        <f t="shared" si="122"/>
        <v>60P731113051</v>
      </c>
      <c r="AF418" t="str">
        <f t="shared" si="123"/>
        <v>P731113051(KÖT)</v>
      </c>
      <c r="AG418" t="str">
        <f t="shared" si="129"/>
        <v>60P731113051101111100</v>
      </c>
      <c r="AH418" t="str">
        <f t="shared" si="130"/>
        <v>P731113(KÖT)051101111100</v>
      </c>
      <c r="AI418" t="str">
        <f t="shared" si="131"/>
        <v>60P73111305111100</v>
      </c>
      <c r="AJ418" t="str">
        <f t="shared" si="132"/>
        <v>P731113051(KÖT)11100</v>
      </c>
    </row>
    <row r="419" spans="1:36" x14ac:dyDescent="0.25">
      <c r="A419" s="325" t="str">
        <f>CONCATENATE("P",'906MP'!M119)</f>
        <v>P654449</v>
      </c>
      <c r="B419">
        <f>'906MP'!H119</f>
        <v>61</v>
      </c>
      <c r="C419" t="str">
        <f>'906MP'!J119</f>
        <v>2025-01-01</v>
      </c>
      <c r="D419" t="str">
        <f>'906MP'!P119</f>
        <v>eredeti ei</v>
      </c>
      <c r="E419">
        <f>'906MP'!X119</f>
        <v>-34992000</v>
      </c>
      <c r="F419" t="str">
        <f t="shared" si="124"/>
        <v>09</v>
      </c>
      <c r="G419" t="str">
        <f t="shared" si="125"/>
        <v>094</v>
      </c>
      <c r="H419" t="str">
        <f>'906MP'!Y119</f>
        <v>094051</v>
      </c>
      <c r="I419" t="str">
        <f>'906MP'!AK119</f>
        <v>2025/EEI-654449/2</v>
      </c>
      <c r="J419" t="str">
        <f>'906MP'!T119</f>
        <v>(ÖNV)</v>
      </c>
      <c r="K419" t="str">
        <f>'906MP'!AJ119</f>
        <v/>
      </c>
      <c r="L419" t="str">
        <f>'906MP'!U119</f>
        <v>95100</v>
      </c>
      <c r="M419" s="322" t="str">
        <f>IFERROR(VLOOKUP(A419,PAR!$D$3:$E$53,2,FALSE),"nincs szervezet")</f>
        <v>Gondozási Központ</v>
      </c>
      <c r="N419" s="322" t="str">
        <f>VLOOKUP(F419,PAR!$R$3:$S$5,2,FALSE)</f>
        <v>1 - Bevétel</v>
      </c>
      <c r="O419" t="str">
        <f>IFERROR(VLOOKUP(J419,PAR!$O$3:$P$5,2,FALSE),"nincs feladat")</f>
        <v>2 - (ÖNV)</v>
      </c>
      <c r="P419" t="str">
        <f>IFERROR(VLOOKUP(G419,PAR!$J$2:$M$19,4),"nincs rovat")</f>
        <v>B4 - Működési bevételek</v>
      </c>
      <c r="Q419" t="str">
        <f>IF(H419&gt;0,VLOOKUP(H419,PAR!$AA$3:$AC$187,3,FALSE),"nincs főkönyvi számla")</f>
        <v>094051 -  Ellátási díjak előirányzata</v>
      </c>
      <c r="R419" t="str">
        <f>IFERROR(VLOOKUP(K419,PAR!$V$3:$X$438,3,FALSE),"000000 - Nincs COFOG")</f>
        <v>000000 - Nincs COFOG</v>
      </c>
      <c r="S419">
        <f t="shared" si="126"/>
        <v>-34992000</v>
      </c>
      <c r="T419">
        <f t="shared" si="127"/>
        <v>34992000</v>
      </c>
      <c r="U419" t="str">
        <f>IF('906MP'!J119&gt;0,CONCATENATE('906MP'!J119," - ",'906MP'!P119,", ",'906MP'!E119),"nincs megjegyzés")</f>
        <v>2025-01-01 - eredeti ei, 2025/EEI-654449/2</v>
      </c>
      <c r="V419" t="str">
        <f t="shared" si="114"/>
        <v>61P654449094</v>
      </c>
      <c r="W419" t="str">
        <f t="shared" si="115"/>
        <v>61P65444909</v>
      </c>
      <c r="X419" t="str">
        <f t="shared" si="116"/>
        <v>P654449094051</v>
      </c>
      <c r="Y419" t="str">
        <f t="shared" si="117"/>
        <v>61094051</v>
      </c>
      <c r="Z419" t="str">
        <f t="shared" si="128"/>
        <v>(ÖNV)094051</v>
      </c>
      <c r="AA419" t="str">
        <f t="shared" si="118"/>
        <v>61094</v>
      </c>
      <c r="AB419" t="str">
        <f t="shared" si="119"/>
        <v>(ÖNV)094</v>
      </c>
      <c r="AC419" t="str">
        <f t="shared" si="120"/>
        <v>61P654449094051</v>
      </c>
      <c r="AD419" t="str">
        <f t="shared" si="121"/>
        <v>P654449094051(ÖNV)</v>
      </c>
      <c r="AE419" t="str">
        <f t="shared" si="122"/>
        <v>61P654449094</v>
      </c>
      <c r="AF419" t="str">
        <f t="shared" si="123"/>
        <v>P654449094(ÖNV)</v>
      </c>
      <c r="AG419" t="str">
        <f t="shared" si="129"/>
        <v>61P65444909405195100</v>
      </c>
      <c r="AH419" t="str">
        <f t="shared" si="130"/>
        <v>P654449(ÖNV)09405195100</v>
      </c>
      <c r="AI419" t="str">
        <f t="shared" si="131"/>
        <v>61P65444909495100</v>
      </c>
      <c r="AJ419" t="str">
        <f t="shared" si="132"/>
        <v>P654449094(ÖNV)95100</v>
      </c>
    </row>
    <row r="420" spans="1:36" x14ac:dyDescent="0.25">
      <c r="A420" s="325" t="str">
        <f>CONCATENATE("P",'906MP'!M120)</f>
        <v>P654449</v>
      </c>
      <c r="B420">
        <f>'906MP'!H120</f>
        <v>61</v>
      </c>
      <c r="C420" t="str">
        <f>'906MP'!J120</f>
        <v>2025-01-01</v>
      </c>
      <c r="D420" t="str">
        <f>'906MP'!P120</f>
        <v>eredeti ei</v>
      </c>
      <c r="E420">
        <f>'906MP'!X120</f>
        <v>-2449440</v>
      </c>
      <c r="F420" t="str">
        <f t="shared" si="124"/>
        <v>09</v>
      </c>
      <c r="G420" t="str">
        <f t="shared" si="125"/>
        <v>094</v>
      </c>
      <c r="H420" t="str">
        <f>'906MP'!Y120</f>
        <v>094061</v>
      </c>
      <c r="I420" t="str">
        <f>'906MP'!AK120</f>
        <v>2025/EEI-654449/2</v>
      </c>
      <c r="J420" t="str">
        <f>'906MP'!T120</f>
        <v>(ÖNV)</v>
      </c>
      <c r="K420" t="str">
        <f>'906MP'!AJ120</f>
        <v/>
      </c>
      <c r="L420" t="str">
        <f>'906MP'!U120</f>
        <v>95100</v>
      </c>
      <c r="M420" s="322" t="str">
        <f>IFERROR(VLOOKUP(A420,PAR!$D$3:$E$53,2,FALSE),"nincs szervezet")</f>
        <v>Gondozási Központ</v>
      </c>
      <c r="N420" s="322" t="str">
        <f>VLOOKUP(F420,PAR!$R$3:$S$5,2,FALSE)</f>
        <v>1 - Bevétel</v>
      </c>
      <c r="O420" t="str">
        <f>IFERROR(VLOOKUP(J420,PAR!$O$3:$P$5,2,FALSE),"nincs feladat")</f>
        <v>2 - (ÖNV)</v>
      </c>
      <c r="P420" t="str">
        <f>IFERROR(VLOOKUP(G420,PAR!$J$2:$M$19,4),"nincs rovat")</f>
        <v>B4 - Működési bevételek</v>
      </c>
      <c r="Q420" t="str">
        <f>IF(H420&gt;0,VLOOKUP(H420,PAR!$AA$3:$AC$187,3,FALSE),"nincs főkönyvi számla")</f>
        <v>094061 -  Kiszámlázott általános forgalmi adó előirányzata</v>
      </c>
      <c r="R420" t="str">
        <f>IFERROR(VLOOKUP(K420,PAR!$V$3:$X$438,3,FALSE),"000000 - Nincs COFOG")</f>
        <v>000000 - Nincs COFOG</v>
      </c>
      <c r="S420">
        <f t="shared" si="126"/>
        <v>-2449440</v>
      </c>
      <c r="T420">
        <f t="shared" si="127"/>
        <v>2449440</v>
      </c>
      <c r="U420" t="str">
        <f>IF('906MP'!J120&gt;0,CONCATENATE('906MP'!J120," - ",'906MP'!P120,", ",'906MP'!E120),"nincs megjegyzés")</f>
        <v>2025-01-01 - eredeti ei, 2025/EEI-654449/2</v>
      </c>
      <c r="V420" t="str">
        <f t="shared" si="114"/>
        <v>61P654449094</v>
      </c>
      <c r="W420" t="str">
        <f t="shared" si="115"/>
        <v>61P65444909</v>
      </c>
      <c r="X420" t="str">
        <f t="shared" si="116"/>
        <v>P654449094061</v>
      </c>
      <c r="Y420" t="str">
        <f t="shared" si="117"/>
        <v>61094061</v>
      </c>
      <c r="Z420" t="str">
        <f t="shared" si="128"/>
        <v>(ÖNV)094061</v>
      </c>
      <c r="AA420" t="str">
        <f t="shared" si="118"/>
        <v>61094</v>
      </c>
      <c r="AB420" t="str">
        <f t="shared" si="119"/>
        <v>(ÖNV)094</v>
      </c>
      <c r="AC420" t="str">
        <f t="shared" si="120"/>
        <v>61P654449094061</v>
      </c>
      <c r="AD420" t="str">
        <f t="shared" si="121"/>
        <v>P654449094061(ÖNV)</v>
      </c>
      <c r="AE420" t="str">
        <f t="shared" si="122"/>
        <v>61P654449094</v>
      </c>
      <c r="AF420" t="str">
        <f t="shared" si="123"/>
        <v>P654449094(ÖNV)</v>
      </c>
      <c r="AG420" t="str">
        <f t="shared" si="129"/>
        <v>61P65444909406195100</v>
      </c>
      <c r="AH420" t="str">
        <f t="shared" si="130"/>
        <v>P654449(ÖNV)09406195100</v>
      </c>
      <c r="AI420" t="str">
        <f t="shared" si="131"/>
        <v>61P65444909495100</v>
      </c>
      <c r="AJ420" t="str">
        <f t="shared" si="132"/>
        <v>P654449094(ÖNV)95100</v>
      </c>
    </row>
    <row r="421" spans="1:36" x14ac:dyDescent="0.25">
      <c r="A421" s="325" t="str">
        <f>CONCATENATE("P",'906MP'!M121)</f>
        <v>P654449</v>
      </c>
      <c r="B421">
        <f>'906MP'!H121</f>
        <v>61</v>
      </c>
      <c r="C421" t="str">
        <f>'906MP'!J121</f>
        <v>2025-01-01</v>
      </c>
      <c r="D421" t="str">
        <f>'906MP'!P121</f>
        <v>eredeti ei</v>
      </c>
      <c r="E421">
        <f>'906MP'!X121</f>
        <v>-2732096</v>
      </c>
      <c r="F421" t="str">
        <f t="shared" si="124"/>
        <v>09</v>
      </c>
      <c r="G421" t="str">
        <f t="shared" si="125"/>
        <v>098</v>
      </c>
      <c r="H421" t="str">
        <f>'906MP'!Y121</f>
        <v>0981311</v>
      </c>
      <c r="I421" t="str">
        <f>'906MP'!AK121</f>
        <v>2025/EEI-654449/2</v>
      </c>
      <c r="J421" t="str">
        <f>'906MP'!T121</f>
        <v>(ÖNV)</v>
      </c>
      <c r="K421" t="str">
        <f>'906MP'!AJ121</f>
        <v/>
      </c>
      <c r="L421" t="str">
        <f>'906MP'!U121</f>
        <v>95100</v>
      </c>
      <c r="M421" s="322" t="str">
        <f>IFERROR(VLOOKUP(A421,PAR!$D$3:$E$53,2,FALSE),"nincs szervezet")</f>
        <v>Gondozási Központ</v>
      </c>
      <c r="N421" s="322" t="str">
        <f>VLOOKUP(F421,PAR!$R$3:$S$5,2,FALSE)</f>
        <v>1 - Bevétel</v>
      </c>
      <c r="O421" t="str">
        <f>IFERROR(VLOOKUP(J421,PAR!$O$3:$P$5,2,FALSE),"nincs feladat")</f>
        <v>2 - (ÖNV)</v>
      </c>
      <c r="P421" t="str">
        <f>IFERROR(VLOOKUP(G421,PAR!$J$2:$M$19,4),"nincs rovat")</f>
        <v>B8 - Finanszírozási bevételek</v>
      </c>
      <c r="Q421" t="str">
        <f>IF(H421&gt;0,VLOOKUP(H421,PAR!$AA$3:$AC$187,3,FALSE),"nincs főkönyvi számla")</f>
        <v>0981311 -  Előző év költségvetési maradványának igénybevétele előirányzata</v>
      </c>
      <c r="R421" t="str">
        <f>IFERROR(VLOOKUP(K421,PAR!$V$3:$X$438,3,FALSE),"000000 - Nincs COFOG")</f>
        <v>000000 - Nincs COFOG</v>
      </c>
      <c r="S421">
        <f t="shared" si="126"/>
        <v>-2732096</v>
      </c>
      <c r="T421">
        <f t="shared" si="127"/>
        <v>2732096</v>
      </c>
      <c r="U421" t="str">
        <f>IF('906MP'!J121&gt;0,CONCATENATE('906MP'!J121," - ",'906MP'!P121,", ",'906MP'!E121),"nincs megjegyzés")</f>
        <v>2025-01-01 - eredeti ei, 2025/EEI-654449/2</v>
      </c>
      <c r="V421" t="str">
        <f t="shared" si="114"/>
        <v>61P654449098</v>
      </c>
      <c r="W421" t="str">
        <f t="shared" si="115"/>
        <v>61P65444909</v>
      </c>
      <c r="X421" t="str">
        <f t="shared" si="116"/>
        <v>P6544490981311</v>
      </c>
      <c r="Y421" t="str">
        <f t="shared" si="117"/>
        <v>610981311</v>
      </c>
      <c r="Z421" t="str">
        <f t="shared" si="128"/>
        <v>(ÖNV)0981311</v>
      </c>
      <c r="AA421" t="str">
        <f t="shared" si="118"/>
        <v>61098</v>
      </c>
      <c r="AB421" t="str">
        <f t="shared" si="119"/>
        <v>(ÖNV)098</v>
      </c>
      <c r="AC421" t="str">
        <f t="shared" si="120"/>
        <v>61P6544490981311</v>
      </c>
      <c r="AD421" t="str">
        <f t="shared" si="121"/>
        <v>P6544490981311(ÖNV)</v>
      </c>
      <c r="AE421" t="str">
        <f t="shared" si="122"/>
        <v>61P654449098</v>
      </c>
      <c r="AF421" t="str">
        <f t="shared" si="123"/>
        <v>P654449098(ÖNV)</v>
      </c>
      <c r="AG421" t="str">
        <f t="shared" si="129"/>
        <v>61P654449098131195100</v>
      </c>
      <c r="AH421" t="str">
        <f t="shared" si="130"/>
        <v>P654449(ÖNV)098131195100</v>
      </c>
      <c r="AI421" t="str">
        <f t="shared" si="131"/>
        <v>61P65444909895100</v>
      </c>
      <c r="AJ421" t="str">
        <f t="shared" si="132"/>
        <v>P654449098(ÖNV)95100</v>
      </c>
    </row>
    <row r="422" spans="1:36" x14ac:dyDescent="0.25">
      <c r="A422" s="325" t="str">
        <f>CONCATENATE("P",'906MP'!M122)</f>
        <v>P654449</v>
      </c>
      <c r="B422">
        <f>'906MP'!H122</f>
        <v>61</v>
      </c>
      <c r="C422" t="str">
        <f>'906MP'!J122</f>
        <v>2025-01-01</v>
      </c>
      <c r="D422" t="str">
        <f>'906MP'!P122</f>
        <v>eredeti ei</v>
      </c>
      <c r="E422">
        <f>'906MP'!X122</f>
        <v>-88685185</v>
      </c>
      <c r="F422" t="str">
        <f t="shared" si="124"/>
        <v>09</v>
      </c>
      <c r="G422" t="str">
        <f t="shared" si="125"/>
        <v>098</v>
      </c>
      <c r="H422" t="str">
        <f>'906MP'!Y122</f>
        <v>098161</v>
      </c>
      <c r="I422" t="str">
        <f>'906MP'!AK122</f>
        <v>2025/EEI-654449/2</v>
      </c>
      <c r="J422" t="str">
        <f>'906MP'!T122</f>
        <v>(ÖNV)</v>
      </c>
      <c r="K422" t="str">
        <f>'906MP'!AJ122</f>
        <v/>
      </c>
      <c r="L422" t="str">
        <f>'906MP'!U122</f>
        <v>95100</v>
      </c>
      <c r="M422" s="322" t="str">
        <f>IFERROR(VLOOKUP(A422,PAR!$D$3:$E$53,2,FALSE),"nincs szervezet")</f>
        <v>Gondozási Központ</v>
      </c>
      <c r="N422" s="322" t="str">
        <f>VLOOKUP(F422,PAR!$R$3:$S$5,2,FALSE)</f>
        <v>1 - Bevétel</v>
      </c>
      <c r="O422" t="str">
        <f>IFERROR(VLOOKUP(J422,PAR!$O$3:$P$5,2,FALSE),"nincs feladat")</f>
        <v>2 - (ÖNV)</v>
      </c>
      <c r="P422" t="str">
        <f>IFERROR(VLOOKUP(G422,PAR!$J$2:$M$19,4),"nincs rovat")</f>
        <v>B8 - Finanszírozási bevételek</v>
      </c>
      <c r="Q422" t="str">
        <f>IF(H422&gt;0,VLOOKUP(H422,PAR!$AA$3:$AC$187,3,FALSE),"nincs főkönyvi számla")</f>
        <v>098161 -  Központi, irányító szervi támogatás előirányzata</v>
      </c>
      <c r="R422" t="str">
        <f>IFERROR(VLOOKUP(K422,PAR!$V$3:$X$438,3,FALSE),"000000 - Nincs COFOG")</f>
        <v>000000 - Nincs COFOG</v>
      </c>
      <c r="S422">
        <f t="shared" si="126"/>
        <v>-88685185</v>
      </c>
      <c r="T422">
        <f t="shared" si="127"/>
        <v>88685185</v>
      </c>
      <c r="U422" t="str">
        <f>IF('906MP'!J122&gt;0,CONCATENATE('906MP'!J122," - ",'906MP'!P122,", ",'906MP'!E122),"nincs megjegyzés")</f>
        <v>2025-01-01 - eredeti ei, 2025/EEI-654449/2</v>
      </c>
      <c r="V422" t="str">
        <f t="shared" si="114"/>
        <v>61P654449098</v>
      </c>
      <c r="W422" t="str">
        <f t="shared" si="115"/>
        <v>61P65444909</v>
      </c>
      <c r="X422" t="str">
        <f t="shared" si="116"/>
        <v>P654449098161</v>
      </c>
      <c r="Y422" t="str">
        <f t="shared" si="117"/>
        <v>61098161</v>
      </c>
      <c r="Z422" t="str">
        <f t="shared" si="128"/>
        <v>(ÖNV)098161</v>
      </c>
      <c r="AA422" t="str">
        <f t="shared" si="118"/>
        <v>61098</v>
      </c>
      <c r="AB422" t="str">
        <f t="shared" si="119"/>
        <v>(ÖNV)098</v>
      </c>
      <c r="AC422" t="str">
        <f t="shared" si="120"/>
        <v>61P654449098161</v>
      </c>
      <c r="AD422" t="str">
        <f t="shared" si="121"/>
        <v>P654449098161(ÖNV)</v>
      </c>
      <c r="AE422" t="str">
        <f t="shared" si="122"/>
        <v>61P654449098</v>
      </c>
      <c r="AF422" t="str">
        <f t="shared" si="123"/>
        <v>P654449098(ÖNV)</v>
      </c>
      <c r="AG422" t="str">
        <f t="shared" si="129"/>
        <v>61P65444909816195100</v>
      </c>
      <c r="AH422" t="str">
        <f t="shared" si="130"/>
        <v>P654449(ÖNV)09816195100</v>
      </c>
      <c r="AI422" t="str">
        <f t="shared" si="131"/>
        <v>61P65444909895100</v>
      </c>
      <c r="AJ422" t="str">
        <f t="shared" si="132"/>
        <v>P654449098(ÖNV)95100</v>
      </c>
    </row>
    <row r="423" spans="1:36" x14ac:dyDescent="0.25">
      <c r="A423" s="325" t="str">
        <f>CONCATENATE("P",'906MP'!M123)</f>
        <v>P654449</v>
      </c>
      <c r="B423">
        <f>'906MP'!H123</f>
        <v>60</v>
      </c>
      <c r="C423" t="str">
        <f>'906MP'!J123</f>
        <v>2025-01-01</v>
      </c>
      <c r="D423" t="str">
        <f>'906MP'!P123</f>
        <v>módosított ei</v>
      </c>
      <c r="E423">
        <f>'906MP'!X123</f>
        <v>129160</v>
      </c>
      <c r="F423" t="str">
        <f t="shared" si="124"/>
        <v>05</v>
      </c>
      <c r="G423" t="str">
        <f t="shared" si="125"/>
        <v>051</v>
      </c>
      <c r="H423" t="str">
        <f>'906MP'!Y123</f>
        <v>0511131</v>
      </c>
      <c r="I423" t="str">
        <f>'906MP'!AK123</f>
        <v>2025/MEI-654449/1</v>
      </c>
      <c r="J423" t="str">
        <f>'906MP'!T123</f>
        <v>(ÖNV)</v>
      </c>
      <c r="K423" t="str">
        <f>'906MP'!AJ123</f>
        <v/>
      </c>
      <c r="L423" t="str">
        <f>'906MP'!U123</f>
        <v>15100</v>
      </c>
      <c r="M423" s="322" t="str">
        <f>IFERROR(VLOOKUP(A423,PAR!$D$3:$E$53,2,FALSE),"nincs szervezet")</f>
        <v>Gondozási Központ</v>
      </c>
      <c r="N423" s="322" t="str">
        <f>VLOOKUP(F423,PAR!$R$3:$S$5,2,FALSE)</f>
        <v>2 - Kiadás</v>
      </c>
      <c r="O423" t="str">
        <f>IFERROR(VLOOKUP(J423,PAR!$O$3:$P$5,2,FALSE),"nincs feladat")</f>
        <v>2 - (ÖNV)</v>
      </c>
      <c r="P423" t="str">
        <f>IFERROR(VLOOKUP(G423,PAR!$J$2:$M$19,4),"nincs rovat")</f>
        <v>K1 - Személyi juttatások</v>
      </c>
      <c r="Q423" t="str">
        <f>IF(H423&gt;0,VLOOKUP(H423,PAR!$AA$3:$AC$187,3,FALSE),"nincs főkönyvi számla")</f>
        <v>0511131 -  Foglalkoztatottak egyéb személyi juttatásai előirányzata</v>
      </c>
      <c r="R423" t="str">
        <f>IFERROR(VLOOKUP(K423,PAR!$V$3:$X$438,3,FALSE),"000000 - Nincs COFOG")</f>
        <v>000000 - Nincs COFOG</v>
      </c>
      <c r="S423">
        <f t="shared" si="126"/>
        <v>129160</v>
      </c>
      <c r="T423">
        <f t="shared" si="127"/>
        <v>129160</v>
      </c>
      <c r="U423" t="str">
        <f>IF('906MP'!J123&gt;0,CONCATENATE('906MP'!J123," - ",'906MP'!P123,", ",'906MP'!E123),"nincs megjegyzés")</f>
        <v>2025-01-01 - módosított ei, 2025/MEI-654449/1</v>
      </c>
      <c r="V423" t="str">
        <f t="shared" si="114"/>
        <v>60P654449051</v>
      </c>
      <c r="W423" t="str">
        <f t="shared" si="115"/>
        <v>60P65444905</v>
      </c>
      <c r="X423" t="str">
        <f t="shared" si="116"/>
        <v>P6544490511131</v>
      </c>
      <c r="Y423" t="str">
        <f t="shared" si="117"/>
        <v>600511131</v>
      </c>
      <c r="Z423" t="str">
        <f t="shared" si="128"/>
        <v>(ÖNV)0511131</v>
      </c>
      <c r="AA423" t="str">
        <f t="shared" si="118"/>
        <v>60051</v>
      </c>
      <c r="AB423" t="str">
        <f t="shared" si="119"/>
        <v>(ÖNV)051</v>
      </c>
      <c r="AC423" t="str">
        <f t="shared" si="120"/>
        <v>60P6544490511131</v>
      </c>
      <c r="AD423" t="str">
        <f t="shared" si="121"/>
        <v>P6544490511131(ÖNV)</v>
      </c>
      <c r="AE423" t="str">
        <f t="shared" si="122"/>
        <v>60P654449051</v>
      </c>
      <c r="AF423" t="str">
        <f t="shared" si="123"/>
        <v>P654449051(ÖNV)</v>
      </c>
      <c r="AG423" t="str">
        <f t="shared" si="129"/>
        <v>60P654449051113115100</v>
      </c>
      <c r="AH423" t="str">
        <f t="shared" si="130"/>
        <v>P654449(ÖNV)051113115100</v>
      </c>
      <c r="AI423" t="str">
        <f t="shared" si="131"/>
        <v>60P65444905115100</v>
      </c>
      <c r="AJ423" t="str">
        <f t="shared" si="132"/>
        <v>P654449051(ÖNV)15100</v>
      </c>
    </row>
    <row r="424" spans="1:36" x14ac:dyDescent="0.25">
      <c r="A424" s="325" t="str">
        <f>CONCATENATE("P",'906MP'!M124)</f>
        <v>P654449</v>
      </c>
      <c r="B424">
        <f>'906MP'!H124</f>
        <v>60</v>
      </c>
      <c r="C424" t="str">
        <f>'906MP'!J124</f>
        <v>2025-01-01</v>
      </c>
      <c r="D424" t="str">
        <f>'906MP'!P124</f>
        <v>módosított ei</v>
      </c>
      <c r="E424">
        <f>'906MP'!X124</f>
        <v>-129160</v>
      </c>
      <c r="F424" t="str">
        <f t="shared" si="124"/>
        <v>05</v>
      </c>
      <c r="G424" t="str">
        <f t="shared" si="125"/>
        <v>051</v>
      </c>
      <c r="H424" t="str">
        <f>'906MP'!Y124</f>
        <v>0511011</v>
      </c>
      <c r="I424" t="str">
        <f>'906MP'!AK124</f>
        <v>2025/MEI-654449/1</v>
      </c>
      <c r="J424" t="str">
        <f>'906MP'!T124</f>
        <v>(ÖNV)</v>
      </c>
      <c r="K424" t="str">
        <f>'906MP'!AJ124</f>
        <v/>
      </c>
      <c r="L424" t="str">
        <f>'906MP'!U124</f>
        <v>15100</v>
      </c>
      <c r="M424" s="322" t="str">
        <f>IFERROR(VLOOKUP(A424,PAR!$D$3:$E$53,2,FALSE),"nincs szervezet")</f>
        <v>Gondozási Központ</v>
      </c>
      <c r="N424" s="322" t="str">
        <f>VLOOKUP(F424,PAR!$R$3:$S$5,2,FALSE)</f>
        <v>2 - Kiadás</v>
      </c>
      <c r="O424" t="str">
        <f>IFERROR(VLOOKUP(J424,PAR!$O$3:$P$5,2,FALSE),"nincs feladat")</f>
        <v>2 - (ÖNV)</v>
      </c>
      <c r="P424" t="str">
        <f>IFERROR(VLOOKUP(G424,PAR!$J$2:$M$19,4),"nincs rovat")</f>
        <v>K1 - Személyi juttatások</v>
      </c>
      <c r="Q424" t="str">
        <f>IF(H424&gt;0,VLOOKUP(H424,PAR!$AA$3:$AC$187,3,FALSE),"nincs főkönyvi számla")</f>
        <v>0511011 -  Törvény szerinti illetmények, munkabérek előirányzata</v>
      </c>
      <c r="R424" t="str">
        <f>IFERROR(VLOOKUP(K424,PAR!$V$3:$X$438,3,FALSE),"000000 - Nincs COFOG")</f>
        <v>000000 - Nincs COFOG</v>
      </c>
      <c r="S424">
        <f t="shared" si="126"/>
        <v>-129160</v>
      </c>
      <c r="T424">
        <f t="shared" si="127"/>
        <v>-129160</v>
      </c>
      <c r="U424" t="str">
        <f>IF('906MP'!J124&gt;0,CONCATENATE('906MP'!J124," - ",'906MP'!P124,", ",'906MP'!E124),"nincs megjegyzés")</f>
        <v>2025-01-01 - módosított ei, 2025/MEI-654449/1</v>
      </c>
      <c r="V424" t="str">
        <f t="shared" si="114"/>
        <v>60P654449051</v>
      </c>
      <c r="W424" t="str">
        <f t="shared" si="115"/>
        <v>60P65444905</v>
      </c>
      <c r="X424" t="str">
        <f t="shared" si="116"/>
        <v>P6544490511011</v>
      </c>
      <c r="Y424" t="str">
        <f t="shared" si="117"/>
        <v>600511011</v>
      </c>
      <c r="Z424" t="str">
        <f t="shared" si="128"/>
        <v>(ÖNV)0511011</v>
      </c>
      <c r="AA424" t="str">
        <f t="shared" si="118"/>
        <v>60051</v>
      </c>
      <c r="AB424" t="str">
        <f t="shared" si="119"/>
        <v>(ÖNV)051</v>
      </c>
      <c r="AC424" t="str">
        <f t="shared" si="120"/>
        <v>60P6544490511011</v>
      </c>
      <c r="AD424" t="str">
        <f t="shared" si="121"/>
        <v>P6544490511011(ÖNV)</v>
      </c>
      <c r="AE424" t="str">
        <f t="shared" si="122"/>
        <v>60P654449051</v>
      </c>
      <c r="AF424" t="str">
        <f t="shared" si="123"/>
        <v>P654449051(ÖNV)</v>
      </c>
      <c r="AG424" t="str">
        <f t="shared" si="129"/>
        <v>60P654449051101115100</v>
      </c>
      <c r="AH424" t="str">
        <f t="shared" si="130"/>
        <v>P654449(ÖNV)051101115100</v>
      </c>
      <c r="AI424" t="str">
        <f t="shared" si="131"/>
        <v>60P65444905115100</v>
      </c>
      <c r="AJ424" t="str">
        <f t="shared" si="132"/>
        <v>P654449051(ÖNV)15100</v>
      </c>
    </row>
    <row r="425" spans="1:36" x14ac:dyDescent="0.25">
      <c r="A425" s="325" t="str">
        <f>CONCATENATE("P",'906MP'!M125)</f>
        <v>P731113</v>
      </c>
      <c r="B425">
        <f>'906MP'!H125</f>
        <v>60</v>
      </c>
      <c r="C425" t="str">
        <f>'906MP'!J125</f>
        <v>2025-01-01</v>
      </c>
      <c r="D425" t="str">
        <f>'906MP'!P125</f>
        <v>módosított ei</v>
      </c>
      <c r="E425">
        <f>'906MP'!X125</f>
        <v>1000000</v>
      </c>
      <c r="F425" t="str">
        <f t="shared" si="124"/>
        <v>05</v>
      </c>
      <c r="G425" t="str">
        <f t="shared" si="125"/>
        <v>053</v>
      </c>
      <c r="H425" t="str">
        <f>'906MP'!Y125</f>
        <v>053221</v>
      </c>
      <c r="I425" t="str">
        <f>'906MP'!AK125</f>
        <v>2025/MEI-731113/15</v>
      </c>
      <c r="J425" t="str">
        <f>'906MP'!T125</f>
        <v>(KÖT)</v>
      </c>
      <c r="K425" t="str">
        <f>'906MP'!AJ125</f>
        <v/>
      </c>
      <c r="L425" t="str">
        <f>'906MP'!U125</f>
        <v>11100</v>
      </c>
      <c r="M425" s="322" t="str">
        <f>IFERROR(VLOOKUP(A425,PAR!$D$3:$E$53,2,FALSE),"nincs szervezet")</f>
        <v>Nagymaros Város Önkormányzata</v>
      </c>
      <c r="N425" s="322" t="str">
        <f>VLOOKUP(F425,PAR!$R$3:$S$5,2,FALSE)</f>
        <v>2 - Kiadás</v>
      </c>
      <c r="O425" t="str">
        <f>IFERROR(VLOOKUP(J425,PAR!$O$3:$P$5,2,FALSE),"nincs feladat")</f>
        <v>1 - (KÖT)</v>
      </c>
      <c r="P425" t="str">
        <f>IFERROR(VLOOKUP(G425,PAR!$J$2:$M$19,4),"nincs rovat")</f>
        <v>K3 - Dologi kiadások</v>
      </c>
      <c r="Q425" t="str">
        <f>IF(H425&gt;0,VLOOKUP(H425,PAR!$AA$3:$AC$187,3,FALSE),"nincs főkönyvi számla")</f>
        <v>053221 -  Egyéb kommunikációs szolgáltatások előirányzata</v>
      </c>
      <c r="R425" t="str">
        <f>IFERROR(VLOOKUP(K425,PAR!$V$3:$X$438,3,FALSE),"000000 - Nincs COFOG")</f>
        <v>000000 - Nincs COFOG</v>
      </c>
      <c r="S425">
        <f t="shared" si="126"/>
        <v>1000000</v>
      </c>
      <c r="T425">
        <f t="shared" si="127"/>
        <v>1000000</v>
      </c>
      <c r="U425" t="str">
        <f>IF('906MP'!J125&gt;0,CONCATENATE('906MP'!J125," - ",'906MP'!P125,", ",'906MP'!E125),"nincs megjegyzés")</f>
        <v>2025-01-01 - módosított ei, 2025/MEI-731113/15</v>
      </c>
      <c r="V425" t="str">
        <f t="shared" si="114"/>
        <v>60P731113053</v>
      </c>
      <c r="W425" t="str">
        <f t="shared" si="115"/>
        <v>60P73111305</v>
      </c>
      <c r="X425" t="str">
        <f t="shared" si="116"/>
        <v>P731113053221</v>
      </c>
      <c r="Y425" t="str">
        <f t="shared" si="117"/>
        <v>60053221</v>
      </c>
      <c r="Z425" t="str">
        <f t="shared" si="128"/>
        <v>(KÖT)053221</v>
      </c>
      <c r="AA425" t="str">
        <f t="shared" si="118"/>
        <v>60053</v>
      </c>
      <c r="AB425" t="str">
        <f t="shared" si="119"/>
        <v>(KÖT)053</v>
      </c>
      <c r="AC425" t="str">
        <f t="shared" si="120"/>
        <v>60P731113053221</v>
      </c>
      <c r="AD425" t="str">
        <f t="shared" si="121"/>
        <v>P731113053221(KÖT)</v>
      </c>
      <c r="AE425" t="str">
        <f t="shared" si="122"/>
        <v>60P731113053</v>
      </c>
      <c r="AF425" t="str">
        <f t="shared" si="123"/>
        <v>P731113053(KÖT)</v>
      </c>
      <c r="AG425" t="str">
        <f t="shared" si="129"/>
        <v>60P73111305322111100</v>
      </c>
      <c r="AH425" t="str">
        <f t="shared" si="130"/>
        <v>P731113(KÖT)05322111100</v>
      </c>
      <c r="AI425" t="str">
        <f t="shared" si="131"/>
        <v>60P73111305311100</v>
      </c>
      <c r="AJ425" t="str">
        <f t="shared" si="132"/>
        <v>P731113053(KÖT)11100</v>
      </c>
    </row>
    <row r="426" spans="1:36" x14ac:dyDescent="0.25">
      <c r="A426" s="325" t="str">
        <f>CONCATENATE("P",'906MP'!M126)</f>
        <v>P731113</v>
      </c>
      <c r="B426">
        <f>'906MP'!H126</f>
        <v>60</v>
      </c>
      <c r="C426" t="str">
        <f>'906MP'!J126</f>
        <v>2025-01-01</v>
      </c>
      <c r="D426" t="str">
        <f>'906MP'!P126</f>
        <v>módosított ei</v>
      </c>
      <c r="E426">
        <f>'906MP'!X126</f>
        <v>900000</v>
      </c>
      <c r="F426" t="str">
        <f t="shared" si="124"/>
        <v>05</v>
      </c>
      <c r="G426" t="str">
        <f t="shared" si="125"/>
        <v>053</v>
      </c>
      <c r="H426" t="str">
        <f>'906MP'!Y126</f>
        <v>053411</v>
      </c>
      <c r="I426" t="str">
        <f>'906MP'!AK126</f>
        <v>2025/MEI-731113/15</v>
      </c>
      <c r="J426" t="str">
        <f>'906MP'!T126</f>
        <v>(KÖT)</v>
      </c>
      <c r="K426" t="str">
        <f>'906MP'!AJ126</f>
        <v/>
      </c>
      <c r="L426" t="str">
        <f>'906MP'!U126</f>
        <v>11100</v>
      </c>
      <c r="M426" s="322" t="str">
        <f>IFERROR(VLOOKUP(A426,PAR!$D$3:$E$53,2,FALSE),"nincs szervezet")</f>
        <v>Nagymaros Város Önkormányzata</v>
      </c>
      <c r="N426" s="322" t="str">
        <f>VLOOKUP(F426,PAR!$R$3:$S$5,2,FALSE)</f>
        <v>2 - Kiadás</v>
      </c>
      <c r="O426" t="str">
        <f>IFERROR(VLOOKUP(J426,PAR!$O$3:$P$5,2,FALSE),"nincs feladat")</f>
        <v>1 - (KÖT)</v>
      </c>
      <c r="P426" t="str">
        <f>IFERROR(VLOOKUP(G426,PAR!$J$2:$M$19,4),"nincs rovat")</f>
        <v>K3 - Dologi kiadások</v>
      </c>
      <c r="Q426" t="str">
        <f>IF(H426&gt;0,VLOOKUP(H426,PAR!$AA$3:$AC$187,3,FALSE),"nincs főkönyvi számla")</f>
        <v>053411 -  Kiküldetések kiadásai előirányzata</v>
      </c>
      <c r="R426" t="str">
        <f>IFERROR(VLOOKUP(K426,PAR!$V$3:$X$438,3,FALSE),"000000 - Nincs COFOG")</f>
        <v>000000 - Nincs COFOG</v>
      </c>
      <c r="S426">
        <f t="shared" si="126"/>
        <v>900000</v>
      </c>
      <c r="T426">
        <f t="shared" si="127"/>
        <v>900000</v>
      </c>
      <c r="U426" t="str">
        <f>IF('906MP'!J126&gt;0,CONCATENATE('906MP'!J126," - ",'906MP'!P126,", ",'906MP'!E126),"nincs megjegyzés")</f>
        <v>2025-01-01 - módosított ei, 2025/MEI-731113/15</v>
      </c>
      <c r="V426" t="str">
        <f t="shared" si="114"/>
        <v>60P731113053</v>
      </c>
      <c r="W426" t="str">
        <f t="shared" si="115"/>
        <v>60P73111305</v>
      </c>
      <c r="X426" t="str">
        <f t="shared" si="116"/>
        <v>P731113053411</v>
      </c>
      <c r="Y426" t="str">
        <f t="shared" si="117"/>
        <v>60053411</v>
      </c>
      <c r="Z426" t="str">
        <f t="shared" si="128"/>
        <v>(KÖT)053411</v>
      </c>
      <c r="AA426" t="str">
        <f t="shared" si="118"/>
        <v>60053</v>
      </c>
      <c r="AB426" t="str">
        <f t="shared" si="119"/>
        <v>(KÖT)053</v>
      </c>
      <c r="AC426" t="str">
        <f t="shared" si="120"/>
        <v>60P731113053411</v>
      </c>
      <c r="AD426" t="str">
        <f t="shared" si="121"/>
        <v>P731113053411(KÖT)</v>
      </c>
      <c r="AE426" t="str">
        <f t="shared" si="122"/>
        <v>60P731113053</v>
      </c>
      <c r="AF426" t="str">
        <f t="shared" si="123"/>
        <v>P731113053(KÖT)</v>
      </c>
      <c r="AG426" t="str">
        <f t="shared" si="129"/>
        <v>60P73111305341111100</v>
      </c>
      <c r="AH426" t="str">
        <f t="shared" si="130"/>
        <v>P731113(KÖT)05341111100</v>
      </c>
      <c r="AI426" t="str">
        <f t="shared" si="131"/>
        <v>60P73111305311100</v>
      </c>
      <c r="AJ426" t="str">
        <f t="shared" si="132"/>
        <v>P731113053(KÖT)11100</v>
      </c>
    </row>
    <row r="427" spans="1:36" x14ac:dyDescent="0.25">
      <c r="A427" s="325" t="str">
        <f>CONCATENATE("P",'906MP'!M127)</f>
        <v>P731113</v>
      </c>
      <c r="B427">
        <f>'906MP'!H127</f>
        <v>60</v>
      </c>
      <c r="C427" t="str">
        <f>'906MP'!J127</f>
        <v>2025-01-01</v>
      </c>
      <c r="D427" t="str">
        <f>'906MP'!P127</f>
        <v>módosított ei</v>
      </c>
      <c r="E427">
        <f>'906MP'!X127</f>
        <v>-1900000</v>
      </c>
      <c r="F427" t="str">
        <f t="shared" si="124"/>
        <v>05</v>
      </c>
      <c r="G427" t="str">
        <f t="shared" si="125"/>
        <v>053</v>
      </c>
      <c r="H427" t="str">
        <f>'906MP'!Y127</f>
        <v>053371</v>
      </c>
      <c r="I427" t="str">
        <f>'906MP'!AK127</f>
        <v>2025/MEI-731113/15</v>
      </c>
      <c r="J427" t="str">
        <f>'906MP'!T127</f>
        <v>(KÖT)</v>
      </c>
      <c r="K427" t="str">
        <f>'906MP'!AJ127</f>
        <v/>
      </c>
      <c r="L427" t="str">
        <f>'906MP'!U127</f>
        <v>11100</v>
      </c>
      <c r="M427" s="322" t="str">
        <f>IFERROR(VLOOKUP(A427,PAR!$D$3:$E$53,2,FALSE),"nincs szervezet")</f>
        <v>Nagymaros Város Önkormányzata</v>
      </c>
      <c r="N427" s="322" t="str">
        <f>VLOOKUP(F427,PAR!$R$3:$S$5,2,FALSE)</f>
        <v>2 - Kiadás</v>
      </c>
      <c r="O427" t="str">
        <f>IFERROR(VLOOKUP(J427,PAR!$O$3:$P$5,2,FALSE),"nincs feladat")</f>
        <v>1 - (KÖT)</v>
      </c>
      <c r="P427" t="str">
        <f>IFERROR(VLOOKUP(G427,PAR!$J$2:$M$19,4),"nincs rovat")</f>
        <v>K3 - Dologi kiadások</v>
      </c>
      <c r="Q427" t="str">
        <f>IF(H427&gt;0,VLOOKUP(H427,PAR!$AA$3:$AC$187,3,FALSE),"nincs főkönyvi számla")</f>
        <v>053371 -  Egyéb szolgáltatások előirányzata</v>
      </c>
      <c r="R427" t="str">
        <f>IFERROR(VLOOKUP(K427,PAR!$V$3:$X$438,3,FALSE),"000000 - Nincs COFOG")</f>
        <v>000000 - Nincs COFOG</v>
      </c>
      <c r="S427">
        <f t="shared" si="126"/>
        <v>-1900000</v>
      </c>
      <c r="T427">
        <f t="shared" si="127"/>
        <v>-1900000</v>
      </c>
      <c r="U427" t="str">
        <f>IF('906MP'!J127&gt;0,CONCATENATE('906MP'!J127," - ",'906MP'!P127,", ",'906MP'!E127),"nincs megjegyzés")</f>
        <v>2025-01-01 - módosított ei, 2025/MEI-731113/15</v>
      </c>
      <c r="V427" t="str">
        <f t="shared" si="114"/>
        <v>60P731113053</v>
      </c>
      <c r="W427" t="str">
        <f t="shared" si="115"/>
        <v>60P73111305</v>
      </c>
      <c r="X427" t="str">
        <f t="shared" si="116"/>
        <v>P731113053371</v>
      </c>
      <c r="Y427" t="str">
        <f t="shared" si="117"/>
        <v>60053371</v>
      </c>
      <c r="Z427" t="str">
        <f t="shared" si="128"/>
        <v>(KÖT)053371</v>
      </c>
      <c r="AA427" t="str">
        <f t="shared" si="118"/>
        <v>60053</v>
      </c>
      <c r="AB427" t="str">
        <f t="shared" si="119"/>
        <v>(KÖT)053</v>
      </c>
      <c r="AC427" t="str">
        <f t="shared" si="120"/>
        <v>60P731113053371</v>
      </c>
      <c r="AD427" t="str">
        <f t="shared" si="121"/>
        <v>P731113053371(KÖT)</v>
      </c>
      <c r="AE427" t="str">
        <f t="shared" si="122"/>
        <v>60P731113053</v>
      </c>
      <c r="AF427" t="str">
        <f t="shared" si="123"/>
        <v>P731113053(KÖT)</v>
      </c>
      <c r="AG427" t="str">
        <f t="shared" si="129"/>
        <v>60P73111305337111100</v>
      </c>
      <c r="AH427" t="str">
        <f t="shared" si="130"/>
        <v>P731113(KÖT)05337111100</v>
      </c>
      <c r="AI427" t="str">
        <f t="shared" si="131"/>
        <v>60P73111305311100</v>
      </c>
      <c r="AJ427" t="str">
        <f t="shared" si="132"/>
        <v>P731113053(KÖT)11100</v>
      </c>
    </row>
    <row r="428" spans="1:36" x14ac:dyDescent="0.25">
      <c r="A428" s="325" t="str">
        <f>CONCATENATE("P",'906MP'!M128)</f>
        <v>P731113</v>
      </c>
      <c r="B428">
        <f>'906MP'!H128</f>
        <v>60</v>
      </c>
      <c r="C428" t="str">
        <f>'906MP'!J128</f>
        <v>2025-01-01</v>
      </c>
      <c r="D428" t="str">
        <f>'906MP'!P128</f>
        <v>módosított ei</v>
      </c>
      <c r="E428">
        <f>'906MP'!X128</f>
        <v>83598</v>
      </c>
      <c r="F428" t="str">
        <f t="shared" si="124"/>
        <v>05</v>
      </c>
      <c r="G428" t="str">
        <f t="shared" si="125"/>
        <v>051</v>
      </c>
      <c r="H428" t="str">
        <f>'906MP'!Y128</f>
        <v>051231</v>
      </c>
      <c r="I428" t="str">
        <f>'906MP'!AK128</f>
        <v>2025/MEI-731113/39</v>
      </c>
      <c r="J428" t="str">
        <f>'906MP'!T128</f>
        <v>(KÖT)</v>
      </c>
      <c r="K428" t="str">
        <f>'906MP'!AJ128</f>
        <v/>
      </c>
      <c r="L428" t="str">
        <f>'906MP'!U128</f>
        <v>11100</v>
      </c>
      <c r="M428" s="322" t="str">
        <f>IFERROR(VLOOKUP(A428,PAR!$D$3:$E$53,2,FALSE),"nincs szervezet")</f>
        <v>Nagymaros Város Önkormányzata</v>
      </c>
      <c r="N428" s="322" t="str">
        <f>VLOOKUP(F428,PAR!$R$3:$S$5,2,FALSE)</f>
        <v>2 - Kiadás</v>
      </c>
      <c r="O428" t="str">
        <f>IFERROR(VLOOKUP(J428,PAR!$O$3:$P$5,2,FALSE),"nincs feladat")</f>
        <v>1 - (KÖT)</v>
      </c>
      <c r="P428" t="str">
        <f>IFERROR(VLOOKUP(G428,PAR!$J$2:$M$19,4),"nincs rovat")</f>
        <v>K1 - Személyi juttatások</v>
      </c>
      <c r="Q428" t="str">
        <f>IF(H428&gt;0,VLOOKUP(H428,PAR!$AA$3:$AC$187,3,FALSE),"nincs főkönyvi számla")</f>
        <v>051231 -  Egyéb külső személyi juttatások előirányzata</v>
      </c>
      <c r="R428" t="str">
        <f>IFERROR(VLOOKUP(K428,PAR!$V$3:$X$438,3,FALSE),"000000 - Nincs COFOG")</f>
        <v>000000 - Nincs COFOG</v>
      </c>
      <c r="S428">
        <f t="shared" si="126"/>
        <v>83598</v>
      </c>
      <c r="T428">
        <f t="shared" si="127"/>
        <v>83598</v>
      </c>
      <c r="U428" t="str">
        <f>IF('906MP'!J128&gt;0,CONCATENATE('906MP'!J128," - ",'906MP'!P128,", ",'906MP'!E128),"nincs megjegyzés")</f>
        <v>2025-01-01 - módosított ei, 2025/MEI-731113/39</v>
      </c>
      <c r="V428" t="str">
        <f t="shared" si="114"/>
        <v>60P731113051</v>
      </c>
      <c r="W428" t="str">
        <f t="shared" si="115"/>
        <v>60P73111305</v>
      </c>
      <c r="X428" t="str">
        <f t="shared" si="116"/>
        <v>P731113051231</v>
      </c>
      <c r="Y428" t="str">
        <f t="shared" si="117"/>
        <v>60051231</v>
      </c>
      <c r="Z428" t="str">
        <f t="shared" si="128"/>
        <v>(KÖT)051231</v>
      </c>
      <c r="AA428" t="str">
        <f t="shared" si="118"/>
        <v>60051</v>
      </c>
      <c r="AB428" t="str">
        <f t="shared" si="119"/>
        <v>(KÖT)051</v>
      </c>
      <c r="AC428" t="str">
        <f t="shared" si="120"/>
        <v>60P731113051231</v>
      </c>
      <c r="AD428" t="str">
        <f t="shared" si="121"/>
        <v>P731113051231(KÖT)</v>
      </c>
      <c r="AE428" t="str">
        <f t="shared" si="122"/>
        <v>60P731113051</v>
      </c>
      <c r="AF428" t="str">
        <f t="shared" si="123"/>
        <v>P731113051(KÖT)</v>
      </c>
      <c r="AG428" t="str">
        <f t="shared" si="129"/>
        <v>60P73111305123111100</v>
      </c>
      <c r="AH428" t="str">
        <f t="shared" si="130"/>
        <v>P731113(KÖT)05123111100</v>
      </c>
      <c r="AI428" t="str">
        <f t="shared" si="131"/>
        <v>60P73111305111100</v>
      </c>
      <c r="AJ428" t="str">
        <f t="shared" si="132"/>
        <v>P731113051(KÖT)11100</v>
      </c>
    </row>
    <row r="429" spans="1:36" x14ac:dyDescent="0.25">
      <c r="A429" s="325" t="str">
        <f>CONCATENATE("P",'906MP'!M129)</f>
        <v>P654449</v>
      </c>
      <c r="B429">
        <f>'906MP'!H129</f>
        <v>60</v>
      </c>
      <c r="C429" t="str">
        <f>'906MP'!J129</f>
        <v>2025-03-01</v>
      </c>
      <c r="D429" t="str">
        <f>'906MP'!P129</f>
        <v>módosított ei</v>
      </c>
      <c r="E429">
        <f>'906MP'!X129</f>
        <v>936</v>
      </c>
      <c r="F429" t="str">
        <f t="shared" si="124"/>
        <v>05</v>
      </c>
      <c r="G429" t="str">
        <f t="shared" si="125"/>
        <v>051</v>
      </c>
      <c r="H429" t="str">
        <f>'906MP'!Y129</f>
        <v>0511131</v>
      </c>
      <c r="I429" t="str">
        <f>'906MP'!AK129</f>
        <v>2025/MEI-654449/3</v>
      </c>
      <c r="J429" t="str">
        <f>'906MP'!T129</f>
        <v>(ÖNV)</v>
      </c>
      <c r="K429" t="str">
        <f>'906MP'!AJ129</f>
        <v/>
      </c>
      <c r="L429" t="str">
        <f>'906MP'!U129</f>
        <v>15100</v>
      </c>
      <c r="M429" s="322" t="str">
        <f>IFERROR(VLOOKUP(A429,PAR!$D$3:$E$53,2,FALSE),"nincs szervezet")</f>
        <v>Gondozási Központ</v>
      </c>
      <c r="N429" s="322" t="str">
        <f>VLOOKUP(F429,PAR!$R$3:$S$5,2,FALSE)</f>
        <v>2 - Kiadás</v>
      </c>
      <c r="O429" t="str">
        <f>IFERROR(VLOOKUP(J429,PAR!$O$3:$P$5,2,FALSE),"nincs feladat")</f>
        <v>2 - (ÖNV)</v>
      </c>
      <c r="P429" t="str">
        <f>IFERROR(VLOOKUP(G429,PAR!$J$2:$M$19,4),"nincs rovat")</f>
        <v>K1 - Személyi juttatások</v>
      </c>
      <c r="Q429" t="str">
        <f>IF(H429&gt;0,VLOOKUP(H429,PAR!$AA$3:$AC$187,3,FALSE),"nincs főkönyvi számla")</f>
        <v>0511131 -  Foglalkoztatottak egyéb személyi juttatásai előirányzata</v>
      </c>
      <c r="R429" t="str">
        <f>IFERROR(VLOOKUP(K429,PAR!$V$3:$X$438,3,FALSE),"000000 - Nincs COFOG")</f>
        <v>000000 - Nincs COFOG</v>
      </c>
      <c r="S429">
        <f t="shared" si="126"/>
        <v>936</v>
      </c>
      <c r="T429">
        <f t="shared" si="127"/>
        <v>936</v>
      </c>
      <c r="U429" t="str">
        <f>IF('906MP'!J129&gt;0,CONCATENATE('906MP'!J129," - ",'906MP'!P129,", ",'906MP'!E129),"nincs megjegyzés")</f>
        <v>2025-03-01 - módosított ei, 2025/MEI-654449/3</v>
      </c>
      <c r="V429" t="str">
        <f t="shared" si="114"/>
        <v>60P654449051</v>
      </c>
      <c r="W429" t="str">
        <f t="shared" si="115"/>
        <v>60P65444905</v>
      </c>
      <c r="X429" t="str">
        <f t="shared" si="116"/>
        <v>P6544490511131</v>
      </c>
      <c r="Y429" t="str">
        <f t="shared" si="117"/>
        <v>600511131</v>
      </c>
      <c r="Z429" t="str">
        <f t="shared" si="128"/>
        <v>(ÖNV)0511131</v>
      </c>
      <c r="AA429" t="str">
        <f t="shared" si="118"/>
        <v>60051</v>
      </c>
      <c r="AB429" t="str">
        <f t="shared" si="119"/>
        <v>(ÖNV)051</v>
      </c>
      <c r="AC429" t="str">
        <f t="shared" si="120"/>
        <v>60P6544490511131</v>
      </c>
      <c r="AD429" t="str">
        <f t="shared" si="121"/>
        <v>P6544490511131(ÖNV)</v>
      </c>
      <c r="AE429" t="str">
        <f t="shared" si="122"/>
        <v>60P654449051</v>
      </c>
      <c r="AF429" t="str">
        <f t="shared" si="123"/>
        <v>P654449051(ÖNV)</v>
      </c>
      <c r="AG429" t="str">
        <f t="shared" si="129"/>
        <v>60P654449051113115100</v>
      </c>
      <c r="AH429" t="str">
        <f t="shared" si="130"/>
        <v>P654449(ÖNV)051113115100</v>
      </c>
      <c r="AI429" t="str">
        <f t="shared" si="131"/>
        <v>60P65444905115100</v>
      </c>
      <c r="AJ429" t="str">
        <f t="shared" si="132"/>
        <v>P654449051(ÖNV)15100</v>
      </c>
    </row>
    <row r="430" spans="1:36" x14ac:dyDescent="0.25">
      <c r="A430" s="325" t="str">
        <f>CONCATENATE("P",'906MP'!M130)</f>
        <v>P654449</v>
      </c>
      <c r="B430">
        <f>'906MP'!H130</f>
        <v>60</v>
      </c>
      <c r="C430" t="str">
        <f>'906MP'!J130</f>
        <v>2025-03-01</v>
      </c>
      <c r="D430" t="str">
        <f>'906MP'!P130</f>
        <v>módosított ei</v>
      </c>
      <c r="E430">
        <f>'906MP'!X130</f>
        <v>-936</v>
      </c>
      <c r="F430" t="str">
        <f t="shared" si="124"/>
        <v>05</v>
      </c>
      <c r="G430" t="str">
        <f t="shared" si="125"/>
        <v>051</v>
      </c>
      <c r="H430" t="str">
        <f>'906MP'!Y130</f>
        <v>0511011</v>
      </c>
      <c r="I430" t="str">
        <f>'906MP'!AK130</f>
        <v>2025/MEI-654449/3</v>
      </c>
      <c r="J430" t="str">
        <f>'906MP'!T130</f>
        <v>(KÖT)</v>
      </c>
      <c r="K430" t="str">
        <f>'906MP'!AJ130</f>
        <v/>
      </c>
      <c r="L430" t="str">
        <f>'906MP'!U130</f>
        <v>15100</v>
      </c>
      <c r="M430" s="322" t="str">
        <f>IFERROR(VLOOKUP(A430,PAR!$D$3:$E$53,2,FALSE),"nincs szervezet")</f>
        <v>Gondozási Központ</v>
      </c>
      <c r="N430" s="322" t="str">
        <f>VLOOKUP(F430,PAR!$R$3:$S$5,2,FALSE)</f>
        <v>2 - Kiadás</v>
      </c>
      <c r="O430" t="str">
        <f>IFERROR(VLOOKUP(J430,PAR!$O$3:$P$5,2,FALSE),"nincs feladat")</f>
        <v>1 - (KÖT)</v>
      </c>
      <c r="P430" t="str">
        <f>IFERROR(VLOOKUP(G430,PAR!$J$2:$M$19,4),"nincs rovat")</f>
        <v>K1 - Személyi juttatások</v>
      </c>
      <c r="Q430" t="str">
        <f>IF(H430&gt;0,VLOOKUP(H430,PAR!$AA$3:$AC$187,3,FALSE),"nincs főkönyvi számla")</f>
        <v>0511011 -  Törvény szerinti illetmények, munkabérek előirányzata</v>
      </c>
      <c r="R430" t="str">
        <f>IFERROR(VLOOKUP(K430,PAR!$V$3:$X$438,3,FALSE),"000000 - Nincs COFOG")</f>
        <v>000000 - Nincs COFOG</v>
      </c>
      <c r="S430">
        <f t="shared" si="126"/>
        <v>-936</v>
      </c>
      <c r="T430">
        <f t="shared" si="127"/>
        <v>-936</v>
      </c>
      <c r="U430" t="str">
        <f>IF('906MP'!J130&gt;0,CONCATENATE('906MP'!J130," - ",'906MP'!P130,", ",'906MP'!E130),"nincs megjegyzés")</f>
        <v>2025-03-01 - módosított ei, 2025/MEI-654449/3</v>
      </c>
      <c r="V430" t="str">
        <f t="shared" si="114"/>
        <v>60P654449051</v>
      </c>
      <c r="W430" t="str">
        <f t="shared" si="115"/>
        <v>60P65444905</v>
      </c>
      <c r="X430" t="str">
        <f t="shared" si="116"/>
        <v>P6544490511011</v>
      </c>
      <c r="Y430" t="str">
        <f t="shared" si="117"/>
        <v>600511011</v>
      </c>
      <c r="Z430" t="str">
        <f t="shared" si="128"/>
        <v>(KÖT)0511011</v>
      </c>
      <c r="AA430" t="str">
        <f t="shared" si="118"/>
        <v>60051</v>
      </c>
      <c r="AB430" t="str">
        <f t="shared" si="119"/>
        <v>(KÖT)051</v>
      </c>
      <c r="AC430" t="str">
        <f t="shared" si="120"/>
        <v>60P6544490511011</v>
      </c>
      <c r="AD430" t="str">
        <f t="shared" si="121"/>
        <v>P6544490511011(KÖT)</v>
      </c>
      <c r="AE430" t="str">
        <f t="shared" si="122"/>
        <v>60P654449051</v>
      </c>
      <c r="AF430" t="str">
        <f t="shared" si="123"/>
        <v>P654449051(KÖT)</v>
      </c>
      <c r="AG430" t="str">
        <f t="shared" si="129"/>
        <v>60P654449051101115100</v>
      </c>
      <c r="AH430" t="str">
        <f t="shared" si="130"/>
        <v>P654449(KÖT)051101115100</v>
      </c>
      <c r="AI430" t="str">
        <f t="shared" si="131"/>
        <v>60P65444905115100</v>
      </c>
      <c r="AJ430" t="str">
        <f t="shared" si="132"/>
        <v>P654449051(KÖT)15100</v>
      </c>
    </row>
    <row r="431" spans="1:36" x14ac:dyDescent="0.25">
      <c r="A431" s="325" t="str">
        <f>CONCATENATE("P",'906MP'!M131)</f>
        <v>P731113</v>
      </c>
      <c r="B431">
        <f>'906MP'!H131</f>
        <v>60</v>
      </c>
      <c r="C431" t="str">
        <f>'906MP'!J131</f>
        <v>2025-04-01</v>
      </c>
      <c r="D431" t="str">
        <f>'906MP'!P131</f>
        <v>módosított ei</v>
      </c>
      <c r="E431">
        <f>'906MP'!X131</f>
        <v>85000</v>
      </c>
      <c r="F431" t="str">
        <f t="shared" si="124"/>
        <v>05</v>
      </c>
      <c r="G431" t="str">
        <f t="shared" si="125"/>
        <v>051</v>
      </c>
      <c r="H431" t="str">
        <f>'906MP'!Y131</f>
        <v>0511031</v>
      </c>
      <c r="I431" t="str">
        <f>'906MP'!AK131</f>
        <v>2025/MEI-731113/20</v>
      </c>
      <c r="J431" t="str">
        <f>'906MP'!T131</f>
        <v>(KÖT)</v>
      </c>
      <c r="K431" t="str">
        <f>'906MP'!AJ131</f>
        <v/>
      </c>
      <c r="L431" t="str">
        <f>'906MP'!U131</f>
        <v>11100</v>
      </c>
      <c r="M431" s="322" t="str">
        <f>IFERROR(VLOOKUP(A431,PAR!$D$3:$E$53,2,FALSE),"nincs szervezet")</f>
        <v>Nagymaros Város Önkormányzata</v>
      </c>
      <c r="N431" s="322" t="str">
        <f>VLOOKUP(F431,PAR!$R$3:$S$5,2,FALSE)</f>
        <v>2 - Kiadás</v>
      </c>
      <c r="O431" t="str">
        <f>IFERROR(VLOOKUP(J431,PAR!$O$3:$P$5,2,FALSE),"nincs feladat")</f>
        <v>1 - (KÖT)</v>
      </c>
      <c r="P431" t="str">
        <f>IFERROR(VLOOKUP(G431,PAR!$J$2:$M$19,4),"nincs rovat")</f>
        <v>K1 - Személyi juttatások</v>
      </c>
      <c r="Q431" t="str">
        <f>IF(H431&gt;0,VLOOKUP(H431,PAR!$AA$3:$AC$187,3,FALSE),"nincs főkönyvi számla")</f>
        <v>0511031 -  Céljuttatás, projektprémium előirányzata</v>
      </c>
      <c r="R431" t="str">
        <f>IFERROR(VLOOKUP(K431,PAR!$V$3:$X$438,3,FALSE),"000000 - Nincs COFOG")</f>
        <v>000000 - Nincs COFOG</v>
      </c>
      <c r="S431">
        <f t="shared" si="126"/>
        <v>85000</v>
      </c>
      <c r="T431">
        <f t="shared" si="127"/>
        <v>85000</v>
      </c>
      <c r="U431" t="str">
        <f>IF('906MP'!J131&gt;0,CONCATENATE('906MP'!J131," - ",'906MP'!P131,", ",'906MP'!E131),"nincs megjegyzés")</f>
        <v>2025-04-01 - módosított ei, 2025/MEI-731113/20</v>
      </c>
      <c r="V431" t="str">
        <f t="shared" si="114"/>
        <v>60P731113051</v>
      </c>
      <c r="W431" t="str">
        <f t="shared" si="115"/>
        <v>60P73111305</v>
      </c>
      <c r="X431" t="str">
        <f t="shared" si="116"/>
        <v>P7311130511031</v>
      </c>
      <c r="Y431" t="str">
        <f t="shared" si="117"/>
        <v>600511031</v>
      </c>
      <c r="Z431" t="str">
        <f t="shared" si="128"/>
        <v>(KÖT)0511031</v>
      </c>
      <c r="AA431" t="str">
        <f t="shared" si="118"/>
        <v>60051</v>
      </c>
      <c r="AB431" t="str">
        <f t="shared" si="119"/>
        <v>(KÖT)051</v>
      </c>
      <c r="AC431" t="str">
        <f t="shared" si="120"/>
        <v>60P7311130511031</v>
      </c>
      <c r="AD431" t="str">
        <f t="shared" si="121"/>
        <v>P7311130511031(KÖT)</v>
      </c>
      <c r="AE431" t="str">
        <f t="shared" si="122"/>
        <v>60P731113051</v>
      </c>
      <c r="AF431" t="str">
        <f t="shared" si="123"/>
        <v>P731113051(KÖT)</v>
      </c>
      <c r="AG431" t="str">
        <f t="shared" si="129"/>
        <v>60P731113051103111100</v>
      </c>
      <c r="AH431" t="str">
        <f t="shared" si="130"/>
        <v>P731113(KÖT)051103111100</v>
      </c>
      <c r="AI431" t="str">
        <f t="shared" si="131"/>
        <v>60P73111305111100</v>
      </c>
      <c r="AJ431" t="str">
        <f t="shared" si="132"/>
        <v>P731113051(KÖT)11100</v>
      </c>
    </row>
    <row r="432" spans="1:36" x14ac:dyDescent="0.25">
      <c r="A432" s="325" t="str">
        <f>CONCATENATE("P",'906MP'!M132)</f>
        <v>P394031</v>
      </c>
      <c r="B432">
        <f>'906MP'!H132</f>
        <v>60</v>
      </c>
      <c r="C432" t="str">
        <f>'906MP'!J132</f>
        <v>2025-05-01</v>
      </c>
      <c r="D432" t="str">
        <f>'906MP'!P132</f>
        <v>módosított ei</v>
      </c>
      <c r="E432">
        <f>'906MP'!X132</f>
        <v>916</v>
      </c>
      <c r="F432" t="str">
        <f t="shared" si="124"/>
        <v>05</v>
      </c>
      <c r="G432" t="str">
        <f t="shared" si="125"/>
        <v>053</v>
      </c>
      <c r="H432" t="str">
        <f>'906MP'!Y132</f>
        <v>053221</v>
      </c>
      <c r="I432" t="str">
        <f>'906MP'!AK132</f>
        <v>2025/MEI-394031/7</v>
      </c>
      <c r="J432" t="str">
        <f>'906MP'!T132</f>
        <v>(KÖT)</v>
      </c>
      <c r="K432" t="str">
        <f>'906MP'!AJ132</f>
        <v/>
      </c>
      <c r="L432" t="str">
        <f>'906MP'!U132</f>
        <v>12100</v>
      </c>
      <c r="M432" s="322" t="str">
        <f>IFERROR(VLOOKUP(A432,PAR!$D$3:$E$53,2,FALSE),"nincs szervezet")</f>
        <v>Nagymarosi Polgármesteri Hivatal</v>
      </c>
      <c r="N432" s="322" t="str">
        <f>VLOOKUP(F432,PAR!$R$3:$S$5,2,FALSE)</f>
        <v>2 - Kiadás</v>
      </c>
      <c r="O432" t="str">
        <f>IFERROR(VLOOKUP(J432,PAR!$O$3:$P$5,2,FALSE),"nincs feladat")</f>
        <v>1 - (KÖT)</v>
      </c>
      <c r="P432" t="str">
        <f>IFERROR(VLOOKUP(G432,PAR!$J$2:$M$19,4),"nincs rovat")</f>
        <v>K3 - Dologi kiadások</v>
      </c>
      <c r="Q432" t="str">
        <f>IF(H432&gt;0,VLOOKUP(H432,PAR!$AA$3:$AC$187,3,FALSE),"nincs főkönyvi számla")</f>
        <v>053221 -  Egyéb kommunikációs szolgáltatások előirányzata</v>
      </c>
      <c r="R432" t="str">
        <f>IFERROR(VLOOKUP(K432,PAR!$V$3:$X$438,3,FALSE),"000000 - Nincs COFOG")</f>
        <v>000000 - Nincs COFOG</v>
      </c>
      <c r="S432">
        <f t="shared" si="126"/>
        <v>916</v>
      </c>
      <c r="T432">
        <f t="shared" si="127"/>
        <v>916</v>
      </c>
      <c r="U432" t="str">
        <f>IF('906MP'!J132&gt;0,CONCATENATE('906MP'!J132," - ",'906MP'!P132,", ",'906MP'!E132),"nincs megjegyzés")</f>
        <v>2025-05-01 - módosított ei, 2025/MEI-394031/7</v>
      </c>
      <c r="V432" t="str">
        <f t="shared" si="114"/>
        <v>60P394031053</v>
      </c>
      <c r="W432" t="str">
        <f t="shared" si="115"/>
        <v>60P39403105</v>
      </c>
      <c r="X432" t="str">
        <f t="shared" si="116"/>
        <v>P394031053221</v>
      </c>
      <c r="Y432" t="str">
        <f t="shared" si="117"/>
        <v>60053221</v>
      </c>
      <c r="Z432" t="str">
        <f t="shared" si="128"/>
        <v>(KÖT)053221</v>
      </c>
      <c r="AA432" t="str">
        <f t="shared" si="118"/>
        <v>60053</v>
      </c>
      <c r="AB432" t="str">
        <f t="shared" si="119"/>
        <v>(KÖT)053</v>
      </c>
      <c r="AC432" t="str">
        <f t="shared" si="120"/>
        <v>60P394031053221</v>
      </c>
      <c r="AD432" t="str">
        <f t="shared" si="121"/>
        <v>P394031053221(KÖT)</v>
      </c>
      <c r="AE432" t="str">
        <f t="shared" si="122"/>
        <v>60P394031053</v>
      </c>
      <c r="AF432" t="str">
        <f t="shared" si="123"/>
        <v>P394031053(KÖT)</v>
      </c>
      <c r="AG432" t="str">
        <f t="shared" si="129"/>
        <v>60P39403105322112100</v>
      </c>
      <c r="AH432" t="str">
        <f t="shared" si="130"/>
        <v>P394031(KÖT)05322112100</v>
      </c>
      <c r="AI432" t="str">
        <f t="shared" si="131"/>
        <v>60P39403105312100</v>
      </c>
      <c r="AJ432" t="str">
        <f t="shared" si="132"/>
        <v>P394031053(KÖT)12100</v>
      </c>
    </row>
    <row r="433" spans="1:36" x14ac:dyDescent="0.25">
      <c r="A433" s="325" t="str">
        <f>CONCATENATE("P",'906MP'!M133)</f>
        <v>P731113</v>
      </c>
      <c r="B433">
        <f>'906MP'!H133</f>
        <v>60</v>
      </c>
      <c r="C433" t="str">
        <f>'906MP'!J133</f>
        <v>2025-04-01</v>
      </c>
      <c r="D433" t="str">
        <f>'906MP'!P133</f>
        <v>módosított ei</v>
      </c>
      <c r="E433">
        <f>'906MP'!X133</f>
        <v>-85000</v>
      </c>
      <c r="F433" t="str">
        <f t="shared" si="124"/>
        <v>05</v>
      </c>
      <c r="G433" t="str">
        <f t="shared" si="125"/>
        <v>051</v>
      </c>
      <c r="H433" t="str">
        <f>'906MP'!Y133</f>
        <v>0511011</v>
      </c>
      <c r="I433" t="str">
        <f>'906MP'!AK133</f>
        <v>2025/MEI-731113/20</v>
      </c>
      <c r="J433" t="str">
        <f>'906MP'!T133</f>
        <v>(KÖT)</v>
      </c>
      <c r="K433" t="str">
        <f>'906MP'!AJ133</f>
        <v/>
      </c>
      <c r="L433" t="str">
        <f>'906MP'!U133</f>
        <v>11100</v>
      </c>
      <c r="M433" s="322" t="str">
        <f>IFERROR(VLOOKUP(A433,PAR!$D$3:$E$53,2,FALSE),"nincs szervezet")</f>
        <v>Nagymaros Város Önkormányzata</v>
      </c>
      <c r="N433" s="322" t="str">
        <f>VLOOKUP(F433,PAR!$R$3:$S$5,2,FALSE)</f>
        <v>2 - Kiadás</v>
      </c>
      <c r="O433" t="str">
        <f>IFERROR(VLOOKUP(J433,PAR!$O$3:$P$5,2,FALSE),"nincs feladat")</f>
        <v>1 - (KÖT)</v>
      </c>
      <c r="P433" t="str">
        <f>IFERROR(VLOOKUP(G433,PAR!$J$2:$M$19,4),"nincs rovat")</f>
        <v>K1 - Személyi juttatások</v>
      </c>
      <c r="Q433" t="str">
        <f>IF(H433&gt;0,VLOOKUP(H433,PAR!$AA$3:$AC$187,3,FALSE),"nincs főkönyvi számla")</f>
        <v>0511011 -  Törvény szerinti illetmények, munkabérek előirányzata</v>
      </c>
      <c r="R433" t="str">
        <f>IFERROR(VLOOKUP(K433,PAR!$V$3:$X$438,3,FALSE),"000000 - Nincs COFOG")</f>
        <v>000000 - Nincs COFOG</v>
      </c>
      <c r="S433">
        <f t="shared" si="126"/>
        <v>-85000</v>
      </c>
      <c r="T433">
        <f t="shared" si="127"/>
        <v>-85000</v>
      </c>
      <c r="U433" t="str">
        <f>IF('906MP'!J133&gt;0,CONCATENATE('906MP'!J133," - ",'906MP'!P133,", ",'906MP'!E133),"nincs megjegyzés")</f>
        <v>2025-04-01 - módosított ei, 2025/MEI-731113/20</v>
      </c>
      <c r="V433" t="str">
        <f t="shared" si="114"/>
        <v>60P731113051</v>
      </c>
      <c r="W433" t="str">
        <f t="shared" si="115"/>
        <v>60P73111305</v>
      </c>
      <c r="X433" t="str">
        <f t="shared" si="116"/>
        <v>P7311130511011</v>
      </c>
      <c r="Y433" t="str">
        <f t="shared" si="117"/>
        <v>600511011</v>
      </c>
      <c r="Z433" t="str">
        <f t="shared" si="128"/>
        <v>(KÖT)0511011</v>
      </c>
      <c r="AA433" t="str">
        <f t="shared" si="118"/>
        <v>60051</v>
      </c>
      <c r="AB433" t="str">
        <f t="shared" si="119"/>
        <v>(KÖT)051</v>
      </c>
      <c r="AC433" t="str">
        <f t="shared" si="120"/>
        <v>60P7311130511011</v>
      </c>
      <c r="AD433" t="str">
        <f t="shared" si="121"/>
        <v>P7311130511011(KÖT)</v>
      </c>
      <c r="AE433" t="str">
        <f t="shared" si="122"/>
        <v>60P731113051</v>
      </c>
      <c r="AF433" t="str">
        <f t="shared" si="123"/>
        <v>P731113051(KÖT)</v>
      </c>
      <c r="AG433" t="str">
        <f t="shared" si="129"/>
        <v>60P731113051101111100</v>
      </c>
      <c r="AH433" t="str">
        <f t="shared" si="130"/>
        <v>P731113(KÖT)051101111100</v>
      </c>
      <c r="AI433" t="str">
        <f t="shared" si="131"/>
        <v>60P73111305111100</v>
      </c>
      <c r="AJ433" t="str">
        <f t="shared" si="132"/>
        <v>P731113051(KÖT)11100</v>
      </c>
    </row>
    <row r="434" spans="1:36" x14ac:dyDescent="0.25">
      <c r="A434" s="325" t="str">
        <f>CONCATENATE("P",'906MP'!M134)</f>
        <v>P394031</v>
      </c>
      <c r="B434">
        <f>'906MP'!H134</f>
        <v>60</v>
      </c>
      <c r="C434" t="str">
        <f>'906MP'!J134</f>
        <v>2025-05-01</v>
      </c>
      <c r="D434" t="str">
        <f>'906MP'!P134</f>
        <v>módosított ei</v>
      </c>
      <c r="E434">
        <f>'906MP'!X134</f>
        <v>-916</v>
      </c>
      <c r="F434" t="str">
        <f t="shared" si="124"/>
        <v>05</v>
      </c>
      <c r="G434" t="str">
        <f t="shared" si="125"/>
        <v>053</v>
      </c>
      <c r="H434" t="str">
        <f>'906MP'!Y134</f>
        <v>053551</v>
      </c>
      <c r="I434" t="str">
        <f>'906MP'!AK134</f>
        <v>2025/MEI-394031/7</v>
      </c>
      <c r="J434" t="str">
        <f>'906MP'!T134</f>
        <v>(KÖT)</v>
      </c>
      <c r="K434" t="str">
        <f>'906MP'!AJ134</f>
        <v/>
      </c>
      <c r="L434" t="str">
        <f>'906MP'!U134</f>
        <v>12100</v>
      </c>
      <c r="M434" s="322" t="str">
        <f>IFERROR(VLOOKUP(A434,PAR!$D$3:$E$53,2,FALSE),"nincs szervezet")</f>
        <v>Nagymarosi Polgármesteri Hivatal</v>
      </c>
      <c r="N434" s="322" t="str">
        <f>VLOOKUP(F434,PAR!$R$3:$S$5,2,FALSE)</f>
        <v>2 - Kiadás</v>
      </c>
      <c r="O434" t="str">
        <f>IFERROR(VLOOKUP(J434,PAR!$O$3:$P$5,2,FALSE),"nincs feladat")</f>
        <v>1 - (KÖT)</v>
      </c>
      <c r="P434" t="str">
        <f>IFERROR(VLOOKUP(G434,PAR!$J$2:$M$19,4),"nincs rovat")</f>
        <v>K3 - Dologi kiadások</v>
      </c>
      <c r="Q434" t="str">
        <f>IF(H434&gt;0,VLOOKUP(H434,PAR!$AA$3:$AC$187,3,FALSE),"nincs főkönyvi számla")</f>
        <v>053551 -  Egyéb dologi kiadások előirányzata</v>
      </c>
      <c r="R434" t="str">
        <f>IFERROR(VLOOKUP(K434,PAR!$V$3:$X$438,3,FALSE),"000000 - Nincs COFOG")</f>
        <v>000000 - Nincs COFOG</v>
      </c>
      <c r="S434">
        <f t="shared" si="126"/>
        <v>-916</v>
      </c>
      <c r="T434">
        <f t="shared" si="127"/>
        <v>-916</v>
      </c>
      <c r="U434" t="str">
        <f>IF('906MP'!J134&gt;0,CONCATENATE('906MP'!J134," - ",'906MP'!P134,", ",'906MP'!E134),"nincs megjegyzés")</f>
        <v>2025-05-01 - módosított ei, 2025/MEI-394031/7</v>
      </c>
      <c r="V434" t="str">
        <f t="shared" si="114"/>
        <v>60P394031053</v>
      </c>
      <c r="W434" t="str">
        <f t="shared" si="115"/>
        <v>60P39403105</v>
      </c>
      <c r="X434" t="str">
        <f t="shared" si="116"/>
        <v>P394031053551</v>
      </c>
      <c r="Y434" t="str">
        <f t="shared" si="117"/>
        <v>60053551</v>
      </c>
      <c r="Z434" t="str">
        <f t="shared" si="128"/>
        <v>(KÖT)053551</v>
      </c>
      <c r="AA434" t="str">
        <f t="shared" si="118"/>
        <v>60053</v>
      </c>
      <c r="AB434" t="str">
        <f t="shared" si="119"/>
        <v>(KÖT)053</v>
      </c>
      <c r="AC434" t="str">
        <f t="shared" si="120"/>
        <v>60P394031053551</v>
      </c>
      <c r="AD434" t="str">
        <f t="shared" si="121"/>
        <v>P394031053551(KÖT)</v>
      </c>
      <c r="AE434" t="str">
        <f t="shared" si="122"/>
        <v>60P394031053</v>
      </c>
      <c r="AF434" t="str">
        <f t="shared" si="123"/>
        <v>P394031053(KÖT)</v>
      </c>
      <c r="AG434" t="str">
        <f t="shared" si="129"/>
        <v>60P39403105355112100</v>
      </c>
      <c r="AH434" t="str">
        <f t="shared" si="130"/>
        <v>P394031(KÖT)05355112100</v>
      </c>
      <c r="AI434" t="str">
        <f t="shared" si="131"/>
        <v>60P39403105312100</v>
      </c>
      <c r="AJ434" t="str">
        <f t="shared" si="132"/>
        <v>P394031053(KÖT)12100</v>
      </c>
    </row>
    <row r="435" spans="1:36" x14ac:dyDescent="0.25">
      <c r="A435" s="325" t="str">
        <f>CONCATENATE("P",'906MP'!M135)</f>
        <v>P654472</v>
      </c>
      <c r="B435">
        <f>'906MP'!H135</f>
        <v>60</v>
      </c>
      <c r="C435" t="str">
        <f>'906MP'!J135</f>
        <v>2025-01-01</v>
      </c>
      <c r="D435" t="str">
        <f>'906MP'!P135</f>
        <v>módosított ei</v>
      </c>
      <c r="E435">
        <f>'906MP'!X135</f>
        <v>41912</v>
      </c>
      <c r="F435" t="str">
        <f t="shared" si="124"/>
        <v>05</v>
      </c>
      <c r="G435" t="str">
        <f t="shared" si="125"/>
        <v>053</v>
      </c>
      <c r="H435" t="str">
        <f>'906MP'!Y135</f>
        <v>053221</v>
      </c>
      <c r="I435" t="str">
        <f>'906MP'!AK135</f>
        <v>2025/MEI-654472/6</v>
      </c>
      <c r="J435" t="str">
        <f>'906MP'!T135</f>
        <v>(KÖT)</v>
      </c>
      <c r="K435" t="str">
        <f>'906MP'!AJ135</f>
        <v/>
      </c>
      <c r="L435" t="str">
        <f>'906MP'!U135</f>
        <v>14050</v>
      </c>
      <c r="M435" s="322" t="str">
        <f>IFERROR(VLOOKUP(A435,PAR!$D$3:$E$53,2,FALSE),"nincs szervezet")</f>
        <v>Nagymaros Városi Könyvtár és Művelődési Ház</v>
      </c>
      <c r="N435" s="322" t="str">
        <f>VLOOKUP(F435,PAR!$R$3:$S$5,2,FALSE)</f>
        <v>2 - Kiadás</v>
      </c>
      <c r="O435" t="str">
        <f>IFERROR(VLOOKUP(J435,PAR!$O$3:$P$5,2,FALSE),"nincs feladat")</f>
        <v>1 - (KÖT)</v>
      </c>
      <c r="P435" t="str">
        <f>IFERROR(VLOOKUP(G435,PAR!$J$2:$M$19,4),"nincs rovat")</f>
        <v>K3 - Dologi kiadások</v>
      </c>
      <c r="Q435" t="str">
        <f>IF(H435&gt;0,VLOOKUP(H435,PAR!$AA$3:$AC$187,3,FALSE),"nincs főkönyvi számla")</f>
        <v>053221 -  Egyéb kommunikációs szolgáltatások előirányzata</v>
      </c>
      <c r="R435" t="str">
        <f>IFERROR(VLOOKUP(K435,PAR!$V$3:$X$438,3,FALSE),"000000 - Nincs COFOG")</f>
        <v>000000 - Nincs COFOG</v>
      </c>
      <c r="S435">
        <f t="shared" si="126"/>
        <v>41912</v>
      </c>
      <c r="T435">
        <f t="shared" si="127"/>
        <v>41912</v>
      </c>
      <c r="U435" t="str">
        <f>IF('906MP'!J135&gt;0,CONCATENATE('906MP'!J135," - ",'906MP'!P135,", ",'906MP'!E135),"nincs megjegyzés")</f>
        <v>2025-01-01 - módosított ei, 2025/MEI-654472/6</v>
      </c>
      <c r="V435" t="str">
        <f t="shared" si="114"/>
        <v>60P654472053</v>
      </c>
      <c r="W435" t="str">
        <f t="shared" si="115"/>
        <v>60P65447205</v>
      </c>
      <c r="X435" t="str">
        <f t="shared" si="116"/>
        <v>P654472053221</v>
      </c>
      <c r="Y435" t="str">
        <f t="shared" si="117"/>
        <v>60053221</v>
      </c>
      <c r="Z435" t="str">
        <f t="shared" si="128"/>
        <v>(KÖT)053221</v>
      </c>
      <c r="AA435" t="str">
        <f t="shared" si="118"/>
        <v>60053</v>
      </c>
      <c r="AB435" t="str">
        <f t="shared" si="119"/>
        <v>(KÖT)053</v>
      </c>
      <c r="AC435" t="str">
        <f t="shared" si="120"/>
        <v>60P654472053221</v>
      </c>
      <c r="AD435" t="str">
        <f t="shared" si="121"/>
        <v>P654472053221(KÖT)</v>
      </c>
      <c r="AE435" t="str">
        <f t="shared" si="122"/>
        <v>60P654472053</v>
      </c>
      <c r="AF435" t="str">
        <f t="shared" si="123"/>
        <v>P654472053(KÖT)</v>
      </c>
      <c r="AG435" t="str">
        <f t="shared" si="129"/>
        <v>60P65447205322114050</v>
      </c>
      <c r="AH435" t="str">
        <f t="shared" si="130"/>
        <v>P654472(KÖT)05322114050</v>
      </c>
      <c r="AI435" t="str">
        <f t="shared" si="131"/>
        <v>60P65447205314050</v>
      </c>
      <c r="AJ435" t="str">
        <f t="shared" si="132"/>
        <v>P654472053(KÖT)14050</v>
      </c>
    </row>
    <row r="436" spans="1:36" x14ac:dyDescent="0.25">
      <c r="A436" s="325" t="str">
        <f>CONCATENATE("P",'906MP'!M136)</f>
        <v>P654472</v>
      </c>
      <c r="B436">
        <f>'906MP'!H136</f>
        <v>60</v>
      </c>
      <c r="C436" t="str">
        <f>'906MP'!J136</f>
        <v>2025-03-01</v>
      </c>
      <c r="D436" t="str">
        <f>'906MP'!P136</f>
        <v>módosított ei</v>
      </c>
      <c r="E436">
        <f>'906MP'!X136</f>
        <v>-41912</v>
      </c>
      <c r="F436" t="str">
        <f t="shared" si="124"/>
        <v>05</v>
      </c>
      <c r="G436" t="str">
        <f t="shared" si="125"/>
        <v>053</v>
      </c>
      <c r="H436" t="str">
        <f>'906MP'!Y136</f>
        <v>053211</v>
      </c>
      <c r="I436" t="str">
        <f>'906MP'!AK136</f>
        <v>2025/MEI-654472/6</v>
      </c>
      <c r="J436" t="str">
        <f>'906MP'!T136</f>
        <v>(KÖT)</v>
      </c>
      <c r="K436" t="str">
        <f>'906MP'!AJ136</f>
        <v/>
      </c>
      <c r="L436" t="str">
        <f>'906MP'!U136</f>
        <v>14050</v>
      </c>
      <c r="M436" s="322" t="str">
        <f>IFERROR(VLOOKUP(A436,PAR!$D$3:$E$53,2,FALSE),"nincs szervezet")</f>
        <v>Nagymaros Városi Könyvtár és Művelődési Ház</v>
      </c>
      <c r="N436" s="322" t="str">
        <f>VLOOKUP(F436,PAR!$R$3:$S$5,2,FALSE)</f>
        <v>2 - Kiadás</v>
      </c>
      <c r="O436" t="str">
        <f>IFERROR(VLOOKUP(J436,PAR!$O$3:$P$5,2,FALSE),"nincs feladat")</f>
        <v>1 - (KÖT)</v>
      </c>
      <c r="P436" t="str">
        <f>IFERROR(VLOOKUP(G436,PAR!$J$2:$M$19,4),"nincs rovat")</f>
        <v>K3 - Dologi kiadások</v>
      </c>
      <c r="Q436" t="str">
        <f>IF(H436&gt;0,VLOOKUP(H436,PAR!$AA$3:$AC$187,3,FALSE),"nincs főkönyvi számla")</f>
        <v>053211 -  Informatikai szolgáltatások igénybevétele előirányzata</v>
      </c>
      <c r="R436" t="str">
        <f>IFERROR(VLOOKUP(K436,PAR!$V$3:$X$438,3,FALSE),"000000 - Nincs COFOG")</f>
        <v>000000 - Nincs COFOG</v>
      </c>
      <c r="S436">
        <f t="shared" si="126"/>
        <v>-41912</v>
      </c>
      <c r="T436">
        <f t="shared" si="127"/>
        <v>-41912</v>
      </c>
      <c r="U436" t="str">
        <f>IF('906MP'!J136&gt;0,CONCATENATE('906MP'!J136," - ",'906MP'!P136,", ",'906MP'!E136),"nincs megjegyzés")</f>
        <v>2025-03-01 - módosított ei, 2025/MEI-654472/6</v>
      </c>
      <c r="V436" t="str">
        <f t="shared" si="114"/>
        <v>60P654472053</v>
      </c>
      <c r="W436" t="str">
        <f t="shared" si="115"/>
        <v>60P65447205</v>
      </c>
      <c r="X436" t="str">
        <f t="shared" si="116"/>
        <v>P654472053211</v>
      </c>
      <c r="Y436" t="str">
        <f t="shared" si="117"/>
        <v>60053211</v>
      </c>
      <c r="Z436" t="str">
        <f t="shared" si="128"/>
        <v>(KÖT)053211</v>
      </c>
      <c r="AA436" t="str">
        <f t="shared" si="118"/>
        <v>60053</v>
      </c>
      <c r="AB436" t="str">
        <f t="shared" si="119"/>
        <v>(KÖT)053</v>
      </c>
      <c r="AC436" t="str">
        <f t="shared" si="120"/>
        <v>60P654472053211</v>
      </c>
      <c r="AD436" t="str">
        <f t="shared" si="121"/>
        <v>P654472053211(KÖT)</v>
      </c>
      <c r="AE436" t="str">
        <f t="shared" si="122"/>
        <v>60P654472053</v>
      </c>
      <c r="AF436" t="str">
        <f t="shared" si="123"/>
        <v>P654472053(KÖT)</v>
      </c>
      <c r="AG436" t="str">
        <f t="shared" si="129"/>
        <v>60P65447205321114050</v>
      </c>
      <c r="AH436" t="str">
        <f t="shared" si="130"/>
        <v>P654472(KÖT)05321114050</v>
      </c>
      <c r="AI436" t="str">
        <f t="shared" si="131"/>
        <v>60P65447205314050</v>
      </c>
      <c r="AJ436" t="str">
        <f t="shared" si="132"/>
        <v>P654472053(KÖT)14050</v>
      </c>
    </row>
    <row r="437" spans="1:36" x14ac:dyDescent="0.25">
      <c r="A437" s="325" t="str">
        <f>CONCATENATE("P",'906MP'!M137)</f>
        <v>P654427</v>
      </c>
      <c r="B437">
        <f>'906MP'!H137</f>
        <v>60</v>
      </c>
      <c r="C437" t="str">
        <f>'906MP'!J137</f>
        <v>2025-03-01</v>
      </c>
      <c r="D437" t="str">
        <f>'906MP'!P137</f>
        <v>módosított ei</v>
      </c>
      <c r="E437">
        <f>'906MP'!X137</f>
        <v>124616</v>
      </c>
      <c r="F437" t="str">
        <f t="shared" si="124"/>
        <v>05</v>
      </c>
      <c r="G437" t="str">
        <f t="shared" si="125"/>
        <v>051</v>
      </c>
      <c r="H437" t="str">
        <f>'906MP'!Y137</f>
        <v>0511131</v>
      </c>
      <c r="I437" t="str">
        <f>'906MP'!AK137</f>
        <v>2025/MEI-654427/4</v>
      </c>
      <c r="J437" t="str">
        <f>'906MP'!T137</f>
        <v>(KÖT)</v>
      </c>
      <c r="K437" t="str">
        <f>'906MP'!AJ137</f>
        <v/>
      </c>
      <c r="L437" t="str">
        <f>'906MP'!U137</f>
        <v>13100</v>
      </c>
      <c r="M437" s="322" t="str">
        <f>IFERROR(VLOOKUP(A437,PAR!$D$3:$E$53,2,FALSE),"nincs szervezet")</f>
        <v>Nagymarosi Napköziotthonos Óvoda és Bölcsőde</v>
      </c>
      <c r="N437" s="322" t="str">
        <f>VLOOKUP(F437,PAR!$R$3:$S$5,2,FALSE)</f>
        <v>2 - Kiadás</v>
      </c>
      <c r="O437" t="str">
        <f>IFERROR(VLOOKUP(J437,PAR!$O$3:$P$5,2,FALSE),"nincs feladat")</f>
        <v>1 - (KÖT)</v>
      </c>
      <c r="P437" t="str">
        <f>IFERROR(VLOOKUP(G437,PAR!$J$2:$M$19,4),"nincs rovat")</f>
        <v>K1 - Személyi juttatások</v>
      </c>
      <c r="Q437" t="str">
        <f>IF(H437&gt;0,VLOOKUP(H437,PAR!$AA$3:$AC$187,3,FALSE),"nincs főkönyvi számla")</f>
        <v>0511131 -  Foglalkoztatottak egyéb személyi juttatásai előirányzata</v>
      </c>
      <c r="R437" t="str">
        <f>IFERROR(VLOOKUP(K437,PAR!$V$3:$X$438,3,FALSE),"000000 - Nincs COFOG")</f>
        <v>000000 - Nincs COFOG</v>
      </c>
      <c r="S437">
        <f t="shared" si="126"/>
        <v>124616</v>
      </c>
      <c r="T437">
        <f t="shared" si="127"/>
        <v>124616</v>
      </c>
      <c r="U437" t="str">
        <f>IF('906MP'!J137&gt;0,CONCATENATE('906MP'!J137," - ",'906MP'!P137,", ",'906MP'!E137),"nincs megjegyzés")</f>
        <v>2025-03-01 - módosított ei, 2025/MEI-654427/4</v>
      </c>
      <c r="V437" t="str">
        <f t="shared" si="114"/>
        <v>60P654427051</v>
      </c>
      <c r="W437" t="str">
        <f t="shared" si="115"/>
        <v>60P65442705</v>
      </c>
      <c r="X437" t="str">
        <f t="shared" si="116"/>
        <v>P6544270511131</v>
      </c>
      <c r="Y437" t="str">
        <f t="shared" si="117"/>
        <v>600511131</v>
      </c>
      <c r="Z437" t="str">
        <f t="shared" si="128"/>
        <v>(KÖT)0511131</v>
      </c>
      <c r="AA437" t="str">
        <f t="shared" si="118"/>
        <v>60051</v>
      </c>
      <c r="AB437" t="str">
        <f t="shared" si="119"/>
        <v>(KÖT)051</v>
      </c>
      <c r="AC437" t="str">
        <f t="shared" si="120"/>
        <v>60P6544270511131</v>
      </c>
      <c r="AD437" t="str">
        <f t="shared" si="121"/>
        <v>P6544270511131(KÖT)</v>
      </c>
      <c r="AE437" t="str">
        <f t="shared" si="122"/>
        <v>60P654427051</v>
      </c>
      <c r="AF437" t="str">
        <f t="shared" si="123"/>
        <v>P654427051(KÖT)</v>
      </c>
      <c r="AG437" t="str">
        <f t="shared" si="129"/>
        <v>60P654427051113113100</v>
      </c>
      <c r="AH437" t="str">
        <f t="shared" si="130"/>
        <v>P654427(KÖT)051113113100</v>
      </c>
      <c r="AI437" t="str">
        <f t="shared" si="131"/>
        <v>60P65442705113100</v>
      </c>
      <c r="AJ437" t="str">
        <f t="shared" si="132"/>
        <v>P654427051(KÖT)13100</v>
      </c>
    </row>
    <row r="438" spans="1:36" x14ac:dyDescent="0.25">
      <c r="A438" s="325" t="str">
        <f>CONCATENATE("P",'906MP'!M138)</f>
        <v>P654427</v>
      </c>
      <c r="B438">
        <f>'906MP'!H138</f>
        <v>60</v>
      </c>
      <c r="C438" t="str">
        <f>'906MP'!J138</f>
        <v>2025-03-01</v>
      </c>
      <c r="D438" t="str">
        <f>'906MP'!P138</f>
        <v>módosított ei</v>
      </c>
      <c r="E438">
        <f>'906MP'!X138</f>
        <v>-124616</v>
      </c>
      <c r="F438" t="str">
        <f t="shared" si="124"/>
        <v>05</v>
      </c>
      <c r="G438" t="str">
        <f t="shared" si="125"/>
        <v>051</v>
      </c>
      <c r="H438" t="str">
        <f>'906MP'!Y138</f>
        <v>0511011</v>
      </c>
      <c r="I438" t="str">
        <f>'906MP'!AK138</f>
        <v>2025/MEI-654427/4</v>
      </c>
      <c r="J438" t="str">
        <f>'906MP'!T138</f>
        <v>(KÖT)</v>
      </c>
      <c r="K438" t="str">
        <f>'906MP'!AJ138</f>
        <v/>
      </c>
      <c r="L438" t="str">
        <f>'906MP'!U138</f>
        <v>13100</v>
      </c>
      <c r="M438" s="322" t="str">
        <f>IFERROR(VLOOKUP(A438,PAR!$D$3:$E$53,2,FALSE),"nincs szervezet")</f>
        <v>Nagymarosi Napköziotthonos Óvoda és Bölcsőde</v>
      </c>
      <c r="N438" s="322" t="str">
        <f>VLOOKUP(F438,PAR!$R$3:$S$5,2,FALSE)</f>
        <v>2 - Kiadás</v>
      </c>
      <c r="O438" t="str">
        <f>IFERROR(VLOOKUP(J438,PAR!$O$3:$P$5,2,FALSE),"nincs feladat")</f>
        <v>1 - (KÖT)</v>
      </c>
      <c r="P438" t="str">
        <f>IFERROR(VLOOKUP(G438,PAR!$J$2:$M$19,4),"nincs rovat")</f>
        <v>K1 - Személyi juttatások</v>
      </c>
      <c r="Q438" t="str">
        <f>IF(H438&gt;0,VLOOKUP(H438,PAR!$AA$3:$AC$187,3,FALSE),"nincs főkönyvi számla")</f>
        <v>0511011 -  Törvény szerinti illetmények, munkabérek előirányzata</v>
      </c>
      <c r="R438" t="str">
        <f>IFERROR(VLOOKUP(K438,PAR!$V$3:$X$438,3,FALSE),"000000 - Nincs COFOG")</f>
        <v>000000 - Nincs COFOG</v>
      </c>
      <c r="S438">
        <f t="shared" si="126"/>
        <v>-124616</v>
      </c>
      <c r="T438">
        <f t="shared" si="127"/>
        <v>-124616</v>
      </c>
      <c r="U438" t="str">
        <f>IF('906MP'!J138&gt;0,CONCATENATE('906MP'!J138," - ",'906MP'!P138,", ",'906MP'!E138),"nincs megjegyzés")</f>
        <v>2025-03-01 - módosított ei, 2025/MEI-654427/4</v>
      </c>
      <c r="V438" t="str">
        <f t="shared" si="114"/>
        <v>60P654427051</v>
      </c>
      <c r="W438" t="str">
        <f t="shared" si="115"/>
        <v>60P65442705</v>
      </c>
      <c r="X438" t="str">
        <f t="shared" si="116"/>
        <v>P6544270511011</v>
      </c>
      <c r="Y438" t="str">
        <f t="shared" si="117"/>
        <v>600511011</v>
      </c>
      <c r="Z438" t="str">
        <f t="shared" si="128"/>
        <v>(KÖT)0511011</v>
      </c>
      <c r="AA438" t="str">
        <f t="shared" si="118"/>
        <v>60051</v>
      </c>
      <c r="AB438" t="str">
        <f t="shared" si="119"/>
        <v>(KÖT)051</v>
      </c>
      <c r="AC438" t="str">
        <f t="shared" si="120"/>
        <v>60P6544270511011</v>
      </c>
      <c r="AD438" t="str">
        <f t="shared" si="121"/>
        <v>P6544270511011(KÖT)</v>
      </c>
      <c r="AE438" t="str">
        <f t="shared" si="122"/>
        <v>60P654427051</v>
      </c>
      <c r="AF438" t="str">
        <f t="shared" si="123"/>
        <v>P654427051(KÖT)</v>
      </c>
      <c r="AG438" t="str">
        <f t="shared" si="129"/>
        <v>60P654427051101113100</v>
      </c>
      <c r="AH438" t="str">
        <f t="shared" si="130"/>
        <v>P654427(KÖT)051101113100</v>
      </c>
      <c r="AI438" t="str">
        <f t="shared" si="131"/>
        <v>60P65442705113100</v>
      </c>
      <c r="AJ438" t="str">
        <f t="shared" si="132"/>
        <v>P654427051(KÖT)13100</v>
      </c>
    </row>
    <row r="439" spans="1:36" x14ac:dyDescent="0.25">
      <c r="A439" s="325" t="str">
        <f>CONCATENATE("P",'906MP'!M139)</f>
        <v>P731113</v>
      </c>
      <c r="B439">
        <f>'906MP'!H139</f>
        <v>60</v>
      </c>
      <c r="C439" t="str">
        <f>'906MP'!J139</f>
        <v>2025-03-01</v>
      </c>
      <c r="D439" t="str">
        <f>'906MP'!P139</f>
        <v>módosított ei</v>
      </c>
      <c r="E439">
        <f>'906MP'!X139</f>
        <v>100000</v>
      </c>
      <c r="F439" t="str">
        <f t="shared" si="124"/>
        <v>05</v>
      </c>
      <c r="G439" t="str">
        <f t="shared" si="125"/>
        <v>051</v>
      </c>
      <c r="H439" t="str">
        <f>'906MP'!Y139</f>
        <v>0511031</v>
      </c>
      <c r="I439" t="str">
        <f>'906MP'!AK139</f>
        <v>2025/MEI-731113/18</v>
      </c>
      <c r="J439" t="str">
        <f>'906MP'!T139</f>
        <v>(KÖT)</v>
      </c>
      <c r="K439" t="str">
        <f>'906MP'!AJ139</f>
        <v/>
      </c>
      <c r="L439" t="str">
        <f>'906MP'!U139</f>
        <v>11100</v>
      </c>
      <c r="M439" s="322" t="str">
        <f>IFERROR(VLOOKUP(A439,PAR!$D$3:$E$53,2,FALSE),"nincs szervezet")</f>
        <v>Nagymaros Város Önkormányzata</v>
      </c>
      <c r="N439" s="322" t="str">
        <f>VLOOKUP(F439,PAR!$R$3:$S$5,2,FALSE)</f>
        <v>2 - Kiadás</v>
      </c>
      <c r="O439" t="str">
        <f>IFERROR(VLOOKUP(J439,PAR!$O$3:$P$5,2,FALSE),"nincs feladat")</f>
        <v>1 - (KÖT)</v>
      </c>
      <c r="P439" t="str">
        <f>IFERROR(VLOOKUP(G439,PAR!$J$2:$M$19,4),"nincs rovat")</f>
        <v>K1 - Személyi juttatások</v>
      </c>
      <c r="Q439" t="str">
        <f>IF(H439&gt;0,VLOOKUP(H439,PAR!$AA$3:$AC$187,3,FALSE),"nincs főkönyvi számla")</f>
        <v>0511031 -  Céljuttatás, projektprémium előirányzata</v>
      </c>
      <c r="R439" t="str">
        <f>IFERROR(VLOOKUP(K439,PAR!$V$3:$X$438,3,FALSE),"000000 - Nincs COFOG")</f>
        <v>000000 - Nincs COFOG</v>
      </c>
      <c r="S439">
        <f t="shared" si="126"/>
        <v>100000</v>
      </c>
      <c r="T439">
        <f t="shared" si="127"/>
        <v>100000</v>
      </c>
      <c r="U439" t="str">
        <f>IF('906MP'!J139&gt;0,CONCATENATE('906MP'!J139," - ",'906MP'!P139,", ",'906MP'!E139),"nincs megjegyzés")</f>
        <v>2025-03-01 - módosított ei, 2025/MEI-731113/18</v>
      </c>
      <c r="V439" t="str">
        <f t="shared" si="114"/>
        <v>60P731113051</v>
      </c>
      <c r="W439" t="str">
        <f t="shared" si="115"/>
        <v>60P73111305</v>
      </c>
      <c r="X439" t="str">
        <f t="shared" si="116"/>
        <v>P7311130511031</v>
      </c>
      <c r="Y439" t="str">
        <f t="shared" si="117"/>
        <v>600511031</v>
      </c>
      <c r="Z439" t="str">
        <f t="shared" si="128"/>
        <v>(KÖT)0511031</v>
      </c>
      <c r="AA439" t="str">
        <f t="shared" si="118"/>
        <v>60051</v>
      </c>
      <c r="AB439" t="str">
        <f t="shared" si="119"/>
        <v>(KÖT)051</v>
      </c>
      <c r="AC439" t="str">
        <f t="shared" si="120"/>
        <v>60P7311130511031</v>
      </c>
      <c r="AD439" t="str">
        <f t="shared" si="121"/>
        <v>P7311130511031(KÖT)</v>
      </c>
      <c r="AE439" t="str">
        <f t="shared" si="122"/>
        <v>60P731113051</v>
      </c>
      <c r="AF439" t="str">
        <f t="shared" si="123"/>
        <v>P731113051(KÖT)</v>
      </c>
      <c r="AG439" t="str">
        <f t="shared" si="129"/>
        <v>60P731113051103111100</v>
      </c>
      <c r="AH439" t="str">
        <f t="shared" si="130"/>
        <v>P731113(KÖT)051103111100</v>
      </c>
      <c r="AI439" t="str">
        <f t="shared" si="131"/>
        <v>60P73111305111100</v>
      </c>
      <c r="AJ439" t="str">
        <f t="shared" si="132"/>
        <v>P731113051(KÖT)11100</v>
      </c>
    </row>
    <row r="440" spans="1:36" x14ac:dyDescent="0.25">
      <c r="A440" s="325" t="str">
        <f>CONCATENATE("P",'906MP'!M140)</f>
        <v>P394031</v>
      </c>
      <c r="B440">
        <f>'906MP'!H140</f>
        <v>60</v>
      </c>
      <c r="C440" t="str">
        <f>'906MP'!J140</f>
        <v>2025-06-01</v>
      </c>
      <c r="D440" t="str">
        <f>'906MP'!P140</f>
        <v>módosított ei</v>
      </c>
      <c r="E440">
        <f>'906MP'!X140</f>
        <v>-24900</v>
      </c>
      <c r="F440" t="str">
        <f t="shared" si="124"/>
        <v>05</v>
      </c>
      <c r="G440" t="str">
        <f t="shared" si="125"/>
        <v>053</v>
      </c>
      <c r="H440" t="str">
        <f>'906MP'!Y140</f>
        <v>053371</v>
      </c>
      <c r="I440" t="str">
        <f>'906MP'!AK140</f>
        <v>2025/MEI-394031/11</v>
      </c>
      <c r="J440" t="str">
        <f>'906MP'!T140</f>
        <v>(KÖT)</v>
      </c>
      <c r="K440" t="str">
        <f>'906MP'!AJ140</f>
        <v/>
      </c>
      <c r="L440" t="str">
        <f>'906MP'!U140</f>
        <v>12100</v>
      </c>
      <c r="M440" s="322" t="str">
        <f>IFERROR(VLOOKUP(A440,PAR!$D$3:$E$53,2,FALSE),"nincs szervezet")</f>
        <v>Nagymarosi Polgármesteri Hivatal</v>
      </c>
      <c r="N440" s="322" t="str">
        <f>VLOOKUP(F440,PAR!$R$3:$S$5,2,FALSE)</f>
        <v>2 - Kiadás</v>
      </c>
      <c r="O440" t="str">
        <f>IFERROR(VLOOKUP(J440,PAR!$O$3:$P$5,2,FALSE),"nincs feladat")</f>
        <v>1 - (KÖT)</v>
      </c>
      <c r="P440" t="str">
        <f>IFERROR(VLOOKUP(G440,PAR!$J$2:$M$19,4),"nincs rovat")</f>
        <v>K3 - Dologi kiadások</v>
      </c>
      <c r="Q440" t="str">
        <f>IF(H440&gt;0,VLOOKUP(H440,PAR!$AA$3:$AC$187,3,FALSE),"nincs főkönyvi számla")</f>
        <v>053371 -  Egyéb szolgáltatások előirányzata</v>
      </c>
      <c r="R440" t="str">
        <f>IFERROR(VLOOKUP(K440,PAR!$V$3:$X$438,3,FALSE),"000000 - Nincs COFOG")</f>
        <v>000000 - Nincs COFOG</v>
      </c>
      <c r="S440">
        <f t="shared" si="126"/>
        <v>-24900</v>
      </c>
      <c r="T440">
        <f t="shared" si="127"/>
        <v>-24900</v>
      </c>
      <c r="U440" t="str">
        <f>IF('906MP'!J140&gt;0,CONCATENATE('906MP'!J140," - ",'906MP'!P140,", ",'906MP'!E140),"nincs megjegyzés")</f>
        <v>2025-06-01 - módosított ei, 2025/MEI-394031/11</v>
      </c>
      <c r="V440" t="str">
        <f t="shared" si="114"/>
        <v>60P394031053</v>
      </c>
      <c r="W440" t="str">
        <f t="shared" si="115"/>
        <v>60P39403105</v>
      </c>
      <c r="X440" t="str">
        <f t="shared" si="116"/>
        <v>P394031053371</v>
      </c>
      <c r="Y440" t="str">
        <f t="shared" si="117"/>
        <v>60053371</v>
      </c>
      <c r="Z440" t="str">
        <f t="shared" si="128"/>
        <v>(KÖT)053371</v>
      </c>
      <c r="AA440" t="str">
        <f t="shared" si="118"/>
        <v>60053</v>
      </c>
      <c r="AB440" t="str">
        <f t="shared" si="119"/>
        <v>(KÖT)053</v>
      </c>
      <c r="AC440" t="str">
        <f t="shared" si="120"/>
        <v>60P394031053371</v>
      </c>
      <c r="AD440" t="str">
        <f t="shared" si="121"/>
        <v>P394031053371(KÖT)</v>
      </c>
      <c r="AE440" t="str">
        <f t="shared" si="122"/>
        <v>60P394031053</v>
      </c>
      <c r="AF440" t="str">
        <f t="shared" si="123"/>
        <v>P394031053(KÖT)</v>
      </c>
      <c r="AG440" t="str">
        <f t="shared" si="129"/>
        <v>60P39403105337112100</v>
      </c>
      <c r="AH440" t="str">
        <f t="shared" si="130"/>
        <v>P394031(KÖT)05337112100</v>
      </c>
      <c r="AI440" t="str">
        <f t="shared" si="131"/>
        <v>60P39403105312100</v>
      </c>
      <c r="AJ440" t="str">
        <f t="shared" si="132"/>
        <v>P394031053(KÖT)12100</v>
      </c>
    </row>
    <row r="441" spans="1:36" x14ac:dyDescent="0.25">
      <c r="A441" s="325" t="str">
        <f>CONCATENATE("P",'906MP'!M141)</f>
        <v>P654449</v>
      </c>
      <c r="B441">
        <f>'906MP'!H141</f>
        <v>60</v>
      </c>
      <c r="C441" t="str">
        <f>'906MP'!J141</f>
        <v>2025-03-01</v>
      </c>
      <c r="D441" t="str">
        <f>'906MP'!P141</f>
        <v>módosított ei</v>
      </c>
      <c r="E441">
        <f>'906MP'!X141</f>
        <v>67989</v>
      </c>
      <c r="F441" t="str">
        <f t="shared" si="124"/>
        <v>05</v>
      </c>
      <c r="G441" t="str">
        <f t="shared" si="125"/>
        <v>051</v>
      </c>
      <c r="H441" t="str">
        <f>'906MP'!Y141</f>
        <v>0511131</v>
      </c>
      <c r="I441" t="str">
        <f>'906MP'!AK141</f>
        <v>2025/MEI-654449/2</v>
      </c>
      <c r="J441" t="str">
        <f>'906MP'!T141</f>
        <v>(ÖNV)</v>
      </c>
      <c r="K441" t="str">
        <f>'906MP'!AJ141</f>
        <v/>
      </c>
      <c r="L441" t="str">
        <f>'906MP'!U141</f>
        <v>15100</v>
      </c>
      <c r="M441" s="322" t="str">
        <f>IFERROR(VLOOKUP(A441,PAR!$D$3:$E$53,2,FALSE),"nincs szervezet")</f>
        <v>Gondozási Központ</v>
      </c>
      <c r="N441" s="322" t="str">
        <f>VLOOKUP(F441,PAR!$R$3:$S$5,2,FALSE)</f>
        <v>2 - Kiadás</v>
      </c>
      <c r="O441" t="str">
        <f>IFERROR(VLOOKUP(J441,PAR!$O$3:$P$5,2,FALSE),"nincs feladat")</f>
        <v>2 - (ÖNV)</v>
      </c>
      <c r="P441" t="str">
        <f>IFERROR(VLOOKUP(G441,PAR!$J$2:$M$19,4),"nincs rovat")</f>
        <v>K1 - Személyi juttatások</v>
      </c>
      <c r="Q441" t="str">
        <f>IF(H441&gt;0,VLOOKUP(H441,PAR!$AA$3:$AC$187,3,FALSE),"nincs főkönyvi számla")</f>
        <v>0511131 -  Foglalkoztatottak egyéb személyi juttatásai előirányzata</v>
      </c>
      <c r="R441" t="str">
        <f>IFERROR(VLOOKUP(K441,PAR!$V$3:$X$438,3,FALSE),"000000 - Nincs COFOG")</f>
        <v>000000 - Nincs COFOG</v>
      </c>
      <c r="S441">
        <f t="shared" si="126"/>
        <v>67989</v>
      </c>
      <c r="T441">
        <f t="shared" si="127"/>
        <v>67989</v>
      </c>
      <c r="U441" t="str">
        <f>IF('906MP'!J141&gt;0,CONCATENATE('906MP'!J141," - ",'906MP'!P141,", ",'906MP'!E141),"nincs megjegyzés")</f>
        <v>2025-03-01 - módosított ei, 2025/MEI-654449/2</v>
      </c>
      <c r="V441" t="str">
        <f t="shared" si="114"/>
        <v>60P654449051</v>
      </c>
      <c r="W441" t="str">
        <f t="shared" si="115"/>
        <v>60P65444905</v>
      </c>
      <c r="X441" t="str">
        <f t="shared" si="116"/>
        <v>P6544490511131</v>
      </c>
      <c r="Y441" t="str">
        <f t="shared" si="117"/>
        <v>600511131</v>
      </c>
      <c r="Z441" t="str">
        <f t="shared" si="128"/>
        <v>(ÖNV)0511131</v>
      </c>
      <c r="AA441" t="str">
        <f t="shared" si="118"/>
        <v>60051</v>
      </c>
      <c r="AB441" t="str">
        <f t="shared" si="119"/>
        <v>(ÖNV)051</v>
      </c>
      <c r="AC441" t="str">
        <f t="shared" si="120"/>
        <v>60P6544490511131</v>
      </c>
      <c r="AD441" t="str">
        <f t="shared" si="121"/>
        <v>P6544490511131(ÖNV)</v>
      </c>
      <c r="AE441" t="str">
        <f t="shared" si="122"/>
        <v>60P654449051</v>
      </c>
      <c r="AF441" t="str">
        <f t="shared" si="123"/>
        <v>P654449051(ÖNV)</v>
      </c>
      <c r="AG441" t="str">
        <f t="shared" si="129"/>
        <v>60P654449051113115100</v>
      </c>
      <c r="AH441" t="str">
        <f t="shared" si="130"/>
        <v>P654449(ÖNV)051113115100</v>
      </c>
      <c r="AI441" t="str">
        <f t="shared" si="131"/>
        <v>60P65444905115100</v>
      </c>
      <c r="AJ441" t="str">
        <f t="shared" si="132"/>
        <v>P654449051(ÖNV)15100</v>
      </c>
    </row>
    <row r="442" spans="1:36" x14ac:dyDescent="0.25">
      <c r="A442" s="325" t="str">
        <f>CONCATENATE("P",'906MP'!M142)</f>
        <v>P654449</v>
      </c>
      <c r="B442">
        <f>'906MP'!H142</f>
        <v>60</v>
      </c>
      <c r="C442" t="str">
        <f>'906MP'!J142</f>
        <v>2025-03-01</v>
      </c>
      <c r="D442" t="str">
        <f>'906MP'!P142</f>
        <v>módosított ei</v>
      </c>
      <c r="E442">
        <f>'906MP'!X142</f>
        <v>-67989</v>
      </c>
      <c r="F442" t="str">
        <f t="shared" si="124"/>
        <v>05</v>
      </c>
      <c r="G442" t="str">
        <f t="shared" si="125"/>
        <v>051</v>
      </c>
      <c r="H442" t="str">
        <f>'906MP'!Y142</f>
        <v>0511011</v>
      </c>
      <c r="I442" t="str">
        <f>'906MP'!AK142</f>
        <v>2025/MEI-654449/2</v>
      </c>
      <c r="J442" t="str">
        <f>'906MP'!T142</f>
        <v>(KÖT)</v>
      </c>
      <c r="K442" t="str">
        <f>'906MP'!AJ142</f>
        <v/>
      </c>
      <c r="L442" t="str">
        <f>'906MP'!U142</f>
        <v>15100</v>
      </c>
      <c r="M442" s="322" t="str">
        <f>IFERROR(VLOOKUP(A442,PAR!$D$3:$E$53,2,FALSE),"nincs szervezet")</f>
        <v>Gondozási Központ</v>
      </c>
      <c r="N442" s="322" t="str">
        <f>VLOOKUP(F442,PAR!$R$3:$S$5,2,FALSE)</f>
        <v>2 - Kiadás</v>
      </c>
      <c r="O442" t="str">
        <f>IFERROR(VLOOKUP(J442,PAR!$O$3:$P$5,2,FALSE),"nincs feladat")</f>
        <v>1 - (KÖT)</v>
      </c>
      <c r="P442" t="str">
        <f>IFERROR(VLOOKUP(G442,PAR!$J$2:$M$19,4),"nincs rovat")</f>
        <v>K1 - Személyi juttatások</v>
      </c>
      <c r="Q442" t="str">
        <f>IF(H442&gt;0,VLOOKUP(H442,PAR!$AA$3:$AC$187,3,FALSE),"nincs főkönyvi számla")</f>
        <v>0511011 -  Törvény szerinti illetmények, munkabérek előirányzata</v>
      </c>
      <c r="R442" t="str">
        <f>IFERROR(VLOOKUP(K442,PAR!$V$3:$X$438,3,FALSE),"000000 - Nincs COFOG")</f>
        <v>000000 - Nincs COFOG</v>
      </c>
      <c r="S442">
        <f t="shared" si="126"/>
        <v>-67989</v>
      </c>
      <c r="T442">
        <f t="shared" si="127"/>
        <v>-67989</v>
      </c>
      <c r="U442" t="str">
        <f>IF('906MP'!J142&gt;0,CONCATENATE('906MP'!J142," - ",'906MP'!P142,", ",'906MP'!E142),"nincs megjegyzés")</f>
        <v>2025-03-01 - módosított ei, 2025/MEI-654449/2</v>
      </c>
      <c r="V442" t="str">
        <f t="shared" si="114"/>
        <v>60P654449051</v>
      </c>
      <c r="W442" t="str">
        <f t="shared" si="115"/>
        <v>60P65444905</v>
      </c>
      <c r="X442" t="str">
        <f t="shared" si="116"/>
        <v>P6544490511011</v>
      </c>
      <c r="Y442" t="str">
        <f t="shared" si="117"/>
        <v>600511011</v>
      </c>
      <c r="Z442" t="str">
        <f t="shared" si="128"/>
        <v>(KÖT)0511011</v>
      </c>
      <c r="AA442" t="str">
        <f t="shared" si="118"/>
        <v>60051</v>
      </c>
      <c r="AB442" t="str">
        <f t="shared" si="119"/>
        <v>(KÖT)051</v>
      </c>
      <c r="AC442" t="str">
        <f t="shared" si="120"/>
        <v>60P6544490511011</v>
      </c>
      <c r="AD442" t="str">
        <f t="shared" si="121"/>
        <v>P6544490511011(KÖT)</v>
      </c>
      <c r="AE442" t="str">
        <f t="shared" si="122"/>
        <v>60P654449051</v>
      </c>
      <c r="AF442" t="str">
        <f t="shared" si="123"/>
        <v>P654449051(KÖT)</v>
      </c>
      <c r="AG442" t="str">
        <f t="shared" si="129"/>
        <v>60P654449051101115100</v>
      </c>
      <c r="AH442" t="str">
        <f t="shared" si="130"/>
        <v>P654449(KÖT)051101115100</v>
      </c>
      <c r="AI442" t="str">
        <f t="shared" si="131"/>
        <v>60P65444905115100</v>
      </c>
      <c r="AJ442" t="str">
        <f t="shared" si="132"/>
        <v>P654449051(KÖT)15100</v>
      </c>
    </row>
    <row r="443" spans="1:36" x14ac:dyDescent="0.25">
      <c r="A443" s="325" t="str">
        <f>CONCATENATE("P",'906MP'!M143)</f>
        <v>P731113</v>
      </c>
      <c r="B443">
        <f>'906MP'!H143</f>
        <v>60</v>
      </c>
      <c r="C443" t="str">
        <f>'906MP'!J143</f>
        <v>2025-04-01</v>
      </c>
      <c r="D443" t="str">
        <f>'906MP'!P143</f>
        <v>módosított ei</v>
      </c>
      <c r="E443">
        <f>'906MP'!X143</f>
        <v>50000</v>
      </c>
      <c r="F443" t="str">
        <f t="shared" si="124"/>
        <v>05</v>
      </c>
      <c r="G443" t="str">
        <f t="shared" si="125"/>
        <v>053</v>
      </c>
      <c r="H443" t="str">
        <f>'906MP'!Y143</f>
        <v>053551</v>
      </c>
      <c r="I443" t="str">
        <f>'906MP'!AK143</f>
        <v>2025/MEI-731113/25</v>
      </c>
      <c r="J443" t="str">
        <f>'906MP'!T143</f>
        <v>(KÖT)</v>
      </c>
      <c r="K443" t="str">
        <f>'906MP'!AJ143</f>
        <v/>
      </c>
      <c r="L443" t="str">
        <f>'906MP'!U143</f>
        <v>11100</v>
      </c>
      <c r="M443" s="322" t="str">
        <f>IFERROR(VLOOKUP(A443,PAR!$D$3:$E$53,2,FALSE),"nincs szervezet")</f>
        <v>Nagymaros Város Önkormányzata</v>
      </c>
      <c r="N443" s="322" t="str">
        <f>VLOOKUP(F443,PAR!$R$3:$S$5,2,FALSE)</f>
        <v>2 - Kiadás</v>
      </c>
      <c r="O443" t="str">
        <f>IFERROR(VLOOKUP(J443,PAR!$O$3:$P$5,2,FALSE),"nincs feladat")</f>
        <v>1 - (KÖT)</v>
      </c>
      <c r="P443" t="str">
        <f>IFERROR(VLOOKUP(G443,PAR!$J$2:$M$19,4),"nincs rovat")</f>
        <v>K3 - Dologi kiadások</v>
      </c>
      <c r="Q443" t="str">
        <f>IF(H443&gt;0,VLOOKUP(H443,PAR!$AA$3:$AC$187,3,FALSE),"nincs főkönyvi számla")</f>
        <v>053551 -  Egyéb dologi kiadások előirányzata</v>
      </c>
      <c r="R443" t="str">
        <f>IFERROR(VLOOKUP(K443,PAR!$V$3:$X$438,3,FALSE),"000000 - Nincs COFOG")</f>
        <v>000000 - Nincs COFOG</v>
      </c>
      <c r="S443">
        <f t="shared" si="126"/>
        <v>50000</v>
      </c>
      <c r="T443">
        <f t="shared" si="127"/>
        <v>50000</v>
      </c>
      <c r="U443" t="str">
        <f>IF('906MP'!J143&gt;0,CONCATENATE('906MP'!J143," - ",'906MP'!P143,", ",'906MP'!E143),"nincs megjegyzés")</f>
        <v>2025-04-01 - módosított ei, 2025/MEI-731113/25</v>
      </c>
      <c r="V443" t="str">
        <f t="shared" si="114"/>
        <v>60P731113053</v>
      </c>
      <c r="W443" t="str">
        <f t="shared" si="115"/>
        <v>60P73111305</v>
      </c>
      <c r="X443" t="str">
        <f t="shared" si="116"/>
        <v>P731113053551</v>
      </c>
      <c r="Y443" t="str">
        <f t="shared" si="117"/>
        <v>60053551</v>
      </c>
      <c r="Z443" t="str">
        <f t="shared" si="128"/>
        <v>(KÖT)053551</v>
      </c>
      <c r="AA443" t="str">
        <f t="shared" si="118"/>
        <v>60053</v>
      </c>
      <c r="AB443" t="str">
        <f t="shared" si="119"/>
        <v>(KÖT)053</v>
      </c>
      <c r="AC443" t="str">
        <f t="shared" si="120"/>
        <v>60P731113053551</v>
      </c>
      <c r="AD443" t="str">
        <f t="shared" si="121"/>
        <v>P731113053551(KÖT)</v>
      </c>
      <c r="AE443" t="str">
        <f t="shared" si="122"/>
        <v>60P731113053</v>
      </c>
      <c r="AF443" t="str">
        <f t="shared" si="123"/>
        <v>P731113053(KÖT)</v>
      </c>
      <c r="AG443" t="str">
        <f t="shared" si="129"/>
        <v>60P73111305355111100</v>
      </c>
      <c r="AH443" t="str">
        <f t="shared" si="130"/>
        <v>P731113(KÖT)05355111100</v>
      </c>
      <c r="AI443" t="str">
        <f t="shared" si="131"/>
        <v>60P73111305311100</v>
      </c>
      <c r="AJ443" t="str">
        <f t="shared" si="132"/>
        <v>P731113053(KÖT)11100</v>
      </c>
    </row>
    <row r="444" spans="1:36" x14ac:dyDescent="0.25">
      <c r="A444" s="325" t="str">
        <f>CONCATENATE("P",'906MP'!M144)</f>
        <v>P731113</v>
      </c>
      <c r="B444">
        <f>'906MP'!H144</f>
        <v>60</v>
      </c>
      <c r="C444" t="str">
        <f>'906MP'!J144</f>
        <v>2025-04-01</v>
      </c>
      <c r="D444" t="str">
        <f>'906MP'!P144</f>
        <v>módosított ei</v>
      </c>
      <c r="E444">
        <f>'906MP'!X144</f>
        <v>-50000</v>
      </c>
      <c r="F444" t="str">
        <f t="shared" si="124"/>
        <v>05</v>
      </c>
      <c r="G444" t="str">
        <f t="shared" si="125"/>
        <v>053</v>
      </c>
      <c r="H444" t="str">
        <f>'906MP'!Y144</f>
        <v>053511</v>
      </c>
      <c r="I444" t="str">
        <f>'906MP'!AK144</f>
        <v>2025/MEI-731113/25</v>
      </c>
      <c r="J444" t="str">
        <f>'906MP'!T144</f>
        <v>(KÖT)</v>
      </c>
      <c r="K444" t="str">
        <f>'906MP'!AJ144</f>
        <v/>
      </c>
      <c r="L444" t="str">
        <f>'906MP'!U144</f>
        <v>11100</v>
      </c>
      <c r="M444" s="322" t="str">
        <f>IFERROR(VLOOKUP(A444,PAR!$D$3:$E$53,2,FALSE),"nincs szervezet")</f>
        <v>Nagymaros Város Önkormányzata</v>
      </c>
      <c r="N444" s="322" t="str">
        <f>VLOOKUP(F444,PAR!$R$3:$S$5,2,FALSE)</f>
        <v>2 - Kiadás</v>
      </c>
      <c r="O444" t="str">
        <f>IFERROR(VLOOKUP(J444,PAR!$O$3:$P$5,2,FALSE),"nincs feladat")</f>
        <v>1 - (KÖT)</v>
      </c>
      <c r="P444" t="str">
        <f>IFERROR(VLOOKUP(G444,PAR!$J$2:$M$19,4),"nincs rovat")</f>
        <v>K3 - Dologi kiadások</v>
      </c>
      <c r="Q444" t="str">
        <f>IF(H444&gt;0,VLOOKUP(H444,PAR!$AA$3:$AC$187,3,FALSE),"nincs főkönyvi számla")</f>
        <v>053511 -  Működési célú előzetesen felszámított általános forgalmi adó előirányzata</v>
      </c>
      <c r="R444" t="str">
        <f>IFERROR(VLOOKUP(K444,PAR!$V$3:$X$438,3,FALSE),"000000 - Nincs COFOG")</f>
        <v>000000 - Nincs COFOG</v>
      </c>
      <c r="S444">
        <f t="shared" si="126"/>
        <v>-50000</v>
      </c>
      <c r="T444">
        <f t="shared" si="127"/>
        <v>-50000</v>
      </c>
      <c r="U444" t="str">
        <f>IF('906MP'!J144&gt;0,CONCATENATE('906MP'!J144," - ",'906MP'!P144,", ",'906MP'!E144),"nincs megjegyzés")</f>
        <v>2025-04-01 - módosított ei, 2025/MEI-731113/25</v>
      </c>
      <c r="V444" t="str">
        <f t="shared" si="114"/>
        <v>60P731113053</v>
      </c>
      <c r="W444" t="str">
        <f t="shared" si="115"/>
        <v>60P73111305</v>
      </c>
      <c r="X444" t="str">
        <f t="shared" si="116"/>
        <v>P731113053511</v>
      </c>
      <c r="Y444" t="str">
        <f t="shared" si="117"/>
        <v>60053511</v>
      </c>
      <c r="Z444" t="str">
        <f t="shared" si="128"/>
        <v>(KÖT)053511</v>
      </c>
      <c r="AA444" t="str">
        <f t="shared" si="118"/>
        <v>60053</v>
      </c>
      <c r="AB444" t="str">
        <f t="shared" si="119"/>
        <v>(KÖT)053</v>
      </c>
      <c r="AC444" t="str">
        <f t="shared" si="120"/>
        <v>60P731113053511</v>
      </c>
      <c r="AD444" t="str">
        <f t="shared" si="121"/>
        <v>P731113053511(KÖT)</v>
      </c>
      <c r="AE444" t="str">
        <f t="shared" si="122"/>
        <v>60P731113053</v>
      </c>
      <c r="AF444" t="str">
        <f t="shared" si="123"/>
        <v>P731113053(KÖT)</v>
      </c>
      <c r="AG444" t="str">
        <f t="shared" si="129"/>
        <v>60P73111305351111100</v>
      </c>
      <c r="AH444" t="str">
        <f t="shared" si="130"/>
        <v>P731113(KÖT)05351111100</v>
      </c>
      <c r="AI444" t="str">
        <f t="shared" si="131"/>
        <v>60P73111305311100</v>
      </c>
      <c r="AJ444" t="str">
        <f t="shared" si="132"/>
        <v>P731113053(KÖT)11100</v>
      </c>
    </row>
    <row r="445" spans="1:36" x14ac:dyDescent="0.25">
      <c r="A445" s="325" t="str">
        <f>CONCATENATE("P",'906MP'!M145)</f>
        <v>P731113</v>
      </c>
      <c r="B445">
        <f>'906MP'!H145</f>
        <v>60</v>
      </c>
      <c r="C445" t="str">
        <f>'906MP'!J145</f>
        <v>2025-04-01</v>
      </c>
      <c r="D445" t="str">
        <f>'906MP'!P145</f>
        <v>módosított ei</v>
      </c>
      <c r="E445">
        <f>'906MP'!X145</f>
        <v>2331</v>
      </c>
      <c r="F445" t="str">
        <f t="shared" si="124"/>
        <v>05</v>
      </c>
      <c r="G445" t="str">
        <f t="shared" si="125"/>
        <v>051</v>
      </c>
      <c r="H445" t="str">
        <f>'906MP'!Y145</f>
        <v>051231</v>
      </c>
      <c r="I445" t="str">
        <f>'906MP'!AK145</f>
        <v>2025/MEI-731113/40</v>
      </c>
      <c r="J445" t="str">
        <f>'906MP'!T145</f>
        <v>(KÖT)</v>
      </c>
      <c r="K445" t="str">
        <f>'906MP'!AJ145</f>
        <v/>
      </c>
      <c r="L445" t="str">
        <f>'906MP'!U145</f>
        <v>11100</v>
      </c>
      <c r="M445" s="322" t="str">
        <f>IFERROR(VLOOKUP(A445,PAR!$D$3:$E$53,2,FALSE),"nincs szervezet")</f>
        <v>Nagymaros Város Önkormányzata</v>
      </c>
      <c r="N445" s="322" t="str">
        <f>VLOOKUP(F445,PAR!$R$3:$S$5,2,FALSE)</f>
        <v>2 - Kiadás</v>
      </c>
      <c r="O445" t="str">
        <f>IFERROR(VLOOKUP(J445,PAR!$O$3:$P$5,2,FALSE),"nincs feladat")</f>
        <v>1 - (KÖT)</v>
      </c>
      <c r="P445" t="str">
        <f>IFERROR(VLOOKUP(G445,PAR!$J$2:$M$19,4),"nincs rovat")</f>
        <v>K1 - Személyi juttatások</v>
      </c>
      <c r="Q445" t="str">
        <f>IF(H445&gt;0,VLOOKUP(H445,PAR!$AA$3:$AC$187,3,FALSE),"nincs főkönyvi számla")</f>
        <v>051231 -  Egyéb külső személyi juttatások előirányzata</v>
      </c>
      <c r="R445" t="str">
        <f>IFERROR(VLOOKUP(K445,PAR!$V$3:$X$438,3,FALSE),"000000 - Nincs COFOG")</f>
        <v>000000 - Nincs COFOG</v>
      </c>
      <c r="S445">
        <f t="shared" si="126"/>
        <v>2331</v>
      </c>
      <c r="T445">
        <f t="shared" si="127"/>
        <v>2331</v>
      </c>
      <c r="U445" t="str">
        <f>IF('906MP'!J145&gt;0,CONCATENATE('906MP'!J145," - ",'906MP'!P145,", ",'906MP'!E145),"nincs megjegyzés")</f>
        <v>2025-04-01 - módosított ei, 2025/MEI-731113/40</v>
      </c>
      <c r="V445" t="str">
        <f t="shared" si="114"/>
        <v>60P731113051</v>
      </c>
      <c r="W445" t="str">
        <f t="shared" si="115"/>
        <v>60P73111305</v>
      </c>
      <c r="X445" t="str">
        <f t="shared" si="116"/>
        <v>P731113051231</v>
      </c>
      <c r="Y445" t="str">
        <f t="shared" si="117"/>
        <v>60051231</v>
      </c>
      <c r="Z445" t="str">
        <f t="shared" si="128"/>
        <v>(KÖT)051231</v>
      </c>
      <c r="AA445" t="str">
        <f t="shared" si="118"/>
        <v>60051</v>
      </c>
      <c r="AB445" t="str">
        <f t="shared" si="119"/>
        <v>(KÖT)051</v>
      </c>
      <c r="AC445" t="str">
        <f t="shared" si="120"/>
        <v>60P731113051231</v>
      </c>
      <c r="AD445" t="str">
        <f t="shared" si="121"/>
        <v>P731113051231(KÖT)</v>
      </c>
      <c r="AE445" t="str">
        <f t="shared" si="122"/>
        <v>60P731113051</v>
      </c>
      <c r="AF445" t="str">
        <f t="shared" si="123"/>
        <v>P731113051(KÖT)</v>
      </c>
      <c r="AG445" t="str">
        <f t="shared" si="129"/>
        <v>60P73111305123111100</v>
      </c>
      <c r="AH445" t="str">
        <f t="shared" si="130"/>
        <v>P731113(KÖT)05123111100</v>
      </c>
      <c r="AI445" t="str">
        <f t="shared" si="131"/>
        <v>60P73111305111100</v>
      </c>
      <c r="AJ445" t="str">
        <f t="shared" si="132"/>
        <v>P731113051(KÖT)11100</v>
      </c>
    </row>
    <row r="446" spans="1:36" x14ac:dyDescent="0.25">
      <c r="A446" s="325" t="str">
        <f>CONCATENATE("P",'906MP'!M146)</f>
        <v>P731113</v>
      </c>
      <c r="B446">
        <f>'906MP'!H146</f>
        <v>60</v>
      </c>
      <c r="C446" t="str">
        <f>'906MP'!J146</f>
        <v>2025-04-24</v>
      </c>
      <c r="D446" t="str">
        <f>'906MP'!P146</f>
        <v>ei mód - támog.összeg csökkenése miatt</v>
      </c>
      <c r="E446">
        <f>'906MP'!X146</f>
        <v>30559603</v>
      </c>
      <c r="F446" t="str">
        <f t="shared" si="124"/>
        <v>09</v>
      </c>
      <c r="G446" t="str">
        <f t="shared" si="125"/>
        <v>092</v>
      </c>
      <c r="H446" t="str">
        <f>'906MP'!Y146</f>
        <v>09211</v>
      </c>
      <c r="I446" t="str">
        <f>'906MP'!AK146</f>
        <v>2025/MEI-731113/28</v>
      </c>
      <c r="J446" t="str">
        <f>'906MP'!T146</f>
        <v>(KÖT)</v>
      </c>
      <c r="K446" t="str">
        <f>'906MP'!AJ146</f>
        <v/>
      </c>
      <c r="L446" t="str">
        <f>'906MP'!U146</f>
        <v>91100</v>
      </c>
      <c r="M446" s="322" t="str">
        <f>IFERROR(VLOOKUP(A446,PAR!$D$3:$E$53,2,FALSE),"nincs szervezet")</f>
        <v>Nagymaros Város Önkormányzata</v>
      </c>
      <c r="N446" s="322" t="str">
        <f>VLOOKUP(F446,PAR!$R$3:$S$5,2,FALSE)</f>
        <v>1 - Bevétel</v>
      </c>
      <c r="O446" t="str">
        <f>IFERROR(VLOOKUP(J446,PAR!$O$3:$P$5,2,FALSE),"nincs feladat")</f>
        <v>1 - (KÖT)</v>
      </c>
      <c r="P446" t="str">
        <f>IFERROR(VLOOKUP(G446,PAR!$J$2:$M$19,4),"nincs rovat")</f>
        <v>B2 - Felhalmozási célú támogatások államháztartáson belülről</v>
      </c>
      <c r="Q446" t="str">
        <f>IF(H446&gt;0,VLOOKUP(H446,PAR!$AA$3:$AC$187,3,FALSE),"nincs főkönyvi számla")</f>
        <v>09211 -  Felhalmozási célú önkormányzati támogatások előirányzata</v>
      </c>
      <c r="R446" t="str">
        <f>IFERROR(VLOOKUP(K446,PAR!$V$3:$X$438,3,FALSE),"000000 - Nincs COFOG")</f>
        <v>000000 - Nincs COFOG</v>
      </c>
      <c r="S446">
        <f t="shared" si="126"/>
        <v>30559603</v>
      </c>
      <c r="T446">
        <f t="shared" si="127"/>
        <v>-30559603</v>
      </c>
      <c r="U446" t="str">
        <f>IF('906MP'!J146&gt;0,CONCATENATE('906MP'!J146," - ",'906MP'!P146,", ",'906MP'!E146),"nincs megjegyzés")</f>
        <v>2025-04-24 - ei mód - támog.összeg csökkenése miatt, 2025/MEI-731113/28</v>
      </c>
      <c r="V446" t="str">
        <f t="shared" si="114"/>
        <v>60P731113092</v>
      </c>
      <c r="W446" t="str">
        <f t="shared" si="115"/>
        <v>60P73111309</v>
      </c>
      <c r="X446" t="str">
        <f t="shared" si="116"/>
        <v>P73111309211</v>
      </c>
      <c r="Y446" t="str">
        <f t="shared" si="117"/>
        <v>6009211</v>
      </c>
      <c r="Z446" t="str">
        <f t="shared" si="128"/>
        <v>(KÖT)09211</v>
      </c>
      <c r="AA446" t="str">
        <f t="shared" si="118"/>
        <v>60092</v>
      </c>
      <c r="AB446" t="str">
        <f t="shared" si="119"/>
        <v>(KÖT)092</v>
      </c>
      <c r="AC446" t="str">
        <f t="shared" si="120"/>
        <v>60P73111309211</v>
      </c>
      <c r="AD446" t="str">
        <f t="shared" si="121"/>
        <v>P73111309211(KÖT)</v>
      </c>
      <c r="AE446" t="str">
        <f t="shared" si="122"/>
        <v>60P731113092</v>
      </c>
      <c r="AF446" t="str">
        <f t="shared" si="123"/>
        <v>P731113092(KÖT)</v>
      </c>
      <c r="AG446" t="str">
        <f t="shared" si="129"/>
        <v>60P7311130921191100</v>
      </c>
      <c r="AH446" t="str">
        <f t="shared" si="130"/>
        <v>P731113(KÖT)0921191100</v>
      </c>
      <c r="AI446" t="str">
        <f t="shared" si="131"/>
        <v>60P73111309291100</v>
      </c>
      <c r="AJ446" t="str">
        <f t="shared" si="132"/>
        <v>P731113092(KÖT)91100</v>
      </c>
    </row>
    <row r="447" spans="1:36" x14ac:dyDescent="0.25">
      <c r="A447" s="325" t="str">
        <f>CONCATENATE("P",'906MP'!M147)</f>
        <v>P731113</v>
      </c>
      <c r="B447">
        <f>'906MP'!H147</f>
        <v>60</v>
      </c>
      <c r="C447" t="str">
        <f>'906MP'!J147</f>
        <v>2025-04-24</v>
      </c>
      <c r="D447" t="str">
        <f>'906MP'!P147</f>
        <v>ei mód - támog.összeg csökkenése miatt</v>
      </c>
      <c r="E447">
        <f>'906MP'!X147</f>
        <v>-30559603</v>
      </c>
      <c r="F447" t="str">
        <f t="shared" si="124"/>
        <v>05</v>
      </c>
      <c r="G447" t="str">
        <f t="shared" si="125"/>
        <v>055</v>
      </c>
      <c r="H447" t="str">
        <f>'906MP'!Y147</f>
        <v>055131</v>
      </c>
      <c r="I447" t="str">
        <f>'906MP'!AK147</f>
        <v>2025/MEI-731113/28</v>
      </c>
      <c r="J447" t="str">
        <f>'906MP'!T147</f>
        <v>(KÖT)</v>
      </c>
      <c r="K447" t="str">
        <f>'906MP'!AJ147</f>
        <v/>
      </c>
      <c r="L447" t="str">
        <f>'906MP'!U147</f>
        <v>11100</v>
      </c>
      <c r="M447" s="322" t="str">
        <f>IFERROR(VLOOKUP(A447,PAR!$D$3:$E$53,2,FALSE),"nincs szervezet")</f>
        <v>Nagymaros Város Önkormányzata</v>
      </c>
      <c r="N447" s="322" t="str">
        <f>VLOOKUP(F447,PAR!$R$3:$S$5,2,FALSE)</f>
        <v>2 - Kiadás</v>
      </c>
      <c r="O447" t="str">
        <f>IFERROR(VLOOKUP(J447,PAR!$O$3:$P$5,2,FALSE),"nincs feladat")</f>
        <v>1 - (KÖT)</v>
      </c>
      <c r="P447" t="str">
        <f>IFERROR(VLOOKUP(G447,PAR!$J$2:$M$19,4),"nincs rovat")</f>
        <v>K5 - Egyéb működési célú kiadások</v>
      </c>
      <c r="Q447" t="str">
        <f>IF(H447&gt;0,VLOOKUP(H447,PAR!$AA$3:$AC$187,3,FALSE),"nincs főkönyvi számla")</f>
        <v>055131 -  Tartalékok előirányzata</v>
      </c>
      <c r="R447" t="str">
        <f>IFERROR(VLOOKUP(K447,PAR!$V$3:$X$438,3,FALSE),"000000 - Nincs COFOG")</f>
        <v>000000 - Nincs COFOG</v>
      </c>
      <c r="S447">
        <f t="shared" si="126"/>
        <v>-30559603</v>
      </c>
      <c r="T447">
        <f t="shared" si="127"/>
        <v>-30559603</v>
      </c>
      <c r="U447" t="str">
        <f>IF('906MP'!J147&gt;0,CONCATENATE('906MP'!J147," - ",'906MP'!P147,", ",'906MP'!E147),"nincs megjegyzés")</f>
        <v>2025-04-24 - ei mód - támog.összeg csökkenése miatt, 2025/MEI-731113/28</v>
      </c>
      <c r="V447" t="str">
        <f t="shared" si="114"/>
        <v>60P731113055</v>
      </c>
      <c r="W447" t="str">
        <f t="shared" si="115"/>
        <v>60P73111305</v>
      </c>
      <c r="X447" t="str">
        <f t="shared" si="116"/>
        <v>P731113055131</v>
      </c>
      <c r="Y447" t="str">
        <f t="shared" si="117"/>
        <v>60055131</v>
      </c>
      <c r="Z447" t="str">
        <f t="shared" si="128"/>
        <v>(KÖT)055131</v>
      </c>
      <c r="AA447" t="str">
        <f t="shared" si="118"/>
        <v>60055</v>
      </c>
      <c r="AB447" t="str">
        <f t="shared" si="119"/>
        <v>(KÖT)055</v>
      </c>
      <c r="AC447" t="str">
        <f t="shared" si="120"/>
        <v>60P731113055131</v>
      </c>
      <c r="AD447" t="str">
        <f t="shared" si="121"/>
        <v>P731113055131(KÖT)</v>
      </c>
      <c r="AE447" t="str">
        <f t="shared" si="122"/>
        <v>60P731113055</v>
      </c>
      <c r="AF447" t="str">
        <f t="shared" si="123"/>
        <v>P731113055(KÖT)</v>
      </c>
      <c r="AG447" t="str">
        <f t="shared" si="129"/>
        <v>60P73111305513111100</v>
      </c>
      <c r="AH447" t="str">
        <f t="shared" si="130"/>
        <v>P731113(KÖT)05513111100</v>
      </c>
      <c r="AI447" t="str">
        <f t="shared" si="131"/>
        <v>60P73111305511100</v>
      </c>
      <c r="AJ447" t="str">
        <f t="shared" si="132"/>
        <v>P731113055(KÖT)11100</v>
      </c>
    </row>
    <row r="448" spans="1:36" x14ac:dyDescent="0.25">
      <c r="A448" s="325" t="str">
        <f>CONCATENATE("P",'906MP'!M148)</f>
        <v>P654472</v>
      </c>
      <c r="B448">
        <f>'906MP'!H148</f>
        <v>61</v>
      </c>
      <c r="C448" t="str">
        <f>'906MP'!J148</f>
        <v>2025-01-01</v>
      </c>
      <c r="D448" t="str">
        <f>'906MP'!P148</f>
        <v>eredeti ei</v>
      </c>
      <c r="E448">
        <f>'906MP'!X148</f>
        <v>-5720000</v>
      </c>
      <c r="F448" t="str">
        <f t="shared" si="124"/>
        <v>09</v>
      </c>
      <c r="G448" t="str">
        <f t="shared" si="125"/>
        <v>094</v>
      </c>
      <c r="H448" t="str">
        <f>'906MP'!Y148</f>
        <v>094021</v>
      </c>
      <c r="I448" t="str">
        <f>'906MP'!AK148</f>
        <v>2025/EEI-654472/1</v>
      </c>
      <c r="J448" t="str">
        <f>'906MP'!T148</f>
        <v>(KÖT)</v>
      </c>
      <c r="K448" t="str">
        <f>'906MP'!AJ148</f>
        <v/>
      </c>
      <c r="L448" t="str">
        <f>'906MP'!U148</f>
        <v>94050</v>
      </c>
      <c r="M448" s="322" t="str">
        <f>IFERROR(VLOOKUP(A448,PAR!$D$3:$E$53,2,FALSE),"nincs szervezet")</f>
        <v>Nagymaros Városi Könyvtár és Művelődési Ház</v>
      </c>
      <c r="N448" s="322" t="str">
        <f>VLOOKUP(F448,PAR!$R$3:$S$5,2,FALSE)</f>
        <v>1 - Bevétel</v>
      </c>
      <c r="O448" t="str">
        <f>IFERROR(VLOOKUP(J448,PAR!$O$3:$P$5,2,FALSE),"nincs feladat")</f>
        <v>1 - (KÖT)</v>
      </c>
      <c r="P448" t="str">
        <f>IFERROR(VLOOKUP(G448,PAR!$J$2:$M$19,4),"nincs rovat")</f>
        <v>B4 - Működési bevételek</v>
      </c>
      <c r="Q448" t="str">
        <f>IF(H448&gt;0,VLOOKUP(H448,PAR!$AA$3:$AC$187,3,FALSE),"nincs főkönyvi számla")</f>
        <v>094021 -  Szolgáltatások ellenértéke előirányzata</v>
      </c>
      <c r="R448" t="str">
        <f>IFERROR(VLOOKUP(K448,PAR!$V$3:$X$438,3,FALSE),"000000 - Nincs COFOG")</f>
        <v>000000 - Nincs COFOG</v>
      </c>
      <c r="S448">
        <f t="shared" si="126"/>
        <v>-5720000</v>
      </c>
      <c r="T448">
        <f t="shared" si="127"/>
        <v>5720000</v>
      </c>
      <c r="U448" t="str">
        <f>IF('906MP'!J148&gt;0,CONCATENATE('906MP'!J148," - ",'906MP'!P148,", ",'906MP'!E148),"nincs megjegyzés")</f>
        <v>2025-01-01 - eredeti ei, 2025/EEI-654472/1</v>
      </c>
      <c r="V448" t="str">
        <f t="shared" si="114"/>
        <v>61P654472094</v>
      </c>
      <c r="W448" t="str">
        <f t="shared" si="115"/>
        <v>61P65447209</v>
      </c>
      <c r="X448" t="str">
        <f t="shared" si="116"/>
        <v>P654472094021</v>
      </c>
      <c r="Y448" t="str">
        <f t="shared" si="117"/>
        <v>61094021</v>
      </c>
      <c r="Z448" t="str">
        <f t="shared" si="128"/>
        <v>(KÖT)094021</v>
      </c>
      <c r="AA448" t="str">
        <f t="shared" si="118"/>
        <v>61094</v>
      </c>
      <c r="AB448" t="str">
        <f t="shared" si="119"/>
        <v>(KÖT)094</v>
      </c>
      <c r="AC448" t="str">
        <f t="shared" si="120"/>
        <v>61P654472094021</v>
      </c>
      <c r="AD448" t="str">
        <f t="shared" si="121"/>
        <v>P654472094021(KÖT)</v>
      </c>
      <c r="AE448" t="str">
        <f t="shared" si="122"/>
        <v>61P654472094</v>
      </c>
      <c r="AF448" t="str">
        <f t="shared" si="123"/>
        <v>P654472094(KÖT)</v>
      </c>
      <c r="AG448" t="str">
        <f t="shared" si="129"/>
        <v>61P65447209402194050</v>
      </c>
      <c r="AH448" t="str">
        <f t="shared" si="130"/>
        <v>P654472(KÖT)09402194050</v>
      </c>
      <c r="AI448" t="str">
        <f t="shared" si="131"/>
        <v>61P65447209494050</v>
      </c>
      <c r="AJ448" t="str">
        <f t="shared" si="132"/>
        <v>P654472094(KÖT)94050</v>
      </c>
    </row>
    <row r="449" spans="1:36" x14ac:dyDescent="0.25">
      <c r="A449" s="325" t="str">
        <f>CONCATENATE("P",'906MP'!M149)</f>
        <v>P394031</v>
      </c>
      <c r="B449">
        <f>'906MP'!H149</f>
        <v>61</v>
      </c>
      <c r="C449" t="str">
        <f>'906MP'!J149</f>
        <v>2025-01-01</v>
      </c>
      <c r="D449" t="str">
        <f>'906MP'!P149</f>
        <v>eredeti ei</v>
      </c>
      <c r="E449">
        <f>'906MP'!X149</f>
        <v>2962992</v>
      </c>
      <c r="F449" t="str">
        <f t="shared" si="124"/>
        <v>05</v>
      </c>
      <c r="G449" t="str">
        <f t="shared" si="125"/>
        <v>053</v>
      </c>
      <c r="H449" t="str">
        <f>'906MP'!Y149</f>
        <v>053341</v>
      </c>
      <c r="I449" t="str">
        <f>'906MP'!AK149</f>
        <v>2025/EEI-394031/1</v>
      </c>
      <c r="J449" t="str">
        <f>'906MP'!T149</f>
        <v>(KÖT)</v>
      </c>
      <c r="K449" t="str">
        <f>'906MP'!AJ149</f>
        <v/>
      </c>
      <c r="L449" t="str">
        <f>'906MP'!U149</f>
        <v>12100</v>
      </c>
      <c r="M449" s="322" t="str">
        <f>IFERROR(VLOOKUP(A449,PAR!$D$3:$E$53,2,FALSE),"nincs szervezet")</f>
        <v>Nagymarosi Polgármesteri Hivatal</v>
      </c>
      <c r="N449" s="322" t="str">
        <f>VLOOKUP(F449,PAR!$R$3:$S$5,2,FALSE)</f>
        <v>2 - Kiadás</v>
      </c>
      <c r="O449" t="str">
        <f>IFERROR(VLOOKUP(J449,PAR!$O$3:$P$5,2,FALSE),"nincs feladat")</f>
        <v>1 - (KÖT)</v>
      </c>
      <c r="P449" t="str">
        <f>IFERROR(VLOOKUP(G449,PAR!$J$2:$M$19,4),"nincs rovat")</f>
        <v>K3 - Dologi kiadások</v>
      </c>
      <c r="Q449" t="str">
        <f>IF(H449&gt;0,VLOOKUP(H449,PAR!$AA$3:$AC$187,3,FALSE),"nincs főkönyvi számla")</f>
        <v>053341 -  Karbantartási, kisjavítási szolgáltatások előirányzata</v>
      </c>
      <c r="R449" t="str">
        <f>IFERROR(VLOOKUP(K449,PAR!$V$3:$X$438,3,FALSE),"000000 - Nincs COFOG")</f>
        <v>000000 - Nincs COFOG</v>
      </c>
      <c r="S449">
        <f t="shared" si="126"/>
        <v>2962992</v>
      </c>
      <c r="T449">
        <f t="shared" si="127"/>
        <v>2962992</v>
      </c>
      <c r="U449" t="str">
        <f>IF('906MP'!J149&gt;0,CONCATENATE('906MP'!J149," - ",'906MP'!P149,", ",'906MP'!E149),"nincs megjegyzés")</f>
        <v>2025-01-01 - eredeti ei, 2025/EEI-394031/1</v>
      </c>
      <c r="V449" t="str">
        <f t="shared" si="114"/>
        <v>61P394031053</v>
      </c>
      <c r="W449" t="str">
        <f t="shared" si="115"/>
        <v>61P39403105</v>
      </c>
      <c r="X449" t="str">
        <f t="shared" si="116"/>
        <v>P394031053341</v>
      </c>
      <c r="Y449" t="str">
        <f t="shared" si="117"/>
        <v>61053341</v>
      </c>
      <c r="Z449" t="str">
        <f t="shared" si="128"/>
        <v>(KÖT)053341</v>
      </c>
      <c r="AA449" t="str">
        <f t="shared" si="118"/>
        <v>61053</v>
      </c>
      <c r="AB449" t="str">
        <f t="shared" si="119"/>
        <v>(KÖT)053</v>
      </c>
      <c r="AC449" t="str">
        <f t="shared" si="120"/>
        <v>61P394031053341</v>
      </c>
      <c r="AD449" t="str">
        <f t="shared" si="121"/>
        <v>P394031053341(KÖT)</v>
      </c>
      <c r="AE449" t="str">
        <f t="shared" si="122"/>
        <v>61P394031053</v>
      </c>
      <c r="AF449" t="str">
        <f t="shared" si="123"/>
        <v>P394031053(KÖT)</v>
      </c>
      <c r="AG449" t="str">
        <f t="shared" si="129"/>
        <v>61P39403105334112100</v>
      </c>
      <c r="AH449" t="str">
        <f t="shared" si="130"/>
        <v>P394031(KÖT)05334112100</v>
      </c>
      <c r="AI449" t="str">
        <f t="shared" si="131"/>
        <v>61P39403105312100</v>
      </c>
      <c r="AJ449" t="str">
        <f t="shared" si="132"/>
        <v>P394031053(KÖT)12100</v>
      </c>
    </row>
    <row r="450" spans="1:36" x14ac:dyDescent="0.25">
      <c r="A450" s="325" t="str">
        <f>CONCATENATE("P",'906MP'!M150)</f>
        <v>P654472</v>
      </c>
      <c r="B450">
        <f>'906MP'!H150</f>
        <v>61</v>
      </c>
      <c r="C450" t="str">
        <f>'906MP'!J150</f>
        <v>2025-01-01</v>
      </c>
      <c r="D450" t="str">
        <f>'906MP'!P150</f>
        <v>eredeti ei</v>
      </c>
      <c r="E450">
        <f>'906MP'!X150</f>
        <v>-1611496</v>
      </c>
      <c r="F450" t="str">
        <f t="shared" si="124"/>
        <v>09</v>
      </c>
      <c r="G450" t="str">
        <f t="shared" si="125"/>
        <v>098</v>
      </c>
      <c r="H450" t="str">
        <f>'906MP'!Y150</f>
        <v>0981311</v>
      </c>
      <c r="I450" t="str">
        <f>'906MP'!AK150</f>
        <v>2025/EEI-654472/1</v>
      </c>
      <c r="J450" t="str">
        <f>'906MP'!T150</f>
        <v>(KÖT)</v>
      </c>
      <c r="K450" t="str">
        <f>'906MP'!AJ150</f>
        <v/>
      </c>
      <c r="L450" t="str">
        <f>'906MP'!U150</f>
        <v>94050</v>
      </c>
      <c r="M450" s="322" t="str">
        <f>IFERROR(VLOOKUP(A450,PAR!$D$3:$E$53,2,FALSE),"nincs szervezet")</f>
        <v>Nagymaros Városi Könyvtár és Művelődési Ház</v>
      </c>
      <c r="N450" s="322" t="str">
        <f>VLOOKUP(F450,PAR!$R$3:$S$5,2,FALSE)</f>
        <v>1 - Bevétel</v>
      </c>
      <c r="O450" t="str">
        <f>IFERROR(VLOOKUP(J450,PAR!$O$3:$P$5,2,FALSE),"nincs feladat")</f>
        <v>1 - (KÖT)</v>
      </c>
      <c r="P450" t="str">
        <f>IFERROR(VLOOKUP(G450,PAR!$J$2:$M$19,4),"nincs rovat")</f>
        <v>B8 - Finanszírozási bevételek</v>
      </c>
      <c r="Q450" t="str">
        <f>IF(H450&gt;0,VLOOKUP(H450,PAR!$AA$3:$AC$187,3,FALSE),"nincs főkönyvi számla")</f>
        <v>0981311 -  Előző év költségvetési maradványának igénybevétele előirányzata</v>
      </c>
      <c r="R450" t="str">
        <f>IFERROR(VLOOKUP(K450,PAR!$V$3:$X$438,3,FALSE),"000000 - Nincs COFOG")</f>
        <v>000000 - Nincs COFOG</v>
      </c>
      <c r="S450">
        <f t="shared" si="126"/>
        <v>-1611496</v>
      </c>
      <c r="T450">
        <f t="shared" si="127"/>
        <v>1611496</v>
      </c>
      <c r="U450" t="str">
        <f>IF('906MP'!J150&gt;0,CONCATENATE('906MP'!J150," - ",'906MP'!P150,", ",'906MP'!E150),"nincs megjegyzés")</f>
        <v>2025-01-01 - eredeti ei, 2025/EEI-654472/1</v>
      </c>
      <c r="V450" t="str">
        <f t="shared" ref="V450:V513" si="133">CONCATENATE(B450,A450,G450)</f>
        <v>61P654472098</v>
      </c>
      <c r="W450" t="str">
        <f t="shared" ref="W450:W513" si="134">CONCATENATE(B450,A450,F450)</f>
        <v>61P65447209</v>
      </c>
      <c r="X450" t="str">
        <f t="shared" ref="X450:X513" si="135">CONCATENATE(A450,H450)</f>
        <v>P6544720981311</v>
      </c>
      <c r="Y450" t="str">
        <f t="shared" ref="Y450:Y513" si="136">CONCATENATE(B450,H450)</f>
        <v>610981311</v>
      </c>
      <c r="Z450" t="str">
        <f t="shared" si="128"/>
        <v>(KÖT)0981311</v>
      </c>
      <c r="AA450" t="str">
        <f t="shared" ref="AA450:AA513" si="137">CONCATENATE(B450,G450)</f>
        <v>61098</v>
      </c>
      <c r="AB450" t="str">
        <f t="shared" ref="AB450:AB513" si="138">CONCATENATE(J450,G450)</f>
        <v>(KÖT)098</v>
      </c>
      <c r="AC450" t="str">
        <f t="shared" ref="AC450:AC513" si="139">CONCATENATE(B450,A450,H450)</f>
        <v>61P6544720981311</v>
      </c>
      <c r="AD450" t="str">
        <f t="shared" ref="AD450:AD513" si="140">CONCATENATE(A450,H450,J450)</f>
        <v>P6544720981311(KÖT)</v>
      </c>
      <c r="AE450" t="str">
        <f t="shared" ref="AE450:AE513" si="141">CONCATENATE(B450,A450,G450)</f>
        <v>61P654472098</v>
      </c>
      <c r="AF450" t="str">
        <f t="shared" ref="AF450:AF513" si="142">CONCATENATE(A450,G450,J450)</f>
        <v>P654472098(KÖT)</v>
      </c>
      <c r="AG450" t="str">
        <f t="shared" si="129"/>
        <v>61P654472098131194050</v>
      </c>
      <c r="AH450" t="str">
        <f t="shared" si="130"/>
        <v>P654472(KÖT)098131194050</v>
      </c>
      <c r="AI450" t="str">
        <f t="shared" si="131"/>
        <v>61P65447209894050</v>
      </c>
      <c r="AJ450" t="str">
        <f t="shared" si="132"/>
        <v>P654472098(KÖT)94050</v>
      </c>
    </row>
    <row r="451" spans="1:36" x14ac:dyDescent="0.25">
      <c r="A451" s="325" t="str">
        <f>CONCATENATE("P",'906MP'!M151)</f>
        <v>P394031</v>
      </c>
      <c r="B451">
        <f>'906MP'!H151</f>
        <v>61</v>
      </c>
      <c r="C451" t="str">
        <f>'906MP'!J151</f>
        <v>2025-01-01</v>
      </c>
      <c r="D451" t="str">
        <f>'906MP'!P151</f>
        <v>eredeti ei</v>
      </c>
      <c r="E451">
        <f>'906MP'!X151</f>
        <v>4524000</v>
      </c>
      <c r="F451" t="str">
        <f t="shared" ref="F451:F514" si="143">LEFT(G451,2)</f>
        <v>05</v>
      </c>
      <c r="G451" t="str">
        <f t="shared" ref="G451:G514" si="144">LEFT(H451,3)</f>
        <v>053</v>
      </c>
      <c r="H451" t="str">
        <f>'906MP'!Y151</f>
        <v>053361</v>
      </c>
      <c r="I451" t="str">
        <f>'906MP'!AK151</f>
        <v>2025/EEI-394031/1</v>
      </c>
      <c r="J451" t="str">
        <f>'906MP'!T151</f>
        <v>(KÖT)</v>
      </c>
      <c r="K451" t="str">
        <f>'906MP'!AJ151</f>
        <v/>
      </c>
      <c r="L451" t="str">
        <f>'906MP'!U151</f>
        <v>12100</v>
      </c>
      <c r="M451" s="322" t="str">
        <f>IFERROR(VLOOKUP(A451,PAR!$D$3:$E$53,2,FALSE),"nincs szervezet")</f>
        <v>Nagymarosi Polgármesteri Hivatal</v>
      </c>
      <c r="N451" s="322" t="str">
        <f>VLOOKUP(F451,PAR!$R$3:$S$5,2,FALSE)</f>
        <v>2 - Kiadás</v>
      </c>
      <c r="O451" t="str">
        <f>IFERROR(VLOOKUP(J451,PAR!$O$3:$P$5,2,FALSE),"nincs feladat")</f>
        <v>1 - (KÖT)</v>
      </c>
      <c r="P451" t="str">
        <f>IFERROR(VLOOKUP(G451,PAR!$J$2:$M$19,4),"nincs rovat")</f>
        <v>K3 - Dologi kiadások</v>
      </c>
      <c r="Q451" t="str">
        <f>IF(H451&gt;0,VLOOKUP(H451,PAR!$AA$3:$AC$187,3,FALSE),"nincs főkönyvi számla")</f>
        <v>053361 -  Szakmai tevékenységet segítő szolgáltatások előirányzata</v>
      </c>
      <c r="R451" t="str">
        <f>IFERROR(VLOOKUP(K451,PAR!$V$3:$X$438,3,FALSE),"000000 - Nincs COFOG")</f>
        <v>000000 - Nincs COFOG</v>
      </c>
      <c r="S451">
        <f t="shared" ref="S451:S514" si="145">E451</f>
        <v>4524000</v>
      </c>
      <c r="T451">
        <f t="shared" ref="T451:T514" si="146">IF(F451="09",E451*-1,E451)</f>
        <v>4524000</v>
      </c>
      <c r="U451" t="str">
        <f>IF('906MP'!J151&gt;0,CONCATENATE('906MP'!J151," - ",'906MP'!P151,", ",'906MP'!E151),"nincs megjegyzés")</f>
        <v>2025-01-01 - eredeti ei, 2025/EEI-394031/1</v>
      </c>
      <c r="V451" t="str">
        <f t="shared" si="133"/>
        <v>61P394031053</v>
      </c>
      <c r="W451" t="str">
        <f t="shared" si="134"/>
        <v>61P39403105</v>
      </c>
      <c r="X451" t="str">
        <f t="shared" si="135"/>
        <v>P394031053361</v>
      </c>
      <c r="Y451" t="str">
        <f t="shared" si="136"/>
        <v>61053361</v>
      </c>
      <c r="Z451" t="str">
        <f t="shared" ref="Z451:Z514" si="147">CONCATENATE(J451,H451)</f>
        <v>(KÖT)053361</v>
      </c>
      <c r="AA451" t="str">
        <f t="shared" si="137"/>
        <v>61053</v>
      </c>
      <c r="AB451" t="str">
        <f t="shared" si="138"/>
        <v>(KÖT)053</v>
      </c>
      <c r="AC451" t="str">
        <f t="shared" si="139"/>
        <v>61P394031053361</v>
      </c>
      <c r="AD451" t="str">
        <f t="shared" si="140"/>
        <v>P394031053361(KÖT)</v>
      </c>
      <c r="AE451" t="str">
        <f t="shared" si="141"/>
        <v>61P394031053</v>
      </c>
      <c r="AF451" t="str">
        <f t="shared" si="142"/>
        <v>P394031053(KÖT)</v>
      </c>
      <c r="AG451" t="str">
        <f t="shared" ref="AG451:AG514" si="148">CONCATENATE(B451,A451,H451,L451)</f>
        <v>61P39403105336112100</v>
      </c>
      <c r="AH451" t="str">
        <f t="shared" ref="AH451:AH514" si="149">CONCATENATE(A451,J451,H451,L451)</f>
        <v>P394031(KÖT)05336112100</v>
      </c>
      <c r="AI451" t="str">
        <f t="shared" ref="AI451:AI514" si="150">CONCATENATE(B451,A451,G451,L451)</f>
        <v>61P39403105312100</v>
      </c>
      <c r="AJ451" t="str">
        <f t="shared" ref="AJ451:AJ514" si="151">CONCATENATE(A451,G451,J451,L451)</f>
        <v>P394031053(KÖT)12100</v>
      </c>
    </row>
    <row r="452" spans="1:36" x14ac:dyDescent="0.25">
      <c r="A452" s="325" t="str">
        <f>CONCATENATE("P",'906MP'!M152)</f>
        <v>P654472</v>
      </c>
      <c r="B452">
        <f>'906MP'!H152</f>
        <v>61</v>
      </c>
      <c r="C452" t="str">
        <f>'906MP'!J152</f>
        <v>2025-01-01</v>
      </c>
      <c r="D452" t="str">
        <f>'906MP'!P152</f>
        <v>eredeti ei</v>
      </c>
      <c r="E452">
        <f>'906MP'!X152</f>
        <v>-56999040</v>
      </c>
      <c r="F452" t="str">
        <f t="shared" si="143"/>
        <v>09</v>
      </c>
      <c r="G452" t="str">
        <f t="shared" si="144"/>
        <v>098</v>
      </c>
      <c r="H452" t="str">
        <f>'906MP'!Y152</f>
        <v>098161</v>
      </c>
      <c r="I452" t="str">
        <f>'906MP'!AK152</f>
        <v>2025/EEI-654472/1</v>
      </c>
      <c r="J452" t="str">
        <f>'906MP'!T152</f>
        <v>(KÖT)</v>
      </c>
      <c r="K452" t="str">
        <f>'906MP'!AJ152</f>
        <v/>
      </c>
      <c r="L452" t="str">
        <f>'906MP'!U152</f>
        <v>94050</v>
      </c>
      <c r="M452" s="322" t="str">
        <f>IFERROR(VLOOKUP(A452,PAR!$D$3:$E$53,2,FALSE),"nincs szervezet")</f>
        <v>Nagymaros Városi Könyvtár és Művelődési Ház</v>
      </c>
      <c r="N452" s="322" t="str">
        <f>VLOOKUP(F452,PAR!$R$3:$S$5,2,FALSE)</f>
        <v>1 - Bevétel</v>
      </c>
      <c r="O452" t="str">
        <f>IFERROR(VLOOKUP(J452,PAR!$O$3:$P$5,2,FALSE),"nincs feladat")</f>
        <v>1 - (KÖT)</v>
      </c>
      <c r="P452" t="str">
        <f>IFERROR(VLOOKUP(G452,PAR!$J$2:$M$19,4),"nincs rovat")</f>
        <v>B8 - Finanszírozási bevételek</v>
      </c>
      <c r="Q452" t="str">
        <f>IF(H452&gt;0,VLOOKUP(H452,PAR!$AA$3:$AC$187,3,FALSE),"nincs főkönyvi számla")</f>
        <v>098161 -  Központi, irányító szervi támogatás előirányzata</v>
      </c>
      <c r="R452" t="str">
        <f>IFERROR(VLOOKUP(K452,PAR!$V$3:$X$438,3,FALSE),"000000 - Nincs COFOG")</f>
        <v>000000 - Nincs COFOG</v>
      </c>
      <c r="S452">
        <f t="shared" si="145"/>
        <v>-56999040</v>
      </c>
      <c r="T452">
        <f t="shared" si="146"/>
        <v>56999040</v>
      </c>
      <c r="U452" t="str">
        <f>IF('906MP'!J152&gt;0,CONCATENATE('906MP'!J152," - ",'906MP'!P152,", ",'906MP'!E152),"nincs megjegyzés")</f>
        <v>2025-01-01 - eredeti ei, 2025/EEI-654472/1</v>
      </c>
      <c r="V452" t="str">
        <f t="shared" si="133"/>
        <v>61P654472098</v>
      </c>
      <c r="W452" t="str">
        <f t="shared" si="134"/>
        <v>61P65447209</v>
      </c>
      <c r="X452" t="str">
        <f t="shared" si="135"/>
        <v>P654472098161</v>
      </c>
      <c r="Y452" t="str">
        <f t="shared" si="136"/>
        <v>61098161</v>
      </c>
      <c r="Z452" t="str">
        <f t="shared" si="147"/>
        <v>(KÖT)098161</v>
      </c>
      <c r="AA452" t="str">
        <f t="shared" si="137"/>
        <v>61098</v>
      </c>
      <c r="AB452" t="str">
        <f t="shared" si="138"/>
        <v>(KÖT)098</v>
      </c>
      <c r="AC452" t="str">
        <f t="shared" si="139"/>
        <v>61P654472098161</v>
      </c>
      <c r="AD452" t="str">
        <f t="shared" si="140"/>
        <v>P654472098161(KÖT)</v>
      </c>
      <c r="AE452" t="str">
        <f t="shared" si="141"/>
        <v>61P654472098</v>
      </c>
      <c r="AF452" t="str">
        <f t="shared" si="142"/>
        <v>P654472098(KÖT)</v>
      </c>
      <c r="AG452" t="str">
        <f t="shared" si="148"/>
        <v>61P65447209816194050</v>
      </c>
      <c r="AH452" t="str">
        <f t="shared" si="149"/>
        <v>P654472(KÖT)09816194050</v>
      </c>
      <c r="AI452" t="str">
        <f t="shared" si="150"/>
        <v>61P65447209894050</v>
      </c>
      <c r="AJ452" t="str">
        <f t="shared" si="151"/>
        <v>P654472098(KÖT)94050</v>
      </c>
    </row>
    <row r="453" spans="1:36" x14ac:dyDescent="0.25">
      <c r="A453" s="325" t="str">
        <f>CONCATENATE("P",'906MP'!M153)</f>
        <v>P394031</v>
      </c>
      <c r="B453">
        <f>'906MP'!H153</f>
        <v>61</v>
      </c>
      <c r="C453" t="str">
        <f>'906MP'!J153</f>
        <v>2025-01-01</v>
      </c>
      <c r="D453" t="str">
        <f>'906MP'!P153</f>
        <v>eredeti ei</v>
      </c>
      <c r="E453">
        <f>'906MP'!X153</f>
        <v>8887184</v>
      </c>
      <c r="F453" t="str">
        <f t="shared" si="143"/>
        <v>05</v>
      </c>
      <c r="G453" t="str">
        <f t="shared" si="144"/>
        <v>053</v>
      </c>
      <c r="H453" t="str">
        <f>'906MP'!Y153</f>
        <v>053371</v>
      </c>
      <c r="I453" t="str">
        <f>'906MP'!AK153</f>
        <v>2025/EEI-394031/1</v>
      </c>
      <c r="J453" t="str">
        <f>'906MP'!T153</f>
        <v>(KÖT)</v>
      </c>
      <c r="K453" t="str">
        <f>'906MP'!AJ153</f>
        <v/>
      </c>
      <c r="L453" t="str">
        <f>'906MP'!U153</f>
        <v>12100</v>
      </c>
      <c r="M453" s="322" t="str">
        <f>IFERROR(VLOOKUP(A453,PAR!$D$3:$E$53,2,FALSE),"nincs szervezet")</f>
        <v>Nagymarosi Polgármesteri Hivatal</v>
      </c>
      <c r="N453" s="322" t="str">
        <f>VLOOKUP(F453,PAR!$R$3:$S$5,2,FALSE)</f>
        <v>2 - Kiadás</v>
      </c>
      <c r="O453" t="str">
        <f>IFERROR(VLOOKUP(J453,PAR!$O$3:$P$5,2,FALSE),"nincs feladat")</f>
        <v>1 - (KÖT)</v>
      </c>
      <c r="P453" t="str">
        <f>IFERROR(VLOOKUP(G453,PAR!$J$2:$M$19,4),"nincs rovat")</f>
        <v>K3 - Dologi kiadások</v>
      </c>
      <c r="Q453" t="str">
        <f>IF(H453&gt;0,VLOOKUP(H453,PAR!$AA$3:$AC$187,3,FALSE),"nincs főkönyvi számla")</f>
        <v>053371 -  Egyéb szolgáltatások előirányzata</v>
      </c>
      <c r="R453" t="str">
        <f>IFERROR(VLOOKUP(K453,PAR!$V$3:$X$438,3,FALSE),"000000 - Nincs COFOG")</f>
        <v>000000 - Nincs COFOG</v>
      </c>
      <c r="S453">
        <f t="shared" si="145"/>
        <v>8887184</v>
      </c>
      <c r="T453">
        <f t="shared" si="146"/>
        <v>8887184</v>
      </c>
      <c r="U453" t="str">
        <f>IF('906MP'!J153&gt;0,CONCATENATE('906MP'!J153," - ",'906MP'!P153,", ",'906MP'!E153),"nincs megjegyzés")</f>
        <v>2025-01-01 - eredeti ei, 2025/EEI-394031/1</v>
      </c>
      <c r="V453" t="str">
        <f t="shared" si="133"/>
        <v>61P394031053</v>
      </c>
      <c r="W453" t="str">
        <f t="shared" si="134"/>
        <v>61P39403105</v>
      </c>
      <c r="X453" t="str">
        <f t="shared" si="135"/>
        <v>P394031053371</v>
      </c>
      <c r="Y453" t="str">
        <f t="shared" si="136"/>
        <v>61053371</v>
      </c>
      <c r="Z453" t="str">
        <f t="shared" si="147"/>
        <v>(KÖT)053371</v>
      </c>
      <c r="AA453" t="str">
        <f t="shared" si="137"/>
        <v>61053</v>
      </c>
      <c r="AB453" t="str">
        <f t="shared" si="138"/>
        <v>(KÖT)053</v>
      </c>
      <c r="AC453" t="str">
        <f t="shared" si="139"/>
        <v>61P394031053371</v>
      </c>
      <c r="AD453" t="str">
        <f t="shared" si="140"/>
        <v>P394031053371(KÖT)</v>
      </c>
      <c r="AE453" t="str">
        <f t="shared" si="141"/>
        <v>61P394031053</v>
      </c>
      <c r="AF453" t="str">
        <f t="shared" si="142"/>
        <v>P394031053(KÖT)</v>
      </c>
      <c r="AG453" t="str">
        <f t="shared" si="148"/>
        <v>61P39403105337112100</v>
      </c>
      <c r="AH453" t="str">
        <f t="shared" si="149"/>
        <v>P394031(KÖT)05337112100</v>
      </c>
      <c r="AI453" t="str">
        <f t="shared" si="150"/>
        <v>61P39403105312100</v>
      </c>
      <c r="AJ453" t="str">
        <f t="shared" si="151"/>
        <v>P394031053(KÖT)12100</v>
      </c>
    </row>
    <row r="454" spans="1:36" x14ac:dyDescent="0.25">
      <c r="A454" s="325" t="str">
        <f>CONCATENATE("P",'906MP'!M154)</f>
        <v>P654472</v>
      </c>
      <c r="B454">
        <f>'906MP'!H154</f>
        <v>61</v>
      </c>
      <c r="C454" t="str">
        <f>'906MP'!J154</f>
        <v>2025-01-01</v>
      </c>
      <c r="D454" t="str">
        <f>'906MP'!P154</f>
        <v>eredeti ei</v>
      </c>
      <c r="E454">
        <f>'906MP'!X154</f>
        <v>27600000</v>
      </c>
      <c r="F454" t="str">
        <f t="shared" si="143"/>
        <v>05</v>
      </c>
      <c r="G454" t="str">
        <f t="shared" si="144"/>
        <v>051</v>
      </c>
      <c r="H454" t="str">
        <f>'906MP'!Y154</f>
        <v>0511011</v>
      </c>
      <c r="I454" t="str">
        <f>'906MP'!AK154</f>
        <v>2025/EEI-654472/1</v>
      </c>
      <c r="J454" t="str">
        <f>'906MP'!T154</f>
        <v>(KÖT)</v>
      </c>
      <c r="K454" t="str">
        <f>'906MP'!AJ154</f>
        <v/>
      </c>
      <c r="L454" t="str">
        <f>'906MP'!U154</f>
        <v>14050</v>
      </c>
      <c r="M454" s="322" t="str">
        <f>IFERROR(VLOOKUP(A454,PAR!$D$3:$E$53,2,FALSE),"nincs szervezet")</f>
        <v>Nagymaros Városi Könyvtár és Művelődési Ház</v>
      </c>
      <c r="N454" s="322" t="str">
        <f>VLOOKUP(F454,PAR!$R$3:$S$5,2,FALSE)</f>
        <v>2 - Kiadás</v>
      </c>
      <c r="O454" t="str">
        <f>IFERROR(VLOOKUP(J454,PAR!$O$3:$P$5,2,FALSE),"nincs feladat")</f>
        <v>1 - (KÖT)</v>
      </c>
      <c r="P454" t="str">
        <f>IFERROR(VLOOKUP(G454,PAR!$J$2:$M$19,4),"nincs rovat")</f>
        <v>K1 - Személyi juttatások</v>
      </c>
      <c r="Q454" t="str">
        <f>IF(H454&gt;0,VLOOKUP(H454,PAR!$AA$3:$AC$187,3,FALSE),"nincs főkönyvi számla")</f>
        <v>0511011 -  Törvény szerinti illetmények, munkabérek előirányzata</v>
      </c>
      <c r="R454" t="str">
        <f>IFERROR(VLOOKUP(K454,PAR!$V$3:$X$438,3,FALSE),"000000 - Nincs COFOG")</f>
        <v>000000 - Nincs COFOG</v>
      </c>
      <c r="S454">
        <f t="shared" si="145"/>
        <v>27600000</v>
      </c>
      <c r="T454">
        <f t="shared" si="146"/>
        <v>27600000</v>
      </c>
      <c r="U454" t="str">
        <f>IF('906MP'!J154&gt;0,CONCATENATE('906MP'!J154," - ",'906MP'!P154,", ",'906MP'!E154),"nincs megjegyzés")</f>
        <v>2025-01-01 - eredeti ei, 2025/EEI-654472/1</v>
      </c>
      <c r="V454" t="str">
        <f t="shared" si="133"/>
        <v>61P654472051</v>
      </c>
      <c r="W454" t="str">
        <f t="shared" si="134"/>
        <v>61P65447205</v>
      </c>
      <c r="X454" t="str">
        <f t="shared" si="135"/>
        <v>P6544720511011</v>
      </c>
      <c r="Y454" t="str">
        <f t="shared" si="136"/>
        <v>610511011</v>
      </c>
      <c r="Z454" t="str">
        <f t="shared" si="147"/>
        <v>(KÖT)0511011</v>
      </c>
      <c r="AA454" t="str">
        <f t="shared" si="137"/>
        <v>61051</v>
      </c>
      <c r="AB454" t="str">
        <f t="shared" si="138"/>
        <v>(KÖT)051</v>
      </c>
      <c r="AC454" t="str">
        <f t="shared" si="139"/>
        <v>61P6544720511011</v>
      </c>
      <c r="AD454" t="str">
        <f t="shared" si="140"/>
        <v>P6544720511011(KÖT)</v>
      </c>
      <c r="AE454" t="str">
        <f t="shared" si="141"/>
        <v>61P654472051</v>
      </c>
      <c r="AF454" t="str">
        <f t="shared" si="142"/>
        <v>P654472051(KÖT)</v>
      </c>
      <c r="AG454" t="str">
        <f t="shared" si="148"/>
        <v>61P654472051101114050</v>
      </c>
      <c r="AH454" t="str">
        <f t="shared" si="149"/>
        <v>P654472(KÖT)051101114050</v>
      </c>
      <c r="AI454" t="str">
        <f t="shared" si="150"/>
        <v>61P65447205114050</v>
      </c>
      <c r="AJ454" t="str">
        <f t="shared" si="151"/>
        <v>P654472051(KÖT)14050</v>
      </c>
    </row>
    <row r="455" spans="1:36" x14ac:dyDescent="0.25">
      <c r="A455" s="325" t="str">
        <f>CONCATENATE("P",'906MP'!M155)</f>
        <v>P394031</v>
      </c>
      <c r="B455">
        <f>'906MP'!H155</f>
        <v>61</v>
      </c>
      <c r="C455" t="str">
        <f>'906MP'!J155</f>
        <v>2025-01-01</v>
      </c>
      <c r="D455" t="str">
        <f>'906MP'!P155</f>
        <v>eredeti ei</v>
      </c>
      <c r="E455">
        <f>'906MP'!X155</f>
        <v>600000</v>
      </c>
      <c r="F455" t="str">
        <f t="shared" si="143"/>
        <v>05</v>
      </c>
      <c r="G455" t="str">
        <f t="shared" si="144"/>
        <v>053</v>
      </c>
      <c r="H455" t="str">
        <f>'906MP'!Y155</f>
        <v>053411</v>
      </c>
      <c r="I455" t="str">
        <f>'906MP'!AK155</f>
        <v>2025/EEI-394031/1</v>
      </c>
      <c r="J455" t="str">
        <f>'906MP'!T155</f>
        <v>(KÖT)</v>
      </c>
      <c r="K455" t="str">
        <f>'906MP'!AJ155</f>
        <v/>
      </c>
      <c r="L455" t="str">
        <f>'906MP'!U155</f>
        <v>12100</v>
      </c>
      <c r="M455" s="322" t="str">
        <f>IFERROR(VLOOKUP(A455,PAR!$D$3:$E$53,2,FALSE),"nincs szervezet")</f>
        <v>Nagymarosi Polgármesteri Hivatal</v>
      </c>
      <c r="N455" s="322" t="str">
        <f>VLOOKUP(F455,PAR!$R$3:$S$5,2,FALSE)</f>
        <v>2 - Kiadás</v>
      </c>
      <c r="O455" t="str">
        <f>IFERROR(VLOOKUP(J455,PAR!$O$3:$P$5,2,FALSE),"nincs feladat")</f>
        <v>1 - (KÖT)</v>
      </c>
      <c r="P455" t="str">
        <f>IFERROR(VLOOKUP(G455,PAR!$J$2:$M$19,4),"nincs rovat")</f>
        <v>K3 - Dologi kiadások</v>
      </c>
      <c r="Q455" t="str">
        <f>IF(H455&gt;0,VLOOKUP(H455,PAR!$AA$3:$AC$187,3,FALSE),"nincs főkönyvi számla")</f>
        <v>053411 -  Kiküldetések kiadásai előirányzata</v>
      </c>
      <c r="R455" t="str">
        <f>IFERROR(VLOOKUP(K455,PAR!$V$3:$X$438,3,FALSE),"000000 - Nincs COFOG")</f>
        <v>000000 - Nincs COFOG</v>
      </c>
      <c r="S455">
        <f t="shared" si="145"/>
        <v>600000</v>
      </c>
      <c r="T455">
        <f t="shared" si="146"/>
        <v>600000</v>
      </c>
      <c r="U455" t="str">
        <f>IF('906MP'!J155&gt;0,CONCATENATE('906MP'!J155," - ",'906MP'!P155,", ",'906MP'!E155),"nincs megjegyzés")</f>
        <v>2025-01-01 - eredeti ei, 2025/EEI-394031/1</v>
      </c>
      <c r="V455" t="str">
        <f t="shared" si="133"/>
        <v>61P394031053</v>
      </c>
      <c r="W455" t="str">
        <f t="shared" si="134"/>
        <v>61P39403105</v>
      </c>
      <c r="X455" t="str">
        <f t="shared" si="135"/>
        <v>P394031053411</v>
      </c>
      <c r="Y455" t="str">
        <f t="shared" si="136"/>
        <v>61053411</v>
      </c>
      <c r="Z455" t="str">
        <f t="shared" si="147"/>
        <v>(KÖT)053411</v>
      </c>
      <c r="AA455" t="str">
        <f t="shared" si="137"/>
        <v>61053</v>
      </c>
      <c r="AB455" t="str">
        <f t="shared" si="138"/>
        <v>(KÖT)053</v>
      </c>
      <c r="AC455" t="str">
        <f t="shared" si="139"/>
        <v>61P394031053411</v>
      </c>
      <c r="AD455" t="str">
        <f t="shared" si="140"/>
        <v>P394031053411(KÖT)</v>
      </c>
      <c r="AE455" t="str">
        <f t="shared" si="141"/>
        <v>61P394031053</v>
      </c>
      <c r="AF455" t="str">
        <f t="shared" si="142"/>
        <v>P394031053(KÖT)</v>
      </c>
      <c r="AG455" t="str">
        <f t="shared" si="148"/>
        <v>61P39403105341112100</v>
      </c>
      <c r="AH455" t="str">
        <f t="shared" si="149"/>
        <v>P394031(KÖT)05341112100</v>
      </c>
      <c r="AI455" t="str">
        <f t="shared" si="150"/>
        <v>61P39403105312100</v>
      </c>
      <c r="AJ455" t="str">
        <f t="shared" si="151"/>
        <v>P394031053(KÖT)12100</v>
      </c>
    </row>
    <row r="456" spans="1:36" x14ac:dyDescent="0.25">
      <c r="A456" s="325" t="str">
        <f>CONCATENATE("P",'906MP'!M156)</f>
        <v>P654472</v>
      </c>
      <c r="B456">
        <f>'906MP'!H156</f>
        <v>61</v>
      </c>
      <c r="C456" t="str">
        <f>'906MP'!J156</f>
        <v>2025-01-01</v>
      </c>
      <c r="D456" t="str">
        <f>'906MP'!P156</f>
        <v>eredeti ei</v>
      </c>
      <c r="E456">
        <f>'906MP'!X156</f>
        <v>570000</v>
      </c>
      <c r="F456" t="str">
        <f t="shared" si="143"/>
        <v>05</v>
      </c>
      <c r="G456" t="str">
        <f t="shared" si="144"/>
        <v>051</v>
      </c>
      <c r="H456" t="str">
        <f>'906MP'!Y156</f>
        <v>0511071</v>
      </c>
      <c r="I456" t="str">
        <f>'906MP'!AK156</f>
        <v>2025/EEI-654472/1</v>
      </c>
      <c r="J456" t="str">
        <f>'906MP'!T156</f>
        <v>(KÖT)</v>
      </c>
      <c r="K456" t="str">
        <f>'906MP'!AJ156</f>
        <v/>
      </c>
      <c r="L456" t="str">
        <f>'906MP'!U156</f>
        <v>14050</v>
      </c>
      <c r="M456" s="322" t="str">
        <f>IFERROR(VLOOKUP(A456,PAR!$D$3:$E$53,2,FALSE),"nincs szervezet")</f>
        <v>Nagymaros Városi Könyvtár és Művelődési Ház</v>
      </c>
      <c r="N456" s="322" t="str">
        <f>VLOOKUP(F456,PAR!$R$3:$S$5,2,FALSE)</f>
        <v>2 - Kiadás</v>
      </c>
      <c r="O456" t="str">
        <f>IFERROR(VLOOKUP(J456,PAR!$O$3:$P$5,2,FALSE),"nincs feladat")</f>
        <v>1 - (KÖT)</v>
      </c>
      <c r="P456" t="str">
        <f>IFERROR(VLOOKUP(G456,PAR!$J$2:$M$19,4),"nincs rovat")</f>
        <v>K1 - Személyi juttatások</v>
      </c>
      <c r="Q456" t="str">
        <f>IF(H456&gt;0,VLOOKUP(H456,PAR!$AA$3:$AC$187,3,FALSE),"nincs főkönyvi számla")</f>
        <v>0511071 -  Béren kívüli juttatások előirányzata</v>
      </c>
      <c r="R456" t="str">
        <f>IFERROR(VLOOKUP(K456,PAR!$V$3:$X$438,3,FALSE),"000000 - Nincs COFOG")</f>
        <v>000000 - Nincs COFOG</v>
      </c>
      <c r="S456">
        <f t="shared" si="145"/>
        <v>570000</v>
      </c>
      <c r="T456">
        <f t="shared" si="146"/>
        <v>570000</v>
      </c>
      <c r="U456" t="str">
        <f>IF('906MP'!J156&gt;0,CONCATENATE('906MP'!J156," - ",'906MP'!P156,", ",'906MP'!E156),"nincs megjegyzés")</f>
        <v>2025-01-01 - eredeti ei, 2025/EEI-654472/1</v>
      </c>
      <c r="V456" t="str">
        <f t="shared" si="133"/>
        <v>61P654472051</v>
      </c>
      <c r="W456" t="str">
        <f t="shared" si="134"/>
        <v>61P65447205</v>
      </c>
      <c r="X456" t="str">
        <f t="shared" si="135"/>
        <v>P6544720511071</v>
      </c>
      <c r="Y456" t="str">
        <f t="shared" si="136"/>
        <v>610511071</v>
      </c>
      <c r="Z456" t="str">
        <f t="shared" si="147"/>
        <v>(KÖT)0511071</v>
      </c>
      <c r="AA456" t="str">
        <f t="shared" si="137"/>
        <v>61051</v>
      </c>
      <c r="AB456" t="str">
        <f t="shared" si="138"/>
        <v>(KÖT)051</v>
      </c>
      <c r="AC456" t="str">
        <f t="shared" si="139"/>
        <v>61P6544720511071</v>
      </c>
      <c r="AD456" t="str">
        <f t="shared" si="140"/>
        <v>P6544720511071(KÖT)</v>
      </c>
      <c r="AE456" t="str">
        <f t="shared" si="141"/>
        <v>61P654472051</v>
      </c>
      <c r="AF456" t="str">
        <f t="shared" si="142"/>
        <v>P654472051(KÖT)</v>
      </c>
      <c r="AG456" t="str">
        <f t="shared" si="148"/>
        <v>61P654472051107114050</v>
      </c>
      <c r="AH456" t="str">
        <f t="shared" si="149"/>
        <v>P654472(KÖT)051107114050</v>
      </c>
      <c r="AI456" t="str">
        <f t="shared" si="150"/>
        <v>61P65447205114050</v>
      </c>
      <c r="AJ456" t="str">
        <f t="shared" si="151"/>
        <v>P654472051(KÖT)14050</v>
      </c>
    </row>
    <row r="457" spans="1:36" x14ac:dyDescent="0.25">
      <c r="A457" s="325" t="str">
        <f>CONCATENATE("P",'906MP'!M157)</f>
        <v>P394031</v>
      </c>
      <c r="B457">
        <f>'906MP'!H157</f>
        <v>61</v>
      </c>
      <c r="C457" t="str">
        <f>'906MP'!J157</f>
        <v>2025-01-01</v>
      </c>
      <c r="D457" t="str">
        <f>'906MP'!P157</f>
        <v>eredeti ei</v>
      </c>
      <c r="E457">
        <f>'906MP'!X157</f>
        <v>6224662</v>
      </c>
      <c r="F457" t="str">
        <f t="shared" si="143"/>
        <v>05</v>
      </c>
      <c r="G457" t="str">
        <f t="shared" si="144"/>
        <v>053</v>
      </c>
      <c r="H457" t="str">
        <f>'906MP'!Y157</f>
        <v>053511</v>
      </c>
      <c r="I457" t="str">
        <f>'906MP'!AK157</f>
        <v>2025/EEI-394031/1</v>
      </c>
      <c r="J457" t="str">
        <f>'906MP'!T157</f>
        <v>(KÖT)</v>
      </c>
      <c r="K457" t="str">
        <f>'906MP'!AJ157</f>
        <v/>
      </c>
      <c r="L457" t="str">
        <f>'906MP'!U157</f>
        <v>12100</v>
      </c>
      <c r="M457" s="322" t="str">
        <f>IFERROR(VLOOKUP(A457,PAR!$D$3:$E$53,2,FALSE),"nincs szervezet")</f>
        <v>Nagymarosi Polgármesteri Hivatal</v>
      </c>
      <c r="N457" s="322" t="str">
        <f>VLOOKUP(F457,PAR!$R$3:$S$5,2,FALSE)</f>
        <v>2 - Kiadás</v>
      </c>
      <c r="O457" t="str">
        <f>IFERROR(VLOOKUP(J457,PAR!$O$3:$P$5,2,FALSE),"nincs feladat")</f>
        <v>1 - (KÖT)</v>
      </c>
      <c r="P457" t="str">
        <f>IFERROR(VLOOKUP(G457,PAR!$J$2:$M$19,4),"nincs rovat")</f>
        <v>K3 - Dologi kiadások</v>
      </c>
      <c r="Q457" t="str">
        <f>IF(H457&gt;0,VLOOKUP(H457,PAR!$AA$3:$AC$187,3,FALSE),"nincs főkönyvi számla")</f>
        <v>053511 -  Működési célú előzetesen felszámított általános forgalmi adó előirányzata</v>
      </c>
      <c r="R457" t="str">
        <f>IFERROR(VLOOKUP(K457,PAR!$V$3:$X$438,3,FALSE),"000000 - Nincs COFOG")</f>
        <v>000000 - Nincs COFOG</v>
      </c>
      <c r="S457">
        <f t="shared" si="145"/>
        <v>6224662</v>
      </c>
      <c r="T457">
        <f t="shared" si="146"/>
        <v>6224662</v>
      </c>
      <c r="U457" t="str">
        <f>IF('906MP'!J157&gt;0,CONCATENATE('906MP'!J157," - ",'906MP'!P157,", ",'906MP'!E157),"nincs megjegyzés")</f>
        <v>2025-01-01 - eredeti ei, 2025/EEI-394031/1</v>
      </c>
      <c r="V457" t="str">
        <f t="shared" si="133"/>
        <v>61P394031053</v>
      </c>
      <c r="W457" t="str">
        <f t="shared" si="134"/>
        <v>61P39403105</v>
      </c>
      <c r="X457" t="str">
        <f t="shared" si="135"/>
        <v>P394031053511</v>
      </c>
      <c r="Y457" t="str">
        <f t="shared" si="136"/>
        <v>61053511</v>
      </c>
      <c r="Z457" t="str">
        <f t="shared" si="147"/>
        <v>(KÖT)053511</v>
      </c>
      <c r="AA457" t="str">
        <f t="shared" si="137"/>
        <v>61053</v>
      </c>
      <c r="AB457" t="str">
        <f t="shared" si="138"/>
        <v>(KÖT)053</v>
      </c>
      <c r="AC457" t="str">
        <f t="shared" si="139"/>
        <v>61P394031053511</v>
      </c>
      <c r="AD457" t="str">
        <f t="shared" si="140"/>
        <v>P394031053511(KÖT)</v>
      </c>
      <c r="AE457" t="str">
        <f t="shared" si="141"/>
        <v>61P394031053</v>
      </c>
      <c r="AF457" t="str">
        <f t="shared" si="142"/>
        <v>P394031053(KÖT)</v>
      </c>
      <c r="AG457" t="str">
        <f t="shared" si="148"/>
        <v>61P39403105351112100</v>
      </c>
      <c r="AH457" t="str">
        <f t="shared" si="149"/>
        <v>P394031(KÖT)05351112100</v>
      </c>
      <c r="AI457" t="str">
        <f t="shared" si="150"/>
        <v>61P39403105312100</v>
      </c>
      <c r="AJ457" t="str">
        <f t="shared" si="151"/>
        <v>P394031053(KÖT)12100</v>
      </c>
    </row>
    <row r="458" spans="1:36" x14ac:dyDescent="0.25">
      <c r="A458" s="325" t="str">
        <f>CONCATENATE("P",'906MP'!M158)</f>
        <v>P654472</v>
      </c>
      <c r="B458">
        <f>'906MP'!H158</f>
        <v>61</v>
      </c>
      <c r="C458" t="str">
        <f>'906MP'!J158</f>
        <v>2025-01-01</v>
      </c>
      <c r="D458" t="str">
        <f>'906MP'!P158</f>
        <v>eredeti ei</v>
      </c>
      <c r="E458">
        <f>'906MP'!X158</f>
        <v>97524</v>
      </c>
      <c r="F458" t="str">
        <f t="shared" si="143"/>
        <v>05</v>
      </c>
      <c r="G458" t="str">
        <f t="shared" si="144"/>
        <v>051</v>
      </c>
      <c r="H458" t="str">
        <f>'906MP'!Y158</f>
        <v>0511091</v>
      </c>
      <c r="I458" t="str">
        <f>'906MP'!AK158</f>
        <v>2025/EEI-654472/1</v>
      </c>
      <c r="J458" t="str">
        <f>'906MP'!T158</f>
        <v>(KÖT)</v>
      </c>
      <c r="K458" t="str">
        <f>'906MP'!AJ158</f>
        <v/>
      </c>
      <c r="L458" t="str">
        <f>'906MP'!U158</f>
        <v>14050</v>
      </c>
      <c r="M458" s="322" t="str">
        <f>IFERROR(VLOOKUP(A458,PAR!$D$3:$E$53,2,FALSE),"nincs szervezet")</f>
        <v>Nagymaros Városi Könyvtár és Művelődési Ház</v>
      </c>
      <c r="N458" s="322" t="str">
        <f>VLOOKUP(F458,PAR!$R$3:$S$5,2,FALSE)</f>
        <v>2 - Kiadás</v>
      </c>
      <c r="O458" t="str">
        <f>IFERROR(VLOOKUP(J458,PAR!$O$3:$P$5,2,FALSE),"nincs feladat")</f>
        <v>1 - (KÖT)</v>
      </c>
      <c r="P458" t="str">
        <f>IFERROR(VLOOKUP(G458,PAR!$J$2:$M$19,4),"nincs rovat")</f>
        <v>K1 - Személyi juttatások</v>
      </c>
      <c r="Q458" t="str">
        <f>IF(H458&gt;0,VLOOKUP(H458,PAR!$AA$3:$AC$187,3,FALSE),"nincs főkönyvi számla")</f>
        <v>0511091 -  Közlekedési költségtérítés előirányzata</v>
      </c>
      <c r="R458" t="str">
        <f>IFERROR(VLOOKUP(K458,PAR!$V$3:$X$438,3,FALSE),"000000 - Nincs COFOG")</f>
        <v>000000 - Nincs COFOG</v>
      </c>
      <c r="S458">
        <f t="shared" si="145"/>
        <v>97524</v>
      </c>
      <c r="T458">
        <f t="shared" si="146"/>
        <v>97524</v>
      </c>
      <c r="U458" t="str">
        <f>IF('906MP'!J158&gt;0,CONCATENATE('906MP'!J158," - ",'906MP'!P158,", ",'906MP'!E158),"nincs megjegyzés")</f>
        <v>2025-01-01 - eredeti ei, 2025/EEI-654472/1</v>
      </c>
      <c r="V458" t="str">
        <f t="shared" si="133"/>
        <v>61P654472051</v>
      </c>
      <c r="W458" t="str">
        <f t="shared" si="134"/>
        <v>61P65447205</v>
      </c>
      <c r="X458" t="str">
        <f t="shared" si="135"/>
        <v>P6544720511091</v>
      </c>
      <c r="Y458" t="str">
        <f t="shared" si="136"/>
        <v>610511091</v>
      </c>
      <c r="Z458" t="str">
        <f t="shared" si="147"/>
        <v>(KÖT)0511091</v>
      </c>
      <c r="AA458" t="str">
        <f t="shared" si="137"/>
        <v>61051</v>
      </c>
      <c r="AB458" t="str">
        <f t="shared" si="138"/>
        <v>(KÖT)051</v>
      </c>
      <c r="AC458" t="str">
        <f t="shared" si="139"/>
        <v>61P6544720511091</v>
      </c>
      <c r="AD458" t="str">
        <f t="shared" si="140"/>
        <v>P6544720511091(KÖT)</v>
      </c>
      <c r="AE458" t="str">
        <f t="shared" si="141"/>
        <v>61P654472051</v>
      </c>
      <c r="AF458" t="str">
        <f t="shared" si="142"/>
        <v>P654472051(KÖT)</v>
      </c>
      <c r="AG458" t="str">
        <f t="shared" si="148"/>
        <v>61P654472051109114050</v>
      </c>
      <c r="AH458" t="str">
        <f t="shared" si="149"/>
        <v>P654472(KÖT)051109114050</v>
      </c>
      <c r="AI458" t="str">
        <f t="shared" si="150"/>
        <v>61P65447205114050</v>
      </c>
      <c r="AJ458" t="str">
        <f t="shared" si="151"/>
        <v>P654472051(KÖT)14050</v>
      </c>
    </row>
    <row r="459" spans="1:36" x14ac:dyDescent="0.25">
      <c r="A459" s="325" t="str">
        <f>CONCATENATE("P",'906MP'!M159)</f>
        <v>P394031</v>
      </c>
      <c r="B459">
        <f>'906MP'!H159</f>
        <v>61</v>
      </c>
      <c r="C459" t="str">
        <f>'906MP'!J159</f>
        <v>2025-01-01</v>
      </c>
      <c r="D459" t="str">
        <f>'906MP'!P159</f>
        <v>eredeti ei</v>
      </c>
      <c r="E459">
        <f>'906MP'!X159</f>
        <v>60000</v>
      </c>
      <c r="F459" t="str">
        <f t="shared" si="143"/>
        <v>05</v>
      </c>
      <c r="G459" t="str">
        <f t="shared" si="144"/>
        <v>053</v>
      </c>
      <c r="H459" t="str">
        <f>'906MP'!Y159</f>
        <v>053551</v>
      </c>
      <c r="I459" t="str">
        <f>'906MP'!AK159</f>
        <v>2025/EEI-394031/1</v>
      </c>
      <c r="J459" t="str">
        <f>'906MP'!T159</f>
        <v>(KÖT)</v>
      </c>
      <c r="K459" t="str">
        <f>'906MP'!AJ159</f>
        <v/>
      </c>
      <c r="L459" t="str">
        <f>'906MP'!U159</f>
        <v>12100</v>
      </c>
      <c r="M459" s="322" t="str">
        <f>IFERROR(VLOOKUP(A459,PAR!$D$3:$E$53,2,FALSE),"nincs szervezet")</f>
        <v>Nagymarosi Polgármesteri Hivatal</v>
      </c>
      <c r="N459" s="322" t="str">
        <f>VLOOKUP(F459,PAR!$R$3:$S$5,2,FALSE)</f>
        <v>2 - Kiadás</v>
      </c>
      <c r="O459" t="str">
        <f>IFERROR(VLOOKUP(J459,PAR!$O$3:$P$5,2,FALSE),"nincs feladat")</f>
        <v>1 - (KÖT)</v>
      </c>
      <c r="P459" t="str">
        <f>IFERROR(VLOOKUP(G459,PAR!$J$2:$M$19,4),"nincs rovat")</f>
        <v>K3 - Dologi kiadások</v>
      </c>
      <c r="Q459" t="str">
        <f>IF(H459&gt;0,VLOOKUP(H459,PAR!$AA$3:$AC$187,3,FALSE),"nincs főkönyvi számla")</f>
        <v>053551 -  Egyéb dologi kiadások előirányzata</v>
      </c>
      <c r="R459" t="str">
        <f>IFERROR(VLOOKUP(K459,PAR!$V$3:$X$438,3,FALSE),"000000 - Nincs COFOG")</f>
        <v>000000 - Nincs COFOG</v>
      </c>
      <c r="S459">
        <f t="shared" si="145"/>
        <v>60000</v>
      </c>
      <c r="T459">
        <f t="shared" si="146"/>
        <v>60000</v>
      </c>
      <c r="U459" t="str">
        <f>IF('906MP'!J159&gt;0,CONCATENATE('906MP'!J159," - ",'906MP'!P159,", ",'906MP'!E159),"nincs megjegyzés")</f>
        <v>2025-01-01 - eredeti ei, 2025/EEI-394031/1</v>
      </c>
      <c r="V459" t="str">
        <f t="shared" si="133"/>
        <v>61P394031053</v>
      </c>
      <c r="W459" t="str">
        <f t="shared" si="134"/>
        <v>61P39403105</v>
      </c>
      <c r="X459" t="str">
        <f t="shared" si="135"/>
        <v>P394031053551</v>
      </c>
      <c r="Y459" t="str">
        <f t="shared" si="136"/>
        <v>61053551</v>
      </c>
      <c r="Z459" t="str">
        <f t="shared" si="147"/>
        <v>(KÖT)053551</v>
      </c>
      <c r="AA459" t="str">
        <f t="shared" si="137"/>
        <v>61053</v>
      </c>
      <c r="AB459" t="str">
        <f t="shared" si="138"/>
        <v>(KÖT)053</v>
      </c>
      <c r="AC459" t="str">
        <f t="shared" si="139"/>
        <v>61P394031053551</v>
      </c>
      <c r="AD459" t="str">
        <f t="shared" si="140"/>
        <v>P394031053551(KÖT)</v>
      </c>
      <c r="AE459" t="str">
        <f t="shared" si="141"/>
        <v>61P394031053</v>
      </c>
      <c r="AF459" t="str">
        <f t="shared" si="142"/>
        <v>P394031053(KÖT)</v>
      </c>
      <c r="AG459" t="str">
        <f t="shared" si="148"/>
        <v>61P39403105355112100</v>
      </c>
      <c r="AH459" t="str">
        <f t="shared" si="149"/>
        <v>P394031(KÖT)05355112100</v>
      </c>
      <c r="AI459" t="str">
        <f t="shared" si="150"/>
        <v>61P39403105312100</v>
      </c>
      <c r="AJ459" t="str">
        <f t="shared" si="151"/>
        <v>P394031053(KÖT)12100</v>
      </c>
    </row>
    <row r="460" spans="1:36" x14ac:dyDescent="0.25">
      <c r="A460" s="325" t="str">
        <f>CONCATENATE("P",'906MP'!M160)</f>
        <v>P654472</v>
      </c>
      <c r="B460">
        <f>'906MP'!H160</f>
        <v>61</v>
      </c>
      <c r="C460" t="str">
        <f>'906MP'!J160</f>
        <v>2025-01-01</v>
      </c>
      <c r="D460" t="str">
        <f>'906MP'!P160</f>
        <v>eredeti ei</v>
      </c>
      <c r="E460">
        <f>'906MP'!X160</f>
        <v>60000</v>
      </c>
      <c r="F460" t="str">
        <f t="shared" si="143"/>
        <v>05</v>
      </c>
      <c r="G460" t="str">
        <f t="shared" si="144"/>
        <v>051</v>
      </c>
      <c r="H460" t="str">
        <f>'906MP'!Y160</f>
        <v>0511131</v>
      </c>
      <c r="I460" t="str">
        <f>'906MP'!AK160</f>
        <v>2025/EEI-654472/1</v>
      </c>
      <c r="J460" t="str">
        <f>'906MP'!T160</f>
        <v>(KÖT)</v>
      </c>
      <c r="K460" t="str">
        <f>'906MP'!AJ160</f>
        <v/>
      </c>
      <c r="L460" t="str">
        <f>'906MP'!U160</f>
        <v>14050</v>
      </c>
      <c r="M460" s="322" t="str">
        <f>IFERROR(VLOOKUP(A460,PAR!$D$3:$E$53,2,FALSE),"nincs szervezet")</f>
        <v>Nagymaros Városi Könyvtár és Művelődési Ház</v>
      </c>
      <c r="N460" s="322" t="str">
        <f>VLOOKUP(F460,PAR!$R$3:$S$5,2,FALSE)</f>
        <v>2 - Kiadás</v>
      </c>
      <c r="O460" t="str">
        <f>IFERROR(VLOOKUP(J460,PAR!$O$3:$P$5,2,FALSE),"nincs feladat")</f>
        <v>1 - (KÖT)</v>
      </c>
      <c r="P460" t="str">
        <f>IFERROR(VLOOKUP(G460,PAR!$J$2:$M$19,4),"nincs rovat")</f>
        <v>K1 - Személyi juttatások</v>
      </c>
      <c r="Q460" t="str">
        <f>IF(H460&gt;0,VLOOKUP(H460,PAR!$AA$3:$AC$187,3,FALSE),"nincs főkönyvi számla")</f>
        <v>0511131 -  Foglalkoztatottak egyéb személyi juttatásai előirányzata</v>
      </c>
      <c r="R460" t="str">
        <f>IFERROR(VLOOKUP(K460,PAR!$V$3:$X$438,3,FALSE),"000000 - Nincs COFOG")</f>
        <v>000000 - Nincs COFOG</v>
      </c>
      <c r="S460">
        <f t="shared" si="145"/>
        <v>60000</v>
      </c>
      <c r="T460">
        <f t="shared" si="146"/>
        <v>60000</v>
      </c>
      <c r="U460" t="str">
        <f>IF('906MP'!J160&gt;0,CONCATENATE('906MP'!J160," - ",'906MP'!P160,", ",'906MP'!E160),"nincs megjegyzés")</f>
        <v>2025-01-01 - eredeti ei, 2025/EEI-654472/1</v>
      </c>
      <c r="V460" t="str">
        <f t="shared" si="133"/>
        <v>61P654472051</v>
      </c>
      <c r="W460" t="str">
        <f t="shared" si="134"/>
        <v>61P65447205</v>
      </c>
      <c r="X460" t="str">
        <f t="shared" si="135"/>
        <v>P6544720511131</v>
      </c>
      <c r="Y460" t="str">
        <f t="shared" si="136"/>
        <v>610511131</v>
      </c>
      <c r="Z460" t="str">
        <f t="shared" si="147"/>
        <v>(KÖT)0511131</v>
      </c>
      <c r="AA460" t="str">
        <f t="shared" si="137"/>
        <v>61051</v>
      </c>
      <c r="AB460" t="str">
        <f t="shared" si="138"/>
        <v>(KÖT)051</v>
      </c>
      <c r="AC460" t="str">
        <f t="shared" si="139"/>
        <v>61P6544720511131</v>
      </c>
      <c r="AD460" t="str">
        <f t="shared" si="140"/>
        <v>P6544720511131(KÖT)</v>
      </c>
      <c r="AE460" t="str">
        <f t="shared" si="141"/>
        <v>61P654472051</v>
      </c>
      <c r="AF460" t="str">
        <f t="shared" si="142"/>
        <v>P654472051(KÖT)</v>
      </c>
      <c r="AG460" t="str">
        <f t="shared" si="148"/>
        <v>61P654472051113114050</v>
      </c>
      <c r="AH460" t="str">
        <f t="shared" si="149"/>
        <v>P654472(KÖT)051113114050</v>
      </c>
      <c r="AI460" t="str">
        <f t="shared" si="150"/>
        <v>61P65447205114050</v>
      </c>
      <c r="AJ460" t="str">
        <f t="shared" si="151"/>
        <v>P654472051(KÖT)14050</v>
      </c>
    </row>
    <row r="461" spans="1:36" x14ac:dyDescent="0.25">
      <c r="A461" s="325" t="str">
        <f>CONCATENATE("P",'906MP'!M161)</f>
        <v>P394031</v>
      </c>
      <c r="B461">
        <f>'906MP'!H161</f>
        <v>61</v>
      </c>
      <c r="C461" t="str">
        <f>'906MP'!J161</f>
        <v>2025-01-01</v>
      </c>
      <c r="D461" t="str">
        <f>'906MP'!P161</f>
        <v>eredeti ei</v>
      </c>
      <c r="E461">
        <f>'906MP'!X161</f>
        <v>1968504</v>
      </c>
      <c r="F461" t="str">
        <f t="shared" si="143"/>
        <v>05</v>
      </c>
      <c r="G461" t="str">
        <f t="shared" si="144"/>
        <v>056</v>
      </c>
      <c r="H461" t="str">
        <f>'906MP'!Y161</f>
        <v>05631</v>
      </c>
      <c r="I461" t="str">
        <f>'906MP'!AK161</f>
        <v>2025/EEI-394031/1</v>
      </c>
      <c r="J461" t="str">
        <f>'906MP'!T161</f>
        <v>(KÖT)</v>
      </c>
      <c r="K461" t="str">
        <f>'906MP'!AJ161</f>
        <v/>
      </c>
      <c r="L461" t="str">
        <f>'906MP'!U161</f>
        <v>12100</v>
      </c>
      <c r="M461" s="322" t="str">
        <f>IFERROR(VLOOKUP(A461,PAR!$D$3:$E$53,2,FALSE),"nincs szervezet")</f>
        <v>Nagymarosi Polgármesteri Hivatal</v>
      </c>
      <c r="N461" s="322" t="str">
        <f>VLOOKUP(F461,PAR!$R$3:$S$5,2,FALSE)</f>
        <v>2 - Kiadás</v>
      </c>
      <c r="O461" t="str">
        <f>IFERROR(VLOOKUP(J461,PAR!$O$3:$P$5,2,FALSE),"nincs feladat")</f>
        <v>1 - (KÖT)</v>
      </c>
      <c r="P461" t="str">
        <f>IFERROR(VLOOKUP(G461,PAR!$J$2:$M$19,4),"nincs rovat")</f>
        <v>K6 - Beruházások</v>
      </c>
      <c r="Q461" t="str">
        <f>IF(H461&gt;0,VLOOKUP(H461,PAR!$AA$3:$AC$187,3,FALSE),"nincs főkönyvi számla")</f>
        <v>05631 -  Informatikai eszközök beszerzése, létesítése előirányzata</v>
      </c>
      <c r="R461" t="str">
        <f>IFERROR(VLOOKUP(K461,PAR!$V$3:$X$438,3,FALSE),"000000 - Nincs COFOG")</f>
        <v>000000 - Nincs COFOG</v>
      </c>
      <c r="S461">
        <f t="shared" si="145"/>
        <v>1968504</v>
      </c>
      <c r="T461">
        <f t="shared" si="146"/>
        <v>1968504</v>
      </c>
      <c r="U461" t="str">
        <f>IF('906MP'!J161&gt;0,CONCATENATE('906MP'!J161," - ",'906MP'!P161,", ",'906MP'!E161),"nincs megjegyzés")</f>
        <v>2025-01-01 - eredeti ei, 2025/EEI-394031/1</v>
      </c>
      <c r="V461" t="str">
        <f t="shared" si="133"/>
        <v>61P394031056</v>
      </c>
      <c r="W461" t="str">
        <f t="shared" si="134"/>
        <v>61P39403105</v>
      </c>
      <c r="X461" t="str">
        <f t="shared" si="135"/>
        <v>P39403105631</v>
      </c>
      <c r="Y461" t="str">
        <f t="shared" si="136"/>
        <v>6105631</v>
      </c>
      <c r="Z461" t="str">
        <f t="shared" si="147"/>
        <v>(KÖT)05631</v>
      </c>
      <c r="AA461" t="str">
        <f t="shared" si="137"/>
        <v>61056</v>
      </c>
      <c r="AB461" t="str">
        <f t="shared" si="138"/>
        <v>(KÖT)056</v>
      </c>
      <c r="AC461" t="str">
        <f t="shared" si="139"/>
        <v>61P39403105631</v>
      </c>
      <c r="AD461" t="str">
        <f t="shared" si="140"/>
        <v>P39403105631(KÖT)</v>
      </c>
      <c r="AE461" t="str">
        <f t="shared" si="141"/>
        <v>61P394031056</v>
      </c>
      <c r="AF461" t="str">
        <f t="shared" si="142"/>
        <v>P394031056(KÖT)</v>
      </c>
      <c r="AG461" t="str">
        <f t="shared" si="148"/>
        <v>61P3940310563112100</v>
      </c>
      <c r="AH461" t="str">
        <f t="shared" si="149"/>
        <v>P394031(KÖT)0563112100</v>
      </c>
      <c r="AI461" t="str">
        <f t="shared" si="150"/>
        <v>61P39403105612100</v>
      </c>
      <c r="AJ461" t="str">
        <f t="shared" si="151"/>
        <v>P394031056(KÖT)12100</v>
      </c>
    </row>
    <row r="462" spans="1:36" x14ac:dyDescent="0.25">
      <c r="A462" s="325" t="str">
        <f>CONCATENATE("P",'906MP'!M162)</f>
        <v>P654472</v>
      </c>
      <c r="B462">
        <f>'906MP'!H162</f>
        <v>61</v>
      </c>
      <c r="C462" t="str">
        <f>'906MP'!J162</f>
        <v>2025-01-01</v>
      </c>
      <c r="D462" t="str">
        <f>'906MP'!P162</f>
        <v>eredeti ei</v>
      </c>
      <c r="E462">
        <f>'906MP'!X162</f>
        <v>840000</v>
      </c>
      <c r="F462" t="str">
        <f t="shared" si="143"/>
        <v>05</v>
      </c>
      <c r="G462" t="str">
        <f t="shared" si="144"/>
        <v>051</v>
      </c>
      <c r="H462" t="str">
        <f>'906MP'!Y162</f>
        <v>051221</v>
      </c>
      <c r="I462" t="str">
        <f>'906MP'!AK162</f>
        <v>2025/EEI-654472/1</v>
      </c>
      <c r="J462" t="str">
        <f>'906MP'!T162</f>
        <v>(KÖT)</v>
      </c>
      <c r="K462" t="str">
        <f>'906MP'!AJ162</f>
        <v/>
      </c>
      <c r="L462" t="str">
        <f>'906MP'!U162</f>
        <v>14050</v>
      </c>
      <c r="M462" s="322" t="str">
        <f>IFERROR(VLOOKUP(A462,PAR!$D$3:$E$53,2,FALSE),"nincs szervezet")</f>
        <v>Nagymaros Városi Könyvtár és Művelődési Ház</v>
      </c>
      <c r="N462" s="322" t="str">
        <f>VLOOKUP(F462,PAR!$R$3:$S$5,2,FALSE)</f>
        <v>2 - Kiadás</v>
      </c>
      <c r="O462" t="str">
        <f>IFERROR(VLOOKUP(J462,PAR!$O$3:$P$5,2,FALSE),"nincs feladat")</f>
        <v>1 - (KÖT)</v>
      </c>
      <c r="P462" t="str">
        <f>IFERROR(VLOOKUP(G462,PAR!$J$2:$M$19,4),"nincs rovat")</f>
        <v>K1 - Személyi juttatások</v>
      </c>
      <c r="Q462" t="str">
        <f>IF(H462&gt;0,VLOOKUP(H462,PAR!$AA$3:$AC$187,3,FALSE),"nincs főkönyvi számla")</f>
        <v>051221 -  Munkavégzésre irányuló egyéb jogviszonyban nem saját foglalkoztatottnak fizetett juttatások előirányzata</v>
      </c>
      <c r="R462" t="str">
        <f>IFERROR(VLOOKUP(K462,PAR!$V$3:$X$438,3,FALSE),"000000 - Nincs COFOG")</f>
        <v>000000 - Nincs COFOG</v>
      </c>
      <c r="S462">
        <f t="shared" si="145"/>
        <v>840000</v>
      </c>
      <c r="T462">
        <f t="shared" si="146"/>
        <v>840000</v>
      </c>
      <c r="U462" t="str">
        <f>IF('906MP'!J162&gt;0,CONCATENATE('906MP'!J162," - ",'906MP'!P162,", ",'906MP'!E162),"nincs megjegyzés")</f>
        <v>2025-01-01 - eredeti ei, 2025/EEI-654472/1</v>
      </c>
      <c r="V462" t="str">
        <f t="shared" si="133"/>
        <v>61P654472051</v>
      </c>
      <c r="W462" t="str">
        <f t="shared" si="134"/>
        <v>61P65447205</v>
      </c>
      <c r="X462" t="str">
        <f t="shared" si="135"/>
        <v>P654472051221</v>
      </c>
      <c r="Y462" t="str">
        <f t="shared" si="136"/>
        <v>61051221</v>
      </c>
      <c r="Z462" t="str">
        <f t="shared" si="147"/>
        <v>(KÖT)051221</v>
      </c>
      <c r="AA462" t="str">
        <f t="shared" si="137"/>
        <v>61051</v>
      </c>
      <c r="AB462" t="str">
        <f t="shared" si="138"/>
        <v>(KÖT)051</v>
      </c>
      <c r="AC462" t="str">
        <f t="shared" si="139"/>
        <v>61P654472051221</v>
      </c>
      <c r="AD462" t="str">
        <f t="shared" si="140"/>
        <v>P654472051221(KÖT)</v>
      </c>
      <c r="AE462" t="str">
        <f t="shared" si="141"/>
        <v>61P654472051</v>
      </c>
      <c r="AF462" t="str">
        <f t="shared" si="142"/>
        <v>P654472051(KÖT)</v>
      </c>
      <c r="AG462" t="str">
        <f t="shared" si="148"/>
        <v>61P65447205122114050</v>
      </c>
      <c r="AH462" t="str">
        <f t="shared" si="149"/>
        <v>P654472(KÖT)05122114050</v>
      </c>
      <c r="AI462" t="str">
        <f t="shared" si="150"/>
        <v>61P65447205114050</v>
      </c>
      <c r="AJ462" t="str">
        <f t="shared" si="151"/>
        <v>P654472051(KÖT)14050</v>
      </c>
    </row>
    <row r="463" spans="1:36" x14ac:dyDescent="0.25">
      <c r="A463" s="325" t="str">
        <f>CONCATENATE("P",'906MP'!M163)</f>
        <v>P394031</v>
      </c>
      <c r="B463">
        <f>'906MP'!H163</f>
        <v>61</v>
      </c>
      <c r="C463" t="str">
        <f>'906MP'!J163</f>
        <v>2025-01-01</v>
      </c>
      <c r="D463" t="str">
        <f>'906MP'!P163</f>
        <v>eredeti ei</v>
      </c>
      <c r="E463">
        <f>'906MP'!X163</f>
        <v>1574804</v>
      </c>
      <c r="F463" t="str">
        <f t="shared" si="143"/>
        <v>05</v>
      </c>
      <c r="G463" t="str">
        <f t="shared" si="144"/>
        <v>056</v>
      </c>
      <c r="H463" t="str">
        <f>'906MP'!Y163</f>
        <v>05641</v>
      </c>
      <c r="I463" t="str">
        <f>'906MP'!AK163</f>
        <v>2025/EEI-394031/1</v>
      </c>
      <c r="J463" t="str">
        <f>'906MP'!T163</f>
        <v>(KÖT)</v>
      </c>
      <c r="K463" t="str">
        <f>'906MP'!AJ163</f>
        <v/>
      </c>
      <c r="L463" t="str">
        <f>'906MP'!U163</f>
        <v>12100</v>
      </c>
      <c r="M463" s="322" t="str">
        <f>IFERROR(VLOOKUP(A463,PAR!$D$3:$E$53,2,FALSE),"nincs szervezet")</f>
        <v>Nagymarosi Polgármesteri Hivatal</v>
      </c>
      <c r="N463" s="322" t="str">
        <f>VLOOKUP(F463,PAR!$R$3:$S$5,2,FALSE)</f>
        <v>2 - Kiadás</v>
      </c>
      <c r="O463" t="str">
        <f>IFERROR(VLOOKUP(J463,PAR!$O$3:$P$5,2,FALSE),"nincs feladat")</f>
        <v>1 - (KÖT)</v>
      </c>
      <c r="P463" t="str">
        <f>IFERROR(VLOOKUP(G463,PAR!$J$2:$M$19,4),"nincs rovat")</f>
        <v>K6 - Beruházások</v>
      </c>
      <c r="Q463" t="str">
        <f>IF(H463&gt;0,VLOOKUP(H463,PAR!$AA$3:$AC$187,3,FALSE),"nincs főkönyvi számla")</f>
        <v>05641 -  Egyéb tárgyi eszközök beszerzése, létesítése előirányzata</v>
      </c>
      <c r="R463" t="str">
        <f>IFERROR(VLOOKUP(K463,PAR!$V$3:$X$438,3,FALSE),"000000 - Nincs COFOG")</f>
        <v>000000 - Nincs COFOG</v>
      </c>
      <c r="S463">
        <f t="shared" si="145"/>
        <v>1574804</v>
      </c>
      <c r="T463">
        <f t="shared" si="146"/>
        <v>1574804</v>
      </c>
      <c r="U463" t="str">
        <f>IF('906MP'!J163&gt;0,CONCATENATE('906MP'!J163," - ",'906MP'!P163,", ",'906MP'!E163),"nincs megjegyzés")</f>
        <v>2025-01-01 - eredeti ei, 2025/EEI-394031/1</v>
      </c>
      <c r="V463" t="str">
        <f t="shared" si="133"/>
        <v>61P394031056</v>
      </c>
      <c r="W463" t="str">
        <f t="shared" si="134"/>
        <v>61P39403105</v>
      </c>
      <c r="X463" t="str">
        <f t="shared" si="135"/>
        <v>P39403105641</v>
      </c>
      <c r="Y463" t="str">
        <f t="shared" si="136"/>
        <v>6105641</v>
      </c>
      <c r="Z463" t="str">
        <f t="shared" si="147"/>
        <v>(KÖT)05641</v>
      </c>
      <c r="AA463" t="str">
        <f t="shared" si="137"/>
        <v>61056</v>
      </c>
      <c r="AB463" t="str">
        <f t="shared" si="138"/>
        <v>(KÖT)056</v>
      </c>
      <c r="AC463" t="str">
        <f t="shared" si="139"/>
        <v>61P39403105641</v>
      </c>
      <c r="AD463" t="str">
        <f t="shared" si="140"/>
        <v>P39403105641(KÖT)</v>
      </c>
      <c r="AE463" t="str">
        <f t="shared" si="141"/>
        <v>61P394031056</v>
      </c>
      <c r="AF463" t="str">
        <f t="shared" si="142"/>
        <v>P394031056(KÖT)</v>
      </c>
      <c r="AG463" t="str">
        <f t="shared" si="148"/>
        <v>61P3940310564112100</v>
      </c>
      <c r="AH463" t="str">
        <f t="shared" si="149"/>
        <v>P394031(KÖT)0564112100</v>
      </c>
      <c r="AI463" t="str">
        <f t="shared" si="150"/>
        <v>61P39403105612100</v>
      </c>
      <c r="AJ463" t="str">
        <f t="shared" si="151"/>
        <v>P394031056(KÖT)12100</v>
      </c>
    </row>
    <row r="464" spans="1:36" x14ac:dyDescent="0.25">
      <c r="A464" s="325" t="str">
        <f>CONCATENATE("P",'906MP'!M164)</f>
        <v>P654472</v>
      </c>
      <c r="B464">
        <f>'906MP'!H164</f>
        <v>61</v>
      </c>
      <c r="C464" t="str">
        <f>'906MP'!J164</f>
        <v>2025-01-01</v>
      </c>
      <c r="D464" t="str">
        <f>'906MP'!P164</f>
        <v>eredeti ei</v>
      </c>
      <c r="E464">
        <f>'906MP'!X164</f>
        <v>3856800</v>
      </c>
      <c r="F464" t="str">
        <f t="shared" si="143"/>
        <v>05</v>
      </c>
      <c r="G464" t="str">
        <f t="shared" si="144"/>
        <v>052</v>
      </c>
      <c r="H464" t="str">
        <f>'906MP'!Y164</f>
        <v>0521</v>
      </c>
      <c r="I464" t="str">
        <f>'906MP'!AK164</f>
        <v>2025/EEI-654472/1</v>
      </c>
      <c r="J464" t="str">
        <f>'906MP'!T164</f>
        <v>(KÖT)</v>
      </c>
      <c r="K464" t="str">
        <f>'906MP'!AJ164</f>
        <v/>
      </c>
      <c r="L464" t="str">
        <f>'906MP'!U164</f>
        <v>14050</v>
      </c>
      <c r="M464" s="322" t="str">
        <f>IFERROR(VLOOKUP(A464,PAR!$D$3:$E$53,2,FALSE),"nincs szervezet")</f>
        <v>Nagymaros Városi Könyvtár és Művelődési Ház</v>
      </c>
      <c r="N464" s="322" t="str">
        <f>VLOOKUP(F464,PAR!$R$3:$S$5,2,FALSE)</f>
        <v>2 - Kiadás</v>
      </c>
      <c r="O464" t="str">
        <f>IFERROR(VLOOKUP(J464,PAR!$O$3:$P$5,2,FALSE),"nincs feladat")</f>
        <v>1 - (KÖT)</v>
      </c>
      <c r="P464" t="str">
        <f>IFERROR(VLOOKUP(G464,PAR!$J$2:$M$19,4),"nincs rovat")</f>
        <v>K2 - Munkaadókat terhelő járulékok és szociális hozzájárulási adó</v>
      </c>
      <c r="Q464" t="str">
        <f>IF(H464&gt;0,VLOOKUP(H464,PAR!$AA$3:$AC$187,3,FALSE),"nincs főkönyvi számla")</f>
        <v>0521 -  Munkaadókat terhelő járulékok és szociális hozzájárulási adó előirányzata</v>
      </c>
      <c r="R464" t="str">
        <f>IFERROR(VLOOKUP(K464,PAR!$V$3:$X$438,3,FALSE),"000000 - Nincs COFOG")</f>
        <v>000000 - Nincs COFOG</v>
      </c>
      <c r="S464">
        <f t="shared" si="145"/>
        <v>3856800</v>
      </c>
      <c r="T464">
        <f t="shared" si="146"/>
        <v>3856800</v>
      </c>
      <c r="U464" t="str">
        <f>IF('906MP'!J164&gt;0,CONCATENATE('906MP'!J164," - ",'906MP'!P164,", ",'906MP'!E164),"nincs megjegyzés")</f>
        <v>2025-01-01 - eredeti ei, 2025/EEI-654472/1</v>
      </c>
      <c r="V464" t="str">
        <f t="shared" si="133"/>
        <v>61P654472052</v>
      </c>
      <c r="W464" t="str">
        <f t="shared" si="134"/>
        <v>61P65447205</v>
      </c>
      <c r="X464" t="str">
        <f t="shared" si="135"/>
        <v>P6544720521</v>
      </c>
      <c r="Y464" t="str">
        <f t="shared" si="136"/>
        <v>610521</v>
      </c>
      <c r="Z464" t="str">
        <f t="shared" si="147"/>
        <v>(KÖT)0521</v>
      </c>
      <c r="AA464" t="str">
        <f t="shared" si="137"/>
        <v>61052</v>
      </c>
      <c r="AB464" t="str">
        <f t="shared" si="138"/>
        <v>(KÖT)052</v>
      </c>
      <c r="AC464" t="str">
        <f t="shared" si="139"/>
        <v>61P6544720521</v>
      </c>
      <c r="AD464" t="str">
        <f t="shared" si="140"/>
        <v>P6544720521(KÖT)</v>
      </c>
      <c r="AE464" t="str">
        <f t="shared" si="141"/>
        <v>61P654472052</v>
      </c>
      <c r="AF464" t="str">
        <f t="shared" si="142"/>
        <v>P654472052(KÖT)</v>
      </c>
      <c r="AG464" t="str">
        <f t="shared" si="148"/>
        <v>61P654472052114050</v>
      </c>
      <c r="AH464" t="str">
        <f t="shared" si="149"/>
        <v>P654472(KÖT)052114050</v>
      </c>
      <c r="AI464" t="str">
        <f t="shared" si="150"/>
        <v>61P65447205214050</v>
      </c>
      <c r="AJ464" t="str">
        <f t="shared" si="151"/>
        <v>P654472052(KÖT)14050</v>
      </c>
    </row>
    <row r="465" spans="1:36" x14ac:dyDescent="0.25">
      <c r="A465" s="325" t="str">
        <f>CONCATENATE("P",'906MP'!M165)</f>
        <v>P394031</v>
      </c>
      <c r="B465">
        <f>'906MP'!H165</f>
        <v>61</v>
      </c>
      <c r="C465" t="str">
        <f>'906MP'!J165</f>
        <v>2025-01-01</v>
      </c>
      <c r="D465" t="str">
        <f>'906MP'!P165</f>
        <v>eredeti ei</v>
      </c>
      <c r="E465">
        <f>'906MP'!X165</f>
        <v>956692</v>
      </c>
      <c r="F465" t="str">
        <f t="shared" si="143"/>
        <v>05</v>
      </c>
      <c r="G465" t="str">
        <f t="shared" si="144"/>
        <v>056</v>
      </c>
      <c r="H465" t="str">
        <f>'906MP'!Y165</f>
        <v>05671</v>
      </c>
      <c r="I465" t="str">
        <f>'906MP'!AK165</f>
        <v>2025/EEI-394031/1</v>
      </c>
      <c r="J465" t="str">
        <f>'906MP'!T165</f>
        <v>(KÖT)</v>
      </c>
      <c r="K465" t="str">
        <f>'906MP'!AJ165</f>
        <v/>
      </c>
      <c r="L465" t="str">
        <f>'906MP'!U165</f>
        <v>12100</v>
      </c>
      <c r="M465" s="322" t="str">
        <f>IFERROR(VLOOKUP(A465,PAR!$D$3:$E$53,2,FALSE),"nincs szervezet")</f>
        <v>Nagymarosi Polgármesteri Hivatal</v>
      </c>
      <c r="N465" s="322" t="str">
        <f>VLOOKUP(F465,PAR!$R$3:$S$5,2,FALSE)</f>
        <v>2 - Kiadás</v>
      </c>
      <c r="O465" t="str">
        <f>IFERROR(VLOOKUP(J465,PAR!$O$3:$P$5,2,FALSE),"nincs feladat")</f>
        <v>1 - (KÖT)</v>
      </c>
      <c r="P465" t="str">
        <f>IFERROR(VLOOKUP(G465,PAR!$J$2:$M$19,4),"nincs rovat")</f>
        <v>K6 - Beruházások</v>
      </c>
      <c r="Q465" t="str">
        <f>IF(H465&gt;0,VLOOKUP(H465,PAR!$AA$3:$AC$187,3,FALSE),"nincs főkönyvi számla")</f>
        <v>05671 -  Beruházási célú előzetesen felszámított általános forgalmi adó előirányzata</v>
      </c>
      <c r="R465" t="str">
        <f>IFERROR(VLOOKUP(K465,PAR!$V$3:$X$438,3,FALSE),"000000 - Nincs COFOG")</f>
        <v>000000 - Nincs COFOG</v>
      </c>
      <c r="S465">
        <f t="shared" si="145"/>
        <v>956692</v>
      </c>
      <c r="T465">
        <f t="shared" si="146"/>
        <v>956692</v>
      </c>
      <c r="U465" t="str">
        <f>IF('906MP'!J165&gt;0,CONCATENATE('906MP'!J165," - ",'906MP'!P165,", ",'906MP'!E165),"nincs megjegyzés")</f>
        <v>2025-01-01 - eredeti ei, 2025/EEI-394031/1</v>
      </c>
      <c r="V465" t="str">
        <f t="shared" si="133"/>
        <v>61P394031056</v>
      </c>
      <c r="W465" t="str">
        <f t="shared" si="134"/>
        <v>61P39403105</v>
      </c>
      <c r="X465" t="str">
        <f t="shared" si="135"/>
        <v>P39403105671</v>
      </c>
      <c r="Y465" t="str">
        <f t="shared" si="136"/>
        <v>6105671</v>
      </c>
      <c r="Z465" t="str">
        <f t="shared" si="147"/>
        <v>(KÖT)05671</v>
      </c>
      <c r="AA465" t="str">
        <f t="shared" si="137"/>
        <v>61056</v>
      </c>
      <c r="AB465" t="str">
        <f t="shared" si="138"/>
        <v>(KÖT)056</v>
      </c>
      <c r="AC465" t="str">
        <f t="shared" si="139"/>
        <v>61P39403105671</v>
      </c>
      <c r="AD465" t="str">
        <f t="shared" si="140"/>
        <v>P39403105671(KÖT)</v>
      </c>
      <c r="AE465" t="str">
        <f t="shared" si="141"/>
        <v>61P394031056</v>
      </c>
      <c r="AF465" t="str">
        <f t="shared" si="142"/>
        <v>P394031056(KÖT)</v>
      </c>
      <c r="AG465" t="str">
        <f t="shared" si="148"/>
        <v>61P3940310567112100</v>
      </c>
      <c r="AH465" t="str">
        <f t="shared" si="149"/>
        <v>P394031(KÖT)0567112100</v>
      </c>
      <c r="AI465" t="str">
        <f t="shared" si="150"/>
        <v>61P39403105612100</v>
      </c>
      <c r="AJ465" t="str">
        <f t="shared" si="151"/>
        <v>P394031056(KÖT)12100</v>
      </c>
    </row>
    <row r="466" spans="1:36" x14ac:dyDescent="0.25">
      <c r="A466" s="325" t="str">
        <f>CONCATENATE("P",'906MP'!M166)</f>
        <v>P654472</v>
      </c>
      <c r="B466">
        <f>'906MP'!H166</f>
        <v>61</v>
      </c>
      <c r="C466" t="str">
        <f>'906MP'!J166</f>
        <v>2025-01-01</v>
      </c>
      <c r="D466" t="str">
        <f>'906MP'!P166</f>
        <v>eredeti ei</v>
      </c>
      <c r="E466">
        <f>'906MP'!X166</f>
        <v>620000</v>
      </c>
      <c r="F466" t="str">
        <f t="shared" si="143"/>
        <v>05</v>
      </c>
      <c r="G466" t="str">
        <f t="shared" si="144"/>
        <v>053</v>
      </c>
      <c r="H466" t="str">
        <f>'906MP'!Y166</f>
        <v>053121</v>
      </c>
      <c r="I466" t="str">
        <f>'906MP'!AK166</f>
        <v>2025/EEI-654472/1</v>
      </c>
      <c r="J466" t="str">
        <f>'906MP'!T166</f>
        <v>(KÖT)</v>
      </c>
      <c r="K466" t="str">
        <f>'906MP'!AJ166</f>
        <v/>
      </c>
      <c r="L466" t="str">
        <f>'906MP'!U166</f>
        <v>14050</v>
      </c>
      <c r="M466" s="322" t="str">
        <f>IFERROR(VLOOKUP(A466,PAR!$D$3:$E$53,2,FALSE),"nincs szervezet")</f>
        <v>Nagymaros Városi Könyvtár és Művelődési Ház</v>
      </c>
      <c r="N466" s="322" t="str">
        <f>VLOOKUP(F466,PAR!$R$3:$S$5,2,FALSE)</f>
        <v>2 - Kiadás</v>
      </c>
      <c r="O466" t="str">
        <f>IFERROR(VLOOKUP(J466,PAR!$O$3:$P$5,2,FALSE),"nincs feladat")</f>
        <v>1 - (KÖT)</v>
      </c>
      <c r="P466" t="str">
        <f>IFERROR(VLOOKUP(G466,PAR!$J$2:$M$19,4),"nincs rovat")</f>
        <v>K3 - Dologi kiadások</v>
      </c>
      <c r="Q466" t="str">
        <f>IF(H466&gt;0,VLOOKUP(H466,PAR!$AA$3:$AC$187,3,FALSE),"nincs főkönyvi számla")</f>
        <v>053121 -  Üzemeltetési anyagok beszerzése előirányzata</v>
      </c>
      <c r="R466" t="str">
        <f>IFERROR(VLOOKUP(K466,PAR!$V$3:$X$438,3,FALSE),"000000 - Nincs COFOG")</f>
        <v>000000 - Nincs COFOG</v>
      </c>
      <c r="S466">
        <f t="shared" si="145"/>
        <v>620000</v>
      </c>
      <c r="T466">
        <f t="shared" si="146"/>
        <v>620000</v>
      </c>
      <c r="U466" t="str">
        <f>IF('906MP'!J166&gt;0,CONCATENATE('906MP'!J166," - ",'906MP'!P166,", ",'906MP'!E166),"nincs megjegyzés")</f>
        <v>2025-01-01 - eredeti ei, 2025/EEI-654472/1</v>
      </c>
      <c r="V466" t="str">
        <f t="shared" si="133"/>
        <v>61P654472053</v>
      </c>
      <c r="W466" t="str">
        <f t="shared" si="134"/>
        <v>61P65447205</v>
      </c>
      <c r="X466" t="str">
        <f t="shared" si="135"/>
        <v>P654472053121</v>
      </c>
      <c r="Y466" t="str">
        <f t="shared" si="136"/>
        <v>61053121</v>
      </c>
      <c r="Z466" t="str">
        <f t="shared" si="147"/>
        <v>(KÖT)053121</v>
      </c>
      <c r="AA466" t="str">
        <f t="shared" si="137"/>
        <v>61053</v>
      </c>
      <c r="AB466" t="str">
        <f t="shared" si="138"/>
        <v>(KÖT)053</v>
      </c>
      <c r="AC466" t="str">
        <f t="shared" si="139"/>
        <v>61P654472053121</v>
      </c>
      <c r="AD466" t="str">
        <f t="shared" si="140"/>
        <v>P654472053121(KÖT)</v>
      </c>
      <c r="AE466" t="str">
        <f t="shared" si="141"/>
        <v>61P654472053</v>
      </c>
      <c r="AF466" t="str">
        <f t="shared" si="142"/>
        <v>P654472053(KÖT)</v>
      </c>
      <c r="AG466" t="str">
        <f t="shared" si="148"/>
        <v>61P65447205312114050</v>
      </c>
      <c r="AH466" t="str">
        <f t="shared" si="149"/>
        <v>P654472(KÖT)05312114050</v>
      </c>
      <c r="AI466" t="str">
        <f t="shared" si="150"/>
        <v>61P65447205314050</v>
      </c>
      <c r="AJ466" t="str">
        <f t="shared" si="151"/>
        <v>P654472053(KÖT)14050</v>
      </c>
    </row>
    <row r="467" spans="1:36" x14ac:dyDescent="0.25">
      <c r="A467" s="325" t="str">
        <f>CONCATENATE("P",'906MP'!M167)</f>
        <v>P394031</v>
      </c>
      <c r="B467">
        <f>'906MP'!H167</f>
        <v>61</v>
      </c>
      <c r="C467" t="str">
        <f>'906MP'!J167</f>
        <v>2025-01-01</v>
      </c>
      <c r="D467" t="str">
        <f>'906MP'!P167</f>
        <v>eredeti ei</v>
      </c>
      <c r="E467">
        <f>'906MP'!X167</f>
        <v>-1000000</v>
      </c>
      <c r="F467" t="str">
        <f t="shared" si="143"/>
        <v>09</v>
      </c>
      <c r="G467" t="str">
        <f t="shared" si="144"/>
        <v>094</v>
      </c>
      <c r="H467" t="str">
        <f>'906MP'!Y167</f>
        <v>094021</v>
      </c>
      <c r="I467" t="str">
        <f>'906MP'!AK167</f>
        <v>2025/EEI-394031/1</v>
      </c>
      <c r="J467" t="str">
        <f>'906MP'!T167</f>
        <v>(KÖT)</v>
      </c>
      <c r="K467" t="str">
        <f>'906MP'!AJ167</f>
        <v/>
      </c>
      <c r="L467" t="str">
        <f>'906MP'!U167</f>
        <v>92100</v>
      </c>
      <c r="M467" s="322" t="str">
        <f>IFERROR(VLOOKUP(A467,PAR!$D$3:$E$53,2,FALSE),"nincs szervezet")</f>
        <v>Nagymarosi Polgármesteri Hivatal</v>
      </c>
      <c r="N467" s="322" t="str">
        <f>VLOOKUP(F467,PAR!$R$3:$S$5,2,FALSE)</f>
        <v>1 - Bevétel</v>
      </c>
      <c r="O467" t="str">
        <f>IFERROR(VLOOKUP(J467,PAR!$O$3:$P$5,2,FALSE),"nincs feladat")</f>
        <v>1 - (KÖT)</v>
      </c>
      <c r="P467" t="str">
        <f>IFERROR(VLOOKUP(G467,PAR!$J$2:$M$19,4),"nincs rovat")</f>
        <v>B4 - Működési bevételek</v>
      </c>
      <c r="Q467" t="str">
        <f>IF(H467&gt;0,VLOOKUP(H467,PAR!$AA$3:$AC$187,3,FALSE),"nincs főkönyvi számla")</f>
        <v>094021 -  Szolgáltatások ellenértéke előirányzata</v>
      </c>
      <c r="R467" t="str">
        <f>IFERROR(VLOOKUP(K467,PAR!$V$3:$X$438,3,FALSE),"000000 - Nincs COFOG")</f>
        <v>000000 - Nincs COFOG</v>
      </c>
      <c r="S467">
        <f t="shared" si="145"/>
        <v>-1000000</v>
      </c>
      <c r="T467">
        <f t="shared" si="146"/>
        <v>1000000</v>
      </c>
      <c r="U467" t="str">
        <f>IF('906MP'!J167&gt;0,CONCATENATE('906MP'!J167," - ",'906MP'!P167,", ",'906MP'!E167),"nincs megjegyzés")</f>
        <v>2025-01-01 - eredeti ei, 2025/EEI-394031/1</v>
      </c>
      <c r="V467" t="str">
        <f t="shared" si="133"/>
        <v>61P394031094</v>
      </c>
      <c r="W467" t="str">
        <f t="shared" si="134"/>
        <v>61P39403109</v>
      </c>
      <c r="X467" t="str">
        <f t="shared" si="135"/>
        <v>P394031094021</v>
      </c>
      <c r="Y467" t="str">
        <f t="shared" si="136"/>
        <v>61094021</v>
      </c>
      <c r="Z467" t="str">
        <f t="shared" si="147"/>
        <v>(KÖT)094021</v>
      </c>
      <c r="AA467" t="str">
        <f t="shared" si="137"/>
        <v>61094</v>
      </c>
      <c r="AB467" t="str">
        <f t="shared" si="138"/>
        <v>(KÖT)094</v>
      </c>
      <c r="AC467" t="str">
        <f t="shared" si="139"/>
        <v>61P394031094021</v>
      </c>
      <c r="AD467" t="str">
        <f t="shared" si="140"/>
        <v>P394031094021(KÖT)</v>
      </c>
      <c r="AE467" t="str">
        <f t="shared" si="141"/>
        <v>61P394031094</v>
      </c>
      <c r="AF467" t="str">
        <f t="shared" si="142"/>
        <v>P394031094(KÖT)</v>
      </c>
      <c r="AG467" t="str">
        <f t="shared" si="148"/>
        <v>61P39403109402192100</v>
      </c>
      <c r="AH467" t="str">
        <f t="shared" si="149"/>
        <v>P394031(KÖT)09402192100</v>
      </c>
      <c r="AI467" t="str">
        <f t="shared" si="150"/>
        <v>61P39403109492100</v>
      </c>
      <c r="AJ467" t="str">
        <f t="shared" si="151"/>
        <v>P394031094(KÖT)92100</v>
      </c>
    </row>
    <row r="468" spans="1:36" x14ac:dyDescent="0.25">
      <c r="A468" s="325" t="str">
        <f>CONCATENATE("P",'906MP'!M168)</f>
        <v>P654472</v>
      </c>
      <c r="B468">
        <f>'906MP'!H168</f>
        <v>61</v>
      </c>
      <c r="C468" t="str">
        <f>'906MP'!J168</f>
        <v>2025-01-01</v>
      </c>
      <c r="D468" t="str">
        <f>'906MP'!P168</f>
        <v>eredeti ei</v>
      </c>
      <c r="E468">
        <f>'906MP'!X168</f>
        <v>778920</v>
      </c>
      <c r="F468" t="str">
        <f t="shared" si="143"/>
        <v>05</v>
      </c>
      <c r="G468" t="str">
        <f t="shared" si="144"/>
        <v>053</v>
      </c>
      <c r="H468" t="str">
        <f>'906MP'!Y168</f>
        <v>053211</v>
      </c>
      <c r="I468" t="str">
        <f>'906MP'!AK168</f>
        <v>2025/EEI-654472/1</v>
      </c>
      <c r="J468" t="str">
        <f>'906MP'!T168</f>
        <v>(KÖT)</v>
      </c>
      <c r="K468" t="str">
        <f>'906MP'!AJ168</f>
        <v/>
      </c>
      <c r="L468" t="str">
        <f>'906MP'!U168</f>
        <v>14050</v>
      </c>
      <c r="M468" s="322" t="str">
        <f>IFERROR(VLOOKUP(A468,PAR!$D$3:$E$53,2,FALSE),"nincs szervezet")</f>
        <v>Nagymaros Városi Könyvtár és Művelődési Ház</v>
      </c>
      <c r="N468" s="322" t="str">
        <f>VLOOKUP(F468,PAR!$R$3:$S$5,2,FALSE)</f>
        <v>2 - Kiadás</v>
      </c>
      <c r="O468" t="str">
        <f>IFERROR(VLOOKUP(J468,PAR!$O$3:$P$5,2,FALSE),"nincs feladat")</f>
        <v>1 - (KÖT)</v>
      </c>
      <c r="P468" t="str">
        <f>IFERROR(VLOOKUP(G468,PAR!$J$2:$M$19,4),"nincs rovat")</f>
        <v>K3 - Dologi kiadások</v>
      </c>
      <c r="Q468" t="str">
        <f>IF(H468&gt;0,VLOOKUP(H468,PAR!$AA$3:$AC$187,3,FALSE),"nincs főkönyvi számla")</f>
        <v>053211 -  Informatikai szolgáltatások igénybevétele előirányzata</v>
      </c>
      <c r="R468" t="str">
        <f>IFERROR(VLOOKUP(K468,PAR!$V$3:$X$438,3,FALSE),"000000 - Nincs COFOG")</f>
        <v>000000 - Nincs COFOG</v>
      </c>
      <c r="S468">
        <f t="shared" si="145"/>
        <v>778920</v>
      </c>
      <c r="T468">
        <f t="shared" si="146"/>
        <v>778920</v>
      </c>
      <c r="U468" t="str">
        <f>IF('906MP'!J168&gt;0,CONCATENATE('906MP'!J168," - ",'906MP'!P168,", ",'906MP'!E168),"nincs megjegyzés")</f>
        <v>2025-01-01 - eredeti ei, 2025/EEI-654472/1</v>
      </c>
      <c r="V468" t="str">
        <f t="shared" si="133"/>
        <v>61P654472053</v>
      </c>
      <c r="W468" t="str">
        <f t="shared" si="134"/>
        <v>61P65447205</v>
      </c>
      <c r="X468" t="str">
        <f t="shared" si="135"/>
        <v>P654472053211</v>
      </c>
      <c r="Y468" t="str">
        <f t="shared" si="136"/>
        <v>61053211</v>
      </c>
      <c r="Z468" t="str">
        <f t="shared" si="147"/>
        <v>(KÖT)053211</v>
      </c>
      <c r="AA468" t="str">
        <f t="shared" si="137"/>
        <v>61053</v>
      </c>
      <c r="AB468" t="str">
        <f t="shared" si="138"/>
        <v>(KÖT)053</v>
      </c>
      <c r="AC468" t="str">
        <f t="shared" si="139"/>
        <v>61P654472053211</v>
      </c>
      <c r="AD468" t="str">
        <f t="shared" si="140"/>
        <v>P654472053211(KÖT)</v>
      </c>
      <c r="AE468" t="str">
        <f t="shared" si="141"/>
        <v>61P654472053</v>
      </c>
      <c r="AF468" t="str">
        <f t="shared" si="142"/>
        <v>P654472053(KÖT)</v>
      </c>
      <c r="AG468" t="str">
        <f t="shared" si="148"/>
        <v>61P65447205321114050</v>
      </c>
      <c r="AH468" t="str">
        <f t="shared" si="149"/>
        <v>P654472(KÖT)05321114050</v>
      </c>
      <c r="AI468" t="str">
        <f t="shared" si="150"/>
        <v>61P65447205314050</v>
      </c>
      <c r="AJ468" t="str">
        <f t="shared" si="151"/>
        <v>P654472053(KÖT)14050</v>
      </c>
    </row>
    <row r="469" spans="1:36" x14ac:dyDescent="0.25">
      <c r="A469" s="325" t="str">
        <f>CONCATENATE("P",'906MP'!M169)</f>
        <v>P394031</v>
      </c>
      <c r="B469">
        <f>'906MP'!H169</f>
        <v>61</v>
      </c>
      <c r="C469" t="str">
        <f>'906MP'!J169</f>
        <v>2025-01-01</v>
      </c>
      <c r="D469" t="str">
        <f>'906MP'!P169</f>
        <v>eredeti ei</v>
      </c>
      <c r="E469">
        <f>'906MP'!X169</f>
        <v>-417719</v>
      </c>
      <c r="F469" t="str">
        <f t="shared" si="143"/>
        <v>09</v>
      </c>
      <c r="G469" t="str">
        <f t="shared" si="144"/>
        <v>098</v>
      </c>
      <c r="H469" t="str">
        <f>'906MP'!Y169</f>
        <v>0981311</v>
      </c>
      <c r="I469" t="str">
        <f>'906MP'!AK169</f>
        <v>2025/EEI-394031/1</v>
      </c>
      <c r="J469" t="str">
        <f>'906MP'!T169</f>
        <v>(KÖT)</v>
      </c>
      <c r="K469" t="str">
        <f>'906MP'!AJ169</f>
        <v/>
      </c>
      <c r="L469" t="str">
        <f>'906MP'!U169</f>
        <v>92100</v>
      </c>
      <c r="M469" s="322" t="str">
        <f>IFERROR(VLOOKUP(A469,PAR!$D$3:$E$53,2,FALSE),"nincs szervezet")</f>
        <v>Nagymarosi Polgármesteri Hivatal</v>
      </c>
      <c r="N469" s="322" t="str">
        <f>VLOOKUP(F469,PAR!$R$3:$S$5,2,FALSE)</f>
        <v>1 - Bevétel</v>
      </c>
      <c r="O469" t="str">
        <f>IFERROR(VLOOKUP(J469,PAR!$O$3:$P$5,2,FALSE),"nincs feladat")</f>
        <v>1 - (KÖT)</v>
      </c>
      <c r="P469" t="str">
        <f>IFERROR(VLOOKUP(G469,PAR!$J$2:$M$19,4),"nincs rovat")</f>
        <v>B8 - Finanszírozási bevételek</v>
      </c>
      <c r="Q469" t="str">
        <f>IF(H469&gt;0,VLOOKUP(H469,PAR!$AA$3:$AC$187,3,FALSE),"nincs főkönyvi számla")</f>
        <v>0981311 -  Előző év költségvetési maradványának igénybevétele előirányzata</v>
      </c>
      <c r="R469" t="str">
        <f>IFERROR(VLOOKUP(K469,PAR!$V$3:$X$438,3,FALSE),"000000 - Nincs COFOG")</f>
        <v>000000 - Nincs COFOG</v>
      </c>
      <c r="S469">
        <f t="shared" si="145"/>
        <v>-417719</v>
      </c>
      <c r="T469">
        <f t="shared" si="146"/>
        <v>417719</v>
      </c>
      <c r="U469" t="str">
        <f>IF('906MP'!J169&gt;0,CONCATENATE('906MP'!J169," - ",'906MP'!P169,", ",'906MP'!E169),"nincs megjegyzés")</f>
        <v>2025-01-01 - eredeti ei, 2025/EEI-394031/1</v>
      </c>
      <c r="V469" t="str">
        <f t="shared" si="133"/>
        <v>61P394031098</v>
      </c>
      <c r="W469" t="str">
        <f t="shared" si="134"/>
        <v>61P39403109</v>
      </c>
      <c r="X469" t="str">
        <f t="shared" si="135"/>
        <v>P3940310981311</v>
      </c>
      <c r="Y469" t="str">
        <f t="shared" si="136"/>
        <v>610981311</v>
      </c>
      <c r="Z469" t="str">
        <f t="shared" si="147"/>
        <v>(KÖT)0981311</v>
      </c>
      <c r="AA469" t="str">
        <f t="shared" si="137"/>
        <v>61098</v>
      </c>
      <c r="AB469" t="str">
        <f t="shared" si="138"/>
        <v>(KÖT)098</v>
      </c>
      <c r="AC469" t="str">
        <f t="shared" si="139"/>
        <v>61P3940310981311</v>
      </c>
      <c r="AD469" t="str">
        <f t="shared" si="140"/>
        <v>P3940310981311(KÖT)</v>
      </c>
      <c r="AE469" t="str">
        <f t="shared" si="141"/>
        <v>61P394031098</v>
      </c>
      <c r="AF469" t="str">
        <f t="shared" si="142"/>
        <v>P394031098(KÖT)</v>
      </c>
      <c r="AG469" t="str">
        <f t="shared" si="148"/>
        <v>61P394031098131192100</v>
      </c>
      <c r="AH469" t="str">
        <f t="shared" si="149"/>
        <v>P394031(KÖT)098131192100</v>
      </c>
      <c r="AI469" t="str">
        <f t="shared" si="150"/>
        <v>61P39403109892100</v>
      </c>
      <c r="AJ469" t="str">
        <f t="shared" si="151"/>
        <v>P394031098(KÖT)92100</v>
      </c>
    </row>
    <row r="470" spans="1:36" x14ac:dyDescent="0.25">
      <c r="A470" s="325" t="str">
        <f>CONCATENATE("P",'906MP'!M170)</f>
        <v>P654472</v>
      </c>
      <c r="B470">
        <f>'906MP'!H170</f>
        <v>61</v>
      </c>
      <c r="C470" t="str">
        <f>'906MP'!J170</f>
        <v>2025-01-01</v>
      </c>
      <c r="D470" t="str">
        <f>'906MP'!P170</f>
        <v>eredeti ei</v>
      </c>
      <c r="E470">
        <f>'906MP'!X170</f>
        <v>216000</v>
      </c>
      <c r="F470" t="str">
        <f t="shared" si="143"/>
        <v>05</v>
      </c>
      <c r="G470" t="str">
        <f t="shared" si="144"/>
        <v>053</v>
      </c>
      <c r="H470" t="str">
        <f>'906MP'!Y170</f>
        <v>053221</v>
      </c>
      <c r="I470" t="str">
        <f>'906MP'!AK170</f>
        <v>2025/EEI-654472/1</v>
      </c>
      <c r="J470" t="str">
        <f>'906MP'!T170</f>
        <v>(KÖT)</v>
      </c>
      <c r="K470" t="str">
        <f>'906MP'!AJ170</f>
        <v/>
      </c>
      <c r="L470" t="str">
        <f>'906MP'!U170</f>
        <v>14050</v>
      </c>
      <c r="M470" s="322" t="str">
        <f>IFERROR(VLOOKUP(A470,PAR!$D$3:$E$53,2,FALSE),"nincs szervezet")</f>
        <v>Nagymaros Városi Könyvtár és Művelődési Ház</v>
      </c>
      <c r="N470" s="322" t="str">
        <f>VLOOKUP(F470,PAR!$R$3:$S$5,2,FALSE)</f>
        <v>2 - Kiadás</v>
      </c>
      <c r="O470" t="str">
        <f>IFERROR(VLOOKUP(J470,PAR!$O$3:$P$5,2,FALSE),"nincs feladat")</f>
        <v>1 - (KÖT)</v>
      </c>
      <c r="P470" t="str">
        <f>IFERROR(VLOOKUP(G470,PAR!$J$2:$M$19,4),"nincs rovat")</f>
        <v>K3 - Dologi kiadások</v>
      </c>
      <c r="Q470" t="str">
        <f>IF(H470&gt;0,VLOOKUP(H470,PAR!$AA$3:$AC$187,3,FALSE),"nincs főkönyvi számla")</f>
        <v>053221 -  Egyéb kommunikációs szolgáltatások előirányzata</v>
      </c>
      <c r="R470" t="str">
        <f>IFERROR(VLOOKUP(K470,PAR!$V$3:$X$438,3,FALSE),"000000 - Nincs COFOG")</f>
        <v>000000 - Nincs COFOG</v>
      </c>
      <c r="S470">
        <f t="shared" si="145"/>
        <v>216000</v>
      </c>
      <c r="T470">
        <f t="shared" si="146"/>
        <v>216000</v>
      </c>
      <c r="U470" t="str">
        <f>IF('906MP'!J170&gt;0,CONCATENATE('906MP'!J170," - ",'906MP'!P170,", ",'906MP'!E170),"nincs megjegyzés")</f>
        <v>2025-01-01 - eredeti ei, 2025/EEI-654472/1</v>
      </c>
      <c r="V470" t="str">
        <f t="shared" si="133"/>
        <v>61P654472053</v>
      </c>
      <c r="W470" t="str">
        <f t="shared" si="134"/>
        <v>61P65447205</v>
      </c>
      <c r="X470" t="str">
        <f t="shared" si="135"/>
        <v>P654472053221</v>
      </c>
      <c r="Y470" t="str">
        <f t="shared" si="136"/>
        <v>61053221</v>
      </c>
      <c r="Z470" t="str">
        <f t="shared" si="147"/>
        <v>(KÖT)053221</v>
      </c>
      <c r="AA470" t="str">
        <f t="shared" si="137"/>
        <v>61053</v>
      </c>
      <c r="AB470" t="str">
        <f t="shared" si="138"/>
        <v>(KÖT)053</v>
      </c>
      <c r="AC470" t="str">
        <f t="shared" si="139"/>
        <v>61P654472053221</v>
      </c>
      <c r="AD470" t="str">
        <f t="shared" si="140"/>
        <v>P654472053221(KÖT)</v>
      </c>
      <c r="AE470" t="str">
        <f t="shared" si="141"/>
        <v>61P654472053</v>
      </c>
      <c r="AF470" t="str">
        <f t="shared" si="142"/>
        <v>P654472053(KÖT)</v>
      </c>
      <c r="AG470" t="str">
        <f t="shared" si="148"/>
        <v>61P65447205322114050</v>
      </c>
      <c r="AH470" t="str">
        <f t="shared" si="149"/>
        <v>P654472(KÖT)05322114050</v>
      </c>
      <c r="AI470" t="str">
        <f t="shared" si="150"/>
        <v>61P65447205314050</v>
      </c>
      <c r="AJ470" t="str">
        <f t="shared" si="151"/>
        <v>P654472053(KÖT)14050</v>
      </c>
    </row>
    <row r="471" spans="1:36" x14ac:dyDescent="0.25">
      <c r="A471" s="325" t="str">
        <f>CONCATENATE("P",'906MP'!M171)</f>
        <v>P394031</v>
      </c>
      <c r="B471">
        <f>'906MP'!H171</f>
        <v>61</v>
      </c>
      <c r="C471" t="str">
        <f>'906MP'!J171</f>
        <v>2025-01-01</v>
      </c>
      <c r="D471" t="str">
        <f>'906MP'!P171</f>
        <v>eredeti ei</v>
      </c>
      <c r="E471">
        <f>'906MP'!X171</f>
        <v>-255031927</v>
      </c>
      <c r="F471" t="str">
        <f t="shared" si="143"/>
        <v>09</v>
      </c>
      <c r="G471" t="str">
        <f t="shared" si="144"/>
        <v>098</v>
      </c>
      <c r="H471" t="str">
        <f>'906MP'!Y171</f>
        <v>098161</v>
      </c>
      <c r="I471" t="str">
        <f>'906MP'!AK171</f>
        <v>2025/EEI-394031/1</v>
      </c>
      <c r="J471" t="str">
        <f>'906MP'!T171</f>
        <v>(KÖT)</v>
      </c>
      <c r="K471" t="str">
        <f>'906MP'!AJ171</f>
        <v/>
      </c>
      <c r="L471" t="str">
        <f>'906MP'!U171</f>
        <v>92100</v>
      </c>
      <c r="M471" s="322" t="str">
        <f>IFERROR(VLOOKUP(A471,PAR!$D$3:$E$53,2,FALSE),"nincs szervezet")</f>
        <v>Nagymarosi Polgármesteri Hivatal</v>
      </c>
      <c r="N471" s="322" t="str">
        <f>VLOOKUP(F471,PAR!$R$3:$S$5,2,FALSE)</f>
        <v>1 - Bevétel</v>
      </c>
      <c r="O471" t="str">
        <f>IFERROR(VLOOKUP(J471,PAR!$O$3:$P$5,2,FALSE),"nincs feladat")</f>
        <v>1 - (KÖT)</v>
      </c>
      <c r="P471" t="str">
        <f>IFERROR(VLOOKUP(G471,PAR!$J$2:$M$19,4),"nincs rovat")</f>
        <v>B8 - Finanszírozási bevételek</v>
      </c>
      <c r="Q471" t="str">
        <f>IF(H471&gt;0,VLOOKUP(H471,PAR!$AA$3:$AC$187,3,FALSE),"nincs főkönyvi számla")</f>
        <v>098161 -  Központi, irányító szervi támogatás előirányzata</v>
      </c>
      <c r="R471" t="str">
        <f>IFERROR(VLOOKUP(K471,PAR!$V$3:$X$438,3,FALSE),"000000 - Nincs COFOG")</f>
        <v>000000 - Nincs COFOG</v>
      </c>
      <c r="S471">
        <f t="shared" si="145"/>
        <v>-255031927</v>
      </c>
      <c r="T471">
        <f t="shared" si="146"/>
        <v>255031927</v>
      </c>
      <c r="U471" t="str">
        <f>IF('906MP'!J171&gt;0,CONCATENATE('906MP'!J171," - ",'906MP'!P171,", ",'906MP'!E171),"nincs megjegyzés")</f>
        <v>2025-01-01 - eredeti ei, 2025/EEI-394031/1</v>
      </c>
      <c r="V471" t="str">
        <f t="shared" si="133"/>
        <v>61P394031098</v>
      </c>
      <c r="W471" t="str">
        <f t="shared" si="134"/>
        <v>61P39403109</v>
      </c>
      <c r="X471" t="str">
        <f t="shared" si="135"/>
        <v>P394031098161</v>
      </c>
      <c r="Y471" t="str">
        <f t="shared" si="136"/>
        <v>61098161</v>
      </c>
      <c r="Z471" t="str">
        <f t="shared" si="147"/>
        <v>(KÖT)098161</v>
      </c>
      <c r="AA471" t="str">
        <f t="shared" si="137"/>
        <v>61098</v>
      </c>
      <c r="AB471" t="str">
        <f t="shared" si="138"/>
        <v>(KÖT)098</v>
      </c>
      <c r="AC471" t="str">
        <f t="shared" si="139"/>
        <v>61P394031098161</v>
      </c>
      <c r="AD471" t="str">
        <f t="shared" si="140"/>
        <v>P394031098161(KÖT)</v>
      </c>
      <c r="AE471" t="str">
        <f t="shared" si="141"/>
        <v>61P394031098</v>
      </c>
      <c r="AF471" t="str">
        <f t="shared" si="142"/>
        <v>P394031098(KÖT)</v>
      </c>
      <c r="AG471" t="str">
        <f t="shared" si="148"/>
        <v>61P39403109816192100</v>
      </c>
      <c r="AH471" t="str">
        <f t="shared" si="149"/>
        <v>P394031(KÖT)09816192100</v>
      </c>
      <c r="AI471" t="str">
        <f t="shared" si="150"/>
        <v>61P39403109892100</v>
      </c>
      <c r="AJ471" t="str">
        <f t="shared" si="151"/>
        <v>P394031098(KÖT)92100</v>
      </c>
    </row>
    <row r="472" spans="1:36" x14ac:dyDescent="0.25">
      <c r="A472" s="325" t="str">
        <f>CONCATENATE("P",'906MP'!M172)</f>
        <v>P654472</v>
      </c>
      <c r="B472">
        <f>'906MP'!H172</f>
        <v>61</v>
      </c>
      <c r="C472" t="str">
        <f>'906MP'!J172</f>
        <v>2025-01-01</v>
      </c>
      <c r="D472" t="str">
        <f>'906MP'!P172</f>
        <v>eredeti ei</v>
      </c>
      <c r="E472">
        <f>'906MP'!X172</f>
        <v>2040000</v>
      </c>
      <c r="F472" t="str">
        <f t="shared" si="143"/>
        <v>05</v>
      </c>
      <c r="G472" t="str">
        <f t="shared" si="144"/>
        <v>053</v>
      </c>
      <c r="H472" t="str">
        <f>'906MP'!Y172</f>
        <v>0533111</v>
      </c>
      <c r="I472" t="str">
        <f>'906MP'!AK172</f>
        <v>2025/EEI-654472/1</v>
      </c>
      <c r="J472" t="str">
        <f>'906MP'!T172</f>
        <v>(KÖT)</v>
      </c>
      <c r="K472" t="str">
        <f>'906MP'!AJ172</f>
        <v/>
      </c>
      <c r="L472" t="str">
        <f>'906MP'!U172</f>
        <v>14050</v>
      </c>
      <c r="M472" s="322" t="str">
        <f>IFERROR(VLOOKUP(A472,PAR!$D$3:$E$53,2,FALSE),"nincs szervezet")</f>
        <v>Nagymaros Városi Könyvtár és Művelődési Ház</v>
      </c>
      <c r="N472" s="322" t="str">
        <f>VLOOKUP(F472,PAR!$R$3:$S$5,2,FALSE)</f>
        <v>2 - Kiadás</v>
      </c>
      <c r="O472" t="str">
        <f>IFERROR(VLOOKUP(J472,PAR!$O$3:$P$5,2,FALSE),"nincs feladat")</f>
        <v>1 - (KÖT)</v>
      </c>
      <c r="P472" t="str">
        <f>IFERROR(VLOOKUP(G472,PAR!$J$2:$M$19,4),"nincs rovat")</f>
        <v>K3 - Dologi kiadások</v>
      </c>
      <c r="Q472" t="str">
        <f>IF(H472&gt;0,VLOOKUP(H472,PAR!$AA$3:$AC$187,3,FALSE),"nincs főkönyvi számla")</f>
        <v>0533111 -  Villamosenergia szolgáltatás díja előirányzata</v>
      </c>
      <c r="R472" t="str">
        <f>IFERROR(VLOOKUP(K472,PAR!$V$3:$X$438,3,FALSE),"000000 - Nincs COFOG")</f>
        <v>000000 - Nincs COFOG</v>
      </c>
      <c r="S472">
        <f t="shared" si="145"/>
        <v>2040000</v>
      </c>
      <c r="T472">
        <f t="shared" si="146"/>
        <v>2040000</v>
      </c>
      <c r="U472" t="str">
        <f>IF('906MP'!J172&gt;0,CONCATENATE('906MP'!J172," - ",'906MP'!P172,", ",'906MP'!E172),"nincs megjegyzés")</f>
        <v>2025-01-01 - eredeti ei, 2025/EEI-654472/1</v>
      </c>
      <c r="V472" t="str">
        <f t="shared" si="133"/>
        <v>61P654472053</v>
      </c>
      <c r="W472" t="str">
        <f t="shared" si="134"/>
        <v>61P65447205</v>
      </c>
      <c r="X472" t="str">
        <f t="shared" si="135"/>
        <v>P6544720533111</v>
      </c>
      <c r="Y472" t="str">
        <f t="shared" si="136"/>
        <v>610533111</v>
      </c>
      <c r="Z472" t="str">
        <f t="shared" si="147"/>
        <v>(KÖT)0533111</v>
      </c>
      <c r="AA472" t="str">
        <f t="shared" si="137"/>
        <v>61053</v>
      </c>
      <c r="AB472" t="str">
        <f t="shared" si="138"/>
        <v>(KÖT)053</v>
      </c>
      <c r="AC472" t="str">
        <f t="shared" si="139"/>
        <v>61P6544720533111</v>
      </c>
      <c r="AD472" t="str">
        <f t="shared" si="140"/>
        <v>P6544720533111(KÖT)</v>
      </c>
      <c r="AE472" t="str">
        <f t="shared" si="141"/>
        <v>61P654472053</v>
      </c>
      <c r="AF472" t="str">
        <f t="shared" si="142"/>
        <v>P654472053(KÖT)</v>
      </c>
      <c r="AG472" t="str">
        <f t="shared" si="148"/>
        <v>61P654472053311114050</v>
      </c>
      <c r="AH472" t="str">
        <f t="shared" si="149"/>
        <v>P654472(KÖT)053311114050</v>
      </c>
      <c r="AI472" t="str">
        <f t="shared" si="150"/>
        <v>61P65447205314050</v>
      </c>
      <c r="AJ472" t="str">
        <f t="shared" si="151"/>
        <v>P654472053(KÖT)14050</v>
      </c>
    </row>
    <row r="473" spans="1:36" x14ac:dyDescent="0.25">
      <c r="A473" s="325" t="str">
        <f>CONCATENATE("P",'906MP'!M173)</f>
        <v>P654472</v>
      </c>
      <c r="B473">
        <f>'906MP'!H173</f>
        <v>61</v>
      </c>
      <c r="C473" t="str">
        <f>'906MP'!J173</f>
        <v>2025-01-01</v>
      </c>
      <c r="D473" t="str">
        <f>'906MP'!P173</f>
        <v>eredeti ei</v>
      </c>
      <c r="E473">
        <f>'906MP'!X173</f>
        <v>3120000</v>
      </c>
      <c r="F473" t="str">
        <f t="shared" si="143"/>
        <v>05</v>
      </c>
      <c r="G473" t="str">
        <f t="shared" si="144"/>
        <v>053</v>
      </c>
      <c r="H473" t="str">
        <f>'906MP'!Y173</f>
        <v>0533121</v>
      </c>
      <c r="I473" t="str">
        <f>'906MP'!AK173</f>
        <v>2025/EEI-654472/1</v>
      </c>
      <c r="J473" t="str">
        <f>'906MP'!T173</f>
        <v>(KÖT)</v>
      </c>
      <c r="K473" t="str">
        <f>'906MP'!AJ173</f>
        <v/>
      </c>
      <c r="L473" t="str">
        <f>'906MP'!U173</f>
        <v>14050</v>
      </c>
      <c r="M473" s="322" t="str">
        <f>IFERROR(VLOOKUP(A473,PAR!$D$3:$E$53,2,FALSE),"nincs szervezet")</f>
        <v>Nagymaros Városi Könyvtár és Művelődési Ház</v>
      </c>
      <c r="N473" s="322" t="str">
        <f>VLOOKUP(F473,PAR!$R$3:$S$5,2,FALSE)</f>
        <v>2 - Kiadás</v>
      </c>
      <c r="O473" t="str">
        <f>IFERROR(VLOOKUP(J473,PAR!$O$3:$P$5,2,FALSE),"nincs feladat")</f>
        <v>1 - (KÖT)</v>
      </c>
      <c r="P473" t="str">
        <f>IFERROR(VLOOKUP(G473,PAR!$J$2:$M$19,4),"nincs rovat")</f>
        <v>K3 - Dologi kiadások</v>
      </c>
      <c r="Q473" t="str">
        <f>IF(H473&gt;0,VLOOKUP(H473,PAR!$AA$3:$AC$187,3,FALSE),"nincs főkönyvi számla")</f>
        <v>0533121 -  Gázenergia szolgáltatás díja előirányzata</v>
      </c>
      <c r="R473" t="str">
        <f>IFERROR(VLOOKUP(K473,PAR!$V$3:$X$438,3,FALSE),"000000 - Nincs COFOG")</f>
        <v>000000 - Nincs COFOG</v>
      </c>
      <c r="S473">
        <f t="shared" si="145"/>
        <v>3120000</v>
      </c>
      <c r="T473">
        <f t="shared" si="146"/>
        <v>3120000</v>
      </c>
      <c r="U473" t="str">
        <f>IF('906MP'!J173&gt;0,CONCATENATE('906MP'!J173," - ",'906MP'!P173,", ",'906MP'!E173),"nincs megjegyzés")</f>
        <v>2025-01-01 - eredeti ei, 2025/EEI-654472/1</v>
      </c>
      <c r="V473" t="str">
        <f t="shared" si="133"/>
        <v>61P654472053</v>
      </c>
      <c r="W473" t="str">
        <f t="shared" si="134"/>
        <v>61P65447205</v>
      </c>
      <c r="X473" t="str">
        <f t="shared" si="135"/>
        <v>P6544720533121</v>
      </c>
      <c r="Y473" t="str">
        <f t="shared" si="136"/>
        <v>610533121</v>
      </c>
      <c r="Z473" t="str">
        <f t="shared" si="147"/>
        <v>(KÖT)0533121</v>
      </c>
      <c r="AA473" t="str">
        <f t="shared" si="137"/>
        <v>61053</v>
      </c>
      <c r="AB473" t="str">
        <f t="shared" si="138"/>
        <v>(KÖT)053</v>
      </c>
      <c r="AC473" t="str">
        <f t="shared" si="139"/>
        <v>61P6544720533121</v>
      </c>
      <c r="AD473" t="str">
        <f t="shared" si="140"/>
        <v>P6544720533121(KÖT)</v>
      </c>
      <c r="AE473" t="str">
        <f t="shared" si="141"/>
        <v>61P654472053</v>
      </c>
      <c r="AF473" t="str">
        <f t="shared" si="142"/>
        <v>P654472053(KÖT)</v>
      </c>
      <c r="AG473" t="str">
        <f t="shared" si="148"/>
        <v>61P654472053312114050</v>
      </c>
      <c r="AH473" t="str">
        <f t="shared" si="149"/>
        <v>P654472(KÖT)053312114050</v>
      </c>
      <c r="AI473" t="str">
        <f t="shared" si="150"/>
        <v>61P65447205314050</v>
      </c>
      <c r="AJ473" t="str">
        <f t="shared" si="151"/>
        <v>P654472053(KÖT)14050</v>
      </c>
    </row>
    <row r="474" spans="1:36" x14ac:dyDescent="0.25">
      <c r="A474" s="325" t="str">
        <f>CONCATENATE("P",'906MP'!M174)</f>
        <v>P654472</v>
      </c>
      <c r="B474">
        <f>'906MP'!H174</f>
        <v>61</v>
      </c>
      <c r="C474" t="str">
        <f>'906MP'!J174</f>
        <v>2025-01-01</v>
      </c>
      <c r="D474" t="str">
        <f>'906MP'!P174</f>
        <v>eredeti ei</v>
      </c>
      <c r="E474">
        <f>'906MP'!X174</f>
        <v>540000</v>
      </c>
      <c r="F474" t="str">
        <f t="shared" si="143"/>
        <v>05</v>
      </c>
      <c r="G474" t="str">
        <f t="shared" si="144"/>
        <v>053</v>
      </c>
      <c r="H474" t="str">
        <f>'906MP'!Y174</f>
        <v>0533141</v>
      </c>
      <c r="I474" t="str">
        <f>'906MP'!AK174</f>
        <v>2025/EEI-654472/1</v>
      </c>
      <c r="J474" t="str">
        <f>'906MP'!T174</f>
        <v>(KÖT)</v>
      </c>
      <c r="K474" t="str">
        <f>'906MP'!AJ174</f>
        <v/>
      </c>
      <c r="L474" t="str">
        <f>'906MP'!U174</f>
        <v>14050</v>
      </c>
      <c r="M474" s="322" t="str">
        <f>IFERROR(VLOOKUP(A474,PAR!$D$3:$E$53,2,FALSE),"nincs szervezet")</f>
        <v>Nagymaros Városi Könyvtár és Művelődési Ház</v>
      </c>
      <c r="N474" s="322" t="str">
        <f>VLOOKUP(F474,PAR!$R$3:$S$5,2,FALSE)</f>
        <v>2 - Kiadás</v>
      </c>
      <c r="O474" t="str">
        <f>IFERROR(VLOOKUP(J474,PAR!$O$3:$P$5,2,FALSE),"nincs feladat")</f>
        <v>1 - (KÖT)</v>
      </c>
      <c r="P474" t="str">
        <f>IFERROR(VLOOKUP(G474,PAR!$J$2:$M$19,4),"nincs rovat")</f>
        <v>K3 - Dologi kiadások</v>
      </c>
      <c r="Q474" t="str">
        <f>IF(H474&gt;0,VLOOKUP(H474,PAR!$AA$3:$AC$187,3,FALSE),"nincs főkönyvi számla")</f>
        <v>0533141 -  Víz- és csatorna szolgáltatás díja előirányzata</v>
      </c>
      <c r="R474" t="str">
        <f>IFERROR(VLOOKUP(K474,PAR!$V$3:$X$438,3,FALSE),"000000 - Nincs COFOG")</f>
        <v>000000 - Nincs COFOG</v>
      </c>
      <c r="S474">
        <f t="shared" si="145"/>
        <v>540000</v>
      </c>
      <c r="T474">
        <f t="shared" si="146"/>
        <v>540000</v>
      </c>
      <c r="U474" t="str">
        <f>IF('906MP'!J174&gt;0,CONCATENATE('906MP'!J174," - ",'906MP'!P174,", ",'906MP'!E174),"nincs megjegyzés")</f>
        <v>2025-01-01 - eredeti ei, 2025/EEI-654472/1</v>
      </c>
      <c r="V474" t="str">
        <f t="shared" si="133"/>
        <v>61P654472053</v>
      </c>
      <c r="W474" t="str">
        <f t="shared" si="134"/>
        <v>61P65447205</v>
      </c>
      <c r="X474" t="str">
        <f t="shared" si="135"/>
        <v>P6544720533141</v>
      </c>
      <c r="Y474" t="str">
        <f t="shared" si="136"/>
        <v>610533141</v>
      </c>
      <c r="Z474" t="str">
        <f t="shared" si="147"/>
        <v>(KÖT)0533141</v>
      </c>
      <c r="AA474" t="str">
        <f t="shared" si="137"/>
        <v>61053</v>
      </c>
      <c r="AB474" t="str">
        <f t="shared" si="138"/>
        <v>(KÖT)053</v>
      </c>
      <c r="AC474" t="str">
        <f t="shared" si="139"/>
        <v>61P6544720533141</v>
      </c>
      <c r="AD474" t="str">
        <f t="shared" si="140"/>
        <v>P6544720533141(KÖT)</v>
      </c>
      <c r="AE474" t="str">
        <f t="shared" si="141"/>
        <v>61P654472053</v>
      </c>
      <c r="AF474" t="str">
        <f t="shared" si="142"/>
        <v>P654472053(KÖT)</v>
      </c>
      <c r="AG474" t="str">
        <f t="shared" si="148"/>
        <v>61P654472053314114050</v>
      </c>
      <c r="AH474" t="str">
        <f t="shared" si="149"/>
        <v>P654472(KÖT)053314114050</v>
      </c>
      <c r="AI474" t="str">
        <f t="shared" si="150"/>
        <v>61P65447205314050</v>
      </c>
      <c r="AJ474" t="str">
        <f t="shared" si="151"/>
        <v>P654472053(KÖT)14050</v>
      </c>
    </row>
    <row r="475" spans="1:36" x14ac:dyDescent="0.25">
      <c r="A475" s="325" t="str">
        <f>CONCATENATE("P",'906MP'!M175)</f>
        <v>P654472</v>
      </c>
      <c r="B475">
        <f>'906MP'!H175</f>
        <v>61</v>
      </c>
      <c r="C475" t="str">
        <f>'906MP'!J175</f>
        <v>2025-01-01</v>
      </c>
      <c r="D475" t="str">
        <f>'906MP'!P175</f>
        <v>eredeti ei</v>
      </c>
      <c r="E475">
        <f>'906MP'!X175</f>
        <v>1300000</v>
      </c>
      <c r="F475" t="str">
        <f t="shared" si="143"/>
        <v>05</v>
      </c>
      <c r="G475" t="str">
        <f t="shared" si="144"/>
        <v>053</v>
      </c>
      <c r="H475" t="str">
        <f>'906MP'!Y175</f>
        <v>053341</v>
      </c>
      <c r="I475" t="str">
        <f>'906MP'!AK175</f>
        <v>2025/EEI-654472/1</v>
      </c>
      <c r="J475" t="str">
        <f>'906MP'!T175</f>
        <v>(KÖT)</v>
      </c>
      <c r="K475" t="str">
        <f>'906MP'!AJ175</f>
        <v/>
      </c>
      <c r="L475" t="str">
        <f>'906MP'!U175</f>
        <v>14050</v>
      </c>
      <c r="M475" s="322" t="str">
        <f>IFERROR(VLOOKUP(A475,PAR!$D$3:$E$53,2,FALSE),"nincs szervezet")</f>
        <v>Nagymaros Városi Könyvtár és Művelődési Ház</v>
      </c>
      <c r="N475" s="322" t="str">
        <f>VLOOKUP(F475,PAR!$R$3:$S$5,2,FALSE)</f>
        <v>2 - Kiadás</v>
      </c>
      <c r="O475" t="str">
        <f>IFERROR(VLOOKUP(J475,PAR!$O$3:$P$5,2,FALSE),"nincs feladat")</f>
        <v>1 - (KÖT)</v>
      </c>
      <c r="P475" t="str">
        <f>IFERROR(VLOOKUP(G475,PAR!$J$2:$M$19,4),"nincs rovat")</f>
        <v>K3 - Dologi kiadások</v>
      </c>
      <c r="Q475" t="str">
        <f>IF(H475&gt;0,VLOOKUP(H475,PAR!$AA$3:$AC$187,3,FALSE),"nincs főkönyvi számla")</f>
        <v>053341 -  Karbantartási, kisjavítási szolgáltatások előirányzata</v>
      </c>
      <c r="R475" t="str">
        <f>IFERROR(VLOOKUP(K475,PAR!$V$3:$X$438,3,FALSE),"000000 - Nincs COFOG")</f>
        <v>000000 - Nincs COFOG</v>
      </c>
      <c r="S475">
        <f t="shared" si="145"/>
        <v>1300000</v>
      </c>
      <c r="T475">
        <f t="shared" si="146"/>
        <v>1300000</v>
      </c>
      <c r="U475" t="str">
        <f>IF('906MP'!J175&gt;0,CONCATENATE('906MP'!J175," - ",'906MP'!P175,", ",'906MP'!E175),"nincs megjegyzés")</f>
        <v>2025-01-01 - eredeti ei, 2025/EEI-654472/1</v>
      </c>
      <c r="V475" t="str">
        <f t="shared" si="133"/>
        <v>61P654472053</v>
      </c>
      <c r="W475" t="str">
        <f t="shared" si="134"/>
        <v>61P65447205</v>
      </c>
      <c r="X475" t="str">
        <f t="shared" si="135"/>
        <v>P654472053341</v>
      </c>
      <c r="Y475" t="str">
        <f t="shared" si="136"/>
        <v>61053341</v>
      </c>
      <c r="Z475" t="str">
        <f t="shared" si="147"/>
        <v>(KÖT)053341</v>
      </c>
      <c r="AA475" t="str">
        <f t="shared" si="137"/>
        <v>61053</v>
      </c>
      <c r="AB475" t="str">
        <f t="shared" si="138"/>
        <v>(KÖT)053</v>
      </c>
      <c r="AC475" t="str">
        <f t="shared" si="139"/>
        <v>61P654472053341</v>
      </c>
      <c r="AD475" t="str">
        <f t="shared" si="140"/>
        <v>P654472053341(KÖT)</v>
      </c>
      <c r="AE475" t="str">
        <f t="shared" si="141"/>
        <v>61P654472053</v>
      </c>
      <c r="AF475" t="str">
        <f t="shared" si="142"/>
        <v>P654472053(KÖT)</v>
      </c>
      <c r="AG475" t="str">
        <f t="shared" si="148"/>
        <v>61P65447205334114050</v>
      </c>
      <c r="AH475" t="str">
        <f t="shared" si="149"/>
        <v>P654472(KÖT)05334114050</v>
      </c>
      <c r="AI475" t="str">
        <f t="shared" si="150"/>
        <v>61P65447205314050</v>
      </c>
      <c r="AJ475" t="str">
        <f t="shared" si="151"/>
        <v>P654472053(KÖT)14050</v>
      </c>
    </row>
    <row r="476" spans="1:36" x14ac:dyDescent="0.25">
      <c r="A476" s="325" t="str">
        <f>CONCATENATE("P",'906MP'!M176)</f>
        <v>P654472</v>
      </c>
      <c r="B476">
        <f>'906MP'!H176</f>
        <v>61</v>
      </c>
      <c r="C476" t="str">
        <f>'906MP'!J176</f>
        <v>2025-01-01</v>
      </c>
      <c r="D476" t="str">
        <f>'906MP'!P176</f>
        <v>eredeti ei</v>
      </c>
      <c r="E476">
        <f>'906MP'!X176</f>
        <v>14417024</v>
      </c>
      <c r="F476" t="str">
        <f t="shared" si="143"/>
        <v>05</v>
      </c>
      <c r="G476" t="str">
        <f t="shared" si="144"/>
        <v>053</v>
      </c>
      <c r="H476" t="str">
        <f>'906MP'!Y176</f>
        <v>053371</v>
      </c>
      <c r="I476" t="str">
        <f>'906MP'!AK176</f>
        <v>2025/EEI-654472/1</v>
      </c>
      <c r="J476" t="str">
        <f>'906MP'!T176</f>
        <v>(KÖT)</v>
      </c>
      <c r="K476" t="str">
        <f>'906MP'!AJ176</f>
        <v/>
      </c>
      <c r="L476" t="str">
        <f>'906MP'!U176</f>
        <v>14050</v>
      </c>
      <c r="M476" s="322" t="str">
        <f>IFERROR(VLOOKUP(A476,PAR!$D$3:$E$53,2,FALSE),"nincs szervezet")</f>
        <v>Nagymaros Városi Könyvtár és Művelődési Ház</v>
      </c>
      <c r="N476" s="322" t="str">
        <f>VLOOKUP(F476,PAR!$R$3:$S$5,2,FALSE)</f>
        <v>2 - Kiadás</v>
      </c>
      <c r="O476" t="str">
        <f>IFERROR(VLOOKUP(J476,PAR!$O$3:$P$5,2,FALSE),"nincs feladat")</f>
        <v>1 - (KÖT)</v>
      </c>
      <c r="P476" t="str">
        <f>IFERROR(VLOOKUP(G476,PAR!$J$2:$M$19,4),"nincs rovat")</f>
        <v>K3 - Dologi kiadások</v>
      </c>
      <c r="Q476" t="str">
        <f>IF(H476&gt;0,VLOOKUP(H476,PAR!$AA$3:$AC$187,3,FALSE),"nincs főkönyvi számla")</f>
        <v>053371 -  Egyéb szolgáltatások előirányzata</v>
      </c>
      <c r="R476" t="str">
        <f>IFERROR(VLOOKUP(K476,PAR!$V$3:$X$438,3,FALSE),"000000 - Nincs COFOG")</f>
        <v>000000 - Nincs COFOG</v>
      </c>
      <c r="S476">
        <f t="shared" si="145"/>
        <v>14417024</v>
      </c>
      <c r="T476">
        <f t="shared" si="146"/>
        <v>14417024</v>
      </c>
      <c r="U476" t="str">
        <f>IF('906MP'!J176&gt;0,CONCATENATE('906MP'!J176," - ",'906MP'!P176,", ",'906MP'!E176),"nincs megjegyzés")</f>
        <v>2025-01-01 - eredeti ei, 2025/EEI-654472/1</v>
      </c>
      <c r="V476" t="str">
        <f t="shared" si="133"/>
        <v>61P654472053</v>
      </c>
      <c r="W476" t="str">
        <f t="shared" si="134"/>
        <v>61P65447205</v>
      </c>
      <c r="X476" t="str">
        <f t="shared" si="135"/>
        <v>P654472053371</v>
      </c>
      <c r="Y476" t="str">
        <f t="shared" si="136"/>
        <v>61053371</v>
      </c>
      <c r="Z476" t="str">
        <f t="shared" si="147"/>
        <v>(KÖT)053371</v>
      </c>
      <c r="AA476" t="str">
        <f t="shared" si="137"/>
        <v>61053</v>
      </c>
      <c r="AB476" t="str">
        <f t="shared" si="138"/>
        <v>(KÖT)053</v>
      </c>
      <c r="AC476" t="str">
        <f t="shared" si="139"/>
        <v>61P654472053371</v>
      </c>
      <c r="AD476" t="str">
        <f t="shared" si="140"/>
        <v>P654472053371(KÖT)</v>
      </c>
      <c r="AE476" t="str">
        <f t="shared" si="141"/>
        <v>61P654472053</v>
      </c>
      <c r="AF476" t="str">
        <f t="shared" si="142"/>
        <v>P654472053(KÖT)</v>
      </c>
      <c r="AG476" t="str">
        <f t="shared" si="148"/>
        <v>61P65447205337114050</v>
      </c>
      <c r="AH476" t="str">
        <f t="shared" si="149"/>
        <v>P654472(KÖT)05337114050</v>
      </c>
      <c r="AI476" t="str">
        <f t="shared" si="150"/>
        <v>61P65447205314050</v>
      </c>
      <c r="AJ476" t="str">
        <f t="shared" si="151"/>
        <v>P654472053(KÖT)14050</v>
      </c>
    </row>
    <row r="477" spans="1:36" x14ac:dyDescent="0.25">
      <c r="A477" s="325" t="str">
        <f>CONCATENATE("P",'906MP'!M177)</f>
        <v>P654472</v>
      </c>
      <c r="B477">
        <f>'906MP'!H177</f>
        <v>61</v>
      </c>
      <c r="C477" t="str">
        <f>'906MP'!J177</f>
        <v>2025-01-01</v>
      </c>
      <c r="D477" t="str">
        <f>'906MP'!P177</f>
        <v>eredeti ei</v>
      </c>
      <c r="E477">
        <f>'906MP'!X177</f>
        <v>6179268</v>
      </c>
      <c r="F477" t="str">
        <f t="shared" si="143"/>
        <v>05</v>
      </c>
      <c r="G477" t="str">
        <f t="shared" si="144"/>
        <v>053</v>
      </c>
      <c r="H477" t="str">
        <f>'906MP'!Y177</f>
        <v>053511</v>
      </c>
      <c r="I477" t="str">
        <f>'906MP'!AK177</f>
        <v>2025/EEI-654472/1</v>
      </c>
      <c r="J477" t="str">
        <f>'906MP'!T177</f>
        <v>(KÖT)</v>
      </c>
      <c r="K477" t="str">
        <f>'906MP'!AJ177</f>
        <v/>
      </c>
      <c r="L477" t="str">
        <f>'906MP'!U177</f>
        <v>14050</v>
      </c>
      <c r="M477" s="322" t="str">
        <f>IFERROR(VLOOKUP(A477,PAR!$D$3:$E$53,2,FALSE),"nincs szervezet")</f>
        <v>Nagymaros Városi Könyvtár és Művelődési Ház</v>
      </c>
      <c r="N477" s="322" t="str">
        <f>VLOOKUP(F477,PAR!$R$3:$S$5,2,FALSE)</f>
        <v>2 - Kiadás</v>
      </c>
      <c r="O477" t="str">
        <f>IFERROR(VLOOKUP(J477,PAR!$O$3:$P$5,2,FALSE),"nincs feladat")</f>
        <v>1 - (KÖT)</v>
      </c>
      <c r="P477" t="str">
        <f>IFERROR(VLOOKUP(G477,PAR!$J$2:$M$19,4),"nincs rovat")</f>
        <v>K3 - Dologi kiadások</v>
      </c>
      <c r="Q477" t="str">
        <f>IF(H477&gt;0,VLOOKUP(H477,PAR!$AA$3:$AC$187,3,FALSE),"nincs főkönyvi számla")</f>
        <v>053511 -  Működési célú előzetesen felszámított általános forgalmi adó előirányzata</v>
      </c>
      <c r="R477" t="str">
        <f>IFERROR(VLOOKUP(K477,PAR!$V$3:$X$438,3,FALSE),"000000 - Nincs COFOG")</f>
        <v>000000 - Nincs COFOG</v>
      </c>
      <c r="S477">
        <f t="shared" si="145"/>
        <v>6179268</v>
      </c>
      <c r="T477">
        <f t="shared" si="146"/>
        <v>6179268</v>
      </c>
      <c r="U477" t="str">
        <f>IF('906MP'!J177&gt;0,CONCATENATE('906MP'!J177," - ",'906MP'!P177,", ",'906MP'!E177),"nincs megjegyzés")</f>
        <v>2025-01-01 - eredeti ei, 2025/EEI-654472/1</v>
      </c>
      <c r="V477" t="str">
        <f t="shared" si="133"/>
        <v>61P654472053</v>
      </c>
      <c r="W477" t="str">
        <f t="shared" si="134"/>
        <v>61P65447205</v>
      </c>
      <c r="X477" t="str">
        <f t="shared" si="135"/>
        <v>P654472053511</v>
      </c>
      <c r="Y477" t="str">
        <f t="shared" si="136"/>
        <v>61053511</v>
      </c>
      <c r="Z477" t="str">
        <f t="shared" si="147"/>
        <v>(KÖT)053511</v>
      </c>
      <c r="AA477" t="str">
        <f t="shared" si="137"/>
        <v>61053</v>
      </c>
      <c r="AB477" t="str">
        <f t="shared" si="138"/>
        <v>(KÖT)053</v>
      </c>
      <c r="AC477" t="str">
        <f t="shared" si="139"/>
        <v>61P654472053511</v>
      </c>
      <c r="AD477" t="str">
        <f t="shared" si="140"/>
        <v>P654472053511(KÖT)</v>
      </c>
      <c r="AE477" t="str">
        <f t="shared" si="141"/>
        <v>61P654472053</v>
      </c>
      <c r="AF477" t="str">
        <f t="shared" si="142"/>
        <v>P654472053(KÖT)</v>
      </c>
      <c r="AG477" t="str">
        <f t="shared" si="148"/>
        <v>61P65447205351114050</v>
      </c>
      <c r="AH477" t="str">
        <f t="shared" si="149"/>
        <v>P654472(KÖT)05351114050</v>
      </c>
      <c r="AI477" t="str">
        <f t="shared" si="150"/>
        <v>61P65447205314050</v>
      </c>
      <c r="AJ477" t="str">
        <f t="shared" si="151"/>
        <v>P654472053(KÖT)14050</v>
      </c>
    </row>
    <row r="478" spans="1:36" x14ac:dyDescent="0.25">
      <c r="A478" s="325" t="str">
        <f>CONCATENATE("P",'906MP'!M178)</f>
        <v>P654472</v>
      </c>
      <c r="B478">
        <f>'906MP'!H178</f>
        <v>61</v>
      </c>
      <c r="C478" t="str">
        <f>'906MP'!J178</f>
        <v>2025-01-01</v>
      </c>
      <c r="D478" t="str">
        <f>'906MP'!P178</f>
        <v>eredeti ei</v>
      </c>
      <c r="E478">
        <f>'906MP'!X178</f>
        <v>200000</v>
      </c>
      <c r="F478" t="str">
        <f t="shared" si="143"/>
        <v>05</v>
      </c>
      <c r="G478" t="str">
        <f t="shared" si="144"/>
        <v>053</v>
      </c>
      <c r="H478" t="str">
        <f>'906MP'!Y178</f>
        <v>053551</v>
      </c>
      <c r="I478" t="str">
        <f>'906MP'!AK178</f>
        <v>2025/EEI-654472/1</v>
      </c>
      <c r="J478" t="str">
        <f>'906MP'!T178</f>
        <v>(KÖT)</v>
      </c>
      <c r="K478" t="str">
        <f>'906MP'!AJ178</f>
        <v/>
      </c>
      <c r="L478" t="str">
        <f>'906MP'!U178</f>
        <v>14050</v>
      </c>
      <c r="M478" s="322" t="str">
        <f>IFERROR(VLOOKUP(A478,PAR!$D$3:$E$53,2,FALSE),"nincs szervezet")</f>
        <v>Nagymaros Városi Könyvtár és Művelődési Ház</v>
      </c>
      <c r="N478" s="322" t="str">
        <f>VLOOKUP(F478,PAR!$R$3:$S$5,2,FALSE)</f>
        <v>2 - Kiadás</v>
      </c>
      <c r="O478" t="str">
        <f>IFERROR(VLOOKUP(J478,PAR!$O$3:$P$5,2,FALSE),"nincs feladat")</f>
        <v>1 - (KÖT)</v>
      </c>
      <c r="P478" t="str">
        <f>IFERROR(VLOOKUP(G478,PAR!$J$2:$M$19,4),"nincs rovat")</f>
        <v>K3 - Dologi kiadások</v>
      </c>
      <c r="Q478" t="str">
        <f>IF(H478&gt;0,VLOOKUP(H478,PAR!$AA$3:$AC$187,3,FALSE),"nincs főkönyvi számla")</f>
        <v>053551 -  Egyéb dologi kiadások előirányzata</v>
      </c>
      <c r="R478" t="str">
        <f>IFERROR(VLOOKUP(K478,PAR!$V$3:$X$438,3,FALSE),"000000 - Nincs COFOG")</f>
        <v>000000 - Nincs COFOG</v>
      </c>
      <c r="S478">
        <f t="shared" si="145"/>
        <v>200000</v>
      </c>
      <c r="T478">
        <f t="shared" si="146"/>
        <v>200000</v>
      </c>
      <c r="U478" t="str">
        <f>IF('906MP'!J178&gt;0,CONCATENATE('906MP'!J178," - ",'906MP'!P178,", ",'906MP'!E178),"nincs megjegyzés")</f>
        <v>2025-01-01 - eredeti ei, 2025/EEI-654472/1</v>
      </c>
      <c r="V478" t="str">
        <f t="shared" si="133"/>
        <v>61P654472053</v>
      </c>
      <c r="W478" t="str">
        <f t="shared" si="134"/>
        <v>61P65447205</v>
      </c>
      <c r="X478" t="str">
        <f t="shared" si="135"/>
        <v>P654472053551</v>
      </c>
      <c r="Y478" t="str">
        <f t="shared" si="136"/>
        <v>61053551</v>
      </c>
      <c r="Z478" t="str">
        <f t="shared" si="147"/>
        <v>(KÖT)053551</v>
      </c>
      <c r="AA478" t="str">
        <f t="shared" si="137"/>
        <v>61053</v>
      </c>
      <c r="AB478" t="str">
        <f t="shared" si="138"/>
        <v>(KÖT)053</v>
      </c>
      <c r="AC478" t="str">
        <f t="shared" si="139"/>
        <v>61P654472053551</v>
      </c>
      <c r="AD478" t="str">
        <f t="shared" si="140"/>
        <v>P654472053551(KÖT)</v>
      </c>
      <c r="AE478" t="str">
        <f t="shared" si="141"/>
        <v>61P654472053</v>
      </c>
      <c r="AF478" t="str">
        <f t="shared" si="142"/>
        <v>P654472053(KÖT)</v>
      </c>
      <c r="AG478" t="str">
        <f t="shared" si="148"/>
        <v>61P65447205355114050</v>
      </c>
      <c r="AH478" t="str">
        <f t="shared" si="149"/>
        <v>P654472(KÖT)05355114050</v>
      </c>
      <c r="AI478" t="str">
        <f t="shared" si="150"/>
        <v>61P65447205314050</v>
      </c>
      <c r="AJ478" t="str">
        <f t="shared" si="151"/>
        <v>P654472053(KÖT)14050</v>
      </c>
    </row>
    <row r="479" spans="1:36" x14ac:dyDescent="0.25">
      <c r="A479" s="325" t="str">
        <f>CONCATENATE("P",'906MP'!M179)</f>
        <v>P654472</v>
      </c>
      <c r="B479">
        <f>'906MP'!H179</f>
        <v>61</v>
      </c>
      <c r="C479" t="str">
        <f>'906MP'!J179</f>
        <v>2025-01-01</v>
      </c>
      <c r="D479" t="str">
        <f>'906MP'!P179</f>
        <v>eredeti ei</v>
      </c>
      <c r="E479">
        <f>'906MP'!X179</f>
        <v>500000</v>
      </c>
      <c r="F479" t="str">
        <f t="shared" si="143"/>
        <v>05</v>
      </c>
      <c r="G479" t="str">
        <f t="shared" si="144"/>
        <v>056</v>
      </c>
      <c r="H479" t="str">
        <f>'906MP'!Y179</f>
        <v>05631</v>
      </c>
      <c r="I479" t="str">
        <f>'906MP'!AK179</f>
        <v>2025/EEI-654472/1</v>
      </c>
      <c r="J479" t="str">
        <f>'906MP'!T179</f>
        <v>(KÖT)</v>
      </c>
      <c r="K479" t="str">
        <f>'906MP'!AJ179</f>
        <v/>
      </c>
      <c r="L479" t="str">
        <f>'906MP'!U179</f>
        <v>14050</v>
      </c>
      <c r="M479" s="322" t="str">
        <f>IFERROR(VLOOKUP(A479,PAR!$D$3:$E$53,2,FALSE),"nincs szervezet")</f>
        <v>Nagymaros Városi Könyvtár és Művelődési Ház</v>
      </c>
      <c r="N479" s="322" t="str">
        <f>VLOOKUP(F479,PAR!$R$3:$S$5,2,FALSE)</f>
        <v>2 - Kiadás</v>
      </c>
      <c r="O479" t="str">
        <f>IFERROR(VLOOKUP(J479,PAR!$O$3:$P$5,2,FALSE),"nincs feladat")</f>
        <v>1 - (KÖT)</v>
      </c>
      <c r="P479" t="str">
        <f>IFERROR(VLOOKUP(G479,PAR!$J$2:$M$19,4),"nincs rovat")</f>
        <v>K6 - Beruházások</v>
      </c>
      <c r="Q479" t="str">
        <f>IF(H479&gt;0,VLOOKUP(H479,PAR!$AA$3:$AC$187,3,FALSE),"nincs főkönyvi számla")</f>
        <v>05631 -  Informatikai eszközök beszerzése, létesítése előirányzata</v>
      </c>
      <c r="R479" t="str">
        <f>IFERROR(VLOOKUP(K479,PAR!$V$3:$X$438,3,FALSE),"000000 - Nincs COFOG")</f>
        <v>000000 - Nincs COFOG</v>
      </c>
      <c r="S479">
        <f t="shared" si="145"/>
        <v>500000</v>
      </c>
      <c r="T479">
        <f t="shared" si="146"/>
        <v>500000</v>
      </c>
      <c r="U479" t="str">
        <f>IF('906MP'!J179&gt;0,CONCATENATE('906MP'!J179," - ",'906MP'!P179,", ",'906MP'!E179),"nincs megjegyzés")</f>
        <v>2025-01-01 - eredeti ei, 2025/EEI-654472/1</v>
      </c>
      <c r="V479" t="str">
        <f t="shared" si="133"/>
        <v>61P654472056</v>
      </c>
      <c r="W479" t="str">
        <f t="shared" si="134"/>
        <v>61P65447205</v>
      </c>
      <c r="X479" t="str">
        <f t="shared" si="135"/>
        <v>P65447205631</v>
      </c>
      <c r="Y479" t="str">
        <f t="shared" si="136"/>
        <v>6105631</v>
      </c>
      <c r="Z479" t="str">
        <f t="shared" si="147"/>
        <v>(KÖT)05631</v>
      </c>
      <c r="AA479" t="str">
        <f t="shared" si="137"/>
        <v>61056</v>
      </c>
      <c r="AB479" t="str">
        <f t="shared" si="138"/>
        <v>(KÖT)056</v>
      </c>
      <c r="AC479" t="str">
        <f t="shared" si="139"/>
        <v>61P65447205631</v>
      </c>
      <c r="AD479" t="str">
        <f t="shared" si="140"/>
        <v>P65447205631(KÖT)</v>
      </c>
      <c r="AE479" t="str">
        <f t="shared" si="141"/>
        <v>61P654472056</v>
      </c>
      <c r="AF479" t="str">
        <f t="shared" si="142"/>
        <v>P654472056(KÖT)</v>
      </c>
      <c r="AG479" t="str">
        <f t="shared" si="148"/>
        <v>61P6544720563114050</v>
      </c>
      <c r="AH479" t="str">
        <f t="shared" si="149"/>
        <v>P654472(KÖT)0563114050</v>
      </c>
      <c r="AI479" t="str">
        <f t="shared" si="150"/>
        <v>61P65447205614050</v>
      </c>
      <c r="AJ479" t="str">
        <f t="shared" si="151"/>
        <v>P654472056(KÖT)14050</v>
      </c>
    </row>
    <row r="480" spans="1:36" x14ac:dyDescent="0.25">
      <c r="A480" s="325" t="str">
        <f>CONCATENATE("P",'906MP'!M180)</f>
        <v>P654472</v>
      </c>
      <c r="B480">
        <f>'906MP'!H180</f>
        <v>61</v>
      </c>
      <c r="C480" t="str">
        <f>'906MP'!J180</f>
        <v>2025-01-01</v>
      </c>
      <c r="D480" t="str">
        <f>'906MP'!P180</f>
        <v>eredeti ei</v>
      </c>
      <c r="E480">
        <f>'906MP'!X180</f>
        <v>1200000</v>
      </c>
      <c r="F480" t="str">
        <f t="shared" si="143"/>
        <v>05</v>
      </c>
      <c r="G480" t="str">
        <f t="shared" si="144"/>
        <v>056</v>
      </c>
      <c r="H480" t="str">
        <f>'906MP'!Y180</f>
        <v>05641</v>
      </c>
      <c r="I480" t="str">
        <f>'906MP'!AK180</f>
        <v>2025/EEI-654472/1</v>
      </c>
      <c r="J480" t="str">
        <f>'906MP'!T180</f>
        <v>(KÖT)</v>
      </c>
      <c r="K480" t="str">
        <f>'906MP'!AJ180</f>
        <v/>
      </c>
      <c r="L480" t="str">
        <f>'906MP'!U180</f>
        <v>14050</v>
      </c>
      <c r="M480" s="322" t="str">
        <f>IFERROR(VLOOKUP(A480,PAR!$D$3:$E$53,2,FALSE),"nincs szervezet")</f>
        <v>Nagymaros Városi Könyvtár és Művelődési Ház</v>
      </c>
      <c r="N480" s="322" t="str">
        <f>VLOOKUP(F480,PAR!$R$3:$S$5,2,FALSE)</f>
        <v>2 - Kiadás</v>
      </c>
      <c r="O480" t="str">
        <f>IFERROR(VLOOKUP(J480,PAR!$O$3:$P$5,2,FALSE),"nincs feladat")</f>
        <v>1 - (KÖT)</v>
      </c>
      <c r="P480" t="str">
        <f>IFERROR(VLOOKUP(G480,PAR!$J$2:$M$19,4),"nincs rovat")</f>
        <v>K6 - Beruházások</v>
      </c>
      <c r="Q480" t="str">
        <f>IF(H480&gt;0,VLOOKUP(H480,PAR!$AA$3:$AC$187,3,FALSE),"nincs főkönyvi számla")</f>
        <v>05641 -  Egyéb tárgyi eszközök beszerzése, létesítése előirányzata</v>
      </c>
      <c r="R480" t="str">
        <f>IFERROR(VLOOKUP(K480,PAR!$V$3:$X$438,3,FALSE),"000000 - Nincs COFOG")</f>
        <v>000000 - Nincs COFOG</v>
      </c>
      <c r="S480">
        <f t="shared" si="145"/>
        <v>1200000</v>
      </c>
      <c r="T480">
        <f t="shared" si="146"/>
        <v>1200000</v>
      </c>
      <c r="U480" t="str">
        <f>IF('906MP'!J180&gt;0,CONCATENATE('906MP'!J180," - ",'906MP'!P180,", ",'906MP'!E180),"nincs megjegyzés")</f>
        <v>2025-01-01 - eredeti ei, 2025/EEI-654472/1</v>
      </c>
      <c r="V480" t="str">
        <f t="shared" si="133"/>
        <v>61P654472056</v>
      </c>
      <c r="W480" t="str">
        <f t="shared" si="134"/>
        <v>61P65447205</v>
      </c>
      <c r="X480" t="str">
        <f t="shared" si="135"/>
        <v>P65447205641</v>
      </c>
      <c r="Y480" t="str">
        <f t="shared" si="136"/>
        <v>6105641</v>
      </c>
      <c r="Z480" t="str">
        <f t="shared" si="147"/>
        <v>(KÖT)05641</v>
      </c>
      <c r="AA480" t="str">
        <f t="shared" si="137"/>
        <v>61056</v>
      </c>
      <c r="AB480" t="str">
        <f t="shared" si="138"/>
        <v>(KÖT)056</v>
      </c>
      <c r="AC480" t="str">
        <f t="shared" si="139"/>
        <v>61P65447205641</v>
      </c>
      <c r="AD480" t="str">
        <f t="shared" si="140"/>
        <v>P65447205641(KÖT)</v>
      </c>
      <c r="AE480" t="str">
        <f t="shared" si="141"/>
        <v>61P654472056</v>
      </c>
      <c r="AF480" t="str">
        <f t="shared" si="142"/>
        <v>P654472056(KÖT)</v>
      </c>
      <c r="AG480" t="str">
        <f t="shared" si="148"/>
        <v>61P6544720564114050</v>
      </c>
      <c r="AH480" t="str">
        <f t="shared" si="149"/>
        <v>P654472(KÖT)0564114050</v>
      </c>
      <c r="AI480" t="str">
        <f t="shared" si="150"/>
        <v>61P65447205614050</v>
      </c>
      <c r="AJ480" t="str">
        <f t="shared" si="151"/>
        <v>P654472056(KÖT)14050</v>
      </c>
    </row>
    <row r="481" spans="1:36" x14ac:dyDescent="0.25">
      <c r="A481" s="325" t="str">
        <f>CONCATENATE("P",'906MP'!M181)</f>
        <v>P654472</v>
      </c>
      <c r="B481">
        <f>'906MP'!H181</f>
        <v>61</v>
      </c>
      <c r="C481" t="str">
        <f>'906MP'!J181</f>
        <v>2025-01-01</v>
      </c>
      <c r="D481" t="str">
        <f>'906MP'!P181</f>
        <v>eredeti ei</v>
      </c>
      <c r="E481">
        <f>'906MP'!X181</f>
        <v>195000</v>
      </c>
      <c r="F481" t="str">
        <f t="shared" si="143"/>
        <v>05</v>
      </c>
      <c r="G481" t="str">
        <f t="shared" si="144"/>
        <v>056</v>
      </c>
      <c r="H481" t="str">
        <f>'906MP'!Y181</f>
        <v>05671</v>
      </c>
      <c r="I481" t="str">
        <f>'906MP'!AK181</f>
        <v>2025/EEI-654472/1</v>
      </c>
      <c r="J481" t="str">
        <f>'906MP'!T181</f>
        <v>(KÖT)</v>
      </c>
      <c r="K481" t="str">
        <f>'906MP'!AJ181</f>
        <v/>
      </c>
      <c r="L481" t="str">
        <f>'906MP'!U181</f>
        <v>14050</v>
      </c>
      <c r="M481" s="322" t="str">
        <f>IFERROR(VLOOKUP(A481,PAR!$D$3:$E$53,2,FALSE),"nincs szervezet")</f>
        <v>Nagymaros Városi Könyvtár és Művelődési Ház</v>
      </c>
      <c r="N481" s="322" t="str">
        <f>VLOOKUP(F481,PAR!$R$3:$S$5,2,FALSE)</f>
        <v>2 - Kiadás</v>
      </c>
      <c r="O481" t="str">
        <f>IFERROR(VLOOKUP(J481,PAR!$O$3:$P$5,2,FALSE),"nincs feladat")</f>
        <v>1 - (KÖT)</v>
      </c>
      <c r="P481" t="str">
        <f>IFERROR(VLOOKUP(G481,PAR!$J$2:$M$19,4),"nincs rovat")</f>
        <v>K6 - Beruházások</v>
      </c>
      <c r="Q481" t="str">
        <f>IF(H481&gt;0,VLOOKUP(H481,PAR!$AA$3:$AC$187,3,FALSE),"nincs főkönyvi számla")</f>
        <v>05671 -  Beruházási célú előzetesen felszámított általános forgalmi adó előirányzata</v>
      </c>
      <c r="R481" t="str">
        <f>IFERROR(VLOOKUP(K481,PAR!$V$3:$X$438,3,FALSE),"000000 - Nincs COFOG")</f>
        <v>000000 - Nincs COFOG</v>
      </c>
      <c r="S481">
        <f t="shared" si="145"/>
        <v>195000</v>
      </c>
      <c r="T481">
        <f t="shared" si="146"/>
        <v>195000</v>
      </c>
      <c r="U481" t="str">
        <f>IF('906MP'!J181&gt;0,CONCATENATE('906MP'!J181," - ",'906MP'!P181,", ",'906MP'!E181),"nincs megjegyzés")</f>
        <v>2025-01-01 - eredeti ei, 2025/EEI-654472/1</v>
      </c>
      <c r="V481" t="str">
        <f t="shared" si="133"/>
        <v>61P654472056</v>
      </c>
      <c r="W481" t="str">
        <f t="shared" si="134"/>
        <v>61P65447205</v>
      </c>
      <c r="X481" t="str">
        <f t="shared" si="135"/>
        <v>P65447205671</v>
      </c>
      <c r="Y481" t="str">
        <f t="shared" si="136"/>
        <v>6105671</v>
      </c>
      <c r="Z481" t="str">
        <f t="shared" si="147"/>
        <v>(KÖT)05671</v>
      </c>
      <c r="AA481" t="str">
        <f t="shared" si="137"/>
        <v>61056</v>
      </c>
      <c r="AB481" t="str">
        <f t="shared" si="138"/>
        <v>(KÖT)056</v>
      </c>
      <c r="AC481" t="str">
        <f t="shared" si="139"/>
        <v>61P65447205671</v>
      </c>
      <c r="AD481" t="str">
        <f t="shared" si="140"/>
        <v>P65447205671(KÖT)</v>
      </c>
      <c r="AE481" t="str">
        <f t="shared" si="141"/>
        <v>61P654472056</v>
      </c>
      <c r="AF481" t="str">
        <f t="shared" si="142"/>
        <v>P654472056(KÖT)</v>
      </c>
      <c r="AG481" t="str">
        <f t="shared" si="148"/>
        <v>61P6544720567114050</v>
      </c>
      <c r="AH481" t="str">
        <f t="shared" si="149"/>
        <v>P654472(KÖT)0567114050</v>
      </c>
      <c r="AI481" t="str">
        <f t="shared" si="150"/>
        <v>61P65447205614050</v>
      </c>
      <c r="AJ481" t="str">
        <f t="shared" si="151"/>
        <v>P654472056(KÖT)14050</v>
      </c>
    </row>
    <row r="482" spans="1:36" x14ac:dyDescent="0.25">
      <c r="A482" s="325" t="str">
        <f>CONCATENATE("P",'906MP'!M182)</f>
        <v>P394031</v>
      </c>
      <c r="B482">
        <f>'906MP'!H182</f>
        <v>61</v>
      </c>
      <c r="C482" t="str">
        <f>'906MP'!J182</f>
        <v>2025-01-01</v>
      </c>
      <c r="D482" t="str">
        <f>'906MP'!P182</f>
        <v>eredeti ei</v>
      </c>
      <c r="E482">
        <f>'906MP'!X182</f>
        <v>158368000</v>
      </c>
      <c r="F482" t="str">
        <f t="shared" si="143"/>
        <v>05</v>
      </c>
      <c r="G482" t="str">
        <f t="shared" si="144"/>
        <v>051</v>
      </c>
      <c r="H482" t="str">
        <f>'906MP'!Y182</f>
        <v>0511011</v>
      </c>
      <c r="I482" t="str">
        <f>'906MP'!AK182</f>
        <v>2025/EEI-394031/1</v>
      </c>
      <c r="J482" t="str">
        <f>'906MP'!T182</f>
        <v>(KÖT)</v>
      </c>
      <c r="K482" t="str">
        <f>'906MP'!AJ182</f>
        <v/>
      </c>
      <c r="L482" t="str">
        <f>'906MP'!U182</f>
        <v>12100</v>
      </c>
      <c r="M482" s="322" t="str">
        <f>IFERROR(VLOOKUP(A482,PAR!$D$3:$E$53,2,FALSE),"nincs szervezet")</f>
        <v>Nagymarosi Polgármesteri Hivatal</v>
      </c>
      <c r="N482" s="322" t="str">
        <f>VLOOKUP(F482,PAR!$R$3:$S$5,2,FALSE)</f>
        <v>2 - Kiadás</v>
      </c>
      <c r="O482" t="str">
        <f>IFERROR(VLOOKUP(J482,PAR!$O$3:$P$5,2,FALSE),"nincs feladat")</f>
        <v>1 - (KÖT)</v>
      </c>
      <c r="P482" t="str">
        <f>IFERROR(VLOOKUP(G482,PAR!$J$2:$M$19,4),"nincs rovat")</f>
        <v>K1 - Személyi juttatások</v>
      </c>
      <c r="Q482" t="str">
        <f>IF(H482&gt;0,VLOOKUP(H482,PAR!$AA$3:$AC$187,3,FALSE),"nincs főkönyvi számla")</f>
        <v>0511011 -  Törvény szerinti illetmények, munkabérek előirányzata</v>
      </c>
      <c r="R482" t="str">
        <f>IFERROR(VLOOKUP(K482,PAR!$V$3:$X$438,3,FALSE),"000000 - Nincs COFOG")</f>
        <v>000000 - Nincs COFOG</v>
      </c>
      <c r="S482">
        <f t="shared" si="145"/>
        <v>158368000</v>
      </c>
      <c r="T482">
        <f t="shared" si="146"/>
        <v>158368000</v>
      </c>
      <c r="U482" t="str">
        <f>IF('906MP'!J182&gt;0,CONCATENATE('906MP'!J182," - ",'906MP'!P182,", ",'906MP'!E182),"nincs megjegyzés")</f>
        <v>2025-01-01 - eredeti ei, 2025/EEI-394031/1</v>
      </c>
      <c r="V482" t="str">
        <f t="shared" si="133"/>
        <v>61P394031051</v>
      </c>
      <c r="W482" t="str">
        <f t="shared" si="134"/>
        <v>61P39403105</v>
      </c>
      <c r="X482" t="str">
        <f t="shared" si="135"/>
        <v>P3940310511011</v>
      </c>
      <c r="Y482" t="str">
        <f t="shared" si="136"/>
        <v>610511011</v>
      </c>
      <c r="Z482" t="str">
        <f t="shared" si="147"/>
        <v>(KÖT)0511011</v>
      </c>
      <c r="AA482" t="str">
        <f t="shared" si="137"/>
        <v>61051</v>
      </c>
      <c r="AB482" t="str">
        <f t="shared" si="138"/>
        <v>(KÖT)051</v>
      </c>
      <c r="AC482" t="str">
        <f t="shared" si="139"/>
        <v>61P3940310511011</v>
      </c>
      <c r="AD482" t="str">
        <f t="shared" si="140"/>
        <v>P3940310511011(KÖT)</v>
      </c>
      <c r="AE482" t="str">
        <f t="shared" si="141"/>
        <v>61P394031051</v>
      </c>
      <c r="AF482" t="str">
        <f t="shared" si="142"/>
        <v>P394031051(KÖT)</v>
      </c>
      <c r="AG482" t="str">
        <f t="shared" si="148"/>
        <v>61P394031051101112100</v>
      </c>
      <c r="AH482" t="str">
        <f t="shared" si="149"/>
        <v>P394031(KÖT)051101112100</v>
      </c>
      <c r="AI482" t="str">
        <f t="shared" si="150"/>
        <v>61P39403105112100</v>
      </c>
      <c r="AJ482" t="str">
        <f t="shared" si="151"/>
        <v>P394031051(KÖT)12100</v>
      </c>
    </row>
    <row r="483" spans="1:36" x14ac:dyDescent="0.25">
      <c r="A483" s="325" t="str">
        <f>CONCATENATE("P",'906MP'!M183)</f>
        <v>P394031</v>
      </c>
      <c r="B483">
        <f>'906MP'!H183</f>
        <v>61</v>
      </c>
      <c r="C483" t="str">
        <f>'906MP'!J183</f>
        <v>2025-01-01</v>
      </c>
      <c r="D483" t="str">
        <f>'906MP'!P183</f>
        <v>eredeti ei</v>
      </c>
      <c r="E483">
        <f>'906MP'!X183</f>
        <v>6591880</v>
      </c>
      <c r="F483" t="str">
        <f t="shared" si="143"/>
        <v>05</v>
      </c>
      <c r="G483" t="str">
        <f t="shared" si="144"/>
        <v>051</v>
      </c>
      <c r="H483" t="str">
        <f>'906MP'!Y183</f>
        <v>0511031</v>
      </c>
      <c r="I483" t="str">
        <f>'906MP'!AK183</f>
        <v>2025/EEI-394031/1</v>
      </c>
      <c r="J483" t="str">
        <f>'906MP'!T183</f>
        <v>(KÖT)</v>
      </c>
      <c r="K483" t="str">
        <f>'906MP'!AJ183</f>
        <v/>
      </c>
      <c r="L483" t="str">
        <f>'906MP'!U183</f>
        <v>12100</v>
      </c>
      <c r="M483" s="322" t="str">
        <f>IFERROR(VLOOKUP(A483,PAR!$D$3:$E$53,2,FALSE),"nincs szervezet")</f>
        <v>Nagymarosi Polgármesteri Hivatal</v>
      </c>
      <c r="N483" s="322" t="str">
        <f>VLOOKUP(F483,PAR!$R$3:$S$5,2,FALSE)</f>
        <v>2 - Kiadás</v>
      </c>
      <c r="O483" t="str">
        <f>IFERROR(VLOOKUP(J483,PAR!$O$3:$P$5,2,FALSE),"nincs feladat")</f>
        <v>1 - (KÖT)</v>
      </c>
      <c r="P483" t="str">
        <f>IFERROR(VLOOKUP(G483,PAR!$J$2:$M$19,4),"nincs rovat")</f>
        <v>K1 - Személyi juttatások</v>
      </c>
      <c r="Q483" t="str">
        <f>IF(H483&gt;0,VLOOKUP(H483,PAR!$AA$3:$AC$187,3,FALSE),"nincs főkönyvi számla")</f>
        <v>0511031 -  Céljuttatás, projektprémium előirányzata</v>
      </c>
      <c r="R483" t="str">
        <f>IFERROR(VLOOKUP(K483,PAR!$V$3:$X$438,3,FALSE),"000000 - Nincs COFOG")</f>
        <v>000000 - Nincs COFOG</v>
      </c>
      <c r="S483">
        <f t="shared" si="145"/>
        <v>6591880</v>
      </c>
      <c r="T483">
        <f t="shared" si="146"/>
        <v>6591880</v>
      </c>
      <c r="U483" t="str">
        <f>IF('906MP'!J183&gt;0,CONCATENATE('906MP'!J183," - ",'906MP'!P183,", ",'906MP'!E183),"nincs megjegyzés")</f>
        <v>2025-01-01 - eredeti ei, 2025/EEI-394031/1</v>
      </c>
      <c r="V483" t="str">
        <f t="shared" si="133"/>
        <v>61P394031051</v>
      </c>
      <c r="W483" t="str">
        <f t="shared" si="134"/>
        <v>61P39403105</v>
      </c>
      <c r="X483" t="str">
        <f t="shared" si="135"/>
        <v>P3940310511031</v>
      </c>
      <c r="Y483" t="str">
        <f t="shared" si="136"/>
        <v>610511031</v>
      </c>
      <c r="Z483" t="str">
        <f t="shared" si="147"/>
        <v>(KÖT)0511031</v>
      </c>
      <c r="AA483" t="str">
        <f t="shared" si="137"/>
        <v>61051</v>
      </c>
      <c r="AB483" t="str">
        <f t="shared" si="138"/>
        <v>(KÖT)051</v>
      </c>
      <c r="AC483" t="str">
        <f t="shared" si="139"/>
        <v>61P3940310511031</v>
      </c>
      <c r="AD483" t="str">
        <f t="shared" si="140"/>
        <v>P3940310511031(KÖT)</v>
      </c>
      <c r="AE483" t="str">
        <f t="shared" si="141"/>
        <v>61P394031051</v>
      </c>
      <c r="AF483" t="str">
        <f t="shared" si="142"/>
        <v>P394031051(KÖT)</v>
      </c>
      <c r="AG483" t="str">
        <f t="shared" si="148"/>
        <v>61P394031051103112100</v>
      </c>
      <c r="AH483" t="str">
        <f t="shared" si="149"/>
        <v>P394031(KÖT)051103112100</v>
      </c>
      <c r="AI483" t="str">
        <f t="shared" si="150"/>
        <v>61P39403105112100</v>
      </c>
      <c r="AJ483" t="str">
        <f t="shared" si="151"/>
        <v>P394031051(KÖT)12100</v>
      </c>
    </row>
    <row r="484" spans="1:36" x14ac:dyDescent="0.25">
      <c r="A484" s="325" t="str">
        <f>CONCATENATE("P",'906MP'!M184)</f>
        <v>P394031</v>
      </c>
      <c r="B484">
        <f>'906MP'!H184</f>
        <v>61</v>
      </c>
      <c r="C484" t="str">
        <f>'906MP'!J184</f>
        <v>2025-01-01</v>
      </c>
      <c r="D484" t="str">
        <f>'906MP'!P184</f>
        <v>eredeti ei</v>
      </c>
      <c r="E484">
        <f>'906MP'!X184</f>
        <v>3600000</v>
      </c>
      <c r="F484" t="str">
        <f t="shared" si="143"/>
        <v>05</v>
      </c>
      <c r="G484" t="str">
        <f t="shared" si="144"/>
        <v>051</v>
      </c>
      <c r="H484" t="str">
        <f>'906MP'!Y184</f>
        <v>0511041</v>
      </c>
      <c r="I484" t="str">
        <f>'906MP'!AK184</f>
        <v>2025/EEI-394031/1</v>
      </c>
      <c r="J484" t="str">
        <f>'906MP'!T184</f>
        <v>(KÖT)</v>
      </c>
      <c r="K484" t="str">
        <f>'906MP'!AJ184</f>
        <v/>
      </c>
      <c r="L484" t="str">
        <f>'906MP'!U184</f>
        <v>12100</v>
      </c>
      <c r="M484" s="322" t="str">
        <f>IFERROR(VLOOKUP(A484,PAR!$D$3:$E$53,2,FALSE),"nincs szervezet")</f>
        <v>Nagymarosi Polgármesteri Hivatal</v>
      </c>
      <c r="N484" s="322" t="str">
        <f>VLOOKUP(F484,PAR!$R$3:$S$5,2,FALSE)</f>
        <v>2 - Kiadás</v>
      </c>
      <c r="O484" t="str">
        <f>IFERROR(VLOOKUP(J484,PAR!$O$3:$P$5,2,FALSE),"nincs feladat")</f>
        <v>1 - (KÖT)</v>
      </c>
      <c r="P484" t="str">
        <f>IFERROR(VLOOKUP(G484,PAR!$J$2:$M$19,4),"nincs rovat")</f>
        <v>K1 - Személyi juttatások</v>
      </c>
      <c r="Q484" t="str">
        <f>IF(H484&gt;0,VLOOKUP(H484,PAR!$AA$3:$AC$187,3,FALSE),"nincs főkönyvi számla")</f>
        <v>0511041 -  Készenléti, ügyeleti, helyettesítési díj, túlóra, túlszolgálat előirányzata</v>
      </c>
      <c r="R484" t="str">
        <f>IFERROR(VLOOKUP(K484,PAR!$V$3:$X$438,3,FALSE),"000000 - Nincs COFOG")</f>
        <v>000000 - Nincs COFOG</v>
      </c>
      <c r="S484">
        <f t="shared" si="145"/>
        <v>3600000</v>
      </c>
      <c r="T484">
        <f t="shared" si="146"/>
        <v>3600000</v>
      </c>
      <c r="U484" t="str">
        <f>IF('906MP'!J184&gt;0,CONCATENATE('906MP'!J184," - ",'906MP'!P184,", ",'906MP'!E184),"nincs megjegyzés")</f>
        <v>2025-01-01 - eredeti ei, 2025/EEI-394031/1</v>
      </c>
      <c r="V484" t="str">
        <f t="shared" si="133"/>
        <v>61P394031051</v>
      </c>
      <c r="W484" t="str">
        <f t="shared" si="134"/>
        <v>61P39403105</v>
      </c>
      <c r="X484" t="str">
        <f t="shared" si="135"/>
        <v>P3940310511041</v>
      </c>
      <c r="Y484" t="str">
        <f t="shared" si="136"/>
        <v>610511041</v>
      </c>
      <c r="Z484" t="str">
        <f t="shared" si="147"/>
        <v>(KÖT)0511041</v>
      </c>
      <c r="AA484" t="str">
        <f t="shared" si="137"/>
        <v>61051</v>
      </c>
      <c r="AB484" t="str">
        <f t="shared" si="138"/>
        <v>(KÖT)051</v>
      </c>
      <c r="AC484" t="str">
        <f t="shared" si="139"/>
        <v>61P3940310511041</v>
      </c>
      <c r="AD484" t="str">
        <f t="shared" si="140"/>
        <v>P3940310511041(KÖT)</v>
      </c>
      <c r="AE484" t="str">
        <f t="shared" si="141"/>
        <v>61P394031051</v>
      </c>
      <c r="AF484" t="str">
        <f t="shared" si="142"/>
        <v>P394031051(KÖT)</v>
      </c>
      <c r="AG484" t="str">
        <f t="shared" si="148"/>
        <v>61P394031051104112100</v>
      </c>
      <c r="AH484" t="str">
        <f t="shared" si="149"/>
        <v>P394031(KÖT)051104112100</v>
      </c>
      <c r="AI484" t="str">
        <f t="shared" si="150"/>
        <v>61P39403105112100</v>
      </c>
      <c r="AJ484" t="str">
        <f t="shared" si="151"/>
        <v>P394031051(KÖT)12100</v>
      </c>
    </row>
    <row r="485" spans="1:36" x14ac:dyDescent="0.25">
      <c r="A485" s="325" t="str">
        <f>CONCATENATE("P",'906MP'!M185)</f>
        <v>P394031</v>
      </c>
      <c r="B485">
        <f>'906MP'!H185</f>
        <v>61</v>
      </c>
      <c r="C485" t="str">
        <f>'906MP'!J185</f>
        <v>2025-01-01</v>
      </c>
      <c r="D485" t="str">
        <f>'906MP'!P185</f>
        <v>eredeti ei</v>
      </c>
      <c r="E485">
        <f>'906MP'!X185</f>
        <v>2450000</v>
      </c>
      <c r="F485" t="str">
        <f t="shared" si="143"/>
        <v>05</v>
      </c>
      <c r="G485" t="str">
        <f t="shared" si="144"/>
        <v>051</v>
      </c>
      <c r="H485" t="str">
        <f>'906MP'!Y185</f>
        <v>0511061</v>
      </c>
      <c r="I485" t="str">
        <f>'906MP'!AK185</f>
        <v>2025/EEI-394031/1</v>
      </c>
      <c r="J485" t="str">
        <f>'906MP'!T185</f>
        <v>(KÖT)</v>
      </c>
      <c r="K485" t="str">
        <f>'906MP'!AJ185</f>
        <v/>
      </c>
      <c r="L485" t="str">
        <f>'906MP'!U185</f>
        <v>12100</v>
      </c>
      <c r="M485" s="322" t="str">
        <f>IFERROR(VLOOKUP(A485,PAR!$D$3:$E$53,2,FALSE),"nincs szervezet")</f>
        <v>Nagymarosi Polgármesteri Hivatal</v>
      </c>
      <c r="N485" s="322" t="str">
        <f>VLOOKUP(F485,PAR!$R$3:$S$5,2,FALSE)</f>
        <v>2 - Kiadás</v>
      </c>
      <c r="O485" t="str">
        <f>IFERROR(VLOOKUP(J485,PAR!$O$3:$P$5,2,FALSE),"nincs feladat")</f>
        <v>1 - (KÖT)</v>
      </c>
      <c r="P485" t="str">
        <f>IFERROR(VLOOKUP(G485,PAR!$J$2:$M$19,4),"nincs rovat")</f>
        <v>K1 - Személyi juttatások</v>
      </c>
      <c r="Q485" t="str">
        <f>IF(H485&gt;0,VLOOKUP(H485,PAR!$AA$3:$AC$187,3,FALSE),"nincs főkönyvi számla")</f>
        <v>0511061 -  Jubileumi jutalom előirányzata</v>
      </c>
      <c r="R485" t="str">
        <f>IFERROR(VLOOKUP(K485,PAR!$V$3:$X$438,3,FALSE),"000000 - Nincs COFOG")</f>
        <v>000000 - Nincs COFOG</v>
      </c>
      <c r="S485">
        <f t="shared" si="145"/>
        <v>2450000</v>
      </c>
      <c r="T485">
        <f t="shared" si="146"/>
        <v>2450000</v>
      </c>
      <c r="U485" t="str">
        <f>IF('906MP'!J185&gt;0,CONCATENATE('906MP'!J185," - ",'906MP'!P185,", ",'906MP'!E185),"nincs megjegyzés")</f>
        <v>2025-01-01 - eredeti ei, 2025/EEI-394031/1</v>
      </c>
      <c r="V485" t="str">
        <f t="shared" si="133"/>
        <v>61P394031051</v>
      </c>
      <c r="W485" t="str">
        <f t="shared" si="134"/>
        <v>61P39403105</v>
      </c>
      <c r="X485" t="str">
        <f t="shared" si="135"/>
        <v>P3940310511061</v>
      </c>
      <c r="Y485" t="str">
        <f t="shared" si="136"/>
        <v>610511061</v>
      </c>
      <c r="Z485" t="str">
        <f t="shared" si="147"/>
        <v>(KÖT)0511061</v>
      </c>
      <c r="AA485" t="str">
        <f t="shared" si="137"/>
        <v>61051</v>
      </c>
      <c r="AB485" t="str">
        <f t="shared" si="138"/>
        <v>(KÖT)051</v>
      </c>
      <c r="AC485" t="str">
        <f t="shared" si="139"/>
        <v>61P3940310511061</v>
      </c>
      <c r="AD485" t="str">
        <f t="shared" si="140"/>
        <v>P3940310511061(KÖT)</v>
      </c>
      <c r="AE485" t="str">
        <f t="shared" si="141"/>
        <v>61P394031051</v>
      </c>
      <c r="AF485" t="str">
        <f t="shared" si="142"/>
        <v>P394031051(KÖT)</v>
      </c>
      <c r="AG485" t="str">
        <f t="shared" si="148"/>
        <v>61P394031051106112100</v>
      </c>
      <c r="AH485" t="str">
        <f t="shared" si="149"/>
        <v>P394031(KÖT)051106112100</v>
      </c>
      <c r="AI485" t="str">
        <f t="shared" si="150"/>
        <v>61P39403105112100</v>
      </c>
      <c r="AJ485" t="str">
        <f t="shared" si="151"/>
        <v>P394031051(KÖT)12100</v>
      </c>
    </row>
    <row r="486" spans="1:36" x14ac:dyDescent="0.25">
      <c r="A486" s="325" t="str">
        <f>CONCATENATE("P",'906MP'!M186)</f>
        <v>P394031</v>
      </c>
      <c r="B486">
        <f>'906MP'!H186</f>
        <v>61</v>
      </c>
      <c r="C486" t="str">
        <f>'906MP'!J186</f>
        <v>2025-01-01</v>
      </c>
      <c r="D486" t="str">
        <f>'906MP'!P186</f>
        <v>eredeti ei</v>
      </c>
      <c r="E486">
        <f>'906MP'!X186</f>
        <v>3715567</v>
      </c>
      <c r="F486" t="str">
        <f t="shared" si="143"/>
        <v>05</v>
      </c>
      <c r="G486" t="str">
        <f t="shared" si="144"/>
        <v>051</v>
      </c>
      <c r="H486" t="str">
        <f>'906MP'!Y186</f>
        <v>0511071</v>
      </c>
      <c r="I486" t="str">
        <f>'906MP'!AK186</f>
        <v>2025/EEI-394031/1</v>
      </c>
      <c r="J486" t="str">
        <f>'906MP'!T186</f>
        <v>(KÖT)</v>
      </c>
      <c r="K486" t="str">
        <f>'906MP'!AJ186</f>
        <v/>
      </c>
      <c r="L486" t="str">
        <f>'906MP'!U186</f>
        <v>12100</v>
      </c>
      <c r="M486" s="322" t="str">
        <f>IFERROR(VLOOKUP(A486,PAR!$D$3:$E$53,2,FALSE),"nincs szervezet")</f>
        <v>Nagymarosi Polgármesteri Hivatal</v>
      </c>
      <c r="N486" s="322" t="str">
        <f>VLOOKUP(F486,PAR!$R$3:$S$5,2,FALSE)</f>
        <v>2 - Kiadás</v>
      </c>
      <c r="O486" t="str">
        <f>IFERROR(VLOOKUP(J486,PAR!$O$3:$P$5,2,FALSE),"nincs feladat")</f>
        <v>1 - (KÖT)</v>
      </c>
      <c r="P486" t="str">
        <f>IFERROR(VLOOKUP(G486,PAR!$J$2:$M$19,4),"nincs rovat")</f>
        <v>K1 - Személyi juttatások</v>
      </c>
      <c r="Q486" t="str">
        <f>IF(H486&gt;0,VLOOKUP(H486,PAR!$AA$3:$AC$187,3,FALSE),"nincs főkönyvi számla")</f>
        <v>0511071 -  Béren kívüli juttatások előirányzata</v>
      </c>
      <c r="R486" t="str">
        <f>IFERROR(VLOOKUP(K486,PAR!$V$3:$X$438,3,FALSE),"000000 - Nincs COFOG")</f>
        <v>000000 - Nincs COFOG</v>
      </c>
      <c r="S486">
        <f t="shared" si="145"/>
        <v>3715567</v>
      </c>
      <c r="T486">
        <f t="shared" si="146"/>
        <v>3715567</v>
      </c>
      <c r="U486" t="str">
        <f>IF('906MP'!J186&gt;0,CONCATENATE('906MP'!J186," - ",'906MP'!P186,", ",'906MP'!E186),"nincs megjegyzés")</f>
        <v>2025-01-01 - eredeti ei, 2025/EEI-394031/1</v>
      </c>
      <c r="V486" t="str">
        <f t="shared" si="133"/>
        <v>61P394031051</v>
      </c>
      <c r="W486" t="str">
        <f t="shared" si="134"/>
        <v>61P39403105</v>
      </c>
      <c r="X486" t="str">
        <f t="shared" si="135"/>
        <v>P3940310511071</v>
      </c>
      <c r="Y486" t="str">
        <f t="shared" si="136"/>
        <v>610511071</v>
      </c>
      <c r="Z486" t="str">
        <f t="shared" si="147"/>
        <v>(KÖT)0511071</v>
      </c>
      <c r="AA486" t="str">
        <f t="shared" si="137"/>
        <v>61051</v>
      </c>
      <c r="AB486" t="str">
        <f t="shared" si="138"/>
        <v>(KÖT)051</v>
      </c>
      <c r="AC486" t="str">
        <f t="shared" si="139"/>
        <v>61P3940310511071</v>
      </c>
      <c r="AD486" t="str">
        <f t="shared" si="140"/>
        <v>P3940310511071(KÖT)</v>
      </c>
      <c r="AE486" t="str">
        <f t="shared" si="141"/>
        <v>61P394031051</v>
      </c>
      <c r="AF486" t="str">
        <f t="shared" si="142"/>
        <v>P394031051(KÖT)</v>
      </c>
      <c r="AG486" t="str">
        <f t="shared" si="148"/>
        <v>61P394031051107112100</v>
      </c>
      <c r="AH486" t="str">
        <f t="shared" si="149"/>
        <v>P394031(KÖT)051107112100</v>
      </c>
      <c r="AI486" t="str">
        <f t="shared" si="150"/>
        <v>61P39403105112100</v>
      </c>
      <c r="AJ486" t="str">
        <f t="shared" si="151"/>
        <v>P394031051(KÖT)12100</v>
      </c>
    </row>
    <row r="487" spans="1:36" x14ac:dyDescent="0.25">
      <c r="A487" s="325" t="str">
        <f>CONCATENATE("P",'906MP'!M187)</f>
        <v>P394031</v>
      </c>
      <c r="B487">
        <f>'906MP'!H187</f>
        <v>61</v>
      </c>
      <c r="C487" t="str">
        <f>'906MP'!J187</f>
        <v>2025-01-01</v>
      </c>
      <c r="D487" t="str">
        <f>'906MP'!P187</f>
        <v>eredeti ei</v>
      </c>
      <c r="E487">
        <f>'906MP'!X187</f>
        <v>205469</v>
      </c>
      <c r="F487" t="str">
        <f t="shared" si="143"/>
        <v>05</v>
      </c>
      <c r="G487" t="str">
        <f t="shared" si="144"/>
        <v>051</v>
      </c>
      <c r="H487" t="str">
        <f>'906MP'!Y187</f>
        <v>0511081</v>
      </c>
      <c r="I487" t="str">
        <f>'906MP'!AK187</f>
        <v>2025/EEI-394031/1</v>
      </c>
      <c r="J487" t="str">
        <f>'906MP'!T187</f>
        <v>(KÖT)</v>
      </c>
      <c r="K487" t="str">
        <f>'906MP'!AJ187</f>
        <v/>
      </c>
      <c r="L487" t="str">
        <f>'906MP'!U187</f>
        <v>12100</v>
      </c>
      <c r="M487" s="322" t="str">
        <f>IFERROR(VLOOKUP(A487,PAR!$D$3:$E$53,2,FALSE),"nincs szervezet")</f>
        <v>Nagymarosi Polgármesteri Hivatal</v>
      </c>
      <c r="N487" s="322" t="str">
        <f>VLOOKUP(F487,PAR!$R$3:$S$5,2,FALSE)</f>
        <v>2 - Kiadás</v>
      </c>
      <c r="O487" t="str">
        <f>IFERROR(VLOOKUP(J487,PAR!$O$3:$P$5,2,FALSE),"nincs feladat")</f>
        <v>1 - (KÖT)</v>
      </c>
      <c r="P487" t="str">
        <f>IFERROR(VLOOKUP(G487,PAR!$J$2:$M$19,4),"nincs rovat")</f>
        <v>K1 - Személyi juttatások</v>
      </c>
      <c r="Q487" t="str">
        <f>IF(H487&gt;0,VLOOKUP(H487,PAR!$AA$3:$AC$187,3,FALSE),"nincs főkönyvi számla")</f>
        <v>0511081 -  Ruházati költségtérítés előirányzata</v>
      </c>
      <c r="R487" t="str">
        <f>IFERROR(VLOOKUP(K487,PAR!$V$3:$X$438,3,FALSE),"000000 - Nincs COFOG")</f>
        <v>000000 - Nincs COFOG</v>
      </c>
      <c r="S487">
        <f t="shared" si="145"/>
        <v>205469</v>
      </c>
      <c r="T487">
        <f t="shared" si="146"/>
        <v>205469</v>
      </c>
      <c r="U487" t="str">
        <f>IF('906MP'!J187&gt;0,CONCATENATE('906MP'!J187," - ",'906MP'!P187,", ",'906MP'!E187),"nincs megjegyzés")</f>
        <v>2025-01-01 - eredeti ei, 2025/EEI-394031/1</v>
      </c>
      <c r="V487" t="str">
        <f t="shared" si="133"/>
        <v>61P394031051</v>
      </c>
      <c r="W487" t="str">
        <f t="shared" si="134"/>
        <v>61P39403105</v>
      </c>
      <c r="X487" t="str">
        <f t="shared" si="135"/>
        <v>P3940310511081</v>
      </c>
      <c r="Y487" t="str">
        <f t="shared" si="136"/>
        <v>610511081</v>
      </c>
      <c r="Z487" t="str">
        <f t="shared" si="147"/>
        <v>(KÖT)0511081</v>
      </c>
      <c r="AA487" t="str">
        <f t="shared" si="137"/>
        <v>61051</v>
      </c>
      <c r="AB487" t="str">
        <f t="shared" si="138"/>
        <v>(KÖT)051</v>
      </c>
      <c r="AC487" t="str">
        <f t="shared" si="139"/>
        <v>61P3940310511081</v>
      </c>
      <c r="AD487" t="str">
        <f t="shared" si="140"/>
        <v>P3940310511081(KÖT)</v>
      </c>
      <c r="AE487" t="str">
        <f t="shared" si="141"/>
        <v>61P394031051</v>
      </c>
      <c r="AF487" t="str">
        <f t="shared" si="142"/>
        <v>P394031051(KÖT)</v>
      </c>
      <c r="AG487" t="str">
        <f t="shared" si="148"/>
        <v>61P394031051108112100</v>
      </c>
      <c r="AH487" t="str">
        <f t="shared" si="149"/>
        <v>P394031(KÖT)051108112100</v>
      </c>
      <c r="AI487" t="str">
        <f t="shared" si="150"/>
        <v>61P39403105112100</v>
      </c>
      <c r="AJ487" t="str">
        <f t="shared" si="151"/>
        <v>P394031051(KÖT)12100</v>
      </c>
    </row>
    <row r="488" spans="1:36" x14ac:dyDescent="0.25">
      <c r="A488" s="325" t="str">
        <f>CONCATENATE("P",'906MP'!M188)</f>
        <v>P394031</v>
      </c>
      <c r="B488">
        <f>'906MP'!H188</f>
        <v>61</v>
      </c>
      <c r="C488" t="str">
        <f>'906MP'!J188</f>
        <v>2025-01-01</v>
      </c>
      <c r="D488" t="str">
        <f>'906MP'!P188</f>
        <v>eredeti ei</v>
      </c>
      <c r="E488">
        <f>'906MP'!X188</f>
        <v>921524</v>
      </c>
      <c r="F488" t="str">
        <f t="shared" si="143"/>
        <v>05</v>
      </c>
      <c r="G488" t="str">
        <f t="shared" si="144"/>
        <v>051</v>
      </c>
      <c r="H488" t="str">
        <f>'906MP'!Y188</f>
        <v>0511091</v>
      </c>
      <c r="I488" t="str">
        <f>'906MP'!AK188</f>
        <v>2025/EEI-394031/1</v>
      </c>
      <c r="J488" t="str">
        <f>'906MP'!T188</f>
        <v>(KÖT)</v>
      </c>
      <c r="K488" t="str">
        <f>'906MP'!AJ188</f>
        <v/>
      </c>
      <c r="L488" t="str">
        <f>'906MP'!U188</f>
        <v>12100</v>
      </c>
      <c r="M488" s="322" t="str">
        <f>IFERROR(VLOOKUP(A488,PAR!$D$3:$E$53,2,FALSE),"nincs szervezet")</f>
        <v>Nagymarosi Polgármesteri Hivatal</v>
      </c>
      <c r="N488" s="322" t="str">
        <f>VLOOKUP(F488,PAR!$R$3:$S$5,2,FALSE)</f>
        <v>2 - Kiadás</v>
      </c>
      <c r="O488" t="str">
        <f>IFERROR(VLOOKUP(J488,PAR!$O$3:$P$5,2,FALSE),"nincs feladat")</f>
        <v>1 - (KÖT)</v>
      </c>
      <c r="P488" t="str">
        <f>IFERROR(VLOOKUP(G488,PAR!$J$2:$M$19,4),"nincs rovat")</f>
        <v>K1 - Személyi juttatások</v>
      </c>
      <c r="Q488" t="str">
        <f>IF(H488&gt;0,VLOOKUP(H488,PAR!$AA$3:$AC$187,3,FALSE),"nincs főkönyvi számla")</f>
        <v>0511091 -  Közlekedési költségtérítés előirányzata</v>
      </c>
      <c r="R488" t="str">
        <f>IFERROR(VLOOKUP(K488,PAR!$V$3:$X$438,3,FALSE),"000000 - Nincs COFOG")</f>
        <v>000000 - Nincs COFOG</v>
      </c>
      <c r="S488">
        <f t="shared" si="145"/>
        <v>921524</v>
      </c>
      <c r="T488">
        <f t="shared" si="146"/>
        <v>921524</v>
      </c>
      <c r="U488" t="str">
        <f>IF('906MP'!J188&gt;0,CONCATENATE('906MP'!J188," - ",'906MP'!P188,", ",'906MP'!E188),"nincs megjegyzés")</f>
        <v>2025-01-01 - eredeti ei, 2025/EEI-394031/1</v>
      </c>
      <c r="V488" t="str">
        <f t="shared" si="133"/>
        <v>61P394031051</v>
      </c>
      <c r="W488" t="str">
        <f t="shared" si="134"/>
        <v>61P39403105</v>
      </c>
      <c r="X488" t="str">
        <f t="shared" si="135"/>
        <v>P3940310511091</v>
      </c>
      <c r="Y488" t="str">
        <f t="shared" si="136"/>
        <v>610511091</v>
      </c>
      <c r="Z488" t="str">
        <f t="shared" si="147"/>
        <v>(KÖT)0511091</v>
      </c>
      <c r="AA488" t="str">
        <f t="shared" si="137"/>
        <v>61051</v>
      </c>
      <c r="AB488" t="str">
        <f t="shared" si="138"/>
        <v>(KÖT)051</v>
      </c>
      <c r="AC488" t="str">
        <f t="shared" si="139"/>
        <v>61P3940310511091</v>
      </c>
      <c r="AD488" t="str">
        <f t="shared" si="140"/>
        <v>P3940310511091(KÖT)</v>
      </c>
      <c r="AE488" t="str">
        <f t="shared" si="141"/>
        <v>61P394031051</v>
      </c>
      <c r="AF488" t="str">
        <f t="shared" si="142"/>
        <v>P394031051(KÖT)</v>
      </c>
      <c r="AG488" t="str">
        <f t="shared" si="148"/>
        <v>61P394031051109112100</v>
      </c>
      <c r="AH488" t="str">
        <f t="shared" si="149"/>
        <v>P394031(KÖT)051109112100</v>
      </c>
      <c r="AI488" t="str">
        <f t="shared" si="150"/>
        <v>61P39403105112100</v>
      </c>
      <c r="AJ488" t="str">
        <f t="shared" si="151"/>
        <v>P394031051(KÖT)12100</v>
      </c>
    </row>
    <row r="489" spans="1:36" x14ac:dyDescent="0.25">
      <c r="A489" s="325" t="str">
        <f>CONCATENATE("P",'906MP'!M189)</f>
        <v>P394031</v>
      </c>
      <c r="B489">
        <f>'906MP'!H189</f>
        <v>61</v>
      </c>
      <c r="C489" t="str">
        <f>'906MP'!J189</f>
        <v>2025-01-01</v>
      </c>
      <c r="D489" t="str">
        <f>'906MP'!P189</f>
        <v>eredeti ei</v>
      </c>
      <c r="E489">
        <f>'906MP'!X189</f>
        <v>3600000</v>
      </c>
      <c r="F489" t="str">
        <f t="shared" si="143"/>
        <v>05</v>
      </c>
      <c r="G489" t="str">
        <f t="shared" si="144"/>
        <v>051</v>
      </c>
      <c r="H489" t="str">
        <f>'906MP'!Y189</f>
        <v>0511101</v>
      </c>
      <c r="I489" t="str">
        <f>'906MP'!AK189</f>
        <v>2025/EEI-394031/1</v>
      </c>
      <c r="J489" t="str">
        <f>'906MP'!T189</f>
        <v>(KÖT)</v>
      </c>
      <c r="K489" t="str">
        <f>'906MP'!AJ189</f>
        <v/>
      </c>
      <c r="L489" t="str">
        <f>'906MP'!U189</f>
        <v>12100</v>
      </c>
      <c r="M489" s="322" t="str">
        <f>IFERROR(VLOOKUP(A489,PAR!$D$3:$E$53,2,FALSE),"nincs szervezet")</f>
        <v>Nagymarosi Polgármesteri Hivatal</v>
      </c>
      <c r="N489" s="322" t="str">
        <f>VLOOKUP(F489,PAR!$R$3:$S$5,2,FALSE)</f>
        <v>2 - Kiadás</v>
      </c>
      <c r="O489" t="str">
        <f>IFERROR(VLOOKUP(J489,PAR!$O$3:$P$5,2,FALSE),"nincs feladat")</f>
        <v>1 - (KÖT)</v>
      </c>
      <c r="P489" t="str">
        <f>IFERROR(VLOOKUP(G489,PAR!$J$2:$M$19,4),"nincs rovat")</f>
        <v>K1 - Személyi juttatások</v>
      </c>
      <c r="Q489" t="str">
        <f>IF(H489&gt;0,VLOOKUP(H489,PAR!$AA$3:$AC$187,3,FALSE),"nincs főkönyvi számla")</f>
        <v>0511101 -  Egyéb költségtérítések előirányzata</v>
      </c>
      <c r="R489" t="str">
        <f>IFERROR(VLOOKUP(K489,PAR!$V$3:$X$438,3,FALSE),"000000 - Nincs COFOG")</f>
        <v>000000 - Nincs COFOG</v>
      </c>
      <c r="S489">
        <f t="shared" si="145"/>
        <v>3600000</v>
      </c>
      <c r="T489">
        <f t="shared" si="146"/>
        <v>3600000</v>
      </c>
      <c r="U489" t="str">
        <f>IF('906MP'!J189&gt;0,CONCATENATE('906MP'!J189," - ",'906MP'!P189,", ",'906MP'!E189),"nincs megjegyzés")</f>
        <v>2025-01-01 - eredeti ei, 2025/EEI-394031/1</v>
      </c>
      <c r="V489" t="str">
        <f t="shared" si="133"/>
        <v>61P394031051</v>
      </c>
      <c r="W489" t="str">
        <f t="shared" si="134"/>
        <v>61P39403105</v>
      </c>
      <c r="X489" t="str">
        <f t="shared" si="135"/>
        <v>P3940310511101</v>
      </c>
      <c r="Y489" t="str">
        <f t="shared" si="136"/>
        <v>610511101</v>
      </c>
      <c r="Z489" t="str">
        <f t="shared" si="147"/>
        <v>(KÖT)0511101</v>
      </c>
      <c r="AA489" t="str">
        <f t="shared" si="137"/>
        <v>61051</v>
      </c>
      <c r="AB489" t="str">
        <f t="shared" si="138"/>
        <v>(KÖT)051</v>
      </c>
      <c r="AC489" t="str">
        <f t="shared" si="139"/>
        <v>61P3940310511101</v>
      </c>
      <c r="AD489" t="str">
        <f t="shared" si="140"/>
        <v>P3940310511101(KÖT)</v>
      </c>
      <c r="AE489" t="str">
        <f t="shared" si="141"/>
        <v>61P394031051</v>
      </c>
      <c r="AF489" t="str">
        <f t="shared" si="142"/>
        <v>P394031051(KÖT)</v>
      </c>
      <c r="AG489" t="str">
        <f t="shared" si="148"/>
        <v>61P394031051110112100</v>
      </c>
      <c r="AH489" t="str">
        <f t="shared" si="149"/>
        <v>P394031(KÖT)051110112100</v>
      </c>
      <c r="AI489" t="str">
        <f t="shared" si="150"/>
        <v>61P39403105112100</v>
      </c>
      <c r="AJ489" t="str">
        <f t="shared" si="151"/>
        <v>P394031051(KÖT)12100</v>
      </c>
    </row>
    <row r="490" spans="1:36" x14ac:dyDescent="0.25">
      <c r="A490" s="325" t="str">
        <f>CONCATENATE("P",'906MP'!M190)</f>
        <v>P394031</v>
      </c>
      <c r="B490">
        <f>'906MP'!H190</f>
        <v>61</v>
      </c>
      <c r="C490" t="str">
        <f>'906MP'!J190</f>
        <v>2025-01-01</v>
      </c>
      <c r="D490" t="str">
        <f>'906MP'!P190</f>
        <v>eredeti ei</v>
      </c>
      <c r="E490">
        <f>'906MP'!X190</f>
        <v>2629000</v>
      </c>
      <c r="F490" t="str">
        <f t="shared" si="143"/>
        <v>05</v>
      </c>
      <c r="G490" t="str">
        <f t="shared" si="144"/>
        <v>051</v>
      </c>
      <c r="H490" t="str">
        <f>'906MP'!Y190</f>
        <v>0511131</v>
      </c>
      <c r="I490" t="str">
        <f>'906MP'!AK190</f>
        <v>2025/EEI-394031/1</v>
      </c>
      <c r="J490" t="str">
        <f>'906MP'!T190</f>
        <v>(KÖT)</v>
      </c>
      <c r="K490" t="str">
        <f>'906MP'!AJ190</f>
        <v/>
      </c>
      <c r="L490" t="str">
        <f>'906MP'!U190</f>
        <v>12100</v>
      </c>
      <c r="M490" s="322" t="str">
        <f>IFERROR(VLOOKUP(A490,PAR!$D$3:$E$53,2,FALSE),"nincs szervezet")</f>
        <v>Nagymarosi Polgármesteri Hivatal</v>
      </c>
      <c r="N490" s="322" t="str">
        <f>VLOOKUP(F490,PAR!$R$3:$S$5,2,FALSE)</f>
        <v>2 - Kiadás</v>
      </c>
      <c r="O490" t="str">
        <f>IFERROR(VLOOKUP(J490,PAR!$O$3:$P$5,2,FALSE),"nincs feladat")</f>
        <v>1 - (KÖT)</v>
      </c>
      <c r="P490" t="str">
        <f>IFERROR(VLOOKUP(G490,PAR!$J$2:$M$19,4),"nincs rovat")</f>
        <v>K1 - Személyi juttatások</v>
      </c>
      <c r="Q490" t="str">
        <f>IF(H490&gt;0,VLOOKUP(H490,PAR!$AA$3:$AC$187,3,FALSE),"nincs főkönyvi számla")</f>
        <v>0511131 -  Foglalkoztatottak egyéb személyi juttatásai előirányzata</v>
      </c>
      <c r="R490" t="str">
        <f>IFERROR(VLOOKUP(K490,PAR!$V$3:$X$438,3,FALSE),"000000 - Nincs COFOG")</f>
        <v>000000 - Nincs COFOG</v>
      </c>
      <c r="S490">
        <f t="shared" si="145"/>
        <v>2629000</v>
      </c>
      <c r="T490">
        <f t="shared" si="146"/>
        <v>2629000</v>
      </c>
      <c r="U490" t="str">
        <f>IF('906MP'!J190&gt;0,CONCATENATE('906MP'!J190," - ",'906MP'!P190,", ",'906MP'!E190),"nincs megjegyzés")</f>
        <v>2025-01-01 - eredeti ei, 2025/EEI-394031/1</v>
      </c>
      <c r="V490" t="str">
        <f t="shared" si="133"/>
        <v>61P394031051</v>
      </c>
      <c r="W490" t="str">
        <f t="shared" si="134"/>
        <v>61P39403105</v>
      </c>
      <c r="X490" t="str">
        <f t="shared" si="135"/>
        <v>P3940310511131</v>
      </c>
      <c r="Y490" t="str">
        <f t="shared" si="136"/>
        <v>610511131</v>
      </c>
      <c r="Z490" t="str">
        <f t="shared" si="147"/>
        <v>(KÖT)0511131</v>
      </c>
      <c r="AA490" t="str">
        <f t="shared" si="137"/>
        <v>61051</v>
      </c>
      <c r="AB490" t="str">
        <f t="shared" si="138"/>
        <v>(KÖT)051</v>
      </c>
      <c r="AC490" t="str">
        <f t="shared" si="139"/>
        <v>61P3940310511131</v>
      </c>
      <c r="AD490" t="str">
        <f t="shared" si="140"/>
        <v>P3940310511131(KÖT)</v>
      </c>
      <c r="AE490" t="str">
        <f t="shared" si="141"/>
        <v>61P394031051</v>
      </c>
      <c r="AF490" t="str">
        <f t="shared" si="142"/>
        <v>P394031051(KÖT)</v>
      </c>
      <c r="AG490" t="str">
        <f t="shared" si="148"/>
        <v>61P394031051113112100</v>
      </c>
      <c r="AH490" t="str">
        <f t="shared" si="149"/>
        <v>P394031(KÖT)051113112100</v>
      </c>
      <c r="AI490" t="str">
        <f t="shared" si="150"/>
        <v>61P39403105112100</v>
      </c>
      <c r="AJ490" t="str">
        <f t="shared" si="151"/>
        <v>P394031051(KÖT)12100</v>
      </c>
    </row>
    <row r="491" spans="1:36" x14ac:dyDescent="0.25">
      <c r="A491" s="325" t="str">
        <f>CONCATENATE("P",'906MP'!M191)</f>
        <v>P394031</v>
      </c>
      <c r="B491">
        <f>'906MP'!H191</f>
        <v>61</v>
      </c>
      <c r="C491" t="str">
        <f>'906MP'!J191</f>
        <v>2025-01-01</v>
      </c>
      <c r="D491" t="str">
        <f>'906MP'!P191</f>
        <v>eredeti ei</v>
      </c>
      <c r="E491">
        <f>'906MP'!X191</f>
        <v>9120000</v>
      </c>
      <c r="F491" t="str">
        <f t="shared" si="143"/>
        <v>05</v>
      </c>
      <c r="G491" t="str">
        <f t="shared" si="144"/>
        <v>051</v>
      </c>
      <c r="H491" t="str">
        <f>'906MP'!Y191</f>
        <v>051221</v>
      </c>
      <c r="I491" t="str">
        <f>'906MP'!AK191</f>
        <v>2025/EEI-394031/1</v>
      </c>
      <c r="J491" t="str">
        <f>'906MP'!T191</f>
        <v>(KÖT)</v>
      </c>
      <c r="K491" t="str">
        <f>'906MP'!AJ191</f>
        <v/>
      </c>
      <c r="L491" t="str">
        <f>'906MP'!U191</f>
        <v>12100</v>
      </c>
      <c r="M491" s="322" t="str">
        <f>IFERROR(VLOOKUP(A491,PAR!$D$3:$E$53,2,FALSE),"nincs szervezet")</f>
        <v>Nagymarosi Polgármesteri Hivatal</v>
      </c>
      <c r="N491" s="322" t="str">
        <f>VLOOKUP(F491,PAR!$R$3:$S$5,2,FALSE)</f>
        <v>2 - Kiadás</v>
      </c>
      <c r="O491" t="str">
        <f>IFERROR(VLOOKUP(J491,PAR!$O$3:$P$5,2,FALSE),"nincs feladat")</f>
        <v>1 - (KÖT)</v>
      </c>
      <c r="P491" t="str">
        <f>IFERROR(VLOOKUP(G491,PAR!$J$2:$M$19,4),"nincs rovat")</f>
        <v>K1 - Személyi juttatások</v>
      </c>
      <c r="Q491" t="str">
        <f>IF(H491&gt;0,VLOOKUP(H491,PAR!$AA$3:$AC$187,3,FALSE),"nincs főkönyvi számla")</f>
        <v>051221 -  Munkavégzésre irányuló egyéb jogviszonyban nem saját foglalkoztatottnak fizetett juttatások előirányzata</v>
      </c>
      <c r="R491" t="str">
        <f>IFERROR(VLOOKUP(K491,PAR!$V$3:$X$438,3,FALSE),"000000 - Nincs COFOG")</f>
        <v>000000 - Nincs COFOG</v>
      </c>
      <c r="S491">
        <f t="shared" si="145"/>
        <v>9120000</v>
      </c>
      <c r="T491">
        <f t="shared" si="146"/>
        <v>9120000</v>
      </c>
      <c r="U491" t="str">
        <f>IF('906MP'!J191&gt;0,CONCATENATE('906MP'!J191," - ",'906MP'!P191,", ",'906MP'!E191),"nincs megjegyzés")</f>
        <v>2025-01-01 - eredeti ei, 2025/EEI-394031/1</v>
      </c>
      <c r="V491" t="str">
        <f t="shared" si="133"/>
        <v>61P394031051</v>
      </c>
      <c r="W491" t="str">
        <f t="shared" si="134"/>
        <v>61P39403105</v>
      </c>
      <c r="X491" t="str">
        <f t="shared" si="135"/>
        <v>P394031051221</v>
      </c>
      <c r="Y491" t="str">
        <f t="shared" si="136"/>
        <v>61051221</v>
      </c>
      <c r="Z491" t="str">
        <f t="shared" si="147"/>
        <v>(KÖT)051221</v>
      </c>
      <c r="AA491" t="str">
        <f t="shared" si="137"/>
        <v>61051</v>
      </c>
      <c r="AB491" t="str">
        <f t="shared" si="138"/>
        <v>(KÖT)051</v>
      </c>
      <c r="AC491" t="str">
        <f t="shared" si="139"/>
        <v>61P394031051221</v>
      </c>
      <c r="AD491" t="str">
        <f t="shared" si="140"/>
        <v>P394031051221(KÖT)</v>
      </c>
      <c r="AE491" t="str">
        <f t="shared" si="141"/>
        <v>61P394031051</v>
      </c>
      <c r="AF491" t="str">
        <f t="shared" si="142"/>
        <v>P394031051(KÖT)</v>
      </c>
      <c r="AG491" t="str">
        <f t="shared" si="148"/>
        <v>61P39403105122112100</v>
      </c>
      <c r="AH491" t="str">
        <f t="shared" si="149"/>
        <v>P394031(KÖT)05122112100</v>
      </c>
      <c r="AI491" t="str">
        <f t="shared" si="150"/>
        <v>61P39403105112100</v>
      </c>
      <c r="AJ491" t="str">
        <f t="shared" si="151"/>
        <v>P394031051(KÖT)12100</v>
      </c>
    </row>
    <row r="492" spans="1:36" x14ac:dyDescent="0.25">
      <c r="A492" s="325" t="str">
        <f>CONCATENATE("P",'906MP'!M192)</f>
        <v>P394031</v>
      </c>
      <c r="B492">
        <f>'906MP'!H192</f>
        <v>61</v>
      </c>
      <c r="C492" t="str">
        <f>'906MP'!J192</f>
        <v>2025-01-01</v>
      </c>
      <c r="D492" t="str">
        <f>'906MP'!P192</f>
        <v>eredeti ei</v>
      </c>
      <c r="E492">
        <f>'906MP'!X192</f>
        <v>24062368</v>
      </c>
      <c r="F492" t="str">
        <f t="shared" si="143"/>
        <v>05</v>
      </c>
      <c r="G492" t="str">
        <f t="shared" si="144"/>
        <v>052</v>
      </c>
      <c r="H492" t="str">
        <f>'906MP'!Y192</f>
        <v>0521</v>
      </c>
      <c r="I492" t="str">
        <f>'906MP'!AK192</f>
        <v>2025/EEI-394031/1</v>
      </c>
      <c r="J492" t="str">
        <f>'906MP'!T192</f>
        <v>(KÖT)</v>
      </c>
      <c r="K492" t="str">
        <f>'906MP'!AJ192</f>
        <v/>
      </c>
      <c r="L492" t="str">
        <f>'906MP'!U192</f>
        <v>12100</v>
      </c>
      <c r="M492" s="322" t="str">
        <f>IFERROR(VLOOKUP(A492,PAR!$D$3:$E$53,2,FALSE),"nincs szervezet")</f>
        <v>Nagymarosi Polgármesteri Hivatal</v>
      </c>
      <c r="N492" s="322" t="str">
        <f>VLOOKUP(F492,PAR!$R$3:$S$5,2,FALSE)</f>
        <v>2 - Kiadás</v>
      </c>
      <c r="O492" t="str">
        <f>IFERROR(VLOOKUP(J492,PAR!$O$3:$P$5,2,FALSE),"nincs feladat")</f>
        <v>1 - (KÖT)</v>
      </c>
      <c r="P492" t="str">
        <f>IFERROR(VLOOKUP(G492,PAR!$J$2:$M$19,4),"nincs rovat")</f>
        <v>K2 - Munkaadókat terhelő járulékok és szociális hozzájárulási adó</v>
      </c>
      <c r="Q492" t="str">
        <f>IF(H492&gt;0,VLOOKUP(H492,PAR!$AA$3:$AC$187,3,FALSE),"nincs főkönyvi számla")</f>
        <v>0521 -  Munkaadókat terhelő járulékok és szociális hozzájárulási adó előirányzata</v>
      </c>
      <c r="R492" t="str">
        <f>IFERROR(VLOOKUP(K492,PAR!$V$3:$X$438,3,FALSE),"000000 - Nincs COFOG")</f>
        <v>000000 - Nincs COFOG</v>
      </c>
      <c r="S492">
        <f t="shared" si="145"/>
        <v>24062368</v>
      </c>
      <c r="T492">
        <f t="shared" si="146"/>
        <v>24062368</v>
      </c>
      <c r="U492" t="str">
        <f>IF('906MP'!J192&gt;0,CONCATENATE('906MP'!J192," - ",'906MP'!P192,", ",'906MP'!E192),"nincs megjegyzés")</f>
        <v>2025-01-01 - eredeti ei, 2025/EEI-394031/1</v>
      </c>
      <c r="V492" t="str">
        <f t="shared" si="133"/>
        <v>61P394031052</v>
      </c>
      <c r="W492" t="str">
        <f t="shared" si="134"/>
        <v>61P39403105</v>
      </c>
      <c r="X492" t="str">
        <f t="shared" si="135"/>
        <v>P3940310521</v>
      </c>
      <c r="Y492" t="str">
        <f t="shared" si="136"/>
        <v>610521</v>
      </c>
      <c r="Z492" t="str">
        <f t="shared" si="147"/>
        <v>(KÖT)0521</v>
      </c>
      <c r="AA492" t="str">
        <f t="shared" si="137"/>
        <v>61052</v>
      </c>
      <c r="AB492" t="str">
        <f t="shared" si="138"/>
        <v>(KÖT)052</v>
      </c>
      <c r="AC492" t="str">
        <f t="shared" si="139"/>
        <v>61P3940310521</v>
      </c>
      <c r="AD492" t="str">
        <f t="shared" si="140"/>
        <v>P3940310521(KÖT)</v>
      </c>
      <c r="AE492" t="str">
        <f t="shared" si="141"/>
        <v>61P394031052</v>
      </c>
      <c r="AF492" t="str">
        <f t="shared" si="142"/>
        <v>P394031052(KÖT)</v>
      </c>
      <c r="AG492" t="str">
        <f t="shared" si="148"/>
        <v>61P394031052112100</v>
      </c>
      <c r="AH492" t="str">
        <f t="shared" si="149"/>
        <v>P394031(KÖT)052112100</v>
      </c>
      <c r="AI492" t="str">
        <f t="shared" si="150"/>
        <v>61P39403105212100</v>
      </c>
      <c r="AJ492" t="str">
        <f t="shared" si="151"/>
        <v>P394031052(KÖT)12100</v>
      </c>
    </row>
    <row r="493" spans="1:36" x14ac:dyDescent="0.25">
      <c r="A493" s="325" t="str">
        <f>CONCATENATE("P",'906MP'!M193)</f>
        <v>P394031</v>
      </c>
      <c r="B493">
        <f>'906MP'!H193</f>
        <v>61</v>
      </c>
      <c r="C493" t="str">
        <f>'906MP'!J193</f>
        <v>2025-01-01</v>
      </c>
      <c r="D493" t="str">
        <f>'906MP'!P193</f>
        <v>eredeti ei</v>
      </c>
      <c r="E493">
        <f>'906MP'!X193</f>
        <v>100000</v>
      </c>
      <c r="F493" t="str">
        <f t="shared" si="143"/>
        <v>05</v>
      </c>
      <c r="G493" t="str">
        <f t="shared" si="144"/>
        <v>053</v>
      </c>
      <c r="H493" t="str">
        <f>'906MP'!Y193</f>
        <v>053111</v>
      </c>
      <c r="I493" t="str">
        <f>'906MP'!AK193</f>
        <v>2025/EEI-394031/1</v>
      </c>
      <c r="J493" t="str">
        <f>'906MP'!T193</f>
        <v>(KÖT)</v>
      </c>
      <c r="K493" t="str">
        <f>'906MP'!AJ193</f>
        <v/>
      </c>
      <c r="L493" t="str">
        <f>'906MP'!U193</f>
        <v>12100</v>
      </c>
      <c r="M493" s="322" t="str">
        <f>IFERROR(VLOOKUP(A493,PAR!$D$3:$E$53,2,FALSE),"nincs szervezet")</f>
        <v>Nagymarosi Polgármesteri Hivatal</v>
      </c>
      <c r="N493" s="322" t="str">
        <f>VLOOKUP(F493,PAR!$R$3:$S$5,2,FALSE)</f>
        <v>2 - Kiadás</v>
      </c>
      <c r="O493" t="str">
        <f>IFERROR(VLOOKUP(J493,PAR!$O$3:$P$5,2,FALSE),"nincs feladat")</f>
        <v>1 - (KÖT)</v>
      </c>
      <c r="P493" t="str">
        <f>IFERROR(VLOOKUP(G493,PAR!$J$2:$M$19,4),"nincs rovat")</f>
        <v>K3 - Dologi kiadások</v>
      </c>
      <c r="Q493" t="str">
        <f>IF(H493&gt;0,VLOOKUP(H493,PAR!$AA$3:$AC$187,3,FALSE),"nincs főkönyvi számla")</f>
        <v>053111 -  Szakmai anyagok beszerzése előirányzata</v>
      </c>
      <c r="R493" t="str">
        <f>IFERROR(VLOOKUP(K493,PAR!$V$3:$X$438,3,FALSE),"000000 - Nincs COFOG")</f>
        <v>000000 - Nincs COFOG</v>
      </c>
      <c r="S493">
        <f t="shared" si="145"/>
        <v>100000</v>
      </c>
      <c r="T493">
        <f t="shared" si="146"/>
        <v>100000</v>
      </c>
      <c r="U493" t="str">
        <f>IF('906MP'!J193&gt;0,CONCATENATE('906MP'!J193," - ",'906MP'!P193,", ",'906MP'!E193),"nincs megjegyzés")</f>
        <v>2025-01-01 - eredeti ei, 2025/EEI-394031/1</v>
      </c>
      <c r="V493" t="str">
        <f t="shared" si="133"/>
        <v>61P394031053</v>
      </c>
      <c r="W493" t="str">
        <f t="shared" si="134"/>
        <v>61P39403105</v>
      </c>
      <c r="X493" t="str">
        <f t="shared" si="135"/>
        <v>P394031053111</v>
      </c>
      <c r="Y493" t="str">
        <f t="shared" si="136"/>
        <v>61053111</v>
      </c>
      <c r="Z493" t="str">
        <f t="shared" si="147"/>
        <v>(KÖT)053111</v>
      </c>
      <c r="AA493" t="str">
        <f t="shared" si="137"/>
        <v>61053</v>
      </c>
      <c r="AB493" t="str">
        <f t="shared" si="138"/>
        <v>(KÖT)053</v>
      </c>
      <c r="AC493" t="str">
        <f t="shared" si="139"/>
        <v>61P394031053111</v>
      </c>
      <c r="AD493" t="str">
        <f t="shared" si="140"/>
        <v>P394031053111(KÖT)</v>
      </c>
      <c r="AE493" t="str">
        <f t="shared" si="141"/>
        <v>61P394031053</v>
      </c>
      <c r="AF493" t="str">
        <f t="shared" si="142"/>
        <v>P394031053(KÖT)</v>
      </c>
      <c r="AG493" t="str">
        <f t="shared" si="148"/>
        <v>61P39403105311112100</v>
      </c>
      <c r="AH493" t="str">
        <f t="shared" si="149"/>
        <v>P394031(KÖT)05311112100</v>
      </c>
      <c r="AI493" t="str">
        <f t="shared" si="150"/>
        <v>61P39403105312100</v>
      </c>
      <c r="AJ493" t="str">
        <f t="shared" si="151"/>
        <v>P394031053(KÖT)12100</v>
      </c>
    </row>
    <row r="494" spans="1:36" x14ac:dyDescent="0.25">
      <c r="A494" s="325" t="str">
        <f>CONCATENATE("P",'906MP'!M194)</f>
        <v>P394031</v>
      </c>
      <c r="B494">
        <f>'906MP'!H194</f>
        <v>61</v>
      </c>
      <c r="C494" t="str">
        <f>'906MP'!J194</f>
        <v>2025-01-01</v>
      </c>
      <c r="D494" t="str">
        <f>'906MP'!P194</f>
        <v>eredeti ei</v>
      </c>
      <c r="E494">
        <f>'906MP'!X194</f>
        <v>4280000</v>
      </c>
      <c r="F494" t="str">
        <f t="shared" si="143"/>
        <v>05</v>
      </c>
      <c r="G494" t="str">
        <f t="shared" si="144"/>
        <v>053</v>
      </c>
      <c r="H494" t="str">
        <f>'906MP'!Y194</f>
        <v>053121</v>
      </c>
      <c r="I494" t="str">
        <f>'906MP'!AK194</f>
        <v>2025/EEI-394031/1</v>
      </c>
      <c r="J494" t="str">
        <f>'906MP'!T194</f>
        <v>(KÖT)</v>
      </c>
      <c r="K494" t="str">
        <f>'906MP'!AJ194</f>
        <v/>
      </c>
      <c r="L494" t="str">
        <f>'906MP'!U194</f>
        <v>12100</v>
      </c>
      <c r="M494" s="322" t="str">
        <f>IFERROR(VLOOKUP(A494,PAR!$D$3:$E$53,2,FALSE),"nincs szervezet")</f>
        <v>Nagymarosi Polgármesteri Hivatal</v>
      </c>
      <c r="N494" s="322" t="str">
        <f>VLOOKUP(F494,PAR!$R$3:$S$5,2,FALSE)</f>
        <v>2 - Kiadás</v>
      </c>
      <c r="O494" t="str">
        <f>IFERROR(VLOOKUP(J494,PAR!$O$3:$P$5,2,FALSE),"nincs feladat")</f>
        <v>1 - (KÖT)</v>
      </c>
      <c r="P494" t="str">
        <f>IFERROR(VLOOKUP(G494,PAR!$J$2:$M$19,4),"nincs rovat")</f>
        <v>K3 - Dologi kiadások</v>
      </c>
      <c r="Q494" t="str">
        <f>IF(H494&gt;0,VLOOKUP(H494,PAR!$AA$3:$AC$187,3,FALSE),"nincs főkönyvi számla")</f>
        <v>053121 -  Üzemeltetési anyagok beszerzése előirányzata</v>
      </c>
      <c r="R494" t="str">
        <f>IFERROR(VLOOKUP(K494,PAR!$V$3:$X$438,3,FALSE),"000000 - Nincs COFOG")</f>
        <v>000000 - Nincs COFOG</v>
      </c>
      <c r="S494">
        <f t="shared" si="145"/>
        <v>4280000</v>
      </c>
      <c r="T494">
        <f t="shared" si="146"/>
        <v>4280000</v>
      </c>
      <c r="U494" t="str">
        <f>IF('906MP'!J194&gt;0,CONCATENATE('906MP'!J194," - ",'906MP'!P194,", ",'906MP'!E194),"nincs megjegyzés")</f>
        <v>2025-01-01 - eredeti ei, 2025/EEI-394031/1</v>
      </c>
      <c r="V494" t="str">
        <f t="shared" si="133"/>
        <v>61P394031053</v>
      </c>
      <c r="W494" t="str">
        <f t="shared" si="134"/>
        <v>61P39403105</v>
      </c>
      <c r="X494" t="str">
        <f t="shared" si="135"/>
        <v>P394031053121</v>
      </c>
      <c r="Y494" t="str">
        <f t="shared" si="136"/>
        <v>61053121</v>
      </c>
      <c r="Z494" t="str">
        <f t="shared" si="147"/>
        <v>(KÖT)053121</v>
      </c>
      <c r="AA494" t="str">
        <f t="shared" si="137"/>
        <v>61053</v>
      </c>
      <c r="AB494" t="str">
        <f t="shared" si="138"/>
        <v>(KÖT)053</v>
      </c>
      <c r="AC494" t="str">
        <f t="shared" si="139"/>
        <v>61P394031053121</v>
      </c>
      <c r="AD494" t="str">
        <f t="shared" si="140"/>
        <v>P394031053121(KÖT)</v>
      </c>
      <c r="AE494" t="str">
        <f t="shared" si="141"/>
        <v>61P394031053</v>
      </c>
      <c r="AF494" t="str">
        <f t="shared" si="142"/>
        <v>P394031053(KÖT)</v>
      </c>
      <c r="AG494" t="str">
        <f t="shared" si="148"/>
        <v>61P39403105312112100</v>
      </c>
      <c r="AH494" t="str">
        <f t="shared" si="149"/>
        <v>P394031(KÖT)05312112100</v>
      </c>
      <c r="AI494" t="str">
        <f t="shared" si="150"/>
        <v>61P39403105312100</v>
      </c>
      <c r="AJ494" t="str">
        <f t="shared" si="151"/>
        <v>P394031053(KÖT)12100</v>
      </c>
    </row>
    <row r="495" spans="1:36" x14ac:dyDescent="0.25">
      <c r="A495" s="325" t="str">
        <f>CONCATENATE("P",'906MP'!M195)</f>
        <v>P394031</v>
      </c>
      <c r="B495">
        <f>'906MP'!H195</f>
        <v>61</v>
      </c>
      <c r="C495" t="str">
        <f>'906MP'!J195</f>
        <v>2025-01-01</v>
      </c>
      <c r="D495" t="str">
        <f>'906MP'!P195</f>
        <v>eredeti ei</v>
      </c>
      <c r="E495">
        <f>'906MP'!X195</f>
        <v>3479000</v>
      </c>
      <c r="F495" t="str">
        <f t="shared" si="143"/>
        <v>05</v>
      </c>
      <c r="G495" t="str">
        <f t="shared" si="144"/>
        <v>053</v>
      </c>
      <c r="H495" t="str">
        <f>'906MP'!Y195</f>
        <v>053211</v>
      </c>
      <c r="I495" t="str">
        <f>'906MP'!AK195</f>
        <v>2025/EEI-394031/1</v>
      </c>
      <c r="J495" t="str">
        <f>'906MP'!T195</f>
        <v>(KÖT)</v>
      </c>
      <c r="K495" t="str">
        <f>'906MP'!AJ195</f>
        <v/>
      </c>
      <c r="L495" t="str">
        <f>'906MP'!U195</f>
        <v>12100</v>
      </c>
      <c r="M495" s="322" t="str">
        <f>IFERROR(VLOOKUP(A495,PAR!$D$3:$E$53,2,FALSE),"nincs szervezet")</f>
        <v>Nagymarosi Polgármesteri Hivatal</v>
      </c>
      <c r="N495" s="322" t="str">
        <f>VLOOKUP(F495,PAR!$R$3:$S$5,2,FALSE)</f>
        <v>2 - Kiadás</v>
      </c>
      <c r="O495" t="str">
        <f>IFERROR(VLOOKUP(J495,PAR!$O$3:$P$5,2,FALSE),"nincs feladat")</f>
        <v>1 - (KÖT)</v>
      </c>
      <c r="P495" t="str">
        <f>IFERROR(VLOOKUP(G495,PAR!$J$2:$M$19,4),"nincs rovat")</f>
        <v>K3 - Dologi kiadások</v>
      </c>
      <c r="Q495" t="str">
        <f>IF(H495&gt;0,VLOOKUP(H495,PAR!$AA$3:$AC$187,3,FALSE),"nincs főkönyvi számla")</f>
        <v>053211 -  Informatikai szolgáltatások igénybevétele előirányzata</v>
      </c>
      <c r="R495" t="str">
        <f>IFERROR(VLOOKUP(K495,PAR!$V$3:$X$438,3,FALSE),"000000 - Nincs COFOG")</f>
        <v>000000 - Nincs COFOG</v>
      </c>
      <c r="S495">
        <f t="shared" si="145"/>
        <v>3479000</v>
      </c>
      <c r="T495">
        <f t="shared" si="146"/>
        <v>3479000</v>
      </c>
      <c r="U495" t="str">
        <f>IF('906MP'!J195&gt;0,CONCATENATE('906MP'!J195," - ",'906MP'!P195,", ",'906MP'!E195),"nincs megjegyzés")</f>
        <v>2025-01-01 - eredeti ei, 2025/EEI-394031/1</v>
      </c>
      <c r="V495" t="str">
        <f t="shared" si="133"/>
        <v>61P394031053</v>
      </c>
      <c r="W495" t="str">
        <f t="shared" si="134"/>
        <v>61P39403105</v>
      </c>
      <c r="X495" t="str">
        <f t="shared" si="135"/>
        <v>P394031053211</v>
      </c>
      <c r="Y495" t="str">
        <f t="shared" si="136"/>
        <v>61053211</v>
      </c>
      <c r="Z495" t="str">
        <f t="shared" si="147"/>
        <v>(KÖT)053211</v>
      </c>
      <c r="AA495" t="str">
        <f t="shared" si="137"/>
        <v>61053</v>
      </c>
      <c r="AB495" t="str">
        <f t="shared" si="138"/>
        <v>(KÖT)053</v>
      </c>
      <c r="AC495" t="str">
        <f t="shared" si="139"/>
        <v>61P394031053211</v>
      </c>
      <c r="AD495" t="str">
        <f t="shared" si="140"/>
        <v>P394031053211(KÖT)</v>
      </c>
      <c r="AE495" t="str">
        <f t="shared" si="141"/>
        <v>61P394031053</v>
      </c>
      <c r="AF495" t="str">
        <f t="shared" si="142"/>
        <v>P394031053(KÖT)</v>
      </c>
      <c r="AG495" t="str">
        <f t="shared" si="148"/>
        <v>61P39403105321112100</v>
      </c>
      <c r="AH495" t="str">
        <f t="shared" si="149"/>
        <v>P394031(KÖT)05321112100</v>
      </c>
      <c r="AI495" t="str">
        <f t="shared" si="150"/>
        <v>61P39403105312100</v>
      </c>
      <c r="AJ495" t="str">
        <f t="shared" si="151"/>
        <v>P394031053(KÖT)12100</v>
      </c>
    </row>
    <row r="496" spans="1:36" x14ac:dyDescent="0.25">
      <c r="A496" s="325" t="str">
        <f>CONCATENATE("P",'906MP'!M196)</f>
        <v>P394031</v>
      </c>
      <c r="B496">
        <f>'906MP'!H196</f>
        <v>61</v>
      </c>
      <c r="C496" t="str">
        <f>'906MP'!J196</f>
        <v>2025-01-01</v>
      </c>
      <c r="D496" t="str">
        <f>'906MP'!P196</f>
        <v>eredeti ei</v>
      </c>
      <c r="E496">
        <f>'906MP'!X196</f>
        <v>924000</v>
      </c>
      <c r="F496" t="str">
        <f t="shared" si="143"/>
        <v>05</v>
      </c>
      <c r="G496" t="str">
        <f t="shared" si="144"/>
        <v>053</v>
      </c>
      <c r="H496" t="str">
        <f>'906MP'!Y196</f>
        <v>053221</v>
      </c>
      <c r="I496" t="str">
        <f>'906MP'!AK196</f>
        <v>2025/EEI-394031/1</v>
      </c>
      <c r="J496" t="str">
        <f>'906MP'!T196</f>
        <v>(KÖT)</v>
      </c>
      <c r="K496" t="str">
        <f>'906MP'!AJ196</f>
        <v/>
      </c>
      <c r="L496" t="str">
        <f>'906MP'!U196</f>
        <v>12100</v>
      </c>
      <c r="M496" s="322" t="str">
        <f>IFERROR(VLOOKUP(A496,PAR!$D$3:$E$53,2,FALSE),"nincs szervezet")</f>
        <v>Nagymarosi Polgármesteri Hivatal</v>
      </c>
      <c r="N496" s="322" t="str">
        <f>VLOOKUP(F496,PAR!$R$3:$S$5,2,FALSE)</f>
        <v>2 - Kiadás</v>
      </c>
      <c r="O496" t="str">
        <f>IFERROR(VLOOKUP(J496,PAR!$O$3:$P$5,2,FALSE),"nincs feladat")</f>
        <v>1 - (KÖT)</v>
      </c>
      <c r="P496" t="str">
        <f>IFERROR(VLOOKUP(G496,PAR!$J$2:$M$19,4),"nincs rovat")</f>
        <v>K3 - Dologi kiadások</v>
      </c>
      <c r="Q496" t="str">
        <f>IF(H496&gt;0,VLOOKUP(H496,PAR!$AA$3:$AC$187,3,FALSE),"nincs főkönyvi számla")</f>
        <v>053221 -  Egyéb kommunikációs szolgáltatások előirányzata</v>
      </c>
      <c r="R496" t="str">
        <f>IFERROR(VLOOKUP(K496,PAR!$V$3:$X$438,3,FALSE),"000000 - Nincs COFOG")</f>
        <v>000000 - Nincs COFOG</v>
      </c>
      <c r="S496">
        <f t="shared" si="145"/>
        <v>924000</v>
      </c>
      <c r="T496">
        <f t="shared" si="146"/>
        <v>924000</v>
      </c>
      <c r="U496" t="str">
        <f>IF('906MP'!J196&gt;0,CONCATENATE('906MP'!J196," - ",'906MP'!P196,", ",'906MP'!E196),"nincs megjegyzés")</f>
        <v>2025-01-01 - eredeti ei, 2025/EEI-394031/1</v>
      </c>
      <c r="V496" t="str">
        <f t="shared" si="133"/>
        <v>61P394031053</v>
      </c>
      <c r="W496" t="str">
        <f t="shared" si="134"/>
        <v>61P39403105</v>
      </c>
      <c r="X496" t="str">
        <f t="shared" si="135"/>
        <v>P394031053221</v>
      </c>
      <c r="Y496" t="str">
        <f t="shared" si="136"/>
        <v>61053221</v>
      </c>
      <c r="Z496" t="str">
        <f t="shared" si="147"/>
        <v>(KÖT)053221</v>
      </c>
      <c r="AA496" t="str">
        <f t="shared" si="137"/>
        <v>61053</v>
      </c>
      <c r="AB496" t="str">
        <f t="shared" si="138"/>
        <v>(KÖT)053</v>
      </c>
      <c r="AC496" t="str">
        <f t="shared" si="139"/>
        <v>61P394031053221</v>
      </c>
      <c r="AD496" t="str">
        <f t="shared" si="140"/>
        <v>P394031053221(KÖT)</v>
      </c>
      <c r="AE496" t="str">
        <f t="shared" si="141"/>
        <v>61P394031053</v>
      </c>
      <c r="AF496" t="str">
        <f t="shared" si="142"/>
        <v>P394031053(KÖT)</v>
      </c>
      <c r="AG496" t="str">
        <f t="shared" si="148"/>
        <v>61P39403105322112100</v>
      </c>
      <c r="AH496" t="str">
        <f t="shared" si="149"/>
        <v>P394031(KÖT)05322112100</v>
      </c>
      <c r="AI496" t="str">
        <f t="shared" si="150"/>
        <v>61P39403105312100</v>
      </c>
      <c r="AJ496" t="str">
        <f t="shared" si="151"/>
        <v>P394031053(KÖT)12100</v>
      </c>
    </row>
    <row r="497" spans="1:36" x14ac:dyDescent="0.25">
      <c r="A497" s="325" t="str">
        <f>CONCATENATE("P",'906MP'!M197)</f>
        <v>P731113</v>
      </c>
      <c r="B497">
        <f>'906MP'!H197</f>
        <v>60</v>
      </c>
      <c r="C497" t="str">
        <f>'906MP'!J197</f>
        <v>2025-01-01</v>
      </c>
      <c r="D497" t="str">
        <f>'906MP'!P197</f>
        <v>módosított ei</v>
      </c>
      <c r="E497">
        <f>'906MP'!X197</f>
        <v>-83598</v>
      </c>
      <c r="F497" t="str">
        <f t="shared" si="143"/>
        <v>05</v>
      </c>
      <c r="G497" t="str">
        <f t="shared" si="144"/>
        <v>055</v>
      </c>
      <c r="H497" t="str">
        <f>'906MP'!Y197</f>
        <v>055131</v>
      </c>
      <c r="I497" t="str">
        <f>'906MP'!AK197</f>
        <v>2025/MEI-731113/39</v>
      </c>
      <c r="J497" t="str">
        <f>'906MP'!T197</f>
        <v>(KÖT)</v>
      </c>
      <c r="K497" t="str">
        <f>'906MP'!AJ197</f>
        <v/>
      </c>
      <c r="L497" t="str">
        <f>'906MP'!U197</f>
        <v>11100</v>
      </c>
      <c r="M497" s="322" t="str">
        <f>IFERROR(VLOOKUP(A497,PAR!$D$3:$E$53,2,FALSE),"nincs szervezet")</f>
        <v>Nagymaros Város Önkormányzata</v>
      </c>
      <c r="N497" s="322" t="str">
        <f>VLOOKUP(F497,PAR!$R$3:$S$5,2,FALSE)</f>
        <v>2 - Kiadás</v>
      </c>
      <c r="O497" t="str">
        <f>IFERROR(VLOOKUP(J497,PAR!$O$3:$P$5,2,FALSE),"nincs feladat")</f>
        <v>1 - (KÖT)</v>
      </c>
      <c r="P497" t="str">
        <f>IFERROR(VLOOKUP(G497,PAR!$J$2:$M$19,4),"nincs rovat")</f>
        <v>K5 - Egyéb működési célú kiadások</v>
      </c>
      <c r="Q497" t="str">
        <f>IF(H497&gt;0,VLOOKUP(H497,PAR!$AA$3:$AC$187,3,FALSE),"nincs főkönyvi számla")</f>
        <v>055131 -  Tartalékok előirányzata</v>
      </c>
      <c r="R497" t="str">
        <f>IFERROR(VLOOKUP(K497,PAR!$V$3:$X$438,3,FALSE),"000000 - Nincs COFOG")</f>
        <v>000000 - Nincs COFOG</v>
      </c>
      <c r="S497">
        <f t="shared" si="145"/>
        <v>-83598</v>
      </c>
      <c r="T497">
        <f t="shared" si="146"/>
        <v>-83598</v>
      </c>
      <c r="U497" t="str">
        <f>IF('906MP'!J197&gt;0,CONCATENATE('906MP'!J197," - ",'906MP'!P197,", ",'906MP'!E197),"nincs megjegyzés")</f>
        <v>2025-01-01 - módosított ei, 2025/MEI-731113/39</v>
      </c>
      <c r="V497" t="str">
        <f t="shared" si="133"/>
        <v>60P731113055</v>
      </c>
      <c r="W497" t="str">
        <f t="shared" si="134"/>
        <v>60P73111305</v>
      </c>
      <c r="X497" t="str">
        <f t="shared" si="135"/>
        <v>P731113055131</v>
      </c>
      <c r="Y497" t="str">
        <f t="shared" si="136"/>
        <v>60055131</v>
      </c>
      <c r="Z497" t="str">
        <f t="shared" si="147"/>
        <v>(KÖT)055131</v>
      </c>
      <c r="AA497" t="str">
        <f t="shared" si="137"/>
        <v>60055</v>
      </c>
      <c r="AB497" t="str">
        <f t="shared" si="138"/>
        <v>(KÖT)055</v>
      </c>
      <c r="AC497" t="str">
        <f t="shared" si="139"/>
        <v>60P731113055131</v>
      </c>
      <c r="AD497" t="str">
        <f t="shared" si="140"/>
        <v>P731113055131(KÖT)</v>
      </c>
      <c r="AE497" t="str">
        <f t="shared" si="141"/>
        <v>60P731113055</v>
      </c>
      <c r="AF497" t="str">
        <f t="shared" si="142"/>
        <v>P731113055(KÖT)</v>
      </c>
      <c r="AG497" t="str">
        <f t="shared" si="148"/>
        <v>60P73111305513111100</v>
      </c>
      <c r="AH497" t="str">
        <f t="shared" si="149"/>
        <v>P731113(KÖT)05513111100</v>
      </c>
      <c r="AI497" t="str">
        <f t="shared" si="150"/>
        <v>60P73111305511100</v>
      </c>
      <c r="AJ497" t="str">
        <f t="shared" si="151"/>
        <v>P731113055(KÖT)11100</v>
      </c>
    </row>
    <row r="498" spans="1:36" x14ac:dyDescent="0.25">
      <c r="A498" s="325" t="str">
        <f>CONCATENATE("P",'906MP'!M198)</f>
        <v>P394031</v>
      </c>
      <c r="B498">
        <f>'906MP'!H198</f>
        <v>61</v>
      </c>
      <c r="C498" t="str">
        <f>'906MP'!J198</f>
        <v>2025-01-01</v>
      </c>
      <c r="D498" t="str">
        <f>'906MP'!P198</f>
        <v>eredeti ei</v>
      </c>
      <c r="E498">
        <f>'906MP'!X198</f>
        <v>1620000</v>
      </c>
      <c r="F498" t="str">
        <f t="shared" si="143"/>
        <v>05</v>
      </c>
      <c r="G498" t="str">
        <f t="shared" si="144"/>
        <v>053</v>
      </c>
      <c r="H498" t="str">
        <f>'906MP'!Y198</f>
        <v>0533111</v>
      </c>
      <c r="I498" t="str">
        <f>'906MP'!AK198</f>
        <v>2025/EEI-394031/1</v>
      </c>
      <c r="J498" t="str">
        <f>'906MP'!T198</f>
        <v>(KÖT)</v>
      </c>
      <c r="K498" t="str">
        <f>'906MP'!AJ198</f>
        <v/>
      </c>
      <c r="L498" t="str">
        <f>'906MP'!U198</f>
        <v>12100</v>
      </c>
      <c r="M498" s="322" t="str">
        <f>IFERROR(VLOOKUP(A498,PAR!$D$3:$E$53,2,FALSE),"nincs szervezet")</f>
        <v>Nagymarosi Polgármesteri Hivatal</v>
      </c>
      <c r="N498" s="322" t="str">
        <f>VLOOKUP(F498,PAR!$R$3:$S$5,2,FALSE)</f>
        <v>2 - Kiadás</v>
      </c>
      <c r="O498" t="str">
        <f>IFERROR(VLOOKUP(J498,PAR!$O$3:$P$5,2,FALSE),"nincs feladat")</f>
        <v>1 - (KÖT)</v>
      </c>
      <c r="P498" t="str">
        <f>IFERROR(VLOOKUP(G498,PAR!$J$2:$M$19,4),"nincs rovat")</f>
        <v>K3 - Dologi kiadások</v>
      </c>
      <c r="Q498" t="str">
        <f>IF(H498&gt;0,VLOOKUP(H498,PAR!$AA$3:$AC$187,3,FALSE),"nincs főkönyvi számla")</f>
        <v>0533111 -  Villamosenergia szolgáltatás díja előirányzata</v>
      </c>
      <c r="R498" t="str">
        <f>IFERROR(VLOOKUP(K498,PAR!$V$3:$X$438,3,FALSE),"000000 - Nincs COFOG")</f>
        <v>000000 - Nincs COFOG</v>
      </c>
      <c r="S498">
        <f t="shared" si="145"/>
        <v>1620000</v>
      </c>
      <c r="T498">
        <f t="shared" si="146"/>
        <v>1620000</v>
      </c>
      <c r="U498" t="str">
        <f>IF('906MP'!J198&gt;0,CONCATENATE('906MP'!J198," - ",'906MP'!P198,", ",'906MP'!E198),"nincs megjegyzés")</f>
        <v>2025-01-01 - eredeti ei, 2025/EEI-394031/1</v>
      </c>
      <c r="V498" t="str">
        <f t="shared" si="133"/>
        <v>61P394031053</v>
      </c>
      <c r="W498" t="str">
        <f t="shared" si="134"/>
        <v>61P39403105</v>
      </c>
      <c r="X498" t="str">
        <f t="shared" si="135"/>
        <v>P3940310533111</v>
      </c>
      <c r="Y498" t="str">
        <f t="shared" si="136"/>
        <v>610533111</v>
      </c>
      <c r="Z498" t="str">
        <f t="shared" si="147"/>
        <v>(KÖT)0533111</v>
      </c>
      <c r="AA498" t="str">
        <f t="shared" si="137"/>
        <v>61053</v>
      </c>
      <c r="AB498" t="str">
        <f t="shared" si="138"/>
        <v>(KÖT)053</v>
      </c>
      <c r="AC498" t="str">
        <f t="shared" si="139"/>
        <v>61P3940310533111</v>
      </c>
      <c r="AD498" t="str">
        <f t="shared" si="140"/>
        <v>P3940310533111(KÖT)</v>
      </c>
      <c r="AE498" t="str">
        <f t="shared" si="141"/>
        <v>61P394031053</v>
      </c>
      <c r="AF498" t="str">
        <f t="shared" si="142"/>
        <v>P394031053(KÖT)</v>
      </c>
      <c r="AG498" t="str">
        <f t="shared" si="148"/>
        <v>61P394031053311112100</v>
      </c>
      <c r="AH498" t="str">
        <f t="shared" si="149"/>
        <v>P394031(KÖT)053311112100</v>
      </c>
      <c r="AI498" t="str">
        <f t="shared" si="150"/>
        <v>61P39403105312100</v>
      </c>
      <c r="AJ498" t="str">
        <f t="shared" si="151"/>
        <v>P394031053(KÖT)12100</v>
      </c>
    </row>
    <row r="499" spans="1:36" x14ac:dyDescent="0.25">
      <c r="A499" s="325" t="str">
        <f>CONCATENATE("P",'906MP'!M199)</f>
        <v>P394031</v>
      </c>
      <c r="B499">
        <f>'906MP'!H199</f>
        <v>61</v>
      </c>
      <c r="C499" t="str">
        <f>'906MP'!J199</f>
        <v>2025-01-01</v>
      </c>
      <c r="D499" t="str">
        <f>'906MP'!P199</f>
        <v>eredeti ei</v>
      </c>
      <c r="E499">
        <f>'906MP'!X199</f>
        <v>2640000</v>
      </c>
      <c r="F499" t="str">
        <f t="shared" si="143"/>
        <v>05</v>
      </c>
      <c r="G499" t="str">
        <f t="shared" si="144"/>
        <v>053</v>
      </c>
      <c r="H499" t="str">
        <f>'906MP'!Y199</f>
        <v>0533121</v>
      </c>
      <c r="I499" t="str">
        <f>'906MP'!AK199</f>
        <v>2025/EEI-394031/1</v>
      </c>
      <c r="J499" t="str">
        <f>'906MP'!T199</f>
        <v>(KÖT)</v>
      </c>
      <c r="K499" t="str">
        <f>'906MP'!AJ199</f>
        <v/>
      </c>
      <c r="L499" t="str">
        <f>'906MP'!U199</f>
        <v>12100</v>
      </c>
      <c r="M499" s="322" t="str">
        <f>IFERROR(VLOOKUP(A499,PAR!$D$3:$E$53,2,FALSE),"nincs szervezet")</f>
        <v>Nagymarosi Polgármesteri Hivatal</v>
      </c>
      <c r="N499" s="322" t="str">
        <f>VLOOKUP(F499,PAR!$R$3:$S$5,2,FALSE)</f>
        <v>2 - Kiadás</v>
      </c>
      <c r="O499" t="str">
        <f>IFERROR(VLOOKUP(J499,PAR!$O$3:$P$5,2,FALSE),"nincs feladat")</f>
        <v>1 - (KÖT)</v>
      </c>
      <c r="P499" t="str">
        <f>IFERROR(VLOOKUP(G499,PAR!$J$2:$M$19,4),"nincs rovat")</f>
        <v>K3 - Dologi kiadások</v>
      </c>
      <c r="Q499" t="str">
        <f>IF(H499&gt;0,VLOOKUP(H499,PAR!$AA$3:$AC$187,3,FALSE),"nincs főkönyvi számla")</f>
        <v>0533121 -  Gázenergia szolgáltatás díja előirányzata</v>
      </c>
      <c r="R499" t="str">
        <f>IFERROR(VLOOKUP(K499,PAR!$V$3:$X$438,3,FALSE),"000000 - Nincs COFOG")</f>
        <v>000000 - Nincs COFOG</v>
      </c>
      <c r="S499">
        <f t="shared" si="145"/>
        <v>2640000</v>
      </c>
      <c r="T499">
        <f t="shared" si="146"/>
        <v>2640000</v>
      </c>
      <c r="U499" t="str">
        <f>IF('906MP'!J199&gt;0,CONCATENATE('906MP'!J199," - ",'906MP'!P199,", ",'906MP'!E199),"nincs megjegyzés")</f>
        <v>2025-01-01 - eredeti ei, 2025/EEI-394031/1</v>
      </c>
      <c r="V499" t="str">
        <f t="shared" si="133"/>
        <v>61P394031053</v>
      </c>
      <c r="W499" t="str">
        <f t="shared" si="134"/>
        <v>61P39403105</v>
      </c>
      <c r="X499" t="str">
        <f t="shared" si="135"/>
        <v>P3940310533121</v>
      </c>
      <c r="Y499" t="str">
        <f t="shared" si="136"/>
        <v>610533121</v>
      </c>
      <c r="Z499" t="str">
        <f t="shared" si="147"/>
        <v>(KÖT)0533121</v>
      </c>
      <c r="AA499" t="str">
        <f t="shared" si="137"/>
        <v>61053</v>
      </c>
      <c r="AB499" t="str">
        <f t="shared" si="138"/>
        <v>(KÖT)053</v>
      </c>
      <c r="AC499" t="str">
        <f t="shared" si="139"/>
        <v>61P3940310533121</v>
      </c>
      <c r="AD499" t="str">
        <f t="shared" si="140"/>
        <v>P3940310533121(KÖT)</v>
      </c>
      <c r="AE499" t="str">
        <f t="shared" si="141"/>
        <v>61P394031053</v>
      </c>
      <c r="AF499" t="str">
        <f t="shared" si="142"/>
        <v>P394031053(KÖT)</v>
      </c>
      <c r="AG499" t="str">
        <f t="shared" si="148"/>
        <v>61P394031053312112100</v>
      </c>
      <c r="AH499" t="str">
        <f t="shared" si="149"/>
        <v>P394031(KÖT)053312112100</v>
      </c>
      <c r="AI499" t="str">
        <f t="shared" si="150"/>
        <v>61P39403105312100</v>
      </c>
      <c r="AJ499" t="str">
        <f t="shared" si="151"/>
        <v>P394031053(KÖT)12100</v>
      </c>
    </row>
    <row r="500" spans="1:36" x14ac:dyDescent="0.25">
      <c r="A500" s="325" t="str">
        <f>CONCATENATE("P",'906MP'!M200)</f>
        <v>P394031</v>
      </c>
      <c r="B500">
        <f>'906MP'!H200</f>
        <v>61</v>
      </c>
      <c r="C500" t="str">
        <f>'906MP'!J200</f>
        <v>2025-01-01</v>
      </c>
      <c r="D500" t="str">
        <f>'906MP'!P200</f>
        <v>eredeti ei</v>
      </c>
      <c r="E500">
        <f>'906MP'!X200</f>
        <v>240000</v>
      </c>
      <c r="F500" t="str">
        <f t="shared" si="143"/>
        <v>05</v>
      </c>
      <c r="G500" t="str">
        <f t="shared" si="144"/>
        <v>053</v>
      </c>
      <c r="H500" t="str">
        <f>'906MP'!Y200</f>
        <v>0533141</v>
      </c>
      <c r="I500" t="str">
        <f>'906MP'!AK200</f>
        <v>2025/EEI-394031/1</v>
      </c>
      <c r="J500" t="str">
        <f>'906MP'!T200</f>
        <v>(KÖT)</v>
      </c>
      <c r="K500" t="str">
        <f>'906MP'!AJ200</f>
        <v/>
      </c>
      <c r="L500" t="str">
        <f>'906MP'!U200</f>
        <v>12100</v>
      </c>
      <c r="M500" s="322" t="str">
        <f>IFERROR(VLOOKUP(A500,PAR!$D$3:$E$53,2,FALSE),"nincs szervezet")</f>
        <v>Nagymarosi Polgármesteri Hivatal</v>
      </c>
      <c r="N500" s="322" t="str">
        <f>VLOOKUP(F500,PAR!$R$3:$S$5,2,FALSE)</f>
        <v>2 - Kiadás</v>
      </c>
      <c r="O500" t="str">
        <f>IFERROR(VLOOKUP(J500,PAR!$O$3:$P$5,2,FALSE),"nincs feladat")</f>
        <v>1 - (KÖT)</v>
      </c>
      <c r="P500" t="str">
        <f>IFERROR(VLOOKUP(G500,PAR!$J$2:$M$19,4),"nincs rovat")</f>
        <v>K3 - Dologi kiadások</v>
      </c>
      <c r="Q500" t="str">
        <f>IF(H500&gt;0,VLOOKUP(H500,PAR!$AA$3:$AC$187,3,FALSE),"nincs főkönyvi számla")</f>
        <v>0533141 -  Víz- és csatorna szolgáltatás díja előirányzata</v>
      </c>
      <c r="R500" t="str">
        <f>IFERROR(VLOOKUP(K500,PAR!$V$3:$X$438,3,FALSE),"000000 - Nincs COFOG")</f>
        <v>000000 - Nincs COFOG</v>
      </c>
      <c r="S500">
        <f t="shared" si="145"/>
        <v>240000</v>
      </c>
      <c r="T500">
        <f t="shared" si="146"/>
        <v>240000</v>
      </c>
      <c r="U500" t="str">
        <f>IF('906MP'!J200&gt;0,CONCATENATE('906MP'!J200," - ",'906MP'!P200,", ",'906MP'!E200),"nincs megjegyzés")</f>
        <v>2025-01-01 - eredeti ei, 2025/EEI-394031/1</v>
      </c>
      <c r="V500" t="str">
        <f t="shared" si="133"/>
        <v>61P394031053</v>
      </c>
      <c r="W500" t="str">
        <f t="shared" si="134"/>
        <v>61P39403105</v>
      </c>
      <c r="X500" t="str">
        <f t="shared" si="135"/>
        <v>P3940310533141</v>
      </c>
      <c r="Y500" t="str">
        <f t="shared" si="136"/>
        <v>610533141</v>
      </c>
      <c r="Z500" t="str">
        <f t="shared" si="147"/>
        <v>(KÖT)0533141</v>
      </c>
      <c r="AA500" t="str">
        <f t="shared" si="137"/>
        <v>61053</v>
      </c>
      <c r="AB500" t="str">
        <f t="shared" si="138"/>
        <v>(KÖT)053</v>
      </c>
      <c r="AC500" t="str">
        <f t="shared" si="139"/>
        <v>61P3940310533141</v>
      </c>
      <c r="AD500" t="str">
        <f t="shared" si="140"/>
        <v>P3940310533141(KÖT)</v>
      </c>
      <c r="AE500" t="str">
        <f t="shared" si="141"/>
        <v>61P394031053</v>
      </c>
      <c r="AF500" t="str">
        <f t="shared" si="142"/>
        <v>P394031053(KÖT)</v>
      </c>
      <c r="AG500" t="str">
        <f t="shared" si="148"/>
        <v>61P394031053314112100</v>
      </c>
      <c r="AH500" t="str">
        <f t="shared" si="149"/>
        <v>P394031(KÖT)053314112100</v>
      </c>
      <c r="AI500" t="str">
        <f t="shared" si="150"/>
        <v>61P39403105312100</v>
      </c>
      <c r="AJ500" t="str">
        <f t="shared" si="151"/>
        <v>P394031053(KÖT)12100</v>
      </c>
    </row>
    <row r="501" spans="1:36" x14ac:dyDescent="0.25">
      <c r="A501" s="325" t="str">
        <f>CONCATENATE("P",'906MP'!M201)</f>
        <v>P394031</v>
      </c>
      <c r="B501">
        <f>'906MP'!H201</f>
        <v>61</v>
      </c>
      <c r="C501" t="str">
        <f>'906MP'!J201</f>
        <v>2025-01-01</v>
      </c>
      <c r="D501" t="str">
        <f>'906MP'!P201</f>
        <v>eredeti ei</v>
      </c>
      <c r="E501">
        <f>'906MP'!X201</f>
        <v>144000</v>
      </c>
      <c r="F501" t="str">
        <f t="shared" si="143"/>
        <v>05</v>
      </c>
      <c r="G501" t="str">
        <f t="shared" si="144"/>
        <v>053</v>
      </c>
      <c r="H501" t="str">
        <f>'906MP'!Y201</f>
        <v>053331</v>
      </c>
      <c r="I501" t="str">
        <f>'906MP'!AK201</f>
        <v>2025/EEI-394031/1</v>
      </c>
      <c r="J501" t="str">
        <f>'906MP'!T201</f>
        <v>(KÖT)</v>
      </c>
      <c r="K501" t="str">
        <f>'906MP'!AJ201</f>
        <v/>
      </c>
      <c r="L501" t="str">
        <f>'906MP'!U201</f>
        <v>12100</v>
      </c>
      <c r="M501" s="322" t="str">
        <f>IFERROR(VLOOKUP(A501,PAR!$D$3:$E$53,2,FALSE),"nincs szervezet")</f>
        <v>Nagymarosi Polgármesteri Hivatal</v>
      </c>
      <c r="N501" s="322" t="str">
        <f>VLOOKUP(F501,PAR!$R$3:$S$5,2,FALSE)</f>
        <v>2 - Kiadás</v>
      </c>
      <c r="O501" t="str">
        <f>IFERROR(VLOOKUP(J501,PAR!$O$3:$P$5,2,FALSE),"nincs feladat")</f>
        <v>1 - (KÖT)</v>
      </c>
      <c r="P501" t="str">
        <f>IFERROR(VLOOKUP(G501,PAR!$J$2:$M$19,4),"nincs rovat")</f>
        <v>K3 - Dologi kiadások</v>
      </c>
      <c r="Q501" t="str">
        <f>IF(H501&gt;0,VLOOKUP(H501,PAR!$AA$3:$AC$187,3,FALSE),"nincs főkönyvi számla")</f>
        <v>053331 -  Bérleti és lízing díjak előirányzata</v>
      </c>
      <c r="R501" t="str">
        <f>IFERROR(VLOOKUP(K501,PAR!$V$3:$X$438,3,FALSE),"000000 - Nincs COFOG")</f>
        <v>000000 - Nincs COFOG</v>
      </c>
      <c r="S501">
        <f t="shared" si="145"/>
        <v>144000</v>
      </c>
      <c r="T501">
        <f t="shared" si="146"/>
        <v>144000</v>
      </c>
      <c r="U501" t="str">
        <f>IF('906MP'!J201&gt;0,CONCATENATE('906MP'!J201," - ",'906MP'!P201,", ",'906MP'!E201),"nincs megjegyzés")</f>
        <v>2025-01-01 - eredeti ei, 2025/EEI-394031/1</v>
      </c>
      <c r="V501" t="str">
        <f t="shared" si="133"/>
        <v>61P394031053</v>
      </c>
      <c r="W501" t="str">
        <f t="shared" si="134"/>
        <v>61P39403105</v>
      </c>
      <c r="X501" t="str">
        <f t="shared" si="135"/>
        <v>P394031053331</v>
      </c>
      <c r="Y501" t="str">
        <f t="shared" si="136"/>
        <v>61053331</v>
      </c>
      <c r="Z501" t="str">
        <f t="shared" si="147"/>
        <v>(KÖT)053331</v>
      </c>
      <c r="AA501" t="str">
        <f t="shared" si="137"/>
        <v>61053</v>
      </c>
      <c r="AB501" t="str">
        <f t="shared" si="138"/>
        <v>(KÖT)053</v>
      </c>
      <c r="AC501" t="str">
        <f t="shared" si="139"/>
        <v>61P394031053331</v>
      </c>
      <c r="AD501" t="str">
        <f t="shared" si="140"/>
        <v>P394031053331(KÖT)</v>
      </c>
      <c r="AE501" t="str">
        <f t="shared" si="141"/>
        <v>61P394031053</v>
      </c>
      <c r="AF501" t="str">
        <f t="shared" si="142"/>
        <v>P394031053(KÖT)</v>
      </c>
      <c r="AG501" t="str">
        <f t="shared" si="148"/>
        <v>61P39403105333112100</v>
      </c>
      <c r="AH501" t="str">
        <f t="shared" si="149"/>
        <v>P394031(KÖT)05333112100</v>
      </c>
      <c r="AI501" t="str">
        <f t="shared" si="150"/>
        <v>61P39403105312100</v>
      </c>
      <c r="AJ501" t="str">
        <f t="shared" si="151"/>
        <v>P394031053(KÖT)12100</v>
      </c>
    </row>
    <row r="502" spans="1:36" x14ac:dyDescent="0.25">
      <c r="A502" s="325" t="str">
        <f>CONCATENATE("P",'906MP'!M202)</f>
        <v>P731113</v>
      </c>
      <c r="B502">
        <f>'906MP'!H202</f>
        <v>60</v>
      </c>
      <c r="C502" t="str">
        <f>'906MP'!J202</f>
        <v>2025-04-01</v>
      </c>
      <c r="D502" t="str">
        <f>'906MP'!P202</f>
        <v>módosított ei</v>
      </c>
      <c r="E502">
        <f>'906MP'!X202</f>
        <v>-2331</v>
      </c>
      <c r="F502" t="str">
        <f t="shared" si="143"/>
        <v>05</v>
      </c>
      <c r="G502" t="str">
        <f t="shared" si="144"/>
        <v>055</v>
      </c>
      <c r="H502" t="str">
        <f>'906MP'!Y202</f>
        <v>055131</v>
      </c>
      <c r="I502" t="str">
        <f>'906MP'!AK202</f>
        <v>2025/MEI-731113/40</v>
      </c>
      <c r="J502" t="str">
        <f>'906MP'!T202</f>
        <v>(KÖT)</v>
      </c>
      <c r="K502" t="str">
        <f>'906MP'!AJ202</f>
        <v/>
      </c>
      <c r="L502" t="str">
        <f>'906MP'!U202</f>
        <v>11100</v>
      </c>
      <c r="M502" s="322" t="str">
        <f>IFERROR(VLOOKUP(A502,PAR!$D$3:$E$53,2,FALSE),"nincs szervezet")</f>
        <v>Nagymaros Város Önkormányzata</v>
      </c>
      <c r="N502" s="322" t="str">
        <f>VLOOKUP(F502,PAR!$R$3:$S$5,2,FALSE)</f>
        <v>2 - Kiadás</v>
      </c>
      <c r="O502" t="str">
        <f>IFERROR(VLOOKUP(J502,PAR!$O$3:$P$5,2,FALSE),"nincs feladat")</f>
        <v>1 - (KÖT)</v>
      </c>
      <c r="P502" t="str">
        <f>IFERROR(VLOOKUP(G502,PAR!$J$2:$M$19,4),"nincs rovat")</f>
        <v>K5 - Egyéb működési célú kiadások</v>
      </c>
      <c r="Q502" t="str">
        <f>IF(H502&gt;0,VLOOKUP(H502,PAR!$AA$3:$AC$187,3,FALSE),"nincs főkönyvi számla")</f>
        <v>055131 -  Tartalékok előirányzata</v>
      </c>
      <c r="R502" t="str">
        <f>IFERROR(VLOOKUP(K502,PAR!$V$3:$X$438,3,FALSE),"000000 - Nincs COFOG")</f>
        <v>000000 - Nincs COFOG</v>
      </c>
      <c r="S502">
        <f t="shared" si="145"/>
        <v>-2331</v>
      </c>
      <c r="T502">
        <f t="shared" si="146"/>
        <v>-2331</v>
      </c>
      <c r="U502" t="str">
        <f>IF('906MP'!J202&gt;0,CONCATENATE('906MP'!J202," - ",'906MP'!P202,", ",'906MP'!E202),"nincs megjegyzés")</f>
        <v>2025-04-01 - módosított ei, 2025/MEI-731113/40</v>
      </c>
      <c r="V502" t="str">
        <f t="shared" si="133"/>
        <v>60P731113055</v>
      </c>
      <c r="W502" t="str">
        <f t="shared" si="134"/>
        <v>60P73111305</v>
      </c>
      <c r="X502" t="str">
        <f t="shared" si="135"/>
        <v>P731113055131</v>
      </c>
      <c r="Y502" t="str">
        <f t="shared" si="136"/>
        <v>60055131</v>
      </c>
      <c r="Z502" t="str">
        <f t="shared" si="147"/>
        <v>(KÖT)055131</v>
      </c>
      <c r="AA502" t="str">
        <f t="shared" si="137"/>
        <v>60055</v>
      </c>
      <c r="AB502" t="str">
        <f t="shared" si="138"/>
        <v>(KÖT)055</v>
      </c>
      <c r="AC502" t="str">
        <f t="shared" si="139"/>
        <v>60P731113055131</v>
      </c>
      <c r="AD502" t="str">
        <f t="shared" si="140"/>
        <v>P731113055131(KÖT)</v>
      </c>
      <c r="AE502" t="str">
        <f t="shared" si="141"/>
        <v>60P731113055</v>
      </c>
      <c r="AF502" t="str">
        <f t="shared" si="142"/>
        <v>P731113055(KÖT)</v>
      </c>
      <c r="AG502" t="str">
        <f t="shared" si="148"/>
        <v>60P73111305513111100</v>
      </c>
      <c r="AH502" t="str">
        <f t="shared" si="149"/>
        <v>P731113(KÖT)05513111100</v>
      </c>
      <c r="AI502" t="str">
        <f t="shared" si="150"/>
        <v>60P73111305511100</v>
      </c>
      <c r="AJ502" t="str">
        <f t="shared" si="151"/>
        <v>P731113055(KÖT)11100</v>
      </c>
    </row>
    <row r="503" spans="1:36" x14ac:dyDescent="0.25">
      <c r="A503" s="325" t="str">
        <f>CONCATENATE("P",'906MP'!M203)</f>
        <v>P731113</v>
      </c>
      <c r="B503">
        <f>'906MP'!H203</f>
        <v>60</v>
      </c>
      <c r="C503" t="str">
        <f>'906MP'!J203</f>
        <v>2025-05-01</v>
      </c>
      <c r="D503" t="str">
        <f>'906MP'!P203</f>
        <v>módosított ei</v>
      </c>
      <c r="E503">
        <f>'906MP'!X203</f>
        <v>-15000</v>
      </c>
      <c r="F503" t="str">
        <f t="shared" si="143"/>
        <v>05</v>
      </c>
      <c r="G503" t="str">
        <f t="shared" si="144"/>
        <v>055</v>
      </c>
      <c r="H503" t="str">
        <f>'906MP'!Y203</f>
        <v>055131</v>
      </c>
      <c r="I503" t="str">
        <f>'906MP'!AK203</f>
        <v>2025/MEI-731113/41</v>
      </c>
      <c r="J503" t="str">
        <f>'906MP'!T203</f>
        <v>(KÖT)</v>
      </c>
      <c r="K503" t="str">
        <f>'906MP'!AJ203</f>
        <v/>
      </c>
      <c r="L503" t="str">
        <f>'906MP'!U203</f>
        <v>11100</v>
      </c>
      <c r="M503" s="322" t="str">
        <f>IFERROR(VLOOKUP(A503,PAR!$D$3:$E$53,2,FALSE),"nincs szervezet")</f>
        <v>Nagymaros Város Önkormányzata</v>
      </c>
      <c r="N503" s="322" t="str">
        <f>VLOOKUP(F503,PAR!$R$3:$S$5,2,FALSE)</f>
        <v>2 - Kiadás</v>
      </c>
      <c r="O503" t="str">
        <f>IFERROR(VLOOKUP(J503,PAR!$O$3:$P$5,2,FALSE),"nincs feladat")</f>
        <v>1 - (KÖT)</v>
      </c>
      <c r="P503" t="str">
        <f>IFERROR(VLOOKUP(G503,PAR!$J$2:$M$19,4),"nincs rovat")</f>
        <v>K5 - Egyéb működési célú kiadások</v>
      </c>
      <c r="Q503" t="str">
        <f>IF(H503&gt;0,VLOOKUP(H503,PAR!$AA$3:$AC$187,3,FALSE),"nincs főkönyvi számla")</f>
        <v>055131 -  Tartalékok előirányzata</v>
      </c>
      <c r="R503" t="str">
        <f>IFERROR(VLOOKUP(K503,PAR!$V$3:$X$438,3,FALSE),"000000 - Nincs COFOG")</f>
        <v>000000 - Nincs COFOG</v>
      </c>
      <c r="S503">
        <f t="shared" si="145"/>
        <v>-15000</v>
      </c>
      <c r="T503">
        <f t="shared" si="146"/>
        <v>-15000</v>
      </c>
      <c r="U503" t="str">
        <f>IF('906MP'!J203&gt;0,CONCATENATE('906MP'!J203," - ",'906MP'!P203,", ",'906MP'!E203),"nincs megjegyzés")</f>
        <v>2025-05-01 - módosított ei, 2025/MEI-731113/41</v>
      </c>
      <c r="V503" t="str">
        <f t="shared" si="133"/>
        <v>60P731113055</v>
      </c>
      <c r="W503" t="str">
        <f t="shared" si="134"/>
        <v>60P73111305</v>
      </c>
      <c r="X503" t="str">
        <f t="shared" si="135"/>
        <v>P731113055131</v>
      </c>
      <c r="Y503" t="str">
        <f t="shared" si="136"/>
        <v>60055131</v>
      </c>
      <c r="Z503" t="str">
        <f t="shared" si="147"/>
        <v>(KÖT)055131</v>
      </c>
      <c r="AA503" t="str">
        <f t="shared" si="137"/>
        <v>60055</v>
      </c>
      <c r="AB503" t="str">
        <f t="shared" si="138"/>
        <v>(KÖT)055</v>
      </c>
      <c r="AC503" t="str">
        <f t="shared" si="139"/>
        <v>60P731113055131</v>
      </c>
      <c r="AD503" t="str">
        <f t="shared" si="140"/>
        <v>P731113055131(KÖT)</v>
      </c>
      <c r="AE503" t="str">
        <f t="shared" si="141"/>
        <v>60P731113055</v>
      </c>
      <c r="AF503" t="str">
        <f t="shared" si="142"/>
        <v>P731113055(KÖT)</v>
      </c>
      <c r="AG503" t="str">
        <f t="shared" si="148"/>
        <v>60P73111305513111100</v>
      </c>
      <c r="AH503" t="str">
        <f t="shared" si="149"/>
        <v>P731113(KÖT)05513111100</v>
      </c>
      <c r="AI503" t="str">
        <f t="shared" si="150"/>
        <v>60P73111305511100</v>
      </c>
      <c r="AJ503" t="str">
        <f t="shared" si="151"/>
        <v>P731113055(KÖT)11100</v>
      </c>
    </row>
    <row r="504" spans="1:36" x14ac:dyDescent="0.25">
      <c r="A504" s="325" t="str">
        <f>CONCATENATE("P",'906MP'!M204)</f>
        <v>P731113</v>
      </c>
      <c r="B504">
        <f>'906MP'!H204</f>
        <v>60</v>
      </c>
      <c r="C504" t="str">
        <f>'906MP'!J204</f>
        <v>2025-05-01</v>
      </c>
      <c r="D504" t="str">
        <f>'906MP'!P204</f>
        <v>módosított ei</v>
      </c>
      <c r="E504">
        <f>'906MP'!X204</f>
        <v>-9688</v>
      </c>
      <c r="F504" t="str">
        <f t="shared" si="143"/>
        <v>05</v>
      </c>
      <c r="G504" t="str">
        <f t="shared" si="144"/>
        <v>055</v>
      </c>
      <c r="H504" t="str">
        <f>'906MP'!Y204</f>
        <v>055131</v>
      </c>
      <c r="I504" t="str">
        <f>'906MP'!AK204</f>
        <v>2025/MEI-731113/42</v>
      </c>
      <c r="J504" t="str">
        <f>'906MP'!T204</f>
        <v>(KÖT)</v>
      </c>
      <c r="K504" t="str">
        <f>'906MP'!AJ204</f>
        <v/>
      </c>
      <c r="L504" t="str">
        <f>'906MP'!U204</f>
        <v>11100</v>
      </c>
      <c r="M504" s="322" t="str">
        <f>IFERROR(VLOOKUP(A504,PAR!$D$3:$E$53,2,FALSE),"nincs szervezet")</f>
        <v>Nagymaros Város Önkormányzata</v>
      </c>
      <c r="N504" s="322" t="str">
        <f>VLOOKUP(F504,PAR!$R$3:$S$5,2,FALSE)</f>
        <v>2 - Kiadás</v>
      </c>
      <c r="O504" t="str">
        <f>IFERROR(VLOOKUP(J504,PAR!$O$3:$P$5,2,FALSE),"nincs feladat")</f>
        <v>1 - (KÖT)</v>
      </c>
      <c r="P504" t="str">
        <f>IFERROR(VLOOKUP(G504,PAR!$J$2:$M$19,4),"nincs rovat")</f>
        <v>K5 - Egyéb működési célú kiadások</v>
      </c>
      <c r="Q504" t="str">
        <f>IF(H504&gt;0,VLOOKUP(H504,PAR!$AA$3:$AC$187,3,FALSE),"nincs főkönyvi számla")</f>
        <v>055131 -  Tartalékok előirányzata</v>
      </c>
      <c r="R504" t="str">
        <f>IFERROR(VLOOKUP(K504,PAR!$V$3:$X$438,3,FALSE),"000000 - Nincs COFOG")</f>
        <v>000000 - Nincs COFOG</v>
      </c>
      <c r="S504">
        <f t="shared" si="145"/>
        <v>-9688</v>
      </c>
      <c r="T504">
        <f t="shared" si="146"/>
        <v>-9688</v>
      </c>
      <c r="U504" t="str">
        <f>IF('906MP'!J204&gt;0,CONCATENATE('906MP'!J204," - ",'906MP'!P204,", ",'906MP'!E204),"nincs megjegyzés")</f>
        <v>2025-05-01 - módosított ei, 2025/MEI-731113/42</v>
      </c>
      <c r="V504" t="str">
        <f t="shared" si="133"/>
        <v>60P731113055</v>
      </c>
      <c r="W504" t="str">
        <f t="shared" si="134"/>
        <v>60P73111305</v>
      </c>
      <c r="X504" t="str">
        <f t="shared" si="135"/>
        <v>P731113055131</v>
      </c>
      <c r="Y504" t="str">
        <f t="shared" si="136"/>
        <v>60055131</v>
      </c>
      <c r="Z504" t="str">
        <f t="shared" si="147"/>
        <v>(KÖT)055131</v>
      </c>
      <c r="AA504" t="str">
        <f t="shared" si="137"/>
        <v>60055</v>
      </c>
      <c r="AB504" t="str">
        <f t="shared" si="138"/>
        <v>(KÖT)055</v>
      </c>
      <c r="AC504" t="str">
        <f t="shared" si="139"/>
        <v>60P731113055131</v>
      </c>
      <c r="AD504" t="str">
        <f t="shared" si="140"/>
        <v>P731113055131(KÖT)</v>
      </c>
      <c r="AE504" t="str">
        <f t="shared" si="141"/>
        <v>60P731113055</v>
      </c>
      <c r="AF504" t="str">
        <f t="shared" si="142"/>
        <v>P731113055(KÖT)</v>
      </c>
      <c r="AG504" t="str">
        <f t="shared" si="148"/>
        <v>60P73111305513111100</v>
      </c>
      <c r="AH504" t="str">
        <f t="shared" si="149"/>
        <v>P731113(KÖT)05513111100</v>
      </c>
      <c r="AI504" t="str">
        <f t="shared" si="150"/>
        <v>60P73111305511100</v>
      </c>
      <c r="AJ504" t="str">
        <f t="shared" si="151"/>
        <v>P731113055(KÖT)11100</v>
      </c>
    </row>
    <row r="505" spans="1:36" x14ac:dyDescent="0.25">
      <c r="A505" s="325" t="str">
        <f>CONCATENATE("P",'906MP'!M205)</f>
        <v>P731113</v>
      </c>
      <c r="B505">
        <f>'906MP'!H205</f>
        <v>60</v>
      </c>
      <c r="C505" t="str">
        <f>'906MP'!J205</f>
        <v>2025-01-01</v>
      </c>
      <c r="D505" t="str">
        <f>'906MP'!P205</f>
        <v>módosított ei</v>
      </c>
      <c r="E505">
        <f>'906MP'!X205</f>
        <v>-9947</v>
      </c>
      <c r="F505" t="str">
        <f t="shared" si="143"/>
        <v>05</v>
      </c>
      <c r="G505" t="str">
        <f t="shared" si="144"/>
        <v>055</v>
      </c>
      <c r="H505" t="str">
        <f>'906MP'!Y205</f>
        <v>055131</v>
      </c>
      <c r="I505" t="str">
        <f>'906MP'!AK205</f>
        <v>2025/MEI-731113/43</v>
      </c>
      <c r="J505" t="str">
        <f>'906MP'!T205</f>
        <v>(KÖT)</v>
      </c>
      <c r="K505" t="str">
        <f>'906MP'!AJ205</f>
        <v/>
      </c>
      <c r="L505" t="str">
        <f>'906MP'!U205</f>
        <v>11100</v>
      </c>
      <c r="M505" s="322" t="str">
        <f>IFERROR(VLOOKUP(A505,PAR!$D$3:$E$53,2,FALSE),"nincs szervezet")</f>
        <v>Nagymaros Város Önkormányzata</v>
      </c>
      <c r="N505" s="322" t="str">
        <f>VLOOKUP(F505,PAR!$R$3:$S$5,2,FALSE)</f>
        <v>2 - Kiadás</v>
      </c>
      <c r="O505" t="str">
        <f>IFERROR(VLOOKUP(J505,PAR!$O$3:$P$5,2,FALSE),"nincs feladat")</f>
        <v>1 - (KÖT)</v>
      </c>
      <c r="P505" t="str">
        <f>IFERROR(VLOOKUP(G505,PAR!$J$2:$M$19,4),"nincs rovat")</f>
        <v>K5 - Egyéb működési célú kiadások</v>
      </c>
      <c r="Q505" t="str">
        <f>IF(H505&gt;0,VLOOKUP(H505,PAR!$AA$3:$AC$187,3,FALSE),"nincs főkönyvi számla")</f>
        <v>055131 -  Tartalékok előirányzata</v>
      </c>
      <c r="R505" t="str">
        <f>IFERROR(VLOOKUP(K505,PAR!$V$3:$X$438,3,FALSE),"000000 - Nincs COFOG")</f>
        <v>000000 - Nincs COFOG</v>
      </c>
      <c r="S505">
        <f t="shared" si="145"/>
        <v>-9947</v>
      </c>
      <c r="T505">
        <f t="shared" si="146"/>
        <v>-9947</v>
      </c>
      <c r="U505" t="str">
        <f>IF('906MP'!J205&gt;0,CONCATENATE('906MP'!J205," - ",'906MP'!P205,", ",'906MP'!E205),"nincs megjegyzés")</f>
        <v>2025-01-01 - módosított ei, 2025/MEI-731113/43</v>
      </c>
      <c r="V505" t="str">
        <f t="shared" si="133"/>
        <v>60P731113055</v>
      </c>
      <c r="W505" t="str">
        <f t="shared" si="134"/>
        <v>60P73111305</v>
      </c>
      <c r="X505" t="str">
        <f t="shared" si="135"/>
        <v>P731113055131</v>
      </c>
      <c r="Y505" t="str">
        <f t="shared" si="136"/>
        <v>60055131</v>
      </c>
      <c r="Z505" t="str">
        <f t="shared" si="147"/>
        <v>(KÖT)055131</v>
      </c>
      <c r="AA505" t="str">
        <f t="shared" si="137"/>
        <v>60055</v>
      </c>
      <c r="AB505" t="str">
        <f t="shared" si="138"/>
        <v>(KÖT)055</v>
      </c>
      <c r="AC505" t="str">
        <f t="shared" si="139"/>
        <v>60P731113055131</v>
      </c>
      <c r="AD505" t="str">
        <f t="shared" si="140"/>
        <v>P731113055131(KÖT)</v>
      </c>
      <c r="AE505" t="str">
        <f t="shared" si="141"/>
        <v>60P731113055</v>
      </c>
      <c r="AF505" t="str">
        <f t="shared" si="142"/>
        <v>P731113055(KÖT)</v>
      </c>
      <c r="AG505" t="str">
        <f t="shared" si="148"/>
        <v>60P73111305513111100</v>
      </c>
      <c r="AH505" t="str">
        <f t="shared" si="149"/>
        <v>P731113(KÖT)05513111100</v>
      </c>
      <c r="AI505" t="str">
        <f t="shared" si="150"/>
        <v>60P73111305511100</v>
      </c>
      <c r="AJ505" t="str">
        <f t="shared" si="151"/>
        <v>P731113055(KÖT)11100</v>
      </c>
    </row>
    <row r="506" spans="1:36" x14ac:dyDescent="0.25">
      <c r="A506" s="325" t="str">
        <f>CONCATENATE("P",'906MP'!M206)</f>
        <v>P731113</v>
      </c>
      <c r="B506">
        <f>'906MP'!H206</f>
        <v>60</v>
      </c>
      <c r="C506" t="str">
        <f>'906MP'!J206</f>
        <v>2025-04-30</v>
      </c>
      <c r="D506" t="str">
        <f>'906MP'!P206</f>
        <v>módosított ei</v>
      </c>
      <c r="E506">
        <f>'906MP'!X206</f>
        <v>1771703</v>
      </c>
      <c r="F506" t="str">
        <f t="shared" si="143"/>
        <v>05</v>
      </c>
      <c r="G506" t="str">
        <f t="shared" si="144"/>
        <v>055</v>
      </c>
      <c r="H506" t="str">
        <f>'906MP'!Y206</f>
        <v>055131</v>
      </c>
      <c r="I506" t="str">
        <f>'906MP'!AK206</f>
        <v>2025/MEI-731113/44</v>
      </c>
      <c r="J506" t="str">
        <f>'906MP'!T206</f>
        <v>(KÖT)</v>
      </c>
      <c r="K506" t="str">
        <f>'906MP'!AJ206</f>
        <v/>
      </c>
      <c r="L506" t="str">
        <f>'906MP'!U206</f>
        <v>11100</v>
      </c>
      <c r="M506" s="322" t="str">
        <f>IFERROR(VLOOKUP(A506,PAR!$D$3:$E$53,2,FALSE),"nincs szervezet")</f>
        <v>Nagymaros Város Önkormányzata</v>
      </c>
      <c r="N506" s="322" t="str">
        <f>VLOOKUP(F506,PAR!$R$3:$S$5,2,FALSE)</f>
        <v>2 - Kiadás</v>
      </c>
      <c r="O506" t="str">
        <f>IFERROR(VLOOKUP(J506,PAR!$O$3:$P$5,2,FALSE),"nincs feladat")</f>
        <v>1 - (KÖT)</v>
      </c>
      <c r="P506" t="str">
        <f>IFERROR(VLOOKUP(G506,PAR!$J$2:$M$19,4),"nincs rovat")</f>
        <v>K5 - Egyéb működési célú kiadások</v>
      </c>
      <c r="Q506" t="str">
        <f>IF(H506&gt;0,VLOOKUP(H506,PAR!$AA$3:$AC$187,3,FALSE),"nincs főkönyvi számla")</f>
        <v>055131 -  Tartalékok előirányzata</v>
      </c>
      <c r="R506" t="str">
        <f>IFERROR(VLOOKUP(K506,PAR!$V$3:$X$438,3,FALSE),"000000 - Nincs COFOG")</f>
        <v>000000 - Nincs COFOG</v>
      </c>
      <c r="S506">
        <f t="shared" si="145"/>
        <v>1771703</v>
      </c>
      <c r="T506">
        <f t="shared" si="146"/>
        <v>1771703</v>
      </c>
      <c r="U506" t="str">
        <f>IF('906MP'!J206&gt;0,CONCATENATE('906MP'!J206," - ",'906MP'!P206,", ",'906MP'!E206),"nincs megjegyzés")</f>
        <v>2025-04-30 - módosított ei, 2025/MEI-731113/44</v>
      </c>
      <c r="V506" t="str">
        <f t="shared" si="133"/>
        <v>60P731113055</v>
      </c>
      <c r="W506" t="str">
        <f t="shared" si="134"/>
        <v>60P73111305</v>
      </c>
      <c r="X506" t="str">
        <f t="shared" si="135"/>
        <v>P731113055131</v>
      </c>
      <c r="Y506" t="str">
        <f t="shared" si="136"/>
        <v>60055131</v>
      </c>
      <c r="Z506" t="str">
        <f t="shared" si="147"/>
        <v>(KÖT)055131</v>
      </c>
      <c r="AA506" t="str">
        <f t="shared" si="137"/>
        <v>60055</v>
      </c>
      <c r="AB506" t="str">
        <f t="shared" si="138"/>
        <v>(KÖT)055</v>
      </c>
      <c r="AC506" t="str">
        <f t="shared" si="139"/>
        <v>60P731113055131</v>
      </c>
      <c r="AD506" t="str">
        <f t="shared" si="140"/>
        <v>P731113055131(KÖT)</v>
      </c>
      <c r="AE506" t="str">
        <f t="shared" si="141"/>
        <v>60P731113055</v>
      </c>
      <c r="AF506" t="str">
        <f t="shared" si="142"/>
        <v>P731113055(KÖT)</v>
      </c>
      <c r="AG506" t="str">
        <f t="shared" si="148"/>
        <v>60P73111305513111100</v>
      </c>
      <c r="AH506" t="str">
        <f t="shared" si="149"/>
        <v>P731113(KÖT)05513111100</v>
      </c>
      <c r="AI506" t="str">
        <f t="shared" si="150"/>
        <v>60P73111305511100</v>
      </c>
      <c r="AJ506" t="str">
        <f t="shared" si="151"/>
        <v>P731113055(KÖT)11100</v>
      </c>
    </row>
    <row r="507" spans="1:36" x14ac:dyDescent="0.25">
      <c r="A507" s="325" t="str">
        <f>CONCATENATE("P",'906MP'!M207)</f>
        <v>P731113</v>
      </c>
      <c r="B507">
        <f>'906MP'!H207</f>
        <v>60</v>
      </c>
      <c r="C507" t="str">
        <f>'906MP'!J207</f>
        <v>2025-04-30</v>
      </c>
      <c r="D507" t="str">
        <f>'906MP'!P207</f>
        <v>módosított ei</v>
      </c>
      <c r="E507">
        <f>'906MP'!X207</f>
        <v>-1771703</v>
      </c>
      <c r="F507" t="str">
        <f t="shared" si="143"/>
        <v>09</v>
      </c>
      <c r="G507" t="str">
        <f t="shared" si="144"/>
        <v>091</v>
      </c>
      <c r="H507" t="str">
        <f>'906MP'!Y207</f>
        <v>0911311</v>
      </c>
      <c r="I507" t="str">
        <f>'906MP'!AK207</f>
        <v>2025/MEI-731113/44</v>
      </c>
      <c r="J507" t="str">
        <f>'906MP'!T207</f>
        <v>(KÖT)</v>
      </c>
      <c r="K507" t="str">
        <f>'906MP'!AJ207</f>
        <v/>
      </c>
      <c r="L507" t="str">
        <f>'906MP'!U207</f>
        <v>91100</v>
      </c>
      <c r="M507" s="322" t="str">
        <f>IFERROR(VLOOKUP(A507,PAR!$D$3:$E$53,2,FALSE),"nincs szervezet")</f>
        <v>Nagymaros Város Önkormányzata</v>
      </c>
      <c r="N507" s="322" t="str">
        <f>VLOOKUP(F507,PAR!$R$3:$S$5,2,FALSE)</f>
        <v>1 - Bevétel</v>
      </c>
      <c r="O507" t="str">
        <f>IFERROR(VLOOKUP(J507,PAR!$O$3:$P$5,2,FALSE),"nincs feladat")</f>
        <v>1 - (KÖT)</v>
      </c>
      <c r="P507" t="str">
        <f>IFERROR(VLOOKUP(G507,PAR!$J$2:$M$19,4),"nincs rovat")</f>
        <v>B1 - Működési célú támogatások államháztartáson belülről</v>
      </c>
      <c r="Q507" t="str">
        <f>IF(H507&gt;0,VLOOKUP(H507,PAR!$AA$3:$AC$187,3,FALSE),"nincs főkönyvi számla")</f>
        <v>0911311 -  Települési önkormányzatok egyes szociális és gyermekjóléti feladatainak támogatása előirányzata</v>
      </c>
      <c r="R507" t="str">
        <f>IFERROR(VLOOKUP(K507,PAR!$V$3:$X$438,3,FALSE),"000000 - Nincs COFOG")</f>
        <v>000000 - Nincs COFOG</v>
      </c>
      <c r="S507">
        <f t="shared" si="145"/>
        <v>-1771703</v>
      </c>
      <c r="T507">
        <f t="shared" si="146"/>
        <v>1771703</v>
      </c>
      <c r="U507" t="str">
        <f>IF('906MP'!J207&gt;0,CONCATENATE('906MP'!J207," - ",'906MP'!P207,", ",'906MP'!E207),"nincs megjegyzés")</f>
        <v>2025-04-30 - módosított ei, 2025/MEI-731113/44</v>
      </c>
      <c r="V507" t="str">
        <f t="shared" si="133"/>
        <v>60P731113091</v>
      </c>
      <c r="W507" t="str">
        <f t="shared" si="134"/>
        <v>60P73111309</v>
      </c>
      <c r="X507" t="str">
        <f t="shared" si="135"/>
        <v>P7311130911311</v>
      </c>
      <c r="Y507" t="str">
        <f t="shared" si="136"/>
        <v>600911311</v>
      </c>
      <c r="Z507" t="str">
        <f t="shared" si="147"/>
        <v>(KÖT)0911311</v>
      </c>
      <c r="AA507" t="str">
        <f t="shared" si="137"/>
        <v>60091</v>
      </c>
      <c r="AB507" t="str">
        <f t="shared" si="138"/>
        <v>(KÖT)091</v>
      </c>
      <c r="AC507" t="str">
        <f t="shared" si="139"/>
        <v>60P7311130911311</v>
      </c>
      <c r="AD507" t="str">
        <f t="shared" si="140"/>
        <v>P7311130911311(KÖT)</v>
      </c>
      <c r="AE507" t="str">
        <f t="shared" si="141"/>
        <v>60P731113091</v>
      </c>
      <c r="AF507" t="str">
        <f t="shared" si="142"/>
        <v>P731113091(KÖT)</v>
      </c>
      <c r="AG507" t="str">
        <f t="shared" si="148"/>
        <v>60P731113091131191100</v>
      </c>
      <c r="AH507" t="str">
        <f t="shared" si="149"/>
        <v>P731113(KÖT)091131191100</v>
      </c>
      <c r="AI507" t="str">
        <f t="shared" si="150"/>
        <v>60P73111309191100</v>
      </c>
      <c r="AJ507" t="str">
        <f t="shared" si="151"/>
        <v>P731113091(KÖT)91100</v>
      </c>
    </row>
    <row r="508" spans="1:36" x14ac:dyDescent="0.25">
      <c r="A508" s="325" t="str">
        <f>CONCATENATE("P",'906MP'!M208)</f>
        <v>P731113</v>
      </c>
      <c r="B508">
        <f>'906MP'!H208</f>
        <v>60</v>
      </c>
      <c r="C508" t="str">
        <f>'906MP'!J208</f>
        <v>2025-03-01</v>
      </c>
      <c r="D508" t="str">
        <f>'906MP'!P208</f>
        <v>módosított ei</v>
      </c>
      <c r="E508">
        <f>'906MP'!X208</f>
        <v>-100000</v>
      </c>
      <c r="F508" t="str">
        <f t="shared" si="143"/>
        <v>05</v>
      </c>
      <c r="G508" t="str">
        <f t="shared" si="144"/>
        <v>051</v>
      </c>
      <c r="H508" t="str">
        <f>'906MP'!Y208</f>
        <v>0511011</v>
      </c>
      <c r="I508" t="str">
        <f>'906MP'!AK208</f>
        <v>2025/MEI-731113/18</v>
      </c>
      <c r="J508" t="str">
        <f>'906MP'!T208</f>
        <v>(KÖT)</v>
      </c>
      <c r="K508" t="str">
        <f>'906MP'!AJ208</f>
        <v/>
      </c>
      <c r="L508" t="str">
        <f>'906MP'!U208</f>
        <v>11100</v>
      </c>
      <c r="M508" s="322" t="str">
        <f>IFERROR(VLOOKUP(A508,PAR!$D$3:$E$53,2,FALSE),"nincs szervezet")</f>
        <v>Nagymaros Város Önkormányzata</v>
      </c>
      <c r="N508" s="322" t="str">
        <f>VLOOKUP(F508,PAR!$R$3:$S$5,2,FALSE)</f>
        <v>2 - Kiadás</v>
      </c>
      <c r="O508" t="str">
        <f>IFERROR(VLOOKUP(J508,PAR!$O$3:$P$5,2,FALSE),"nincs feladat")</f>
        <v>1 - (KÖT)</v>
      </c>
      <c r="P508" t="str">
        <f>IFERROR(VLOOKUP(G508,PAR!$J$2:$M$19,4),"nincs rovat")</f>
        <v>K1 - Személyi juttatások</v>
      </c>
      <c r="Q508" t="str">
        <f>IF(H508&gt;0,VLOOKUP(H508,PAR!$AA$3:$AC$187,3,FALSE),"nincs főkönyvi számla")</f>
        <v>0511011 -  Törvény szerinti illetmények, munkabérek előirányzata</v>
      </c>
      <c r="R508" t="str">
        <f>IFERROR(VLOOKUP(K508,PAR!$V$3:$X$438,3,FALSE),"000000 - Nincs COFOG")</f>
        <v>000000 - Nincs COFOG</v>
      </c>
      <c r="S508">
        <f t="shared" si="145"/>
        <v>-100000</v>
      </c>
      <c r="T508">
        <f t="shared" si="146"/>
        <v>-100000</v>
      </c>
      <c r="U508" t="str">
        <f>IF('906MP'!J208&gt;0,CONCATENATE('906MP'!J208," - ",'906MP'!P208,", ",'906MP'!E208),"nincs megjegyzés")</f>
        <v>2025-03-01 - módosított ei, 2025/MEI-731113/18</v>
      </c>
      <c r="V508" t="str">
        <f t="shared" si="133"/>
        <v>60P731113051</v>
      </c>
      <c r="W508" t="str">
        <f t="shared" si="134"/>
        <v>60P73111305</v>
      </c>
      <c r="X508" t="str">
        <f t="shared" si="135"/>
        <v>P7311130511011</v>
      </c>
      <c r="Y508" t="str">
        <f t="shared" si="136"/>
        <v>600511011</v>
      </c>
      <c r="Z508" t="str">
        <f t="shared" si="147"/>
        <v>(KÖT)0511011</v>
      </c>
      <c r="AA508" t="str">
        <f t="shared" si="137"/>
        <v>60051</v>
      </c>
      <c r="AB508" t="str">
        <f t="shared" si="138"/>
        <v>(KÖT)051</v>
      </c>
      <c r="AC508" t="str">
        <f t="shared" si="139"/>
        <v>60P7311130511011</v>
      </c>
      <c r="AD508" t="str">
        <f t="shared" si="140"/>
        <v>P7311130511011(KÖT)</v>
      </c>
      <c r="AE508" t="str">
        <f t="shared" si="141"/>
        <v>60P731113051</v>
      </c>
      <c r="AF508" t="str">
        <f t="shared" si="142"/>
        <v>P731113051(KÖT)</v>
      </c>
      <c r="AG508" t="str">
        <f t="shared" si="148"/>
        <v>60P731113051101111100</v>
      </c>
      <c r="AH508" t="str">
        <f t="shared" si="149"/>
        <v>P731113(KÖT)051101111100</v>
      </c>
      <c r="AI508" t="str">
        <f t="shared" si="150"/>
        <v>60P73111305111100</v>
      </c>
      <c r="AJ508" t="str">
        <f t="shared" si="151"/>
        <v>P731113051(KÖT)11100</v>
      </c>
    </row>
    <row r="509" spans="1:36" x14ac:dyDescent="0.25">
      <c r="A509" s="325" t="str">
        <f>CONCATENATE("P",'906MP'!M209)</f>
        <v>P731113</v>
      </c>
      <c r="B509">
        <f>'906MP'!H209</f>
        <v>60</v>
      </c>
      <c r="C509" t="str">
        <f>'906MP'!J209</f>
        <v>2025-01-01</v>
      </c>
      <c r="D509" t="str">
        <f>'906MP'!P209</f>
        <v>módosított ei</v>
      </c>
      <c r="E509">
        <f>'906MP'!X209</f>
        <v>-315161</v>
      </c>
      <c r="F509" t="str">
        <f t="shared" si="143"/>
        <v>09</v>
      </c>
      <c r="G509" t="str">
        <f t="shared" si="144"/>
        <v>098</v>
      </c>
      <c r="H509" t="str">
        <f>'906MP'!Y209</f>
        <v>098141</v>
      </c>
      <c r="I509" t="str">
        <f>'906MP'!AK209</f>
        <v>2025/MEI-731113/21</v>
      </c>
      <c r="J509" t="str">
        <f>'906MP'!T209</f>
        <v>(KÖT)</v>
      </c>
      <c r="K509" t="str">
        <f>'906MP'!AJ209</f>
        <v/>
      </c>
      <c r="L509" t="str">
        <f>'906MP'!U209</f>
        <v>91100</v>
      </c>
      <c r="M509" s="322" t="str">
        <f>IFERROR(VLOOKUP(A509,PAR!$D$3:$E$53,2,FALSE),"nincs szervezet")</f>
        <v>Nagymaros Város Önkormányzata</v>
      </c>
      <c r="N509" s="322" t="str">
        <f>VLOOKUP(F509,PAR!$R$3:$S$5,2,FALSE)</f>
        <v>1 - Bevétel</v>
      </c>
      <c r="O509" t="str">
        <f>IFERROR(VLOOKUP(J509,PAR!$O$3:$P$5,2,FALSE),"nincs feladat")</f>
        <v>1 - (KÖT)</v>
      </c>
      <c r="P509" t="str">
        <f>IFERROR(VLOOKUP(G509,PAR!$J$2:$M$19,4),"nincs rovat")</f>
        <v>B8 - Finanszírozási bevételek</v>
      </c>
      <c r="Q509" t="str">
        <f>IF(H509&gt;0,VLOOKUP(H509,PAR!$AA$3:$AC$187,3,FALSE),"nincs főkönyvi számla")</f>
        <v>098141 -  Államháztartáson belüli megelőlegezések előirányzata</v>
      </c>
      <c r="R509" t="str">
        <f>IFERROR(VLOOKUP(K509,PAR!$V$3:$X$438,3,FALSE),"000000 - Nincs COFOG")</f>
        <v>000000 - Nincs COFOG</v>
      </c>
      <c r="S509">
        <f t="shared" si="145"/>
        <v>-315161</v>
      </c>
      <c r="T509">
        <f t="shared" si="146"/>
        <v>315161</v>
      </c>
      <c r="U509" t="str">
        <f>IF('906MP'!J209&gt;0,CONCATENATE('906MP'!J209," - ",'906MP'!P209,", ",'906MP'!E209),"nincs megjegyzés")</f>
        <v>2025-01-01 - módosított ei, 2025/MEI-731113/21</v>
      </c>
      <c r="V509" t="str">
        <f t="shared" si="133"/>
        <v>60P731113098</v>
      </c>
      <c r="W509" t="str">
        <f t="shared" si="134"/>
        <v>60P73111309</v>
      </c>
      <c r="X509" t="str">
        <f t="shared" si="135"/>
        <v>P731113098141</v>
      </c>
      <c r="Y509" t="str">
        <f t="shared" si="136"/>
        <v>60098141</v>
      </c>
      <c r="Z509" t="str">
        <f t="shared" si="147"/>
        <v>(KÖT)098141</v>
      </c>
      <c r="AA509" t="str">
        <f t="shared" si="137"/>
        <v>60098</v>
      </c>
      <c r="AB509" t="str">
        <f t="shared" si="138"/>
        <v>(KÖT)098</v>
      </c>
      <c r="AC509" t="str">
        <f t="shared" si="139"/>
        <v>60P731113098141</v>
      </c>
      <c r="AD509" t="str">
        <f t="shared" si="140"/>
        <v>P731113098141(KÖT)</v>
      </c>
      <c r="AE509" t="str">
        <f t="shared" si="141"/>
        <v>60P731113098</v>
      </c>
      <c r="AF509" t="str">
        <f t="shared" si="142"/>
        <v>P731113098(KÖT)</v>
      </c>
      <c r="AG509" t="str">
        <f t="shared" si="148"/>
        <v>60P73111309814191100</v>
      </c>
      <c r="AH509" t="str">
        <f t="shared" si="149"/>
        <v>P731113(KÖT)09814191100</v>
      </c>
      <c r="AI509" t="str">
        <f t="shared" si="150"/>
        <v>60P73111309891100</v>
      </c>
      <c r="AJ509" t="str">
        <f t="shared" si="151"/>
        <v>P731113098(KÖT)91100</v>
      </c>
    </row>
    <row r="510" spans="1:36" x14ac:dyDescent="0.25">
      <c r="A510" s="325" t="str">
        <f>CONCATENATE("P",'906MP'!M210)</f>
        <v>P731113</v>
      </c>
      <c r="B510">
        <f>'906MP'!H210</f>
        <v>60</v>
      </c>
      <c r="C510" t="str">
        <f>'906MP'!J210</f>
        <v>2025-01-01</v>
      </c>
      <c r="D510" t="str">
        <f>'906MP'!P210</f>
        <v>módosított ei</v>
      </c>
      <c r="E510">
        <f>'906MP'!X210</f>
        <v>315161</v>
      </c>
      <c r="F510" t="str">
        <f t="shared" si="143"/>
        <v>05</v>
      </c>
      <c r="G510" t="str">
        <f t="shared" si="144"/>
        <v>059</v>
      </c>
      <c r="H510" t="str">
        <f>'906MP'!Y210</f>
        <v>059141</v>
      </c>
      <c r="I510" t="str">
        <f>'906MP'!AK210</f>
        <v>2025/MEI-731113/21</v>
      </c>
      <c r="J510" t="str">
        <f>'906MP'!T210</f>
        <v>(KÖT)</v>
      </c>
      <c r="K510" t="str">
        <f>'906MP'!AJ210</f>
        <v/>
      </c>
      <c r="L510" t="str">
        <f>'906MP'!U210</f>
        <v>11100</v>
      </c>
      <c r="M510" s="322" t="str">
        <f>IFERROR(VLOOKUP(A510,PAR!$D$3:$E$53,2,FALSE),"nincs szervezet")</f>
        <v>Nagymaros Város Önkormányzata</v>
      </c>
      <c r="N510" s="322" t="str">
        <f>VLOOKUP(F510,PAR!$R$3:$S$5,2,FALSE)</f>
        <v>2 - Kiadás</v>
      </c>
      <c r="O510" t="str">
        <f>IFERROR(VLOOKUP(J510,PAR!$O$3:$P$5,2,FALSE),"nincs feladat")</f>
        <v>1 - (KÖT)</v>
      </c>
      <c r="P510" t="str">
        <f>IFERROR(VLOOKUP(G510,PAR!$J$2:$M$19,4),"nincs rovat")</f>
        <v>K9 - Finanszírozási kiadások</v>
      </c>
      <c r="Q510" t="str">
        <f>IF(H510&gt;0,VLOOKUP(H510,PAR!$AA$3:$AC$187,3,FALSE),"nincs főkönyvi számla")</f>
        <v>059141 -  Államháztartáson belüli megelőlegezések visszafizetése előirányzata</v>
      </c>
      <c r="R510" t="str">
        <f>IFERROR(VLOOKUP(K510,PAR!$V$3:$X$438,3,FALSE),"000000 - Nincs COFOG")</f>
        <v>000000 - Nincs COFOG</v>
      </c>
      <c r="S510">
        <f t="shared" si="145"/>
        <v>315161</v>
      </c>
      <c r="T510">
        <f t="shared" si="146"/>
        <v>315161</v>
      </c>
      <c r="U510" t="str">
        <f>IF('906MP'!J210&gt;0,CONCATENATE('906MP'!J210," - ",'906MP'!P210,", ",'906MP'!E210),"nincs megjegyzés")</f>
        <v>2025-01-01 - módosított ei, 2025/MEI-731113/21</v>
      </c>
      <c r="V510" t="str">
        <f t="shared" si="133"/>
        <v>60P731113059</v>
      </c>
      <c r="W510" t="str">
        <f t="shared" si="134"/>
        <v>60P73111305</v>
      </c>
      <c r="X510" t="str">
        <f t="shared" si="135"/>
        <v>P731113059141</v>
      </c>
      <c r="Y510" t="str">
        <f t="shared" si="136"/>
        <v>60059141</v>
      </c>
      <c r="Z510" t="str">
        <f t="shared" si="147"/>
        <v>(KÖT)059141</v>
      </c>
      <c r="AA510" t="str">
        <f t="shared" si="137"/>
        <v>60059</v>
      </c>
      <c r="AB510" t="str">
        <f t="shared" si="138"/>
        <v>(KÖT)059</v>
      </c>
      <c r="AC510" t="str">
        <f t="shared" si="139"/>
        <v>60P731113059141</v>
      </c>
      <c r="AD510" t="str">
        <f t="shared" si="140"/>
        <v>P731113059141(KÖT)</v>
      </c>
      <c r="AE510" t="str">
        <f t="shared" si="141"/>
        <v>60P731113059</v>
      </c>
      <c r="AF510" t="str">
        <f t="shared" si="142"/>
        <v>P731113059(KÖT)</v>
      </c>
      <c r="AG510" t="str">
        <f t="shared" si="148"/>
        <v>60P73111305914111100</v>
      </c>
      <c r="AH510" t="str">
        <f t="shared" si="149"/>
        <v>P731113(KÖT)05914111100</v>
      </c>
      <c r="AI510" t="str">
        <f t="shared" si="150"/>
        <v>60P73111305911100</v>
      </c>
      <c r="AJ510" t="str">
        <f t="shared" si="151"/>
        <v>P731113059(KÖT)11100</v>
      </c>
    </row>
    <row r="511" spans="1:36" x14ac:dyDescent="0.25">
      <c r="A511" s="325" t="str">
        <f>CONCATENATE("P",'906MP'!M211)</f>
        <v>P731113</v>
      </c>
      <c r="B511">
        <f>'906MP'!H211</f>
        <v>60</v>
      </c>
      <c r="C511" t="str">
        <f>'906MP'!J211</f>
        <v>2025-01-01</v>
      </c>
      <c r="D511" t="str">
        <f>'906MP'!P211</f>
        <v>módosított ei</v>
      </c>
      <c r="E511">
        <f>'906MP'!X211</f>
        <v>3693</v>
      </c>
      <c r="F511" t="str">
        <f t="shared" si="143"/>
        <v>05</v>
      </c>
      <c r="G511" t="str">
        <f t="shared" si="144"/>
        <v>053</v>
      </c>
      <c r="H511" t="str">
        <f>'906MP'!Y211</f>
        <v>053111</v>
      </c>
      <c r="I511" t="str">
        <f>'906MP'!AK211</f>
        <v>2025/MEI-731113/22</v>
      </c>
      <c r="J511" t="str">
        <f>'906MP'!T211</f>
        <v>(KÖT)</v>
      </c>
      <c r="K511" t="str">
        <f>'906MP'!AJ211</f>
        <v/>
      </c>
      <c r="L511" t="str">
        <f>'906MP'!U211</f>
        <v>11100</v>
      </c>
      <c r="M511" s="322" t="str">
        <f>IFERROR(VLOOKUP(A511,PAR!$D$3:$E$53,2,FALSE),"nincs szervezet")</f>
        <v>Nagymaros Város Önkormányzata</v>
      </c>
      <c r="N511" s="322" t="str">
        <f>VLOOKUP(F511,PAR!$R$3:$S$5,2,FALSE)</f>
        <v>2 - Kiadás</v>
      </c>
      <c r="O511" t="str">
        <f>IFERROR(VLOOKUP(J511,PAR!$O$3:$P$5,2,FALSE),"nincs feladat")</f>
        <v>1 - (KÖT)</v>
      </c>
      <c r="P511" t="str">
        <f>IFERROR(VLOOKUP(G511,PAR!$J$2:$M$19,4),"nincs rovat")</f>
        <v>K3 - Dologi kiadások</v>
      </c>
      <c r="Q511" t="str">
        <f>IF(H511&gt;0,VLOOKUP(H511,PAR!$AA$3:$AC$187,3,FALSE),"nincs főkönyvi számla")</f>
        <v>053111 -  Szakmai anyagok beszerzése előirányzata</v>
      </c>
      <c r="R511" t="str">
        <f>IFERROR(VLOOKUP(K511,PAR!$V$3:$X$438,3,FALSE),"000000 - Nincs COFOG")</f>
        <v>000000 - Nincs COFOG</v>
      </c>
      <c r="S511">
        <f t="shared" si="145"/>
        <v>3693</v>
      </c>
      <c r="T511">
        <f t="shared" si="146"/>
        <v>3693</v>
      </c>
      <c r="U511" t="str">
        <f>IF('906MP'!J211&gt;0,CONCATENATE('906MP'!J211," - ",'906MP'!P211,", ",'906MP'!E211),"nincs megjegyzés")</f>
        <v>2025-01-01 - módosított ei, 2025/MEI-731113/22</v>
      </c>
      <c r="V511" t="str">
        <f t="shared" si="133"/>
        <v>60P731113053</v>
      </c>
      <c r="W511" t="str">
        <f t="shared" si="134"/>
        <v>60P73111305</v>
      </c>
      <c r="X511" t="str">
        <f t="shared" si="135"/>
        <v>P731113053111</v>
      </c>
      <c r="Y511" t="str">
        <f t="shared" si="136"/>
        <v>60053111</v>
      </c>
      <c r="Z511" t="str">
        <f t="shared" si="147"/>
        <v>(KÖT)053111</v>
      </c>
      <c r="AA511" t="str">
        <f t="shared" si="137"/>
        <v>60053</v>
      </c>
      <c r="AB511" t="str">
        <f t="shared" si="138"/>
        <v>(KÖT)053</v>
      </c>
      <c r="AC511" t="str">
        <f t="shared" si="139"/>
        <v>60P731113053111</v>
      </c>
      <c r="AD511" t="str">
        <f t="shared" si="140"/>
        <v>P731113053111(KÖT)</v>
      </c>
      <c r="AE511" t="str">
        <f t="shared" si="141"/>
        <v>60P731113053</v>
      </c>
      <c r="AF511" t="str">
        <f t="shared" si="142"/>
        <v>P731113053(KÖT)</v>
      </c>
      <c r="AG511" t="str">
        <f t="shared" si="148"/>
        <v>60P73111305311111100</v>
      </c>
      <c r="AH511" t="str">
        <f t="shared" si="149"/>
        <v>P731113(KÖT)05311111100</v>
      </c>
      <c r="AI511" t="str">
        <f t="shared" si="150"/>
        <v>60P73111305311100</v>
      </c>
      <c r="AJ511" t="str">
        <f t="shared" si="151"/>
        <v>P731113053(KÖT)11100</v>
      </c>
    </row>
    <row r="512" spans="1:36" x14ac:dyDescent="0.25">
      <c r="A512" s="325" t="str">
        <f>CONCATENATE("P",'906MP'!M212)</f>
        <v>P731113</v>
      </c>
      <c r="B512">
        <f>'906MP'!H212</f>
        <v>60</v>
      </c>
      <c r="C512" t="str">
        <f>'906MP'!J212</f>
        <v>2025-01-01</v>
      </c>
      <c r="D512" t="str">
        <f>'906MP'!P212</f>
        <v>módosított ei</v>
      </c>
      <c r="E512">
        <f>'906MP'!X212</f>
        <v>-3693</v>
      </c>
      <c r="F512" t="str">
        <f t="shared" si="143"/>
        <v>05</v>
      </c>
      <c r="G512" t="str">
        <f t="shared" si="144"/>
        <v>053</v>
      </c>
      <c r="H512" t="str">
        <f>'906MP'!Y212</f>
        <v>053121</v>
      </c>
      <c r="I512" t="str">
        <f>'906MP'!AK212</f>
        <v>2025/MEI-731113/22</v>
      </c>
      <c r="J512" t="str">
        <f>'906MP'!T212</f>
        <v>(KÖT)</v>
      </c>
      <c r="K512" t="str">
        <f>'906MP'!AJ212</f>
        <v/>
      </c>
      <c r="L512" t="str">
        <f>'906MP'!U212</f>
        <v>11100</v>
      </c>
      <c r="M512" s="322" t="str">
        <f>IFERROR(VLOOKUP(A512,PAR!$D$3:$E$53,2,FALSE),"nincs szervezet")</f>
        <v>Nagymaros Város Önkormányzata</v>
      </c>
      <c r="N512" s="322" t="str">
        <f>VLOOKUP(F512,PAR!$R$3:$S$5,2,FALSE)</f>
        <v>2 - Kiadás</v>
      </c>
      <c r="O512" t="str">
        <f>IFERROR(VLOOKUP(J512,PAR!$O$3:$P$5,2,FALSE),"nincs feladat")</f>
        <v>1 - (KÖT)</v>
      </c>
      <c r="P512" t="str">
        <f>IFERROR(VLOOKUP(G512,PAR!$J$2:$M$19,4),"nincs rovat")</f>
        <v>K3 - Dologi kiadások</v>
      </c>
      <c r="Q512" t="str">
        <f>IF(H512&gt;0,VLOOKUP(H512,PAR!$AA$3:$AC$187,3,FALSE),"nincs főkönyvi számla")</f>
        <v>053121 -  Üzemeltetési anyagok beszerzése előirányzata</v>
      </c>
      <c r="R512" t="str">
        <f>IFERROR(VLOOKUP(K512,PAR!$V$3:$X$438,3,FALSE),"000000 - Nincs COFOG")</f>
        <v>000000 - Nincs COFOG</v>
      </c>
      <c r="S512">
        <f t="shared" si="145"/>
        <v>-3693</v>
      </c>
      <c r="T512">
        <f t="shared" si="146"/>
        <v>-3693</v>
      </c>
      <c r="U512" t="str">
        <f>IF('906MP'!J212&gt;0,CONCATENATE('906MP'!J212," - ",'906MP'!P212,", ",'906MP'!E212),"nincs megjegyzés")</f>
        <v>2025-01-01 - módosított ei, 2025/MEI-731113/22</v>
      </c>
      <c r="V512" t="str">
        <f t="shared" si="133"/>
        <v>60P731113053</v>
      </c>
      <c r="W512" t="str">
        <f t="shared" si="134"/>
        <v>60P73111305</v>
      </c>
      <c r="X512" t="str">
        <f t="shared" si="135"/>
        <v>P731113053121</v>
      </c>
      <c r="Y512" t="str">
        <f t="shared" si="136"/>
        <v>60053121</v>
      </c>
      <c r="Z512" t="str">
        <f t="shared" si="147"/>
        <v>(KÖT)053121</v>
      </c>
      <c r="AA512" t="str">
        <f t="shared" si="137"/>
        <v>60053</v>
      </c>
      <c r="AB512" t="str">
        <f t="shared" si="138"/>
        <v>(KÖT)053</v>
      </c>
      <c r="AC512" t="str">
        <f t="shared" si="139"/>
        <v>60P731113053121</v>
      </c>
      <c r="AD512" t="str">
        <f t="shared" si="140"/>
        <v>P731113053121(KÖT)</v>
      </c>
      <c r="AE512" t="str">
        <f t="shared" si="141"/>
        <v>60P731113053</v>
      </c>
      <c r="AF512" t="str">
        <f t="shared" si="142"/>
        <v>P731113053(KÖT)</v>
      </c>
      <c r="AG512" t="str">
        <f t="shared" si="148"/>
        <v>60P73111305312111100</v>
      </c>
      <c r="AH512" t="str">
        <f t="shared" si="149"/>
        <v>P731113(KÖT)05312111100</v>
      </c>
      <c r="AI512" t="str">
        <f t="shared" si="150"/>
        <v>60P73111305311100</v>
      </c>
      <c r="AJ512" t="str">
        <f t="shared" si="151"/>
        <v>P731113053(KÖT)11100</v>
      </c>
    </row>
    <row r="513" spans="1:36" x14ac:dyDescent="0.25">
      <c r="A513" s="325" t="str">
        <f>CONCATENATE("P",'906MP'!M213)</f>
        <v>P731113</v>
      </c>
      <c r="B513">
        <f>'906MP'!H213</f>
        <v>60</v>
      </c>
      <c r="C513" t="str">
        <f>'906MP'!J213</f>
        <v>2025-01-01</v>
      </c>
      <c r="D513" t="str">
        <f>'906MP'!P213</f>
        <v>módosított ei</v>
      </c>
      <c r="E513">
        <f>'906MP'!X213</f>
        <v>2465484</v>
      </c>
      <c r="F513" t="str">
        <f t="shared" si="143"/>
        <v>05</v>
      </c>
      <c r="G513" t="str">
        <f t="shared" si="144"/>
        <v>055</v>
      </c>
      <c r="H513" t="str">
        <f>'906MP'!Y213</f>
        <v>0550211</v>
      </c>
      <c r="I513" t="str">
        <f>'906MP'!AK213</f>
        <v>2025/MEI-731113/23</v>
      </c>
      <c r="J513" t="str">
        <f>'906MP'!T213</f>
        <v>(KÖT)</v>
      </c>
      <c r="K513" t="str">
        <f>'906MP'!AJ213</f>
        <v/>
      </c>
      <c r="L513" t="str">
        <f>'906MP'!U213</f>
        <v>11100</v>
      </c>
      <c r="M513" s="322" t="str">
        <f>IFERROR(VLOOKUP(A513,PAR!$D$3:$E$53,2,FALSE),"nincs szervezet")</f>
        <v>Nagymaros Város Önkormányzata</v>
      </c>
      <c r="N513" s="322" t="str">
        <f>VLOOKUP(F513,PAR!$R$3:$S$5,2,FALSE)</f>
        <v>2 - Kiadás</v>
      </c>
      <c r="O513" t="str">
        <f>IFERROR(VLOOKUP(J513,PAR!$O$3:$P$5,2,FALSE),"nincs feladat")</f>
        <v>1 - (KÖT)</v>
      </c>
      <c r="P513" t="str">
        <f>IFERROR(VLOOKUP(G513,PAR!$J$2:$M$19,4),"nincs rovat")</f>
        <v>K5 - Egyéb működési célú kiadások</v>
      </c>
      <c r="Q513" t="str">
        <f>IF(H513&gt;0,VLOOKUP(H513,PAR!$AA$3:$AC$187,3,FALSE),"nincs főkönyvi számla")</f>
        <v>0550211 -  A helyi önkormányzatok előző évi elszámolásából származó kiadások előirányzata</v>
      </c>
      <c r="R513" t="str">
        <f>IFERROR(VLOOKUP(K513,PAR!$V$3:$X$438,3,FALSE),"000000 - Nincs COFOG")</f>
        <v>000000 - Nincs COFOG</v>
      </c>
      <c r="S513">
        <f t="shared" si="145"/>
        <v>2465484</v>
      </c>
      <c r="T513">
        <f t="shared" si="146"/>
        <v>2465484</v>
      </c>
      <c r="U513" t="str">
        <f>IF('906MP'!J213&gt;0,CONCATENATE('906MP'!J213," - ",'906MP'!P213,", ",'906MP'!E213),"nincs megjegyzés")</f>
        <v>2025-01-01 - módosított ei, 2025/MEI-731113/23</v>
      </c>
      <c r="V513" t="str">
        <f t="shared" si="133"/>
        <v>60P731113055</v>
      </c>
      <c r="W513" t="str">
        <f t="shared" si="134"/>
        <v>60P73111305</v>
      </c>
      <c r="X513" t="str">
        <f t="shared" si="135"/>
        <v>P7311130550211</v>
      </c>
      <c r="Y513" t="str">
        <f t="shared" si="136"/>
        <v>600550211</v>
      </c>
      <c r="Z513" t="str">
        <f t="shared" si="147"/>
        <v>(KÖT)0550211</v>
      </c>
      <c r="AA513" t="str">
        <f t="shared" si="137"/>
        <v>60055</v>
      </c>
      <c r="AB513" t="str">
        <f t="shared" si="138"/>
        <v>(KÖT)055</v>
      </c>
      <c r="AC513" t="str">
        <f t="shared" si="139"/>
        <v>60P7311130550211</v>
      </c>
      <c r="AD513" t="str">
        <f t="shared" si="140"/>
        <v>P7311130550211(KÖT)</v>
      </c>
      <c r="AE513" t="str">
        <f t="shared" si="141"/>
        <v>60P731113055</v>
      </c>
      <c r="AF513" t="str">
        <f t="shared" si="142"/>
        <v>P731113055(KÖT)</v>
      </c>
      <c r="AG513" t="str">
        <f t="shared" si="148"/>
        <v>60P731113055021111100</v>
      </c>
      <c r="AH513" t="str">
        <f t="shared" si="149"/>
        <v>P731113(KÖT)055021111100</v>
      </c>
      <c r="AI513" t="str">
        <f t="shared" si="150"/>
        <v>60P73111305511100</v>
      </c>
      <c r="AJ513" t="str">
        <f t="shared" si="151"/>
        <v>P731113055(KÖT)11100</v>
      </c>
    </row>
    <row r="514" spans="1:36" x14ac:dyDescent="0.25">
      <c r="A514" s="325" t="str">
        <f>CONCATENATE("P",'906MP'!M214)</f>
        <v>P731113</v>
      </c>
      <c r="B514">
        <f>'906MP'!H214</f>
        <v>60</v>
      </c>
      <c r="C514" t="str">
        <f>'906MP'!J214</f>
        <v>2025-01-01</v>
      </c>
      <c r="D514" t="str">
        <f>'906MP'!P214</f>
        <v>módosított ei</v>
      </c>
      <c r="E514">
        <f>'906MP'!X214</f>
        <v>-2465484</v>
      </c>
      <c r="F514" t="str">
        <f t="shared" si="143"/>
        <v>05</v>
      </c>
      <c r="G514" t="str">
        <f t="shared" si="144"/>
        <v>055</v>
      </c>
      <c r="H514" t="str">
        <f>'906MP'!Y214</f>
        <v>055131</v>
      </c>
      <c r="I514" t="str">
        <f>'906MP'!AK214</f>
        <v>2025/MEI-731113/23</v>
      </c>
      <c r="J514" t="str">
        <f>'906MP'!T214</f>
        <v>(KÖT)</v>
      </c>
      <c r="K514" t="str">
        <f>'906MP'!AJ214</f>
        <v/>
      </c>
      <c r="L514" t="str">
        <f>'906MP'!U214</f>
        <v>11100</v>
      </c>
      <c r="M514" s="322" t="str">
        <f>IFERROR(VLOOKUP(A514,PAR!$D$3:$E$53,2,FALSE),"nincs szervezet")</f>
        <v>Nagymaros Város Önkormányzata</v>
      </c>
      <c r="N514" s="322" t="str">
        <f>VLOOKUP(F514,PAR!$R$3:$S$5,2,FALSE)</f>
        <v>2 - Kiadás</v>
      </c>
      <c r="O514" t="str">
        <f>IFERROR(VLOOKUP(J514,PAR!$O$3:$P$5,2,FALSE),"nincs feladat")</f>
        <v>1 - (KÖT)</v>
      </c>
      <c r="P514" t="str">
        <f>IFERROR(VLOOKUP(G514,PAR!$J$2:$M$19,4),"nincs rovat")</f>
        <v>K5 - Egyéb működési célú kiadások</v>
      </c>
      <c r="Q514" t="str">
        <f>IF(H514&gt;0,VLOOKUP(H514,PAR!$AA$3:$AC$187,3,FALSE),"nincs főkönyvi számla")</f>
        <v>055131 -  Tartalékok előirányzata</v>
      </c>
      <c r="R514" t="str">
        <f>IFERROR(VLOOKUP(K514,PAR!$V$3:$X$438,3,FALSE),"000000 - Nincs COFOG")</f>
        <v>000000 - Nincs COFOG</v>
      </c>
      <c r="S514">
        <f t="shared" si="145"/>
        <v>-2465484</v>
      </c>
      <c r="T514">
        <f t="shared" si="146"/>
        <v>-2465484</v>
      </c>
      <c r="U514" t="str">
        <f>IF('906MP'!J214&gt;0,CONCATENATE('906MP'!J214," - ",'906MP'!P214,", ",'906MP'!E214),"nincs megjegyzés")</f>
        <v>2025-01-01 - módosított ei, 2025/MEI-731113/23</v>
      </c>
      <c r="V514" t="str">
        <f t="shared" ref="V514:V577" si="152">CONCATENATE(B514,A514,G514)</f>
        <v>60P731113055</v>
      </c>
      <c r="W514" t="str">
        <f t="shared" ref="W514:W577" si="153">CONCATENATE(B514,A514,F514)</f>
        <v>60P73111305</v>
      </c>
      <c r="X514" t="str">
        <f t="shared" ref="X514:X577" si="154">CONCATENATE(A514,H514)</f>
        <v>P731113055131</v>
      </c>
      <c r="Y514" t="str">
        <f t="shared" ref="Y514:Y577" si="155">CONCATENATE(B514,H514)</f>
        <v>60055131</v>
      </c>
      <c r="Z514" t="str">
        <f t="shared" si="147"/>
        <v>(KÖT)055131</v>
      </c>
      <c r="AA514" t="str">
        <f t="shared" ref="AA514:AA577" si="156">CONCATENATE(B514,G514)</f>
        <v>60055</v>
      </c>
      <c r="AB514" t="str">
        <f t="shared" ref="AB514:AB577" si="157">CONCATENATE(J514,G514)</f>
        <v>(KÖT)055</v>
      </c>
      <c r="AC514" t="str">
        <f t="shared" ref="AC514:AC577" si="158">CONCATENATE(B514,A514,H514)</f>
        <v>60P731113055131</v>
      </c>
      <c r="AD514" t="str">
        <f t="shared" ref="AD514:AD577" si="159">CONCATENATE(A514,H514,J514)</f>
        <v>P731113055131(KÖT)</v>
      </c>
      <c r="AE514" t="str">
        <f t="shared" ref="AE514:AE577" si="160">CONCATENATE(B514,A514,G514)</f>
        <v>60P731113055</v>
      </c>
      <c r="AF514" t="str">
        <f t="shared" ref="AF514:AF577" si="161">CONCATENATE(A514,G514,J514)</f>
        <v>P731113055(KÖT)</v>
      </c>
      <c r="AG514" t="str">
        <f t="shared" si="148"/>
        <v>60P73111305513111100</v>
      </c>
      <c r="AH514" t="str">
        <f t="shared" si="149"/>
        <v>P731113(KÖT)05513111100</v>
      </c>
      <c r="AI514" t="str">
        <f t="shared" si="150"/>
        <v>60P73111305511100</v>
      </c>
      <c r="AJ514" t="str">
        <f t="shared" si="151"/>
        <v>P731113055(KÖT)11100</v>
      </c>
    </row>
    <row r="515" spans="1:36" x14ac:dyDescent="0.25">
      <c r="A515" s="325" t="str">
        <f>CONCATENATE("P",'906MP'!M215)</f>
        <v>P654427</v>
      </c>
      <c r="B515">
        <f>'906MP'!H215</f>
        <v>60</v>
      </c>
      <c r="C515" t="str">
        <f>'906MP'!J215</f>
        <v>2025-04-01</v>
      </c>
      <c r="D515" t="str">
        <f>'906MP'!P215</f>
        <v>módosított ei</v>
      </c>
      <c r="E515">
        <f>'906MP'!X215</f>
        <v>112450</v>
      </c>
      <c r="F515" t="str">
        <f t="shared" ref="F515:F578" si="162">LEFT(G515,2)</f>
        <v>05</v>
      </c>
      <c r="G515" t="str">
        <f t="shared" ref="G515:G578" si="163">LEFT(H515,3)</f>
        <v>051</v>
      </c>
      <c r="H515" t="str">
        <f>'906MP'!Y215</f>
        <v>051221</v>
      </c>
      <c r="I515" t="str">
        <f>'906MP'!AK215</f>
        <v>2025/MEI-654427/7</v>
      </c>
      <c r="J515" t="str">
        <f>'906MP'!T215</f>
        <v>(KÖT)</v>
      </c>
      <c r="K515" t="str">
        <f>'906MP'!AJ215</f>
        <v/>
      </c>
      <c r="L515" t="str">
        <f>'906MP'!U215</f>
        <v>13100</v>
      </c>
      <c r="M515" s="322" t="str">
        <f>IFERROR(VLOOKUP(A515,PAR!$D$3:$E$53,2,FALSE),"nincs szervezet")</f>
        <v>Nagymarosi Napköziotthonos Óvoda és Bölcsőde</v>
      </c>
      <c r="N515" s="322" t="str">
        <f>VLOOKUP(F515,PAR!$R$3:$S$5,2,FALSE)</f>
        <v>2 - Kiadás</v>
      </c>
      <c r="O515" t="str">
        <f>IFERROR(VLOOKUP(J515,PAR!$O$3:$P$5,2,FALSE),"nincs feladat")</f>
        <v>1 - (KÖT)</v>
      </c>
      <c r="P515" t="str">
        <f>IFERROR(VLOOKUP(G515,PAR!$J$2:$M$19,4),"nincs rovat")</f>
        <v>K1 - Személyi juttatások</v>
      </c>
      <c r="Q515" t="str">
        <f>IF(H515&gt;0,VLOOKUP(H515,PAR!$AA$3:$AC$187,3,FALSE),"nincs főkönyvi számla")</f>
        <v>051221 -  Munkavégzésre irányuló egyéb jogviszonyban nem saját foglalkoztatottnak fizetett juttatások előirányzata</v>
      </c>
      <c r="R515" t="str">
        <f>IFERROR(VLOOKUP(K515,PAR!$V$3:$X$438,3,FALSE),"000000 - Nincs COFOG")</f>
        <v>000000 - Nincs COFOG</v>
      </c>
      <c r="S515">
        <f t="shared" ref="S515:S578" si="164">E515</f>
        <v>112450</v>
      </c>
      <c r="T515">
        <f t="shared" ref="T515:T578" si="165">IF(F515="09",E515*-1,E515)</f>
        <v>112450</v>
      </c>
      <c r="U515" t="str">
        <f>IF('906MP'!J215&gt;0,CONCATENATE('906MP'!J215," - ",'906MP'!P215,", ",'906MP'!E215),"nincs megjegyzés")</f>
        <v>2025-04-01 - módosított ei, 2025/MEI-654427/7</v>
      </c>
      <c r="V515" t="str">
        <f t="shared" si="152"/>
        <v>60P654427051</v>
      </c>
      <c r="W515" t="str">
        <f t="shared" si="153"/>
        <v>60P65442705</v>
      </c>
      <c r="X515" t="str">
        <f t="shared" si="154"/>
        <v>P654427051221</v>
      </c>
      <c r="Y515" t="str">
        <f t="shared" si="155"/>
        <v>60051221</v>
      </c>
      <c r="Z515" t="str">
        <f t="shared" ref="Z515:Z578" si="166">CONCATENATE(J515,H515)</f>
        <v>(KÖT)051221</v>
      </c>
      <c r="AA515" t="str">
        <f t="shared" si="156"/>
        <v>60051</v>
      </c>
      <c r="AB515" t="str">
        <f t="shared" si="157"/>
        <v>(KÖT)051</v>
      </c>
      <c r="AC515" t="str">
        <f t="shared" si="158"/>
        <v>60P654427051221</v>
      </c>
      <c r="AD515" t="str">
        <f t="shared" si="159"/>
        <v>P654427051221(KÖT)</v>
      </c>
      <c r="AE515" t="str">
        <f t="shared" si="160"/>
        <v>60P654427051</v>
      </c>
      <c r="AF515" t="str">
        <f t="shared" si="161"/>
        <v>P654427051(KÖT)</v>
      </c>
      <c r="AG515" t="str">
        <f t="shared" ref="AG515:AG578" si="167">CONCATENATE(B515,A515,H515,L515)</f>
        <v>60P65442705122113100</v>
      </c>
      <c r="AH515" t="str">
        <f t="shared" ref="AH515:AH578" si="168">CONCATENATE(A515,J515,H515,L515)</f>
        <v>P654427(KÖT)05122113100</v>
      </c>
      <c r="AI515" t="str">
        <f t="shared" ref="AI515:AI578" si="169">CONCATENATE(B515,A515,G515,L515)</f>
        <v>60P65442705113100</v>
      </c>
      <c r="AJ515" t="str">
        <f t="shared" ref="AJ515:AJ578" si="170">CONCATENATE(A515,G515,J515,L515)</f>
        <v>P654427051(KÖT)13100</v>
      </c>
    </row>
    <row r="516" spans="1:36" x14ac:dyDescent="0.25">
      <c r="A516" s="325" t="str">
        <f>CONCATENATE("P",'906MP'!M216)</f>
        <v>P654427</v>
      </c>
      <c r="B516">
        <f>'906MP'!H216</f>
        <v>60</v>
      </c>
      <c r="C516" t="str">
        <f>'906MP'!J216</f>
        <v>2025-04-01</v>
      </c>
      <c r="D516" t="str">
        <f>'906MP'!P216</f>
        <v>módosított ei</v>
      </c>
      <c r="E516">
        <f>'906MP'!X216</f>
        <v>-112450</v>
      </c>
      <c r="F516" t="str">
        <f t="shared" si="162"/>
        <v>05</v>
      </c>
      <c r="G516" t="str">
        <f t="shared" si="163"/>
        <v>051</v>
      </c>
      <c r="H516" t="str">
        <f>'906MP'!Y216</f>
        <v>0511011</v>
      </c>
      <c r="I516" t="str">
        <f>'906MP'!AK216</f>
        <v>2025/MEI-654427/7</v>
      </c>
      <c r="J516" t="str">
        <f>'906MP'!T216</f>
        <v>(KÖT)</v>
      </c>
      <c r="K516" t="str">
        <f>'906MP'!AJ216</f>
        <v/>
      </c>
      <c r="L516" t="str">
        <f>'906MP'!U216</f>
        <v>13100</v>
      </c>
      <c r="M516" s="322" t="str">
        <f>IFERROR(VLOOKUP(A516,PAR!$D$3:$E$53,2,FALSE),"nincs szervezet")</f>
        <v>Nagymarosi Napköziotthonos Óvoda és Bölcsőde</v>
      </c>
      <c r="N516" s="322" t="str">
        <f>VLOOKUP(F516,PAR!$R$3:$S$5,2,FALSE)</f>
        <v>2 - Kiadás</v>
      </c>
      <c r="O516" t="str">
        <f>IFERROR(VLOOKUP(J516,PAR!$O$3:$P$5,2,FALSE),"nincs feladat")</f>
        <v>1 - (KÖT)</v>
      </c>
      <c r="P516" t="str">
        <f>IFERROR(VLOOKUP(G516,PAR!$J$2:$M$19,4),"nincs rovat")</f>
        <v>K1 - Személyi juttatások</v>
      </c>
      <c r="Q516" t="str">
        <f>IF(H516&gt;0,VLOOKUP(H516,PAR!$AA$3:$AC$187,3,FALSE),"nincs főkönyvi számla")</f>
        <v>0511011 -  Törvény szerinti illetmények, munkabérek előirányzata</v>
      </c>
      <c r="R516" t="str">
        <f>IFERROR(VLOOKUP(K516,PAR!$V$3:$X$438,3,FALSE),"000000 - Nincs COFOG")</f>
        <v>000000 - Nincs COFOG</v>
      </c>
      <c r="S516">
        <f t="shared" si="164"/>
        <v>-112450</v>
      </c>
      <c r="T516">
        <f t="shared" si="165"/>
        <v>-112450</v>
      </c>
      <c r="U516" t="str">
        <f>IF('906MP'!J216&gt;0,CONCATENATE('906MP'!J216," - ",'906MP'!P216,", ",'906MP'!E216),"nincs megjegyzés")</f>
        <v>2025-04-01 - módosított ei, 2025/MEI-654427/7</v>
      </c>
      <c r="V516" t="str">
        <f t="shared" si="152"/>
        <v>60P654427051</v>
      </c>
      <c r="W516" t="str">
        <f t="shared" si="153"/>
        <v>60P65442705</v>
      </c>
      <c r="X516" t="str">
        <f t="shared" si="154"/>
        <v>P6544270511011</v>
      </c>
      <c r="Y516" t="str">
        <f t="shared" si="155"/>
        <v>600511011</v>
      </c>
      <c r="Z516" t="str">
        <f t="shared" si="166"/>
        <v>(KÖT)0511011</v>
      </c>
      <c r="AA516" t="str">
        <f t="shared" si="156"/>
        <v>60051</v>
      </c>
      <c r="AB516" t="str">
        <f t="shared" si="157"/>
        <v>(KÖT)051</v>
      </c>
      <c r="AC516" t="str">
        <f t="shared" si="158"/>
        <v>60P6544270511011</v>
      </c>
      <c r="AD516" t="str">
        <f t="shared" si="159"/>
        <v>P6544270511011(KÖT)</v>
      </c>
      <c r="AE516" t="str">
        <f t="shared" si="160"/>
        <v>60P654427051</v>
      </c>
      <c r="AF516" t="str">
        <f t="shared" si="161"/>
        <v>P654427051(KÖT)</v>
      </c>
      <c r="AG516" t="str">
        <f t="shared" si="167"/>
        <v>60P654427051101113100</v>
      </c>
      <c r="AH516" t="str">
        <f t="shared" si="168"/>
        <v>P654427(KÖT)051101113100</v>
      </c>
      <c r="AI516" t="str">
        <f t="shared" si="169"/>
        <v>60P65442705113100</v>
      </c>
      <c r="AJ516" t="str">
        <f t="shared" si="170"/>
        <v>P654427051(KÖT)13100</v>
      </c>
    </row>
    <row r="517" spans="1:36" x14ac:dyDescent="0.25">
      <c r="A517" s="325" t="str">
        <f>CONCATENATE("P",'906MP'!M217)</f>
        <v>P731113</v>
      </c>
      <c r="B517">
        <f>'906MP'!H217</f>
        <v>60</v>
      </c>
      <c r="C517" t="str">
        <f>'906MP'!J217</f>
        <v>2025-04-01</v>
      </c>
      <c r="D517" t="str">
        <f>'906MP'!P217</f>
        <v>módosított ei</v>
      </c>
      <c r="E517">
        <f>'906MP'!X217</f>
        <v>40000</v>
      </c>
      <c r="F517" t="str">
        <f t="shared" si="162"/>
        <v>05</v>
      </c>
      <c r="G517" t="str">
        <f t="shared" si="163"/>
        <v>053</v>
      </c>
      <c r="H517" t="str">
        <f>'906MP'!Y217</f>
        <v>053331</v>
      </c>
      <c r="I517" t="str">
        <f>'906MP'!AK217</f>
        <v>2025/MEI-731113/24</v>
      </c>
      <c r="J517" t="str">
        <f>'906MP'!T217</f>
        <v>(KÖT)</v>
      </c>
      <c r="K517" t="str">
        <f>'906MP'!AJ217</f>
        <v/>
      </c>
      <c r="L517" t="str">
        <f>'906MP'!U217</f>
        <v>11100</v>
      </c>
      <c r="M517" s="322" t="str">
        <f>IFERROR(VLOOKUP(A517,PAR!$D$3:$E$53,2,FALSE),"nincs szervezet")</f>
        <v>Nagymaros Város Önkormányzata</v>
      </c>
      <c r="N517" s="322" t="str">
        <f>VLOOKUP(F517,PAR!$R$3:$S$5,2,FALSE)</f>
        <v>2 - Kiadás</v>
      </c>
      <c r="O517" t="str">
        <f>IFERROR(VLOOKUP(J517,PAR!$O$3:$P$5,2,FALSE),"nincs feladat")</f>
        <v>1 - (KÖT)</v>
      </c>
      <c r="P517" t="str">
        <f>IFERROR(VLOOKUP(G517,PAR!$J$2:$M$19,4),"nincs rovat")</f>
        <v>K3 - Dologi kiadások</v>
      </c>
      <c r="Q517" t="str">
        <f>IF(H517&gt;0,VLOOKUP(H517,PAR!$AA$3:$AC$187,3,FALSE),"nincs főkönyvi számla")</f>
        <v>053331 -  Bérleti és lízing díjak előirányzata</v>
      </c>
      <c r="R517" t="str">
        <f>IFERROR(VLOOKUP(K517,PAR!$V$3:$X$438,3,FALSE),"000000 - Nincs COFOG")</f>
        <v>000000 - Nincs COFOG</v>
      </c>
      <c r="S517">
        <f t="shared" si="164"/>
        <v>40000</v>
      </c>
      <c r="T517">
        <f t="shared" si="165"/>
        <v>40000</v>
      </c>
      <c r="U517" t="str">
        <f>IF('906MP'!J217&gt;0,CONCATENATE('906MP'!J217," - ",'906MP'!P217,", ",'906MP'!E217),"nincs megjegyzés")</f>
        <v>2025-04-01 - módosított ei, 2025/MEI-731113/24</v>
      </c>
      <c r="V517" t="str">
        <f t="shared" si="152"/>
        <v>60P731113053</v>
      </c>
      <c r="W517" t="str">
        <f t="shared" si="153"/>
        <v>60P73111305</v>
      </c>
      <c r="X517" t="str">
        <f t="shared" si="154"/>
        <v>P731113053331</v>
      </c>
      <c r="Y517" t="str">
        <f t="shared" si="155"/>
        <v>60053331</v>
      </c>
      <c r="Z517" t="str">
        <f t="shared" si="166"/>
        <v>(KÖT)053331</v>
      </c>
      <c r="AA517" t="str">
        <f t="shared" si="156"/>
        <v>60053</v>
      </c>
      <c r="AB517" t="str">
        <f t="shared" si="157"/>
        <v>(KÖT)053</v>
      </c>
      <c r="AC517" t="str">
        <f t="shared" si="158"/>
        <v>60P731113053331</v>
      </c>
      <c r="AD517" t="str">
        <f t="shared" si="159"/>
        <v>P731113053331(KÖT)</v>
      </c>
      <c r="AE517" t="str">
        <f t="shared" si="160"/>
        <v>60P731113053</v>
      </c>
      <c r="AF517" t="str">
        <f t="shared" si="161"/>
        <v>P731113053(KÖT)</v>
      </c>
      <c r="AG517" t="str">
        <f t="shared" si="167"/>
        <v>60P73111305333111100</v>
      </c>
      <c r="AH517" t="str">
        <f t="shared" si="168"/>
        <v>P731113(KÖT)05333111100</v>
      </c>
      <c r="AI517" t="str">
        <f t="shared" si="169"/>
        <v>60P73111305311100</v>
      </c>
      <c r="AJ517" t="str">
        <f t="shared" si="170"/>
        <v>P731113053(KÖT)11100</v>
      </c>
    </row>
    <row r="518" spans="1:36" x14ac:dyDescent="0.25">
      <c r="A518" s="325" t="str">
        <f>CONCATENATE("P",'906MP'!M218)</f>
        <v>P731113</v>
      </c>
      <c r="B518">
        <f>'906MP'!H218</f>
        <v>60</v>
      </c>
      <c r="C518" t="str">
        <f>'906MP'!J218</f>
        <v>2025-04-01</v>
      </c>
      <c r="D518" t="str">
        <f>'906MP'!P218</f>
        <v>módosított ei - Forrás - külterületi utak</v>
      </c>
      <c r="E518">
        <f>'906MP'!X218</f>
        <v>1980000</v>
      </c>
      <c r="F518" t="str">
        <f t="shared" si="162"/>
        <v>05</v>
      </c>
      <c r="G518" t="str">
        <f t="shared" si="163"/>
        <v>053</v>
      </c>
      <c r="H518" t="str">
        <f>'906MP'!Y218</f>
        <v>053361</v>
      </c>
      <c r="I518" t="str">
        <f>'906MP'!AK218</f>
        <v>2025/MEI-731113/24</v>
      </c>
      <c r="J518" t="str">
        <f>'906MP'!T218</f>
        <v>(KÖT)</v>
      </c>
      <c r="K518" t="str">
        <f>'906MP'!AJ218</f>
        <v/>
      </c>
      <c r="L518" t="str">
        <f>'906MP'!U218</f>
        <v>11100</v>
      </c>
      <c r="M518" s="322" t="str">
        <f>IFERROR(VLOOKUP(A518,PAR!$D$3:$E$53,2,FALSE),"nincs szervezet")</f>
        <v>Nagymaros Város Önkormányzata</v>
      </c>
      <c r="N518" s="322" t="str">
        <f>VLOOKUP(F518,PAR!$R$3:$S$5,2,FALSE)</f>
        <v>2 - Kiadás</v>
      </c>
      <c r="O518" t="str">
        <f>IFERROR(VLOOKUP(J518,PAR!$O$3:$P$5,2,FALSE),"nincs feladat")</f>
        <v>1 - (KÖT)</v>
      </c>
      <c r="P518" t="str">
        <f>IFERROR(VLOOKUP(G518,PAR!$J$2:$M$19,4),"nincs rovat")</f>
        <v>K3 - Dologi kiadások</v>
      </c>
      <c r="Q518" t="str">
        <f>IF(H518&gt;0,VLOOKUP(H518,PAR!$AA$3:$AC$187,3,FALSE),"nincs főkönyvi számla")</f>
        <v>053361 -  Szakmai tevékenységet segítő szolgáltatások előirányzata</v>
      </c>
      <c r="R518" t="str">
        <f>IFERROR(VLOOKUP(K518,PAR!$V$3:$X$438,3,FALSE),"000000 - Nincs COFOG")</f>
        <v>000000 - Nincs COFOG</v>
      </c>
      <c r="S518">
        <f t="shared" si="164"/>
        <v>1980000</v>
      </c>
      <c r="T518">
        <f t="shared" si="165"/>
        <v>1980000</v>
      </c>
      <c r="U518" t="str">
        <f>IF('906MP'!J218&gt;0,CONCATENATE('906MP'!J218," - ",'906MP'!P218,", ",'906MP'!E218),"nincs megjegyzés")</f>
        <v>2025-04-01 - módosított ei - Forrás - külterületi utak, 2025/MEI-731113/24</v>
      </c>
      <c r="V518" t="str">
        <f t="shared" si="152"/>
        <v>60P731113053</v>
      </c>
      <c r="W518" t="str">
        <f t="shared" si="153"/>
        <v>60P73111305</v>
      </c>
      <c r="X518" t="str">
        <f t="shared" si="154"/>
        <v>P731113053361</v>
      </c>
      <c r="Y518" t="str">
        <f t="shared" si="155"/>
        <v>60053361</v>
      </c>
      <c r="Z518" t="str">
        <f t="shared" si="166"/>
        <v>(KÖT)053361</v>
      </c>
      <c r="AA518" t="str">
        <f t="shared" si="156"/>
        <v>60053</v>
      </c>
      <c r="AB518" t="str">
        <f t="shared" si="157"/>
        <v>(KÖT)053</v>
      </c>
      <c r="AC518" t="str">
        <f t="shared" si="158"/>
        <v>60P731113053361</v>
      </c>
      <c r="AD518" t="str">
        <f t="shared" si="159"/>
        <v>P731113053361(KÖT)</v>
      </c>
      <c r="AE518" t="str">
        <f t="shared" si="160"/>
        <v>60P731113053</v>
      </c>
      <c r="AF518" t="str">
        <f t="shared" si="161"/>
        <v>P731113053(KÖT)</v>
      </c>
      <c r="AG518" t="str">
        <f t="shared" si="167"/>
        <v>60P73111305336111100</v>
      </c>
      <c r="AH518" t="str">
        <f t="shared" si="168"/>
        <v>P731113(KÖT)05336111100</v>
      </c>
      <c r="AI518" t="str">
        <f t="shared" si="169"/>
        <v>60P73111305311100</v>
      </c>
      <c r="AJ518" t="str">
        <f t="shared" si="170"/>
        <v>P731113053(KÖT)11100</v>
      </c>
    </row>
    <row r="519" spans="1:36" x14ac:dyDescent="0.25">
      <c r="A519" s="325" t="str">
        <f>CONCATENATE("P",'906MP'!M219)</f>
        <v>P731113</v>
      </c>
      <c r="B519">
        <f>'906MP'!H219</f>
        <v>60</v>
      </c>
      <c r="C519" t="str">
        <f>'906MP'!J219</f>
        <v>2025-04-01</v>
      </c>
      <c r="D519" t="str">
        <f>'906MP'!P219</f>
        <v>módosított ei - Forrás - külterületi utak</v>
      </c>
      <c r="E519">
        <f>'906MP'!X219</f>
        <v>-2514600</v>
      </c>
      <c r="F519" t="str">
        <f t="shared" si="162"/>
        <v>05</v>
      </c>
      <c r="G519" t="str">
        <f t="shared" si="163"/>
        <v>055</v>
      </c>
      <c r="H519" t="str">
        <f>'906MP'!Y219</f>
        <v>055131</v>
      </c>
      <c r="I519" t="str">
        <f>'906MP'!AK219</f>
        <v>2025/MEI-731113/24</v>
      </c>
      <c r="J519" t="str">
        <f>'906MP'!T219</f>
        <v>(KÖT)</v>
      </c>
      <c r="K519" t="str">
        <f>'906MP'!AJ219</f>
        <v/>
      </c>
      <c r="L519" t="str">
        <f>'906MP'!U219</f>
        <v>11100</v>
      </c>
      <c r="M519" s="322" t="str">
        <f>IFERROR(VLOOKUP(A519,PAR!$D$3:$E$53,2,FALSE),"nincs szervezet")</f>
        <v>Nagymaros Város Önkormányzata</v>
      </c>
      <c r="N519" s="322" t="str">
        <f>VLOOKUP(F519,PAR!$R$3:$S$5,2,FALSE)</f>
        <v>2 - Kiadás</v>
      </c>
      <c r="O519" t="str">
        <f>IFERROR(VLOOKUP(J519,PAR!$O$3:$P$5,2,FALSE),"nincs feladat")</f>
        <v>1 - (KÖT)</v>
      </c>
      <c r="P519" t="str">
        <f>IFERROR(VLOOKUP(G519,PAR!$J$2:$M$19,4),"nincs rovat")</f>
        <v>K5 - Egyéb működési célú kiadások</v>
      </c>
      <c r="Q519" t="str">
        <f>IF(H519&gt;0,VLOOKUP(H519,PAR!$AA$3:$AC$187,3,FALSE),"nincs főkönyvi számla")</f>
        <v>055131 -  Tartalékok előirányzata</v>
      </c>
      <c r="R519" t="str">
        <f>IFERROR(VLOOKUP(K519,PAR!$V$3:$X$438,3,FALSE),"000000 - Nincs COFOG")</f>
        <v>000000 - Nincs COFOG</v>
      </c>
      <c r="S519">
        <f t="shared" si="164"/>
        <v>-2514600</v>
      </c>
      <c r="T519">
        <f t="shared" si="165"/>
        <v>-2514600</v>
      </c>
      <c r="U519" t="str">
        <f>IF('906MP'!J219&gt;0,CONCATENATE('906MP'!J219," - ",'906MP'!P219,", ",'906MP'!E219),"nincs megjegyzés")</f>
        <v>2025-04-01 - módosított ei - Forrás - külterületi utak, 2025/MEI-731113/24</v>
      </c>
      <c r="V519" t="str">
        <f t="shared" si="152"/>
        <v>60P731113055</v>
      </c>
      <c r="W519" t="str">
        <f t="shared" si="153"/>
        <v>60P73111305</v>
      </c>
      <c r="X519" t="str">
        <f t="shared" si="154"/>
        <v>P731113055131</v>
      </c>
      <c r="Y519" t="str">
        <f t="shared" si="155"/>
        <v>60055131</v>
      </c>
      <c r="Z519" t="str">
        <f t="shared" si="166"/>
        <v>(KÖT)055131</v>
      </c>
      <c r="AA519" t="str">
        <f t="shared" si="156"/>
        <v>60055</v>
      </c>
      <c r="AB519" t="str">
        <f t="shared" si="157"/>
        <v>(KÖT)055</v>
      </c>
      <c r="AC519" t="str">
        <f t="shared" si="158"/>
        <v>60P731113055131</v>
      </c>
      <c r="AD519" t="str">
        <f t="shared" si="159"/>
        <v>P731113055131(KÖT)</v>
      </c>
      <c r="AE519" t="str">
        <f t="shared" si="160"/>
        <v>60P731113055</v>
      </c>
      <c r="AF519" t="str">
        <f t="shared" si="161"/>
        <v>P731113055(KÖT)</v>
      </c>
      <c r="AG519" t="str">
        <f t="shared" si="167"/>
        <v>60P73111305513111100</v>
      </c>
      <c r="AH519" t="str">
        <f t="shared" si="168"/>
        <v>P731113(KÖT)05513111100</v>
      </c>
      <c r="AI519" t="str">
        <f t="shared" si="169"/>
        <v>60P73111305511100</v>
      </c>
      <c r="AJ519" t="str">
        <f t="shared" si="170"/>
        <v>P731113055(KÖT)11100</v>
      </c>
    </row>
    <row r="520" spans="1:36" x14ac:dyDescent="0.25">
      <c r="A520" s="325" t="str">
        <f>CONCATENATE("P",'906MP'!M220)</f>
        <v>P731113</v>
      </c>
      <c r="B520">
        <f>'906MP'!H220</f>
        <v>60</v>
      </c>
      <c r="C520" t="str">
        <f>'906MP'!J220</f>
        <v>2025-04-01</v>
      </c>
      <c r="D520" t="str">
        <f>'906MP'!P220</f>
        <v>módosított ei</v>
      </c>
      <c r="E520">
        <f>'906MP'!X220</f>
        <v>-40000</v>
      </c>
      <c r="F520" t="str">
        <f t="shared" si="162"/>
        <v>05</v>
      </c>
      <c r="G520" t="str">
        <f t="shared" si="163"/>
        <v>053</v>
      </c>
      <c r="H520" t="str">
        <f>'906MP'!Y220</f>
        <v>053371</v>
      </c>
      <c r="I520" t="str">
        <f>'906MP'!AK220</f>
        <v>2025/MEI-731113/24</v>
      </c>
      <c r="J520" t="str">
        <f>'906MP'!T220</f>
        <v>(KÖT)</v>
      </c>
      <c r="K520" t="str">
        <f>'906MP'!AJ220</f>
        <v/>
      </c>
      <c r="L520" t="str">
        <f>'906MP'!U220</f>
        <v>11100</v>
      </c>
      <c r="M520" s="322" t="str">
        <f>IFERROR(VLOOKUP(A520,PAR!$D$3:$E$53,2,FALSE),"nincs szervezet")</f>
        <v>Nagymaros Város Önkormányzata</v>
      </c>
      <c r="N520" s="322" t="str">
        <f>VLOOKUP(F520,PAR!$R$3:$S$5,2,FALSE)</f>
        <v>2 - Kiadás</v>
      </c>
      <c r="O520" t="str">
        <f>IFERROR(VLOOKUP(J520,PAR!$O$3:$P$5,2,FALSE),"nincs feladat")</f>
        <v>1 - (KÖT)</v>
      </c>
      <c r="P520" t="str">
        <f>IFERROR(VLOOKUP(G520,PAR!$J$2:$M$19,4),"nincs rovat")</f>
        <v>K3 - Dologi kiadások</v>
      </c>
      <c r="Q520" t="str">
        <f>IF(H520&gt;0,VLOOKUP(H520,PAR!$AA$3:$AC$187,3,FALSE),"nincs főkönyvi számla")</f>
        <v>053371 -  Egyéb szolgáltatások előirányzata</v>
      </c>
      <c r="R520" t="str">
        <f>IFERROR(VLOOKUP(K520,PAR!$V$3:$X$438,3,FALSE),"000000 - Nincs COFOG")</f>
        <v>000000 - Nincs COFOG</v>
      </c>
      <c r="S520">
        <f t="shared" si="164"/>
        <v>-40000</v>
      </c>
      <c r="T520">
        <f t="shared" si="165"/>
        <v>-40000</v>
      </c>
      <c r="U520" t="str">
        <f>IF('906MP'!J220&gt;0,CONCATENATE('906MP'!J220," - ",'906MP'!P220,", ",'906MP'!E220),"nincs megjegyzés")</f>
        <v>2025-04-01 - módosított ei, 2025/MEI-731113/24</v>
      </c>
      <c r="V520" t="str">
        <f t="shared" si="152"/>
        <v>60P731113053</v>
      </c>
      <c r="W520" t="str">
        <f t="shared" si="153"/>
        <v>60P73111305</v>
      </c>
      <c r="X520" t="str">
        <f t="shared" si="154"/>
        <v>P731113053371</v>
      </c>
      <c r="Y520" t="str">
        <f t="shared" si="155"/>
        <v>60053371</v>
      </c>
      <c r="Z520" t="str">
        <f t="shared" si="166"/>
        <v>(KÖT)053371</v>
      </c>
      <c r="AA520" t="str">
        <f t="shared" si="156"/>
        <v>60053</v>
      </c>
      <c r="AB520" t="str">
        <f t="shared" si="157"/>
        <v>(KÖT)053</v>
      </c>
      <c r="AC520" t="str">
        <f t="shared" si="158"/>
        <v>60P731113053371</v>
      </c>
      <c r="AD520" t="str">
        <f t="shared" si="159"/>
        <v>P731113053371(KÖT)</v>
      </c>
      <c r="AE520" t="str">
        <f t="shared" si="160"/>
        <v>60P731113053</v>
      </c>
      <c r="AF520" t="str">
        <f t="shared" si="161"/>
        <v>P731113053(KÖT)</v>
      </c>
      <c r="AG520" t="str">
        <f t="shared" si="167"/>
        <v>60P73111305337111100</v>
      </c>
      <c r="AH520" t="str">
        <f t="shared" si="168"/>
        <v>P731113(KÖT)05337111100</v>
      </c>
      <c r="AI520" t="str">
        <f t="shared" si="169"/>
        <v>60P73111305311100</v>
      </c>
      <c r="AJ520" t="str">
        <f t="shared" si="170"/>
        <v>P731113053(KÖT)11100</v>
      </c>
    </row>
    <row r="521" spans="1:36" x14ac:dyDescent="0.25">
      <c r="A521" s="325" t="str">
        <f>CONCATENATE("P",'906MP'!M221)</f>
        <v>P731113</v>
      </c>
      <c r="B521">
        <f>'906MP'!H221</f>
        <v>60</v>
      </c>
      <c r="C521" t="str">
        <f>'906MP'!J221</f>
        <v>2025-04-01</v>
      </c>
      <c r="D521" t="str">
        <f>'906MP'!P221</f>
        <v>módosított ei - Forrás - külterületi utak</v>
      </c>
      <c r="E521">
        <f>'906MP'!X221</f>
        <v>534600</v>
      </c>
      <c r="F521" t="str">
        <f t="shared" si="162"/>
        <v>05</v>
      </c>
      <c r="G521" t="str">
        <f t="shared" si="163"/>
        <v>053</v>
      </c>
      <c r="H521" t="str">
        <f>'906MP'!Y221</f>
        <v>053511</v>
      </c>
      <c r="I521" t="str">
        <f>'906MP'!AK221</f>
        <v>2025/MEI-731113/24</v>
      </c>
      <c r="J521" t="str">
        <f>'906MP'!T221</f>
        <v>(KÖT)</v>
      </c>
      <c r="K521" t="str">
        <f>'906MP'!AJ221</f>
        <v/>
      </c>
      <c r="L521" t="str">
        <f>'906MP'!U221</f>
        <v>11100</v>
      </c>
      <c r="M521" s="322" t="str">
        <f>IFERROR(VLOOKUP(A521,PAR!$D$3:$E$53,2,FALSE),"nincs szervezet")</f>
        <v>Nagymaros Város Önkormányzata</v>
      </c>
      <c r="N521" s="322" t="str">
        <f>VLOOKUP(F521,PAR!$R$3:$S$5,2,FALSE)</f>
        <v>2 - Kiadás</v>
      </c>
      <c r="O521" t="str">
        <f>IFERROR(VLOOKUP(J521,PAR!$O$3:$P$5,2,FALSE),"nincs feladat")</f>
        <v>1 - (KÖT)</v>
      </c>
      <c r="P521" t="str">
        <f>IFERROR(VLOOKUP(G521,PAR!$J$2:$M$19,4),"nincs rovat")</f>
        <v>K3 - Dologi kiadások</v>
      </c>
      <c r="Q521" t="str">
        <f>IF(H521&gt;0,VLOOKUP(H521,PAR!$AA$3:$AC$187,3,FALSE),"nincs főkönyvi számla")</f>
        <v>053511 -  Működési célú előzetesen felszámított általános forgalmi adó előirányzata</v>
      </c>
      <c r="R521" t="str">
        <f>IFERROR(VLOOKUP(K521,PAR!$V$3:$X$438,3,FALSE),"000000 - Nincs COFOG")</f>
        <v>000000 - Nincs COFOG</v>
      </c>
      <c r="S521">
        <f t="shared" si="164"/>
        <v>534600</v>
      </c>
      <c r="T521">
        <f t="shared" si="165"/>
        <v>534600</v>
      </c>
      <c r="U521" t="str">
        <f>IF('906MP'!J221&gt;0,CONCATENATE('906MP'!J221," - ",'906MP'!P221,", ",'906MP'!E221),"nincs megjegyzés")</f>
        <v>2025-04-01 - módosított ei - Forrás - külterületi utak, 2025/MEI-731113/24</v>
      </c>
      <c r="V521" t="str">
        <f t="shared" si="152"/>
        <v>60P731113053</v>
      </c>
      <c r="W521" t="str">
        <f t="shared" si="153"/>
        <v>60P73111305</v>
      </c>
      <c r="X521" t="str">
        <f t="shared" si="154"/>
        <v>P731113053511</v>
      </c>
      <c r="Y521" t="str">
        <f t="shared" si="155"/>
        <v>60053511</v>
      </c>
      <c r="Z521" t="str">
        <f t="shared" si="166"/>
        <v>(KÖT)053511</v>
      </c>
      <c r="AA521" t="str">
        <f t="shared" si="156"/>
        <v>60053</v>
      </c>
      <c r="AB521" t="str">
        <f t="shared" si="157"/>
        <v>(KÖT)053</v>
      </c>
      <c r="AC521" t="str">
        <f t="shared" si="158"/>
        <v>60P731113053511</v>
      </c>
      <c r="AD521" t="str">
        <f t="shared" si="159"/>
        <v>P731113053511(KÖT)</v>
      </c>
      <c r="AE521" t="str">
        <f t="shared" si="160"/>
        <v>60P731113053</v>
      </c>
      <c r="AF521" t="str">
        <f t="shared" si="161"/>
        <v>P731113053(KÖT)</v>
      </c>
      <c r="AG521" t="str">
        <f t="shared" si="167"/>
        <v>60P73111305351111100</v>
      </c>
      <c r="AH521" t="str">
        <f t="shared" si="168"/>
        <v>P731113(KÖT)05351111100</v>
      </c>
      <c r="AI521" t="str">
        <f t="shared" si="169"/>
        <v>60P73111305311100</v>
      </c>
      <c r="AJ521" t="str">
        <f t="shared" si="170"/>
        <v>P731113053(KÖT)11100</v>
      </c>
    </row>
    <row r="522" spans="1:36" x14ac:dyDescent="0.25">
      <c r="A522" s="325" t="str">
        <f>CONCATENATE("P",'906MP'!M222)</f>
        <v>P654427</v>
      </c>
      <c r="B522">
        <f>'906MP'!H222</f>
        <v>60</v>
      </c>
      <c r="C522" t="str">
        <f>'906MP'!J222</f>
        <v>2025-05-01</v>
      </c>
      <c r="D522" t="str">
        <f>'906MP'!P222</f>
        <v>módosított ei</v>
      </c>
      <c r="E522">
        <f>'906MP'!X222</f>
        <v>153188</v>
      </c>
      <c r="F522" t="str">
        <f t="shared" si="162"/>
        <v>05</v>
      </c>
      <c r="G522" t="str">
        <f t="shared" si="163"/>
        <v>051</v>
      </c>
      <c r="H522" t="str">
        <f>'906MP'!Y222</f>
        <v>0511041</v>
      </c>
      <c r="I522" t="str">
        <f>'906MP'!AK222</f>
        <v>2025/MEI-654427/12</v>
      </c>
      <c r="J522" t="str">
        <f>'906MP'!T222</f>
        <v>(KÖT)</v>
      </c>
      <c r="K522" t="str">
        <f>'906MP'!AJ222</f>
        <v/>
      </c>
      <c r="L522" t="str">
        <f>'906MP'!U222</f>
        <v>13100</v>
      </c>
      <c r="M522" s="322" t="str">
        <f>IFERROR(VLOOKUP(A522,PAR!$D$3:$E$53,2,FALSE),"nincs szervezet")</f>
        <v>Nagymarosi Napköziotthonos Óvoda és Bölcsőde</v>
      </c>
      <c r="N522" s="322" t="str">
        <f>VLOOKUP(F522,PAR!$R$3:$S$5,2,FALSE)</f>
        <v>2 - Kiadás</v>
      </c>
      <c r="O522" t="str">
        <f>IFERROR(VLOOKUP(J522,PAR!$O$3:$P$5,2,FALSE),"nincs feladat")</f>
        <v>1 - (KÖT)</v>
      </c>
      <c r="P522" t="str">
        <f>IFERROR(VLOOKUP(G522,PAR!$J$2:$M$19,4),"nincs rovat")</f>
        <v>K1 - Személyi juttatások</v>
      </c>
      <c r="Q522" t="str">
        <f>IF(H522&gt;0,VLOOKUP(H522,PAR!$AA$3:$AC$187,3,FALSE),"nincs főkönyvi számla")</f>
        <v>0511041 -  Készenléti, ügyeleti, helyettesítési díj, túlóra, túlszolgálat előirányzata</v>
      </c>
      <c r="R522" t="str">
        <f>IFERROR(VLOOKUP(K522,PAR!$V$3:$X$438,3,FALSE),"000000 - Nincs COFOG")</f>
        <v>000000 - Nincs COFOG</v>
      </c>
      <c r="S522">
        <f t="shared" si="164"/>
        <v>153188</v>
      </c>
      <c r="T522">
        <f t="shared" si="165"/>
        <v>153188</v>
      </c>
      <c r="U522" t="str">
        <f>IF('906MP'!J222&gt;0,CONCATENATE('906MP'!J222," - ",'906MP'!P222,", ",'906MP'!E222),"nincs megjegyzés")</f>
        <v>2025-05-01 - módosított ei, 2025/MEI-654427/12</v>
      </c>
      <c r="V522" t="str">
        <f t="shared" si="152"/>
        <v>60P654427051</v>
      </c>
      <c r="W522" t="str">
        <f t="shared" si="153"/>
        <v>60P65442705</v>
      </c>
      <c r="X522" t="str">
        <f t="shared" si="154"/>
        <v>P6544270511041</v>
      </c>
      <c r="Y522" t="str">
        <f t="shared" si="155"/>
        <v>600511041</v>
      </c>
      <c r="Z522" t="str">
        <f t="shared" si="166"/>
        <v>(KÖT)0511041</v>
      </c>
      <c r="AA522" t="str">
        <f t="shared" si="156"/>
        <v>60051</v>
      </c>
      <c r="AB522" t="str">
        <f t="shared" si="157"/>
        <v>(KÖT)051</v>
      </c>
      <c r="AC522" t="str">
        <f t="shared" si="158"/>
        <v>60P6544270511041</v>
      </c>
      <c r="AD522" t="str">
        <f t="shared" si="159"/>
        <v>P6544270511041(KÖT)</v>
      </c>
      <c r="AE522" t="str">
        <f t="shared" si="160"/>
        <v>60P654427051</v>
      </c>
      <c r="AF522" t="str">
        <f t="shared" si="161"/>
        <v>P654427051(KÖT)</v>
      </c>
      <c r="AG522" t="str">
        <f t="shared" si="167"/>
        <v>60P654427051104113100</v>
      </c>
      <c r="AH522" t="str">
        <f t="shared" si="168"/>
        <v>P654427(KÖT)051104113100</v>
      </c>
      <c r="AI522" t="str">
        <f t="shared" si="169"/>
        <v>60P65442705113100</v>
      </c>
      <c r="AJ522" t="str">
        <f t="shared" si="170"/>
        <v>P654427051(KÖT)13100</v>
      </c>
    </row>
    <row r="523" spans="1:36" x14ac:dyDescent="0.25">
      <c r="A523" s="325" t="str">
        <f>CONCATENATE("P",'906MP'!M223)</f>
        <v>P654427</v>
      </c>
      <c r="B523">
        <f>'906MP'!H223</f>
        <v>60</v>
      </c>
      <c r="C523" t="str">
        <f>'906MP'!J223</f>
        <v>2025-05-01</v>
      </c>
      <c r="D523" t="str">
        <f>'906MP'!P223</f>
        <v>módosított ei</v>
      </c>
      <c r="E523">
        <f>'906MP'!X223</f>
        <v>35290</v>
      </c>
      <c r="F523" t="str">
        <f t="shared" si="162"/>
        <v>05</v>
      </c>
      <c r="G523" t="str">
        <f t="shared" si="163"/>
        <v>051</v>
      </c>
      <c r="H523" t="str">
        <f>'906MP'!Y223</f>
        <v>0511061</v>
      </c>
      <c r="I523" t="str">
        <f>'906MP'!AK223</f>
        <v>2025/MEI-654427/12</v>
      </c>
      <c r="J523" t="str">
        <f>'906MP'!T223</f>
        <v>(KÖT)</v>
      </c>
      <c r="K523" t="str">
        <f>'906MP'!AJ223</f>
        <v/>
      </c>
      <c r="L523" t="str">
        <f>'906MP'!U223</f>
        <v>13100</v>
      </c>
      <c r="M523" s="322" t="str">
        <f>IFERROR(VLOOKUP(A523,PAR!$D$3:$E$53,2,FALSE),"nincs szervezet")</f>
        <v>Nagymarosi Napköziotthonos Óvoda és Bölcsőde</v>
      </c>
      <c r="N523" s="322" t="str">
        <f>VLOOKUP(F523,PAR!$R$3:$S$5,2,FALSE)</f>
        <v>2 - Kiadás</v>
      </c>
      <c r="O523" t="str">
        <f>IFERROR(VLOOKUP(J523,PAR!$O$3:$P$5,2,FALSE),"nincs feladat")</f>
        <v>1 - (KÖT)</v>
      </c>
      <c r="P523" t="str">
        <f>IFERROR(VLOOKUP(G523,PAR!$J$2:$M$19,4),"nincs rovat")</f>
        <v>K1 - Személyi juttatások</v>
      </c>
      <c r="Q523" t="str">
        <f>IF(H523&gt;0,VLOOKUP(H523,PAR!$AA$3:$AC$187,3,FALSE),"nincs főkönyvi számla")</f>
        <v>0511061 -  Jubileumi jutalom előirányzata</v>
      </c>
      <c r="R523" t="str">
        <f>IFERROR(VLOOKUP(K523,PAR!$V$3:$X$438,3,FALSE),"000000 - Nincs COFOG")</f>
        <v>000000 - Nincs COFOG</v>
      </c>
      <c r="S523">
        <f t="shared" si="164"/>
        <v>35290</v>
      </c>
      <c r="T523">
        <f t="shared" si="165"/>
        <v>35290</v>
      </c>
      <c r="U523" t="str">
        <f>IF('906MP'!J223&gt;0,CONCATENATE('906MP'!J223," - ",'906MP'!P223,", ",'906MP'!E223),"nincs megjegyzés")</f>
        <v>2025-05-01 - módosított ei, 2025/MEI-654427/12</v>
      </c>
      <c r="V523" t="str">
        <f t="shared" si="152"/>
        <v>60P654427051</v>
      </c>
      <c r="W523" t="str">
        <f t="shared" si="153"/>
        <v>60P65442705</v>
      </c>
      <c r="X523" t="str">
        <f t="shared" si="154"/>
        <v>P6544270511061</v>
      </c>
      <c r="Y523" t="str">
        <f t="shared" si="155"/>
        <v>600511061</v>
      </c>
      <c r="Z523" t="str">
        <f t="shared" si="166"/>
        <v>(KÖT)0511061</v>
      </c>
      <c r="AA523" t="str">
        <f t="shared" si="156"/>
        <v>60051</v>
      </c>
      <c r="AB523" t="str">
        <f t="shared" si="157"/>
        <v>(KÖT)051</v>
      </c>
      <c r="AC523" t="str">
        <f t="shared" si="158"/>
        <v>60P6544270511061</v>
      </c>
      <c r="AD523" t="str">
        <f t="shared" si="159"/>
        <v>P6544270511061(KÖT)</v>
      </c>
      <c r="AE523" t="str">
        <f t="shared" si="160"/>
        <v>60P654427051</v>
      </c>
      <c r="AF523" t="str">
        <f t="shared" si="161"/>
        <v>P654427051(KÖT)</v>
      </c>
      <c r="AG523" t="str">
        <f t="shared" si="167"/>
        <v>60P654427051106113100</v>
      </c>
      <c r="AH523" t="str">
        <f t="shared" si="168"/>
        <v>P654427(KÖT)051106113100</v>
      </c>
      <c r="AI523" t="str">
        <f t="shared" si="169"/>
        <v>60P65442705113100</v>
      </c>
      <c r="AJ523" t="str">
        <f t="shared" si="170"/>
        <v>P654427051(KÖT)13100</v>
      </c>
    </row>
    <row r="524" spans="1:36" x14ac:dyDescent="0.25">
      <c r="A524" s="325" t="str">
        <f>CONCATENATE("P",'906MP'!M224)</f>
        <v>P654427</v>
      </c>
      <c r="B524">
        <f>'906MP'!H224</f>
        <v>60</v>
      </c>
      <c r="C524" t="str">
        <f>'906MP'!J224</f>
        <v>2025-05-01</v>
      </c>
      <c r="D524" t="str">
        <f>'906MP'!P224</f>
        <v>módosított ei</v>
      </c>
      <c r="E524">
        <f>'906MP'!X224</f>
        <v>341467</v>
      </c>
      <c r="F524" t="str">
        <f t="shared" si="162"/>
        <v>05</v>
      </c>
      <c r="G524" t="str">
        <f t="shared" si="163"/>
        <v>051</v>
      </c>
      <c r="H524" t="str">
        <f>'906MP'!Y224</f>
        <v>0511131</v>
      </c>
      <c r="I524" t="str">
        <f>'906MP'!AK224</f>
        <v>2025/MEI-654427/12</v>
      </c>
      <c r="J524" t="str">
        <f>'906MP'!T224</f>
        <v>(KÖT)</v>
      </c>
      <c r="K524" t="str">
        <f>'906MP'!AJ224</f>
        <v/>
      </c>
      <c r="L524" t="str">
        <f>'906MP'!U224</f>
        <v>13100</v>
      </c>
      <c r="M524" s="322" t="str">
        <f>IFERROR(VLOOKUP(A524,PAR!$D$3:$E$53,2,FALSE),"nincs szervezet")</f>
        <v>Nagymarosi Napköziotthonos Óvoda és Bölcsőde</v>
      </c>
      <c r="N524" s="322" t="str">
        <f>VLOOKUP(F524,PAR!$R$3:$S$5,2,FALSE)</f>
        <v>2 - Kiadás</v>
      </c>
      <c r="O524" t="str">
        <f>IFERROR(VLOOKUP(J524,PAR!$O$3:$P$5,2,FALSE),"nincs feladat")</f>
        <v>1 - (KÖT)</v>
      </c>
      <c r="P524" t="str">
        <f>IFERROR(VLOOKUP(G524,PAR!$J$2:$M$19,4),"nincs rovat")</f>
        <v>K1 - Személyi juttatások</v>
      </c>
      <c r="Q524" t="str">
        <f>IF(H524&gt;0,VLOOKUP(H524,PAR!$AA$3:$AC$187,3,FALSE),"nincs főkönyvi számla")</f>
        <v>0511131 -  Foglalkoztatottak egyéb személyi juttatásai előirányzata</v>
      </c>
      <c r="R524" t="str">
        <f>IFERROR(VLOOKUP(K524,PAR!$V$3:$X$438,3,FALSE),"000000 - Nincs COFOG")</f>
        <v>000000 - Nincs COFOG</v>
      </c>
      <c r="S524">
        <f t="shared" si="164"/>
        <v>341467</v>
      </c>
      <c r="T524">
        <f t="shared" si="165"/>
        <v>341467</v>
      </c>
      <c r="U524" t="str">
        <f>IF('906MP'!J224&gt;0,CONCATENATE('906MP'!J224," - ",'906MP'!P224,", ",'906MP'!E224),"nincs megjegyzés")</f>
        <v>2025-05-01 - módosított ei, 2025/MEI-654427/12</v>
      </c>
      <c r="V524" t="str">
        <f t="shared" si="152"/>
        <v>60P654427051</v>
      </c>
      <c r="W524" t="str">
        <f t="shared" si="153"/>
        <v>60P65442705</v>
      </c>
      <c r="X524" t="str">
        <f t="shared" si="154"/>
        <v>P6544270511131</v>
      </c>
      <c r="Y524" t="str">
        <f t="shared" si="155"/>
        <v>600511131</v>
      </c>
      <c r="Z524" t="str">
        <f t="shared" si="166"/>
        <v>(KÖT)0511131</v>
      </c>
      <c r="AA524" t="str">
        <f t="shared" si="156"/>
        <v>60051</v>
      </c>
      <c r="AB524" t="str">
        <f t="shared" si="157"/>
        <v>(KÖT)051</v>
      </c>
      <c r="AC524" t="str">
        <f t="shared" si="158"/>
        <v>60P6544270511131</v>
      </c>
      <c r="AD524" t="str">
        <f t="shared" si="159"/>
        <v>P6544270511131(KÖT)</v>
      </c>
      <c r="AE524" t="str">
        <f t="shared" si="160"/>
        <v>60P654427051</v>
      </c>
      <c r="AF524" t="str">
        <f t="shared" si="161"/>
        <v>P654427051(KÖT)</v>
      </c>
      <c r="AG524" t="str">
        <f t="shared" si="167"/>
        <v>60P654427051113113100</v>
      </c>
      <c r="AH524" t="str">
        <f t="shared" si="168"/>
        <v>P654427(KÖT)051113113100</v>
      </c>
      <c r="AI524" t="str">
        <f t="shared" si="169"/>
        <v>60P65442705113100</v>
      </c>
      <c r="AJ524" t="str">
        <f t="shared" si="170"/>
        <v>P654427051(KÖT)13100</v>
      </c>
    </row>
    <row r="525" spans="1:36" x14ac:dyDescent="0.25">
      <c r="A525" s="325" t="str">
        <f>CONCATENATE("P",'906MP'!M225)</f>
        <v>P654427</v>
      </c>
      <c r="B525">
        <f>'906MP'!H225</f>
        <v>60</v>
      </c>
      <c r="C525" t="str">
        <f>'906MP'!J225</f>
        <v>2025-05-01</v>
      </c>
      <c r="D525" t="str">
        <f>'906MP'!P225</f>
        <v>módosított ei</v>
      </c>
      <c r="E525">
        <f>'906MP'!X225</f>
        <v>392478</v>
      </c>
      <c r="F525" t="str">
        <f t="shared" si="162"/>
        <v>05</v>
      </c>
      <c r="G525" t="str">
        <f t="shared" si="163"/>
        <v>051</v>
      </c>
      <c r="H525" t="str">
        <f>'906MP'!Y225</f>
        <v>051221</v>
      </c>
      <c r="I525" t="str">
        <f>'906MP'!AK225</f>
        <v>2025/MEI-654427/12</v>
      </c>
      <c r="J525" t="str">
        <f>'906MP'!T225</f>
        <v>(KÖT)</v>
      </c>
      <c r="K525" t="str">
        <f>'906MP'!AJ225</f>
        <v/>
      </c>
      <c r="L525" t="str">
        <f>'906MP'!U225</f>
        <v>13100</v>
      </c>
      <c r="M525" s="322" t="str">
        <f>IFERROR(VLOOKUP(A525,PAR!$D$3:$E$53,2,FALSE),"nincs szervezet")</f>
        <v>Nagymarosi Napköziotthonos Óvoda és Bölcsőde</v>
      </c>
      <c r="N525" s="322" t="str">
        <f>VLOOKUP(F525,PAR!$R$3:$S$5,2,FALSE)</f>
        <v>2 - Kiadás</v>
      </c>
      <c r="O525" t="str">
        <f>IFERROR(VLOOKUP(J525,PAR!$O$3:$P$5,2,FALSE),"nincs feladat")</f>
        <v>1 - (KÖT)</v>
      </c>
      <c r="P525" t="str">
        <f>IFERROR(VLOOKUP(G525,PAR!$J$2:$M$19,4),"nincs rovat")</f>
        <v>K1 - Személyi juttatások</v>
      </c>
      <c r="Q525" t="str">
        <f>IF(H525&gt;0,VLOOKUP(H525,PAR!$AA$3:$AC$187,3,FALSE),"nincs főkönyvi számla")</f>
        <v>051221 -  Munkavégzésre irányuló egyéb jogviszonyban nem saját foglalkoztatottnak fizetett juttatások előirányzata</v>
      </c>
      <c r="R525" t="str">
        <f>IFERROR(VLOOKUP(K525,PAR!$V$3:$X$438,3,FALSE),"000000 - Nincs COFOG")</f>
        <v>000000 - Nincs COFOG</v>
      </c>
      <c r="S525">
        <f t="shared" si="164"/>
        <v>392478</v>
      </c>
      <c r="T525">
        <f t="shared" si="165"/>
        <v>392478</v>
      </c>
      <c r="U525" t="str">
        <f>IF('906MP'!J225&gt;0,CONCATENATE('906MP'!J225," - ",'906MP'!P225,", ",'906MP'!E225),"nincs megjegyzés")</f>
        <v>2025-05-01 - módosított ei, 2025/MEI-654427/12</v>
      </c>
      <c r="V525" t="str">
        <f t="shared" si="152"/>
        <v>60P654427051</v>
      </c>
      <c r="W525" t="str">
        <f t="shared" si="153"/>
        <v>60P65442705</v>
      </c>
      <c r="X525" t="str">
        <f t="shared" si="154"/>
        <v>P654427051221</v>
      </c>
      <c r="Y525" t="str">
        <f t="shared" si="155"/>
        <v>60051221</v>
      </c>
      <c r="Z525" t="str">
        <f t="shared" si="166"/>
        <v>(KÖT)051221</v>
      </c>
      <c r="AA525" t="str">
        <f t="shared" si="156"/>
        <v>60051</v>
      </c>
      <c r="AB525" t="str">
        <f t="shared" si="157"/>
        <v>(KÖT)051</v>
      </c>
      <c r="AC525" t="str">
        <f t="shared" si="158"/>
        <v>60P654427051221</v>
      </c>
      <c r="AD525" t="str">
        <f t="shared" si="159"/>
        <v>P654427051221(KÖT)</v>
      </c>
      <c r="AE525" t="str">
        <f t="shared" si="160"/>
        <v>60P654427051</v>
      </c>
      <c r="AF525" t="str">
        <f t="shared" si="161"/>
        <v>P654427051(KÖT)</v>
      </c>
      <c r="AG525" t="str">
        <f t="shared" si="167"/>
        <v>60P65442705122113100</v>
      </c>
      <c r="AH525" t="str">
        <f t="shared" si="168"/>
        <v>P654427(KÖT)05122113100</v>
      </c>
      <c r="AI525" t="str">
        <f t="shared" si="169"/>
        <v>60P65442705113100</v>
      </c>
      <c r="AJ525" t="str">
        <f t="shared" si="170"/>
        <v>P654427051(KÖT)13100</v>
      </c>
    </row>
    <row r="526" spans="1:36" x14ac:dyDescent="0.25">
      <c r="A526" s="325" t="str">
        <f>CONCATENATE("P",'906MP'!M226)</f>
        <v>P654427</v>
      </c>
      <c r="B526">
        <f>'906MP'!H226</f>
        <v>60</v>
      </c>
      <c r="C526" t="str">
        <f>'906MP'!J226</f>
        <v>2025-05-01</v>
      </c>
      <c r="D526" t="str">
        <f>'906MP'!P226</f>
        <v>módosított ei</v>
      </c>
      <c r="E526">
        <f>'906MP'!X226</f>
        <v>-922423</v>
      </c>
      <c r="F526" t="str">
        <f t="shared" si="162"/>
        <v>05</v>
      </c>
      <c r="G526" t="str">
        <f t="shared" si="163"/>
        <v>051</v>
      </c>
      <c r="H526" t="str">
        <f>'906MP'!Y226</f>
        <v>0511011</v>
      </c>
      <c r="I526" t="str">
        <f>'906MP'!AK226</f>
        <v>2025/MEI-654427/12</v>
      </c>
      <c r="J526" t="str">
        <f>'906MP'!T226</f>
        <v>(KÖT)</v>
      </c>
      <c r="K526" t="str">
        <f>'906MP'!AJ226</f>
        <v/>
      </c>
      <c r="L526" t="str">
        <f>'906MP'!U226</f>
        <v>13100</v>
      </c>
      <c r="M526" s="322" t="str">
        <f>IFERROR(VLOOKUP(A526,PAR!$D$3:$E$53,2,FALSE),"nincs szervezet")</f>
        <v>Nagymarosi Napköziotthonos Óvoda és Bölcsőde</v>
      </c>
      <c r="N526" s="322" t="str">
        <f>VLOOKUP(F526,PAR!$R$3:$S$5,2,FALSE)</f>
        <v>2 - Kiadás</v>
      </c>
      <c r="O526" t="str">
        <f>IFERROR(VLOOKUP(J526,PAR!$O$3:$P$5,2,FALSE),"nincs feladat")</f>
        <v>1 - (KÖT)</v>
      </c>
      <c r="P526" t="str">
        <f>IFERROR(VLOOKUP(G526,PAR!$J$2:$M$19,4),"nincs rovat")</f>
        <v>K1 - Személyi juttatások</v>
      </c>
      <c r="Q526" t="str">
        <f>IF(H526&gt;0,VLOOKUP(H526,PAR!$AA$3:$AC$187,3,FALSE),"nincs főkönyvi számla")</f>
        <v>0511011 -  Törvény szerinti illetmények, munkabérek előirányzata</v>
      </c>
      <c r="R526" t="str">
        <f>IFERROR(VLOOKUP(K526,PAR!$V$3:$X$438,3,FALSE),"000000 - Nincs COFOG")</f>
        <v>000000 - Nincs COFOG</v>
      </c>
      <c r="S526">
        <f t="shared" si="164"/>
        <v>-922423</v>
      </c>
      <c r="T526">
        <f t="shared" si="165"/>
        <v>-922423</v>
      </c>
      <c r="U526" t="str">
        <f>IF('906MP'!J226&gt;0,CONCATENATE('906MP'!J226," - ",'906MP'!P226,", ",'906MP'!E226),"nincs megjegyzés")</f>
        <v>2025-05-01 - módosított ei, 2025/MEI-654427/12</v>
      </c>
      <c r="V526" t="str">
        <f t="shared" si="152"/>
        <v>60P654427051</v>
      </c>
      <c r="W526" t="str">
        <f t="shared" si="153"/>
        <v>60P65442705</v>
      </c>
      <c r="X526" t="str">
        <f t="shared" si="154"/>
        <v>P6544270511011</v>
      </c>
      <c r="Y526" t="str">
        <f t="shared" si="155"/>
        <v>600511011</v>
      </c>
      <c r="Z526" t="str">
        <f t="shared" si="166"/>
        <v>(KÖT)0511011</v>
      </c>
      <c r="AA526" t="str">
        <f t="shared" si="156"/>
        <v>60051</v>
      </c>
      <c r="AB526" t="str">
        <f t="shared" si="157"/>
        <v>(KÖT)051</v>
      </c>
      <c r="AC526" t="str">
        <f t="shared" si="158"/>
        <v>60P6544270511011</v>
      </c>
      <c r="AD526" t="str">
        <f t="shared" si="159"/>
        <v>P6544270511011(KÖT)</v>
      </c>
      <c r="AE526" t="str">
        <f t="shared" si="160"/>
        <v>60P654427051</v>
      </c>
      <c r="AF526" t="str">
        <f t="shared" si="161"/>
        <v>P654427051(KÖT)</v>
      </c>
      <c r="AG526" t="str">
        <f t="shared" si="167"/>
        <v>60P654427051101113100</v>
      </c>
      <c r="AH526" t="str">
        <f t="shared" si="168"/>
        <v>P654427(KÖT)051101113100</v>
      </c>
      <c r="AI526" t="str">
        <f t="shared" si="169"/>
        <v>60P65442705113100</v>
      </c>
      <c r="AJ526" t="str">
        <f t="shared" si="170"/>
        <v>P654427051(KÖT)13100</v>
      </c>
    </row>
    <row r="527" spans="1:36" x14ac:dyDescent="0.25">
      <c r="A527" s="325" t="str">
        <f>CONCATENATE("P",'906MP'!M227)</f>
        <v>P654427</v>
      </c>
      <c r="B527">
        <f>'906MP'!H227</f>
        <v>60</v>
      </c>
      <c r="C527" t="str">
        <f>'906MP'!J227</f>
        <v>2025-04-01</v>
      </c>
      <c r="D527" t="str">
        <f>'906MP'!P227</f>
        <v>módosított ei</v>
      </c>
      <c r="E527">
        <f>'906MP'!X227</f>
        <v>82729</v>
      </c>
      <c r="F527" t="str">
        <f t="shared" si="162"/>
        <v>05</v>
      </c>
      <c r="G527" t="str">
        <f t="shared" si="163"/>
        <v>051</v>
      </c>
      <c r="H527" t="str">
        <f>'906MP'!Y227</f>
        <v>0511131</v>
      </c>
      <c r="I527" t="str">
        <f>'906MP'!AK227</f>
        <v>2025/MEI-654427/8</v>
      </c>
      <c r="J527" t="str">
        <f>'906MP'!T227</f>
        <v>(KÖT)</v>
      </c>
      <c r="K527" t="str">
        <f>'906MP'!AJ227</f>
        <v/>
      </c>
      <c r="L527" t="str">
        <f>'906MP'!U227</f>
        <v>13100</v>
      </c>
      <c r="M527" s="322" t="str">
        <f>IFERROR(VLOOKUP(A527,PAR!$D$3:$E$53,2,FALSE),"nincs szervezet")</f>
        <v>Nagymarosi Napköziotthonos Óvoda és Bölcsőde</v>
      </c>
      <c r="N527" s="322" t="str">
        <f>VLOOKUP(F527,PAR!$R$3:$S$5,2,FALSE)</f>
        <v>2 - Kiadás</v>
      </c>
      <c r="O527" t="str">
        <f>IFERROR(VLOOKUP(J527,PAR!$O$3:$P$5,2,FALSE),"nincs feladat")</f>
        <v>1 - (KÖT)</v>
      </c>
      <c r="P527" t="str">
        <f>IFERROR(VLOOKUP(G527,PAR!$J$2:$M$19,4),"nincs rovat")</f>
        <v>K1 - Személyi juttatások</v>
      </c>
      <c r="Q527" t="str">
        <f>IF(H527&gt;0,VLOOKUP(H527,PAR!$AA$3:$AC$187,3,FALSE),"nincs főkönyvi számla")</f>
        <v>0511131 -  Foglalkoztatottak egyéb személyi juttatásai előirányzata</v>
      </c>
      <c r="R527" t="str">
        <f>IFERROR(VLOOKUP(K527,PAR!$V$3:$X$438,3,FALSE),"000000 - Nincs COFOG")</f>
        <v>000000 - Nincs COFOG</v>
      </c>
      <c r="S527">
        <f t="shared" si="164"/>
        <v>82729</v>
      </c>
      <c r="T527">
        <f t="shared" si="165"/>
        <v>82729</v>
      </c>
      <c r="U527" t="str">
        <f>IF('906MP'!J227&gt;0,CONCATENATE('906MP'!J227," - ",'906MP'!P227,", ",'906MP'!E227),"nincs megjegyzés")</f>
        <v>2025-04-01 - módosított ei, 2025/MEI-654427/8</v>
      </c>
      <c r="V527" t="str">
        <f t="shared" si="152"/>
        <v>60P654427051</v>
      </c>
      <c r="W527" t="str">
        <f t="shared" si="153"/>
        <v>60P65442705</v>
      </c>
      <c r="X527" t="str">
        <f t="shared" si="154"/>
        <v>P6544270511131</v>
      </c>
      <c r="Y527" t="str">
        <f t="shared" si="155"/>
        <v>600511131</v>
      </c>
      <c r="Z527" t="str">
        <f t="shared" si="166"/>
        <v>(KÖT)0511131</v>
      </c>
      <c r="AA527" t="str">
        <f t="shared" si="156"/>
        <v>60051</v>
      </c>
      <c r="AB527" t="str">
        <f t="shared" si="157"/>
        <v>(KÖT)051</v>
      </c>
      <c r="AC527" t="str">
        <f t="shared" si="158"/>
        <v>60P6544270511131</v>
      </c>
      <c r="AD527" t="str">
        <f t="shared" si="159"/>
        <v>P6544270511131(KÖT)</v>
      </c>
      <c r="AE527" t="str">
        <f t="shared" si="160"/>
        <v>60P654427051</v>
      </c>
      <c r="AF527" t="str">
        <f t="shared" si="161"/>
        <v>P654427051(KÖT)</v>
      </c>
      <c r="AG527" t="str">
        <f t="shared" si="167"/>
        <v>60P654427051113113100</v>
      </c>
      <c r="AH527" t="str">
        <f t="shared" si="168"/>
        <v>P654427(KÖT)051113113100</v>
      </c>
      <c r="AI527" t="str">
        <f t="shared" si="169"/>
        <v>60P65442705113100</v>
      </c>
      <c r="AJ527" t="str">
        <f t="shared" si="170"/>
        <v>P654427051(KÖT)13100</v>
      </c>
    </row>
    <row r="528" spans="1:36" x14ac:dyDescent="0.25">
      <c r="A528" s="325" t="str">
        <f>CONCATENATE("P",'906MP'!M228)</f>
        <v>P654427</v>
      </c>
      <c r="B528">
        <f>'906MP'!H228</f>
        <v>60</v>
      </c>
      <c r="C528" t="str">
        <f>'906MP'!J228</f>
        <v>2025-04-01</v>
      </c>
      <c r="D528" t="str">
        <f>'906MP'!P228</f>
        <v>módosított ei</v>
      </c>
      <c r="E528">
        <f>'906MP'!X228</f>
        <v>-82729</v>
      </c>
      <c r="F528" t="str">
        <f t="shared" si="162"/>
        <v>05</v>
      </c>
      <c r="G528" t="str">
        <f t="shared" si="163"/>
        <v>051</v>
      </c>
      <c r="H528" t="str">
        <f>'906MP'!Y228</f>
        <v>0511011</v>
      </c>
      <c r="I528" t="str">
        <f>'906MP'!AK228</f>
        <v>2025/MEI-654427/8</v>
      </c>
      <c r="J528" t="str">
        <f>'906MP'!T228</f>
        <v>(KÖT)</v>
      </c>
      <c r="K528" t="str">
        <f>'906MP'!AJ228</f>
        <v/>
      </c>
      <c r="L528" t="str">
        <f>'906MP'!U228</f>
        <v>13100</v>
      </c>
      <c r="M528" s="322" t="str">
        <f>IFERROR(VLOOKUP(A528,PAR!$D$3:$E$53,2,FALSE),"nincs szervezet")</f>
        <v>Nagymarosi Napköziotthonos Óvoda és Bölcsőde</v>
      </c>
      <c r="N528" s="322" t="str">
        <f>VLOOKUP(F528,PAR!$R$3:$S$5,2,FALSE)</f>
        <v>2 - Kiadás</v>
      </c>
      <c r="O528" t="str">
        <f>IFERROR(VLOOKUP(J528,PAR!$O$3:$P$5,2,FALSE),"nincs feladat")</f>
        <v>1 - (KÖT)</v>
      </c>
      <c r="P528" t="str">
        <f>IFERROR(VLOOKUP(G528,PAR!$J$2:$M$19,4),"nincs rovat")</f>
        <v>K1 - Személyi juttatások</v>
      </c>
      <c r="Q528" t="str">
        <f>IF(H528&gt;0,VLOOKUP(H528,PAR!$AA$3:$AC$187,3,FALSE),"nincs főkönyvi számla")</f>
        <v>0511011 -  Törvény szerinti illetmények, munkabérek előirányzata</v>
      </c>
      <c r="R528" t="str">
        <f>IFERROR(VLOOKUP(K528,PAR!$V$3:$X$438,3,FALSE),"000000 - Nincs COFOG")</f>
        <v>000000 - Nincs COFOG</v>
      </c>
      <c r="S528">
        <f t="shared" si="164"/>
        <v>-82729</v>
      </c>
      <c r="T528">
        <f t="shared" si="165"/>
        <v>-82729</v>
      </c>
      <c r="U528" t="str">
        <f>IF('906MP'!J228&gt;0,CONCATENATE('906MP'!J228," - ",'906MP'!P228,", ",'906MP'!E228),"nincs megjegyzés")</f>
        <v>2025-04-01 - módosított ei, 2025/MEI-654427/8</v>
      </c>
      <c r="V528" t="str">
        <f t="shared" si="152"/>
        <v>60P654427051</v>
      </c>
      <c r="W528" t="str">
        <f t="shared" si="153"/>
        <v>60P65442705</v>
      </c>
      <c r="X528" t="str">
        <f t="shared" si="154"/>
        <v>P6544270511011</v>
      </c>
      <c r="Y528" t="str">
        <f t="shared" si="155"/>
        <v>600511011</v>
      </c>
      <c r="Z528" t="str">
        <f t="shared" si="166"/>
        <v>(KÖT)0511011</v>
      </c>
      <c r="AA528" t="str">
        <f t="shared" si="156"/>
        <v>60051</v>
      </c>
      <c r="AB528" t="str">
        <f t="shared" si="157"/>
        <v>(KÖT)051</v>
      </c>
      <c r="AC528" t="str">
        <f t="shared" si="158"/>
        <v>60P6544270511011</v>
      </c>
      <c r="AD528" t="str">
        <f t="shared" si="159"/>
        <v>P6544270511011(KÖT)</v>
      </c>
      <c r="AE528" t="str">
        <f t="shared" si="160"/>
        <v>60P654427051</v>
      </c>
      <c r="AF528" t="str">
        <f t="shared" si="161"/>
        <v>P654427051(KÖT)</v>
      </c>
      <c r="AG528" t="str">
        <f t="shared" si="167"/>
        <v>60P654427051101113100</v>
      </c>
      <c r="AH528" t="str">
        <f t="shared" si="168"/>
        <v>P654427(KÖT)051101113100</v>
      </c>
      <c r="AI528" t="str">
        <f t="shared" si="169"/>
        <v>60P65442705113100</v>
      </c>
      <c r="AJ528" t="str">
        <f t="shared" si="170"/>
        <v>P654427051(KÖT)13100</v>
      </c>
    </row>
    <row r="529" spans="1:36" x14ac:dyDescent="0.25">
      <c r="A529" s="325" t="str">
        <f>CONCATENATE("P",'906MP'!M229)</f>
        <v>P654427</v>
      </c>
      <c r="B529">
        <f>'906MP'!H229</f>
        <v>60</v>
      </c>
      <c r="C529" t="str">
        <f>'906MP'!J229</f>
        <v>2025-05-01</v>
      </c>
      <c r="D529" t="str">
        <f>'906MP'!P229</f>
        <v>módosított ei</v>
      </c>
      <c r="E529">
        <f>'906MP'!X229</f>
        <v>459998</v>
      </c>
      <c r="F529" t="str">
        <f t="shared" si="162"/>
        <v>05</v>
      </c>
      <c r="G529" t="str">
        <f t="shared" si="163"/>
        <v>051</v>
      </c>
      <c r="H529" t="str">
        <f>'906MP'!Y229</f>
        <v>0511131</v>
      </c>
      <c r="I529" t="str">
        <f>'906MP'!AK229</f>
        <v>2025/MEI-654427/14</v>
      </c>
      <c r="J529" t="str">
        <f>'906MP'!T229</f>
        <v>(KÖT)</v>
      </c>
      <c r="K529" t="str">
        <f>'906MP'!AJ229</f>
        <v/>
      </c>
      <c r="L529" t="str">
        <f>'906MP'!U229</f>
        <v>13100</v>
      </c>
      <c r="M529" s="322" t="str">
        <f>IFERROR(VLOOKUP(A529,PAR!$D$3:$E$53,2,FALSE),"nincs szervezet")</f>
        <v>Nagymarosi Napköziotthonos Óvoda és Bölcsőde</v>
      </c>
      <c r="N529" s="322" t="str">
        <f>VLOOKUP(F529,PAR!$R$3:$S$5,2,FALSE)</f>
        <v>2 - Kiadás</v>
      </c>
      <c r="O529" t="str">
        <f>IFERROR(VLOOKUP(J529,PAR!$O$3:$P$5,2,FALSE),"nincs feladat")</f>
        <v>1 - (KÖT)</v>
      </c>
      <c r="P529" t="str">
        <f>IFERROR(VLOOKUP(G529,PAR!$J$2:$M$19,4),"nincs rovat")</f>
        <v>K1 - Személyi juttatások</v>
      </c>
      <c r="Q529" t="str">
        <f>IF(H529&gt;0,VLOOKUP(H529,PAR!$AA$3:$AC$187,3,FALSE),"nincs főkönyvi számla")</f>
        <v>0511131 -  Foglalkoztatottak egyéb személyi juttatásai előirányzata</v>
      </c>
      <c r="R529" t="str">
        <f>IFERROR(VLOOKUP(K529,PAR!$V$3:$X$438,3,FALSE),"000000 - Nincs COFOG")</f>
        <v>000000 - Nincs COFOG</v>
      </c>
      <c r="S529">
        <f t="shared" si="164"/>
        <v>459998</v>
      </c>
      <c r="T529">
        <f t="shared" si="165"/>
        <v>459998</v>
      </c>
      <c r="U529" t="str">
        <f>IF('906MP'!J229&gt;0,CONCATENATE('906MP'!J229," - ",'906MP'!P229,", ",'906MP'!E229),"nincs megjegyzés")</f>
        <v>2025-05-01 - módosított ei, 2025/MEI-654427/14</v>
      </c>
      <c r="V529" t="str">
        <f t="shared" si="152"/>
        <v>60P654427051</v>
      </c>
      <c r="W529" t="str">
        <f t="shared" si="153"/>
        <v>60P65442705</v>
      </c>
      <c r="X529" t="str">
        <f t="shared" si="154"/>
        <v>P6544270511131</v>
      </c>
      <c r="Y529" t="str">
        <f t="shared" si="155"/>
        <v>600511131</v>
      </c>
      <c r="Z529" t="str">
        <f t="shared" si="166"/>
        <v>(KÖT)0511131</v>
      </c>
      <c r="AA529" t="str">
        <f t="shared" si="156"/>
        <v>60051</v>
      </c>
      <c r="AB529" t="str">
        <f t="shared" si="157"/>
        <v>(KÖT)051</v>
      </c>
      <c r="AC529" t="str">
        <f t="shared" si="158"/>
        <v>60P6544270511131</v>
      </c>
      <c r="AD529" t="str">
        <f t="shared" si="159"/>
        <v>P6544270511131(KÖT)</v>
      </c>
      <c r="AE529" t="str">
        <f t="shared" si="160"/>
        <v>60P654427051</v>
      </c>
      <c r="AF529" t="str">
        <f t="shared" si="161"/>
        <v>P654427051(KÖT)</v>
      </c>
      <c r="AG529" t="str">
        <f t="shared" si="167"/>
        <v>60P654427051113113100</v>
      </c>
      <c r="AH529" t="str">
        <f t="shared" si="168"/>
        <v>P654427(KÖT)051113113100</v>
      </c>
      <c r="AI529" t="str">
        <f t="shared" si="169"/>
        <v>60P65442705113100</v>
      </c>
      <c r="AJ529" t="str">
        <f t="shared" si="170"/>
        <v>P654427051(KÖT)13100</v>
      </c>
    </row>
    <row r="530" spans="1:36" x14ac:dyDescent="0.25">
      <c r="A530" s="325" t="str">
        <f>CONCATENATE("P",'906MP'!M230)</f>
        <v>P654427</v>
      </c>
      <c r="B530">
        <f>'906MP'!H230</f>
        <v>60</v>
      </c>
      <c r="C530" t="str">
        <f>'906MP'!J230</f>
        <v>2025-05-01</v>
      </c>
      <c r="D530" t="str">
        <f>'906MP'!P230</f>
        <v>módosított ei</v>
      </c>
      <c r="E530">
        <f>'906MP'!X230</f>
        <v>-459998</v>
      </c>
      <c r="F530" t="str">
        <f t="shared" si="162"/>
        <v>05</v>
      </c>
      <c r="G530" t="str">
        <f t="shared" si="163"/>
        <v>051</v>
      </c>
      <c r="H530" t="str">
        <f>'906MP'!Y230</f>
        <v>0511011</v>
      </c>
      <c r="I530" t="str">
        <f>'906MP'!AK230</f>
        <v>2025/MEI-654427/14</v>
      </c>
      <c r="J530" t="str">
        <f>'906MP'!T230</f>
        <v>(KÖT)</v>
      </c>
      <c r="K530" t="str">
        <f>'906MP'!AJ230</f>
        <v/>
      </c>
      <c r="L530" t="str">
        <f>'906MP'!U230</f>
        <v>13100</v>
      </c>
      <c r="M530" s="322" t="str">
        <f>IFERROR(VLOOKUP(A530,PAR!$D$3:$E$53,2,FALSE),"nincs szervezet")</f>
        <v>Nagymarosi Napköziotthonos Óvoda és Bölcsőde</v>
      </c>
      <c r="N530" s="322" t="str">
        <f>VLOOKUP(F530,PAR!$R$3:$S$5,2,FALSE)</f>
        <v>2 - Kiadás</v>
      </c>
      <c r="O530" t="str">
        <f>IFERROR(VLOOKUP(J530,PAR!$O$3:$P$5,2,FALSE),"nincs feladat")</f>
        <v>1 - (KÖT)</v>
      </c>
      <c r="P530" t="str">
        <f>IFERROR(VLOOKUP(G530,PAR!$J$2:$M$19,4),"nincs rovat")</f>
        <v>K1 - Személyi juttatások</v>
      </c>
      <c r="Q530" t="str">
        <f>IF(H530&gt;0,VLOOKUP(H530,PAR!$AA$3:$AC$187,3,FALSE),"nincs főkönyvi számla")</f>
        <v>0511011 -  Törvény szerinti illetmények, munkabérek előirányzata</v>
      </c>
      <c r="R530" t="str">
        <f>IFERROR(VLOOKUP(K530,PAR!$V$3:$X$438,3,FALSE),"000000 - Nincs COFOG")</f>
        <v>000000 - Nincs COFOG</v>
      </c>
      <c r="S530">
        <f t="shared" si="164"/>
        <v>-459998</v>
      </c>
      <c r="T530">
        <f t="shared" si="165"/>
        <v>-459998</v>
      </c>
      <c r="U530" t="str">
        <f>IF('906MP'!J230&gt;0,CONCATENATE('906MP'!J230," - ",'906MP'!P230,", ",'906MP'!E230),"nincs megjegyzés")</f>
        <v>2025-05-01 - módosított ei, 2025/MEI-654427/14</v>
      </c>
      <c r="V530" t="str">
        <f t="shared" si="152"/>
        <v>60P654427051</v>
      </c>
      <c r="W530" t="str">
        <f t="shared" si="153"/>
        <v>60P65442705</v>
      </c>
      <c r="X530" t="str">
        <f t="shared" si="154"/>
        <v>P6544270511011</v>
      </c>
      <c r="Y530" t="str">
        <f t="shared" si="155"/>
        <v>600511011</v>
      </c>
      <c r="Z530" t="str">
        <f t="shared" si="166"/>
        <v>(KÖT)0511011</v>
      </c>
      <c r="AA530" t="str">
        <f t="shared" si="156"/>
        <v>60051</v>
      </c>
      <c r="AB530" t="str">
        <f t="shared" si="157"/>
        <v>(KÖT)051</v>
      </c>
      <c r="AC530" t="str">
        <f t="shared" si="158"/>
        <v>60P6544270511011</v>
      </c>
      <c r="AD530" t="str">
        <f t="shared" si="159"/>
        <v>P6544270511011(KÖT)</v>
      </c>
      <c r="AE530" t="str">
        <f t="shared" si="160"/>
        <v>60P654427051</v>
      </c>
      <c r="AF530" t="str">
        <f t="shared" si="161"/>
        <v>P654427051(KÖT)</v>
      </c>
      <c r="AG530" t="str">
        <f t="shared" si="167"/>
        <v>60P654427051101113100</v>
      </c>
      <c r="AH530" t="str">
        <f t="shared" si="168"/>
        <v>P654427(KÖT)051101113100</v>
      </c>
      <c r="AI530" t="str">
        <f t="shared" si="169"/>
        <v>60P65442705113100</v>
      </c>
      <c r="AJ530" t="str">
        <f t="shared" si="170"/>
        <v>P654427051(KÖT)13100</v>
      </c>
    </row>
    <row r="531" spans="1:36" x14ac:dyDescent="0.25">
      <c r="A531" s="325" t="str">
        <f>CONCATENATE("P",'906MP'!M231)</f>
        <v>P654427</v>
      </c>
      <c r="B531">
        <f>'906MP'!H231</f>
        <v>60</v>
      </c>
      <c r="C531" t="str">
        <f>'906MP'!J231</f>
        <v>2025-04-01</v>
      </c>
      <c r="D531" t="str">
        <f>'906MP'!P231</f>
        <v>módosított ei</v>
      </c>
      <c r="E531">
        <f>'906MP'!X231</f>
        <v>155031</v>
      </c>
      <c r="F531" t="str">
        <f t="shared" si="162"/>
        <v>05</v>
      </c>
      <c r="G531" t="str">
        <f t="shared" si="163"/>
        <v>051</v>
      </c>
      <c r="H531" t="str">
        <f>'906MP'!Y231</f>
        <v>0511041</v>
      </c>
      <c r="I531" t="str">
        <f>'906MP'!AK231</f>
        <v>2025/MEI-654427/9</v>
      </c>
      <c r="J531" t="str">
        <f>'906MP'!T231</f>
        <v>(KÖT)</v>
      </c>
      <c r="K531" t="str">
        <f>'906MP'!AJ231</f>
        <v/>
      </c>
      <c r="L531" t="str">
        <f>'906MP'!U231</f>
        <v>13100</v>
      </c>
      <c r="M531" s="322" t="str">
        <f>IFERROR(VLOOKUP(A531,PAR!$D$3:$E$53,2,FALSE),"nincs szervezet")</f>
        <v>Nagymarosi Napköziotthonos Óvoda és Bölcsőde</v>
      </c>
      <c r="N531" s="322" t="str">
        <f>VLOOKUP(F531,PAR!$R$3:$S$5,2,FALSE)</f>
        <v>2 - Kiadás</v>
      </c>
      <c r="O531" t="str">
        <f>IFERROR(VLOOKUP(J531,PAR!$O$3:$P$5,2,FALSE),"nincs feladat")</f>
        <v>1 - (KÖT)</v>
      </c>
      <c r="P531" t="str">
        <f>IFERROR(VLOOKUP(G531,PAR!$J$2:$M$19,4),"nincs rovat")</f>
        <v>K1 - Személyi juttatások</v>
      </c>
      <c r="Q531" t="str">
        <f>IF(H531&gt;0,VLOOKUP(H531,PAR!$AA$3:$AC$187,3,FALSE),"nincs főkönyvi számla")</f>
        <v>0511041 -  Készenléti, ügyeleti, helyettesítési díj, túlóra, túlszolgálat előirányzata</v>
      </c>
      <c r="R531" t="str">
        <f>IFERROR(VLOOKUP(K531,PAR!$V$3:$X$438,3,FALSE),"000000 - Nincs COFOG")</f>
        <v>000000 - Nincs COFOG</v>
      </c>
      <c r="S531">
        <f t="shared" si="164"/>
        <v>155031</v>
      </c>
      <c r="T531">
        <f t="shared" si="165"/>
        <v>155031</v>
      </c>
      <c r="U531" t="str">
        <f>IF('906MP'!J231&gt;0,CONCATENATE('906MP'!J231," - ",'906MP'!P231,", ",'906MP'!E231),"nincs megjegyzés")</f>
        <v>2025-04-01 - módosított ei, 2025/MEI-654427/9</v>
      </c>
      <c r="V531" t="str">
        <f t="shared" si="152"/>
        <v>60P654427051</v>
      </c>
      <c r="W531" t="str">
        <f t="shared" si="153"/>
        <v>60P65442705</v>
      </c>
      <c r="X531" t="str">
        <f t="shared" si="154"/>
        <v>P6544270511041</v>
      </c>
      <c r="Y531" t="str">
        <f t="shared" si="155"/>
        <v>600511041</v>
      </c>
      <c r="Z531" t="str">
        <f t="shared" si="166"/>
        <v>(KÖT)0511041</v>
      </c>
      <c r="AA531" t="str">
        <f t="shared" si="156"/>
        <v>60051</v>
      </c>
      <c r="AB531" t="str">
        <f t="shared" si="157"/>
        <v>(KÖT)051</v>
      </c>
      <c r="AC531" t="str">
        <f t="shared" si="158"/>
        <v>60P6544270511041</v>
      </c>
      <c r="AD531" t="str">
        <f t="shared" si="159"/>
        <v>P6544270511041(KÖT)</v>
      </c>
      <c r="AE531" t="str">
        <f t="shared" si="160"/>
        <v>60P654427051</v>
      </c>
      <c r="AF531" t="str">
        <f t="shared" si="161"/>
        <v>P654427051(KÖT)</v>
      </c>
      <c r="AG531" t="str">
        <f t="shared" si="167"/>
        <v>60P654427051104113100</v>
      </c>
      <c r="AH531" t="str">
        <f t="shared" si="168"/>
        <v>P654427(KÖT)051104113100</v>
      </c>
      <c r="AI531" t="str">
        <f t="shared" si="169"/>
        <v>60P65442705113100</v>
      </c>
      <c r="AJ531" t="str">
        <f t="shared" si="170"/>
        <v>P654427051(KÖT)13100</v>
      </c>
    </row>
    <row r="532" spans="1:36" x14ac:dyDescent="0.25">
      <c r="A532" s="325" t="str">
        <f>CONCATENATE("P",'906MP'!M232)</f>
        <v>P654427</v>
      </c>
      <c r="B532">
        <f>'906MP'!H232</f>
        <v>60</v>
      </c>
      <c r="C532" t="str">
        <f>'906MP'!J232</f>
        <v>2025-04-01</v>
      </c>
      <c r="D532" t="str">
        <f>'906MP'!P232</f>
        <v>módosított ei</v>
      </c>
      <c r="E532">
        <f>'906MP'!X232</f>
        <v>133829</v>
      </c>
      <c r="F532" t="str">
        <f t="shared" si="162"/>
        <v>05</v>
      </c>
      <c r="G532" t="str">
        <f t="shared" si="163"/>
        <v>051</v>
      </c>
      <c r="H532" t="str">
        <f>'906MP'!Y232</f>
        <v>0511131</v>
      </c>
      <c r="I532" t="str">
        <f>'906MP'!AK232</f>
        <v>2025/MEI-654427/9</v>
      </c>
      <c r="J532" t="str">
        <f>'906MP'!T232</f>
        <v>(KÖT)</v>
      </c>
      <c r="K532" t="str">
        <f>'906MP'!AJ232</f>
        <v/>
      </c>
      <c r="L532" t="str">
        <f>'906MP'!U232</f>
        <v>13100</v>
      </c>
      <c r="M532" s="322" t="str">
        <f>IFERROR(VLOOKUP(A532,PAR!$D$3:$E$53,2,FALSE),"nincs szervezet")</f>
        <v>Nagymarosi Napköziotthonos Óvoda és Bölcsőde</v>
      </c>
      <c r="N532" s="322" t="str">
        <f>VLOOKUP(F532,PAR!$R$3:$S$5,2,FALSE)</f>
        <v>2 - Kiadás</v>
      </c>
      <c r="O532" t="str">
        <f>IFERROR(VLOOKUP(J532,PAR!$O$3:$P$5,2,FALSE),"nincs feladat")</f>
        <v>1 - (KÖT)</v>
      </c>
      <c r="P532" t="str">
        <f>IFERROR(VLOOKUP(G532,PAR!$J$2:$M$19,4),"nincs rovat")</f>
        <v>K1 - Személyi juttatások</v>
      </c>
      <c r="Q532" t="str">
        <f>IF(H532&gt;0,VLOOKUP(H532,PAR!$AA$3:$AC$187,3,FALSE),"nincs főkönyvi számla")</f>
        <v>0511131 -  Foglalkoztatottak egyéb személyi juttatásai előirányzata</v>
      </c>
      <c r="R532" t="str">
        <f>IFERROR(VLOOKUP(K532,PAR!$V$3:$X$438,3,FALSE),"000000 - Nincs COFOG")</f>
        <v>000000 - Nincs COFOG</v>
      </c>
      <c r="S532">
        <f t="shared" si="164"/>
        <v>133829</v>
      </c>
      <c r="T532">
        <f t="shared" si="165"/>
        <v>133829</v>
      </c>
      <c r="U532" t="str">
        <f>IF('906MP'!J232&gt;0,CONCATENATE('906MP'!J232," - ",'906MP'!P232,", ",'906MP'!E232),"nincs megjegyzés")</f>
        <v>2025-04-01 - módosított ei, 2025/MEI-654427/9</v>
      </c>
      <c r="V532" t="str">
        <f t="shared" si="152"/>
        <v>60P654427051</v>
      </c>
      <c r="W532" t="str">
        <f t="shared" si="153"/>
        <v>60P65442705</v>
      </c>
      <c r="X532" t="str">
        <f t="shared" si="154"/>
        <v>P6544270511131</v>
      </c>
      <c r="Y532" t="str">
        <f t="shared" si="155"/>
        <v>600511131</v>
      </c>
      <c r="Z532" t="str">
        <f t="shared" si="166"/>
        <v>(KÖT)0511131</v>
      </c>
      <c r="AA532" t="str">
        <f t="shared" si="156"/>
        <v>60051</v>
      </c>
      <c r="AB532" t="str">
        <f t="shared" si="157"/>
        <v>(KÖT)051</v>
      </c>
      <c r="AC532" t="str">
        <f t="shared" si="158"/>
        <v>60P6544270511131</v>
      </c>
      <c r="AD532" t="str">
        <f t="shared" si="159"/>
        <v>P6544270511131(KÖT)</v>
      </c>
      <c r="AE532" t="str">
        <f t="shared" si="160"/>
        <v>60P654427051</v>
      </c>
      <c r="AF532" t="str">
        <f t="shared" si="161"/>
        <v>P654427051(KÖT)</v>
      </c>
      <c r="AG532" t="str">
        <f t="shared" si="167"/>
        <v>60P654427051113113100</v>
      </c>
      <c r="AH532" t="str">
        <f t="shared" si="168"/>
        <v>P654427(KÖT)051113113100</v>
      </c>
      <c r="AI532" t="str">
        <f t="shared" si="169"/>
        <v>60P65442705113100</v>
      </c>
      <c r="AJ532" t="str">
        <f t="shared" si="170"/>
        <v>P654427051(KÖT)13100</v>
      </c>
    </row>
    <row r="533" spans="1:36" x14ac:dyDescent="0.25">
      <c r="A533" s="325" t="str">
        <f>CONCATENATE("P",'906MP'!M233)</f>
        <v>P654427</v>
      </c>
      <c r="B533">
        <f>'906MP'!H233</f>
        <v>60</v>
      </c>
      <c r="C533" t="str">
        <f>'906MP'!J233</f>
        <v>2025-04-01</v>
      </c>
      <c r="D533" t="str">
        <f>'906MP'!P233</f>
        <v>módosított ei</v>
      </c>
      <c r="E533">
        <f>'906MP'!X233</f>
        <v>-288860</v>
      </c>
      <c r="F533" t="str">
        <f t="shared" si="162"/>
        <v>05</v>
      </c>
      <c r="G533" t="str">
        <f t="shared" si="163"/>
        <v>051</v>
      </c>
      <c r="H533" t="str">
        <f>'906MP'!Y233</f>
        <v>0511011</v>
      </c>
      <c r="I533" t="str">
        <f>'906MP'!AK233</f>
        <v>2025/MEI-654427/9</v>
      </c>
      <c r="J533" t="str">
        <f>'906MP'!T233</f>
        <v>(KÖT)</v>
      </c>
      <c r="K533" t="str">
        <f>'906MP'!AJ233</f>
        <v/>
      </c>
      <c r="L533" t="str">
        <f>'906MP'!U233</f>
        <v>13100</v>
      </c>
      <c r="M533" s="322" t="str">
        <f>IFERROR(VLOOKUP(A533,PAR!$D$3:$E$53,2,FALSE),"nincs szervezet")</f>
        <v>Nagymarosi Napköziotthonos Óvoda és Bölcsőde</v>
      </c>
      <c r="N533" s="322" t="str">
        <f>VLOOKUP(F533,PAR!$R$3:$S$5,2,FALSE)</f>
        <v>2 - Kiadás</v>
      </c>
      <c r="O533" t="str">
        <f>IFERROR(VLOOKUP(J533,PAR!$O$3:$P$5,2,FALSE),"nincs feladat")</f>
        <v>1 - (KÖT)</v>
      </c>
      <c r="P533" t="str">
        <f>IFERROR(VLOOKUP(G533,PAR!$J$2:$M$19,4),"nincs rovat")</f>
        <v>K1 - Személyi juttatások</v>
      </c>
      <c r="Q533" t="str">
        <f>IF(H533&gt;0,VLOOKUP(H533,PAR!$AA$3:$AC$187,3,FALSE),"nincs főkönyvi számla")</f>
        <v>0511011 -  Törvény szerinti illetmények, munkabérek előirányzata</v>
      </c>
      <c r="R533" t="str">
        <f>IFERROR(VLOOKUP(K533,PAR!$V$3:$X$438,3,FALSE),"000000 - Nincs COFOG")</f>
        <v>000000 - Nincs COFOG</v>
      </c>
      <c r="S533">
        <f t="shared" si="164"/>
        <v>-288860</v>
      </c>
      <c r="T533">
        <f t="shared" si="165"/>
        <v>-288860</v>
      </c>
      <c r="U533" t="str">
        <f>IF('906MP'!J233&gt;0,CONCATENATE('906MP'!J233," - ",'906MP'!P233,", ",'906MP'!E233),"nincs megjegyzés")</f>
        <v>2025-04-01 - módosított ei, 2025/MEI-654427/9</v>
      </c>
      <c r="V533" t="str">
        <f t="shared" si="152"/>
        <v>60P654427051</v>
      </c>
      <c r="W533" t="str">
        <f t="shared" si="153"/>
        <v>60P65442705</v>
      </c>
      <c r="X533" t="str">
        <f t="shared" si="154"/>
        <v>P6544270511011</v>
      </c>
      <c r="Y533" t="str">
        <f t="shared" si="155"/>
        <v>600511011</v>
      </c>
      <c r="Z533" t="str">
        <f t="shared" si="166"/>
        <v>(KÖT)0511011</v>
      </c>
      <c r="AA533" t="str">
        <f t="shared" si="156"/>
        <v>60051</v>
      </c>
      <c r="AB533" t="str">
        <f t="shared" si="157"/>
        <v>(KÖT)051</v>
      </c>
      <c r="AC533" t="str">
        <f t="shared" si="158"/>
        <v>60P6544270511011</v>
      </c>
      <c r="AD533" t="str">
        <f t="shared" si="159"/>
        <v>P6544270511011(KÖT)</v>
      </c>
      <c r="AE533" t="str">
        <f t="shared" si="160"/>
        <v>60P654427051</v>
      </c>
      <c r="AF533" t="str">
        <f t="shared" si="161"/>
        <v>P654427051(KÖT)</v>
      </c>
      <c r="AG533" t="str">
        <f t="shared" si="167"/>
        <v>60P654427051101113100</v>
      </c>
      <c r="AH533" t="str">
        <f t="shared" si="168"/>
        <v>P654427(KÖT)051101113100</v>
      </c>
      <c r="AI533" t="str">
        <f t="shared" si="169"/>
        <v>60P65442705113100</v>
      </c>
      <c r="AJ533" t="str">
        <f t="shared" si="170"/>
        <v>P654427051(KÖT)13100</v>
      </c>
    </row>
    <row r="534" spans="1:36" x14ac:dyDescent="0.25">
      <c r="A534" s="325" t="str">
        <f>CONCATENATE("P",'906MP'!M234)</f>
        <v>P654449</v>
      </c>
      <c r="B534">
        <f>'906MP'!H234</f>
        <v>60</v>
      </c>
      <c r="C534" t="str">
        <f>'906MP'!J234</f>
        <v>2025-05-01</v>
      </c>
      <c r="D534" t="str">
        <f>'906MP'!P234</f>
        <v>módosított ei</v>
      </c>
      <c r="E534">
        <f>'906MP'!X234</f>
        <v>116304</v>
      </c>
      <c r="F534" t="str">
        <f t="shared" si="162"/>
        <v>05</v>
      </c>
      <c r="G534" t="str">
        <f t="shared" si="163"/>
        <v>051</v>
      </c>
      <c r="H534" t="str">
        <f>'906MP'!Y234</f>
        <v>0511041</v>
      </c>
      <c r="I534" t="str">
        <f>'906MP'!AK234</f>
        <v>2025/MEI-654449/7</v>
      </c>
      <c r="J534" t="str">
        <f>'906MP'!T234</f>
        <v>(ÖNV)</v>
      </c>
      <c r="K534" t="str">
        <f>'906MP'!AJ234</f>
        <v/>
      </c>
      <c r="L534" t="str">
        <f>'906MP'!U234</f>
        <v>15100</v>
      </c>
      <c r="M534" s="322" t="str">
        <f>IFERROR(VLOOKUP(A534,PAR!$D$3:$E$53,2,FALSE),"nincs szervezet")</f>
        <v>Gondozási Központ</v>
      </c>
      <c r="N534" s="322" t="str">
        <f>VLOOKUP(F534,PAR!$R$3:$S$5,2,FALSE)</f>
        <v>2 - Kiadás</v>
      </c>
      <c r="O534" t="str">
        <f>IFERROR(VLOOKUP(J534,PAR!$O$3:$P$5,2,FALSE),"nincs feladat")</f>
        <v>2 - (ÖNV)</v>
      </c>
      <c r="P534" t="str">
        <f>IFERROR(VLOOKUP(G534,PAR!$J$2:$M$19,4),"nincs rovat")</f>
        <v>K1 - Személyi juttatások</v>
      </c>
      <c r="Q534" t="str">
        <f>IF(H534&gt;0,VLOOKUP(H534,PAR!$AA$3:$AC$187,3,FALSE),"nincs főkönyvi számla")</f>
        <v>0511041 -  Készenléti, ügyeleti, helyettesítési díj, túlóra, túlszolgálat előirányzata</v>
      </c>
      <c r="R534" t="str">
        <f>IFERROR(VLOOKUP(K534,PAR!$V$3:$X$438,3,FALSE),"000000 - Nincs COFOG")</f>
        <v>000000 - Nincs COFOG</v>
      </c>
      <c r="S534">
        <f t="shared" si="164"/>
        <v>116304</v>
      </c>
      <c r="T534">
        <f t="shared" si="165"/>
        <v>116304</v>
      </c>
      <c r="U534" t="str">
        <f>IF('906MP'!J234&gt;0,CONCATENATE('906MP'!J234," - ",'906MP'!P234,", ",'906MP'!E234),"nincs megjegyzés")</f>
        <v>2025-05-01 - módosított ei, 2025/MEI-654449/7</v>
      </c>
      <c r="V534" t="str">
        <f t="shared" si="152"/>
        <v>60P654449051</v>
      </c>
      <c r="W534" t="str">
        <f t="shared" si="153"/>
        <v>60P65444905</v>
      </c>
      <c r="X534" t="str">
        <f t="shared" si="154"/>
        <v>P6544490511041</v>
      </c>
      <c r="Y534" t="str">
        <f t="shared" si="155"/>
        <v>600511041</v>
      </c>
      <c r="Z534" t="str">
        <f t="shared" si="166"/>
        <v>(ÖNV)0511041</v>
      </c>
      <c r="AA534" t="str">
        <f t="shared" si="156"/>
        <v>60051</v>
      </c>
      <c r="AB534" t="str">
        <f t="shared" si="157"/>
        <v>(ÖNV)051</v>
      </c>
      <c r="AC534" t="str">
        <f t="shared" si="158"/>
        <v>60P6544490511041</v>
      </c>
      <c r="AD534" t="str">
        <f t="shared" si="159"/>
        <v>P6544490511041(ÖNV)</v>
      </c>
      <c r="AE534" t="str">
        <f t="shared" si="160"/>
        <v>60P654449051</v>
      </c>
      <c r="AF534" t="str">
        <f t="shared" si="161"/>
        <v>P654449051(ÖNV)</v>
      </c>
      <c r="AG534" t="str">
        <f t="shared" si="167"/>
        <v>60P654449051104115100</v>
      </c>
      <c r="AH534" t="str">
        <f t="shared" si="168"/>
        <v>P654449(ÖNV)051104115100</v>
      </c>
      <c r="AI534" t="str">
        <f t="shared" si="169"/>
        <v>60P65444905115100</v>
      </c>
      <c r="AJ534" t="str">
        <f t="shared" si="170"/>
        <v>P654449051(ÖNV)15100</v>
      </c>
    </row>
    <row r="535" spans="1:36" x14ac:dyDescent="0.25">
      <c r="A535" s="325" t="str">
        <f>CONCATENATE("P",'906MP'!M235)</f>
        <v>P654449</v>
      </c>
      <c r="B535">
        <f>'906MP'!H235</f>
        <v>60</v>
      </c>
      <c r="C535" t="str">
        <f>'906MP'!J235</f>
        <v>2025-05-01</v>
      </c>
      <c r="D535" t="str">
        <f>'906MP'!P235</f>
        <v>módosított ei</v>
      </c>
      <c r="E535">
        <f>'906MP'!X235</f>
        <v>143908</v>
      </c>
      <c r="F535" t="str">
        <f t="shared" si="162"/>
        <v>05</v>
      </c>
      <c r="G535" t="str">
        <f t="shared" si="163"/>
        <v>051</v>
      </c>
      <c r="H535" t="str">
        <f>'906MP'!Y235</f>
        <v>0511131</v>
      </c>
      <c r="I535" t="str">
        <f>'906MP'!AK235</f>
        <v>2025/MEI-654449/7</v>
      </c>
      <c r="J535" t="str">
        <f>'906MP'!T235</f>
        <v>(KÖT)</v>
      </c>
      <c r="K535" t="str">
        <f>'906MP'!AJ235</f>
        <v/>
      </c>
      <c r="L535" t="str">
        <f>'906MP'!U235</f>
        <v>15100</v>
      </c>
      <c r="M535" s="322" t="str">
        <f>IFERROR(VLOOKUP(A535,PAR!$D$3:$E$53,2,FALSE),"nincs szervezet")</f>
        <v>Gondozási Központ</v>
      </c>
      <c r="N535" s="322" t="str">
        <f>VLOOKUP(F535,PAR!$R$3:$S$5,2,FALSE)</f>
        <v>2 - Kiadás</v>
      </c>
      <c r="O535" t="str">
        <f>IFERROR(VLOOKUP(J535,PAR!$O$3:$P$5,2,FALSE),"nincs feladat")</f>
        <v>1 - (KÖT)</v>
      </c>
      <c r="P535" t="str">
        <f>IFERROR(VLOOKUP(G535,PAR!$J$2:$M$19,4),"nincs rovat")</f>
        <v>K1 - Személyi juttatások</v>
      </c>
      <c r="Q535" t="str">
        <f>IF(H535&gt;0,VLOOKUP(H535,PAR!$AA$3:$AC$187,3,FALSE),"nincs főkönyvi számla")</f>
        <v>0511131 -  Foglalkoztatottak egyéb személyi juttatásai előirányzata</v>
      </c>
      <c r="R535" t="str">
        <f>IFERROR(VLOOKUP(K535,PAR!$V$3:$X$438,3,FALSE),"000000 - Nincs COFOG")</f>
        <v>000000 - Nincs COFOG</v>
      </c>
      <c r="S535">
        <f t="shared" si="164"/>
        <v>143908</v>
      </c>
      <c r="T535">
        <f t="shared" si="165"/>
        <v>143908</v>
      </c>
      <c r="U535" t="str">
        <f>IF('906MP'!J235&gt;0,CONCATENATE('906MP'!J235," - ",'906MP'!P235,", ",'906MP'!E235),"nincs megjegyzés")</f>
        <v>2025-05-01 - módosított ei, 2025/MEI-654449/7</v>
      </c>
      <c r="V535" t="str">
        <f t="shared" si="152"/>
        <v>60P654449051</v>
      </c>
      <c r="W535" t="str">
        <f t="shared" si="153"/>
        <v>60P65444905</v>
      </c>
      <c r="X535" t="str">
        <f t="shared" si="154"/>
        <v>P6544490511131</v>
      </c>
      <c r="Y535" t="str">
        <f t="shared" si="155"/>
        <v>600511131</v>
      </c>
      <c r="Z535" t="str">
        <f t="shared" si="166"/>
        <v>(KÖT)0511131</v>
      </c>
      <c r="AA535" t="str">
        <f t="shared" si="156"/>
        <v>60051</v>
      </c>
      <c r="AB535" t="str">
        <f t="shared" si="157"/>
        <v>(KÖT)051</v>
      </c>
      <c r="AC535" t="str">
        <f t="shared" si="158"/>
        <v>60P6544490511131</v>
      </c>
      <c r="AD535" t="str">
        <f t="shared" si="159"/>
        <v>P6544490511131(KÖT)</v>
      </c>
      <c r="AE535" t="str">
        <f t="shared" si="160"/>
        <v>60P654449051</v>
      </c>
      <c r="AF535" t="str">
        <f t="shared" si="161"/>
        <v>P654449051(KÖT)</v>
      </c>
      <c r="AG535" t="str">
        <f t="shared" si="167"/>
        <v>60P654449051113115100</v>
      </c>
      <c r="AH535" t="str">
        <f t="shared" si="168"/>
        <v>P654449(KÖT)051113115100</v>
      </c>
      <c r="AI535" t="str">
        <f t="shared" si="169"/>
        <v>60P65444905115100</v>
      </c>
      <c r="AJ535" t="str">
        <f t="shared" si="170"/>
        <v>P654449051(KÖT)15100</v>
      </c>
    </row>
    <row r="536" spans="1:36" x14ac:dyDescent="0.25">
      <c r="A536" s="325" t="str">
        <f>CONCATENATE("P",'906MP'!M236)</f>
        <v>P654449</v>
      </c>
      <c r="B536">
        <f>'906MP'!H236</f>
        <v>60</v>
      </c>
      <c r="C536" t="str">
        <f>'906MP'!J236</f>
        <v>2025-05-01</v>
      </c>
      <c r="D536" t="str">
        <f>'906MP'!P236</f>
        <v>módosított ei</v>
      </c>
      <c r="E536">
        <f>'906MP'!X236</f>
        <v>-260212</v>
      </c>
      <c r="F536" t="str">
        <f t="shared" si="162"/>
        <v>05</v>
      </c>
      <c r="G536" t="str">
        <f t="shared" si="163"/>
        <v>051</v>
      </c>
      <c r="H536" t="str">
        <f>'906MP'!Y236</f>
        <v>0511011</v>
      </c>
      <c r="I536" t="str">
        <f>'906MP'!AK236</f>
        <v>2025/MEI-654449/7</v>
      </c>
      <c r="J536" t="str">
        <f>'906MP'!T236</f>
        <v>(KÖT)</v>
      </c>
      <c r="K536" t="str">
        <f>'906MP'!AJ236</f>
        <v/>
      </c>
      <c r="L536" t="str">
        <f>'906MP'!U236</f>
        <v>15100</v>
      </c>
      <c r="M536" s="322" t="str">
        <f>IFERROR(VLOOKUP(A536,PAR!$D$3:$E$53,2,FALSE),"nincs szervezet")</f>
        <v>Gondozási Központ</v>
      </c>
      <c r="N536" s="322" t="str">
        <f>VLOOKUP(F536,PAR!$R$3:$S$5,2,FALSE)</f>
        <v>2 - Kiadás</v>
      </c>
      <c r="O536" t="str">
        <f>IFERROR(VLOOKUP(J536,PAR!$O$3:$P$5,2,FALSE),"nincs feladat")</f>
        <v>1 - (KÖT)</v>
      </c>
      <c r="P536" t="str">
        <f>IFERROR(VLOOKUP(G536,PAR!$J$2:$M$19,4),"nincs rovat")</f>
        <v>K1 - Személyi juttatások</v>
      </c>
      <c r="Q536" t="str">
        <f>IF(H536&gt;0,VLOOKUP(H536,PAR!$AA$3:$AC$187,3,FALSE),"nincs főkönyvi számla")</f>
        <v>0511011 -  Törvény szerinti illetmények, munkabérek előirányzata</v>
      </c>
      <c r="R536" t="str">
        <f>IFERROR(VLOOKUP(K536,PAR!$V$3:$X$438,3,FALSE),"000000 - Nincs COFOG")</f>
        <v>000000 - Nincs COFOG</v>
      </c>
      <c r="S536">
        <f t="shared" si="164"/>
        <v>-260212</v>
      </c>
      <c r="T536">
        <f t="shared" si="165"/>
        <v>-260212</v>
      </c>
      <c r="U536" t="str">
        <f>IF('906MP'!J236&gt;0,CONCATENATE('906MP'!J236," - ",'906MP'!P236,", ",'906MP'!E236),"nincs megjegyzés")</f>
        <v>2025-05-01 - módosított ei, 2025/MEI-654449/7</v>
      </c>
      <c r="V536" t="str">
        <f t="shared" si="152"/>
        <v>60P654449051</v>
      </c>
      <c r="W536" t="str">
        <f t="shared" si="153"/>
        <v>60P65444905</v>
      </c>
      <c r="X536" t="str">
        <f t="shared" si="154"/>
        <v>P6544490511011</v>
      </c>
      <c r="Y536" t="str">
        <f t="shared" si="155"/>
        <v>600511011</v>
      </c>
      <c r="Z536" t="str">
        <f t="shared" si="166"/>
        <v>(KÖT)0511011</v>
      </c>
      <c r="AA536" t="str">
        <f t="shared" si="156"/>
        <v>60051</v>
      </c>
      <c r="AB536" t="str">
        <f t="shared" si="157"/>
        <v>(KÖT)051</v>
      </c>
      <c r="AC536" t="str">
        <f t="shared" si="158"/>
        <v>60P6544490511011</v>
      </c>
      <c r="AD536" t="str">
        <f t="shared" si="159"/>
        <v>P6544490511011(KÖT)</v>
      </c>
      <c r="AE536" t="str">
        <f t="shared" si="160"/>
        <v>60P654449051</v>
      </c>
      <c r="AF536" t="str">
        <f t="shared" si="161"/>
        <v>P654449051(KÖT)</v>
      </c>
      <c r="AG536" t="str">
        <f t="shared" si="167"/>
        <v>60P654449051101115100</v>
      </c>
      <c r="AH536" t="str">
        <f t="shared" si="168"/>
        <v>P654449(KÖT)051101115100</v>
      </c>
      <c r="AI536" t="str">
        <f t="shared" si="169"/>
        <v>60P65444905115100</v>
      </c>
      <c r="AJ536" t="str">
        <f t="shared" si="170"/>
        <v>P654449051(KÖT)15100</v>
      </c>
    </row>
    <row r="537" spans="1:36" x14ac:dyDescent="0.25">
      <c r="A537" s="325" t="str">
        <f>CONCATENATE("P",'906MP'!M237)</f>
        <v>P654427</v>
      </c>
      <c r="B537">
        <f>'906MP'!H237</f>
        <v>60</v>
      </c>
      <c r="C537" t="str">
        <f>'906MP'!J237</f>
        <v>2025-06-01</v>
      </c>
      <c r="D537" t="str">
        <f>'906MP'!P237</f>
        <v>módosított ei</v>
      </c>
      <c r="E537">
        <f>'906MP'!X237</f>
        <v>29172</v>
      </c>
      <c r="F537" t="str">
        <f t="shared" si="162"/>
        <v>05</v>
      </c>
      <c r="G537" t="str">
        <f t="shared" si="163"/>
        <v>051</v>
      </c>
      <c r="H537" t="str">
        <f>'906MP'!Y237</f>
        <v>0511131</v>
      </c>
      <c r="I537" t="str">
        <f>'906MP'!AK237</f>
        <v>2025/MEI-654427/13</v>
      </c>
      <c r="J537" t="str">
        <f>'906MP'!T237</f>
        <v>(KÖT)</v>
      </c>
      <c r="K537" t="str">
        <f>'906MP'!AJ237</f>
        <v/>
      </c>
      <c r="L537" t="str">
        <f>'906MP'!U237</f>
        <v>13100</v>
      </c>
      <c r="M537" s="322" t="str">
        <f>IFERROR(VLOOKUP(A537,PAR!$D$3:$E$53,2,FALSE),"nincs szervezet")</f>
        <v>Nagymarosi Napköziotthonos Óvoda és Bölcsőde</v>
      </c>
      <c r="N537" s="322" t="str">
        <f>VLOOKUP(F537,PAR!$R$3:$S$5,2,FALSE)</f>
        <v>2 - Kiadás</v>
      </c>
      <c r="O537" t="str">
        <f>IFERROR(VLOOKUP(J537,PAR!$O$3:$P$5,2,FALSE),"nincs feladat")</f>
        <v>1 - (KÖT)</v>
      </c>
      <c r="P537" t="str">
        <f>IFERROR(VLOOKUP(G537,PAR!$J$2:$M$19,4),"nincs rovat")</f>
        <v>K1 - Személyi juttatások</v>
      </c>
      <c r="Q537" t="str">
        <f>IF(H537&gt;0,VLOOKUP(H537,PAR!$AA$3:$AC$187,3,FALSE),"nincs főkönyvi számla")</f>
        <v>0511131 -  Foglalkoztatottak egyéb személyi juttatásai előirányzata</v>
      </c>
      <c r="R537" t="str">
        <f>IFERROR(VLOOKUP(K537,PAR!$V$3:$X$438,3,FALSE),"000000 - Nincs COFOG")</f>
        <v>000000 - Nincs COFOG</v>
      </c>
      <c r="S537">
        <f t="shared" si="164"/>
        <v>29172</v>
      </c>
      <c r="T537">
        <f t="shared" si="165"/>
        <v>29172</v>
      </c>
      <c r="U537" t="str">
        <f>IF('906MP'!J237&gt;0,CONCATENATE('906MP'!J237," - ",'906MP'!P237,", ",'906MP'!E237),"nincs megjegyzés")</f>
        <v>2025-06-01 - módosított ei, 2025/MEI-654427/13</v>
      </c>
      <c r="V537" t="str">
        <f t="shared" si="152"/>
        <v>60P654427051</v>
      </c>
      <c r="W537" t="str">
        <f t="shared" si="153"/>
        <v>60P65442705</v>
      </c>
      <c r="X537" t="str">
        <f t="shared" si="154"/>
        <v>P6544270511131</v>
      </c>
      <c r="Y537" t="str">
        <f t="shared" si="155"/>
        <v>600511131</v>
      </c>
      <c r="Z537" t="str">
        <f t="shared" si="166"/>
        <v>(KÖT)0511131</v>
      </c>
      <c r="AA537" t="str">
        <f t="shared" si="156"/>
        <v>60051</v>
      </c>
      <c r="AB537" t="str">
        <f t="shared" si="157"/>
        <v>(KÖT)051</v>
      </c>
      <c r="AC537" t="str">
        <f t="shared" si="158"/>
        <v>60P6544270511131</v>
      </c>
      <c r="AD537" t="str">
        <f t="shared" si="159"/>
        <v>P6544270511131(KÖT)</v>
      </c>
      <c r="AE537" t="str">
        <f t="shared" si="160"/>
        <v>60P654427051</v>
      </c>
      <c r="AF537" t="str">
        <f t="shared" si="161"/>
        <v>P654427051(KÖT)</v>
      </c>
      <c r="AG537" t="str">
        <f t="shared" si="167"/>
        <v>60P654427051113113100</v>
      </c>
      <c r="AH537" t="str">
        <f t="shared" si="168"/>
        <v>P654427(KÖT)051113113100</v>
      </c>
      <c r="AI537" t="str">
        <f t="shared" si="169"/>
        <v>60P65442705113100</v>
      </c>
      <c r="AJ537" t="str">
        <f t="shared" si="170"/>
        <v>P654427051(KÖT)13100</v>
      </c>
    </row>
    <row r="538" spans="1:36" x14ac:dyDescent="0.25">
      <c r="A538" s="325" t="str">
        <f>CONCATENATE("P",'906MP'!M238)</f>
        <v>P654427</v>
      </c>
      <c r="B538">
        <f>'906MP'!H238</f>
        <v>60</v>
      </c>
      <c r="C538" t="str">
        <f>'906MP'!J238</f>
        <v>2025-06-01</v>
      </c>
      <c r="D538" t="str">
        <f>'906MP'!P238</f>
        <v>módosított ei</v>
      </c>
      <c r="E538">
        <f>'906MP'!X238</f>
        <v>-29172</v>
      </c>
      <c r="F538" t="str">
        <f t="shared" si="162"/>
        <v>05</v>
      </c>
      <c r="G538" t="str">
        <f t="shared" si="163"/>
        <v>051</v>
      </c>
      <c r="H538" t="str">
        <f>'906MP'!Y238</f>
        <v>0511011</v>
      </c>
      <c r="I538" t="str">
        <f>'906MP'!AK238</f>
        <v>2025/MEI-654427/13</v>
      </c>
      <c r="J538" t="str">
        <f>'906MP'!T238</f>
        <v>(KÖT)</v>
      </c>
      <c r="K538" t="str">
        <f>'906MP'!AJ238</f>
        <v/>
      </c>
      <c r="L538" t="str">
        <f>'906MP'!U238</f>
        <v>13100</v>
      </c>
      <c r="M538" s="322" t="str">
        <f>IFERROR(VLOOKUP(A538,PAR!$D$3:$E$53,2,FALSE),"nincs szervezet")</f>
        <v>Nagymarosi Napköziotthonos Óvoda és Bölcsőde</v>
      </c>
      <c r="N538" s="322" t="str">
        <f>VLOOKUP(F538,PAR!$R$3:$S$5,2,FALSE)</f>
        <v>2 - Kiadás</v>
      </c>
      <c r="O538" t="str">
        <f>IFERROR(VLOOKUP(J538,PAR!$O$3:$P$5,2,FALSE),"nincs feladat")</f>
        <v>1 - (KÖT)</v>
      </c>
      <c r="P538" t="str">
        <f>IFERROR(VLOOKUP(G538,PAR!$J$2:$M$19,4),"nincs rovat")</f>
        <v>K1 - Személyi juttatások</v>
      </c>
      <c r="Q538" t="str">
        <f>IF(H538&gt;0,VLOOKUP(H538,PAR!$AA$3:$AC$187,3,FALSE),"nincs főkönyvi számla")</f>
        <v>0511011 -  Törvény szerinti illetmények, munkabérek előirányzata</v>
      </c>
      <c r="R538" t="str">
        <f>IFERROR(VLOOKUP(K538,PAR!$V$3:$X$438,3,FALSE),"000000 - Nincs COFOG")</f>
        <v>000000 - Nincs COFOG</v>
      </c>
      <c r="S538">
        <f t="shared" si="164"/>
        <v>-29172</v>
      </c>
      <c r="T538">
        <f t="shared" si="165"/>
        <v>-29172</v>
      </c>
      <c r="U538" t="str">
        <f>IF('906MP'!J238&gt;0,CONCATENATE('906MP'!J238," - ",'906MP'!P238,", ",'906MP'!E238),"nincs megjegyzés")</f>
        <v>2025-06-01 - módosított ei, 2025/MEI-654427/13</v>
      </c>
      <c r="V538" t="str">
        <f t="shared" si="152"/>
        <v>60P654427051</v>
      </c>
      <c r="W538" t="str">
        <f t="shared" si="153"/>
        <v>60P65442705</v>
      </c>
      <c r="X538" t="str">
        <f t="shared" si="154"/>
        <v>P6544270511011</v>
      </c>
      <c r="Y538" t="str">
        <f t="shared" si="155"/>
        <v>600511011</v>
      </c>
      <c r="Z538" t="str">
        <f t="shared" si="166"/>
        <v>(KÖT)0511011</v>
      </c>
      <c r="AA538" t="str">
        <f t="shared" si="156"/>
        <v>60051</v>
      </c>
      <c r="AB538" t="str">
        <f t="shared" si="157"/>
        <v>(KÖT)051</v>
      </c>
      <c r="AC538" t="str">
        <f t="shared" si="158"/>
        <v>60P6544270511011</v>
      </c>
      <c r="AD538" t="str">
        <f t="shared" si="159"/>
        <v>P6544270511011(KÖT)</v>
      </c>
      <c r="AE538" t="str">
        <f t="shared" si="160"/>
        <v>60P654427051</v>
      </c>
      <c r="AF538" t="str">
        <f t="shared" si="161"/>
        <v>P654427051(KÖT)</v>
      </c>
      <c r="AG538" t="str">
        <f t="shared" si="167"/>
        <v>60P654427051101113100</v>
      </c>
      <c r="AH538" t="str">
        <f t="shared" si="168"/>
        <v>P654427(KÖT)051101113100</v>
      </c>
      <c r="AI538" t="str">
        <f t="shared" si="169"/>
        <v>60P65442705113100</v>
      </c>
      <c r="AJ538" t="str">
        <f t="shared" si="170"/>
        <v>P654427051(KÖT)13100</v>
      </c>
    </row>
    <row r="539" spans="1:36" x14ac:dyDescent="0.25">
      <c r="A539" s="325" t="str">
        <f>CONCATENATE("P",'906MP'!M239)</f>
        <v>P654449</v>
      </c>
      <c r="B539">
        <f>'906MP'!H239</f>
        <v>60</v>
      </c>
      <c r="C539" t="str">
        <f>'906MP'!J239</f>
        <v>2025-06-01</v>
      </c>
      <c r="D539" t="str">
        <f>'906MP'!P239</f>
        <v>módosított ei</v>
      </c>
      <c r="E539">
        <f>'906MP'!X239</f>
        <v>58558</v>
      </c>
      <c r="F539" t="str">
        <f t="shared" si="162"/>
        <v>05</v>
      </c>
      <c r="G539" t="str">
        <f t="shared" si="163"/>
        <v>051</v>
      </c>
      <c r="H539" t="str">
        <f>'906MP'!Y239</f>
        <v>0511131</v>
      </c>
      <c r="I539" t="str">
        <f>'906MP'!AK239</f>
        <v>2025/MEI-654449/8</v>
      </c>
      <c r="J539" t="str">
        <f>'906MP'!T239</f>
        <v>(KÖT)</v>
      </c>
      <c r="K539" t="str">
        <f>'906MP'!AJ239</f>
        <v/>
      </c>
      <c r="L539" t="str">
        <f>'906MP'!U239</f>
        <v>15100</v>
      </c>
      <c r="M539" s="322" t="str">
        <f>IFERROR(VLOOKUP(A539,PAR!$D$3:$E$53,2,FALSE),"nincs szervezet")</f>
        <v>Gondozási Központ</v>
      </c>
      <c r="N539" s="322" t="str">
        <f>VLOOKUP(F539,PAR!$R$3:$S$5,2,FALSE)</f>
        <v>2 - Kiadás</v>
      </c>
      <c r="O539" t="str">
        <f>IFERROR(VLOOKUP(J539,PAR!$O$3:$P$5,2,FALSE),"nincs feladat")</f>
        <v>1 - (KÖT)</v>
      </c>
      <c r="P539" t="str">
        <f>IFERROR(VLOOKUP(G539,PAR!$J$2:$M$19,4),"nincs rovat")</f>
        <v>K1 - Személyi juttatások</v>
      </c>
      <c r="Q539" t="str">
        <f>IF(H539&gt;0,VLOOKUP(H539,PAR!$AA$3:$AC$187,3,FALSE),"nincs főkönyvi számla")</f>
        <v>0511131 -  Foglalkoztatottak egyéb személyi juttatásai előirányzata</v>
      </c>
      <c r="R539" t="str">
        <f>IFERROR(VLOOKUP(K539,PAR!$V$3:$X$438,3,FALSE),"000000 - Nincs COFOG")</f>
        <v>000000 - Nincs COFOG</v>
      </c>
      <c r="S539">
        <f t="shared" si="164"/>
        <v>58558</v>
      </c>
      <c r="T539">
        <f t="shared" si="165"/>
        <v>58558</v>
      </c>
      <c r="U539" t="str">
        <f>IF('906MP'!J239&gt;0,CONCATENATE('906MP'!J239," - ",'906MP'!P239,", ",'906MP'!E239),"nincs megjegyzés")</f>
        <v>2025-06-01 - módosított ei, 2025/MEI-654449/8</v>
      </c>
      <c r="V539" t="str">
        <f t="shared" si="152"/>
        <v>60P654449051</v>
      </c>
      <c r="W539" t="str">
        <f t="shared" si="153"/>
        <v>60P65444905</v>
      </c>
      <c r="X539" t="str">
        <f t="shared" si="154"/>
        <v>P6544490511131</v>
      </c>
      <c r="Y539" t="str">
        <f t="shared" si="155"/>
        <v>600511131</v>
      </c>
      <c r="Z539" t="str">
        <f t="shared" si="166"/>
        <v>(KÖT)0511131</v>
      </c>
      <c r="AA539" t="str">
        <f t="shared" si="156"/>
        <v>60051</v>
      </c>
      <c r="AB539" t="str">
        <f t="shared" si="157"/>
        <v>(KÖT)051</v>
      </c>
      <c r="AC539" t="str">
        <f t="shared" si="158"/>
        <v>60P6544490511131</v>
      </c>
      <c r="AD539" t="str">
        <f t="shared" si="159"/>
        <v>P6544490511131(KÖT)</v>
      </c>
      <c r="AE539" t="str">
        <f t="shared" si="160"/>
        <v>60P654449051</v>
      </c>
      <c r="AF539" t="str">
        <f t="shared" si="161"/>
        <v>P654449051(KÖT)</v>
      </c>
      <c r="AG539" t="str">
        <f t="shared" si="167"/>
        <v>60P654449051113115100</v>
      </c>
      <c r="AH539" t="str">
        <f t="shared" si="168"/>
        <v>P654449(KÖT)051113115100</v>
      </c>
      <c r="AI539" t="str">
        <f t="shared" si="169"/>
        <v>60P65444905115100</v>
      </c>
      <c r="AJ539" t="str">
        <f t="shared" si="170"/>
        <v>P654449051(KÖT)15100</v>
      </c>
    </row>
    <row r="540" spans="1:36" x14ac:dyDescent="0.25">
      <c r="A540" s="325" t="str">
        <f>CONCATENATE("P",'906MP'!M240)</f>
        <v>P654449</v>
      </c>
      <c r="B540">
        <f>'906MP'!H240</f>
        <v>60</v>
      </c>
      <c r="C540" t="str">
        <f>'906MP'!J240</f>
        <v>2025-06-01</v>
      </c>
      <c r="D540" t="str">
        <f>'906MP'!P240</f>
        <v>módosított ei</v>
      </c>
      <c r="E540">
        <f>'906MP'!X240</f>
        <v>-58558</v>
      </c>
      <c r="F540" t="str">
        <f t="shared" si="162"/>
        <v>05</v>
      </c>
      <c r="G540" t="str">
        <f t="shared" si="163"/>
        <v>051</v>
      </c>
      <c r="H540" t="str">
        <f>'906MP'!Y240</f>
        <v>0511011</v>
      </c>
      <c r="I540" t="str">
        <f>'906MP'!AK240</f>
        <v>2025/MEI-654449/8</v>
      </c>
      <c r="J540" t="str">
        <f>'906MP'!T240</f>
        <v>(KÖT)</v>
      </c>
      <c r="K540" t="str">
        <f>'906MP'!AJ240</f>
        <v/>
      </c>
      <c r="L540" t="str">
        <f>'906MP'!U240</f>
        <v>15100</v>
      </c>
      <c r="M540" s="322" t="str">
        <f>IFERROR(VLOOKUP(A540,PAR!$D$3:$E$53,2,FALSE),"nincs szervezet")</f>
        <v>Gondozási Központ</v>
      </c>
      <c r="N540" s="322" t="str">
        <f>VLOOKUP(F540,PAR!$R$3:$S$5,2,FALSE)</f>
        <v>2 - Kiadás</v>
      </c>
      <c r="O540" t="str">
        <f>IFERROR(VLOOKUP(J540,PAR!$O$3:$P$5,2,FALSE),"nincs feladat")</f>
        <v>1 - (KÖT)</v>
      </c>
      <c r="P540" t="str">
        <f>IFERROR(VLOOKUP(G540,PAR!$J$2:$M$19,4),"nincs rovat")</f>
        <v>K1 - Személyi juttatások</v>
      </c>
      <c r="Q540" t="str">
        <f>IF(H540&gt;0,VLOOKUP(H540,PAR!$AA$3:$AC$187,3,FALSE),"nincs főkönyvi számla")</f>
        <v>0511011 -  Törvény szerinti illetmények, munkabérek előirányzata</v>
      </c>
      <c r="R540" t="str">
        <f>IFERROR(VLOOKUP(K540,PAR!$V$3:$X$438,3,FALSE),"000000 - Nincs COFOG")</f>
        <v>000000 - Nincs COFOG</v>
      </c>
      <c r="S540">
        <f t="shared" si="164"/>
        <v>-58558</v>
      </c>
      <c r="T540">
        <f t="shared" si="165"/>
        <v>-58558</v>
      </c>
      <c r="U540" t="str">
        <f>IF('906MP'!J240&gt;0,CONCATENATE('906MP'!J240," - ",'906MP'!P240,", ",'906MP'!E240),"nincs megjegyzés")</f>
        <v>2025-06-01 - módosított ei, 2025/MEI-654449/8</v>
      </c>
      <c r="V540" t="str">
        <f t="shared" si="152"/>
        <v>60P654449051</v>
      </c>
      <c r="W540" t="str">
        <f t="shared" si="153"/>
        <v>60P65444905</v>
      </c>
      <c r="X540" t="str">
        <f t="shared" si="154"/>
        <v>P6544490511011</v>
      </c>
      <c r="Y540" t="str">
        <f t="shared" si="155"/>
        <v>600511011</v>
      </c>
      <c r="Z540" t="str">
        <f t="shared" si="166"/>
        <v>(KÖT)0511011</v>
      </c>
      <c r="AA540" t="str">
        <f t="shared" si="156"/>
        <v>60051</v>
      </c>
      <c r="AB540" t="str">
        <f t="shared" si="157"/>
        <v>(KÖT)051</v>
      </c>
      <c r="AC540" t="str">
        <f t="shared" si="158"/>
        <v>60P6544490511011</v>
      </c>
      <c r="AD540" t="str">
        <f t="shared" si="159"/>
        <v>P6544490511011(KÖT)</v>
      </c>
      <c r="AE540" t="str">
        <f t="shared" si="160"/>
        <v>60P654449051</v>
      </c>
      <c r="AF540" t="str">
        <f t="shared" si="161"/>
        <v>P654449051(KÖT)</v>
      </c>
      <c r="AG540" t="str">
        <f t="shared" si="167"/>
        <v>60P654449051101115100</v>
      </c>
      <c r="AH540" t="str">
        <f t="shared" si="168"/>
        <v>P654449(KÖT)051101115100</v>
      </c>
      <c r="AI540" t="str">
        <f t="shared" si="169"/>
        <v>60P65444905115100</v>
      </c>
      <c r="AJ540" t="str">
        <f t="shared" si="170"/>
        <v>P654449051(KÖT)15100</v>
      </c>
    </row>
    <row r="541" spans="1:36" x14ac:dyDescent="0.25">
      <c r="A541" s="325" t="str">
        <f>CONCATENATE("P",'906MP'!M241)</f>
        <v>P394031</v>
      </c>
      <c r="B541">
        <f>'906MP'!H241</f>
        <v>60</v>
      </c>
      <c r="C541" t="str">
        <f>'906MP'!J241</f>
        <v>2025-05-01</v>
      </c>
      <c r="D541" t="str">
        <f>'906MP'!P241</f>
        <v>módosított ei</v>
      </c>
      <c r="E541">
        <f>'906MP'!X241</f>
        <v>17612</v>
      </c>
      <c r="F541" t="str">
        <f t="shared" si="162"/>
        <v>05</v>
      </c>
      <c r="G541" t="str">
        <f t="shared" si="163"/>
        <v>053</v>
      </c>
      <c r="H541" t="str">
        <f>'906MP'!Y241</f>
        <v>053211</v>
      </c>
      <c r="I541" t="str">
        <f>'906MP'!AK241</f>
        <v>2025/MEI-394031/6</v>
      </c>
      <c r="J541" t="str">
        <f>'906MP'!T241</f>
        <v>(KÖT)</v>
      </c>
      <c r="K541" t="str">
        <f>'906MP'!AJ241</f>
        <v/>
      </c>
      <c r="L541" t="str">
        <f>'906MP'!U241</f>
        <v>12100</v>
      </c>
      <c r="M541" s="322" t="str">
        <f>IFERROR(VLOOKUP(A541,PAR!$D$3:$E$53,2,FALSE),"nincs szervezet")</f>
        <v>Nagymarosi Polgármesteri Hivatal</v>
      </c>
      <c r="N541" s="322" t="str">
        <f>VLOOKUP(F541,PAR!$R$3:$S$5,2,FALSE)</f>
        <v>2 - Kiadás</v>
      </c>
      <c r="O541" t="str">
        <f>IFERROR(VLOOKUP(J541,PAR!$O$3:$P$5,2,FALSE),"nincs feladat")</f>
        <v>1 - (KÖT)</v>
      </c>
      <c r="P541" t="str">
        <f>IFERROR(VLOOKUP(G541,PAR!$J$2:$M$19,4),"nincs rovat")</f>
        <v>K3 - Dologi kiadások</v>
      </c>
      <c r="Q541" t="str">
        <f>IF(H541&gt;0,VLOOKUP(H541,PAR!$AA$3:$AC$187,3,FALSE),"nincs főkönyvi számla")</f>
        <v>053211 -  Informatikai szolgáltatások igénybevétele előirányzata</v>
      </c>
      <c r="R541" t="str">
        <f>IFERROR(VLOOKUP(K541,PAR!$V$3:$X$438,3,FALSE),"000000 - Nincs COFOG")</f>
        <v>000000 - Nincs COFOG</v>
      </c>
      <c r="S541">
        <f t="shared" si="164"/>
        <v>17612</v>
      </c>
      <c r="T541">
        <f t="shared" si="165"/>
        <v>17612</v>
      </c>
      <c r="U541" t="str">
        <f>IF('906MP'!J241&gt;0,CONCATENATE('906MP'!J241," - ",'906MP'!P241,", ",'906MP'!E241),"nincs megjegyzés")</f>
        <v>2025-05-01 - módosított ei, 2025/MEI-394031/6</v>
      </c>
      <c r="V541" t="str">
        <f t="shared" si="152"/>
        <v>60P394031053</v>
      </c>
      <c r="W541" t="str">
        <f t="shared" si="153"/>
        <v>60P39403105</v>
      </c>
      <c r="X541" t="str">
        <f t="shared" si="154"/>
        <v>P394031053211</v>
      </c>
      <c r="Y541" t="str">
        <f t="shared" si="155"/>
        <v>60053211</v>
      </c>
      <c r="Z541" t="str">
        <f t="shared" si="166"/>
        <v>(KÖT)053211</v>
      </c>
      <c r="AA541" t="str">
        <f t="shared" si="156"/>
        <v>60053</v>
      </c>
      <c r="AB541" t="str">
        <f t="shared" si="157"/>
        <v>(KÖT)053</v>
      </c>
      <c r="AC541" t="str">
        <f t="shared" si="158"/>
        <v>60P394031053211</v>
      </c>
      <c r="AD541" t="str">
        <f t="shared" si="159"/>
        <v>P394031053211(KÖT)</v>
      </c>
      <c r="AE541" t="str">
        <f t="shared" si="160"/>
        <v>60P394031053</v>
      </c>
      <c r="AF541" t="str">
        <f t="shared" si="161"/>
        <v>P394031053(KÖT)</v>
      </c>
      <c r="AG541" t="str">
        <f t="shared" si="167"/>
        <v>60P39403105321112100</v>
      </c>
      <c r="AH541" t="str">
        <f t="shared" si="168"/>
        <v>P394031(KÖT)05321112100</v>
      </c>
      <c r="AI541" t="str">
        <f t="shared" si="169"/>
        <v>60P39403105312100</v>
      </c>
      <c r="AJ541" t="str">
        <f t="shared" si="170"/>
        <v>P394031053(KÖT)12100</v>
      </c>
    </row>
    <row r="542" spans="1:36" x14ac:dyDescent="0.25">
      <c r="A542" s="325" t="str">
        <f>CONCATENATE("P",'906MP'!M242)</f>
        <v>P394031</v>
      </c>
      <c r="B542">
        <f>'906MP'!H242</f>
        <v>60</v>
      </c>
      <c r="C542" t="str">
        <f>'906MP'!J242</f>
        <v>2025-05-01</v>
      </c>
      <c r="D542" t="str">
        <f>'906MP'!P242</f>
        <v>módosított ei</v>
      </c>
      <c r="E542">
        <f>'906MP'!X242</f>
        <v>-17612</v>
      </c>
      <c r="F542" t="str">
        <f t="shared" si="162"/>
        <v>05</v>
      </c>
      <c r="G542" t="str">
        <f t="shared" si="163"/>
        <v>053</v>
      </c>
      <c r="H542" t="str">
        <f>'906MP'!Y242</f>
        <v>053221</v>
      </c>
      <c r="I542" t="str">
        <f>'906MP'!AK242</f>
        <v>2025/MEI-394031/6</v>
      </c>
      <c r="J542" t="str">
        <f>'906MP'!T242</f>
        <v>(KÖT)</v>
      </c>
      <c r="K542" t="str">
        <f>'906MP'!AJ242</f>
        <v/>
      </c>
      <c r="L542" t="str">
        <f>'906MP'!U242</f>
        <v>12100</v>
      </c>
      <c r="M542" s="322" t="str">
        <f>IFERROR(VLOOKUP(A542,PAR!$D$3:$E$53,2,FALSE),"nincs szervezet")</f>
        <v>Nagymarosi Polgármesteri Hivatal</v>
      </c>
      <c r="N542" s="322" t="str">
        <f>VLOOKUP(F542,PAR!$R$3:$S$5,2,FALSE)</f>
        <v>2 - Kiadás</v>
      </c>
      <c r="O542" t="str">
        <f>IFERROR(VLOOKUP(J542,PAR!$O$3:$P$5,2,FALSE),"nincs feladat")</f>
        <v>1 - (KÖT)</v>
      </c>
      <c r="P542" t="str">
        <f>IFERROR(VLOOKUP(G542,PAR!$J$2:$M$19,4),"nincs rovat")</f>
        <v>K3 - Dologi kiadások</v>
      </c>
      <c r="Q542" t="str">
        <f>IF(H542&gt;0,VLOOKUP(H542,PAR!$AA$3:$AC$187,3,FALSE),"nincs főkönyvi számla")</f>
        <v>053221 -  Egyéb kommunikációs szolgáltatások előirányzata</v>
      </c>
      <c r="R542" t="str">
        <f>IFERROR(VLOOKUP(K542,PAR!$V$3:$X$438,3,FALSE),"000000 - Nincs COFOG")</f>
        <v>000000 - Nincs COFOG</v>
      </c>
      <c r="S542">
        <f t="shared" si="164"/>
        <v>-17612</v>
      </c>
      <c r="T542">
        <f t="shared" si="165"/>
        <v>-17612</v>
      </c>
      <c r="U542" t="str">
        <f>IF('906MP'!J242&gt;0,CONCATENATE('906MP'!J242," - ",'906MP'!P242,", ",'906MP'!E242),"nincs megjegyzés")</f>
        <v>2025-05-01 - módosított ei, 2025/MEI-394031/6</v>
      </c>
      <c r="V542" t="str">
        <f t="shared" si="152"/>
        <v>60P394031053</v>
      </c>
      <c r="W542" t="str">
        <f t="shared" si="153"/>
        <v>60P39403105</v>
      </c>
      <c r="X542" t="str">
        <f t="shared" si="154"/>
        <v>P394031053221</v>
      </c>
      <c r="Y542" t="str">
        <f t="shared" si="155"/>
        <v>60053221</v>
      </c>
      <c r="Z542" t="str">
        <f t="shared" si="166"/>
        <v>(KÖT)053221</v>
      </c>
      <c r="AA542" t="str">
        <f t="shared" si="156"/>
        <v>60053</v>
      </c>
      <c r="AB542" t="str">
        <f t="shared" si="157"/>
        <v>(KÖT)053</v>
      </c>
      <c r="AC542" t="str">
        <f t="shared" si="158"/>
        <v>60P394031053221</v>
      </c>
      <c r="AD542" t="str">
        <f t="shared" si="159"/>
        <v>P394031053221(KÖT)</v>
      </c>
      <c r="AE542" t="str">
        <f t="shared" si="160"/>
        <v>60P394031053</v>
      </c>
      <c r="AF542" t="str">
        <f t="shared" si="161"/>
        <v>P394031053(KÖT)</v>
      </c>
      <c r="AG542" t="str">
        <f t="shared" si="167"/>
        <v>60P39403105322112100</v>
      </c>
      <c r="AH542" t="str">
        <f t="shared" si="168"/>
        <v>P394031(KÖT)05322112100</v>
      </c>
      <c r="AI542" t="str">
        <f t="shared" si="169"/>
        <v>60P39403105312100</v>
      </c>
      <c r="AJ542" t="str">
        <f t="shared" si="170"/>
        <v>P394031053(KÖT)12100</v>
      </c>
    </row>
    <row r="543" spans="1:36" x14ac:dyDescent="0.25">
      <c r="A543" s="325" t="str">
        <f>CONCATENATE("P",'906MP'!M243)</f>
        <v>P731113</v>
      </c>
      <c r="B543">
        <f>'906MP'!H243</f>
        <v>60</v>
      </c>
      <c r="C543" t="str">
        <f>'906MP'!J243</f>
        <v>2025-06-24</v>
      </c>
      <c r="D543" t="str">
        <f>'906MP'!P243</f>
        <v>módosított ei</v>
      </c>
      <c r="E543">
        <f>'906MP'!X243</f>
        <v>-1250400</v>
      </c>
      <c r="F543" t="str">
        <f t="shared" si="162"/>
        <v>09</v>
      </c>
      <c r="G543" t="str">
        <f t="shared" si="163"/>
        <v>096</v>
      </c>
      <c r="H543" t="str">
        <f>'906MP'!Y243</f>
        <v>09651</v>
      </c>
      <c r="I543" t="str">
        <f>'906MP'!AK243</f>
        <v>2025/MEI-731113/60</v>
      </c>
      <c r="J543" t="str">
        <f>'906MP'!T243</f>
        <v>(KÖT)</v>
      </c>
      <c r="K543" t="str">
        <f>'906MP'!AJ243</f>
        <v/>
      </c>
      <c r="L543" t="str">
        <f>'906MP'!U243</f>
        <v>91100</v>
      </c>
      <c r="M543" s="322" t="str">
        <f>IFERROR(VLOOKUP(A543,PAR!$D$3:$E$53,2,FALSE),"nincs szervezet")</f>
        <v>Nagymaros Város Önkormányzata</v>
      </c>
      <c r="N543" s="322" t="str">
        <f>VLOOKUP(F543,PAR!$R$3:$S$5,2,FALSE)</f>
        <v>1 - Bevétel</v>
      </c>
      <c r="O543" t="str">
        <f>IFERROR(VLOOKUP(J543,PAR!$O$3:$P$5,2,FALSE),"nincs feladat")</f>
        <v>1 - (KÖT)</v>
      </c>
      <c r="P543" t="str">
        <f>IFERROR(VLOOKUP(G543,PAR!$J$2:$M$19,4),"nincs rovat")</f>
        <v>B6 - Működési célú átvett pénzeszközök</v>
      </c>
      <c r="Q543" t="str">
        <f>IF(H543&gt;0,VLOOKUP(H543,PAR!$AA$3:$AC$187,3,FALSE),"nincs főkönyvi számla")</f>
        <v>09651 -  Egyéb működési célú átvett pénzeszközök előirányzata</v>
      </c>
      <c r="R543" t="str">
        <f>IFERROR(VLOOKUP(K543,PAR!$V$3:$X$438,3,FALSE),"000000 - Nincs COFOG")</f>
        <v>000000 - Nincs COFOG</v>
      </c>
      <c r="S543">
        <f t="shared" si="164"/>
        <v>-1250400</v>
      </c>
      <c r="T543">
        <f t="shared" si="165"/>
        <v>1250400</v>
      </c>
      <c r="U543" t="str">
        <f>IF('906MP'!J243&gt;0,CONCATENATE('906MP'!J243," - ",'906MP'!P243,", ",'906MP'!E243),"nincs megjegyzés")</f>
        <v>2025-06-24 - módosított ei, 2025/MEI-731113/60</v>
      </c>
      <c r="V543" t="str">
        <f t="shared" si="152"/>
        <v>60P731113096</v>
      </c>
      <c r="W543" t="str">
        <f t="shared" si="153"/>
        <v>60P73111309</v>
      </c>
      <c r="X543" t="str">
        <f t="shared" si="154"/>
        <v>P73111309651</v>
      </c>
      <c r="Y543" t="str">
        <f t="shared" si="155"/>
        <v>6009651</v>
      </c>
      <c r="Z543" t="str">
        <f t="shared" si="166"/>
        <v>(KÖT)09651</v>
      </c>
      <c r="AA543" t="str">
        <f t="shared" si="156"/>
        <v>60096</v>
      </c>
      <c r="AB543" t="str">
        <f t="shared" si="157"/>
        <v>(KÖT)096</v>
      </c>
      <c r="AC543" t="str">
        <f t="shared" si="158"/>
        <v>60P73111309651</v>
      </c>
      <c r="AD543" t="str">
        <f t="shared" si="159"/>
        <v>P73111309651(KÖT)</v>
      </c>
      <c r="AE543" t="str">
        <f t="shared" si="160"/>
        <v>60P731113096</v>
      </c>
      <c r="AF543" t="str">
        <f t="shared" si="161"/>
        <v>P731113096(KÖT)</v>
      </c>
      <c r="AG543" t="str">
        <f t="shared" si="167"/>
        <v>60P7311130965191100</v>
      </c>
      <c r="AH543" t="str">
        <f t="shared" si="168"/>
        <v>P731113(KÖT)0965191100</v>
      </c>
      <c r="AI543" t="str">
        <f t="shared" si="169"/>
        <v>60P73111309691100</v>
      </c>
      <c r="AJ543" t="str">
        <f t="shared" si="170"/>
        <v>P731113096(KÖT)91100</v>
      </c>
    </row>
    <row r="544" spans="1:36" x14ac:dyDescent="0.25">
      <c r="A544" s="325" t="str">
        <f>CONCATENATE("P",'906MP'!M244)</f>
        <v>P731113</v>
      </c>
      <c r="B544">
        <f>'906MP'!H244</f>
        <v>60</v>
      </c>
      <c r="C544" t="str">
        <f>'906MP'!J244</f>
        <v>2025-06-24</v>
      </c>
      <c r="D544" t="str">
        <f>'906MP'!P244</f>
        <v>módosított ei</v>
      </c>
      <c r="E544">
        <f>'906MP'!X244</f>
        <v>1250400</v>
      </c>
      <c r="F544" t="str">
        <f t="shared" si="162"/>
        <v>05</v>
      </c>
      <c r="G544" t="str">
        <f t="shared" si="163"/>
        <v>055</v>
      </c>
      <c r="H544" t="str">
        <f>'906MP'!Y244</f>
        <v>0550211</v>
      </c>
      <c r="I544" t="str">
        <f>'906MP'!AK244</f>
        <v>2025/MEI-731113/60</v>
      </c>
      <c r="J544" t="str">
        <f>'906MP'!T244</f>
        <v>(KÖT)</v>
      </c>
      <c r="K544" t="str">
        <f>'906MP'!AJ244</f>
        <v/>
      </c>
      <c r="L544" t="str">
        <f>'906MP'!U244</f>
        <v>11100</v>
      </c>
      <c r="M544" s="322" t="str">
        <f>IFERROR(VLOOKUP(A544,PAR!$D$3:$E$53,2,FALSE),"nincs szervezet")</f>
        <v>Nagymaros Város Önkormányzata</v>
      </c>
      <c r="N544" s="322" t="str">
        <f>VLOOKUP(F544,PAR!$R$3:$S$5,2,FALSE)</f>
        <v>2 - Kiadás</v>
      </c>
      <c r="O544" t="str">
        <f>IFERROR(VLOOKUP(J544,PAR!$O$3:$P$5,2,FALSE),"nincs feladat")</f>
        <v>1 - (KÖT)</v>
      </c>
      <c r="P544" t="str">
        <f>IFERROR(VLOOKUP(G544,PAR!$J$2:$M$19,4),"nincs rovat")</f>
        <v>K5 - Egyéb működési célú kiadások</v>
      </c>
      <c r="Q544" t="str">
        <f>IF(H544&gt;0,VLOOKUP(H544,PAR!$AA$3:$AC$187,3,FALSE),"nincs főkönyvi számla")</f>
        <v>0550211 -  A helyi önkormányzatok előző évi elszámolásából származó kiadások előirányzata</v>
      </c>
      <c r="R544" t="str">
        <f>IFERROR(VLOOKUP(K544,PAR!$V$3:$X$438,3,FALSE),"000000 - Nincs COFOG")</f>
        <v>000000 - Nincs COFOG</v>
      </c>
      <c r="S544">
        <f t="shared" si="164"/>
        <v>1250400</v>
      </c>
      <c r="T544">
        <f t="shared" si="165"/>
        <v>1250400</v>
      </c>
      <c r="U544" t="str">
        <f>IF('906MP'!J244&gt;0,CONCATENATE('906MP'!J244," - ",'906MP'!P244,", ",'906MP'!E244),"nincs megjegyzés")</f>
        <v>2025-06-24 - módosított ei, 2025/MEI-731113/60</v>
      </c>
      <c r="V544" t="str">
        <f t="shared" si="152"/>
        <v>60P731113055</v>
      </c>
      <c r="W544" t="str">
        <f t="shared" si="153"/>
        <v>60P73111305</v>
      </c>
      <c r="X544" t="str">
        <f t="shared" si="154"/>
        <v>P7311130550211</v>
      </c>
      <c r="Y544" t="str">
        <f t="shared" si="155"/>
        <v>600550211</v>
      </c>
      <c r="Z544" t="str">
        <f t="shared" si="166"/>
        <v>(KÖT)0550211</v>
      </c>
      <c r="AA544" t="str">
        <f t="shared" si="156"/>
        <v>60055</v>
      </c>
      <c r="AB544" t="str">
        <f t="shared" si="157"/>
        <v>(KÖT)055</v>
      </c>
      <c r="AC544" t="str">
        <f t="shared" si="158"/>
        <v>60P7311130550211</v>
      </c>
      <c r="AD544" t="str">
        <f t="shared" si="159"/>
        <v>P7311130550211(KÖT)</v>
      </c>
      <c r="AE544" t="str">
        <f t="shared" si="160"/>
        <v>60P731113055</v>
      </c>
      <c r="AF544" t="str">
        <f t="shared" si="161"/>
        <v>P731113055(KÖT)</v>
      </c>
      <c r="AG544" t="str">
        <f t="shared" si="167"/>
        <v>60P731113055021111100</v>
      </c>
      <c r="AH544" t="str">
        <f t="shared" si="168"/>
        <v>P731113(KÖT)055021111100</v>
      </c>
      <c r="AI544" t="str">
        <f t="shared" si="169"/>
        <v>60P73111305511100</v>
      </c>
      <c r="AJ544" t="str">
        <f t="shared" si="170"/>
        <v>P731113055(KÖT)11100</v>
      </c>
    </row>
    <row r="545" spans="1:36" x14ac:dyDescent="0.25">
      <c r="A545" s="325" t="str">
        <f>CONCATENATE("P",'906MP'!M245)</f>
        <v>P654449</v>
      </c>
      <c r="B545">
        <f>'906MP'!H245</f>
        <v>60</v>
      </c>
      <c r="C545" t="str">
        <f>'906MP'!J245</f>
        <v>2025-04-01</v>
      </c>
      <c r="D545" t="str">
        <f>'906MP'!P245</f>
        <v>módosított ei</v>
      </c>
      <c r="E545">
        <f>'906MP'!X245</f>
        <v>216497</v>
      </c>
      <c r="F545" t="str">
        <f t="shared" si="162"/>
        <v>05</v>
      </c>
      <c r="G545" t="str">
        <f t="shared" si="163"/>
        <v>051</v>
      </c>
      <c r="H545" t="str">
        <f>'906MP'!Y245</f>
        <v>0511041</v>
      </c>
      <c r="I545" t="str">
        <f>'906MP'!AK245</f>
        <v>2025/MEI-654449/5</v>
      </c>
      <c r="J545" t="str">
        <f>'906MP'!T245</f>
        <v>(ÖNV)</v>
      </c>
      <c r="K545" t="str">
        <f>'906MP'!AJ245</f>
        <v/>
      </c>
      <c r="L545" t="str">
        <f>'906MP'!U245</f>
        <v>15100</v>
      </c>
      <c r="M545" s="322" t="str">
        <f>IFERROR(VLOOKUP(A545,PAR!$D$3:$E$53,2,FALSE),"nincs szervezet")</f>
        <v>Gondozási Központ</v>
      </c>
      <c r="N545" s="322" t="str">
        <f>VLOOKUP(F545,PAR!$R$3:$S$5,2,FALSE)</f>
        <v>2 - Kiadás</v>
      </c>
      <c r="O545" t="str">
        <f>IFERROR(VLOOKUP(J545,PAR!$O$3:$P$5,2,FALSE),"nincs feladat")</f>
        <v>2 - (ÖNV)</v>
      </c>
      <c r="P545" t="str">
        <f>IFERROR(VLOOKUP(G545,PAR!$J$2:$M$19,4),"nincs rovat")</f>
        <v>K1 - Személyi juttatások</v>
      </c>
      <c r="Q545" t="str">
        <f>IF(H545&gt;0,VLOOKUP(H545,PAR!$AA$3:$AC$187,3,FALSE),"nincs főkönyvi számla")</f>
        <v>0511041 -  Készenléti, ügyeleti, helyettesítési díj, túlóra, túlszolgálat előirányzata</v>
      </c>
      <c r="R545" t="str">
        <f>IFERROR(VLOOKUP(K545,PAR!$V$3:$X$438,3,FALSE),"000000 - Nincs COFOG")</f>
        <v>000000 - Nincs COFOG</v>
      </c>
      <c r="S545">
        <f t="shared" si="164"/>
        <v>216497</v>
      </c>
      <c r="T545">
        <f t="shared" si="165"/>
        <v>216497</v>
      </c>
      <c r="U545" t="str">
        <f>IF('906MP'!J245&gt;0,CONCATENATE('906MP'!J245," - ",'906MP'!P245,", ",'906MP'!E245),"nincs megjegyzés")</f>
        <v>2025-04-01 - módosított ei, 2025/MEI-654449/5</v>
      </c>
      <c r="V545" t="str">
        <f t="shared" si="152"/>
        <v>60P654449051</v>
      </c>
      <c r="W545" t="str">
        <f t="shared" si="153"/>
        <v>60P65444905</v>
      </c>
      <c r="X545" t="str">
        <f t="shared" si="154"/>
        <v>P6544490511041</v>
      </c>
      <c r="Y545" t="str">
        <f t="shared" si="155"/>
        <v>600511041</v>
      </c>
      <c r="Z545" t="str">
        <f t="shared" si="166"/>
        <v>(ÖNV)0511041</v>
      </c>
      <c r="AA545" t="str">
        <f t="shared" si="156"/>
        <v>60051</v>
      </c>
      <c r="AB545" t="str">
        <f t="shared" si="157"/>
        <v>(ÖNV)051</v>
      </c>
      <c r="AC545" t="str">
        <f t="shared" si="158"/>
        <v>60P6544490511041</v>
      </c>
      <c r="AD545" t="str">
        <f t="shared" si="159"/>
        <v>P6544490511041(ÖNV)</v>
      </c>
      <c r="AE545" t="str">
        <f t="shared" si="160"/>
        <v>60P654449051</v>
      </c>
      <c r="AF545" t="str">
        <f t="shared" si="161"/>
        <v>P654449051(ÖNV)</v>
      </c>
      <c r="AG545" t="str">
        <f t="shared" si="167"/>
        <v>60P654449051104115100</v>
      </c>
      <c r="AH545" t="str">
        <f t="shared" si="168"/>
        <v>P654449(ÖNV)051104115100</v>
      </c>
      <c r="AI545" t="str">
        <f t="shared" si="169"/>
        <v>60P65444905115100</v>
      </c>
      <c r="AJ545" t="str">
        <f t="shared" si="170"/>
        <v>P654449051(ÖNV)15100</v>
      </c>
    </row>
    <row r="546" spans="1:36" x14ac:dyDescent="0.25">
      <c r="A546" s="325" t="str">
        <f>CONCATENATE("P",'906MP'!M246)</f>
        <v>P654449</v>
      </c>
      <c r="B546">
        <f>'906MP'!H246</f>
        <v>60</v>
      </c>
      <c r="C546" t="str">
        <f>'906MP'!J246</f>
        <v>2025-04-01</v>
      </c>
      <c r="D546" t="str">
        <f>'906MP'!P246</f>
        <v>módosított ei</v>
      </c>
      <c r="E546">
        <f>'906MP'!X246</f>
        <v>294502</v>
      </c>
      <c r="F546" t="str">
        <f t="shared" si="162"/>
        <v>05</v>
      </c>
      <c r="G546" t="str">
        <f t="shared" si="163"/>
        <v>051</v>
      </c>
      <c r="H546" t="str">
        <f>'906MP'!Y246</f>
        <v>0511131</v>
      </c>
      <c r="I546" t="str">
        <f>'906MP'!AK246</f>
        <v>2025/MEI-654449/5</v>
      </c>
      <c r="J546" t="str">
        <f>'906MP'!T246</f>
        <v>(KÖT)</v>
      </c>
      <c r="K546" t="str">
        <f>'906MP'!AJ246</f>
        <v/>
      </c>
      <c r="L546" t="str">
        <f>'906MP'!U246</f>
        <v>15100</v>
      </c>
      <c r="M546" s="322" t="str">
        <f>IFERROR(VLOOKUP(A546,PAR!$D$3:$E$53,2,FALSE),"nincs szervezet")</f>
        <v>Gondozási Központ</v>
      </c>
      <c r="N546" s="322" t="str">
        <f>VLOOKUP(F546,PAR!$R$3:$S$5,2,FALSE)</f>
        <v>2 - Kiadás</v>
      </c>
      <c r="O546" t="str">
        <f>IFERROR(VLOOKUP(J546,PAR!$O$3:$P$5,2,FALSE),"nincs feladat")</f>
        <v>1 - (KÖT)</v>
      </c>
      <c r="P546" t="str">
        <f>IFERROR(VLOOKUP(G546,PAR!$J$2:$M$19,4),"nincs rovat")</f>
        <v>K1 - Személyi juttatások</v>
      </c>
      <c r="Q546" t="str">
        <f>IF(H546&gt;0,VLOOKUP(H546,PAR!$AA$3:$AC$187,3,FALSE),"nincs főkönyvi számla")</f>
        <v>0511131 -  Foglalkoztatottak egyéb személyi juttatásai előirányzata</v>
      </c>
      <c r="R546" t="str">
        <f>IFERROR(VLOOKUP(K546,PAR!$V$3:$X$438,3,FALSE),"000000 - Nincs COFOG")</f>
        <v>000000 - Nincs COFOG</v>
      </c>
      <c r="S546">
        <f t="shared" si="164"/>
        <v>294502</v>
      </c>
      <c r="T546">
        <f t="shared" si="165"/>
        <v>294502</v>
      </c>
      <c r="U546" t="str">
        <f>IF('906MP'!J246&gt;0,CONCATENATE('906MP'!J246," - ",'906MP'!P246,", ",'906MP'!E246),"nincs megjegyzés")</f>
        <v>2025-04-01 - módosított ei, 2025/MEI-654449/5</v>
      </c>
      <c r="V546" t="str">
        <f t="shared" si="152"/>
        <v>60P654449051</v>
      </c>
      <c r="W546" t="str">
        <f t="shared" si="153"/>
        <v>60P65444905</v>
      </c>
      <c r="X546" t="str">
        <f t="shared" si="154"/>
        <v>P6544490511131</v>
      </c>
      <c r="Y546" t="str">
        <f t="shared" si="155"/>
        <v>600511131</v>
      </c>
      <c r="Z546" t="str">
        <f t="shared" si="166"/>
        <v>(KÖT)0511131</v>
      </c>
      <c r="AA546" t="str">
        <f t="shared" si="156"/>
        <v>60051</v>
      </c>
      <c r="AB546" t="str">
        <f t="shared" si="157"/>
        <v>(KÖT)051</v>
      </c>
      <c r="AC546" t="str">
        <f t="shared" si="158"/>
        <v>60P6544490511131</v>
      </c>
      <c r="AD546" t="str">
        <f t="shared" si="159"/>
        <v>P6544490511131(KÖT)</v>
      </c>
      <c r="AE546" t="str">
        <f t="shared" si="160"/>
        <v>60P654449051</v>
      </c>
      <c r="AF546" t="str">
        <f t="shared" si="161"/>
        <v>P654449051(KÖT)</v>
      </c>
      <c r="AG546" t="str">
        <f t="shared" si="167"/>
        <v>60P654449051113115100</v>
      </c>
      <c r="AH546" t="str">
        <f t="shared" si="168"/>
        <v>P654449(KÖT)051113115100</v>
      </c>
      <c r="AI546" t="str">
        <f t="shared" si="169"/>
        <v>60P65444905115100</v>
      </c>
      <c r="AJ546" t="str">
        <f t="shared" si="170"/>
        <v>P654449051(KÖT)15100</v>
      </c>
    </row>
    <row r="547" spans="1:36" x14ac:dyDescent="0.25">
      <c r="A547" s="325" t="str">
        <f>CONCATENATE("P",'906MP'!M247)</f>
        <v>P654449</v>
      </c>
      <c r="B547">
        <f>'906MP'!H247</f>
        <v>60</v>
      </c>
      <c r="C547" t="str">
        <f>'906MP'!J247</f>
        <v>2025-04-01</v>
      </c>
      <c r="D547" t="str">
        <f>'906MP'!P247</f>
        <v>módosított ei</v>
      </c>
      <c r="E547">
        <f>'906MP'!X247</f>
        <v>-510999</v>
      </c>
      <c r="F547" t="str">
        <f t="shared" si="162"/>
        <v>05</v>
      </c>
      <c r="G547" t="str">
        <f t="shared" si="163"/>
        <v>051</v>
      </c>
      <c r="H547" t="str">
        <f>'906MP'!Y247</f>
        <v>0511011</v>
      </c>
      <c r="I547" t="str">
        <f>'906MP'!AK247</f>
        <v>2025/MEI-654449/5</v>
      </c>
      <c r="J547" t="str">
        <f>'906MP'!T247</f>
        <v>(KÖT)</v>
      </c>
      <c r="K547" t="str">
        <f>'906MP'!AJ247</f>
        <v/>
      </c>
      <c r="L547" t="str">
        <f>'906MP'!U247</f>
        <v>15100</v>
      </c>
      <c r="M547" s="322" t="str">
        <f>IFERROR(VLOOKUP(A547,PAR!$D$3:$E$53,2,FALSE),"nincs szervezet")</f>
        <v>Gondozási Központ</v>
      </c>
      <c r="N547" s="322" t="str">
        <f>VLOOKUP(F547,PAR!$R$3:$S$5,2,FALSE)</f>
        <v>2 - Kiadás</v>
      </c>
      <c r="O547" t="str">
        <f>IFERROR(VLOOKUP(J547,PAR!$O$3:$P$5,2,FALSE),"nincs feladat")</f>
        <v>1 - (KÖT)</v>
      </c>
      <c r="P547" t="str">
        <f>IFERROR(VLOOKUP(G547,PAR!$J$2:$M$19,4),"nincs rovat")</f>
        <v>K1 - Személyi juttatások</v>
      </c>
      <c r="Q547" t="str">
        <f>IF(H547&gt;0,VLOOKUP(H547,PAR!$AA$3:$AC$187,3,FALSE),"nincs főkönyvi számla")</f>
        <v>0511011 -  Törvény szerinti illetmények, munkabérek előirányzata</v>
      </c>
      <c r="R547" t="str">
        <f>IFERROR(VLOOKUP(K547,PAR!$V$3:$X$438,3,FALSE),"000000 - Nincs COFOG")</f>
        <v>000000 - Nincs COFOG</v>
      </c>
      <c r="S547">
        <f t="shared" si="164"/>
        <v>-510999</v>
      </c>
      <c r="T547">
        <f t="shared" si="165"/>
        <v>-510999</v>
      </c>
      <c r="U547" t="str">
        <f>IF('906MP'!J247&gt;0,CONCATENATE('906MP'!J247," - ",'906MP'!P247,", ",'906MP'!E247),"nincs megjegyzés")</f>
        <v>2025-04-01 - módosított ei, 2025/MEI-654449/5</v>
      </c>
      <c r="V547" t="str">
        <f t="shared" si="152"/>
        <v>60P654449051</v>
      </c>
      <c r="W547" t="str">
        <f t="shared" si="153"/>
        <v>60P65444905</v>
      </c>
      <c r="X547" t="str">
        <f t="shared" si="154"/>
        <v>P6544490511011</v>
      </c>
      <c r="Y547" t="str">
        <f t="shared" si="155"/>
        <v>600511011</v>
      </c>
      <c r="Z547" t="str">
        <f t="shared" si="166"/>
        <v>(KÖT)0511011</v>
      </c>
      <c r="AA547" t="str">
        <f t="shared" si="156"/>
        <v>60051</v>
      </c>
      <c r="AB547" t="str">
        <f t="shared" si="157"/>
        <v>(KÖT)051</v>
      </c>
      <c r="AC547" t="str">
        <f t="shared" si="158"/>
        <v>60P6544490511011</v>
      </c>
      <c r="AD547" t="str">
        <f t="shared" si="159"/>
        <v>P6544490511011(KÖT)</v>
      </c>
      <c r="AE547" t="str">
        <f t="shared" si="160"/>
        <v>60P654449051</v>
      </c>
      <c r="AF547" t="str">
        <f t="shared" si="161"/>
        <v>P654449051(KÖT)</v>
      </c>
      <c r="AG547" t="str">
        <f t="shared" si="167"/>
        <v>60P654449051101115100</v>
      </c>
      <c r="AH547" t="str">
        <f t="shared" si="168"/>
        <v>P654449(KÖT)051101115100</v>
      </c>
      <c r="AI547" t="str">
        <f t="shared" si="169"/>
        <v>60P65444905115100</v>
      </c>
      <c r="AJ547" t="str">
        <f t="shared" si="170"/>
        <v>P654449051(KÖT)15100</v>
      </c>
    </row>
    <row r="548" spans="1:36" x14ac:dyDescent="0.25">
      <c r="A548" s="325" t="str">
        <f>CONCATENATE("P",'906MP'!M248)</f>
        <v>P731113</v>
      </c>
      <c r="B548">
        <f>'906MP'!H248</f>
        <v>60</v>
      </c>
      <c r="C548" t="str">
        <f>'906MP'!J248</f>
        <v>2025-04-01</v>
      </c>
      <c r="D548" t="str">
        <f>'906MP'!P248</f>
        <v>módosított ei</v>
      </c>
      <c r="E548">
        <f>'906MP'!X248</f>
        <v>36720</v>
      </c>
      <c r="F548" t="str">
        <f t="shared" si="162"/>
        <v>05</v>
      </c>
      <c r="G548" t="str">
        <f t="shared" si="163"/>
        <v>051</v>
      </c>
      <c r="H548" t="str">
        <f>'906MP'!Y248</f>
        <v>0511091</v>
      </c>
      <c r="I548" t="str">
        <f>'906MP'!AK248</f>
        <v>2025/MEI-731113/29</v>
      </c>
      <c r="J548" t="str">
        <f>'906MP'!T248</f>
        <v>(KÖT)</v>
      </c>
      <c r="K548" t="str">
        <f>'906MP'!AJ248</f>
        <v/>
      </c>
      <c r="L548" t="str">
        <f>'906MP'!U248</f>
        <v>11100</v>
      </c>
      <c r="M548" s="322" t="str">
        <f>IFERROR(VLOOKUP(A548,PAR!$D$3:$E$53,2,FALSE),"nincs szervezet")</f>
        <v>Nagymaros Város Önkormányzata</v>
      </c>
      <c r="N548" s="322" t="str">
        <f>VLOOKUP(F548,PAR!$R$3:$S$5,2,FALSE)</f>
        <v>2 - Kiadás</v>
      </c>
      <c r="O548" t="str">
        <f>IFERROR(VLOOKUP(J548,PAR!$O$3:$P$5,2,FALSE),"nincs feladat")</f>
        <v>1 - (KÖT)</v>
      </c>
      <c r="P548" t="str">
        <f>IFERROR(VLOOKUP(G548,PAR!$J$2:$M$19,4),"nincs rovat")</f>
        <v>K1 - Személyi juttatások</v>
      </c>
      <c r="Q548" t="str">
        <f>IF(H548&gt;0,VLOOKUP(H548,PAR!$AA$3:$AC$187,3,FALSE),"nincs főkönyvi számla")</f>
        <v>0511091 -  Közlekedési költségtérítés előirányzata</v>
      </c>
      <c r="R548" t="str">
        <f>IFERROR(VLOOKUP(K548,PAR!$V$3:$X$438,3,FALSE),"000000 - Nincs COFOG")</f>
        <v>000000 - Nincs COFOG</v>
      </c>
      <c r="S548">
        <f t="shared" si="164"/>
        <v>36720</v>
      </c>
      <c r="T548">
        <f t="shared" si="165"/>
        <v>36720</v>
      </c>
      <c r="U548" t="str">
        <f>IF('906MP'!J248&gt;0,CONCATENATE('906MP'!J248," - ",'906MP'!P248,", ",'906MP'!E248),"nincs megjegyzés")</f>
        <v>2025-04-01 - módosított ei, 2025/MEI-731113/29</v>
      </c>
      <c r="V548" t="str">
        <f t="shared" si="152"/>
        <v>60P731113051</v>
      </c>
      <c r="W548" t="str">
        <f t="shared" si="153"/>
        <v>60P73111305</v>
      </c>
      <c r="X548" t="str">
        <f t="shared" si="154"/>
        <v>P7311130511091</v>
      </c>
      <c r="Y548" t="str">
        <f t="shared" si="155"/>
        <v>600511091</v>
      </c>
      <c r="Z548" t="str">
        <f t="shared" si="166"/>
        <v>(KÖT)0511091</v>
      </c>
      <c r="AA548" t="str">
        <f t="shared" si="156"/>
        <v>60051</v>
      </c>
      <c r="AB548" t="str">
        <f t="shared" si="157"/>
        <v>(KÖT)051</v>
      </c>
      <c r="AC548" t="str">
        <f t="shared" si="158"/>
        <v>60P7311130511091</v>
      </c>
      <c r="AD548" t="str">
        <f t="shared" si="159"/>
        <v>P7311130511091(KÖT)</v>
      </c>
      <c r="AE548" t="str">
        <f t="shared" si="160"/>
        <v>60P731113051</v>
      </c>
      <c r="AF548" t="str">
        <f t="shared" si="161"/>
        <v>P731113051(KÖT)</v>
      </c>
      <c r="AG548" t="str">
        <f t="shared" si="167"/>
        <v>60P731113051109111100</v>
      </c>
      <c r="AH548" t="str">
        <f t="shared" si="168"/>
        <v>P731113(KÖT)051109111100</v>
      </c>
      <c r="AI548" t="str">
        <f t="shared" si="169"/>
        <v>60P73111305111100</v>
      </c>
      <c r="AJ548" t="str">
        <f t="shared" si="170"/>
        <v>P731113051(KÖT)11100</v>
      </c>
    </row>
    <row r="549" spans="1:36" x14ac:dyDescent="0.25">
      <c r="A549" s="325" t="str">
        <f>CONCATENATE("P",'906MP'!M249)</f>
        <v>P731113</v>
      </c>
      <c r="B549">
        <f>'906MP'!H249</f>
        <v>60</v>
      </c>
      <c r="C549" t="str">
        <f>'906MP'!J249</f>
        <v>2025-04-01</v>
      </c>
      <c r="D549" t="str">
        <f>'906MP'!P249</f>
        <v>módosított ei</v>
      </c>
      <c r="E549">
        <f>'906MP'!X249</f>
        <v>-36720</v>
      </c>
      <c r="F549" t="str">
        <f t="shared" si="162"/>
        <v>05</v>
      </c>
      <c r="G549" t="str">
        <f t="shared" si="163"/>
        <v>051</v>
      </c>
      <c r="H549" t="str">
        <f>'906MP'!Y249</f>
        <v>0511011</v>
      </c>
      <c r="I549" t="str">
        <f>'906MP'!AK249</f>
        <v>2025/MEI-731113/29</v>
      </c>
      <c r="J549" t="str">
        <f>'906MP'!T249</f>
        <v>(KÖT)</v>
      </c>
      <c r="K549" t="str">
        <f>'906MP'!AJ249</f>
        <v/>
      </c>
      <c r="L549" t="str">
        <f>'906MP'!U249</f>
        <v>11100</v>
      </c>
      <c r="M549" s="322" t="str">
        <f>IFERROR(VLOOKUP(A549,PAR!$D$3:$E$53,2,FALSE),"nincs szervezet")</f>
        <v>Nagymaros Város Önkormányzata</v>
      </c>
      <c r="N549" s="322" t="str">
        <f>VLOOKUP(F549,PAR!$R$3:$S$5,2,FALSE)</f>
        <v>2 - Kiadás</v>
      </c>
      <c r="O549" t="str">
        <f>IFERROR(VLOOKUP(J549,PAR!$O$3:$P$5,2,FALSE),"nincs feladat")</f>
        <v>1 - (KÖT)</v>
      </c>
      <c r="P549" t="str">
        <f>IFERROR(VLOOKUP(G549,PAR!$J$2:$M$19,4),"nincs rovat")</f>
        <v>K1 - Személyi juttatások</v>
      </c>
      <c r="Q549" t="str">
        <f>IF(H549&gt;0,VLOOKUP(H549,PAR!$AA$3:$AC$187,3,FALSE),"nincs főkönyvi számla")</f>
        <v>0511011 -  Törvény szerinti illetmények, munkabérek előirányzata</v>
      </c>
      <c r="R549" t="str">
        <f>IFERROR(VLOOKUP(K549,PAR!$V$3:$X$438,3,FALSE),"000000 - Nincs COFOG")</f>
        <v>000000 - Nincs COFOG</v>
      </c>
      <c r="S549">
        <f t="shared" si="164"/>
        <v>-36720</v>
      </c>
      <c r="T549">
        <f t="shared" si="165"/>
        <v>-36720</v>
      </c>
      <c r="U549" t="str">
        <f>IF('906MP'!J249&gt;0,CONCATENATE('906MP'!J249," - ",'906MP'!P249,", ",'906MP'!E249),"nincs megjegyzés")</f>
        <v>2025-04-01 - módosított ei, 2025/MEI-731113/29</v>
      </c>
      <c r="V549" t="str">
        <f t="shared" si="152"/>
        <v>60P731113051</v>
      </c>
      <c r="W549" t="str">
        <f t="shared" si="153"/>
        <v>60P73111305</v>
      </c>
      <c r="X549" t="str">
        <f t="shared" si="154"/>
        <v>P7311130511011</v>
      </c>
      <c r="Y549" t="str">
        <f t="shared" si="155"/>
        <v>600511011</v>
      </c>
      <c r="Z549" t="str">
        <f t="shared" si="166"/>
        <v>(KÖT)0511011</v>
      </c>
      <c r="AA549" t="str">
        <f t="shared" si="156"/>
        <v>60051</v>
      </c>
      <c r="AB549" t="str">
        <f t="shared" si="157"/>
        <v>(KÖT)051</v>
      </c>
      <c r="AC549" t="str">
        <f t="shared" si="158"/>
        <v>60P7311130511011</v>
      </c>
      <c r="AD549" t="str">
        <f t="shared" si="159"/>
        <v>P7311130511011(KÖT)</v>
      </c>
      <c r="AE549" t="str">
        <f t="shared" si="160"/>
        <v>60P731113051</v>
      </c>
      <c r="AF549" t="str">
        <f t="shared" si="161"/>
        <v>P731113051(KÖT)</v>
      </c>
      <c r="AG549" t="str">
        <f t="shared" si="167"/>
        <v>60P731113051101111100</v>
      </c>
      <c r="AH549" t="str">
        <f t="shared" si="168"/>
        <v>P731113(KÖT)051101111100</v>
      </c>
      <c r="AI549" t="str">
        <f t="shared" si="169"/>
        <v>60P73111305111100</v>
      </c>
      <c r="AJ549" t="str">
        <f t="shared" si="170"/>
        <v>P731113051(KÖT)11100</v>
      </c>
    </row>
    <row r="550" spans="1:36" x14ac:dyDescent="0.25">
      <c r="A550" s="325" t="str">
        <f>CONCATENATE("P",'906MP'!M250)</f>
        <v>P731113</v>
      </c>
      <c r="B550">
        <f>'906MP'!H250</f>
        <v>60</v>
      </c>
      <c r="C550" t="str">
        <f>'906MP'!J250</f>
        <v>2025-04-01</v>
      </c>
      <c r="D550" t="str">
        <f>'906MP'!P250</f>
        <v>módosított ei</v>
      </c>
      <c r="E550">
        <f>'906MP'!X250</f>
        <v>70000</v>
      </c>
      <c r="F550" t="str">
        <f t="shared" si="162"/>
        <v>05</v>
      </c>
      <c r="G550" t="str">
        <f t="shared" si="163"/>
        <v>053</v>
      </c>
      <c r="H550" t="str">
        <f>'906MP'!Y250</f>
        <v>053551</v>
      </c>
      <c r="I550" t="str">
        <f>'906MP'!AK250</f>
        <v>2025/MEI-731113/30</v>
      </c>
      <c r="J550" t="str">
        <f>'906MP'!T250</f>
        <v>(KÖT)</v>
      </c>
      <c r="K550" t="str">
        <f>'906MP'!AJ250</f>
        <v/>
      </c>
      <c r="L550" t="str">
        <f>'906MP'!U250</f>
        <v>11100</v>
      </c>
      <c r="M550" s="322" t="str">
        <f>IFERROR(VLOOKUP(A550,PAR!$D$3:$E$53,2,FALSE),"nincs szervezet")</f>
        <v>Nagymaros Város Önkormányzata</v>
      </c>
      <c r="N550" s="322" t="str">
        <f>VLOOKUP(F550,PAR!$R$3:$S$5,2,FALSE)</f>
        <v>2 - Kiadás</v>
      </c>
      <c r="O550" t="str">
        <f>IFERROR(VLOOKUP(J550,PAR!$O$3:$P$5,2,FALSE),"nincs feladat")</f>
        <v>1 - (KÖT)</v>
      </c>
      <c r="P550" t="str">
        <f>IFERROR(VLOOKUP(G550,PAR!$J$2:$M$19,4),"nincs rovat")</f>
        <v>K3 - Dologi kiadások</v>
      </c>
      <c r="Q550" t="str">
        <f>IF(H550&gt;0,VLOOKUP(H550,PAR!$AA$3:$AC$187,3,FALSE),"nincs főkönyvi számla")</f>
        <v>053551 -  Egyéb dologi kiadások előirányzata</v>
      </c>
      <c r="R550" t="str">
        <f>IFERROR(VLOOKUP(K550,PAR!$V$3:$X$438,3,FALSE),"000000 - Nincs COFOG")</f>
        <v>000000 - Nincs COFOG</v>
      </c>
      <c r="S550">
        <f t="shared" si="164"/>
        <v>70000</v>
      </c>
      <c r="T550">
        <f t="shared" si="165"/>
        <v>70000</v>
      </c>
      <c r="U550" t="str">
        <f>IF('906MP'!J250&gt;0,CONCATENATE('906MP'!J250," - ",'906MP'!P250,", ",'906MP'!E250),"nincs megjegyzés")</f>
        <v>2025-04-01 - módosított ei, 2025/MEI-731113/30</v>
      </c>
      <c r="V550" t="str">
        <f t="shared" si="152"/>
        <v>60P731113053</v>
      </c>
      <c r="W550" t="str">
        <f t="shared" si="153"/>
        <v>60P73111305</v>
      </c>
      <c r="X550" t="str">
        <f t="shared" si="154"/>
        <v>P731113053551</v>
      </c>
      <c r="Y550" t="str">
        <f t="shared" si="155"/>
        <v>60053551</v>
      </c>
      <c r="Z550" t="str">
        <f t="shared" si="166"/>
        <v>(KÖT)053551</v>
      </c>
      <c r="AA550" t="str">
        <f t="shared" si="156"/>
        <v>60053</v>
      </c>
      <c r="AB550" t="str">
        <f t="shared" si="157"/>
        <v>(KÖT)053</v>
      </c>
      <c r="AC550" t="str">
        <f t="shared" si="158"/>
        <v>60P731113053551</v>
      </c>
      <c r="AD550" t="str">
        <f t="shared" si="159"/>
        <v>P731113053551(KÖT)</v>
      </c>
      <c r="AE550" t="str">
        <f t="shared" si="160"/>
        <v>60P731113053</v>
      </c>
      <c r="AF550" t="str">
        <f t="shared" si="161"/>
        <v>P731113053(KÖT)</v>
      </c>
      <c r="AG550" t="str">
        <f t="shared" si="167"/>
        <v>60P73111305355111100</v>
      </c>
      <c r="AH550" t="str">
        <f t="shared" si="168"/>
        <v>P731113(KÖT)05355111100</v>
      </c>
      <c r="AI550" t="str">
        <f t="shared" si="169"/>
        <v>60P73111305311100</v>
      </c>
      <c r="AJ550" t="str">
        <f t="shared" si="170"/>
        <v>P731113053(KÖT)11100</v>
      </c>
    </row>
    <row r="551" spans="1:36" x14ac:dyDescent="0.25">
      <c r="A551" s="325" t="str">
        <f>CONCATENATE("P",'906MP'!M251)</f>
        <v>P731113</v>
      </c>
      <c r="B551">
        <f>'906MP'!H251</f>
        <v>60</v>
      </c>
      <c r="C551" t="str">
        <f>'906MP'!J251</f>
        <v>2025-04-01</v>
      </c>
      <c r="D551" t="str">
        <f>'906MP'!P251</f>
        <v>módosított ei</v>
      </c>
      <c r="E551">
        <f>'906MP'!X251</f>
        <v>-70000</v>
      </c>
      <c r="F551" t="str">
        <f t="shared" si="162"/>
        <v>05</v>
      </c>
      <c r="G551" t="str">
        <f t="shared" si="163"/>
        <v>055</v>
      </c>
      <c r="H551" t="str">
        <f>'906MP'!Y251</f>
        <v>055131</v>
      </c>
      <c r="I551" t="str">
        <f>'906MP'!AK251</f>
        <v>2025/MEI-731113/30</v>
      </c>
      <c r="J551" t="str">
        <f>'906MP'!T251</f>
        <v>(KÖT)</v>
      </c>
      <c r="K551" t="str">
        <f>'906MP'!AJ251</f>
        <v/>
      </c>
      <c r="L551" t="str">
        <f>'906MP'!U251</f>
        <v>11100</v>
      </c>
      <c r="M551" s="322" t="str">
        <f>IFERROR(VLOOKUP(A551,PAR!$D$3:$E$53,2,FALSE),"nincs szervezet")</f>
        <v>Nagymaros Város Önkormányzata</v>
      </c>
      <c r="N551" s="322" t="str">
        <f>VLOOKUP(F551,PAR!$R$3:$S$5,2,FALSE)</f>
        <v>2 - Kiadás</v>
      </c>
      <c r="O551" t="str">
        <f>IFERROR(VLOOKUP(J551,PAR!$O$3:$P$5,2,FALSE),"nincs feladat")</f>
        <v>1 - (KÖT)</v>
      </c>
      <c r="P551" t="str">
        <f>IFERROR(VLOOKUP(G551,PAR!$J$2:$M$19,4),"nincs rovat")</f>
        <v>K5 - Egyéb működési célú kiadások</v>
      </c>
      <c r="Q551" t="str">
        <f>IF(H551&gt;0,VLOOKUP(H551,PAR!$AA$3:$AC$187,3,FALSE),"nincs főkönyvi számla")</f>
        <v>055131 -  Tartalékok előirányzata</v>
      </c>
      <c r="R551" t="str">
        <f>IFERROR(VLOOKUP(K551,PAR!$V$3:$X$438,3,FALSE),"000000 - Nincs COFOG")</f>
        <v>000000 - Nincs COFOG</v>
      </c>
      <c r="S551">
        <f t="shared" si="164"/>
        <v>-70000</v>
      </c>
      <c r="T551">
        <f t="shared" si="165"/>
        <v>-70000</v>
      </c>
      <c r="U551" t="str">
        <f>IF('906MP'!J251&gt;0,CONCATENATE('906MP'!J251," - ",'906MP'!P251,", ",'906MP'!E251),"nincs megjegyzés")</f>
        <v>2025-04-01 - módosított ei, 2025/MEI-731113/30</v>
      </c>
      <c r="V551" t="str">
        <f t="shared" si="152"/>
        <v>60P731113055</v>
      </c>
      <c r="W551" t="str">
        <f t="shared" si="153"/>
        <v>60P73111305</v>
      </c>
      <c r="X551" t="str">
        <f t="shared" si="154"/>
        <v>P731113055131</v>
      </c>
      <c r="Y551" t="str">
        <f t="shared" si="155"/>
        <v>60055131</v>
      </c>
      <c r="Z551" t="str">
        <f t="shared" si="166"/>
        <v>(KÖT)055131</v>
      </c>
      <c r="AA551" t="str">
        <f t="shared" si="156"/>
        <v>60055</v>
      </c>
      <c r="AB551" t="str">
        <f t="shared" si="157"/>
        <v>(KÖT)055</v>
      </c>
      <c r="AC551" t="str">
        <f t="shared" si="158"/>
        <v>60P731113055131</v>
      </c>
      <c r="AD551" t="str">
        <f t="shared" si="159"/>
        <v>P731113055131(KÖT)</v>
      </c>
      <c r="AE551" t="str">
        <f t="shared" si="160"/>
        <v>60P731113055</v>
      </c>
      <c r="AF551" t="str">
        <f t="shared" si="161"/>
        <v>P731113055(KÖT)</v>
      </c>
      <c r="AG551" t="str">
        <f t="shared" si="167"/>
        <v>60P73111305513111100</v>
      </c>
      <c r="AH551" t="str">
        <f t="shared" si="168"/>
        <v>P731113(KÖT)05513111100</v>
      </c>
      <c r="AI551" t="str">
        <f t="shared" si="169"/>
        <v>60P73111305511100</v>
      </c>
      <c r="AJ551" t="str">
        <f t="shared" si="170"/>
        <v>P731113055(KÖT)11100</v>
      </c>
    </row>
    <row r="552" spans="1:36" x14ac:dyDescent="0.25">
      <c r="A552" s="325" t="str">
        <f>CONCATENATE("P",'906MP'!M252)</f>
        <v>P654472</v>
      </c>
      <c r="B552">
        <f>'906MP'!H252</f>
        <v>60</v>
      </c>
      <c r="C552" t="str">
        <f>'906MP'!J252</f>
        <v>2025-05-01</v>
      </c>
      <c r="D552" t="str">
        <f>'906MP'!P252</f>
        <v>módosított ei</v>
      </c>
      <c r="E552">
        <f>'906MP'!X252</f>
        <v>1333</v>
      </c>
      <c r="F552" t="str">
        <f t="shared" si="162"/>
        <v>05</v>
      </c>
      <c r="G552" t="str">
        <f t="shared" si="163"/>
        <v>051</v>
      </c>
      <c r="H552" t="str">
        <f>'906MP'!Y252</f>
        <v>051231</v>
      </c>
      <c r="I552" t="str">
        <f>'906MP'!AK252</f>
        <v>2025/MEI-654472/7</v>
      </c>
      <c r="J552" t="str">
        <f>'906MP'!T252</f>
        <v>(KÖT)</v>
      </c>
      <c r="K552" t="str">
        <f>'906MP'!AJ252</f>
        <v/>
      </c>
      <c r="L552" t="str">
        <f>'906MP'!U252</f>
        <v>14050</v>
      </c>
      <c r="M552" s="322" t="str">
        <f>IFERROR(VLOOKUP(A552,PAR!$D$3:$E$53,2,FALSE),"nincs szervezet")</f>
        <v>Nagymaros Városi Könyvtár és Művelődési Ház</v>
      </c>
      <c r="N552" s="322" t="str">
        <f>VLOOKUP(F552,PAR!$R$3:$S$5,2,FALSE)</f>
        <v>2 - Kiadás</v>
      </c>
      <c r="O552" t="str">
        <f>IFERROR(VLOOKUP(J552,PAR!$O$3:$P$5,2,FALSE),"nincs feladat")</f>
        <v>1 - (KÖT)</v>
      </c>
      <c r="P552" t="str">
        <f>IFERROR(VLOOKUP(G552,PAR!$J$2:$M$19,4),"nincs rovat")</f>
        <v>K1 - Személyi juttatások</v>
      </c>
      <c r="Q552" t="str">
        <f>IF(H552&gt;0,VLOOKUP(H552,PAR!$AA$3:$AC$187,3,FALSE),"nincs főkönyvi számla")</f>
        <v>051231 -  Egyéb külső személyi juttatások előirányzata</v>
      </c>
      <c r="R552" t="str">
        <f>IFERROR(VLOOKUP(K552,PAR!$V$3:$X$438,3,FALSE),"000000 - Nincs COFOG")</f>
        <v>000000 - Nincs COFOG</v>
      </c>
      <c r="S552">
        <f t="shared" si="164"/>
        <v>1333</v>
      </c>
      <c r="T552">
        <f t="shared" si="165"/>
        <v>1333</v>
      </c>
      <c r="U552" t="str">
        <f>IF('906MP'!J252&gt;0,CONCATENATE('906MP'!J252," - ",'906MP'!P252,", ",'906MP'!E252),"nincs megjegyzés")</f>
        <v>2025-05-01 - módosított ei, 2025/MEI-654472/7</v>
      </c>
      <c r="V552" t="str">
        <f t="shared" si="152"/>
        <v>60P654472051</v>
      </c>
      <c r="W552" t="str">
        <f t="shared" si="153"/>
        <v>60P65447205</v>
      </c>
      <c r="X552" t="str">
        <f t="shared" si="154"/>
        <v>P654472051231</v>
      </c>
      <c r="Y552" t="str">
        <f t="shared" si="155"/>
        <v>60051231</v>
      </c>
      <c r="Z552" t="str">
        <f t="shared" si="166"/>
        <v>(KÖT)051231</v>
      </c>
      <c r="AA552" t="str">
        <f t="shared" si="156"/>
        <v>60051</v>
      </c>
      <c r="AB552" t="str">
        <f t="shared" si="157"/>
        <v>(KÖT)051</v>
      </c>
      <c r="AC552" t="str">
        <f t="shared" si="158"/>
        <v>60P654472051231</v>
      </c>
      <c r="AD552" t="str">
        <f t="shared" si="159"/>
        <v>P654472051231(KÖT)</v>
      </c>
      <c r="AE552" t="str">
        <f t="shared" si="160"/>
        <v>60P654472051</v>
      </c>
      <c r="AF552" t="str">
        <f t="shared" si="161"/>
        <v>P654472051(KÖT)</v>
      </c>
      <c r="AG552" t="str">
        <f t="shared" si="167"/>
        <v>60P65447205123114050</v>
      </c>
      <c r="AH552" t="str">
        <f t="shared" si="168"/>
        <v>P654472(KÖT)05123114050</v>
      </c>
      <c r="AI552" t="str">
        <f t="shared" si="169"/>
        <v>60P65447205114050</v>
      </c>
      <c r="AJ552" t="str">
        <f t="shared" si="170"/>
        <v>P654472051(KÖT)14050</v>
      </c>
    </row>
    <row r="553" spans="1:36" x14ac:dyDescent="0.25">
      <c r="A553" s="325" t="str">
        <f>CONCATENATE("P",'906MP'!M253)</f>
        <v>P731113</v>
      </c>
      <c r="B553">
        <f>'906MP'!H253</f>
        <v>60</v>
      </c>
      <c r="C553" t="str">
        <f>'906MP'!J253</f>
        <v>2025-05-01</v>
      </c>
      <c r="D553" t="str">
        <f>'906MP'!P253</f>
        <v>módosított ei</v>
      </c>
      <c r="E553">
        <f>'906MP'!X253</f>
        <v>15000</v>
      </c>
      <c r="F553" t="str">
        <f t="shared" si="162"/>
        <v>05</v>
      </c>
      <c r="G553" t="str">
        <f t="shared" si="163"/>
        <v>051</v>
      </c>
      <c r="H553" t="str">
        <f>'906MP'!Y253</f>
        <v>0511031</v>
      </c>
      <c r="I553" t="str">
        <f>'906MP'!AK253</f>
        <v>2025/MEI-731113/45</v>
      </c>
      <c r="J553" t="str">
        <f>'906MP'!T253</f>
        <v>(KÖT)</v>
      </c>
      <c r="K553" t="str">
        <f>'906MP'!AJ253</f>
        <v/>
      </c>
      <c r="L553" t="str">
        <f>'906MP'!U253</f>
        <v>11100</v>
      </c>
      <c r="M553" s="322" t="str">
        <f>IFERROR(VLOOKUP(A553,PAR!$D$3:$E$53,2,FALSE),"nincs szervezet")</f>
        <v>Nagymaros Város Önkormányzata</v>
      </c>
      <c r="N553" s="322" t="str">
        <f>VLOOKUP(F553,PAR!$R$3:$S$5,2,FALSE)</f>
        <v>2 - Kiadás</v>
      </c>
      <c r="O553" t="str">
        <f>IFERROR(VLOOKUP(J553,PAR!$O$3:$P$5,2,FALSE),"nincs feladat")</f>
        <v>1 - (KÖT)</v>
      </c>
      <c r="P553" t="str">
        <f>IFERROR(VLOOKUP(G553,PAR!$J$2:$M$19,4),"nincs rovat")</f>
        <v>K1 - Személyi juttatások</v>
      </c>
      <c r="Q553" t="str">
        <f>IF(H553&gt;0,VLOOKUP(H553,PAR!$AA$3:$AC$187,3,FALSE),"nincs főkönyvi számla")</f>
        <v>0511031 -  Céljuttatás, projektprémium előirányzata</v>
      </c>
      <c r="R553" t="str">
        <f>IFERROR(VLOOKUP(K553,PAR!$V$3:$X$438,3,FALSE),"000000 - Nincs COFOG")</f>
        <v>000000 - Nincs COFOG</v>
      </c>
      <c r="S553">
        <f t="shared" si="164"/>
        <v>15000</v>
      </c>
      <c r="T553">
        <f t="shared" si="165"/>
        <v>15000</v>
      </c>
      <c r="U553" t="str">
        <f>IF('906MP'!J253&gt;0,CONCATENATE('906MP'!J253," - ",'906MP'!P253,", ",'906MP'!E253),"nincs megjegyzés")</f>
        <v>2025-05-01 - módosított ei, 2025/MEI-731113/45</v>
      </c>
      <c r="V553" t="str">
        <f t="shared" si="152"/>
        <v>60P731113051</v>
      </c>
      <c r="W553" t="str">
        <f t="shared" si="153"/>
        <v>60P73111305</v>
      </c>
      <c r="X553" t="str">
        <f t="shared" si="154"/>
        <v>P7311130511031</v>
      </c>
      <c r="Y553" t="str">
        <f t="shared" si="155"/>
        <v>600511031</v>
      </c>
      <c r="Z553" t="str">
        <f t="shared" si="166"/>
        <v>(KÖT)0511031</v>
      </c>
      <c r="AA553" t="str">
        <f t="shared" si="156"/>
        <v>60051</v>
      </c>
      <c r="AB553" t="str">
        <f t="shared" si="157"/>
        <v>(KÖT)051</v>
      </c>
      <c r="AC553" t="str">
        <f t="shared" si="158"/>
        <v>60P7311130511031</v>
      </c>
      <c r="AD553" t="str">
        <f t="shared" si="159"/>
        <v>P7311130511031(KÖT)</v>
      </c>
      <c r="AE553" t="str">
        <f t="shared" si="160"/>
        <v>60P731113051</v>
      </c>
      <c r="AF553" t="str">
        <f t="shared" si="161"/>
        <v>P731113051(KÖT)</v>
      </c>
      <c r="AG553" t="str">
        <f t="shared" si="167"/>
        <v>60P731113051103111100</v>
      </c>
      <c r="AH553" t="str">
        <f t="shared" si="168"/>
        <v>P731113(KÖT)051103111100</v>
      </c>
      <c r="AI553" t="str">
        <f t="shared" si="169"/>
        <v>60P73111305111100</v>
      </c>
      <c r="AJ553" t="str">
        <f t="shared" si="170"/>
        <v>P731113051(KÖT)11100</v>
      </c>
    </row>
    <row r="554" spans="1:36" x14ac:dyDescent="0.25">
      <c r="A554" s="325" t="str">
        <f>CONCATENATE("P",'906MP'!M254)</f>
        <v>P654472</v>
      </c>
      <c r="B554">
        <f>'906MP'!H254</f>
        <v>60</v>
      </c>
      <c r="C554" t="str">
        <f>'906MP'!J254</f>
        <v>2025-05-01</v>
      </c>
      <c r="D554" t="str">
        <f>'906MP'!P254</f>
        <v>módosított ei</v>
      </c>
      <c r="E554">
        <f>'906MP'!X254</f>
        <v>-1333</v>
      </c>
      <c r="F554" t="str">
        <f t="shared" si="162"/>
        <v>05</v>
      </c>
      <c r="G554" t="str">
        <f t="shared" si="163"/>
        <v>053</v>
      </c>
      <c r="H554" t="str">
        <f>'906MP'!Y254</f>
        <v>053121</v>
      </c>
      <c r="I554" t="str">
        <f>'906MP'!AK254</f>
        <v>2025/MEI-654472/7</v>
      </c>
      <c r="J554" t="str">
        <f>'906MP'!T254</f>
        <v>(KÖT)</v>
      </c>
      <c r="K554" t="str">
        <f>'906MP'!AJ254</f>
        <v/>
      </c>
      <c r="L554" t="str">
        <f>'906MP'!U254</f>
        <v>14050</v>
      </c>
      <c r="M554" s="322" t="str">
        <f>IFERROR(VLOOKUP(A554,PAR!$D$3:$E$53,2,FALSE),"nincs szervezet")</f>
        <v>Nagymaros Városi Könyvtár és Művelődési Ház</v>
      </c>
      <c r="N554" s="322" t="str">
        <f>VLOOKUP(F554,PAR!$R$3:$S$5,2,FALSE)</f>
        <v>2 - Kiadás</v>
      </c>
      <c r="O554" t="str">
        <f>IFERROR(VLOOKUP(J554,PAR!$O$3:$P$5,2,FALSE),"nincs feladat")</f>
        <v>1 - (KÖT)</v>
      </c>
      <c r="P554" t="str">
        <f>IFERROR(VLOOKUP(G554,PAR!$J$2:$M$19,4),"nincs rovat")</f>
        <v>K3 - Dologi kiadások</v>
      </c>
      <c r="Q554" t="str">
        <f>IF(H554&gt;0,VLOOKUP(H554,PAR!$AA$3:$AC$187,3,FALSE),"nincs főkönyvi számla")</f>
        <v>053121 -  Üzemeltetési anyagok beszerzése előirányzata</v>
      </c>
      <c r="R554" t="str">
        <f>IFERROR(VLOOKUP(K554,PAR!$V$3:$X$438,3,FALSE),"000000 - Nincs COFOG")</f>
        <v>000000 - Nincs COFOG</v>
      </c>
      <c r="S554">
        <f t="shared" si="164"/>
        <v>-1333</v>
      </c>
      <c r="T554">
        <f t="shared" si="165"/>
        <v>-1333</v>
      </c>
      <c r="U554" t="str">
        <f>IF('906MP'!J254&gt;0,CONCATENATE('906MP'!J254," - ",'906MP'!P254,", ",'906MP'!E254),"nincs megjegyzés")</f>
        <v>2025-05-01 - módosított ei, 2025/MEI-654472/7</v>
      </c>
      <c r="V554" t="str">
        <f t="shared" si="152"/>
        <v>60P654472053</v>
      </c>
      <c r="W554" t="str">
        <f t="shared" si="153"/>
        <v>60P65447205</v>
      </c>
      <c r="X554" t="str">
        <f t="shared" si="154"/>
        <v>P654472053121</v>
      </c>
      <c r="Y554" t="str">
        <f t="shared" si="155"/>
        <v>60053121</v>
      </c>
      <c r="Z554" t="str">
        <f t="shared" si="166"/>
        <v>(KÖT)053121</v>
      </c>
      <c r="AA554" t="str">
        <f t="shared" si="156"/>
        <v>60053</v>
      </c>
      <c r="AB554" t="str">
        <f t="shared" si="157"/>
        <v>(KÖT)053</v>
      </c>
      <c r="AC554" t="str">
        <f t="shared" si="158"/>
        <v>60P654472053121</v>
      </c>
      <c r="AD554" t="str">
        <f t="shared" si="159"/>
        <v>P654472053121(KÖT)</v>
      </c>
      <c r="AE554" t="str">
        <f t="shared" si="160"/>
        <v>60P654472053</v>
      </c>
      <c r="AF554" t="str">
        <f t="shared" si="161"/>
        <v>P654472053(KÖT)</v>
      </c>
      <c r="AG554" t="str">
        <f t="shared" si="167"/>
        <v>60P65447205312114050</v>
      </c>
      <c r="AH554" t="str">
        <f t="shared" si="168"/>
        <v>P654472(KÖT)05312114050</v>
      </c>
      <c r="AI554" t="str">
        <f t="shared" si="169"/>
        <v>60P65447205314050</v>
      </c>
      <c r="AJ554" t="str">
        <f t="shared" si="170"/>
        <v>P654472053(KÖT)14050</v>
      </c>
    </row>
    <row r="555" spans="1:36" x14ac:dyDescent="0.25">
      <c r="A555" s="325" t="str">
        <f>CONCATENATE("P",'906MP'!M255)</f>
        <v>P731113</v>
      </c>
      <c r="B555">
        <f>'906MP'!H255</f>
        <v>60</v>
      </c>
      <c r="C555" t="str">
        <f>'906MP'!J255</f>
        <v>2025-05-01</v>
      </c>
      <c r="D555" t="str">
        <f>'906MP'!P255</f>
        <v>módosított ei</v>
      </c>
      <c r="E555">
        <f>'906MP'!X255</f>
        <v>25650</v>
      </c>
      <c r="F555" t="str">
        <f t="shared" si="162"/>
        <v>05</v>
      </c>
      <c r="G555" t="str">
        <f t="shared" si="163"/>
        <v>051</v>
      </c>
      <c r="H555" t="str">
        <f>'906MP'!Y255</f>
        <v>0511091</v>
      </c>
      <c r="I555" t="str">
        <f>'906MP'!AK255</f>
        <v>2025/MEI-731113/45</v>
      </c>
      <c r="J555" t="str">
        <f>'906MP'!T255</f>
        <v>(KÖT)</v>
      </c>
      <c r="K555" t="str">
        <f>'906MP'!AJ255</f>
        <v/>
      </c>
      <c r="L555" t="str">
        <f>'906MP'!U255</f>
        <v>11100</v>
      </c>
      <c r="M555" s="322" t="str">
        <f>IFERROR(VLOOKUP(A555,PAR!$D$3:$E$53,2,FALSE),"nincs szervezet")</f>
        <v>Nagymaros Város Önkormányzata</v>
      </c>
      <c r="N555" s="322" t="str">
        <f>VLOOKUP(F555,PAR!$R$3:$S$5,2,FALSE)</f>
        <v>2 - Kiadás</v>
      </c>
      <c r="O555" t="str">
        <f>IFERROR(VLOOKUP(J555,PAR!$O$3:$P$5,2,FALSE),"nincs feladat")</f>
        <v>1 - (KÖT)</v>
      </c>
      <c r="P555" t="str">
        <f>IFERROR(VLOOKUP(G555,PAR!$J$2:$M$19,4),"nincs rovat")</f>
        <v>K1 - Személyi juttatások</v>
      </c>
      <c r="Q555" t="str">
        <f>IF(H555&gt;0,VLOOKUP(H555,PAR!$AA$3:$AC$187,3,FALSE),"nincs főkönyvi számla")</f>
        <v>0511091 -  Közlekedési költségtérítés előirányzata</v>
      </c>
      <c r="R555" t="str">
        <f>IFERROR(VLOOKUP(K555,PAR!$V$3:$X$438,3,FALSE),"000000 - Nincs COFOG")</f>
        <v>000000 - Nincs COFOG</v>
      </c>
      <c r="S555">
        <f t="shared" si="164"/>
        <v>25650</v>
      </c>
      <c r="T555">
        <f t="shared" si="165"/>
        <v>25650</v>
      </c>
      <c r="U555" t="str">
        <f>IF('906MP'!J255&gt;0,CONCATENATE('906MP'!J255," - ",'906MP'!P255,", ",'906MP'!E255),"nincs megjegyzés")</f>
        <v>2025-05-01 - módosított ei, 2025/MEI-731113/45</v>
      </c>
      <c r="V555" t="str">
        <f t="shared" si="152"/>
        <v>60P731113051</v>
      </c>
      <c r="W555" t="str">
        <f t="shared" si="153"/>
        <v>60P73111305</v>
      </c>
      <c r="X555" t="str">
        <f t="shared" si="154"/>
        <v>P7311130511091</v>
      </c>
      <c r="Y555" t="str">
        <f t="shared" si="155"/>
        <v>600511091</v>
      </c>
      <c r="Z555" t="str">
        <f t="shared" si="166"/>
        <v>(KÖT)0511091</v>
      </c>
      <c r="AA555" t="str">
        <f t="shared" si="156"/>
        <v>60051</v>
      </c>
      <c r="AB555" t="str">
        <f t="shared" si="157"/>
        <v>(KÖT)051</v>
      </c>
      <c r="AC555" t="str">
        <f t="shared" si="158"/>
        <v>60P7311130511091</v>
      </c>
      <c r="AD555" t="str">
        <f t="shared" si="159"/>
        <v>P7311130511091(KÖT)</v>
      </c>
      <c r="AE555" t="str">
        <f t="shared" si="160"/>
        <v>60P731113051</v>
      </c>
      <c r="AF555" t="str">
        <f t="shared" si="161"/>
        <v>P731113051(KÖT)</v>
      </c>
      <c r="AG555" t="str">
        <f t="shared" si="167"/>
        <v>60P731113051109111100</v>
      </c>
      <c r="AH555" t="str">
        <f t="shared" si="168"/>
        <v>P731113(KÖT)051109111100</v>
      </c>
      <c r="AI555" t="str">
        <f t="shared" si="169"/>
        <v>60P73111305111100</v>
      </c>
      <c r="AJ555" t="str">
        <f t="shared" si="170"/>
        <v>P731113051(KÖT)11100</v>
      </c>
    </row>
    <row r="556" spans="1:36" x14ac:dyDescent="0.25">
      <c r="A556" s="325" t="str">
        <f>CONCATENATE("P",'906MP'!M256)</f>
        <v>P731113</v>
      </c>
      <c r="B556">
        <f>'906MP'!H256</f>
        <v>60</v>
      </c>
      <c r="C556" t="str">
        <f>'906MP'!J256</f>
        <v>2025-05-01</v>
      </c>
      <c r="D556" t="str">
        <f>'906MP'!P256</f>
        <v>módosított ei</v>
      </c>
      <c r="E556">
        <f>'906MP'!X256</f>
        <v>20148</v>
      </c>
      <c r="F556" t="str">
        <f t="shared" si="162"/>
        <v>05</v>
      </c>
      <c r="G556" t="str">
        <f t="shared" si="163"/>
        <v>051</v>
      </c>
      <c r="H556" t="str">
        <f>'906MP'!Y256</f>
        <v>0511131</v>
      </c>
      <c r="I556" t="str">
        <f>'906MP'!AK256</f>
        <v>2025/MEI-731113/45</v>
      </c>
      <c r="J556" t="str">
        <f>'906MP'!T256</f>
        <v>(KÖT)</v>
      </c>
      <c r="K556" t="str">
        <f>'906MP'!AJ256</f>
        <v/>
      </c>
      <c r="L556" t="str">
        <f>'906MP'!U256</f>
        <v>11100</v>
      </c>
      <c r="M556" s="322" t="str">
        <f>IFERROR(VLOOKUP(A556,PAR!$D$3:$E$53,2,FALSE),"nincs szervezet")</f>
        <v>Nagymaros Város Önkormányzata</v>
      </c>
      <c r="N556" s="322" t="str">
        <f>VLOOKUP(F556,PAR!$R$3:$S$5,2,FALSE)</f>
        <v>2 - Kiadás</v>
      </c>
      <c r="O556" t="str">
        <f>IFERROR(VLOOKUP(J556,PAR!$O$3:$P$5,2,FALSE),"nincs feladat")</f>
        <v>1 - (KÖT)</v>
      </c>
      <c r="P556" t="str">
        <f>IFERROR(VLOOKUP(G556,PAR!$J$2:$M$19,4),"nincs rovat")</f>
        <v>K1 - Személyi juttatások</v>
      </c>
      <c r="Q556" t="str">
        <f>IF(H556&gt;0,VLOOKUP(H556,PAR!$AA$3:$AC$187,3,FALSE),"nincs főkönyvi számla")</f>
        <v>0511131 -  Foglalkoztatottak egyéb személyi juttatásai előirányzata</v>
      </c>
      <c r="R556" t="str">
        <f>IFERROR(VLOOKUP(K556,PAR!$V$3:$X$438,3,FALSE),"000000 - Nincs COFOG")</f>
        <v>000000 - Nincs COFOG</v>
      </c>
      <c r="S556">
        <f t="shared" si="164"/>
        <v>20148</v>
      </c>
      <c r="T556">
        <f t="shared" si="165"/>
        <v>20148</v>
      </c>
      <c r="U556" t="str">
        <f>IF('906MP'!J256&gt;0,CONCATENATE('906MP'!J256," - ",'906MP'!P256,", ",'906MP'!E256),"nincs megjegyzés")</f>
        <v>2025-05-01 - módosított ei, 2025/MEI-731113/45</v>
      </c>
      <c r="V556" t="str">
        <f t="shared" si="152"/>
        <v>60P731113051</v>
      </c>
      <c r="W556" t="str">
        <f t="shared" si="153"/>
        <v>60P73111305</v>
      </c>
      <c r="X556" t="str">
        <f t="shared" si="154"/>
        <v>P7311130511131</v>
      </c>
      <c r="Y556" t="str">
        <f t="shared" si="155"/>
        <v>600511131</v>
      </c>
      <c r="Z556" t="str">
        <f t="shared" si="166"/>
        <v>(KÖT)0511131</v>
      </c>
      <c r="AA556" t="str">
        <f t="shared" si="156"/>
        <v>60051</v>
      </c>
      <c r="AB556" t="str">
        <f t="shared" si="157"/>
        <v>(KÖT)051</v>
      </c>
      <c r="AC556" t="str">
        <f t="shared" si="158"/>
        <v>60P7311130511131</v>
      </c>
      <c r="AD556" t="str">
        <f t="shared" si="159"/>
        <v>P7311130511131(KÖT)</v>
      </c>
      <c r="AE556" t="str">
        <f t="shared" si="160"/>
        <v>60P731113051</v>
      </c>
      <c r="AF556" t="str">
        <f t="shared" si="161"/>
        <v>P731113051(KÖT)</v>
      </c>
      <c r="AG556" t="str">
        <f t="shared" si="167"/>
        <v>60P731113051113111100</v>
      </c>
      <c r="AH556" t="str">
        <f t="shared" si="168"/>
        <v>P731113(KÖT)051113111100</v>
      </c>
      <c r="AI556" t="str">
        <f t="shared" si="169"/>
        <v>60P73111305111100</v>
      </c>
      <c r="AJ556" t="str">
        <f t="shared" si="170"/>
        <v>P731113051(KÖT)11100</v>
      </c>
    </row>
    <row r="557" spans="1:36" x14ac:dyDescent="0.25">
      <c r="A557" s="325" t="str">
        <f>CONCATENATE("P",'906MP'!M257)</f>
        <v>P731113</v>
      </c>
      <c r="B557">
        <f>'906MP'!H257</f>
        <v>60</v>
      </c>
      <c r="C557" t="str">
        <f>'906MP'!J257</f>
        <v>2025-05-01</v>
      </c>
      <c r="D557" t="str">
        <f>'906MP'!P257</f>
        <v>módosított ei</v>
      </c>
      <c r="E557">
        <f>'906MP'!X257</f>
        <v>-60798</v>
      </c>
      <c r="F557" t="str">
        <f t="shared" si="162"/>
        <v>05</v>
      </c>
      <c r="G557" t="str">
        <f t="shared" si="163"/>
        <v>051</v>
      </c>
      <c r="H557" t="str">
        <f>'906MP'!Y257</f>
        <v>0511011</v>
      </c>
      <c r="I557" t="str">
        <f>'906MP'!AK257</f>
        <v>2025/MEI-731113/45</v>
      </c>
      <c r="J557" t="str">
        <f>'906MP'!T257</f>
        <v>(KÖT)</v>
      </c>
      <c r="K557" t="str">
        <f>'906MP'!AJ257</f>
        <v/>
      </c>
      <c r="L557" t="str">
        <f>'906MP'!U257</f>
        <v>11100</v>
      </c>
      <c r="M557" s="322" t="str">
        <f>IFERROR(VLOOKUP(A557,PAR!$D$3:$E$53,2,FALSE),"nincs szervezet")</f>
        <v>Nagymaros Város Önkormányzata</v>
      </c>
      <c r="N557" s="322" t="str">
        <f>VLOOKUP(F557,PAR!$R$3:$S$5,2,FALSE)</f>
        <v>2 - Kiadás</v>
      </c>
      <c r="O557" t="str">
        <f>IFERROR(VLOOKUP(J557,PAR!$O$3:$P$5,2,FALSE),"nincs feladat")</f>
        <v>1 - (KÖT)</v>
      </c>
      <c r="P557" t="str">
        <f>IFERROR(VLOOKUP(G557,PAR!$J$2:$M$19,4),"nincs rovat")</f>
        <v>K1 - Személyi juttatások</v>
      </c>
      <c r="Q557" t="str">
        <f>IF(H557&gt;0,VLOOKUP(H557,PAR!$AA$3:$AC$187,3,FALSE),"nincs főkönyvi számla")</f>
        <v>0511011 -  Törvény szerinti illetmények, munkabérek előirányzata</v>
      </c>
      <c r="R557" t="str">
        <f>IFERROR(VLOOKUP(K557,PAR!$V$3:$X$438,3,FALSE),"000000 - Nincs COFOG")</f>
        <v>000000 - Nincs COFOG</v>
      </c>
      <c r="S557">
        <f t="shared" si="164"/>
        <v>-60798</v>
      </c>
      <c r="T557">
        <f t="shared" si="165"/>
        <v>-60798</v>
      </c>
      <c r="U557" t="str">
        <f>IF('906MP'!J257&gt;0,CONCATENATE('906MP'!J257," - ",'906MP'!P257,", ",'906MP'!E257),"nincs megjegyzés")</f>
        <v>2025-05-01 - módosított ei, 2025/MEI-731113/45</v>
      </c>
      <c r="V557" t="str">
        <f t="shared" si="152"/>
        <v>60P731113051</v>
      </c>
      <c r="W557" t="str">
        <f t="shared" si="153"/>
        <v>60P73111305</v>
      </c>
      <c r="X557" t="str">
        <f t="shared" si="154"/>
        <v>P7311130511011</v>
      </c>
      <c r="Y557" t="str">
        <f t="shared" si="155"/>
        <v>600511011</v>
      </c>
      <c r="Z557" t="str">
        <f t="shared" si="166"/>
        <v>(KÖT)0511011</v>
      </c>
      <c r="AA557" t="str">
        <f t="shared" si="156"/>
        <v>60051</v>
      </c>
      <c r="AB557" t="str">
        <f t="shared" si="157"/>
        <v>(KÖT)051</v>
      </c>
      <c r="AC557" t="str">
        <f t="shared" si="158"/>
        <v>60P7311130511011</v>
      </c>
      <c r="AD557" t="str">
        <f t="shared" si="159"/>
        <v>P7311130511011(KÖT)</v>
      </c>
      <c r="AE557" t="str">
        <f t="shared" si="160"/>
        <v>60P731113051</v>
      </c>
      <c r="AF557" t="str">
        <f t="shared" si="161"/>
        <v>P731113051(KÖT)</v>
      </c>
      <c r="AG557" t="str">
        <f t="shared" si="167"/>
        <v>60P731113051101111100</v>
      </c>
      <c r="AH557" t="str">
        <f t="shared" si="168"/>
        <v>P731113(KÖT)051101111100</v>
      </c>
      <c r="AI557" t="str">
        <f t="shared" si="169"/>
        <v>60P73111305111100</v>
      </c>
      <c r="AJ557" t="str">
        <f t="shared" si="170"/>
        <v>P731113051(KÖT)11100</v>
      </c>
    </row>
    <row r="558" spans="1:36" x14ac:dyDescent="0.25">
      <c r="A558" s="325" t="str">
        <f>CONCATENATE("P",'906MP'!M258)</f>
        <v>P731113</v>
      </c>
      <c r="B558">
        <f>'906MP'!H258</f>
        <v>60</v>
      </c>
      <c r="C558" t="str">
        <f>'906MP'!J258</f>
        <v>2025-06-01</v>
      </c>
      <c r="D558" t="str">
        <f>'906MP'!P258</f>
        <v>módosított ei</v>
      </c>
      <c r="E558">
        <f>'906MP'!X258</f>
        <v>403600</v>
      </c>
      <c r="F558" t="str">
        <f t="shared" si="162"/>
        <v>05</v>
      </c>
      <c r="G558" t="str">
        <f t="shared" si="163"/>
        <v>051</v>
      </c>
      <c r="H558" t="str">
        <f>'906MP'!Y258</f>
        <v>051221</v>
      </c>
      <c r="I558" t="str">
        <f>'906MP'!AK258</f>
        <v>2025/MEI-731113/48</v>
      </c>
      <c r="J558" t="str">
        <f>'906MP'!T258</f>
        <v>(KÖT)</v>
      </c>
      <c r="K558" t="str">
        <f>'906MP'!AJ258</f>
        <v/>
      </c>
      <c r="L558" t="str">
        <f>'906MP'!U258</f>
        <v>11100</v>
      </c>
      <c r="M558" s="322" t="str">
        <f>IFERROR(VLOOKUP(A558,PAR!$D$3:$E$53,2,FALSE),"nincs szervezet")</f>
        <v>Nagymaros Város Önkormányzata</v>
      </c>
      <c r="N558" s="322" t="str">
        <f>VLOOKUP(F558,PAR!$R$3:$S$5,2,FALSE)</f>
        <v>2 - Kiadás</v>
      </c>
      <c r="O558" t="str">
        <f>IFERROR(VLOOKUP(J558,PAR!$O$3:$P$5,2,FALSE),"nincs feladat")</f>
        <v>1 - (KÖT)</v>
      </c>
      <c r="P558" t="str">
        <f>IFERROR(VLOOKUP(G558,PAR!$J$2:$M$19,4),"nincs rovat")</f>
        <v>K1 - Személyi juttatások</v>
      </c>
      <c r="Q558" t="str">
        <f>IF(H558&gt;0,VLOOKUP(H558,PAR!$AA$3:$AC$187,3,FALSE),"nincs főkönyvi számla")</f>
        <v>051221 -  Munkavégzésre irányuló egyéb jogviszonyban nem saját foglalkoztatottnak fizetett juttatások előirányzata</v>
      </c>
      <c r="R558" t="str">
        <f>IFERROR(VLOOKUP(K558,PAR!$V$3:$X$438,3,FALSE),"000000 - Nincs COFOG")</f>
        <v>000000 - Nincs COFOG</v>
      </c>
      <c r="S558">
        <f t="shared" si="164"/>
        <v>403600</v>
      </c>
      <c r="T558">
        <f t="shared" si="165"/>
        <v>403600</v>
      </c>
      <c r="U558" t="str">
        <f>IF('906MP'!J258&gt;0,CONCATENATE('906MP'!J258," - ",'906MP'!P258,", ",'906MP'!E258),"nincs megjegyzés")</f>
        <v>2025-06-01 - módosított ei, 2025/MEI-731113/48</v>
      </c>
      <c r="V558" t="str">
        <f t="shared" si="152"/>
        <v>60P731113051</v>
      </c>
      <c r="W558" t="str">
        <f t="shared" si="153"/>
        <v>60P73111305</v>
      </c>
      <c r="X558" t="str">
        <f t="shared" si="154"/>
        <v>P731113051221</v>
      </c>
      <c r="Y558" t="str">
        <f t="shared" si="155"/>
        <v>60051221</v>
      </c>
      <c r="Z558" t="str">
        <f t="shared" si="166"/>
        <v>(KÖT)051221</v>
      </c>
      <c r="AA558" t="str">
        <f t="shared" si="156"/>
        <v>60051</v>
      </c>
      <c r="AB558" t="str">
        <f t="shared" si="157"/>
        <v>(KÖT)051</v>
      </c>
      <c r="AC558" t="str">
        <f t="shared" si="158"/>
        <v>60P731113051221</v>
      </c>
      <c r="AD558" t="str">
        <f t="shared" si="159"/>
        <v>P731113051221(KÖT)</v>
      </c>
      <c r="AE558" t="str">
        <f t="shared" si="160"/>
        <v>60P731113051</v>
      </c>
      <c r="AF558" t="str">
        <f t="shared" si="161"/>
        <v>P731113051(KÖT)</v>
      </c>
      <c r="AG558" t="str">
        <f t="shared" si="167"/>
        <v>60P73111305122111100</v>
      </c>
      <c r="AH558" t="str">
        <f t="shared" si="168"/>
        <v>P731113(KÖT)05122111100</v>
      </c>
      <c r="AI558" t="str">
        <f t="shared" si="169"/>
        <v>60P73111305111100</v>
      </c>
      <c r="AJ558" t="str">
        <f t="shared" si="170"/>
        <v>P731113051(KÖT)11100</v>
      </c>
    </row>
    <row r="559" spans="1:36" x14ac:dyDescent="0.25">
      <c r="A559" s="325" t="str">
        <f>CONCATENATE("P",'906MP'!M259)</f>
        <v>P654472</v>
      </c>
      <c r="B559">
        <f>'906MP'!H259</f>
        <v>60</v>
      </c>
      <c r="C559" t="str">
        <f>'906MP'!J259</f>
        <v>2025-06-01</v>
      </c>
      <c r="D559" t="str">
        <f>'906MP'!P259</f>
        <v>módosított ei</v>
      </c>
      <c r="E559">
        <f>'906MP'!X259</f>
        <v>6324</v>
      </c>
      <c r="F559" t="str">
        <f t="shared" si="162"/>
        <v>05</v>
      </c>
      <c r="G559" t="str">
        <f t="shared" si="163"/>
        <v>053</v>
      </c>
      <c r="H559" t="str">
        <f>'906MP'!Y259</f>
        <v>053121</v>
      </c>
      <c r="I559" t="str">
        <f>'906MP'!AK259</f>
        <v>2025/MEI-654472/8</v>
      </c>
      <c r="J559" t="str">
        <f>'906MP'!T259</f>
        <v>(KÖT)</v>
      </c>
      <c r="K559" t="str">
        <f>'906MP'!AJ259</f>
        <v/>
      </c>
      <c r="L559" t="str">
        <f>'906MP'!U259</f>
        <v>14050</v>
      </c>
      <c r="M559" s="322" t="str">
        <f>IFERROR(VLOOKUP(A559,PAR!$D$3:$E$53,2,FALSE),"nincs szervezet")</f>
        <v>Nagymaros Városi Könyvtár és Művelődési Ház</v>
      </c>
      <c r="N559" s="322" t="str">
        <f>VLOOKUP(F559,PAR!$R$3:$S$5,2,FALSE)</f>
        <v>2 - Kiadás</v>
      </c>
      <c r="O559" t="str">
        <f>IFERROR(VLOOKUP(J559,PAR!$O$3:$P$5,2,FALSE),"nincs feladat")</f>
        <v>1 - (KÖT)</v>
      </c>
      <c r="P559" t="str">
        <f>IFERROR(VLOOKUP(G559,PAR!$J$2:$M$19,4),"nincs rovat")</f>
        <v>K3 - Dologi kiadások</v>
      </c>
      <c r="Q559" t="str">
        <f>IF(H559&gt;0,VLOOKUP(H559,PAR!$AA$3:$AC$187,3,FALSE),"nincs főkönyvi számla")</f>
        <v>053121 -  Üzemeltetési anyagok beszerzése előirányzata</v>
      </c>
      <c r="R559" t="str">
        <f>IFERROR(VLOOKUP(K559,PAR!$V$3:$X$438,3,FALSE),"000000 - Nincs COFOG")</f>
        <v>000000 - Nincs COFOG</v>
      </c>
      <c r="S559">
        <f t="shared" si="164"/>
        <v>6324</v>
      </c>
      <c r="T559">
        <f t="shared" si="165"/>
        <v>6324</v>
      </c>
      <c r="U559" t="str">
        <f>IF('906MP'!J259&gt;0,CONCATENATE('906MP'!J259," - ",'906MP'!P259,", ",'906MP'!E259),"nincs megjegyzés")</f>
        <v>2025-06-01 - módosított ei, 2025/MEI-654472/8</v>
      </c>
      <c r="V559" t="str">
        <f t="shared" si="152"/>
        <v>60P654472053</v>
      </c>
      <c r="W559" t="str">
        <f t="shared" si="153"/>
        <v>60P65447205</v>
      </c>
      <c r="X559" t="str">
        <f t="shared" si="154"/>
        <v>P654472053121</v>
      </c>
      <c r="Y559" t="str">
        <f t="shared" si="155"/>
        <v>60053121</v>
      </c>
      <c r="Z559" t="str">
        <f t="shared" si="166"/>
        <v>(KÖT)053121</v>
      </c>
      <c r="AA559" t="str">
        <f t="shared" si="156"/>
        <v>60053</v>
      </c>
      <c r="AB559" t="str">
        <f t="shared" si="157"/>
        <v>(KÖT)053</v>
      </c>
      <c r="AC559" t="str">
        <f t="shared" si="158"/>
        <v>60P654472053121</v>
      </c>
      <c r="AD559" t="str">
        <f t="shared" si="159"/>
        <v>P654472053121(KÖT)</v>
      </c>
      <c r="AE559" t="str">
        <f t="shared" si="160"/>
        <v>60P654472053</v>
      </c>
      <c r="AF559" t="str">
        <f t="shared" si="161"/>
        <v>P654472053(KÖT)</v>
      </c>
      <c r="AG559" t="str">
        <f t="shared" si="167"/>
        <v>60P65447205312114050</v>
      </c>
      <c r="AH559" t="str">
        <f t="shared" si="168"/>
        <v>P654472(KÖT)05312114050</v>
      </c>
      <c r="AI559" t="str">
        <f t="shared" si="169"/>
        <v>60P65447205314050</v>
      </c>
      <c r="AJ559" t="str">
        <f t="shared" si="170"/>
        <v>P654472053(KÖT)14050</v>
      </c>
    </row>
    <row r="560" spans="1:36" x14ac:dyDescent="0.25">
      <c r="A560" s="325" t="str">
        <f>CONCATENATE("P",'906MP'!M260)</f>
        <v>P731113</v>
      </c>
      <c r="B560">
        <f>'906MP'!H260</f>
        <v>60</v>
      </c>
      <c r="C560" t="str">
        <f>'906MP'!J260</f>
        <v>2025-06-01</v>
      </c>
      <c r="D560" t="str">
        <f>'906MP'!P260</f>
        <v>módosított ei</v>
      </c>
      <c r="E560">
        <f>'906MP'!X260</f>
        <v>-403600</v>
      </c>
      <c r="F560" t="str">
        <f t="shared" si="162"/>
        <v>05</v>
      </c>
      <c r="G560" t="str">
        <f t="shared" si="163"/>
        <v>051</v>
      </c>
      <c r="H560" t="str">
        <f>'906MP'!Y260</f>
        <v>0511011</v>
      </c>
      <c r="I560" t="str">
        <f>'906MP'!AK260</f>
        <v>2025/MEI-731113/48</v>
      </c>
      <c r="J560" t="str">
        <f>'906MP'!T260</f>
        <v>(KÖT)</v>
      </c>
      <c r="K560" t="str">
        <f>'906MP'!AJ260</f>
        <v/>
      </c>
      <c r="L560" t="str">
        <f>'906MP'!U260</f>
        <v>11100</v>
      </c>
      <c r="M560" s="322" t="str">
        <f>IFERROR(VLOOKUP(A560,PAR!$D$3:$E$53,2,FALSE),"nincs szervezet")</f>
        <v>Nagymaros Város Önkormányzata</v>
      </c>
      <c r="N560" s="322" t="str">
        <f>VLOOKUP(F560,PAR!$R$3:$S$5,2,FALSE)</f>
        <v>2 - Kiadás</v>
      </c>
      <c r="O560" t="str">
        <f>IFERROR(VLOOKUP(J560,PAR!$O$3:$P$5,2,FALSE),"nincs feladat")</f>
        <v>1 - (KÖT)</v>
      </c>
      <c r="P560" t="str">
        <f>IFERROR(VLOOKUP(G560,PAR!$J$2:$M$19,4),"nincs rovat")</f>
        <v>K1 - Személyi juttatások</v>
      </c>
      <c r="Q560" t="str">
        <f>IF(H560&gt;0,VLOOKUP(H560,PAR!$AA$3:$AC$187,3,FALSE),"nincs főkönyvi számla")</f>
        <v>0511011 -  Törvény szerinti illetmények, munkabérek előirányzata</v>
      </c>
      <c r="R560" t="str">
        <f>IFERROR(VLOOKUP(K560,PAR!$V$3:$X$438,3,FALSE),"000000 - Nincs COFOG")</f>
        <v>000000 - Nincs COFOG</v>
      </c>
      <c r="S560">
        <f t="shared" si="164"/>
        <v>-403600</v>
      </c>
      <c r="T560">
        <f t="shared" si="165"/>
        <v>-403600</v>
      </c>
      <c r="U560" t="str">
        <f>IF('906MP'!J260&gt;0,CONCATENATE('906MP'!J260," - ",'906MP'!P260,", ",'906MP'!E260),"nincs megjegyzés")</f>
        <v>2025-06-01 - módosított ei, 2025/MEI-731113/48</v>
      </c>
      <c r="V560" t="str">
        <f t="shared" si="152"/>
        <v>60P731113051</v>
      </c>
      <c r="W560" t="str">
        <f t="shared" si="153"/>
        <v>60P73111305</v>
      </c>
      <c r="X560" t="str">
        <f t="shared" si="154"/>
        <v>P7311130511011</v>
      </c>
      <c r="Y560" t="str">
        <f t="shared" si="155"/>
        <v>600511011</v>
      </c>
      <c r="Z560" t="str">
        <f t="shared" si="166"/>
        <v>(KÖT)0511011</v>
      </c>
      <c r="AA560" t="str">
        <f t="shared" si="156"/>
        <v>60051</v>
      </c>
      <c r="AB560" t="str">
        <f t="shared" si="157"/>
        <v>(KÖT)051</v>
      </c>
      <c r="AC560" t="str">
        <f t="shared" si="158"/>
        <v>60P7311130511011</v>
      </c>
      <c r="AD560" t="str">
        <f t="shared" si="159"/>
        <v>P7311130511011(KÖT)</v>
      </c>
      <c r="AE560" t="str">
        <f t="shared" si="160"/>
        <v>60P731113051</v>
      </c>
      <c r="AF560" t="str">
        <f t="shared" si="161"/>
        <v>P731113051(KÖT)</v>
      </c>
      <c r="AG560" t="str">
        <f t="shared" si="167"/>
        <v>60P731113051101111100</v>
      </c>
      <c r="AH560" t="str">
        <f t="shared" si="168"/>
        <v>P731113(KÖT)051101111100</v>
      </c>
      <c r="AI560" t="str">
        <f t="shared" si="169"/>
        <v>60P73111305111100</v>
      </c>
      <c r="AJ560" t="str">
        <f t="shared" si="170"/>
        <v>P731113051(KÖT)11100</v>
      </c>
    </row>
    <row r="561" spans="1:36" x14ac:dyDescent="0.25">
      <c r="A561" s="325" t="str">
        <f>CONCATENATE("P",'906MP'!M261)</f>
        <v>P654472</v>
      </c>
      <c r="B561">
        <f>'906MP'!H261</f>
        <v>60</v>
      </c>
      <c r="C561" t="str">
        <f>'906MP'!J261</f>
        <v>2025-06-01</v>
      </c>
      <c r="D561" t="str">
        <f>'906MP'!P261</f>
        <v>módosított ei</v>
      </c>
      <c r="E561">
        <f>'906MP'!X261</f>
        <v>-6324</v>
      </c>
      <c r="F561" t="str">
        <f t="shared" si="162"/>
        <v>05</v>
      </c>
      <c r="G561" t="str">
        <f t="shared" si="163"/>
        <v>053</v>
      </c>
      <c r="H561" t="str">
        <f>'906MP'!Y261</f>
        <v>053511</v>
      </c>
      <c r="I561" t="str">
        <f>'906MP'!AK261</f>
        <v>2025/MEI-654472/8</v>
      </c>
      <c r="J561" t="str">
        <f>'906MP'!T261</f>
        <v>(KÖT)</v>
      </c>
      <c r="K561" t="str">
        <f>'906MP'!AJ261</f>
        <v/>
      </c>
      <c r="L561" t="str">
        <f>'906MP'!U261</f>
        <v>14050</v>
      </c>
      <c r="M561" s="322" t="str">
        <f>IFERROR(VLOOKUP(A561,PAR!$D$3:$E$53,2,FALSE),"nincs szervezet")</f>
        <v>Nagymaros Városi Könyvtár és Művelődési Ház</v>
      </c>
      <c r="N561" s="322" t="str">
        <f>VLOOKUP(F561,PAR!$R$3:$S$5,2,FALSE)</f>
        <v>2 - Kiadás</v>
      </c>
      <c r="O561" t="str">
        <f>IFERROR(VLOOKUP(J561,PAR!$O$3:$P$5,2,FALSE),"nincs feladat")</f>
        <v>1 - (KÖT)</v>
      </c>
      <c r="P561" t="str">
        <f>IFERROR(VLOOKUP(G561,PAR!$J$2:$M$19,4),"nincs rovat")</f>
        <v>K3 - Dologi kiadások</v>
      </c>
      <c r="Q561" t="str">
        <f>IF(H561&gt;0,VLOOKUP(H561,PAR!$AA$3:$AC$187,3,FALSE),"nincs főkönyvi számla")</f>
        <v>053511 -  Működési célú előzetesen felszámított általános forgalmi adó előirányzata</v>
      </c>
      <c r="R561" t="str">
        <f>IFERROR(VLOOKUP(K561,PAR!$V$3:$X$438,3,FALSE),"000000 - Nincs COFOG")</f>
        <v>000000 - Nincs COFOG</v>
      </c>
      <c r="S561">
        <f t="shared" si="164"/>
        <v>-6324</v>
      </c>
      <c r="T561">
        <f t="shared" si="165"/>
        <v>-6324</v>
      </c>
      <c r="U561" t="str">
        <f>IF('906MP'!J261&gt;0,CONCATENATE('906MP'!J261," - ",'906MP'!P261,", ",'906MP'!E261),"nincs megjegyzés")</f>
        <v>2025-06-01 - módosított ei, 2025/MEI-654472/8</v>
      </c>
      <c r="V561" t="str">
        <f t="shared" si="152"/>
        <v>60P654472053</v>
      </c>
      <c r="W561" t="str">
        <f t="shared" si="153"/>
        <v>60P65447205</v>
      </c>
      <c r="X561" t="str">
        <f t="shared" si="154"/>
        <v>P654472053511</v>
      </c>
      <c r="Y561" t="str">
        <f t="shared" si="155"/>
        <v>60053511</v>
      </c>
      <c r="Z561" t="str">
        <f t="shared" si="166"/>
        <v>(KÖT)053511</v>
      </c>
      <c r="AA561" t="str">
        <f t="shared" si="156"/>
        <v>60053</v>
      </c>
      <c r="AB561" t="str">
        <f t="shared" si="157"/>
        <v>(KÖT)053</v>
      </c>
      <c r="AC561" t="str">
        <f t="shared" si="158"/>
        <v>60P654472053511</v>
      </c>
      <c r="AD561" t="str">
        <f t="shared" si="159"/>
        <v>P654472053511(KÖT)</v>
      </c>
      <c r="AE561" t="str">
        <f t="shared" si="160"/>
        <v>60P654472053</v>
      </c>
      <c r="AF561" t="str">
        <f t="shared" si="161"/>
        <v>P654472053(KÖT)</v>
      </c>
      <c r="AG561" t="str">
        <f t="shared" si="167"/>
        <v>60P65447205351114050</v>
      </c>
      <c r="AH561" t="str">
        <f t="shared" si="168"/>
        <v>P654472(KÖT)05351114050</v>
      </c>
      <c r="AI561" t="str">
        <f t="shared" si="169"/>
        <v>60P65447205314050</v>
      </c>
      <c r="AJ561" t="str">
        <f t="shared" si="170"/>
        <v>P654472053(KÖT)14050</v>
      </c>
    </row>
    <row r="562" spans="1:36" x14ac:dyDescent="0.25">
      <c r="A562" s="325" t="str">
        <f>CONCATENATE("P",'906MP'!M262)</f>
        <v>P731113</v>
      </c>
      <c r="B562">
        <f>'906MP'!H262</f>
        <v>60</v>
      </c>
      <c r="C562" t="str">
        <f>'906MP'!J262</f>
        <v>2025-05-01</v>
      </c>
      <c r="D562" t="str">
        <f>'906MP'!P262</f>
        <v>módosított ei</v>
      </c>
      <c r="E562">
        <f>'906MP'!X262</f>
        <v>62527</v>
      </c>
      <c r="F562" t="str">
        <f t="shared" si="162"/>
        <v>05</v>
      </c>
      <c r="G562" t="str">
        <f t="shared" si="163"/>
        <v>051</v>
      </c>
      <c r="H562" t="str">
        <f>'906MP'!Y262</f>
        <v>051221</v>
      </c>
      <c r="I562" t="str">
        <f>'906MP'!AK262</f>
        <v>2025/MEI-731113/46</v>
      </c>
      <c r="J562" t="str">
        <f>'906MP'!T262</f>
        <v>(KÖT)</v>
      </c>
      <c r="K562" t="str">
        <f>'906MP'!AJ262</f>
        <v/>
      </c>
      <c r="L562" t="str">
        <f>'906MP'!U262</f>
        <v>11100</v>
      </c>
      <c r="M562" s="322" t="str">
        <f>IFERROR(VLOOKUP(A562,PAR!$D$3:$E$53,2,FALSE),"nincs szervezet")</f>
        <v>Nagymaros Város Önkormányzata</v>
      </c>
      <c r="N562" s="322" t="str">
        <f>VLOOKUP(F562,PAR!$R$3:$S$5,2,FALSE)</f>
        <v>2 - Kiadás</v>
      </c>
      <c r="O562" t="str">
        <f>IFERROR(VLOOKUP(J562,PAR!$O$3:$P$5,2,FALSE),"nincs feladat")</f>
        <v>1 - (KÖT)</v>
      </c>
      <c r="P562" t="str">
        <f>IFERROR(VLOOKUP(G562,PAR!$J$2:$M$19,4),"nincs rovat")</f>
        <v>K1 - Személyi juttatások</v>
      </c>
      <c r="Q562" t="str">
        <f>IF(H562&gt;0,VLOOKUP(H562,PAR!$AA$3:$AC$187,3,FALSE),"nincs főkönyvi számla")</f>
        <v>051221 -  Munkavégzésre irányuló egyéb jogviszonyban nem saját foglalkoztatottnak fizetett juttatások előirányzata</v>
      </c>
      <c r="R562" t="str">
        <f>IFERROR(VLOOKUP(K562,PAR!$V$3:$X$438,3,FALSE),"000000 - Nincs COFOG")</f>
        <v>000000 - Nincs COFOG</v>
      </c>
      <c r="S562">
        <f t="shared" si="164"/>
        <v>62527</v>
      </c>
      <c r="T562">
        <f t="shared" si="165"/>
        <v>62527</v>
      </c>
      <c r="U562" t="str">
        <f>IF('906MP'!J262&gt;0,CONCATENATE('906MP'!J262," - ",'906MP'!P262,", ",'906MP'!E262),"nincs megjegyzés")</f>
        <v>2025-05-01 - módosított ei, 2025/MEI-731113/46</v>
      </c>
      <c r="V562" t="str">
        <f t="shared" si="152"/>
        <v>60P731113051</v>
      </c>
      <c r="W562" t="str">
        <f t="shared" si="153"/>
        <v>60P73111305</v>
      </c>
      <c r="X562" t="str">
        <f t="shared" si="154"/>
        <v>P731113051221</v>
      </c>
      <c r="Y562" t="str">
        <f t="shared" si="155"/>
        <v>60051221</v>
      </c>
      <c r="Z562" t="str">
        <f t="shared" si="166"/>
        <v>(KÖT)051221</v>
      </c>
      <c r="AA562" t="str">
        <f t="shared" si="156"/>
        <v>60051</v>
      </c>
      <c r="AB562" t="str">
        <f t="shared" si="157"/>
        <v>(KÖT)051</v>
      </c>
      <c r="AC562" t="str">
        <f t="shared" si="158"/>
        <v>60P731113051221</v>
      </c>
      <c r="AD562" t="str">
        <f t="shared" si="159"/>
        <v>P731113051221(KÖT)</v>
      </c>
      <c r="AE562" t="str">
        <f t="shared" si="160"/>
        <v>60P731113051</v>
      </c>
      <c r="AF562" t="str">
        <f t="shared" si="161"/>
        <v>P731113051(KÖT)</v>
      </c>
      <c r="AG562" t="str">
        <f t="shared" si="167"/>
        <v>60P73111305122111100</v>
      </c>
      <c r="AH562" t="str">
        <f t="shared" si="168"/>
        <v>P731113(KÖT)05122111100</v>
      </c>
      <c r="AI562" t="str">
        <f t="shared" si="169"/>
        <v>60P73111305111100</v>
      </c>
      <c r="AJ562" t="str">
        <f t="shared" si="170"/>
        <v>P731113051(KÖT)11100</v>
      </c>
    </row>
    <row r="563" spans="1:36" x14ac:dyDescent="0.25">
      <c r="A563" s="325" t="str">
        <f>CONCATENATE("P",'906MP'!M263)</f>
        <v>P731113</v>
      </c>
      <c r="B563">
        <f>'906MP'!H263</f>
        <v>60</v>
      </c>
      <c r="C563" t="str">
        <f>'906MP'!J263</f>
        <v>2025-05-01</v>
      </c>
      <c r="D563" t="str">
        <f>'906MP'!P263</f>
        <v>módosított ei</v>
      </c>
      <c r="E563">
        <f>'906MP'!X263</f>
        <v>-62527</v>
      </c>
      <c r="F563" t="str">
        <f t="shared" si="162"/>
        <v>05</v>
      </c>
      <c r="G563" t="str">
        <f t="shared" si="163"/>
        <v>051</v>
      </c>
      <c r="H563" t="str">
        <f>'906MP'!Y263</f>
        <v>0511011</v>
      </c>
      <c r="I563" t="str">
        <f>'906MP'!AK263</f>
        <v>2025/MEI-731113/46</v>
      </c>
      <c r="J563" t="str">
        <f>'906MP'!T263</f>
        <v>(KÖT)</v>
      </c>
      <c r="K563" t="str">
        <f>'906MP'!AJ263</f>
        <v/>
      </c>
      <c r="L563" t="str">
        <f>'906MP'!U263</f>
        <v>11100</v>
      </c>
      <c r="M563" s="322" t="str">
        <f>IFERROR(VLOOKUP(A563,PAR!$D$3:$E$53,2,FALSE),"nincs szervezet")</f>
        <v>Nagymaros Város Önkormányzata</v>
      </c>
      <c r="N563" s="322" t="str">
        <f>VLOOKUP(F563,PAR!$R$3:$S$5,2,FALSE)</f>
        <v>2 - Kiadás</v>
      </c>
      <c r="O563" t="str">
        <f>IFERROR(VLOOKUP(J563,PAR!$O$3:$P$5,2,FALSE),"nincs feladat")</f>
        <v>1 - (KÖT)</v>
      </c>
      <c r="P563" t="str">
        <f>IFERROR(VLOOKUP(G563,PAR!$J$2:$M$19,4),"nincs rovat")</f>
        <v>K1 - Személyi juttatások</v>
      </c>
      <c r="Q563" t="str">
        <f>IF(H563&gt;0,VLOOKUP(H563,PAR!$AA$3:$AC$187,3,FALSE),"nincs főkönyvi számla")</f>
        <v>0511011 -  Törvény szerinti illetmények, munkabérek előirányzata</v>
      </c>
      <c r="R563" t="str">
        <f>IFERROR(VLOOKUP(K563,PAR!$V$3:$X$438,3,FALSE),"000000 - Nincs COFOG")</f>
        <v>000000 - Nincs COFOG</v>
      </c>
      <c r="S563">
        <f t="shared" si="164"/>
        <v>-62527</v>
      </c>
      <c r="T563">
        <f t="shared" si="165"/>
        <v>-62527</v>
      </c>
      <c r="U563" t="str">
        <f>IF('906MP'!J263&gt;0,CONCATENATE('906MP'!J263," - ",'906MP'!P263,", ",'906MP'!E263),"nincs megjegyzés")</f>
        <v>2025-05-01 - módosított ei, 2025/MEI-731113/46</v>
      </c>
      <c r="V563" t="str">
        <f t="shared" si="152"/>
        <v>60P731113051</v>
      </c>
      <c r="W563" t="str">
        <f t="shared" si="153"/>
        <v>60P73111305</v>
      </c>
      <c r="X563" t="str">
        <f t="shared" si="154"/>
        <v>P7311130511011</v>
      </c>
      <c r="Y563" t="str">
        <f t="shared" si="155"/>
        <v>600511011</v>
      </c>
      <c r="Z563" t="str">
        <f t="shared" si="166"/>
        <v>(KÖT)0511011</v>
      </c>
      <c r="AA563" t="str">
        <f t="shared" si="156"/>
        <v>60051</v>
      </c>
      <c r="AB563" t="str">
        <f t="shared" si="157"/>
        <v>(KÖT)051</v>
      </c>
      <c r="AC563" t="str">
        <f t="shared" si="158"/>
        <v>60P7311130511011</v>
      </c>
      <c r="AD563" t="str">
        <f t="shared" si="159"/>
        <v>P7311130511011(KÖT)</v>
      </c>
      <c r="AE563" t="str">
        <f t="shared" si="160"/>
        <v>60P731113051</v>
      </c>
      <c r="AF563" t="str">
        <f t="shared" si="161"/>
        <v>P731113051(KÖT)</v>
      </c>
      <c r="AG563" t="str">
        <f t="shared" si="167"/>
        <v>60P731113051101111100</v>
      </c>
      <c r="AH563" t="str">
        <f t="shared" si="168"/>
        <v>P731113(KÖT)051101111100</v>
      </c>
      <c r="AI563" t="str">
        <f t="shared" si="169"/>
        <v>60P73111305111100</v>
      </c>
      <c r="AJ563" t="str">
        <f t="shared" si="170"/>
        <v>P731113051(KÖT)11100</v>
      </c>
    </row>
    <row r="564" spans="1:36" x14ac:dyDescent="0.25">
      <c r="A564" s="325" t="str">
        <f>CONCATENATE("P",'906MP'!M264)</f>
        <v>P654427</v>
      </c>
      <c r="B564">
        <f>'906MP'!H264</f>
        <v>60</v>
      </c>
      <c r="C564" t="str">
        <f>'906MP'!J264</f>
        <v>2025-06-01</v>
      </c>
      <c r="D564" t="str">
        <f>'906MP'!P264</f>
        <v>módosított ei</v>
      </c>
      <c r="E564">
        <f>'906MP'!X264</f>
        <v>85</v>
      </c>
      <c r="F564" t="str">
        <f t="shared" si="162"/>
        <v>05</v>
      </c>
      <c r="G564" t="str">
        <f t="shared" si="163"/>
        <v>051</v>
      </c>
      <c r="H564" t="str">
        <f>'906MP'!Y264</f>
        <v>0511041</v>
      </c>
      <c r="I564" t="str">
        <f>'906MP'!AK264</f>
        <v>2025/MEI-654427/15</v>
      </c>
      <c r="J564" t="str">
        <f>'906MP'!T264</f>
        <v>(KÖT)</v>
      </c>
      <c r="K564" t="str">
        <f>'906MP'!AJ264</f>
        <v/>
      </c>
      <c r="L564" t="str">
        <f>'906MP'!U264</f>
        <v>13100</v>
      </c>
      <c r="M564" s="322" t="str">
        <f>IFERROR(VLOOKUP(A564,PAR!$D$3:$E$53,2,FALSE),"nincs szervezet")</f>
        <v>Nagymarosi Napköziotthonos Óvoda és Bölcsőde</v>
      </c>
      <c r="N564" s="322" t="str">
        <f>VLOOKUP(F564,PAR!$R$3:$S$5,2,FALSE)</f>
        <v>2 - Kiadás</v>
      </c>
      <c r="O564" t="str">
        <f>IFERROR(VLOOKUP(J564,PAR!$O$3:$P$5,2,FALSE),"nincs feladat")</f>
        <v>1 - (KÖT)</v>
      </c>
      <c r="P564" t="str">
        <f>IFERROR(VLOOKUP(G564,PAR!$J$2:$M$19,4),"nincs rovat")</f>
        <v>K1 - Személyi juttatások</v>
      </c>
      <c r="Q564" t="str">
        <f>IF(H564&gt;0,VLOOKUP(H564,PAR!$AA$3:$AC$187,3,FALSE),"nincs főkönyvi számla")</f>
        <v>0511041 -  Készenléti, ügyeleti, helyettesítési díj, túlóra, túlszolgálat előirányzata</v>
      </c>
      <c r="R564" t="str">
        <f>IFERROR(VLOOKUP(K564,PAR!$V$3:$X$438,3,FALSE),"000000 - Nincs COFOG")</f>
        <v>000000 - Nincs COFOG</v>
      </c>
      <c r="S564">
        <f t="shared" si="164"/>
        <v>85</v>
      </c>
      <c r="T564">
        <f t="shared" si="165"/>
        <v>85</v>
      </c>
      <c r="U564" t="str">
        <f>IF('906MP'!J264&gt;0,CONCATENATE('906MP'!J264," - ",'906MP'!P264,", ",'906MP'!E264),"nincs megjegyzés")</f>
        <v>2025-06-01 - módosított ei, 2025/MEI-654427/15</v>
      </c>
      <c r="V564" t="str">
        <f t="shared" si="152"/>
        <v>60P654427051</v>
      </c>
      <c r="W564" t="str">
        <f t="shared" si="153"/>
        <v>60P65442705</v>
      </c>
      <c r="X564" t="str">
        <f t="shared" si="154"/>
        <v>P6544270511041</v>
      </c>
      <c r="Y564" t="str">
        <f t="shared" si="155"/>
        <v>600511041</v>
      </c>
      <c r="Z564" t="str">
        <f t="shared" si="166"/>
        <v>(KÖT)0511041</v>
      </c>
      <c r="AA564" t="str">
        <f t="shared" si="156"/>
        <v>60051</v>
      </c>
      <c r="AB564" t="str">
        <f t="shared" si="157"/>
        <v>(KÖT)051</v>
      </c>
      <c r="AC564" t="str">
        <f t="shared" si="158"/>
        <v>60P6544270511041</v>
      </c>
      <c r="AD564" t="str">
        <f t="shared" si="159"/>
        <v>P6544270511041(KÖT)</v>
      </c>
      <c r="AE564" t="str">
        <f t="shared" si="160"/>
        <v>60P654427051</v>
      </c>
      <c r="AF564" t="str">
        <f t="shared" si="161"/>
        <v>P654427051(KÖT)</v>
      </c>
      <c r="AG564" t="str">
        <f t="shared" si="167"/>
        <v>60P654427051104113100</v>
      </c>
      <c r="AH564" t="str">
        <f t="shared" si="168"/>
        <v>P654427(KÖT)051104113100</v>
      </c>
      <c r="AI564" t="str">
        <f t="shared" si="169"/>
        <v>60P65442705113100</v>
      </c>
      <c r="AJ564" t="str">
        <f t="shared" si="170"/>
        <v>P654427051(KÖT)13100</v>
      </c>
    </row>
    <row r="565" spans="1:36" x14ac:dyDescent="0.25">
      <c r="A565" s="325" t="str">
        <f>CONCATENATE("P",'906MP'!M265)</f>
        <v>P654427</v>
      </c>
      <c r="B565">
        <f>'906MP'!H265</f>
        <v>60</v>
      </c>
      <c r="C565" t="str">
        <f>'906MP'!J265</f>
        <v>2025-06-01</v>
      </c>
      <c r="D565" t="str">
        <f>'906MP'!P265</f>
        <v>módosított ei</v>
      </c>
      <c r="E565">
        <f>'906MP'!X265</f>
        <v>-85</v>
      </c>
      <c r="F565" t="str">
        <f t="shared" si="162"/>
        <v>05</v>
      </c>
      <c r="G565" t="str">
        <f t="shared" si="163"/>
        <v>051</v>
      </c>
      <c r="H565" t="str">
        <f>'906MP'!Y265</f>
        <v>0511011</v>
      </c>
      <c r="I565" t="str">
        <f>'906MP'!AK265</f>
        <v>2025/MEI-654427/15</v>
      </c>
      <c r="J565" t="str">
        <f>'906MP'!T265</f>
        <v>(KÖT)</v>
      </c>
      <c r="K565" t="str">
        <f>'906MP'!AJ265</f>
        <v/>
      </c>
      <c r="L565" t="str">
        <f>'906MP'!U265</f>
        <v>13100</v>
      </c>
      <c r="M565" s="322" t="str">
        <f>IFERROR(VLOOKUP(A565,PAR!$D$3:$E$53,2,FALSE),"nincs szervezet")</f>
        <v>Nagymarosi Napköziotthonos Óvoda és Bölcsőde</v>
      </c>
      <c r="N565" s="322" t="str">
        <f>VLOOKUP(F565,PAR!$R$3:$S$5,2,FALSE)</f>
        <v>2 - Kiadás</v>
      </c>
      <c r="O565" t="str">
        <f>IFERROR(VLOOKUP(J565,PAR!$O$3:$P$5,2,FALSE),"nincs feladat")</f>
        <v>1 - (KÖT)</v>
      </c>
      <c r="P565" t="str">
        <f>IFERROR(VLOOKUP(G565,PAR!$J$2:$M$19,4),"nincs rovat")</f>
        <v>K1 - Személyi juttatások</v>
      </c>
      <c r="Q565" t="str">
        <f>IF(H565&gt;0,VLOOKUP(H565,PAR!$AA$3:$AC$187,3,FALSE),"nincs főkönyvi számla")</f>
        <v>0511011 -  Törvény szerinti illetmények, munkabérek előirányzata</v>
      </c>
      <c r="R565" t="str">
        <f>IFERROR(VLOOKUP(K565,PAR!$V$3:$X$438,3,FALSE),"000000 - Nincs COFOG")</f>
        <v>000000 - Nincs COFOG</v>
      </c>
      <c r="S565">
        <f t="shared" si="164"/>
        <v>-85</v>
      </c>
      <c r="T565">
        <f t="shared" si="165"/>
        <v>-85</v>
      </c>
      <c r="U565" t="str">
        <f>IF('906MP'!J265&gt;0,CONCATENATE('906MP'!J265," - ",'906MP'!P265,", ",'906MP'!E265),"nincs megjegyzés")</f>
        <v>2025-06-01 - módosított ei, 2025/MEI-654427/15</v>
      </c>
      <c r="V565" t="str">
        <f t="shared" si="152"/>
        <v>60P654427051</v>
      </c>
      <c r="W565" t="str">
        <f t="shared" si="153"/>
        <v>60P65442705</v>
      </c>
      <c r="X565" t="str">
        <f t="shared" si="154"/>
        <v>P6544270511011</v>
      </c>
      <c r="Y565" t="str">
        <f t="shared" si="155"/>
        <v>600511011</v>
      </c>
      <c r="Z565" t="str">
        <f t="shared" si="166"/>
        <v>(KÖT)0511011</v>
      </c>
      <c r="AA565" t="str">
        <f t="shared" si="156"/>
        <v>60051</v>
      </c>
      <c r="AB565" t="str">
        <f t="shared" si="157"/>
        <v>(KÖT)051</v>
      </c>
      <c r="AC565" t="str">
        <f t="shared" si="158"/>
        <v>60P6544270511011</v>
      </c>
      <c r="AD565" t="str">
        <f t="shared" si="159"/>
        <v>P6544270511011(KÖT)</v>
      </c>
      <c r="AE565" t="str">
        <f t="shared" si="160"/>
        <v>60P654427051</v>
      </c>
      <c r="AF565" t="str">
        <f t="shared" si="161"/>
        <v>P654427051(KÖT)</v>
      </c>
      <c r="AG565" t="str">
        <f t="shared" si="167"/>
        <v>60P654427051101113100</v>
      </c>
      <c r="AH565" t="str">
        <f t="shared" si="168"/>
        <v>P654427(KÖT)051101113100</v>
      </c>
      <c r="AI565" t="str">
        <f t="shared" si="169"/>
        <v>60P65442705113100</v>
      </c>
      <c r="AJ565" t="str">
        <f t="shared" si="170"/>
        <v>P654427051(KÖT)13100</v>
      </c>
    </row>
    <row r="566" spans="1:36" x14ac:dyDescent="0.25">
      <c r="A566" s="325" t="str">
        <f>CONCATENATE("P",'906MP'!M266)</f>
        <v>P731113</v>
      </c>
      <c r="B566">
        <f>'906MP'!H266</f>
        <v>60</v>
      </c>
      <c r="C566" t="str">
        <f>'906MP'!J266</f>
        <v>2025-05-01</v>
      </c>
      <c r="D566" t="str">
        <f>'906MP'!P266</f>
        <v>módosított ei</v>
      </c>
      <c r="E566">
        <f>'906MP'!X266</f>
        <v>42424</v>
      </c>
      <c r="F566" t="str">
        <f t="shared" si="162"/>
        <v>05</v>
      </c>
      <c r="G566" t="str">
        <f t="shared" si="163"/>
        <v>051</v>
      </c>
      <c r="H566" t="str">
        <f>'906MP'!Y266</f>
        <v>051231</v>
      </c>
      <c r="I566" t="str">
        <f>'906MP'!AK266</f>
        <v>2025/MEI-731113/49</v>
      </c>
      <c r="J566" t="str">
        <f>'906MP'!T266</f>
        <v>(KÖT)</v>
      </c>
      <c r="K566" t="str">
        <f>'906MP'!AJ266</f>
        <v/>
      </c>
      <c r="L566" t="str">
        <f>'906MP'!U266</f>
        <v>11100</v>
      </c>
      <c r="M566" s="322" t="str">
        <f>IFERROR(VLOOKUP(A566,PAR!$D$3:$E$53,2,FALSE),"nincs szervezet")</f>
        <v>Nagymaros Város Önkormányzata</v>
      </c>
      <c r="N566" s="322" t="str">
        <f>VLOOKUP(F566,PAR!$R$3:$S$5,2,FALSE)</f>
        <v>2 - Kiadás</v>
      </c>
      <c r="O566" t="str">
        <f>IFERROR(VLOOKUP(J566,PAR!$O$3:$P$5,2,FALSE),"nincs feladat")</f>
        <v>1 - (KÖT)</v>
      </c>
      <c r="P566" t="str">
        <f>IFERROR(VLOOKUP(G566,PAR!$J$2:$M$19,4),"nincs rovat")</f>
        <v>K1 - Személyi juttatások</v>
      </c>
      <c r="Q566" t="str">
        <f>IF(H566&gt;0,VLOOKUP(H566,PAR!$AA$3:$AC$187,3,FALSE),"nincs főkönyvi számla")</f>
        <v>051231 -  Egyéb külső személyi juttatások előirányzata</v>
      </c>
      <c r="R566" t="str">
        <f>IFERROR(VLOOKUP(K566,PAR!$V$3:$X$438,3,FALSE),"000000 - Nincs COFOG")</f>
        <v>000000 - Nincs COFOG</v>
      </c>
      <c r="S566">
        <f t="shared" si="164"/>
        <v>42424</v>
      </c>
      <c r="T566">
        <f t="shared" si="165"/>
        <v>42424</v>
      </c>
      <c r="U566" t="str">
        <f>IF('906MP'!J266&gt;0,CONCATENATE('906MP'!J266," - ",'906MP'!P266,", ",'906MP'!E266),"nincs megjegyzés")</f>
        <v>2025-05-01 - módosított ei, 2025/MEI-731113/49</v>
      </c>
      <c r="V566" t="str">
        <f t="shared" si="152"/>
        <v>60P731113051</v>
      </c>
      <c r="W566" t="str">
        <f t="shared" si="153"/>
        <v>60P73111305</v>
      </c>
      <c r="X566" t="str">
        <f t="shared" si="154"/>
        <v>P731113051231</v>
      </c>
      <c r="Y566" t="str">
        <f t="shared" si="155"/>
        <v>60051231</v>
      </c>
      <c r="Z566" t="str">
        <f t="shared" si="166"/>
        <v>(KÖT)051231</v>
      </c>
      <c r="AA566" t="str">
        <f t="shared" si="156"/>
        <v>60051</v>
      </c>
      <c r="AB566" t="str">
        <f t="shared" si="157"/>
        <v>(KÖT)051</v>
      </c>
      <c r="AC566" t="str">
        <f t="shared" si="158"/>
        <v>60P731113051231</v>
      </c>
      <c r="AD566" t="str">
        <f t="shared" si="159"/>
        <v>P731113051231(KÖT)</v>
      </c>
      <c r="AE566" t="str">
        <f t="shared" si="160"/>
        <v>60P731113051</v>
      </c>
      <c r="AF566" t="str">
        <f t="shared" si="161"/>
        <v>P731113051(KÖT)</v>
      </c>
      <c r="AG566" t="str">
        <f t="shared" si="167"/>
        <v>60P73111305123111100</v>
      </c>
      <c r="AH566" t="str">
        <f t="shared" si="168"/>
        <v>P731113(KÖT)05123111100</v>
      </c>
      <c r="AI566" t="str">
        <f t="shared" si="169"/>
        <v>60P73111305111100</v>
      </c>
      <c r="AJ566" t="str">
        <f t="shared" si="170"/>
        <v>P731113051(KÖT)11100</v>
      </c>
    </row>
    <row r="567" spans="1:36" x14ac:dyDescent="0.25">
      <c r="A567" s="325" t="str">
        <f>CONCATENATE("P",'906MP'!M267)</f>
        <v>P731113</v>
      </c>
      <c r="B567">
        <f>'906MP'!H267</f>
        <v>60</v>
      </c>
      <c r="C567" t="str">
        <f>'906MP'!J267</f>
        <v>2025-05-01</v>
      </c>
      <c r="D567" t="str">
        <f>'906MP'!P267</f>
        <v>módosított ei</v>
      </c>
      <c r="E567">
        <f>'906MP'!X267</f>
        <v>2262861</v>
      </c>
      <c r="F567" t="str">
        <f t="shared" si="162"/>
        <v>05</v>
      </c>
      <c r="G567" t="str">
        <f t="shared" si="163"/>
        <v>051</v>
      </c>
      <c r="H567" t="str">
        <f>'906MP'!Y267</f>
        <v>051221</v>
      </c>
      <c r="I567" t="str">
        <f>'906MP'!AK267</f>
        <v>2025/MEI-731113/50</v>
      </c>
      <c r="J567" t="str">
        <f>'906MP'!T267</f>
        <v>(KÖT)</v>
      </c>
      <c r="K567" t="str">
        <f>'906MP'!AJ267</f>
        <v/>
      </c>
      <c r="L567" t="str">
        <f>'906MP'!U267</f>
        <v>11100</v>
      </c>
      <c r="M567" s="322" t="str">
        <f>IFERROR(VLOOKUP(A567,PAR!$D$3:$E$53,2,FALSE),"nincs szervezet")</f>
        <v>Nagymaros Város Önkormányzata</v>
      </c>
      <c r="N567" s="322" t="str">
        <f>VLOOKUP(F567,PAR!$R$3:$S$5,2,FALSE)</f>
        <v>2 - Kiadás</v>
      </c>
      <c r="O567" t="str">
        <f>IFERROR(VLOOKUP(J567,PAR!$O$3:$P$5,2,FALSE),"nincs feladat")</f>
        <v>1 - (KÖT)</v>
      </c>
      <c r="P567" t="str">
        <f>IFERROR(VLOOKUP(G567,PAR!$J$2:$M$19,4),"nincs rovat")</f>
        <v>K1 - Személyi juttatások</v>
      </c>
      <c r="Q567" t="str">
        <f>IF(H567&gt;0,VLOOKUP(H567,PAR!$AA$3:$AC$187,3,FALSE),"nincs főkönyvi számla")</f>
        <v>051221 -  Munkavégzésre irányuló egyéb jogviszonyban nem saját foglalkoztatottnak fizetett juttatások előirányzata</v>
      </c>
      <c r="R567" t="str">
        <f>IFERROR(VLOOKUP(K567,PAR!$V$3:$X$438,3,FALSE),"000000 - Nincs COFOG")</f>
        <v>000000 - Nincs COFOG</v>
      </c>
      <c r="S567">
        <f t="shared" si="164"/>
        <v>2262861</v>
      </c>
      <c r="T567">
        <f t="shared" si="165"/>
        <v>2262861</v>
      </c>
      <c r="U567" t="str">
        <f>IF('906MP'!J267&gt;0,CONCATENATE('906MP'!J267," - ",'906MP'!P267,", ",'906MP'!E267),"nincs megjegyzés")</f>
        <v>2025-05-01 - módosított ei, 2025/MEI-731113/50</v>
      </c>
      <c r="V567" t="str">
        <f t="shared" si="152"/>
        <v>60P731113051</v>
      </c>
      <c r="W567" t="str">
        <f t="shared" si="153"/>
        <v>60P73111305</v>
      </c>
      <c r="X567" t="str">
        <f t="shared" si="154"/>
        <v>P731113051221</v>
      </c>
      <c r="Y567" t="str">
        <f t="shared" si="155"/>
        <v>60051221</v>
      </c>
      <c r="Z567" t="str">
        <f t="shared" si="166"/>
        <v>(KÖT)051221</v>
      </c>
      <c r="AA567" t="str">
        <f t="shared" si="156"/>
        <v>60051</v>
      </c>
      <c r="AB567" t="str">
        <f t="shared" si="157"/>
        <v>(KÖT)051</v>
      </c>
      <c r="AC567" t="str">
        <f t="shared" si="158"/>
        <v>60P731113051221</v>
      </c>
      <c r="AD567" t="str">
        <f t="shared" si="159"/>
        <v>P731113051221(KÖT)</v>
      </c>
      <c r="AE567" t="str">
        <f t="shared" si="160"/>
        <v>60P731113051</v>
      </c>
      <c r="AF567" t="str">
        <f t="shared" si="161"/>
        <v>P731113051(KÖT)</v>
      </c>
      <c r="AG567" t="str">
        <f t="shared" si="167"/>
        <v>60P73111305122111100</v>
      </c>
      <c r="AH567" t="str">
        <f t="shared" si="168"/>
        <v>P731113(KÖT)05122111100</v>
      </c>
      <c r="AI567" t="str">
        <f t="shared" si="169"/>
        <v>60P73111305111100</v>
      </c>
      <c r="AJ567" t="str">
        <f t="shared" si="170"/>
        <v>P731113051(KÖT)11100</v>
      </c>
    </row>
    <row r="568" spans="1:36" x14ac:dyDescent="0.25">
      <c r="A568" s="325" t="str">
        <f>CONCATENATE("P",'906MP'!M268)</f>
        <v>P731113</v>
      </c>
      <c r="B568">
        <f>'906MP'!H268</f>
        <v>60</v>
      </c>
      <c r="C568" t="str">
        <f>'906MP'!J268</f>
        <v>2025-05-01</v>
      </c>
      <c r="D568" t="str">
        <f>'906MP'!P268</f>
        <v>módosított ei</v>
      </c>
      <c r="E568">
        <f>'906MP'!X268</f>
        <v>-42424</v>
      </c>
      <c r="F568" t="str">
        <f t="shared" si="162"/>
        <v>05</v>
      </c>
      <c r="G568" t="str">
        <f t="shared" si="163"/>
        <v>055</v>
      </c>
      <c r="H568" t="str">
        <f>'906MP'!Y268</f>
        <v>055131</v>
      </c>
      <c r="I568" t="str">
        <f>'906MP'!AK268</f>
        <v>2025/MEI-731113/49</v>
      </c>
      <c r="J568" t="str">
        <f>'906MP'!T268</f>
        <v>(KÖT)</v>
      </c>
      <c r="K568" t="str">
        <f>'906MP'!AJ268</f>
        <v/>
      </c>
      <c r="L568" t="str">
        <f>'906MP'!U268</f>
        <v>11100</v>
      </c>
      <c r="M568" s="322" t="str">
        <f>IFERROR(VLOOKUP(A568,PAR!$D$3:$E$53,2,FALSE),"nincs szervezet")</f>
        <v>Nagymaros Város Önkormányzata</v>
      </c>
      <c r="N568" s="322" t="str">
        <f>VLOOKUP(F568,PAR!$R$3:$S$5,2,FALSE)</f>
        <v>2 - Kiadás</v>
      </c>
      <c r="O568" t="str">
        <f>IFERROR(VLOOKUP(J568,PAR!$O$3:$P$5,2,FALSE),"nincs feladat")</f>
        <v>1 - (KÖT)</v>
      </c>
      <c r="P568" t="str">
        <f>IFERROR(VLOOKUP(G568,PAR!$J$2:$M$19,4),"nincs rovat")</f>
        <v>K5 - Egyéb működési célú kiadások</v>
      </c>
      <c r="Q568" t="str">
        <f>IF(H568&gt;0,VLOOKUP(H568,PAR!$AA$3:$AC$187,3,FALSE),"nincs főkönyvi számla")</f>
        <v>055131 -  Tartalékok előirányzata</v>
      </c>
      <c r="R568" t="str">
        <f>IFERROR(VLOOKUP(K568,PAR!$V$3:$X$438,3,FALSE),"000000 - Nincs COFOG")</f>
        <v>000000 - Nincs COFOG</v>
      </c>
      <c r="S568">
        <f t="shared" si="164"/>
        <v>-42424</v>
      </c>
      <c r="T568">
        <f t="shared" si="165"/>
        <v>-42424</v>
      </c>
      <c r="U568" t="str">
        <f>IF('906MP'!J268&gt;0,CONCATENATE('906MP'!J268," - ",'906MP'!P268,", ",'906MP'!E268),"nincs megjegyzés")</f>
        <v>2025-05-01 - módosított ei, 2025/MEI-731113/49</v>
      </c>
      <c r="V568" t="str">
        <f t="shared" si="152"/>
        <v>60P731113055</v>
      </c>
      <c r="W568" t="str">
        <f t="shared" si="153"/>
        <v>60P73111305</v>
      </c>
      <c r="X568" t="str">
        <f t="shared" si="154"/>
        <v>P731113055131</v>
      </c>
      <c r="Y568" t="str">
        <f t="shared" si="155"/>
        <v>60055131</v>
      </c>
      <c r="Z568" t="str">
        <f t="shared" si="166"/>
        <v>(KÖT)055131</v>
      </c>
      <c r="AA568" t="str">
        <f t="shared" si="156"/>
        <v>60055</v>
      </c>
      <c r="AB568" t="str">
        <f t="shared" si="157"/>
        <v>(KÖT)055</v>
      </c>
      <c r="AC568" t="str">
        <f t="shared" si="158"/>
        <v>60P731113055131</v>
      </c>
      <c r="AD568" t="str">
        <f t="shared" si="159"/>
        <v>P731113055131(KÖT)</v>
      </c>
      <c r="AE568" t="str">
        <f t="shared" si="160"/>
        <v>60P731113055</v>
      </c>
      <c r="AF568" t="str">
        <f t="shared" si="161"/>
        <v>P731113055(KÖT)</v>
      </c>
      <c r="AG568" t="str">
        <f t="shared" si="167"/>
        <v>60P73111305513111100</v>
      </c>
      <c r="AH568" t="str">
        <f t="shared" si="168"/>
        <v>P731113(KÖT)05513111100</v>
      </c>
      <c r="AI568" t="str">
        <f t="shared" si="169"/>
        <v>60P73111305511100</v>
      </c>
      <c r="AJ568" t="str">
        <f t="shared" si="170"/>
        <v>P731113055(KÖT)11100</v>
      </c>
    </row>
    <row r="569" spans="1:36" x14ac:dyDescent="0.25">
      <c r="A569" s="325" t="str">
        <f>CONCATENATE("P",'906MP'!M269)</f>
        <v>P731113</v>
      </c>
      <c r="B569">
        <f>'906MP'!H269</f>
        <v>60</v>
      </c>
      <c r="C569" t="str">
        <f>'906MP'!J269</f>
        <v>2025-05-01</v>
      </c>
      <c r="D569" t="str">
        <f>'906MP'!P269</f>
        <v>módosított ei</v>
      </c>
      <c r="E569">
        <f>'906MP'!X269</f>
        <v>107536</v>
      </c>
      <c r="F569" t="str">
        <f t="shared" si="162"/>
        <v>05</v>
      </c>
      <c r="G569" t="str">
        <f t="shared" si="163"/>
        <v>052</v>
      </c>
      <c r="H569" t="str">
        <f>'906MP'!Y269</f>
        <v>0521</v>
      </c>
      <c r="I569" t="str">
        <f>'906MP'!AK269</f>
        <v>2025/MEI-731113/50</v>
      </c>
      <c r="J569" t="str">
        <f>'906MP'!T269</f>
        <v>(KÖT)</v>
      </c>
      <c r="K569" t="str">
        <f>'906MP'!AJ269</f>
        <v/>
      </c>
      <c r="L569" t="str">
        <f>'906MP'!U269</f>
        <v>11100</v>
      </c>
      <c r="M569" s="322" t="str">
        <f>IFERROR(VLOOKUP(A569,PAR!$D$3:$E$53,2,FALSE),"nincs szervezet")</f>
        <v>Nagymaros Város Önkormányzata</v>
      </c>
      <c r="N569" s="322" t="str">
        <f>VLOOKUP(F569,PAR!$R$3:$S$5,2,FALSE)</f>
        <v>2 - Kiadás</v>
      </c>
      <c r="O569" t="str">
        <f>IFERROR(VLOOKUP(J569,PAR!$O$3:$P$5,2,FALSE),"nincs feladat")</f>
        <v>1 - (KÖT)</v>
      </c>
      <c r="P569" t="str">
        <f>IFERROR(VLOOKUP(G569,PAR!$J$2:$M$19,4),"nincs rovat")</f>
        <v>K2 - Munkaadókat terhelő járulékok és szociális hozzájárulási adó</v>
      </c>
      <c r="Q569" t="str">
        <f>IF(H569&gt;0,VLOOKUP(H569,PAR!$AA$3:$AC$187,3,FALSE),"nincs főkönyvi számla")</f>
        <v>0521 -  Munkaadókat terhelő járulékok és szociális hozzájárulási adó előirányzata</v>
      </c>
      <c r="R569" t="str">
        <f>IFERROR(VLOOKUP(K569,PAR!$V$3:$X$438,3,FALSE),"000000 - Nincs COFOG")</f>
        <v>000000 - Nincs COFOG</v>
      </c>
      <c r="S569">
        <f t="shared" si="164"/>
        <v>107536</v>
      </c>
      <c r="T569">
        <f t="shared" si="165"/>
        <v>107536</v>
      </c>
      <c r="U569" t="str">
        <f>IF('906MP'!J269&gt;0,CONCATENATE('906MP'!J269," - ",'906MP'!P269,", ",'906MP'!E269),"nincs megjegyzés")</f>
        <v>2025-05-01 - módosított ei, 2025/MEI-731113/50</v>
      </c>
      <c r="V569" t="str">
        <f t="shared" si="152"/>
        <v>60P731113052</v>
      </c>
      <c r="W569" t="str">
        <f t="shared" si="153"/>
        <v>60P73111305</v>
      </c>
      <c r="X569" t="str">
        <f t="shared" si="154"/>
        <v>P7311130521</v>
      </c>
      <c r="Y569" t="str">
        <f t="shared" si="155"/>
        <v>600521</v>
      </c>
      <c r="Z569" t="str">
        <f t="shared" si="166"/>
        <v>(KÖT)0521</v>
      </c>
      <c r="AA569" t="str">
        <f t="shared" si="156"/>
        <v>60052</v>
      </c>
      <c r="AB569" t="str">
        <f t="shared" si="157"/>
        <v>(KÖT)052</v>
      </c>
      <c r="AC569" t="str">
        <f t="shared" si="158"/>
        <v>60P7311130521</v>
      </c>
      <c r="AD569" t="str">
        <f t="shared" si="159"/>
        <v>P7311130521(KÖT)</v>
      </c>
      <c r="AE569" t="str">
        <f t="shared" si="160"/>
        <v>60P731113052</v>
      </c>
      <c r="AF569" t="str">
        <f t="shared" si="161"/>
        <v>P731113052(KÖT)</v>
      </c>
      <c r="AG569" t="str">
        <f t="shared" si="167"/>
        <v>60P731113052111100</v>
      </c>
      <c r="AH569" t="str">
        <f t="shared" si="168"/>
        <v>P731113(KÖT)052111100</v>
      </c>
      <c r="AI569" t="str">
        <f t="shared" si="169"/>
        <v>60P73111305211100</v>
      </c>
      <c r="AJ569" t="str">
        <f t="shared" si="170"/>
        <v>P731113052(KÖT)11100</v>
      </c>
    </row>
    <row r="570" spans="1:36" x14ac:dyDescent="0.25">
      <c r="A570" s="325" t="str">
        <f>CONCATENATE("P",'906MP'!M270)</f>
        <v>P731113</v>
      </c>
      <c r="B570">
        <f>'906MP'!H270</f>
        <v>60</v>
      </c>
      <c r="C570" t="str">
        <f>'906MP'!J270</f>
        <v>2025-05-01</v>
      </c>
      <c r="D570" t="str">
        <f>'906MP'!P270</f>
        <v>módosított ei</v>
      </c>
      <c r="E570">
        <f>'906MP'!X270</f>
        <v>188039</v>
      </c>
      <c r="F570" t="str">
        <f t="shared" si="162"/>
        <v>05</v>
      </c>
      <c r="G570" t="str">
        <f t="shared" si="163"/>
        <v>053</v>
      </c>
      <c r="H570" t="str">
        <f>'906MP'!Y270</f>
        <v>053361</v>
      </c>
      <c r="I570" t="str">
        <f>'906MP'!AK270</f>
        <v>2025/MEI-731113/49</v>
      </c>
      <c r="J570" t="str">
        <f>'906MP'!T270</f>
        <v>(KÖT)</v>
      </c>
      <c r="K570" t="str">
        <f>'906MP'!AJ270</f>
        <v/>
      </c>
      <c r="L570" t="str">
        <f>'906MP'!U270</f>
        <v>11100</v>
      </c>
      <c r="M570" s="322" t="str">
        <f>IFERROR(VLOOKUP(A570,PAR!$D$3:$E$53,2,FALSE),"nincs szervezet")</f>
        <v>Nagymaros Város Önkormányzata</v>
      </c>
      <c r="N570" s="322" t="str">
        <f>VLOOKUP(F570,PAR!$R$3:$S$5,2,FALSE)</f>
        <v>2 - Kiadás</v>
      </c>
      <c r="O570" t="str">
        <f>IFERROR(VLOOKUP(J570,PAR!$O$3:$P$5,2,FALSE),"nincs feladat")</f>
        <v>1 - (KÖT)</v>
      </c>
      <c r="P570" t="str">
        <f>IFERROR(VLOOKUP(G570,PAR!$J$2:$M$19,4),"nincs rovat")</f>
        <v>K3 - Dologi kiadások</v>
      </c>
      <c r="Q570" t="str">
        <f>IF(H570&gt;0,VLOOKUP(H570,PAR!$AA$3:$AC$187,3,FALSE),"nincs főkönyvi számla")</f>
        <v>053361 -  Szakmai tevékenységet segítő szolgáltatások előirányzata</v>
      </c>
      <c r="R570" t="str">
        <f>IFERROR(VLOOKUP(K570,PAR!$V$3:$X$438,3,FALSE),"000000 - Nincs COFOG")</f>
        <v>000000 - Nincs COFOG</v>
      </c>
      <c r="S570">
        <f t="shared" si="164"/>
        <v>188039</v>
      </c>
      <c r="T570">
        <f t="shared" si="165"/>
        <v>188039</v>
      </c>
      <c r="U570" t="str">
        <f>IF('906MP'!J270&gt;0,CONCATENATE('906MP'!J270," - ",'906MP'!P270,", ",'906MP'!E270),"nincs megjegyzés")</f>
        <v>2025-05-01 - módosított ei, 2025/MEI-731113/49</v>
      </c>
      <c r="V570" t="str">
        <f t="shared" si="152"/>
        <v>60P731113053</v>
      </c>
      <c r="W570" t="str">
        <f t="shared" si="153"/>
        <v>60P73111305</v>
      </c>
      <c r="X570" t="str">
        <f t="shared" si="154"/>
        <v>P731113053361</v>
      </c>
      <c r="Y570" t="str">
        <f t="shared" si="155"/>
        <v>60053361</v>
      </c>
      <c r="Z570" t="str">
        <f t="shared" si="166"/>
        <v>(KÖT)053361</v>
      </c>
      <c r="AA570" t="str">
        <f t="shared" si="156"/>
        <v>60053</v>
      </c>
      <c r="AB570" t="str">
        <f t="shared" si="157"/>
        <v>(KÖT)053</v>
      </c>
      <c r="AC570" t="str">
        <f t="shared" si="158"/>
        <v>60P731113053361</v>
      </c>
      <c r="AD570" t="str">
        <f t="shared" si="159"/>
        <v>P731113053361(KÖT)</v>
      </c>
      <c r="AE570" t="str">
        <f t="shared" si="160"/>
        <v>60P731113053</v>
      </c>
      <c r="AF570" t="str">
        <f t="shared" si="161"/>
        <v>P731113053(KÖT)</v>
      </c>
      <c r="AG570" t="str">
        <f t="shared" si="167"/>
        <v>60P73111305336111100</v>
      </c>
      <c r="AH570" t="str">
        <f t="shared" si="168"/>
        <v>P731113(KÖT)05336111100</v>
      </c>
      <c r="AI570" t="str">
        <f t="shared" si="169"/>
        <v>60P73111305311100</v>
      </c>
      <c r="AJ570" t="str">
        <f t="shared" si="170"/>
        <v>P731113053(KÖT)11100</v>
      </c>
    </row>
    <row r="571" spans="1:36" x14ac:dyDescent="0.25">
      <c r="A571" s="325" t="str">
        <f>CONCATENATE("P",'906MP'!M271)</f>
        <v>P731113</v>
      </c>
      <c r="B571">
        <f>'906MP'!H271</f>
        <v>60</v>
      </c>
      <c r="C571" t="str">
        <f>'906MP'!J271</f>
        <v>2025-05-01</v>
      </c>
      <c r="D571" t="str">
        <f>'906MP'!P271</f>
        <v>módosított ei</v>
      </c>
      <c r="E571">
        <f>'906MP'!X271</f>
        <v>-2370397</v>
      </c>
      <c r="F571" t="str">
        <f t="shared" si="162"/>
        <v>05</v>
      </c>
      <c r="G571" t="str">
        <f t="shared" si="163"/>
        <v>053</v>
      </c>
      <c r="H571" t="str">
        <f>'906MP'!Y271</f>
        <v>053371</v>
      </c>
      <c r="I571" t="str">
        <f>'906MP'!AK271</f>
        <v>2025/MEI-731113/50</v>
      </c>
      <c r="J571" t="str">
        <f>'906MP'!T271</f>
        <v>(KÖT)</v>
      </c>
      <c r="K571" t="str">
        <f>'906MP'!AJ271</f>
        <v/>
      </c>
      <c r="L571" t="str">
        <f>'906MP'!U271</f>
        <v>11100</v>
      </c>
      <c r="M571" s="322" t="str">
        <f>IFERROR(VLOOKUP(A571,PAR!$D$3:$E$53,2,FALSE),"nincs szervezet")</f>
        <v>Nagymaros Város Önkormányzata</v>
      </c>
      <c r="N571" s="322" t="str">
        <f>VLOOKUP(F571,PAR!$R$3:$S$5,2,FALSE)</f>
        <v>2 - Kiadás</v>
      </c>
      <c r="O571" t="str">
        <f>IFERROR(VLOOKUP(J571,PAR!$O$3:$P$5,2,FALSE),"nincs feladat")</f>
        <v>1 - (KÖT)</v>
      </c>
      <c r="P571" t="str">
        <f>IFERROR(VLOOKUP(G571,PAR!$J$2:$M$19,4),"nincs rovat")</f>
        <v>K3 - Dologi kiadások</v>
      </c>
      <c r="Q571" t="str">
        <f>IF(H571&gt;0,VLOOKUP(H571,PAR!$AA$3:$AC$187,3,FALSE),"nincs főkönyvi számla")</f>
        <v>053371 -  Egyéb szolgáltatások előirányzata</v>
      </c>
      <c r="R571" t="str">
        <f>IFERROR(VLOOKUP(K571,PAR!$V$3:$X$438,3,FALSE),"000000 - Nincs COFOG")</f>
        <v>000000 - Nincs COFOG</v>
      </c>
      <c r="S571">
        <f t="shared" si="164"/>
        <v>-2370397</v>
      </c>
      <c r="T571">
        <f t="shared" si="165"/>
        <v>-2370397</v>
      </c>
      <c r="U571" t="str">
        <f>IF('906MP'!J271&gt;0,CONCATENATE('906MP'!J271," - ",'906MP'!P271,", ",'906MP'!E271),"nincs megjegyzés")</f>
        <v>2025-05-01 - módosított ei, 2025/MEI-731113/50</v>
      </c>
      <c r="V571" t="str">
        <f t="shared" si="152"/>
        <v>60P731113053</v>
      </c>
      <c r="W571" t="str">
        <f t="shared" si="153"/>
        <v>60P73111305</v>
      </c>
      <c r="X571" t="str">
        <f t="shared" si="154"/>
        <v>P731113053371</v>
      </c>
      <c r="Y571" t="str">
        <f t="shared" si="155"/>
        <v>60053371</v>
      </c>
      <c r="Z571" t="str">
        <f t="shared" si="166"/>
        <v>(KÖT)053371</v>
      </c>
      <c r="AA571" t="str">
        <f t="shared" si="156"/>
        <v>60053</v>
      </c>
      <c r="AB571" t="str">
        <f t="shared" si="157"/>
        <v>(KÖT)053</v>
      </c>
      <c r="AC571" t="str">
        <f t="shared" si="158"/>
        <v>60P731113053371</v>
      </c>
      <c r="AD571" t="str">
        <f t="shared" si="159"/>
        <v>P731113053371(KÖT)</v>
      </c>
      <c r="AE571" t="str">
        <f t="shared" si="160"/>
        <v>60P731113053</v>
      </c>
      <c r="AF571" t="str">
        <f t="shared" si="161"/>
        <v>P731113053(KÖT)</v>
      </c>
      <c r="AG571" t="str">
        <f t="shared" si="167"/>
        <v>60P73111305337111100</v>
      </c>
      <c r="AH571" t="str">
        <f t="shared" si="168"/>
        <v>P731113(KÖT)05337111100</v>
      </c>
      <c r="AI571" t="str">
        <f t="shared" si="169"/>
        <v>60P73111305311100</v>
      </c>
      <c r="AJ571" t="str">
        <f t="shared" si="170"/>
        <v>P731113053(KÖT)11100</v>
      </c>
    </row>
    <row r="572" spans="1:36" x14ac:dyDescent="0.25">
      <c r="A572" s="325" t="str">
        <f>CONCATENATE("P",'906MP'!M272)</f>
        <v>P731113</v>
      </c>
      <c r="B572">
        <f>'906MP'!H272</f>
        <v>60</v>
      </c>
      <c r="C572" t="str">
        <f>'906MP'!J272</f>
        <v>2025-05-01</v>
      </c>
      <c r="D572" t="str">
        <f>'906MP'!P272</f>
        <v>módosított ei</v>
      </c>
      <c r="E572">
        <f>'906MP'!X272</f>
        <v>-188039</v>
      </c>
      <c r="F572" t="str">
        <f t="shared" si="162"/>
        <v>05</v>
      </c>
      <c r="G572" t="str">
        <f t="shared" si="163"/>
        <v>053</v>
      </c>
      <c r="H572" t="str">
        <f>'906MP'!Y272</f>
        <v>053371</v>
      </c>
      <c r="I572" t="str">
        <f>'906MP'!AK272</f>
        <v>2025/MEI-731113/49</v>
      </c>
      <c r="J572" t="str">
        <f>'906MP'!T272</f>
        <v>(KÖT)</v>
      </c>
      <c r="K572" t="str">
        <f>'906MP'!AJ272</f>
        <v/>
      </c>
      <c r="L572" t="str">
        <f>'906MP'!U272</f>
        <v>11100</v>
      </c>
      <c r="M572" s="322" t="str">
        <f>IFERROR(VLOOKUP(A572,PAR!$D$3:$E$53,2,FALSE),"nincs szervezet")</f>
        <v>Nagymaros Város Önkormányzata</v>
      </c>
      <c r="N572" s="322" t="str">
        <f>VLOOKUP(F572,PAR!$R$3:$S$5,2,FALSE)</f>
        <v>2 - Kiadás</v>
      </c>
      <c r="O572" t="str">
        <f>IFERROR(VLOOKUP(J572,PAR!$O$3:$P$5,2,FALSE),"nincs feladat")</f>
        <v>1 - (KÖT)</v>
      </c>
      <c r="P572" t="str">
        <f>IFERROR(VLOOKUP(G572,PAR!$J$2:$M$19,4),"nincs rovat")</f>
        <v>K3 - Dologi kiadások</v>
      </c>
      <c r="Q572" t="str">
        <f>IF(H572&gt;0,VLOOKUP(H572,PAR!$AA$3:$AC$187,3,FALSE),"nincs főkönyvi számla")</f>
        <v>053371 -  Egyéb szolgáltatások előirányzata</v>
      </c>
      <c r="R572" t="str">
        <f>IFERROR(VLOOKUP(K572,PAR!$V$3:$X$438,3,FALSE),"000000 - Nincs COFOG")</f>
        <v>000000 - Nincs COFOG</v>
      </c>
      <c r="S572">
        <f t="shared" si="164"/>
        <v>-188039</v>
      </c>
      <c r="T572">
        <f t="shared" si="165"/>
        <v>-188039</v>
      </c>
      <c r="U572" t="str">
        <f>IF('906MP'!J272&gt;0,CONCATENATE('906MP'!J272," - ",'906MP'!P272,", ",'906MP'!E272),"nincs megjegyzés")</f>
        <v>2025-05-01 - módosított ei, 2025/MEI-731113/49</v>
      </c>
      <c r="V572" t="str">
        <f t="shared" si="152"/>
        <v>60P731113053</v>
      </c>
      <c r="W572" t="str">
        <f t="shared" si="153"/>
        <v>60P73111305</v>
      </c>
      <c r="X572" t="str">
        <f t="shared" si="154"/>
        <v>P731113053371</v>
      </c>
      <c r="Y572" t="str">
        <f t="shared" si="155"/>
        <v>60053371</v>
      </c>
      <c r="Z572" t="str">
        <f t="shared" si="166"/>
        <v>(KÖT)053371</v>
      </c>
      <c r="AA572" t="str">
        <f t="shared" si="156"/>
        <v>60053</v>
      </c>
      <c r="AB572" t="str">
        <f t="shared" si="157"/>
        <v>(KÖT)053</v>
      </c>
      <c r="AC572" t="str">
        <f t="shared" si="158"/>
        <v>60P731113053371</v>
      </c>
      <c r="AD572" t="str">
        <f t="shared" si="159"/>
        <v>P731113053371(KÖT)</v>
      </c>
      <c r="AE572" t="str">
        <f t="shared" si="160"/>
        <v>60P731113053</v>
      </c>
      <c r="AF572" t="str">
        <f t="shared" si="161"/>
        <v>P731113053(KÖT)</v>
      </c>
      <c r="AG572" t="str">
        <f t="shared" si="167"/>
        <v>60P73111305337111100</v>
      </c>
      <c r="AH572" t="str">
        <f t="shared" si="168"/>
        <v>P731113(KÖT)05337111100</v>
      </c>
      <c r="AI572" t="str">
        <f t="shared" si="169"/>
        <v>60P73111305311100</v>
      </c>
      <c r="AJ572" t="str">
        <f t="shared" si="170"/>
        <v>P731113053(KÖT)11100</v>
      </c>
    </row>
    <row r="573" spans="1:36" x14ac:dyDescent="0.25">
      <c r="A573" s="325" t="str">
        <f>CONCATENATE("P",'906MP'!M273)</f>
        <v>P731113</v>
      </c>
      <c r="B573">
        <f>'906MP'!H273</f>
        <v>60</v>
      </c>
      <c r="C573" t="str">
        <f>'906MP'!J273</f>
        <v>2025-06-01</v>
      </c>
      <c r="D573" t="str">
        <f>'906MP'!P273</f>
        <v>módosított ei</v>
      </c>
      <c r="E573">
        <f>'906MP'!X273</f>
        <v>49842</v>
      </c>
      <c r="F573" t="str">
        <f t="shared" si="162"/>
        <v>05</v>
      </c>
      <c r="G573" t="str">
        <f t="shared" si="163"/>
        <v>051</v>
      </c>
      <c r="H573" t="str">
        <f>'906MP'!Y273</f>
        <v>051231</v>
      </c>
      <c r="I573" t="str">
        <f>'906MP'!AK273</f>
        <v>2025/MEI-731113/52</v>
      </c>
      <c r="J573" t="str">
        <f>'906MP'!T273</f>
        <v>(KÖT)</v>
      </c>
      <c r="K573" t="str">
        <f>'906MP'!AJ273</f>
        <v/>
      </c>
      <c r="L573" t="str">
        <f>'906MP'!U273</f>
        <v>11100</v>
      </c>
      <c r="M573" s="322" t="str">
        <f>IFERROR(VLOOKUP(A573,PAR!$D$3:$E$53,2,FALSE),"nincs szervezet")</f>
        <v>Nagymaros Város Önkormányzata</v>
      </c>
      <c r="N573" s="322" t="str">
        <f>VLOOKUP(F573,PAR!$R$3:$S$5,2,FALSE)</f>
        <v>2 - Kiadás</v>
      </c>
      <c r="O573" t="str">
        <f>IFERROR(VLOOKUP(J573,PAR!$O$3:$P$5,2,FALSE),"nincs feladat")</f>
        <v>1 - (KÖT)</v>
      </c>
      <c r="P573" t="str">
        <f>IFERROR(VLOOKUP(G573,PAR!$J$2:$M$19,4),"nincs rovat")</f>
        <v>K1 - Személyi juttatások</v>
      </c>
      <c r="Q573" t="str">
        <f>IF(H573&gt;0,VLOOKUP(H573,PAR!$AA$3:$AC$187,3,FALSE),"nincs főkönyvi számla")</f>
        <v>051231 -  Egyéb külső személyi juttatások előirányzata</v>
      </c>
      <c r="R573" t="str">
        <f>IFERROR(VLOOKUP(K573,PAR!$V$3:$X$438,3,FALSE),"000000 - Nincs COFOG")</f>
        <v>000000 - Nincs COFOG</v>
      </c>
      <c r="S573">
        <f t="shared" si="164"/>
        <v>49842</v>
      </c>
      <c r="T573">
        <f t="shared" si="165"/>
        <v>49842</v>
      </c>
      <c r="U573" t="str">
        <f>IF('906MP'!J273&gt;0,CONCATENATE('906MP'!J273," - ",'906MP'!P273,", ",'906MP'!E273),"nincs megjegyzés")</f>
        <v>2025-06-01 - módosított ei, 2025/MEI-731113/52</v>
      </c>
      <c r="V573" t="str">
        <f t="shared" si="152"/>
        <v>60P731113051</v>
      </c>
      <c r="W573" t="str">
        <f t="shared" si="153"/>
        <v>60P73111305</v>
      </c>
      <c r="X573" t="str">
        <f t="shared" si="154"/>
        <v>P731113051231</v>
      </c>
      <c r="Y573" t="str">
        <f t="shared" si="155"/>
        <v>60051231</v>
      </c>
      <c r="Z573" t="str">
        <f t="shared" si="166"/>
        <v>(KÖT)051231</v>
      </c>
      <c r="AA573" t="str">
        <f t="shared" si="156"/>
        <v>60051</v>
      </c>
      <c r="AB573" t="str">
        <f t="shared" si="157"/>
        <v>(KÖT)051</v>
      </c>
      <c r="AC573" t="str">
        <f t="shared" si="158"/>
        <v>60P731113051231</v>
      </c>
      <c r="AD573" t="str">
        <f t="shared" si="159"/>
        <v>P731113051231(KÖT)</v>
      </c>
      <c r="AE573" t="str">
        <f t="shared" si="160"/>
        <v>60P731113051</v>
      </c>
      <c r="AF573" t="str">
        <f t="shared" si="161"/>
        <v>P731113051(KÖT)</v>
      </c>
      <c r="AG573" t="str">
        <f t="shared" si="167"/>
        <v>60P73111305123111100</v>
      </c>
      <c r="AH573" t="str">
        <f t="shared" si="168"/>
        <v>P731113(KÖT)05123111100</v>
      </c>
      <c r="AI573" t="str">
        <f t="shared" si="169"/>
        <v>60P73111305111100</v>
      </c>
      <c r="AJ573" t="str">
        <f t="shared" si="170"/>
        <v>P731113051(KÖT)11100</v>
      </c>
    </row>
    <row r="574" spans="1:36" x14ac:dyDescent="0.25">
      <c r="A574" s="325" t="str">
        <f>CONCATENATE("P",'906MP'!M274)</f>
        <v>P731113</v>
      </c>
      <c r="B574">
        <f>'906MP'!H274</f>
        <v>60</v>
      </c>
      <c r="C574" t="str">
        <f>'906MP'!J274</f>
        <v>2025-06-01</v>
      </c>
      <c r="D574" t="str">
        <f>'906MP'!P274</f>
        <v>módosított ei</v>
      </c>
      <c r="E574">
        <f>'906MP'!X274</f>
        <v>-49842</v>
      </c>
      <c r="F574" t="str">
        <f t="shared" si="162"/>
        <v>05</v>
      </c>
      <c r="G574" t="str">
        <f t="shared" si="163"/>
        <v>055</v>
      </c>
      <c r="H574" t="str">
        <f>'906MP'!Y274</f>
        <v>055131</v>
      </c>
      <c r="I574" t="str">
        <f>'906MP'!AK274</f>
        <v>2025/MEI-731113/52</v>
      </c>
      <c r="J574" t="str">
        <f>'906MP'!T274</f>
        <v>(KÖT)</v>
      </c>
      <c r="K574" t="str">
        <f>'906MP'!AJ274</f>
        <v/>
      </c>
      <c r="L574" t="str">
        <f>'906MP'!U274</f>
        <v>11100</v>
      </c>
      <c r="M574" s="322" t="str">
        <f>IFERROR(VLOOKUP(A574,PAR!$D$3:$E$53,2,FALSE),"nincs szervezet")</f>
        <v>Nagymaros Város Önkormányzata</v>
      </c>
      <c r="N574" s="322" t="str">
        <f>VLOOKUP(F574,PAR!$R$3:$S$5,2,FALSE)</f>
        <v>2 - Kiadás</v>
      </c>
      <c r="O574" t="str">
        <f>IFERROR(VLOOKUP(J574,PAR!$O$3:$P$5,2,FALSE),"nincs feladat")</f>
        <v>1 - (KÖT)</v>
      </c>
      <c r="P574" t="str">
        <f>IFERROR(VLOOKUP(G574,PAR!$J$2:$M$19,4),"nincs rovat")</f>
        <v>K5 - Egyéb működési célú kiadások</v>
      </c>
      <c r="Q574" t="str">
        <f>IF(H574&gt;0,VLOOKUP(H574,PAR!$AA$3:$AC$187,3,FALSE),"nincs főkönyvi számla")</f>
        <v>055131 -  Tartalékok előirányzata</v>
      </c>
      <c r="R574" t="str">
        <f>IFERROR(VLOOKUP(K574,PAR!$V$3:$X$438,3,FALSE),"000000 - Nincs COFOG")</f>
        <v>000000 - Nincs COFOG</v>
      </c>
      <c r="S574">
        <f t="shared" si="164"/>
        <v>-49842</v>
      </c>
      <c r="T574">
        <f t="shared" si="165"/>
        <v>-49842</v>
      </c>
      <c r="U574" t="str">
        <f>IF('906MP'!J274&gt;0,CONCATENATE('906MP'!J274," - ",'906MP'!P274,", ",'906MP'!E274),"nincs megjegyzés")</f>
        <v>2025-06-01 - módosított ei, 2025/MEI-731113/52</v>
      </c>
      <c r="V574" t="str">
        <f t="shared" si="152"/>
        <v>60P731113055</v>
      </c>
      <c r="W574" t="str">
        <f t="shared" si="153"/>
        <v>60P73111305</v>
      </c>
      <c r="X574" t="str">
        <f t="shared" si="154"/>
        <v>P731113055131</v>
      </c>
      <c r="Y574" t="str">
        <f t="shared" si="155"/>
        <v>60055131</v>
      </c>
      <c r="Z574" t="str">
        <f t="shared" si="166"/>
        <v>(KÖT)055131</v>
      </c>
      <c r="AA574" t="str">
        <f t="shared" si="156"/>
        <v>60055</v>
      </c>
      <c r="AB574" t="str">
        <f t="shared" si="157"/>
        <v>(KÖT)055</v>
      </c>
      <c r="AC574" t="str">
        <f t="shared" si="158"/>
        <v>60P731113055131</v>
      </c>
      <c r="AD574" t="str">
        <f t="shared" si="159"/>
        <v>P731113055131(KÖT)</v>
      </c>
      <c r="AE574" t="str">
        <f t="shared" si="160"/>
        <v>60P731113055</v>
      </c>
      <c r="AF574" t="str">
        <f t="shared" si="161"/>
        <v>P731113055(KÖT)</v>
      </c>
      <c r="AG574" t="str">
        <f t="shared" si="167"/>
        <v>60P73111305513111100</v>
      </c>
      <c r="AH574" t="str">
        <f t="shared" si="168"/>
        <v>P731113(KÖT)05513111100</v>
      </c>
      <c r="AI574" t="str">
        <f t="shared" si="169"/>
        <v>60P73111305511100</v>
      </c>
      <c r="AJ574" t="str">
        <f t="shared" si="170"/>
        <v>P731113055(KÖT)11100</v>
      </c>
    </row>
    <row r="575" spans="1:36" x14ac:dyDescent="0.25">
      <c r="A575" s="325" t="str">
        <f>CONCATENATE("P",'906MP'!M275)</f>
        <v>P731113</v>
      </c>
      <c r="B575">
        <f>'906MP'!H275</f>
        <v>60</v>
      </c>
      <c r="C575" t="str">
        <f>'906MP'!J275</f>
        <v>2025-05-01</v>
      </c>
      <c r="D575" t="str">
        <f>'906MP'!P275</f>
        <v>módosított ei</v>
      </c>
      <c r="E575">
        <f>'906MP'!X275</f>
        <v>3543</v>
      </c>
      <c r="F575" t="str">
        <f t="shared" si="162"/>
        <v>05</v>
      </c>
      <c r="G575" t="str">
        <f t="shared" si="163"/>
        <v>053</v>
      </c>
      <c r="H575" t="str">
        <f>'906MP'!Y275</f>
        <v>053111</v>
      </c>
      <c r="I575" t="str">
        <f>'906MP'!AK275</f>
        <v>2025/MEI-731113/53</v>
      </c>
      <c r="J575" t="str">
        <f>'906MP'!T275</f>
        <v>(KÖT)</v>
      </c>
      <c r="K575" t="str">
        <f>'906MP'!AJ275</f>
        <v/>
      </c>
      <c r="L575" t="str">
        <f>'906MP'!U275</f>
        <v>11100</v>
      </c>
      <c r="M575" s="322" t="str">
        <f>IFERROR(VLOOKUP(A575,PAR!$D$3:$E$53,2,FALSE),"nincs szervezet")</f>
        <v>Nagymaros Város Önkormányzata</v>
      </c>
      <c r="N575" s="322" t="str">
        <f>VLOOKUP(F575,PAR!$R$3:$S$5,2,FALSE)</f>
        <v>2 - Kiadás</v>
      </c>
      <c r="O575" t="str">
        <f>IFERROR(VLOOKUP(J575,PAR!$O$3:$P$5,2,FALSE),"nincs feladat")</f>
        <v>1 - (KÖT)</v>
      </c>
      <c r="P575" t="str">
        <f>IFERROR(VLOOKUP(G575,PAR!$J$2:$M$19,4),"nincs rovat")</f>
        <v>K3 - Dologi kiadások</v>
      </c>
      <c r="Q575" t="str">
        <f>IF(H575&gt;0,VLOOKUP(H575,PAR!$AA$3:$AC$187,3,FALSE),"nincs főkönyvi számla")</f>
        <v>053111 -  Szakmai anyagok beszerzése előirányzata</v>
      </c>
      <c r="R575" t="str">
        <f>IFERROR(VLOOKUP(K575,PAR!$V$3:$X$438,3,FALSE),"000000 - Nincs COFOG")</f>
        <v>000000 - Nincs COFOG</v>
      </c>
      <c r="S575">
        <f t="shared" si="164"/>
        <v>3543</v>
      </c>
      <c r="T575">
        <f t="shared" si="165"/>
        <v>3543</v>
      </c>
      <c r="U575" t="str">
        <f>IF('906MP'!J275&gt;0,CONCATENATE('906MP'!J275," - ",'906MP'!P275,", ",'906MP'!E275),"nincs megjegyzés")</f>
        <v>2025-05-01 - módosított ei, 2025/MEI-731113/53</v>
      </c>
      <c r="V575" t="str">
        <f t="shared" si="152"/>
        <v>60P731113053</v>
      </c>
      <c r="W575" t="str">
        <f t="shared" si="153"/>
        <v>60P73111305</v>
      </c>
      <c r="X575" t="str">
        <f t="shared" si="154"/>
        <v>P731113053111</v>
      </c>
      <c r="Y575" t="str">
        <f t="shared" si="155"/>
        <v>60053111</v>
      </c>
      <c r="Z575" t="str">
        <f t="shared" si="166"/>
        <v>(KÖT)053111</v>
      </c>
      <c r="AA575" t="str">
        <f t="shared" si="156"/>
        <v>60053</v>
      </c>
      <c r="AB575" t="str">
        <f t="shared" si="157"/>
        <v>(KÖT)053</v>
      </c>
      <c r="AC575" t="str">
        <f t="shared" si="158"/>
        <v>60P731113053111</v>
      </c>
      <c r="AD575" t="str">
        <f t="shared" si="159"/>
        <v>P731113053111(KÖT)</v>
      </c>
      <c r="AE575" t="str">
        <f t="shared" si="160"/>
        <v>60P731113053</v>
      </c>
      <c r="AF575" t="str">
        <f t="shared" si="161"/>
        <v>P731113053(KÖT)</v>
      </c>
      <c r="AG575" t="str">
        <f t="shared" si="167"/>
        <v>60P73111305311111100</v>
      </c>
      <c r="AH575" t="str">
        <f t="shared" si="168"/>
        <v>P731113(KÖT)05311111100</v>
      </c>
      <c r="AI575" t="str">
        <f t="shared" si="169"/>
        <v>60P73111305311100</v>
      </c>
      <c r="AJ575" t="str">
        <f t="shared" si="170"/>
        <v>P731113053(KÖT)11100</v>
      </c>
    </row>
    <row r="576" spans="1:36" x14ac:dyDescent="0.25">
      <c r="A576" s="325" t="str">
        <f>CONCATENATE("P",'906MP'!M276)</f>
        <v>P731113</v>
      </c>
      <c r="B576">
        <f>'906MP'!H276</f>
        <v>60</v>
      </c>
      <c r="C576" t="str">
        <f>'906MP'!J276</f>
        <v>2025-05-01</v>
      </c>
      <c r="D576" t="str">
        <f>'906MP'!P276</f>
        <v>módosított ei</v>
      </c>
      <c r="E576">
        <f>'906MP'!X276</f>
        <v>-3543</v>
      </c>
      <c r="F576" t="str">
        <f t="shared" si="162"/>
        <v>05</v>
      </c>
      <c r="G576" t="str">
        <f t="shared" si="163"/>
        <v>053</v>
      </c>
      <c r="H576" t="str">
        <f>'906MP'!Y276</f>
        <v>053121</v>
      </c>
      <c r="I576" t="str">
        <f>'906MP'!AK276</f>
        <v>2025/MEI-731113/53</v>
      </c>
      <c r="J576" t="str">
        <f>'906MP'!T276</f>
        <v>(KÖT)</v>
      </c>
      <c r="K576" t="str">
        <f>'906MP'!AJ276</f>
        <v/>
      </c>
      <c r="L576" t="str">
        <f>'906MP'!U276</f>
        <v>11100</v>
      </c>
      <c r="M576" s="322" t="str">
        <f>IFERROR(VLOOKUP(A576,PAR!$D$3:$E$53,2,FALSE),"nincs szervezet")</f>
        <v>Nagymaros Város Önkormányzata</v>
      </c>
      <c r="N576" s="322" t="str">
        <f>VLOOKUP(F576,PAR!$R$3:$S$5,2,FALSE)</f>
        <v>2 - Kiadás</v>
      </c>
      <c r="O576" t="str">
        <f>IFERROR(VLOOKUP(J576,PAR!$O$3:$P$5,2,FALSE),"nincs feladat")</f>
        <v>1 - (KÖT)</v>
      </c>
      <c r="P576" t="str">
        <f>IFERROR(VLOOKUP(G576,PAR!$J$2:$M$19,4),"nincs rovat")</f>
        <v>K3 - Dologi kiadások</v>
      </c>
      <c r="Q576" t="str">
        <f>IF(H576&gt;0,VLOOKUP(H576,PAR!$AA$3:$AC$187,3,FALSE),"nincs főkönyvi számla")</f>
        <v>053121 -  Üzemeltetési anyagok beszerzése előirányzata</v>
      </c>
      <c r="R576" t="str">
        <f>IFERROR(VLOOKUP(K576,PAR!$V$3:$X$438,3,FALSE),"000000 - Nincs COFOG")</f>
        <v>000000 - Nincs COFOG</v>
      </c>
      <c r="S576">
        <f t="shared" si="164"/>
        <v>-3543</v>
      </c>
      <c r="T576">
        <f t="shared" si="165"/>
        <v>-3543</v>
      </c>
      <c r="U576" t="str">
        <f>IF('906MP'!J276&gt;0,CONCATENATE('906MP'!J276," - ",'906MP'!P276,", ",'906MP'!E276),"nincs megjegyzés")</f>
        <v>2025-05-01 - módosított ei, 2025/MEI-731113/53</v>
      </c>
      <c r="V576" t="str">
        <f t="shared" si="152"/>
        <v>60P731113053</v>
      </c>
      <c r="W576" t="str">
        <f t="shared" si="153"/>
        <v>60P73111305</v>
      </c>
      <c r="X576" t="str">
        <f t="shared" si="154"/>
        <v>P731113053121</v>
      </c>
      <c r="Y576" t="str">
        <f t="shared" si="155"/>
        <v>60053121</v>
      </c>
      <c r="Z576" t="str">
        <f t="shared" si="166"/>
        <v>(KÖT)053121</v>
      </c>
      <c r="AA576" t="str">
        <f t="shared" si="156"/>
        <v>60053</v>
      </c>
      <c r="AB576" t="str">
        <f t="shared" si="157"/>
        <v>(KÖT)053</v>
      </c>
      <c r="AC576" t="str">
        <f t="shared" si="158"/>
        <v>60P731113053121</v>
      </c>
      <c r="AD576" t="str">
        <f t="shared" si="159"/>
        <v>P731113053121(KÖT)</v>
      </c>
      <c r="AE576" t="str">
        <f t="shared" si="160"/>
        <v>60P731113053</v>
      </c>
      <c r="AF576" t="str">
        <f t="shared" si="161"/>
        <v>P731113053(KÖT)</v>
      </c>
      <c r="AG576" t="str">
        <f t="shared" si="167"/>
        <v>60P73111305312111100</v>
      </c>
      <c r="AH576" t="str">
        <f t="shared" si="168"/>
        <v>P731113(KÖT)05312111100</v>
      </c>
      <c r="AI576" t="str">
        <f t="shared" si="169"/>
        <v>60P73111305311100</v>
      </c>
      <c r="AJ576" t="str">
        <f t="shared" si="170"/>
        <v>P731113053(KÖT)11100</v>
      </c>
    </row>
    <row r="577" spans="1:36" x14ac:dyDescent="0.25">
      <c r="A577" s="325" t="str">
        <f>CONCATENATE("P",'906MP'!M277)</f>
        <v>P394031</v>
      </c>
      <c r="B577">
        <f>'906MP'!H277</f>
        <v>60</v>
      </c>
      <c r="C577" t="str">
        <f>'906MP'!J277</f>
        <v>2025-01-01</v>
      </c>
      <c r="D577" t="str">
        <f>'906MP'!P277</f>
        <v>módosított ei</v>
      </c>
      <c r="E577">
        <f>'906MP'!X277</f>
        <v>62400</v>
      </c>
      <c r="F577" t="str">
        <f t="shared" si="162"/>
        <v>05</v>
      </c>
      <c r="G577" t="str">
        <f t="shared" si="163"/>
        <v>053</v>
      </c>
      <c r="H577" t="str">
        <f>'906MP'!Y277</f>
        <v>053551</v>
      </c>
      <c r="I577" t="str">
        <f>'906MP'!AK277</f>
        <v>2025/MEI-394031/8</v>
      </c>
      <c r="J577" t="str">
        <f>'906MP'!T277</f>
        <v>(KÖT)</v>
      </c>
      <c r="K577" t="str">
        <f>'906MP'!AJ277</f>
        <v/>
      </c>
      <c r="L577" t="str">
        <f>'906MP'!U277</f>
        <v>12100</v>
      </c>
      <c r="M577" s="322" t="str">
        <f>IFERROR(VLOOKUP(A577,PAR!$D$3:$E$53,2,FALSE),"nincs szervezet")</f>
        <v>Nagymarosi Polgármesteri Hivatal</v>
      </c>
      <c r="N577" s="322" t="str">
        <f>VLOOKUP(F577,PAR!$R$3:$S$5,2,FALSE)</f>
        <v>2 - Kiadás</v>
      </c>
      <c r="O577" t="str">
        <f>IFERROR(VLOOKUP(J577,PAR!$O$3:$P$5,2,FALSE),"nincs feladat")</f>
        <v>1 - (KÖT)</v>
      </c>
      <c r="P577" t="str">
        <f>IFERROR(VLOOKUP(G577,PAR!$J$2:$M$19,4),"nincs rovat")</f>
        <v>K3 - Dologi kiadások</v>
      </c>
      <c r="Q577" t="str">
        <f>IF(H577&gt;0,VLOOKUP(H577,PAR!$AA$3:$AC$187,3,FALSE),"nincs főkönyvi számla")</f>
        <v>053551 -  Egyéb dologi kiadások előirányzata</v>
      </c>
      <c r="R577" t="str">
        <f>IFERROR(VLOOKUP(K577,PAR!$V$3:$X$438,3,FALSE),"000000 - Nincs COFOG")</f>
        <v>000000 - Nincs COFOG</v>
      </c>
      <c r="S577">
        <f t="shared" si="164"/>
        <v>62400</v>
      </c>
      <c r="T577">
        <f t="shared" si="165"/>
        <v>62400</v>
      </c>
      <c r="U577" t="str">
        <f>IF('906MP'!J277&gt;0,CONCATENATE('906MP'!J277," - ",'906MP'!P277,", ",'906MP'!E277),"nincs megjegyzés")</f>
        <v>2025-01-01 - módosított ei, 2025/MEI-394031/8</v>
      </c>
      <c r="V577" t="str">
        <f t="shared" si="152"/>
        <v>60P394031053</v>
      </c>
      <c r="W577" t="str">
        <f t="shared" si="153"/>
        <v>60P39403105</v>
      </c>
      <c r="X577" t="str">
        <f t="shared" si="154"/>
        <v>P394031053551</v>
      </c>
      <c r="Y577" t="str">
        <f t="shared" si="155"/>
        <v>60053551</v>
      </c>
      <c r="Z577" t="str">
        <f t="shared" si="166"/>
        <v>(KÖT)053551</v>
      </c>
      <c r="AA577" t="str">
        <f t="shared" si="156"/>
        <v>60053</v>
      </c>
      <c r="AB577" t="str">
        <f t="shared" si="157"/>
        <v>(KÖT)053</v>
      </c>
      <c r="AC577" t="str">
        <f t="shared" si="158"/>
        <v>60P394031053551</v>
      </c>
      <c r="AD577" t="str">
        <f t="shared" si="159"/>
        <v>P394031053551(KÖT)</v>
      </c>
      <c r="AE577" t="str">
        <f t="shared" si="160"/>
        <v>60P394031053</v>
      </c>
      <c r="AF577" t="str">
        <f t="shared" si="161"/>
        <v>P394031053(KÖT)</v>
      </c>
      <c r="AG577" t="str">
        <f t="shared" si="167"/>
        <v>60P39403105355112100</v>
      </c>
      <c r="AH577" t="str">
        <f t="shared" si="168"/>
        <v>P394031(KÖT)05355112100</v>
      </c>
      <c r="AI577" t="str">
        <f t="shared" si="169"/>
        <v>60P39403105312100</v>
      </c>
      <c r="AJ577" t="str">
        <f t="shared" si="170"/>
        <v>P394031053(KÖT)12100</v>
      </c>
    </row>
    <row r="578" spans="1:36" x14ac:dyDescent="0.25">
      <c r="A578" s="325" t="str">
        <f>CONCATENATE("P",'906MP'!M278)</f>
        <v>P394031</v>
      </c>
      <c r="B578">
        <f>'906MP'!H278</f>
        <v>60</v>
      </c>
      <c r="C578" t="str">
        <f>'906MP'!J278</f>
        <v>2025-01-01</v>
      </c>
      <c r="D578" t="str">
        <f>'906MP'!P278</f>
        <v>módosított ei</v>
      </c>
      <c r="E578">
        <f>'906MP'!X278</f>
        <v>-62400</v>
      </c>
      <c r="F578" t="str">
        <f t="shared" si="162"/>
        <v>05</v>
      </c>
      <c r="G578" t="str">
        <f t="shared" si="163"/>
        <v>053</v>
      </c>
      <c r="H578" t="str">
        <f>'906MP'!Y278</f>
        <v>053511</v>
      </c>
      <c r="I578" t="str">
        <f>'906MP'!AK278</f>
        <v>2025/MEI-394031/8</v>
      </c>
      <c r="J578" t="str">
        <f>'906MP'!T278</f>
        <v>(KÖT)</v>
      </c>
      <c r="K578" t="str">
        <f>'906MP'!AJ278</f>
        <v/>
      </c>
      <c r="L578" t="str">
        <f>'906MP'!U278</f>
        <v>12100</v>
      </c>
      <c r="M578" s="322" t="str">
        <f>IFERROR(VLOOKUP(A578,PAR!$D$3:$E$53,2,FALSE),"nincs szervezet")</f>
        <v>Nagymarosi Polgármesteri Hivatal</v>
      </c>
      <c r="N578" s="322" t="str">
        <f>VLOOKUP(F578,PAR!$R$3:$S$5,2,FALSE)</f>
        <v>2 - Kiadás</v>
      </c>
      <c r="O578" t="str">
        <f>IFERROR(VLOOKUP(J578,PAR!$O$3:$P$5,2,FALSE),"nincs feladat")</f>
        <v>1 - (KÖT)</v>
      </c>
      <c r="P578" t="str">
        <f>IFERROR(VLOOKUP(G578,PAR!$J$2:$M$19,4),"nincs rovat")</f>
        <v>K3 - Dologi kiadások</v>
      </c>
      <c r="Q578" t="str">
        <f>IF(H578&gt;0,VLOOKUP(H578,PAR!$AA$3:$AC$187,3,FALSE),"nincs főkönyvi számla")</f>
        <v>053511 -  Működési célú előzetesen felszámított általános forgalmi adó előirányzata</v>
      </c>
      <c r="R578" t="str">
        <f>IFERROR(VLOOKUP(K578,PAR!$V$3:$X$438,3,FALSE),"000000 - Nincs COFOG")</f>
        <v>000000 - Nincs COFOG</v>
      </c>
      <c r="S578">
        <f t="shared" si="164"/>
        <v>-62400</v>
      </c>
      <c r="T578">
        <f t="shared" si="165"/>
        <v>-62400</v>
      </c>
      <c r="U578" t="str">
        <f>IF('906MP'!J278&gt;0,CONCATENATE('906MP'!J278," - ",'906MP'!P278,", ",'906MP'!E278),"nincs megjegyzés")</f>
        <v>2025-01-01 - módosított ei, 2025/MEI-394031/8</v>
      </c>
      <c r="V578" t="str">
        <f t="shared" ref="V578:V641" si="171">CONCATENATE(B578,A578,G578)</f>
        <v>60P394031053</v>
      </c>
      <c r="W578" t="str">
        <f t="shared" ref="W578:W641" si="172">CONCATENATE(B578,A578,F578)</f>
        <v>60P39403105</v>
      </c>
      <c r="X578" t="str">
        <f t="shared" ref="X578:X641" si="173">CONCATENATE(A578,H578)</f>
        <v>P394031053511</v>
      </c>
      <c r="Y578" t="str">
        <f t="shared" ref="Y578:Y641" si="174">CONCATENATE(B578,H578)</f>
        <v>60053511</v>
      </c>
      <c r="Z578" t="str">
        <f t="shared" si="166"/>
        <v>(KÖT)053511</v>
      </c>
      <c r="AA578" t="str">
        <f t="shared" ref="AA578:AA641" si="175">CONCATENATE(B578,G578)</f>
        <v>60053</v>
      </c>
      <c r="AB578" t="str">
        <f t="shared" ref="AB578:AB641" si="176">CONCATENATE(J578,G578)</f>
        <v>(KÖT)053</v>
      </c>
      <c r="AC578" t="str">
        <f t="shared" ref="AC578:AC641" si="177">CONCATENATE(B578,A578,H578)</f>
        <v>60P394031053511</v>
      </c>
      <c r="AD578" t="str">
        <f t="shared" ref="AD578:AD641" si="178">CONCATENATE(A578,H578,J578)</f>
        <v>P394031053511(KÖT)</v>
      </c>
      <c r="AE578" t="str">
        <f t="shared" ref="AE578:AE641" si="179">CONCATENATE(B578,A578,G578)</f>
        <v>60P394031053</v>
      </c>
      <c r="AF578" t="str">
        <f t="shared" ref="AF578:AF641" si="180">CONCATENATE(A578,G578,J578)</f>
        <v>P394031053(KÖT)</v>
      </c>
      <c r="AG578" t="str">
        <f t="shared" si="167"/>
        <v>60P39403105351112100</v>
      </c>
      <c r="AH578" t="str">
        <f t="shared" si="168"/>
        <v>P394031(KÖT)05351112100</v>
      </c>
      <c r="AI578" t="str">
        <f t="shared" si="169"/>
        <v>60P39403105312100</v>
      </c>
      <c r="AJ578" t="str">
        <f t="shared" si="170"/>
        <v>P394031053(KÖT)12100</v>
      </c>
    </row>
    <row r="579" spans="1:36" x14ac:dyDescent="0.25">
      <c r="A579" s="325" t="str">
        <f>CONCATENATE("P",'906MP'!M279)</f>
        <v>P731113</v>
      </c>
      <c r="B579">
        <f>'906MP'!H279</f>
        <v>60</v>
      </c>
      <c r="C579" t="str">
        <f>'906MP'!J279</f>
        <v>2025-05-31</v>
      </c>
      <c r="D579" t="str">
        <f>'906MP'!P279</f>
        <v>módosított ei</v>
      </c>
      <c r="E579">
        <f>'906MP'!X279</f>
        <v>-1864016</v>
      </c>
      <c r="F579" t="str">
        <f t="shared" ref="F579:F642" si="181">LEFT(G579,2)</f>
        <v>09</v>
      </c>
      <c r="G579" t="str">
        <f t="shared" ref="G579:G642" si="182">LEFT(H579,3)</f>
        <v>091</v>
      </c>
      <c r="H579" t="str">
        <f>'906MP'!Y279</f>
        <v>0911311</v>
      </c>
      <c r="I579" t="str">
        <f>'906MP'!AK279</f>
        <v>2025/MEI-731113/54</v>
      </c>
      <c r="J579" t="str">
        <f>'906MP'!T279</f>
        <v>(KÖT)</v>
      </c>
      <c r="K579" t="str">
        <f>'906MP'!AJ279</f>
        <v/>
      </c>
      <c r="L579" t="str">
        <f>'906MP'!U279</f>
        <v>91100</v>
      </c>
      <c r="M579" s="322" t="str">
        <f>IFERROR(VLOOKUP(A579,PAR!$D$3:$E$53,2,FALSE),"nincs szervezet")</f>
        <v>Nagymaros Város Önkormányzata</v>
      </c>
      <c r="N579" s="322" t="str">
        <f>VLOOKUP(F579,PAR!$R$3:$S$5,2,FALSE)</f>
        <v>1 - Bevétel</v>
      </c>
      <c r="O579" t="str">
        <f>IFERROR(VLOOKUP(J579,PAR!$O$3:$P$5,2,FALSE),"nincs feladat")</f>
        <v>1 - (KÖT)</v>
      </c>
      <c r="P579" t="str">
        <f>IFERROR(VLOOKUP(G579,PAR!$J$2:$M$19,4),"nincs rovat")</f>
        <v>B1 - Működési célú támogatások államháztartáson belülről</v>
      </c>
      <c r="Q579" t="str">
        <f>IF(H579&gt;0,VLOOKUP(H579,PAR!$AA$3:$AC$187,3,FALSE),"nincs főkönyvi számla")</f>
        <v>0911311 -  Települési önkormányzatok egyes szociális és gyermekjóléti feladatainak támogatása előirányzata</v>
      </c>
      <c r="R579" t="str">
        <f>IFERROR(VLOOKUP(K579,PAR!$V$3:$X$438,3,FALSE),"000000 - Nincs COFOG")</f>
        <v>000000 - Nincs COFOG</v>
      </c>
      <c r="S579">
        <f t="shared" ref="S579:S642" si="183">E579</f>
        <v>-1864016</v>
      </c>
      <c r="T579">
        <f t="shared" ref="T579:T642" si="184">IF(F579="09",E579*-1,E579)</f>
        <v>1864016</v>
      </c>
      <c r="U579" t="str">
        <f>IF('906MP'!J279&gt;0,CONCATENATE('906MP'!J279," - ",'906MP'!P279,", ",'906MP'!E279),"nincs megjegyzés")</f>
        <v>2025-05-31 - módosított ei, 2025/MEI-731113/54</v>
      </c>
      <c r="V579" t="str">
        <f t="shared" si="171"/>
        <v>60P731113091</v>
      </c>
      <c r="W579" t="str">
        <f t="shared" si="172"/>
        <v>60P73111309</v>
      </c>
      <c r="X579" t="str">
        <f t="shared" si="173"/>
        <v>P7311130911311</v>
      </c>
      <c r="Y579" t="str">
        <f t="shared" si="174"/>
        <v>600911311</v>
      </c>
      <c r="Z579" t="str">
        <f t="shared" ref="Z579:Z642" si="185">CONCATENATE(J579,H579)</f>
        <v>(KÖT)0911311</v>
      </c>
      <c r="AA579" t="str">
        <f t="shared" si="175"/>
        <v>60091</v>
      </c>
      <c r="AB579" t="str">
        <f t="shared" si="176"/>
        <v>(KÖT)091</v>
      </c>
      <c r="AC579" t="str">
        <f t="shared" si="177"/>
        <v>60P7311130911311</v>
      </c>
      <c r="AD579" t="str">
        <f t="shared" si="178"/>
        <v>P7311130911311(KÖT)</v>
      </c>
      <c r="AE579" t="str">
        <f t="shared" si="179"/>
        <v>60P731113091</v>
      </c>
      <c r="AF579" t="str">
        <f t="shared" si="180"/>
        <v>P731113091(KÖT)</v>
      </c>
      <c r="AG579" t="str">
        <f t="shared" ref="AG579:AG642" si="186">CONCATENATE(B579,A579,H579,L579)</f>
        <v>60P731113091131191100</v>
      </c>
      <c r="AH579" t="str">
        <f t="shared" ref="AH579:AH642" si="187">CONCATENATE(A579,J579,H579,L579)</f>
        <v>P731113(KÖT)091131191100</v>
      </c>
      <c r="AI579" t="str">
        <f t="shared" ref="AI579:AI642" si="188">CONCATENATE(B579,A579,G579,L579)</f>
        <v>60P73111309191100</v>
      </c>
      <c r="AJ579" t="str">
        <f t="shared" ref="AJ579:AJ642" si="189">CONCATENATE(A579,G579,J579,L579)</f>
        <v>P731113091(KÖT)91100</v>
      </c>
    </row>
    <row r="580" spans="1:36" x14ac:dyDescent="0.25">
      <c r="A580" s="325" t="str">
        <f>CONCATENATE("P",'906MP'!M280)</f>
        <v>P731113</v>
      </c>
      <c r="B580">
        <f>'906MP'!H280</f>
        <v>60</v>
      </c>
      <c r="C580" t="str">
        <f>'906MP'!J280</f>
        <v>2025-05-31</v>
      </c>
      <c r="D580" t="str">
        <f>'906MP'!P280</f>
        <v>módosított ei</v>
      </c>
      <c r="E580">
        <f>'906MP'!X280</f>
        <v>1864016</v>
      </c>
      <c r="F580" t="str">
        <f t="shared" si="181"/>
        <v>05</v>
      </c>
      <c r="G580" t="str">
        <f t="shared" si="182"/>
        <v>055</v>
      </c>
      <c r="H580" t="str">
        <f>'906MP'!Y280</f>
        <v>055131</v>
      </c>
      <c r="I580" t="str">
        <f>'906MP'!AK280</f>
        <v>2025/MEI-731113/54</v>
      </c>
      <c r="J580" t="str">
        <f>'906MP'!T280</f>
        <v>(KÖT)</v>
      </c>
      <c r="K580" t="str">
        <f>'906MP'!AJ280</f>
        <v/>
      </c>
      <c r="L580" t="str">
        <f>'906MP'!U280</f>
        <v>11100</v>
      </c>
      <c r="M580" s="322" t="str">
        <f>IFERROR(VLOOKUP(A580,PAR!$D$3:$E$53,2,FALSE),"nincs szervezet")</f>
        <v>Nagymaros Város Önkormányzata</v>
      </c>
      <c r="N580" s="322" t="str">
        <f>VLOOKUP(F580,PAR!$R$3:$S$5,2,FALSE)</f>
        <v>2 - Kiadás</v>
      </c>
      <c r="O580" t="str">
        <f>IFERROR(VLOOKUP(J580,PAR!$O$3:$P$5,2,FALSE),"nincs feladat")</f>
        <v>1 - (KÖT)</v>
      </c>
      <c r="P580" t="str">
        <f>IFERROR(VLOOKUP(G580,PAR!$J$2:$M$19,4),"nincs rovat")</f>
        <v>K5 - Egyéb működési célú kiadások</v>
      </c>
      <c r="Q580" t="str">
        <f>IF(H580&gt;0,VLOOKUP(H580,PAR!$AA$3:$AC$187,3,FALSE),"nincs főkönyvi számla")</f>
        <v>055131 -  Tartalékok előirányzata</v>
      </c>
      <c r="R580" t="str">
        <f>IFERROR(VLOOKUP(K580,PAR!$V$3:$X$438,3,FALSE),"000000 - Nincs COFOG")</f>
        <v>000000 - Nincs COFOG</v>
      </c>
      <c r="S580">
        <f t="shared" si="183"/>
        <v>1864016</v>
      </c>
      <c r="T580">
        <f t="shared" si="184"/>
        <v>1864016</v>
      </c>
      <c r="U580" t="str">
        <f>IF('906MP'!J280&gt;0,CONCATENATE('906MP'!J280," - ",'906MP'!P280,", ",'906MP'!E280),"nincs megjegyzés")</f>
        <v>2025-05-31 - módosított ei, 2025/MEI-731113/54</v>
      </c>
      <c r="V580" t="str">
        <f t="shared" si="171"/>
        <v>60P731113055</v>
      </c>
      <c r="W580" t="str">
        <f t="shared" si="172"/>
        <v>60P73111305</v>
      </c>
      <c r="X580" t="str">
        <f t="shared" si="173"/>
        <v>P731113055131</v>
      </c>
      <c r="Y580" t="str">
        <f t="shared" si="174"/>
        <v>60055131</v>
      </c>
      <c r="Z580" t="str">
        <f t="shared" si="185"/>
        <v>(KÖT)055131</v>
      </c>
      <c r="AA580" t="str">
        <f t="shared" si="175"/>
        <v>60055</v>
      </c>
      <c r="AB580" t="str">
        <f t="shared" si="176"/>
        <v>(KÖT)055</v>
      </c>
      <c r="AC580" t="str">
        <f t="shared" si="177"/>
        <v>60P731113055131</v>
      </c>
      <c r="AD580" t="str">
        <f t="shared" si="178"/>
        <v>P731113055131(KÖT)</v>
      </c>
      <c r="AE580" t="str">
        <f t="shared" si="179"/>
        <v>60P731113055</v>
      </c>
      <c r="AF580" t="str">
        <f t="shared" si="180"/>
        <v>P731113055(KÖT)</v>
      </c>
      <c r="AG580" t="str">
        <f t="shared" si="186"/>
        <v>60P73111305513111100</v>
      </c>
      <c r="AH580" t="str">
        <f t="shared" si="187"/>
        <v>P731113(KÖT)05513111100</v>
      </c>
      <c r="AI580" t="str">
        <f t="shared" si="188"/>
        <v>60P73111305511100</v>
      </c>
      <c r="AJ580" t="str">
        <f t="shared" si="189"/>
        <v>P731113055(KÖT)11100</v>
      </c>
    </row>
    <row r="581" spans="1:36" x14ac:dyDescent="0.25">
      <c r="A581" s="325" t="str">
        <f>CONCATENATE("P",'906MP'!M281)</f>
        <v>P731113</v>
      </c>
      <c r="B581">
        <f>'906MP'!H281</f>
        <v>60</v>
      </c>
      <c r="C581" t="str">
        <f>'906MP'!J281</f>
        <v>2025-05-01</v>
      </c>
      <c r="D581" t="str">
        <f>'906MP'!P281</f>
        <v>módosított ei</v>
      </c>
      <c r="E581">
        <f>'906MP'!X281</f>
        <v>-144803</v>
      </c>
      <c r="F581" t="str">
        <f t="shared" si="181"/>
        <v>09</v>
      </c>
      <c r="G581" t="str">
        <f t="shared" si="182"/>
        <v>098</v>
      </c>
      <c r="H581" t="str">
        <f>'906MP'!Y281</f>
        <v>098141</v>
      </c>
      <c r="I581" t="str">
        <f>'906MP'!AK281</f>
        <v>2025/MEI-731113/47</v>
      </c>
      <c r="J581" t="str">
        <f>'906MP'!T281</f>
        <v>(KÖT)</v>
      </c>
      <c r="K581" t="str">
        <f>'906MP'!AJ281</f>
        <v/>
      </c>
      <c r="L581" t="str">
        <f>'906MP'!U281</f>
        <v>91100</v>
      </c>
      <c r="M581" s="322" t="str">
        <f>IFERROR(VLOOKUP(A581,PAR!$D$3:$E$53,2,FALSE),"nincs szervezet")</f>
        <v>Nagymaros Város Önkormányzata</v>
      </c>
      <c r="N581" s="322" t="str">
        <f>VLOOKUP(F581,PAR!$R$3:$S$5,2,FALSE)</f>
        <v>1 - Bevétel</v>
      </c>
      <c r="O581" t="str">
        <f>IFERROR(VLOOKUP(J581,PAR!$O$3:$P$5,2,FALSE),"nincs feladat")</f>
        <v>1 - (KÖT)</v>
      </c>
      <c r="P581" t="str">
        <f>IFERROR(VLOOKUP(G581,PAR!$J$2:$M$19,4),"nincs rovat")</f>
        <v>B8 - Finanszírozási bevételek</v>
      </c>
      <c r="Q581" t="str">
        <f>IF(H581&gt;0,VLOOKUP(H581,PAR!$AA$3:$AC$187,3,FALSE),"nincs főkönyvi számla")</f>
        <v>098141 -  Államháztartáson belüli megelőlegezések előirányzata</v>
      </c>
      <c r="R581" t="str">
        <f>IFERROR(VLOOKUP(K581,PAR!$V$3:$X$438,3,FALSE),"000000 - Nincs COFOG")</f>
        <v>000000 - Nincs COFOG</v>
      </c>
      <c r="S581">
        <f t="shared" si="183"/>
        <v>-144803</v>
      </c>
      <c r="T581">
        <f t="shared" si="184"/>
        <v>144803</v>
      </c>
      <c r="U581" t="str">
        <f>IF('906MP'!J281&gt;0,CONCATENATE('906MP'!J281," - ",'906MP'!P281,", ",'906MP'!E281),"nincs megjegyzés")</f>
        <v>2025-05-01 - módosított ei, 2025/MEI-731113/47</v>
      </c>
      <c r="V581" t="str">
        <f t="shared" si="171"/>
        <v>60P731113098</v>
      </c>
      <c r="W581" t="str">
        <f t="shared" si="172"/>
        <v>60P73111309</v>
      </c>
      <c r="X581" t="str">
        <f t="shared" si="173"/>
        <v>P731113098141</v>
      </c>
      <c r="Y581" t="str">
        <f t="shared" si="174"/>
        <v>60098141</v>
      </c>
      <c r="Z581" t="str">
        <f t="shared" si="185"/>
        <v>(KÖT)098141</v>
      </c>
      <c r="AA581" t="str">
        <f t="shared" si="175"/>
        <v>60098</v>
      </c>
      <c r="AB581" t="str">
        <f t="shared" si="176"/>
        <v>(KÖT)098</v>
      </c>
      <c r="AC581" t="str">
        <f t="shared" si="177"/>
        <v>60P731113098141</v>
      </c>
      <c r="AD581" t="str">
        <f t="shared" si="178"/>
        <v>P731113098141(KÖT)</v>
      </c>
      <c r="AE581" t="str">
        <f t="shared" si="179"/>
        <v>60P731113098</v>
      </c>
      <c r="AF581" t="str">
        <f t="shared" si="180"/>
        <v>P731113098(KÖT)</v>
      </c>
      <c r="AG581" t="str">
        <f t="shared" si="186"/>
        <v>60P73111309814191100</v>
      </c>
      <c r="AH581" t="str">
        <f t="shared" si="187"/>
        <v>P731113(KÖT)09814191100</v>
      </c>
      <c r="AI581" t="str">
        <f t="shared" si="188"/>
        <v>60P73111309891100</v>
      </c>
      <c r="AJ581" t="str">
        <f t="shared" si="189"/>
        <v>P731113098(KÖT)91100</v>
      </c>
    </row>
    <row r="582" spans="1:36" x14ac:dyDescent="0.25">
      <c r="A582" s="325" t="str">
        <f>CONCATENATE("P",'906MP'!M282)</f>
        <v>P731113</v>
      </c>
      <c r="B582">
        <f>'906MP'!H282</f>
        <v>60</v>
      </c>
      <c r="C582" t="str">
        <f>'906MP'!J282</f>
        <v>2025-05-01</v>
      </c>
      <c r="D582" t="str">
        <f>'906MP'!P282</f>
        <v>módosított ei</v>
      </c>
      <c r="E582">
        <f>'906MP'!X282</f>
        <v>144803</v>
      </c>
      <c r="F582" t="str">
        <f t="shared" si="181"/>
        <v>05</v>
      </c>
      <c r="G582" t="str">
        <f t="shared" si="182"/>
        <v>059</v>
      </c>
      <c r="H582" t="str">
        <f>'906MP'!Y282</f>
        <v>059141</v>
      </c>
      <c r="I582" t="str">
        <f>'906MP'!AK282</f>
        <v>2025/MEI-731113/47</v>
      </c>
      <c r="J582" t="str">
        <f>'906MP'!T282</f>
        <v>(KÖT)</v>
      </c>
      <c r="K582" t="str">
        <f>'906MP'!AJ282</f>
        <v/>
      </c>
      <c r="L582" t="str">
        <f>'906MP'!U282</f>
        <v>11100</v>
      </c>
      <c r="M582" s="322" t="str">
        <f>IFERROR(VLOOKUP(A582,PAR!$D$3:$E$53,2,FALSE),"nincs szervezet")</f>
        <v>Nagymaros Város Önkormányzata</v>
      </c>
      <c r="N582" s="322" t="str">
        <f>VLOOKUP(F582,PAR!$R$3:$S$5,2,FALSE)</f>
        <v>2 - Kiadás</v>
      </c>
      <c r="O582" t="str">
        <f>IFERROR(VLOOKUP(J582,PAR!$O$3:$P$5,2,FALSE),"nincs feladat")</f>
        <v>1 - (KÖT)</v>
      </c>
      <c r="P582" t="str">
        <f>IFERROR(VLOOKUP(G582,PAR!$J$2:$M$19,4),"nincs rovat")</f>
        <v>K9 - Finanszírozási kiadások</v>
      </c>
      <c r="Q582" t="str">
        <f>IF(H582&gt;0,VLOOKUP(H582,PAR!$AA$3:$AC$187,3,FALSE),"nincs főkönyvi számla")</f>
        <v>059141 -  Államháztartáson belüli megelőlegezések visszafizetése előirányzata</v>
      </c>
      <c r="R582" t="str">
        <f>IFERROR(VLOOKUP(K582,PAR!$V$3:$X$438,3,FALSE),"000000 - Nincs COFOG")</f>
        <v>000000 - Nincs COFOG</v>
      </c>
      <c r="S582">
        <f t="shared" si="183"/>
        <v>144803</v>
      </c>
      <c r="T582">
        <f t="shared" si="184"/>
        <v>144803</v>
      </c>
      <c r="U582" t="str">
        <f>IF('906MP'!J282&gt;0,CONCATENATE('906MP'!J282," - ",'906MP'!P282,", ",'906MP'!E282),"nincs megjegyzés")</f>
        <v>2025-05-01 - módosított ei, 2025/MEI-731113/47</v>
      </c>
      <c r="V582" t="str">
        <f t="shared" si="171"/>
        <v>60P731113059</v>
      </c>
      <c r="W582" t="str">
        <f t="shared" si="172"/>
        <v>60P73111305</v>
      </c>
      <c r="X582" t="str">
        <f t="shared" si="173"/>
        <v>P731113059141</v>
      </c>
      <c r="Y582" t="str">
        <f t="shared" si="174"/>
        <v>60059141</v>
      </c>
      <c r="Z582" t="str">
        <f t="shared" si="185"/>
        <v>(KÖT)059141</v>
      </c>
      <c r="AA582" t="str">
        <f t="shared" si="175"/>
        <v>60059</v>
      </c>
      <c r="AB582" t="str">
        <f t="shared" si="176"/>
        <v>(KÖT)059</v>
      </c>
      <c r="AC582" t="str">
        <f t="shared" si="177"/>
        <v>60P731113059141</v>
      </c>
      <c r="AD582" t="str">
        <f t="shared" si="178"/>
        <v>P731113059141(KÖT)</v>
      </c>
      <c r="AE582" t="str">
        <f t="shared" si="179"/>
        <v>60P731113059</v>
      </c>
      <c r="AF582" t="str">
        <f t="shared" si="180"/>
        <v>P731113059(KÖT)</v>
      </c>
      <c r="AG582" t="str">
        <f t="shared" si="186"/>
        <v>60P73111305914111100</v>
      </c>
      <c r="AH582" t="str">
        <f t="shared" si="187"/>
        <v>P731113(KÖT)05914111100</v>
      </c>
      <c r="AI582" t="str">
        <f t="shared" si="188"/>
        <v>60P73111305911100</v>
      </c>
      <c r="AJ582" t="str">
        <f t="shared" si="189"/>
        <v>P731113059(KÖT)11100</v>
      </c>
    </row>
    <row r="583" spans="1:36" x14ac:dyDescent="0.25">
      <c r="A583" s="325" t="str">
        <f>CONCATENATE("P",'906MP'!M283)</f>
        <v>P731113</v>
      </c>
      <c r="B583">
        <f>'906MP'!H283</f>
        <v>60</v>
      </c>
      <c r="C583" t="str">
        <f>'906MP'!J283</f>
        <v>2025-06-01</v>
      </c>
      <c r="D583" t="str">
        <f>'906MP'!P283</f>
        <v>módosított ei</v>
      </c>
      <c r="E583">
        <f>'906MP'!X283</f>
        <v>25984</v>
      </c>
      <c r="F583" t="str">
        <f t="shared" si="181"/>
        <v>05</v>
      </c>
      <c r="G583" t="str">
        <f t="shared" si="182"/>
        <v>051</v>
      </c>
      <c r="H583" t="str">
        <f>'906MP'!Y283</f>
        <v>051231</v>
      </c>
      <c r="I583" t="str">
        <f>'906MP'!AK283</f>
        <v>2025/MEI-731113/59</v>
      </c>
      <c r="J583" t="str">
        <f>'906MP'!T283</f>
        <v>(KÖT)</v>
      </c>
      <c r="K583" t="str">
        <f>'906MP'!AJ283</f>
        <v/>
      </c>
      <c r="L583" t="str">
        <f>'906MP'!U283</f>
        <v>11100</v>
      </c>
      <c r="M583" s="322" t="str">
        <f>IFERROR(VLOOKUP(A583,PAR!$D$3:$E$53,2,FALSE),"nincs szervezet")</f>
        <v>Nagymaros Város Önkormányzata</v>
      </c>
      <c r="N583" s="322" t="str">
        <f>VLOOKUP(F583,PAR!$R$3:$S$5,2,FALSE)</f>
        <v>2 - Kiadás</v>
      </c>
      <c r="O583" t="str">
        <f>IFERROR(VLOOKUP(J583,PAR!$O$3:$P$5,2,FALSE),"nincs feladat")</f>
        <v>1 - (KÖT)</v>
      </c>
      <c r="P583" t="str">
        <f>IFERROR(VLOOKUP(G583,PAR!$J$2:$M$19,4),"nincs rovat")</f>
        <v>K1 - Személyi juttatások</v>
      </c>
      <c r="Q583" t="str">
        <f>IF(H583&gt;0,VLOOKUP(H583,PAR!$AA$3:$AC$187,3,FALSE),"nincs főkönyvi számla")</f>
        <v>051231 -  Egyéb külső személyi juttatások előirányzata</v>
      </c>
      <c r="R583" t="str">
        <f>IFERROR(VLOOKUP(K583,PAR!$V$3:$X$438,3,FALSE),"000000 - Nincs COFOG")</f>
        <v>000000 - Nincs COFOG</v>
      </c>
      <c r="S583">
        <f t="shared" si="183"/>
        <v>25984</v>
      </c>
      <c r="T583">
        <f t="shared" si="184"/>
        <v>25984</v>
      </c>
      <c r="U583" t="str">
        <f>IF('906MP'!J283&gt;0,CONCATENATE('906MP'!J283," - ",'906MP'!P283,", ",'906MP'!E283),"nincs megjegyzés")</f>
        <v>2025-06-01 - módosított ei, 2025/MEI-731113/59</v>
      </c>
      <c r="V583" t="str">
        <f t="shared" si="171"/>
        <v>60P731113051</v>
      </c>
      <c r="W583" t="str">
        <f t="shared" si="172"/>
        <v>60P73111305</v>
      </c>
      <c r="X583" t="str">
        <f t="shared" si="173"/>
        <v>P731113051231</v>
      </c>
      <c r="Y583" t="str">
        <f t="shared" si="174"/>
        <v>60051231</v>
      </c>
      <c r="Z583" t="str">
        <f t="shared" si="185"/>
        <v>(KÖT)051231</v>
      </c>
      <c r="AA583" t="str">
        <f t="shared" si="175"/>
        <v>60051</v>
      </c>
      <c r="AB583" t="str">
        <f t="shared" si="176"/>
        <v>(KÖT)051</v>
      </c>
      <c r="AC583" t="str">
        <f t="shared" si="177"/>
        <v>60P731113051231</v>
      </c>
      <c r="AD583" t="str">
        <f t="shared" si="178"/>
        <v>P731113051231(KÖT)</v>
      </c>
      <c r="AE583" t="str">
        <f t="shared" si="179"/>
        <v>60P731113051</v>
      </c>
      <c r="AF583" t="str">
        <f t="shared" si="180"/>
        <v>P731113051(KÖT)</v>
      </c>
      <c r="AG583" t="str">
        <f t="shared" si="186"/>
        <v>60P73111305123111100</v>
      </c>
      <c r="AH583" t="str">
        <f t="shared" si="187"/>
        <v>P731113(KÖT)05123111100</v>
      </c>
      <c r="AI583" t="str">
        <f t="shared" si="188"/>
        <v>60P73111305111100</v>
      </c>
      <c r="AJ583" t="str">
        <f t="shared" si="189"/>
        <v>P731113051(KÖT)11100</v>
      </c>
    </row>
    <row r="584" spans="1:36" x14ac:dyDescent="0.25">
      <c r="A584" s="325" t="str">
        <f>CONCATENATE("P",'906MP'!M284)</f>
        <v>P731113</v>
      </c>
      <c r="B584">
        <f>'906MP'!H284</f>
        <v>60</v>
      </c>
      <c r="C584" t="str">
        <f>'906MP'!J284</f>
        <v>2025-06-01</v>
      </c>
      <c r="D584" t="str">
        <f>'906MP'!P284</f>
        <v>módosított ei</v>
      </c>
      <c r="E584">
        <f>'906MP'!X284</f>
        <v>-25984</v>
      </c>
      <c r="F584" t="str">
        <f t="shared" si="181"/>
        <v>05</v>
      </c>
      <c r="G584" t="str">
        <f t="shared" si="182"/>
        <v>055</v>
      </c>
      <c r="H584" t="str">
        <f>'906MP'!Y284</f>
        <v>055131</v>
      </c>
      <c r="I584" t="str">
        <f>'906MP'!AK284</f>
        <v>2025/MEI-731113/59</v>
      </c>
      <c r="J584" t="str">
        <f>'906MP'!T284</f>
        <v>(KÖT)</v>
      </c>
      <c r="K584" t="str">
        <f>'906MP'!AJ284</f>
        <v/>
      </c>
      <c r="L584" t="str">
        <f>'906MP'!U284</f>
        <v>11100</v>
      </c>
      <c r="M584" s="322" t="str">
        <f>IFERROR(VLOOKUP(A584,PAR!$D$3:$E$53,2,FALSE),"nincs szervezet")</f>
        <v>Nagymaros Város Önkormányzata</v>
      </c>
      <c r="N584" s="322" t="str">
        <f>VLOOKUP(F584,PAR!$R$3:$S$5,2,FALSE)</f>
        <v>2 - Kiadás</v>
      </c>
      <c r="O584" t="str">
        <f>IFERROR(VLOOKUP(J584,PAR!$O$3:$P$5,2,FALSE),"nincs feladat")</f>
        <v>1 - (KÖT)</v>
      </c>
      <c r="P584" t="str">
        <f>IFERROR(VLOOKUP(G584,PAR!$J$2:$M$19,4),"nincs rovat")</f>
        <v>K5 - Egyéb működési célú kiadások</v>
      </c>
      <c r="Q584" t="str">
        <f>IF(H584&gt;0,VLOOKUP(H584,PAR!$AA$3:$AC$187,3,FALSE),"nincs főkönyvi számla")</f>
        <v>055131 -  Tartalékok előirányzata</v>
      </c>
      <c r="R584" t="str">
        <f>IFERROR(VLOOKUP(K584,PAR!$V$3:$X$438,3,FALSE),"000000 - Nincs COFOG")</f>
        <v>000000 - Nincs COFOG</v>
      </c>
      <c r="S584">
        <f t="shared" si="183"/>
        <v>-25984</v>
      </c>
      <c r="T584">
        <f t="shared" si="184"/>
        <v>-25984</v>
      </c>
      <c r="U584" t="str">
        <f>IF('906MP'!J284&gt;0,CONCATENATE('906MP'!J284," - ",'906MP'!P284,", ",'906MP'!E284),"nincs megjegyzés")</f>
        <v>2025-06-01 - módosított ei, 2025/MEI-731113/59</v>
      </c>
      <c r="V584" t="str">
        <f t="shared" si="171"/>
        <v>60P731113055</v>
      </c>
      <c r="W584" t="str">
        <f t="shared" si="172"/>
        <v>60P73111305</v>
      </c>
      <c r="X584" t="str">
        <f t="shared" si="173"/>
        <v>P731113055131</v>
      </c>
      <c r="Y584" t="str">
        <f t="shared" si="174"/>
        <v>60055131</v>
      </c>
      <c r="Z584" t="str">
        <f t="shared" si="185"/>
        <v>(KÖT)055131</v>
      </c>
      <c r="AA584" t="str">
        <f t="shared" si="175"/>
        <v>60055</v>
      </c>
      <c r="AB584" t="str">
        <f t="shared" si="176"/>
        <v>(KÖT)055</v>
      </c>
      <c r="AC584" t="str">
        <f t="shared" si="177"/>
        <v>60P731113055131</v>
      </c>
      <c r="AD584" t="str">
        <f t="shared" si="178"/>
        <v>P731113055131(KÖT)</v>
      </c>
      <c r="AE584" t="str">
        <f t="shared" si="179"/>
        <v>60P731113055</v>
      </c>
      <c r="AF584" t="str">
        <f t="shared" si="180"/>
        <v>P731113055(KÖT)</v>
      </c>
      <c r="AG584" t="str">
        <f t="shared" si="186"/>
        <v>60P73111305513111100</v>
      </c>
      <c r="AH584" t="str">
        <f t="shared" si="187"/>
        <v>P731113(KÖT)05513111100</v>
      </c>
      <c r="AI584" t="str">
        <f t="shared" si="188"/>
        <v>60P73111305511100</v>
      </c>
      <c r="AJ584" t="str">
        <f t="shared" si="189"/>
        <v>P731113055(KÖT)11100</v>
      </c>
    </row>
    <row r="585" spans="1:36" x14ac:dyDescent="0.25">
      <c r="A585" s="325" t="str">
        <f>CONCATENATE("P",'906MP'!M285)</f>
        <v>P654427</v>
      </c>
      <c r="B585">
        <f>'906MP'!H285</f>
        <v>60</v>
      </c>
      <c r="C585" t="str">
        <f>'906MP'!J285</f>
        <v>2025-06-01</v>
      </c>
      <c r="D585" t="str">
        <f>'906MP'!P285</f>
        <v>módosított ei</v>
      </c>
      <c r="E585">
        <f>'906MP'!X285</f>
        <v>-274032</v>
      </c>
      <c r="F585" t="str">
        <f t="shared" si="181"/>
        <v>05</v>
      </c>
      <c r="G585" t="str">
        <f t="shared" si="182"/>
        <v>051</v>
      </c>
      <c r="H585" t="str">
        <f>'906MP'!Y285</f>
        <v>0511011</v>
      </c>
      <c r="I585" t="str">
        <f>'906MP'!AK285</f>
        <v>2025/MEI-654427/16</v>
      </c>
      <c r="J585" t="str">
        <f>'906MP'!T285</f>
        <v>(KÖT)</v>
      </c>
      <c r="K585" t="str">
        <f>'906MP'!AJ285</f>
        <v/>
      </c>
      <c r="L585" t="str">
        <f>'906MP'!U285</f>
        <v>13100</v>
      </c>
      <c r="M585" s="322" t="str">
        <f>IFERROR(VLOOKUP(A585,PAR!$D$3:$E$53,2,FALSE),"nincs szervezet")</f>
        <v>Nagymarosi Napköziotthonos Óvoda és Bölcsőde</v>
      </c>
      <c r="N585" s="322" t="str">
        <f>VLOOKUP(F585,PAR!$R$3:$S$5,2,FALSE)</f>
        <v>2 - Kiadás</v>
      </c>
      <c r="O585" t="str">
        <f>IFERROR(VLOOKUP(J585,PAR!$O$3:$P$5,2,FALSE),"nincs feladat")</f>
        <v>1 - (KÖT)</v>
      </c>
      <c r="P585" t="str">
        <f>IFERROR(VLOOKUP(G585,PAR!$J$2:$M$19,4),"nincs rovat")</f>
        <v>K1 - Személyi juttatások</v>
      </c>
      <c r="Q585" t="str">
        <f>IF(H585&gt;0,VLOOKUP(H585,PAR!$AA$3:$AC$187,3,FALSE),"nincs főkönyvi számla")</f>
        <v>0511011 -  Törvény szerinti illetmények, munkabérek előirányzata</v>
      </c>
      <c r="R585" t="str">
        <f>IFERROR(VLOOKUP(K585,PAR!$V$3:$X$438,3,FALSE),"000000 - Nincs COFOG")</f>
        <v>000000 - Nincs COFOG</v>
      </c>
      <c r="S585">
        <f t="shared" si="183"/>
        <v>-274032</v>
      </c>
      <c r="T585">
        <f t="shared" si="184"/>
        <v>-274032</v>
      </c>
      <c r="U585" t="str">
        <f>IF('906MP'!J285&gt;0,CONCATENATE('906MP'!J285," - ",'906MP'!P285,", ",'906MP'!E285),"nincs megjegyzés")</f>
        <v>2025-06-01 - módosított ei, 2025/MEI-654427/16</v>
      </c>
      <c r="V585" t="str">
        <f t="shared" si="171"/>
        <v>60P654427051</v>
      </c>
      <c r="W585" t="str">
        <f t="shared" si="172"/>
        <v>60P65442705</v>
      </c>
      <c r="X585" t="str">
        <f t="shared" si="173"/>
        <v>P6544270511011</v>
      </c>
      <c r="Y585" t="str">
        <f t="shared" si="174"/>
        <v>600511011</v>
      </c>
      <c r="Z585" t="str">
        <f t="shared" si="185"/>
        <v>(KÖT)0511011</v>
      </c>
      <c r="AA585" t="str">
        <f t="shared" si="175"/>
        <v>60051</v>
      </c>
      <c r="AB585" t="str">
        <f t="shared" si="176"/>
        <v>(KÖT)051</v>
      </c>
      <c r="AC585" t="str">
        <f t="shared" si="177"/>
        <v>60P6544270511011</v>
      </c>
      <c r="AD585" t="str">
        <f t="shared" si="178"/>
        <v>P6544270511011(KÖT)</v>
      </c>
      <c r="AE585" t="str">
        <f t="shared" si="179"/>
        <v>60P654427051</v>
      </c>
      <c r="AF585" t="str">
        <f t="shared" si="180"/>
        <v>P654427051(KÖT)</v>
      </c>
      <c r="AG585" t="str">
        <f t="shared" si="186"/>
        <v>60P654427051101113100</v>
      </c>
      <c r="AH585" t="str">
        <f t="shared" si="187"/>
        <v>P654427(KÖT)051101113100</v>
      </c>
      <c r="AI585" t="str">
        <f t="shared" si="188"/>
        <v>60P65442705113100</v>
      </c>
      <c r="AJ585" t="str">
        <f t="shared" si="189"/>
        <v>P654427051(KÖT)13100</v>
      </c>
    </row>
    <row r="586" spans="1:36" x14ac:dyDescent="0.25">
      <c r="A586" s="325" t="str">
        <f>CONCATENATE("P",'906MP'!M286)</f>
        <v>P654427</v>
      </c>
      <c r="B586">
        <f>'906MP'!H286</f>
        <v>60</v>
      </c>
      <c r="C586" t="str">
        <f>'906MP'!J286</f>
        <v>2025-06-01</v>
      </c>
      <c r="D586" t="str">
        <f>'906MP'!P286</f>
        <v>módosított ei</v>
      </c>
      <c r="E586">
        <f>'906MP'!X286</f>
        <v>274032</v>
      </c>
      <c r="F586" t="str">
        <f t="shared" si="181"/>
        <v>05</v>
      </c>
      <c r="G586" t="str">
        <f t="shared" si="182"/>
        <v>051</v>
      </c>
      <c r="H586" t="str">
        <f>'906MP'!Y286</f>
        <v>051221</v>
      </c>
      <c r="I586" t="str">
        <f>'906MP'!AK286</f>
        <v>2025/MEI-654427/16</v>
      </c>
      <c r="J586" t="str">
        <f>'906MP'!T286</f>
        <v>(KÖT)</v>
      </c>
      <c r="K586" t="str">
        <f>'906MP'!AJ286</f>
        <v/>
      </c>
      <c r="L586" t="str">
        <f>'906MP'!U286</f>
        <v>13100</v>
      </c>
      <c r="M586" s="322" t="str">
        <f>IFERROR(VLOOKUP(A586,PAR!$D$3:$E$53,2,FALSE),"nincs szervezet")</f>
        <v>Nagymarosi Napköziotthonos Óvoda és Bölcsőde</v>
      </c>
      <c r="N586" s="322" t="str">
        <f>VLOOKUP(F586,PAR!$R$3:$S$5,2,FALSE)</f>
        <v>2 - Kiadás</v>
      </c>
      <c r="O586" t="str">
        <f>IFERROR(VLOOKUP(J586,PAR!$O$3:$P$5,2,FALSE),"nincs feladat")</f>
        <v>1 - (KÖT)</v>
      </c>
      <c r="P586" t="str">
        <f>IFERROR(VLOOKUP(G586,PAR!$J$2:$M$19,4),"nincs rovat")</f>
        <v>K1 - Személyi juttatások</v>
      </c>
      <c r="Q586" t="str">
        <f>IF(H586&gt;0,VLOOKUP(H586,PAR!$AA$3:$AC$187,3,FALSE),"nincs főkönyvi számla")</f>
        <v>051221 -  Munkavégzésre irányuló egyéb jogviszonyban nem saját foglalkoztatottnak fizetett juttatások előirányzata</v>
      </c>
      <c r="R586" t="str">
        <f>IFERROR(VLOOKUP(K586,PAR!$V$3:$X$438,3,FALSE),"000000 - Nincs COFOG")</f>
        <v>000000 - Nincs COFOG</v>
      </c>
      <c r="S586">
        <f t="shared" si="183"/>
        <v>274032</v>
      </c>
      <c r="T586">
        <f t="shared" si="184"/>
        <v>274032</v>
      </c>
      <c r="U586" t="str">
        <f>IF('906MP'!J286&gt;0,CONCATENATE('906MP'!J286," - ",'906MP'!P286,", ",'906MP'!E286),"nincs megjegyzés")</f>
        <v>2025-06-01 - módosított ei, 2025/MEI-654427/16</v>
      </c>
      <c r="V586" t="str">
        <f t="shared" si="171"/>
        <v>60P654427051</v>
      </c>
      <c r="W586" t="str">
        <f t="shared" si="172"/>
        <v>60P65442705</v>
      </c>
      <c r="X586" t="str">
        <f t="shared" si="173"/>
        <v>P654427051221</v>
      </c>
      <c r="Y586" t="str">
        <f t="shared" si="174"/>
        <v>60051221</v>
      </c>
      <c r="Z586" t="str">
        <f t="shared" si="185"/>
        <v>(KÖT)051221</v>
      </c>
      <c r="AA586" t="str">
        <f t="shared" si="175"/>
        <v>60051</v>
      </c>
      <c r="AB586" t="str">
        <f t="shared" si="176"/>
        <v>(KÖT)051</v>
      </c>
      <c r="AC586" t="str">
        <f t="shared" si="177"/>
        <v>60P654427051221</v>
      </c>
      <c r="AD586" t="str">
        <f t="shared" si="178"/>
        <v>P654427051221(KÖT)</v>
      </c>
      <c r="AE586" t="str">
        <f t="shared" si="179"/>
        <v>60P654427051</v>
      </c>
      <c r="AF586" t="str">
        <f t="shared" si="180"/>
        <v>P654427051(KÖT)</v>
      </c>
      <c r="AG586" t="str">
        <f t="shared" si="186"/>
        <v>60P65442705122113100</v>
      </c>
      <c r="AH586" t="str">
        <f t="shared" si="187"/>
        <v>P654427(KÖT)05122113100</v>
      </c>
      <c r="AI586" t="str">
        <f t="shared" si="188"/>
        <v>60P65442705113100</v>
      </c>
      <c r="AJ586" t="str">
        <f t="shared" si="189"/>
        <v>P654427051(KÖT)13100</v>
      </c>
    </row>
    <row r="587" spans="1:36" x14ac:dyDescent="0.25">
      <c r="A587" s="325" t="str">
        <f>CONCATENATE("P",'906MP'!M287)</f>
        <v>P731113</v>
      </c>
      <c r="B587">
        <f>'906MP'!H287</f>
        <v>60</v>
      </c>
      <c r="C587" t="str">
        <f>'906MP'!J287</f>
        <v>2025-05-01</v>
      </c>
      <c r="D587" t="str">
        <f>'906MP'!P287</f>
        <v>módosított ei</v>
      </c>
      <c r="E587">
        <f>'906MP'!X287</f>
        <v>28729</v>
      </c>
      <c r="F587" t="str">
        <f t="shared" si="181"/>
        <v>05</v>
      </c>
      <c r="G587" t="str">
        <f t="shared" si="182"/>
        <v>053</v>
      </c>
      <c r="H587" t="str">
        <f>'906MP'!Y287</f>
        <v>053331</v>
      </c>
      <c r="I587" t="str">
        <f>'906MP'!AK287</f>
        <v>2025/MEI-731113/31</v>
      </c>
      <c r="J587" t="str">
        <f>'906MP'!T287</f>
        <v>(KÖT)</v>
      </c>
      <c r="K587" t="str">
        <f>'906MP'!AJ287</f>
        <v/>
      </c>
      <c r="L587" t="str">
        <f>'906MP'!U287</f>
        <v>11100</v>
      </c>
      <c r="M587" s="322" t="str">
        <f>IFERROR(VLOOKUP(A587,PAR!$D$3:$E$53,2,FALSE),"nincs szervezet")</f>
        <v>Nagymaros Város Önkormányzata</v>
      </c>
      <c r="N587" s="322" t="str">
        <f>VLOOKUP(F587,PAR!$R$3:$S$5,2,FALSE)</f>
        <v>2 - Kiadás</v>
      </c>
      <c r="O587" t="str">
        <f>IFERROR(VLOOKUP(J587,PAR!$O$3:$P$5,2,FALSE),"nincs feladat")</f>
        <v>1 - (KÖT)</v>
      </c>
      <c r="P587" t="str">
        <f>IFERROR(VLOOKUP(G587,PAR!$J$2:$M$19,4),"nincs rovat")</f>
        <v>K3 - Dologi kiadások</v>
      </c>
      <c r="Q587" t="str">
        <f>IF(H587&gt;0,VLOOKUP(H587,PAR!$AA$3:$AC$187,3,FALSE),"nincs főkönyvi számla")</f>
        <v>053331 -  Bérleti és lízing díjak előirányzata</v>
      </c>
      <c r="R587" t="str">
        <f>IFERROR(VLOOKUP(K587,PAR!$V$3:$X$438,3,FALSE),"000000 - Nincs COFOG")</f>
        <v>000000 - Nincs COFOG</v>
      </c>
      <c r="S587">
        <f t="shared" si="183"/>
        <v>28729</v>
      </c>
      <c r="T587">
        <f t="shared" si="184"/>
        <v>28729</v>
      </c>
      <c r="U587" t="str">
        <f>IF('906MP'!J287&gt;0,CONCATENATE('906MP'!J287," - ",'906MP'!P287,", ",'906MP'!E287),"nincs megjegyzés")</f>
        <v>2025-05-01 - módosított ei, 2025/MEI-731113/31</v>
      </c>
      <c r="V587" t="str">
        <f t="shared" si="171"/>
        <v>60P731113053</v>
      </c>
      <c r="W587" t="str">
        <f t="shared" si="172"/>
        <v>60P73111305</v>
      </c>
      <c r="X587" t="str">
        <f t="shared" si="173"/>
        <v>P731113053331</v>
      </c>
      <c r="Y587" t="str">
        <f t="shared" si="174"/>
        <v>60053331</v>
      </c>
      <c r="Z587" t="str">
        <f t="shared" si="185"/>
        <v>(KÖT)053331</v>
      </c>
      <c r="AA587" t="str">
        <f t="shared" si="175"/>
        <v>60053</v>
      </c>
      <c r="AB587" t="str">
        <f t="shared" si="176"/>
        <v>(KÖT)053</v>
      </c>
      <c r="AC587" t="str">
        <f t="shared" si="177"/>
        <v>60P731113053331</v>
      </c>
      <c r="AD587" t="str">
        <f t="shared" si="178"/>
        <v>P731113053331(KÖT)</v>
      </c>
      <c r="AE587" t="str">
        <f t="shared" si="179"/>
        <v>60P731113053</v>
      </c>
      <c r="AF587" t="str">
        <f t="shared" si="180"/>
        <v>P731113053(KÖT)</v>
      </c>
      <c r="AG587" t="str">
        <f t="shared" si="186"/>
        <v>60P73111305333111100</v>
      </c>
      <c r="AH587" t="str">
        <f t="shared" si="187"/>
        <v>P731113(KÖT)05333111100</v>
      </c>
      <c r="AI587" t="str">
        <f t="shared" si="188"/>
        <v>60P73111305311100</v>
      </c>
      <c r="AJ587" t="str">
        <f t="shared" si="189"/>
        <v>P731113053(KÖT)11100</v>
      </c>
    </row>
    <row r="588" spans="1:36" x14ac:dyDescent="0.25">
      <c r="A588" s="325" t="str">
        <f>CONCATENATE("P",'906MP'!M288)</f>
        <v>P731113</v>
      </c>
      <c r="B588">
        <f>'906MP'!H288</f>
        <v>60</v>
      </c>
      <c r="C588" t="str">
        <f>'906MP'!J288</f>
        <v>2025-05-01</v>
      </c>
      <c r="D588" t="str">
        <f>'906MP'!P288</f>
        <v>módosított ei</v>
      </c>
      <c r="E588">
        <f>'906MP'!X288</f>
        <v>-28729</v>
      </c>
      <c r="F588" t="str">
        <f t="shared" si="181"/>
        <v>05</v>
      </c>
      <c r="G588" t="str">
        <f t="shared" si="182"/>
        <v>053</v>
      </c>
      <c r="H588" t="str">
        <f>'906MP'!Y288</f>
        <v>053511</v>
      </c>
      <c r="I588" t="str">
        <f>'906MP'!AK288</f>
        <v>2025/MEI-731113/31</v>
      </c>
      <c r="J588" t="str">
        <f>'906MP'!T288</f>
        <v>(KÖT)</v>
      </c>
      <c r="K588" t="str">
        <f>'906MP'!AJ288</f>
        <v/>
      </c>
      <c r="L588" t="str">
        <f>'906MP'!U288</f>
        <v>11100</v>
      </c>
      <c r="M588" s="322" t="str">
        <f>IFERROR(VLOOKUP(A588,PAR!$D$3:$E$53,2,FALSE),"nincs szervezet")</f>
        <v>Nagymaros Város Önkormányzata</v>
      </c>
      <c r="N588" s="322" t="str">
        <f>VLOOKUP(F588,PAR!$R$3:$S$5,2,FALSE)</f>
        <v>2 - Kiadás</v>
      </c>
      <c r="O588" t="str">
        <f>IFERROR(VLOOKUP(J588,PAR!$O$3:$P$5,2,FALSE),"nincs feladat")</f>
        <v>1 - (KÖT)</v>
      </c>
      <c r="P588" t="str">
        <f>IFERROR(VLOOKUP(G588,PAR!$J$2:$M$19,4),"nincs rovat")</f>
        <v>K3 - Dologi kiadások</v>
      </c>
      <c r="Q588" t="str">
        <f>IF(H588&gt;0,VLOOKUP(H588,PAR!$AA$3:$AC$187,3,FALSE),"nincs főkönyvi számla")</f>
        <v>053511 -  Működési célú előzetesen felszámított általános forgalmi adó előirányzata</v>
      </c>
      <c r="R588" t="str">
        <f>IFERROR(VLOOKUP(K588,PAR!$V$3:$X$438,3,FALSE),"000000 - Nincs COFOG")</f>
        <v>000000 - Nincs COFOG</v>
      </c>
      <c r="S588">
        <f t="shared" si="183"/>
        <v>-28729</v>
      </c>
      <c r="T588">
        <f t="shared" si="184"/>
        <v>-28729</v>
      </c>
      <c r="U588" t="str">
        <f>IF('906MP'!J288&gt;0,CONCATENATE('906MP'!J288," - ",'906MP'!P288,", ",'906MP'!E288),"nincs megjegyzés")</f>
        <v>2025-05-01 - módosított ei, 2025/MEI-731113/31</v>
      </c>
      <c r="V588" t="str">
        <f t="shared" si="171"/>
        <v>60P731113053</v>
      </c>
      <c r="W588" t="str">
        <f t="shared" si="172"/>
        <v>60P73111305</v>
      </c>
      <c r="X588" t="str">
        <f t="shared" si="173"/>
        <v>P731113053511</v>
      </c>
      <c r="Y588" t="str">
        <f t="shared" si="174"/>
        <v>60053511</v>
      </c>
      <c r="Z588" t="str">
        <f t="shared" si="185"/>
        <v>(KÖT)053511</v>
      </c>
      <c r="AA588" t="str">
        <f t="shared" si="175"/>
        <v>60053</v>
      </c>
      <c r="AB588" t="str">
        <f t="shared" si="176"/>
        <v>(KÖT)053</v>
      </c>
      <c r="AC588" t="str">
        <f t="shared" si="177"/>
        <v>60P731113053511</v>
      </c>
      <c r="AD588" t="str">
        <f t="shared" si="178"/>
        <v>P731113053511(KÖT)</v>
      </c>
      <c r="AE588" t="str">
        <f t="shared" si="179"/>
        <v>60P731113053</v>
      </c>
      <c r="AF588" t="str">
        <f t="shared" si="180"/>
        <v>P731113053(KÖT)</v>
      </c>
      <c r="AG588" t="str">
        <f t="shared" si="186"/>
        <v>60P73111305351111100</v>
      </c>
      <c r="AH588" t="str">
        <f t="shared" si="187"/>
        <v>P731113(KÖT)05351111100</v>
      </c>
      <c r="AI588" t="str">
        <f t="shared" si="188"/>
        <v>60P73111305311100</v>
      </c>
      <c r="AJ588" t="str">
        <f t="shared" si="189"/>
        <v>P731113053(KÖT)11100</v>
      </c>
    </row>
    <row r="589" spans="1:36" x14ac:dyDescent="0.25">
      <c r="A589" s="325" t="str">
        <f>CONCATENATE("P",'906MP'!M289)</f>
        <v>P654449</v>
      </c>
      <c r="B589">
        <f>'906MP'!H289</f>
        <v>60</v>
      </c>
      <c r="C589" t="str">
        <f>'906MP'!J289</f>
        <v>2025-06-01</v>
      </c>
      <c r="D589" t="str">
        <f>'906MP'!P289</f>
        <v>módosított ei</v>
      </c>
      <c r="E589">
        <f>'906MP'!X289</f>
        <v>2582</v>
      </c>
      <c r="F589" t="str">
        <f t="shared" si="181"/>
        <v>05</v>
      </c>
      <c r="G589" t="str">
        <f t="shared" si="182"/>
        <v>051</v>
      </c>
      <c r="H589" t="str">
        <f>'906MP'!Y289</f>
        <v>051231</v>
      </c>
      <c r="I589" t="str">
        <f>'906MP'!AK289</f>
        <v>2025/MEI-654449/9</v>
      </c>
      <c r="J589" t="str">
        <f>'906MP'!T289</f>
        <v>(ÖNV)</v>
      </c>
      <c r="K589" t="str">
        <f>'906MP'!AJ289</f>
        <v/>
      </c>
      <c r="L589" t="str">
        <f>'906MP'!U289</f>
        <v>15100</v>
      </c>
      <c r="M589" s="322" t="str">
        <f>IFERROR(VLOOKUP(A589,PAR!$D$3:$E$53,2,FALSE),"nincs szervezet")</f>
        <v>Gondozási Központ</v>
      </c>
      <c r="N589" s="322" t="str">
        <f>VLOOKUP(F589,PAR!$R$3:$S$5,2,FALSE)</f>
        <v>2 - Kiadás</v>
      </c>
      <c r="O589" t="str">
        <f>IFERROR(VLOOKUP(J589,PAR!$O$3:$P$5,2,FALSE),"nincs feladat")</f>
        <v>2 - (ÖNV)</v>
      </c>
      <c r="P589" t="str">
        <f>IFERROR(VLOOKUP(G589,PAR!$J$2:$M$19,4),"nincs rovat")</f>
        <v>K1 - Személyi juttatások</v>
      </c>
      <c r="Q589" t="str">
        <f>IF(H589&gt;0,VLOOKUP(H589,PAR!$AA$3:$AC$187,3,FALSE),"nincs főkönyvi számla")</f>
        <v>051231 -  Egyéb külső személyi juttatások előirányzata</v>
      </c>
      <c r="R589" t="str">
        <f>IFERROR(VLOOKUP(K589,PAR!$V$3:$X$438,3,FALSE),"000000 - Nincs COFOG")</f>
        <v>000000 - Nincs COFOG</v>
      </c>
      <c r="S589">
        <f t="shared" si="183"/>
        <v>2582</v>
      </c>
      <c r="T589">
        <f t="shared" si="184"/>
        <v>2582</v>
      </c>
      <c r="U589" t="str">
        <f>IF('906MP'!J289&gt;0,CONCATENATE('906MP'!J289," - ",'906MP'!P289,", ",'906MP'!E289),"nincs megjegyzés")</f>
        <v>2025-06-01 - módosított ei, 2025/MEI-654449/9</v>
      </c>
      <c r="V589" t="str">
        <f t="shared" si="171"/>
        <v>60P654449051</v>
      </c>
      <c r="W589" t="str">
        <f t="shared" si="172"/>
        <v>60P65444905</v>
      </c>
      <c r="X589" t="str">
        <f t="shared" si="173"/>
        <v>P654449051231</v>
      </c>
      <c r="Y589" t="str">
        <f t="shared" si="174"/>
        <v>60051231</v>
      </c>
      <c r="Z589" t="str">
        <f t="shared" si="185"/>
        <v>(ÖNV)051231</v>
      </c>
      <c r="AA589" t="str">
        <f t="shared" si="175"/>
        <v>60051</v>
      </c>
      <c r="AB589" t="str">
        <f t="shared" si="176"/>
        <v>(ÖNV)051</v>
      </c>
      <c r="AC589" t="str">
        <f t="shared" si="177"/>
        <v>60P654449051231</v>
      </c>
      <c r="AD589" t="str">
        <f t="shared" si="178"/>
        <v>P654449051231(ÖNV)</v>
      </c>
      <c r="AE589" t="str">
        <f t="shared" si="179"/>
        <v>60P654449051</v>
      </c>
      <c r="AF589" t="str">
        <f t="shared" si="180"/>
        <v>P654449051(ÖNV)</v>
      </c>
      <c r="AG589" t="str">
        <f t="shared" si="186"/>
        <v>60P65444905123115100</v>
      </c>
      <c r="AH589" t="str">
        <f t="shared" si="187"/>
        <v>P654449(ÖNV)05123115100</v>
      </c>
      <c r="AI589" t="str">
        <f t="shared" si="188"/>
        <v>60P65444905115100</v>
      </c>
      <c r="AJ589" t="str">
        <f t="shared" si="189"/>
        <v>P654449051(ÖNV)15100</v>
      </c>
    </row>
    <row r="590" spans="1:36" x14ac:dyDescent="0.25">
      <c r="A590" s="325" t="str">
        <f>CONCATENATE("P",'906MP'!M290)</f>
        <v>P654449</v>
      </c>
      <c r="B590">
        <f>'906MP'!H290</f>
        <v>60</v>
      </c>
      <c r="C590" t="str">
        <f>'906MP'!J290</f>
        <v>2025-06-01</v>
      </c>
      <c r="D590" t="str">
        <f>'906MP'!P290</f>
        <v>módosított ei</v>
      </c>
      <c r="E590">
        <f>'906MP'!X290</f>
        <v>-2582</v>
      </c>
      <c r="F590" t="str">
        <f t="shared" si="181"/>
        <v>05</v>
      </c>
      <c r="G590" t="str">
        <f t="shared" si="182"/>
        <v>053</v>
      </c>
      <c r="H590" t="str">
        <f>'906MP'!Y290</f>
        <v>053121</v>
      </c>
      <c r="I590" t="str">
        <f>'906MP'!AK290</f>
        <v>2025/MEI-654449/9</v>
      </c>
      <c r="J590" t="str">
        <f>'906MP'!T290</f>
        <v>(ÖNV)</v>
      </c>
      <c r="K590" t="str">
        <f>'906MP'!AJ290</f>
        <v/>
      </c>
      <c r="L590" t="str">
        <f>'906MP'!U290</f>
        <v>15100</v>
      </c>
      <c r="M590" s="322" t="str">
        <f>IFERROR(VLOOKUP(A590,PAR!$D$3:$E$53,2,FALSE),"nincs szervezet")</f>
        <v>Gondozási Központ</v>
      </c>
      <c r="N590" s="322" t="str">
        <f>VLOOKUP(F590,PAR!$R$3:$S$5,2,FALSE)</f>
        <v>2 - Kiadás</v>
      </c>
      <c r="O590" t="str">
        <f>IFERROR(VLOOKUP(J590,PAR!$O$3:$P$5,2,FALSE),"nincs feladat")</f>
        <v>2 - (ÖNV)</v>
      </c>
      <c r="P590" t="str">
        <f>IFERROR(VLOOKUP(G590,PAR!$J$2:$M$19,4),"nincs rovat")</f>
        <v>K3 - Dologi kiadások</v>
      </c>
      <c r="Q590" t="str">
        <f>IF(H590&gt;0,VLOOKUP(H590,PAR!$AA$3:$AC$187,3,FALSE),"nincs főkönyvi számla")</f>
        <v>053121 -  Üzemeltetési anyagok beszerzése előirányzata</v>
      </c>
      <c r="R590" t="str">
        <f>IFERROR(VLOOKUP(K590,PAR!$V$3:$X$438,3,FALSE),"000000 - Nincs COFOG")</f>
        <v>000000 - Nincs COFOG</v>
      </c>
      <c r="S590">
        <f t="shared" si="183"/>
        <v>-2582</v>
      </c>
      <c r="T590">
        <f t="shared" si="184"/>
        <v>-2582</v>
      </c>
      <c r="U590" t="str">
        <f>IF('906MP'!J290&gt;0,CONCATENATE('906MP'!J290," - ",'906MP'!P290,", ",'906MP'!E290),"nincs megjegyzés")</f>
        <v>2025-06-01 - módosított ei, 2025/MEI-654449/9</v>
      </c>
      <c r="V590" t="str">
        <f t="shared" si="171"/>
        <v>60P654449053</v>
      </c>
      <c r="W590" t="str">
        <f t="shared" si="172"/>
        <v>60P65444905</v>
      </c>
      <c r="X590" t="str">
        <f t="shared" si="173"/>
        <v>P654449053121</v>
      </c>
      <c r="Y590" t="str">
        <f t="shared" si="174"/>
        <v>60053121</v>
      </c>
      <c r="Z590" t="str">
        <f t="shared" si="185"/>
        <v>(ÖNV)053121</v>
      </c>
      <c r="AA590" t="str">
        <f t="shared" si="175"/>
        <v>60053</v>
      </c>
      <c r="AB590" t="str">
        <f t="shared" si="176"/>
        <v>(ÖNV)053</v>
      </c>
      <c r="AC590" t="str">
        <f t="shared" si="177"/>
        <v>60P654449053121</v>
      </c>
      <c r="AD590" t="str">
        <f t="shared" si="178"/>
        <v>P654449053121(ÖNV)</v>
      </c>
      <c r="AE590" t="str">
        <f t="shared" si="179"/>
        <v>60P654449053</v>
      </c>
      <c r="AF590" t="str">
        <f t="shared" si="180"/>
        <v>P654449053(ÖNV)</v>
      </c>
      <c r="AG590" t="str">
        <f t="shared" si="186"/>
        <v>60P65444905312115100</v>
      </c>
      <c r="AH590" t="str">
        <f t="shared" si="187"/>
        <v>P654449(ÖNV)05312115100</v>
      </c>
      <c r="AI590" t="str">
        <f t="shared" si="188"/>
        <v>60P65444905315100</v>
      </c>
      <c r="AJ590" t="str">
        <f t="shared" si="189"/>
        <v>P654449053(ÖNV)15100</v>
      </c>
    </row>
    <row r="591" spans="1:36" x14ac:dyDescent="0.25">
      <c r="A591" s="325" t="str">
        <f>CONCATENATE("P",'906MP'!M291)</f>
        <v>P731113</v>
      </c>
      <c r="B591">
        <f>'906MP'!H291</f>
        <v>60</v>
      </c>
      <c r="C591" t="str">
        <f>'906MP'!J291</f>
        <v>2025-03-01</v>
      </c>
      <c r="D591" t="str">
        <f>'906MP'!P291</f>
        <v>módosított ei</v>
      </c>
      <c r="E591">
        <f>'906MP'!X291</f>
        <v>40000</v>
      </c>
      <c r="F591" t="str">
        <f t="shared" si="181"/>
        <v>05</v>
      </c>
      <c r="G591" t="str">
        <f t="shared" si="182"/>
        <v>053</v>
      </c>
      <c r="H591" t="str">
        <f>'906MP'!Y291</f>
        <v>053551</v>
      </c>
      <c r="I591" t="str">
        <f>'906MP'!AK291</f>
        <v>2025/MEI-731113/32</v>
      </c>
      <c r="J591" t="str">
        <f>'906MP'!T291</f>
        <v>(KÖT)</v>
      </c>
      <c r="K591" t="str">
        <f>'906MP'!AJ291</f>
        <v/>
      </c>
      <c r="L591" t="str">
        <f>'906MP'!U291</f>
        <v>11100</v>
      </c>
      <c r="M591" s="322" t="str">
        <f>IFERROR(VLOOKUP(A591,PAR!$D$3:$E$53,2,FALSE),"nincs szervezet")</f>
        <v>Nagymaros Város Önkormányzata</v>
      </c>
      <c r="N591" s="322" t="str">
        <f>VLOOKUP(F591,PAR!$R$3:$S$5,2,FALSE)</f>
        <v>2 - Kiadás</v>
      </c>
      <c r="O591" t="str">
        <f>IFERROR(VLOOKUP(J591,PAR!$O$3:$P$5,2,FALSE),"nincs feladat")</f>
        <v>1 - (KÖT)</v>
      </c>
      <c r="P591" t="str">
        <f>IFERROR(VLOOKUP(G591,PAR!$J$2:$M$19,4),"nincs rovat")</f>
        <v>K3 - Dologi kiadások</v>
      </c>
      <c r="Q591" t="str">
        <f>IF(H591&gt;0,VLOOKUP(H591,PAR!$AA$3:$AC$187,3,FALSE),"nincs főkönyvi számla")</f>
        <v>053551 -  Egyéb dologi kiadások előirányzata</v>
      </c>
      <c r="R591" t="str">
        <f>IFERROR(VLOOKUP(K591,PAR!$V$3:$X$438,3,FALSE),"000000 - Nincs COFOG")</f>
        <v>000000 - Nincs COFOG</v>
      </c>
      <c r="S591">
        <f t="shared" si="183"/>
        <v>40000</v>
      </c>
      <c r="T591">
        <f t="shared" si="184"/>
        <v>40000</v>
      </c>
      <c r="U591" t="str">
        <f>IF('906MP'!J291&gt;0,CONCATENATE('906MP'!J291," - ",'906MP'!P291,", ",'906MP'!E291),"nincs megjegyzés")</f>
        <v>2025-03-01 - módosított ei, 2025/MEI-731113/32</v>
      </c>
      <c r="V591" t="str">
        <f t="shared" si="171"/>
        <v>60P731113053</v>
      </c>
      <c r="W591" t="str">
        <f t="shared" si="172"/>
        <v>60P73111305</v>
      </c>
      <c r="X591" t="str">
        <f t="shared" si="173"/>
        <v>P731113053551</v>
      </c>
      <c r="Y591" t="str">
        <f t="shared" si="174"/>
        <v>60053551</v>
      </c>
      <c r="Z591" t="str">
        <f t="shared" si="185"/>
        <v>(KÖT)053551</v>
      </c>
      <c r="AA591" t="str">
        <f t="shared" si="175"/>
        <v>60053</v>
      </c>
      <c r="AB591" t="str">
        <f t="shared" si="176"/>
        <v>(KÖT)053</v>
      </c>
      <c r="AC591" t="str">
        <f t="shared" si="177"/>
        <v>60P731113053551</v>
      </c>
      <c r="AD591" t="str">
        <f t="shared" si="178"/>
        <v>P731113053551(KÖT)</v>
      </c>
      <c r="AE591" t="str">
        <f t="shared" si="179"/>
        <v>60P731113053</v>
      </c>
      <c r="AF591" t="str">
        <f t="shared" si="180"/>
        <v>P731113053(KÖT)</v>
      </c>
      <c r="AG591" t="str">
        <f t="shared" si="186"/>
        <v>60P73111305355111100</v>
      </c>
      <c r="AH591" t="str">
        <f t="shared" si="187"/>
        <v>P731113(KÖT)05355111100</v>
      </c>
      <c r="AI591" t="str">
        <f t="shared" si="188"/>
        <v>60P73111305311100</v>
      </c>
      <c r="AJ591" t="str">
        <f t="shared" si="189"/>
        <v>P731113053(KÖT)11100</v>
      </c>
    </row>
    <row r="592" spans="1:36" x14ac:dyDescent="0.25">
      <c r="A592" s="325" t="str">
        <f>CONCATENATE("P",'906MP'!M292)</f>
        <v>P731113</v>
      </c>
      <c r="B592">
        <f>'906MP'!H292</f>
        <v>60</v>
      </c>
      <c r="C592" t="str">
        <f>'906MP'!J292</f>
        <v>2025-03-01</v>
      </c>
      <c r="D592" t="str">
        <f>'906MP'!P292</f>
        <v>módosított ei</v>
      </c>
      <c r="E592">
        <f>'906MP'!X292</f>
        <v>-40000</v>
      </c>
      <c r="F592" t="str">
        <f t="shared" si="181"/>
        <v>05</v>
      </c>
      <c r="G592" t="str">
        <f t="shared" si="182"/>
        <v>053</v>
      </c>
      <c r="H592" t="str">
        <f>'906MP'!Y292</f>
        <v>053511</v>
      </c>
      <c r="I592" t="str">
        <f>'906MP'!AK292</f>
        <v>2025/MEI-731113/32</v>
      </c>
      <c r="J592" t="str">
        <f>'906MP'!T292</f>
        <v>(KÖT)</v>
      </c>
      <c r="K592" t="str">
        <f>'906MP'!AJ292</f>
        <v/>
      </c>
      <c r="L592" t="str">
        <f>'906MP'!U292</f>
        <v>11100</v>
      </c>
      <c r="M592" s="322" t="str">
        <f>IFERROR(VLOOKUP(A592,PAR!$D$3:$E$53,2,FALSE),"nincs szervezet")</f>
        <v>Nagymaros Város Önkormányzata</v>
      </c>
      <c r="N592" s="322" t="str">
        <f>VLOOKUP(F592,PAR!$R$3:$S$5,2,FALSE)</f>
        <v>2 - Kiadás</v>
      </c>
      <c r="O592" t="str">
        <f>IFERROR(VLOOKUP(J592,PAR!$O$3:$P$5,2,FALSE),"nincs feladat")</f>
        <v>1 - (KÖT)</v>
      </c>
      <c r="P592" t="str">
        <f>IFERROR(VLOOKUP(G592,PAR!$J$2:$M$19,4),"nincs rovat")</f>
        <v>K3 - Dologi kiadások</v>
      </c>
      <c r="Q592" t="str">
        <f>IF(H592&gt;0,VLOOKUP(H592,PAR!$AA$3:$AC$187,3,FALSE),"nincs főkönyvi számla")</f>
        <v>053511 -  Működési célú előzetesen felszámított általános forgalmi adó előirányzata</v>
      </c>
      <c r="R592" t="str">
        <f>IFERROR(VLOOKUP(K592,PAR!$V$3:$X$438,3,FALSE),"000000 - Nincs COFOG")</f>
        <v>000000 - Nincs COFOG</v>
      </c>
      <c r="S592">
        <f t="shared" si="183"/>
        <v>-40000</v>
      </c>
      <c r="T592">
        <f t="shared" si="184"/>
        <v>-40000</v>
      </c>
      <c r="U592" t="str">
        <f>IF('906MP'!J292&gt;0,CONCATENATE('906MP'!J292," - ",'906MP'!P292,", ",'906MP'!E292),"nincs megjegyzés")</f>
        <v>2025-03-01 - módosított ei, 2025/MEI-731113/32</v>
      </c>
      <c r="V592" t="str">
        <f t="shared" si="171"/>
        <v>60P731113053</v>
      </c>
      <c r="W592" t="str">
        <f t="shared" si="172"/>
        <v>60P73111305</v>
      </c>
      <c r="X592" t="str">
        <f t="shared" si="173"/>
        <v>P731113053511</v>
      </c>
      <c r="Y592" t="str">
        <f t="shared" si="174"/>
        <v>60053511</v>
      </c>
      <c r="Z592" t="str">
        <f t="shared" si="185"/>
        <v>(KÖT)053511</v>
      </c>
      <c r="AA592" t="str">
        <f t="shared" si="175"/>
        <v>60053</v>
      </c>
      <c r="AB592" t="str">
        <f t="shared" si="176"/>
        <v>(KÖT)053</v>
      </c>
      <c r="AC592" t="str">
        <f t="shared" si="177"/>
        <v>60P731113053511</v>
      </c>
      <c r="AD592" t="str">
        <f t="shared" si="178"/>
        <v>P731113053511(KÖT)</v>
      </c>
      <c r="AE592" t="str">
        <f t="shared" si="179"/>
        <v>60P731113053</v>
      </c>
      <c r="AF592" t="str">
        <f t="shared" si="180"/>
        <v>P731113053(KÖT)</v>
      </c>
      <c r="AG592" t="str">
        <f t="shared" si="186"/>
        <v>60P73111305351111100</v>
      </c>
      <c r="AH592" t="str">
        <f t="shared" si="187"/>
        <v>P731113(KÖT)05351111100</v>
      </c>
      <c r="AI592" t="str">
        <f t="shared" si="188"/>
        <v>60P73111305311100</v>
      </c>
      <c r="AJ592" t="str">
        <f t="shared" si="189"/>
        <v>P731113053(KÖT)11100</v>
      </c>
    </row>
    <row r="593" spans="1:36" x14ac:dyDescent="0.25">
      <c r="A593" s="325" t="str">
        <f>CONCATENATE("P",'906MP'!M293)</f>
        <v>P654427</v>
      </c>
      <c r="B593">
        <f>'906MP'!H293</f>
        <v>60</v>
      </c>
      <c r="C593" t="str">
        <f>'906MP'!J293</f>
        <v>2025-01-01</v>
      </c>
      <c r="D593" t="str">
        <f>'906MP'!P293</f>
        <v>módosított ei</v>
      </c>
      <c r="E593">
        <f>'906MP'!X293</f>
        <v>87191</v>
      </c>
      <c r="F593" t="str">
        <f t="shared" si="181"/>
        <v>05</v>
      </c>
      <c r="G593" t="str">
        <f t="shared" si="182"/>
        <v>051</v>
      </c>
      <c r="H593" t="str">
        <f>'906MP'!Y293</f>
        <v>0511131</v>
      </c>
      <c r="I593" t="str">
        <f>'906MP'!AK293</f>
        <v>2025/MEI-654427/10</v>
      </c>
      <c r="J593" t="str">
        <f>'906MP'!T293</f>
        <v>(KÖT)</v>
      </c>
      <c r="K593" t="str">
        <f>'906MP'!AJ293</f>
        <v/>
      </c>
      <c r="L593" t="str">
        <f>'906MP'!U293</f>
        <v>13100</v>
      </c>
      <c r="M593" s="322" t="str">
        <f>IFERROR(VLOOKUP(A593,PAR!$D$3:$E$53,2,FALSE),"nincs szervezet")</f>
        <v>Nagymarosi Napköziotthonos Óvoda és Bölcsőde</v>
      </c>
      <c r="N593" s="322" t="str">
        <f>VLOOKUP(F593,PAR!$R$3:$S$5,2,FALSE)</f>
        <v>2 - Kiadás</v>
      </c>
      <c r="O593" t="str">
        <f>IFERROR(VLOOKUP(J593,PAR!$O$3:$P$5,2,FALSE),"nincs feladat")</f>
        <v>1 - (KÖT)</v>
      </c>
      <c r="P593" t="str">
        <f>IFERROR(VLOOKUP(G593,PAR!$J$2:$M$19,4),"nincs rovat")</f>
        <v>K1 - Személyi juttatások</v>
      </c>
      <c r="Q593" t="str">
        <f>IF(H593&gt;0,VLOOKUP(H593,PAR!$AA$3:$AC$187,3,FALSE),"nincs főkönyvi számla")</f>
        <v>0511131 -  Foglalkoztatottak egyéb személyi juttatásai előirányzata</v>
      </c>
      <c r="R593" t="str">
        <f>IFERROR(VLOOKUP(K593,PAR!$V$3:$X$438,3,FALSE),"000000 - Nincs COFOG")</f>
        <v>000000 - Nincs COFOG</v>
      </c>
      <c r="S593">
        <f t="shared" si="183"/>
        <v>87191</v>
      </c>
      <c r="T593">
        <f t="shared" si="184"/>
        <v>87191</v>
      </c>
      <c r="U593" t="str">
        <f>IF('906MP'!J293&gt;0,CONCATENATE('906MP'!J293," - ",'906MP'!P293,", ",'906MP'!E293),"nincs megjegyzés")</f>
        <v>2025-01-01 - módosított ei, 2025/MEI-654427/10</v>
      </c>
      <c r="V593" t="str">
        <f t="shared" si="171"/>
        <v>60P654427051</v>
      </c>
      <c r="W593" t="str">
        <f t="shared" si="172"/>
        <v>60P65442705</v>
      </c>
      <c r="X593" t="str">
        <f t="shared" si="173"/>
        <v>P6544270511131</v>
      </c>
      <c r="Y593" t="str">
        <f t="shared" si="174"/>
        <v>600511131</v>
      </c>
      <c r="Z593" t="str">
        <f t="shared" si="185"/>
        <v>(KÖT)0511131</v>
      </c>
      <c r="AA593" t="str">
        <f t="shared" si="175"/>
        <v>60051</v>
      </c>
      <c r="AB593" t="str">
        <f t="shared" si="176"/>
        <v>(KÖT)051</v>
      </c>
      <c r="AC593" t="str">
        <f t="shared" si="177"/>
        <v>60P6544270511131</v>
      </c>
      <c r="AD593" t="str">
        <f t="shared" si="178"/>
        <v>P6544270511131(KÖT)</v>
      </c>
      <c r="AE593" t="str">
        <f t="shared" si="179"/>
        <v>60P654427051</v>
      </c>
      <c r="AF593" t="str">
        <f t="shared" si="180"/>
        <v>P654427051(KÖT)</v>
      </c>
      <c r="AG593" t="str">
        <f t="shared" si="186"/>
        <v>60P654427051113113100</v>
      </c>
      <c r="AH593" t="str">
        <f t="shared" si="187"/>
        <v>P654427(KÖT)051113113100</v>
      </c>
      <c r="AI593" t="str">
        <f t="shared" si="188"/>
        <v>60P65442705113100</v>
      </c>
      <c r="AJ593" t="str">
        <f t="shared" si="189"/>
        <v>P654427051(KÖT)13100</v>
      </c>
    </row>
    <row r="594" spans="1:36" x14ac:dyDescent="0.25">
      <c r="A594" s="325" t="str">
        <f>CONCATENATE("P",'906MP'!M294)</f>
        <v>P654427</v>
      </c>
      <c r="B594">
        <f>'906MP'!H294</f>
        <v>60</v>
      </c>
      <c r="C594" t="str">
        <f>'906MP'!J294</f>
        <v>2025-01-01</v>
      </c>
      <c r="D594" t="str">
        <f>'906MP'!P294</f>
        <v>módosított ei</v>
      </c>
      <c r="E594">
        <f>'906MP'!X294</f>
        <v>-87191</v>
      </c>
      <c r="F594" t="str">
        <f t="shared" si="181"/>
        <v>05</v>
      </c>
      <c r="G594" t="str">
        <f t="shared" si="182"/>
        <v>051</v>
      </c>
      <c r="H594" t="str">
        <f>'906MP'!Y294</f>
        <v>0511011</v>
      </c>
      <c r="I594" t="str">
        <f>'906MP'!AK294</f>
        <v>2025/MEI-654427/10</v>
      </c>
      <c r="J594" t="str">
        <f>'906MP'!T294</f>
        <v>(KÖT)</v>
      </c>
      <c r="K594" t="str">
        <f>'906MP'!AJ294</f>
        <v/>
      </c>
      <c r="L594" t="str">
        <f>'906MP'!U294</f>
        <v>13100</v>
      </c>
      <c r="M594" s="322" t="str">
        <f>IFERROR(VLOOKUP(A594,PAR!$D$3:$E$53,2,FALSE),"nincs szervezet")</f>
        <v>Nagymarosi Napköziotthonos Óvoda és Bölcsőde</v>
      </c>
      <c r="N594" s="322" t="str">
        <f>VLOOKUP(F594,PAR!$R$3:$S$5,2,FALSE)</f>
        <v>2 - Kiadás</v>
      </c>
      <c r="O594" t="str">
        <f>IFERROR(VLOOKUP(J594,PAR!$O$3:$P$5,2,FALSE),"nincs feladat")</f>
        <v>1 - (KÖT)</v>
      </c>
      <c r="P594" t="str">
        <f>IFERROR(VLOOKUP(G594,PAR!$J$2:$M$19,4),"nincs rovat")</f>
        <v>K1 - Személyi juttatások</v>
      </c>
      <c r="Q594" t="str">
        <f>IF(H594&gt;0,VLOOKUP(H594,PAR!$AA$3:$AC$187,3,FALSE),"nincs főkönyvi számla")</f>
        <v>0511011 -  Törvény szerinti illetmények, munkabérek előirányzata</v>
      </c>
      <c r="R594" t="str">
        <f>IFERROR(VLOOKUP(K594,PAR!$V$3:$X$438,3,FALSE),"000000 - Nincs COFOG")</f>
        <v>000000 - Nincs COFOG</v>
      </c>
      <c r="S594">
        <f t="shared" si="183"/>
        <v>-87191</v>
      </c>
      <c r="T594">
        <f t="shared" si="184"/>
        <v>-87191</v>
      </c>
      <c r="U594" t="str">
        <f>IF('906MP'!J294&gt;0,CONCATENATE('906MP'!J294," - ",'906MP'!P294,", ",'906MP'!E294),"nincs megjegyzés")</f>
        <v>2025-01-01 - módosított ei, 2025/MEI-654427/10</v>
      </c>
      <c r="V594" t="str">
        <f t="shared" si="171"/>
        <v>60P654427051</v>
      </c>
      <c r="W594" t="str">
        <f t="shared" si="172"/>
        <v>60P65442705</v>
      </c>
      <c r="X594" t="str">
        <f t="shared" si="173"/>
        <v>P6544270511011</v>
      </c>
      <c r="Y594" t="str">
        <f t="shared" si="174"/>
        <v>600511011</v>
      </c>
      <c r="Z594" t="str">
        <f t="shared" si="185"/>
        <v>(KÖT)0511011</v>
      </c>
      <c r="AA594" t="str">
        <f t="shared" si="175"/>
        <v>60051</v>
      </c>
      <c r="AB594" t="str">
        <f t="shared" si="176"/>
        <v>(KÖT)051</v>
      </c>
      <c r="AC594" t="str">
        <f t="shared" si="177"/>
        <v>60P6544270511011</v>
      </c>
      <c r="AD594" t="str">
        <f t="shared" si="178"/>
        <v>P6544270511011(KÖT)</v>
      </c>
      <c r="AE594" t="str">
        <f t="shared" si="179"/>
        <v>60P654427051</v>
      </c>
      <c r="AF594" t="str">
        <f t="shared" si="180"/>
        <v>P654427051(KÖT)</v>
      </c>
      <c r="AG594" t="str">
        <f t="shared" si="186"/>
        <v>60P654427051101113100</v>
      </c>
      <c r="AH594" t="str">
        <f t="shared" si="187"/>
        <v>P654427(KÖT)051101113100</v>
      </c>
      <c r="AI594" t="str">
        <f t="shared" si="188"/>
        <v>60P65442705113100</v>
      </c>
      <c r="AJ594" t="str">
        <f t="shared" si="189"/>
        <v>P654427051(KÖT)13100</v>
      </c>
    </row>
    <row r="595" spans="1:36" x14ac:dyDescent="0.25">
      <c r="A595" s="325" t="str">
        <f>CONCATENATE("P",'906MP'!M295)</f>
        <v>P731113</v>
      </c>
      <c r="B595">
        <f>'906MP'!H295</f>
        <v>60</v>
      </c>
      <c r="C595" t="str">
        <f>'906MP'!J295</f>
        <v>2025-03-31</v>
      </c>
      <c r="D595" t="str">
        <f>'906MP'!P295</f>
        <v>módosított ei</v>
      </c>
      <c r="E595">
        <f>'906MP'!X295</f>
        <v>-6604345</v>
      </c>
      <c r="F595" t="str">
        <f t="shared" si="181"/>
        <v>09</v>
      </c>
      <c r="G595" t="str">
        <f t="shared" si="182"/>
        <v>091</v>
      </c>
      <c r="H595" t="str">
        <f>'906MP'!Y295</f>
        <v>091111</v>
      </c>
      <c r="I595" t="str">
        <f>'906MP'!AK295</f>
        <v>2025/MEI-731113/33</v>
      </c>
      <c r="J595" t="str">
        <f>'906MP'!T295</f>
        <v>(KÖT)</v>
      </c>
      <c r="K595" t="str">
        <f>'906MP'!AJ295</f>
        <v/>
      </c>
      <c r="L595" t="str">
        <f>'906MP'!U295</f>
        <v>91100</v>
      </c>
      <c r="M595" s="322" t="str">
        <f>IFERROR(VLOOKUP(A595,PAR!$D$3:$E$53,2,FALSE),"nincs szervezet")</f>
        <v>Nagymaros Város Önkormányzata</v>
      </c>
      <c r="N595" s="322" t="str">
        <f>VLOOKUP(F595,PAR!$R$3:$S$5,2,FALSE)</f>
        <v>1 - Bevétel</v>
      </c>
      <c r="O595" t="str">
        <f>IFERROR(VLOOKUP(J595,PAR!$O$3:$P$5,2,FALSE),"nincs feladat")</f>
        <v>1 - (KÖT)</v>
      </c>
      <c r="P595" t="str">
        <f>IFERROR(VLOOKUP(G595,PAR!$J$2:$M$19,4),"nincs rovat")</f>
        <v>B1 - Működési célú támogatások államháztartáson belülről</v>
      </c>
      <c r="Q595" t="str">
        <f>IF(H595&gt;0,VLOOKUP(H595,PAR!$AA$3:$AC$187,3,FALSE),"nincs főkönyvi számla")</f>
        <v>091111 -  Helyi önkormányzatok működésének általános támogatása előirányzata</v>
      </c>
      <c r="R595" t="str">
        <f>IFERROR(VLOOKUP(K595,PAR!$V$3:$X$438,3,FALSE),"000000 - Nincs COFOG")</f>
        <v>000000 - Nincs COFOG</v>
      </c>
      <c r="S595">
        <f t="shared" si="183"/>
        <v>-6604345</v>
      </c>
      <c r="T595">
        <f t="shared" si="184"/>
        <v>6604345</v>
      </c>
      <c r="U595" t="str">
        <f>IF('906MP'!J295&gt;0,CONCATENATE('906MP'!J295," - ",'906MP'!P295,", ",'906MP'!E295),"nincs megjegyzés")</f>
        <v>2025-03-31 - módosított ei, 2025/MEI-731113/33</v>
      </c>
      <c r="V595" t="str">
        <f t="shared" si="171"/>
        <v>60P731113091</v>
      </c>
      <c r="W595" t="str">
        <f t="shared" si="172"/>
        <v>60P73111309</v>
      </c>
      <c r="X595" t="str">
        <f t="shared" si="173"/>
        <v>P731113091111</v>
      </c>
      <c r="Y595" t="str">
        <f t="shared" si="174"/>
        <v>60091111</v>
      </c>
      <c r="Z595" t="str">
        <f t="shared" si="185"/>
        <v>(KÖT)091111</v>
      </c>
      <c r="AA595" t="str">
        <f t="shared" si="175"/>
        <v>60091</v>
      </c>
      <c r="AB595" t="str">
        <f t="shared" si="176"/>
        <v>(KÖT)091</v>
      </c>
      <c r="AC595" t="str">
        <f t="shared" si="177"/>
        <v>60P731113091111</v>
      </c>
      <c r="AD595" t="str">
        <f t="shared" si="178"/>
        <v>P731113091111(KÖT)</v>
      </c>
      <c r="AE595" t="str">
        <f t="shared" si="179"/>
        <v>60P731113091</v>
      </c>
      <c r="AF595" t="str">
        <f t="shared" si="180"/>
        <v>P731113091(KÖT)</v>
      </c>
      <c r="AG595" t="str">
        <f t="shared" si="186"/>
        <v>60P73111309111191100</v>
      </c>
      <c r="AH595" t="str">
        <f t="shared" si="187"/>
        <v>P731113(KÖT)09111191100</v>
      </c>
      <c r="AI595" t="str">
        <f t="shared" si="188"/>
        <v>60P73111309191100</v>
      </c>
      <c r="AJ595" t="str">
        <f t="shared" si="189"/>
        <v>P731113091(KÖT)91100</v>
      </c>
    </row>
    <row r="596" spans="1:36" x14ac:dyDescent="0.25">
      <c r="A596" s="325" t="str">
        <f>CONCATENATE("P",'906MP'!M296)</f>
        <v>P731113</v>
      </c>
      <c r="B596">
        <f>'906MP'!H296</f>
        <v>60</v>
      </c>
      <c r="C596" t="str">
        <f>'906MP'!J296</f>
        <v>2025-03-31</v>
      </c>
      <c r="D596" t="str">
        <f>'906MP'!P296</f>
        <v>módosított ei</v>
      </c>
      <c r="E596">
        <f>'906MP'!X296</f>
        <v>-3395608</v>
      </c>
      <c r="F596" t="str">
        <f t="shared" si="181"/>
        <v>09</v>
      </c>
      <c r="G596" t="str">
        <f t="shared" si="182"/>
        <v>091</v>
      </c>
      <c r="H596" t="str">
        <f>'906MP'!Y296</f>
        <v>0911311</v>
      </c>
      <c r="I596" t="str">
        <f>'906MP'!AK296</f>
        <v>2025/MEI-731113/33</v>
      </c>
      <c r="J596" t="str">
        <f>'906MP'!T296</f>
        <v>(KÖT)</v>
      </c>
      <c r="K596" t="str">
        <f>'906MP'!AJ296</f>
        <v/>
      </c>
      <c r="L596" t="str">
        <f>'906MP'!U296</f>
        <v>91100</v>
      </c>
      <c r="M596" s="322" t="str">
        <f>IFERROR(VLOOKUP(A596,PAR!$D$3:$E$53,2,FALSE),"nincs szervezet")</f>
        <v>Nagymaros Város Önkormányzata</v>
      </c>
      <c r="N596" s="322" t="str">
        <f>VLOOKUP(F596,PAR!$R$3:$S$5,2,FALSE)</f>
        <v>1 - Bevétel</v>
      </c>
      <c r="O596" t="str">
        <f>IFERROR(VLOOKUP(J596,PAR!$O$3:$P$5,2,FALSE),"nincs feladat")</f>
        <v>1 - (KÖT)</v>
      </c>
      <c r="P596" t="str">
        <f>IFERROR(VLOOKUP(G596,PAR!$J$2:$M$19,4),"nincs rovat")</f>
        <v>B1 - Működési célú támogatások államháztartáson belülről</v>
      </c>
      <c r="Q596" t="str">
        <f>IF(H596&gt;0,VLOOKUP(H596,PAR!$AA$3:$AC$187,3,FALSE),"nincs főkönyvi számla")</f>
        <v>0911311 -  Települési önkormányzatok egyes szociális és gyermekjóléti feladatainak támogatása előirányzata</v>
      </c>
      <c r="R596" t="str">
        <f>IFERROR(VLOOKUP(K596,PAR!$V$3:$X$438,3,FALSE),"000000 - Nincs COFOG")</f>
        <v>000000 - Nincs COFOG</v>
      </c>
      <c r="S596">
        <f t="shared" si="183"/>
        <v>-3395608</v>
      </c>
      <c r="T596">
        <f t="shared" si="184"/>
        <v>3395608</v>
      </c>
      <c r="U596" t="str">
        <f>IF('906MP'!J296&gt;0,CONCATENATE('906MP'!J296," - ",'906MP'!P296,", ",'906MP'!E296),"nincs megjegyzés")</f>
        <v>2025-03-31 - módosított ei, 2025/MEI-731113/33</v>
      </c>
      <c r="V596" t="str">
        <f t="shared" si="171"/>
        <v>60P731113091</v>
      </c>
      <c r="W596" t="str">
        <f t="shared" si="172"/>
        <v>60P73111309</v>
      </c>
      <c r="X596" t="str">
        <f t="shared" si="173"/>
        <v>P7311130911311</v>
      </c>
      <c r="Y596" t="str">
        <f t="shared" si="174"/>
        <v>600911311</v>
      </c>
      <c r="Z596" t="str">
        <f t="shared" si="185"/>
        <v>(KÖT)0911311</v>
      </c>
      <c r="AA596" t="str">
        <f t="shared" si="175"/>
        <v>60091</v>
      </c>
      <c r="AB596" t="str">
        <f t="shared" si="176"/>
        <v>(KÖT)091</v>
      </c>
      <c r="AC596" t="str">
        <f t="shared" si="177"/>
        <v>60P7311130911311</v>
      </c>
      <c r="AD596" t="str">
        <f t="shared" si="178"/>
        <v>P7311130911311(KÖT)</v>
      </c>
      <c r="AE596" t="str">
        <f t="shared" si="179"/>
        <v>60P731113091</v>
      </c>
      <c r="AF596" t="str">
        <f t="shared" si="180"/>
        <v>P731113091(KÖT)</v>
      </c>
      <c r="AG596" t="str">
        <f t="shared" si="186"/>
        <v>60P731113091131191100</v>
      </c>
      <c r="AH596" t="str">
        <f t="shared" si="187"/>
        <v>P731113(KÖT)091131191100</v>
      </c>
      <c r="AI596" t="str">
        <f t="shared" si="188"/>
        <v>60P73111309191100</v>
      </c>
      <c r="AJ596" t="str">
        <f t="shared" si="189"/>
        <v>P731113091(KÖT)91100</v>
      </c>
    </row>
    <row r="597" spans="1:36" x14ac:dyDescent="0.25">
      <c r="A597" s="325" t="str">
        <f>CONCATENATE("P",'906MP'!M297)</f>
        <v>P731113</v>
      </c>
      <c r="B597">
        <f>'906MP'!H297</f>
        <v>60</v>
      </c>
      <c r="C597" t="str">
        <f>'906MP'!J297</f>
        <v>2025-03-31</v>
      </c>
      <c r="D597" t="str">
        <f>'906MP'!P297</f>
        <v>módosított ei</v>
      </c>
      <c r="E597">
        <f>'906MP'!X297</f>
        <v>9999953</v>
      </c>
      <c r="F597" t="str">
        <f t="shared" si="181"/>
        <v>05</v>
      </c>
      <c r="G597" t="str">
        <f t="shared" si="182"/>
        <v>055</v>
      </c>
      <c r="H597" t="str">
        <f>'906MP'!Y297</f>
        <v>055131</v>
      </c>
      <c r="I597" t="str">
        <f>'906MP'!AK297</f>
        <v>2025/MEI-731113/33</v>
      </c>
      <c r="J597" t="str">
        <f>'906MP'!T297</f>
        <v>(KÖT)</v>
      </c>
      <c r="K597" t="str">
        <f>'906MP'!AJ297</f>
        <v/>
      </c>
      <c r="L597" t="str">
        <f>'906MP'!U297</f>
        <v>11100</v>
      </c>
      <c r="M597" s="322" t="str">
        <f>IFERROR(VLOOKUP(A597,PAR!$D$3:$E$53,2,FALSE),"nincs szervezet")</f>
        <v>Nagymaros Város Önkormányzata</v>
      </c>
      <c r="N597" s="322" t="str">
        <f>VLOOKUP(F597,PAR!$R$3:$S$5,2,FALSE)</f>
        <v>2 - Kiadás</v>
      </c>
      <c r="O597" t="str">
        <f>IFERROR(VLOOKUP(J597,PAR!$O$3:$P$5,2,FALSE),"nincs feladat")</f>
        <v>1 - (KÖT)</v>
      </c>
      <c r="P597" t="str">
        <f>IFERROR(VLOOKUP(G597,PAR!$J$2:$M$19,4),"nincs rovat")</f>
        <v>K5 - Egyéb működési célú kiadások</v>
      </c>
      <c r="Q597" t="str">
        <f>IF(H597&gt;0,VLOOKUP(H597,PAR!$AA$3:$AC$187,3,FALSE),"nincs főkönyvi számla")</f>
        <v>055131 -  Tartalékok előirányzata</v>
      </c>
      <c r="R597" t="str">
        <f>IFERROR(VLOOKUP(K597,PAR!$V$3:$X$438,3,FALSE),"000000 - Nincs COFOG")</f>
        <v>000000 - Nincs COFOG</v>
      </c>
      <c r="S597">
        <f t="shared" si="183"/>
        <v>9999953</v>
      </c>
      <c r="T597">
        <f t="shared" si="184"/>
        <v>9999953</v>
      </c>
      <c r="U597" t="str">
        <f>IF('906MP'!J297&gt;0,CONCATENATE('906MP'!J297," - ",'906MP'!P297,", ",'906MP'!E297),"nincs megjegyzés")</f>
        <v>2025-03-31 - módosított ei, 2025/MEI-731113/33</v>
      </c>
      <c r="V597" t="str">
        <f t="shared" si="171"/>
        <v>60P731113055</v>
      </c>
      <c r="W597" t="str">
        <f t="shared" si="172"/>
        <v>60P73111305</v>
      </c>
      <c r="X597" t="str">
        <f t="shared" si="173"/>
        <v>P731113055131</v>
      </c>
      <c r="Y597" t="str">
        <f t="shared" si="174"/>
        <v>60055131</v>
      </c>
      <c r="Z597" t="str">
        <f t="shared" si="185"/>
        <v>(KÖT)055131</v>
      </c>
      <c r="AA597" t="str">
        <f t="shared" si="175"/>
        <v>60055</v>
      </c>
      <c r="AB597" t="str">
        <f t="shared" si="176"/>
        <v>(KÖT)055</v>
      </c>
      <c r="AC597" t="str">
        <f t="shared" si="177"/>
        <v>60P731113055131</v>
      </c>
      <c r="AD597" t="str">
        <f t="shared" si="178"/>
        <v>P731113055131(KÖT)</v>
      </c>
      <c r="AE597" t="str">
        <f t="shared" si="179"/>
        <v>60P731113055</v>
      </c>
      <c r="AF597" t="str">
        <f t="shared" si="180"/>
        <v>P731113055(KÖT)</v>
      </c>
      <c r="AG597" t="str">
        <f t="shared" si="186"/>
        <v>60P73111305513111100</v>
      </c>
      <c r="AH597" t="str">
        <f t="shared" si="187"/>
        <v>P731113(KÖT)05513111100</v>
      </c>
      <c r="AI597" t="str">
        <f t="shared" si="188"/>
        <v>60P73111305511100</v>
      </c>
      <c r="AJ597" t="str">
        <f t="shared" si="189"/>
        <v>P731113055(KÖT)11100</v>
      </c>
    </row>
    <row r="598" spans="1:36" x14ac:dyDescent="0.25">
      <c r="A598" s="325" t="str">
        <f>CONCATENATE("P",'906MP'!M298)</f>
        <v>P731113</v>
      </c>
      <c r="B598">
        <f>'906MP'!H298</f>
        <v>60</v>
      </c>
      <c r="C598" t="str">
        <f>'906MP'!J298</f>
        <v>2025-04-17</v>
      </c>
      <c r="D598" t="str">
        <f>'906MP'!P298</f>
        <v>módosított ei</v>
      </c>
      <c r="E598">
        <f>'906MP'!X298</f>
        <v>-34529963</v>
      </c>
      <c r="F598" t="str">
        <f t="shared" si="181"/>
        <v>09</v>
      </c>
      <c r="G598" t="str">
        <f t="shared" si="182"/>
        <v>092</v>
      </c>
      <c r="H598" t="str">
        <f>'906MP'!Y298</f>
        <v>09251</v>
      </c>
      <c r="I598" t="str">
        <f>'906MP'!AK298</f>
        <v>2025/MEI-731113/34</v>
      </c>
      <c r="J598" t="str">
        <f>'906MP'!T298</f>
        <v>(KÖT)</v>
      </c>
      <c r="K598" t="str">
        <f>'906MP'!AJ298</f>
        <v/>
      </c>
      <c r="L598" t="str">
        <f>'906MP'!U298</f>
        <v>91100</v>
      </c>
      <c r="M598" s="322" t="str">
        <f>IFERROR(VLOOKUP(A598,PAR!$D$3:$E$53,2,FALSE),"nincs szervezet")</f>
        <v>Nagymaros Város Önkormányzata</v>
      </c>
      <c r="N598" s="322" t="str">
        <f>VLOOKUP(F598,PAR!$R$3:$S$5,2,FALSE)</f>
        <v>1 - Bevétel</v>
      </c>
      <c r="O598" t="str">
        <f>IFERROR(VLOOKUP(J598,PAR!$O$3:$P$5,2,FALSE),"nincs feladat")</f>
        <v>1 - (KÖT)</v>
      </c>
      <c r="P598" t="str">
        <f>IFERROR(VLOOKUP(G598,PAR!$J$2:$M$19,4),"nincs rovat")</f>
        <v>B2 - Felhalmozási célú támogatások államháztartáson belülről</v>
      </c>
      <c r="Q598" t="str">
        <f>IF(H598&gt;0,VLOOKUP(H598,PAR!$AA$3:$AC$187,3,FALSE),"nincs főkönyvi számla")</f>
        <v>09251 -  Egyéb felhalmozási célú támogatások bevételei államháztartáson belülről előirányzata</v>
      </c>
      <c r="R598" t="str">
        <f>IFERROR(VLOOKUP(K598,PAR!$V$3:$X$438,3,FALSE),"000000 - Nincs COFOG")</f>
        <v>000000 - Nincs COFOG</v>
      </c>
      <c r="S598">
        <f t="shared" si="183"/>
        <v>-34529963</v>
      </c>
      <c r="T598">
        <f t="shared" si="184"/>
        <v>34529963</v>
      </c>
      <c r="U598" t="str">
        <f>IF('906MP'!J298&gt;0,CONCATENATE('906MP'!J298," - ",'906MP'!P298,", ",'906MP'!E298),"nincs megjegyzés")</f>
        <v>2025-04-17 - módosított ei, 2025/MEI-731113/34</v>
      </c>
      <c r="V598" t="str">
        <f t="shared" si="171"/>
        <v>60P731113092</v>
      </c>
      <c r="W598" t="str">
        <f t="shared" si="172"/>
        <v>60P73111309</v>
      </c>
      <c r="X598" t="str">
        <f t="shared" si="173"/>
        <v>P73111309251</v>
      </c>
      <c r="Y598" t="str">
        <f t="shared" si="174"/>
        <v>6009251</v>
      </c>
      <c r="Z598" t="str">
        <f t="shared" si="185"/>
        <v>(KÖT)09251</v>
      </c>
      <c r="AA598" t="str">
        <f t="shared" si="175"/>
        <v>60092</v>
      </c>
      <c r="AB598" t="str">
        <f t="shared" si="176"/>
        <v>(KÖT)092</v>
      </c>
      <c r="AC598" t="str">
        <f t="shared" si="177"/>
        <v>60P73111309251</v>
      </c>
      <c r="AD598" t="str">
        <f t="shared" si="178"/>
        <v>P73111309251(KÖT)</v>
      </c>
      <c r="AE598" t="str">
        <f t="shared" si="179"/>
        <v>60P731113092</v>
      </c>
      <c r="AF598" t="str">
        <f t="shared" si="180"/>
        <v>P731113092(KÖT)</v>
      </c>
      <c r="AG598" t="str">
        <f t="shared" si="186"/>
        <v>60P7311130925191100</v>
      </c>
      <c r="AH598" t="str">
        <f t="shared" si="187"/>
        <v>P731113(KÖT)0925191100</v>
      </c>
      <c r="AI598" t="str">
        <f t="shared" si="188"/>
        <v>60P73111309291100</v>
      </c>
      <c r="AJ598" t="str">
        <f t="shared" si="189"/>
        <v>P731113092(KÖT)91100</v>
      </c>
    </row>
    <row r="599" spans="1:36" x14ac:dyDescent="0.25">
      <c r="A599" s="325" t="str">
        <f>CONCATENATE("P",'906MP'!M299)</f>
        <v>P731113</v>
      </c>
      <c r="B599">
        <f>'906MP'!H299</f>
        <v>60</v>
      </c>
      <c r="C599" t="str">
        <f>'906MP'!J299</f>
        <v>2025-04-17</v>
      </c>
      <c r="D599" t="str">
        <f>'906MP'!P299</f>
        <v>módosított ei</v>
      </c>
      <c r="E599">
        <f>'906MP'!X299</f>
        <v>34529963</v>
      </c>
      <c r="F599" t="str">
        <f t="shared" si="181"/>
        <v>09</v>
      </c>
      <c r="G599" t="str">
        <f t="shared" si="182"/>
        <v>092</v>
      </c>
      <c r="H599" t="str">
        <f>'906MP'!Y299</f>
        <v>09211</v>
      </c>
      <c r="I599" t="str">
        <f>'906MP'!AK299</f>
        <v>2025/MEI-731113/34</v>
      </c>
      <c r="J599" t="str">
        <f>'906MP'!T299</f>
        <v>(KÖT)</v>
      </c>
      <c r="K599" t="str">
        <f>'906MP'!AJ299</f>
        <v/>
      </c>
      <c r="L599" t="str">
        <f>'906MP'!U299</f>
        <v>91100</v>
      </c>
      <c r="M599" s="322" t="str">
        <f>IFERROR(VLOOKUP(A599,PAR!$D$3:$E$53,2,FALSE),"nincs szervezet")</f>
        <v>Nagymaros Város Önkormányzata</v>
      </c>
      <c r="N599" s="322" t="str">
        <f>VLOOKUP(F599,PAR!$R$3:$S$5,2,FALSE)</f>
        <v>1 - Bevétel</v>
      </c>
      <c r="O599" t="str">
        <f>IFERROR(VLOOKUP(J599,PAR!$O$3:$P$5,2,FALSE),"nincs feladat")</f>
        <v>1 - (KÖT)</v>
      </c>
      <c r="P599" t="str">
        <f>IFERROR(VLOOKUP(G599,PAR!$J$2:$M$19,4),"nincs rovat")</f>
        <v>B2 - Felhalmozási célú támogatások államháztartáson belülről</v>
      </c>
      <c r="Q599" t="str">
        <f>IF(H599&gt;0,VLOOKUP(H599,PAR!$AA$3:$AC$187,3,FALSE),"nincs főkönyvi számla")</f>
        <v>09211 -  Felhalmozási célú önkormányzati támogatások előirányzata</v>
      </c>
      <c r="R599" t="str">
        <f>IFERROR(VLOOKUP(K599,PAR!$V$3:$X$438,3,FALSE),"000000 - Nincs COFOG")</f>
        <v>000000 - Nincs COFOG</v>
      </c>
      <c r="S599">
        <f t="shared" si="183"/>
        <v>34529963</v>
      </c>
      <c r="T599">
        <f t="shared" si="184"/>
        <v>-34529963</v>
      </c>
      <c r="U599" t="str">
        <f>IF('906MP'!J299&gt;0,CONCATENATE('906MP'!J299," - ",'906MP'!P299,", ",'906MP'!E299),"nincs megjegyzés")</f>
        <v>2025-04-17 - módosított ei, 2025/MEI-731113/34</v>
      </c>
      <c r="V599" t="str">
        <f t="shared" si="171"/>
        <v>60P731113092</v>
      </c>
      <c r="W599" t="str">
        <f t="shared" si="172"/>
        <v>60P73111309</v>
      </c>
      <c r="X599" t="str">
        <f t="shared" si="173"/>
        <v>P73111309211</v>
      </c>
      <c r="Y599" t="str">
        <f t="shared" si="174"/>
        <v>6009211</v>
      </c>
      <c r="Z599" t="str">
        <f t="shared" si="185"/>
        <v>(KÖT)09211</v>
      </c>
      <c r="AA599" t="str">
        <f t="shared" si="175"/>
        <v>60092</v>
      </c>
      <c r="AB599" t="str">
        <f t="shared" si="176"/>
        <v>(KÖT)092</v>
      </c>
      <c r="AC599" t="str">
        <f t="shared" si="177"/>
        <v>60P73111309211</v>
      </c>
      <c r="AD599" t="str">
        <f t="shared" si="178"/>
        <v>P73111309211(KÖT)</v>
      </c>
      <c r="AE599" t="str">
        <f t="shared" si="179"/>
        <v>60P731113092</v>
      </c>
      <c r="AF599" t="str">
        <f t="shared" si="180"/>
        <v>P731113092(KÖT)</v>
      </c>
      <c r="AG599" t="str">
        <f t="shared" si="186"/>
        <v>60P7311130921191100</v>
      </c>
      <c r="AH599" t="str">
        <f t="shared" si="187"/>
        <v>P731113(KÖT)0921191100</v>
      </c>
      <c r="AI599" t="str">
        <f t="shared" si="188"/>
        <v>60P73111309291100</v>
      </c>
      <c r="AJ599" t="str">
        <f t="shared" si="189"/>
        <v>P731113092(KÖT)91100</v>
      </c>
    </row>
    <row r="600" spans="1:36" x14ac:dyDescent="0.25">
      <c r="A600" s="325" t="str">
        <f>CONCATENATE("P",'906MP'!M300)</f>
        <v>P654449</v>
      </c>
      <c r="B600">
        <f>'906MP'!H300</f>
        <v>60</v>
      </c>
      <c r="C600" t="str">
        <f>'906MP'!J300</f>
        <v>2025-05-01</v>
      </c>
      <c r="D600" t="str">
        <f>'906MP'!P300</f>
        <v>módosított ei</v>
      </c>
      <c r="E600">
        <f>'906MP'!X300</f>
        <v>4450</v>
      </c>
      <c r="F600" t="str">
        <f t="shared" si="181"/>
        <v>05</v>
      </c>
      <c r="G600" t="str">
        <f t="shared" si="182"/>
        <v>051</v>
      </c>
      <c r="H600" t="str">
        <f>'906MP'!Y300</f>
        <v>0511131</v>
      </c>
      <c r="I600" t="str">
        <f>'906MP'!AK300</f>
        <v>2025/MEI-654449/6</v>
      </c>
      <c r="J600" t="str">
        <f>'906MP'!T300</f>
        <v>(ÖNV)</v>
      </c>
      <c r="K600" t="str">
        <f>'906MP'!AJ300</f>
        <v/>
      </c>
      <c r="L600" t="str">
        <f>'906MP'!U300</f>
        <v>15100</v>
      </c>
      <c r="M600" s="322" t="str">
        <f>IFERROR(VLOOKUP(A600,PAR!$D$3:$E$53,2,FALSE),"nincs szervezet")</f>
        <v>Gondozási Központ</v>
      </c>
      <c r="N600" s="322" t="str">
        <f>VLOOKUP(F600,PAR!$R$3:$S$5,2,FALSE)</f>
        <v>2 - Kiadás</v>
      </c>
      <c r="O600" t="str">
        <f>IFERROR(VLOOKUP(J600,PAR!$O$3:$P$5,2,FALSE),"nincs feladat")</f>
        <v>2 - (ÖNV)</v>
      </c>
      <c r="P600" t="str">
        <f>IFERROR(VLOOKUP(G600,PAR!$J$2:$M$19,4),"nincs rovat")</f>
        <v>K1 - Személyi juttatások</v>
      </c>
      <c r="Q600" t="str">
        <f>IF(H600&gt;0,VLOOKUP(H600,PAR!$AA$3:$AC$187,3,FALSE),"nincs főkönyvi számla")</f>
        <v>0511131 -  Foglalkoztatottak egyéb személyi juttatásai előirányzata</v>
      </c>
      <c r="R600" t="str">
        <f>IFERROR(VLOOKUP(K600,PAR!$V$3:$X$438,3,FALSE),"000000 - Nincs COFOG")</f>
        <v>000000 - Nincs COFOG</v>
      </c>
      <c r="S600">
        <f t="shared" si="183"/>
        <v>4450</v>
      </c>
      <c r="T600">
        <f t="shared" si="184"/>
        <v>4450</v>
      </c>
      <c r="U600" t="str">
        <f>IF('906MP'!J300&gt;0,CONCATENATE('906MP'!J300," - ",'906MP'!P300,", ",'906MP'!E300),"nincs megjegyzés")</f>
        <v>2025-05-01 - módosított ei, 2025/MEI-654449/6</v>
      </c>
      <c r="V600" t="str">
        <f t="shared" si="171"/>
        <v>60P654449051</v>
      </c>
      <c r="W600" t="str">
        <f t="shared" si="172"/>
        <v>60P65444905</v>
      </c>
      <c r="X600" t="str">
        <f t="shared" si="173"/>
        <v>P6544490511131</v>
      </c>
      <c r="Y600" t="str">
        <f t="shared" si="174"/>
        <v>600511131</v>
      </c>
      <c r="Z600" t="str">
        <f t="shared" si="185"/>
        <v>(ÖNV)0511131</v>
      </c>
      <c r="AA600" t="str">
        <f t="shared" si="175"/>
        <v>60051</v>
      </c>
      <c r="AB600" t="str">
        <f t="shared" si="176"/>
        <v>(ÖNV)051</v>
      </c>
      <c r="AC600" t="str">
        <f t="shared" si="177"/>
        <v>60P6544490511131</v>
      </c>
      <c r="AD600" t="str">
        <f t="shared" si="178"/>
        <v>P6544490511131(ÖNV)</v>
      </c>
      <c r="AE600" t="str">
        <f t="shared" si="179"/>
        <v>60P654449051</v>
      </c>
      <c r="AF600" t="str">
        <f t="shared" si="180"/>
        <v>P654449051(ÖNV)</v>
      </c>
      <c r="AG600" t="str">
        <f t="shared" si="186"/>
        <v>60P654449051113115100</v>
      </c>
      <c r="AH600" t="str">
        <f t="shared" si="187"/>
        <v>P654449(ÖNV)051113115100</v>
      </c>
      <c r="AI600" t="str">
        <f t="shared" si="188"/>
        <v>60P65444905115100</v>
      </c>
      <c r="AJ600" t="str">
        <f t="shared" si="189"/>
        <v>P654449051(ÖNV)15100</v>
      </c>
    </row>
    <row r="601" spans="1:36" x14ac:dyDescent="0.25">
      <c r="A601" s="325" t="str">
        <f>CONCATENATE("P",'906MP'!M301)</f>
        <v>P654449</v>
      </c>
      <c r="B601">
        <f>'906MP'!H301</f>
        <v>60</v>
      </c>
      <c r="C601" t="str">
        <f>'906MP'!J301</f>
        <v>2025-05-01</v>
      </c>
      <c r="D601" t="str">
        <f>'906MP'!P301</f>
        <v>módosított ei</v>
      </c>
      <c r="E601">
        <f>'906MP'!X301</f>
        <v>-4450</v>
      </c>
      <c r="F601" t="str">
        <f t="shared" si="181"/>
        <v>05</v>
      </c>
      <c r="G601" t="str">
        <f t="shared" si="182"/>
        <v>051</v>
      </c>
      <c r="H601" t="str">
        <f>'906MP'!Y301</f>
        <v>0511011</v>
      </c>
      <c r="I601" t="str">
        <f>'906MP'!AK301</f>
        <v>2025/MEI-654449/6</v>
      </c>
      <c r="J601" t="str">
        <f>'906MP'!T301</f>
        <v>(ÖNV)</v>
      </c>
      <c r="K601" t="str">
        <f>'906MP'!AJ301</f>
        <v/>
      </c>
      <c r="L601" t="str">
        <f>'906MP'!U301</f>
        <v>15100</v>
      </c>
      <c r="M601" s="322" t="str">
        <f>IFERROR(VLOOKUP(A601,PAR!$D$3:$E$53,2,FALSE),"nincs szervezet")</f>
        <v>Gondozási Központ</v>
      </c>
      <c r="N601" s="322" t="str">
        <f>VLOOKUP(F601,PAR!$R$3:$S$5,2,FALSE)</f>
        <v>2 - Kiadás</v>
      </c>
      <c r="O601" t="str">
        <f>IFERROR(VLOOKUP(J601,PAR!$O$3:$P$5,2,FALSE),"nincs feladat")</f>
        <v>2 - (ÖNV)</v>
      </c>
      <c r="P601" t="str">
        <f>IFERROR(VLOOKUP(G601,PAR!$J$2:$M$19,4),"nincs rovat")</f>
        <v>K1 - Személyi juttatások</v>
      </c>
      <c r="Q601" t="str">
        <f>IF(H601&gt;0,VLOOKUP(H601,PAR!$AA$3:$AC$187,3,FALSE),"nincs főkönyvi számla")</f>
        <v>0511011 -  Törvény szerinti illetmények, munkabérek előirányzata</v>
      </c>
      <c r="R601" t="str">
        <f>IFERROR(VLOOKUP(K601,PAR!$V$3:$X$438,3,FALSE),"000000 - Nincs COFOG")</f>
        <v>000000 - Nincs COFOG</v>
      </c>
      <c r="S601">
        <f t="shared" si="183"/>
        <v>-4450</v>
      </c>
      <c r="T601">
        <f t="shared" si="184"/>
        <v>-4450</v>
      </c>
      <c r="U601" t="str">
        <f>IF('906MP'!J301&gt;0,CONCATENATE('906MP'!J301," - ",'906MP'!P301,", ",'906MP'!E301),"nincs megjegyzés")</f>
        <v>2025-05-01 - módosított ei, 2025/MEI-654449/6</v>
      </c>
      <c r="V601" t="str">
        <f t="shared" si="171"/>
        <v>60P654449051</v>
      </c>
      <c r="W601" t="str">
        <f t="shared" si="172"/>
        <v>60P65444905</v>
      </c>
      <c r="X601" t="str">
        <f t="shared" si="173"/>
        <v>P6544490511011</v>
      </c>
      <c r="Y601" t="str">
        <f t="shared" si="174"/>
        <v>600511011</v>
      </c>
      <c r="Z601" t="str">
        <f t="shared" si="185"/>
        <v>(ÖNV)0511011</v>
      </c>
      <c r="AA601" t="str">
        <f t="shared" si="175"/>
        <v>60051</v>
      </c>
      <c r="AB601" t="str">
        <f t="shared" si="176"/>
        <v>(ÖNV)051</v>
      </c>
      <c r="AC601" t="str">
        <f t="shared" si="177"/>
        <v>60P6544490511011</v>
      </c>
      <c r="AD601" t="str">
        <f t="shared" si="178"/>
        <v>P6544490511011(ÖNV)</v>
      </c>
      <c r="AE601" t="str">
        <f t="shared" si="179"/>
        <v>60P654449051</v>
      </c>
      <c r="AF601" t="str">
        <f t="shared" si="180"/>
        <v>P654449051(ÖNV)</v>
      </c>
      <c r="AG601" t="str">
        <f t="shared" si="186"/>
        <v>60P654449051101115100</v>
      </c>
      <c r="AH601" t="str">
        <f t="shared" si="187"/>
        <v>P654449(ÖNV)051101115100</v>
      </c>
      <c r="AI601" t="str">
        <f t="shared" si="188"/>
        <v>60P65444905115100</v>
      </c>
      <c r="AJ601" t="str">
        <f t="shared" si="189"/>
        <v>P654449051(ÖNV)15100</v>
      </c>
    </row>
    <row r="602" spans="1:36" x14ac:dyDescent="0.25">
      <c r="A602" s="325" t="str">
        <f>CONCATENATE("P",'906MP'!M302)</f>
        <v>P731113</v>
      </c>
      <c r="B602">
        <f>'906MP'!H302</f>
        <v>60</v>
      </c>
      <c r="C602" t="str">
        <f>'906MP'!J302</f>
        <v>2025-05-01</v>
      </c>
      <c r="D602" t="str">
        <f>'906MP'!P302</f>
        <v>módosított ei</v>
      </c>
      <c r="E602">
        <f>'906MP'!X302</f>
        <v>18010</v>
      </c>
      <c r="F602" t="str">
        <f t="shared" si="181"/>
        <v>05</v>
      </c>
      <c r="G602" t="str">
        <f t="shared" si="182"/>
        <v>051</v>
      </c>
      <c r="H602" t="str">
        <f>'906MP'!Y302</f>
        <v>0511131</v>
      </c>
      <c r="I602" t="str">
        <f>'906MP'!AK302</f>
        <v>2025/MEI-731113/35</v>
      </c>
      <c r="J602" t="str">
        <f>'906MP'!T302</f>
        <v>(KÖT)</v>
      </c>
      <c r="K602" t="str">
        <f>'906MP'!AJ302</f>
        <v/>
      </c>
      <c r="L602" t="str">
        <f>'906MP'!U302</f>
        <v>11100</v>
      </c>
      <c r="M602" s="322" t="str">
        <f>IFERROR(VLOOKUP(A602,PAR!$D$3:$E$53,2,FALSE),"nincs szervezet")</f>
        <v>Nagymaros Város Önkormányzata</v>
      </c>
      <c r="N602" s="322" t="str">
        <f>VLOOKUP(F602,PAR!$R$3:$S$5,2,FALSE)</f>
        <v>2 - Kiadás</v>
      </c>
      <c r="O602" t="str">
        <f>IFERROR(VLOOKUP(J602,PAR!$O$3:$P$5,2,FALSE),"nincs feladat")</f>
        <v>1 - (KÖT)</v>
      </c>
      <c r="P602" t="str">
        <f>IFERROR(VLOOKUP(G602,PAR!$J$2:$M$19,4),"nincs rovat")</f>
        <v>K1 - Személyi juttatások</v>
      </c>
      <c r="Q602" t="str">
        <f>IF(H602&gt;0,VLOOKUP(H602,PAR!$AA$3:$AC$187,3,FALSE),"nincs főkönyvi számla")</f>
        <v>0511131 -  Foglalkoztatottak egyéb személyi juttatásai előirányzata</v>
      </c>
      <c r="R602" t="str">
        <f>IFERROR(VLOOKUP(K602,PAR!$V$3:$X$438,3,FALSE),"000000 - Nincs COFOG")</f>
        <v>000000 - Nincs COFOG</v>
      </c>
      <c r="S602">
        <f t="shared" si="183"/>
        <v>18010</v>
      </c>
      <c r="T602">
        <f t="shared" si="184"/>
        <v>18010</v>
      </c>
      <c r="U602" t="str">
        <f>IF('906MP'!J302&gt;0,CONCATENATE('906MP'!J302," - ",'906MP'!P302,", ",'906MP'!E302),"nincs megjegyzés")</f>
        <v>2025-05-01 - módosított ei, 2025/MEI-731113/35</v>
      </c>
      <c r="V602" t="str">
        <f t="shared" si="171"/>
        <v>60P731113051</v>
      </c>
      <c r="W602" t="str">
        <f t="shared" si="172"/>
        <v>60P73111305</v>
      </c>
      <c r="X602" t="str">
        <f t="shared" si="173"/>
        <v>P7311130511131</v>
      </c>
      <c r="Y602" t="str">
        <f t="shared" si="174"/>
        <v>600511131</v>
      </c>
      <c r="Z602" t="str">
        <f t="shared" si="185"/>
        <v>(KÖT)0511131</v>
      </c>
      <c r="AA602" t="str">
        <f t="shared" si="175"/>
        <v>60051</v>
      </c>
      <c r="AB602" t="str">
        <f t="shared" si="176"/>
        <v>(KÖT)051</v>
      </c>
      <c r="AC602" t="str">
        <f t="shared" si="177"/>
        <v>60P7311130511131</v>
      </c>
      <c r="AD602" t="str">
        <f t="shared" si="178"/>
        <v>P7311130511131(KÖT)</v>
      </c>
      <c r="AE602" t="str">
        <f t="shared" si="179"/>
        <v>60P731113051</v>
      </c>
      <c r="AF602" t="str">
        <f t="shared" si="180"/>
        <v>P731113051(KÖT)</v>
      </c>
      <c r="AG602" t="str">
        <f t="shared" si="186"/>
        <v>60P731113051113111100</v>
      </c>
      <c r="AH602" t="str">
        <f t="shared" si="187"/>
        <v>P731113(KÖT)051113111100</v>
      </c>
      <c r="AI602" t="str">
        <f t="shared" si="188"/>
        <v>60P73111305111100</v>
      </c>
      <c r="AJ602" t="str">
        <f t="shared" si="189"/>
        <v>P731113051(KÖT)11100</v>
      </c>
    </row>
    <row r="603" spans="1:36" x14ac:dyDescent="0.25">
      <c r="A603" s="325" t="str">
        <f>CONCATENATE("P",'906MP'!M303)</f>
        <v>P731113</v>
      </c>
      <c r="B603">
        <f>'906MP'!H303</f>
        <v>60</v>
      </c>
      <c r="C603" t="str">
        <f>'906MP'!J303</f>
        <v>2025-05-01</v>
      </c>
      <c r="D603" t="str">
        <f>'906MP'!P303</f>
        <v>módosított ei</v>
      </c>
      <c r="E603">
        <f>'906MP'!X303</f>
        <v>-18010</v>
      </c>
      <c r="F603" t="str">
        <f t="shared" si="181"/>
        <v>05</v>
      </c>
      <c r="G603" t="str">
        <f t="shared" si="182"/>
        <v>051</v>
      </c>
      <c r="H603" t="str">
        <f>'906MP'!Y303</f>
        <v>0511011</v>
      </c>
      <c r="I603" t="str">
        <f>'906MP'!AK303</f>
        <v>2025/MEI-731113/35</v>
      </c>
      <c r="J603" t="str">
        <f>'906MP'!T303</f>
        <v>(KÖT)</v>
      </c>
      <c r="K603" t="str">
        <f>'906MP'!AJ303</f>
        <v/>
      </c>
      <c r="L603" t="str">
        <f>'906MP'!U303</f>
        <v>11100</v>
      </c>
      <c r="M603" s="322" t="str">
        <f>IFERROR(VLOOKUP(A603,PAR!$D$3:$E$53,2,FALSE),"nincs szervezet")</f>
        <v>Nagymaros Város Önkormányzata</v>
      </c>
      <c r="N603" s="322" t="str">
        <f>VLOOKUP(F603,PAR!$R$3:$S$5,2,FALSE)</f>
        <v>2 - Kiadás</v>
      </c>
      <c r="O603" t="str">
        <f>IFERROR(VLOOKUP(J603,PAR!$O$3:$P$5,2,FALSE),"nincs feladat")</f>
        <v>1 - (KÖT)</v>
      </c>
      <c r="P603" t="str">
        <f>IFERROR(VLOOKUP(G603,PAR!$J$2:$M$19,4),"nincs rovat")</f>
        <v>K1 - Személyi juttatások</v>
      </c>
      <c r="Q603" t="str">
        <f>IF(H603&gt;0,VLOOKUP(H603,PAR!$AA$3:$AC$187,3,FALSE),"nincs főkönyvi számla")</f>
        <v>0511011 -  Törvény szerinti illetmények, munkabérek előirányzata</v>
      </c>
      <c r="R603" t="str">
        <f>IFERROR(VLOOKUP(K603,PAR!$V$3:$X$438,3,FALSE),"000000 - Nincs COFOG")</f>
        <v>000000 - Nincs COFOG</v>
      </c>
      <c r="S603">
        <f t="shared" si="183"/>
        <v>-18010</v>
      </c>
      <c r="T603">
        <f t="shared" si="184"/>
        <v>-18010</v>
      </c>
      <c r="U603" t="str">
        <f>IF('906MP'!J303&gt;0,CONCATENATE('906MP'!J303," - ",'906MP'!P303,", ",'906MP'!E303),"nincs megjegyzés")</f>
        <v>2025-05-01 - módosított ei, 2025/MEI-731113/35</v>
      </c>
      <c r="V603" t="str">
        <f t="shared" si="171"/>
        <v>60P731113051</v>
      </c>
      <c r="W603" t="str">
        <f t="shared" si="172"/>
        <v>60P73111305</v>
      </c>
      <c r="X603" t="str">
        <f t="shared" si="173"/>
        <v>P7311130511011</v>
      </c>
      <c r="Y603" t="str">
        <f t="shared" si="174"/>
        <v>600511011</v>
      </c>
      <c r="Z603" t="str">
        <f t="shared" si="185"/>
        <v>(KÖT)0511011</v>
      </c>
      <c r="AA603" t="str">
        <f t="shared" si="175"/>
        <v>60051</v>
      </c>
      <c r="AB603" t="str">
        <f t="shared" si="176"/>
        <v>(KÖT)051</v>
      </c>
      <c r="AC603" t="str">
        <f t="shared" si="177"/>
        <v>60P7311130511011</v>
      </c>
      <c r="AD603" t="str">
        <f t="shared" si="178"/>
        <v>P7311130511011(KÖT)</v>
      </c>
      <c r="AE603" t="str">
        <f t="shared" si="179"/>
        <v>60P731113051</v>
      </c>
      <c r="AF603" t="str">
        <f t="shared" si="180"/>
        <v>P731113051(KÖT)</v>
      </c>
      <c r="AG603" t="str">
        <f t="shared" si="186"/>
        <v>60P731113051101111100</v>
      </c>
      <c r="AH603" t="str">
        <f t="shared" si="187"/>
        <v>P731113(KÖT)051101111100</v>
      </c>
      <c r="AI603" t="str">
        <f t="shared" si="188"/>
        <v>60P73111305111100</v>
      </c>
      <c r="AJ603" t="str">
        <f t="shared" si="189"/>
        <v>P731113051(KÖT)11100</v>
      </c>
    </row>
    <row r="604" spans="1:36" x14ac:dyDescent="0.25">
      <c r="A604" s="325" t="str">
        <f>CONCATENATE("P",'906MP'!M304)</f>
        <v>P731113</v>
      </c>
      <c r="B604">
        <f>'906MP'!H304</f>
        <v>60</v>
      </c>
      <c r="C604" t="str">
        <f>'906MP'!J304</f>
        <v>2025-06-01</v>
      </c>
      <c r="D604" t="str">
        <f>'906MP'!P304</f>
        <v>módosított ei</v>
      </c>
      <c r="E604">
        <f>'906MP'!X304</f>
        <v>5718</v>
      </c>
      <c r="F604" t="str">
        <f t="shared" si="181"/>
        <v>05</v>
      </c>
      <c r="G604" t="str">
        <f t="shared" si="182"/>
        <v>053</v>
      </c>
      <c r="H604" t="str">
        <f>'906MP'!Y304</f>
        <v>053551</v>
      </c>
      <c r="I604" t="str">
        <f>'906MP'!AK304</f>
        <v>2025/MEI-731113/56</v>
      </c>
      <c r="J604" t="str">
        <f>'906MP'!T304</f>
        <v>(KÖT)</v>
      </c>
      <c r="K604" t="str">
        <f>'906MP'!AJ304</f>
        <v/>
      </c>
      <c r="L604" t="str">
        <f>'906MP'!U304</f>
        <v>11100</v>
      </c>
      <c r="M604" s="322" t="str">
        <f>IFERROR(VLOOKUP(A604,PAR!$D$3:$E$53,2,FALSE),"nincs szervezet")</f>
        <v>Nagymaros Város Önkormányzata</v>
      </c>
      <c r="N604" s="322" t="str">
        <f>VLOOKUP(F604,PAR!$R$3:$S$5,2,FALSE)</f>
        <v>2 - Kiadás</v>
      </c>
      <c r="O604" t="str">
        <f>IFERROR(VLOOKUP(J604,PAR!$O$3:$P$5,2,FALSE),"nincs feladat")</f>
        <v>1 - (KÖT)</v>
      </c>
      <c r="P604" t="str">
        <f>IFERROR(VLOOKUP(G604,PAR!$J$2:$M$19,4),"nincs rovat")</f>
        <v>K3 - Dologi kiadások</v>
      </c>
      <c r="Q604" t="str">
        <f>IF(H604&gt;0,VLOOKUP(H604,PAR!$AA$3:$AC$187,3,FALSE),"nincs főkönyvi számla")</f>
        <v>053551 -  Egyéb dologi kiadások előirányzata</v>
      </c>
      <c r="R604" t="str">
        <f>IFERROR(VLOOKUP(K604,PAR!$V$3:$X$438,3,FALSE),"000000 - Nincs COFOG")</f>
        <v>000000 - Nincs COFOG</v>
      </c>
      <c r="S604">
        <f t="shared" si="183"/>
        <v>5718</v>
      </c>
      <c r="T604">
        <f t="shared" si="184"/>
        <v>5718</v>
      </c>
      <c r="U604" t="str">
        <f>IF('906MP'!J304&gt;0,CONCATENATE('906MP'!J304," - ",'906MP'!P304,", ",'906MP'!E304),"nincs megjegyzés")</f>
        <v>2025-06-01 - módosított ei, 2025/MEI-731113/56</v>
      </c>
      <c r="V604" t="str">
        <f t="shared" si="171"/>
        <v>60P731113053</v>
      </c>
      <c r="W604" t="str">
        <f t="shared" si="172"/>
        <v>60P73111305</v>
      </c>
      <c r="X604" t="str">
        <f t="shared" si="173"/>
        <v>P731113053551</v>
      </c>
      <c r="Y604" t="str">
        <f t="shared" si="174"/>
        <v>60053551</v>
      </c>
      <c r="Z604" t="str">
        <f t="shared" si="185"/>
        <v>(KÖT)053551</v>
      </c>
      <c r="AA604" t="str">
        <f t="shared" si="175"/>
        <v>60053</v>
      </c>
      <c r="AB604" t="str">
        <f t="shared" si="176"/>
        <v>(KÖT)053</v>
      </c>
      <c r="AC604" t="str">
        <f t="shared" si="177"/>
        <v>60P731113053551</v>
      </c>
      <c r="AD604" t="str">
        <f t="shared" si="178"/>
        <v>P731113053551(KÖT)</v>
      </c>
      <c r="AE604" t="str">
        <f t="shared" si="179"/>
        <v>60P731113053</v>
      </c>
      <c r="AF604" t="str">
        <f t="shared" si="180"/>
        <v>P731113053(KÖT)</v>
      </c>
      <c r="AG604" t="str">
        <f t="shared" si="186"/>
        <v>60P73111305355111100</v>
      </c>
      <c r="AH604" t="str">
        <f t="shared" si="187"/>
        <v>P731113(KÖT)05355111100</v>
      </c>
      <c r="AI604" t="str">
        <f t="shared" si="188"/>
        <v>60P73111305311100</v>
      </c>
      <c r="AJ604" t="str">
        <f t="shared" si="189"/>
        <v>P731113053(KÖT)11100</v>
      </c>
    </row>
    <row r="605" spans="1:36" x14ac:dyDescent="0.25">
      <c r="A605" s="325" t="str">
        <f>CONCATENATE("P",'906MP'!M305)</f>
        <v>P731113</v>
      </c>
      <c r="B605">
        <f>'906MP'!H305</f>
        <v>60</v>
      </c>
      <c r="C605" t="str">
        <f>'906MP'!J305</f>
        <v>2025-06-01</v>
      </c>
      <c r="D605" t="str">
        <f>'906MP'!P305</f>
        <v>módosított ei</v>
      </c>
      <c r="E605">
        <f>'906MP'!X305</f>
        <v>-5718</v>
      </c>
      <c r="F605" t="str">
        <f t="shared" si="181"/>
        <v>05</v>
      </c>
      <c r="G605" t="str">
        <f t="shared" si="182"/>
        <v>053</v>
      </c>
      <c r="H605" t="str">
        <f>'906MP'!Y305</f>
        <v>053371</v>
      </c>
      <c r="I605" t="str">
        <f>'906MP'!AK305</f>
        <v>2025/MEI-731113/56</v>
      </c>
      <c r="J605" t="str">
        <f>'906MP'!T305</f>
        <v>(KÖT)</v>
      </c>
      <c r="K605" t="str">
        <f>'906MP'!AJ305</f>
        <v/>
      </c>
      <c r="L605" t="str">
        <f>'906MP'!U305</f>
        <v>11100</v>
      </c>
      <c r="M605" s="322" t="str">
        <f>IFERROR(VLOOKUP(A605,PAR!$D$3:$E$53,2,FALSE),"nincs szervezet")</f>
        <v>Nagymaros Város Önkormányzata</v>
      </c>
      <c r="N605" s="322" t="str">
        <f>VLOOKUP(F605,PAR!$R$3:$S$5,2,FALSE)</f>
        <v>2 - Kiadás</v>
      </c>
      <c r="O605" t="str">
        <f>IFERROR(VLOOKUP(J605,PAR!$O$3:$P$5,2,FALSE),"nincs feladat")</f>
        <v>1 - (KÖT)</v>
      </c>
      <c r="P605" t="str">
        <f>IFERROR(VLOOKUP(G605,PAR!$J$2:$M$19,4),"nincs rovat")</f>
        <v>K3 - Dologi kiadások</v>
      </c>
      <c r="Q605" t="str">
        <f>IF(H605&gt;0,VLOOKUP(H605,PAR!$AA$3:$AC$187,3,FALSE),"nincs főkönyvi számla")</f>
        <v>053371 -  Egyéb szolgáltatások előirányzata</v>
      </c>
      <c r="R605" t="str">
        <f>IFERROR(VLOOKUP(K605,PAR!$V$3:$X$438,3,FALSE),"000000 - Nincs COFOG")</f>
        <v>000000 - Nincs COFOG</v>
      </c>
      <c r="S605">
        <f t="shared" si="183"/>
        <v>-5718</v>
      </c>
      <c r="T605">
        <f t="shared" si="184"/>
        <v>-5718</v>
      </c>
      <c r="U605" t="str">
        <f>IF('906MP'!J305&gt;0,CONCATENATE('906MP'!J305," - ",'906MP'!P305,", ",'906MP'!E305),"nincs megjegyzés")</f>
        <v>2025-06-01 - módosított ei, 2025/MEI-731113/56</v>
      </c>
      <c r="V605" t="str">
        <f t="shared" si="171"/>
        <v>60P731113053</v>
      </c>
      <c r="W605" t="str">
        <f t="shared" si="172"/>
        <v>60P73111305</v>
      </c>
      <c r="X605" t="str">
        <f t="shared" si="173"/>
        <v>P731113053371</v>
      </c>
      <c r="Y605" t="str">
        <f t="shared" si="174"/>
        <v>60053371</v>
      </c>
      <c r="Z605" t="str">
        <f t="shared" si="185"/>
        <v>(KÖT)053371</v>
      </c>
      <c r="AA605" t="str">
        <f t="shared" si="175"/>
        <v>60053</v>
      </c>
      <c r="AB605" t="str">
        <f t="shared" si="176"/>
        <v>(KÖT)053</v>
      </c>
      <c r="AC605" t="str">
        <f t="shared" si="177"/>
        <v>60P731113053371</v>
      </c>
      <c r="AD605" t="str">
        <f t="shared" si="178"/>
        <v>P731113053371(KÖT)</v>
      </c>
      <c r="AE605" t="str">
        <f t="shared" si="179"/>
        <v>60P731113053</v>
      </c>
      <c r="AF605" t="str">
        <f t="shared" si="180"/>
        <v>P731113053(KÖT)</v>
      </c>
      <c r="AG605" t="str">
        <f t="shared" si="186"/>
        <v>60P73111305337111100</v>
      </c>
      <c r="AH605" t="str">
        <f t="shared" si="187"/>
        <v>P731113(KÖT)05337111100</v>
      </c>
      <c r="AI605" t="str">
        <f t="shared" si="188"/>
        <v>60P73111305311100</v>
      </c>
      <c r="AJ605" t="str">
        <f t="shared" si="189"/>
        <v>P731113053(KÖT)11100</v>
      </c>
    </row>
    <row r="606" spans="1:36" x14ac:dyDescent="0.25">
      <c r="A606" s="325" t="str">
        <f>CONCATENATE("P",'906MP'!M306)</f>
        <v>P731113</v>
      </c>
      <c r="B606">
        <f>'906MP'!H306</f>
        <v>60</v>
      </c>
      <c r="C606" t="str">
        <f>'906MP'!J306</f>
        <v>2025-06-01</v>
      </c>
      <c r="D606" t="str">
        <f>'906MP'!P306</f>
        <v>módosított ei</v>
      </c>
      <c r="E606">
        <f>'906MP'!X306</f>
        <v>97000</v>
      </c>
      <c r="F606" t="str">
        <f t="shared" si="181"/>
        <v>05</v>
      </c>
      <c r="G606" t="str">
        <f t="shared" si="182"/>
        <v>053</v>
      </c>
      <c r="H606" t="str">
        <f>'906MP'!Y306</f>
        <v>053551</v>
      </c>
      <c r="I606" t="str">
        <f>'906MP'!AK306</f>
        <v>2025/MEI-731113/55</v>
      </c>
      <c r="J606" t="str">
        <f>'906MP'!T306</f>
        <v>(KÖT)</v>
      </c>
      <c r="K606" t="str">
        <f>'906MP'!AJ306</f>
        <v/>
      </c>
      <c r="L606" t="str">
        <f>'906MP'!U306</f>
        <v>11100</v>
      </c>
      <c r="M606" s="322" t="str">
        <f>IFERROR(VLOOKUP(A606,PAR!$D$3:$E$53,2,FALSE),"nincs szervezet")</f>
        <v>Nagymaros Város Önkormányzata</v>
      </c>
      <c r="N606" s="322" t="str">
        <f>VLOOKUP(F606,PAR!$R$3:$S$5,2,FALSE)</f>
        <v>2 - Kiadás</v>
      </c>
      <c r="O606" t="str">
        <f>IFERROR(VLOOKUP(J606,PAR!$O$3:$P$5,2,FALSE),"nincs feladat")</f>
        <v>1 - (KÖT)</v>
      </c>
      <c r="P606" t="str">
        <f>IFERROR(VLOOKUP(G606,PAR!$J$2:$M$19,4),"nincs rovat")</f>
        <v>K3 - Dologi kiadások</v>
      </c>
      <c r="Q606" t="str">
        <f>IF(H606&gt;0,VLOOKUP(H606,PAR!$AA$3:$AC$187,3,FALSE),"nincs főkönyvi számla")</f>
        <v>053551 -  Egyéb dologi kiadások előirányzata</v>
      </c>
      <c r="R606" t="str">
        <f>IFERROR(VLOOKUP(K606,PAR!$V$3:$X$438,3,FALSE),"000000 - Nincs COFOG")</f>
        <v>000000 - Nincs COFOG</v>
      </c>
      <c r="S606">
        <f t="shared" si="183"/>
        <v>97000</v>
      </c>
      <c r="T606">
        <f t="shared" si="184"/>
        <v>97000</v>
      </c>
      <c r="U606" t="str">
        <f>IF('906MP'!J306&gt;0,CONCATENATE('906MP'!J306," - ",'906MP'!P306,", ",'906MP'!E306),"nincs megjegyzés")</f>
        <v>2025-06-01 - módosított ei, 2025/MEI-731113/55</v>
      </c>
      <c r="V606" t="str">
        <f t="shared" si="171"/>
        <v>60P731113053</v>
      </c>
      <c r="W606" t="str">
        <f t="shared" si="172"/>
        <v>60P73111305</v>
      </c>
      <c r="X606" t="str">
        <f t="shared" si="173"/>
        <v>P731113053551</v>
      </c>
      <c r="Y606" t="str">
        <f t="shared" si="174"/>
        <v>60053551</v>
      </c>
      <c r="Z606" t="str">
        <f t="shared" si="185"/>
        <v>(KÖT)053551</v>
      </c>
      <c r="AA606" t="str">
        <f t="shared" si="175"/>
        <v>60053</v>
      </c>
      <c r="AB606" t="str">
        <f t="shared" si="176"/>
        <v>(KÖT)053</v>
      </c>
      <c r="AC606" t="str">
        <f t="shared" si="177"/>
        <v>60P731113053551</v>
      </c>
      <c r="AD606" t="str">
        <f t="shared" si="178"/>
        <v>P731113053551(KÖT)</v>
      </c>
      <c r="AE606" t="str">
        <f t="shared" si="179"/>
        <v>60P731113053</v>
      </c>
      <c r="AF606" t="str">
        <f t="shared" si="180"/>
        <v>P731113053(KÖT)</v>
      </c>
      <c r="AG606" t="str">
        <f t="shared" si="186"/>
        <v>60P73111305355111100</v>
      </c>
      <c r="AH606" t="str">
        <f t="shared" si="187"/>
        <v>P731113(KÖT)05355111100</v>
      </c>
      <c r="AI606" t="str">
        <f t="shared" si="188"/>
        <v>60P73111305311100</v>
      </c>
      <c r="AJ606" t="str">
        <f t="shared" si="189"/>
        <v>P731113053(KÖT)11100</v>
      </c>
    </row>
    <row r="607" spans="1:36" x14ac:dyDescent="0.25">
      <c r="A607" s="325" t="str">
        <f>CONCATENATE("P",'906MP'!M307)</f>
        <v>P731113</v>
      </c>
      <c r="B607">
        <f>'906MP'!H307</f>
        <v>60</v>
      </c>
      <c r="C607" t="str">
        <f>'906MP'!J307</f>
        <v>2025-06-01</v>
      </c>
      <c r="D607" t="str">
        <f>'906MP'!P307</f>
        <v>módosított ei</v>
      </c>
      <c r="E607">
        <f>'906MP'!X307</f>
        <v>-97000</v>
      </c>
      <c r="F607" t="str">
        <f t="shared" si="181"/>
        <v>05</v>
      </c>
      <c r="G607" t="str">
        <f t="shared" si="182"/>
        <v>053</v>
      </c>
      <c r="H607" t="str">
        <f>'906MP'!Y307</f>
        <v>053371</v>
      </c>
      <c r="I607" t="str">
        <f>'906MP'!AK307</f>
        <v>2025/MEI-731113/55</v>
      </c>
      <c r="J607" t="str">
        <f>'906MP'!T307</f>
        <v>(KÖT)</v>
      </c>
      <c r="K607" t="str">
        <f>'906MP'!AJ307</f>
        <v/>
      </c>
      <c r="L607" t="str">
        <f>'906MP'!U307</f>
        <v>11100</v>
      </c>
      <c r="M607" s="322" t="str">
        <f>IFERROR(VLOOKUP(A607,PAR!$D$3:$E$53,2,FALSE),"nincs szervezet")</f>
        <v>Nagymaros Város Önkormányzata</v>
      </c>
      <c r="N607" s="322" t="str">
        <f>VLOOKUP(F607,PAR!$R$3:$S$5,2,FALSE)</f>
        <v>2 - Kiadás</v>
      </c>
      <c r="O607" t="str">
        <f>IFERROR(VLOOKUP(J607,PAR!$O$3:$P$5,2,FALSE),"nincs feladat")</f>
        <v>1 - (KÖT)</v>
      </c>
      <c r="P607" t="str">
        <f>IFERROR(VLOOKUP(G607,PAR!$J$2:$M$19,4),"nincs rovat")</f>
        <v>K3 - Dologi kiadások</v>
      </c>
      <c r="Q607" t="str">
        <f>IF(H607&gt;0,VLOOKUP(H607,PAR!$AA$3:$AC$187,3,FALSE),"nincs főkönyvi számla")</f>
        <v>053371 -  Egyéb szolgáltatások előirányzata</v>
      </c>
      <c r="R607" t="str">
        <f>IFERROR(VLOOKUP(K607,PAR!$V$3:$X$438,3,FALSE),"000000 - Nincs COFOG")</f>
        <v>000000 - Nincs COFOG</v>
      </c>
      <c r="S607">
        <f t="shared" si="183"/>
        <v>-97000</v>
      </c>
      <c r="T607">
        <f t="shared" si="184"/>
        <v>-97000</v>
      </c>
      <c r="U607" t="str">
        <f>IF('906MP'!J307&gt;0,CONCATENATE('906MP'!J307," - ",'906MP'!P307,", ",'906MP'!E307),"nincs megjegyzés")</f>
        <v>2025-06-01 - módosított ei, 2025/MEI-731113/55</v>
      </c>
      <c r="V607" t="str">
        <f t="shared" si="171"/>
        <v>60P731113053</v>
      </c>
      <c r="W607" t="str">
        <f t="shared" si="172"/>
        <v>60P73111305</v>
      </c>
      <c r="X607" t="str">
        <f t="shared" si="173"/>
        <v>P731113053371</v>
      </c>
      <c r="Y607" t="str">
        <f t="shared" si="174"/>
        <v>60053371</v>
      </c>
      <c r="Z607" t="str">
        <f t="shared" si="185"/>
        <v>(KÖT)053371</v>
      </c>
      <c r="AA607" t="str">
        <f t="shared" si="175"/>
        <v>60053</v>
      </c>
      <c r="AB607" t="str">
        <f t="shared" si="176"/>
        <v>(KÖT)053</v>
      </c>
      <c r="AC607" t="str">
        <f t="shared" si="177"/>
        <v>60P731113053371</v>
      </c>
      <c r="AD607" t="str">
        <f t="shared" si="178"/>
        <v>P731113053371(KÖT)</v>
      </c>
      <c r="AE607" t="str">
        <f t="shared" si="179"/>
        <v>60P731113053</v>
      </c>
      <c r="AF607" t="str">
        <f t="shared" si="180"/>
        <v>P731113053(KÖT)</v>
      </c>
      <c r="AG607" t="str">
        <f t="shared" si="186"/>
        <v>60P73111305337111100</v>
      </c>
      <c r="AH607" t="str">
        <f t="shared" si="187"/>
        <v>P731113(KÖT)05337111100</v>
      </c>
      <c r="AI607" t="str">
        <f t="shared" si="188"/>
        <v>60P73111305311100</v>
      </c>
      <c r="AJ607" t="str">
        <f t="shared" si="189"/>
        <v>P731113053(KÖT)11100</v>
      </c>
    </row>
    <row r="608" spans="1:36" x14ac:dyDescent="0.25">
      <c r="A608" s="325" t="str">
        <f>CONCATENATE("P",'906MP'!M308)</f>
        <v>P731113</v>
      </c>
      <c r="B608">
        <f>'906MP'!H308</f>
        <v>60</v>
      </c>
      <c r="C608" t="str">
        <f>'906MP'!J308</f>
        <v>2025-06-01</v>
      </c>
      <c r="D608" t="str">
        <f>'906MP'!P308</f>
        <v>módosított ei</v>
      </c>
      <c r="E608">
        <f>'906MP'!X308</f>
        <v>181114</v>
      </c>
      <c r="F608" t="str">
        <f t="shared" si="181"/>
        <v>05</v>
      </c>
      <c r="G608" t="str">
        <f t="shared" si="182"/>
        <v>051</v>
      </c>
      <c r="H608" t="str">
        <f>'906MP'!Y308</f>
        <v>051231</v>
      </c>
      <c r="I608" t="str">
        <f>'906MP'!AK308</f>
        <v>2025/MEI-731113/55</v>
      </c>
      <c r="J608" t="str">
        <f>'906MP'!T308</f>
        <v>(KÖT)</v>
      </c>
      <c r="K608" t="str">
        <f>'906MP'!AJ308</f>
        <v/>
      </c>
      <c r="L608" t="str">
        <f>'906MP'!U308</f>
        <v>11100</v>
      </c>
      <c r="M608" s="322" t="str">
        <f>IFERROR(VLOOKUP(A608,PAR!$D$3:$E$53,2,FALSE),"nincs szervezet")</f>
        <v>Nagymaros Város Önkormányzata</v>
      </c>
      <c r="N608" s="322" t="str">
        <f>VLOOKUP(F608,PAR!$R$3:$S$5,2,FALSE)</f>
        <v>2 - Kiadás</v>
      </c>
      <c r="O608" t="str">
        <f>IFERROR(VLOOKUP(J608,PAR!$O$3:$P$5,2,FALSE),"nincs feladat")</f>
        <v>1 - (KÖT)</v>
      </c>
      <c r="P608" t="str">
        <f>IFERROR(VLOOKUP(G608,PAR!$J$2:$M$19,4),"nincs rovat")</f>
        <v>K1 - Személyi juttatások</v>
      </c>
      <c r="Q608" t="str">
        <f>IF(H608&gt;0,VLOOKUP(H608,PAR!$AA$3:$AC$187,3,FALSE),"nincs főkönyvi számla")</f>
        <v>051231 -  Egyéb külső személyi juttatások előirányzata</v>
      </c>
      <c r="R608" t="str">
        <f>IFERROR(VLOOKUP(K608,PAR!$V$3:$X$438,3,FALSE),"000000 - Nincs COFOG")</f>
        <v>000000 - Nincs COFOG</v>
      </c>
      <c r="S608">
        <f t="shared" si="183"/>
        <v>181114</v>
      </c>
      <c r="T608">
        <f t="shared" si="184"/>
        <v>181114</v>
      </c>
      <c r="U608" t="str">
        <f>IF('906MP'!J308&gt;0,CONCATENATE('906MP'!J308," - ",'906MP'!P308,", ",'906MP'!E308),"nincs megjegyzés")</f>
        <v>2025-06-01 - módosított ei, 2025/MEI-731113/55</v>
      </c>
      <c r="V608" t="str">
        <f t="shared" si="171"/>
        <v>60P731113051</v>
      </c>
      <c r="W608" t="str">
        <f t="shared" si="172"/>
        <v>60P73111305</v>
      </c>
      <c r="X608" t="str">
        <f t="shared" si="173"/>
        <v>P731113051231</v>
      </c>
      <c r="Y608" t="str">
        <f t="shared" si="174"/>
        <v>60051231</v>
      </c>
      <c r="Z608" t="str">
        <f t="shared" si="185"/>
        <v>(KÖT)051231</v>
      </c>
      <c r="AA608" t="str">
        <f t="shared" si="175"/>
        <v>60051</v>
      </c>
      <c r="AB608" t="str">
        <f t="shared" si="176"/>
        <v>(KÖT)051</v>
      </c>
      <c r="AC608" t="str">
        <f t="shared" si="177"/>
        <v>60P731113051231</v>
      </c>
      <c r="AD608" t="str">
        <f t="shared" si="178"/>
        <v>P731113051231(KÖT)</v>
      </c>
      <c r="AE608" t="str">
        <f t="shared" si="179"/>
        <v>60P731113051</v>
      </c>
      <c r="AF608" t="str">
        <f t="shared" si="180"/>
        <v>P731113051(KÖT)</v>
      </c>
      <c r="AG608" t="str">
        <f t="shared" si="186"/>
        <v>60P73111305123111100</v>
      </c>
      <c r="AH608" t="str">
        <f t="shared" si="187"/>
        <v>P731113(KÖT)05123111100</v>
      </c>
      <c r="AI608" t="str">
        <f t="shared" si="188"/>
        <v>60P73111305111100</v>
      </c>
      <c r="AJ608" t="str">
        <f t="shared" si="189"/>
        <v>P731113051(KÖT)11100</v>
      </c>
    </row>
    <row r="609" spans="1:36" x14ac:dyDescent="0.25">
      <c r="A609" s="325" t="str">
        <f>CONCATENATE("P",'906MP'!M309)</f>
        <v>P731113</v>
      </c>
      <c r="B609">
        <f>'906MP'!H309</f>
        <v>60</v>
      </c>
      <c r="C609" t="str">
        <f>'906MP'!J309</f>
        <v>2025-06-01</v>
      </c>
      <c r="D609" t="str">
        <f>'906MP'!P309</f>
        <v>módosított ei</v>
      </c>
      <c r="E609">
        <f>'906MP'!X309</f>
        <v>-181114</v>
      </c>
      <c r="F609" t="str">
        <f t="shared" si="181"/>
        <v>05</v>
      </c>
      <c r="G609" t="str">
        <f t="shared" si="182"/>
        <v>055</v>
      </c>
      <c r="H609" t="str">
        <f>'906MP'!Y309</f>
        <v>055131</v>
      </c>
      <c r="I609" t="str">
        <f>'906MP'!AK309</f>
        <v>2025/MEI-731113/55</v>
      </c>
      <c r="J609" t="str">
        <f>'906MP'!T309</f>
        <v>(KÖT)</v>
      </c>
      <c r="K609" t="str">
        <f>'906MP'!AJ309</f>
        <v/>
      </c>
      <c r="L609" t="str">
        <f>'906MP'!U309</f>
        <v>11100</v>
      </c>
      <c r="M609" s="322" t="str">
        <f>IFERROR(VLOOKUP(A609,PAR!$D$3:$E$53,2,FALSE),"nincs szervezet")</f>
        <v>Nagymaros Város Önkormányzata</v>
      </c>
      <c r="N609" s="322" t="str">
        <f>VLOOKUP(F609,PAR!$R$3:$S$5,2,FALSE)</f>
        <v>2 - Kiadás</v>
      </c>
      <c r="O609" t="str">
        <f>IFERROR(VLOOKUP(J609,PAR!$O$3:$P$5,2,FALSE),"nincs feladat")</f>
        <v>1 - (KÖT)</v>
      </c>
      <c r="P609" t="str">
        <f>IFERROR(VLOOKUP(G609,PAR!$J$2:$M$19,4),"nincs rovat")</f>
        <v>K5 - Egyéb működési célú kiadások</v>
      </c>
      <c r="Q609" t="str">
        <f>IF(H609&gt;0,VLOOKUP(H609,PAR!$AA$3:$AC$187,3,FALSE),"nincs főkönyvi számla")</f>
        <v>055131 -  Tartalékok előirányzata</v>
      </c>
      <c r="R609" t="str">
        <f>IFERROR(VLOOKUP(K609,PAR!$V$3:$X$438,3,FALSE),"000000 - Nincs COFOG")</f>
        <v>000000 - Nincs COFOG</v>
      </c>
      <c r="S609">
        <f t="shared" si="183"/>
        <v>-181114</v>
      </c>
      <c r="T609">
        <f t="shared" si="184"/>
        <v>-181114</v>
      </c>
      <c r="U609" t="str">
        <f>IF('906MP'!J309&gt;0,CONCATENATE('906MP'!J309," - ",'906MP'!P309,", ",'906MP'!E309),"nincs megjegyzés")</f>
        <v>2025-06-01 - módosított ei, 2025/MEI-731113/55</v>
      </c>
      <c r="V609" t="str">
        <f t="shared" si="171"/>
        <v>60P731113055</v>
      </c>
      <c r="W609" t="str">
        <f t="shared" si="172"/>
        <v>60P73111305</v>
      </c>
      <c r="X609" t="str">
        <f t="shared" si="173"/>
        <v>P731113055131</v>
      </c>
      <c r="Y609" t="str">
        <f t="shared" si="174"/>
        <v>60055131</v>
      </c>
      <c r="Z609" t="str">
        <f t="shared" si="185"/>
        <v>(KÖT)055131</v>
      </c>
      <c r="AA609" t="str">
        <f t="shared" si="175"/>
        <v>60055</v>
      </c>
      <c r="AB609" t="str">
        <f t="shared" si="176"/>
        <v>(KÖT)055</v>
      </c>
      <c r="AC609" t="str">
        <f t="shared" si="177"/>
        <v>60P731113055131</v>
      </c>
      <c r="AD609" t="str">
        <f t="shared" si="178"/>
        <v>P731113055131(KÖT)</v>
      </c>
      <c r="AE609" t="str">
        <f t="shared" si="179"/>
        <v>60P731113055</v>
      </c>
      <c r="AF609" t="str">
        <f t="shared" si="180"/>
        <v>P731113055(KÖT)</v>
      </c>
      <c r="AG609" t="str">
        <f t="shared" si="186"/>
        <v>60P73111305513111100</v>
      </c>
      <c r="AH609" t="str">
        <f t="shared" si="187"/>
        <v>P731113(KÖT)05513111100</v>
      </c>
      <c r="AI609" t="str">
        <f t="shared" si="188"/>
        <v>60P73111305511100</v>
      </c>
      <c r="AJ609" t="str">
        <f t="shared" si="189"/>
        <v>P731113055(KÖT)11100</v>
      </c>
    </row>
    <row r="610" spans="1:36" x14ac:dyDescent="0.25">
      <c r="A610" s="325" t="str">
        <f>CONCATENATE("P",'906MP'!M310)</f>
        <v>P654427</v>
      </c>
      <c r="B610">
        <f>'906MP'!H310</f>
        <v>60</v>
      </c>
      <c r="C610" t="str">
        <f>'906MP'!J310</f>
        <v>2025-05-01</v>
      </c>
      <c r="D610" t="str">
        <f>'906MP'!P310</f>
        <v>módosított ei</v>
      </c>
      <c r="E610">
        <f>'906MP'!X310</f>
        <v>87883</v>
      </c>
      <c r="F610" t="str">
        <f t="shared" si="181"/>
        <v>05</v>
      </c>
      <c r="G610" t="str">
        <f t="shared" si="182"/>
        <v>051</v>
      </c>
      <c r="H610" t="str">
        <f>'906MP'!Y310</f>
        <v>0511131</v>
      </c>
      <c r="I610" t="str">
        <f>'906MP'!AK310</f>
        <v>2025/MEI-654427/11</v>
      </c>
      <c r="J610" t="str">
        <f>'906MP'!T310</f>
        <v>(KÖT)</v>
      </c>
      <c r="K610" t="str">
        <f>'906MP'!AJ310</f>
        <v/>
      </c>
      <c r="L610" t="str">
        <f>'906MP'!U310</f>
        <v>13100</v>
      </c>
      <c r="M610" s="322" t="str">
        <f>IFERROR(VLOOKUP(A610,PAR!$D$3:$E$53,2,FALSE),"nincs szervezet")</f>
        <v>Nagymarosi Napköziotthonos Óvoda és Bölcsőde</v>
      </c>
      <c r="N610" s="322" t="str">
        <f>VLOOKUP(F610,PAR!$R$3:$S$5,2,FALSE)</f>
        <v>2 - Kiadás</v>
      </c>
      <c r="O610" t="str">
        <f>IFERROR(VLOOKUP(J610,PAR!$O$3:$P$5,2,FALSE),"nincs feladat")</f>
        <v>1 - (KÖT)</v>
      </c>
      <c r="P610" t="str">
        <f>IFERROR(VLOOKUP(G610,PAR!$J$2:$M$19,4),"nincs rovat")</f>
        <v>K1 - Személyi juttatások</v>
      </c>
      <c r="Q610" t="str">
        <f>IF(H610&gt;0,VLOOKUP(H610,PAR!$AA$3:$AC$187,3,FALSE),"nincs főkönyvi számla")</f>
        <v>0511131 -  Foglalkoztatottak egyéb személyi juttatásai előirányzata</v>
      </c>
      <c r="R610" t="str">
        <f>IFERROR(VLOOKUP(K610,PAR!$V$3:$X$438,3,FALSE),"000000 - Nincs COFOG")</f>
        <v>000000 - Nincs COFOG</v>
      </c>
      <c r="S610">
        <f t="shared" si="183"/>
        <v>87883</v>
      </c>
      <c r="T610">
        <f t="shared" si="184"/>
        <v>87883</v>
      </c>
      <c r="U610" t="str">
        <f>IF('906MP'!J310&gt;0,CONCATENATE('906MP'!J310," - ",'906MP'!P310,", ",'906MP'!E310),"nincs megjegyzés")</f>
        <v>2025-05-01 - módosított ei, 2025/MEI-654427/11</v>
      </c>
      <c r="V610" t="str">
        <f t="shared" si="171"/>
        <v>60P654427051</v>
      </c>
      <c r="W610" t="str">
        <f t="shared" si="172"/>
        <v>60P65442705</v>
      </c>
      <c r="X610" t="str">
        <f t="shared" si="173"/>
        <v>P6544270511131</v>
      </c>
      <c r="Y610" t="str">
        <f t="shared" si="174"/>
        <v>600511131</v>
      </c>
      <c r="Z610" t="str">
        <f t="shared" si="185"/>
        <v>(KÖT)0511131</v>
      </c>
      <c r="AA610" t="str">
        <f t="shared" si="175"/>
        <v>60051</v>
      </c>
      <c r="AB610" t="str">
        <f t="shared" si="176"/>
        <v>(KÖT)051</v>
      </c>
      <c r="AC610" t="str">
        <f t="shared" si="177"/>
        <v>60P6544270511131</v>
      </c>
      <c r="AD610" t="str">
        <f t="shared" si="178"/>
        <v>P6544270511131(KÖT)</v>
      </c>
      <c r="AE610" t="str">
        <f t="shared" si="179"/>
        <v>60P654427051</v>
      </c>
      <c r="AF610" t="str">
        <f t="shared" si="180"/>
        <v>P654427051(KÖT)</v>
      </c>
      <c r="AG610" t="str">
        <f t="shared" si="186"/>
        <v>60P654427051113113100</v>
      </c>
      <c r="AH610" t="str">
        <f t="shared" si="187"/>
        <v>P654427(KÖT)051113113100</v>
      </c>
      <c r="AI610" t="str">
        <f t="shared" si="188"/>
        <v>60P65442705113100</v>
      </c>
      <c r="AJ610" t="str">
        <f t="shared" si="189"/>
        <v>P654427051(KÖT)13100</v>
      </c>
    </row>
    <row r="611" spans="1:36" x14ac:dyDescent="0.25">
      <c r="A611" s="325" t="str">
        <f>CONCATENATE("P",'906MP'!M311)</f>
        <v>P654427</v>
      </c>
      <c r="B611">
        <f>'906MP'!H311</f>
        <v>60</v>
      </c>
      <c r="C611" t="str">
        <f>'906MP'!J311</f>
        <v>2025-05-01</v>
      </c>
      <c r="D611" t="str">
        <f>'906MP'!P311</f>
        <v>módosított ei</v>
      </c>
      <c r="E611">
        <f>'906MP'!X311</f>
        <v>-87883</v>
      </c>
      <c r="F611" t="str">
        <f t="shared" si="181"/>
        <v>05</v>
      </c>
      <c r="G611" t="str">
        <f t="shared" si="182"/>
        <v>051</v>
      </c>
      <c r="H611" t="str">
        <f>'906MP'!Y311</f>
        <v>0511011</v>
      </c>
      <c r="I611" t="str">
        <f>'906MP'!AK311</f>
        <v>2025/MEI-654427/11</v>
      </c>
      <c r="J611" t="str">
        <f>'906MP'!T311</f>
        <v>(KÖT)</v>
      </c>
      <c r="K611" t="str">
        <f>'906MP'!AJ311</f>
        <v/>
      </c>
      <c r="L611" t="str">
        <f>'906MP'!U311</f>
        <v>13100</v>
      </c>
      <c r="M611" s="322" t="str">
        <f>IFERROR(VLOOKUP(A611,PAR!$D$3:$E$53,2,FALSE),"nincs szervezet")</f>
        <v>Nagymarosi Napköziotthonos Óvoda és Bölcsőde</v>
      </c>
      <c r="N611" s="322" t="str">
        <f>VLOOKUP(F611,PAR!$R$3:$S$5,2,FALSE)</f>
        <v>2 - Kiadás</v>
      </c>
      <c r="O611" t="str">
        <f>IFERROR(VLOOKUP(J611,PAR!$O$3:$P$5,2,FALSE),"nincs feladat")</f>
        <v>1 - (KÖT)</v>
      </c>
      <c r="P611" t="str">
        <f>IFERROR(VLOOKUP(G611,PAR!$J$2:$M$19,4),"nincs rovat")</f>
        <v>K1 - Személyi juttatások</v>
      </c>
      <c r="Q611" t="str">
        <f>IF(H611&gt;0,VLOOKUP(H611,PAR!$AA$3:$AC$187,3,FALSE),"nincs főkönyvi számla")</f>
        <v>0511011 -  Törvény szerinti illetmények, munkabérek előirányzata</v>
      </c>
      <c r="R611" t="str">
        <f>IFERROR(VLOOKUP(K611,PAR!$V$3:$X$438,3,FALSE),"000000 - Nincs COFOG")</f>
        <v>000000 - Nincs COFOG</v>
      </c>
      <c r="S611">
        <f t="shared" si="183"/>
        <v>-87883</v>
      </c>
      <c r="T611">
        <f t="shared" si="184"/>
        <v>-87883</v>
      </c>
      <c r="U611" t="str">
        <f>IF('906MP'!J311&gt;0,CONCATENATE('906MP'!J311," - ",'906MP'!P311,", ",'906MP'!E311),"nincs megjegyzés")</f>
        <v>2025-05-01 - módosított ei, 2025/MEI-654427/11</v>
      </c>
      <c r="V611" t="str">
        <f t="shared" si="171"/>
        <v>60P654427051</v>
      </c>
      <c r="W611" t="str">
        <f t="shared" si="172"/>
        <v>60P65442705</v>
      </c>
      <c r="X611" t="str">
        <f t="shared" si="173"/>
        <v>P6544270511011</v>
      </c>
      <c r="Y611" t="str">
        <f t="shared" si="174"/>
        <v>600511011</v>
      </c>
      <c r="Z611" t="str">
        <f t="shared" si="185"/>
        <v>(KÖT)0511011</v>
      </c>
      <c r="AA611" t="str">
        <f t="shared" si="175"/>
        <v>60051</v>
      </c>
      <c r="AB611" t="str">
        <f t="shared" si="176"/>
        <v>(KÖT)051</v>
      </c>
      <c r="AC611" t="str">
        <f t="shared" si="177"/>
        <v>60P6544270511011</v>
      </c>
      <c r="AD611" t="str">
        <f t="shared" si="178"/>
        <v>P6544270511011(KÖT)</v>
      </c>
      <c r="AE611" t="str">
        <f t="shared" si="179"/>
        <v>60P654427051</v>
      </c>
      <c r="AF611" t="str">
        <f t="shared" si="180"/>
        <v>P654427051(KÖT)</v>
      </c>
      <c r="AG611" t="str">
        <f t="shared" si="186"/>
        <v>60P654427051101113100</v>
      </c>
      <c r="AH611" t="str">
        <f t="shared" si="187"/>
        <v>P654427(KÖT)051101113100</v>
      </c>
      <c r="AI611" t="str">
        <f t="shared" si="188"/>
        <v>60P65442705113100</v>
      </c>
      <c r="AJ611" t="str">
        <f t="shared" si="189"/>
        <v>P654427051(KÖT)13100</v>
      </c>
    </row>
    <row r="612" spans="1:36" x14ac:dyDescent="0.25">
      <c r="A612" s="325" t="str">
        <f>CONCATENATE("P",'906MP'!M312)</f>
        <v>P394031</v>
      </c>
      <c r="B612">
        <f>'906MP'!H312</f>
        <v>60</v>
      </c>
      <c r="C612" t="str">
        <f>'906MP'!J312</f>
        <v>2025-06-01</v>
      </c>
      <c r="D612" t="str">
        <f>'906MP'!P312</f>
        <v>módosított ei</v>
      </c>
      <c r="E612">
        <f>'906MP'!X312</f>
        <v>5000</v>
      </c>
      <c r="F612" t="str">
        <f t="shared" si="181"/>
        <v>05</v>
      </c>
      <c r="G612" t="str">
        <f t="shared" si="182"/>
        <v>053</v>
      </c>
      <c r="H612" t="str">
        <f>'906MP'!Y312</f>
        <v>053551</v>
      </c>
      <c r="I612" t="str">
        <f>'906MP'!AK312</f>
        <v>2025/MEI-394031/9</v>
      </c>
      <c r="J612" t="str">
        <f>'906MP'!T312</f>
        <v>(KÖT)</v>
      </c>
      <c r="K612" t="str">
        <f>'906MP'!AJ312</f>
        <v/>
      </c>
      <c r="L612" t="str">
        <f>'906MP'!U312</f>
        <v>12100</v>
      </c>
      <c r="M612" s="322" t="str">
        <f>IFERROR(VLOOKUP(A612,PAR!$D$3:$E$53,2,FALSE),"nincs szervezet")</f>
        <v>Nagymarosi Polgármesteri Hivatal</v>
      </c>
      <c r="N612" s="322" t="str">
        <f>VLOOKUP(F612,PAR!$R$3:$S$5,2,FALSE)</f>
        <v>2 - Kiadás</v>
      </c>
      <c r="O612" t="str">
        <f>IFERROR(VLOOKUP(J612,PAR!$O$3:$P$5,2,FALSE),"nincs feladat")</f>
        <v>1 - (KÖT)</v>
      </c>
      <c r="P612" t="str">
        <f>IFERROR(VLOOKUP(G612,PAR!$J$2:$M$19,4),"nincs rovat")</f>
        <v>K3 - Dologi kiadások</v>
      </c>
      <c r="Q612" t="str">
        <f>IF(H612&gt;0,VLOOKUP(H612,PAR!$AA$3:$AC$187,3,FALSE),"nincs főkönyvi számla")</f>
        <v>053551 -  Egyéb dologi kiadások előirányzata</v>
      </c>
      <c r="R612" t="str">
        <f>IFERROR(VLOOKUP(K612,PAR!$V$3:$X$438,3,FALSE),"000000 - Nincs COFOG")</f>
        <v>000000 - Nincs COFOG</v>
      </c>
      <c r="S612">
        <f t="shared" si="183"/>
        <v>5000</v>
      </c>
      <c r="T612">
        <f t="shared" si="184"/>
        <v>5000</v>
      </c>
      <c r="U612" t="str">
        <f>IF('906MP'!J312&gt;0,CONCATENATE('906MP'!J312," - ",'906MP'!P312,", ",'906MP'!E312),"nincs megjegyzés")</f>
        <v>2025-06-01 - módosított ei, 2025/MEI-394031/9</v>
      </c>
      <c r="V612" t="str">
        <f t="shared" si="171"/>
        <v>60P394031053</v>
      </c>
      <c r="W612" t="str">
        <f t="shared" si="172"/>
        <v>60P39403105</v>
      </c>
      <c r="X612" t="str">
        <f t="shared" si="173"/>
        <v>P394031053551</v>
      </c>
      <c r="Y612" t="str">
        <f t="shared" si="174"/>
        <v>60053551</v>
      </c>
      <c r="Z612" t="str">
        <f t="shared" si="185"/>
        <v>(KÖT)053551</v>
      </c>
      <c r="AA612" t="str">
        <f t="shared" si="175"/>
        <v>60053</v>
      </c>
      <c r="AB612" t="str">
        <f t="shared" si="176"/>
        <v>(KÖT)053</v>
      </c>
      <c r="AC612" t="str">
        <f t="shared" si="177"/>
        <v>60P394031053551</v>
      </c>
      <c r="AD612" t="str">
        <f t="shared" si="178"/>
        <v>P394031053551(KÖT)</v>
      </c>
      <c r="AE612" t="str">
        <f t="shared" si="179"/>
        <v>60P394031053</v>
      </c>
      <c r="AF612" t="str">
        <f t="shared" si="180"/>
        <v>P394031053(KÖT)</v>
      </c>
      <c r="AG612" t="str">
        <f t="shared" si="186"/>
        <v>60P39403105355112100</v>
      </c>
      <c r="AH612" t="str">
        <f t="shared" si="187"/>
        <v>P394031(KÖT)05355112100</v>
      </c>
      <c r="AI612" t="str">
        <f t="shared" si="188"/>
        <v>60P39403105312100</v>
      </c>
      <c r="AJ612" t="str">
        <f t="shared" si="189"/>
        <v>P394031053(KÖT)12100</v>
      </c>
    </row>
    <row r="613" spans="1:36" x14ac:dyDescent="0.25">
      <c r="A613" s="325" t="str">
        <f>CONCATENATE("P",'906MP'!M313)</f>
        <v>P394031</v>
      </c>
      <c r="B613">
        <f>'906MP'!H313</f>
        <v>60</v>
      </c>
      <c r="C613" t="str">
        <f>'906MP'!J313</f>
        <v>2025-06-01</v>
      </c>
      <c r="D613" t="str">
        <f>'906MP'!P313</f>
        <v>módosított ei</v>
      </c>
      <c r="E613">
        <f>'906MP'!X313</f>
        <v>-5000</v>
      </c>
      <c r="F613" t="str">
        <f t="shared" si="181"/>
        <v>05</v>
      </c>
      <c r="G613" t="str">
        <f t="shared" si="182"/>
        <v>053</v>
      </c>
      <c r="H613" t="str">
        <f>'906MP'!Y313</f>
        <v>053511</v>
      </c>
      <c r="I613" t="str">
        <f>'906MP'!AK313</f>
        <v>2025/MEI-394031/9</v>
      </c>
      <c r="J613" t="str">
        <f>'906MP'!T313</f>
        <v>(KÖT)</v>
      </c>
      <c r="K613" t="str">
        <f>'906MP'!AJ313</f>
        <v/>
      </c>
      <c r="L613" t="str">
        <f>'906MP'!U313</f>
        <v>12100</v>
      </c>
      <c r="M613" s="322" t="str">
        <f>IFERROR(VLOOKUP(A613,PAR!$D$3:$E$53,2,FALSE),"nincs szervezet")</f>
        <v>Nagymarosi Polgármesteri Hivatal</v>
      </c>
      <c r="N613" s="322" t="str">
        <f>VLOOKUP(F613,PAR!$R$3:$S$5,2,FALSE)</f>
        <v>2 - Kiadás</v>
      </c>
      <c r="O613" t="str">
        <f>IFERROR(VLOOKUP(J613,PAR!$O$3:$P$5,2,FALSE),"nincs feladat")</f>
        <v>1 - (KÖT)</v>
      </c>
      <c r="P613" t="str">
        <f>IFERROR(VLOOKUP(G613,PAR!$J$2:$M$19,4),"nincs rovat")</f>
        <v>K3 - Dologi kiadások</v>
      </c>
      <c r="Q613" t="str">
        <f>IF(H613&gt;0,VLOOKUP(H613,PAR!$AA$3:$AC$187,3,FALSE),"nincs főkönyvi számla")</f>
        <v>053511 -  Működési célú előzetesen felszámított általános forgalmi adó előirányzata</v>
      </c>
      <c r="R613" t="str">
        <f>IFERROR(VLOOKUP(K613,PAR!$V$3:$X$438,3,FALSE),"000000 - Nincs COFOG")</f>
        <v>000000 - Nincs COFOG</v>
      </c>
      <c r="S613">
        <f t="shared" si="183"/>
        <v>-5000</v>
      </c>
      <c r="T613">
        <f t="shared" si="184"/>
        <v>-5000</v>
      </c>
      <c r="U613" t="str">
        <f>IF('906MP'!J313&gt;0,CONCATENATE('906MP'!J313," - ",'906MP'!P313,", ",'906MP'!E313),"nincs megjegyzés")</f>
        <v>2025-06-01 - módosított ei, 2025/MEI-394031/9</v>
      </c>
      <c r="V613" t="str">
        <f t="shared" si="171"/>
        <v>60P394031053</v>
      </c>
      <c r="W613" t="str">
        <f t="shared" si="172"/>
        <v>60P39403105</v>
      </c>
      <c r="X613" t="str">
        <f t="shared" si="173"/>
        <v>P394031053511</v>
      </c>
      <c r="Y613" t="str">
        <f t="shared" si="174"/>
        <v>60053511</v>
      </c>
      <c r="Z613" t="str">
        <f t="shared" si="185"/>
        <v>(KÖT)053511</v>
      </c>
      <c r="AA613" t="str">
        <f t="shared" si="175"/>
        <v>60053</v>
      </c>
      <c r="AB613" t="str">
        <f t="shared" si="176"/>
        <v>(KÖT)053</v>
      </c>
      <c r="AC613" t="str">
        <f t="shared" si="177"/>
        <v>60P394031053511</v>
      </c>
      <c r="AD613" t="str">
        <f t="shared" si="178"/>
        <v>P394031053511(KÖT)</v>
      </c>
      <c r="AE613" t="str">
        <f t="shared" si="179"/>
        <v>60P394031053</v>
      </c>
      <c r="AF613" t="str">
        <f t="shared" si="180"/>
        <v>P394031053(KÖT)</v>
      </c>
      <c r="AG613" t="str">
        <f t="shared" si="186"/>
        <v>60P39403105351112100</v>
      </c>
      <c r="AH613" t="str">
        <f t="shared" si="187"/>
        <v>P394031(KÖT)05351112100</v>
      </c>
      <c r="AI613" t="str">
        <f t="shared" si="188"/>
        <v>60P39403105312100</v>
      </c>
      <c r="AJ613" t="str">
        <f t="shared" si="189"/>
        <v>P394031053(KÖT)12100</v>
      </c>
    </row>
    <row r="614" spans="1:36" x14ac:dyDescent="0.25">
      <c r="A614" s="325" t="str">
        <f>CONCATENATE("P",'906MP'!M314)</f>
        <v>P654427</v>
      </c>
      <c r="B614">
        <f>'906MP'!H314</f>
        <v>60</v>
      </c>
      <c r="C614" t="str">
        <f>'906MP'!J314</f>
        <v>2025-06-01</v>
      </c>
      <c r="D614" t="str">
        <f>'906MP'!P314</f>
        <v>módosított ei</v>
      </c>
      <c r="E614">
        <f>'906MP'!X314</f>
        <v>270926</v>
      </c>
      <c r="F614" t="str">
        <f t="shared" si="181"/>
        <v>05</v>
      </c>
      <c r="G614" t="str">
        <f t="shared" si="182"/>
        <v>051</v>
      </c>
      <c r="H614" t="str">
        <f>'906MP'!Y314</f>
        <v>0511041</v>
      </c>
      <c r="I614" t="str">
        <f>'906MP'!AK314</f>
        <v>2025/MEI-654427/17</v>
      </c>
      <c r="J614" t="str">
        <f>'906MP'!T314</f>
        <v>(KÖT)</v>
      </c>
      <c r="K614" t="str">
        <f>'906MP'!AJ314</f>
        <v/>
      </c>
      <c r="L614" t="str">
        <f>'906MP'!U314</f>
        <v>13100</v>
      </c>
      <c r="M614" s="322" t="str">
        <f>IFERROR(VLOOKUP(A614,PAR!$D$3:$E$53,2,FALSE),"nincs szervezet")</f>
        <v>Nagymarosi Napköziotthonos Óvoda és Bölcsőde</v>
      </c>
      <c r="N614" s="322" t="str">
        <f>VLOOKUP(F614,PAR!$R$3:$S$5,2,FALSE)</f>
        <v>2 - Kiadás</v>
      </c>
      <c r="O614" t="str">
        <f>IFERROR(VLOOKUP(J614,PAR!$O$3:$P$5,2,FALSE),"nincs feladat")</f>
        <v>1 - (KÖT)</v>
      </c>
      <c r="P614" t="str">
        <f>IFERROR(VLOOKUP(G614,PAR!$J$2:$M$19,4),"nincs rovat")</f>
        <v>K1 - Személyi juttatások</v>
      </c>
      <c r="Q614" t="str">
        <f>IF(H614&gt;0,VLOOKUP(H614,PAR!$AA$3:$AC$187,3,FALSE),"nincs főkönyvi számla")</f>
        <v>0511041 -  Készenléti, ügyeleti, helyettesítési díj, túlóra, túlszolgálat előirányzata</v>
      </c>
      <c r="R614" t="str">
        <f>IFERROR(VLOOKUP(K614,PAR!$V$3:$X$438,3,FALSE),"000000 - Nincs COFOG")</f>
        <v>000000 - Nincs COFOG</v>
      </c>
      <c r="S614">
        <f t="shared" si="183"/>
        <v>270926</v>
      </c>
      <c r="T614">
        <f t="shared" si="184"/>
        <v>270926</v>
      </c>
      <c r="U614" t="str">
        <f>IF('906MP'!J314&gt;0,CONCATENATE('906MP'!J314," - ",'906MP'!P314,", ",'906MP'!E314),"nincs megjegyzés")</f>
        <v>2025-06-01 - módosított ei, 2025/MEI-654427/17</v>
      </c>
      <c r="V614" t="str">
        <f t="shared" si="171"/>
        <v>60P654427051</v>
      </c>
      <c r="W614" t="str">
        <f t="shared" si="172"/>
        <v>60P65442705</v>
      </c>
      <c r="X614" t="str">
        <f t="shared" si="173"/>
        <v>P6544270511041</v>
      </c>
      <c r="Y614" t="str">
        <f t="shared" si="174"/>
        <v>600511041</v>
      </c>
      <c r="Z614" t="str">
        <f t="shared" si="185"/>
        <v>(KÖT)0511041</v>
      </c>
      <c r="AA614" t="str">
        <f t="shared" si="175"/>
        <v>60051</v>
      </c>
      <c r="AB614" t="str">
        <f t="shared" si="176"/>
        <v>(KÖT)051</v>
      </c>
      <c r="AC614" t="str">
        <f t="shared" si="177"/>
        <v>60P6544270511041</v>
      </c>
      <c r="AD614" t="str">
        <f t="shared" si="178"/>
        <v>P6544270511041(KÖT)</v>
      </c>
      <c r="AE614" t="str">
        <f t="shared" si="179"/>
        <v>60P654427051</v>
      </c>
      <c r="AF614" t="str">
        <f t="shared" si="180"/>
        <v>P654427051(KÖT)</v>
      </c>
      <c r="AG614" t="str">
        <f t="shared" si="186"/>
        <v>60P654427051104113100</v>
      </c>
      <c r="AH614" t="str">
        <f t="shared" si="187"/>
        <v>P654427(KÖT)051104113100</v>
      </c>
      <c r="AI614" t="str">
        <f t="shared" si="188"/>
        <v>60P65442705113100</v>
      </c>
      <c r="AJ614" t="str">
        <f t="shared" si="189"/>
        <v>P654427051(KÖT)13100</v>
      </c>
    </row>
    <row r="615" spans="1:36" x14ac:dyDescent="0.25">
      <c r="A615" s="325" t="str">
        <f>CONCATENATE("P",'906MP'!M315)</f>
        <v>P654427</v>
      </c>
      <c r="B615">
        <f>'906MP'!H315</f>
        <v>60</v>
      </c>
      <c r="C615" t="str">
        <f>'906MP'!J315</f>
        <v>2025-06-01</v>
      </c>
      <c r="D615" t="str">
        <f>'906MP'!P315</f>
        <v>módosított ei</v>
      </c>
      <c r="E615">
        <f>'906MP'!X315</f>
        <v>857017</v>
      </c>
      <c r="F615" t="str">
        <f t="shared" si="181"/>
        <v>05</v>
      </c>
      <c r="G615" t="str">
        <f t="shared" si="182"/>
        <v>051</v>
      </c>
      <c r="H615" t="str">
        <f>'906MP'!Y315</f>
        <v>0511131</v>
      </c>
      <c r="I615" t="str">
        <f>'906MP'!AK315</f>
        <v>2025/MEI-654427/17</v>
      </c>
      <c r="J615" t="str">
        <f>'906MP'!T315</f>
        <v>(KÖT)</v>
      </c>
      <c r="K615" t="str">
        <f>'906MP'!AJ315</f>
        <v/>
      </c>
      <c r="L615" t="str">
        <f>'906MP'!U315</f>
        <v>13100</v>
      </c>
      <c r="M615" s="322" t="str">
        <f>IFERROR(VLOOKUP(A615,PAR!$D$3:$E$53,2,FALSE),"nincs szervezet")</f>
        <v>Nagymarosi Napköziotthonos Óvoda és Bölcsőde</v>
      </c>
      <c r="N615" s="322" t="str">
        <f>VLOOKUP(F615,PAR!$R$3:$S$5,2,FALSE)</f>
        <v>2 - Kiadás</v>
      </c>
      <c r="O615" t="str">
        <f>IFERROR(VLOOKUP(J615,PAR!$O$3:$P$5,2,FALSE),"nincs feladat")</f>
        <v>1 - (KÖT)</v>
      </c>
      <c r="P615" t="str">
        <f>IFERROR(VLOOKUP(G615,PAR!$J$2:$M$19,4),"nincs rovat")</f>
        <v>K1 - Személyi juttatások</v>
      </c>
      <c r="Q615" t="str">
        <f>IF(H615&gt;0,VLOOKUP(H615,PAR!$AA$3:$AC$187,3,FALSE),"nincs főkönyvi számla")</f>
        <v>0511131 -  Foglalkoztatottak egyéb személyi juttatásai előirányzata</v>
      </c>
      <c r="R615" t="str">
        <f>IFERROR(VLOOKUP(K615,PAR!$V$3:$X$438,3,FALSE),"000000 - Nincs COFOG")</f>
        <v>000000 - Nincs COFOG</v>
      </c>
      <c r="S615">
        <f t="shared" si="183"/>
        <v>857017</v>
      </c>
      <c r="T615">
        <f t="shared" si="184"/>
        <v>857017</v>
      </c>
      <c r="U615" t="str">
        <f>IF('906MP'!J315&gt;0,CONCATENATE('906MP'!J315," - ",'906MP'!P315,", ",'906MP'!E315),"nincs megjegyzés")</f>
        <v>2025-06-01 - módosított ei, 2025/MEI-654427/17</v>
      </c>
      <c r="V615" t="str">
        <f t="shared" si="171"/>
        <v>60P654427051</v>
      </c>
      <c r="W615" t="str">
        <f t="shared" si="172"/>
        <v>60P65442705</v>
      </c>
      <c r="X615" t="str">
        <f t="shared" si="173"/>
        <v>P6544270511131</v>
      </c>
      <c r="Y615" t="str">
        <f t="shared" si="174"/>
        <v>600511131</v>
      </c>
      <c r="Z615" t="str">
        <f t="shared" si="185"/>
        <v>(KÖT)0511131</v>
      </c>
      <c r="AA615" t="str">
        <f t="shared" si="175"/>
        <v>60051</v>
      </c>
      <c r="AB615" t="str">
        <f t="shared" si="176"/>
        <v>(KÖT)051</v>
      </c>
      <c r="AC615" t="str">
        <f t="shared" si="177"/>
        <v>60P6544270511131</v>
      </c>
      <c r="AD615" t="str">
        <f t="shared" si="178"/>
        <v>P6544270511131(KÖT)</v>
      </c>
      <c r="AE615" t="str">
        <f t="shared" si="179"/>
        <v>60P654427051</v>
      </c>
      <c r="AF615" t="str">
        <f t="shared" si="180"/>
        <v>P654427051(KÖT)</v>
      </c>
      <c r="AG615" t="str">
        <f t="shared" si="186"/>
        <v>60P654427051113113100</v>
      </c>
      <c r="AH615" t="str">
        <f t="shared" si="187"/>
        <v>P654427(KÖT)051113113100</v>
      </c>
      <c r="AI615" t="str">
        <f t="shared" si="188"/>
        <v>60P65442705113100</v>
      </c>
      <c r="AJ615" t="str">
        <f t="shared" si="189"/>
        <v>P654427051(KÖT)13100</v>
      </c>
    </row>
    <row r="616" spans="1:36" x14ac:dyDescent="0.25">
      <c r="A616" s="325" t="str">
        <f>CONCATENATE("P",'906MP'!M316)</f>
        <v>P654427</v>
      </c>
      <c r="B616">
        <f>'906MP'!H316</f>
        <v>60</v>
      </c>
      <c r="C616" t="str">
        <f>'906MP'!J316</f>
        <v>2025-06-01</v>
      </c>
      <c r="D616" t="str">
        <f>'906MP'!P316</f>
        <v>módosított ei</v>
      </c>
      <c r="E616">
        <f>'906MP'!X316</f>
        <v>92272</v>
      </c>
      <c r="F616" t="str">
        <f t="shared" si="181"/>
        <v>05</v>
      </c>
      <c r="G616" t="str">
        <f t="shared" si="182"/>
        <v>051</v>
      </c>
      <c r="H616" t="str">
        <f>'906MP'!Y316</f>
        <v>051221</v>
      </c>
      <c r="I616" t="str">
        <f>'906MP'!AK316</f>
        <v>2025/MEI-654427/17</v>
      </c>
      <c r="J616" t="str">
        <f>'906MP'!T316</f>
        <v>(KÖT)</v>
      </c>
      <c r="K616" t="str">
        <f>'906MP'!AJ316</f>
        <v/>
      </c>
      <c r="L616" t="str">
        <f>'906MP'!U316</f>
        <v>13100</v>
      </c>
      <c r="M616" s="322" t="str">
        <f>IFERROR(VLOOKUP(A616,PAR!$D$3:$E$53,2,FALSE),"nincs szervezet")</f>
        <v>Nagymarosi Napköziotthonos Óvoda és Bölcsőde</v>
      </c>
      <c r="N616" s="322" t="str">
        <f>VLOOKUP(F616,PAR!$R$3:$S$5,2,FALSE)</f>
        <v>2 - Kiadás</v>
      </c>
      <c r="O616" t="str">
        <f>IFERROR(VLOOKUP(J616,PAR!$O$3:$P$5,2,FALSE),"nincs feladat")</f>
        <v>1 - (KÖT)</v>
      </c>
      <c r="P616" t="str">
        <f>IFERROR(VLOOKUP(G616,PAR!$J$2:$M$19,4),"nincs rovat")</f>
        <v>K1 - Személyi juttatások</v>
      </c>
      <c r="Q616" t="str">
        <f>IF(H616&gt;0,VLOOKUP(H616,PAR!$AA$3:$AC$187,3,FALSE),"nincs főkönyvi számla")</f>
        <v>051221 -  Munkavégzésre irányuló egyéb jogviszonyban nem saját foglalkoztatottnak fizetett juttatások előirányzata</v>
      </c>
      <c r="R616" t="str">
        <f>IFERROR(VLOOKUP(K616,PAR!$V$3:$X$438,3,FALSE),"000000 - Nincs COFOG")</f>
        <v>000000 - Nincs COFOG</v>
      </c>
      <c r="S616">
        <f t="shared" si="183"/>
        <v>92272</v>
      </c>
      <c r="T616">
        <f t="shared" si="184"/>
        <v>92272</v>
      </c>
      <c r="U616" t="str">
        <f>IF('906MP'!J316&gt;0,CONCATENATE('906MP'!J316," - ",'906MP'!P316,", ",'906MP'!E316),"nincs megjegyzés")</f>
        <v>2025-06-01 - módosított ei, 2025/MEI-654427/17</v>
      </c>
      <c r="V616" t="str">
        <f t="shared" si="171"/>
        <v>60P654427051</v>
      </c>
      <c r="W616" t="str">
        <f t="shared" si="172"/>
        <v>60P65442705</v>
      </c>
      <c r="X616" t="str">
        <f t="shared" si="173"/>
        <v>P654427051221</v>
      </c>
      <c r="Y616" t="str">
        <f t="shared" si="174"/>
        <v>60051221</v>
      </c>
      <c r="Z616" t="str">
        <f t="shared" si="185"/>
        <v>(KÖT)051221</v>
      </c>
      <c r="AA616" t="str">
        <f t="shared" si="175"/>
        <v>60051</v>
      </c>
      <c r="AB616" t="str">
        <f t="shared" si="176"/>
        <v>(KÖT)051</v>
      </c>
      <c r="AC616" t="str">
        <f t="shared" si="177"/>
        <v>60P654427051221</v>
      </c>
      <c r="AD616" t="str">
        <f t="shared" si="178"/>
        <v>P654427051221(KÖT)</v>
      </c>
      <c r="AE616" t="str">
        <f t="shared" si="179"/>
        <v>60P654427051</v>
      </c>
      <c r="AF616" t="str">
        <f t="shared" si="180"/>
        <v>P654427051(KÖT)</v>
      </c>
      <c r="AG616" t="str">
        <f t="shared" si="186"/>
        <v>60P65442705122113100</v>
      </c>
      <c r="AH616" t="str">
        <f t="shared" si="187"/>
        <v>P654427(KÖT)05122113100</v>
      </c>
      <c r="AI616" t="str">
        <f t="shared" si="188"/>
        <v>60P65442705113100</v>
      </c>
      <c r="AJ616" t="str">
        <f t="shared" si="189"/>
        <v>P654427051(KÖT)13100</v>
      </c>
    </row>
    <row r="617" spans="1:36" x14ac:dyDescent="0.25">
      <c r="A617" s="325" t="str">
        <f>CONCATENATE("P",'906MP'!M317)</f>
        <v>P654427</v>
      </c>
      <c r="B617">
        <f>'906MP'!H317</f>
        <v>60</v>
      </c>
      <c r="C617" t="str">
        <f>'906MP'!J317</f>
        <v>2025-06-01</v>
      </c>
      <c r="D617" t="str">
        <f>'906MP'!P317</f>
        <v>módosított ei</v>
      </c>
      <c r="E617">
        <f>'906MP'!X317</f>
        <v>-1220215</v>
      </c>
      <c r="F617" t="str">
        <f t="shared" si="181"/>
        <v>05</v>
      </c>
      <c r="G617" t="str">
        <f t="shared" si="182"/>
        <v>051</v>
      </c>
      <c r="H617" t="str">
        <f>'906MP'!Y317</f>
        <v>0511011</v>
      </c>
      <c r="I617" t="str">
        <f>'906MP'!AK317</f>
        <v>2025/MEI-654427/17</v>
      </c>
      <c r="J617" t="str">
        <f>'906MP'!T317</f>
        <v>(KÖT)</v>
      </c>
      <c r="K617" t="str">
        <f>'906MP'!AJ317</f>
        <v/>
      </c>
      <c r="L617" t="str">
        <f>'906MP'!U317</f>
        <v>13100</v>
      </c>
      <c r="M617" s="322" t="str">
        <f>IFERROR(VLOOKUP(A617,PAR!$D$3:$E$53,2,FALSE),"nincs szervezet")</f>
        <v>Nagymarosi Napköziotthonos Óvoda és Bölcsőde</v>
      </c>
      <c r="N617" s="322" t="str">
        <f>VLOOKUP(F617,PAR!$R$3:$S$5,2,FALSE)</f>
        <v>2 - Kiadás</v>
      </c>
      <c r="O617" t="str">
        <f>IFERROR(VLOOKUP(J617,PAR!$O$3:$P$5,2,FALSE),"nincs feladat")</f>
        <v>1 - (KÖT)</v>
      </c>
      <c r="P617" t="str">
        <f>IFERROR(VLOOKUP(G617,PAR!$J$2:$M$19,4),"nincs rovat")</f>
        <v>K1 - Személyi juttatások</v>
      </c>
      <c r="Q617" t="str">
        <f>IF(H617&gt;0,VLOOKUP(H617,PAR!$AA$3:$AC$187,3,FALSE),"nincs főkönyvi számla")</f>
        <v>0511011 -  Törvény szerinti illetmények, munkabérek előirányzata</v>
      </c>
      <c r="R617" t="str">
        <f>IFERROR(VLOOKUP(K617,PAR!$V$3:$X$438,3,FALSE),"000000 - Nincs COFOG")</f>
        <v>000000 - Nincs COFOG</v>
      </c>
      <c r="S617">
        <f t="shared" si="183"/>
        <v>-1220215</v>
      </c>
      <c r="T617">
        <f t="shared" si="184"/>
        <v>-1220215</v>
      </c>
      <c r="U617" t="str">
        <f>IF('906MP'!J317&gt;0,CONCATENATE('906MP'!J317," - ",'906MP'!P317,", ",'906MP'!E317),"nincs megjegyzés")</f>
        <v>2025-06-01 - módosított ei, 2025/MEI-654427/17</v>
      </c>
      <c r="V617" t="str">
        <f t="shared" si="171"/>
        <v>60P654427051</v>
      </c>
      <c r="W617" t="str">
        <f t="shared" si="172"/>
        <v>60P65442705</v>
      </c>
      <c r="X617" t="str">
        <f t="shared" si="173"/>
        <v>P6544270511011</v>
      </c>
      <c r="Y617" t="str">
        <f t="shared" si="174"/>
        <v>600511011</v>
      </c>
      <c r="Z617" t="str">
        <f t="shared" si="185"/>
        <v>(KÖT)0511011</v>
      </c>
      <c r="AA617" t="str">
        <f t="shared" si="175"/>
        <v>60051</v>
      </c>
      <c r="AB617" t="str">
        <f t="shared" si="176"/>
        <v>(KÖT)051</v>
      </c>
      <c r="AC617" t="str">
        <f t="shared" si="177"/>
        <v>60P6544270511011</v>
      </c>
      <c r="AD617" t="str">
        <f t="shared" si="178"/>
        <v>P6544270511011(KÖT)</v>
      </c>
      <c r="AE617" t="str">
        <f t="shared" si="179"/>
        <v>60P654427051</v>
      </c>
      <c r="AF617" t="str">
        <f t="shared" si="180"/>
        <v>P654427051(KÖT)</v>
      </c>
      <c r="AG617" t="str">
        <f t="shared" si="186"/>
        <v>60P654427051101113100</v>
      </c>
      <c r="AH617" t="str">
        <f t="shared" si="187"/>
        <v>P654427(KÖT)051101113100</v>
      </c>
      <c r="AI617" t="str">
        <f t="shared" si="188"/>
        <v>60P65442705113100</v>
      </c>
      <c r="AJ617" t="str">
        <f t="shared" si="189"/>
        <v>P654427051(KÖT)13100</v>
      </c>
    </row>
    <row r="618" spans="1:36" x14ac:dyDescent="0.25">
      <c r="A618" s="325" t="str">
        <f>CONCATENATE("P",'906MP'!M318)</f>
        <v>P731113</v>
      </c>
      <c r="B618">
        <f>'906MP'!H318</f>
        <v>60</v>
      </c>
      <c r="C618" t="str">
        <f>'906MP'!J318</f>
        <v>2025-01-01</v>
      </c>
      <c r="D618" t="str">
        <f>'906MP'!P318</f>
        <v>módosított ei</v>
      </c>
      <c r="E618">
        <f>'906MP'!X318</f>
        <v>1938010</v>
      </c>
      <c r="F618" t="str">
        <f t="shared" si="181"/>
        <v>05</v>
      </c>
      <c r="G618" t="str">
        <f t="shared" si="182"/>
        <v>053</v>
      </c>
      <c r="H618" t="str">
        <f>'906MP'!Y318</f>
        <v>053211</v>
      </c>
      <c r="I618" t="str">
        <f>'906MP'!AK318</f>
        <v>2025/MEI-731113/71</v>
      </c>
      <c r="J618" t="str">
        <f>'906MP'!T318</f>
        <v>(KÖT)</v>
      </c>
      <c r="K618" t="str">
        <f>'906MP'!AJ318</f>
        <v/>
      </c>
      <c r="L618" t="str">
        <f>'906MP'!U318</f>
        <v>11100</v>
      </c>
      <c r="M618" s="322" t="str">
        <f>IFERROR(VLOOKUP(A618,PAR!$D$3:$E$53,2,FALSE),"nincs szervezet")</f>
        <v>Nagymaros Város Önkormányzata</v>
      </c>
      <c r="N618" s="322" t="str">
        <f>VLOOKUP(F618,PAR!$R$3:$S$5,2,FALSE)</f>
        <v>2 - Kiadás</v>
      </c>
      <c r="O618" t="str">
        <f>IFERROR(VLOOKUP(J618,PAR!$O$3:$P$5,2,FALSE),"nincs feladat")</f>
        <v>1 - (KÖT)</v>
      </c>
      <c r="P618" t="str">
        <f>IFERROR(VLOOKUP(G618,PAR!$J$2:$M$19,4),"nincs rovat")</f>
        <v>K3 - Dologi kiadások</v>
      </c>
      <c r="Q618" t="str">
        <f>IF(H618&gt;0,VLOOKUP(H618,PAR!$AA$3:$AC$187,3,FALSE),"nincs főkönyvi számla")</f>
        <v>053211 -  Informatikai szolgáltatások igénybevétele előirányzata</v>
      </c>
      <c r="R618" t="str">
        <f>IFERROR(VLOOKUP(K618,PAR!$V$3:$X$438,3,FALSE),"000000 - Nincs COFOG")</f>
        <v>000000 - Nincs COFOG</v>
      </c>
      <c r="S618">
        <f t="shared" si="183"/>
        <v>1938010</v>
      </c>
      <c r="T618">
        <f t="shared" si="184"/>
        <v>1938010</v>
      </c>
      <c r="U618" t="str">
        <f>IF('906MP'!J318&gt;0,CONCATENATE('906MP'!J318," - ",'906MP'!P318,", ",'906MP'!E318),"nincs megjegyzés")</f>
        <v>2025-01-01 - módosított ei, 2025/MEI-731113/71</v>
      </c>
      <c r="V618" t="str">
        <f t="shared" si="171"/>
        <v>60P731113053</v>
      </c>
      <c r="W618" t="str">
        <f t="shared" si="172"/>
        <v>60P73111305</v>
      </c>
      <c r="X618" t="str">
        <f t="shared" si="173"/>
        <v>P731113053211</v>
      </c>
      <c r="Y618" t="str">
        <f t="shared" si="174"/>
        <v>60053211</v>
      </c>
      <c r="Z618" t="str">
        <f t="shared" si="185"/>
        <v>(KÖT)053211</v>
      </c>
      <c r="AA618" t="str">
        <f t="shared" si="175"/>
        <v>60053</v>
      </c>
      <c r="AB618" t="str">
        <f t="shared" si="176"/>
        <v>(KÖT)053</v>
      </c>
      <c r="AC618" t="str">
        <f t="shared" si="177"/>
        <v>60P731113053211</v>
      </c>
      <c r="AD618" t="str">
        <f t="shared" si="178"/>
        <v>P731113053211(KÖT)</v>
      </c>
      <c r="AE618" t="str">
        <f t="shared" si="179"/>
        <v>60P731113053</v>
      </c>
      <c r="AF618" t="str">
        <f t="shared" si="180"/>
        <v>P731113053(KÖT)</v>
      </c>
      <c r="AG618" t="str">
        <f t="shared" si="186"/>
        <v>60P73111305321111100</v>
      </c>
      <c r="AH618" t="str">
        <f t="shared" si="187"/>
        <v>P731113(KÖT)05321111100</v>
      </c>
      <c r="AI618" t="str">
        <f t="shared" si="188"/>
        <v>60P73111305311100</v>
      </c>
      <c r="AJ618" t="str">
        <f t="shared" si="189"/>
        <v>P731113053(KÖT)11100</v>
      </c>
    </row>
    <row r="619" spans="1:36" x14ac:dyDescent="0.25">
      <c r="A619" s="325" t="str">
        <f>CONCATENATE("P",'906MP'!M319)</f>
        <v>P731113</v>
      </c>
      <c r="B619">
        <f>'906MP'!H319</f>
        <v>60</v>
      </c>
      <c r="C619" t="str">
        <f>'906MP'!J319</f>
        <v>2025-01-01</v>
      </c>
      <c r="D619" t="str">
        <f>'906MP'!P319</f>
        <v>módosított ei</v>
      </c>
      <c r="E619">
        <f>'906MP'!X319</f>
        <v>-1938010</v>
      </c>
      <c r="F619" t="str">
        <f t="shared" si="181"/>
        <v>05</v>
      </c>
      <c r="G619" t="str">
        <f t="shared" si="182"/>
        <v>053</v>
      </c>
      <c r="H619" t="str">
        <f>'906MP'!Y319</f>
        <v>053371</v>
      </c>
      <c r="I619" t="str">
        <f>'906MP'!AK319</f>
        <v>2025/MEI-731113/71</v>
      </c>
      <c r="J619" t="str">
        <f>'906MP'!T319</f>
        <v>(KÖT)</v>
      </c>
      <c r="K619" t="str">
        <f>'906MP'!AJ319</f>
        <v/>
      </c>
      <c r="L619" t="str">
        <f>'906MP'!U319</f>
        <v>11100</v>
      </c>
      <c r="M619" s="322" t="str">
        <f>IFERROR(VLOOKUP(A619,PAR!$D$3:$E$53,2,FALSE),"nincs szervezet")</f>
        <v>Nagymaros Város Önkormányzata</v>
      </c>
      <c r="N619" s="322" t="str">
        <f>VLOOKUP(F619,PAR!$R$3:$S$5,2,FALSE)</f>
        <v>2 - Kiadás</v>
      </c>
      <c r="O619" t="str">
        <f>IFERROR(VLOOKUP(J619,PAR!$O$3:$P$5,2,FALSE),"nincs feladat")</f>
        <v>1 - (KÖT)</v>
      </c>
      <c r="P619" t="str">
        <f>IFERROR(VLOOKUP(G619,PAR!$J$2:$M$19,4),"nincs rovat")</f>
        <v>K3 - Dologi kiadások</v>
      </c>
      <c r="Q619" t="str">
        <f>IF(H619&gt;0,VLOOKUP(H619,PAR!$AA$3:$AC$187,3,FALSE),"nincs főkönyvi számla")</f>
        <v>053371 -  Egyéb szolgáltatások előirányzata</v>
      </c>
      <c r="R619" t="str">
        <f>IFERROR(VLOOKUP(K619,PAR!$V$3:$X$438,3,FALSE),"000000 - Nincs COFOG")</f>
        <v>000000 - Nincs COFOG</v>
      </c>
      <c r="S619">
        <f t="shared" si="183"/>
        <v>-1938010</v>
      </c>
      <c r="T619">
        <f t="shared" si="184"/>
        <v>-1938010</v>
      </c>
      <c r="U619" t="str">
        <f>IF('906MP'!J319&gt;0,CONCATENATE('906MP'!J319," - ",'906MP'!P319,", ",'906MP'!E319),"nincs megjegyzés")</f>
        <v>2025-01-01 - módosított ei, 2025/MEI-731113/71</v>
      </c>
      <c r="V619" t="str">
        <f t="shared" si="171"/>
        <v>60P731113053</v>
      </c>
      <c r="W619" t="str">
        <f t="shared" si="172"/>
        <v>60P73111305</v>
      </c>
      <c r="X619" t="str">
        <f t="shared" si="173"/>
        <v>P731113053371</v>
      </c>
      <c r="Y619" t="str">
        <f t="shared" si="174"/>
        <v>60053371</v>
      </c>
      <c r="Z619" t="str">
        <f t="shared" si="185"/>
        <v>(KÖT)053371</v>
      </c>
      <c r="AA619" t="str">
        <f t="shared" si="175"/>
        <v>60053</v>
      </c>
      <c r="AB619" t="str">
        <f t="shared" si="176"/>
        <v>(KÖT)053</v>
      </c>
      <c r="AC619" t="str">
        <f t="shared" si="177"/>
        <v>60P731113053371</v>
      </c>
      <c r="AD619" t="str">
        <f t="shared" si="178"/>
        <v>P731113053371(KÖT)</v>
      </c>
      <c r="AE619" t="str">
        <f t="shared" si="179"/>
        <v>60P731113053</v>
      </c>
      <c r="AF619" t="str">
        <f t="shared" si="180"/>
        <v>P731113053(KÖT)</v>
      </c>
      <c r="AG619" t="str">
        <f t="shared" si="186"/>
        <v>60P73111305337111100</v>
      </c>
      <c r="AH619" t="str">
        <f t="shared" si="187"/>
        <v>P731113(KÖT)05337111100</v>
      </c>
      <c r="AI619" t="str">
        <f t="shared" si="188"/>
        <v>60P73111305311100</v>
      </c>
      <c r="AJ619" t="str">
        <f t="shared" si="189"/>
        <v>P731113053(KÖT)11100</v>
      </c>
    </row>
    <row r="620" spans="1:36" x14ac:dyDescent="0.25">
      <c r="A620" s="325" t="str">
        <f>CONCATENATE("P",'906MP'!M320)</f>
        <v>P731113</v>
      </c>
      <c r="B620">
        <f>'906MP'!H320</f>
        <v>60</v>
      </c>
      <c r="C620" t="str">
        <f>'906MP'!J320</f>
        <v>2025-05-01</v>
      </c>
      <c r="D620" t="str">
        <f>'906MP'!P320</f>
        <v>módosított ei</v>
      </c>
      <c r="E620">
        <f>'906MP'!X320</f>
        <v>15000</v>
      </c>
      <c r="F620" t="str">
        <f t="shared" si="181"/>
        <v>05</v>
      </c>
      <c r="G620" t="str">
        <f t="shared" si="182"/>
        <v>051</v>
      </c>
      <c r="H620" t="str">
        <f>'906MP'!Y320</f>
        <v>051231</v>
      </c>
      <c r="I620" t="str">
        <f>'906MP'!AK320</f>
        <v>2025/MEI-731113/41</v>
      </c>
      <c r="J620" t="str">
        <f>'906MP'!T320</f>
        <v>(KÖT)</v>
      </c>
      <c r="K620" t="str">
        <f>'906MP'!AJ320</f>
        <v/>
      </c>
      <c r="L620" t="str">
        <f>'906MP'!U320</f>
        <v>11100</v>
      </c>
      <c r="M620" s="322" t="str">
        <f>IFERROR(VLOOKUP(A620,PAR!$D$3:$E$53,2,FALSE),"nincs szervezet")</f>
        <v>Nagymaros Város Önkormányzata</v>
      </c>
      <c r="N620" s="322" t="str">
        <f>VLOOKUP(F620,PAR!$R$3:$S$5,2,FALSE)</f>
        <v>2 - Kiadás</v>
      </c>
      <c r="O620" t="str">
        <f>IFERROR(VLOOKUP(J620,PAR!$O$3:$P$5,2,FALSE),"nincs feladat")</f>
        <v>1 - (KÖT)</v>
      </c>
      <c r="P620" t="str">
        <f>IFERROR(VLOOKUP(G620,PAR!$J$2:$M$19,4),"nincs rovat")</f>
        <v>K1 - Személyi juttatások</v>
      </c>
      <c r="Q620" t="str">
        <f>IF(H620&gt;0,VLOOKUP(H620,PAR!$AA$3:$AC$187,3,FALSE),"nincs főkönyvi számla")</f>
        <v>051231 -  Egyéb külső személyi juttatások előirányzata</v>
      </c>
      <c r="R620" t="str">
        <f>IFERROR(VLOOKUP(K620,PAR!$V$3:$X$438,3,FALSE),"000000 - Nincs COFOG")</f>
        <v>000000 - Nincs COFOG</v>
      </c>
      <c r="S620">
        <f t="shared" si="183"/>
        <v>15000</v>
      </c>
      <c r="T620">
        <f t="shared" si="184"/>
        <v>15000</v>
      </c>
      <c r="U620" t="str">
        <f>IF('906MP'!J320&gt;0,CONCATENATE('906MP'!J320," - ",'906MP'!P320,", ",'906MP'!E320),"nincs megjegyzés")</f>
        <v>2025-05-01 - módosított ei, 2025/MEI-731113/41</v>
      </c>
      <c r="V620" t="str">
        <f t="shared" si="171"/>
        <v>60P731113051</v>
      </c>
      <c r="W620" t="str">
        <f t="shared" si="172"/>
        <v>60P73111305</v>
      </c>
      <c r="X620" t="str">
        <f t="shared" si="173"/>
        <v>P731113051231</v>
      </c>
      <c r="Y620" t="str">
        <f t="shared" si="174"/>
        <v>60051231</v>
      </c>
      <c r="Z620" t="str">
        <f t="shared" si="185"/>
        <v>(KÖT)051231</v>
      </c>
      <c r="AA620" t="str">
        <f t="shared" si="175"/>
        <v>60051</v>
      </c>
      <c r="AB620" t="str">
        <f t="shared" si="176"/>
        <v>(KÖT)051</v>
      </c>
      <c r="AC620" t="str">
        <f t="shared" si="177"/>
        <v>60P731113051231</v>
      </c>
      <c r="AD620" t="str">
        <f t="shared" si="178"/>
        <v>P731113051231(KÖT)</v>
      </c>
      <c r="AE620" t="str">
        <f t="shared" si="179"/>
        <v>60P731113051</v>
      </c>
      <c r="AF620" t="str">
        <f t="shared" si="180"/>
        <v>P731113051(KÖT)</v>
      </c>
      <c r="AG620" t="str">
        <f t="shared" si="186"/>
        <v>60P73111305123111100</v>
      </c>
      <c r="AH620" t="str">
        <f t="shared" si="187"/>
        <v>P731113(KÖT)05123111100</v>
      </c>
      <c r="AI620" t="str">
        <f t="shared" si="188"/>
        <v>60P73111305111100</v>
      </c>
      <c r="AJ620" t="str">
        <f t="shared" si="189"/>
        <v>P731113051(KÖT)11100</v>
      </c>
    </row>
    <row r="621" spans="1:36" x14ac:dyDescent="0.25">
      <c r="A621" s="325" t="str">
        <f>CONCATENATE("P",'906MP'!M321)</f>
        <v>P731113</v>
      </c>
      <c r="B621">
        <f>'906MP'!H321</f>
        <v>60</v>
      </c>
      <c r="C621" t="str">
        <f>'906MP'!J321</f>
        <v>2025-05-01</v>
      </c>
      <c r="D621" t="str">
        <f>'906MP'!P321</f>
        <v>módosított ei</v>
      </c>
      <c r="E621">
        <f>'906MP'!X321</f>
        <v>9688</v>
      </c>
      <c r="F621" t="str">
        <f t="shared" si="181"/>
        <v>05</v>
      </c>
      <c r="G621" t="str">
        <f t="shared" si="182"/>
        <v>051</v>
      </c>
      <c r="H621" t="str">
        <f>'906MP'!Y321</f>
        <v>051231</v>
      </c>
      <c r="I621" t="str">
        <f>'906MP'!AK321</f>
        <v>2025/MEI-731113/42</v>
      </c>
      <c r="J621" t="str">
        <f>'906MP'!T321</f>
        <v>(KÖT)</v>
      </c>
      <c r="K621" t="str">
        <f>'906MP'!AJ321</f>
        <v/>
      </c>
      <c r="L621" t="str">
        <f>'906MP'!U321</f>
        <v>11100</v>
      </c>
      <c r="M621" s="322" t="str">
        <f>IFERROR(VLOOKUP(A621,PAR!$D$3:$E$53,2,FALSE),"nincs szervezet")</f>
        <v>Nagymaros Város Önkormányzata</v>
      </c>
      <c r="N621" s="322" t="str">
        <f>VLOOKUP(F621,PAR!$R$3:$S$5,2,FALSE)</f>
        <v>2 - Kiadás</v>
      </c>
      <c r="O621" t="str">
        <f>IFERROR(VLOOKUP(J621,PAR!$O$3:$P$5,2,FALSE),"nincs feladat")</f>
        <v>1 - (KÖT)</v>
      </c>
      <c r="P621" t="str">
        <f>IFERROR(VLOOKUP(G621,PAR!$J$2:$M$19,4),"nincs rovat")</f>
        <v>K1 - Személyi juttatások</v>
      </c>
      <c r="Q621" t="str">
        <f>IF(H621&gt;0,VLOOKUP(H621,PAR!$AA$3:$AC$187,3,FALSE),"nincs főkönyvi számla")</f>
        <v>051231 -  Egyéb külső személyi juttatások előirányzata</v>
      </c>
      <c r="R621" t="str">
        <f>IFERROR(VLOOKUP(K621,PAR!$V$3:$X$438,3,FALSE),"000000 - Nincs COFOG")</f>
        <v>000000 - Nincs COFOG</v>
      </c>
      <c r="S621">
        <f t="shared" si="183"/>
        <v>9688</v>
      </c>
      <c r="T621">
        <f t="shared" si="184"/>
        <v>9688</v>
      </c>
      <c r="U621" t="str">
        <f>IF('906MP'!J321&gt;0,CONCATENATE('906MP'!J321," - ",'906MP'!P321,", ",'906MP'!E321),"nincs megjegyzés")</f>
        <v>2025-05-01 - módosított ei, 2025/MEI-731113/42</v>
      </c>
      <c r="V621" t="str">
        <f t="shared" si="171"/>
        <v>60P731113051</v>
      </c>
      <c r="W621" t="str">
        <f t="shared" si="172"/>
        <v>60P73111305</v>
      </c>
      <c r="X621" t="str">
        <f t="shared" si="173"/>
        <v>P731113051231</v>
      </c>
      <c r="Y621" t="str">
        <f t="shared" si="174"/>
        <v>60051231</v>
      </c>
      <c r="Z621" t="str">
        <f t="shared" si="185"/>
        <v>(KÖT)051231</v>
      </c>
      <c r="AA621" t="str">
        <f t="shared" si="175"/>
        <v>60051</v>
      </c>
      <c r="AB621" t="str">
        <f t="shared" si="176"/>
        <v>(KÖT)051</v>
      </c>
      <c r="AC621" t="str">
        <f t="shared" si="177"/>
        <v>60P731113051231</v>
      </c>
      <c r="AD621" t="str">
        <f t="shared" si="178"/>
        <v>P731113051231(KÖT)</v>
      </c>
      <c r="AE621" t="str">
        <f t="shared" si="179"/>
        <v>60P731113051</v>
      </c>
      <c r="AF621" t="str">
        <f t="shared" si="180"/>
        <v>P731113051(KÖT)</v>
      </c>
      <c r="AG621" t="str">
        <f t="shared" si="186"/>
        <v>60P73111305123111100</v>
      </c>
      <c r="AH621" t="str">
        <f t="shared" si="187"/>
        <v>P731113(KÖT)05123111100</v>
      </c>
      <c r="AI621" t="str">
        <f t="shared" si="188"/>
        <v>60P73111305111100</v>
      </c>
      <c r="AJ621" t="str">
        <f t="shared" si="189"/>
        <v>P731113051(KÖT)11100</v>
      </c>
    </row>
    <row r="622" spans="1:36" x14ac:dyDescent="0.25">
      <c r="A622" s="325" t="str">
        <f>CONCATENATE("P",'906MP'!M322)</f>
        <v>P654449</v>
      </c>
      <c r="B622">
        <f>'906MP'!H322</f>
        <v>60</v>
      </c>
      <c r="C622" t="str">
        <f>'906MP'!J322</f>
        <v>2025-06-01</v>
      </c>
      <c r="D622" t="str">
        <f>'906MP'!P322</f>
        <v>módosított ei</v>
      </c>
      <c r="E622">
        <f>'906MP'!X322</f>
        <v>-295298</v>
      </c>
      <c r="F622" t="str">
        <f t="shared" si="181"/>
        <v>05</v>
      </c>
      <c r="G622" t="str">
        <f t="shared" si="182"/>
        <v>051</v>
      </c>
      <c r="H622" t="str">
        <f>'906MP'!Y322</f>
        <v>0511011</v>
      </c>
      <c r="I622" t="str">
        <f>'906MP'!AK322</f>
        <v>2025/MEI-654449/10</v>
      </c>
      <c r="J622" t="str">
        <f>'906MP'!T322</f>
        <v>(ÖNV)</v>
      </c>
      <c r="K622" t="str">
        <f>'906MP'!AJ322</f>
        <v/>
      </c>
      <c r="L622" t="str">
        <f>'906MP'!U322</f>
        <v>15100</v>
      </c>
      <c r="M622" s="322" t="str">
        <f>IFERROR(VLOOKUP(A622,PAR!$D$3:$E$53,2,FALSE),"nincs szervezet")</f>
        <v>Gondozási Központ</v>
      </c>
      <c r="N622" s="322" t="str">
        <f>VLOOKUP(F622,PAR!$R$3:$S$5,2,FALSE)</f>
        <v>2 - Kiadás</v>
      </c>
      <c r="O622" t="str">
        <f>IFERROR(VLOOKUP(J622,PAR!$O$3:$P$5,2,FALSE),"nincs feladat")</f>
        <v>2 - (ÖNV)</v>
      </c>
      <c r="P622" t="str">
        <f>IFERROR(VLOOKUP(G622,PAR!$J$2:$M$19,4),"nincs rovat")</f>
        <v>K1 - Személyi juttatások</v>
      </c>
      <c r="Q622" t="str">
        <f>IF(H622&gt;0,VLOOKUP(H622,PAR!$AA$3:$AC$187,3,FALSE),"nincs főkönyvi számla")</f>
        <v>0511011 -  Törvény szerinti illetmények, munkabérek előirányzata</v>
      </c>
      <c r="R622" t="str">
        <f>IFERROR(VLOOKUP(K622,PAR!$V$3:$X$438,3,FALSE),"000000 - Nincs COFOG")</f>
        <v>000000 - Nincs COFOG</v>
      </c>
      <c r="S622">
        <f t="shared" si="183"/>
        <v>-295298</v>
      </c>
      <c r="T622">
        <f t="shared" si="184"/>
        <v>-295298</v>
      </c>
      <c r="U622" t="str">
        <f>IF('906MP'!J322&gt;0,CONCATENATE('906MP'!J322," - ",'906MP'!P322,", ",'906MP'!E322),"nincs megjegyzés")</f>
        <v>2025-06-01 - módosított ei, 2025/MEI-654449/10</v>
      </c>
      <c r="V622" t="str">
        <f t="shared" si="171"/>
        <v>60P654449051</v>
      </c>
      <c r="W622" t="str">
        <f t="shared" si="172"/>
        <v>60P65444905</v>
      </c>
      <c r="X622" t="str">
        <f t="shared" si="173"/>
        <v>P6544490511011</v>
      </c>
      <c r="Y622" t="str">
        <f t="shared" si="174"/>
        <v>600511011</v>
      </c>
      <c r="Z622" t="str">
        <f t="shared" si="185"/>
        <v>(ÖNV)0511011</v>
      </c>
      <c r="AA622" t="str">
        <f t="shared" si="175"/>
        <v>60051</v>
      </c>
      <c r="AB622" t="str">
        <f t="shared" si="176"/>
        <v>(ÖNV)051</v>
      </c>
      <c r="AC622" t="str">
        <f t="shared" si="177"/>
        <v>60P6544490511011</v>
      </c>
      <c r="AD622" t="str">
        <f t="shared" si="178"/>
        <v>P6544490511011(ÖNV)</v>
      </c>
      <c r="AE622" t="str">
        <f t="shared" si="179"/>
        <v>60P654449051</v>
      </c>
      <c r="AF622" t="str">
        <f t="shared" si="180"/>
        <v>P654449051(ÖNV)</v>
      </c>
      <c r="AG622" t="str">
        <f t="shared" si="186"/>
        <v>60P654449051101115100</v>
      </c>
      <c r="AH622" t="str">
        <f t="shared" si="187"/>
        <v>P654449(ÖNV)051101115100</v>
      </c>
      <c r="AI622" t="str">
        <f t="shared" si="188"/>
        <v>60P65444905115100</v>
      </c>
      <c r="AJ622" t="str">
        <f t="shared" si="189"/>
        <v>P654449051(ÖNV)15100</v>
      </c>
    </row>
    <row r="623" spans="1:36" x14ac:dyDescent="0.25">
      <c r="A623" s="325" t="str">
        <f>CONCATENATE("P",'906MP'!M323)</f>
        <v>P654449</v>
      </c>
      <c r="B623">
        <f>'906MP'!H323</f>
        <v>60</v>
      </c>
      <c r="C623" t="str">
        <f>'906MP'!J323</f>
        <v>2025-06-01</v>
      </c>
      <c r="D623" t="str">
        <f>'906MP'!P323</f>
        <v>módosított ei</v>
      </c>
      <c r="E623">
        <f>'906MP'!X323</f>
        <v>220525</v>
      </c>
      <c r="F623" t="str">
        <f t="shared" si="181"/>
        <v>05</v>
      </c>
      <c r="G623" t="str">
        <f t="shared" si="182"/>
        <v>051</v>
      </c>
      <c r="H623" t="str">
        <f>'906MP'!Y323</f>
        <v>0511041</v>
      </c>
      <c r="I623" t="str">
        <f>'906MP'!AK323</f>
        <v>2025/MEI-654449/10</v>
      </c>
      <c r="J623" t="str">
        <f>'906MP'!T323</f>
        <v>(KÖT)</v>
      </c>
      <c r="K623" t="str">
        <f>'906MP'!AJ323</f>
        <v/>
      </c>
      <c r="L623" t="str">
        <f>'906MP'!U323</f>
        <v>15100</v>
      </c>
      <c r="M623" s="322" t="str">
        <f>IFERROR(VLOOKUP(A623,PAR!$D$3:$E$53,2,FALSE),"nincs szervezet")</f>
        <v>Gondozási Központ</v>
      </c>
      <c r="N623" s="322" t="str">
        <f>VLOOKUP(F623,PAR!$R$3:$S$5,2,FALSE)</f>
        <v>2 - Kiadás</v>
      </c>
      <c r="O623" t="str">
        <f>IFERROR(VLOOKUP(J623,PAR!$O$3:$P$5,2,FALSE),"nincs feladat")</f>
        <v>1 - (KÖT)</v>
      </c>
      <c r="P623" t="str">
        <f>IFERROR(VLOOKUP(G623,PAR!$J$2:$M$19,4),"nincs rovat")</f>
        <v>K1 - Személyi juttatások</v>
      </c>
      <c r="Q623" t="str">
        <f>IF(H623&gt;0,VLOOKUP(H623,PAR!$AA$3:$AC$187,3,FALSE),"nincs főkönyvi számla")</f>
        <v>0511041 -  Készenléti, ügyeleti, helyettesítési díj, túlóra, túlszolgálat előirányzata</v>
      </c>
      <c r="R623" t="str">
        <f>IFERROR(VLOOKUP(K623,PAR!$V$3:$X$438,3,FALSE),"000000 - Nincs COFOG")</f>
        <v>000000 - Nincs COFOG</v>
      </c>
      <c r="S623">
        <f t="shared" si="183"/>
        <v>220525</v>
      </c>
      <c r="T623">
        <f t="shared" si="184"/>
        <v>220525</v>
      </c>
      <c r="U623" t="str">
        <f>IF('906MP'!J323&gt;0,CONCATENATE('906MP'!J323," - ",'906MP'!P323,", ",'906MP'!E323),"nincs megjegyzés")</f>
        <v>2025-06-01 - módosított ei, 2025/MEI-654449/10</v>
      </c>
      <c r="V623" t="str">
        <f t="shared" si="171"/>
        <v>60P654449051</v>
      </c>
      <c r="W623" t="str">
        <f t="shared" si="172"/>
        <v>60P65444905</v>
      </c>
      <c r="X623" t="str">
        <f t="shared" si="173"/>
        <v>P6544490511041</v>
      </c>
      <c r="Y623" t="str">
        <f t="shared" si="174"/>
        <v>600511041</v>
      </c>
      <c r="Z623" t="str">
        <f t="shared" si="185"/>
        <v>(KÖT)0511041</v>
      </c>
      <c r="AA623" t="str">
        <f t="shared" si="175"/>
        <v>60051</v>
      </c>
      <c r="AB623" t="str">
        <f t="shared" si="176"/>
        <v>(KÖT)051</v>
      </c>
      <c r="AC623" t="str">
        <f t="shared" si="177"/>
        <v>60P6544490511041</v>
      </c>
      <c r="AD623" t="str">
        <f t="shared" si="178"/>
        <v>P6544490511041(KÖT)</v>
      </c>
      <c r="AE623" t="str">
        <f t="shared" si="179"/>
        <v>60P654449051</v>
      </c>
      <c r="AF623" t="str">
        <f t="shared" si="180"/>
        <v>P654449051(KÖT)</v>
      </c>
      <c r="AG623" t="str">
        <f t="shared" si="186"/>
        <v>60P654449051104115100</v>
      </c>
      <c r="AH623" t="str">
        <f t="shared" si="187"/>
        <v>P654449(KÖT)051104115100</v>
      </c>
      <c r="AI623" t="str">
        <f t="shared" si="188"/>
        <v>60P65444905115100</v>
      </c>
      <c r="AJ623" t="str">
        <f t="shared" si="189"/>
        <v>P654449051(KÖT)15100</v>
      </c>
    </row>
    <row r="624" spans="1:36" x14ac:dyDescent="0.25">
      <c r="A624" s="325" t="str">
        <f>CONCATENATE("P",'906MP'!M324)</f>
        <v>P654449</v>
      </c>
      <c r="B624">
        <f>'906MP'!H324</f>
        <v>60</v>
      </c>
      <c r="C624" t="str">
        <f>'906MP'!J324</f>
        <v>2025-06-01</v>
      </c>
      <c r="D624" t="str">
        <f>'906MP'!P324</f>
        <v>módosított ei</v>
      </c>
      <c r="E624">
        <f>'906MP'!X324</f>
        <v>74773</v>
      </c>
      <c r="F624" t="str">
        <f t="shared" si="181"/>
        <v>05</v>
      </c>
      <c r="G624" t="str">
        <f t="shared" si="182"/>
        <v>051</v>
      </c>
      <c r="H624" t="str">
        <f>'906MP'!Y324</f>
        <v>0511131</v>
      </c>
      <c r="I624" t="str">
        <f>'906MP'!AK324</f>
        <v>2025/MEI-654449/10</v>
      </c>
      <c r="J624" t="str">
        <f>'906MP'!T324</f>
        <v>(KÖT)</v>
      </c>
      <c r="K624" t="str">
        <f>'906MP'!AJ324</f>
        <v/>
      </c>
      <c r="L624" t="str">
        <f>'906MP'!U324</f>
        <v>15100</v>
      </c>
      <c r="M624" s="322" t="str">
        <f>IFERROR(VLOOKUP(A624,PAR!$D$3:$E$53,2,FALSE),"nincs szervezet")</f>
        <v>Gondozási Központ</v>
      </c>
      <c r="N624" s="322" t="str">
        <f>VLOOKUP(F624,PAR!$R$3:$S$5,2,FALSE)</f>
        <v>2 - Kiadás</v>
      </c>
      <c r="O624" t="str">
        <f>IFERROR(VLOOKUP(J624,PAR!$O$3:$P$5,2,FALSE),"nincs feladat")</f>
        <v>1 - (KÖT)</v>
      </c>
      <c r="P624" t="str">
        <f>IFERROR(VLOOKUP(G624,PAR!$J$2:$M$19,4),"nincs rovat")</f>
        <v>K1 - Személyi juttatások</v>
      </c>
      <c r="Q624" t="str">
        <f>IF(H624&gt;0,VLOOKUP(H624,PAR!$AA$3:$AC$187,3,FALSE),"nincs főkönyvi számla")</f>
        <v>0511131 -  Foglalkoztatottak egyéb személyi juttatásai előirányzata</v>
      </c>
      <c r="R624" t="str">
        <f>IFERROR(VLOOKUP(K624,PAR!$V$3:$X$438,3,FALSE),"000000 - Nincs COFOG")</f>
        <v>000000 - Nincs COFOG</v>
      </c>
      <c r="S624">
        <f t="shared" si="183"/>
        <v>74773</v>
      </c>
      <c r="T624">
        <f t="shared" si="184"/>
        <v>74773</v>
      </c>
      <c r="U624" t="str">
        <f>IF('906MP'!J324&gt;0,CONCATENATE('906MP'!J324," - ",'906MP'!P324,", ",'906MP'!E324),"nincs megjegyzés")</f>
        <v>2025-06-01 - módosított ei, 2025/MEI-654449/10</v>
      </c>
      <c r="V624" t="str">
        <f t="shared" si="171"/>
        <v>60P654449051</v>
      </c>
      <c r="W624" t="str">
        <f t="shared" si="172"/>
        <v>60P65444905</v>
      </c>
      <c r="X624" t="str">
        <f t="shared" si="173"/>
        <v>P6544490511131</v>
      </c>
      <c r="Y624" t="str">
        <f t="shared" si="174"/>
        <v>600511131</v>
      </c>
      <c r="Z624" t="str">
        <f t="shared" si="185"/>
        <v>(KÖT)0511131</v>
      </c>
      <c r="AA624" t="str">
        <f t="shared" si="175"/>
        <v>60051</v>
      </c>
      <c r="AB624" t="str">
        <f t="shared" si="176"/>
        <v>(KÖT)051</v>
      </c>
      <c r="AC624" t="str">
        <f t="shared" si="177"/>
        <v>60P6544490511131</v>
      </c>
      <c r="AD624" t="str">
        <f t="shared" si="178"/>
        <v>P6544490511131(KÖT)</v>
      </c>
      <c r="AE624" t="str">
        <f t="shared" si="179"/>
        <v>60P654449051</v>
      </c>
      <c r="AF624" t="str">
        <f t="shared" si="180"/>
        <v>P654449051(KÖT)</v>
      </c>
      <c r="AG624" t="str">
        <f t="shared" si="186"/>
        <v>60P654449051113115100</v>
      </c>
      <c r="AH624" t="str">
        <f t="shared" si="187"/>
        <v>P654449(KÖT)051113115100</v>
      </c>
      <c r="AI624" t="str">
        <f t="shared" si="188"/>
        <v>60P65444905115100</v>
      </c>
      <c r="AJ624" t="str">
        <f t="shared" si="189"/>
        <v>P654449051(KÖT)15100</v>
      </c>
    </row>
    <row r="625" spans="1:36" x14ac:dyDescent="0.25">
      <c r="A625" s="325" t="str">
        <f>CONCATENATE("P",'906MP'!M325)</f>
        <v>P731113</v>
      </c>
      <c r="B625">
        <f>'906MP'!H325</f>
        <v>60</v>
      </c>
      <c r="C625" t="str">
        <f>'906MP'!J325</f>
        <v>2025-06-30</v>
      </c>
      <c r="D625" t="str">
        <f>'906MP'!P325</f>
        <v>módosított ei</v>
      </c>
      <c r="E625">
        <f>'906MP'!X325</f>
        <v>-1843751</v>
      </c>
      <c r="F625" t="str">
        <f t="shared" si="181"/>
        <v>09</v>
      </c>
      <c r="G625" t="str">
        <f t="shared" si="182"/>
        <v>091</v>
      </c>
      <c r="H625" t="str">
        <f>'906MP'!Y325</f>
        <v>0911311</v>
      </c>
      <c r="I625" t="str">
        <f>'906MP'!AK325</f>
        <v>2025/MEI-731113/69</v>
      </c>
      <c r="J625" t="str">
        <f>'906MP'!T325</f>
        <v>(KÖT)</v>
      </c>
      <c r="K625" t="str">
        <f>'906MP'!AJ325</f>
        <v/>
      </c>
      <c r="L625" t="str">
        <f>'906MP'!U325</f>
        <v>91100</v>
      </c>
      <c r="M625" s="322" t="str">
        <f>IFERROR(VLOOKUP(A625,PAR!$D$3:$E$53,2,FALSE),"nincs szervezet")</f>
        <v>Nagymaros Város Önkormányzata</v>
      </c>
      <c r="N625" s="322" t="str">
        <f>VLOOKUP(F625,PAR!$R$3:$S$5,2,FALSE)</f>
        <v>1 - Bevétel</v>
      </c>
      <c r="O625" t="str">
        <f>IFERROR(VLOOKUP(J625,PAR!$O$3:$P$5,2,FALSE),"nincs feladat")</f>
        <v>1 - (KÖT)</v>
      </c>
      <c r="P625" t="str">
        <f>IFERROR(VLOOKUP(G625,PAR!$J$2:$M$19,4),"nincs rovat")</f>
        <v>B1 - Működési célú támogatások államháztartáson belülről</v>
      </c>
      <c r="Q625" t="str">
        <f>IF(H625&gt;0,VLOOKUP(H625,PAR!$AA$3:$AC$187,3,FALSE),"nincs főkönyvi számla")</f>
        <v>0911311 -  Települési önkormányzatok egyes szociális és gyermekjóléti feladatainak támogatása előirányzata</v>
      </c>
      <c r="R625" t="str">
        <f>IFERROR(VLOOKUP(K625,PAR!$V$3:$X$438,3,FALSE),"000000 - Nincs COFOG")</f>
        <v>000000 - Nincs COFOG</v>
      </c>
      <c r="S625">
        <f t="shared" si="183"/>
        <v>-1843751</v>
      </c>
      <c r="T625">
        <f t="shared" si="184"/>
        <v>1843751</v>
      </c>
      <c r="U625" t="str">
        <f>IF('906MP'!J325&gt;0,CONCATENATE('906MP'!J325," - ",'906MP'!P325,", ",'906MP'!E325),"nincs megjegyzés")</f>
        <v>2025-06-30 - módosított ei, 2025/MEI-731113/69</v>
      </c>
      <c r="V625" t="str">
        <f t="shared" si="171"/>
        <v>60P731113091</v>
      </c>
      <c r="W625" t="str">
        <f t="shared" si="172"/>
        <v>60P73111309</v>
      </c>
      <c r="X625" t="str">
        <f t="shared" si="173"/>
        <v>P7311130911311</v>
      </c>
      <c r="Y625" t="str">
        <f t="shared" si="174"/>
        <v>600911311</v>
      </c>
      <c r="Z625" t="str">
        <f t="shared" si="185"/>
        <v>(KÖT)0911311</v>
      </c>
      <c r="AA625" t="str">
        <f t="shared" si="175"/>
        <v>60091</v>
      </c>
      <c r="AB625" t="str">
        <f t="shared" si="176"/>
        <v>(KÖT)091</v>
      </c>
      <c r="AC625" t="str">
        <f t="shared" si="177"/>
        <v>60P7311130911311</v>
      </c>
      <c r="AD625" t="str">
        <f t="shared" si="178"/>
        <v>P7311130911311(KÖT)</v>
      </c>
      <c r="AE625" t="str">
        <f t="shared" si="179"/>
        <v>60P731113091</v>
      </c>
      <c r="AF625" t="str">
        <f t="shared" si="180"/>
        <v>P731113091(KÖT)</v>
      </c>
      <c r="AG625" t="str">
        <f t="shared" si="186"/>
        <v>60P731113091131191100</v>
      </c>
      <c r="AH625" t="str">
        <f t="shared" si="187"/>
        <v>P731113(KÖT)091131191100</v>
      </c>
      <c r="AI625" t="str">
        <f t="shared" si="188"/>
        <v>60P73111309191100</v>
      </c>
      <c r="AJ625" t="str">
        <f t="shared" si="189"/>
        <v>P731113091(KÖT)91100</v>
      </c>
    </row>
    <row r="626" spans="1:36" x14ac:dyDescent="0.25">
      <c r="A626" s="325" t="str">
        <f>CONCATENATE("P",'906MP'!M326)</f>
        <v>P731113</v>
      </c>
      <c r="B626">
        <f>'906MP'!H326</f>
        <v>60</v>
      </c>
      <c r="C626" t="str">
        <f>'906MP'!J326</f>
        <v>2025-06-30</v>
      </c>
      <c r="D626" t="str">
        <f>'906MP'!P326</f>
        <v>módosított ei</v>
      </c>
      <c r="E626">
        <f>'906MP'!X326</f>
        <v>1843751</v>
      </c>
      <c r="F626" t="str">
        <f t="shared" si="181"/>
        <v>05</v>
      </c>
      <c r="G626" t="str">
        <f t="shared" si="182"/>
        <v>055</v>
      </c>
      <c r="H626" t="str">
        <f>'906MP'!Y326</f>
        <v>055131</v>
      </c>
      <c r="I626" t="str">
        <f>'906MP'!AK326</f>
        <v>2025/MEI-731113/69</v>
      </c>
      <c r="J626" t="str">
        <f>'906MP'!T326</f>
        <v>(KÖT)</v>
      </c>
      <c r="K626" t="str">
        <f>'906MP'!AJ326</f>
        <v/>
      </c>
      <c r="L626" t="str">
        <f>'906MP'!U326</f>
        <v>11100</v>
      </c>
      <c r="M626" s="322" t="str">
        <f>IFERROR(VLOOKUP(A626,PAR!$D$3:$E$53,2,FALSE),"nincs szervezet")</f>
        <v>Nagymaros Város Önkormányzata</v>
      </c>
      <c r="N626" s="322" t="str">
        <f>VLOOKUP(F626,PAR!$R$3:$S$5,2,FALSE)</f>
        <v>2 - Kiadás</v>
      </c>
      <c r="O626" t="str">
        <f>IFERROR(VLOOKUP(J626,PAR!$O$3:$P$5,2,FALSE),"nincs feladat")</f>
        <v>1 - (KÖT)</v>
      </c>
      <c r="P626" t="str">
        <f>IFERROR(VLOOKUP(G626,PAR!$J$2:$M$19,4),"nincs rovat")</f>
        <v>K5 - Egyéb működési célú kiadások</v>
      </c>
      <c r="Q626" t="str">
        <f>IF(H626&gt;0,VLOOKUP(H626,PAR!$AA$3:$AC$187,3,FALSE),"nincs főkönyvi számla")</f>
        <v>055131 -  Tartalékok előirányzata</v>
      </c>
      <c r="R626" t="str">
        <f>IFERROR(VLOOKUP(K626,PAR!$V$3:$X$438,3,FALSE),"000000 - Nincs COFOG")</f>
        <v>000000 - Nincs COFOG</v>
      </c>
      <c r="S626">
        <f t="shared" si="183"/>
        <v>1843751</v>
      </c>
      <c r="T626">
        <f t="shared" si="184"/>
        <v>1843751</v>
      </c>
      <c r="U626" t="str">
        <f>IF('906MP'!J326&gt;0,CONCATENATE('906MP'!J326," - ",'906MP'!P326,", ",'906MP'!E326),"nincs megjegyzés")</f>
        <v>2025-06-30 - módosított ei, 2025/MEI-731113/69</v>
      </c>
      <c r="V626" t="str">
        <f t="shared" si="171"/>
        <v>60P731113055</v>
      </c>
      <c r="W626" t="str">
        <f t="shared" si="172"/>
        <v>60P73111305</v>
      </c>
      <c r="X626" t="str">
        <f t="shared" si="173"/>
        <v>P731113055131</v>
      </c>
      <c r="Y626" t="str">
        <f t="shared" si="174"/>
        <v>60055131</v>
      </c>
      <c r="Z626" t="str">
        <f t="shared" si="185"/>
        <v>(KÖT)055131</v>
      </c>
      <c r="AA626" t="str">
        <f t="shared" si="175"/>
        <v>60055</v>
      </c>
      <c r="AB626" t="str">
        <f t="shared" si="176"/>
        <v>(KÖT)055</v>
      </c>
      <c r="AC626" t="str">
        <f t="shared" si="177"/>
        <v>60P731113055131</v>
      </c>
      <c r="AD626" t="str">
        <f t="shared" si="178"/>
        <v>P731113055131(KÖT)</v>
      </c>
      <c r="AE626" t="str">
        <f t="shared" si="179"/>
        <v>60P731113055</v>
      </c>
      <c r="AF626" t="str">
        <f t="shared" si="180"/>
        <v>P731113055(KÖT)</v>
      </c>
      <c r="AG626" t="str">
        <f t="shared" si="186"/>
        <v>60P73111305513111100</v>
      </c>
      <c r="AH626" t="str">
        <f t="shared" si="187"/>
        <v>P731113(KÖT)05513111100</v>
      </c>
      <c r="AI626" t="str">
        <f t="shared" si="188"/>
        <v>60P73111305511100</v>
      </c>
      <c r="AJ626" t="str">
        <f t="shared" si="189"/>
        <v>P731113055(KÖT)11100</v>
      </c>
    </row>
    <row r="627" spans="1:36" x14ac:dyDescent="0.25">
      <c r="A627" s="325" t="str">
        <f>CONCATENATE("P",'906MP'!M327)</f>
        <v>P731113</v>
      </c>
      <c r="B627">
        <f>'906MP'!H327</f>
        <v>60</v>
      </c>
      <c r="C627" t="str">
        <f>'906MP'!J327</f>
        <v>2025-06-01</v>
      </c>
      <c r="D627" t="str">
        <f>'906MP'!P327</f>
        <v>módosított ei</v>
      </c>
      <c r="E627">
        <f>'906MP'!X327</f>
        <v>857268</v>
      </c>
      <c r="F627" t="str">
        <f t="shared" si="181"/>
        <v>05</v>
      </c>
      <c r="G627" t="str">
        <f t="shared" si="182"/>
        <v>051</v>
      </c>
      <c r="H627" t="str">
        <f>'906MP'!Y327</f>
        <v>051221</v>
      </c>
      <c r="I627" t="str">
        <f>'906MP'!AK327</f>
        <v>2025/MEI-731113/57</v>
      </c>
      <c r="J627" t="str">
        <f>'906MP'!T327</f>
        <v>(KÖT)</v>
      </c>
      <c r="K627" t="str">
        <f>'906MP'!AJ327</f>
        <v/>
      </c>
      <c r="L627" t="str">
        <f>'906MP'!U327</f>
        <v>11100</v>
      </c>
      <c r="M627" s="322" t="str">
        <f>IFERROR(VLOOKUP(A627,PAR!$D$3:$E$53,2,FALSE),"nincs szervezet")</f>
        <v>Nagymaros Város Önkormányzata</v>
      </c>
      <c r="N627" s="322" t="str">
        <f>VLOOKUP(F627,PAR!$R$3:$S$5,2,FALSE)</f>
        <v>2 - Kiadás</v>
      </c>
      <c r="O627" t="str">
        <f>IFERROR(VLOOKUP(J627,PAR!$O$3:$P$5,2,FALSE),"nincs feladat")</f>
        <v>1 - (KÖT)</v>
      </c>
      <c r="P627" t="str">
        <f>IFERROR(VLOOKUP(G627,PAR!$J$2:$M$19,4),"nincs rovat")</f>
        <v>K1 - Személyi juttatások</v>
      </c>
      <c r="Q627" t="str">
        <f>IF(H627&gt;0,VLOOKUP(H627,PAR!$AA$3:$AC$187,3,FALSE),"nincs főkönyvi számla")</f>
        <v>051221 -  Munkavégzésre irányuló egyéb jogviszonyban nem saját foglalkoztatottnak fizetett juttatások előirányzata</v>
      </c>
      <c r="R627" t="str">
        <f>IFERROR(VLOOKUP(K627,PAR!$V$3:$X$438,3,FALSE),"000000 - Nincs COFOG")</f>
        <v>000000 - Nincs COFOG</v>
      </c>
      <c r="S627">
        <f t="shared" si="183"/>
        <v>857268</v>
      </c>
      <c r="T627">
        <f t="shared" si="184"/>
        <v>857268</v>
      </c>
      <c r="U627" t="str">
        <f>IF('906MP'!J327&gt;0,CONCATENATE('906MP'!J327," - ",'906MP'!P327,", ",'906MP'!E327),"nincs megjegyzés")</f>
        <v>2025-06-01 - módosított ei, 2025/MEI-731113/57</v>
      </c>
      <c r="V627" t="str">
        <f t="shared" si="171"/>
        <v>60P731113051</v>
      </c>
      <c r="W627" t="str">
        <f t="shared" si="172"/>
        <v>60P73111305</v>
      </c>
      <c r="X627" t="str">
        <f t="shared" si="173"/>
        <v>P731113051221</v>
      </c>
      <c r="Y627" t="str">
        <f t="shared" si="174"/>
        <v>60051221</v>
      </c>
      <c r="Z627" t="str">
        <f t="shared" si="185"/>
        <v>(KÖT)051221</v>
      </c>
      <c r="AA627" t="str">
        <f t="shared" si="175"/>
        <v>60051</v>
      </c>
      <c r="AB627" t="str">
        <f t="shared" si="176"/>
        <v>(KÖT)051</v>
      </c>
      <c r="AC627" t="str">
        <f t="shared" si="177"/>
        <v>60P731113051221</v>
      </c>
      <c r="AD627" t="str">
        <f t="shared" si="178"/>
        <v>P731113051221(KÖT)</v>
      </c>
      <c r="AE627" t="str">
        <f t="shared" si="179"/>
        <v>60P731113051</v>
      </c>
      <c r="AF627" t="str">
        <f t="shared" si="180"/>
        <v>P731113051(KÖT)</v>
      </c>
      <c r="AG627" t="str">
        <f t="shared" si="186"/>
        <v>60P73111305122111100</v>
      </c>
      <c r="AH627" t="str">
        <f t="shared" si="187"/>
        <v>P731113(KÖT)05122111100</v>
      </c>
      <c r="AI627" t="str">
        <f t="shared" si="188"/>
        <v>60P73111305111100</v>
      </c>
      <c r="AJ627" t="str">
        <f t="shared" si="189"/>
        <v>P731113051(KÖT)11100</v>
      </c>
    </row>
    <row r="628" spans="1:36" x14ac:dyDescent="0.25">
      <c r="A628" s="325" t="str">
        <f>CONCATENATE("P",'906MP'!M328)</f>
        <v>P731113</v>
      </c>
      <c r="B628">
        <f>'906MP'!H328</f>
        <v>60</v>
      </c>
      <c r="C628" t="str">
        <f>'906MP'!J328</f>
        <v>2025-06-01</v>
      </c>
      <c r="D628" t="str">
        <f>'906MP'!P328</f>
        <v>módosított ei</v>
      </c>
      <c r="E628">
        <f>'906MP'!X328</f>
        <v>-857268</v>
      </c>
      <c r="F628" t="str">
        <f t="shared" si="181"/>
        <v>05</v>
      </c>
      <c r="G628" t="str">
        <f t="shared" si="182"/>
        <v>051</v>
      </c>
      <c r="H628" t="str">
        <f>'906MP'!Y328</f>
        <v>0511011</v>
      </c>
      <c r="I628" t="str">
        <f>'906MP'!AK328</f>
        <v>2025/MEI-731113/57</v>
      </c>
      <c r="J628" t="str">
        <f>'906MP'!T328</f>
        <v>(KÖT)</v>
      </c>
      <c r="K628" t="str">
        <f>'906MP'!AJ328</f>
        <v/>
      </c>
      <c r="L628" t="str">
        <f>'906MP'!U328</f>
        <v>11100</v>
      </c>
      <c r="M628" s="322" t="str">
        <f>IFERROR(VLOOKUP(A628,PAR!$D$3:$E$53,2,FALSE),"nincs szervezet")</f>
        <v>Nagymaros Város Önkormányzata</v>
      </c>
      <c r="N628" s="322" t="str">
        <f>VLOOKUP(F628,PAR!$R$3:$S$5,2,FALSE)</f>
        <v>2 - Kiadás</v>
      </c>
      <c r="O628" t="str">
        <f>IFERROR(VLOOKUP(J628,PAR!$O$3:$P$5,2,FALSE),"nincs feladat")</f>
        <v>1 - (KÖT)</v>
      </c>
      <c r="P628" t="str">
        <f>IFERROR(VLOOKUP(G628,PAR!$J$2:$M$19,4),"nincs rovat")</f>
        <v>K1 - Személyi juttatások</v>
      </c>
      <c r="Q628" t="str">
        <f>IF(H628&gt;0,VLOOKUP(H628,PAR!$AA$3:$AC$187,3,FALSE),"nincs főkönyvi számla")</f>
        <v>0511011 -  Törvény szerinti illetmények, munkabérek előirányzata</v>
      </c>
      <c r="R628" t="str">
        <f>IFERROR(VLOOKUP(K628,PAR!$V$3:$X$438,3,FALSE),"000000 - Nincs COFOG")</f>
        <v>000000 - Nincs COFOG</v>
      </c>
      <c r="S628">
        <f t="shared" si="183"/>
        <v>-857268</v>
      </c>
      <c r="T628">
        <f t="shared" si="184"/>
        <v>-857268</v>
      </c>
      <c r="U628" t="str">
        <f>IF('906MP'!J328&gt;0,CONCATENATE('906MP'!J328," - ",'906MP'!P328,", ",'906MP'!E328),"nincs megjegyzés")</f>
        <v>2025-06-01 - módosított ei, 2025/MEI-731113/57</v>
      </c>
      <c r="V628" t="str">
        <f t="shared" si="171"/>
        <v>60P731113051</v>
      </c>
      <c r="W628" t="str">
        <f t="shared" si="172"/>
        <v>60P73111305</v>
      </c>
      <c r="X628" t="str">
        <f t="shared" si="173"/>
        <v>P7311130511011</v>
      </c>
      <c r="Y628" t="str">
        <f t="shared" si="174"/>
        <v>600511011</v>
      </c>
      <c r="Z628" t="str">
        <f t="shared" si="185"/>
        <v>(KÖT)0511011</v>
      </c>
      <c r="AA628" t="str">
        <f t="shared" si="175"/>
        <v>60051</v>
      </c>
      <c r="AB628" t="str">
        <f t="shared" si="176"/>
        <v>(KÖT)051</v>
      </c>
      <c r="AC628" t="str">
        <f t="shared" si="177"/>
        <v>60P7311130511011</v>
      </c>
      <c r="AD628" t="str">
        <f t="shared" si="178"/>
        <v>P7311130511011(KÖT)</v>
      </c>
      <c r="AE628" t="str">
        <f t="shared" si="179"/>
        <v>60P731113051</v>
      </c>
      <c r="AF628" t="str">
        <f t="shared" si="180"/>
        <v>P731113051(KÖT)</v>
      </c>
      <c r="AG628" t="str">
        <f t="shared" si="186"/>
        <v>60P731113051101111100</v>
      </c>
      <c r="AH628" t="str">
        <f t="shared" si="187"/>
        <v>P731113(KÖT)051101111100</v>
      </c>
      <c r="AI628" t="str">
        <f t="shared" si="188"/>
        <v>60P73111305111100</v>
      </c>
      <c r="AJ628" t="str">
        <f t="shared" si="189"/>
        <v>P731113051(KÖT)11100</v>
      </c>
    </row>
    <row r="629" spans="1:36" x14ac:dyDescent="0.25">
      <c r="A629" s="325" t="str">
        <f>CONCATENATE("P",'906MP'!M329)</f>
        <v>P394031</v>
      </c>
      <c r="B629">
        <f>'906MP'!H329</f>
        <v>60</v>
      </c>
      <c r="C629" t="str">
        <f>'906MP'!J329</f>
        <v>2025-06-01</v>
      </c>
      <c r="D629" t="str">
        <f>'906MP'!P329</f>
        <v>módosított ei</v>
      </c>
      <c r="E629">
        <f>'906MP'!X329</f>
        <v>24900</v>
      </c>
      <c r="F629" t="str">
        <f t="shared" si="181"/>
        <v>05</v>
      </c>
      <c r="G629" t="str">
        <f t="shared" si="182"/>
        <v>053</v>
      </c>
      <c r="H629" t="str">
        <f>'906MP'!Y329</f>
        <v>053211</v>
      </c>
      <c r="I629" t="str">
        <f>'906MP'!AK329</f>
        <v>2025/MEI-394031/11</v>
      </c>
      <c r="J629" t="str">
        <f>'906MP'!T329</f>
        <v>(KÖT)</v>
      </c>
      <c r="K629" t="str">
        <f>'906MP'!AJ329</f>
        <v/>
      </c>
      <c r="L629" t="str">
        <f>'906MP'!U329</f>
        <v>12100</v>
      </c>
      <c r="M629" s="322" t="str">
        <f>IFERROR(VLOOKUP(A629,PAR!$D$3:$E$53,2,FALSE),"nincs szervezet")</f>
        <v>Nagymarosi Polgármesteri Hivatal</v>
      </c>
      <c r="N629" s="322" t="str">
        <f>VLOOKUP(F629,PAR!$R$3:$S$5,2,FALSE)</f>
        <v>2 - Kiadás</v>
      </c>
      <c r="O629" t="str">
        <f>IFERROR(VLOOKUP(J629,PAR!$O$3:$P$5,2,FALSE),"nincs feladat")</f>
        <v>1 - (KÖT)</v>
      </c>
      <c r="P629" t="str">
        <f>IFERROR(VLOOKUP(G629,PAR!$J$2:$M$19,4),"nincs rovat")</f>
        <v>K3 - Dologi kiadások</v>
      </c>
      <c r="Q629" t="str">
        <f>IF(H629&gt;0,VLOOKUP(H629,PAR!$AA$3:$AC$187,3,FALSE),"nincs főkönyvi számla")</f>
        <v>053211 -  Informatikai szolgáltatások igénybevétele előirányzata</v>
      </c>
      <c r="R629" t="str">
        <f>IFERROR(VLOOKUP(K629,PAR!$V$3:$X$438,3,FALSE),"000000 - Nincs COFOG")</f>
        <v>000000 - Nincs COFOG</v>
      </c>
      <c r="S629">
        <f t="shared" si="183"/>
        <v>24900</v>
      </c>
      <c r="T629">
        <f t="shared" si="184"/>
        <v>24900</v>
      </c>
      <c r="U629" t="str">
        <f>IF('906MP'!J329&gt;0,CONCATENATE('906MP'!J329," - ",'906MP'!P329,", ",'906MP'!E329),"nincs megjegyzés")</f>
        <v>2025-06-01 - módosított ei, 2025/MEI-394031/11</v>
      </c>
      <c r="V629" t="str">
        <f t="shared" si="171"/>
        <v>60P394031053</v>
      </c>
      <c r="W629" t="str">
        <f t="shared" si="172"/>
        <v>60P39403105</v>
      </c>
      <c r="X629" t="str">
        <f t="shared" si="173"/>
        <v>P394031053211</v>
      </c>
      <c r="Y629" t="str">
        <f t="shared" si="174"/>
        <v>60053211</v>
      </c>
      <c r="Z629" t="str">
        <f t="shared" si="185"/>
        <v>(KÖT)053211</v>
      </c>
      <c r="AA629" t="str">
        <f t="shared" si="175"/>
        <v>60053</v>
      </c>
      <c r="AB629" t="str">
        <f t="shared" si="176"/>
        <v>(KÖT)053</v>
      </c>
      <c r="AC629" t="str">
        <f t="shared" si="177"/>
        <v>60P394031053211</v>
      </c>
      <c r="AD629" t="str">
        <f t="shared" si="178"/>
        <v>P394031053211(KÖT)</v>
      </c>
      <c r="AE629" t="str">
        <f t="shared" si="179"/>
        <v>60P394031053</v>
      </c>
      <c r="AF629" t="str">
        <f t="shared" si="180"/>
        <v>P394031053(KÖT)</v>
      </c>
      <c r="AG629" t="str">
        <f t="shared" si="186"/>
        <v>60P39403105321112100</v>
      </c>
      <c r="AH629" t="str">
        <f t="shared" si="187"/>
        <v>P394031(KÖT)05321112100</v>
      </c>
      <c r="AI629" t="str">
        <f t="shared" si="188"/>
        <v>60P39403105312100</v>
      </c>
      <c r="AJ629" t="str">
        <f t="shared" si="189"/>
        <v>P394031053(KÖT)12100</v>
      </c>
    </row>
    <row r="630" spans="1:36" x14ac:dyDescent="0.25">
      <c r="A630" s="325" t="str">
        <f>CONCATENATE("P",'906MP'!M330)</f>
        <v>P731113</v>
      </c>
      <c r="B630">
        <f>'906MP'!H330</f>
        <v>60</v>
      </c>
      <c r="C630" t="str">
        <f>'906MP'!J330</f>
        <v>2025-01-01</v>
      </c>
      <c r="D630" t="str">
        <f>'906MP'!P330</f>
        <v>módosított ei</v>
      </c>
      <c r="E630">
        <f>'906MP'!X330</f>
        <v>9947</v>
      </c>
      <c r="F630" t="str">
        <f t="shared" si="181"/>
        <v>05</v>
      </c>
      <c r="G630" t="str">
        <f t="shared" si="182"/>
        <v>051</v>
      </c>
      <c r="H630" t="str">
        <f>'906MP'!Y330</f>
        <v>051231</v>
      </c>
      <c r="I630" t="str">
        <f>'906MP'!AK330</f>
        <v>2025/MEI-731113/43</v>
      </c>
      <c r="J630" t="str">
        <f>'906MP'!T330</f>
        <v>(KÖT)</v>
      </c>
      <c r="K630" t="str">
        <f>'906MP'!AJ330</f>
        <v/>
      </c>
      <c r="L630" t="str">
        <f>'906MP'!U330</f>
        <v>11100</v>
      </c>
      <c r="M630" s="322" t="str">
        <f>IFERROR(VLOOKUP(A630,PAR!$D$3:$E$53,2,FALSE),"nincs szervezet")</f>
        <v>Nagymaros Város Önkormányzata</v>
      </c>
      <c r="N630" s="322" t="str">
        <f>VLOOKUP(F630,PAR!$R$3:$S$5,2,FALSE)</f>
        <v>2 - Kiadás</v>
      </c>
      <c r="O630" t="str">
        <f>IFERROR(VLOOKUP(J630,PAR!$O$3:$P$5,2,FALSE),"nincs feladat")</f>
        <v>1 - (KÖT)</v>
      </c>
      <c r="P630" t="str">
        <f>IFERROR(VLOOKUP(G630,PAR!$J$2:$M$19,4),"nincs rovat")</f>
        <v>K1 - Személyi juttatások</v>
      </c>
      <c r="Q630" t="str">
        <f>IF(H630&gt;0,VLOOKUP(H630,PAR!$AA$3:$AC$187,3,FALSE),"nincs főkönyvi számla")</f>
        <v>051231 -  Egyéb külső személyi juttatások előirányzata</v>
      </c>
      <c r="R630" t="str">
        <f>IFERROR(VLOOKUP(K630,PAR!$V$3:$X$438,3,FALSE),"000000 - Nincs COFOG")</f>
        <v>000000 - Nincs COFOG</v>
      </c>
      <c r="S630">
        <f t="shared" si="183"/>
        <v>9947</v>
      </c>
      <c r="T630">
        <f t="shared" si="184"/>
        <v>9947</v>
      </c>
      <c r="U630" t="str">
        <f>IF('906MP'!J330&gt;0,CONCATENATE('906MP'!J330," - ",'906MP'!P330,", ",'906MP'!E330),"nincs megjegyzés")</f>
        <v>2025-01-01 - módosított ei, 2025/MEI-731113/43</v>
      </c>
      <c r="V630" t="str">
        <f t="shared" si="171"/>
        <v>60P731113051</v>
      </c>
      <c r="W630" t="str">
        <f t="shared" si="172"/>
        <v>60P73111305</v>
      </c>
      <c r="X630" t="str">
        <f t="shared" si="173"/>
        <v>P731113051231</v>
      </c>
      <c r="Y630" t="str">
        <f t="shared" si="174"/>
        <v>60051231</v>
      </c>
      <c r="Z630" t="str">
        <f t="shared" si="185"/>
        <v>(KÖT)051231</v>
      </c>
      <c r="AA630" t="str">
        <f t="shared" si="175"/>
        <v>60051</v>
      </c>
      <c r="AB630" t="str">
        <f t="shared" si="176"/>
        <v>(KÖT)051</v>
      </c>
      <c r="AC630" t="str">
        <f t="shared" si="177"/>
        <v>60P731113051231</v>
      </c>
      <c r="AD630" t="str">
        <f t="shared" si="178"/>
        <v>P731113051231(KÖT)</v>
      </c>
      <c r="AE630" t="str">
        <f t="shared" si="179"/>
        <v>60P731113051</v>
      </c>
      <c r="AF630" t="str">
        <f t="shared" si="180"/>
        <v>P731113051(KÖT)</v>
      </c>
      <c r="AG630" t="str">
        <f t="shared" si="186"/>
        <v>60P73111305123111100</v>
      </c>
      <c r="AH630" t="str">
        <f t="shared" si="187"/>
        <v>P731113(KÖT)05123111100</v>
      </c>
      <c r="AI630" t="str">
        <f t="shared" si="188"/>
        <v>60P73111305111100</v>
      </c>
      <c r="AJ630" t="str">
        <f t="shared" si="189"/>
        <v>P731113051(KÖT)11100</v>
      </c>
    </row>
    <row r="631" spans="1:36" x14ac:dyDescent="0.25">
      <c r="A631" s="325" t="str">
        <f>CONCATENATE("P",'906MP'!M331)</f>
        <v>P731113</v>
      </c>
      <c r="B631">
        <f>'906MP'!H331</f>
        <v>60</v>
      </c>
      <c r="C631" t="str">
        <f>'906MP'!J331</f>
        <v>2025-06-01</v>
      </c>
      <c r="D631" t="str">
        <f>'906MP'!P331</f>
        <v>módosított ei</v>
      </c>
      <c r="E631">
        <f>'906MP'!X331</f>
        <v>10000</v>
      </c>
      <c r="F631" t="str">
        <f t="shared" si="181"/>
        <v>05</v>
      </c>
      <c r="G631" t="str">
        <f t="shared" si="182"/>
        <v>053</v>
      </c>
      <c r="H631" t="str">
        <f>'906MP'!Y331</f>
        <v>053551</v>
      </c>
      <c r="I631" t="str">
        <f>'906MP'!AK331</f>
        <v>2025/MEI-731113/58</v>
      </c>
      <c r="J631" t="str">
        <f>'906MP'!T331</f>
        <v>(KÖT)</v>
      </c>
      <c r="K631" t="str">
        <f>'906MP'!AJ331</f>
        <v/>
      </c>
      <c r="L631" t="str">
        <f>'906MP'!U331</f>
        <v>11100</v>
      </c>
      <c r="M631" s="322" t="str">
        <f>IFERROR(VLOOKUP(A631,PAR!$D$3:$E$53,2,FALSE),"nincs szervezet")</f>
        <v>Nagymaros Város Önkormányzata</v>
      </c>
      <c r="N631" s="322" t="str">
        <f>VLOOKUP(F631,PAR!$R$3:$S$5,2,FALSE)</f>
        <v>2 - Kiadás</v>
      </c>
      <c r="O631" t="str">
        <f>IFERROR(VLOOKUP(J631,PAR!$O$3:$P$5,2,FALSE),"nincs feladat")</f>
        <v>1 - (KÖT)</v>
      </c>
      <c r="P631" t="str">
        <f>IFERROR(VLOOKUP(G631,PAR!$J$2:$M$19,4),"nincs rovat")</f>
        <v>K3 - Dologi kiadások</v>
      </c>
      <c r="Q631" t="str">
        <f>IF(H631&gt;0,VLOOKUP(H631,PAR!$AA$3:$AC$187,3,FALSE),"nincs főkönyvi számla")</f>
        <v>053551 -  Egyéb dologi kiadások előirányzata</v>
      </c>
      <c r="R631" t="str">
        <f>IFERROR(VLOOKUP(K631,PAR!$V$3:$X$438,3,FALSE),"000000 - Nincs COFOG")</f>
        <v>000000 - Nincs COFOG</v>
      </c>
      <c r="S631">
        <f t="shared" si="183"/>
        <v>10000</v>
      </c>
      <c r="T631">
        <f t="shared" si="184"/>
        <v>10000</v>
      </c>
      <c r="U631" t="str">
        <f>IF('906MP'!J331&gt;0,CONCATENATE('906MP'!J331," - ",'906MP'!P331,", ",'906MP'!E331),"nincs megjegyzés")</f>
        <v>2025-06-01 - módosított ei, 2025/MEI-731113/58</v>
      </c>
      <c r="V631" t="str">
        <f t="shared" si="171"/>
        <v>60P731113053</v>
      </c>
      <c r="W631" t="str">
        <f t="shared" si="172"/>
        <v>60P73111305</v>
      </c>
      <c r="X631" t="str">
        <f t="shared" si="173"/>
        <v>P731113053551</v>
      </c>
      <c r="Y631" t="str">
        <f t="shared" si="174"/>
        <v>60053551</v>
      </c>
      <c r="Z631" t="str">
        <f t="shared" si="185"/>
        <v>(KÖT)053551</v>
      </c>
      <c r="AA631" t="str">
        <f t="shared" si="175"/>
        <v>60053</v>
      </c>
      <c r="AB631" t="str">
        <f t="shared" si="176"/>
        <v>(KÖT)053</v>
      </c>
      <c r="AC631" t="str">
        <f t="shared" si="177"/>
        <v>60P731113053551</v>
      </c>
      <c r="AD631" t="str">
        <f t="shared" si="178"/>
        <v>P731113053551(KÖT)</v>
      </c>
      <c r="AE631" t="str">
        <f t="shared" si="179"/>
        <v>60P731113053</v>
      </c>
      <c r="AF631" t="str">
        <f t="shared" si="180"/>
        <v>P731113053(KÖT)</v>
      </c>
      <c r="AG631" t="str">
        <f t="shared" si="186"/>
        <v>60P73111305355111100</v>
      </c>
      <c r="AH631" t="str">
        <f t="shared" si="187"/>
        <v>P731113(KÖT)05355111100</v>
      </c>
      <c r="AI631" t="str">
        <f t="shared" si="188"/>
        <v>60P73111305311100</v>
      </c>
      <c r="AJ631" t="str">
        <f t="shared" si="189"/>
        <v>P731113053(KÖT)11100</v>
      </c>
    </row>
    <row r="632" spans="1:36" x14ac:dyDescent="0.25">
      <c r="A632" s="325" t="str">
        <f>CONCATENATE("P",'906MP'!M332)</f>
        <v>P731113</v>
      </c>
      <c r="B632">
        <f>'906MP'!H332</f>
        <v>60</v>
      </c>
      <c r="C632" t="str">
        <f>'906MP'!J332</f>
        <v>2025-06-01</v>
      </c>
      <c r="D632" t="str">
        <f>'906MP'!P332</f>
        <v>módosított ei</v>
      </c>
      <c r="E632">
        <f>'906MP'!X332</f>
        <v>-10000</v>
      </c>
      <c r="F632" t="str">
        <f t="shared" si="181"/>
        <v>05</v>
      </c>
      <c r="G632" t="str">
        <f t="shared" si="182"/>
        <v>053</v>
      </c>
      <c r="H632" t="str">
        <f>'906MP'!Y332</f>
        <v>053511</v>
      </c>
      <c r="I632" t="str">
        <f>'906MP'!AK332</f>
        <v>2025/MEI-731113/58</v>
      </c>
      <c r="J632" t="str">
        <f>'906MP'!T332</f>
        <v>(KÖT)</v>
      </c>
      <c r="K632" t="str">
        <f>'906MP'!AJ332</f>
        <v/>
      </c>
      <c r="L632" t="str">
        <f>'906MP'!U332</f>
        <v>11100</v>
      </c>
      <c r="M632" s="322" t="str">
        <f>IFERROR(VLOOKUP(A632,PAR!$D$3:$E$53,2,FALSE),"nincs szervezet")</f>
        <v>Nagymaros Város Önkormányzata</v>
      </c>
      <c r="N632" s="322" t="str">
        <f>VLOOKUP(F632,PAR!$R$3:$S$5,2,FALSE)</f>
        <v>2 - Kiadás</v>
      </c>
      <c r="O632" t="str">
        <f>IFERROR(VLOOKUP(J632,PAR!$O$3:$P$5,2,FALSE),"nincs feladat")</f>
        <v>1 - (KÖT)</v>
      </c>
      <c r="P632" t="str">
        <f>IFERROR(VLOOKUP(G632,PAR!$J$2:$M$19,4),"nincs rovat")</f>
        <v>K3 - Dologi kiadások</v>
      </c>
      <c r="Q632" t="str">
        <f>IF(H632&gt;0,VLOOKUP(H632,PAR!$AA$3:$AC$187,3,FALSE),"nincs főkönyvi számla")</f>
        <v>053511 -  Működési célú előzetesen felszámított általános forgalmi adó előirányzata</v>
      </c>
      <c r="R632" t="str">
        <f>IFERROR(VLOOKUP(K632,PAR!$V$3:$X$438,3,FALSE),"000000 - Nincs COFOG")</f>
        <v>000000 - Nincs COFOG</v>
      </c>
      <c r="S632">
        <f t="shared" si="183"/>
        <v>-10000</v>
      </c>
      <c r="T632">
        <f t="shared" si="184"/>
        <v>-10000</v>
      </c>
      <c r="U632" t="str">
        <f>IF('906MP'!J332&gt;0,CONCATENATE('906MP'!J332," - ",'906MP'!P332,", ",'906MP'!E332),"nincs megjegyzés")</f>
        <v>2025-06-01 - módosított ei, 2025/MEI-731113/58</v>
      </c>
      <c r="V632" t="str">
        <f t="shared" si="171"/>
        <v>60P731113053</v>
      </c>
      <c r="W632" t="str">
        <f t="shared" si="172"/>
        <v>60P73111305</v>
      </c>
      <c r="X632" t="str">
        <f t="shared" si="173"/>
        <v>P731113053511</v>
      </c>
      <c r="Y632" t="str">
        <f t="shared" si="174"/>
        <v>60053511</v>
      </c>
      <c r="Z632" t="str">
        <f t="shared" si="185"/>
        <v>(KÖT)053511</v>
      </c>
      <c r="AA632" t="str">
        <f t="shared" si="175"/>
        <v>60053</v>
      </c>
      <c r="AB632" t="str">
        <f t="shared" si="176"/>
        <v>(KÖT)053</v>
      </c>
      <c r="AC632" t="str">
        <f t="shared" si="177"/>
        <v>60P731113053511</v>
      </c>
      <c r="AD632" t="str">
        <f t="shared" si="178"/>
        <v>P731113053511(KÖT)</v>
      </c>
      <c r="AE632" t="str">
        <f t="shared" si="179"/>
        <v>60P731113053</v>
      </c>
      <c r="AF632" t="str">
        <f t="shared" si="180"/>
        <v>P731113053(KÖT)</v>
      </c>
      <c r="AG632" t="str">
        <f t="shared" si="186"/>
        <v>60P73111305351111100</v>
      </c>
      <c r="AH632" t="str">
        <f t="shared" si="187"/>
        <v>P731113(KÖT)05351111100</v>
      </c>
      <c r="AI632" t="str">
        <f t="shared" si="188"/>
        <v>60P73111305311100</v>
      </c>
      <c r="AJ632" t="str">
        <f t="shared" si="189"/>
        <v>P731113053(KÖT)11100</v>
      </c>
    </row>
    <row r="633" spans="1:36" x14ac:dyDescent="0.25">
      <c r="A633" s="325" t="str">
        <f>CONCATENATE("P",'906MP'!M333)</f>
        <v>P731113</v>
      </c>
      <c r="B633">
        <f>'906MP'!H333</f>
        <v>60</v>
      </c>
      <c r="C633" t="str">
        <f>'906MP'!J333</f>
        <v>2025-01-01</v>
      </c>
      <c r="D633" t="str">
        <f>'906MP'!P333</f>
        <v>módosított ei</v>
      </c>
      <c r="E633">
        <f>'906MP'!X333</f>
        <v>3000000</v>
      </c>
      <c r="F633" t="str">
        <f t="shared" si="181"/>
        <v>05</v>
      </c>
      <c r="G633" t="str">
        <f t="shared" si="182"/>
        <v>053</v>
      </c>
      <c r="H633" t="str">
        <f>'906MP'!Y333</f>
        <v>053361</v>
      </c>
      <c r="I633" t="str">
        <f>'906MP'!AK333</f>
        <v>2025/MEI-731113/81</v>
      </c>
      <c r="J633" t="str">
        <f>'906MP'!T333</f>
        <v>(KÖT)</v>
      </c>
      <c r="K633" t="str">
        <f>'906MP'!AJ333</f>
        <v/>
      </c>
      <c r="L633" t="str">
        <f>'906MP'!U333</f>
        <v>11100</v>
      </c>
      <c r="M633" s="322" t="str">
        <f>IFERROR(VLOOKUP(A633,PAR!$D$3:$E$53,2,FALSE),"nincs szervezet")</f>
        <v>Nagymaros Város Önkormányzata</v>
      </c>
      <c r="N633" s="322" t="str">
        <f>VLOOKUP(F633,PAR!$R$3:$S$5,2,FALSE)</f>
        <v>2 - Kiadás</v>
      </c>
      <c r="O633" t="str">
        <f>IFERROR(VLOOKUP(J633,PAR!$O$3:$P$5,2,FALSE),"nincs feladat")</f>
        <v>1 - (KÖT)</v>
      </c>
      <c r="P633" t="str">
        <f>IFERROR(VLOOKUP(G633,PAR!$J$2:$M$19,4),"nincs rovat")</f>
        <v>K3 - Dologi kiadások</v>
      </c>
      <c r="Q633" t="str">
        <f>IF(H633&gt;0,VLOOKUP(H633,PAR!$AA$3:$AC$187,3,FALSE),"nincs főkönyvi számla")</f>
        <v>053361 -  Szakmai tevékenységet segítő szolgáltatások előirányzata</v>
      </c>
      <c r="R633" t="str">
        <f>IFERROR(VLOOKUP(K633,PAR!$V$3:$X$438,3,FALSE),"000000 - Nincs COFOG")</f>
        <v>000000 - Nincs COFOG</v>
      </c>
      <c r="S633">
        <f t="shared" si="183"/>
        <v>3000000</v>
      </c>
      <c r="T633">
        <f t="shared" si="184"/>
        <v>3000000</v>
      </c>
      <c r="U633" t="str">
        <f>IF('906MP'!J333&gt;0,CONCATENATE('906MP'!J333," - ",'906MP'!P333,", ",'906MP'!E333),"nincs megjegyzés")</f>
        <v>2025-01-01 - módosított ei, 2025/MEI-731113/81</v>
      </c>
      <c r="V633" t="str">
        <f t="shared" si="171"/>
        <v>60P731113053</v>
      </c>
      <c r="W633" t="str">
        <f t="shared" si="172"/>
        <v>60P73111305</v>
      </c>
      <c r="X633" t="str">
        <f t="shared" si="173"/>
        <v>P731113053361</v>
      </c>
      <c r="Y633" t="str">
        <f t="shared" si="174"/>
        <v>60053361</v>
      </c>
      <c r="Z633" t="str">
        <f t="shared" si="185"/>
        <v>(KÖT)053361</v>
      </c>
      <c r="AA633" t="str">
        <f t="shared" si="175"/>
        <v>60053</v>
      </c>
      <c r="AB633" t="str">
        <f t="shared" si="176"/>
        <v>(KÖT)053</v>
      </c>
      <c r="AC633" t="str">
        <f t="shared" si="177"/>
        <v>60P731113053361</v>
      </c>
      <c r="AD633" t="str">
        <f t="shared" si="178"/>
        <v>P731113053361(KÖT)</v>
      </c>
      <c r="AE633" t="str">
        <f t="shared" si="179"/>
        <v>60P731113053</v>
      </c>
      <c r="AF633" t="str">
        <f t="shared" si="180"/>
        <v>P731113053(KÖT)</v>
      </c>
      <c r="AG633" t="str">
        <f t="shared" si="186"/>
        <v>60P73111305336111100</v>
      </c>
      <c r="AH633" t="str">
        <f t="shared" si="187"/>
        <v>P731113(KÖT)05336111100</v>
      </c>
      <c r="AI633" t="str">
        <f t="shared" si="188"/>
        <v>60P73111305311100</v>
      </c>
      <c r="AJ633" t="str">
        <f t="shared" si="189"/>
        <v>P731113053(KÖT)11100</v>
      </c>
    </row>
    <row r="634" spans="1:36" x14ac:dyDescent="0.25">
      <c r="A634" s="325" t="str">
        <f>CONCATENATE("P",'906MP'!M334)</f>
        <v>P731113</v>
      </c>
      <c r="B634">
        <f>'906MP'!H334</f>
        <v>60</v>
      </c>
      <c r="C634" t="str">
        <f>'906MP'!J334</f>
        <v>2025-01-01</v>
      </c>
      <c r="D634" t="str">
        <f>'906MP'!P334</f>
        <v>módosított ei</v>
      </c>
      <c r="E634">
        <f>'906MP'!X334</f>
        <v>-3000000</v>
      </c>
      <c r="F634" t="str">
        <f t="shared" si="181"/>
        <v>05</v>
      </c>
      <c r="G634" t="str">
        <f t="shared" si="182"/>
        <v>053</v>
      </c>
      <c r="H634" t="str">
        <f>'906MP'!Y334</f>
        <v>053371</v>
      </c>
      <c r="I634" t="str">
        <f>'906MP'!AK334</f>
        <v>2025/MEI-731113/81</v>
      </c>
      <c r="J634" t="str">
        <f>'906MP'!T334</f>
        <v>(KÖT)</v>
      </c>
      <c r="K634" t="str">
        <f>'906MP'!AJ334</f>
        <v/>
      </c>
      <c r="L634" t="str">
        <f>'906MP'!U334</f>
        <v>11100</v>
      </c>
      <c r="M634" s="322" t="str">
        <f>IFERROR(VLOOKUP(A634,PAR!$D$3:$E$53,2,FALSE),"nincs szervezet")</f>
        <v>Nagymaros Város Önkormányzata</v>
      </c>
      <c r="N634" s="322" t="str">
        <f>VLOOKUP(F634,PAR!$R$3:$S$5,2,FALSE)</f>
        <v>2 - Kiadás</v>
      </c>
      <c r="O634" t="str">
        <f>IFERROR(VLOOKUP(J634,PAR!$O$3:$P$5,2,FALSE),"nincs feladat")</f>
        <v>1 - (KÖT)</v>
      </c>
      <c r="P634" t="str">
        <f>IFERROR(VLOOKUP(G634,PAR!$J$2:$M$19,4),"nincs rovat")</f>
        <v>K3 - Dologi kiadások</v>
      </c>
      <c r="Q634" t="str">
        <f>IF(H634&gt;0,VLOOKUP(H634,PAR!$AA$3:$AC$187,3,FALSE),"nincs főkönyvi számla")</f>
        <v>053371 -  Egyéb szolgáltatások előirányzata</v>
      </c>
      <c r="R634" t="str">
        <f>IFERROR(VLOOKUP(K634,PAR!$V$3:$X$438,3,FALSE),"000000 - Nincs COFOG")</f>
        <v>000000 - Nincs COFOG</v>
      </c>
      <c r="S634">
        <f t="shared" si="183"/>
        <v>-3000000</v>
      </c>
      <c r="T634">
        <f t="shared" si="184"/>
        <v>-3000000</v>
      </c>
      <c r="U634" t="str">
        <f>IF('906MP'!J334&gt;0,CONCATENATE('906MP'!J334," - ",'906MP'!P334,", ",'906MP'!E334),"nincs megjegyzés")</f>
        <v>2025-01-01 - módosított ei, 2025/MEI-731113/81</v>
      </c>
      <c r="V634" t="str">
        <f t="shared" si="171"/>
        <v>60P731113053</v>
      </c>
      <c r="W634" t="str">
        <f t="shared" si="172"/>
        <v>60P73111305</v>
      </c>
      <c r="X634" t="str">
        <f t="shared" si="173"/>
        <v>P731113053371</v>
      </c>
      <c r="Y634" t="str">
        <f t="shared" si="174"/>
        <v>60053371</v>
      </c>
      <c r="Z634" t="str">
        <f t="shared" si="185"/>
        <v>(KÖT)053371</v>
      </c>
      <c r="AA634" t="str">
        <f t="shared" si="175"/>
        <v>60053</v>
      </c>
      <c r="AB634" t="str">
        <f t="shared" si="176"/>
        <v>(KÖT)053</v>
      </c>
      <c r="AC634" t="str">
        <f t="shared" si="177"/>
        <v>60P731113053371</v>
      </c>
      <c r="AD634" t="str">
        <f t="shared" si="178"/>
        <v>P731113053371(KÖT)</v>
      </c>
      <c r="AE634" t="str">
        <f t="shared" si="179"/>
        <v>60P731113053</v>
      </c>
      <c r="AF634" t="str">
        <f t="shared" si="180"/>
        <v>P731113053(KÖT)</v>
      </c>
      <c r="AG634" t="str">
        <f t="shared" si="186"/>
        <v>60P73111305337111100</v>
      </c>
      <c r="AH634" t="str">
        <f t="shared" si="187"/>
        <v>P731113(KÖT)05337111100</v>
      </c>
      <c r="AI634" t="str">
        <f t="shared" si="188"/>
        <v>60P73111305311100</v>
      </c>
      <c r="AJ634" t="str">
        <f t="shared" si="189"/>
        <v>P731113053(KÖT)11100</v>
      </c>
    </row>
    <row r="635" spans="1:36" x14ac:dyDescent="0.25">
      <c r="A635" s="325" t="str">
        <f>CONCATENATE("P",'906MP'!M335)</f>
        <v>P</v>
      </c>
      <c r="B635">
        <f>'906MP'!H335</f>
        <v>0</v>
      </c>
      <c r="C635">
        <f>'906MP'!J335</f>
        <v>0</v>
      </c>
      <c r="D635">
        <f>'906MP'!P335</f>
        <v>0</v>
      </c>
      <c r="E635">
        <f>'906MP'!X335</f>
        <v>0</v>
      </c>
      <c r="F635" t="str">
        <f t="shared" si="181"/>
        <v>0</v>
      </c>
      <c r="G635" t="str">
        <f t="shared" si="182"/>
        <v>0</v>
      </c>
      <c r="H635">
        <f>'906MP'!Y335</f>
        <v>0</v>
      </c>
      <c r="I635">
        <f>'906MP'!AK335</f>
        <v>0</v>
      </c>
      <c r="J635">
        <f>'906MP'!T335</f>
        <v>0</v>
      </c>
      <c r="K635">
        <f>'906MP'!AJ335</f>
        <v>0</v>
      </c>
      <c r="L635">
        <f>'906MP'!U335</f>
        <v>0</v>
      </c>
      <c r="M635" s="322" t="str">
        <f>IFERROR(VLOOKUP(A635,PAR!$D$3:$E$53,2,FALSE),"nincs szervezet")</f>
        <v>nincs szervezet</v>
      </c>
      <c r="N635" s="322" t="str">
        <f>VLOOKUP(F635,PAR!$R$3:$S$5,2,FALSE)</f>
        <v>3 - egyik sem</v>
      </c>
      <c r="O635" t="str">
        <f>IFERROR(VLOOKUP(J635,PAR!$O$3:$P$5,2,FALSE),"nincs feladat")</f>
        <v>nincs feladat</v>
      </c>
      <c r="P635" t="str">
        <f>IFERROR(VLOOKUP(G635,PAR!$J$2:$M$19,4),"nincs rovat")</f>
        <v>nincs rovat</v>
      </c>
      <c r="Q635" t="str">
        <f>IF(H635&gt;0,VLOOKUP(H635,PAR!$AA$3:$AC$187,3,FALSE),"nincs főkönyvi számla")</f>
        <v>nincs főkönyvi számla</v>
      </c>
      <c r="R635" t="str">
        <f>IFERROR(VLOOKUP(K635,PAR!$V$3:$X$438,3,FALSE),"000000 - Nincs COFOG")</f>
        <v>000000 - Nincs COFOG</v>
      </c>
      <c r="S635">
        <f t="shared" si="183"/>
        <v>0</v>
      </c>
      <c r="T635">
        <f t="shared" si="184"/>
        <v>0</v>
      </c>
      <c r="U635" t="str">
        <f>IF('906MP'!J335&gt;0,CONCATENATE('906MP'!J335," - ",'906MP'!P335,", ",'906MP'!E335),"nincs megjegyzés")</f>
        <v>nincs megjegyzés</v>
      </c>
      <c r="V635" t="str">
        <f t="shared" si="171"/>
        <v>0P0</v>
      </c>
      <c r="W635" t="str">
        <f t="shared" si="172"/>
        <v>0P0</v>
      </c>
      <c r="X635" t="str">
        <f t="shared" si="173"/>
        <v>P0</v>
      </c>
      <c r="Y635" t="str">
        <f t="shared" si="174"/>
        <v>00</v>
      </c>
      <c r="Z635" t="str">
        <f t="shared" si="185"/>
        <v>00</v>
      </c>
      <c r="AA635" t="str">
        <f t="shared" si="175"/>
        <v>00</v>
      </c>
      <c r="AB635" t="str">
        <f t="shared" si="176"/>
        <v>00</v>
      </c>
      <c r="AC635" t="str">
        <f t="shared" si="177"/>
        <v>0P0</v>
      </c>
      <c r="AD635" t="str">
        <f t="shared" si="178"/>
        <v>P00</v>
      </c>
      <c r="AE635" t="str">
        <f t="shared" si="179"/>
        <v>0P0</v>
      </c>
      <c r="AF635" t="str">
        <f t="shared" si="180"/>
        <v>P00</v>
      </c>
      <c r="AG635" t="str">
        <f t="shared" si="186"/>
        <v>0P00</v>
      </c>
      <c r="AH635" t="str">
        <f t="shared" si="187"/>
        <v>P000</v>
      </c>
      <c r="AI635" t="str">
        <f t="shared" si="188"/>
        <v>0P00</v>
      </c>
      <c r="AJ635" t="str">
        <f t="shared" si="189"/>
        <v>P000</v>
      </c>
    </row>
    <row r="636" spans="1:36" x14ac:dyDescent="0.25">
      <c r="A636" s="325" t="str">
        <f>CONCATENATE("P",'906MP'!M336)</f>
        <v>P</v>
      </c>
      <c r="B636">
        <f>'906MP'!H336</f>
        <v>0</v>
      </c>
      <c r="C636">
        <f>'906MP'!J336</f>
        <v>0</v>
      </c>
      <c r="D636">
        <f>'906MP'!P336</f>
        <v>0</v>
      </c>
      <c r="E636">
        <f>'906MP'!X336</f>
        <v>0</v>
      </c>
      <c r="F636" t="str">
        <f t="shared" si="181"/>
        <v>0</v>
      </c>
      <c r="G636" t="str">
        <f t="shared" si="182"/>
        <v>0</v>
      </c>
      <c r="H636">
        <f>'906MP'!Y336</f>
        <v>0</v>
      </c>
      <c r="I636">
        <f>'906MP'!AK336</f>
        <v>0</v>
      </c>
      <c r="J636">
        <f>'906MP'!T336</f>
        <v>0</v>
      </c>
      <c r="K636">
        <f>'906MP'!AJ336</f>
        <v>0</v>
      </c>
      <c r="L636">
        <f>'906MP'!U336</f>
        <v>0</v>
      </c>
      <c r="M636" s="322" t="str">
        <f>IFERROR(VLOOKUP(A636,PAR!$D$3:$E$53,2,FALSE),"nincs szervezet")</f>
        <v>nincs szervezet</v>
      </c>
      <c r="N636" s="322" t="str">
        <f>VLOOKUP(F636,PAR!$R$3:$S$5,2,FALSE)</f>
        <v>3 - egyik sem</v>
      </c>
      <c r="O636" t="str">
        <f>IFERROR(VLOOKUP(J636,PAR!$O$3:$P$5,2,FALSE),"nincs feladat")</f>
        <v>nincs feladat</v>
      </c>
      <c r="P636" t="str">
        <f>IFERROR(VLOOKUP(G636,PAR!$J$2:$M$19,4),"nincs rovat")</f>
        <v>nincs rovat</v>
      </c>
      <c r="Q636" t="str">
        <f>IF(H636&gt;0,VLOOKUP(H636,PAR!$AA$3:$AC$187,3,FALSE),"nincs főkönyvi számla")</f>
        <v>nincs főkönyvi számla</v>
      </c>
      <c r="R636" t="str">
        <f>IFERROR(VLOOKUP(K636,PAR!$V$3:$X$438,3,FALSE),"000000 - Nincs COFOG")</f>
        <v>000000 - Nincs COFOG</v>
      </c>
      <c r="S636">
        <f t="shared" si="183"/>
        <v>0</v>
      </c>
      <c r="T636">
        <f t="shared" si="184"/>
        <v>0</v>
      </c>
      <c r="U636" t="str">
        <f>IF('906MP'!J336&gt;0,CONCATENATE('906MP'!J336," - ",'906MP'!P336,", ",'906MP'!E336),"nincs megjegyzés")</f>
        <v>nincs megjegyzés</v>
      </c>
      <c r="V636" t="str">
        <f t="shared" si="171"/>
        <v>0P0</v>
      </c>
      <c r="W636" t="str">
        <f t="shared" si="172"/>
        <v>0P0</v>
      </c>
      <c r="X636" t="str">
        <f t="shared" si="173"/>
        <v>P0</v>
      </c>
      <c r="Y636" t="str">
        <f t="shared" si="174"/>
        <v>00</v>
      </c>
      <c r="Z636" t="str">
        <f t="shared" si="185"/>
        <v>00</v>
      </c>
      <c r="AA636" t="str">
        <f t="shared" si="175"/>
        <v>00</v>
      </c>
      <c r="AB636" t="str">
        <f t="shared" si="176"/>
        <v>00</v>
      </c>
      <c r="AC636" t="str">
        <f t="shared" si="177"/>
        <v>0P0</v>
      </c>
      <c r="AD636" t="str">
        <f t="shared" si="178"/>
        <v>P00</v>
      </c>
      <c r="AE636" t="str">
        <f t="shared" si="179"/>
        <v>0P0</v>
      </c>
      <c r="AF636" t="str">
        <f t="shared" si="180"/>
        <v>P00</v>
      </c>
      <c r="AG636" t="str">
        <f t="shared" si="186"/>
        <v>0P00</v>
      </c>
      <c r="AH636" t="str">
        <f t="shared" si="187"/>
        <v>P000</v>
      </c>
      <c r="AI636" t="str">
        <f t="shared" si="188"/>
        <v>0P00</v>
      </c>
      <c r="AJ636" t="str">
        <f t="shared" si="189"/>
        <v>P000</v>
      </c>
    </row>
    <row r="637" spans="1:36" x14ac:dyDescent="0.25">
      <c r="A637" s="325" t="str">
        <f>CONCATENATE("P",'906MP'!M337)</f>
        <v>P</v>
      </c>
      <c r="B637">
        <f>'906MP'!H337</f>
        <v>0</v>
      </c>
      <c r="C637">
        <f>'906MP'!J337</f>
        <v>0</v>
      </c>
      <c r="D637">
        <f>'906MP'!P337</f>
        <v>0</v>
      </c>
      <c r="E637">
        <f>'906MP'!X337</f>
        <v>0</v>
      </c>
      <c r="F637" t="str">
        <f t="shared" si="181"/>
        <v>0</v>
      </c>
      <c r="G637" t="str">
        <f t="shared" si="182"/>
        <v>0</v>
      </c>
      <c r="H637">
        <f>'906MP'!Y337</f>
        <v>0</v>
      </c>
      <c r="I637">
        <f>'906MP'!AK337</f>
        <v>0</v>
      </c>
      <c r="J637">
        <f>'906MP'!T337</f>
        <v>0</v>
      </c>
      <c r="K637">
        <f>'906MP'!AJ337</f>
        <v>0</v>
      </c>
      <c r="L637">
        <f>'906MP'!U337</f>
        <v>0</v>
      </c>
      <c r="M637" s="322" t="str">
        <f>IFERROR(VLOOKUP(A637,PAR!$D$3:$E$53,2,FALSE),"nincs szervezet")</f>
        <v>nincs szervezet</v>
      </c>
      <c r="N637" s="322" t="str">
        <f>VLOOKUP(F637,PAR!$R$3:$S$5,2,FALSE)</f>
        <v>3 - egyik sem</v>
      </c>
      <c r="O637" t="str">
        <f>IFERROR(VLOOKUP(J637,PAR!$O$3:$P$5,2,FALSE),"nincs feladat")</f>
        <v>nincs feladat</v>
      </c>
      <c r="P637" t="str">
        <f>IFERROR(VLOOKUP(G637,PAR!$J$2:$M$19,4),"nincs rovat")</f>
        <v>nincs rovat</v>
      </c>
      <c r="Q637" t="str">
        <f>IF(H637&gt;0,VLOOKUP(H637,PAR!$AA$3:$AC$187,3,FALSE),"nincs főkönyvi számla")</f>
        <v>nincs főkönyvi számla</v>
      </c>
      <c r="R637" t="str">
        <f>IFERROR(VLOOKUP(K637,PAR!$V$3:$X$438,3,FALSE),"000000 - Nincs COFOG")</f>
        <v>000000 - Nincs COFOG</v>
      </c>
      <c r="S637">
        <f t="shared" si="183"/>
        <v>0</v>
      </c>
      <c r="T637">
        <f t="shared" si="184"/>
        <v>0</v>
      </c>
      <c r="U637" t="str">
        <f>IF('906MP'!J337&gt;0,CONCATENATE('906MP'!J337," - ",'906MP'!P337,", ",'906MP'!E337),"nincs megjegyzés")</f>
        <v>nincs megjegyzés</v>
      </c>
      <c r="V637" t="str">
        <f t="shared" si="171"/>
        <v>0P0</v>
      </c>
      <c r="W637" t="str">
        <f t="shared" si="172"/>
        <v>0P0</v>
      </c>
      <c r="X637" t="str">
        <f t="shared" si="173"/>
        <v>P0</v>
      </c>
      <c r="Y637" t="str">
        <f t="shared" si="174"/>
        <v>00</v>
      </c>
      <c r="Z637" t="str">
        <f t="shared" si="185"/>
        <v>00</v>
      </c>
      <c r="AA637" t="str">
        <f t="shared" si="175"/>
        <v>00</v>
      </c>
      <c r="AB637" t="str">
        <f t="shared" si="176"/>
        <v>00</v>
      </c>
      <c r="AC637" t="str">
        <f t="shared" si="177"/>
        <v>0P0</v>
      </c>
      <c r="AD637" t="str">
        <f t="shared" si="178"/>
        <v>P00</v>
      </c>
      <c r="AE637" t="str">
        <f t="shared" si="179"/>
        <v>0P0</v>
      </c>
      <c r="AF637" t="str">
        <f t="shared" si="180"/>
        <v>P00</v>
      </c>
      <c r="AG637" t="str">
        <f t="shared" si="186"/>
        <v>0P00</v>
      </c>
      <c r="AH637" t="str">
        <f t="shared" si="187"/>
        <v>P000</v>
      </c>
      <c r="AI637" t="str">
        <f t="shared" si="188"/>
        <v>0P00</v>
      </c>
      <c r="AJ637" t="str">
        <f t="shared" si="189"/>
        <v>P000</v>
      </c>
    </row>
    <row r="638" spans="1:36" x14ac:dyDescent="0.25">
      <c r="A638" s="325" t="str">
        <f>CONCATENATE("P",'906MP'!M338)</f>
        <v>P</v>
      </c>
      <c r="B638">
        <f>'906MP'!H338</f>
        <v>0</v>
      </c>
      <c r="C638">
        <f>'906MP'!J338</f>
        <v>0</v>
      </c>
      <c r="D638">
        <f>'906MP'!P338</f>
        <v>0</v>
      </c>
      <c r="E638">
        <f>'906MP'!X338</f>
        <v>0</v>
      </c>
      <c r="F638" t="str">
        <f t="shared" si="181"/>
        <v>0</v>
      </c>
      <c r="G638" t="str">
        <f t="shared" si="182"/>
        <v>0</v>
      </c>
      <c r="H638">
        <f>'906MP'!Y338</f>
        <v>0</v>
      </c>
      <c r="I638">
        <f>'906MP'!AK338</f>
        <v>0</v>
      </c>
      <c r="J638">
        <f>'906MP'!T338</f>
        <v>0</v>
      </c>
      <c r="K638">
        <f>'906MP'!AJ338</f>
        <v>0</v>
      </c>
      <c r="L638">
        <f>'906MP'!U338</f>
        <v>0</v>
      </c>
      <c r="M638" s="322" t="str">
        <f>IFERROR(VLOOKUP(A638,PAR!$D$3:$E$53,2,FALSE),"nincs szervezet")</f>
        <v>nincs szervezet</v>
      </c>
      <c r="N638" s="322" t="str">
        <f>VLOOKUP(F638,PAR!$R$3:$S$5,2,FALSE)</f>
        <v>3 - egyik sem</v>
      </c>
      <c r="O638" t="str">
        <f>IFERROR(VLOOKUP(J638,PAR!$O$3:$P$5,2,FALSE),"nincs feladat")</f>
        <v>nincs feladat</v>
      </c>
      <c r="P638" t="str">
        <f>IFERROR(VLOOKUP(G638,PAR!$J$2:$M$19,4),"nincs rovat")</f>
        <v>nincs rovat</v>
      </c>
      <c r="Q638" t="str">
        <f>IF(H638&gt;0,VLOOKUP(H638,PAR!$AA$3:$AC$187,3,FALSE),"nincs főkönyvi számla")</f>
        <v>nincs főkönyvi számla</v>
      </c>
      <c r="R638" t="str">
        <f>IFERROR(VLOOKUP(K638,PAR!$V$3:$X$438,3,FALSE),"000000 - Nincs COFOG")</f>
        <v>000000 - Nincs COFOG</v>
      </c>
      <c r="S638">
        <f t="shared" si="183"/>
        <v>0</v>
      </c>
      <c r="T638">
        <f t="shared" si="184"/>
        <v>0</v>
      </c>
      <c r="U638" t="str">
        <f>IF('906MP'!J338&gt;0,CONCATENATE('906MP'!J338," - ",'906MP'!P338,", ",'906MP'!E338),"nincs megjegyzés")</f>
        <v>nincs megjegyzés</v>
      </c>
      <c r="V638" t="str">
        <f t="shared" si="171"/>
        <v>0P0</v>
      </c>
      <c r="W638" t="str">
        <f t="shared" si="172"/>
        <v>0P0</v>
      </c>
      <c r="X638" t="str">
        <f t="shared" si="173"/>
        <v>P0</v>
      </c>
      <c r="Y638" t="str">
        <f t="shared" si="174"/>
        <v>00</v>
      </c>
      <c r="Z638" t="str">
        <f t="shared" si="185"/>
        <v>00</v>
      </c>
      <c r="AA638" t="str">
        <f t="shared" si="175"/>
        <v>00</v>
      </c>
      <c r="AB638" t="str">
        <f t="shared" si="176"/>
        <v>00</v>
      </c>
      <c r="AC638" t="str">
        <f t="shared" si="177"/>
        <v>0P0</v>
      </c>
      <c r="AD638" t="str">
        <f t="shared" si="178"/>
        <v>P00</v>
      </c>
      <c r="AE638" t="str">
        <f t="shared" si="179"/>
        <v>0P0</v>
      </c>
      <c r="AF638" t="str">
        <f t="shared" si="180"/>
        <v>P00</v>
      </c>
      <c r="AG638" t="str">
        <f t="shared" si="186"/>
        <v>0P00</v>
      </c>
      <c r="AH638" t="str">
        <f t="shared" si="187"/>
        <v>P000</v>
      </c>
      <c r="AI638" t="str">
        <f t="shared" si="188"/>
        <v>0P00</v>
      </c>
      <c r="AJ638" t="str">
        <f t="shared" si="189"/>
        <v>P000</v>
      </c>
    </row>
    <row r="639" spans="1:36" x14ac:dyDescent="0.25">
      <c r="A639" s="325" t="str">
        <f>CONCATENATE("P",'906MP'!M339)</f>
        <v>P</v>
      </c>
      <c r="B639">
        <f>'906MP'!H339</f>
        <v>0</v>
      </c>
      <c r="C639">
        <f>'906MP'!J339</f>
        <v>0</v>
      </c>
      <c r="D639">
        <f>'906MP'!P339</f>
        <v>0</v>
      </c>
      <c r="E639">
        <f>'906MP'!X339</f>
        <v>0</v>
      </c>
      <c r="F639" t="str">
        <f t="shared" si="181"/>
        <v>0</v>
      </c>
      <c r="G639" t="str">
        <f t="shared" si="182"/>
        <v>0</v>
      </c>
      <c r="H639">
        <f>'906MP'!Y339</f>
        <v>0</v>
      </c>
      <c r="I639">
        <f>'906MP'!AK339</f>
        <v>0</v>
      </c>
      <c r="J639">
        <f>'906MP'!T339</f>
        <v>0</v>
      </c>
      <c r="K639">
        <f>'906MP'!AJ339</f>
        <v>0</v>
      </c>
      <c r="L639">
        <f>'906MP'!U339</f>
        <v>0</v>
      </c>
      <c r="M639" s="322" t="str">
        <f>IFERROR(VLOOKUP(A639,PAR!$D$3:$E$53,2,FALSE),"nincs szervezet")</f>
        <v>nincs szervezet</v>
      </c>
      <c r="N639" s="322" t="str">
        <f>VLOOKUP(F639,PAR!$R$3:$S$5,2,FALSE)</f>
        <v>3 - egyik sem</v>
      </c>
      <c r="O639" t="str">
        <f>IFERROR(VLOOKUP(J639,PAR!$O$3:$P$5,2,FALSE),"nincs feladat")</f>
        <v>nincs feladat</v>
      </c>
      <c r="P639" t="str">
        <f>IFERROR(VLOOKUP(G639,PAR!$J$2:$M$19,4),"nincs rovat")</f>
        <v>nincs rovat</v>
      </c>
      <c r="Q639" t="str">
        <f>IF(H639&gt;0,VLOOKUP(H639,PAR!$AA$3:$AC$187,3,FALSE),"nincs főkönyvi számla")</f>
        <v>nincs főkönyvi számla</v>
      </c>
      <c r="R639" t="str">
        <f>IFERROR(VLOOKUP(K639,PAR!$V$3:$X$438,3,FALSE),"000000 - Nincs COFOG")</f>
        <v>000000 - Nincs COFOG</v>
      </c>
      <c r="S639">
        <f t="shared" si="183"/>
        <v>0</v>
      </c>
      <c r="T639">
        <f t="shared" si="184"/>
        <v>0</v>
      </c>
      <c r="U639" t="str">
        <f>IF('906MP'!J339&gt;0,CONCATENATE('906MP'!J339," - ",'906MP'!P339,", ",'906MP'!E339),"nincs megjegyzés")</f>
        <v>nincs megjegyzés</v>
      </c>
      <c r="V639" t="str">
        <f t="shared" si="171"/>
        <v>0P0</v>
      </c>
      <c r="W639" t="str">
        <f t="shared" si="172"/>
        <v>0P0</v>
      </c>
      <c r="X639" t="str">
        <f t="shared" si="173"/>
        <v>P0</v>
      </c>
      <c r="Y639" t="str">
        <f t="shared" si="174"/>
        <v>00</v>
      </c>
      <c r="Z639" t="str">
        <f t="shared" si="185"/>
        <v>00</v>
      </c>
      <c r="AA639" t="str">
        <f t="shared" si="175"/>
        <v>00</v>
      </c>
      <c r="AB639" t="str">
        <f t="shared" si="176"/>
        <v>00</v>
      </c>
      <c r="AC639" t="str">
        <f t="shared" si="177"/>
        <v>0P0</v>
      </c>
      <c r="AD639" t="str">
        <f t="shared" si="178"/>
        <v>P00</v>
      </c>
      <c r="AE639" t="str">
        <f t="shared" si="179"/>
        <v>0P0</v>
      </c>
      <c r="AF639" t="str">
        <f t="shared" si="180"/>
        <v>P00</v>
      </c>
      <c r="AG639" t="str">
        <f t="shared" si="186"/>
        <v>0P00</v>
      </c>
      <c r="AH639" t="str">
        <f t="shared" si="187"/>
        <v>P000</v>
      </c>
      <c r="AI639" t="str">
        <f t="shared" si="188"/>
        <v>0P00</v>
      </c>
      <c r="AJ639" t="str">
        <f t="shared" si="189"/>
        <v>P000</v>
      </c>
    </row>
    <row r="640" spans="1:36" x14ac:dyDescent="0.25">
      <c r="A640" s="325" t="str">
        <f>CONCATENATE("P",'906MP'!M340)</f>
        <v>P</v>
      </c>
      <c r="B640">
        <f>'906MP'!H340</f>
        <v>0</v>
      </c>
      <c r="C640">
        <f>'906MP'!J340</f>
        <v>0</v>
      </c>
      <c r="D640">
        <f>'906MP'!P340</f>
        <v>0</v>
      </c>
      <c r="E640">
        <f>'906MP'!X340</f>
        <v>0</v>
      </c>
      <c r="F640" t="str">
        <f t="shared" si="181"/>
        <v>0</v>
      </c>
      <c r="G640" t="str">
        <f t="shared" si="182"/>
        <v>0</v>
      </c>
      <c r="H640">
        <f>'906MP'!Y340</f>
        <v>0</v>
      </c>
      <c r="I640">
        <f>'906MP'!AK340</f>
        <v>0</v>
      </c>
      <c r="J640">
        <f>'906MP'!T340</f>
        <v>0</v>
      </c>
      <c r="K640">
        <f>'906MP'!AJ340</f>
        <v>0</v>
      </c>
      <c r="L640">
        <f>'906MP'!U340</f>
        <v>0</v>
      </c>
      <c r="M640" s="322" t="str">
        <f>IFERROR(VLOOKUP(A640,PAR!$D$3:$E$53,2,FALSE),"nincs szervezet")</f>
        <v>nincs szervezet</v>
      </c>
      <c r="N640" s="322" t="str">
        <f>VLOOKUP(F640,PAR!$R$3:$S$5,2,FALSE)</f>
        <v>3 - egyik sem</v>
      </c>
      <c r="O640" t="str">
        <f>IFERROR(VLOOKUP(J640,PAR!$O$3:$P$5,2,FALSE),"nincs feladat")</f>
        <v>nincs feladat</v>
      </c>
      <c r="P640" t="str">
        <f>IFERROR(VLOOKUP(G640,PAR!$J$2:$M$19,4),"nincs rovat")</f>
        <v>nincs rovat</v>
      </c>
      <c r="Q640" t="str">
        <f>IF(H640&gt;0,VLOOKUP(H640,PAR!$AA$3:$AC$187,3,FALSE),"nincs főkönyvi számla")</f>
        <v>nincs főkönyvi számla</v>
      </c>
      <c r="R640" t="str">
        <f>IFERROR(VLOOKUP(K640,PAR!$V$3:$X$438,3,FALSE),"000000 - Nincs COFOG")</f>
        <v>000000 - Nincs COFOG</v>
      </c>
      <c r="S640">
        <f t="shared" si="183"/>
        <v>0</v>
      </c>
      <c r="T640">
        <f t="shared" si="184"/>
        <v>0</v>
      </c>
      <c r="U640" t="str">
        <f>IF('906MP'!J340&gt;0,CONCATENATE('906MP'!J340," - ",'906MP'!P340,", ",'906MP'!E340),"nincs megjegyzés")</f>
        <v>nincs megjegyzés</v>
      </c>
      <c r="V640" t="str">
        <f t="shared" si="171"/>
        <v>0P0</v>
      </c>
      <c r="W640" t="str">
        <f t="shared" si="172"/>
        <v>0P0</v>
      </c>
      <c r="X640" t="str">
        <f t="shared" si="173"/>
        <v>P0</v>
      </c>
      <c r="Y640" t="str">
        <f t="shared" si="174"/>
        <v>00</v>
      </c>
      <c r="Z640" t="str">
        <f t="shared" si="185"/>
        <v>00</v>
      </c>
      <c r="AA640" t="str">
        <f t="shared" si="175"/>
        <v>00</v>
      </c>
      <c r="AB640" t="str">
        <f t="shared" si="176"/>
        <v>00</v>
      </c>
      <c r="AC640" t="str">
        <f t="shared" si="177"/>
        <v>0P0</v>
      </c>
      <c r="AD640" t="str">
        <f t="shared" si="178"/>
        <v>P00</v>
      </c>
      <c r="AE640" t="str">
        <f t="shared" si="179"/>
        <v>0P0</v>
      </c>
      <c r="AF640" t="str">
        <f t="shared" si="180"/>
        <v>P00</v>
      </c>
      <c r="AG640" t="str">
        <f t="shared" si="186"/>
        <v>0P00</v>
      </c>
      <c r="AH640" t="str">
        <f t="shared" si="187"/>
        <v>P000</v>
      </c>
      <c r="AI640" t="str">
        <f t="shared" si="188"/>
        <v>0P00</v>
      </c>
      <c r="AJ640" t="str">
        <f t="shared" si="189"/>
        <v>P000</v>
      </c>
    </row>
    <row r="641" spans="1:36" x14ac:dyDescent="0.25">
      <c r="A641" s="325" t="str">
        <f>CONCATENATE("P",'906MP'!M341)</f>
        <v>P</v>
      </c>
      <c r="B641">
        <f>'906MP'!H341</f>
        <v>0</v>
      </c>
      <c r="C641">
        <f>'906MP'!J341</f>
        <v>0</v>
      </c>
      <c r="D641">
        <f>'906MP'!P341</f>
        <v>0</v>
      </c>
      <c r="E641">
        <f>'906MP'!X341</f>
        <v>0</v>
      </c>
      <c r="F641" t="str">
        <f t="shared" si="181"/>
        <v>0</v>
      </c>
      <c r="G641" t="str">
        <f t="shared" si="182"/>
        <v>0</v>
      </c>
      <c r="H641">
        <f>'906MP'!Y341</f>
        <v>0</v>
      </c>
      <c r="I641">
        <f>'906MP'!AK341</f>
        <v>0</v>
      </c>
      <c r="J641">
        <f>'906MP'!T341</f>
        <v>0</v>
      </c>
      <c r="K641">
        <f>'906MP'!AJ341</f>
        <v>0</v>
      </c>
      <c r="L641">
        <f>'906MP'!U341</f>
        <v>0</v>
      </c>
      <c r="M641" s="322" t="str">
        <f>IFERROR(VLOOKUP(A641,PAR!$D$3:$E$53,2,FALSE),"nincs szervezet")</f>
        <v>nincs szervezet</v>
      </c>
      <c r="N641" s="322" t="str">
        <f>VLOOKUP(F641,PAR!$R$3:$S$5,2,FALSE)</f>
        <v>3 - egyik sem</v>
      </c>
      <c r="O641" t="str">
        <f>IFERROR(VLOOKUP(J641,PAR!$O$3:$P$5,2,FALSE),"nincs feladat")</f>
        <v>nincs feladat</v>
      </c>
      <c r="P641" t="str">
        <f>IFERROR(VLOOKUP(G641,PAR!$J$2:$M$19,4),"nincs rovat")</f>
        <v>nincs rovat</v>
      </c>
      <c r="Q641" t="str">
        <f>IF(H641&gt;0,VLOOKUP(H641,PAR!$AA$3:$AC$187,3,FALSE),"nincs főkönyvi számla")</f>
        <v>nincs főkönyvi számla</v>
      </c>
      <c r="R641" t="str">
        <f>IFERROR(VLOOKUP(K641,PAR!$V$3:$X$438,3,FALSE),"000000 - Nincs COFOG")</f>
        <v>000000 - Nincs COFOG</v>
      </c>
      <c r="S641">
        <f t="shared" si="183"/>
        <v>0</v>
      </c>
      <c r="T641">
        <f t="shared" si="184"/>
        <v>0</v>
      </c>
      <c r="U641" t="str">
        <f>IF('906MP'!J341&gt;0,CONCATENATE('906MP'!J341," - ",'906MP'!P341,", ",'906MP'!E341),"nincs megjegyzés")</f>
        <v>nincs megjegyzés</v>
      </c>
      <c r="V641" t="str">
        <f t="shared" si="171"/>
        <v>0P0</v>
      </c>
      <c r="W641" t="str">
        <f t="shared" si="172"/>
        <v>0P0</v>
      </c>
      <c r="X641" t="str">
        <f t="shared" si="173"/>
        <v>P0</v>
      </c>
      <c r="Y641" t="str">
        <f t="shared" si="174"/>
        <v>00</v>
      </c>
      <c r="Z641" t="str">
        <f t="shared" si="185"/>
        <v>00</v>
      </c>
      <c r="AA641" t="str">
        <f t="shared" si="175"/>
        <v>00</v>
      </c>
      <c r="AB641" t="str">
        <f t="shared" si="176"/>
        <v>00</v>
      </c>
      <c r="AC641" t="str">
        <f t="shared" si="177"/>
        <v>0P0</v>
      </c>
      <c r="AD641" t="str">
        <f t="shared" si="178"/>
        <v>P00</v>
      </c>
      <c r="AE641" t="str">
        <f t="shared" si="179"/>
        <v>0P0</v>
      </c>
      <c r="AF641" t="str">
        <f t="shared" si="180"/>
        <v>P00</v>
      </c>
      <c r="AG641" t="str">
        <f t="shared" si="186"/>
        <v>0P00</v>
      </c>
      <c r="AH641" t="str">
        <f t="shared" si="187"/>
        <v>P000</v>
      </c>
      <c r="AI641" t="str">
        <f t="shared" si="188"/>
        <v>0P00</v>
      </c>
      <c r="AJ641" t="str">
        <f t="shared" si="189"/>
        <v>P000</v>
      </c>
    </row>
    <row r="642" spans="1:36" x14ac:dyDescent="0.25">
      <c r="A642" s="325" t="str">
        <f>CONCATENATE("P",'906MP'!M342)</f>
        <v>P</v>
      </c>
      <c r="B642">
        <f>'906MP'!H342</f>
        <v>0</v>
      </c>
      <c r="C642">
        <f>'906MP'!J342</f>
        <v>0</v>
      </c>
      <c r="D642">
        <f>'906MP'!P342</f>
        <v>0</v>
      </c>
      <c r="E642">
        <f>'906MP'!X342</f>
        <v>0</v>
      </c>
      <c r="F642" t="str">
        <f t="shared" si="181"/>
        <v>0</v>
      </c>
      <c r="G642" t="str">
        <f t="shared" si="182"/>
        <v>0</v>
      </c>
      <c r="H642">
        <f>'906MP'!Y342</f>
        <v>0</v>
      </c>
      <c r="I642">
        <f>'906MP'!AK342</f>
        <v>0</v>
      </c>
      <c r="J642">
        <f>'906MP'!T342</f>
        <v>0</v>
      </c>
      <c r="K642">
        <f>'906MP'!AJ342</f>
        <v>0</v>
      </c>
      <c r="L642">
        <f>'906MP'!U342</f>
        <v>0</v>
      </c>
      <c r="M642" s="322" t="str">
        <f>IFERROR(VLOOKUP(A642,PAR!$D$3:$E$53,2,FALSE),"nincs szervezet")</f>
        <v>nincs szervezet</v>
      </c>
      <c r="N642" s="322" t="str">
        <f>VLOOKUP(F642,PAR!$R$3:$S$5,2,FALSE)</f>
        <v>3 - egyik sem</v>
      </c>
      <c r="O642" t="str">
        <f>IFERROR(VLOOKUP(J642,PAR!$O$3:$P$5,2,FALSE),"nincs feladat")</f>
        <v>nincs feladat</v>
      </c>
      <c r="P642" t="str">
        <f>IFERROR(VLOOKUP(G642,PAR!$J$2:$M$19,4),"nincs rovat")</f>
        <v>nincs rovat</v>
      </c>
      <c r="Q642" t="str">
        <f>IF(H642&gt;0,VLOOKUP(H642,PAR!$AA$3:$AC$187,3,FALSE),"nincs főkönyvi számla")</f>
        <v>nincs főkönyvi számla</v>
      </c>
      <c r="R642" t="str">
        <f>IFERROR(VLOOKUP(K642,PAR!$V$3:$X$438,3,FALSE),"000000 - Nincs COFOG")</f>
        <v>000000 - Nincs COFOG</v>
      </c>
      <c r="S642">
        <f t="shared" si="183"/>
        <v>0</v>
      </c>
      <c r="T642">
        <f t="shared" si="184"/>
        <v>0</v>
      </c>
      <c r="U642" t="str">
        <f>IF('906MP'!J342&gt;0,CONCATENATE('906MP'!J342," - ",'906MP'!P342,", ",'906MP'!E342),"nincs megjegyzés")</f>
        <v>nincs megjegyzés</v>
      </c>
      <c r="V642" t="str">
        <f t="shared" ref="V642:V705" si="190">CONCATENATE(B642,A642,G642)</f>
        <v>0P0</v>
      </c>
      <c r="W642" t="str">
        <f t="shared" ref="W642:W705" si="191">CONCATENATE(B642,A642,F642)</f>
        <v>0P0</v>
      </c>
      <c r="X642" t="str">
        <f t="shared" ref="X642:X705" si="192">CONCATENATE(A642,H642)</f>
        <v>P0</v>
      </c>
      <c r="Y642" t="str">
        <f t="shared" ref="Y642:Y705" si="193">CONCATENATE(B642,H642)</f>
        <v>00</v>
      </c>
      <c r="Z642" t="str">
        <f t="shared" si="185"/>
        <v>00</v>
      </c>
      <c r="AA642" t="str">
        <f t="shared" ref="AA642:AA705" si="194">CONCATENATE(B642,G642)</f>
        <v>00</v>
      </c>
      <c r="AB642" t="str">
        <f t="shared" ref="AB642:AB705" si="195">CONCATENATE(J642,G642)</f>
        <v>00</v>
      </c>
      <c r="AC642" t="str">
        <f t="shared" ref="AC642:AC705" si="196">CONCATENATE(B642,A642,H642)</f>
        <v>0P0</v>
      </c>
      <c r="AD642" t="str">
        <f t="shared" ref="AD642:AD705" si="197">CONCATENATE(A642,H642,J642)</f>
        <v>P00</v>
      </c>
      <c r="AE642" t="str">
        <f t="shared" ref="AE642:AE705" si="198">CONCATENATE(B642,A642,G642)</f>
        <v>0P0</v>
      </c>
      <c r="AF642" t="str">
        <f t="shared" ref="AF642:AF705" si="199">CONCATENATE(A642,G642,J642)</f>
        <v>P00</v>
      </c>
      <c r="AG642" t="str">
        <f t="shared" si="186"/>
        <v>0P00</v>
      </c>
      <c r="AH642" t="str">
        <f t="shared" si="187"/>
        <v>P000</v>
      </c>
      <c r="AI642" t="str">
        <f t="shared" si="188"/>
        <v>0P00</v>
      </c>
      <c r="AJ642" t="str">
        <f t="shared" si="189"/>
        <v>P000</v>
      </c>
    </row>
    <row r="643" spans="1:36" x14ac:dyDescent="0.25">
      <c r="A643" s="325" t="str">
        <f>CONCATENATE("P",'906MP'!M343)</f>
        <v>P</v>
      </c>
      <c r="B643">
        <f>'906MP'!H343</f>
        <v>0</v>
      </c>
      <c r="C643">
        <f>'906MP'!J343</f>
        <v>0</v>
      </c>
      <c r="D643">
        <f>'906MP'!P343</f>
        <v>0</v>
      </c>
      <c r="E643">
        <f>'906MP'!X343</f>
        <v>0</v>
      </c>
      <c r="F643" t="str">
        <f t="shared" ref="F643:F706" si="200">LEFT(G643,2)</f>
        <v>0</v>
      </c>
      <c r="G643" t="str">
        <f t="shared" ref="G643:G706" si="201">LEFT(H643,3)</f>
        <v>0</v>
      </c>
      <c r="H643">
        <f>'906MP'!Y343</f>
        <v>0</v>
      </c>
      <c r="I643">
        <f>'906MP'!AK343</f>
        <v>0</v>
      </c>
      <c r="J643">
        <f>'906MP'!T343</f>
        <v>0</v>
      </c>
      <c r="K643">
        <f>'906MP'!AJ343</f>
        <v>0</v>
      </c>
      <c r="L643">
        <f>'906MP'!U343</f>
        <v>0</v>
      </c>
      <c r="M643" s="322" t="str">
        <f>IFERROR(VLOOKUP(A643,PAR!$D$3:$E$53,2,FALSE),"nincs szervezet")</f>
        <v>nincs szervezet</v>
      </c>
      <c r="N643" s="322" t="str">
        <f>VLOOKUP(F643,PAR!$R$3:$S$5,2,FALSE)</f>
        <v>3 - egyik sem</v>
      </c>
      <c r="O643" t="str">
        <f>IFERROR(VLOOKUP(J643,PAR!$O$3:$P$5,2,FALSE),"nincs feladat")</f>
        <v>nincs feladat</v>
      </c>
      <c r="P643" t="str">
        <f>IFERROR(VLOOKUP(G643,PAR!$J$2:$M$19,4),"nincs rovat")</f>
        <v>nincs rovat</v>
      </c>
      <c r="Q643" t="str">
        <f>IF(H643&gt;0,VLOOKUP(H643,PAR!$AA$3:$AC$187,3,FALSE),"nincs főkönyvi számla")</f>
        <v>nincs főkönyvi számla</v>
      </c>
      <c r="R643" t="str">
        <f>IFERROR(VLOOKUP(K643,PAR!$V$3:$X$438,3,FALSE),"000000 - Nincs COFOG")</f>
        <v>000000 - Nincs COFOG</v>
      </c>
      <c r="S643">
        <f t="shared" ref="S643:S706" si="202">E643</f>
        <v>0</v>
      </c>
      <c r="T643">
        <f t="shared" ref="T643:T706" si="203">IF(F643="09",E643*-1,E643)</f>
        <v>0</v>
      </c>
      <c r="U643" t="str">
        <f>IF('906MP'!J343&gt;0,CONCATENATE('906MP'!J343," - ",'906MP'!P343,", ",'906MP'!E343),"nincs megjegyzés")</f>
        <v>nincs megjegyzés</v>
      </c>
      <c r="V643" t="str">
        <f t="shared" si="190"/>
        <v>0P0</v>
      </c>
      <c r="W643" t="str">
        <f t="shared" si="191"/>
        <v>0P0</v>
      </c>
      <c r="X643" t="str">
        <f t="shared" si="192"/>
        <v>P0</v>
      </c>
      <c r="Y643" t="str">
        <f t="shared" si="193"/>
        <v>00</v>
      </c>
      <c r="Z643" t="str">
        <f t="shared" ref="Z643:Z706" si="204">CONCATENATE(J643,H643)</f>
        <v>00</v>
      </c>
      <c r="AA643" t="str">
        <f t="shared" si="194"/>
        <v>00</v>
      </c>
      <c r="AB643" t="str">
        <f t="shared" si="195"/>
        <v>00</v>
      </c>
      <c r="AC643" t="str">
        <f t="shared" si="196"/>
        <v>0P0</v>
      </c>
      <c r="AD643" t="str">
        <f t="shared" si="197"/>
        <v>P00</v>
      </c>
      <c r="AE643" t="str">
        <f t="shared" si="198"/>
        <v>0P0</v>
      </c>
      <c r="AF643" t="str">
        <f t="shared" si="199"/>
        <v>P00</v>
      </c>
      <c r="AG643" t="str">
        <f t="shared" ref="AG643:AG706" si="205">CONCATENATE(B643,A643,H643,L643)</f>
        <v>0P00</v>
      </c>
      <c r="AH643" t="str">
        <f t="shared" ref="AH643:AH706" si="206">CONCATENATE(A643,J643,H643,L643)</f>
        <v>P000</v>
      </c>
      <c r="AI643" t="str">
        <f t="shared" ref="AI643:AI706" si="207">CONCATENATE(B643,A643,G643,L643)</f>
        <v>0P00</v>
      </c>
      <c r="AJ643" t="str">
        <f t="shared" ref="AJ643:AJ706" si="208">CONCATENATE(A643,G643,J643,L643)</f>
        <v>P000</v>
      </c>
    </row>
    <row r="644" spans="1:36" x14ac:dyDescent="0.25">
      <c r="A644" s="325" t="str">
        <f>CONCATENATE("P",'906MP'!M344)</f>
        <v>P</v>
      </c>
      <c r="B644">
        <f>'906MP'!H344</f>
        <v>0</v>
      </c>
      <c r="C644">
        <f>'906MP'!J344</f>
        <v>0</v>
      </c>
      <c r="D644">
        <f>'906MP'!P344</f>
        <v>0</v>
      </c>
      <c r="E644">
        <f>'906MP'!X344</f>
        <v>0</v>
      </c>
      <c r="F644" t="str">
        <f t="shared" si="200"/>
        <v>0</v>
      </c>
      <c r="G644" t="str">
        <f t="shared" si="201"/>
        <v>0</v>
      </c>
      <c r="H644">
        <f>'906MP'!Y344</f>
        <v>0</v>
      </c>
      <c r="I644">
        <f>'906MP'!AK344</f>
        <v>0</v>
      </c>
      <c r="J644">
        <f>'906MP'!T344</f>
        <v>0</v>
      </c>
      <c r="K644">
        <f>'906MP'!AJ344</f>
        <v>0</v>
      </c>
      <c r="L644">
        <f>'906MP'!U344</f>
        <v>0</v>
      </c>
      <c r="M644" s="322" t="str">
        <f>IFERROR(VLOOKUP(A644,PAR!$D$3:$E$53,2,FALSE),"nincs szervezet")</f>
        <v>nincs szervezet</v>
      </c>
      <c r="N644" s="322" t="str">
        <f>VLOOKUP(F644,PAR!$R$3:$S$5,2,FALSE)</f>
        <v>3 - egyik sem</v>
      </c>
      <c r="O644" t="str">
        <f>IFERROR(VLOOKUP(J644,PAR!$O$3:$P$5,2,FALSE),"nincs feladat")</f>
        <v>nincs feladat</v>
      </c>
      <c r="P644" t="str">
        <f>IFERROR(VLOOKUP(G644,PAR!$J$2:$M$19,4),"nincs rovat")</f>
        <v>nincs rovat</v>
      </c>
      <c r="Q644" t="str">
        <f>IF(H644&gt;0,VLOOKUP(H644,PAR!$AA$3:$AC$187,3,FALSE),"nincs főkönyvi számla")</f>
        <v>nincs főkönyvi számla</v>
      </c>
      <c r="R644" t="str">
        <f>IFERROR(VLOOKUP(K644,PAR!$V$3:$X$438,3,FALSE),"000000 - Nincs COFOG")</f>
        <v>000000 - Nincs COFOG</v>
      </c>
      <c r="S644">
        <f t="shared" si="202"/>
        <v>0</v>
      </c>
      <c r="T644">
        <f t="shared" si="203"/>
        <v>0</v>
      </c>
      <c r="U644" t="str">
        <f>IF('906MP'!J344&gt;0,CONCATENATE('906MP'!J344," - ",'906MP'!P344,", ",'906MP'!E344),"nincs megjegyzés")</f>
        <v>nincs megjegyzés</v>
      </c>
      <c r="V644" t="str">
        <f t="shared" si="190"/>
        <v>0P0</v>
      </c>
      <c r="W644" t="str">
        <f t="shared" si="191"/>
        <v>0P0</v>
      </c>
      <c r="X644" t="str">
        <f t="shared" si="192"/>
        <v>P0</v>
      </c>
      <c r="Y644" t="str">
        <f t="shared" si="193"/>
        <v>00</v>
      </c>
      <c r="Z644" t="str">
        <f t="shared" si="204"/>
        <v>00</v>
      </c>
      <c r="AA644" t="str">
        <f t="shared" si="194"/>
        <v>00</v>
      </c>
      <c r="AB644" t="str">
        <f t="shared" si="195"/>
        <v>00</v>
      </c>
      <c r="AC644" t="str">
        <f t="shared" si="196"/>
        <v>0P0</v>
      </c>
      <c r="AD644" t="str">
        <f t="shared" si="197"/>
        <v>P00</v>
      </c>
      <c r="AE644" t="str">
        <f t="shared" si="198"/>
        <v>0P0</v>
      </c>
      <c r="AF644" t="str">
        <f t="shared" si="199"/>
        <v>P00</v>
      </c>
      <c r="AG644" t="str">
        <f t="shared" si="205"/>
        <v>0P00</v>
      </c>
      <c r="AH644" t="str">
        <f t="shared" si="206"/>
        <v>P000</v>
      </c>
      <c r="AI644" t="str">
        <f t="shared" si="207"/>
        <v>0P00</v>
      </c>
      <c r="AJ644" t="str">
        <f t="shared" si="208"/>
        <v>P000</v>
      </c>
    </row>
    <row r="645" spans="1:36" x14ac:dyDescent="0.25">
      <c r="A645" s="325" t="str">
        <f>CONCATENATE("P",'906MP'!M345)</f>
        <v>P</v>
      </c>
      <c r="B645">
        <f>'906MP'!H345</f>
        <v>0</v>
      </c>
      <c r="C645">
        <f>'906MP'!J345</f>
        <v>0</v>
      </c>
      <c r="D645">
        <f>'906MP'!P345</f>
        <v>0</v>
      </c>
      <c r="E645">
        <f>'906MP'!X345</f>
        <v>0</v>
      </c>
      <c r="F645" t="str">
        <f t="shared" si="200"/>
        <v>0</v>
      </c>
      <c r="G645" t="str">
        <f t="shared" si="201"/>
        <v>0</v>
      </c>
      <c r="H645">
        <f>'906MP'!Y345</f>
        <v>0</v>
      </c>
      <c r="I645">
        <f>'906MP'!AK345</f>
        <v>0</v>
      </c>
      <c r="J645">
        <f>'906MP'!T345</f>
        <v>0</v>
      </c>
      <c r="K645">
        <f>'906MP'!AJ345</f>
        <v>0</v>
      </c>
      <c r="L645">
        <f>'906MP'!U345</f>
        <v>0</v>
      </c>
      <c r="M645" s="322" t="str">
        <f>IFERROR(VLOOKUP(A645,PAR!$D$3:$E$53,2,FALSE),"nincs szervezet")</f>
        <v>nincs szervezet</v>
      </c>
      <c r="N645" s="322" t="str">
        <f>VLOOKUP(F645,PAR!$R$3:$S$5,2,FALSE)</f>
        <v>3 - egyik sem</v>
      </c>
      <c r="O645" t="str">
        <f>IFERROR(VLOOKUP(J645,PAR!$O$3:$P$5,2,FALSE),"nincs feladat")</f>
        <v>nincs feladat</v>
      </c>
      <c r="P645" t="str">
        <f>IFERROR(VLOOKUP(G645,PAR!$J$2:$M$19,4),"nincs rovat")</f>
        <v>nincs rovat</v>
      </c>
      <c r="Q645" t="str">
        <f>IF(H645&gt;0,VLOOKUP(H645,PAR!$AA$3:$AC$187,3,FALSE),"nincs főkönyvi számla")</f>
        <v>nincs főkönyvi számla</v>
      </c>
      <c r="R645" t="str">
        <f>IFERROR(VLOOKUP(K645,PAR!$V$3:$X$438,3,FALSE),"000000 - Nincs COFOG")</f>
        <v>000000 - Nincs COFOG</v>
      </c>
      <c r="S645">
        <f t="shared" si="202"/>
        <v>0</v>
      </c>
      <c r="T645">
        <f t="shared" si="203"/>
        <v>0</v>
      </c>
      <c r="U645" t="str">
        <f>IF('906MP'!J345&gt;0,CONCATENATE('906MP'!J345," - ",'906MP'!P345,", ",'906MP'!E345),"nincs megjegyzés")</f>
        <v>nincs megjegyzés</v>
      </c>
      <c r="V645" t="str">
        <f t="shared" si="190"/>
        <v>0P0</v>
      </c>
      <c r="W645" t="str">
        <f t="shared" si="191"/>
        <v>0P0</v>
      </c>
      <c r="X645" t="str">
        <f t="shared" si="192"/>
        <v>P0</v>
      </c>
      <c r="Y645" t="str">
        <f t="shared" si="193"/>
        <v>00</v>
      </c>
      <c r="Z645" t="str">
        <f t="shared" si="204"/>
        <v>00</v>
      </c>
      <c r="AA645" t="str">
        <f t="shared" si="194"/>
        <v>00</v>
      </c>
      <c r="AB645" t="str">
        <f t="shared" si="195"/>
        <v>00</v>
      </c>
      <c r="AC645" t="str">
        <f t="shared" si="196"/>
        <v>0P0</v>
      </c>
      <c r="AD645" t="str">
        <f t="shared" si="197"/>
        <v>P00</v>
      </c>
      <c r="AE645" t="str">
        <f t="shared" si="198"/>
        <v>0P0</v>
      </c>
      <c r="AF645" t="str">
        <f t="shared" si="199"/>
        <v>P00</v>
      </c>
      <c r="AG645" t="str">
        <f t="shared" si="205"/>
        <v>0P00</v>
      </c>
      <c r="AH645" t="str">
        <f t="shared" si="206"/>
        <v>P000</v>
      </c>
      <c r="AI645" t="str">
        <f t="shared" si="207"/>
        <v>0P00</v>
      </c>
      <c r="AJ645" t="str">
        <f t="shared" si="208"/>
        <v>P000</v>
      </c>
    </row>
    <row r="646" spans="1:36" x14ac:dyDescent="0.25">
      <c r="A646" s="325" t="str">
        <f>CONCATENATE("P",'906MP'!M346)</f>
        <v>P</v>
      </c>
      <c r="B646">
        <f>'906MP'!H346</f>
        <v>0</v>
      </c>
      <c r="C646">
        <f>'906MP'!J346</f>
        <v>0</v>
      </c>
      <c r="D646">
        <f>'906MP'!P346</f>
        <v>0</v>
      </c>
      <c r="E646">
        <f>'906MP'!X346</f>
        <v>0</v>
      </c>
      <c r="F646" t="str">
        <f t="shared" si="200"/>
        <v>0</v>
      </c>
      <c r="G646" t="str">
        <f t="shared" si="201"/>
        <v>0</v>
      </c>
      <c r="H646">
        <f>'906MP'!Y346</f>
        <v>0</v>
      </c>
      <c r="I646">
        <f>'906MP'!AK346</f>
        <v>0</v>
      </c>
      <c r="J646">
        <f>'906MP'!T346</f>
        <v>0</v>
      </c>
      <c r="K646">
        <f>'906MP'!AJ346</f>
        <v>0</v>
      </c>
      <c r="L646">
        <f>'906MP'!U346</f>
        <v>0</v>
      </c>
      <c r="M646" s="322" t="str">
        <f>IFERROR(VLOOKUP(A646,PAR!$D$3:$E$53,2,FALSE),"nincs szervezet")</f>
        <v>nincs szervezet</v>
      </c>
      <c r="N646" s="322" t="str">
        <f>VLOOKUP(F646,PAR!$R$3:$S$5,2,FALSE)</f>
        <v>3 - egyik sem</v>
      </c>
      <c r="O646" t="str">
        <f>IFERROR(VLOOKUP(J646,PAR!$O$3:$P$5,2,FALSE),"nincs feladat")</f>
        <v>nincs feladat</v>
      </c>
      <c r="P646" t="str">
        <f>IFERROR(VLOOKUP(G646,PAR!$J$2:$M$19,4),"nincs rovat")</f>
        <v>nincs rovat</v>
      </c>
      <c r="Q646" t="str">
        <f>IF(H646&gt;0,VLOOKUP(H646,PAR!$AA$3:$AC$187,3,FALSE),"nincs főkönyvi számla")</f>
        <v>nincs főkönyvi számla</v>
      </c>
      <c r="R646" t="str">
        <f>IFERROR(VLOOKUP(K646,PAR!$V$3:$X$438,3,FALSE),"000000 - Nincs COFOG")</f>
        <v>000000 - Nincs COFOG</v>
      </c>
      <c r="S646">
        <f t="shared" si="202"/>
        <v>0</v>
      </c>
      <c r="T646">
        <f t="shared" si="203"/>
        <v>0</v>
      </c>
      <c r="U646" t="str">
        <f>IF('906MP'!J346&gt;0,CONCATENATE('906MP'!J346," - ",'906MP'!P346,", ",'906MP'!E346),"nincs megjegyzés")</f>
        <v>nincs megjegyzés</v>
      </c>
      <c r="V646" t="str">
        <f t="shared" si="190"/>
        <v>0P0</v>
      </c>
      <c r="W646" t="str">
        <f t="shared" si="191"/>
        <v>0P0</v>
      </c>
      <c r="X646" t="str">
        <f t="shared" si="192"/>
        <v>P0</v>
      </c>
      <c r="Y646" t="str">
        <f t="shared" si="193"/>
        <v>00</v>
      </c>
      <c r="Z646" t="str">
        <f t="shared" si="204"/>
        <v>00</v>
      </c>
      <c r="AA646" t="str">
        <f t="shared" si="194"/>
        <v>00</v>
      </c>
      <c r="AB646" t="str">
        <f t="shared" si="195"/>
        <v>00</v>
      </c>
      <c r="AC646" t="str">
        <f t="shared" si="196"/>
        <v>0P0</v>
      </c>
      <c r="AD646" t="str">
        <f t="shared" si="197"/>
        <v>P00</v>
      </c>
      <c r="AE646" t="str">
        <f t="shared" si="198"/>
        <v>0P0</v>
      </c>
      <c r="AF646" t="str">
        <f t="shared" si="199"/>
        <v>P00</v>
      </c>
      <c r="AG646" t="str">
        <f t="shared" si="205"/>
        <v>0P00</v>
      </c>
      <c r="AH646" t="str">
        <f t="shared" si="206"/>
        <v>P000</v>
      </c>
      <c r="AI646" t="str">
        <f t="shared" si="207"/>
        <v>0P00</v>
      </c>
      <c r="AJ646" t="str">
        <f t="shared" si="208"/>
        <v>P000</v>
      </c>
    </row>
    <row r="647" spans="1:36" x14ac:dyDescent="0.25">
      <c r="A647" s="325" t="str">
        <f>CONCATENATE("P",'906MP'!M347)</f>
        <v>P</v>
      </c>
      <c r="B647">
        <f>'906MP'!H347</f>
        <v>0</v>
      </c>
      <c r="C647">
        <f>'906MP'!J347</f>
        <v>0</v>
      </c>
      <c r="D647">
        <f>'906MP'!P347</f>
        <v>0</v>
      </c>
      <c r="E647">
        <f>'906MP'!X347</f>
        <v>0</v>
      </c>
      <c r="F647" t="str">
        <f t="shared" si="200"/>
        <v>0</v>
      </c>
      <c r="G647" t="str">
        <f t="shared" si="201"/>
        <v>0</v>
      </c>
      <c r="H647">
        <f>'906MP'!Y347</f>
        <v>0</v>
      </c>
      <c r="I647">
        <f>'906MP'!AK347</f>
        <v>0</v>
      </c>
      <c r="J647">
        <f>'906MP'!T347</f>
        <v>0</v>
      </c>
      <c r="K647">
        <f>'906MP'!AJ347</f>
        <v>0</v>
      </c>
      <c r="L647">
        <f>'906MP'!U347</f>
        <v>0</v>
      </c>
      <c r="M647" s="322" t="str">
        <f>IFERROR(VLOOKUP(A647,PAR!$D$3:$E$53,2,FALSE),"nincs szervezet")</f>
        <v>nincs szervezet</v>
      </c>
      <c r="N647" s="322" t="str">
        <f>VLOOKUP(F647,PAR!$R$3:$S$5,2,FALSE)</f>
        <v>3 - egyik sem</v>
      </c>
      <c r="O647" t="str">
        <f>IFERROR(VLOOKUP(J647,PAR!$O$3:$P$5,2,FALSE),"nincs feladat")</f>
        <v>nincs feladat</v>
      </c>
      <c r="P647" t="str">
        <f>IFERROR(VLOOKUP(G647,PAR!$J$2:$M$19,4),"nincs rovat")</f>
        <v>nincs rovat</v>
      </c>
      <c r="Q647" t="str">
        <f>IF(H647&gt;0,VLOOKUP(H647,PAR!$AA$3:$AC$187,3,FALSE),"nincs főkönyvi számla")</f>
        <v>nincs főkönyvi számla</v>
      </c>
      <c r="R647" t="str">
        <f>IFERROR(VLOOKUP(K647,PAR!$V$3:$X$438,3,FALSE),"000000 - Nincs COFOG")</f>
        <v>000000 - Nincs COFOG</v>
      </c>
      <c r="S647">
        <f t="shared" si="202"/>
        <v>0</v>
      </c>
      <c r="T647">
        <f t="shared" si="203"/>
        <v>0</v>
      </c>
      <c r="U647" t="str">
        <f>IF('906MP'!J347&gt;0,CONCATENATE('906MP'!J347," - ",'906MP'!P347,", ",'906MP'!E347),"nincs megjegyzés")</f>
        <v>nincs megjegyzés</v>
      </c>
      <c r="V647" t="str">
        <f t="shared" si="190"/>
        <v>0P0</v>
      </c>
      <c r="W647" t="str">
        <f t="shared" si="191"/>
        <v>0P0</v>
      </c>
      <c r="X647" t="str">
        <f t="shared" si="192"/>
        <v>P0</v>
      </c>
      <c r="Y647" t="str">
        <f t="shared" si="193"/>
        <v>00</v>
      </c>
      <c r="Z647" t="str">
        <f t="shared" si="204"/>
        <v>00</v>
      </c>
      <c r="AA647" t="str">
        <f t="shared" si="194"/>
        <v>00</v>
      </c>
      <c r="AB647" t="str">
        <f t="shared" si="195"/>
        <v>00</v>
      </c>
      <c r="AC647" t="str">
        <f t="shared" si="196"/>
        <v>0P0</v>
      </c>
      <c r="AD647" t="str">
        <f t="shared" si="197"/>
        <v>P00</v>
      </c>
      <c r="AE647" t="str">
        <f t="shared" si="198"/>
        <v>0P0</v>
      </c>
      <c r="AF647" t="str">
        <f t="shared" si="199"/>
        <v>P00</v>
      </c>
      <c r="AG647" t="str">
        <f t="shared" si="205"/>
        <v>0P00</v>
      </c>
      <c r="AH647" t="str">
        <f t="shared" si="206"/>
        <v>P000</v>
      </c>
      <c r="AI647" t="str">
        <f t="shared" si="207"/>
        <v>0P00</v>
      </c>
      <c r="AJ647" t="str">
        <f t="shared" si="208"/>
        <v>P000</v>
      </c>
    </row>
    <row r="648" spans="1:36" x14ac:dyDescent="0.25">
      <c r="A648" s="325" t="str">
        <f>CONCATENATE("P",'906MP'!M348)</f>
        <v>P</v>
      </c>
      <c r="B648">
        <f>'906MP'!H348</f>
        <v>0</v>
      </c>
      <c r="C648">
        <f>'906MP'!J348</f>
        <v>0</v>
      </c>
      <c r="D648">
        <f>'906MP'!P348</f>
        <v>0</v>
      </c>
      <c r="E648">
        <f>'906MP'!X348</f>
        <v>0</v>
      </c>
      <c r="F648" t="str">
        <f t="shared" si="200"/>
        <v>0</v>
      </c>
      <c r="G648" t="str">
        <f t="shared" si="201"/>
        <v>0</v>
      </c>
      <c r="H648">
        <f>'906MP'!Y348</f>
        <v>0</v>
      </c>
      <c r="I648">
        <f>'906MP'!AK348</f>
        <v>0</v>
      </c>
      <c r="J648">
        <f>'906MP'!T348</f>
        <v>0</v>
      </c>
      <c r="K648">
        <f>'906MP'!AJ348</f>
        <v>0</v>
      </c>
      <c r="L648">
        <f>'906MP'!U348</f>
        <v>0</v>
      </c>
      <c r="M648" s="322" t="str">
        <f>IFERROR(VLOOKUP(A648,PAR!$D$3:$E$53,2,FALSE),"nincs szervezet")</f>
        <v>nincs szervezet</v>
      </c>
      <c r="N648" s="322" t="str">
        <f>VLOOKUP(F648,PAR!$R$3:$S$5,2,FALSE)</f>
        <v>3 - egyik sem</v>
      </c>
      <c r="O648" t="str">
        <f>IFERROR(VLOOKUP(J648,PAR!$O$3:$P$5,2,FALSE),"nincs feladat")</f>
        <v>nincs feladat</v>
      </c>
      <c r="P648" t="str">
        <f>IFERROR(VLOOKUP(G648,PAR!$J$2:$M$19,4),"nincs rovat")</f>
        <v>nincs rovat</v>
      </c>
      <c r="Q648" t="str">
        <f>IF(H648&gt;0,VLOOKUP(H648,PAR!$AA$3:$AC$187,3,FALSE),"nincs főkönyvi számla")</f>
        <v>nincs főkönyvi számla</v>
      </c>
      <c r="R648" t="str">
        <f>IFERROR(VLOOKUP(K648,PAR!$V$3:$X$438,3,FALSE),"000000 - Nincs COFOG")</f>
        <v>000000 - Nincs COFOG</v>
      </c>
      <c r="S648">
        <f t="shared" si="202"/>
        <v>0</v>
      </c>
      <c r="T648">
        <f t="shared" si="203"/>
        <v>0</v>
      </c>
      <c r="U648" t="str">
        <f>IF('906MP'!J348&gt;0,CONCATENATE('906MP'!J348," - ",'906MP'!P348,", ",'906MP'!E348),"nincs megjegyzés")</f>
        <v>nincs megjegyzés</v>
      </c>
      <c r="V648" t="str">
        <f t="shared" si="190"/>
        <v>0P0</v>
      </c>
      <c r="W648" t="str">
        <f t="shared" si="191"/>
        <v>0P0</v>
      </c>
      <c r="X648" t="str">
        <f t="shared" si="192"/>
        <v>P0</v>
      </c>
      <c r="Y648" t="str">
        <f t="shared" si="193"/>
        <v>00</v>
      </c>
      <c r="Z648" t="str">
        <f t="shared" si="204"/>
        <v>00</v>
      </c>
      <c r="AA648" t="str">
        <f t="shared" si="194"/>
        <v>00</v>
      </c>
      <c r="AB648" t="str">
        <f t="shared" si="195"/>
        <v>00</v>
      </c>
      <c r="AC648" t="str">
        <f t="shared" si="196"/>
        <v>0P0</v>
      </c>
      <c r="AD648" t="str">
        <f t="shared" si="197"/>
        <v>P00</v>
      </c>
      <c r="AE648" t="str">
        <f t="shared" si="198"/>
        <v>0P0</v>
      </c>
      <c r="AF648" t="str">
        <f t="shared" si="199"/>
        <v>P00</v>
      </c>
      <c r="AG648" t="str">
        <f t="shared" si="205"/>
        <v>0P00</v>
      </c>
      <c r="AH648" t="str">
        <f t="shared" si="206"/>
        <v>P000</v>
      </c>
      <c r="AI648" t="str">
        <f t="shared" si="207"/>
        <v>0P00</v>
      </c>
      <c r="AJ648" t="str">
        <f t="shared" si="208"/>
        <v>P000</v>
      </c>
    </row>
    <row r="649" spans="1:36" x14ac:dyDescent="0.25">
      <c r="A649" s="325" t="str">
        <f>CONCATENATE("P",'906MP'!M349)</f>
        <v>P</v>
      </c>
      <c r="B649">
        <f>'906MP'!H349</f>
        <v>0</v>
      </c>
      <c r="C649">
        <f>'906MP'!J349</f>
        <v>0</v>
      </c>
      <c r="D649">
        <f>'906MP'!P349</f>
        <v>0</v>
      </c>
      <c r="E649">
        <f>'906MP'!X349</f>
        <v>0</v>
      </c>
      <c r="F649" t="str">
        <f t="shared" si="200"/>
        <v>0</v>
      </c>
      <c r="G649" t="str">
        <f t="shared" si="201"/>
        <v>0</v>
      </c>
      <c r="H649">
        <f>'906MP'!Y349</f>
        <v>0</v>
      </c>
      <c r="I649">
        <f>'906MP'!AK349</f>
        <v>0</v>
      </c>
      <c r="J649">
        <f>'906MP'!T349</f>
        <v>0</v>
      </c>
      <c r="K649">
        <f>'906MP'!AJ349</f>
        <v>0</v>
      </c>
      <c r="L649">
        <f>'906MP'!U349</f>
        <v>0</v>
      </c>
      <c r="M649" s="322" t="str">
        <f>IFERROR(VLOOKUP(A649,PAR!$D$3:$E$53,2,FALSE),"nincs szervezet")</f>
        <v>nincs szervezet</v>
      </c>
      <c r="N649" s="322" t="str">
        <f>VLOOKUP(F649,PAR!$R$3:$S$5,2,FALSE)</f>
        <v>3 - egyik sem</v>
      </c>
      <c r="O649" t="str">
        <f>IFERROR(VLOOKUP(J649,PAR!$O$3:$P$5,2,FALSE),"nincs feladat")</f>
        <v>nincs feladat</v>
      </c>
      <c r="P649" t="str">
        <f>IFERROR(VLOOKUP(G649,PAR!$J$2:$M$19,4),"nincs rovat")</f>
        <v>nincs rovat</v>
      </c>
      <c r="Q649" t="str">
        <f>IF(H649&gt;0,VLOOKUP(H649,PAR!$AA$3:$AC$187,3,FALSE),"nincs főkönyvi számla")</f>
        <v>nincs főkönyvi számla</v>
      </c>
      <c r="R649" t="str">
        <f>IFERROR(VLOOKUP(K649,PAR!$V$3:$X$438,3,FALSE),"000000 - Nincs COFOG")</f>
        <v>000000 - Nincs COFOG</v>
      </c>
      <c r="S649">
        <f t="shared" si="202"/>
        <v>0</v>
      </c>
      <c r="T649">
        <f t="shared" si="203"/>
        <v>0</v>
      </c>
      <c r="U649" t="str">
        <f>IF('906MP'!J349&gt;0,CONCATENATE('906MP'!J349," - ",'906MP'!P349,", ",'906MP'!E349),"nincs megjegyzés")</f>
        <v>nincs megjegyzés</v>
      </c>
      <c r="V649" t="str">
        <f t="shared" si="190"/>
        <v>0P0</v>
      </c>
      <c r="W649" t="str">
        <f t="shared" si="191"/>
        <v>0P0</v>
      </c>
      <c r="X649" t="str">
        <f t="shared" si="192"/>
        <v>P0</v>
      </c>
      <c r="Y649" t="str">
        <f t="shared" si="193"/>
        <v>00</v>
      </c>
      <c r="Z649" t="str">
        <f t="shared" si="204"/>
        <v>00</v>
      </c>
      <c r="AA649" t="str">
        <f t="shared" si="194"/>
        <v>00</v>
      </c>
      <c r="AB649" t="str">
        <f t="shared" si="195"/>
        <v>00</v>
      </c>
      <c r="AC649" t="str">
        <f t="shared" si="196"/>
        <v>0P0</v>
      </c>
      <c r="AD649" t="str">
        <f t="shared" si="197"/>
        <v>P00</v>
      </c>
      <c r="AE649" t="str">
        <f t="shared" si="198"/>
        <v>0P0</v>
      </c>
      <c r="AF649" t="str">
        <f t="shared" si="199"/>
        <v>P00</v>
      </c>
      <c r="AG649" t="str">
        <f t="shared" si="205"/>
        <v>0P00</v>
      </c>
      <c r="AH649" t="str">
        <f t="shared" si="206"/>
        <v>P000</v>
      </c>
      <c r="AI649" t="str">
        <f t="shared" si="207"/>
        <v>0P00</v>
      </c>
      <c r="AJ649" t="str">
        <f t="shared" si="208"/>
        <v>P000</v>
      </c>
    </row>
    <row r="650" spans="1:36" x14ac:dyDescent="0.25">
      <c r="A650" s="325" t="str">
        <f>CONCATENATE("P",'906MP'!M350)</f>
        <v>P</v>
      </c>
      <c r="B650">
        <f>'906MP'!H350</f>
        <v>0</v>
      </c>
      <c r="C650">
        <f>'906MP'!J350</f>
        <v>0</v>
      </c>
      <c r="D650">
        <f>'906MP'!P350</f>
        <v>0</v>
      </c>
      <c r="E650">
        <f>'906MP'!X350</f>
        <v>0</v>
      </c>
      <c r="F650" t="str">
        <f t="shared" si="200"/>
        <v>0</v>
      </c>
      <c r="G650" t="str">
        <f t="shared" si="201"/>
        <v>0</v>
      </c>
      <c r="H650">
        <f>'906MP'!Y350</f>
        <v>0</v>
      </c>
      <c r="I650">
        <f>'906MP'!AK350</f>
        <v>0</v>
      </c>
      <c r="J650">
        <f>'906MP'!T350</f>
        <v>0</v>
      </c>
      <c r="K650">
        <f>'906MP'!AJ350</f>
        <v>0</v>
      </c>
      <c r="L650">
        <f>'906MP'!U350</f>
        <v>0</v>
      </c>
      <c r="M650" s="322" t="str">
        <f>IFERROR(VLOOKUP(A650,PAR!$D$3:$E$53,2,FALSE),"nincs szervezet")</f>
        <v>nincs szervezet</v>
      </c>
      <c r="N650" s="322" t="str">
        <f>VLOOKUP(F650,PAR!$R$3:$S$5,2,FALSE)</f>
        <v>3 - egyik sem</v>
      </c>
      <c r="O650" t="str">
        <f>IFERROR(VLOOKUP(J650,PAR!$O$3:$P$5,2,FALSE),"nincs feladat")</f>
        <v>nincs feladat</v>
      </c>
      <c r="P650" t="str">
        <f>IFERROR(VLOOKUP(G650,PAR!$J$2:$M$19,4),"nincs rovat")</f>
        <v>nincs rovat</v>
      </c>
      <c r="Q650" t="str">
        <f>IF(H650&gt;0,VLOOKUP(H650,PAR!$AA$3:$AC$187,3,FALSE),"nincs főkönyvi számla")</f>
        <v>nincs főkönyvi számla</v>
      </c>
      <c r="R650" t="str">
        <f>IFERROR(VLOOKUP(K650,PAR!$V$3:$X$438,3,FALSE),"000000 - Nincs COFOG")</f>
        <v>000000 - Nincs COFOG</v>
      </c>
      <c r="S650">
        <f t="shared" si="202"/>
        <v>0</v>
      </c>
      <c r="T650">
        <f t="shared" si="203"/>
        <v>0</v>
      </c>
      <c r="U650" t="str">
        <f>IF('906MP'!J350&gt;0,CONCATENATE('906MP'!J350," - ",'906MP'!P350,", ",'906MP'!E350),"nincs megjegyzés")</f>
        <v>nincs megjegyzés</v>
      </c>
      <c r="V650" t="str">
        <f t="shared" si="190"/>
        <v>0P0</v>
      </c>
      <c r="W650" t="str">
        <f t="shared" si="191"/>
        <v>0P0</v>
      </c>
      <c r="X650" t="str">
        <f t="shared" si="192"/>
        <v>P0</v>
      </c>
      <c r="Y650" t="str">
        <f t="shared" si="193"/>
        <v>00</v>
      </c>
      <c r="Z650" t="str">
        <f t="shared" si="204"/>
        <v>00</v>
      </c>
      <c r="AA650" t="str">
        <f t="shared" si="194"/>
        <v>00</v>
      </c>
      <c r="AB650" t="str">
        <f t="shared" si="195"/>
        <v>00</v>
      </c>
      <c r="AC650" t="str">
        <f t="shared" si="196"/>
        <v>0P0</v>
      </c>
      <c r="AD650" t="str">
        <f t="shared" si="197"/>
        <v>P00</v>
      </c>
      <c r="AE650" t="str">
        <f t="shared" si="198"/>
        <v>0P0</v>
      </c>
      <c r="AF650" t="str">
        <f t="shared" si="199"/>
        <v>P00</v>
      </c>
      <c r="AG650" t="str">
        <f t="shared" si="205"/>
        <v>0P00</v>
      </c>
      <c r="AH650" t="str">
        <f t="shared" si="206"/>
        <v>P000</v>
      </c>
      <c r="AI650" t="str">
        <f t="shared" si="207"/>
        <v>0P00</v>
      </c>
      <c r="AJ650" t="str">
        <f t="shared" si="208"/>
        <v>P000</v>
      </c>
    </row>
    <row r="651" spans="1:36" x14ac:dyDescent="0.25">
      <c r="A651" s="325" t="str">
        <f>CONCATENATE("P",'906MP'!M351)</f>
        <v>P</v>
      </c>
      <c r="B651">
        <f>'906MP'!H351</f>
        <v>0</v>
      </c>
      <c r="C651">
        <f>'906MP'!J351</f>
        <v>0</v>
      </c>
      <c r="D651">
        <f>'906MP'!P351</f>
        <v>0</v>
      </c>
      <c r="E651">
        <f>'906MP'!X351</f>
        <v>0</v>
      </c>
      <c r="F651" t="str">
        <f t="shared" si="200"/>
        <v>0</v>
      </c>
      <c r="G651" t="str">
        <f t="shared" si="201"/>
        <v>0</v>
      </c>
      <c r="H651">
        <f>'906MP'!Y351</f>
        <v>0</v>
      </c>
      <c r="I651">
        <f>'906MP'!AK351</f>
        <v>0</v>
      </c>
      <c r="J651">
        <f>'906MP'!T351</f>
        <v>0</v>
      </c>
      <c r="K651">
        <f>'906MP'!AJ351</f>
        <v>0</v>
      </c>
      <c r="L651">
        <f>'906MP'!U351</f>
        <v>0</v>
      </c>
      <c r="M651" s="322" t="str">
        <f>IFERROR(VLOOKUP(A651,PAR!$D$3:$E$53,2,FALSE),"nincs szervezet")</f>
        <v>nincs szervezet</v>
      </c>
      <c r="N651" s="322" t="str">
        <f>VLOOKUP(F651,PAR!$R$3:$S$5,2,FALSE)</f>
        <v>3 - egyik sem</v>
      </c>
      <c r="O651" t="str">
        <f>IFERROR(VLOOKUP(J651,PAR!$O$3:$P$5,2,FALSE),"nincs feladat")</f>
        <v>nincs feladat</v>
      </c>
      <c r="P651" t="str">
        <f>IFERROR(VLOOKUP(G651,PAR!$J$2:$M$19,4),"nincs rovat")</f>
        <v>nincs rovat</v>
      </c>
      <c r="Q651" t="str">
        <f>IF(H651&gt;0,VLOOKUP(H651,PAR!$AA$3:$AC$187,3,FALSE),"nincs főkönyvi számla")</f>
        <v>nincs főkönyvi számla</v>
      </c>
      <c r="R651" t="str">
        <f>IFERROR(VLOOKUP(K651,PAR!$V$3:$X$438,3,FALSE),"000000 - Nincs COFOG")</f>
        <v>000000 - Nincs COFOG</v>
      </c>
      <c r="S651">
        <f t="shared" si="202"/>
        <v>0</v>
      </c>
      <c r="T651">
        <f t="shared" si="203"/>
        <v>0</v>
      </c>
      <c r="U651" t="str">
        <f>IF('906MP'!J351&gt;0,CONCATENATE('906MP'!J351," - ",'906MP'!P351,", ",'906MP'!E351),"nincs megjegyzés")</f>
        <v>nincs megjegyzés</v>
      </c>
      <c r="V651" t="str">
        <f t="shared" si="190"/>
        <v>0P0</v>
      </c>
      <c r="W651" t="str">
        <f t="shared" si="191"/>
        <v>0P0</v>
      </c>
      <c r="X651" t="str">
        <f t="shared" si="192"/>
        <v>P0</v>
      </c>
      <c r="Y651" t="str">
        <f t="shared" si="193"/>
        <v>00</v>
      </c>
      <c r="Z651" t="str">
        <f t="shared" si="204"/>
        <v>00</v>
      </c>
      <c r="AA651" t="str">
        <f t="shared" si="194"/>
        <v>00</v>
      </c>
      <c r="AB651" t="str">
        <f t="shared" si="195"/>
        <v>00</v>
      </c>
      <c r="AC651" t="str">
        <f t="shared" si="196"/>
        <v>0P0</v>
      </c>
      <c r="AD651" t="str">
        <f t="shared" si="197"/>
        <v>P00</v>
      </c>
      <c r="AE651" t="str">
        <f t="shared" si="198"/>
        <v>0P0</v>
      </c>
      <c r="AF651" t="str">
        <f t="shared" si="199"/>
        <v>P00</v>
      </c>
      <c r="AG651" t="str">
        <f t="shared" si="205"/>
        <v>0P00</v>
      </c>
      <c r="AH651" t="str">
        <f t="shared" si="206"/>
        <v>P000</v>
      </c>
      <c r="AI651" t="str">
        <f t="shared" si="207"/>
        <v>0P00</v>
      </c>
      <c r="AJ651" t="str">
        <f t="shared" si="208"/>
        <v>P000</v>
      </c>
    </row>
    <row r="652" spans="1:36" x14ac:dyDescent="0.25">
      <c r="A652" s="325" t="str">
        <f>CONCATENATE("P",'906MP'!M352)</f>
        <v>P</v>
      </c>
      <c r="B652">
        <f>'906MP'!H352</f>
        <v>0</v>
      </c>
      <c r="C652">
        <f>'906MP'!J352</f>
        <v>0</v>
      </c>
      <c r="D652">
        <f>'906MP'!P352</f>
        <v>0</v>
      </c>
      <c r="E652">
        <f>'906MP'!X352</f>
        <v>0</v>
      </c>
      <c r="F652" t="str">
        <f t="shared" si="200"/>
        <v>0</v>
      </c>
      <c r="G652" t="str">
        <f t="shared" si="201"/>
        <v>0</v>
      </c>
      <c r="H652">
        <f>'906MP'!Y352</f>
        <v>0</v>
      </c>
      <c r="I652">
        <f>'906MP'!AK352</f>
        <v>0</v>
      </c>
      <c r="J652">
        <f>'906MP'!T352</f>
        <v>0</v>
      </c>
      <c r="K652">
        <f>'906MP'!AJ352</f>
        <v>0</v>
      </c>
      <c r="L652">
        <f>'906MP'!U352</f>
        <v>0</v>
      </c>
      <c r="M652" s="322" t="str">
        <f>IFERROR(VLOOKUP(A652,PAR!$D$3:$E$53,2,FALSE),"nincs szervezet")</f>
        <v>nincs szervezet</v>
      </c>
      <c r="N652" s="322" t="str">
        <f>VLOOKUP(F652,PAR!$R$3:$S$5,2,FALSE)</f>
        <v>3 - egyik sem</v>
      </c>
      <c r="O652" t="str">
        <f>IFERROR(VLOOKUP(J652,PAR!$O$3:$P$5,2,FALSE),"nincs feladat")</f>
        <v>nincs feladat</v>
      </c>
      <c r="P652" t="str">
        <f>IFERROR(VLOOKUP(G652,PAR!$J$2:$M$19,4),"nincs rovat")</f>
        <v>nincs rovat</v>
      </c>
      <c r="Q652" t="str">
        <f>IF(H652&gt;0,VLOOKUP(H652,PAR!$AA$3:$AC$187,3,FALSE),"nincs főkönyvi számla")</f>
        <v>nincs főkönyvi számla</v>
      </c>
      <c r="R652" t="str">
        <f>IFERROR(VLOOKUP(K652,PAR!$V$3:$X$438,3,FALSE),"000000 - Nincs COFOG")</f>
        <v>000000 - Nincs COFOG</v>
      </c>
      <c r="S652">
        <f t="shared" si="202"/>
        <v>0</v>
      </c>
      <c r="T652">
        <f t="shared" si="203"/>
        <v>0</v>
      </c>
      <c r="U652" t="str">
        <f>IF('906MP'!J352&gt;0,CONCATENATE('906MP'!J352," - ",'906MP'!P352,", ",'906MP'!E352),"nincs megjegyzés")</f>
        <v>nincs megjegyzés</v>
      </c>
      <c r="V652" t="str">
        <f t="shared" si="190"/>
        <v>0P0</v>
      </c>
      <c r="W652" t="str">
        <f t="shared" si="191"/>
        <v>0P0</v>
      </c>
      <c r="X652" t="str">
        <f t="shared" si="192"/>
        <v>P0</v>
      </c>
      <c r="Y652" t="str">
        <f t="shared" si="193"/>
        <v>00</v>
      </c>
      <c r="Z652" t="str">
        <f t="shared" si="204"/>
        <v>00</v>
      </c>
      <c r="AA652" t="str">
        <f t="shared" si="194"/>
        <v>00</v>
      </c>
      <c r="AB652" t="str">
        <f t="shared" si="195"/>
        <v>00</v>
      </c>
      <c r="AC652" t="str">
        <f t="shared" si="196"/>
        <v>0P0</v>
      </c>
      <c r="AD652" t="str">
        <f t="shared" si="197"/>
        <v>P00</v>
      </c>
      <c r="AE652" t="str">
        <f t="shared" si="198"/>
        <v>0P0</v>
      </c>
      <c r="AF652" t="str">
        <f t="shared" si="199"/>
        <v>P00</v>
      </c>
      <c r="AG652" t="str">
        <f t="shared" si="205"/>
        <v>0P00</v>
      </c>
      <c r="AH652" t="str">
        <f t="shared" si="206"/>
        <v>P000</v>
      </c>
      <c r="AI652" t="str">
        <f t="shared" si="207"/>
        <v>0P00</v>
      </c>
      <c r="AJ652" t="str">
        <f t="shared" si="208"/>
        <v>P000</v>
      </c>
    </row>
    <row r="653" spans="1:36" x14ac:dyDescent="0.25">
      <c r="A653" s="325" t="str">
        <f>CONCATENATE("P",'906MP'!M353)</f>
        <v>P</v>
      </c>
      <c r="B653">
        <f>'906MP'!H353</f>
        <v>0</v>
      </c>
      <c r="C653">
        <f>'906MP'!J353</f>
        <v>0</v>
      </c>
      <c r="D653">
        <f>'906MP'!P353</f>
        <v>0</v>
      </c>
      <c r="E653">
        <f>'906MP'!X353</f>
        <v>0</v>
      </c>
      <c r="F653" t="str">
        <f t="shared" si="200"/>
        <v>0</v>
      </c>
      <c r="G653" t="str">
        <f t="shared" si="201"/>
        <v>0</v>
      </c>
      <c r="H653">
        <f>'906MP'!Y353</f>
        <v>0</v>
      </c>
      <c r="I653">
        <f>'906MP'!AK353</f>
        <v>0</v>
      </c>
      <c r="J653">
        <f>'906MP'!T353</f>
        <v>0</v>
      </c>
      <c r="K653">
        <f>'906MP'!AJ353</f>
        <v>0</v>
      </c>
      <c r="L653">
        <f>'906MP'!U353</f>
        <v>0</v>
      </c>
      <c r="M653" s="322" t="str">
        <f>IFERROR(VLOOKUP(A653,PAR!$D$3:$E$53,2,FALSE),"nincs szervezet")</f>
        <v>nincs szervezet</v>
      </c>
      <c r="N653" s="322" t="str">
        <f>VLOOKUP(F653,PAR!$R$3:$S$5,2,FALSE)</f>
        <v>3 - egyik sem</v>
      </c>
      <c r="O653" t="str">
        <f>IFERROR(VLOOKUP(J653,PAR!$O$3:$P$5,2,FALSE),"nincs feladat")</f>
        <v>nincs feladat</v>
      </c>
      <c r="P653" t="str">
        <f>IFERROR(VLOOKUP(G653,PAR!$J$2:$M$19,4),"nincs rovat")</f>
        <v>nincs rovat</v>
      </c>
      <c r="Q653" t="str">
        <f>IF(H653&gt;0,VLOOKUP(H653,PAR!$AA$3:$AC$187,3,FALSE),"nincs főkönyvi számla")</f>
        <v>nincs főkönyvi számla</v>
      </c>
      <c r="R653" t="str">
        <f>IFERROR(VLOOKUP(K653,PAR!$V$3:$X$438,3,FALSE),"000000 - Nincs COFOG")</f>
        <v>000000 - Nincs COFOG</v>
      </c>
      <c r="S653">
        <f t="shared" si="202"/>
        <v>0</v>
      </c>
      <c r="T653">
        <f t="shared" si="203"/>
        <v>0</v>
      </c>
      <c r="U653" t="str">
        <f>IF('906MP'!J353&gt;0,CONCATENATE('906MP'!J353," - ",'906MP'!P353,", ",'906MP'!E353),"nincs megjegyzés")</f>
        <v>nincs megjegyzés</v>
      </c>
      <c r="V653" t="str">
        <f t="shared" si="190"/>
        <v>0P0</v>
      </c>
      <c r="W653" t="str">
        <f t="shared" si="191"/>
        <v>0P0</v>
      </c>
      <c r="X653" t="str">
        <f t="shared" si="192"/>
        <v>P0</v>
      </c>
      <c r="Y653" t="str">
        <f t="shared" si="193"/>
        <v>00</v>
      </c>
      <c r="Z653" t="str">
        <f t="shared" si="204"/>
        <v>00</v>
      </c>
      <c r="AA653" t="str">
        <f t="shared" si="194"/>
        <v>00</v>
      </c>
      <c r="AB653" t="str">
        <f t="shared" si="195"/>
        <v>00</v>
      </c>
      <c r="AC653" t="str">
        <f t="shared" si="196"/>
        <v>0P0</v>
      </c>
      <c r="AD653" t="str">
        <f t="shared" si="197"/>
        <v>P00</v>
      </c>
      <c r="AE653" t="str">
        <f t="shared" si="198"/>
        <v>0P0</v>
      </c>
      <c r="AF653" t="str">
        <f t="shared" si="199"/>
        <v>P00</v>
      </c>
      <c r="AG653" t="str">
        <f t="shared" si="205"/>
        <v>0P00</v>
      </c>
      <c r="AH653" t="str">
        <f t="shared" si="206"/>
        <v>P000</v>
      </c>
      <c r="AI653" t="str">
        <f t="shared" si="207"/>
        <v>0P00</v>
      </c>
      <c r="AJ653" t="str">
        <f t="shared" si="208"/>
        <v>P000</v>
      </c>
    </row>
    <row r="654" spans="1:36" x14ac:dyDescent="0.25">
      <c r="A654" s="325" t="str">
        <f>CONCATENATE("P",'906MP'!M354)</f>
        <v>P</v>
      </c>
      <c r="B654">
        <f>'906MP'!H354</f>
        <v>0</v>
      </c>
      <c r="C654">
        <f>'906MP'!J354</f>
        <v>0</v>
      </c>
      <c r="D654">
        <f>'906MP'!P354</f>
        <v>0</v>
      </c>
      <c r="E654">
        <f>'906MP'!X354</f>
        <v>0</v>
      </c>
      <c r="F654" t="str">
        <f t="shared" si="200"/>
        <v>0</v>
      </c>
      <c r="G654" t="str">
        <f t="shared" si="201"/>
        <v>0</v>
      </c>
      <c r="H654">
        <f>'906MP'!Y354</f>
        <v>0</v>
      </c>
      <c r="I654">
        <f>'906MP'!AK354</f>
        <v>0</v>
      </c>
      <c r="J654">
        <f>'906MP'!T354</f>
        <v>0</v>
      </c>
      <c r="K654">
        <f>'906MP'!AJ354</f>
        <v>0</v>
      </c>
      <c r="L654">
        <f>'906MP'!U354</f>
        <v>0</v>
      </c>
      <c r="M654" s="322" t="str">
        <f>IFERROR(VLOOKUP(A654,PAR!$D$3:$E$53,2,FALSE),"nincs szervezet")</f>
        <v>nincs szervezet</v>
      </c>
      <c r="N654" s="322" t="str">
        <f>VLOOKUP(F654,PAR!$R$3:$S$5,2,FALSE)</f>
        <v>3 - egyik sem</v>
      </c>
      <c r="O654" t="str">
        <f>IFERROR(VLOOKUP(J654,PAR!$O$3:$P$5,2,FALSE),"nincs feladat")</f>
        <v>nincs feladat</v>
      </c>
      <c r="P654" t="str">
        <f>IFERROR(VLOOKUP(G654,PAR!$J$2:$M$19,4),"nincs rovat")</f>
        <v>nincs rovat</v>
      </c>
      <c r="Q654" t="str">
        <f>IF(H654&gt;0,VLOOKUP(H654,PAR!$AA$3:$AC$187,3,FALSE),"nincs főkönyvi számla")</f>
        <v>nincs főkönyvi számla</v>
      </c>
      <c r="R654" t="str">
        <f>IFERROR(VLOOKUP(K654,PAR!$V$3:$X$438,3,FALSE),"000000 - Nincs COFOG")</f>
        <v>000000 - Nincs COFOG</v>
      </c>
      <c r="S654">
        <f t="shared" si="202"/>
        <v>0</v>
      </c>
      <c r="T654">
        <f t="shared" si="203"/>
        <v>0</v>
      </c>
      <c r="U654" t="str">
        <f>IF('906MP'!J354&gt;0,CONCATENATE('906MP'!J354," - ",'906MP'!P354,", ",'906MP'!E354),"nincs megjegyzés")</f>
        <v>nincs megjegyzés</v>
      </c>
      <c r="V654" t="str">
        <f t="shared" si="190"/>
        <v>0P0</v>
      </c>
      <c r="W654" t="str">
        <f t="shared" si="191"/>
        <v>0P0</v>
      </c>
      <c r="X654" t="str">
        <f t="shared" si="192"/>
        <v>P0</v>
      </c>
      <c r="Y654" t="str">
        <f t="shared" si="193"/>
        <v>00</v>
      </c>
      <c r="Z654" t="str">
        <f t="shared" si="204"/>
        <v>00</v>
      </c>
      <c r="AA654" t="str">
        <f t="shared" si="194"/>
        <v>00</v>
      </c>
      <c r="AB654" t="str">
        <f t="shared" si="195"/>
        <v>00</v>
      </c>
      <c r="AC654" t="str">
        <f t="shared" si="196"/>
        <v>0P0</v>
      </c>
      <c r="AD654" t="str">
        <f t="shared" si="197"/>
        <v>P00</v>
      </c>
      <c r="AE654" t="str">
        <f t="shared" si="198"/>
        <v>0P0</v>
      </c>
      <c r="AF654" t="str">
        <f t="shared" si="199"/>
        <v>P00</v>
      </c>
      <c r="AG654" t="str">
        <f t="shared" si="205"/>
        <v>0P00</v>
      </c>
      <c r="AH654" t="str">
        <f t="shared" si="206"/>
        <v>P000</v>
      </c>
      <c r="AI654" t="str">
        <f t="shared" si="207"/>
        <v>0P00</v>
      </c>
      <c r="AJ654" t="str">
        <f t="shared" si="208"/>
        <v>P000</v>
      </c>
    </row>
    <row r="655" spans="1:36" x14ac:dyDescent="0.25">
      <c r="A655" s="325" t="str">
        <f>CONCATENATE("P",'906MP'!M355)</f>
        <v>P</v>
      </c>
      <c r="B655">
        <f>'906MP'!H355</f>
        <v>0</v>
      </c>
      <c r="C655">
        <f>'906MP'!J355</f>
        <v>0</v>
      </c>
      <c r="D655">
        <f>'906MP'!P355</f>
        <v>0</v>
      </c>
      <c r="E655">
        <f>'906MP'!X355</f>
        <v>0</v>
      </c>
      <c r="F655" t="str">
        <f t="shared" si="200"/>
        <v>0</v>
      </c>
      <c r="G655" t="str">
        <f t="shared" si="201"/>
        <v>0</v>
      </c>
      <c r="H655">
        <f>'906MP'!Y355</f>
        <v>0</v>
      </c>
      <c r="I655">
        <f>'906MP'!AK355</f>
        <v>0</v>
      </c>
      <c r="J655">
        <f>'906MP'!T355</f>
        <v>0</v>
      </c>
      <c r="K655">
        <f>'906MP'!AJ355</f>
        <v>0</v>
      </c>
      <c r="L655">
        <f>'906MP'!U355</f>
        <v>0</v>
      </c>
      <c r="M655" s="322" t="str">
        <f>IFERROR(VLOOKUP(A655,PAR!$D$3:$E$53,2,FALSE),"nincs szervezet")</f>
        <v>nincs szervezet</v>
      </c>
      <c r="N655" s="322" t="str">
        <f>VLOOKUP(F655,PAR!$R$3:$S$5,2,FALSE)</f>
        <v>3 - egyik sem</v>
      </c>
      <c r="O655" t="str">
        <f>IFERROR(VLOOKUP(J655,PAR!$O$3:$P$5,2,FALSE),"nincs feladat")</f>
        <v>nincs feladat</v>
      </c>
      <c r="P655" t="str">
        <f>IFERROR(VLOOKUP(G655,PAR!$J$2:$M$19,4),"nincs rovat")</f>
        <v>nincs rovat</v>
      </c>
      <c r="Q655" t="str">
        <f>IF(H655&gt;0,VLOOKUP(H655,PAR!$AA$3:$AC$187,3,FALSE),"nincs főkönyvi számla")</f>
        <v>nincs főkönyvi számla</v>
      </c>
      <c r="R655" t="str">
        <f>IFERROR(VLOOKUP(K655,PAR!$V$3:$X$438,3,FALSE),"000000 - Nincs COFOG")</f>
        <v>000000 - Nincs COFOG</v>
      </c>
      <c r="S655">
        <f t="shared" si="202"/>
        <v>0</v>
      </c>
      <c r="T655">
        <f t="shared" si="203"/>
        <v>0</v>
      </c>
      <c r="U655" t="str">
        <f>IF('906MP'!J355&gt;0,CONCATENATE('906MP'!J355," - ",'906MP'!P355,", ",'906MP'!E355),"nincs megjegyzés")</f>
        <v>nincs megjegyzés</v>
      </c>
      <c r="V655" t="str">
        <f t="shared" si="190"/>
        <v>0P0</v>
      </c>
      <c r="W655" t="str">
        <f t="shared" si="191"/>
        <v>0P0</v>
      </c>
      <c r="X655" t="str">
        <f t="shared" si="192"/>
        <v>P0</v>
      </c>
      <c r="Y655" t="str">
        <f t="shared" si="193"/>
        <v>00</v>
      </c>
      <c r="Z655" t="str">
        <f t="shared" si="204"/>
        <v>00</v>
      </c>
      <c r="AA655" t="str">
        <f t="shared" si="194"/>
        <v>00</v>
      </c>
      <c r="AB655" t="str">
        <f t="shared" si="195"/>
        <v>00</v>
      </c>
      <c r="AC655" t="str">
        <f t="shared" si="196"/>
        <v>0P0</v>
      </c>
      <c r="AD655" t="str">
        <f t="shared" si="197"/>
        <v>P00</v>
      </c>
      <c r="AE655" t="str">
        <f t="shared" si="198"/>
        <v>0P0</v>
      </c>
      <c r="AF655" t="str">
        <f t="shared" si="199"/>
        <v>P00</v>
      </c>
      <c r="AG655" t="str">
        <f t="shared" si="205"/>
        <v>0P00</v>
      </c>
      <c r="AH655" t="str">
        <f t="shared" si="206"/>
        <v>P000</v>
      </c>
      <c r="AI655" t="str">
        <f t="shared" si="207"/>
        <v>0P00</v>
      </c>
      <c r="AJ655" t="str">
        <f t="shared" si="208"/>
        <v>P000</v>
      </c>
    </row>
    <row r="656" spans="1:36" x14ac:dyDescent="0.25">
      <c r="A656" s="325" t="str">
        <f>CONCATENATE("P",'906MP'!M356)</f>
        <v>P</v>
      </c>
      <c r="B656">
        <f>'906MP'!H356</f>
        <v>0</v>
      </c>
      <c r="C656">
        <f>'906MP'!J356</f>
        <v>0</v>
      </c>
      <c r="D656">
        <f>'906MP'!P356</f>
        <v>0</v>
      </c>
      <c r="E656">
        <f>'906MP'!X356</f>
        <v>0</v>
      </c>
      <c r="F656" t="str">
        <f t="shared" si="200"/>
        <v>0</v>
      </c>
      <c r="G656" t="str">
        <f t="shared" si="201"/>
        <v>0</v>
      </c>
      <c r="H656">
        <f>'906MP'!Y356</f>
        <v>0</v>
      </c>
      <c r="I656">
        <f>'906MP'!AK356</f>
        <v>0</v>
      </c>
      <c r="J656">
        <f>'906MP'!T356</f>
        <v>0</v>
      </c>
      <c r="K656">
        <f>'906MP'!AJ356</f>
        <v>0</v>
      </c>
      <c r="L656">
        <f>'906MP'!U356</f>
        <v>0</v>
      </c>
      <c r="M656" s="322" t="str">
        <f>IFERROR(VLOOKUP(A656,PAR!$D$3:$E$53,2,FALSE),"nincs szervezet")</f>
        <v>nincs szervezet</v>
      </c>
      <c r="N656" s="322" t="str">
        <f>VLOOKUP(F656,PAR!$R$3:$S$5,2,FALSE)</f>
        <v>3 - egyik sem</v>
      </c>
      <c r="O656" t="str">
        <f>IFERROR(VLOOKUP(J656,PAR!$O$3:$P$5,2,FALSE),"nincs feladat")</f>
        <v>nincs feladat</v>
      </c>
      <c r="P656" t="str">
        <f>IFERROR(VLOOKUP(G656,PAR!$J$2:$M$19,4),"nincs rovat")</f>
        <v>nincs rovat</v>
      </c>
      <c r="Q656" t="str">
        <f>IF(H656&gt;0,VLOOKUP(H656,PAR!$AA$3:$AC$187,3,FALSE),"nincs főkönyvi számla")</f>
        <v>nincs főkönyvi számla</v>
      </c>
      <c r="R656" t="str">
        <f>IFERROR(VLOOKUP(K656,PAR!$V$3:$X$438,3,FALSE),"000000 - Nincs COFOG")</f>
        <v>000000 - Nincs COFOG</v>
      </c>
      <c r="S656">
        <f t="shared" si="202"/>
        <v>0</v>
      </c>
      <c r="T656">
        <f t="shared" si="203"/>
        <v>0</v>
      </c>
      <c r="U656" t="str">
        <f>IF('906MP'!J356&gt;0,CONCATENATE('906MP'!J356," - ",'906MP'!P356,", ",'906MP'!E356),"nincs megjegyzés")</f>
        <v>nincs megjegyzés</v>
      </c>
      <c r="V656" t="str">
        <f t="shared" si="190"/>
        <v>0P0</v>
      </c>
      <c r="W656" t="str">
        <f t="shared" si="191"/>
        <v>0P0</v>
      </c>
      <c r="X656" t="str">
        <f t="shared" si="192"/>
        <v>P0</v>
      </c>
      <c r="Y656" t="str">
        <f t="shared" si="193"/>
        <v>00</v>
      </c>
      <c r="Z656" t="str">
        <f t="shared" si="204"/>
        <v>00</v>
      </c>
      <c r="AA656" t="str">
        <f t="shared" si="194"/>
        <v>00</v>
      </c>
      <c r="AB656" t="str">
        <f t="shared" si="195"/>
        <v>00</v>
      </c>
      <c r="AC656" t="str">
        <f t="shared" si="196"/>
        <v>0P0</v>
      </c>
      <c r="AD656" t="str">
        <f t="shared" si="197"/>
        <v>P00</v>
      </c>
      <c r="AE656" t="str">
        <f t="shared" si="198"/>
        <v>0P0</v>
      </c>
      <c r="AF656" t="str">
        <f t="shared" si="199"/>
        <v>P00</v>
      </c>
      <c r="AG656" t="str">
        <f t="shared" si="205"/>
        <v>0P00</v>
      </c>
      <c r="AH656" t="str">
        <f t="shared" si="206"/>
        <v>P000</v>
      </c>
      <c r="AI656" t="str">
        <f t="shared" si="207"/>
        <v>0P00</v>
      </c>
      <c r="AJ656" t="str">
        <f t="shared" si="208"/>
        <v>P000</v>
      </c>
    </row>
    <row r="657" spans="1:36" x14ac:dyDescent="0.25">
      <c r="A657" s="325" t="str">
        <f>CONCATENATE("P",'906MP'!M357)</f>
        <v>P</v>
      </c>
      <c r="B657">
        <f>'906MP'!H357</f>
        <v>0</v>
      </c>
      <c r="C657">
        <f>'906MP'!J357</f>
        <v>0</v>
      </c>
      <c r="D657">
        <f>'906MP'!P357</f>
        <v>0</v>
      </c>
      <c r="E657">
        <f>'906MP'!X357</f>
        <v>0</v>
      </c>
      <c r="F657" t="str">
        <f t="shared" si="200"/>
        <v>0</v>
      </c>
      <c r="G657" t="str">
        <f t="shared" si="201"/>
        <v>0</v>
      </c>
      <c r="H657">
        <f>'906MP'!Y357</f>
        <v>0</v>
      </c>
      <c r="I657">
        <f>'906MP'!AK357</f>
        <v>0</v>
      </c>
      <c r="J657">
        <f>'906MP'!T357</f>
        <v>0</v>
      </c>
      <c r="K657">
        <f>'906MP'!AJ357</f>
        <v>0</v>
      </c>
      <c r="L657">
        <f>'906MP'!U357</f>
        <v>0</v>
      </c>
      <c r="M657" s="322" t="str">
        <f>IFERROR(VLOOKUP(A657,PAR!$D$3:$E$53,2,FALSE),"nincs szervezet")</f>
        <v>nincs szervezet</v>
      </c>
      <c r="N657" s="322" t="str">
        <f>VLOOKUP(F657,PAR!$R$3:$S$5,2,FALSE)</f>
        <v>3 - egyik sem</v>
      </c>
      <c r="O657" t="str">
        <f>IFERROR(VLOOKUP(J657,PAR!$O$3:$P$5,2,FALSE),"nincs feladat")</f>
        <v>nincs feladat</v>
      </c>
      <c r="P657" t="str">
        <f>IFERROR(VLOOKUP(G657,PAR!$J$2:$M$19,4),"nincs rovat")</f>
        <v>nincs rovat</v>
      </c>
      <c r="Q657" t="str">
        <f>IF(H657&gt;0,VLOOKUP(H657,PAR!$AA$3:$AC$187,3,FALSE),"nincs főkönyvi számla")</f>
        <v>nincs főkönyvi számla</v>
      </c>
      <c r="R657" t="str">
        <f>IFERROR(VLOOKUP(K657,PAR!$V$3:$X$438,3,FALSE),"000000 - Nincs COFOG")</f>
        <v>000000 - Nincs COFOG</v>
      </c>
      <c r="S657">
        <f t="shared" si="202"/>
        <v>0</v>
      </c>
      <c r="T657">
        <f t="shared" si="203"/>
        <v>0</v>
      </c>
      <c r="U657" t="str">
        <f>IF('906MP'!J357&gt;0,CONCATENATE('906MP'!J357," - ",'906MP'!P357,", ",'906MP'!E357),"nincs megjegyzés")</f>
        <v>nincs megjegyzés</v>
      </c>
      <c r="V657" t="str">
        <f t="shared" si="190"/>
        <v>0P0</v>
      </c>
      <c r="W657" t="str">
        <f t="shared" si="191"/>
        <v>0P0</v>
      </c>
      <c r="X657" t="str">
        <f t="shared" si="192"/>
        <v>P0</v>
      </c>
      <c r="Y657" t="str">
        <f t="shared" si="193"/>
        <v>00</v>
      </c>
      <c r="Z657" t="str">
        <f t="shared" si="204"/>
        <v>00</v>
      </c>
      <c r="AA657" t="str">
        <f t="shared" si="194"/>
        <v>00</v>
      </c>
      <c r="AB657" t="str">
        <f t="shared" si="195"/>
        <v>00</v>
      </c>
      <c r="AC657" t="str">
        <f t="shared" si="196"/>
        <v>0P0</v>
      </c>
      <c r="AD657" t="str">
        <f t="shared" si="197"/>
        <v>P00</v>
      </c>
      <c r="AE657" t="str">
        <f t="shared" si="198"/>
        <v>0P0</v>
      </c>
      <c r="AF657" t="str">
        <f t="shared" si="199"/>
        <v>P00</v>
      </c>
      <c r="AG657" t="str">
        <f t="shared" si="205"/>
        <v>0P00</v>
      </c>
      <c r="AH657" t="str">
        <f t="shared" si="206"/>
        <v>P000</v>
      </c>
      <c r="AI657" t="str">
        <f t="shared" si="207"/>
        <v>0P00</v>
      </c>
      <c r="AJ657" t="str">
        <f t="shared" si="208"/>
        <v>P000</v>
      </c>
    </row>
    <row r="658" spans="1:36" x14ac:dyDescent="0.25">
      <c r="A658" s="325" t="str">
        <f>CONCATENATE("P",'906MP'!M358)</f>
        <v>P</v>
      </c>
      <c r="B658">
        <f>'906MP'!H358</f>
        <v>0</v>
      </c>
      <c r="C658">
        <f>'906MP'!J358</f>
        <v>0</v>
      </c>
      <c r="D658">
        <f>'906MP'!P358</f>
        <v>0</v>
      </c>
      <c r="E658">
        <f>'906MP'!X358</f>
        <v>0</v>
      </c>
      <c r="F658" t="str">
        <f t="shared" si="200"/>
        <v>0</v>
      </c>
      <c r="G658" t="str">
        <f t="shared" si="201"/>
        <v>0</v>
      </c>
      <c r="H658">
        <f>'906MP'!Y358</f>
        <v>0</v>
      </c>
      <c r="I658">
        <f>'906MP'!AK358</f>
        <v>0</v>
      </c>
      <c r="J658">
        <f>'906MP'!T358</f>
        <v>0</v>
      </c>
      <c r="K658">
        <f>'906MP'!AJ358</f>
        <v>0</v>
      </c>
      <c r="L658">
        <f>'906MP'!U358</f>
        <v>0</v>
      </c>
      <c r="M658" s="322" t="str">
        <f>IFERROR(VLOOKUP(A658,PAR!$D$3:$E$53,2,FALSE),"nincs szervezet")</f>
        <v>nincs szervezet</v>
      </c>
      <c r="N658" s="322" t="str">
        <f>VLOOKUP(F658,PAR!$R$3:$S$5,2,FALSE)</f>
        <v>3 - egyik sem</v>
      </c>
      <c r="O658" t="str">
        <f>IFERROR(VLOOKUP(J658,PAR!$O$3:$P$5,2,FALSE),"nincs feladat")</f>
        <v>nincs feladat</v>
      </c>
      <c r="P658" t="str">
        <f>IFERROR(VLOOKUP(G658,PAR!$J$2:$M$19,4),"nincs rovat")</f>
        <v>nincs rovat</v>
      </c>
      <c r="Q658" t="str">
        <f>IF(H658&gt;0,VLOOKUP(H658,PAR!$AA$3:$AC$187,3,FALSE),"nincs főkönyvi számla")</f>
        <v>nincs főkönyvi számla</v>
      </c>
      <c r="R658" t="str">
        <f>IFERROR(VLOOKUP(K658,PAR!$V$3:$X$438,3,FALSE),"000000 - Nincs COFOG")</f>
        <v>000000 - Nincs COFOG</v>
      </c>
      <c r="S658">
        <f t="shared" si="202"/>
        <v>0</v>
      </c>
      <c r="T658">
        <f t="shared" si="203"/>
        <v>0</v>
      </c>
      <c r="U658" t="str">
        <f>IF('906MP'!J358&gt;0,CONCATENATE('906MP'!J358," - ",'906MP'!P358,", ",'906MP'!E358),"nincs megjegyzés")</f>
        <v>nincs megjegyzés</v>
      </c>
      <c r="V658" t="str">
        <f t="shared" si="190"/>
        <v>0P0</v>
      </c>
      <c r="W658" t="str">
        <f t="shared" si="191"/>
        <v>0P0</v>
      </c>
      <c r="X658" t="str">
        <f t="shared" si="192"/>
        <v>P0</v>
      </c>
      <c r="Y658" t="str">
        <f t="shared" si="193"/>
        <v>00</v>
      </c>
      <c r="Z658" t="str">
        <f t="shared" si="204"/>
        <v>00</v>
      </c>
      <c r="AA658" t="str">
        <f t="shared" si="194"/>
        <v>00</v>
      </c>
      <c r="AB658" t="str">
        <f t="shared" si="195"/>
        <v>00</v>
      </c>
      <c r="AC658" t="str">
        <f t="shared" si="196"/>
        <v>0P0</v>
      </c>
      <c r="AD658" t="str">
        <f t="shared" si="197"/>
        <v>P00</v>
      </c>
      <c r="AE658" t="str">
        <f t="shared" si="198"/>
        <v>0P0</v>
      </c>
      <c r="AF658" t="str">
        <f t="shared" si="199"/>
        <v>P00</v>
      </c>
      <c r="AG658" t="str">
        <f t="shared" si="205"/>
        <v>0P00</v>
      </c>
      <c r="AH658" t="str">
        <f t="shared" si="206"/>
        <v>P000</v>
      </c>
      <c r="AI658" t="str">
        <f t="shared" si="207"/>
        <v>0P00</v>
      </c>
      <c r="AJ658" t="str">
        <f t="shared" si="208"/>
        <v>P000</v>
      </c>
    </row>
    <row r="659" spans="1:36" x14ac:dyDescent="0.25">
      <c r="A659" s="325" t="str">
        <f>CONCATENATE("P",'906MP'!M359)</f>
        <v>P</v>
      </c>
      <c r="B659">
        <f>'906MP'!H359</f>
        <v>0</v>
      </c>
      <c r="C659">
        <f>'906MP'!J359</f>
        <v>0</v>
      </c>
      <c r="D659">
        <f>'906MP'!P359</f>
        <v>0</v>
      </c>
      <c r="E659">
        <f>'906MP'!X359</f>
        <v>0</v>
      </c>
      <c r="F659" t="str">
        <f t="shared" si="200"/>
        <v>0</v>
      </c>
      <c r="G659" t="str">
        <f t="shared" si="201"/>
        <v>0</v>
      </c>
      <c r="H659">
        <f>'906MP'!Y359</f>
        <v>0</v>
      </c>
      <c r="I659">
        <f>'906MP'!AK359</f>
        <v>0</v>
      </c>
      <c r="J659">
        <f>'906MP'!T359</f>
        <v>0</v>
      </c>
      <c r="K659">
        <f>'906MP'!AJ359</f>
        <v>0</v>
      </c>
      <c r="L659">
        <f>'906MP'!U359</f>
        <v>0</v>
      </c>
      <c r="M659" s="322" t="str">
        <f>IFERROR(VLOOKUP(A659,PAR!$D$3:$E$53,2,FALSE),"nincs szervezet")</f>
        <v>nincs szervezet</v>
      </c>
      <c r="N659" s="322" t="str">
        <f>VLOOKUP(F659,PAR!$R$3:$S$5,2,FALSE)</f>
        <v>3 - egyik sem</v>
      </c>
      <c r="O659" t="str">
        <f>IFERROR(VLOOKUP(J659,PAR!$O$3:$P$5,2,FALSE),"nincs feladat")</f>
        <v>nincs feladat</v>
      </c>
      <c r="P659" t="str">
        <f>IFERROR(VLOOKUP(G659,PAR!$J$2:$M$19,4),"nincs rovat")</f>
        <v>nincs rovat</v>
      </c>
      <c r="Q659" t="str">
        <f>IF(H659&gt;0,VLOOKUP(H659,PAR!$AA$3:$AC$187,3,FALSE),"nincs főkönyvi számla")</f>
        <v>nincs főkönyvi számla</v>
      </c>
      <c r="R659" t="str">
        <f>IFERROR(VLOOKUP(K659,PAR!$V$3:$X$438,3,FALSE),"000000 - Nincs COFOG")</f>
        <v>000000 - Nincs COFOG</v>
      </c>
      <c r="S659">
        <f t="shared" si="202"/>
        <v>0</v>
      </c>
      <c r="T659">
        <f t="shared" si="203"/>
        <v>0</v>
      </c>
      <c r="U659" t="str">
        <f>IF('906MP'!J359&gt;0,CONCATENATE('906MP'!J359," - ",'906MP'!P359,", ",'906MP'!E359),"nincs megjegyzés")</f>
        <v>nincs megjegyzés</v>
      </c>
      <c r="V659" t="str">
        <f t="shared" si="190"/>
        <v>0P0</v>
      </c>
      <c r="W659" t="str">
        <f t="shared" si="191"/>
        <v>0P0</v>
      </c>
      <c r="X659" t="str">
        <f t="shared" si="192"/>
        <v>P0</v>
      </c>
      <c r="Y659" t="str">
        <f t="shared" si="193"/>
        <v>00</v>
      </c>
      <c r="Z659" t="str">
        <f t="shared" si="204"/>
        <v>00</v>
      </c>
      <c r="AA659" t="str">
        <f t="shared" si="194"/>
        <v>00</v>
      </c>
      <c r="AB659" t="str">
        <f t="shared" si="195"/>
        <v>00</v>
      </c>
      <c r="AC659" t="str">
        <f t="shared" si="196"/>
        <v>0P0</v>
      </c>
      <c r="AD659" t="str">
        <f t="shared" si="197"/>
        <v>P00</v>
      </c>
      <c r="AE659" t="str">
        <f t="shared" si="198"/>
        <v>0P0</v>
      </c>
      <c r="AF659" t="str">
        <f t="shared" si="199"/>
        <v>P00</v>
      </c>
      <c r="AG659" t="str">
        <f t="shared" si="205"/>
        <v>0P00</v>
      </c>
      <c r="AH659" t="str">
        <f t="shared" si="206"/>
        <v>P000</v>
      </c>
      <c r="AI659" t="str">
        <f t="shared" si="207"/>
        <v>0P00</v>
      </c>
      <c r="AJ659" t="str">
        <f t="shared" si="208"/>
        <v>P000</v>
      </c>
    </row>
    <row r="660" spans="1:36" x14ac:dyDescent="0.25">
      <c r="A660" s="325" t="str">
        <f>CONCATENATE("P",'906MP'!M360)</f>
        <v>P</v>
      </c>
      <c r="B660">
        <f>'906MP'!H360</f>
        <v>0</v>
      </c>
      <c r="C660">
        <f>'906MP'!J360</f>
        <v>0</v>
      </c>
      <c r="D660">
        <f>'906MP'!P360</f>
        <v>0</v>
      </c>
      <c r="E660">
        <f>'906MP'!X360</f>
        <v>0</v>
      </c>
      <c r="F660" t="str">
        <f t="shared" si="200"/>
        <v>0</v>
      </c>
      <c r="G660" t="str">
        <f t="shared" si="201"/>
        <v>0</v>
      </c>
      <c r="H660">
        <f>'906MP'!Y360</f>
        <v>0</v>
      </c>
      <c r="I660">
        <f>'906MP'!AK360</f>
        <v>0</v>
      </c>
      <c r="J660">
        <f>'906MP'!T360</f>
        <v>0</v>
      </c>
      <c r="K660">
        <f>'906MP'!AJ360</f>
        <v>0</v>
      </c>
      <c r="L660">
        <f>'906MP'!U360</f>
        <v>0</v>
      </c>
      <c r="M660" s="322" t="str">
        <f>IFERROR(VLOOKUP(A660,PAR!$D$3:$E$53,2,FALSE),"nincs szervezet")</f>
        <v>nincs szervezet</v>
      </c>
      <c r="N660" s="322" t="str">
        <f>VLOOKUP(F660,PAR!$R$3:$S$5,2,FALSE)</f>
        <v>3 - egyik sem</v>
      </c>
      <c r="O660" t="str">
        <f>IFERROR(VLOOKUP(J660,PAR!$O$3:$P$5,2,FALSE),"nincs feladat")</f>
        <v>nincs feladat</v>
      </c>
      <c r="P660" t="str">
        <f>IFERROR(VLOOKUP(G660,PAR!$J$2:$M$19,4),"nincs rovat")</f>
        <v>nincs rovat</v>
      </c>
      <c r="Q660" t="str">
        <f>IF(H660&gt;0,VLOOKUP(H660,PAR!$AA$3:$AC$187,3,FALSE),"nincs főkönyvi számla")</f>
        <v>nincs főkönyvi számla</v>
      </c>
      <c r="R660" t="str">
        <f>IFERROR(VLOOKUP(K660,PAR!$V$3:$X$438,3,FALSE),"000000 - Nincs COFOG")</f>
        <v>000000 - Nincs COFOG</v>
      </c>
      <c r="S660">
        <f t="shared" si="202"/>
        <v>0</v>
      </c>
      <c r="T660">
        <f t="shared" si="203"/>
        <v>0</v>
      </c>
      <c r="U660" t="str">
        <f>IF('906MP'!J360&gt;0,CONCATENATE('906MP'!J360," - ",'906MP'!P360,", ",'906MP'!E360),"nincs megjegyzés")</f>
        <v>nincs megjegyzés</v>
      </c>
      <c r="V660" t="str">
        <f t="shared" si="190"/>
        <v>0P0</v>
      </c>
      <c r="W660" t="str">
        <f t="shared" si="191"/>
        <v>0P0</v>
      </c>
      <c r="X660" t="str">
        <f t="shared" si="192"/>
        <v>P0</v>
      </c>
      <c r="Y660" t="str">
        <f t="shared" si="193"/>
        <v>00</v>
      </c>
      <c r="Z660" t="str">
        <f t="shared" si="204"/>
        <v>00</v>
      </c>
      <c r="AA660" t="str">
        <f t="shared" si="194"/>
        <v>00</v>
      </c>
      <c r="AB660" t="str">
        <f t="shared" si="195"/>
        <v>00</v>
      </c>
      <c r="AC660" t="str">
        <f t="shared" si="196"/>
        <v>0P0</v>
      </c>
      <c r="AD660" t="str">
        <f t="shared" si="197"/>
        <v>P00</v>
      </c>
      <c r="AE660" t="str">
        <f t="shared" si="198"/>
        <v>0P0</v>
      </c>
      <c r="AF660" t="str">
        <f t="shared" si="199"/>
        <v>P00</v>
      </c>
      <c r="AG660" t="str">
        <f t="shared" si="205"/>
        <v>0P00</v>
      </c>
      <c r="AH660" t="str">
        <f t="shared" si="206"/>
        <v>P000</v>
      </c>
      <c r="AI660" t="str">
        <f t="shared" si="207"/>
        <v>0P00</v>
      </c>
      <c r="AJ660" t="str">
        <f t="shared" si="208"/>
        <v>P000</v>
      </c>
    </row>
    <row r="661" spans="1:36" x14ac:dyDescent="0.25">
      <c r="A661" s="325" t="str">
        <f>CONCATENATE("P",'906MP'!M361)</f>
        <v>P</v>
      </c>
      <c r="B661">
        <f>'906MP'!H361</f>
        <v>0</v>
      </c>
      <c r="C661">
        <f>'906MP'!J361</f>
        <v>0</v>
      </c>
      <c r="D661">
        <f>'906MP'!P361</f>
        <v>0</v>
      </c>
      <c r="E661">
        <f>'906MP'!X361</f>
        <v>0</v>
      </c>
      <c r="F661" t="str">
        <f t="shared" si="200"/>
        <v>0</v>
      </c>
      <c r="G661" t="str">
        <f t="shared" si="201"/>
        <v>0</v>
      </c>
      <c r="H661">
        <f>'906MP'!Y361</f>
        <v>0</v>
      </c>
      <c r="I661">
        <f>'906MP'!AK361</f>
        <v>0</v>
      </c>
      <c r="J661">
        <f>'906MP'!T361</f>
        <v>0</v>
      </c>
      <c r="K661">
        <f>'906MP'!AJ361</f>
        <v>0</v>
      </c>
      <c r="L661">
        <f>'906MP'!U361</f>
        <v>0</v>
      </c>
      <c r="M661" s="322" t="str">
        <f>IFERROR(VLOOKUP(A661,PAR!$D$3:$E$53,2,FALSE),"nincs szervezet")</f>
        <v>nincs szervezet</v>
      </c>
      <c r="N661" s="322" t="str">
        <f>VLOOKUP(F661,PAR!$R$3:$S$5,2,FALSE)</f>
        <v>3 - egyik sem</v>
      </c>
      <c r="O661" t="str">
        <f>IFERROR(VLOOKUP(J661,PAR!$O$3:$P$5,2,FALSE),"nincs feladat")</f>
        <v>nincs feladat</v>
      </c>
      <c r="P661" t="str">
        <f>IFERROR(VLOOKUP(G661,PAR!$J$2:$M$19,4),"nincs rovat")</f>
        <v>nincs rovat</v>
      </c>
      <c r="Q661" t="str">
        <f>IF(H661&gt;0,VLOOKUP(H661,PAR!$AA$3:$AC$187,3,FALSE),"nincs főkönyvi számla")</f>
        <v>nincs főkönyvi számla</v>
      </c>
      <c r="R661" t="str">
        <f>IFERROR(VLOOKUP(K661,PAR!$V$3:$X$438,3,FALSE),"000000 - Nincs COFOG")</f>
        <v>000000 - Nincs COFOG</v>
      </c>
      <c r="S661">
        <f t="shared" si="202"/>
        <v>0</v>
      </c>
      <c r="T661">
        <f t="shared" si="203"/>
        <v>0</v>
      </c>
      <c r="U661" t="str">
        <f>IF('906MP'!J361&gt;0,CONCATENATE('906MP'!J361," - ",'906MP'!P361,", ",'906MP'!E361),"nincs megjegyzés")</f>
        <v>nincs megjegyzés</v>
      </c>
      <c r="V661" t="str">
        <f t="shared" si="190"/>
        <v>0P0</v>
      </c>
      <c r="W661" t="str">
        <f t="shared" si="191"/>
        <v>0P0</v>
      </c>
      <c r="X661" t="str">
        <f t="shared" si="192"/>
        <v>P0</v>
      </c>
      <c r="Y661" t="str">
        <f t="shared" si="193"/>
        <v>00</v>
      </c>
      <c r="Z661" t="str">
        <f t="shared" si="204"/>
        <v>00</v>
      </c>
      <c r="AA661" t="str">
        <f t="shared" si="194"/>
        <v>00</v>
      </c>
      <c r="AB661" t="str">
        <f t="shared" si="195"/>
        <v>00</v>
      </c>
      <c r="AC661" t="str">
        <f t="shared" si="196"/>
        <v>0P0</v>
      </c>
      <c r="AD661" t="str">
        <f t="shared" si="197"/>
        <v>P00</v>
      </c>
      <c r="AE661" t="str">
        <f t="shared" si="198"/>
        <v>0P0</v>
      </c>
      <c r="AF661" t="str">
        <f t="shared" si="199"/>
        <v>P00</v>
      </c>
      <c r="AG661" t="str">
        <f t="shared" si="205"/>
        <v>0P00</v>
      </c>
      <c r="AH661" t="str">
        <f t="shared" si="206"/>
        <v>P000</v>
      </c>
      <c r="AI661" t="str">
        <f t="shared" si="207"/>
        <v>0P00</v>
      </c>
      <c r="AJ661" t="str">
        <f t="shared" si="208"/>
        <v>P000</v>
      </c>
    </row>
    <row r="662" spans="1:36" x14ac:dyDescent="0.25">
      <c r="A662" s="325" t="str">
        <f>CONCATENATE("P",'906MP'!M362)</f>
        <v>P</v>
      </c>
      <c r="B662">
        <f>'906MP'!H362</f>
        <v>0</v>
      </c>
      <c r="C662">
        <f>'906MP'!J362</f>
        <v>0</v>
      </c>
      <c r="D662">
        <f>'906MP'!P362</f>
        <v>0</v>
      </c>
      <c r="E662">
        <f>'906MP'!X362</f>
        <v>0</v>
      </c>
      <c r="F662" t="str">
        <f t="shared" si="200"/>
        <v>0</v>
      </c>
      <c r="G662" t="str">
        <f t="shared" si="201"/>
        <v>0</v>
      </c>
      <c r="H662">
        <f>'906MP'!Y362</f>
        <v>0</v>
      </c>
      <c r="I662">
        <f>'906MP'!AK362</f>
        <v>0</v>
      </c>
      <c r="J662">
        <f>'906MP'!T362</f>
        <v>0</v>
      </c>
      <c r="K662">
        <f>'906MP'!AJ362</f>
        <v>0</v>
      </c>
      <c r="L662">
        <f>'906MP'!U362</f>
        <v>0</v>
      </c>
      <c r="M662" s="322" t="str">
        <f>IFERROR(VLOOKUP(A662,PAR!$D$3:$E$53,2,FALSE),"nincs szervezet")</f>
        <v>nincs szervezet</v>
      </c>
      <c r="N662" s="322" t="str">
        <f>VLOOKUP(F662,PAR!$R$3:$S$5,2,FALSE)</f>
        <v>3 - egyik sem</v>
      </c>
      <c r="O662" t="str">
        <f>IFERROR(VLOOKUP(J662,PAR!$O$3:$P$5,2,FALSE),"nincs feladat")</f>
        <v>nincs feladat</v>
      </c>
      <c r="P662" t="str">
        <f>IFERROR(VLOOKUP(G662,PAR!$J$2:$M$19,4),"nincs rovat")</f>
        <v>nincs rovat</v>
      </c>
      <c r="Q662" t="str">
        <f>IF(H662&gt;0,VLOOKUP(H662,PAR!$AA$3:$AC$187,3,FALSE),"nincs főkönyvi számla")</f>
        <v>nincs főkönyvi számla</v>
      </c>
      <c r="R662" t="str">
        <f>IFERROR(VLOOKUP(K662,PAR!$V$3:$X$438,3,FALSE),"000000 - Nincs COFOG")</f>
        <v>000000 - Nincs COFOG</v>
      </c>
      <c r="S662">
        <f t="shared" si="202"/>
        <v>0</v>
      </c>
      <c r="T662">
        <f t="shared" si="203"/>
        <v>0</v>
      </c>
      <c r="U662" t="str">
        <f>IF('906MP'!J362&gt;0,CONCATENATE('906MP'!J362," - ",'906MP'!P362,", ",'906MP'!E362),"nincs megjegyzés")</f>
        <v>nincs megjegyzés</v>
      </c>
      <c r="V662" t="str">
        <f t="shared" si="190"/>
        <v>0P0</v>
      </c>
      <c r="W662" t="str">
        <f t="shared" si="191"/>
        <v>0P0</v>
      </c>
      <c r="X662" t="str">
        <f t="shared" si="192"/>
        <v>P0</v>
      </c>
      <c r="Y662" t="str">
        <f t="shared" si="193"/>
        <v>00</v>
      </c>
      <c r="Z662" t="str">
        <f t="shared" si="204"/>
        <v>00</v>
      </c>
      <c r="AA662" t="str">
        <f t="shared" si="194"/>
        <v>00</v>
      </c>
      <c r="AB662" t="str">
        <f t="shared" si="195"/>
        <v>00</v>
      </c>
      <c r="AC662" t="str">
        <f t="shared" si="196"/>
        <v>0P0</v>
      </c>
      <c r="AD662" t="str">
        <f t="shared" si="197"/>
        <v>P00</v>
      </c>
      <c r="AE662" t="str">
        <f t="shared" si="198"/>
        <v>0P0</v>
      </c>
      <c r="AF662" t="str">
        <f t="shared" si="199"/>
        <v>P00</v>
      </c>
      <c r="AG662" t="str">
        <f t="shared" si="205"/>
        <v>0P00</v>
      </c>
      <c r="AH662" t="str">
        <f t="shared" si="206"/>
        <v>P000</v>
      </c>
      <c r="AI662" t="str">
        <f t="shared" si="207"/>
        <v>0P00</v>
      </c>
      <c r="AJ662" t="str">
        <f t="shared" si="208"/>
        <v>P000</v>
      </c>
    </row>
    <row r="663" spans="1:36" x14ac:dyDescent="0.25">
      <c r="A663" s="325" t="str">
        <f>CONCATENATE("P",'906MP'!M363)</f>
        <v>P</v>
      </c>
      <c r="B663">
        <f>'906MP'!H363</f>
        <v>0</v>
      </c>
      <c r="C663">
        <f>'906MP'!J363</f>
        <v>0</v>
      </c>
      <c r="D663">
        <f>'906MP'!P363</f>
        <v>0</v>
      </c>
      <c r="E663">
        <f>'906MP'!X363</f>
        <v>0</v>
      </c>
      <c r="F663" t="str">
        <f t="shared" si="200"/>
        <v>0</v>
      </c>
      <c r="G663" t="str">
        <f t="shared" si="201"/>
        <v>0</v>
      </c>
      <c r="H663">
        <f>'906MP'!Y363</f>
        <v>0</v>
      </c>
      <c r="I663">
        <f>'906MP'!AK363</f>
        <v>0</v>
      </c>
      <c r="J663">
        <f>'906MP'!T363</f>
        <v>0</v>
      </c>
      <c r="K663">
        <f>'906MP'!AJ363</f>
        <v>0</v>
      </c>
      <c r="L663">
        <f>'906MP'!U363</f>
        <v>0</v>
      </c>
      <c r="M663" s="322" t="str">
        <f>IFERROR(VLOOKUP(A663,PAR!$D$3:$E$53,2,FALSE),"nincs szervezet")</f>
        <v>nincs szervezet</v>
      </c>
      <c r="N663" s="322" t="str">
        <f>VLOOKUP(F663,PAR!$R$3:$S$5,2,FALSE)</f>
        <v>3 - egyik sem</v>
      </c>
      <c r="O663" t="str">
        <f>IFERROR(VLOOKUP(J663,PAR!$O$3:$P$5,2,FALSE),"nincs feladat")</f>
        <v>nincs feladat</v>
      </c>
      <c r="P663" t="str">
        <f>IFERROR(VLOOKUP(G663,PAR!$J$2:$M$19,4),"nincs rovat")</f>
        <v>nincs rovat</v>
      </c>
      <c r="Q663" t="str">
        <f>IF(H663&gt;0,VLOOKUP(H663,PAR!$AA$3:$AC$187,3,FALSE),"nincs főkönyvi számla")</f>
        <v>nincs főkönyvi számla</v>
      </c>
      <c r="R663" t="str">
        <f>IFERROR(VLOOKUP(K663,PAR!$V$3:$X$438,3,FALSE),"000000 - Nincs COFOG")</f>
        <v>000000 - Nincs COFOG</v>
      </c>
      <c r="S663">
        <f t="shared" si="202"/>
        <v>0</v>
      </c>
      <c r="T663">
        <f t="shared" si="203"/>
        <v>0</v>
      </c>
      <c r="U663" t="str">
        <f>IF('906MP'!J363&gt;0,CONCATENATE('906MP'!J363," - ",'906MP'!P363,", ",'906MP'!E363),"nincs megjegyzés")</f>
        <v>nincs megjegyzés</v>
      </c>
      <c r="V663" t="str">
        <f t="shared" si="190"/>
        <v>0P0</v>
      </c>
      <c r="W663" t="str">
        <f t="shared" si="191"/>
        <v>0P0</v>
      </c>
      <c r="X663" t="str">
        <f t="shared" si="192"/>
        <v>P0</v>
      </c>
      <c r="Y663" t="str">
        <f t="shared" si="193"/>
        <v>00</v>
      </c>
      <c r="Z663" t="str">
        <f t="shared" si="204"/>
        <v>00</v>
      </c>
      <c r="AA663" t="str">
        <f t="shared" si="194"/>
        <v>00</v>
      </c>
      <c r="AB663" t="str">
        <f t="shared" si="195"/>
        <v>00</v>
      </c>
      <c r="AC663" t="str">
        <f t="shared" si="196"/>
        <v>0P0</v>
      </c>
      <c r="AD663" t="str">
        <f t="shared" si="197"/>
        <v>P00</v>
      </c>
      <c r="AE663" t="str">
        <f t="shared" si="198"/>
        <v>0P0</v>
      </c>
      <c r="AF663" t="str">
        <f t="shared" si="199"/>
        <v>P00</v>
      </c>
      <c r="AG663" t="str">
        <f t="shared" si="205"/>
        <v>0P00</v>
      </c>
      <c r="AH663" t="str">
        <f t="shared" si="206"/>
        <v>P000</v>
      </c>
      <c r="AI663" t="str">
        <f t="shared" si="207"/>
        <v>0P00</v>
      </c>
      <c r="AJ663" t="str">
        <f t="shared" si="208"/>
        <v>P000</v>
      </c>
    </row>
    <row r="664" spans="1:36" x14ac:dyDescent="0.25">
      <c r="A664" s="325" t="str">
        <f>CONCATENATE("P",'906MP'!M364)</f>
        <v>P</v>
      </c>
      <c r="B664">
        <f>'906MP'!H364</f>
        <v>0</v>
      </c>
      <c r="C664">
        <f>'906MP'!J364</f>
        <v>0</v>
      </c>
      <c r="D664">
        <f>'906MP'!P364</f>
        <v>0</v>
      </c>
      <c r="E664">
        <f>'906MP'!X364</f>
        <v>0</v>
      </c>
      <c r="F664" t="str">
        <f t="shared" si="200"/>
        <v>0</v>
      </c>
      <c r="G664" t="str">
        <f t="shared" si="201"/>
        <v>0</v>
      </c>
      <c r="H664">
        <f>'906MP'!Y364</f>
        <v>0</v>
      </c>
      <c r="I664">
        <f>'906MP'!AK364</f>
        <v>0</v>
      </c>
      <c r="J664">
        <f>'906MP'!T364</f>
        <v>0</v>
      </c>
      <c r="K664">
        <f>'906MP'!AJ364</f>
        <v>0</v>
      </c>
      <c r="L664">
        <f>'906MP'!U364</f>
        <v>0</v>
      </c>
      <c r="M664" s="322" t="str">
        <f>IFERROR(VLOOKUP(A664,PAR!$D$3:$E$53,2,FALSE),"nincs szervezet")</f>
        <v>nincs szervezet</v>
      </c>
      <c r="N664" s="322" t="str">
        <f>VLOOKUP(F664,PAR!$R$3:$S$5,2,FALSE)</f>
        <v>3 - egyik sem</v>
      </c>
      <c r="O664" t="str">
        <f>IFERROR(VLOOKUP(J664,PAR!$O$3:$P$5,2,FALSE),"nincs feladat")</f>
        <v>nincs feladat</v>
      </c>
      <c r="P664" t="str">
        <f>IFERROR(VLOOKUP(G664,PAR!$J$2:$M$19,4),"nincs rovat")</f>
        <v>nincs rovat</v>
      </c>
      <c r="Q664" t="str">
        <f>IF(H664&gt;0,VLOOKUP(H664,PAR!$AA$3:$AC$187,3,FALSE),"nincs főkönyvi számla")</f>
        <v>nincs főkönyvi számla</v>
      </c>
      <c r="R664" t="str">
        <f>IFERROR(VLOOKUP(K664,PAR!$V$3:$X$438,3,FALSE),"000000 - Nincs COFOG")</f>
        <v>000000 - Nincs COFOG</v>
      </c>
      <c r="S664">
        <f t="shared" si="202"/>
        <v>0</v>
      </c>
      <c r="T664">
        <f t="shared" si="203"/>
        <v>0</v>
      </c>
      <c r="U664" t="str">
        <f>IF('906MP'!J364&gt;0,CONCATENATE('906MP'!J364," - ",'906MP'!P364,", ",'906MP'!E364),"nincs megjegyzés")</f>
        <v>nincs megjegyzés</v>
      </c>
      <c r="V664" t="str">
        <f t="shared" si="190"/>
        <v>0P0</v>
      </c>
      <c r="W664" t="str">
        <f t="shared" si="191"/>
        <v>0P0</v>
      </c>
      <c r="X664" t="str">
        <f t="shared" si="192"/>
        <v>P0</v>
      </c>
      <c r="Y664" t="str">
        <f t="shared" si="193"/>
        <v>00</v>
      </c>
      <c r="Z664" t="str">
        <f t="shared" si="204"/>
        <v>00</v>
      </c>
      <c r="AA664" t="str">
        <f t="shared" si="194"/>
        <v>00</v>
      </c>
      <c r="AB664" t="str">
        <f t="shared" si="195"/>
        <v>00</v>
      </c>
      <c r="AC664" t="str">
        <f t="shared" si="196"/>
        <v>0P0</v>
      </c>
      <c r="AD664" t="str">
        <f t="shared" si="197"/>
        <v>P00</v>
      </c>
      <c r="AE664" t="str">
        <f t="shared" si="198"/>
        <v>0P0</v>
      </c>
      <c r="AF664" t="str">
        <f t="shared" si="199"/>
        <v>P00</v>
      </c>
      <c r="AG664" t="str">
        <f t="shared" si="205"/>
        <v>0P00</v>
      </c>
      <c r="AH664" t="str">
        <f t="shared" si="206"/>
        <v>P000</v>
      </c>
      <c r="AI664" t="str">
        <f t="shared" si="207"/>
        <v>0P00</v>
      </c>
      <c r="AJ664" t="str">
        <f t="shared" si="208"/>
        <v>P000</v>
      </c>
    </row>
    <row r="665" spans="1:36" x14ac:dyDescent="0.25">
      <c r="A665" s="325" t="str">
        <f>CONCATENATE("P",'906MP'!M365)</f>
        <v>P</v>
      </c>
      <c r="B665">
        <f>'906MP'!H365</f>
        <v>0</v>
      </c>
      <c r="C665">
        <f>'906MP'!J365</f>
        <v>0</v>
      </c>
      <c r="D665">
        <f>'906MP'!P365</f>
        <v>0</v>
      </c>
      <c r="E665">
        <f>'906MP'!X365</f>
        <v>0</v>
      </c>
      <c r="F665" t="str">
        <f t="shared" si="200"/>
        <v>0</v>
      </c>
      <c r="G665" t="str">
        <f t="shared" si="201"/>
        <v>0</v>
      </c>
      <c r="H665">
        <f>'906MP'!Y365</f>
        <v>0</v>
      </c>
      <c r="I665">
        <f>'906MP'!AK365</f>
        <v>0</v>
      </c>
      <c r="J665">
        <f>'906MP'!T365</f>
        <v>0</v>
      </c>
      <c r="K665">
        <f>'906MP'!AJ365</f>
        <v>0</v>
      </c>
      <c r="L665">
        <f>'906MP'!U365</f>
        <v>0</v>
      </c>
      <c r="M665" s="322" t="str">
        <f>IFERROR(VLOOKUP(A665,PAR!$D$3:$E$53,2,FALSE),"nincs szervezet")</f>
        <v>nincs szervezet</v>
      </c>
      <c r="N665" s="322" t="str">
        <f>VLOOKUP(F665,PAR!$R$3:$S$5,2,FALSE)</f>
        <v>3 - egyik sem</v>
      </c>
      <c r="O665" t="str">
        <f>IFERROR(VLOOKUP(J665,PAR!$O$3:$P$5,2,FALSE),"nincs feladat")</f>
        <v>nincs feladat</v>
      </c>
      <c r="P665" t="str">
        <f>IFERROR(VLOOKUP(G665,PAR!$J$2:$M$19,4),"nincs rovat")</f>
        <v>nincs rovat</v>
      </c>
      <c r="Q665" t="str">
        <f>IF(H665&gt;0,VLOOKUP(H665,PAR!$AA$3:$AC$187,3,FALSE),"nincs főkönyvi számla")</f>
        <v>nincs főkönyvi számla</v>
      </c>
      <c r="R665" t="str">
        <f>IFERROR(VLOOKUP(K665,PAR!$V$3:$X$438,3,FALSE),"000000 - Nincs COFOG")</f>
        <v>000000 - Nincs COFOG</v>
      </c>
      <c r="S665">
        <f t="shared" si="202"/>
        <v>0</v>
      </c>
      <c r="T665">
        <f t="shared" si="203"/>
        <v>0</v>
      </c>
      <c r="U665" t="str">
        <f>IF('906MP'!J365&gt;0,CONCATENATE('906MP'!J365," - ",'906MP'!P365,", ",'906MP'!E365),"nincs megjegyzés")</f>
        <v>nincs megjegyzés</v>
      </c>
      <c r="V665" t="str">
        <f t="shared" si="190"/>
        <v>0P0</v>
      </c>
      <c r="W665" t="str">
        <f t="shared" si="191"/>
        <v>0P0</v>
      </c>
      <c r="X665" t="str">
        <f t="shared" si="192"/>
        <v>P0</v>
      </c>
      <c r="Y665" t="str">
        <f t="shared" si="193"/>
        <v>00</v>
      </c>
      <c r="Z665" t="str">
        <f t="shared" si="204"/>
        <v>00</v>
      </c>
      <c r="AA665" t="str">
        <f t="shared" si="194"/>
        <v>00</v>
      </c>
      <c r="AB665" t="str">
        <f t="shared" si="195"/>
        <v>00</v>
      </c>
      <c r="AC665" t="str">
        <f t="shared" si="196"/>
        <v>0P0</v>
      </c>
      <c r="AD665" t="str">
        <f t="shared" si="197"/>
        <v>P00</v>
      </c>
      <c r="AE665" t="str">
        <f t="shared" si="198"/>
        <v>0P0</v>
      </c>
      <c r="AF665" t="str">
        <f t="shared" si="199"/>
        <v>P00</v>
      </c>
      <c r="AG665" t="str">
        <f t="shared" si="205"/>
        <v>0P00</v>
      </c>
      <c r="AH665" t="str">
        <f t="shared" si="206"/>
        <v>P000</v>
      </c>
      <c r="AI665" t="str">
        <f t="shared" si="207"/>
        <v>0P00</v>
      </c>
      <c r="AJ665" t="str">
        <f t="shared" si="208"/>
        <v>P000</v>
      </c>
    </row>
    <row r="666" spans="1:36" x14ac:dyDescent="0.25">
      <c r="A666" s="325" t="str">
        <f>CONCATENATE("P",'906MP'!M366)</f>
        <v>P</v>
      </c>
      <c r="B666">
        <f>'906MP'!H366</f>
        <v>0</v>
      </c>
      <c r="C666">
        <f>'906MP'!J366</f>
        <v>0</v>
      </c>
      <c r="D666">
        <f>'906MP'!P366</f>
        <v>0</v>
      </c>
      <c r="E666">
        <f>'906MP'!X366</f>
        <v>0</v>
      </c>
      <c r="F666" t="str">
        <f t="shared" si="200"/>
        <v>0</v>
      </c>
      <c r="G666" t="str">
        <f t="shared" si="201"/>
        <v>0</v>
      </c>
      <c r="H666">
        <f>'906MP'!Y366</f>
        <v>0</v>
      </c>
      <c r="I666">
        <f>'906MP'!AK366</f>
        <v>0</v>
      </c>
      <c r="J666">
        <f>'906MP'!T366</f>
        <v>0</v>
      </c>
      <c r="K666">
        <f>'906MP'!AJ366</f>
        <v>0</v>
      </c>
      <c r="L666">
        <f>'906MP'!U366</f>
        <v>0</v>
      </c>
      <c r="M666" s="322" t="str">
        <f>IFERROR(VLOOKUP(A666,PAR!$D$3:$E$53,2,FALSE),"nincs szervezet")</f>
        <v>nincs szervezet</v>
      </c>
      <c r="N666" s="322" t="str">
        <f>VLOOKUP(F666,PAR!$R$3:$S$5,2,FALSE)</f>
        <v>3 - egyik sem</v>
      </c>
      <c r="O666" t="str">
        <f>IFERROR(VLOOKUP(J666,PAR!$O$3:$P$5,2,FALSE),"nincs feladat")</f>
        <v>nincs feladat</v>
      </c>
      <c r="P666" t="str">
        <f>IFERROR(VLOOKUP(G666,PAR!$J$2:$M$19,4),"nincs rovat")</f>
        <v>nincs rovat</v>
      </c>
      <c r="Q666" t="str">
        <f>IF(H666&gt;0,VLOOKUP(H666,PAR!$AA$3:$AC$187,3,FALSE),"nincs főkönyvi számla")</f>
        <v>nincs főkönyvi számla</v>
      </c>
      <c r="R666" t="str">
        <f>IFERROR(VLOOKUP(K666,PAR!$V$3:$X$438,3,FALSE),"000000 - Nincs COFOG")</f>
        <v>000000 - Nincs COFOG</v>
      </c>
      <c r="S666">
        <f t="shared" si="202"/>
        <v>0</v>
      </c>
      <c r="T666">
        <f t="shared" si="203"/>
        <v>0</v>
      </c>
      <c r="U666" t="str">
        <f>IF('906MP'!J366&gt;0,CONCATENATE('906MP'!J366," - ",'906MP'!P366,", ",'906MP'!E366),"nincs megjegyzés")</f>
        <v>nincs megjegyzés</v>
      </c>
      <c r="V666" t="str">
        <f t="shared" si="190"/>
        <v>0P0</v>
      </c>
      <c r="W666" t="str">
        <f t="shared" si="191"/>
        <v>0P0</v>
      </c>
      <c r="X666" t="str">
        <f t="shared" si="192"/>
        <v>P0</v>
      </c>
      <c r="Y666" t="str">
        <f t="shared" si="193"/>
        <v>00</v>
      </c>
      <c r="Z666" t="str">
        <f t="shared" si="204"/>
        <v>00</v>
      </c>
      <c r="AA666" t="str">
        <f t="shared" si="194"/>
        <v>00</v>
      </c>
      <c r="AB666" t="str">
        <f t="shared" si="195"/>
        <v>00</v>
      </c>
      <c r="AC666" t="str">
        <f t="shared" si="196"/>
        <v>0P0</v>
      </c>
      <c r="AD666" t="str">
        <f t="shared" si="197"/>
        <v>P00</v>
      </c>
      <c r="AE666" t="str">
        <f t="shared" si="198"/>
        <v>0P0</v>
      </c>
      <c r="AF666" t="str">
        <f t="shared" si="199"/>
        <v>P00</v>
      </c>
      <c r="AG666" t="str">
        <f t="shared" si="205"/>
        <v>0P00</v>
      </c>
      <c r="AH666" t="str">
        <f t="shared" si="206"/>
        <v>P000</v>
      </c>
      <c r="AI666" t="str">
        <f t="shared" si="207"/>
        <v>0P00</v>
      </c>
      <c r="AJ666" t="str">
        <f t="shared" si="208"/>
        <v>P000</v>
      </c>
    </row>
    <row r="667" spans="1:36" x14ac:dyDescent="0.25">
      <c r="A667" s="325" t="str">
        <f>CONCATENATE("P",'906MP'!M367)</f>
        <v>P</v>
      </c>
      <c r="B667">
        <f>'906MP'!H367</f>
        <v>0</v>
      </c>
      <c r="C667">
        <f>'906MP'!J367</f>
        <v>0</v>
      </c>
      <c r="D667">
        <f>'906MP'!P367</f>
        <v>0</v>
      </c>
      <c r="E667">
        <f>'906MP'!X367</f>
        <v>0</v>
      </c>
      <c r="F667" t="str">
        <f t="shared" si="200"/>
        <v>0</v>
      </c>
      <c r="G667" t="str">
        <f t="shared" si="201"/>
        <v>0</v>
      </c>
      <c r="H667">
        <f>'906MP'!Y367</f>
        <v>0</v>
      </c>
      <c r="I667">
        <f>'906MP'!AK367</f>
        <v>0</v>
      </c>
      <c r="J667">
        <f>'906MP'!T367</f>
        <v>0</v>
      </c>
      <c r="K667">
        <f>'906MP'!AJ367</f>
        <v>0</v>
      </c>
      <c r="L667">
        <f>'906MP'!U367</f>
        <v>0</v>
      </c>
      <c r="M667" s="322" t="str">
        <f>IFERROR(VLOOKUP(A667,PAR!$D$3:$E$53,2,FALSE),"nincs szervezet")</f>
        <v>nincs szervezet</v>
      </c>
      <c r="N667" s="322" t="str">
        <f>VLOOKUP(F667,PAR!$R$3:$S$5,2,FALSE)</f>
        <v>3 - egyik sem</v>
      </c>
      <c r="O667" t="str">
        <f>IFERROR(VLOOKUP(J667,PAR!$O$3:$P$5,2,FALSE),"nincs feladat")</f>
        <v>nincs feladat</v>
      </c>
      <c r="P667" t="str">
        <f>IFERROR(VLOOKUP(G667,PAR!$J$2:$M$19,4),"nincs rovat")</f>
        <v>nincs rovat</v>
      </c>
      <c r="Q667" t="str">
        <f>IF(H667&gt;0,VLOOKUP(H667,PAR!$AA$3:$AC$187,3,FALSE),"nincs főkönyvi számla")</f>
        <v>nincs főkönyvi számla</v>
      </c>
      <c r="R667" t="str">
        <f>IFERROR(VLOOKUP(K667,PAR!$V$3:$X$438,3,FALSE),"000000 - Nincs COFOG")</f>
        <v>000000 - Nincs COFOG</v>
      </c>
      <c r="S667">
        <f t="shared" si="202"/>
        <v>0</v>
      </c>
      <c r="T667">
        <f t="shared" si="203"/>
        <v>0</v>
      </c>
      <c r="U667" t="str">
        <f>IF('906MP'!J367&gt;0,CONCATENATE('906MP'!J367," - ",'906MP'!P367,", ",'906MP'!E367),"nincs megjegyzés")</f>
        <v>nincs megjegyzés</v>
      </c>
      <c r="V667" t="str">
        <f t="shared" si="190"/>
        <v>0P0</v>
      </c>
      <c r="W667" t="str">
        <f t="shared" si="191"/>
        <v>0P0</v>
      </c>
      <c r="X667" t="str">
        <f t="shared" si="192"/>
        <v>P0</v>
      </c>
      <c r="Y667" t="str">
        <f t="shared" si="193"/>
        <v>00</v>
      </c>
      <c r="Z667" t="str">
        <f t="shared" si="204"/>
        <v>00</v>
      </c>
      <c r="AA667" t="str">
        <f t="shared" si="194"/>
        <v>00</v>
      </c>
      <c r="AB667" t="str">
        <f t="shared" si="195"/>
        <v>00</v>
      </c>
      <c r="AC667" t="str">
        <f t="shared" si="196"/>
        <v>0P0</v>
      </c>
      <c r="AD667" t="str">
        <f t="shared" si="197"/>
        <v>P00</v>
      </c>
      <c r="AE667" t="str">
        <f t="shared" si="198"/>
        <v>0P0</v>
      </c>
      <c r="AF667" t="str">
        <f t="shared" si="199"/>
        <v>P00</v>
      </c>
      <c r="AG667" t="str">
        <f t="shared" si="205"/>
        <v>0P00</v>
      </c>
      <c r="AH667" t="str">
        <f t="shared" si="206"/>
        <v>P000</v>
      </c>
      <c r="AI667" t="str">
        <f t="shared" si="207"/>
        <v>0P00</v>
      </c>
      <c r="AJ667" t="str">
        <f t="shared" si="208"/>
        <v>P000</v>
      </c>
    </row>
    <row r="668" spans="1:36" x14ac:dyDescent="0.25">
      <c r="A668" s="325" t="str">
        <f>CONCATENATE("P",'906MP'!M368)</f>
        <v>P</v>
      </c>
      <c r="B668">
        <f>'906MP'!H368</f>
        <v>0</v>
      </c>
      <c r="C668">
        <f>'906MP'!J368</f>
        <v>0</v>
      </c>
      <c r="D668">
        <f>'906MP'!P368</f>
        <v>0</v>
      </c>
      <c r="E668">
        <f>'906MP'!X368</f>
        <v>0</v>
      </c>
      <c r="F668" t="str">
        <f t="shared" si="200"/>
        <v>0</v>
      </c>
      <c r="G668" t="str">
        <f t="shared" si="201"/>
        <v>0</v>
      </c>
      <c r="H668">
        <f>'906MP'!Y368</f>
        <v>0</v>
      </c>
      <c r="I668">
        <f>'906MP'!AK368</f>
        <v>0</v>
      </c>
      <c r="J668">
        <f>'906MP'!T368</f>
        <v>0</v>
      </c>
      <c r="K668">
        <f>'906MP'!AJ368</f>
        <v>0</v>
      </c>
      <c r="L668">
        <f>'906MP'!U368</f>
        <v>0</v>
      </c>
      <c r="M668" s="322" t="str">
        <f>IFERROR(VLOOKUP(A668,PAR!$D$3:$E$53,2,FALSE),"nincs szervezet")</f>
        <v>nincs szervezet</v>
      </c>
      <c r="N668" s="322" t="str">
        <f>VLOOKUP(F668,PAR!$R$3:$S$5,2,FALSE)</f>
        <v>3 - egyik sem</v>
      </c>
      <c r="O668" t="str">
        <f>IFERROR(VLOOKUP(J668,PAR!$O$3:$P$5,2,FALSE),"nincs feladat")</f>
        <v>nincs feladat</v>
      </c>
      <c r="P668" t="str">
        <f>IFERROR(VLOOKUP(G668,PAR!$J$2:$M$19,4),"nincs rovat")</f>
        <v>nincs rovat</v>
      </c>
      <c r="Q668" t="str">
        <f>IF(H668&gt;0,VLOOKUP(H668,PAR!$AA$3:$AC$187,3,FALSE),"nincs főkönyvi számla")</f>
        <v>nincs főkönyvi számla</v>
      </c>
      <c r="R668" t="str">
        <f>IFERROR(VLOOKUP(K668,PAR!$V$3:$X$438,3,FALSE),"000000 - Nincs COFOG")</f>
        <v>000000 - Nincs COFOG</v>
      </c>
      <c r="S668">
        <f t="shared" si="202"/>
        <v>0</v>
      </c>
      <c r="T668">
        <f t="shared" si="203"/>
        <v>0</v>
      </c>
      <c r="U668" t="str">
        <f>IF('906MP'!J368&gt;0,CONCATENATE('906MP'!J368," - ",'906MP'!P368,", ",'906MP'!E368),"nincs megjegyzés")</f>
        <v>nincs megjegyzés</v>
      </c>
      <c r="V668" t="str">
        <f t="shared" si="190"/>
        <v>0P0</v>
      </c>
      <c r="W668" t="str">
        <f t="shared" si="191"/>
        <v>0P0</v>
      </c>
      <c r="X668" t="str">
        <f t="shared" si="192"/>
        <v>P0</v>
      </c>
      <c r="Y668" t="str">
        <f t="shared" si="193"/>
        <v>00</v>
      </c>
      <c r="Z668" t="str">
        <f t="shared" si="204"/>
        <v>00</v>
      </c>
      <c r="AA668" t="str">
        <f t="shared" si="194"/>
        <v>00</v>
      </c>
      <c r="AB668" t="str">
        <f t="shared" si="195"/>
        <v>00</v>
      </c>
      <c r="AC668" t="str">
        <f t="shared" si="196"/>
        <v>0P0</v>
      </c>
      <c r="AD668" t="str">
        <f t="shared" si="197"/>
        <v>P00</v>
      </c>
      <c r="AE668" t="str">
        <f t="shared" si="198"/>
        <v>0P0</v>
      </c>
      <c r="AF668" t="str">
        <f t="shared" si="199"/>
        <v>P00</v>
      </c>
      <c r="AG668" t="str">
        <f t="shared" si="205"/>
        <v>0P00</v>
      </c>
      <c r="AH668" t="str">
        <f t="shared" si="206"/>
        <v>P000</v>
      </c>
      <c r="AI668" t="str">
        <f t="shared" si="207"/>
        <v>0P00</v>
      </c>
      <c r="AJ668" t="str">
        <f t="shared" si="208"/>
        <v>P000</v>
      </c>
    </row>
    <row r="669" spans="1:36" x14ac:dyDescent="0.25">
      <c r="A669" s="325" t="str">
        <f>CONCATENATE("P",'906MP'!M369)</f>
        <v>P</v>
      </c>
      <c r="B669">
        <f>'906MP'!H369</f>
        <v>0</v>
      </c>
      <c r="C669">
        <f>'906MP'!J369</f>
        <v>0</v>
      </c>
      <c r="D669">
        <f>'906MP'!P369</f>
        <v>0</v>
      </c>
      <c r="E669">
        <f>'906MP'!X369</f>
        <v>0</v>
      </c>
      <c r="F669" t="str">
        <f t="shared" si="200"/>
        <v>0</v>
      </c>
      <c r="G669" t="str">
        <f t="shared" si="201"/>
        <v>0</v>
      </c>
      <c r="H669">
        <f>'906MP'!Y369</f>
        <v>0</v>
      </c>
      <c r="I669">
        <f>'906MP'!AK369</f>
        <v>0</v>
      </c>
      <c r="J669">
        <f>'906MP'!T369</f>
        <v>0</v>
      </c>
      <c r="K669">
        <f>'906MP'!AJ369</f>
        <v>0</v>
      </c>
      <c r="L669">
        <f>'906MP'!U369</f>
        <v>0</v>
      </c>
      <c r="M669" s="322" t="str">
        <f>IFERROR(VLOOKUP(A669,PAR!$D$3:$E$53,2,FALSE),"nincs szervezet")</f>
        <v>nincs szervezet</v>
      </c>
      <c r="N669" s="322" t="str">
        <f>VLOOKUP(F669,PAR!$R$3:$S$5,2,FALSE)</f>
        <v>3 - egyik sem</v>
      </c>
      <c r="O669" t="str">
        <f>IFERROR(VLOOKUP(J669,PAR!$O$3:$P$5,2,FALSE),"nincs feladat")</f>
        <v>nincs feladat</v>
      </c>
      <c r="P669" t="str">
        <f>IFERROR(VLOOKUP(G669,PAR!$J$2:$M$19,4),"nincs rovat")</f>
        <v>nincs rovat</v>
      </c>
      <c r="Q669" t="str">
        <f>IF(H669&gt;0,VLOOKUP(H669,PAR!$AA$3:$AC$187,3,FALSE),"nincs főkönyvi számla")</f>
        <v>nincs főkönyvi számla</v>
      </c>
      <c r="R669" t="str">
        <f>IFERROR(VLOOKUP(K669,PAR!$V$3:$X$438,3,FALSE),"000000 - Nincs COFOG")</f>
        <v>000000 - Nincs COFOG</v>
      </c>
      <c r="S669">
        <f t="shared" si="202"/>
        <v>0</v>
      </c>
      <c r="T669">
        <f t="shared" si="203"/>
        <v>0</v>
      </c>
      <c r="U669" t="str">
        <f>IF('906MP'!J369&gt;0,CONCATENATE('906MP'!J369," - ",'906MP'!P369,", ",'906MP'!E369),"nincs megjegyzés")</f>
        <v>nincs megjegyzés</v>
      </c>
      <c r="V669" t="str">
        <f t="shared" si="190"/>
        <v>0P0</v>
      </c>
      <c r="W669" t="str">
        <f t="shared" si="191"/>
        <v>0P0</v>
      </c>
      <c r="X669" t="str">
        <f t="shared" si="192"/>
        <v>P0</v>
      </c>
      <c r="Y669" t="str">
        <f t="shared" si="193"/>
        <v>00</v>
      </c>
      <c r="Z669" t="str">
        <f t="shared" si="204"/>
        <v>00</v>
      </c>
      <c r="AA669" t="str">
        <f t="shared" si="194"/>
        <v>00</v>
      </c>
      <c r="AB669" t="str">
        <f t="shared" si="195"/>
        <v>00</v>
      </c>
      <c r="AC669" t="str">
        <f t="shared" si="196"/>
        <v>0P0</v>
      </c>
      <c r="AD669" t="str">
        <f t="shared" si="197"/>
        <v>P00</v>
      </c>
      <c r="AE669" t="str">
        <f t="shared" si="198"/>
        <v>0P0</v>
      </c>
      <c r="AF669" t="str">
        <f t="shared" si="199"/>
        <v>P00</v>
      </c>
      <c r="AG669" t="str">
        <f t="shared" si="205"/>
        <v>0P00</v>
      </c>
      <c r="AH669" t="str">
        <f t="shared" si="206"/>
        <v>P000</v>
      </c>
      <c r="AI669" t="str">
        <f t="shared" si="207"/>
        <v>0P00</v>
      </c>
      <c r="AJ669" t="str">
        <f t="shared" si="208"/>
        <v>P000</v>
      </c>
    </row>
    <row r="670" spans="1:36" x14ac:dyDescent="0.25">
      <c r="A670" s="325" t="str">
        <f>CONCATENATE("P",'906MP'!M370)</f>
        <v>P</v>
      </c>
      <c r="B670">
        <f>'906MP'!H370</f>
        <v>0</v>
      </c>
      <c r="C670">
        <f>'906MP'!J370</f>
        <v>0</v>
      </c>
      <c r="D670">
        <f>'906MP'!P370</f>
        <v>0</v>
      </c>
      <c r="E670">
        <f>'906MP'!X370</f>
        <v>0</v>
      </c>
      <c r="F670" t="str">
        <f t="shared" si="200"/>
        <v>0</v>
      </c>
      <c r="G670" t="str">
        <f t="shared" si="201"/>
        <v>0</v>
      </c>
      <c r="H670">
        <f>'906MP'!Y370</f>
        <v>0</v>
      </c>
      <c r="I670">
        <f>'906MP'!AK370</f>
        <v>0</v>
      </c>
      <c r="J670">
        <f>'906MP'!T370</f>
        <v>0</v>
      </c>
      <c r="K670">
        <f>'906MP'!AJ370</f>
        <v>0</v>
      </c>
      <c r="L670">
        <f>'906MP'!U370</f>
        <v>0</v>
      </c>
      <c r="M670" s="322" t="str">
        <f>IFERROR(VLOOKUP(A670,PAR!$D$3:$E$53,2,FALSE),"nincs szervezet")</f>
        <v>nincs szervezet</v>
      </c>
      <c r="N670" s="322" t="str">
        <f>VLOOKUP(F670,PAR!$R$3:$S$5,2,FALSE)</f>
        <v>3 - egyik sem</v>
      </c>
      <c r="O670" t="str">
        <f>IFERROR(VLOOKUP(J670,PAR!$O$3:$P$5,2,FALSE),"nincs feladat")</f>
        <v>nincs feladat</v>
      </c>
      <c r="P670" t="str">
        <f>IFERROR(VLOOKUP(G670,PAR!$J$2:$M$19,4),"nincs rovat")</f>
        <v>nincs rovat</v>
      </c>
      <c r="Q670" t="str">
        <f>IF(H670&gt;0,VLOOKUP(H670,PAR!$AA$3:$AC$187,3,FALSE),"nincs főkönyvi számla")</f>
        <v>nincs főkönyvi számla</v>
      </c>
      <c r="R670" t="str">
        <f>IFERROR(VLOOKUP(K670,PAR!$V$3:$X$438,3,FALSE),"000000 - Nincs COFOG")</f>
        <v>000000 - Nincs COFOG</v>
      </c>
      <c r="S670">
        <f t="shared" si="202"/>
        <v>0</v>
      </c>
      <c r="T670">
        <f t="shared" si="203"/>
        <v>0</v>
      </c>
      <c r="U670" t="str">
        <f>IF('906MP'!J370&gt;0,CONCATENATE('906MP'!J370," - ",'906MP'!P370,", ",'906MP'!E370),"nincs megjegyzés")</f>
        <v>nincs megjegyzés</v>
      </c>
      <c r="V670" t="str">
        <f t="shared" si="190"/>
        <v>0P0</v>
      </c>
      <c r="W670" t="str">
        <f t="shared" si="191"/>
        <v>0P0</v>
      </c>
      <c r="X670" t="str">
        <f t="shared" si="192"/>
        <v>P0</v>
      </c>
      <c r="Y670" t="str">
        <f t="shared" si="193"/>
        <v>00</v>
      </c>
      <c r="Z670" t="str">
        <f t="shared" si="204"/>
        <v>00</v>
      </c>
      <c r="AA670" t="str">
        <f t="shared" si="194"/>
        <v>00</v>
      </c>
      <c r="AB670" t="str">
        <f t="shared" si="195"/>
        <v>00</v>
      </c>
      <c r="AC670" t="str">
        <f t="shared" si="196"/>
        <v>0P0</v>
      </c>
      <c r="AD670" t="str">
        <f t="shared" si="197"/>
        <v>P00</v>
      </c>
      <c r="AE670" t="str">
        <f t="shared" si="198"/>
        <v>0P0</v>
      </c>
      <c r="AF670" t="str">
        <f t="shared" si="199"/>
        <v>P00</v>
      </c>
      <c r="AG670" t="str">
        <f t="shared" si="205"/>
        <v>0P00</v>
      </c>
      <c r="AH670" t="str">
        <f t="shared" si="206"/>
        <v>P000</v>
      </c>
      <c r="AI670" t="str">
        <f t="shared" si="207"/>
        <v>0P00</v>
      </c>
      <c r="AJ670" t="str">
        <f t="shared" si="208"/>
        <v>P000</v>
      </c>
    </row>
    <row r="671" spans="1:36" x14ac:dyDescent="0.25">
      <c r="A671" s="325" t="str">
        <f>CONCATENATE("P",'906MP'!M371)</f>
        <v>P</v>
      </c>
      <c r="B671">
        <f>'906MP'!H371</f>
        <v>0</v>
      </c>
      <c r="C671">
        <f>'906MP'!J371</f>
        <v>0</v>
      </c>
      <c r="D671">
        <f>'906MP'!P371</f>
        <v>0</v>
      </c>
      <c r="E671">
        <f>'906MP'!X371</f>
        <v>0</v>
      </c>
      <c r="F671" t="str">
        <f t="shared" si="200"/>
        <v>0</v>
      </c>
      <c r="G671" t="str">
        <f t="shared" si="201"/>
        <v>0</v>
      </c>
      <c r="H671">
        <f>'906MP'!Y371</f>
        <v>0</v>
      </c>
      <c r="I671">
        <f>'906MP'!AK371</f>
        <v>0</v>
      </c>
      <c r="J671">
        <f>'906MP'!T371</f>
        <v>0</v>
      </c>
      <c r="K671">
        <f>'906MP'!AJ371</f>
        <v>0</v>
      </c>
      <c r="L671">
        <f>'906MP'!U371</f>
        <v>0</v>
      </c>
      <c r="M671" s="322" t="str">
        <f>IFERROR(VLOOKUP(A671,PAR!$D$3:$E$53,2,FALSE),"nincs szervezet")</f>
        <v>nincs szervezet</v>
      </c>
      <c r="N671" s="322" t="str">
        <f>VLOOKUP(F671,PAR!$R$3:$S$5,2,FALSE)</f>
        <v>3 - egyik sem</v>
      </c>
      <c r="O671" t="str">
        <f>IFERROR(VLOOKUP(J671,PAR!$O$3:$P$5,2,FALSE),"nincs feladat")</f>
        <v>nincs feladat</v>
      </c>
      <c r="P671" t="str">
        <f>IFERROR(VLOOKUP(G671,PAR!$J$2:$M$19,4),"nincs rovat")</f>
        <v>nincs rovat</v>
      </c>
      <c r="Q671" t="str">
        <f>IF(H671&gt;0,VLOOKUP(H671,PAR!$AA$3:$AC$187,3,FALSE),"nincs főkönyvi számla")</f>
        <v>nincs főkönyvi számla</v>
      </c>
      <c r="R671" t="str">
        <f>IFERROR(VLOOKUP(K671,PAR!$V$3:$X$438,3,FALSE),"000000 - Nincs COFOG")</f>
        <v>000000 - Nincs COFOG</v>
      </c>
      <c r="S671">
        <f t="shared" si="202"/>
        <v>0</v>
      </c>
      <c r="T671">
        <f t="shared" si="203"/>
        <v>0</v>
      </c>
      <c r="U671" t="str">
        <f>IF('906MP'!J371&gt;0,CONCATENATE('906MP'!J371," - ",'906MP'!P371,", ",'906MP'!E371),"nincs megjegyzés")</f>
        <v>nincs megjegyzés</v>
      </c>
      <c r="V671" t="str">
        <f t="shared" si="190"/>
        <v>0P0</v>
      </c>
      <c r="W671" t="str">
        <f t="shared" si="191"/>
        <v>0P0</v>
      </c>
      <c r="X671" t="str">
        <f t="shared" si="192"/>
        <v>P0</v>
      </c>
      <c r="Y671" t="str">
        <f t="shared" si="193"/>
        <v>00</v>
      </c>
      <c r="Z671" t="str">
        <f t="shared" si="204"/>
        <v>00</v>
      </c>
      <c r="AA671" t="str">
        <f t="shared" si="194"/>
        <v>00</v>
      </c>
      <c r="AB671" t="str">
        <f t="shared" si="195"/>
        <v>00</v>
      </c>
      <c r="AC671" t="str">
        <f t="shared" si="196"/>
        <v>0P0</v>
      </c>
      <c r="AD671" t="str">
        <f t="shared" si="197"/>
        <v>P00</v>
      </c>
      <c r="AE671" t="str">
        <f t="shared" si="198"/>
        <v>0P0</v>
      </c>
      <c r="AF671" t="str">
        <f t="shared" si="199"/>
        <v>P00</v>
      </c>
      <c r="AG671" t="str">
        <f t="shared" si="205"/>
        <v>0P00</v>
      </c>
      <c r="AH671" t="str">
        <f t="shared" si="206"/>
        <v>P000</v>
      </c>
      <c r="AI671" t="str">
        <f t="shared" si="207"/>
        <v>0P00</v>
      </c>
      <c r="AJ671" t="str">
        <f t="shared" si="208"/>
        <v>P000</v>
      </c>
    </row>
    <row r="672" spans="1:36" x14ac:dyDescent="0.25">
      <c r="A672" s="325" t="str">
        <f>CONCATENATE("P",'906MP'!M372)</f>
        <v>P</v>
      </c>
      <c r="B672">
        <f>'906MP'!H372</f>
        <v>0</v>
      </c>
      <c r="C672">
        <f>'906MP'!J372</f>
        <v>0</v>
      </c>
      <c r="D672">
        <f>'906MP'!P372</f>
        <v>0</v>
      </c>
      <c r="E672">
        <f>'906MP'!X372</f>
        <v>0</v>
      </c>
      <c r="F672" t="str">
        <f t="shared" si="200"/>
        <v>0</v>
      </c>
      <c r="G672" t="str">
        <f t="shared" si="201"/>
        <v>0</v>
      </c>
      <c r="H672">
        <f>'906MP'!Y372</f>
        <v>0</v>
      </c>
      <c r="I672">
        <f>'906MP'!AK372</f>
        <v>0</v>
      </c>
      <c r="J672">
        <f>'906MP'!T372</f>
        <v>0</v>
      </c>
      <c r="K672">
        <f>'906MP'!AJ372</f>
        <v>0</v>
      </c>
      <c r="L672">
        <f>'906MP'!U372</f>
        <v>0</v>
      </c>
      <c r="M672" s="322" t="str">
        <f>IFERROR(VLOOKUP(A672,PAR!$D$3:$E$53,2,FALSE),"nincs szervezet")</f>
        <v>nincs szervezet</v>
      </c>
      <c r="N672" s="322" t="str">
        <f>VLOOKUP(F672,PAR!$R$3:$S$5,2,FALSE)</f>
        <v>3 - egyik sem</v>
      </c>
      <c r="O672" t="str">
        <f>IFERROR(VLOOKUP(J672,PAR!$O$3:$P$5,2,FALSE),"nincs feladat")</f>
        <v>nincs feladat</v>
      </c>
      <c r="P672" t="str">
        <f>IFERROR(VLOOKUP(G672,PAR!$J$2:$M$19,4),"nincs rovat")</f>
        <v>nincs rovat</v>
      </c>
      <c r="Q672" t="str">
        <f>IF(H672&gt;0,VLOOKUP(H672,PAR!$AA$3:$AC$187,3,FALSE),"nincs főkönyvi számla")</f>
        <v>nincs főkönyvi számla</v>
      </c>
      <c r="R672" t="str">
        <f>IFERROR(VLOOKUP(K672,PAR!$V$3:$X$438,3,FALSE),"000000 - Nincs COFOG")</f>
        <v>000000 - Nincs COFOG</v>
      </c>
      <c r="S672">
        <f t="shared" si="202"/>
        <v>0</v>
      </c>
      <c r="T672">
        <f t="shared" si="203"/>
        <v>0</v>
      </c>
      <c r="U672" t="str">
        <f>IF('906MP'!J372&gt;0,CONCATENATE('906MP'!J372," - ",'906MP'!P372,", ",'906MP'!E372),"nincs megjegyzés")</f>
        <v>nincs megjegyzés</v>
      </c>
      <c r="V672" t="str">
        <f t="shared" si="190"/>
        <v>0P0</v>
      </c>
      <c r="W672" t="str">
        <f t="shared" si="191"/>
        <v>0P0</v>
      </c>
      <c r="X672" t="str">
        <f t="shared" si="192"/>
        <v>P0</v>
      </c>
      <c r="Y672" t="str">
        <f t="shared" si="193"/>
        <v>00</v>
      </c>
      <c r="Z672" t="str">
        <f t="shared" si="204"/>
        <v>00</v>
      </c>
      <c r="AA672" t="str">
        <f t="shared" si="194"/>
        <v>00</v>
      </c>
      <c r="AB672" t="str">
        <f t="shared" si="195"/>
        <v>00</v>
      </c>
      <c r="AC672" t="str">
        <f t="shared" si="196"/>
        <v>0P0</v>
      </c>
      <c r="AD672" t="str">
        <f t="shared" si="197"/>
        <v>P00</v>
      </c>
      <c r="AE672" t="str">
        <f t="shared" si="198"/>
        <v>0P0</v>
      </c>
      <c r="AF672" t="str">
        <f t="shared" si="199"/>
        <v>P00</v>
      </c>
      <c r="AG672" t="str">
        <f t="shared" si="205"/>
        <v>0P00</v>
      </c>
      <c r="AH672" t="str">
        <f t="shared" si="206"/>
        <v>P000</v>
      </c>
      <c r="AI672" t="str">
        <f t="shared" si="207"/>
        <v>0P00</v>
      </c>
      <c r="AJ672" t="str">
        <f t="shared" si="208"/>
        <v>P000</v>
      </c>
    </row>
    <row r="673" spans="1:36" x14ac:dyDescent="0.25">
      <c r="A673" s="325" t="str">
        <f>CONCATENATE("P",'906MP'!M373)</f>
        <v>P</v>
      </c>
      <c r="B673">
        <f>'906MP'!H373</f>
        <v>0</v>
      </c>
      <c r="C673">
        <f>'906MP'!J373</f>
        <v>0</v>
      </c>
      <c r="D673">
        <f>'906MP'!P373</f>
        <v>0</v>
      </c>
      <c r="E673">
        <f>'906MP'!X373</f>
        <v>0</v>
      </c>
      <c r="F673" t="str">
        <f t="shared" si="200"/>
        <v>0</v>
      </c>
      <c r="G673" t="str">
        <f t="shared" si="201"/>
        <v>0</v>
      </c>
      <c r="H673">
        <f>'906MP'!Y373</f>
        <v>0</v>
      </c>
      <c r="I673">
        <f>'906MP'!AK373</f>
        <v>0</v>
      </c>
      <c r="J673">
        <f>'906MP'!T373</f>
        <v>0</v>
      </c>
      <c r="K673">
        <f>'906MP'!AJ373</f>
        <v>0</v>
      </c>
      <c r="L673">
        <f>'906MP'!U373</f>
        <v>0</v>
      </c>
      <c r="M673" s="322" t="str">
        <f>IFERROR(VLOOKUP(A673,PAR!$D$3:$E$53,2,FALSE),"nincs szervezet")</f>
        <v>nincs szervezet</v>
      </c>
      <c r="N673" s="322" t="str">
        <f>VLOOKUP(F673,PAR!$R$3:$S$5,2,FALSE)</f>
        <v>3 - egyik sem</v>
      </c>
      <c r="O673" t="str">
        <f>IFERROR(VLOOKUP(J673,PAR!$O$3:$P$5,2,FALSE),"nincs feladat")</f>
        <v>nincs feladat</v>
      </c>
      <c r="P673" t="str">
        <f>IFERROR(VLOOKUP(G673,PAR!$J$2:$M$19,4),"nincs rovat")</f>
        <v>nincs rovat</v>
      </c>
      <c r="Q673" t="str">
        <f>IF(H673&gt;0,VLOOKUP(H673,PAR!$AA$3:$AC$187,3,FALSE),"nincs főkönyvi számla")</f>
        <v>nincs főkönyvi számla</v>
      </c>
      <c r="R673" t="str">
        <f>IFERROR(VLOOKUP(K673,PAR!$V$3:$X$438,3,FALSE),"000000 - Nincs COFOG")</f>
        <v>000000 - Nincs COFOG</v>
      </c>
      <c r="S673">
        <f t="shared" si="202"/>
        <v>0</v>
      </c>
      <c r="T673">
        <f t="shared" si="203"/>
        <v>0</v>
      </c>
      <c r="U673" t="str">
        <f>IF('906MP'!J373&gt;0,CONCATENATE('906MP'!J373," - ",'906MP'!P373,", ",'906MP'!E373),"nincs megjegyzés")</f>
        <v>nincs megjegyzés</v>
      </c>
      <c r="V673" t="str">
        <f t="shared" si="190"/>
        <v>0P0</v>
      </c>
      <c r="W673" t="str">
        <f t="shared" si="191"/>
        <v>0P0</v>
      </c>
      <c r="X673" t="str">
        <f t="shared" si="192"/>
        <v>P0</v>
      </c>
      <c r="Y673" t="str">
        <f t="shared" si="193"/>
        <v>00</v>
      </c>
      <c r="Z673" t="str">
        <f t="shared" si="204"/>
        <v>00</v>
      </c>
      <c r="AA673" t="str">
        <f t="shared" si="194"/>
        <v>00</v>
      </c>
      <c r="AB673" t="str">
        <f t="shared" si="195"/>
        <v>00</v>
      </c>
      <c r="AC673" t="str">
        <f t="shared" si="196"/>
        <v>0P0</v>
      </c>
      <c r="AD673" t="str">
        <f t="shared" si="197"/>
        <v>P00</v>
      </c>
      <c r="AE673" t="str">
        <f t="shared" si="198"/>
        <v>0P0</v>
      </c>
      <c r="AF673" t="str">
        <f t="shared" si="199"/>
        <v>P00</v>
      </c>
      <c r="AG673" t="str">
        <f t="shared" si="205"/>
        <v>0P00</v>
      </c>
      <c r="AH673" t="str">
        <f t="shared" si="206"/>
        <v>P000</v>
      </c>
      <c r="AI673" t="str">
        <f t="shared" si="207"/>
        <v>0P00</v>
      </c>
      <c r="AJ673" t="str">
        <f t="shared" si="208"/>
        <v>P000</v>
      </c>
    </row>
    <row r="674" spans="1:36" x14ac:dyDescent="0.25">
      <c r="A674" s="325" t="str">
        <f>CONCATENATE("P",'906MP'!M374)</f>
        <v>P</v>
      </c>
      <c r="B674">
        <f>'906MP'!H374</f>
        <v>0</v>
      </c>
      <c r="C674">
        <f>'906MP'!J374</f>
        <v>0</v>
      </c>
      <c r="D674">
        <f>'906MP'!P374</f>
        <v>0</v>
      </c>
      <c r="E674">
        <f>'906MP'!X374</f>
        <v>0</v>
      </c>
      <c r="F674" t="str">
        <f t="shared" si="200"/>
        <v>0</v>
      </c>
      <c r="G674" t="str">
        <f t="shared" si="201"/>
        <v>0</v>
      </c>
      <c r="H674">
        <f>'906MP'!Y374</f>
        <v>0</v>
      </c>
      <c r="I674">
        <f>'906MP'!AK374</f>
        <v>0</v>
      </c>
      <c r="J674">
        <f>'906MP'!T374</f>
        <v>0</v>
      </c>
      <c r="K674">
        <f>'906MP'!AJ374</f>
        <v>0</v>
      </c>
      <c r="L674">
        <f>'906MP'!U374</f>
        <v>0</v>
      </c>
      <c r="M674" s="322" t="str">
        <f>IFERROR(VLOOKUP(A674,PAR!$D$3:$E$53,2,FALSE),"nincs szervezet")</f>
        <v>nincs szervezet</v>
      </c>
      <c r="N674" s="322" t="str">
        <f>VLOOKUP(F674,PAR!$R$3:$S$5,2,FALSE)</f>
        <v>3 - egyik sem</v>
      </c>
      <c r="O674" t="str">
        <f>IFERROR(VLOOKUP(J674,PAR!$O$3:$P$5,2,FALSE),"nincs feladat")</f>
        <v>nincs feladat</v>
      </c>
      <c r="P674" t="str">
        <f>IFERROR(VLOOKUP(G674,PAR!$J$2:$M$19,4),"nincs rovat")</f>
        <v>nincs rovat</v>
      </c>
      <c r="Q674" t="str">
        <f>IF(H674&gt;0,VLOOKUP(H674,PAR!$AA$3:$AC$187,3,FALSE),"nincs főkönyvi számla")</f>
        <v>nincs főkönyvi számla</v>
      </c>
      <c r="R674" t="str">
        <f>IFERROR(VLOOKUP(K674,PAR!$V$3:$X$438,3,FALSE),"000000 - Nincs COFOG")</f>
        <v>000000 - Nincs COFOG</v>
      </c>
      <c r="S674">
        <f t="shared" si="202"/>
        <v>0</v>
      </c>
      <c r="T674">
        <f t="shared" si="203"/>
        <v>0</v>
      </c>
      <c r="U674" t="str">
        <f>IF('906MP'!J374&gt;0,CONCATENATE('906MP'!J374," - ",'906MP'!P374,", ",'906MP'!E374),"nincs megjegyzés")</f>
        <v>nincs megjegyzés</v>
      </c>
      <c r="V674" t="str">
        <f t="shared" si="190"/>
        <v>0P0</v>
      </c>
      <c r="W674" t="str">
        <f t="shared" si="191"/>
        <v>0P0</v>
      </c>
      <c r="X674" t="str">
        <f t="shared" si="192"/>
        <v>P0</v>
      </c>
      <c r="Y674" t="str">
        <f t="shared" si="193"/>
        <v>00</v>
      </c>
      <c r="Z674" t="str">
        <f t="shared" si="204"/>
        <v>00</v>
      </c>
      <c r="AA674" t="str">
        <f t="shared" si="194"/>
        <v>00</v>
      </c>
      <c r="AB674" t="str">
        <f t="shared" si="195"/>
        <v>00</v>
      </c>
      <c r="AC674" t="str">
        <f t="shared" si="196"/>
        <v>0P0</v>
      </c>
      <c r="AD674" t="str">
        <f t="shared" si="197"/>
        <v>P00</v>
      </c>
      <c r="AE674" t="str">
        <f t="shared" si="198"/>
        <v>0P0</v>
      </c>
      <c r="AF674" t="str">
        <f t="shared" si="199"/>
        <v>P00</v>
      </c>
      <c r="AG674" t="str">
        <f t="shared" si="205"/>
        <v>0P00</v>
      </c>
      <c r="AH674" t="str">
        <f t="shared" si="206"/>
        <v>P000</v>
      </c>
      <c r="AI674" t="str">
        <f t="shared" si="207"/>
        <v>0P00</v>
      </c>
      <c r="AJ674" t="str">
        <f t="shared" si="208"/>
        <v>P000</v>
      </c>
    </row>
    <row r="675" spans="1:36" x14ac:dyDescent="0.25">
      <c r="A675" s="325" t="str">
        <f>CONCATENATE("P",'906MP'!M375)</f>
        <v>P</v>
      </c>
      <c r="B675">
        <f>'906MP'!H375</f>
        <v>0</v>
      </c>
      <c r="C675">
        <f>'906MP'!J375</f>
        <v>0</v>
      </c>
      <c r="D675">
        <f>'906MP'!P375</f>
        <v>0</v>
      </c>
      <c r="E675">
        <f>'906MP'!X375</f>
        <v>0</v>
      </c>
      <c r="F675" t="str">
        <f t="shared" si="200"/>
        <v>0</v>
      </c>
      <c r="G675" t="str">
        <f t="shared" si="201"/>
        <v>0</v>
      </c>
      <c r="H675">
        <f>'906MP'!Y375</f>
        <v>0</v>
      </c>
      <c r="I675">
        <f>'906MP'!AK375</f>
        <v>0</v>
      </c>
      <c r="J675">
        <f>'906MP'!T375</f>
        <v>0</v>
      </c>
      <c r="K675">
        <f>'906MP'!AJ375</f>
        <v>0</v>
      </c>
      <c r="L675">
        <f>'906MP'!U375</f>
        <v>0</v>
      </c>
      <c r="M675" s="322" t="str">
        <f>IFERROR(VLOOKUP(A675,PAR!$D$3:$E$53,2,FALSE),"nincs szervezet")</f>
        <v>nincs szervezet</v>
      </c>
      <c r="N675" s="322" t="str">
        <f>VLOOKUP(F675,PAR!$R$3:$S$5,2,FALSE)</f>
        <v>3 - egyik sem</v>
      </c>
      <c r="O675" t="str">
        <f>IFERROR(VLOOKUP(J675,PAR!$O$3:$P$5,2,FALSE),"nincs feladat")</f>
        <v>nincs feladat</v>
      </c>
      <c r="P675" t="str">
        <f>IFERROR(VLOOKUP(G675,PAR!$J$2:$M$19,4),"nincs rovat")</f>
        <v>nincs rovat</v>
      </c>
      <c r="Q675" t="str">
        <f>IF(H675&gt;0,VLOOKUP(H675,PAR!$AA$3:$AC$187,3,FALSE),"nincs főkönyvi számla")</f>
        <v>nincs főkönyvi számla</v>
      </c>
      <c r="R675" t="str">
        <f>IFERROR(VLOOKUP(K675,PAR!$V$3:$X$438,3,FALSE),"000000 - Nincs COFOG")</f>
        <v>000000 - Nincs COFOG</v>
      </c>
      <c r="S675">
        <f t="shared" si="202"/>
        <v>0</v>
      </c>
      <c r="T675">
        <f t="shared" si="203"/>
        <v>0</v>
      </c>
      <c r="U675" t="str">
        <f>IF('906MP'!J375&gt;0,CONCATENATE('906MP'!J375," - ",'906MP'!P375,", ",'906MP'!E375),"nincs megjegyzés")</f>
        <v>nincs megjegyzés</v>
      </c>
      <c r="V675" t="str">
        <f t="shared" si="190"/>
        <v>0P0</v>
      </c>
      <c r="W675" t="str">
        <f t="shared" si="191"/>
        <v>0P0</v>
      </c>
      <c r="X675" t="str">
        <f t="shared" si="192"/>
        <v>P0</v>
      </c>
      <c r="Y675" t="str">
        <f t="shared" si="193"/>
        <v>00</v>
      </c>
      <c r="Z675" t="str">
        <f t="shared" si="204"/>
        <v>00</v>
      </c>
      <c r="AA675" t="str">
        <f t="shared" si="194"/>
        <v>00</v>
      </c>
      <c r="AB675" t="str">
        <f t="shared" si="195"/>
        <v>00</v>
      </c>
      <c r="AC675" t="str">
        <f t="shared" si="196"/>
        <v>0P0</v>
      </c>
      <c r="AD675" t="str">
        <f t="shared" si="197"/>
        <v>P00</v>
      </c>
      <c r="AE675" t="str">
        <f t="shared" si="198"/>
        <v>0P0</v>
      </c>
      <c r="AF675" t="str">
        <f t="shared" si="199"/>
        <v>P00</v>
      </c>
      <c r="AG675" t="str">
        <f t="shared" si="205"/>
        <v>0P00</v>
      </c>
      <c r="AH675" t="str">
        <f t="shared" si="206"/>
        <v>P000</v>
      </c>
      <c r="AI675" t="str">
        <f t="shared" si="207"/>
        <v>0P00</v>
      </c>
      <c r="AJ675" t="str">
        <f t="shared" si="208"/>
        <v>P000</v>
      </c>
    </row>
    <row r="676" spans="1:36" x14ac:dyDescent="0.25">
      <c r="A676" s="325" t="str">
        <f>CONCATENATE("P",'906MP'!M376)</f>
        <v>P</v>
      </c>
      <c r="B676">
        <f>'906MP'!H376</f>
        <v>0</v>
      </c>
      <c r="C676">
        <f>'906MP'!J376</f>
        <v>0</v>
      </c>
      <c r="D676">
        <f>'906MP'!P376</f>
        <v>0</v>
      </c>
      <c r="E676">
        <f>'906MP'!X376</f>
        <v>0</v>
      </c>
      <c r="F676" t="str">
        <f t="shared" si="200"/>
        <v>0</v>
      </c>
      <c r="G676" t="str">
        <f t="shared" si="201"/>
        <v>0</v>
      </c>
      <c r="H676">
        <f>'906MP'!Y376</f>
        <v>0</v>
      </c>
      <c r="I676">
        <f>'906MP'!AK376</f>
        <v>0</v>
      </c>
      <c r="J676">
        <f>'906MP'!T376</f>
        <v>0</v>
      </c>
      <c r="K676">
        <f>'906MP'!AJ376</f>
        <v>0</v>
      </c>
      <c r="L676">
        <f>'906MP'!U376</f>
        <v>0</v>
      </c>
      <c r="M676" s="322" t="str">
        <f>IFERROR(VLOOKUP(A676,PAR!$D$3:$E$53,2,FALSE),"nincs szervezet")</f>
        <v>nincs szervezet</v>
      </c>
      <c r="N676" s="322" t="str">
        <f>VLOOKUP(F676,PAR!$R$3:$S$5,2,FALSE)</f>
        <v>3 - egyik sem</v>
      </c>
      <c r="O676" t="str">
        <f>IFERROR(VLOOKUP(J676,PAR!$O$3:$P$5,2,FALSE),"nincs feladat")</f>
        <v>nincs feladat</v>
      </c>
      <c r="P676" t="str">
        <f>IFERROR(VLOOKUP(G676,PAR!$J$2:$M$19,4),"nincs rovat")</f>
        <v>nincs rovat</v>
      </c>
      <c r="Q676" t="str">
        <f>IF(H676&gt;0,VLOOKUP(H676,PAR!$AA$3:$AC$187,3,FALSE),"nincs főkönyvi számla")</f>
        <v>nincs főkönyvi számla</v>
      </c>
      <c r="R676" t="str">
        <f>IFERROR(VLOOKUP(K676,PAR!$V$3:$X$438,3,FALSE),"000000 - Nincs COFOG")</f>
        <v>000000 - Nincs COFOG</v>
      </c>
      <c r="S676">
        <f t="shared" si="202"/>
        <v>0</v>
      </c>
      <c r="T676">
        <f t="shared" si="203"/>
        <v>0</v>
      </c>
      <c r="U676" t="str">
        <f>IF('906MP'!J376&gt;0,CONCATENATE('906MP'!J376," - ",'906MP'!P376,", ",'906MP'!E376),"nincs megjegyzés")</f>
        <v>nincs megjegyzés</v>
      </c>
      <c r="V676" t="str">
        <f t="shared" si="190"/>
        <v>0P0</v>
      </c>
      <c r="W676" t="str">
        <f t="shared" si="191"/>
        <v>0P0</v>
      </c>
      <c r="X676" t="str">
        <f t="shared" si="192"/>
        <v>P0</v>
      </c>
      <c r="Y676" t="str">
        <f t="shared" si="193"/>
        <v>00</v>
      </c>
      <c r="Z676" t="str">
        <f t="shared" si="204"/>
        <v>00</v>
      </c>
      <c r="AA676" t="str">
        <f t="shared" si="194"/>
        <v>00</v>
      </c>
      <c r="AB676" t="str">
        <f t="shared" si="195"/>
        <v>00</v>
      </c>
      <c r="AC676" t="str">
        <f t="shared" si="196"/>
        <v>0P0</v>
      </c>
      <c r="AD676" t="str">
        <f t="shared" si="197"/>
        <v>P00</v>
      </c>
      <c r="AE676" t="str">
        <f t="shared" si="198"/>
        <v>0P0</v>
      </c>
      <c r="AF676" t="str">
        <f t="shared" si="199"/>
        <v>P00</v>
      </c>
      <c r="AG676" t="str">
        <f t="shared" si="205"/>
        <v>0P00</v>
      </c>
      <c r="AH676" t="str">
        <f t="shared" si="206"/>
        <v>P000</v>
      </c>
      <c r="AI676" t="str">
        <f t="shared" si="207"/>
        <v>0P00</v>
      </c>
      <c r="AJ676" t="str">
        <f t="shared" si="208"/>
        <v>P000</v>
      </c>
    </row>
    <row r="677" spans="1:36" x14ac:dyDescent="0.25">
      <c r="A677" s="325" t="str">
        <f>CONCATENATE("P",'906MP'!M377)</f>
        <v>P</v>
      </c>
      <c r="B677">
        <f>'906MP'!H377</f>
        <v>0</v>
      </c>
      <c r="C677">
        <f>'906MP'!J377</f>
        <v>0</v>
      </c>
      <c r="D677">
        <f>'906MP'!P377</f>
        <v>0</v>
      </c>
      <c r="E677">
        <f>'906MP'!X377</f>
        <v>0</v>
      </c>
      <c r="F677" t="str">
        <f t="shared" si="200"/>
        <v>0</v>
      </c>
      <c r="G677" t="str">
        <f t="shared" si="201"/>
        <v>0</v>
      </c>
      <c r="H677">
        <f>'906MP'!Y377</f>
        <v>0</v>
      </c>
      <c r="I677">
        <f>'906MP'!AK377</f>
        <v>0</v>
      </c>
      <c r="J677">
        <f>'906MP'!T377</f>
        <v>0</v>
      </c>
      <c r="K677">
        <f>'906MP'!AJ377</f>
        <v>0</v>
      </c>
      <c r="L677">
        <f>'906MP'!U377</f>
        <v>0</v>
      </c>
      <c r="M677" s="322" t="str">
        <f>IFERROR(VLOOKUP(A677,PAR!$D$3:$E$53,2,FALSE),"nincs szervezet")</f>
        <v>nincs szervezet</v>
      </c>
      <c r="N677" s="322" t="str">
        <f>VLOOKUP(F677,PAR!$R$3:$S$5,2,FALSE)</f>
        <v>3 - egyik sem</v>
      </c>
      <c r="O677" t="str">
        <f>IFERROR(VLOOKUP(J677,PAR!$O$3:$P$5,2,FALSE),"nincs feladat")</f>
        <v>nincs feladat</v>
      </c>
      <c r="P677" t="str">
        <f>IFERROR(VLOOKUP(G677,PAR!$J$2:$M$19,4),"nincs rovat")</f>
        <v>nincs rovat</v>
      </c>
      <c r="Q677" t="str">
        <f>IF(H677&gt;0,VLOOKUP(H677,PAR!$AA$3:$AC$187,3,FALSE),"nincs főkönyvi számla")</f>
        <v>nincs főkönyvi számla</v>
      </c>
      <c r="R677" t="str">
        <f>IFERROR(VLOOKUP(K677,PAR!$V$3:$X$438,3,FALSE),"000000 - Nincs COFOG")</f>
        <v>000000 - Nincs COFOG</v>
      </c>
      <c r="S677">
        <f t="shared" si="202"/>
        <v>0</v>
      </c>
      <c r="T677">
        <f t="shared" si="203"/>
        <v>0</v>
      </c>
      <c r="U677" t="str">
        <f>IF('906MP'!J377&gt;0,CONCATENATE('906MP'!J377," - ",'906MP'!P377,", ",'906MP'!E377),"nincs megjegyzés")</f>
        <v>nincs megjegyzés</v>
      </c>
      <c r="V677" t="str">
        <f t="shared" si="190"/>
        <v>0P0</v>
      </c>
      <c r="W677" t="str">
        <f t="shared" si="191"/>
        <v>0P0</v>
      </c>
      <c r="X677" t="str">
        <f t="shared" si="192"/>
        <v>P0</v>
      </c>
      <c r="Y677" t="str">
        <f t="shared" si="193"/>
        <v>00</v>
      </c>
      <c r="Z677" t="str">
        <f t="shared" si="204"/>
        <v>00</v>
      </c>
      <c r="AA677" t="str">
        <f t="shared" si="194"/>
        <v>00</v>
      </c>
      <c r="AB677" t="str">
        <f t="shared" si="195"/>
        <v>00</v>
      </c>
      <c r="AC677" t="str">
        <f t="shared" si="196"/>
        <v>0P0</v>
      </c>
      <c r="AD677" t="str">
        <f t="shared" si="197"/>
        <v>P00</v>
      </c>
      <c r="AE677" t="str">
        <f t="shared" si="198"/>
        <v>0P0</v>
      </c>
      <c r="AF677" t="str">
        <f t="shared" si="199"/>
        <v>P00</v>
      </c>
      <c r="AG677" t="str">
        <f t="shared" si="205"/>
        <v>0P00</v>
      </c>
      <c r="AH677" t="str">
        <f t="shared" si="206"/>
        <v>P000</v>
      </c>
      <c r="AI677" t="str">
        <f t="shared" si="207"/>
        <v>0P00</v>
      </c>
      <c r="AJ677" t="str">
        <f t="shared" si="208"/>
        <v>P000</v>
      </c>
    </row>
    <row r="678" spans="1:36" x14ac:dyDescent="0.25">
      <c r="A678" s="325" t="str">
        <f>CONCATENATE("P",'906MP'!M378)</f>
        <v>P</v>
      </c>
      <c r="B678">
        <f>'906MP'!H378</f>
        <v>0</v>
      </c>
      <c r="C678">
        <f>'906MP'!J378</f>
        <v>0</v>
      </c>
      <c r="D678">
        <f>'906MP'!P378</f>
        <v>0</v>
      </c>
      <c r="E678">
        <f>'906MP'!X378</f>
        <v>0</v>
      </c>
      <c r="F678" t="str">
        <f t="shared" si="200"/>
        <v>0</v>
      </c>
      <c r="G678" t="str">
        <f t="shared" si="201"/>
        <v>0</v>
      </c>
      <c r="H678">
        <f>'906MP'!Y378</f>
        <v>0</v>
      </c>
      <c r="I678">
        <f>'906MP'!AK378</f>
        <v>0</v>
      </c>
      <c r="J678">
        <f>'906MP'!T378</f>
        <v>0</v>
      </c>
      <c r="K678">
        <f>'906MP'!AJ378</f>
        <v>0</v>
      </c>
      <c r="L678">
        <f>'906MP'!U378</f>
        <v>0</v>
      </c>
      <c r="M678" s="322" t="str">
        <f>IFERROR(VLOOKUP(A678,PAR!$D$3:$E$53,2,FALSE),"nincs szervezet")</f>
        <v>nincs szervezet</v>
      </c>
      <c r="N678" s="322" t="str">
        <f>VLOOKUP(F678,PAR!$R$3:$S$5,2,FALSE)</f>
        <v>3 - egyik sem</v>
      </c>
      <c r="O678" t="str">
        <f>IFERROR(VLOOKUP(J678,PAR!$O$3:$P$5,2,FALSE),"nincs feladat")</f>
        <v>nincs feladat</v>
      </c>
      <c r="P678" t="str">
        <f>IFERROR(VLOOKUP(G678,PAR!$J$2:$M$19,4),"nincs rovat")</f>
        <v>nincs rovat</v>
      </c>
      <c r="Q678" t="str">
        <f>IF(H678&gt;0,VLOOKUP(H678,PAR!$AA$3:$AC$187,3,FALSE),"nincs főkönyvi számla")</f>
        <v>nincs főkönyvi számla</v>
      </c>
      <c r="R678" t="str">
        <f>IFERROR(VLOOKUP(K678,PAR!$V$3:$X$438,3,FALSE),"000000 - Nincs COFOG")</f>
        <v>000000 - Nincs COFOG</v>
      </c>
      <c r="S678">
        <f t="shared" si="202"/>
        <v>0</v>
      </c>
      <c r="T678">
        <f t="shared" si="203"/>
        <v>0</v>
      </c>
      <c r="U678" t="str">
        <f>IF('906MP'!J378&gt;0,CONCATENATE('906MP'!J378," - ",'906MP'!P378,", ",'906MP'!E378),"nincs megjegyzés")</f>
        <v>nincs megjegyzés</v>
      </c>
      <c r="V678" t="str">
        <f t="shared" si="190"/>
        <v>0P0</v>
      </c>
      <c r="W678" t="str">
        <f t="shared" si="191"/>
        <v>0P0</v>
      </c>
      <c r="X678" t="str">
        <f t="shared" si="192"/>
        <v>P0</v>
      </c>
      <c r="Y678" t="str">
        <f t="shared" si="193"/>
        <v>00</v>
      </c>
      <c r="Z678" t="str">
        <f t="shared" si="204"/>
        <v>00</v>
      </c>
      <c r="AA678" t="str">
        <f t="shared" si="194"/>
        <v>00</v>
      </c>
      <c r="AB678" t="str">
        <f t="shared" si="195"/>
        <v>00</v>
      </c>
      <c r="AC678" t="str">
        <f t="shared" si="196"/>
        <v>0P0</v>
      </c>
      <c r="AD678" t="str">
        <f t="shared" si="197"/>
        <v>P00</v>
      </c>
      <c r="AE678" t="str">
        <f t="shared" si="198"/>
        <v>0P0</v>
      </c>
      <c r="AF678" t="str">
        <f t="shared" si="199"/>
        <v>P00</v>
      </c>
      <c r="AG678" t="str">
        <f t="shared" si="205"/>
        <v>0P00</v>
      </c>
      <c r="AH678" t="str">
        <f t="shared" si="206"/>
        <v>P000</v>
      </c>
      <c r="AI678" t="str">
        <f t="shared" si="207"/>
        <v>0P00</v>
      </c>
      <c r="AJ678" t="str">
        <f t="shared" si="208"/>
        <v>P000</v>
      </c>
    </row>
    <row r="679" spans="1:36" x14ac:dyDescent="0.25">
      <c r="A679" s="325" t="str">
        <f>CONCATENATE("P",'906MP'!M379)</f>
        <v>P</v>
      </c>
      <c r="B679">
        <f>'906MP'!H379</f>
        <v>0</v>
      </c>
      <c r="C679">
        <f>'906MP'!J379</f>
        <v>0</v>
      </c>
      <c r="D679">
        <f>'906MP'!P379</f>
        <v>0</v>
      </c>
      <c r="E679">
        <f>'906MP'!X379</f>
        <v>0</v>
      </c>
      <c r="F679" t="str">
        <f t="shared" si="200"/>
        <v>0</v>
      </c>
      <c r="G679" t="str">
        <f t="shared" si="201"/>
        <v>0</v>
      </c>
      <c r="H679">
        <f>'906MP'!Y379</f>
        <v>0</v>
      </c>
      <c r="I679">
        <f>'906MP'!AK379</f>
        <v>0</v>
      </c>
      <c r="J679">
        <f>'906MP'!T379</f>
        <v>0</v>
      </c>
      <c r="K679">
        <f>'906MP'!AJ379</f>
        <v>0</v>
      </c>
      <c r="L679">
        <f>'906MP'!U379</f>
        <v>0</v>
      </c>
      <c r="M679" s="322" t="str">
        <f>IFERROR(VLOOKUP(A679,PAR!$D$3:$E$53,2,FALSE),"nincs szervezet")</f>
        <v>nincs szervezet</v>
      </c>
      <c r="N679" s="322" t="str">
        <f>VLOOKUP(F679,PAR!$R$3:$S$5,2,FALSE)</f>
        <v>3 - egyik sem</v>
      </c>
      <c r="O679" t="str">
        <f>IFERROR(VLOOKUP(J679,PAR!$O$3:$P$5,2,FALSE),"nincs feladat")</f>
        <v>nincs feladat</v>
      </c>
      <c r="P679" t="str">
        <f>IFERROR(VLOOKUP(G679,PAR!$J$2:$M$19,4),"nincs rovat")</f>
        <v>nincs rovat</v>
      </c>
      <c r="Q679" t="str">
        <f>IF(H679&gt;0,VLOOKUP(H679,PAR!$AA$3:$AC$187,3,FALSE),"nincs főkönyvi számla")</f>
        <v>nincs főkönyvi számla</v>
      </c>
      <c r="R679" t="str">
        <f>IFERROR(VLOOKUP(K679,PAR!$V$3:$X$438,3,FALSE),"000000 - Nincs COFOG")</f>
        <v>000000 - Nincs COFOG</v>
      </c>
      <c r="S679">
        <f t="shared" si="202"/>
        <v>0</v>
      </c>
      <c r="T679">
        <f t="shared" si="203"/>
        <v>0</v>
      </c>
      <c r="U679" t="str">
        <f>IF('906MP'!J379&gt;0,CONCATENATE('906MP'!J379," - ",'906MP'!P379,", ",'906MP'!E379),"nincs megjegyzés")</f>
        <v>nincs megjegyzés</v>
      </c>
      <c r="V679" t="str">
        <f t="shared" si="190"/>
        <v>0P0</v>
      </c>
      <c r="W679" t="str">
        <f t="shared" si="191"/>
        <v>0P0</v>
      </c>
      <c r="X679" t="str">
        <f t="shared" si="192"/>
        <v>P0</v>
      </c>
      <c r="Y679" t="str">
        <f t="shared" si="193"/>
        <v>00</v>
      </c>
      <c r="Z679" t="str">
        <f t="shared" si="204"/>
        <v>00</v>
      </c>
      <c r="AA679" t="str">
        <f t="shared" si="194"/>
        <v>00</v>
      </c>
      <c r="AB679" t="str">
        <f t="shared" si="195"/>
        <v>00</v>
      </c>
      <c r="AC679" t="str">
        <f t="shared" si="196"/>
        <v>0P0</v>
      </c>
      <c r="AD679" t="str">
        <f t="shared" si="197"/>
        <v>P00</v>
      </c>
      <c r="AE679" t="str">
        <f t="shared" si="198"/>
        <v>0P0</v>
      </c>
      <c r="AF679" t="str">
        <f t="shared" si="199"/>
        <v>P00</v>
      </c>
      <c r="AG679" t="str">
        <f t="shared" si="205"/>
        <v>0P00</v>
      </c>
      <c r="AH679" t="str">
        <f t="shared" si="206"/>
        <v>P000</v>
      </c>
      <c r="AI679" t="str">
        <f t="shared" si="207"/>
        <v>0P00</v>
      </c>
      <c r="AJ679" t="str">
        <f t="shared" si="208"/>
        <v>P000</v>
      </c>
    </row>
    <row r="680" spans="1:36" x14ac:dyDescent="0.25">
      <c r="A680" s="325" t="str">
        <f>CONCATENATE("P",'906MP'!M380)</f>
        <v>P</v>
      </c>
      <c r="B680">
        <f>'906MP'!H380</f>
        <v>0</v>
      </c>
      <c r="C680">
        <f>'906MP'!J380</f>
        <v>0</v>
      </c>
      <c r="D680">
        <f>'906MP'!P380</f>
        <v>0</v>
      </c>
      <c r="E680">
        <f>'906MP'!X380</f>
        <v>0</v>
      </c>
      <c r="F680" t="str">
        <f t="shared" si="200"/>
        <v>0</v>
      </c>
      <c r="G680" t="str">
        <f t="shared" si="201"/>
        <v>0</v>
      </c>
      <c r="H680">
        <f>'906MP'!Y380</f>
        <v>0</v>
      </c>
      <c r="I680">
        <f>'906MP'!AK380</f>
        <v>0</v>
      </c>
      <c r="J680">
        <f>'906MP'!T380</f>
        <v>0</v>
      </c>
      <c r="K680">
        <f>'906MP'!AJ380</f>
        <v>0</v>
      </c>
      <c r="L680">
        <f>'906MP'!U380</f>
        <v>0</v>
      </c>
      <c r="M680" s="322" t="str">
        <f>IFERROR(VLOOKUP(A680,PAR!$D$3:$E$53,2,FALSE),"nincs szervezet")</f>
        <v>nincs szervezet</v>
      </c>
      <c r="N680" s="322" t="str">
        <f>VLOOKUP(F680,PAR!$R$3:$S$5,2,FALSE)</f>
        <v>3 - egyik sem</v>
      </c>
      <c r="O680" t="str">
        <f>IFERROR(VLOOKUP(J680,PAR!$O$3:$P$5,2,FALSE),"nincs feladat")</f>
        <v>nincs feladat</v>
      </c>
      <c r="P680" t="str">
        <f>IFERROR(VLOOKUP(G680,PAR!$J$2:$M$19,4),"nincs rovat")</f>
        <v>nincs rovat</v>
      </c>
      <c r="Q680" t="str">
        <f>IF(H680&gt;0,VLOOKUP(H680,PAR!$AA$3:$AC$187,3,FALSE),"nincs főkönyvi számla")</f>
        <v>nincs főkönyvi számla</v>
      </c>
      <c r="R680" t="str">
        <f>IFERROR(VLOOKUP(K680,PAR!$V$3:$X$438,3,FALSE),"000000 - Nincs COFOG")</f>
        <v>000000 - Nincs COFOG</v>
      </c>
      <c r="S680">
        <f t="shared" si="202"/>
        <v>0</v>
      </c>
      <c r="T680">
        <f t="shared" si="203"/>
        <v>0</v>
      </c>
      <c r="U680" t="str">
        <f>IF('906MP'!J380&gt;0,CONCATENATE('906MP'!J380," - ",'906MP'!P380,", ",'906MP'!E380),"nincs megjegyzés")</f>
        <v>nincs megjegyzés</v>
      </c>
      <c r="V680" t="str">
        <f t="shared" si="190"/>
        <v>0P0</v>
      </c>
      <c r="W680" t="str">
        <f t="shared" si="191"/>
        <v>0P0</v>
      </c>
      <c r="X680" t="str">
        <f t="shared" si="192"/>
        <v>P0</v>
      </c>
      <c r="Y680" t="str">
        <f t="shared" si="193"/>
        <v>00</v>
      </c>
      <c r="Z680" t="str">
        <f t="shared" si="204"/>
        <v>00</v>
      </c>
      <c r="AA680" t="str">
        <f t="shared" si="194"/>
        <v>00</v>
      </c>
      <c r="AB680" t="str">
        <f t="shared" si="195"/>
        <v>00</v>
      </c>
      <c r="AC680" t="str">
        <f t="shared" si="196"/>
        <v>0P0</v>
      </c>
      <c r="AD680" t="str">
        <f t="shared" si="197"/>
        <v>P00</v>
      </c>
      <c r="AE680" t="str">
        <f t="shared" si="198"/>
        <v>0P0</v>
      </c>
      <c r="AF680" t="str">
        <f t="shared" si="199"/>
        <v>P00</v>
      </c>
      <c r="AG680" t="str">
        <f t="shared" si="205"/>
        <v>0P00</v>
      </c>
      <c r="AH680" t="str">
        <f t="shared" si="206"/>
        <v>P000</v>
      </c>
      <c r="AI680" t="str">
        <f t="shared" si="207"/>
        <v>0P00</v>
      </c>
      <c r="AJ680" t="str">
        <f t="shared" si="208"/>
        <v>P000</v>
      </c>
    </row>
    <row r="681" spans="1:36" x14ac:dyDescent="0.25">
      <c r="A681" s="325" t="str">
        <f>CONCATENATE("P",'906MP'!M381)</f>
        <v>P</v>
      </c>
      <c r="B681">
        <f>'906MP'!H381</f>
        <v>0</v>
      </c>
      <c r="C681">
        <f>'906MP'!J381</f>
        <v>0</v>
      </c>
      <c r="D681">
        <f>'906MP'!P381</f>
        <v>0</v>
      </c>
      <c r="E681">
        <f>'906MP'!X381</f>
        <v>0</v>
      </c>
      <c r="F681" t="str">
        <f t="shared" si="200"/>
        <v>0</v>
      </c>
      <c r="G681" t="str">
        <f t="shared" si="201"/>
        <v>0</v>
      </c>
      <c r="H681">
        <f>'906MP'!Y381</f>
        <v>0</v>
      </c>
      <c r="I681">
        <f>'906MP'!AK381</f>
        <v>0</v>
      </c>
      <c r="J681">
        <f>'906MP'!T381</f>
        <v>0</v>
      </c>
      <c r="K681">
        <f>'906MP'!AJ381</f>
        <v>0</v>
      </c>
      <c r="L681">
        <f>'906MP'!U381</f>
        <v>0</v>
      </c>
      <c r="M681" s="322" t="str">
        <f>IFERROR(VLOOKUP(A681,PAR!$D$3:$E$53,2,FALSE),"nincs szervezet")</f>
        <v>nincs szervezet</v>
      </c>
      <c r="N681" s="322" t="str">
        <f>VLOOKUP(F681,PAR!$R$3:$S$5,2,FALSE)</f>
        <v>3 - egyik sem</v>
      </c>
      <c r="O681" t="str">
        <f>IFERROR(VLOOKUP(J681,PAR!$O$3:$P$5,2,FALSE),"nincs feladat")</f>
        <v>nincs feladat</v>
      </c>
      <c r="P681" t="str">
        <f>IFERROR(VLOOKUP(G681,PAR!$J$2:$M$19,4),"nincs rovat")</f>
        <v>nincs rovat</v>
      </c>
      <c r="Q681" t="str">
        <f>IF(H681&gt;0,VLOOKUP(H681,PAR!$AA$3:$AC$187,3,FALSE),"nincs főkönyvi számla")</f>
        <v>nincs főkönyvi számla</v>
      </c>
      <c r="R681" t="str">
        <f>IFERROR(VLOOKUP(K681,PAR!$V$3:$X$438,3,FALSE),"000000 - Nincs COFOG")</f>
        <v>000000 - Nincs COFOG</v>
      </c>
      <c r="S681">
        <f t="shared" si="202"/>
        <v>0</v>
      </c>
      <c r="T681">
        <f t="shared" si="203"/>
        <v>0</v>
      </c>
      <c r="U681" t="str">
        <f>IF('906MP'!J381&gt;0,CONCATENATE('906MP'!J381," - ",'906MP'!P381,", ",'906MP'!E381),"nincs megjegyzés")</f>
        <v>nincs megjegyzés</v>
      </c>
      <c r="V681" t="str">
        <f t="shared" si="190"/>
        <v>0P0</v>
      </c>
      <c r="W681" t="str">
        <f t="shared" si="191"/>
        <v>0P0</v>
      </c>
      <c r="X681" t="str">
        <f t="shared" si="192"/>
        <v>P0</v>
      </c>
      <c r="Y681" t="str">
        <f t="shared" si="193"/>
        <v>00</v>
      </c>
      <c r="Z681" t="str">
        <f t="shared" si="204"/>
        <v>00</v>
      </c>
      <c r="AA681" t="str">
        <f t="shared" si="194"/>
        <v>00</v>
      </c>
      <c r="AB681" t="str">
        <f t="shared" si="195"/>
        <v>00</v>
      </c>
      <c r="AC681" t="str">
        <f t="shared" si="196"/>
        <v>0P0</v>
      </c>
      <c r="AD681" t="str">
        <f t="shared" si="197"/>
        <v>P00</v>
      </c>
      <c r="AE681" t="str">
        <f t="shared" si="198"/>
        <v>0P0</v>
      </c>
      <c r="AF681" t="str">
        <f t="shared" si="199"/>
        <v>P00</v>
      </c>
      <c r="AG681" t="str">
        <f t="shared" si="205"/>
        <v>0P00</v>
      </c>
      <c r="AH681" t="str">
        <f t="shared" si="206"/>
        <v>P000</v>
      </c>
      <c r="AI681" t="str">
        <f t="shared" si="207"/>
        <v>0P00</v>
      </c>
      <c r="AJ681" t="str">
        <f t="shared" si="208"/>
        <v>P000</v>
      </c>
    </row>
    <row r="682" spans="1:36" x14ac:dyDescent="0.25">
      <c r="A682" s="325" t="str">
        <f>CONCATENATE("P",'906MP'!M382)</f>
        <v>P</v>
      </c>
      <c r="B682">
        <f>'906MP'!H382</f>
        <v>0</v>
      </c>
      <c r="C682">
        <f>'906MP'!J382</f>
        <v>0</v>
      </c>
      <c r="D682">
        <f>'906MP'!P382</f>
        <v>0</v>
      </c>
      <c r="E682">
        <f>'906MP'!X382</f>
        <v>0</v>
      </c>
      <c r="F682" t="str">
        <f t="shared" si="200"/>
        <v>0</v>
      </c>
      <c r="G682" t="str">
        <f t="shared" si="201"/>
        <v>0</v>
      </c>
      <c r="H682">
        <f>'906MP'!Y382</f>
        <v>0</v>
      </c>
      <c r="I682">
        <f>'906MP'!AK382</f>
        <v>0</v>
      </c>
      <c r="J682">
        <f>'906MP'!T382</f>
        <v>0</v>
      </c>
      <c r="K682">
        <f>'906MP'!AJ382</f>
        <v>0</v>
      </c>
      <c r="L682">
        <f>'906MP'!U382</f>
        <v>0</v>
      </c>
      <c r="M682" s="322" t="str">
        <f>IFERROR(VLOOKUP(A682,PAR!$D$3:$E$53,2,FALSE),"nincs szervezet")</f>
        <v>nincs szervezet</v>
      </c>
      <c r="N682" s="322" t="str">
        <f>VLOOKUP(F682,PAR!$R$3:$S$5,2,FALSE)</f>
        <v>3 - egyik sem</v>
      </c>
      <c r="O682" t="str">
        <f>IFERROR(VLOOKUP(J682,PAR!$O$3:$P$5,2,FALSE),"nincs feladat")</f>
        <v>nincs feladat</v>
      </c>
      <c r="P682" t="str">
        <f>IFERROR(VLOOKUP(G682,PAR!$J$2:$M$19,4),"nincs rovat")</f>
        <v>nincs rovat</v>
      </c>
      <c r="Q682" t="str">
        <f>IF(H682&gt;0,VLOOKUP(H682,PAR!$AA$3:$AC$187,3,FALSE),"nincs főkönyvi számla")</f>
        <v>nincs főkönyvi számla</v>
      </c>
      <c r="R682" t="str">
        <f>IFERROR(VLOOKUP(K682,PAR!$V$3:$X$438,3,FALSE),"000000 - Nincs COFOG")</f>
        <v>000000 - Nincs COFOG</v>
      </c>
      <c r="S682">
        <f t="shared" si="202"/>
        <v>0</v>
      </c>
      <c r="T682">
        <f t="shared" si="203"/>
        <v>0</v>
      </c>
      <c r="U682" t="str">
        <f>IF('906MP'!J382&gt;0,CONCATENATE('906MP'!J382," - ",'906MP'!P382,", ",'906MP'!E382),"nincs megjegyzés")</f>
        <v>nincs megjegyzés</v>
      </c>
      <c r="V682" t="str">
        <f t="shared" si="190"/>
        <v>0P0</v>
      </c>
      <c r="W682" t="str">
        <f t="shared" si="191"/>
        <v>0P0</v>
      </c>
      <c r="X682" t="str">
        <f t="shared" si="192"/>
        <v>P0</v>
      </c>
      <c r="Y682" t="str">
        <f t="shared" si="193"/>
        <v>00</v>
      </c>
      <c r="Z682" t="str">
        <f t="shared" si="204"/>
        <v>00</v>
      </c>
      <c r="AA682" t="str">
        <f t="shared" si="194"/>
        <v>00</v>
      </c>
      <c r="AB682" t="str">
        <f t="shared" si="195"/>
        <v>00</v>
      </c>
      <c r="AC682" t="str">
        <f t="shared" si="196"/>
        <v>0P0</v>
      </c>
      <c r="AD682" t="str">
        <f t="shared" si="197"/>
        <v>P00</v>
      </c>
      <c r="AE682" t="str">
        <f t="shared" si="198"/>
        <v>0P0</v>
      </c>
      <c r="AF682" t="str">
        <f t="shared" si="199"/>
        <v>P00</v>
      </c>
      <c r="AG682" t="str">
        <f t="shared" si="205"/>
        <v>0P00</v>
      </c>
      <c r="AH682" t="str">
        <f t="shared" si="206"/>
        <v>P000</v>
      </c>
      <c r="AI682" t="str">
        <f t="shared" si="207"/>
        <v>0P00</v>
      </c>
      <c r="AJ682" t="str">
        <f t="shared" si="208"/>
        <v>P000</v>
      </c>
    </row>
    <row r="683" spans="1:36" x14ac:dyDescent="0.25">
      <c r="A683" s="325" t="str">
        <f>CONCATENATE("P",'906MP'!M383)</f>
        <v>P</v>
      </c>
      <c r="B683">
        <f>'906MP'!H383</f>
        <v>0</v>
      </c>
      <c r="C683">
        <f>'906MP'!J383</f>
        <v>0</v>
      </c>
      <c r="D683">
        <f>'906MP'!P383</f>
        <v>0</v>
      </c>
      <c r="E683">
        <f>'906MP'!X383</f>
        <v>0</v>
      </c>
      <c r="F683" t="str">
        <f t="shared" si="200"/>
        <v>0</v>
      </c>
      <c r="G683" t="str">
        <f t="shared" si="201"/>
        <v>0</v>
      </c>
      <c r="H683">
        <f>'906MP'!Y383</f>
        <v>0</v>
      </c>
      <c r="I683">
        <f>'906MP'!AK383</f>
        <v>0</v>
      </c>
      <c r="J683">
        <f>'906MP'!T383</f>
        <v>0</v>
      </c>
      <c r="K683">
        <f>'906MP'!AJ383</f>
        <v>0</v>
      </c>
      <c r="L683">
        <f>'906MP'!U383</f>
        <v>0</v>
      </c>
      <c r="M683" s="322" t="str">
        <f>IFERROR(VLOOKUP(A683,PAR!$D$3:$E$53,2,FALSE),"nincs szervezet")</f>
        <v>nincs szervezet</v>
      </c>
      <c r="N683" s="322" t="str">
        <f>VLOOKUP(F683,PAR!$R$3:$S$5,2,FALSE)</f>
        <v>3 - egyik sem</v>
      </c>
      <c r="O683" t="str">
        <f>IFERROR(VLOOKUP(J683,PAR!$O$3:$P$5,2,FALSE),"nincs feladat")</f>
        <v>nincs feladat</v>
      </c>
      <c r="P683" t="str">
        <f>IFERROR(VLOOKUP(G683,PAR!$J$2:$M$19,4),"nincs rovat")</f>
        <v>nincs rovat</v>
      </c>
      <c r="Q683" t="str">
        <f>IF(H683&gt;0,VLOOKUP(H683,PAR!$AA$3:$AC$187,3,FALSE),"nincs főkönyvi számla")</f>
        <v>nincs főkönyvi számla</v>
      </c>
      <c r="R683" t="str">
        <f>IFERROR(VLOOKUP(K683,PAR!$V$3:$X$438,3,FALSE),"000000 - Nincs COFOG")</f>
        <v>000000 - Nincs COFOG</v>
      </c>
      <c r="S683">
        <f t="shared" si="202"/>
        <v>0</v>
      </c>
      <c r="T683">
        <f t="shared" si="203"/>
        <v>0</v>
      </c>
      <c r="U683" t="str">
        <f>IF('906MP'!J383&gt;0,CONCATENATE('906MP'!J383," - ",'906MP'!P383,", ",'906MP'!E383),"nincs megjegyzés")</f>
        <v>nincs megjegyzés</v>
      </c>
      <c r="V683" t="str">
        <f t="shared" si="190"/>
        <v>0P0</v>
      </c>
      <c r="W683" t="str">
        <f t="shared" si="191"/>
        <v>0P0</v>
      </c>
      <c r="X683" t="str">
        <f t="shared" si="192"/>
        <v>P0</v>
      </c>
      <c r="Y683" t="str">
        <f t="shared" si="193"/>
        <v>00</v>
      </c>
      <c r="Z683" t="str">
        <f t="shared" si="204"/>
        <v>00</v>
      </c>
      <c r="AA683" t="str">
        <f t="shared" si="194"/>
        <v>00</v>
      </c>
      <c r="AB683" t="str">
        <f t="shared" si="195"/>
        <v>00</v>
      </c>
      <c r="AC683" t="str">
        <f t="shared" si="196"/>
        <v>0P0</v>
      </c>
      <c r="AD683" t="str">
        <f t="shared" si="197"/>
        <v>P00</v>
      </c>
      <c r="AE683" t="str">
        <f t="shared" si="198"/>
        <v>0P0</v>
      </c>
      <c r="AF683" t="str">
        <f t="shared" si="199"/>
        <v>P00</v>
      </c>
      <c r="AG683" t="str">
        <f t="shared" si="205"/>
        <v>0P00</v>
      </c>
      <c r="AH683" t="str">
        <f t="shared" si="206"/>
        <v>P000</v>
      </c>
      <c r="AI683" t="str">
        <f t="shared" si="207"/>
        <v>0P00</v>
      </c>
      <c r="AJ683" t="str">
        <f t="shared" si="208"/>
        <v>P000</v>
      </c>
    </row>
    <row r="684" spans="1:36" x14ac:dyDescent="0.25">
      <c r="A684" s="325" t="str">
        <f>CONCATENATE("P",'906MP'!M384)</f>
        <v>P</v>
      </c>
      <c r="B684">
        <f>'906MP'!H384</f>
        <v>0</v>
      </c>
      <c r="C684">
        <f>'906MP'!J384</f>
        <v>0</v>
      </c>
      <c r="D684">
        <f>'906MP'!P384</f>
        <v>0</v>
      </c>
      <c r="E684">
        <f>'906MP'!X384</f>
        <v>0</v>
      </c>
      <c r="F684" t="str">
        <f t="shared" si="200"/>
        <v>0</v>
      </c>
      <c r="G684" t="str">
        <f t="shared" si="201"/>
        <v>0</v>
      </c>
      <c r="H684">
        <f>'906MP'!Y384</f>
        <v>0</v>
      </c>
      <c r="I684">
        <f>'906MP'!AK384</f>
        <v>0</v>
      </c>
      <c r="J684">
        <f>'906MP'!T384</f>
        <v>0</v>
      </c>
      <c r="K684">
        <f>'906MP'!AJ384</f>
        <v>0</v>
      </c>
      <c r="L684">
        <f>'906MP'!U384</f>
        <v>0</v>
      </c>
      <c r="M684" s="322" t="str">
        <f>IFERROR(VLOOKUP(A684,PAR!$D$3:$E$53,2,FALSE),"nincs szervezet")</f>
        <v>nincs szervezet</v>
      </c>
      <c r="N684" s="322" t="str">
        <f>VLOOKUP(F684,PAR!$R$3:$S$5,2,FALSE)</f>
        <v>3 - egyik sem</v>
      </c>
      <c r="O684" t="str">
        <f>IFERROR(VLOOKUP(J684,PAR!$O$3:$P$5,2,FALSE),"nincs feladat")</f>
        <v>nincs feladat</v>
      </c>
      <c r="P684" t="str">
        <f>IFERROR(VLOOKUP(G684,PAR!$J$2:$M$19,4),"nincs rovat")</f>
        <v>nincs rovat</v>
      </c>
      <c r="Q684" t="str">
        <f>IF(H684&gt;0,VLOOKUP(H684,PAR!$AA$3:$AC$187,3,FALSE),"nincs főkönyvi számla")</f>
        <v>nincs főkönyvi számla</v>
      </c>
      <c r="R684" t="str">
        <f>IFERROR(VLOOKUP(K684,PAR!$V$3:$X$438,3,FALSE),"000000 - Nincs COFOG")</f>
        <v>000000 - Nincs COFOG</v>
      </c>
      <c r="S684">
        <f t="shared" si="202"/>
        <v>0</v>
      </c>
      <c r="T684">
        <f t="shared" si="203"/>
        <v>0</v>
      </c>
      <c r="U684" t="str">
        <f>IF('906MP'!J384&gt;0,CONCATENATE('906MP'!J384," - ",'906MP'!P384,", ",'906MP'!E384),"nincs megjegyzés")</f>
        <v>nincs megjegyzés</v>
      </c>
      <c r="V684" t="str">
        <f t="shared" si="190"/>
        <v>0P0</v>
      </c>
      <c r="W684" t="str">
        <f t="shared" si="191"/>
        <v>0P0</v>
      </c>
      <c r="X684" t="str">
        <f t="shared" si="192"/>
        <v>P0</v>
      </c>
      <c r="Y684" t="str">
        <f t="shared" si="193"/>
        <v>00</v>
      </c>
      <c r="Z684" t="str">
        <f t="shared" si="204"/>
        <v>00</v>
      </c>
      <c r="AA684" t="str">
        <f t="shared" si="194"/>
        <v>00</v>
      </c>
      <c r="AB684" t="str">
        <f t="shared" si="195"/>
        <v>00</v>
      </c>
      <c r="AC684" t="str">
        <f t="shared" si="196"/>
        <v>0P0</v>
      </c>
      <c r="AD684" t="str">
        <f t="shared" si="197"/>
        <v>P00</v>
      </c>
      <c r="AE684" t="str">
        <f t="shared" si="198"/>
        <v>0P0</v>
      </c>
      <c r="AF684" t="str">
        <f t="shared" si="199"/>
        <v>P00</v>
      </c>
      <c r="AG684" t="str">
        <f t="shared" si="205"/>
        <v>0P00</v>
      </c>
      <c r="AH684" t="str">
        <f t="shared" si="206"/>
        <v>P000</v>
      </c>
      <c r="AI684" t="str">
        <f t="shared" si="207"/>
        <v>0P00</v>
      </c>
      <c r="AJ684" t="str">
        <f t="shared" si="208"/>
        <v>P000</v>
      </c>
    </row>
    <row r="685" spans="1:36" x14ac:dyDescent="0.25">
      <c r="A685" s="325" t="str">
        <f>CONCATENATE("P",'906MP'!M385)</f>
        <v>P</v>
      </c>
      <c r="B685">
        <f>'906MP'!H385</f>
        <v>0</v>
      </c>
      <c r="C685">
        <f>'906MP'!J385</f>
        <v>0</v>
      </c>
      <c r="D685">
        <f>'906MP'!P385</f>
        <v>0</v>
      </c>
      <c r="E685">
        <f>'906MP'!X385</f>
        <v>0</v>
      </c>
      <c r="F685" t="str">
        <f t="shared" si="200"/>
        <v>0</v>
      </c>
      <c r="G685" t="str">
        <f t="shared" si="201"/>
        <v>0</v>
      </c>
      <c r="H685">
        <f>'906MP'!Y385</f>
        <v>0</v>
      </c>
      <c r="I685">
        <f>'906MP'!AK385</f>
        <v>0</v>
      </c>
      <c r="J685">
        <f>'906MP'!T385</f>
        <v>0</v>
      </c>
      <c r="K685">
        <f>'906MP'!AJ385</f>
        <v>0</v>
      </c>
      <c r="L685">
        <f>'906MP'!U385</f>
        <v>0</v>
      </c>
      <c r="M685" s="322" t="str">
        <f>IFERROR(VLOOKUP(A685,PAR!$D$3:$E$53,2,FALSE),"nincs szervezet")</f>
        <v>nincs szervezet</v>
      </c>
      <c r="N685" s="322" t="str">
        <f>VLOOKUP(F685,PAR!$R$3:$S$5,2,FALSE)</f>
        <v>3 - egyik sem</v>
      </c>
      <c r="O685" t="str">
        <f>IFERROR(VLOOKUP(J685,PAR!$O$3:$P$5,2,FALSE),"nincs feladat")</f>
        <v>nincs feladat</v>
      </c>
      <c r="P685" t="str">
        <f>IFERROR(VLOOKUP(G685,PAR!$J$2:$M$19,4),"nincs rovat")</f>
        <v>nincs rovat</v>
      </c>
      <c r="Q685" t="str">
        <f>IF(H685&gt;0,VLOOKUP(H685,PAR!$AA$3:$AC$187,3,FALSE),"nincs főkönyvi számla")</f>
        <v>nincs főkönyvi számla</v>
      </c>
      <c r="R685" t="str">
        <f>IFERROR(VLOOKUP(K685,PAR!$V$3:$X$438,3,FALSE),"000000 - Nincs COFOG")</f>
        <v>000000 - Nincs COFOG</v>
      </c>
      <c r="S685">
        <f t="shared" si="202"/>
        <v>0</v>
      </c>
      <c r="T685">
        <f t="shared" si="203"/>
        <v>0</v>
      </c>
      <c r="U685" t="str">
        <f>IF('906MP'!J385&gt;0,CONCATENATE('906MP'!J385," - ",'906MP'!P385,", ",'906MP'!E385),"nincs megjegyzés")</f>
        <v>nincs megjegyzés</v>
      </c>
      <c r="V685" t="str">
        <f t="shared" si="190"/>
        <v>0P0</v>
      </c>
      <c r="W685" t="str">
        <f t="shared" si="191"/>
        <v>0P0</v>
      </c>
      <c r="X685" t="str">
        <f t="shared" si="192"/>
        <v>P0</v>
      </c>
      <c r="Y685" t="str">
        <f t="shared" si="193"/>
        <v>00</v>
      </c>
      <c r="Z685" t="str">
        <f t="shared" si="204"/>
        <v>00</v>
      </c>
      <c r="AA685" t="str">
        <f t="shared" si="194"/>
        <v>00</v>
      </c>
      <c r="AB685" t="str">
        <f t="shared" si="195"/>
        <v>00</v>
      </c>
      <c r="AC685" t="str">
        <f t="shared" si="196"/>
        <v>0P0</v>
      </c>
      <c r="AD685" t="str">
        <f t="shared" si="197"/>
        <v>P00</v>
      </c>
      <c r="AE685" t="str">
        <f t="shared" si="198"/>
        <v>0P0</v>
      </c>
      <c r="AF685" t="str">
        <f t="shared" si="199"/>
        <v>P00</v>
      </c>
      <c r="AG685" t="str">
        <f t="shared" si="205"/>
        <v>0P00</v>
      </c>
      <c r="AH685" t="str">
        <f t="shared" si="206"/>
        <v>P000</v>
      </c>
      <c r="AI685" t="str">
        <f t="shared" si="207"/>
        <v>0P00</v>
      </c>
      <c r="AJ685" t="str">
        <f t="shared" si="208"/>
        <v>P000</v>
      </c>
    </row>
    <row r="686" spans="1:36" x14ac:dyDescent="0.25">
      <c r="A686" s="325" t="str">
        <f>CONCATENATE("P",'906MP'!M386)</f>
        <v>P</v>
      </c>
      <c r="B686">
        <f>'906MP'!H386</f>
        <v>0</v>
      </c>
      <c r="C686">
        <f>'906MP'!J386</f>
        <v>0</v>
      </c>
      <c r="D686">
        <f>'906MP'!P386</f>
        <v>0</v>
      </c>
      <c r="E686">
        <f>'906MP'!X386</f>
        <v>0</v>
      </c>
      <c r="F686" t="str">
        <f t="shared" si="200"/>
        <v>0</v>
      </c>
      <c r="G686" t="str">
        <f t="shared" si="201"/>
        <v>0</v>
      </c>
      <c r="H686">
        <f>'906MP'!Y386</f>
        <v>0</v>
      </c>
      <c r="I686">
        <f>'906MP'!AK386</f>
        <v>0</v>
      </c>
      <c r="J686">
        <f>'906MP'!T386</f>
        <v>0</v>
      </c>
      <c r="K686">
        <f>'906MP'!AJ386</f>
        <v>0</v>
      </c>
      <c r="L686">
        <f>'906MP'!U386</f>
        <v>0</v>
      </c>
      <c r="M686" s="322" t="str">
        <f>IFERROR(VLOOKUP(A686,PAR!$D$3:$E$53,2,FALSE),"nincs szervezet")</f>
        <v>nincs szervezet</v>
      </c>
      <c r="N686" s="322" t="str">
        <f>VLOOKUP(F686,PAR!$R$3:$S$5,2,FALSE)</f>
        <v>3 - egyik sem</v>
      </c>
      <c r="O686" t="str">
        <f>IFERROR(VLOOKUP(J686,PAR!$O$3:$P$5,2,FALSE),"nincs feladat")</f>
        <v>nincs feladat</v>
      </c>
      <c r="P686" t="str">
        <f>IFERROR(VLOOKUP(G686,PAR!$J$2:$M$19,4),"nincs rovat")</f>
        <v>nincs rovat</v>
      </c>
      <c r="Q686" t="str">
        <f>IF(H686&gt;0,VLOOKUP(H686,PAR!$AA$3:$AC$187,3,FALSE),"nincs főkönyvi számla")</f>
        <v>nincs főkönyvi számla</v>
      </c>
      <c r="R686" t="str">
        <f>IFERROR(VLOOKUP(K686,PAR!$V$3:$X$438,3,FALSE),"000000 - Nincs COFOG")</f>
        <v>000000 - Nincs COFOG</v>
      </c>
      <c r="S686">
        <f t="shared" si="202"/>
        <v>0</v>
      </c>
      <c r="T686">
        <f t="shared" si="203"/>
        <v>0</v>
      </c>
      <c r="U686" t="str">
        <f>IF('906MP'!J386&gt;0,CONCATENATE('906MP'!J386," - ",'906MP'!P386,", ",'906MP'!E386),"nincs megjegyzés")</f>
        <v>nincs megjegyzés</v>
      </c>
      <c r="V686" t="str">
        <f t="shared" si="190"/>
        <v>0P0</v>
      </c>
      <c r="W686" t="str">
        <f t="shared" si="191"/>
        <v>0P0</v>
      </c>
      <c r="X686" t="str">
        <f t="shared" si="192"/>
        <v>P0</v>
      </c>
      <c r="Y686" t="str">
        <f t="shared" si="193"/>
        <v>00</v>
      </c>
      <c r="Z686" t="str">
        <f t="shared" si="204"/>
        <v>00</v>
      </c>
      <c r="AA686" t="str">
        <f t="shared" si="194"/>
        <v>00</v>
      </c>
      <c r="AB686" t="str">
        <f t="shared" si="195"/>
        <v>00</v>
      </c>
      <c r="AC686" t="str">
        <f t="shared" si="196"/>
        <v>0P0</v>
      </c>
      <c r="AD686" t="str">
        <f t="shared" si="197"/>
        <v>P00</v>
      </c>
      <c r="AE686" t="str">
        <f t="shared" si="198"/>
        <v>0P0</v>
      </c>
      <c r="AF686" t="str">
        <f t="shared" si="199"/>
        <v>P00</v>
      </c>
      <c r="AG686" t="str">
        <f t="shared" si="205"/>
        <v>0P00</v>
      </c>
      <c r="AH686" t="str">
        <f t="shared" si="206"/>
        <v>P000</v>
      </c>
      <c r="AI686" t="str">
        <f t="shared" si="207"/>
        <v>0P00</v>
      </c>
      <c r="AJ686" t="str">
        <f t="shared" si="208"/>
        <v>P000</v>
      </c>
    </row>
    <row r="687" spans="1:36" x14ac:dyDescent="0.25">
      <c r="A687" s="325" t="str">
        <f>CONCATENATE("P",'906MP'!M387)</f>
        <v>P</v>
      </c>
      <c r="B687">
        <f>'906MP'!H387</f>
        <v>0</v>
      </c>
      <c r="C687">
        <f>'906MP'!J387</f>
        <v>0</v>
      </c>
      <c r="D687">
        <f>'906MP'!P387</f>
        <v>0</v>
      </c>
      <c r="E687">
        <f>'906MP'!X387</f>
        <v>0</v>
      </c>
      <c r="F687" t="str">
        <f t="shared" si="200"/>
        <v>0</v>
      </c>
      <c r="G687" t="str">
        <f t="shared" si="201"/>
        <v>0</v>
      </c>
      <c r="H687">
        <f>'906MP'!Y387</f>
        <v>0</v>
      </c>
      <c r="I687">
        <f>'906MP'!AK387</f>
        <v>0</v>
      </c>
      <c r="J687">
        <f>'906MP'!T387</f>
        <v>0</v>
      </c>
      <c r="K687">
        <f>'906MP'!AJ387</f>
        <v>0</v>
      </c>
      <c r="L687">
        <f>'906MP'!U387</f>
        <v>0</v>
      </c>
      <c r="M687" s="322" t="str">
        <f>IFERROR(VLOOKUP(A687,PAR!$D$3:$E$53,2,FALSE),"nincs szervezet")</f>
        <v>nincs szervezet</v>
      </c>
      <c r="N687" s="322" t="str">
        <f>VLOOKUP(F687,PAR!$R$3:$S$5,2,FALSE)</f>
        <v>3 - egyik sem</v>
      </c>
      <c r="O687" t="str">
        <f>IFERROR(VLOOKUP(J687,PAR!$O$3:$P$5,2,FALSE),"nincs feladat")</f>
        <v>nincs feladat</v>
      </c>
      <c r="P687" t="str">
        <f>IFERROR(VLOOKUP(G687,PAR!$J$2:$M$19,4),"nincs rovat")</f>
        <v>nincs rovat</v>
      </c>
      <c r="Q687" t="str">
        <f>IF(H687&gt;0,VLOOKUP(H687,PAR!$AA$3:$AC$187,3,FALSE),"nincs főkönyvi számla")</f>
        <v>nincs főkönyvi számla</v>
      </c>
      <c r="R687" t="str">
        <f>IFERROR(VLOOKUP(K687,PAR!$V$3:$X$438,3,FALSE),"000000 - Nincs COFOG")</f>
        <v>000000 - Nincs COFOG</v>
      </c>
      <c r="S687">
        <f t="shared" si="202"/>
        <v>0</v>
      </c>
      <c r="T687">
        <f t="shared" si="203"/>
        <v>0</v>
      </c>
      <c r="U687" t="str">
        <f>IF('906MP'!J387&gt;0,CONCATENATE('906MP'!J387," - ",'906MP'!P387,", ",'906MP'!E387),"nincs megjegyzés")</f>
        <v>nincs megjegyzés</v>
      </c>
      <c r="V687" t="str">
        <f t="shared" si="190"/>
        <v>0P0</v>
      </c>
      <c r="W687" t="str">
        <f t="shared" si="191"/>
        <v>0P0</v>
      </c>
      <c r="X687" t="str">
        <f t="shared" si="192"/>
        <v>P0</v>
      </c>
      <c r="Y687" t="str">
        <f t="shared" si="193"/>
        <v>00</v>
      </c>
      <c r="Z687" t="str">
        <f t="shared" si="204"/>
        <v>00</v>
      </c>
      <c r="AA687" t="str">
        <f t="shared" si="194"/>
        <v>00</v>
      </c>
      <c r="AB687" t="str">
        <f t="shared" si="195"/>
        <v>00</v>
      </c>
      <c r="AC687" t="str">
        <f t="shared" si="196"/>
        <v>0P0</v>
      </c>
      <c r="AD687" t="str">
        <f t="shared" si="197"/>
        <v>P00</v>
      </c>
      <c r="AE687" t="str">
        <f t="shared" si="198"/>
        <v>0P0</v>
      </c>
      <c r="AF687" t="str">
        <f t="shared" si="199"/>
        <v>P00</v>
      </c>
      <c r="AG687" t="str">
        <f t="shared" si="205"/>
        <v>0P00</v>
      </c>
      <c r="AH687" t="str">
        <f t="shared" si="206"/>
        <v>P000</v>
      </c>
      <c r="AI687" t="str">
        <f t="shared" si="207"/>
        <v>0P00</v>
      </c>
      <c r="AJ687" t="str">
        <f t="shared" si="208"/>
        <v>P000</v>
      </c>
    </row>
    <row r="688" spans="1:36" x14ac:dyDescent="0.25">
      <c r="A688" s="325" t="str">
        <f>CONCATENATE("P",'906MP'!M388)</f>
        <v>P</v>
      </c>
      <c r="B688">
        <f>'906MP'!H388</f>
        <v>0</v>
      </c>
      <c r="C688">
        <f>'906MP'!J388</f>
        <v>0</v>
      </c>
      <c r="D688">
        <f>'906MP'!P388</f>
        <v>0</v>
      </c>
      <c r="E688">
        <f>'906MP'!X388</f>
        <v>0</v>
      </c>
      <c r="F688" t="str">
        <f t="shared" si="200"/>
        <v>0</v>
      </c>
      <c r="G688" t="str">
        <f t="shared" si="201"/>
        <v>0</v>
      </c>
      <c r="H688">
        <f>'906MP'!Y388</f>
        <v>0</v>
      </c>
      <c r="I688">
        <f>'906MP'!AK388</f>
        <v>0</v>
      </c>
      <c r="J688">
        <f>'906MP'!T388</f>
        <v>0</v>
      </c>
      <c r="K688">
        <f>'906MP'!AJ388</f>
        <v>0</v>
      </c>
      <c r="L688">
        <f>'906MP'!U388</f>
        <v>0</v>
      </c>
      <c r="M688" s="322" t="str">
        <f>IFERROR(VLOOKUP(A688,PAR!$D$3:$E$53,2,FALSE),"nincs szervezet")</f>
        <v>nincs szervezet</v>
      </c>
      <c r="N688" s="322" t="str">
        <f>VLOOKUP(F688,PAR!$R$3:$S$5,2,FALSE)</f>
        <v>3 - egyik sem</v>
      </c>
      <c r="O688" t="str">
        <f>IFERROR(VLOOKUP(J688,PAR!$O$3:$P$5,2,FALSE),"nincs feladat")</f>
        <v>nincs feladat</v>
      </c>
      <c r="P688" t="str">
        <f>IFERROR(VLOOKUP(G688,PAR!$J$2:$M$19,4),"nincs rovat")</f>
        <v>nincs rovat</v>
      </c>
      <c r="Q688" t="str">
        <f>IF(H688&gt;0,VLOOKUP(H688,PAR!$AA$3:$AC$187,3,FALSE),"nincs főkönyvi számla")</f>
        <v>nincs főkönyvi számla</v>
      </c>
      <c r="R688" t="str">
        <f>IFERROR(VLOOKUP(K688,PAR!$V$3:$X$438,3,FALSE),"000000 - Nincs COFOG")</f>
        <v>000000 - Nincs COFOG</v>
      </c>
      <c r="S688">
        <f t="shared" si="202"/>
        <v>0</v>
      </c>
      <c r="T688">
        <f t="shared" si="203"/>
        <v>0</v>
      </c>
      <c r="U688" t="str">
        <f>IF('906MP'!J388&gt;0,CONCATENATE('906MP'!J388," - ",'906MP'!P388,", ",'906MP'!E388),"nincs megjegyzés")</f>
        <v>nincs megjegyzés</v>
      </c>
      <c r="V688" t="str">
        <f t="shared" si="190"/>
        <v>0P0</v>
      </c>
      <c r="W688" t="str">
        <f t="shared" si="191"/>
        <v>0P0</v>
      </c>
      <c r="X688" t="str">
        <f t="shared" si="192"/>
        <v>P0</v>
      </c>
      <c r="Y688" t="str">
        <f t="shared" si="193"/>
        <v>00</v>
      </c>
      <c r="Z688" t="str">
        <f t="shared" si="204"/>
        <v>00</v>
      </c>
      <c r="AA688" t="str">
        <f t="shared" si="194"/>
        <v>00</v>
      </c>
      <c r="AB688" t="str">
        <f t="shared" si="195"/>
        <v>00</v>
      </c>
      <c r="AC688" t="str">
        <f t="shared" si="196"/>
        <v>0P0</v>
      </c>
      <c r="AD688" t="str">
        <f t="shared" si="197"/>
        <v>P00</v>
      </c>
      <c r="AE688" t="str">
        <f t="shared" si="198"/>
        <v>0P0</v>
      </c>
      <c r="AF688" t="str">
        <f t="shared" si="199"/>
        <v>P00</v>
      </c>
      <c r="AG688" t="str">
        <f t="shared" si="205"/>
        <v>0P00</v>
      </c>
      <c r="AH688" t="str">
        <f t="shared" si="206"/>
        <v>P000</v>
      </c>
      <c r="AI688" t="str">
        <f t="shared" si="207"/>
        <v>0P00</v>
      </c>
      <c r="AJ688" t="str">
        <f t="shared" si="208"/>
        <v>P000</v>
      </c>
    </row>
    <row r="689" spans="1:36" x14ac:dyDescent="0.25">
      <c r="A689" s="325" t="str">
        <f>CONCATENATE("P",'906MP'!M389)</f>
        <v>P</v>
      </c>
      <c r="B689">
        <f>'906MP'!H389</f>
        <v>0</v>
      </c>
      <c r="C689">
        <f>'906MP'!J389</f>
        <v>0</v>
      </c>
      <c r="D689">
        <f>'906MP'!P389</f>
        <v>0</v>
      </c>
      <c r="E689">
        <f>'906MP'!X389</f>
        <v>0</v>
      </c>
      <c r="F689" t="str">
        <f t="shared" si="200"/>
        <v>0</v>
      </c>
      <c r="G689" t="str">
        <f t="shared" si="201"/>
        <v>0</v>
      </c>
      <c r="H689">
        <f>'906MP'!Y389</f>
        <v>0</v>
      </c>
      <c r="I689">
        <f>'906MP'!AK389</f>
        <v>0</v>
      </c>
      <c r="J689">
        <f>'906MP'!T389</f>
        <v>0</v>
      </c>
      <c r="K689">
        <f>'906MP'!AJ389</f>
        <v>0</v>
      </c>
      <c r="L689">
        <f>'906MP'!U389</f>
        <v>0</v>
      </c>
      <c r="M689" s="322" t="str">
        <f>IFERROR(VLOOKUP(A689,PAR!$D$3:$E$53,2,FALSE),"nincs szervezet")</f>
        <v>nincs szervezet</v>
      </c>
      <c r="N689" s="322" t="str">
        <f>VLOOKUP(F689,PAR!$R$3:$S$5,2,FALSE)</f>
        <v>3 - egyik sem</v>
      </c>
      <c r="O689" t="str">
        <f>IFERROR(VLOOKUP(J689,PAR!$O$3:$P$5,2,FALSE),"nincs feladat")</f>
        <v>nincs feladat</v>
      </c>
      <c r="P689" t="str">
        <f>IFERROR(VLOOKUP(G689,PAR!$J$2:$M$19,4),"nincs rovat")</f>
        <v>nincs rovat</v>
      </c>
      <c r="Q689" t="str">
        <f>IF(H689&gt;0,VLOOKUP(H689,PAR!$AA$3:$AC$187,3,FALSE),"nincs főkönyvi számla")</f>
        <v>nincs főkönyvi számla</v>
      </c>
      <c r="R689" t="str">
        <f>IFERROR(VLOOKUP(K689,PAR!$V$3:$X$438,3,FALSE),"000000 - Nincs COFOG")</f>
        <v>000000 - Nincs COFOG</v>
      </c>
      <c r="S689">
        <f t="shared" si="202"/>
        <v>0</v>
      </c>
      <c r="T689">
        <f t="shared" si="203"/>
        <v>0</v>
      </c>
      <c r="U689" t="str">
        <f>IF('906MP'!J389&gt;0,CONCATENATE('906MP'!J389," - ",'906MP'!P389,", ",'906MP'!E389),"nincs megjegyzés")</f>
        <v>nincs megjegyzés</v>
      </c>
      <c r="V689" t="str">
        <f t="shared" si="190"/>
        <v>0P0</v>
      </c>
      <c r="W689" t="str">
        <f t="shared" si="191"/>
        <v>0P0</v>
      </c>
      <c r="X689" t="str">
        <f t="shared" si="192"/>
        <v>P0</v>
      </c>
      <c r="Y689" t="str">
        <f t="shared" si="193"/>
        <v>00</v>
      </c>
      <c r="Z689" t="str">
        <f t="shared" si="204"/>
        <v>00</v>
      </c>
      <c r="AA689" t="str">
        <f t="shared" si="194"/>
        <v>00</v>
      </c>
      <c r="AB689" t="str">
        <f t="shared" si="195"/>
        <v>00</v>
      </c>
      <c r="AC689" t="str">
        <f t="shared" si="196"/>
        <v>0P0</v>
      </c>
      <c r="AD689" t="str">
        <f t="shared" si="197"/>
        <v>P00</v>
      </c>
      <c r="AE689" t="str">
        <f t="shared" si="198"/>
        <v>0P0</v>
      </c>
      <c r="AF689" t="str">
        <f t="shared" si="199"/>
        <v>P00</v>
      </c>
      <c r="AG689" t="str">
        <f t="shared" si="205"/>
        <v>0P00</v>
      </c>
      <c r="AH689" t="str">
        <f t="shared" si="206"/>
        <v>P000</v>
      </c>
      <c r="AI689" t="str">
        <f t="shared" si="207"/>
        <v>0P00</v>
      </c>
      <c r="AJ689" t="str">
        <f t="shared" si="208"/>
        <v>P000</v>
      </c>
    </row>
    <row r="690" spans="1:36" x14ac:dyDescent="0.25">
      <c r="A690" s="325" t="str">
        <f>CONCATENATE("P",'906MP'!M390)</f>
        <v>P</v>
      </c>
      <c r="B690">
        <f>'906MP'!H390</f>
        <v>0</v>
      </c>
      <c r="C690">
        <f>'906MP'!J390</f>
        <v>0</v>
      </c>
      <c r="D690">
        <f>'906MP'!P390</f>
        <v>0</v>
      </c>
      <c r="E690">
        <f>'906MP'!X390</f>
        <v>0</v>
      </c>
      <c r="F690" t="str">
        <f t="shared" si="200"/>
        <v>0</v>
      </c>
      <c r="G690" t="str">
        <f t="shared" si="201"/>
        <v>0</v>
      </c>
      <c r="H690">
        <f>'906MP'!Y390</f>
        <v>0</v>
      </c>
      <c r="I690">
        <f>'906MP'!AK390</f>
        <v>0</v>
      </c>
      <c r="J690">
        <f>'906MP'!T390</f>
        <v>0</v>
      </c>
      <c r="K690">
        <f>'906MP'!AJ390</f>
        <v>0</v>
      </c>
      <c r="L690">
        <f>'906MP'!U390</f>
        <v>0</v>
      </c>
      <c r="M690" s="322" t="str">
        <f>IFERROR(VLOOKUP(A690,PAR!$D$3:$E$53,2,FALSE),"nincs szervezet")</f>
        <v>nincs szervezet</v>
      </c>
      <c r="N690" s="322" t="str">
        <f>VLOOKUP(F690,PAR!$R$3:$S$5,2,FALSE)</f>
        <v>3 - egyik sem</v>
      </c>
      <c r="O690" t="str">
        <f>IFERROR(VLOOKUP(J690,PAR!$O$3:$P$5,2,FALSE),"nincs feladat")</f>
        <v>nincs feladat</v>
      </c>
      <c r="P690" t="str">
        <f>IFERROR(VLOOKUP(G690,PAR!$J$2:$M$19,4),"nincs rovat")</f>
        <v>nincs rovat</v>
      </c>
      <c r="Q690" t="str">
        <f>IF(H690&gt;0,VLOOKUP(H690,PAR!$AA$3:$AC$187,3,FALSE),"nincs főkönyvi számla")</f>
        <v>nincs főkönyvi számla</v>
      </c>
      <c r="R690" t="str">
        <f>IFERROR(VLOOKUP(K690,PAR!$V$3:$X$438,3,FALSE),"000000 - Nincs COFOG")</f>
        <v>000000 - Nincs COFOG</v>
      </c>
      <c r="S690">
        <f t="shared" si="202"/>
        <v>0</v>
      </c>
      <c r="T690">
        <f t="shared" si="203"/>
        <v>0</v>
      </c>
      <c r="U690" t="str">
        <f>IF('906MP'!J390&gt;0,CONCATENATE('906MP'!J390," - ",'906MP'!P390,", ",'906MP'!E390),"nincs megjegyzés")</f>
        <v>nincs megjegyzés</v>
      </c>
      <c r="V690" t="str">
        <f t="shared" si="190"/>
        <v>0P0</v>
      </c>
      <c r="W690" t="str">
        <f t="shared" si="191"/>
        <v>0P0</v>
      </c>
      <c r="X690" t="str">
        <f t="shared" si="192"/>
        <v>P0</v>
      </c>
      <c r="Y690" t="str">
        <f t="shared" si="193"/>
        <v>00</v>
      </c>
      <c r="Z690" t="str">
        <f t="shared" si="204"/>
        <v>00</v>
      </c>
      <c r="AA690" t="str">
        <f t="shared" si="194"/>
        <v>00</v>
      </c>
      <c r="AB690" t="str">
        <f t="shared" si="195"/>
        <v>00</v>
      </c>
      <c r="AC690" t="str">
        <f t="shared" si="196"/>
        <v>0P0</v>
      </c>
      <c r="AD690" t="str">
        <f t="shared" si="197"/>
        <v>P00</v>
      </c>
      <c r="AE690" t="str">
        <f t="shared" si="198"/>
        <v>0P0</v>
      </c>
      <c r="AF690" t="str">
        <f t="shared" si="199"/>
        <v>P00</v>
      </c>
      <c r="AG690" t="str">
        <f t="shared" si="205"/>
        <v>0P00</v>
      </c>
      <c r="AH690" t="str">
        <f t="shared" si="206"/>
        <v>P000</v>
      </c>
      <c r="AI690" t="str">
        <f t="shared" si="207"/>
        <v>0P00</v>
      </c>
      <c r="AJ690" t="str">
        <f t="shared" si="208"/>
        <v>P000</v>
      </c>
    </row>
    <row r="691" spans="1:36" x14ac:dyDescent="0.25">
      <c r="A691" s="325" t="str">
        <f>CONCATENATE("P",'906MP'!M391)</f>
        <v>P</v>
      </c>
      <c r="B691">
        <f>'906MP'!H391</f>
        <v>0</v>
      </c>
      <c r="C691">
        <f>'906MP'!J391</f>
        <v>0</v>
      </c>
      <c r="D691">
        <f>'906MP'!P391</f>
        <v>0</v>
      </c>
      <c r="E691">
        <f>'906MP'!X391</f>
        <v>0</v>
      </c>
      <c r="F691" t="str">
        <f t="shared" si="200"/>
        <v>0</v>
      </c>
      <c r="G691" t="str">
        <f t="shared" si="201"/>
        <v>0</v>
      </c>
      <c r="H691">
        <f>'906MP'!Y391</f>
        <v>0</v>
      </c>
      <c r="I691">
        <f>'906MP'!AK391</f>
        <v>0</v>
      </c>
      <c r="J691">
        <f>'906MP'!T391</f>
        <v>0</v>
      </c>
      <c r="K691">
        <f>'906MP'!AJ391</f>
        <v>0</v>
      </c>
      <c r="L691">
        <f>'906MP'!U391</f>
        <v>0</v>
      </c>
      <c r="M691" s="322" t="str">
        <f>IFERROR(VLOOKUP(A691,PAR!$D$3:$E$53,2,FALSE),"nincs szervezet")</f>
        <v>nincs szervezet</v>
      </c>
      <c r="N691" s="322" t="str">
        <f>VLOOKUP(F691,PAR!$R$3:$S$5,2,FALSE)</f>
        <v>3 - egyik sem</v>
      </c>
      <c r="O691" t="str">
        <f>IFERROR(VLOOKUP(J691,PAR!$O$3:$P$5,2,FALSE),"nincs feladat")</f>
        <v>nincs feladat</v>
      </c>
      <c r="P691" t="str">
        <f>IFERROR(VLOOKUP(G691,PAR!$J$2:$M$19,4),"nincs rovat")</f>
        <v>nincs rovat</v>
      </c>
      <c r="Q691" t="str">
        <f>IF(H691&gt;0,VLOOKUP(H691,PAR!$AA$3:$AC$187,3,FALSE),"nincs főkönyvi számla")</f>
        <v>nincs főkönyvi számla</v>
      </c>
      <c r="R691" t="str">
        <f>IFERROR(VLOOKUP(K691,PAR!$V$3:$X$438,3,FALSE),"000000 - Nincs COFOG")</f>
        <v>000000 - Nincs COFOG</v>
      </c>
      <c r="S691">
        <f t="shared" si="202"/>
        <v>0</v>
      </c>
      <c r="T691">
        <f t="shared" si="203"/>
        <v>0</v>
      </c>
      <c r="U691" t="str">
        <f>IF('906MP'!J391&gt;0,CONCATENATE('906MP'!J391," - ",'906MP'!P391,", ",'906MP'!E391),"nincs megjegyzés")</f>
        <v>nincs megjegyzés</v>
      </c>
      <c r="V691" t="str">
        <f t="shared" si="190"/>
        <v>0P0</v>
      </c>
      <c r="W691" t="str">
        <f t="shared" si="191"/>
        <v>0P0</v>
      </c>
      <c r="X691" t="str">
        <f t="shared" si="192"/>
        <v>P0</v>
      </c>
      <c r="Y691" t="str">
        <f t="shared" si="193"/>
        <v>00</v>
      </c>
      <c r="Z691" t="str">
        <f t="shared" si="204"/>
        <v>00</v>
      </c>
      <c r="AA691" t="str">
        <f t="shared" si="194"/>
        <v>00</v>
      </c>
      <c r="AB691" t="str">
        <f t="shared" si="195"/>
        <v>00</v>
      </c>
      <c r="AC691" t="str">
        <f t="shared" si="196"/>
        <v>0P0</v>
      </c>
      <c r="AD691" t="str">
        <f t="shared" si="197"/>
        <v>P00</v>
      </c>
      <c r="AE691" t="str">
        <f t="shared" si="198"/>
        <v>0P0</v>
      </c>
      <c r="AF691" t="str">
        <f t="shared" si="199"/>
        <v>P00</v>
      </c>
      <c r="AG691" t="str">
        <f t="shared" si="205"/>
        <v>0P00</v>
      </c>
      <c r="AH691" t="str">
        <f t="shared" si="206"/>
        <v>P000</v>
      </c>
      <c r="AI691" t="str">
        <f t="shared" si="207"/>
        <v>0P00</v>
      </c>
      <c r="AJ691" t="str">
        <f t="shared" si="208"/>
        <v>P000</v>
      </c>
    </row>
    <row r="692" spans="1:36" x14ac:dyDescent="0.25">
      <c r="A692" s="325" t="str">
        <f>CONCATENATE("P",'906MP'!M392)</f>
        <v>P</v>
      </c>
      <c r="B692">
        <f>'906MP'!H392</f>
        <v>0</v>
      </c>
      <c r="C692">
        <f>'906MP'!J392</f>
        <v>0</v>
      </c>
      <c r="D692">
        <f>'906MP'!P392</f>
        <v>0</v>
      </c>
      <c r="E692">
        <f>'906MP'!X392</f>
        <v>0</v>
      </c>
      <c r="F692" t="str">
        <f t="shared" si="200"/>
        <v>0</v>
      </c>
      <c r="G692" t="str">
        <f t="shared" si="201"/>
        <v>0</v>
      </c>
      <c r="H692">
        <f>'906MP'!Y392</f>
        <v>0</v>
      </c>
      <c r="I692">
        <f>'906MP'!AK392</f>
        <v>0</v>
      </c>
      <c r="J692">
        <f>'906MP'!T392</f>
        <v>0</v>
      </c>
      <c r="K692">
        <f>'906MP'!AJ392</f>
        <v>0</v>
      </c>
      <c r="L692">
        <f>'906MP'!U392</f>
        <v>0</v>
      </c>
      <c r="M692" s="322" t="str">
        <f>IFERROR(VLOOKUP(A692,PAR!$D$3:$E$53,2,FALSE),"nincs szervezet")</f>
        <v>nincs szervezet</v>
      </c>
      <c r="N692" s="322" t="str">
        <f>VLOOKUP(F692,PAR!$R$3:$S$5,2,FALSE)</f>
        <v>3 - egyik sem</v>
      </c>
      <c r="O692" t="str">
        <f>IFERROR(VLOOKUP(J692,PAR!$O$3:$P$5,2,FALSE),"nincs feladat")</f>
        <v>nincs feladat</v>
      </c>
      <c r="P692" t="str">
        <f>IFERROR(VLOOKUP(G692,PAR!$J$2:$M$19,4),"nincs rovat")</f>
        <v>nincs rovat</v>
      </c>
      <c r="Q692" t="str">
        <f>IF(H692&gt;0,VLOOKUP(H692,PAR!$AA$3:$AC$187,3,FALSE),"nincs főkönyvi számla")</f>
        <v>nincs főkönyvi számla</v>
      </c>
      <c r="R692" t="str">
        <f>IFERROR(VLOOKUP(K692,PAR!$V$3:$X$438,3,FALSE),"000000 - Nincs COFOG")</f>
        <v>000000 - Nincs COFOG</v>
      </c>
      <c r="S692">
        <f t="shared" si="202"/>
        <v>0</v>
      </c>
      <c r="T692">
        <f t="shared" si="203"/>
        <v>0</v>
      </c>
      <c r="U692" t="str">
        <f>IF('906MP'!J392&gt;0,CONCATENATE('906MP'!J392," - ",'906MP'!P392,", ",'906MP'!E392),"nincs megjegyzés")</f>
        <v>nincs megjegyzés</v>
      </c>
      <c r="V692" t="str">
        <f t="shared" si="190"/>
        <v>0P0</v>
      </c>
      <c r="W692" t="str">
        <f t="shared" si="191"/>
        <v>0P0</v>
      </c>
      <c r="X692" t="str">
        <f t="shared" si="192"/>
        <v>P0</v>
      </c>
      <c r="Y692" t="str">
        <f t="shared" si="193"/>
        <v>00</v>
      </c>
      <c r="Z692" t="str">
        <f t="shared" si="204"/>
        <v>00</v>
      </c>
      <c r="AA692" t="str">
        <f t="shared" si="194"/>
        <v>00</v>
      </c>
      <c r="AB692" t="str">
        <f t="shared" si="195"/>
        <v>00</v>
      </c>
      <c r="AC692" t="str">
        <f t="shared" si="196"/>
        <v>0P0</v>
      </c>
      <c r="AD692" t="str">
        <f t="shared" si="197"/>
        <v>P00</v>
      </c>
      <c r="AE692" t="str">
        <f t="shared" si="198"/>
        <v>0P0</v>
      </c>
      <c r="AF692" t="str">
        <f t="shared" si="199"/>
        <v>P00</v>
      </c>
      <c r="AG692" t="str">
        <f t="shared" si="205"/>
        <v>0P00</v>
      </c>
      <c r="AH692" t="str">
        <f t="shared" si="206"/>
        <v>P000</v>
      </c>
      <c r="AI692" t="str">
        <f t="shared" si="207"/>
        <v>0P00</v>
      </c>
      <c r="AJ692" t="str">
        <f t="shared" si="208"/>
        <v>P000</v>
      </c>
    </row>
    <row r="693" spans="1:36" x14ac:dyDescent="0.25">
      <c r="A693" s="325" t="str">
        <f>CONCATENATE("P",'906MP'!M393)</f>
        <v>P</v>
      </c>
      <c r="B693">
        <f>'906MP'!H393</f>
        <v>0</v>
      </c>
      <c r="C693">
        <f>'906MP'!J393</f>
        <v>0</v>
      </c>
      <c r="D693">
        <f>'906MP'!P393</f>
        <v>0</v>
      </c>
      <c r="E693">
        <f>'906MP'!X393</f>
        <v>0</v>
      </c>
      <c r="F693" t="str">
        <f t="shared" si="200"/>
        <v>0</v>
      </c>
      <c r="G693" t="str">
        <f t="shared" si="201"/>
        <v>0</v>
      </c>
      <c r="H693">
        <f>'906MP'!Y393</f>
        <v>0</v>
      </c>
      <c r="I693">
        <f>'906MP'!AK393</f>
        <v>0</v>
      </c>
      <c r="J693">
        <f>'906MP'!T393</f>
        <v>0</v>
      </c>
      <c r="K693">
        <f>'906MP'!AJ393</f>
        <v>0</v>
      </c>
      <c r="L693">
        <f>'906MP'!U393</f>
        <v>0</v>
      </c>
      <c r="M693" s="322" t="str">
        <f>IFERROR(VLOOKUP(A693,PAR!$D$3:$E$53,2,FALSE),"nincs szervezet")</f>
        <v>nincs szervezet</v>
      </c>
      <c r="N693" s="322" t="str">
        <f>VLOOKUP(F693,PAR!$R$3:$S$5,2,FALSE)</f>
        <v>3 - egyik sem</v>
      </c>
      <c r="O693" t="str">
        <f>IFERROR(VLOOKUP(J693,PAR!$O$3:$P$5,2,FALSE),"nincs feladat")</f>
        <v>nincs feladat</v>
      </c>
      <c r="P693" t="str">
        <f>IFERROR(VLOOKUP(G693,PAR!$J$2:$M$19,4),"nincs rovat")</f>
        <v>nincs rovat</v>
      </c>
      <c r="Q693" t="str">
        <f>IF(H693&gt;0,VLOOKUP(H693,PAR!$AA$3:$AC$187,3,FALSE),"nincs főkönyvi számla")</f>
        <v>nincs főkönyvi számla</v>
      </c>
      <c r="R693" t="str">
        <f>IFERROR(VLOOKUP(K693,PAR!$V$3:$X$438,3,FALSE),"000000 - Nincs COFOG")</f>
        <v>000000 - Nincs COFOG</v>
      </c>
      <c r="S693">
        <f t="shared" si="202"/>
        <v>0</v>
      </c>
      <c r="T693">
        <f t="shared" si="203"/>
        <v>0</v>
      </c>
      <c r="U693" t="str">
        <f>IF('906MP'!J393&gt;0,CONCATENATE('906MP'!J393," - ",'906MP'!P393,", ",'906MP'!E393),"nincs megjegyzés")</f>
        <v>nincs megjegyzés</v>
      </c>
      <c r="V693" t="str">
        <f t="shared" si="190"/>
        <v>0P0</v>
      </c>
      <c r="W693" t="str">
        <f t="shared" si="191"/>
        <v>0P0</v>
      </c>
      <c r="X693" t="str">
        <f t="shared" si="192"/>
        <v>P0</v>
      </c>
      <c r="Y693" t="str">
        <f t="shared" si="193"/>
        <v>00</v>
      </c>
      <c r="Z693" t="str">
        <f t="shared" si="204"/>
        <v>00</v>
      </c>
      <c r="AA693" t="str">
        <f t="shared" si="194"/>
        <v>00</v>
      </c>
      <c r="AB693" t="str">
        <f t="shared" si="195"/>
        <v>00</v>
      </c>
      <c r="AC693" t="str">
        <f t="shared" si="196"/>
        <v>0P0</v>
      </c>
      <c r="AD693" t="str">
        <f t="shared" si="197"/>
        <v>P00</v>
      </c>
      <c r="AE693" t="str">
        <f t="shared" si="198"/>
        <v>0P0</v>
      </c>
      <c r="AF693" t="str">
        <f t="shared" si="199"/>
        <v>P00</v>
      </c>
      <c r="AG693" t="str">
        <f t="shared" si="205"/>
        <v>0P00</v>
      </c>
      <c r="AH693" t="str">
        <f t="shared" si="206"/>
        <v>P000</v>
      </c>
      <c r="AI693" t="str">
        <f t="shared" si="207"/>
        <v>0P00</v>
      </c>
      <c r="AJ693" t="str">
        <f t="shared" si="208"/>
        <v>P000</v>
      </c>
    </row>
    <row r="694" spans="1:36" x14ac:dyDescent="0.25">
      <c r="A694" s="325" t="str">
        <f>CONCATENATE("P",'906MP'!M394)</f>
        <v>P</v>
      </c>
      <c r="B694">
        <f>'906MP'!H394</f>
        <v>0</v>
      </c>
      <c r="C694">
        <f>'906MP'!J394</f>
        <v>0</v>
      </c>
      <c r="D694">
        <f>'906MP'!P394</f>
        <v>0</v>
      </c>
      <c r="E694">
        <f>'906MP'!X394</f>
        <v>0</v>
      </c>
      <c r="F694" t="str">
        <f t="shared" si="200"/>
        <v>0</v>
      </c>
      <c r="G694" t="str">
        <f t="shared" si="201"/>
        <v>0</v>
      </c>
      <c r="H694">
        <f>'906MP'!Y394</f>
        <v>0</v>
      </c>
      <c r="I694">
        <f>'906MP'!AK394</f>
        <v>0</v>
      </c>
      <c r="J694">
        <f>'906MP'!T394</f>
        <v>0</v>
      </c>
      <c r="K694">
        <f>'906MP'!AJ394</f>
        <v>0</v>
      </c>
      <c r="L694">
        <f>'906MP'!U394</f>
        <v>0</v>
      </c>
      <c r="M694" s="322" t="str">
        <f>IFERROR(VLOOKUP(A694,PAR!$D$3:$E$53,2,FALSE),"nincs szervezet")</f>
        <v>nincs szervezet</v>
      </c>
      <c r="N694" s="322" t="str">
        <f>VLOOKUP(F694,PAR!$R$3:$S$5,2,FALSE)</f>
        <v>3 - egyik sem</v>
      </c>
      <c r="O694" t="str">
        <f>IFERROR(VLOOKUP(J694,PAR!$O$3:$P$5,2,FALSE),"nincs feladat")</f>
        <v>nincs feladat</v>
      </c>
      <c r="P694" t="str">
        <f>IFERROR(VLOOKUP(G694,PAR!$J$2:$M$19,4),"nincs rovat")</f>
        <v>nincs rovat</v>
      </c>
      <c r="Q694" t="str">
        <f>IF(H694&gt;0,VLOOKUP(H694,PAR!$AA$3:$AC$187,3,FALSE),"nincs főkönyvi számla")</f>
        <v>nincs főkönyvi számla</v>
      </c>
      <c r="R694" t="str">
        <f>IFERROR(VLOOKUP(K694,PAR!$V$3:$X$438,3,FALSE),"000000 - Nincs COFOG")</f>
        <v>000000 - Nincs COFOG</v>
      </c>
      <c r="S694">
        <f t="shared" si="202"/>
        <v>0</v>
      </c>
      <c r="T694">
        <f t="shared" si="203"/>
        <v>0</v>
      </c>
      <c r="U694" t="str">
        <f>IF('906MP'!J394&gt;0,CONCATENATE('906MP'!J394," - ",'906MP'!P394,", ",'906MP'!E394),"nincs megjegyzés")</f>
        <v>nincs megjegyzés</v>
      </c>
      <c r="V694" t="str">
        <f t="shared" si="190"/>
        <v>0P0</v>
      </c>
      <c r="W694" t="str">
        <f t="shared" si="191"/>
        <v>0P0</v>
      </c>
      <c r="X694" t="str">
        <f t="shared" si="192"/>
        <v>P0</v>
      </c>
      <c r="Y694" t="str">
        <f t="shared" si="193"/>
        <v>00</v>
      </c>
      <c r="Z694" t="str">
        <f t="shared" si="204"/>
        <v>00</v>
      </c>
      <c r="AA694" t="str">
        <f t="shared" si="194"/>
        <v>00</v>
      </c>
      <c r="AB694" t="str">
        <f t="shared" si="195"/>
        <v>00</v>
      </c>
      <c r="AC694" t="str">
        <f t="shared" si="196"/>
        <v>0P0</v>
      </c>
      <c r="AD694" t="str">
        <f t="shared" si="197"/>
        <v>P00</v>
      </c>
      <c r="AE694" t="str">
        <f t="shared" si="198"/>
        <v>0P0</v>
      </c>
      <c r="AF694" t="str">
        <f t="shared" si="199"/>
        <v>P00</v>
      </c>
      <c r="AG694" t="str">
        <f t="shared" si="205"/>
        <v>0P00</v>
      </c>
      <c r="AH694" t="str">
        <f t="shared" si="206"/>
        <v>P000</v>
      </c>
      <c r="AI694" t="str">
        <f t="shared" si="207"/>
        <v>0P00</v>
      </c>
      <c r="AJ694" t="str">
        <f t="shared" si="208"/>
        <v>P000</v>
      </c>
    </row>
    <row r="695" spans="1:36" x14ac:dyDescent="0.25">
      <c r="A695" s="325" t="str">
        <f>CONCATENATE("P",'906MP'!M395)</f>
        <v>P</v>
      </c>
      <c r="B695">
        <f>'906MP'!H395</f>
        <v>0</v>
      </c>
      <c r="C695">
        <f>'906MP'!J395</f>
        <v>0</v>
      </c>
      <c r="D695">
        <f>'906MP'!P395</f>
        <v>0</v>
      </c>
      <c r="E695">
        <f>'906MP'!X395</f>
        <v>0</v>
      </c>
      <c r="F695" t="str">
        <f t="shared" si="200"/>
        <v>0</v>
      </c>
      <c r="G695" t="str">
        <f t="shared" si="201"/>
        <v>0</v>
      </c>
      <c r="H695">
        <f>'906MP'!Y395</f>
        <v>0</v>
      </c>
      <c r="I695">
        <f>'906MP'!AK395</f>
        <v>0</v>
      </c>
      <c r="J695">
        <f>'906MP'!T395</f>
        <v>0</v>
      </c>
      <c r="K695">
        <f>'906MP'!AJ395</f>
        <v>0</v>
      </c>
      <c r="L695">
        <f>'906MP'!U395</f>
        <v>0</v>
      </c>
      <c r="M695" s="322" t="str">
        <f>IFERROR(VLOOKUP(A695,PAR!$D$3:$E$53,2,FALSE),"nincs szervezet")</f>
        <v>nincs szervezet</v>
      </c>
      <c r="N695" s="322" t="str">
        <f>VLOOKUP(F695,PAR!$R$3:$S$5,2,FALSE)</f>
        <v>3 - egyik sem</v>
      </c>
      <c r="O695" t="str">
        <f>IFERROR(VLOOKUP(J695,PAR!$O$3:$P$5,2,FALSE),"nincs feladat")</f>
        <v>nincs feladat</v>
      </c>
      <c r="P695" t="str">
        <f>IFERROR(VLOOKUP(G695,PAR!$J$2:$M$19,4),"nincs rovat")</f>
        <v>nincs rovat</v>
      </c>
      <c r="Q695" t="str">
        <f>IF(H695&gt;0,VLOOKUP(H695,PAR!$AA$3:$AC$187,3,FALSE),"nincs főkönyvi számla")</f>
        <v>nincs főkönyvi számla</v>
      </c>
      <c r="R695" t="str">
        <f>IFERROR(VLOOKUP(K695,PAR!$V$3:$X$438,3,FALSE),"000000 - Nincs COFOG")</f>
        <v>000000 - Nincs COFOG</v>
      </c>
      <c r="S695">
        <f t="shared" si="202"/>
        <v>0</v>
      </c>
      <c r="T695">
        <f t="shared" si="203"/>
        <v>0</v>
      </c>
      <c r="U695" t="str">
        <f>IF('906MP'!J395&gt;0,CONCATENATE('906MP'!J395," - ",'906MP'!P395,", ",'906MP'!E395),"nincs megjegyzés")</f>
        <v>nincs megjegyzés</v>
      </c>
      <c r="V695" t="str">
        <f t="shared" si="190"/>
        <v>0P0</v>
      </c>
      <c r="W695" t="str">
        <f t="shared" si="191"/>
        <v>0P0</v>
      </c>
      <c r="X695" t="str">
        <f t="shared" si="192"/>
        <v>P0</v>
      </c>
      <c r="Y695" t="str">
        <f t="shared" si="193"/>
        <v>00</v>
      </c>
      <c r="Z695" t="str">
        <f t="shared" si="204"/>
        <v>00</v>
      </c>
      <c r="AA695" t="str">
        <f t="shared" si="194"/>
        <v>00</v>
      </c>
      <c r="AB695" t="str">
        <f t="shared" si="195"/>
        <v>00</v>
      </c>
      <c r="AC695" t="str">
        <f t="shared" si="196"/>
        <v>0P0</v>
      </c>
      <c r="AD695" t="str">
        <f t="shared" si="197"/>
        <v>P00</v>
      </c>
      <c r="AE695" t="str">
        <f t="shared" si="198"/>
        <v>0P0</v>
      </c>
      <c r="AF695" t="str">
        <f t="shared" si="199"/>
        <v>P00</v>
      </c>
      <c r="AG695" t="str">
        <f t="shared" si="205"/>
        <v>0P00</v>
      </c>
      <c r="AH695" t="str">
        <f t="shared" si="206"/>
        <v>P000</v>
      </c>
      <c r="AI695" t="str">
        <f t="shared" si="207"/>
        <v>0P00</v>
      </c>
      <c r="AJ695" t="str">
        <f t="shared" si="208"/>
        <v>P000</v>
      </c>
    </row>
    <row r="696" spans="1:36" x14ac:dyDescent="0.25">
      <c r="A696" s="325" t="str">
        <f>CONCATENATE("P",'906MP'!M396)</f>
        <v>P</v>
      </c>
      <c r="B696">
        <f>'906MP'!H396</f>
        <v>0</v>
      </c>
      <c r="C696">
        <f>'906MP'!J396</f>
        <v>0</v>
      </c>
      <c r="D696">
        <f>'906MP'!P396</f>
        <v>0</v>
      </c>
      <c r="E696">
        <f>'906MP'!X396</f>
        <v>0</v>
      </c>
      <c r="F696" t="str">
        <f t="shared" si="200"/>
        <v>0</v>
      </c>
      <c r="G696" t="str">
        <f t="shared" si="201"/>
        <v>0</v>
      </c>
      <c r="H696">
        <f>'906MP'!Y396</f>
        <v>0</v>
      </c>
      <c r="I696">
        <f>'906MP'!AK396</f>
        <v>0</v>
      </c>
      <c r="J696">
        <f>'906MP'!T396</f>
        <v>0</v>
      </c>
      <c r="K696">
        <f>'906MP'!AJ396</f>
        <v>0</v>
      </c>
      <c r="L696">
        <f>'906MP'!U396</f>
        <v>0</v>
      </c>
      <c r="M696" s="322" t="str">
        <f>IFERROR(VLOOKUP(A696,PAR!$D$3:$E$53,2,FALSE),"nincs szervezet")</f>
        <v>nincs szervezet</v>
      </c>
      <c r="N696" s="322" t="str">
        <f>VLOOKUP(F696,PAR!$R$3:$S$5,2,FALSE)</f>
        <v>3 - egyik sem</v>
      </c>
      <c r="O696" t="str">
        <f>IFERROR(VLOOKUP(J696,PAR!$O$3:$P$5,2,FALSE),"nincs feladat")</f>
        <v>nincs feladat</v>
      </c>
      <c r="P696" t="str">
        <f>IFERROR(VLOOKUP(G696,PAR!$J$2:$M$19,4),"nincs rovat")</f>
        <v>nincs rovat</v>
      </c>
      <c r="Q696" t="str">
        <f>IF(H696&gt;0,VLOOKUP(H696,PAR!$AA$3:$AC$187,3,FALSE),"nincs főkönyvi számla")</f>
        <v>nincs főkönyvi számla</v>
      </c>
      <c r="R696" t="str">
        <f>IFERROR(VLOOKUP(K696,PAR!$V$3:$X$438,3,FALSE),"000000 - Nincs COFOG")</f>
        <v>000000 - Nincs COFOG</v>
      </c>
      <c r="S696">
        <f t="shared" si="202"/>
        <v>0</v>
      </c>
      <c r="T696">
        <f t="shared" si="203"/>
        <v>0</v>
      </c>
      <c r="U696" t="str">
        <f>IF('906MP'!J396&gt;0,CONCATENATE('906MP'!J396," - ",'906MP'!P396,", ",'906MP'!E396),"nincs megjegyzés")</f>
        <v>nincs megjegyzés</v>
      </c>
      <c r="V696" t="str">
        <f t="shared" si="190"/>
        <v>0P0</v>
      </c>
      <c r="W696" t="str">
        <f t="shared" si="191"/>
        <v>0P0</v>
      </c>
      <c r="X696" t="str">
        <f t="shared" si="192"/>
        <v>P0</v>
      </c>
      <c r="Y696" t="str">
        <f t="shared" si="193"/>
        <v>00</v>
      </c>
      <c r="Z696" t="str">
        <f t="shared" si="204"/>
        <v>00</v>
      </c>
      <c r="AA696" t="str">
        <f t="shared" si="194"/>
        <v>00</v>
      </c>
      <c r="AB696" t="str">
        <f t="shared" si="195"/>
        <v>00</v>
      </c>
      <c r="AC696" t="str">
        <f t="shared" si="196"/>
        <v>0P0</v>
      </c>
      <c r="AD696" t="str">
        <f t="shared" si="197"/>
        <v>P00</v>
      </c>
      <c r="AE696" t="str">
        <f t="shared" si="198"/>
        <v>0P0</v>
      </c>
      <c r="AF696" t="str">
        <f t="shared" si="199"/>
        <v>P00</v>
      </c>
      <c r="AG696" t="str">
        <f t="shared" si="205"/>
        <v>0P00</v>
      </c>
      <c r="AH696" t="str">
        <f t="shared" si="206"/>
        <v>P000</v>
      </c>
      <c r="AI696" t="str">
        <f t="shared" si="207"/>
        <v>0P00</v>
      </c>
      <c r="AJ696" t="str">
        <f t="shared" si="208"/>
        <v>P000</v>
      </c>
    </row>
    <row r="697" spans="1:36" x14ac:dyDescent="0.25">
      <c r="A697" s="325" t="str">
        <f>CONCATENATE("P",'906MP'!M397)</f>
        <v>P</v>
      </c>
      <c r="B697">
        <f>'906MP'!H397</f>
        <v>0</v>
      </c>
      <c r="C697">
        <f>'906MP'!J397</f>
        <v>0</v>
      </c>
      <c r="D697">
        <f>'906MP'!P397</f>
        <v>0</v>
      </c>
      <c r="E697">
        <f>'906MP'!X397</f>
        <v>0</v>
      </c>
      <c r="F697" t="str">
        <f t="shared" si="200"/>
        <v>0</v>
      </c>
      <c r="G697" t="str">
        <f t="shared" si="201"/>
        <v>0</v>
      </c>
      <c r="H697">
        <f>'906MP'!Y397</f>
        <v>0</v>
      </c>
      <c r="I697">
        <f>'906MP'!AK397</f>
        <v>0</v>
      </c>
      <c r="J697">
        <f>'906MP'!T397</f>
        <v>0</v>
      </c>
      <c r="K697">
        <f>'906MP'!AJ397</f>
        <v>0</v>
      </c>
      <c r="L697">
        <f>'906MP'!U397</f>
        <v>0</v>
      </c>
      <c r="M697" s="322" t="str">
        <f>IFERROR(VLOOKUP(A697,PAR!$D$3:$E$53,2,FALSE),"nincs szervezet")</f>
        <v>nincs szervezet</v>
      </c>
      <c r="N697" s="322" t="str">
        <f>VLOOKUP(F697,PAR!$R$3:$S$5,2,FALSE)</f>
        <v>3 - egyik sem</v>
      </c>
      <c r="O697" t="str">
        <f>IFERROR(VLOOKUP(J697,PAR!$O$3:$P$5,2,FALSE),"nincs feladat")</f>
        <v>nincs feladat</v>
      </c>
      <c r="P697" t="str">
        <f>IFERROR(VLOOKUP(G697,PAR!$J$2:$M$19,4),"nincs rovat")</f>
        <v>nincs rovat</v>
      </c>
      <c r="Q697" t="str">
        <f>IF(H697&gt;0,VLOOKUP(H697,PAR!$AA$3:$AC$187,3,FALSE),"nincs főkönyvi számla")</f>
        <v>nincs főkönyvi számla</v>
      </c>
      <c r="R697" t="str">
        <f>IFERROR(VLOOKUP(K697,PAR!$V$3:$X$438,3,FALSE),"000000 - Nincs COFOG")</f>
        <v>000000 - Nincs COFOG</v>
      </c>
      <c r="S697">
        <f t="shared" si="202"/>
        <v>0</v>
      </c>
      <c r="T697">
        <f t="shared" si="203"/>
        <v>0</v>
      </c>
      <c r="U697" t="str">
        <f>IF('906MP'!J397&gt;0,CONCATENATE('906MP'!J397," - ",'906MP'!P397,", ",'906MP'!E397),"nincs megjegyzés")</f>
        <v>nincs megjegyzés</v>
      </c>
      <c r="V697" t="str">
        <f t="shared" si="190"/>
        <v>0P0</v>
      </c>
      <c r="W697" t="str">
        <f t="shared" si="191"/>
        <v>0P0</v>
      </c>
      <c r="X697" t="str">
        <f t="shared" si="192"/>
        <v>P0</v>
      </c>
      <c r="Y697" t="str">
        <f t="shared" si="193"/>
        <v>00</v>
      </c>
      <c r="Z697" t="str">
        <f t="shared" si="204"/>
        <v>00</v>
      </c>
      <c r="AA697" t="str">
        <f t="shared" si="194"/>
        <v>00</v>
      </c>
      <c r="AB697" t="str">
        <f t="shared" si="195"/>
        <v>00</v>
      </c>
      <c r="AC697" t="str">
        <f t="shared" si="196"/>
        <v>0P0</v>
      </c>
      <c r="AD697" t="str">
        <f t="shared" si="197"/>
        <v>P00</v>
      </c>
      <c r="AE697" t="str">
        <f t="shared" si="198"/>
        <v>0P0</v>
      </c>
      <c r="AF697" t="str">
        <f t="shared" si="199"/>
        <v>P00</v>
      </c>
      <c r="AG697" t="str">
        <f t="shared" si="205"/>
        <v>0P00</v>
      </c>
      <c r="AH697" t="str">
        <f t="shared" si="206"/>
        <v>P000</v>
      </c>
      <c r="AI697" t="str">
        <f t="shared" si="207"/>
        <v>0P00</v>
      </c>
      <c r="AJ697" t="str">
        <f t="shared" si="208"/>
        <v>P000</v>
      </c>
    </row>
    <row r="698" spans="1:36" x14ac:dyDescent="0.25">
      <c r="A698" s="325" t="str">
        <f>CONCATENATE("P",'906MP'!M398)</f>
        <v>P</v>
      </c>
      <c r="B698">
        <f>'906MP'!H398</f>
        <v>0</v>
      </c>
      <c r="C698">
        <f>'906MP'!J398</f>
        <v>0</v>
      </c>
      <c r="D698">
        <f>'906MP'!P398</f>
        <v>0</v>
      </c>
      <c r="E698">
        <f>'906MP'!X398</f>
        <v>0</v>
      </c>
      <c r="F698" t="str">
        <f t="shared" si="200"/>
        <v>0</v>
      </c>
      <c r="G698" t="str">
        <f t="shared" si="201"/>
        <v>0</v>
      </c>
      <c r="H698">
        <f>'906MP'!Y398</f>
        <v>0</v>
      </c>
      <c r="I698">
        <f>'906MP'!AK398</f>
        <v>0</v>
      </c>
      <c r="J698">
        <f>'906MP'!T398</f>
        <v>0</v>
      </c>
      <c r="K698">
        <f>'906MP'!AJ398</f>
        <v>0</v>
      </c>
      <c r="L698">
        <f>'906MP'!U398</f>
        <v>0</v>
      </c>
      <c r="M698" s="322" t="str">
        <f>IFERROR(VLOOKUP(A698,PAR!$D$3:$E$53,2,FALSE),"nincs szervezet")</f>
        <v>nincs szervezet</v>
      </c>
      <c r="N698" s="322" t="str">
        <f>VLOOKUP(F698,PAR!$R$3:$S$5,2,FALSE)</f>
        <v>3 - egyik sem</v>
      </c>
      <c r="O698" t="str">
        <f>IFERROR(VLOOKUP(J698,PAR!$O$3:$P$5,2,FALSE),"nincs feladat")</f>
        <v>nincs feladat</v>
      </c>
      <c r="P698" t="str">
        <f>IFERROR(VLOOKUP(G698,PAR!$J$2:$M$19,4),"nincs rovat")</f>
        <v>nincs rovat</v>
      </c>
      <c r="Q698" t="str">
        <f>IF(H698&gt;0,VLOOKUP(H698,PAR!$AA$3:$AC$187,3,FALSE),"nincs főkönyvi számla")</f>
        <v>nincs főkönyvi számla</v>
      </c>
      <c r="R698" t="str">
        <f>IFERROR(VLOOKUP(K698,PAR!$V$3:$X$438,3,FALSE),"000000 - Nincs COFOG")</f>
        <v>000000 - Nincs COFOG</v>
      </c>
      <c r="S698">
        <f t="shared" si="202"/>
        <v>0</v>
      </c>
      <c r="T698">
        <f t="shared" si="203"/>
        <v>0</v>
      </c>
      <c r="U698" t="str">
        <f>IF('906MP'!J398&gt;0,CONCATENATE('906MP'!J398," - ",'906MP'!P398,", ",'906MP'!E398),"nincs megjegyzés")</f>
        <v>nincs megjegyzés</v>
      </c>
      <c r="V698" t="str">
        <f t="shared" si="190"/>
        <v>0P0</v>
      </c>
      <c r="W698" t="str">
        <f t="shared" si="191"/>
        <v>0P0</v>
      </c>
      <c r="X698" t="str">
        <f t="shared" si="192"/>
        <v>P0</v>
      </c>
      <c r="Y698" t="str">
        <f t="shared" si="193"/>
        <v>00</v>
      </c>
      <c r="Z698" t="str">
        <f t="shared" si="204"/>
        <v>00</v>
      </c>
      <c r="AA698" t="str">
        <f t="shared" si="194"/>
        <v>00</v>
      </c>
      <c r="AB698" t="str">
        <f t="shared" si="195"/>
        <v>00</v>
      </c>
      <c r="AC698" t="str">
        <f t="shared" si="196"/>
        <v>0P0</v>
      </c>
      <c r="AD698" t="str">
        <f t="shared" si="197"/>
        <v>P00</v>
      </c>
      <c r="AE698" t="str">
        <f t="shared" si="198"/>
        <v>0P0</v>
      </c>
      <c r="AF698" t="str">
        <f t="shared" si="199"/>
        <v>P00</v>
      </c>
      <c r="AG698" t="str">
        <f t="shared" si="205"/>
        <v>0P00</v>
      </c>
      <c r="AH698" t="str">
        <f t="shared" si="206"/>
        <v>P000</v>
      </c>
      <c r="AI698" t="str">
        <f t="shared" si="207"/>
        <v>0P00</v>
      </c>
      <c r="AJ698" t="str">
        <f t="shared" si="208"/>
        <v>P000</v>
      </c>
    </row>
    <row r="699" spans="1:36" x14ac:dyDescent="0.25">
      <c r="A699" s="325" t="str">
        <f>CONCATENATE("P",'906MP'!M399)</f>
        <v>P</v>
      </c>
      <c r="B699">
        <f>'906MP'!H399</f>
        <v>0</v>
      </c>
      <c r="C699">
        <f>'906MP'!J399</f>
        <v>0</v>
      </c>
      <c r="D699">
        <f>'906MP'!P399</f>
        <v>0</v>
      </c>
      <c r="E699">
        <f>'906MP'!X399</f>
        <v>0</v>
      </c>
      <c r="F699" t="str">
        <f t="shared" si="200"/>
        <v>0</v>
      </c>
      <c r="G699" t="str">
        <f t="shared" si="201"/>
        <v>0</v>
      </c>
      <c r="H699">
        <f>'906MP'!Y399</f>
        <v>0</v>
      </c>
      <c r="I699">
        <f>'906MP'!AK399</f>
        <v>0</v>
      </c>
      <c r="J699">
        <f>'906MP'!T399</f>
        <v>0</v>
      </c>
      <c r="K699">
        <f>'906MP'!AJ399</f>
        <v>0</v>
      </c>
      <c r="L699">
        <f>'906MP'!U399</f>
        <v>0</v>
      </c>
      <c r="M699" s="322" t="str">
        <f>IFERROR(VLOOKUP(A699,PAR!$D$3:$E$53,2,FALSE),"nincs szervezet")</f>
        <v>nincs szervezet</v>
      </c>
      <c r="N699" s="322" t="str">
        <f>VLOOKUP(F699,PAR!$R$3:$S$5,2,FALSE)</f>
        <v>3 - egyik sem</v>
      </c>
      <c r="O699" t="str">
        <f>IFERROR(VLOOKUP(J699,PAR!$O$3:$P$5,2,FALSE),"nincs feladat")</f>
        <v>nincs feladat</v>
      </c>
      <c r="P699" t="str">
        <f>IFERROR(VLOOKUP(G699,PAR!$J$2:$M$19,4),"nincs rovat")</f>
        <v>nincs rovat</v>
      </c>
      <c r="Q699" t="str">
        <f>IF(H699&gt;0,VLOOKUP(H699,PAR!$AA$3:$AC$187,3,FALSE),"nincs főkönyvi számla")</f>
        <v>nincs főkönyvi számla</v>
      </c>
      <c r="R699" t="str">
        <f>IFERROR(VLOOKUP(K699,PAR!$V$3:$X$438,3,FALSE),"000000 - Nincs COFOG")</f>
        <v>000000 - Nincs COFOG</v>
      </c>
      <c r="S699">
        <f t="shared" si="202"/>
        <v>0</v>
      </c>
      <c r="T699">
        <f t="shared" si="203"/>
        <v>0</v>
      </c>
      <c r="U699" t="str">
        <f>IF('906MP'!J399&gt;0,CONCATENATE('906MP'!J399," - ",'906MP'!P399,", ",'906MP'!E399),"nincs megjegyzés")</f>
        <v>nincs megjegyzés</v>
      </c>
      <c r="V699" t="str">
        <f t="shared" si="190"/>
        <v>0P0</v>
      </c>
      <c r="W699" t="str">
        <f t="shared" si="191"/>
        <v>0P0</v>
      </c>
      <c r="X699" t="str">
        <f t="shared" si="192"/>
        <v>P0</v>
      </c>
      <c r="Y699" t="str">
        <f t="shared" si="193"/>
        <v>00</v>
      </c>
      <c r="Z699" t="str">
        <f t="shared" si="204"/>
        <v>00</v>
      </c>
      <c r="AA699" t="str">
        <f t="shared" si="194"/>
        <v>00</v>
      </c>
      <c r="AB699" t="str">
        <f t="shared" si="195"/>
        <v>00</v>
      </c>
      <c r="AC699" t="str">
        <f t="shared" si="196"/>
        <v>0P0</v>
      </c>
      <c r="AD699" t="str">
        <f t="shared" si="197"/>
        <v>P00</v>
      </c>
      <c r="AE699" t="str">
        <f t="shared" si="198"/>
        <v>0P0</v>
      </c>
      <c r="AF699" t="str">
        <f t="shared" si="199"/>
        <v>P00</v>
      </c>
      <c r="AG699" t="str">
        <f t="shared" si="205"/>
        <v>0P00</v>
      </c>
      <c r="AH699" t="str">
        <f t="shared" si="206"/>
        <v>P000</v>
      </c>
      <c r="AI699" t="str">
        <f t="shared" si="207"/>
        <v>0P00</v>
      </c>
      <c r="AJ699" t="str">
        <f t="shared" si="208"/>
        <v>P000</v>
      </c>
    </row>
    <row r="700" spans="1:36" x14ac:dyDescent="0.25">
      <c r="A700" s="325" t="str">
        <f>CONCATENATE("P",'906MP'!M400)</f>
        <v>P</v>
      </c>
      <c r="B700">
        <f>'906MP'!H400</f>
        <v>0</v>
      </c>
      <c r="C700">
        <f>'906MP'!J400</f>
        <v>0</v>
      </c>
      <c r="D700">
        <f>'906MP'!P400</f>
        <v>0</v>
      </c>
      <c r="E700">
        <f>'906MP'!X400</f>
        <v>0</v>
      </c>
      <c r="F700" t="str">
        <f t="shared" si="200"/>
        <v>0</v>
      </c>
      <c r="G700" t="str">
        <f t="shared" si="201"/>
        <v>0</v>
      </c>
      <c r="H700">
        <f>'906MP'!Y400</f>
        <v>0</v>
      </c>
      <c r="I700">
        <f>'906MP'!AK400</f>
        <v>0</v>
      </c>
      <c r="J700">
        <f>'906MP'!T400</f>
        <v>0</v>
      </c>
      <c r="K700">
        <f>'906MP'!AJ400</f>
        <v>0</v>
      </c>
      <c r="L700">
        <f>'906MP'!U400</f>
        <v>0</v>
      </c>
      <c r="M700" s="322" t="str">
        <f>IFERROR(VLOOKUP(A700,PAR!$D$3:$E$53,2,FALSE),"nincs szervezet")</f>
        <v>nincs szervezet</v>
      </c>
      <c r="N700" s="322" t="str">
        <f>VLOOKUP(F700,PAR!$R$3:$S$5,2,FALSE)</f>
        <v>3 - egyik sem</v>
      </c>
      <c r="O700" t="str">
        <f>IFERROR(VLOOKUP(J700,PAR!$O$3:$P$5,2,FALSE),"nincs feladat")</f>
        <v>nincs feladat</v>
      </c>
      <c r="P700" t="str">
        <f>IFERROR(VLOOKUP(G700,PAR!$J$2:$M$19,4),"nincs rovat")</f>
        <v>nincs rovat</v>
      </c>
      <c r="Q700" t="str">
        <f>IF(H700&gt;0,VLOOKUP(H700,PAR!$AA$3:$AC$187,3,FALSE),"nincs főkönyvi számla")</f>
        <v>nincs főkönyvi számla</v>
      </c>
      <c r="R700" t="str">
        <f>IFERROR(VLOOKUP(K700,PAR!$V$3:$X$438,3,FALSE),"000000 - Nincs COFOG")</f>
        <v>000000 - Nincs COFOG</v>
      </c>
      <c r="S700">
        <f t="shared" si="202"/>
        <v>0</v>
      </c>
      <c r="T700">
        <f t="shared" si="203"/>
        <v>0</v>
      </c>
      <c r="U700" t="str">
        <f>IF('906MP'!J400&gt;0,CONCATENATE('906MP'!J400," - ",'906MP'!P400,", ",'906MP'!E400),"nincs megjegyzés")</f>
        <v>nincs megjegyzés</v>
      </c>
      <c r="V700" t="str">
        <f t="shared" si="190"/>
        <v>0P0</v>
      </c>
      <c r="W700" t="str">
        <f t="shared" si="191"/>
        <v>0P0</v>
      </c>
      <c r="X700" t="str">
        <f t="shared" si="192"/>
        <v>P0</v>
      </c>
      <c r="Y700" t="str">
        <f t="shared" si="193"/>
        <v>00</v>
      </c>
      <c r="Z700" t="str">
        <f t="shared" si="204"/>
        <v>00</v>
      </c>
      <c r="AA700" t="str">
        <f t="shared" si="194"/>
        <v>00</v>
      </c>
      <c r="AB700" t="str">
        <f t="shared" si="195"/>
        <v>00</v>
      </c>
      <c r="AC700" t="str">
        <f t="shared" si="196"/>
        <v>0P0</v>
      </c>
      <c r="AD700" t="str">
        <f t="shared" si="197"/>
        <v>P00</v>
      </c>
      <c r="AE700" t="str">
        <f t="shared" si="198"/>
        <v>0P0</v>
      </c>
      <c r="AF700" t="str">
        <f t="shared" si="199"/>
        <v>P00</v>
      </c>
      <c r="AG700" t="str">
        <f t="shared" si="205"/>
        <v>0P00</v>
      </c>
      <c r="AH700" t="str">
        <f t="shared" si="206"/>
        <v>P000</v>
      </c>
      <c r="AI700" t="str">
        <f t="shared" si="207"/>
        <v>0P00</v>
      </c>
      <c r="AJ700" t="str">
        <f t="shared" si="208"/>
        <v>P000</v>
      </c>
    </row>
    <row r="701" spans="1:36" x14ac:dyDescent="0.25">
      <c r="A701" s="325" t="str">
        <f>CONCATENATE("P",'906MP'!M401)</f>
        <v>P</v>
      </c>
      <c r="B701">
        <f>'906MP'!H401</f>
        <v>0</v>
      </c>
      <c r="C701">
        <f>'906MP'!J401</f>
        <v>0</v>
      </c>
      <c r="D701">
        <f>'906MP'!P401</f>
        <v>0</v>
      </c>
      <c r="E701">
        <f>'906MP'!X401</f>
        <v>0</v>
      </c>
      <c r="F701" t="str">
        <f t="shared" si="200"/>
        <v>0</v>
      </c>
      <c r="G701" t="str">
        <f t="shared" si="201"/>
        <v>0</v>
      </c>
      <c r="H701">
        <f>'906MP'!Y401</f>
        <v>0</v>
      </c>
      <c r="I701">
        <f>'906MP'!AK401</f>
        <v>0</v>
      </c>
      <c r="J701">
        <f>'906MP'!T401</f>
        <v>0</v>
      </c>
      <c r="K701">
        <f>'906MP'!AJ401</f>
        <v>0</v>
      </c>
      <c r="L701">
        <f>'906MP'!U401</f>
        <v>0</v>
      </c>
      <c r="M701" s="322" t="str">
        <f>IFERROR(VLOOKUP(A701,PAR!$D$3:$E$53,2,FALSE),"nincs szervezet")</f>
        <v>nincs szervezet</v>
      </c>
      <c r="N701" s="322" t="str">
        <f>VLOOKUP(F701,PAR!$R$3:$S$5,2,FALSE)</f>
        <v>3 - egyik sem</v>
      </c>
      <c r="O701" t="str">
        <f>IFERROR(VLOOKUP(J701,PAR!$O$3:$P$5,2,FALSE),"nincs feladat")</f>
        <v>nincs feladat</v>
      </c>
      <c r="P701" t="str">
        <f>IFERROR(VLOOKUP(G701,PAR!$J$2:$M$19,4),"nincs rovat")</f>
        <v>nincs rovat</v>
      </c>
      <c r="Q701" t="str">
        <f>IF(H701&gt;0,VLOOKUP(H701,PAR!$AA$3:$AC$187,3,FALSE),"nincs főkönyvi számla")</f>
        <v>nincs főkönyvi számla</v>
      </c>
      <c r="R701" t="str">
        <f>IFERROR(VLOOKUP(K701,PAR!$V$3:$X$438,3,FALSE),"000000 - Nincs COFOG")</f>
        <v>000000 - Nincs COFOG</v>
      </c>
      <c r="S701">
        <f t="shared" si="202"/>
        <v>0</v>
      </c>
      <c r="T701">
        <f t="shared" si="203"/>
        <v>0</v>
      </c>
      <c r="U701" t="str">
        <f>IF('906MP'!J401&gt;0,CONCATENATE('906MP'!J401," - ",'906MP'!P401,", ",'906MP'!E401),"nincs megjegyzés")</f>
        <v>nincs megjegyzés</v>
      </c>
      <c r="V701" t="str">
        <f t="shared" si="190"/>
        <v>0P0</v>
      </c>
      <c r="W701" t="str">
        <f t="shared" si="191"/>
        <v>0P0</v>
      </c>
      <c r="X701" t="str">
        <f t="shared" si="192"/>
        <v>P0</v>
      </c>
      <c r="Y701" t="str">
        <f t="shared" si="193"/>
        <v>00</v>
      </c>
      <c r="Z701" t="str">
        <f t="shared" si="204"/>
        <v>00</v>
      </c>
      <c r="AA701" t="str">
        <f t="shared" si="194"/>
        <v>00</v>
      </c>
      <c r="AB701" t="str">
        <f t="shared" si="195"/>
        <v>00</v>
      </c>
      <c r="AC701" t="str">
        <f t="shared" si="196"/>
        <v>0P0</v>
      </c>
      <c r="AD701" t="str">
        <f t="shared" si="197"/>
        <v>P00</v>
      </c>
      <c r="AE701" t="str">
        <f t="shared" si="198"/>
        <v>0P0</v>
      </c>
      <c r="AF701" t="str">
        <f t="shared" si="199"/>
        <v>P00</v>
      </c>
      <c r="AG701" t="str">
        <f t="shared" si="205"/>
        <v>0P00</v>
      </c>
      <c r="AH701" t="str">
        <f t="shared" si="206"/>
        <v>P000</v>
      </c>
      <c r="AI701" t="str">
        <f t="shared" si="207"/>
        <v>0P00</v>
      </c>
      <c r="AJ701" t="str">
        <f t="shared" si="208"/>
        <v>P000</v>
      </c>
    </row>
    <row r="702" spans="1:36" x14ac:dyDescent="0.25">
      <c r="A702" s="325" t="str">
        <f>CONCATENATE("P",'906MP'!M402)</f>
        <v>P</v>
      </c>
      <c r="B702">
        <f>'906MP'!H402</f>
        <v>0</v>
      </c>
      <c r="C702">
        <f>'906MP'!J402</f>
        <v>0</v>
      </c>
      <c r="D702">
        <f>'906MP'!P402</f>
        <v>0</v>
      </c>
      <c r="E702">
        <f>'906MP'!X402</f>
        <v>0</v>
      </c>
      <c r="F702" t="str">
        <f t="shared" si="200"/>
        <v>0</v>
      </c>
      <c r="G702" t="str">
        <f t="shared" si="201"/>
        <v>0</v>
      </c>
      <c r="H702">
        <f>'906MP'!Y402</f>
        <v>0</v>
      </c>
      <c r="I702">
        <f>'906MP'!AK402</f>
        <v>0</v>
      </c>
      <c r="J702">
        <f>'906MP'!T402</f>
        <v>0</v>
      </c>
      <c r="K702">
        <f>'906MP'!AJ402</f>
        <v>0</v>
      </c>
      <c r="L702">
        <f>'906MP'!U402</f>
        <v>0</v>
      </c>
      <c r="M702" s="322" t="str">
        <f>IFERROR(VLOOKUP(A702,PAR!$D$3:$E$53,2,FALSE),"nincs szervezet")</f>
        <v>nincs szervezet</v>
      </c>
      <c r="N702" s="322" t="str">
        <f>VLOOKUP(F702,PAR!$R$3:$S$5,2,FALSE)</f>
        <v>3 - egyik sem</v>
      </c>
      <c r="O702" t="str">
        <f>IFERROR(VLOOKUP(J702,PAR!$O$3:$P$5,2,FALSE),"nincs feladat")</f>
        <v>nincs feladat</v>
      </c>
      <c r="P702" t="str">
        <f>IFERROR(VLOOKUP(G702,PAR!$J$2:$M$19,4),"nincs rovat")</f>
        <v>nincs rovat</v>
      </c>
      <c r="Q702" t="str">
        <f>IF(H702&gt;0,VLOOKUP(H702,PAR!$AA$3:$AC$187,3,FALSE),"nincs főkönyvi számla")</f>
        <v>nincs főkönyvi számla</v>
      </c>
      <c r="R702" t="str">
        <f>IFERROR(VLOOKUP(K702,PAR!$V$3:$X$438,3,FALSE),"000000 - Nincs COFOG")</f>
        <v>000000 - Nincs COFOG</v>
      </c>
      <c r="S702">
        <f t="shared" si="202"/>
        <v>0</v>
      </c>
      <c r="T702">
        <f t="shared" si="203"/>
        <v>0</v>
      </c>
      <c r="U702" t="str">
        <f>IF('906MP'!J402&gt;0,CONCATENATE('906MP'!J402," - ",'906MP'!P402,", ",'906MP'!E402),"nincs megjegyzés")</f>
        <v>nincs megjegyzés</v>
      </c>
      <c r="V702" t="str">
        <f t="shared" si="190"/>
        <v>0P0</v>
      </c>
      <c r="W702" t="str">
        <f t="shared" si="191"/>
        <v>0P0</v>
      </c>
      <c r="X702" t="str">
        <f t="shared" si="192"/>
        <v>P0</v>
      </c>
      <c r="Y702" t="str">
        <f t="shared" si="193"/>
        <v>00</v>
      </c>
      <c r="Z702" t="str">
        <f t="shared" si="204"/>
        <v>00</v>
      </c>
      <c r="AA702" t="str">
        <f t="shared" si="194"/>
        <v>00</v>
      </c>
      <c r="AB702" t="str">
        <f t="shared" si="195"/>
        <v>00</v>
      </c>
      <c r="AC702" t="str">
        <f t="shared" si="196"/>
        <v>0P0</v>
      </c>
      <c r="AD702" t="str">
        <f t="shared" si="197"/>
        <v>P00</v>
      </c>
      <c r="AE702" t="str">
        <f t="shared" si="198"/>
        <v>0P0</v>
      </c>
      <c r="AF702" t="str">
        <f t="shared" si="199"/>
        <v>P00</v>
      </c>
      <c r="AG702" t="str">
        <f t="shared" si="205"/>
        <v>0P00</v>
      </c>
      <c r="AH702" t="str">
        <f t="shared" si="206"/>
        <v>P000</v>
      </c>
      <c r="AI702" t="str">
        <f t="shared" si="207"/>
        <v>0P00</v>
      </c>
      <c r="AJ702" t="str">
        <f t="shared" si="208"/>
        <v>P000</v>
      </c>
    </row>
    <row r="703" spans="1:36" x14ac:dyDescent="0.25">
      <c r="A703" s="325" t="str">
        <f>CONCATENATE("P",'906MP'!M403)</f>
        <v>P</v>
      </c>
      <c r="B703">
        <f>'906MP'!H403</f>
        <v>0</v>
      </c>
      <c r="C703">
        <f>'906MP'!J403</f>
        <v>0</v>
      </c>
      <c r="D703">
        <f>'906MP'!P403</f>
        <v>0</v>
      </c>
      <c r="E703">
        <f>'906MP'!X403</f>
        <v>0</v>
      </c>
      <c r="F703" t="str">
        <f t="shared" si="200"/>
        <v>0</v>
      </c>
      <c r="G703" t="str">
        <f t="shared" si="201"/>
        <v>0</v>
      </c>
      <c r="H703">
        <f>'906MP'!Y403</f>
        <v>0</v>
      </c>
      <c r="I703">
        <f>'906MP'!AK403</f>
        <v>0</v>
      </c>
      <c r="J703">
        <f>'906MP'!T403</f>
        <v>0</v>
      </c>
      <c r="K703">
        <f>'906MP'!AJ403</f>
        <v>0</v>
      </c>
      <c r="L703">
        <f>'906MP'!U403</f>
        <v>0</v>
      </c>
      <c r="M703" s="322" t="str">
        <f>IFERROR(VLOOKUP(A703,PAR!$D$3:$E$53,2,FALSE),"nincs szervezet")</f>
        <v>nincs szervezet</v>
      </c>
      <c r="N703" s="322" t="str">
        <f>VLOOKUP(F703,PAR!$R$3:$S$5,2,FALSE)</f>
        <v>3 - egyik sem</v>
      </c>
      <c r="O703" t="str">
        <f>IFERROR(VLOOKUP(J703,PAR!$O$3:$P$5,2,FALSE),"nincs feladat")</f>
        <v>nincs feladat</v>
      </c>
      <c r="P703" t="str">
        <f>IFERROR(VLOOKUP(G703,PAR!$J$2:$M$19,4),"nincs rovat")</f>
        <v>nincs rovat</v>
      </c>
      <c r="Q703" t="str">
        <f>IF(H703&gt;0,VLOOKUP(H703,PAR!$AA$3:$AC$187,3,FALSE),"nincs főkönyvi számla")</f>
        <v>nincs főkönyvi számla</v>
      </c>
      <c r="R703" t="str">
        <f>IFERROR(VLOOKUP(K703,PAR!$V$3:$X$438,3,FALSE),"000000 - Nincs COFOG")</f>
        <v>000000 - Nincs COFOG</v>
      </c>
      <c r="S703">
        <f t="shared" si="202"/>
        <v>0</v>
      </c>
      <c r="T703">
        <f t="shared" si="203"/>
        <v>0</v>
      </c>
      <c r="U703" t="str">
        <f>IF('906MP'!J403&gt;0,CONCATENATE('906MP'!J403," - ",'906MP'!P403,", ",'906MP'!E403),"nincs megjegyzés")</f>
        <v>nincs megjegyzés</v>
      </c>
      <c r="V703" t="str">
        <f t="shared" si="190"/>
        <v>0P0</v>
      </c>
      <c r="W703" t="str">
        <f t="shared" si="191"/>
        <v>0P0</v>
      </c>
      <c r="X703" t="str">
        <f t="shared" si="192"/>
        <v>P0</v>
      </c>
      <c r="Y703" t="str">
        <f t="shared" si="193"/>
        <v>00</v>
      </c>
      <c r="Z703" t="str">
        <f t="shared" si="204"/>
        <v>00</v>
      </c>
      <c r="AA703" t="str">
        <f t="shared" si="194"/>
        <v>00</v>
      </c>
      <c r="AB703" t="str">
        <f t="shared" si="195"/>
        <v>00</v>
      </c>
      <c r="AC703" t="str">
        <f t="shared" si="196"/>
        <v>0P0</v>
      </c>
      <c r="AD703" t="str">
        <f t="shared" si="197"/>
        <v>P00</v>
      </c>
      <c r="AE703" t="str">
        <f t="shared" si="198"/>
        <v>0P0</v>
      </c>
      <c r="AF703" t="str">
        <f t="shared" si="199"/>
        <v>P00</v>
      </c>
      <c r="AG703" t="str">
        <f t="shared" si="205"/>
        <v>0P00</v>
      </c>
      <c r="AH703" t="str">
        <f t="shared" si="206"/>
        <v>P000</v>
      </c>
      <c r="AI703" t="str">
        <f t="shared" si="207"/>
        <v>0P00</v>
      </c>
      <c r="AJ703" t="str">
        <f t="shared" si="208"/>
        <v>P000</v>
      </c>
    </row>
    <row r="704" spans="1:36" x14ac:dyDescent="0.25">
      <c r="A704" s="325" t="str">
        <f>CONCATENATE("P",'906MP'!M404)</f>
        <v>P</v>
      </c>
      <c r="B704">
        <f>'906MP'!H404</f>
        <v>0</v>
      </c>
      <c r="C704">
        <f>'906MP'!J404</f>
        <v>0</v>
      </c>
      <c r="D704">
        <f>'906MP'!P404</f>
        <v>0</v>
      </c>
      <c r="E704">
        <f>'906MP'!X404</f>
        <v>0</v>
      </c>
      <c r="F704" t="str">
        <f t="shared" si="200"/>
        <v>0</v>
      </c>
      <c r="G704" t="str">
        <f t="shared" si="201"/>
        <v>0</v>
      </c>
      <c r="H704">
        <f>'906MP'!Y404</f>
        <v>0</v>
      </c>
      <c r="I704">
        <f>'906MP'!AK404</f>
        <v>0</v>
      </c>
      <c r="J704">
        <f>'906MP'!T404</f>
        <v>0</v>
      </c>
      <c r="K704">
        <f>'906MP'!AJ404</f>
        <v>0</v>
      </c>
      <c r="L704">
        <f>'906MP'!U404</f>
        <v>0</v>
      </c>
      <c r="M704" s="322" t="str">
        <f>IFERROR(VLOOKUP(A704,PAR!$D$3:$E$53,2,FALSE),"nincs szervezet")</f>
        <v>nincs szervezet</v>
      </c>
      <c r="N704" s="322" t="str">
        <f>VLOOKUP(F704,PAR!$R$3:$S$5,2,FALSE)</f>
        <v>3 - egyik sem</v>
      </c>
      <c r="O704" t="str">
        <f>IFERROR(VLOOKUP(J704,PAR!$O$3:$P$5,2,FALSE),"nincs feladat")</f>
        <v>nincs feladat</v>
      </c>
      <c r="P704" t="str">
        <f>IFERROR(VLOOKUP(G704,PAR!$J$2:$M$19,4),"nincs rovat")</f>
        <v>nincs rovat</v>
      </c>
      <c r="Q704" t="str">
        <f>IF(H704&gt;0,VLOOKUP(H704,PAR!$AA$3:$AC$187,3,FALSE),"nincs főkönyvi számla")</f>
        <v>nincs főkönyvi számla</v>
      </c>
      <c r="R704" t="str">
        <f>IFERROR(VLOOKUP(K704,PAR!$V$3:$X$438,3,FALSE),"000000 - Nincs COFOG")</f>
        <v>000000 - Nincs COFOG</v>
      </c>
      <c r="S704">
        <f t="shared" si="202"/>
        <v>0</v>
      </c>
      <c r="T704">
        <f t="shared" si="203"/>
        <v>0</v>
      </c>
      <c r="U704" t="str">
        <f>IF('906MP'!J404&gt;0,CONCATENATE('906MP'!J404," - ",'906MP'!P404,", ",'906MP'!E404),"nincs megjegyzés")</f>
        <v>nincs megjegyzés</v>
      </c>
      <c r="V704" t="str">
        <f t="shared" si="190"/>
        <v>0P0</v>
      </c>
      <c r="W704" t="str">
        <f t="shared" si="191"/>
        <v>0P0</v>
      </c>
      <c r="X704" t="str">
        <f t="shared" si="192"/>
        <v>P0</v>
      </c>
      <c r="Y704" t="str">
        <f t="shared" si="193"/>
        <v>00</v>
      </c>
      <c r="Z704" t="str">
        <f t="shared" si="204"/>
        <v>00</v>
      </c>
      <c r="AA704" t="str">
        <f t="shared" si="194"/>
        <v>00</v>
      </c>
      <c r="AB704" t="str">
        <f t="shared" si="195"/>
        <v>00</v>
      </c>
      <c r="AC704" t="str">
        <f t="shared" si="196"/>
        <v>0P0</v>
      </c>
      <c r="AD704" t="str">
        <f t="shared" si="197"/>
        <v>P00</v>
      </c>
      <c r="AE704" t="str">
        <f t="shared" si="198"/>
        <v>0P0</v>
      </c>
      <c r="AF704" t="str">
        <f t="shared" si="199"/>
        <v>P00</v>
      </c>
      <c r="AG704" t="str">
        <f t="shared" si="205"/>
        <v>0P00</v>
      </c>
      <c r="AH704" t="str">
        <f t="shared" si="206"/>
        <v>P000</v>
      </c>
      <c r="AI704" t="str">
        <f t="shared" si="207"/>
        <v>0P00</v>
      </c>
      <c r="AJ704" t="str">
        <f t="shared" si="208"/>
        <v>P000</v>
      </c>
    </row>
    <row r="705" spans="1:36" x14ac:dyDescent="0.25">
      <c r="A705" s="325" t="str">
        <f>CONCATENATE("P",'906MP'!M405)</f>
        <v>P</v>
      </c>
      <c r="B705">
        <f>'906MP'!H405</f>
        <v>0</v>
      </c>
      <c r="C705">
        <f>'906MP'!J405</f>
        <v>0</v>
      </c>
      <c r="D705">
        <f>'906MP'!P405</f>
        <v>0</v>
      </c>
      <c r="E705">
        <f>'906MP'!X405</f>
        <v>0</v>
      </c>
      <c r="F705" t="str">
        <f t="shared" si="200"/>
        <v>0</v>
      </c>
      <c r="G705" t="str">
        <f t="shared" si="201"/>
        <v>0</v>
      </c>
      <c r="H705">
        <f>'906MP'!Y405</f>
        <v>0</v>
      </c>
      <c r="I705">
        <f>'906MP'!AK405</f>
        <v>0</v>
      </c>
      <c r="J705">
        <f>'906MP'!T405</f>
        <v>0</v>
      </c>
      <c r="K705">
        <f>'906MP'!AJ405</f>
        <v>0</v>
      </c>
      <c r="L705">
        <f>'906MP'!U405</f>
        <v>0</v>
      </c>
      <c r="M705" s="322" t="str">
        <f>IFERROR(VLOOKUP(A705,PAR!$D$3:$E$53,2,FALSE),"nincs szervezet")</f>
        <v>nincs szervezet</v>
      </c>
      <c r="N705" s="322" t="str">
        <f>VLOOKUP(F705,PAR!$R$3:$S$5,2,FALSE)</f>
        <v>3 - egyik sem</v>
      </c>
      <c r="O705" t="str">
        <f>IFERROR(VLOOKUP(J705,PAR!$O$3:$P$5,2,FALSE),"nincs feladat")</f>
        <v>nincs feladat</v>
      </c>
      <c r="P705" t="str">
        <f>IFERROR(VLOOKUP(G705,PAR!$J$2:$M$19,4),"nincs rovat")</f>
        <v>nincs rovat</v>
      </c>
      <c r="Q705" t="str">
        <f>IF(H705&gt;0,VLOOKUP(H705,PAR!$AA$3:$AC$187,3,FALSE),"nincs főkönyvi számla")</f>
        <v>nincs főkönyvi számla</v>
      </c>
      <c r="R705" t="str">
        <f>IFERROR(VLOOKUP(K705,PAR!$V$3:$X$438,3,FALSE),"000000 - Nincs COFOG")</f>
        <v>000000 - Nincs COFOG</v>
      </c>
      <c r="S705">
        <f t="shared" si="202"/>
        <v>0</v>
      </c>
      <c r="T705">
        <f t="shared" si="203"/>
        <v>0</v>
      </c>
      <c r="U705" t="str">
        <f>IF('906MP'!J405&gt;0,CONCATENATE('906MP'!J405," - ",'906MP'!P405,", ",'906MP'!E405),"nincs megjegyzés")</f>
        <v>nincs megjegyzés</v>
      </c>
      <c r="V705" t="str">
        <f t="shared" si="190"/>
        <v>0P0</v>
      </c>
      <c r="W705" t="str">
        <f t="shared" si="191"/>
        <v>0P0</v>
      </c>
      <c r="X705" t="str">
        <f t="shared" si="192"/>
        <v>P0</v>
      </c>
      <c r="Y705" t="str">
        <f t="shared" si="193"/>
        <v>00</v>
      </c>
      <c r="Z705" t="str">
        <f t="shared" si="204"/>
        <v>00</v>
      </c>
      <c r="AA705" t="str">
        <f t="shared" si="194"/>
        <v>00</v>
      </c>
      <c r="AB705" t="str">
        <f t="shared" si="195"/>
        <v>00</v>
      </c>
      <c r="AC705" t="str">
        <f t="shared" si="196"/>
        <v>0P0</v>
      </c>
      <c r="AD705" t="str">
        <f t="shared" si="197"/>
        <v>P00</v>
      </c>
      <c r="AE705" t="str">
        <f t="shared" si="198"/>
        <v>0P0</v>
      </c>
      <c r="AF705" t="str">
        <f t="shared" si="199"/>
        <v>P00</v>
      </c>
      <c r="AG705" t="str">
        <f t="shared" si="205"/>
        <v>0P00</v>
      </c>
      <c r="AH705" t="str">
        <f t="shared" si="206"/>
        <v>P000</v>
      </c>
      <c r="AI705" t="str">
        <f t="shared" si="207"/>
        <v>0P00</v>
      </c>
      <c r="AJ705" t="str">
        <f t="shared" si="208"/>
        <v>P000</v>
      </c>
    </row>
    <row r="706" spans="1:36" x14ac:dyDescent="0.25">
      <c r="A706" s="325" t="str">
        <f>CONCATENATE("P",'906MP'!M406)</f>
        <v>P</v>
      </c>
      <c r="B706">
        <f>'906MP'!H406</f>
        <v>0</v>
      </c>
      <c r="C706">
        <f>'906MP'!J406</f>
        <v>0</v>
      </c>
      <c r="D706">
        <f>'906MP'!P406</f>
        <v>0</v>
      </c>
      <c r="E706">
        <f>'906MP'!X406</f>
        <v>0</v>
      </c>
      <c r="F706" t="str">
        <f t="shared" si="200"/>
        <v>0</v>
      </c>
      <c r="G706" t="str">
        <f t="shared" si="201"/>
        <v>0</v>
      </c>
      <c r="H706">
        <f>'906MP'!Y406</f>
        <v>0</v>
      </c>
      <c r="I706">
        <f>'906MP'!AK406</f>
        <v>0</v>
      </c>
      <c r="J706">
        <f>'906MP'!T406</f>
        <v>0</v>
      </c>
      <c r="K706">
        <f>'906MP'!AJ406</f>
        <v>0</v>
      </c>
      <c r="L706">
        <f>'906MP'!U406</f>
        <v>0</v>
      </c>
      <c r="M706" s="322" t="str">
        <f>IFERROR(VLOOKUP(A706,PAR!$D$3:$E$53,2,FALSE),"nincs szervezet")</f>
        <v>nincs szervezet</v>
      </c>
      <c r="N706" s="322" t="str">
        <f>VLOOKUP(F706,PAR!$R$3:$S$5,2,FALSE)</f>
        <v>3 - egyik sem</v>
      </c>
      <c r="O706" t="str">
        <f>IFERROR(VLOOKUP(J706,PAR!$O$3:$P$5,2,FALSE),"nincs feladat")</f>
        <v>nincs feladat</v>
      </c>
      <c r="P706" t="str">
        <f>IFERROR(VLOOKUP(G706,PAR!$J$2:$M$19,4),"nincs rovat")</f>
        <v>nincs rovat</v>
      </c>
      <c r="Q706" t="str">
        <f>IF(H706&gt;0,VLOOKUP(H706,PAR!$AA$3:$AC$187,3,FALSE),"nincs főkönyvi számla")</f>
        <v>nincs főkönyvi számla</v>
      </c>
      <c r="R706" t="str">
        <f>IFERROR(VLOOKUP(K706,PAR!$V$3:$X$438,3,FALSE),"000000 - Nincs COFOG")</f>
        <v>000000 - Nincs COFOG</v>
      </c>
      <c r="S706">
        <f t="shared" si="202"/>
        <v>0</v>
      </c>
      <c r="T706">
        <f t="shared" si="203"/>
        <v>0</v>
      </c>
      <c r="U706" t="str">
        <f>IF('906MP'!J406&gt;0,CONCATENATE('906MP'!J406," - ",'906MP'!P406,", ",'906MP'!E406),"nincs megjegyzés")</f>
        <v>nincs megjegyzés</v>
      </c>
      <c r="V706" t="str">
        <f t="shared" ref="V706:V769" si="209">CONCATENATE(B706,A706,G706)</f>
        <v>0P0</v>
      </c>
      <c r="W706" t="str">
        <f t="shared" ref="W706:W769" si="210">CONCATENATE(B706,A706,F706)</f>
        <v>0P0</v>
      </c>
      <c r="X706" t="str">
        <f t="shared" ref="X706:X769" si="211">CONCATENATE(A706,H706)</f>
        <v>P0</v>
      </c>
      <c r="Y706" t="str">
        <f t="shared" ref="Y706:Y769" si="212">CONCATENATE(B706,H706)</f>
        <v>00</v>
      </c>
      <c r="Z706" t="str">
        <f t="shared" si="204"/>
        <v>00</v>
      </c>
      <c r="AA706" t="str">
        <f t="shared" ref="AA706:AA769" si="213">CONCATENATE(B706,G706)</f>
        <v>00</v>
      </c>
      <c r="AB706" t="str">
        <f t="shared" ref="AB706:AB769" si="214">CONCATENATE(J706,G706)</f>
        <v>00</v>
      </c>
      <c r="AC706" t="str">
        <f t="shared" ref="AC706:AC769" si="215">CONCATENATE(B706,A706,H706)</f>
        <v>0P0</v>
      </c>
      <c r="AD706" t="str">
        <f t="shared" ref="AD706:AD769" si="216">CONCATENATE(A706,H706,J706)</f>
        <v>P00</v>
      </c>
      <c r="AE706" t="str">
        <f t="shared" ref="AE706:AE769" si="217">CONCATENATE(B706,A706,G706)</f>
        <v>0P0</v>
      </c>
      <c r="AF706" t="str">
        <f t="shared" ref="AF706:AF769" si="218">CONCATENATE(A706,G706,J706)</f>
        <v>P00</v>
      </c>
      <c r="AG706" t="str">
        <f t="shared" si="205"/>
        <v>0P00</v>
      </c>
      <c r="AH706" t="str">
        <f t="shared" si="206"/>
        <v>P000</v>
      </c>
      <c r="AI706" t="str">
        <f t="shared" si="207"/>
        <v>0P00</v>
      </c>
      <c r="AJ706" t="str">
        <f t="shared" si="208"/>
        <v>P000</v>
      </c>
    </row>
    <row r="707" spans="1:36" x14ac:dyDescent="0.25">
      <c r="A707" s="325" t="str">
        <f>CONCATENATE("P",'906MP'!M407)</f>
        <v>P</v>
      </c>
      <c r="B707">
        <f>'906MP'!H407</f>
        <v>0</v>
      </c>
      <c r="C707">
        <f>'906MP'!J407</f>
        <v>0</v>
      </c>
      <c r="D707">
        <f>'906MP'!P407</f>
        <v>0</v>
      </c>
      <c r="E707">
        <f>'906MP'!X407</f>
        <v>0</v>
      </c>
      <c r="F707" t="str">
        <f t="shared" ref="F707:F770" si="219">LEFT(G707,2)</f>
        <v>0</v>
      </c>
      <c r="G707" t="str">
        <f t="shared" ref="G707:G770" si="220">LEFT(H707,3)</f>
        <v>0</v>
      </c>
      <c r="H707">
        <f>'906MP'!Y407</f>
        <v>0</v>
      </c>
      <c r="I707">
        <f>'906MP'!AK407</f>
        <v>0</v>
      </c>
      <c r="J707">
        <f>'906MP'!T407</f>
        <v>0</v>
      </c>
      <c r="K707">
        <f>'906MP'!AJ407</f>
        <v>0</v>
      </c>
      <c r="L707">
        <f>'906MP'!U407</f>
        <v>0</v>
      </c>
      <c r="M707" s="322" t="str">
        <f>IFERROR(VLOOKUP(A707,PAR!$D$3:$E$53,2,FALSE),"nincs szervezet")</f>
        <v>nincs szervezet</v>
      </c>
      <c r="N707" s="322" t="str">
        <f>VLOOKUP(F707,PAR!$R$3:$S$5,2,FALSE)</f>
        <v>3 - egyik sem</v>
      </c>
      <c r="O707" t="str">
        <f>IFERROR(VLOOKUP(J707,PAR!$O$3:$P$5,2,FALSE),"nincs feladat")</f>
        <v>nincs feladat</v>
      </c>
      <c r="P707" t="str">
        <f>IFERROR(VLOOKUP(G707,PAR!$J$2:$M$19,4),"nincs rovat")</f>
        <v>nincs rovat</v>
      </c>
      <c r="Q707" t="str">
        <f>IF(H707&gt;0,VLOOKUP(H707,PAR!$AA$3:$AC$187,3,FALSE),"nincs főkönyvi számla")</f>
        <v>nincs főkönyvi számla</v>
      </c>
      <c r="R707" t="str">
        <f>IFERROR(VLOOKUP(K707,PAR!$V$3:$X$438,3,FALSE),"000000 - Nincs COFOG")</f>
        <v>000000 - Nincs COFOG</v>
      </c>
      <c r="S707">
        <f t="shared" ref="S707:S770" si="221">E707</f>
        <v>0</v>
      </c>
      <c r="T707">
        <f t="shared" ref="T707:T770" si="222">IF(F707="09",E707*-1,E707)</f>
        <v>0</v>
      </c>
      <c r="U707" t="str">
        <f>IF('906MP'!J407&gt;0,CONCATENATE('906MP'!J407," - ",'906MP'!P407,", ",'906MP'!E407),"nincs megjegyzés")</f>
        <v>nincs megjegyzés</v>
      </c>
      <c r="V707" t="str">
        <f t="shared" si="209"/>
        <v>0P0</v>
      </c>
      <c r="W707" t="str">
        <f t="shared" si="210"/>
        <v>0P0</v>
      </c>
      <c r="X707" t="str">
        <f t="shared" si="211"/>
        <v>P0</v>
      </c>
      <c r="Y707" t="str">
        <f t="shared" si="212"/>
        <v>00</v>
      </c>
      <c r="Z707" t="str">
        <f t="shared" ref="Z707:Z770" si="223">CONCATENATE(J707,H707)</f>
        <v>00</v>
      </c>
      <c r="AA707" t="str">
        <f t="shared" si="213"/>
        <v>00</v>
      </c>
      <c r="AB707" t="str">
        <f t="shared" si="214"/>
        <v>00</v>
      </c>
      <c r="AC707" t="str">
        <f t="shared" si="215"/>
        <v>0P0</v>
      </c>
      <c r="AD707" t="str">
        <f t="shared" si="216"/>
        <v>P00</v>
      </c>
      <c r="AE707" t="str">
        <f t="shared" si="217"/>
        <v>0P0</v>
      </c>
      <c r="AF707" t="str">
        <f t="shared" si="218"/>
        <v>P00</v>
      </c>
      <c r="AG707" t="str">
        <f t="shared" ref="AG707:AG770" si="224">CONCATENATE(B707,A707,H707,L707)</f>
        <v>0P00</v>
      </c>
      <c r="AH707" t="str">
        <f t="shared" ref="AH707:AH770" si="225">CONCATENATE(A707,J707,H707,L707)</f>
        <v>P000</v>
      </c>
      <c r="AI707" t="str">
        <f t="shared" ref="AI707:AI770" si="226">CONCATENATE(B707,A707,G707,L707)</f>
        <v>0P00</v>
      </c>
      <c r="AJ707" t="str">
        <f t="shared" ref="AJ707:AJ770" si="227">CONCATENATE(A707,G707,J707,L707)</f>
        <v>P000</v>
      </c>
    </row>
    <row r="708" spans="1:36" x14ac:dyDescent="0.25">
      <c r="A708" s="325" t="str">
        <f>CONCATENATE("P",'906MP'!M408)</f>
        <v>P</v>
      </c>
      <c r="B708">
        <f>'906MP'!H408</f>
        <v>0</v>
      </c>
      <c r="C708">
        <f>'906MP'!J408</f>
        <v>0</v>
      </c>
      <c r="D708">
        <f>'906MP'!P408</f>
        <v>0</v>
      </c>
      <c r="E708">
        <f>'906MP'!X408</f>
        <v>0</v>
      </c>
      <c r="F708" t="str">
        <f t="shared" si="219"/>
        <v>0</v>
      </c>
      <c r="G708" t="str">
        <f t="shared" si="220"/>
        <v>0</v>
      </c>
      <c r="H708">
        <f>'906MP'!Y408</f>
        <v>0</v>
      </c>
      <c r="I708">
        <f>'906MP'!AK408</f>
        <v>0</v>
      </c>
      <c r="J708">
        <f>'906MP'!T408</f>
        <v>0</v>
      </c>
      <c r="K708">
        <f>'906MP'!AJ408</f>
        <v>0</v>
      </c>
      <c r="L708">
        <f>'906MP'!U408</f>
        <v>0</v>
      </c>
      <c r="M708" s="322" t="str">
        <f>IFERROR(VLOOKUP(A708,PAR!$D$3:$E$53,2,FALSE),"nincs szervezet")</f>
        <v>nincs szervezet</v>
      </c>
      <c r="N708" s="322" t="str">
        <f>VLOOKUP(F708,PAR!$R$3:$S$5,2,FALSE)</f>
        <v>3 - egyik sem</v>
      </c>
      <c r="O708" t="str">
        <f>IFERROR(VLOOKUP(J708,PAR!$O$3:$P$5,2,FALSE),"nincs feladat")</f>
        <v>nincs feladat</v>
      </c>
      <c r="P708" t="str">
        <f>IFERROR(VLOOKUP(G708,PAR!$J$2:$M$19,4),"nincs rovat")</f>
        <v>nincs rovat</v>
      </c>
      <c r="Q708" t="str">
        <f>IF(H708&gt;0,VLOOKUP(H708,PAR!$AA$3:$AC$187,3,FALSE),"nincs főkönyvi számla")</f>
        <v>nincs főkönyvi számla</v>
      </c>
      <c r="R708" t="str">
        <f>IFERROR(VLOOKUP(K708,PAR!$V$3:$X$438,3,FALSE),"000000 - Nincs COFOG")</f>
        <v>000000 - Nincs COFOG</v>
      </c>
      <c r="S708">
        <f t="shared" si="221"/>
        <v>0</v>
      </c>
      <c r="T708">
        <f t="shared" si="222"/>
        <v>0</v>
      </c>
      <c r="U708" t="str">
        <f>IF('906MP'!J408&gt;0,CONCATENATE('906MP'!J408," - ",'906MP'!P408,", ",'906MP'!E408),"nincs megjegyzés")</f>
        <v>nincs megjegyzés</v>
      </c>
      <c r="V708" t="str">
        <f t="shared" si="209"/>
        <v>0P0</v>
      </c>
      <c r="W708" t="str">
        <f t="shared" si="210"/>
        <v>0P0</v>
      </c>
      <c r="X708" t="str">
        <f t="shared" si="211"/>
        <v>P0</v>
      </c>
      <c r="Y708" t="str">
        <f t="shared" si="212"/>
        <v>00</v>
      </c>
      <c r="Z708" t="str">
        <f t="shared" si="223"/>
        <v>00</v>
      </c>
      <c r="AA708" t="str">
        <f t="shared" si="213"/>
        <v>00</v>
      </c>
      <c r="AB708" t="str">
        <f t="shared" si="214"/>
        <v>00</v>
      </c>
      <c r="AC708" t="str">
        <f t="shared" si="215"/>
        <v>0P0</v>
      </c>
      <c r="AD708" t="str">
        <f t="shared" si="216"/>
        <v>P00</v>
      </c>
      <c r="AE708" t="str">
        <f t="shared" si="217"/>
        <v>0P0</v>
      </c>
      <c r="AF708" t="str">
        <f t="shared" si="218"/>
        <v>P00</v>
      </c>
      <c r="AG708" t="str">
        <f t="shared" si="224"/>
        <v>0P00</v>
      </c>
      <c r="AH708" t="str">
        <f t="shared" si="225"/>
        <v>P000</v>
      </c>
      <c r="AI708" t="str">
        <f t="shared" si="226"/>
        <v>0P00</v>
      </c>
      <c r="AJ708" t="str">
        <f t="shared" si="227"/>
        <v>P000</v>
      </c>
    </row>
    <row r="709" spans="1:36" x14ac:dyDescent="0.25">
      <c r="A709" s="325" t="str">
        <f>CONCATENATE("P",'906MP'!M409)</f>
        <v>P</v>
      </c>
      <c r="B709">
        <f>'906MP'!H409</f>
        <v>0</v>
      </c>
      <c r="C709">
        <f>'906MP'!J409</f>
        <v>0</v>
      </c>
      <c r="D709">
        <f>'906MP'!P409</f>
        <v>0</v>
      </c>
      <c r="E709">
        <f>'906MP'!X409</f>
        <v>0</v>
      </c>
      <c r="F709" t="str">
        <f t="shared" si="219"/>
        <v>0</v>
      </c>
      <c r="G709" t="str">
        <f t="shared" si="220"/>
        <v>0</v>
      </c>
      <c r="H709">
        <f>'906MP'!Y409</f>
        <v>0</v>
      </c>
      <c r="I709">
        <f>'906MP'!AK409</f>
        <v>0</v>
      </c>
      <c r="J709">
        <f>'906MP'!T409</f>
        <v>0</v>
      </c>
      <c r="K709">
        <f>'906MP'!AJ409</f>
        <v>0</v>
      </c>
      <c r="L709">
        <f>'906MP'!U409</f>
        <v>0</v>
      </c>
      <c r="M709" s="322" t="str">
        <f>IFERROR(VLOOKUP(A709,PAR!$D$3:$E$53,2,FALSE),"nincs szervezet")</f>
        <v>nincs szervezet</v>
      </c>
      <c r="N709" s="322" t="str">
        <f>VLOOKUP(F709,PAR!$R$3:$S$5,2,FALSE)</f>
        <v>3 - egyik sem</v>
      </c>
      <c r="O709" t="str">
        <f>IFERROR(VLOOKUP(J709,PAR!$O$3:$P$5,2,FALSE),"nincs feladat")</f>
        <v>nincs feladat</v>
      </c>
      <c r="P709" t="str">
        <f>IFERROR(VLOOKUP(G709,PAR!$J$2:$M$19,4),"nincs rovat")</f>
        <v>nincs rovat</v>
      </c>
      <c r="Q709" t="str">
        <f>IF(H709&gt;0,VLOOKUP(H709,PAR!$AA$3:$AC$187,3,FALSE),"nincs főkönyvi számla")</f>
        <v>nincs főkönyvi számla</v>
      </c>
      <c r="R709" t="str">
        <f>IFERROR(VLOOKUP(K709,PAR!$V$3:$X$438,3,FALSE),"000000 - Nincs COFOG")</f>
        <v>000000 - Nincs COFOG</v>
      </c>
      <c r="S709">
        <f t="shared" si="221"/>
        <v>0</v>
      </c>
      <c r="T709">
        <f t="shared" si="222"/>
        <v>0</v>
      </c>
      <c r="U709" t="str">
        <f>IF('906MP'!J409&gt;0,CONCATENATE('906MP'!J409," - ",'906MP'!P409,", ",'906MP'!E409),"nincs megjegyzés")</f>
        <v>nincs megjegyzés</v>
      </c>
      <c r="V709" t="str">
        <f t="shared" si="209"/>
        <v>0P0</v>
      </c>
      <c r="W709" t="str">
        <f t="shared" si="210"/>
        <v>0P0</v>
      </c>
      <c r="X709" t="str">
        <f t="shared" si="211"/>
        <v>P0</v>
      </c>
      <c r="Y709" t="str">
        <f t="shared" si="212"/>
        <v>00</v>
      </c>
      <c r="Z709" t="str">
        <f t="shared" si="223"/>
        <v>00</v>
      </c>
      <c r="AA709" t="str">
        <f t="shared" si="213"/>
        <v>00</v>
      </c>
      <c r="AB709" t="str">
        <f t="shared" si="214"/>
        <v>00</v>
      </c>
      <c r="AC709" t="str">
        <f t="shared" si="215"/>
        <v>0P0</v>
      </c>
      <c r="AD709" t="str">
        <f t="shared" si="216"/>
        <v>P00</v>
      </c>
      <c r="AE709" t="str">
        <f t="shared" si="217"/>
        <v>0P0</v>
      </c>
      <c r="AF709" t="str">
        <f t="shared" si="218"/>
        <v>P00</v>
      </c>
      <c r="AG709" t="str">
        <f t="shared" si="224"/>
        <v>0P00</v>
      </c>
      <c r="AH709" t="str">
        <f t="shared" si="225"/>
        <v>P000</v>
      </c>
      <c r="AI709" t="str">
        <f t="shared" si="226"/>
        <v>0P00</v>
      </c>
      <c r="AJ709" t="str">
        <f t="shared" si="227"/>
        <v>P000</v>
      </c>
    </row>
    <row r="710" spans="1:36" x14ac:dyDescent="0.25">
      <c r="A710" s="325" t="str">
        <f>CONCATENATE("P",'906MP'!M410)</f>
        <v>P</v>
      </c>
      <c r="B710">
        <f>'906MP'!H410</f>
        <v>0</v>
      </c>
      <c r="C710">
        <f>'906MP'!J410</f>
        <v>0</v>
      </c>
      <c r="D710">
        <f>'906MP'!P410</f>
        <v>0</v>
      </c>
      <c r="E710">
        <f>'906MP'!X410</f>
        <v>0</v>
      </c>
      <c r="F710" t="str">
        <f t="shared" si="219"/>
        <v>0</v>
      </c>
      <c r="G710" t="str">
        <f t="shared" si="220"/>
        <v>0</v>
      </c>
      <c r="H710">
        <f>'906MP'!Y410</f>
        <v>0</v>
      </c>
      <c r="I710">
        <f>'906MP'!AK410</f>
        <v>0</v>
      </c>
      <c r="J710">
        <f>'906MP'!T410</f>
        <v>0</v>
      </c>
      <c r="K710">
        <f>'906MP'!AJ410</f>
        <v>0</v>
      </c>
      <c r="L710">
        <f>'906MP'!U410</f>
        <v>0</v>
      </c>
      <c r="M710" s="322" t="str">
        <f>IFERROR(VLOOKUP(A710,PAR!$D$3:$E$53,2,FALSE),"nincs szervezet")</f>
        <v>nincs szervezet</v>
      </c>
      <c r="N710" s="322" t="str">
        <f>VLOOKUP(F710,PAR!$R$3:$S$5,2,FALSE)</f>
        <v>3 - egyik sem</v>
      </c>
      <c r="O710" t="str">
        <f>IFERROR(VLOOKUP(J710,PAR!$O$3:$P$5,2,FALSE),"nincs feladat")</f>
        <v>nincs feladat</v>
      </c>
      <c r="P710" t="str">
        <f>IFERROR(VLOOKUP(G710,PAR!$J$2:$M$19,4),"nincs rovat")</f>
        <v>nincs rovat</v>
      </c>
      <c r="Q710" t="str">
        <f>IF(H710&gt;0,VLOOKUP(H710,PAR!$AA$3:$AC$187,3,FALSE),"nincs főkönyvi számla")</f>
        <v>nincs főkönyvi számla</v>
      </c>
      <c r="R710" t="str">
        <f>IFERROR(VLOOKUP(K710,PAR!$V$3:$X$438,3,FALSE),"000000 - Nincs COFOG")</f>
        <v>000000 - Nincs COFOG</v>
      </c>
      <c r="S710">
        <f t="shared" si="221"/>
        <v>0</v>
      </c>
      <c r="T710">
        <f t="shared" si="222"/>
        <v>0</v>
      </c>
      <c r="U710" t="str">
        <f>IF('906MP'!J410&gt;0,CONCATENATE('906MP'!J410," - ",'906MP'!P410,", ",'906MP'!E410),"nincs megjegyzés")</f>
        <v>nincs megjegyzés</v>
      </c>
      <c r="V710" t="str">
        <f t="shared" si="209"/>
        <v>0P0</v>
      </c>
      <c r="W710" t="str">
        <f t="shared" si="210"/>
        <v>0P0</v>
      </c>
      <c r="X710" t="str">
        <f t="shared" si="211"/>
        <v>P0</v>
      </c>
      <c r="Y710" t="str">
        <f t="shared" si="212"/>
        <v>00</v>
      </c>
      <c r="Z710" t="str">
        <f t="shared" si="223"/>
        <v>00</v>
      </c>
      <c r="AA710" t="str">
        <f t="shared" si="213"/>
        <v>00</v>
      </c>
      <c r="AB710" t="str">
        <f t="shared" si="214"/>
        <v>00</v>
      </c>
      <c r="AC710" t="str">
        <f t="shared" si="215"/>
        <v>0P0</v>
      </c>
      <c r="AD710" t="str">
        <f t="shared" si="216"/>
        <v>P00</v>
      </c>
      <c r="AE710" t="str">
        <f t="shared" si="217"/>
        <v>0P0</v>
      </c>
      <c r="AF710" t="str">
        <f t="shared" si="218"/>
        <v>P00</v>
      </c>
      <c r="AG710" t="str">
        <f t="shared" si="224"/>
        <v>0P00</v>
      </c>
      <c r="AH710" t="str">
        <f t="shared" si="225"/>
        <v>P000</v>
      </c>
      <c r="AI710" t="str">
        <f t="shared" si="226"/>
        <v>0P00</v>
      </c>
      <c r="AJ710" t="str">
        <f t="shared" si="227"/>
        <v>P000</v>
      </c>
    </row>
    <row r="711" spans="1:36" x14ac:dyDescent="0.25">
      <c r="A711" s="325" t="str">
        <f>CONCATENATE("P",'906MP'!M411)</f>
        <v>P</v>
      </c>
      <c r="B711">
        <f>'906MP'!H411</f>
        <v>0</v>
      </c>
      <c r="C711">
        <f>'906MP'!J411</f>
        <v>0</v>
      </c>
      <c r="D711">
        <f>'906MP'!P411</f>
        <v>0</v>
      </c>
      <c r="E711">
        <f>'906MP'!X411</f>
        <v>0</v>
      </c>
      <c r="F711" t="str">
        <f t="shared" si="219"/>
        <v>0</v>
      </c>
      <c r="G711" t="str">
        <f t="shared" si="220"/>
        <v>0</v>
      </c>
      <c r="H711">
        <f>'906MP'!Y411</f>
        <v>0</v>
      </c>
      <c r="I711">
        <f>'906MP'!AK411</f>
        <v>0</v>
      </c>
      <c r="J711">
        <f>'906MP'!T411</f>
        <v>0</v>
      </c>
      <c r="K711">
        <f>'906MP'!AJ411</f>
        <v>0</v>
      </c>
      <c r="L711">
        <f>'906MP'!U411</f>
        <v>0</v>
      </c>
      <c r="M711" s="322" t="str">
        <f>IFERROR(VLOOKUP(A711,PAR!$D$3:$E$53,2,FALSE),"nincs szervezet")</f>
        <v>nincs szervezet</v>
      </c>
      <c r="N711" s="322" t="str">
        <f>VLOOKUP(F711,PAR!$R$3:$S$5,2,FALSE)</f>
        <v>3 - egyik sem</v>
      </c>
      <c r="O711" t="str">
        <f>IFERROR(VLOOKUP(J711,PAR!$O$3:$P$5,2,FALSE),"nincs feladat")</f>
        <v>nincs feladat</v>
      </c>
      <c r="P711" t="str">
        <f>IFERROR(VLOOKUP(G711,PAR!$J$2:$M$19,4),"nincs rovat")</f>
        <v>nincs rovat</v>
      </c>
      <c r="Q711" t="str">
        <f>IF(H711&gt;0,VLOOKUP(H711,PAR!$AA$3:$AC$187,3,FALSE),"nincs főkönyvi számla")</f>
        <v>nincs főkönyvi számla</v>
      </c>
      <c r="R711" t="str">
        <f>IFERROR(VLOOKUP(K711,PAR!$V$3:$X$438,3,FALSE),"000000 - Nincs COFOG")</f>
        <v>000000 - Nincs COFOG</v>
      </c>
      <c r="S711">
        <f t="shared" si="221"/>
        <v>0</v>
      </c>
      <c r="T711">
        <f t="shared" si="222"/>
        <v>0</v>
      </c>
      <c r="U711" t="str">
        <f>IF('906MP'!J411&gt;0,CONCATENATE('906MP'!J411," - ",'906MP'!P411,", ",'906MP'!E411),"nincs megjegyzés")</f>
        <v>nincs megjegyzés</v>
      </c>
      <c r="V711" t="str">
        <f t="shared" si="209"/>
        <v>0P0</v>
      </c>
      <c r="W711" t="str">
        <f t="shared" si="210"/>
        <v>0P0</v>
      </c>
      <c r="X711" t="str">
        <f t="shared" si="211"/>
        <v>P0</v>
      </c>
      <c r="Y711" t="str">
        <f t="shared" si="212"/>
        <v>00</v>
      </c>
      <c r="Z711" t="str">
        <f t="shared" si="223"/>
        <v>00</v>
      </c>
      <c r="AA711" t="str">
        <f t="shared" si="213"/>
        <v>00</v>
      </c>
      <c r="AB711" t="str">
        <f t="shared" si="214"/>
        <v>00</v>
      </c>
      <c r="AC711" t="str">
        <f t="shared" si="215"/>
        <v>0P0</v>
      </c>
      <c r="AD711" t="str">
        <f t="shared" si="216"/>
        <v>P00</v>
      </c>
      <c r="AE711" t="str">
        <f t="shared" si="217"/>
        <v>0P0</v>
      </c>
      <c r="AF711" t="str">
        <f t="shared" si="218"/>
        <v>P00</v>
      </c>
      <c r="AG711" t="str">
        <f t="shared" si="224"/>
        <v>0P00</v>
      </c>
      <c r="AH711" t="str">
        <f t="shared" si="225"/>
        <v>P000</v>
      </c>
      <c r="AI711" t="str">
        <f t="shared" si="226"/>
        <v>0P00</v>
      </c>
      <c r="AJ711" t="str">
        <f t="shared" si="227"/>
        <v>P000</v>
      </c>
    </row>
    <row r="712" spans="1:36" x14ac:dyDescent="0.25">
      <c r="A712" s="325" t="str">
        <f>CONCATENATE("P",'906MP'!M412)</f>
        <v>P</v>
      </c>
      <c r="B712">
        <f>'906MP'!H412</f>
        <v>0</v>
      </c>
      <c r="C712">
        <f>'906MP'!J412</f>
        <v>0</v>
      </c>
      <c r="D712">
        <f>'906MP'!P412</f>
        <v>0</v>
      </c>
      <c r="E712">
        <f>'906MP'!X412</f>
        <v>0</v>
      </c>
      <c r="F712" t="str">
        <f t="shared" si="219"/>
        <v>0</v>
      </c>
      <c r="G712" t="str">
        <f t="shared" si="220"/>
        <v>0</v>
      </c>
      <c r="H712">
        <f>'906MP'!Y412</f>
        <v>0</v>
      </c>
      <c r="I712">
        <f>'906MP'!AK412</f>
        <v>0</v>
      </c>
      <c r="J712">
        <f>'906MP'!T412</f>
        <v>0</v>
      </c>
      <c r="K712">
        <f>'906MP'!AJ412</f>
        <v>0</v>
      </c>
      <c r="L712">
        <f>'906MP'!U412</f>
        <v>0</v>
      </c>
      <c r="M712" s="322" t="str">
        <f>IFERROR(VLOOKUP(A712,PAR!$D$3:$E$53,2,FALSE),"nincs szervezet")</f>
        <v>nincs szervezet</v>
      </c>
      <c r="N712" s="322" t="str">
        <f>VLOOKUP(F712,PAR!$R$3:$S$5,2,FALSE)</f>
        <v>3 - egyik sem</v>
      </c>
      <c r="O712" t="str">
        <f>IFERROR(VLOOKUP(J712,PAR!$O$3:$P$5,2,FALSE),"nincs feladat")</f>
        <v>nincs feladat</v>
      </c>
      <c r="P712" t="str">
        <f>IFERROR(VLOOKUP(G712,PAR!$J$2:$M$19,4),"nincs rovat")</f>
        <v>nincs rovat</v>
      </c>
      <c r="Q712" t="str">
        <f>IF(H712&gt;0,VLOOKUP(H712,PAR!$AA$3:$AC$187,3,FALSE),"nincs főkönyvi számla")</f>
        <v>nincs főkönyvi számla</v>
      </c>
      <c r="R712" t="str">
        <f>IFERROR(VLOOKUP(K712,PAR!$V$3:$X$438,3,FALSE),"000000 - Nincs COFOG")</f>
        <v>000000 - Nincs COFOG</v>
      </c>
      <c r="S712">
        <f t="shared" si="221"/>
        <v>0</v>
      </c>
      <c r="T712">
        <f t="shared" si="222"/>
        <v>0</v>
      </c>
      <c r="U712" t="str">
        <f>IF('906MP'!J412&gt;0,CONCATENATE('906MP'!J412," - ",'906MP'!P412,", ",'906MP'!E412),"nincs megjegyzés")</f>
        <v>nincs megjegyzés</v>
      </c>
      <c r="V712" t="str">
        <f t="shared" si="209"/>
        <v>0P0</v>
      </c>
      <c r="W712" t="str">
        <f t="shared" si="210"/>
        <v>0P0</v>
      </c>
      <c r="X712" t="str">
        <f t="shared" si="211"/>
        <v>P0</v>
      </c>
      <c r="Y712" t="str">
        <f t="shared" si="212"/>
        <v>00</v>
      </c>
      <c r="Z712" t="str">
        <f t="shared" si="223"/>
        <v>00</v>
      </c>
      <c r="AA712" t="str">
        <f t="shared" si="213"/>
        <v>00</v>
      </c>
      <c r="AB712" t="str">
        <f t="shared" si="214"/>
        <v>00</v>
      </c>
      <c r="AC712" t="str">
        <f t="shared" si="215"/>
        <v>0P0</v>
      </c>
      <c r="AD712" t="str">
        <f t="shared" si="216"/>
        <v>P00</v>
      </c>
      <c r="AE712" t="str">
        <f t="shared" si="217"/>
        <v>0P0</v>
      </c>
      <c r="AF712" t="str">
        <f t="shared" si="218"/>
        <v>P00</v>
      </c>
      <c r="AG712" t="str">
        <f t="shared" si="224"/>
        <v>0P00</v>
      </c>
      <c r="AH712" t="str">
        <f t="shared" si="225"/>
        <v>P000</v>
      </c>
      <c r="AI712" t="str">
        <f t="shared" si="226"/>
        <v>0P00</v>
      </c>
      <c r="AJ712" t="str">
        <f t="shared" si="227"/>
        <v>P000</v>
      </c>
    </row>
    <row r="713" spans="1:36" x14ac:dyDescent="0.25">
      <c r="A713" s="325" t="str">
        <f>CONCATENATE("P",'906MP'!M413)</f>
        <v>P</v>
      </c>
      <c r="B713">
        <f>'906MP'!H413</f>
        <v>0</v>
      </c>
      <c r="C713">
        <f>'906MP'!J413</f>
        <v>0</v>
      </c>
      <c r="D713">
        <f>'906MP'!P413</f>
        <v>0</v>
      </c>
      <c r="E713">
        <f>'906MP'!X413</f>
        <v>0</v>
      </c>
      <c r="F713" t="str">
        <f t="shared" si="219"/>
        <v>0</v>
      </c>
      <c r="G713" t="str">
        <f t="shared" si="220"/>
        <v>0</v>
      </c>
      <c r="H713">
        <f>'906MP'!Y413</f>
        <v>0</v>
      </c>
      <c r="I713">
        <f>'906MP'!AK413</f>
        <v>0</v>
      </c>
      <c r="J713">
        <f>'906MP'!T413</f>
        <v>0</v>
      </c>
      <c r="K713">
        <f>'906MP'!AJ413</f>
        <v>0</v>
      </c>
      <c r="L713">
        <f>'906MP'!U413</f>
        <v>0</v>
      </c>
      <c r="M713" s="322" t="str">
        <f>IFERROR(VLOOKUP(A713,PAR!$D$3:$E$53,2,FALSE),"nincs szervezet")</f>
        <v>nincs szervezet</v>
      </c>
      <c r="N713" s="322" t="str">
        <f>VLOOKUP(F713,PAR!$R$3:$S$5,2,FALSE)</f>
        <v>3 - egyik sem</v>
      </c>
      <c r="O713" t="str">
        <f>IFERROR(VLOOKUP(J713,PAR!$O$3:$P$5,2,FALSE),"nincs feladat")</f>
        <v>nincs feladat</v>
      </c>
      <c r="P713" t="str">
        <f>IFERROR(VLOOKUP(G713,PAR!$J$2:$M$19,4),"nincs rovat")</f>
        <v>nincs rovat</v>
      </c>
      <c r="Q713" t="str">
        <f>IF(H713&gt;0,VLOOKUP(H713,PAR!$AA$3:$AC$187,3,FALSE),"nincs főkönyvi számla")</f>
        <v>nincs főkönyvi számla</v>
      </c>
      <c r="R713" t="str">
        <f>IFERROR(VLOOKUP(K713,PAR!$V$3:$X$438,3,FALSE),"000000 - Nincs COFOG")</f>
        <v>000000 - Nincs COFOG</v>
      </c>
      <c r="S713">
        <f t="shared" si="221"/>
        <v>0</v>
      </c>
      <c r="T713">
        <f t="shared" si="222"/>
        <v>0</v>
      </c>
      <c r="U713" t="str">
        <f>IF('906MP'!J413&gt;0,CONCATENATE('906MP'!J413," - ",'906MP'!P413,", ",'906MP'!E413),"nincs megjegyzés")</f>
        <v>nincs megjegyzés</v>
      </c>
      <c r="V713" t="str">
        <f t="shared" si="209"/>
        <v>0P0</v>
      </c>
      <c r="W713" t="str">
        <f t="shared" si="210"/>
        <v>0P0</v>
      </c>
      <c r="X713" t="str">
        <f t="shared" si="211"/>
        <v>P0</v>
      </c>
      <c r="Y713" t="str">
        <f t="shared" si="212"/>
        <v>00</v>
      </c>
      <c r="Z713" t="str">
        <f t="shared" si="223"/>
        <v>00</v>
      </c>
      <c r="AA713" t="str">
        <f t="shared" si="213"/>
        <v>00</v>
      </c>
      <c r="AB713" t="str">
        <f t="shared" si="214"/>
        <v>00</v>
      </c>
      <c r="AC713" t="str">
        <f t="shared" si="215"/>
        <v>0P0</v>
      </c>
      <c r="AD713" t="str">
        <f t="shared" si="216"/>
        <v>P00</v>
      </c>
      <c r="AE713" t="str">
        <f t="shared" si="217"/>
        <v>0P0</v>
      </c>
      <c r="AF713" t="str">
        <f t="shared" si="218"/>
        <v>P00</v>
      </c>
      <c r="AG713" t="str">
        <f t="shared" si="224"/>
        <v>0P00</v>
      </c>
      <c r="AH713" t="str">
        <f t="shared" si="225"/>
        <v>P000</v>
      </c>
      <c r="AI713" t="str">
        <f t="shared" si="226"/>
        <v>0P00</v>
      </c>
      <c r="AJ713" t="str">
        <f t="shared" si="227"/>
        <v>P000</v>
      </c>
    </row>
    <row r="714" spans="1:36" x14ac:dyDescent="0.25">
      <c r="A714" s="325" t="str">
        <f>CONCATENATE("P",'906MP'!M414)</f>
        <v>P</v>
      </c>
      <c r="B714">
        <f>'906MP'!H414</f>
        <v>0</v>
      </c>
      <c r="C714">
        <f>'906MP'!J414</f>
        <v>0</v>
      </c>
      <c r="D714">
        <f>'906MP'!P414</f>
        <v>0</v>
      </c>
      <c r="E714">
        <f>'906MP'!X414</f>
        <v>0</v>
      </c>
      <c r="F714" t="str">
        <f t="shared" si="219"/>
        <v>0</v>
      </c>
      <c r="G714" t="str">
        <f t="shared" si="220"/>
        <v>0</v>
      </c>
      <c r="H714">
        <f>'906MP'!Y414</f>
        <v>0</v>
      </c>
      <c r="I714">
        <f>'906MP'!AK414</f>
        <v>0</v>
      </c>
      <c r="J714">
        <f>'906MP'!T414</f>
        <v>0</v>
      </c>
      <c r="K714">
        <f>'906MP'!AJ414</f>
        <v>0</v>
      </c>
      <c r="L714">
        <f>'906MP'!U414</f>
        <v>0</v>
      </c>
      <c r="M714" s="322" t="str">
        <f>IFERROR(VLOOKUP(A714,PAR!$D$3:$E$53,2,FALSE),"nincs szervezet")</f>
        <v>nincs szervezet</v>
      </c>
      <c r="N714" s="322" t="str">
        <f>VLOOKUP(F714,PAR!$R$3:$S$5,2,FALSE)</f>
        <v>3 - egyik sem</v>
      </c>
      <c r="O714" t="str">
        <f>IFERROR(VLOOKUP(J714,PAR!$O$3:$P$5,2,FALSE),"nincs feladat")</f>
        <v>nincs feladat</v>
      </c>
      <c r="P714" t="str">
        <f>IFERROR(VLOOKUP(G714,PAR!$J$2:$M$19,4),"nincs rovat")</f>
        <v>nincs rovat</v>
      </c>
      <c r="Q714" t="str">
        <f>IF(H714&gt;0,VLOOKUP(H714,PAR!$AA$3:$AC$187,3,FALSE),"nincs főkönyvi számla")</f>
        <v>nincs főkönyvi számla</v>
      </c>
      <c r="R714" t="str">
        <f>IFERROR(VLOOKUP(K714,PAR!$V$3:$X$438,3,FALSE),"000000 - Nincs COFOG")</f>
        <v>000000 - Nincs COFOG</v>
      </c>
      <c r="S714">
        <f t="shared" si="221"/>
        <v>0</v>
      </c>
      <c r="T714">
        <f t="shared" si="222"/>
        <v>0</v>
      </c>
      <c r="U714" t="str">
        <f>IF('906MP'!J414&gt;0,CONCATENATE('906MP'!J414," - ",'906MP'!P414,", ",'906MP'!E414),"nincs megjegyzés")</f>
        <v>nincs megjegyzés</v>
      </c>
      <c r="V714" t="str">
        <f t="shared" si="209"/>
        <v>0P0</v>
      </c>
      <c r="W714" t="str">
        <f t="shared" si="210"/>
        <v>0P0</v>
      </c>
      <c r="X714" t="str">
        <f t="shared" si="211"/>
        <v>P0</v>
      </c>
      <c r="Y714" t="str">
        <f t="shared" si="212"/>
        <v>00</v>
      </c>
      <c r="Z714" t="str">
        <f t="shared" si="223"/>
        <v>00</v>
      </c>
      <c r="AA714" t="str">
        <f t="shared" si="213"/>
        <v>00</v>
      </c>
      <c r="AB714" t="str">
        <f t="shared" si="214"/>
        <v>00</v>
      </c>
      <c r="AC714" t="str">
        <f t="shared" si="215"/>
        <v>0P0</v>
      </c>
      <c r="AD714" t="str">
        <f t="shared" si="216"/>
        <v>P00</v>
      </c>
      <c r="AE714" t="str">
        <f t="shared" si="217"/>
        <v>0P0</v>
      </c>
      <c r="AF714" t="str">
        <f t="shared" si="218"/>
        <v>P00</v>
      </c>
      <c r="AG714" t="str">
        <f t="shared" si="224"/>
        <v>0P00</v>
      </c>
      <c r="AH714" t="str">
        <f t="shared" si="225"/>
        <v>P000</v>
      </c>
      <c r="AI714" t="str">
        <f t="shared" si="226"/>
        <v>0P00</v>
      </c>
      <c r="AJ714" t="str">
        <f t="shared" si="227"/>
        <v>P000</v>
      </c>
    </row>
    <row r="715" spans="1:36" x14ac:dyDescent="0.25">
      <c r="A715" s="325" t="str">
        <f>CONCATENATE("P",'906MP'!M415)</f>
        <v>P</v>
      </c>
      <c r="B715">
        <f>'906MP'!H415</f>
        <v>0</v>
      </c>
      <c r="C715">
        <f>'906MP'!J415</f>
        <v>0</v>
      </c>
      <c r="D715">
        <f>'906MP'!P415</f>
        <v>0</v>
      </c>
      <c r="E715">
        <f>'906MP'!X415</f>
        <v>0</v>
      </c>
      <c r="F715" t="str">
        <f t="shared" si="219"/>
        <v>0</v>
      </c>
      <c r="G715" t="str">
        <f t="shared" si="220"/>
        <v>0</v>
      </c>
      <c r="H715">
        <f>'906MP'!Y415</f>
        <v>0</v>
      </c>
      <c r="I715">
        <f>'906MP'!AK415</f>
        <v>0</v>
      </c>
      <c r="J715">
        <f>'906MP'!T415</f>
        <v>0</v>
      </c>
      <c r="K715">
        <f>'906MP'!AJ415</f>
        <v>0</v>
      </c>
      <c r="L715">
        <f>'906MP'!U415</f>
        <v>0</v>
      </c>
      <c r="M715" s="322" t="str">
        <f>IFERROR(VLOOKUP(A715,PAR!$D$3:$E$53,2,FALSE),"nincs szervezet")</f>
        <v>nincs szervezet</v>
      </c>
      <c r="N715" s="322" t="str">
        <f>VLOOKUP(F715,PAR!$R$3:$S$5,2,FALSE)</f>
        <v>3 - egyik sem</v>
      </c>
      <c r="O715" t="str">
        <f>IFERROR(VLOOKUP(J715,PAR!$O$3:$P$5,2,FALSE),"nincs feladat")</f>
        <v>nincs feladat</v>
      </c>
      <c r="P715" t="str">
        <f>IFERROR(VLOOKUP(G715,PAR!$J$2:$M$19,4),"nincs rovat")</f>
        <v>nincs rovat</v>
      </c>
      <c r="Q715" t="str">
        <f>IF(H715&gt;0,VLOOKUP(H715,PAR!$AA$3:$AC$187,3,FALSE),"nincs főkönyvi számla")</f>
        <v>nincs főkönyvi számla</v>
      </c>
      <c r="R715" t="str">
        <f>IFERROR(VLOOKUP(K715,PAR!$V$3:$X$438,3,FALSE),"000000 - Nincs COFOG")</f>
        <v>000000 - Nincs COFOG</v>
      </c>
      <c r="S715">
        <f t="shared" si="221"/>
        <v>0</v>
      </c>
      <c r="T715">
        <f t="shared" si="222"/>
        <v>0</v>
      </c>
      <c r="U715" t="str">
        <f>IF('906MP'!J415&gt;0,CONCATENATE('906MP'!J415," - ",'906MP'!P415,", ",'906MP'!E415),"nincs megjegyzés")</f>
        <v>nincs megjegyzés</v>
      </c>
      <c r="V715" t="str">
        <f t="shared" si="209"/>
        <v>0P0</v>
      </c>
      <c r="W715" t="str">
        <f t="shared" si="210"/>
        <v>0P0</v>
      </c>
      <c r="X715" t="str">
        <f t="shared" si="211"/>
        <v>P0</v>
      </c>
      <c r="Y715" t="str">
        <f t="shared" si="212"/>
        <v>00</v>
      </c>
      <c r="Z715" t="str">
        <f t="shared" si="223"/>
        <v>00</v>
      </c>
      <c r="AA715" t="str">
        <f t="shared" si="213"/>
        <v>00</v>
      </c>
      <c r="AB715" t="str">
        <f t="shared" si="214"/>
        <v>00</v>
      </c>
      <c r="AC715" t="str">
        <f t="shared" si="215"/>
        <v>0P0</v>
      </c>
      <c r="AD715" t="str">
        <f t="shared" si="216"/>
        <v>P00</v>
      </c>
      <c r="AE715" t="str">
        <f t="shared" si="217"/>
        <v>0P0</v>
      </c>
      <c r="AF715" t="str">
        <f t="shared" si="218"/>
        <v>P00</v>
      </c>
      <c r="AG715" t="str">
        <f t="shared" si="224"/>
        <v>0P00</v>
      </c>
      <c r="AH715" t="str">
        <f t="shared" si="225"/>
        <v>P000</v>
      </c>
      <c r="AI715" t="str">
        <f t="shared" si="226"/>
        <v>0P00</v>
      </c>
      <c r="AJ715" t="str">
        <f t="shared" si="227"/>
        <v>P000</v>
      </c>
    </row>
    <row r="716" spans="1:36" x14ac:dyDescent="0.25">
      <c r="A716" s="325" t="str">
        <f>CONCATENATE("P",'906MP'!M416)</f>
        <v>P</v>
      </c>
      <c r="B716">
        <f>'906MP'!H416</f>
        <v>0</v>
      </c>
      <c r="C716">
        <f>'906MP'!J416</f>
        <v>0</v>
      </c>
      <c r="D716">
        <f>'906MP'!P416</f>
        <v>0</v>
      </c>
      <c r="E716">
        <f>'906MP'!X416</f>
        <v>0</v>
      </c>
      <c r="F716" t="str">
        <f t="shared" si="219"/>
        <v>0</v>
      </c>
      <c r="G716" t="str">
        <f t="shared" si="220"/>
        <v>0</v>
      </c>
      <c r="H716">
        <f>'906MP'!Y416</f>
        <v>0</v>
      </c>
      <c r="I716">
        <f>'906MP'!AK416</f>
        <v>0</v>
      </c>
      <c r="J716">
        <f>'906MP'!T416</f>
        <v>0</v>
      </c>
      <c r="K716">
        <f>'906MP'!AJ416</f>
        <v>0</v>
      </c>
      <c r="L716">
        <f>'906MP'!U416</f>
        <v>0</v>
      </c>
      <c r="M716" s="322" t="str">
        <f>IFERROR(VLOOKUP(A716,PAR!$D$3:$E$53,2,FALSE),"nincs szervezet")</f>
        <v>nincs szervezet</v>
      </c>
      <c r="N716" s="322" t="str">
        <f>VLOOKUP(F716,PAR!$R$3:$S$5,2,FALSE)</f>
        <v>3 - egyik sem</v>
      </c>
      <c r="O716" t="str">
        <f>IFERROR(VLOOKUP(J716,PAR!$O$3:$P$5,2,FALSE),"nincs feladat")</f>
        <v>nincs feladat</v>
      </c>
      <c r="P716" t="str">
        <f>IFERROR(VLOOKUP(G716,PAR!$J$2:$M$19,4),"nincs rovat")</f>
        <v>nincs rovat</v>
      </c>
      <c r="Q716" t="str">
        <f>IF(H716&gt;0,VLOOKUP(H716,PAR!$AA$3:$AC$187,3,FALSE),"nincs főkönyvi számla")</f>
        <v>nincs főkönyvi számla</v>
      </c>
      <c r="R716" t="str">
        <f>IFERROR(VLOOKUP(K716,PAR!$V$3:$X$438,3,FALSE),"000000 - Nincs COFOG")</f>
        <v>000000 - Nincs COFOG</v>
      </c>
      <c r="S716">
        <f t="shared" si="221"/>
        <v>0</v>
      </c>
      <c r="T716">
        <f t="shared" si="222"/>
        <v>0</v>
      </c>
      <c r="U716" t="str">
        <f>IF('906MP'!J416&gt;0,CONCATENATE('906MP'!J416," - ",'906MP'!P416,", ",'906MP'!E416),"nincs megjegyzés")</f>
        <v>nincs megjegyzés</v>
      </c>
      <c r="V716" t="str">
        <f t="shared" si="209"/>
        <v>0P0</v>
      </c>
      <c r="W716" t="str">
        <f t="shared" si="210"/>
        <v>0P0</v>
      </c>
      <c r="X716" t="str">
        <f t="shared" si="211"/>
        <v>P0</v>
      </c>
      <c r="Y716" t="str">
        <f t="shared" si="212"/>
        <v>00</v>
      </c>
      <c r="Z716" t="str">
        <f t="shared" si="223"/>
        <v>00</v>
      </c>
      <c r="AA716" t="str">
        <f t="shared" si="213"/>
        <v>00</v>
      </c>
      <c r="AB716" t="str">
        <f t="shared" si="214"/>
        <v>00</v>
      </c>
      <c r="AC716" t="str">
        <f t="shared" si="215"/>
        <v>0P0</v>
      </c>
      <c r="AD716" t="str">
        <f t="shared" si="216"/>
        <v>P00</v>
      </c>
      <c r="AE716" t="str">
        <f t="shared" si="217"/>
        <v>0P0</v>
      </c>
      <c r="AF716" t="str">
        <f t="shared" si="218"/>
        <v>P00</v>
      </c>
      <c r="AG716" t="str">
        <f t="shared" si="224"/>
        <v>0P00</v>
      </c>
      <c r="AH716" t="str">
        <f t="shared" si="225"/>
        <v>P000</v>
      </c>
      <c r="AI716" t="str">
        <f t="shared" si="226"/>
        <v>0P00</v>
      </c>
      <c r="AJ716" t="str">
        <f t="shared" si="227"/>
        <v>P000</v>
      </c>
    </row>
    <row r="717" spans="1:36" x14ac:dyDescent="0.25">
      <c r="A717" s="325" t="str">
        <f>CONCATENATE("P",'906MP'!M417)</f>
        <v>P</v>
      </c>
      <c r="B717">
        <f>'906MP'!H417</f>
        <v>0</v>
      </c>
      <c r="C717">
        <f>'906MP'!J417</f>
        <v>0</v>
      </c>
      <c r="D717">
        <f>'906MP'!P417</f>
        <v>0</v>
      </c>
      <c r="E717">
        <f>'906MP'!X417</f>
        <v>0</v>
      </c>
      <c r="F717" t="str">
        <f t="shared" si="219"/>
        <v>0</v>
      </c>
      <c r="G717" t="str">
        <f t="shared" si="220"/>
        <v>0</v>
      </c>
      <c r="H717">
        <f>'906MP'!Y417</f>
        <v>0</v>
      </c>
      <c r="I717">
        <f>'906MP'!AK417</f>
        <v>0</v>
      </c>
      <c r="J717">
        <f>'906MP'!T417</f>
        <v>0</v>
      </c>
      <c r="K717">
        <f>'906MP'!AJ417</f>
        <v>0</v>
      </c>
      <c r="L717">
        <f>'906MP'!U417</f>
        <v>0</v>
      </c>
      <c r="M717" s="322" t="str">
        <f>IFERROR(VLOOKUP(A717,PAR!$D$3:$E$53,2,FALSE),"nincs szervezet")</f>
        <v>nincs szervezet</v>
      </c>
      <c r="N717" s="322" t="str">
        <f>VLOOKUP(F717,PAR!$R$3:$S$5,2,FALSE)</f>
        <v>3 - egyik sem</v>
      </c>
      <c r="O717" t="str">
        <f>IFERROR(VLOOKUP(J717,PAR!$O$3:$P$5,2,FALSE),"nincs feladat")</f>
        <v>nincs feladat</v>
      </c>
      <c r="P717" t="str">
        <f>IFERROR(VLOOKUP(G717,PAR!$J$2:$M$19,4),"nincs rovat")</f>
        <v>nincs rovat</v>
      </c>
      <c r="Q717" t="str">
        <f>IF(H717&gt;0,VLOOKUP(H717,PAR!$AA$3:$AC$187,3,FALSE),"nincs főkönyvi számla")</f>
        <v>nincs főkönyvi számla</v>
      </c>
      <c r="R717" t="str">
        <f>IFERROR(VLOOKUP(K717,PAR!$V$3:$X$438,3,FALSE),"000000 - Nincs COFOG")</f>
        <v>000000 - Nincs COFOG</v>
      </c>
      <c r="S717">
        <f t="shared" si="221"/>
        <v>0</v>
      </c>
      <c r="T717">
        <f t="shared" si="222"/>
        <v>0</v>
      </c>
      <c r="U717" t="str">
        <f>IF('906MP'!J417&gt;0,CONCATENATE('906MP'!J417," - ",'906MP'!P417,", ",'906MP'!E417),"nincs megjegyzés")</f>
        <v>nincs megjegyzés</v>
      </c>
      <c r="V717" t="str">
        <f t="shared" si="209"/>
        <v>0P0</v>
      </c>
      <c r="W717" t="str">
        <f t="shared" si="210"/>
        <v>0P0</v>
      </c>
      <c r="X717" t="str">
        <f t="shared" si="211"/>
        <v>P0</v>
      </c>
      <c r="Y717" t="str">
        <f t="shared" si="212"/>
        <v>00</v>
      </c>
      <c r="Z717" t="str">
        <f t="shared" si="223"/>
        <v>00</v>
      </c>
      <c r="AA717" t="str">
        <f t="shared" si="213"/>
        <v>00</v>
      </c>
      <c r="AB717" t="str">
        <f t="shared" si="214"/>
        <v>00</v>
      </c>
      <c r="AC717" t="str">
        <f t="shared" si="215"/>
        <v>0P0</v>
      </c>
      <c r="AD717" t="str">
        <f t="shared" si="216"/>
        <v>P00</v>
      </c>
      <c r="AE717" t="str">
        <f t="shared" si="217"/>
        <v>0P0</v>
      </c>
      <c r="AF717" t="str">
        <f t="shared" si="218"/>
        <v>P00</v>
      </c>
      <c r="AG717" t="str">
        <f t="shared" si="224"/>
        <v>0P00</v>
      </c>
      <c r="AH717" t="str">
        <f t="shared" si="225"/>
        <v>P000</v>
      </c>
      <c r="AI717" t="str">
        <f t="shared" si="226"/>
        <v>0P00</v>
      </c>
      <c r="AJ717" t="str">
        <f t="shared" si="227"/>
        <v>P000</v>
      </c>
    </row>
    <row r="718" spans="1:36" x14ac:dyDescent="0.25">
      <c r="A718" s="325" t="str">
        <f>CONCATENATE("P",'906MP'!M418)</f>
        <v>P</v>
      </c>
      <c r="B718">
        <f>'906MP'!H418</f>
        <v>0</v>
      </c>
      <c r="C718">
        <f>'906MP'!J418</f>
        <v>0</v>
      </c>
      <c r="D718">
        <f>'906MP'!P418</f>
        <v>0</v>
      </c>
      <c r="E718">
        <f>'906MP'!X418</f>
        <v>0</v>
      </c>
      <c r="F718" t="str">
        <f t="shared" si="219"/>
        <v>0</v>
      </c>
      <c r="G718" t="str">
        <f t="shared" si="220"/>
        <v>0</v>
      </c>
      <c r="H718">
        <f>'906MP'!Y418</f>
        <v>0</v>
      </c>
      <c r="I718">
        <f>'906MP'!AK418</f>
        <v>0</v>
      </c>
      <c r="J718">
        <f>'906MP'!T418</f>
        <v>0</v>
      </c>
      <c r="K718">
        <f>'906MP'!AJ418</f>
        <v>0</v>
      </c>
      <c r="L718">
        <f>'906MP'!U418</f>
        <v>0</v>
      </c>
      <c r="M718" s="322" t="str">
        <f>IFERROR(VLOOKUP(A718,PAR!$D$3:$E$53,2,FALSE),"nincs szervezet")</f>
        <v>nincs szervezet</v>
      </c>
      <c r="N718" s="322" t="str">
        <f>VLOOKUP(F718,PAR!$R$3:$S$5,2,FALSE)</f>
        <v>3 - egyik sem</v>
      </c>
      <c r="O718" t="str">
        <f>IFERROR(VLOOKUP(J718,PAR!$O$3:$P$5,2,FALSE),"nincs feladat")</f>
        <v>nincs feladat</v>
      </c>
      <c r="P718" t="str">
        <f>IFERROR(VLOOKUP(G718,PAR!$J$2:$M$19,4),"nincs rovat")</f>
        <v>nincs rovat</v>
      </c>
      <c r="Q718" t="str">
        <f>IF(H718&gt;0,VLOOKUP(H718,PAR!$AA$3:$AC$187,3,FALSE),"nincs főkönyvi számla")</f>
        <v>nincs főkönyvi számla</v>
      </c>
      <c r="R718" t="str">
        <f>IFERROR(VLOOKUP(K718,PAR!$V$3:$X$438,3,FALSE),"000000 - Nincs COFOG")</f>
        <v>000000 - Nincs COFOG</v>
      </c>
      <c r="S718">
        <f t="shared" si="221"/>
        <v>0</v>
      </c>
      <c r="T718">
        <f t="shared" si="222"/>
        <v>0</v>
      </c>
      <c r="U718" t="str">
        <f>IF('906MP'!J418&gt;0,CONCATENATE('906MP'!J418," - ",'906MP'!P418,", ",'906MP'!E418),"nincs megjegyzés")</f>
        <v>nincs megjegyzés</v>
      </c>
      <c r="V718" t="str">
        <f t="shared" si="209"/>
        <v>0P0</v>
      </c>
      <c r="W718" t="str">
        <f t="shared" si="210"/>
        <v>0P0</v>
      </c>
      <c r="X718" t="str">
        <f t="shared" si="211"/>
        <v>P0</v>
      </c>
      <c r="Y718" t="str">
        <f t="shared" si="212"/>
        <v>00</v>
      </c>
      <c r="Z718" t="str">
        <f t="shared" si="223"/>
        <v>00</v>
      </c>
      <c r="AA718" t="str">
        <f t="shared" si="213"/>
        <v>00</v>
      </c>
      <c r="AB718" t="str">
        <f t="shared" si="214"/>
        <v>00</v>
      </c>
      <c r="AC718" t="str">
        <f t="shared" si="215"/>
        <v>0P0</v>
      </c>
      <c r="AD718" t="str">
        <f t="shared" si="216"/>
        <v>P00</v>
      </c>
      <c r="AE718" t="str">
        <f t="shared" si="217"/>
        <v>0P0</v>
      </c>
      <c r="AF718" t="str">
        <f t="shared" si="218"/>
        <v>P00</v>
      </c>
      <c r="AG718" t="str">
        <f t="shared" si="224"/>
        <v>0P00</v>
      </c>
      <c r="AH718" t="str">
        <f t="shared" si="225"/>
        <v>P000</v>
      </c>
      <c r="AI718" t="str">
        <f t="shared" si="226"/>
        <v>0P00</v>
      </c>
      <c r="AJ718" t="str">
        <f t="shared" si="227"/>
        <v>P000</v>
      </c>
    </row>
    <row r="719" spans="1:36" x14ac:dyDescent="0.25">
      <c r="A719" s="325" t="str">
        <f>CONCATENATE("P",'906MP'!M419)</f>
        <v>P</v>
      </c>
      <c r="B719">
        <f>'906MP'!H419</f>
        <v>0</v>
      </c>
      <c r="C719">
        <f>'906MP'!J419</f>
        <v>0</v>
      </c>
      <c r="D719">
        <f>'906MP'!P419</f>
        <v>0</v>
      </c>
      <c r="E719">
        <f>'906MP'!X419</f>
        <v>0</v>
      </c>
      <c r="F719" t="str">
        <f t="shared" si="219"/>
        <v>0</v>
      </c>
      <c r="G719" t="str">
        <f t="shared" si="220"/>
        <v>0</v>
      </c>
      <c r="H719">
        <f>'906MP'!Y419</f>
        <v>0</v>
      </c>
      <c r="I719">
        <f>'906MP'!AK419</f>
        <v>0</v>
      </c>
      <c r="J719">
        <f>'906MP'!T419</f>
        <v>0</v>
      </c>
      <c r="K719">
        <f>'906MP'!AJ419</f>
        <v>0</v>
      </c>
      <c r="L719">
        <f>'906MP'!U419</f>
        <v>0</v>
      </c>
      <c r="M719" s="322" t="str">
        <f>IFERROR(VLOOKUP(A719,PAR!$D$3:$E$53,2,FALSE),"nincs szervezet")</f>
        <v>nincs szervezet</v>
      </c>
      <c r="N719" s="322" t="str">
        <f>VLOOKUP(F719,PAR!$R$3:$S$5,2,FALSE)</f>
        <v>3 - egyik sem</v>
      </c>
      <c r="O719" t="str">
        <f>IFERROR(VLOOKUP(J719,PAR!$O$3:$P$5,2,FALSE),"nincs feladat")</f>
        <v>nincs feladat</v>
      </c>
      <c r="P719" t="str">
        <f>IFERROR(VLOOKUP(G719,PAR!$J$2:$M$19,4),"nincs rovat")</f>
        <v>nincs rovat</v>
      </c>
      <c r="Q719" t="str">
        <f>IF(H719&gt;0,VLOOKUP(H719,PAR!$AA$3:$AC$187,3,FALSE),"nincs főkönyvi számla")</f>
        <v>nincs főkönyvi számla</v>
      </c>
      <c r="R719" t="str">
        <f>IFERROR(VLOOKUP(K719,PAR!$V$3:$X$438,3,FALSE),"000000 - Nincs COFOG")</f>
        <v>000000 - Nincs COFOG</v>
      </c>
      <c r="S719">
        <f t="shared" si="221"/>
        <v>0</v>
      </c>
      <c r="T719">
        <f t="shared" si="222"/>
        <v>0</v>
      </c>
      <c r="U719" t="str">
        <f>IF('906MP'!J419&gt;0,CONCATENATE('906MP'!J419," - ",'906MP'!P419,", ",'906MP'!E419),"nincs megjegyzés")</f>
        <v>nincs megjegyzés</v>
      </c>
      <c r="V719" t="str">
        <f t="shared" si="209"/>
        <v>0P0</v>
      </c>
      <c r="W719" t="str">
        <f t="shared" si="210"/>
        <v>0P0</v>
      </c>
      <c r="X719" t="str">
        <f t="shared" si="211"/>
        <v>P0</v>
      </c>
      <c r="Y719" t="str">
        <f t="shared" si="212"/>
        <v>00</v>
      </c>
      <c r="Z719" t="str">
        <f t="shared" si="223"/>
        <v>00</v>
      </c>
      <c r="AA719" t="str">
        <f t="shared" si="213"/>
        <v>00</v>
      </c>
      <c r="AB719" t="str">
        <f t="shared" si="214"/>
        <v>00</v>
      </c>
      <c r="AC719" t="str">
        <f t="shared" si="215"/>
        <v>0P0</v>
      </c>
      <c r="AD719" t="str">
        <f t="shared" si="216"/>
        <v>P00</v>
      </c>
      <c r="AE719" t="str">
        <f t="shared" si="217"/>
        <v>0P0</v>
      </c>
      <c r="AF719" t="str">
        <f t="shared" si="218"/>
        <v>P00</v>
      </c>
      <c r="AG719" t="str">
        <f t="shared" si="224"/>
        <v>0P00</v>
      </c>
      <c r="AH719" t="str">
        <f t="shared" si="225"/>
        <v>P000</v>
      </c>
      <c r="AI719" t="str">
        <f t="shared" si="226"/>
        <v>0P00</v>
      </c>
      <c r="AJ719" t="str">
        <f t="shared" si="227"/>
        <v>P000</v>
      </c>
    </row>
    <row r="720" spans="1:36" x14ac:dyDescent="0.25">
      <c r="A720" s="325" t="str">
        <f>CONCATENATE("P",'906MP'!M420)</f>
        <v>P</v>
      </c>
      <c r="B720">
        <f>'906MP'!H420</f>
        <v>0</v>
      </c>
      <c r="C720">
        <f>'906MP'!J420</f>
        <v>0</v>
      </c>
      <c r="D720">
        <f>'906MP'!P420</f>
        <v>0</v>
      </c>
      <c r="E720">
        <f>'906MP'!X420</f>
        <v>0</v>
      </c>
      <c r="F720" t="str">
        <f t="shared" si="219"/>
        <v>0</v>
      </c>
      <c r="G720" t="str">
        <f t="shared" si="220"/>
        <v>0</v>
      </c>
      <c r="H720">
        <f>'906MP'!Y420</f>
        <v>0</v>
      </c>
      <c r="I720">
        <f>'906MP'!AK420</f>
        <v>0</v>
      </c>
      <c r="J720">
        <f>'906MP'!T420</f>
        <v>0</v>
      </c>
      <c r="K720">
        <f>'906MP'!AJ420</f>
        <v>0</v>
      </c>
      <c r="L720">
        <f>'906MP'!U420</f>
        <v>0</v>
      </c>
      <c r="M720" s="322" t="str">
        <f>IFERROR(VLOOKUP(A720,PAR!$D$3:$E$53,2,FALSE),"nincs szervezet")</f>
        <v>nincs szervezet</v>
      </c>
      <c r="N720" s="322" t="str">
        <f>VLOOKUP(F720,PAR!$R$3:$S$5,2,FALSE)</f>
        <v>3 - egyik sem</v>
      </c>
      <c r="O720" t="str">
        <f>IFERROR(VLOOKUP(J720,PAR!$O$3:$P$5,2,FALSE),"nincs feladat")</f>
        <v>nincs feladat</v>
      </c>
      <c r="P720" t="str">
        <f>IFERROR(VLOOKUP(G720,PAR!$J$2:$M$19,4),"nincs rovat")</f>
        <v>nincs rovat</v>
      </c>
      <c r="Q720" t="str">
        <f>IF(H720&gt;0,VLOOKUP(H720,PAR!$AA$3:$AC$187,3,FALSE),"nincs főkönyvi számla")</f>
        <v>nincs főkönyvi számla</v>
      </c>
      <c r="R720" t="str">
        <f>IFERROR(VLOOKUP(K720,PAR!$V$3:$X$438,3,FALSE),"000000 - Nincs COFOG")</f>
        <v>000000 - Nincs COFOG</v>
      </c>
      <c r="S720">
        <f t="shared" si="221"/>
        <v>0</v>
      </c>
      <c r="T720">
        <f t="shared" si="222"/>
        <v>0</v>
      </c>
      <c r="U720" t="str">
        <f>IF('906MP'!J420&gt;0,CONCATENATE('906MP'!J420," - ",'906MP'!P420,", ",'906MP'!E420),"nincs megjegyzés")</f>
        <v>nincs megjegyzés</v>
      </c>
      <c r="V720" t="str">
        <f t="shared" si="209"/>
        <v>0P0</v>
      </c>
      <c r="W720" t="str">
        <f t="shared" si="210"/>
        <v>0P0</v>
      </c>
      <c r="X720" t="str">
        <f t="shared" si="211"/>
        <v>P0</v>
      </c>
      <c r="Y720" t="str">
        <f t="shared" si="212"/>
        <v>00</v>
      </c>
      <c r="Z720" t="str">
        <f t="shared" si="223"/>
        <v>00</v>
      </c>
      <c r="AA720" t="str">
        <f t="shared" si="213"/>
        <v>00</v>
      </c>
      <c r="AB720" t="str">
        <f t="shared" si="214"/>
        <v>00</v>
      </c>
      <c r="AC720" t="str">
        <f t="shared" si="215"/>
        <v>0P0</v>
      </c>
      <c r="AD720" t="str">
        <f t="shared" si="216"/>
        <v>P00</v>
      </c>
      <c r="AE720" t="str">
        <f t="shared" si="217"/>
        <v>0P0</v>
      </c>
      <c r="AF720" t="str">
        <f t="shared" si="218"/>
        <v>P00</v>
      </c>
      <c r="AG720" t="str">
        <f t="shared" si="224"/>
        <v>0P00</v>
      </c>
      <c r="AH720" t="str">
        <f t="shared" si="225"/>
        <v>P000</v>
      </c>
      <c r="AI720" t="str">
        <f t="shared" si="226"/>
        <v>0P00</v>
      </c>
      <c r="AJ720" t="str">
        <f t="shared" si="227"/>
        <v>P000</v>
      </c>
    </row>
    <row r="721" spans="1:36" x14ac:dyDescent="0.25">
      <c r="A721" s="325" t="str">
        <f>CONCATENATE("P",'906MP'!M421)</f>
        <v>P</v>
      </c>
      <c r="B721">
        <f>'906MP'!H421</f>
        <v>0</v>
      </c>
      <c r="C721">
        <f>'906MP'!J421</f>
        <v>0</v>
      </c>
      <c r="D721">
        <f>'906MP'!P421</f>
        <v>0</v>
      </c>
      <c r="E721">
        <f>'906MP'!X421</f>
        <v>0</v>
      </c>
      <c r="F721" t="str">
        <f t="shared" si="219"/>
        <v>0</v>
      </c>
      <c r="G721" t="str">
        <f t="shared" si="220"/>
        <v>0</v>
      </c>
      <c r="H721">
        <f>'906MP'!Y421</f>
        <v>0</v>
      </c>
      <c r="I721">
        <f>'906MP'!AK421</f>
        <v>0</v>
      </c>
      <c r="J721">
        <f>'906MP'!T421</f>
        <v>0</v>
      </c>
      <c r="K721">
        <f>'906MP'!AJ421</f>
        <v>0</v>
      </c>
      <c r="L721">
        <f>'906MP'!U421</f>
        <v>0</v>
      </c>
      <c r="M721" s="322" t="str">
        <f>IFERROR(VLOOKUP(A721,PAR!$D$3:$E$53,2,FALSE),"nincs szervezet")</f>
        <v>nincs szervezet</v>
      </c>
      <c r="N721" s="322" t="str">
        <f>VLOOKUP(F721,PAR!$R$3:$S$5,2,FALSE)</f>
        <v>3 - egyik sem</v>
      </c>
      <c r="O721" t="str">
        <f>IFERROR(VLOOKUP(J721,PAR!$O$3:$P$5,2,FALSE),"nincs feladat")</f>
        <v>nincs feladat</v>
      </c>
      <c r="P721" t="str">
        <f>IFERROR(VLOOKUP(G721,PAR!$J$2:$M$19,4),"nincs rovat")</f>
        <v>nincs rovat</v>
      </c>
      <c r="Q721" t="str">
        <f>IF(H721&gt;0,VLOOKUP(H721,PAR!$AA$3:$AC$187,3,FALSE),"nincs főkönyvi számla")</f>
        <v>nincs főkönyvi számla</v>
      </c>
      <c r="R721" t="str">
        <f>IFERROR(VLOOKUP(K721,PAR!$V$3:$X$438,3,FALSE),"000000 - Nincs COFOG")</f>
        <v>000000 - Nincs COFOG</v>
      </c>
      <c r="S721">
        <f t="shared" si="221"/>
        <v>0</v>
      </c>
      <c r="T721">
        <f t="shared" si="222"/>
        <v>0</v>
      </c>
      <c r="U721" t="str">
        <f>IF('906MP'!J421&gt;0,CONCATENATE('906MP'!J421," - ",'906MP'!P421,", ",'906MP'!E421),"nincs megjegyzés")</f>
        <v>nincs megjegyzés</v>
      </c>
      <c r="V721" t="str">
        <f t="shared" si="209"/>
        <v>0P0</v>
      </c>
      <c r="W721" t="str">
        <f t="shared" si="210"/>
        <v>0P0</v>
      </c>
      <c r="X721" t="str">
        <f t="shared" si="211"/>
        <v>P0</v>
      </c>
      <c r="Y721" t="str">
        <f t="shared" si="212"/>
        <v>00</v>
      </c>
      <c r="Z721" t="str">
        <f t="shared" si="223"/>
        <v>00</v>
      </c>
      <c r="AA721" t="str">
        <f t="shared" si="213"/>
        <v>00</v>
      </c>
      <c r="AB721" t="str">
        <f t="shared" si="214"/>
        <v>00</v>
      </c>
      <c r="AC721" t="str">
        <f t="shared" si="215"/>
        <v>0P0</v>
      </c>
      <c r="AD721" t="str">
        <f t="shared" si="216"/>
        <v>P00</v>
      </c>
      <c r="AE721" t="str">
        <f t="shared" si="217"/>
        <v>0P0</v>
      </c>
      <c r="AF721" t="str">
        <f t="shared" si="218"/>
        <v>P00</v>
      </c>
      <c r="AG721" t="str">
        <f t="shared" si="224"/>
        <v>0P00</v>
      </c>
      <c r="AH721" t="str">
        <f t="shared" si="225"/>
        <v>P000</v>
      </c>
      <c r="AI721" t="str">
        <f t="shared" si="226"/>
        <v>0P00</v>
      </c>
      <c r="AJ721" t="str">
        <f t="shared" si="227"/>
        <v>P000</v>
      </c>
    </row>
    <row r="722" spans="1:36" x14ac:dyDescent="0.25">
      <c r="A722" s="325" t="str">
        <f>CONCATENATE("P",'906MP'!M422)</f>
        <v>P</v>
      </c>
      <c r="B722">
        <f>'906MP'!H422</f>
        <v>0</v>
      </c>
      <c r="C722">
        <f>'906MP'!J422</f>
        <v>0</v>
      </c>
      <c r="D722">
        <f>'906MP'!P422</f>
        <v>0</v>
      </c>
      <c r="E722">
        <f>'906MP'!X422</f>
        <v>0</v>
      </c>
      <c r="F722" t="str">
        <f t="shared" si="219"/>
        <v>0</v>
      </c>
      <c r="G722" t="str">
        <f t="shared" si="220"/>
        <v>0</v>
      </c>
      <c r="H722">
        <f>'906MP'!Y422</f>
        <v>0</v>
      </c>
      <c r="I722">
        <f>'906MP'!AK422</f>
        <v>0</v>
      </c>
      <c r="J722">
        <f>'906MP'!T422</f>
        <v>0</v>
      </c>
      <c r="K722">
        <f>'906MP'!AJ422</f>
        <v>0</v>
      </c>
      <c r="L722">
        <f>'906MP'!U422</f>
        <v>0</v>
      </c>
      <c r="M722" s="322" t="str">
        <f>IFERROR(VLOOKUP(A722,PAR!$D$3:$E$53,2,FALSE),"nincs szervezet")</f>
        <v>nincs szervezet</v>
      </c>
      <c r="N722" s="322" t="str">
        <f>VLOOKUP(F722,PAR!$R$3:$S$5,2,FALSE)</f>
        <v>3 - egyik sem</v>
      </c>
      <c r="O722" t="str">
        <f>IFERROR(VLOOKUP(J722,PAR!$O$3:$P$5,2,FALSE),"nincs feladat")</f>
        <v>nincs feladat</v>
      </c>
      <c r="P722" t="str">
        <f>IFERROR(VLOOKUP(G722,PAR!$J$2:$M$19,4),"nincs rovat")</f>
        <v>nincs rovat</v>
      </c>
      <c r="Q722" t="str">
        <f>IF(H722&gt;0,VLOOKUP(H722,PAR!$AA$3:$AC$187,3,FALSE),"nincs főkönyvi számla")</f>
        <v>nincs főkönyvi számla</v>
      </c>
      <c r="R722" t="str">
        <f>IFERROR(VLOOKUP(K722,PAR!$V$3:$X$438,3,FALSE),"000000 - Nincs COFOG")</f>
        <v>000000 - Nincs COFOG</v>
      </c>
      <c r="S722">
        <f t="shared" si="221"/>
        <v>0</v>
      </c>
      <c r="T722">
        <f t="shared" si="222"/>
        <v>0</v>
      </c>
      <c r="U722" t="str">
        <f>IF('906MP'!J422&gt;0,CONCATENATE('906MP'!J422," - ",'906MP'!P422,", ",'906MP'!E422),"nincs megjegyzés")</f>
        <v>nincs megjegyzés</v>
      </c>
      <c r="V722" t="str">
        <f t="shared" si="209"/>
        <v>0P0</v>
      </c>
      <c r="W722" t="str">
        <f t="shared" si="210"/>
        <v>0P0</v>
      </c>
      <c r="X722" t="str">
        <f t="shared" si="211"/>
        <v>P0</v>
      </c>
      <c r="Y722" t="str">
        <f t="shared" si="212"/>
        <v>00</v>
      </c>
      <c r="Z722" t="str">
        <f t="shared" si="223"/>
        <v>00</v>
      </c>
      <c r="AA722" t="str">
        <f t="shared" si="213"/>
        <v>00</v>
      </c>
      <c r="AB722" t="str">
        <f t="shared" si="214"/>
        <v>00</v>
      </c>
      <c r="AC722" t="str">
        <f t="shared" si="215"/>
        <v>0P0</v>
      </c>
      <c r="AD722" t="str">
        <f t="shared" si="216"/>
        <v>P00</v>
      </c>
      <c r="AE722" t="str">
        <f t="shared" si="217"/>
        <v>0P0</v>
      </c>
      <c r="AF722" t="str">
        <f t="shared" si="218"/>
        <v>P00</v>
      </c>
      <c r="AG722" t="str">
        <f t="shared" si="224"/>
        <v>0P00</v>
      </c>
      <c r="AH722" t="str">
        <f t="shared" si="225"/>
        <v>P000</v>
      </c>
      <c r="AI722" t="str">
        <f t="shared" si="226"/>
        <v>0P00</v>
      </c>
      <c r="AJ722" t="str">
        <f t="shared" si="227"/>
        <v>P000</v>
      </c>
    </row>
    <row r="723" spans="1:36" x14ac:dyDescent="0.25">
      <c r="A723" s="325" t="str">
        <f>CONCATENATE("P",'906MP'!M423)</f>
        <v>P</v>
      </c>
      <c r="B723">
        <f>'906MP'!H423</f>
        <v>0</v>
      </c>
      <c r="C723">
        <f>'906MP'!J423</f>
        <v>0</v>
      </c>
      <c r="D723">
        <f>'906MP'!P423</f>
        <v>0</v>
      </c>
      <c r="E723">
        <f>'906MP'!X423</f>
        <v>0</v>
      </c>
      <c r="F723" t="str">
        <f t="shared" si="219"/>
        <v>0</v>
      </c>
      <c r="G723" t="str">
        <f t="shared" si="220"/>
        <v>0</v>
      </c>
      <c r="H723">
        <f>'906MP'!Y423</f>
        <v>0</v>
      </c>
      <c r="I723">
        <f>'906MP'!AK423</f>
        <v>0</v>
      </c>
      <c r="J723">
        <f>'906MP'!T423</f>
        <v>0</v>
      </c>
      <c r="K723">
        <f>'906MP'!AJ423</f>
        <v>0</v>
      </c>
      <c r="L723">
        <f>'906MP'!U423</f>
        <v>0</v>
      </c>
      <c r="M723" s="322" t="str">
        <f>IFERROR(VLOOKUP(A723,PAR!$D$3:$E$53,2,FALSE),"nincs szervezet")</f>
        <v>nincs szervezet</v>
      </c>
      <c r="N723" s="322" t="str">
        <f>VLOOKUP(F723,PAR!$R$3:$S$5,2,FALSE)</f>
        <v>3 - egyik sem</v>
      </c>
      <c r="O723" t="str">
        <f>IFERROR(VLOOKUP(J723,PAR!$O$3:$P$5,2,FALSE),"nincs feladat")</f>
        <v>nincs feladat</v>
      </c>
      <c r="P723" t="str">
        <f>IFERROR(VLOOKUP(G723,PAR!$J$2:$M$19,4),"nincs rovat")</f>
        <v>nincs rovat</v>
      </c>
      <c r="Q723" t="str">
        <f>IF(H723&gt;0,VLOOKUP(H723,PAR!$AA$3:$AC$187,3,FALSE),"nincs főkönyvi számla")</f>
        <v>nincs főkönyvi számla</v>
      </c>
      <c r="R723" t="str">
        <f>IFERROR(VLOOKUP(K723,PAR!$V$3:$X$438,3,FALSE),"000000 - Nincs COFOG")</f>
        <v>000000 - Nincs COFOG</v>
      </c>
      <c r="S723">
        <f t="shared" si="221"/>
        <v>0</v>
      </c>
      <c r="T723">
        <f t="shared" si="222"/>
        <v>0</v>
      </c>
      <c r="U723" t="str">
        <f>IF('906MP'!J423&gt;0,CONCATENATE('906MP'!J423," - ",'906MP'!P423,", ",'906MP'!E423),"nincs megjegyzés")</f>
        <v>nincs megjegyzés</v>
      </c>
      <c r="V723" t="str">
        <f t="shared" si="209"/>
        <v>0P0</v>
      </c>
      <c r="W723" t="str">
        <f t="shared" si="210"/>
        <v>0P0</v>
      </c>
      <c r="X723" t="str">
        <f t="shared" si="211"/>
        <v>P0</v>
      </c>
      <c r="Y723" t="str">
        <f t="shared" si="212"/>
        <v>00</v>
      </c>
      <c r="Z723" t="str">
        <f t="shared" si="223"/>
        <v>00</v>
      </c>
      <c r="AA723" t="str">
        <f t="shared" si="213"/>
        <v>00</v>
      </c>
      <c r="AB723" t="str">
        <f t="shared" si="214"/>
        <v>00</v>
      </c>
      <c r="AC723" t="str">
        <f t="shared" si="215"/>
        <v>0P0</v>
      </c>
      <c r="AD723" t="str">
        <f t="shared" si="216"/>
        <v>P00</v>
      </c>
      <c r="AE723" t="str">
        <f t="shared" si="217"/>
        <v>0P0</v>
      </c>
      <c r="AF723" t="str">
        <f t="shared" si="218"/>
        <v>P00</v>
      </c>
      <c r="AG723" t="str">
        <f t="shared" si="224"/>
        <v>0P00</v>
      </c>
      <c r="AH723" t="str">
        <f t="shared" si="225"/>
        <v>P000</v>
      </c>
      <c r="AI723" t="str">
        <f t="shared" si="226"/>
        <v>0P00</v>
      </c>
      <c r="AJ723" t="str">
        <f t="shared" si="227"/>
        <v>P000</v>
      </c>
    </row>
    <row r="724" spans="1:36" x14ac:dyDescent="0.25">
      <c r="A724" s="325" t="str">
        <f>CONCATENATE("P",'906MP'!M424)</f>
        <v>P</v>
      </c>
      <c r="B724">
        <f>'906MP'!H424</f>
        <v>0</v>
      </c>
      <c r="C724">
        <f>'906MP'!J424</f>
        <v>0</v>
      </c>
      <c r="D724">
        <f>'906MP'!P424</f>
        <v>0</v>
      </c>
      <c r="E724">
        <f>'906MP'!X424</f>
        <v>0</v>
      </c>
      <c r="F724" t="str">
        <f t="shared" si="219"/>
        <v>0</v>
      </c>
      <c r="G724" t="str">
        <f t="shared" si="220"/>
        <v>0</v>
      </c>
      <c r="H724">
        <f>'906MP'!Y424</f>
        <v>0</v>
      </c>
      <c r="I724">
        <f>'906MP'!AK424</f>
        <v>0</v>
      </c>
      <c r="J724">
        <f>'906MP'!T424</f>
        <v>0</v>
      </c>
      <c r="K724">
        <f>'906MP'!AJ424</f>
        <v>0</v>
      </c>
      <c r="L724">
        <f>'906MP'!U424</f>
        <v>0</v>
      </c>
      <c r="M724" s="322" t="str">
        <f>IFERROR(VLOOKUP(A724,PAR!$D$3:$E$53,2,FALSE),"nincs szervezet")</f>
        <v>nincs szervezet</v>
      </c>
      <c r="N724" s="322" t="str">
        <f>VLOOKUP(F724,PAR!$R$3:$S$5,2,FALSE)</f>
        <v>3 - egyik sem</v>
      </c>
      <c r="O724" t="str">
        <f>IFERROR(VLOOKUP(J724,PAR!$O$3:$P$5,2,FALSE),"nincs feladat")</f>
        <v>nincs feladat</v>
      </c>
      <c r="P724" t="str">
        <f>IFERROR(VLOOKUP(G724,PAR!$J$2:$M$19,4),"nincs rovat")</f>
        <v>nincs rovat</v>
      </c>
      <c r="Q724" t="str">
        <f>IF(H724&gt;0,VLOOKUP(H724,PAR!$AA$3:$AC$187,3,FALSE),"nincs főkönyvi számla")</f>
        <v>nincs főkönyvi számla</v>
      </c>
      <c r="R724" t="str">
        <f>IFERROR(VLOOKUP(K724,PAR!$V$3:$X$438,3,FALSE),"000000 - Nincs COFOG")</f>
        <v>000000 - Nincs COFOG</v>
      </c>
      <c r="S724">
        <f t="shared" si="221"/>
        <v>0</v>
      </c>
      <c r="T724">
        <f t="shared" si="222"/>
        <v>0</v>
      </c>
      <c r="U724" t="str">
        <f>IF('906MP'!J424&gt;0,CONCATENATE('906MP'!J424," - ",'906MP'!P424,", ",'906MP'!E424),"nincs megjegyzés")</f>
        <v>nincs megjegyzés</v>
      </c>
      <c r="V724" t="str">
        <f t="shared" si="209"/>
        <v>0P0</v>
      </c>
      <c r="W724" t="str">
        <f t="shared" si="210"/>
        <v>0P0</v>
      </c>
      <c r="X724" t="str">
        <f t="shared" si="211"/>
        <v>P0</v>
      </c>
      <c r="Y724" t="str">
        <f t="shared" si="212"/>
        <v>00</v>
      </c>
      <c r="Z724" t="str">
        <f t="shared" si="223"/>
        <v>00</v>
      </c>
      <c r="AA724" t="str">
        <f t="shared" si="213"/>
        <v>00</v>
      </c>
      <c r="AB724" t="str">
        <f t="shared" si="214"/>
        <v>00</v>
      </c>
      <c r="AC724" t="str">
        <f t="shared" si="215"/>
        <v>0P0</v>
      </c>
      <c r="AD724" t="str">
        <f t="shared" si="216"/>
        <v>P00</v>
      </c>
      <c r="AE724" t="str">
        <f t="shared" si="217"/>
        <v>0P0</v>
      </c>
      <c r="AF724" t="str">
        <f t="shared" si="218"/>
        <v>P00</v>
      </c>
      <c r="AG724" t="str">
        <f t="shared" si="224"/>
        <v>0P00</v>
      </c>
      <c r="AH724" t="str">
        <f t="shared" si="225"/>
        <v>P000</v>
      </c>
      <c r="AI724" t="str">
        <f t="shared" si="226"/>
        <v>0P00</v>
      </c>
      <c r="AJ724" t="str">
        <f t="shared" si="227"/>
        <v>P000</v>
      </c>
    </row>
    <row r="725" spans="1:36" x14ac:dyDescent="0.25">
      <c r="A725" s="325" t="str">
        <f>CONCATENATE("P",'906MP'!M425)</f>
        <v>P</v>
      </c>
      <c r="B725">
        <f>'906MP'!H425</f>
        <v>0</v>
      </c>
      <c r="C725">
        <f>'906MP'!J425</f>
        <v>0</v>
      </c>
      <c r="D725">
        <f>'906MP'!P425</f>
        <v>0</v>
      </c>
      <c r="E725">
        <f>'906MP'!X425</f>
        <v>0</v>
      </c>
      <c r="F725" t="str">
        <f t="shared" si="219"/>
        <v>0</v>
      </c>
      <c r="G725" t="str">
        <f t="shared" si="220"/>
        <v>0</v>
      </c>
      <c r="H725">
        <f>'906MP'!Y425</f>
        <v>0</v>
      </c>
      <c r="I725">
        <f>'906MP'!AK425</f>
        <v>0</v>
      </c>
      <c r="J725">
        <f>'906MP'!T425</f>
        <v>0</v>
      </c>
      <c r="K725">
        <f>'906MP'!AJ425</f>
        <v>0</v>
      </c>
      <c r="L725">
        <f>'906MP'!U425</f>
        <v>0</v>
      </c>
      <c r="M725" s="322" t="str">
        <f>IFERROR(VLOOKUP(A725,PAR!$D$3:$E$53,2,FALSE),"nincs szervezet")</f>
        <v>nincs szervezet</v>
      </c>
      <c r="N725" s="322" t="str">
        <f>VLOOKUP(F725,PAR!$R$3:$S$5,2,FALSE)</f>
        <v>3 - egyik sem</v>
      </c>
      <c r="O725" t="str">
        <f>IFERROR(VLOOKUP(J725,PAR!$O$3:$P$5,2,FALSE),"nincs feladat")</f>
        <v>nincs feladat</v>
      </c>
      <c r="P725" t="str">
        <f>IFERROR(VLOOKUP(G725,PAR!$J$2:$M$19,4),"nincs rovat")</f>
        <v>nincs rovat</v>
      </c>
      <c r="Q725" t="str">
        <f>IF(H725&gt;0,VLOOKUP(H725,PAR!$AA$3:$AC$187,3,FALSE),"nincs főkönyvi számla")</f>
        <v>nincs főkönyvi számla</v>
      </c>
      <c r="R725" t="str">
        <f>IFERROR(VLOOKUP(K725,PAR!$V$3:$X$438,3,FALSE),"000000 - Nincs COFOG")</f>
        <v>000000 - Nincs COFOG</v>
      </c>
      <c r="S725">
        <f t="shared" si="221"/>
        <v>0</v>
      </c>
      <c r="T725">
        <f t="shared" si="222"/>
        <v>0</v>
      </c>
      <c r="U725" t="str">
        <f>IF('906MP'!J425&gt;0,CONCATENATE('906MP'!J425," - ",'906MP'!P425,", ",'906MP'!E425),"nincs megjegyzés")</f>
        <v>nincs megjegyzés</v>
      </c>
      <c r="V725" t="str">
        <f t="shared" si="209"/>
        <v>0P0</v>
      </c>
      <c r="W725" t="str">
        <f t="shared" si="210"/>
        <v>0P0</v>
      </c>
      <c r="X725" t="str">
        <f t="shared" si="211"/>
        <v>P0</v>
      </c>
      <c r="Y725" t="str">
        <f t="shared" si="212"/>
        <v>00</v>
      </c>
      <c r="Z725" t="str">
        <f t="shared" si="223"/>
        <v>00</v>
      </c>
      <c r="AA725" t="str">
        <f t="shared" si="213"/>
        <v>00</v>
      </c>
      <c r="AB725" t="str">
        <f t="shared" si="214"/>
        <v>00</v>
      </c>
      <c r="AC725" t="str">
        <f t="shared" si="215"/>
        <v>0P0</v>
      </c>
      <c r="AD725" t="str">
        <f t="shared" si="216"/>
        <v>P00</v>
      </c>
      <c r="AE725" t="str">
        <f t="shared" si="217"/>
        <v>0P0</v>
      </c>
      <c r="AF725" t="str">
        <f t="shared" si="218"/>
        <v>P00</v>
      </c>
      <c r="AG725" t="str">
        <f t="shared" si="224"/>
        <v>0P00</v>
      </c>
      <c r="AH725" t="str">
        <f t="shared" si="225"/>
        <v>P000</v>
      </c>
      <c r="AI725" t="str">
        <f t="shared" si="226"/>
        <v>0P00</v>
      </c>
      <c r="AJ725" t="str">
        <f t="shared" si="227"/>
        <v>P000</v>
      </c>
    </row>
    <row r="726" spans="1:36" x14ac:dyDescent="0.25">
      <c r="A726" s="325" t="str">
        <f>CONCATENATE("P",'906MP'!M426)</f>
        <v>P</v>
      </c>
      <c r="B726">
        <f>'906MP'!H426</f>
        <v>0</v>
      </c>
      <c r="C726">
        <f>'906MP'!J426</f>
        <v>0</v>
      </c>
      <c r="D726">
        <f>'906MP'!P426</f>
        <v>0</v>
      </c>
      <c r="E726">
        <f>'906MP'!X426</f>
        <v>0</v>
      </c>
      <c r="F726" t="str">
        <f t="shared" si="219"/>
        <v>0</v>
      </c>
      <c r="G726" t="str">
        <f t="shared" si="220"/>
        <v>0</v>
      </c>
      <c r="H726">
        <f>'906MP'!Y426</f>
        <v>0</v>
      </c>
      <c r="I726">
        <f>'906MP'!AK426</f>
        <v>0</v>
      </c>
      <c r="J726">
        <f>'906MP'!T426</f>
        <v>0</v>
      </c>
      <c r="K726">
        <f>'906MP'!AJ426</f>
        <v>0</v>
      </c>
      <c r="L726">
        <f>'906MP'!U426</f>
        <v>0</v>
      </c>
      <c r="M726" s="322" t="str">
        <f>IFERROR(VLOOKUP(A726,PAR!$D$3:$E$53,2,FALSE),"nincs szervezet")</f>
        <v>nincs szervezet</v>
      </c>
      <c r="N726" s="322" t="str">
        <f>VLOOKUP(F726,PAR!$R$3:$S$5,2,FALSE)</f>
        <v>3 - egyik sem</v>
      </c>
      <c r="O726" t="str">
        <f>IFERROR(VLOOKUP(J726,PAR!$O$3:$P$5,2,FALSE),"nincs feladat")</f>
        <v>nincs feladat</v>
      </c>
      <c r="P726" t="str">
        <f>IFERROR(VLOOKUP(G726,PAR!$J$2:$M$19,4),"nincs rovat")</f>
        <v>nincs rovat</v>
      </c>
      <c r="Q726" t="str">
        <f>IF(H726&gt;0,VLOOKUP(H726,PAR!$AA$3:$AC$187,3,FALSE),"nincs főkönyvi számla")</f>
        <v>nincs főkönyvi számla</v>
      </c>
      <c r="R726" t="str">
        <f>IFERROR(VLOOKUP(K726,PAR!$V$3:$X$438,3,FALSE),"000000 - Nincs COFOG")</f>
        <v>000000 - Nincs COFOG</v>
      </c>
      <c r="S726">
        <f t="shared" si="221"/>
        <v>0</v>
      </c>
      <c r="T726">
        <f t="shared" si="222"/>
        <v>0</v>
      </c>
      <c r="U726" t="str">
        <f>IF('906MP'!J426&gt;0,CONCATENATE('906MP'!J426," - ",'906MP'!P426,", ",'906MP'!E426),"nincs megjegyzés")</f>
        <v>nincs megjegyzés</v>
      </c>
      <c r="V726" t="str">
        <f t="shared" si="209"/>
        <v>0P0</v>
      </c>
      <c r="W726" t="str">
        <f t="shared" si="210"/>
        <v>0P0</v>
      </c>
      <c r="X726" t="str">
        <f t="shared" si="211"/>
        <v>P0</v>
      </c>
      <c r="Y726" t="str">
        <f t="shared" si="212"/>
        <v>00</v>
      </c>
      <c r="Z726" t="str">
        <f t="shared" si="223"/>
        <v>00</v>
      </c>
      <c r="AA726" t="str">
        <f t="shared" si="213"/>
        <v>00</v>
      </c>
      <c r="AB726" t="str">
        <f t="shared" si="214"/>
        <v>00</v>
      </c>
      <c r="AC726" t="str">
        <f t="shared" si="215"/>
        <v>0P0</v>
      </c>
      <c r="AD726" t="str">
        <f t="shared" si="216"/>
        <v>P00</v>
      </c>
      <c r="AE726" t="str">
        <f t="shared" si="217"/>
        <v>0P0</v>
      </c>
      <c r="AF726" t="str">
        <f t="shared" si="218"/>
        <v>P00</v>
      </c>
      <c r="AG726" t="str">
        <f t="shared" si="224"/>
        <v>0P00</v>
      </c>
      <c r="AH726" t="str">
        <f t="shared" si="225"/>
        <v>P000</v>
      </c>
      <c r="AI726" t="str">
        <f t="shared" si="226"/>
        <v>0P00</v>
      </c>
      <c r="AJ726" t="str">
        <f t="shared" si="227"/>
        <v>P000</v>
      </c>
    </row>
    <row r="727" spans="1:36" x14ac:dyDescent="0.25">
      <c r="A727" s="325" t="str">
        <f>CONCATENATE("P",'906MP'!M427)</f>
        <v>P</v>
      </c>
      <c r="B727">
        <f>'906MP'!H427</f>
        <v>0</v>
      </c>
      <c r="C727">
        <f>'906MP'!J427</f>
        <v>0</v>
      </c>
      <c r="D727">
        <f>'906MP'!P427</f>
        <v>0</v>
      </c>
      <c r="E727">
        <f>'906MP'!X427</f>
        <v>0</v>
      </c>
      <c r="F727" t="str">
        <f t="shared" si="219"/>
        <v>0</v>
      </c>
      <c r="G727" t="str">
        <f t="shared" si="220"/>
        <v>0</v>
      </c>
      <c r="H727">
        <f>'906MP'!Y427</f>
        <v>0</v>
      </c>
      <c r="I727">
        <f>'906MP'!AK427</f>
        <v>0</v>
      </c>
      <c r="J727">
        <f>'906MP'!T427</f>
        <v>0</v>
      </c>
      <c r="K727">
        <f>'906MP'!AJ427</f>
        <v>0</v>
      </c>
      <c r="L727">
        <f>'906MP'!U427</f>
        <v>0</v>
      </c>
      <c r="M727" s="322" t="str">
        <f>IFERROR(VLOOKUP(A727,PAR!$D$3:$E$53,2,FALSE),"nincs szervezet")</f>
        <v>nincs szervezet</v>
      </c>
      <c r="N727" s="322" t="str">
        <f>VLOOKUP(F727,PAR!$R$3:$S$5,2,FALSE)</f>
        <v>3 - egyik sem</v>
      </c>
      <c r="O727" t="str">
        <f>IFERROR(VLOOKUP(J727,PAR!$O$3:$P$5,2,FALSE),"nincs feladat")</f>
        <v>nincs feladat</v>
      </c>
      <c r="P727" t="str">
        <f>IFERROR(VLOOKUP(G727,PAR!$J$2:$M$19,4),"nincs rovat")</f>
        <v>nincs rovat</v>
      </c>
      <c r="Q727" t="str">
        <f>IF(H727&gt;0,VLOOKUP(H727,PAR!$AA$3:$AC$187,3,FALSE),"nincs főkönyvi számla")</f>
        <v>nincs főkönyvi számla</v>
      </c>
      <c r="R727" t="str">
        <f>IFERROR(VLOOKUP(K727,PAR!$V$3:$X$438,3,FALSE),"000000 - Nincs COFOG")</f>
        <v>000000 - Nincs COFOG</v>
      </c>
      <c r="S727">
        <f t="shared" si="221"/>
        <v>0</v>
      </c>
      <c r="T727">
        <f t="shared" si="222"/>
        <v>0</v>
      </c>
      <c r="U727" t="str">
        <f>IF('906MP'!J427&gt;0,CONCATENATE('906MP'!J427," - ",'906MP'!P427,", ",'906MP'!E427),"nincs megjegyzés")</f>
        <v>nincs megjegyzés</v>
      </c>
      <c r="V727" t="str">
        <f t="shared" si="209"/>
        <v>0P0</v>
      </c>
      <c r="W727" t="str">
        <f t="shared" si="210"/>
        <v>0P0</v>
      </c>
      <c r="X727" t="str">
        <f t="shared" si="211"/>
        <v>P0</v>
      </c>
      <c r="Y727" t="str">
        <f t="shared" si="212"/>
        <v>00</v>
      </c>
      <c r="Z727" t="str">
        <f t="shared" si="223"/>
        <v>00</v>
      </c>
      <c r="AA727" t="str">
        <f t="shared" si="213"/>
        <v>00</v>
      </c>
      <c r="AB727" t="str">
        <f t="shared" si="214"/>
        <v>00</v>
      </c>
      <c r="AC727" t="str">
        <f t="shared" si="215"/>
        <v>0P0</v>
      </c>
      <c r="AD727" t="str">
        <f t="shared" si="216"/>
        <v>P00</v>
      </c>
      <c r="AE727" t="str">
        <f t="shared" si="217"/>
        <v>0P0</v>
      </c>
      <c r="AF727" t="str">
        <f t="shared" si="218"/>
        <v>P00</v>
      </c>
      <c r="AG727" t="str">
        <f t="shared" si="224"/>
        <v>0P00</v>
      </c>
      <c r="AH727" t="str">
        <f t="shared" si="225"/>
        <v>P000</v>
      </c>
      <c r="AI727" t="str">
        <f t="shared" si="226"/>
        <v>0P00</v>
      </c>
      <c r="AJ727" t="str">
        <f t="shared" si="227"/>
        <v>P000</v>
      </c>
    </row>
    <row r="728" spans="1:36" x14ac:dyDescent="0.25">
      <c r="A728" s="325" t="str">
        <f>CONCATENATE("P",'906MP'!M428)</f>
        <v>P</v>
      </c>
      <c r="B728">
        <f>'906MP'!H428</f>
        <v>0</v>
      </c>
      <c r="C728">
        <f>'906MP'!J428</f>
        <v>0</v>
      </c>
      <c r="D728">
        <f>'906MP'!P428</f>
        <v>0</v>
      </c>
      <c r="E728">
        <f>'906MP'!X428</f>
        <v>0</v>
      </c>
      <c r="F728" t="str">
        <f t="shared" si="219"/>
        <v>0</v>
      </c>
      <c r="G728" t="str">
        <f t="shared" si="220"/>
        <v>0</v>
      </c>
      <c r="H728">
        <f>'906MP'!Y428</f>
        <v>0</v>
      </c>
      <c r="I728">
        <f>'906MP'!AK428</f>
        <v>0</v>
      </c>
      <c r="J728">
        <f>'906MP'!T428</f>
        <v>0</v>
      </c>
      <c r="K728">
        <f>'906MP'!AJ428</f>
        <v>0</v>
      </c>
      <c r="L728">
        <f>'906MP'!U428</f>
        <v>0</v>
      </c>
      <c r="M728" s="322" t="str">
        <f>IFERROR(VLOOKUP(A728,PAR!$D$3:$E$53,2,FALSE),"nincs szervezet")</f>
        <v>nincs szervezet</v>
      </c>
      <c r="N728" s="322" t="str">
        <f>VLOOKUP(F728,PAR!$R$3:$S$5,2,FALSE)</f>
        <v>3 - egyik sem</v>
      </c>
      <c r="O728" t="str">
        <f>IFERROR(VLOOKUP(J728,PAR!$O$3:$P$5,2,FALSE),"nincs feladat")</f>
        <v>nincs feladat</v>
      </c>
      <c r="P728" t="str">
        <f>IFERROR(VLOOKUP(G728,PAR!$J$2:$M$19,4),"nincs rovat")</f>
        <v>nincs rovat</v>
      </c>
      <c r="Q728" t="str">
        <f>IF(H728&gt;0,VLOOKUP(H728,PAR!$AA$3:$AC$187,3,FALSE),"nincs főkönyvi számla")</f>
        <v>nincs főkönyvi számla</v>
      </c>
      <c r="R728" t="str">
        <f>IFERROR(VLOOKUP(K728,PAR!$V$3:$X$438,3,FALSE),"000000 - Nincs COFOG")</f>
        <v>000000 - Nincs COFOG</v>
      </c>
      <c r="S728">
        <f t="shared" si="221"/>
        <v>0</v>
      </c>
      <c r="T728">
        <f t="shared" si="222"/>
        <v>0</v>
      </c>
      <c r="U728" t="str">
        <f>IF('906MP'!J428&gt;0,CONCATENATE('906MP'!J428," - ",'906MP'!P428,", ",'906MP'!E428),"nincs megjegyzés")</f>
        <v>nincs megjegyzés</v>
      </c>
      <c r="V728" t="str">
        <f t="shared" si="209"/>
        <v>0P0</v>
      </c>
      <c r="W728" t="str">
        <f t="shared" si="210"/>
        <v>0P0</v>
      </c>
      <c r="X728" t="str">
        <f t="shared" si="211"/>
        <v>P0</v>
      </c>
      <c r="Y728" t="str">
        <f t="shared" si="212"/>
        <v>00</v>
      </c>
      <c r="Z728" t="str">
        <f t="shared" si="223"/>
        <v>00</v>
      </c>
      <c r="AA728" t="str">
        <f t="shared" si="213"/>
        <v>00</v>
      </c>
      <c r="AB728" t="str">
        <f t="shared" si="214"/>
        <v>00</v>
      </c>
      <c r="AC728" t="str">
        <f t="shared" si="215"/>
        <v>0P0</v>
      </c>
      <c r="AD728" t="str">
        <f t="shared" si="216"/>
        <v>P00</v>
      </c>
      <c r="AE728" t="str">
        <f t="shared" si="217"/>
        <v>0P0</v>
      </c>
      <c r="AF728" t="str">
        <f t="shared" si="218"/>
        <v>P00</v>
      </c>
      <c r="AG728" t="str">
        <f t="shared" si="224"/>
        <v>0P00</v>
      </c>
      <c r="AH728" t="str">
        <f t="shared" si="225"/>
        <v>P000</v>
      </c>
      <c r="AI728" t="str">
        <f t="shared" si="226"/>
        <v>0P00</v>
      </c>
      <c r="AJ728" t="str">
        <f t="shared" si="227"/>
        <v>P000</v>
      </c>
    </row>
    <row r="729" spans="1:36" x14ac:dyDescent="0.25">
      <c r="A729" s="325" t="str">
        <f>CONCATENATE("P",'906MP'!M429)</f>
        <v>P</v>
      </c>
      <c r="B729">
        <f>'906MP'!H429</f>
        <v>0</v>
      </c>
      <c r="C729">
        <f>'906MP'!J429</f>
        <v>0</v>
      </c>
      <c r="D729">
        <f>'906MP'!P429</f>
        <v>0</v>
      </c>
      <c r="E729">
        <f>'906MP'!X429</f>
        <v>0</v>
      </c>
      <c r="F729" t="str">
        <f t="shared" si="219"/>
        <v>0</v>
      </c>
      <c r="G729" t="str">
        <f t="shared" si="220"/>
        <v>0</v>
      </c>
      <c r="H729">
        <f>'906MP'!Y429</f>
        <v>0</v>
      </c>
      <c r="I729">
        <f>'906MP'!AK429</f>
        <v>0</v>
      </c>
      <c r="J729">
        <f>'906MP'!T429</f>
        <v>0</v>
      </c>
      <c r="K729">
        <f>'906MP'!AJ429</f>
        <v>0</v>
      </c>
      <c r="L729">
        <f>'906MP'!U429</f>
        <v>0</v>
      </c>
      <c r="M729" s="322" t="str">
        <f>IFERROR(VLOOKUP(A729,PAR!$D$3:$E$53,2,FALSE),"nincs szervezet")</f>
        <v>nincs szervezet</v>
      </c>
      <c r="N729" s="322" t="str">
        <f>VLOOKUP(F729,PAR!$R$3:$S$5,2,FALSE)</f>
        <v>3 - egyik sem</v>
      </c>
      <c r="O729" t="str">
        <f>IFERROR(VLOOKUP(J729,PAR!$O$3:$P$5,2,FALSE),"nincs feladat")</f>
        <v>nincs feladat</v>
      </c>
      <c r="P729" t="str">
        <f>IFERROR(VLOOKUP(G729,PAR!$J$2:$M$19,4),"nincs rovat")</f>
        <v>nincs rovat</v>
      </c>
      <c r="Q729" t="str">
        <f>IF(H729&gt;0,VLOOKUP(H729,PAR!$AA$3:$AC$187,3,FALSE),"nincs főkönyvi számla")</f>
        <v>nincs főkönyvi számla</v>
      </c>
      <c r="R729" t="str">
        <f>IFERROR(VLOOKUP(K729,PAR!$V$3:$X$438,3,FALSE),"000000 - Nincs COFOG")</f>
        <v>000000 - Nincs COFOG</v>
      </c>
      <c r="S729">
        <f t="shared" si="221"/>
        <v>0</v>
      </c>
      <c r="T729">
        <f t="shared" si="222"/>
        <v>0</v>
      </c>
      <c r="U729" t="str">
        <f>IF('906MP'!J429&gt;0,CONCATENATE('906MP'!J429," - ",'906MP'!P429,", ",'906MP'!E429),"nincs megjegyzés")</f>
        <v>nincs megjegyzés</v>
      </c>
      <c r="V729" t="str">
        <f t="shared" si="209"/>
        <v>0P0</v>
      </c>
      <c r="W729" t="str">
        <f t="shared" si="210"/>
        <v>0P0</v>
      </c>
      <c r="X729" t="str">
        <f t="shared" si="211"/>
        <v>P0</v>
      </c>
      <c r="Y729" t="str">
        <f t="shared" si="212"/>
        <v>00</v>
      </c>
      <c r="Z729" t="str">
        <f t="shared" si="223"/>
        <v>00</v>
      </c>
      <c r="AA729" t="str">
        <f t="shared" si="213"/>
        <v>00</v>
      </c>
      <c r="AB729" t="str">
        <f t="shared" si="214"/>
        <v>00</v>
      </c>
      <c r="AC729" t="str">
        <f t="shared" si="215"/>
        <v>0P0</v>
      </c>
      <c r="AD729" t="str">
        <f t="shared" si="216"/>
        <v>P00</v>
      </c>
      <c r="AE729" t="str">
        <f t="shared" si="217"/>
        <v>0P0</v>
      </c>
      <c r="AF729" t="str">
        <f t="shared" si="218"/>
        <v>P00</v>
      </c>
      <c r="AG729" t="str">
        <f t="shared" si="224"/>
        <v>0P00</v>
      </c>
      <c r="AH729" t="str">
        <f t="shared" si="225"/>
        <v>P000</v>
      </c>
      <c r="AI729" t="str">
        <f t="shared" si="226"/>
        <v>0P00</v>
      </c>
      <c r="AJ729" t="str">
        <f t="shared" si="227"/>
        <v>P000</v>
      </c>
    </row>
    <row r="730" spans="1:36" x14ac:dyDescent="0.25">
      <c r="A730" s="325" t="str">
        <f>CONCATENATE("P",'906MP'!M430)</f>
        <v>P</v>
      </c>
      <c r="B730">
        <f>'906MP'!H430</f>
        <v>0</v>
      </c>
      <c r="C730">
        <f>'906MP'!J430</f>
        <v>0</v>
      </c>
      <c r="D730">
        <f>'906MP'!P430</f>
        <v>0</v>
      </c>
      <c r="E730">
        <f>'906MP'!X430</f>
        <v>0</v>
      </c>
      <c r="F730" t="str">
        <f t="shared" si="219"/>
        <v>0</v>
      </c>
      <c r="G730" t="str">
        <f t="shared" si="220"/>
        <v>0</v>
      </c>
      <c r="H730">
        <f>'906MP'!Y430</f>
        <v>0</v>
      </c>
      <c r="I730">
        <f>'906MP'!AK430</f>
        <v>0</v>
      </c>
      <c r="J730">
        <f>'906MP'!T430</f>
        <v>0</v>
      </c>
      <c r="K730">
        <f>'906MP'!AJ430</f>
        <v>0</v>
      </c>
      <c r="L730">
        <f>'906MP'!U430</f>
        <v>0</v>
      </c>
      <c r="M730" s="322" t="str">
        <f>IFERROR(VLOOKUP(A730,PAR!$D$3:$E$53,2,FALSE),"nincs szervezet")</f>
        <v>nincs szervezet</v>
      </c>
      <c r="N730" s="322" t="str">
        <f>VLOOKUP(F730,PAR!$R$3:$S$5,2,FALSE)</f>
        <v>3 - egyik sem</v>
      </c>
      <c r="O730" t="str">
        <f>IFERROR(VLOOKUP(J730,PAR!$O$3:$P$5,2,FALSE),"nincs feladat")</f>
        <v>nincs feladat</v>
      </c>
      <c r="P730" t="str">
        <f>IFERROR(VLOOKUP(G730,PAR!$J$2:$M$19,4),"nincs rovat")</f>
        <v>nincs rovat</v>
      </c>
      <c r="Q730" t="str">
        <f>IF(H730&gt;0,VLOOKUP(H730,PAR!$AA$3:$AC$187,3,FALSE),"nincs főkönyvi számla")</f>
        <v>nincs főkönyvi számla</v>
      </c>
      <c r="R730" t="str">
        <f>IFERROR(VLOOKUP(K730,PAR!$V$3:$X$438,3,FALSE),"000000 - Nincs COFOG")</f>
        <v>000000 - Nincs COFOG</v>
      </c>
      <c r="S730">
        <f t="shared" si="221"/>
        <v>0</v>
      </c>
      <c r="T730">
        <f t="shared" si="222"/>
        <v>0</v>
      </c>
      <c r="U730" t="str">
        <f>IF('906MP'!J430&gt;0,CONCATENATE('906MP'!J430," - ",'906MP'!P430,", ",'906MP'!E430),"nincs megjegyzés")</f>
        <v>nincs megjegyzés</v>
      </c>
      <c r="V730" t="str">
        <f t="shared" si="209"/>
        <v>0P0</v>
      </c>
      <c r="W730" t="str">
        <f t="shared" si="210"/>
        <v>0P0</v>
      </c>
      <c r="X730" t="str">
        <f t="shared" si="211"/>
        <v>P0</v>
      </c>
      <c r="Y730" t="str">
        <f t="shared" si="212"/>
        <v>00</v>
      </c>
      <c r="Z730" t="str">
        <f t="shared" si="223"/>
        <v>00</v>
      </c>
      <c r="AA730" t="str">
        <f t="shared" si="213"/>
        <v>00</v>
      </c>
      <c r="AB730" t="str">
        <f t="shared" si="214"/>
        <v>00</v>
      </c>
      <c r="AC730" t="str">
        <f t="shared" si="215"/>
        <v>0P0</v>
      </c>
      <c r="AD730" t="str">
        <f t="shared" si="216"/>
        <v>P00</v>
      </c>
      <c r="AE730" t="str">
        <f t="shared" si="217"/>
        <v>0P0</v>
      </c>
      <c r="AF730" t="str">
        <f t="shared" si="218"/>
        <v>P00</v>
      </c>
      <c r="AG730" t="str">
        <f t="shared" si="224"/>
        <v>0P00</v>
      </c>
      <c r="AH730" t="str">
        <f t="shared" si="225"/>
        <v>P000</v>
      </c>
      <c r="AI730" t="str">
        <f t="shared" si="226"/>
        <v>0P00</v>
      </c>
      <c r="AJ730" t="str">
        <f t="shared" si="227"/>
        <v>P000</v>
      </c>
    </row>
    <row r="731" spans="1:36" x14ac:dyDescent="0.25">
      <c r="A731" s="325" t="str">
        <f>CONCATENATE("P",'906MP'!M431)</f>
        <v>P</v>
      </c>
      <c r="B731">
        <f>'906MP'!H431</f>
        <v>0</v>
      </c>
      <c r="C731">
        <f>'906MP'!J431</f>
        <v>0</v>
      </c>
      <c r="D731">
        <f>'906MP'!P431</f>
        <v>0</v>
      </c>
      <c r="E731">
        <f>'906MP'!X431</f>
        <v>0</v>
      </c>
      <c r="F731" t="str">
        <f t="shared" si="219"/>
        <v>0</v>
      </c>
      <c r="G731" t="str">
        <f t="shared" si="220"/>
        <v>0</v>
      </c>
      <c r="H731">
        <f>'906MP'!Y431</f>
        <v>0</v>
      </c>
      <c r="I731">
        <f>'906MP'!AK431</f>
        <v>0</v>
      </c>
      <c r="J731">
        <f>'906MP'!T431</f>
        <v>0</v>
      </c>
      <c r="K731">
        <f>'906MP'!AJ431</f>
        <v>0</v>
      </c>
      <c r="L731">
        <f>'906MP'!U431</f>
        <v>0</v>
      </c>
      <c r="M731" s="322" t="str">
        <f>IFERROR(VLOOKUP(A731,PAR!$D$3:$E$53,2,FALSE),"nincs szervezet")</f>
        <v>nincs szervezet</v>
      </c>
      <c r="N731" s="322" t="str">
        <f>VLOOKUP(F731,PAR!$R$3:$S$5,2,FALSE)</f>
        <v>3 - egyik sem</v>
      </c>
      <c r="O731" t="str">
        <f>IFERROR(VLOOKUP(J731,PAR!$O$3:$P$5,2,FALSE),"nincs feladat")</f>
        <v>nincs feladat</v>
      </c>
      <c r="P731" t="str">
        <f>IFERROR(VLOOKUP(G731,PAR!$J$2:$M$19,4),"nincs rovat")</f>
        <v>nincs rovat</v>
      </c>
      <c r="Q731" t="str">
        <f>IF(H731&gt;0,VLOOKUP(H731,PAR!$AA$3:$AC$187,3,FALSE),"nincs főkönyvi számla")</f>
        <v>nincs főkönyvi számla</v>
      </c>
      <c r="R731" t="str">
        <f>IFERROR(VLOOKUP(K731,PAR!$V$3:$X$438,3,FALSE),"000000 - Nincs COFOG")</f>
        <v>000000 - Nincs COFOG</v>
      </c>
      <c r="S731">
        <f t="shared" si="221"/>
        <v>0</v>
      </c>
      <c r="T731">
        <f t="shared" si="222"/>
        <v>0</v>
      </c>
      <c r="U731" t="str">
        <f>IF('906MP'!J431&gt;0,CONCATENATE('906MP'!J431," - ",'906MP'!P431,", ",'906MP'!E431),"nincs megjegyzés")</f>
        <v>nincs megjegyzés</v>
      </c>
      <c r="V731" t="str">
        <f t="shared" si="209"/>
        <v>0P0</v>
      </c>
      <c r="W731" t="str">
        <f t="shared" si="210"/>
        <v>0P0</v>
      </c>
      <c r="X731" t="str">
        <f t="shared" si="211"/>
        <v>P0</v>
      </c>
      <c r="Y731" t="str">
        <f t="shared" si="212"/>
        <v>00</v>
      </c>
      <c r="Z731" t="str">
        <f t="shared" si="223"/>
        <v>00</v>
      </c>
      <c r="AA731" t="str">
        <f t="shared" si="213"/>
        <v>00</v>
      </c>
      <c r="AB731" t="str">
        <f t="shared" si="214"/>
        <v>00</v>
      </c>
      <c r="AC731" t="str">
        <f t="shared" si="215"/>
        <v>0P0</v>
      </c>
      <c r="AD731" t="str">
        <f t="shared" si="216"/>
        <v>P00</v>
      </c>
      <c r="AE731" t="str">
        <f t="shared" si="217"/>
        <v>0P0</v>
      </c>
      <c r="AF731" t="str">
        <f t="shared" si="218"/>
        <v>P00</v>
      </c>
      <c r="AG731" t="str">
        <f t="shared" si="224"/>
        <v>0P00</v>
      </c>
      <c r="AH731" t="str">
        <f t="shared" si="225"/>
        <v>P000</v>
      </c>
      <c r="AI731" t="str">
        <f t="shared" si="226"/>
        <v>0P00</v>
      </c>
      <c r="AJ731" t="str">
        <f t="shared" si="227"/>
        <v>P000</v>
      </c>
    </row>
    <row r="732" spans="1:36" x14ac:dyDescent="0.25">
      <c r="A732" s="325" t="str">
        <f>CONCATENATE("P",'906MP'!M432)</f>
        <v>P</v>
      </c>
      <c r="B732">
        <f>'906MP'!H432</f>
        <v>0</v>
      </c>
      <c r="C732">
        <f>'906MP'!J432</f>
        <v>0</v>
      </c>
      <c r="D732">
        <f>'906MP'!P432</f>
        <v>0</v>
      </c>
      <c r="E732">
        <f>'906MP'!X432</f>
        <v>0</v>
      </c>
      <c r="F732" t="str">
        <f t="shared" si="219"/>
        <v>0</v>
      </c>
      <c r="G732" t="str">
        <f t="shared" si="220"/>
        <v>0</v>
      </c>
      <c r="H732">
        <f>'906MP'!Y432</f>
        <v>0</v>
      </c>
      <c r="I732">
        <f>'906MP'!AK432</f>
        <v>0</v>
      </c>
      <c r="J732">
        <f>'906MP'!T432</f>
        <v>0</v>
      </c>
      <c r="K732">
        <f>'906MP'!AJ432</f>
        <v>0</v>
      </c>
      <c r="L732">
        <f>'906MP'!U432</f>
        <v>0</v>
      </c>
      <c r="M732" s="322" t="str">
        <f>IFERROR(VLOOKUP(A732,PAR!$D$3:$E$53,2,FALSE),"nincs szervezet")</f>
        <v>nincs szervezet</v>
      </c>
      <c r="N732" s="322" t="str">
        <f>VLOOKUP(F732,PAR!$R$3:$S$5,2,FALSE)</f>
        <v>3 - egyik sem</v>
      </c>
      <c r="O732" t="str">
        <f>IFERROR(VLOOKUP(J732,PAR!$O$3:$P$5,2,FALSE),"nincs feladat")</f>
        <v>nincs feladat</v>
      </c>
      <c r="P732" t="str">
        <f>IFERROR(VLOOKUP(G732,PAR!$J$2:$M$19,4),"nincs rovat")</f>
        <v>nincs rovat</v>
      </c>
      <c r="Q732" t="str">
        <f>IF(H732&gt;0,VLOOKUP(H732,PAR!$AA$3:$AC$187,3,FALSE),"nincs főkönyvi számla")</f>
        <v>nincs főkönyvi számla</v>
      </c>
      <c r="R732" t="str">
        <f>IFERROR(VLOOKUP(K732,PAR!$V$3:$X$438,3,FALSE),"000000 - Nincs COFOG")</f>
        <v>000000 - Nincs COFOG</v>
      </c>
      <c r="S732">
        <f t="shared" si="221"/>
        <v>0</v>
      </c>
      <c r="T732">
        <f t="shared" si="222"/>
        <v>0</v>
      </c>
      <c r="U732" t="str">
        <f>IF('906MP'!J432&gt;0,CONCATENATE('906MP'!J432," - ",'906MP'!P432,", ",'906MP'!E432),"nincs megjegyzés")</f>
        <v>nincs megjegyzés</v>
      </c>
      <c r="V732" t="str">
        <f t="shared" si="209"/>
        <v>0P0</v>
      </c>
      <c r="W732" t="str">
        <f t="shared" si="210"/>
        <v>0P0</v>
      </c>
      <c r="X732" t="str">
        <f t="shared" si="211"/>
        <v>P0</v>
      </c>
      <c r="Y732" t="str">
        <f t="shared" si="212"/>
        <v>00</v>
      </c>
      <c r="Z732" t="str">
        <f t="shared" si="223"/>
        <v>00</v>
      </c>
      <c r="AA732" t="str">
        <f t="shared" si="213"/>
        <v>00</v>
      </c>
      <c r="AB732" t="str">
        <f t="shared" si="214"/>
        <v>00</v>
      </c>
      <c r="AC732" t="str">
        <f t="shared" si="215"/>
        <v>0P0</v>
      </c>
      <c r="AD732" t="str">
        <f t="shared" si="216"/>
        <v>P00</v>
      </c>
      <c r="AE732" t="str">
        <f t="shared" si="217"/>
        <v>0P0</v>
      </c>
      <c r="AF732" t="str">
        <f t="shared" si="218"/>
        <v>P00</v>
      </c>
      <c r="AG732" t="str">
        <f t="shared" si="224"/>
        <v>0P00</v>
      </c>
      <c r="AH732" t="str">
        <f t="shared" si="225"/>
        <v>P000</v>
      </c>
      <c r="AI732" t="str">
        <f t="shared" si="226"/>
        <v>0P00</v>
      </c>
      <c r="AJ732" t="str">
        <f t="shared" si="227"/>
        <v>P000</v>
      </c>
    </row>
    <row r="733" spans="1:36" x14ac:dyDescent="0.25">
      <c r="A733" s="325" t="str">
        <f>CONCATENATE("P",'906MP'!M433)</f>
        <v>P</v>
      </c>
      <c r="B733">
        <f>'906MP'!H433</f>
        <v>0</v>
      </c>
      <c r="C733">
        <f>'906MP'!J433</f>
        <v>0</v>
      </c>
      <c r="D733">
        <f>'906MP'!P433</f>
        <v>0</v>
      </c>
      <c r="E733">
        <f>'906MP'!X433</f>
        <v>0</v>
      </c>
      <c r="F733" t="str">
        <f t="shared" si="219"/>
        <v>0</v>
      </c>
      <c r="G733" t="str">
        <f t="shared" si="220"/>
        <v>0</v>
      </c>
      <c r="H733">
        <f>'906MP'!Y433</f>
        <v>0</v>
      </c>
      <c r="I733">
        <f>'906MP'!AK433</f>
        <v>0</v>
      </c>
      <c r="J733">
        <f>'906MP'!T433</f>
        <v>0</v>
      </c>
      <c r="K733">
        <f>'906MP'!AJ433</f>
        <v>0</v>
      </c>
      <c r="L733">
        <f>'906MP'!U433</f>
        <v>0</v>
      </c>
      <c r="M733" s="322" t="str">
        <f>IFERROR(VLOOKUP(A733,PAR!$D$3:$E$53,2,FALSE),"nincs szervezet")</f>
        <v>nincs szervezet</v>
      </c>
      <c r="N733" s="322" t="str">
        <f>VLOOKUP(F733,PAR!$R$3:$S$5,2,FALSE)</f>
        <v>3 - egyik sem</v>
      </c>
      <c r="O733" t="str">
        <f>IFERROR(VLOOKUP(J733,PAR!$O$3:$P$5,2,FALSE),"nincs feladat")</f>
        <v>nincs feladat</v>
      </c>
      <c r="P733" t="str">
        <f>IFERROR(VLOOKUP(G733,PAR!$J$2:$M$19,4),"nincs rovat")</f>
        <v>nincs rovat</v>
      </c>
      <c r="Q733" t="str">
        <f>IF(H733&gt;0,VLOOKUP(H733,PAR!$AA$3:$AC$187,3,FALSE),"nincs főkönyvi számla")</f>
        <v>nincs főkönyvi számla</v>
      </c>
      <c r="R733" t="str">
        <f>IFERROR(VLOOKUP(K733,PAR!$V$3:$X$438,3,FALSE),"000000 - Nincs COFOG")</f>
        <v>000000 - Nincs COFOG</v>
      </c>
      <c r="S733">
        <f t="shared" si="221"/>
        <v>0</v>
      </c>
      <c r="T733">
        <f t="shared" si="222"/>
        <v>0</v>
      </c>
      <c r="U733" t="str">
        <f>IF('906MP'!J433&gt;0,CONCATENATE('906MP'!J433," - ",'906MP'!P433,", ",'906MP'!E433),"nincs megjegyzés")</f>
        <v>nincs megjegyzés</v>
      </c>
      <c r="V733" t="str">
        <f t="shared" si="209"/>
        <v>0P0</v>
      </c>
      <c r="W733" t="str">
        <f t="shared" si="210"/>
        <v>0P0</v>
      </c>
      <c r="X733" t="str">
        <f t="shared" si="211"/>
        <v>P0</v>
      </c>
      <c r="Y733" t="str">
        <f t="shared" si="212"/>
        <v>00</v>
      </c>
      <c r="Z733" t="str">
        <f t="shared" si="223"/>
        <v>00</v>
      </c>
      <c r="AA733" t="str">
        <f t="shared" si="213"/>
        <v>00</v>
      </c>
      <c r="AB733" t="str">
        <f t="shared" si="214"/>
        <v>00</v>
      </c>
      <c r="AC733" t="str">
        <f t="shared" si="215"/>
        <v>0P0</v>
      </c>
      <c r="AD733" t="str">
        <f t="shared" si="216"/>
        <v>P00</v>
      </c>
      <c r="AE733" t="str">
        <f t="shared" si="217"/>
        <v>0P0</v>
      </c>
      <c r="AF733" t="str">
        <f t="shared" si="218"/>
        <v>P00</v>
      </c>
      <c r="AG733" t="str">
        <f t="shared" si="224"/>
        <v>0P00</v>
      </c>
      <c r="AH733" t="str">
        <f t="shared" si="225"/>
        <v>P000</v>
      </c>
      <c r="AI733" t="str">
        <f t="shared" si="226"/>
        <v>0P00</v>
      </c>
      <c r="AJ733" t="str">
        <f t="shared" si="227"/>
        <v>P000</v>
      </c>
    </row>
    <row r="734" spans="1:36" x14ac:dyDescent="0.25">
      <c r="A734" s="325" t="str">
        <f>CONCATENATE("P",'906MP'!M434)</f>
        <v>P</v>
      </c>
      <c r="B734">
        <f>'906MP'!H434</f>
        <v>0</v>
      </c>
      <c r="C734">
        <f>'906MP'!J434</f>
        <v>0</v>
      </c>
      <c r="D734">
        <f>'906MP'!P434</f>
        <v>0</v>
      </c>
      <c r="E734">
        <f>'906MP'!X434</f>
        <v>0</v>
      </c>
      <c r="F734" t="str">
        <f t="shared" si="219"/>
        <v>0</v>
      </c>
      <c r="G734" t="str">
        <f t="shared" si="220"/>
        <v>0</v>
      </c>
      <c r="H734">
        <f>'906MP'!Y434</f>
        <v>0</v>
      </c>
      <c r="I734">
        <f>'906MP'!AK434</f>
        <v>0</v>
      </c>
      <c r="J734">
        <f>'906MP'!T434</f>
        <v>0</v>
      </c>
      <c r="K734">
        <f>'906MP'!AJ434</f>
        <v>0</v>
      </c>
      <c r="L734">
        <f>'906MP'!U434</f>
        <v>0</v>
      </c>
      <c r="M734" s="322" t="str">
        <f>IFERROR(VLOOKUP(A734,PAR!$D$3:$E$53,2,FALSE),"nincs szervezet")</f>
        <v>nincs szervezet</v>
      </c>
      <c r="N734" s="322" t="str">
        <f>VLOOKUP(F734,PAR!$R$3:$S$5,2,FALSE)</f>
        <v>3 - egyik sem</v>
      </c>
      <c r="O734" t="str">
        <f>IFERROR(VLOOKUP(J734,PAR!$O$3:$P$5,2,FALSE),"nincs feladat")</f>
        <v>nincs feladat</v>
      </c>
      <c r="P734" t="str">
        <f>IFERROR(VLOOKUP(G734,PAR!$J$2:$M$19,4),"nincs rovat")</f>
        <v>nincs rovat</v>
      </c>
      <c r="Q734" t="str">
        <f>IF(H734&gt;0,VLOOKUP(H734,PAR!$AA$3:$AC$187,3,FALSE),"nincs főkönyvi számla")</f>
        <v>nincs főkönyvi számla</v>
      </c>
      <c r="R734" t="str">
        <f>IFERROR(VLOOKUP(K734,PAR!$V$3:$X$438,3,FALSE),"000000 - Nincs COFOG")</f>
        <v>000000 - Nincs COFOG</v>
      </c>
      <c r="S734">
        <f t="shared" si="221"/>
        <v>0</v>
      </c>
      <c r="T734">
        <f t="shared" si="222"/>
        <v>0</v>
      </c>
      <c r="U734" t="str">
        <f>IF('906MP'!J434&gt;0,CONCATENATE('906MP'!J434," - ",'906MP'!P434,", ",'906MP'!E434),"nincs megjegyzés")</f>
        <v>nincs megjegyzés</v>
      </c>
      <c r="V734" t="str">
        <f t="shared" si="209"/>
        <v>0P0</v>
      </c>
      <c r="W734" t="str">
        <f t="shared" si="210"/>
        <v>0P0</v>
      </c>
      <c r="X734" t="str">
        <f t="shared" si="211"/>
        <v>P0</v>
      </c>
      <c r="Y734" t="str">
        <f t="shared" si="212"/>
        <v>00</v>
      </c>
      <c r="Z734" t="str">
        <f t="shared" si="223"/>
        <v>00</v>
      </c>
      <c r="AA734" t="str">
        <f t="shared" si="213"/>
        <v>00</v>
      </c>
      <c r="AB734" t="str">
        <f t="shared" si="214"/>
        <v>00</v>
      </c>
      <c r="AC734" t="str">
        <f t="shared" si="215"/>
        <v>0P0</v>
      </c>
      <c r="AD734" t="str">
        <f t="shared" si="216"/>
        <v>P00</v>
      </c>
      <c r="AE734" t="str">
        <f t="shared" si="217"/>
        <v>0P0</v>
      </c>
      <c r="AF734" t="str">
        <f t="shared" si="218"/>
        <v>P00</v>
      </c>
      <c r="AG734" t="str">
        <f t="shared" si="224"/>
        <v>0P00</v>
      </c>
      <c r="AH734" t="str">
        <f t="shared" si="225"/>
        <v>P000</v>
      </c>
      <c r="AI734" t="str">
        <f t="shared" si="226"/>
        <v>0P00</v>
      </c>
      <c r="AJ734" t="str">
        <f t="shared" si="227"/>
        <v>P000</v>
      </c>
    </row>
    <row r="735" spans="1:36" x14ac:dyDescent="0.25">
      <c r="A735" s="325" t="str">
        <f>CONCATENATE("P",'906MP'!M435)</f>
        <v>P</v>
      </c>
      <c r="B735">
        <f>'906MP'!H435</f>
        <v>0</v>
      </c>
      <c r="C735">
        <f>'906MP'!J435</f>
        <v>0</v>
      </c>
      <c r="D735">
        <f>'906MP'!P435</f>
        <v>0</v>
      </c>
      <c r="E735">
        <f>'906MP'!X435</f>
        <v>0</v>
      </c>
      <c r="F735" t="str">
        <f t="shared" si="219"/>
        <v>0</v>
      </c>
      <c r="G735" t="str">
        <f t="shared" si="220"/>
        <v>0</v>
      </c>
      <c r="H735">
        <f>'906MP'!Y435</f>
        <v>0</v>
      </c>
      <c r="I735">
        <f>'906MP'!AK435</f>
        <v>0</v>
      </c>
      <c r="J735">
        <f>'906MP'!T435</f>
        <v>0</v>
      </c>
      <c r="K735">
        <f>'906MP'!AJ435</f>
        <v>0</v>
      </c>
      <c r="L735">
        <f>'906MP'!U435</f>
        <v>0</v>
      </c>
      <c r="M735" s="322" t="str">
        <f>IFERROR(VLOOKUP(A735,PAR!$D$3:$E$53,2,FALSE),"nincs szervezet")</f>
        <v>nincs szervezet</v>
      </c>
      <c r="N735" s="322" t="str">
        <f>VLOOKUP(F735,PAR!$R$3:$S$5,2,FALSE)</f>
        <v>3 - egyik sem</v>
      </c>
      <c r="O735" t="str">
        <f>IFERROR(VLOOKUP(J735,PAR!$O$3:$P$5,2,FALSE),"nincs feladat")</f>
        <v>nincs feladat</v>
      </c>
      <c r="P735" t="str">
        <f>IFERROR(VLOOKUP(G735,PAR!$J$2:$M$19,4),"nincs rovat")</f>
        <v>nincs rovat</v>
      </c>
      <c r="Q735" t="str">
        <f>IF(H735&gt;0,VLOOKUP(H735,PAR!$AA$3:$AC$187,3,FALSE),"nincs főkönyvi számla")</f>
        <v>nincs főkönyvi számla</v>
      </c>
      <c r="R735" t="str">
        <f>IFERROR(VLOOKUP(K735,PAR!$V$3:$X$438,3,FALSE),"000000 - Nincs COFOG")</f>
        <v>000000 - Nincs COFOG</v>
      </c>
      <c r="S735">
        <f t="shared" si="221"/>
        <v>0</v>
      </c>
      <c r="T735">
        <f t="shared" si="222"/>
        <v>0</v>
      </c>
      <c r="U735" t="str">
        <f>IF('906MP'!J435&gt;0,CONCATENATE('906MP'!J435," - ",'906MP'!P435,", ",'906MP'!E435),"nincs megjegyzés")</f>
        <v>nincs megjegyzés</v>
      </c>
      <c r="V735" t="str">
        <f t="shared" si="209"/>
        <v>0P0</v>
      </c>
      <c r="W735" t="str">
        <f t="shared" si="210"/>
        <v>0P0</v>
      </c>
      <c r="X735" t="str">
        <f t="shared" si="211"/>
        <v>P0</v>
      </c>
      <c r="Y735" t="str">
        <f t="shared" si="212"/>
        <v>00</v>
      </c>
      <c r="Z735" t="str">
        <f t="shared" si="223"/>
        <v>00</v>
      </c>
      <c r="AA735" t="str">
        <f t="shared" si="213"/>
        <v>00</v>
      </c>
      <c r="AB735" t="str">
        <f t="shared" si="214"/>
        <v>00</v>
      </c>
      <c r="AC735" t="str">
        <f t="shared" si="215"/>
        <v>0P0</v>
      </c>
      <c r="AD735" t="str">
        <f t="shared" si="216"/>
        <v>P00</v>
      </c>
      <c r="AE735" t="str">
        <f t="shared" si="217"/>
        <v>0P0</v>
      </c>
      <c r="AF735" t="str">
        <f t="shared" si="218"/>
        <v>P00</v>
      </c>
      <c r="AG735" t="str">
        <f t="shared" si="224"/>
        <v>0P00</v>
      </c>
      <c r="AH735" t="str">
        <f t="shared" si="225"/>
        <v>P000</v>
      </c>
      <c r="AI735" t="str">
        <f t="shared" si="226"/>
        <v>0P00</v>
      </c>
      <c r="AJ735" t="str">
        <f t="shared" si="227"/>
        <v>P000</v>
      </c>
    </row>
    <row r="736" spans="1:36" x14ac:dyDescent="0.25">
      <c r="A736" s="325" t="str">
        <f>CONCATENATE("P",'906MP'!M436)</f>
        <v>P</v>
      </c>
      <c r="B736">
        <f>'906MP'!H436</f>
        <v>0</v>
      </c>
      <c r="C736">
        <f>'906MP'!J436</f>
        <v>0</v>
      </c>
      <c r="D736">
        <f>'906MP'!P436</f>
        <v>0</v>
      </c>
      <c r="E736">
        <f>'906MP'!X436</f>
        <v>0</v>
      </c>
      <c r="F736" t="str">
        <f t="shared" si="219"/>
        <v>0</v>
      </c>
      <c r="G736" t="str">
        <f t="shared" si="220"/>
        <v>0</v>
      </c>
      <c r="H736">
        <f>'906MP'!Y436</f>
        <v>0</v>
      </c>
      <c r="I736">
        <f>'906MP'!AK436</f>
        <v>0</v>
      </c>
      <c r="J736">
        <f>'906MP'!T436</f>
        <v>0</v>
      </c>
      <c r="K736">
        <f>'906MP'!AJ436</f>
        <v>0</v>
      </c>
      <c r="L736">
        <f>'906MP'!U436</f>
        <v>0</v>
      </c>
      <c r="M736" s="322" t="str">
        <f>IFERROR(VLOOKUP(A736,PAR!$D$3:$E$53,2,FALSE),"nincs szervezet")</f>
        <v>nincs szervezet</v>
      </c>
      <c r="N736" s="322" t="str">
        <f>VLOOKUP(F736,PAR!$R$3:$S$5,2,FALSE)</f>
        <v>3 - egyik sem</v>
      </c>
      <c r="O736" t="str">
        <f>IFERROR(VLOOKUP(J736,PAR!$O$3:$P$5,2,FALSE),"nincs feladat")</f>
        <v>nincs feladat</v>
      </c>
      <c r="P736" t="str">
        <f>IFERROR(VLOOKUP(G736,PAR!$J$2:$M$19,4),"nincs rovat")</f>
        <v>nincs rovat</v>
      </c>
      <c r="Q736" t="str">
        <f>IF(H736&gt;0,VLOOKUP(H736,PAR!$AA$3:$AC$187,3,FALSE),"nincs főkönyvi számla")</f>
        <v>nincs főkönyvi számla</v>
      </c>
      <c r="R736" t="str">
        <f>IFERROR(VLOOKUP(K736,PAR!$V$3:$X$438,3,FALSE),"000000 - Nincs COFOG")</f>
        <v>000000 - Nincs COFOG</v>
      </c>
      <c r="S736">
        <f t="shared" si="221"/>
        <v>0</v>
      </c>
      <c r="T736">
        <f t="shared" si="222"/>
        <v>0</v>
      </c>
      <c r="U736" t="str">
        <f>IF('906MP'!J436&gt;0,CONCATENATE('906MP'!J436," - ",'906MP'!P436,", ",'906MP'!E436),"nincs megjegyzés")</f>
        <v>nincs megjegyzés</v>
      </c>
      <c r="V736" t="str">
        <f t="shared" si="209"/>
        <v>0P0</v>
      </c>
      <c r="W736" t="str">
        <f t="shared" si="210"/>
        <v>0P0</v>
      </c>
      <c r="X736" t="str">
        <f t="shared" si="211"/>
        <v>P0</v>
      </c>
      <c r="Y736" t="str">
        <f t="shared" si="212"/>
        <v>00</v>
      </c>
      <c r="Z736" t="str">
        <f t="shared" si="223"/>
        <v>00</v>
      </c>
      <c r="AA736" t="str">
        <f t="shared" si="213"/>
        <v>00</v>
      </c>
      <c r="AB736" t="str">
        <f t="shared" si="214"/>
        <v>00</v>
      </c>
      <c r="AC736" t="str">
        <f t="shared" si="215"/>
        <v>0P0</v>
      </c>
      <c r="AD736" t="str">
        <f t="shared" si="216"/>
        <v>P00</v>
      </c>
      <c r="AE736" t="str">
        <f t="shared" si="217"/>
        <v>0P0</v>
      </c>
      <c r="AF736" t="str">
        <f t="shared" si="218"/>
        <v>P00</v>
      </c>
      <c r="AG736" t="str">
        <f t="shared" si="224"/>
        <v>0P00</v>
      </c>
      <c r="AH736" t="str">
        <f t="shared" si="225"/>
        <v>P000</v>
      </c>
      <c r="AI736" t="str">
        <f t="shared" si="226"/>
        <v>0P00</v>
      </c>
      <c r="AJ736" t="str">
        <f t="shared" si="227"/>
        <v>P000</v>
      </c>
    </row>
    <row r="737" spans="1:36" x14ac:dyDescent="0.25">
      <c r="A737" s="325" t="str">
        <f>CONCATENATE("P",'906MP'!M437)</f>
        <v>P</v>
      </c>
      <c r="B737">
        <f>'906MP'!H437</f>
        <v>0</v>
      </c>
      <c r="C737">
        <f>'906MP'!J437</f>
        <v>0</v>
      </c>
      <c r="D737">
        <f>'906MP'!P437</f>
        <v>0</v>
      </c>
      <c r="E737">
        <f>'906MP'!X437</f>
        <v>0</v>
      </c>
      <c r="F737" t="str">
        <f t="shared" si="219"/>
        <v>0</v>
      </c>
      <c r="G737" t="str">
        <f t="shared" si="220"/>
        <v>0</v>
      </c>
      <c r="H737">
        <f>'906MP'!Y437</f>
        <v>0</v>
      </c>
      <c r="I737">
        <f>'906MP'!AK437</f>
        <v>0</v>
      </c>
      <c r="J737">
        <f>'906MP'!T437</f>
        <v>0</v>
      </c>
      <c r="K737">
        <f>'906MP'!AJ437</f>
        <v>0</v>
      </c>
      <c r="L737">
        <f>'906MP'!U437</f>
        <v>0</v>
      </c>
      <c r="M737" s="322" t="str">
        <f>IFERROR(VLOOKUP(A737,PAR!$D$3:$E$53,2,FALSE),"nincs szervezet")</f>
        <v>nincs szervezet</v>
      </c>
      <c r="N737" s="322" t="str">
        <f>VLOOKUP(F737,PAR!$R$3:$S$5,2,FALSE)</f>
        <v>3 - egyik sem</v>
      </c>
      <c r="O737" t="str">
        <f>IFERROR(VLOOKUP(J737,PAR!$O$3:$P$5,2,FALSE),"nincs feladat")</f>
        <v>nincs feladat</v>
      </c>
      <c r="P737" t="str">
        <f>IFERROR(VLOOKUP(G737,PAR!$J$2:$M$19,4),"nincs rovat")</f>
        <v>nincs rovat</v>
      </c>
      <c r="Q737" t="str">
        <f>IF(H737&gt;0,VLOOKUP(H737,PAR!$AA$3:$AC$187,3,FALSE),"nincs főkönyvi számla")</f>
        <v>nincs főkönyvi számla</v>
      </c>
      <c r="R737" t="str">
        <f>IFERROR(VLOOKUP(K737,PAR!$V$3:$X$438,3,FALSE),"000000 - Nincs COFOG")</f>
        <v>000000 - Nincs COFOG</v>
      </c>
      <c r="S737">
        <f t="shared" si="221"/>
        <v>0</v>
      </c>
      <c r="T737">
        <f t="shared" si="222"/>
        <v>0</v>
      </c>
      <c r="U737" t="str">
        <f>IF('906MP'!J437&gt;0,CONCATENATE('906MP'!J437," - ",'906MP'!P437,", ",'906MP'!E437),"nincs megjegyzés")</f>
        <v>nincs megjegyzés</v>
      </c>
      <c r="V737" t="str">
        <f t="shared" si="209"/>
        <v>0P0</v>
      </c>
      <c r="W737" t="str">
        <f t="shared" si="210"/>
        <v>0P0</v>
      </c>
      <c r="X737" t="str">
        <f t="shared" si="211"/>
        <v>P0</v>
      </c>
      <c r="Y737" t="str">
        <f t="shared" si="212"/>
        <v>00</v>
      </c>
      <c r="Z737" t="str">
        <f t="shared" si="223"/>
        <v>00</v>
      </c>
      <c r="AA737" t="str">
        <f t="shared" si="213"/>
        <v>00</v>
      </c>
      <c r="AB737" t="str">
        <f t="shared" si="214"/>
        <v>00</v>
      </c>
      <c r="AC737" t="str">
        <f t="shared" si="215"/>
        <v>0P0</v>
      </c>
      <c r="AD737" t="str">
        <f t="shared" si="216"/>
        <v>P00</v>
      </c>
      <c r="AE737" t="str">
        <f t="shared" si="217"/>
        <v>0P0</v>
      </c>
      <c r="AF737" t="str">
        <f t="shared" si="218"/>
        <v>P00</v>
      </c>
      <c r="AG737" t="str">
        <f t="shared" si="224"/>
        <v>0P00</v>
      </c>
      <c r="AH737" t="str">
        <f t="shared" si="225"/>
        <v>P000</v>
      </c>
      <c r="AI737" t="str">
        <f t="shared" si="226"/>
        <v>0P00</v>
      </c>
      <c r="AJ737" t="str">
        <f t="shared" si="227"/>
        <v>P000</v>
      </c>
    </row>
    <row r="738" spans="1:36" x14ac:dyDescent="0.25">
      <c r="A738" s="325" t="str">
        <f>CONCATENATE("P",'906MP'!M438)</f>
        <v>P</v>
      </c>
      <c r="B738">
        <f>'906MP'!H438</f>
        <v>0</v>
      </c>
      <c r="C738">
        <f>'906MP'!J438</f>
        <v>0</v>
      </c>
      <c r="D738">
        <f>'906MP'!P438</f>
        <v>0</v>
      </c>
      <c r="E738">
        <f>'906MP'!X438</f>
        <v>0</v>
      </c>
      <c r="F738" t="str">
        <f t="shared" si="219"/>
        <v>0</v>
      </c>
      <c r="G738" t="str">
        <f t="shared" si="220"/>
        <v>0</v>
      </c>
      <c r="H738">
        <f>'906MP'!Y438</f>
        <v>0</v>
      </c>
      <c r="I738">
        <f>'906MP'!AK438</f>
        <v>0</v>
      </c>
      <c r="J738">
        <f>'906MP'!T438</f>
        <v>0</v>
      </c>
      <c r="K738">
        <f>'906MP'!AJ438</f>
        <v>0</v>
      </c>
      <c r="L738">
        <f>'906MP'!U438</f>
        <v>0</v>
      </c>
      <c r="M738" s="322" t="str">
        <f>IFERROR(VLOOKUP(A738,PAR!$D$3:$E$53,2,FALSE),"nincs szervezet")</f>
        <v>nincs szervezet</v>
      </c>
      <c r="N738" s="322" t="str">
        <f>VLOOKUP(F738,PAR!$R$3:$S$5,2,FALSE)</f>
        <v>3 - egyik sem</v>
      </c>
      <c r="O738" t="str">
        <f>IFERROR(VLOOKUP(J738,PAR!$O$3:$P$5,2,FALSE),"nincs feladat")</f>
        <v>nincs feladat</v>
      </c>
      <c r="P738" t="str">
        <f>IFERROR(VLOOKUP(G738,PAR!$J$2:$M$19,4),"nincs rovat")</f>
        <v>nincs rovat</v>
      </c>
      <c r="Q738" t="str">
        <f>IF(H738&gt;0,VLOOKUP(H738,PAR!$AA$3:$AC$187,3,FALSE),"nincs főkönyvi számla")</f>
        <v>nincs főkönyvi számla</v>
      </c>
      <c r="R738" t="str">
        <f>IFERROR(VLOOKUP(K738,PAR!$V$3:$X$438,3,FALSE),"000000 - Nincs COFOG")</f>
        <v>000000 - Nincs COFOG</v>
      </c>
      <c r="S738">
        <f t="shared" si="221"/>
        <v>0</v>
      </c>
      <c r="T738">
        <f t="shared" si="222"/>
        <v>0</v>
      </c>
      <c r="U738" t="str">
        <f>IF('906MP'!J438&gt;0,CONCATENATE('906MP'!J438," - ",'906MP'!P438,", ",'906MP'!E438),"nincs megjegyzés")</f>
        <v>nincs megjegyzés</v>
      </c>
      <c r="V738" t="str">
        <f t="shared" si="209"/>
        <v>0P0</v>
      </c>
      <c r="W738" t="str">
        <f t="shared" si="210"/>
        <v>0P0</v>
      </c>
      <c r="X738" t="str">
        <f t="shared" si="211"/>
        <v>P0</v>
      </c>
      <c r="Y738" t="str">
        <f t="shared" si="212"/>
        <v>00</v>
      </c>
      <c r="Z738" t="str">
        <f t="shared" si="223"/>
        <v>00</v>
      </c>
      <c r="AA738" t="str">
        <f t="shared" si="213"/>
        <v>00</v>
      </c>
      <c r="AB738" t="str">
        <f t="shared" si="214"/>
        <v>00</v>
      </c>
      <c r="AC738" t="str">
        <f t="shared" si="215"/>
        <v>0P0</v>
      </c>
      <c r="AD738" t="str">
        <f t="shared" si="216"/>
        <v>P00</v>
      </c>
      <c r="AE738" t="str">
        <f t="shared" si="217"/>
        <v>0P0</v>
      </c>
      <c r="AF738" t="str">
        <f t="shared" si="218"/>
        <v>P00</v>
      </c>
      <c r="AG738" t="str">
        <f t="shared" si="224"/>
        <v>0P00</v>
      </c>
      <c r="AH738" t="str">
        <f t="shared" si="225"/>
        <v>P000</v>
      </c>
      <c r="AI738" t="str">
        <f t="shared" si="226"/>
        <v>0P00</v>
      </c>
      <c r="AJ738" t="str">
        <f t="shared" si="227"/>
        <v>P000</v>
      </c>
    </row>
    <row r="739" spans="1:36" x14ac:dyDescent="0.25">
      <c r="A739" s="325" t="str">
        <f>CONCATENATE("P",'906MP'!M439)</f>
        <v>P</v>
      </c>
      <c r="B739">
        <f>'906MP'!H439</f>
        <v>0</v>
      </c>
      <c r="C739">
        <f>'906MP'!J439</f>
        <v>0</v>
      </c>
      <c r="D739">
        <f>'906MP'!P439</f>
        <v>0</v>
      </c>
      <c r="E739">
        <f>'906MP'!X439</f>
        <v>0</v>
      </c>
      <c r="F739" t="str">
        <f t="shared" si="219"/>
        <v>0</v>
      </c>
      <c r="G739" t="str">
        <f t="shared" si="220"/>
        <v>0</v>
      </c>
      <c r="H739">
        <f>'906MP'!Y439</f>
        <v>0</v>
      </c>
      <c r="I739">
        <f>'906MP'!AK439</f>
        <v>0</v>
      </c>
      <c r="J739">
        <f>'906MP'!T439</f>
        <v>0</v>
      </c>
      <c r="K739">
        <f>'906MP'!AJ439</f>
        <v>0</v>
      </c>
      <c r="L739">
        <f>'906MP'!U439</f>
        <v>0</v>
      </c>
      <c r="M739" s="322" t="str">
        <f>IFERROR(VLOOKUP(A739,PAR!$D$3:$E$53,2,FALSE),"nincs szervezet")</f>
        <v>nincs szervezet</v>
      </c>
      <c r="N739" s="322" t="str">
        <f>VLOOKUP(F739,PAR!$R$3:$S$5,2,FALSE)</f>
        <v>3 - egyik sem</v>
      </c>
      <c r="O739" t="str">
        <f>IFERROR(VLOOKUP(J739,PAR!$O$3:$P$5,2,FALSE),"nincs feladat")</f>
        <v>nincs feladat</v>
      </c>
      <c r="P739" t="str">
        <f>IFERROR(VLOOKUP(G739,PAR!$J$2:$M$19,4),"nincs rovat")</f>
        <v>nincs rovat</v>
      </c>
      <c r="Q739" t="str">
        <f>IF(H739&gt;0,VLOOKUP(H739,PAR!$AA$3:$AC$187,3,FALSE),"nincs főkönyvi számla")</f>
        <v>nincs főkönyvi számla</v>
      </c>
      <c r="R739" t="str">
        <f>IFERROR(VLOOKUP(K739,PAR!$V$3:$X$438,3,FALSE),"000000 - Nincs COFOG")</f>
        <v>000000 - Nincs COFOG</v>
      </c>
      <c r="S739">
        <f t="shared" si="221"/>
        <v>0</v>
      </c>
      <c r="T739">
        <f t="shared" si="222"/>
        <v>0</v>
      </c>
      <c r="U739" t="str">
        <f>IF('906MP'!J439&gt;0,CONCATENATE('906MP'!J439," - ",'906MP'!P439,", ",'906MP'!E439),"nincs megjegyzés")</f>
        <v>nincs megjegyzés</v>
      </c>
      <c r="V739" t="str">
        <f t="shared" si="209"/>
        <v>0P0</v>
      </c>
      <c r="W739" t="str">
        <f t="shared" si="210"/>
        <v>0P0</v>
      </c>
      <c r="X739" t="str">
        <f t="shared" si="211"/>
        <v>P0</v>
      </c>
      <c r="Y739" t="str">
        <f t="shared" si="212"/>
        <v>00</v>
      </c>
      <c r="Z739" t="str">
        <f t="shared" si="223"/>
        <v>00</v>
      </c>
      <c r="AA739" t="str">
        <f t="shared" si="213"/>
        <v>00</v>
      </c>
      <c r="AB739" t="str">
        <f t="shared" si="214"/>
        <v>00</v>
      </c>
      <c r="AC739" t="str">
        <f t="shared" si="215"/>
        <v>0P0</v>
      </c>
      <c r="AD739" t="str">
        <f t="shared" si="216"/>
        <v>P00</v>
      </c>
      <c r="AE739" t="str">
        <f t="shared" si="217"/>
        <v>0P0</v>
      </c>
      <c r="AF739" t="str">
        <f t="shared" si="218"/>
        <v>P00</v>
      </c>
      <c r="AG739" t="str">
        <f t="shared" si="224"/>
        <v>0P00</v>
      </c>
      <c r="AH739" t="str">
        <f t="shared" si="225"/>
        <v>P000</v>
      </c>
      <c r="AI739" t="str">
        <f t="shared" si="226"/>
        <v>0P00</v>
      </c>
      <c r="AJ739" t="str">
        <f t="shared" si="227"/>
        <v>P000</v>
      </c>
    </row>
    <row r="740" spans="1:36" x14ac:dyDescent="0.25">
      <c r="A740" s="325" t="str">
        <f>CONCATENATE("P",'906MP'!M440)</f>
        <v>P</v>
      </c>
      <c r="B740">
        <f>'906MP'!H440</f>
        <v>0</v>
      </c>
      <c r="C740">
        <f>'906MP'!J440</f>
        <v>0</v>
      </c>
      <c r="D740">
        <f>'906MP'!P440</f>
        <v>0</v>
      </c>
      <c r="E740">
        <f>'906MP'!X440</f>
        <v>0</v>
      </c>
      <c r="F740" t="str">
        <f t="shared" si="219"/>
        <v>0</v>
      </c>
      <c r="G740" t="str">
        <f t="shared" si="220"/>
        <v>0</v>
      </c>
      <c r="H740">
        <f>'906MP'!Y440</f>
        <v>0</v>
      </c>
      <c r="I740">
        <f>'906MP'!AK440</f>
        <v>0</v>
      </c>
      <c r="J740">
        <f>'906MP'!T440</f>
        <v>0</v>
      </c>
      <c r="K740">
        <f>'906MP'!AJ440</f>
        <v>0</v>
      </c>
      <c r="L740">
        <f>'906MP'!U440</f>
        <v>0</v>
      </c>
      <c r="M740" s="322" t="str">
        <f>IFERROR(VLOOKUP(A740,PAR!$D$3:$E$53,2,FALSE),"nincs szervezet")</f>
        <v>nincs szervezet</v>
      </c>
      <c r="N740" s="322" t="str">
        <f>VLOOKUP(F740,PAR!$R$3:$S$5,2,FALSE)</f>
        <v>3 - egyik sem</v>
      </c>
      <c r="O740" t="str">
        <f>IFERROR(VLOOKUP(J740,PAR!$O$3:$P$5,2,FALSE),"nincs feladat")</f>
        <v>nincs feladat</v>
      </c>
      <c r="P740" t="str">
        <f>IFERROR(VLOOKUP(G740,PAR!$J$2:$M$19,4),"nincs rovat")</f>
        <v>nincs rovat</v>
      </c>
      <c r="Q740" t="str">
        <f>IF(H740&gt;0,VLOOKUP(H740,PAR!$AA$3:$AC$187,3,FALSE),"nincs főkönyvi számla")</f>
        <v>nincs főkönyvi számla</v>
      </c>
      <c r="R740" t="str">
        <f>IFERROR(VLOOKUP(K740,PAR!$V$3:$X$438,3,FALSE),"000000 - Nincs COFOG")</f>
        <v>000000 - Nincs COFOG</v>
      </c>
      <c r="S740">
        <f t="shared" si="221"/>
        <v>0</v>
      </c>
      <c r="T740">
        <f t="shared" si="222"/>
        <v>0</v>
      </c>
      <c r="U740" t="str">
        <f>IF('906MP'!J440&gt;0,CONCATENATE('906MP'!J440," - ",'906MP'!P440,", ",'906MP'!E440),"nincs megjegyzés")</f>
        <v>nincs megjegyzés</v>
      </c>
      <c r="V740" t="str">
        <f t="shared" si="209"/>
        <v>0P0</v>
      </c>
      <c r="W740" t="str">
        <f t="shared" si="210"/>
        <v>0P0</v>
      </c>
      <c r="X740" t="str">
        <f t="shared" si="211"/>
        <v>P0</v>
      </c>
      <c r="Y740" t="str">
        <f t="shared" si="212"/>
        <v>00</v>
      </c>
      <c r="Z740" t="str">
        <f t="shared" si="223"/>
        <v>00</v>
      </c>
      <c r="AA740" t="str">
        <f t="shared" si="213"/>
        <v>00</v>
      </c>
      <c r="AB740" t="str">
        <f t="shared" si="214"/>
        <v>00</v>
      </c>
      <c r="AC740" t="str">
        <f t="shared" si="215"/>
        <v>0P0</v>
      </c>
      <c r="AD740" t="str">
        <f t="shared" si="216"/>
        <v>P00</v>
      </c>
      <c r="AE740" t="str">
        <f t="shared" si="217"/>
        <v>0P0</v>
      </c>
      <c r="AF740" t="str">
        <f t="shared" si="218"/>
        <v>P00</v>
      </c>
      <c r="AG740" t="str">
        <f t="shared" si="224"/>
        <v>0P00</v>
      </c>
      <c r="AH740" t="str">
        <f t="shared" si="225"/>
        <v>P000</v>
      </c>
      <c r="AI740" t="str">
        <f t="shared" si="226"/>
        <v>0P00</v>
      </c>
      <c r="AJ740" t="str">
        <f t="shared" si="227"/>
        <v>P000</v>
      </c>
    </row>
    <row r="741" spans="1:36" x14ac:dyDescent="0.25">
      <c r="A741" s="325" t="str">
        <f>CONCATENATE("P",'906MP'!M441)</f>
        <v>P</v>
      </c>
      <c r="B741">
        <f>'906MP'!H441</f>
        <v>0</v>
      </c>
      <c r="C741">
        <f>'906MP'!J441</f>
        <v>0</v>
      </c>
      <c r="D741">
        <f>'906MP'!P441</f>
        <v>0</v>
      </c>
      <c r="E741">
        <f>'906MP'!X441</f>
        <v>0</v>
      </c>
      <c r="F741" t="str">
        <f t="shared" si="219"/>
        <v>0</v>
      </c>
      <c r="G741" t="str">
        <f t="shared" si="220"/>
        <v>0</v>
      </c>
      <c r="H741">
        <f>'906MP'!Y441</f>
        <v>0</v>
      </c>
      <c r="I741">
        <f>'906MP'!AK441</f>
        <v>0</v>
      </c>
      <c r="J741">
        <f>'906MP'!T441</f>
        <v>0</v>
      </c>
      <c r="K741">
        <f>'906MP'!AJ441</f>
        <v>0</v>
      </c>
      <c r="L741">
        <f>'906MP'!U441</f>
        <v>0</v>
      </c>
      <c r="M741" s="322" t="str">
        <f>IFERROR(VLOOKUP(A741,PAR!$D$3:$E$53,2,FALSE),"nincs szervezet")</f>
        <v>nincs szervezet</v>
      </c>
      <c r="N741" s="322" t="str">
        <f>VLOOKUP(F741,PAR!$R$3:$S$5,2,FALSE)</f>
        <v>3 - egyik sem</v>
      </c>
      <c r="O741" t="str">
        <f>IFERROR(VLOOKUP(J741,PAR!$O$3:$P$5,2,FALSE),"nincs feladat")</f>
        <v>nincs feladat</v>
      </c>
      <c r="P741" t="str">
        <f>IFERROR(VLOOKUP(G741,PAR!$J$2:$M$19,4),"nincs rovat")</f>
        <v>nincs rovat</v>
      </c>
      <c r="Q741" t="str">
        <f>IF(H741&gt;0,VLOOKUP(H741,PAR!$AA$3:$AC$187,3,FALSE),"nincs főkönyvi számla")</f>
        <v>nincs főkönyvi számla</v>
      </c>
      <c r="R741" t="str">
        <f>IFERROR(VLOOKUP(K741,PAR!$V$3:$X$438,3,FALSE),"000000 - Nincs COFOG")</f>
        <v>000000 - Nincs COFOG</v>
      </c>
      <c r="S741">
        <f t="shared" si="221"/>
        <v>0</v>
      </c>
      <c r="T741">
        <f t="shared" si="222"/>
        <v>0</v>
      </c>
      <c r="U741" t="str">
        <f>IF('906MP'!J441&gt;0,CONCATENATE('906MP'!J441," - ",'906MP'!P441,", ",'906MP'!E441),"nincs megjegyzés")</f>
        <v>nincs megjegyzés</v>
      </c>
      <c r="V741" t="str">
        <f t="shared" si="209"/>
        <v>0P0</v>
      </c>
      <c r="W741" t="str">
        <f t="shared" si="210"/>
        <v>0P0</v>
      </c>
      <c r="X741" t="str">
        <f t="shared" si="211"/>
        <v>P0</v>
      </c>
      <c r="Y741" t="str">
        <f t="shared" si="212"/>
        <v>00</v>
      </c>
      <c r="Z741" t="str">
        <f t="shared" si="223"/>
        <v>00</v>
      </c>
      <c r="AA741" t="str">
        <f t="shared" si="213"/>
        <v>00</v>
      </c>
      <c r="AB741" t="str">
        <f t="shared" si="214"/>
        <v>00</v>
      </c>
      <c r="AC741" t="str">
        <f t="shared" si="215"/>
        <v>0P0</v>
      </c>
      <c r="AD741" t="str">
        <f t="shared" si="216"/>
        <v>P00</v>
      </c>
      <c r="AE741" t="str">
        <f t="shared" si="217"/>
        <v>0P0</v>
      </c>
      <c r="AF741" t="str">
        <f t="shared" si="218"/>
        <v>P00</v>
      </c>
      <c r="AG741" t="str">
        <f t="shared" si="224"/>
        <v>0P00</v>
      </c>
      <c r="AH741" t="str">
        <f t="shared" si="225"/>
        <v>P000</v>
      </c>
      <c r="AI741" t="str">
        <f t="shared" si="226"/>
        <v>0P00</v>
      </c>
      <c r="AJ741" t="str">
        <f t="shared" si="227"/>
        <v>P000</v>
      </c>
    </row>
    <row r="742" spans="1:36" x14ac:dyDescent="0.25">
      <c r="A742" s="325" t="str">
        <f>CONCATENATE("P",'906MP'!M442)</f>
        <v>P</v>
      </c>
      <c r="B742">
        <f>'906MP'!H442</f>
        <v>0</v>
      </c>
      <c r="C742">
        <f>'906MP'!J442</f>
        <v>0</v>
      </c>
      <c r="D742">
        <f>'906MP'!P442</f>
        <v>0</v>
      </c>
      <c r="E742">
        <f>'906MP'!X442</f>
        <v>0</v>
      </c>
      <c r="F742" t="str">
        <f t="shared" si="219"/>
        <v>0</v>
      </c>
      <c r="G742" t="str">
        <f t="shared" si="220"/>
        <v>0</v>
      </c>
      <c r="H742">
        <f>'906MP'!Y442</f>
        <v>0</v>
      </c>
      <c r="I742">
        <f>'906MP'!AK442</f>
        <v>0</v>
      </c>
      <c r="J742">
        <f>'906MP'!T442</f>
        <v>0</v>
      </c>
      <c r="K742">
        <f>'906MP'!AJ442</f>
        <v>0</v>
      </c>
      <c r="L742">
        <f>'906MP'!U442</f>
        <v>0</v>
      </c>
      <c r="M742" s="322" t="str">
        <f>IFERROR(VLOOKUP(A742,PAR!$D$3:$E$53,2,FALSE),"nincs szervezet")</f>
        <v>nincs szervezet</v>
      </c>
      <c r="N742" s="322" t="str">
        <f>VLOOKUP(F742,PAR!$R$3:$S$5,2,FALSE)</f>
        <v>3 - egyik sem</v>
      </c>
      <c r="O742" t="str">
        <f>IFERROR(VLOOKUP(J742,PAR!$O$3:$P$5,2,FALSE),"nincs feladat")</f>
        <v>nincs feladat</v>
      </c>
      <c r="P742" t="str">
        <f>IFERROR(VLOOKUP(G742,PAR!$J$2:$M$19,4),"nincs rovat")</f>
        <v>nincs rovat</v>
      </c>
      <c r="Q742" t="str">
        <f>IF(H742&gt;0,VLOOKUP(H742,PAR!$AA$3:$AC$187,3,FALSE),"nincs főkönyvi számla")</f>
        <v>nincs főkönyvi számla</v>
      </c>
      <c r="R742" t="str">
        <f>IFERROR(VLOOKUP(K742,PAR!$V$3:$X$438,3,FALSE),"000000 - Nincs COFOG")</f>
        <v>000000 - Nincs COFOG</v>
      </c>
      <c r="S742">
        <f t="shared" si="221"/>
        <v>0</v>
      </c>
      <c r="T742">
        <f t="shared" si="222"/>
        <v>0</v>
      </c>
      <c r="U742" t="str">
        <f>IF('906MP'!J442&gt;0,CONCATENATE('906MP'!J442," - ",'906MP'!P442,", ",'906MP'!E442),"nincs megjegyzés")</f>
        <v>nincs megjegyzés</v>
      </c>
      <c r="V742" t="str">
        <f t="shared" si="209"/>
        <v>0P0</v>
      </c>
      <c r="W742" t="str">
        <f t="shared" si="210"/>
        <v>0P0</v>
      </c>
      <c r="X742" t="str">
        <f t="shared" si="211"/>
        <v>P0</v>
      </c>
      <c r="Y742" t="str">
        <f t="shared" si="212"/>
        <v>00</v>
      </c>
      <c r="Z742" t="str">
        <f t="shared" si="223"/>
        <v>00</v>
      </c>
      <c r="AA742" t="str">
        <f t="shared" si="213"/>
        <v>00</v>
      </c>
      <c r="AB742" t="str">
        <f t="shared" si="214"/>
        <v>00</v>
      </c>
      <c r="AC742" t="str">
        <f t="shared" si="215"/>
        <v>0P0</v>
      </c>
      <c r="AD742" t="str">
        <f t="shared" si="216"/>
        <v>P00</v>
      </c>
      <c r="AE742" t="str">
        <f t="shared" si="217"/>
        <v>0P0</v>
      </c>
      <c r="AF742" t="str">
        <f t="shared" si="218"/>
        <v>P00</v>
      </c>
      <c r="AG742" t="str">
        <f t="shared" si="224"/>
        <v>0P00</v>
      </c>
      <c r="AH742" t="str">
        <f t="shared" si="225"/>
        <v>P000</v>
      </c>
      <c r="AI742" t="str">
        <f t="shared" si="226"/>
        <v>0P00</v>
      </c>
      <c r="AJ742" t="str">
        <f t="shared" si="227"/>
        <v>P000</v>
      </c>
    </row>
    <row r="743" spans="1:36" x14ac:dyDescent="0.25">
      <c r="A743" s="325" t="str">
        <f>CONCATENATE("P",'906MP'!M443)</f>
        <v>P</v>
      </c>
      <c r="B743">
        <f>'906MP'!H443</f>
        <v>0</v>
      </c>
      <c r="C743">
        <f>'906MP'!J443</f>
        <v>0</v>
      </c>
      <c r="D743">
        <f>'906MP'!P443</f>
        <v>0</v>
      </c>
      <c r="E743">
        <f>'906MP'!X443</f>
        <v>0</v>
      </c>
      <c r="F743" t="str">
        <f t="shared" si="219"/>
        <v>0</v>
      </c>
      <c r="G743" t="str">
        <f t="shared" si="220"/>
        <v>0</v>
      </c>
      <c r="H743">
        <f>'906MP'!Y443</f>
        <v>0</v>
      </c>
      <c r="I743">
        <f>'906MP'!AK443</f>
        <v>0</v>
      </c>
      <c r="J743">
        <f>'906MP'!T443</f>
        <v>0</v>
      </c>
      <c r="K743">
        <f>'906MP'!AJ443</f>
        <v>0</v>
      </c>
      <c r="L743">
        <f>'906MP'!U443</f>
        <v>0</v>
      </c>
      <c r="M743" s="322" t="str">
        <f>IFERROR(VLOOKUP(A743,PAR!$D$3:$E$53,2,FALSE),"nincs szervezet")</f>
        <v>nincs szervezet</v>
      </c>
      <c r="N743" s="322" t="str">
        <f>VLOOKUP(F743,PAR!$R$3:$S$5,2,FALSE)</f>
        <v>3 - egyik sem</v>
      </c>
      <c r="O743" t="str">
        <f>IFERROR(VLOOKUP(J743,PAR!$O$3:$P$5,2,FALSE),"nincs feladat")</f>
        <v>nincs feladat</v>
      </c>
      <c r="P743" t="str">
        <f>IFERROR(VLOOKUP(G743,PAR!$J$2:$M$19,4),"nincs rovat")</f>
        <v>nincs rovat</v>
      </c>
      <c r="Q743" t="str">
        <f>IF(H743&gt;0,VLOOKUP(H743,PAR!$AA$3:$AC$187,3,FALSE),"nincs főkönyvi számla")</f>
        <v>nincs főkönyvi számla</v>
      </c>
      <c r="R743" t="str">
        <f>IFERROR(VLOOKUP(K743,PAR!$V$3:$X$438,3,FALSE),"000000 - Nincs COFOG")</f>
        <v>000000 - Nincs COFOG</v>
      </c>
      <c r="S743">
        <f t="shared" si="221"/>
        <v>0</v>
      </c>
      <c r="T743">
        <f t="shared" si="222"/>
        <v>0</v>
      </c>
      <c r="U743" t="str">
        <f>IF('906MP'!J443&gt;0,CONCATENATE('906MP'!J443," - ",'906MP'!P443,", ",'906MP'!E443),"nincs megjegyzés")</f>
        <v>nincs megjegyzés</v>
      </c>
      <c r="V743" t="str">
        <f t="shared" si="209"/>
        <v>0P0</v>
      </c>
      <c r="W743" t="str">
        <f t="shared" si="210"/>
        <v>0P0</v>
      </c>
      <c r="X743" t="str">
        <f t="shared" si="211"/>
        <v>P0</v>
      </c>
      <c r="Y743" t="str">
        <f t="shared" si="212"/>
        <v>00</v>
      </c>
      <c r="Z743" t="str">
        <f t="shared" si="223"/>
        <v>00</v>
      </c>
      <c r="AA743" t="str">
        <f t="shared" si="213"/>
        <v>00</v>
      </c>
      <c r="AB743" t="str">
        <f t="shared" si="214"/>
        <v>00</v>
      </c>
      <c r="AC743" t="str">
        <f t="shared" si="215"/>
        <v>0P0</v>
      </c>
      <c r="AD743" t="str">
        <f t="shared" si="216"/>
        <v>P00</v>
      </c>
      <c r="AE743" t="str">
        <f t="shared" si="217"/>
        <v>0P0</v>
      </c>
      <c r="AF743" t="str">
        <f t="shared" si="218"/>
        <v>P00</v>
      </c>
      <c r="AG743" t="str">
        <f t="shared" si="224"/>
        <v>0P00</v>
      </c>
      <c r="AH743" t="str">
        <f t="shared" si="225"/>
        <v>P000</v>
      </c>
      <c r="AI743" t="str">
        <f t="shared" si="226"/>
        <v>0P00</v>
      </c>
      <c r="AJ743" t="str">
        <f t="shared" si="227"/>
        <v>P000</v>
      </c>
    </row>
    <row r="744" spans="1:36" x14ac:dyDescent="0.25">
      <c r="A744" s="325" t="str">
        <f>CONCATENATE("P",'906MP'!M444)</f>
        <v>P</v>
      </c>
      <c r="B744">
        <f>'906MP'!H444</f>
        <v>0</v>
      </c>
      <c r="C744">
        <f>'906MP'!J444</f>
        <v>0</v>
      </c>
      <c r="D744">
        <f>'906MP'!P444</f>
        <v>0</v>
      </c>
      <c r="E744">
        <f>'906MP'!X444</f>
        <v>0</v>
      </c>
      <c r="F744" t="str">
        <f t="shared" si="219"/>
        <v>0</v>
      </c>
      <c r="G744" t="str">
        <f t="shared" si="220"/>
        <v>0</v>
      </c>
      <c r="H744">
        <f>'906MP'!Y444</f>
        <v>0</v>
      </c>
      <c r="I744">
        <f>'906MP'!AK444</f>
        <v>0</v>
      </c>
      <c r="J744">
        <f>'906MP'!T444</f>
        <v>0</v>
      </c>
      <c r="K744">
        <f>'906MP'!AJ444</f>
        <v>0</v>
      </c>
      <c r="L744">
        <f>'906MP'!U444</f>
        <v>0</v>
      </c>
      <c r="M744" s="322" t="str">
        <f>IFERROR(VLOOKUP(A744,PAR!$D$3:$E$53,2,FALSE),"nincs szervezet")</f>
        <v>nincs szervezet</v>
      </c>
      <c r="N744" s="322" t="str">
        <f>VLOOKUP(F744,PAR!$R$3:$S$5,2,FALSE)</f>
        <v>3 - egyik sem</v>
      </c>
      <c r="O744" t="str">
        <f>IFERROR(VLOOKUP(J744,PAR!$O$3:$P$5,2,FALSE),"nincs feladat")</f>
        <v>nincs feladat</v>
      </c>
      <c r="P744" t="str">
        <f>IFERROR(VLOOKUP(G744,PAR!$J$2:$M$19,4),"nincs rovat")</f>
        <v>nincs rovat</v>
      </c>
      <c r="Q744" t="str">
        <f>IF(H744&gt;0,VLOOKUP(H744,PAR!$AA$3:$AC$187,3,FALSE),"nincs főkönyvi számla")</f>
        <v>nincs főkönyvi számla</v>
      </c>
      <c r="R744" t="str">
        <f>IFERROR(VLOOKUP(K744,PAR!$V$3:$X$438,3,FALSE),"000000 - Nincs COFOG")</f>
        <v>000000 - Nincs COFOG</v>
      </c>
      <c r="S744">
        <f t="shared" si="221"/>
        <v>0</v>
      </c>
      <c r="T744">
        <f t="shared" si="222"/>
        <v>0</v>
      </c>
      <c r="U744" t="str">
        <f>IF('906MP'!J444&gt;0,CONCATENATE('906MP'!J444," - ",'906MP'!P444,", ",'906MP'!E444),"nincs megjegyzés")</f>
        <v>nincs megjegyzés</v>
      </c>
      <c r="V744" t="str">
        <f t="shared" si="209"/>
        <v>0P0</v>
      </c>
      <c r="W744" t="str">
        <f t="shared" si="210"/>
        <v>0P0</v>
      </c>
      <c r="X744" t="str">
        <f t="shared" si="211"/>
        <v>P0</v>
      </c>
      <c r="Y744" t="str">
        <f t="shared" si="212"/>
        <v>00</v>
      </c>
      <c r="Z744" t="str">
        <f t="shared" si="223"/>
        <v>00</v>
      </c>
      <c r="AA744" t="str">
        <f t="shared" si="213"/>
        <v>00</v>
      </c>
      <c r="AB744" t="str">
        <f t="shared" si="214"/>
        <v>00</v>
      </c>
      <c r="AC744" t="str">
        <f t="shared" si="215"/>
        <v>0P0</v>
      </c>
      <c r="AD744" t="str">
        <f t="shared" si="216"/>
        <v>P00</v>
      </c>
      <c r="AE744" t="str">
        <f t="shared" si="217"/>
        <v>0P0</v>
      </c>
      <c r="AF744" t="str">
        <f t="shared" si="218"/>
        <v>P00</v>
      </c>
      <c r="AG744" t="str">
        <f t="shared" si="224"/>
        <v>0P00</v>
      </c>
      <c r="AH744" t="str">
        <f t="shared" si="225"/>
        <v>P000</v>
      </c>
      <c r="AI744" t="str">
        <f t="shared" si="226"/>
        <v>0P00</v>
      </c>
      <c r="AJ744" t="str">
        <f t="shared" si="227"/>
        <v>P000</v>
      </c>
    </row>
    <row r="745" spans="1:36" x14ac:dyDescent="0.25">
      <c r="A745" s="325" t="str">
        <f>CONCATENATE("P",'906MP'!M445)</f>
        <v>P</v>
      </c>
      <c r="B745">
        <f>'906MP'!H445</f>
        <v>0</v>
      </c>
      <c r="C745">
        <f>'906MP'!J445</f>
        <v>0</v>
      </c>
      <c r="D745">
        <f>'906MP'!P445</f>
        <v>0</v>
      </c>
      <c r="E745">
        <f>'906MP'!X445</f>
        <v>0</v>
      </c>
      <c r="F745" t="str">
        <f t="shared" si="219"/>
        <v>0</v>
      </c>
      <c r="G745" t="str">
        <f t="shared" si="220"/>
        <v>0</v>
      </c>
      <c r="H745">
        <f>'906MP'!Y445</f>
        <v>0</v>
      </c>
      <c r="I745">
        <f>'906MP'!AK445</f>
        <v>0</v>
      </c>
      <c r="J745">
        <f>'906MP'!T445</f>
        <v>0</v>
      </c>
      <c r="K745">
        <f>'906MP'!AJ445</f>
        <v>0</v>
      </c>
      <c r="L745">
        <f>'906MP'!U445</f>
        <v>0</v>
      </c>
      <c r="M745" s="322" t="str">
        <f>IFERROR(VLOOKUP(A745,PAR!$D$3:$E$53,2,FALSE),"nincs szervezet")</f>
        <v>nincs szervezet</v>
      </c>
      <c r="N745" s="322" t="str">
        <f>VLOOKUP(F745,PAR!$R$3:$S$5,2,FALSE)</f>
        <v>3 - egyik sem</v>
      </c>
      <c r="O745" t="str">
        <f>IFERROR(VLOOKUP(J745,PAR!$O$3:$P$5,2,FALSE),"nincs feladat")</f>
        <v>nincs feladat</v>
      </c>
      <c r="P745" t="str">
        <f>IFERROR(VLOOKUP(G745,PAR!$J$2:$M$19,4),"nincs rovat")</f>
        <v>nincs rovat</v>
      </c>
      <c r="Q745" t="str">
        <f>IF(H745&gt;0,VLOOKUP(H745,PAR!$AA$3:$AC$187,3,FALSE),"nincs főkönyvi számla")</f>
        <v>nincs főkönyvi számla</v>
      </c>
      <c r="R745" t="str">
        <f>IFERROR(VLOOKUP(K745,PAR!$V$3:$X$438,3,FALSE),"000000 - Nincs COFOG")</f>
        <v>000000 - Nincs COFOG</v>
      </c>
      <c r="S745">
        <f t="shared" si="221"/>
        <v>0</v>
      </c>
      <c r="T745">
        <f t="shared" si="222"/>
        <v>0</v>
      </c>
      <c r="U745" t="str">
        <f>IF('906MP'!J445&gt;0,CONCATENATE('906MP'!J445," - ",'906MP'!P445,", ",'906MP'!E445),"nincs megjegyzés")</f>
        <v>nincs megjegyzés</v>
      </c>
      <c r="V745" t="str">
        <f t="shared" si="209"/>
        <v>0P0</v>
      </c>
      <c r="W745" t="str">
        <f t="shared" si="210"/>
        <v>0P0</v>
      </c>
      <c r="X745" t="str">
        <f t="shared" si="211"/>
        <v>P0</v>
      </c>
      <c r="Y745" t="str">
        <f t="shared" si="212"/>
        <v>00</v>
      </c>
      <c r="Z745" t="str">
        <f t="shared" si="223"/>
        <v>00</v>
      </c>
      <c r="AA745" t="str">
        <f t="shared" si="213"/>
        <v>00</v>
      </c>
      <c r="AB745" t="str">
        <f t="shared" si="214"/>
        <v>00</v>
      </c>
      <c r="AC745" t="str">
        <f t="shared" si="215"/>
        <v>0P0</v>
      </c>
      <c r="AD745" t="str">
        <f t="shared" si="216"/>
        <v>P00</v>
      </c>
      <c r="AE745" t="str">
        <f t="shared" si="217"/>
        <v>0P0</v>
      </c>
      <c r="AF745" t="str">
        <f t="shared" si="218"/>
        <v>P00</v>
      </c>
      <c r="AG745" t="str">
        <f t="shared" si="224"/>
        <v>0P00</v>
      </c>
      <c r="AH745" t="str">
        <f t="shared" si="225"/>
        <v>P000</v>
      </c>
      <c r="AI745" t="str">
        <f t="shared" si="226"/>
        <v>0P00</v>
      </c>
      <c r="AJ745" t="str">
        <f t="shared" si="227"/>
        <v>P000</v>
      </c>
    </row>
    <row r="746" spans="1:36" x14ac:dyDescent="0.25">
      <c r="A746" s="325" t="str">
        <f>CONCATENATE("P",'906MP'!M446)</f>
        <v>P</v>
      </c>
      <c r="B746">
        <f>'906MP'!H446</f>
        <v>0</v>
      </c>
      <c r="C746">
        <f>'906MP'!J446</f>
        <v>0</v>
      </c>
      <c r="D746">
        <f>'906MP'!P446</f>
        <v>0</v>
      </c>
      <c r="E746">
        <f>'906MP'!X446</f>
        <v>0</v>
      </c>
      <c r="F746" t="str">
        <f t="shared" si="219"/>
        <v>0</v>
      </c>
      <c r="G746" t="str">
        <f t="shared" si="220"/>
        <v>0</v>
      </c>
      <c r="H746">
        <f>'906MP'!Y446</f>
        <v>0</v>
      </c>
      <c r="I746">
        <f>'906MP'!AK446</f>
        <v>0</v>
      </c>
      <c r="J746">
        <f>'906MP'!T446</f>
        <v>0</v>
      </c>
      <c r="K746">
        <f>'906MP'!AJ446</f>
        <v>0</v>
      </c>
      <c r="L746">
        <f>'906MP'!U446</f>
        <v>0</v>
      </c>
      <c r="M746" s="322" t="str">
        <f>IFERROR(VLOOKUP(A746,PAR!$D$3:$E$53,2,FALSE),"nincs szervezet")</f>
        <v>nincs szervezet</v>
      </c>
      <c r="N746" s="322" t="str">
        <f>VLOOKUP(F746,PAR!$R$3:$S$5,2,FALSE)</f>
        <v>3 - egyik sem</v>
      </c>
      <c r="O746" t="str">
        <f>IFERROR(VLOOKUP(J746,PAR!$O$3:$P$5,2,FALSE),"nincs feladat")</f>
        <v>nincs feladat</v>
      </c>
      <c r="P746" t="str">
        <f>IFERROR(VLOOKUP(G746,PAR!$J$2:$M$19,4),"nincs rovat")</f>
        <v>nincs rovat</v>
      </c>
      <c r="Q746" t="str">
        <f>IF(H746&gt;0,VLOOKUP(H746,PAR!$AA$3:$AC$187,3,FALSE),"nincs főkönyvi számla")</f>
        <v>nincs főkönyvi számla</v>
      </c>
      <c r="R746" t="str">
        <f>IFERROR(VLOOKUP(K746,PAR!$V$3:$X$438,3,FALSE),"000000 - Nincs COFOG")</f>
        <v>000000 - Nincs COFOG</v>
      </c>
      <c r="S746">
        <f t="shared" si="221"/>
        <v>0</v>
      </c>
      <c r="T746">
        <f t="shared" si="222"/>
        <v>0</v>
      </c>
      <c r="U746" t="str">
        <f>IF('906MP'!J446&gt;0,CONCATENATE('906MP'!J446," - ",'906MP'!P446,", ",'906MP'!E446),"nincs megjegyzés")</f>
        <v>nincs megjegyzés</v>
      </c>
      <c r="V746" t="str">
        <f t="shared" si="209"/>
        <v>0P0</v>
      </c>
      <c r="W746" t="str">
        <f t="shared" si="210"/>
        <v>0P0</v>
      </c>
      <c r="X746" t="str">
        <f t="shared" si="211"/>
        <v>P0</v>
      </c>
      <c r="Y746" t="str">
        <f t="shared" si="212"/>
        <v>00</v>
      </c>
      <c r="Z746" t="str">
        <f t="shared" si="223"/>
        <v>00</v>
      </c>
      <c r="AA746" t="str">
        <f t="shared" si="213"/>
        <v>00</v>
      </c>
      <c r="AB746" t="str">
        <f t="shared" si="214"/>
        <v>00</v>
      </c>
      <c r="AC746" t="str">
        <f t="shared" si="215"/>
        <v>0P0</v>
      </c>
      <c r="AD746" t="str">
        <f t="shared" si="216"/>
        <v>P00</v>
      </c>
      <c r="AE746" t="str">
        <f t="shared" si="217"/>
        <v>0P0</v>
      </c>
      <c r="AF746" t="str">
        <f t="shared" si="218"/>
        <v>P00</v>
      </c>
      <c r="AG746" t="str">
        <f t="shared" si="224"/>
        <v>0P00</v>
      </c>
      <c r="AH746" t="str">
        <f t="shared" si="225"/>
        <v>P000</v>
      </c>
      <c r="AI746" t="str">
        <f t="shared" si="226"/>
        <v>0P00</v>
      </c>
      <c r="AJ746" t="str">
        <f t="shared" si="227"/>
        <v>P000</v>
      </c>
    </row>
    <row r="747" spans="1:36" x14ac:dyDescent="0.25">
      <c r="A747" s="325" t="str">
        <f>CONCATENATE("P",'906MP'!M447)</f>
        <v>P</v>
      </c>
      <c r="B747">
        <f>'906MP'!H447</f>
        <v>0</v>
      </c>
      <c r="C747">
        <f>'906MP'!J447</f>
        <v>0</v>
      </c>
      <c r="D747">
        <f>'906MP'!P447</f>
        <v>0</v>
      </c>
      <c r="E747">
        <f>'906MP'!X447</f>
        <v>0</v>
      </c>
      <c r="F747" t="str">
        <f t="shared" si="219"/>
        <v>0</v>
      </c>
      <c r="G747" t="str">
        <f t="shared" si="220"/>
        <v>0</v>
      </c>
      <c r="H747">
        <f>'906MP'!Y447</f>
        <v>0</v>
      </c>
      <c r="I747">
        <f>'906MP'!AK447</f>
        <v>0</v>
      </c>
      <c r="J747">
        <f>'906MP'!T447</f>
        <v>0</v>
      </c>
      <c r="K747">
        <f>'906MP'!AJ447</f>
        <v>0</v>
      </c>
      <c r="L747">
        <f>'906MP'!U447</f>
        <v>0</v>
      </c>
      <c r="M747" s="322" t="str">
        <f>IFERROR(VLOOKUP(A747,PAR!$D$3:$E$53,2,FALSE),"nincs szervezet")</f>
        <v>nincs szervezet</v>
      </c>
      <c r="N747" s="322" t="str">
        <f>VLOOKUP(F747,PAR!$R$3:$S$5,2,FALSE)</f>
        <v>3 - egyik sem</v>
      </c>
      <c r="O747" t="str">
        <f>IFERROR(VLOOKUP(J747,PAR!$O$3:$P$5,2,FALSE),"nincs feladat")</f>
        <v>nincs feladat</v>
      </c>
      <c r="P747" t="str">
        <f>IFERROR(VLOOKUP(G747,PAR!$J$2:$M$19,4),"nincs rovat")</f>
        <v>nincs rovat</v>
      </c>
      <c r="Q747" t="str">
        <f>IF(H747&gt;0,VLOOKUP(H747,PAR!$AA$3:$AC$187,3,FALSE),"nincs főkönyvi számla")</f>
        <v>nincs főkönyvi számla</v>
      </c>
      <c r="R747" t="str">
        <f>IFERROR(VLOOKUP(K747,PAR!$V$3:$X$438,3,FALSE),"000000 - Nincs COFOG")</f>
        <v>000000 - Nincs COFOG</v>
      </c>
      <c r="S747">
        <f t="shared" si="221"/>
        <v>0</v>
      </c>
      <c r="T747">
        <f t="shared" si="222"/>
        <v>0</v>
      </c>
      <c r="U747" t="str">
        <f>IF('906MP'!J447&gt;0,CONCATENATE('906MP'!J447," - ",'906MP'!P447,", ",'906MP'!E447),"nincs megjegyzés")</f>
        <v>nincs megjegyzés</v>
      </c>
      <c r="V747" t="str">
        <f t="shared" si="209"/>
        <v>0P0</v>
      </c>
      <c r="W747" t="str">
        <f t="shared" si="210"/>
        <v>0P0</v>
      </c>
      <c r="X747" t="str">
        <f t="shared" si="211"/>
        <v>P0</v>
      </c>
      <c r="Y747" t="str">
        <f t="shared" si="212"/>
        <v>00</v>
      </c>
      <c r="Z747" t="str">
        <f t="shared" si="223"/>
        <v>00</v>
      </c>
      <c r="AA747" t="str">
        <f t="shared" si="213"/>
        <v>00</v>
      </c>
      <c r="AB747" t="str">
        <f t="shared" si="214"/>
        <v>00</v>
      </c>
      <c r="AC747" t="str">
        <f t="shared" si="215"/>
        <v>0P0</v>
      </c>
      <c r="AD747" t="str">
        <f t="shared" si="216"/>
        <v>P00</v>
      </c>
      <c r="AE747" t="str">
        <f t="shared" si="217"/>
        <v>0P0</v>
      </c>
      <c r="AF747" t="str">
        <f t="shared" si="218"/>
        <v>P00</v>
      </c>
      <c r="AG747" t="str">
        <f t="shared" si="224"/>
        <v>0P00</v>
      </c>
      <c r="AH747" t="str">
        <f t="shared" si="225"/>
        <v>P000</v>
      </c>
      <c r="AI747" t="str">
        <f t="shared" si="226"/>
        <v>0P00</v>
      </c>
      <c r="AJ747" t="str">
        <f t="shared" si="227"/>
        <v>P000</v>
      </c>
    </row>
    <row r="748" spans="1:36" x14ac:dyDescent="0.25">
      <c r="A748" s="325" t="str">
        <f>CONCATENATE("P",'906MP'!M448)</f>
        <v>P</v>
      </c>
      <c r="B748">
        <f>'906MP'!H448</f>
        <v>0</v>
      </c>
      <c r="C748">
        <f>'906MP'!J448</f>
        <v>0</v>
      </c>
      <c r="D748">
        <f>'906MP'!P448</f>
        <v>0</v>
      </c>
      <c r="E748">
        <f>'906MP'!X448</f>
        <v>0</v>
      </c>
      <c r="F748" t="str">
        <f t="shared" si="219"/>
        <v>0</v>
      </c>
      <c r="G748" t="str">
        <f t="shared" si="220"/>
        <v>0</v>
      </c>
      <c r="H748">
        <f>'906MP'!Y448</f>
        <v>0</v>
      </c>
      <c r="I748">
        <f>'906MP'!AK448</f>
        <v>0</v>
      </c>
      <c r="J748">
        <f>'906MP'!T448</f>
        <v>0</v>
      </c>
      <c r="K748">
        <f>'906MP'!AJ448</f>
        <v>0</v>
      </c>
      <c r="L748">
        <f>'906MP'!U448</f>
        <v>0</v>
      </c>
      <c r="M748" s="322" t="str">
        <f>IFERROR(VLOOKUP(A748,PAR!$D$3:$E$53,2,FALSE),"nincs szervezet")</f>
        <v>nincs szervezet</v>
      </c>
      <c r="N748" s="322" t="str">
        <f>VLOOKUP(F748,PAR!$R$3:$S$5,2,FALSE)</f>
        <v>3 - egyik sem</v>
      </c>
      <c r="O748" t="str">
        <f>IFERROR(VLOOKUP(J748,PAR!$O$3:$P$5,2,FALSE),"nincs feladat")</f>
        <v>nincs feladat</v>
      </c>
      <c r="P748" t="str">
        <f>IFERROR(VLOOKUP(G748,PAR!$J$2:$M$19,4),"nincs rovat")</f>
        <v>nincs rovat</v>
      </c>
      <c r="Q748" t="str">
        <f>IF(H748&gt;0,VLOOKUP(H748,PAR!$AA$3:$AC$187,3,FALSE),"nincs főkönyvi számla")</f>
        <v>nincs főkönyvi számla</v>
      </c>
      <c r="R748" t="str">
        <f>IFERROR(VLOOKUP(K748,PAR!$V$3:$X$438,3,FALSE),"000000 - Nincs COFOG")</f>
        <v>000000 - Nincs COFOG</v>
      </c>
      <c r="S748">
        <f t="shared" si="221"/>
        <v>0</v>
      </c>
      <c r="T748">
        <f t="shared" si="222"/>
        <v>0</v>
      </c>
      <c r="U748" t="str">
        <f>IF('906MP'!J448&gt;0,CONCATENATE('906MP'!J448," - ",'906MP'!P448,", ",'906MP'!E448),"nincs megjegyzés")</f>
        <v>nincs megjegyzés</v>
      </c>
      <c r="V748" t="str">
        <f t="shared" si="209"/>
        <v>0P0</v>
      </c>
      <c r="W748" t="str">
        <f t="shared" si="210"/>
        <v>0P0</v>
      </c>
      <c r="X748" t="str">
        <f t="shared" si="211"/>
        <v>P0</v>
      </c>
      <c r="Y748" t="str">
        <f t="shared" si="212"/>
        <v>00</v>
      </c>
      <c r="Z748" t="str">
        <f t="shared" si="223"/>
        <v>00</v>
      </c>
      <c r="AA748" t="str">
        <f t="shared" si="213"/>
        <v>00</v>
      </c>
      <c r="AB748" t="str">
        <f t="shared" si="214"/>
        <v>00</v>
      </c>
      <c r="AC748" t="str">
        <f t="shared" si="215"/>
        <v>0P0</v>
      </c>
      <c r="AD748" t="str">
        <f t="shared" si="216"/>
        <v>P00</v>
      </c>
      <c r="AE748" t="str">
        <f t="shared" si="217"/>
        <v>0P0</v>
      </c>
      <c r="AF748" t="str">
        <f t="shared" si="218"/>
        <v>P00</v>
      </c>
      <c r="AG748" t="str">
        <f t="shared" si="224"/>
        <v>0P00</v>
      </c>
      <c r="AH748" t="str">
        <f t="shared" si="225"/>
        <v>P000</v>
      </c>
      <c r="AI748" t="str">
        <f t="shared" si="226"/>
        <v>0P00</v>
      </c>
      <c r="AJ748" t="str">
        <f t="shared" si="227"/>
        <v>P000</v>
      </c>
    </row>
    <row r="749" spans="1:36" x14ac:dyDescent="0.25">
      <c r="A749" s="325" t="str">
        <f>CONCATENATE("P",'906MP'!M449)</f>
        <v>P</v>
      </c>
      <c r="B749">
        <f>'906MP'!H449</f>
        <v>0</v>
      </c>
      <c r="C749">
        <f>'906MP'!J449</f>
        <v>0</v>
      </c>
      <c r="D749">
        <f>'906MP'!P449</f>
        <v>0</v>
      </c>
      <c r="E749">
        <f>'906MP'!X449</f>
        <v>0</v>
      </c>
      <c r="F749" t="str">
        <f t="shared" si="219"/>
        <v>0</v>
      </c>
      <c r="G749" t="str">
        <f t="shared" si="220"/>
        <v>0</v>
      </c>
      <c r="H749">
        <f>'906MP'!Y449</f>
        <v>0</v>
      </c>
      <c r="I749">
        <f>'906MP'!AK449</f>
        <v>0</v>
      </c>
      <c r="J749">
        <f>'906MP'!T449</f>
        <v>0</v>
      </c>
      <c r="K749">
        <f>'906MP'!AJ449</f>
        <v>0</v>
      </c>
      <c r="L749">
        <f>'906MP'!U449</f>
        <v>0</v>
      </c>
      <c r="M749" s="322" t="str">
        <f>IFERROR(VLOOKUP(A749,PAR!$D$3:$E$53,2,FALSE),"nincs szervezet")</f>
        <v>nincs szervezet</v>
      </c>
      <c r="N749" s="322" t="str">
        <f>VLOOKUP(F749,PAR!$R$3:$S$5,2,FALSE)</f>
        <v>3 - egyik sem</v>
      </c>
      <c r="O749" t="str">
        <f>IFERROR(VLOOKUP(J749,PAR!$O$3:$P$5,2,FALSE),"nincs feladat")</f>
        <v>nincs feladat</v>
      </c>
      <c r="P749" t="str">
        <f>IFERROR(VLOOKUP(G749,PAR!$J$2:$M$19,4),"nincs rovat")</f>
        <v>nincs rovat</v>
      </c>
      <c r="Q749" t="str">
        <f>IF(H749&gt;0,VLOOKUP(H749,PAR!$AA$3:$AC$187,3,FALSE),"nincs főkönyvi számla")</f>
        <v>nincs főkönyvi számla</v>
      </c>
      <c r="R749" t="str">
        <f>IFERROR(VLOOKUP(K749,PAR!$V$3:$X$438,3,FALSE),"000000 - Nincs COFOG")</f>
        <v>000000 - Nincs COFOG</v>
      </c>
      <c r="S749">
        <f t="shared" si="221"/>
        <v>0</v>
      </c>
      <c r="T749">
        <f t="shared" si="222"/>
        <v>0</v>
      </c>
      <c r="U749" t="str">
        <f>IF('906MP'!J449&gt;0,CONCATENATE('906MP'!J449," - ",'906MP'!P449,", ",'906MP'!E449),"nincs megjegyzés")</f>
        <v>nincs megjegyzés</v>
      </c>
      <c r="V749" t="str">
        <f t="shared" si="209"/>
        <v>0P0</v>
      </c>
      <c r="W749" t="str">
        <f t="shared" si="210"/>
        <v>0P0</v>
      </c>
      <c r="X749" t="str">
        <f t="shared" si="211"/>
        <v>P0</v>
      </c>
      <c r="Y749" t="str">
        <f t="shared" si="212"/>
        <v>00</v>
      </c>
      <c r="Z749" t="str">
        <f t="shared" si="223"/>
        <v>00</v>
      </c>
      <c r="AA749" t="str">
        <f t="shared" si="213"/>
        <v>00</v>
      </c>
      <c r="AB749" t="str">
        <f t="shared" si="214"/>
        <v>00</v>
      </c>
      <c r="AC749" t="str">
        <f t="shared" si="215"/>
        <v>0P0</v>
      </c>
      <c r="AD749" t="str">
        <f t="shared" si="216"/>
        <v>P00</v>
      </c>
      <c r="AE749" t="str">
        <f t="shared" si="217"/>
        <v>0P0</v>
      </c>
      <c r="AF749" t="str">
        <f t="shared" si="218"/>
        <v>P00</v>
      </c>
      <c r="AG749" t="str">
        <f t="shared" si="224"/>
        <v>0P00</v>
      </c>
      <c r="AH749" t="str">
        <f t="shared" si="225"/>
        <v>P000</v>
      </c>
      <c r="AI749" t="str">
        <f t="shared" si="226"/>
        <v>0P00</v>
      </c>
      <c r="AJ749" t="str">
        <f t="shared" si="227"/>
        <v>P000</v>
      </c>
    </row>
    <row r="750" spans="1:36" x14ac:dyDescent="0.25">
      <c r="A750" s="325" t="str">
        <f>CONCATENATE("P",'906MP'!M450)</f>
        <v>P</v>
      </c>
      <c r="B750">
        <f>'906MP'!H450</f>
        <v>0</v>
      </c>
      <c r="C750">
        <f>'906MP'!J450</f>
        <v>0</v>
      </c>
      <c r="D750">
        <f>'906MP'!P450</f>
        <v>0</v>
      </c>
      <c r="E750">
        <f>'906MP'!X450</f>
        <v>0</v>
      </c>
      <c r="F750" t="str">
        <f t="shared" si="219"/>
        <v>0</v>
      </c>
      <c r="G750" t="str">
        <f t="shared" si="220"/>
        <v>0</v>
      </c>
      <c r="H750">
        <f>'906MP'!Y450</f>
        <v>0</v>
      </c>
      <c r="I750">
        <f>'906MP'!AK450</f>
        <v>0</v>
      </c>
      <c r="J750">
        <f>'906MP'!T450</f>
        <v>0</v>
      </c>
      <c r="K750">
        <f>'906MP'!AJ450</f>
        <v>0</v>
      </c>
      <c r="L750">
        <f>'906MP'!U450</f>
        <v>0</v>
      </c>
      <c r="M750" s="322" t="str">
        <f>IFERROR(VLOOKUP(A750,PAR!$D$3:$E$53,2,FALSE),"nincs szervezet")</f>
        <v>nincs szervezet</v>
      </c>
      <c r="N750" s="322" t="str">
        <f>VLOOKUP(F750,PAR!$R$3:$S$5,2,FALSE)</f>
        <v>3 - egyik sem</v>
      </c>
      <c r="O750" t="str">
        <f>IFERROR(VLOOKUP(J750,PAR!$O$3:$P$5,2,FALSE),"nincs feladat")</f>
        <v>nincs feladat</v>
      </c>
      <c r="P750" t="str">
        <f>IFERROR(VLOOKUP(G750,PAR!$J$2:$M$19,4),"nincs rovat")</f>
        <v>nincs rovat</v>
      </c>
      <c r="Q750" t="str">
        <f>IF(H750&gt;0,VLOOKUP(H750,PAR!$AA$3:$AC$187,3,FALSE),"nincs főkönyvi számla")</f>
        <v>nincs főkönyvi számla</v>
      </c>
      <c r="R750" t="str">
        <f>IFERROR(VLOOKUP(K750,PAR!$V$3:$X$438,3,FALSE),"000000 - Nincs COFOG")</f>
        <v>000000 - Nincs COFOG</v>
      </c>
      <c r="S750">
        <f t="shared" si="221"/>
        <v>0</v>
      </c>
      <c r="T750">
        <f t="shared" si="222"/>
        <v>0</v>
      </c>
      <c r="U750" t="str">
        <f>IF('906MP'!J450&gt;0,CONCATENATE('906MP'!J450," - ",'906MP'!P450,", ",'906MP'!E450),"nincs megjegyzés")</f>
        <v>nincs megjegyzés</v>
      </c>
      <c r="V750" t="str">
        <f t="shared" si="209"/>
        <v>0P0</v>
      </c>
      <c r="W750" t="str">
        <f t="shared" si="210"/>
        <v>0P0</v>
      </c>
      <c r="X750" t="str">
        <f t="shared" si="211"/>
        <v>P0</v>
      </c>
      <c r="Y750" t="str">
        <f t="shared" si="212"/>
        <v>00</v>
      </c>
      <c r="Z750" t="str">
        <f t="shared" si="223"/>
        <v>00</v>
      </c>
      <c r="AA750" t="str">
        <f t="shared" si="213"/>
        <v>00</v>
      </c>
      <c r="AB750" t="str">
        <f t="shared" si="214"/>
        <v>00</v>
      </c>
      <c r="AC750" t="str">
        <f t="shared" si="215"/>
        <v>0P0</v>
      </c>
      <c r="AD750" t="str">
        <f t="shared" si="216"/>
        <v>P00</v>
      </c>
      <c r="AE750" t="str">
        <f t="shared" si="217"/>
        <v>0P0</v>
      </c>
      <c r="AF750" t="str">
        <f t="shared" si="218"/>
        <v>P00</v>
      </c>
      <c r="AG750" t="str">
        <f t="shared" si="224"/>
        <v>0P00</v>
      </c>
      <c r="AH750" t="str">
        <f t="shared" si="225"/>
        <v>P000</v>
      </c>
      <c r="AI750" t="str">
        <f t="shared" si="226"/>
        <v>0P00</v>
      </c>
      <c r="AJ750" t="str">
        <f t="shared" si="227"/>
        <v>P000</v>
      </c>
    </row>
    <row r="751" spans="1:36" x14ac:dyDescent="0.25">
      <c r="A751" s="325" t="str">
        <f>CONCATENATE("P",'906MP'!M451)</f>
        <v>P</v>
      </c>
      <c r="B751">
        <f>'906MP'!H451</f>
        <v>0</v>
      </c>
      <c r="C751">
        <f>'906MP'!J451</f>
        <v>0</v>
      </c>
      <c r="D751">
        <f>'906MP'!P451</f>
        <v>0</v>
      </c>
      <c r="E751">
        <f>'906MP'!X451</f>
        <v>0</v>
      </c>
      <c r="F751" t="str">
        <f t="shared" si="219"/>
        <v>0</v>
      </c>
      <c r="G751" t="str">
        <f t="shared" si="220"/>
        <v>0</v>
      </c>
      <c r="H751">
        <f>'906MP'!Y451</f>
        <v>0</v>
      </c>
      <c r="I751">
        <f>'906MP'!AK451</f>
        <v>0</v>
      </c>
      <c r="J751">
        <f>'906MP'!T451</f>
        <v>0</v>
      </c>
      <c r="K751">
        <f>'906MP'!AJ451</f>
        <v>0</v>
      </c>
      <c r="L751">
        <f>'906MP'!U451</f>
        <v>0</v>
      </c>
      <c r="M751" s="322" t="str">
        <f>IFERROR(VLOOKUP(A751,PAR!$D$3:$E$53,2,FALSE),"nincs szervezet")</f>
        <v>nincs szervezet</v>
      </c>
      <c r="N751" s="322" t="str">
        <f>VLOOKUP(F751,PAR!$R$3:$S$5,2,FALSE)</f>
        <v>3 - egyik sem</v>
      </c>
      <c r="O751" t="str">
        <f>IFERROR(VLOOKUP(J751,PAR!$O$3:$P$5,2,FALSE),"nincs feladat")</f>
        <v>nincs feladat</v>
      </c>
      <c r="P751" t="str">
        <f>IFERROR(VLOOKUP(G751,PAR!$J$2:$M$19,4),"nincs rovat")</f>
        <v>nincs rovat</v>
      </c>
      <c r="Q751" t="str">
        <f>IF(H751&gt;0,VLOOKUP(H751,PAR!$AA$3:$AC$187,3,FALSE),"nincs főkönyvi számla")</f>
        <v>nincs főkönyvi számla</v>
      </c>
      <c r="R751" t="str">
        <f>IFERROR(VLOOKUP(K751,PAR!$V$3:$X$438,3,FALSE),"000000 - Nincs COFOG")</f>
        <v>000000 - Nincs COFOG</v>
      </c>
      <c r="S751">
        <f t="shared" si="221"/>
        <v>0</v>
      </c>
      <c r="T751">
        <f t="shared" si="222"/>
        <v>0</v>
      </c>
      <c r="U751" t="str">
        <f>IF('906MP'!J451&gt;0,CONCATENATE('906MP'!J451," - ",'906MP'!P451,", ",'906MP'!E451),"nincs megjegyzés")</f>
        <v>nincs megjegyzés</v>
      </c>
      <c r="V751" t="str">
        <f t="shared" si="209"/>
        <v>0P0</v>
      </c>
      <c r="W751" t="str">
        <f t="shared" si="210"/>
        <v>0P0</v>
      </c>
      <c r="X751" t="str">
        <f t="shared" si="211"/>
        <v>P0</v>
      </c>
      <c r="Y751" t="str">
        <f t="shared" si="212"/>
        <v>00</v>
      </c>
      <c r="Z751" t="str">
        <f t="shared" si="223"/>
        <v>00</v>
      </c>
      <c r="AA751" t="str">
        <f t="shared" si="213"/>
        <v>00</v>
      </c>
      <c r="AB751" t="str">
        <f t="shared" si="214"/>
        <v>00</v>
      </c>
      <c r="AC751" t="str">
        <f t="shared" si="215"/>
        <v>0P0</v>
      </c>
      <c r="AD751" t="str">
        <f t="shared" si="216"/>
        <v>P00</v>
      </c>
      <c r="AE751" t="str">
        <f t="shared" si="217"/>
        <v>0P0</v>
      </c>
      <c r="AF751" t="str">
        <f t="shared" si="218"/>
        <v>P00</v>
      </c>
      <c r="AG751" t="str">
        <f t="shared" si="224"/>
        <v>0P00</v>
      </c>
      <c r="AH751" t="str">
        <f t="shared" si="225"/>
        <v>P000</v>
      </c>
      <c r="AI751" t="str">
        <f t="shared" si="226"/>
        <v>0P00</v>
      </c>
      <c r="AJ751" t="str">
        <f t="shared" si="227"/>
        <v>P000</v>
      </c>
    </row>
    <row r="752" spans="1:36" x14ac:dyDescent="0.25">
      <c r="A752" s="325" t="str">
        <f>CONCATENATE("P",'906MP'!M452)</f>
        <v>P</v>
      </c>
      <c r="B752">
        <f>'906MP'!H452</f>
        <v>0</v>
      </c>
      <c r="C752">
        <f>'906MP'!J452</f>
        <v>0</v>
      </c>
      <c r="D752">
        <f>'906MP'!P452</f>
        <v>0</v>
      </c>
      <c r="E752">
        <f>'906MP'!X452</f>
        <v>0</v>
      </c>
      <c r="F752" t="str">
        <f t="shared" si="219"/>
        <v>0</v>
      </c>
      <c r="G752" t="str">
        <f t="shared" si="220"/>
        <v>0</v>
      </c>
      <c r="H752">
        <f>'906MP'!Y452</f>
        <v>0</v>
      </c>
      <c r="I752">
        <f>'906MP'!AK452</f>
        <v>0</v>
      </c>
      <c r="J752">
        <f>'906MP'!T452</f>
        <v>0</v>
      </c>
      <c r="K752">
        <f>'906MP'!AJ452</f>
        <v>0</v>
      </c>
      <c r="L752">
        <f>'906MP'!U452</f>
        <v>0</v>
      </c>
      <c r="M752" s="322" t="str">
        <f>IFERROR(VLOOKUP(A752,PAR!$D$3:$E$53,2,FALSE),"nincs szervezet")</f>
        <v>nincs szervezet</v>
      </c>
      <c r="N752" s="322" t="str">
        <f>VLOOKUP(F752,PAR!$R$3:$S$5,2,FALSE)</f>
        <v>3 - egyik sem</v>
      </c>
      <c r="O752" t="str">
        <f>IFERROR(VLOOKUP(J752,PAR!$O$3:$P$5,2,FALSE),"nincs feladat")</f>
        <v>nincs feladat</v>
      </c>
      <c r="P752" t="str">
        <f>IFERROR(VLOOKUP(G752,PAR!$J$2:$M$19,4),"nincs rovat")</f>
        <v>nincs rovat</v>
      </c>
      <c r="Q752" t="str">
        <f>IF(H752&gt;0,VLOOKUP(H752,PAR!$AA$3:$AC$187,3,FALSE),"nincs főkönyvi számla")</f>
        <v>nincs főkönyvi számla</v>
      </c>
      <c r="R752" t="str">
        <f>IFERROR(VLOOKUP(K752,PAR!$V$3:$X$438,3,FALSE),"000000 - Nincs COFOG")</f>
        <v>000000 - Nincs COFOG</v>
      </c>
      <c r="S752">
        <f t="shared" si="221"/>
        <v>0</v>
      </c>
      <c r="T752">
        <f t="shared" si="222"/>
        <v>0</v>
      </c>
      <c r="U752" t="str">
        <f>IF('906MP'!J452&gt;0,CONCATENATE('906MP'!J452," - ",'906MP'!P452,", ",'906MP'!E452),"nincs megjegyzés")</f>
        <v>nincs megjegyzés</v>
      </c>
      <c r="V752" t="str">
        <f t="shared" si="209"/>
        <v>0P0</v>
      </c>
      <c r="W752" t="str">
        <f t="shared" si="210"/>
        <v>0P0</v>
      </c>
      <c r="X752" t="str">
        <f t="shared" si="211"/>
        <v>P0</v>
      </c>
      <c r="Y752" t="str">
        <f t="shared" si="212"/>
        <v>00</v>
      </c>
      <c r="Z752" t="str">
        <f t="shared" si="223"/>
        <v>00</v>
      </c>
      <c r="AA752" t="str">
        <f t="shared" si="213"/>
        <v>00</v>
      </c>
      <c r="AB752" t="str">
        <f t="shared" si="214"/>
        <v>00</v>
      </c>
      <c r="AC752" t="str">
        <f t="shared" si="215"/>
        <v>0P0</v>
      </c>
      <c r="AD752" t="str">
        <f t="shared" si="216"/>
        <v>P00</v>
      </c>
      <c r="AE752" t="str">
        <f t="shared" si="217"/>
        <v>0P0</v>
      </c>
      <c r="AF752" t="str">
        <f t="shared" si="218"/>
        <v>P00</v>
      </c>
      <c r="AG752" t="str">
        <f t="shared" si="224"/>
        <v>0P00</v>
      </c>
      <c r="AH752" t="str">
        <f t="shared" si="225"/>
        <v>P000</v>
      </c>
      <c r="AI752" t="str">
        <f t="shared" si="226"/>
        <v>0P00</v>
      </c>
      <c r="AJ752" t="str">
        <f t="shared" si="227"/>
        <v>P000</v>
      </c>
    </row>
    <row r="753" spans="1:36" x14ac:dyDescent="0.25">
      <c r="A753" s="325" t="str">
        <f>CONCATENATE("P",'906MP'!M453)</f>
        <v>P</v>
      </c>
      <c r="B753">
        <f>'906MP'!H453</f>
        <v>0</v>
      </c>
      <c r="C753">
        <f>'906MP'!J453</f>
        <v>0</v>
      </c>
      <c r="D753">
        <f>'906MP'!P453</f>
        <v>0</v>
      </c>
      <c r="E753">
        <f>'906MP'!X453</f>
        <v>0</v>
      </c>
      <c r="F753" t="str">
        <f t="shared" si="219"/>
        <v>0</v>
      </c>
      <c r="G753" t="str">
        <f t="shared" si="220"/>
        <v>0</v>
      </c>
      <c r="H753">
        <f>'906MP'!Y453</f>
        <v>0</v>
      </c>
      <c r="I753">
        <f>'906MP'!AK453</f>
        <v>0</v>
      </c>
      <c r="J753">
        <f>'906MP'!T453</f>
        <v>0</v>
      </c>
      <c r="K753">
        <f>'906MP'!AJ453</f>
        <v>0</v>
      </c>
      <c r="L753">
        <f>'906MP'!U453</f>
        <v>0</v>
      </c>
      <c r="M753" s="322" t="str">
        <f>IFERROR(VLOOKUP(A753,PAR!$D$3:$E$53,2,FALSE),"nincs szervezet")</f>
        <v>nincs szervezet</v>
      </c>
      <c r="N753" s="322" t="str">
        <f>VLOOKUP(F753,PAR!$R$3:$S$5,2,FALSE)</f>
        <v>3 - egyik sem</v>
      </c>
      <c r="O753" t="str">
        <f>IFERROR(VLOOKUP(J753,PAR!$O$3:$P$5,2,FALSE),"nincs feladat")</f>
        <v>nincs feladat</v>
      </c>
      <c r="P753" t="str">
        <f>IFERROR(VLOOKUP(G753,PAR!$J$2:$M$19,4),"nincs rovat")</f>
        <v>nincs rovat</v>
      </c>
      <c r="Q753" t="str">
        <f>IF(H753&gt;0,VLOOKUP(H753,PAR!$AA$3:$AC$187,3,FALSE),"nincs főkönyvi számla")</f>
        <v>nincs főkönyvi számla</v>
      </c>
      <c r="R753" t="str">
        <f>IFERROR(VLOOKUP(K753,PAR!$V$3:$X$438,3,FALSE),"000000 - Nincs COFOG")</f>
        <v>000000 - Nincs COFOG</v>
      </c>
      <c r="S753">
        <f t="shared" si="221"/>
        <v>0</v>
      </c>
      <c r="T753">
        <f t="shared" si="222"/>
        <v>0</v>
      </c>
      <c r="U753" t="str">
        <f>IF('906MP'!J453&gt;0,CONCATENATE('906MP'!J453," - ",'906MP'!P453,", ",'906MP'!E453),"nincs megjegyzés")</f>
        <v>nincs megjegyzés</v>
      </c>
      <c r="V753" t="str">
        <f t="shared" si="209"/>
        <v>0P0</v>
      </c>
      <c r="W753" t="str">
        <f t="shared" si="210"/>
        <v>0P0</v>
      </c>
      <c r="X753" t="str">
        <f t="shared" si="211"/>
        <v>P0</v>
      </c>
      <c r="Y753" t="str">
        <f t="shared" si="212"/>
        <v>00</v>
      </c>
      <c r="Z753" t="str">
        <f t="shared" si="223"/>
        <v>00</v>
      </c>
      <c r="AA753" t="str">
        <f t="shared" si="213"/>
        <v>00</v>
      </c>
      <c r="AB753" t="str">
        <f t="shared" si="214"/>
        <v>00</v>
      </c>
      <c r="AC753" t="str">
        <f t="shared" si="215"/>
        <v>0P0</v>
      </c>
      <c r="AD753" t="str">
        <f t="shared" si="216"/>
        <v>P00</v>
      </c>
      <c r="AE753" t="str">
        <f t="shared" si="217"/>
        <v>0P0</v>
      </c>
      <c r="AF753" t="str">
        <f t="shared" si="218"/>
        <v>P00</v>
      </c>
      <c r="AG753" t="str">
        <f t="shared" si="224"/>
        <v>0P00</v>
      </c>
      <c r="AH753" t="str">
        <f t="shared" si="225"/>
        <v>P000</v>
      </c>
      <c r="AI753" t="str">
        <f t="shared" si="226"/>
        <v>0P00</v>
      </c>
      <c r="AJ753" t="str">
        <f t="shared" si="227"/>
        <v>P000</v>
      </c>
    </row>
    <row r="754" spans="1:36" x14ac:dyDescent="0.25">
      <c r="A754" s="325" t="str">
        <f>CONCATENATE("P",'906MP'!M454)</f>
        <v>P</v>
      </c>
      <c r="B754">
        <f>'906MP'!H454</f>
        <v>0</v>
      </c>
      <c r="C754">
        <f>'906MP'!J454</f>
        <v>0</v>
      </c>
      <c r="D754">
        <f>'906MP'!P454</f>
        <v>0</v>
      </c>
      <c r="E754">
        <f>'906MP'!X454</f>
        <v>0</v>
      </c>
      <c r="F754" t="str">
        <f t="shared" si="219"/>
        <v>0</v>
      </c>
      <c r="G754" t="str">
        <f t="shared" si="220"/>
        <v>0</v>
      </c>
      <c r="H754">
        <f>'906MP'!Y454</f>
        <v>0</v>
      </c>
      <c r="I754">
        <f>'906MP'!AK454</f>
        <v>0</v>
      </c>
      <c r="J754">
        <f>'906MP'!T454</f>
        <v>0</v>
      </c>
      <c r="K754">
        <f>'906MP'!AJ454</f>
        <v>0</v>
      </c>
      <c r="L754">
        <f>'906MP'!U454</f>
        <v>0</v>
      </c>
      <c r="M754" s="322" t="str">
        <f>IFERROR(VLOOKUP(A754,PAR!$D$3:$E$53,2,FALSE),"nincs szervezet")</f>
        <v>nincs szervezet</v>
      </c>
      <c r="N754" s="322" t="str">
        <f>VLOOKUP(F754,PAR!$R$3:$S$5,2,FALSE)</f>
        <v>3 - egyik sem</v>
      </c>
      <c r="O754" t="str">
        <f>IFERROR(VLOOKUP(J754,PAR!$O$3:$P$5,2,FALSE),"nincs feladat")</f>
        <v>nincs feladat</v>
      </c>
      <c r="P754" t="str">
        <f>IFERROR(VLOOKUP(G754,PAR!$J$2:$M$19,4),"nincs rovat")</f>
        <v>nincs rovat</v>
      </c>
      <c r="Q754" t="str">
        <f>IF(H754&gt;0,VLOOKUP(H754,PAR!$AA$3:$AC$187,3,FALSE),"nincs főkönyvi számla")</f>
        <v>nincs főkönyvi számla</v>
      </c>
      <c r="R754" t="str">
        <f>IFERROR(VLOOKUP(K754,PAR!$V$3:$X$438,3,FALSE),"000000 - Nincs COFOG")</f>
        <v>000000 - Nincs COFOG</v>
      </c>
      <c r="S754">
        <f t="shared" si="221"/>
        <v>0</v>
      </c>
      <c r="T754">
        <f t="shared" si="222"/>
        <v>0</v>
      </c>
      <c r="U754" t="str">
        <f>IF('906MP'!J454&gt;0,CONCATENATE('906MP'!J454," - ",'906MP'!P454,", ",'906MP'!E454),"nincs megjegyzés")</f>
        <v>nincs megjegyzés</v>
      </c>
      <c r="V754" t="str">
        <f t="shared" si="209"/>
        <v>0P0</v>
      </c>
      <c r="W754" t="str">
        <f t="shared" si="210"/>
        <v>0P0</v>
      </c>
      <c r="X754" t="str">
        <f t="shared" si="211"/>
        <v>P0</v>
      </c>
      <c r="Y754" t="str">
        <f t="shared" si="212"/>
        <v>00</v>
      </c>
      <c r="Z754" t="str">
        <f t="shared" si="223"/>
        <v>00</v>
      </c>
      <c r="AA754" t="str">
        <f t="shared" si="213"/>
        <v>00</v>
      </c>
      <c r="AB754" t="str">
        <f t="shared" si="214"/>
        <v>00</v>
      </c>
      <c r="AC754" t="str">
        <f t="shared" si="215"/>
        <v>0P0</v>
      </c>
      <c r="AD754" t="str">
        <f t="shared" si="216"/>
        <v>P00</v>
      </c>
      <c r="AE754" t="str">
        <f t="shared" si="217"/>
        <v>0P0</v>
      </c>
      <c r="AF754" t="str">
        <f t="shared" si="218"/>
        <v>P00</v>
      </c>
      <c r="AG754" t="str">
        <f t="shared" si="224"/>
        <v>0P00</v>
      </c>
      <c r="AH754" t="str">
        <f t="shared" si="225"/>
        <v>P000</v>
      </c>
      <c r="AI754" t="str">
        <f t="shared" si="226"/>
        <v>0P00</v>
      </c>
      <c r="AJ754" t="str">
        <f t="shared" si="227"/>
        <v>P000</v>
      </c>
    </row>
    <row r="755" spans="1:36" x14ac:dyDescent="0.25">
      <c r="A755" s="325" t="str">
        <f>CONCATENATE("P",'906MP'!M455)</f>
        <v>P</v>
      </c>
      <c r="B755">
        <f>'906MP'!H455</f>
        <v>0</v>
      </c>
      <c r="C755">
        <f>'906MP'!J455</f>
        <v>0</v>
      </c>
      <c r="D755">
        <f>'906MP'!P455</f>
        <v>0</v>
      </c>
      <c r="E755">
        <f>'906MP'!X455</f>
        <v>0</v>
      </c>
      <c r="F755" t="str">
        <f t="shared" si="219"/>
        <v>0</v>
      </c>
      <c r="G755" t="str">
        <f t="shared" si="220"/>
        <v>0</v>
      </c>
      <c r="H755">
        <f>'906MP'!Y455</f>
        <v>0</v>
      </c>
      <c r="I755">
        <f>'906MP'!AK455</f>
        <v>0</v>
      </c>
      <c r="J755">
        <f>'906MP'!T455</f>
        <v>0</v>
      </c>
      <c r="K755">
        <f>'906MP'!AJ455</f>
        <v>0</v>
      </c>
      <c r="L755">
        <f>'906MP'!U455</f>
        <v>0</v>
      </c>
      <c r="M755" s="322" t="str">
        <f>IFERROR(VLOOKUP(A755,PAR!$D$3:$E$53,2,FALSE),"nincs szervezet")</f>
        <v>nincs szervezet</v>
      </c>
      <c r="N755" s="322" t="str">
        <f>VLOOKUP(F755,PAR!$R$3:$S$5,2,FALSE)</f>
        <v>3 - egyik sem</v>
      </c>
      <c r="O755" t="str">
        <f>IFERROR(VLOOKUP(J755,PAR!$O$3:$P$5,2,FALSE),"nincs feladat")</f>
        <v>nincs feladat</v>
      </c>
      <c r="P755" t="str">
        <f>IFERROR(VLOOKUP(G755,PAR!$J$2:$M$19,4),"nincs rovat")</f>
        <v>nincs rovat</v>
      </c>
      <c r="Q755" t="str">
        <f>IF(H755&gt;0,VLOOKUP(H755,PAR!$AA$3:$AC$187,3,FALSE),"nincs főkönyvi számla")</f>
        <v>nincs főkönyvi számla</v>
      </c>
      <c r="R755" t="str">
        <f>IFERROR(VLOOKUP(K755,PAR!$V$3:$X$438,3,FALSE),"000000 - Nincs COFOG")</f>
        <v>000000 - Nincs COFOG</v>
      </c>
      <c r="S755">
        <f t="shared" si="221"/>
        <v>0</v>
      </c>
      <c r="T755">
        <f t="shared" si="222"/>
        <v>0</v>
      </c>
      <c r="U755" t="str">
        <f>IF('906MP'!J455&gt;0,CONCATENATE('906MP'!J455," - ",'906MP'!P455,", ",'906MP'!E455),"nincs megjegyzés")</f>
        <v>nincs megjegyzés</v>
      </c>
      <c r="V755" t="str">
        <f t="shared" si="209"/>
        <v>0P0</v>
      </c>
      <c r="W755" t="str">
        <f t="shared" si="210"/>
        <v>0P0</v>
      </c>
      <c r="X755" t="str">
        <f t="shared" si="211"/>
        <v>P0</v>
      </c>
      <c r="Y755" t="str">
        <f t="shared" si="212"/>
        <v>00</v>
      </c>
      <c r="Z755" t="str">
        <f t="shared" si="223"/>
        <v>00</v>
      </c>
      <c r="AA755" t="str">
        <f t="shared" si="213"/>
        <v>00</v>
      </c>
      <c r="AB755" t="str">
        <f t="shared" si="214"/>
        <v>00</v>
      </c>
      <c r="AC755" t="str">
        <f t="shared" si="215"/>
        <v>0P0</v>
      </c>
      <c r="AD755" t="str">
        <f t="shared" si="216"/>
        <v>P00</v>
      </c>
      <c r="AE755" t="str">
        <f t="shared" si="217"/>
        <v>0P0</v>
      </c>
      <c r="AF755" t="str">
        <f t="shared" si="218"/>
        <v>P00</v>
      </c>
      <c r="AG755" t="str">
        <f t="shared" si="224"/>
        <v>0P00</v>
      </c>
      <c r="AH755" t="str">
        <f t="shared" si="225"/>
        <v>P000</v>
      </c>
      <c r="AI755" t="str">
        <f t="shared" si="226"/>
        <v>0P00</v>
      </c>
      <c r="AJ755" t="str">
        <f t="shared" si="227"/>
        <v>P000</v>
      </c>
    </row>
    <row r="756" spans="1:36" x14ac:dyDescent="0.25">
      <c r="A756" s="325" t="str">
        <f>CONCATENATE("P",'906MP'!M456)</f>
        <v>P</v>
      </c>
      <c r="B756">
        <f>'906MP'!H456</f>
        <v>0</v>
      </c>
      <c r="C756">
        <f>'906MP'!J456</f>
        <v>0</v>
      </c>
      <c r="D756">
        <f>'906MP'!P456</f>
        <v>0</v>
      </c>
      <c r="E756">
        <f>'906MP'!X456</f>
        <v>0</v>
      </c>
      <c r="F756" t="str">
        <f t="shared" si="219"/>
        <v>0</v>
      </c>
      <c r="G756" t="str">
        <f t="shared" si="220"/>
        <v>0</v>
      </c>
      <c r="H756">
        <f>'906MP'!Y456</f>
        <v>0</v>
      </c>
      <c r="I756">
        <f>'906MP'!AK456</f>
        <v>0</v>
      </c>
      <c r="J756">
        <f>'906MP'!T456</f>
        <v>0</v>
      </c>
      <c r="K756">
        <f>'906MP'!AJ456</f>
        <v>0</v>
      </c>
      <c r="L756">
        <f>'906MP'!U456</f>
        <v>0</v>
      </c>
      <c r="M756" s="322" t="str">
        <f>IFERROR(VLOOKUP(A756,PAR!$D$3:$E$53,2,FALSE),"nincs szervezet")</f>
        <v>nincs szervezet</v>
      </c>
      <c r="N756" s="322" t="str">
        <f>VLOOKUP(F756,PAR!$R$3:$S$5,2,FALSE)</f>
        <v>3 - egyik sem</v>
      </c>
      <c r="O756" t="str">
        <f>IFERROR(VLOOKUP(J756,PAR!$O$3:$P$5,2,FALSE),"nincs feladat")</f>
        <v>nincs feladat</v>
      </c>
      <c r="P756" t="str">
        <f>IFERROR(VLOOKUP(G756,PAR!$J$2:$M$19,4),"nincs rovat")</f>
        <v>nincs rovat</v>
      </c>
      <c r="Q756" t="str">
        <f>IF(H756&gt;0,VLOOKUP(H756,PAR!$AA$3:$AC$187,3,FALSE),"nincs főkönyvi számla")</f>
        <v>nincs főkönyvi számla</v>
      </c>
      <c r="R756" t="str">
        <f>IFERROR(VLOOKUP(K756,PAR!$V$3:$X$438,3,FALSE),"000000 - Nincs COFOG")</f>
        <v>000000 - Nincs COFOG</v>
      </c>
      <c r="S756">
        <f t="shared" si="221"/>
        <v>0</v>
      </c>
      <c r="T756">
        <f t="shared" si="222"/>
        <v>0</v>
      </c>
      <c r="U756" t="str">
        <f>IF('906MP'!J456&gt;0,CONCATENATE('906MP'!J456," - ",'906MP'!P456,", ",'906MP'!E456),"nincs megjegyzés")</f>
        <v>nincs megjegyzés</v>
      </c>
      <c r="V756" t="str">
        <f t="shared" si="209"/>
        <v>0P0</v>
      </c>
      <c r="W756" t="str">
        <f t="shared" si="210"/>
        <v>0P0</v>
      </c>
      <c r="X756" t="str">
        <f t="shared" si="211"/>
        <v>P0</v>
      </c>
      <c r="Y756" t="str">
        <f t="shared" si="212"/>
        <v>00</v>
      </c>
      <c r="Z756" t="str">
        <f t="shared" si="223"/>
        <v>00</v>
      </c>
      <c r="AA756" t="str">
        <f t="shared" si="213"/>
        <v>00</v>
      </c>
      <c r="AB756" t="str">
        <f t="shared" si="214"/>
        <v>00</v>
      </c>
      <c r="AC756" t="str">
        <f t="shared" si="215"/>
        <v>0P0</v>
      </c>
      <c r="AD756" t="str">
        <f t="shared" si="216"/>
        <v>P00</v>
      </c>
      <c r="AE756" t="str">
        <f t="shared" si="217"/>
        <v>0P0</v>
      </c>
      <c r="AF756" t="str">
        <f t="shared" si="218"/>
        <v>P00</v>
      </c>
      <c r="AG756" t="str">
        <f t="shared" si="224"/>
        <v>0P00</v>
      </c>
      <c r="AH756" t="str">
        <f t="shared" si="225"/>
        <v>P000</v>
      </c>
      <c r="AI756" t="str">
        <f t="shared" si="226"/>
        <v>0P00</v>
      </c>
      <c r="AJ756" t="str">
        <f t="shared" si="227"/>
        <v>P000</v>
      </c>
    </row>
    <row r="757" spans="1:36" x14ac:dyDescent="0.25">
      <c r="A757" s="325" t="str">
        <f>CONCATENATE("P",'906MP'!M457)</f>
        <v>P</v>
      </c>
      <c r="B757">
        <f>'906MP'!H457</f>
        <v>0</v>
      </c>
      <c r="C757">
        <f>'906MP'!J457</f>
        <v>0</v>
      </c>
      <c r="D757">
        <f>'906MP'!P457</f>
        <v>0</v>
      </c>
      <c r="E757">
        <f>'906MP'!X457</f>
        <v>0</v>
      </c>
      <c r="F757" t="str">
        <f t="shared" si="219"/>
        <v>0</v>
      </c>
      <c r="G757" t="str">
        <f t="shared" si="220"/>
        <v>0</v>
      </c>
      <c r="H757">
        <f>'906MP'!Y457</f>
        <v>0</v>
      </c>
      <c r="I757">
        <f>'906MP'!AK457</f>
        <v>0</v>
      </c>
      <c r="J757">
        <f>'906MP'!T457</f>
        <v>0</v>
      </c>
      <c r="K757">
        <f>'906MP'!AJ457</f>
        <v>0</v>
      </c>
      <c r="L757">
        <f>'906MP'!U457</f>
        <v>0</v>
      </c>
      <c r="M757" s="322" t="str">
        <f>IFERROR(VLOOKUP(A757,PAR!$D$3:$E$53,2,FALSE),"nincs szervezet")</f>
        <v>nincs szervezet</v>
      </c>
      <c r="N757" s="322" t="str">
        <f>VLOOKUP(F757,PAR!$R$3:$S$5,2,FALSE)</f>
        <v>3 - egyik sem</v>
      </c>
      <c r="O757" t="str">
        <f>IFERROR(VLOOKUP(J757,PAR!$O$3:$P$5,2,FALSE),"nincs feladat")</f>
        <v>nincs feladat</v>
      </c>
      <c r="P757" t="str">
        <f>IFERROR(VLOOKUP(G757,PAR!$J$2:$M$19,4),"nincs rovat")</f>
        <v>nincs rovat</v>
      </c>
      <c r="Q757" t="str">
        <f>IF(H757&gt;0,VLOOKUP(H757,PAR!$AA$3:$AC$187,3,FALSE),"nincs főkönyvi számla")</f>
        <v>nincs főkönyvi számla</v>
      </c>
      <c r="R757" t="str">
        <f>IFERROR(VLOOKUP(K757,PAR!$V$3:$X$438,3,FALSE),"000000 - Nincs COFOG")</f>
        <v>000000 - Nincs COFOG</v>
      </c>
      <c r="S757">
        <f t="shared" si="221"/>
        <v>0</v>
      </c>
      <c r="T757">
        <f t="shared" si="222"/>
        <v>0</v>
      </c>
      <c r="U757" t="str">
        <f>IF('906MP'!J457&gt;0,CONCATENATE('906MP'!J457," - ",'906MP'!P457,", ",'906MP'!E457),"nincs megjegyzés")</f>
        <v>nincs megjegyzés</v>
      </c>
      <c r="V757" t="str">
        <f t="shared" si="209"/>
        <v>0P0</v>
      </c>
      <c r="W757" t="str">
        <f t="shared" si="210"/>
        <v>0P0</v>
      </c>
      <c r="X757" t="str">
        <f t="shared" si="211"/>
        <v>P0</v>
      </c>
      <c r="Y757" t="str">
        <f t="shared" si="212"/>
        <v>00</v>
      </c>
      <c r="Z757" t="str">
        <f t="shared" si="223"/>
        <v>00</v>
      </c>
      <c r="AA757" t="str">
        <f t="shared" si="213"/>
        <v>00</v>
      </c>
      <c r="AB757" t="str">
        <f t="shared" si="214"/>
        <v>00</v>
      </c>
      <c r="AC757" t="str">
        <f t="shared" si="215"/>
        <v>0P0</v>
      </c>
      <c r="AD757" t="str">
        <f t="shared" si="216"/>
        <v>P00</v>
      </c>
      <c r="AE757" t="str">
        <f t="shared" si="217"/>
        <v>0P0</v>
      </c>
      <c r="AF757" t="str">
        <f t="shared" si="218"/>
        <v>P00</v>
      </c>
      <c r="AG757" t="str">
        <f t="shared" si="224"/>
        <v>0P00</v>
      </c>
      <c r="AH757" t="str">
        <f t="shared" si="225"/>
        <v>P000</v>
      </c>
      <c r="AI757" t="str">
        <f t="shared" si="226"/>
        <v>0P00</v>
      </c>
      <c r="AJ757" t="str">
        <f t="shared" si="227"/>
        <v>P000</v>
      </c>
    </row>
    <row r="758" spans="1:36" x14ac:dyDescent="0.25">
      <c r="A758" s="325" t="str">
        <f>CONCATENATE("P",'906MP'!M458)</f>
        <v>P</v>
      </c>
      <c r="B758">
        <f>'906MP'!H458</f>
        <v>0</v>
      </c>
      <c r="C758">
        <f>'906MP'!J458</f>
        <v>0</v>
      </c>
      <c r="D758">
        <f>'906MP'!P458</f>
        <v>0</v>
      </c>
      <c r="E758">
        <f>'906MP'!X458</f>
        <v>0</v>
      </c>
      <c r="F758" t="str">
        <f t="shared" si="219"/>
        <v>0</v>
      </c>
      <c r="G758" t="str">
        <f t="shared" si="220"/>
        <v>0</v>
      </c>
      <c r="H758">
        <f>'906MP'!Y458</f>
        <v>0</v>
      </c>
      <c r="I758">
        <f>'906MP'!AK458</f>
        <v>0</v>
      </c>
      <c r="J758">
        <f>'906MP'!T458</f>
        <v>0</v>
      </c>
      <c r="K758">
        <f>'906MP'!AJ458</f>
        <v>0</v>
      </c>
      <c r="L758">
        <f>'906MP'!U458</f>
        <v>0</v>
      </c>
      <c r="M758" s="322" t="str">
        <f>IFERROR(VLOOKUP(A758,PAR!$D$3:$E$53,2,FALSE),"nincs szervezet")</f>
        <v>nincs szervezet</v>
      </c>
      <c r="N758" s="322" t="str">
        <f>VLOOKUP(F758,PAR!$R$3:$S$5,2,FALSE)</f>
        <v>3 - egyik sem</v>
      </c>
      <c r="O758" t="str">
        <f>IFERROR(VLOOKUP(J758,PAR!$O$3:$P$5,2,FALSE),"nincs feladat")</f>
        <v>nincs feladat</v>
      </c>
      <c r="P758" t="str">
        <f>IFERROR(VLOOKUP(G758,PAR!$J$2:$M$19,4),"nincs rovat")</f>
        <v>nincs rovat</v>
      </c>
      <c r="Q758" t="str">
        <f>IF(H758&gt;0,VLOOKUP(H758,PAR!$AA$3:$AC$187,3,FALSE),"nincs főkönyvi számla")</f>
        <v>nincs főkönyvi számla</v>
      </c>
      <c r="R758" t="str">
        <f>IFERROR(VLOOKUP(K758,PAR!$V$3:$X$438,3,FALSE),"000000 - Nincs COFOG")</f>
        <v>000000 - Nincs COFOG</v>
      </c>
      <c r="S758">
        <f t="shared" si="221"/>
        <v>0</v>
      </c>
      <c r="T758">
        <f t="shared" si="222"/>
        <v>0</v>
      </c>
      <c r="U758" t="str">
        <f>IF('906MP'!J458&gt;0,CONCATENATE('906MP'!J458," - ",'906MP'!P458,", ",'906MP'!E458),"nincs megjegyzés")</f>
        <v>nincs megjegyzés</v>
      </c>
      <c r="V758" t="str">
        <f t="shared" si="209"/>
        <v>0P0</v>
      </c>
      <c r="W758" t="str">
        <f t="shared" si="210"/>
        <v>0P0</v>
      </c>
      <c r="X758" t="str">
        <f t="shared" si="211"/>
        <v>P0</v>
      </c>
      <c r="Y758" t="str">
        <f t="shared" si="212"/>
        <v>00</v>
      </c>
      <c r="Z758" t="str">
        <f t="shared" si="223"/>
        <v>00</v>
      </c>
      <c r="AA758" t="str">
        <f t="shared" si="213"/>
        <v>00</v>
      </c>
      <c r="AB758" t="str">
        <f t="shared" si="214"/>
        <v>00</v>
      </c>
      <c r="AC758" t="str">
        <f t="shared" si="215"/>
        <v>0P0</v>
      </c>
      <c r="AD758" t="str">
        <f t="shared" si="216"/>
        <v>P00</v>
      </c>
      <c r="AE758" t="str">
        <f t="shared" si="217"/>
        <v>0P0</v>
      </c>
      <c r="AF758" t="str">
        <f t="shared" si="218"/>
        <v>P00</v>
      </c>
      <c r="AG758" t="str">
        <f t="shared" si="224"/>
        <v>0P00</v>
      </c>
      <c r="AH758" t="str">
        <f t="shared" si="225"/>
        <v>P000</v>
      </c>
      <c r="AI758" t="str">
        <f t="shared" si="226"/>
        <v>0P00</v>
      </c>
      <c r="AJ758" t="str">
        <f t="shared" si="227"/>
        <v>P000</v>
      </c>
    </row>
    <row r="759" spans="1:36" x14ac:dyDescent="0.25">
      <c r="A759" s="325" t="str">
        <f>CONCATENATE("P",'906MP'!M459)</f>
        <v>P</v>
      </c>
      <c r="B759">
        <f>'906MP'!H459</f>
        <v>0</v>
      </c>
      <c r="C759">
        <f>'906MP'!J459</f>
        <v>0</v>
      </c>
      <c r="D759">
        <f>'906MP'!P459</f>
        <v>0</v>
      </c>
      <c r="E759">
        <f>'906MP'!X459</f>
        <v>0</v>
      </c>
      <c r="F759" t="str">
        <f t="shared" si="219"/>
        <v>0</v>
      </c>
      <c r="G759" t="str">
        <f t="shared" si="220"/>
        <v>0</v>
      </c>
      <c r="H759">
        <f>'906MP'!Y459</f>
        <v>0</v>
      </c>
      <c r="I759">
        <f>'906MP'!AK459</f>
        <v>0</v>
      </c>
      <c r="J759">
        <f>'906MP'!T459</f>
        <v>0</v>
      </c>
      <c r="K759">
        <f>'906MP'!AJ459</f>
        <v>0</v>
      </c>
      <c r="L759">
        <f>'906MP'!U459</f>
        <v>0</v>
      </c>
      <c r="M759" s="322" t="str">
        <f>IFERROR(VLOOKUP(A759,PAR!$D$3:$E$53,2,FALSE),"nincs szervezet")</f>
        <v>nincs szervezet</v>
      </c>
      <c r="N759" s="322" t="str">
        <f>VLOOKUP(F759,PAR!$R$3:$S$5,2,FALSE)</f>
        <v>3 - egyik sem</v>
      </c>
      <c r="O759" t="str">
        <f>IFERROR(VLOOKUP(J759,PAR!$O$3:$P$5,2,FALSE),"nincs feladat")</f>
        <v>nincs feladat</v>
      </c>
      <c r="P759" t="str">
        <f>IFERROR(VLOOKUP(G759,PAR!$J$2:$M$19,4),"nincs rovat")</f>
        <v>nincs rovat</v>
      </c>
      <c r="Q759" t="str">
        <f>IF(H759&gt;0,VLOOKUP(H759,PAR!$AA$3:$AC$187,3,FALSE),"nincs főkönyvi számla")</f>
        <v>nincs főkönyvi számla</v>
      </c>
      <c r="R759" t="str">
        <f>IFERROR(VLOOKUP(K759,PAR!$V$3:$X$438,3,FALSE),"000000 - Nincs COFOG")</f>
        <v>000000 - Nincs COFOG</v>
      </c>
      <c r="S759">
        <f t="shared" si="221"/>
        <v>0</v>
      </c>
      <c r="T759">
        <f t="shared" si="222"/>
        <v>0</v>
      </c>
      <c r="U759" t="str">
        <f>IF('906MP'!J459&gt;0,CONCATENATE('906MP'!J459," - ",'906MP'!P459,", ",'906MP'!E459),"nincs megjegyzés")</f>
        <v>nincs megjegyzés</v>
      </c>
      <c r="V759" t="str">
        <f t="shared" si="209"/>
        <v>0P0</v>
      </c>
      <c r="W759" t="str">
        <f t="shared" si="210"/>
        <v>0P0</v>
      </c>
      <c r="X759" t="str">
        <f t="shared" si="211"/>
        <v>P0</v>
      </c>
      <c r="Y759" t="str">
        <f t="shared" si="212"/>
        <v>00</v>
      </c>
      <c r="Z759" t="str">
        <f t="shared" si="223"/>
        <v>00</v>
      </c>
      <c r="AA759" t="str">
        <f t="shared" si="213"/>
        <v>00</v>
      </c>
      <c r="AB759" t="str">
        <f t="shared" si="214"/>
        <v>00</v>
      </c>
      <c r="AC759" t="str">
        <f t="shared" si="215"/>
        <v>0P0</v>
      </c>
      <c r="AD759" t="str">
        <f t="shared" si="216"/>
        <v>P00</v>
      </c>
      <c r="AE759" t="str">
        <f t="shared" si="217"/>
        <v>0P0</v>
      </c>
      <c r="AF759" t="str">
        <f t="shared" si="218"/>
        <v>P00</v>
      </c>
      <c r="AG759" t="str">
        <f t="shared" si="224"/>
        <v>0P00</v>
      </c>
      <c r="AH759" t="str">
        <f t="shared" si="225"/>
        <v>P000</v>
      </c>
      <c r="AI759" t="str">
        <f t="shared" si="226"/>
        <v>0P00</v>
      </c>
      <c r="AJ759" t="str">
        <f t="shared" si="227"/>
        <v>P000</v>
      </c>
    </row>
    <row r="760" spans="1:36" x14ac:dyDescent="0.25">
      <c r="A760" s="325" t="str">
        <f>CONCATENATE("P",'906MP'!M460)</f>
        <v>P</v>
      </c>
      <c r="B760">
        <f>'906MP'!H460</f>
        <v>0</v>
      </c>
      <c r="C760">
        <f>'906MP'!J460</f>
        <v>0</v>
      </c>
      <c r="D760">
        <f>'906MP'!P460</f>
        <v>0</v>
      </c>
      <c r="E760">
        <f>'906MP'!X460</f>
        <v>0</v>
      </c>
      <c r="F760" t="str">
        <f t="shared" si="219"/>
        <v>0</v>
      </c>
      <c r="G760" t="str">
        <f t="shared" si="220"/>
        <v>0</v>
      </c>
      <c r="H760">
        <f>'906MP'!Y460</f>
        <v>0</v>
      </c>
      <c r="I760">
        <f>'906MP'!AK460</f>
        <v>0</v>
      </c>
      <c r="J760">
        <f>'906MP'!T460</f>
        <v>0</v>
      </c>
      <c r="K760">
        <f>'906MP'!AJ460</f>
        <v>0</v>
      </c>
      <c r="L760">
        <f>'906MP'!U460</f>
        <v>0</v>
      </c>
      <c r="M760" s="322" t="str">
        <f>IFERROR(VLOOKUP(A760,PAR!$D$3:$E$53,2,FALSE),"nincs szervezet")</f>
        <v>nincs szervezet</v>
      </c>
      <c r="N760" s="322" t="str">
        <f>VLOOKUP(F760,PAR!$R$3:$S$5,2,FALSE)</f>
        <v>3 - egyik sem</v>
      </c>
      <c r="O760" t="str">
        <f>IFERROR(VLOOKUP(J760,PAR!$O$3:$P$5,2,FALSE),"nincs feladat")</f>
        <v>nincs feladat</v>
      </c>
      <c r="P760" t="str">
        <f>IFERROR(VLOOKUP(G760,PAR!$J$2:$M$19,4),"nincs rovat")</f>
        <v>nincs rovat</v>
      </c>
      <c r="Q760" t="str">
        <f>IF(H760&gt;0,VLOOKUP(H760,PAR!$AA$3:$AC$187,3,FALSE),"nincs főkönyvi számla")</f>
        <v>nincs főkönyvi számla</v>
      </c>
      <c r="R760" t="str">
        <f>IFERROR(VLOOKUP(K760,PAR!$V$3:$X$438,3,FALSE),"000000 - Nincs COFOG")</f>
        <v>000000 - Nincs COFOG</v>
      </c>
      <c r="S760">
        <f t="shared" si="221"/>
        <v>0</v>
      </c>
      <c r="T760">
        <f t="shared" si="222"/>
        <v>0</v>
      </c>
      <c r="U760" t="str">
        <f>IF('906MP'!J460&gt;0,CONCATENATE('906MP'!J460," - ",'906MP'!P460,", ",'906MP'!E460),"nincs megjegyzés")</f>
        <v>nincs megjegyzés</v>
      </c>
      <c r="V760" t="str">
        <f t="shared" si="209"/>
        <v>0P0</v>
      </c>
      <c r="W760" t="str">
        <f t="shared" si="210"/>
        <v>0P0</v>
      </c>
      <c r="X760" t="str">
        <f t="shared" si="211"/>
        <v>P0</v>
      </c>
      <c r="Y760" t="str">
        <f t="shared" si="212"/>
        <v>00</v>
      </c>
      <c r="Z760" t="str">
        <f t="shared" si="223"/>
        <v>00</v>
      </c>
      <c r="AA760" t="str">
        <f t="shared" si="213"/>
        <v>00</v>
      </c>
      <c r="AB760" t="str">
        <f t="shared" si="214"/>
        <v>00</v>
      </c>
      <c r="AC760" t="str">
        <f t="shared" si="215"/>
        <v>0P0</v>
      </c>
      <c r="AD760" t="str">
        <f t="shared" si="216"/>
        <v>P00</v>
      </c>
      <c r="AE760" t="str">
        <f t="shared" si="217"/>
        <v>0P0</v>
      </c>
      <c r="AF760" t="str">
        <f t="shared" si="218"/>
        <v>P00</v>
      </c>
      <c r="AG760" t="str">
        <f t="shared" si="224"/>
        <v>0P00</v>
      </c>
      <c r="AH760" t="str">
        <f t="shared" si="225"/>
        <v>P000</v>
      </c>
      <c r="AI760" t="str">
        <f t="shared" si="226"/>
        <v>0P00</v>
      </c>
      <c r="AJ760" t="str">
        <f t="shared" si="227"/>
        <v>P000</v>
      </c>
    </row>
    <row r="761" spans="1:36" x14ac:dyDescent="0.25">
      <c r="A761" s="325" t="str">
        <f>CONCATENATE("P",'906MP'!M461)</f>
        <v>P</v>
      </c>
      <c r="B761">
        <f>'906MP'!H461</f>
        <v>0</v>
      </c>
      <c r="C761">
        <f>'906MP'!J461</f>
        <v>0</v>
      </c>
      <c r="D761">
        <f>'906MP'!P461</f>
        <v>0</v>
      </c>
      <c r="E761">
        <f>'906MP'!X461</f>
        <v>0</v>
      </c>
      <c r="F761" t="str">
        <f t="shared" si="219"/>
        <v>0</v>
      </c>
      <c r="G761" t="str">
        <f t="shared" si="220"/>
        <v>0</v>
      </c>
      <c r="H761">
        <f>'906MP'!Y461</f>
        <v>0</v>
      </c>
      <c r="I761">
        <f>'906MP'!AK461</f>
        <v>0</v>
      </c>
      <c r="J761">
        <f>'906MP'!T461</f>
        <v>0</v>
      </c>
      <c r="K761">
        <f>'906MP'!AJ461</f>
        <v>0</v>
      </c>
      <c r="L761">
        <f>'906MP'!U461</f>
        <v>0</v>
      </c>
      <c r="M761" s="322" t="str">
        <f>IFERROR(VLOOKUP(A761,PAR!$D$3:$E$53,2,FALSE),"nincs szervezet")</f>
        <v>nincs szervezet</v>
      </c>
      <c r="N761" s="322" t="str">
        <f>VLOOKUP(F761,PAR!$R$3:$S$5,2,FALSE)</f>
        <v>3 - egyik sem</v>
      </c>
      <c r="O761" t="str">
        <f>IFERROR(VLOOKUP(J761,PAR!$O$3:$P$5,2,FALSE),"nincs feladat")</f>
        <v>nincs feladat</v>
      </c>
      <c r="P761" t="str">
        <f>IFERROR(VLOOKUP(G761,PAR!$J$2:$M$19,4),"nincs rovat")</f>
        <v>nincs rovat</v>
      </c>
      <c r="Q761" t="str">
        <f>IF(H761&gt;0,VLOOKUP(H761,PAR!$AA$3:$AC$187,3,FALSE),"nincs főkönyvi számla")</f>
        <v>nincs főkönyvi számla</v>
      </c>
      <c r="R761" t="str">
        <f>IFERROR(VLOOKUP(K761,PAR!$V$3:$X$438,3,FALSE),"000000 - Nincs COFOG")</f>
        <v>000000 - Nincs COFOG</v>
      </c>
      <c r="S761">
        <f t="shared" si="221"/>
        <v>0</v>
      </c>
      <c r="T761">
        <f t="shared" si="222"/>
        <v>0</v>
      </c>
      <c r="U761" t="str">
        <f>IF('906MP'!J461&gt;0,CONCATENATE('906MP'!J461," - ",'906MP'!P461,", ",'906MP'!E461),"nincs megjegyzés")</f>
        <v>nincs megjegyzés</v>
      </c>
      <c r="V761" t="str">
        <f t="shared" si="209"/>
        <v>0P0</v>
      </c>
      <c r="W761" t="str">
        <f t="shared" si="210"/>
        <v>0P0</v>
      </c>
      <c r="X761" t="str">
        <f t="shared" si="211"/>
        <v>P0</v>
      </c>
      <c r="Y761" t="str">
        <f t="shared" si="212"/>
        <v>00</v>
      </c>
      <c r="Z761" t="str">
        <f t="shared" si="223"/>
        <v>00</v>
      </c>
      <c r="AA761" t="str">
        <f t="shared" si="213"/>
        <v>00</v>
      </c>
      <c r="AB761" t="str">
        <f t="shared" si="214"/>
        <v>00</v>
      </c>
      <c r="AC761" t="str">
        <f t="shared" si="215"/>
        <v>0P0</v>
      </c>
      <c r="AD761" t="str">
        <f t="shared" si="216"/>
        <v>P00</v>
      </c>
      <c r="AE761" t="str">
        <f t="shared" si="217"/>
        <v>0P0</v>
      </c>
      <c r="AF761" t="str">
        <f t="shared" si="218"/>
        <v>P00</v>
      </c>
      <c r="AG761" t="str">
        <f t="shared" si="224"/>
        <v>0P00</v>
      </c>
      <c r="AH761" t="str">
        <f t="shared" si="225"/>
        <v>P000</v>
      </c>
      <c r="AI761" t="str">
        <f t="shared" si="226"/>
        <v>0P00</v>
      </c>
      <c r="AJ761" t="str">
        <f t="shared" si="227"/>
        <v>P000</v>
      </c>
    </row>
    <row r="762" spans="1:36" x14ac:dyDescent="0.25">
      <c r="A762" s="325" t="str">
        <f>CONCATENATE("P",'906MP'!M462)</f>
        <v>P</v>
      </c>
      <c r="B762">
        <f>'906MP'!H462</f>
        <v>0</v>
      </c>
      <c r="C762">
        <f>'906MP'!J462</f>
        <v>0</v>
      </c>
      <c r="D762">
        <f>'906MP'!P462</f>
        <v>0</v>
      </c>
      <c r="E762">
        <f>'906MP'!X462</f>
        <v>0</v>
      </c>
      <c r="F762" t="str">
        <f t="shared" si="219"/>
        <v>0</v>
      </c>
      <c r="G762" t="str">
        <f t="shared" si="220"/>
        <v>0</v>
      </c>
      <c r="H762">
        <f>'906MP'!Y462</f>
        <v>0</v>
      </c>
      <c r="I762">
        <f>'906MP'!AK462</f>
        <v>0</v>
      </c>
      <c r="J762">
        <f>'906MP'!T462</f>
        <v>0</v>
      </c>
      <c r="K762">
        <f>'906MP'!AJ462</f>
        <v>0</v>
      </c>
      <c r="L762">
        <f>'906MP'!U462</f>
        <v>0</v>
      </c>
      <c r="M762" s="322" t="str">
        <f>IFERROR(VLOOKUP(A762,PAR!$D$3:$E$53,2,FALSE),"nincs szervezet")</f>
        <v>nincs szervezet</v>
      </c>
      <c r="N762" s="322" t="str">
        <f>VLOOKUP(F762,PAR!$R$3:$S$5,2,FALSE)</f>
        <v>3 - egyik sem</v>
      </c>
      <c r="O762" t="str">
        <f>IFERROR(VLOOKUP(J762,PAR!$O$3:$P$5,2,FALSE),"nincs feladat")</f>
        <v>nincs feladat</v>
      </c>
      <c r="P762" t="str">
        <f>IFERROR(VLOOKUP(G762,PAR!$J$2:$M$19,4),"nincs rovat")</f>
        <v>nincs rovat</v>
      </c>
      <c r="Q762" t="str">
        <f>IF(H762&gt;0,VLOOKUP(H762,PAR!$AA$3:$AC$187,3,FALSE),"nincs főkönyvi számla")</f>
        <v>nincs főkönyvi számla</v>
      </c>
      <c r="R762" t="str">
        <f>IFERROR(VLOOKUP(K762,PAR!$V$3:$X$438,3,FALSE),"000000 - Nincs COFOG")</f>
        <v>000000 - Nincs COFOG</v>
      </c>
      <c r="S762">
        <f t="shared" si="221"/>
        <v>0</v>
      </c>
      <c r="T762">
        <f t="shared" si="222"/>
        <v>0</v>
      </c>
      <c r="U762" t="str">
        <f>IF('906MP'!J462&gt;0,CONCATENATE('906MP'!J462," - ",'906MP'!P462,", ",'906MP'!E462),"nincs megjegyzés")</f>
        <v>nincs megjegyzés</v>
      </c>
      <c r="V762" t="str">
        <f t="shared" si="209"/>
        <v>0P0</v>
      </c>
      <c r="W762" t="str">
        <f t="shared" si="210"/>
        <v>0P0</v>
      </c>
      <c r="X762" t="str">
        <f t="shared" si="211"/>
        <v>P0</v>
      </c>
      <c r="Y762" t="str">
        <f t="shared" si="212"/>
        <v>00</v>
      </c>
      <c r="Z762" t="str">
        <f t="shared" si="223"/>
        <v>00</v>
      </c>
      <c r="AA762" t="str">
        <f t="shared" si="213"/>
        <v>00</v>
      </c>
      <c r="AB762" t="str">
        <f t="shared" si="214"/>
        <v>00</v>
      </c>
      <c r="AC762" t="str">
        <f t="shared" si="215"/>
        <v>0P0</v>
      </c>
      <c r="AD762" t="str">
        <f t="shared" si="216"/>
        <v>P00</v>
      </c>
      <c r="AE762" t="str">
        <f t="shared" si="217"/>
        <v>0P0</v>
      </c>
      <c r="AF762" t="str">
        <f t="shared" si="218"/>
        <v>P00</v>
      </c>
      <c r="AG762" t="str">
        <f t="shared" si="224"/>
        <v>0P00</v>
      </c>
      <c r="AH762" t="str">
        <f t="shared" si="225"/>
        <v>P000</v>
      </c>
      <c r="AI762" t="str">
        <f t="shared" si="226"/>
        <v>0P00</v>
      </c>
      <c r="AJ762" t="str">
        <f t="shared" si="227"/>
        <v>P000</v>
      </c>
    </row>
    <row r="763" spans="1:36" x14ac:dyDescent="0.25">
      <c r="A763" s="325" t="str">
        <f>CONCATENATE("P",'906MP'!M463)</f>
        <v>P</v>
      </c>
      <c r="B763">
        <f>'906MP'!H463</f>
        <v>0</v>
      </c>
      <c r="C763">
        <f>'906MP'!J463</f>
        <v>0</v>
      </c>
      <c r="D763">
        <f>'906MP'!P463</f>
        <v>0</v>
      </c>
      <c r="E763">
        <f>'906MP'!X463</f>
        <v>0</v>
      </c>
      <c r="F763" t="str">
        <f t="shared" si="219"/>
        <v>0</v>
      </c>
      <c r="G763" t="str">
        <f t="shared" si="220"/>
        <v>0</v>
      </c>
      <c r="H763">
        <f>'906MP'!Y463</f>
        <v>0</v>
      </c>
      <c r="I763">
        <f>'906MP'!AK463</f>
        <v>0</v>
      </c>
      <c r="J763">
        <f>'906MP'!T463</f>
        <v>0</v>
      </c>
      <c r="K763">
        <f>'906MP'!AJ463</f>
        <v>0</v>
      </c>
      <c r="L763">
        <f>'906MP'!U463</f>
        <v>0</v>
      </c>
      <c r="M763" s="322" t="str">
        <f>IFERROR(VLOOKUP(A763,PAR!$D$3:$E$53,2,FALSE),"nincs szervezet")</f>
        <v>nincs szervezet</v>
      </c>
      <c r="N763" s="322" t="str">
        <f>VLOOKUP(F763,PAR!$R$3:$S$5,2,FALSE)</f>
        <v>3 - egyik sem</v>
      </c>
      <c r="O763" t="str">
        <f>IFERROR(VLOOKUP(J763,PAR!$O$3:$P$5,2,FALSE),"nincs feladat")</f>
        <v>nincs feladat</v>
      </c>
      <c r="P763" t="str">
        <f>IFERROR(VLOOKUP(G763,PAR!$J$2:$M$19,4),"nincs rovat")</f>
        <v>nincs rovat</v>
      </c>
      <c r="Q763" t="str">
        <f>IF(H763&gt;0,VLOOKUP(H763,PAR!$AA$3:$AC$187,3,FALSE),"nincs főkönyvi számla")</f>
        <v>nincs főkönyvi számla</v>
      </c>
      <c r="R763" t="str">
        <f>IFERROR(VLOOKUP(K763,PAR!$V$3:$X$438,3,FALSE),"000000 - Nincs COFOG")</f>
        <v>000000 - Nincs COFOG</v>
      </c>
      <c r="S763">
        <f t="shared" si="221"/>
        <v>0</v>
      </c>
      <c r="T763">
        <f t="shared" si="222"/>
        <v>0</v>
      </c>
      <c r="U763" t="str">
        <f>IF('906MP'!J463&gt;0,CONCATENATE('906MP'!J463," - ",'906MP'!P463,", ",'906MP'!E463),"nincs megjegyzés")</f>
        <v>nincs megjegyzés</v>
      </c>
      <c r="V763" t="str">
        <f t="shared" si="209"/>
        <v>0P0</v>
      </c>
      <c r="W763" t="str">
        <f t="shared" si="210"/>
        <v>0P0</v>
      </c>
      <c r="X763" t="str">
        <f t="shared" si="211"/>
        <v>P0</v>
      </c>
      <c r="Y763" t="str">
        <f t="shared" si="212"/>
        <v>00</v>
      </c>
      <c r="Z763" t="str">
        <f t="shared" si="223"/>
        <v>00</v>
      </c>
      <c r="AA763" t="str">
        <f t="shared" si="213"/>
        <v>00</v>
      </c>
      <c r="AB763" t="str">
        <f t="shared" si="214"/>
        <v>00</v>
      </c>
      <c r="AC763" t="str">
        <f t="shared" si="215"/>
        <v>0P0</v>
      </c>
      <c r="AD763" t="str">
        <f t="shared" si="216"/>
        <v>P00</v>
      </c>
      <c r="AE763" t="str">
        <f t="shared" si="217"/>
        <v>0P0</v>
      </c>
      <c r="AF763" t="str">
        <f t="shared" si="218"/>
        <v>P00</v>
      </c>
      <c r="AG763" t="str">
        <f t="shared" si="224"/>
        <v>0P00</v>
      </c>
      <c r="AH763" t="str">
        <f t="shared" si="225"/>
        <v>P000</v>
      </c>
      <c r="AI763" t="str">
        <f t="shared" si="226"/>
        <v>0P00</v>
      </c>
      <c r="AJ763" t="str">
        <f t="shared" si="227"/>
        <v>P000</v>
      </c>
    </row>
    <row r="764" spans="1:36" x14ac:dyDescent="0.25">
      <c r="A764" s="325" t="str">
        <f>CONCATENATE("P",'906MP'!M464)</f>
        <v>P</v>
      </c>
      <c r="B764">
        <f>'906MP'!H464</f>
        <v>0</v>
      </c>
      <c r="C764">
        <f>'906MP'!J464</f>
        <v>0</v>
      </c>
      <c r="D764">
        <f>'906MP'!P464</f>
        <v>0</v>
      </c>
      <c r="E764">
        <f>'906MP'!X464</f>
        <v>0</v>
      </c>
      <c r="F764" t="str">
        <f t="shared" si="219"/>
        <v>0</v>
      </c>
      <c r="G764" t="str">
        <f t="shared" si="220"/>
        <v>0</v>
      </c>
      <c r="H764">
        <f>'906MP'!Y464</f>
        <v>0</v>
      </c>
      <c r="I764">
        <f>'906MP'!AK464</f>
        <v>0</v>
      </c>
      <c r="J764">
        <f>'906MP'!T464</f>
        <v>0</v>
      </c>
      <c r="K764">
        <f>'906MP'!AJ464</f>
        <v>0</v>
      </c>
      <c r="L764">
        <f>'906MP'!U464</f>
        <v>0</v>
      </c>
      <c r="M764" s="322" t="str">
        <f>IFERROR(VLOOKUP(A764,PAR!$D$3:$E$53,2,FALSE),"nincs szervezet")</f>
        <v>nincs szervezet</v>
      </c>
      <c r="N764" s="322" t="str">
        <f>VLOOKUP(F764,PAR!$R$3:$S$5,2,FALSE)</f>
        <v>3 - egyik sem</v>
      </c>
      <c r="O764" t="str">
        <f>IFERROR(VLOOKUP(J764,PAR!$O$3:$P$5,2,FALSE),"nincs feladat")</f>
        <v>nincs feladat</v>
      </c>
      <c r="P764" t="str">
        <f>IFERROR(VLOOKUP(G764,PAR!$J$2:$M$19,4),"nincs rovat")</f>
        <v>nincs rovat</v>
      </c>
      <c r="Q764" t="str">
        <f>IF(H764&gt;0,VLOOKUP(H764,PAR!$AA$3:$AC$187,3,FALSE),"nincs főkönyvi számla")</f>
        <v>nincs főkönyvi számla</v>
      </c>
      <c r="R764" t="str">
        <f>IFERROR(VLOOKUP(K764,PAR!$V$3:$X$438,3,FALSE),"000000 - Nincs COFOG")</f>
        <v>000000 - Nincs COFOG</v>
      </c>
      <c r="S764">
        <f t="shared" si="221"/>
        <v>0</v>
      </c>
      <c r="T764">
        <f t="shared" si="222"/>
        <v>0</v>
      </c>
      <c r="U764" t="str">
        <f>IF('906MP'!J464&gt;0,CONCATENATE('906MP'!J464," - ",'906MP'!P464,", ",'906MP'!E464),"nincs megjegyzés")</f>
        <v>nincs megjegyzés</v>
      </c>
      <c r="V764" t="str">
        <f t="shared" si="209"/>
        <v>0P0</v>
      </c>
      <c r="W764" t="str">
        <f t="shared" si="210"/>
        <v>0P0</v>
      </c>
      <c r="X764" t="str">
        <f t="shared" si="211"/>
        <v>P0</v>
      </c>
      <c r="Y764" t="str">
        <f t="shared" si="212"/>
        <v>00</v>
      </c>
      <c r="Z764" t="str">
        <f t="shared" si="223"/>
        <v>00</v>
      </c>
      <c r="AA764" t="str">
        <f t="shared" si="213"/>
        <v>00</v>
      </c>
      <c r="AB764" t="str">
        <f t="shared" si="214"/>
        <v>00</v>
      </c>
      <c r="AC764" t="str">
        <f t="shared" si="215"/>
        <v>0P0</v>
      </c>
      <c r="AD764" t="str">
        <f t="shared" si="216"/>
        <v>P00</v>
      </c>
      <c r="AE764" t="str">
        <f t="shared" si="217"/>
        <v>0P0</v>
      </c>
      <c r="AF764" t="str">
        <f t="shared" si="218"/>
        <v>P00</v>
      </c>
      <c r="AG764" t="str">
        <f t="shared" si="224"/>
        <v>0P00</v>
      </c>
      <c r="AH764" t="str">
        <f t="shared" si="225"/>
        <v>P000</v>
      </c>
      <c r="AI764" t="str">
        <f t="shared" si="226"/>
        <v>0P00</v>
      </c>
      <c r="AJ764" t="str">
        <f t="shared" si="227"/>
        <v>P000</v>
      </c>
    </row>
    <row r="765" spans="1:36" x14ac:dyDescent="0.25">
      <c r="A765" s="325" t="str">
        <f>CONCATENATE("P",'906MP'!M465)</f>
        <v>P</v>
      </c>
      <c r="B765">
        <f>'906MP'!H465</f>
        <v>0</v>
      </c>
      <c r="C765">
        <f>'906MP'!J465</f>
        <v>0</v>
      </c>
      <c r="D765">
        <f>'906MP'!P465</f>
        <v>0</v>
      </c>
      <c r="E765">
        <f>'906MP'!X465</f>
        <v>0</v>
      </c>
      <c r="F765" t="str">
        <f t="shared" si="219"/>
        <v>0</v>
      </c>
      <c r="G765" t="str">
        <f t="shared" si="220"/>
        <v>0</v>
      </c>
      <c r="H765">
        <f>'906MP'!Y465</f>
        <v>0</v>
      </c>
      <c r="I765">
        <f>'906MP'!AK465</f>
        <v>0</v>
      </c>
      <c r="J765">
        <f>'906MP'!T465</f>
        <v>0</v>
      </c>
      <c r="K765">
        <f>'906MP'!AJ465</f>
        <v>0</v>
      </c>
      <c r="L765">
        <f>'906MP'!U465</f>
        <v>0</v>
      </c>
      <c r="M765" s="322" t="str">
        <f>IFERROR(VLOOKUP(A765,PAR!$D$3:$E$53,2,FALSE),"nincs szervezet")</f>
        <v>nincs szervezet</v>
      </c>
      <c r="N765" s="322" t="str">
        <f>VLOOKUP(F765,PAR!$R$3:$S$5,2,FALSE)</f>
        <v>3 - egyik sem</v>
      </c>
      <c r="O765" t="str">
        <f>IFERROR(VLOOKUP(J765,PAR!$O$3:$P$5,2,FALSE),"nincs feladat")</f>
        <v>nincs feladat</v>
      </c>
      <c r="P765" t="str">
        <f>IFERROR(VLOOKUP(G765,PAR!$J$2:$M$19,4),"nincs rovat")</f>
        <v>nincs rovat</v>
      </c>
      <c r="Q765" t="str">
        <f>IF(H765&gt;0,VLOOKUP(H765,PAR!$AA$3:$AC$187,3,FALSE),"nincs főkönyvi számla")</f>
        <v>nincs főkönyvi számla</v>
      </c>
      <c r="R765" t="str">
        <f>IFERROR(VLOOKUP(K765,PAR!$V$3:$X$438,3,FALSE),"000000 - Nincs COFOG")</f>
        <v>000000 - Nincs COFOG</v>
      </c>
      <c r="S765">
        <f t="shared" si="221"/>
        <v>0</v>
      </c>
      <c r="T765">
        <f t="shared" si="222"/>
        <v>0</v>
      </c>
      <c r="U765" t="str">
        <f>IF('906MP'!J465&gt;0,CONCATENATE('906MP'!J465," - ",'906MP'!P465,", ",'906MP'!E465),"nincs megjegyzés")</f>
        <v>nincs megjegyzés</v>
      </c>
      <c r="V765" t="str">
        <f t="shared" si="209"/>
        <v>0P0</v>
      </c>
      <c r="W765" t="str">
        <f t="shared" si="210"/>
        <v>0P0</v>
      </c>
      <c r="X765" t="str">
        <f t="shared" si="211"/>
        <v>P0</v>
      </c>
      <c r="Y765" t="str">
        <f t="shared" si="212"/>
        <v>00</v>
      </c>
      <c r="Z765" t="str">
        <f t="shared" si="223"/>
        <v>00</v>
      </c>
      <c r="AA765" t="str">
        <f t="shared" si="213"/>
        <v>00</v>
      </c>
      <c r="AB765" t="str">
        <f t="shared" si="214"/>
        <v>00</v>
      </c>
      <c r="AC765" t="str">
        <f t="shared" si="215"/>
        <v>0P0</v>
      </c>
      <c r="AD765" t="str">
        <f t="shared" si="216"/>
        <v>P00</v>
      </c>
      <c r="AE765" t="str">
        <f t="shared" si="217"/>
        <v>0P0</v>
      </c>
      <c r="AF765" t="str">
        <f t="shared" si="218"/>
        <v>P00</v>
      </c>
      <c r="AG765" t="str">
        <f t="shared" si="224"/>
        <v>0P00</v>
      </c>
      <c r="AH765" t="str">
        <f t="shared" si="225"/>
        <v>P000</v>
      </c>
      <c r="AI765" t="str">
        <f t="shared" si="226"/>
        <v>0P00</v>
      </c>
      <c r="AJ765" t="str">
        <f t="shared" si="227"/>
        <v>P000</v>
      </c>
    </row>
    <row r="766" spans="1:36" x14ac:dyDescent="0.25">
      <c r="A766" s="325" t="str">
        <f>CONCATENATE("P",'906MP'!M466)</f>
        <v>P</v>
      </c>
      <c r="B766">
        <f>'906MP'!H466</f>
        <v>0</v>
      </c>
      <c r="C766">
        <f>'906MP'!J466</f>
        <v>0</v>
      </c>
      <c r="D766">
        <f>'906MP'!P466</f>
        <v>0</v>
      </c>
      <c r="E766">
        <f>'906MP'!X466</f>
        <v>0</v>
      </c>
      <c r="F766" t="str">
        <f t="shared" si="219"/>
        <v>0</v>
      </c>
      <c r="G766" t="str">
        <f t="shared" si="220"/>
        <v>0</v>
      </c>
      <c r="H766">
        <f>'906MP'!Y466</f>
        <v>0</v>
      </c>
      <c r="I766">
        <f>'906MP'!AK466</f>
        <v>0</v>
      </c>
      <c r="J766">
        <f>'906MP'!T466</f>
        <v>0</v>
      </c>
      <c r="K766">
        <f>'906MP'!AJ466</f>
        <v>0</v>
      </c>
      <c r="L766">
        <f>'906MP'!U466</f>
        <v>0</v>
      </c>
      <c r="M766" s="322" t="str">
        <f>IFERROR(VLOOKUP(A766,PAR!$D$3:$E$53,2,FALSE),"nincs szervezet")</f>
        <v>nincs szervezet</v>
      </c>
      <c r="N766" s="322" t="str">
        <f>VLOOKUP(F766,PAR!$R$3:$S$5,2,FALSE)</f>
        <v>3 - egyik sem</v>
      </c>
      <c r="O766" t="str">
        <f>IFERROR(VLOOKUP(J766,PAR!$O$3:$P$5,2,FALSE),"nincs feladat")</f>
        <v>nincs feladat</v>
      </c>
      <c r="P766" t="str">
        <f>IFERROR(VLOOKUP(G766,PAR!$J$2:$M$19,4),"nincs rovat")</f>
        <v>nincs rovat</v>
      </c>
      <c r="Q766" t="str">
        <f>IF(H766&gt;0,VLOOKUP(H766,PAR!$AA$3:$AC$187,3,FALSE),"nincs főkönyvi számla")</f>
        <v>nincs főkönyvi számla</v>
      </c>
      <c r="R766" t="str">
        <f>IFERROR(VLOOKUP(K766,PAR!$V$3:$X$438,3,FALSE),"000000 - Nincs COFOG")</f>
        <v>000000 - Nincs COFOG</v>
      </c>
      <c r="S766">
        <f t="shared" si="221"/>
        <v>0</v>
      </c>
      <c r="T766">
        <f t="shared" si="222"/>
        <v>0</v>
      </c>
      <c r="U766" t="str">
        <f>IF('906MP'!J466&gt;0,CONCATENATE('906MP'!J466," - ",'906MP'!P466,", ",'906MP'!E466),"nincs megjegyzés")</f>
        <v>nincs megjegyzés</v>
      </c>
      <c r="V766" t="str">
        <f t="shared" si="209"/>
        <v>0P0</v>
      </c>
      <c r="W766" t="str">
        <f t="shared" si="210"/>
        <v>0P0</v>
      </c>
      <c r="X766" t="str">
        <f t="shared" si="211"/>
        <v>P0</v>
      </c>
      <c r="Y766" t="str">
        <f t="shared" si="212"/>
        <v>00</v>
      </c>
      <c r="Z766" t="str">
        <f t="shared" si="223"/>
        <v>00</v>
      </c>
      <c r="AA766" t="str">
        <f t="shared" si="213"/>
        <v>00</v>
      </c>
      <c r="AB766" t="str">
        <f t="shared" si="214"/>
        <v>00</v>
      </c>
      <c r="AC766" t="str">
        <f t="shared" si="215"/>
        <v>0P0</v>
      </c>
      <c r="AD766" t="str">
        <f t="shared" si="216"/>
        <v>P00</v>
      </c>
      <c r="AE766" t="str">
        <f t="shared" si="217"/>
        <v>0P0</v>
      </c>
      <c r="AF766" t="str">
        <f t="shared" si="218"/>
        <v>P00</v>
      </c>
      <c r="AG766" t="str">
        <f t="shared" si="224"/>
        <v>0P00</v>
      </c>
      <c r="AH766" t="str">
        <f t="shared" si="225"/>
        <v>P000</v>
      </c>
      <c r="AI766" t="str">
        <f t="shared" si="226"/>
        <v>0P00</v>
      </c>
      <c r="AJ766" t="str">
        <f t="shared" si="227"/>
        <v>P000</v>
      </c>
    </row>
    <row r="767" spans="1:36" x14ac:dyDescent="0.25">
      <c r="A767" s="325" t="str">
        <f>CONCATENATE("P",'906MP'!M467)</f>
        <v>P</v>
      </c>
      <c r="B767">
        <f>'906MP'!H467</f>
        <v>0</v>
      </c>
      <c r="C767">
        <f>'906MP'!J467</f>
        <v>0</v>
      </c>
      <c r="D767">
        <f>'906MP'!P467</f>
        <v>0</v>
      </c>
      <c r="E767">
        <f>'906MP'!X467</f>
        <v>0</v>
      </c>
      <c r="F767" t="str">
        <f t="shared" si="219"/>
        <v>0</v>
      </c>
      <c r="G767" t="str">
        <f t="shared" si="220"/>
        <v>0</v>
      </c>
      <c r="H767">
        <f>'906MP'!Y467</f>
        <v>0</v>
      </c>
      <c r="I767">
        <f>'906MP'!AK467</f>
        <v>0</v>
      </c>
      <c r="J767">
        <f>'906MP'!T467</f>
        <v>0</v>
      </c>
      <c r="K767">
        <f>'906MP'!AJ467</f>
        <v>0</v>
      </c>
      <c r="L767">
        <f>'906MP'!U467</f>
        <v>0</v>
      </c>
      <c r="M767" s="322" t="str">
        <f>IFERROR(VLOOKUP(A767,PAR!$D$3:$E$53,2,FALSE),"nincs szervezet")</f>
        <v>nincs szervezet</v>
      </c>
      <c r="N767" s="322" t="str">
        <f>VLOOKUP(F767,PAR!$R$3:$S$5,2,FALSE)</f>
        <v>3 - egyik sem</v>
      </c>
      <c r="O767" t="str">
        <f>IFERROR(VLOOKUP(J767,PAR!$O$3:$P$5,2,FALSE),"nincs feladat")</f>
        <v>nincs feladat</v>
      </c>
      <c r="P767" t="str">
        <f>IFERROR(VLOOKUP(G767,PAR!$J$2:$M$19,4),"nincs rovat")</f>
        <v>nincs rovat</v>
      </c>
      <c r="Q767" t="str">
        <f>IF(H767&gt;0,VLOOKUP(H767,PAR!$AA$3:$AC$187,3,FALSE),"nincs főkönyvi számla")</f>
        <v>nincs főkönyvi számla</v>
      </c>
      <c r="R767" t="str">
        <f>IFERROR(VLOOKUP(K767,PAR!$V$3:$X$438,3,FALSE),"000000 - Nincs COFOG")</f>
        <v>000000 - Nincs COFOG</v>
      </c>
      <c r="S767">
        <f t="shared" si="221"/>
        <v>0</v>
      </c>
      <c r="T767">
        <f t="shared" si="222"/>
        <v>0</v>
      </c>
      <c r="U767" t="str">
        <f>IF('906MP'!J467&gt;0,CONCATENATE('906MP'!J467," - ",'906MP'!P467,", ",'906MP'!E467),"nincs megjegyzés")</f>
        <v>nincs megjegyzés</v>
      </c>
      <c r="V767" t="str">
        <f t="shared" si="209"/>
        <v>0P0</v>
      </c>
      <c r="W767" t="str">
        <f t="shared" si="210"/>
        <v>0P0</v>
      </c>
      <c r="X767" t="str">
        <f t="shared" si="211"/>
        <v>P0</v>
      </c>
      <c r="Y767" t="str">
        <f t="shared" si="212"/>
        <v>00</v>
      </c>
      <c r="Z767" t="str">
        <f t="shared" si="223"/>
        <v>00</v>
      </c>
      <c r="AA767" t="str">
        <f t="shared" si="213"/>
        <v>00</v>
      </c>
      <c r="AB767" t="str">
        <f t="shared" si="214"/>
        <v>00</v>
      </c>
      <c r="AC767" t="str">
        <f t="shared" si="215"/>
        <v>0P0</v>
      </c>
      <c r="AD767" t="str">
        <f t="shared" si="216"/>
        <v>P00</v>
      </c>
      <c r="AE767" t="str">
        <f t="shared" si="217"/>
        <v>0P0</v>
      </c>
      <c r="AF767" t="str">
        <f t="shared" si="218"/>
        <v>P00</v>
      </c>
      <c r="AG767" t="str">
        <f t="shared" si="224"/>
        <v>0P00</v>
      </c>
      <c r="AH767" t="str">
        <f t="shared" si="225"/>
        <v>P000</v>
      </c>
      <c r="AI767" t="str">
        <f t="shared" si="226"/>
        <v>0P00</v>
      </c>
      <c r="AJ767" t="str">
        <f t="shared" si="227"/>
        <v>P000</v>
      </c>
    </row>
    <row r="768" spans="1:36" x14ac:dyDescent="0.25">
      <c r="A768" s="325" t="str">
        <f>CONCATENATE("P",'906MP'!M468)</f>
        <v>P</v>
      </c>
      <c r="B768">
        <f>'906MP'!H468</f>
        <v>0</v>
      </c>
      <c r="C768">
        <f>'906MP'!J468</f>
        <v>0</v>
      </c>
      <c r="D768">
        <f>'906MP'!P468</f>
        <v>0</v>
      </c>
      <c r="E768">
        <f>'906MP'!X468</f>
        <v>0</v>
      </c>
      <c r="F768" t="str">
        <f t="shared" si="219"/>
        <v>0</v>
      </c>
      <c r="G768" t="str">
        <f t="shared" si="220"/>
        <v>0</v>
      </c>
      <c r="H768">
        <f>'906MP'!Y468</f>
        <v>0</v>
      </c>
      <c r="I768">
        <f>'906MP'!AK468</f>
        <v>0</v>
      </c>
      <c r="J768">
        <f>'906MP'!T468</f>
        <v>0</v>
      </c>
      <c r="K768">
        <f>'906MP'!AJ468</f>
        <v>0</v>
      </c>
      <c r="L768">
        <f>'906MP'!U468</f>
        <v>0</v>
      </c>
      <c r="M768" s="322" t="str">
        <f>IFERROR(VLOOKUP(A768,PAR!$D$3:$E$53,2,FALSE),"nincs szervezet")</f>
        <v>nincs szervezet</v>
      </c>
      <c r="N768" s="322" t="str">
        <f>VLOOKUP(F768,PAR!$R$3:$S$5,2,FALSE)</f>
        <v>3 - egyik sem</v>
      </c>
      <c r="O768" t="str">
        <f>IFERROR(VLOOKUP(J768,PAR!$O$3:$P$5,2,FALSE),"nincs feladat")</f>
        <v>nincs feladat</v>
      </c>
      <c r="P768" t="str">
        <f>IFERROR(VLOOKUP(G768,PAR!$J$2:$M$19,4),"nincs rovat")</f>
        <v>nincs rovat</v>
      </c>
      <c r="Q768" t="str">
        <f>IF(H768&gt;0,VLOOKUP(H768,PAR!$AA$3:$AC$187,3,FALSE),"nincs főkönyvi számla")</f>
        <v>nincs főkönyvi számla</v>
      </c>
      <c r="R768" t="str">
        <f>IFERROR(VLOOKUP(K768,PAR!$V$3:$X$438,3,FALSE),"000000 - Nincs COFOG")</f>
        <v>000000 - Nincs COFOG</v>
      </c>
      <c r="S768">
        <f t="shared" si="221"/>
        <v>0</v>
      </c>
      <c r="T768">
        <f t="shared" si="222"/>
        <v>0</v>
      </c>
      <c r="U768" t="str">
        <f>IF('906MP'!J468&gt;0,CONCATENATE('906MP'!J468," - ",'906MP'!P468,", ",'906MP'!E468),"nincs megjegyzés")</f>
        <v>nincs megjegyzés</v>
      </c>
      <c r="V768" t="str">
        <f t="shared" si="209"/>
        <v>0P0</v>
      </c>
      <c r="W768" t="str">
        <f t="shared" si="210"/>
        <v>0P0</v>
      </c>
      <c r="X768" t="str">
        <f t="shared" si="211"/>
        <v>P0</v>
      </c>
      <c r="Y768" t="str">
        <f t="shared" si="212"/>
        <v>00</v>
      </c>
      <c r="Z768" t="str">
        <f t="shared" si="223"/>
        <v>00</v>
      </c>
      <c r="AA768" t="str">
        <f t="shared" si="213"/>
        <v>00</v>
      </c>
      <c r="AB768" t="str">
        <f t="shared" si="214"/>
        <v>00</v>
      </c>
      <c r="AC768" t="str">
        <f t="shared" si="215"/>
        <v>0P0</v>
      </c>
      <c r="AD768" t="str">
        <f t="shared" si="216"/>
        <v>P00</v>
      </c>
      <c r="AE768" t="str">
        <f t="shared" si="217"/>
        <v>0P0</v>
      </c>
      <c r="AF768" t="str">
        <f t="shared" si="218"/>
        <v>P00</v>
      </c>
      <c r="AG768" t="str">
        <f t="shared" si="224"/>
        <v>0P00</v>
      </c>
      <c r="AH768" t="str">
        <f t="shared" si="225"/>
        <v>P000</v>
      </c>
      <c r="AI768" t="str">
        <f t="shared" si="226"/>
        <v>0P00</v>
      </c>
      <c r="AJ768" t="str">
        <f t="shared" si="227"/>
        <v>P000</v>
      </c>
    </row>
    <row r="769" spans="1:36" x14ac:dyDescent="0.25">
      <c r="A769" s="325" t="str">
        <f>CONCATENATE("P",'906MP'!M469)</f>
        <v>P</v>
      </c>
      <c r="B769">
        <f>'906MP'!H469</f>
        <v>0</v>
      </c>
      <c r="C769">
        <f>'906MP'!J469</f>
        <v>0</v>
      </c>
      <c r="D769">
        <f>'906MP'!P469</f>
        <v>0</v>
      </c>
      <c r="E769">
        <f>'906MP'!X469</f>
        <v>0</v>
      </c>
      <c r="F769" t="str">
        <f t="shared" si="219"/>
        <v>0</v>
      </c>
      <c r="G769" t="str">
        <f t="shared" si="220"/>
        <v>0</v>
      </c>
      <c r="H769">
        <f>'906MP'!Y469</f>
        <v>0</v>
      </c>
      <c r="I769">
        <f>'906MP'!AK469</f>
        <v>0</v>
      </c>
      <c r="J769">
        <f>'906MP'!T469</f>
        <v>0</v>
      </c>
      <c r="K769">
        <f>'906MP'!AJ469</f>
        <v>0</v>
      </c>
      <c r="L769">
        <f>'906MP'!U469</f>
        <v>0</v>
      </c>
      <c r="M769" s="322" t="str">
        <f>IFERROR(VLOOKUP(A769,PAR!$D$3:$E$53,2,FALSE),"nincs szervezet")</f>
        <v>nincs szervezet</v>
      </c>
      <c r="N769" s="322" t="str">
        <f>VLOOKUP(F769,PAR!$R$3:$S$5,2,FALSE)</f>
        <v>3 - egyik sem</v>
      </c>
      <c r="O769" t="str">
        <f>IFERROR(VLOOKUP(J769,PAR!$O$3:$P$5,2,FALSE),"nincs feladat")</f>
        <v>nincs feladat</v>
      </c>
      <c r="P769" t="str">
        <f>IFERROR(VLOOKUP(G769,PAR!$J$2:$M$19,4),"nincs rovat")</f>
        <v>nincs rovat</v>
      </c>
      <c r="Q769" t="str">
        <f>IF(H769&gt;0,VLOOKUP(H769,PAR!$AA$3:$AC$187,3,FALSE),"nincs főkönyvi számla")</f>
        <v>nincs főkönyvi számla</v>
      </c>
      <c r="R769" t="str">
        <f>IFERROR(VLOOKUP(K769,PAR!$V$3:$X$438,3,FALSE),"000000 - Nincs COFOG")</f>
        <v>000000 - Nincs COFOG</v>
      </c>
      <c r="S769">
        <f t="shared" si="221"/>
        <v>0</v>
      </c>
      <c r="T769">
        <f t="shared" si="222"/>
        <v>0</v>
      </c>
      <c r="U769" t="str">
        <f>IF('906MP'!J469&gt;0,CONCATENATE('906MP'!J469," - ",'906MP'!P469,", ",'906MP'!E469),"nincs megjegyzés")</f>
        <v>nincs megjegyzés</v>
      </c>
      <c r="V769" t="str">
        <f t="shared" si="209"/>
        <v>0P0</v>
      </c>
      <c r="W769" t="str">
        <f t="shared" si="210"/>
        <v>0P0</v>
      </c>
      <c r="X769" t="str">
        <f t="shared" si="211"/>
        <v>P0</v>
      </c>
      <c r="Y769" t="str">
        <f t="shared" si="212"/>
        <v>00</v>
      </c>
      <c r="Z769" t="str">
        <f t="shared" si="223"/>
        <v>00</v>
      </c>
      <c r="AA769" t="str">
        <f t="shared" si="213"/>
        <v>00</v>
      </c>
      <c r="AB769" t="str">
        <f t="shared" si="214"/>
        <v>00</v>
      </c>
      <c r="AC769" t="str">
        <f t="shared" si="215"/>
        <v>0P0</v>
      </c>
      <c r="AD769" t="str">
        <f t="shared" si="216"/>
        <v>P00</v>
      </c>
      <c r="AE769" t="str">
        <f t="shared" si="217"/>
        <v>0P0</v>
      </c>
      <c r="AF769" t="str">
        <f t="shared" si="218"/>
        <v>P00</v>
      </c>
      <c r="AG769" t="str">
        <f t="shared" si="224"/>
        <v>0P00</v>
      </c>
      <c r="AH769" t="str">
        <f t="shared" si="225"/>
        <v>P000</v>
      </c>
      <c r="AI769" t="str">
        <f t="shared" si="226"/>
        <v>0P00</v>
      </c>
      <c r="AJ769" t="str">
        <f t="shared" si="227"/>
        <v>P000</v>
      </c>
    </row>
    <row r="770" spans="1:36" x14ac:dyDescent="0.25">
      <c r="A770" s="325" t="str">
        <f>CONCATENATE("P",'906MP'!M470)</f>
        <v>P</v>
      </c>
      <c r="B770">
        <f>'906MP'!H470</f>
        <v>0</v>
      </c>
      <c r="C770">
        <f>'906MP'!J470</f>
        <v>0</v>
      </c>
      <c r="D770">
        <f>'906MP'!P470</f>
        <v>0</v>
      </c>
      <c r="E770">
        <f>'906MP'!X470</f>
        <v>0</v>
      </c>
      <c r="F770" t="str">
        <f t="shared" si="219"/>
        <v>0</v>
      </c>
      <c r="G770" t="str">
        <f t="shared" si="220"/>
        <v>0</v>
      </c>
      <c r="H770">
        <f>'906MP'!Y470</f>
        <v>0</v>
      </c>
      <c r="I770">
        <f>'906MP'!AK470</f>
        <v>0</v>
      </c>
      <c r="J770">
        <f>'906MP'!T470</f>
        <v>0</v>
      </c>
      <c r="K770">
        <f>'906MP'!AJ470</f>
        <v>0</v>
      </c>
      <c r="L770">
        <f>'906MP'!U470</f>
        <v>0</v>
      </c>
      <c r="M770" s="322" t="str">
        <f>IFERROR(VLOOKUP(A770,PAR!$D$3:$E$53,2,FALSE),"nincs szervezet")</f>
        <v>nincs szervezet</v>
      </c>
      <c r="N770" s="322" t="str">
        <f>VLOOKUP(F770,PAR!$R$3:$S$5,2,FALSE)</f>
        <v>3 - egyik sem</v>
      </c>
      <c r="O770" t="str">
        <f>IFERROR(VLOOKUP(J770,PAR!$O$3:$P$5,2,FALSE),"nincs feladat")</f>
        <v>nincs feladat</v>
      </c>
      <c r="P770" t="str">
        <f>IFERROR(VLOOKUP(G770,PAR!$J$2:$M$19,4),"nincs rovat")</f>
        <v>nincs rovat</v>
      </c>
      <c r="Q770" t="str">
        <f>IF(H770&gt;0,VLOOKUP(H770,PAR!$AA$3:$AC$187,3,FALSE),"nincs főkönyvi számla")</f>
        <v>nincs főkönyvi számla</v>
      </c>
      <c r="R770" t="str">
        <f>IFERROR(VLOOKUP(K770,PAR!$V$3:$X$438,3,FALSE),"000000 - Nincs COFOG")</f>
        <v>000000 - Nincs COFOG</v>
      </c>
      <c r="S770">
        <f t="shared" si="221"/>
        <v>0</v>
      </c>
      <c r="T770">
        <f t="shared" si="222"/>
        <v>0</v>
      </c>
      <c r="U770" t="str">
        <f>IF('906MP'!J470&gt;0,CONCATENATE('906MP'!J470," - ",'906MP'!P470,", ",'906MP'!E470),"nincs megjegyzés")</f>
        <v>nincs megjegyzés</v>
      </c>
      <c r="V770" t="str">
        <f t="shared" ref="V770:V833" si="228">CONCATENATE(B770,A770,G770)</f>
        <v>0P0</v>
      </c>
      <c r="W770" t="str">
        <f t="shared" ref="W770:W833" si="229">CONCATENATE(B770,A770,F770)</f>
        <v>0P0</v>
      </c>
      <c r="X770" t="str">
        <f t="shared" ref="X770:X833" si="230">CONCATENATE(A770,H770)</f>
        <v>P0</v>
      </c>
      <c r="Y770" t="str">
        <f t="shared" ref="Y770:Y833" si="231">CONCATENATE(B770,H770)</f>
        <v>00</v>
      </c>
      <c r="Z770" t="str">
        <f t="shared" si="223"/>
        <v>00</v>
      </c>
      <c r="AA770" t="str">
        <f t="shared" ref="AA770:AA833" si="232">CONCATENATE(B770,G770)</f>
        <v>00</v>
      </c>
      <c r="AB770" t="str">
        <f t="shared" ref="AB770:AB833" si="233">CONCATENATE(J770,G770)</f>
        <v>00</v>
      </c>
      <c r="AC770" t="str">
        <f t="shared" ref="AC770:AC833" si="234">CONCATENATE(B770,A770,H770)</f>
        <v>0P0</v>
      </c>
      <c r="AD770" t="str">
        <f t="shared" ref="AD770:AD833" si="235">CONCATENATE(A770,H770,J770)</f>
        <v>P00</v>
      </c>
      <c r="AE770" t="str">
        <f t="shared" ref="AE770:AE833" si="236">CONCATENATE(B770,A770,G770)</f>
        <v>0P0</v>
      </c>
      <c r="AF770" t="str">
        <f t="shared" ref="AF770:AF833" si="237">CONCATENATE(A770,G770,J770)</f>
        <v>P00</v>
      </c>
      <c r="AG770" t="str">
        <f t="shared" si="224"/>
        <v>0P00</v>
      </c>
      <c r="AH770" t="str">
        <f t="shared" si="225"/>
        <v>P000</v>
      </c>
      <c r="AI770" t="str">
        <f t="shared" si="226"/>
        <v>0P00</v>
      </c>
      <c r="AJ770" t="str">
        <f t="shared" si="227"/>
        <v>P000</v>
      </c>
    </row>
    <row r="771" spans="1:36" x14ac:dyDescent="0.25">
      <c r="A771" s="325" t="str">
        <f>CONCATENATE("P",'906MP'!M471)</f>
        <v>P</v>
      </c>
      <c r="B771">
        <f>'906MP'!H471</f>
        <v>0</v>
      </c>
      <c r="C771">
        <f>'906MP'!J471</f>
        <v>0</v>
      </c>
      <c r="D771">
        <f>'906MP'!P471</f>
        <v>0</v>
      </c>
      <c r="E771">
        <f>'906MP'!X471</f>
        <v>0</v>
      </c>
      <c r="F771" t="str">
        <f t="shared" ref="F771:F834" si="238">LEFT(G771,2)</f>
        <v>0</v>
      </c>
      <c r="G771" t="str">
        <f t="shared" ref="G771:G834" si="239">LEFT(H771,3)</f>
        <v>0</v>
      </c>
      <c r="H771">
        <f>'906MP'!Y471</f>
        <v>0</v>
      </c>
      <c r="I771">
        <f>'906MP'!AK471</f>
        <v>0</v>
      </c>
      <c r="J771">
        <f>'906MP'!T471</f>
        <v>0</v>
      </c>
      <c r="K771">
        <f>'906MP'!AJ471</f>
        <v>0</v>
      </c>
      <c r="L771">
        <f>'906MP'!U471</f>
        <v>0</v>
      </c>
      <c r="M771" s="322" t="str">
        <f>IFERROR(VLOOKUP(A771,PAR!$D$3:$E$53,2,FALSE),"nincs szervezet")</f>
        <v>nincs szervezet</v>
      </c>
      <c r="N771" s="322" t="str">
        <f>VLOOKUP(F771,PAR!$R$3:$S$5,2,FALSE)</f>
        <v>3 - egyik sem</v>
      </c>
      <c r="O771" t="str">
        <f>IFERROR(VLOOKUP(J771,PAR!$O$3:$P$5,2,FALSE),"nincs feladat")</f>
        <v>nincs feladat</v>
      </c>
      <c r="P771" t="str">
        <f>IFERROR(VLOOKUP(G771,PAR!$J$2:$M$19,4),"nincs rovat")</f>
        <v>nincs rovat</v>
      </c>
      <c r="Q771" t="str">
        <f>IF(H771&gt;0,VLOOKUP(H771,PAR!$AA$3:$AC$187,3,FALSE),"nincs főkönyvi számla")</f>
        <v>nincs főkönyvi számla</v>
      </c>
      <c r="R771" t="str">
        <f>IFERROR(VLOOKUP(K771,PAR!$V$3:$X$438,3,FALSE),"000000 - Nincs COFOG")</f>
        <v>000000 - Nincs COFOG</v>
      </c>
      <c r="S771">
        <f t="shared" ref="S771:S834" si="240">E771</f>
        <v>0</v>
      </c>
      <c r="T771">
        <f t="shared" ref="T771:T834" si="241">IF(F771="09",E771*-1,E771)</f>
        <v>0</v>
      </c>
      <c r="U771" t="str">
        <f>IF('906MP'!J471&gt;0,CONCATENATE('906MP'!J471," - ",'906MP'!P471,", ",'906MP'!E471),"nincs megjegyzés")</f>
        <v>nincs megjegyzés</v>
      </c>
      <c r="V771" t="str">
        <f t="shared" si="228"/>
        <v>0P0</v>
      </c>
      <c r="W771" t="str">
        <f t="shared" si="229"/>
        <v>0P0</v>
      </c>
      <c r="X771" t="str">
        <f t="shared" si="230"/>
        <v>P0</v>
      </c>
      <c r="Y771" t="str">
        <f t="shared" si="231"/>
        <v>00</v>
      </c>
      <c r="Z771" t="str">
        <f t="shared" ref="Z771:Z834" si="242">CONCATENATE(J771,H771)</f>
        <v>00</v>
      </c>
      <c r="AA771" t="str">
        <f t="shared" si="232"/>
        <v>00</v>
      </c>
      <c r="AB771" t="str">
        <f t="shared" si="233"/>
        <v>00</v>
      </c>
      <c r="AC771" t="str">
        <f t="shared" si="234"/>
        <v>0P0</v>
      </c>
      <c r="AD771" t="str">
        <f t="shared" si="235"/>
        <v>P00</v>
      </c>
      <c r="AE771" t="str">
        <f t="shared" si="236"/>
        <v>0P0</v>
      </c>
      <c r="AF771" t="str">
        <f t="shared" si="237"/>
        <v>P00</v>
      </c>
      <c r="AG771" t="str">
        <f t="shared" ref="AG771:AG834" si="243">CONCATENATE(B771,A771,H771,L771)</f>
        <v>0P00</v>
      </c>
      <c r="AH771" t="str">
        <f t="shared" ref="AH771:AH834" si="244">CONCATENATE(A771,J771,H771,L771)</f>
        <v>P000</v>
      </c>
      <c r="AI771" t="str">
        <f t="shared" ref="AI771:AI834" si="245">CONCATENATE(B771,A771,G771,L771)</f>
        <v>0P00</v>
      </c>
      <c r="AJ771" t="str">
        <f t="shared" ref="AJ771:AJ834" si="246">CONCATENATE(A771,G771,J771,L771)</f>
        <v>P000</v>
      </c>
    </row>
    <row r="772" spans="1:36" x14ac:dyDescent="0.25">
      <c r="A772" s="325" t="str">
        <f>CONCATENATE("P",'906MP'!M472)</f>
        <v>P</v>
      </c>
      <c r="B772">
        <f>'906MP'!H472</f>
        <v>0</v>
      </c>
      <c r="C772">
        <f>'906MP'!J472</f>
        <v>0</v>
      </c>
      <c r="D772">
        <f>'906MP'!P472</f>
        <v>0</v>
      </c>
      <c r="E772">
        <f>'906MP'!X472</f>
        <v>0</v>
      </c>
      <c r="F772" t="str">
        <f t="shared" si="238"/>
        <v>0</v>
      </c>
      <c r="G772" t="str">
        <f t="shared" si="239"/>
        <v>0</v>
      </c>
      <c r="H772">
        <f>'906MP'!Y472</f>
        <v>0</v>
      </c>
      <c r="I772">
        <f>'906MP'!AK472</f>
        <v>0</v>
      </c>
      <c r="J772">
        <f>'906MP'!T472</f>
        <v>0</v>
      </c>
      <c r="K772">
        <f>'906MP'!AJ472</f>
        <v>0</v>
      </c>
      <c r="L772">
        <f>'906MP'!U472</f>
        <v>0</v>
      </c>
      <c r="M772" s="322" t="str">
        <f>IFERROR(VLOOKUP(A772,PAR!$D$3:$E$53,2,FALSE),"nincs szervezet")</f>
        <v>nincs szervezet</v>
      </c>
      <c r="N772" s="322" t="str">
        <f>VLOOKUP(F772,PAR!$R$3:$S$5,2,FALSE)</f>
        <v>3 - egyik sem</v>
      </c>
      <c r="O772" t="str">
        <f>IFERROR(VLOOKUP(J772,PAR!$O$3:$P$5,2,FALSE),"nincs feladat")</f>
        <v>nincs feladat</v>
      </c>
      <c r="P772" t="str">
        <f>IFERROR(VLOOKUP(G772,PAR!$J$2:$M$19,4),"nincs rovat")</f>
        <v>nincs rovat</v>
      </c>
      <c r="Q772" t="str">
        <f>IF(H772&gt;0,VLOOKUP(H772,PAR!$AA$3:$AC$187,3,FALSE),"nincs főkönyvi számla")</f>
        <v>nincs főkönyvi számla</v>
      </c>
      <c r="R772" t="str">
        <f>IFERROR(VLOOKUP(K772,PAR!$V$3:$X$438,3,FALSE),"000000 - Nincs COFOG")</f>
        <v>000000 - Nincs COFOG</v>
      </c>
      <c r="S772">
        <f t="shared" si="240"/>
        <v>0</v>
      </c>
      <c r="T772">
        <f t="shared" si="241"/>
        <v>0</v>
      </c>
      <c r="U772" t="str">
        <f>IF('906MP'!J472&gt;0,CONCATENATE('906MP'!J472," - ",'906MP'!P472,", ",'906MP'!E472),"nincs megjegyzés")</f>
        <v>nincs megjegyzés</v>
      </c>
      <c r="V772" t="str">
        <f t="shared" si="228"/>
        <v>0P0</v>
      </c>
      <c r="W772" t="str">
        <f t="shared" si="229"/>
        <v>0P0</v>
      </c>
      <c r="X772" t="str">
        <f t="shared" si="230"/>
        <v>P0</v>
      </c>
      <c r="Y772" t="str">
        <f t="shared" si="231"/>
        <v>00</v>
      </c>
      <c r="Z772" t="str">
        <f t="shared" si="242"/>
        <v>00</v>
      </c>
      <c r="AA772" t="str">
        <f t="shared" si="232"/>
        <v>00</v>
      </c>
      <c r="AB772" t="str">
        <f t="shared" si="233"/>
        <v>00</v>
      </c>
      <c r="AC772" t="str">
        <f t="shared" si="234"/>
        <v>0P0</v>
      </c>
      <c r="AD772" t="str">
        <f t="shared" si="235"/>
        <v>P00</v>
      </c>
      <c r="AE772" t="str">
        <f t="shared" si="236"/>
        <v>0P0</v>
      </c>
      <c r="AF772" t="str">
        <f t="shared" si="237"/>
        <v>P00</v>
      </c>
      <c r="AG772" t="str">
        <f t="shared" si="243"/>
        <v>0P00</v>
      </c>
      <c r="AH772" t="str">
        <f t="shared" si="244"/>
        <v>P000</v>
      </c>
      <c r="AI772" t="str">
        <f t="shared" si="245"/>
        <v>0P00</v>
      </c>
      <c r="AJ772" t="str">
        <f t="shared" si="246"/>
        <v>P000</v>
      </c>
    </row>
    <row r="773" spans="1:36" x14ac:dyDescent="0.25">
      <c r="A773" s="325" t="str">
        <f>CONCATENATE("P",'906MP'!M473)</f>
        <v>P</v>
      </c>
      <c r="B773">
        <f>'906MP'!H473</f>
        <v>0</v>
      </c>
      <c r="C773">
        <f>'906MP'!J473</f>
        <v>0</v>
      </c>
      <c r="D773">
        <f>'906MP'!P473</f>
        <v>0</v>
      </c>
      <c r="E773">
        <f>'906MP'!X473</f>
        <v>0</v>
      </c>
      <c r="F773" t="str">
        <f t="shared" si="238"/>
        <v>0</v>
      </c>
      <c r="G773" t="str">
        <f t="shared" si="239"/>
        <v>0</v>
      </c>
      <c r="H773">
        <f>'906MP'!Y473</f>
        <v>0</v>
      </c>
      <c r="I773">
        <f>'906MP'!AK473</f>
        <v>0</v>
      </c>
      <c r="J773">
        <f>'906MP'!T473</f>
        <v>0</v>
      </c>
      <c r="K773">
        <f>'906MP'!AJ473</f>
        <v>0</v>
      </c>
      <c r="L773">
        <f>'906MP'!U473</f>
        <v>0</v>
      </c>
      <c r="M773" s="322" t="str">
        <f>IFERROR(VLOOKUP(A773,PAR!$D$3:$E$53,2,FALSE),"nincs szervezet")</f>
        <v>nincs szervezet</v>
      </c>
      <c r="N773" s="322" t="str">
        <f>VLOOKUP(F773,PAR!$R$3:$S$5,2,FALSE)</f>
        <v>3 - egyik sem</v>
      </c>
      <c r="O773" t="str">
        <f>IFERROR(VLOOKUP(J773,PAR!$O$3:$P$5,2,FALSE),"nincs feladat")</f>
        <v>nincs feladat</v>
      </c>
      <c r="P773" t="str">
        <f>IFERROR(VLOOKUP(G773,PAR!$J$2:$M$19,4),"nincs rovat")</f>
        <v>nincs rovat</v>
      </c>
      <c r="Q773" t="str">
        <f>IF(H773&gt;0,VLOOKUP(H773,PAR!$AA$3:$AC$187,3,FALSE),"nincs főkönyvi számla")</f>
        <v>nincs főkönyvi számla</v>
      </c>
      <c r="R773" t="str">
        <f>IFERROR(VLOOKUP(K773,PAR!$V$3:$X$438,3,FALSE),"000000 - Nincs COFOG")</f>
        <v>000000 - Nincs COFOG</v>
      </c>
      <c r="S773">
        <f t="shared" si="240"/>
        <v>0</v>
      </c>
      <c r="T773">
        <f t="shared" si="241"/>
        <v>0</v>
      </c>
      <c r="U773" t="str">
        <f>IF('906MP'!J473&gt;0,CONCATENATE('906MP'!J473," - ",'906MP'!P473,", ",'906MP'!E473),"nincs megjegyzés")</f>
        <v>nincs megjegyzés</v>
      </c>
      <c r="V773" t="str">
        <f t="shared" si="228"/>
        <v>0P0</v>
      </c>
      <c r="W773" t="str">
        <f t="shared" si="229"/>
        <v>0P0</v>
      </c>
      <c r="X773" t="str">
        <f t="shared" si="230"/>
        <v>P0</v>
      </c>
      <c r="Y773" t="str">
        <f t="shared" si="231"/>
        <v>00</v>
      </c>
      <c r="Z773" t="str">
        <f t="shared" si="242"/>
        <v>00</v>
      </c>
      <c r="AA773" t="str">
        <f t="shared" si="232"/>
        <v>00</v>
      </c>
      <c r="AB773" t="str">
        <f t="shared" si="233"/>
        <v>00</v>
      </c>
      <c r="AC773" t="str">
        <f t="shared" si="234"/>
        <v>0P0</v>
      </c>
      <c r="AD773" t="str">
        <f t="shared" si="235"/>
        <v>P00</v>
      </c>
      <c r="AE773" t="str">
        <f t="shared" si="236"/>
        <v>0P0</v>
      </c>
      <c r="AF773" t="str">
        <f t="shared" si="237"/>
        <v>P00</v>
      </c>
      <c r="AG773" t="str">
        <f t="shared" si="243"/>
        <v>0P00</v>
      </c>
      <c r="AH773" t="str">
        <f t="shared" si="244"/>
        <v>P000</v>
      </c>
      <c r="AI773" t="str">
        <f t="shared" si="245"/>
        <v>0P00</v>
      </c>
      <c r="AJ773" t="str">
        <f t="shared" si="246"/>
        <v>P000</v>
      </c>
    </row>
    <row r="774" spans="1:36" x14ac:dyDescent="0.25">
      <c r="A774" s="325" t="str">
        <f>CONCATENATE("P",'906MP'!M474)</f>
        <v>P</v>
      </c>
      <c r="B774">
        <f>'906MP'!H474</f>
        <v>0</v>
      </c>
      <c r="C774">
        <f>'906MP'!J474</f>
        <v>0</v>
      </c>
      <c r="D774">
        <f>'906MP'!P474</f>
        <v>0</v>
      </c>
      <c r="E774">
        <f>'906MP'!X474</f>
        <v>0</v>
      </c>
      <c r="F774" t="str">
        <f t="shared" si="238"/>
        <v>0</v>
      </c>
      <c r="G774" t="str">
        <f t="shared" si="239"/>
        <v>0</v>
      </c>
      <c r="H774">
        <f>'906MP'!Y474</f>
        <v>0</v>
      </c>
      <c r="I774">
        <f>'906MP'!AK474</f>
        <v>0</v>
      </c>
      <c r="J774">
        <f>'906MP'!T474</f>
        <v>0</v>
      </c>
      <c r="K774">
        <f>'906MP'!AJ474</f>
        <v>0</v>
      </c>
      <c r="L774">
        <f>'906MP'!U474</f>
        <v>0</v>
      </c>
      <c r="M774" s="322" t="str">
        <f>IFERROR(VLOOKUP(A774,PAR!$D$3:$E$53,2,FALSE),"nincs szervezet")</f>
        <v>nincs szervezet</v>
      </c>
      <c r="N774" s="322" t="str">
        <f>VLOOKUP(F774,PAR!$R$3:$S$5,2,FALSE)</f>
        <v>3 - egyik sem</v>
      </c>
      <c r="O774" t="str">
        <f>IFERROR(VLOOKUP(J774,PAR!$O$3:$P$5,2,FALSE),"nincs feladat")</f>
        <v>nincs feladat</v>
      </c>
      <c r="P774" t="str">
        <f>IFERROR(VLOOKUP(G774,PAR!$J$2:$M$19,4),"nincs rovat")</f>
        <v>nincs rovat</v>
      </c>
      <c r="Q774" t="str">
        <f>IF(H774&gt;0,VLOOKUP(H774,PAR!$AA$3:$AC$187,3,FALSE),"nincs főkönyvi számla")</f>
        <v>nincs főkönyvi számla</v>
      </c>
      <c r="R774" t="str">
        <f>IFERROR(VLOOKUP(K774,PAR!$V$3:$X$438,3,FALSE),"000000 - Nincs COFOG")</f>
        <v>000000 - Nincs COFOG</v>
      </c>
      <c r="S774">
        <f t="shared" si="240"/>
        <v>0</v>
      </c>
      <c r="T774">
        <f t="shared" si="241"/>
        <v>0</v>
      </c>
      <c r="U774" t="str">
        <f>IF('906MP'!J474&gt;0,CONCATENATE('906MP'!J474," - ",'906MP'!P474,", ",'906MP'!E474),"nincs megjegyzés")</f>
        <v>nincs megjegyzés</v>
      </c>
      <c r="V774" t="str">
        <f t="shared" si="228"/>
        <v>0P0</v>
      </c>
      <c r="W774" t="str">
        <f t="shared" si="229"/>
        <v>0P0</v>
      </c>
      <c r="X774" t="str">
        <f t="shared" si="230"/>
        <v>P0</v>
      </c>
      <c r="Y774" t="str">
        <f t="shared" si="231"/>
        <v>00</v>
      </c>
      <c r="Z774" t="str">
        <f t="shared" si="242"/>
        <v>00</v>
      </c>
      <c r="AA774" t="str">
        <f t="shared" si="232"/>
        <v>00</v>
      </c>
      <c r="AB774" t="str">
        <f t="shared" si="233"/>
        <v>00</v>
      </c>
      <c r="AC774" t="str">
        <f t="shared" si="234"/>
        <v>0P0</v>
      </c>
      <c r="AD774" t="str">
        <f t="shared" si="235"/>
        <v>P00</v>
      </c>
      <c r="AE774" t="str">
        <f t="shared" si="236"/>
        <v>0P0</v>
      </c>
      <c r="AF774" t="str">
        <f t="shared" si="237"/>
        <v>P00</v>
      </c>
      <c r="AG774" t="str">
        <f t="shared" si="243"/>
        <v>0P00</v>
      </c>
      <c r="AH774" t="str">
        <f t="shared" si="244"/>
        <v>P000</v>
      </c>
      <c r="AI774" t="str">
        <f t="shared" si="245"/>
        <v>0P00</v>
      </c>
      <c r="AJ774" t="str">
        <f t="shared" si="246"/>
        <v>P000</v>
      </c>
    </row>
    <row r="775" spans="1:36" x14ac:dyDescent="0.25">
      <c r="A775" s="325" t="str">
        <f>CONCATENATE("P",'906MP'!M475)</f>
        <v>P</v>
      </c>
      <c r="B775">
        <f>'906MP'!H475</f>
        <v>0</v>
      </c>
      <c r="C775">
        <f>'906MP'!J475</f>
        <v>0</v>
      </c>
      <c r="D775">
        <f>'906MP'!P475</f>
        <v>0</v>
      </c>
      <c r="E775">
        <f>'906MP'!X475</f>
        <v>0</v>
      </c>
      <c r="F775" t="str">
        <f t="shared" si="238"/>
        <v>0</v>
      </c>
      <c r="G775" t="str">
        <f t="shared" si="239"/>
        <v>0</v>
      </c>
      <c r="H775">
        <f>'906MP'!Y475</f>
        <v>0</v>
      </c>
      <c r="I775">
        <f>'906MP'!AK475</f>
        <v>0</v>
      </c>
      <c r="J775">
        <f>'906MP'!T475</f>
        <v>0</v>
      </c>
      <c r="K775">
        <f>'906MP'!AJ475</f>
        <v>0</v>
      </c>
      <c r="L775">
        <f>'906MP'!U475</f>
        <v>0</v>
      </c>
      <c r="M775" s="322" t="str">
        <f>IFERROR(VLOOKUP(A775,PAR!$D$3:$E$53,2,FALSE),"nincs szervezet")</f>
        <v>nincs szervezet</v>
      </c>
      <c r="N775" s="322" t="str">
        <f>VLOOKUP(F775,PAR!$R$3:$S$5,2,FALSE)</f>
        <v>3 - egyik sem</v>
      </c>
      <c r="O775" t="str">
        <f>IFERROR(VLOOKUP(J775,PAR!$O$3:$P$5,2,FALSE),"nincs feladat")</f>
        <v>nincs feladat</v>
      </c>
      <c r="P775" t="str">
        <f>IFERROR(VLOOKUP(G775,PAR!$J$2:$M$19,4),"nincs rovat")</f>
        <v>nincs rovat</v>
      </c>
      <c r="Q775" t="str">
        <f>IF(H775&gt;0,VLOOKUP(H775,PAR!$AA$3:$AC$187,3,FALSE),"nincs főkönyvi számla")</f>
        <v>nincs főkönyvi számla</v>
      </c>
      <c r="R775" t="str">
        <f>IFERROR(VLOOKUP(K775,PAR!$V$3:$X$438,3,FALSE),"000000 - Nincs COFOG")</f>
        <v>000000 - Nincs COFOG</v>
      </c>
      <c r="S775">
        <f t="shared" si="240"/>
        <v>0</v>
      </c>
      <c r="T775">
        <f t="shared" si="241"/>
        <v>0</v>
      </c>
      <c r="U775" t="str">
        <f>IF('906MP'!J475&gt;0,CONCATENATE('906MP'!J475," - ",'906MP'!P475,", ",'906MP'!E475),"nincs megjegyzés")</f>
        <v>nincs megjegyzés</v>
      </c>
      <c r="V775" t="str">
        <f t="shared" si="228"/>
        <v>0P0</v>
      </c>
      <c r="W775" t="str">
        <f t="shared" si="229"/>
        <v>0P0</v>
      </c>
      <c r="X775" t="str">
        <f t="shared" si="230"/>
        <v>P0</v>
      </c>
      <c r="Y775" t="str">
        <f t="shared" si="231"/>
        <v>00</v>
      </c>
      <c r="Z775" t="str">
        <f t="shared" si="242"/>
        <v>00</v>
      </c>
      <c r="AA775" t="str">
        <f t="shared" si="232"/>
        <v>00</v>
      </c>
      <c r="AB775" t="str">
        <f t="shared" si="233"/>
        <v>00</v>
      </c>
      <c r="AC775" t="str">
        <f t="shared" si="234"/>
        <v>0P0</v>
      </c>
      <c r="AD775" t="str">
        <f t="shared" si="235"/>
        <v>P00</v>
      </c>
      <c r="AE775" t="str">
        <f t="shared" si="236"/>
        <v>0P0</v>
      </c>
      <c r="AF775" t="str">
        <f t="shared" si="237"/>
        <v>P00</v>
      </c>
      <c r="AG775" t="str">
        <f t="shared" si="243"/>
        <v>0P00</v>
      </c>
      <c r="AH775" t="str">
        <f t="shared" si="244"/>
        <v>P000</v>
      </c>
      <c r="AI775" t="str">
        <f t="shared" si="245"/>
        <v>0P00</v>
      </c>
      <c r="AJ775" t="str">
        <f t="shared" si="246"/>
        <v>P000</v>
      </c>
    </row>
    <row r="776" spans="1:36" x14ac:dyDescent="0.25">
      <c r="A776" s="325" t="str">
        <f>CONCATENATE("P",'906MP'!M476)</f>
        <v>P</v>
      </c>
      <c r="B776">
        <f>'906MP'!H476</f>
        <v>0</v>
      </c>
      <c r="C776">
        <f>'906MP'!J476</f>
        <v>0</v>
      </c>
      <c r="D776">
        <f>'906MP'!P476</f>
        <v>0</v>
      </c>
      <c r="E776">
        <f>'906MP'!X476</f>
        <v>0</v>
      </c>
      <c r="F776" t="str">
        <f t="shared" si="238"/>
        <v>0</v>
      </c>
      <c r="G776" t="str">
        <f t="shared" si="239"/>
        <v>0</v>
      </c>
      <c r="H776">
        <f>'906MP'!Y476</f>
        <v>0</v>
      </c>
      <c r="I776">
        <f>'906MP'!AK476</f>
        <v>0</v>
      </c>
      <c r="J776">
        <f>'906MP'!T476</f>
        <v>0</v>
      </c>
      <c r="K776">
        <f>'906MP'!AJ476</f>
        <v>0</v>
      </c>
      <c r="L776">
        <f>'906MP'!U476</f>
        <v>0</v>
      </c>
      <c r="M776" s="322" t="str">
        <f>IFERROR(VLOOKUP(A776,PAR!$D$3:$E$53,2,FALSE),"nincs szervezet")</f>
        <v>nincs szervezet</v>
      </c>
      <c r="N776" s="322" t="str">
        <f>VLOOKUP(F776,PAR!$R$3:$S$5,2,FALSE)</f>
        <v>3 - egyik sem</v>
      </c>
      <c r="O776" t="str">
        <f>IFERROR(VLOOKUP(J776,PAR!$O$3:$P$5,2,FALSE),"nincs feladat")</f>
        <v>nincs feladat</v>
      </c>
      <c r="P776" t="str">
        <f>IFERROR(VLOOKUP(G776,PAR!$J$2:$M$19,4),"nincs rovat")</f>
        <v>nincs rovat</v>
      </c>
      <c r="Q776" t="str">
        <f>IF(H776&gt;0,VLOOKUP(H776,PAR!$AA$3:$AC$187,3,FALSE),"nincs főkönyvi számla")</f>
        <v>nincs főkönyvi számla</v>
      </c>
      <c r="R776" t="str">
        <f>IFERROR(VLOOKUP(K776,PAR!$V$3:$X$438,3,FALSE),"000000 - Nincs COFOG")</f>
        <v>000000 - Nincs COFOG</v>
      </c>
      <c r="S776">
        <f t="shared" si="240"/>
        <v>0</v>
      </c>
      <c r="T776">
        <f t="shared" si="241"/>
        <v>0</v>
      </c>
      <c r="U776" t="str">
        <f>IF('906MP'!J476&gt;0,CONCATENATE('906MP'!J476," - ",'906MP'!P476,", ",'906MP'!E476),"nincs megjegyzés")</f>
        <v>nincs megjegyzés</v>
      </c>
      <c r="V776" t="str">
        <f t="shared" si="228"/>
        <v>0P0</v>
      </c>
      <c r="W776" t="str">
        <f t="shared" si="229"/>
        <v>0P0</v>
      </c>
      <c r="X776" t="str">
        <f t="shared" si="230"/>
        <v>P0</v>
      </c>
      <c r="Y776" t="str">
        <f t="shared" si="231"/>
        <v>00</v>
      </c>
      <c r="Z776" t="str">
        <f t="shared" si="242"/>
        <v>00</v>
      </c>
      <c r="AA776" t="str">
        <f t="shared" si="232"/>
        <v>00</v>
      </c>
      <c r="AB776" t="str">
        <f t="shared" si="233"/>
        <v>00</v>
      </c>
      <c r="AC776" t="str">
        <f t="shared" si="234"/>
        <v>0P0</v>
      </c>
      <c r="AD776" t="str">
        <f t="shared" si="235"/>
        <v>P00</v>
      </c>
      <c r="AE776" t="str">
        <f t="shared" si="236"/>
        <v>0P0</v>
      </c>
      <c r="AF776" t="str">
        <f t="shared" si="237"/>
        <v>P00</v>
      </c>
      <c r="AG776" t="str">
        <f t="shared" si="243"/>
        <v>0P00</v>
      </c>
      <c r="AH776" t="str">
        <f t="shared" si="244"/>
        <v>P000</v>
      </c>
      <c r="AI776" t="str">
        <f t="shared" si="245"/>
        <v>0P00</v>
      </c>
      <c r="AJ776" t="str">
        <f t="shared" si="246"/>
        <v>P000</v>
      </c>
    </row>
    <row r="777" spans="1:36" x14ac:dyDescent="0.25">
      <c r="A777" s="325" t="str">
        <f>CONCATENATE("P",'906MP'!M477)</f>
        <v>P</v>
      </c>
      <c r="B777">
        <f>'906MP'!H477</f>
        <v>0</v>
      </c>
      <c r="C777">
        <f>'906MP'!J477</f>
        <v>0</v>
      </c>
      <c r="D777">
        <f>'906MP'!P477</f>
        <v>0</v>
      </c>
      <c r="E777">
        <f>'906MP'!X477</f>
        <v>0</v>
      </c>
      <c r="F777" t="str">
        <f t="shared" si="238"/>
        <v>0</v>
      </c>
      <c r="G777" t="str">
        <f t="shared" si="239"/>
        <v>0</v>
      </c>
      <c r="H777">
        <f>'906MP'!Y477</f>
        <v>0</v>
      </c>
      <c r="I777">
        <f>'906MP'!AK477</f>
        <v>0</v>
      </c>
      <c r="J777">
        <f>'906MP'!T477</f>
        <v>0</v>
      </c>
      <c r="K777">
        <f>'906MP'!AJ477</f>
        <v>0</v>
      </c>
      <c r="L777">
        <f>'906MP'!U477</f>
        <v>0</v>
      </c>
      <c r="M777" s="322" t="str">
        <f>IFERROR(VLOOKUP(A777,PAR!$D$3:$E$53,2,FALSE),"nincs szervezet")</f>
        <v>nincs szervezet</v>
      </c>
      <c r="N777" s="322" t="str">
        <f>VLOOKUP(F777,PAR!$R$3:$S$5,2,FALSE)</f>
        <v>3 - egyik sem</v>
      </c>
      <c r="O777" t="str">
        <f>IFERROR(VLOOKUP(J777,PAR!$O$3:$P$5,2,FALSE),"nincs feladat")</f>
        <v>nincs feladat</v>
      </c>
      <c r="P777" t="str">
        <f>IFERROR(VLOOKUP(G777,PAR!$J$2:$M$19,4),"nincs rovat")</f>
        <v>nincs rovat</v>
      </c>
      <c r="Q777" t="str">
        <f>IF(H777&gt;0,VLOOKUP(H777,PAR!$AA$3:$AC$187,3,FALSE),"nincs főkönyvi számla")</f>
        <v>nincs főkönyvi számla</v>
      </c>
      <c r="R777" t="str">
        <f>IFERROR(VLOOKUP(K777,PAR!$V$3:$X$438,3,FALSE),"000000 - Nincs COFOG")</f>
        <v>000000 - Nincs COFOG</v>
      </c>
      <c r="S777">
        <f t="shared" si="240"/>
        <v>0</v>
      </c>
      <c r="T777">
        <f t="shared" si="241"/>
        <v>0</v>
      </c>
      <c r="U777" t="str">
        <f>IF('906MP'!J477&gt;0,CONCATENATE('906MP'!J477," - ",'906MP'!P477,", ",'906MP'!E477),"nincs megjegyzés")</f>
        <v>nincs megjegyzés</v>
      </c>
      <c r="V777" t="str">
        <f t="shared" si="228"/>
        <v>0P0</v>
      </c>
      <c r="W777" t="str">
        <f t="shared" si="229"/>
        <v>0P0</v>
      </c>
      <c r="X777" t="str">
        <f t="shared" si="230"/>
        <v>P0</v>
      </c>
      <c r="Y777" t="str">
        <f t="shared" si="231"/>
        <v>00</v>
      </c>
      <c r="Z777" t="str">
        <f t="shared" si="242"/>
        <v>00</v>
      </c>
      <c r="AA777" t="str">
        <f t="shared" si="232"/>
        <v>00</v>
      </c>
      <c r="AB777" t="str">
        <f t="shared" si="233"/>
        <v>00</v>
      </c>
      <c r="AC777" t="str">
        <f t="shared" si="234"/>
        <v>0P0</v>
      </c>
      <c r="AD777" t="str">
        <f t="shared" si="235"/>
        <v>P00</v>
      </c>
      <c r="AE777" t="str">
        <f t="shared" si="236"/>
        <v>0P0</v>
      </c>
      <c r="AF777" t="str">
        <f t="shared" si="237"/>
        <v>P00</v>
      </c>
      <c r="AG777" t="str">
        <f t="shared" si="243"/>
        <v>0P00</v>
      </c>
      <c r="AH777" t="str">
        <f t="shared" si="244"/>
        <v>P000</v>
      </c>
      <c r="AI777" t="str">
        <f t="shared" si="245"/>
        <v>0P00</v>
      </c>
      <c r="AJ777" t="str">
        <f t="shared" si="246"/>
        <v>P000</v>
      </c>
    </row>
    <row r="778" spans="1:36" x14ac:dyDescent="0.25">
      <c r="A778" s="325" t="str">
        <f>CONCATENATE("P",'906MP'!M478)</f>
        <v>P</v>
      </c>
      <c r="B778">
        <f>'906MP'!H478</f>
        <v>0</v>
      </c>
      <c r="C778">
        <f>'906MP'!J478</f>
        <v>0</v>
      </c>
      <c r="D778">
        <f>'906MP'!P478</f>
        <v>0</v>
      </c>
      <c r="E778">
        <f>'906MP'!X478</f>
        <v>0</v>
      </c>
      <c r="F778" t="str">
        <f t="shared" si="238"/>
        <v>0</v>
      </c>
      <c r="G778" t="str">
        <f t="shared" si="239"/>
        <v>0</v>
      </c>
      <c r="H778">
        <f>'906MP'!Y478</f>
        <v>0</v>
      </c>
      <c r="I778">
        <f>'906MP'!AK478</f>
        <v>0</v>
      </c>
      <c r="J778">
        <f>'906MP'!T478</f>
        <v>0</v>
      </c>
      <c r="K778">
        <f>'906MP'!AJ478</f>
        <v>0</v>
      </c>
      <c r="L778">
        <f>'906MP'!U478</f>
        <v>0</v>
      </c>
      <c r="M778" s="322" t="str">
        <f>IFERROR(VLOOKUP(A778,PAR!$D$3:$E$53,2,FALSE),"nincs szervezet")</f>
        <v>nincs szervezet</v>
      </c>
      <c r="N778" s="322" t="str">
        <f>VLOOKUP(F778,PAR!$R$3:$S$5,2,FALSE)</f>
        <v>3 - egyik sem</v>
      </c>
      <c r="O778" t="str">
        <f>IFERROR(VLOOKUP(J778,PAR!$O$3:$P$5,2,FALSE),"nincs feladat")</f>
        <v>nincs feladat</v>
      </c>
      <c r="P778" t="str">
        <f>IFERROR(VLOOKUP(G778,PAR!$J$2:$M$19,4),"nincs rovat")</f>
        <v>nincs rovat</v>
      </c>
      <c r="Q778" t="str">
        <f>IF(H778&gt;0,VLOOKUP(H778,PAR!$AA$3:$AC$187,3,FALSE),"nincs főkönyvi számla")</f>
        <v>nincs főkönyvi számla</v>
      </c>
      <c r="R778" t="str">
        <f>IFERROR(VLOOKUP(K778,PAR!$V$3:$X$438,3,FALSE),"000000 - Nincs COFOG")</f>
        <v>000000 - Nincs COFOG</v>
      </c>
      <c r="S778">
        <f t="shared" si="240"/>
        <v>0</v>
      </c>
      <c r="T778">
        <f t="shared" si="241"/>
        <v>0</v>
      </c>
      <c r="U778" t="str">
        <f>IF('906MP'!J478&gt;0,CONCATENATE('906MP'!J478," - ",'906MP'!P478,", ",'906MP'!E478),"nincs megjegyzés")</f>
        <v>nincs megjegyzés</v>
      </c>
      <c r="V778" t="str">
        <f t="shared" si="228"/>
        <v>0P0</v>
      </c>
      <c r="W778" t="str">
        <f t="shared" si="229"/>
        <v>0P0</v>
      </c>
      <c r="X778" t="str">
        <f t="shared" si="230"/>
        <v>P0</v>
      </c>
      <c r="Y778" t="str">
        <f t="shared" si="231"/>
        <v>00</v>
      </c>
      <c r="Z778" t="str">
        <f t="shared" si="242"/>
        <v>00</v>
      </c>
      <c r="AA778" t="str">
        <f t="shared" si="232"/>
        <v>00</v>
      </c>
      <c r="AB778" t="str">
        <f t="shared" si="233"/>
        <v>00</v>
      </c>
      <c r="AC778" t="str">
        <f t="shared" si="234"/>
        <v>0P0</v>
      </c>
      <c r="AD778" t="str">
        <f t="shared" si="235"/>
        <v>P00</v>
      </c>
      <c r="AE778" t="str">
        <f t="shared" si="236"/>
        <v>0P0</v>
      </c>
      <c r="AF778" t="str">
        <f t="shared" si="237"/>
        <v>P00</v>
      </c>
      <c r="AG778" t="str">
        <f t="shared" si="243"/>
        <v>0P00</v>
      </c>
      <c r="AH778" t="str">
        <f t="shared" si="244"/>
        <v>P000</v>
      </c>
      <c r="AI778" t="str">
        <f t="shared" si="245"/>
        <v>0P00</v>
      </c>
      <c r="AJ778" t="str">
        <f t="shared" si="246"/>
        <v>P000</v>
      </c>
    </row>
    <row r="779" spans="1:36" x14ac:dyDescent="0.25">
      <c r="A779" s="325" t="str">
        <f>CONCATENATE("P",'906MP'!M479)</f>
        <v>P</v>
      </c>
      <c r="B779">
        <f>'906MP'!H479</f>
        <v>0</v>
      </c>
      <c r="C779">
        <f>'906MP'!J479</f>
        <v>0</v>
      </c>
      <c r="D779">
        <f>'906MP'!P479</f>
        <v>0</v>
      </c>
      <c r="E779">
        <f>'906MP'!X479</f>
        <v>0</v>
      </c>
      <c r="F779" t="str">
        <f t="shared" si="238"/>
        <v>0</v>
      </c>
      <c r="G779" t="str">
        <f t="shared" si="239"/>
        <v>0</v>
      </c>
      <c r="H779">
        <f>'906MP'!Y479</f>
        <v>0</v>
      </c>
      <c r="I779">
        <f>'906MP'!AK479</f>
        <v>0</v>
      </c>
      <c r="J779">
        <f>'906MP'!T479</f>
        <v>0</v>
      </c>
      <c r="K779">
        <f>'906MP'!AJ479</f>
        <v>0</v>
      </c>
      <c r="L779">
        <f>'906MP'!U479</f>
        <v>0</v>
      </c>
      <c r="M779" s="322" t="str">
        <f>IFERROR(VLOOKUP(A779,PAR!$D$3:$E$53,2,FALSE),"nincs szervezet")</f>
        <v>nincs szervezet</v>
      </c>
      <c r="N779" s="322" t="str">
        <f>VLOOKUP(F779,PAR!$R$3:$S$5,2,FALSE)</f>
        <v>3 - egyik sem</v>
      </c>
      <c r="O779" t="str">
        <f>IFERROR(VLOOKUP(J779,PAR!$O$3:$P$5,2,FALSE),"nincs feladat")</f>
        <v>nincs feladat</v>
      </c>
      <c r="P779" t="str">
        <f>IFERROR(VLOOKUP(G779,PAR!$J$2:$M$19,4),"nincs rovat")</f>
        <v>nincs rovat</v>
      </c>
      <c r="Q779" t="str">
        <f>IF(H779&gt;0,VLOOKUP(H779,PAR!$AA$3:$AC$187,3,FALSE),"nincs főkönyvi számla")</f>
        <v>nincs főkönyvi számla</v>
      </c>
      <c r="R779" t="str">
        <f>IFERROR(VLOOKUP(K779,PAR!$V$3:$X$438,3,FALSE),"000000 - Nincs COFOG")</f>
        <v>000000 - Nincs COFOG</v>
      </c>
      <c r="S779">
        <f t="shared" si="240"/>
        <v>0</v>
      </c>
      <c r="T779">
        <f t="shared" si="241"/>
        <v>0</v>
      </c>
      <c r="U779" t="str">
        <f>IF('906MP'!J479&gt;0,CONCATENATE('906MP'!J479," - ",'906MP'!P479,", ",'906MP'!E479),"nincs megjegyzés")</f>
        <v>nincs megjegyzés</v>
      </c>
      <c r="V779" t="str">
        <f t="shared" si="228"/>
        <v>0P0</v>
      </c>
      <c r="W779" t="str">
        <f t="shared" si="229"/>
        <v>0P0</v>
      </c>
      <c r="X779" t="str">
        <f t="shared" si="230"/>
        <v>P0</v>
      </c>
      <c r="Y779" t="str">
        <f t="shared" si="231"/>
        <v>00</v>
      </c>
      <c r="Z779" t="str">
        <f t="shared" si="242"/>
        <v>00</v>
      </c>
      <c r="AA779" t="str">
        <f t="shared" si="232"/>
        <v>00</v>
      </c>
      <c r="AB779" t="str">
        <f t="shared" si="233"/>
        <v>00</v>
      </c>
      <c r="AC779" t="str">
        <f t="shared" si="234"/>
        <v>0P0</v>
      </c>
      <c r="AD779" t="str">
        <f t="shared" si="235"/>
        <v>P00</v>
      </c>
      <c r="AE779" t="str">
        <f t="shared" si="236"/>
        <v>0P0</v>
      </c>
      <c r="AF779" t="str">
        <f t="shared" si="237"/>
        <v>P00</v>
      </c>
      <c r="AG779" t="str">
        <f t="shared" si="243"/>
        <v>0P00</v>
      </c>
      <c r="AH779" t="str">
        <f t="shared" si="244"/>
        <v>P000</v>
      </c>
      <c r="AI779" t="str">
        <f t="shared" si="245"/>
        <v>0P00</v>
      </c>
      <c r="AJ779" t="str">
        <f t="shared" si="246"/>
        <v>P000</v>
      </c>
    </row>
    <row r="780" spans="1:36" x14ac:dyDescent="0.25">
      <c r="A780" s="325" t="str">
        <f>CONCATENATE("P",'906MP'!M480)</f>
        <v>P</v>
      </c>
      <c r="B780">
        <f>'906MP'!H480</f>
        <v>0</v>
      </c>
      <c r="C780">
        <f>'906MP'!J480</f>
        <v>0</v>
      </c>
      <c r="D780">
        <f>'906MP'!P480</f>
        <v>0</v>
      </c>
      <c r="E780">
        <f>'906MP'!X480</f>
        <v>0</v>
      </c>
      <c r="F780" t="str">
        <f t="shared" si="238"/>
        <v>0</v>
      </c>
      <c r="G780" t="str">
        <f t="shared" si="239"/>
        <v>0</v>
      </c>
      <c r="H780">
        <f>'906MP'!Y480</f>
        <v>0</v>
      </c>
      <c r="I780">
        <f>'906MP'!AK480</f>
        <v>0</v>
      </c>
      <c r="J780">
        <f>'906MP'!T480</f>
        <v>0</v>
      </c>
      <c r="K780">
        <f>'906MP'!AJ480</f>
        <v>0</v>
      </c>
      <c r="L780">
        <f>'906MP'!U480</f>
        <v>0</v>
      </c>
      <c r="M780" s="322" t="str">
        <f>IFERROR(VLOOKUP(A780,PAR!$D$3:$E$53,2,FALSE),"nincs szervezet")</f>
        <v>nincs szervezet</v>
      </c>
      <c r="N780" s="322" t="str">
        <f>VLOOKUP(F780,PAR!$R$3:$S$5,2,FALSE)</f>
        <v>3 - egyik sem</v>
      </c>
      <c r="O780" t="str">
        <f>IFERROR(VLOOKUP(J780,PAR!$O$3:$P$5,2,FALSE),"nincs feladat")</f>
        <v>nincs feladat</v>
      </c>
      <c r="P780" t="str">
        <f>IFERROR(VLOOKUP(G780,PAR!$J$2:$M$19,4),"nincs rovat")</f>
        <v>nincs rovat</v>
      </c>
      <c r="Q780" t="str">
        <f>IF(H780&gt;0,VLOOKUP(H780,PAR!$AA$3:$AC$187,3,FALSE),"nincs főkönyvi számla")</f>
        <v>nincs főkönyvi számla</v>
      </c>
      <c r="R780" t="str">
        <f>IFERROR(VLOOKUP(K780,PAR!$V$3:$X$438,3,FALSE),"000000 - Nincs COFOG")</f>
        <v>000000 - Nincs COFOG</v>
      </c>
      <c r="S780">
        <f t="shared" si="240"/>
        <v>0</v>
      </c>
      <c r="T780">
        <f t="shared" si="241"/>
        <v>0</v>
      </c>
      <c r="U780" t="str">
        <f>IF('906MP'!J480&gt;0,CONCATENATE('906MP'!J480," - ",'906MP'!P480,", ",'906MP'!E480),"nincs megjegyzés")</f>
        <v>nincs megjegyzés</v>
      </c>
      <c r="V780" t="str">
        <f t="shared" si="228"/>
        <v>0P0</v>
      </c>
      <c r="W780" t="str">
        <f t="shared" si="229"/>
        <v>0P0</v>
      </c>
      <c r="X780" t="str">
        <f t="shared" si="230"/>
        <v>P0</v>
      </c>
      <c r="Y780" t="str">
        <f t="shared" si="231"/>
        <v>00</v>
      </c>
      <c r="Z780" t="str">
        <f t="shared" si="242"/>
        <v>00</v>
      </c>
      <c r="AA780" t="str">
        <f t="shared" si="232"/>
        <v>00</v>
      </c>
      <c r="AB780" t="str">
        <f t="shared" si="233"/>
        <v>00</v>
      </c>
      <c r="AC780" t="str">
        <f t="shared" si="234"/>
        <v>0P0</v>
      </c>
      <c r="AD780" t="str">
        <f t="shared" si="235"/>
        <v>P00</v>
      </c>
      <c r="AE780" t="str">
        <f t="shared" si="236"/>
        <v>0P0</v>
      </c>
      <c r="AF780" t="str">
        <f t="shared" si="237"/>
        <v>P00</v>
      </c>
      <c r="AG780" t="str">
        <f t="shared" si="243"/>
        <v>0P00</v>
      </c>
      <c r="AH780" t="str">
        <f t="shared" si="244"/>
        <v>P000</v>
      </c>
      <c r="AI780" t="str">
        <f t="shared" si="245"/>
        <v>0P00</v>
      </c>
      <c r="AJ780" t="str">
        <f t="shared" si="246"/>
        <v>P000</v>
      </c>
    </row>
    <row r="781" spans="1:36" x14ac:dyDescent="0.25">
      <c r="A781" s="325" t="str">
        <f>CONCATENATE("P",'906MP'!M481)</f>
        <v>P</v>
      </c>
      <c r="B781">
        <f>'906MP'!H481</f>
        <v>0</v>
      </c>
      <c r="C781">
        <f>'906MP'!J481</f>
        <v>0</v>
      </c>
      <c r="D781">
        <f>'906MP'!P481</f>
        <v>0</v>
      </c>
      <c r="E781">
        <f>'906MP'!X481</f>
        <v>0</v>
      </c>
      <c r="F781" t="str">
        <f t="shared" si="238"/>
        <v>0</v>
      </c>
      <c r="G781" t="str">
        <f t="shared" si="239"/>
        <v>0</v>
      </c>
      <c r="H781">
        <f>'906MP'!Y481</f>
        <v>0</v>
      </c>
      <c r="I781">
        <f>'906MP'!AK481</f>
        <v>0</v>
      </c>
      <c r="J781">
        <f>'906MP'!T481</f>
        <v>0</v>
      </c>
      <c r="K781">
        <f>'906MP'!AJ481</f>
        <v>0</v>
      </c>
      <c r="L781">
        <f>'906MP'!U481</f>
        <v>0</v>
      </c>
      <c r="M781" s="322" t="str">
        <f>IFERROR(VLOOKUP(A781,PAR!$D$3:$E$53,2,FALSE),"nincs szervezet")</f>
        <v>nincs szervezet</v>
      </c>
      <c r="N781" s="322" t="str">
        <f>VLOOKUP(F781,PAR!$R$3:$S$5,2,FALSE)</f>
        <v>3 - egyik sem</v>
      </c>
      <c r="O781" t="str">
        <f>IFERROR(VLOOKUP(J781,PAR!$O$3:$P$5,2,FALSE),"nincs feladat")</f>
        <v>nincs feladat</v>
      </c>
      <c r="P781" t="str">
        <f>IFERROR(VLOOKUP(G781,PAR!$J$2:$M$19,4),"nincs rovat")</f>
        <v>nincs rovat</v>
      </c>
      <c r="Q781" t="str">
        <f>IF(H781&gt;0,VLOOKUP(H781,PAR!$AA$3:$AC$187,3,FALSE),"nincs főkönyvi számla")</f>
        <v>nincs főkönyvi számla</v>
      </c>
      <c r="R781" t="str">
        <f>IFERROR(VLOOKUP(K781,PAR!$V$3:$X$438,3,FALSE),"000000 - Nincs COFOG")</f>
        <v>000000 - Nincs COFOG</v>
      </c>
      <c r="S781">
        <f t="shared" si="240"/>
        <v>0</v>
      </c>
      <c r="T781">
        <f t="shared" si="241"/>
        <v>0</v>
      </c>
      <c r="U781" t="str">
        <f>IF('906MP'!J481&gt;0,CONCATENATE('906MP'!J481," - ",'906MP'!P481,", ",'906MP'!E481),"nincs megjegyzés")</f>
        <v>nincs megjegyzés</v>
      </c>
      <c r="V781" t="str">
        <f t="shared" si="228"/>
        <v>0P0</v>
      </c>
      <c r="W781" t="str">
        <f t="shared" si="229"/>
        <v>0P0</v>
      </c>
      <c r="X781" t="str">
        <f t="shared" si="230"/>
        <v>P0</v>
      </c>
      <c r="Y781" t="str">
        <f t="shared" si="231"/>
        <v>00</v>
      </c>
      <c r="Z781" t="str">
        <f t="shared" si="242"/>
        <v>00</v>
      </c>
      <c r="AA781" t="str">
        <f t="shared" si="232"/>
        <v>00</v>
      </c>
      <c r="AB781" t="str">
        <f t="shared" si="233"/>
        <v>00</v>
      </c>
      <c r="AC781" t="str">
        <f t="shared" si="234"/>
        <v>0P0</v>
      </c>
      <c r="AD781" t="str">
        <f t="shared" si="235"/>
        <v>P00</v>
      </c>
      <c r="AE781" t="str">
        <f t="shared" si="236"/>
        <v>0P0</v>
      </c>
      <c r="AF781" t="str">
        <f t="shared" si="237"/>
        <v>P00</v>
      </c>
      <c r="AG781" t="str">
        <f t="shared" si="243"/>
        <v>0P00</v>
      </c>
      <c r="AH781" t="str">
        <f t="shared" si="244"/>
        <v>P000</v>
      </c>
      <c r="AI781" t="str">
        <f t="shared" si="245"/>
        <v>0P00</v>
      </c>
      <c r="AJ781" t="str">
        <f t="shared" si="246"/>
        <v>P000</v>
      </c>
    </row>
    <row r="782" spans="1:36" x14ac:dyDescent="0.25">
      <c r="A782" s="325" t="str">
        <f>CONCATENATE("P",'906MP'!M482)</f>
        <v>P</v>
      </c>
      <c r="B782">
        <f>'906MP'!H482</f>
        <v>0</v>
      </c>
      <c r="C782">
        <f>'906MP'!J482</f>
        <v>0</v>
      </c>
      <c r="D782">
        <f>'906MP'!P482</f>
        <v>0</v>
      </c>
      <c r="E782">
        <f>'906MP'!X482</f>
        <v>0</v>
      </c>
      <c r="F782" t="str">
        <f t="shared" si="238"/>
        <v>0</v>
      </c>
      <c r="G782" t="str">
        <f t="shared" si="239"/>
        <v>0</v>
      </c>
      <c r="H782">
        <f>'906MP'!Y482</f>
        <v>0</v>
      </c>
      <c r="I782">
        <f>'906MP'!AK482</f>
        <v>0</v>
      </c>
      <c r="J782">
        <f>'906MP'!T482</f>
        <v>0</v>
      </c>
      <c r="K782">
        <f>'906MP'!AJ482</f>
        <v>0</v>
      </c>
      <c r="L782">
        <f>'906MP'!U482</f>
        <v>0</v>
      </c>
      <c r="M782" s="322" t="str">
        <f>IFERROR(VLOOKUP(A782,PAR!$D$3:$E$53,2,FALSE),"nincs szervezet")</f>
        <v>nincs szervezet</v>
      </c>
      <c r="N782" s="322" t="str">
        <f>VLOOKUP(F782,PAR!$R$3:$S$5,2,FALSE)</f>
        <v>3 - egyik sem</v>
      </c>
      <c r="O782" t="str">
        <f>IFERROR(VLOOKUP(J782,PAR!$O$3:$P$5,2,FALSE),"nincs feladat")</f>
        <v>nincs feladat</v>
      </c>
      <c r="P782" t="str">
        <f>IFERROR(VLOOKUP(G782,PAR!$J$2:$M$19,4),"nincs rovat")</f>
        <v>nincs rovat</v>
      </c>
      <c r="Q782" t="str">
        <f>IF(H782&gt;0,VLOOKUP(H782,PAR!$AA$3:$AC$187,3,FALSE),"nincs főkönyvi számla")</f>
        <v>nincs főkönyvi számla</v>
      </c>
      <c r="R782" t="str">
        <f>IFERROR(VLOOKUP(K782,PAR!$V$3:$X$438,3,FALSE),"000000 - Nincs COFOG")</f>
        <v>000000 - Nincs COFOG</v>
      </c>
      <c r="S782">
        <f t="shared" si="240"/>
        <v>0</v>
      </c>
      <c r="T782">
        <f t="shared" si="241"/>
        <v>0</v>
      </c>
      <c r="U782" t="str">
        <f>IF('906MP'!J482&gt;0,CONCATENATE('906MP'!J482," - ",'906MP'!P482,", ",'906MP'!E482),"nincs megjegyzés")</f>
        <v>nincs megjegyzés</v>
      </c>
      <c r="V782" t="str">
        <f t="shared" si="228"/>
        <v>0P0</v>
      </c>
      <c r="W782" t="str">
        <f t="shared" si="229"/>
        <v>0P0</v>
      </c>
      <c r="X782" t="str">
        <f t="shared" si="230"/>
        <v>P0</v>
      </c>
      <c r="Y782" t="str">
        <f t="shared" si="231"/>
        <v>00</v>
      </c>
      <c r="Z782" t="str">
        <f t="shared" si="242"/>
        <v>00</v>
      </c>
      <c r="AA782" t="str">
        <f t="shared" si="232"/>
        <v>00</v>
      </c>
      <c r="AB782" t="str">
        <f t="shared" si="233"/>
        <v>00</v>
      </c>
      <c r="AC782" t="str">
        <f t="shared" si="234"/>
        <v>0P0</v>
      </c>
      <c r="AD782" t="str">
        <f t="shared" si="235"/>
        <v>P00</v>
      </c>
      <c r="AE782" t="str">
        <f t="shared" si="236"/>
        <v>0P0</v>
      </c>
      <c r="AF782" t="str">
        <f t="shared" si="237"/>
        <v>P00</v>
      </c>
      <c r="AG782" t="str">
        <f t="shared" si="243"/>
        <v>0P00</v>
      </c>
      <c r="AH782" t="str">
        <f t="shared" si="244"/>
        <v>P000</v>
      </c>
      <c r="AI782" t="str">
        <f t="shared" si="245"/>
        <v>0P00</v>
      </c>
      <c r="AJ782" t="str">
        <f t="shared" si="246"/>
        <v>P000</v>
      </c>
    </row>
    <row r="783" spans="1:36" x14ac:dyDescent="0.25">
      <c r="A783" s="325" t="str">
        <f>CONCATENATE("P",'906MP'!M483)</f>
        <v>P</v>
      </c>
      <c r="B783">
        <f>'906MP'!H483</f>
        <v>0</v>
      </c>
      <c r="C783">
        <f>'906MP'!J483</f>
        <v>0</v>
      </c>
      <c r="D783">
        <f>'906MP'!P483</f>
        <v>0</v>
      </c>
      <c r="E783">
        <f>'906MP'!X483</f>
        <v>0</v>
      </c>
      <c r="F783" t="str">
        <f t="shared" si="238"/>
        <v>0</v>
      </c>
      <c r="G783" t="str">
        <f t="shared" si="239"/>
        <v>0</v>
      </c>
      <c r="H783">
        <f>'906MP'!Y483</f>
        <v>0</v>
      </c>
      <c r="I783">
        <f>'906MP'!AK483</f>
        <v>0</v>
      </c>
      <c r="J783">
        <f>'906MP'!T483</f>
        <v>0</v>
      </c>
      <c r="K783">
        <f>'906MP'!AJ483</f>
        <v>0</v>
      </c>
      <c r="L783">
        <f>'906MP'!U483</f>
        <v>0</v>
      </c>
      <c r="M783" s="322" t="str">
        <f>IFERROR(VLOOKUP(A783,PAR!$D$3:$E$53,2,FALSE),"nincs szervezet")</f>
        <v>nincs szervezet</v>
      </c>
      <c r="N783" s="322" t="str">
        <f>VLOOKUP(F783,PAR!$R$3:$S$5,2,FALSE)</f>
        <v>3 - egyik sem</v>
      </c>
      <c r="O783" t="str">
        <f>IFERROR(VLOOKUP(J783,PAR!$O$3:$P$5,2,FALSE),"nincs feladat")</f>
        <v>nincs feladat</v>
      </c>
      <c r="P783" t="str">
        <f>IFERROR(VLOOKUP(G783,PAR!$J$2:$M$19,4),"nincs rovat")</f>
        <v>nincs rovat</v>
      </c>
      <c r="Q783" t="str">
        <f>IF(H783&gt;0,VLOOKUP(H783,PAR!$AA$3:$AC$187,3,FALSE),"nincs főkönyvi számla")</f>
        <v>nincs főkönyvi számla</v>
      </c>
      <c r="R783" t="str">
        <f>IFERROR(VLOOKUP(K783,PAR!$V$3:$X$438,3,FALSE),"000000 - Nincs COFOG")</f>
        <v>000000 - Nincs COFOG</v>
      </c>
      <c r="S783">
        <f t="shared" si="240"/>
        <v>0</v>
      </c>
      <c r="T783">
        <f t="shared" si="241"/>
        <v>0</v>
      </c>
      <c r="U783" t="str">
        <f>IF('906MP'!J483&gt;0,CONCATENATE('906MP'!J483," - ",'906MP'!P483,", ",'906MP'!E483),"nincs megjegyzés")</f>
        <v>nincs megjegyzés</v>
      </c>
      <c r="V783" t="str">
        <f t="shared" si="228"/>
        <v>0P0</v>
      </c>
      <c r="W783" t="str">
        <f t="shared" si="229"/>
        <v>0P0</v>
      </c>
      <c r="X783" t="str">
        <f t="shared" si="230"/>
        <v>P0</v>
      </c>
      <c r="Y783" t="str">
        <f t="shared" si="231"/>
        <v>00</v>
      </c>
      <c r="Z783" t="str">
        <f t="shared" si="242"/>
        <v>00</v>
      </c>
      <c r="AA783" t="str">
        <f t="shared" si="232"/>
        <v>00</v>
      </c>
      <c r="AB783" t="str">
        <f t="shared" si="233"/>
        <v>00</v>
      </c>
      <c r="AC783" t="str">
        <f t="shared" si="234"/>
        <v>0P0</v>
      </c>
      <c r="AD783" t="str">
        <f t="shared" si="235"/>
        <v>P00</v>
      </c>
      <c r="AE783" t="str">
        <f t="shared" si="236"/>
        <v>0P0</v>
      </c>
      <c r="AF783" t="str">
        <f t="shared" si="237"/>
        <v>P00</v>
      </c>
      <c r="AG783" t="str">
        <f t="shared" si="243"/>
        <v>0P00</v>
      </c>
      <c r="AH783" t="str">
        <f t="shared" si="244"/>
        <v>P000</v>
      </c>
      <c r="AI783" t="str">
        <f t="shared" si="245"/>
        <v>0P00</v>
      </c>
      <c r="AJ783" t="str">
        <f t="shared" si="246"/>
        <v>P000</v>
      </c>
    </row>
    <row r="784" spans="1:36" x14ac:dyDescent="0.25">
      <c r="A784" s="325" t="str">
        <f>CONCATENATE("P",'906MP'!M484)</f>
        <v>P</v>
      </c>
      <c r="B784">
        <f>'906MP'!H484</f>
        <v>0</v>
      </c>
      <c r="C784">
        <f>'906MP'!J484</f>
        <v>0</v>
      </c>
      <c r="D784">
        <f>'906MP'!P484</f>
        <v>0</v>
      </c>
      <c r="E784">
        <f>'906MP'!X484</f>
        <v>0</v>
      </c>
      <c r="F784" t="str">
        <f t="shared" si="238"/>
        <v>0</v>
      </c>
      <c r="G784" t="str">
        <f t="shared" si="239"/>
        <v>0</v>
      </c>
      <c r="H784">
        <f>'906MP'!Y484</f>
        <v>0</v>
      </c>
      <c r="I784">
        <f>'906MP'!AK484</f>
        <v>0</v>
      </c>
      <c r="J784">
        <f>'906MP'!T484</f>
        <v>0</v>
      </c>
      <c r="K784">
        <f>'906MP'!AJ484</f>
        <v>0</v>
      </c>
      <c r="L784">
        <f>'906MP'!U484</f>
        <v>0</v>
      </c>
      <c r="M784" s="322" t="str">
        <f>IFERROR(VLOOKUP(A784,PAR!$D$3:$E$53,2,FALSE),"nincs szervezet")</f>
        <v>nincs szervezet</v>
      </c>
      <c r="N784" s="322" t="str">
        <f>VLOOKUP(F784,PAR!$R$3:$S$5,2,FALSE)</f>
        <v>3 - egyik sem</v>
      </c>
      <c r="O784" t="str">
        <f>IFERROR(VLOOKUP(J784,PAR!$O$3:$P$5,2,FALSE),"nincs feladat")</f>
        <v>nincs feladat</v>
      </c>
      <c r="P784" t="str">
        <f>IFERROR(VLOOKUP(G784,PAR!$J$2:$M$19,4),"nincs rovat")</f>
        <v>nincs rovat</v>
      </c>
      <c r="Q784" t="str">
        <f>IF(H784&gt;0,VLOOKUP(H784,PAR!$AA$3:$AC$187,3,FALSE),"nincs főkönyvi számla")</f>
        <v>nincs főkönyvi számla</v>
      </c>
      <c r="R784" t="str">
        <f>IFERROR(VLOOKUP(K784,PAR!$V$3:$X$438,3,FALSE),"000000 - Nincs COFOG")</f>
        <v>000000 - Nincs COFOG</v>
      </c>
      <c r="S784">
        <f t="shared" si="240"/>
        <v>0</v>
      </c>
      <c r="T784">
        <f t="shared" si="241"/>
        <v>0</v>
      </c>
      <c r="U784" t="str">
        <f>IF('906MP'!J484&gt;0,CONCATENATE('906MP'!J484," - ",'906MP'!P484,", ",'906MP'!E484),"nincs megjegyzés")</f>
        <v>nincs megjegyzés</v>
      </c>
      <c r="V784" t="str">
        <f t="shared" si="228"/>
        <v>0P0</v>
      </c>
      <c r="W784" t="str">
        <f t="shared" si="229"/>
        <v>0P0</v>
      </c>
      <c r="X784" t="str">
        <f t="shared" si="230"/>
        <v>P0</v>
      </c>
      <c r="Y784" t="str">
        <f t="shared" si="231"/>
        <v>00</v>
      </c>
      <c r="Z784" t="str">
        <f t="shared" si="242"/>
        <v>00</v>
      </c>
      <c r="AA784" t="str">
        <f t="shared" si="232"/>
        <v>00</v>
      </c>
      <c r="AB784" t="str">
        <f t="shared" si="233"/>
        <v>00</v>
      </c>
      <c r="AC784" t="str">
        <f t="shared" si="234"/>
        <v>0P0</v>
      </c>
      <c r="AD784" t="str">
        <f t="shared" si="235"/>
        <v>P00</v>
      </c>
      <c r="AE784" t="str">
        <f t="shared" si="236"/>
        <v>0P0</v>
      </c>
      <c r="AF784" t="str">
        <f t="shared" si="237"/>
        <v>P00</v>
      </c>
      <c r="AG784" t="str">
        <f t="shared" si="243"/>
        <v>0P00</v>
      </c>
      <c r="AH784" t="str">
        <f t="shared" si="244"/>
        <v>P000</v>
      </c>
      <c r="AI784" t="str">
        <f t="shared" si="245"/>
        <v>0P00</v>
      </c>
      <c r="AJ784" t="str">
        <f t="shared" si="246"/>
        <v>P000</v>
      </c>
    </row>
    <row r="785" spans="1:36" x14ac:dyDescent="0.25">
      <c r="A785" s="325" t="str">
        <f>CONCATENATE("P",'906MP'!M485)</f>
        <v>P</v>
      </c>
      <c r="B785">
        <f>'906MP'!H485</f>
        <v>0</v>
      </c>
      <c r="C785">
        <f>'906MP'!J485</f>
        <v>0</v>
      </c>
      <c r="D785">
        <f>'906MP'!P485</f>
        <v>0</v>
      </c>
      <c r="E785">
        <f>'906MP'!X485</f>
        <v>0</v>
      </c>
      <c r="F785" t="str">
        <f t="shared" si="238"/>
        <v>0</v>
      </c>
      <c r="G785" t="str">
        <f t="shared" si="239"/>
        <v>0</v>
      </c>
      <c r="H785">
        <f>'906MP'!Y485</f>
        <v>0</v>
      </c>
      <c r="I785">
        <f>'906MP'!AK485</f>
        <v>0</v>
      </c>
      <c r="J785">
        <f>'906MP'!T485</f>
        <v>0</v>
      </c>
      <c r="K785">
        <f>'906MP'!AJ485</f>
        <v>0</v>
      </c>
      <c r="L785">
        <f>'906MP'!U485</f>
        <v>0</v>
      </c>
      <c r="M785" s="322" t="str">
        <f>IFERROR(VLOOKUP(A785,PAR!$D$3:$E$53,2,FALSE),"nincs szervezet")</f>
        <v>nincs szervezet</v>
      </c>
      <c r="N785" s="322" t="str">
        <f>VLOOKUP(F785,PAR!$R$3:$S$5,2,FALSE)</f>
        <v>3 - egyik sem</v>
      </c>
      <c r="O785" t="str">
        <f>IFERROR(VLOOKUP(J785,PAR!$O$3:$P$5,2,FALSE),"nincs feladat")</f>
        <v>nincs feladat</v>
      </c>
      <c r="P785" t="str">
        <f>IFERROR(VLOOKUP(G785,PAR!$J$2:$M$19,4),"nincs rovat")</f>
        <v>nincs rovat</v>
      </c>
      <c r="Q785" t="str">
        <f>IF(H785&gt;0,VLOOKUP(H785,PAR!$AA$3:$AC$187,3,FALSE),"nincs főkönyvi számla")</f>
        <v>nincs főkönyvi számla</v>
      </c>
      <c r="R785" t="str">
        <f>IFERROR(VLOOKUP(K785,PAR!$V$3:$X$438,3,FALSE),"000000 - Nincs COFOG")</f>
        <v>000000 - Nincs COFOG</v>
      </c>
      <c r="S785">
        <f t="shared" si="240"/>
        <v>0</v>
      </c>
      <c r="T785">
        <f t="shared" si="241"/>
        <v>0</v>
      </c>
      <c r="U785" t="str">
        <f>IF('906MP'!J485&gt;0,CONCATENATE('906MP'!J485," - ",'906MP'!P485,", ",'906MP'!E485),"nincs megjegyzés")</f>
        <v>nincs megjegyzés</v>
      </c>
      <c r="V785" t="str">
        <f t="shared" si="228"/>
        <v>0P0</v>
      </c>
      <c r="W785" t="str">
        <f t="shared" si="229"/>
        <v>0P0</v>
      </c>
      <c r="X785" t="str">
        <f t="shared" si="230"/>
        <v>P0</v>
      </c>
      <c r="Y785" t="str">
        <f t="shared" si="231"/>
        <v>00</v>
      </c>
      <c r="Z785" t="str">
        <f t="shared" si="242"/>
        <v>00</v>
      </c>
      <c r="AA785" t="str">
        <f t="shared" si="232"/>
        <v>00</v>
      </c>
      <c r="AB785" t="str">
        <f t="shared" si="233"/>
        <v>00</v>
      </c>
      <c r="AC785" t="str">
        <f t="shared" si="234"/>
        <v>0P0</v>
      </c>
      <c r="AD785" t="str">
        <f t="shared" si="235"/>
        <v>P00</v>
      </c>
      <c r="AE785" t="str">
        <f t="shared" si="236"/>
        <v>0P0</v>
      </c>
      <c r="AF785" t="str">
        <f t="shared" si="237"/>
        <v>P00</v>
      </c>
      <c r="AG785" t="str">
        <f t="shared" si="243"/>
        <v>0P00</v>
      </c>
      <c r="AH785" t="str">
        <f t="shared" si="244"/>
        <v>P000</v>
      </c>
      <c r="AI785" t="str">
        <f t="shared" si="245"/>
        <v>0P00</v>
      </c>
      <c r="AJ785" t="str">
        <f t="shared" si="246"/>
        <v>P000</v>
      </c>
    </row>
    <row r="786" spans="1:36" x14ac:dyDescent="0.25">
      <c r="A786" s="325" t="str">
        <f>CONCATENATE("P",'906MP'!M486)</f>
        <v>P</v>
      </c>
      <c r="B786">
        <f>'906MP'!H486</f>
        <v>0</v>
      </c>
      <c r="C786">
        <f>'906MP'!J486</f>
        <v>0</v>
      </c>
      <c r="D786">
        <f>'906MP'!P486</f>
        <v>0</v>
      </c>
      <c r="E786">
        <f>'906MP'!X486</f>
        <v>0</v>
      </c>
      <c r="F786" t="str">
        <f t="shared" si="238"/>
        <v>0</v>
      </c>
      <c r="G786" t="str">
        <f t="shared" si="239"/>
        <v>0</v>
      </c>
      <c r="H786">
        <f>'906MP'!Y486</f>
        <v>0</v>
      </c>
      <c r="I786">
        <f>'906MP'!AK486</f>
        <v>0</v>
      </c>
      <c r="J786">
        <f>'906MP'!T486</f>
        <v>0</v>
      </c>
      <c r="K786">
        <f>'906MP'!AJ486</f>
        <v>0</v>
      </c>
      <c r="L786">
        <f>'906MP'!U486</f>
        <v>0</v>
      </c>
      <c r="M786" s="322" t="str">
        <f>IFERROR(VLOOKUP(A786,PAR!$D$3:$E$53,2,FALSE),"nincs szervezet")</f>
        <v>nincs szervezet</v>
      </c>
      <c r="N786" s="322" t="str">
        <f>VLOOKUP(F786,PAR!$R$3:$S$5,2,FALSE)</f>
        <v>3 - egyik sem</v>
      </c>
      <c r="O786" t="str">
        <f>IFERROR(VLOOKUP(J786,PAR!$O$3:$P$5,2,FALSE),"nincs feladat")</f>
        <v>nincs feladat</v>
      </c>
      <c r="P786" t="str">
        <f>IFERROR(VLOOKUP(G786,PAR!$J$2:$M$19,4),"nincs rovat")</f>
        <v>nincs rovat</v>
      </c>
      <c r="Q786" t="str">
        <f>IF(H786&gt;0,VLOOKUP(H786,PAR!$AA$3:$AC$187,3,FALSE),"nincs főkönyvi számla")</f>
        <v>nincs főkönyvi számla</v>
      </c>
      <c r="R786" t="str">
        <f>IFERROR(VLOOKUP(K786,PAR!$V$3:$X$438,3,FALSE),"000000 - Nincs COFOG")</f>
        <v>000000 - Nincs COFOG</v>
      </c>
      <c r="S786">
        <f t="shared" si="240"/>
        <v>0</v>
      </c>
      <c r="T786">
        <f t="shared" si="241"/>
        <v>0</v>
      </c>
      <c r="U786" t="str">
        <f>IF('906MP'!J486&gt;0,CONCATENATE('906MP'!J486," - ",'906MP'!P486,", ",'906MP'!E486),"nincs megjegyzés")</f>
        <v>nincs megjegyzés</v>
      </c>
      <c r="V786" t="str">
        <f t="shared" si="228"/>
        <v>0P0</v>
      </c>
      <c r="W786" t="str">
        <f t="shared" si="229"/>
        <v>0P0</v>
      </c>
      <c r="X786" t="str">
        <f t="shared" si="230"/>
        <v>P0</v>
      </c>
      <c r="Y786" t="str">
        <f t="shared" si="231"/>
        <v>00</v>
      </c>
      <c r="Z786" t="str">
        <f t="shared" si="242"/>
        <v>00</v>
      </c>
      <c r="AA786" t="str">
        <f t="shared" si="232"/>
        <v>00</v>
      </c>
      <c r="AB786" t="str">
        <f t="shared" si="233"/>
        <v>00</v>
      </c>
      <c r="AC786" t="str">
        <f t="shared" si="234"/>
        <v>0P0</v>
      </c>
      <c r="AD786" t="str">
        <f t="shared" si="235"/>
        <v>P00</v>
      </c>
      <c r="AE786" t="str">
        <f t="shared" si="236"/>
        <v>0P0</v>
      </c>
      <c r="AF786" t="str">
        <f t="shared" si="237"/>
        <v>P00</v>
      </c>
      <c r="AG786" t="str">
        <f t="shared" si="243"/>
        <v>0P00</v>
      </c>
      <c r="AH786" t="str">
        <f t="shared" si="244"/>
        <v>P000</v>
      </c>
      <c r="AI786" t="str">
        <f t="shared" si="245"/>
        <v>0P00</v>
      </c>
      <c r="AJ786" t="str">
        <f t="shared" si="246"/>
        <v>P000</v>
      </c>
    </row>
    <row r="787" spans="1:36" x14ac:dyDescent="0.25">
      <c r="A787" s="325" t="str">
        <f>CONCATENATE("P",'906MP'!M487)</f>
        <v>P</v>
      </c>
      <c r="B787">
        <f>'906MP'!H487</f>
        <v>0</v>
      </c>
      <c r="C787">
        <f>'906MP'!J487</f>
        <v>0</v>
      </c>
      <c r="D787">
        <f>'906MP'!P487</f>
        <v>0</v>
      </c>
      <c r="E787">
        <f>'906MP'!X487</f>
        <v>0</v>
      </c>
      <c r="F787" t="str">
        <f t="shared" si="238"/>
        <v>0</v>
      </c>
      <c r="G787" t="str">
        <f t="shared" si="239"/>
        <v>0</v>
      </c>
      <c r="H787">
        <f>'906MP'!Y487</f>
        <v>0</v>
      </c>
      <c r="I787">
        <f>'906MP'!AK487</f>
        <v>0</v>
      </c>
      <c r="J787">
        <f>'906MP'!T487</f>
        <v>0</v>
      </c>
      <c r="K787">
        <f>'906MP'!AJ487</f>
        <v>0</v>
      </c>
      <c r="L787">
        <f>'906MP'!U487</f>
        <v>0</v>
      </c>
      <c r="M787" s="322" t="str">
        <f>IFERROR(VLOOKUP(A787,PAR!$D$3:$E$53,2,FALSE),"nincs szervezet")</f>
        <v>nincs szervezet</v>
      </c>
      <c r="N787" s="322" t="str">
        <f>VLOOKUP(F787,PAR!$R$3:$S$5,2,FALSE)</f>
        <v>3 - egyik sem</v>
      </c>
      <c r="O787" t="str">
        <f>IFERROR(VLOOKUP(J787,PAR!$O$3:$P$5,2,FALSE),"nincs feladat")</f>
        <v>nincs feladat</v>
      </c>
      <c r="P787" t="str">
        <f>IFERROR(VLOOKUP(G787,PAR!$J$2:$M$19,4),"nincs rovat")</f>
        <v>nincs rovat</v>
      </c>
      <c r="Q787" t="str">
        <f>IF(H787&gt;0,VLOOKUP(H787,PAR!$AA$3:$AC$187,3,FALSE),"nincs főkönyvi számla")</f>
        <v>nincs főkönyvi számla</v>
      </c>
      <c r="R787" t="str">
        <f>IFERROR(VLOOKUP(K787,PAR!$V$3:$X$438,3,FALSE),"000000 - Nincs COFOG")</f>
        <v>000000 - Nincs COFOG</v>
      </c>
      <c r="S787">
        <f t="shared" si="240"/>
        <v>0</v>
      </c>
      <c r="T787">
        <f t="shared" si="241"/>
        <v>0</v>
      </c>
      <c r="U787" t="str">
        <f>IF('906MP'!J487&gt;0,CONCATENATE('906MP'!J487," - ",'906MP'!P487,", ",'906MP'!E487),"nincs megjegyzés")</f>
        <v>nincs megjegyzés</v>
      </c>
      <c r="V787" t="str">
        <f t="shared" si="228"/>
        <v>0P0</v>
      </c>
      <c r="W787" t="str">
        <f t="shared" si="229"/>
        <v>0P0</v>
      </c>
      <c r="X787" t="str">
        <f t="shared" si="230"/>
        <v>P0</v>
      </c>
      <c r="Y787" t="str">
        <f t="shared" si="231"/>
        <v>00</v>
      </c>
      <c r="Z787" t="str">
        <f t="shared" si="242"/>
        <v>00</v>
      </c>
      <c r="AA787" t="str">
        <f t="shared" si="232"/>
        <v>00</v>
      </c>
      <c r="AB787" t="str">
        <f t="shared" si="233"/>
        <v>00</v>
      </c>
      <c r="AC787" t="str">
        <f t="shared" si="234"/>
        <v>0P0</v>
      </c>
      <c r="AD787" t="str">
        <f t="shared" si="235"/>
        <v>P00</v>
      </c>
      <c r="AE787" t="str">
        <f t="shared" si="236"/>
        <v>0P0</v>
      </c>
      <c r="AF787" t="str">
        <f t="shared" si="237"/>
        <v>P00</v>
      </c>
      <c r="AG787" t="str">
        <f t="shared" si="243"/>
        <v>0P00</v>
      </c>
      <c r="AH787" t="str">
        <f t="shared" si="244"/>
        <v>P000</v>
      </c>
      <c r="AI787" t="str">
        <f t="shared" si="245"/>
        <v>0P00</v>
      </c>
      <c r="AJ787" t="str">
        <f t="shared" si="246"/>
        <v>P000</v>
      </c>
    </row>
    <row r="788" spans="1:36" x14ac:dyDescent="0.25">
      <c r="A788" s="325" t="str">
        <f>CONCATENATE("P",'906MP'!M488)</f>
        <v>P</v>
      </c>
      <c r="B788">
        <f>'906MP'!H488</f>
        <v>0</v>
      </c>
      <c r="C788">
        <f>'906MP'!J488</f>
        <v>0</v>
      </c>
      <c r="D788">
        <f>'906MP'!P488</f>
        <v>0</v>
      </c>
      <c r="E788">
        <f>'906MP'!X488</f>
        <v>0</v>
      </c>
      <c r="F788" t="str">
        <f t="shared" si="238"/>
        <v>0</v>
      </c>
      <c r="G788" t="str">
        <f t="shared" si="239"/>
        <v>0</v>
      </c>
      <c r="H788">
        <f>'906MP'!Y488</f>
        <v>0</v>
      </c>
      <c r="I788">
        <f>'906MP'!AK488</f>
        <v>0</v>
      </c>
      <c r="J788">
        <f>'906MP'!T488</f>
        <v>0</v>
      </c>
      <c r="K788">
        <f>'906MP'!AJ488</f>
        <v>0</v>
      </c>
      <c r="L788">
        <f>'906MP'!U488</f>
        <v>0</v>
      </c>
      <c r="M788" s="322" t="str">
        <f>IFERROR(VLOOKUP(A788,PAR!$D$3:$E$53,2,FALSE),"nincs szervezet")</f>
        <v>nincs szervezet</v>
      </c>
      <c r="N788" s="322" t="str">
        <f>VLOOKUP(F788,PAR!$R$3:$S$5,2,FALSE)</f>
        <v>3 - egyik sem</v>
      </c>
      <c r="O788" t="str">
        <f>IFERROR(VLOOKUP(J788,PAR!$O$3:$P$5,2,FALSE),"nincs feladat")</f>
        <v>nincs feladat</v>
      </c>
      <c r="P788" t="str">
        <f>IFERROR(VLOOKUP(G788,PAR!$J$2:$M$19,4),"nincs rovat")</f>
        <v>nincs rovat</v>
      </c>
      <c r="Q788" t="str">
        <f>IF(H788&gt;0,VLOOKUP(H788,PAR!$AA$3:$AC$187,3,FALSE),"nincs főkönyvi számla")</f>
        <v>nincs főkönyvi számla</v>
      </c>
      <c r="R788" t="str">
        <f>IFERROR(VLOOKUP(K788,PAR!$V$3:$X$438,3,FALSE),"000000 - Nincs COFOG")</f>
        <v>000000 - Nincs COFOG</v>
      </c>
      <c r="S788">
        <f t="shared" si="240"/>
        <v>0</v>
      </c>
      <c r="T788">
        <f t="shared" si="241"/>
        <v>0</v>
      </c>
      <c r="U788" t="str">
        <f>IF('906MP'!J488&gt;0,CONCATENATE('906MP'!J488," - ",'906MP'!P488,", ",'906MP'!E488),"nincs megjegyzés")</f>
        <v>nincs megjegyzés</v>
      </c>
      <c r="V788" t="str">
        <f t="shared" si="228"/>
        <v>0P0</v>
      </c>
      <c r="W788" t="str">
        <f t="shared" si="229"/>
        <v>0P0</v>
      </c>
      <c r="X788" t="str">
        <f t="shared" si="230"/>
        <v>P0</v>
      </c>
      <c r="Y788" t="str">
        <f t="shared" si="231"/>
        <v>00</v>
      </c>
      <c r="Z788" t="str">
        <f t="shared" si="242"/>
        <v>00</v>
      </c>
      <c r="AA788" t="str">
        <f t="shared" si="232"/>
        <v>00</v>
      </c>
      <c r="AB788" t="str">
        <f t="shared" si="233"/>
        <v>00</v>
      </c>
      <c r="AC788" t="str">
        <f t="shared" si="234"/>
        <v>0P0</v>
      </c>
      <c r="AD788" t="str">
        <f t="shared" si="235"/>
        <v>P00</v>
      </c>
      <c r="AE788" t="str">
        <f t="shared" si="236"/>
        <v>0P0</v>
      </c>
      <c r="AF788" t="str">
        <f t="shared" si="237"/>
        <v>P00</v>
      </c>
      <c r="AG788" t="str">
        <f t="shared" si="243"/>
        <v>0P00</v>
      </c>
      <c r="AH788" t="str">
        <f t="shared" si="244"/>
        <v>P000</v>
      </c>
      <c r="AI788" t="str">
        <f t="shared" si="245"/>
        <v>0P00</v>
      </c>
      <c r="AJ788" t="str">
        <f t="shared" si="246"/>
        <v>P000</v>
      </c>
    </row>
    <row r="789" spans="1:36" x14ac:dyDescent="0.25">
      <c r="A789" s="325" t="str">
        <f>CONCATENATE("P",'906MP'!M489)</f>
        <v>P</v>
      </c>
      <c r="B789">
        <f>'906MP'!H489</f>
        <v>0</v>
      </c>
      <c r="C789">
        <f>'906MP'!J489</f>
        <v>0</v>
      </c>
      <c r="D789">
        <f>'906MP'!P489</f>
        <v>0</v>
      </c>
      <c r="E789">
        <f>'906MP'!X489</f>
        <v>0</v>
      </c>
      <c r="F789" t="str">
        <f t="shared" si="238"/>
        <v>0</v>
      </c>
      <c r="G789" t="str">
        <f t="shared" si="239"/>
        <v>0</v>
      </c>
      <c r="H789">
        <f>'906MP'!Y489</f>
        <v>0</v>
      </c>
      <c r="I789">
        <f>'906MP'!AK489</f>
        <v>0</v>
      </c>
      <c r="J789">
        <f>'906MP'!T489</f>
        <v>0</v>
      </c>
      <c r="K789">
        <f>'906MP'!AJ489</f>
        <v>0</v>
      </c>
      <c r="L789">
        <f>'906MP'!U489</f>
        <v>0</v>
      </c>
      <c r="M789" s="322" t="str">
        <f>IFERROR(VLOOKUP(A789,PAR!$D$3:$E$53,2,FALSE),"nincs szervezet")</f>
        <v>nincs szervezet</v>
      </c>
      <c r="N789" s="322" t="str">
        <f>VLOOKUP(F789,PAR!$R$3:$S$5,2,FALSE)</f>
        <v>3 - egyik sem</v>
      </c>
      <c r="O789" t="str">
        <f>IFERROR(VLOOKUP(J789,PAR!$O$3:$P$5,2,FALSE),"nincs feladat")</f>
        <v>nincs feladat</v>
      </c>
      <c r="P789" t="str">
        <f>IFERROR(VLOOKUP(G789,PAR!$J$2:$M$19,4),"nincs rovat")</f>
        <v>nincs rovat</v>
      </c>
      <c r="Q789" t="str">
        <f>IF(H789&gt;0,VLOOKUP(H789,PAR!$AA$3:$AC$187,3,FALSE),"nincs főkönyvi számla")</f>
        <v>nincs főkönyvi számla</v>
      </c>
      <c r="R789" t="str">
        <f>IFERROR(VLOOKUP(K789,PAR!$V$3:$X$438,3,FALSE),"000000 - Nincs COFOG")</f>
        <v>000000 - Nincs COFOG</v>
      </c>
      <c r="S789">
        <f t="shared" si="240"/>
        <v>0</v>
      </c>
      <c r="T789">
        <f t="shared" si="241"/>
        <v>0</v>
      </c>
      <c r="U789" t="str">
        <f>IF('906MP'!J489&gt;0,CONCATENATE('906MP'!J489," - ",'906MP'!P489,", ",'906MP'!E489),"nincs megjegyzés")</f>
        <v>nincs megjegyzés</v>
      </c>
      <c r="V789" t="str">
        <f t="shared" si="228"/>
        <v>0P0</v>
      </c>
      <c r="W789" t="str">
        <f t="shared" si="229"/>
        <v>0P0</v>
      </c>
      <c r="X789" t="str">
        <f t="shared" si="230"/>
        <v>P0</v>
      </c>
      <c r="Y789" t="str">
        <f t="shared" si="231"/>
        <v>00</v>
      </c>
      <c r="Z789" t="str">
        <f t="shared" si="242"/>
        <v>00</v>
      </c>
      <c r="AA789" t="str">
        <f t="shared" si="232"/>
        <v>00</v>
      </c>
      <c r="AB789" t="str">
        <f t="shared" si="233"/>
        <v>00</v>
      </c>
      <c r="AC789" t="str">
        <f t="shared" si="234"/>
        <v>0P0</v>
      </c>
      <c r="AD789" t="str">
        <f t="shared" si="235"/>
        <v>P00</v>
      </c>
      <c r="AE789" t="str">
        <f t="shared" si="236"/>
        <v>0P0</v>
      </c>
      <c r="AF789" t="str">
        <f t="shared" si="237"/>
        <v>P00</v>
      </c>
      <c r="AG789" t="str">
        <f t="shared" si="243"/>
        <v>0P00</v>
      </c>
      <c r="AH789" t="str">
        <f t="shared" si="244"/>
        <v>P000</v>
      </c>
      <c r="AI789" t="str">
        <f t="shared" si="245"/>
        <v>0P00</v>
      </c>
      <c r="AJ789" t="str">
        <f t="shared" si="246"/>
        <v>P000</v>
      </c>
    </row>
    <row r="790" spans="1:36" x14ac:dyDescent="0.25">
      <c r="A790" s="325" t="str">
        <f>CONCATENATE("P",'906MP'!M490)</f>
        <v>P</v>
      </c>
      <c r="B790">
        <f>'906MP'!H490</f>
        <v>0</v>
      </c>
      <c r="C790">
        <f>'906MP'!J490</f>
        <v>0</v>
      </c>
      <c r="D790">
        <f>'906MP'!P490</f>
        <v>0</v>
      </c>
      <c r="E790">
        <f>'906MP'!X490</f>
        <v>0</v>
      </c>
      <c r="F790" t="str">
        <f t="shared" si="238"/>
        <v>0</v>
      </c>
      <c r="G790" t="str">
        <f t="shared" si="239"/>
        <v>0</v>
      </c>
      <c r="H790">
        <f>'906MP'!Y490</f>
        <v>0</v>
      </c>
      <c r="I790">
        <f>'906MP'!AK490</f>
        <v>0</v>
      </c>
      <c r="J790">
        <f>'906MP'!T490</f>
        <v>0</v>
      </c>
      <c r="K790">
        <f>'906MP'!AJ490</f>
        <v>0</v>
      </c>
      <c r="L790">
        <f>'906MP'!U490</f>
        <v>0</v>
      </c>
      <c r="M790" s="322" t="str">
        <f>IFERROR(VLOOKUP(A790,PAR!$D$3:$E$53,2,FALSE),"nincs szervezet")</f>
        <v>nincs szervezet</v>
      </c>
      <c r="N790" s="322" t="str">
        <f>VLOOKUP(F790,PAR!$R$3:$S$5,2,FALSE)</f>
        <v>3 - egyik sem</v>
      </c>
      <c r="O790" t="str">
        <f>IFERROR(VLOOKUP(J790,PAR!$O$3:$P$5,2,FALSE),"nincs feladat")</f>
        <v>nincs feladat</v>
      </c>
      <c r="P790" t="str">
        <f>IFERROR(VLOOKUP(G790,PAR!$J$2:$M$19,4),"nincs rovat")</f>
        <v>nincs rovat</v>
      </c>
      <c r="Q790" t="str">
        <f>IF(H790&gt;0,VLOOKUP(H790,PAR!$AA$3:$AC$187,3,FALSE),"nincs főkönyvi számla")</f>
        <v>nincs főkönyvi számla</v>
      </c>
      <c r="R790" t="str">
        <f>IFERROR(VLOOKUP(K790,PAR!$V$3:$X$438,3,FALSE),"000000 - Nincs COFOG")</f>
        <v>000000 - Nincs COFOG</v>
      </c>
      <c r="S790">
        <f t="shared" si="240"/>
        <v>0</v>
      </c>
      <c r="T790">
        <f t="shared" si="241"/>
        <v>0</v>
      </c>
      <c r="U790" t="str">
        <f>IF('906MP'!J490&gt;0,CONCATENATE('906MP'!J490," - ",'906MP'!P490,", ",'906MP'!E490),"nincs megjegyzés")</f>
        <v>nincs megjegyzés</v>
      </c>
      <c r="V790" t="str">
        <f t="shared" si="228"/>
        <v>0P0</v>
      </c>
      <c r="W790" t="str">
        <f t="shared" si="229"/>
        <v>0P0</v>
      </c>
      <c r="X790" t="str">
        <f t="shared" si="230"/>
        <v>P0</v>
      </c>
      <c r="Y790" t="str">
        <f t="shared" si="231"/>
        <v>00</v>
      </c>
      <c r="Z790" t="str">
        <f t="shared" si="242"/>
        <v>00</v>
      </c>
      <c r="AA790" t="str">
        <f t="shared" si="232"/>
        <v>00</v>
      </c>
      <c r="AB790" t="str">
        <f t="shared" si="233"/>
        <v>00</v>
      </c>
      <c r="AC790" t="str">
        <f t="shared" si="234"/>
        <v>0P0</v>
      </c>
      <c r="AD790" t="str">
        <f t="shared" si="235"/>
        <v>P00</v>
      </c>
      <c r="AE790" t="str">
        <f t="shared" si="236"/>
        <v>0P0</v>
      </c>
      <c r="AF790" t="str">
        <f t="shared" si="237"/>
        <v>P00</v>
      </c>
      <c r="AG790" t="str">
        <f t="shared" si="243"/>
        <v>0P00</v>
      </c>
      <c r="AH790" t="str">
        <f t="shared" si="244"/>
        <v>P000</v>
      </c>
      <c r="AI790" t="str">
        <f t="shared" si="245"/>
        <v>0P00</v>
      </c>
      <c r="AJ790" t="str">
        <f t="shared" si="246"/>
        <v>P000</v>
      </c>
    </row>
    <row r="791" spans="1:36" x14ac:dyDescent="0.25">
      <c r="A791" s="325" t="str">
        <f>CONCATENATE("P",'906MP'!M491)</f>
        <v>P</v>
      </c>
      <c r="B791">
        <f>'906MP'!H491</f>
        <v>0</v>
      </c>
      <c r="C791">
        <f>'906MP'!J491</f>
        <v>0</v>
      </c>
      <c r="D791">
        <f>'906MP'!P491</f>
        <v>0</v>
      </c>
      <c r="E791">
        <f>'906MP'!X491</f>
        <v>0</v>
      </c>
      <c r="F791" t="str">
        <f t="shared" si="238"/>
        <v>0</v>
      </c>
      <c r="G791" t="str">
        <f t="shared" si="239"/>
        <v>0</v>
      </c>
      <c r="H791">
        <f>'906MP'!Y491</f>
        <v>0</v>
      </c>
      <c r="I791">
        <f>'906MP'!AK491</f>
        <v>0</v>
      </c>
      <c r="J791">
        <f>'906MP'!T491</f>
        <v>0</v>
      </c>
      <c r="K791">
        <f>'906MP'!AJ491</f>
        <v>0</v>
      </c>
      <c r="L791">
        <f>'906MP'!U491</f>
        <v>0</v>
      </c>
      <c r="M791" s="322" t="str">
        <f>IFERROR(VLOOKUP(A791,PAR!$D$3:$E$53,2,FALSE),"nincs szervezet")</f>
        <v>nincs szervezet</v>
      </c>
      <c r="N791" s="322" t="str">
        <f>VLOOKUP(F791,PAR!$R$3:$S$5,2,FALSE)</f>
        <v>3 - egyik sem</v>
      </c>
      <c r="O791" t="str">
        <f>IFERROR(VLOOKUP(J791,PAR!$O$3:$P$5,2,FALSE),"nincs feladat")</f>
        <v>nincs feladat</v>
      </c>
      <c r="P791" t="str">
        <f>IFERROR(VLOOKUP(G791,PAR!$J$2:$M$19,4),"nincs rovat")</f>
        <v>nincs rovat</v>
      </c>
      <c r="Q791" t="str">
        <f>IF(H791&gt;0,VLOOKUP(H791,PAR!$AA$3:$AC$187,3,FALSE),"nincs főkönyvi számla")</f>
        <v>nincs főkönyvi számla</v>
      </c>
      <c r="R791" t="str">
        <f>IFERROR(VLOOKUP(K791,PAR!$V$3:$X$438,3,FALSE),"000000 - Nincs COFOG")</f>
        <v>000000 - Nincs COFOG</v>
      </c>
      <c r="S791">
        <f t="shared" si="240"/>
        <v>0</v>
      </c>
      <c r="T791">
        <f t="shared" si="241"/>
        <v>0</v>
      </c>
      <c r="U791" t="str">
        <f>IF('906MP'!J491&gt;0,CONCATENATE('906MP'!J491," - ",'906MP'!P491,", ",'906MP'!E491),"nincs megjegyzés")</f>
        <v>nincs megjegyzés</v>
      </c>
      <c r="V791" t="str">
        <f t="shared" si="228"/>
        <v>0P0</v>
      </c>
      <c r="W791" t="str">
        <f t="shared" si="229"/>
        <v>0P0</v>
      </c>
      <c r="X791" t="str">
        <f t="shared" si="230"/>
        <v>P0</v>
      </c>
      <c r="Y791" t="str">
        <f t="shared" si="231"/>
        <v>00</v>
      </c>
      <c r="Z791" t="str">
        <f t="shared" si="242"/>
        <v>00</v>
      </c>
      <c r="AA791" t="str">
        <f t="shared" si="232"/>
        <v>00</v>
      </c>
      <c r="AB791" t="str">
        <f t="shared" si="233"/>
        <v>00</v>
      </c>
      <c r="AC791" t="str">
        <f t="shared" si="234"/>
        <v>0P0</v>
      </c>
      <c r="AD791" t="str">
        <f t="shared" si="235"/>
        <v>P00</v>
      </c>
      <c r="AE791" t="str">
        <f t="shared" si="236"/>
        <v>0P0</v>
      </c>
      <c r="AF791" t="str">
        <f t="shared" si="237"/>
        <v>P00</v>
      </c>
      <c r="AG791" t="str">
        <f t="shared" si="243"/>
        <v>0P00</v>
      </c>
      <c r="AH791" t="str">
        <f t="shared" si="244"/>
        <v>P000</v>
      </c>
      <c r="AI791" t="str">
        <f t="shared" si="245"/>
        <v>0P00</v>
      </c>
      <c r="AJ791" t="str">
        <f t="shared" si="246"/>
        <v>P000</v>
      </c>
    </row>
    <row r="792" spans="1:36" x14ac:dyDescent="0.25">
      <c r="A792" s="325" t="str">
        <f>CONCATENATE("P",'906MP'!M492)</f>
        <v>P</v>
      </c>
      <c r="B792">
        <f>'906MP'!H492</f>
        <v>0</v>
      </c>
      <c r="C792">
        <f>'906MP'!J492</f>
        <v>0</v>
      </c>
      <c r="D792">
        <f>'906MP'!P492</f>
        <v>0</v>
      </c>
      <c r="E792">
        <f>'906MP'!X492</f>
        <v>0</v>
      </c>
      <c r="F792" t="str">
        <f t="shared" si="238"/>
        <v>0</v>
      </c>
      <c r="G792" t="str">
        <f t="shared" si="239"/>
        <v>0</v>
      </c>
      <c r="H792">
        <f>'906MP'!Y492</f>
        <v>0</v>
      </c>
      <c r="I792">
        <f>'906MP'!AK492</f>
        <v>0</v>
      </c>
      <c r="J792">
        <f>'906MP'!T492</f>
        <v>0</v>
      </c>
      <c r="K792">
        <f>'906MP'!AJ492</f>
        <v>0</v>
      </c>
      <c r="L792">
        <f>'906MP'!U492</f>
        <v>0</v>
      </c>
      <c r="M792" s="322" t="str">
        <f>IFERROR(VLOOKUP(A792,PAR!$D$3:$E$53,2,FALSE),"nincs szervezet")</f>
        <v>nincs szervezet</v>
      </c>
      <c r="N792" s="322" t="str">
        <f>VLOOKUP(F792,PAR!$R$3:$S$5,2,FALSE)</f>
        <v>3 - egyik sem</v>
      </c>
      <c r="O792" t="str">
        <f>IFERROR(VLOOKUP(J792,PAR!$O$3:$P$5,2,FALSE),"nincs feladat")</f>
        <v>nincs feladat</v>
      </c>
      <c r="P792" t="str">
        <f>IFERROR(VLOOKUP(G792,PAR!$J$2:$M$19,4),"nincs rovat")</f>
        <v>nincs rovat</v>
      </c>
      <c r="Q792" t="str">
        <f>IF(H792&gt;0,VLOOKUP(H792,PAR!$AA$3:$AC$187,3,FALSE),"nincs főkönyvi számla")</f>
        <v>nincs főkönyvi számla</v>
      </c>
      <c r="R792" t="str">
        <f>IFERROR(VLOOKUP(K792,PAR!$V$3:$X$438,3,FALSE),"000000 - Nincs COFOG")</f>
        <v>000000 - Nincs COFOG</v>
      </c>
      <c r="S792">
        <f t="shared" si="240"/>
        <v>0</v>
      </c>
      <c r="T792">
        <f t="shared" si="241"/>
        <v>0</v>
      </c>
      <c r="U792" t="str">
        <f>IF('906MP'!J492&gt;0,CONCATENATE('906MP'!J492," - ",'906MP'!P492,", ",'906MP'!E492),"nincs megjegyzés")</f>
        <v>nincs megjegyzés</v>
      </c>
      <c r="V792" t="str">
        <f t="shared" si="228"/>
        <v>0P0</v>
      </c>
      <c r="W792" t="str">
        <f t="shared" si="229"/>
        <v>0P0</v>
      </c>
      <c r="X792" t="str">
        <f t="shared" si="230"/>
        <v>P0</v>
      </c>
      <c r="Y792" t="str">
        <f t="shared" si="231"/>
        <v>00</v>
      </c>
      <c r="Z792" t="str">
        <f t="shared" si="242"/>
        <v>00</v>
      </c>
      <c r="AA792" t="str">
        <f t="shared" si="232"/>
        <v>00</v>
      </c>
      <c r="AB792" t="str">
        <f t="shared" si="233"/>
        <v>00</v>
      </c>
      <c r="AC792" t="str">
        <f t="shared" si="234"/>
        <v>0P0</v>
      </c>
      <c r="AD792" t="str">
        <f t="shared" si="235"/>
        <v>P00</v>
      </c>
      <c r="AE792" t="str">
        <f t="shared" si="236"/>
        <v>0P0</v>
      </c>
      <c r="AF792" t="str">
        <f t="shared" si="237"/>
        <v>P00</v>
      </c>
      <c r="AG792" t="str">
        <f t="shared" si="243"/>
        <v>0P00</v>
      </c>
      <c r="AH792" t="str">
        <f t="shared" si="244"/>
        <v>P000</v>
      </c>
      <c r="AI792" t="str">
        <f t="shared" si="245"/>
        <v>0P00</v>
      </c>
      <c r="AJ792" t="str">
        <f t="shared" si="246"/>
        <v>P000</v>
      </c>
    </row>
    <row r="793" spans="1:36" x14ac:dyDescent="0.25">
      <c r="A793" s="325" t="str">
        <f>CONCATENATE("P",'906MP'!M493)</f>
        <v>P</v>
      </c>
      <c r="B793">
        <f>'906MP'!H493</f>
        <v>0</v>
      </c>
      <c r="C793">
        <f>'906MP'!J493</f>
        <v>0</v>
      </c>
      <c r="D793">
        <f>'906MP'!P493</f>
        <v>0</v>
      </c>
      <c r="E793">
        <f>'906MP'!X493</f>
        <v>0</v>
      </c>
      <c r="F793" t="str">
        <f t="shared" si="238"/>
        <v>0</v>
      </c>
      <c r="G793" t="str">
        <f t="shared" si="239"/>
        <v>0</v>
      </c>
      <c r="H793">
        <f>'906MP'!Y493</f>
        <v>0</v>
      </c>
      <c r="I793">
        <f>'906MP'!AK493</f>
        <v>0</v>
      </c>
      <c r="J793">
        <f>'906MP'!T493</f>
        <v>0</v>
      </c>
      <c r="K793">
        <f>'906MP'!AJ493</f>
        <v>0</v>
      </c>
      <c r="L793">
        <f>'906MP'!U493</f>
        <v>0</v>
      </c>
      <c r="M793" s="322" t="str">
        <f>IFERROR(VLOOKUP(A793,PAR!$D$3:$E$53,2,FALSE),"nincs szervezet")</f>
        <v>nincs szervezet</v>
      </c>
      <c r="N793" s="322" t="str">
        <f>VLOOKUP(F793,PAR!$R$3:$S$5,2,FALSE)</f>
        <v>3 - egyik sem</v>
      </c>
      <c r="O793" t="str">
        <f>IFERROR(VLOOKUP(J793,PAR!$O$3:$P$5,2,FALSE),"nincs feladat")</f>
        <v>nincs feladat</v>
      </c>
      <c r="P793" t="str">
        <f>IFERROR(VLOOKUP(G793,PAR!$J$2:$M$19,4),"nincs rovat")</f>
        <v>nincs rovat</v>
      </c>
      <c r="Q793" t="str">
        <f>IF(H793&gt;0,VLOOKUP(H793,PAR!$AA$3:$AC$187,3,FALSE),"nincs főkönyvi számla")</f>
        <v>nincs főkönyvi számla</v>
      </c>
      <c r="R793" t="str">
        <f>IFERROR(VLOOKUP(K793,PAR!$V$3:$X$438,3,FALSE),"000000 - Nincs COFOG")</f>
        <v>000000 - Nincs COFOG</v>
      </c>
      <c r="S793">
        <f t="shared" si="240"/>
        <v>0</v>
      </c>
      <c r="T793">
        <f t="shared" si="241"/>
        <v>0</v>
      </c>
      <c r="U793" t="str">
        <f>IF('906MP'!J493&gt;0,CONCATENATE('906MP'!J493," - ",'906MP'!P493,", ",'906MP'!E493),"nincs megjegyzés")</f>
        <v>nincs megjegyzés</v>
      </c>
      <c r="V793" t="str">
        <f t="shared" si="228"/>
        <v>0P0</v>
      </c>
      <c r="W793" t="str">
        <f t="shared" si="229"/>
        <v>0P0</v>
      </c>
      <c r="X793" t="str">
        <f t="shared" si="230"/>
        <v>P0</v>
      </c>
      <c r="Y793" t="str">
        <f t="shared" si="231"/>
        <v>00</v>
      </c>
      <c r="Z793" t="str">
        <f t="shared" si="242"/>
        <v>00</v>
      </c>
      <c r="AA793" t="str">
        <f t="shared" si="232"/>
        <v>00</v>
      </c>
      <c r="AB793" t="str">
        <f t="shared" si="233"/>
        <v>00</v>
      </c>
      <c r="AC793" t="str">
        <f t="shared" si="234"/>
        <v>0P0</v>
      </c>
      <c r="AD793" t="str">
        <f t="shared" si="235"/>
        <v>P00</v>
      </c>
      <c r="AE793" t="str">
        <f t="shared" si="236"/>
        <v>0P0</v>
      </c>
      <c r="AF793" t="str">
        <f t="shared" si="237"/>
        <v>P00</v>
      </c>
      <c r="AG793" t="str">
        <f t="shared" si="243"/>
        <v>0P00</v>
      </c>
      <c r="AH793" t="str">
        <f t="shared" si="244"/>
        <v>P000</v>
      </c>
      <c r="AI793" t="str">
        <f t="shared" si="245"/>
        <v>0P00</v>
      </c>
      <c r="AJ793" t="str">
        <f t="shared" si="246"/>
        <v>P000</v>
      </c>
    </row>
    <row r="794" spans="1:36" x14ac:dyDescent="0.25">
      <c r="A794" s="325" t="str">
        <f>CONCATENATE("P",'906MP'!M494)</f>
        <v>P</v>
      </c>
      <c r="B794">
        <f>'906MP'!H494</f>
        <v>0</v>
      </c>
      <c r="C794">
        <f>'906MP'!J494</f>
        <v>0</v>
      </c>
      <c r="D794">
        <f>'906MP'!P494</f>
        <v>0</v>
      </c>
      <c r="E794">
        <f>'906MP'!X494</f>
        <v>0</v>
      </c>
      <c r="F794" t="str">
        <f t="shared" si="238"/>
        <v>0</v>
      </c>
      <c r="G794" t="str">
        <f t="shared" si="239"/>
        <v>0</v>
      </c>
      <c r="H794">
        <f>'906MP'!Y494</f>
        <v>0</v>
      </c>
      <c r="I794">
        <f>'906MP'!AK494</f>
        <v>0</v>
      </c>
      <c r="J794">
        <f>'906MP'!T494</f>
        <v>0</v>
      </c>
      <c r="K794">
        <f>'906MP'!AJ494</f>
        <v>0</v>
      </c>
      <c r="L794">
        <f>'906MP'!U494</f>
        <v>0</v>
      </c>
      <c r="M794" s="322" t="str">
        <f>IFERROR(VLOOKUP(A794,PAR!$D$3:$E$53,2,FALSE),"nincs szervezet")</f>
        <v>nincs szervezet</v>
      </c>
      <c r="N794" s="322" t="str">
        <f>VLOOKUP(F794,PAR!$R$3:$S$5,2,FALSE)</f>
        <v>3 - egyik sem</v>
      </c>
      <c r="O794" t="str">
        <f>IFERROR(VLOOKUP(J794,PAR!$O$3:$P$5,2,FALSE),"nincs feladat")</f>
        <v>nincs feladat</v>
      </c>
      <c r="P794" t="str">
        <f>IFERROR(VLOOKUP(G794,PAR!$J$2:$M$19,4),"nincs rovat")</f>
        <v>nincs rovat</v>
      </c>
      <c r="Q794" t="str">
        <f>IF(H794&gt;0,VLOOKUP(H794,PAR!$AA$3:$AC$187,3,FALSE),"nincs főkönyvi számla")</f>
        <v>nincs főkönyvi számla</v>
      </c>
      <c r="R794" t="str">
        <f>IFERROR(VLOOKUP(K794,PAR!$V$3:$X$438,3,FALSE),"000000 - Nincs COFOG")</f>
        <v>000000 - Nincs COFOG</v>
      </c>
      <c r="S794">
        <f t="shared" si="240"/>
        <v>0</v>
      </c>
      <c r="T794">
        <f t="shared" si="241"/>
        <v>0</v>
      </c>
      <c r="U794" t="str">
        <f>IF('906MP'!J494&gt;0,CONCATENATE('906MP'!J494," - ",'906MP'!P494,", ",'906MP'!E494),"nincs megjegyzés")</f>
        <v>nincs megjegyzés</v>
      </c>
      <c r="V794" t="str">
        <f t="shared" si="228"/>
        <v>0P0</v>
      </c>
      <c r="W794" t="str">
        <f t="shared" si="229"/>
        <v>0P0</v>
      </c>
      <c r="X794" t="str">
        <f t="shared" si="230"/>
        <v>P0</v>
      </c>
      <c r="Y794" t="str">
        <f t="shared" si="231"/>
        <v>00</v>
      </c>
      <c r="Z794" t="str">
        <f t="shared" si="242"/>
        <v>00</v>
      </c>
      <c r="AA794" t="str">
        <f t="shared" si="232"/>
        <v>00</v>
      </c>
      <c r="AB794" t="str">
        <f t="shared" si="233"/>
        <v>00</v>
      </c>
      <c r="AC794" t="str">
        <f t="shared" si="234"/>
        <v>0P0</v>
      </c>
      <c r="AD794" t="str">
        <f t="shared" si="235"/>
        <v>P00</v>
      </c>
      <c r="AE794" t="str">
        <f t="shared" si="236"/>
        <v>0P0</v>
      </c>
      <c r="AF794" t="str">
        <f t="shared" si="237"/>
        <v>P00</v>
      </c>
      <c r="AG794" t="str">
        <f t="shared" si="243"/>
        <v>0P00</v>
      </c>
      <c r="AH794" t="str">
        <f t="shared" si="244"/>
        <v>P000</v>
      </c>
      <c r="AI794" t="str">
        <f t="shared" si="245"/>
        <v>0P00</v>
      </c>
      <c r="AJ794" t="str">
        <f t="shared" si="246"/>
        <v>P000</v>
      </c>
    </row>
    <row r="795" spans="1:36" x14ac:dyDescent="0.25">
      <c r="A795" s="325" t="str">
        <f>CONCATENATE("P",'906MP'!M495)</f>
        <v>P</v>
      </c>
      <c r="B795">
        <f>'906MP'!H495</f>
        <v>0</v>
      </c>
      <c r="C795">
        <f>'906MP'!J495</f>
        <v>0</v>
      </c>
      <c r="D795">
        <f>'906MP'!P495</f>
        <v>0</v>
      </c>
      <c r="E795">
        <f>'906MP'!X495</f>
        <v>0</v>
      </c>
      <c r="F795" t="str">
        <f t="shared" si="238"/>
        <v>0</v>
      </c>
      <c r="G795" t="str">
        <f t="shared" si="239"/>
        <v>0</v>
      </c>
      <c r="H795">
        <f>'906MP'!Y495</f>
        <v>0</v>
      </c>
      <c r="I795">
        <f>'906MP'!AK495</f>
        <v>0</v>
      </c>
      <c r="J795">
        <f>'906MP'!T495</f>
        <v>0</v>
      </c>
      <c r="K795">
        <f>'906MP'!AJ495</f>
        <v>0</v>
      </c>
      <c r="L795">
        <f>'906MP'!U495</f>
        <v>0</v>
      </c>
      <c r="M795" s="322" t="str">
        <f>IFERROR(VLOOKUP(A795,PAR!$D$3:$E$53,2,FALSE),"nincs szervezet")</f>
        <v>nincs szervezet</v>
      </c>
      <c r="N795" s="322" t="str">
        <f>VLOOKUP(F795,PAR!$R$3:$S$5,2,FALSE)</f>
        <v>3 - egyik sem</v>
      </c>
      <c r="O795" t="str">
        <f>IFERROR(VLOOKUP(J795,PAR!$O$3:$P$5,2,FALSE),"nincs feladat")</f>
        <v>nincs feladat</v>
      </c>
      <c r="P795" t="str">
        <f>IFERROR(VLOOKUP(G795,PAR!$J$2:$M$19,4),"nincs rovat")</f>
        <v>nincs rovat</v>
      </c>
      <c r="Q795" t="str">
        <f>IF(H795&gt;0,VLOOKUP(H795,PAR!$AA$3:$AC$187,3,FALSE),"nincs főkönyvi számla")</f>
        <v>nincs főkönyvi számla</v>
      </c>
      <c r="R795" t="str">
        <f>IFERROR(VLOOKUP(K795,PAR!$V$3:$X$438,3,FALSE),"000000 - Nincs COFOG")</f>
        <v>000000 - Nincs COFOG</v>
      </c>
      <c r="S795">
        <f t="shared" si="240"/>
        <v>0</v>
      </c>
      <c r="T795">
        <f t="shared" si="241"/>
        <v>0</v>
      </c>
      <c r="U795" t="str">
        <f>IF('906MP'!J495&gt;0,CONCATENATE('906MP'!J495," - ",'906MP'!P495,", ",'906MP'!E495),"nincs megjegyzés")</f>
        <v>nincs megjegyzés</v>
      </c>
      <c r="V795" t="str">
        <f t="shared" si="228"/>
        <v>0P0</v>
      </c>
      <c r="W795" t="str">
        <f t="shared" si="229"/>
        <v>0P0</v>
      </c>
      <c r="X795" t="str">
        <f t="shared" si="230"/>
        <v>P0</v>
      </c>
      <c r="Y795" t="str">
        <f t="shared" si="231"/>
        <v>00</v>
      </c>
      <c r="Z795" t="str">
        <f t="shared" si="242"/>
        <v>00</v>
      </c>
      <c r="AA795" t="str">
        <f t="shared" si="232"/>
        <v>00</v>
      </c>
      <c r="AB795" t="str">
        <f t="shared" si="233"/>
        <v>00</v>
      </c>
      <c r="AC795" t="str">
        <f t="shared" si="234"/>
        <v>0P0</v>
      </c>
      <c r="AD795" t="str">
        <f t="shared" si="235"/>
        <v>P00</v>
      </c>
      <c r="AE795" t="str">
        <f t="shared" si="236"/>
        <v>0P0</v>
      </c>
      <c r="AF795" t="str">
        <f t="shared" si="237"/>
        <v>P00</v>
      </c>
      <c r="AG795" t="str">
        <f t="shared" si="243"/>
        <v>0P00</v>
      </c>
      <c r="AH795" t="str">
        <f t="shared" si="244"/>
        <v>P000</v>
      </c>
      <c r="AI795" t="str">
        <f t="shared" si="245"/>
        <v>0P00</v>
      </c>
      <c r="AJ795" t="str">
        <f t="shared" si="246"/>
        <v>P000</v>
      </c>
    </row>
    <row r="796" spans="1:36" x14ac:dyDescent="0.25">
      <c r="A796" s="325" t="str">
        <f>CONCATENATE("P",'906MP'!M496)</f>
        <v>P</v>
      </c>
      <c r="B796">
        <f>'906MP'!H496</f>
        <v>0</v>
      </c>
      <c r="C796">
        <f>'906MP'!J496</f>
        <v>0</v>
      </c>
      <c r="D796">
        <f>'906MP'!P496</f>
        <v>0</v>
      </c>
      <c r="E796">
        <f>'906MP'!X496</f>
        <v>0</v>
      </c>
      <c r="F796" t="str">
        <f t="shared" si="238"/>
        <v>0</v>
      </c>
      <c r="G796" t="str">
        <f t="shared" si="239"/>
        <v>0</v>
      </c>
      <c r="H796">
        <f>'906MP'!Y496</f>
        <v>0</v>
      </c>
      <c r="I796">
        <f>'906MP'!AK496</f>
        <v>0</v>
      </c>
      <c r="J796">
        <f>'906MP'!T496</f>
        <v>0</v>
      </c>
      <c r="K796">
        <f>'906MP'!AJ496</f>
        <v>0</v>
      </c>
      <c r="L796">
        <f>'906MP'!U496</f>
        <v>0</v>
      </c>
      <c r="M796" s="322" t="str">
        <f>IFERROR(VLOOKUP(A796,PAR!$D$3:$E$53,2,FALSE),"nincs szervezet")</f>
        <v>nincs szervezet</v>
      </c>
      <c r="N796" s="322" t="str">
        <f>VLOOKUP(F796,PAR!$R$3:$S$5,2,FALSE)</f>
        <v>3 - egyik sem</v>
      </c>
      <c r="O796" t="str">
        <f>IFERROR(VLOOKUP(J796,PAR!$O$3:$P$5,2,FALSE),"nincs feladat")</f>
        <v>nincs feladat</v>
      </c>
      <c r="P796" t="str">
        <f>IFERROR(VLOOKUP(G796,PAR!$J$2:$M$19,4),"nincs rovat")</f>
        <v>nincs rovat</v>
      </c>
      <c r="Q796" t="str">
        <f>IF(H796&gt;0,VLOOKUP(H796,PAR!$AA$3:$AC$187,3,FALSE),"nincs főkönyvi számla")</f>
        <v>nincs főkönyvi számla</v>
      </c>
      <c r="R796" t="str">
        <f>IFERROR(VLOOKUP(K796,PAR!$V$3:$X$438,3,FALSE),"000000 - Nincs COFOG")</f>
        <v>000000 - Nincs COFOG</v>
      </c>
      <c r="S796">
        <f t="shared" si="240"/>
        <v>0</v>
      </c>
      <c r="T796">
        <f t="shared" si="241"/>
        <v>0</v>
      </c>
      <c r="U796" t="str">
        <f>IF('906MP'!J496&gt;0,CONCATENATE('906MP'!J496," - ",'906MP'!P496,", ",'906MP'!E496),"nincs megjegyzés")</f>
        <v>nincs megjegyzés</v>
      </c>
      <c r="V796" t="str">
        <f t="shared" si="228"/>
        <v>0P0</v>
      </c>
      <c r="W796" t="str">
        <f t="shared" si="229"/>
        <v>0P0</v>
      </c>
      <c r="X796" t="str">
        <f t="shared" si="230"/>
        <v>P0</v>
      </c>
      <c r="Y796" t="str">
        <f t="shared" si="231"/>
        <v>00</v>
      </c>
      <c r="Z796" t="str">
        <f t="shared" si="242"/>
        <v>00</v>
      </c>
      <c r="AA796" t="str">
        <f t="shared" si="232"/>
        <v>00</v>
      </c>
      <c r="AB796" t="str">
        <f t="shared" si="233"/>
        <v>00</v>
      </c>
      <c r="AC796" t="str">
        <f t="shared" si="234"/>
        <v>0P0</v>
      </c>
      <c r="AD796" t="str">
        <f t="shared" si="235"/>
        <v>P00</v>
      </c>
      <c r="AE796" t="str">
        <f t="shared" si="236"/>
        <v>0P0</v>
      </c>
      <c r="AF796" t="str">
        <f t="shared" si="237"/>
        <v>P00</v>
      </c>
      <c r="AG796" t="str">
        <f t="shared" si="243"/>
        <v>0P00</v>
      </c>
      <c r="AH796" t="str">
        <f t="shared" si="244"/>
        <v>P000</v>
      </c>
      <c r="AI796" t="str">
        <f t="shared" si="245"/>
        <v>0P00</v>
      </c>
      <c r="AJ796" t="str">
        <f t="shared" si="246"/>
        <v>P000</v>
      </c>
    </row>
    <row r="797" spans="1:36" x14ac:dyDescent="0.25">
      <c r="A797" s="325" t="str">
        <f>CONCATENATE("P",'906MP'!M497)</f>
        <v>P</v>
      </c>
      <c r="B797">
        <f>'906MP'!H497</f>
        <v>0</v>
      </c>
      <c r="C797">
        <f>'906MP'!J497</f>
        <v>0</v>
      </c>
      <c r="D797">
        <f>'906MP'!P497</f>
        <v>0</v>
      </c>
      <c r="E797">
        <f>'906MP'!X497</f>
        <v>0</v>
      </c>
      <c r="F797" t="str">
        <f t="shared" si="238"/>
        <v>0</v>
      </c>
      <c r="G797" t="str">
        <f t="shared" si="239"/>
        <v>0</v>
      </c>
      <c r="H797">
        <f>'906MP'!Y497</f>
        <v>0</v>
      </c>
      <c r="I797">
        <f>'906MP'!AK497</f>
        <v>0</v>
      </c>
      <c r="J797">
        <f>'906MP'!T497</f>
        <v>0</v>
      </c>
      <c r="K797">
        <f>'906MP'!AJ497</f>
        <v>0</v>
      </c>
      <c r="L797">
        <f>'906MP'!U497</f>
        <v>0</v>
      </c>
      <c r="M797" s="322" t="str">
        <f>IFERROR(VLOOKUP(A797,PAR!$D$3:$E$53,2,FALSE),"nincs szervezet")</f>
        <v>nincs szervezet</v>
      </c>
      <c r="N797" s="322" t="str">
        <f>VLOOKUP(F797,PAR!$R$3:$S$5,2,FALSE)</f>
        <v>3 - egyik sem</v>
      </c>
      <c r="O797" t="str">
        <f>IFERROR(VLOOKUP(J797,PAR!$O$3:$P$5,2,FALSE),"nincs feladat")</f>
        <v>nincs feladat</v>
      </c>
      <c r="P797" t="str">
        <f>IFERROR(VLOOKUP(G797,PAR!$J$2:$M$19,4),"nincs rovat")</f>
        <v>nincs rovat</v>
      </c>
      <c r="Q797" t="str">
        <f>IF(H797&gt;0,VLOOKUP(H797,PAR!$AA$3:$AC$187,3,FALSE),"nincs főkönyvi számla")</f>
        <v>nincs főkönyvi számla</v>
      </c>
      <c r="R797" t="str">
        <f>IFERROR(VLOOKUP(K797,PAR!$V$3:$X$438,3,FALSE),"000000 - Nincs COFOG")</f>
        <v>000000 - Nincs COFOG</v>
      </c>
      <c r="S797">
        <f t="shared" si="240"/>
        <v>0</v>
      </c>
      <c r="T797">
        <f t="shared" si="241"/>
        <v>0</v>
      </c>
      <c r="U797" t="str">
        <f>IF('906MP'!J497&gt;0,CONCATENATE('906MP'!J497," - ",'906MP'!P497,", ",'906MP'!E497),"nincs megjegyzés")</f>
        <v>nincs megjegyzés</v>
      </c>
      <c r="V797" t="str">
        <f t="shared" si="228"/>
        <v>0P0</v>
      </c>
      <c r="W797" t="str">
        <f t="shared" si="229"/>
        <v>0P0</v>
      </c>
      <c r="X797" t="str">
        <f t="shared" si="230"/>
        <v>P0</v>
      </c>
      <c r="Y797" t="str">
        <f t="shared" si="231"/>
        <v>00</v>
      </c>
      <c r="Z797" t="str">
        <f t="shared" si="242"/>
        <v>00</v>
      </c>
      <c r="AA797" t="str">
        <f t="shared" si="232"/>
        <v>00</v>
      </c>
      <c r="AB797" t="str">
        <f t="shared" si="233"/>
        <v>00</v>
      </c>
      <c r="AC797" t="str">
        <f t="shared" si="234"/>
        <v>0P0</v>
      </c>
      <c r="AD797" t="str">
        <f t="shared" si="235"/>
        <v>P00</v>
      </c>
      <c r="AE797" t="str">
        <f t="shared" si="236"/>
        <v>0P0</v>
      </c>
      <c r="AF797" t="str">
        <f t="shared" si="237"/>
        <v>P00</v>
      </c>
      <c r="AG797" t="str">
        <f t="shared" si="243"/>
        <v>0P00</v>
      </c>
      <c r="AH797" t="str">
        <f t="shared" si="244"/>
        <v>P000</v>
      </c>
      <c r="AI797" t="str">
        <f t="shared" si="245"/>
        <v>0P00</v>
      </c>
      <c r="AJ797" t="str">
        <f t="shared" si="246"/>
        <v>P000</v>
      </c>
    </row>
    <row r="798" spans="1:36" x14ac:dyDescent="0.25">
      <c r="A798" s="325" t="str">
        <f>CONCATENATE("P",'906MP'!M498)</f>
        <v>P</v>
      </c>
      <c r="B798">
        <f>'906MP'!H498</f>
        <v>0</v>
      </c>
      <c r="C798">
        <f>'906MP'!J498</f>
        <v>0</v>
      </c>
      <c r="D798">
        <f>'906MP'!P498</f>
        <v>0</v>
      </c>
      <c r="E798">
        <f>'906MP'!X498</f>
        <v>0</v>
      </c>
      <c r="F798" t="str">
        <f t="shared" si="238"/>
        <v>0</v>
      </c>
      <c r="G798" t="str">
        <f t="shared" si="239"/>
        <v>0</v>
      </c>
      <c r="H798">
        <f>'906MP'!Y498</f>
        <v>0</v>
      </c>
      <c r="I798">
        <f>'906MP'!AK498</f>
        <v>0</v>
      </c>
      <c r="J798">
        <f>'906MP'!T498</f>
        <v>0</v>
      </c>
      <c r="K798">
        <f>'906MP'!AJ498</f>
        <v>0</v>
      </c>
      <c r="L798">
        <f>'906MP'!U498</f>
        <v>0</v>
      </c>
      <c r="M798" s="322" t="str">
        <f>IFERROR(VLOOKUP(A798,PAR!$D$3:$E$53,2,FALSE),"nincs szervezet")</f>
        <v>nincs szervezet</v>
      </c>
      <c r="N798" s="322" t="str">
        <f>VLOOKUP(F798,PAR!$R$3:$S$5,2,FALSE)</f>
        <v>3 - egyik sem</v>
      </c>
      <c r="O798" t="str">
        <f>IFERROR(VLOOKUP(J798,PAR!$O$3:$P$5,2,FALSE),"nincs feladat")</f>
        <v>nincs feladat</v>
      </c>
      <c r="P798" t="str">
        <f>IFERROR(VLOOKUP(G798,PAR!$J$2:$M$19,4),"nincs rovat")</f>
        <v>nincs rovat</v>
      </c>
      <c r="Q798" t="str">
        <f>IF(H798&gt;0,VLOOKUP(H798,PAR!$AA$3:$AC$187,3,FALSE),"nincs főkönyvi számla")</f>
        <v>nincs főkönyvi számla</v>
      </c>
      <c r="R798" t="str">
        <f>IFERROR(VLOOKUP(K798,PAR!$V$3:$X$438,3,FALSE),"000000 - Nincs COFOG")</f>
        <v>000000 - Nincs COFOG</v>
      </c>
      <c r="S798">
        <f t="shared" si="240"/>
        <v>0</v>
      </c>
      <c r="T798">
        <f t="shared" si="241"/>
        <v>0</v>
      </c>
      <c r="U798" t="str">
        <f>IF('906MP'!J498&gt;0,CONCATENATE('906MP'!J498," - ",'906MP'!P498,", ",'906MP'!E498),"nincs megjegyzés")</f>
        <v>nincs megjegyzés</v>
      </c>
      <c r="V798" t="str">
        <f t="shared" si="228"/>
        <v>0P0</v>
      </c>
      <c r="W798" t="str">
        <f t="shared" si="229"/>
        <v>0P0</v>
      </c>
      <c r="X798" t="str">
        <f t="shared" si="230"/>
        <v>P0</v>
      </c>
      <c r="Y798" t="str">
        <f t="shared" si="231"/>
        <v>00</v>
      </c>
      <c r="Z798" t="str">
        <f t="shared" si="242"/>
        <v>00</v>
      </c>
      <c r="AA798" t="str">
        <f t="shared" si="232"/>
        <v>00</v>
      </c>
      <c r="AB798" t="str">
        <f t="shared" si="233"/>
        <v>00</v>
      </c>
      <c r="AC798" t="str">
        <f t="shared" si="234"/>
        <v>0P0</v>
      </c>
      <c r="AD798" t="str">
        <f t="shared" si="235"/>
        <v>P00</v>
      </c>
      <c r="AE798" t="str">
        <f t="shared" si="236"/>
        <v>0P0</v>
      </c>
      <c r="AF798" t="str">
        <f t="shared" si="237"/>
        <v>P00</v>
      </c>
      <c r="AG798" t="str">
        <f t="shared" si="243"/>
        <v>0P00</v>
      </c>
      <c r="AH798" t="str">
        <f t="shared" si="244"/>
        <v>P000</v>
      </c>
      <c r="AI798" t="str">
        <f t="shared" si="245"/>
        <v>0P00</v>
      </c>
      <c r="AJ798" t="str">
        <f t="shared" si="246"/>
        <v>P000</v>
      </c>
    </row>
    <row r="799" spans="1:36" x14ac:dyDescent="0.25">
      <c r="A799" s="325" t="str">
        <f>CONCATENATE("P",'906MP'!M499)</f>
        <v>P</v>
      </c>
      <c r="B799">
        <f>'906MP'!H499</f>
        <v>0</v>
      </c>
      <c r="C799">
        <f>'906MP'!J499</f>
        <v>0</v>
      </c>
      <c r="D799">
        <f>'906MP'!P499</f>
        <v>0</v>
      </c>
      <c r="E799">
        <f>'906MP'!X499</f>
        <v>0</v>
      </c>
      <c r="F799" t="str">
        <f t="shared" si="238"/>
        <v>0</v>
      </c>
      <c r="G799" t="str">
        <f t="shared" si="239"/>
        <v>0</v>
      </c>
      <c r="H799">
        <f>'906MP'!Y499</f>
        <v>0</v>
      </c>
      <c r="I799">
        <f>'906MP'!AK499</f>
        <v>0</v>
      </c>
      <c r="J799">
        <f>'906MP'!T499</f>
        <v>0</v>
      </c>
      <c r="K799">
        <f>'906MP'!AJ499</f>
        <v>0</v>
      </c>
      <c r="L799">
        <f>'906MP'!U499</f>
        <v>0</v>
      </c>
      <c r="M799" s="322" t="str">
        <f>IFERROR(VLOOKUP(A799,PAR!$D$3:$E$53,2,FALSE),"nincs szervezet")</f>
        <v>nincs szervezet</v>
      </c>
      <c r="N799" s="322" t="str">
        <f>VLOOKUP(F799,PAR!$R$3:$S$5,2,FALSE)</f>
        <v>3 - egyik sem</v>
      </c>
      <c r="O799" t="str">
        <f>IFERROR(VLOOKUP(J799,PAR!$O$3:$P$5,2,FALSE),"nincs feladat")</f>
        <v>nincs feladat</v>
      </c>
      <c r="P799" t="str">
        <f>IFERROR(VLOOKUP(G799,PAR!$J$2:$M$19,4),"nincs rovat")</f>
        <v>nincs rovat</v>
      </c>
      <c r="Q799" t="str">
        <f>IF(H799&gt;0,VLOOKUP(H799,PAR!$AA$3:$AC$187,3,FALSE),"nincs főkönyvi számla")</f>
        <v>nincs főkönyvi számla</v>
      </c>
      <c r="R799" t="str">
        <f>IFERROR(VLOOKUP(K799,PAR!$V$3:$X$438,3,FALSE),"000000 - Nincs COFOG")</f>
        <v>000000 - Nincs COFOG</v>
      </c>
      <c r="S799">
        <f t="shared" si="240"/>
        <v>0</v>
      </c>
      <c r="T799">
        <f t="shared" si="241"/>
        <v>0</v>
      </c>
      <c r="U799" t="str">
        <f>IF('906MP'!J499&gt;0,CONCATENATE('906MP'!J499," - ",'906MP'!P499,", ",'906MP'!E499),"nincs megjegyzés")</f>
        <v>nincs megjegyzés</v>
      </c>
      <c r="V799" t="str">
        <f t="shared" si="228"/>
        <v>0P0</v>
      </c>
      <c r="W799" t="str">
        <f t="shared" si="229"/>
        <v>0P0</v>
      </c>
      <c r="X799" t="str">
        <f t="shared" si="230"/>
        <v>P0</v>
      </c>
      <c r="Y799" t="str">
        <f t="shared" si="231"/>
        <v>00</v>
      </c>
      <c r="Z799" t="str">
        <f t="shared" si="242"/>
        <v>00</v>
      </c>
      <c r="AA799" t="str">
        <f t="shared" si="232"/>
        <v>00</v>
      </c>
      <c r="AB799" t="str">
        <f t="shared" si="233"/>
        <v>00</v>
      </c>
      <c r="AC799" t="str">
        <f t="shared" si="234"/>
        <v>0P0</v>
      </c>
      <c r="AD799" t="str">
        <f t="shared" si="235"/>
        <v>P00</v>
      </c>
      <c r="AE799" t="str">
        <f t="shared" si="236"/>
        <v>0P0</v>
      </c>
      <c r="AF799" t="str">
        <f t="shared" si="237"/>
        <v>P00</v>
      </c>
      <c r="AG799" t="str">
        <f t="shared" si="243"/>
        <v>0P00</v>
      </c>
      <c r="AH799" t="str">
        <f t="shared" si="244"/>
        <v>P000</v>
      </c>
      <c r="AI799" t="str">
        <f t="shared" si="245"/>
        <v>0P00</v>
      </c>
      <c r="AJ799" t="str">
        <f t="shared" si="246"/>
        <v>P000</v>
      </c>
    </row>
    <row r="800" spans="1:36" x14ac:dyDescent="0.25">
      <c r="A800" s="325" t="str">
        <f>CONCATENATE("P",'906MP'!M500)</f>
        <v>P</v>
      </c>
      <c r="B800">
        <f>'906MP'!H500</f>
        <v>0</v>
      </c>
      <c r="C800">
        <f>'906MP'!J500</f>
        <v>0</v>
      </c>
      <c r="D800">
        <f>'906MP'!P500</f>
        <v>0</v>
      </c>
      <c r="E800">
        <f>'906MP'!X500</f>
        <v>0</v>
      </c>
      <c r="F800" t="str">
        <f t="shared" si="238"/>
        <v>0</v>
      </c>
      <c r="G800" t="str">
        <f t="shared" si="239"/>
        <v>0</v>
      </c>
      <c r="H800">
        <f>'906MP'!Y500</f>
        <v>0</v>
      </c>
      <c r="I800">
        <f>'906MP'!AK500</f>
        <v>0</v>
      </c>
      <c r="J800">
        <f>'906MP'!T500</f>
        <v>0</v>
      </c>
      <c r="K800">
        <f>'906MP'!AJ500</f>
        <v>0</v>
      </c>
      <c r="L800">
        <f>'906MP'!U500</f>
        <v>0</v>
      </c>
      <c r="M800" s="322" t="str">
        <f>IFERROR(VLOOKUP(A800,PAR!$D$3:$E$53,2,FALSE),"nincs szervezet")</f>
        <v>nincs szervezet</v>
      </c>
      <c r="N800" s="322" t="str">
        <f>VLOOKUP(F800,PAR!$R$3:$S$5,2,FALSE)</f>
        <v>3 - egyik sem</v>
      </c>
      <c r="O800" t="str">
        <f>IFERROR(VLOOKUP(J800,PAR!$O$3:$P$5,2,FALSE),"nincs feladat")</f>
        <v>nincs feladat</v>
      </c>
      <c r="P800" t="str">
        <f>IFERROR(VLOOKUP(G800,PAR!$J$2:$M$19,4),"nincs rovat")</f>
        <v>nincs rovat</v>
      </c>
      <c r="Q800" t="str">
        <f>IF(H800&gt;0,VLOOKUP(H800,PAR!$AA$3:$AC$187,3,FALSE),"nincs főkönyvi számla")</f>
        <v>nincs főkönyvi számla</v>
      </c>
      <c r="R800" t="str">
        <f>IFERROR(VLOOKUP(K800,PAR!$V$3:$X$438,3,FALSE),"000000 - Nincs COFOG")</f>
        <v>000000 - Nincs COFOG</v>
      </c>
      <c r="S800">
        <f t="shared" si="240"/>
        <v>0</v>
      </c>
      <c r="T800">
        <f t="shared" si="241"/>
        <v>0</v>
      </c>
      <c r="U800" t="str">
        <f>IF('906MP'!J500&gt;0,CONCATENATE('906MP'!J500," - ",'906MP'!P500,", ",'906MP'!E500),"nincs megjegyzés")</f>
        <v>nincs megjegyzés</v>
      </c>
      <c r="V800" t="str">
        <f t="shared" si="228"/>
        <v>0P0</v>
      </c>
      <c r="W800" t="str">
        <f t="shared" si="229"/>
        <v>0P0</v>
      </c>
      <c r="X800" t="str">
        <f t="shared" si="230"/>
        <v>P0</v>
      </c>
      <c r="Y800" t="str">
        <f t="shared" si="231"/>
        <v>00</v>
      </c>
      <c r="Z800" t="str">
        <f t="shared" si="242"/>
        <v>00</v>
      </c>
      <c r="AA800" t="str">
        <f t="shared" si="232"/>
        <v>00</v>
      </c>
      <c r="AB800" t="str">
        <f t="shared" si="233"/>
        <v>00</v>
      </c>
      <c r="AC800" t="str">
        <f t="shared" si="234"/>
        <v>0P0</v>
      </c>
      <c r="AD800" t="str">
        <f t="shared" si="235"/>
        <v>P00</v>
      </c>
      <c r="AE800" t="str">
        <f t="shared" si="236"/>
        <v>0P0</v>
      </c>
      <c r="AF800" t="str">
        <f t="shared" si="237"/>
        <v>P00</v>
      </c>
      <c r="AG800" t="str">
        <f t="shared" si="243"/>
        <v>0P00</v>
      </c>
      <c r="AH800" t="str">
        <f t="shared" si="244"/>
        <v>P000</v>
      </c>
      <c r="AI800" t="str">
        <f t="shared" si="245"/>
        <v>0P00</v>
      </c>
      <c r="AJ800" t="str">
        <f t="shared" si="246"/>
        <v>P000</v>
      </c>
    </row>
    <row r="801" spans="1:36" x14ac:dyDescent="0.25">
      <c r="A801" s="325" t="str">
        <f>CONCATENATE("P",'906MP'!M501)</f>
        <v>P</v>
      </c>
      <c r="B801">
        <f>'906MP'!H501</f>
        <v>0</v>
      </c>
      <c r="C801">
        <f>'906MP'!J501</f>
        <v>0</v>
      </c>
      <c r="D801">
        <f>'906MP'!P501</f>
        <v>0</v>
      </c>
      <c r="E801">
        <f>'906MP'!X501</f>
        <v>0</v>
      </c>
      <c r="F801" t="str">
        <f t="shared" si="238"/>
        <v>0</v>
      </c>
      <c r="G801" t="str">
        <f t="shared" si="239"/>
        <v>0</v>
      </c>
      <c r="H801">
        <f>'906MP'!Y501</f>
        <v>0</v>
      </c>
      <c r="I801">
        <f>'906MP'!AK501</f>
        <v>0</v>
      </c>
      <c r="J801">
        <f>'906MP'!T501</f>
        <v>0</v>
      </c>
      <c r="K801">
        <f>'906MP'!AJ501</f>
        <v>0</v>
      </c>
      <c r="L801">
        <f>'906MP'!U501</f>
        <v>0</v>
      </c>
      <c r="M801" s="322" t="str">
        <f>IFERROR(VLOOKUP(A801,PAR!$D$3:$E$53,2,FALSE),"nincs szervezet")</f>
        <v>nincs szervezet</v>
      </c>
      <c r="N801" s="322" t="str">
        <f>VLOOKUP(F801,PAR!$R$3:$S$5,2,FALSE)</f>
        <v>3 - egyik sem</v>
      </c>
      <c r="O801" t="str">
        <f>IFERROR(VLOOKUP(J801,PAR!$O$3:$P$5,2,FALSE),"nincs feladat")</f>
        <v>nincs feladat</v>
      </c>
      <c r="P801" t="str">
        <f>IFERROR(VLOOKUP(G801,PAR!$J$2:$M$19,4),"nincs rovat")</f>
        <v>nincs rovat</v>
      </c>
      <c r="Q801" t="str">
        <f>IF(H801&gt;0,VLOOKUP(H801,PAR!$AA$3:$AC$187,3,FALSE),"nincs főkönyvi számla")</f>
        <v>nincs főkönyvi számla</v>
      </c>
      <c r="R801" t="str">
        <f>IFERROR(VLOOKUP(K801,PAR!$V$3:$X$438,3,FALSE),"000000 - Nincs COFOG")</f>
        <v>000000 - Nincs COFOG</v>
      </c>
      <c r="S801">
        <f t="shared" si="240"/>
        <v>0</v>
      </c>
      <c r="T801">
        <f t="shared" si="241"/>
        <v>0</v>
      </c>
      <c r="U801" t="str">
        <f>IF('906MP'!J501&gt;0,CONCATENATE('906MP'!J501," - ",'906MP'!P501,", ",'906MP'!E501),"nincs megjegyzés")</f>
        <v>nincs megjegyzés</v>
      </c>
      <c r="V801" t="str">
        <f t="shared" si="228"/>
        <v>0P0</v>
      </c>
      <c r="W801" t="str">
        <f t="shared" si="229"/>
        <v>0P0</v>
      </c>
      <c r="X801" t="str">
        <f t="shared" si="230"/>
        <v>P0</v>
      </c>
      <c r="Y801" t="str">
        <f t="shared" si="231"/>
        <v>00</v>
      </c>
      <c r="Z801" t="str">
        <f t="shared" si="242"/>
        <v>00</v>
      </c>
      <c r="AA801" t="str">
        <f t="shared" si="232"/>
        <v>00</v>
      </c>
      <c r="AB801" t="str">
        <f t="shared" si="233"/>
        <v>00</v>
      </c>
      <c r="AC801" t="str">
        <f t="shared" si="234"/>
        <v>0P0</v>
      </c>
      <c r="AD801" t="str">
        <f t="shared" si="235"/>
        <v>P00</v>
      </c>
      <c r="AE801" t="str">
        <f t="shared" si="236"/>
        <v>0P0</v>
      </c>
      <c r="AF801" t="str">
        <f t="shared" si="237"/>
        <v>P00</v>
      </c>
      <c r="AG801" t="str">
        <f t="shared" si="243"/>
        <v>0P00</v>
      </c>
      <c r="AH801" t="str">
        <f t="shared" si="244"/>
        <v>P000</v>
      </c>
      <c r="AI801" t="str">
        <f t="shared" si="245"/>
        <v>0P00</v>
      </c>
      <c r="AJ801" t="str">
        <f t="shared" si="246"/>
        <v>P000</v>
      </c>
    </row>
    <row r="802" spans="1:36" x14ac:dyDescent="0.25">
      <c r="A802" s="325" t="str">
        <f>CONCATENATE("P",'906MP'!M502)</f>
        <v>P</v>
      </c>
      <c r="B802">
        <f>'906MP'!H502</f>
        <v>0</v>
      </c>
      <c r="C802">
        <f>'906MP'!J502</f>
        <v>0</v>
      </c>
      <c r="D802">
        <f>'906MP'!P502</f>
        <v>0</v>
      </c>
      <c r="E802">
        <f>'906MP'!X502</f>
        <v>0</v>
      </c>
      <c r="F802" t="str">
        <f t="shared" si="238"/>
        <v>0</v>
      </c>
      <c r="G802" t="str">
        <f t="shared" si="239"/>
        <v>0</v>
      </c>
      <c r="H802">
        <f>'906MP'!Y502</f>
        <v>0</v>
      </c>
      <c r="I802">
        <f>'906MP'!AK502</f>
        <v>0</v>
      </c>
      <c r="J802">
        <f>'906MP'!T502</f>
        <v>0</v>
      </c>
      <c r="K802">
        <f>'906MP'!AJ502</f>
        <v>0</v>
      </c>
      <c r="L802">
        <f>'906MP'!U502</f>
        <v>0</v>
      </c>
      <c r="M802" s="322" t="str">
        <f>IFERROR(VLOOKUP(A802,PAR!$D$3:$E$53,2,FALSE),"nincs szervezet")</f>
        <v>nincs szervezet</v>
      </c>
      <c r="N802" s="322" t="str">
        <f>VLOOKUP(F802,PAR!$R$3:$S$5,2,FALSE)</f>
        <v>3 - egyik sem</v>
      </c>
      <c r="O802" t="str">
        <f>IFERROR(VLOOKUP(J802,PAR!$O$3:$P$5,2,FALSE),"nincs feladat")</f>
        <v>nincs feladat</v>
      </c>
      <c r="P802" t="str">
        <f>IFERROR(VLOOKUP(G802,PAR!$J$2:$M$19,4),"nincs rovat")</f>
        <v>nincs rovat</v>
      </c>
      <c r="Q802" t="str">
        <f>IF(H802&gt;0,VLOOKUP(H802,PAR!$AA$3:$AC$187,3,FALSE),"nincs főkönyvi számla")</f>
        <v>nincs főkönyvi számla</v>
      </c>
      <c r="R802" t="str">
        <f>IFERROR(VLOOKUP(K802,PAR!$V$3:$X$438,3,FALSE),"000000 - Nincs COFOG")</f>
        <v>000000 - Nincs COFOG</v>
      </c>
      <c r="S802">
        <f t="shared" si="240"/>
        <v>0</v>
      </c>
      <c r="T802">
        <f t="shared" si="241"/>
        <v>0</v>
      </c>
      <c r="U802" t="str">
        <f>IF('906MP'!J502&gt;0,CONCATENATE('906MP'!J502," - ",'906MP'!P502,", ",'906MP'!E502),"nincs megjegyzés")</f>
        <v>nincs megjegyzés</v>
      </c>
      <c r="V802" t="str">
        <f t="shared" si="228"/>
        <v>0P0</v>
      </c>
      <c r="W802" t="str">
        <f t="shared" si="229"/>
        <v>0P0</v>
      </c>
      <c r="X802" t="str">
        <f t="shared" si="230"/>
        <v>P0</v>
      </c>
      <c r="Y802" t="str">
        <f t="shared" si="231"/>
        <v>00</v>
      </c>
      <c r="Z802" t="str">
        <f t="shared" si="242"/>
        <v>00</v>
      </c>
      <c r="AA802" t="str">
        <f t="shared" si="232"/>
        <v>00</v>
      </c>
      <c r="AB802" t="str">
        <f t="shared" si="233"/>
        <v>00</v>
      </c>
      <c r="AC802" t="str">
        <f t="shared" si="234"/>
        <v>0P0</v>
      </c>
      <c r="AD802" t="str">
        <f t="shared" si="235"/>
        <v>P00</v>
      </c>
      <c r="AE802" t="str">
        <f t="shared" si="236"/>
        <v>0P0</v>
      </c>
      <c r="AF802" t="str">
        <f t="shared" si="237"/>
        <v>P00</v>
      </c>
      <c r="AG802" t="str">
        <f t="shared" si="243"/>
        <v>0P00</v>
      </c>
      <c r="AH802" t="str">
        <f t="shared" si="244"/>
        <v>P000</v>
      </c>
      <c r="AI802" t="str">
        <f t="shared" si="245"/>
        <v>0P00</v>
      </c>
      <c r="AJ802" t="str">
        <f t="shared" si="246"/>
        <v>P000</v>
      </c>
    </row>
    <row r="803" spans="1:36" x14ac:dyDescent="0.25">
      <c r="A803" s="325" t="str">
        <f>CONCATENATE("P",'906MP'!M503)</f>
        <v>P</v>
      </c>
      <c r="B803">
        <f>'906MP'!H503</f>
        <v>0</v>
      </c>
      <c r="C803">
        <f>'906MP'!J503</f>
        <v>0</v>
      </c>
      <c r="D803">
        <f>'906MP'!P503</f>
        <v>0</v>
      </c>
      <c r="E803">
        <f>'906MP'!X503</f>
        <v>0</v>
      </c>
      <c r="F803" t="str">
        <f t="shared" si="238"/>
        <v>0</v>
      </c>
      <c r="G803" t="str">
        <f t="shared" si="239"/>
        <v>0</v>
      </c>
      <c r="H803">
        <f>'906MP'!Y503</f>
        <v>0</v>
      </c>
      <c r="I803">
        <f>'906MP'!AK503</f>
        <v>0</v>
      </c>
      <c r="J803">
        <f>'906MP'!T503</f>
        <v>0</v>
      </c>
      <c r="K803">
        <f>'906MP'!AJ503</f>
        <v>0</v>
      </c>
      <c r="L803">
        <f>'906MP'!U503</f>
        <v>0</v>
      </c>
      <c r="M803" s="322" t="str">
        <f>IFERROR(VLOOKUP(A803,PAR!$D$3:$E$53,2,FALSE),"nincs szervezet")</f>
        <v>nincs szervezet</v>
      </c>
      <c r="N803" s="322" t="str">
        <f>VLOOKUP(F803,PAR!$R$3:$S$5,2,FALSE)</f>
        <v>3 - egyik sem</v>
      </c>
      <c r="O803" t="str">
        <f>IFERROR(VLOOKUP(J803,PAR!$O$3:$P$5,2,FALSE),"nincs feladat")</f>
        <v>nincs feladat</v>
      </c>
      <c r="P803" t="str">
        <f>IFERROR(VLOOKUP(G803,PAR!$J$2:$M$19,4),"nincs rovat")</f>
        <v>nincs rovat</v>
      </c>
      <c r="Q803" t="str">
        <f>IF(H803&gt;0,VLOOKUP(H803,PAR!$AA$3:$AC$187,3,FALSE),"nincs főkönyvi számla")</f>
        <v>nincs főkönyvi számla</v>
      </c>
      <c r="R803" t="str">
        <f>IFERROR(VLOOKUP(K803,PAR!$V$3:$X$438,3,FALSE),"000000 - Nincs COFOG")</f>
        <v>000000 - Nincs COFOG</v>
      </c>
      <c r="S803">
        <f t="shared" si="240"/>
        <v>0</v>
      </c>
      <c r="T803">
        <f t="shared" si="241"/>
        <v>0</v>
      </c>
      <c r="U803" t="str">
        <f>IF('906MP'!J503&gt;0,CONCATENATE('906MP'!J503," - ",'906MP'!P503,", ",'906MP'!E503),"nincs megjegyzés")</f>
        <v>nincs megjegyzés</v>
      </c>
      <c r="V803" t="str">
        <f t="shared" si="228"/>
        <v>0P0</v>
      </c>
      <c r="W803" t="str">
        <f t="shared" si="229"/>
        <v>0P0</v>
      </c>
      <c r="X803" t="str">
        <f t="shared" si="230"/>
        <v>P0</v>
      </c>
      <c r="Y803" t="str">
        <f t="shared" si="231"/>
        <v>00</v>
      </c>
      <c r="Z803" t="str">
        <f t="shared" si="242"/>
        <v>00</v>
      </c>
      <c r="AA803" t="str">
        <f t="shared" si="232"/>
        <v>00</v>
      </c>
      <c r="AB803" t="str">
        <f t="shared" si="233"/>
        <v>00</v>
      </c>
      <c r="AC803" t="str">
        <f t="shared" si="234"/>
        <v>0P0</v>
      </c>
      <c r="AD803" t="str">
        <f t="shared" si="235"/>
        <v>P00</v>
      </c>
      <c r="AE803" t="str">
        <f t="shared" si="236"/>
        <v>0P0</v>
      </c>
      <c r="AF803" t="str">
        <f t="shared" si="237"/>
        <v>P00</v>
      </c>
      <c r="AG803" t="str">
        <f t="shared" si="243"/>
        <v>0P00</v>
      </c>
      <c r="AH803" t="str">
        <f t="shared" si="244"/>
        <v>P000</v>
      </c>
      <c r="AI803" t="str">
        <f t="shared" si="245"/>
        <v>0P00</v>
      </c>
      <c r="AJ803" t="str">
        <f t="shared" si="246"/>
        <v>P000</v>
      </c>
    </row>
    <row r="804" spans="1:36" x14ac:dyDescent="0.25">
      <c r="A804" s="325" t="str">
        <f>CONCATENATE("P",'906MP'!M504)</f>
        <v>P</v>
      </c>
      <c r="B804">
        <f>'906MP'!H504</f>
        <v>0</v>
      </c>
      <c r="C804">
        <f>'906MP'!J504</f>
        <v>0</v>
      </c>
      <c r="D804">
        <f>'906MP'!P504</f>
        <v>0</v>
      </c>
      <c r="E804">
        <f>'906MP'!X504</f>
        <v>0</v>
      </c>
      <c r="F804" t="str">
        <f t="shared" si="238"/>
        <v>0</v>
      </c>
      <c r="G804" t="str">
        <f t="shared" si="239"/>
        <v>0</v>
      </c>
      <c r="H804">
        <f>'906MP'!Y504</f>
        <v>0</v>
      </c>
      <c r="I804">
        <f>'906MP'!AK504</f>
        <v>0</v>
      </c>
      <c r="J804">
        <f>'906MP'!T504</f>
        <v>0</v>
      </c>
      <c r="K804">
        <f>'906MP'!AJ504</f>
        <v>0</v>
      </c>
      <c r="L804">
        <f>'906MP'!U504</f>
        <v>0</v>
      </c>
      <c r="M804" s="322" t="str">
        <f>IFERROR(VLOOKUP(A804,PAR!$D$3:$E$53,2,FALSE),"nincs szervezet")</f>
        <v>nincs szervezet</v>
      </c>
      <c r="N804" s="322" t="str">
        <f>VLOOKUP(F804,PAR!$R$3:$S$5,2,FALSE)</f>
        <v>3 - egyik sem</v>
      </c>
      <c r="O804" t="str">
        <f>IFERROR(VLOOKUP(J804,PAR!$O$3:$P$5,2,FALSE),"nincs feladat")</f>
        <v>nincs feladat</v>
      </c>
      <c r="P804" t="str">
        <f>IFERROR(VLOOKUP(G804,PAR!$J$2:$M$19,4),"nincs rovat")</f>
        <v>nincs rovat</v>
      </c>
      <c r="Q804" t="str">
        <f>IF(H804&gt;0,VLOOKUP(H804,PAR!$AA$3:$AC$187,3,FALSE),"nincs főkönyvi számla")</f>
        <v>nincs főkönyvi számla</v>
      </c>
      <c r="R804" t="str">
        <f>IFERROR(VLOOKUP(K804,PAR!$V$3:$X$438,3,FALSE),"000000 - Nincs COFOG")</f>
        <v>000000 - Nincs COFOG</v>
      </c>
      <c r="S804">
        <f t="shared" si="240"/>
        <v>0</v>
      </c>
      <c r="T804">
        <f t="shared" si="241"/>
        <v>0</v>
      </c>
      <c r="U804" t="str">
        <f>IF('906MP'!J504&gt;0,CONCATENATE('906MP'!J504," - ",'906MP'!P504,", ",'906MP'!E504),"nincs megjegyzés")</f>
        <v>nincs megjegyzés</v>
      </c>
      <c r="V804" t="str">
        <f t="shared" si="228"/>
        <v>0P0</v>
      </c>
      <c r="W804" t="str">
        <f t="shared" si="229"/>
        <v>0P0</v>
      </c>
      <c r="X804" t="str">
        <f t="shared" si="230"/>
        <v>P0</v>
      </c>
      <c r="Y804" t="str">
        <f t="shared" si="231"/>
        <v>00</v>
      </c>
      <c r="Z804" t="str">
        <f t="shared" si="242"/>
        <v>00</v>
      </c>
      <c r="AA804" t="str">
        <f t="shared" si="232"/>
        <v>00</v>
      </c>
      <c r="AB804" t="str">
        <f t="shared" si="233"/>
        <v>00</v>
      </c>
      <c r="AC804" t="str">
        <f t="shared" si="234"/>
        <v>0P0</v>
      </c>
      <c r="AD804" t="str">
        <f t="shared" si="235"/>
        <v>P00</v>
      </c>
      <c r="AE804" t="str">
        <f t="shared" si="236"/>
        <v>0P0</v>
      </c>
      <c r="AF804" t="str">
        <f t="shared" si="237"/>
        <v>P00</v>
      </c>
      <c r="AG804" t="str">
        <f t="shared" si="243"/>
        <v>0P00</v>
      </c>
      <c r="AH804" t="str">
        <f t="shared" si="244"/>
        <v>P000</v>
      </c>
      <c r="AI804" t="str">
        <f t="shared" si="245"/>
        <v>0P00</v>
      </c>
      <c r="AJ804" t="str">
        <f t="shared" si="246"/>
        <v>P000</v>
      </c>
    </row>
    <row r="805" spans="1:36" x14ac:dyDescent="0.25">
      <c r="A805" s="325" t="str">
        <f>CONCATENATE("P",'906MP'!M505)</f>
        <v>P</v>
      </c>
      <c r="B805">
        <f>'906MP'!H505</f>
        <v>0</v>
      </c>
      <c r="C805">
        <f>'906MP'!J505</f>
        <v>0</v>
      </c>
      <c r="D805">
        <f>'906MP'!P505</f>
        <v>0</v>
      </c>
      <c r="E805">
        <f>'906MP'!X505</f>
        <v>0</v>
      </c>
      <c r="F805" t="str">
        <f t="shared" si="238"/>
        <v>0</v>
      </c>
      <c r="G805" t="str">
        <f t="shared" si="239"/>
        <v>0</v>
      </c>
      <c r="H805">
        <f>'906MP'!Y505</f>
        <v>0</v>
      </c>
      <c r="I805">
        <f>'906MP'!AK505</f>
        <v>0</v>
      </c>
      <c r="J805">
        <f>'906MP'!T505</f>
        <v>0</v>
      </c>
      <c r="K805">
        <f>'906MP'!AJ505</f>
        <v>0</v>
      </c>
      <c r="L805">
        <f>'906MP'!U505</f>
        <v>0</v>
      </c>
      <c r="M805" s="322" t="str">
        <f>IFERROR(VLOOKUP(A805,PAR!$D$3:$E$53,2,FALSE),"nincs szervezet")</f>
        <v>nincs szervezet</v>
      </c>
      <c r="N805" s="322" t="str">
        <f>VLOOKUP(F805,PAR!$R$3:$S$5,2,FALSE)</f>
        <v>3 - egyik sem</v>
      </c>
      <c r="O805" t="str">
        <f>IFERROR(VLOOKUP(J805,PAR!$O$3:$P$5,2,FALSE),"nincs feladat")</f>
        <v>nincs feladat</v>
      </c>
      <c r="P805" t="str">
        <f>IFERROR(VLOOKUP(G805,PAR!$J$2:$M$19,4),"nincs rovat")</f>
        <v>nincs rovat</v>
      </c>
      <c r="Q805" t="str">
        <f>IF(H805&gt;0,VLOOKUP(H805,PAR!$AA$3:$AC$187,3,FALSE),"nincs főkönyvi számla")</f>
        <v>nincs főkönyvi számla</v>
      </c>
      <c r="R805" t="str">
        <f>IFERROR(VLOOKUP(K805,PAR!$V$3:$X$438,3,FALSE),"000000 - Nincs COFOG")</f>
        <v>000000 - Nincs COFOG</v>
      </c>
      <c r="S805">
        <f t="shared" si="240"/>
        <v>0</v>
      </c>
      <c r="T805">
        <f t="shared" si="241"/>
        <v>0</v>
      </c>
      <c r="U805" t="str">
        <f>IF('906MP'!J505&gt;0,CONCATENATE('906MP'!J505," - ",'906MP'!P505,", ",'906MP'!E505),"nincs megjegyzés")</f>
        <v>nincs megjegyzés</v>
      </c>
      <c r="V805" t="str">
        <f t="shared" si="228"/>
        <v>0P0</v>
      </c>
      <c r="W805" t="str">
        <f t="shared" si="229"/>
        <v>0P0</v>
      </c>
      <c r="X805" t="str">
        <f t="shared" si="230"/>
        <v>P0</v>
      </c>
      <c r="Y805" t="str">
        <f t="shared" si="231"/>
        <v>00</v>
      </c>
      <c r="Z805" t="str">
        <f t="shared" si="242"/>
        <v>00</v>
      </c>
      <c r="AA805" t="str">
        <f t="shared" si="232"/>
        <v>00</v>
      </c>
      <c r="AB805" t="str">
        <f t="shared" si="233"/>
        <v>00</v>
      </c>
      <c r="AC805" t="str">
        <f t="shared" si="234"/>
        <v>0P0</v>
      </c>
      <c r="AD805" t="str">
        <f t="shared" si="235"/>
        <v>P00</v>
      </c>
      <c r="AE805" t="str">
        <f t="shared" si="236"/>
        <v>0P0</v>
      </c>
      <c r="AF805" t="str">
        <f t="shared" si="237"/>
        <v>P00</v>
      </c>
      <c r="AG805" t="str">
        <f t="shared" si="243"/>
        <v>0P00</v>
      </c>
      <c r="AH805" t="str">
        <f t="shared" si="244"/>
        <v>P000</v>
      </c>
      <c r="AI805" t="str">
        <f t="shared" si="245"/>
        <v>0P00</v>
      </c>
      <c r="AJ805" t="str">
        <f t="shared" si="246"/>
        <v>P000</v>
      </c>
    </row>
    <row r="806" spans="1:36" x14ac:dyDescent="0.25">
      <c r="A806" s="325" t="str">
        <f>CONCATENATE("P",'906MP'!M506)</f>
        <v>P</v>
      </c>
      <c r="B806">
        <f>'906MP'!H506</f>
        <v>0</v>
      </c>
      <c r="C806">
        <f>'906MP'!J506</f>
        <v>0</v>
      </c>
      <c r="D806">
        <f>'906MP'!P506</f>
        <v>0</v>
      </c>
      <c r="E806">
        <f>'906MP'!X506</f>
        <v>0</v>
      </c>
      <c r="F806" t="str">
        <f t="shared" si="238"/>
        <v>0</v>
      </c>
      <c r="G806" t="str">
        <f t="shared" si="239"/>
        <v>0</v>
      </c>
      <c r="H806">
        <f>'906MP'!Y506</f>
        <v>0</v>
      </c>
      <c r="I806">
        <f>'906MP'!AK506</f>
        <v>0</v>
      </c>
      <c r="J806">
        <f>'906MP'!T506</f>
        <v>0</v>
      </c>
      <c r="K806">
        <f>'906MP'!AJ506</f>
        <v>0</v>
      </c>
      <c r="L806">
        <f>'906MP'!U506</f>
        <v>0</v>
      </c>
      <c r="M806" s="322" t="str">
        <f>IFERROR(VLOOKUP(A806,PAR!$D$3:$E$53,2,FALSE),"nincs szervezet")</f>
        <v>nincs szervezet</v>
      </c>
      <c r="N806" s="322" t="str">
        <f>VLOOKUP(F806,PAR!$R$3:$S$5,2,FALSE)</f>
        <v>3 - egyik sem</v>
      </c>
      <c r="O806" t="str">
        <f>IFERROR(VLOOKUP(J806,PAR!$O$3:$P$5,2,FALSE),"nincs feladat")</f>
        <v>nincs feladat</v>
      </c>
      <c r="P806" t="str">
        <f>IFERROR(VLOOKUP(G806,PAR!$J$2:$M$19,4),"nincs rovat")</f>
        <v>nincs rovat</v>
      </c>
      <c r="Q806" t="str">
        <f>IF(H806&gt;0,VLOOKUP(H806,PAR!$AA$3:$AC$187,3,FALSE),"nincs főkönyvi számla")</f>
        <v>nincs főkönyvi számla</v>
      </c>
      <c r="R806" t="str">
        <f>IFERROR(VLOOKUP(K806,PAR!$V$3:$X$438,3,FALSE),"000000 - Nincs COFOG")</f>
        <v>000000 - Nincs COFOG</v>
      </c>
      <c r="S806">
        <f t="shared" si="240"/>
        <v>0</v>
      </c>
      <c r="T806">
        <f t="shared" si="241"/>
        <v>0</v>
      </c>
      <c r="U806" t="str">
        <f>IF('906MP'!J506&gt;0,CONCATENATE('906MP'!J506," - ",'906MP'!P506,", ",'906MP'!E506),"nincs megjegyzés")</f>
        <v>nincs megjegyzés</v>
      </c>
      <c r="V806" t="str">
        <f t="shared" si="228"/>
        <v>0P0</v>
      </c>
      <c r="W806" t="str">
        <f t="shared" si="229"/>
        <v>0P0</v>
      </c>
      <c r="X806" t="str">
        <f t="shared" si="230"/>
        <v>P0</v>
      </c>
      <c r="Y806" t="str">
        <f t="shared" si="231"/>
        <v>00</v>
      </c>
      <c r="Z806" t="str">
        <f t="shared" si="242"/>
        <v>00</v>
      </c>
      <c r="AA806" t="str">
        <f t="shared" si="232"/>
        <v>00</v>
      </c>
      <c r="AB806" t="str">
        <f t="shared" si="233"/>
        <v>00</v>
      </c>
      <c r="AC806" t="str">
        <f t="shared" si="234"/>
        <v>0P0</v>
      </c>
      <c r="AD806" t="str">
        <f t="shared" si="235"/>
        <v>P00</v>
      </c>
      <c r="AE806" t="str">
        <f t="shared" si="236"/>
        <v>0P0</v>
      </c>
      <c r="AF806" t="str">
        <f t="shared" si="237"/>
        <v>P00</v>
      </c>
      <c r="AG806" t="str">
        <f t="shared" si="243"/>
        <v>0P00</v>
      </c>
      <c r="AH806" t="str">
        <f t="shared" si="244"/>
        <v>P000</v>
      </c>
      <c r="AI806" t="str">
        <f t="shared" si="245"/>
        <v>0P00</v>
      </c>
      <c r="AJ806" t="str">
        <f t="shared" si="246"/>
        <v>P000</v>
      </c>
    </row>
    <row r="807" spans="1:36" x14ac:dyDescent="0.25">
      <c r="A807" s="325" t="str">
        <f>CONCATENATE("P",'906MP'!M507)</f>
        <v>P</v>
      </c>
      <c r="B807">
        <f>'906MP'!H507</f>
        <v>0</v>
      </c>
      <c r="C807">
        <f>'906MP'!J507</f>
        <v>0</v>
      </c>
      <c r="D807">
        <f>'906MP'!P507</f>
        <v>0</v>
      </c>
      <c r="E807">
        <f>'906MP'!X507</f>
        <v>0</v>
      </c>
      <c r="F807" t="str">
        <f t="shared" si="238"/>
        <v>0</v>
      </c>
      <c r="G807" t="str">
        <f t="shared" si="239"/>
        <v>0</v>
      </c>
      <c r="H807">
        <f>'906MP'!Y507</f>
        <v>0</v>
      </c>
      <c r="I807">
        <f>'906MP'!AK507</f>
        <v>0</v>
      </c>
      <c r="J807">
        <f>'906MP'!T507</f>
        <v>0</v>
      </c>
      <c r="K807">
        <f>'906MP'!AJ507</f>
        <v>0</v>
      </c>
      <c r="L807">
        <f>'906MP'!U507</f>
        <v>0</v>
      </c>
      <c r="M807" s="322" t="str">
        <f>IFERROR(VLOOKUP(A807,PAR!$D$3:$E$53,2,FALSE),"nincs szervezet")</f>
        <v>nincs szervezet</v>
      </c>
      <c r="N807" s="322" t="str">
        <f>VLOOKUP(F807,PAR!$R$3:$S$5,2,FALSE)</f>
        <v>3 - egyik sem</v>
      </c>
      <c r="O807" t="str">
        <f>IFERROR(VLOOKUP(J807,PAR!$O$3:$P$5,2,FALSE),"nincs feladat")</f>
        <v>nincs feladat</v>
      </c>
      <c r="P807" t="str">
        <f>IFERROR(VLOOKUP(G807,PAR!$J$2:$M$19,4),"nincs rovat")</f>
        <v>nincs rovat</v>
      </c>
      <c r="Q807" t="str">
        <f>IF(H807&gt;0,VLOOKUP(H807,PAR!$AA$3:$AC$187,3,FALSE),"nincs főkönyvi számla")</f>
        <v>nincs főkönyvi számla</v>
      </c>
      <c r="R807" t="str">
        <f>IFERROR(VLOOKUP(K807,PAR!$V$3:$X$438,3,FALSE),"000000 - Nincs COFOG")</f>
        <v>000000 - Nincs COFOG</v>
      </c>
      <c r="S807">
        <f t="shared" si="240"/>
        <v>0</v>
      </c>
      <c r="T807">
        <f t="shared" si="241"/>
        <v>0</v>
      </c>
      <c r="U807" t="str">
        <f>IF('906MP'!J507&gt;0,CONCATENATE('906MP'!J507," - ",'906MP'!P507,", ",'906MP'!E507),"nincs megjegyzés")</f>
        <v>nincs megjegyzés</v>
      </c>
      <c r="V807" t="str">
        <f t="shared" si="228"/>
        <v>0P0</v>
      </c>
      <c r="W807" t="str">
        <f t="shared" si="229"/>
        <v>0P0</v>
      </c>
      <c r="X807" t="str">
        <f t="shared" si="230"/>
        <v>P0</v>
      </c>
      <c r="Y807" t="str">
        <f t="shared" si="231"/>
        <v>00</v>
      </c>
      <c r="Z807" t="str">
        <f t="shared" si="242"/>
        <v>00</v>
      </c>
      <c r="AA807" t="str">
        <f t="shared" si="232"/>
        <v>00</v>
      </c>
      <c r="AB807" t="str">
        <f t="shared" si="233"/>
        <v>00</v>
      </c>
      <c r="AC807" t="str">
        <f t="shared" si="234"/>
        <v>0P0</v>
      </c>
      <c r="AD807" t="str">
        <f t="shared" si="235"/>
        <v>P00</v>
      </c>
      <c r="AE807" t="str">
        <f t="shared" si="236"/>
        <v>0P0</v>
      </c>
      <c r="AF807" t="str">
        <f t="shared" si="237"/>
        <v>P00</v>
      </c>
      <c r="AG807" t="str">
        <f t="shared" si="243"/>
        <v>0P00</v>
      </c>
      <c r="AH807" t="str">
        <f t="shared" si="244"/>
        <v>P000</v>
      </c>
      <c r="AI807" t="str">
        <f t="shared" si="245"/>
        <v>0P00</v>
      </c>
      <c r="AJ807" t="str">
        <f t="shared" si="246"/>
        <v>P000</v>
      </c>
    </row>
    <row r="808" spans="1:36" x14ac:dyDescent="0.25">
      <c r="A808" s="325" t="str">
        <f>CONCATENATE("P",'906MP'!M508)</f>
        <v>P</v>
      </c>
      <c r="B808">
        <f>'906MP'!H508</f>
        <v>0</v>
      </c>
      <c r="C808">
        <f>'906MP'!J508</f>
        <v>0</v>
      </c>
      <c r="D808">
        <f>'906MP'!P508</f>
        <v>0</v>
      </c>
      <c r="E808">
        <f>'906MP'!X508</f>
        <v>0</v>
      </c>
      <c r="F808" t="str">
        <f t="shared" si="238"/>
        <v>0</v>
      </c>
      <c r="G808" t="str">
        <f t="shared" si="239"/>
        <v>0</v>
      </c>
      <c r="H808">
        <f>'906MP'!Y508</f>
        <v>0</v>
      </c>
      <c r="I808">
        <f>'906MP'!AK508</f>
        <v>0</v>
      </c>
      <c r="J808">
        <f>'906MP'!T508</f>
        <v>0</v>
      </c>
      <c r="K808">
        <f>'906MP'!AJ508</f>
        <v>0</v>
      </c>
      <c r="L808">
        <f>'906MP'!U508</f>
        <v>0</v>
      </c>
      <c r="M808" s="322" t="str">
        <f>IFERROR(VLOOKUP(A808,PAR!$D$3:$E$53,2,FALSE),"nincs szervezet")</f>
        <v>nincs szervezet</v>
      </c>
      <c r="N808" s="322" t="str">
        <f>VLOOKUP(F808,PAR!$R$3:$S$5,2,FALSE)</f>
        <v>3 - egyik sem</v>
      </c>
      <c r="O808" t="str">
        <f>IFERROR(VLOOKUP(J808,PAR!$O$3:$P$5,2,FALSE),"nincs feladat")</f>
        <v>nincs feladat</v>
      </c>
      <c r="P808" t="str">
        <f>IFERROR(VLOOKUP(G808,PAR!$J$2:$M$19,4),"nincs rovat")</f>
        <v>nincs rovat</v>
      </c>
      <c r="Q808" t="str">
        <f>IF(H808&gt;0,VLOOKUP(H808,PAR!$AA$3:$AC$187,3,FALSE),"nincs főkönyvi számla")</f>
        <v>nincs főkönyvi számla</v>
      </c>
      <c r="R808" t="str">
        <f>IFERROR(VLOOKUP(K808,PAR!$V$3:$X$438,3,FALSE),"000000 - Nincs COFOG")</f>
        <v>000000 - Nincs COFOG</v>
      </c>
      <c r="S808">
        <f t="shared" si="240"/>
        <v>0</v>
      </c>
      <c r="T808">
        <f t="shared" si="241"/>
        <v>0</v>
      </c>
      <c r="U808" t="str">
        <f>IF('906MP'!J508&gt;0,CONCATENATE('906MP'!J508," - ",'906MP'!P508,", ",'906MP'!E508),"nincs megjegyzés")</f>
        <v>nincs megjegyzés</v>
      </c>
      <c r="V808" t="str">
        <f t="shared" si="228"/>
        <v>0P0</v>
      </c>
      <c r="W808" t="str">
        <f t="shared" si="229"/>
        <v>0P0</v>
      </c>
      <c r="X808" t="str">
        <f t="shared" si="230"/>
        <v>P0</v>
      </c>
      <c r="Y808" t="str">
        <f t="shared" si="231"/>
        <v>00</v>
      </c>
      <c r="Z808" t="str">
        <f t="shared" si="242"/>
        <v>00</v>
      </c>
      <c r="AA808" t="str">
        <f t="shared" si="232"/>
        <v>00</v>
      </c>
      <c r="AB808" t="str">
        <f t="shared" si="233"/>
        <v>00</v>
      </c>
      <c r="AC808" t="str">
        <f t="shared" si="234"/>
        <v>0P0</v>
      </c>
      <c r="AD808" t="str">
        <f t="shared" si="235"/>
        <v>P00</v>
      </c>
      <c r="AE808" t="str">
        <f t="shared" si="236"/>
        <v>0P0</v>
      </c>
      <c r="AF808" t="str">
        <f t="shared" si="237"/>
        <v>P00</v>
      </c>
      <c r="AG808" t="str">
        <f t="shared" si="243"/>
        <v>0P00</v>
      </c>
      <c r="AH808" t="str">
        <f t="shared" si="244"/>
        <v>P000</v>
      </c>
      <c r="AI808" t="str">
        <f t="shared" si="245"/>
        <v>0P00</v>
      </c>
      <c r="AJ808" t="str">
        <f t="shared" si="246"/>
        <v>P000</v>
      </c>
    </row>
    <row r="809" spans="1:36" x14ac:dyDescent="0.25">
      <c r="A809" s="325" t="str">
        <f>CONCATENATE("P",'906MP'!M509)</f>
        <v>P</v>
      </c>
      <c r="B809">
        <f>'906MP'!H509</f>
        <v>0</v>
      </c>
      <c r="C809">
        <f>'906MP'!J509</f>
        <v>0</v>
      </c>
      <c r="D809">
        <f>'906MP'!P509</f>
        <v>0</v>
      </c>
      <c r="E809">
        <f>'906MP'!X509</f>
        <v>0</v>
      </c>
      <c r="F809" t="str">
        <f t="shared" si="238"/>
        <v>0</v>
      </c>
      <c r="G809" t="str">
        <f t="shared" si="239"/>
        <v>0</v>
      </c>
      <c r="H809">
        <f>'906MP'!Y509</f>
        <v>0</v>
      </c>
      <c r="I809">
        <f>'906MP'!AK509</f>
        <v>0</v>
      </c>
      <c r="J809">
        <f>'906MP'!T509</f>
        <v>0</v>
      </c>
      <c r="K809">
        <f>'906MP'!AJ509</f>
        <v>0</v>
      </c>
      <c r="L809">
        <f>'906MP'!U509</f>
        <v>0</v>
      </c>
      <c r="M809" s="322" t="str">
        <f>IFERROR(VLOOKUP(A809,PAR!$D$3:$E$53,2,FALSE),"nincs szervezet")</f>
        <v>nincs szervezet</v>
      </c>
      <c r="N809" s="322" t="str">
        <f>VLOOKUP(F809,PAR!$R$3:$S$5,2,FALSE)</f>
        <v>3 - egyik sem</v>
      </c>
      <c r="O809" t="str">
        <f>IFERROR(VLOOKUP(J809,PAR!$O$3:$P$5,2,FALSE),"nincs feladat")</f>
        <v>nincs feladat</v>
      </c>
      <c r="P809" t="str">
        <f>IFERROR(VLOOKUP(G809,PAR!$J$2:$M$19,4),"nincs rovat")</f>
        <v>nincs rovat</v>
      </c>
      <c r="Q809" t="str">
        <f>IF(H809&gt;0,VLOOKUP(H809,PAR!$AA$3:$AC$187,3,FALSE),"nincs főkönyvi számla")</f>
        <v>nincs főkönyvi számla</v>
      </c>
      <c r="R809" t="str">
        <f>IFERROR(VLOOKUP(K809,PAR!$V$3:$X$438,3,FALSE),"000000 - Nincs COFOG")</f>
        <v>000000 - Nincs COFOG</v>
      </c>
      <c r="S809">
        <f t="shared" si="240"/>
        <v>0</v>
      </c>
      <c r="T809">
        <f t="shared" si="241"/>
        <v>0</v>
      </c>
      <c r="U809" t="str">
        <f>IF('906MP'!J509&gt;0,CONCATENATE('906MP'!J509," - ",'906MP'!P509,", ",'906MP'!E509),"nincs megjegyzés")</f>
        <v>nincs megjegyzés</v>
      </c>
      <c r="V809" t="str">
        <f t="shared" si="228"/>
        <v>0P0</v>
      </c>
      <c r="W809" t="str">
        <f t="shared" si="229"/>
        <v>0P0</v>
      </c>
      <c r="X809" t="str">
        <f t="shared" si="230"/>
        <v>P0</v>
      </c>
      <c r="Y809" t="str">
        <f t="shared" si="231"/>
        <v>00</v>
      </c>
      <c r="Z809" t="str">
        <f t="shared" si="242"/>
        <v>00</v>
      </c>
      <c r="AA809" t="str">
        <f t="shared" si="232"/>
        <v>00</v>
      </c>
      <c r="AB809" t="str">
        <f t="shared" si="233"/>
        <v>00</v>
      </c>
      <c r="AC809" t="str">
        <f t="shared" si="234"/>
        <v>0P0</v>
      </c>
      <c r="AD809" t="str">
        <f t="shared" si="235"/>
        <v>P00</v>
      </c>
      <c r="AE809" t="str">
        <f t="shared" si="236"/>
        <v>0P0</v>
      </c>
      <c r="AF809" t="str">
        <f t="shared" si="237"/>
        <v>P00</v>
      </c>
      <c r="AG809" t="str">
        <f t="shared" si="243"/>
        <v>0P00</v>
      </c>
      <c r="AH809" t="str">
        <f t="shared" si="244"/>
        <v>P000</v>
      </c>
      <c r="AI809" t="str">
        <f t="shared" si="245"/>
        <v>0P00</v>
      </c>
      <c r="AJ809" t="str">
        <f t="shared" si="246"/>
        <v>P000</v>
      </c>
    </row>
    <row r="810" spans="1:36" x14ac:dyDescent="0.25">
      <c r="A810" s="325" t="str">
        <f>CONCATENATE("P",'906MP'!M510)</f>
        <v>P</v>
      </c>
      <c r="B810">
        <f>'906MP'!H510</f>
        <v>0</v>
      </c>
      <c r="C810">
        <f>'906MP'!J510</f>
        <v>0</v>
      </c>
      <c r="D810">
        <f>'906MP'!P510</f>
        <v>0</v>
      </c>
      <c r="E810">
        <f>'906MP'!X510</f>
        <v>0</v>
      </c>
      <c r="F810" t="str">
        <f t="shared" si="238"/>
        <v>0</v>
      </c>
      <c r="G810" t="str">
        <f t="shared" si="239"/>
        <v>0</v>
      </c>
      <c r="H810">
        <f>'906MP'!Y510</f>
        <v>0</v>
      </c>
      <c r="I810">
        <f>'906MP'!AK510</f>
        <v>0</v>
      </c>
      <c r="J810">
        <f>'906MP'!T510</f>
        <v>0</v>
      </c>
      <c r="K810">
        <f>'906MP'!AJ510</f>
        <v>0</v>
      </c>
      <c r="L810">
        <f>'906MP'!U510</f>
        <v>0</v>
      </c>
      <c r="M810" s="322" t="str">
        <f>IFERROR(VLOOKUP(A810,PAR!$D$3:$E$53,2,FALSE),"nincs szervezet")</f>
        <v>nincs szervezet</v>
      </c>
      <c r="N810" s="322" t="str">
        <f>VLOOKUP(F810,PAR!$R$3:$S$5,2,FALSE)</f>
        <v>3 - egyik sem</v>
      </c>
      <c r="O810" t="str">
        <f>IFERROR(VLOOKUP(J810,PAR!$O$3:$P$5,2,FALSE),"nincs feladat")</f>
        <v>nincs feladat</v>
      </c>
      <c r="P810" t="str">
        <f>IFERROR(VLOOKUP(G810,PAR!$J$2:$M$19,4),"nincs rovat")</f>
        <v>nincs rovat</v>
      </c>
      <c r="Q810" t="str">
        <f>IF(H810&gt;0,VLOOKUP(H810,PAR!$AA$3:$AC$187,3,FALSE),"nincs főkönyvi számla")</f>
        <v>nincs főkönyvi számla</v>
      </c>
      <c r="R810" t="str">
        <f>IFERROR(VLOOKUP(K810,PAR!$V$3:$X$438,3,FALSE),"000000 - Nincs COFOG")</f>
        <v>000000 - Nincs COFOG</v>
      </c>
      <c r="S810">
        <f t="shared" si="240"/>
        <v>0</v>
      </c>
      <c r="T810">
        <f t="shared" si="241"/>
        <v>0</v>
      </c>
      <c r="U810" t="str">
        <f>IF('906MP'!J510&gt;0,CONCATENATE('906MP'!J510," - ",'906MP'!P510,", ",'906MP'!E510),"nincs megjegyzés")</f>
        <v>nincs megjegyzés</v>
      </c>
      <c r="V810" t="str">
        <f t="shared" si="228"/>
        <v>0P0</v>
      </c>
      <c r="W810" t="str">
        <f t="shared" si="229"/>
        <v>0P0</v>
      </c>
      <c r="X810" t="str">
        <f t="shared" si="230"/>
        <v>P0</v>
      </c>
      <c r="Y810" t="str">
        <f t="shared" si="231"/>
        <v>00</v>
      </c>
      <c r="Z810" t="str">
        <f t="shared" si="242"/>
        <v>00</v>
      </c>
      <c r="AA810" t="str">
        <f t="shared" si="232"/>
        <v>00</v>
      </c>
      <c r="AB810" t="str">
        <f t="shared" si="233"/>
        <v>00</v>
      </c>
      <c r="AC810" t="str">
        <f t="shared" si="234"/>
        <v>0P0</v>
      </c>
      <c r="AD810" t="str">
        <f t="shared" si="235"/>
        <v>P00</v>
      </c>
      <c r="AE810" t="str">
        <f t="shared" si="236"/>
        <v>0P0</v>
      </c>
      <c r="AF810" t="str">
        <f t="shared" si="237"/>
        <v>P00</v>
      </c>
      <c r="AG810" t="str">
        <f t="shared" si="243"/>
        <v>0P00</v>
      </c>
      <c r="AH810" t="str">
        <f t="shared" si="244"/>
        <v>P000</v>
      </c>
      <c r="AI810" t="str">
        <f t="shared" si="245"/>
        <v>0P00</v>
      </c>
      <c r="AJ810" t="str">
        <f t="shared" si="246"/>
        <v>P000</v>
      </c>
    </row>
    <row r="811" spans="1:36" x14ac:dyDescent="0.25">
      <c r="A811" s="325" t="str">
        <f>CONCATENATE("P",'906MP'!M511)</f>
        <v>P</v>
      </c>
      <c r="B811">
        <f>'906MP'!H511</f>
        <v>0</v>
      </c>
      <c r="C811">
        <f>'906MP'!J511</f>
        <v>0</v>
      </c>
      <c r="D811">
        <f>'906MP'!P511</f>
        <v>0</v>
      </c>
      <c r="E811">
        <f>'906MP'!X511</f>
        <v>0</v>
      </c>
      <c r="F811" t="str">
        <f t="shared" si="238"/>
        <v>0</v>
      </c>
      <c r="G811" t="str">
        <f t="shared" si="239"/>
        <v>0</v>
      </c>
      <c r="H811">
        <f>'906MP'!Y511</f>
        <v>0</v>
      </c>
      <c r="I811">
        <f>'906MP'!AK511</f>
        <v>0</v>
      </c>
      <c r="J811">
        <f>'906MP'!T511</f>
        <v>0</v>
      </c>
      <c r="K811">
        <f>'906MP'!AJ511</f>
        <v>0</v>
      </c>
      <c r="L811">
        <f>'906MP'!U511</f>
        <v>0</v>
      </c>
      <c r="M811" s="322" t="str">
        <f>IFERROR(VLOOKUP(A811,PAR!$D$3:$E$53,2,FALSE),"nincs szervezet")</f>
        <v>nincs szervezet</v>
      </c>
      <c r="N811" s="322" t="str">
        <f>VLOOKUP(F811,PAR!$R$3:$S$5,2,FALSE)</f>
        <v>3 - egyik sem</v>
      </c>
      <c r="O811" t="str">
        <f>IFERROR(VLOOKUP(J811,PAR!$O$3:$P$5,2,FALSE),"nincs feladat")</f>
        <v>nincs feladat</v>
      </c>
      <c r="P811" t="str">
        <f>IFERROR(VLOOKUP(G811,PAR!$J$2:$M$19,4),"nincs rovat")</f>
        <v>nincs rovat</v>
      </c>
      <c r="Q811" t="str">
        <f>IF(H811&gt;0,VLOOKUP(H811,PAR!$AA$3:$AC$187,3,FALSE),"nincs főkönyvi számla")</f>
        <v>nincs főkönyvi számla</v>
      </c>
      <c r="R811" t="str">
        <f>IFERROR(VLOOKUP(K811,PAR!$V$3:$X$438,3,FALSE),"000000 - Nincs COFOG")</f>
        <v>000000 - Nincs COFOG</v>
      </c>
      <c r="S811">
        <f t="shared" si="240"/>
        <v>0</v>
      </c>
      <c r="T811">
        <f t="shared" si="241"/>
        <v>0</v>
      </c>
      <c r="U811" t="str">
        <f>IF('906MP'!J511&gt;0,CONCATENATE('906MP'!J511," - ",'906MP'!P511,", ",'906MP'!E511),"nincs megjegyzés")</f>
        <v>nincs megjegyzés</v>
      </c>
      <c r="V811" t="str">
        <f t="shared" si="228"/>
        <v>0P0</v>
      </c>
      <c r="W811" t="str">
        <f t="shared" si="229"/>
        <v>0P0</v>
      </c>
      <c r="X811" t="str">
        <f t="shared" si="230"/>
        <v>P0</v>
      </c>
      <c r="Y811" t="str">
        <f t="shared" si="231"/>
        <v>00</v>
      </c>
      <c r="Z811" t="str">
        <f t="shared" si="242"/>
        <v>00</v>
      </c>
      <c r="AA811" t="str">
        <f t="shared" si="232"/>
        <v>00</v>
      </c>
      <c r="AB811" t="str">
        <f t="shared" si="233"/>
        <v>00</v>
      </c>
      <c r="AC811" t="str">
        <f t="shared" si="234"/>
        <v>0P0</v>
      </c>
      <c r="AD811" t="str">
        <f t="shared" si="235"/>
        <v>P00</v>
      </c>
      <c r="AE811" t="str">
        <f t="shared" si="236"/>
        <v>0P0</v>
      </c>
      <c r="AF811" t="str">
        <f t="shared" si="237"/>
        <v>P00</v>
      </c>
      <c r="AG811" t="str">
        <f t="shared" si="243"/>
        <v>0P00</v>
      </c>
      <c r="AH811" t="str">
        <f t="shared" si="244"/>
        <v>P000</v>
      </c>
      <c r="AI811" t="str">
        <f t="shared" si="245"/>
        <v>0P00</v>
      </c>
      <c r="AJ811" t="str">
        <f t="shared" si="246"/>
        <v>P000</v>
      </c>
    </row>
    <row r="812" spans="1:36" x14ac:dyDescent="0.25">
      <c r="A812" s="325" t="str">
        <f>CONCATENATE("P",'906MP'!M512)</f>
        <v>P</v>
      </c>
      <c r="B812">
        <f>'906MP'!H512</f>
        <v>0</v>
      </c>
      <c r="C812">
        <f>'906MP'!J512</f>
        <v>0</v>
      </c>
      <c r="D812">
        <f>'906MP'!P512</f>
        <v>0</v>
      </c>
      <c r="E812">
        <f>'906MP'!X512</f>
        <v>0</v>
      </c>
      <c r="F812" t="str">
        <f t="shared" si="238"/>
        <v>0</v>
      </c>
      <c r="G812" t="str">
        <f t="shared" si="239"/>
        <v>0</v>
      </c>
      <c r="H812">
        <f>'906MP'!Y512</f>
        <v>0</v>
      </c>
      <c r="I812">
        <f>'906MP'!AK512</f>
        <v>0</v>
      </c>
      <c r="J812">
        <f>'906MP'!T512</f>
        <v>0</v>
      </c>
      <c r="K812">
        <f>'906MP'!AJ512</f>
        <v>0</v>
      </c>
      <c r="L812">
        <f>'906MP'!U512</f>
        <v>0</v>
      </c>
      <c r="M812" s="322" t="str">
        <f>IFERROR(VLOOKUP(A812,PAR!$D$3:$E$53,2,FALSE),"nincs szervezet")</f>
        <v>nincs szervezet</v>
      </c>
      <c r="N812" s="322" t="str">
        <f>VLOOKUP(F812,PAR!$R$3:$S$5,2,FALSE)</f>
        <v>3 - egyik sem</v>
      </c>
      <c r="O812" t="str">
        <f>IFERROR(VLOOKUP(J812,PAR!$O$3:$P$5,2,FALSE),"nincs feladat")</f>
        <v>nincs feladat</v>
      </c>
      <c r="P812" t="str">
        <f>IFERROR(VLOOKUP(G812,PAR!$J$2:$M$19,4),"nincs rovat")</f>
        <v>nincs rovat</v>
      </c>
      <c r="Q812" t="str">
        <f>IF(H812&gt;0,VLOOKUP(H812,PAR!$AA$3:$AC$187,3,FALSE),"nincs főkönyvi számla")</f>
        <v>nincs főkönyvi számla</v>
      </c>
      <c r="R812" t="str">
        <f>IFERROR(VLOOKUP(K812,PAR!$V$3:$X$438,3,FALSE),"000000 - Nincs COFOG")</f>
        <v>000000 - Nincs COFOG</v>
      </c>
      <c r="S812">
        <f t="shared" si="240"/>
        <v>0</v>
      </c>
      <c r="T812">
        <f t="shared" si="241"/>
        <v>0</v>
      </c>
      <c r="U812" t="str">
        <f>IF('906MP'!J512&gt;0,CONCATENATE('906MP'!J512," - ",'906MP'!P512,", ",'906MP'!E512),"nincs megjegyzés")</f>
        <v>nincs megjegyzés</v>
      </c>
      <c r="V812" t="str">
        <f t="shared" si="228"/>
        <v>0P0</v>
      </c>
      <c r="W812" t="str">
        <f t="shared" si="229"/>
        <v>0P0</v>
      </c>
      <c r="X812" t="str">
        <f t="shared" si="230"/>
        <v>P0</v>
      </c>
      <c r="Y812" t="str">
        <f t="shared" si="231"/>
        <v>00</v>
      </c>
      <c r="Z812" t="str">
        <f t="shared" si="242"/>
        <v>00</v>
      </c>
      <c r="AA812" t="str">
        <f t="shared" si="232"/>
        <v>00</v>
      </c>
      <c r="AB812" t="str">
        <f t="shared" si="233"/>
        <v>00</v>
      </c>
      <c r="AC812" t="str">
        <f t="shared" si="234"/>
        <v>0P0</v>
      </c>
      <c r="AD812" t="str">
        <f t="shared" si="235"/>
        <v>P00</v>
      </c>
      <c r="AE812" t="str">
        <f t="shared" si="236"/>
        <v>0P0</v>
      </c>
      <c r="AF812" t="str">
        <f t="shared" si="237"/>
        <v>P00</v>
      </c>
      <c r="AG812" t="str">
        <f t="shared" si="243"/>
        <v>0P00</v>
      </c>
      <c r="AH812" t="str">
        <f t="shared" si="244"/>
        <v>P000</v>
      </c>
      <c r="AI812" t="str">
        <f t="shared" si="245"/>
        <v>0P00</v>
      </c>
      <c r="AJ812" t="str">
        <f t="shared" si="246"/>
        <v>P000</v>
      </c>
    </row>
    <row r="813" spans="1:36" x14ac:dyDescent="0.25">
      <c r="A813" s="325" t="str">
        <f>CONCATENATE("P",'906MP'!M513)</f>
        <v>P</v>
      </c>
      <c r="B813">
        <f>'906MP'!H513</f>
        <v>0</v>
      </c>
      <c r="C813">
        <f>'906MP'!J513</f>
        <v>0</v>
      </c>
      <c r="D813">
        <f>'906MP'!P513</f>
        <v>0</v>
      </c>
      <c r="E813">
        <f>'906MP'!X513</f>
        <v>0</v>
      </c>
      <c r="F813" t="str">
        <f t="shared" si="238"/>
        <v>0</v>
      </c>
      <c r="G813" t="str">
        <f t="shared" si="239"/>
        <v>0</v>
      </c>
      <c r="H813">
        <f>'906MP'!Y513</f>
        <v>0</v>
      </c>
      <c r="I813">
        <f>'906MP'!AK513</f>
        <v>0</v>
      </c>
      <c r="J813">
        <f>'906MP'!T513</f>
        <v>0</v>
      </c>
      <c r="K813">
        <f>'906MP'!AJ513</f>
        <v>0</v>
      </c>
      <c r="L813">
        <f>'906MP'!U513</f>
        <v>0</v>
      </c>
      <c r="M813" s="322" t="str">
        <f>IFERROR(VLOOKUP(A813,PAR!$D$3:$E$53,2,FALSE),"nincs szervezet")</f>
        <v>nincs szervezet</v>
      </c>
      <c r="N813" s="322" t="str">
        <f>VLOOKUP(F813,PAR!$R$3:$S$5,2,FALSE)</f>
        <v>3 - egyik sem</v>
      </c>
      <c r="O813" t="str">
        <f>IFERROR(VLOOKUP(J813,PAR!$O$3:$P$5,2,FALSE),"nincs feladat")</f>
        <v>nincs feladat</v>
      </c>
      <c r="P813" t="str">
        <f>IFERROR(VLOOKUP(G813,PAR!$J$2:$M$19,4),"nincs rovat")</f>
        <v>nincs rovat</v>
      </c>
      <c r="Q813" t="str">
        <f>IF(H813&gt;0,VLOOKUP(H813,PAR!$AA$3:$AC$187,3,FALSE),"nincs főkönyvi számla")</f>
        <v>nincs főkönyvi számla</v>
      </c>
      <c r="R813" t="str">
        <f>IFERROR(VLOOKUP(K813,PAR!$V$3:$X$438,3,FALSE),"000000 - Nincs COFOG")</f>
        <v>000000 - Nincs COFOG</v>
      </c>
      <c r="S813">
        <f t="shared" si="240"/>
        <v>0</v>
      </c>
      <c r="T813">
        <f t="shared" si="241"/>
        <v>0</v>
      </c>
      <c r="U813" t="str">
        <f>IF('906MP'!J513&gt;0,CONCATENATE('906MP'!J513," - ",'906MP'!P513,", ",'906MP'!E513),"nincs megjegyzés")</f>
        <v>nincs megjegyzés</v>
      </c>
      <c r="V813" t="str">
        <f t="shared" si="228"/>
        <v>0P0</v>
      </c>
      <c r="W813" t="str">
        <f t="shared" si="229"/>
        <v>0P0</v>
      </c>
      <c r="X813" t="str">
        <f t="shared" si="230"/>
        <v>P0</v>
      </c>
      <c r="Y813" t="str">
        <f t="shared" si="231"/>
        <v>00</v>
      </c>
      <c r="Z813" t="str">
        <f t="shared" si="242"/>
        <v>00</v>
      </c>
      <c r="AA813" t="str">
        <f t="shared" si="232"/>
        <v>00</v>
      </c>
      <c r="AB813" t="str">
        <f t="shared" si="233"/>
        <v>00</v>
      </c>
      <c r="AC813" t="str">
        <f t="shared" si="234"/>
        <v>0P0</v>
      </c>
      <c r="AD813" t="str">
        <f t="shared" si="235"/>
        <v>P00</v>
      </c>
      <c r="AE813" t="str">
        <f t="shared" si="236"/>
        <v>0P0</v>
      </c>
      <c r="AF813" t="str">
        <f t="shared" si="237"/>
        <v>P00</v>
      </c>
      <c r="AG813" t="str">
        <f t="shared" si="243"/>
        <v>0P00</v>
      </c>
      <c r="AH813" t="str">
        <f t="shared" si="244"/>
        <v>P000</v>
      </c>
      <c r="AI813" t="str">
        <f t="shared" si="245"/>
        <v>0P00</v>
      </c>
      <c r="AJ813" t="str">
        <f t="shared" si="246"/>
        <v>P000</v>
      </c>
    </row>
    <row r="814" spans="1:36" x14ac:dyDescent="0.25">
      <c r="A814" s="325" t="str">
        <f>CONCATENATE("P",'906MP'!M514)</f>
        <v>P</v>
      </c>
      <c r="B814">
        <f>'906MP'!H514</f>
        <v>0</v>
      </c>
      <c r="C814">
        <f>'906MP'!J514</f>
        <v>0</v>
      </c>
      <c r="D814">
        <f>'906MP'!P514</f>
        <v>0</v>
      </c>
      <c r="E814">
        <f>'906MP'!X514</f>
        <v>0</v>
      </c>
      <c r="F814" t="str">
        <f t="shared" si="238"/>
        <v>0</v>
      </c>
      <c r="G814" t="str">
        <f t="shared" si="239"/>
        <v>0</v>
      </c>
      <c r="H814">
        <f>'906MP'!Y514</f>
        <v>0</v>
      </c>
      <c r="I814">
        <f>'906MP'!AK514</f>
        <v>0</v>
      </c>
      <c r="J814">
        <f>'906MP'!T514</f>
        <v>0</v>
      </c>
      <c r="K814">
        <f>'906MP'!AJ514</f>
        <v>0</v>
      </c>
      <c r="L814">
        <f>'906MP'!U514</f>
        <v>0</v>
      </c>
      <c r="M814" s="322" t="str">
        <f>IFERROR(VLOOKUP(A814,PAR!$D$3:$E$53,2,FALSE),"nincs szervezet")</f>
        <v>nincs szervezet</v>
      </c>
      <c r="N814" s="322" t="str">
        <f>VLOOKUP(F814,PAR!$R$3:$S$5,2,FALSE)</f>
        <v>3 - egyik sem</v>
      </c>
      <c r="O814" t="str">
        <f>IFERROR(VLOOKUP(J814,PAR!$O$3:$P$5,2,FALSE),"nincs feladat")</f>
        <v>nincs feladat</v>
      </c>
      <c r="P814" t="str">
        <f>IFERROR(VLOOKUP(G814,PAR!$J$2:$M$19,4),"nincs rovat")</f>
        <v>nincs rovat</v>
      </c>
      <c r="Q814" t="str">
        <f>IF(H814&gt;0,VLOOKUP(H814,PAR!$AA$3:$AC$187,3,FALSE),"nincs főkönyvi számla")</f>
        <v>nincs főkönyvi számla</v>
      </c>
      <c r="R814" t="str">
        <f>IFERROR(VLOOKUP(K814,PAR!$V$3:$X$438,3,FALSE),"000000 - Nincs COFOG")</f>
        <v>000000 - Nincs COFOG</v>
      </c>
      <c r="S814">
        <f t="shared" si="240"/>
        <v>0</v>
      </c>
      <c r="T814">
        <f t="shared" si="241"/>
        <v>0</v>
      </c>
      <c r="U814" t="str">
        <f>IF('906MP'!J514&gt;0,CONCATENATE('906MP'!J514," - ",'906MP'!P514,", ",'906MP'!E514),"nincs megjegyzés")</f>
        <v>nincs megjegyzés</v>
      </c>
      <c r="V814" t="str">
        <f t="shared" si="228"/>
        <v>0P0</v>
      </c>
      <c r="W814" t="str">
        <f t="shared" si="229"/>
        <v>0P0</v>
      </c>
      <c r="X814" t="str">
        <f t="shared" si="230"/>
        <v>P0</v>
      </c>
      <c r="Y814" t="str">
        <f t="shared" si="231"/>
        <v>00</v>
      </c>
      <c r="Z814" t="str">
        <f t="shared" si="242"/>
        <v>00</v>
      </c>
      <c r="AA814" t="str">
        <f t="shared" si="232"/>
        <v>00</v>
      </c>
      <c r="AB814" t="str">
        <f t="shared" si="233"/>
        <v>00</v>
      </c>
      <c r="AC814" t="str">
        <f t="shared" si="234"/>
        <v>0P0</v>
      </c>
      <c r="AD814" t="str">
        <f t="shared" si="235"/>
        <v>P00</v>
      </c>
      <c r="AE814" t="str">
        <f t="shared" si="236"/>
        <v>0P0</v>
      </c>
      <c r="AF814" t="str">
        <f t="shared" si="237"/>
        <v>P00</v>
      </c>
      <c r="AG814" t="str">
        <f t="shared" si="243"/>
        <v>0P00</v>
      </c>
      <c r="AH814" t="str">
        <f t="shared" si="244"/>
        <v>P000</v>
      </c>
      <c r="AI814" t="str">
        <f t="shared" si="245"/>
        <v>0P00</v>
      </c>
      <c r="AJ814" t="str">
        <f t="shared" si="246"/>
        <v>P000</v>
      </c>
    </row>
    <row r="815" spans="1:36" x14ac:dyDescent="0.25">
      <c r="A815" s="325" t="str">
        <f>CONCATENATE("P",'906MP'!M515)</f>
        <v>P</v>
      </c>
      <c r="B815">
        <f>'906MP'!H515</f>
        <v>0</v>
      </c>
      <c r="C815">
        <f>'906MP'!J515</f>
        <v>0</v>
      </c>
      <c r="D815">
        <f>'906MP'!P515</f>
        <v>0</v>
      </c>
      <c r="E815">
        <f>'906MP'!X515</f>
        <v>0</v>
      </c>
      <c r="F815" t="str">
        <f t="shared" si="238"/>
        <v>0</v>
      </c>
      <c r="G815" t="str">
        <f t="shared" si="239"/>
        <v>0</v>
      </c>
      <c r="H815">
        <f>'906MP'!Y515</f>
        <v>0</v>
      </c>
      <c r="I815">
        <f>'906MP'!AK515</f>
        <v>0</v>
      </c>
      <c r="J815">
        <f>'906MP'!T515</f>
        <v>0</v>
      </c>
      <c r="K815">
        <f>'906MP'!AJ515</f>
        <v>0</v>
      </c>
      <c r="L815">
        <f>'906MP'!U515</f>
        <v>0</v>
      </c>
      <c r="M815" s="322" t="str">
        <f>IFERROR(VLOOKUP(A815,PAR!$D$3:$E$53,2,FALSE),"nincs szervezet")</f>
        <v>nincs szervezet</v>
      </c>
      <c r="N815" s="322" t="str">
        <f>VLOOKUP(F815,PAR!$R$3:$S$5,2,FALSE)</f>
        <v>3 - egyik sem</v>
      </c>
      <c r="O815" t="str">
        <f>IFERROR(VLOOKUP(J815,PAR!$O$3:$P$5,2,FALSE),"nincs feladat")</f>
        <v>nincs feladat</v>
      </c>
      <c r="P815" t="str">
        <f>IFERROR(VLOOKUP(G815,PAR!$J$2:$M$19,4),"nincs rovat")</f>
        <v>nincs rovat</v>
      </c>
      <c r="Q815" t="str">
        <f>IF(H815&gt;0,VLOOKUP(H815,PAR!$AA$3:$AC$187,3,FALSE),"nincs főkönyvi számla")</f>
        <v>nincs főkönyvi számla</v>
      </c>
      <c r="R815" t="str">
        <f>IFERROR(VLOOKUP(K815,PAR!$V$3:$X$438,3,FALSE),"000000 - Nincs COFOG")</f>
        <v>000000 - Nincs COFOG</v>
      </c>
      <c r="S815">
        <f t="shared" si="240"/>
        <v>0</v>
      </c>
      <c r="T815">
        <f t="shared" si="241"/>
        <v>0</v>
      </c>
      <c r="U815" t="str">
        <f>IF('906MP'!J515&gt;0,CONCATENATE('906MP'!J515," - ",'906MP'!P515,", ",'906MP'!E515),"nincs megjegyzés")</f>
        <v>nincs megjegyzés</v>
      </c>
      <c r="V815" t="str">
        <f t="shared" si="228"/>
        <v>0P0</v>
      </c>
      <c r="W815" t="str">
        <f t="shared" si="229"/>
        <v>0P0</v>
      </c>
      <c r="X815" t="str">
        <f t="shared" si="230"/>
        <v>P0</v>
      </c>
      <c r="Y815" t="str">
        <f t="shared" si="231"/>
        <v>00</v>
      </c>
      <c r="Z815" t="str">
        <f t="shared" si="242"/>
        <v>00</v>
      </c>
      <c r="AA815" t="str">
        <f t="shared" si="232"/>
        <v>00</v>
      </c>
      <c r="AB815" t="str">
        <f t="shared" si="233"/>
        <v>00</v>
      </c>
      <c r="AC815" t="str">
        <f t="shared" si="234"/>
        <v>0P0</v>
      </c>
      <c r="AD815" t="str">
        <f t="shared" si="235"/>
        <v>P00</v>
      </c>
      <c r="AE815" t="str">
        <f t="shared" si="236"/>
        <v>0P0</v>
      </c>
      <c r="AF815" t="str">
        <f t="shared" si="237"/>
        <v>P00</v>
      </c>
      <c r="AG815" t="str">
        <f t="shared" si="243"/>
        <v>0P00</v>
      </c>
      <c r="AH815" t="str">
        <f t="shared" si="244"/>
        <v>P000</v>
      </c>
      <c r="AI815" t="str">
        <f t="shared" si="245"/>
        <v>0P00</v>
      </c>
      <c r="AJ815" t="str">
        <f t="shared" si="246"/>
        <v>P000</v>
      </c>
    </row>
    <row r="816" spans="1:36" x14ac:dyDescent="0.25">
      <c r="A816" s="325" t="str">
        <f>CONCATENATE("P",'906MP'!M516)</f>
        <v>P</v>
      </c>
      <c r="B816">
        <f>'906MP'!H516</f>
        <v>0</v>
      </c>
      <c r="C816">
        <f>'906MP'!J516</f>
        <v>0</v>
      </c>
      <c r="D816">
        <f>'906MP'!P516</f>
        <v>0</v>
      </c>
      <c r="E816">
        <f>'906MP'!X516</f>
        <v>0</v>
      </c>
      <c r="F816" t="str">
        <f t="shared" si="238"/>
        <v>0</v>
      </c>
      <c r="G816" t="str">
        <f t="shared" si="239"/>
        <v>0</v>
      </c>
      <c r="H816">
        <f>'906MP'!Y516</f>
        <v>0</v>
      </c>
      <c r="I816">
        <f>'906MP'!AK516</f>
        <v>0</v>
      </c>
      <c r="J816">
        <f>'906MP'!T516</f>
        <v>0</v>
      </c>
      <c r="K816">
        <f>'906MP'!AJ516</f>
        <v>0</v>
      </c>
      <c r="L816">
        <f>'906MP'!U516</f>
        <v>0</v>
      </c>
      <c r="M816" s="322" t="str">
        <f>IFERROR(VLOOKUP(A816,PAR!$D$3:$E$53,2,FALSE),"nincs szervezet")</f>
        <v>nincs szervezet</v>
      </c>
      <c r="N816" s="322" t="str">
        <f>VLOOKUP(F816,PAR!$R$3:$S$5,2,FALSE)</f>
        <v>3 - egyik sem</v>
      </c>
      <c r="O816" t="str">
        <f>IFERROR(VLOOKUP(J816,PAR!$O$3:$P$5,2,FALSE),"nincs feladat")</f>
        <v>nincs feladat</v>
      </c>
      <c r="P816" t="str">
        <f>IFERROR(VLOOKUP(G816,PAR!$J$2:$M$19,4),"nincs rovat")</f>
        <v>nincs rovat</v>
      </c>
      <c r="Q816" t="str">
        <f>IF(H816&gt;0,VLOOKUP(H816,PAR!$AA$3:$AC$187,3,FALSE),"nincs főkönyvi számla")</f>
        <v>nincs főkönyvi számla</v>
      </c>
      <c r="R816" t="str">
        <f>IFERROR(VLOOKUP(K816,PAR!$V$3:$X$438,3,FALSE),"000000 - Nincs COFOG")</f>
        <v>000000 - Nincs COFOG</v>
      </c>
      <c r="S816">
        <f t="shared" si="240"/>
        <v>0</v>
      </c>
      <c r="T816">
        <f t="shared" si="241"/>
        <v>0</v>
      </c>
      <c r="U816" t="str">
        <f>IF('906MP'!J516&gt;0,CONCATENATE('906MP'!J516," - ",'906MP'!P516,", ",'906MP'!E516),"nincs megjegyzés")</f>
        <v>nincs megjegyzés</v>
      </c>
      <c r="V816" t="str">
        <f t="shared" si="228"/>
        <v>0P0</v>
      </c>
      <c r="W816" t="str">
        <f t="shared" si="229"/>
        <v>0P0</v>
      </c>
      <c r="X816" t="str">
        <f t="shared" si="230"/>
        <v>P0</v>
      </c>
      <c r="Y816" t="str">
        <f t="shared" si="231"/>
        <v>00</v>
      </c>
      <c r="Z816" t="str">
        <f t="shared" si="242"/>
        <v>00</v>
      </c>
      <c r="AA816" t="str">
        <f t="shared" si="232"/>
        <v>00</v>
      </c>
      <c r="AB816" t="str">
        <f t="shared" si="233"/>
        <v>00</v>
      </c>
      <c r="AC816" t="str">
        <f t="shared" si="234"/>
        <v>0P0</v>
      </c>
      <c r="AD816" t="str">
        <f t="shared" si="235"/>
        <v>P00</v>
      </c>
      <c r="AE816" t="str">
        <f t="shared" si="236"/>
        <v>0P0</v>
      </c>
      <c r="AF816" t="str">
        <f t="shared" si="237"/>
        <v>P00</v>
      </c>
      <c r="AG816" t="str">
        <f t="shared" si="243"/>
        <v>0P00</v>
      </c>
      <c r="AH816" t="str">
        <f t="shared" si="244"/>
        <v>P000</v>
      </c>
      <c r="AI816" t="str">
        <f t="shared" si="245"/>
        <v>0P00</v>
      </c>
      <c r="AJ816" t="str">
        <f t="shared" si="246"/>
        <v>P000</v>
      </c>
    </row>
    <row r="817" spans="1:36" x14ac:dyDescent="0.25">
      <c r="A817" s="325" t="str">
        <f>CONCATENATE("P",'906MP'!M517)</f>
        <v>P</v>
      </c>
      <c r="B817">
        <f>'906MP'!H517</f>
        <v>0</v>
      </c>
      <c r="C817">
        <f>'906MP'!J517</f>
        <v>0</v>
      </c>
      <c r="D817">
        <f>'906MP'!P517</f>
        <v>0</v>
      </c>
      <c r="E817">
        <f>'906MP'!X517</f>
        <v>0</v>
      </c>
      <c r="F817" t="str">
        <f t="shared" si="238"/>
        <v>0</v>
      </c>
      <c r="G817" t="str">
        <f t="shared" si="239"/>
        <v>0</v>
      </c>
      <c r="H817">
        <f>'906MP'!Y517</f>
        <v>0</v>
      </c>
      <c r="I817">
        <f>'906MP'!AK517</f>
        <v>0</v>
      </c>
      <c r="J817">
        <f>'906MP'!T517</f>
        <v>0</v>
      </c>
      <c r="K817">
        <f>'906MP'!AJ517</f>
        <v>0</v>
      </c>
      <c r="L817">
        <f>'906MP'!U517</f>
        <v>0</v>
      </c>
      <c r="M817" s="322" t="str">
        <f>IFERROR(VLOOKUP(A817,PAR!$D$3:$E$53,2,FALSE),"nincs szervezet")</f>
        <v>nincs szervezet</v>
      </c>
      <c r="N817" s="322" t="str">
        <f>VLOOKUP(F817,PAR!$R$3:$S$5,2,FALSE)</f>
        <v>3 - egyik sem</v>
      </c>
      <c r="O817" t="str">
        <f>IFERROR(VLOOKUP(J817,PAR!$O$3:$P$5,2,FALSE),"nincs feladat")</f>
        <v>nincs feladat</v>
      </c>
      <c r="P817" t="str">
        <f>IFERROR(VLOOKUP(G817,PAR!$J$2:$M$19,4),"nincs rovat")</f>
        <v>nincs rovat</v>
      </c>
      <c r="Q817" t="str">
        <f>IF(H817&gt;0,VLOOKUP(H817,PAR!$AA$3:$AC$187,3,FALSE),"nincs főkönyvi számla")</f>
        <v>nincs főkönyvi számla</v>
      </c>
      <c r="R817" t="str">
        <f>IFERROR(VLOOKUP(K817,PAR!$V$3:$X$438,3,FALSE),"000000 - Nincs COFOG")</f>
        <v>000000 - Nincs COFOG</v>
      </c>
      <c r="S817">
        <f t="shared" si="240"/>
        <v>0</v>
      </c>
      <c r="T817">
        <f t="shared" si="241"/>
        <v>0</v>
      </c>
      <c r="U817" t="str">
        <f>IF('906MP'!J517&gt;0,CONCATENATE('906MP'!J517," - ",'906MP'!P517,", ",'906MP'!E517),"nincs megjegyzés")</f>
        <v>nincs megjegyzés</v>
      </c>
      <c r="V817" t="str">
        <f t="shared" si="228"/>
        <v>0P0</v>
      </c>
      <c r="W817" t="str">
        <f t="shared" si="229"/>
        <v>0P0</v>
      </c>
      <c r="X817" t="str">
        <f t="shared" si="230"/>
        <v>P0</v>
      </c>
      <c r="Y817" t="str">
        <f t="shared" si="231"/>
        <v>00</v>
      </c>
      <c r="Z817" t="str">
        <f t="shared" si="242"/>
        <v>00</v>
      </c>
      <c r="AA817" t="str">
        <f t="shared" si="232"/>
        <v>00</v>
      </c>
      <c r="AB817" t="str">
        <f t="shared" si="233"/>
        <v>00</v>
      </c>
      <c r="AC817" t="str">
        <f t="shared" si="234"/>
        <v>0P0</v>
      </c>
      <c r="AD817" t="str">
        <f t="shared" si="235"/>
        <v>P00</v>
      </c>
      <c r="AE817" t="str">
        <f t="shared" si="236"/>
        <v>0P0</v>
      </c>
      <c r="AF817" t="str">
        <f t="shared" si="237"/>
        <v>P00</v>
      </c>
      <c r="AG817" t="str">
        <f t="shared" si="243"/>
        <v>0P00</v>
      </c>
      <c r="AH817" t="str">
        <f t="shared" si="244"/>
        <v>P000</v>
      </c>
      <c r="AI817" t="str">
        <f t="shared" si="245"/>
        <v>0P00</v>
      </c>
      <c r="AJ817" t="str">
        <f t="shared" si="246"/>
        <v>P000</v>
      </c>
    </row>
    <row r="818" spans="1:36" x14ac:dyDescent="0.25">
      <c r="A818" s="325" t="str">
        <f>CONCATENATE("P",'906MP'!M518)</f>
        <v>P</v>
      </c>
      <c r="B818">
        <f>'906MP'!H518</f>
        <v>0</v>
      </c>
      <c r="C818">
        <f>'906MP'!J518</f>
        <v>0</v>
      </c>
      <c r="D818">
        <f>'906MP'!P518</f>
        <v>0</v>
      </c>
      <c r="E818">
        <f>'906MP'!X518</f>
        <v>0</v>
      </c>
      <c r="F818" t="str">
        <f t="shared" si="238"/>
        <v>0</v>
      </c>
      <c r="G818" t="str">
        <f t="shared" si="239"/>
        <v>0</v>
      </c>
      <c r="H818">
        <f>'906MP'!Y518</f>
        <v>0</v>
      </c>
      <c r="I818">
        <f>'906MP'!AK518</f>
        <v>0</v>
      </c>
      <c r="J818">
        <f>'906MP'!T518</f>
        <v>0</v>
      </c>
      <c r="K818">
        <f>'906MP'!AJ518</f>
        <v>0</v>
      </c>
      <c r="L818">
        <f>'906MP'!U518</f>
        <v>0</v>
      </c>
      <c r="M818" s="322" t="str">
        <f>IFERROR(VLOOKUP(A818,PAR!$D$3:$E$53,2,FALSE),"nincs szervezet")</f>
        <v>nincs szervezet</v>
      </c>
      <c r="N818" s="322" t="str">
        <f>VLOOKUP(F818,PAR!$R$3:$S$5,2,FALSE)</f>
        <v>3 - egyik sem</v>
      </c>
      <c r="O818" t="str">
        <f>IFERROR(VLOOKUP(J818,PAR!$O$3:$P$5,2,FALSE),"nincs feladat")</f>
        <v>nincs feladat</v>
      </c>
      <c r="P818" t="str">
        <f>IFERROR(VLOOKUP(G818,PAR!$J$2:$M$19,4),"nincs rovat")</f>
        <v>nincs rovat</v>
      </c>
      <c r="Q818" t="str">
        <f>IF(H818&gt;0,VLOOKUP(H818,PAR!$AA$3:$AC$187,3,FALSE),"nincs főkönyvi számla")</f>
        <v>nincs főkönyvi számla</v>
      </c>
      <c r="R818" t="str">
        <f>IFERROR(VLOOKUP(K818,PAR!$V$3:$X$438,3,FALSE),"000000 - Nincs COFOG")</f>
        <v>000000 - Nincs COFOG</v>
      </c>
      <c r="S818">
        <f t="shared" si="240"/>
        <v>0</v>
      </c>
      <c r="T818">
        <f t="shared" si="241"/>
        <v>0</v>
      </c>
      <c r="U818" t="str">
        <f>IF('906MP'!J518&gt;0,CONCATENATE('906MP'!J518," - ",'906MP'!P518,", ",'906MP'!E518),"nincs megjegyzés")</f>
        <v>nincs megjegyzés</v>
      </c>
      <c r="V818" t="str">
        <f t="shared" si="228"/>
        <v>0P0</v>
      </c>
      <c r="W818" t="str">
        <f t="shared" si="229"/>
        <v>0P0</v>
      </c>
      <c r="X818" t="str">
        <f t="shared" si="230"/>
        <v>P0</v>
      </c>
      <c r="Y818" t="str">
        <f t="shared" si="231"/>
        <v>00</v>
      </c>
      <c r="Z818" t="str">
        <f t="shared" si="242"/>
        <v>00</v>
      </c>
      <c r="AA818" t="str">
        <f t="shared" si="232"/>
        <v>00</v>
      </c>
      <c r="AB818" t="str">
        <f t="shared" si="233"/>
        <v>00</v>
      </c>
      <c r="AC818" t="str">
        <f t="shared" si="234"/>
        <v>0P0</v>
      </c>
      <c r="AD818" t="str">
        <f t="shared" si="235"/>
        <v>P00</v>
      </c>
      <c r="AE818" t="str">
        <f t="shared" si="236"/>
        <v>0P0</v>
      </c>
      <c r="AF818" t="str">
        <f t="shared" si="237"/>
        <v>P00</v>
      </c>
      <c r="AG818" t="str">
        <f t="shared" si="243"/>
        <v>0P00</v>
      </c>
      <c r="AH818" t="str">
        <f t="shared" si="244"/>
        <v>P000</v>
      </c>
      <c r="AI818" t="str">
        <f t="shared" si="245"/>
        <v>0P00</v>
      </c>
      <c r="AJ818" t="str">
        <f t="shared" si="246"/>
        <v>P000</v>
      </c>
    </row>
    <row r="819" spans="1:36" x14ac:dyDescent="0.25">
      <c r="A819" s="325" t="str">
        <f>CONCATENATE("P",'906MP'!M519)</f>
        <v>P</v>
      </c>
      <c r="B819">
        <f>'906MP'!H519</f>
        <v>0</v>
      </c>
      <c r="C819">
        <f>'906MP'!J519</f>
        <v>0</v>
      </c>
      <c r="D819">
        <f>'906MP'!P519</f>
        <v>0</v>
      </c>
      <c r="E819">
        <f>'906MP'!X519</f>
        <v>0</v>
      </c>
      <c r="F819" t="str">
        <f t="shared" si="238"/>
        <v>0</v>
      </c>
      <c r="G819" t="str">
        <f t="shared" si="239"/>
        <v>0</v>
      </c>
      <c r="H819">
        <f>'906MP'!Y519</f>
        <v>0</v>
      </c>
      <c r="I819">
        <f>'906MP'!AK519</f>
        <v>0</v>
      </c>
      <c r="J819">
        <f>'906MP'!T519</f>
        <v>0</v>
      </c>
      <c r="K819">
        <f>'906MP'!AJ519</f>
        <v>0</v>
      </c>
      <c r="L819">
        <f>'906MP'!U519</f>
        <v>0</v>
      </c>
      <c r="M819" s="322" t="str">
        <f>IFERROR(VLOOKUP(A819,PAR!$D$3:$E$53,2,FALSE),"nincs szervezet")</f>
        <v>nincs szervezet</v>
      </c>
      <c r="N819" s="322" t="str">
        <f>VLOOKUP(F819,PAR!$R$3:$S$5,2,FALSE)</f>
        <v>3 - egyik sem</v>
      </c>
      <c r="O819" t="str">
        <f>IFERROR(VLOOKUP(J819,PAR!$O$3:$P$5,2,FALSE),"nincs feladat")</f>
        <v>nincs feladat</v>
      </c>
      <c r="P819" t="str">
        <f>IFERROR(VLOOKUP(G819,PAR!$J$2:$M$19,4),"nincs rovat")</f>
        <v>nincs rovat</v>
      </c>
      <c r="Q819" t="str">
        <f>IF(H819&gt;0,VLOOKUP(H819,PAR!$AA$3:$AC$187,3,FALSE),"nincs főkönyvi számla")</f>
        <v>nincs főkönyvi számla</v>
      </c>
      <c r="R819" t="str">
        <f>IFERROR(VLOOKUP(K819,PAR!$V$3:$X$438,3,FALSE),"000000 - Nincs COFOG")</f>
        <v>000000 - Nincs COFOG</v>
      </c>
      <c r="S819">
        <f t="shared" si="240"/>
        <v>0</v>
      </c>
      <c r="T819">
        <f t="shared" si="241"/>
        <v>0</v>
      </c>
      <c r="U819" t="str">
        <f>IF('906MP'!J519&gt;0,CONCATENATE('906MP'!J519," - ",'906MP'!P519,", ",'906MP'!E519),"nincs megjegyzés")</f>
        <v>nincs megjegyzés</v>
      </c>
      <c r="V819" t="str">
        <f t="shared" si="228"/>
        <v>0P0</v>
      </c>
      <c r="W819" t="str">
        <f t="shared" si="229"/>
        <v>0P0</v>
      </c>
      <c r="X819" t="str">
        <f t="shared" si="230"/>
        <v>P0</v>
      </c>
      <c r="Y819" t="str">
        <f t="shared" si="231"/>
        <v>00</v>
      </c>
      <c r="Z819" t="str">
        <f t="shared" si="242"/>
        <v>00</v>
      </c>
      <c r="AA819" t="str">
        <f t="shared" si="232"/>
        <v>00</v>
      </c>
      <c r="AB819" t="str">
        <f t="shared" si="233"/>
        <v>00</v>
      </c>
      <c r="AC819" t="str">
        <f t="shared" si="234"/>
        <v>0P0</v>
      </c>
      <c r="AD819" t="str">
        <f t="shared" si="235"/>
        <v>P00</v>
      </c>
      <c r="AE819" t="str">
        <f t="shared" si="236"/>
        <v>0P0</v>
      </c>
      <c r="AF819" t="str">
        <f t="shared" si="237"/>
        <v>P00</v>
      </c>
      <c r="AG819" t="str">
        <f t="shared" si="243"/>
        <v>0P00</v>
      </c>
      <c r="AH819" t="str">
        <f t="shared" si="244"/>
        <v>P000</v>
      </c>
      <c r="AI819" t="str">
        <f t="shared" si="245"/>
        <v>0P00</v>
      </c>
      <c r="AJ819" t="str">
        <f t="shared" si="246"/>
        <v>P000</v>
      </c>
    </row>
    <row r="820" spans="1:36" x14ac:dyDescent="0.25">
      <c r="A820" s="325" t="str">
        <f>CONCATENATE("P",'906MP'!M520)</f>
        <v>P</v>
      </c>
      <c r="B820">
        <f>'906MP'!H520</f>
        <v>0</v>
      </c>
      <c r="C820">
        <f>'906MP'!J520</f>
        <v>0</v>
      </c>
      <c r="D820">
        <f>'906MP'!P520</f>
        <v>0</v>
      </c>
      <c r="E820">
        <f>'906MP'!X520</f>
        <v>0</v>
      </c>
      <c r="F820" t="str">
        <f t="shared" si="238"/>
        <v>0</v>
      </c>
      <c r="G820" t="str">
        <f t="shared" si="239"/>
        <v>0</v>
      </c>
      <c r="H820">
        <f>'906MP'!Y520</f>
        <v>0</v>
      </c>
      <c r="I820">
        <f>'906MP'!AK520</f>
        <v>0</v>
      </c>
      <c r="J820">
        <f>'906MP'!T520</f>
        <v>0</v>
      </c>
      <c r="K820">
        <f>'906MP'!AJ520</f>
        <v>0</v>
      </c>
      <c r="L820">
        <f>'906MP'!U520</f>
        <v>0</v>
      </c>
      <c r="M820" s="322" t="str">
        <f>IFERROR(VLOOKUP(A820,PAR!$D$3:$E$53,2,FALSE),"nincs szervezet")</f>
        <v>nincs szervezet</v>
      </c>
      <c r="N820" s="322" t="str">
        <f>VLOOKUP(F820,PAR!$R$3:$S$5,2,FALSE)</f>
        <v>3 - egyik sem</v>
      </c>
      <c r="O820" t="str">
        <f>IFERROR(VLOOKUP(J820,PAR!$O$3:$P$5,2,FALSE),"nincs feladat")</f>
        <v>nincs feladat</v>
      </c>
      <c r="P820" t="str">
        <f>IFERROR(VLOOKUP(G820,PAR!$J$2:$M$19,4),"nincs rovat")</f>
        <v>nincs rovat</v>
      </c>
      <c r="Q820" t="str">
        <f>IF(H820&gt;0,VLOOKUP(H820,PAR!$AA$3:$AC$187,3,FALSE),"nincs főkönyvi számla")</f>
        <v>nincs főkönyvi számla</v>
      </c>
      <c r="R820" t="str">
        <f>IFERROR(VLOOKUP(K820,PAR!$V$3:$X$438,3,FALSE),"000000 - Nincs COFOG")</f>
        <v>000000 - Nincs COFOG</v>
      </c>
      <c r="S820">
        <f t="shared" si="240"/>
        <v>0</v>
      </c>
      <c r="T820">
        <f t="shared" si="241"/>
        <v>0</v>
      </c>
      <c r="U820" t="str">
        <f>IF('906MP'!J520&gt;0,CONCATENATE('906MP'!J520," - ",'906MP'!P520,", ",'906MP'!E520),"nincs megjegyzés")</f>
        <v>nincs megjegyzés</v>
      </c>
      <c r="V820" t="str">
        <f t="shared" si="228"/>
        <v>0P0</v>
      </c>
      <c r="W820" t="str">
        <f t="shared" si="229"/>
        <v>0P0</v>
      </c>
      <c r="X820" t="str">
        <f t="shared" si="230"/>
        <v>P0</v>
      </c>
      <c r="Y820" t="str">
        <f t="shared" si="231"/>
        <v>00</v>
      </c>
      <c r="Z820" t="str">
        <f t="shared" si="242"/>
        <v>00</v>
      </c>
      <c r="AA820" t="str">
        <f t="shared" si="232"/>
        <v>00</v>
      </c>
      <c r="AB820" t="str">
        <f t="shared" si="233"/>
        <v>00</v>
      </c>
      <c r="AC820" t="str">
        <f t="shared" si="234"/>
        <v>0P0</v>
      </c>
      <c r="AD820" t="str">
        <f t="shared" si="235"/>
        <v>P00</v>
      </c>
      <c r="AE820" t="str">
        <f t="shared" si="236"/>
        <v>0P0</v>
      </c>
      <c r="AF820" t="str">
        <f t="shared" si="237"/>
        <v>P00</v>
      </c>
      <c r="AG820" t="str">
        <f t="shared" si="243"/>
        <v>0P00</v>
      </c>
      <c r="AH820" t="str">
        <f t="shared" si="244"/>
        <v>P000</v>
      </c>
      <c r="AI820" t="str">
        <f t="shared" si="245"/>
        <v>0P00</v>
      </c>
      <c r="AJ820" t="str">
        <f t="shared" si="246"/>
        <v>P000</v>
      </c>
    </row>
    <row r="821" spans="1:36" x14ac:dyDescent="0.25">
      <c r="A821" s="325" t="str">
        <f>CONCATENATE("P",'906MP'!M521)</f>
        <v>P</v>
      </c>
      <c r="B821">
        <f>'906MP'!H521</f>
        <v>0</v>
      </c>
      <c r="C821">
        <f>'906MP'!J521</f>
        <v>0</v>
      </c>
      <c r="D821">
        <f>'906MP'!P521</f>
        <v>0</v>
      </c>
      <c r="E821">
        <f>'906MP'!X521</f>
        <v>0</v>
      </c>
      <c r="F821" t="str">
        <f t="shared" si="238"/>
        <v>0</v>
      </c>
      <c r="G821" t="str">
        <f t="shared" si="239"/>
        <v>0</v>
      </c>
      <c r="H821">
        <f>'906MP'!Y521</f>
        <v>0</v>
      </c>
      <c r="I821">
        <f>'906MP'!AK521</f>
        <v>0</v>
      </c>
      <c r="J821">
        <f>'906MP'!T521</f>
        <v>0</v>
      </c>
      <c r="K821">
        <f>'906MP'!AJ521</f>
        <v>0</v>
      </c>
      <c r="L821">
        <f>'906MP'!U521</f>
        <v>0</v>
      </c>
      <c r="M821" s="322" t="str">
        <f>IFERROR(VLOOKUP(A821,PAR!$D$3:$E$53,2,FALSE),"nincs szervezet")</f>
        <v>nincs szervezet</v>
      </c>
      <c r="N821" s="322" t="str">
        <f>VLOOKUP(F821,PAR!$R$3:$S$5,2,FALSE)</f>
        <v>3 - egyik sem</v>
      </c>
      <c r="O821" t="str">
        <f>IFERROR(VLOOKUP(J821,PAR!$O$3:$P$5,2,FALSE),"nincs feladat")</f>
        <v>nincs feladat</v>
      </c>
      <c r="P821" t="str">
        <f>IFERROR(VLOOKUP(G821,PAR!$J$2:$M$19,4),"nincs rovat")</f>
        <v>nincs rovat</v>
      </c>
      <c r="Q821" t="str">
        <f>IF(H821&gt;0,VLOOKUP(H821,PAR!$AA$3:$AC$187,3,FALSE),"nincs főkönyvi számla")</f>
        <v>nincs főkönyvi számla</v>
      </c>
      <c r="R821" t="str">
        <f>IFERROR(VLOOKUP(K821,PAR!$V$3:$X$438,3,FALSE),"000000 - Nincs COFOG")</f>
        <v>000000 - Nincs COFOG</v>
      </c>
      <c r="S821">
        <f t="shared" si="240"/>
        <v>0</v>
      </c>
      <c r="T821">
        <f t="shared" si="241"/>
        <v>0</v>
      </c>
      <c r="U821" t="str">
        <f>IF('906MP'!J521&gt;0,CONCATENATE('906MP'!J521," - ",'906MP'!P521,", ",'906MP'!E521),"nincs megjegyzés")</f>
        <v>nincs megjegyzés</v>
      </c>
      <c r="V821" t="str">
        <f t="shared" si="228"/>
        <v>0P0</v>
      </c>
      <c r="W821" t="str">
        <f t="shared" si="229"/>
        <v>0P0</v>
      </c>
      <c r="X821" t="str">
        <f t="shared" si="230"/>
        <v>P0</v>
      </c>
      <c r="Y821" t="str">
        <f t="shared" si="231"/>
        <v>00</v>
      </c>
      <c r="Z821" t="str">
        <f t="shared" si="242"/>
        <v>00</v>
      </c>
      <c r="AA821" t="str">
        <f t="shared" si="232"/>
        <v>00</v>
      </c>
      <c r="AB821" t="str">
        <f t="shared" si="233"/>
        <v>00</v>
      </c>
      <c r="AC821" t="str">
        <f t="shared" si="234"/>
        <v>0P0</v>
      </c>
      <c r="AD821" t="str">
        <f t="shared" si="235"/>
        <v>P00</v>
      </c>
      <c r="AE821" t="str">
        <f t="shared" si="236"/>
        <v>0P0</v>
      </c>
      <c r="AF821" t="str">
        <f t="shared" si="237"/>
        <v>P00</v>
      </c>
      <c r="AG821" t="str">
        <f t="shared" si="243"/>
        <v>0P00</v>
      </c>
      <c r="AH821" t="str">
        <f t="shared" si="244"/>
        <v>P000</v>
      </c>
      <c r="AI821" t="str">
        <f t="shared" si="245"/>
        <v>0P00</v>
      </c>
      <c r="AJ821" t="str">
        <f t="shared" si="246"/>
        <v>P000</v>
      </c>
    </row>
    <row r="822" spans="1:36" x14ac:dyDescent="0.25">
      <c r="A822" s="325" t="str">
        <f>CONCATENATE("P",'906MP'!M522)</f>
        <v>P</v>
      </c>
      <c r="B822">
        <f>'906MP'!H522</f>
        <v>0</v>
      </c>
      <c r="C822">
        <f>'906MP'!J522</f>
        <v>0</v>
      </c>
      <c r="D822">
        <f>'906MP'!P522</f>
        <v>0</v>
      </c>
      <c r="E822">
        <f>'906MP'!X522</f>
        <v>0</v>
      </c>
      <c r="F822" t="str">
        <f t="shared" si="238"/>
        <v>0</v>
      </c>
      <c r="G822" t="str">
        <f t="shared" si="239"/>
        <v>0</v>
      </c>
      <c r="H822">
        <f>'906MP'!Y522</f>
        <v>0</v>
      </c>
      <c r="I822">
        <f>'906MP'!AK522</f>
        <v>0</v>
      </c>
      <c r="J822">
        <f>'906MP'!T522</f>
        <v>0</v>
      </c>
      <c r="K822">
        <f>'906MP'!AJ522</f>
        <v>0</v>
      </c>
      <c r="L822">
        <f>'906MP'!U522</f>
        <v>0</v>
      </c>
      <c r="M822" s="322" t="str">
        <f>IFERROR(VLOOKUP(A822,PAR!$D$3:$E$53,2,FALSE),"nincs szervezet")</f>
        <v>nincs szervezet</v>
      </c>
      <c r="N822" s="322" t="str">
        <f>VLOOKUP(F822,PAR!$R$3:$S$5,2,FALSE)</f>
        <v>3 - egyik sem</v>
      </c>
      <c r="O822" t="str">
        <f>IFERROR(VLOOKUP(J822,PAR!$O$3:$P$5,2,FALSE),"nincs feladat")</f>
        <v>nincs feladat</v>
      </c>
      <c r="P822" t="str">
        <f>IFERROR(VLOOKUP(G822,PAR!$J$2:$M$19,4),"nincs rovat")</f>
        <v>nincs rovat</v>
      </c>
      <c r="Q822" t="str">
        <f>IF(H822&gt;0,VLOOKUP(H822,PAR!$AA$3:$AC$187,3,FALSE),"nincs főkönyvi számla")</f>
        <v>nincs főkönyvi számla</v>
      </c>
      <c r="R822" t="str">
        <f>IFERROR(VLOOKUP(K822,PAR!$V$3:$X$438,3,FALSE),"000000 - Nincs COFOG")</f>
        <v>000000 - Nincs COFOG</v>
      </c>
      <c r="S822">
        <f t="shared" si="240"/>
        <v>0</v>
      </c>
      <c r="T822">
        <f t="shared" si="241"/>
        <v>0</v>
      </c>
      <c r="U822" t="str">
        <f>IF('906MP'!J522&gt;0,CONCATENATE('906MP'!J522," - ",'906MP'!P522,", ",'906MP'!E522),"nincs megjegyzés")</f>
        <v>nincs megjegyzés</v>
      </c>
      <c r="V822" t="str">
        <f t="shared" si="228"/>
        <v>0P0</v>
      </c>
      <c r="W822" t="str">
        <f t="shared" si="229"/>
        <v>0P0</v>
      </c>
      <c r="X822" t="str">
        <f t="shared" si="230"/>
        <v>P0</v>
      </c>
      <c r="Y822" t="str">
        <f t="shared" si="231"/>
        <v>00</v>
      </c>
      <c r="Z822" t="str">
        <f t="shared" si="242"/>
        <v>00</v>
      </c>
      <c r="AA822" t="str">
        <f t="shared" si="232"/>
        <v>00</v>
      </c>
      <c r="AB822" t="str">
        <f t="shared" si="233"/>
        <v>00</v>
      </c>
      <c r="AC822" t="str">
        <f t="shared" si="234"/>
        <v>0P0</v>
      </c>
      <c r="AD822" t="str">
        <f t="shared" si="235"/>
        <v>P00</v>
      </c>
      <c r="AE822" t="str">
        <f t="shared" si="236"/>
        <v>0P0</v>
      </c>
      <c r="AF822" t="str">
        <f t="shared" si="237"/>
        <v>P00</v>
      </c>
      <c r="AG822" t="str">
        <f t="shared" si="243"/>
        <v>0P00</v>
      </c>
      <c r="AH822" t="str">
        <f t="shared" si="244"/>
        <v>P000</v>
      </c>
      <c r="AI822" t="str">
        <f t="shared" si="245"/>
        <v>0P00</v>
      </c>
      <c r="AJ822" t="str">
        <f t="shared" si="246"/>
        <v>P000</v>
      </c>
    </row>
    <row r="823" spans="1:36" x14ac:dyDescent="0.25">
      <c r="A823" s="325" t="str">
        <f>CONCATENATE("P",'906MP'!M523)</f>
        <v>P</v>
      </c>
      <c r="B823">
        <f>'906MP'!H523</f>
        <v>0</v>
      </c>
      <c r="C823">
        <f>'906MP'!J523</f>
        <v>0</v>
      </c>
      <c r="D823">
        <f>'906MP'!P523</f>
        <v>0</v>
      </c>
      <c r="E823">
        <f>'906MP'!X523</f>
        <v>0</v>
      </c>
      <c r="F823" t="str">
        <f t="shared" si="238"/>
        <v>0</v>
      </c>
      <c r="G823" t="str">
        <f t="shared" si="239"/>
        <v>0</v>
      </c>
      <c r="H823">
        <f>'906MP'!Y523</f>
        <v>0</v>
      </c>
      <c r="I823">
        <f>'906MP'!AK523</f>
        <v>0</v>
      </c>
      <c r="J823">
        <f>'906MP'!T523</f>
        <v>0</v>
      </c>
      <c r="K823">
        <f>'906MP'!AJ523</f>
        <v>0</v>
      </c>
      <c r="L823">
        <f>'906MP'!U523</f>
        <v>0</v>
      </c>
      <c r="M823" s="322" t="str">
        <f>IFERROR(VLOOKUP(A823,PAR!$D$3:$E$53,2,FALSE),"nincs szervezet")</f>
        <v>nincs szervezet</v>
      </c>
      <c r="N823" s="322" t="str">
        <f>VLOOKUP(F823,PAR!$R$3:$S$5,2,FALSE)</f>
        <v>3 - egyik sem</v>
      </c>
      <c r="O823" t="str">
        <f>IFERROR(VLOOKUP(J823,PAR!$O$3:$P$5,2,FALSE),"nincs feladat")</f>
        <v>nincs feladat</v>
      </c>
      <c r="P823" t="str">
        <f>IFERROR(VLOOKUP(G823,PAR!$J$2:$M$19,4),"nincs rovat")</f>
        <v>nincs rovat</v>
      </c>
      <c r="Q823" t="str">
        <f>IF(H823&gt;0,VLOOKUP(H823,PAR!$AA$3:$AC$187,3,FALSE),"nincs főkönyvi számla")</f>
        <v>nincs főkönyvi számla</v>
      </c>
      <c r="R823" t="str">
        <f>IFERROR(VLOOKUP(K823,PAR!$V$3:$X$438,3,FALSE),"000000 - Nincs COFOG")</f>
        <v>000000 - Nincs COFOG</v>
      </c>
      <c r="S823">
        <f t="shared" si="240"/>
        <v>0</v>
      </c>
      <c r="T823">
        <f t="shared" si="241"/>
        <v>0</v>
      </c>
      <c r="U823" t="str">
        <f>IF('906MP'!J523&gt;0,CONCATENATE('906MP'!J523," - ",'906MP'!P523,", ",'906MP'!E523),"nincs megjegyzés")</f>
        <v>nincs megjegyzés</v>
      </c>
      <c r="V823" t="str">
        <f t="shared" si="228"/>
        <v>0P0</v>
      </c>
      <c r="W823" t="str">
        <f t="shared" si="229"/>
        <v>0P0</v>
      </c>
      <c r="X823" t="str">
        <f t="shared" si="230"/>
        <v>P0</v>
      </c>
      <c r="Y823" t="str">
        <f t="shared" si="231"/>
        <v>00</v>
      </c>
      <c r="Z823" t="str">
        <f t="shared" si="242"/>
        <v>00</v>
      </c>
      <c r="AA823" t="str">
        <f t="shared" si="232"/>
        <v>00</v>
      </c>
      <c r="AB823" t="str">
        <f t="shared" si="233"/>
        <v>00</v>
      </c>
      <c r="AC823" t="str">
        <f t="shared" si="234"/>
        <v>0P0</v>
      </c>
      <c r="AD823" t="str">
        <f t="shared" si="235"/>
        <v>P00</v>
      </c>
      <c r="AE823" t="str">
        <f t="shared" si="236"/>
        <v>0P0</v>
      </c>
      <c r="AF823" t="str">
        <f t="shared" si="237"/>
        <v>P00</v>
      </c>
      <c r="AG823" t="str">
        <f t="shared" si="243"/>
        <v>0P00</v>
      </c>
      <c r="AH823" t="str">
        <f t="shared" si="244"/>
        <v>P000</v>
      </c>
      <c r="AI823" t="str">
        <f t="shared" si="245"/>
        <v>0P00</v>
      </c>
      <c r="AJ823" t="str">
        <f t="shared" si="246"/>
        <v>P000</v>
      </c>
    </row>
    <row r="824" spans="1:36" x14ac:dyDescent="0.25">
      <c r="A824" s="325" t="str">
        <f>CONCATENATE("P",'906MP'!M524)</f>
        <v>P</v>
      </c>
      <c r="B824">
        <f>'906MP'!H524</f>
        <v>0</v>
      </c>
      <c r="C824">
        <f>'906MP'!J524</f>
        <v>0</v>
      </c>
      <c r="D824">
        <f>'906MP'!P524</f>
        <v>0</v>
      </c>
      <c r="E824">
        <f>'906MP'!X524</f>
        <v>0</v>
      </c>
      <c r="F824" t="str">
        <f t="shared" si="238"/>
        <v>0</v>
      </c>
      <c r="G824" t="str">
        <f t="shared" si="239"/>
        <v>0</v>
      </c>
      <c r="H824">
        <f>'906MP'!Y524</f>
        <v>0</v>
      </c>
      <c r="I824">
        <f>'906MP'!AK524</f>
        <v>0</v>
      </c>
      <c r="J824">
        <f>'906MP'!T524</f>
        <v>0</v>
      </c>
      <c r="K824">
        <f>'906MP'!AJ524</f>
        <v>0</v>
      </c>
      <c r="L824">
        <f>'906MP'!U524</f>
        <v>0</v>
      </c>
      <c r="M824" s="322" t="str">
        <f>IFERROR(VLOOKUP(A824,PAR!$D$3:$E$53,2,FALSE),"nincs szervezet")</f>
        <v>nincs szervezet</v>
      </c>
      <c r="N824" s="322" t="str">
        <f>VLOOKUP(F824,PAR!$R$3:$S$5,2,FALSE)</f>
        <v>3 - egyik sem</v>
      </c>
      <c r="O824" t="str">
        <f>IFERROR(VLOOKUP(J824,PAR!$O$3:$P$5,2,FALSE),"nincs feladat")</f>
        <v>nincs feladat</v>
      </c>
      <c r="P824" t="str">
        <f>IFERROR(VLOOKUP(G824,PAR!$J$2:$M$19,4),"nincs rovat")</f>
        <v>nincs rovat</v>
      </c>
      <c r="Q824" t="str">
        <f>IF(H824&gt;0,VLOOKUP(H824,PAR!$AA$3:$AC$187,3,FALSE),"nincs főkönyvi számla")</f>
        <v>nincs főkönyvi számla</v>
      </c>
      <c r="R824" t="str">
        <f>IFERROR(VLOOKUP(K824,PAR!$V$3:$X$438,3,FALSE),"000000 - Nincs COFOG")</f>
        <v>000000 - Nincs COFOG</v>
      </c>
      <c r="S824">
        <f t="shared" si="240"/>
        <v>0</v>
      </c>
      <c r="T824">
        <f t="shared" si="241"/>
        <v>0</v>
      </c>
      <c r="U824" t="str">
        <f>IF('906MP'!J524&gt;0,CONCATENATE('906MP'!J524," - ",'906MP'!P524,", ",'906MP'!E524),"nincs megjegyzés")</f>
        <v>nincs megjegyzés</v>
      </c>
      <c r="V824" t="str">
        <f t="shared" si="228"/>
        <v>0P0</v>
      </c>
      <c r="W824" t="str">
        <f t="shared" si="229"/>
        <v>0P0</v>
      </c>
      <c r="X824" t="str">
        <f t="shared" si="230"/>
        <v>P0</v>
      </c>
      <c r="Y824" t="str">
        <f t="shared" si="231"/>
        <v>00</v>
      </c>
      <c r="Z824" t="str">
        <f t="shared" si="242"/>
        <v>00</v>
      </c>
      <c r="AA824" t="str">
        <f t="shared" si="232"/>
        <v>00</v>
      </c>
      <c r="AB824" t="str">
        <f t="shared" si="233"/>
        <v>00</v>
      </c>
      <c r="AC824" t="str">
        <f t="shared" si="234"/>
        <v>0P0</v>
      </c>
      <c r="AD824" t="str">
        <f t="shared" si="235"/>
        <v>P00</v>
      </c>
      <c r="AE824" t="str">
        <f t="shared" si="236"/>
        <v>0P0</v>
      </c>
      <c r="AF824" t="str">
        <f t="shared" si="237"/>
        <v>P00</v>
      </c>
      <c r="AG824" t="str">
        <f t="shared" si="243"/>
        <v>0P00</v>
      </c>
      <c r="AH824" t="str">
        <f t="shared" si="244"/>
        <v>P000</v>
      </c>
      <c r="AI824" t="str">
        <f t="shared" si="245"/>
        <v>0P00</v>
      </c>
      <c r="AJ824" t="str">
        <f t="shared" si="246"/>
        <v>P000</v>
      </c>
    </row>
    <row r="825" spans="1:36" x14ac:dyDescent="0.25">
      <c r="A825" s="325" t="str">
        <f>CONCATENATE("P",'906MP'!M525)</f>
        <v>P</v>
      </c>
      <c r="B825">
        <f>'906MP'!H525</f>
        <v>0</v>
      </c>
      <c r="C825">
        <f>'906MP'!J525</f>
        <v>0</v>
      </c>
      <c r="D825">
        <f>'906MP'!P525</f>
        <v>0</v>
      </c>
      <c r="E825">
        <f>'906MP'!X525</f>
        <v>0</v>
      </c>
      <c r="F825" t="str">
        <f t="shared" si="238"/>
        <v>0</v>
      </c>
      <c r="G825" t="str">
        <f t="shared" si="239"/>
        <v>0</v>
      </c>
      <c r="H825">
        <f>'906MP'!Y525</f>
        <v>0</v>
      </c>
      <c r="I825">
        <f>'906MP'!AK525</f>
        <v>0</v>
      </c>
      <c r="J825">
        <f>'906MP'!T525</f>
        <v>0</v>
      </c>
      <c r="K825">
        <f>'906MP'!AJ525</f>
        <v>0</v>
      </c>
      <c r="L825">
        <f>'906MP'!U525</f>
        <v>0</v>
      </c>
      <c r="M825" s="322" t="str">
        <f>IFERROR(VLOOKUP(A825,PAR!$D$3:$E$53,2,FALSE),"nincs szervezet")</f>
        <v>nincs szervezet</v>
      </c>
      <c r="N825" s="322" t="str">
        <f>VLOOKUP(F825,PAR!$R$3:$S$5,2,FALSE)</f>
        <v>3 - egyik sem</v>
      </c>
      <c r="O825" t="str">
        <f>IFERROR(VLOOKUP(J825,PAR!$O$3:$P$5,2,FALSE),"nincs feladat")</f>
        <v>nincs feladat</v>
      </c>
      <c r="P825" t="str">
        <f>IFERROR(VLOOKUP(G825,PAR!$J$2:$M$19,4),"nincs rovat")</f>
        <v>nincs rovat</v>
      </c>
      <c r="Q825" t="str">
        <f>IF(H825&gt;0,VLOOKUP(H825,PAR!$AA$3:$AC$187,3,FALSE),"nincs főkönyvi számla")</f>
        <v>nincs főkönyvi számla</v>
      </c>
      <c r="R825" t="str">
        <f>IFERROR(VLOOKUP(K825,PAR!$V$3:$X$438,3,FALSE),"000000 - Nincs COFOG")</f>
        <v>000000 - Nincs COFOG</v>
      </c>
      <c r="S825">
        <f t="shared" si="240"/>
        <v>0</v>
      </c>
      <c r="T825">
        <f t="shared" si="241"/>
        <v>0</v>
      </c>
      <c r="U825" t="str">
        <f>IF('906MP'!J525&gt;0,CONCATENATE('906MP'!J525," - ",'906MP'!P525,", ",'906MP'!E525),"nincs megjegyzés")</f>
        <v>nincs megjegyzés</v>
      </c>
      <c r="V825" t="str">
        <f t="shared" si="228"/>
        <v>0P0</v>
      </c>
      <c r="W825" t="str">
        <f t="shared" si="229"/>
        <v>0P0</v>
      </c>
      <c r="X825" t="str">
        <f t="shared" si="230"/>
        <v>P0</v>
      </c>
      <c r="Y825" t="str">
        <f t="shared" si="231"/>
        <v>00</v>
      </c>
      <c r="Z825" t="str">
        <f t="shared" si="242"/>
        <v>00</v>
      </c>
      <c r="AA825" t="str">
        <f t="shared" si="232"/>
        <v>00</v>
      </c>
      <c r="AB825" t="str">
        <f t="shared" si="233"/>
        <v>00</v>
      </c>
      <c r="AC825" t="str">
        <f t="shared" si="234"/>
        <v>0P0</v>
      </c>
      <c r="AD825" t="str">
        <f t="shared" si="235"/>
        <v>P00</v>
      </c>
      <c r="AE825" t="str">
        <f t="shared" si="236"/>
        <v>0P0</v>
      </c>
      <c r="AF825" t="str">
        <f t="shared" si="237"/>
        <v>P00</v>
      </c>
      <c r="AG825" t="str">
        <f t="shared" si="243"/>
        <v>0P00</v>
      </c>
      <c r="AH825" t="str">
        <f t="shared" si="244"/>
        <v>P000</v>
      </c>
      <c r="AI825" t="str">
        <f t="shared" si="245"/>
        <v>0P00</v>
      </c>
      <c r="AJ825" t="str">
        <f t="shared" si="246"/>
        <v>P000</v>
      </c>
    </row>
    <row r="826" spans="1:36" x14ac:dyDescent="0.25">
      <c r="A826" s="325" t="str">
        <f>CONCATENATE("P",'906MP'!M526)</f>
        <v>P</v>
      </c>
      <c r="B826">
        <f>'906MP'!H526</f>
        <v>0</v>
      </c>
      <c r="C826">
        <f>'906MP'!J526</f>
        <v>0</v>
      </c>
      <c r="D826">
        <f>'906MP'!P526</f>
        <v>0</v>
      </c>
      <c r="E826">
        <f>'906MP'!X526</f>
        <v>0</v>
      </c>
      <c r="F826" t="str">
        <f t="shared" si="238"/>
        <v>0</v>
      </c>
      <c r="G826" t="str">
        <f t="shared" si="239"/>
        <v>0</v>
      </c>
      <c r="H826">
        <f>'906MP'!Y526</f>
        <v>0</v>
      </c>
      <c r="I826">
        <f>'906MP'!AK526</f>
        <v>0</v>
      </c>
      <c r="J826">
        <f>'906MP'!T526</f>
        <v>0</v>
      </c>
      <c r="K826">
        <f>'906MP'!AJ526</f>
        <v>0</v>
      </c>
      <c r="L826">
        <f>'906MP'!U526</f>
        <v>0</v>
      </c>
      <c r="M826" s="322" t="str">
        <f>IFERROR(VLOOKUP(A826,PAR!$D$3:$E$53,2,FALSE),"nincs szervezet")</f>
        <v>nincs szervezet</v>
      </c>
      <c r="N826" s="322" t="str">
        <f>VLOOKUP(F826,PAR!$R$3:$S$5,2,FALSE)</f>
        <v>3 - egyik sem</v>
      </c>
      <c r="O826" t="str">
        <f>IFERROR(VLOOKUP(J826,PAR!$O$3:$P$5,2,FALSE),"nincs feladat")</f>
        <v>nincs feladat</v>
      </c>
      <c r="P826" t="str">
        <f>IFERROR(VLOOKUP(G826,PAR!$J$2:$M$19,4),"nincs rovat")</f>
        <v>nincs rovat</v>
      </c>
      <c r="Q826" t="str">
        <f>IF(H826&gt;0,VLOOKUP(H826,PAR!$AA$3:$AC$187,3,FALSE),"nincs főkönyvi számla")</f>
        <v>nincs főkönyvi számla</v>
      </c>
      <c r="R826" t="str">
        <f>IFERROR(VLOOKUP(K826,PAR!$V$3:$X$438,3,FALSE),"000000 - Nincs COFOG")</f>
        <v>000000 - Nincs COFOG</v>
      </c>
      <c r="S826">
        <f t="shared" si="240"/>
        <v>0</v>
      </c>
      <c r="T826">
        <f t="shared" si="241"/>
        <v>0</v>
      </c>
      <c r="U826" t="str">
        <f>IF('906MP'!J526&gt;0,CONCATENATE('906MP'!J526," - ",'906MP'!P526,", ",'906MP'!E526),"nincs megjegyzés")</f>
        <v>nincs megjegyzés</v>
      </c>
      <c r="V826" t="str">
        <f t="shared" si="228"/>
        <v>0P0</v>
      </c>
      <c r="W826" t="str">
        <f t="shared" si="229"/>
        <v>0P0</v>
      </c>
      <c r="X826" t="str">
        <f t="shared" si="230"/>
        <v>P0</v>
      </c>
      <c r="Y826" t="str">
        <f t="shared" si="231"/>
        <v>00</v>
      </c>
      <c r="Z826" t="str">
        <f t="shared" si="242"/>
        <v>00</v>
      </c>
      <c r="AA826" t="str">
        <f t="shared" si="232"/>
        <v>00</v>
      </c>
      <c r="AB826" t="str">
        <f t="shared" si="233"/>
        <v>00</v>
      </c>
      <c r="AC826" t="str">
        <f t="shared" si="234"/>
        <v>0P0</v>
      </c>
      <c r="AD826" t="str">
        <f t="shared" si="235"/>
        <v>P00</v>
      </c>
      <c r="AE826" t="str">
        <f t="shared" si="236"/>
        <v>0P0</v>
      </c>
      <c r="AF826" t="str">
        <f t="shared" si="237"/>
        <v>P00</v>
      </c>
      <c r="AG826" t="str">
        <f t="shared" si="243"/>
        <v>0P00</v>
      </c>
      <c r="AH826" t="str">
        <f t="shared" si="244"/>
        <v>P000</v>
      </c>
      <c r="AI826" t="str">
        <f t="shared" si="245"/>
        <v>0P00</v>
      </c>
      <c r="AJ826" t="str">
        <f t="shared" si="246"/>
        <v>P000</v>
      </c>
    </row>
    <row r="827" spans="1:36" x14ac:dyDescent="0.25">
      <c r="A827" s="325" t="str">
        <f>CONCATENATE("P",'906MP'!M527)</f>
        <v>P</v>
      </c>
      <c r="B827">
        <f>'906MP'!H527</f>
        <v>0</v>
      </c>
      <c r="C827">
        <f>'906MP'!J527</f>
        <v>0</v>
      </c>
      <c r="D827">
        <f>'906MP'!P527</f>
        <v>0</v>
      </c>
      <c r="E827">
        <f>'906MP'!X527</f>
        <v>0</v>
      </c>
      <c r="F827" t="str">
        <f t="shared" si="238"/>
        <v>0</v>
      </c>
      <c r="G827" t="str">
        <f t="shared" si="239"/>
        <v>0</v>
      </c>
      <c r="H827">
        <f>'906MP'!Y527</f>
        <v>0</v>
      </c>
      <c r="I827">
        <f>'906MP'!AK527</f>
        <v>0</v>
      </c>
      <c r="J827">
        <f>'906MP'!T527</f>
        <v>0</v>
      </c>
      <c r="K827">
        <f>'906MP'!AJ527</f>
        <v>0</v>
      </c>
      <c r="L827">
        <f>'906MP'!U527</f>
        <v>0</v>
      </c>
      <c r="M827" s="322" t="str">
        <f>IFERROR(VLOOKUP(A827,PAR!$D$3:$E$53,2,FALSE),"nincs szervezet")</f>
        <v>nincs szervezet</v>
      </c>
      <c r="N827" s="322" t="str">
        <f>VLOOKUP(F827,PAR!$R$3:$S$5,2,FALSE)</f>
        <v>3 - egyik sem</v>
      </c>
      <c r="O827" t="str">
        <f>IFERROR(VLOOKUP(J827,PAR!$O$3:$P$5,2,FALSE),"nincs feladat")</f>
        <v>nincs feladat</v>
      </c>
      <c r="P827" t="str">
        <f>IFERROR(VLOOKUP(G827,PAR!$J$2:$M$19,4),"nincs rovat")</f>
        <v>nincs rovat</v>
      </c>
      <c r="Q827" t="str">
        <f>IF(H827&gt;0,VLOOKUP(H827,PAR!$AA$3:$AC$187,3,FALSE),"nincs főkönyvi számla")</f>
        <v>nincs főkönyvi számla</v>
      </c>
      <c r="R827" t="str">
        <f>IFERROR(VLOOKUP(K827,PAR!$V$3:$X$438,3,FALSE),"000000 - Nincs COFOG")</f>
        <v>000000 - Nincs COFOG</v>
      </c>
      <c r="S827">
        <f t="shared" si="240"/>
        <v>0</v>
      </c>
      <c r="T827">
        <f t="shared" si="241"/>
        <v>0</v>
      </c>
      <c r="U827" t="str">
        <f>IF('906MP'!J527&gt;0,CONCATENATE('906MP'!J527," - ",'906MP'!P527,", ",'906MP'!E527),"nincs megjegyzés")</f>
        <v>nincs megjegyzés</v>
      </c>
      <c r="V827" t="str">
        <f t="shared" si="228"/>
        <v>0P0</v>
      </c>
      <c r="W827" t="str">
        <f t="shared" si="229"/>
        <v>0P0</v>
      </c>
      <c r="X827" t="str">
        <f t="shared" si="230"/>
        <v>P0</v>
      </c>
      <c r="Y827" t="str">
        <f t="shared" si="231"/>
        <v>00</v>
      </c>
      <c r="Z827" t="str">
        <f t="shared" si="242"/>
        <v>00</v>
      </c>
      <c r="AA827" t="str">
        <f t="shared" si="232"/>
        <v>00</v>
      </c>
      <c r="AB827" t="str">
        <f t="shared" si="233"/>
        <v>00</v>
      </c>
      <c r="AC827" t="str">
        <f t="shared" si="234"/>
        <v>0P0</v>
      </c>
      <c r="AD827" t="str">
        <f t="shared" si="235"/>
        <v>P00</v>
      </c>
      <c r="AE827" t="str">
        <f t="shared" si="236"/>
        <v>0P0</v>
      </c>
      <c r="AF827" t="str">
        <f t="shared" si="237"/>
        <v>P00</v>
      </c>
      <c r="AG827" t="str">
        <f t="shared" si="243"/>
        <v>0P00</v>
      </c>
      <c r="AH827" t="str">
        <f t="shared" si="244"/>
        <v>P000</v>
      </c>
      <c r="AI827" t="str">
        <f t="shared" si="245"/>
        <v>0P00</v>
      </c>
      <c r="AJ827" t="str">
        <f t="shared" si="246"/>
        <v>P000</v>
      </c>
    </row>
    <row r="828" spans="1:36" x14ac:dyDescent="0.25">
      <c r="A828" s="325" t="str">
        <f>CONCATENATE("P",'906MP'!M528)</f>
        <v>P</v>
      </c>
      <c r="B828">
        <f>'906MP'!H528</f>
        <v>0</v>
      </c>
      <c r="C828">
        <f>'906MP'!J528</f>
        <v>0</v>
      </c>
      <c r="D828">
        <f>'906MP'!P528</f>
        <v>0</v>
      </c>
      <c r="E828">
        <f>'906MP'!X528</f>
        <v>0</v>
      </c>
      <c r="F828" t="str">
        <f t="shared" si="238"/>
        <v>0</v>
      </c>
      <c r="G828" t="str">
        <f t="shared" si="239"/>
        <v>0</v>
      </c>
      <c r="H828">
        <f>'906MP'!Y528</f>
        <v>0</v>
      </c>
      <c r="I828">
        <f>'906MP'!AK528</f>
        <v>0</v>
      </c>
      <c r="J828">
        <f>'906MP'!T528</f>
        <v>0</v>
      </c>
      <c r="K828">
        <f>'906MP'!AJ528</f>
        <v>0</v>
      </c>
      <c r="L828">
        <f>'906MP'!U528</f>
        <v>0</v>
      </c>
      <c r="M828" s="322" t="str">
        <f>IFERROR(VLOOKUP(A828,PAR!$D$3:$E$53,2,FALSE),"nincs szervezet")</f>
        <v>nincs szervezet</v>
      </c>
      <c r="N828" s="322" t="str">
        <f>VLOOKUP(F828,PAR!$R$3:$S$5,2,FALSE)</f>
        <v>3 - egyik sem</v>
      </c>
      <c r="O828" t="str">
        <f>IFERROR(VLOOKUP(J828,PAR!$O$3:$P$5,2,FALSE),"nincs feladat")</f>
        <v>nincs feladat</v>
      </c>
      <c r="P828" t="str">
        <f>IFERROR(VLOOKUP(G828,PAR!$J$2:$M$19,4),"nincs rovat")</f>
        <v>nincs rovat</v>
      </c>
      <c r="Q828" t="str">
        <f>IF(H828&gt;0,VLOOKUP(H828,PAR!$AA$3:$AC$187,3,FALSE),"nincs főkönyvi számla")</f>
        <v>nincs főkönyvi számla</v>
      </c>
      <c r="R828" t="str">
        <f>IFERROR(VLOOKUP(K828,PAR!$V$3:$X$438,3,FALSE),"000000 - Nincs COFOG")</f>
        <v>000000 - Nincs COFOG</v>
      </c>
      <c r="S828">
        <f t="shared" si="240"/>
        <v>0</v>
      </c>
      <c r="T828">
        <f t="shared" si="241"/>
        <v>0</v>
      </c>
      <c r="U828" t="str">
        <f>IF('906MP'!J528&gt;0,CONCATENATE('906MP'!J528," - ",'906MP'!P528,", ",'906MP'!E528),"nincs megjegyzés")</f>
        <v>nincs megjegyzés</v>
      </c>
      <c r="V828" t="str">
        <f t="shared" si="228"/>
        <v>0P0</v>
      </c>
      <c r="W828" t="str">
        <f t="shared" si="229"/>
        <v>0P0</v>
      </c>
      <c r="X828" t="str">
        <f t="shared" si="230"/>
        <v>P0</v>
      </c>
      <c r="Y828" t="str">
        <f t="shared" si="231"/>
        <v>00</v>
      </c>
      <c r="Z828" t="str">
        <f t="shared" si="242"/>
        <v>00</v>
      </c>
      <c r="AA828" t="str">
        <f t="shared" si="232"/>
        <v>00</v>
      </c>
      <c r="AB828" t="str">
        <f t="shared" si="233"/>
        <v>00</v>
      </c>
      <c r="AC828" t="str">
        <f t="shared" si="234"/>
        <v>0P0</v>
      </c>
      <c r="AD828" t="str">
        <f t="shared" si="235"/>
        <v>P00</v>
      </c>
      <c r="AE828" t="str">
        <f t="shared" si="236"/>
        <v>0P0</v>
      </c>
      <c r="AF828" t="str">
        <f t="shared" si="237"/>
        <v>P00</v>
      </c>
      <c r="AG828" t="str">
        <f t="shared" si="243"/>
        <v>0P00</v>
      </c>
      <c r="AH828" t="str">
        <f t="shared" si="244"/>
        <v>P000</v>
      </c>
      <c r="AI828" t="str">
        <f t="shared" si="245"/>
        <v>0P00</v>
      </c>
      <c r="AJ828" t="str">
        <f t="shared" si="246"/>
        <v>P000</v>
      </c>
    </row>
    <row r="829" spans="1:36" x14ac:dyDescent="0.25">
      <c r="A829" s="325" t="str">
        <f>CONCATENATE("P",'906MP'!M529)</f>
        <v>P</v>
      </c>
      <c r="B829">
        <f>'906MP'!H529</f>
        <v>0</v>
      </c>
      <c r="C829">
        <f>'906MP'!J529</f>
        <v>0</v>
      </c>
      <c r="D829">
        <f>'906MP'!P529</f>
        <v>0</v>
      </c>
      <c r="E829">
        <f>'906MP'!X529</f>
        <v>0</v>
      </c>
      <c r="F829" t="str">
        <f t="shared" si="238"/>
        <v>0</v>
      </c>
      <c r="G829" t="str">
        <f t="shared" si="239"/>
        <v>0</v>
      </c>
      <c r="H829">
        <f>'906MP'!Y529</f>
        <v>0</v>
      </c>
      <c r="I829">
        <f>'906MP'!AK529</f>
        <v>0</v>
      </c>
      <c r="J829">
        <f>'906MP'!T529</f>
        <v>0</v>
      </c>
      <c r="K829">
        <f>'906MP'!AJ529</f>
        <v>0</v>
      </c>
      <c r="L829">
        <f>'906MP'!U529</f>
        <v>0</v>
      </c>
      <c r="M829" s="322" t="str">
        <f>IFERROR(VLOOKUP(A829,PAR!$D$3:$E$53,2,FALSE),"nincs szervezet")</f>
        <v>nincs szervezet</v>
      </c>
      <c r="N829" s="322" t="str">
        <f>VLOOKUP(F829,PAR!$R$3:$S$5,2,FALSE)</f>
        <v>3 - egyik sem</v>
      </c>
      <c r="O829" t="str">
        <f>IFERROR(VLOOKUP(J829,PAR!$O$3:$P$5,2,FALSE),"nincs feladat")</f>
        <v>nincs feladat</v>
      </c>
      <c r="P829" t="str">
        <f>IFERROR(VLOOKUP(G829,PAR!$J$2:$M$19,4),"nincs rovat")</f>
        <v>nincs rovat</v>
      </c>
      <c r="Q829" t="str">
        <f>IF(H829&gt;0,VLOOKUP(H829,PAR!$AA$3:$AC$187,3,FALSE),"nincs főkönyvi számla")</f>
        <v>nincs főkönyvi számla</v>
      </c>
      <c r="R829" t="str">
        <f>IFERROR(VLOOKUP(K829,PAR!$V$3:$X$438,3,FALSE),"000000 - Nincs COFOG")</f>
        <v>000000 - Nincs COFOG</v>
      </c>
      <c r="S829">
        <f t="shared" si="240"/>
        <v>0</v>
      </c>
      <c r="T829">
        <f t="shared" si="241"/>
        <v>0</v>
      </c>
      <c r="U829" t="str">
        <f>IF('906MP'!J529&gt;0,CONCATENATE('906MP'!J529," - ",'906MP'!P529,", ",'906MP'!E529),"nincs megjegyzés")</f>
        <v>nincs megjegyzés</v>
      </c>
      <c r="V829" t="str">
        <f t="shared" si="228"/>
        <v>0P0</v>
      </c>
      <c r="W829" t="str">
        <f t="shared" si="229"/>
        <v>0P0</v>
      </c>
      <c r="X829" t="str">
        <f t="shared" si="230"/>
        <v>P0</v>
      </c>
      <c r="Y829" t="str">
        <f t="shared" si="231"/>
        <v>00</v>
      </c>
      <c r="Z829" t="str">
        <f t="shared" si="242"/>
        <v>00</v>
      </c>
      <c r="AA829" t="str">
        <f t="shared" si="232"/>
        <v>00</v>
      </c>
      <c r="AB829" t="str">
        <f t="shared" si="233"/>
        <v>00</v>
      </c>
      <c r="AC829" t="str">
        <f t="shared" si="234"/>
        <v>0P0</v>
      </c>
      <c r="AD829" t="str">
        <f t="shared" si="235"/>
        <v>P00</v>
      </c>
      <c r="AE829" t="str">
        <f t="shared" si="236"/>
        <v>0P0</v>
      </c>
      <c r="AF829" t="str">
        <f t="shared" si="237"/>
        <v>P00</v>
      </c>
      <c r="AG829" t="str">
        <f t="shared" si="243"/>
        <v>0P00</v>
      </c>
      <c r="AH829" t="str">
        <f t="shared" si="244"/>
        <v>P000</v>
      </c>
      <c r="AI829" t="str">
        <f t="shared" si="245"/>
        <v>0P00</v>
      </c>
      <c r="AJ829" t="str">
        <f t="shared" si="246"/>
        <v>P000</v>
      </c>
    </row>
    <row r="830" spans="1:36" x14ac:dyDescent="0.25">
      <c r="A830" s="325" t="str">
        <f>CONCATENATE("P",'906MP'!M530)</f>
        <v>P</v>
      </c>
      <c r="B830">
        <f>'906MP'!H530</f>
        <v>0</v>
      </c>
      <c r="C830">
        <f>'906MP'!J530</f>
        <v>0</v>
      </c>
      <c r="D830">
        <f>'906MP'!P530</f>
        <v>0</v>
      </c>
      <c r="E830">
        <f>'906MP'!X530</f>
        <v>0</v>
      </c>
      <c r="F830" t="str">
        <f t="shared" si="238"/>
        <v>0</v>
      </c>
      <c r="G830" t="str">
        <f t="shared" si="239"/>
        <v>0</v>
      </c>
      <c r="H830">
        <f>'906MP'!Y530</f>
        <v>0</v>
      </c>
      <c r="I830">
        <f>'906MP'!AK530</f>
        <v>0</v>
      </c>
      <c r="J830">
        <f>'906MP'!T530</f>
        <v>0</v>
      </c>
      <c r="K830">
        <f>'906MP'!AJ530</f>
        <v>0</v>
      </c>
      <c r="L830">
        <f>'906MP'!U530</f>
        <v>0</v>
      </c>
      <c r="M830" s="322" t="str">
        <f>IFERROR(VLOOKUP(A830,PAR!$D$3:$E$53,2,FALSE),"nincs szervezet")</f>
        <v>nincs szervezet</v>
      </c>
      <c r="N830" s="322" t="str">
        <f>VLOOKUP(F830,PAR!$R$3:$S$5,2,FALSE)</f>
        <v>3 - egyik sem</v>
      </c>
      <c r="O830" t="str">
        <f>IFERROR(VLOOKUP(J830,PAR!$O$3:$P$5,2,FALSE),"nincs feladat")</f>
        <v>nincs feladat</v>
      </c>
      <c r="P830" t="str">
        <f>IFERROR(VLOOKUP(G830,PAR!$J$2:$M$19,4),"nincs rovat")</f>
        <v>nincs rovat</v>
      </c>
      <c r="Q830" t="str">
        <f>IF(H830&gt;0,VLOOKUP(H830,PAR!$AA$3:$AC$187,3,FALSE),"nincs főkönyvi számla")</f>
        <v>nincs főkönyvi számla</v>
      </c>
      <c r="R830" t="str">
        <f>IFERROR(VLOOKUP(K830,PAR!$V$3:$X$438,3,FALSE),"000000 - Nincs COFOG")</f>
        <v>000000 - Nincs COFOG</v>
      </c>
      <c r="S830">
        <f t="shared" si="240"/>
        <v>0</v>
      </c>
      <c r="T830">
        <f t="shared" si="241"/>
        <v>0</v>
      </c>
      <c r="U830" t="str">
        <f>IF('906MP'!J530&gt;0,CONCATENATE('906MP'!J530," - ",'906MP'!P530,", ",'906MP'!E530),"nincs megjegyzés")</f>
        <v>nincs megjegyzés</v>
      </c>
      <c r="V830" t="str">
        <f t="shared" si="228"/>
        <v>0P0</v>
      </c>
      <c r="W830" t="str">
        <f t="shared" si="229"/>
        <v>0P0</v>
      </c>
      <c r="X830" t="str">
        <f t="shared" si="230"/>
        <v>P0</v>
      </c>
      <c r="Y830" t="str">
        <f t="shared" si="231"/>
        <v>00</v>
      </c>
      <c r="Z830" t="str">
        <f t="shared" si="242"/>
        <v>00</v>
      </c>
      <c r="AA830" t="str">
        <f t="shared" si="232"/>
        <v>00</v>
      </c>
      <c r="AB830" t="str">
        <f t="shared" si="233"/>
        <v>00</v>
      </c>
      <c r="AC830" t="str">
        <f t="shared" si="234"/>
        <v>0P0</v>
      </c>
      <c r="AD830" t="str">
        <f t="shared" si="235"/>
        <v>P00</v>
      </c>
      <c r="AE830" t="str">
        <f t="shared" si="236"/>
        <v>0P0</v>
      </c>
      <c r="AF830" t="str">
        <f t="shared" si="237"/>
        <v>P00</v>
      </c>
      <c r="AG830" t="str">
        <f t="shared" si="243"/>
        <v>0P00</v>
      </c>
      <c r="AH830" t="str">
        <f t="shared" si="244"/>
        <v>P000</v>
      </c>
      <c r="AI830" t="str">
        <f t="shared" si="245"/>
        <v>0P00</v>
      </c>
      <c r="AJ830" t="str">
        <f t="shared" si="246"/>
        <v>P000</v>
      </c>
    </row>
    <row r="831" spans="1:36" x14ac:dyDescent="0.25">
      <c r="A831" s="325" t="str">
        <f>CONCATENATE("P",'906MP'!M531)</f>
        <v>P</v>
      </c>
      <c r="B831">
        <f>'906MP'!H531</f>
        <v>0</v>
      </c>
      <c r="C831">
        <f>'906MP'!J531</f>
        <v>0</v>
      </c>
      <c r="D831">
        <f>'906MP'!P531</f>
        <v>0</v>
      </c>
      <c r="E831">
        <f>'906MP'!X531</f>
        <v>0</v>
      </c>
      <c r="F831" t="str">
        <f t="shared" si="238"/>
        <v>0</v>
      </c>
      <c r="G831" t="str">
        <f t="shared" si="239"/>
        <v>0</v>
      </c>
      <c r="H831">
        <f>'906MP'!Y531</f>
        <v>0</v>
      </c>
      <c r="I831">
        <f>'906MP'!AK531</f>
        <v>0</v>
      </c>
      <c r="J831">
        <f>'906MP'!T531</f>
        <v>0</v>
      </c>
      <c r="K831">
        <f>'906MP'!AJ531</f>
        <v>0</v>
      </c>
      <c r="L831">
        <f>'906MP'!U531</f>
        <v>0</v>
      </c>
      <c r="M831" s="322" t="str">
        <f>IFERROR(VLOOKUP(A831,PAR!$D$3:$E$53,2,FALSE),"nincs szervezet")</f>
        <v>nincs szervezet</v>
      </c>
      <c r="N831" s="322" t="str">
        <f>VLOOKUP(F831,PAR!$R$3:$S$5,2,FALSE)</f>
        <v>3 - egyik sem</v>
      </c>
      <c r="O831" t="str">
        <f>IFERROR(VLOOKUP(J831,PAR!$O$3:$P$5,2,FALSE),"nincs feladat")</f>
        <v>nincs feladat</v>
      </c>
      <c r="P831" t="str">
        <f>IFERROR(VLOOKUP(G831,PAR!$J$2:$M$19,4),"nincs rovat")</f>
        <v>nincs rovat</v>
      </c>
      <c r="Q831" t="str">
        <f>IF(H831&gt;0,VLOOKUP(H831,PAR!$AA$3:$AC$187,3,FALSE),"nincs főkönyvi számla")</f>
        <v>nincs főkönyvi számla</v>
      </c>
      <c r="R831" t="str">
        <f>IFERROR(VLOOKUP(K831,PAR!$V$3:$X$438,3,FALSE),"000000 - Nincs COFOG")</f>
        <v>000000 - Nincs COFOG</v>
      </c>
      <c r="S831">
        <f t="shared" si="240"/>
        <v>0</v>
      </c>
      <c r="T831">
        <f t="shared" si="241"/>
        <v>0</v>
      </c>
      <c r="U831" t="str">
        <f>IF('906MP'!J531&gt;0,CONCATENATE('906MP'!J531," - ",'906MP'!P531,", ",'906MP'!E531),"nincs megjegyzés")</f>
        <v>nincs megjegyzés</v>
      </c>
      <c r="V831" t="str">
        <f t="shared" si="228"/>
        <v>0P0</v>
      </c>
      <c r="W831" t="str">
        <f t="shared" si="229"/>
        <v>0P0</v>
      </c>
      <c r="X831" t="str">
        <f t="shared" si="230"/>
        <v>P0</v>
      </c>
      <c r="Y831" t="str">
        <f t="shared" si="231"/>
        <v>00</v>
      </c>
      <c r="Z831" t="str">
        <f t="shared" si="242"/>
        <v>00</v>
      </c>
      <c r="AA831" t="str">
        <f t="shared" si="232"/>
        <v>00</v>
      </c>
      <c r="AB831" t="str">
        <f t="shared" si="233"/>
        <v>00</v>
      </c>
      <c r="AC831" t="str">
        <f t="shared" si="234"/>
        <v>0P0</v>
      </c>
      <c r="AD831" t="str">
        <f t="shared" si="235"/>
        <v>P00</v>
      </c>
      <c r="AE831" t="str">
        <f t="shared" si="236"/>
        <v>0P0</v>
      </c>
      <c r="AF831" t="str">
        <f t="shared" si="237"/>
        <v>P00</v>
      </c>
      <c r="AG831" t="str">
        <f t="shared" si="243"/>
        <v>0P00</v>
      </c>
      <c r="AH831" t="str">
        <f t="shared" si="244"/>
        <v>P000</v>
      </c>
      <c r="AI831" t="str">
        <f t="shared" si="245"/>
        <v>0P00</v>
      </c>
      <c r="AJ831" t="str">
        <f t="shared" si="246"/>
        <v>P000</v>
      </c>
    </row>
    <row r="832" spans="1:36" x14ac:dyDescent="0.25">
      <c r="A832" s="325" t="str">
        <f>CONCATENATE("P",'906MP'!M532)</f>
        <v>P</v>
      </c>
      <c r="B832">
        <f>'906MP'!H532</f>
        <v>0</v>
      </c>
      <c r="C832">
        <f>'906MP'!J532</f>
        <v>0</v>
      </c>
      <c r="D832">
        <f>'906MP'!P532</f>
        <v>0</v>
      </c>
      <c r="E832">
        <f>'906MP'!X532</f>
        <v>0</v>
      </c>
      <c r="F832" t="str">
        <f t="shared" si="238"/>
        <v>0</v>
      </c>
      <c r="G832" t="str">
        <f t="shared" si="239"/>
        <v>0</v>
      </c>
      <c r="H832">
        <f>'906MP'!Y532</f>
        <v>0</v>
      </c>
      <c r="I832">
        <f>'906MP'!AK532</f>
        <v>0</v>
      </c>
      <c r="J832">
        <f>'906MP'!T532</f>
        <v>0</v>
      </c>
      <c r="K832">
        <f>'906MP'!AJ532</f>
        <v>0</v>
      </c>
      <c r="L832">
        <f>'906MP'!U532</f>
        <v>0</v>
      </c>
      <c r="M832" s="322" t="str">
        <f>IFERROR(VLOOKUP(A832,PAR!$D$3:$E$53,2,FALSE),"nincs szervezet")</f>
        <v>nincs szervezet</v>
      </c>
      <c r="N832" s="322" t="str">
        <f>VLOOKUP(F832,PAR!$R$3:$S$5,2,FALSE)</f>
        <v>3 - egyik sem</v>
      </c>
      <c r="O832" t="str">
        <f>IFERROR(VLOOKUP(J832,PAR!$O$3:$P$5,2,FALSE),"nincs feladat")</f>
        <v>nincs feladat</v>
      </c>
      <c r="P832" t="str">
        <f>IFERROR(VLOOKUP(G832,PAR!$J$2:$M$19,4),"nincs rovat")</f>
        <v>nincs rovat</v>
      </c>
      <c r="Q832" t="str">
        <f>IF(H832&gt;0,VLOOKUP(H832,PAR!$AA$3:$AC$187,3,FALSE),"nincs főkönyvi számla")</f>
        <v>nincs főkönyvi számla</v>
      </c>
      <c r="R832" t="str">
        <f>IFERROR(VLOOKUP(K832,PAR!$V$3:$X$438,3,FALSE),"000000 - Nincs COFOG")</f>
        <v>000000 - Nincs COFOG</v>
      </c>
      <c r="S832">
        <f t="shared" si="240"/>
        <v>0</v>
      </c>
      <c r="T832">
        <f t="shared" si="241"/>
        <v>0</v>
      </c>
      <c r="U832" t="str">
        <f>IF('906MP'!J532&gt;0,CONCATENATE('906MP'!J532," - ",'906MP'!P532,", ",'906MP'!E532),"nincs megjegyzés")</f>
        <v>nincs megjegyzés</v>
      </c>
      <c r="V832" t="str">
        <f t="shared" si="228"/>
        <v>0P0</v>
      </c>
      <c r="W832" t="str">
        <f t="shared" si="229"/>
        <v>0P0</v>
      </c>
      <c r="X832" t="str">
        <f t="shared" si="230"/>
        <v>P0</v>
      </c>
      <c r="Y832" t="str">
        <f t="shared" si="231"/>
        <v>00</v>
      </c>
      <c r="Z832" t="str">
        <f t="shared" si="242"/>
        <v>00</v>
      </c>
      <c r="AA832" t="str">
        <f t="shared" si="232"/>
        <v>00</v>
      </c>
      <c r="AB832" t="str">
        <f t="shared" si="233"/>
        <v>00</v>
      </c>
      <c r="AC832" t="str">
        <f t="shared" si="234"/>
        <v>0P0</v>
      </c>
      <c r="AD832" t="str">
        <f t="shared" si="235"/>
        <v>P00</v>
      </c>
      <c r="AE832" t="str">
        <f t="shared" si="236"/>
        <v>0P0</v>
      </c>
      <c r="AF832" t="str">
        <f t="shared" si="237"/>
        <v>P00</v>
      </c>
      <c r="AG832" t="str">
        <f t="shared" si="243"/>
        <v>0P00</v>
      </c>
      <c r="AH832" t="str">
        <f t="shared" si="244"/>
        <v>P000</v>
      </c>
      <c r="AI832" t="str">
        <f t="shared" si="245"/>
        <v>0P00</v>
      </c>
      <c r="AJ832" t="str">
        <f t="shared" si="246"/>
        <v>P000</v>
      </c>
    </row>
    <row r="833" spans="1:36" x14ac:dyDescent="0.25">
      <c r="A833" s="325" t="str">
        <f>CONCATENATE("P",'906MP'!M533)</f>
        <v>P</v>
      </c>
      <c r="B833">
        <f>'906MP'!H533</f>
        <v>0</v>
      </c>
      <c r="C833">
        <f>'906MP'!J533</f>
        <v>0</v>
      </c>
      <c r="D833">
        <f>'906MP'!P533</f>
        <v>0</v>
      </c>
      <c r="E833">
        <f>'906MP'!X533</f>
        <v>0</v>
      </c>
      <c r="F833" t="str">
        <f t="shared" si="238"/>
        <v>0</v>
      </c>
      <c r="G833" t="str">
        <f t="shared" si="239"/>
        <v>0</v>
      </c>
      <c r="H833">
        <f>'906MP'!Y533</f>
        <v>0</v>
      </c>
      <c r="I833">
        <f>'906MP'!AK533</f>
        <v>0</v>
      </c>
      <c r="J833">
        <f>'906MP'!T533</f>
        <v>0</v>
      </c>
      <c r="K833">
        <f>'906MP'!AJ533</f>
        <v>0</v>
      </c>
      <c r="L833">
        <f>'906MP'!U533</f>
        <v>0</v>
      </c>
      <c r="M833" s="322" t="str">
        <f>IFERROR(VLOOKUP(A833,PAR!$D$3:$E$53,2,FALSE),"nincs szervezet")</f>
        <v>nincs szervezet</v>
      </c>
      <c r="N833" s="322" t="str">
        <f>VLOOKUP(F833,PAR!$R$3:$S$5,2,FALSE)</f>
        <v>3 - egyik sem</v>
      </c>
      <c r="O833" t="str">
        <f>IFERROR(VLOOKUP(J833,PAR!$O$3:$P$5,2,FALSE),"nincs feladat")</f>
        <v>nincs feladat</v>
      </c>
      <c r="P833" t="str">
        <f>IFERROR(VLOOKUP(G833,PAR!$J$2:$M$19,4),"nincs rovat")</f>
        <v>nincs rovat</v>
      </c>
      <c r="Q833" t="str">
        <f>IF(H833&gt;0,VLOOKUP(H833,PAR!$AA$3:$AC$187,3,FALSE),"nincs főkönyvi számla")</f>
        <v>nincs főkönyvi számla</v>
      </c>
      <c r="R833" t="str">
        <f>IFERROR(VLOOKUP(K833,PAR!$V$3:$X$438,3,FALSE),"000000 - Nincs COFOG")</f>
        <v>000000 - Nincs COFOG</v>
      </c>
      <c r="S833">
        <f t="shared" si="240"/>
        <v>0</v>
      </c>
      <c r="T833">
        <f t="shared" si="241"/>
        <v>0</v>
      </c>
      <c r="U833" t="str">
        <f>IF('906MP'!J533&gt;0,CONCATENATE('906MP'!J533," - ",'906MP'!P533,", ",'906MP'!E533),"nincs megjegyzés")</f>
        <v>nincs megjegyzés</v>
      </c>
      <c r="V833" t="str">
        <f t="shared" si="228"/>
        <v>0P0</v>
      </c>
      <c r="W833" t="str">
        <f t="shared" si="229"/>
        <v>0P0</v>
      </c>
      <c r="X833" t="str">
        <f t="shared" si="230"/>
        <v>P0</v>
      </c>
      <c r="Y833" t="str">
        <f t="shared" si="231"/>
        <v>00</v>
      </c>
      <c r="Z833" t="str">
        <f t="shared" si="242"/>
        <v>00</v>
      </c>
      <c r="AA833" t="str">
        <f t="shared" si="232"/>
        <v>00</v>
      </c>
      <c r="AB833" t="str">
        <f t="shared" si="233"/>
        <v>00</v>
      </c>
      <c r="AC833" t="str">
        <f t="shared" si="234"/>
        <v>0P0</v>
      </c>
      <c r="AD833" t="str">
        <f t="shared" si="235"/>
        <v>P00</v>
      </c>
      <c r="AE833" t="str">
        <f t="shared" si="236"/>
        <v>0P0</v>
      </c>
      <c r="AF833" t="str">
        <f t="shared" si="237"/>
        <v>P00</v>
      </c>
      <c r="AG833" t="str">
        <f t="shared" si="243"/>
        <v>0P00</v>
      </c>
      <c r="AH833" t="str">
        <f t="shared" si="244"/>
        <v>P000</v>
      </c>
      <c r="AI833" t="str">
        <f t="shared" si="245"/>
        <v>0P00</v>
      </c>
      <c r="AJ833" t="str">
        <f t="shared" si="246"/>
        <v>P000</v>
      </c>
    </row>
    <row r="834" spans="1:36" x14ac:dyDescent="0.25">
      <c r="A834" s="325" t="str">
        <f>CONCATENATE("P",'906MP'!M534)</f>
        <v>P</v>
      </c>
      <c r="B834">
        <f>'906MP'!H534</f>
        <v>0</v>
      </c>
      <c r="C834">
        <f>'906MP'!J534</f>
        <v>0</v>
      </c>
      <c r="D834">
        <f>'906MP'!P534</f>
        <v>0</v>
      </c>
      <c r="E834">
        <f>'906MP'!X534</f>
        <v>0</v>
      </c>
      <c r="F834" t="str">
        <f t="shared" si="238"/>
        <v>0</v>
      </c>
      <c r="G834" t="str">
        <f t="shared" si="239"/>
        <v>0</v>
      </c>
      <c r="H834">
        <f>'906MP'!Y534</f>
        <v>0</v>
      </c>
      <c r="I834">
        <f>'906MP'!AK534</f>
        <v>0</v>
      </c>
      <c r="J834">
        <f>'906MP'!T534</f>
        <v>0</v>
      </c>
      <c r="K834">
        <f>'906MP'!AJ534</f>
        <v>0</v>
      </c>
      <c r="L834">
        <f>'906MP'!U534</f>
        <v>0</v>
      </c>
      <c r="M834" s="322" t="str">
        <f>IFERROR(VLOOKUP(A834,PAR!$D$3:$E$53,2,FALSE),"nincs szervezet")</f>
        <v>nincs szervezet</v>
      </c>
      <c r="N834" s="322" t="str">
        <f>VLOOKUP(F834,PAR!$R$3:$S$5,2,FALSE)</f>
        <v>3 - egyik sem</v>
      </c>
      <c r="O834" t="str">
        <f>IFERROR(VLOOKUP(J834,PAR!$O$3:$P$5,2,FALSE),"nincs feladat")</f>
        <v>nincs feladat</v>
      </c>
      <c r="P834" t="str">
        <f>IFERROR(VLOOKUP(G834,PAR!$J$2:$M$19,4),"nincs rovat")</f>
        <v>nincs rovat</v>
      </c>
      <c r="Q834" t="str">
        <f>IF(H834&gt;0,VLOOKUP(H834,PAR!$AA$3:$AC$187,3,FALSE),"nincs főkönyvi számla")</f>
        <v>nincs főkönyvi számla</v>
      </c>
      <c r="R834" t="str">
        <f>IFERROR(VLOOKUP(K834,PAR!$V$3:$X$438,3,FALSE),"000000 - Nincs COFOG")</f>
        <v>000000 - Nincs COFOG</v>
      </c>
      <c r="S834">
        <f t="shared" si="240"/>
        <v>0</v>
      </c>
      <c r="T834">
        <f t="shared" si="241"/>
        <v>0</v>
      </c>
      <c r="U834" t="str">
        <f>IF('906MP'!J534&gt;0,CONCATENATE('906MP'!J534," - ",'906MP'!P534,", ",'906MP'!E534),"nincs megjegyzés")</f>
        <v>nincs megjegyzés</v>
      </c>
      <c r="V834" t="str">
        <f t="shared" ref="V834:V897" si="247">CONCATENATE(B834,A834,G834)</f>
        <v>0P0</v>
      </c>
      <c r="W834" t="str">
        <f t="shared" ref="W834:W897" si="248">CONCATENATE(B834,A834,F834)</f>
        <v>0P0</v>
      </c>
      <c r="X834" t="str">
        <f t="shared" ref="X834:X897" si="249">CONCATENATE(A834,H834)</f>
        <v>P0</v>
      </c>
      <c r="Y834" t="str">
        <f t="shared" ref="Y834:Y897" si="250">CONCATENATE(B834,H834)</f>
        <v>00</v>
      </c>
      <c r="Z834" t="str">
        <f t="shared" si="242"/>
        <v>00</v>
      </c>
      <c r="AA834" t="str">
        <f t="shared" ref="AA834:AA897" si="251">CONCATENATE(B834,G834)</f>
        <v>00</v>
      </c>
      <c r="AB834" t="str">
        <f t="shared" ref="AB834:AB897" si="252">CONCATENATE(J834,G834)</f>
        <v>00</v>
      </c>
      <c r="AC834" t="str">
        <f t="shared" ref="AC834:AC897" si="253">CONCATENATE(B834,A834,H834)</f>
        <v>0P0</v>
      </c>
      <c r="AD834" t="str">
        <f t="shared" ref="AD834:AD897" si="254">CONCATENATE(A834,H834,J834)</f>
        <v>P00</v>
      </c>
      <c r="AE834" t="str">
        <f t="shared" ref="AE834:AE897" si="255">CONCATENATE(B834,A834,G834)</f>
        <v>0P0</v>
      </c>
      <c r="AF834" t="str">
        <f t="shared" ref="AF834:AF897" si="256">CONCATENATE(A834,G834,J834)</f>
        <v>P00</v>
      </c>
      <c r="AG834" t="str">
        <f t="shared" si="243"/>
        <v>0P00</v>
      </c>
      <c r="AH834" t="str">
        <f t="shared" si="244"/>
        <v>P000</v>
      </c>
      <c r="AI834" t="str">
        <f t="shared" si="245"/>
        <v>0P00</v>
      </c>
      <c r="AJ834" t="str">
        <f t="shared" si="246"/>
        <v>P000</v>
      </c>
    </row>
    <row r="835" spans="1:36" x14ac:dyDescent="0.25">
      <c r="A835" s="325" t="str">
        <f>CONCATENATE("P",'906MP'!M535)</f>
        <v>P</v>
      </c>
      <c r="B835">
        <f>'906MP'!H535</f>
        <v>0</v>
      </c>
      <c r="C835">
        <f>'906MP'!J535</f>
        <v>0</v>
      </c>
      <c r="D835">
        <f>'906MP'!P535</f>
        <v>0</v>
      </c>
      <c r="E835">
        <f>'906MP'!X535</f>
        <v>0</v>
      </c>
      <c r="F835" t="str">
        <f t="shared" ref="F835:F898" si="257">LEFT(G835,2)</f>
        <v>0</v>
      </c>
      <c r="G835" t="str">
        <f t="shared" ref="G835:G898" si="258">LEFT(H835,3)</f>
        <v>0</v>
      </c>
      <c r="H835">
        <f>'906MP'!Y535</f>
        <v>0</v>
      </c>
      <c r="I835">
        <f>'906MP'!AK535</f>
        <v>0</v>
      </c>
      <c r="J835">
        <f>'906MP'!T535</f>
        <v>0</v>
      </c>
      <c r="K835">
        <f>'906MP'!AJ535</f>
        <v>0</v>
      </c>
      <c r="L835">
        <f>'906MP'!U535</f>
        <v>0</v>
      </c>
      <c r="M835" s="322" t="str">
        <f>IFERROR(VLOOKUP(A835,PAR!$D$3:$E$53,2,FALSE),"nincs szervezet")</f>
        <v>nincs szervezet</v>
      </c>
      <c r="N835" s="322" t="str">
        <f>VLOOKUP(F835,PAR!$R$3:$S$5,2,FALSE)</f>
        <v>3 - egyik sem</v>
      </c>
      <c r="O835" t="str">
        <f>IFERROR(VLOOKUP(J835,PAR!$O$3:$P$5,2,FALSE),"nincs feladat")</f>
        <v>nincs feladat</v>
      </c>
      <c r="P835" t="str">
        <f>IFERROR(VLOOKUP(G835,PAR!$J$2:$M$19,4),"nincs rovat")</f>
        <v>nincs rovat</v>
      </c>
      <c r="Q835" t="str">
        <f>IF(H835&gt;0,VLOOKUP(H835,PAR!$AA$3:$AC$187,3,FALSE),"nincs főkönyvi számla")</f>
        <v>nincs főkönyvi számla</v>
      </c>
      <c r="R835" t="str">
        <f>IFERROR(VLOOKUP(K835,PAR!$V$3:$X$438,3,FALSE),"000000 - Nincs COFOG")</f>
        <v>000000 - Nincs COFOG</v>
      </c>
      <c r="S835">
        <f t="shared" ref="S835:S898" si="259">E835</f>
        <v>0</v>
      </c>
      <c r="T835">
        <f t="shared" ref="T835:T898" si="260">IF(F835="09",E835*-1,E835)</f>
        <v>0</v>
      </c>
      <c r="U835" t="str">
        <f>IF('906MP'!J535&gt;0,CONCATENATE('906MP'!J535," - ",'906MP'!P535,", ",'906MP'!E535),"nincs megjegyzés")</f>
        <v>nincs megjegyzés</v>
      </c>
      <c r="V835" t="str">
        <f t="shared" si="247"/>
        <v>0P0</v>
      </c>
      <c r="W835" t="str">
        <f t="shared" si="248"/>
        <v>0P0</v>
      </c>
      <c r="X835" t="str">
        <f t="shared" si="249"/>
        <v>P0</v>
      </c>
      <c r="Y835" t="str">
        <f t="shared" si="250"/>
        <v>00</v>
      </c>
      <c r="Z835" t="str">
        <f t="shared" ref="Z835:Z898" si="261">CONCATENATE(J835,H835)</f>
        <v>00</v>
      </c>
      <c r="AA835" t="str">
        <f t="shared" si="251"/>
        <v>00</v>
      </c>
      <c r="AB835" t="str">
        <f t="shared" si="252"/>
        <v>00</v>
      </c>
      <c r="AC835" t="str">
        <f t="shared" si="253"/>
        <v>0P0</v>
      </c>
      <c r="AD835" t="str">
        <f t="shared" si="254"/>
        <v>P00</v>
      </c>
      <c r="AE835" t="str">
        <f t="shared" si="255"/>
        <v>0P0</v>
      </c>
      <c r="AF835" t="str">
        <f t="shared" si="256"/>
        <v>P00</v>
      </c>
      <c r="AG835" t="str">
        <f t="shared" ref="AG835:AG898" si="262">CONCATENATE(B835,A835,H835,L835)</f>
        <v>0P00</v>
      </c>
      <c r="AH835" t="str">
        <f t="shared" ref="AH835:AH898" si="263">CONCATENATE(A835,J835,H835,L835)</f>
        <v>P000</v>
      </c>
      <c r="AI835" t="str">
        <f t="shared" ref="AI835:AI898" si="264">CONCATENATE(B835,A835,G835,L835)</f>
        <v>0P00</v>
      </c>
      <c r="AJ835" t="str">
        <f t="shared" ref="AJ835:AJ898" si="265">CONCATENATE(A835,G835,J835,L835)</f>
        <v>P000</v>
      </c>
    </row>
    <row r="836" spans="1:36" x14ac:dyDescent="0.25">
      <c r="A836" s="325" t="str">
        <f>CONCATENATE("P",'906MP'!M536)</f>
        <v>P</v>
      </c>
      <c r="B836">
        <f>'906MP'!H536</f>
        <v>0</v>
      </c>
      <c r="C836">
        <f>'906MP'!J536</f>
        <v>0</v>
      </c>
      <c r="D836">
        <f>'906MP'!P536</f>
        <v>0</v>
      </c>
      <c r="E836">
        <f>'906MP'!X536</f>
        <v>0</v>
      </c>
      <c r="F836" t="str">
        <f t="shared" si="257"/>
        <v>0</v>
      </c>
      <c r="G836" t="str">
        <f t="shared" si="258"/>
        <v>0</v>
      </c>
      <c r="H836">
        <f>'906MP'!Y536</f>
        <v>0</v>
      </c>
      <c r="I836">
        <f>'906MP'!AK536</f>
        <v>0</v>
      </c>
      <c r="J836">
        <f>'906MP'!T536</f>
        <v>0</v>
      </c>
      <c r="K836">
        <f>'906MP'!AJ536</f>
        <v>0</v>
      </c>
      <c r="L836">
        <f>'906MP'!U536</f>
        <v>0</v>
      </c>
      <c r="M836" s="322" t="str">
        <f>IFERROR(VLOOKUP(A836,PAR!$D$3:$E$53,2,FALSE),"nincs szervezet")</f>
        <v>nincs szervezet</v>
      </c>
      <c r="N836" s="322" t="str">
        <f>VLOOKUP(F836,PAR!$R$3:$S$5,2,FALSE)</f>
        <v>3 - egyik sem</v>
      </c>
      <c r="O836" t="str">
        <f>IFERROR(VLOOKUP(J836,PAR!$O$3:$P$5,2,FALSE),"nincs feladat")</f>
        <v>nincs feladat</v>
      </c>
      <c r="P836" t="str">
        <f>IFERROR(VLOOKUP(G836,PAR!$J$2:$M$19,4),"nincs rovat")</f>
        <v>nincs rovat</v>
      </c>
      <c r="Q836" t="str">
        <f>IF(H836&gt;0,VLOOKUP(H836,PAR!$AA$3:$AC$187,3,FALSE),"nincs főkönyvi számla")</f>
        <v>nincs főkönyvi számla</v>
      </c>
      <c r="R836" t="str">
        <f>IFERROR(VLOOKUP(K836,PAR!$V$3:$X$438,3,FALSE),"000000 - Nincs COFOG")</f>
        <v>000000 - Nincs COFOG</v>
      </c>
      <c r="S836">
        <f t="shared" si="259"/>
        <v>0</v>
      </c>
      <c r="T836">
        <f t="shared" si="260"/>
        <v>0</v>
      </c>
      <c r="U836" t="str">
        <f>IF('906MP'!J536&gt;0,CONCATENATE('906MP'!J536," - ",'906MP'!P536,", ",'906MP'!E536),"nincs megjegyzés")</f>
        <v>nincs megjegyzés</v>
      </c>
      <c r="V836" t="str">
        <f t="shared" si="247"/>
        <v>0P0</v>
      </c>
      <c r="W836" t="str">
        <f t="shared" si="248"/>
        <v>0P0</v>
      </c>
      <c r="X836" t="str">
        <f t="shared" si="249"/>
        <v>P0</v>
      </c>
      <c r="Y836" t="str">
        <f t="shared" si="250"/>
        <v>00</v>
      </c>
      <c r="Z836" t="str">
        <f t="shared" si="261"/>
        <v>00</v>
      </c>
      <c r="AA836" t="str">
        <f t="shared" si="251"/>
        <v>00</v>
      </c>
      <c r="AB836" t="str">
        <f t="shared" si="252"/>
        <v>00</v>
      </c>
      <c r="AC836" t="str">
        <f t="shared" si="253"/>
        <v>0P0</v>
      </c>
      <c r="AD836" t="str">
        <f t="shared" si="254"/>
        <v>P00</v>
      </c>
      <c r="AE836" t="str">
        <f t="shared" si="255"/>
        <v>0P0</v>
      </c>
      <c r="AF836" t="str">
        <f t="shared" si="256"/>
        <v>P00</v>
      </c>
      <c r="AG836" t="str">
        <f t="shared" si="262"/>
        <v>0P00</v>
      </c>
      <c r="AH836" t="str">
        <f t="shared" si="263"/>
        <v>P000</v>
      </c>
      <c r="AI836" t="str">
        <f t="shared" si="264"/>
        <v>0P00</v>
      </c>
      <c r="AJ836" t="str">
        <f t="shared" si="265"/>
        <v>P000</v>
      </c>
    </row>
    <row r="837" spans="1:36" x14ac:dyDescent="0.25">
      <c r="A837" s="325" t="str">
        <f>CONCATENATE("P",'906MP'!M537)</f>
        <v>P</v>
      </c>
      <c r="B837">
        <f>'906MP'!H537</f>
        <v>0</v>
      </c>
      <c r="C837">
        <f>'906MP'!J537</f>
        <v>0</v>
      </c>
      <c r="D837">
        <f>'906MP'!P537</f>
        <v>0</v>
      </c>
      <c r="E837">
        <f>'906MP'!X537</f>
        <v>0</v>
      </c>
      <c r="F837" t="str">
        <f t="shared" si="257"/>
        <v>0</v>
      </c>
      <c r="G837" t="str">
        <f t="shared" si="258"/>
        <v>0</v>
      </c>
      <c r="H837">
        <f>'906MP'!Y537</f>
        <v>0</v>
      </c>
      <c r="I837">
        <f>'906MP'!AK537</f>
        <v>0</v>
      </c>
      <c r="J837">
        <f>'906MP'!T537</f>
        <v>0</v>
      </c>
      <c r="K837">
        <f>'906MP'!AJ537</f>
        <v>0</v>
      </c>
      <c r="L837">
        <f>'906MP'!U537</f>
        <v>0</v>
      </c>
      <c r="M837" s="322" t="str">
        <f>IFERROR(VLOOKUP(A837,PAR!$D$3:$E$53,2,FALSE),"nincs szervezet")</f>
        <v>nincs szervezet</v>
      </c>
      <c r="N837" s="322" t="str">
        <f>VLOOKUP(F837,PAR!$R$3:$S$5,2,FALSE)</f>
        <v>3 - egyik sem</v>
      </c>
      <c r="O837" t="str">
        <f>IFERROR(VLOOKUP(J837,PAR!$O$3:$P$5,2,FALSE),"nincs feladat")</f>
        <v>nincs feladat</v>
      </c>
      <c r="P837" t="str">
        <f>IFERROR(VLOOKUP(G837,PAR!$J$2:$M$19,4),"nincs rovat")</f>
        <v>nincs rovat</v>
      </c>
      <c r="Q837" t="str">
        <f>IF(H837&gt;0,VLOOKUP(H837,PAR!$AA$3:$AC$187,3,FALSE),"nincs főkönyvi számla")</f>
        <v>nincs főkönyvi számla</v>
      </c>
      <c r="R837" t="str">
        <f>IFERROR(VLOOKUP(K837,PAR!$V$3:$X$438,3,FALSE),"000000 - Nincs COFOG")</f>
        <v>000000 - Nincs COFOG</v>
      </c>
      <c r="S837">
        <f t="shared" si="259"/>
        <v>0</v>
      </c>
      <c r="T837">
        <f t="shared" si="260"/>
        <v>0</v>
      </c>
      <c r="U837" t="str">
        <f>IF('906MP'!J537&gt;0,CONCATENATE('906MP'!J537," - ",'906MP'!P537,", ",'906MP'!E537),"nincs megjegyzés")</f>
        <v>nincs megjegyzés</v>
      </c>
      <c r="V837" t="str">
        <f t="shared" si="247"/>
        <v>0P0</v>
      </c>
      <c r="W837" t="str">
        <f t="shared" si="248"/>
        <v>0P0</v>
      </c>
      <c r="X837" t="str">
        <f t="shared" si="249"/>
        <v>P0</v>
      </c>
      <c r="Y837" t="str">
        <f t="shared" si="250"/>
        <v>00</v>
      </c>
      <c r="Z837" t="str">
        <f t="shared" si="261"/>
        <v>00</v>
      </c>
      <c r="AA837" t="str">
        <f t="shared" si="251"/>
        <v>00</v>
      </c>
      <c r="AB837" t="str">
        <f t="shared" si="252"/>
        <v>00</v>
      </c>
      <c r="AC837" t="str">
        <f t="shared" si="253"/>
        <v>0P0</v>
      </c>
      <c r="AD837" t="str">
        <f t="shared" si="254"/>
        <v>P00</v>
      </c>
      <c r="AE837" t="str">
        <f t="shared" si="255"/>
        <v>0P0</v>
      </c>
      <c r="AF837" t="str">
        <f t="shared" si="256"/>
        <v>P00</v>
      </c>
      <c r="AG837" t="str">
        <f t="shared" si="262"/>
        <v>0P00</v>
      </c>
      <c r="AH837" t="str">
        <f t="shared" si="263"/>
        <v>P000</v>
      </c>
      <c r="AI837" t="str">
        <f t="shared" si="264"/>
        <v>0P00</v>
      </c>
      <c r="AJ837" t="str">
        <f t="shared" si="265"/>
        <v>P000</v>
      </c>
    </row>
    <row r="838" spans="1:36" x14ac:dyDescent="0.25">
      <c r="A838" s="325" t="str">
        <f>CONCATENATE("P",'906MP'!M538)</f>
        <v>P</v>
      </c>
      <c r="B838">
        <f>'906MP'!H538</f>
        <v>0</v>
      </c>
      <c r="C838">
        <f>'906MP'!J538</f>
        <v>0</v>
      </c>
      <c r="D838">
        <f>'906MP'!P538</f>
        <v>0</v>
      </c>
      <c r="E838">
        <f>'906MP'!X538</f>
        <v>0</v>
      </c>
      <c r="F838" t="str">
        <f t="shared" si="257"/>
        <v>0</v>
      </c>
      <c r="G838" t="str">
        <f t="shared" si="258"/>
        <v>0</v>
      </c>
      <c r="H838">
        <f>'906MP'!Y538</f>
        <v>0</v>
      </c>
      <c r="I838">
        <f>'906MP'!AK538</f>
        <v>0</v>
      </c>
      <c r="J838">
        <f>'906MP'!T538</f>
        <v>0</v>
      </c>
      <c r="K838">
        <f>'906MP'!AJ538</f>
        <v>0</v>
      </c>
      <c r="L838">
        <f>'906MP'!U538</f>
        <v>0</v>
      </c>
      <c r="M838" s="322" t="str">
        <f>IFERROR(VLOOKUP(A838,PAR!$D$3:$E$53,2,FALSE),"nincs szervezet")</f>
        <v>nincs szervezet</v>
      </c>
      <c r="N838" s="322" t="str">
        <f>VLOOKUP(F838,PAR!$R$3:$S$5,2,FALSE)</f>
        <v>3 - egyik sem</v>
      </c>
      <c r="O838" t="str">
        <f>IFERROR(VLOOKUP(J838,PAR!$O$3:$P$5,2,FALSE),"nincs feladat")</f>
        <v>nincs feladat</v>
      </c>
      <c r="P838" t="str">
        <f>IFERROR(VLOOKUP(G838,PAR!$J$2:$M$19,4),"nincs rovat")</f>
        <v>nincs rovat</v>
      </c>
      <c r="Q838" t="str">
        <f>IF(H838&gt;0,VLOOKUP(H838,PAR!$AA$3:$AC$187,3,FALSE),"nincs főkönyvi számla")</f>
        <v>nincs főkönyvi számla</v>
      </c>
      <c r="R838" t="str">
        <f>IFERROR(VLOOKUP(K838,PAR!$V$3:$X$438,3,FALSE),"000000 - Nincs COFOG")</f>
        <v>000000 - Nincs COFOG</v>
      </c>
      <c r="S838">
        <f t="shared" si="259"/>
        <v>0</v>
      </c>
      <c r="T838">
        <f t="shared" si="260"/>
        <v>0</v>
      </c>
      <c r="U838" t="str">
        <f>IF('906MP'!J538&gt;0,CONCATENATE('906MP'!J538," - ",'906MP'!P538,", ",'906MP'!E538),"nincs megjegyzés")</f>
        <v>nincs megjegyzés</v>
      </c>
      <c r="V838" t="str">
        <f t="shared" si="247"/>
        <v>0P0</v>
      </c>
      <c r="W838" t="str">
        <f t="shared" si="248"/>
        <v>0P0</v>
      </c>
      <c r="X838" t="str">
        <f t="shared" si="249"/>
        <v>P0</v>
      </c>
      <c r="Y838" t="str">
        <f t="shared" si="250"/>
        <v>00</v>
      </c>
      <c r="Z838" t="str">
        <f t="shared" si="261"/>
        <v>00</v>
      </c>
      <c r="AA838" t="str">
        <f t="shared" si="251"/>
        <v>00</v>
      </c>
      <c r="AB838" t="str">
        <f t="shared" si="252"/>
        <v>00</v>
      </c>
      <c r="AC838" t="str">
        <f t="shared" si="253"/>
        <v>0P0</v>
      </c>
      <c r="AD838" t="str">
        <f t="shared" si="254"/>
        <v>P00</v>
      </c>
      <c r="AE838" t="str">
        <f t="shared" si="255"/>
        <v>0P0</v>
      </c>
      <c r="AF838" t="str">
        <f t="shared" si="256"/>
        <v>P00</v>
      </c>
      <c r="AG838" t="str">
        <f t="shared" si="262"/>
        <v>0P00</v>
      </c>
      <c r="AH838" t="str">
        <f t="shared" si="263"/>
        <v>P000</v>
      </c>
      <c r="AI838" t="str">
        <f t="shared" si="264"/>
        <v>0P00</v>
      </c>
      <c r="AJ838" t="str">
        <f t="shared" si="265"/>
        <v>P000</v>
      </c>
    </row>
    <row r="839" spans="1:36" x14ac:dyDescent="0.25">
      <c r="A839" s="325" t="str">
        <f>CONCATENATE("P",'906MP'!M539)</f>
        <v>P</v>
      </c>
      <c r="B839">
        <f>'906MP'!H539</f>
        <v>0</v>
      </c>
      <c r="C839">
        <f>'906MP'!J539</f>
        <v>0</v>
      </c>
      <c r="D839">
        <f>'906MP'!P539</f>
        <v>0</v>
      </c>
      <c r="E839">
        <f>'906MP'!X539</f>
        <v>0</v>
      </c>
      <c r="F839" t="str">
        <f t="shared" si="257"/>
        <v>0</v>
      </c>
      <c r="G839" t="str">
        <f t="shared" si="258"/>
        <v>0</v>
      </c>
      <c r="H839">
        <f>'906MP'!Y539</f>
        <v>0</v>
      </c>
      <c r="I839">
        <f>'906MP'!AK539</f>
        <v>0</v>
      </c>
      <c r="J839">
        <f>'906MP'!T539</f>
        <v>0</v>
      </c>
      <c r="K839">
        <f>'906MP'!AJ539</f>
        <v>0</v>
      </c>
      <c r="L839">
        <f>'906MP'!U539</f>
        <v>0</v>
      </c>
      <c r="M839" s="322" t="str">
        <f>IFERROR(VLOOKUP(A839,PAR!$D$3:$E$53,2,FALSE),"nincs szervezet")</f>
        <v>nincs szervezet</v>
      </c>
      <c r="N839" s="322" t="str">
        <f>VLOOKUP(F839,PAR!$R$3:$S$5,2,FALSE)</f>
        <v>3 - egyik sem</v>
      </c>
      <c r="O839" t="str">
        <f>IFERROR(VLOOKUP(J839,PAR!$O$3:$P$5,2,FALSE),"nincs feladat")</f>
        <v>nincs feladat</v>
      </c>
      <c r="P839" t="str">
        <f>IFERROR(VLOOKUP(G839,PAR!$J$2:$M$19,4),"nincs rovat")</f>
        <v>nincs rovat</v>
      </c>
      <c r="Q839" t="str">
        <f>IF(H839&gt;0,VLOOKUP(H839,PAR!$AA$3:$AC$187,3,FALSE),"nincs főkönyvi számla")</f>
        <v>nincs főkönyvi számla</v>
      </c>
      <c r="R839" t="str">
        <f>IFERROR(VLOOKUP(K839,PAR!$V$3:$X$438,3,FALSE),"000000 - Nincs COFOG")</f>
        <v>000000 - Nincs COFOG</v>
      </c>
      <c r="S839">
        <f t="shared" si="259"/>
        <v>0</v>
      </c>
      <c r="T839">
        <f t="shared" si="260"/>
        <v>0</v>
      </c>
      <c r="U839" t="str">
        <f>IF('906MP'!J539&gt;0,CONCATENATE('906MP'!J539," - ",'906MP'!P539,", ",'906MP'!E539),"nincs megjegyzés")</f>
        <v>nincs megjegyzés</v>
      </c>
      <c r="V839" t="str">
        <f t="shared" si="247"/>
        <v>0P0</v>
      </c>
      <c r="W839" t="str">
        <f t="shared" si="248"/>
        <v>0P0</v>
      </c>
      <c r="X839" t="str">
        <f t="shared" si="249"/>
        <v>P0</v>
      </c>
      <c r="Y839" t="str">
        <f t="shared" si="250"/>
        <v>00</v>
      </c>
      <c r="Z839" t="str">
        <f t="shared" si="261"/>
        <v>00</v>
      </c>
      <c r="AA839" t="str">
        <f t="shared" si="251"/>
        <v>00</v>
      </c>
      <c r="AB839" t="str">
        <f t="shared" si="252"/>
        <v>00</v>
      </c>
      <c r="AC839" t="str">
        <f t="shared" si="253"/>
        <v>0P0</v>
      </c>
      <c r="AD839" t="str">
        <f t="shared" si="254"/>
        <v>P00</v>
      </c>
      <c r="AE839" t="str">
        <f t="shared" si="255"/>
        <v>0P0</v>
      </c>
      <c r="AF839" t="str">
        <f t="shared" si="256"/>
        <v>P00</v>
      </c>
      <c r="AG839" t="str">
        <f t="shared" si="262"/>
        <v>0P00</v>
      </c>
      <c r="AH839" t="str">
        <f t="shared" si="263"/>
        <v>P000</v>
      </c>
      <c r="AI839" t="str">
        <f t="shared" si="264"/>
        <v>0P00</v>
      </c>
      <c r="AJ839" t="str">
        <f t="shared" si="265"/>
        <v>P000</v>
      </c>
    </row>
    <row r="840" spans="1:36" x14ac:dyDescent="0.25">
      <c r="A840" s="325" t="str">
        <f>CONCATENATE("P",'906MP'!M540)</f>
        <v>P</v>
      </c>
      <c r="B840">
        <f>'906MP'!H540</f>
        <v>0</v>
      </c>
      <c r="C840">
        <f>'906MP'!J540</f>
        <v>0</v>
      </c>
      <c r="D840">
        <f>'906MP'!P540</f>
        <v>0</v>
      </c>
      <c r="E840">
        <f>'906MP'!X540</f>
        <v>0</v>
      </c>
      <c r="F840" t="str">
        <f t="shared" si="257"/>
        <v>0</v>
      </c>
      <c r="G840" t="str">
        <f t="shared" si="258"/>
        <v>0</v>
      </c>
      <c r="H840">
        <f>'906MP'!Y540</f>
        <v>0</v>
      </c>
      <c r="I840">
        <f>'906MP'!AK540</f>
        <v>0</v>
      </c>
      <c r="J840">
        <f>'906MP'!T540</f>
        <v>0</v>
      </c>
      <c r="K840">
        <f>'906MP'!AJ540</f>
        <v>0</v>
      </c>
      <c r="L840">
        <f>'906MP'!U540</f>
        <v>0</v>
      </c>
      <c r="M840" s="322" t="str">
        <f>IFERROR(VLOOKUP(A840,PAR!$D$3:$E$53,2,FALSE),"nincs szervezet")</f>
        <v>nincs szervezet</v>
      </c>
      <c r="N840" s="322" t="str">
        <f>VLOOKUP(F840,PAR!$R$3:$S$5,2,FALSE)</f>
        <v>3 - egyik sem</v>
      </c>
      <c r="O840" t="str">
        <f>IFERROR(VLOOKUP(J840,PAR!$O$3:$P$5,2,FALSE),"nincs feladat")</f>
        <v>nincs feladat</v>
      </c>
      <c r="P840" t="str">
        <f>IFERROR(VLOOKUP(G840,PAR!$J$2:$M$19,4),"nincs rovat")</f>
        <v>nincs rovat</v>
      </c>
      <c r="Q840" t="str">
        <f>IF(H840&gt;0,VLOOKUP(H840,PAR!$AA$3:$AC$187,3,FALSE),"nincs főkönyvi számla")</f>
        <v>nincs főkönyvi számla</v>
      </c>
      <c r="R840" t="str">
        <f>IFERROR(VLOOKUP(K840,PAR!$V$3:$X$438,3,FALSE),"000000 - Nincs COFOG")</f>
        <v>000000 - Nincs COFOG</v>
      </c>
      <c r="S840">
        <f t="shared" si="259"/>
        <v>0</v>
      </c>
      <c r="T840">
        <f t="shared" si="260"/>
        <v>0</v>
      </c>
      <c r="U840" t="str">
        <f>IF('906MP'!J540&gt;0,CONCATENATE('906MP'!J540," - ",'906MP'!P540,", ",'906MP'!E540),"nincs megjegyzés")</f>
        <v>nincs megjegyzés</v>
      </c>
      <c r="V840" t="str">
        <f t="shared" si="247"/>
        <v>0P0</v>
      </c>
      <c r="W840" t="str">
        <f t="shared" si="248"/>
        <v>0P0</v>
      </c>
      <c r="X840" t="str">
        <f t="shared" si="249"/>
        <v>P0</v>
      </c>
      <c r="Y840" t="str">
        <f t="shared" si="250"/>
        <v>00</v>
      </c>
      <c r="Z840" t="str">
        <f t="shared" si="261"/>
        <v>00</v>
      </c>
      <c r="AA840" t="str">
        <f t="shared" si="251"/>
        <v>00</v>
      </c>
      <c r="AB840" t="str">
        <f t="shared" si="252"/>
        <v>00</v>
      </c>
      <c r="AC840" t="str">
        <f t="shared" si="253"/>
        <v>0P0</v>
      </c>
      <c r="AD840" t="str">
        <f t="shared" si="254"/>
        <v>P00</v>
      </c>
      <c r="AE840" t="str">
        <f t="shared" si="255"/>
        <v>0P0</v>
      </c>
      <c r="AF840" t="str">
        <f t="shared" si="256"/>
        <v>P00</v>
      </c>
      <c r="AG840" t="str">
        <f t="shared" si="262"/>
        <v>0P00</v>
      </c>
      <c r="AH840" t="str">
        <f t="shared" si="263"/>
        <v>P000</v>
      </c>
      <c r="AI840" t="str">
        <f t="shared" si="264"/>
        <v>0P00</v>
      </c>
      <c r="AJ840" t="str">
        <f t="shared" si="265"/>
        <v>P000</v>
      </c>
    </row>
    <row r="841" spans="1:36" x14ac:dyDescent="0.25">
      <c r="A841" s="325" t="str">
        <f>CONCATENATE("P",'906MP'!M541)</f>
        <v>P</v>
      </c>
      <c r="B841">
        <f>'906MP'!H541</f>
        <v>0</v>
      </c>
      <c r="C841">
        <f>'906MP'!J541</f>
        <v>0</v>
      </c>
      <c r="D841">
        <f>'906MP'!P541</f>
        <v>0</v>
      </c>
      <c r="E841">
        <f>'906MP'!X541</f>
        <v>0</v>
      </c>
      <c r="F841" t="str">
        <f t="shared" si="257"/>
        <v>0</v>
      </c>
      <c r="G841" t="str">
        <f t="shared" si="258"/>
        <v>0</v>
      </c>
      <c r="H841">
        <f>'906MP'!Y541</f>
        <v>0</v>
      </c>
      <c r="I841">
        <f>'906MP'!AK541</f>
        <v>0</v>
      </c>
      <c r="J841">
        <f>'906MP'!T541</f>
        <v>0</v>
      </c>
      <c r="K841">
        <f>'906MP'!AJ541</f>
        <v>0</v>
      </c>
      <c r="L841">
        <f>'906MP'!U541</f>
        <v>0</v>
      </c>
      <c r="M841" s="322" t="str">
        <f>IFERROR(VLOOKUP(A841,PAR!$D$3:$E$53,2,FALSE),"nincs szervezet")</f>
        <v>nincs szervezet</v>
      </c>
      <c r="N841" s="322" t="str">
        <f>VLOOKUP(F841,PAR!$R$3:$S$5,2,FALSE)</f>
        <v>3 - egyik sem</v>
      </c>
      <c r="O841" t="str">
        <f>IFERROR(VLOOKUP(J841,PAR!$O$3:$P$5,2,FALSE),"nincs feladat")</f>
        <v>nincs feladat</v>
      </c>
      <c r="P841" t="str">
        <f>IFERROR(VLOOKUP(G841,PAR!$J$2:$M$19,4),"nincs rovat")</f>
        <v>nincs rovat</v>
      </c>
      <c r="Q841" t="str">
        <f>IF(H841&gt;0,VLOOKUP(H841,PAR!$AA$3:$AC$187,3,FALSE),"nincs főkönyvi számla")</f>
        <v>nincs főkönyvi számla</v>
      </c>
      <c r="R841" t="str">
        <f>IFERROR(VLOOKUP(K841,PAR!$V$3:$X$438,3,FALSE),"000000 - Nincs COFOG")</f>
        <v>000000 - Nincs COFOG</v>
      </c>
      <c r="S841">
        <f t="shared" si="259"/>
        <v>0</v>
      </c>
      <c r="T841">
        <f t="shared" si="260"/>
        <v>0</v>
      </c>
      <c r="U841" t="str">
        <f>IF('906MP'!J541&gt;0,CONCATENATE('906MP'!J541," - ",'906MP'!P541,", ",'906MP'!E541),"nincs megjegyzés")</f>
        <v>nincs megjegyzés</v>
      </c>
      <c r="V841" t="str">
        <f t="shared" si="247"/>
        <v>0P0</v>
      </c>
      <c r="W841" t="str">
        <f t="shared" si="248"/>
        <v>0P0</v>
      </c>
      <c r="X841" t="str">
        <f t="shared" si="249"/>
        <v>P0</v>
      </c>
      <c r="Y841" t="str">
        <f t="shared" si="250"/>
        <v>00</v>
      </c>
      <c r="Z841" t="str">
        <f t="shared" si="261"/>
        <v>00</v>
      </c>
      <c r="AA841" t="str">
        <f t="shared" si="251"/>
        <v>00</v>
      </c>
      <c r="AB841" t="str">
        <f t="shared" si="252"/>
        <v>00</v>
      </c>
      <c r="AC841" t="str">
        <f t="shared" si="253"/>
        <v>0P0</v>
      </c>
      <c r="AD841" t="str">
        <f t="shared" si="254"/>
        <v>P00</v>
      </c>
      <c r="AE841" t="str">
        <f t="shared" si="255"/>
        <v>0P0</v>
      </c>
      <c r="AF841" t="str">
        <f t="shared" si="256"/>
        <v>P00</v>
      </c>
      <c r="AG841" t="str">
        <f t="shared" si="262"/>
        <v>0P00</v>
      </c>
      <c r="AH841" t="str">
        <f t="shared" si="263"/>
        <v>P000</v>
      </c>
      <c r="AI841" t="str">
        <f t="shared" si="264"/>
        <v>0P00</v>
      </c>
      <c r="AJ841" t="str">
        <f t="shared" si="265"/>
        <v>P000</v>
      </c>
    </row>
    <row r="842" spans="1:36" x14ac:dyDescent="0.25">
      <c r="A842" s="325" t="str">
        <f>CONCATENATE("P",'906MP'!M542)</f>
        <v>P</v>
      </c>
      <c r="B842">
        <f>'906MP'!H542</f>
        <v>0</v>
      </c>
      <c r="C842">
        <f>'906MP'!J542</f>
        <v>0</v>
      </c>
      <c r="D842">
        <f>'906MP'!P542</f>
        <v>0</v>
      </c>
      <c r="E842">
        <f>'906MP'!X542</f>
        <v>0</v>
      </c>
      <c r="F842" t="str">
        <f t="shared" si="257"/>
        <v>0</v>
      </c>
      <c r="G842" t="str">
        <f t="shared" si="258"/>
        <v>0</v>
      </c>
      <c r="H842">
        <f>'906MP'!Y542</f>
        <v>0</v>
      </c>
      <c r="I842">
        <f>'906MP'!AK542</f>
        <v>0</v>
      </c>
      <c r="J842">
        <f>'906MP'!T542</f>
        <v>0</v>
      </c>
      <c r="K842">
        <f>'906MP'!AJ542</f>
        <v>0</v>
      </c>
      <c r="L842">
        <f>'906MP'!U542</f>
        <v>0</v>
      </c>
      <c r="M842" s="322" t="str">
        <f>IFERROR(VLOOKUP(A842,PAR!$D$3:$E$53,2,FALSE),"nincs szervezet")</f>
        <v>nincs szervezet</v>
      </c>
      <c r="N842" s="322" t="str">
        <f>VLOOKUP(F842,PAR!$R$3:$S$5,2,FALSE)</f>
        <v>3 - egyik sem</v>
      </c>
      <c r="O842" t="str">
        <f>IFERROR(VLOOKUP(J842,PAR!$O$3:$P$5,2,FALSE),"nincs feladat")</f>
        <v>nincs feladat</v>
      </c>
      <c r="P842" t="str">
        <f>IFERROR(VLOOKUP(G842,PAR!$J$2:$M$19,4),"nincs rovat")</f>
        <v>nincs rovat</v>
      </c>
      <c r="Q842" t="str">
        <f>IF(H842&gt;0,VLOOKUP(H842,PAR!$AA$3:$AC$187,3,FALSE),"nincs főkönyvi számla")</f>
        <v>nincs főkönyvi számla</v>
      </c>
      <c r="R842" t="str">
        <f>IFERROR(VLOOKUP(K842,PAR!$V$3:$X$438,3,FALSE),"000000 - Nincs COFOG")</f>
        <v>000000 - Nincs COFOG</v>
      </c>
      <c r="S842">
        <f t="shared" si="259"/>
        <v>0</v>
      </c>
      <c r="T842">
        <f t="shared" si="260"/>
        <v>0</v>
      </c>
      <c r="U842" t="str">
        <f>IF('906MP'!J542&gt;0,CONCATENATE('906MP'!J542," - ",'906MP'!P542,", ",'906MP'!E542),"nincs megjegyzés")</f>
        <v>nincs megjegyzés</v>
      </c>
      <c r="V842" t="str">
        <f t="shared" si="247"/>
        <v>0P0</v>
      </c>
      <c r="W842" t="str">
        <f t="shared" si="248"/>
        <v>0P0</v>
      </c>
      <c r="X842" t="str">
        <f t="shared" si="249"/>
        <v>P0</v>
      </c>
      <c r="Y842" t="str">
        <f t="shared" si="250"/>
        <v>00</v>
      </c>
      <c r="Z842" t="str">
        <f t="shared" si="261"/>
        <v>00</v>
      </c>
      <c r="AA842" t="str">
        <f t="shared" si="251"/>
        <v>00</v>
      </c>
      <c r="AB842" t="str">
        <f t="shared" si="252"/>
        <v>00</v>
      </c>
      <c r="AC842" t="str">
        <f t="shared" si="253"/>
        <v>0P0</v>
      </c>
      <c r="AD842" t="str">
        <f t="shared" si="254"/>
        <v>P00</v>
      </c>
      <c r="AE842" t="str">
        <f t="shared" si="255"/>
        <v>0P0</v>
      </c>
      <c r="AF842" t="str">
        <f t="shared" si="256"/>
        <v>P00</v>
      </c>
      <c r="AG842" t="str">
        <f t="shared" si="262"/>
        <v>0P00</v>
      </c>
      <c r="AH842" t="str">
        <f t="shared" si="263"/>
        <v>P000</v>
      </c>
      <c r="AI842" t="str">
        <f t="shared" si="264"/>
        <v>0P00</v>
      </c>
      <c r="AJ842" t="str">
        <f t="shared" si="265"/>
        <v>P000</v>
      </c>
    </row>
    <row r="843" spans="1:36" x14ac:dyDescent="0.25">
      <c r="A843" s="325" t="str">
        <f>CONCATENATE("P",'906MP'!M543)</f>
        <v>P</v>
      </c>
      <c r="B843">
        <f>'906MP'!H543</f>
        <v>0</v>
      </c>
      <c r="C843">
        <f>'906MP'!J543</f>
        <v>0</v>
      </c>
      <c r="D843">
        <f>'906MP'!P543</f>
        <v>0</v>
      </c>
      <c r="E843">
        <f>'906MP'!X543</f>
        <v>0</v>
      </c>
      <c r="F843" t="str">
        <f t="shared" si="257"/>
        <v>0</v>
      </c>
      <c r="G843" t="str">
        <f t="shared" si="258"/>
        <v>0</v>
      </c>
      <c r="H843">
        <f>'906MP'!Y543</f>
        <v>0</v>
      </c>
      <c r="I843">
        <f>'906MP'!AK543</f>
        <v>0</v>
      </c>
      <c r="J843">
        <f>'906MP'!T543</f>
        <v>0</v>
      </c>
      <c r="K843">
        <f>'906MP'!AJ543</f>
        <v>0</v>
      </c>
      <c r="L843">
        <f>'906MP'!U543</f>
        <v>0</v>
      </c>
      <c r="M843" s="322" t="str">
        <f>IFERROR(VLOOKUP(A843,PAR!$D$3:$E$53,2,FALSE),"nincs szervezet")</f>
        <v>nincs szervezet</v>
      </c>
      <c r="N843" s="322" t="str">
        <f>VLOOKUP(F843,PAR!$R$3:$S$5,2,FALSE)</f>
        <v>3 - egyik sem</v>
      </c>
      <c r="O843" t="str">
        <f>IFERROR(VLOOKUP(J843,PAR!$O$3:$P$5,2,FALSE),"nincs feladat")</f>
        <v>nincs feladat</v>
      </c>
      <c r="P843" t="str">
        <f>IFERROR(VLOOKUP(G843,PAR!$J$2:$M$19,4),"nincs rovat")</f>
        <v>nincs rovat</v>
      </c>
      <c r="Q843" t="str">
        <f>IF(H843&gt;0,VLOOKUP(H843,PAR!$AA$3:$AC$187,3,FALSE),"nincs főkönyvi számla")</f>
        <v>nincs főkönyvi számla</v>
      </c>
      <c r="R843" t="str">
        <f>IFERROR(VLOOKUP(K843,PAR!$V$3:$X$438,3,FALSE),"000000 - Nincs COFOG")</f>
        <v>000000 - Nincs COFOG</v>
      </c>
      <c r="S843">
        <f t="shared" si="259"/>
        <v>0</v>
      </c>
      <c r="T843">
        <f t="shared" si="260"/>
        <v>0</v>
      </c>
      <c r="U843" t="str">
        <f>IF('906MP'!J543&gt;0,CONCATENATE('906MP'!J543," - ",'906MP'!P543,", ",'906MP'!E543),"nincs megjegyzés")</f>
        <v>nincs megjegyzés</v>
      </c>
      <c r="V843" t="str">
        <f t="shared" si="247"/>
        <v>0P0</v>
      </c>
      <c r="W843" t="str">
        <f t="shared" si="248"/>
        <v>0P0</v>
      </c>
      <c r="X843" t="str">
        <f t="shared" si="249"/>
        <v>P0</v>
      </c>
      <c r="Y843" t="str">
        <f t="shared" si="250"/>
        <v>00</v>
      </c>
      <c r="Z843" t="str">
        <f t="shared" si="261"/>
        <v>00</v>
      </c>
      <c r="AA843" t="str">
        <f t="shared" si="251"/>
        <v>00</v>
      </c>
      <c r="AB843" t="str">
        <f t="shared" si="252"/>
        <v>00</v>
      </c>
      <c r="AC843" t="str">
        <f t="shared" si="253"/>
        <v>0P0</v>
      </c>
      <c r="AD843" t="str">
        <f t="shared" si="254"/>
        <v>P00</v>
      </c>
      <c r="AE843" t="str">
        <f t="shared" si="255"/>
        <v>0P0</v>
      </c>
      <c r="AF843" t="str">
        <f t="shared" si="256"/>
        <v>P00</v>
      </c>
      <c r="AG843" t="str">
        <f t="shared" si="262"/>
        <v>0P00</v>
      </c>
      <c r="AH843" t="str">
        <f t="shared" si="263"/>
        <v>P000</v>
      </c>
      <c r="AI843" t="str">
        <f t="shared" si="264"/>
        <v>0P00</v>
      </c>
      <c r="AJ843" t="str">
        <f t="shared" si="265"/>
        <v>P000</v>
      </c>
    </row>
    <row r="844" spans="1:36" x14ac:dyDescent="0.25">
      <c r="A844" s="325" t="str">
        <f>CONCATENATE("P",'906MP'!M544)</f>
        <v>P</v>
      </c>
      <c r="B844">
        <f>'906MP'!H544</f>
        <v>0</v>
      </c>
      <c r="C844">
        <f>'906MP'!J544</f>
        <v>0</v>
      </c>
      <c r="D844">
        <f>'906MP'!P544</f>
        <v>0</v>
      </c>
      <c r="E844">
        <f>'906MP'!X544</f>
        <v>0</v>
      </c>
      <c r="F844" t="str">
        <f t="shared" si="257"/>
        <v>0</v>
      </c>
      <c r="G844" t="str">
        <f t="shared" si="258"/>
        <v>0</v>
      </c>
      <c r="H844">
        <f>'906MP'!Y544</f>
        <v>0</v>
      </c>
      <c r="I844">
        <f>'906MP'!AK544</f>
        <v>0</v>
      </c>
      <c r="J844">
        <f>'906MP'!T544</f>
        <v>0</v>
      </c>
      <c r="K844">
        <f>'906MP'!AJ544</f>
        <v>0</v>
      </c>
      <c r="L844">
        <f>'906MP'!U544</f>
        <v>0</v>
      </c>
      <c r="M844" s="322" t="str">
        <f>IFERROR(VLOOKUP(A844,PAR!$D$3:$E$53,2,FALSE),"nincs szervezet")</f>
        <v>nincs szervezet</v>
      </c>
      <c r="N844" s="322" t="str">
        <f>VLOOKUP(F844,PAR!$R$3:$S$5,2,FALSE)</f>
        <v>3 - egyik sem</v>
      </c>
      <c r="O844" t="str">
        <f>IFERROR(VLOOKUP(J844,PAR!$O$3:$P$5,2,FALSE),"nincs feladat")</f>
        <v>nincs feladat</v>
      </c>
      <c r="P844" t="str">
        <f>IFERROR(VLOOKUP(G844,PAR!$J$2:$M$19,4),"nincs rovat")</f>
        <v>nincs rovat</v>
      </c>
      <c r="Q844" t="str">
        <f>IF(H844&gt;0,VLOOKUP(H844,PAR!$AA$3:$AC$187,3,FALSE),"nincs főkönyvi számla")</f>
        <v>nincs főkönyvi számla</v>
      </c>
      <c r="R844" t="str">
        <f>IFERROR(VLOOKUP(K844,PAR!$V$3:$X$438,3,FALSE),"000000 - Nincs COFOG")</f>
        <v>000000 - Nincs COFOG</v>
      </c>
      <c r="S844">
        <f t="shared" si="259"/>
        <v>0</v>
      </c>
      <c r="T844">
        <f t="shared" si="260"/>
        <v>0</v>
      </c>
      <c r="U844" t="str">
        <f>IF('906MP'!J544&gt;0,CONCATENATE('906MP'!J544," - ",'906MP'!P544,", ",'906MP'!E544),"nincs megjegyzés")</f>
        <v>nincs megjegyzés</v>
      </c>
      <c r="V844" t="str">
        <f t="shared" si="247"/>
        <v>0P0</v>
      </c>
      <c r="W844" t="str">
        <f t="shared" si="248"/>
        <v>0P0</v>
      </c>
      <c r="X844" t="str">
        <f t="shared" si="249"/>
        <v>P0</v>
      </c>
      <c r="Y844" t="str">
        <f t="shared" si="250"/>
        <v>00</v>
      </c>
      <c r="Z844" t="str">
        <f t="shared" si="261"/>
        <v>00</v>
      </c>
      <c r="AA844" t="str">
        <f t="shared" si="251"/>
        <v>00</v>
      </c>
      <c r="AB844" t="str">
        <f t="shared" si="252"/>
        <v>00</v>
      </c>
      <c r="AC844" t="str">
        <f t="shared" si="253"/>
        <v>0P0</v>
      </c>
      <c r="AD844" t="str">
        <f t="shared" si="254"/>
        <v>P00</v>
      </c>
      <c r="AE844" t="str">
        <f t="shared" si="255"/>
        <v>0P0</v>
      </c>
      <c r="AF844" t="str">
        <f t="shared" si="256"/>
        <v>P00</v>
      </c>
      <c r="AG844" t="str">
        <f t="shared" si="262"/>
        <v>0P00</v>
      </c>
      <c r="AH844" t="str">
        <f t="shared" si="263"/>
        <v>P000</v>
      </c>
      <c r="AI844" t="str">
        <f t="shared" si="264"/>
        <v>0P00</v>
      </c>
      <c r="AJ844" t="str">
        <f t="shared" si="265"/>
        <v>P000</v>
      </c>
    </row>
    <row r="845" spans="1:36" x14ac:dyDescent="0.25">
      <c r="A845" s="325" t="str">
        <f>CONCATENATE("P",'906MP'!M545)</f>
        <v>P</v>
      </c>
      <c r="B845">
        <f>'906MP'!H545</f>
        <v>0</v>
      </c>
      <c r="C845">
        <f>'906MP'!J545</f>
        <v>0</v>
      </c>
      <c r="D845">
        <f>'906MP'!P545</f>
        <v>0</v>
      </c>
      <c r="E845">
        <f>'906MP'!X545</f>
        <v>0</v>
      </c>
      <c r="F845" t="str">
        <f t="shared" si="257"/>
        <v>0</v>
      </c>
      <c r="G845" t="str">
        <f t="shared" si="258"/>
        <v>0</v>
      </c>
      <c r="H845">
        <f>'906MP'!Y545</f>
        <v>0</v>
      </c>
      <c r="I845">
        <f>'906MP'!AK545</f>
        <v>0</v>
      </c>
      <c r="J845">
        <f>'906MP'!T545</f>
        <v>0</v>
      </c>
      <c r="K845">
        <f>'906MP'!AJ545</f>
        <v>0</v>
      </c>
      <c r="L845">
        <f>'906MP'!U545</f>
        <v>0</v>
      </c>
      <c r="M845" s="322" t="str">
        <f>IFERROR(VLOOKUP(A845,PAR!$D$3:$E$53,2,FALSE),"nincs szervezet")</f>
        <v>nincs szervezet</v>
      </c>
      <c r="N845" s="322" t="str">
        <f>VLOOKUP(F845,PAR!$R$3:$S$5,2,FALSE)</f>
        <v>3 - egyik sem</v>
      </c>
      <c r="O845" t="str">
        <f>IFERROR(VLOOKUP(J845,PAR!$O$3:$P$5,2,FALSE),"nincs feladat")</f>
        <v>nincs feladat</v>
      </c>
      <c r="P845" t="str">
        <f>IFERROR(VLOOKUP(G845,PAR!$J$2:$M$19,4),"nincs rovat")</f>
        <v>nincs rovat</v>
      </c>
      <c r="Q845" t="str">
        <f>IF(H845&gt;0,VLOOKUP(H845,PAR!$AA$3:$AC$187,3,FALSE),"nincs főkönyvi számla")</f>
        <v>nincs főkönyvi számla</v>
      </c>
      <c r="R845" t="str">
        <f>IFERROR(VLOOKUP(K845,PAR!$V$3:$X$438,3,FALSE),"000000 - Nincs COFOG")</f>
        <v>000000 - Nincs COFOG</v>
      </c>
      <c r="S845">
        <f t="shared" si="259"/>
        <v>0</v>
      </c>
      <c r="T845">
        <f t="shared" si="260"/>
        <v>0</v>
      </c>
      <c r="U845" t="str">
        <f>IF('906MP'!J545&gt;0,CONCATENATE('906MP'!J545," - ",'906MP'!P545,", ",'906MP'!E545),"nincs megjegyzés")</f>
        <v>nincs megjegyzés</v>
      </c>
      <c r="V845" t="str">
        <f t="shared" si="247"/>
        <v>0P0</v>
      </c>
      <c r="W845" t="str">
        <f t="shared" si="248"/>
        <v>0P0</v>
      </c>
      <c r="X845" t="str">
        <f t="shared" si="249"/>
        <v>P0</v>
      </c>
      <c r="Y845" t="str">
        <f t="shared" si="250"/>
        <v>00</v>
      </c>
      <c r="Z845" t="str">
        <f t="shared" si="261"/>
        <v>00</v>
      </c>
      <c r="AA845" t="str">
        <f t="shared" si="251"/>
        <v>00</v>
      </c>
      <c r="AB845" t="str">
        <f t="shared" si="252"/>
        <v>00</v>
      </c>
      <c r="AC845" t="str">
        <f t="shared" si="253"/>
        <v>0P0</v>
      </c>
      <c r="AD845" t="str">
        <f t="shared" si="254"/>
        <v>P00</v>
      </c>
      <c r="AE845" t="str">
        <f t="shared" si="255"/>
        <v>0P0</v>
      </c>
      <c r="AF845" t="str">
        <f t="shared" si="256"/>
        <v>P00</v>
      </c>
      <c r="AG845" t="str">
        <f t="shared" si="262"/>
        <v>0P00</v>
      </c>
      <c r="AH845" t="str">
        <f t="shared" si="263"/>
        <v>P000</v>
      </c>
      <c r="AI845" t="str">
        <f t="shared" si="264"/>
        <v>0P00</v>
      </c>
      <c r="AJ845" t="str">
        <f t="shared" si="265"/>
        <v>P000</v>
      </c>
    </row>
    <row r="846" spans="1:36" x14ac:dyDescent="0.25">
      <c r="A846" s="325" t="str">
        <f>CONCATENATE("P",'906MP'!M546)</f>
        <v>P</v>
      </c>
      <c r="B846">
        <f>'906MP'!H546</f>
        <v>0</v>
      </c>
      <c r="C846">
        <f>'906MP'!J546</f>
        <v>0</v>
      </c>
      <c r="D846">
        <f>'906MP'!P546</f>
        <v>0</v>
      </c>
      <c r="E846">
        <f>'906MP'!X546</f>
        <v>0</v>
      </c>
      <c r="F846" t="str">
        <f t="shared" si="257"/>
        <v>0</v>
      </c>
      <c r="G846" t="str">
        <f t="shared" si="258"/>
        <v>0</v>
      </c>
      <c r="H846">
        <f>'906MP'!Y546</f>
        <v>0</v>
      </c>
      <c r="I846">
        <f>'906MP'!AK546</f>
        <v>0</v>
      </c>
      <c r="J846">
        <f>'906MP'!T546</f>
        <v>0</v>
      </c>
      <c r="K846">
        <f>'906MP'!AJ546</f>
        <v>0</v>
      </c>
      <c r="L846">
        <f>'906MP'!U546</f>
        <v>0</v>
      </c>
      <c r="M846" s="322" t="str">
        <f>IFERROR(VLOOKUP(A846,PAR!$D$3:$E$53,2,FALSE),"nincs szervezet")</f>
        <v>nincs szervezet</v>
      </c>
      <c r="N846" s="322" t="str">
        <f>VLOOKUP(F846,PAR!$R$3:$S$5,2,FALSE)</f>
        <v>3 - egyik sem</v>
      </c>
      <c r="O846" t="str">
        <f>IFERROR(VLOOKUP(J846,PAR!$O$3:$P$5,2,FALSE),"nincs feladat")</f>
        <v>nincs feladat</v>
      </c>
      <c r="P846" t="str">
        <f>IFERROR(VLOOKUP(G846,PAR!$J$2:$M$19,4),"nincs rovat")</f>
        <v>nincs rovat</v>
      </c>
      <c r="Q846" t="str">
        <f>IF(H846&gt;0,VLOOKUP(H846,PAR!$AA$3:$AC$187,3,FALSE),"nincs főkönyvi számla")</f>
        <v>nincs főkönyvi számla</v>
      </c>
      <c r="R846" t="str">
        <f>IFERROR(VLOOKUP(K846,PAR!$V$3:$X$438,3,FALSE),"000000 - Nincs COFOG")</f>
        <v>000000 - Nincs COFOG</v>
      </c>
      <c r="S846">
        <f t="shared" si="259"/>
        <v>0</v>
      </c>
      <c r="T846">
        <f t="shared" si="260"/>
        <v>0</v>
      </c>
      <c r="U846" t="str">
        <f>IF('906MP'!J546&gt;0,CONCATENATE('906MP'!J546," - ",'906MP'!P546,", ",'906MP'!E546),"nincs megjegyzés")</f>
        <v>nincs megjegyzés</v>
      </c>
      <c r="V846" t="str">
        <f t="shared" si="247"/>
        <v>0P0</v>
      </c>
      <c r="W846" t="str">
        <f t="shared" si="248"/>
        <v>0P0</v>
      </c>
      <c r="X846" t="str">
        <f t="shared" si="249"/>
        <v>P0</v>
      </c>
      <c r="Y846" t="str">
        <f t="shared" si="250"/>
        <v>00</v>
      </c>
      <c r="Z846" t="str">
        <f t="shared" si="261"/>
        <v>00</v>
      </c>
      <c r="AA846" t="str">
        <f t="shared" si="251"/>
        <v>00</v>
      </c>
      <c r="AB846" t="str">
        <f t="shared" si="252"/>
        <v>00</v>
      </c>
      <c r="AC846" t="str">
        <f t="shared" si="253"/>
        <v>0P0</v>
      </c>
      <c r="AD846" t="str">
        <f t="shared" si="254"/>
        <v>P00</v>
      </c>
      <c r="AE846" t="str">
        <f t="shared" si="255"/>
        <v>0P0</v>
      </c>
      <c r="AF846" t="str">
        <f t="shared" si="256"/>
        <v>P00</v>
      </c>
      <c r="AG846" t="str">
        <f t="shared" si="262"/>
        <v>0P00</v>
      </c>
      <c r="AH846" t="str">
        <f t="shared" si="263"/>
        <v>P000</v>
      </c>
      <c r="AI846" t="str">
        <f t="shared" si="264"/>
        <v>0P00</v>
      </c>
      <c r="AJ846" t="str">
        <f t="shared" si="265"/>
        <v>P000</v>
      </c>
    </row>
    <row r="847" spans="1:36" x14ac:dyDescent="0.25">
      <c r="A847" s="325" t="str">
        <f>CONCATENATE("P",'906MP'!M547)</f>
        <v>P</v>
      </c>
      <c r="B847">
        <f>'906MP'!H547</f>
        <v>0</v>
      </c>
      <c r="C847">
        <f>'906MP'!J547</f>
        <v>0</v>
      </c>
      <c r="D847">
        <f>'906MP'!P547</f>
        <v>0</v>
      </c>
      <c r="E847">
        <f>'906MP'!X547</f>
        <v>0</v>
      </c>
      <c r="F847" t="str">
        <f t="shared" si="257"/>
        <v>0</v>
      </c>
      <c r="G847" t="str">
        <f t="shared" si="258"/>
        <v>0</v>
      </c>
      <c r="H847">
        <f>'906MP'!Y547</f>
        <v>0</v>
      </c>
      <c r="I847">
        <f>'906MP'!AK547</f>
        <v>0</v>
      </c>
      <c r="J847">
        <f>'906MP'!T547</f>
        <v>0</v>
      </c>
      <c r="K847">
        <f>'906MP'!AJ547</f>
        <v>0</v>
      </c>
      <c r="L847">
        <f>'906MP'!U547</f>
        <v>0</v>
      </c>
      <c r="M847" s="322" t="str">
        <f>IFERROR(VLOOKUP(A847,PAR!$D$3:$E$53,2,FALSE),"nincs szervezet")</f>
        <v>nincs szervezet</v>
      </c>
      <c r="N847" s="322" t="str">
        <f>VLOOKUP(F847,PAR!$R$3:$S$5,2,FALSE)</f>
        <v>3 - egyik sem</v>
      </c>
      <c r="O847" t="str">
        <f>IFERROR(VLOOKUP(J847,PAR!$O$3:$P$5,2,FALSE),"nincs feladat")</f>
        <v>nincs feladat</v>
      </c>
      <c r="P847" t="str">
        <f>IFERROR(VLOOKUP(G847,PAR!$J$2:$M$19,4),"nincs rovat")</f>
        <v>nincs rovat</v>
      </c>
      <c r="Q847" t="str">
        <f>IF(H847&gt;0,VLOOKUP(H847,PAR!$AA$3:$AC$187,3,FALSE),"nincs főkönyvi számla")</f>
        <v>nincs főkönyvi számla</v>
      </c>
      <c r="R847" t="str">
        <f>IFERROR(VLOOKUP(K847,PAR!$V$3:$X$438,3,FALSE),"000000 - Nincs COFOG")</f>
        <v>000000 - Nincs COFOG</v>
      </c>
      <c r="S847">
        <f t="shared" si="259"/>
        <v>0</v>
      </c>
      <c r="T847">
        <f t="shared" si="260"/>
        <v>0</v>
      </c>
      <c r="U847" t="str">
        <f>IF('906MP'!J547&gt;0,CONCATENATE('906MP'!J547," - ",'906MP'!P547,", ",'906MP'!E547),"nincs megjegyzés")</f>
        <v>nincs megjegyzés</v>
      </c>
      <c r="V847" t="str">
        <f t="shared" si="247"/>
        <v>0P0</v>
      </c>
      <c r="W847" t="str">
        <f t="shared" si="248"/>
        <v>0P0</v>
      </c>
      <c r="X847" t="str">
        <f t="shared" si="249"/>
        <v>P0</v>
      </c>
      <c r="Y847" t="str">
        <f t="shared" si="250"/>
        <v>00</v>
      </c>
      <c r="Z847" t="str">
        <f t="shared" si="261"/>
        <v>00</v>
      </c>
      <c r="AA847" t="str">
        <f t="shared" si="251"/>
        <v>00</v>
      </c>
      <c r="AB847" t="str">
        <f t="shared" si="252"/>
        <v>00</v>
      </c>
      <c r="AC847" t="str">
        <f t="shared" si="253"/>
        <v>0P0</v>
      </c>
      <c r="AD847" t="str">
        <f t="shared" si="254"/>
        <v>P00</v>
      </c>
      <c r="AE847" t="str">
        <f t="shared" si="255"/>
        <v>0P0</v>
      </c>
      <c r="AF847" t="str">
        <f t="shared" si="256"/>
        <v>P00</v>
      </c>
      <c r="AG847" t="str">
        <f t="shared" si="262"/>
        <v>0P00</v>
      </c>
      <c r="AH847" t="str">
        <f t="shared" si="263"/>
        <v>P000</v>
      </c>
      <c r="AI847" t="str">
        <f t="shared" si="264"/>
        <v>0P00</v>
      </c>
      <c r="AJ847" t="str">
        <f t="shared" si="265"/>
        <v>P000</v>
      </c>
    </row>
    <row r="848" spans="1:36" x14ac:dyDescent="0.25">
      <c r="A848" s="325" t="str">
        <f>CONCATENATE("P",'906MP'!M548)</f>
        <v>P</v>
      </c>
      <c r="B848">
        <f>'906MP'!H548</f>
        <v>0</v>
      </c>
      <c r="C848">
        <f>'906MP'!J548</f>
        <v>0</v>
      </c>
      <c r="D848">
        <f>'906MP'!P548</f>
        <v>0</v>
      </c>
      <c r="E848">
        <f>'906MP'!X548</f>
        <v>0</v>
      </c>
      <c r="F848" t="str">
        <f t="shared" si="257"/>
        <v>0</v>
      </c>
      <c r="G848" t="str">
        <f t="shared" si="258"/>
        <v>0</v>
      </c>
      <c r="H848">
        <f>'906MP'!Y548</f>
        <v>0</v>
      </c>
      <c r="I848">
        <f>'906MP'!AK548</f>
        <v>0</v>
      </c>
      <c r="J848">
        <f>'906MP'!T548</f>
        <v>0</v>
      </c>
      <c r="K848">
        <f>'906MP'!AJ548</f>
        <v>0</v>
      </c>
      <c r="L848">
        <f>'906MP'!U548</f>
        <v>0</v>
      </c>
      <c r="M848" s="322" t="str">
        <f>IFERROR(VLOOKUP(A848,PAR!$D$3:$E$53,2,FALSE),"nincs szervezet")</f>
        <v>nincs szervezet</v>
      </c>
      <c r="N848" s="322" t="str">
        <f>VLOOKUP(F848,PAR!$R$3:$S$5,2,FALSE)</f>
        <v>3 - egyik sem</v>
      </c>
      <c r="O848" t="str">
        <f>IFERROR(VLOOKUP(J848,PAR!$O$3:$P$5,2,FALSE),"nincs feladat")</f>
        <v>nincs feladat</v>
      </c>
      <c r="P848" t="str">
        <f>IFERROR(VLOOKUP(G848,PAR!$J$2:$M$19,4),"nincs rovat")</f>
        <v>nincs rovat</v>
      </c>
      <c r="Q848" t="str">
        <f>IF(H848&gt;0,VLOOKUP(H848,PAR!$AA$3:$AC$187,3,FALSE),"nincs főkönyvi számla")</f>
        <v>nincs főkönyvi számla</v>
      </c>
      <c r="R848" t="str">
        <f>IFERROR(VLOOKUP(K848,PAR!$V$3:$X$438,3,FALSE),"000000 - Nincs COFOG")</f>
        <v>000000 - Nincs COFOG</v>
      </c>
      <c r="S848">
        <f t="shared" si="259"/>
        <v>0</v>
      </c>
      <c r="T848">
        <f t="shared" si="260"/>
        <v>0</v>
      </c>
      <c r="U848" t="str">
        <f>IF('906MP'!J548&gt;0,CONCATENATE('906MP'!J548," - ",'906MP'!P548,", ",'906MP'!E548),"nincs megjegyzés")</f>
        <v>nincs megjegyzés</v>
      </c>
      <c r="V848" t="str">
        <f t="shared" si="247"/>
        <v>0P0</v>
      </c>
      <c r="W848" t="str">
        <f t="shared" si="248"/>
        <v>0P0</v>
      </c>
      <c r="X848" t="str">
        <f t="shared" si="249"/>
        <v>P0</v>
      </c>
      <c r="Y848" t="str">
        <f t="shared" si="250"/>
        <v>00</v>
      </c>
      <c r="Z848" t="str">
        <f t="shared" si="261"/>
        <v>00</v>
      </c>
      <c r="AA848" t="str">
        <f t="shared" si="251"/>
        <v>00</v>
      </c>
      <c r="AB848" t="str">
        <f t="shared" si="252"/>
        <v>00</v>
      </c>
      <c r="AC848" t="str">
        <f t="shared" si="253"/>
        <v>0P0</v>
      </c>
      <c r="AD848" t="str">
        <f t="shared" si="254"/>
        <v>P00</v>
      </c>
      <c r="AE848" t="str">
        <f t="shared" si="255"/>
        <v>0P0</v>
      </c>
      <c r="AF848" t="str">
        <f t="shared" si="256"/>
        <v>P00</v>
      </c>
      <c r="AG848" t="str">
        <f t="shared" si="262"/>
        <v>0P00</v>
      </c>
      <c r="AH848" t="str">
        <f t="shared" si="263"/>
        <v>P000</v>
      </c>
      <c r="AI848" t="str">
        <f t="shared" si="264"/>
        <v>0P00</v>
      </c>
      <c r="AJ848" t="str">
        <f t="shared" si="265"/>
        <v>P000</v>
      </c>
    </row>
    <row r="849" spans="1:36" x14ac:dyDescent="0.25">
      <c r="A849" s="325" t="str">
        <f>CONCATENATE("P",'906MP'!M549)</f>
        <v>P</v>
      </c>
      <c r="B849">
        <f>'906MP'!H549</f>
        <v>0</v>
      </c>
      <c r="C849">
        <f>'906MP'!J549</f>
        <v>0</v>
      </c>
      <c r="D849">
        <f>'906MP'!P549</f>
        <v>0</v>
      </c>
      <c r="E849">
        <f>'906MP'!X549</f>
        <v>0</v>
      </c>
      <c r="F849" t="str">
        <f t="shared" si="257"/>
        <v>0</v>
      </c>
      <c r="G849" t="str">
        <f t="shared" si="258"/>
        <v>0</v>
      </c>
      <c r="H849">
        <f>'906MP'!Y549</f>
        <v>0</v>
      </c>
      <c r="I849">
        <f>'906MP'!AK549</f>
        <v>0</v>
      </c>
      <c r="J849">
        <f>'906MP'!T549</f>
        <v>0</v>
      </c>
      <c r="K849">
        <f>'906MP'!AJ549</f>
        <v>0</v>
      </c>
      <c r="L849">
        <f>'906MP'!U549</f>
        <v>0</v>
      </c>
      <c r="M849" s="322" t="str">
        <f>IFERROR(VLOOKUP(A849,PAR!$D$3:$E$53,2,FALSE),"nincs szervezet")</f>
        <v>nincs szervezet</v>
      </c>
      <c r="N849" s="322" t="str">
        <f>VLOOKUP(F849,PAR!$R$3:$S$5,2,FALSE)</f>
        <v>3 - egyik sem</v>
      </c>
      <c r="O849" t="str">
        <f>IFERROR(VLOOKUP(J849,PAR!$O$3:$P$5,2,FALSE),"nincs feladat")</f>
        <v>nincs feladat</v>
      </c>
      <c r="P849" t="str">
        <f>IFERROR(VLOOKUP(G849,PAR!$J$2:$M$19,4),"nincs rovat")</f>
        <v>nincs rovat</v>
      </c>
      <c r="Q849" t="str">
        <f>IF(H849&gt;0,VLOOKUP(H849,PAR!$AA$3:$AC$187,3,FALSE),"nincs főkönyvi számla")</f>
        <v>nincs főkönyvi számla</v>
      </c>
      <c r="R849" t="str">
        <f>IFERROR(VLOOKUP(K849,PAR!$V$3:$X$438,3,FALSE),"000000 - Nincs COFOG")</f>
        <v>000000 - Nincs COFOG</v>
      </c>
      <c r="S849">
        <f t="shared" si="259"/>
        <v>0</v>
      </c>
      <c r="T849">
        <f t="shared" si="260"/>
        <v>0</v>
      </c>
      <c r="U849" t="str">
        <f>IF('906MP'!J549&gt;0,CONCATENATE('906MP'!J549," - ",'906MP'!P549,", ",'906MP'!E549),"nincs megjegyzés")</f>
        <v>nincs megjegyzés</v>
      </c>
      <c r="V849" t="str">
        <f t="shared" si="247"/>
        <v>0P0</v>
      </c>
      <c r="W849" t="str">
        <f t="shared" si="248"/>
        <v>0P0</v>
      </c>
      <c r="X849" t="str">
        <f t="shared" si="249"/>
        <v>P0</v>
      </c>
      <c r="Y849" t="str">
        <f t="shared" si="250"/>
        <v>00</v>
      </c>
      <c r="Z849" t="str">
        <f t="shared" si="261"/>
        <v>00</v>
      </c>
      <c r="AA849" t="str">
        <f t="shared" si="251"/>
        <v>00</v>
      </c>
      <c r="AB849" t="str">
        <f t="shared" si="252"/>
        <v>00</v>
      </c>
      <c r="AC849" t="str">
        <f t="shared" si="253"/>
        <v>0P0</v>
      </c>
      <c r="AD849" t="str">
        <f t="shared" si="254"/>
        <v>P00</v>
      </c>
      <c r="AE849" t="str">
        <f t="shared" si="255"/>
        <v>0P0</v>
      </c>
      <c r="AF849" t="str">
        <f t="shared" si="256"/>
        <v>P00</v>
      </c>
      <c r="AG849" t="str">
        <f t="shared" si="262"/>
        <v>0P00</v>
      </c>
      <c r="AH849" t="str">
        <f t="shared" si="263"/>
        <v>P000</v>
      </c>
      <c r="AI849" t="str">
        <f t="shared" si="264"/>
        <v>0P00</v>
      </c>
      <c r="AJ849" t="str">
        <f t="shared" si="265"/>
        <v>P000</v>
      </c>
    </row>
    <row r="850" spans="1:36" x14ac:dyDescent="0.25">
      <c r="A850" s="325" t="str">
        <f>CONCATENATE("P",'906MP'!M550)</f>
        <v>P</v>
      </c>
      <c r="B850">
        <f>'906MP'!H550</f>
        <v>0</v>
      </c>
      <c r="C850">
        <f>'906MP'!J550</f>
        <v>0</v>
      </c>
      <c r="D850">
        <f>'906MP'!P550</f>
        <v>0</v>
      </c>
      <c r="E850">
        <f>'906MP'!X550</f>
        <v>0</v>
      </c>
      <c r="F850" t="str">
        <f t="shared" si="257"/>
        <v>0</v>
      </c>
      <c r="G850" t="str">
        <f t="shared" si="258"/>
        <v>0</v>
      </c>
      <c r="H850">
        <f>'906MP'!Y550</f>
        <v>0</v>
      </c>
      <c r="I850">
        <f>'906MP'!AK550</f>
        <v>0</v>
      </c>
      <c r="J850">
        <f>'906MP'!T550</f>
        <v>0</v>
      </c>
      <c r="K850">
        <f>'906MP'!AJ550</f>
        <v>0</v>
      </c>
      <c r="L850">
        <f>'906MP'!U550</f>
        <v>0</v>
      </c>
      <c r="M850" s="322" t="str">
        <f>IFERROR(VLOOKUP(A850,PAR!$D$3:$E$53,2,FALSE),"nincs szervezet")</f>
        <v>nincs szervezet</v>
      </c>
      <c r="N850" s="322" t="str">
        <f>VLOOKUP(F850,PAR!$R$3:$S$5,2,FALSE)</f>
        <v>3 - egyik sem</v>
      </c>
      <c r="O850" t="str">
        <f>IFERROR(VLOOKUP(J850,PAR!$O$3:$P$5,2,FALSE),"nincs feladat")</f>
        <v>nincs feladat</v>
      </c>
      <c r="P850" t="str">
        <f>IFERROR(VLOOKUP(G850,PAR!$J$2:$M$19,4),"nincs rovat")</f>
        <v>nincs rovat</v>
      </c>
      <c r="Q850" t="str">
        <f>IF(H850&gt;0,VLOOKUP(H850,PAR!$AA$3:$AC$187,3,FALSE),"nincs főkönyvi számla")</f>
        <v>nincs főkönyvi számla</v>
      </c>
      <c r="R850" t="str">
        <f>IFERROR(VLOOKUP(K850,PAR!$V$3:$X$438,3,FALSE),"000000 - Nincs COFOG")</f>
        <v>000000 - Nincs COFOG</v>
      </c>
      <c r="S850">
        <f t="shared" si="259"/>
        <v>0</v>
      </c>
      <c r="T850">
        <f t="shared" si="260"/>
        <v>0</v>
      </c>
      <c r="U850" t="str">
        <f>IF('906MP'!J550&gt;0,CONCATENATE('906MP'!J550," - ",'906MP'!P550,", ",'906MP'!E550),"nincs megjegyzés")</f>
        <v>nincs megjegyzés</v>
      </c>
      <c r="V850" t="str">
        <f t="shared" si="247"/>
        <v>0P0</v>
      </c>
      <c r="W850" t="str">
        <f t="shared" si="248"/>
        <v>0P0</v>
      </c>
      <c r="X850" t="str">
        <f t="shared" si="249"/>
        <v>P0</v>
      </c>
      <c r="Y850" t="str">
        <f t="shared" si="250"/>
        <v>00</v>
      </c>
      <c r="Z850" t="str">
        <f t="shared" si="261"/>
        <v>00</v>
      </c>
      <c r="AA850" t="str">
        <f t="shared" si="251"/>
        <v>00</v>
      </c>
      <c r="AB850" t="str">
        <f t="shared" si="252"/>
        <v>00</v>
      </c>
      <c r="AC850" t="str">
        <f t="shared" si="253"/>
        <v>0P0</v>
      </c>
      <c r="AD850" t="str">
        <f t="shared" si="254"/>
        <v>P00</v>
      </c>
      <c r="AE850" t="str">
        <f t="shared" si="255"/>
        <v>0P0</v>
      </c>
      <c r="AF850" t="str">
        <f t="shared" si="256"/>
        <v>P00</v>
      </c>
      <c r="AG850" t="str">
        <f t="shared" si="262"/>
        <v>0P00</v>
      </c>
      <c r="AH850" t="str">
        <f t="shared" si="263"/>
        <v>P000</v>
      </c>
      <c r="AI850" t="str">
        <f t="shared" si="264"/>
        <v>0P00</v>
      </c>
      <c r="AJ850" t="str">
        <f t="shared" si="265"/>
        <v>P000</v>
      </c>
    </row>
    <row r="851" spans="1:36" x14ac:dyDescent="0.25">
      <c r="A851" s="325" t="str">
        <f>CONCATENATE("P",'906MP'!M551)</f>
        <v>P</v>
      </c>
      <c r="B851">
        <f>'906MP'!H551</f>
        <v>0</v>
      </c>
      <c r="C851">
        <f>'906MP'!J551</f>
        <v>0</v>
      </c>
      <c r="D851">
        <f>'906MP'!P551</f>
        <v>0</v>
      </c>
      <c r="E851">
        <f>'906MP'!X551</f>
        <v>0</v>
      </c>
      <c r="F851" t="str">
        <f t="shared" si="257"/>
        <v>0</v>
      </c>
      <c r="G851" t="str">
        <f t="shared" si="258"/>
        <v>0</v>
      </c>
      <c r="H851">
        <f>'906MP'!Y551</f>
        <v>0</v>
      </c>
      <c r="I851">
        <f>'906MP'!AK551</f>
        <v>0</v>
      </c>
      <c r="J851">
        <f>'906MP'!T551</f>
        <v>0</v>
      </c>
      <c r="K851">
        <f>'906MP'!AJ551</f>
        <v>0</v>
      </c>
      <c r="L851">
        <f>'906MP'!U551</f>
        <v>0</v>
      </c>
      <c r="M851" s="322" t="str">
        <f>IFERROR(VLOOKUP(A851,PAR!$D$3:$E$53,2,FALSE),"nincs szervezet")</f>
        <v>nincs szervezet</v>
      </c>
      <c r="N851" s="322" t="str">
        <f>VLOOKUP(F851,PAR!$R$3:$S$5,2,FALSE)</f>
        <v>3 - egyik sem</v>
      </c>
      <c r="O851" t="str">
        <f>IFERROR(VLOOKUP(J851,PAR!$O$3:$P$5,2,FALSE),"nincs feladat")</f>
        <v>nincs feladat</v>
      </c>
      <c r="P851" t="str">
        <f>IFERROR(VLOOKUP(G851,PAR!$J$2:$M$19,4),"nincs rovat")</f>
        <v>nincs rovat</v>
      </c>
      <c r="Q851" t="str">
        <f>IF(H851&gt;0,VLOOKUP(H851,PAR!$AA$3:$AC$187,3,FALSE),"nincs főkönyvi számla")</f>
        <v>nincs főkönyvi számla</v>
      </c>
      <c r="R851" t="str">
        <f>IFERROR(VLOOKUP(K851,PAR!$V$3:$X$438,3,FALSE),"000000 - Nincs COFOG")</f>
        <v>000000 - Nincs COFOG</v>
      </c>
      <c r="S851">
        <f t="shared" si="259"/>
        <v>0</v>
      </c>
      <c r="T851">
        <f t="shared" si="260"/>
        <v>0</v>
      </c>
      <c r="U851" t="str">
        <f>IF('906MP'!J551&gt;0,CONCATENATE('906MP'!J551," - ",'906MP'!P551,", ",'906MP'!E551),"nincs megjegyzés")</f>
        <v>nincs megjegyzés</v>
      </c>
      <c r="V851" t="str">
        <f t="shared" si="247"/>
        <v>0P0</v>
      </c>
      <c r="W851" t="str">
        <f t="shared" si="248"/>
        <v>0P0</v>
      </c>
      <c r="X851" t="str">
        <f t="shared" si="249"/>
        <v>P0</v>
      </c>
      <c r="Y851" t="str">
        <f t="shared" si="250"/>
        <v>00</v>
      </c>
      <c r="Z851" t="str">
        <f t="shared" si="261"/>
        <v>00</v>
      </c>
      <c r="AA851" t="str">
        <f t="shared" si="251"/>
        <v>00</v>
      </c>
      <c r="AB851" t="str">
        <f t="shared" si="252"/>
        <v>00</v>
      </c>
      <c r="AC851" t="str">
        <f t="shared" si="253"/>
        <v>0P0</v>
      </c>
      <c r="AD851" t="str">
        <f t="shared" si="254"/>
        <v>P00</v>
      </c>
      <c r="AE851" t="str">
        <f t="shared" si="255"/>
        <v>0P0</v>
      </c>
      <c r="AF851" t="str">
        <f t="shared" si="256"/>
        <v>P00</v>
      </c>
      <c r="AG851" t="str">
        <f t="shared" si="262"/>
        <v>0P00</v>
      </c>
      <c r="AH851" t="str">
        <f t="shared" si="263"/>
        <v>P000</v>
      </c>
      <c r="AI851" t="str">
        <f t="shared" si="264"/>
        <v>0P00</v>
      </c>
      <c r="AJ851" t="str">
        <f t="shared" si="265"/>
        <v>P000</v>
      </c>
    </row>
    <row r="852" spans="1:36" x14ac:dyDescent="0.25">
      <c r="A852" s="325" t="str">
        <f>CONCATENATE("P",'906MP'!M552)</f>
        <v>P</v>
      </c>
      <c r="B852">
        <f>'906MP'!H552</f>
        <v>0</v>
      </c>
      <c r="C852">
        <f>'906MP'!J552</f>
        <v>0</v>
      </c>
      <c r="D852">
        <f>'906MP'!P552</f>
        <v>0</v>
      </c>
      <c r="E852">
        <f>'906MP'!X552</f>
        <v>0</v>
      </c>
      <c r="F852" t="str">
        <f t="shared" si="257"/>
        <v>0</v>
      </c>
      <c r="G852" t="str">
        <f t="shared" si="258"/>
        <v>0</v>
      </c>
      <c r="H852">
        <f>'906MP'!Y552</f>
        <v>0</v>
      </c>
      <c r="I852">
        <f>'906MP'!AK552</f>
        <v>0</v>
      </c>
      <c r="J852">
        <f>'906MP'!T552</f>
        <v>0</v>
      </c>
      <c r="K852">
        <f>'906MP'!AJ552</f>
        <v>0</v>
      </c>
      <c r="L852">
        <f>'906MP'!U552</f>
        <v>0</v>
      </c>
      <c r="M852" s="322" t="str">
        <f>IFERROR(VLOOKUP(A852,PAR!$D$3:$E$53,2,FALSE),"nincs szervezet")</f>
        <v>nincs szervezet</v>
      </c>
      <c r="N852" s="322" t="str">
        <f>VLOOKUP(F852,PAR!$R$3:$S$5,2,FALSE)</f>
        <v>3 - egyik sem</v>
      </c>
      <c r="O852" t="str">
        <f>IFERROR(VLOOKUP(J852,PAR!$O$3:$P$5,2,FALSE),"nincs feladat")</f>
        <v>nincs feladat</v>
      </c>
      <c r="P852" t="str">
        <f>IFERROR(VLOOKUP(G852,PAR!$J$2:$M$19,4),"nincs rovat")</f>
        <v>nincs rovat</v>
      </c>
      <c r="Q852" t="str">
        <f>IF(H852&gt;0,VLOOKUP(H852,PAR!$AA$3:$AC$187,3,FALSE),"nincs főkönyvi számla")</f>
        <v>nincs főkönyvi számla</v>
      </c>
      <c r="R852" t="str">
        <f>IFERROR(VLOOKUP(K852,PAR!$V$3:$X$438,3,FALSE),"000000 - Nincs COFOG")</f>
        <v>000000 - Nincs COFOG</v>
      </c>
      <c r="S852">
        <f t="shared" si="259"/>
        <v>0</v>
      </c>
      <c r="T852">
        <f t="shared" si="260"/>
        <v>0</v>
      </c>
      <c r="U852" t="str">
        <f>IF('906MP'!J552&gt;0,CONCATENATE('906MP'!J552," - ",'906MP'!P552,", ",'906MP'!E552),"nincs megjegyzés")</f>
        <v>nincs megjegyzés</v>
      </c>
      <c r="V852" t="str">
        <f t="shared" si="247"/>
        <v>0P0</v>
      </c>
      <c r="W852" t="str">
        <f t="shared" si="248"/>
        <v>0P0</v>
      </c>
      <c r="X852" t="str">
        <f t="shared" si="249"/>
        <v>P0</v>
      </c>
      <c r="Y852" t="str">
        <f t="shared" si="250"/>
        <v>00</v>
      </c>
      <c r="Z852" t="str">
        <f t="shared" si="261"/>
        <v>00</v>
      </c>
      <c r="AA852" t="str">
        <f t="shared" si="251"/>
        <v>00</v>
      </c>
      <c r="AB852" t="str">
        <f t="shared" si="252"/>
        <v>00</v>
      </c>
      <c r="AC852" t="str">
        <f t="shared" si="253"/>
        <v>0P0</v>
      </c>
      <c r="AD852" t="str">
        <f t="shared" si="254"/>
        <v>P00</v>
      </c>
      <c r="AE852" t="str">
        <f t="shared" si="255"/>
        <v>0P0</v>
      </c>
      <c r="AF852" t="str">
        <f t="shared" si="256"/>
        <v>P00</v>
      </c>
      <c r="AG852" t="str">
        <f t="shared" si="262"/>
        <v>0P00</v>
      </c>
      <c r="AH852" t="str">
        <f t="shared" si="263"/>
        <v>P000</v>
      </c>
      <c r="AI852" t="str">
        <f t="shared" si="264"/>
        <v>0P00</v>
      </c>
      <c r="AJ852" t="str">
        <f t="shared" si="265"/>
        <v>P000</v>
      </c>
    </row>
    <row r="853" spans="1:36" x14ac:dyDescent="0.25">
      <c r="A853" s="325" t="str">
        <f>CONCATENATE("P",'906MP'!M553)</f>
        <v>P</v>
      </c>
      <c r="B853">
        <f>'906MP'!H553</f>
        <v>0</v>
      </c>
      <c r="C853">
        <f>'906MP'!J553</f>
        <v>0</v>
      </c>
      <c r="D853">
        <f>'906MP'!P553</f>
        <v>0</v>
      </c>
      <c r="E853">
        <f>'906MP'!X553</f>
        <v>0</v>
      </c>
      <c r="F853" t="str">
        <f t="shared" si="257"/>
        <v>0</v>
      </c>
      <c r="G853" t="str">
        <f t="shared" si="258"/>
        <v>0</v>
      </c>
      <c r="H853">
        <f>'906MP'!Y553</f>
        <v>0</v>
      </c>
      <c r="I853">
        <f>'906MP'!AK553</f>
        <v>0</v>
      </c>
      <c r="J853">
        <f>'906MP'!T553</f>
        <v>0</v>
      </c>
      <c r="K853">
        <f>'906MP'!AJ553</f>
        <v>0</v>
      </c>
      <c r="L853">
        <f>'906MP'!U553</f>
        <v>0</v>
      </c>
      <c r="M853" s="322" t="str">
        <f>IFERROR(VLOOKUP(A853,PAR!$D$3:$E$53,2,FALSE),"nincs szervezet")</f>
        <v>nincs szervezet</v>
      </c>
      <c r="N853" s="322" t="str">
        <f>VLOOKUP(F853,PAR!$R$3:$S$5,2,FALSE)</f>
        <v>3 - egyik sem</v>
      </c>
      <c r="O853" t="str">
        <f>IFERROR(VLOOKUP(J853,PAR!$O$3:$P$5,2,FALSE),"nincs feladat")</f>
        <v>nincs feladat</v>
      </c>
      <c r="P853" t="str">
        <f>IFERROR(VLOOKUP(G853,PAR!$J$2:$M$19,4),"nincs rovat")</f>
        <v>nincs rovat</v>
      </c>
      <c r="Q853" t="str">
        <f>IF(H853&gt;0,VLOOKUP(H853,PAR!$AA$3:$AC$187,3,FALSE),"nincs főkönyvi számla")</f>
        <v>nincs főkönyvi számla</v>
      </c>
      <c r="R853" t="str">
        <f>IFERROR(VLOOKUP(K853,PAR!$V$3:$X$438,3,FALSE),"000000 - Nincs COFOG")</f>
        <v>000000 - Nincs COFOG</v>
      </c>
      <c r="S853">
        <f t="shared" si="259"/>
        <v>0</v>
      </c>
      <c r="T853">
        <f t="shared" si="260"/>
        <v>0</v>
      </c>
      <c r="U853" t="str">
        <f>IF('906MP'!J553&gt;0,CONCATENATE('906MP'!J553," - ",'906MP'!P553,", ",'906MP'!E553),"nincs megjegyzés")</f>
        <v>nincs megjegyzés</v>
      </c>
      <c r="V853" t="str">
        <f t="shared" si="247"/>
        <v>0P0</v>
      </c>
      <c r="W853" t="str">
        <f t="shared" si="248"/>
        <v>0P0</v>
      </c>
      <c r="X853" t="str">
        <f t="shared" si="249"/>
        <v>P0</v>
      </c>
      <c r="Y853" t="str">
        <f t="shared" si="250"/>
        <v>00</v>
      </c>
      <c r="Z853" t="str">
        <f t="shared" si="261"/>
        <v>00</v>
      </c>
      <c r="AA853" t="str">
        <f t="shared" si="251"/>
        <v>00</v>
      </c>
      <c r="AB853" t="str">
        <f t="shared" si="252"/>
        <v>00</v>
      </c>
      <c r="AC853" t="str">
        <f t="shared" si="253"/>
        <v>0P0</v>
      </c>
      <c r="AD853" t="str">
        <f t="shared" si="254"/>
        <v>P00</v>
      </c>
      <c r="AE853" t="str">
        <f t="shared" si="255"/>
        <v>0P0</v>
      </c>
      <c r="AF853" t="str">
        <f t="shared" si="256"/>
        <v>P00</v>
      </c>
      <c r="AG853" t="str">
        <f t="shared" si="262"/>
        <v>0P00</v>
      </c>
      <c r="AH853" t="str">
        <f t="shared" si="263"/>
        <v>P000</v>
      </c>
      <c r="AI853" t="str">
        <f t="shared" si="264"/>
        <v>0P00</v>
      </c>
      <c r="AJ853" t="str">
        <f t="shared" si="265"/>
        <v>P000</v>
      </c>
    </row>
    <row r="854" spans="1:36" x14ac:dyDescent="0.25">
      <c r="A854" s="325" t="str">
        <f>CONCATENATE("P",'906MP'!M554)</f>
        <v>P</v>
      </c>
      <c r="B854">
        <f>'906MP'!H554</f>
        <v>0</v>
      </c>
      <c r="C854">
        <f>'906MP'!J554</f>
        <v>0</v>
      </c>
      <c r="D854">
        <f>'906MP'!P554</f>
        <v>0</v>
      </c>
      <c r="E854">
        <f>'906MP'!X554</f>
        <v>0</v>
      </c>
      <c r="F854" t="str">
        <f t="shared" si="257"/>
        <v>0</v>
      </c>
      <c r="G854" t="str">
        <f t="shared" si="258"/>
        <v>0</v>
      </c>
      <c r="H854">
        <f>'906MP'!Y554</f>
        <v>0</v>
      </c>
      <c r="I854">
        <f>'906MP'!AK554</f>
        <v>0</v>
      </c>
      <c r="J854">
        <f>'906MP'!T554</f>
        <v>0</v>
      </c>
      <c r="K854">
        <f>'906MP'!AJ554</f>
        <v>0</v>
      </c>
      <c r="L854">
        <f>'906MP'!U554</f>
        <v>0</v>
      </c>
      <c r="M854" s="322" t="str">
        <f>IFERROR(VLOOKUP(A854,PAR!$D$3:$E$53,2,FALSE),"nincs szervezet")</f>
        <v>nincs szervezet</v>
      </c>
      <c r="N854" s="322" t="str">
        <f>VLOOKUP(F854,PAR!$R$3:$S$5,2,FALSE)</f>
        <v>3 - egyik sem</v>
      </c>
      <c r="O854" t="str">
        <f>IFERROR(VLOOKUP(J854,PAR!$O$3:$P$5,2,FALSE),"nincs feladat")</f>
        <v>nincs feladat</v>
      </c>
      <c r="P854" t="str">
        <f>IFERROR(VLOOKUP(G854,PAR!$J$2:$M$19,4),"nincs rovat")</f>
        <v>nincs rovat</v>
      </c>
      <c r="Q854" t="str">
        <f>IF(H854&gt;0,VLOOKUP(H854,PAR!$AA$3:$AC$187,3,FALSE),"nincs főkönyvi számla")</f>
        <v>nincs főkönyvi számla</v>
      </c>
      <c r="R854" t="str">
        <f>IFERROR(VLOOKUP(K854,PAR!$V$3:$X$438,3,FALSE),"000000 - Nincs COFOG")</f>
        <v>000000 - Nincs COFOG</v>
      </c>
      <c r="S854">
        <f t="shared" si="259"/>
        <v>0</v>
      </c>
      <c r="T854">
        <f t="shared" si="260"/>
        <v>0</v>
      </c>
      <c r="U854" t="str">
        <f>IF('906MP'!J554&gt;0,CONCATENATE('906MP'!J554," - ",'906MP'!P554,", ",'906MP'!E554),"nincs megjegyzés")</f>
        <v>nincs megjegyzés</v>
      </c>
      <c r="V854" t="str">
        <f t="shared" si="247"/>
        <v>0P0</v>
      </c>
      <c r="W854" t="str">
        <f t="shared" si="248"/>
        <v>0P0</v>
      </c>
      <c r="X854" t="str">
        <f t="shared" si="249"/>
        <v>P0</v>
      </c>
      <c r="Y854" t="str">
        <f t="shared" si="250"/>
        <v>00</v>
      </c>
      <c r="Z854" t="str">
        <f t="shared" si="261"/>
        <v>00</v>
      </c>
      <c r="AA854" t="str">
        <f t="shared" si="251"/>
        <v>00</v>
      </c>
      <c r="AB854" t="str">
        <f t="shared" si="252"/>
        <v>00</v>
      </c>
      <c r="AC854" t="str">
        <f t="shared" si="253"/>
        <v>0P0</v>
      </c>
      <c r="AD854" t="str">
        <f t="shared" si="254"/>
        <v>P00</v>
      </c>
      <c r="AE854" t="str">
        <f t="shared" si="255"/>
        <v>0P0</v>
      </c>
      <c r="AF854" t="str">
        <f t="shared" si="256"/>
        <v>P00</v>
      </c>
      <c r="AG854" t="str">
        <f t="shared" si="262"/>
        <v>0P00</v>
      </c>
      <c r="AH854" t="str">
        <f t="shared" si="263"/>
        <v>P000</v>
      </c>
      <c r="AI854" t="str">
        <f t="shared" si="264"/>
        <v>0P00</v>
      </c>
      <c r="AJ854" t="str">
        <f t="shared" si="265"/>
        <v>P000</v>
      </c>
    </row>
    <row r="855" spans="1:36" x14ac:dyDescent="0.25">
      <c r="A855" s="325" t="str">
        <f>CONCATENATE("P",'906MP'!M555)</f>
        <v>P</v>
      </c>
      <c r="B855">
        <f>'906MP'!H555</f>
        <v>0</v>
      </c>
      <c r="C855">
        <f>'906MP'!J555</f>
        <v>0</v>
      </c>
      <c r="D855">
        <f>'906MP'!P555</f>
        <v>0</v>
      </c>
      <c r="E855">
        <f>'906MP'!X555</f>
        <v>0</v>
      </c>
      <c r="F855" t="str">
        <f t="shared" si="257"/>
        <v>0</v>
      </c>
      <c r="G855" t="str">
        <f t="shared" si="258"/>
        <v>0</v>
      </c>
      <c r="H855">
        <f>'906MP'!Y555</f>
        <v>0</v>
      </c>
      <c r="I855">
        <f>'906MP'!AK555</f>
        <v>0</v>
      </c>
      <c r="J855">
        <f>'906MP'!T555</f>
        <v>0</v>
      </c>
      <c r="K855">
        <f>'906MP'!AJ555</f>
        <v>0</v>
      </c>
      <c r="L855">
        <f>'906MP'!U555</f>
        <v>0</v>
      </c>
      <c r="M855" s="322" t="str">
        <f>IFERROR(VLOOKUP(A855,PAR!$D$3:$E$53,2,FALSE),"nincs szervezet")</f>
        <v>nincs szervezet</v>
      </c>
      <c r="N855" s="322" t="str">
        <f>VLOOKUP(F855,PAR!$R$3:$S$5,2,FALSE)</f>
        <v>3 - egyik sem</v>
      </c>
      <c r="O855" t="str">
        <f>IFERROR(VLOOKUP(J855,PAR!$O$3:$P$5,2,FALSE),"nincs feladat")</f>
        <v>nincs feladat</v>
      </c>
      <c r="P855" t="str">
        <f>IFERROR(VLOOKUP(G855,PAR!$J$2:$M$19,4),"nincs rovat")</f>
        <v>nincs rovat</v>
      </c>
      <c r="Q855" t="str">
        <f>IF(H855&gt;0,VLOOKUP(H855,PAR!$AA$3:$AC$187,3,FALSE),"nincs főkönyvi számla")</f>
        <v>nincs főkönyvi számla</v>
      </c>
      <c r="R855" t="str">
        <f>IFERROR(VLOOKUP(K855,PAR!$V$3:$X$438,3,FALSE),"000000 - Nincs COFOG")</f>
        <v>000000 - Nincs COFOG</v>
      </c>
      <c r="S855">
        <f t="shared" si="259"/>
        <v>0</v>
      </c>
      <c r="T855">
        <f t="shared" si="260"/>
        <v>0</v>
      </c>
      <c r="U855" t="str">
        <f>IF('906MP'!J555&gt;0,CONCATENATE('906MP'!J555," - ",'906MP'!P555,", ",'906MP'!E555),"nincs megjegyzés")</f>
        <v>nincs megjegyzés</v>
      </c>
      <c r="V855" t="str">
        <f t="shared" si="247"/>
        <v>0P0</v>
      </c>
      <c r="W855" t="str">
        <f t="shared" si="248"/>
        <v>0P0</v>
      </c>
      <c r="X855" t="str">
        <f t="shared" si="249"/>
        <v>P0</v>
      </c>
      <c r="Y855" t="str">
        <f t="shared" si="250"/>
        <v>00</v>
      </c>
      <c r="Z855" t="str">
        <f t="shared" si="261"/>
        <v>00</v>
      </c>
      <c r="AA855" t="str">
        <f t="shared" si="251"/>
        <v>00</v>
      </c>
      <c r="AB855" t="str">
        <f t="shared" si="252"/>
        <v>00</v>
      </c>
      <c r="AC855" t="str">
        <f t="shared" si="253"/>
        <v>0P0</v>
      </c>
      <c r="AD855" t="str">
        <f t="shared" si="254"/>
        <v>P00</v>
      </c>
      <c r="AE855" t="str">
        <f t="shared" si="255"/>
        <v>0P0</v>
      </c>
      <c r="AF855" t="str">
        <f t="shared" si="256"/>
        <v>P00</v>
      </c>
      <c r="AG855" t="str">
        <f t="shared" si="262"/>
        <v>0P00</v>
      </c>
      <c r="AH855" t="str">
        <f t="shared" si="263"/>
        <v>P000</v>
      </c>
      <c r="AI855" t="str">
        <f t="shared" si="264"/>
        <v>0P00</v>
      </c>
      <c r="AJ855" t="str">
        <f t="shared" si="265"/>
        <v>P000</v>
      </c>
    </row>
    <row r="856" spans="1:36" x14ac:dyDescent="0.25">
      <c r="A856" s="325" t="str">
        <f>CONCATENATE("P",'906MP'!M556)</f>
        <v>P</v>
      </c>
      <c r="B856">
        <f>'906MP'!H556</f>
        <v>0</v>
      </c>
      <c r="C856">
        <f>'906MP'!J556</f>
        <v>0</v>
      </c>
      <c r="D856">
        <f>'906MP'!P556</f>
        <v>0</v>
      </c>
      <c r="E856">
        <f>'906MP'!X556</f>
        <v>0</v>
      </c>
      <c r="F856" t="str">
        <f t="shared" si="257"/>
        <v>0</v>
      </c>
      <c r="G856" t="str">
        <f t="shared" si="258"/>
        <v>0</v>
      </c>
      <c r="H856">
        <f>'906MP'!Y556</f>
        <v>0</v>
      </c>
      <c r="I856">
        <f>'906MP'!AK556</f>
        <v>0</v>
      </c>
      <c r="J856">
        <f>'906MP'!T556</f>
        <v>0</v>
      </c>
      <c r="K856">
        <f>'906MP'!AJ556</f>
        <v>0</v>
      </c>
      <c r="L856">
        <f>'906MP'!U556</f>
        <v>0</v>
      </c>
      <c r="M856" s="322" t="str">
        <f>IFERROR(VLOOKUP(A856,PAR!$D$3:$E$53,2,FALSE),"nincs szervezet")</f>
        <v>nincs szervezet</v>
      </c>
      <c r="N856" s="322" t="str">
        <f>VLOOKUP(F856,PAR!$R$3:$S$5,2,FALSE)</f>
        <v>3 - egyik sem</v>
      </c>
      <c r="O856" t="str">
        <f>IFERROR(VLOOKUP(J856,PAR!$O$3:$P$5,2,FALSE),"nincs feladat")</f>
        <v>nincs feladat</v>
      </c>
      <c r="P856" t="str">
        <f>IFERROR(VLOOKUP(G856,PAR!$J$2:$M$19,4),"nincs rovat")</f>
        <v>nincs rovat</v>
      </c>
      <c r="Q856" t="str">
        <f>IF(H856&gt;0,VLOOKUP(H856,PAR!$AA$3:$AC$187,3,FALSE),"nincs főkönyvi számla")</f>
        <v>nincs főkönyvi számla</v>
      </c>
      <c r="R856" t="str">
        <f>IFERROR(VLOOKUP(K856,PAR!$V$3:$X$438,3,FALSE),"000000 - Nincs COFOG")</f>
        <v>000000 - Nincs COFOG</v>
      </c>
      <c r="S856">
        <f t="shared" si="259"/>
        <v>0</v>
      </c>
      <c r="T856">
        <f t="shared" si="260"/>
        <v>0</v>
      </c>
      <c r="U856" t="str">
        <f>IF('906MP'!J556&gt;0,CONCATENATE('906MP'!J556," - ",'906MP'!P556,", ",'906MP'!E556),"nincs megjegyzés")</f>
        <v>nincs megjegyzés</v>
      </c>
      <c r="V856" t="str">
        <f t="shared" si="247"/>
        <v>0P0</v>
      </c>
      <c r="W856" t="str">
        <f t="shared" si="248"/>
        <v>0P0</v>
      </c>
      <c r="X856" t="str">
        <f t="shared" si="249"/>
        <v>P0</v>
      </c>
      <c r="Y856" t="str">
        <f t="shared" si="250"/>
        <v>00</v>
      </c>
      <c r="Z856" t="str">
        <f t="shared" si="261"/>
        <v>00</v>
      </c>
      <c r="AA856" t="str">
        <f t="shared" si="251"/>
        <v>00</v>
      </c>
      <c r="AB856" t="str">
        <f t="shared" si="252"/>
        <v>00</v>
      </c>
      <c r="AC856" t="str">
        <f t="shared" si="253"/>
        <v>0P0</v>
      </c>
      <c r="AD856" t="str">
        <f t="shared" si="254"/>
        <v>P00</v>
      </c>
      <c r="AE856" t="str">
        <f t="shared" si="255"/>
        <v>0P0</v>
      </c>
      <c r="AF856" t="str">
        <f t="shared" si="256"/>
        <v>P00</v>
      </c>
      <c r="AG856" t="str">
        <f t="shared" si="262"/>
        <v>0P00</v>
      </c>
      <c r="AH856" t="str">
        <f t="shared" si="263"/>
        <v>P000</v>
      </c>
      <c r="AI856" t="str">
        <f t="shared" si="264"/>
        <v>0P00</v>
      </c>
      <c r="AJ856" t="str">
        <f t="shared" si="265"/>
        <v>P000</v>
      </c>
    </row>
    <row r="857" spans="1:36" x14ac:dyDescent="0.25">
      <c r="A857" s="325" t="str">
        <f>CONCATENATE("P",'906MP'!M557)</f>
        <v>P</v>
      </c>
      <c r="B857">
        <f>'906MP'!H557</f>
        <v>0</v>
      </c>
      <c r="C857">
        <f>'906MP'!J557</f>
        <v>0</v>
      </c>
      <c r="D857">
        <f>'906MP'!P557</f>
        <v>0</v>
      </c>
      <c r="E857">
        <f>'906MP'!X557</f>
        <v>0</v>
      </c>
      <c r="F857" t="str">
        <f t="shared" si="257"/>
        <v>0</v>
      </c>
      <c r="G857" t="str">
        <f t="shared" si="258"/>
        <v>0</v>
      </c>
      <c r="H857">
        <f>'906MP'!Y557</f>
        <v>0</v>
      </c>
      <c r="I857">
        <f>'906MP'!AK557</f>
        <v>0</v>
      </c>
      <c r="J857">
        <f>'906MP'!T557</f>
        <v>0</v>
      </c>
      <c r="K857">
        <f>'906MP'!AJ557</f>
        <v>0</v>
      </c>
      <c r="L857">
        <f>'906MP'!U557</f>
        <v>0</v>
      </c>
      <c r="M857" s="322" t="str">
        <f>IFERROR(VLOOKUP(A857,PAR!$D$3:$E$53,2,FALSE),"nincs szervezet")</f>
        <v>nincs szervezet</v>
      </c>
      <c r="N857" s="322" t="str">
        <f>VLOOKUP(F857,PAR!$R$3:$S$5,2,FALSE)</f>
        <v>3 - egyik sem</v>
      </c>
      <c r="O857" t="str">
        <f>IFERROR(VLOOKUP(J857,PAR!$O$3:$P$5,2,FALSE),"nincs feladat")</f>
        <v>nincs feladat</v>
      </c>
      <c r="P857" t="str">
        <f>IFERROR(VLOOKUP(G857,PAR!$J$2:$M$19,4),"nincs rovat")</f>
        <v>nincs rovat</v>
      </c>
      <c r="Q857" t="str">
        <f>IF(H857&gt;0,VLOOKUP(H857,PAR!$AA$3:$AC$187,3,FALSE),"nincs főkönyvi számla")</f>
        <v>nincs főkönyvi számla</v>
      </c>
      <c r="R857" t="str">
        <f>IFERROR(VLOOKUP(K857,PAR!$V$3:$X$438,3,FALSE),"000000 - Nincs COFOG")</f>
        <v>000000 - Nincs COFOG</v>
      </c>
      <c r="S857">
        <f t="shared" si="259"/>
        <v>0</v>
      </c>
      <c r="T857">
        <f t="shared" si="260"/>
        <v>0</v>
      </c>
      <c r="U857" t="str">
        <f>IF('906MP'!J557&gt;0,CONCATENATE('906MP'!J557," - ",'906MP'!P557,", ",'906MP'!E557),"nincs megjegyzés")</f>
        <v>nincs megjegyzés</v>
      </c>
      <c r="V857" t="str">
        <f t="shared" si="247"/>
        <v>0P0</v>
      </c>
      <c r="W857" t="str">
        <f t="shared" si="248"/>
        <v>0P0</v>
      </c>
      <c r="X857" t="str">
        <f t="shared" si="249"/>
        <v>P0</v>
      </c>
      <c r="Y857" t="str">
        <f t="shared" si="250"/>
        <v>00</v>
      </c>
      <c r="Z857" t="str">
        <f t="shared" si="261"/>
        <v>00</v>
      </c>
      <c r="AA857" t="str">
        <f t="shared" si="251"/>
        <v>00</v>
      </c>
      <c r="AB857" t="str">
        <f t="shared" si="252"/>
        <v>00</v>
      </c>
      <c r="AC857" t="str">
        <f t="shared" si="253"/>
        <v>0P0</v>
      </c>
      <c r="AD857" t="str">
        <f t="shared" si="254"/>
        <v>P00</v>
      </c>
      <c r="AE857" t="str">
        <f t="shared" si="255"/>
        <v>0P0</v>
      </c>
      <c r="AF857" t="str">
        <f t="shared" si="256"/>
        <v>P00</v>
      </c>
      <c r="AG857" t="str">
        <f t="shared" si="262"/>
        <v>0P00</v>
      </c>
      <c r="AH857" t="str">
        <f t="shared" si="263"/>
        <v>P000</v>
      </c>
      <c r="AI857" t="str">
        <f t="shared" si="264"/>
        <v>0P00</v>
      </c>
      <c r="AJ857" t="str">
        <f t="shared" si="265"/>
        <v>P000</v>
      </c>
    </row>
    <row r="858" spans="1:36" x14ac:dyDescent="0.25">
      <c r="A858" s="325" t="str">
        <f>CONCATENATE("P",'906MP'!M558)</f>
        <v>P</v>
      </c>
      <c r="B858">
        <f>'906MP'!H558</f>
        <v>0</v>
      </c>
      <c r="C858">
        <f>'906MP'!J558</f>
        <v>0</v>
      </c>
      <c r="D858">
        <f>'906MP'!P558</f>
        <v>0</v>
      </c>
      <c r="E858">
        <f>'906MP'!X558</f>
        <v>0</v>
      </c>
      <c r="F858" t="str">
        <f t="shared" si="257"/>
        <v>0</v>
      </c>
      <c r="G858" t="str">
        <f t="shared" si="258"/>
        <v>0</v>
      </c>
      <c r="H858">
        <f>'906MP'!Y558</f>
        <v>0</v>
      </c>
      <c r="I858">
        <f>'906MP'!AK558</f>
        <v>0</v>
      </c>
      <c r="J858">
        <f>'906MP'!T558</f>
        <v>0</v>
      </c>
      <c r="K858">
        <f>'906MP'!AJ558</f>
        <v>0</v>
      </c>
      <c r="L858">
        <f>'906MP'!U558</f>
        <v>0</v>
      </c>
      <c r="M858" s="322" t="str">
        <f>IFERROR(VLOOKUP(A858,PAR!$D$3:$E$53,2,FALSE),"nincs szervezet")</f>
        <v>nincs szervezet</v>
      </c>
      <c r="N858" s="322" t="str">
        <f>VLOOKUP(F858,PAR!$R$3:$S$5,2,FALSE)</f>
        <v>3 - egyik sem</v>
      </c>
      <c r="O858" t="str">
        <f>IFERROR(VLOOKUP(J858,PAR!$O$3:$P$5,2,FALSE),"nincs feladat")</f>
        <v>nincs feladat</v>
      </c>
      <c r="P858" t="str">
        <f>IFERROR(VLOOKUP(G858,PAR!$J$2:$M$19,4),"nincs rovat")</f>
        <v>nincs rovat</v>
      </c>
      <c r="Q858" t="str">
        <f>IF(H858&gt;0,VLOOKUP(H858,PAR!$AA$3:$AC$187,3,FALSE),"nincs főkönyvi számla")</f>
        <v>nincs főkönyvi számla</v>
      </c>
      <c r="R858" t="str">
        <f>IFERROR(VLOOKUP(K858,PAR!$V$3:$X$438,3,FALSE),"000000 - Nincs COFOG")</f>
        <v>000000 - Nincs COFOG</v>
      </c>
      <c r="S858">
        <f t="shared" si="259"/>
        <v>0</v>
      </c>
      <c r="T858">
        <f t="shared" si="260"/>
        <v>0</v>
      </c>
      <c r="U858" t="str">
        <f>IF('906MP'!J558&gt;0,CONCATENATE('906MP'!J558," - ",'906MP'!P558,", ",'906MP'!E558),"nincs megjegyzés")</f>
        <v>nincs megjegyzés</v>
      </c>
      <c r="V858" t="str">
        <f t="shared" si="247"/>
        <v>0P0</v>
      </c>
      <c r="W858" t="str">
        <f t="shared" si="248"/>
        <v>0P0</v>
      </c>
      <c r="X858" t="str">
        <f t="shared" si="249"/>
        <v>P0</v>
      </c>
      <c r="Y858" t="str">
        <f t="shared" si="250"/>
        <v>00</v>
      </c>
      <c r="Z858" t="str">
        <f t="shared" si="261"/>
        <v>00</v>
      </c>
      <c r="AA858" t="str">
        <f t="shared" si="251"/>
        <v>00</v>
      </c>
      <c r="AB858" t="str">
        <f t="shared" si="252"/>
        <v>00</v>
      </c>
      <c r="AC858" t="str">
        <f t="shared" si="253"/>
        <v>0P0</v>
      </c>
      <c r="AD858" t="str">
        <f t="shared" si="254"/>
        <v>P00</v>
      </c>
      <c r="AE858" t="str">
        <f t="shared" si="255"/>
        <v>0P0</v>
      </c>
      <c r="AF858" t="str">
        <f t="shared" si="256"/>
        <v>P00</v>
      </c>
      <c r="AG858" t="str">
        <f t="shared" si="262"/>
        <v>0P00</v>
      </c>
      <c r="AH858" t="str">
        <f t="shared" si="263"/>
        <v>P000</v>
      </c>
      <c r="AI858" t="str">
        <f t="shared" si="264"/>
        <v>0P00</v>
      </c>
      <c r="AJ858" t="str">
        <f t="shared" si="265"/>
        <v>P000</v>
      </c>
    </row>
    <row r="859" spans="1:36" x14ac:dyDescent="0.25">
      <c r="A859" s="325" t="str">
        <f>CONCATENATE("P",'906MP'!M559)</f>
        <v>P</v>
      </c>
      <c r="B859">
        <f>'906MP'!H559</f>
        <v>0</v>
      </c>
      <c r="C859">
        <f>'906MP'!J559</f>
        <v>0</v>
      </c>
      <c r="D859">
        <f>'906MP'!P559</f>
        <v>0</v>
      </c>
      <c r="E859">
        <f>'906MP'!X559</f>
        <v>0</v>
      </c>
      <c r="F859" t="str">
        <f t="shared" si="257"/>
        <v>0</v>
      </c>
      <c r="G859" t="str">
        <f t="shared" si="258"/>
        <v>0</v>
      </c>
      <c r="H859">
        <f>'906MP'!Y559</f>
        <v>0</v>
      </c>
      <c r="I859">
        <f>'906MP'!AK559</f>
        <v>0</v>
      </c>
      <c r="J859">
        <f>'906MP'!T559</f>
        <v>0</v>
      </c>
      <c r="K859">
        <f>'906MP'!AJ559</f>
        <v>0</v>
      </c>
      <c r="L859">
        <f>'906MP'!U559</f>
        <v>0</v>
      </c>
      <c r="M859" s="322" t="str">
        <f>IFERROR(VLOOKUP(A859,PAR!$D$3:$E$53,2,FALSE),"nincs szervezet")</f>
        <v>nincs szervezet</v>
      </c>
      <c r="N859" s="322" t="str">
        <f>VLOOKUP(F859,PAR!$R$3:$S$5,2,FALSE)</f>
        <v>3 - egyik sem</v>
      </c>
      <c r="O859" t="str">
        <f>IFERROR(VLOOKUP(J859,PAR!$O$3:$P$5,2,FALSE),"nincs feladat")</f>
        <v>nincs feladat</v>
      </c>
      <c r="P859" t="str">
        <f>IFERROR(VLOOKUP(G859,PAR!$J$2:$M$19,4),"nincs rovat")</f>
        <v>nincs rovat</v>
      </c>
      <c r="Q859" t="str">
        <f>IF(H859&gt;0,VLOOKUP(H859,PAR!$AA$3:$AC$187,3,FALSE),"nincs főkönyvi számla")</f>
        <v>nincs főkönyvi számla</v>
      </c>
      <c r="R859" t="str">
        <f>IFERROR(VLOOKUP(K859,PAR!$V$3:$X$438,3,FALSE),"000000 - Nincs COFOG")</f>
        <v>000000 - Nincs COFOG</v>
      </c>
      <c r="S859">
        <f t="shared" si="259"/>
        <v>0</v>
      </c>
      <c r="T859">
        <f t="shared" si="260"/>
        <v>0</v>
      </c>
      <c r="U859" t="str">
        <f>IF('906MP'!J559&gt;0,CONCATENATE('906MP'!J559," - ",'906MP'!P559,", ",'906MP'!E559),"nincs megjegyzés")</f>
        <v>nincs megjegyzés</v>
      </c>
      <c r="V859" t="str">
        <f t="shared" si="247"/>
        <v>0P0</v>
      </c>
      <c r="W859" t="str">
        <f t="shared" si="248"/>
        <v>0P0</v>
      </c>
      <c r="X859" t="str">
        <f t="shared" si="249"/>
        <v>P0</v>
      </c>
      <c r="Y859" t="str">
        <f t="shared" si="250"/>
        <v>00</v>
      </c>
      <c r="Z859" t="str">
        <f t="shared" si="261"/>
        <v>00</v>
      </c>
      <c r="AA859" t="str">
        <f t="shared" si="251"/>
        <v>00</v>
      </c>
      <c r="AB859" t="str">
        <f t="shared" si="252"/>
        <v>00</v>
      </c>
      <c r="AC859" t="str">
        <f t="shared" si="253"/>
        <v>0P0</v>
      </c>
      <c r="AD859" t="str">
        <f t="shared" si="254"/>
        <v>P00</v>
      </c>
      <c r="AE859" t="str">
        <f t="shared" si="255"/>
        <v>0P0</v>
      </c>
      <c r="AF859" t="str">
        <f t="shared" si="256"/>
        <v>P00</v>
      </c>
      <c r="AG859" t="str">
        <f t="shared" si="262"/>
        <v>0P00</v>
      </c>
      <c r="AH859" t="str">
        <f t="shared" si="263"/>
        <v>P000</v>
      </c>
      <c r="AI859" t="str">
        <f t="shared" si="264"/>
        <v>0P00</v>
      </c>
      <c r="AJ859" t="str">
        <f t="shared" si="265"/>
        <v>P000</v>
      </c>
    </row>
    <row r="860" spans="1:36" x14ac:dyDescent="0.25">
      <c r="A860" s="325" t="str">
        <f>CONCATENATE("P",'906MP'!M560)</f>
        <v>P</v>
      </c>
      <c r="B860">
        <f>'906MP'!H560</f>
        <v>0</v>
      </c>
      <c r="C860">
        <f>'906MP'!J560</f>
        <v>0</v>
      </c>
      <c r="D860">
        <f>'906MP'!P560</f>
        <v>0</v>
      </c>
      <c r="E860">
        <f>'906MP'!X560</f>
        <v>0</v>
      </c>
      <c r="F860" t="str">
        <f t="shared" si="257"/>
        <v>0</v>
      </c>
      <c r="G860" t="str">
        <f t="shared" si="258"/>
        <v>0</v>
      </c>
      <c r="H860">
        <f>'906MP'!Y560</f>
        <v>0</v>
      </c>
      <c r="I860">
        <f>'906MP'!AK560</f>
        <v>0</v>
      </c>
      <c r="J860">
        <f>'906MP'!T560</f>
        <v>0</v>
      </c>
      <c r="K860">
        <f>'906MP'!AJ560</f>
        <v>0</v>
      </c>
      <c r="L860">
        <f>'906MP'!U560</f>
        <v>0</v>
      </c>
      <c r="M860" s="322" t="str">
        <f>IFERROR(VLOOKUP(A860,PAR!$D$3:$E$53,2,FALSE),"nincs szervezet")</f>
        <v>nincs szervezet</v>
      </c>
      <c r="N860" s="322" t="str">
        <f>VLOOKUP(F860,PAR!$R$3:$S$5,2,FALSE)</f>
        <v>3 - egyik sem</v>
      </c>
      <c r="O860" t="str">
        <f>IFERROR(VLOOKUP(J860,PAR!$O$3:$P$5,2,FALSE),"nincs feladat")</f>
        <v>nincs feladat</v>
      </c>
      <c r="P860" t="str">
        <f>IFERROR(VLOOKUP(G860,PAR!$J$2:$M$19,4),"nincs rovat")</f>
        <v>nincs rovat</v>
      </c>
      <c r="Q860" t="str">
        <f>IF(H860&gt;0,VLOOKUP(H860,PAR!$AA$3:$AC$187,3,FALSE),"nincs főkönyvi számla")</f>
        <v>nincs főkönyvi számla</v>
      </c>
      <c r="R860" t="str">
        <f>IFERROR(VLOOKUP(K860,PAR!$V$3:$X$438,3,FALSE),"000000 - Nincs COFOG")</f>
        <v>000000 - Nincs COFOG</v>
      </c>
      <c r="S860">
        <f t="shared" si="259"/>
        <v>0</v>
      </c>
      <c r="T860">
        <f t="shared" si="260"/>
        <v>0</v>
      </c>
      <c r="U860" t="str">
        <f>IF('906MP'!J560&gt;0,CONCATENATE('906MP'!J560," - ",'906MP'!P560,", ",'906MP'!E560),"nincs megjegyzés")</f>
        <v>nincs megjegyzés</v>
      </c>
      <c r="V860" t="str">
        <f t="shared" si="247"/>
        <v>0P0</v>
      </c>
      <c r="W860" t="str">
        <f t="shared" si="248"/>
        <v>0P0</v>
      </c>
      <c r="X860" t="str">
        <f t="shared" si="249"/>
        <v>P0</v>
      </c>
      <c r="Y860" t="str">
        <f t="shared" si="250"/>
        <v>00</v>
      </c>
      <c r="Z860" t="str">
        <f t="shared" si="261"/>
        <v>00</v>
      </c>
      <c r="AA860" t="str">
        <f t="shared" si="251"/>
        <v>00</v>
      </c>
      <c r="AB860" t="str">
        <f t="shared" si="252"/>
        <v>00</v>
      </c>
      <c r="AC860" t="str">
        <f t="shared" si="253"/>
        <v>0P0</v>
      </c>
      <c r="AD860" t="str">
        <f t="shared" si="254"/>
        <v>P00</v>
      </c>
      <c r="AE860" t="str">
        <f t="shared" si="255"/>
        <v>0P0</v>
      </c>
      <c r="AF860" t="str">
        <f t="shared" si="256"/>
        <v>P00</v>
      </c>
      <c r="AG860" t="str">
        <f t="shared" si="262"/>
        <v>0P00</v>
      </c>
      <c r="AH860" t="str">
        <f t="shared" si="263"/>
        <v>P000</v>
      </c>
      <c r="AI860" t="str">
        <f t="shared" si="264"/>
        <v>0P00</v>
      </c>
      <c r="AJ860" t="str">
        <f t="shared" si="265"/>
        <v>P000</v>
      </c>
    </row>
    <row r="861" spans="1:36" x14ac:dyDescent="0.25">
      <c r="A861" s="325" t="str">
        <f>CONCATENATE("P",'906MP'!M561)</f>
        <v>P</v>
      </c>
      <c r="B861">
        <f>'906MP'!H561</f>
        <v>0</v>
      </c>
      <c r="C861">
        <f>'906MP'!J561</f>
        <v>0</v>
      </c>
      <c r="D861">
        <f>'906MP'!P561</f>
        <v>0</v>
      </c>
      <c r="E861">
        <f>'906MP'!X561</f>
        <v>0</v>
      </c>
      <c r="F861" t="str">
        <f t="shared" si="257"/>
        <v>0</v>
      </c>
      <c r="G861" t="str">
        <f t="shared" si="258"/>
        <v>0</v>
      </c>
      <c r="H861">
        <f>'906MP'!Y561</f>
        <v>0</v>
      </c>
      <c r="I861">
        <f>'906MP'!AK561</f>
        <v>0</v>
      </c>
      <c r="J861">
        <f>'906MP'!T561</f>
        <v>0</v>
      </c>
      <c r="K861">
        <f>'906MP'!AJ561</f>
        <v>0</v>
      </c>
      <c r="L861">
        <f>'906MP'!U561</f>
        <v>0</v>
      </c>
      <c r="M861" s="322" t="str">
        <f>IFERROR(VLOOKUP(A861,PAR!$D$3:$E$53,2,FALSE),"nincs szervezet")</f>
        <v>nincs szervezet</v>
      </c>
      <c r="N861" s="322" t="str">
        <f>VLOOKUP(F861,PAR!$R$3:$S$5,2,FALSE)</f>
        <v>3 - egyik sem</v>
      </c>
      <c r="O861" t="str">
        <f>IFERROR(VLOOKUP(J861,PAR!$O$3:$P$5,2,FALSE),"nincs feladat")</f>
        <v>nincs feladat</v>
      </c>
      <c r="P861" t="str">
        <f>IFERROR(VLOOKUP(G861,PAR!$J$2:$M$19,4),"nincs rovat")</f>
        <v>nincs rovat</v>
      </c>
      <c r="Q861" t="str">
        <f>IF(H861&gt;0,VLOOKUP(H861,PAR!$AA$3:$AC$187,3,FALSE),"nincs főkönyvi számla")</f>
        <v>nincs főkönyvi számla</v>
      </c>
      <c r="R861" t="str">
        <f>IFERROR(VLOOKUP(K861,PAR!$V$3:$X$438,3,FALSE),"000000 - Nincs COFOG")</f>
        <v>000000 - Nincs COFOG</v>
      </c>
      <c r="S861">
        <f t="shared" si="259"/>
        <v>0</v>
      </c>
      <c r="T861">
        <f t="shared" si="260"/>
        <v>0</v>
      </c>
      <c r="U861" t="str">
        <f>IF('906MP'!J561&gt;0,CONCATENATE('906MP'!J561," - ",'906MP'!P561,", ",'906MP'!E561),"nincs megjegyzés")</f>
        <v>nincs megjegyzés</v>
      </c>
      <c r="V861" t="str">
        <f t="shared" si="247"/>
        <v>0P0</v>
      </c>
      <c r="W861" t="str">
        <f t="shared" si="248"/>
        <v>0P0</v>
      </c>
      <c r="X861" t="str">
        <f t="shared" si="249"/>
        <v>P0</v>
      </c>
      <c r="Y861" t="str">
        <f t="shared" si="250"/>
        <v>00</v>
      </c>
      <c r="Z861" t="str">
        <f t="shared" si="261"/>
        <v>00</v>
      </c>
      <c r="AA861" t="str">
        <f t="shared" si="251"/>
        <v>00</v>
      </c>
      <c r="AB861" t="str">
        <f t="shared" si="252"/>
        <v>00</v>
      </c>
      <c r="AC861" t="str">
        <f t="shared" si="253"/>
        <v>0P0</v>
      </c>
      <c r="AD861" t="str">
        <f t="shared" si="254"/>
        <v>P00</v>
      </c>
      <c r="AE861" t="str">
        <f t="shared" si="255"/>
        <v>0P0</v>
      </c>
      <c r="AF861" t="str">
        <f t="shared" si="256"/>
        <v>P00</v>
      </c>
      <c r="AG861" t="str">
        <f t="shared" si="262"/>
        <v>0P00</v>
      </c>
      <c r="AH861" t="str">
        <f t="shared" si="263"/>
        <v>P000</v>
      </c>
      <c r="AI861" t="str">
        <f t="shared" si="264"/>
        <v>0P00</v>
      </c>
      <c r="AJ861" t="str">
        <f t="shared" si="265"/>
        <v>P000</v>
      </c>
    </row>
    <row r="862" spans="1:36" x14ac:dyDescent="0.25">
      <c r="A862" s="325" t="str">
        <f>CONCATENATE("P",'906MP'!M562)</f>
        <v>P</v>
      </c>
      <c r="B862">
        <f>'906MP'!H562</f>
        <v>0</v>
      </c>
      <c r="C862">
        <f>'906MP'!J562</f>
        <v>0</v>
      </c>
      <c r="D862">
        <f>'906MP'!P562</f>
        <v>0</v>
      </c>
      <c r="E862">
        <f>'906MP'!X562</f>
        <v>0</v>
      </c>
      <c r="F862" t="str">
        <f t="shared" si="257"/>
        <v>0</v>
      </c>
      <c r="G862" t="str">
        <f t="shared" si="258"/>
        <v>0</v>
      </c>
      <c r="H862">
        <f>'906MP'!Y562</f>
        <v>0</v>
      </c>
      <c r="I862">
        <f>'906MP'!AK562</f>
        <v>0</v>
      </c>
      <c r="J862">
        <f>'906MP'!T562</f>
        <v>0</v>
      </c>
      <c r="K862">
        <f>'906MP'!AJ562</f>
        <v>0</v>
      </c>
      <c r="L862">
        <f>'906MP'!U562</f>
        <v>0</v>
      </c>
      <c r="M862" s="322" t="str">
        <f>IFERROR(VLOOKUP(A862,PAR!$D$3:$E$53,2,FALSE),"nincs szervezet")</f>
        <v>nincs szervezet</v>
      </c>
      <c r="N862" s="322" t="str">
        <f>VLOOKUP(F862,PAR!$R$3:$S$5,2,FALSE)</f>
        <v>3 - egyik sem</v>
      </c>
      <c r="O862" t="str">
        <f>IFERROR(VLOOKUP(J862,PAR!$O$3:$P$5,2,FALSE),"nincs feladat")</f>
        <v>nincs feladat</v>
      </c>
      <c r="P862" t="str">
        <f>IFERROR(VLOOKUP(G862,PAR!$J$2:$M$19,4),"nincs rovat")</f>
        <v>nincs rovat</v>
      </c>
      <c r="Q862" t="str">
        <f>IF(H862&gt;0,VLOOKUP(H862,PAR!$AA$3:$AC$187,3,FALSE),"nincs főkönyvi számla")</f>
        <v>nincs főkönyvi számla</v>
      </c>
      <c r="R862" t="str">
        <f>IFERROR(VLOOKUP(K862,PAR!$V$3:$X$438,3,FALSE),"000000 - Nincs COFOG")</f>
        <v>000000 - Nincs COFOG</v>
      </c>
      <c r="S862">
        <f t="shared" si="259"/>
        <v>0</v>
      </c>
      <c r="T862">
        <f t="shared" si="260"/>
        <v>0</v>
      </c>
      <c r="U862" t="str">
        <f>IF('906MP'!J562&gt;0,CONCATENATE('906MP'!J562," - ",'906MP'!P562,", ",'906MP'!E562),"nincs megjegyzés")</f>
        <v>nincs megjegyzés</v>
      </c>
      <c r="V862" t="str">
        <f t="shared" si="247"/>
        <v>0P0</v>
      </c>
      <c r="W862" t="str">
        <f t="shared" si="248"/>
        <v>0P0</v>
      </c>
      <c r="X862" t="str">
        <f t="shared" si="249"/>
        <v>P0</v>
      </c>
      <c r="Y862" t="str">
        <f t="shared" si="250"/>
        <v>00</v>
      </c>
      <c r="Z862" t="str">
        <f t="shared" si="261"/>
        <v>00</v>
      </c>
      <c r="AA862" t="str">
        <f t="shared" si="251"/>
        <v>00</v>
      </c>
      <c r="AB862" t="str">
        <f t="shared" si="252"/>
        <v>00</v>
      </c>
      <c r="AC862" t="str">
        <f t="shared" si="253"/>
        <v>0P0</v>
      </c>
      <c r="AD862" t="str">
        <f t="shared" si="254"/>
        <v>P00</v>
      </c>
      <c r="AE862" t="str">
        <f t="shared" si="255"/>
        <v>0P0</v>
      </c>
      <c r="AF862" t="str">
        <f t="shared" si="256"/>
        <v>P00</v>
      </c>
      <c r="AG862" t="str">
        <f t="shared" si="262"/>
        <v>0P00</v>
      </c>
      <c r="AH862" t="str">
        <f t="shared" si="263"/>
        <v>P000</v>
      </c>
      <c r="AI862" t="str">
        <f t="shared" si="264"/>
        <v>0P00</v>
      </c>
      <c r="AJ862" t="str">
        <f t="shared" si="265"/>
        <v>P000</v>
      </c>
    </row>
    <row r="863" spans="1:36" x14ac:dyDescent="0.25">
      <c r="A863" s="325" t="str">
        <f>CONCATENATE("P",'906MP'!M563)</f>
        <v>P</v>
      </c>
      <c r="B863">
        <f>'906MP'!H563</f>
        <v>0</v>
      </c>
      <c r="C863">
        <f>'906MP'!J563</f>
        <v>0</v>
      </c>
      <c r="D863">
        <f>'906MP'!P563</f>
        <v>0</v>
      </c>
      <c r="E863">
        <f>'906MP'!X563</f>
        <v>0</v>
      </c>
      <c r="F863" t="str">
        <f t="shared" si="257"/>
        <v>0</v>
      </c>
      <c r="G863" t="str">
        <f t="shared" si="258"/>
        <v>0</v>
      </c>
      <c r="H863">
        <f>'906MP'!Y563</f>
        <v>0</v>
      </c>
      <c r="I863">
        <f>'906MP'!AK563</f>
        <v>0</v>
      </c>
      <c r="J863">
        <f>'906MP'!T563</f>
        <v>0</v>
      </c>
      <c r="K863">
        <f>'906MP'!AJ563</f>
        <v>0</v>
      </c>
      <c r="L863">
        <f>'906MP'!U563</f>
        <v>0</v>
      </c>
      <c r="M863" s="322" t="str">
        <f>IFERROR(VLOOKUP(A863,PAR!$D$3:$E$53,2,FALSE),"nincs szervezet")</f>
        <v>nincs szervezet</v>
      </c>
      <c r="N863" s="322" t="str">
        <f>VLOOKUP(F863,PAR!$R$3:$S$5,2,FALSE)</f>
        <v>3 - egyik sem</v>
      </c>
      <c r="O863" t="str">
        <f>IFERROR(VLOOKUP(J863,PAR!$O$3:$P$5,2,FALSE),"nincs feladat")</f>
        <v>nincs feladat</v>
      </c>
      <c r="P863" t="str">
        <f>IFERROR(VLOOKUP(G863,PAR!$J$2:$M$19,4),"nincs rovat")</f>
        <v>nincs rovat</v>
      </c>
      <c r="Q863" t="str">
        <f>IF(H863&gt;0,VLOOKUP(H863,PAR!$AA$3:$AC$187,3,FALSE),"nincs főkönyvi számla")</f>
        <v>nincs főkönyvi számla</v>
      </c>
      <c r="R863" t="str">
        <f>IFERROR(VLOOKUP(K863,PAR!$V$3:$X$438,3,FALSE),"000000 - Nincs COFOG")</f>
        <v>000000 - Nincs COFOG</v>
      </c>
      <c r="S863">
        <f t="shared" si="259"/>
        <v>0</v>
      </c>
      <c r="T863">
        <f t="shared" si="260"/>
        <v>0</v>
      </c>
      <c r="U863" t="str">
        <f>IF('906MP'!J563&gt;0,CONCATENATE('906MP'!J563," - ",'906MP'!P563,", ",'906MP'!E563),"nincs megjegyzés")</f>
        <v>nincs megjegyzés</v>
      </c>
      <c r="V863" t="str">
        <f t="shared" si="247"/>
        <v>0P0</v>
      </c>
      <c r="W863" t="str">
        <f t="shared" si="248"/>
        <v>0P0</v>
      </c>
      <c r="X863" t="str">
        <f t="shared" si="249"/>
        <v>P0</v>
      </c>
      <c r="Y863" t="str">
        <f t="shared" si="250"/>
        <v>00</v>
      </c>
      <c r="Z863" t="str">
        <f t="shared" si="261"/>
        <v>00</v>
      </c>
      <c r="AA863" t="str">
        <f t="shared" si="251"/>
        <v>00</v>
      </c>
      <c r="AB863" t="str">
        <f t="shared" si="252"/>
        <v>00</v>
      </c>
      <c r="AC863" t="str">
        <f t="shared" si="253"/>
        <v>0P0</v>
      </c>
      <c r="AD863" t="str">
        <f t="shared" si="254"/>
        <v>P00</v>
      </c>
      <c r="AE863" t="str">
        <f t="shared" si="255"/>
        <v>0P0</v>
      </c>
      <c r="AF863" t="str">
        <f t="shared" si="256"/>
        <v>P00</v>
      </c>
      <c r="AG863" t="str">
        <f t="shared" si="262"/>
        <v>0P00</v>
      </c>
      <c r="AH863" t="str">
        <f t="shared" si="263"/>
        <v>P000</v>
      </c>
      <c r="AI863" t="str">
        <f t="shared" si="264"/>
        <v>0P00</v>
      </c>
      <c r="AJ863" t="str">
        <f t="shared" si="265"/>
        <v>P000</v>
      </c>
    </row>
    <row r="864" spans="1:36" x14ac:dyDescent="0.25">
      <c r="A864" s="325" t="str">
        <f>CONCATENATE("P",'906MP'!M564)</f>
        <v>P</v>
      </c>
      <c r="B864">
        <f>'906MP'!H564</f>
        <v>0</v>
      </c>
      <c r="C864">
        <f>'906MP'!J564</f>
        <v>0</v>
      </c>
      <c r="D864">
        <f>'906MP'!P564</f>
        <v>0</v>
      </c>
      <c r="E864">
        <f>'906MP'!X564</f>
        <v>0</v>
      </c>
      <c r="F864" t="str">
        <f t="shared" si="257"/>
        <v>0</v>
      </c>
      <c r="G864" t="str">
        <f t="shared" si="258"/>
        <v>0</v>
      </c>
      <c r="H864">
        <f>'906MP'!Y564</f>
        <v>0</v>
      </c>
      <c r="I864">
        <f>'906MP'!AK564</f>
        <v>0</v>
      </c>
      <c r="J864">
        <f>'906MP'!T564</f>
        <v>0</v>
      </c>
      <c r="K864">
        <f>'906MP'!AJ564</f>
        <v>0</v>
      </c>
      <c r="L864">
        <f>'906MP'!U564</f>
        <v>0</v>
      </c>
      <c r="M864" s="322" t="str">
        <f>IFERROR(VLOOKUP(A864,PAR!$D$3:$E$53,2,FALSE),"nincs szervezet")</f>
        <v>nincs szervezet</v>
      </c>
      <c r="N864" s="322" t="str">
        <f>VLOOKUP(F864,PAR!$R$3:$S$5,2,FALSE)</f>
        <v>3 - egyik sem</v>
      </c>
      <c r="O864" t="str">
        <f>IFERROR(VLOOKUP(J864,PAR!$O$3:$P$5,2,FALSE),"nincs feladat")</f>
        <v>nincs feladat</v>
      </c>
      <c r="P864" t="str">
        <f>IFERROR(VLOOKUP(G864,PAR!$J$2:$M$19,4),"nincs rovat")</f>
        <v>nincs rovat</v>
      </c>
      <c r="Q864" t="str">
        <f>IF(H864&gt;0,VLOOKUP(H864,PAR!$AA$3:$AC$187,3,FALSE),"nincs főkönyvi számla")</f>
        <v>nincs főkönyvi számla</v>
      </c>
      <c r="R864" t="str">
        <f>IFERROR(VLOOKUP(K864,PAR!$V$3:$X$438,3,FALSE),"000000 - Nincs COFOG")</f>
        <v>000000 - Nincs COFOG</v>
      </c>
      <c r="S864">
        <f t="shared" si="259"/>
        <v>0</v>
      </c>
      <c r="T864">
        <f t="shared" si="260"/>
        <v>0</v>
      </c>
      <c r="U864" t="str">
        <f>IF('906MP'!J564&gt;0,CONCATENATE('906MP'!J564," - ",'906MP'!P564,", ",'906MP'!E564),"nincs megjegyzés")</f>
        <v>nincs megjegyzés</v>
      </c>
      <c r="V864" t="str">
        <f t="shared" si="247"/>
        <v>0P0</v>
      </c>
      <c r="W864" t="str">
        <f t="shared" si="248"/>
        <v>0P0</v>
      </c>
      <c r="X864" t="str">
        <f t="shared" si="249"/>
        <v>P0</v>
      </c>
      <c r="Y864" t="str">
        <f t="shared" si="250"/>
        <v>00</v>
      </c>
      <c r="Z864" t="str">
        <f t="shared" si="261"/>
        <v>00</v>
      </c>
      <c r="AA864" t="str">
        <f t="shared" si="251"/>
        <v>00</v>
      </c>
      <c r="AB864" t="str">
        <f t="shared" si="252"/>
        <v>00</v>
      </c>
      <c r="AC864" t="str">
        <f t="shared" si="253"/>
        <v>0P0</v>
      </c>
      <c r="AD864" t="str">
        <f t="shared" si="254"/>
        <v>P00</v>
      </c>
      <c r="AE864" t="str">
        <f t="shared" si="255"/>
        <v>0P0</v>
      </c>
      <c r="AF864" t="str">
        <f t="shared" si="256"/>
        <v>P00</v>
      </c>
      <c r="AG864" t="str">
        <f t="shared" si="262"/>
        <v>0P00</v>
      </c>
      <c r="AH864" t="str">
        <f t="shared" si="263"/>
        <v>P000</v>
      </c>
      <c r="AI864" t="str">
        <f t="shared" si="264"/>
        <v>0P00</v>
      </c>
      <c r="AJ864" t="str">
        <f t="shared" si="265"/>
        <v>P000</v>
      </c>
    </row>
    <row r="865" spans="1:36" x14ac:dyDescent="0.25">
      <c r="A865" s="325" t="str">
        <f>CONCATENATE("P",'906MP'!M565)</f>
        <v>P</v>
      </c>
      <c r="B865">
        <f>'906MP'!H565</f>
        <v>0</v>
      </c>
      <c r="C865">
        <f>'906MP'!J565</f>
        <v>0</v>
      </c>
      <c r="D865">
        <f>'906MP'!P565</f>
        <v>0</v>
      </c>
      <c r="E865">
        <f>'906MP'!X565</f>
        <v>0</v>
      </c>
      <c r="F865" t="str">
        <f t="shared" si="257"/>
        <v>0</v>
      </c>
      <c r="G865" t="str">
        <f t="shared" si="258"/>
        <v>0</v>
      </c>
      <c r="H865">
        <f>'906MP'!Y565</f>
        <v>0</v>
      </c>
      <c r="I865">
        <f>'906MP'!AK565</f>
        <v>0</v>
      </c>
      <c r="J865">
        <f>'906MP'!T565</f>
        <v>0</v>
      </c>
      <c r="K865">
        <f>'906MP'!AJ565</f>
        <v>0</v>
      </c>
      <c r="L865">
        <f>'906MP'!U565</f>
        <v>0</v>
      </c>
      <c r="M865" s="322" t="str">
        <f>IFERROR(VLOOKUP(A865,PAR!$D$3:$E$53,2,FALSE),"nincs szervezet")</f>
        <v>nincs szervezet</v>
      </c>
      <c r="N865" s="322" t="str">
        <f>VLOOKUP(F865,PAR!$R$3:$S$5,2,FALSE)</f>
        <v>3 - egyik sem</v>
      </c>
      <c r="O865" t="str">
        <f>IFERROR(VLOOKUP(J865,PAR!$O$3:$P$5,2,FALSE),"nincs feladat")</f>
        <v>nincs feladat</v>
      </c>
      <c r="P865" t="str">
        <f>IFERROR(VLOOKUP(G865,PAR!$J$2:$M$19,4),"nincs rovat")</f>
        <v>nincs rovat</v>
      </c>
      <c r="Q865" t="str">
        <f>IF(H865&gt;0,VLOOKUP(H865,PAR!$AA$3:$AC$187,3,FALSE),"nincs főkönyvi számla")</f>
        <v>nincs főkönyvi számla</v>
      </c>
      <c r="R865" t="str">
        <f>IFERROR(VLOOKUP(K865,PAR!$V$3:$X$438,3,FALSE),"000000 - Nincs COFOG")</f>
        <v>000000 - Nincs COFOG</v>
      </c>
      <c r="S865">
        <f t="shared" si="259"/>
        <v>0</v>
      </c>
      <c r="T865">
        <f t="shared" si="260"/>
        <v>0</v>
      </c>
      <c r="U865" t="str">
        <f>IF('906MP'!J565&gt;0,CONCATENATE('906MP'!J565," - ",'906MP'!P565,", ",'906MP'!E565),"nincs megjegyzés")</f>
        <v>nincs megjegyzés</v>
      </c>
      <c r="V865" t="str">
        <f t="shared" si="247"/>
        <v>0P0</v>
      </c>
      <c r="W865" t="str">
        <f t="shared" si="248"/>
        <v>0P0</v>
      </c>
      <c r="X865" t="str">
        <f t="shared" si="249"/>
        <v>P0</v>
      </c>
      <c r="Y865" t="str">
        <f t="shared" si="250"/>
        <v>00</v>
      </c>
      <c r="Z865" t="str">
        <f t="shared" si="261"/>
        <v>00</v>
      </c>
      <c r="AA865" t="str">
        <f t="shared" si="251"/>
        <v>00</v>
      </c>
      <c r="AB865" t="str">
        <f t="shared" si="252"/>
        <v>00</v>
      </c>
      <c r="AC865" t="str">
        <f t="shared" si="253"/>
        <v>0P0</v>
      </c>
      <c r="AD865" t="str">
        <f t="shared" si="254"/>
        <v>P00</v>
      </c>
      <c r="AE865" t="str">
        <f t="shared" si="255"/>
        <v>0P0</v>
      </c>
      <c r="AF865" t="str">
        <f t="shared" si="256"/>
        <v>P00</v>
      </c>
      <c r="AG865" t="str">
        <f t="shared" si="262"/>
        <v>0P00</v>
      </c>
      <c r="AH865" t="str">
        <f t="shared" si="263"/>
        <v>P000</v>
      </c>
      <c r="AI865" t="str">
        <f t="shared" si="264"/>
        <v>0P00</v>
      </c>
      <c r="AJ865" t="str">
        <f t="shared" si="265"/>
        <v>P000</v>
      </c>
    </row>
    <row r="866" spans="1:36" x14ac:dyDescent="0.25">
      <c r="A866" s="325" t="str">
        <f>CONCATENATE("P",'906MP'!M566)</f>
        <v>P</v>
      </c>
      <c r="B866">
        <f>'906MP'!H566</f>
        <v>0</v>
      </c>
      <c r="C866">
        <f>'906MP'!J566</f>
        <v>0</v>
      </c>
      <c r="D866">
        <f>'906MP'!P566</f>
        <v>0</v>
      </c>
      <c r="E866">
        <f>'906MP'!X566</f>
        <v>0</v>
      </c>
      <c r="F866" t="str">
        <f t="shared" si="257"/>
        <v>0</v>
      </c>
      <c r="G866" t="str">
        <f t="shared" si="258"/>
        <v>0</v>
      </c>
      <c r="H866">
        <f>'906MP'!Y566</f>
        <v>0</v>
      </c>
      <c r="I866">
        <f>'906MP'!AK566</f>
        <v>0</v>
      </c>
      <c r="J866">
        <f>'906MP'!T566</f>
        <v>0</v>
      </c>
      <c r="K866">
        <f>'906MP'!AJ566</f>
        <v>0</v>
      </c>
      <c r="L866">
        <f>'906MP'!U566</f>
        <v>0</v>
      </c>
      <c r="M866" s="322" t="str">
        <f>IFERROR(VLOOKUP(A866,PAR!$D$3:$E$53,2,FALSE),"nincs szervezet")</f>
        <v>nincs szervezet</v>
      </c>
      <c r="N866" s="322" t="str">
        <f>VLOOKUP(F866,PAR!$R$3:$S$5,2,FALSE)</f>
        <v>3 - egyik sem</v>
      </c>
      <c r="O866" t="str">
        <f>IFERROR(VLOOKUP(J866,PAR!$O$3:$P$5,2,FALSE),"nincs feladat")</f>
        <v>nincs feladat</v>
      </c>
      <c r="P866" t="str">
        <f>IFERROR(VLOOKUP(G866,PAR!$J$2:$M$19,4),"nincs rovat")</f>
        <v>nincs rovat</v>
      </c>
      <c r="Q866" t="str">
        <f>IF(H866&gt;0,VLOOKUP(H866,PAR!$AA$3:$AC$187,3,FALSE),"nincs főkönyvi számla")</f>
        <v>nincs főkönyvi számla</v>
      </c>
      <c r="R866" t="str">
        <f>IFERROR(VLOOKUP(K866,PAR!$V$3:$X$438,3,FALSE),"000000 - Nincs COFOG")</f>
        <v>000000 - Nincs COFOG</v>
      </c>
      <c r="S866">
        <f t="shared" si="259"/>
        <v>0</v>
      </c>
      <c r="T866">
        <f t="shared" si="260"/>
        <v>0</v>
      </c>
      <c r="U866" t="str">
        <f>IF('906MP'!J566&gt;0,CONCATENATE('906MP'!J566," - ",'906MP'!P566,", ",'906MP'!E566),"nincs megjegyzés")</f>
        <v>nincs megjegyzés</v>
      </c>
      <c r="V866" t="str">
        <f t="shared" si="247"/>
        <v>0P0</v>
      </c>
      <c r="W866" t="str">
        <f t="shared" si="248"/>
        <v>0P0</v>
      </c>
      <c r="X866" t="str">
        <f t="shared" si="249"/>
        <v>P0</v>
      </c>
      <c r="Y866" t="str">
        <f t="shared" si="250"/>
        <v>00</v>
      </c>
      <c r="Z866" t="str">
        <f t="shared" si="261"/>
        <v>00</v>
      </c>
      <c r="AA866" t="str">
        <f t="shared" si="251"/>
        <v>00</v>
      </c>
      <c r="AB866" t="str">
        <f t="shared" si="252"/>
        <v>00</v>
      </c>
      <c r="AC866" t="str">
        <f t="shared" si="253"/>
        <v>0P0</v>
      </c>
      <c r="AD866" t="str">
        <f t="shared" si="254"/>
        <v>P00</v>
      </c>
      <c r="AE866" t="str">
        <f t="shared" si="255"/>
        <v>0P0</v>
      </c>
      <c r="AF866" t="str">
        <f t="shared" si="256"/>
        <v>P00</v>
      </c>
      <c r="AG866" t="str">
        <f t="shared" si="262"/>
        <v>0P00</v>
      </c>
      <c r="AH866" t="str">
        <f t="shared" si="263"/>
        <v>P000</v>
      </c>
      <c r="AI866" t="str">
        <f t="shared" si="264"/>
        <v>0P00</v>
      </c>
      <c r="AJ866" t="str">
        <f t="shared" si="265"/>
        <v>P000</v>
      </c>
    </row>
    <row r="867" spans="1:36" x14ac:dyDescent="0.25">
      <c r="A867" s="325" t="str">
        <f>CONCATENATE("P",'906MP'!M567)</f>
        <v>P</v>
      </c>
      <c r="B867">
        <f>'906MP'!H567</f>
        <v>0</v>
      </c>
      <c r="C867">
        <f>'906MP'!J567</f>
        <v>0</v>
      </c>
      <c r="D867">
        <f>'906MP'!P567</f>
        <v>0</v>
      </c>
      <c r="E867">
        <f>'906MP'!X567</f>
        <v>0</v>
      </c>
      <c r="F867" t="str">
        <f t="shared" si="257"/>
        <v>0</v>
      </c>
      <c r="G867" t="str">
        <f t="shared" si="258"/>
        <v>0</v>
      </c>
      <c r="H867">
        <f>'906MP'!Y567</f>
        <v>0</v>
      </c>
      <c r="I867">
        <f>'906MP'!AK567</f>
        <v>0</v>
      </c>
      <c r="J867">
        <f>'906MP'!T567</f>
        <v>0</v>
      </c>
      <c r="K867">
        <f>'906MP'!AJ567</f>
        <v>0</v>
      </c>
      <c r="L867">
        <f>'906MP'!U567</f>
        <v>0</v>
      </c>
      <c r="M867" s="322" t="str">
        <f>IFERROR(VLOOKUP(A867,PAR!$D$3:$E$53,2,FALSE),"nincs szervezet")</f>
        <v>nincs szervezet</v>
      </c>
      <c r="N867" s="322" t="str">
        <f>VLOOKUP(F867,PAR!$R$3:$S$5,2,FALSE)</f>
        <v>3 - egyik sem</v>
      </c>
      <c r="O867" t="str">
        <f>IFERROR(VLOOKUP(J867,PAR!$O$3:$P$5,2,FALSE),"nincs feladat")</f>
        <v>nincs feladat</v>
      </c>
      <c r="P867" t="str">
        <f>IFERROR(VLOOKUP(G867,PAR!$J$2:$M$19,4),"nincs rovat")</f>
        <v>nincs rovat</v>
      </c>
      <c r="Q867" t="str">
        <f>IF(H867&gt;0,VLOOKUP(H867,PAR!$AA$3:$AC$187,3,FALSE),"nincs főkönyvi számla")</f>
        <v>nincs főkönyvi számla</v>
      </c>
      <c r="R867" t="str">
        <f>IFERROR(VLOOKUP(K867,PAR!$V$3:$X$438,3,FALSE),"000000 - Nincs COFOG")</f>
        <v>000000 - Nincs COFOG</v>
      </c>
      <c r="S867">
        <f t="shared" si="259"/>
        <v>0</v>
      </c>
      <c r="T867">
        <f t="shared" si="260"/>
        <v>0</v>
      </c>
      <c r="U867" t="str">
        <f>IF('906MP'!J567&gt;0,CONCATENATE('906MP'!J567," - ",'906MP'!P567,", ",'906MP'!E567),"nincs megjegyzés")</f>
        <v>nincs megjegyzés</v>
      </c>
      <c r="V867" t="str">
        <f t="shared" si="247"/>
        <v>0P0</v>
      </c>
      <c r="W867" t="str">
        <f t="shared" si="248"/>
        <v>0P0</v>
      </c>
      <c r="X867" t="str">
        <f t="shared" si="249"/>
        <v>P0</v>
      </c>
      <c r="Y867" t="str">
        <f t="shared" si="250"/>
        <v>00</v>
      </c>
      <c r="Z867" t="str">
        <f t="shared" si="261"/>
        <v>00</v>
      </c>
      <c r="AA867" t="str">
        <f t="shared" si="251"/>
        <v>00</v>
      </c>
      <c r="AB867" t="str">
        <f t="shared" si="252"/>
        <v>00</v>
      </c>
      <c r="AC867" t="str">
        <f t="shared" si="253"/>
        <v>0P0</v>
      </c>
      <c r="AD867" t="str">
        <f t="shared" si="254"/>
        <v>P00</v>
      </c>
      <c r="AE867" t="str">
        <f t="shared" si="255"/>
        <v>0P0</v>
      </c>
      <c r="AF867" t="str">
        <f t="shared" si="256"/>
        <v>P00</v>
      </c>
      <c r="AG867" t="str">
        <f t="shared" si="262"/>
        <v>0P00</v>
      </c>
      <c r="AH867" t="str">
        <f t="shared" si="263"/>
        <v>P000</v>
      </c>
      <c r="AI867" t="str">
        <f t="shared" si="264"/>
        <v>0P00</v>
      </c>
      <c r="AJ867" t="str">
        <f t="shared" si="265"/>
        <v>P000</v>
      </c>
    </row>
    <row r="868" spans="1:36" x14ac:dyDescent="0.25">
      <c r="A868" s="325" t="str">
        <f>CONCATENATE("P",'906MP'!M568)</f>
        <v>P</v>
      </c>
      <c r="B868">
        <f>'906MP'!H568</f>
        <v>0</v>
      </c>
      <c r="C868">
        <f>'906MP'!J568</f>
        <v>0</v>
      </c>
      <c r="D868">
        <f>'906MP'!P568</f>
        <v>0</v>
      </c>
      <c r="E868">
        <f>'906MP'!X568</f>
        <v>0</v>
      </c>
      <c r="F868" t="str">
        <f t="shared" si="257"/>
        <v>0</v>
      </c>
      <c r="G868" t="str">
        <f t="shared" si="258"/>
        <v>0</v>
      </c>
      <c r="H868">
        <f>'906MP'!Y568</f>
        <v>0</v>
      </c>
      <c r="I868">
        <f>'906MP'!AK568</f>
        <v>0</v>
      </c>
      <c r="J868">
        <f>'906MP'!T568</f>
        <v>0</v>
      </c>
      <c r="K868">
        <f>'906MP'!AJ568</f>
        <v>0</v>
      </c>
      <c r="L868">
        <f>'906MP'!U568</f>
        <v>0</v>
      </c>
      <c r="M868" s="322" t="str">
        <f>IFERROR(VLOOKUP(A868,PAR!$D$3:$E$53,2,FALSE),"nincs szervezet")</f>
        <v>nincs szervezet</v>
      </c>
      <c r="N868" s="322" t="str">
        <f>VLOOKUP(F868,PAR!$R$3:$S$5,2,FALSE)</f>
        <v>3 - egyik sem</v>
      </c>
      <c r="O868" t="str">
        <f>IFERROR(VLOOKUP(J868,PAR!$O$3:$P$5,2,FALSE),"nincs feladat")</f>
        <v>nincs feladat</v>
      </c>
      <c r="P868" t="str">
        <f>IFERROR(VLOOKUP(G868,PAR!$J$2:$M$19,4),"nincs rovat")</f>
        <v>nincs rovat</v>
      </c>
      <c r="Q868" t="str">
        <f>IF(H868&gt;0,VLOOKUP(H868,PAR!$AA$3:$AC$187,3,FALSE),"nincs főkönyvi számla")</f>
        <v>nincs főkönyvi számla</v>
      </c>
      <c r="R868" t="str">
        <f>IFERROR(VLOOKUP(K868,PAR!$V$3:$X$438,3,FALSE),"000000 - Nincs COFOG")</f>
        <v>000000 - Nincs COFOG</v>
      </c>
      <c r="S868">
        <f t="shared" si="259"/>
        <v>0</v>
      </c>
      <c r="T868">
        <f t="shared" si="260"/>
        <v>0</v>
      </c>
      <c r="U868" t="str">
        <f>IF('906MP'!J568&gt;0,CONCATENATE('906MP'!J568," - ",'906MP'!P568,", ",'906MP'!E568),"nincs megjegyzés")</f>
        <v>nincs megjegyzés</v>
      </c>
      <c r="V868" t="str">
        <f t="shared" si="247"/>
        <v>0P0</v>
      </c>
      <c r="W868" t="str">
        <f t="shared" si="248"/>
        <v>0P0</v>
      </c>
      <c r="X868" t="str">
        <f t="shared" si="249"/>
        <v>P0</v>
      </c>
      <c r="Y868" t="str">
        <f t="shared" si="250"/>
        <v>00</v>
      </c>
      <c r="Z868" t="str">
        <f t="shared" si="261"/>
        <v>00</v>
      </c>
      <c r="AA868" t="str">
        <f t="shared" si="251"/>
        <v>00</v>
      </c>
      <c r="AB868" t="str">
        <f t="shared" si="252"/>
        <v>00</v>
      </c>
      <c r="AC868" t="str">
        <f t="shared" si="253"/>
        <v>0P0</v>
      </c>
      <c r="AD868" t="str">
        <f t="shared" si="254"/>
        <v>P00</v>
      </c>
      <c r="AE868" t="str">
        <f t="shared" si="255"/>
        <v>0P0</v>
      </c>
      <c r="AF868" t="str">
        <f t="shared" si="256"/>
        <v>P00</v>
      </c>
      <c r="AG868" t="str">
        <f t="shared" si="262"/>
        <v>0P00</v>
      </c>
      <c r="AH868" t="str">
        <f t="shared" si="263"/>
        <v>P000</v>
      </c>
      <c r="AI868" t="str">
        <f t="shared" si="264"/>
        <v>0P00</v>
      </c>
      <c r="AJ868" t="str">
        <f t="shared" si="265"/>
        <v>P000</v>
      </c>
    </row>
    <row r="869" spans="1:36" x14ac:dyDescent="0.25">
      <c r="A869" s="325" t="str">
        <f>CONCATENATE("P",'906MP'!M569)</f>
        <v>P</v>
      </c>
      <c r="B869">
        <f>'906MP'!H569</f>
        <v>0</v>
      </c>
      <c r="C869">
        <f>'906MP'!J569</f>
        <v>0</v>
      </c>
      <c r="D869">
        <f>'906MP'!P569</f>
        <v>0</v>
      </c>
      <c r="E869">
        <f>'906MP'!X569</f>
        <v>0</v>
      </c>
      <c r="F869" t="str">
        <f t="shared" si="257"/>
        <v>0</v>
      </c>
      <c r="G869" t="str">
        <f t="shared" si="258"/>
        <v>0</v>
      </c>
      <c r="H869">
        <f>'906MP'!Y569</f>
        <v>0</v>
      </c>
      <c r="I869">
        <f>'906MP'!AK569</f>
        <v>0</v>
      </c>
      <c r="J869">
        <f>'906MP'!T569</f>
        <v>0</v>
      </c>
      <c r="K869">
        <f>'906MP'!AJ569</f>
        <v>0</v>
      </c>
      <c r="L869">
        <f>'906MP'!U569</f>
        <v>0</v>
      </c>
      <c r="M869" s="322" t="str">
        <f>IFERROR(VLOOKUP(A869,PAR!$D$3:$E$53,2,FALSE),"nincs szervezet")</f>
        <v>nincs szervezet</v>
      </c>
      <c r="N869" s="322" t="str">
        <f>VLOOKUP(F869,PAR!$R$3:$S$5,2,FALSE)</f>
        <v>3 - egyik sem</v>
      </c>
      <c r="O869" t="str">
        <f>IFERROR(VLOOKUP(J869,PAR!$O$3:$P$5,2,FALSE),"nincs feladat")</f>
        <v>nincs feladat</v>
      </c>
      <c r="P869" t="str">
        <f>IFERROR(VLOOKUP(G869,PAR!$J$2:$M$19,4),"nincs rovat")</f>
        <v>nincs rovat</v>
      </c>
      <c r="Q869" t="str">
        <f>IF(H869&gt;0,VLOOKUP(H869,PAR!$AA$3:$AC$187,3,FALSE),"nincs főkönyvi számla")</f>
        <v>nincs főkönyvi számla</v>
      </c>
      <c r="R869" t="str">
        <f>IFERROR(VLOOKUP(K869,PAR!$V$3:$X$438,3,FALSE),"000000 - Nincs COFOG")</f>
        <v>000000 - Nincs COFOG</v>
      </c>
      <c r="S869">
        <f t="shared" si="259"/>
        <v>0</v>
      </c>
      <c r="T869">
        <f t="shared" si="260"/>
        <v>0</v>
      </c>
      <c r="U869" t="str">
        <f>IF('906MP'!J569&gt;0,CONCATENATE('906MP'!J569," - ",'906MP'!P569,", ",'906MP'!E569),"nincs megjegyzés")</f>
        <v>nincs megjegyzés</v>
      </c>
      <c r="V869" t="str">
        <f t="shared" si="247"/>
        <v>0P0</v>
      </c>
      <c r="W869" t="str">
        <f t="shared" si="248"/>
        <v>0P0</v>
      </c>
      <c r="X869" t="str">
        <f t="shared" si="249"/>
        <v>P0</v>
      </c>
      <c r="Y869" t="str">
        <f t="shared" si="250"/>
        <v>00</v>
      </c>
      <c r="Z869" t="str">
        <f t="shared" si="261"/>
        <v>00</v>
      </c>
      <c r="AA869" t="str">
        <f t="shared" si="251"/>
        <v>00</v>
      </c>
      <c r="AB869" t="str">
        <f t="shared" si="252"/>
        <v>00</v>
      </c>
      <c r="AC869" t="str">
        <f t="shared" si="253"/>
        <v>0P0</v>
      </c>
      <c r="AD869" t="str">
        <f t="shared" si="254"/>
        <v>P00</v>
      </c>
      <c r="AE869" t="str">
        <f t="shared" si="255"/>
        <v>0P0</v>
      </c>
      <c r="AF869" t="str">
        <f t="shared" si="256"/>
        <v>P00</v>
      </c>
      <c r="AG869" t="str">
        <f t="shared" si="262"/>
        <v>0P00</v>
      </c>
      <c r="AH869" t="str">
        <f t="shared" si="263"/>
        <v>P000</v>
      </c>
      <c r="AI869" t="str">
        <f t="shared" si="264"/>
        <v>0P00</v>
      </c>
      <c r="AJ869" t="str">
        <f t="shared" si="265"/>
        <v>P000</v>
      </c>
    </row>
    <row r="870" spans="1:36" x14ac:dyDescent="0.25">
      <c r="A870" s="325" t="str">
        <f>CONCATENATE("P",'906MP'!M570)</f>
        <v>P</v>
      </c>
      <c r="B870">
        <f>'906MP'!H570</f>
        <v>0</v>
      </c>
      <c r="C870">
        <f>'906MP'!J570</f>
        <v>0</v>
      </c>
      <c r="D870">
        <f>'906MP'!P570</f>
        <v>0</v>
      </c>
      <c r="E870">
        <f>'906MP'!X570</f>
        <v>0</v>
      </c>
      <c r="F870" t="str">
        <f t="shared" si="257"/>
        <v>0</v>
      </c>
      <c r="G870" t="str">
        <f t="shared" si="258"/>
        <v>0</v>
      </c>
      <c r="H870">
        <f>'906MP'!Y570</f>
        <v>0</v>
      </c>
      <c r="I870">
        <f>'906MP'!AK570</f>
        <v>0</v>
      </c>
      <c r="J870">
        <f>'906MP'!T570</f>
        <v>0</v>
      </c>
      <c r="K870">
        <f>'906MP'!AJ570</f>
        <v>0</v>
      </c>
      <c r="L870">
        <f>'906MP'!U570</f>
        <v>0</v>
      </c>
      <c r="M870" s="322" t="str">
        <f>IFERROR(VLOOKUP(A870,PAR!$D$3:$E$53,2,FALSE),"nincs szervezet")</f>
        <v>nincs szervezet</v>
      </c>
      <c r="N870" s="322" t="str">
        <f>VLOOKUP(F870,PAR!$R$3:$S$5,2,FALSE)</f>
        <v>3 - egyik sem</v>
      </c>
      <c r="O870" t="str">
        <f>IFERROR(VLOOKUP(J870,PAR!$O$3:$P$5,2,FALSE),"nincs feladat")</f>
        <v>nincs feladat</v>
      </c>
      <c r="P870" t="str">
        <f>IFERROR(VLOOKUP(G870,PAR!$J$2:$M$19,4),"nincs rovat")</f>
        <v>nincs rovat</v>
      </c>
      <c r="Q870" t="str">
        <f>IF(H870&gt;0,VLOOKUP(H870,PAR!$AA$3:$AC$187,3,FALSE),"nincs főkönyvi számla")</f>
        <v>nincs főkönyvi számla</v>
      </c>
      <c r="R870" t="str">
        <f>IFERROR(VLOOKUP(K870,PAR!$V$3:$X$438,3,FALSE),"000000 - Nincs COFOG")</f>
        <v>000000 - Nincs COFOG</v>
      </c>
      <c r="S870">
        <f t="shared" si="259"/>
        <v>0</v>
      </c>
      <c r="T870">
        <f t="shared" si="260"/>
        <v>0</v>
      </c>
      <c r="U870" t="str">
        <f>IF('906MP'!J570&gt;0,CONCATENATE('906MP'!J570," - ",'906MP'!P570,", ",'906MP'!E570),"nincs megjegyzés")</f>
        <v>nincs megjegyzés</v>
      </c>
      <c r="V870" t="str">
        <f t="shared" si="247"/>
        <v>0P0</v>
      </c>
      <c r="W870" t="str">
        <f t="shared" si="248"/>
        <v>0P0</v>
      </c>
      <c r="X870" t="str">
        <f t="shared" si="249"/>
        <v>P0</v>
      </c>
      <c r="Y870" t="str">
        <f t="shared" si="250"/>
        <v>00</v>
      </c>
      <c r="Z870" t="str">
        <f t="shared" si="261"/>
        <v>00</v>
      </c>
      <c r="AA870" t="str">
        <f t="shared" si="251"/>
        <v>00</v>
      </c>
      <c r="AB870" t="str">
        <f t="shared" si="252"/>
        <v>00</v>
      </c>
      <c r="AC870" t="str">
        <f t="shared" si="253"/>
        <v>0P0</v>
      </c>
      <c r="AD870" t="str">
        <f t="shared" si="254"/>
        <v>P00</v>
      </c>
      <c r="AE870" t="str">
        <f t="shared" si="255"/>
        <v>0P0</v>
      </c>
      <c r="AF870" t="str">
        <f t="shared" si="256"/>
        <v>P00</v>
      </c>
      <c r="AG870" t="str">
        <f t="shared" si="262"/>
        <v>0P00</v>
      </c>
      <c r="AH870" t="str">
        <f t="shared" si="263"/>
        <v>P000</v>
      </c>
      <c r="AI870" t="str">
        <f t="shared" si="264"/>
        <v>0P00</v>
      </c>
      <c r="AJ870" t="str">
        <f t="shared" si="265"/>
        <v>P000</v>
      </c>
    </row>
    <row r="871" spans="1:36" x14ac:dyDescent="0.25">
      <c r="A871" s="325" t="str">
        <f>CONCATENATE("P",'906MP'!M571)</f>
        <v>P</v>
      </c>
      <c r="B871">
        <f>'906MP'!H571</f>
        <v>0</v>
      </c>
      <c r="C871">
        <f>'906MP'!J571</f>
        <v>0</v>
      </c>
      <c r="D871">
        <f>'906MP'!P571</f>
        <v>0</v>
      </c>
      <c r="E871">
        <f>'906MP'!X571</f>
        <v>0</v>
      </c>
      <c r="F871" t="str">
        <f t="shared" si="257"/>
        <v>0</v>
      </c>
      <c r="G871" t="str">
        <f t="shared" si="258"/>
        <v>0</v>
      </c>
      <c r="H871">
        <f>'906MP'!Y571</f>
        <v>0</v>
      </c>
      <c r="I871">
        <f>'906MP'!AK571</f>
        <v>0</v>
      </c>
      <c r="J871">
        <f>'906MP'!T571</f>
        <v>0</v>
      </c>
      <c r="K871">
        <f>'906MP'!AJ571</f>
        <v>0</v>
      </c>
      <c r="L871">
        <f>'906MP'!U571</f>
        <v>0</v>
      </c>
      <c r="M871" s="322" t="str">
        <f>IFERROR(VLOOKUP(A871,PAR!$D$3:$E$53,2,FALSE),"nincs szervezet")</f>
        <v>nincs szervezet</v>
      </c>
      <c r="N871" s="322" t="str">
        <f>VLOOKUP(F871,PAR!$R$3:$S$5,2,FALSE)</f>
        <v>3 - egyik sem</v>
      </c>
      <c r="O871" t="str">
        <f>IFERROR(VLOOKUP(J871,PAR!$O$3:$P$5,2,FALSE),"nincs feladat")</f>
        <v>nincs feladat</v>
      </c>
      <c r="P871" t="str">
        <f>IFERROR(VLOOKUP(G871,PAR!$J$2:$M$19,4),"nincs rovat")</f>
        <v>nincs rovat</v>
      </c>
      <c r="Q871" t="str">
        <f>IF(H871&gt;0,VLOOKUP(H871,PAR!$AA$3:$AC$187,3,FALSE),"nincs főkönyvi számla")</f>
        <v>nincs főkönyvi számla</v>
      </c>
      <c r="R871" t="str">
        <f>IFERROR(VLOOKUP(K871,PAR!$V$3:$X$438,3,FALSE),"000000 - Nincs COFOG")</f>
        <v>000000 - Nincs COFOG</v>
      </c>
      <c r="S871">
        <f t="shared" si="259"/>
        <v>0</v>
      </c>
      <c r="T871">
        <f t="shared" si="260"/>
        <v>0</v>
      </c>
      <c r="U871" t="str">
        <f>IF('906MP'!J571&gt;0,CONCATENATE('906MP'!J571," - ",'906MP'!P571,", ",'906MP'!E571),"nincs megjegyzés")</f>
        <v>nincs megjegyzés</v>
      </c>
      <c r="V871" t="str">
        <f t="shared" si="247"/>
        <v>0P0</v>
      </c>
      <c r="W871" t="str">
        <f t="shared" si="248"/>
        <v>0P0</v>
      </c>
      <c r="X871" t="str">
        <f t="shared" si="249"/>
        <v>P0</v>
      </c>
      <c r="Y871" t="str">
        <f t="shared" si="250"/>
        <v>00</v>
      </c>
      <c r="Z871" t="str">
        <f t="shared" si="261"/>
        <v>00</v>
      </c>
      <c r="AA871" t="str">
        <f t="shared" si="251"/>
        <v>00</v>
      </c>
      <c r="AB871" t="str">
        <f t="shared" si="252"/>
        <v>00</v>
      </c>
      <c r="AC871" t="str">
        <f t="shared" si="253"/>
        <v>0P0</v>
      </c>
      <c r="AD871" t="str">
        <f t="shared" si="254"/>
        <v>P00</v>
      </c>
      <c r="AE871" t="str">
        <f t="shared" si="255"/>
        <v>0P0</v>
      </c>
      <c r="AF871" t="str">
        <f t="shared" si="256"/>
        <v>P00</v>
      </c>
      <c r="AG871" t="str">
        <f t="shared" si="262"/>
        <v>0P00</v>
      </c>
      <c r="AH871" t="str">
        <f t="shared" si="263"/>
        <v>P000</v>
      </c>
      <c r="AI871" t="str">
        <f t="shared" si="264"/>
        <v>0P00</v>
      </c>
      <c r="AJ871" t="str">
        <f t="shared" si="265"/>
        <v>P000</v>
      </c>
    </row>
    <row r="872" spans="1:36" x14ac:dyDescent="0.25">
      <c r="A872" s="325" t="str">
        <f>CONCATENATE("P",'906MP'!M572)</f>
        <v>P</v>
      </c>
      <c r="B872">
        <f>'906MP'!H572</f>
        <v>0</v>
      </c>
      <c r="C872">
        <f>'906MP'!J572</f>
        <v>0</v>
      </c>
      <c r="D872">
        <f>'906MP'!P572</f>
        <v>0</v>
      </c>
      <c r="E872">
        <f>'906MP'!X572</f>
        <v>0</v>
      </c>
      <c r="F872" t="str">
        <f t="shared" si="257"/>
        <v>0</v>
      </c>
      <c r="G872" t="str">
        <f t="shared" si="258"/>
        <v>0</v>
      </c>
      <c r="H872">
        <f>'906MP'!Y572</f>
        <v>0</v>
      </c>
      <c r="I872">
        <f>'906MP'!AK572</f>
        <v>0</v>
      </c>
      <c r="J872">
        <f>'906MP'!T572</f>
        <v>0</v>
      </c>
      <c r="K872">
        <f>'906MP'!AJ572</f>
        <v>0</v>
      </c>
      <c r="L872">
        <f>'906MP'!U572</f>
        <v>0</v>
      </c>
      <c r="M872" s="322" t="str">
        <f>IFERROR(VLOOKUP(A872,PAR!$D$3:$E$53,2,FALSE),"nincs szervezet")</f>
        <v>nincs szervezet</v>
      </c>
      <c r="N872" s="322" t="str">
        <f>VLOOKUP(F872,PAR!$R$3:$S$5,2,FALSE)</f>
        <v>3 - egyik sem</v>
      </c>
      <c r="O872" t="str">
        <f>IFERROR(VLOOKUP(J872,PAR!$O$3:$P$5,2,FALSE),"nincs feladat")</f>
        <v>nincs feladat</v>
      </c>
      <c r="P872" t="str">
        <f>IFERROR(VLOOKUP(G872,PAR!$J$2:$M$19,4),"nincs rovat")</f>
        <v>nincs rovat</v>
      </c>
      <c r="Q872" t="str">
        <f>IF(H872&gt;0,VLOOKUP(H872,PAR!$AA$3:$AC$187,3,FALSE),"nincs főkönyvi számla")</f>
        <v>nincs főkönyvi számla</v>
      </c>
      <c r="R872" t="str">
        <f>IFERROR(VLOOKUP(K872,PAR!$V$3:$X$438,3,FALSE),"000000 - Nincs COFOG")</f>
        <v>000000 - Nincs COFOG</v>
      </c>
      <c r="S872">
        <f t="shared" si="259"/>
        <v>0</v>
      </c>
      <c r="T872">
        <f t="shared" si="260"/>
        <v>0</v>
      </c>
      <c r="U872" t="str">
        <f>IF('906MP'!J572&gt;0,CONCATENATE('906MP'!J572," - ",'906MP'!P572,", ",'906MP'!E572),"nincs megjegyzés")</f>
        <v>nincs megjegyzés</v>
      </c>
      <c r="V872" t="str">
        <f t="shared" si="247"/>
        <v>0P0</v>
      </c>
      <c r="W872" t="str">
        <f t="shared" si="248"/>
        <v>0P0</v>
      </c>
      <c r="X872" t="str">
        <f t="shared" si="249"/>
        <v>P0</v>
      </c>
      <c r="Y872" t="str">
        <f t="shared" si="250"/>
        <v>00</v>
      </c>
      <c r="Z872" t="str">
        <f t="shared" si="261"/>
        <v>00</v>
      </c>
      <c r="AA872" t="str">
        <f t="shared" si="251"/>
        <v>00</v>
      </c>
      <c r="AB872" t="str">
        <f t="shared" si="252"/>
        <v>00</v>
      </c>
      <c r="AC872" t="str">
        <f t="shared" si="253"/>
        <v>0P0</v>
      </c>
      <c r="AD872" t="str">
        <f t="shared" si="254"/>
        <v>P00</v>
      </c>
      <c r="AE872" t="str">
        <f t="shared" si="255"/>
        <v>0P0</v>
      </c>
      <c r="AF872" t="str">
        <f t="shared" si="256"/>
        <v>P00</v>
      </c>
      <c r="AG872" t="str">
        <f t="shared" si="262"/>
        <v>0P00</v>
      </c>
      <c r="AH872" t="str">
        <f t="shared" si="263"/>
        <v>P000</v>
      </c>
      <c r="AI872" t="str">
        <f t="shared" si="264"/>
        <v>0P00</v>
      </c>
      <c r="AJ872" t="str">
        <f t="shared" si="265"/>
        <v>P000</v>
      </c>
    </row>
    <row r="873" spans="1:36" x14ac:dyDescent="0.25">
      <c r="A873" s="325" t="str">
        <f>CONCATENATE("P",'906MP'!M573)</f>
        <v>P</v>
      </c>
      <c r="B873">
        <f>'906MP'!H573</f>
        <v>0</v>
      </c>
      <c r="C873">
        <f>'906MP'!J573</f>
        <v>0</v>
      </c>
      <c r="D873">
        <f>'906MP'!P573</f>
        <v>0</v>
      </c>
      <c r="E873">
        <f>'906MP'!X573</f>
        <v>0</v>
      </c>
      <c r="F873" t="str">
        <f t="shared" si="257"/>
        <v>0</v>
      </c>
      <c r="G873" t="str">
        <f t="shared" si="258"/>
        <v>0</v>
      </c>
      <c r="H873">
        <f>'906MP'!Y573</f>
        <v>0</v>
      </c>
      <c r="I873">
        <f>'906MP'!AK573</f>
        <v>0</v>
      </c>
      <c r="J873">
        <f>'906MP'!T573</f>
        <v>0</v>
      </c>
      <c r="K873">
        <f>'906MP'!AJ573</f>
        <v>0</v>
      </c>
      <c r="L873">
        <f>'906MP'!U573</f>
        <v>0</v>
      </c>
      <c r="M873" s="322" t="str">
        <f>IFERROR(VLOOKUP(A873,PAR!$D$3:$E$53,2,FALSE),"nincs szervezet")</f>
        <v>nincs szervezet</v>
      </c>
      <c r="N873" s="322" t="str">
        <f>VLOOKUP(F873,PAR!$R$3:$S$5,2,FALSE)</f>
        <v>3 - egyik sem</v>
      </c>
      <c r="O873" t="str">
        <f>IFERROR(VLOOKUP(J873,PAR!$O$3:$P$5,2,FALSE),"nincs feladat")</f>
        <v>nincs feladat</v>
      </c>
      <c r="P873" t="str">
        <f>IFERROR(VLOOKUP(G873,PAR!$J$2:$M$19,4),"nincs rovat")</f>
        <v>nincs rovat</v>
      </c>
      <c r="Q873" t="str">
        <f>IF(H873&gt;0,VLOOKUP(H873,PAR!$AA$3:$AC$187,3,FALSE),"nincs főkönyvi számla")</f>
        <v>nincs főkönyvi számla</v>
      </c>
      <c r="R873" t="str">
        <f>IFERROR(VLOOKUP(K873,PAR!$V$3:$X$438,3,FALSE),"000000 - Nincs COFOG")</f>
        <v>000000 - Nincs COFOG</v>
      </c>
      <c r="S873">
        <f t="shared" si="259"/>
        <v>0</v>
      </c>
      <c r="T873">
        <f t="shared" si="260"/>
        <v>0</v>
      </c>
      <c r="U873" t="str">
        <f>IF('906MP'!J573&gt;0,CONCATENATE('906MP'!J573," - ",'906MP'!P573,", ",'906MP'!E573),"nincs megjegyzés")</f>
        <v>nincs megjegyzés</v>
      </c>
      <c r="V873" t="str">
        <f t="shared" si="247"/>
        <v>0P0</v>
      </c>
      <c r="W873" t="str">
        <f t="shared" si="248"/>
        <v>0P0</v>
      </c>
      <c r="X873" t="str">
        <f t="shared" si="249"/>
        <v>P0</v>
      </c>
      <c r="Y873" t="str">
        <f t="shared" si="250"/>
        <v>00</v>
      </c>
      <c r="Z873" t="str">
        <f t="shared" si="261"/>
        <v>00</v>
      </c>
      <c r="AA873" t="str">
        <f t="shared" si="251"/>
        <v>00</v>
      </c>
      <c r="AB873" t="str">
        <f t="shared" si="252"/>
        <v>00</v>
      </c>
      <c r="AC873" t="str">
        <f t="shared" si="253"/>
        <v>0P0</v>
      </c>
      <c r="AD873" t="str">
        <f t="shared" si="254"/>
        <v>P00</v>
      </c>
      <c r="AE873" t="str">
        <f t="shared" si="255"/>
        <v>0P0</v>
      </c>
      <c r="AF873" t="str">
        <f t="shared" si="256"/>
        <v>P00</v>
      </c>
      <c r="AG873" t="str">
        <f t="shared" si="262"/>
        <v>0P00</v>
      </c>
      <c r="AH873" t="str">
        <f t="shared" si="263"/>
        <v>P000</v>
      </c>
      <c r="AI873" t="str">
        <f t="shared" si="264"/>
        <v>0P00</v>
      </c>
      <c r="AJ873" t="str">
        <f t="shared" si="265"/>
        <v>P000</v>
      </c>
    </row>
    <row r="874" spans="1:36" x14ac:dyDescent="0.25">
      <c r="A874" s="325" t="str">
        <f>CONCATENATE("P",'906MP'!M574)</f>
        <v>P</v>
      </c>
      <c r="B874">
        <f>'906MP'!H574</f>
        <v>0</v>
      </c>
      <c r="C874">
        <f>'906MP'!J574</f>
        <v>0</v>
      </c>
      <c r="D874">
        <f>'906MP'!P574</f>
        <v>0</v>
      </c>
      <c r="E874">
        <f>'906MP'!X574</f>
        <v>0</v>
      </c>
      <c r="F874" t="str">
        <f t="shared" si="257"/>
        <v>0</v>
      </c>
      <c r="G874" t="str">
        <f t="shared" si="258"/>
        <v>0</v>
      </c>
      <c r="H874">
        <f>'906MP'!Y574</f>
        <v>0</v>
      </c>
      <c r="I874">
        <f>'906MP'!AK574</f>
        <v>0</v>
      </c>
      <c r="J874">
        <f>'906MP'!T574</f>
        <v>0</v>
      </c>
      <c r="K874">
        <f>'906MP'!AJ574</f>
        <v>0</v>
      </c>
      <c r="L874">
        <f>'906MP'!U574</f>
        <v>0</v>
      </c>
      <c r="M874" s="322" t="str">
        <f>IFERROR(VLOOKUP(A874,PAR!$D$3:$E$53,2,FALSE),"nincs szervezet")</f>
        <v>nincs szervezet</v>
      </c>
      <c r="N874" s="322" t="str">
        <f>VLOOKUP(F874,PAR!$R$3:$S$5,2,FALSE)</f>
        <v>3 - egyik sem</v>
      </c>
      <c r="O874" t="str">
        <f>IFERROR(VLOOKUP(J874,PAR!$O$3:$P$5,2,FALSE),"nincs feladat")</f>
        <v>nincs feladat</v>
      </c>
      <c r="P874" t="str">
        <f>IFERROR(VLOOKUP(G874,PAR!$J$2:$M$19,4),"nincs rovat")</f>
        <v>nincs rovat</v>
      </c>
      <c r="Q874" t="str">
        <f>IF(H874&gt;0,VLOOKUP(H874,PAR!$AA$3:$AC$187,3,FALSE),"nincs főkönyvi számla")</f>
        <v>nincs főkönyvi számla</v>
      </c>
      <c r="R874" t="str">
        <f>IFERROR(VLOOKUP(K874,PAR!$V$3:$X$438,3,FALSE),"000000 - Nincs COFOG")</f>
        <v>000000 - Nincs COFOG</v>
      </c>
      <c r="S874">
        <f t="shared" si="259"/>
        <v>0</v>
      </c>
      <c r="T874">
        <f t="shared" si="260"/>
        <v>0</v>
      </c>
      <c r="U874" t="str">
        <f>IF('906MP'!J574&gt;0,CONCATENATE('906MP'!J574," - ",'906MP'!P574,", ",'906MP'!E574),"nincs megjegyzés")</f>
        <v>nincs megjegyzés</v>
      </c>
      <c r="V874" t="str">
        <f t="shared" si="247"/>
        <v>0P0</v>
      </c>
      <c r="W874" t="str">
        <f t="shared" si="248"/>
        <v>0P0</v>
      </c>
      <c r="X874" t="str">
        <f t="shared" si="249"/>
        <v>P0</v>
      </c>
      <c r="Y874" t="str">
        <f t="shared" si="250"/>
        <v>00</v>
      </c>
      <c r="Z874" t="str">
        <f t="shared" si="261"/>
        <v>00</v>
      </c>
      <c r="AA874" t="str">
        <f t="shared" si="251"/>
        <v>00</v>
      </c>
      <c r="AB874" t="str">
        <f t="shared" si="252"/>
        <v>00</v>
      </c>
      <c r="AC874" t="str">
        <f t="shared" si="253"/>
        <v>0P0</v>
      </c>
      <c r="AD874" t="str">
        <f t="shared" si="254"/>
        <v>P00</v>
      </c>
      <c r="AE874" t="str">
        <f t="shared" si="255"/>
        <v>0P0</v>
      </c>
      <c r="AF874" t="str">
        <f t="shared" si="256"/>
        <v>P00</v>
      </c>
      <c r="AG874" t="str">
        <f t="shared" si="262"/>
        <v>0P00</v>
      </c>
      <c r="AH874" t="str">
        <f t="shared" si="263"/>
        <v>P000</v>
      </c>
      <c r="AI874" t="str">
        <f t="shared" si="264"/>
        <v>0P00</v>
      </c>
      <c r="AJ874" t="str">
        <f t="shared" si="265"/>
        <v>P000</v>
      </c>
    </row>
    <row r="875" spans="1:36" x14ac:dyDescent="0.25">
      <c r="A875" s="325" t="str">
        <f>CONCATENATE("P",'906MP'!M575)</f>
        <v>P</v>
      </c>
      <c r="B875">
        <f>'906MP'!H575</f>
        <v>0</v>
      </c>
      <c r="C875">
        <f>'906MP'!J575</f>
        <v>0</v>
      </c>
      <c r="D875">
        <f>'906MP'!P575</f>
        <v>0</v>
      </c>
      <c r="E875">
        <f>'906MP'!X575</f>
        <v>0</v>
      </c>
      <c r="F875" t="str">
        <f t="shared" si="257"/>
        <v>0</v>
      </c>
      <c r="G875" t="str">
        <f t="shared" si="258"/>
        <v>0</v>
      </c>
      <c r="H875">
        <f>'906MP'!Y575</f>
        <v>0</v>
      </c>
      <c r="I875">
        <f>'906MP'!AK575</f>
        <v>0</v>
      </c>
      <c r="J875">
        <f>'906MP'!T575</f>
        <v>0</v>
      </c>
      <c r="K875">
        <f>'906MP'!AJ575</f>
        <v>0</v>
      </c>
      <c r="L875">
        <f>'906MP'!U575</f>
        <v>0</v>
      </c>
      <c r="M875" s="322" t="str">
        <f>IFERROR(VLOOKUP(A875,PAR!$D$3:$E$53,2,FALSE),"nincs szervezet")</f>
        <v>nincs szervezet</v>
      </c>
      <c r="N875" s="322" t="str">
        <f>VLOOKUP(F875,PAR!$R$3:$S$5,2,FALSE)</f>
        <v>3 - egyik sem</v>
      </c>
      <c r="O875" t="str">
        <f>IFERROR(VLOOKUP(J875,PAR!$O$3:$P$5,2,FALSE),"nincs feladat")</f>
        <v>nincs feladat</v>
      </c>
      <c r="P875" t="str">
        <f>IFERROR(VLOOKUP(G875,PAR!$J$2:$M$19,4),"nincs rovat")</f>
        <v>nincs rovat</v>
      </c>
      <c r="Q875" t="str">
        <f>IF(H875&gt;0,VLOOKUP(H875,PAR!$AA$3:$AC$187,3,FALSE),"nincs főkönyvi számla")</f>
        <v>nincs főkönyvi számla</v>
      </c>
      <c r="R875" t="str">
        <f>IFERROR(VLOOKUP(K875,PAR!$V$3:$X$438,3,FALSE),"000000 - Nincs COFOG")</f>
        <v>000000 - Nincs COFOG</v>
      </c>
      <c r="S875">
        <f t="shared" si="259"/>
        <v>0</v>
      </c>
      <c r="T875">
        <f t="shared" si="260"/>
        <v>0</v>
      </c>
      <c r="U875" t="str">
        <f>IF('906MP'!J575&gt;0,CONCATENATE('906MP'!J575," - ",'906MP'!P575,", ",'906MP'!E575),"nincs megjegyzés")</f>
        <v>nincs megjegyzés</v>
      </c>
      <c r="V875" t="str">
        <f t="shared" si="247"/>
        <v>0P0</v>
      </c>
      <c r="W875" t="str">
        <f t="shared" si="248"/>
        <v>0P0</v>
      </c>
      <c r="X875" t="str">
        <f t="shared" si="249"/>
        <v>P0</v>
      </c>
      <c r="Y875" t="str">
        <f t="shared" si="250"/>
        <v>00</v>
      </c>
      <c r="Z875" t="str">
        <f t="shared" si="261"/>
        <v>00</v>
      </c>
      <c r="AA875" t="str">
        <f t="shared" si="251"/>
        <v>00</v>
      </c>
      <c r="AB875" t="str">
        <f t="shared" si="252"/>
        <v>00</v>
      </c>
      <c r="AC875" t="str">
        <f t="shared" si="253"/>
        <v>0P0</v>
      </c>
      <c r="AD875" t="str">
        <f t="shared" si="254"/>
        <v>P00</v>
      </c>
      <c r="AE875" t="str">
        <f t="shared" si="255"/>
        <v>0P0</v>
      </c>
      <c r="AF875" t="str">
        <f t="shared" si="256"/>
        <v>P00</v>
      </c>
      <c r="AG875" t="str">
        <f t="shared" si="262"/>
        <v>0P00</v>
      </c>
      <c r="AH875" t="str">
        <f t="shared" si="263"/>
        <v>P000</v>
      </c>
      <c r="AI875" t="str">
        <f t="shared" si="264"/>
        <v>0P00</v>
      </c>
      <c r="AJ875" t="str">
        <f t="shared" si="265"/>
        <v>P000</v>
      </c>
    </row>
    <row r="876" spans="1:36" x14ac:dyDescent="0.25">
      <c r="A876" s="325" t="str">
        <f>CONCATENATE("P",'906MP'!M576)</f>
        <v>P</v>
      </c>
      <c r="B876">
        <f>'906MP'!H576</f>
        <v>0</v>
      </c>
      <c r="C876">
        <f>'906MP'!J576</f>
        <v>0</v>
      </c>
      <c r="D876">
        <f>'906MP'!P576</f>
        <v>0</v>
      </c>
      <c r="E876">
        <f>'906MP'!X576</f>
        <v>0</v>
      </c>
      <c r="F876" t="str">
        <f t="shared" si="257"/>
        <v>0</v>
      </c>
      <c r="G876" t="str">
        <f t="shared" si="258"/>
        <v>0</v>
      </c>
      <c r="H876">
        <f>'906MP'!Y576</f>
        <v>0</v>
      </c>
      <c r="I876">
        <f>'906MP'!AK576</f>
        <v>0</v>
      </c>
      <c r="J876">
        <f>'906MP'!T576</f>
        <v>0</v>
      </c>
      <c r="K876">
        <f>'906MP'!AJ576</f>
        <v>0</v>
      </c>
      <c r="L876">
        <f>'906MP'!U576</f>
        <v>0</v>
      </c>
      <c r="M876" s="322" t="str">
        <f>IFERROR(VLOOKUP(A876,PAR!$D$3:$E$53,2,FALSE),"nincs szervezet")</f>
        <v>nincs szervezet</v>
      </c>
      <c r="N876" s="322" t="str">
        <f>VLOOKUP(F876,PAR!$R$3:$S$5,2,FALSE)</f>
        <v>3 - egyik sem</v>
      </c>
      <c r="O876" t="str">
        <f>IFERROR(VLOOKUP(J876,PAR!$O$3:$P$5,2,FALSE),"nincs feladat")</f>
        <v>nincs feladat</v>
      </c>
      <c r="P876" t="str">
        <f>IFERROR(VLOOKUP(G876,PAR!$J$2:$M$19,4),"nincs rovat")</f>
        <v>nincs rovat</v>
      </c>
      <c r="Q876" t="str">
        <f>IF(H876&gt;0,VLOOKUP(H876,PAR!$AA$3:$AC$187,3,FALSE),"nincs főkönyvi számla")</f>
        <v>nincs főkönyvi számla</v>
      </c>
      <c r="R876" t="str">
        <f>IFERROR(VLOOKUP(K876,PAR!$V$3:$X$438,3,FALSE),"000000 - Nincs COFOG")</f>
        <v>000000 - Nincs COFOG</v>
      </c>
      <c r="S876">
        <f t="shared" si="259"/>
        <v>0</v>
      </c>
      <c r="T876">
        <f t="shared" si="260"/>
        <v>0</v>
      </c>
      <c r="U876" t="str">
        <f>IF('906MP'!J576&gt;0,CONCATENATE('906MP'!J576," - ",'906MP'!P576,", ",'906MP'!E576),"nincs megjegyzés")</f>
        <v>nincs megjegyzés</v>
      </c>
      <c r="V876" t="str">
        <f t="shared" si="247"/>
        <v>0P0</v>
      </c>
      <c r="W876" t="str">
        <f t="shared" si="248"/>
        <v>0P0</v>
      </c>
      <c r="X876" t="str">
        <f t="shared" si="249"/>
        <v>P0</v>
      </c>
      <c r="Y876" t="str">
        <f t="shared" si="250"/>
        <v>00</v>
      </c>
      <c r="Z876" t="str">
        <f t="shared" si="261"/>
        <v>00</v>
      </c>
      <c r="AA876" t="str">
        <f t="shared" si="251"/>
        <v>00</v>
      </c>
      <c r="AB876" t="str">
        <f t="shared" si="252"/>
        <v>00</v>
      </c>
      <c r="AC876" t="str">
        <f t="shared" si="253"/>
        <v>0P0</v>
      </c>
      <c r="AD876" t="str">
        <f t="shared" si="254"/>
        <v>P00</v>
      </c>
      <c r="AE876" t="str">
        <f t="shared" si="255"/>
        <v>0P0</v>
      </c>
      <c r="AF876" t="str">
        <f t="shared" si="256"/>
        <v>P00</v>
      </c>
      <c r="AG876" t="str">
        <f t="shared" si="262"/>
        <v>0P00</v>
      </c>
      <c r="AH876" t="str">
        <f t="shared" si="263"/>
        <v>P000</v>
      </c>
      <c r="AI876" t="str">
        <f t="shared" si="264"/>
        <v>0P00</v>
      </c>
      <c r="AJ876" t="str">
        <f t="shared" si="265"/>
        <v>P000</v>
      </c>
    </row>
    <row r="877" spans="1:36" x14ac:dyDescent="0.25">
      <c r="A877" s="325" t="str">
        <f>CONCATENATE("P",'906MP'!M577)</f>
        <v>P</v>
      </c>
      <c r="B877">
        <f>'906MP'!H577</f>
        <v>0</v>
      </c>
      <c r="C877">
        <f>'906MP'!J577</f>
        <v>0</v>
      </c>
      <c r="D877">
        <f>'906MP'!P577</f>
        <v>0</v>
      </c>
      <c r="E877">
        <f>'906MP'!X577</f>
        <v>0</v>
      </c>
      <c r="F877" t="str">
        <f t="shared" si="257"/>
        <v>0</v>
      </c>
      <c r="G877" t="str">
        <f t="shared" si="258"/>
        <v>0</v>
      </c>
      <c r="H877">
        <f>'906MP'!Y577</f>
        <v>0</v>
      </c>
      <c r="I877">
        <f>'906MP'!AK577</f>
        <v>0</v>
      </c>
      <c r="J877">
        <f>'906MP'!T577</f>
        <v>0</v>
      </c>
      <c r="K877">
        <f>'906MP'!AJ577</f>
        <v>0</v>
      </c>
      <c r="L877">
        <f>'906MP'!U577</f>
        <v>0</v>
      </c>
      <c r="M877" s="322" t="str">
        <f>IFERROR(VLOOKUP(A877,PAR!$D$3:$E$53,2,FALSE),"nincs szervezet")</f>
        <v>nincs szervezet</v>
      </c>
      <c r="N877" s="322" t="str">
        <f>VLOOKUP(F877,PAR!$R$3:$S$5,2,FALSE)</f>
        <v>3 - egyik sem</v>
      </c>
      <c r="O877" t="str">
        <f>IFERROR(VLOOKUP(J877,PAR!$O$3:$P$5,2,FALSE),"nincs feladat")</f>
        <v>nincs feladat</v>
      </c>
      <c r="P877" t="str">
        <f>IFERROR(VLOOKUP(G877,PAR!$J$2:$M$19,4),"nincs rovat")</f>
        <v>nincs rovat</v>
      </c>
      <c r="Q877" t="str">
        <f>IF(H877&gt;0,VLOOKUP(H877,PAR!$AA$3:$AC$187,3,FALSE),"nincs főkönyvi számla")</f>
        <v>nincs főkönyvi számla</v>
      </c>
      <c r="R877" t="str">
        <f>IFERROR(VLOOKUP(K877,PAR!$V$3:$X$438,3,FALSE),"000000 - Nincs COFOG")</f>
        <v>000000 - Nincs COFOG</v>
      </c>
      <c r="S877">
        <f t="shared" si="259"/>
        <v>0</v>
      </c>
      <c r="T877">
        <f t="shared" si="260"/>
        <v>0</v>
      </c>
      <c r="U877" t="str">
        <f>IF('906MP'!J577&gt;0,CONCATENATE('906MP'!J577," - ",'906MP'!P577,", ",'906MP'!E577),"nincs megjegyzés")</f>
        <v>nincs megjegyzés</v>
      </c>
      <c r="V877" t="str">
        <f t="shared" si="247"/>
        <v>0P0</v>
      </c>
      <c r="W877" t="str">
        <f t="shared" si="248"/>
        <v>0P0</v>
      </c>
      <c r="X877" t="str">
        <f t="shared" si="249"/>
        <v>P0</v>
      </c>
      <c r="Y877" t="str">
        <f t="shared" si="250"/>
        <v>00</v>
      </c>
      <c r="Z877" t="str">
        <f t="shared" si="261"/>
        <v>00</v>
      </c>
      <c r="AA877" t="str">
        <f t="shared" si="251"/>
        <v>00</v>
      </c>
      <c r="AB877" t="str">
        <f t="shared" si="252"/>
        <v>00</v>
      </c>
      <c r="AC877" t="str">
        <f t="shared" si="253"/>
        <v>0P0</v>
      </c>
      <c r="AD877" t="str">
        <f t="shared" si="254"/>
        <v>P00</v>
      </c>
      <c r="AE877" t="str">
        <f t="shared" si="255"/>
        <v>0P0</v>
      </c>
      <c r="AF877" t="str">
        <f t="shared" si="256"/>
        <v>P00</v>
      </c>
      <c r="AG877" t="str">
        <f t="shared" si="262"/>
        <v>0P00</v>
      </c>
      <c r="AH877" t="str">
        <f t="shared" si="263"/>
        <v>P000</v>
      </c>
      <c r="AI877" t="str">
        <f t="shared" si="264"/>
        <v>0P00</v>
      </c>
      <c r="AJ877" t="str">
        <f t="shared" si="265"/>
        <v>P000</v>
      </c>
    </row>
    <row r="878" spans="1:36" x14ac:dyDescent="0.25">
      <c r="A878" s="325" t="str">
        <f>CONCATENATE("P",'906MP'!M578)</f>
        <v>P</v>
      </c>
      <c r="B878">
        <f>'906MP'!H578</f>
        <v>0</v>
      </c>
      <c r="C878">
        <f>'906MP'!J578</f>
        <v>0</v>
      </c>
      <c r="D878">
        <f>'906MP'!P578</f>
        <v>0</v>
      </c>
      <c r="E878">
        <f>'906MP'!X578</f>
        <v>0</v>
      </c>
      <c r="F878" t="str">
        <f t="shared" si="257"/>
        <v>0</v>
      </c>
      <c r="G878" t="str">
        <f t="shared" si="258"/>
        <v>0</v>
      </c>
      <c r="H878">
        <f>'906MP'!Y578</f>
        <v>0</v>
      </c>
      <c r="I878">
        <f>'906MP'!AK578</f>
        <v>0</v>
      </c>
      <c r="J878">
        <f>'906MP'!T578</f>
        <v>0</v>
      </c>
      <c r="K878">
        <f>'906MP'!AJ578</f>
        <v>0</v>
      </c>
      <c r="L878">
        <f>'906MP'!U578</f>
        <v>0</v>
      </c>
      <c r="M878" s="322" t="str">
        <f>IFERROR(VLOOKUP(A878,PAR!$D$3:$E$53,2,FALSE),"nincs szervezet")</f>
        <v>nincs szervezet</v>
      </c>
      <c r="N878" s="322" t="str">
        <f>VLOOKUP(F878,PAR!$R$3:$S$5,2,FALSE)</f>
        <v>3 - egyik sem</v>
      </c>
      <c r="O878" t="str">
        <f>IFERROR(VLOOKUP(J878,PAR!$O$3:$P$5,2,FALSE),"nincs feladat")</f>
        <v>nincs feladat</v>
      </c>
      <c r="P878" t="str">
        <f>IFERROR(VLOOKUP(G878,PAR!$J$2:$M$19,4),"nincs rovat")</f>
        <v>nincs rovat</v>
      </c>
      <c r="Q878" t="str">
        <f>IF(H878&gt;0,VLOOKUP(H878,PAR!$AA$3:$AC$187,3,FALSE),"nincs főkönyvi számla")</f>
        <v>nincs főkönyvi számla</v>
      </c>
      <c r="R878" t="str">
        <f>IFERROR(VLOOKUP(K878,PAR!$V$3:$X$438,3,FALSE),"000000 - Nincs COFOG")</f>
        <v>000000 - Nincs COFOG</v>
      </c>
      <c r="S878">
        <f t="shared" si="259"/>
        <v>0</v>
      </c>
      <c r="T878">
        <f t="shared" si="260"/>
        <v>0</v>
      </c>
      <c r="U878" t="str">
        <f>IF('906MP'!J578&gt;0,CONCATENATE('906MP'!J578," - ",'906MP'!P578,", ",'906MP'!E578),"nincs megjegyzés")</f>
        <v>nincs megjegyzés</v>
      </c>
      <c r="V878" t="str">
        <f t="shared" si="247"/>
        <v>0P0</v>
      </c>
      <c r="W878" t="str">
        <f t="shared" si="248"/>
        <v>0P0</v>
      </c>
      <c r="X878" t="str">
        <f t="shared" si="249"/>
        <v>P0</v>
      </c>
      <c r="Y878" t="str">
        <f t="shared" si="250"/>
        <v>00</v>
      </c>
      <c r="Z878" t="str">
        <f t="shared" si="261"/>
        <v>00</v>
      </c>
      <c r="AA878" t="str">
        <f t="shared" si="251"/>
        <v>00</v>
      </c>
      <c r="AB878" t="str">
        <f t="shared" si="252"/>
        <v>00</v>
      </c>
      <c r="AC878" t="str">
        <f t="shared" si="253"/>
        <v>0P0</v>
      </c>
      <c r="AD878" t="str">
        <f t="shared" si="254"/>
        <v>P00</v>
      </c>
      <c r="AE878" t="str">
        <f t="shared" si="255"/>
        <v>0P0</v>
      </c>
      <c r="AF878" t="str">
        <f t="shared" si="256"/>
        <v>P00</v>
      </c>
      <c r="AG878" t="str">
        <f t="shared" si="262"/>
        <v>0P00</v>
      </c>
      <c r="AH878" t="str">
        <f t="shared" si="263"/>
        <v>P000</v>
      </c>
      <c r="AI878" t="str">
        <f t="shared" si="264"/>
        <v>0P00</v>
      </c>
      <c r="AJ878" t="str">
        <f t="shared" si="265"/>
        <v>P000</v>
      </c>
    </row>
    <row r="879" spans="1:36" x14ac:dyDescent="0.25">
      <c r="A879" s="325" t="str">
        <f>CONCATENATE("P",'906MP'!M579)</f>
        <v>P</v>
      </c>
      <c r="B879">
        <f>'906MP'!H579</f>
        <v>0</v>
      </c>
      <c r="C879">
        <f>'906MP'!J579</f>
        <v>0</v>
      </c>
      <c r="D879">
        <f>'906MP'!P579</f>
        <v>0</v>
      </c>
      <c r="E879">
        <f>'906MP'!X579</f>
        <v>0</v>
      </c>
      <c r="F879" t="str">
        <f t="shared" si="257"/>
        <v>0</v>
      </c>
      <c r="G879" t="str">
        <f t="shared" si="258"/>
        <v>0</v>
      </c>
      <c r="H879">
        <f>'906MP'!Y579</f>
        <v>0</v>
      </c>
      <c r="I879">
        <f>'906MP'!AK579</f>
        <v>0</v>
      </c>
      <c r="J879">
        <f>'906MP'!T579</f>
        <v>0</v>
      </c>
      <c r="K879">
        <f>'906MP'!AJ579</f>
        <v>0</v>
      </c>
      <c r="L879">
        <f>'906MP'!U579</f>
        <v>0</v>
      </c>
      <c r="M879" s="322" t="str">
        <f>IFERROR(VLOOKUP(A879,PAR!$D$3:$E$53,2,FALSE),"nincs szervezet")</f>
        <v>nincs szervezet</v>
      </c>
      <c r="N879" s="322" t="str">
        <f>VLOOKUP(F879,PAR!$R$3:$S$5,2,FALSE)</f>
        <v>3 - egyik sem</v>
      </c>
      <c r="O879" t="str">
        <f>IFERROR(VLOOKUP(J879,PAR!$O$3:$P$5,2,FALSE),"nincs feladat")</f>
        <v>nincs feladat</v>
      </c>
      <c r="P879" t="str">
        <f>IFERROR(VLOOKUP(G879,PAR!$J$2:$M$19,4),"nincs rovat")</f>
        <v>nincs rovat</v>
      </c>
      <c r="Q879" t="str">
        <f>IF(H879&gt;0,VLOOKUP(H879,PAR!$AA$3:$AC$187,3,FALSE),"nincs főkönyvi számla")</f>
        <v>nincs főkönyvi számla</v>
      </c>
      <c r="R879" t="str">
        <f>IFERROR(VLOOKUP(K879,PAR!$V$3:$X$438,3,FALSE),"000000 - Nincs COFOG")</f>
        <v>000000 - Nincs COFOG</v>
      </c>
      <c r="S879">
        <f t="shared" si="259"/>
        <v>0</v>
      </c>
      <c r="T879">
        <f t="shared" si="260"/>
        <v>0</v>
      </c>
      <c r="U879" t="str">
        <f>IF('906MP'!J579&gt;0,CONCATENATE('906MP'!J579," - ",'906MP'!P579,", ",'906MP'!E579),"nincs megjegyzés")</f>
        <v>nincs megjegyzés</v>
      </c>
      <c r="V879" t="str">
        <f t="shared" si="247"/>
        <v>0P0</v>
      </c>
      <c r="W879" t="str">
        <f t="shared" si="248"/>
        <v>0P0</v>
      </c>
      <c r="X879" t="str">
        <f t="shared" si="249"/>
        <v>P0</v>
      </c>
      <c r="Y879" t="str">
        <f t="shared" si="250"/>
        <v>00</v>
      </c>
      <c r="Z879" t="str">
        <f t="shared" si="261"/>
        <v>00</v>
      </c>
      <c r="AA879" t="str">
        <f t="shared" si="251"/>
        <v>00</v>
      </c>
      <c r="AB879" t="str">
        <f t="shared" si="252"/>
        <v>00</v>
      </c>
      <c r="AC879" t="str">
        <f t="shared" si="253"/>
        <v>0P0</v>
      </c>
      <c r="AD879" t="str">
        <f t="shared" si="254"/>
        <v>P00</v>
      </c>
      <c r="AE879" t="str">
        <f t="shared" si="255"/>
        <v>0P0</v>
      </c>
      <c r="AF879" t="str">
        <f t="shared" si="256"/>
        <v>P00</v>
      </c>
      <c r="AG879" t="str">
        <f t="shared" si="262"/>
        <v>0P00</v>
      </c>
      <c r="AH879" t="str">
        <f t="shared" si="263"/>
        <v>P000</v>
      </c>
      <c r="AI879" t="str">
        <f t="shared" si="264"/>
        <v>0P00</v>
      </c>
      <c r="AJ879" t="str">
        <f t="shared" si="265"/>
        <v>P000</v>
      </c>
    </row>
    <row r="880" spans="1:36" x14ac:dyDescent="0.25">
      <c r="A880" s="325" t="str">
        <f>CONCATENATE("P",'906MP'!M580)</f>
        <v>P</v>
      </c>
      <c r="B880">
        <f>'906MP'!H580</f>
        <v>0</v>
      </c>
      <c r="C880">
        <f>'906MP'!J580</f>
        <v>0</v>
      </c>
      <c r="D880">
        <f>'906MP'!P580</f>
        <v>0</v>
      </c>
      <c r="E880">
        <f>'906MP'!X580</f>
        <v>0</v>
      </c>
      <c r="F880" t="str">
        <f t="shared" si="257"/>
        <v>0</v>
      </c>
      <c r="G880" t="str">
        <f t="shared" si="258"/>
        <v>0</v>
      </c>
      <c r="H880">
        <f>'906MP'!Y580</f>
        <v>0</v>
      </c>
      <c r="I880">
        <f>'906MP'!AK580</f>
        <v>0</v>
      </c>
      <c r="J880">
        <f>'906MP'!T580</f>
        <v>0</v>
      </c>
      <c r="K880">
        <f>'906MP'!AJ580</f>
        <v>0</v>
      </c>
      <c r="L880">
        <f>'906MP'!U580</f>
        <v>0</v>
      </c>
      <c r="M880" s="322" t="str">
        <f>IFERROR(VLOOKUP(A880,PAR!$D$3:$E$53,2,FALSE),"nincs szervezet")</f>
        <v>nincs szervezet</v>
      </c>
      <c r="N880" s="322" t="str">
        <f>VLOOKUP(F880,PAR!$R$3:$S$5,2,FALSE)</f>
        <v>3 - egyik sem</v>
      </c>
      <c r="O880" t="str">
        <f>IFERROR(VLOOKUP(J880,PAR!$O$3:$P$5,2,FALSE),"nincs feladat")</f>
        <v>nincs feladat</v>
      </c>
      <c r="P880" t="str">
        <f>IFERROR(VLOOKUP(G880,PAR!$J$2:$M$19,4),"nincs rovat")</f>
        <v>nincs rovat</v>
      </c>
      <c r="Q880" t="str">
        <f>IF(H880&gt;0,VLOOKUP(H880,PAR!$AA$3:$AC$187,3,FALSE),"nincs főkönyvi számla")</f>
        <v>nincs főkönyvi számla</v>
      </c>
      <c r="R880" t="str">
        <f>IFERROR(VLOOKUP(K880,PAR!$V$3:$X$438,3,FALSE),"000000 - Nincs COFOG")</f>
        <v>000000 - Nincs COFOG</v>
      </c>
      <c r="S880">
        <f t="shared" si="259"/>
        <v>0</v>
      </c>
      <c r="T880">
        <f t="shared" si="260"/>
        <v>0</v>
      </c>
      <c r="U880" t="str">
        <f>IF('906MP'!J580&gt;0,CONCATENATE('906MP'!J580," - ",'906MP'!P580,", ",'906MP'!E580),"nincs megjegyzés")</f>
        <v>nincs megjegyzés</v>
      </c>
      <c r="V880" t="str">
        <f t="shared" si="247"/>
        <v>0P0</v>
      </c>
      <c r="W880" t="str">
        <f t="shared" si="248"/>
        <v>0P0</v>
      </c>
      <c r="X880" t="str">
        <f t="shared" si="249"/>
        <v>P0</v>
      </c>
      <c r="Y880" t="str">
        <f t="shared" si="250"/>
        <v>00</v>
      </c>
      <c r="Z880" t="str">
        <f t="shared" si="261"/>
        <v>00</v>
      </c>
      <c r="AA880" t="str">
        <f t="shared" si="251"/>
        <v>00</v>
      </c>
      <c r="AB880" t="str">
        <f t="shared" si="252"/>
        <v>00</v>
      </c>
      <c r="AC880" t="str">
        <f t="shared" si="253"/>
        <v>0P0</v>
      </c>
      <c r="AD880" t="str">
        <f t="shared" si="254"/>
        <v>P00</v>
      </c>
      <c r="AE880" t="str">
        <f t="shared" si="255"/>
        <v>0P0</v>
      </c>
      <c r="AF880" t="str">
        <f t="shared" si="256"/>
        <v>P00</v>
      </c>
      <c r="AG880" t="str">
        <f t="shared" si="262"/>
        <v>0P00</v>
      </c>
      <c r="AH880" t="str">
        <f t="shared" si="263"/>
        <v>P000</v>
      </c>
      <c r="AI880" t="str">
        <f t="shared" si="264"/>
        <v>0P00</v>
      </c>
      <c r="AJ880" t="str">
        <f t="shared" si="265"/>
        <v>P000</v>
      </c>
    </row>
    <row r="881" spans="1:36" x14ac:dyDescent="0.25">
      <c r="A881" s="325" t="str">
        <f>CONCATENATE("P",'906MP'!M581)</f>
        <v>P</v>
      </c>
      <c r="B881">
        <f>'906MP'!H581</f>
        <v>0</v>
      </c>
      <c r="C881">
        <f>'906MP'!J581</f>
        <v>0</v>
      </c>
      <c r="D881">
        <f>'906MP'!P581</f>
        <v>0</v>
      </c>
      <c r="E881">
        <f>'906MP'!X581</f>
        <v>0</v>
      </c>
      <c r="F881" t="str">
        <f t="shared" si="257"/>
        <v>0</v>
      </c>
      <c r="G881" t="str">
        <f t="shared" si="258"/>
        <v>0</v>
      </c>
      <c r="H881">
        <f>'906MP'!Y581</f>
        <v>0</v>
      </c>
      <c r="I881">
        <f>'906MP'!AK581</f>
        <v>0</v>
      </c>
      <c r="J881">
        <f>'906MP'!T581</f>
        <v>0</v>
      </c>
      <c r="K881">
        <f>'906MP'!AJ581</f>
        <v>0</v>
      </c>
      <c r="L881">
        <f>'906MP'!U581</f>
        <v>0</v>
      </c>
      <c r="M881" s="322" t="str">
        <f>IFERROR(VLOOKUP(A881,PAR!$D$3:$E$53,2,FALSE),"nincs szervezet")</f>
        <v>nincs szervezet</v>
      </c>
      <c r="N881" s="322" t="str">
        <f>VLOOKUP(F881,PAR!$R$3:$S$5,2,FALSE)</f>
        <v>3 - egyik sem</v>
      </c>
      <c r="O881" t="str">
        <f>IFERROR(VLOOKUP(J881,PAR!$O$3:$P$5,2,FALSE),"nincs feladat")</f>
        <v>nincs feladat</v>
      </c>
      <c r="P881" t="str">
        <f>IFERROR(VLOOKUP(G881,PAR!$J$2:$M$19,4),"nincs rovat")</f>
        <v>nincs rovat</v>
      </c>
      <c r="Q881" t="str">
        <f>IF(H881&gt;0,VLOOKUP(H881,PAR!$AA$3:$AC$187,3,FALSE),"nincs főkönyvi számla")</f>
        <v>nincs főkönyvi számla</v>
      </c>
      <c r="R881" t="str">
        <f>IFERROR(VLOOKUP(K881,PAR!$V$3:$X$438,3,FALSE),"000000 - Nincs COFOG")</f>
        <v>000000 - Nincs COFOG</v>
      </c>
      <c r="S881">
        <f t="shared" si="259"/>
        <v>0</v>
      </c>
      <c r="T881">
        <f t="shared" si="260"/>
        <v>0</v>
      </c>
      <c r="U881" t="str">
        <f>IF('906MP'!J581&gt;0,CONCATENATE('906MP'!J581," - ",'906MP'!P581,", ",'906MP'!E581),"nincs megjegyzés")</f>
        <v>nincs megjegyzés</v>
      </c>
      <c r="V881" t="str">
        <f t="shared" si="247"/>
        <v>0P0</v>
      </c>
      <c r="W881" t="str">
        <f t="shared" si="248"/>
        <v>0P0</v>
      </c>
      <c r="X881" t="str">
        <f t="shared" si="249"/>
        <v>P0</v>
      </c>
      <c r="Y881" t="str">
        <f t="shared" si="250"/>
        <v>00</v>
      </c>
      <c r="Z881" t="str">
        <f t="shared" si="261"/>
        <v>00</v>
      </c>
      <c r="AA881" t="str">
        <f t="shared" si="251"/>
        <v>00</v>
      </c>
      <c r="AB881" t="str">
        <f t="shared" si="252"/>
        <v>00</v>
      </c>
      <c r="AC881" t="str">
        <f t="shared" si="253"/>
        <v>0P0</v>
      </c>
      <c r="AD881" t="str">
        <f t="shared" si="254"/>
        <v>P00</v>
      </c>
      <c r="AE881" t="str">
        <f t="shared" si="255"/>
        <v>0P0</v>
      </c>
      <c r="AF881" t="str">
        <f t="shared" si="256"/>
        <v>P00</v>
      </c>
      <c r="AG881" t="str">
        <f t="shared" si="262"/>
        <v>0P00</v>
      </c>
      <c r="AH881" t="str">
        <f t="shared" si="263"/>
        <v>P000</v>
      </c>
      <c r="AI881" t="str">
        <f t="shared" si="264"/>
        <v>0P00</v>
      </c>
      <c r="AJ881" t="str">
        <f t="shared" si="265"/>
        <v>P000</v>
      </c>
    </row>
    <row r="882" spans="1:36" x14ac:dyDescent="0.25">
      <c r="A882" s="325" t="str">
        <f>CONCATENATE("P",'906MP'!M582)</f>
        <v>P</v>
      </c>
      <c r="B882">
        <f>'906MP'!H582</f>
        <v>0</v>
      </c>
      <c r="C882">
        <f>'906MP'!J582</f>
        <v>0</v>
      </c>
      <c r="D882">
        <f>'906MP'!P582</f>
        <v>0</v>
      </c>
      <c r="E882">
        <f>'906MP'!X582</f>
        <v>0</v>
      </c>
      <c r="F882" t="str">
        <f t="shared" si="257"/>
        <v>0</v>
      </c>
      <c r="G882" t="str">
        <f t="shared" si="258"/>
        <v>0</v>
      </c>
      <c r="H882">
        <f>'906MP'!Y582</f>
        <v>0</v>
      </c>
      <c r="I882">
        <f>'906MP'!AK582</f>
        <v>0</v>
      </c>
      <c r="J882">
        <f>'906MP'!T582</f>
        <v>0</v>
      </c>
      <c r="K882">
        <f>'906MP'!AJ582</f>
        <v>0</v>
      </c>
      <c r="L882">
        <f>'906MP'!U582</f>
        <v>0</v>
      </c>
      <c r="M882" s="322" t="str">
        <f>IFERROR(VLOOKUP(A882,PAR!$D$3:$E$53,2,FALSE),"nincs szervezet")</f>
        <v>nincs szervezet</v>
      </c>
      <c r="N882" s="322" t="str">
        <f>VLOOKUP(F882,PAR!$R$3:$S$5,2,FALSE)</f>
        <v>3 - egyik sem</v>
      </c>
      <c r="O882" t="str">
        <f>IFERROR(VLOOKUP(J882,PAR!$O$3:$P$5,2,FALSE),"nincs feladat")</f>
        <v>nincs feladat</v>
      </c>
      <c r="P882" t="str">
        <f>IFERROR(VLOOKUP(G882,PAR!$J$2:$M$19,4),"nincs rovat")</f>
        <v>nincs rovat</v>
      </c>
      <c r="Q882" t="str">
        <f>IF(H882&gt;0,VLOOKUP(H882,PAR!$AA$3:$AC$187,3,FALSE),"nincs főkönyvi számla")</f>
        <v>nincs főkönyvi számla</v>
      </c>
      <c r="R882" t="str">
        <f>IFERROR(VLOOKUP(K882,PAR!$V$3:$X$438,3,FALSE),"000000 - Nincs COFOG")</f>
        <v>000000 - Nincs COFOG</v>
      </c>
      <c r="S882">
        <f t="shared" si="259"/>
        <v>0</v>
      </c>
      <c r="T882">
        <f t="shared" si="260"/>
        <v>0</v>
      </c>
      <c r="U882" t="str">
        <f>IF('906MP'!J582&gt;0,CONCATENATE('906MP'!J582," - ",'906MP'!P582,", ",'906MP'!E582),"nincs megjegyzés")</f>
        <v>nincs megjegyzés</v>
      </c>
      <c r="V882" t="str">
        <f t="shared" si="247"/>
        <v>0P0</v>
      </c>
      <c r="W882" t="str">
        <f t="shared" si="248"/>
        <v>0P0</v>
      </c>
      <c r="X882" t="str">
        <f t="shared" si="249"/>
        <v>P0</v>
      </c>
      <c r="Y882" t="str">
        <f t="shared" si="250"/>
        <v>00</v>
      </c>
      <c r="Z882" t="str">
        <f t="shared" si="261"/>
        <v>00</v>
      </c>
      <c r="AA882" t="str">
        <f t="shared" si="251"/>
        <v>00</v>
      </c>
      <c r="AB882" t="str">
        <f t="shared" si="252"/>
        <v>00</v>
      </c>
      <c r="AC882" t="str">
        <f t="shared" si="253"/>
        <v>0P0</v>
      </c>
      <c r="AD882" t="str">
        <f t="shared" si="254"/>
        <v>P00</v>
      </c>
      <c r="AE882" t="str">
        <f t="shared" si="255"/>
        <v>0P0</v>
      </c>
      <c r="AF882" t="str">
        <f t="shared" si="256"/>
        <v>P00</v>
      </c>
      <c r="AG882" t="str">
        <f t="shared" si="262"/>
        <v>0P00</v>
      </c>
      <c r="AH882" t="str">
        <f t="shared" si="263"/>
        <v>P000</v>
      </c>
      <c r="AI882" t="str">
        <f t="shared" si="264"/>
        <v>0P00</v>
      </c>
      <c r="AJ882" t="str">
        <f t="shared" si="265"/>
        <v>P000</v>
      </c>
    </row>
    <row r="883" spans="1:36" x14ac:dyDescent="0.25">
      <c r="A883" s="325" t="str">
        <f>CONCATENATE("P",'906MP'!M583)</f>
        <v>P</v>
      </c>
      <c r="B883">
        <f>'906MP'!H583</f>
        <v>0</v>
      </c>
      <c r="C883">
        <f>'906MP'!J583</f>
        <v>0</v>
      </c>
      <c r="D883">
        <f>'906MP'!P583</f>
        <v>0</v>
      </c>
      <c r="E883">
        <f>'906MP'!X583</f>
        <v>0</v>
      </c>
      <c r="F883" t="str">
        <f t="shared" si="257"/>
        <v>0</v>
      </c>
      <c r="G883" t="str">
        <f t="shared" si="258"/>
        <v>0</v>
      </c>
      <c r="H883">
        <f>'906MP'!Y583</f>
        <v>0</v>
      </c>
      <c r="I883">
        <f>'906MP'!AK583</f>
        <v>0</v>
      </c>
      <c r="J883">
        <f>'906MP'!T583</f>
        <v>0</v>
      </c>
      <c r="K883">
        <f>'906MP'!AJ583</f>
        <v>0</v>
      </c>
      <c r="L883">
        <f>'906MP'!U583</f>
        <v>0</v>
      </c>
      <c r="M883" s="322" t="str">
        <f>IFERROR(VLOOKUP(A883,PAR!$D$3:$E$53,2,FALSE),"nincs szervezet")</f>
        <v>nincs szervezet</v>
      </c>
      <c r="N883" s="322" t="str">
        <f>VLOOKUP(F883,PAR!$R$3:$S$5,2,FALSE)</f>
        <v>3 - egyik sem</v>
      </c>
      <c r="O883" t="str">
        <f>IFERROR(VLOOKUP(J883,PAR!$O$3:$P$5,2,FALSE),"nincs feladat")</f>
        <v>nincs feladat</v>
      </c>
      <c r="P883" t="str">
        <f>IFERROR(VLOOKUP(G883,PAR!$J$2:$M$19,4),"nincs rovat")</f>
        <v>nincs rovat</v>
      </c>
      <c r="Q883" t="str">
        <f>IF(H883&gt;0,VLOOKUP(H883,PAR!$AA$3:$AC$187,3,FALSE),"nincs főkönyvi számla")</f>
        <v>nincs főkönyvi számla</v>
      </c>
      <c r="R883" t="str">
        <f>IFERROR(VLOOKUP(K883,PAR!$V$3:$X$438,3,FALSE),"000000 - Nincs COFOG")</f>
        <v>000000 - Nincs COFOG</v>
      </c>
      <c r="S883">
        <f t="shared" si="259"/>
        <v>0</v>
      </c>
      <c r="T883">
        <f t="shared" si="260"/>
        <v>0</v>
      </c>
      <c r="U883" t="str">
        <f>IF('906MP'!J583&gt;0,CONCATENATE('906MP'!J583," - ",'906MP'!P583,", ",'906MP'!E583),"nincs megjegyzés")</f>
        <v>nincs megjegyzés</v>
      </c>
      <c r="V883" t="str">
        <f t="shared" si="247"/>
        <v>0P0</v>
      </c>
      <c r="W883" t="str">
        <f t="shared" si="248"/>
        <v>0P0</v>
      </c>
      <c r="X883" t="str">
        <f t="shared" si="249"/>
        <v>P0</v>
      </c>
      <c r="Y883" t="str">
        <f t="shared" si="250"/>
        <v>00</v>
      </c>
      <c r="Z883" t="str">
        <f t="shared" si="261"/>
        <v>00</v>
      </c>
      <c r="AA883" t="str">
        <f t="shared" si="251"/>
        <v>00</v>
      </c>
      <c r="AB883" t="str">
        <f t="shared" si="252"/>
        <v>00</v>
      </c>
      <c r="AC883" t="str">
        <f t="shared" si="253"/>
        <v>0P0</v>
      </c>
      <c r="AD883" t="str">
        <f t="shared" si="254"/>
        <v>P00</v>
      </c>
      <c r="AE883" t="str">
        <f t="shared" si="255"/>
        <v>0P0</v>
      </c>
      <c r="AF883" t="str">
        <f t="shared" si="256"/>
        <v>P00</v>
      </c>
      <c r="AG883" t="str">
        <f t="shared" si="262"/>
        <v>0P00</v>
      </c>
      <c r="AH883" t="str">
        <f t="shared" si="263"/>
        <v>P000</v>
      </c>
      <c r="AI883" t="str">
        <f t="shared" si="264"/>
        <v>0P00</v>
      </c>
      <c r="AJ883" t="str">
        <f t="shared" si="265"/>
        <v>P000</v>
      </c>
    </row>
    <row r="884" spans="1:36" x14ac:dyDescent="0.25">
      <c r="A884" s="325" t="str">
        <f>CONCATENATE("P",'906MP'!M584)</f>
        <v>P</v>
      </c>
      <c r="B884">
        <f>'906MP'!H584</f>
        <v>0</v>
      </c>
      <c r="C884">
        <f>'906MP'!J584</f>
        <v>0</v>
      </c>
      <c r="D884">
        <f>'906MP'!P584</f>
        <v>0</v>
      </c>
      <c r="E884">
        <f>'906MP'!X584</f>
        <v>0</v>
      </c>
      <c r="F884" t="str">
        <f t="shared" si="257"/>
        <v>0</v>
      </c>
      <c r="G884" t="str">
        <f t="shared" si="258"/>
        <v>0</v>
      </c>
      <c r="H884">
        <f>'906MP'!Y584</f>
        <v>0</v>
      </c>
      <c r="I884">
        <f>'906MP'!AK584</f>
        <v>0</v>
      </c>
      <c r="J884">
        <f>'906MP'!T584</f>
        <v>0</v>
      </c>
      <c r="K884">
        <f>'906MP'!AJ584</f>
        <v>0</v>
      </c>
      <c r="L884">
        <f>'906MP'!U584</f>
        <v>0</v>
      </c>
      <c r="M884" s="322" t="str">
        <f>IFERROR(VLOOKUP(A884,PAR!$D$3:$E$53,2,FALSE),"nincs szervezet")</f>
        <v>nincs szervezet</v>
      </c>
      <c r="N884" s="322" t="str">
        <f>VLOOKUP(F884,PAR!$R$3:$S$5,2,FALSE)</f>
        <v>3 - egyik sem</v>
      </c>
      <c r="O884" t="str">
        <f>IFERROR(VLOOKUP(J884,PAR!$O$3:$P$5,2,FALSE),"nincs feladat")</f>
        <v>nincs feladat</v>
      </c>
      <c r="P884" t="str">
        <f>IFERROR(VLOOKUP(G884,PAR!$J$2:$M$19,4),"nincs rovat")</f>
        <v>nincs rovat</v>
      </c>
      <c r="Q884" t="str">
        <f>IF(H884&gt;0,VLOOKUP(H884,PAR!$AA$3:$AC$187,3,FALSE),"nincs főkönyvi számla")</f>
        <v>nincs főkönyvi számla</v>
      </c>
      <c r="R884" t="str">
        <f>IFERROR(VLOOKUP(K884,PAR!$V$3:$X$438,3,FALSE),"000000 - Nincs COFOG")</f>
        <v>000000 - Nincs COFOG</v>
      </c>
      <c r="S884">
        <f t="shared" si="259"/>
        <v>0</v>
      </c>
      <c r="T884">
        <f t="shared" si="260"/>
        <v>0</v>
      </c>
      <c r="U884" t="str">
        <f>IF('906MP'!J584&gt;0,CONCATENATE('906MP'!J584," - ",'906MP'!P584,", ",'906MP'!E584),"nincs megjegyzés")</f>
        <v>nincs megjegyzés</v>
      </c>
      <c r="V884" t="str">
        <f t="shared" si="247"/>
        <v>0P0</v>
      </c>
      <c r="W884" t="str">
        <f t="shared" si="248"/>
        <v>0P0</v>
      </c>
      <c r="X884" t="str">
        <f t="shared" si="249"/>
        <v>P0</v>
      </c>
      <c r="Y884" t="str">
        <f t="shared" si="250"/>
        <v>00</v>
      </c>
      <c r="Z884" t="str">
        <f t="shared" si="261"/>
        <v>00</v>
      </c>
      <c r="AA884" t="str">
        <f t="shared" si="251"/>
        <v>00</v>
      </c>
      <c r="AB884" t="str">
        <f t="shared" si="252"/>
        <v>00</v>
      </c>
      <c r="AC884" t="str">
        <f t="shared" si="253"/>
        <v>0P0</v>
      </c>
      <c r="AD884" t="str">
        <f t="shared" si="254"/>
        <v>P00</v>
      </c>
      <c r="AE884" t="str">
        <f t="shared" si="255"/>
        <v>0P0</v>
      </c>
      <c r="AF884" t="str">
        <f t="shared" si="256"/>
        <v>P00</v>
      </c>
      <c r="AG884" t="str">
        <f t="shared" si="262"/>
        <v>0P00</v>
      </c>
      <c r="AH884" t="str">
        <f t="shared" si="263"/>
        <v>P000</v>
      </c>
      <c r="AI884" t="str">
        <f t="shared" si="264"/>
        <v>0P00</v>
      </c>
      <c r="AJ884" t="str">
        <f t="shared" si="265"/>
        <v>P000</v>
      </c>
    </row>
    <row r="885" spans="1:36" x14ac:dyDescent="0.25">
      <c r="A885" s="325" t="str">
        <f>CONCATENATE("P",'906MP'!M585)</f>
        <v>P</v>
      </c>
      <c r="B885">
        <f>'906MP'!H585</f>
        <v>0</v>
      </c>
      <c r="C885">
        <f>'906MP'!J585</f>
        <v>0</v>
      </c>
      <c r="D885">
        <f>'906MP'!P585</f>
        <v>0</v>
      </c>
      <c r="E885">
        <f>'906MP'!X585</f>
        <v>0</v>
      </c>
      <c r="F885" t="str">
        <f t="shared" si="257"/>
        <v>0</v>
      </c>
      <c r="G885" t="str">
        <f t="shared" si="258"/>
        <v>0</v>
      </c>
      <c r="H885">
        <f>'906MP'!Y585</f>
        <v>0</v>
      </c>
      <c r="I885">
        <f>'906MP'!AK585</f>
        <v>0</v>
      </c>
      <c r="J885">
        <f>'906MP'!T585</f>
        <v>0</v>
      </c>
      <c r="K885">
        <f>'906MP'!AJ585</f>
        <v>0</v>
      </c>
      <c r="L885">
        <f>'906MP'!U585</f>
        <v>0</v>
      </c>
      <c r="M885" s="322" t="str">
        <f>IFERROR(VLOOKUP(A885,PAR!$D$3:$E$53,2,FALSE),"nincs szervezet")</f>
        <v>nincs szervezet</v>
      </c>
      <c r="N885" s="322" t="str">
        <f>VLOOKUP(F885,PAR!$R$3:$S$5,2,FALSE)</f>
        <v>3 - egyik sem</v>
      </c>
      <c r="O885" t="str">
        <f>IFERROR(VLOOKUP(J885,PAR!$O$3:$P$5,2,FALSE),"nincs feladat")</f>
        <v>nincs feladat</v>
      </c>
      <c r="P885" t="str">
        <f>IFERROR(VLOOKUP(G885,PAR!$J$2:$M$19,4),"nincs rovat")</f>
        <v>nincs rovat</v>
      </c>
      <c r="Q885" t="str">
        <f>IF(H885&gt;0,VLOOKUP(H885,PAR!$AA$3:$AC$187,3,FALSE),"nincs főkönyvi számla")</f>
        <v>nincs főkönyvi számla</v>
      </c>
      <c r="R885" t="str">
        <f>IFERROR(VLOOKUP(K885,PAR!$V$3:$X$438,3,FALSE),"000000 - Nincs COFOG")</f>
        <v>000000 - Nincs COFOG</v>
      </c>
      <c r="S885">
        <f t="shared" si="259"/>
        <v>0</v>
      </c>
      <c r="T885">
        <f t="shared" si="260"/>
        <v>0</v>
      </c>
      <c r="U885" t="str">
        <f>IF('906MP'!J585&gt;0,CONCATENATE('906MP'!J585," - ",'906MP'!P585,", ",'906MP'!E585),"nincs megjegyzés")</f>
        <v>nincs megjegyzés</v>
      </c>
      <c r="V885" t="str">
        <f t="shared" si="247"/>
        <v>0P0</v>
      </c>
      <c r="W885" t="str">
        <f t="shared" si="248"/>
        <v>0P0</v>
      </c>
      <c r="X885" t="str">
        <f t="shared" si="249"/>
        <v>P0</v>
      </c>
      <c r="Y885" t="str">
        <f t="shared" si="250"/>
        <v>00</v>
      </c>
      <c r="Z885" t="str">
        <f t="shared" si="261"/>
        <v>00</v>
      </c>
      <c r="AA885" t="str">
        <f t="shared" si="251"/>
        <v>00</v>
      </c>
      <c r="AB885" t="str">
        <f t="shared" si="252"/>
        <v>00</v>
      </c>
      <c r="AC885" t="str">
        <f t="shared" si="253"/>
        <v>0P0</v>
      </c>
      <c r="AD885" t="str">
        <f t="shared" si="254"/>
        <v>P00</v>
      </c>
      <c r="AE885" t="str">
        <f t="shared" si="255"/>
        <v>0P0</v>
      </c>
      <c r="AF885" t="str">
        <f t="shared" si="256"/>
        <v>P00</v>
      </c>
      <c r="AG885" t="str">
        <f t="shared" si="262"/>
        <v>0P00</v>
      </c>
      <c r="AH885" t="str">
        <f t="shared" si="263"/>
        <v>P000</v>
      </c>
      <c r="AI885" t="str">
        <f t="shared" si="264"/>
        <v>0P00</v>
      </c>
      <c r="AJ885" t="str">
        <f t="shared" si="265"/>
        <v>P000</v>
      </c>
    </row>
    <row r="886" spans="1:36" x14ac:dyDescent="0.25">
      <c r="A886" s="325" t="str">
        <f>CONCATENATE("P",'906MP'!M586)</f>
        <v>P</v>
      </c>
      <c r="B886">
        <f>'906MP'!H586</f>
        <v>0</v>
      </c>
      <c r="C886">
        <f>'906MP'!J586</f>
        <v>0</v>
      </c>
      <c r="D886">
        <f>'906MP'!P586</f>
        <v>0</v>
      </c>
      <c r="E886">
        <f>'906MP'!X586</f>
        <v>0</v>
      </c>
      <c r="F886" t="str">
        <f t="shared" si="257"/>
        <v>0</v>
      </c>
      <c r="G886" t="str">
        <f t="shared" si="258"/>
        <v>0</v>
      </c>
      <c r="H886">
        <f>'906MP'!Y586</f>
        <v>0</v>
      </c>
      <c r="I886">
        <f>'906MP'!AK586</f>
        <v>0</v>
      </c>
      <c r="J886">
        <f>'906MP'!T586</f>
        <v>0</v>
      </c>
      <c r="K886">
        <f>'906MP'!AJ586</f>
        <v>0</v>
      </c>
      <c r="L886">
        <f>'906MP'!U586</f>
        <v>0</v>
      </c>
      <c r="M886" s="322" t="str">
        <f>IFERROR(VLOOKUP(A886,PAR!$D$3:$E$53,2,FALSE),"nincs szervezet")</f>
        <v>nincs szervezet</v>
      </c>
      <c r="N886" s="322" t="str">
        <f>VLOOKUP(F886,PAR!$R$3:$S$5,2,FALSE)</f>
        <v>3 - egyik sem</v>
      </c>
      <c r="O886" t="str">
        <f>IFERROR(VLOOKUP(J886,PAR!$O$3:$P$5,2,FALSE),"nincs feladat")</f>
        <v>nincs feladat</v>
      </c>
      <c r="P886" t="str">
        <f>IFERROR(VLOOKUP(G886,PAR!$J$2:$M$19,4),"nincs rovat")</f>
        <v>nincs rovat</v>
      </c>
      <c r="Q886" t="str">
        <f>IF(H886&gt;0,VLOOKUP(H886,PAR!$AA$3:$AC$187,3,FALSE),"nincs főkönyvi számla")</f>
        <v>nincs főkönyvi számla</v>
      </c>
      <c r="R886" t="str">
        <f>IFERROR(VLOOKUP(K886,PAR!$V$3:$X$438,3,FALSE),"000000 - Nincs COFOG")</f>
        <v>000000 - Nincs COFOG</v>
      </c>
      <c r="S886">
        <f t="shared" si="259"/>
        <v>0</v>
      </c>
      <c r="T886">
        <f t="shared" si="260"/>
        <v>0</v>
      </c>
      <c r="U886" t="str">
        <f>IF('906MP'!J586&gt;0,CONCATENATE('906MP'!J586," - ",'906MP'!P586,", ",'906MP'!E586),"nincs megjegyzés")</f>
        <v>nincs megjegyzés</v>
      </c>
      <c r="V886" t="str">
        <f t="shared" si="247"/>
        <v>0P0</v>
      </c>
      <c r="W886" t="str">
        <f t="shared" si="248"/>
        <v>0P0</v>
      </c>
      <c r="X886" t="str">
        <f t="shared" si="249"/>
        <v>P0</v>
      </c>
      <c r="Y886" t="str">
        <f t="shared" si="250"/>
        <v>00</v>
      </c>
      <c r="Z886" t="str">
        <f t="shared" si="261"/>
        <v>00</v>
      </c>
      <c r="AA886" t="str">
        <f t="shared" si="251"/>
        <v>00</v>
      </c>
      <c r="AB886" t="str">
        <f t="shared" si="252"/>
        <v>00</v>
      </c>
      <c r="AC886" t="str">
        <f t="shared" si="253"/>
        <v>0P0</v>
      </c>
      <c r="AD886" t="str">
        <f t="shared" si="254"/>
        <v>P00</v>
      </c>
      <c r="AE886" t="str">
        <f t="shared" si="255"/>
        <v>0P0</v>
      </c>
      <c r="AF886" t="str">
        <f t="shared" si="256"/>
        <v>P00</v>
      </c>
      <c r="AG886" t="str">
        <f t="shared" si="262"/>
        <v>0P00</v>
      </c>
      <c r="AH886" t="str">
        <f t="shared" si="263"/>
        <v>P000</v>
      </c>
      <c r="AI886" t="str">
        <f t="shared" si="264"/>
        <v>0P00</v>
      </c>
      <c r="AJ886" t="str">
        <f t="shared" si="265"/>
        <v>P000</v>
      </c>
    </row>
    <row r="887" spans="1:36" x14ac:dyDescent="0.25">
      <c r="A887" s="325" t="str">
        <f>CONCATENATE("P",'906MP'!M587)</f>
        <v>P</v>
      </c>
      <c r="B887">
        <f>'906MP'!H587</f>
        <v>0</v>
      </c>
      <c r="C887">
        <f>'906MP'!J587</f>
        <v>0</v>
      </c>
      <c r="D887">
        <f>'906MP'!P587</f>
        <v>0</v>
      </c>
      <c r="E887">
        <f>'906MP'!X587</f>
        <v>0</v>
      </c>
      <c r="F887" t="str">
        <f t="shared" si="257"/>
        <v>0</v>
      </c>
      <c r="G887" t="str">
        <f t="shared" si="258"/>
        <v>0</v>
      </c>
      <c r="H887">
        <f>'906MP'!Y587</f>
        <v>0</v>
      </c>
      <c r="I887">
        <f>'906MP'!AK587</f>
        <v>0</v>
      </c>
      <c r="J887">
        <f>'906MP'!T587</f>
        <v>0</v>
      </c>
      <c r="K887">
        <f>'906MP'!AJ587</f>
        <v>0</v>
      </c>
      <c r="L887">
        <f>'906MP'!U587</f>
        <v>0</v>
      </c>
      <c r="M887" s="322" t="str">
        <f>IFERROR(VLOOKUP(A887,PAR!$D$3:$E$53,2,FALSE),"nincs szervezet")</f>
        <v>nincs szervezet</v>
      </c>
      <c r="N887" s="322" t="str">
        <f>VLOOKUP(F887,PAR!$R$3:$S$5,2,FALSE)</f>
        <v>3 - egyik sem</v>
      </c>
      <c r="O887" t="str">
        <f>IFERROR(VLOOKUP(J887,PAR!$O$3:$P$5,2,FALSE),"nincs feladat")</f>
        <v>nincs feladat</v>
      </c>
      <c r="P887" t="str">
        <f>IFERROR(VLOOKUP(G887,PAR!$J$2:$M$19,4),"nincs rovat")</f>
        <v>nincs rovat</v>
      </c>
      <c r="Q887" t="str">
        <f>IF(H887&gt;0,VLOOKUP(H887,PAR!$AA$3:$AC$187,3,FALSE),"nincs főkönyvi számla")</f>
        <v>nincs főkönyvi számla</v>
      </c>
      <c r="R887" t="str">
        <f>IFERROR(VLOOKUP(K887,PAR!$V$3:$X$438,3,FALSE),"000000 - Nincs COFOG")</f>
        <v>000000 - Nincs COFOG</v>
      </c>
      <c r="S887">
        <f t="shared" si="259"/>
        <v>0</v>
      </c>
      <c r="T887">
        <f t="shared" si="260"/>
        <v>0</v>
      </c>
      <c r="U887" t="str">
        <f>IF('906MP'!J587&gt;0,CONCATENATE('906MP'!J587," - ",'906MP'!P587,", ",'906MP'!E587),"nincs megjegyzés")</f>
        <v>nincs megjegyzés</v>
      </c>
      <c r="V887" t="str">
        <f t="shared" si="247"/>
        <v>0P0</v>
      </c>
      <c r="W887" t="str">
        <f t="shared" si="248"/>
        <v>0P0</v>
      </c>
      <c r="X887" t="str">
        <f t="shared" si="249"/>
        <v>P0</v>
      </c>
      <c r="Y887" t="str">
        <f t="shared" si="250"/>
        <v>00</v>
      </c>
      <c r="Z887" t="str">
        <f t="shared" si="261"/>
        <v>00</v>
      </c>
      <c r="AA887" t="str">
        <f t="shared" si="251"/>
        <v>00</v>
      </c>
      <c r="AB887" t="str">
        <f t="shared" si="252"/>
        <v>00</v>
      </c>
      <c r="AC887" t="str">
        <f t="shared" si="253"/>
        <v>0P0</v>
      </c>
      <c r="AD887" t="str">
        <f t="shared" si="254"/>
        <v>P00</v>
      </c>
      <c r="AE887" t="str">
        <f t="shared" si="255"/>
        <v>0P0</v>
      </c>
      <c r="AF887" t="str">
        <f t="shared" si="256"/>
        <v>P00</v>
      </c>
      <c r="AG887" t="str">
        <f t="shared" si="262"/>
        <v>0P00</v>
      </c>
      <c r="AH887" t="str">
        <f t="shared" si="263"/>
        <v>P000</v>
      </c>
      <c r="AI887" t="str">
        <f t="shared" si="264"/>
        <v>0P00</v>
      </c>
      <c r="AJ887" t="str">
        <f t="shared" si="265"/>
        <v>P000</v>
      </c>
    </row>
    <row r="888" spans="1:36" x14ac:dyDescent="0.25">
      <c r="A888" s="325" t="str">
        <f>CONCATENATE("P",'906MP'!M588)</f>
        <v>P</v>
      </c>
      <c r="B888">
        <f>'906MP'!H588</f>
        <v>0</v>
      </c>
      <c r="C888">
        <f>'906MP'!J588</f>
        <v>0</v>
      </c>
      <c r="D888">
        <f>'906MP'!P588</f>
        <v>0</v>
      </c>
      <c r="E888">
        <f>'906MP'!X588</f>
        <v>0</v>
      </c>
      <c r="F888" t="str">
        <f t="shared" si="257"/>
        <v>0</v>
      </c>
      <c r="G888" t="str">
        <f t="shared" si="258"/>
        <v>0</v>
      </c>
      <c r="H888">
        <f>'906MP'!Y588</f>
        <v>0</v>
      </c>
      <c r="I888">
        <f>'906MP'!AK588</f>
        <v>0</v>
      </c>
      <c r="J888">
        <f>'906MP'!T588</f>
        <v>0</v>
      </c>
      <c r="K888">
        <f>'906MP'!AJ588</f>
        <v>0</v>
      </c>
      <c r="L888">
        <f>'906MP'!U588</f>
        <v>0</v>
      </c>
      <c r="M888" s="322" t="str">
        <f>IFERROR(VLOOKUP(A888,PAR!$D$3:$E$53,2,FALSE),"nincs szervezet")</f>
        <v>nincs szervezet</v>
      </c>
      <c r="N888" s="322" t="str">
        <f>VLOOKUP(F888,PAR!$R$3:$S$5,2,FALSE)</f>
        <v>3 - egyik sem</v>
      </c>
      <c r="O888" t="str">
        <f>IFERROR(VLOOKUP(J888,PAR!$O$3:$P$5,2,FALSE),"nincs feladat")</f>
        <v>nincs feladat</v>
      </c>
      <c r="P888" t="str">
        <f>IFERROR(VLOOKUP(G888,PAR!$J$2:$M$19,4),"nincs rovat")</f>
        <v>nincs rovat</v>
      </c>
      <c r="Q888" t="str">
        <f>IF(H888&gt;0,VLOOKUP(H888,PAR!$AA$3:$AC$187,3,FALSE),"nincs főkönyvi számla")</f>
        <v>nincs főkönyvi számla</v>
      </c>
      <c r="R888" t="str">
        <f>IFERROR(VLOOKUP(K888,PAR!$V$3:$X$438,3,FALSE),"000000 - Nincs COFOG")</f>
        <v>000000 - Nincs COFOG</v>
      </c>
      <c r="S888">
        <f t="shared" si="259"/>
        <v>0</v>
      </c>
      <c r="T888">
        <f t="shared" si="260"/>
        <v>0</v>
      </c>
      <c r="U888" t="str">
        <f>IF('906MP'!J588&gt;0,CONCATENATE('906MP'!J588," - ",'906MP'!P588,", ",'906MP'!E588),"nincs megjegyzés")</f>
        <v>nincs megjegyzés</v>
      </c>
      <c r="V888" t="str">
        <f t="shared" si="247"/>
        <v>0P0</v>
      </c>
      <c r="W888" t="str">
        <f t="shared" si="248"/>
        <v>0P0</v>
      </c>
      <c r="X888" t="str">
        <f t="shared" si="249"/>
        <v>P0</v>
      </c>
      <c r="Y888" t="str">
        <f t="shared" si="250"/>
        <v>00</v>
      </c>
      <c r="Z888" t="str">
        <f t="shared" si="261"/>
        <v>00</v>
      </c>
      <c r="AA888" t="str">
        <f t="shared" si="251"/>
        <v>00</v>
      </c>
      <c r="AB888" t="str">
        <f t="shared" si="252"/>
        <v>00</v>
      </c>
      <c r="AC888" t="str">
        <f t="shared" si="253"/>
        <v>0P0</v>
      </c>
      <c r="AD888" t="str">
        <f t="shared" si="254"/>
        <v>P00</v>
      </c>
      <c r="AE888" t="str">
        <f t="shared" si="255"/>
        <v>0P0</v>
      </c>
      <c r="AF888" t="str">
        <f t="shared" si="256"/>
        <v>P00</v>
      </c>
      <c r="AG888" t="str">
        <f t="shared" si="262"/>
        <v>0P00</v>
      </c>
      <c r="AH888" t="str">
        <f t="shared" si="263"/>
        <v>P000</v>
      </c>
      <c r="AI888" t="str">
        <f t="shared" si="264"/>
        <v>0P00</v>
      </c>
      <c r="AJ888" t="str">
        <f t="shared" si="265"/>
        <v>P000</v>
      </c>
    </row>
    <row r="889" spans="1:36" x14ac:dyDescent="0.25">
      <c r="A889" s="325" t="str">
        <f>CONCATENATE("P",'906MP'!M589)</f>
        <v>P</v>
      </c>
      <c r="B889">
        <f>'906MP'!H589</f>
        <v>0</v>
      </c>
      <c r="C889">
        <f>'906MP'!J589</f>
        <v>0</v>
      </c>
      <c r="D889">
        <f>'906MP'!P589</f>
        <v>0</v>
      </c>
      <c r="E889">
        <f>'906MP'!X589</f>
        <v>0</v>
      </c>
      <c r="F889" t="str">
        <f t="shared" si="257"/>
        <v>0</v>
      </c>
      <c r="G889" t="str">
        <f t="shared" si="258"/>
        <v>0</v>
      </c>
      <c r="H889">
        <f>'906MP'!Y589</f>
        <v>0</v>
      </c>
      <c r="I889">
        <f>'906MP'!AK589</f>
        <v>0</v>
      </c>
      <c r="J889">
        <f>'906MP'!T589</f>
        <v>0</v>
      </c>
      <c r="K889">
        <f>'906MP'!AJ589</f>
        <v>0</v>
      </c>
      <c r="L889">
        <f>'906MP'!U589</f>
        <v>0</v>
      </c>
      <c r="M889" s="322" t="str">
        <f>IFERROR(VLOOKUP(A889,PAR!$D$3:$E$53,2,FALSE),"nincs szervezet")</f>
        <v>nincs szervezet</v>
      </c>
      <c r="N889" s="322" t="str">
        <f>VLOOKUP(F889,PAR!$R$3:$S$5,2,FALSE)</f>
        <v>3 - egyik sem</v>
      </c>
      <c r="O889" t="str">
        <f>IFERROR(VLOOKUP(J889,PAR!$O$3:$P$5,2,FALSE),"nincs feladat")</f>
        <v>nincs feladat</v>
      </c>
      <c r="P889" t="str">
        <f>IFERROR(VLOOKUP(G889,PAR!$J$2:$M$19,4),"nincs rovat")</f>
        <v>nincs rovat</v>
      </c>
      <c r="Q889" t="str">
        <f>IF(H889&gt;0,VLOOKUP(H889,PAR!$AA$3:$AC$187,3,FALSE),"nincs főkönyvi számla")</f>
        <v>nincs főkönyvi számla</v>
      </c>
      <c r="R889" t="str">
        <f>IFERROR(VLOOKUP(K889,PAR!$V$3:$X$438,3,FALSE),"000000 - Nincs COFOG")</f>
        <v>000000 - Nincs COFOG</v>
      </c>
      <c r="S889">
        <f t="shared" si="259"/>
        <v>0</v>
      </c>
      <c r="T889">
        <f t="shared" si="260"/>
        <v>0</v>
      </c>
      <c r="U889" t="str">
        <f>IF('906MP'!J589&gt;0,CONCATENATE('906MP'!J589," - ",'906MP'!P589,", ",'906MP'!E589),"nincs megjegyzés")</f>
        <v>nincs megjegyzés</v>
      </c>
      <c r="V889" t="str">
        <f t="shared" si="247"/>
        <v>0P0</v>
      </c>
      <c r="W889" t="str">
        <f t="shared" si="248"/>
        <v>0P0</v>
      </c>
      <c r="X889" t="str">
        <f t="shared" si="249"/>
        <v>P0</v>
      </c>
      <c r="Y889" t="str">
        <f t="shared" si="250"/>
        <v>00</v>
      </c>
      <c r="Z889" t="str">
        <f t="shared" si="261"/>
        <v>00</v>
      </c>
      <c r="AA889" t="str">
        <f t="shared" si="251"/>
        <v>00</v>
      </c>
      <c r="AB889" t="str">
        <f t="shared" si="252"/>
        <v>00</v>
      </c>
      <c r="AC889" t="str">
        <f t="shared" si="253"/>
        <v>0P0</v>
      </c>
      <c r="AD889" t="str">
        <f t="shared" si="254"/>
        <v>P00</v>
      </c>
      <c r="AE889" t="str">
        <f t="shared" si="255"/>
        <v>0P0</v>
      </c>
      <c r="AF889" t="str">
        <f t="shared" si="256"/>
        <v>P00</v>
      </c>
      <c r="AG889" t="str">
        <f t="shared" si="262"/>
        <v>0P00</v>
      </c>
      <c r="AH889" t="str">
        <f t="shared" si="263"/>
        <v>P000</v>
      </c>
      <c r="AI889" t="str">
        <f t="shared" si="264"/>
        <v>0P00</v>
      </c>
      <c r="AJ889" t="str">
        <f t="shared" si="265"/>
        <v>P000</v>
      </c>
    </row>
    <row r="890" spans="1:36" x14ac:dyDescent="0.25">
      <c r="A890" s="325" t="str">
        <f>CONCATENATE("P",'906MP'!M590)</f>
        <v>P</v>
      </c>
      <c r="B890">
        <f>'906MP'!H590</f>
        <v>0</v>
      </c>
      <c r="C890">
        <f>'906MP'!J590</f>
        <v>0</v>
      </c>
      <c r="D890">
        <f>'906MP'!P590</f>
        <v>0</v>
      </c>
      <c r="E890">
        <f>'906MP'!X590</f>
        <v>0</v>
      </c>
      <c r="F890" t="str">
        <f t="shared" si="257"/>
        <v>0</v>
      </c>
      <c r="G890" t="str">
        <f t="shared" si="258"/>
        <v>0</v>
      </c>
      <c r="H890">
        <f>'906MP'!Y590</f>
        <v>0</v>
      </c>
      <c r="I890">
        <f>'906MP'!AK590</f>
        <v>0</v>
      </c>
      <c r="J890">
        <f>'906MP'!T590</f>
        <v>0</v>
      </c>
      <c r="K890">
        <f>'906MP'!AJ590</f>
        <v>0</v>
      </c>
      <c r="L890">
        <f>'906MP'!U590</f>
        <v>0</v>
      </c>
      <c r="M890" s="322" t="str">
        <f>IFERROR(VLOOKUP(A890,PAR!$D$3:$E$53,2,FALSE),"nincs szervezet")</f>
        <v>nincs szervezet</v>
      </c>
      <c r="N890" s="322" t="str">
        <f>VLOOKUP(F890,PAR!$R$3:$S$5,2,FALSE)</f>
        <v>3 - egyik sem</v>
      </c>
      <c r="O890" t="str">
        <f>IFERROR(VLOOKUP(J890,PAR!$O$3:$P$5,2,FALSE),"nincs feladat")</f>
        <v>nincs feladat</v>
      </c>
      <c r="P890" t="str">
        <f>IFERROR(VLOOKUP(G890,PAR!$J$2:$M$19,4),"nincs rovat")</f>
        <v>nincs rovat</v>
      </c>
      <c r="Q890" t="str">
        <f>IF(H890&gt;0,VLOOKUP(H890,PAR!$AA$3:$AC$187,3,FALSE),"nincs főkönyvi számla")</f>
        <v>nincs főkönyvi számla</v>
      </c>
      <c r="R890" t="str">
        <f>IFERROR(VLOOKUP(K890,PAR!$V$3:$X$438,3,FALSE),"000000 - Nincs COFOG")</f>
        <v>000000 - Nincs COFOG</v>
      </c>
      <c r="S890">
        <f t="shared" si="259"/>
        <v>0</v>
      </c>
      <c r="T890">
        <f t="shared" si="260"/>
        <v>0</v>
      </c>
      <c r="U890" t="str">
        <f>IF('906MP'!J590&gt;0,CONCATENATE('906MP'!J590," - ",'906MP'!P590,", ",'906MP'!E590),"nincs megjegyzés")</f>
        <v>nincs megjegyzés</v>
      </c>
      <c r="V890" t="str">
        <f t="shared" si="247"/>
        <v>0P0</v>
      </c>
      <c r="W890" t="str">
        <f t="shared" si="248"/>
        <v>0P0</v>
      </c>
      <c r="X890" t="str">
        <f t="shared" si="249"/>
        <v>P0</v>
      </c>
      <c r="Y890" t="str">
        <f t="shared" si="250"/>
        <v>00</v>
      </c>
      <c r="Z890" t="str">
        <f t="shared" si="261"/>
        <v>00</v>
      </c>
      <c r="AA890" t="str">
        <f t="shared" si="251"/>
        <v>00</v>
      </c>
      <c r="AB890" t="str">
        <f t="shared" si="252"/>
        <v>00</v>
      </c>
      <c r="AC890" t="str">
        <f t="shared" si="253"/>
        <v>0P0</v>
      </c>
      <c r="AD890" t="str">
        <f t="shared" si="254"/>
        <v>P00</v>
      </c>
      <c r="AE890" t="str">
        <f t="shared" si="255"/>
        <v>0P0</v>
      </c>
      <c r="AF890" t="str">
        <f t="shared" si="256"/>
        <v>P00</v>
      </c>
      <c r="AG890" t="str">
        <f t="shared" si="262"/>
        <v>0P00</v>
      </c>
      <c r="AH890" t="str">
        <f t="shared" si="263"/>
        <v>P000</v>
      </c>
      <c r="AI890" t="str">
        <f t="shared" si="264"/>
        <v>0P00</v>
      </c>
      <c r="AJ890" t="str">
        <f t="shared" si="265"/>
        <v>P000</v>
      </c>
    </row>
    <row r="891" spans="1:36" x14ac:dyDescent="0.25">
      <c r="A891" s="325" t="str">
        <f>CONCATENATE("P",'906MP'!M591)</f>
        <v>P</v>
      </c>
      <c r="B891">
        <f>'906MP'!H591</f>
        <v>0</v>
      </c>
      <c r="C891">
        <f>'906MP'!J591</f>
        <v>0</v>
      </c>
      <c r="D891">
        <f>'906MP'!P591</f>
        <v>0</v>
      </c>
      <c r="E891">
        <f>'906MP'!X591</f>
        <v>0</v>
      </c>
      <c r="F891" t="str">
        <f t="shared" si="257"/>
        <v>0</v>
      </c>
      <c r="G891" t="str">
        <f t="shared" si="258"/>
        <v>0</v>
      </c>
      <c r="H891">
        <f>'906MP'!Y591</f>
        <v>0</v>
      </c>
      <c r="I891">
        <f>'906MP'!AK591</f>
        <v>0</v>
      </c>
      <c r="J891">
        <f>'906MP'!T591</f>
        <v>0</v>
      </c>
      <c r="K891">
        <f>'906MP'!AJ591</f>
        <v>0</v>
      </c>
      <c r="L891">
        <f>'906MP'!U591</f>
        <v>0</v>
      </c>
      <c r="M891" s="322" t="str">
        <f>IFERROR(VLOOKUP(A891,PAR!$D$3:$E$53,2,FALSE),"nincs szervezet")</f>
        <v>nincs szervezet</v>
      </c>
      <c r="N891" s="322" t="str">
        <f>VLOOKUP(F891,PAR!$R$3:$S$5,2,FALSE)</f>
        <v>3 - egyik sem</v>
      </c>
      <c r="O891" t="str">
        <f>IFERROR(VLOOKUP(J891,PAR!$O$3:$P$5,2,FALSE),"nincs feladat")</f>
        <v>nincs feladat</v>
      </c>
      <c r="P891" t="str">
        <f>IFERROR(VLOOKUP(G891,PAR!$J$2:$M$19,4),"nincs rovat")</f>
        <v>nincs rovat</v>
      </c>
      <c r="Q891" t="str">
        <f>IF(H891&gt;0,VLOOKUP(H891,PAR!$AA$3:$AC$187,3,FALSE),"nincs főkönyvi számla")</f>
        <v>nincs főkönyvi számla</v>
      </c>
      <c r="R891" t="str">
        <f>IFERROR(VLOOKUP(K891,PAR!$V$3:$X$438,3,FALSE),"000000 - Nincs COFOG")</f>
        <v>000000 - Nincs COFOG</v>
      </c>
      <c r="S891">
        <f t="shared" si="259"/>
        <v>0</v>
      </c>
      <c r="T891">
        <f t="shared" si="260"/>
        <v>0</v>
      </c>
      <c r="U891" t="str">
        <f>IF('906MP'!J591&gt;0,CONCATENATE('906MP'!J591," - ",'906MP'!P591,", ",'906MP'!E591),"nincs megjegyzés")</f>
        <v>nincs megjegyzés</v>
      </c>
      <c r="V891" t="str">
        <f t="shared" si="247"/>
        <v>0P0</v>
      </c>
      <c r="W891" t="str">
        <f t="shared" si="248"/>
        <v>0P0</v>
      </c>
      <c r="X891" t="str">
        <f t="shared" si="249"/>
        <v>P0</v>
      </c>
      <c r="Y891" t="str">
        <f t="shared" si="250"/>
        <v>00</v>
      </c>
      <c r="Z891" t="str">
        <f t="shared" si="261"/>
        <v>00</v>
      </c>
      <c r="AA891" t="str">
        <f t="shared" si="251"/>
        <v>00</v>
      </c>
      <c r="AB891" t="str">
        <f t="shared" si="252"/>
        <v>00</v>
      </c>
      <c r="AC891" t="str">
        <f t="shared" si="253"/>
        <v>0P0</v>
      </c>
      <c r="AD891" t="str">
        <f t="shared" si="254"/>
        <v>P00</v>
      </c>
      <c r="AE891" t="str">
        <f t="shared" si="255"/>
        <v>0P0</v>
      </c>
      <c r="AF891" t="str">
        <f t="shared" si="256"/>
        <v>P00</v>
      </c>
      <c r="AG891" t="str">
        <f t="shared" si="262"/>
        <v>0P00</v>
      </c>
      <c r="AH891" t="str">
        <f t="shared" si="263"/>
        <v>P000</v>
      </c>
      <c r="AI891" t="str">
        <f t="shared" si="264"/>
        <v>0P00</v>
      </c>
      <c r="AJ891" t="str">
        <f t="shared" si="265"/>
        <v>P000</v>
      </c>
    </row>
    <row r="892" spans="1:36" x14ac:dyDescent="0.25">
      <c r="A892" s="325" t="str">
        <f>CONCATENATE("P",'906MP'!M592)</f>
        <v>P</v>
      </c>
      <c r="B892">
        <f>'906MP'!H592</f>
        <v>0</v>
      </c>
      <c r="C892">
        <f>'906MP'!J592</f>
        <v>0</v>
      </c>
      <c r="D892">
        <f>'906MP'!P592</f>
        <v>0</v>
      </c>
      <c r="E892">
        <f>'906MP'!X592</f>
        <v>0</v>
      </c>
      <c r="F892" t="str">
        <f t="shared" si="257"/>
        <v>0</v>
      </c>
      <c r="G892" t="str">
        <f t="shared" si="258"/>
        <v>0</v>
      </c>
      <c r="H892">
        <f>'906MP'!Y592</f>
        <v>0</v>
      </c>
      <c r="I892">
        <f>'906MP'!AK592</f>
        <v>0</v>
      </c>
      <c r="J892">
        <f>'906MP'!T592</f>
        <v>0</v>
      </c>
      <c r="K892">
        <f>'906MP'!AJ592</f>
        <v>0</v>
      </c>
      <c r="L892">
        <f>'906MP'!U592</f>
        <v>0</v>
      </c>
      <c r="M892" s="322" t="str">
        <f>IFERROR(VLOOKUP(A892,PAR!$D$3:$E$53,2,FALSE),"nincs szervezet")</f>
        <v>nincs szervezet</v>
      </c>
      <c r="N892" s="322" t="str">
        <f>VLOOKUP(F892,PAR!$R$3:$S$5,2,FALSE)</f>
        <v>3 - egyik sem</v>
      </c>
      <c r="O892" t="str">
        <f>IFERROR(VLOOKUP(J892,PAR!$O$3:$P$5,2,FALSE),"nincs feladat")</f>
        <v>nincs feladat</v>
      </c>
      <c r="P892" t="str">
        <f>IFERROR(VLOOKUP(G892,PAR!$J$2:$M$19,4),"nincs rovat")</f>
        <v>nincs rovat</v>
      </c>
      <c r="Q892" t="str">
        <f>IF(H892&gt;0,VLOOKUP(H892,PAR!$AA$3:$AC$187,3,FALSE),"nincs főkönyvi számla")</f>
        <v>nincs főkönyvi számla</v>
      </c>
      <c r="R892" t="str">
        <f>IFERROR(VLOOKUP(K892,PAR!$V$3:$X$438,3,FALSE),"000000 - Nincs COFOG")</f>
        <v>000000 - Nincs COFOG</v>
      </c>
      <c r="S892">
        <f t="shared" si="259"/>
        <v>0</v>
      </c>
      <c r="T892">
        <f t="shared" si="260"/>
        <v>0</v>
      </c>
      <c r="U892" t="str">
        <f>IF('906MP'!J592&gt;0,CONCATENATE('906MP'!J592," - ",'906MP'!P592,", ",'906MP'!E592),"nincs megjegyzés")</f>
        <v>nincs megjegyzés</v>
      </c>
      <c r="V892" t="str">
        <f t="shared" si="247"/>
        <v>0P0</v>
      </c>
      <c r="W892" t="str">
        <f t="shared" si="248"/>
        <v>0P0</v>
      </c>
      <c r="X892" t="str">
        <f t="shared" si="249"/>
        <v>P0</v>
      </c>
      <c r="Y892" t="str">
        <f t="shared" si="250"/>
        <v>00</v>
      </c>
      <c r="Z892" t="str">
        <f t="shared" si="261"/>
        <v>00</v>
      </c>
      <c r="AA892" t="str">
        <f t="shared" si="251"/>
        <v>00</v>
      </c>
      <c r="AB892" t="str">
        <f t="shared" si="252"/>
        <v>00</v>
      </c>
      <c r="AC892" t="str">
        <f t="shared" si="253"/>
        <v>0P0</v>
      </c>
      <c r="AD892" t="str">
        <f t="shared" si="254"/>
        <v>P00</v>
      </c>
      <c r="AE892" t="str">
        <f t="shared" si="255"/>
        <v>0P0</v>
      </c>
      <c r="AF892" t="str">
        <f t="shared" si="256"/>
        <v>P00</v>
      </c>
      <c r="AG892" t="str">
        <f t="shared" si="262"/>
        <v>0P00</v>
      </c>
      <c r="AH892" t="str">
        <f t="shared" si="263"/>
        <v>P000</v>
      </c>
      <c r="AI892" t="str">
        <f t="shared" si="264"/>
        <v>0P00</v>
      </c>
      <c r="AJ892" t="str">
        <f t="shared" si="265"/>
        <v>P000</v>
      </c>
    </row>
    <row r="893" spans="1:36" x14ac:dyDescent="0.25">
      <c r="A893" s="325" t="str">
        <f>CONCATENATE("P",'906MP'!M593)</f>
        <v>P</v>
      </c>
      <c r="B893">
        <f>'906MP'!H593</f>
        <v>0</v>
      </c>
      <c r="C893">
        <f>'906MP'!J593</f>
        <v>0</v>
      </c>
      <c r="D893">
        <f>'906MP'!P593</f>
        <v>0</v>
      </c>
      <c r="E893">
        <f>'906MP'!X593</f>
        <v>0</v>
      </c>
      <c r="F893" t="str">
        <f t="shared" si="257"/>
        <v>0</v>
      </c>
      <c r="G893" t="str">
        <f t="shared" si="258"/>
        <v>0</v>
      </c>
      <c r="H893">
        <f>'906MP'!Y593</f>
        <v>0</v>
      </c>
      <c r="I893">
        <f>'906MP'!AK593</f>
        <v>0</v>
      </c>
      <c r="J893">
        <f>'906MP'!T593</f>
        <v>0</v>
      </c>
      <c r="K893">
        <f>'906MP'!AJ593</f>
        <v>0</v>
      </c>
      <c r="L893">
        <f>'906MP'!U593</f>
        <v>0</v>
      </c>
      <c r="M893" s="322" t="str">
        <f>IFERROR(VLOOKUP(A893,PAR!$D$3:$E$53,2,FALSE),"nincs szervezet")</f>
        <v>nincs szervezet</v>
      </c>
      <c r="N893" s="322" t="str">
        <f>VLOOKUP(F893,PAR!$R$3:$S$5,2,FALSE)</f>
        <v>3 - egyik sem</v>
      </c>
      <c r="O893" t="str">
        <f>IFERROR(VLOOKUP(J893,PAR!$O$3:$P$5,2,FALSE),"nincs feladat")</f>
        <v>nincs feladat</v>
      </c>
      <c r="P893" t="str">
        <f>IFERROR(VLOOKUP(G893,PAR!$J$2:$M$19,4),"nincs rovat")</f>
        <v>nincs rovat</v>
      </c>
      <c r="Q893" t="str">
        <f>IF(H893&gt;0,VLOOKUP(H893,PAR!$AA$3:$AC$187,3,FALSE),"nincs főkönyvi számla")</f>
        <v>nincs főkönyvi számla</v>
      </c>
      <c r="R893" t="str">
        <f>IFERROR(VLOOKUP(K893,PAR!$V$3:$X$438,3,FALSE),"000000 - Nincs COFOG")</f>
        <v>000000 - Nincs COFOG</v>
      </c>
      <c r="S893">
        <f t="shared" si="259"/>
        <v>0</v>
      </c>
      <c r="T893">
        <f t="shared" si="260"/>
        <v>0</v>
      </c>
      <c r="U893" t="str">
        <f>IF('906MP'!J593&gt;0,CONCATENATE('906MP'!J593," - ",'906MP'!P593,", ",'906MP'!E593),"nincs megjegyzés")</f>
        <v>nincs megjegyzés</v>
      </c>
      <c r="V893" t="str">
        <f t="shared" si="247"/>
        <v>0P0</v>
      </c>
      <c r="W893" t="str">
        <f t="shared" si="248"/>
        <v>0P0</v>
      </c>
      <c r="X893" t="str">
        <f t="shared" si="249"/>
        <v>P0</v>
      </c>
      <c r="Y893" t="str">
        <f t="shared" si="250"/>
        <v>00</v>
      </c>
      <c r="Z893" t="str">
        <f t="shared" si="261"/>
        <v>00</v>
      </c>
      <c r="AA893" t="str">
        <f t="shared" si="251"/>
        <v>00</v>
      </c>
      <c r="AB893" t="str">
        <f t="shared" si="252"/>
        <v>00</v>
      </c>
      <c r="AC893" t="str">
        <f t="shared" si="253"/>
        <v>0P0</v>
      </c>
      <c r="AD893" t="str">
        <f t="shared" si="254"/>
        <v>P00</v>
      </c>
      <c r="AE893" t="str">
        <f t="shared" si="255"/>
        <v>0P0</v>
      </c>
      <c r="AF893" t="str">
        <f t="shared" si="256"/>
        <v>P00</v>
      </c>
      <c r="AG893" t="str">
        <f t="shared" si="262"/>
        <v>0P00</v>
      </c>
      <c r="AH893" t="str">
        <f t="shared" si="263"/>
        <v>P000</v>
      </c>
      <c r="AI893" t="str">
        <f t="shared" si="264"/>
        <v>0P00</v>
      </c>
      <c r="AJ893" t="str">
        <f t="shared" si="265"/>
        <v>P000</v>
      </c>
    </row>
    <row r="894" spans="1:36" x14ac:dyDescent="0.25">
      <c r="A894" s="325" t="str">
        <f>CONCATENATE("P",'906MP'!M594)</f>
        <v>P</v>
      </c>
      <c r="B894">
        <f>'906MP'!H594</f>
        <v>0</v>
      </c>
      <c r="C894">
        <f>'906MP'!J594</f>
        <v>0</v>
      </c>
      <c r="D894">
        <f>'906MP'!P594</f>
        <v>0</v>
      </c>
      <c r="E894">
        <f>'906MP'!X594</f>
        <v>0</v>
      </c>
      <c r="F894" t="str">
        <f t="shared" si="257"/>
        <v>0</v>
      </c>
      <c r="G894" t="str">
        <f t="shared" si="258"/>
        <v>0</v>
      </c>
      <c r="H894">
        <f>'906MP'!Y594</f>
        <v>0</v>
      </c>
      <c r="I894">
        <f>'906MP'!AK594</f>
        <v>0</v>
      </c>
      <c r="J894">
        <f>'906MP'!T594</f>
        <v>0</v>
      </c>
      <c r="K894">
        <f>'906MP'!AJ594</f>
        <v>0</v>
      </c>
      <c r="L894">
        <f>'906MP'!U594</f>
        <v>0</v>
      </c>
      <c r="M894" s="322" t="str">
        <f>IFERROR(VLOOKUP(A894,PAR!$D$3:$E$53,2,FALSE),"nincs szervezet")</f>
        <v>nincs szervezet</v>
      </c>
      <c r="N894" s="322" t="str">
        <f>VLOOKUP(F894,PAR!$R$3:$S$5,2,FALSE)</f>
        <v>3 - egyik sem</v>
      </c>
      <c r="O894" t="str">
        <f>IFERROR(VLOOKUP(J894,PAR!$O$3:$P$5,2,FALSE),"nincs feladat")</f>
        <v>nincs feladat</v>
      </c>
      <c r="P894" t="str">
        <f>IFERROR(VLOOKUP(G894,PAR!$J$2:$M$19,4),"nincs rovat")</f>
        <v>nincs rovat</v>
      </c>
      <c r="Q894" t="str">
        <f>IF(H894&gt;0,VLOOKUP(H894,PAR!$AA$3:$AC$187,3,FALSE),"nincs főkönyvi számla")</f>
        <v>nincs főkönyvi számla</v>
      </c>
      <c r="R894" t="str">
        <f>IFERROR(VLOOKUP(K894,PAR!$V$3:$X$438,3,FALSE),"000000 - Nincs COFOG")</f>
        <v>000000 - Nincs COFOG</v>
      </c>
      <c r="S894">
        <f t="shared" si="259"/>
        <v>0</v>
      </c>
      <c r="T894">
        <f t="shared" si="260"/>
        <v>0</v>
      </c>
      <c r="U894" t="str">
        <f>IF('906MP'!J594&gt;0,CONCATENATE('906MP'!J594," - ",'906MP'!P594,", ",'906MP'!E594),"nincs megjegyzés")</f>
        <v>nincs megjegyzés</v>
      </c>
      <c r="V894" t="str">
        <f t="shared" si="247"/>
        <v>0P0</v>
      </c>
      <c r="W894" t="str">
        <f t="shared" si="248"/>
        <v>0P0</v>
      </c>
      <c r="X894" t="str">
        <f t="shared" si="249"/>
        <v>P0</v>
      </c>
      <c r="Y894" t="str">
        <f t="shared" si="250"/>
        <v>00</v>
      </c>
      <c r="Z894" t="str">
        <f t="shared" si="261"/>
        <v>00</v>
      </c>
      <c r="AA894" t="str">
        <f t="shared" si="251"/>
        <v>00</v>
      </c>
      <c r="AB894" t="str">
        <f t="shared" si="252"/>
        <v>00</v>
      </c>
      <c r="AC894" t="str">
        <f t="shared" si="253"/>
        <v>0P0</v>
      </c>
      <c r="AD894" t="str">
        <f t="shared" si="254"/>
        <v>P00</v>
      </c>
      <c r="AE894" t="str">
        <f t="shared" si="255"/>
        <v>0P0</v>
      </c>
      <c r="AF894" t="str">
        <f t="shared" si="256"/>
        <v>P00</v>
      </c>
      <c r="AG894" t="str">
        <f t="shared" si="262"/>
        <v>0P00</v>
      </c>
      <c r="AH894" t="str">
        <f t="shared" si="263"/>
        <v>P000</v>
      </c>
      <c r="AI894" t="str">
        <f t="shared" si="264"/>
        <v>0P00</v>
      </c>
      <c r="AJ894" t="str">
        <f t="shared" si="265"/>
        <v>P000</v>
      </c>
    </row>
    <row r="895" spans="1:36" x14ac:dyDescent="0.25">
      <c r="A895" s="325" t="str">
        <f>CONCATENATE("P",'906MP'!M595)</f>
        <v>P</v>
      </c>
      <c r="B895">
        <f>'906MP'!H595</f>
        <v>0</v>
      </c>
      <c r="C895">
        <f>'906MP'!J595</f>
        <v>0</v>
      </c>
      <c r="D895">
        <f>'906MP'!P595</f>
        <v>0</v>
      </c>
      <c r="E895">
        <f>'906MP'!X595</f>
        <v>0</v>
      </c>
      <c r="F895" t="str">
        <f t="shared" si="257"/>
        <v>0</v>
      </c>
      <c r="G895" t="str">
        <f t="shared" si="258"/>
        <v>0</v>
      </c>
      <c r="H895">
        <f>'906MP'!Y595</f>
        <v>0</v>
      </c>
      <c r="I895">
        <f>'906MP'!AK595</f>
        <v>0</v>
      </c>
      <c r="J895">
        <f>'906MP'!T595</f>
        <v>0</v>
      </c>
      <c r="K895">
        <f>'906MP'!AJ595</f>
        <v>0</v>
      </c>
      <c r="L895">
        <f>'906MP'!U595</f>
        <v>0</v>
      </c>
      <c r="M895" s="322" t="str">
        <f>IFERROR(VLOOKUP(A895,PAR!$D$3:$E$53,2,FALSE),"nincs szervezet")</f>
        <v>nincs szervezet</v>
      </c>
      <c r="N895" s="322" t="str">
        <f>VLOOKUP(F895,PAR!$R$3:$S$5,2,FALSE)</f>
        <v>3 - egyik sem</v>
      </c>
      <c r="O895" t="str">
        <f>IFERROR(VLOOKUP(J895,PAR!$O$3:$P$5,2,FALSE),"nincs feladat")</f>
        <v>nincs feladat</v>
      </c>
      <c r="P895" t="str">
        <f>IFERROR(VLOOKUP(G895,PAR!$J$2:$M$19,4),"nincs rovat")</f>
        <v>nincs rovat</v>
      </c>
      <c r="Q895" t="str">
        <f>IF(H895&gt;0,VLOOKUP(H895,PAR!$AA$3:$AC$187,3,FALSE),"nincs főkönyvi számla")</f>
        <v>nincs főkönyvi számla</v>
      </c>
      <c r="R895" t="str">
        <f>IFERROR(VLOOKUP(K895,PAR!$V$3:$X$438,3,FALSE),"000000 - Nincs COFOG")</f>
        <v>000000 - Nincs COFOG</v>
      </c>
      <c r="S895">
        <f t="shared" si="259"/>
        <v>0</v>
      </c>
      <c r="T895">
        <f t="shared" si="260"/>
        <v>0</v>
      </c>
      <c r="U895" t="str">
        <f>IF('906MP'!J595&gt;0,CONCATENATE('906MP'!J595," - ",'906MP'!P595,", ",'906MP'!E595),"nincs megjegyzés")</f>
        <v>nincs megjegyzés</v>
      </c>
      <c r="V895" t="str">
        <f t="shared" si="247"/>
        <v>0P0</v>
      </c>
      <c r="W895" t="str">
        <f t="shared" si="248"/>
        <v>0P0</v>
      </c>
      <c r="X895" t="str">
        <f t="shared" si="249"/>
        <v>P0</v>
      </c>
      <c r="Y895" t="str">
        <f t="shared" si="250"/>
        <v>00</v>
      </c>
      <c r="Z895" t="str">
        <f t="shared" si="261"/>
        <v>00</v>
      </c>
      <c r="AA895" t="str">
        <f t="shared" si="251"/>
        <v>00</v>
      </c>
      <c r="AB895" t="str">
        <f t="shared" si="252"/>
        <v>00</v>
      </c>
      <c r="AC895" t="str">
        <f t="shared" si="253"/>
        <v>0P0</v>
      </c>
      <c r="AD895" t="str">
        <f t="shared" si="254"/>
        <v>P00</v>
      </c>
      <c r="AE895" t="str">
        <f t="shared" si="255"/>
        <v>0P0</v>
      </c>
      <c r="AF895" t="str">
        <f t="shared" si="256"/>
        <v>P00</v>
      </c>
      <c r="AG895" t="str">
        <f t="shared" si="262"/>
        <v>0P00</v>
      </c>
      <c r="AH895" t="str">
        <f t="shared" si="263"/>
        <v>P000</v>
      </c>
      <c r="AI895" t="str">
        <f t="shared" si="264"/>
        <v>0P00</v>
      </c>
      <c r="AJ895" t="str">
        <f t="shared" si="265"/>
        <v>P000</v>
      </c>
    </row>
    <row r="896" spans="1:36" x14ac:dyDescent="0.25">
      <c r="A896" s="325" t="str">
        <f>CONCATENATE("P",'906MP'!M596)</f>
        <v>P</v>
      </c>
      <c r="B896">
        <f>'906MP'!H596</f>
        <v>0</v>
      </c>
      <c r="C896">
        <f>'906MP'!J596</f>
        <v>0</v>
      </c>
      <c r="D896">
        <f>'906MP'!P596</f>
        <v>0</v>
      </c>
      <c r="E896">
        <f>'906MP'!X596</f>
        <v>0</v>
      </c>
      <c r="F896" t="str">
        <f t="shared" si="257"/>
        <v>0</v>
      </c>
      <c r="G896" t="str">
        <f t="shared" si="258"/>
        <v>0</v>
      </c>
      <c r="H896">
        <f>'906MP'!Y596</f>
        <v>0</v>
      </c>
      <c r="I896">
        <f>'906MP'!AK596</f>
        <v>0</v>
      </c>
      <c r="J896">
        <f>'906MP'!T596</f>
        <v>0</v>
      </c>
      <c r="K896">
        <f>'906MP'!AJ596</f>
        <v>0</v>
      </c>
      <c r="L896">
        <f>'906MP'!U596</f>
        <v>0</v>
      </c>
      <c r="M896" s="322" t="str">
        <f>IFERROR(VLOOKUP(A896,PAR!$D$3:$E$53,2,FALSE),"nincs szervezet")</f>
        <v>nincs szervezet</v>
      </c>
      <c r="N896" s="322" t="str">
        <f>VLOOKUP(F896,PAR!$R$3:$S$5,2,FALSE)</f>
        <v>3 - egyik sem</v>
      </c>
      <c r="O896" t="str">
        <f>IFERROR(VLOOKUP(J896,PAR!$O$3:$P$5,2,FALSE),"nincs feladat")</f>
        <v>nincs feladat</v>
      </c>
      <c r="P896" t="str">
        <f>IFERROR(VLOOKUP(G896,PAR!$J$2:$M$19,4),"nincs rovat")</f>
        <v>nincs rovat</v>
      </c>
      <c r="Q896" t="str">
        <f>IF(H896&gt;0,VLOOKUP(H896,PAR!$AA$3:$AC$187,3,FALSE),"nincs főkönyvi számla")</f>
        <v>nincs főkönyvi számla</v>
      </c>
      <c r="R896" t="str">
        <f>IFERROR(VLOOKUP(K896,PAR!$V$3:$X$438,3,FALSE),"000000 - Nincs COFOG")</f>
        <v>000000 - Nincs COFOG</v>
      </c>
      <c r="S896">
        <f t="shared" si="259"/>
        <v>0</v>
      </c>
      <c r="T896">
        <f t="shared" si="260"/>
        <v>0</v>
      </c>
      <c r="U896" t="str">
        <f>IF('906MP'!J596&gt;0,CONCATENATE('906MP'!J596," - ",'906MP'!P596,", ",'906MP'!E596),"nincs megjegyzés")</f>
        <v>nincs megjegyzés</v>
      </c>
      <c r="V896" t="str">
        <f t="shared" si="247"/>
        <v>0P0</v>
      </c>
      <c r="W896" t="str">
        <f t="shared" si="248"/>
        <v>0P0</v>
      </c>
      <c r="X896" t="str">
        <f t="shared" si="249"/>
        <v>P0</v>
      </c>
      <c r="Y896" t="str">
        <f t="shared" si="250"/>
        <v>00</v>
      </c>
      <c r="Z896" t="str">
        <f t="shared" si="261"/>
        <v>00</v>
      </c>
      <c r="AA896" t="str">
        <f t="shared" si="251"/>
        <v>00</v>
      </c>
      <c r="AB896" t="str">
        <f t="shared" si="252"/>
        <v>00</v>
      </c>
      <c r="AC896" t="str">
        <f t="shared" si="253"/>
        <v>0P0</v>
      </c>
      <c r="AD896" t="str">
        <f t="shared" si="254"/>
        <v>P00</v>
      </c>
      <c r="AE896" t="str">
        <f t="shared" si="255"/>
        <v>0P0</v>
      </c>
      <c r="AF896" t="str">
        <f t="shared" si="256"/>
        <v>P00</v>
      </c>
      <c r="AG896" t="str">
        <f t="shared" si="262"/>
        <v>0P00</v>
      </c>
      <c r="AH896" t="str">
        <f t="shared" si="263"/>
        <v>P000</v>
      </c>
      <c r="AI896" t="str">
        <f t="shared" si="264"/>
        <v>0P00</v>
      </c>
      <c r="AJ896" t="str">
        <f t="shared" si="265"/>
        <v>P000</v>
      </c>
    </row>
    <row r="897" spans="1:36" x14ac:dyDescent="0.25">
      <c r="A897" s="325" t="str">
        <f>CONCATENATE("P",'906MP'!M597)</f>
        <v>P</v>
      </c>
      <c r="B897">
        <f>'906MP'!H597</f>
        <v>0</v>
      </c>
      <c r="C897">
        <f>'906MP'!J597</f>
        <v>0</v>
      </c>
      <c r="D897">
        <f>'906MP'!P597</f>
        <v>0</v>
      </c>
      <c r="E897">
        <f>'906MP'!X597</f>
        <v>0</v>
      </c>
      <c r="F897" t="str">
        <f t="shared" si="257"/>
        <v>0</v>
      </c>
      <c r="G897" t="str">
        <f t="shared" si="258"/>
        <v>0</v>
      </c>
      <c r="H897">
        <f>'906MP'!Y597</f>
        <v>0</v>
      </c>
      <c r="I897">
        <f>'906MP'!AK597</f>
        <v>0</v>
      </c>
      <c r="J897">
        <f>'906MP'!T597</f>
        <v>0</v>
      </c>
      <c r="K897">
        <f>'906MP'!AJ597</f>
        <v>0</v>
      </c>
      <c r="L897">
        <f>'906MP'!U597</f>
        <v>0</v>
      </c>
      <c r="M897" s="322" t="str">
        <f>IFERROR(VLOOKUP(A897,PAR!$D$3:$E$53,2,FALSE),"nincs szervezet")</f>
        <v>nincs szervezet</v>
      </c>
      <c r="N897" s="322" t="str">
        <f>VLOOKUP(F897,PAR!$R$3:$S$5,2,FALSE)</f>
        <v>3 - egyik sem</v>
      </c>
      <c r="O897" t="str">
        <f>IFERROR(VLOOKUP(J897,PAR!$O$3:$P$5,2,FALSE),"nincs feladat")</f>
        <v>nincs feladat</v>
      </c>
      <c r="P897" t="str">
        <f>IFERROR(VLOOKUP(G897,PAR!$J$2:$M$19,4),"nincs rovat")</f>
        <v>nincs rovat</v>
      </c>
      <c r="Q897" t="str">
        <f>IF(H897&gt;0,VLOOKUP(H897,PAR!$AA$3:$AC$187,3,FALSE),"nincs főkönyvi számla")</f>
        <v>nincs főkönyvi számla</v>
      </c>
      <c r="R897" t="str">
        <f>IFERROR(VLOOKUP(K897,PAR!$V$3:$X$438,3,FALSE),"000000 - Nincs COFOG")</f>
        <v>000000 - Nincs COFOG</v>
      </c>
      <c r="S897">
        <f t="shared" si="259"/>
        <v>0</v>
      </c>
      <c r="T897">
        <f t="shared" si="260"/>
        <v>0</v>
      </c>
      <c r="U897" t="str">
        <f>IF('906MP'!J597&gt;0,CONCATENATE('906MP'!J597," - ",'906MP'!P597,", ",'906MP'!E597),"nincs megjegyzés")</f>
        <v>nincs megjegyzés</v>
      </c>
      <c r="V897" t="str">
        <f t="shared" si="247"/>
        <v>0P0</v>
      </c>
      <c r="W897" t="str">
        <f t="shared" si="248"/>
        <v>0P0</v>
      </c>
      <c r="X897" t="str">
        <f t="shared" si="249"/>
        <v>P0</v>
      </c>
      <c r="Y897" t="str">
        <f t="shared" si="250"/>
        <v>00</v>
      </c>
      <c r="Z897" t="str">
        <f t="shared" si="261"/>
        <v>00</v>
      </c>
      <c r="AA897" t="str">
        <f t="shared" si="251"/>
        <v>00</v>
      </c>
      <c r="AB897" t="str">
        <f t="shared" si="252"/>
        <v>00</v>
      </c>
      <c r="AC897" t="str">
        <f t="shared" si="253"/>
        <v>0P0</v>
      </c>
      <c r="AD897" t="str">
        <f t="shared" si="254"/>
        <v>P00</v>
      </c>
      <c r="AE897" t="str">
        <f t="shared" si="255"/>
        <v>0P0</v>
      </c>
      <c r="AF897" t="str">
        <f t="shared" si="256"/>
        <v>P00</v>
      </c>
      <c r="AG897" t="str">
        <f t="shared" si="262"/>
        <v>0P00</v>
      </c>
      <c r="AH897" t="str">
        <f t="shared" si="263"/>
        <v>P000</v>
      </c>
      <c r="AI897" t="str">
        <f t="shared" si="264"/>
        <v>0P00</v>
      </c>
      <c r="AJ897" t="str">
        <f t="shared" si="265"/>
        <v>P000</v>
      </c>
    </row>
    <row r="898" spans="1:36" x14ac:dyDescent="0.25">
      <c r="A898" s="325" t="str">
        <f>CONCATENATE("P",'906MP'!M598)</f>
        <v>P</v>
      </c>
      <c r="B898">
        <f>'906MP'!H598</f>
        <v>0</v>
      </c>
      <c r="C898">
        <f>'906MP'!J598</f>
        <v>0</v>
      </c>
      <c r="D898">
        <f>'906MP'!P598</f>
        <v>0</v>
      </c>
      <c r="E898">
        <f>'906MP'!X598</f>
        <v>0</v>
      </c>
      <c r="F898" t="str">
        <f t="shared" si="257"/>
        <v>0</v>
      </c>
      <c r="G898" t="str">
        <f t="shared" si="258"/>
        <v>0</v>
      </c>
      <c r="H898">
        <f>'906MP'!Y598</f>
        <v>0</v>
      </c>
      <c r="I898">
        <f>'906MP'!AK598</f>
        <v>0</v>
      </c>
      <c r="J898">
        <f>'906MP'!T598</f>
        <v>0</v>
      </c>
      <c r="K898">
        <f>'906MP'!AJ598</f>
        <v>0</v>
      </c>
      <c r="L898">
        <f>'906MP'!U598</f>
        <v>0</v>
      </c>
      <c r="M898" s="322" t="str">
        <f>IFERROR(VLOOKUP(A898,PAR!$D$3:$E$53,2,FALSE),"nincs szervezet")</f>
        <v>nincs szervezet</v>
      </c>
      <c r="N898" s="322" t="str">
        <f>VLOOKUP(F898,PAR!$R$3:$S$5,2,FALSE)</f>
        <v>3 - egyik sem</v>
      </c>
      <c r="O898" t="str">
        <f>IFERROR(VLOOKUP(J898,PAR!$O$3:$P$5,2,FALSE),"nincs feladat")</f>
        <v>nincs feladat</v>
      </c>
      <c r="P898" t="str">
        <f>IFERROR(VLOOKUP(G898,PAR!$J$2:$M$19,4),"nincs rovat")</f>
        <v>nincs rovat</v>
      </c>
      <c r="Q898" t="str">
        <f>IF(H898&gt;0,VLOOKUP(H898,PAR!$AA$3:$AC$187,3,FALSE),"nincs főkönyvi számla")</f>
        <v>nincs főkönyvi számla</v>
      </c>
      <c r="R898" t="str">
        <f>IFERROR(VLOOKUP(K898,PAR!$V$3:$X$438,3,FALSE),"000000 - Nincs COFOG")</f>
        <v>000000 - Nincs COFOG</v>
      </c>
      <c r="S898">
        <f t="shared" si="259"/>
        <v>0</v>
      </c>
      <c r="T898">
        <f t="shared" si="260"/>
        <v>0</v>
      </c>
      <c r="U898" t="str">
        <f>IF('906MP'!J598&gt;0,CONCATENATE('906MP'!J598," - ",'906MP'!P598,", ",'906MP'!E598),"nincs megjegyzés")</f>
        <v>nincs megjegyzés</v>
      </c>
      <c r="V898" t="str">
        <f t="shared" ref="V898:V961" si="266">CONCATENATE(B898,A898,G898)</f>
        <v>0P0</v>
      </c>
      <c r="W898" t="str">
        <f t="shared" ref="W898:W961" si="267">CONCATENATE(B898,A898,F898)</f>
        <v>0P0</v>
      </c>
      <c r="X898" t="str">
        <f t="shared" ref="X898:X961" si="268">CONCATENATE(A898,H898)</f>
        <v>P0</v>
      </c>
      <c r="Y898" t="str">
        <f t="shared" ref="Y898:Y961" si="269">CONCATENATE(B898,H898)</f>
        <v>00</v>
      </c>
      <c r="Z898" t="str">
        <f t="shared" si="261"/>
        <v>00</v>
      </c>
      <c r="AA898" t="str">
        <f t="shared" ref="AA898:AA961" si="270">CONCATENATE(B898,G898)</f>
        <v>00</v>
      </c>
      <c r="AB898" t="str">
        <f t="shared" ref="AB898:AB961" si="271">CONCATENATE(J898,G898)</f>
        <v>00</v>
      </c>
      <c r="AC898" t="str">
        <f t="shared" ref="AC898:AC961" si="272">CONCATENATE(B898,A898,H898)</f>
        <v>0P0</v>
      </c>
      <c r="AD898" t="str">
        <f t="shared" ref="AD898:AD961" si="273">CONCATENATE(A898,H898,J898)</f>
        <v>P00</v>
      </c>
      <c r="AE898" t="str">
        <f t="shared" ref="AE898:AE961" si="274">CONCATENATE(B898,A898,G898)</f>
        <v>0P0</v>
      </c>
      <c r="AF898" t="str">
        <f t="shared" ref="AF898:AF961" si="275">CONCATENATE(A898,G898,J898)</f>
        <v>P00</v>
      </c>
      <c r="AG898" t="str">
        <f t="shared" si="262"/>
        <v>0P00</v>
      </c>
      <c r="AH898" t="str">
        <f t="shared" si="263"/>
        <v>P000</v>
      </c>
      <c r="AI898" t="str">
        <f t="shared" si="264"/>
        <v>0P00</v>
      </c>
      <c r="AJ898" t="str">
        <f t="shared" si="265"/>
        <v>P000</v>
      </c>
    </row>
    <row r="899" spans="1:36" x14ac:dyDescent="0.25">
      <c r="A899" s="325" t="str">
        <f>CONCATENATE("P",'906MP'!M599)</f>
        <v>P</v>
      </c>
      <c r="B899">
        <f>'906MP'!H599</f>
        <v>0</v>
      </c>
      <c r="C899">
        <f>'906MP'!J599</f>
        <v>0</v>
      </c>
      <c r="D899">
        <f>'906MP'!P599</f>
        <v>0</v>
      </c>
      <c r="E899">
        <f>'906MP'!X599</f>
        <v>0</v>
      </c>
      <c r="F899" t="str">
        <f t="shared" ref="F899:F962" si="276">LEFT(G899,2)</f>
        <v>0</v>
      </c>
      <c r="G899" t="str">
        <f t="shared" ref="G899:G962" si="277">LEFT(H899,3)</f>
        <v>0</v>
      </c>
      <c r="H899">
        <f>'906MP'!Y599</f>
        <v>0</v>
      </c>
      <c r="I899">
        <f>'906MP'!AK599</f>
        <v>0</v>
      </c>
      <c r="J899">
        <f>'906MP'!T599</f>
        <v>0</v>
      </c>
      <c r="K899">
        <f>'906MP'!AJ599</f>
        <v>0</v>
      </c>
      <c r="L899">
        <f>'906MP'!U599</f>
        <v>0</v>
      </c>
      <c r="M899" s="322" t="str">
        <f>IFERROR(VLOOKUP(A899,PAR!$D$3:$E$53,2,FALSE),"nincs szervezet")</f>
        <v>nincs szervezet</v>
      </c>
      <c r="N899" s="322" t="str">
        <f>VLOOKUP(F899,PAR!$R$3:$S$5,2,FALSE)</f>
        <v>3 - egyik sem</v>
      </c>
      <c r="O899" t="str">
        <f>IFERROR(VLOOKUP(J899,PAR!$O$3:$P$5,2,FALSE),"nincs feladat")</f>
        <v>nincs feladat</v>
      </c>
      <c r="P899" t="str">
        <f>IFERROR(VLOOKUP(G899,PAR!$J$2:$M$19,4),"nincs rovat")</f>
        <v>nincs rovat</v>
      </c>
      <c r="Q899" t="str">
        <f>IF(H899&gt;0,VLOOKUP(H899,PAR!$AA$3:$AC$187,3,FALSE),"nincs főkönyvi számla")</f>
        <v>nincs főkönyvi számla</v>
      </c>
      <c r="R899" t="str">
        <f>IFERROR(VLOOKUP(K899,PAR!$V$3:$X$438,3,FALSE),"000000 - Nincs COFOG")</f>
        <v>000000 - Nincs COFOG</v>
      </c>
      <c r="S899">
        <f t="shared" ref="S899:S962" si="278">E899</f>
        <v>0</v>
      </c>
      <c r="T899">
        <f t="shared" ref="T899:T962" si="279">IF(F899="09",E899*-1,E899)</f>
        <v>0</v>
      </c>
      <c r="U899" t="str">
        <f>IF('906MP'!J599&gt;0,CONCATENATE('906MP'!J599," - ",'906MP'!P599,", ",'906MP'!E599),"nincs megjegyzés")</f>
        <v>nincs megjegyzés</v>
      </c>
      <c r="V899" t="str">
        <f t="shared" si="266"/>
        <v>0P0</v>
      </c>
      <c r="W899" t="str">
        <f t="shared" si="267"/>
        <v>0P0</v>
      </c>
      <c r="X899" t="str">
        <f t="shared" si="268"/>
        <v>P0</v>
      </c>
      <c r="Y899" t="str">
        <f t="shared" si="269"/>
        <v>00</v>
      </c>
      <c r="Z899" t="str">
        <f t="shared" ref="Z899:Z962" si="280">CONCATENATE(J899,H899)</f>
        <v>00</v>
      </c>
      <c r="AA899" t="str">
        <f t="shared" si="270"/>
        <v>00</v>
      </c>
      <c r="AB899" t="str">
        <f t="shared" si="271"/>
        <v>00</v>
      </c>
      <c r="AC899" t="str">
        <f t="shared" si="272"/>
        <v>0P0</v>
      </c>
      <c r="AD899" t="str">
        <f t="shared" si="273"/>
        <v>P00</v>
      </c>
      <c r="AE899" t="str">
        <f t="shared" si="274"/>
        <v>0P0</v>
      </c>
      <c r="AF899" t="str">
        <f t="shared" si="275"/>
        <v>P00</v>
      </c>
      <c r="AG899" t="str">
        <f t="shared" ref="AG899:AG962" si="281">CONCATENATE(B899,A899,H899,L899)</f>
        <v>0P00</v>
      </c>
      <c r="AH899" t="str">
        <f t="shared" ref="AH899:AH962" si="282">CONCATENATE(A899,J899,H899,L899)</f>
        <v>P000</v>
      </c>
      <c r="AI899" t="str">
        <f t="shared" ref="AI899:AI962" si="283">CONCATENATE(B899,A899,G899,L899)</f>
        <v>0P00</v>
      </c>
      <c r="AJ899" t="str">
        <f t="shared" ref="AJ899:AJ962" si="284">CONCATENATE(A899,G899,J899,L899)</f>
        <v>P000</v>
      </c>
    </row>
    <row r="900" spans="1:36" x14ac:dyDescent="0.25">
      <c r="A900" s="325" t="str">
        <f>CONCATENATE("P",'906MP'!M600)</f>
        <v>P</v>
      </c>
      <c r="B900">
        <f>'906MP'!H600</f>
        <v>0</v>
      </c>
      <c r="C900">
        <f>'906MP'!J600</f>
        <v>0</v>
      </c>
      <c r="D900">
        <f>'906MP'!P600</f>
        <v>0</v>
      </c>
      <c r="E900">
        <f>'906MP'!X600</f>
        <v>0</v>
      </c>
      <c r="F900" t="str">
        <f t="shared" si="276"/>
        <v>0</v>
      </c>
      <c r="G900" t="str">
        <f t="shared" si="277"/>
        <v>0</v>
      </c>
      <c r="H900">
        <f>'906MP'!Y600</f>
        <v>0</v>
      </c>
      <c r="I900">
        <f>'906MP'!AK600</f>
        <v>0</v>
      </c>
      <c r="J900">
        <f>'906MP'!T600</f>
        <v>0</v>
      </c>
      <c r="K900">
        <f>'906MP'!AJ600</f>
        <v>0</v>
      </c>
      <c r="L900">
        <f>'906MP'!U600</f>
        <v>0</v>
      </c>
      <c r="M900" s="322" t="str">
        <f>IFERROR(VLOOKUP(A900,PAR!$D$3:$E$53,2,FALSE),"nincs szervezet")</f>
        <v>nincs szervezet</v>
      </c>
      <c r="N900" s="322" t="str">
        <f>VLOOKUP(F900,PAR!$R$3:$S$5,2,FALSE)</f>
        <v>3 - egyik sem</v>
      </c>
      <c r="O900" t="str">
        <f>IFERROR(VLOOKUP(J900,PAR!$O$3:$P$5,2,FALSE),"nincs feladat")</f>
        <v>nincs feladat</v>
      </c>
      <c r="P900" t="str">
        <f>IFERROR(VLOOKUP(G900,PAR!$J$2:$M$19,4),"nincs rovat")</f>
        <v>nincs rovat</v>
      </c>
      <c r="Q900" t="str">
        <f>IF(H900&gt;0,VLOOKUP(H900,PAR!$AA$3:$AC$187,3,FALSE),"nincs főkönyvi számla")</f>
        <v>nincs főkönyvi számla</v>
      </c>
      <c r="R900" t="str">
        <f>IFERROR(VLOOKUP(K900,PAR!$V$3:$X$438,3,FALSE),"000000 - Nincs COFOG")</f>
        <v>000000 - Nincs COFOG</v>
      </c>
      <c r="S900">
        <f t="shared" si="278"/>
        <v>0</v>
      </c>
      <c r="T900">
        <f t="shared" si="279"/>
        <v>0</v>
      </c>
      <c r="U900" t="str">
        <f>IF('906MP'!J600&gt;0,CONCATENATE('906MP'!J600," - ",'906MP'!P600,", ",'906MP'!E600),"nincs megjegyzés")</f>
        <v>nincs megjegyzés</v>
      </c>
      <c r="V900" t="str">
        <f t="shared" si="266"/>
        <v>0P0</v>
      </c>
      <c r="W900" t="str">
        <f t="shared" si="267"/>
        <v>0P0</v>
      </c>
      <c r="X900" t="str">
        <f t="shared" si="268"/>
        <v>P0</v>
      </c>
      <c r="Y900" t="str">
        <f t="shared" si="269"/>
        <v>00</v>
      </c>
      <c r="Z900" t="str">
        <f t="shared" si="280"/>
        <v>00</v>
      </c>
      <c r="AA900" t="str">
        <f t="shared" si="270"/>
        <v>00</v>
      </c>
      <c r="AB900" t="str">
        <f t="shared" si="271"/>
        <v>00</v>
      </c>
      <c r="AC900" t="str">
        <f t="shared" si="272"/>
        <v>0P0</v>
      </c>
      <c r="AD900" t="str">
        <f t="shared" si="273"/>
        <v>P00</v>
      </c>
      <c r="AE900" t="str">
        <f t="shared" si="274"/>
        <v>0P0</v>
      </c>
      <c r="AF900" t="str">
        <f t="shared" si="275"/>
        <v>P00</v>
      </c>
      <c r="AG900" t="str">
        <f t="shared" si="281"/>
        <v>0P00</v>
      </c>
      <c r="AH900" t="str">
        <f t="shared" si="282"/>
        <v>P000</v>
      </c>
      <c r="AI900" t="str">
        <f t="shared" si="283"/>
        <v>0P00</v>
      </c>
      <c r="AJ900" t="str">
        <f t="shared" si="284"/>
        <v>P000</v>
      </c>
    </row>
    <row r="901" spans="1:36" x14ac:dyDescent="0.25">
      <c r="A901" s="325" t="str">
        <f>CONCATENATE("P",'906MP'!M601)</f>
        <v>P</v>
      </c>
      <c r="B901">
        <f>'906MP'!H601</f>
        <v>0</v>
      </c>
      <c r="C901">
        <f>'906MP'!J601</f>
        <v>0</v>
      </c>
      <c r="D901">
        <f>'906MP'!P601</f>
        <v>0</v>
      </c>
      <c r="E901">
        <f>'906MP'!X601</f>
        <v>0</v>
      </c>
      <c r="F901" t="str">
        <f t="shared" si="276"/>
        <v>0</v>
      </c>
      <c r="G901" t="str">
        <f t="shared" si="277"/>
        <v>0</v>
      </c>
      <c r="H901">
        <f>'906MP'!Y601</f>
        <v>0</v>
      </c>
      <c r="I901">
        <f>'906MP'!AK601</f>
        <v>0</v>
      </c>
      <c r="J901">
        <f>'906MP'!T601</f>
        <v>0</v>
      </c>
      <c r="K901">
        <f>'906MP'!AJ601</f>
        <v>0</v>
      </c>
      <c r="L901">
        <f>'906MP'!U601</f>
        <v>0</v>
      </c>
      <c r="M901" s="322" t="str">
        <f>IFERROR(VLOOKUP(A901,PAR!$D$3:$E$53,2,FALSE),"nincs szervezet")</f>
        <v>nincs szervezet</v>
      </c>
      <c r="N901" s="322" t="str">
        <f>VLOOKUP(F901,PAR!$R$3:$S$5,2,FALSE)</f>
        <v>3 - egyik sem</v>
      </c>
      <c r="O901" t="str">
        <f>IFERROR(VLOOKUP(J901,PAR!$O$3:$P$5,2,FALSE),"nincs feladat")</f>
        <v>nincs feladat</v>
      </c>
      <c r="P901" t="str">
        <f>IFERROR(VLOOKUP(G901,PAR!$J$2:$M$19,4),"nincs rovat")</f>
        <v>nincs rovat</v>
      </c>
      <c r="Q901" t="str">
        <f>IF(H901&gt;0,VLOOKUP(H901,PAR!$AA$3:$AC$187,3,FALSE),"nincs főkönyvi számla")</f>
        <v>nincs főkönyvi számla</v>
      </c>
      <c r="R901" t="str">
        <f>IFERROR(VLOOKUP(K901,PAR!$V$3:$X$438,3,FALSE),"000000 - Nincs COFOG")</f>
        <v>000000 - Nincs COFOG</v>
      </c>
      <c r="S901">
        <f t="shared" si="278"/>
        <v>0</v>
      </c>
      <c r="T901">
        <f t="shared" si="279"/>
        <v>0</v>
      </c>
      <c r="U901" t="str">
        <f>IF('906MP'!J601&gt;0,CONCATENATE('906MP'!J601," - ",'906MP'!P601,", ",'906MP'!E601),"nincs megjegyzés")</f>
        <v>nincs megjegyzés</v>
      </c>
      <c r="V901" t="str">
        <f t="shared" si="266"/>
        <v>0P0</v>
      </c>
      <c r="W901" t="str">
        <f t="shared" si="267"/>
        <v>0P0</v>
      </c>
      <c r="X901" t="str">
        <f t="shared" si="268"/>
        <v>P0</v>
      </c>
      <c r="Y901" t="str">
        <f t="shared" si="269"/>
        <v>00</v>
      </c>
      <c r="Z901" t="str">
        <f t="shared" si="280"/>
        <v>00</v>
      </c>
      <c r="AA901" t="str">
        <f t="shared" si="270"/>
        <v>00</v>
      </c>
      <c r="AB901" t="str">
        <f t="shared" si="271"/>
        <v>00</v>
      </c>
      <c r="AC901" t="str">
        <f t="shared" si="272"/>
        <v>0P0</v>
      </c>
      <c r="AD901" t="str">
        <f t="shared" si="273"/>
        <v>P00</v>
      </c>
      <c r="AE901" t="str">
        <f t="shared" si="274"/>
        <v>0P0</v>
      </c>
      <c r="AF901" t="str">
        <f t="shared" si="275"/>
        <v>P00</v>
      </c>
      <c r="AG901" t="str">
        <f t="shared" si="281"/>
        <v>0P00</v>
      </c>
      <c r="AH901" t="str">
        <f t="shared" si="282"/>
        <v>P000</v>
      </c>
      <c r="AI901" t="str">
        <f t="shared" si="283"/>
        <v>0P00</v>
      </c>
      <c r="AJ901" t="str">
        <f t="shared" si="284"/>
        <v>P000</v>
      </c>
    </row>
    <row r="902" spans="1:36" x14ac:dyDescent="0.25">
      <c r="A902" s="325" t="str">
        <f>CONCATENATE("P",'906MP'!M602)</f>
        <v>P</v>
      </c>
      <c r="B902">
        <f>'906MP'!H602</f>
        <v>0</v>
      </c>
      <c r="C902">
        <f>'906MP'!J602</f>
        <v>0</v>
      </c>
      <c r="D902">
        <f>'906MP'!P602</f>
        <v>0</v>
      </c>
      <c r="E902">
        <f>'906MP'!X602</f>
        <v>0</v>
      </c>
      <c r="F902" t="str">
        <f t="shared" si="276"/>
        <v>0</v>
      </c>
      <c r="G902" t="str">
        <f t="shared" si="277"/>
        <v>0</v>
      </c>
      <c r="H902">
        <f>'906MP'!Y602</f>
        <v>0</v>
      </c>
      <c r="I902">
        <f>'906MP'!AK602</f>
        <v>0</v>
      </c>
      <c r="J902">
        <f>'906MP'!T602</f>
        <v>0</v>
      </c>
      <c r="K902">
        <f>'906MP'!AJ602</f>
        <v>0</v>
      </c>
      <c r="L902">
        <f>'906MP'!U602</f>
        <v>0</v>
      </c>
      <c r="M902" s="322" t="str">
        <f>IFERROR(VLOOKUP(A902,PAR!$D$3:$E$53,2,FALSE),"nincs szervezet")</f>
        <v>nincs szervezet</v>
      </c>
      <c r="N902" s="322" t="str">
        <f>VLOOKUP(F902,PAR!$R$3:$S$5,2,FALSE)</f>
        <v>3 - egyik sem</v>
      </c>
      <c r="O902" t="str">
        <f>IFERROR(VLOOKUP(J902,PAR!$O$3:$P$5,2,FALSE),"nincs feladat")</f>
        <v>nincs feladat</v>
      </c>
      <c r="P902" t="str">
        <f>IFERROR(VLOOKUP(G902,PAR!$J$2:$M$19,4),"nincs rovat")</f>
        <v>nincs rovat</v>
      </c>
      <c r="Q902" t="str">
        <f>IF(H902&gt;0,VLOOKUP(H902,PAR!$AA$3:$AC$187,3,FALSE),"nincs főkönyvi számla")</f>
        <v>nincs főkönyvi számla</v>
      </c>
      <c r="R902" t="str">
        <f>IFERROR(VLOOKUP(K902,PAR!$V$3:$X$438,3,FALSE),"000000 - Nincs COFOG")</f>
        <v>000000 - Nincs COFOG</v>
      </c>
      <c r="S902">
        <f t="shared" si="278"/>
        <v>0</v>
      </c>
      <c r="T902">
        <f t="shared" si="279"/>
        <v>0</v>
      </c>
      <c r="U902" t="str">
        <f>IF('906MP'!J602&gt;0,CONCATENATE('906MP'!J602," - ",'906MP'!P602,", ",'906MP'!E602),"nincs megjegyzés")</f>
        <v>nincs megjegyzés</v>
      </c>
      <c r="V902" t="str">
        <f t="shared" si="266"/>
        <v>0P0</v>
      </c>
      <c r="W902" t="str">
        <f t="shared" si="267"/>
        <v>0P0</v>
      </c>
      <c r="X902" t="str">
        <f t="shared" si="268"/>
        <v>P0</v>
      </c>
      <c r="Y902" t="str">
        <f t="shared" si="269"/>
        <v>00</v>
      </c>
      <c r="Z902" t="str">
        <f t="shared" si="280"/>
        <v>00</v>
      </c>
      <c r="AA902" t="str">
        <f t="shared" si="270"/>
        <v>00</v>
      </c>
      <c r="AB902" t="str">
        <f t="shared" si="271"/>
        <v>00</v>
      </c>
      <c r="AC902" t="str">
        <f t="shared" si="272"/>
        <v>0P0</v>
      </c>
      <c r="AD902" t="str">
        <f t="shared" si="273"/>
        <v>P00</v>
      </c>
      <c r="AE902" t="str">
        <f t="shared" si="274"/>
        <v>0P0</v>
      </c>
      <c r="AF902" t="str">
        <f t="shared" si="275"/>
        <v>P00</v>
      </c>
      <c r="AG902" t="str">
        <f t="shared" si="281"/>
        <v>0P00</v>
      </c>
      <c r="AH902" t="str">
        <f t="shared" si="282"/>
        <v>P000</v>
      </c>
      <c r="AI902" t="str">
        <f t="shared" si="283"/>
        <v>0P00</v>
      </c>
      <c r="AJ902" t="str">
        <f t="shared" si="284"/>
        <v>P000</v>
      </c>
    </row>
    <row r="903" spans="1:36" x14ac:dyDescent="0.25">
      <c r="A903" s="325" t="str">
        <f>CONCATENATE("P",'906MP'!M603)</f>
        <v>P</v>
      </c>
      <c r="B903">
        <f>'906MP'!H603</f>
        <v>0</v>
      </c>
      <c r="C903">
        <f>'906MP'!J603</f>
        <v>0</v>
      </c>
      <c r="D903">
        <f>'906MP'!P603</f>
        <v>0</v>
      </c>
      <c r="E903">
        <f>'906MP'!X603</f>
        <v>0</v>
      </c>
      <c r="F903" t="str">
        <f t="shared" si="276"/>
        <v>0</v>
      </c>
      <c r="G903" t="str">
        <f t="shared" si="277"/>
        <v>0</v>
      </c>
      <c r="H903">
        <f>'906MP'!Y603</f>
        <v>0</v>
      </c>
      <c r="I903">
        <f>'906MP'!AK603</f>
        <v>0</v>
      </c>
      <c r="J903">
        <f>'906MP'!T603</f>
        <v>0</v>
      </c>
      <c r="K903">
        <f>'906MP'!AJ603</f>
        <v>0</v>
      </c>
      <c r="L903">
        <f>'906MP'!U603</f>
        <v>0</v>
      </c>
      <c r="M903" s="322" t="str">
        <f>IFERROR(VLOOKUP(A903,PAR!$D$3:$E$53,2,FALSE),"nincs szervezet")</f>
        <v>nincs szervezet</v>
      </c>
      <c r="N903" s="322" t="str">
        <f>VLOOKUP(F903,PAR!$R$3:$S$5,2,FALSE)</f>
        <v>3 - egyik sem</v>
      </c>
      <c r="O903" t="str">
        <f>IFERROR(VLOOKUP(J903,PAR!$O$3:$P$5,2,FALSE),"nincs feladat")</f>
        <v>nincs feladat</v>
      </c>
      <c r="P903" t="str">
        <f>IFERROR(VLOOKUP(G903,PAR!$J$2:$M$19,4),"nincs rovat")</f>
        <v>nincs rovat</v>
      </c>
      <c r="Q903" t="str">
        <f>IF(H903&gt;0,VLOOKUP(H903,PAR!$AA$3:$AC$187,3,FALSE),"nincs főkönyvi számla")</f>
        <v>nincs főkönyvi számla</v>
      </c>
      <c r="R903" t="str">
        <f>IFERROR(VLOOKUP(K903,PAR!$V$3:$X$438,3,FALSE),"000000 - Nincs COFOG")</f>
        <v>000000 - Nincs COFOG</v>
      </c>
      <c r="S903">
        <f t="shared" si="278"/>
        <v>0</v>
      </c>
      <c r="T903">
        <f t="shared" si="279"/>
        <v>0</v>
      </c>
      <c r="U903" t="str">
        <f>IF('906MP'!J603&gt;0,CONCATENATE('906MP'!J603," - ",'906MP'!P603,", ",'906MP'!E603),"nincs megjegyzés")</f>
        <v>nincs megjegyzés</v>
      </c>
      <c r="V903" t="str">
        <f t="shared" si="266"/>
        <v>0P0</v>
      </c>
      <c r="W903" t="str">
        <f t="shared" si="267"/>
        <v>0P0</v>
      </c>
      <c r="X903" t="str">
        <f t="shared" si="268"/>
        <v>P0</v>
      </c>
      <c r="Y903" t="str">
        <f t="shared" si="269"/>
        <v>00</v>
      </c>
      <c r="Z903" t="str">
        <f t="shared" si="280"/>
        <v>00</v>
      </c>
      <c r="AA903" t="str">
        <f t="shared" si="270"/>
        <v>00</v>
      </c>
      <c r="AB903" t="str">
        <f t="shared" si="271"/>
        <v>00</v>
      </c>
      <c r="AC903" t="str">
        <f t="shared" si="272"/>
        <v>0P0</v>
      </c>
      <c r="AD903" t="str">
        <f t="shared" si="273"/>
        <v>P00</v>
      </c>
      <c r="AE903" t="str">
        <f t="shared" si="274"/>
        <v>0P0</v>
      </c>
      <c r="AF903" t="str">
        <f t="shared" si="275"/>
        <v>P00</v>
      </c>
      <c r="AG903" t="str">
        <f t="shared" si="281"/>
        <v>0P00</v>
      </c>
      <c r="AH903" t="str">
        <f t="shared" si="282"/>
        <v>P000</v>
      </c>
      <c r="AI903" t="str">
        <f t="shared" si="283"/>
        <v>0P00</v>
      </c>
      <c r="AJ903" t="str">
        <f t="shared" si="284"/>
        <v>P000</v>
      </c>
    </row>
    <row r="904" spans="1:36" x14ac:dyDescent="0.25">
      <c r="A904" s="325" t="str">
        <f>CONCATENATE("P",'906MP'!M604)</f>
        <v>P</v>
      </c>
      <c r="B904">
        <f>'906MP'!H604</f>
        <v>0</v>
      </c>
      <c r="C904">
        <f>'906MP'!J604</f>
        <v>0</v>
      </c>
      <c r="D904">
        <f>'906MP'!P604</f>
        <v>0</v>
      </c>
      <c r="E904">
        <f>'906MP'!X604</f>
        <v>0</v>
      </c>
      <c r="F904" t="str">
        <f t="shared" si="276"/>
        <v>0</v>
      </c>
      <c r="G904" t="str">
        <f t="shared" si="277"/>
        <v>0</v>
      </c>
      <c r="H904">
        <f>'906MP'!Y604</f>
        <v>0</v>
      </c>
      <c r="I904">
        <f>'906MP'!AK604</f>
        <v>0</v>
      </c>
      <c r="J904">
        <f>'906MP'!T604</f>
        <v>0</v>
      </c>
      <c r="K904">
        <f>'906MP'!AJ604</f>
        <v>0</v>
      </c>
      <c r="L904">
        <f>'906MP'!U604</f>
        <v>0</v>
      </c>
      <c r="M904" s="322" t="str">
        <f>IFERROR(VLOOKUP(A904,PAR!$D$3:$E$53,2,FALSE),"nincs szervezet")</f>
        <v>nincs szervezet</v>
      </c>
      <c r="N904" s="322" t="str">
        <f>VLOOKUP(F904,PAR!$R$3:$S$5,2,FALSE)</f>
        <v>3 - egyik sem</v>
      </c>
      <c r="O904" t="str">
        <f>IFERROR(VLOOKUP(J904,PAR!$O$3:$P$5,2,FALSE),"nincs feladat")</f>
        <v>nincs feladat</v>
      </c>
      <c r="P904" t="str">
        <f>IFERROR(VLOOKUP(G904,PAR!$J$2:$M$19,4),"nincs rovat")</f>
        <v>nincs rovat</v>
      </c>
      <c r="Q904" t="str">
        <f>IF(H904&gt;0,VLOOKUP(H904,PAR!$AA$3:$AC$187,3,FALSE),"nincs főkönyvi számla")</f>
        <v>nincs főkönyvi számla</v>
      </c>
      <c r="R904" t="str">
        <f>IFERROR(VLOOKUP(K904,PAR!$V$3:$X$438,3,FALSE),"000000 - Nincs COFOG")</f>
        <v>000000 - Nincs COFOG</v>
      </c>
      <c r="S904">
        <f t="shared" si="278"/>
        <v>0</v>
      </c>
      <c r="T904">
        <f t="shared" si="279"/>
        <v>0</v>
      </c>
      <c r="U904" t="str">
        <f>IF('906MP'!J604&gt;0,CONCATENATE('906MP'!J604," - ",'906MP'!P604,", ",'906MP'!E604),"nincs megjegyzés")</f>
        <v>nincs megjegyzés</v>
      </c>
      <c r="V904" t="str">
        <f t="shared" si="266"/>
        <v>0P0</v>
      </c>
      <c r="W904" t="str">
        <f t="shared" si="267"/>
        <v>0P0</v>
      </c>
      <c r="X904" t="str">
        <f t="shared" si="268"/>
        <v>P0</v>
      </c>
      <c r="Y904" t="str">
        <f t="shared" si="269"/>
        <v>00</v>
      </c>
      <c r="Z904" t="str">
        <f t="shared" si="280"/>
        <v>00</v>
      </c>
      <c r="AA904" t="str">
        <f t="shared" si="270"/>
        <v>00</v>
      </c>
      <c r="AB904" t="str">
        <f t="shared" si="271"/>
        <v>00</v>
      </c>
      <c r="AC904" t="str">
        <f t="shared" si="272"/>
        <v>0P0</v>
      </c>
      <c r="AD904" t="str">
        <f t="shared" si="273"/>
        <v>P00</v>
      </c>
      <c r="AE904" t="str">
        <f t="shared" si="274"/>
        <v>0P0</v>
      </c>
      <c r="AF904" t="str">
        <f t="shared" si="275"/>
        <v>P00</v>
      </c>
      <c r="AG904" t="str">
        <f t="shared" si="281"/>
        <v>0P00</v>
      </c>
      <c r="AH904" t="str">
        <f t="shared" si="282"/>
        <v>P000</v>
      </c>
      <c r="AI904" t="str">
        <f t="shared" si="283"/>
        <v>0P00</v>
      </c>
      <c r="AJ904" t="str">
        <f t="shared" si="284"/>
        <v>P000</v>
      </c>
    </row>
    <row r="905" spans="1:36" x14ac:dyDescent="0.25">
      <c r="A905" s="325" t="str">
        <f>CONCATENATE("P",'906MP'!M605)</f>
        <v>P</v>
      </c>
      <c r="B905">
        <f>'906MP'!H605</f>
        <v>0</v>
      </c>
      <c r="C905">
        <f>'906MP'!J605</f>
        <v>0</v>
      </c>
      <c r="D905">
        <f>'906MP'!P605</f>
        <v>0</v>
      </c>
      <c r="E905">
        <f>'906MP'!X605</f>
        <v>0</v>
      </c>
      <c r="F905" t="str">
        <f t="shared" si="276"/>
        <v>0</v>
      </c>
      <c r="G905" t="str">
        <f t="shared" si="277"/>
        <v>0</v>
      </c>
      <c r="H905">
        <f>'906MP'!Y605</f>
        <v>0</v>
      </c>
      <c r="I905">
        <f>'906MP'!AK605</f>
        <v>0</v>
      </c>
      <c r="J905">
        <f>'906MP'!T605</f>
        <v>0</v>
      </c>
      <c r="K905">
        <f>'906MP'!AJ605</f>
        <v>0</v>
      </c>
      <c r="L905">
        <f>'906MP'!U605</f>
        <v>0</v>
      </c>
      <c r="M905" s="322" t="str">
        <f>IFERROR(VLOOKUP(A905,PAR!$D$3:$E$53,2,FALSE),"nincs szervezet")</f>
        <v>nincs szervezet</v>
      </c>
      <c r="N905" s="322" t="str">
        <f>VLOOKUP(F905,PAR!$R$3:$S$5,2,FALSE)</f>
        <v>3 - egyik sem</v>
      </c>
      <c r="O905" t="str">
        <f>IFERROR(VLOOKUP(J905,PAR!$O$3:$P$5,2,FALSE),"nincs feladat")</f>
        <v>nincs feladat</v>
      </c>
      <c r="P905" t="str">
        <f>IFERROR(VLOOKUP(G905,PAR!$J$2:$M$19,4),"nincs rovat")</f>
        <v>nincs rovat</v>
      </c>
      <c r="Q905" t="str">
        <f>IF(H905&gt;0,VLOOKUP(H905,PAR!$AA$3:$AC$187,3,FALSE),"nincs főkönyvi számla")</f>
        <v>nincs főkönyvi számla</v>
      </c>
      <c r="R905" t="str">
        <f>IFERROR(VLOOKUP(K905,PAR!$V$3:$X$438,3,FALSE),"000000 - Nincs COFOG")</f>
        <v>000000 - Nincs COFOG</v>
      </c>
      <c r="S905">
        <f t="shared" si="278"/>
        <v>0</v>
      </c>
      <c r="T905">
        <f t="shared" si="279"/>
        <v>0</v>
      </c>
      <c r="U905" t="str">
        <f>IF('906MP'!J605&gt;0,CONCATENATE('906MP'!J605," - ",'906MP'!P605,", ",'906MP'!E605),"nincs megjegyzés")</f>
        <v>nincs megjegyzés</v>
      </c>
      <c r="V905" t="str">
        <f t="shared" si="266"/>
        <v>0P0</v>
      </c>
      <c r="W905" t="str">
        <f t="shared" si="267"/>
        <v>0P0</v>
      </c>
      <c r="X905" t="str">
        <f t="shared" si="268"/>
        <v>P0</v>
      </c>
      <c r="Y905" t="str">
        <f t="shared" si="269"/>
        <v>00</v>
      </c>
      <c r="Z905" t="str">
        <f t="shared" si="280"/>
        <v>00</v>
      </c>
      <c r="AA905" t="str">
        <f t="shared" si="270"/>
        <v>00</v>
      </c>
      <c r="AB905" t="str">
        <f t="shared" si="271"/>
        <v>00</v>
      </c>
      <c r="AC905" t="str">
        <f t="shared" si="272"/>
        <v>0P0</v>
      </c>
      <c r="AD905" t="str">
        <f t="shared" si="273"/>
        <v>P00</v>
      </c>
      <c r="AE905" t="str">
        <f t="shared" si="274"/>
        <v>0P0</v>
      </c>
      <c r="AF905" t="str">
        <f t="shared" si="275"/>
        <v>P00</v>
      </c>
      <c r="AG905" t="str">
        <f t="shared" si="281"/>
        <v>0P00</v>
      </c>
      <c r="AH905" t="str">
        <f t="shared" si="282"/>
        <v>P000</v>
      </c>
      <c r="AI905" t="str">
        <f t="shared" si="283"/>
        <v>0P00</v>
      </c>
      <c r="AJ905" t="str">
        <f t="shared" si="284"/>
        <v>P000</v>
      </c>
    </row>
    <row r="906" spans="1:36" x14ac:dyDescent="0.25">
      <c r="A906" s="325" t="str">
        <f>CONCATENATE("P",'906MP'!M606)</f>
        <v>P</v>
      </c>
      <c r="B906">
        <f>'906MP'!H606</f>
        <v>0</v>
      </c>
      <c r="C906">
        <f>'906MP'!J606</f>
        <v>0</v>
      </c>
      <c r="D906">
        <f>'906MP'!P606</f>
        <v>0</v>
      </c>
      <c r="E906">
        <f>'906MP'!X606</f>
        <v>0</v>
      </c>
      <c r="F906" t="str">
        <f t="shared" si="276"/>
        <v>0</v>
      </c>
      <c r="G906" t="str">
        <f t="shared" si="277"/>
        <v>0</v>
      </c>
      <c r="H906">
        <f>'906MP'!Y606</f>
        <v>0</v>
      </c>
      <c r="I906">
        <f>'906MP'!AK606</f>
        <v>0</v>
      </c>
      <c r="J906">
        <f>'906MP'!T606</f>
        <v>0</v>
      </c>
      <c r="K906">
        <f>'906MP'!AJ606</f>
        <v>0</v>
      </c>
      <c r="L906">
        <f>'906MP'!U606</f>
        <v>0</v>
      </c>
      <c r="M906" s="322" t="str">
        <f>IFERROR(VLOOKUP(A906,PAR!$D$3:$E$53,2,FALSE),"nincs szervezet")</f>
        <v>nincs szervezet</v>
      </c>
      <c r="N906" s="322" t="str">
        <f>VLOOKUP(F906,PAR!$R$3:$S$5,2,FALSE)</f>
        <v>3 - egyik sem</v>
      </c>
      <c r="O906" t="str">
        <f>IFERROR(VLOOKUP(J906,PAR!$O$3:$P$5,2,FALSE),"nincs feladat")</f>
        <v>nincs feladat</v>
      </c>
      <c r="P906" t="str">
        <f>IFERROR(VLOOKUP(G906,PAR!$J$2:$M$19,4),"nincs rovat")</f>
        <v>nincs rovat</v>
      </c>
      <c r="Q906" t="str">
        <f>IF(H906&gt;0,VLOOKUP(H906,PAR!$AA$3:$AC$187,3,FALSE),"nincs főkönyvi számla")</f>
        <v>nincs főkönyvi számla</v>
      </c>
      <c r="R906" t="str">
        <f>IFERROR(VLOOKUP(K906,PAR!$V$3:$X$438,3,FALSE),"000000 - Nincs COFOG")</f>
        <v>000000 - Nincs COFOG</v>
      </c>
      <c r="S906">
        <f t="shared" si="278"/>
        <v>0</v>
      </c>
      <c r="T906">
        <f t="shared" si="279"/>
        <v>0</v>
      </c>
      <c r="U906" t="str">
        <f>IF('906MP'!J606&gt;0,CONCATENATE('906MP'!J606," - ",'906MP'!P606,", ",'906MP'!E606),"nincs megjegyzés")</f>
        <v>nincs megjegyzés</v>
      </c>
      <c r="V906" t="str">
        <f t="shared" si="266"/>
        <v>0P0</v>
      </c>
      <c r="W906" t="str">
        <f t="shared" si="267"/>
        <v>0P0</v>
      </c>
      <c r="X906" t="str">
        <f t="shared" si="268"/>
        <v>P0</v>
      </c>
      <c r="Y906" t="str">
        <f t="shared" si="269"/>
        <v>00</v>
      </c>
      <c r="Z906" t="str">
        <f t="shared" si="280"/>
        <v>00</v>
      </c>
      <c r="AA906" t="str">
        <f t="shared" si="270"/>
        <v>00</v>
      </c>
      <c r="AB906" t="str">
        <f t="shared" si="271"/>
        <v>00</v>
      </c>
      <c r="AC906" t="str">
        <f t="shared" si="272"/>
        <v>0P0</v>
      </c>
      <c r="AD906" t="str">
        <f t="shared" si="273"/>
        <v>P00</v>
      </c>
      <c r="AE906" t="str">
        <f t="shared" si="274"/>
        <v>0P0</v>
      </c>
      <c r="AF906" t="str">
        <f t="shared" si="275"/>
        <v>P00</v>
      </c>
      <c r="AG906" t="str">
        <f t="shared" si="281"/>
        <v>0P00</v>
      </c>
      <c r="AH906" t="str">
        <f t="shared" si="282"/>
        <v>P000</v>
      </c>
      <c r="AI906" t="str">
        <f t="shared" si="283"/>
        <v>0P00</v>
      </c>
      <c r="AJ906" t="str">
        <f t="shared" si="284"/>
        <v>P000</v>
      </c>
    </row>
    <row r="907" spans="1:36" x14ac:dyDescent="0.25">
      <c r="A907" s="325" t="str">
        <f>CONCATENATE("P",'906MP'!M607)</f>
        <v>P</v>
      </c>
      <c r="B907">
        <f>'906MP'!H607</f>
        <v>0</v>
      </c>
      <c r="C907">
        <f>'906MP'!J607</f>
        <v>0</v>
      </c>
      <c r="D907">
        <f>'906MP'!P607</f>
        <v>0</v>
      </c>
      <c r="E907">
        <f>'906MP'!X607</f>
        <v>0</v>
      </c>
      <c r="F907" t="str">
        <f t="shared" si="276"/>
        <v>0</v>
      </c>
      <c r="G907" t="str">
        <f t="shared" si="277"/>
        <v>0</v>
      </c>
      <c r="H907">
        <f>'906MP'!Y607</f>
        <v>0</v>
      </c>
      <c r="I907">
        <f>'906MP'!AK607</f>
        <v>0</v>
      </c>
      <c r="J907">
        <f>'906MP'!T607</f>
        <v>0</v>
      </c>
      <c r="K907">
        <f>'906MP'!AJ607</f>
        <v>0</v>
      </c>
      <c r="L907">
        <f>'906MP'!U607</f>
        <v>0</v>
      </c>
      <c r="M907" s="322" t="str">
        <f>IFERROR(VLOOKUP(A907,PAR!$D$3:$E$53,2,FALSE),"nincs szervezet")</f>
        <v>nincs szervezet</v>
      </c>
      <c r="N907" s="322" t="str">
        <f>VLOOKUP(F907,PAR!$R$3:$S$5,2,FALSE)</f>
        <v>3 - egyik sem</v>
      </c>
      <c r="O907" t="str">
        <f>IFERROR(VLOOKUP(J907,PAR!$O$3:$P$5,2,FALSE),"nincs feladat")</f>
        <v>nincs feladat</v>
      </c>
      <c r="P907" t="str">
        <f>IFERROR(VLOOKUP(G907,PAR!$J$2:$M$19,4),"nincs rovat")</f>
        <v>nincs rovat</v>
      </c>
      <c r="Q907" t="str">
        <f>IF(H907&gt;0,VLOOKUP(H907,PAR!$AA$3:$AC$187,3,FALSE),"nincs főkönyvi számla")</f>
        <v>nincs főkönyvi számla</v>
      </c>
      <c r="R907" t="str">
        <f>IFERROR(VLOOKUP(K907,PAR!$V$3:$X$438,3,FALSE),"000000 - Nincs COFOG")</f>
        <v>000000 - Nincs COFOG</v>
      </c>
      <c r="S907">
        <f t="shared" si="278"/>
        <v>0</v>
      </c>
      <c r="T907">
        <f t="shared" si="279"/>
        <v>0</v>
      </c>
      <c r="U907" t="str">
        <f>IF('906MP'!J607&gt;0,CONCATENATE('906MP'!J607," - ",'906MP'!P607,", ",'906MP'!E607),"nincs megjegyzés")</f>
        <v>nincs megjegyzés</v>
      </c>
      <c r="V907" t="str">
        <f t="shared" si="266"/>
        <v>0P0</v>
      </c>
      <c r="W907" t="str">
        <f t="shared" si="267"/>
        <v>0P0</v>
      </c>
      <c r="X907" t="str">
        <f t="shared" si="268"/>
        <v>P0</v>
      </c>
      <c r="Y907" t="str">
        <f t="shared" si="269"/>
        <v>00</v>
      </c>
      <c r="Z907" t="str">
        <f t="shared" si="280"/>
        <v>00</v>
      </c>
      <c r="AA907" t="str">
        <f t="shared" si="270"/>
        <v>00</v>
      </c>
      <c r="AB907" t="str">
        <f t="shared" si="271"/>
        <v>00</v>
      </c>
      <c r="AC907" t="str">
        <f t="shared" si="272"/>
        <v>0P0</v>
      </c>
      <c r="AD907" t="str">
        <f t="shared" si="273"/>
        <v>P00</v>
      </c>
      <c r="AE907" t="str">
        <f t="shared" si="274"/>
        <v>0P0</v>
      </c>
      <c r="AF907" t="str">
        <f t="shared" si="275"/>
        <v>P00</v>
      </c>
      <c r="AG907" t="str">
        <f t="shared" si="281"/>
        <v>0P00</v>
      </c>
      <c r="AH907" t="str">
        <f t="shared" si="282"/>
        <v>P000</v>
      </c>
      <c r="AI907" t="str">
        <f t="shared" si="283"/>
        <v>0P00</v>
      </c>
      <c r="AJ907" t="str">
        <f t="shared" si="284"/>
        <v>P000</v>
      </c>
    </row>
    <row r="908" spans="1:36" x14ac:dyDescent="0.25">
      <c r="A908" s="325" t="str">
        <f>CONCATENATE("P",'906MP'!M608)</f>
        <v>P</v>
      </c>
      <c r="B908">
        <f>'906MP'!H608</f>
        <v>0</v>
      </c>
      <c r="C908">
        <f>'906MP'!J608</f>
        <v>0</v>
      </c>
      <c r="D908">
        <f>'906MP'!P608</f>
        <v>0</v>
      </c>
      <c r="E908">
        <f>'906MP'!X608</f>
        <v>0</v>
      </c>
      <c r="F908" t="str">
        <f t="shared" si="276"/>
        <v>0</v>
      </c>
      <c r="G908" t="str">
        <f t="shared" si="277"/>
        <v>0</v>
      </c>
      <c r="H908">
        <f>'906MP'!Y608</f>
        <v>0</v>
      </c>
      <c r="I908">
        <f>'906MP'!AK608</f>
        <v>0</v>
      </c>
      <c r="J908">
        <f>'906MP'!T608</f>
        <v>0</v>
      </c>
      <c r="K908">
        <f>'906MP'!AJ608</f>
        <v>0</v>
      </c>
      <c r="L908">
        <f>'906MP'!U608</f>
        <v>0</v>
      </c>
      <c r="M908" s="322" t="str">
        <f>IFERROR(VLOOKUP(A908,PAR!$D$3:$E$53,2,FALSE),"nincs szervezet")</f>
        <v>nincs szervezet</v>
      </c>
      <c r="N908" s="322" t="str">
        <f>VLOOKUP(F908,PAR!$R$3:$S$5,2,FALSE)</f>
        <v>3 - egyik sem</v>
      </c>
      <c r="O908" t="str">
        <f>IFERROR(VLOOKUP(J908,PAR!$O$3:$P$5,2,FALSE),"nincs feladat")</f>
        <v>nincs feladat</v>
      </c>
      <c r="P908" t="str">
        <f>IFERROR(VLOOKUP(G908,PAR!$J$2:$M$19,4),"nincs rovat")</f>
        <v>nincs rovat</v>
      </c>
      <c r="Q908" t="str">
        <f>IF(H908&gt;0,VLOOKUP(H908,PAR!$AA$3:$AC$187,3,FALSE),"nincs főkönyvi számla")</f>
        <v>nincs főkönyvi számla</v>
      </c>
      <c r="R908" t="str">
        <f>IFERROR(VLOOKUP(K908,PAR!$V$3:$X$438,3,FALSE),"000000 - Nincs COFOG")</f>
        <v>000000 - Nincs COFOG</v>
      </c>
      <c r="S908">
        <f t="shared" si="278"/>
        <v>0</v>
      </c>
      <c r="T908">
        <f t="shared" si="279"/>
        <v>0</v>
      </c>
      <c r="U908" t="str">
        <f>IF('906MP'!J608&gt;0,CONCATENATE('906MP'!J608," - ",'906MP'!P608,", ",'906MP'!E608),"nincs megjegyzés")</f>
        <v>nincs megjegyzés</v>
      </c>
      <c r="V908" t="str">
        <f t="shared" si="266"/>
        <v>0P0</v>
      </c>
      <c r="W908" t="str">
        <f t="shared" si="267"/>
        <v>0P0</v>
      </c>
      <c r="X908" t="str">
        <f t="shared" si="268"/>
        <v>P0</v>
      </c>
      <c r="Y908" t="str">
        <f t="shared" si="269"/>
        <v>00</v>
      </c>
      <c r="Z908" t="str">
        <f t="shared" si="280"/>
        <v>00</v>
      </c>
      <c r="AA908" t="str">
        <f t="shared" si="270"/>
        <v>00</v>
      </c>
      <c r="AB908" t="str">
        <f t="shared" si="271"/>
        <v>00</v>
      </c>
      <c r="AC908" t="str">
        <f t="shared" si="272"/>
        <v>0P0</v>
      </c>
      <c r="AD908" t="str">
        <f t="shared" si="273"/>
        <v>P00</v>
      </c>
      <c r="AE908" t="str">
        <f t="shared" si="274"/>
        <v>0P0</v>
      </c>
      <c r="AF908" t="str">
        <f t="shared" si="275"/>
        <v>P00</v>
      </c>
      <c r="AG908" t="str">
        <f t="shared" si="281"/>
        <v>0P00</v>
      </c>
      <c r="AH908" t="str">
        <f t="shared" si="282"/>
        <v>P000</v>
      </c>
      <c r="AI908" t="str">
        <f t="shared" si="283"/>
        <v>0P00</v>
      </c>
      <c r="AJ908" t="str">
        <f t="shared" si="284"/>
        <v>P000</v>
      </c>
    </row>
    <row r="909" spans="1:36" x14ac:dyDescent="0.25">
      <c r="A909" s="325" t="str">
        <f>CONCATENATE("P",'906MP'!M609)</f>
        <v>P</v>
      </c>
      <c r="B909">
        <f>'906MP'!H609</f>
        <v>0</v>
      </c>
      <c r="C909">
        <f>'906MP'!J609</f>
        <v>0</v>
      </c>
      <c r="D909">
        <f>'906MP'!P609</f>
        <v>0</v>
      </c>
      <c r="E909">
        <f>'906MP'!X609</f>
        <v>0</v>
      </c>
      <c r="F909" t="str">
        <f t="shared" si="276"/>
        <v>0</v>
      </c>
      <c r="G909" t="str">
        <f t="shared" si="277"/>
        <v>0</v>
      </c>
      <c r="H909">
        <f>'906MP'!Y609</f>
        <v>0</v>
      </c>
      <c r="I909">
        <f>'906MP'!AK609</f>
        <v>0</v>
      </c>
      <c r="J909">
        <f>'906MP'!T609</f>
        <v>0</v>
      </c>
      <c r="K909">
        <f>'906MP'!AJ609</f>
        <v>0</v>
      </c>
      <c r="L909">
        <f>'906MP'!U609</f>
        <v>0</v>
      </c>
      <c r="M909" s="322" t="str">
        <f>IFERROR(VLOOKUP(A909,PAR!$D$3:$E$53,2,FALSE),"nincs szervezet")</f>
        <v>nincs szervezet</v>
      </c>
      <c r="N909" s="322" t="str">
        <f>VLOOKUP(F909,PAR!$R$3:$S$5,2,FALSE)</f>
        <v>3 - egyik sem</v>
      </c>
      <c r="O909" t="str">
        <f>IFERROR(VLOOKUP(J909,PAR!$O$3:$P$5,2,FALSE),"nincs feladat")</f>
        <v>nincs feladat</v>
      </c>
      <c r="P909" t="str">
        <f>IFERROR(VLOOKUP(G909,PAR!$J$2:$M$19,4),"nincs rovat")</f>
        <v>nincs rovat</v>
      </c>
      <c r="Q909" t="str">
        <f>IF(H909&gt;0,VLOOKUP(H909,PAR!$AA$3:$AC$187,3,FALSE),"nincs főkönyvi számla")</f>
        <v>nincs főkönyvi számla</v>
      </c>
      <c r="R909" t="str">
        <f>IFERROR(VLOOKUP(K909,PAR!$V$3:$X$438,3,FALSE),"000000 - Nincs COFOG")</f>
        <v>000000 - Nincs COFOG</v>
      </c>
      <c r="S909">
        <f t="shared" si="278"/>
        <v>0</v>
      </c>
      <c r="T909">
        <f t="shared" si="279"/>
        <v>0</v>
      </c>
      <c r="U909" t="str">
        <f>IF('906MP'!J609&gt;0,CONCATENATE('906MP'!J609," - ",'906MP'!P609,", ",'906MP'!E609),"nincs megjegyzés")</f>
        <v>nincs megjegyzés</v>
      </c>
      <c r="V909" t="str">
        <f t="shared" si="266"/>
        <v>0P0</v>
      </c>
      <c r="W909" t="str">
        <f t="shared" si="267"/>
        <v>0P0</v>
      </c>
      <c r="X909" t="str">
        <f t="shared" si="268"/>
        <v>P0</v>
      </c>
      <c r="Y909" t="str">
        <f t="shared" si="269"/>
        <v>00</v>
      </c>
      <c r="Z909" t="str">
        <f t="shared" si="280"/>
        <v>00</v>
      </c>
      <c r="AA909" t="str">
        <f t="shared" si="270"/>
        <v>00</v>
      </c>
      <c r="AB909" t="str">
        <f t="shared" si="271"/>
        <v>00</v>
      </c>
      <c r="AC909" t="str">
        <f t="shared" si="272"/>
        <v>0P0</v>
      </c>
      <c r="AD909" t="str">
        <f t="shared" si="273"/>
        <v>P00</v>
      </c>
      <c r="AE909" t="str">
        <f t="shared" si="274"/>
        <v>0P0</v>
      </c>
      <c r="AF909" t="str">
        <f t="shared" si="275"/>
        <v>P00</v>
      </c>
      <c r="AG909" t="str">
        <f t="shared" si="281"/>
        <v>0P00</v>
      </c>
      <c r="AH909" t="str">
        <f t="shared" si="282"/>
        <v>P000</v>
      </c>
      <c r="AI909" t="str">
        <f t="shared" si="283"/>
        <v>0P00</v>
      </c>
      <c r="AJ909" t="str">
        <f t="shared" si="284"/>
        <v>P000</v>
      </c>
    </row>
    <row r="910" spans="1:36" x14ac:dyDescent="0.25">
      <c r="A910" s="325" t="str">
        <f>CONCATENATE("P",'906MP'!M610)</f>
        <v>P</v>
      </c>
      <c r="B910">
        <f>'906MP'!H610</f>
        <v>0</v>
      </c>
      <c r="C910">
        <f>'906MP'!J610</f>
        <v>0</v>
      </c>
      <c r="D910">
        <f>'906MP'!P610</f>
        <v>0</v>
      </c>
      <c r="E910">
        <f>'906MP'!X610</f>
        <v>0</v>
      </c>
      <c r="F910" t="str">
        <f t="shared" si="276"/>
        <v>0</v>
      </c>
      <c r="G910" t="str">
        <f t="shared" si="277"/>
        <v>0</v>
      </c>
      <c r="H910">
        <f>'906MP'!Y610</f>
        <v>0</v>
      </c>
      <c r="I910">
        <f>'906MP'!AK610</f>
        <v>0</v>
      </c>
      <c r="J910">
        <f>'906MP'!T610</f>
        <v>0</v>
      </c>
      <c r="K910">
        <f>'906MP'!AJ610</f>
        <v>0</v>
      </c>
      <c r="L910">
        <f>'906MP'!U610</f>
        <v>0</v>
      </c>
      <c r="M910" s="322" t="str">
        <f>IFERROR(VLOOKUP(A910,PAR!$D$3:$E$53,2,FALSE),"nincs szervezet")</f>
        <v>nincs szervezet</v>
      </c>
      <c r="N910" s="322" t="str">
        <f>VLOOKUP(F910,PAR!$R$3:$S$5,2,FALSE)</f>
        <v>3 - egyik sem</v>
      </c>
      <c r="O910" t="str">
        <f>IFERROR(VLOOKUP(J910,PAR!$O$3:$P$5,2,FALSE),"nincs feladat")</f>
        <v>nincs feladat</v>
      </c>
      <c r="P910" t="str">
        <f>IFERROR(VLOOKUP(G910,PAR!$J$2:$M$19,4),"nincs rovat")</f>
        <v>nincs rovat</v>
      </c>
      <c r="Q910" t="str">
        <f>IF(H910&gt;0,VLOOKUP(H910,PAR!$AA$3:$AC$187,3,FALSE),"nincs főkönyvi számla")</f>
        <v>nincs főkönyvi számla</v>
      </c>
      <c r="R910" t="str">
        <f>IFERROR(VLOOKUP(K910,PAR!$V$3:$X$438,3,FALSE),"000000 - Nincs COFOG")</f>
        <v>000000 - Nincs COFOG</v>
      </c>
      <c r="S910">
        <f t="shared" si="278"/>
        <v>0</v>
      </c>
      <c r="T910">
        <f t="shared" si="279"/>
        <v>0</v>
      </c>
      <c r="U910" t="str">
        <f>IF('906MP'!J610&gt;0,CONCATENATE('906MP'!J610," - ",'906MP'!P610,", ",'906MP'!E610),"nincs megjegyzés")</f>
        <v>nincs megjegyzés</v>
      </c>
      <c r="V910" t="str">
        <f t="shared" si="266"/>
        <v>0P0</v>
      </c>
      <c r="W910" t="str">
        <f t="shared" si="267"/>
        <v>0P0</v>
      </c>
      <c r="X910" t="str">
        <f t="shared" si="268"/>
        <v>P0</v>
      </c>
      <c r="Y910" t="str">
        <f t="shared" si="269"/>
        <v>00</v>
      </c>
      <c r="Z910" t="str">
        <f t="shared" si="280"/>
        <v>00</v>
      </c>
      <c r="AA910" t="str">
        <f t="shared" si="270"/>
        <v>00</v>
      </c>
      <c r="AB910" t="str">
        <f t="shared" si="271"/>
        <v>00</v>
      </c>
      <c r="AC910" t="str">
        <f t="shared" si="272"/>
        <v>0P0</v>
      </c>
      <c r="AD910" t="str">
        <f t="shared" si="273"/>
        <v>P00</v>
      </c>
      <c r="AE910" t="str">
        <f t="shared" si="274"/>
        <v>0P0</v>
      </c>
      <c r="AF910" t="str">
        <f t="shared" si="275"/>
        <v>P00</v>
      </c>
      <c r="AG910" t="str">
        <f t="shared" si="281"/>
        <v>0P00</v>
      </c>
      <c r="AH910" t="str">
        <f t="shared" si="282"/>
        <v>P000</v>
      </c>
      <c r="AI910" t="str">
        <f t="shared" si="283"/>
        <v>0P00</v>
      </c>
      <c r="AJ910" t="str">
        <f t="shared" si="284"/>
        <v>P000</v>
      </c>
    </row>
    <row r="911" spans="1:36" x14ac:dyDescent="0.25">
      <c r="A911" s="325" t="str">
        <f>CONCATENATE("P",'906MP'!M611)</f>
        <v>P</v>
      </c>
      <c r="B911">
        <f>'906MP'!H611</f>
        <v>0</v>
      </c>
      <c r="C911">
        <f>'906MP'!J611</f>
        <v>0</v>
      </c>
      <c r="D911">
        <f>'906MP'!P611</f>
        <v>0</v>
      </c>
      <c r="E911">
        <f>'906MP'!X611</f>
        <v>0</v>
      </c>
      <c r="F911" t="str">
        <f t="shared" si="276"/>
        <v>0</v>
      </c>
      <c r="G911" t="str">
        <f t="shared" si="277"/>
        <v>0</v>
      </c>
      <c r="H911">
        <f>'906MP'!Y611</f>
        <v>0</v>
      </c>
      <c r="I911">
        <f>'906MP'!AK611</f>
        <v>0</v>
      </c>
      <c r="J911">
        <f>'906MP'!T611</f>
        <v>0</v>
      </c>
      <c r="K911">
        <f>'906MP'!AJ611</f>
        <v>0</v>
      </c>
      <c r="L911">
        <f>'906MP'!U611</f>
        <v>0</v>
      </c>
      <c r="M911" s="322" t="str">
        <f>IFERROR(VLOOKUP(A911,PAR!$D$3:$E$53,2,FALSE),"nincs szervezet")</f>
        <v>nincs szervezet</v>
      </c>
      <c r="N911" s="322" t="str">
        <f>VLOOKUP(F911,PAR!$R$3:$S$5,2,FALSE)</f>
        <v>3 - egyik sem</v>
      </c>
      <c r="O911" t="str">
        <f>IFERROR(VLOOKUP(J911,PAR!$O$3:$P$5,2,FALSE),"nincs feladat")</f>
        <v>nincs feladat</v>
      </c>
      <c r="P911" t="str">
        <f>IFERROR(VLOOKUP(G911,PAR!$J$2:$M$19,4),"nincs rovat")</f>
        <v>nincs rovat</v>
      </c>
      <c r="Q911" t="str">
        <f>IF(H911&gt;0,VLOOKUP(H911,PAR!$AA$3:$AC$187,3,FALSE),"nincs főkönyvi számla")</f>
        <v>nincs főkönyvi számla</v>
      </c>
      <c r="R911" t="str">
        <f>IFERROR(VLOOKUP(K911,PAR!$V$3:$X$438,3,FALSE),"000000 - Nincs COFOG")</f>
        <v>000000 - Nincs COFOG</v>
      </c>
      <c r="S911">
        <f t="shared" si="278"/>
        <v>0</v>
      </c>
      <c r="T911">
        <f t="shared" si="279"/>
        <v>0</v>
      </c>
      <c r="U911" t="str">
        <f>IF('906MP'!J611&gt;0,CONCATENATE('906MP'!J611," - ",'906MP'!P611,", ",'906MP'!E611),"nincs megjegyzés")</f>
        <v>nincs megjegyzés</v>
      </c>
      <c r="V911" t="str">
        <f t="shared" si="266"/>
        <v>0P0</v>
      </c>
      <c r="W911" t="str">
        <f t="shared" si="267"/>
        <v>0P0</v>
      </c>
      <c r="X911" t="str">
        <f t="shared" si="268"/>
        <v>P0</v>
      </c>
      <c r="Y911" t="str">
        <f t="shared" si="269"/>
        <v>00</v>
      </c>
      <c r="Z911" t="str">
        <f t="shared" si="280"/>
        <v>00</v>
      </c>
      <c r="AA911" t="str">
        <f t="shared" si="270"/>
        <v>00</v>
      </c>
      <c r="AB911" t="str">
        <f t="shared" si="271"/>
        <v>00</v>
      </c>
      <c r="AC911" t="str">
        <f t="shared" si="272"/>
        <v>0P0</v>
      </c>
      <c r="AD911" t="str">
        <f t="shared" si="273"/>
        <v>P00</v>
      </c>
      <c r="AE911" t="str">
        <f t="shared" si="274"/>
        <v>0P0</v>
      </c>
      <c r="AF911" t="str">
        <f t="shared" si="275"/>
        <v>P00</v>
      </c>
      <c r="AG911" t="str">
        <f t="shared" si="281"/>
        <v>0P00</v>
      </c>
      <c r="AH911" t="str">
        <f t="shared" si="282"/>
        <v>P000</v>
      </c>
      <c r="AI911" t="str">
        <f t="shared" si="283"/>
        <v>0P00</v>
      </c>
      <c r="AJ911" t="str">
        <f t="shared" si="284"/>
        <v>P000</v>
      </c>
    </row>
    <row r="912" spans="1:36" x14ac:dyDescent="0.25">
      <c r="A912" s="325" t="str">
        <f>CONCATENATE("P",'906MP'!M612)</f>
        <v>P</v>
      </c>
      <c r="B912">
        <f>'906MP'!H612</f>
        <v>0</v>
      </c>
      <c r="C912">
        <f>'906MP'!J612</f>
        <v>0</v>
      </c>
      <c r="D912">
        <f>'906MP'!P612</f>
        <v>0</v>
      </c>
      <c r="E912">
        <f>'906MP'!X612</f>
        <v>0</v>
      </c>
      <c r="F912" t="str">
        <f t="shared" si="276"/>
        <v>0</v>
      </c>
      <c r="G912" t="str">
        <f t="shared" si="277"/>
        <v>0</v>
      </c>
      <c r="H912">
        <f>'906MP'!Y612</f>
        <v>0</v>
      </c>
      <c r="I912">
        <f>'906MP'!AK612</f>
        <v>0</v>
      </c>
      <c r="J912">
        <f>'906MP'!T612</f>
        <v>0</v>
      </c>
      <c r="K912">
        <f>'906MP'!AJ612</f>
        <v>0</v>
      </c>
      <c r="L912">
        <f>'906MP'!U612</f>
        <v>0</v>
      </c>
      <c r="M912" s="322" t="str">
        <f>IFERROR(VLOOKUP(A912,PAR!$D$3:$E$53,2,FALSE),"nincs szervezet")</f>
        <v>nincs szervezet</v>
      </c>
      <c r="N912" s="322" t="str">
        <f>VLOOKUP(F912,PAR!$R$3:$S$5,2,FALSE)</f>
        <v>3 - egyik sem</v>
      </c>
      <c r="O912" t="str">
        <f>IFERROR(VLOOKUP(J912,PAR!$O$3:$P$5,2,FALSE),"nincs feladat")</f>
        <v>nincs feladat</v>
      </c>
      <c r="P912" t="str">
        <f>IFERROR(VLOOKUP(G912,PAR!$J$2:$M$19,4),"nincs rovat")</f>
        <v>nincs rovat</v>
      </c>
      <c r="Q912" t="str">
        <f>IF(H912&gt;0,VLOOKUP(H912,PAR!$AA$3:$AC$187,3,FALSE),"nincs főkönyvi számla")</f>
        <v>nincs főkönyvi számla</v>
      </c>
      <c r="R912" t="str">
        <f>IFERROR(VLOOKUP(K912,PAR!$V$3:$X$438,3,FALSE),"000000 - Nincs COFOG")</f>
        <v>000000 - Nincs COFOG</v>
      </c>
      <c r="S912">
        <f t="shared" si="278"/>
        <v>0</v>
      </c>
      <c r="T912">
        <f t="shared" si="279"/>
        <v>0</v>
      </c>
      <c r="U912" t="str">
        <f>IF('906MP'!J612&gt;0,CONCATENATE('906MP'!J612," - ",'906MP'!P612,", ",'906MP'!E612),"nincs megjegyzés")</f>
        <v>nincs megjegyzés</v>
      </c>
      <c r="V912" t="str">
        <f t="shared" si="266"/>
        <v>0P0</v>
      </c>
      <c r="W912" t="str">
        <f t="shared" si="267"/>
        <v>0P0</v>
      </c>
      <c r="X912" t="str">
        <f t="shared" si="268"/>
        <v>P0</v>
      </c>
      <c r="Y912" t="str">
        <f t="shared" si="269"/>
        <v>00</v>
      </c>
      <c r="Z912" t="str">
        <f t="shared" si="280"/>
        <v>00</v>
      </c>
      <c r="AA912" t="str">
        <f t="shared" si="270"/>
        <v>00</v>
      </c>
      <c r="AB912" t="str">
        <f t="shared" si="271"/>
        <v>00</v>
      </c>
      <c r="AC912" t="str">
        <f t="shared" si="272"/>
        <v>0P0</v>
      </c>
      <c r="AD912" t="str">
        <f t="shared" si="273"/>
        <v>P00</v>
      </c>
      <c r="AE912" t="str">
        <f t="shared" si="274"/>
        <v>0P0</v>
      </c>
      <c r="AF912" t="str">
        <f t="shared" si="275"/>
        <v>P00</v>
      </c>
      <c r="AG912" t="str">
        <f t="shared" si="281"/>
        <v>0P00</v>
      </c>
      <c r="AH912" t="str">
        <f t="shared" si="282"/>
        <v>P000</v>
      </c>
      <c r="AI912" t="str">
        <f t="shared" si="283"/>
        <v>0P00</v>
      </c>
      <c r="AJ912" t="str">
        <f t="shared" si="284"/>
        <v>P000</v>
      </c>
    </row>
    <row r="913" spans="1:36" x14ac:dyDescent="0.25">
      <c r="A913" s="325" t="str">
        <f>CONCATENATE("P",'906MP'!M613)</f>
        <v>P</v>
      </c>
      <c r="B913">
        <f>'906MP'!H613</f>
        <v>0</v>
      </c>
      <c r="C913">
        <f>'906MP'!J613</f>
        <v>0</v>
      </c>
      <c r="D913">
        <f>'906MP'!P613</f>
        <v>0</v>
      </c>
      <c r="E913">
        <f>'906MP'!X613</f>
        <v>0</v>
      </c>
      <c r="F913" t="str">
        <f t="shared" si="276"/>
        <v>0</v>
      </c>
      <c r="G913" t="str">
        <f t="shared" si="277"/>
        <v>0</v>
      </c>
      <c r="H913">
        <f>'906MP'!Y613</f>
        <v>0</v>
      </c>
      <c r="I913">
        <f>'906MP'!AK613</f>
        <v>0</v>
      </c>
      <c r="J913">
        <f>'906MP'!T613</f>
        <v>0</v>
      </c>
      <c r="K913">
        <f>'906MP'!AJ613</f>
        <v>0</v>
      </c>
      <c r="L913">
        <f>'906MP'!U613</f>
        <v>0</v>
      </c>
      <c r="M913" s="322" t="str">
        <f>IFERROR(VLOOKUP(A913,PAR!$D$3:$E$53,2,FALSE),"nincs szervezet")</f>
        <v>nincs szervezet</v>
      </c>
      <c r="N913" s="322" t="str">
        <f>VLOOKUP(F913,PAR!$R$3:$S$5,2,FALSE)</f>
        <v>3 - egyik sem</v>
      </c>
      <c r="O913" t="str">
        <f>IFERROR(VLOOKUP(J913,PAR!$O$3:$P$5,2,FALSE),"nincs feladat")</f>
        <v>nincs feladat</v>
      </c>
      <c r="P913" t="str">
        <f>IFERROR(VLOOKUP(G913,PAR!$J$2:$M$19,4),"nincs rovat")</f>
        <v>nincs rovat</v>
      </c>
      <c r="Q913" t="str">
        <f>IF(H913&gt;0,VLOOKUP(H913,PAR!$AA$3:$AC$187,3,FALSE),"nincs főkönyvi számla")</f>
        <v>nincs főkönyvi számla</v>
      </c>
      <c r="R913" t="str">
        <f>IFERROR(VLOOKUP(K913,PAR!$V$3:$X$438,3,FALSE),"000000 - Nincs COFOG")</f>
        <v>000000 - Nincs COFOG</v>
      </c>
      <c r="S913">
        <f t="shared" si="278"/>
        <v>0</v>
      </c>
      <c r="T913">
        <f t="shared" si="279"/>
        <v>0</v>
      </c>
      <c r="U913" t="str">
        <f>IF('906MP'!J613&gt;0,CONCATENATE('906MP'!J613," - ",'906MP'!P613,", ",'906MP'!E613),"nincs megjegyzés")</f>
        <v>nincs megjegyzés</v>
      </c>
      <c r="V913" t="str">
        <f t="shared" si="266"/>
        <v>0P0</v>
      </c>
      <c r="W913" t="str">
        <f t="shared" si="267"/>
        <v>0P0</v>
      </c>
      <c r="X913" t="str">
        <f t="shared" si="268"/>
        <v>P0</v>
      </c>
      <c r="Y913" t="str">
        <f t="shared" si="269"/>
        <v>00</v>
      </c>
      <c r="Z913" t="str">
        <f t="shared" si="280"/>
        <v>00</v>
      </c>
      <c r="AA913" t="str">
        <f t="shared" si="270"/>
        <v>00</v>
      </c>
      <c r="AB913" t="str">
        <f t="shared" si="271"/>
        <v>00</v>
      </c>
      <c r="AC913" t="str">
        <f t="shared" si="272"/>
        <v>0P0</v>
      </c>
      <c r="AD913" t="str">
        <f t="shared" si="273"/>
        <v>P00</v>
      </c>
      <c r="AE913" t="str">
        <f t="shared" si="274"/>
        <v>0P0</v>
      </c>
      <c r="AF913" t="str">
        <f t="shared" si="275"/>
        <v>P00</v>
      </c>
      <c r="AG913" t="str">
        <f t="shared" si="281"/>
        <v>0P00</v>
      </c>
      <c r="AH913" t="str">
        <f t="shared" si="282"/>
        <v>P000</v>
      </c>
      <c r="AI913" t="str">
        <f t="shared" si="283"/>
        <v>0P00</v>
      </c>
      <c r="AJ913" t="str">
        <f t="shared" si="284"/>
        <v>P000</v>
      </c>
    </row>
    <row r="914" spans="1:36" x14ac:dyDescent="0.25">
      <c r="A914" s="325" t="str">
        <f>CONCATENATE("P",'906MP'!M614)</f>
        <v>P</v>
      </c>
      <c r="B914">
        <f>'906MP'!H614</f>
        <v>0</v>
      </c>
      <c r="C914">
        <f>'906MP'!J614</f>
        <v>0</v>
      </c>
      <c r="D914">
        <f>'906MP'!P614</f>
        <v>0</v>
      </c>
      <c r="E914">
        <f>'906MP'!X614</f>
        <v>0</v>
      </c>
      <c r="F914" t="str">
        <f t="shared" si="276"/>
        <v>0</v>
      </c>
      <c r="G914" t="str">
        <f t="shared" si="277"/>
        <v>0</v>
      </c>
      <c r="H914">
        <f>'906MP'!Y614</f>
        <v>0</v>
      </c>
      <c r="I914">
        <f>'906MP'!AK614</f>
        <v>0</v>
      </c>
      <c r="J914">
        <f>'906MP'!T614</f>
        <v>0</v>
      </c>
      <c r="K914">
        <f>'906MP'!AJ614</f>
        <v>0</v>
      </c>
      <c r="L914">
        <f>'906MP'!U614</f>
        <v>0</v>
      </c>
      <c r="M914" s="322" t="str">
        <f>IFERROR(VLOOKUP(A914,PAR!$D$3:$E$53,2,FALSE),"nincs szervezet")</f>
        <v>nincs szervezet</v>
      </c>
      <c r="N914" s="322" t="str">
        <f>VLOOKUP(F914,PAR!$R$3:$S$5,2,FALSE)</f>
        <v>3 - egyik sem</v>
      </c>
      <c r="O914" t="str">
        <f>IFERROR(VLOOKUP(J914,PAR!$O$3:$P$5,2,FALSE),"nincs feladat")</f>
        <v>nincs feladat</v>
      </c>
      <c r="P914" t="str">
        <f>IFERROR(VLOOKUP(G914,PAR!$J$2:$M$19,4),"nincs rovat")</f>
        <v>nincs rovat</v>
      </c>
      <c r="Q914" t="str">
        <f>IF(H914&gt;0,VLOOKUP(H914,PAR!$AA$3:$AC$187,3,FALSE),"nincs főkönyvi számla")</f>
        <v>nincs főkönyvi számla</v>
      </c>
      <c r="R914" t="str">
        <f>IFERROR(VLOOKUP(K914,PAR!$V$3:$X$438,3,FALSE),"000000 - Nincs COFOG")</f>
        <v>000000 - Nincs COFOG</v>
      </c>
      <c r="S914">
        <f t="shared" si="278"/>
        <v>0</v>
      </c>
      <c r="T914">
        <f t="shared" si="279"/>
        <v>0</v>
      </c>
      <c r="U914" t="str">
        <f>IF('906MP'!J614&gt;0,CONCATENATE('906MP'!J614," - ",'906MP'!P614,", ",'906MP'!E614),"nincs megjegyzés")</f>
        <v>nincs megjegyzés</v>
      </c>
      <c r="V914" t="str">
        <f t="shared" si="266"/>
        <v>0P0</v>
      </c>
      <c r="W914" t="str">
        <f t="shared" si="267"/>
        <v>0P0</v>
      </c>
      <c r="X914" t="str">
        <f t="shared" si="268"/>
        <v>P0</v>
      </c>
      <c r="Y914" t="str">
        <f t="shared" si="269"/>
        <v>00</v>
      </c>
      <c r="Z914" t="str">
        <f t="shared" si="280"/>
        <v>00</v>
      </c>
      <c r="AA914" t="str">
        <f t="shared" si="270"/>
        <v>00</v>
      </c>
      <c r="AB914" t="str">
        <f t="shared" si="271"/>
        <v>00</v>
      </c>
      <c r="AC914" t="str">
        <f t="shared" si="272"/>
        <v>0P0</v>
      </c>
      <c r="AD914" t="str">
        <f t="shared" si="273"/>
        <v>P00</v>
      </c>
      <c r="AE914" t="str">
        <f t="shared" si="274"/>
        <v>0P0</v>
      </c>
      <c r="AF914" t="str">
        <f t="shared" si="275"/>
        <v>P00</v>
      </c>
      <c r="AG914" t="str">
        <f t="shared" si="281"/>
        <v>0P00</v>
      </c>
      <c r="AH914" t="str">
        <f t="shared" si="282"/>
        <v>P000</v>
      </c>
      <c r="AI914" t="str">
        <f t="shared" si="283"/>
        <v>0P00</v>
      </c>
      <c r="AJ914" t="str">
        <f t="shared" si="284"/>
        <v>P000</v>
      </c>
    </row>
    <row r="915" spans="1:36" x14ac:dyDescent="0.25">
      <c r="A915" s="325" t="str">
        <f>CONCATENATE("P",'906MP'!M615)</f>
        <v>P</v>
      </c>
      <c r="B915">
        <f>'906MP'!H615</f>
        <v>0</v>
      </c>
      <c r="C915">
        <f>'906MP'!J615</f>
        <v>0</v>
      </c>
      <c r="D915">
        <f>'906MP'!P615</f>
        <v>0</v>
      </c>
      <c r="E915">
        <f>'906MP'!X615</f>
        <v>0</v>
      </c>
      <c r="F915" t="str">
        <f t="shared" si="276"/>
        <v>0</v>
      </c>
      <c r="G915" t="str">
        <f t="shared" si="277"/>
        <v>0</v>
      </c>
      <c r="H915">
        <f>'906MP'!Y615</f>
        <v>0</v>
      </c>
      <c r="I915">
        <f>'906MP'!AK615</f>
        <v>0</v>
      </c>
      <c r="J915">
        <f>'906MP'!T615</f>
        <v>0</v>
      </c>
      <c r="K915">
        <f>'906MP'!AJ615</f>
        <v>0</v>
      </c>
      <c r="L915">
        <f>'906MP'!U615</f>
        <v>0</v>
      </c>
      <c r="M915" s="322" t="str">
        <f>IFERROR(VLOOKUP(A915,PAR!$D$3:$E$53,2,FALSE),"nincs szervezet")</f>
        <v>nincs szervezet</v>
      </c>
      <c r="N915" s="322" t="str">
        <f>VLOOKUP(F915,PAR!$R$3:$S$5,2,FALSE)</f>
        <v>3 - egyik sem</v>
      </c>
      <c r="O915" t="str">
        <f>IFERROR(VLOOKUP(J915,PAR!$O$3:$P$5,2,FALSE),"nincs feladat")</f>
        <v>nincs feladat</v>
      </c>
      <c r="P915" t="str">
        <f>IFERROR(VLOOKUP(G915,PAR!$J$2:$M$19,4),"nincs rovat")</f>
        <v>nincs rovat</v>
      </c>
      <c r="Q915" t="str">
        <f>IF(H915&gt;0,VLOOKUP(H915,PAR!$AA$3:$AC$187,3,FALSE),"nincs főkönyvi számla")</f>
        <v>nincs főkönyvi számla</v>
      </c>
      <c r="R915" t="str">
        <f>IFERROR(VLOOKUP(K915,PAR!$V$3:$X$438,3,FALSE),"000000 - Nincs COFOG")</f>
        <v>000000 - Nincs COFOG</v>
      </c>
      <c r="S915">
        <f t="shared" si="278"/>
        <v>0</v>
      </c>
      <c r="T915">
        <f t="shared" si="279"/>
        <v>0</v>
      </c>
      <c r="U915" t="str">
        <f>IF('906MP'!J615&gt;0,CONCATENATE('906MP'!J615," - ",'906MP'!P615,", ",'906MP'!E615),"nincs megjegyzés")</f>
        <v>nincs megjegyzés</v>
      </c>
      <c r="V915" t="str">
        <f t="shared" si="266"/>
        <v>0P0</v>
      </c>
      <c r="W915" t="str">
        <f t="shared" si="267"/>
        <v>0P0</v>
      </c>
      <c r="X915" t="str">
        <f t="shared" si="268"/>
        <v>P0</v>
      </c>
      <c r="Y915" t="str">
        <f t="shared" si="269"/>
        <v>00</v>
      </c>
      <c r="Z915" t="str">
        <f t="shared" si="280"/>
        <v>00</v>
      </c>
      <c r="AA915" t="str">
        <f t="shared" si="270"/>
        <v>00</v>
      </c>
      <c r="AB915" t="str">
        <f t="shared" si="271"/>
        <v>00</v>
      </c>
      <c r="AC915" t="str">
        <f t="shared" si="272"/>
        <v>0P0</v>
      </c>
      <c r="AD915" t="str">
        <f t="shared" si="273"/>
        <v>P00</v>
      </c>
      <c r="AE915" t="str">
        <f t="shared" si="274"/>
        <v>0P0</v>
      </c>
      <c r="AF915" t="str">
        <f t="shared" si="275"/>
        <v>P00</v>
      </c>
      <c r="AG915" t="str">
        <f t="shared" si="281"/>
        <v>0P00</v>
      </c>
      <c r="AH915" t="str">
        <f t="shared" si="282"/>
        <v>P000</v>
      </c>
      <c r="AI915" t="str">
        <f t="shared" si="283"/>
        <v>0P00</v>
      </c>
      <c r="AJ915" t="str">
        <f t="shared" si="284"/>
        <v>P000</v>
      </c>
    </row>
    <row r="916" spans="1:36" x14ac:dyDescent="0.25">
      <c r="A916" s="325" t="str">
        <f>CONCATENATE("P",'906MP'!M616)</f>
        <v>P</v>
      </c>
      <c r="B916">
        <f>'906MP'!H616</f>
        <v>0</v>
      </c>
      <c r="C916">
        <f>'906MP'!J616</f>
        <v>0</v>
      </c>
      <c r="D916">
        <f>'906MP'!P616</f>
        <v>0</v>
      </c>
      <c r="E916">
        <f>'906MP'!X616</f>
        <v>0</v>
      </c>
      <c r="F916" t="str">
        <f t="shared" si="276"/>
        <v>0</v>
      </c>
      <c r="G916" t="str">
        <f t="shared" si="277"/>
        <v>0</v>
      </c>
      <c r="H916">
        <f>'906MP'!Y616</f>
        <v>0</v>
      </c>
      <c r="I916">
        <f>'906MP'!AK616</f>
        <v>0</v>
      </c>
      <c r="J916">
        <f>'906MP'!T616</f>
        <v>0</v>
      </c>
      <c r="K916">
        <f>'906MP'!AJ616</f>
        <v>0</v>
      </c>
      <c r="L916">
        <f>'906MP'!U616</f>
        <v>0</v>
      </c>
      <c r="M916" s="322" t="str">
        <f>IFERROR(VLOOKUP(A916,PAR!$D$3:$E$53,2,FALSE),"nincs szervezet")</f>
        <v>nincs szervezet</v>
      </c>
      <c r="N916" s="322" t="str">
        <f>VLOOKUP(F916,PAR!$R$3:$S$5,2,FALSE)</f>
        <v>3 - egyik sem</v>
      </c>
      <c r="O916" t="str">
        <f>IFERROR(VLOOKUP(J916,PAR!$O$3:$P$5,2,FALSE),"nincs feladat")</f>
        <v>nincs feladat</v>
      </c>
      <c r="P916" t="str">
        <f>IFERROR(VLOOKUP(G916,PAR!$J$2:$M$19,4),"nincs rovat")</f>
        <v>nincs rovat</v>
      </c>
      <c r="Q916" t="str">
        <f>IF(H916&gt;0,VLOOKUP(H916,PAR!$AA$3:$AC$187,3,FALSE),"nincs főkönyvi számla")</f>
        <v>nincs főkönyvi számla</v>
      </c>
      <c r="R916" t="str">
        <f>IFERROR(VLOOKUP(K916,PAR!$V$3:$X$438,3,FALSE),"000000 - Nincs COFOG")</f>
        <v>000000 - Nincs COFOG</v>
      </c>
      <c r="S916">
        <f t="shared" si="278"/>
        <v>0</v>
      </c>
      <c r="T916">
        <f t="shared" si="279"/>
        <v>0</v>
      </c>
      <c r="U916" t="str">
        <f>IF('906MP'!J616&gt;0,CONCATENATE('906MP'!J616," - ",'906MP'!P616,", ",'906MP'!E616),"nincs megjegyzés")</f>
        <v>nincs megjegyzés</v>
      </c>
      <c r="V916" t="str">
        <f t="shared" si="266"/>
        <v>0P0</v>
      </c>
      <c r="W916" t="str">
        <f t="shared" si="267"/>
        <v>0P0</v>
      </c>
      <c r="X916" t="str">
        <f t="shared" si="268"/>
        <v>P0</v>
      </c>
      <c r="Y916" t="str">
        <f t="shared" si="269"/>
        <v>00</v>
      </c>
      <c r="Z916" t="str">
        <f t="shared" si="280"/>
        <v>00</v>
      </c>
      <c r="AA916" t="str">
        <f t="shared" si="270"/>
        <v>00</v>
      </c>
      <c r="AB916" t="str">
        <f t="shared" si="271"/>
        <v>00</v>
      </c>
      <c r="AC916" t="str">
        <f t="shared" si="272"/>
        <v>0P0</v>
      </c>
      <c r="AD916" t="str">
        <f t="shared" si="273"/>
        <v>P00</v>
      </c>
      <c r="AE916" t="str">
        <f t="shared" si="274"/>
        <v>0P0</v>
      </c>
      <c r="AF916" t="str">
        <f t="shared" si="275"/>
        <v>P00</v>
      </c>
      <c r="AG916" t="str">
        <f t="shared" si="281"/>
        <v>0P00</v>
      </c>
      <c r="AH916" t="str">
        <f t="shared" si="282"/>
        <v>P000</v>
      </c>
      <c r="AI916" t="str">
        <f t="shared" si="283"/>
        <v>0P00</v>
      </c>
      <c r="AJ916" t="str">
        <f t="shared" si="284"/>
        <v>P000</v>
      </c>
    </row>
    <row r="917" spans="1:36" x14ac:dyDescent="0.25">
      <c r="A917" s="325" t="str">
        <f>CONCATENATE("P",'906MP'!M617)</f>
        <v>P</v>
      </c>
      <c r="B917">
        <f>'906MP'!H617</f>
        <v>0</v>
      </c>
      <c r="C917">
        <f>'906MP'!J617</f>
        <v>0</v>
      </c>
      <c r="D917">
        <f>'906MP'!P617</f>
        <v>0</v>
      </c>
      <c r="E917">
        <f>'906MP'!X617</f>
        <v>0</v>
      </c>
      <c r="F917" t="str">
        <f t="shared" si="276"/>
        <v>0</v>
      </c>
      <c r="G917" t="str">
        <f t="shared" si="277"/>
        <v>0</v>
      </c>
      <c r="H917">
        <f>'906MP'!Y617</f>
        <v>0</v>
      </c>
      <c r="I917">
        <f>'906MP'!AK617</f>
        <v>0</v>
      </c>
      <c r="J917">
        <f>'906MP'!T617</f>
        <v>0</v>
      </c>
      <c r="K917">
        <f>'906MP'!AJ617</f>
        <v>0</v>
      </c>
      <c r="L917">
        <f>'906MP'!U617</f>
        <v>0</v>
      </c>
      <c r="M917" s="322" t="str">
        <f>IFERROR(VLOOKUP(A917,PAR!$D$3:$E$53,2,FALSE),"nincs szervezet")</f>
        <v>nincs szervezet</v>
      </c>
      <c r="N917" s="322" t="str">
        <f>VLOOKUP(F917,PAR!$R$3:$S$5,2,FALSE)</f>
        <v>3 - egyik sem</v>
      </c>
      <c r="O917" t="str">
        <f>IFERROR(VLOOKUP(J917,PAR!$O$3:$P$5,2,FALSE),"nincs feladat")</f>
        <v>nincs feladat</v>
      </c>
      <c r="P917" t="str">
        <f>IFERROR(VLOOKUP(G917,PAR!$J$2:$M$19,4),"nincs rovat")</f>
        <v>nincs rovat</v>
      </c>
      <c r="Q917" t="str">
        <f>IF(H917&gt;0,VLOOKUP(H917,PAR!$AA$3:$AC$187,3,FALSE),"nincs főkönyvi számla")</f>
        <v>nincs főkönyvi számla</v>
      </c>
      <c r="R917" t="str">
        <f>IFERROR(VLOOKUP(K917,PAR!$V$3:$X$438,3,FALSE),"000000 - Nincs COFOG")</f>
        <v>000000 - Nincs COFOG</v>
      </c>
      <c r="S917">
        <f t="shared" si="278"/>
        <v>0</v>
      </c>
      <c r="T917">
        <f t="shared" si="279"/>
        <v>0</v>
      </c>
      <c r="U917" t="str">
        <f>IF('906MP'!J617&gt;0,CONCATENATE('906MP'!J617," - ",'906MP'!P617,", ",'906MP'!E617),"nincs megjegyzés")</f>
        <v>nincs megjegyzés</v>
      </c>
      <c r="V917" t="str">
        <f t="shared" si="266"/>
        <v>0P0</v>
      </c>
      <c r="W917" t="str">
        <f t="shared" si="267"/>
        <v>0P0</v>
      </c>
      <c r="X917" t="str">
        <f t="shared" si="268"/>
        <v>P0</v>
      </c>
      <c r="Y917" t="str">
        <f t="shared" si="269"/>
        <v>00</v>
      </c>
      <c r="Z917" t="str">
        <f t="shared" si="280"/>
        <v>00</v>
      </c>
      <c r="AA917" t="str">
        <f t="shared" si="270"/>
        <v>00</v>
      </c>
      <c r="AB917" t="str">
        <f t="shared" si="271"/>
        <v>00</v>
      </c>
      <c r="AC917" t="str">
        <f t="shared" si="272"/>
        <v>0P0</v>
      </c>
      <c r="AD917" t="str">
        <f t="shared" si="273"/>
        <v>P00</v>
      </c>
      <c r="AE917" t="str">
        <f t="shared" si="274"/>
        <v>0P0</v>
      </c>
      <c r="AF917" t="str">
        <f t="shared" si="275"/>
        <v>P00</v>
      </c>
      <c r="AG917" t="str">
        <f t="shared" si="281"/>
        <v>0P00</v>
      </c>
      <c r="AH917" t="str">
        <f t="shared" si="282"/>
        <v>P000</v>
      </c>
      <c r="AI917" t="str">
        <f t="shared" si="283"/>
        <v>0P00</v>
      </c>
      <c r="AJ917" t="str">
        <f t="shared" si="284"/>
        <v>P000</v>
      </c>
    </row>
    <row r="918" spans="1:36" x14ac:dyDescent="0.25">
      <c r="A918" s="325" t="str">
        <f>CONCATENATE("P",'906MP'!M618)</f>
        <v>P</v>
      </c>
      <c r="B918">
        <f>'906MP'!H618</f>
        <v>0</v>
      </c>
      <c r="C918">
        <f>'906MP'!J618</f>
        <v>0</v>
      </c>
      <c r="D918">
        <f>'906MP'!P618</f>
        <v>0</v>
      </c>
      <c r="E918">
        <f>'906MP'!X618</f>
        <v>0</v>
      </c>
      <c r="F918" t="str">
        <f t="shared" si="276"/>
        <v>0</v>
      </c>
      <c r="G918" t="str">
        <f t="shared" si="277"/>
        <v>0</v>
      </c>
      <c r="H918">
        <f>'906MP'!Y618</f>
        <v>0</v>
      </c>
      <c r="I918">
        <f>'906MP'!AK618</f>
        <v>0</v>
      </c>
      <c r="J918">
        <f>'906MP'!T618</f>
        <v>0</v>
      </c>
      <c r="K918">
        <f>'906MP'!AJ618</f>
        <v>0</v>
      </c>
      <c r="L918">
        <f>'906MP'!U618</f>
        <v>0</v>
      </c>
      <c r="M918" s="322" t="str">
        <f>IFERROR(VLOOKUP(A918,PAR!$D$3:$E$53,2,FALSE),"nincs szervezet")</f>
        <v>nincs szervezet</v>
      </c>
      <c r="N918" s="322" t="str">
        <f>VLOOKUP(F918,PAR!$R$3:$S$5,2,FALSE)</f>
        <v>3 - egyik sem</v>
      </c>
      <c r="O918" t="str">
        <f>IFERROR(VLOOKUP(J918,PAR!$O$3:$P$5,2,FALSE),"nincs feladat")</f>
        <v>nincs feladat</v>
      </c>
      <c r="P918" t="str">
        <f>IFERROR(VLOOKUP(G918,PAR!$J$2:$M$19,4),"nincs rovat")</f>
        <v>nincs rovat</v>
      </c>
      <c r="Q918" t="str">
        <f>IF(H918&gt;0,VLOOKUP(H918,PAR!$AA$3:$AC$187,3,FALSE),"nincs főkönyvi számla")</f>
        <v>nincs főkönyvi számla</v>
      </c>
      <c r="R918" t="str">
        <f>IFERROR(VLOOKUP(K918,PAR!$V$3:$X$438,3,FALSE),"000000 - Nincs COFOG")</f>
        <v>000000 - Nincs COFOG</v>
      </c>
      <c r="S918">
        <f t="shared" si="278"/>
        <v>0</v>
      </c>
      <c r="T918">
        <f t="shared" si="279"/>
        <v>0</v>
      </c>
      <c r="U918" t="str">
        <f>IF('906MP'!J618&gt;0,CONCATENATE('906MP'!J618," - ",'906MP'!P618,", ",'906MP'!E618),"nincs megjegyzés")</f>
        <v>nincs megjegyzés</v>
      </c>
      <c r="V918" t="str">
        <f t="shared" si="266"/>
        <v>0P0</v>
      </c>
      <c r="W918" t="str">
        <f t="shared" si="267"/>
        <v>0P0</v>
      </c>
      <c r="X918" t="str">
        <f t="shared" si="268"/>
        <v>P0</v>
      </c>
      <c r="Y918" t="str">
        <f t="shared" si="269"/>
        <v>00</v>
      </c>
      <c r="Z918" t="str">
        <f t="shared" si="280"/>
        <v>00</v>
      </c>
      <c r="AA918" t="str">
        <f t="shared" si="270"/>
        <v>00</v>
      </c>
      <c r="AB918" t="str">
        <f t="shared" si="271"/>
        <v>00</v>
      </c>
      <c r="AC918" t="str">
        <f t="shared" si="272"/>
        <v>0P0</v>
      </c>
      <c r="AD918" t="str">
        <f t="shared" si="273"/>
        <v>P00</v>
      </c>
      <c r="AE918" t="str">
        <f t="shared" si="274"/>
        <v>0P0</v>
      </c>
      <c r="AF918" t="str">
        <f t="shared" si="275"/>
        <v>P00</v>
      </c>
      <c r="AG918" t="str">
        <f t="shared" si="281"/>
        <v>0P00</v>
      </c>
      <c r="AH918" t="str">
        <f t="shared" si="282"/>
        <v>P000</v>
      </c>
      <c r="AI918" t="str">
        <f t="shared" si="283"/>
        <v>0P00</v>
      </c>
      <c r="AJ918" t="str">
        <f t="shared" si="284"/>
        <v>P000</v>
      </c>
    </row>
    <row r="919" spans="1:36" x14ac:dyDescent="0.25">
      <c r="A919" s="325" t="str">
        <f>CONCATENATE("P",'906MP'!M619)</f>
        <v>P</v>
      </c>
      <c r="B919">
        <f>'906MP'!H619</f>
        <v>0</v>
      </c>
      <c r="C919">
        <f>'906MP'!J619</f>
        <v>0</v>
      </c>
      <c r="D919">
        <f>'906MP'!P619</f>
        <v>0</v>
      </c>
      <c r="E919">
        <f>'906MP'!X619</f>
        <v>0</v>
      </c>
      <c r="F919" t="str">
        <f t="shared" si="276"/>
        <v>0</v>
      </c>
      <c r="G919" t="str">
        <f t="shared" si="277"/>
        <v>0</v>
      </c>
      <c r="H919">
        <f>'906MP'!Y619</f>
        <v>0</v>
      </c>
      <c r="I919">
        <f>'906MP'!AK619</f>
        <v>0</v>
      </c>
      <c r="J919">
        <f>'906MP'!T619</f>
        <v>0</v>
      </c>
      <c r="K919">
        <f>'906MP'!AJ619</f>
        <v>0</v>
      </c>
      <c r="L919">
        <f>'906MP'!U619</f>
        <v>0</v>
      </c>
      <c r="M919" s="322" t="str">
        <f>IFERROR(VLOOKUP(A919,PAR!$D$3:$E$53,2,FALSE),"nincs szervezet")</f>
        <v>nincs szervezet</v>
      </c>
      <c r="N919" s="322" t="str">
        <f>VLOOKUP(F919,PAR!$R$3:$S$5,2,FALSE)</f>
        <v>3 - egyik sem</v>
      </c>
      <c r="O919" t="str">
        <f>IFERROR(VLOOKUP(J919,PAR!$O$3:$P$5,2,FALSE),"nincs feladat")</f>
        <v>nincs feladat</v>
      </c>
      <c r="P919" t="str">
        <f>IFERROR(VLOOKUP(G919,PAR!$J$2:$M$19,4),"nincs rovat")</f>
        <v>nincs rovat</v>
      </c>
      <c r="Q919" t="str">
        <f>IF(H919&gt;0,VLOOKUP(H919,PAR!$AA$3:$AC$187,3,FALSE),"nincs főkönyvi számla")</f>
        <v>nincs főkönyvi számla</v>
      </c>
      <c r="R919" t="str">
        <f>IFERROR(VLOOKUP(K919,PAR!$V$3:$X$438,3,FALSE),"000000 - Nincs COFOG")</f>
        <v>000000 - Nincs COFOG</v>
      </c>
      <c r="S919">
        <f t="shared" si="278"/>
        <v>0</v>
      </c>
      <c r="T919">
        <f t="shared" si="279"/>
        <v>0</v>
      </c>
      <c r="U919" t="str">
        <f>IF('906MP'!J619&gt;0,CONCATENATE('906MP'!J619," - ",'906MP'!P619,", ",'906MP'!E619),"nincs megjegyzés")</f>
        <v>nincs megjegyzés</v>
      </c>
      <c r="V919" t="str">
        <f t="shared" si="266"/>
        <v>0P0</v>
      </c>
      <c r="W919" t="str">
        <f t="shared" si="267"/>
        <v>0P0</v>
      </c>
      <c r="X919" t="str">
        <f t="shared" si="268"/>
        <v>P0</v>
      </c>
      <c r="Y919" t="str">
        <f t="shared" si="269"/>
        <v>00</v>
      </c>
      <c r="Z919" t="str">
        <f t="shared" si="280"/>
        <v>00</v>
      </c>
      <c r="AA919" t="str">
        <f t="shared" si="270"/>
        <v>00</v>
      </c>
      <c r="AB919" t="str">
        <f t="shared" si="271"/>
        <v>00</v>
      </c>
      <c r="AC919" t="str">
        <f t="shared" si="272"/>
        <v>0P0</v>
      </c>
      <c r="AD919" t="str">
        <f t="shared" si="273"/>
        <v>P00</v>
      </c>
      <c r="AE919" t="str">
        <f t="shared" si="274"/>
        <v>0P0</v>
      </c>
      <c r="AF919" t="str">
        <f t="shared" si="275"/>
        <v>P00</v>
      </c>
      <c r="AG919" t="str">
        <f t="shared" si="281"/>
        <v>0P00</v>
      </c>
      <c r="AH919" t="str">
        <f t="shared" si="282"/>
        <v>P000</v>
      </c>
      <c r="AI919" t="str">
        <f t="shared" si="283"/>
        <v>0P00</v>
      </c>
      <c r="AJ919" t="str">
        <f t="shared" si="284"/>
        <v>P000</v>
      </c>
    </row>
    <row r="920" spans="1:36" x14ac:dyDescent="0.25">
      <c r="A920" s="325" t="str">
        <f>CONCATENATE("P",'906MP'!M620)</f>
        <v>P</v>
      </c>
      <c r="B920">
        <f>'906MP'!H620</f>
        <v>0</v>
      </c>
      <c r="C920">
        <f>'906MP'!J620</f>
        <v>0</v>
      </c>
      <c r="D920">
        <f>'906MP'!P620</f>
        <v>0</v>
      </c>
      <c r="E920">
        <f>'906MP'!X620</f>
        <v>0</v>
      </c>
      <c r="F920" t="str">
        <f t="shared" si="276"/>
        <v>0</v>
      </c>
      <c r="G920" t="str">
        <f t="shared" si="277"/>
        <v>0</v>
      </c>
      <c r="H920">
        <f>'906MP'!Y620</f>
        <v>0</v>
      </c>
      <c r="I920">
        <f>'906MP'!AK620</f>
        <v>0</v>
      </c>
      <c r="J920">
        <f>'906MP'!T620</f>
        <v>0</v>
      </c>
      <c r="K920">
        <f>'906MP'!AJ620</f>
        <v>0</v>
      </c>
      <c r="L920">
        <f>'906MP'!U620</f>
        <v>0</v>
      </c>
      <c r="M920" s="322" t="str">
        <f>IFERROR(VLOOKUP(A920,PAR!$D$3:$E$53,2,FALSE),"nincs szervezet")</f>
        <v>nincs szervezet</v>
      </c>
      <c r="N920" s="322" t="str">
        <f>VLOOKUP(F920,PAR!$R$3:$S$5,2,FALSE)</f>
        <v>3 - egyik sem</v>
      </c>
      <c r="O920" t="str">
        <f>IFERROR(VLOOKUP(J920,PAR!$O$3:$P$5,2,FALSE),"nincs feladat")</f>
        <v>nincs feladat</v>
      </c>
      <c r="P920" t="str">
        <f>IFERROR(VLOOKUP(G920,PAR!$J$2:$M$19,4),"nincs rovat")</f>
        <v>nincs rovat</v>
      </c>
      <c r="Q920" t="str">
        <f>IF(H920&gt;0,VLOOKUP(H920,PAR!$AA$3:$AC$187,3,FALSE),"nincs főkönyvi számla")</f>
        <v>nincs főkönyvi számla</v>
      </c>
      <c r="R920" t="str">
        <f>IFERROR(VLOOKUP(K920,PAR!$V$3:$X$438,3,FALSE),"000000 - Nincs COFOG")</f>
        <v>000000 - Nincs COFOG</v>
      </c>
      <c r="S920">
        <f t="shared" si="278"/>
        <v>0</v>
      </c>
      <c r="T920">
        <f t="shared" si="279"/>
        <v>0</v>
      </c>
      <c r="U920" t="str">
        <f>IF('906MP'!J620&gt;0,CONCATENATE('906MP'!J620," - ",'906MP'!P620,", ",'906MP'!E620),"nincs megjegyzés")</f>
        <v>nincs megjegyzés</v>
      </c>
      <c r="V920" t="str">
        <f t="shared" si="266"/>
        <v>0P0</v>
      </c>
      <c r="W920" t="str">
        <f t="shared" si="267"/>
        <v>0P0</v>
      </c>
      <c r="X920" t="str">
        <f t="shared" si="268"/>
        <v>P0</v>
      </c>
      <c r="Y920" t="str">
        <f t="shared" si="269"/>
        <v>00</v>
      </c>
      <c r="Z920" t="str">
        <f t="shared" si="280"/>
        <v>00</v>
      </c>
      <c r="AA920" t="str">
        <f t="shared" si="270"/>
        <v>00</v>
      </c>
      <c r="AB920" t="str">
        <f t="shared" si="271"/>
        <v>00</v>
      </c>
      <c r="AC920" t="str">
        <f t="shared" si="272"/>
        <v>0P0</v>
      </c>
      <c r="AD920" t="str">
        <f t="shared" si="273"/>
        <v>P00</v>
      </c>
      <c r="AE920" t="str">
        <f t="shared" si="274"/>
        <v>0P0</v>
      </c>
      <c r="AF920" t="str">
        <f t="shared" si="275"/>
        <v>P00</v>
      </c>
      <c r="AG920" t="str">
        <f t="shared" si="281"/>
        <v>0P00</v>
      </c>
      <c r="AH920" t="str">
        <f t="shared" si="282"/>
        <v>P000</v>
      </c>
      <c r="AI920" t="str">
        <f t="shared" si="283"/>
        <v>0P00</v>
      </c>
      <c r="AJ920" t="str">
        <f t="shared" si="284"/>
        <v>P000</v>
      </c>
    </row>
    <row r="921" spans="1:36" x14ac:dyDescent="0.25">
      <c r="A921" s="325" t="str">
        <f>CONCATENATE("P",'906MP'!M621)</f>
        <v>P</v>
      </c>
      <c r="B921">
        <f>'906MP'!H621</f>
        <v>0</v>
      </c>
      <c r="C921">
        <f>'906MP'!J621</f>
        <v>0</v>
      </c>
      <c r="D921">
        <f>'906MP'!P621</f>
        <v>0</v>
      </c>
      <c r="E921">
        <f>'906MP'!X621</f>
        <v>0</v>
      </c>
      <c r="F921" t="str">
        <f t="shared" si="276"/>
        <v>0</v>
      </c>
      <c r="G921" t="str">
        <f t="shared" si="277"/>
        <v>0</v>
      </c>
      <c r="H921">
        <f>'906MP'!Y621</f>
        <v>0</v>
      </c>
      <c r="I921">
        <f>'906MP'!AK621</f>
        <v>0</v>
      </c>
      <c r="J921">
        <f>'906MP'!T621</f>
        <v>0</v>
      </c>
      <c r="K921">
        <f>'906MP'!AJ621</f>
        <v>0</v>
      </c>
      <c r="L921">
        <f>'906MP'!U621</f>
        <v>0</v>
      </c>
      <c r="M921" s="322" t="str">
        <f>IFERROR(VLOOKUP(A921,PAR!$D$3:$E$53,2,FALSE),"nincs szervezet")</f>
        <v>nincs szervezet</v>
      </c>
      <c r="N921" s="322" t="str">
        <f>VLOOKUP(F921,PAR!$R$3:$S$5,2,FALSE)</f>
        <v>3 - egyik sem</v>
      </c>
      <c r="O921" t="str">
        <f>IFERROR(VLOOKUP(J921,PAR!$O$3:$P$5,2,FALSE),"nincs feladat")</f>
        <v>nincs feladat</v>
      </c>
      <c r="P921" t="str">
        <f>IFERROR(VLOOKUP(G921,PAR!$J$2:$M$19,4),"nincs rovat")</f>
        <v>nincs rovat</v>
      </c>
      <c r="Q921" t="str">
        <f>IF(H921&gt;0,VLOOKUP(H921,PAR!$AA$3:$AC$187,3,FALSE),"nincs főkönyvi számla")</f>
        <v>nincs főkönyvi számla</v>
      </c>
      <c r="R921" t="str">
        <f>IFERROR(VLOOKUP(K921,PAR!$V$3:$X$438,3,FALSE),"000000 - Nincs COFOG")</f>
        <v>000000 - Nincs COFOG</v>
      </c>
      <c r="S921">
        <f t="shared" si="278"/>
        <v>0</v>
      </c>
      <c r="T921">
        <f t="shared" si="279"/>
        <v>0</v>
      </c>
      <c r="U921" t="str">
        <f>IF('906MP'!J621&gt;0,CONCATENATE('906MP'!J621," - ",'906MP'!P621,", ",'906MP'!E621),"nincs megjegyzés")</f>
        <v>nincs megjegyzés</v>
      </c>
      <c r="V921" t="str">
        <f t="shared" si="266"/>
        <v>0P0</v>
      </c>
      <c r="W921" t="str">
        <f t="shared" si="267"/>
        <v>0P0</v>
      </c>
      <c r="X921" t="str">
        <f t="shared" si="268"/>
        <v>P0</v>
      </c>
      <c r="Y921" t="str">
        <f t="shared" si="269"/>
        <v>00</v>
      </c>
      <c r="Z921" t="str">
        <f t="shared" si="280"/>
        <v>00</v>
      </c>
      <c r="AA921" t="str">
        <f t="shared" si="270"/>
        <v>00</v>
      </c>
      <c r="AB921" t="str">
        <f t="shared" si="271"/>
        <v>00</v>
      </c>
      <c r="AC921" t="str">
        <f t="shared" si="272"/>
        <v>0P0</v>
      </c>
      <c r="AD921" t="str">
        <f t="shared" si="273"/>
        <v>P00</v>
      </c>
      <c r="AE921" t="str">
        <f t="shared" si="274"/>
        <v>0P0</v>
      </c>
      <c r="AF921" t="str">
        <f t="shared" si="275"/>
        <v>P00</v>
      </c>
      <c r="AG921" t="str">
        <f t="shared" si="281"/>
        <v>0P00</v>
      </c>
      <c r="AH921" t="str">
        <f t="shared" si="282"/>
        <v>P000</v>
      </c>
      <c r="AI921" t="str">
        <f t="shared" si="283"/>
        <v>0P00</v>
      </c>
      <c r="AJ921" t="str">
        <f t="shared" si="284"/>
        <v>P000</v>
      </c>
    </row>
    <row r="922" spans="1:36" x14ac:dyDescent="0.25">
      <c r="A922" s="325" t="str">
        <f>CONCATENATE("P",'906MP'!M622)</f>
        <v>P</v>
      </c>
      <c r="B922">
        <f>'906MP'!H622</f>
        <v>0</v>
      </c>
      <c r="C922">
        <f>'906MP'!J622</f>
        <v>0</v>
      </c>
      <c r="D922">
        <f>'906MP'!P622</f>
        <v>0</v>
      </c>
      <c r="E922">
        <f>'906MP'!X622</f>
        <v>0</v>
      </c>
      <c r="F922" t="str">
        <f t="shared" si="276"/>
        <v>0</v>
      </c>
      <c r="G922" t="str">
        <f t="shared" si="277"/>
        <v>0</v>
      </c>
      <c r="H922">
        <f>'906MP'!Y622</f>
        <v>0</v>
      </c>
      <c r="I922">
        <f>'906MP'!AK622</f>
        <v>0</v>
      </c>
      <c r="J922">
        <f>'906MP'!T622</f>
        <v>0</v>
      </c>
      <c r="K922">
        <f>'906MP'!AJ622</f>
        <v>0</v>
      </c>
      <c r="L922">
        <f>'906MP'!U622</f>
        <v>0</v>
      </c>
      <c r="M922" s="322" t="str">
        <f>IFERROR(VLOOKUP(A922,PAR!$D$3:$E$53,2,FALSE),"nincs szervezet")</f>
        <v>nincs szervezet</v>
      </c>
      <c r="N922" s="322" t="str">
        <f>VLOOKUP(F922,PAR!$R$3:$S$5,2,FALSE)</f>
        <v>3 - egyik sem</v>
      </c>
      <c r="O922" t="str">
        <f>IFERROR(VLOOKUP(J922,PAR!$O$3:$P$5,2,FALSE),"nincs feladat")</f>
        <v>nincs feladat</v>
      </c>
      <c r="P922" t="str">
        <f>IFERROR(VLOOKUP(G922,PAR!$J$2:$M$19,4),"nincs rovat")</f>
        <v>nincs rovat</v>
      </c>
      <c r="Q922" t="str">
        <f>IF(H922&gt;0,VLOOKUP(H922,PAR!$AA$3:$AC$187,3,FALSE),"nincs főkönyvi számla")</f>
        <v>nincs főkönyvi számla</v>
      </c>
      <c r="R922" t="str">
        <f>IFERROR(VLOOKUP(K922,PAR!$V$3:$X$438,3,FALSE),"000000 - Nincs COFOG")</f>
        <v>000000 - Nincs COFOG</v>
      </c>
      <c r="S922">
        <f t="shared" si="278"/>
        <v>0</v>
      </c>
      <c r="T922">
        <f t="shared" si="279"/>
        <v>0</v>
      </c>
      <c r="U922" t="str">
        <f>IF('906MP'!J622&gt;0,CONCATENATE('906MP'!J622," - ",'906MP'!P622,", ",'906MP'!E622),"nincs megjegyzés")</f>
        <v>nincs megjegyzés</v>
      </c>
      <c r="V922" t="str">
        <f t="shared" si="266"/>
        <v>0P0</v>
      </c>
      <c r="W922" t="str">
        <f t="shared" si="267"/>
        <v>0P0</v>
      </c>
      <c r="X922" t="str">
        <f t="shared" si="268"/>
        <v>P0</v>
      </c>
      <c r="Y922" t="str">
        <f t="shared" si="269"/>
        <v>00</v>
      </c>
      <c r="Z922" t="str">
        <f t="shared" si="280"/>
        <v>00</v>
      </c>
      <c r="AA922" t="str">
        <f t="shared" si="270"/>
        <v>00</v>
      </c>
      <c r="AB922" t="str">
        <f t="shared" si="271"/>
        <v>00</v>
      </c>
      <c r="AC922" t="str">
        <f t="shared" si="272"/>
        <v>0P0</v>
      </c>
      <c r="AD922" t="str">
        <f t="shared" si="273"/>
        <v>P00</v>
      </c>
      <c r="AE922" t="str">
        <f t="shared" si="274"/>
        <v>0P0</v>
      </c>
      <c r="AF922" t="str">
        <f t="shared" si="275"/>
        <v>P00</v>
      </c>
      <c r="AG922" t="str">
        <f t="shared" si="281"/>
        <v>0P00</v>
      </c>
      <c r="AH922" t="str">
        <f t="shared" si="282"/>
        <v>P000</v>
      </c>
      <c r="AI922" t="str">
        <f t="shared" si="283"/>
        <v>0P00</v>
      </c>
      <c r="AJ922" t="str">
        <f t="shared" si="284"/>
        <v>P000</v>
      </c>
    </row>
    <row r="923" spans="1:36" x14ac:dyDescent="0.25">
      <c r="A923" s="325" t="str">
        <f>CONCATENATE("P",'906MP'!M623)</f>
        <v>P</v>
      </c>
      <c r="B923">
        <f>'906MP'!H623</f>
        <v>0</v>
      </c>
      <c r="C923">
        <f>'906MP'!J623</f>
        <v>0</v>
      </c>
      <c r="D923">
        <f>'906MP'!P623</f>
        <v>0</v>
      </c>
      <c r="E923">
        <f>'906MP'!X623</f>
        <v>0</v>
      </c>
      <c r="F923" t="str">
        <f t="shared" si="276"/>
        <v>0</v>
      </c>
      <c r="G923" t="str">
        <f t="shared" si="277"/>
        <v>0</v>
      </c>
      <c r="H923">
        <f>'906MP'!Y623</f>
        <v>0</v>
      </c>
      <c r="I923">
        <f>'906MP'!AK623</f>
        <v>0</v>
      </c>
      <c r="J923">
        <f>'906MP'!T623</f>
        <v>0</v>
      </c>
      <c r="K923">
        <f>'906MP'!AJ623</f>
        <v>0</v>
      </c>
      <c r="L923">
        <f>'906MP'!U623</f>
        <v>0</v>
      </c>
      <c r="M923" s="322" t="str">
        <f>IFERROR(VLOOKUP(A923,PAR!$D$3:$E$53,2,FALSE),"nincs szervezet")</f>
        <v>nincs szervezet</v>
      </c>
      <c r="N923" s="322" t="str">
        <f>VLOOKUP(F923,PAR!$R$3:$S$5,2,FALSE)</f>
        <v>3 - egyik sem</v>
      </c>
      <c r="O923" t="str">
        <f>IFERROR(VLOOKUP(J923,PAR!$O$3:$P$5,2,FALSE),"nincs feladat")</f>
        <v>nincs feladat</v>
      </c>
      <c r="P923" t="str">
        <f>IFERROR(VLOOKUP(G923,PAR!$J$2:$M$19,4),"nincs rovat")</f>
        <v>nincs rovat</v>
      </c>
      <c r="Q923" t="str">
        <f>IF(H923&gt;0,VLOOKUP(H923,PAR!$AA$3:$AC$187,3,FALSE),"nincs főkönyvi számla")</f>
        <v>nincs főkönyvi számla</v>
      </c>
      <c r="R923" t="str">
        <f>IFERROR(VLOOKUP(K923,PAR!$V$3:$X$438,3,FALSE),"000000 - Nincs COFOG")</f>
        <v>000000 - Nincs COFOG</v>
      </c>
      <c r="S923">
        <f t="shared" si="278"/>
        <v>0</v>
      </c>
      <c r="T923">
        <f t="shared" si="279"/>
        <v>0</v>
      </c>
      <c r="U923" t="str">
        <f>IF('906MP'!J623&gt;0,CONCATENATE('906MP'!J623," - ",'906MP'!P623,", ",'906MP'!E623),"nincs megjegyzés")</f>
        <v>nincs megjegyzés</v>
      </c>
      <c r="V923" t="str">
        <f t="shared" si="266"/>
        <v>0P0</v>
      </c>
      <c r="W923" t="str">
        <f t="shared" si="267"/>
        <v>0P0</v>
      </c>
      <c r="X923" t="str">
        <f t="shared" si="268"/>
        <v>P0</v>
      </c>
      <c r="Y923" t="str">
        <f t="shared" si="269"/>
        <v>00</v>
      </c>
      <c r="Z923" t="str">
        <f t="shared" si="280"/>
        <v>00</v>
      </c>
      <c r="AA923" t="str">
        <f t="shared" si="270"/>
        <v>00</v>
      </c>
      <c r="AB923" t="str">
        <f t="shared" si="271"/>
        <v>00</v>
      </c>
      <c r="AC923" t="str">
        <f t="shared" si="272"/>
        <v>0P0</v>
      </c>
      <c r="AD923" t="str">
        <f t="shared" si="273"/>
        <v>P00</v>
      </c>
      <c r="AE923" t="str">
        <f t="shared" si="274"/>
        <v>0P0</v>
      </c>
      <c r="AF923" t="str">
        <f t="shared" si="275"/>
        <v>P00</v>
      </c>
      <c r="AG923" t="str">
        <f t="shared" si="281"/>
        <v>0P00</v>
      </c>
      <c r="AH923" t="str">
        <f t="shared" si="282"/>
        <v>P000</v>
      </c>
      <c r="AI923" t="str">
        <f t="shared" si="283"/>
        <v>0P00</v>
      </c>
      <c r="AJ923" t="str">
        <f t="shared" si="284"/>
        <v>P000</v>
      </c>
    </row>
    <row r="924" spans="1:36" x14ac:dyDescent="0.25">
      <c r="A924" s="325" t="str">
        <f>CONCATENATE("P",'906MP'!M624)</f>
        <v>P</v>
      </c>
      <c r="B924">
        <f>'906MP'!H624</f>
        <v>0</v>
      </c>
      <c r="C924">
        <f>'906MP'!J624</f>
        <v>0</v>
      </c>
      <c r="D924">
        <f>'906MP'!P624</f>
        <v>0</v>
      </c>
      <c r="E924">
        <f>'906MP'!X624</f>
        <v>0</v>
      </c>
      <c r="F924" t="str">
        <f t="shared" si="276"/>
        <v>0</v>
      </c>
      <c r="G924" t="str">
        <f t="shared" si="277"/>
        <v>0</v>
      </c>
      <c r="H924">
        <f>'906MP'!Y624</f>
        <v>0</v>
      </c>
      <c r="I924">
        <f>'906MP'!AK624</f>
        <v>0</v>
      </c>
      <c r="J924">
        <f>'906MP'!T624</f>
        <v>0</v>
      </c>
      <c r="K924">
        <f>'906MP'!AJ624</f>
        <v>0</v>
      </c>
      <c r="L924">
        <f>'906MP'!U624</f>
        <v>0</v>
      </c>
      <c r="M924" s="322" t="str">
        <f>IFERROR(VLOOKUP(A924,PAR!$D$3:$E$53,2,FALSE),"nincs szervezet")</f>
        <v>nincs szervezet</v>
      </c>
      <c r="N924" s="322" t="str">
        <f>VLOOKUP(F924,PAR!$R$3:$S$5,2,FALSE)</f>
        <v>3 - egyik sem</v>
      </c>
      <c r="O924" t="str">
        <f>IFERROR(VLOOKUP(J924,PAR!$O$3:$P$5,2,FALSE),"nincs feladat")</f>
        <v>nincs feladat</v>
      </c>
      <c r="P924" t="str">
        <f>IFERROR(VLOOKUP(G924,PAR!$J$2:$M$19,4),"nincs rovat")</f>
        <v>nincs rovat</v>
      </c>
      <c r="Q924" t="str">
        <f>IF(H924&gt;0,VLOOKUP(H924,PAR!$AA$3:$AC$187,3,FALSE),"nincs főkönyvi számla")</f>
        <v>nincs főkönyvi számla</v>
      </c>
      <c r="R924" t="str">
        <f>IFERROR(VLOOKUP(K924,PAR!$V$3:$X$438,3,FALSE),"000000 - Nincs COFOG")</f>
        <v>000000 - Nincs COFOG</v>
      </c>
      <c r="S924">
        <f t="shared" si="278"/>
        <v>0</v>
      </c>
      <c r="T924">
        <f t="shared" si="279"/>
        <v>0</v>
      </c>
      <c r="U924" t="str">
        <f>IF('906MP'!J624&gt;0,CONCATENATE('906MP'!J624," - ",'906MP'!P624,", ",'906MP'!E624),"nincs megjegyzés")</f>
        <v>nincs megjegyzés</v>
      </c>
      <c r="V924" t="str">
        <f t="shared" si="266"/>
        <v>0P0</v>
      </c>
      <c r="W924" t="str">
        <f t="shared" si="267"/>
        <v>0P0</v>
      </c>
      <c r="X924" t="str">
        <f t="shared" si="268"/>
        <v>P0</v>
      </c>
      <c r="Y924" t="str">
        <f t="shared" si="269"/>
        <v>00</v>
      </c>
      <c r="Z924" t="str">
        <f t="shared" si="280"/>
        <v>00</v>
      </c>
      <c r="AA924" t="str">
        <f t="shared" si="270"/>
        <v>00</v>
      </c>
      <c r="AB924" t="str">
        <f t="shared" si="271"/>
        <v>00</v>
      </c>
      <c r="AC924" t="str">
        <f t="shared" si="272"/>
        <v>0P0</v>
      </c>
      <c r="AD924" t="str">
        <f t="shared" si="273"/>
        <v>P00</v>
      </c>
      <c r="AE924" t="str">
        <f t="shared" si="274"/>
        <v>0P0</v>
      </c>
      <c r="AF924" t="str">
        <f t="shared" si="275"/>
        <v>P00</v>
      </c>
      <c r="AG924" t="str">
        <f t="shared" si="281"/>
        <v>0P00</v>
      </c>
      <c r="AH924" t="str">
        <f t="shared" si="282"/>
        <v>P000</v>
      </c>
      <c r="AI924" t="str">
        <f t="shared" si="283"/>
        <v>0P00</v>
      </c>
      <c r="AJ924" t="str">
        <f t="shared" si="284"/>
        <v>P000</v>
      </c>
    </row>
    <row r="925" spans="1:36" x14ac:dyDescent="0.25">
      <c r="A925" s="325" t="str">
        <f>CONCATENATE("P",'906MP'!M625)</f>
        <v>P</v>
      </c>
      <c r="B925">
        <f>'906MP'!H625</f>
        <v>0</v>
      </c>
      <c r="C925">
        <f>'906MP'!J625</f>
        <v>0</v>
      </c>
      <c r="D925">
        <f>'906MP'!P625</f>
        <v>0</v>
      </c>
      <c r="E925">
        <f>'906MP'!X625</f>
        <v>0</v>
      </c>
      <c r="F925" t="str">
        <f t="shared" si="276"/>
        <v>0</v>
      </c>
      <c r="G925" t="str">
        <f t="shared" si="277"/>
        <v>0</v>
      </c>
      <c r="H925">
        <f>'906MP'!Y625</f>
        <v>0</v>
      </c>
      <c r="I925">
        <f>'906MP'!AK625</f>
        <v>0</v>
      </c>
      <c r="J925">
        <f>'906MP'!T625</f>
        <v>0</v>
      </c>
      <c r="K925">
        <f>'906MP'!AJ625</f>
        <v>0</v>
      </c>
      <c r="L925">
        <f>'906MP'!U625</f>
        <v>0</v>
      </c>
      <c r="M925" s="322" t="str">
        <f>IFERROR(VLOOKUP(A925,PAR!$D$3:$E$53,2,FALSE),"nincs szervezet")</f>
        <v>nincs szervezet</v>
      </c>
      <c r="N925" s="322" t="str">
        <f>VLOOKUP(F925,PAR!$R$3:$S$5,2,FALSE)</f>
        <v>3 - egyik sem</v>
      </c>
      <c r="O925" t="str">
        <f>IFERROR(VLOOKUP(J925,PAR!$O$3:$P$5,2,FALSE),"nincs feladat")</f>
        <v>nincs feladat</v>
      </c>
      <c r="P925" t="str">
        <f>IFERROR(VLOOKUP(G925,PAR!$J$2:$M$19,4),"nincs rovat")</f>
        <v>nincs rovat</v>
      </c>
      <c r="Q925" t="str">
        <f>IF(H925&gt;0,VLOOKUP(H925,PAR!$AA$3:$AC$187,3,FALSE),"nincs főkönyvi számla")</f>
        <v>nincs főkönyvi számla</v>
      </c>
      <c r="R925" t="str">
        <f>IFERROR(VLOOKUP(K925,PAR!$V$3:$X$438,3,FALSE),"000000 - Nincs COFOG")</f>
        <v>000000 - Nincs COFOG</v>
      </c>
      <c r="S925">
        <f t="shared" si="278"/>
        <v>0</v>
      </c>
      <c r="T925">
        <f t="shared" si="279"/>
        <v>0</v>
      </c>
      <c r="U925" t="str">
        <f>IF('906MP'!J625&gt;0,CONCATENATE('906MP'!J625," - ",'906MP'!P625,", ",'906MP'!E625),"nincs megjegyzés")</f>
        <v>nincs megjegyzés</v>
      </c>
      <c r="V925" t="str">
        <f t="shared" si="266"/>
        <v>0P0</v>
      </c>
      <c r="W925" t="str">
        <f t="shared" si="267"/>
        <v>0P0</v>
      </c>
      <c r="X925" t="str">
        <f t="shared" si="268"/>
        <v>P0</v>
      </c>
      <c r="Y925" t="str">
        <f t="shared" si="269"/>
        <v>00</v>
      </c>
      <c r="Z925" t="str">
        <f t="shared" si="280"/>
        <v>00</v>
      </c>
      <c r="AA925" t="str">
        <f t="shared" si="270"/>
        <v>00</v>
      </c>
      <c r="AB925" t="str">
        <f t="shared" si="271"/>
        <v>00</v>
      </c>
      <c r="AC925" t="str">
        <f t="shared" si="272"/>
        <v>0P0</v>
      </c>
      <c r="AD925" t="str">
        <f t="shared" si="273"/>
        <v>P00</v>
      </c>
      <c r="AE925" t="str">
        <f t="shared" si="274"/>
        <v>0P0</v>
      </c>
      <c r="AF925" t="str">
        <f t="shared" si="275"/>
        <v>P00</v>
      </c>
      <c r="AG925" t="str">
        <f t="shared" si="281"/>
        <v>0P00</v>
      </c>
      <c r="AH925" t="str">
        <f t="shared" si="282"/>
        <v>P000</v>
      </c>
      <c r="AI925" t="str">
        <f t="shared" si="283"/>
        <v>0P00</v>
      </c>
      <c r="AJ925" t="str">
        <f t="shared" si="284"/>
        <v>P000</v>
      </c>
    </row>
    <row r="926" spans="1:36" x14ac:dyDescent="0.25">
      <c r="A926" s="325" t="str">
        <f>CONCATENATE("P",'906MP'!M626)</f>
        <v>P</v>
      </c>
      <c r="B926">
        <f>'906MP'!H626</f>
        <v>0</v>
      </c>
      <c r="C926">
        <f>'906MP'!J626</f>
        <v>0</v>
      </c>
      <c r="D926">
        <f>'906MP'!P626</f>
        <v>0</v>
      </c>
      <c r="E926">
        <f>'906MP'!X626</f>
        <v>0</v>
      </c>
      <c r="F926" t="str">
        <f t="shared" si="276"/>
        <v>0</v>
      </c>
      <c r="G926" t="str">
        <f t="shared" si="277"/>
        <v>0</v>
      </c>
      <c r="H926">
        <f>'906MP'!Y626</f>
        <v>0</v>
      </c>
      <c r="I926">
        <f>'906MP'!AK626</f>
        <v>0</v>
      </c>
      <c r="J926">
        <f>'906MP'!T626</f>
        <v>0</v>
      </c>
      <c r="K926">
        <f>'906MP'!AJ626</f>
        <v>0</v>
      </c>
      <c r="L926">
        <f>'906MP'!U626</f>
        <v>0</v>
      </c>
      <c r="M926" s="322" t="str">
        <f>IFERROR(VLOOKUP(A926,PAR!$D$3:$E$53,2,FALSE),"nincs szervezet")</f>
        <v>nincs szervezet</v>
      </c>
      <c r="N926" s="322" t="str">
        <f>VLOOKUP(F926,PAR!$R$3:$S$5,2,FALSE)</f>
        <v>3 - egyik sem</v>
      </c>
      <c r="O926" t="str">
        <f>IFERROR(VLOOKUP(J926,PAR!$O$3:$P$5,2,FALSE),"nincs feladat")</f>
        <v>nincs feladat</v>
      </c>
      <c r="P926" t="str">
        <f>IFERROR(VLOOKUP(G926,PAR!$J$2:$M$19,4),"nincs rovat")</f>
        <v>nincs rovat</v>
      </c>
      <c r="Q926" t="str">
        <f>IF(H926&gt;0,VLOOKUP(H926,PAR!$AA$3:$AC$187,3,FALSE),"nincs főkönyvi számla")</f>
        <v>nincs főkönyvi számla</v>
      </c>
      <c r="R926" t="str">
        <f>IFERROR(VLOOKUP(K926,PAR!$V$3:$X$438,3,FALSE),"000000 - Nincs COFOG")</f>
        <v>000000 - Nincs COFOG</v>
      </c>
      <c r="S926">
        <f t="shared" si="278"/>
        <v>0</v>
      </c>
      <c r="T926">
        <f t="shared" si="279"/>
        <v>0</v>
      </c>
      <c r="U926" t="str">
        <f>IF('906MP'!J626&gt;0,CONCATENATE('906MP'!J626," - ",'906MP'!P626,", ",'906MP'!E626),"nincs megjegyzés")</f>
        <v>nincs megjegyzés</v>
      </c>
      <c r="V926" t="str">
        <f t="shared" si="266"/>
        <v>0P0</v>
      </c>
      <c r="W926" t="str">
        <f t="shared" si="267"/>
        <v>0P0</v>
      </c>
      <c r="X926" t="str">
        <f t="shared" si="268"/>
        <v>P0</v>
      </c>
      <c r="Y926" t="str">
        <f t="shared" si="269"/>
        <v>00</v>
      </c>
      <c r="Z926" t="str">
        <f t="shared" si="280"/>
        <v>00</v>
      </c>
      <c r="AA926" t="str">
        <f t="shared" si="270"/>
        <v>00</v>
      </c>
      <c r="AB926" t="str">
        <f t="shared" si="271"/>
        <v>00</v>
      </c>
      <c r="AC926" t="str">
        <f t="shared" si="272"/>
        <v>0P0</v>
      </c>
      <c r="AD926" t="str">
        <f t="shared" si="273"/>
        <v>P00</v>
      </c>
      <c r="AE926" t="str">
        <f t="shared" si="274"/>
        <v>0P0</v>
      </c>
      <c r="AF926" t="str">
        <f t="shared" si="275"/>
        <v>P00</v>
      </c>
      <c r="AG926" t="str">
        <f t="shared" si="281"/>
        <v>0P00</v>
      </c>
      <c r="AH926" t="str">
        <f t="shared" si="282"/>
        <v>P000</v>
      </c>
      <c r="AI926" t="str">
        <f t="shared" si="283"/>
        <v>0P00</v>
      </c>
      <c r="AJ926" t="str">
        <f t="shared" si="284"/>
        <v>P000</v>
      </c>
    </row>
    <row r="927" spans="1:36" x14ac:dyDescent="0.25">
      <c r="A927" s="325" t="str">
        <f>CONCATENATE("P",'906MP'!M627)</f>
        <v>P</v>
      </c>
      <c r="B927">
        <f>'906MP'!H627</f>
        <v>0</v>
      </c>
      <c r="C927">
        <f>'906MP'!J627</f>
        <v>0</v>
      </c>
      <c r="D927">
        <f>'906MP'!P627</f>
        <v>0</v>
      </c>
      <c r="E927">
        <f>'906MP'!X627</f>
        <v>0</v>
      </c>
      <c r="F927" t="str">
        <f t="shared" si="276"/>
        <v>0</v>
      </c>
      <c r="G927" t="str">
        <f t="shared" si="277"/>
        <v>0</v>
      </c>
      <c r="H927">
        <f>'906MP'!Y627</f>
        <v>0</v>
      </c>
      <c r="I927">
        <f>'906MP'!AK627</f>
        <v>0</v>
      </c>
      <c r="J927">
        <f>'906MP'!T627</f>
        <v>0</v>
      </c>
      <c r="K927">
        <f>'906MP'!AJ627</f>
        <v>0</v>
      </c>
      <c r="L927">
        <f>'906MP'!U627</f>
        <v>0</v>
      </c>
      <c r="M927" s="322" t="str">
        <f>IFERROR(VLOOKUP(A927,PAR!$D$3:$E$53,2,FALSE),"nincs szervezet")</f>
        <v>nincs szervezet</v>
      </c>
      <c r="N927" s="322" t="str">
        <f>VLOOKUP(F927,PAR!$R$3:$S$5,2,FALSE)</f>
        <v>3 - egyik sem</v>
      </c>
      <c r="O927" t="str">
        <f>IFERROR(VLOOKUP(J927,PAR!$O$3:$P$5,2,FALSE),"nincs feladat")</f>
        <v>nincs feladat</v>
      </c>
      <c r="P927" t="str">
        <f>IFERROR(VLOOKUP(G927,PAR!$J$2:$M$19,4),"nincs rovat")</f>
        <v>nincs rovat</v>
      </c>
      <c r="Q927" t="str">
        <f>IF(H927&gt;0,VLOOKUP(H927,PAR!$AA$3:$AC$187,3,FALSE),"nincs főkönyvi számla")</f>
        <v>nincs főkönyvi számla</v>
      </c>
      <c r="R927" t="str">
        <f>IFERROR(VLOOKUP(K927,PAR!$V$3:$X$438,3,FALSE),"000000 - Nincs COFOG")</f>
        <v>000000 - Nincs COFOG</v>
      </c>
      <c r="S927">
        <f t="shared" si="278"/>
        <v>0</v>
      </c>
      <c r="T927">
        <f t="shared" si="279"/>
        <v>0</v>
      </c>
      <c r="U927" t="str">
        <f>IF('906MP'!J627&gt;0,CONCATENATE('906MP'!J627," - ",'906MP'!P627,", ",'906MP'!E627),"nincs megjegyzés")</f>
        <v>nincs megjegyzés</v>
      </c>
      <c r="V927" t="str">
        <f t="shared" si="266"/>
        <v>0P0</v>
      </c>
      <c r="W927" t="str">
        <f t="shared" si="267"/>
        <v>0P0</v>
      </c>
      <c r="X927" t="str">
        <f t="shared" si="268"/>
        <v>P0</v>
      </c>
      <c r="Y927" t="str">
        <f t="shared" si="269"/>
        <v>00</v>
      </c>
      <c r="Z927" t="str">
        <f t="shared" si="280"/>
        <v>00</v>
      </c>
      <c r="AA927" t="str">
        <f t="shared" si="270"/>
        <v>00</v>
      </c>
      <c r="AB927" t="str">
        <f t="shared" si="271"/>
        <v>00</v>
      </c>
      <c r="AC927" t="str">
        <f t="shared" si="272"/>
        <v>0P0</v>
      </c>
      <c r="AD927" t="str">
        <f t="shared" si="273"/>
        <v>P00</v>
      </c>
      <c r="AE927" t="str">
        <f t="shared" si="274"/>
        <v>0P0</v>
      </c>
      <c r="AF927" t="str">
        <f t="shared" si="275"/>
        <v>P00</v>
      </c>
      <c r="AG927" t="str">
        <f t="shared" si="281"/>
        <v>0P00</v>
      </c>
      <c r="AH927" t="str">
        <f t="shared" si="282"/>
        <v>P000</v>
      </c>
      <c r="AI927" t="str">
        <f t="shared" si="283"/>
        <v>0P00</v>
      </c>
      <c r="AJ927" t="str">
        <f t="shared" si="284"/>
        <v>P000</v>
      </c>
    </row>
    <row r="928" spans="1:36" x14ac:dyDescent="0.25">
      <c r="A928" s="325" t="str">
        <f>CONCATENATE("P",'906MP'!M628)</f>
        <v>P</v>
      </c>
      <c r="B928">
        <f>'906MP'!H628</f>
        <v>0</v>
      </c>
      <c r="C928">
        <f>'906MP'!J628</f>
        <v>0</v>
      </c>
      <c r="D928">
        <f>'906MP'!P628</f>
        <v>0</v>
      </c>
      <c r="E928">
        <f>'906MP'!X628</f>
        <v>0</v>
      </c>
      <c r="F928" t="str">
        <f t="shared" si="276"/>
        <v>0</v>
      </c>
      <c r="G928" t="str">
        <f t="shared" si="277"/>
        <v>0</v>
      </c>
      <c r="H928">
        <f>'906MP'!Y628</f>
        <v>0</v>
      </c>
      <c r="I928">
        <f>'906MP'!AK628</f>
        <v>0</v>
      </c>
      <c r="J928">
        <f>'906MP'!T628</f>
        <v>0</v>
      </c>
      <c r="K928">
        <f>'906MP'!AJ628</f>
        <v>0</v>
      </c>
      <c r="L928">
        <f>'906MP'!U628</f>
        <v>0</v>
      </c>
      <c r="M928" s="322" t="str">
        <f>IFERROR(VLOOKUP(A928,PAR!$D$3:$E$53,2,FALSE),"nincs szervezet")</f>
        <v>nincs szervezet</v>
      </c>
      <c r="N928" s="322" t="str">
        <f>VLOOKUP(F928,PAR!$R$3:$S$5,2,FALSE)</f>
        <v>3 - egyik sem</v>
      </c>
      <c r="O928" t="str">
        <f>IFERROR(VLOOKUP(J928,PAR!$O$3:$P$5,2,FALSE),"nincs feladat")</f>
        <v>nincs feladat</v>
      </c>
      <c r="P928" t="str">
        <f>IFERROR(VLOOKUP(G928,PAR!$J$2:$M$19,4),"nincs rovat")</f>
        <v>nincs rovat</v>
      </c>
      <c r="Q928" t="str">
        <f>IF(H928&gt;0,VLOOKUP(H928,PAR!$AA$3:$AC$187,3,FALSE),"nincs főkönyvi számla")</f>
        <v>nincs főkönyvi számla</v>
      </c>
      <c r="R928" t="str">
        <f>IFERROR(VLOOKUP(K928,PAR!$V$3:$X$438,3,FALSE),"000000 - Nincs COFOG")</f>
        <v>000000 - Nincs COFOG</v>
      </c>
      <c r="S928">
        <f t="shared" si="278"/>
        <v>0</v>
      </c>
      <c r="T928">
        <f t="shared" si="279"/>
        <v>0</v>
      </c>
      <c r="U928" t="str">
        <f>IF('906MP'!J628&gt;0,CONCATENATE('906MP'!J628," - ",'906MP'!P628,", ",'906MP'!E628),"nincs megjegyzés")</f>
        <v>nincs megjegyzés</v>
      </c>
      <c r="V928" t="str">
        <f t="shared" si="266"/>
        <v>0P0</v>
      </c>
      <c r="W928" t="str">
        <f t="shared" si="267"/>
        <v>0P0</v>
      </c>
      <c r="X928" t="str">
        <f t="shared" si="268"/>
        <v>P0</v>
      </c>
      <c r="Y928" t="str">
        <f t="shared" si="269"/>
        <v>00</v>
      </c>
      <c r="Z928" t="str">
        <f t="shared" si="280"/>
        <v>00</v>
      </c>
      <c r="AA928" t="str">
        <f t="shared" si="270"/>
        <v>00</v>
      </c>
      <c r="AB928" t="str">
        <f t="shared" si="271"/>
        <v>00</v>
      </c>
      <c r="AC928" t="str">
        <f t="shared" si="272"/>
        <v>0P0</v>
      </c>
      <c r="AD928" t="str">
        <f t="shared" si="273"/>
        <v>P00</v>
      </c>
      <c r="AE928" t="str">
        <f t="shared" si="274"/>
        <v>0P0</v>
      </c>
      <c r="AF928" t="str">
        <f t="shared" si="275"/>
        <v>P00</v>
      </c>
      <c r="AG928" t="str">
        <f t="shared" si="281"/>
        <v>0P00</v>
      </c>
      <c r="AH928" t="str">
        <f t="shared" si="282"/>
        <v>P000</v>
      </c>
      <c r="AI928" t="str">
        <f t="shared" si="283"/>
        <v>0P00</v>
      </c>
      <c r="AJ928" t="str">
        <f t="shared" si="284"/>
        <v>P000</v>
      </c>
    </row>
    <row r="929" spans="1:36" x14ac:dyDescent="0.25">
      <c r="A929" s="325" t="str">
        <f>CONCATENATE("P",'906MP'!M629)</f>
        <v>P</v>
      </c>
      <c r="B929">
        <f>'906MP'!H629</f>
        <v>0</v>
      </c>
      <c r="C929">
        <f>'906MP'!J629</f>
        <v>0</v>
      </c>
      <c r="D929">
        <f>'906MP'!P629</f>
        <v>0</v>
      </c>
      <c r="E929">
        <f>'906MP'!X629</f>
        <v>0</v>
      </c>
      <c r="F929" t="str">
        <f t="shared" si="276"/>
        <v>0</v>
      </c>
      <c r="G929" t="str">
        <f t="shared" si="277"/>
        <v>0</v>
      </c>
      <c r="H929">
        <f>'906MP'!Y629</f>
        <v>0</v>
      </c>
      <c r="I929">
        <f>'906MP'!AK629</f>
        <v>0</v>
      </c>
      <c r="J929">
        <f>'906MP'!T629</f>
        <v>0</v>
      </c>
      <c r="K929">
        <f>'906MP'!AJ629</f>
        <v>0</v>
      </c>
      <c r="L929">
        <f>'906MP'!U629</f>
        <v>0</v>
      </c>
      <c r="M929" s="322" t="str">
        <f>IFERROR(VLOOKUP(A929,PAR!$D$3:$E$53,2,FALSE),"nincs szervezet")</f>
        <v>nincs szervezet</v>
      </c>
      <c r="N929" s="322" t="str">
        <f>VLOOKUP(F929,PAR!$R$3:$S$5,2,FALSE)</f>
        <v>3 - egyik sem</v>
      </c>
      <c r="O929" t="str">
        <f>IFERROR(VLOOKUP(J929,PAR!$O$3:$P$5,2,FALSE),"nincs feladat")</f>
        <v>nincs feladat</v>
      </c>
      <c r="P929" t="str">
        <f>IFERROR(VLOOKUP(G929,PAR!$J$2:$M$19,4),"nincs rovat")</f>
        <v>nincs rovat</v>
      </c>
      <c r="Q929" t="str">
        <f>IF(H929&gt;0,VLOOKUP(H929,PAR!$AA$3:$AC$187,3,FALSE),"nincs főkönyvi számla")</f>
        <v>nincs főkönyvi számla</v>
      </c>
      <c r="R929" t="str">
        <f>IFERROR(VLOOKUP(K929,PAR!$V$3:$X$438,3,FALSE),"000000 - Nincs COFOG")</f>
        <v>000000 - Nincs COFOG</v>
      </c>
      <c r="S929">
        <f t="shared" si="278"/>
        <v>0</v>
      </c>
      <c r="T929">
        <f t="shared" si="279"/>
        <v>0</v>
      </c>
      <c r="U929" t="str">
        <f>IF('906MP'!J629&gt;0,CONCATENATE('906MP'!J629," - ",'906MP'!P629,", ",'906MP'!E629),"nincs megjegyzés")</f>
        <v>nincs megjegyzés</v>
      </c>
      <c r="V929" t="str">
        <f t="shared" si="266"/>
        <v>0P0</v>
      </c>
      <c r="W929" t="str">
        <f t="shared" si="267"/>
        <v>0P0</v>
      </c>
      <c r="X929" t="str">
        <f t="shared" si="268"/>
        <v>P0</v>
      </c>
      <c r="Y929" t="str">
        <f t="shared" si="269"/>
        <v>00</v>
      </c>
      <c r="Z929" t="str">
        <f t="shared" si="280"/>
        <v>00</v>
      </c>
      <c r="AA929" t="str">
        <f t="shared" si="270"/>
        <v>00</v>
      </c>
      <c r="AB929" t="str">
        <f t="shared" si="271"/>
        <v>00</v>
      </c>
      <c r="AC929" t="str">
        <f t="shared" si="272"/>
        <v>0P0</v>
      </c>
      <c r="AD929" t="str">
        <f t="shared" si="273"/>
        <v>P00</v>
      </c>
      <c r="AE929" t="str">
        <f t="shared" si="274"/>
        <v>0P0</v>
      </c>
      <c r="AF929" t="str">
        <f t="shared" si="275"/>
        <v>P00</v>
      </c>
      <c r="AG929" t="str">
        <f t="shared" si="281"/>
        <v>0P00</v>
      </c>
      <c r="AH929" t="str">
        <f t="shared" si="282"/>
        <v>P000</v>
      </c>
      <c r="AI929" t="str">
        <f t="shared" si="283"/>
        <v>0P00</v>
      </c>
      <c r="AJ929" t="str">
        <f t="shared" si="284"/>
        <v>P000</v>
      </c>
    </row>
    <row r="930" spans="1:36" x14ac:dyDescent="0.25">
      <c r="A930" s="325" t="str">
        <f>CONCATENATE("P",'906MP'!M630)</f>
        <v>P</v>
      </c>
      <c r="B930">
        <f>'906MP'!H630</f>
        <v>0</v>
      </c>
      <c r="C930">
        <f>'906MP'!J630</f>
        <v>0</v>
      </c>
      <c r="D930">
        <f>'906MP'!P630</f>
        <v>0</v>
      </c>
      <c r="E930">
        <f>'906MP'!X630</f>
        <v>0</v>
      </c>
      <c r="F930" t="str">
        <f t="shared" si="276"/>
        <v>0</v>
      </c>
      <c r="G930" t="str">
        <f t="shared" si="277"/>
        <v>0</v>
      </c>
      <c r="H930">
        <f>'906MP'!Y630</f>
        <v>0</v>
      </c>
      <c r="I930">
        <f>'906MP'!AK630</f>
        <v>0</v>
      </c>
      <c r="J930">
        <f>'906MP'!T630</f>
        <v>0</v>
      </c>
      <c r="K930">
        <f>'906MP'!AJ630</f>
        <v>0</v>
      </c>
      <c r="L930">
        <f>'906MP'!U630</f>
        <v>0</v>
      </c>
      <c r="M930" s="322" t="str">
        <f>IFERROR(VLOOKUP(A930,PAR!$D$3:$E$53,2,FALSE),"nincs szervezet")</f>
        <v>nincs szervezet</v>
      </c>
      <c r="N930" s="322" t="str">
        <f>VLOOKUP(F930,PAR!$R$3:$S$5,2,FALSE)</f>
        <v>3 - egyik sem</v>
      </c>
      <c r="O930" t="str">
        <f>IFERROR(VLOOKUP(J930,PAR!$O$3:$P$5,2,FALSE),"nincs feladat")</f>
        <v>nincs feladat</v>
      </c>
      <c r="P930" t="str">
        <f>IFERROR(VLOOKUP(G930,PAR!$J$2:$M$19,4),"nincs rovat")</f>
        <v>nincs rovat</v>
      </c>
      <c r="Q930" t="str">
        <f>IF(H930&gt;0,VLOOKUP(H930,PAR!$AA$3:$AC$187,3,FALSE),"nincs főkönyvi számla")</f>
        <v>nincs főkönyvi számla</v>
      </c>
      <c r="R930" t="str">
        <f>IFERROR(VLOOKUP(K930,PAR!$V$3:$X$438,3,FALSE),"000000 - Nincs COFOG")</f>
        <v>000000 - Nincs COFOG</v>
      </c>
      <c r="S930">
        <f t="shared" si="278"/>
        <v>0</v>
      </c>
      <c r="T930">
        <f t="shared" si="279"/>
        <v>0</v>
      </c>
      <c r="U930" t="str">
        <f>IF('906MP'!J630&gt;0,CONCATENATE('906MP'!J630," - ",'906MP'!P630,", ",'906MP'!E630),"nincs megjegyzés")</f>
        <v>nincs megjegyzés</v>
      </c>
      <c r="V930" t="str">
        <f t="shared" si="266"/>
        <v>0P0</v>
      </c>
      <c r="W930" t="str">
        <f t="shared" si="267"/>
        <v>0P0</v>
      </c>
      <c r="X930" t="str">
        <f t="shared" si="268"/>
        <v>P0</v>
      </c>
      <c r="Y930" t="str">
        <f t="shared" si="269"/>
        <v>00</v>
      </c>
      <c r="Z930" t="str">
        <f t="shared" si="280"/>
        <v>00</v>
      </c>
      <c r="AA930" t="str">
        <f t="shared" si="270"/>
        <v>00</v>
      </c>
      <c r="AB930" t="str">
        <f t="shared" si="271"/>
        <v>00</v>
      </c>
      <c r="AC930" t="str">
        <f t="shared" si="272"/>
        <v>0P0</v>
      </c>
      <c r="AD930" t="str">
        <f t="shared" si="273"/>
        <v>P00</v>
      </c>
      <c r="AE930" t="str">
        <f t="shared" si="274"/>
        <v>0P0</v>
      </c>
      <c r="AF930" t="str">
        <f t="shared" si="275"/>
        <v>P00</v>
      </c>
      <c r="AG930" t="str">
        <f t="shared" si="281"/>
        <v>0P00</v>
      </c>
      <c r="AH930" t="str">
        <f t="shared" si="282"/>
        <v>P000</v>
      </c>
      <c r="AI930" t="str">
        <f t="shared" si="283"/>
        <v>0P00</v>
      </c>
      <c r="AJ930" t="str">
        <f t="shared" si="284"/>
        <v>P000</v>
      </c>
    </row>
    <row r="931" spans="1:36" x14ac:dyDescent="0.25">
      <c r="A931" s="325" t="str">
        <f>CONCATENATE("P",'906MP'!M631)</f>
        <v>P</v>
      </c>
      <c r="B931">
        <f>'906MP'!H631</f>
        <v>0</v>
      </c>
      <c r="C931">
        <f>'906MP'!J631</f>
        <v>0</v>
      </c>
      <c r="D931">
        <f>'906MP'!P631</f>
        <v>0</v>
      </c>
      <c r="E931">
        <f>'906MP'!X631</f>
        <v>0</v>
      </c>
      <c r="F931" t="str">
        <f t="shared" si="276"/>
        <v>0</v>
      </c>
      <c r="G931" t="str">
        <f t="shared" si="277"/>
        <v>0</v>
      </c>
      <c r="H931">
        <f>'906MP'!Y631</f>
        <v>0</v>
      </c>
      <c r="I931">
        <f>'906MP'!AK631</f>
        <v>0</v>
      </c>
      <c r="J931">
        <f>'906MP'!T631</f>
        <v>0</v>
      </c>
      <c r="K931">
        <f>'906MP'!AJ631</f>
        <v>0</v>
      </c>
      <c r="L931">
        <f>'906MP'!U631</f>
        <v>0</v>
      </c>
      <c r="M931" s="322" t="str">
        <f>IFERROR(VLOOKUP(A931,PAR!$D$3:$E$53,2,FALSE),"nincs szervezet")</f>
        <v>nincs szervezet</v>
      </c>
      <c r="N931" s="322" t="str">
        <f>VLOOKUP(F931,PAR!$R$3:$S$5,2,FALSE)</f>
        <v>3 - egyik sem</v>
      </c>
      <c r="O931" t="str">
        <f>IFERROR(VLOOKUP(J931,PAR!$O$3:$P$5,2,FALSE),"nincs feladat")</f>
        <v>nincs feladat</v>
      </c>
      <c r="P931" t="str">
        <f>IFERROR(VLOOKUP(G931,PAR!$J$2:$M$19,4),"nincs rovat")</f>
        <v>nincs rovat</v>
      </c>
      <c r="Q931" t="str">
        <f>IF(H931&gt;0,VLOOKUP(H931,PAR!$AA$3:$AC$187,3,FALSE),"nincs főkönyvi számla")</f>
        <v>nincs főkönyvi számla</v>
      </c>
      <c r="R931" t="str">
        <f>IFERROR(VLOOKUP(K931,PAR!$V$3:$X$438,3,FALSE),"000000 - Nincs COFOG")</f>
        <v>000000 - Nincs COFOG</v>
      </c>
      <c r="S931">
        <f t="shared" si="278"/>
        <v>0</v>
      </c>
      <c r="T931">
        <f t="shared" si="279"/>
        <v>0</v>
      </c>
      <c r="U931" t="str">
        <f>IF('906MP'!J631&gt;0,CONCATENATE('906MP'!J631," - ",'906MP'!P631,", ",'906MP'!E631),"nincs megjegyzés")</f>
        <v>nincs megjegyzés</v>
      </c>
      <c r="V931" t="str">
        <f t="shared" si="266"/>
        <v>0P0</v>
      </c>
      <c r="W931" t="str">
        <f t="shared" si="267"/>
        <v>0P0</v>
      </c>
      <c r="X931" t="str">
        <f t="shared" si="268"/>
        <v>P0</v>
      </c>
      <c r="Y931" t="str">
        <f t="shared" si="269"/>
        <v>00</v>
      </c>
      <c r="Z931" t="str">
        <f t="shared" si="280"/>
        <v>00</v>
      </c>
      <c r="AA931" t="str">
        <f t="shared" si="270"/>
        <v>00</v>
      </c>
      <c r="AB931" t="str">
        <f t="shared" si="271"/>
        <v>00</v>
      </c>
      <c r="AC931" t="str">
        <f t="shared" si="272"/>
        <v>0P0</v>
      </c>
      <c r="AD931" t="str">
        <f t="shared" si="273"/>
        <v>P00</v>
      </c>
      <c r="AE931" t="str">
        <f t="shared" si="274"/>
        <v>0P0</v>
      </c>
      <c r="AF931" t="str">
        <f t="shared" si="275"/>
        <v>P00</v>
      </c>
      <c r="AG931" t="str">
        <f t="shared" si="281"/>
        <v>0P00</v>
      </c>
      <c r="AH931" t="str">
        <f t="shared" si="282"/>
        <v>P000</v>
      </c>
      <c r="AI931" t="str">
        <f t="shared" si="283"/>
        <v>0P00</v>
      </c>
      <c r="AJ931" t="str">
        <f t="shared" si="284"/>
        <v>P000</v>
      </c>
    </row>
    <row r="932" spans="1:36" x14ac:dyDescent="0.25">
      <c r="A932" s="325" t="str">
        <f>CONCATENATE("P",'906MP'!M632)</f>
        <v>P</v>
      </c>
      <c r="B932">
        <f>'906MP'!H632</f>
        <v>0</v>
      </c>
      <c r="C932">
        <f>'906MP'!J632</f>
        <v>0</v>
      </c>
      <c r="D932">
        <f>'906MP'!P632</f>
        <v>0</v>
      </c>
      <c r="E932">
        <f>'906MP'!X632</f>
        <v>0</v>
      </c>
      <c r="F932" t="str">
        <f t="shared" si="276"/>
        <v>0</v>
      </c>
      <c r="G932" t="str">
        <f t="shared" si="277"/>
        <v>0</v>
      </c>
      <c r="H932">
        <f>'906MP'!Y632</f>
        <v>0</v>
      </c>
      <c r="I932">
        <f>'906MP'!AK632</f>
        <v>0</v>
      </c>
      <c r="J932">
        <f>'906MP'!T632</f>
        <v>0</v>
      </c>
      <c r="K932">
        <f>'906MP'!AJ632</f>
        <v>0</v>
      </c>
      <c r="L932">
        <f>'906MP'!U632</f>
        <v>0</v>
      </c>
      <c r="M932" s="322" t="str">
        <f>IFERROR(VLOOKUP(A932,PAR!$D$3:$E$53,2,FALSE),"nincs szervezet")</f>
        <v>nincs szervezet</v>
      </c>
      <c r="N932" s="322" t="str">
        <f>VLOOKUP(F932,PAR!$R$3:$S$5,2,FALSE)</f>
        <v>3 - egyik sem</v>
      </c>
      <c r="O932" t="str">
        <f>IFERROR(VLOOKUP(J932,PAR!$O$3:$P$5,2,FALSE),"nincs feladat")</f>
        <v>nincs feladat</v>
      </c>
      <c r="P932" t="str">
        <f>IFERROR(VLOOKUP(G932,PAR!$J$2:$M$19,4),"nincs rovat")</f>
        <v>nincs rovat</v>
      </c>
      <c r="Q932" t="str">
        <f>IF(H932&gt;0,VLOOKUP(H932,PAR!$AA$3:$AC$187,3,FALSE),"nincs főkönyvi számla")</f>
        <v>nincs főkönyvi számla</v>
      </c>
      <c r="R932" t="str">
        <f>IFERROR(VLOOKUP(K932,PAR!$V$3:$X$438,3,FALSE),"000000 - Nincs COFOG")</f>
        <v>000000 - Nincs COFOG</v>
      </c>
      <c r="S932">
        <f t="shared" si="278"/>
        <v>0</v>
      </c>
      <c r="T932">
        <f t="shared" si="279"/>
        <v>0</v>
      </c>
      <c r="U932" t="str">
        <f>IF('906MP'!J632&gt;0,CONCATENATE('906MP'!J632," - ",'906MP'!P632,", ",'906MP'!E632),"nincs megjegyzés")</f>
        <v>nincs megjegyzés</v>
      </c>
      <c r="V932" t="str">
        <f t="shared" si="266"/>
        <v>0P0</v>
      </c>
      <c r="W932" t="str">
        <f t="shared" si="267"/>
        <v>0P0</v>
      </c>
      <c r="X932" t="str">
        <f t="shared" si="268"/>
        <v>P0</v>
      </c>
      <c r="Y932" t="str">
        <f t="shared" si="269"/>
        <v>00</v>
      </c>
      <c r="Z932" t="str">
        <f t="shared" si="280"/>
        <v>00</v>
      </c>
      <c r="AA932" t="str">
        <f t="shared" si="270"/>
        <v>00</v>
      </c>
      <c r="AB932" t="str">
        <f t="shared" si="271"/>
        <v>00</v>
      </c>
      <c r="AC932" t="str">
        <f t="shared" si="272"/>
        <v>0P0</v>
      </c>
      <c r="AD932" t="str">
        <f t="shared" si="273"/>
        <v>P00</v>
      </c>
      <c r="AE932" t="str">
        <f t="shared" si="274"/>
        <v>0P0</v>
      </c>
      <c r="AF932" t="str">
        <f t="shared" si="275"/>
        <v>P00</v>
      </c>
      <c r="AG932" t="str">
        <f t="shared" si="281"/>
        <v>0P00</v>
      </c>
      <c r="AH932" t="str">
        <f t="shared" si="282"/>
        <v>P000</v>
      </c>
      <c r="AI932" t="str">
        <f t="shared" si="283"/>
        <v>0P00</v>
      </c>
      <c r="AJ932" t="str">
        <f t="shared" si="284"/>
        <v>P000</v>
      </c>
    </row>
    <row r="933" spans="1:36" x14ac:dyDescent="0.25">
      <c r="A933" s="325" t="str">
        <f>CONCATENATE("P",'906MP'!M633)</f>
        <v>P</v>
      </c>
      <c r="B933">
        <f>'906MP'!H633</f>
        <v>0</v>
      </c>
      <c r="C933">
        <f>'906MP'!J633</f>
        <v>0</v>
      </c>
      <c r="D933">
        <f>'906MP'!P633</f>
        <v>0</v>
      </c>
      <c r="E933">
        <f>'906MP'!X633</f>
        <v>0</v>
      </c>
      <c r="F933" t="str">
        <f t="shared" si="276"/>
        <v>0</v>
      </c>
      <c r="G933" t="str">
        <f t="shared" si="277"/>
        <v>0</v>
      </c>
      <c r="H933">
        <f>'906MP'!Y633</f>
        <v>0</v>
      </c>
      <c r="I933">
        <f>'906MP'!AK633</f>
        <v>0</v>
      </c>
      <c r="J933">
        <f>'906MP'!T633</f>
        <v>0</v>
      </c>
      <c r="K933">
        <f>'906MP'!AJ633</f>
        <v>0</v>
      </c>
      <c r="L933">
        <f>'906MP'!U633</f>
        <v>0</v>
      </c>
      <c r="M933" s="322" t="str">
        <f>IFERROR(VLOOKUP(A933,PAR!$D$3:$E$53,2,FALSE),"nincs szervezet")</f>
        <v>nincs szervezet</v>
      </c>
      <c r="N933" s="322" t="str">
        <f>VLOOKUP(F933,PAR!$R$3:$S$5,2,FALSE)</f>
        <v>3 - egyik sem</v>
      </c>
      <c r="O933" t="str">
        <f>IFERROR(VLOOKUP(J933,PAR!$O$3:$P$5,2,FALSE),"nincs feladat")</f>
        <v>nincs feladat</v>
      </c>
      <c r="P933" t="str">
        <f>IFERROR(VLOOKUP(G933,PAR!$J$2:$M$19,4),"nincs rovat")</f>
        <v>nincs rovat</v>
      </c>
      <c r="Q933" t="str">
        <f>IF(H933&gt;0,VLOOKUP(H933,PAR!$AA$3:$AC$187,3,FALSE),"nincs főkönyvi számla")</f>
        <v>nincs főkönyvi számla</v>
      </c>
      <c r="R933" t="str">
        <f>IFERROR(VLOOKUP(K933,PAR!$V$3:$X$438,3,FALSE),"000000 - Nincs COFOG")</f>
        <v>000000 - Nincs COFOG</v>
      </c>
      <c r="S933">
        <f t="shared" si="278"/>
        <v>0</v>
      </c>
      <c r="T933">
        <f t="shared" si="279"/>
        <v>0</v>
      </c>
      <c r="U933" t="str">
        <f>IF('906MP'!J633&gt;0,CONCATENATE('906MP'!J633," - ",'906MP'!P633,", ",'906MP'!E633),"nincs megjegyzés")</f>
        <v>nincs megjegyzés</v>
      </c>
      <c r="V933" t="str">
        <f t="shared" si="266"/>
        <v>0P0</v>
      </c>
      <c r="W933" t="str">
        <f t="shared" si="267"/>
        <v>0P0</v>
      </c>
      <c r="X933" t="str">
        <f t="shared" si="268"/>
        <v>P0</v>
      </c>
      <c r="Y933" t="str">
        <f t="shared" si="269"/>
        <v>00</v>
      </c>
      <c r="Z933" t="str">
        <f t="shared" si="280"/>
        <v>00</v>
      </c>
      <c r="AA933" t="str">
        <f t="shared" si="270"/>
        <v>00</v>
      </c>
      <c r="AB933" t="str">
        <f t="shared" si="271"/>
        <v>00</v>
      </c>
      <c r="AC933" t="str">
        <f t="shared" si="272"/>
        <v>0P0</v>
      </c>
      <c r="AD933" t="str">
        <f t="shared" si="273"/>
        <v>P00</v>
      </c>
      <c r="AE933" t="str">
        <f t="shared" si="274"/>
        <v>0P0</v>
      </c>
      <c r="AF933" t="str">
        <f t="shared" si="275"/>
        <v>P00</v>
      </c>
      <c r="AG933" t="str">
        <f t="shared" si="281"/>
        <v>0P00</v>
      </c>
      <c r="AH933" t="str">
        <f t="shared" si="282"/>
        <v>P000</v>
      </c>
      <c r="AI933" t="str">
        <f t="shared" si="283"/>
        <v>0P00</v>
      </c>
      <c r="AJ933" t="str">
        <f t="shared" si="284"/>
        <v>P000</v>
      </c>
    </row>
    <row r="934" spans="1:36" x14ac:dyDescent="0.25">
      <c r="A934" s="325" t="str">
        <f>CONCATENATE("P",'906MP'!M634)</f>
        <v>P</v>
      </c>
      <c r="B934">
        <f>'906MP'!H634</f>
        <v>0</v>
      </c>
      <c r="C934">
        <f>'906MP'!J634</f>
        <v>0</v>
      </c>
      <c r="D934">
        <f>'906MP'!P634</f>
        <v>0</v>
      </c>
      <c r="E934">
        <f>'906MP'!X634</f>
        <v>0</v>
      </c>
      <c r="F934" t="str">
        <f t="shared" si="276"/>
        <v>0</v>
      </c>
      <c r="G934" t="str">
        <f t="shared" si="277"/>
        <v>0</v>
      </c>
      <c r="H934">
        <f>'906MP'!Y634</f>
        <v>0</v>
      </c>
      <c r="I934">
        <f>'906MP'!AK634</f>
        <v>0</v>
      </c>
      <c r="J934">
        <f>'906MP'!T634</f>
        <v>0</v>
      </c>
      <c r="K934">
        <f>'906MP'!AJ634</f>
        <v>0</v>
      </c>
      <c r="L934">
        <f>'906MP'!U634</f>
        <v>0</v>
      </c>
      <c r="M934" s="322" t="str">
        <f>IFERROR(VLOOKUP(A934,PAR!$D$3:$E$53,2,FALSE),"nincs szervezet")</f>
        <v>nincs szervezet</v>
      </c>
      <c r="N934" s="322" t="str">
        <f>VLOOKUP(F934,PAR!$R$3:$S$5,2,FALSE)</f>
        <v>3 - egyik sem</v>
      </c>
      <c r="O934" t="str">
        <f>IFERROR(VLOOKUP(J934,PAR!$O$3:$P$5,2,FALSE),"nincs feladat")</f>
        <v>nincs feladat</v>
      </c>
      <c r="P934" t="str">
        <f>IFERROR(VLOOKUP(G934,PAR!$J$2:$M$19,4),"nincs rovat")</f>
        <v>nincs rovat</v>
      </c>
      <c r="Q934" t="str">
        <f>IF(H934&gt;0,VLOOKUP(H934,PAR!$AA$3:$AC$187,3,FALSE),"nincs főkönyvi számla")</f>
        <v>nincs főkönyvi számla</v>
      </c>
      <c r="R934" t="str">
        <f>IFERROR(VLOOKUP(K934,PAR!$V$3:$X$438,3,FALSE),"000000 - Nincs COFOG")</f>
        <v>000000 - Nincs COFOG</v>
      </c>
      <c r="S934">
        <f t="shared" si="278"/>
        <v>0</v>
      </c>
      <c r="T934">
        <f t="shared" si="279"/>
        <v>0</v>
      </c>
      <c r="U934" t="str">
        <f>IF('906MP'!J634&gt;0,CONCATENATE('906MP'!J634," - ",'906MP'!P634,", ",'906MP'!E634),"nincs megjegyzés")</f>
        <v>nincs megjegyzés</v>
      </c>
      <c r="V934" t="str">
        <f t="shared" si="266"/>
        <v>0P0</v>
      </c>
      <c r="W934" t="str">
        <f t="shared" si="267"/>
        <v>0P0</v>
      </c>
      <c r="X934" t="str">
        <f t="shared" si="268"/>
        <v>P0</v>
      </c>
      <c r="Y934" t="str">
        <f t="shared" si="269"/>
        <v>00</v>
      </c>
      <c r="Z934" t="str">
        <f t="shared" si="280"/>
        <v>00</v>
      </c>
      <c r="AA934" t="str">
        <f t="shared" si="270"/>
        <v>00</v>
      </c>
      <c r="AB934" t="str">
        <f t="shared" si="271"/>
        <v>00</v>
      </c>
      <c r="AC934" t="str">
        <f t="shared" si="272"/>
        <v>0P0</v>
      </c>
      <c r="AD934" t="str">
        <f t="shared" si="273"/>
        <v>P00</v>
      </c>
      <c r="AE934" t="str">
        <f t="shared" si="274"/>
        <v>0P0</v>
      </c>
      <c r="AF934" t="str">
        <f t="shared" si="275"/>
        <v>P00</v>
      </c>
      <c r="AG934" t="str">
        <f t="shared" si="281"/>
        <v>0P00</v>
      </c>
      <c r="AH934" t="str">
        <f t="shared" si="282"/>
        <v>P000</v>
      </c>
      <c r="AI934" t="str">
        <f t="shared" si="283"/>
        <v>0P00</v>
      </c>
      <c r="AJ934" t="str">
        <f t="shared" si="284"/>
        <v>P000</v>
      </c>
    </row>
    <row r="935" spans="1:36" x14ac:dyDescent="0.25">
      <c r="A935" s="325" t="str">
        <f>CONCATENATE("P",'906MP'!M635)</f>
        <v>P</v>
      </c>
      <c r="B935">
        <f>'906MP'!H635</f>
        <v>0</v>
      </c>
      <c r="C935">
        <f>'906MP'!J635</f>
        <v>0</v>
      </c>
      <c r="D935">
        <f>'906MP'!P635</f>
        <v>0</v>
      </c>
      <c r="E935">
        <f>'906MP'!X635</f>
        <v>0</v>
      </c>
      <c r="F935" t="str">
        <f t="shared" si="276"/>
        <v>0</v>
      </c>
      <c r="G935" t="str">
        <f t="shared" si="277"/>
        <v>0</v>
      </c>
      <c r="H935">
        <f>'906MP'!Y635</f>
        <v>0</v>
      </c>
      <c r="I935">
        <f>'906MP'!AK635</f>
        <v>0</v>
      </c>
      <c r="J935">
        <f>'906MP'!T635</f>
        <v>0</v>
      </c>
      <c r="K935">
        <f>'906MP'!AJ635</f>
        <v>0</v>
      </c>
      <c r="L935">
        <f>'906MP'!U635</f>
        <v>0</v>
      </c>
      <c r="M935" s="322" t="str">
        <f>IFERROR(VLOOKUP(A935,PAR!$D$3:$E$53,2,FALSE),"nincs szervezet")</f>
        <v>nincs szervezet</v>
      </c>
      <c r="N935" s="322" t="str">
        <f>VLOOKUP(F935,PAR!$R$3:$S$5,2,FALSE)</f>
        <v>3 - egyik sem</v>
      </c>
      <c r="O935" t="str">
        <f>IFERROR(VLOOKUP(J935,PAR!$O$3:$P$5,2,FALSE),"nincs feladat")</f>
        <v>nincs feladat</v>
      </c>
      <c r="P935" t="str">
        <f>IFERROR(VLOOKUP(G935,PAR!$J$2:$M$19,4),"nincs rovat")</f>
        <v>nincs rovat</v>
      </c>
      <c r="Q935" t="str">
        <f>IF(H935&gt;0,VLOOKUP(H935,PAR!$AA$3:$AC$187,3,FALSE),"nincs főkönyvi számla")</f>
        <v>nincs főkönyvi számla</v>
      </c>
      <c r="R935" t="str">
        <f>IFERROR(VLOOKUP(K935,PAR!$V$3:$X$438,3,FALSE),"000000 - Nincs COFOG")</f>
        <v>000000 - Nincs COFOG</v>
      </c>
      <c r="S935">
        <f t="shared" si="278"/>
        <v>0</v>
      </c>
      <c r="T935">
        <f t="shared" si="279"/>
        <v>0</v>
      </c>
      <c r="U935" t="str">
        <f>IF('906MP'!J635&gt;0,CONCATENATE('906MP'!J635," - ",'906MP'!P635,", ",'906MP'!E635),"nincs megjegyzés")</f>
        <v>nincs megjegyzés</v>
      </c>
      <c r="V935" t="str">
        <f t="shared" si="266"/>
        <v>0P0</v>
      </c>
      <c r="W935" t="str">
        <f t="shared" si="267"/>
        <v>0P0</v>
      </c>
      <c r="X935" t="str">
        <f t="shared" si="268"/>
        <v>P0</v>
      </c>
      <c r="Y935" t="str">
        <f t="shared" si="269"/>
        <v>00</v>
      </c>
      <c r="Z935" t="str">
        <f t="shared" si="280"/>
        <v>00</v>
      </c>
      <c r="AA935" t="str">
        <f t="shared" si="270"/>
        <v>00</v>
      </c>
      <c r="AB935" t="str">
        <f t="shared" si="271"/>
        <v>00</v>
      </c>
      <c r="AC935" t="str">
        <f t="shared" si="272"/>
        <v>0P0</v>
      </c>
      <c r="AD935" t="str">
        <f t="shared" si="273"/>
        <v>P00</v>
      </c>
      <c r="AE935" t="str">
        <f t="shared" si="274"/>
        <v>0P0</v>
      </c>
      <c r="AF935" t="str">
        <f t="shared" si="275"/>
        <v>P00</v>
      </c>
      <c r="AG935" t="str">
        <f t="shared" si="281"/>
        <v>0P00</v>
      </c>
      <c r="AH935" t="str">
        <f t="shared" si="282"/>
        <v>P000</v>
      </c>
      <c r="AI935" t="str">
        <f t="shared" si="283"/>
        <v>0P00</v>
      </c>
      <c r="AJ935" t="str">
        <f t="shared" si="284"/>
        <v>P000</v>
      </c>
    </row>
    <row r="936" spans="1:36" x14ac:dyDescent="0.25">
      <c r="A936" s="325" t="str">
        <f>CONCATENATE("P",'906MP'!M636)</f>
        <v>P</v>
      </c>
      <c r="B936">
        <f>'906MP'!H636</f>
        <v>0</v>
      </c>
      <c r="C936">
        <f>'906MP'!J636</f>
        <v>0</v>
      </c>
      <c r="D936">
        <f>'906MP'!P636</f>
        <v>0</v>
      </c>
      <c r="E936">
        <f>'906MP'!X636</f>
        <v>0</v>
      </c>
      <c r="F936" t="str">
        <f t="shared" si="276"/>
        <v>0</v>
      </c>
      <c r="G936" t="str">
        <f t="shared" si="277"/>
        <v>0</v>
      </c>
      <c r="H936">
        <f>'906MP'!Y636</f>
        <v>0</v>
      </c>
      <c r="I936">
        <f>'906MP'!AK636</f>
        <v>0</v>
      </c>
      <c r="J936">
        <f>'906MP'!T636</f>
        <v>0</v>
      </c>
      <c r="K936">
        <f>'906MP'!AJ636</f>
        <v>0</v>
      </c>
      <c r="L936">
        <f>'906MP'!U636</f>
        <v>0</v>
      </c>
      <c r="M936" s="322" t="str">
        <f>IFERROR(VLOOKUP(A936,PAR!$D$3:$E$53,2,FALSE),"nincs szervezet")</f>
        <v>nincs szervezet</v>
      </c>
      <c r="N936" s="322" t="str">
        <f>VLOOKUP(F936,PAR!$R$3:$S$5,2,FALSE)</f>
        <v>3 - egyik sem</v>
      </c>
      <c r="O936" t="str">
        <f>IFERROR(VLOOKUP(J936,PAR!$O$3:$P$5,2,FALSE),"nincs feladat")</f>
        <v>nincs feladat</v>
      </c>
      <c r="P936" t="str">
        <f>IFERROR(VLOOKUP(G936,PAR!$J$2:$M$19,4),"nincs rovat")</f>
        <v>nincs rovat</v>
      </c>
      <c r="Q936" t="str">
        <f>IF(H936&gt;0,VLOOKUP(H936,PAR!$AA$3:$AC$187,3,FALSE),"nincs főkönyvi számla")</f>
        <v>nincs főkönyvi számla</v>
      </c>
      <c r="R936" t="str">
        <f>IFERROR(VLOOKUP(K936,PAR!$V$3:$X$438,3,FALSE),"000000 - Nincs COFOG")</f>
        <v>000000 - Nincs COFOG</v>
      </c>
      <c r="S936">
        <f t="shared" si="278"/>
        <v>0</v>
      </c>
      <c r="T936">
        <f t="shared" si="279"/>
        <v>0</v>
      </c>
      <c r="U936" t="str">
        <f>IF('906MP'!J636&gt;0,CONCATENATE('906MP'!J636," - ",'906MP'!P636,", ",'906MP'!E636),"nincs megjegyzés")</f>
        <v>nincs megjegyzés</v>
      </c>
      <c r="V936" t="str">
        <f t="shared" si="266"/>
        <v>0P0</v>
      </c>
      <c r="W936" t="str">
        <f t="shared" si="267"/>
        <v>0P0</v>
      </c>
      <c r="X936" t="str">
        <f t="shared" si="268"/>
        <v>P0</v>
      </c>
      <c r="Y936" t="str">
        <f t="shared" si="269"/>
        <v>00</v>
      </c>
      <c r="Z936" t="str">
        <f t="shared" si="280"/>
        <v>00</v>
      </c>
      <c r="AA936" t="str">
        <f t="shared" si="270"/>
        <v>00</v>
      </c>
      <c r="AB936" t="str">
        <f t="shared" si="271"/>
        <v>00</v>
      </c>
      <c r="AC936" t="str">
        <f t="shared" si="272"/>
        <v>0P0</v>
      </c>
      <c r="AD936" t="str">
        <f t="shared" si="273"/>
        <v>P00</v>
      </c>
      <c r="AE936" t="str">
        <f t="shared" si="274"/>
        <v>0P0</v>
      </c>
      <c r="AF936" t="str">
        <f t="shared" si="275"/>
        <v>P00</v>
      </c>
      <c r="AG936" t="str">
        <f t="shared" si="281"/>
        <v>0P00</v>
      </c>
      <c r="AH936" t="str">
        <f t="shared" si="282"/>
        <v>P000</v>
      </c>
      <c r="AI936" t="str">
        <f t="shared" si="283"/>
        <v>0P00</v>
      </c>
      <c r="AJ936" t="str">
        <f t="shared" si="284"/>
        <v>P000</v>
      </c>
    </row>
    <row r="937" spans="1:36" x14ac:dyDescent="0.25">
      <c r="A937" s="325" t="str">
        <f>CONCATENATE("P",'906MP'!M637)</f>
        <v>P</v>
      </c>
      <c r="B937">
        <f>'906MP'!H637</f>
        <v>0</v>
      </c>
      <c r="C937">
        <f>'906MP'!J637</f>
        <v>0</v>
      </c>
      <c r="D937">
        <f>'906MP'!P637</f>
        <v>0</v>
      </c>
      <c r="E937">
        <f>'906MP'!X637</f>
        <v>0</v>
      </c>
      <c r="F937" t="str">
        <f t="shared" si="276"/>
        <v>0</v>
      </c>
      <c r="G937" t="str">
        <f t="shared" si="277"/>
        <v>0</v>
      </c>
      <c r="H937">
        <f>'906MP'!Y637</f>
        <v>0</v>
      </c>
      <c r="I937">
        <f>'906MP'!AK637</f>
        <v>0</v>
      </c>
      <c r="J937">
        <f>'906MP'!T637</f>
        <v>0</v>
      </c>
      <c r="K937">
        <f>'906MP'!AJ637</f>
        <v>0</v>
      </c>
      <c r="L937">
        <f>'906MP'!U637</f>
        <v>0</v>
      </c>
      <c r="M937" s="322" t="str">
        <f>IFERROR(VLOOKUP(A937,PAR!$D$3:$E$53,2,FALSE),"nincs szervezet")</f>
        <v>nincs szervezet</v>
      </c>
      <c r="N937" s="322" t="str">
        <f>VLOOKUP(F937,PAR!$R$3:$S$5,2,FALSE)</f>
        <v>3 - egyik sem</v>
      </c>
      <c r="O937" t="str">
        <f>IFERROR(VLOOKUP(J937,PAR!$O$3:$P$5,2,FALSE),"nincs feladat")</f>
        <v>nincs feladat</v>
      </c>
      <c r="P937" t="str">
        <f>IFERROR(VLOOKUP(G937,PAR!$J$2:$M$19,4),"nincs rovat")</f>
        <v>nincs rovat</v>
      </c>
      <c r="Q937" t="str">
        <f>IF(H937&gt;0,VLOOKUP(H937,PAR!$AA$3:$AC$187,3,FALSE),"nincs főkönyvi számla")</f>
        <v>nincs főkönyvi számla</v>
      </c>
      <c r="R937" t="str">
        <f>IFERROR(VLOOKUP(K937,PAR!$V$3:$X$438,3,FALSE),"000000 - Nincs COFOG")</f>
        <v>000000 - Nincs COFOG</v>
      </c>
      <c r="S937">
        <f t="shared" si="278"/>
        <v>0</v>
      </c>
      <c r="T937">
        <f t="shared" si="279"/>
        <v>0</v>
      </c>
      <c r="U937" t="str">
        <f>IF('906MP'!J637&gt;0,CONCATENATE('906MP'!J637," - ",'906MP'!P637,", ",'906MP'!E637),"nincs megjegyzés")</f>
        <v>nincs megjegyzés</v>
      </c>
      <c r="V937" t="str">
        <f t="shared" si="266"/>
        <v>0P0</v>
      </c>
      <c r="W937" t="str">
        <f t="shared" si="267"/>
        <v>0P0</v>
      </c>
      <c r="X937" t="str">
        <f t="shared" si="268"/>
        <v>P0</v>
      </c>
      <c r="Y937" t="str">
        <f t="shared" si="269"/>
        <v>00</v>
      </c>
      <c r="Z937" t="str">
        <f t="shared" si="280"/>
        <v>00</v>
      </c>
      <c r="AA937" t="str">
        <f t="shared" si="270"/>
        <v>00</v>
      </c>
      <c r="AB937" t="str">
        <f t="shared" si="271"/>
        <v>00</v>
      </c>
      <c r="AC937" t="str">
        <f t="shared" si="272"/>
        <v>0P0</v>
      </c>
      <c r="AD937" t="str">
        <f t="shared" si="273"/>
        <v>P00</v>
      </c>
      <c r="AE937" t="str">
        <f t="shared" si="274"/>
        <v>0P0</v>
      </c>
      <c r="AF937" t="str">
        <f t="shared" si="275"/>
        <v>P00</v>
      </c>
      <c r="AG937" t="str">
        <f t="shared" si="281"/>
        <v>0P00</v>
      </c>
      <c r="AH937" t="str">
        <f t="shared" si="282"/>
        <v>P000</v>
      </c>
      <c r="AI937" t="str">
        <f t="shared" si="283"/>
        <v>0P00</v>
      </c>
      <c r="AJ937" t="str">
        <f t="shared" si="284"/>
        <v>P000</v>
      </c>
    </row>
    <row r="938" spans="1:36" x14ac:dyDescent="0.25">
      <c r="A938" s="325" t="str">
        <f>CONCATENATE("P",'906MP'!M638)</f>
        <v>P</v>
      </c>
      <c r="B938">
        <f>'906MP'!H638</f>
        <v>0</v>
      </c>
      <c r="C938">
        <f>'906MP'!J638</f>
        <v>0</v>
      </c>
      <c r="D938">
        <f>'906MP'!P638</f>
        <v>0</v>
      </c>
      <c r="E938">
        <f>'906MP'!X638</f>
        <v>0</v>
      </c>
      <c r="F938" t="str">
        <f t="shared" si="276"/>
        <v>0</v>
      </c>
      <c r="G938" t="str">
        <f t="shared" si="277"/>
        <v>0</v>
      </c>
      <c r="H938">
        <f>'906MP'!Y638</f>
        <v>0</v>
      </c>
      <c r="I938">
        <f>'906MP'!AK638</f>
        <v>0</v>
      </c>
      <c r="J938">
        <f>'906MP'!T638</f>
        <v>0</v>
      </c>
      <c r="K938">
        <f>'906MP'!AJ638</f>
        <v>0</v>
      </c>
      <c r="L938">
        <f>'906MP'!U638</f>
        <v>0</v>
      </c>
      <c r="M938" s="322" t="str">
        <f>IFERROR(VLOOKUP(A938,PAR!$D$3:$E$53,2,FALSE),"nincs szervezet")</f>
        <v>nincs szervezet</v>
      </c>
      <c r="N938" s="322" t="str">
        <f>VLOOKUP(F938,PAR!$R$3:$S$5,2,FALSE)</f>
        <v>3 - egyik sem</v>
      </c>
      <c r="O938" t="str">
        <f>IFERROR(VLOOKUP(J938,PAR!$O$3:$P$5,2,FALSE),"nincs feladat")</f>
        <v>nincs feladat</v>
      </c>
      <c r="P938" t="str">
        <f>IFERROR(VLOOKUP(G938,PAR!$J$2:$M$19,4),"nincs rovat")</f>
        <v>nincs rovat</v>
      </c>
      <c r="Q938" t="str">
        <f>IF(H938&gt;0,VLOOKUP(H938,PAR!$AA$3:$AC$187,3,FALSE),"nincs főkönyvi számla")</f>
        <v>nincs főkönyvi számla</v>
      </c>
      <c r="R938" t="str">
        <f>IFERROR(VLOOKUP(K938,PAR!$V$3:$X$438,3,FALSE),"000000 - Nincs COFOG")</f>
        <v>000000 - Nincs COFOG</v>
      </c>
      <c r="S938">
        <f t="shared" si="278"/>
        <v>0</v>
      </c>
      <c r="T938">
        <f t="shared" si="279"/>
        <v>0</v>
      </c>
      <c r="U938" t="str">
        <f>IF('906MP'!J638&gt;0,CONCATENATE('906MP'!J638," - ",'906MP'!P638,", ",'906MP'!E638),"nincs megjegyzés")</f>
        <v>nincs megjegyzés</v>
      </c>
      <c r="V938" t="str">
        <f t="shared" si="266"/>
        <v>0P0</v>
      </c>
      <c r="W938" t="str">
        <f t="shared" si="267"/>
        <v>0P0</v>
      </c>
      <c r="X938" t="str">
        <f t="shared" si="268"/>
        <v>P0</v>
      </c>
      <c r="Y938" t="str">
        <f t="shared" si="269"/>
        <v>00</v>
      </c>
      <c r="Z938" t="str">
        <f t="shared" si="280"/>
        <v>00</v>
      </c>
      <c r="AA938" t="str">
        <f t="shared" si="270"/>
        <v>00</v>
      </c>
      <c r="AB938" t="str">
        <f t="shared" si="271"/>
        <v>00</v>
      </c>
      <c r="AC938" t="str">
        <f t="shared" si="272"/>
        <v>0P0</v>
      </c>
      <c r="AD938" t="str">
        <f t="shared" si="273"/>
        <v>P00</v>
      </c>
      <c r="AE938" t="str">
        <f t="shared" si="274"/>
        <v>0P0</v>
      </c>
      <c r="AF938" t="str">
        <f t="shared" si="275"/>
        <v>P00</v>
      </c>
      <c r="AG938" t="str">
        <f t="shared" si="281"/>
        <v>0P00</v>
      </c>
      <c r="AH938" t="str">
        <f t="shared" si="282"/>
        <v>P000</v>
      </c>
      <c r="AI938" t="str">
        <f t="shared" si="283"/>
        <v>0P00</v>
      </c>
      <c r="AJ938" t="str">
        <f t="shared" si="284"/>
        <v>P000</v>
      </c>
    </row>
    <row r="939" spans="1:36" x14ac:dyDescent="0.25">
      <c r="A939" s="325" t="str">
        <f>CONCATENATE("P",'906MP'!M639)</f>
        <v>P</v>
      </c>
      <c r="B939">
        <f>'906MP'!H639</f>
        <v>0</v>
      </c>
      <c r="C939">
        <f>'906MP'!J639</f>
        <v>0</v>
      </c>
      <c r="D939">
        <f>'906MP'!P639</f>
        <v>0</v>
      </c>
      <c r="E939">
        <f>'906MP'!X639</f>
        <v>0</v>
      </c>
      <c r="F939" t="str">
        <f t="shared" si="276"/>
        <v>0</v>
      </c>
      <c r="G939" t="str">
        <f t="shared" si="277"/>
        <v>0</v>
      </c>
      <c r="H939">
        <f>'906MP'!Y639</f>
        <v>0</v>
      </c>
      <c r="I939">
        <f>'906MP'!AK639</f>
        <v>0</v>
      </c>
      <c r="J939">
        <f>'906MP'!T639</f>
        <v>0</v>
      </c>
      <c r="K939">
        <f>'906MP'!AJ639</f>
        <v>0</v>
      </c>
      <c r="L939">
        <f>'906MP'!U639</f>
        <v>0</v>
      </c>
      <c r="M939" s="322" t="str">
        <f>IFERROR(VLOOKUP(A939,PAR!$D$3:$E$53,2,FALSE),"nincs szervezet")</f>
        <v>nincs szervezet</v>
      </c>
      <c r="N939" s="322" t="str">
        <f>VLOOKUP(F939,PAR!$R$3:$S$5,2,FALSE)</f>
        <v>3 - egyik sem</v>
      </c>
      <c r="O939" t="str">
        <f>IFERROR(VLOOKUP(J939,PAR!$O$3:$P$5,2,FALSE),"nincs feladat")</f>
        <v>nincs feladat</v>
      </c>
      <c r="P939" t="str">
        <f>IFERROR(VLOOKUP(G939,PAR!$J$2:$M$19,4),"nincs rovat")</f>
        <v>nincs rovat</v>
      </c>
      <c r="Q939" t="str">
        <f>IF(H939&gt;0,VLOOKUP(H939,PAR!$AA$3:$AC$187,3,FALSE),"nincs főkönyvi számla")</f>
        <v>nincs főkönyvi számla</v>
      </c>
      <c r="R939" t="str">
        <f>IFERROR(VLOOKUP(K939,PAR!$V$3:$X$438,3,FALSE),"000000 - Nincs COFOG")</f>
        <v>000000 - Nincs COFOG</v>
      </c>
      <c r="S939">
        <f t="shared" si="278"/>
        <v>0</v>
      </c>
      <c r="T939">
        <f t="shared" si="279"/>
        <v>0</v>
      </c>
      <c r="U939" t="str">
        <f>IF('906MP'!J639&gt;0,CONCATENATE('906MP'!J639," - ",'906MP'!P639,", ",'906MP'!E639),"nincs megjegyzés")</f>
        <v>nincs megjegyzés</v>
      </c>
      <c r="V939" t="str">
        <f t="shared" si="266"/>
        <v>0P0</v>
      </c>
      <c r="W939" t="str">
        <f t="shared" si="267"/>
        <v>0P0</v>
      </c>
      <c r="X939" t="str">
        <f t="shared" si="268"/>
        <v>P0</v>
      </c>
      <c r="Y939" t="str">
        <f t="shared" si="269"/>
        <v>00</v>
      </c>
      <c r="Z939" t="str">
        <f t="shared" si="280"/>
        <v>00</v>
      </c>
      <c r="AA939" t="str">
        <f t="shared" si="270"/>
        <v>00</v>
      </c>
      <c r="AB939" t="str">
        <f t="shared" si="271"/>
        <v>00</v>
      </c>
      <c r="AC939" t="str">
        <f t="shared" si="272"/>
        <v>0P0</v>
      </c>
      <c r="AD939" t="str">
        <f t="shared" si="273"/>
        <v>P00</v>
      </c>
      <c r="AE939" t="str">
        <f t="shared" si="274"/>
        <v>0P0</v>
      </c>
      <c r="AF939" t="str">
        <f t="shared" si="275"/>
        <v>P00</v>
      </c>
      <c r="AG939" t="str">
        <f t="shared" si="281"/>
        <v>0P00</v>
      </c>
      <c r="AH939" t="str">
        <f t="shared" si="282"/>
        <v>P000</v>
      </c>
      <c r="AI939" t="str">
        <f t="shared" si="283"/>
        <v>0P00</v>
      </c>
      <c r="AJ939" t="str">
        <f t="shared" si="284"/>
        <v>P000</v>
      </c>
    </row>
    <row r="940" spans="1:36" x14ac:dyDescent="0.25">
      <c r="A940" s="325" t="str">
        <f>CONCATENATE("P",'906MP'!M640)</f>
        <v>P</v>
      </c>
      <c r="B940">
        <f>'906MP'!H640</f>
        <v>0</v>
      </c>
      <c r="C940">
        <f>'906MP'!J640</f>
        <v>0</v>
      </c>
      <c r="D940">
        <f>'906MP'!P640</f>
        <v>0</v>
      </c>
      <c r="E940">
        <f>'906MP'!X640</f>
        <v>0</v>
      </c>
      <c r="F940" t="str">
        <f t="shared" si="276"/>
        <v>0</v>
      </c>
      <c r="G940" t="str">
        <f t="shared" si="277"/>
        <v>0</v>
      </c>
      <c r="H940">
        <f>'906MP'!Y640</f>
        <v>0</v>
      </c>
      <c r="I940">
        <f>'906MP'!AK640</f>
        <v>0</v>
      </c>
      <c r="J940">
        <f>'906MP'!T640</f>
        <v>0</v>
      </c>
      <c r="K940">
        <f>'906MP'!AJ640</f>
        <v>0</v>
      </c>
      <c r="L940">
        <f>'906MP'!U640</f>
        <v>0</v>
      </c>
      <c r="M940" s="322" t="str">
        <f>IFERROR(VLOOKUP(A940,PAR!$D$3:$E$53,2,FALSE),"nincs szervezet")</f>
        <v>nincs szervezet</v>
      </c>
      <c r="N940" s="322" t="str">
        <f>VLOOKUP(F940,PAR!$R$3:$S$5,2,FALSE)</f>
        <v>3 - egyik sem</v>
      </c>
      <c r="O940" t="str">
        <f>IFERROR(VLOOKUP(J940,PAR!$O$3:$P$5,2,FALSE),"nincs feladat")</f>
        <v>nincs feladat</v>
      </c>
      <c r="P940" t="str">
        <f>IFERROR(VLOOKUP(G940,PAR!$J$2:$M$19,4),"nincs rovat")</f>
        <v>nincs rovat</v>
      </c>
      <c r="Q940" t="str">
        <f>IF(H940&gt;0,VLOOKUP(H940,PAR!$AA$3:$AC$187,3,FALSE),"nincs főkönyvi számla")</f>
        <v>nincs főkönyvi számla</v>
      </c>
      <c r="R940" t="str">
        <f>IFERROR(VLOOKUP(K940,PAR!$V$3:$X$438,3,FALSE),"000000 - Nincs COFOG")</f>
        <v>000000 - Nincs COFOG</v>
      </c>
      <c r="S940">
        <f t="shared" si="278"/>
        <v>0</v>
      </c>
      <c r="T940">
        <f t="shared" si="279"/>
        <v>0</v>
      </c>
      <c r="U940" t="str">
        <f>IF('906MP'!J640&gt;0,CONCATENATE('906MP'!J640," - ",'906MP'!P640,", ",'906MP'!E640),"nincs megjegyzés")</f>
        <v>nincs megjegyzés</v>
      </c>
      <c r="V940" t="str">
        <f t="shared" si="266"/>
        <v>0P0</v>
      </c>
      <c r="W940" t="str">
        <f t="shared" si="267"/>
        <v>0P0</v>
      </c>
      <c r="X940" t="str">
        <f t="shared" si="268"/>
        <v>P0</v>
      </c>
      <c r="Y940" t="str">
        <f t="shared" si="269"/>
        <v>00</v>
      </c>
      <c r="Z940" t="str">
        <f t="shared" si="280"/>
        <v>00</v>
      </c>
      <c r="AA940" t="str">
        <f t="shared" si="270"/>
        <v>00</v>
      </c>
      <c r="AB940" t="str">
        <f t="shared" si="271"/>
        <v>00</v>
      </c>
      <c r="AC940" t="str">
        <f t="shared" si="272"/>
        <v>0P0</v>
      </c>
      <c r="AD940" t="str">
        <f t="shared" si="273"/>
        <v>P00</v>
      </c>
      <c r="AE940" t="str">
        <f t="shared" si="274"/>
        <v>0P0</v>
      </c>
      <c r="AF940" t="str">
        <f t="shared" si="275"/>
        <v>P00</v>
      </c>
      <c r="AG940" t="str">
        <f t="shared" si="281"/>
        <v>0P00</v>
      </c>
      <c r="AH940" t="str">
        <f t="shared" si="282"/>
        <v>P000</v>
      </c>
      <c r="AI940" t="str">
        <f t="shared" si="283"/>
        <v>0P00</v>
      </c>
      <c r="AJ940" t="str">
        <f t="shared" si="284"/>
        <v>P000</v>
      </c>
    </row>
    <row r="941" spans="1:36" x14ac:dyDescent="0.25">
      <c r="A941" s="325" t="str">
        <f>CONCATENATE("P",'906MP'!M641)</f>
        <v>P</v>
      </c>
      <c r="B941">
        <f>'906MP'!H641</f>
        <v>0</v>
      </c>
      <c r="C941">
        <f>'906MP'!J641</f>
        <v>0</v>
      </c>
      <c r="D941">
        <f>'906MP'!P641</f>
        <v>0</v>
      </c>
      <c r="E941">
        <f>'906MP'!X641</f>
        <v>0</v>
      </c>
      <c r="F941" t="str">
        <f t="shared" si="276"/>
        <v>0</v>
      </c>
      <c r="G941" t="str">
        <f t="shared" si="277"/>
        <v>0</v>
      </c>
      <c r="H941">
        <f>'906MP'!Y641</f>
        <v>0</v>
      </c>
      <c r="I941">
        <f>'906MP'!AK641</f>
        <v>0</v>
      </c>
      <c r="J941">
        <f>'906MP'!T641</f>
        <v>0</v>
      </c>
      <c r="K941">
        <f>'906MP'!AJ641</f>
        <v>0</v>
      </c>
      <c r="L941">
        <f>'906MP'!U641</f>
        <v>0</v>
      </c>
      <c r="M941" s="322" t="str">
        <f>IFERROR(VLOOKUP(A941,PAR!$D$3:$E$53,2,FALSE),"nincs szervezet")</f>
        <v>nincs szervezet</v>
      </c>
      <c r="N941" s="322" t="str">
        <f>VLOOKUP(F941,PAR!$R$3:$S$5,2,FALSE)</f>
        <v>3 - egyik sem</v>
      </c>
      <c r="O941" t="str">
        <f>IFERROR(VLOOKUP(J941,PAR!$O$3:$P$5,2,FALSE),"nincs feladat")</f>
        <v>nincs feladat</v>
      </c>
      <c r="P941" t="str">
        <f>IFERROR(VLOOKUP(G941,PAR!$J$2:$M$19,4),"nincs rovat")</f>
        <v>nincs rovat</v>
      </c>
      <c r="Q941" t="str">
        <f>IF(H941&gt;0,VLOOKUP(H941,PAR!$AA$3:$AC$187,3,FALSE),"nincs főkönyvi számla")</f>
        <v>nincs főkönyvi számla</v>
      </c>
      <c r="R941" t="str">
        <f>IFERROR(VLOOKUP(K941,PAR!$V$3:$X$438,3,FALSE),"000000 - Nincs COFOG")</f>
        <v>000000 - Nincs COFOG</v>
      </c>
      <c r="S941">
        <f t="shared" si="278"/>
        <v>0</v>
      </c>
      <c r="T941">
        <f t="shared" si="279"/>
        <v>0</v>
      </c>
      <c r="U941" t="str">
        <f>IF('906MP'!J641&gt;0,CONCATENATE('906MP'!J641," - ",'906MP'!P641,", ",'906MP'!E641),"nincs megjegyzés")</f>
        <v>nincs megjegyzés</v>
      </c>
      <c r="V941" t="str">
        <f t="shared" si="266"/>
        <v>0P0</v>
      </c>
      <c r="W941" t="str">
        <f t="shared" si="267"/>
        <v>0P0</v>
      </c>
      <c r="X941" t="str">
        <f t="shared" si="268"/>
        <v>P0</v>
      </c>
      <c r="Y941" t="str">
        <f t="shared" si="269"/>
        <v>00</v>
      </c>
      <c r="Z941" t="str">
        <f t="shared" si="280"/>
        <v>00</v>
      </c>
      <c r="AA941" t="str">
        <f t="shared" si="270"/>
        <v>00</v>
      </c>
      <c r="AB941" t="str">
        <f t="shared" si="271"/>
        <v>00</v>
      </c>
      <c r="AC941" t="str">
        <f t="shared" si="272"/>
        <v>0P0</v>
      </c>
      <c r="AD941" t="str">
        <f t="shared" si="273"/>
        <v>P00</v>
      </c>
      <c r="AE941" t="str">
        <f t="shared" si="274"/>
        <v>0P0</v>
      </c>
      <c r="AF941" t="str">
        <f t="shared" si="275"/>
        <v>P00</v>
      </c>
      <c r="AG941" t="str">
        <f t="shared" si="281"/>
        <v>0P00</v>
      </c>
      <c r="AH941" t="str">
        <f t="shared" si="282"/>
        <v>P000</v>
      </c>
      <c r="AI941" t="str">
        <f t="shared" si="283"/>
        <v>0P00</v>
      </c>
      <c r="AJ941" t="str">
        <f t="shared" si="284"/>
        <v>P000</v>
      </c>
    </row>
    <row r="942" spans="1:36" x14ac:dyDescent="0.25">
      <c r="A942" s="325" t="str">
        <f>CONCATENATE("P",'906MP'!M642)</f>
        <v>P</v>
      </c>
      <c r="B942">
        <f>'906MP'!H642</f>
        <v>0</v>
      </c>
      <c r="C942">
        <f>'906MP'!J642</f>
        <v>0</v>
      </c>
      <c r="D942">
        <f>'906MP'!P642</f>
        <v>0</v>
      </c>
      <c r="E942">
        <f>'906MP'!X642</f>
        <v>0</v>
      </c>
      <c r="F942" t="str">
        <f t="shared" si="276"/>
        <v>0</v>
      </c>
      <c r="G942" t="str">
        <f t="shared" si="277"/>
        <v>0</v>
      </c>
      <c r="H942">
        <f>'906MP'!Y642</f>
        <v>0</v>
      </c>
      <c r="I942">
        <f>'906MP'!AK642</f>
        <v>0</v>
      </c>
      <c r="J942">
        <f>'906MP'!T642</f>
        <v>0</v>
      </c>
      <c r="K942">
        <f>'906MP'!AJ642</f>
        <v>0</v>
      </c>
      <c r="L942">
        <f>'906MP'!U642</f>
        <v>0</v>
      </c>
      <c r="M942" s="322" t="str">
        <f>IFERROR(VLOOKUP(A942,PAR!$D$3:$E$53,2,FALSE),"nincs szervezet")</f>
        <v>nincs szervezet</v>
      </c>
      <c r="N942" s="322" t="str">
        <f>VLOOKUP(F942,PAR!$R$3:$S$5,2,FALSE)</f>
        <v>3 - egyik sem</v>
      </c>
      <c r="O942" t="str">
        <f>IFERROR(VLOOKUP(J942,PAR!$O$3:$P$5,2,FALSE),"nincs feladat")</f>
        <v>nincs feladat</v>
      </c>
      <c r="P942" t="str">
        <f>IFERROR(VLOOKUP(G942,PAR!$J$2:$M$19,4),"nincs rovat")</f>
        <v>nincs rovat</v>
      </c>
      <c r="Q942" t="str">
        <f>IF(H942&gt;0,VLOOKUP(H942,PAR!$AA$3:$AC$187,3,FALSE),"nincs főkönyvi számla")</f>
        <v>nincs főkönyvi számla</v>
      </c>
      <c r="R942" t="str">
        <f>IFERROR(VLOOKUP(K942,PAR!$V$3:$X$438,3,FALSE),"000000 - Nincs COFOG")</f>
        <v>000000 - Nincs COFOG</v>
      </c>
      <c r="S942">
        <f t="shared" si="278"/>
        <v>0</v>
      </c>
      <c r="T942">
        <f t="shared" si="279"/>
        <v>0</v>
      </c>
      <c r="U942" t="str">
        <f>IF('906MP'!J642&gt;0,CONCATENATE('906MP'!J642," - ",'906MP'!P642,", ",'906MP'!E642),"nincs megjegyzés")</f>
        <v>nincs megjegyzés</v>
      </c>
      <c r="V942" t="str">
        <f t="shared" si="266"/>
        <v>0P0</v>
      </c>
      <c r="W942" t="str">
        <f t="shared" si="267"/>
        <v>0P0</v>
      </c>
      <c r="X942" t="str">
        <f t="shared" si="268"/>
        <v>P0</v>
      </c>
      <c r="Y942" t="str">
        <f t="shared" si="269"/>
        <v>00</v>
      </c>
      <c r="Z942" t="str">
        <f t="shared" si="280"/>
        <v>00</v>
      </c>
      <c r="AA942" t="str">
        <f t="shared" si="270"/>
        <v>00</v>
      </c>
      <c r="AB942" t="str">
        <f t="shared" si="271"/>
        <v>00</v>
      </c>
      <c r="AC942" t="str">
        <f t="shared" si="272"/>
        <v>0P0</v>
      </c>
      <c r="AD942" t="str">
        <f t="shared" si="273"/>
        <v>P00</v>
      </c>
      <c r="AE942" t="str">
        <f t="shared" si="274"/>
        <v>0P0</v>
      </c>
      <c r="AF942" t="str">
        <f t="shared" si="275"/>
        <v>P00</v>
      </c>
      <c r="AG942" t="str">
        <f t="shared" si="281"/>
        <v>0P00</v>
      </c>
      <c r="AH942" t="str">
        <f t="shared" si="282"/>
        <v>P000</v>
      </c>
      <c r="AI942" t="str">
        <f t="shared" si="283"/>
        <v>0P00</v>
      </c>
      <c r="AJ942" t="str">
        <f t="shared" si="284"/>
        <v>P000</v>
      </c>
    </row>
    <row r="943" spans="1:36" x14ac:dyDescent="0.25">
      <c r="A943" s="325" t="str">
        <f>CONCATENATE("P",'906MP'!M643)</f>
        <v>P</v>
      </c>
      <c r="B943">
        <f>'906MP'!H643</f>
        <v>0</v>
      </c>
      <c r="C943">
        <f>'906MP'!J643</f>
        <v>0</v>
      </c>
      <c r="D943">
        <f>'906MP'!P643</f>
        <v>0</v>
      </c>
      <c r="E943">
        <f>'906MP'!X643</f>
        <v>0</v>
      </c>
      <c r="F943" t="str">
        <f t="shared" si="276"/>
        <v>0</v>
      </c>
      <c r="G943" t="str">
        <f t="shared" si="277"/>
        <v>0</v>
      </c>
      <c r="H943">
        <f>'906MP'!Y643</f>
        <v>0</v>
      </c>
      <c r="I943">
        <f>'906MP'!AK643</f>
        <v>0</v>
      </c>
      <c r="J943">
        <f>'906MP'!T643</f>
        <v>0</v>
      </c>
      <c r="K943">
        <f>'906MP'!AJ643</f>
        <v>0</v>
      </c>
      <c r="L943">
        <f>'906MP'!U643</f>
        <v>0</v>
      </c>
      <c r="M943" s="322" t="str">
        <f>IFERROR(VLOOKUP(A943,PAR!$D$3:$E$53,2,FALSE),"nincs szervezet")</f>
        <v>nincs szervezet</v>
      </c>
      <c r="N943" s="322" t="str">
        <f>VLOOKUP(F943,PAR!$R$3:$S$5,2,FALSE)</f>
        <v>3 - egyik sem</v>
      </c>
      <c r="O943" t="str">
        <f>IFERROR(VLOOKUP(J943,PAR!$O$3:$P$5,2,FALSE),"nincs feladat")</f>
        <v>nincs feladat</v>
      </c>
      <c r="P943" t="str">
        <f>IFERROR(VLOOKUP(G943,PAR!$J$2:$M$19,4),"nincs rovat")</f>
        <v>nincs rovat</v>
      </c>
      <c r="Q943" t="str">
        <f>IF(H943&gt;0,VLOOKUP(H943,PAR!$AA$3:$AC$187,3,FALSE),"nincs főkönyvi számla")</f>
        <v>nincs főkönyvi számla</v>
      </c>
      <c r="R943" t="str">
        <f>IFERROR(VLOOKUP(K943,PAR!$V$3:$X$438,3,FALSE),"000000 - Nincs COFOG")</f>
        <v>000000 - Nincs COFOG</v>
      </c>
      <c r="S943">
        <f t="shared" si="278"/>
        <v>0</v>
      </c>
      <c r="T943">
        <f t="shared" si="279"/>
        <v>0</v>
      </c>
      <c r="U943" t="str">
        <f>IF('906MP'!J643&gt;0,CONCATENATE('906MP'!J643," - ",'906MP'!P643,", ",'906MP'!E643),"nincs megjegyzés")</f>
        <v>nincs megjegyzés</v>
      </c>
      <c r="V943" t="str">
        <f t="shared" si="266"/>
        <v>0P0</v>
      </c>
      <c r="W943" t="str">
        <f t="shared" si="267"/>
        <v>0P0</v>
      </c>
      <c r="X943" t="str">
        <f t="shared" si="268"/>
        <v>P0</v>
      </c>
      <c r="Y943" t="str">
        <f t="shared" si="269"/>
        <v>00</v>
      </c>
      <c r="Z943" t="str">
        <f t="shared" si="280"/>
        <v>00</v>
      </c>
      <c r="AA943" t="str">
        <f t="shared" si="270"/>
        <v>00</v>
      </c>
      <c r="AB943" t="str">
        <f t="shared" si="271"/>
        <v>00</v>
      </c>
      <c r="AC943" t="str">
        <f t="shared" si="272"/>
        <v>0P0</v>
      </c>
      <c r="AD943" t="str">
        <f t="shared" si="273"/>
        <v>P00</v>
      </c>
      <c r="AE943" t="str">
        <f t="shared" si="274"/>
        <v>0P0</v>
      </c>
      <c r="AF943" t="str">
        <f t="shared" si="275"/>
        <v>P00</v>
      </c>
      <c r="AG943" t="str">
        <f t="shared" si="281"/>
        <v>0P00</v>
      </c>
      <c r="AH943" t="str">
        <f t="shared" si="282"/>
        <v>P000</v>
      </c>
      <c r="AI943" t="str">
        <f t="shared" si="283"/>
        <v>0P00</v>
      </c>
      <c r="AJ943" t="str">
        <f t="shared" si="284"/>
        <v>P000</v>
      </c>
    </row>
    <row r="944" spans="1:36" x14ac:dyDescent="0.25">
      <c r="A944" s="325" t="str">
        <f>CONCATENATE("P",'906MP'!M644)</f>
        <v>P</v>
      </c>
      <c r="B944">
        <f>'906MP'!H644</f>
        <v>0</v>
      </c>
      <c r="C944">
        <f>'906MP'!J644</f>
        <v>0</v>
      </c>
      <c r="D944">
        <f>'906MP'!P644</f>
        <v>0</v>
      </c>
      <c r="E944">
        <f>'906MP'!X644</f>
        <v>0</v>
      </c>
      <c r="F944" t="str">
        <f t="shared" si="276"/>
        <v>0</v>
      </c>
      <c r="G944" t="str">
        <f t="shared" si="277"/>
        <v>0</v>
      </c>
      <c r="H944">
        <f>'906MP'!Y644</f>
        <v>0</v>
      </c>
      <c r="I944">
        <f>'906MP'!AK644</f>
        <v>0</v>
      </c>
      <c r="J944">
        <f>'906MP'!T644</f>
        <v>0</v>
      </c>
      <c r="K944">
        <f>'906MP'!AJ644</f>
        <v>0</v>
      </c>
      <c r="L944">
        <f>'906MP'!U644</f>
        <v>0</v>
      </c>
      <c r="M944" s="322" t="str">
        <f>IFERROR(VLOOKUP(A944,PAR!$D$3:$E$53,2,FALSE),"nincs szervezet")</f>
        <v>nincs szervezet</v>
      </c>
      <c r="N944" s="322" t="str">
        <f>VLOOKUP(F944,PAR!$R$3:$S$5,2,FALSE)</f>
        <v>3 - egyik sem</v>
      </c>
      <c r="O944" t="str">
        <f>IFERROR(VLOOKUP(J944,PAR!$O$3:$P$5,2,FALSE),"nincs feladat")</f>
        <v>nincs feladat</v>
      </c>
      <c r="P944" t="str">
        <f>IFERROR(VLOOKUP(G944,PAR!$J$2:$M$19,4),"nincs rovat")</f>
        <v>nincs rovat</v>
      </c>
      <c r="Q944" t="str">
        <f>IF(H944&gt;0,VLOOKUP(H944,PAR!$AA$3:$AC$187,3,FALSE),"nincs főkönyvi számla")</f>
        <v>nincs főkönyvi számla</v>
      </c>
      <c r="R944" t="str">
        <f>IFERROR(VLOOKUP(K944,PAR!$V$3:$X$438,3,FALSE),"000000 - Nincs COFOG")</f>
        <v>000000 - Nincs COFOG</v>
      </c>
      <c r="S944">
        <f t="shared" si="278"/>
        <v>0</v>
      </c>
      <c r="T944">
        <f t="shared" si="279"/>
        <v>0</v>
      </c>
      <c r="U944" t="str">
        <f>IF('906MP'!J644&gt;0,CONCATENATE('906MP'!J644," - ",'906MP'!P644,", ",'906MP'!E644),"nincs megjegyzés")</f>
        <v>nincs megjegyzés</v>
      </c>
      <c r="V944" t="str">
        <f t="shared" si="266"/>
        <v>0P0</v>
      </c>
      <c r="W944" t="str">
        <f t="shared" si="267"/>
        <v>0P0</v>
      </c>
      <c r="X944" t="str">
        <f t="shared" si="268"/>
        <v>P0</v>
      </c>
      <c r="Y944" t="str">
        <f t="shared" si="269"/>
        <v>00</v>
      </c>
      <c r="Z944" t="str">
        <f t="shared" si="280"/>
        <v>00</v>
      </c>
      <c r="AA944" t="str">
        <f t="shared" si="270"/>
        <v>00</v>
      </c>
      <c r="AB944" t="str">
        <f t="shared" si="271"/>
        <v>00</v>
      </c>
      <c r="AC944" t="str">
        <f t="shared" si="272"/>
        <v>0P0</v>
      </c>
      <c r="AD944" t="str">
        <f t="shared" si="273"/>
        <v>P00</v>
      </c>
      <c r="AE944" t="str">
        <f t="shared" si="274"/>
        <v>0P0</v>
      </c>
      <c r="AF944" t="str">
        <f t="shared" si="275"/>
        <v>P00</v>
      </c>
      <c r="AG944" t="str">
        <f t="shared" si="281"/>
        <v>0P00</v>
      </c>
      <c r="AH944" t="str">
        <f t="shared" si="282"/>
        <v>P000</v>
      </c>
      <c r="AI944" t="str">
        <f t="shared" si="283"/>
        <v>0P00</v>
      </c>
      <c r="AJ944" t="str">
        <f t="shared" si="284"/>
        <v>P000</v>
      </c>
    </row>
    <row r="945" spans="1:36" x14ac:dyDescent="0.25">
      <c r="A945" s="325" t="str">
        <f>CONCATENATE("P",'906MP'!M645)</f>
        <v>P</v>
      </c>
      <c r="B945">
        <f>'906MP'!H645</f>
        <v>0</v>
      </c>
      <c r="C945">
        <f>'906MP'!J645</f>
        <v>0</v>
      </c>
      <c r="D945">
        <f>'906MP'!P645</f>
        <v>0</v>
      </c>
      <c r="E945">
        <f>'906MP'!X645</f>
        <v>0</v>
      </c>
      <c r="F945" t="str">
        <f t="shared" si="276"/>
        <v>0</v>
      </c>
      <c r="G945" t="str">
        <f t="shared" si="277"/>
        <v>0</v>
      </c>
      <c r="H945">
        <f>'906MP'!Y645</f>
        <v>0</v>
      </c>
      <c r="I945">
        <f>'906MP'!AK645</f>
        <v>0</v>
      </c>
      <c r="J945">
        <f>'906MP'!T645</f>
        <v>0</v>
      </c>
      <c r="K945">
        <f>'906MP'!AJ645</f>
        <v>0</v>
      </c>
      <c r="L945">
        <f>'906MP'!U645</f>
        <v>0</v>
      </c>
      <c r="M945" s="322" t="str">
        <f>IFERROR(VLOOKUP(A945,PAR!$D$3:$E$53,2,FALSE),"nincs szervezet")</f>
        <v>nincs szervezet</v>
      </c>
      <c r="N945" s="322" t="str">
        <f>VLOOKUP(F945,PAR!$R$3:$S$5,2,FALSE)</f>
        <v>3 - egyik sem</v>
      </c>
      <c r="O945" t="str">
        <f>IFERROR(VLOOKUP(J945,PAR!$O$3:$P$5,2,FALSE),"nincs feladat")</f>
        <v>nincs feladat</v>
      </c>
      <c r="P945" t="str">
        <f>IFERROR(VLOOKUP(G945,PAR!$J$2:$M$19,4),"nincs rovat")</f>
        <v>nincs rovat</v>
      </c>
      <c r="Q945" t="str">
        <f>IF(H945&gt;0,VLOOKUP(H945,PAR!$AA$3:$AC$187,3,FALSE),"nincs főkönyvi számla")</f>
        <v>nincs főkönyvi számla</v>
      </c>
      <c r="R945" t="str">
        <f>IFERROR(VLOOKUP(K945,PAR!$V$3:$X$438,3,FALSE),"000000 - Nincs COFOG")</f>
        <v>000000 - Nincs COFOG</v>
      </c>
      <c r="S945">
        <f t="shared" si="278"/>
        <v>0</v>
      </c>
      <c r="T945">
        <f t="shared" si="279"/>
        <v>0</v>
      </c>
      <c r="U945" t="str">
        <f>IF('906MP'!J645&gt;0,CONCATENATE('906MP'!J645," - ",'906MP'!P645,", ",'906MP'!E645),"nincs megjegyzés")</f>
        <v>nincs megjegyzés</v>
      </c>
      <c r="V945" t="str">
        <f t="shared" si="266"/>
        <v>0P0</v>
      </c>
      <c r="W945" t="str">
        <f t="shared" si="267"/>
        <v>0P0</v>
      </c>
      <c r="X945" t="str">
        <f t="shared" si="268"/>
        <v>P0</v>
      </c>
      <c r="Y945" t="str">
        <f t="shared" si="269"/>
        <v>00</v>
      </c>
      <c r="Z945" t="str">
        <f t="shared" si="280"/>
        <v>00</v>
      </c>
      <c r="AA945" t="str">
        <f t="shared" si="270"/>
        <v>00</v>
      </c>
      <c r="AB945" t="str">
        <f t="shared" si="271"/>
        <v>00</v>
      </c>
      <c r="AC945" t="str">
        <f t="shared" si="272"/>
        <v>0P0</v>
      </c>
      <c r="AD945" t="str">
        <f t="shared" si="273"/>
        <v>P00</v>
      </c>
      <c r="AE945" t="str">
        <f t="shared" si="274"/>
        <v>0P0</v>
      </c>
      <c r="AF945" t="str">
        <f t="shared" si="275"/>
        <v>P00</v>
      </c>
      <c r="AG945" t="str">
        <f t="shared" si="281"/>
        <v>0P00</v>
      </c>
      <c r="AH945" t="str">
        <f t="shared" si="282"/>
        <v>P000</v>
      </c>
      <c r="AI945" t="str">
        <f t="shared" si="283"/>
        <v>0P00</v>
      </c>
      <c r="AJ945" t="str">
        <f t="shared" si="284"/>
        <v>P000</v>
      </c>
    </row>
    <row r="946" spans="1:36" x14ac:dyDescent="0.25">
      <c r="A946" s="325" t="str">
        <f>CONCATENATE("P",'906MP'!M646)</f>
        <v>P</v>
      </c>
      <c r="B946">
        <f>'906MP'!H646</f>
        <v>0</v>
      </c>
      <c r="C946">
        <f>'906MP'!J646</f>
        <v>0</v>
      </c>
      <c r="D946">
        <f>'906MP'!P646</f>
        <v>0</v>
      </c>
      <c r="E946">
        <f>'906MP'!X646</f>
        <v>0</v>
      </c>
      <c r="F946" t="str">
        <f t="shared" si="276"/>
        <v>0</v>
      </c>
      <c r="G946" t="str">
        <f t="shared" si="277"/>
        <v>0</v>
      </c>
      <c r="H946">
        <f>'906MP'!Y646</f>
        <v>0</v>
      </c>
      <c r="I946">
        <f>'906MP'!AK646</f>
        <v>0</v>
      </c>
      <c r="J946">
        <f>'906MP'!T646</f>
        <v>0</v>
      </c>
      <c r="K946">
        <f>'906MP'!AJ646</f>
        <v>0</v>
      </c>
      <c r="L946">
        <f>'906MP'!U646</f>
        <v>0</v>
      </c>
      <c r="M946" s="322" t="str">
        <f>IFERROR(VLOOKUP(A946,PAR!$D$3:$E$53,2,FALSE),"nincs szervezet")</f>
        <v>nincs szervezet</v>
      </c>
      <c r="N946" s="322" t="str">
        <f>VLOOKUP(F946,PAR!$R$3:$S$5,2,FALSE)</f>
        <v>3 - egyik sem</v>
      </c>
      <c r="O946" t="str">
        <f>IFERROR(VLOOKUP(J946,PAR!$O$3:$P$5,2,FALSE),"nincs feladat")</f>
        <v>nincs feladat</v>
      </c>
      <c r="P946" t="str">
        <f>IFERROR(VLOOKUP(G946,PAR!$J$2:$M$19,4),"nincs rovat")</f>
        <v>nincs rovat</v>
      </c>
      <c r="Q946" t="str">
        <f>IF(H946&gt;0,VLOOKUP(H946,PAR!$AA$3:$AC$187,3,FALSE),"nincs főkönyvi számla")</f>
        <v>nincs főkönyvi számla</v>
      </c>
      <c r="R946" t="str">
        <f>IFERROR(VLOOKUP(K946,PAR!$V$3:$X$438,3,FALSE),"000000 - Nincs COFOG")</f>
        <v>000000 - Nincs COFOG</v>
      </c>
      <c r="S946">
        <f t="shared" si="278"/>
        <v>0</v>
      </c>
      <c r="T946">
        <f t="shared" si="279"/>
        <v>0</v>
      </c>
      <c r="U946" t="str">
        <f>IF('906MP'!J646&gt;0,CONCATENATE('906MP'!J646," - ",'906MP'!P646,", ",'906MP'!E646),"nincs megjegyzés")</f>
        <v>nincs megjegyzés</v>
      </c>
      <c r="V946" t="str">
        <f t="shared" si="266"/>
        <v>0P0</v>
      </c>
      <c r="W946" t="str">
        <f t="shared" si="267"/>
        <v>0P0</v>
      </c>
      <c r="X946" t="str">
        <f t="shared" si="268"/>
        <v>P0</v>
      </c>
      <c r="Y946" t="str">
        <f t="shared" si="269"/>
        <v>00</v>
      </c>
      <c r="Z946" t="str">
        <f t="shared" si="280"/>
        <v>00</v>
      </c>
      <c r="AA946" t="str">
        <f t="shared" si="270"/>
        <v>00</v>
      </c>
      <c r="AB946" t="str">
        <f t="shared" si="271"/>
        <v>00</v>
      </c>
      <c r="AC946" t="str">
        <f t="shared" si="272"/>
        <v>0P0</v>
      </c>
      <c r="AD946" t="str">
        <f t="shared" si="273"/>
        <v>P00</v>
      </c>
      <c r="AE946" t="str">
        <f t="shared" si="274"/>
        <v>0P0</v>
      </c>
      <c r="AF946" t="str">
        <f t="shared" si="275"/>
        <v>P00</v>
      </c>
      <c r="AG946" t="str">
        <f t="shared" si="281"/>
        <v>0P00</v>
      </c>
      <c r="AH946" t="str">
        <f t="shared" si="282"/>
        <v>P000</v>
      </c>
      <c r="AI946" t="str">
        <f t="shared" si="283"/>
        <v>0P00</v>
      </c>
      <c r="AJ946" t="str">
        <f t="shared" si="284"/>
        <v>P000</v>
      </c>
    </row>
    <row r="947" spans="1:36" x14ac:dyDescent="0.25">
      <c r="A947" s="325" t="str">
        <f>CONCATENATE("P",'906MP'!M647)</f>
        <v>P</v>
      </c>
      <c r="B947">
        <f>'906MP'!H647</f>
        <v>0</v>
      </c>
      <c r="C947">
        <f>'906MP'!J647</f>
        <v>0</v>
      </c>
      <c r="D947">
        <f>'906MP'!P647</f>
        <v>0</v>
      </c>
      <c r="E947">
        <f>'906MP'!X647</f>
        <v>0</v>
      </c>
      <c r="F947" t="str">
        <f t="shared" si="276"/>
        <v>0</v>
      </c>
      <c r="G947" t="str">
        <f t="shared" si="277"/>
        <v>0</v>
      </c>
      <c r="H947">
        <f>'906MP'!Y647</f>
        <v>0</v>
      </c>
      <c r="I947">
        <f>'906MP'!AK647</f>
        <v>0</v>
      </c>
      <c r="J947">
        <f>'906MP'!T647</f>
        <v>0</v>
      </c>
      <c r="K947">
        <f>'906MP'!AJ647</f>
        <v>0</v>
      </c>
      <c r="L947">
        <f>'906MP'!U647</f>
        <v>0</v>
      </c>
      <c r="M947" s="322" t="str">
        <f>IFERROR(VLOOKUP(A947,PAR!$D$3:$E$53,2,FALSE),"nincs szervezet")</f>
        <v>nincs szervezet</v>
      </c>
      <c r="N947" s="322" t="str">
        <f>VLOOKUP(F947,PAR!$R$3:$S$5,2,FALSE)</f>
        <v>3 - egyik sem</v>
      </c>
      <c r="O947" t="str">
        <f>IFERROR(VLOOKUP(J947,PAR!$O$3:$P$5,2,FALSE),"nincs feladat")</f>
        <v>nincs feladat</v>
      </c>
      <c r="P947" t="str">
        <f>IFERROR(VLOOKUP(G947,PAR!$J$2:$M$19,4),"nincs rovat")</f>
        <v>nincs rovat</v>
      </c>
      <c r="Q947" t="str">
        <f>IF(H947&gt;0,VLOOKUP(H947,PAR!$AA$3:$AC$187,3,FALSE),"nincs főkönyvi számla")</f>
        <v>nincs főkönyvi számla</v>
      </c>
      <c r="R947" t="str">
        <f>IFERROR(VLOOKUP(K947,PAR!$V$3:$X$438,3,FALSE),"000000 - Nincs COFOG")</f>
        <v>000000 - Nincs COFOG</v>
      </c>
      <c r="S947">
        <f t="shared" si="278"/>
        <v>0</v>
      </c>
      <c r="T947">
        <f t="shared" si="279"/>
        <v>0</v>
      </c>
      <c r="U947" t="str">
        <f>IF('906MP'!J647&gt;0,CONCATENATE('906MP'!J647," - ",'906MP'!P647,", ",'906MP'!E647),"nincs megjegyzés")</f>
        <v>nincs megjegyzés</v>
      </c>
      <c r="V947" t="str">
        <f t="shared" si="266"/>
        <v>0P0</v>
      </c>
      <c r="W947" t="str">
        <f t="shared" si="267"/>
        <v>0P0</v>
      </c>
      <c r="X947" t="str">
        <f t="shared" si="268"/>
        <v>P0</v>
      </c>
      <c r="Y947" t="str">
        <f t="shared" si="269"/>
        <v>00</v>
      </c>
      <c r="Z947" t="str">
        <f t="shared" si="280"/>
        <v>00</v>
      </c>
      <c r="AA947" t="str">
        <f t="shared" si="270"/>
        <v>00</v>
      </c>
      <c r="AB947" t="str">
        <f t="shared" si="271"/>
        <v>00</v>
      </c>
      <c r="AC947" t="str">
        <f t="shared" si="272"/>
        <v>0P0</v>
      </c>
      <c r="AD947" t="str">
        <f t="shared" si="273"/>
        <v>P00</v>
      </c>
      <c r="AE947" t="str">
        <f t="shared" si="274"/>
        <v>0P0</v>
      </c>
      <c r="AF947" t="str">
        <f t="shared" si="275"/>
        <v>P00</v>
      </c>
      <c r="AG947" t="str">
        <f t="shared" si="281"/>
        <v>0P00</v>
      </c>
      <c r="AH947" t="str">
        <f t="shared" si="282"/>
        <v>P000</v>
      </c>
      <c r="AI947" t="str">
        <f t="shared" si="283"/>
        <v>0P00</v>
      </c>
      <c r="AJ947" t="str">
        <f t="shared" si="284"/>
        <v>P000</v>
      </c>
    </row>
    <row r="948" spans="1:36" x14ac:dyDescent="0.25">
      <c r="A948" s="325" t="str">
        <f>CONCATENATE("P",'906MP'!M648)</f>
        <v>P</v>
      </c>
      <c r="B948">
        <f>'906MP'!H648</f>
        <v>0</v>
      </c>
      <c r="C948">
        <f>'906MP'!J648</f>
        <v>0</v>
      </c>
      <c r="D948">
        <f>'906MP'!P648</f>
        <v>0</v>
      </c>
      <c r="E948">
        <f>'906MP'!X648</f>
        <v>0</v>
      </c>
      <c r="F948" t="str">
        <f t="shared" si="276"/>
        <v>0</v>
      </c>
      <c r="G948" t="str">
        <f t="shared" si="277"/>
        <v>0</v>
      </c>
      <c r="H948">
        <f>'906MP'!Y648</f>
        <v>0</v>
      </c>
      <c r="I948">
        <f>'906MP'!AK648</f>
        <v>0</v>
      </c>
      <c r="J948">
        <f>'906MP'!T648</f>
        <v>0</v>
      </c>
      <c r="K948">
        <f>'906MP'!AJ648</f>
        <v>0</v>
      </c>
      <c r="L948">
        <f>'906MP'!U648</f>
        <v>0</v>
      </c>
      <c r="M948" s="322" t="str">
        <f>IFERROR(VLOOKUP(A948,PAR!$D$3:$E$53,2,FALSE),"nincs szervezet")</f>
        <v>nincs szervezet</v>
      </c>
      <c r="N948" s="322" t="str">
        <f>VLOOKUP(F948,PAR!$R$3:$S$5,2,FALSE)</f>
        <v>3 - egyik sem</v>
      </c>
      <c r="O948" t="str">
        <f>IFERROR(VLOOKUP(J948,PAR!$O$3:$P$5,2,FALSE),"nincs feladat")</f>
        <v>nincs feladat</v>
      </c>
      <c r="P948" t="str">
        <f>IFERROR(VLOOKUP(G948,PAR!$J$2:$M$19,4),"nincs rovat")</f>
        <v>nincs rovat</v>
      </c>
      <c r="Q948" t="str">
        <f>IF(H948&gt;0,VLOOKUP(H948,PAR!$AA$3:$AC$187,3,FALSE),"nincs főkönyvi számla")</f>
        <v>nincs főkönyvi számla</v>
      </c>
      <c r="R948" t="str">
        <f>IFERROR(VLOOKUP(K948,PAR!$V$3:$X$438,3,FALSE),"000000 - Nincs COFOG")</f>
        <v>000000 - Nincs COFOG</v>
      </c>
      <c r="S948">
        <f t="shared" si="278"/>
        <v>0</v>
      </c>
      <c r="T948">
        <f t="shared" si="279"/>
        <v>0</v>
      </c>
      <c r="U948" t="str">
        <f>IF('906MP'!J648&gt;0,CONCATENATE('906MP'!J648," - ",'906MP'!P648,", ",'906MP'!E648),"nincs megjegyzés")</f>
        <v>nincs megjegyzés</v>
      </c>
      <c r="V948" t="str">
        <f t="shared" si="266"/>
        <v>0P0</v>
      </c>
      <c r="W948" t="str">
        <f t="shared" si="267"/>
        <v>0P0</v>
      </c>
      <c r="X948" t="str">
        <f t="shared" si="268"/>
        <v>P0</v>
      </c>
      <c r="Y948" t="str">
        <f t="shared" si="269"/>
        <v>00</v>
      </c>
      <c r="Z948" t="str">
        <f t="shared" si="280"/>
        <v>00</v>
      </c>
      <c r="AA948" t="str">
        <f t="shared" si="270"/>
        <v>00</v>
      </c>
      <c r="AB948" t="str">
        <f t="shared" si="271"/>
        <v>00</v>
      </c>
      <c r="AC948" t="str">
        <f t="shared" si="272"/>
        <v>0P0</v>
      </c>
      <c r="AD948" t="str">
        <f t="shared" si="273"/>
        <v>P00</v>
      </c>
      <c r="AE948" t="str">
        <f t="shared" si="274"/>
        <v>0P0</v>
      </c>
      <c r="AF948" t="str">
        <f t="shared" si="275"/>
        <v>P00</v>
      </c>
      <c r="AG948" t="str">
        <f t="shared" si="281"/>
        <v>0P00</v>
      </c>
      <c r="AH948" t="str">
        <f t="shared" si="282"/>
        <v>P000</v>
      </c>
      <c r="AI948" t="str">
        <f t="shared" si="283"/>
        <v>0P00</v>
      </c>
      <c r="AJ948" t="str">
        <f t="shared" si="284"/>
        <v>P000</v>
      </c>
    </row>
    <row r="949" spans="1:36" x14ac:dyDescent="0.25">
      <c r="A949" s="325" t="str">
        <f>CONCATENATE("P",'906MP'!M649)</f>
        <v>P</v>
      </c>
      <c r="B949">
        <f>'906MP'!H649</f>
        <v>0</v>
      </c>
      <c r="C949">
        <f>'906MP'!J649</f>
        <v>0</v>
      </c>
      <c r="D949">
        <f>'906MP'!P649</f>
        <v>0</v>
      </c>
      <c r="E949">
        <f>'906MP'!X649</f>
        <v>0</v>
      </c>
      <c r="F949" t="str">
        <f t="shared" si="276"/>
        <v>0</v>
      </c>
      <c r="G949" t="str">
        <f t="shared" si="277"/>
        <v>0</v>
      </c>
      <c r="H949">
        <f>'906MP'!Y649</f>
        <v>0</v>
      </c>
      <c r="I949">
        <f>'906MP'!AK649</f>
        <v>0</v>
      </c>
      <c r="J949">
        <f>'906MP'!T649</f>
        <v>0</v>
      </c>
      <c r="K949">
        <f>'906MP'!AJ649</f>
        <v>0</v>
      </c>
      <c r="L949">
        <f>'906MP'!U649</f>
        <v>0</v>
      </c>
      <c r="M949" s="322" t="str">
        <f>IFERROR(VLOOKUP(A949,PAR!$D$3:$E$53,2,FALSE),"nincs szervezet")</f>
        <v>nincs szervezet</v>
      </c>
      <c r="N949" s="322" t="str">
        <f>VLOOKUP(F949,PAR!$R$3:$S$5,2,FALSE)</f>
        <v>3 - egyik sem</v>
      </c>
      <c r="O949" t="str">
        <f>IFERROR(VLOOKUP(J949,PAR!$O$3:$P$5,2,FALSE),"nincs feladat")</f>
        <v>nincs feladat</v>
      </c>
      <c r="P949" t="str">
        <f>IFERROR(VLOOKUP(G949,PAR!$J$2:$M$19,4),"nincs rovat")</f>
        <v>nincs rovat</v>
      </c>
      <c r="Q949" t="str">
        <f>IF(H949&gt;0,VLOOKUP(H949,PAR!$AA$3:$AC$187,3,FALSE),"nincs főkönyvi számla")</f>
        <v>nincs főkönyvi számla</v>
      </c>
      <c r="R949" t="str">
        <f>IFERROR(VLOOKUP(K949,PAR!$V$3:$X$438,3,FALSE),"000000 - Nincs COFOG")</f>
        <v>000000 - Nincs COFOG</v>
      </c>
      <c r="S949">
        <f t="shared" si="278"/>
        <v>0</v>
      </c>
      <c r="T949">
        <f t="shared" si="279"/>
        <v>0</v>
      </c>
      <c r="U949" t="str">
        <f>IF('906MP'!J649&gt;0,CONCATENATE('906MP'!J649," - ",'906MP'!P649,", ",'906MP'!E649),"nincs megjegyzés")</f>
        <v>nincs megjegyzés</v>
      </c>
      <c r="V949" t="str">
        <f t="shared" si="266"/>
        <v>0P0</v>
      </c>
      <c r="W949" t="str">
        <f t="shared" si="267"/>
        <v>0P0</v>
      </c>
      <c r="X949" t="str">
        <f t="shared" si="268"/>
        <v>P0</v>
      </c>
      <c r="Y949" t="str">
        <f t="shared" si="269"/>
        <v>00</v>
      </c>
      <c r="Z949" t="str">
        <f t="shared" si="280"/>
        <v>00</v>
      </c>
      <c r="AA949" t="str">
        <f t="shared" si="270"/>
        <v>00</v>
      </c>
      <c r="AB949" t="str">
        <f t="shared" si="271"/>
        <v>00</v>
      </c>
      <c r="AC949" t="str">
        <f t="shared" si="272"/>
        <v>0P0</v>
      </c>
      <c r="AD949" t="str">
        <f t="shared" si="273"/>
        <v>P00</v>
      </c>
      <c r="AE949" t="str">
        <f t="shared" si="274"/>
        <v>0P0</v>
      </c>
      <c r="AF949" t="str">
        <f t="shared" si="275"/>
        <v>P00</v>
      </c>
      <c r="AG949" t="str">
        <f t="shared" si="281"/>
        <v>0P00</v>
      </c>
      <c r="AH949" t="str">
        <f t="shared" si="282"/>
        <v>P000</v>
      </c>
      <c r="AI949" t="str">
        <f t="shared" si="283"/>
        <v>0P00</v>
      </c>
      <c r="AJ949" t="str">
        <f t="shared" si="284"/>
        <v>P000</v>
      </c>
    </row>
    <row r="950" spans="1:36" x14ac:dyDescent="0.25">
      <c r="A950" s="325" t="str">
        <f>CONCATENATE("P",'906MP'!M650)</f>
        <v>P</v>
      </c>
      <c r="B950">
        <f>'906MP'!H650</f>
        <v>0</v>
      </c>
      <c r="C950">
        <f>'906MP'!J650</f>
        <v>0</v>
      </c>
      <c r="D950">
        <f>'906MP'!P650</f>
        <v>0</v>
      </c>
      <c r="E950">
        <f>'906MP'!X650</f>
        <v>0</v>
      </c>
      <c r="F950" t="str">
        <f t="shared" si="276"/>
        <v>0</v>
      </c>
      <c r="G950" t="str">
        <f t="shared" si="277"/>
        <v>0</v>
      </c>
      <c r="H950">
        <f>'906MP'!Y650</f>
        <v>0</v>
      </c>
      <c r="I950">
        <f>'906MP'!AK650</f>
        <v>0</v>
      </c>
      <c r="J950">
        <f>'906MP'!T650</f>
        <v>0</v>
      </c>
      <c r="K950">
        <f>'906MP'!AJ650</f>
        <v>0</v>
      </c>
      <c r="L950">
        <f>'906MP'!U650</f>
        <v>0</v>
      </c>
      <c r="M950" s="322" t="str">
        <f>IFERROR(VLOOKUP(A950,PAR!$D$3:$E$53,2,FALSE),"nincs szervezet")</f>
        <v>nincs szervezet</v>
      </c>
      <c r="N950" s="322" t="str">
        <f>VLOOKUP(F950,PAR!$R$3:$S$5,2,FALSE)</f>
        <v>3 - egyik sem</v>
      </c>
      <c r="O950" t="str">
        <f>IFERROR(VLOOKUP(J950,PAR!$O$3:$P$5,2,FALSE),"nincs feladat")</f>
        <v>nincs feladat</v>
      </c>
      <c r="P950" t="str">
        <f>IFERROR(VLOOKUP(G950,PAR!$J$2:$M$19,4),"nincs rovat")</f>
        <v>nincs rovat</v>
      </c>
      <c r="Q950" t="str">
        <f>IF(H950&gt;0,VLOOKUP(H950,PAR!$AA$3:$AC$187,3,FALSE),"nincs főkönyvi számla")</f>
        <v>nincs főkönyvi számla</v>
      </c>
      <c r="R950" t="str">
        <f>IFERROR(VLOOKUP(K950,PAR!$V$3:$X$438,3,FALSE),"000000 - Nincs COFOG")</f>
        <v>000000 - Nincs COFOG</v>
      </c>
      <c r="S950">
        <f t="shared" si="278"/>
        <v>0</v>
      </c>
      <c r="T950">
        <f t="shared" si="279"/>
        <v>0</v>
      </c>
      <c r="U950" t="str">
        <f>IF('906MP'!J650&gt;0,CONCATENATE('906MP'!J650," - ",'906MP'!P650,", ",'906MP'!E650),"nincs megjegyzés")</f>
        <v>nincs megjegyzés</v>
      </c>
      <c r="V950" t="str">
        <f t="shared" si="266"/>
        <v>0P0</v>
      </c>
      <c r="W950" t="str">
        <f t="shared" si="267"/>
        <v>0P0</v>
      </c>
      <c r="X950" t="str">
        <f t="shared" si="268"/>
        <v>P0</v>
      </c>
      <c r="Y950" t="str">
        <f t="shared" si="269"/>
        <v>00</v>
      </c>
      <c r="Z950" t="str">
        <f t="shared" si="280"/>
        <v>00</v>
      </c>
      <c r="AA950" t="str">
        <f t="shared" si="270"/>
        <v>00</v>
      </c>
      <c r="AB950" t="str">
        <f t="shared" si="271"/>
        <v>00</v>
      </c>
      <c r="AC950" t="str">
        <f t="shared" si="272"/>
        <v>0P0</v>
      </c>
      <c r="AD950" t="str">
        <f t="shared" si="273"/>
        <v>P00</v>
      </c>
      <c r="AE950" t="str">
        <f t="shared" si="274"/>
        <v>0P0</v>
      </c>
      <c r="AF950" t="str">
        <f t="shared" si="275"/>
        <v>P00</v>
      </c>
      <c r="AG950" t="str">
        <f t="shared" si="281"/>
        <v>0P00</v>
      </c>
      <c r="AH950" t="str">
        <f t="shared" si="282"/>
        <v>P000</v>
      </c>
      <c r="AI950" t="str">
        <f t="shared" si="283"/>
        <v>0P00</v>
      </c>
      <c r="AJ950" t="str">
        <f t="shared" si="284"/>
        <v>P000</v>
      </c>
    </row>
    <row r="951" spans="1:36" x14ac:dyDescent="0.25">
      <c r="A951" s="325" t="str">
        <f>CONCATENATE("P",'906MP'!M651)</f>
        <v>P</v>
      </c>
      <c r="B951">
        <f>'906MP'!H651</f>
        <v>0</v>
      </c>
      <c r="C951">
        <f>'906MP'!J651</f>
        <v>0</v>
      </c>
      <c r="D951">
        <f>'906MP'!P651</f>
        <v>0</v>
      </c>
      <c r="E951">
        <f>'906MP'!X651</f>
        <v>0</v>
      </c>
      <c r="F951" t="str">
        <f t="shared" si="276"/>
        <v>0</v>
      </c>
      <c r="G951" t="str">
        <f t="shared" si="277"/>
        <v>0</v>
      </c>
      <c r="H951">
        <f>'906MP'!Y651</f>
        <v>0</v>
      </c>
      <c r="I951">
        <f>'906MP'!AK651</f>
        <v>0</v>
      </c>
      <c r="J951">
        <f>'906MP'!T651</f>
        <v>0</v>
      </c>
      <c r="K951">
        <f>'906MP'!AJ651</f>
        <v>0</v>
      </c>
      <c r="L951">
        <f>'906MP'!U651</f>
        <v>0</v>
      </c>
      <c r="M951" s="322" t="str">
        <f>IFERROR(VLOOKUP(A951,PAR!$D$3:$E$53,2,FALSE),"nincs szervezet")</f>
        <v>nincs szervezet</v>
      </c>
      <c r="N951" s="322" t="str">
        <f>VLOOKUP(F951,PAR!$R$3:$S$5,2,FALSE)</f>
        <v>3 - egyik sem</v>
      </c>
      <c r="O951" t="str">
        <f>IFERROR(VLOOKUP(J951,PAR!$O$3:$P$5,2,FALSE),"nincs feladat")</f>
        <v>nincs feladat</v>
      </c>
      <c r="P951" t="str">
        <f>IFERROR(VLOOKUP(G951,PAR!$J$2:$M$19,4),"nincs rovat")</f>
        <v>nincs rovat</v>
      </c>
      <c r="Q951" t="str">
        <f>IF(H951&gt;0,VLOOKUP(H951,PAR!$AA$3:$AC$187,3,FALSE),"nincs főkönyvi számla")</f>
        <v>nincs főkönyvi számla</v>
      </c>
      <c r="R951" t="str">
        <f>IFERROR(VLOOKUP(K951,PAR!$V$3:$X$438,3,FALSE),"000000 - Nincs COFOG")</f>
        <v>000000 - Nincs COFOG</v>
      </c>
      <c r="S951">
        <f t="shared" si="278"/>
        <v>0</v>
      </c>
      <c r="T951">
        <f t="shared" si="279"/>
        <v>0</v>
      </c>
      <c r="U951" t="str">
        <f>IF('906MP'!J651&gt;0,CONCATENATE('906MP'!J651," - ",'906MP'!P651,", ",'906MP'!E651),"nincs megjegyzés")</f>
        <v>nincs megjegyzés</v>
      </c>
      <c r="V951" t="str">
        <f t="shared" si="266"/>
        <v>0P0</v>
      </c>
      <c r="W951" t="str">
        <f t="shared" si="267"/>
        <v>0P0</v>
      </c>
      <c r="X951" t="str">
        <f t="shared" si="268"/>
        <v>P0</v>
      </c>
      <c r="Y951" t="str">
        <f t="shared" si="269"/>
        <v>00</v>
      </c>
      <c r="Z951" t="str">
        <f t="shared" si="280"/>
        <v>00</v>
      </c>
      <c r="AA951" t="str">
        <f t="shared" si="270"/>
        <v>00</v>
      </c>
      <c r="AB951" t="str">
        <f t="shared" si="271"/>
        <v>00</v>
      </c>
      <c r="AC951" t="str">
        <f t="shared" si="272"/>
        <v>0P0</v>
      </c>
      <c r="AD951" t="str">
        <f t="shared" si="273"/>
        <v>P00</v>
      </c>
      <c r="AE951" t="str">
        <f t="shared" si="274"/>
        <v>0P0</v>
      </c>
      <c r="AF951" t="str">
        <f t="shared" si="275"/>
        <v>P00</v>
      </c>
      <c r="AG951" t="str">
        <f t="shared" si="281"/>
        <v>0P00</v>
      </c>
      <c r="AH951" t="str">
        <f t="shared" si="282"/>
        <v>P000</v>
      </c>
      <c r="AI951" t="str">
        <f t="shared" si="283"/>
        <v>0P00</v>
      </c>
      <c r="AJ951" t="str">
        <f t="shared" si="284"/>
        <v>P000</v>
      </c>
    </row>
    <row r="952" spans="1:36" x14ac:dyDescent="0.25">
      <c r="A952" s="325" t="str">
        <f>CONCATENATE("P",'906MP'!M652)</f>
        <v>P</v>
      </c>
      <c r="B952">
        <f>'906MP'!H652</f>
        <v>0</v>
      </c>
      <c r="C952">
        <f>'906MP'!J652</f>
        <v>0</v>
      </c>
      <c r="D952">
        <f>'906MP'!P652</f>
        <v>0</v>
      </c>
      <c r="E952">
        <f>'906MP'!X652</f>
        <v>0</v>
      </c>
      <c r="F952" t="str">
        <f t="shared" si="276"/>
        <v>0</v>
      </c>
      <c r="G952" t="str">
        <f t="shared" si="277"/>
        <v>0</v>
      </c>
      <c r="H952">
        <f>'906MP'!Y652</f>
        <v>0</v>
      </c>
      <c r="I952">
        <f>'906MP'!AK652</f>
        <v>0</v>
      </c>
      <c r="J952">
        <f>'906MP'!T652</f>
        <v>0</v>
      </c>
      <c r="K952">
        <f>'906MP'!AJ652</f>
        <v>0</v>
      </c>
      <c r="L952">
        <f>'906MP'!U652</f>
        <v>0</v>
      </c>
      <c r="M952" s="322" t="str">
        <f>IFERROR(VLOOKUP(A952,PAR!$D$3:$E$53,2,FALSE),"nincs szervezet")</f>
        <v>nincs szervezet</v>
      </c>
      <c r="N952" s="322" t="str">
        <f>VLOOKUP(F952,PAR!$R$3:$S$5,2,FALSE)</f>
        <v>3 - egyik sem</v>
      </c>
      <c r="O952" t="str">
        <f>IFERROR(VLOOKUP(J952,PAR!$O$3:$P$5,2,FALSE),"nincs feladat")</f>
        <v>nincs feladat</v>
      </c>
      <c r="P952" t="str">
        <f>IFERROR(VLOOKUP(G952,PAR!$J$2:$M$19,4),"nincs rovat")</f>
        <v>nincs rovat</v>
      </c>
      <c r="Q952" t="str">
        <f>IF(H952&gt;0,VLOOKUP(H952,PAR!$AA$3:$AC$187,3,FALSE),"nincs főkönyvi számla")</f>
        <v>nincs főkönyvi számla</v>
      </c>
      <c r="R952" t="str">
        <f>IFERROR(VLOOKUP(K952,PAR!$V$3:$X$438,3,FALSE),"000000 - Nincs COFOG")</f>
        <v>000000 - Nincs COFOG</v>
      </c>
      <c r="S952">
        <f t="shared" si="278"/>
        <v>0</v>
      </c>
      <c r="T952">
        <f t="shared" si="279"/>
        <v>0</v>
      </c>
      <c r="U952" t="str">
        <f>IF('906MP'!J652&gt;0,CONCATENATE('906MP'!J652," - ",'906MP'!P652,", ",'906MP'!E652),"nincs megjegyzés")</f>
        <v>nincs megjegyzés</v>
      </c>
      <c r="V952" t="str">
        <f t="shared" si="266"/>
        <v>0P0</v>
      </c>
      <c r="W952" t="str">
        <f t="shared" si="267"/>
        <v>0P0</v>
      </c>
      <c r="X952" t="str">
        <f t="shared" si="268"/>
        <v>P0</v>
      </c>
      <c r="Y952" t="str">
        <f t="shared" si="269"/>
        <v>00</v>
      </c>
      <c r="Z952" t="str">
        <f t="shared" si="280"/>
        <v>00</v>
      </c>
      <c r="AA952" t="str">
        <f t="shared" si="270"/>
        <v>00</v>
      </c>
      <c r="AB952" t="str">
        <f t="shared" si="271"/>
        <v>00</v>
      </c>
      <c r="AC952" t="str">
        <f t="shared" si="272"/>
        <v>0P0</v>
      </c>
      <c r="AD952" t="str">
        <f t="shared" si="273"/>
        <v>P00</v>
      </c>
      <c r="AE952" t="str">
        <f t="shared" si="274"/>
        <v>0P0</v>
      </c>
      <c r="AF952" t="str">
        <f t="shared" si="275"/>
        <v>P00</v>
      </c>
      <c r="AG952" t="str">
        <f t="shared" si="281"/>
        <v>0P00</v>
      </c>
      <c r="AH952" t="str">
        <f t="shared" si="282"/>
        <v>P000</v>
      </c>
      <c r="AI952" t="str">
        <f t="shared" si="283"/>
        <v>0P00</v>
      </c>
      <c r="AJ952" t="str">
        <f t="shared" si="284"/>
        <v>P000</v>
      </c>
    </row>
    <row r="953" spans="1:36" x14ac:dyDescent="0.25">
      <c r="A953" s="325" t="str">
        <f>CONCATENATE("P",'906MP'!M653)</f>
        <v>P</v>
      </c>
      <c r="B953">
        <f>'906MP'!H653</f>
        <v>0</v>
      </c>
      <c r="C953">
        <f>'906MP'!J653</f>
        <v>0</v>
      </c>
      <c r="D953">
        <f>'906MP'!P653</f>
        <v>0</v>
      </c>
      <c r="E953">
        <f>'906MP'!X653</f>
        <v>0</v>
      </c>
      <c r="F953" t="str">
        <f t="shared" si="276"/>
        <v>0</v>
      </c>
      <c r="G953" t="str">
        <f t="shared" si="277"/>
        <v>0</v>
      </c>
      <c r="H953">
        <f>'906MP'!Y653</f>
        <v>0</v>
      </c>
      <c r="I953">
        <f>'906MP'!AK653</f>
        <v>0</v>
      </c>
      <c r="J953">
        <f>'906MP'!T653</f>
        <v>0</v>
      </c>
      <c r="K953">
        <f>'906MP'!AJ653</f>
        <v>0</v>
      </c>
      <c r="L953">
        <f>'906MP'!U653</f>
        <v>0</v>
      </c>
      <c r="M953" s="322" t="str">
        <f>IFERROR(VLOOKUP(A953,PAR!$D$3:$E$53,2,FALSE),"nincs szervezet")</f>
        <v>nincs szervezet</v>
      </c>
      <c r="N953" s="322" t="str">
        <f>VLOOKUP(F953,PAR!$R$3:$S$5,2,FALSE)</f>
        <v>3 - egyik sem</v>
      </c>
      <c r="O953" t="str">
        <f>IFERROR(VLOOKUP(J953,PAR!$O$3:$P$5,2,FALSE),"nincs feladat")</f>
        <v>nincs feladat</v>
      </c>
      <c r="P953" t="str">
        <f>IFERROR(VLOOKUP(G953,PAR!$J$2:$M$19,4),"nincs rovat")</f>
        <v>nincs rovat</v>
      </c>
      <c r="Q953" t="str">
        <f>IF(H953&gt;0,VLOOKUP(H953,PAR!$AA$3:$AC$187,3,FALSE),"nincs főkönyvi számla")</f>
        <v>nincs főkönyvi számla</v>
      </c>
      <c r="R953" t="str">
        <f>IFERROR(VLOOKUP(K953,PAR!$V$3:$X$438,3,FALSE),"000000 - Nincs COFOG")</f>
        <v>000000 - Nincs COFOG</v>
      </c>
      <c r="S953">
        <f t="shared" si="278"/>
        <v>0</v>
      </c>
      <c r="T953">
        <f t="shared" si="279"/>
        <v>0</v>
      </c>
      <c r="U953" t="str">
        <f>IF('906MP'!J653&gt;0,CONCATENATE('906MP'!J653," - ",'906MP'!P653,", ",'906MP'!E653),"nincs megjegyzés")</f>
        <v>nincs megjegyzés</v>
      </c>
      <c r="V953" t="str">
        <f t="shared" si="266"/>
        <v>0P0</v>
      </c>
      <c r="W953" t="str">
        <f t="shared" si="267"/>
        <v>0P0</v>
      </c>
      <c r="X953" t="str">
        <f t="shared" si="268"/>
        <v>P0</v>
      </c>
      <c r="Y953" t="str">
        <f t="shared" si="269"/>
        <v>00</v>
      </c>
      <c r="Z953" t="str">
        <f t="shared" si="280"/>
        <v>00</v>
      </c>
      <c r="AA953" t="str">
        <f t="shared" si="270"/>
        <v>00</v>
      </c>
      <c r="AB953" t="str">
        <f t="shared" si="271"/>
        <v>00</v>
      </c>
      <c r="AC953" t="str">
        <f t="shared" si="272"/>
        <v>0P0</v>
      </c>
      <c r="AD953" t="str">
        <f t="shared" si="273"/>
        <v>P00</v>
      </c>
      <c r="AE953" t="str">
        <f t="shared" si="274"/>
        <v>0P0</v>
      </c>
      <c r="AF953" t="str">
        <f t="shared" si="275"/>
        <v>P00</v>
      </c>
      <c r="AG953" t="str">
        <f t="shared" si="281"/>
        <v>0P00</v>
      </c>
      <c r="AH953" t="str">
        <f t="shared" si="282"/>
        <v>P000</v>
      </c>
      <c r="AI953" t="str">
        <f t="shared" si="283"/>
        <v>0P00</v>
      </c>
      <c r="AJ953" t="str">
        <f t="shared" si="284"/>
        <v>P000</v>
      </c>
    </row>
    <row r="954" spans="1:36" x14ac:dyDescent="0.25">
      <c r="A954" s="325" t="str">
        <f>CONCATENATE("P",'906MP'!M654)</f>
        <v>P</v>
      </c>
      <c r="B954">
        <f>'906MP'!H654</f>
        <v>0</v>
      </c>
      <c r="C954">
        <f>'906MP'!J654</f>
        <v>0</v>
      </c>
      <c r="D954">
        <f>'906MP'!P654</f>
        <v>0</v>
      </c>
      <c r="E954">
        <f>'906MP'!X654</f>
        <v>0</v>
      </c>
      <c r="F954" t="str">
        <f t="shared" si="276"/>
        <v>0</v>
      </c>
      <c r="G954" t="str">
        <f t="shared" si="277"/>
        <v>0</v>
      </c>
      <c r="H954">
        <f>'906MP'!Y654</f>
        <v>0</v>
      </c>
      <c r="I954">
        <f>'906MP'!AK654</f>
        <v>0</v>
      </c>
      <c r="J954">
        <f>'906MP'!T654</f>
        <v>0</v>
      </c>
      <c r="K954">
        <f>'906MP'!AJ654</f>
        <v>0</v>
      </c>
      <c r="L954">
        <f>'906MP'!U654</f>
        <v>0</v>
      </c>
      <c r="M954" s="322" t="str">
        <f>IFERROR(VLOOKUP(A954,PAR!$D$3:$E$53,2,FALSE),"nincs szervezet")</f>
        <v>nincs szervezet</v>
      </c>
      <c r="N954" s="322" t="str">
        <f>VLOOKUP(F954,PAR!$R$3:$S$5,2,FALSE)</f>
        <v>3 - egyik sem</v>
      </c>
      <c r="O954" t="str">
        <f>IFERROR(VLOOKUP(J954,PAR!$O$3:$P$5,2,FALSE),"nincs feladat")</f>
        <v>nincs feladat</v>
      </c>
      <c r="P954" t="str">
        <f>IFERROR(VLOOKUP(G954,PAR!$J$2:$M$19,4),"nincs rovat")</f>
        <v>nincs rovat</v>
      </c>
      <c r="Q954" t="str">
        <f>IF(H954&gt;0,VLOOKUP(H954,PAR!$AA$3:$AC$187,3,FALSE),"nincs főkönyvi számla")</f>
        <v>nincs főkönyvi számla</v>
      </c>
      <c r="R954" t="str">
        <f>IFERROR(VLOOKUP(K954,PAR!$V$3:$X$438,3,FALSE),"000000 - Nincs COFOG")</f>
        <v>000000 - Nincs COFOG</v>
      </c>
      <c r="S954">
        <f t="shared" si="278"/>
        <v>0</v>
      </c>
      <c r="T954">
        <f t="shared" si="279"/>
        <v>0</v>
      </c>
      <c r="U954" t="str">
        <f>IF('906MP'!J654&gt;0,CONCATENATE('906MP'!J654," - ",'906MP'!P654,", ",'906MP'!E654),"nincs megjegyzés")</f>
        <v>nincs megjegyzés</v>
      </c>
      <c r="V954" t="str">
        <f t="shared" si="266"/>
        <v>0P0</v>
      </c>
      <c r="W954" t="str">
        <f t="shared" si="267"/>
        <v>0P0</v>
      </c>
      <c r="X954" t="str">
        <f t="shared" si="268"/>
        <v>P0</v>
      </c>
      <c r="Y954" t="str">
        <f t="shared" si="269"/>
        <v>00</v>
      </c>
      <c r="Z954" t="str">
        <f t="shared" si="280"/>
        <v>00</v>
      </c>
      <c r="AA954" t="str">
        <f t="shared" si="270"/>
        <v>00</v>
      </c>
      <c r="AB954" t="str">
        <f t="shared" si="271"/>
        <v>00</v>
      </c>
      <c r="AC954" t="str">
        <f t="shared" si="272"/>
        <v>0P0</v>
      </c>
      <c r="AD954" t="str">
        <f t="shared" si="273"/>
        <v>P00</v>
      </c>
      <c r="AE954" t="str">
        <f t="shared" si="274"/>
        <v>0P0</v>
      </c>
      <c r="AF954" t="str">
        <f t="shared" si="275"/>
        <v>P00</v>
      </c>
      <c r="AG954" t="str">
        <f t="shared" si="281"/>
        <v>0P00</v>
      </c>
      <c r="AH954" t="str">
        <f t="shared" si="282"/>
        <v>P000</v>
      </c>
      <c r="AI954" t="str">
        <f t="shared" si="283"/>
        <v>0P00</v>
      </c>
      <c r="AJ954" t="str">
        <f t="shared" si="284"/>
        <v>P000</v>
      </c>
    </row>
    <row r="955" spans="1:36" x14ac:dyDescent="0.25">
      <c r="A955" s="325" t="str">
        <f>CONCATENATE("P",'906MP'!M655)</f>
        <v>P</v>
      </c>
      <c r="B955">
        <f>'906MP'!H655</f>
        <v>0</v>
      </c>
      <c r="C955">
        <f>'906MP'!J655</f>
        <v>0</v>
      </c>
      <c r="D955">
        <f>'906MP'!P655</f>
        <v>0</v>
      </c>
      <c r="E955">
        <f>'906MP'!X655</f>
        <v>0</v>
      </c>
      <c r="F955" t="str">
        <f t="shared" si="276"/>
        <v>0</v>
      </c>
      <c r="G955" t="str">
        <f t="shared" si="277"/>
        <v>0</v>
      </c>
      <c r="H955">
        <f>'906MP'!Y655</f>
        <v>0</v>
      </c>
      <c r="I955">
        <f>'906MP'!AK655</f>
        <v>0</v>
      </c>
      <c r="J955">
        <f>'906MP'!T655</f>
        <v>0</v>
      </c>
      <c r="K955">
        <f>'906MP'!AJ655</f>
        <v>0</v>
      </c>
      <c r="L955">
        <f>'906MP'!U655</f>
        <v>0</v>
      </c>
      <c r="M955" s="322" t="str">
        <f>IFERROR(VLOOKUP(A955,PAR!$D$3:$E$53,2,FALSE),"nincs szervezet")</f>
        <v>nincs szervezet</v>
      </c>
      <c r="N955" s="322" t="str">
        <f>VLOOKUP(F955,PAR!$R$3:$S$5,2,FALSE)</f>
        <v>3 - egyik sem</v>
      </c>
      <c r="O955" t="str">
        <f>IFERROR(VLOOKUP(J955,PAR!$O$3:$P$5,2,FALSE),"nincs feladat")</f>
        <v>nincs feladat</v>
      </c>
      <c r="P955" t="str">
        <f>IFERROR(VLOOKUP(G955,PAR!$J$2:$M$19,4),"nincs rovat")</f>
        <v>nincs rovat</v>
      </c>
      <c r="Q955" t="str">
        <f>IF(H955&gt;0,VLOOKUP(H955,PAR!$AA$3:$AC$187,3,FALSE),"nincs főkönyvi számla")</f>
        <v>nincs főkönyvi számla</v>
      </c>
      <c r="R955" t="str">
        <f>IFERROR(VLOOKUP(K955,PAR!$V$3:$X$438,3,FALSE),"000000 - Nincs COFOG")</f>
        <v>000000 - Nincs COFOG</v>
      </c>
      <c r="S955">
        <f t="shared" si="278"/>
        <v>0</v>
      </c>
      <c r="T955">
        <f t="shared" si="279"/>
        <v>0</v>
      </c>
      <c r="U955" t="str">
        <f>IF('906MP'!J655&gt;0,CONCATENATE('906MP'!J655," - ",'906MP'!P655,", ",'906MP'!E655),"nincs megjegyzés")</f>
        <v>nincs megjegyzés</v>
      </c>
      <c r="V955" t="str">
        <f t="shared" si="266"/>
        <v>0P0</v>
      </c>
      <c r="W955" t="str">
        <f t="shared" si="267"/>
        <v>0P0</v>
      </c>
      <c r="X955" t="str">
        <f t="shared" si="268"/>
        <v>P0</v>
      </c>
      <c r="Y955" t="str">
        <f t="shared" si="269"/>
        <v>00</v>
      </c>
      <c r="Z955" t="str">
        <f t="shared" si="280"/>
        <v>00</v>
      </c>
      <c r="AA955" t="str">
        <f t="shared" si="270"/>
        <v>00</v>
      </c>
      <c r="AB955" t="str">
        <f t="shared" si="271"/>
        <v>00</v>
      </c>
      <c r="AC955" t="str">
        <f t="shared" si="272"/>
        <v>0P0</v>
      </c>
      <c r="AD955" t="str">
        <f t="shared" si="273"/>
        <v>P00</v>
      </c>
      <c r="AE955" t="str">
        <f t="shared" si="274"/>
        <v>0P0</v>
      </c>
      <c r="AF955" t="str">
        <f t="shared" si="275"/>
        <v>P00</v>
      </c>
      <c r="AG955" t="str">
        <f t="shared" si="281"/>
        <v>0P00</v>
      </c>
      <c r="AH955" t="str">
        <f t="shared" si="282"/>
        <v>P000</v>
      </c>
      <c r="AI955" t="str">
        <f t="shared" si="283"/>
        <v>0P00</v>
      </c>
      <c r="AJ955" t="str">
        <f t="shared" si="284"/>
        <v>P000</v>
      </c>
    </row>
    <row r="956" spans="1:36" x14ac:dyDescent="0.25">
      <c r="A956" s="325" t="str">
        <f>CONCATENATE("P",'906MP'!M656)</f>
        <v>P</v>
      </c>
      <c r="B956">
        <f>'906MP'!H656</f>
        <v>0</v>
      </c>
      <c r="C956">
        <f>'906MP'!J656</f>
        <v>0</v>
      </c>
      <c r="D956">
        <f>'906MP'!P656</f>
        <v>0</v>
      </c>
      <c r="E956">
        <f>'906MP'!X656</f>
        <v>0</v>
      </c>
      <c r="F956" t="str">
        <f t="shared" si="276"/>
        <v>0</v>
      </c>
      <c r="G956" t="str">
        <f t="shared" si="277"/>
        <v>0</v>
      </c>
      <c r="H956">
        <f>'906MP'!Y656</f>
        <v>0</v>
      </c>
      <c r="I956">
        <f>'906MP'!AK656</f>
        <v>0</v>
      </c>
      <c r="J956">
        <f>'906MP'!T656</f>
        <v>0</v>
      </c>
      <c r="K956">
        <f>'906MP'!AJ656</f>
        <v>0</v>
      </c>
      <c r="L956">
        <f>'906MP'!U656</f>
        <v>0</v>
      </c>
      <c r="M956" s="322" t="str">
        <f>IFERROR(VLOOKUP(A956,PAR!$D$3:$E$53,2,FALSE),"nincs szervezet")</f>
        <v>nincs szervezet</v>
      </c>
      <c r="N956" s="322" t="str">
        <f>VLOOKUP(F956,PAR!$R$3:$S$5,2,FALSE)</f>
        <v>3 - egyik sem</v>
      </c>
      <c r="O956" t="str">
        <f>IFERROR(VLOOKUP(J956,PAR!$O$3:$P$5,2,FALSE),"nincs feladat")</f>
        <v>nincs feladat</v>
      </c>
      <c r="P956" t="str">
        <f>IFERROR(VLOOKUP(G956,PAR!$J$2:$M$19,4),"nincs rovat")</f>
        <v>nincs rovat</v>
      </c>
      <c r="Q956" t="str">
        <f>IF(H956&gt;0,VLOOKUP(H956,PAR!$AA$3:$AC$187,3,FALSE),"nincs főkönyvi számla")</f>
        <v>nincs főkönyvi számla</v>
      </c>
      <c r="R956" t="str">
        <f>IFERROR(VLOOKUP(K956,PAR!$V$3:$X$438,3,FALSE),"000000 - Nincs COFOG")</f>
        <v>000000 - Nincs COFOG</v>
      </c>
      <c r="S956">
        <f t="shared" si="278"/>
        <v>0</v>
      </c>
      <c r="T956">
        <f t="shared" si="279"/>
        <v>0</v>
      </c>
      <c r="U956" t="str">
        <f>IF('906MP'!J656&gt;0,CONCATENATE('906MP'!J656," - ",'906MP'!P656,", ",'906MP'!E656),"nincs megjegyzés")</f>
        <v>nincs megjegyzés</v>
      </c>
      <c r="V956" t="str">
        <f t="shared" si="266"/>
        <v>0P0</v>
      </c>
      <c r="W956" t="str">
        <f t="shared" si="267"/>
        <v>0P0</v>
      </c>
      <c r="X956" t="str">
        <f t="shared" si="268"/>
        <v>P0</v>
      </c>
      <c r="Y956" t="str">
        <f t="shared" si="269"/>
        <v>00</v>
      </c>
      <c r="Z956" t="str">
        <f t="shared" si="280"/>
        <v>00</v>
      </c>
      <c r="AA956" t="str">
        <f t="shared" si="270"/>
        <v>00</v>
      </c>
      <c r="AB956" t="str">
        <f t="shared" si="271"/>
        <v>00</v>
      </c>
      <c r="AC956" t="str">
        <f t="shared" si="272"/>
        <v>0P0</v>
      </c>
      <c r="AD956" t="str">
        <f t="shared" si="273"/>
        <v>P00</v>
      </c>
      <c r="AE956" t="str">
        <f t="shared" si="274"/>
        <v>0P0</v>
      </c>
      <c r="AF956" t="str">
        <f t="shared" si="275"/>
        <v>P00</v>
      </c>
      <c r="AG956" t="str">
        <f t="shared" si="281"/>
        <v>0P00</v>
      </c>
      <c r="AH956" t="str">
        <f t="shared" si="282"/>
        <v>P000</v>
      </c>
      <c r="AI956" t="str">
        <f t="shared" si="283"/>
        <v>0P00</v>
      </c>
      <c r="AJ956" t="str">
        <f t="shared" si="284"/>
        <v>P000</v>
      </c>
    </row>
    <row r="957" spans="1:36" x14ac:dyDescent="0.25">
      <c r="A957" s="325" t="str">
        <f>CONCATENATE("P",'906MP'!M657)</f>
        <v>P</v>
      </c>
      <c r="B957">
        <f>'906MP'!H657</f>
        <v>0</v>
      </c>
      <c r="C957">
        <f>'906MP'!J657</f>
        <v>0</v>
      </c>
      <c r="D957">
        <f>'906MP'!P657</f>
        <v>0</v>
      </c>
      <c r="E957">
        <f>'906MP'!X657</f>
        <v>0</v>
      </c>
      <c r="F957" t="str">
        <f t="shared" si="276"/>
        <v>0</v>
      </c>
      <c r="G957" t="str">
        <f t="shared" si="277"/>
        <v>0</v>
      </c>
      <c r="H957">
        <f>'906MP'!Y657</f>
        <v>0</v>
      </c>
      <c r="I957">
        <f>'906MP'!AK657</f>
        <v>0</v>
      </c>
      <c r="J957">
        <f>'906MP'!T657</f>
        <v>0</v>
      </c>
      <c r="K957">
        <f>'906MP'!AJ657</f>
        <v>0</v>
      </c>
      <c r="L957">
        <f>'906MP'!U657</f>
        <v>0</v>
      </c>
      <c r="M957" s="322" t="str">
        <f>IFERROR(VLOOKUP(A957,PAR!$D$3:$E$53,2,FALSE),"nincs szervezet")</f>
        <v>nincs szervezet</v>
      </c>
      <c r="N957" s="322" t="str">
        <f>VLOOKUP(F957,PAR!$R$3:$S$5,2,FALSE)</f>
        <v>3 - egyik sem</v>
      </c>
      <c r="O957" t="str">
        <f>IFERROR(VLOOKUP(J957,PAR!$O$3:$P$5,2,FALSE),"nincs feladat")</f>
        <v>nincs feladat</v>
      </c>
      <c r="P957" t="str">
        <f>IFERROR(VLOOKUP(G957,PAR!$J$2:$M$19,4),"nincs rovat")</f>
        <v>nincs rovat</v>
      </c>
      <c r="Q957" t="str">
        <f>IF(H957&gt;0,VLOOKUP(H957,PAR!$AA$3:$AC$187,3,FALSE),"nincs főkönyvi számla")</f>
        <v>nincs főkönyvi számla</v>
      </c>
      <c r="R957" t="str">
        <f>IFERROR(VLOOKUP(K957,PAR!$V$3:$X$438,3,FALSE),"000000 - Nincs COFOG")</f>
        <v>000000 - Nincs COFOG</v>
      </c>
      <c r="S957">
        <f t="shared" si="278"/>
        <v>0</v>
      </c>
      <c r="T957">
        <f t="shared" si="279"/>
        <v>0</v>
      </c>
      <c r="U957" t="str">
        <f>IF('906MP'!J657&gt;0,CONCATENATE('906MP'!J657," - ",'906MP'!P657,", ",'906MP'!E657),"nincs megjegyzés")</f>
        <v>nincs megjegyzés</v>
      </c>
      <c r="V957" t="str">
        <f t="shared" si="266"/>
        <v>0P0</v>
      </c>
      <c r="W957" t="str">
        <f t="shared" si="267"/>
        <v>0P0</v>
      </c>
      <c r="X957" t="str">
        <f t="shared" si="268"/>
        <v>P0</v>
      </c>
      <c r="Y957" t="str">
        <f t="shared" si="269"/>
        <v>00</v>
      </c>
      <c r="Z957" t="str">
        <f t="shared" si="280"/>
        <v>00</v>
      </c>
      <c r="AA957" t="str">
        <f t="shared" si="270"/>
        <v>00</v>
      </c>
      <c r="AB957" t="str">
        <f t="shared" si="271"/>
        <v>00</v>
      </c>
      <c r="AC957" t="str">
        <f t="shared" si="272"/>
        <v>0P0</v>
      </c>
      <c r="AD957" t="str">
        <f t="shared" si="273"/>
        <v>P00</v>
      </c>
      <c r="AE957" t="str">
        <f t="shared" si="274"/>
        <v>0P0</v>
      </c>
      <c r="AF957" t="str">
        <f t="shared" si="275"/>
        <v>P00</v>
      </c>
      <c r="AG957" t="str">
        <f t="shared" si="281"/>
        <v>0P00</v>
      </c>
      <c r="AH957" t="str">
        <f t="shared" si="282"/>
        <v>P000</v>
      </c>
      <c r="AI957" t="str">
        <f t="shared" si="283"/>
        <v>0P00</v>
      </c>
      <c r="AJ957" t="str">
        <f t="shared" si="284"/>
        <v>P000</v>
      </c>
    </row>
    <row r="958" spans="1:36" x14ac:dyDescent="0.25">
      <c r="A958" s="325" t="str">
        <f>CONCATENATE("P",'906MP'!M658)</f>
        <v>P</v>
      </c>
      <c r="B958">
        <f>'906MP'!H658</f>
        <v>0</v>
      </c>
      <c r="C958">
        <f>'906MP'!J658</f>
        <v>0</v>
      </c>
      <c r="D958">
        <f>'906MP'!P658</f>
        <v>0</v>
      </c>
      <c r="E958">
        <f>'906MP'!X658</f>
        <v>0</v>
      </c>
      <c r="F958" t="str">
        <f t="shared" si="276"/>
        <v>0</v>
      </c>
      <c r="G958" t="str">
        <f t="shared" si="277"/>
        <v>0</v>
      </c>
      <c r="H958">
        <f>'906MP'!Y658</f>
        <v>0</v>
      </c>
      <c r="I958">
        <f>'906MP'!AK658</f>
        <v>0</v>
      </c>
      <c r="J958">
        <f>'906MP'!T658</f>
        <v>0</v>
      </c>
      <c r="K958">
        <f>'906MP'!AJ658</f>
        <v>0</v>
      </c>
      <c r="L958">
        <f>'906MP'!U658</f>
        <v>0</v>
      </c>
      <c r="M958" s="322" t="str">
        <f>IFERROR(VLOOKUP(A958,PAR!$D$3:$E$53,2,FALSE),"nincs szervezet")</f>
        <v>nincs szervezet</v>
      </c>
      <c r="N958" s="322" t="str">
        <f>VLOOKUP(F958,PAR!$R$3:$S$5,2,FALSE)</f>
        <v>3 - egyik sem</v>
      </c>
      <c r="O958" t="str">
        <f>IFERROR(VLOOKUP(J958,PAR!$O$3:$P$5,2,FALSE),"nincs feladat")</f>
        <v>nincs feladat</v>
      </c>
      <c r="P958" t="str">
        <f>IFERROR(VLOOKUP(G958,PAR!$J$2:$M$19,4),"nincs rovat")</f>
        <v>nincs rovat</v>
      </c>
      <c r="Q958" t="str">
        <f>IF(H958&gt;0,VLOOKUP(H958,PAR!$AA$3:$AC$187,3,FALSE),"nincs főkönyvi számla")</f>
        <v>nincs főkönyvi számla</v>
      </c>
      <c r="R958" t="str">
        <f>IFERROR(VLOOKUP(K958,PAR!$V$3:$X$438,3,FALSE),"000000 - Nincs COFOG")</f>
        <v>000000 - Nincs COFOG</v>
      </c>
      <c r="S958">
        <f t="shared" si="278"/>
        <v>0</v>
      </c>
      <c r="T958">
        <f t="shared" si="279"/>
        <v>0</v>
      </c>
      <c r="U958" t="str">
        <f>IF('906MP'!J658&gt;0,CONCATENATE('906MP'!J658," - ",'906MP'!P658,", ",'906MP'!E658),"nincs megjegyzés")</f>
        <v>nincs megjegyzés</v>
      </c>
      <c r="V958" t="str">
        <f t="shared" si="266"/>
        <v>0P0</v>
      </c>
      <c r="W958" t="str">
        <f t="shared" si="267"/>
        <v>0P0</v>
      </c>
      <c r="X958" t="str">
        <f t="shared" si="268"/>
        <v>P0</v>
      </c>
      <c r="Y958" t="str">
        <f t="shared" si="269"/>
        <v>00</v>
      </c>
      <c r="Z958" t="str">
        <f t="shared" si="280"/>
        <v>00</v>
      </c>
      <c r="AA958" t="str">
        <f t="shared" si="270"/>
        <v>00</v>
      </c>
      <c r="AB958" t="str">
        <f t="shared" si="271"/>
        <v>00</v>
      </c>
      <c r="AC958" t="str">
        <f t="shared" si="272"/>
        <v>0P0</v>
      </c>
      <c r="AD958" t="str">
        <f t="shared" si="273"/>
        <v>P00</v>
      </c>
      <c r="AE958" t="str">
        <f t="shared" si="274"/>
        <v>0P0</v>
      </c>
      <c r="AF958" t="str">
        <f t="shared" si="275"/>
        <v>P00</v>
      </c>
      <c r="AG958" t="str">
        <f t="shared" si="281"/>
        <v>0P00</v>
      </c>
      <c r="AH958" t="str">
        <f t="shared" si="282"/>
        <v>P000</v>
      </c>
      <c r="AI958" t="str">
        <f t="shared" si="283"/>
        <v>0P00</v>
      </c>
      <c r="AJ958" t="str">
        <f t="shared" si="284"/>
        <v>P000</v>
      </c>
    </row>
    <row r="959" spans="1:36" x14ac:dyDescent="0.25">
      <c r="A959" s="325" t="str">
        <f>CONCATENATE("P",'906MP'!M659)</f>
        <v>P</v>
      </c>
      <c r="B959">
        <f>'906MP'!H659</f>
        <v>0</v>
      </c>
      <c r="C959">
        <f>'906MP'!J659</f>
        <v>0</v>
      </c>
      <c r="D959">
        <f>'906MP'!P659</f>
        <v>0</v>
      </c>
      <c r="E959">
        <f>'906MP'!X659</f>
        <v>0</v>
      </c>
      <c r="F959" t="str">
        <f t="shared" si="276"/>
        <v>0</v>
      </c>
      <c r="G959" t="str">
        <f t="shared" si="277"/>
        <v>0</v>
      </c>
      <c r="H959">
        <f>'906MP'!Y659</f>
        <v>0</v>
      </c>
      <c r="I959">
        <f>'906MP'!AK659</f>
        <v>0</v>
      </c>
      <c r="J959">
        <f>'906MP'!T659</f>
        <v>0</v>
      </c>
      <c r="K959">
        <f>'906MP'!AJ659</f>
        <v>0</v>
      </c>
      <c r="L959">
        <f>'906MP'!U659</f>
        <v>0</v>
      </c>
      <c r="M959" s="322" t="str">
        <f>IFERROR(VLOOKUP(A959,PAR!$D$3:$E$53,2,FALSE),"nincs szervezet")</f>
        <v>nincs szervezet</v>
      </c>
      <c r="N959" s="322" t="str">
        <f>VLOOKUP(F959,PAR!$R$3:$S$5,2,FALSE)</f>
        <v>3 - egyik sem</v>
      </c>
      <c r="O959" t="str">
        <f>IFERROR(VLOOKUP(J959,PAR!$O$3:$P$5,2,FALSE),"nincs feladat")</f>
        <v>nincs feladat</v>
      </c>
      <c r="P959" t="str">
        <f>IFERROR(VLOOKUP(G959,PAR!$J$2:$M$19,4),"nincs rovat")</f>
        <v>nincs rovat</v>
      </c>
      <c r="Q959" t="str">
        <f>IF(H959&gt;0,VLOOKUP(H959,PAR!$AA$3:$AC$187,3,FALSE),"nincs főkönyvi számla")</f>
        <v>nincs főkönyvi számla</v>
      </c>
      <c r="R959" t="str">
        <f>IFERROR(VLOOKUP(K959,PAR!$V$3:$X$438,3,FALSE),"000000 - Nincs COFOG")</f>
        <v>000000 - Nincs COFOG</v>
      </c>
      <c r="S959">
        <f t="shared" si="278"/>
        <v>0</v>
      </c>
      <c r="T959">
        <f t="shared" si="279"/>
        <v>0</v>
      </c>
      <c r="U959" t="str">
        <f>IF('906MP'!J659&gt;0,CONCATENATE('906MP'!J659," - ",'906MP'!P659,", ",'906MP'!E659),"nincs megjegyzés")</f>
        <v>nincs megjegyzés</v>
      </c>
      <c r="V959" t="str">
        <f t="shared" si="266"/>
        <v>0P0</v>
      </c>
      <c r="W959" t="str">
        <f t="shared" si="267"/>
        <v>0P0</v>
      </c>
      <c r="X959" t="str">
        <f t="shared" si="268"/>
        <v>P0</v>
      </c>
      <c r="Y959" t="str">
        <f t="shared" si="269"/>
        <v>00</v>
      </c>
      <c r="Z959" t="str">
        <f t="shared" si="280"/>
        <v>00</v>
      </c>
      <c r="AA959" t="str">
        <f t="shared" si="270"/>
        <v>00</v>
      </c>
      <c r="AB959" t="str">
        <f t="shared" si="271"/>
        <v>00</v>
      </c>
      <c r="AC959" t="str">
        <f t="shared" si="272"/>
        <v>0P0</v>
      </c>
      <c r="AD959" t="str">
        <f t="shared" si="273"/>
        <v>P00</v>
      </c>
      <c r="AE959" t="str">
        <f t="shared" si="274"/>
        <v>0P0</v>
      </c>
      <c r="AF959" t="str">
        <f t="shared" si="275"/>
        <v>P00</v>
      </c>
      <c r="AG959" t="str">
        <f t="shared" si="281"/>
        <v>0P00</v>
      </c>
      <c r="AH959" t="str">
        <f t="shared" si="282"/>
        <v>P000</v>
      </c>
      <c r="AI959" t="str">
        <f t="shared" si="283"/>
        <v>0P00</v>
      </c>
      <c r="AJ959" t="str">
        <f t="shared" si="284"/>
        <v>P000</v>
      </c>
    </row>
    <row r="960" spans="1:36" x14ac:dyDescent="0.25">
      <c r="A960" s="325" t="str">
        <f>CONCATENATE("P",'906MP'!M660)</f>
        <v>P</v>
      </c>
      <c r="B960">
        <f>'906MP'!H660</f>
        <v>0</v>
      </c>
      <c r="C960">
        <f>'906MP'!J660</f>
        <v>0</v>
      </c>
      <c r="D960">
        <f>'906MP'!P660</f>
        <v>0</v>
      </c>
      <c r="E960">
        <f>'906MP'!X660</f>
        <v>0</v>
      </c>
      <c r="F960" t="str">
        <f t="shared" si="276"/>
        <v>0</v>
      </c>
      <c r="G960" t="str">
        <f t="shared" si="277"/>
        <v>0</v>
      </c>
      <c r="H960">
        <f>'906MP'!Y660</f>
        <v>0</v>
      </c>
      <c r="I960">
        <f>'906MP'!AK660</f>
        <v>0</v>
      </c>
      <c r="J960">
        <f>'906MP'!T660</f>
        <v>0</v>
      </c>
      <c r="K960">
        <f>'906MP'!AJ660</f>
        <v>0</v>
      </c>
      <c r="L960">
        <f>'906MP'!U660</f>
        <v>0</v>
      </c>
      <c r="M960" s="322" t="str">
        <f>IFERROR(VLOOKUP(A960,PAR!$D$3:$E$53,2,FALSE),"nincs szervezet")</f>
        <v>nincs szervezet</v>
      </c>
      <c r="N960" s="322" t="str">
        <f>VLOOKUP(F960,PAR!$R$3:$S$5,2,FALSE)</f>
        <v>3 - egyik sem</v>
      </c>
      <c r="O960" t="str">
        <f>IFERROR(VLOOKUP(J960,PAR!$O$3:$P$5,2,FALSE),"nincs feladat")</f>
        <v>nincs feladat</v>
      </c>
      <c r="P960" t="str">
        <f>IFERROR(VLOOKUP(G960,PAR!$J$2:$M$19,4),"nincs rovat")</f>
        <v>nincs rovat</v>
      </c>
      <c r="Q960" t="str">
        <f>IF(H960&gt;0,VLOOKUP(H960,PAR!$AA$3:$AC$187,3,FALSE),"nincs főkönyvi számla")</f>
        <v>nincs főkönyvi számla</v>
      </c>
      <c r="R960" t="str">
        <f>IFERROR(VLOOKUP(K960,PAR!$V$3:$X$438,3,FALSE),"000000 - Nincs COFOG")</f>
        <v>000000 - Nincs COFOG</v>
      </c>
      <c r="S960">
        <f t="shared" si="278"/>
        <v>0</v>
      </c>
      <c r="T960">
        <f t="shared" si="279"/>
        <v>0</v>
      </c>
      <c r="U960" t="str">
        <f>IF('906MP'!J660&gt;0,CONCATENATE('906MP'!J660," - ",'906MP'!P660,", ",'906MP'!E660),"nincs megjegyzés")</f>
        <v>nincs megjegyzés</v>
      </c>
      <c r="V960" t="str">
        <f t="shared" si="266"/>
        <v>0P0</v>
      </c>
      <c r="W960" t="str">
        <f t="shared" si="267"/>
        <v>0P0</v>
      </c>
      <c r="X960" t="str">
        <f t="shared" si="268"/>
        <v>P0</v>
      </c>
      <c r="Y960" t="str">
        <f t="shared" si="269"/>
        <v>00</v>
      </c>
      <c r="Z960" t="str">
        <f t="shared" si="280"/>
        <v>00</v>
      </c>
      <c r="AA960" t="str">
        <f t="shared" si="270"/>
        <v>00</v>
      </c>
      <c r="AB960" t="str">
        <f t="shared" si="271"/>
        <v>00</v>
      </c>
      <c r="AC960" t="str">
        <f t="shared" si="272"/>
        <v>0P0</v>
      </c>
      <c r="AD960" t="str">
        <f t="shared" si="273"/>
        <v>P00</v>
      </c>
      <c r="AE960" t="str">
        <f t="shared" si="274"/>
        <v>0P0</v>
      </c>
      <c r="AF960" t="str">
        <f t="shared" si="275"/>
        <v>P00</v>
      </c>
      <c r="AG960" t="str">
        <f t="shared" si="281"/>
        <v>0P00</v>
      </c>
      <c r="AH960" t="str">
        <f t="shared" si="282"/>
        <v>P000</v>
      </c>
      <c r="AI960" t="str">
        <f t="shared" si="283"/>
        <v>0P00</v>
      </c>
      <c r="AJ960" t="str">
        <f t="shared" si="284"/>
        <v>P000</v>
      </c>
    </row>
    <row r="961" spans="1:36" x14ac:dyDescent="0.25">
      <c r="A961" s="325" t="str">
        <f>CONCATENATE("P",'906MP'!M661)</f>
        <v>P</v>
      </c>
      <c r="B961">
        <f>'906MP'!H661</f>
        <v>0</v>
      </c>
      <c r="C961">
        <f>'906MP'!J661</f>
        <v>0</v>
      </c>
      <c r="D961">
        <f>'906MP'!P661</f>
        <v>0</v>
      </c>
      <c r="E961">
        <f>'906MP'!X661</f>
        <v>0</v>
      </c>
      <c r="F961" t="str">
        <f t="shared" si="276"/>
        <v>0</v>
      </c>
      <c r="G961" t="str">
        <f t="shared" si="277"/>
        <v>0</v>
      </c>
      <c r="H961">
        <f>'906MP'!Y661</f>
        <v>0</v>
      </c>
      <c r="I961">
        <f>'906MP'!AK661</f>
        <v>0</v>
      </c>
      <c r="J961">
        <f>'906MP'!T661</f>
        <v>0</v>
      </c>
      <c r="K961">
        <f>'906MP'!AJ661</f>
        <v>0</v>
      </c>
      <c r="L961">
        <f>'906MP'!U661</f>
        <v>0</v>
      </c>
      <c r="M961" s="322" t="str">
        <f>IFERROR(VLOOKUP(A961,PAR!$D$3:$E$53,2,FALSE),"nincs szervezet")</f>
        <v>nincs szervezet</v>
      </c>
      <c r="N961" s="322" t="str">
        <f>VLOOKUP(F961,PAR!$R$3:$S$5,2,FALSE)</f>
        <v>3 - egyik sem</v>
      </c>
      <c r="O961" t="str">
        <f>IFERROR(VLOOKUP(J961,PAR!$O$3:$P$5,2,FALSE),"nincs feladat")</f>
        <v>nincs feladat</v>
      </c>
      <c r="P961" t="str">
        <f>IFERROR(VLOOKUP(G961,PAR!$J$2:$M$19,4),"nincs rovat")</f>
        <v>nincs rovat</v>
      </c>
      <c r="Q961" t="str">
        <f>IF(H961&gt;0,VLOOKUP(H961,PAR!$AA$3:$AC$187,3,FALSE),"nincs főkönyvi számla")</f>
        <v>nincs főkönyvi számla</v>
      </c>
      <c r="R961" t="str">
        <f>IFERROR(VLOOKUP(K961,PAR!$V$3:$X$438,3,FALSE),"000000 - Nincs COFOG")</f>
        <v>000000 - Nincs COFOG</v>
      </c>
      <c r="S961">
        <f t="shared" si="278"/>
        <v>0</v>
      </c>
      <c r="T961">
        <f t="shared" si="279"/>
        <v>0</v>
      </c>
      <c r="U961" t="str">
        <f>IF('906MP'!J661&gt;0,CONCATENATE('906MP'!J661," - ",'906MP'!P661,", ",'906MP'!E661),"nincs megjegyzés")</f>
        <v>nincs megjegyzés</v>
      </c>
      <c r="V961" t="str">
        <f t="shared" si="266"/>
        <v>0P0</v>
      </c>
      <c r="W961" t="str">
        <f t="shared" si="267"/>
        <v>0P0</v>
      </c>
      <c r="X961" t="str">
        <f t="shared" si="268"/>
        <v>P0</v>
      </c>
      <c r="Y961" t="str">
        <f t="shared" si="269"/>
        <v>00</v>
      </c>
      <c r="Z961" t="str">
        <f t="shared" si="280"/>
        <v>00</v>
      </c>
      <c r="AA961" t="str">
        <f t="shared" si="270"/>
        <v>00</v>
      </c>
      <c r="AB961" t="str">
        <f t="shared" si="271"/>
        <v>00</v>
      </c>
      <c r="AC961" t="str">
        <f t="shared" si="272"/>
        <v>0P0</v>
      </c>
      <c r="AD961" t="str">
        <f t="shared" si="273"/>
        <v>P00</v>
      </c>
      <c r="AE961" t="str">
        <f t="shared" si="274"/>
        <v>0P0</v>
      </c>
      <c r="AF961" t="str">
        <f t="shared" si="275"/>
        <v>P00</v>
      </c>
      <c r="AG961" t="str">
        <f t="shared" si="281"/>
        <v>0P00</v>
      </c>
      <c r="AH961" t="str">
        <f t="shared" si="282"/>
        <v>P000</v>
      </c>
      <c r="AI961" t="str">
        <f t="shared" si="283"/>
        <v>0P00</v>
      </c>
      <c r="AJ961" t="str">
        <f t="shared" si="284"/>
        <v>P000</v>
      </c>
    </row>
    <row r="962" spans="1:36" x14ac:dyDescent="0.25">
      <c r="A962" s="325" t="str">
        <f>CONCATENATE("P",'906MP'!M662)</f>
        <v>P</v>
      </c>
      <c r="B962">
        <f>'906MP'!H662</f>
        <v>0</v>
      </c>
      <c r="C962">
        <f>'906MP'!J662</f>
        <v>0</v>
      </c>
      <c r="D962">
        <f>'906MP'!P662</f>
        <v>0</v>
      </c>
      <c r="E962">
        <f>'906MP'!X662</f>
        <v>0</v>
      </c>
      <c r="F962" t="str">
        <f t="shared" si="276"/>
        <v>0</v>
      </c>
      <c r="G962" t="str">
        <f t="shared" si="277"/>
        <v>0</v>
      </c>
      <c r="H962">
        <f>'906MP'!Y662</f>
        <v>0</v>
      </c>
      <c r="I962">
        <f>'906MP'!AK662</f>
        <v>0</v>
      </c>
      <c r="J962">
        <f>'906MP'!T662</f>
        <v>0</v>
      </c>
      <c r="K962">
        <f>'906MP'!AJ662</f>
        <v>0</v>
      </c>
      <c r="L962">
        <f>'906MP'!U662</f>
        <v>0</v>
      </c>
      <c r="M962" s="322" t="str">
        <f>IFERROR(VLOOKUP(A962,PAR!$D$3:$E$53,2,FALSE),"nincs szervezet")</f>
        <v>nincs szervezet</v>
      </c>
      <c r="N962" s="322" t="str">
        <f>VLOOKUP(F962,PAR!$R$3:$S$5,2,FALSE)</f>
        <v>3 - egyik sem</v>
      </c>
      <c r="O962" t="str">
        <f>IFERROR(VLOOKUP(J962,PAR!$O$3:$P$5,2,FALSE),"nincs feladat")</f>
        <v>nincs feladat</v>
      </c>
      <c r="P962" t="str">
        <f>IFERROR(VLOOKUP(G962,PAR!$J$2:$M$19,4),"nincs rovat")</f>
        <v>nincs rovat</v>
      </c>
      <c r="Q962" t="str">
        <f>IF(H962&gt;0,VLOOKUP(H962,PAR!$AA$3:$AC$187,3,FALSE),"nincs főkönyvi számla")</f>
        <v>nincs főkönyvi számla</v>
      </c>
      <c r="R962" t="str">
        <f>IFERROR(VLOOKUP(K962,PAR!$V$3:$X$438,3,FALSE),"000000 - Nincs COFOG")</f>
        <v>000000 - Nincs COFOG</v>
      </c>
      <c r="S962">
        <f t="shared" si="278"/>
        <v>0</v>
      </c>
      <c r="T962">
        <f t="shared" si="279"/>
        <v>0</v>
      </c>
      <c r="U962" t="str">
        <f>IF('906MP'!J662&gt;0,CONCATENATE('906MP'!J662," - ",'906MP'!P662,", ",'906MP'!E662),"nincs megjegyzés")</f>
        <v>nincs megjegyzés</v>
      </c>
      <c r="V962" t="str">
        <f t="shared" ref="V962:V1025" si="285">CONCATENATE(B962,A962,G962)</f>
        <v>0P0</v>
      </c>
      <c r="W962" t="str">
        <f t="shared" ref="W962:W1025" si="286">CONCATENATE(B962,A962,F962)</f>
        <v>0P0</v>
      </c>
      <c r="X962" t="str">
        <f t="shared" ref="X962:X1025" si="287">CONCATENATE(A962,H962)</f>
        <v>P0</v>
      </c>
      <c r="Y962" t="str">
        <f t="shared" ref="Y962:Y1025" si="288">CONCATENATE(B962,H962)</f>
        <v>00</v>
      </c>
      <c r="Z962" t="str">
        <f t="shared" si="280"/>
        <v>00</v>
      </c>
      <c r="AA962" t="str">
        <f t="shared" ref="AA962:AA1025" si="289">CONCATENATE(B962,G962)</f>
        <v>00</v>
      </c>
      <c r="AB962" t="str">
        <f t="shared" ref="AB962:AB1025" si="290">CONCATENATE(J962,G962)</f>
        <v>00</v>
      </c>
      <c r="AC962" t="str">
        <f t="shared" ref="AC962:AC1025" si="291">CONCATENATE(B962,A962,H962)</f>
        <v>0P0</v>
      </c>
      <c r="AD962" t="str">
        <f t="shared" ref="AD962:AD1025" si="292">CONCATENATE(A962,H962,J962)</f>
        <v>P00</v>
      </c>
      <c r="AE962" t="str">
        <f t="shared" ref="AE962:AE1025" si="293">CONCATENATE(B962,A962,G962)</f>
        <v>0P0</v>
      </c>
      <c r="AF962" t="str">
        <f t="shared" ref="AF962:AF1025" si="294">CONCATENATE(A962,G962,J962)</f>
        <v>P00</v>
      </c>
      <c r="AG962" t="str">
        <f t="shared" si="281"/>
        <v>0P00</v>
      </c>
      <c r="AH962" t="str">
        <f t="shared" si="282"/>
        <v>P000</v>
      </c>
      <c r="AI962" t="str">
        <f t="shared" si="283"/>
        <v>0P00</v>
      </c>
      <c r="AJ962" t="str">
        <f t="shared" si="284"/>
        <v>P000</v>
      </c>
    </row>
    <row r="963" spans="1:36" x14ac:dyDescent="0.25">
      <c r="A963" s="325" t="str">
        <f>CONCATENATE("P",'906MP'!M663)</f>
        <v>P</v>
      </c>
      <c r="B963">
        <f>'906MP'!H663</f>
        <v>0</v>
      </c>
      <c r="C963">
        <f>'906MP'!J663</f>
        <v>0</v>
      </c>
      <c r="D963">
        <f>'906MP'!P663</f>
        <v>0</v>
      </c>
      <c r="E963">
        <f>'906MP'!X663</f>
        <v>0</v>
      </c>
      <c r="F963" t="str">
        <f t="shared" ref="F963:F1026" si="295">LEFT(G963,2)</f>
        <v>0</v>
      </c>
      <c r="G963" t="str">
        <f t="shared" ref="G963:G1026" si="296">LEFT(H963,3)</f>
        <v>0</v>
      </c>
      <c r="H963">
        <f>'906MP'!Y663</f>
        <v>0</v>
      </c>
      <c r="I963">
        <f>'906MP'!AK663</f>
        <v>0</v>
      </c>
      <c r="J963">
        <f>'906MP'!T663</f>
        <v>0</v>
      </c>
      <c r="K963">
        <f>'906MP'!AJ663</f>
        <v>0</v>
      </c>
      <c r="L963">
        <f>'906MP'!U663</f>
        <v>0</v>
      </c>
      <c r="M963" s="322" t="str">
        <f>IFERROR(VLOOKUP(A963,PAR!$D$3:$E$53,2,FALSE),"nincs szervezet")</f>
        <v>nincs szervezet</v>
      </c>
      <c r="N963" s="322" t="str">
        <f>VLOOKUP(F963,PAR!$R$3:$S$5,2,FALSE)</f>
        <v>3 - egyik sem</v>
      </c>
      <c r="O963" t="str">
        <f>IFERROR(VLOOKUP(J963,PAR!$O$3:$P$5,2,FALSE),"nincs feladat")</f>
        <v>nincs feladat</v>
      </c>
      <c r="P963" t="str">
        <f>IFERROR(VLOOKUP(G963,PAR!$J$2:$M$19,4),"nincs rovat")</f>
        <v>nincs rovat</v>
      </c>
      <c r="Q963" t="str">
        <f>IF(H963&gt;0,VLOOKUP(H963,PAR!$AA$3:$AC$187,3,FALSE),"nincs főkönyvi számla")</f>
        <v>nincs főkönyvi számla</v>
      </c>
      <c r="R963" t="str">
        <f>IFERROR(VLOOKUP(K963,PAR!$V$3:$X$438,3,FALSE),"000000 - Nincs COFOG")</f>
        <v>000000 - Nincs COFOG</v>
      </c>
      <c r="S963">
        <f t="shared" ref="S963:S1026" si="297">E963</f>
        <v>0</v>
      </c>
      <c r="T963">
        <f t="shared" ref="T963:T1026" si="298">IF(F963="09",E963*-1,E963)</f>
        <v>0</v>
      </c>
      <c r="U963" t="str">
        <f>IF('906MP'!J663&gt;0,CONCATENATE('906MP'!J663," - ",'906MP'!P663,", ",'906MP'!E663),"nincs megjegyzés")</f>
        <v>nincs megjegyzés</v>
      </c>
      <c r="V963" t="str">
        <f t="shared" si="285"/>
        <v>0P0</v>
      </c>
      <c r="W963" t="str">
        <f t="shared" si="286"/>
        <v>0P0</v>
      </c>
      <c r="X963" t="str">
        <f t="shared" si="287"/>
        <v>P0</v>
      </c>
      <c r="Y963" t="str">
        <f t="shared" si="288"/>
        <v>00</v>
      </c>
      <c r="Z963" t="str">
        <f t="shared" ref="Z963:Z1026" si="299">CONCATENATE(J963,H963)</f>
        <v>00</v>
      </c>
      <c r="AA963" t="str">
        <f t="shared" si="289"/>
        <v>00</v>
      </c>
      <c r="AB963" t="str">
        <f t="shared" si="290"/>
        <v>00</v>
      </c>
      <c r="AC963" t="str">
        <f t="shared" si="291"/>
        <v>0P0</v>
      </c>
      <c r="AD963" t="str">
        <f t="shared" si="292"/>
        <v>P00</v>
      </c>
      <c r="AE963" t="str">
        <f t="shared" si="293"/>
        <v>0P0</v>
      </c>
      <c r="AF963" t="str">
        <f t="shared" si="294"/>
        <v>P00</v>
      </c>
      <c r="AG963" t="str">
        <f t="shared" ref="AG963:AG1026" si="300">CONCATENATE(B963,A963,H963,L963)</f>
        <v>0P00</v>
      </c>
      <c r="AH963" t="str">
        <f t="shared" ref="AH963:AH1026" si="301">CONCATENATE(A963,J963,H963,L963)</f>
        <v>P000</v>
      </c>
      <c r="AI963" t="str">
        <f t="shared" ref="AI963:AI1026" si="302">CONCATENATE(B963,A963,G963,L963)</f>
        <v>0P00</v>
      </c>
      <c r="AJ963" t="str">
        <f t="shared" ref="AJ963:AJ1026" si="303">CONCATENATE(A963,G963,J963,L963)</f>
        <v>P000</v>
      </c>
    </row>
    <row r="964" spans="1:36" x14ac:dyDescent="0.25">
      <c r="A964" s="325" t="str">
        <f>CONCATENATE("P",'906MP'!M664)</f>
        <v>P</v>
      </c>
      <c r="B964">
        <f>'906MP'!H664</f>
        <v>0</v>
      </c>
      <c r="C964">
        <f>'906MP'!J664</f>
        <v>0</v>
      </c>
      <c r="D964">
        <f>'906MP'!P664</f>
        <v>0</v>
      </c>
      <c r="E964">
        <f>'906MP'!X664</f>
        <v>0</v>
      </c>
      <c r="F964" t="str">
        <f t="shared" si="295"/>
        <v>0</v>
      </c>
      <c r="G964" t="str">
        <f t="shared" si="296"/>
        <v>0</v>
      </c>
      <c r="H964">
        <f>'906MP'!Y664</f>
        <v>0</v>
      </c>
      <c r="I964">
        <f>'906MP'!AK664</f>
        <v>0</v>
      </c>
      <c r="J964">
        <f>'906MP'!T664</f>
        <v>0</v>
      </c>
      <c r="K964">
        <f>'906MP'!AJ664</f>
        <v>0</v>
      </c>
      <c r="L964">
        <f>'906MP'!U664</f>
        <v>0</v>
      </c>
      <c r="M964" s="322" t="str">
        <f>IFERROR(VLOOKUP(A964,PAR!$D$3:$E$53,2,FALSE),"nincs szervezet")</f>
        <v>nincs szervezet</v>
      </c>
      <c r="N964" s="322" t="str">
        <f>VLOOKUP(F964,PAR!$R$3:$S$5,2,FALSE)</f>
        <v>3 - egyik sem</v>
      </c>
      <c r="O964" t="str">
        <f>IFERROR(VLOOKUP(J964,PAR!$O$3:$P$5,2,FALSE),"nincs feladat")</f>
        <v>nincs feladat</v>
      </c>
      <c r="P964" t="str">
        <f>IFERROR(VLOOKUP(G964,PAR!$J$2:$M$19,4),"nincs rovat")</f>
        <v>nincs rovat</v>
      </c>
      <c r="Q964" t="str">
        <f>IF(H964&gt;0,VLOOKUP(H964,PAR!$AA$3:$AC$187,3,FALSE),"nincs főkönyvi számla")</f>
        <v>nincs főkönyvi számla</v>
      </c>
      <c r="R964" t="str">
        <f>IFERROR(VLOOKUP(K964,PAR!$V$3:$X$438,3,FALSE),"000000 - Nincs COFOG")</f>
        <v>000000 - Nincs COFOG</v>
      </c>
      <c r="S964">
        <f t="shared" si="297"/>
        <v>0</v>
      </c>
      <c r="T964">
        <f t="shared" si="298"/>
        <v>0</v>
      </c>
      <c r="U964" t="str">
        <f>IF('906MP'!J664&gt;0,CONCATENATE('906MP'!J664," - ",'906MP'!P664,", ",'906MP'!E664),"nincs megjegyzés")</f>
        <v>nincs megjegyzés</v>
      </c>
      <c r="V964" t="str">
        <f t="shared" si="285"/>
        <v>0P0</v>
      </c>
      <c r="W964" t="str">
        <f t="shared" si="286"/>
        <v>0P0</v>
      </c>
      <c r="X964" t="str">
        <f t="shared" si="287"/>
        <v>P0</v>
      </c>
      <c r="Y964" t="str">
        <f t="shared" si="288"/>
        <v>00</v>
      </c>
      <c r="Z964" t="str">
        <f t="shared" si="299"/>
        <v>00</v>
      </c>
      <c r="AA964" t="str">
        <f t="shared" si="289"/>
        <v>00</v>
      </c>
      <c r="AB964" t="str">
        <f t="shared" si="290"/>
        <v>00</v>
      </c>
      <c r="AC964" t="str">
        <f t="shared" si="291"/>
        <v>0P0</v>
      </c>
      <c r="AD964" t="str">
        <f t="shared" si="292"/>
        <v>P00</v>
      </c>
      <c r="AE964" t="str">
        <f t="shared" si="293"/>
        <v>0P0</v>
      </c>
      <c r="AF964" t="str">
        <f t="shared" si="294"/>
        <v>P00</v>
      </c>
      <c r="AG964" t="str">
        <f t="shared" si="300"/>
        <v>0P00</v>
      </c>
      <c r="AH964" t="str">
        <f t="shared" si="301"/>
        <v>P000</v>
      </c>
      <c r="AI964" t="str">
        <f t="shared" si="302"/>
        <v>0P00</v>
      </c>
      <c r="AJ964" t="str">
        <f t="shared" si="303"/>
        <v>P000</v>
      </c>
    </row>
    <row r="965" spans="1:36" x14ac:dyDescent="0.25">
      <c r="A965" s="325" t="str">
        <f>CONCATENATE("P",'906MP'!M665)</f>
        <v>P</v>
      </c>
      <c r="B965">
        <f>'906MP'!H665</f>
        <v>0</v>
      </c>
      <c r="C965">
        <f>'906MP'!J665</f>
        <v>0</v>
      </c>
      <c r="D965">
        <f>'906MP'!P665</f>
        <v>0</v>
      </c>
      <c r="E965">
        <f>'906MP'!X665</f>
        <v>0</v>
      </c>
      <c r="F965" t="str">
        <f t="shared" si="295"/>
        <v>0</v>
      </c>
      <c r="G965" t="str">
        <f t="shared" si="296"/>
        <v>0</v>
      </c>
      <c r="H965">
        <f>'906MP'!Y665</f>
        <v>0</v>
      </c>
      <c r="I965">
        <f>'906MP'!AK665</f>
        <v>0</v>
      </c>
      <c r="J965">
        <f>'906MP'!T665</f>
        <v>0</v>
      </c>
      <c r="K965">
        <f>'906MP'!AJ665</f>
        <v>0</v>
      </c>
      <c r="L965">
        <f>'906MP'!U665</f>
        <v>0</v>
      </c>
      <c r="M965" s="322" t="str">
        <f>IFERROR(VLOOKUP(A965,PAR!$D$3:$E$53,2,FALSE),"nincs szervezet")</f>
        <v>nincs szervezet</v>
      </c>
      <c r="N965" s="322" t="str">
        <f>VLOOKUP(F965,PAR!$R$3:$S$5,2,FALSE)</f>
        <v>3 - egyik sem</v>
      </c>
      <c r="O965" t="str">
        <f>IFERROR(VLOOKUP(J965,PAR!$O$3:$P$5,2,FALSE),"nincs feladat")</f>
        <v>nincs feladat</v>
      </c>
      <c r="P965" t="str">
        <f>IFERROR(VLOOKUP(G965,PAR!$J$2:$M$19,4),"nincs rovat")</f>
        <v>nincs rovat</v>
      </c>
      <c r="Q965" t="str">
        <f>IF(H965&gt;0,VLOOKUP(H965,PAR!$AA$3:$AC$187,3,FALSE),"nincs főkönyvi számla")</f>
        <v>nincs főkönyvi számla</v>
      </c>
      <c r="R965" t="str">
        <f>IFERROR(VLOOKUP(K965,PAR!$V$3:$X$438,3,FALSE),"000000 - Nincs COFOG")</f>
        <v>000000 - Nincs COFOG</v>
      </c>
      <c r="S965">
        <f t="shared" si="297"/>
        <v>0</v>
      </c>
      <c r="T965">
        <f t="shared" si="298"/>
        <v>0</v>
      </c>
      <c r="U965" t="str">
        <f>IF('906MP'!J665&gt;0,CONCATENATE('906MP'!J665," - ",'906MP'!P665,", ",'906MP'!E665),"nincs megjegyzés")</f>
        <v>nincs megjegyzés</v>
      </c>
      <c r="V965" t="str">
        <f t="shared" si="285"/>
        <v>0P0</v>
      </c>
      <c r="W965" t="str">
        <f t="shared" si="286"/>
        <v>0P0</v>
      </c>
      <c r="X965" t="str">
        <f t="shared" si="287"/>
        <v>P0</v>
      </c>
      <c r="Y965" t="str">
        <f t="shared" si="288"/>
        <v>00</v>
      </c>
      <c r="Z965" t="str">
        <f t="shared" si="299"/>
        <v>00</v>
      </c>
      <c r="AA965" t="str">
        <f t="shared" si="289"/>
        <v>00</v>
      </c>
      <c r="AB965" t="str">
        <f t="shared" si="290"/>
        <v>00</v>
      </c>
      <c r="AC965" t="str">
        <f t="shared" si="291"/>
        <v>0P0</v>
      </c>
      <c r="AD965" t="str">
        <f t="shared" si="292"/>
        <v>P00</v>
      </c>
      <c r="AE965" t="str">
        <f t="shared" si="293"/>
        <v>0P0</v>
      </c>
      <c r="AF965" t="str">
        <f t="shared" si="294"/>
        <v>P00</v>
      </c>
      <c r="AG965" t="str">
        <f t="shared" si="300"/>
        <v>0P00</v>
      </c>
      <c r="AH965" t="str">
        <f t="shared" si="301"/>
        <v>P000</v>
      </c>
      <c r="AI965" t="str">
        <f t="shared" si="302"/>
        <v>0P00</v>
      </c>
      <c r="AJ965" t="str">
        <f t="shared" si="303"/>
        <v>P000</v>
      </c>
    </row>
    <row r="966" spans="1:36" x14ac:dyDescent="0.25">
      <c r="A966" s="325" t="str">
        <f>CONCATENATE("P",'906MP'!M666)</f>
        <v>P</v>
      </c>
      <c r="B966">
        <f>'906MP'!H666</f>
        <v>0</v>
      </c>
      <c r="C966">
        <f>'906MP'!J666</f>
        <v>0</v>
      </c>
      <c r="D966">
        <f>'906MP'!P666</f>
        <v>0</v>
      </c>
      <c r="E966">
        <f>'906MP'!X666</f>
        <v>0</v>
      </c>
      <c r="F966" t="str">
        <f t="shared" si="295"/>
        <v>0</v>
      </c>
      <c r="G966" t="str">
        <f t="shared" si="296"/>
        <v>0</v>
      </c>
      <c r="H966">
        <f>'906MP'!Y666</f>
        <v>0</v>
      </c>
      <c r="I966">
        <f>'906MP'!AK666</f>
        <v>0</v>
      </c>
      <c r="J966">
        <f>'906MP'!T666</f>
        <v>0</v>
      </c>
      <c r="K966">
        <f>'906MP'!AJ666</f>
        <v>0</v>
      </c>
      <c r="L966">
        <f>'906MP'!U666</f>
        <v>0</v>
      </c>
      <c r="M966" s="322" t="str">
        <f>IFERROR(VLOOKUP(A966,PAR!$D$3:$E$53,2,FALSE),"nincs szervezet")</f>
        <v>nincs szervezet</v>
      </c>
      <c r="N966" s="322" t="str">
        <f>VLOOKUP(F966,PAR!$R$3:$S$5,2,FALSE)</f>
        <v>3 - egyik sem</v>
      </c>
      <c r="O966" t="str">
        <f>IFERROR(VLOOKUP(J966,PAR!$O$3:$P$5,2,FALSE),"nincs feladat")</f>
        <v>nincs feladat</v>
      </c>
      <c r="P966" t="str">
        <f>IFERROR(VLOOKUP(G966,PAR!$J$2:$M$19,4),"nincs rovat")</f>
        <v>nincs rovat</v>
      </c>
      <c r="Q966" t="str">
        <f>IF(H966&gt;0,VLOOKUP(H966,PAR!$AA$3:$AC$187,3,FALSE),"nincs főkönyvi számla")</f>
        <v>nincs főkönyvi számla</v>
      </c>
      <c r="R966" t="str">
        <f>IFERROR(VLOOKUP(K966,PAR!$V$3:$X$438,3,FALSE),"000000 - Nincs COFOG")</f>
        <v>000000 - Nincs COFOG</v>
      </c>
      <c r="S966">
        <f t="shared" si="297"/>
        <v>0</v>
      </c>
      <c r="T966">
        <f t="shared" si="298"/>
        <v>0</v>
      </c>
      <c r="U966" t="str">
        <f>IF('906MP'!J666&gt;0,CONCATENATE('906MP'!J666," - ",'906MP'!P666,", ",'906MP'!E666),"nincs megjegyzés")</f>
        <v>nincs megjegyzés</v>
      </c>
      <c r="V966" t="str">
        <f t="shared" si="285"/>
        <v>0P0</v>
      </c>
      <c r="W966" t="str">
        <f t="shared" si="286"/>
        <v>0P0</v>
      </c>
      <c r="X966" t="str">
        <f t="shared" si="287"/>
        <v>P0</v>
      </c>
      <c r="Y966" t="str">
        <f t="shared" si="288"/>
        <v>00</v>
      </c>
      <c r="Z966" t="str">
        <f t="shared" si="299"/>
        <v>00</v>
      </c>
      <c r="AA966" t="str">
        <f t="shared" si="289"/>
        <v>00</v>
      </c>
      <c r="AB966" t="str">
        <f t="shared" si="290"/>
        <v>00</v>
      </c>
      <c r="AC966" t="str">
        <f t="shared" si="291"/>
        <v>0P0</v>
      </c>
      <c r="AD966" t="str">
        <f t="shared" si="292"/>
        <v>P00</v>
      </c>
      <c r="AE966" t="str">
        <f t="shared" si="293"/>
        <v>0P0</v>
      </c>
      <c r="AF966" t="str">
        <f t="shared" si="294"/>
        <v>P00</v>
      </c>
      <c r="AG966" t="str">
        <f t="shared" si="300"/>
        <v>0P00</v>
      </c>
      <c r="AH966" t="str">
        <f t="shared" si="301"/>
        <v>P000</v>
      </c>
      <c r="AI966" t="str">
        <f t="shared" si="302"/>
        <v>0P00</v>
      </c>
      <c r="AJ966" t="str">
        <f t="shared" si="303"/>
        <v>P000</v>
      </c>
    </row>
    <row r="967" spans="1:36" x14ac:dyDescent="0.25">
      <c r="A967" s="325" t="str">
        <f>CONCATENATE("P",'906MP'!M667)</f>
        <v>P</v>
      </c>
      <c r="B967">
        <f>'906MP'!H667</f>
        <v>0</v>
      </c>
      <c r="C967">
        <f>'906MP'!J667</f>
        <v>0</v>
      </c>
      <c r="D967">
        <f>'906MP'!P667</f>
        <v>0</v>
      </c>
      <c r="E967">
        <f>'906MP'!X667</f>
        <v>0</v>
      </c>
      <c r="F967" t="str">
        <f t="shared" si="295"/>
        <v>0</v>
      </c>
      <c r="G967" t="str">
        <f t="shared" si="296"/>
        <v>0</v>
      </c>
      <c r="H967">
        <f>'906MP'!Y667</f>
        <v>0</v>
      </c>
      <c r="I967">
        <f>'906MP'!AK667</f>
        <v>0</v>
      </c>
      <c r="J967">
        <f>'906MP'!T667</f>
        <v>0</v>
      </c>
      <c r="K967">
        <f>'906MP'!AJ667</f>
        <v>0</v>
      </c>
      <c r="L967">
        <f>'906MP'!U667</f>
        <v>0</v>
      </c>
      <c r="M967" s="322" t="str">
        <f>IFERROR(VLOOKUP(A967,PAR!$D$3:$E$53,2,FALSE),"nincs szervezet")</f>
        <v>nincs szervezet</v>
      </c>
      <c r="N967" s="322" t="str">
        <f>VLOOKUP(F967,PAR!$R$3:$S$5,2,FALSE)</f>
        <v>3 - egyik sem</v>
      </c>
      <c r="O967" t="str">
        <f>IFERROR(VLOOKUP(J967,PAR!$O$3:$P$5,2,FALSE),"nincs feladat")</f>
        <v>nincs feladat</v>
      </c>
      <c r="P967" t="str">
        <f>IFERROR(VLOOKUP(G967,PAR!$J$2:$M$19,4),"nincs rovat")</f>
        <v>nincs rovat</v>
      </c>
      <c r="Q967" t="str">
        <f>IF(H967&gt;0,VLOOKUP(H967,PAR!$AA$3:$AC$187,3,FALSE),"nincs főkönyvi számla")</f>
        <v>nincs főkönyvi számla</v>
      </c>
      <c r="R967" t="str">
        <f>IFERROR(VLOOKUP(K967,PAR!$V$3:$X$438,3,FALSE),"000000 - Nincs COFOG")</f>
        <v>000000 - Nincs COFOG</v>
      </c>
      <c r="S967">
        <f t="shared" si="297"/>
        <v>0</v>
      </c>
      <c r="T967">
        <f t="shared" si="298"/>
        <v>0</v>
      </c>
      <c r="U967" t="str">
        <f>IF('906MP'!J667&gt;0,CONCATENATE('906MP'!J667," - ",'906MP'!P667,", ",'906MP'!E667),"nincs megjegyzés")</f>
        <v>nincs megjegyzés</v>
      </c>
      <c r="V967" t="str">
        <f t="shared" si="285"/>
        <v>0P0</v>
      </c>
      <c r="W967" t="str">
        <f t="shared" si="286"/>
        <v>0P0</v>
      </c>
      <c r="X967" t="str">
        <f t="shared" si="287"/>
        <v>P0</v>
      </c>
      <c r="Y967" t="str">
        <f t="shared" si="288"/>
        <v>00</v>
      </c>
      <c r="Z967" t="str">
        <f t="shared" si="299"/>
        <v>00</v>
      </c>
      <c r="AA967" t="str">
        <f t="shared" si="289"/>
        <v>00</v>
      </c>
      <c r="AB967" t="str">
        <f t="shared" si="290"/>
        <v>00</v>
      </c>
      <c r="AC967" t="str">
        <f t="shared" si="291"/>
        <v>0P0</v>
      </c>
      <c r="AD967" t="str">
        <f t="shared" si="292"/>
        <v>P00</v>
      </c>
      <c r="AE967" t="str">
        <f t="shared" si="293"/>
        <v>0P0</v>
      </c>
      <c r="AF967" t="str">
        <f t="shared" si="294"/>
        <v>P00</v>
      </c>
      <c r="AG967" t="str">
        <f t="shared" si="300"/>
        <v>0P00</v>
      </c>
      <c r="AH967" t="str">
        <f t="shared" si="301"/>
        <v>P000</v>
      </c>
      <c r="AI967" t="str">
        <f t="shared" si="302"/>
        <v>0P00</v>
      </c>
      <c r="AJ967" t="str">
        <f t="shared" si="303"/>
        <v>P000</v>
      </c>
    </row>
    <row r="968" spans="1:36" x14ac:dyDescent="0.25">
      <c r="A968" s="325" t="str">
        <f>CONCATENATE("P",'906MP'!M668)</f>
        <v>P</v>
      </c>
      <c r="B968">
        <f>'906MP'!H668</f>
        <v>0</v>
      </c>
      <c r="C968">
        <f>'906MP'!J668</f>
        <v>0</v>
      </c>
      <c r="D968">
        <f>'906MP'!P668</f>
        <v>0</v>
      </c>
      <c r="E968">
        <f>'906MP'!X668</f>
        <v>0</v>
      </c>
      <c r="F968" t="str">
        <f t="shared" si="295"/>
        <v>0</v>
      </c>
      <c r="G968" t="str">
        <f t="shared" si="296"/>
        <v>0</v>
      </c>
      <c r="H968">
        <f>'906MP'!Y668</f>
        <v>0</v>
      </c>
      <c r="I968">
        <f>'906MP'!AK668</f>
        <v>0</v>
      </c>
      <c r="J968">
        <f>'906MP'!T668</f>
        <v>0</v>
      </c>
      <c r="K968">
        <f>'906MP'!AJ668</f>
        <v>0</v>
      </c>
      <c r="L968">
        <f>'906MP'!U668</f>
        <v>0</v>
      </c>
      <c r="M968" s="322" t="str">
        <f>IFERROR(VLOOKUP(A968,PAR!$D$3:$E$53,2,FALSE),"nincs szervezet")</f>
        <v>nincs szervezet</v>
      </c>
      <c r="N968" s="322" t="str">
        <f>VLOOKUP(F968,PAR!$R$3:$S$5,2,FALSE)</f>
        <v>3 - egyik sem</v>
      </c>
      <c r="O968" t="str">
        <f>IFERROR(VLOOKUP(J968,PAR!$O$3:$P$5,2,FALSE),"nincs feladat")</f>
        <v>nincs feladat</v>
      </c>
      <c r="P968" t="str">
        <f>IFERROR(VLOOKUP(G968,PAR!$J$2:$M$19,4),"nincs rovat")</f>
        <v>nincs rovat</v>
      </c>
      <c r="Q968" t="str">
        <f>IF(H968&gt;0,VLOOKUP(H968,PAR!$AA$3:$AC$187,3,FALSE),"nincs főkönyvi számla")</f>
        <v>nincs főkönyvi számla</v>
      </c>
      <c r="R968" t="str">
        <f>IFERROR(VLOOKUP(K968,PAR!$V$3:$X$438,3,FALSE),"000000 - Nincs COFOG")</f>
        <v>000000 - Nincs COFOG</v>
      </c>
      <c r="S968">
        <f t="shared" si="297"/>
        <v>0</v>
      </c>
      <c r="T968">
        <f t="shared" si="298"/>
        <v>0</v>
      </c>
      <c r="U968" t="str">
        <f>IF('906MP'!J668&gt;0,CONCATENATE('906MP'!J668," - ",'906MP'!P668,", ",'906MP'!E668),"nincs megjegyzés")</f>
        <v>nincs megjegyzés</v>
      </c>
      <c r="V968" t="str">
        <f t="shared" si="285"/>
        <v>0P0</v>
      </c>
      <c r="W968" t="str">
        <f t="shared" si="286"/>
        <v>0P0</v>
      </c>
      <c r="X968" t="str">
        <f t="shared" si="287"/>
        <v>P0</v>
      </c>
      <c r="Y968" t="str">
        <f t="shared" si="288"/>
        <v>00</v>
      </c>
      <c r="Z968" t="str">
        <f t="shared" si="299"/>
        <v>00</v>
      </c>
      <c r="AA968" t="str">
        <f t="shared" si="289"/>
        <v>00</v>
      </c>
      <c r="AB968" t="str">
        <f t="shared" si="290"/>
        <v>00</v>
      </c>
      <c r="AC968" t="str">
        <f t="shared" si="291"/>
        <v>0P0</v>
      </c>
      <c r="AD968" t="str">
        <f t="shared" si="292"/>
        <v>P00</v>
      </c>
      <c r="AE968" t="str">
        <f t="shared" si="293"/>
        <v>0P0</v>
      </c>
      <c r="AF968" t="str">
        <f t="shared" si="294"/>
        <v>P00</v>
      </c>
      <c r="AG968" t="str">
        <f t="shared" si="300"/>
        <v>0P00</v>
      </c>
      <c r="AH968" t="str">
        <f t="shared" si="301"/>
        <v>P000</v>
      </c>
      <c r="AI968" t="str">
        <f t="shared" si="302"/>
        <v>0P00</v>
      </c>
      <c r="AJ968" t="str">
        <f t="shared" si="303"/>
        <v>P000</v>
      </c>
    </row>
    <row r="969" spans="1:36" x14ac:dyDescent="0.25">
      <c r="A969" s="325" t="str">
        <f>CONCATENATE("P",'906MP'!M669)</f>
        <v>P</v>
      </c>
      <c r="B969">
        <f>'906MP'!H669</f>
        <v>0</v>
      </c>
      <c r="C969">
        <f>'906MP'!J669</f>
        <v>0</v>
      </c>
      <c r="D969">
        <f>'906MP'!P669</f>
        <v>0</v>
      </c>
      <c r="E969">
        <f>'906MP'!X669</f>
        <v>0</v>
      </c>
      <c r="F969" t="str">
        <f t="shared" si="295"/>
        <v>0</v>
      </c>
      <c r="G969" t="str">
        <f t="shared" si="296"/>
        <v>0</v>
      </c>
      <c r="H969">
        <f>'906MP'!Y669</f>
        <v>0</v>
      </c>
      <c r="I969">
        <f>'906MP'!AK669</f>
        <v>0</v>
      </c>
      <c r="J969">
        <f>'906MP'!T669</f>
        <v>0</v>
      </c>
      <c r="K969">
        <f>'906MP'!AJ669</f>
        <v>0</v>
      </c>
      <c r="L969">
        <f>'906MP'!U669</f>
        <v>0</v>
      </c>
      <c r="M969" s="322" t="str">
        <f>IFERROR(VLOOKUP(A969,PAR!$D$3:$E$53,2,FALSE),"nincs szervezet")</f>
        <v>nincs szervezet</v>
      </c>
      <c r="N969" s="322" t="str">
        <f>VLOOKUP(F969,PAR!$R$3:$S$5,2,FALSE)</f>
        <v>3 - egyik sem</v>
      </c>
      <c r="O969" t="str">
        <f>IFERROR(VLOOKUP(J969,PAR!$O$3:$P$5,2,FALSE),"nincs feladat")</f>
        <v>nincs feladat</v>
      </c>
      <c r="P969" t="str">
        <f>IFERROR(VLOOKUP(G969,PAR!$J$2:$M$19,4),"nincs rovat")</f>
        <v>nincs rovat</v>
      </c>
      <c r="Q969" t="str">
        <f>IF(H969&gt;0,VLOOKUP(H969,PAR!$AA$3:$AC$187,3,FALSE),"nincs főkönyvi számla")</f>
        <v>nincs főkönyvi számla</v>
      </c>
      <c r="R969" t="str">
        <f>IFERROR(VLOOKUP(K969,PAR!$V$3:$X$438,3,FALSE),"000000 - Nincs COFOG")</f>
        <v>000000 - Nincs COFOG</v>
      </c>
      <c r="S969">
        <f t="shared" si="297"/>
        <v>0</v>
      </c>
      <c r="T969">
        <f t="shared" si="298"/>
        <v>0</v>
      </c>
      <c r="U969" t="str">
        <f>IF('906MP'!J669&gt;0,CONCATENATE('906MP'!J669," - ",'906MP'!P669,", ",'906MP'!E669),"nincs megjegyzés")</f>
        <v>nincs megjegyzés</v>
      </c>
      <c r="V969" t="str">
        <f t="shared" si="285"/>
        <v>0P0</v>
      </c>
      <c r="W969" t="str">
        <f t="shared" si="286"/>
        <v>0P0</v>
      </c>
      <c r="X969" t="str">
        <f t="shared" si="287"/>
        <v>P0</v>
      </c>
      <c r="Y969" t="str">
        <f t="shared" si="288"/>
        <v>00</v>
      </c>
      <c r="Z969" t="str">
        <f t="shared" si="299"/>
        <v>00</v>
      </c>
      <c r="AA969" t="str">
        <f t="shared" si="289"/>
        <v>00</v>
      </c>
      <c r="AB969" t="str">
        <f t="shared" si="290"/>
        <v>00</v>
      </c>
      <c r="AC969" t="str">
        <f t="shared" si="291"/>
        <v>0P0</v>
      </c>
      <c r="AD969" t="str">
        <f t="shared" si="292"/>
        <v>P00</v>
      </c>
      <c r="AE969" t="str">
        <f t="shared" si="293"/>
        <v>0P0</v>
      </c>
      <c r="AF969" t="str">
        <f t="shared" si="294"/>
        <v>P00</v>
      </c>
      <c r="AG969" t="str">
        <f t="shared" si="300"/>
        <v>0P00</v>
      </c>
      <c r="AH969" t="str">
        <f t="shared" si="301"/>
        <v>P000</v>
      </c>
      <c r="AI969" t="str">
        <f t="shared" si="302"/>
        <v>0P00</v>
      </c>
      <c r="AJ969" t="str">
        <f t="shared" si="303"/>
        <v>P000</v>
      </c>
    </row>
    <row r="970" spans="1:36" x14ac:dyDescent="0.25">
      <c r="A970" s="325" t="str">
        <f>CONCATENATE("P",'906MP'!M670)</f>
        <v>P</v>
      </c>
      <c r="B970">
        <f>'906MP'!H670</f>
        <v>0</v>
      </c>
      <c r="C970">
        <f>'906MP'!J670</f>
        <v>0</v>
      </c>
      <c r="D970">
        <f>'906MP'!P670</f>
        <v>0</v>
      </c>
      <c r="E970">
        <f>'906MP'!X670</f>
        <v>0</v>
      </c>
      <c r="F970" t="str">
        <f t="shared" si="295"/>
        <v>0</v>
      </c>
      <c r="G970" t="str">
        <f t="shared" si="296"/>
        <v>0</v>
      </c>
      <c r="H970">
        <f>'906MP'!Y670</f>
        <v>0</v>
      </c>
      <c r="I970">
        <f>'906MP'!AK670</f>
        <v>0</v>
      </c>
      <c r="J970">
        <f>'906MP'!T670</f>
        <v>0</v>
      </c>
      <c r="K970">
        <f>'906MP'!AJ670</f>
        <v>0</v>
      </c>
      <c r="L970">
        <f>'906MP'!U670</f>
        <v>0</v>
      </c>
      <c r="M970" s="322" t="str">
        <f>IFERROR(VLOOKUP(A970,PAR!$D$3:$E$53,2,FALSE),"nincs szervezet")</f>
        <v>nincs szervezet</v>
      </c>
      <c r="N970" s="322" t="str">
        <f>VLOOKUP(F970,PAR!$R$3:$S$5,2,FALSE)</f>
        <v>3 - egyik sem</v>
      </c>
      <c r="O970" t="str">
        <f>IFERROR(VLOOKUP(J970,PAR!$O$3:$P$5,2,FALSE),"nincs feladat")</f>
        <v>nincs feladat</v>
      </c>
      <c r="P970" t="str">
        <f>IFERROR(VLOOKUP(G970,PAR!$J$2:$M$19,4),"nincs rovat")</f>
        <v>nincs rovat</v>
      </c>
      <c r="Q970" t="str">
        <f>IF(H970&gt;0,VLOOKUP(H970,PAR!$AA$3:$AC$187,3,FALSE),"nincs főkönyvi számla")</f>
        <v>nincs főkönyvi számla</v>
      </c>
      <c r="R970" t="str">
        <f>IFERROR(VLOOKUP(K970,PAR!$V$3:$X$438,3,FALSE),"000000 - Nincs COFOG")</f>
        <v>000000 - Nincs COFOG</v>
      </c>
      <c r="S970">
        <f t="shared" si="297"/>
        <v>0</v>
      </c>
      <c r="T970">
        <f t="shared" si="298"/>
        <v>0</v>
      </c>
      <c r="U970" t="str">
        <f>IF('906MP'!J670&gt;0,CONCATENATE('906MP'!J670," - ",'906MP'!P670,", ",'906MP'!E670),"nincs megjegyzés")</f>
        <v>nincs megjegyzés</v>
      </c>
      <c r="V970" t="str">
        <f t="shared" si="285"/>
        <v>0P0</v>
      </c>
      <c r="W970" t="str">
        <f t="shared" si="286"/>
        <v>0P0</v>
      </c>
      <c r="X970" t="str">
        <f t="shared" si="287"/>
        <v>P0</v>
      </c>
      <c r="Y970" t="str">
        <f t="shared" si="288"/>
        <v>00</v>
      </c>
      <c r="Z970" t="str">
        <f t="shared" si="299"/>
        <v>00</v>
      </c>
      <c r="AA970" t="str">
        <f t="shared" si="289"/>
        <v>00</v>
      </c>
      <c r="AB970" t="str">
        <f t="shared" si="290"/>
        <v>00</v>
      </c>
      <c r="AC970" t="str">
        <f t="shared" si="291"/>
        <v>0P0</v>
      </c>
      <c r="AD970" t="str">
        <f t="shared" si="292"/>
        <v>P00</v>
      </c>
      <c r="AE970" t="str">
        <f t="shared" si="293"/>
        <v>0P0</v>
      </c>
      <c r="AF970" t="str">
        <f t="shared" si="294"/>
        <v>P00</v>
      </c>
      <c r="AG970" t="str">
        <f t="shared" si="300"/>
        <v>0P00</v>
      </c>
      <c r="AH970" t="str">
        <f t="shared" si="301"/>
        <v>P000</v>
      </c>
      <c r="AI970" t="str">
        <f t="shared" si="302"/>
        <v>0P00</v>
      </c>
      <c r="AJ970" t="str">
        <f t="shared" si="303"/>
        <v>P000</v>
      </c>
    </row>
    <row r="971" spans="1:36" x14ac:dyDescent="0.25">
      <c r="A971" s="325" t="str">
        <f>CONCATENATE("P",'906MP'!M671)</f>
        <v>P</v>
      </c>
      <c r="B971">
        <f>'906MP'!H671</f>
        <v>0</v>
      </c>
      <c r="C971">
        <f>'906MP'!J671</f>
        <v>0</v>
      </c>
      <c r="D971">
        <f>'906MP'!P671</f>
        <v>0</v>
      </c>
      <c r="E971">
        <f>'906MP'!X671</f>
        <v>0</v>
      </c>
      <c r="F971" t="str">
        <f t="shared" si="295"/>
        <v>0</v>
      </c>
      <c r="G971" t="str">
        <f t="shared" si="296"/>
        <v>0</v>
      </c>
      <c r="H971">
        <f>'906MP'!Y671</f>
        <v>0</v>
      </c>
      <c r="I971">
        <f>'906MP'!AK671</f>
        <v>0</v>
      </c>
      <c r="J971">
        <f>'906MP'!T671</f>
        <v>0</v>
      </c>
      <c r="K971">
        <f>'906MP'!AJ671</f>
        <v>0</v>
      </c>
      <c r="L971">
        <f>'906MP'!U671</f>
        <v>0</v>
      </c>
      <c r="M971" s="322" t="str">
        <f>IFERROR(VLOOKUP(A971,PAR!$D$3:$E$53,2,FALSE),"nincs szervezet")</f>
        <v>nincs szervezet</v>
      </c>
      <c r="N971" s="322" t="str">
        <f>VLOOKUP(F971,PAR!$R$3:$S$5,2,FALSE)</f>
        <v>3 - egyik sem</v>
      </c>
      <c r="O971" t="str">
        <f>IFERROR(VLOOKUP(J971,PAR!$O$3:$P$5,2,FALSE),"nincs feladat")</f>
        <v>nincs feladat</v>
      </c>
      <c r="P971" t="str">
        <f>IFERROR(VLOOKUP(G971,PAR!$J$2:$M$19,4),"nincs rovat")</f>
        <v>nincs rovat</v>
      </c>
      <c r="Q971" t="str">
        <f>IF(H971&gt;0,VLOOKUP(H971,PAR!$AA$3:$AC$187,3,FALSE),"nincs főkönyvi számla")</f>
        <v>nincs főkönyvi számla</v>
      </c>
      <c r="R971" t="str">
        <f>IFERROR(VLOOKUP(K971,PAR!$V$3:$X$438,3,FALSE),"000000 - Nincs COFOG")</f>
        <v>000000 - Nincs COFOG</v>
      </c>
      <c r="S971">
        <f t="shared" si="297"/>
        <v>0</v>
      </c>
      <c r="T971">
        <f t="shared" si="298"/>
        <v>0</v>
      </c>
      <c r="U971" t="str">
        <f>IF('906MP'!J671&gt;0,CONCATENATE('906MP'!J671," - ",'906MP'!P671,", ",'906MP'!E671),"nincs megjegyzés")</f>
        <v>nincs megjegyzés</v>
      </c>
      <c r="V971" t="str">
        <f t="shared" si="285"/>
        <v>0P0</v>
      </c>
      <c r="W971" t="str">
        <f t="shared" si="286"/>
        <v>0P0</v>
      </c>
      <c r="X971" t="str">
        <f t="shared" si="287"/>
        <v>P0</v>
      </c>
      <c r="Y971" t="str">
        <f t="shared" si="288"/>
        <v>00</v>
      </c>
      <c r="Z971" t="str">
        <f t="shared" si="299"/>
        <v>00</v>
      </c>
      <c r="AA971" t="str">
        <f t="shared" si="289"/>
        <v>00</v>
      </c>
      <c r="AB971" t="str">
        <f t="shared" si="290"/>
        <v>00</v>
      </c>
      <c r="AC971" t="str">
        <f t="shared" si="291"/>
        <v>0P0</v>
      </c>
      <c r="AD971" t="str">
        <f t="shared" si="292"/>
        <v>P00</v>
      </c>
      <c r="AE971" t="str">
        <f t="shared" si="293"/>
        <v>0P0</v>
      </c>
      <c r="AF971" t="str">
        <f t="shared" si="294"/>
        <v>P00</v>
      </c>
      <c r="AG971" t="str">
        <f t="shared" si="300"/>
        <v>0P00</v>
      </c>
      <c r="AH971" t="str">
        <f t="shared" si="301"/>
        <v>P000</v>
      </c>
      <c r="AI971" t="str">
        <f t="shared" si="302"/>
        <v>0P00</v>
      </c>
      <c r="AJ971" t="str">
        <f t="shared" si="303"/>
        <v>P000</v>
      </c>
    </row>
    <row r="972" spans="1:36" x14ac:dyDescent="0.25">
      <c r="A972" s="325" t="str">
        <f>CONCATENATE("P",'906MP'!M672)</f>
        <v>P</v>
      </c>
      <c r="B972">
        <f>'906MP'!H672</f>
        <v>0</v>
      </c>
      <c r="C972">
        <f>'906MP'!J672</f>
        <v>0</v>
      </c>
      <c r="D972">
        <f>'906MP'!P672</f>
        <v>0</v>
      </c>
      <c r="E972">
        <f>'906MP'!X672</f>
        <v>0</v>
      </c>
      <c r="F972" t="str">
        <f t="shared" si="295"/>
        <v>0</v>
      </c>
      <c r="G972" t="str">
        <f t="shared" si="296"/>
        <v>0</v>
      </c>
      <c r="H972">
        <f>'906MP'!Y672</f>
        <v>0</v>
      </c>
      <c r="I972">
        <f>'906MP'!AK672</f>
        <v>0</v>
      </c>
      <c r="J972">
        <f>'906MP'!T672</f>
        <v>0</v>
      </c>
      <c r="K972">
        <f>'906MP'!AJ672</f>
        <v>0</v>
      </c>
      <c r="L972">
        <f>'906MP'!U672</f>
        <v>0</v>
      </c>
      <c r="M972" s="322" t="str">
        <f>IFERROR(VLOOKUP(A972,PAR!$D$3:$E$53,2,FALSE),"nincs szervezet")</f>
        <v>nincs szervezet</v>
      </c>
      <c r="N972" s="322" t="str">
        <f>VLOOKUP(F972,PAR!$R$3:$S$5,2,FALSE)</f>
        <v>3 - egyik sem</v>
      </c>
      <c r="O972" t="str">
        <f>IFERROR(VLOOKUP(J972,PAR!$O$3:$P$5,2,FALSE),"nincs feladat")</f>
        <v>nincs feladat</v>
      </c>
      <c r="P972" t="str">
        <f>IFERROR(VLOOKUP(G972,PAR!$J$2:$M$19,4),"nincs rovat")</f>
        <v>nincs rovat</v>
      </c>
      <c r="Q972" t="str">
        <f>IF(H972&gt;0,VLOOKUP(H972,PAR!$AA$3:$AC$187,3,FALSE),"nincs főkönyvi számla")</f>
        <v>nincs főkönyvi számla</v>
      </c>
      <c r="R972" t="str">
        <f>IFERROR(VLOOKUP(K972,PAR!$V$3:$X$438,3,FALSE),"000000 - Nincs COFOG")</f>
        <v>000000 - Nincs COFOG</v>
      </c>
      <c r="S972">
        <f t="shared" si="297"/>
        <v>0</v>
      </c>
      <c r="T972">
        <f t="shared" si="298"/>
        <v>0</v>
      </c>
      <c r="U972" t="str">
        <f>IF('906MP'!J672&gt;0,CONCATENATE('906MP'!J672," - ",'906MP'!P672,", ",'906MP'!E672),"nincs megjegyzés")</f>
        <v>nincs megjegyzés</v>
      </c>
      <c r="V972" t="str">
        <f t="shared" si="285"/>
        <v>0P0</v>
      </c>
      <c r="W972" t="str">
        <f t="shared" si="286"/>
        <v>0P0</v>
      </c>
      <c r="X972" t="str">
        <f t="shared" si="287"/>
        <v>P0</v>
      </c>
      <c r="Y972" t="str">
        <f t="shared" si="288"/>
        <v>00</v>
      </c>
      <c r="Z972" t="str">
        <f t="shared" si="299"/>
        <v>00</v>
      </c>
      <c r="AA972" t="str">
        <f t="shared" si="289"/>
        <v>00</v>
      </c>
      <c r="AB972" t="str">
        <f t="shared" si="290"/>
        <v>00</v>
      </c>
      <c r="AC972" t="str">
        <f t="shared" si="291"/>
        <v>0P0</v>
      </c>
      <c r="AD972" t="str">
        <f t="shared" si="292"/>
        <v>P00</v>
      </c>
      <c r="AE972" t="str">
        <f t="shared" si="293"/>
        <v>0P0</v>
      </c>
      <c r="AF972" t="str">
        <f t="shared" si="294"/>
        <v>P00</v>
      </c>
      <c r="AG972" t="str">
        <f t="shared" si="300"/>
        <v>0P00</v>
      </c>
      <c r="AH972" t="str">
        <f t="shared" si="301"/>
        <v>P000</v>
      </c>
      <c r="AI972" t="str">
        <f t="shared" si="302"/>
        <v>0P00</v>
      </c>
      <c r="AJ972" t="str">
        <f t="shared" si="303"/>
        <v>P000</v>
      </c>
    </row>
    <row r="973" spans="1:36" x14ac:dyDescent="0.25">
      <c r="A973" s="325" t="str">
        <f>CONCATENATE("P",'906MP'!M673)</f>
        <v>P</v>
      </c>
      <c r="B973">
        <f>'906MP'!H673</f>
        <v>0</v>
      </c>
      <c r="C973">
        <f>'906MP'!J673</f>
        <v>0</v>
      </c>
      <c r="D973">
        <f>'906MP'!P673</f>
        <v>0</v>
      </c>
      <c r="E973">
        <f>'906MP'!X673</f>
        <v>0</v>
      </c>
      <c r="F973" t="str">
        <f t="shared" si="295"/>
        <v>0</v>
      </c>
      <c r="G973" t="str">
        <f t="shared" si="296"/>
        <v>0</v>
      </c>
      <c r="H973">
        <f>'906MP'!Y673</f>
        <v>0</v>
      </c>
      <c r="I973">
        <f>'906MP'!AK673</f>
        <v>0</v>
      </c>
      <c r="J973">
        <f>'906MP'!T673</f>
        <v>0</v>
      </c>
      <c r="K973">
        <f>'906MP'!AJ673</f>
        <v>0</v>
      </c>
      <c r="L973">
        <f>'906MP'!U673</f>
        <v>0</v>
      </c>
      <c r="M973" s="322" t="str">
        <f>IFERROR(VLOOKUP(A973,PAR!$D$3:$E$53,2,FALSE),"nincs szervezet")</f>
        <v>nincs szervezet</v>
      </c>
      <c r="N973" s="322" t="str">
        <f>VLOOKUP(F973,PAR!$R$3:$S$5,2,FALSE)</f>
        <v>3 - egyik sem</v>
      </c>
      <c r="O973" t="str">
        <f>IFERROR(VLOOKUP(J973,PAR!$O$3:$P$5,2,FALSE),"nincs feladat")</f>
        <v>nincs feladat</v>
      </c>
      <c r="P973" t="str">
        <f>IFERROR(VLOOKUP(G973,PAR!$J$2:$M$19,4),"nincs rovat")</f>
        <v>nincs rovat</v>
      </c>
      <c r="Q973" t="str">
        <f>IF(H973&gt;0,VLOOKUP(H973,PAR!$AA$3:$AC$187,3,FALSE),"nincs főkönyvi számla")</f>
        <v>nincs főkönyvi számla</v>
      </c>
      <c r="R973" t="str">
        <f>IFERROR(VLOOKUP(K973,PAR!$V$3:$X$438,3,FALSE),"000000 - Nincs COFOG")</f>
        <v>000000 - Nincs COFOG</v>
      </c>
      <c r="S973">
        <f t="shared" si="297"/>
        <v>0</v>
      </c>
      <c r="T973">
        <f t="shared" si="298"/>
        <v>0</v>
      </c>
      <c r="U973" t="str">
        <f>IF('906MP'!J673&gt;0,CONCATENATE('906MP'!J673," - ",'906MP'!P673,", ",'906MP'!E673),"nincs megjegyzés")</f>
        <v>nincs megjegyzés</v>
      </c>
      <c r="V973" t="str">
        <f t="shared" si="285"/>
        <v>0P0</v>
      </c>
      <c r="W973" t="str">
        <f t="shared" si="286"/>
        <v>0P0</v>
      </c>
      <c r="X973" t="str">
        <f t="shared" si="287"/>
        <v>P0</v>
      </c>
      <c r="Y973" t="str">
        <f t="shared" si="288"/>
        <v>00</v>
      </c>
      <c r="Z973" t="str">
        <f t="shared" si="299"/>
        <v>00</v>
      </c>
      <c r="AA973" t="str">
        <f t="shared" si="289"/>
        <v>00</v>
      </c>
      <c r="AB973" t="str">
        <f t="shared" si="290"/>
        <v>00</v>
      </c>
      <c r="AC973" t="str">
        <f t="shared" si="291"/>
        <v>0P0</v>
      </c>
      <c r="AD973" t="str">
        <f t="shared" si="292"/>
        <v>P00</v>
      </c>
      <c r="AE973" t="str">
        <f t="shared" si="293"/>
        <v>0P0</v>
      </c>
      <c r="AF973" t="str">
        <f t="shared" si="294"/>
        <v>P00</v>
      </c>
      <c r="AG973" t="str">
        <f t="shared" si="300"/>
        <v>0P00</v>
      </c>
      <c r="AH973" t="str">
        <f t="shared" si="301"/>
        <v>P000</v>
      </c>
      <c r="AI973" t="str">
        <f t="shared" si="302"/>
        <v>0P00</v>
      </c>
      <c r="AJ973" t="str">
        <f t="shared" si="303"/>
        <v>P000</v>
      </c>
    </row>
    <row r="974" spans="1:36" x14ac:dyDescent="0.25">
      <c r="A974" s="325" t="str">
        <f>CONCATENATE("P",'906MP'!M674)</f>
        <v>P</v>
      </c>
      <c r="B974">
        <f>'906MP'!H674</f>
        <v>0</v>
      </c>
      <c r="C974">
        <f>'906MP'!J674</f>
        <v>0</v>
      </c>
      <c r="D974">
        <f>'906MP'!P674</f>
        <v>0</v>
      </c>
      <c r="E974">
        <f>'906MP'!X674</f>
        <v>0</v>
      </c>
      <c r="F974" t="str">
        <f t="shared" si="295"/>
        <v>0</v>
      </c>
      <c r="G974" t="str">
        <f t="shared" si="296"/>
        <v>0</v>
      </c>
      <c r="H974">
        <f>'906MP'!Y674</f>
        <v>0</v>
      </c>
      <c r="I974">
        <f>'906MP'!AK674</f>
        <v>0</v>
      </c>
      <c r="J974">
        <f>'906MP'!T674</f>
        <v>0</v>
      </c>
      <c r="K974">
        <f>'906MP'!AJ674</f>
        <v>0</v>
      </c>
      <c r="L974">
        <f>'906MP'!U674</f>
        <v>0</v>
      </c>
      <c r="M974" s="322" t="str">
        <f>IFERROR(VLOOKUP(A974,PAR!$D$3:$E$53,2,FALSE),"nincs szervezet")</f>
        <v>nincs szervezet</v>
      </c>
      <c r="N974" s="322" t="str">
        <f>VLOOKUP(F974,PAR!$R$3:$S$5,2,FALSE)</f>
        <v>3 - egyik sem</v>
      </c>
      <c r="O974" t="str">
        <f>IFERROR(VLOOKUP(J974,PAR!$O$3:$P$5,2,FALSE),"nincs feladat")</f>
        <v>nincs feladat</v>
      </c>
      <c r="P974" t="str">
        <f>IFERROR(VLOOKUP(G974,PAR!$J$2:$M$19,4),"nincs rovat")</f>
        <v>nincs rovat</v>
      </c>
      <c r="Q974" t="str">
        <f>IF(H974&gt;0,VLOOKUP(H974,PAR!$AA$3:$AC$187,3,FALSE),"nincs főkönyvi számla")</f>
        <v>nincs főkönyvi számla</v>
      </c>
      <c r="R974" t="str">
        <f>IFERROR(VLOOKUP(K974,PAR!$V$3:$X$438,3,FALSE),"000000 - Nincs COFOG")</f>
        <v>000000 - Nincs COFOG</v>
      </c>
      <c r="S974">
        <f t="shared" si="297"/>
        <v>0</v>
      </c>
      <c r="T974">
        <f t="shared" si="298"/>
        <v>0</v>
      </c>
      <c r="U974" t="str">
        <f>IF('906MP'!J674&gt;0,CONCATENATE('906MP'!J674," - ",'906MP'!P674,", ",'906MP'!E674),"nincs megjegyzés")</f>
        <v>nincs megjegyzés</v>
      </c>
      <c r="V974" t="str">
        <f t="shared" si="285"/>
        <v>0P0</v>
      </c>
      <c r="W974" t="str">
        <f t="shared" si="286"/>
        <v>0P0</v>
      </c>
      <c r="X974" t="str">
        <f t="shared" si="287"/>
        <v>P0</v>
      </c>
      <c r="Y974" t="str">
        <f t="shared" si="288"/>
        <v>00</v>
      </c>
      <c r="Z974" t="str">
        <f t="shared" si="299"/>
        <v>00</v>
      </c>
      <c r="AA974" t="str">
        <f t="shared" si="289"/>
        <v>00</v>
      </c>
      <c r="AB974" t="str">
        <f t="shared" si="290"/>
        <v>00</v>
      </c>
      <c r="AC974" t="str">
        <f t="shared" si="291"/>
        <v>0P0</v>
      </c>
      <c r="AD974" t="str">
        <f t="shared" si="292"/>
        <v>P00</v>
      </c>
      <c r="AE974" t="str">
        <f t="shared" si="293"/>
        <v>0P0</v>
      </c>
      <c r="AF974" t="str">
        <f t="shared" si="294"/>
        <v>P00</v>
      </c>
      <c r="AG974" t="str">
        <f t="shared" si="300"/>
        <v>0P00</v>
      </c>
      <c r="AH974" t="str">
        <f t="shared" si="301"/>
        <v>P000</v>
      </c>
      <c r="AI974" t="str">
        <f t="shared" si="302"/>
        <v>0P00</v>
      </c>
      <c r="AJ974" t="str">
        <f t="shared" si="303"/>
        <v>P000</v>
      </c>
    </row>
    <row r="975" spans="1:36" x14ac:dyDescent="0.25">
      <c r="A975" s="325" t="str">
        <f>CONCATENATE("P",'906MP'!M675)</f>
        <v>P</v>
      </c>
      <c r="B975">
        <f>'906MP'!H675</f>
        <v>0</v>
      </c>
      <c r="C975">
        <f>'906MP'!J675</f>
        <v>0</v>
      </c>
      <c r="D975">
        <f>'906MP'!P675</f>
        <v>0</v>
      </c>
      <c r="E975">
        <f>'906MP'!X675</f>
        <v>0</v>
      </c>
      <c r="F975" t="str">
        <f t="shared" si="295"/>
        <v>0</v>
      </c>
      <c r="G975" t="str">
        <f t="shared" si="296"/>
        <v>0</v>
      </c>
      <c r="H975">
        <f>'906MP'!Y675</f>
        <v>0</v>
      </c>
      <c r="I975">
        <f>'906MP'!AK675</f>
        <v>0</v>
      </c>
      <c r="J975">
        <f>'906MP'!T675</f>
        <v>0</v>
      </c>
      <c r="K975">
        <f>'906MP'!AJ675</f>
        <v>0</v>
      </c>
      <c r="L975">
        <f>'906MP'!U675</f>
        <v>0</v>
      </c>
      <c r="M975" s="322" t="str">
        <f>IFERROR(VLOOKUP(A975,PAR!$D$3:$E$53,2,FALSE),"nincs szervezet")</f>
        <v>nincs szervezet</v>
      </c>
      <c r="N975" s="322" t="str">
        <f>VLOOKUP(F975,PAR!$R$3:$S$5,2,FALSE)</f>
        <v>3 - egyik sem</v>
      </c>
      <c r="O975" t="str">
        <f>IFERROR(VLOOKUP(J975,PAR!$O$3:$P$5,2,FALSE),"nincs feladat")</f>
        <v>nincs feladat</v>
      </c>
      <c r="P975" t="str">
        <f>IFERROR(VLOOKUP(G975,PAR!$J$2:$M$19,4),"nincs rovat")</f>
        <v>nincs rovat</v>
      </c>
      <c r="Q975" t="str">
        <f>IF(H975&gt;0,VLOOKUP(H975,PAR!$AA$3:$AC$187,3,FALSE),"nincs főkönyvi számla")</f>
        <v>nincs főkönyvi számla</v>
      </c>
      <c r="R975" t="str">
        <f>IFERROR(VLOOKUP(K975,PAR!$V$3:$X$438,3,FALSE),"000000 - Nincs COFOG")</f>
        <v>000000 - Nincs COFOG</v>
      </c>
      <c r="S975">
        <f t="shared" si="297"/>
        <v>0</v>
      </c>
      <c r="T975">
        <f t="shared" si="298"/>
        <v>0</v>
      </c>
      <c r="U975" t="str">
        <f>IF('906MP'!J675&gt;0,CONCATENATE('906MP'!J675," - ",'906MP'!P675,", ",'906MP'!E675),"nincs megjegyzés")</f>
        <v>nincs megjegyzés</v>
      </c>
      <c r="V975" t="str">
        <f t="shared" si="285"/>
        <v>0P0</v>
      </c>
      <c r="W975" t="str">
        <f t="shared" si="286"/>
        <v>0P0</v>
      </c>
      <c r="X975" t="str">
        <f t="shared" si="287"/>
        <v>P0</v>
      </c>
      <c r="Y975" t="str">
        <f t="shared" si="288"/>
        <v>00</v>
      </c>
      <c r="Z975" t="str">
        <f t="shared" si="299"/>
        <v>00</v>
      </c>
      <c r="AA975" t="str">
        <f t="shared" si="289"/>
        <v>00</v>
      </c>
      <c r="AB975" t="str">
        <f t="shared" si="290"/>
        <v>00</v>
      </c>
      <c r="AC975" t="str">
        <f t="shared" si="291"/>
        <v>0P0</v>
      </c>
      <c r="AD975" t="str">
        <f t="shared" si="292"/>
        <v>P00</v>
      </c>
      <c r="AE975" t="str">
        <f t="shared" si="293"/>
        <v>0P0</v>
      </c>
      <c r="AF975" t="str">
        <f t="shared" si="294"/>
        <v>P00</v>
      </c>
      <c r="AG975" t="str">
        <f t="shared" si="300"/>
        <v>0P00</v>
      </c>
      <c r="AH975" t="str">
        <f t="shared" si="301"/>
        <v>P000</v>
      </c>
      <c r="AI975" t="str">
        <f t="shared" si="302"/>
        <v>0P00</v>
      </c>
      <c r="AJ975" t="str">
        <f t="shared" si="303"/>
        <v>P000</v>
      </c>
    </row>
    <row r="976" spans="1:36" x14ac:dyDescent="0.25">
      <c r="A976" s="325" t="str">
        <f>CONCATENATE("P",'906MP'!M676)</f>
        <v>P</v>
      </c>
      <c r="B976">
        <f>'906MP'!H676</f>
        <v>0</v>
      </c>
      <c r="C976">
        <f>'906MP'!J676</f>
        <v>0</v>
      </c>
      <c r="D976">
        <f>'906MP'!P676</f>
        <v>0</v>
      </c>
      <c r="E976">
        <f>'906MP'!X676</f>
        <v>0</v>
      </c>
      <c r="F976" t="str">
        <f t="shared" si="295"/>
        <v>0</v>
      </c>
      <c r="G976" t="str">
        <f t="shared" si="296"/>
        <v>0</v>
      </c>
      <c r="H976">
        <f>'906MP'!Y676</f>
        <v>0</v>
      </c>
      <c r="I976">
        <f>'906MP'!AK676</f>
        <v>0</v>
      </c>
      <c r="J976">
        <f>'906MP'!T676</f>
        <v>0</v>
      </c>
      <c r="K976">
        <f>'906MP'!AJ676</f>
        <v>0</v>
      </c>
      <c r="L976">
        <f>'906MP'!U676</f>
        <v>0</v>
      </c>
      <c r="M976" s="322" t="str">
        <f>IFERROR(VLOOKUP(A976,PAR!$D$3:$E$53,2,FALSE),"nincs szervezet")</f>
        <v>nincs szervezet</v>
      </c>
      <c r="N976" s="322" t="str">
        <f>VLOOKUP(F976,PAR!$R$3:$S$5,2,FALSE)</f>
        <v>3 - egyik sem</v>
      </c>
      <c r="O976" t="str">
        <f>IFERROR(VLOOKUP(J976,PAR!$O$3:$P$5,2,FALSE),"nincs feladat")</f>
        <v>nincs feladat</v>
      </c>
      <c r="P976" t="str">
        <f>IFERROR(VLOOKUP(G976,PAR!$J$2:$M$19,4),"nincs rovat")</f>
        <v>nincs rovat</v>
      </c>
      <c r="Q976" t="str">
        <f>IF(H976&gt;0,VLOOKUP(H976,PAR!$AA$3:$AC$187,3,FALSE),"nincs főkönyvi számla")</f>
        <v>nincs főkönyvi számla</v>
      </c>
      <c r="R976" t="str">
        <f>IFERROR(VLOOKUP(K976,PAR!$V$3:$X$438,3,FALSE),"000000 - Nincs COFOG")</f>
        <v>000000 - Nincs COFOG</v>
      </c>
      <c r="S976">
        <f t="shared" si="297"/>
        <v>0</v>
      </c>
      <c r="T976">
        <f t="shared" si="298"/>
        <v>0</v>
      </c>
      <c r="U976" t="str">
        <f>IF('906MP'!J676&gt;0,CONCATENATE('906MP'!J676," - ",'906MP'!P676,", ",'906MP'!E676),"nincs megjegyzés")</f>
        <v>nincs megjegyzés</v>
      </c>
      <c r="V976" t="str">
        <f t="shared" si="285"/>
        <v>0P0</v>
      </c>
      <c r="W976" t="str">
        <f t="shared" si="286"/>
        <v>0P0</v>
      </c>
      <c r="X976" t="str">
        <f t="shared" si="287"/>
        <v>P0</v>
      </c>
      <c r="Y976" t="str">
        <f t="shared" si="288"/>
        <v>00</v>
      </c>
      <c r="Z976" t="str">
        <f t="shared" si="299"/>
        <v>00</v>
      </c>
      <c r="AA976" t="str">
        <f t="shared" si="289"/>
        <v>00</v>
      </c>
      <c r="AB976" t="str">
        <f t="shared" si="290"/>
        <v>00</v>
      </c>
      <c r="AC976" t="str">
        <f t="shared" si="291"/>
        <v>0P0</v>
      </c>
      <c r="AD976" t="str">
        <f t="shared" si="292"/>
        <v>P00</v>
      </c>
      <c r="AE976" t="str">
        <f t="shared" si="293"/>
        <v>0P0</v>
      </c>
      <c r="AF976" t="str">
        <f t="shared" si="294"/>
        <v>P00</v>
      </c>
      <c r="AG976" t="str">
        <f t="shared" si="300"/>
        <v>0P00</v>
      </c>
      <c r="AH976" t="str">
        <f t="shared" si="301"/>
        <v>P000</v>
      </c>
      <c r="AI976" t="str">
        <f t="shared" si="302"/>
        <v>0P00</v>
      </c>
      <c r="AJ976" t="str">
        <f t="shared" si="303"/>
        <v>P000</v>
      </c>
    </row>
    <row r="977" spans="1:36" x14ac:dyDescent="0.25">
      <c r="A977" s="325" t="str">
        <f>CONCATENATE("P",'906MP'!M677)</f>
        <v>P</v>
      </c>
      <c r="B977">
        <f>'906MP'!H677</f>
        <v>0</v>
      </c>
      <c r="C977">
        <f>'906MP'!J677</f>
        <v>0</v>
      </c>
      <c r="D977">
        <f>'906MP'!P677</f>
        <v>0</v>
      </c>
      <c r="E977">
        <f>'906MP'!X677</f>
        <v>0</v>
      </c>
      <c r="F977" t="str">
        <f t="shared" si="295"/>
        <v>0</v>
      </c>
      <c r="G977" t="str">
        <f t="shared" si="296"/>
        <v>0</v>
      </c>
      <c r="H977">
        <f>'906MP'!Y677</f>
        <v>0</v>
      </c>
      <c r="I977">
        <f>'906MP'!AK677</f>
        <v>0</v>
      </c>
      <c r="J977">
        <f>'906MP'!T677</f>
        <v>0</v>
      </c>
      <c r="K977">
        <f>'906MP'!AJ677</f>
        <v>0</v>
      </c>
      <c r="L977">
        <f>'906MP'!U677</f>
        <v>0</v>
      </c>
      <c r="M977" s="322" t="str">
        <f>IFERROR(VLOOKUP(A977,PAR!$D$3:$E$53,2,FALSE),"nincs szervezet")</f>
        <v>nincs szervezet</v>
      </c>
      <c r="N977" s="322" t="str">
        <f>VLOOKUP(F977,PAR!$R$3:$S$5,2,FALSE)</f>
        <v>3 - egyik sem</v>
      </c>
      <c r="O977" t="str">
        <f>IFERROR(VLOOKUP(J977,PAR!$O$3:$P$5,2,FALSE),"nincs feladat")</f>
        <v>nincs feladat</v>
      </c>
      <c r="P977" t="str">
        <f>IFERROR(VLOOKUP(G977,PAR!$J$2:$M$19,4),"nincs rovat")</f>
        <v>nincs rovat</v>
      </c>
      <c r="Q977" t="str">
        <f>IF(H977&gt;0,VLOOKUP(H977,PAR!$AA$3:$AC$187,3,FALSE),"nincs főkönyvi számla")</f>
        <v>nincs főkönyvi számla</v>
      </c>
      <c r="R977" t="str">
        <f>IFERROR(VLOOKUP(K977,PAR!$V$3:$X$438,3,FALSE),"000000 - Nincs COFOG")</f>
        <v>000000 - Nincs COFOG</v>
      </c>
      <c r="S977">
        <f t="shared" si="297"/>
        <v>0</v>
      </c>
      <c r="T977">
        <f t="shared" si="298"/>
        <v>0</v>
      </c>
      <c r="U977" t="str">
        <f>IF('906MP'!J677&gt;0,CONCATENATE('906MP'!J677," - ",'906MP'!P677,", ",'906MP'!E677),"nincs megjegyzés")</f>
        <v>nincs megjegyzés</v>
      </c>
      <c r="V977" t="str">
        <f t="shared" si="285"/>
        <v>0P0</v>
      </c>
      <c r="W977" t="str">
        <f t="shared" si="286"/>
        <v>0P0</v>
      </c>
      <c r="X977" t="str">
        <f t="shared" si="287"/>
        <v>P0</v>
      </c>
      <c r="Y977" t="str">
        <f t="shared" si="288"/>
        <v>00</v>
      </c>
      <c r="Z977" t="str">
        <f t="shared" si="299"/>
        <v>00</v>
      </c>
      <c r="AA977" t="str">
        <f t="shared" si="289"/>
        <v>00</v>
      </c>
      <c r="AB977" t="str">
        <f t="shared" si="290"/>
        <v>00</v>
      </c>
      <c r="AC977" t="str">
        <f t="shared" si="291"/>
        <v>0P0</v>
      </c>
      <c r="AD977" t="str">
        <f t="shared" si="292"/>
        <v>P00</v>
      </c>
      <c r="AE977" t="str">
        <f t="shared" si="293"/>
        <v>0P0</v>
      </c>
      <c r="AF977" t="str">
        <f t="shared" si="294"/>
        <v>P00</v>
      </c>
      <c r="AG977" t="str">
        <f t="shared" si="300"/>
        <v>0P00</v>
      </c>
      <c r="AH977" t="str">
        <f t="shared" si="301"/>
        <v>P000</v>
      </c>
      <c r="AI977" t="str">
        <f t="shared" si="302"/>
        <v>0P00</v>
      </c>
      <c r="AJ977" t="str">
        <f t="shared" si="303"/>
        <v>P000</v>
      </c>
    </row>
    <row r="978" spans="1:36" x14ac:dyDescent="0.25">
      <c r="A978" s="325" t="str">
        <f>CONCATENATE("P",'906MP'!M678)</f>
        <v>P</v>
      </c>
      <c r="B978">
        <f>'906MP'!H678</f>
        <v>0</v>
      </c>
      <c r="C978">
        <f>'906MP'!J678</f>
        <v>0</v>
      </c>
      <c r="D978">
        <f>'906MP'!P678</f>
        <v>0</v>
      </c>
      <c r="E978">
        <f>'906MP'!X678</f>
        <v>0</v>
      </c>
      <c r="F978" t="str">
        <f t="shared" si="295"/>
        <v>0</v>
      </c>
      <c r="G978" t="str">
        <f t="shared" si="296"/>
        <v>0</v>
      </c>
      <c r="H978">
        <f>'906MP'!Y678</f>
        <v>0</v>
      </c>
      <c r="I978">
        <f>'906MP'!AK678</f>
        <v>0</v>
      </c>
      <c r="J978">
        <f>'906MP'!T678</f>
        <v>0</v>
      </c>
      <c r="K978">
        <f>'906MP'!AJ678</f>
        <v>0</v>
      </c>
      <c r="L978">
        <f>'906MP'!U678</f>
        <v>0</v>
      </c>
      <c r="M978" s="322" t="str">
        <f>IFERROR(VLOOKUP(A978,PAR!$D$3:$E$53,2,FALSE),"nincs szervezet")</f>
        <v>nincs szervezet</v>
      </c>
      <c r="N978" s="322" t="str">
        <f>VLOOKUP(F978,PAR!$R$3:$S$5,2,FALSE)</f>
        <v>3 - egyik sem</v>
      </c>
      <c r="O978" t="str">
        <f>IFERROR(VLOOKUP(J978,PAR!$O$3:$P$5,2,FALSE),"nincs feladat")</f>
        <v>nincs feladat</v>
      </c>
      <c r="P978" t="str">
        <f>IFERROR(VLOOKUP(G978,PAR!$J$2:$M$19,4),"nincs rovat")</f>
        <v>nincs rovat</v>
      </c>
      <c r="Q978" t="str">
        <f>IF(H978&gt;0,VLOOKUP(H978,PAR!$AA$3:$AC$187,3,FALSE),"nincs főkönyvi számla")</f>
        <v>nincs főkönyvi számla</v>
      </c>
      <c r="R978" t="str">
        <f>IFERROR(VLOOKUP(K978,PAR!$V$3:$X$438,3,FALSE),"000000 - Nincs COFOG")</f>
        <v>000000 - Nincs COFOG</v>
      </c>
      <c r="S978">
        <f t="shared" si="297"/>
        <v>0</v>
      </c>
      <c r="T978">
        <f t="shared" si="298"/>
        <v>0</v>
      </c>
      <c r="U978" t="str">
        <f>IF('906MP'!J678&gt;0,CONCATENATE('906MP'!J678," - ",'906MP'!P678,", ",'906MP'!E678),"nincs megjegyzés")</f>
        <v>nincs megjegyzés</v>
      </c>
      <c r="V978" t="str">
        <f t="shared" si="285"/>
        <v>0P0</v>
      </c>
      <c r="W978" t="str">
        <f t="shared" si="286"/>
        <v>0P0</v>
      </c>
      <c r="X978" t="str">
        <f t="shared" si="287"/>
        <v>P0</v>
      </c>
      <c r="Y978" t="str">
        <f t="shared" si="288"/>
        <v>00</v>
      </c>
      <c r="Z978" t="str">
        <f t="shared" si="299"/>
        <v>00</v>
      </c>
      <c r="AA978" t="str">
        <f t="shared" si="289"/>
        <v>00</v>
      </c>
      <c r="AB978" t="str">
        <f t="shared" si="290"/>
        <v>00</v>
      </c>
      <c r="AC978" t="str">
        <f t="shared" si="291"/>
        <v>0P0</v>
      </c>
      <c r="AD978" t="str">
        <f t="shared" si="292"/>
        <v>P00</v>
      </c>
      <c r="AE978" t="str">
        <f t="shared" si="293"/>
        <v>0P0</v>
      </c>
      <c r="AF978" t="str">
        <f t="shared" si="294"/>
        <v>P00</v>
      </c>
      <c r="AG978" t="str">
        <f t="shared" si="300"/>
        <v>0P00</v>
      </c>
      <c r="AH978" t="str">
        <f t="shared" si="301"/>
        <v>P000</v>
      </c>
      <c r="AI978" t="str">
        <f t="shared" si="302"/>
        <v>0P00</v>
      </c>
      <c r="AJ978" t="str">
        <f t="shared" si="303"/>
        <v>P000</v>
      </c>
    </row>
    <row r="979" spans="1:36" x14ac:dyDescent="0.25">
      <c r="A979" s="325" t="str">
        <f>CONCATENATE("P",'906MP'!M679)</f>
        <v>P</v>
      </c>
      <c r="B979">
        <f>'906MP'!H679</f>
        <v>0</v>
      </c>
      <c r="C979">
        <f>'906MP'!J679</f>
        <v>0</v>
      </c>
      <c r="D979">
        <f>'906MP'!P679</f>
        <v>0</v>
      </c>
      <c r="E979">
        <f>'906MP'!X679</f>
        <v>0</v>
      </c>
      <c r="F979" t="str">
        <f t="shared" si="295"/>
        <v>0</v>
      </c>
      <c r="G979" t="str">
        <f t="shared" si="296"/>
        <v>0</v>
      </c>
      <c r="H979">
        <f>'906MP'!Y679</f>
        <v>0</v>
      </c>
      <c r="I979">
        <f>'906MP'!AK679</f>
        <v>0</v>
      </c>
      <c r="J979">
        <f>'906MP'!T679</f>
        <v>0</v>
      </c>
      <c r="K979">
        <f>'906MP'!AJ679</f>
        <v>0</v>
      </c>
      <c r="L979">
        <f>'906MP'!U679</f>
        <v>0</v>
      </c>
      <c r="M979" s="322" t="str">
        <f>IFERROR(VLOOKUP(A979,PAR!$D$3:$E$53,2,FALSE),"nincs szervezet")</f>
        <v>nincs szervezet</v>
      </c>
      <c r="N979" s="322" t="str">
        <f>VLOOKUP(F979,PAR!$R$3:$S$5,2,FALSE)</f>
        <v>3 - egyik sem</v>
      </c>
      <c r="O979" t="str">
        <f>IFERROR(VLOOKUP(J979,PAR!$O$3:$P$5,2,FALSE),"nincs feladat")</f>
        <v>nincs feladat</v>
      </c>
      <c r="P979" t="str">
        <f>IFERROR(VLOOKUP(G979,PAR!$J$2:$M$19,4),"nincs rovat")</f>
        <v>nincs rovat</v>
      </c>
      <c r="Q979" t="str">
        <f>IF(H979&gt;0,VLOOKUP(H979,PAR!$AA$3:$AC$187,3,FALSE),"nincs főkönyvi számla")</f>
        <v>nincs főkönyvi számla</v>
      </c>
      <c r="R979" t="str">
        <f>IFERROR(VLOOKUP(K979,PAR!$V$3:$X$438,3,FALSE),"000000 - Nincs COFOG")</f>
        <v>000000 - Nincs COFOG</v>
      </c>
      <c r="S979">
        <f t="shared" si="297"/>
        <v>0</v>
      </c>
      <c r="T979">
        <f t="shared" si="298"/>
        <v>0</v>
      </c>
      <c r="U979" t="str">
        <f>IF('906MP'!J679&gt;0,CONCATENATE('906MP'!J679," - ",'906MP'!P679,", ",'906MP'!E679),"nincs megjegyzés")</f>
        <v>nincs megjegyzés</v>
      </c>
      <c r="V979" t="str">
        <f t="shared" si="285"/>
        <v>0P0</v>
      </c>
      <c r="W979" t="str">
        <f t="shared" si="286"/>
        <v>0P0</v>
      </c>
      <c r="X979" t="str">
        <f t="shared" si="287"/>
        <v>P0</v>
      </c>
      <c r="Y979" t="str">
        <f t="shared" si="288"/>
        <v>00</v>
      </c>
      <c r="Z979" t="str">
        <f t="shared" si="299"/>
        <v>00</v>
      </c>
      <c r="AA979" t="str">
        <f t="shared" si="289"/>
        <v>00</v>
      </c>
      <c r="AB979" t="str">
        <f t="shared" si="290"/>
        <v>00</v>
      </c>
      <c r="AC979" t="str">
        <f t="shared" si="291"/>
        <v>0P0</v>
      </c>
      <c r="AD979" t="str">
        <f t="shared" si="292"/>
        <v>P00</v>
      </c>
      <c r="AE979" t="str">
        <f t="shared" si="293"/>
        <v>0P0</v>
      </c>
      <c r="AF979" t="str">
        <f t="shared" si="294"/>
        <v>P00</v>
      </c>
      <c r="AG979" t="str">
        <f t="shared" si="300"/>
        <v>0P00</v>
      </c>
      <c r="AH979" t="str">
        <f t="shared" si="301"/>
        <v>P000</v>
      </c>
      <c r="AI979" t="str">
        <f t="shared" si="302"/>
        <v>0P00</v>
      </c>
      <c r="AJ979" t="str">
        <f t="shared" si="303"/>
        <v>P000</v>
      </c>
    </row>
    <row r="980" spans="1:36" x14ac:dyDescent="0.25">
      <c r="A980" s="325" t="str">
        <f>CONCATENATE("P",'906MP'!M680)</f>
        <v>P</v>
      </c>
      <c r="B980">
        <f>'906MP'!H680</f>
        <v>0</v>
      </c>
      <c r="C980">
        <f>'906MP'!J680</f>
        <v>0</v>
      </c>
      <c r="D980">
        <f>'906MP'!P680</f>
        <v>0</v>
      </c>
      <c r="E980">
        <f>'906MP'!X680</f>
        <v>0</v>
      </c>
      <c r="F980" t="str">
        <f t="shared" si="295"/>
        <v>0</v>
      </c>
      <c r="G980" t="str">
        <f t="shared" si="296"/>
        <v>0</v>
      </c>
      <c r="H980">
        <f>'906MP'!Y680</f>
        <v>0</v>
      </c>
      <c r="I980">
        <f>'906MP'!AK680</f>
        <v>0</v>
      </c>
      <c r="J980">
        <f>'906MP'!T680</f>
        <v>0</v>
      </c>
      <c r="K980">
        <f>'906MP'!AJ680</f>
        <v>0</v>
      </c>
      <c r="L980">
        <f>'906MP'!U680</f>
        <v>0</v>
      </c>
      <c r="M980" s="322" t="str">
        <f>IFERROR(VLOOKUP(A980,PAR!$D$3:$E$53,2,FALSE),"nincs szervezet")</f>
        <v>nincs szervezet</v>
      </c>
      <c r="N980" s="322" t="str">
        <f>VLOOKUP(F980,PAR!$R$3:$S$5,2,FALSE)</f>
        <v>3 - egyik sem</v>
      </c>
      <c r="O980" t="str">
        <f>IFERROR(VLOOKUP(J980,PAR!$O$3:$P$5,2,FALSE),"nincs feladat")</f>
        <v>nincs feladat</v>
      </c>
      <c r="P980" t="str">
        <f>IFERROR(VLOOKUP(G980,PAR!$J$2:$M$19,4),"nincs rovat")</f>
        <v>nincs rovat</v>
      </c>
      <c r="Q980" t="str">
        <f>IF(H980&gt;0,VLOOKUP(H980,PAR!$AA$3:$AC$187,3,FALSE),"nincs főkönyvi számla")</f>
        <v>nincs főkönyvi számla</v>
      </c>
      <c r="R980" t="str">
        <f>IFERROR(VLOOKUP(K980,PAR!$V$3:$X$438,3,FALSE),"000000 - Nincs COFOG")</f>
        <v>000000 - Nincs COFOG</v>
      </c>
      <c r="S980">
        <f t="shared" si="297"/>
        <v>0</v>
      </c>
      <c r="T980">
        <f t="shared" si="298"/>
        <v>0</v>
      </c>
      <c r="U980" t="str">
        <f>IF('906MP'!J680&gt;0,CONCATENATE('906MP'!J680," - ",'906MP'!P680,", ",'906MP'!E680),"nincs megjegyzés")</f>
        <v>nincs megjegyzés</v>
      </c>
      <c r="V980" t="str">
        <f t="shared" si="285"/>
        <v>0P0</v>
      </c>
      <c r="W980" t="str">
        <f t="shared" si="286"/>
        <v>0P0</v>
      </c>
      <c r="X980" t="str">
        <f t="shared" si="287"/>
        <v>P0</v>
      </c>
      <c r="Y980" t="str">
        <f t="shared" si="288"/>
        <v>00</v>
      </c>
      <c r="Z980" t="str">
        <f t="shared" si="299"/>
        <v>00</v>
      </c>
      <c r="AA980" t="str">
        <f t="shared" si="289"/>
        <v>00</v>
      </c>
      <c r="AB980" t="str">
        <f t="shared" si="290"/>
        <v>00</v>
      </c>
      <c r="AC980" t="str">
        <f t="shared" si="291"/>
        <v>0P0</v>
      </c>
      <c r="AD980" t="str">
        <f t="shared" si="292"/>
        <v>P00</v>
      </c>
      <c r="AE980" t="str">
        <f t="shared" si="293"/>
        <v>0P0</v>
      </c>
      <c r="AF980" t="str">
        <f t="shared" si="294"/>
        <v>P00</v>
      </c>
      <c r="AG980" t="str">
        <f t="shared" si="300"/>
        <v>0P00</v>
      </c>
      <c r="AH980" t="str">
        <f t="shared" si="301"/>
        <v>P000</v>
      </c>
      <c r="AI980" t="str">
        <f t="shared" si="302"/>
        <v>0P00</v>
      </c>
      <c r="AJ980" t="str">
        <f t="shared" si="303"/>
        <v>P000</v>
      </c>
    </row>
    <row r="981" spans="1:36" x14ac:dyDescent="0.25">
      <c r="A981" s="325" t="str">
        <f>CONCATENATE("P",'906MP'!M681)</f>
        <v>P</v>
      </c>
      <c r="B981">
        <f>'906MP'!H681</f>
        <v>0</v>
      </c>
      <c r="C981">
        <f>'906MP'!J681</f>
        <v>0</v>
      </c>
      <c r="D981">
        <f>'906MP'!P681</f>
        <v>0</v>
      </c>
      <c r="E981">
        <f>'906MP'!X681</f>
        <v>0</v>
      </c>
      <c r="F981" t="str">
        <f t="shared" si="295"/>
        <v>0</v>
      </c>
      <c r="G981" t="str">
        <f t="shared" si="296"/>
        <v>0</v>
      </c>
      <c r="H981">
        <f>'906MP'!Y681</f>
        <v>0</v>
      </c>
      <c r="I981">
        <f>'906MP'!AK681</f>
        <v>0</v>
      </c>
      <c r="J981">
        <f>'906MP'!T681</f>
        <v>0</v>
      </c>
      <c r="K981">
        <f>'906MP'!AJ681</f>
        <v>0</v>
      </c>
      <c r="L981">
        <f>'906MP'!U681</f>
        <v>0</v>
      </c>
      <c r="M981" s="322" t="str">
        <f>IFERROR(VLOOKUP(A981,PAR!$D$3:$E$53,2,FALSE),"nincs szervezet")</f>
        <v>nincs szervezet</v>
      </c>
      <c r="N981" s="322" t="str">
        <f>VLOOKUP(F981,PAR!$R$3:$S$5,2,FALSE)</f>
        <v>3 - egyik sem</v>
      </c>
      <c r="O981" t="str">
        <f>IFERROR(VLOOKUP(J981,PAR!$O$3:$P$5,2,FALSE),"nincs feladat")</f>
        <v>nincs feladat</v>
      </c>
      <c r="P981" t="str">
        <f>IFERROR(VLOOKUP(G981,PAR!$J$2:$M$19,4),"nincs rovat")</f>
        <v>nincs rovat</v>
      </c>
      <c r="Q981" t="str">
        <f>IF(H981&gt;0,VLOOKUP(H981,PAR!$AA$3:$AC$187,3,FALSE),"nincs főkönyvi számla")</f>
        <v>nincs főkönyvi számla</v>
      </c>
      <c r="R981" t="str">
        <f>IFERROR(VLOOKUP(K981,PAR!$V$3:$X$438,3,FALSE),"000000 - Nincs COFOG")</f>
        <v>000000 - Nincs COFOG</v>
      </c>
      <c r="S981">
        <f t="shared" si="297"/>
        <v>0</v>
      </c>
      <c r="T981">
        <f t="shared" si="298"/>
        <v>0</v>
      </c>
      <c r="U981" t="str">
        <f>IF('906MP'!J681&gt;0,CONCATENATE('906MP'!J681," - ",'906MP'!P681,", ",'906MP'!E681),"nincs megjegyzés")</f>
        <v>nincs megjegyzés</v>
      </c>
      <c r="V981" t="str">
        <f t="shared" si="285"/>
        <v>0P0</v>
      </c>
      <c r="W981" t="str">
        <f t="shared" si="286"/>
        <v>0P0</v>
      </c>
      <c r="X981" t="str">
        <f t="shared" si="287"/>
        <v>P0</v>
      </c>
      <c r="Y981" t="str">
        <f t="shared" si="288"/>
        <v>00</v>
      </c>
      <c r="Z981" t="str">
        <f t="shared" si="299"/>
        <v>00</v>
      </c>
      <c r="AA981" t="str">
        <f t="shared" si="289"/>
        <v>00</v>
      </c>
      <c r="AB981" t="str">
        <f t="shared" si="290"/>
        <v>00</v>
      </c>
      <c r="AC981" t="str">
        <f t="shared" si="291"/>
        <v>0P0</v>
      </c>
      <c r="AD981" t="str">
        <f t="shared" si="292"/>
        <v>P00</v>
      </c>
      <c r="AE981" t="str">
        <f t="shared" si="293"/>
        <v>0P0</v>
      </c>
      <c r="AF981" t="str">
        <f t="shared" si="294"/>
        <v>P00</v>
      </c>
      <c r="AG981" t="str">
        <f t="shared" si="300"/>
        <v>0P00</v>
      </c>
      <c r="AH981" t="str">
        <f t="shared" si="301"/>
        <v>P000</v>
      </c>
      <c r="AI981" t="str">
        <f t="shared" si="302"/>
        <v>0P00</v>
      </c>
      <c r="AJ981" t="str">
        <f t="shared" si="303"/>
        <v>P000</v>
      </c>
    </row>
    <row r="982" spans="1:36" x14ac:dyDescent="0.25">
      <c r="A982" s="325" t="str">
        <f>CONCATENATE("P",'906MP'!M682)</f>
        <v>P</v>
      </c>
      <c r="B982">
        <f>'906MP'!H682</f>
        <v>0</v>
      </c>
      <c r="C982">
        <f>'906MP'!J682</f>
        <v>0</v>
      </c>
      <c r="D982">
        <f>'906MP'!P682</f>
        <v>0</v>
      </c>
      <c r="E982">
        <f>'906MP'!X682</f>
        <v>0</v>
      </c>
      <c r="F982" t="str">
        <f t="shared" si="295"/>
        <v>0</v>
      </c>
      <c r="G982" t="str">
        <f t="shared" si="296"/>
        <v>0</v>
      </c>
      <c r="H982">
        <f>'906MP'!Y682</f>
        <v>0</v>
      </c>
      <c r="I982">
        <f>'906MP'!AK682</f>
        <v>0</v>
      </c>
      <c r="J982">
        <f>'906MP'!T682</f>
        <v>0</v>
      </c>
      <c r="K982">
        <f>'906MP'!AJ682</f>
        <v>0</v>
      </c>
      <c r="L982">
        <f>'906MP'!U682</f>
        <v>0</v>
      </c>
      <c r="M982" s="322" t="str">
        <f>IFERROR(VLOOKUP(A982,PAR!$D$3:$E$53,2,FALSE),"nincs szervezet")</f>
        <v>nincs szervezet</v>
      </c>
      <c r="N982" s="322" t="str">
        <f>VLOOKUP(F982,PAR!$R$3:$S$5,2,FALSE)</f>
        <v>3 - egyik sem</v>
      </c>
      <c r="O982" t="str">
        <f>IFERROR(VLOOKUP(J982,PAR!$O$3:$P$5,2,FALSE),"nincs feladat")</f>
        <v>nincs feladat</v>
      </c>
      <c r="P982" t="str">
        <f>IFERROR(VLOOKUP(G982,PAR!$J$2:$M$19,4),"nincs rovat")</f>
        <v>nincs rovat</v>
      </c>
      <c r="Q982" t="str">
        <f>IF(H982&gt;0,VLOOKUP(H982,PAR!$AA$3:$AC$187,3,FALSE),"nincs főkönyvi számla")</f>
        <v>nincs főkönyvi számla</v>
      </c>
      <c r="R982" t="str">
        <f>IFERROR(VLOOKUP(K982,PAR!$V$3:$X$438,3,FALSE),"000000 - Nincs COFOG")</f>
        <v>000000 - Nincs COFOG</v>
      </c>
      <c r="S982">
        <f t="shared" si="297"/>
        <v>0</v>
      </c>
      <c r="T982">
        <f t="shared" si="298"/>
        <v>0</v>
      </c>
      <c r="U982" t="str">
        <f>IF('906MP'!J682&gt;0,CONCATENATE('906MP'!J682," - ",'906MP'!P682,", ",'906MP'!E682),"nincs megjegyzés")</f>
        <v>nincs megjegyzés</v>
      </c>
      <c r="V982" t="str">
        <f t="shared" si="285"/>
        <v>0P0</v>
      </c>
      <c r="W982" t="str">
        <f t="shared" si="286"/>
        <v>0P0</v>
      </c>
      <c r="X982" t="str">
        <f t="shared" si="287"/>
        <v>P0</v>
      </c>
      <c r="Y982" t="str">
        <f t="shared" si="288"/>
        <v>00</v>
      </c>
      <c r="Z982" t="str">
        <f t="shared" si="299"/>
        <v>00</v>
      </c>
      <c r="AA982" t="str">
        <f t="shared" si="289"/>
        <v>00</v>
      </c>
      <c r="AB982" t="str">
        <f t="shared" si="290"/>
        <v>00</v>
      </c>
      <c r="AC982" t="str">
        <f t="shared" si="291"/>
        <v>0P0</v>
      </c>
      <c r="AD982" t="str">
        <f t="shared" si="292"/>
        <v>P00</v>
      </c>
      <c r="AE982" t="str">
        <f t="shared" si="293"/>
        <v>0P0</v>
      </c>
      <c r="AF982" t="str">
        <f t="shared" si="294"/>
        <v>P00</v>
      </c>
      <c r="AG982" t="str">
        <f t="shared" si="300"/>
        <v>0P00</v>
      </c>
      <c r="AH982" t="str">
        <f t="shared" si="301"/>
        <v>P000</v>
      </c>
      <c r="AI982" t="str">
        <f t="shared" si="302"/>
        <v>0P00</v>
      </c>
      <c r="AJ982" t="str">
        <f t="shared" si="303"/>
        <v>P000</v>
      </c>
    </row>
    <row r="983" spans="1:36" x14ac:dyDescent="0.25">
      <c r="A983" s="325" t="str">
        <f>CONCATENATE("P",'906MP'!M683)</f>
        <v>P</v>
      </c>
      <c r="B983">
        <f>'906MP'!H683</f>
        <v>0</v>
      </c>
      <c r="C983">
        <f>'906MP'!J683</f>
        <v>0</v>
      </c>
      <c r="D983">
        <f>'906MP'!P683</f>
        <v>0</v>
      </c>
      <c r="E983">
        <f>'906MP'!X683</f>
        <v>0</v>
      </c>
      <c r="F983" t="str">
        <f t="shared" si="295"/>
        <v>0</v>
      </c>
      <c r="G983" t="str">
        <f t="shared" si="296"/>
        <v>0</v>
      </c>
      <c r="H983">
        <f>'906MP'!Y683</f>
        <v>0</v>
      </c>
      <c r="I983">
        <f>'906MP'!AK683</f>
        <v>0</v>
      </c>
      <c r="J983">
        <f>'906MP'!T683</f>
        <v>0</v>
      </c>
      <c r="K983">
        <f>'906MP'!AJ683</f>
        <v>0</v>
      </c>
      <c r="L983">
        <f>'906MP'!U683</f>
        <v>0</v>
      </c>
      <c r="M983" s="322" t="str">
        <f>IFERROR(VLOOKUP(A983,PAR!$D$3:$E$53,2,FALSE),"nincs szervezet")</f>
        <v>nincs szervezet</v>
      </c>
      <c r="N983" s="322" t="str">
        <f>VLOOKUP(F983,PAR!$R$3:$S$5,2,FALSE)</f>
        <v>3 - egyik sem</v>
      </c>
      <c r="O983" t="str">
        <f>IFERROR(VLOOKUP(J983,PAR!$O$3:$P$5,2,FALSE),"nincs feladat")</f>
        <v>nincs feladat</v>
      </c>
      <c r="P983" t="str">
        <f>IFERROR(VLOOKUP(G983,PAR!$J$2:$M$19,4),"nincs rovat")</f>
        <v>nincs rovat</v>
      </c>
      <c r="Q983" t="str">
        <f>IF(H983&gt;0,VLOOKUP(H983,PAR!$AA$3:$AC$187,3,FALSE),"nincs főkönyvi számla")</f>
        <v>nincs főkönyvi számla</v>
      </c>
      <c r="R983" t="str">
        <f>IFERROR(VLOOKUP(K983,PAR!$V$3:$X$438,3,FALSE),"000000 - Nincs COFOG")</f>
        <v>000000 - Nincs COFOG</v>
      </c>
      <c r="S983">
        <f t="shared" si="297"/>
        <v>0</v>
      </c>
      <c r="T983">
        <f t="shared" si="298"/>
        <v>0</v>
      </c>
      <c r="U983" t="str">
        <f>IF('906MP'!J683&gt;0,CONCATENATE('906MP'!J683," - ",'906MP'!P683,", ",'906MP'!E683),"nincs megjegyzés")</f>
        <v>nincs megjegyzés</v>
      </c>
      <c r="V983" t="str">
        <f t="shared" si="285"/>
        <v>0P0</v>
      </c>
      <c r="W983" t="str">
        <f t="shared" si="286"/>
        <v>0P0</v>
      </c>
      <c r="X983" t="str">
        <f t="shared" si="287"/>
        <v>P0</v>
      </c>
      <c r="Y983" t="str">
        <f t="shared" si="288"/>
        <v>00</v>
      </c>
      <c r="Z983" t="str">
        <f t="shared" si="299"/>
        <v>00</v>
      </c>
      <c r="AA983" t="str">
        <f t="shared" si="289"/>
        <v>00</v>
      </c>
      <c r="AB983" t="str">
        <f t="shared" si="290"/>
        <v>00</v>
      </c>
      <c r="AC983" t="str">
        <f t="shared" si="291"/>
        <v>0P0</v>
      </c>
      <c r="AD983" t="str">
        <f t="shared" si="292"/>
        <v>P00</v>
      </c>
      <c r="AE983" t="str">
        <f t="shared" si="293"/>
        <v>0P0</v>
      </c>
      <c r="AF983" t="str">
        <f t="shared" si="294"/>
        <v>P00</v>
      </c>
      <c r="AG983" t="str">
        <f t="shared" si="300"/>
        <v>0P00</v>
      </c>
      <c r="AH983" t="str">
        <f t="shared" si="301"/>
        <v>P000</v>
      </c>
      <c r="AI983" t="str">
        <f t="shared" si="302"/>
        <v>0P00</v>
      </c>
      <c r="AJ983" t="str">
        <f t="shared" si="303"/>
        <v>P000</v>
      </c>
    </row>
    <row r="984" spans="1:36" x14ac:dyDescent="0.25">
      <c r="A984" s="325" t="str">
        <f>CONCATENATE("P",'906MP'!M684)</f>
        <v>P</v>
      </c>
      <c r="B984">
        <f>'906MP'!H684</f>
        <v>0</v>
      </c>
      <c r="C984">
        <f>'906MP'!J684</f>
        <v>0</v>
      </c>
      <c r="D984">
        <f>'906MP'!P684</f>
        <v>0</v>
      </c>
      <c r="E984">
        <f>'906MP'!X684</f>
        <v>0</v>
      </c>
      <c r="F984" t="str">
        <f t="shared" si="295"/>
        <v>0</v>
      </c>
      <c r="G984" t="str">
        <f t="shared" si="296"/>
        <v>0</v>
      </c>
      <c r="H984">
        <f>'906MP'!Y684</f>
        <v>0</v>
      </c>
      <c r="I984">
        <f>'906MP'!AK684</f>
        <v>0</v>
      </c>
      <c r="J984">
        <f>'906MP'!T684</f>
        <v>0</v>
      </c>
      <c r="K984">
        <f>'906MP'!AJ684</f>
        <v>0</v>
      </c>
      <c r="L984">
        <f>'906MP'!U684</f>
        <v>0</v>
      </c>
      <c r="M984" s="322" t="str">
        <f>IFERROR(VLOOKUP(A984,PAR!$D$3:$E$53,2,FALSE),"nincs szervezet")</f>
        <v>nincs szervezet</v>
      </c>
      <c r="N984" s="322" t="str">
        <f>VLOOKUP(F984,PAR!$R$3:$S$5,2,FALSE)</f>
        <v>3 - egyik sem</v>
      </c>
      <c r="O984" t="str">
        <f>IFERROR(VLOOKUP(J984,PAR!$O$3:$P$5,2,FALSE),"nincs feladat")</f>
        <v>nincs feladat</v>
      </c>
      <c r="P984" t="str">
        <f>IFERROR(VLOOKUP(G984,PAR!$J$2:$M$19,4),"nincs rovat")</f>
        <v>nincs rovat</v>
      </c>
      <c r="Q984" t="str">
        <f>IF(H984&gt;0,VLOOKUP(H984,PAR!$AA$3:$AC$187,3,FALSE),"nincs főkönyvi számla")</f>
        <v>nincs főkönyvi számla</v>
      </c>
      <c r="R984" t="str">
        <f>IFERROR(VLOOKUP(K984,PAR!$V$3:$X$438,3,FALSE),"000000 - Nincs COFOG")</f>
        <v>000000 - Nincs COFOG</v>
      </c>
      <c r="S984">
        <f t="shared" si="297"/>
        <v>0</v>
      </c>
      <c r="T984">
        <f t="shared" si="298"/>
        <v>0</v>
      </c>
      <c r="U984" t="str">
        <f>IF('906MP'!J684&gt;0,CONCATENATE('906MP'!J684," - ",'906MP'!P684,", ",'906MP'!E684),"nincs megjegyzés")</f>
        <v>nincs megjegyzés</v>
      </c>
      <c r="V984" t="str">
        <f t="shared" si="285"/>
        <v>0P0</v>
      </c>
      <c r="W984" t="str">
        <f t="shared" si="286"/>
        <v>0P0</v>
      </c>
      <c r="X984" t="str">
        <f t="shared" si="287"/>
        <v>P0</v>
      </c>
      <c r="Y984" t="str">
        <f t="shared" si="288"/>
        <v>00</v>
      </c>
      <c r="Z984" t="str">
        <f t="shared" si="299"/>
        <v>00</v>
      </c>
      <c r="AA984" t="str">
        <f t="shared" si="289"/>
        <v>00</v>
      </c>
      <c r="AB984" t="str">
        <f t="shared" si="290"/>
        <v>00</v>
      </c>
      <c r="AC984" t="str">
        <f t="shared" si="291"/>
        <v>0P0</v>
      </c>
      <c r="AD984" t="str">
        <f t="shared" si="292"/>
        <v>P00</v>
      </c>
      <c r="AE984" t="str">
        <f t="shared" si="293"/>
        <v>0P0</v>
      </c>
      <c r="AF984" t="str">
        <f t="shared" si="294"/>
        <v>P00</v>
      </c>
      <c r="AG984" t="str">
        <f t="shared" si="300"/>
        <v>0P00</v>
      </c>
      <c r="AH984" t="str">
        <f t="shared" si="301"/>
        <v>P000</v>
      </c>
      <c r="AI984" t="str">
        <f t="shared" si="302"/>
        <v>0P00</v>
      </c>
      <c r="AJ984" t="str">
        <f t="shared" si="303"/>
        <v>P000</v>
      </c>
    </row>
    <row r="985" spans="1:36" x14ac:dyDescent="0.25">
      <c r="A985" s="325" t="str">
        <f>CONCATENATE("P",'906MP'!M685)</f>
        <v>P</v>
      </c>
      <c r="B985">
        <f>'906MP'!H685</f>
        <v>0</v>
      </c>
      <c r="C985">
        <f>'906MP'!J685</f>
        <v>0</v>
      </c>
      <c r="D985">
        <f>'906MP'!P685</f>
        <v>0</v>
      </c>
      <c r="E985">
        <f>'906MP'!X685</f>
        <v>0</v>
      </c>
      <c r="F985" t="str">
        <f t="shared" si="295"/>
        <v>0</v>
      </c>
      <c r="G985" t="str">
        <f t="shared" si="296"/>
        <v>0</v>
      </c>
      <c r="H985">
        <f>'906MP'!Y685</f>
        <v>0</v>
      </c>
      <c r="I985">
        <f>'906MP'!AK685</f>
        <v>0</v>
      </c>
      <c r="J985">
        <f>'906MP'!T685</f>
        <v>0</v>
      </c>
      <c r="K985">
        <f>'906MP'!AJ685</f>
        <v>0</v>
      </c>
      <c r="L985">
        <f>'906MP'!U685</f>
        <v>0</v>
      </c>
      <c r="M985" s="322" t="str">
        <f>IFERROR(VLOOKUP(A985,PAR!$D$3:$E$53,2,FALSE),"nincs szervezet")</f>
        <v>nincs szervezet</v>
      </c>
      <c r="N985" s="322" t="str">
        <f>VLOOKUP(F985,PAR!$R$3:$S$5,2,FALSE)</f>
        <v>3 - egyik sem</v>
      </c>
      <c r="O985" t="str">
        <f>IFERROR(VLOOKUP(J985,PAR!$O$3:$P$5,2,FALSE),"nincs feladat")</f>
        <v>nincs feladat</v>
      </c>
      <c r="P985" t="str">
        <f>IFERROR(VLOOKUP(G985,PAR!$J$2:$M$19,4),"nincs rovat")</f>
        <v>nincs rovat</v>
      </c>
      <c r="Q985" t="str">
        <f>IF(H985&gt;0,VLOOKUP(H985,PAR!$AA$3:$AC$187,3,FALSE),"nincs főkönyvi számla")</f>
        <v>nincs főkönyvi számla</v>
      </c>
      <c r="R985" t="str">
        <f>IFERROR(VLOOKUP(K985,PAR!$V$3:$X$438,3,FALSE),"000000 - Nincs COFOG")</f>
        <v>000000 - Nincs COFOG</v>
      </c>
      <c r="S985">
        <f t="shared" si="297"/>
        <v>0</v>
      </c>
      <c r="T985">
        <f t="shared" si="298"/>
        <v>0</v>
      </c>
      <c r="U985" t="str">
        <f>IF('906MP'!J685&gt;0,CONCATENATE('906MP'!J685," - ",'906MP'!P685,", ",'906MP'!E685),"nincs megjegyzés")</f>
        <v>nincs megjegyzés</v>
      </c>
      <c r="V985" t="str">
        <f t="shared" si="285"/>
        <v>0P0</v>
      </c>
      <c r="W985" t="str">
        <f t="shared" si="286"/>
        <v>0P0</v>
      </c>
      <c r="X985" t="str">
        <f t="shared" si="287"/>
        <v>P0</v>
      </c>
      <c r="Y985" t="str">
        <f t="shared" si="288"/>
        <v>00</v>
      </c>
      <c r="Z985" t="str">
        <f t="shared" si="299"/>
        <v>00</v>
      </c>
      <c r="AA985" t="str">
        <f t="shared" si="289"/>
        <v>00</v>
      </c>
      <c r="AB985" t="str">
        <f t="shared" si="290"/>
        <v>00</v>
      </c>
      <c r="AC985" t="str">
        <f t="shared" si="291"/>
        <v>0P0</v>
      </c>
      <c r="AD985" t="str">
        <f t="shared" si="292"/>
        <v>P00</v>
      </c>
      <c r="AE985" t="str">
        <f t="shared" si="293"/>
        <v>0P0</v>
      </c>
      <c r="AF985" t="str">
        <f t="shared" si="294"/>
        <v>P00</v>
      </c>
      <c r="AG985" t="str">
        <f t="shared" si="300"/>
        <v>0P00</v>
      </c>
      <c r="AH985" t="str">
        <f t="shared" si="301"/>
        <v>P000</v>
      </c>
      <c r="AI985" t="str">
        <f t="shared" si="302"/>
        <v>0P00</v>
      </c>
      <c r="AJ985" t="str">
        <f t="shared" si="303"/>
        <v>P000</v>
      </c>
    </row>
    <row r="986" spans="1:36" x14ac:dyDescent="0.25">
      <c r="A986" s="325" t="str">
        <f>CONCATENATE("P",'906MP'!M686)</f>
        <v>P</v>
      </c>
      <c r="B986">
        <f>'906MP'!H686</f>
        <v>0</v>
      </c>
      <c r="C986">
        <f>'906MP'!J686</f>
        <v>0</v>
      </c>
      <c r="D986">
        <f>'906MP'!P686</f>
        <v>0</v>
      </c>
      <c r="E986">
        <f>'906MP'!X686</f>
        <v>0</v>
      </c>
      <c r="F986" t="str">
        <f t="shared" si="295"/>
        <v>0</v>
      </c>
      <c r="G986" t="str">
        <f t="shared" si="296"/>
        <v>0</v>
      </c>
      <c r="H986">
        <f>'906MP'!Y686</f>
        <v>0</v>
      </c>
      <c r="I986">
        <f>'906MP'!AK686</f>
        <v>0</v>
      </c>
      <c r="J986">
        <f>'906MP'!T686</f>
        <v>0</v>
      </c>
      <c r="K986">
        <f>'906MP'!AJ686</f>
        <v>0</v>
      </c>
      <c r="L986">
        <f>'906MP'!U686</f>
        <v>0</v>
      </c>
      <c r="M986" s="322" t="str">
        <f>IFERROR(VLOOKUP(A986,PAR!$D$3:$E$53,2,FALSE),"nincs szervezet")</f>
        <v>nincs szervezet</v>
      </c>
      <c r="N986" s="322" t="str">
        <f>VLOOKUP(F986,PAR!$R$3:$S$5,2,FALSE)</f>
        <v>3 - egyik sem</v>
      </c>
      <c r="O986" t="str">
        <f>IFERROR(VLOOKUP(J986,PAR!$O$3:$P$5,2,FALSE),"nincs feladat")</f>
        <v>nincs feladat</v>
      </c>
      <c r="P986" t="str">
        <f>IFERROR(VLOOKUP(G986,PAR!$J$2:$M$19,4),"nincs rovat")</f>
        <v>nincs rovat</v>
      </c>
      <c r="Q986" t="str">
        <f>IF(H986&gt;0,VLOOKUP(H986,PAR!$AA$3:$AC$187,3,FALSE),"nincs főkönyvi számla")</f>
        <v>nincs főkönyvi számla</v>
      </c>
      <c r="R986" t="str">
        <f>IFERROR(VLOOKUP(K986,PAR!$V$3:$X$438,3,FALSE),"000000 - Nincs COFOG")</f>
        <v>000000 - Nincs COFOG</v>
      </c>
      <c r="S986">
        <f t="shared" si="297"/>
        <v>0</v>
      </c>
      <c r="T986">
        <f t="shared" si="298"/>
        <v>0</v>
      </c>
      <c r="U986" t="str">
        <f>IF('906MP'!J686&gt;0,CONCATENATE('906MP'!J686," - ",'906MP'!P686,", ",'906MP'!E686),"nincs megjegyzés")</f>
        <v>nincs megjegyzés</v>
      </c>
      <c r="V986" t="str">
        <f t="shared" si="285"/>
        <v>0P0</v>
      </c>
      <c r="W986" t="str">
        <f t="shared" si="286"/>
        <v>0P0</v>
      </c>
      <c r="X986" t="str">
        <f t="shared" si="287"/>
        <v>P0</v>
      </c>
      <c r="Y986" t="str">
        <f t="shared" si="288"/>
        <v>00</v>
      </c>
      <c r="Z986" t="str">
        <f t="shared" si="299"/>
        <v>00</v>
      </c>
      <c r="AA986" t="str">
        <f t="shared" si="289"/>
        <v>00</v>
      </c>
      <c r="AB986" t="str">
        <f t="shared" si="290"/>
        <v>00</v>
      </c>
      <c r="AC986" t="str">
        <f t="shared" si="291"/>
        <v>0P0</v>
      </c>
      <c r="AD986" t="str">
        <f t="shared" si="292"/>
        <v>P00</v>
      </c>
      <c r="AE986" t="str">
        <f t="shared" si="293"/>
        <v>0P0</v>
      </c>
      <c r="AF986" t="str">
        <f t="shared" si="294"/>
        <v>P00</v>
      </c>
      <c r="AG986" t="str">
        <f t="shared" si="300"/>
        <v>0P00</v>
      </c>
      <c r="AH986" t="str">
        <f t="shared" si="301"/>
        <v>P000</v>
      </c>
      <c r="AI986" t="str">
        <f t="shared" si="302"/>
        <v>0P00</v>
      </c>
      <c r="AJ986" t="str">
        <f t="shared" si="303"/>
        <v>P000</v>
      </c>
    </row>
    <row r="987" spans="1:36" x14ac:dyDescent="0.25">
      <c r="A987" s="325" t="str">
        <f>CONCATENATE("P",'906MP'!M687)</f>
        <v>P</v>
      </c>
      <c r="B987">
        <f>'906MP'!H687</f>
        <v>0</v>
      </c>
      <c r="C987">
        <f>'906MP'!J687</f>
        <v>0</v>
      </c>
      <c r="D987">
        <f>'906MP'!P687</f>
        <v>0</v>
      </c>
      <c r="E987">
        <f>'906MP'!X687</f>
        <v>0</v>
      </c>
      <c r="F987" t="str">
        <f t="shared" si="295"/>
        <v>0</v>
      </c>
      <c r="G987" t="str">
        <f t="shared" si="296"/>
        <v>0</v>
      </c>
      <c r="H987">
        <f>'906MP'!Y687</f>
        <v>0</v>
      </c>
      <c r="I987">
        <f>'906MP'!AK687</f>
        <v>0</v>
      </c>
      <c r="J987">
        <f>'906MP'!T687</f>
        <v>0</v>
      </c>
      <c r="K987">
        <f>'906MP'!AJ687</f>
        <v>0</v>
      </c>
      <c r="L987">
        <f>'906MP'!U687</f>
        <v>0</v>
      </c>
      <c r="M987" s="322" t="str">
        <f>IFERROR(VLOOKUP(A987,PAR!$D$3:$E$53,2,FALSE),"nincs szervezet")</f>
        <v>nincs szervezet</v>
      </c>
      <c r="N987" s="322" t="str">
        <f>VLOOKUP(F987,PAR!$R$3:$S$5,2,FALSE)</f>
        <v>3 - egyik sem</v>
      </c>
      <c r="O987" t="str">
        <f>IFERROR(VLOOKUP(J987,PAR!$O$3:$P$5,2,FALSE),"nincs feladat")</f>
        <v>nincs feladat</v>
      </c>
      <c r="P987" t="str">
        <f>IFERROR(VLOOKUP(G987,PAR!$J$2:$M$19,4),"nincs rovat")</f>
        <v>nincs rovat</v>
      </c>
      <c r="Q987" t="str">
        <f>IF(H987&gt;0,VLOOKUP(H987,PAR!$AA$3:$AC$187,3,FALSE),"nincs főkönyvi számla")</f>
        <v>nincs főkönyvi számla</v>
      </c>
      <c r="R987" t="str">
        <f>IFERROR(VLOOKUP(K987,PAR!$V$3:$X$438,3,FALSE),"000000 - Nincs COFOG")</f>
        <v>000000 - Nincs COFOG</v>
      </c>
      <c r="S987">
        <f t="shared" si="297"/>
        <v>0</v>
      </c>
      <c r="T987">
        <f t="shared" si="298"/>
        <v>0</v>
      </c>
      <c r="U987" t="str">
        <f>IF('906MP'!J687&gt;0,CONCATENATE('906MP'!J687," - ",'906MP'!P687,", ",'906MP'!E687),"nincs megjegyzés")</f>
        <v>nincs megjegyzés</v>
      </c>
      <c r="V987" t="str">
        <f t="shared" si="285"/>
        <v>0P0</v>
      </c>
      <c r="W987" t="str">
        <f t="shared" si="286"/>
        <v>0P0</v>
      </c>
      <c r="X987" t="str">
        <f t="shared" si="287"/>
        <v>P0</v>
      </c>
      <c r="Y987" t="str">
        <f t="shared" si="288"/>
        <v>00</v>
      </c>
      <c r="Z987" t="str">
        <f t="shared" si="299"/>
        <v>00</v>
      </c>
      <c r="AA987" t="str">
        <f t="shared" si="289"/>
        <v>00</v>
      </c>
      <c r="AB987" t="str">
        <f t="shared" si="290"/>
        <v>00</v>
      </c>
      <c r="AC987" t="str">
        <f t="shared" si="291"/>
        <v>0P0</v>
      </c>
      <c r="AD987" t="str">
        <f t="shared" si="292"/>
        <v>P00</v>
      </c>
      <c r="AE987" t="str">
        <f t="shared" si="293"/>
        <v>0P0</v>
      </c>
      <c r="AF987" t="str">
        <f t="shared" si="294"/>
        <v>P00</v>
      </c>
      <c r="AG987" t="str">
        <f t="shared" si="300"/>
        <v>0P00</v>
      </c>
      <c r="AH987" t="str">
        <f t="shared" si="301"/>
        <v>P000</v>
      </c>
      <c r="AI987" t="str">
        <f t="shared" si="302"/>
        <v>0P00</v>
      </c>
      <c r="AJ987" t="str">
        <f t="shared" si="303"/>
        <v>P000</v>
      </c>
    </row>
    <row r="988" spans="1:36" x14ac:dyDescent="0.25">
      <c r="A988" s="325" t="str">
        <f>CONCATENATE("P",'906MP'!M688)</f>
        <v>P</v>
      </c>
      <c r="B988">
        <f>'906MP'!H688</f>
        <v>0</v>
      </c>
      <c r="C988">
        <f>'906MP'!J688</f>
        <v>0</v>
      </c>
      <c r="D988">
        <f>'906MP'!P688</f>
        <v>0</v>
      </c>
      <c r="E988">
        <f>'906MP'!X688</f>
        <v>0</v>
      </c>
      <c r="F988" t="str">
        <f t="shared" si="295"/>
        <v>0</v>
      </c>
      <c r="G988" t="str">
        <f t="shared" si="296"/>
        <v>0</v>
      </c>
      <c r="H988">
        <f>'906MP'!Y688</f>
        <v>0</v>
      </c>
      <c r="I988">
        <f>'906MP'!AK688</f>
        <v>0</v>
      </c>
      <c r="J988">
        <f>'906MP'!T688</f>
        <v>0</v>
      </c>
      <c r="K988">
        <f>'906MP'!AJ688</f>
        <v>0</v>
      </c>
      <c r="L988">
        <f>'906MP'!U688</f>
        <v>0</v>
      </c>
      <c r="M988" s="322" t="str">
        <f>IFERROR(VLOOKUP(A988,PAR!$D$3:$E$53,2,FALSE),"nincs szervezet")</f>
        <v>nincs szervezet</v>
      </c>
      <c r="N988" s="322" t="str">
        <f>VLOOKUP(F988,PAR!$R$3:$S$5,2,FALSE)</f>
        <v>3 - egyik sem</v>
      </c>
      <c r="O988" t="str">
        <f>IFERROR(VLOOKUP(J988,PAR!$O$3:$P$5,2,FALSE),"nincs feladat")</f>
        <v>nincs feladat</v>
      </c>
      <c r="P988" t="str">
        <f>IFERROR(VLOOKUP(G988,PAR!$J$2:$M$19,4),"nincs rovat")</f>
        <v>nincs rovat</v>
      </c>
      <c r="Q988" t="str">
        <f>IF(H988&gt;0,VLOOKUP(H988,PAR!$AA$3:$AC$187,3,FALSE),"nincs főkönyvi számla")</f>
        <v>nincs főkönyvi számla</v>
      </c>
      <c r="R988" t="str">
        <f>IFERROR(VLOOKUP(K988,PAR!$V$3:$X$438,3,FALSE),"000000 - Nincs COFOG")</f>
        <v>000000 - Nincs COFOG</v>
      </c>
      <c r="S988">
        <f t="shared" si="297"/>
        <v>0</v>
      </c>
      <c r="T988">
        <f t="shared" si="298"/>
        <v>0</v>
      </c>
      <c r="U988" t="str">
        <f>IF('906MP'!J688&gt;0,CONCATENATE('906MP'!J688," - ",'906MP'!P688,", ",'906MP'!E688),"nincs megjegyzés")</f>
        <v>nincs megjegyzés</v>
      </c>
      <c r="V988" t="str">
        <f t="shared" si="285"/>
        <v>0P0</v>
      </c>
      <c r="W988" t="str">
        <f t="shared" si="286"/>
        <v>0P0</v>
      </c>
      <c r="X988" t="str">
        <f t="shared" si="287"/>
        <v>P0</v>
      </c>
      <c r="Y988" t="str">
        <f t="shared" si="288"/>
        <v>00</v>
      </c>
      <c r="Z988" t="str">
        <f t="shared" si="299"/>
        <v>00</v>
      </c>
      <c r="AA988" t="str">
        <f t="shared" si="289"/>
        <v>00</v>
      </c>
      <c r="AB988" t="str">
        <f t="shared" si="290"/>
        <v>00</v>
      </c>
      <c r="AC988" t="str">
        <f t="shared" si="291"/>
        <v>0P0</v>
      </c>
      <c r="AD988" t="str">
        <f t="shared" si="292"/>
        <v>P00</v>
      </c>
      <c r="AE988" t="str">
        <f t="shared" si="293"/>
        <v>0P0</v>
      </c>
      <c r="AF988" t="str">
        <f t="shared" si="294"/>
        <v>P00</v>
      </c>
      <c r="AG988" t="str">
        <f t="shared" si="300"/>
        <v>0P00</v>
      </c>
      <c r="AH988" t="str">
        <f t="shared" si="301"/>
        <v>P000</v>
      </c>
      <c r="AI988" t="str">
        <f t="shared" si="302"/>
        <v>0P00</v>
      </c>
      <c r="AJ988" t="str">
        <f t="shared" si="303"/>
        <v>P000</v>
      </c>
    </row>
    <row r="989" spans="1:36" x14ac:dyDescent="0.25">
      <c r="A989" s="325" t="str">
        <f>CONCATENATE("P",'906MP'!M689)</f>
        <v>P</v>
      </c>
      <c r="B989">
        <f>'906MP'!H689</f>
        <v>0</v>
      </c>
      <c r="C989">
        <f>'906MP'!J689</f>
        <v>0</v>
      </c>
      <c r="D989">
        <f>'906MP'!P689</f>
        <v>0</v>
      </c>
      <c r="E989">
        <f>'906MP'!X689</f>
        <v>0</v>
      </c>
      <c r="F989" t="str">
        <f t="shared" si="295"/>
        <v>0</v>
      </c>
      <c r="G989" t="str">
        <f t="shared" si="296"/>
        <v>0</v>
      </c>
      <c r="H989">
        <f>'906MP'!Y689</f>
        <v>0</v>
      </c>
      <c r="I989">
        <f>'906MP'!AK689</f>
        <v>0</v>
      </c>
      <c r="J989">
        <f>'906MP'!T689</f>
        <v>0</v>
      </c>
      <c r="K989">
        <f>'906MP'!AJ689</f>
        <v>0</v>
      </c>
      <c r="L989">
        <f>'906MP'!U689</f>
        <v>0</v>
      </c>
      <c r="M989" s="322" t="str">
        <f>IFERROR(VLOOKUP(A989,PAR!$D$3:$E$53,2,FALSE),"nincs szervezet")</f>
        <v>nincs szervezet</v>
      </c>
      <c r="N989" s="322" t="str">
        <f>VLOOKUP(F989,PAR!$R$3:$S$5,2,FALSE)</f>
        <v>3 - egyik sem</v>
      </c>
      <c r="O989" t="str">
        <f>IFERROR(VLOOKUP(J989,PAR!$O$3:$P$5,2,FALSE),"nincs feladat")</f>
        <v>nincs feladat</v>
      </c>
      <c r="P989" t="str">
        <f>IFERROR(VLOOKUP(G989,PAR!$J$2:$M$19,4),"nincs rovat")</f>
        <v>nincs rovat</v>
      </c>
      <c r="Q989" t="str">
        <f>IF(H989&gt;0,VLOOKUP(H989,PAR!$AA$3:$AC$187,3,FALSE),"nincs főkönyvi számla")</f>
        <v>nincs főkönyvi számla</v>
      </c>
      <c r="R989" t="str">
        <f>IFERROR(VLOOKUP(K989,PAR!$V$3:$X$438,3,FALSE),"000000 - Nincs COFOG")</f>
        <v>000000 - Nincs COFOG</v>
      </c>
      <c r="S989">
        <f t="shared" si="297"/>
        <v>0</v>
      </c>
      <c r="T989">
        <f t="shared" si="298"/>
        <v>0</v>
      </c>
      <c r="U989" t="str">
        <f>IF('906MP'!J689&gt;0,CONCATENATE('906MP'!J689," - ",'906MP'!P689,", ",'906MP'!E689),"nincs megjegyzés")</f>
        <v>nincs megjegyzés</v>
      </c>
      <c r="V989" t="str">
        <f t="shared" si="285"/>
        <v>0P0</v>
      </c>
      <c r="W989" t="str">
        <f t="shared" si="286"/>
        <v>0P0</v>
      </c>
      <c r="X989" t="str">
        <f t="shared" si="287"/>
        <v>P0</v>
      </c>
      <c r="Y989" t="str">
        <f t="shared" si="288"/>
        <v>00</v>
      </c>
      <c r="Z989" t="str">
        <f t="shared" si="299"/>
        <v>00</v>
      </c>
      <c r="AA989" t="str">
        <f t="shared" si="289"/>
        <v>00</v>
      </c>
      <c r="AB989" t="str">
        <f t="shared" si="290"/>
        <v>00</v>
      </c>
      <c r="AC989" t="str">
        <f t="shared" si="291"/>
        <v>0P0</v>
      </c>
      <c r="AD989" t="str">
        <f t="shared" si="292"/>
        <v>P00</v>
      </c>
      <c r="AE989" t="str">
        <f t="shared" si="293"/>
        <v>0P0</v>
      </c>
      <c r="AF989" t="str">
        <f t="shared" si="294"/>
        <v>P00</v>
      </c>
      <c r="AG989" t="str">
        <f t="shared" si="300"/>
        <v>0P00</v>
      </c>
      <c r="AH989" t="str">
        <f t="shared" si="301"/>
        <v>P000</v>
      </c>
      <c r="AI989" t="str">
        <f t="shared" si="302"/>
        <v>0P00</v>
      </c>
      <c r="AJ989" t="str">
        <f t="shared" si="303"/>
        <v>P000</v>
      </c>
    </row>
    <row r="990" spans="1:36" x14ac:dyDescent="0.25">
      <c r="A990" s="325" t="str">
        <f>CONCATENATE("P",'906MP'!M690)</f>
        <v>P</v>
      </c>
      <c r="B990">
        <f>'906MP'!H690</f>
        <v>0</v>
      </c>
      <c r="C990">
        <f>'906MP'!J690</f>
        <v>0</v>
      </c>
      <c r="D990">
        <f>'906MP'!P690</f>
        <v>0</v>
      </c>
      <c r="E990">
        <f>'906MP'!X690</f>
        <v>0</v>
      </c>
      <c r="F990" t="str">
        <f t="shared" si="295"/>
        <v>0</v>
      </c>
      <c r="G990" t="str">
        <f t="shared" si="296"/>
        <v>0</v>
      </c>
      <c r="H990">
        <f>'906MP'!Y690</f>
        <v>0</v>
      </c>
      <c r="I990">
        <f>'906MP'!AK690</f>
        <v>0</v>
      </c>
      <c r="J990">
        <f>'906MP'!T690</f>
        <v>0</v>
      </c>
      <c r="K990">
        <f>'906MP'!AJ690</f>
        <v>0</v>
      </c>
      <c r="L990">
        <f>'906MP'!U690</f>
        <v>0</v>
      </c>
      <c r="M990" s="322" t="str">
        <f>IFERROR(VLOOKUP(A990,PAR!$D$3:$E$53,2,FALSE),"nincs szervezet")</f>
        <v>nincs szervezet</v>
      </c>
      <c r="N990" s="322" t="str">
        <f>VLOOKUP(F990,PAR!$R$3:$S$5,2,FALSE)</f>
        <v>3 - egyik sem</v>
      </c>
      <c r="O990" t="str">
        <f>IFERROR(VLOOKUP(J990,PAR!$O$3:$P$5,2,FALSE),"nincs feladat")</f>
        <v>nincs feladat</v>
      </c>
      <c r="P990" t="str">
        <f>IFERROR(VLOOKUP(G990,PAR!$J$2:$M$19,4),"nincs rovat")</f>
        <v>nincs rovat</v>
      </c>
      <c r="Q990" t="str">
        <f>IF(H990&gt;0,VLOOKUP(H990,PAR!$AA$3:$AC$187,3,FALSE),"nincs főkönyvi számla")</f>
        <v>nincs főkönyvi számla</v>
      </c>
      <c r="R990" t="str">
        <f>IFERROR(VLOOKUP(K990,PAR!$V$3:$X$438,3,FALSE),"000000 - Nincs COFOG")</f>
        <v>000000 - Nincs COFOG</v>
      </c>
      <c r="S990">
        <f t="shared" si="297"/>
        <v>0</v>
      </c>
      <c r="T990">
        <f t="shared" si="298"/>
        <v>0</v>
      </c>
      <c r="U990" t="str">
        <f>IF('906MP'!J690&gt;0,CONCATENATE('906MP'!J690," - ",'906MP'!P690,", ",'906MP'!E690),"nincs megjegyzés")</f>
        <v>nincs megjegyzés</v>
      </c>
      <c r="V990" t="str">
        <f t="shared" si="285"/>
        <v>0P0</v>
      </c>
      <c r="W990" t="str">
        <f t="shared" si="286"/>
        <v>0P0</v>
      </c>
      <c r="X990" t="str">
        <f t="shared" si="287"/>
        <v>P0</v>
      </c>
      <c r="Y990" t="str">
        <f t="shared" si="288"/>
        <v>00</v>
      </c>
      <c r="Z990" t="str">
        <f t="shared" si="299"/>
        <v>00</v>
      </c>
      <c r="AA990" t="str">
        <f t="shared" si="289"/>
        <v>00</v>
      </c>
      <c r="AB990" t="str">
        <f t="shared" si="290"/>
        <v>00</v>
      </c>
      <c r="AC990" t="str">
        <f t="shared" si="291"/>
        <v>0P0</v>
      </c>
      <c r="AD990" t="str">
        <f t="shared" si="292"/>
        <v>P00</v>
      </c>
      <c r="AE990" t="str">
        <f t="shared" si="293"/>
        <v>0P0</v>
      </c>
      <c r="AF990" t="str">
        <f t="shared" si="294"/>
        <v>P00</v>
      </c>
      <c r="AG990" t="str">
        <f t="shared" si="300"/>
        <v>0P00</v>
      </c>
      <c r="AH990" t="str">
        <f t="shared" si="301"/>
        <v>P000</v>
      </c>
      <c r="AI990" t="str">
        <f t="shared" si="302"/>
        <v>0P00</v>
      </c>
      <c r="AJ990" t="str">
        <f t="shared" si="303"/>
        <v>P000</v>
      </c>
    </row>
    <row r="991" spans="1:36" x14ac:dyDescent="0.25">
      <c r="A991" s="325" t="str">
        <f>CONCATENATE("P",'906MP'!M691)</f>
        <v>P</v>
      </c>
      <c r="B991">
        <f>'906MP'!H691</f>
        <v>0</v>
      </c>
      <c r="C991">
        <f>'906MP'!J691</f>
        <v>0</v>
      </c>
      <c r="D991">
        <f>'906MP'!P691</f>
        <v>0</v>
      </c>
      <c r="E991">
        <f>'906MP'!X691</f>
        <v>0</v>
      </c>
      <c r="F991" t="str">
        <f t="shared" si="295"/>
        <v>0</v>
      </c>
      <c r="G991" t="str">
        <f t="shared" si="296"/>
        <v>0</v>
      </c>
      <c r="H991">
        <f>'906MP'!Y691</f>
        <v>0</v>
      </c>
      <c r="I991">
        <f>'906MP'!AK691</f>
        <v>0</v>
      </c>
      <c r="J991">
        <f>'906MP'!T691</f>
        <v>0</v>
      </c>
      <c r="K991">
        <f>'906MP'!AJ691</f>
        <v>0</v>
      </c>
      <c r="L991">
        <f>'906MP'!U691</f>
        <v>0</v>
      </c>
      <c r="M991" s="322" t="str">
        <f>IFERROR(VLOOKUP(A991,PAR!$D$3:$E$53,2,FALSE),"nincs szervezet")</f>
        <v>nincs szervezet</v>
      </c>
      <c r="N991" s="322" t="str">
        <f>VLOOKUP(F991,PAR!$R$3:$S$5,2,FALSE)</f>
        <v>3 - egyik sem</v>
      </c>
      <c r="O991" t="str">
        <f>IFERROR(VLOOKUP(J991,PAR!$O$3:$P$5,2,FALSE),"nincs feladat")</f>
        <v>nincs feladat</v>
      </c>
      <c r="P991" t="str">
        <f>IFERROR(VLOOKUP(G991,PAR!$J$2:$M$19,4),"nincs rovat")</f>
        <v>nincs rovat</v>
      </c>
      <c r="Q991" t="str">
        <f>IF(H991&gt;0,VLOOKUP(H991,PAR!$AA$3:$AC$187,3,FALSE),"nincs főkönyvi számla")</f>
        <v>nincs főkönyvi számla</v>
      </c>
      <c r="R991" t="str">
        <f>IFERROR(VLOOKUP(K991,PAR!$V$3:$X$438,3,FALSE),"000000 - Nincs COFOG")</f>
        <v>000000 - Nincs COFOG</v>
      </c>
      <c r="S991">
        <f t="shared" si="297"/>
        <v>0</v>
      </c>
      <c r="T991">
        <f t="shared" si="298"/>
        <v>0</v>
      </c>
      <c r="U991" t="str">
        <f>IF('906MP'!J691&gt;0,CONCATENATE('906MP'!J691," - ",'906MP'!P691,", ",'906MP'!E691),"nincs megjegyzés")</f>
        <v>nincs megjegyzés</v>
      </c>
      <c r="V991" t="str">
        <f t="shared" si="285"/>
        <v>0P0</v>
      </c>
      <c r="W991" t="str">
        <f t="shared" si="286"/>
        <v>0P0</v>
      </c>
      <c r="X991" t="str">
        <f t="shared" si="287"/>
        <v>P0</v>
      </c>
      <c r="Y991" t="str">
        <f t="shared" si="288"/>
        <v>00</v>
      </c>
      <c r="Z991" t="str">
        <f t="shared" si="299"/>
        <v>00</v>
      </c>
      <c r="AA991" t="str">
        <f t="shared" si="289"/>
        <v>00</v>
      </c>
      <c r="AB991" t="str">
        <f t="shared" si="290"/>
        <v>00</v>
      </c>
      <c r="AC991" t="str">
        <f t="shared" si="291"/>
        <v>0P0</v>
      </c>
      <c r="AD991" t="str">
        <f t="shared" si="292"/>
        <v>P00</v>
      </c>
      <c r="AE991" t="str">
        <f t="shared" si="293"/>
        <v>0P0</v>
      </c>
      <c r="AF991" t="str">
        <f t="shared" si="294"/>
        <v>P00</v>
      </c>
      <c r="AG991" t="str">
        <f t="shared" si="300"/>
        <v>0P00</v>
      </c>
      <c r="AH991" t="str">
        <f t="shared" si="301"/>
        <v>P000</v>
      </c>
      <c r="AI991" t="str">
        <f t="shared" si="302"/>
        <v>0P00</v>
      </c>
      <c r="AJ991" t="str">
        <f t="shared" si="303"/>
        <v>P000</v>
      </c>
    </row>
    <row r="992" spans="1:36" x14ac:dyDescent="0.25">
      <c r="A992" s="325" t="str">
        <f>CONCATENATE("P",'906MP'!M692)</f>
        <v>P</v>
      </c>
      <c r="B992">
        <f>'906MP'!H692</f>
        <v>0</v>
      </c>
      <c r="C992">
        <f>'906MP'!J692</f>
        <v>0</v>
      </c>
      <c r="D992">
        <f>'906MP'!P692</f>
        <v>0</v>
      </c>
      <c r="E992">
        <f>'906MP'!X692</f>
        <v>0</v>
      </c>
      <c r="F992" t="str">
        <f t="shared" si="295"/>
        <v>0</v>
      </c>
      <c r="G992" t="str">
        <f t="shared" si="296"/>
        <v>0</v>
      </c>
      <c r="H992">
        <f>'906MP'!Y692</f>
        <v>0</v>
      </c>
      <c r="I992">
        <f>'906MP'!AK692</f>
        <v>0</v>
      </c>
      <c r="J992">
        <f>'906MP'!T692</f>
        <v>0</v>
      </c>
      <c r="K992">
        <f>'906MP'!AJ692</f>
        <v>0</v>
      </c>
      <c r="L992">
        <f>'906MP'!U692</f>
        <v>0</v>
      </c>
      <c r="M992" s="322" t="str">
        <f>IFERROR(VLOOKUP(A992,PAR!$D$3:$E$53,2,FALSE),"nincs szervezet")</f>
        <v>nincs szervezet</v>
      </c>
      <c r="N992" s="322" t="str">
        <f>VLOOKUP(F992,PAR!$R$3:$S$5,2,FALSE)</f>
        <v>3 - egyik sem</v>
      </c>
      <c r="O992" t="str">
        <f>IFERROR(VLOOKUP(J992,PAR!$O$3:$P$5,2,FALSE),"nincs feladat")</f>
        <v>nincs feladat</v>
      </c>
      <c r="P992" t="str">
        <f>IFERROR(VLOOKUP(G992,PAR!$J$2:$M$19,4),"nincs rovat")</f>
        <v>nincs rovat</v>
      </c>
      <c r="Q992" t="str">
        <f>IF(H992&gt;0,VLOOKUP(H992,PAR!$AA$3:$AC$187,3,FALSE),"nincs főkönyvi számla")</f>
        <v>nincs főkönyvi számla</v>
      </c>
      <c r="R992" t="str">
        <f>IFERROR(VLOOKUP(K992,PAR!$V$3:$X$438,3,FALSE),"000000 - Nincs COFOG")</f>
        <v>000000 - Nincs COFOG</v>
      </c>
      <c r="S992">
        <f t="shared" si="297"/>
        <v>0</v>
      </c>
      <c r="T992">
        <f t="shared" si="298"/>
        <v>0</v>
      </c>
      <c r="U992" t="str">
        <f>IF('906MP'!J692&gt;0,CONCATENATE('906MP'!J692," - ",'906MP'!P692,", ",'906MP'!E692),"nincs megjegyzés")</f>
        <v>nincs megjegyzés</v>
      </c>
      <c r="V992" t="str">
        <f t="shared" si="285"/>
        <v>0P0</v>
      </c>
      <c r="W992" t="str">
        <f t="shared" si="286"/>
        <v>0P0</v>
      </c>
      <c r="X992" t="str">
        <f t="shared" si="287"/>
        <v>P0</v>
      </c>
      <c r="Y992" t="str">
        <f t="shared" si="288"/>
        <v>00</v>
      </c>
      <c r="Z992" t="str">
        <f t="shared" si="299"/>
        <v>00</v>
      </c>
      <c r="AA992" t="str">
        <f t="shared" si="289"/>
        <v>00</v>
      </c>
      <c r="AB992" t="str">
        <f t="shared" si="290"/>
        <v>00</v>
      </c>
      <c r="AC992" t="str">
        <f t="shared" si="291"/>
        <v>0P0</v>
      </c>
      <c r="AD992" t="str">
        <f t="shared" si="292"/>
        <v>P00</v>
      </c>
      <c r="AE992" t="str">
        <f t="shared" si="293"/>
        <v>0P0</v>
      </c>
      <c r="AF992" t="str">
        <f t="shared" si="294"/>
        <v>P00</v>
      </c>
      <c r="AG992" t="str">
        <f t="shared" si="300"/>
        <v>0P00</v>
      </c>
      <c r="AH992" t="str">
        <f t="shared" si="301"/>
        <v>P000</v>
      </c>
      <c r="AI992" t="str">
        <f t="shared" si="302"/>
        <v>0P00</v>
      </c>
      <c r="AJ992" t="str">
        <f t="shared" si="303"/>
        <v>P000</v>
      </c>
    </row>
    <row r="993" spans="1:36" x14ac:dyDescent="0.25">
      <c r="A993" s="325" t="str">
        <f>CONCATENATE("P",'906MP'!M693)</f>
        <v>P</v>
      </c>
      <c r="B993">
        <f>'906MP'!H693</f>
        <v>0</v>
      </c>
      <c r="C993">
        <f>'906MP'!J693</f>
        <v>0</v>
      </c>
      <c r="D993">
        <f>'906MP'!P693</f>
        <v>0</v>
      </c>
      <c r="E993">
        <f>'906MP'!X693</f>
        <v>0</v>
      </c>
      <c r="F993" t="str">
        <f t="shared" si="295"/>
        <v>0</v>
      </c>
      <c r="G993" t="str">
        <f t="shared" si="296"/>
        <v>0</v>
      </c>
      <c r="H993">
        <f>'906MP'!Y693</f>
        <v>0</v>
      </c>
      <c r="I993">
        <f>'906MP'!AK693</f>
        <v>0</v>
      </c>
      <c r="J993">
        <f>'906MP'!T693</f>
        <v>0</v>
      </c>
      <c r="K993">
        <f>'906MP'!AJ693</f>
        <v>0</v>
      </c>
      <c r="L993">
        <f>'906MP'!U693</f>
        <v>0</v>
      </c>
      <c r="M993" s="322" t="str">
        <f>IFERROR(VLOOKUP(A993,PAR!$D$3:$E$53,2,FALSE),"nincs szervezet")</f>
        <v>nincs szervezet</v>
      </c>
      <c r="N993" s="322" t="str">
        <f>VLOOKUP(F993,PAR!$R$3:$S$5,2,FALSE)</f>
        <v>3 - egyik sem</v>
      </c>
      <c r="O993" t="str">
        <f>IFERROR(VLOOKUP(J993,PAR!$O$3:$P$5,2,FALSE),"nincs feladat")</f>
        <v>nincs feladat</v>
      </c>
      <c r="P993" t="str">
        <f>IFERROR(VLOOKUP(G993,PAR!$J$2:$M$19,4),"nincs rovat")</f>
        <v>nincs rovat</v>
      </c>
      <c r="Q993" t="str">
        <f>IF(H993&gt;0,VLOOKUP(H993,PAR!$AA$3:$AC$187,3,FALSE),"nincs főkönyvi számla")</f>
        <v>nincs főkönyvi számla</v>
      </c>
      <c r="R993" t="str">
        <f>IFERROR(VLOOKUP(K993,PAR!$V$3:$X$438,3,FALSE),"000000 - Nincs COFOG")</f>
        <v>000000 - Nincs COFOG</v>
      </c>
      <c r="S993">
        <f t="shared" si="297"/>
        <v>0</v>
      </c>
      <c r="T993">
        <f t="shared" si="298"/>
        <v>0</v>
      </c>
      <c r="U993" t="str">
        <f>IF('906MP'!J693&gt;0,CONCATENATE('906MP'!J693," - ",'906MP'!P693,", ",'906MP'!E693),"nincs megjegyzés")</f>
        <v>nincs megjegyzés</v>
      </c>
      <c r="V993" t="str">
        <f t="shared" si="285"/>
        <v>0P0</v>
      </c>
      <c r="W993" t="str">
        <f t="shared" si="286"/>
        <v>0P0</v>
      </c>
      <c r="X993" t="str">
        <f t="shared" si="287"/>
        <v>P0</v>
      </c>
      <c r="Y993" t="str">
        <f t="shared" si="288"/>
        <v>00</v>
      </c>
      <c r="Z993" t="str">
        <f t="shared" si="299"/>
        <v>00</v>
      </c>
      <c r="AA993" t="str">
        <f t="shared" si="289"/>
        <v>00</v>
      </c>
      <c r="AB993" t="str">
        <f t="shared" si="290"/>
        <v>00</v>
      </c>
      <c r="AC993" t="str">
        <f t="shared" si="291"/>
        <v>0P0</v>
      </c>
      <c r="AD993" t="str">
        <f t="shared" si="292"/>
        <v>P00</v>
      </c>
      <c r="AE993" t="str">
        <f t="shared" si="293"/>
        <v>0P0</v>
      </c>
      <c r="AF993" t="str">
        <f t="shared" si="294"/>
        <v>P00</v>
      </c>
      <c r="AG993" t="str">
        <f t="shared" si="300"/>
        <v>0P00</v>
      </c>
      <c r="AH993" t="str">
        <f t="shared" si="301"/>
        <v>P000</v>
      </c>
      <c r="AI993" t="str">
        <f t="shared" si="302"/>
        <v>0P00</v>
      </c>
      <c r="AJ993" t="str">
        <f t="shared" si="303"/>
        <v>P000</v>
      </c>
    </row>
    <row r="994" spans="1:36" x14ac:dyDescent="0.25">
      <c r="A994" s="325" t="str">
        <f>CONCATENATE("P",'906MP'!M694)</f>
        <v>P</v>
      </c>
      <c r="B994">
        <f>'906MP'!H694</f>
        <v>0</v>
      </c>
      <c r="C994">
        <f>'906MP'!J694</f>
        <v>0</v>
      </c>
      <c r="D994">
        <f>'906MP'!P694</f>
        <v>0</v>
      </c>
      <c r="E994">
        <f>'906MP'!X694</f>
        <v>0</v>
      </c>
      <c r="F994" t="str">
        <f t="shared" si="295"/>
        <v>0</v>
      </c>
      <c r="G994" t="str">
        <f t="shared" si="296"/>
        <v>0</v>
      </c>
      <c r="H994">
        <f>'906MP'!Y694</f>
        <v>0</v>
      </c>
      <c r="I994">
        <f>'906MP'!AK694</f>
        <v>0</v>
      </c>
      <c r="J994">
        <f>'906MP'!T694</f>
        <v>0</v>
      </c>
      <c r="K994">
        <f>'906MP'!AJ694</f>
        <v>0</v>
      </c>
      <c r="L994">
        <f>'906MP'!U694</f>
        <v>0</v>
      </c>
      <c r="M994" s="322" t="str">
        <f>IFERROR(VLOOKUP(A994,PAR!$D$3:$E$53,2,FALSE),"nincs szervezet")</f>
        <v>nincs szervezet</v>
      </c>
      <c r="N994" s="322" t="str">
        <f>VLOOKUP(F994,PAR!$R$3:$S$5,2,FALSE)</f>
        <v>3 - egyik sem</v>
      </c>
      <c r="O994" t="str">
        <f>IFERROR(VLOOKUP(J994,PAR!$O$3:$P$5,2,FALSE),"nincs feladat")</f>
        <v>nincs feladat</v>
      </c>
      <c r="P994" t="str">
        <f>IFERROR(VLOOKUP(G994,PAR!$J$2:$M$19,4),"nincs rovat")</f>
        <v>nincs rovat</v>
      </c>
      <c r="Q994" t="str">
        <f>IF(H994&gt;0,VLOOKUP(H994,PAR!$AA$3:$AC$187,3,FALSE),"nincs főkönyvi számla")</f>
        <v>nincs főkönyvi számla</v>
      </c>
      <c r="R994" t="str">
        <f>IFERROR(VLOOKUP(K994,PAR!$V$3:$X$438,3,FALSE),"000000 - Nincs COFOG")</f>
        <v>000000 - Nincs COFOG</v>
      </c>
      <c r="S994">
        <f t="shared" si="297"/>
        <v>0</v>
      </c>
      <c r="T994">
        <f t="shared" si="298"/>
        <v>0</v>
      </c>
      <c r="U994" t="str">
        <f>IF('906MP'!J694&gt;0,CONCATENATE('906MP'!J694," - ",'906MP'!P694,", ",'906MP'!E694),"nincs megjegyzés")</f>
        <v>nincs megjegyzés</v>
      </c>
      <c r="V994" t="str">
        <f t="shared" si="285"/>
        <v>0P0</v>
      </c>
      <c r="W994" t="str">
        <f t="shared" si="286"/>
        <v>0P0</v>
      </c>
      <c r="X994" t="str">
        <f t="shared" si="287"/>
        <v>P0</v>
      </c>
      <c r="Y994" t="str">
        <f t="shared" si="288"/>
        <v>00</v>
      </c>
      <c r="Z994" t="str">
        <f t="shared" si="299"/>
        <v>00</v>
      </c>
      <c r="AA994" t="str">
        <f t="shared" si="289"/>
        <v>00</v>
      </c>
      <c r="AB994" t="str">
        <f t="shared" si="290"/>
        <v>00</v>
      </c>
      <c r="AC994" t="str">
        <f t="shared" si="291"/>
        <v>0P0</v>
      </c>
      <c r="AD994" t="str">
        <f t="shared" si="292"/>
        <v>P00</v>
      </c>
      <c r="AE994" t="str">
        <f t="shared" si="293"/>
        <v>0P0</v>
      </c>
      <c r="AF994" t="str">
        <f t="shared" si="294"/>
        <v>P00</v>
      </c>
      <c r="AG994" t="str">
        <f t="shared" si="300"/>
        <v>0P00</v>
      </c>
      <c r="AH994" t="str">
        <f t="shared" si="301"/>
        <v>P000</v>
      </c>
      <c r="AI994" t="str">
        <f t="shared" si="302"/>
        <v>0P00</v>
      </c>
      <c r="AJ994" t="str">
        <f t="shared" si="303"/>
        <v>P000</v>
      </c>
    </row>
    <row r="995" spans="1:36" x14ac:dyDescent="0.25">
      <c r="A995" s="325" t="str">
        <f>CONCATENATE("P",'906MP'!M695)</f>
        <v>P</v>
      </c>
      <c r="B995">
        <f>'906MP'!H695</f>
        <v>0</v>
      </c>
      <c r="C995">
        <f>'906MP'!J695</f>
        <v>0</v>
      </c>
      <c r="D995">
        <f>'906MP'!P695</f>
        <v>0</v>
      </c>
      <c r="E995">
        <f>'906MP'!X695</f>
        <v>0</v>
      </c>
      <c r="F995" t="str">
        <f t="shared" si="295"/>
        <v>0</v>
      </c>
      <c r="G995" t="str">
        <f t="shared" si="296"/>
        <v>0</v>
      </c>
      <c r="H995">
        <f>'906MP'!Y695</f>
        <v>0</v>
      </c>
      <c r="I995">
        <f>'906MP'!AK695</f>
        <v>0</v>
      </c>
      <c r="J995">
        <f>'906MP'!T695</f>
        <v>0</v>
      </c>
      <c r="K995">
        <f>'906MP'!AJ695</f>
        <v>0</v>
      </c>
      <c r="L995">
        <f>'906MP'!U695</f>
        <v>0</v>
      </c>
      <c r="M995" s="322" t="str">
        <f>IFERROR(VLOOKUP(A995,PAR!$D$3:$E$53,2,FALSE),"nincs szervezet")</f>
        <v>nincs szervezet</v>
      </c>
      <c r="N995" s="322" t="str">
        <f>VLOOKUP(F995,PAR!$R$3:$S$5,2,FALSE)</f>
        <v>3 - egyik sem</v>
      </c>
      <c r="O995" t="str">
        <f>IFERROR(VLOOKUP(J995,PAR!$O$3:$P$5,2,FALSE),"nincs feladat")</f>
        <v>nincs feladat</v>
      </c>
      <c r="P995" t="str">
        <f>IFERROR(VLOOKUP(G995,PAR!$J$2:$M$19,4),"nincs rovat")</f>
        <v>nincs rovat</v>
      </c>
      <c r="Q995" t="str">
        <f>IF(H995&gt;0,VLOOKUP(H995,PAR!$AA$3:$AC$187,3,FALSE),"nincs főkönyvi számla")</f>
        <v>nincs főkönyvi számla</v>
      </c>
      <c r="R995" t="str">
        <f>IFERROR(VLOOKUP(K995,PAR!$V$3:$X$438,3,FALSE),"000000 - Nincs COFOG")</f>
        <v>000000 - Nincs COFOG</v>
      </c>
      <c r="S995">
        <f t="shared" si="297"/>
        <v>0</v>
      </c>
      <c r="T995">
        <f t="shared" si="298"/>
        <v>0</v>
      </c>
      <c r="U995" t="str">
        <f>IF('906MP'!J695&gt;0,CONCATENATE('906MP'!J695," - ",'906MP'!P695,", ",'906MP'!E695),"nincs megjegyzés")</f>
        <v>nincs megjegyzés</v>
      </c>
      <c r="V995" t="str">
        <f t="shared" si="285"/>
        <v>0P0</v>
      </c>
      <c r="W995" t="str">
        <f t="shared" si="286"/>
        <v>0P0</v>
      </c>
      <c r="X995" t="str">
        <f t="shared" si="287"/>
        <v>P0</v>
      </c>
      <c r="Y995" t="str">
        <f t="shared" si="288"/>
        <v>00</v>
      </c>
      <c r="Z995" t="str">
        <f t="shared" si="299"/>
        <v>00</v>
      </c>
      <c r="AA995" t="str">
        <f t="shared" si="289"/>
        <v>00</v>
      </c>
      <c r="AB995" t="str">
        <f t="shared" si="290"/>
        <v>00</v>
      </c>
      <c r="AC995" t="str">
        <f t="shared" si="291"/>
        <v>0P0</v>
      </c>
      <c r="AD995" t="str">
        <f t="shared" si="292"/>
        <v>P00</v>
      </c>
      <c r="AE995" t="str">
        <f t="shared" si="293"/>
        <v>0P0</v>
      </c>
      <c r="AF995" t="str">
        <f t="shared" si="294"/>
        <v>P00</v>
      </c>
      <c r="AG995" t="str">
        <f t="shared" si="300"/>
        <v>0P00</v>
      </c>
      <c r="AH995" t="str">
        <f t="shared" si="301"/>
        <v>P000</v>
      </c>
      <c r="AI995" t="str">
        <f t="shared" si="302"/>
        <v>0P00</v>
      </c>
      <c r="AJ995" t="str">
        <f t="shared" si="303"/>
        <v>P000</v>
      </c>
    </row>
    <row r="996" spans="1:36" x14ac:dyDescent="0.25">
      <c r="A996" s="325" t="str">
        <f>CONCATENATE("P",'906MP'!M696)</f>
        <v>P</v>
      </c>
      <c r="B996">
        <f>'906MP'!H696</f>
        <v>0</v>
      </c>
      <c r="C996">
        <f>'906MP'!J696</f>
        <v>0</v>
      </c>
      <c r="D996">
        <f>'906MP'!P696</f>
        <v>0</v>
      </c>
      <c r="E996">
        <f>'906MP'!X696</f>
        <v>0</v>
      </c>
      <c r="F996" t="str">
        <f t="shared" si="295"/>
        <v>0</v>
      </c>
      <c r="G996" t="str">
        <f t="shared" si="296"/>
        <v>0</v>
      </c>
      <c r="H996">
        <f>'906MP'!Y696</f>
        <v>0</v>
      </c>
      <c r="I996">
        <f>'906MP'!AK696</f>
        <v>0</v>
      </c>
      <c r="J996">
        <f>'906MP'!T696</f>
        <v>0</v>
      </c>
      <c r="K996">
        <f>'906MP'!AJ696</f>
        <v>0</v>
      </c>
      <c r="L996">
        <f>'906MP'!U696</f>
        <v>0</v>
      </c>
      <c r="M996" s="322" t="str">
        <f>IFERROR(VLOOKUP(A996,PAR!$D$3:$E$53,2,FALSE),"nincs szervezet")</f>
        <v>nincs szervezet</v>
      </c>
      <c r="N996" s="322" t="str">
        <f>VLOOKUP(F996,PAR!$R$3:$S$5,2,FALSE)</f>
        <v>3 - egyik sem</v>
      </c>
      <c r="O996" t="str">
        <f>IFERROR(VLOOKUP(J996,PAR!$O$3:$P$5,2,FALSE),"nincs feladat")</f>
        <v>nincs feladat</v>
      </c>
      <c r="P996" t="str">
        <f>IFERROR(VLOOKUP(G996,PAR!$J$2:$M$19,4),"nincs rovat")</f>
        <v>nincs rovat</v>
      </c>
      <c r="Q996" t="str">
        <f>IF(H996&gt;0,VLOOKUP(H996,PAR!$AA$3:$AC$187,3,FALSE),"nincs főkönyvi számla")</f>
        <v>nincs főkönyvi számla</v>
      </c>
      <c r="R996" t="str">
        <f>IFERROR(VLOOKUP(K996,PAR!$V$3:$X$438,3,FALSE),"000000 - Nincs COFOG")</f>
        <v>000000 - Nincs COFOG</v>
      </c>
      <c r="S996">
        <f t="shared" si="297"/>
        <v>0</v>
      </c>
      <c r="T996">
        <f t="shared" si="298"/>
        <v>0</v>
      </c>
      <c r="U996" t="str">
        <f>IF('906MP'!J696&gt;0,CONCATENATE('906MP'!J696," - ",'906MP'!P696,", ",'906MP'!E696),"nincs megjegyzés")</f>
        <v>nincs megjegyzés</v>
      </c>
      <c r="V996" t="str">
        <f t="shared" si="285"/>
        <v>0P0</v>
      </c>
      <c r="W996" t="str">
        <f t="shared" si="286"/>
        <v>0P0</v>
      </c>
      <c r="X996" t="str">
        <f t="shared" si="287"/>
        <v>P0</v>
      </c>
      <c r="Y996" t="str">
        <f t="shared" si="288"/>
        <v>00</v>
      </c>
      <c r="Z996" t="str">
        <f t="shared" si="299"/>
        <v>00</v>
      </c>
      <c r="AA996" t="str">
        <f t="shared" si="289"/>
        <v>00</v>
      </c>
      <c r="AB996" t="str">
        <f t="shared" si="290"/>
        <v>00</v>
      </c>
      <c r="AC996" t="str">
        <f t="shared" si="291"/>
        <v>0P0</v>
      </c>
      <c r="AD996" t="str">
        <f t="shared" si="292"/>
        <v>P00</v>
      </c>
      <c r="AE996" t="str">
        <f t="shared" si="293"/>
        <v>0P0</v>
      </c>
      <c r="AF996" t="str">
        <f t="shared" si="294"/>
        <v>P00</v>
      </c>
      <c r="AG996" t="str">
        <f t="shared" si="300"/>
        <v>0P00</v>
      </c>
      <c r="AH996" t="str">
        <f t="shared" si="301"/>
        <v>P000</v>
      </c>
      <c r="AI996" t="str">
        <f t="shared" si="302"/>
        <v>0P00</v>
      </c>
      <c r="AJ996" t="str">
        <f t="shared" si="303"/>
        <v>P000</v>
      </c>
    </row>
    <row r="997" spans="1:36" x14ac:dyDescent="0.25">
      <c r="A997" s="325" t="str">
        <f>CONCATENATE("P",'906MP'!M697)</f>
        <v>P</v>
      </c>
      <c r="B997">
        <f>'906MP'!H697</f>
        <v>0</v>
      </c>
      <c r="C997">
        <f>'906MP'!J697</f>
        <v>0</v>
      </c>
      <c r="D997">
        <f>'906MP'!P697</f>
        <v>0</v>
      </c>
      <c r="E997">
        <f>'906MP'!X697</f>
        <v>0</v>
      </c>
      <c r="F997" t="str">
        <f t="shared" si="295"/>
        <v>0</v>
      </c>
      <c r="G997" t="str">
        <f t="shared" si="296"/>
        <v>0</v>
      </c>
      <c r="H997">
        <f>'906MP'!Y697</f>
        <v>0</v>
      </c>
      <c r="I997">
        <f>'906MP'!AK697</f>
        <v>0</v>
      </c>
      <c r="J997">
        <f>'906MP'!T697</f>
        <v>0</v>
      </c>
      <c r="K997">
        <f>'906MP'!AJ697</f>
        <v>0</v>
      </c>
      <c r="L997">
        <f>'906MP'!U697</f>
        <v>0</v>
      </c>
      <c r="M997" s="322" t="str">
        <f>IFERROR(VLOOKUP(A997,PAR!$D$3:$E$53,2,FALSE),"nincs szervezet")</f>
        <v>nincs szervezet</v>
      </c>
      <c r="N997" s="322" t="str">
        <f>VLOOKUP(F997,PAR!$R$3:$S$5,2,FALSE)</f>
        <v>3 - egyik sem</v>
      </c>
      <c r="O997" t="str">
        <f>IFERROR(VLOOKUP(J997,PAR!$O$3:$P$5,2,FALSE),"nincs feladat")</f>
        <v>nincs feladat</v>
      </c>
      <c r="P997" t="str">
        <f>IFERROR(VLOOKUP(G997,PAR!$J$2:$M$19,4),"nincs rovat")</f>
        <v>nincs rovat</v>
      </c>
      <c r="Q997" t="str">
        <f>IF(H997&gt;0,VLOOKUP(H997,PAR!$AA$3:$AC$187,3,FALSE),"nincs főkönyvi számla")</f>
        <v>nincs főkönyvi számla</v>
      </c>
      <c r="R997" t="str">
        <f>IFERROR(VLOOKUP(K997,PAR!$V$3:$X$438,3,FALSE),"000000 - Nincs COFOG")</f>
        <v>000000 - Nincs COFOG</v>
      </c>
      <c r="S997">
        <f t="shared" si="297"/>
        <v>0</v>
      </c>
      <c r="T997">
        <f t="shared" si="298"/>
        <v>0</v>
      </c>
      <c r="U997" t="str">
        <f>IF('906MP'!J697&gt;0,CONCATENATE('906MP'!J697," - ",'906MP'!P697,", ",'906MP'!E697),"nincs megjegyzés")</f>
        <v>nincs megjegyzés</v>
      </c>
      <c r="V997" t="str">
        <f t="shared" si="285"/>
        <v>0P0</v>
      </c>
      <c r="W997" t="str">
        <f t="shared" si="286"/>
        <v>0P0</v>
      </c>
      <c r="X997" t="str">
        <f t="shared" si="287"/>
        <v>P0</v>
      </c>
      <c r="Y997" t="str">
        <f t="shared" si="288"/>
        <v>00</v>
      </c>
      <c r="Z997" t="str">
        <f t="shared" si="299"/>
        <v>00</v>
      </c>
      <c r="AA997" t="str">
        <f t="shared" si="289"/>
        <v>00</v>
      </c>
      <c r="AB997" t="str">
        <f t="shared" si="290"/>
        <v>00</v>
      </c>
      <c r="AC997" t="str">
        <f t="shared" si="291"/>
        <v>0P0</v>
      </c>
      <c r="AD997" t="str">
        <f t="shared" si="292"/>
        <v>P00</v>
      </c>
      <c r="AE997" t="str">
        <f t="shared" si="293"/>
        <v>0P0</v>
      </c>
      <c r="AF997" t="str">
        <f t="shared" si="294"/>
        <v>P00</v>
      </c>
      <c r="AG997" t="str">
        <f t="shared" si="300"/>
        <v>0P00</v>
      </c>
      <c r="AH997" t="str">
        <f t="shared" si="301"/>
        <v>P000</v>
      </c>
      <c r="AI997" t="str">
        <f t="shared" si="302"/>
        <v>0P00</v>
      </c>
      <c r="AJ997" t="str">
        <f t="shared" si="303"/>
        <v>P000</v>
      </c>
    </row>
    <row r="998" spans="1:36" x14ac:dyDescent="0.25">
      <c r="A998" s="325" t="str">
        <f>CONCATENATE("P",'906MP'!M698)</f>
        <v>P</v>
      </c>
      <c r="B998">
        <f>'906MP'!H698</f>
        <v>0</v>
      </c>
      <c r="C998">
        <f>'906MP'!J698</f>
        <v>0</v>
      </c>
      <c r="D998">
        <f>'906MP'!P698</f>
        <v>0</v>
      </c>
      <c r="E998">
        <f>'906MP'!X698</f>
        <v>0</v>
      </c>
      <c r="F998" t="str">
        <f t="shared" si="295"/>
        <v>0</v>
      </c>
      <c r="G998" t="str">
        <f t="shared" si="296"/>
        <v>0</v>
      </c>
      <c r="H998">
        <f>'906MP'!Y698</f>
        <v>0</v>
      </c>
      <c r="I998">
        <f>'906MP'!AK698</f>
        <v>0</v>
      </c>
      <c r="J998">
        <f>'906MP'!T698</f>
        <v>0</v>
      </c>
      <c r="K998">
        <f>'906MP'!AJ698</f>
        <v>0</v>
      </c>
      <c r="L998">
        <f>'906MP'!U698</f>
        <v>0</v>
      </c>
      <c r="M998" s="322" t="str">
        <f>IFERROR(VLOOKUP(A998,PAR!$D$3:$E$53,2,FALSE),"nincs szervezet")</f>
        <v>nincs szervezet</v>
      </c>
      <c r="N998" s="322" t="str">
        <f>VLOOKUP(F998,PAR!$R$3:$S$5,2,FALSE)</f>
        <v>3 - egyik sem</v>
      </c>
      <c r="O998" t="str">
        <f>IFERROR(VLOOKUP(J998,PAR!$O$3:$P$5,2,FALSE),"nincs feladat")</f>
        <v>nincs feladat</v>
      </c>
      <c r="P998" t="str">
        <f>IFERROR(VLOOKUP(G998,PAR!$J$2:$M$19,4),"nincs rovat")</f>
        <v>nincs rovat</v>
      </c>
      <c r="Q998" t="str">
        <f>IF(H998&gt;0,VLOOKUP(H998,PAR!$AA$3:$AC$187,3,FALSE),"nincs főkönyvi számla")</f>
        <v>nincs főkönyvi számla</v>
      </c>
      <c r="R998" t="str">
        <f>IFERROR(VLOOKUP(K998,PAR!$V$3:$X$438,3,FALSE),"000000 - Nincs COFOG")</f>
        <v>000000 - Nincs COFOG</v>
      </c>
      <c r="S998">
        <f t="shared" si="297"/>
        <v>0</v>
      </c>
      <c r="T998">
        <f t="shared" si="298"/>
        <v>0</v>
      </c>
      <c r="U998" t="str">
        <f>IF('906MP'!J698&gt;0,CONCATENATE('906MP'!J698," - ",'906MP'!P698,", ",'906MP'!E698),"nincs megjegyzés")</f>
        <v>nincs megjegyzés</v>
      </c>
      <c r="V998" t="str">
        <f t="shared" si="285"/>
        <v>0P0</v>
      </c>
      <c r="W998" t="str">
        <f t="shared" si="286"/>
        <v>0P0</v>
      </c>
      <c r="X998" t="str">
        <f t="shared" si="287"/>
        <v>P0</v>
      </c>
      <c r="Y998" t="str">
        <f t="shared" si="288"/>
        <v>00</v>
      </c>
      <c r="Z998" t="str">
        <f t="shared" si="299"/>
        <v>00</v>
      </c>
      <c r="AA998" t="str">
        <f t="shared" si="289"/>
        <v>00</v>
      </c>
      <c r="AB998" t="str">
        <f t="shared" si="290"/>
        <v>00</v>
      </c>
      <c r="AC998" t="str">
        <f t="shared" si="291"/>
        <v>0P0</v>
      </c>
      <c r="AD998" t="str">
        <f t="shared" si="292"/>
        <v>P00</v>
      </c>
      <c r="AE998" t="str">
        <f t="shared" si="293"/>
        <v>0P0</v>
      </c>
      <c r="AF998" t="str">
        <f t="shared" si="294"/>
        <v>P00</v>
      </c>
      <c r="AG998" t="str">
        <f t="shared" si="300"/>
        <v>0P00</v>
      </c>
      <c r="AH998" t="str">
        <f t="shared" si="301"/>
        <v>P000</v>
      </c>
      <c r="AI998" t="str">
        <f t="shared" si="302"/>
        <v>0P00</v>
      </c>
      <c r="AJ998" t="str">
        <f t="shared" si="303"/>
        <v>P000</v>
      </c>
    </row>
    <row r="999" spans="1:36" x14ac:dyDescent="0.25">
      <c r="A999" s="325" t="str">
        <f>CONCATENATE("P",'906MP'!M699)</f>
        <v>P</v>
      </c>
      <c r="B999">
        <f>'906MP'!H699</f>
        <v>0</v>
      </c>
      <c r="C999">
        <f>'906MP'!J699</f>
        <v>0</v>
      </c>
      <c r="D999">
        <f>'906MP'!P699</f>
        <v>0</v>
      </c>
      <c r="E999">
        <f>'906MP'!X699</f>
        <v>0</v>
      </c>
      <c r="F999" t="str">
        <f t="shared" si="295"/>
        <v>0</v>
      </c>
      <c r="G999" t="str">
        <f t="shared" si="296"/>
        <v>0</v>
      </c>
      <c r="H999">
        <f>'906MP'!Y699</f>
        <v>0</v>
      </c>
      <c r="I999">
        <f>'906MP'!AK699</f>
        <v>0</v>
      </c>
      <c r="J999">
        <f>'906MP'!T699</f>
        <v>0</v>
      </c>
      <c r="K999">
        <f>'906MP'!AJ699</f>
        <v>0</v>
      </c>
      <c r="L999">
        <f>'906MP'!U699</f>
        <v>0</v>
      </c>
      <c r="M999" s="322" t="str">
        <f>IFERROR(VLOOKUP(A999,PAR!$D$3:$E$53,2,FALSE),"nincs szervezet")</f>
        <v>nincs szervezet</v>
      </c>
      <c r="N999" s="322" t="str">
        <f>VLOOKUP(F999,PAR!$R$3:$S$5,2,FALSE)</f>
        <v>3 - egyik sem</v>
      </c>
      <c r="O999" t="str">
        <f>IFERROR(VLOOKUP(J999,PAR!$O$3:$P$5,2,FALSE),"nincs feladat")</f>
        <v>nincs feladat</v>
      </c>
      <c r="P999" t="str">
        <f>IFERROR(VLOOKUP(G999,PAR!$J$2:$M$19,4),"nincs rovat")</f>
        <v>nincs rovat</v>
      </c>
      <c r="Q999" t="str">
        <f>IF(H999&gt;0,VLOOKUP(H999,PAR!$AA$3:$AC$187,3,FALSE),"nincs főkönyvi számla")</f>
        <v>nincs főkönyvi számla</v>
      </c>
      <c r="R999" t="str">
        <f>IFERROR(VLOOKUP(K999,PAR!$V$3:$X$438,3,FALSE),"000000 - Nincs COFOG")</f>
        <v>000000 - Nincs COFOG</v>
      </c>
      <c r="S999">
        <f t="shared" si="297"/>
        <v>0</v>
      </c>
      <c r="T999">
        <f t="shared" si="298"/>
        <v>0</v>
      </c>
      <c r="U999" t="str">
        <f>IF('906MP'!J699&gt;0,CONCATENATE('906MP'!J699," - ",'906MP'!P699,", ",'906MP'!E699),"nincs megjegyzés")</f>
        <v>nincs megjegyzés</v>
      </c>
      <c r="V999" t="str">
        <f t="shared" si="285"/>
        <v>0P0</v>
      </c>
      <c r="W999" t="str">
        <f t="shared" si="286"/>
        <v>0P0</v>
      </c>
      <c r="X999" t="str">
        <f t="shared" si="287"/>
        <v>P0</v>
      </c>
      <c r="Y999" t="str">
        <f t="shared" si="288"/>
        <v>00</v>
      </c>
      <c r="Z999" t="str">
        <f t="shared" si="299"/>
        <v>00</v>
      </c>
      <c r="AA999" t="str">
        <f t="shared" si="289"/>
        <v>00</v>
      </c>
      <c r="AB999" t="str">
        <f t="shared" si="290"/>
        <v>00</v>
      </c>
      <c r="AC999" t="str">
        <f t="shared" si="291"/>
        <v>0P0</v>
      </c>
      <c r="AD999" t="str">
        <f t="shared" si="292"/>
        <v>P00</v>
      </c>
      <c r="AE999" t="str">
        <f t="shared" si="293"/>
        <v>0P0</v>
      </c>
      <c r="AF999" t="str">
        <f t="shared" si="294"/>
        <v>P00</v>
      </c>
      <c r="AG999" t="str">
        <f t="shared" si="300"/>
        <v>0P00</v>
      </c>
      <c r="AH999" t="str">
        <f t="shared" si="301"/>
        <v>P000</v>
      </c>
      <c r="AI999" t="str">
        <f t="shared" si="302"/>
        <v>0P00</v>
      </c>
      <c r="AJ999" t="str">
        <f t="shared" si="303"/>
        <v>P000</v>
      </c>
    </row>
    <row r="1000" spans="1:36" x14ac:dyDescent="0.25">
      <c r="A1000" s="325" t="str">
        <f>CONCATENATE("P",'906MP'!M700)</f>
        <v>P</v>
      </c>
      <c r="B1000">
        <f>'906MP'!H700</f>
        <v>0</v>
      </c>
      <c r="C1000">
        <f>'906MP'!J700</f>
        <v>0</v>
      </c>
      <c r="D1000">
        <f>'906MP'!P700</f>
        <v>0</v>
      </c>
      <c r="E1000">
        <f>'906MP'!X700</f>
        <v>0</v>
      </c>
      <c r="F1000" t="str">
        <f t="shared" si="295"/>
        <v>0</v>
      </c>
      <c r="G1000" t="str">
        <f t="shared" si="296"/>
        <v>0</v>
      </c>
      <c r="H1000">
        <f>'906MP'!Y700</f>
        <v>0</v>
      </c>
      <c r="I1000">
        <f>'906MP'!AK700</f>
        <v>0</v>
      </c>
      <c r="J1000">
        <f>'906MP'!T700</f>
        <v>0</v>
      </c>
      <c r="K1000">
        <f>'906MP'!AJ700</f>
        <v>0</v>
      </c>
      <c r="L1000">
        <f>'906MP'!U700</f>
        <v>0</v>
      </c>
      <c r="M1000" s="322" t="str">
        <f>IFERROR(VLOOKUP(A1000,PAR!$D$3:$E$53,2,FALSE),"nincs szervezet")</f>
        <v>nincs szervezet</v>
      </c>
      <c r="N1000" s="322" t="str">
        <f>VLOOKUP(F1000,PAR!$R$3:$S$5,2,FALSE)</f>
        <v>3 - egyik sem</v>
      </c>
      <c r="O1000" t="str">
        <f>IFERROR(VLOOKUP(J1000,PAR!$O$3:$P$5,2,FALSE),"nincs feladat")</f>
        <v>nincs feladat</v>
      </c>
      <c r="P1000" t="str">
        <f>IFERROR(VLOOKUP(G1000,PAR!$J$2:$M$19,4),"nincs rovat")</f>
        <v>nincs rovat</v>
      </c>
      <c r="Q1000" t="str">
        <f>IF(H1000&gt;0,VLOOKUP(H1000,PAR!$AA$3:$AC$187,3,FALSE),"nincs főkönyvi számla")</f>
        <v>nincs főkönyvi számla</v>
      </c>
      <c r="R1000" t="str">
        <f>IFERROR(VLOOKUP(K1000,PAR!$V$3:$X$438,3,FALSE),"000000 - Nincs COFOG")</f>
        <v>000000 - Nincs COFOG</v>
      </c>
      <c r="S1000">
        <f t="shared" si="297"/>
        <v>0</v>
      </c>
      <c r="T1000">
        <f t="shared" si="298"/>
        <v>0</v>
      </c>
      <c r="U1000" t="str">
        <f>IF('906MP'!J700&gt;0,CONCATENATE('906MP'!J700," - ",'906MP'!P700,", ",'906MP'!E700),"nincs megjegyzés")</f>
        <v>nincs megjegyzés</v>
      </c>
      <c r="V1000" t="str">
        <f t="shared" si="285"/>
        <v>0P0</v>
      </c>
      <c r="W1000" t="str">
        <f t="shared" si="286"/>
        <v>0P0</v>
      </c>
      <c r="X1000" t="str">
        <f t="shared" si="287"/>
        <v>P0</v>
      </c>
      <c r="Y1000" t="str">
        <f t="shared" si="288"/>
        <v>00</v>
      </c>
      <c r="Z1000" t="str">
        <f t="shared" si="299"/>
        <v>00</v>
      </c>
      <c r="AA1000" t="str">
        <f t="shared" si="289"/>
        <v>00</v>
      </c>
      <c r="AB1000" t="str">
        <f t="shared" si="290"/>
        <v>00</v>
      </c>
      <c r="AC1000" t="str">
        <f t="shared" si="291"/>
        <v>0P0</v>
      </c>
      <c r="AD1000" t="str">
        <f t="shared" si="292"/>
        <v>P00</v>
      </c>
      <c r="AE1000" t="str">
        <f t="shared" si="293"/>
        <v>0P0</v>
      </c>
      <c r="AF1000" t="str">
        <f t="shared" si="294"/>
        <v>P00</v>
      </c>
      <c r="AG1000" t="str">
        <f t="shared" si="300"/>
        <v>0P00</v>
      </c>
      <c r="AH1000" t="str">
        <f t="shared" si="301"/>
        <v>P000</v>
      </c>
      <c r="AI1000" t="str">
        <f t="shared" si="302"/>
        <v>0P00</v>
      </c>
      <c r="AJ1000" t="str">
        <f t="shared" si="303"/>
        <v>P000</v>
      </c>
    </row>
    <row r="1001" spans="1:36" x14ac:dyDescent="0.25">
      <c r="A1001" s="325" t="str">
        <f>CONCATENATE("P",'906MP'!M701)</f>
        <v>P</v>
      </c>
      <c r="B1001">
        <f>'906MP'!H701</f>
        <v>0</v>
      </c>
      <c r="C1001">
        <f>'906MP'!J701</f>
        <v>0</v>
      </c>
      <c r="D1001">
        <f>'906MP'!P701</f>
        <v>0</v>
      </c>
      <c r="E1001">
        <f>'906MP'!X701</f>
        <v>0</v>
      </c>
      <c r="F1001" t="str">
        <f t="shared" si="295"/>
        <v>0</v>
      </c>
      <c r="G1001" t="str">
        <f t="shared" si="296"/>
        <v>0</v>
      </c>
      <c r="H1001">
        <f>'906MP'!Y701</f>
        <v>0</v>
      </c>
      <c r="I1001">
        <f>'906MP'!AK701</f>
        <v>0</v>
      </c>
      <c r="J1001">
        <f>'906MP'!T701</f>
        <v>0</v>
      </c>
      <c r="K1001">
        <f>'906MP'!AJ701</f>
        <v>0</v>
      </c>
      <c r="L1001">
        <f>'906MP'!U701</f>
        <v>0</v>
      </c>
      <c r="M1001" s="322" t="str">
        <f>IFERROR(VLOOKUP(A1001,PAR!$D$3:$E$53,2,FALSE),"nincs szervezet")</f>
        <v>nincs szervezet</v>
      </c>
      <c r="N1001" s="322" t="str">
        <f>VLOOKUP(F1001,PAR!$R$3:$S$5,2,FALSE)</f>
        <v>3 - egyik sem</v>
      </c>
      <c r="O1001" t="str">
        <f>IFERROR(VLOOKUP(J1001,PAR!$O$3:$P$5,2,FALSE),"nincs feladat")</f>
        <v>nincs feladat</v>
      </c>
      <c r="P1001" t="str">
        <f>IFERROR(VLOOKUP(G1001,PAR!$J$2:$M$19,4),"nincs rovat")</f>
        <v>nincs rovat</v>
      </c>
      <c r="Q1001" t="str">
        <f>IF(H1001&gt;0,VLOOKUP(H1001,PAR!$AA$3:$AC$187,3,FALSE),"nincs főkönyvi számla")</f>
        <v>nincs főkönyvi számla</v>
      </c>
      <c r="R1001" t="str">
        <f>IFERROR(VLOOKUP(K1001,PAR!$V$3:$X$438,3,FALSE),"000000 - Nincs COFOG")</f>
        <v>000000 - Nincs COFOG</v>
      </c>
      <c r="S1001">
        <f t="shared" si="297"/>
        <v>0</v>
      </c>
      <c r="T1001">
        <f t="shared" si="298"/>
        <v>0</v>
      </c>
      <c r="U1001" t="str">
        <f>IF('906MP'!J701&gt;0,CONCATENATE('906MP'!J701," - ",'906MP'!P701,", ",'906MP'!E701),"nincs megjegyzés")</f>
        <v>nincs megjegyzés</v>
      </c>
      <c r="V1001" t="str">
        <f t="shared" si="285"/>
        <v>0P0</v>
      </c>
      <c r="W1001" t="str">
        <f t="shared" si="286"/>
        <v>0P0</v>
      </c>
      <c r="X1001" t="str">
        <f t="shared" si="287"/>
        <v>P0</v>
      </c>
      <c r="Y1001" t="str">
        <f t="shared" si="288"/>
        <v>00</v>
      </c>
      <c r="Z1001" t="str">
        <f t="shared" si="299"/>
        <v>00</v>
      </c>
      <c r="AA1001" t="str">
        <f t="shared" si="289"/>
        <v>00</v>
      </c>
      <c r="AB1001" t="str">
        <f t="shared" si="290"/>
        <v>00</v>
      </c>
      <c r="AC1001" t="str">
        <f t="shared" si="291"/>
        <v>0P0</v>
      </c>
      <c r="AD1001" t="str">
        <f t="shared" si="292"/>
        <v>P00</v>
      </c>
      <c r="AE1001" t="str">
        <f t="shared" si="293"/>
        <v>0P0</v>
      </c>
      <c r="AF1001" t="str">
        <f t="shared" si="294"/>
        <v>P00</v>
      </c>
      <c r="AG1001" t="str">
        <f t="shared" si="300"/>
        <v>0P00</v>
      </c>
      <c r="AH1001" t="str">
        <f t="shared" si="301"/>
        <v>P000</v>
      </c>
      <c r="AI1001" t="str">
        <f t="shared" si="302"/>
        <v>0P00</v>
      </c>
      <c r="AJ1001" t="str">
        <f t="shared" si="303"/>
        <v>P000</v>
      </c>
    </row>
    <row r="1002" spans="1:36" x14ac:dyDescent="0.25">
      <c r="A1002" s="325" t="str">
        <f>CONCATENATE("P",'906MP'!M702)</f>
        <v>P</v>
      </c>
      <c r="B1002">
        <f>'906MP'!H702</f>
        <v>0</v>
      </c>
      <c r="C1002">
        <f>'906MP'!J702</f>
        <v>0</v>
      </c>
      <c r="D1002">
        <f>'906MP'!P702</f>
        <v>0</v>
      </c>
      <c r="E1002">
        <f>'906MP'!X702</f>
        <v>0</v>
      </c>
      <c r="F1002" t="str">
        <f t="shared" si="295"/>
        <v>0</v>
      </c>
      <c r="G1002" t="str">
        <f t="shared" si="296"/>
        <v>0</v>
      </c>
      <c r="H1002">
        <f>'906MP'!Y702</f>
        <v>0</v>
      </c>
      <c r="I1002">
        <f>'906MP'!AK702</f>
        <v>0</v>
      </c>
      <c r="J1002">
        <f>'906MP'!T702</f>
        <v>0</v>
      </c>
      <c r="K1002">
        <f>'906MP'!AJ702</f>
        <v>0</v>
      </c>
      <c r="L1002">
        <f>'906MP'!U702</f>
        <v>0</v>
      </c>
      <c r="M1002" s="322" t="str">
        <f>IFERROR(VLOOKUP(A1002,PAR!$D$3:$E$53,2,FALSE),"nincs szervezet")</f>
        <v>nincs szervezet</v>
      </c>
      <c r="N1002" s="322" t="str">
        <f>VLOOKUP(F1002,PAR!$R$3:$S$5,2,FALSE)</f>
        <v>3 - egyik sem</v>
      </c>
      <c r="O1002" t="str">
        <f>IFERROR(VLOOKUP(J1002,PAR!$O$3:$P$5,2,FALSE),"nincs feladat")</f>
        <v>nincs feladat</v>
      </c>
      <c r="P1002" t="str">
        <f>IFERROR(VLOOKUP(G1002,PAR!$J$2:$M$19,4),"nincs rovat")</f>
        <v>nincs rovat</v>
      </c>
      <c r="Q1002" t="str">
        <f>IF(H1002&gt;0,VLOOKUP(H1002,PAR!$AA$3:$AC$187,3,FALSE),"nincs főkönyvi számla")</f>
        <v>nincs főkönyvi számla</v>
      </c>
      <c r="R1002" t="str">
        <f>IFERROR(VLOOKUP(K1002,PAR!$V$3:$X$438,3,FALSE),"000000 - Nincs COFOG")</f>
        <v>000000 - Nincs COFOG</v>
      </c>
      <c r="S1002">
        <f t="shared" si="297"/>
        <v>0</v>
      </c>
      <c r="T1002">
        <f t="shared" si="298"/>
        <v>0</v>
      </c>
      <c r="U1002" t="str">
        <f>IF('906MP'!J702&gt;0,CONCATENATE('906MP'!J702," - ",'906MP'!P702,", ",'906MP'!E702),"nincs megjegyzés")</f>
        <v>nincs megjegyzés</v>
      </c>
      <c r="V1002" t="str">
        <f t="shared" si="285"/>
        <v>0P0</v>
      </c>
      <c r="W1002" t="str">
        <f t="shared" si="286"/>
        <v>0P0</v>
      </c>
      <c r="X1002" t="str">
        <f t="shared" si="287"/>
        <v>P0</v>
      </c>
      <c r="Y1002" t="str">
        <f t="shared" si="288"/>
        <v>00</v>
      </c>
      <c r="Z1002" t="str">
        <f t="shared" si="299"/>
        <v>00</v>
      </c>
      <c r="AA1002" t="str">
        <f t="shared" si="289"/>
        <v>00</v>
      </c>
      <c r="AB1002" t="str">
        <f t="shared" si="290"/>
        <v>00</v>
      </c>
      <c r="AC1002" t="str">
        <f t="shared" si="291"/>
        <v>0P0</v>
      </c>
      <c r="AD1002" t="str">
        <f t="shared" si="292"/>
        <v>P00</v>
      </c>
      <c r="AE1002" t="str">
        <f t="shared" si="293"/>
        <v>0P0</v>
      </c>
      <c r="AF1002" t="str">
        <f t="shared" si="294"/>
        <v>P00</v>
      </c>
      <c r="AG1002" t="str">
        <f t="shared" si="300"/>
        <v>0P00</v>
      </c>
      <c r="AH1002" t="str">
        <f t="shared" si="301"/>
        <v>P000</v>
      </c>
      <c r="AI1002" t="str">
        <f t="shared" si="302"/>
        <v>0P00</v>
      </c>
      <c r="AJ1002" t="str">
        <f t="shared" si="303"/>
        <v>P000</v>
      </c>
    </row>
    <row r="1003" spans="1:36" x14ac:dyDescent="0.25">
      <c r="A1003" s="325" t="str">
        <f>CONCATENATE("P",'906MP'!M703)</f>
        <v>P</v>
      </c>
      <c r="B1003">
        <f>'906MP'!H703</f>
        <v>0</v>
      </c>
      <c r="C1003">
        <f>'906MP'!J703</f>
        <v>0</v>
      </c>
      <c r="D1003">
        <f>'906MP'!P703</f>
        <v>0</v>
      </c>
      <c r="E1003">
        <f>'906MP'!X703</f>
        <v>0</v>
      </c>
      <c r="F1003" t="str">
        <f t="shared" si="295"/>
        <v>0</v>
      </c>
      <c r="G1003" t="str">
        <f t="shared" si="296"/>
        <v>0</v>
      </c>
      <c r="H1003">
        <f>'906MP'!Y703</f>
        <v>0</v>
      </c>
      <c r="I1003">
        <f>'906MP'!AK703</f>
        <v>0</v>
      </c>
      <c r="J1003">
        <f>'906MP'!T703</f>
        <v>0</v>
      </c>
      <c r="K1003">
        <f>'906MP'!AJ703</f>
        <v>0</v>
      </c>
      <c r="L1003">
        <f>'906MP'!U703</f>
        <v>0</v>
      </c>
      <c r="M1003" s="322" t="str">
        <f>IFERROR(VLOOKUP(A1003,PAR!$D$3:$E$53,2,FALSE),"nincs szervezet")</f>
        <v>nincs szervezet</v>
      </c>
      <c r="N1003" s="322" t="str">
        <f>VLOOKUP(F1003,PAR!$R$3:$S$5,2,FALSE)</f>
        <v>3 - egyik sem</v>
      </c>
      <c r="O1003" t="str">
        <f>IFERROR(VLOOKUP(J1003,PAR!$O$3:$P$5,2,FALSE),"nincs feladat")</f>
        <v>nincs feladat</v>
      </c>
      <c r="P1003" t="str">
        <f>IFERROR(VLOOKUP(G1003,PAR!$J$2:$M$19,4),"nincs rovat")</f>
        <v>nincs rovat</v>
      </c>
      <c r="Q1003" t="str">
        <f>IF(H1003&gt;0,VLOOKUP(H1003,PAR!$AA$3:$AC$187,3,FALSE),"nincs főkönyvi számla")</f>
        <v>nincs főkönyvi számla</v>
      </c>
      <c r="R1003" t="str">
        <f>IFERROR(VLOOKUP(K1003,PAR!$V$3:$X$438,3,FALSE),"000000 - Nincs COFOG")</f>
        <v>000000 - Nincs COFOG</v>
      </c>
      <c r="S1003">
        <f t="shared" si="297"/>
        <v>0</v>
      </c>
      <c r="T1003">
        <f t="shared" si="298"/>
        <v>0</v>
      </c>
      <c r="U1003" t="str">
        <f>IF('906MP'!J703&gt;0,CONCATENATE('906MP'!J703," - ",'906MP'!P703,", ",'906MP'!E703),"nincs megjegyzés")</f>
        <v>nincs megjegyzés</v>
      </c>
      <c r="V1003" t="str">
        <f t="shared" si="285"/>
        <v>0P0</v>
      </c>
      <c r="W1003" t="str">
        <f t="shared" si="286"/>
        <v>0P0</v>
      </c>
      <c r="X1003" t="str">
        <f t="shared" si="287"/>
        <v>P0</v>
      </c>
      <c r="Y1003" t="str">
        <f t="shared" si="288"/>
        <v>00</v>
      </c>
      <c r="Z1003" t="str">
        <f t="shared" si="299"/>
        <v>00</v>
      </c>
      <c r="AA1003" t="str">
        <f t="shared" si="289"/>
        <v>00</v>
      </c>
      <c r="AB1003" t="str">
        <f t="shared" si="290"/>
        <v>00</v>
      </c>
      <c r="AC1003" t="str">
        <f t="shared" si="291"/>
        <v>0P0</v>
      </c>
      <c r="AD1003" t="str">
        <f t="shared" si="292"/>
        <v>P00</v>
      </c>
      <c r="AE1003" t="str">
        <f t="shared" si="293"/>
        <v>0P0</v>
      </c>
      <c r="AF1003" t="str">
        <f t="shared" si="294"/>
        <v>P00</v>
      </c>
      <c r="AG1003" t="str">
        <f t="shared" si="300"/>
        <v>0P00</v>
      </c>
      <c r="AH1003" t="str">
        <f t="shared" si="301"/>
        <v>P000</v>
      </c>
      <c r="AI1003" t="str">
        <f t="shared" si="302"/>
        <v>0P00</v>
      </c>
      <c r="AJ1003" t="str">
        <f t="shared" si="303"/>
        <v>P000</v>
      </c>
    </row>
    <row r="1004" spans="1:36" x14ac:dyDescent="0.25">
      <c r="A1004" s="325" t="str">
        <f>CONCATENATE("P",'906MP'!M704)</f>
        <v>P</v>
      </c>
      <c r="B1004">
        <f>'906MP'!H704</f>
        <v>0</v>
      </c>
      <c r="C1004">
        <f>'906MP'!J704</f>
        <v>0</v>
      </c>
      <c r="D1004">
        <f>'906MP'!P704</f>
        <v>0</v>
      </c>
      <c r="E1004">
        <f>'906MP'!X704</f>
        <v>0</v>
      </c>
      <c r="F1004" t="str">
        <f t="shared" si="295"/>
        <v>0</v>
      </c>
      <c r="G1004" t="str">
        <f t="shared" si="296"/>
        <v>0</v>
      </c>
      <c r="H1004">
        <f>'906MP'!Y704</f>
        <v>0</v>
      </c>
      <c r="I1004">
        <f>'906MP'!AK704</f>
        <v>0</v>
      </c>
      <c r="J1004">
        <f>'906MP'!T704</f>
        <v>0</v>
      </c>
      <c r="K1004">
        <f>'906MP'!AJ704</f>
        <v>0</v>
      </c>
      <c r="L1004">
        <f>'906MP'!U704</f>
        <v>0</v>
      </c>
      <c r="M1004" s="322" t="str">
        <f>IFERROR(VLOOKUP(A1004,PAR!$D$3:$E$53,2,FALSE),"nincs szervezet")</f>
        <v>nincs szervezet</v>
      </c>
      <c r="N1004" s="322" t="str">
        <f>VLOOKUP(F1004,PAR!$R$3:$S$5,2,FALSE)</f>
        <v>3 - egyik sem</v>
      </c>
      <c r="O1004" t="str">
        <f>IFERROR(VLOOKUP(J1004,PAR!$O$3:$P$5,2,FALSE),"nincs feladat")</f>
        <v>nincs feladat</v>
      </c>
      <c r="P1004" t="str">
        <f>IFERROR(VLOOKUP(G1004,PAR!$J$2:$M$19,4),"nincs rovat")</f>
        <v>nincs rovat</v>
      </c>
      <c r="Q1004" t="str">
        <f>IF(H1004&gt;0,VLOOKUP(H1004,PAR!$AA$3:$AC$187,3,FALSE),"nincs főkönyvi számla")</f>
        <v>nincs főkönyvi számla</v>
      </c>
      <c r="R1004" t="str">
        <f>IFERROR(VLOOKUP(K1004,PAR!$V$3:$X$438,3,FALSE),"000000 - Nincs COFOG")</f>
        <v>000000 - Nincs COFOG</v>
      </c>
      <c r="S1004">
        <f t="shared" si="297"/>
        <v>0</v>
      </c>
      <c r="T1004">
        <f t="shared" si="298"/>
        <v>0</v>
      </c>
      <c r="U1004" t="str">
        <f>IF('906MP'!J704&gt;0,CONCATENATE('906MP'!J704," - ",'906MP'!P704,", ",'906MP'!E704),"nincs megjegyzés")</f>
        <v>nincs megjegyzés</v>
      </c>
      <c r="V1004" t="str">
        <f t="shared" si="285"/>
        <v>0P0</v>
      </c>
      <c r="W1004" t="str">
        <f t="shared" si="286"/>
        <v>0P0</v>
      </c>
      <c r="X1004" t="str">
        <f t="shared" si="287"/>
        <v>P0</v>
      </c>
      <c r="Y1004" t="str">
        <f t="shared" si="288"/>
        <v>00</v>
      </c>
      <c r="Z1004" t="str">
        <f t="shared" si="299"/>
        <v>00</v>
      </c>
      <c r="AA1004" t="str">
        <f t="shared" si="289"/>
        <v>00</v>
      </c>
      <c r="AB1004" t="str">
        <f t="shared" si="290"/>
        <v>00</v>
      </c>
      <c r="AC1004" t="str">
        <f t="shared" si="291"/>
        <v>0P0</v>
      </c>
      <c r="AD1004" t="str">
        <f t="shared" si="292"/>
        <v>P00</v>
      </c>
      <c r="AE1004" t="str">
        <f t="shared" si="293"/>
        <v>0P0</v>
      </c>
      <c r="AF1004" t="str">
        <f t="shared" si="294"/>
        <v>P00</v>
      </c>
      <c r="AG1004" t="str">
        <f t="shared" si="300"/>
        <v>0P00</v>
      </c>
      <c r="AH1004" t="str">
        <f t="shared" si="301"/>
        <v>P000</v>
      </c>
      <c r="AI1004" t="str">
        <f t="shared" si="302"/>
        <v>0P00</v>
      </c>
      <c r="AJ1004" t="str">
        <f t="shared" si="303"/>
        <v>P000</v>
      </c>
    </row>
    <row r="1005" spans="1:36" x14ac:dyDescent="0.25">
      <c r="A1005" s="325" t="str">
        <f>CONCATENATE("P",'906MP'!M705)</f>
        <v>P</v>
      </c>
      <c r="B1005">
        <f>'906MP'!H705</f>
        <v>0</v>
      </c>
      <c r="C1005">
        <f>'906MP'!J705</f>
        <v>0</v>
      </c>
      <c r="D1005">
        <f>'906MP'!P705</f>
        <v>0</v>
      </c>
      <c r="E1005">
        <f>'906MP'!X705</f>
        <v>0</v>
      </c>
      <c r="F1005" t="str">
        <f t="shared" si="295"/>
        <v>0</v>
      </c>
      <c r="G1005" t="str">
        <f t="shared" si="296"/>
        <v>0</v>
      </c>
      <c r="H1005">
        <f>'906MP'!Y705</f>
        <v>0</v>
      </c>
      <c r="I1005">
        <f>'906MP'!AK705</f>
        <v>0</v>
      </c>
      <c r="J1005">
        <f>'906MP'!T705</f>
        <v>0</v>
      </c>
      <c r="K1005">
        <f>'906MP'!AJ705</f>
        <v>0</v>
      </c>
      <c r="L1005">
        <f>'906MP'!U705</f>
        <v>0</v>
      </c>
      <c r="M1005" s="322" t="str">
        <f>IFERROR(VLOOKUP(A1005,PAR!$D$3:$E$53,2,FALSE),"nincs szervezet")</f>
        <v>nincs szervezet</v>
      </c>
      <c r="N1005" s="322" t="str">
        <f>VLOOKUP(F1005,PAR!$R$3:$S$5,2,FALSE)</f>
        <v>3 - egyik sem</v>
      </c>
      <c r="O1005" t="str">
        <f>IFERROR(VLOOKUP(J1005,PAR!$O$3:$P$5,2,FALSE),"nincs feladat")</f>
        <v>nincs feladat</v>
      </c>
      <c r="P1005" t="str">
        <f>IFERROR(VLOOKUP(G1005,PAR!$J$2:$M$19,4),"nincs rovat")</f>
        <v>nincs rovat</v>
      </c>
      <c r="Q1005" t="str">
        <f>IF(H1005&gt;0,VLOOKUP(H1005,PAR!$AA$3:$AC$187,3,FALSE),"nincs főkönyvi számla")</f>
        <v>nincs főkönyvi számla</v>
      </c>
      <c r="R1005" t="str">
        <f>IFERROR(VLOOKUP(K1005,PAR!$V$3:$X$438,3,FALSE),"000000 - Nincs COFOG")</f>
        <v>000000 - Nincs COFOG</v>
      </c>
      <c r="S1005">
        <f t="shared" si="297"/>
        <v>0</v>
      </c>
      <c r="T1005">
        <f t="shared" si="298"/>
        <v>0</v>
      </c>
      <c r="U1005" t="str">
        <f>IF('906MP'!J705&gt;0,CONCATENATE('906MP'!J705," - ",'906MP'!P705,", ",'906MP'!E705),"nincs megjegyzés")</f>
        <v>nincs megjegyzés</v>
      </c>
      <c r="V1005" t="str">
        <f t="shared" si="285"/>
        <v>0P0</v>
      </c>
      <c r="W1005" t="str">
        <f t="shared" si="286"/>
        <v>0P0</v>
      </c>
      <c r="X1005" t="str">
        <f t="shared" si="287"/>
        <v>P0</v>
      </c>
      <c r="Y1005" t="str">
        <f t="shared" si="288"/>
        <v>00</v>
      </c>
      <c r="Z1005" t="str">
        <f t="shared" si="299"/>
        <v>00</v>
      </c>
      <c r="AA1005" t="str">
        <f t="shared" si="289"/>
        <v>00</v>
      </c>
      <c r="AB1005" t="str">
        <f t="shared" si="290"/>
        <v>00</v>
      </c>
      <c r="AC1005" t="str">
        <f t="shared" si="291"/>
        <v>0P0</v>
      </c>
      <c r="AD1005" t="str">
        <f t="shared" si="292"/>
        <v>P00</v>
      </c>
      <c r="AE1005" t="str">
        <f t="shared" si="293"/>
        <v>0P0</v>
      </c>
      <c r="AF1005" t="str">
        <f t="shared" si="294"/>
        <v>P00</v>
      </c>
      <c r="AG1005" t="str">
        <f t="shared" si="300"/>
        <v>0P00</v>
      </c>
      <c r="AH1005" t="str">
        <f t="shared" si="301"/>
        <v>P000</v>
      </c>
      <c r="AI1005" t="str">
        <f t="shared" si="302"/>
        <v>0P00</v>
      </c>
      <c r="AJ1005" t="str">
        <f t="shared" si="303"/>
        <v>P000</v>
      </c>
    </row>
    <row r="1006" spans="1:36" x14ac:dyDescent="0.25">
      <c r="A1006" s="325" t="str">
        <f>CONCATENATE("P",'906MP'!M706)</f>
        <v>P</v>
      </c>
      <c r="B1006">
        <f>'906MP'!H706</f>
        <v>0</v>
      </c>
      <c r="C1006">
        <f>'906MP'!J706</f>
        <v>0</v>
      </c>
      <c r="D1006">
        <f>'906MP'!P706</f>
        <v>0</v>
      </c>
      <c r="E1006">
        <f>'906MP'!X706</f>
        <v>0</v>
      </c>
      <c r="F1006" t="str">
        <f t="shared" si="295"/>
        <v>0</v>
      </c>
      <c r="G1006" t="str">
        <f t="shared" si="296"/>
        <v>0</v>
      </c>
      <c r="H1006">
        <f>'906MP'!Y706</f>
        <v>0</v>
      </c>
      <c r="I1006">
        <f>'906MP'!AK706</f>
        <v>0</v>
      </c>
      <c r="J1006">
        <f>'906MP'!T706</f>
        <v>0</v>
      </c>
      <c r="K1006">
        <f>'906MP'!AJ706</f>
        <v>0</v>
      </c>
      <c r="L1006">
        <f>'906MP'!U706</f>
        <v>0</v>
      </c>
      <c r="M1006" s="322" t="str">
        <f>IFERROR(VLOOKUP(A1006,PAR!$D$3:$E$53,2,FALSE),"nincs szervezet")</f>
        <v>nincs szervezet</v>
      </c>
      <c r="N1006" s="322" t="str">
        <f>VLOOKUP(F1006,PAR!$R$3:$S$5,2,FALSE)</f>
        <v>3 - egyik sem</v>
      </c>
      <c r="O1006" t="str">
        <f>IFERROR(VLOOKUP(J1006,PAR!$O$3:$P$5,2,FALSE),"nincs feladat")</f>
        <v>nincs feladat</v>
      </c>
      <c r="P1006" t="str">
        <f>IFERROR(VLOOKUP(G1006,PAR!$J$2:$M$19,4),"nincs rovat")</f>
        <v>nincs rovat</v>
      </c>
      <c r="Q1006" t="str">
        <f>IF(H1006&gt;0,VLOOKUP(H1006,PAR!$AA$3:$AC$187,3,FALSE),"nincs főkönyvi számla")</f>
        <v>nincs főkönyvi számla</v>
      </c>
      <c r="R1006" t="str">
        <f>IFERROR(VLOOKUP(K1006,PAR!$V$3:$X$438,3,FALSE),"000000 - Nincs COFOG")</f>
        <v>000000 - Nincs COFOG</v>
      </c>
      <c r="S1006">
        <f t="shared" si="297"/>
        <v>0</v>
      </c>
      <c r="T1006">
        <f t="shared" si="298"/>
        <v>0</v>
      </c>
      <c r="U1006" t="str">
        <f>IF('906MP'!J706&gt;0,CONCATENATE('906MP'!J706," - ",'906MP'!P706,", ",'906MP'!E706),"nincs megjegyzés")</f>
        <v>nincs megjegyzés</v>
      </c>
      <c r="V1006" t="str">
        <f t="shared" si="285"/>
        <v>0P0</v>
      </c>
      <c r="W1006" t="str">
        <f t="shared" si="286"/>
        <v>0P0</v>
      </c>
      <c r="X1006" t="str">
        <f t="shared" si="287"/>
        <v>P0</v>
      </c>
      <c r="Y1006" t="str">
        <f t="shared" si="288"/>
        <v>00</v>
      </c>
      <c r="Z1006" t="str">
        <f t="shared" si="299"/>
        <v>00</v>
      </c>
      <c r="AA1006" t="str">
        <f t="shared" si="289"/>
        <v>00</v>
      </c>
      <c r="AB1006" t="str">
        <f t="shared" si="290"/>
        <v>00</v>
      </c>
      <c r="AC1006" t="str">
        <f t="shared" si="291"/>
        <v>0P0</v>
      </c>
      <c r="AD1006" t="str">
        <f t="shared" si="292"/>
        <v>P00</v>
      </c>
      <c r="AE1006" t="str">
        <f t="shared" si="293"/>
        <v>0P0</v>
      </c>
      <c r="AF1006" t="str">
        <f t="shared" si="294"/>
        <v>P00</v>
      </c>
      <c r="AG1006" t="str">
        <f t="shared" si="300"/>
        <v>0P00</v>
      </c>
      <c r="AH1006" t="str">
        <f t="shared" si="301"/>
        <v>P000</v>
      </c>
      <c r="AI1006" t="str">
        <f t="shared" si="302"/>
        <v>0P00</v>
      </c>
      <c r="AJ1006" t="str">
        <f t="shared" si="303"/>
        <v>P000</v>
      </c>
    </row>
    <row r="1007" spans="1:36" x14ac:dyDescent="0.25">
      <c r="A1007" s="325" t="str">
        <f>CONCATENATE("P",'906MP'!M707)</f>
        <v>P</v>
      </c>
      <c r="B1007">
        <f>'906MP'!H707</f>
        <v>0</v>
      </c>
      <c r="C1007">
        <f>'906MP'!J707</f>
        <v>0</v>
      </c>
      <c r="D1007">
        <f>'906MP'!P707</f>
        <v>0</v>
      </c>
      <c r="E1007">
        <f>'906MP'!X707</f>
        <v>0</v>
      </c>
      <c r="F1007" t="str">
        <f t="shared" si="295"/>
        <v>0</v>
      </c>
      <c r="G1007" t="str">
        <f t="shared" si="296"/>
        <v>0</v>
      </c>
      <c r="H1007">
        <f>'906MP'!Y707</f>
        <v>0</v>
      </c>
      <c r="I1007">
        <f>'906MP'!AK707</f>
        <v>0</v>
      </c>
      <c r="J1007">
        <f>'906MP'!T707</f>
        <v>0</v>
      </c>
      <c r="K1007">
        <f>'906MP'!AJ707</f>
        <v>0</v>
      </c>
      <c r="L1007">
        <f>'906MP'!U707</f>
        <v>0</v>
      </c>
      <c r="M1007" s="322" t="str">
        <f>IFERROR(VLOOKUP(A1007,PAR!$D$3:$E$53,2,FALSE),"nincs szervezet")</f>
        <v>nincs szervezet</v>
      </c>
      <c r="N1007" s="322" t="str">
        <f>VLOOKUP(F1007,PAR!$R$3:$S$5,2,FALSE)</f>
        <v>3 - egyik sem</v>
      </c>
      <c r="O1007" t="str">
        <f>IFERROR(VLOOKUP(J1007,PAR!$O$3:$P$5,2,FALSE),"nincs feladat")</f>
        <v>nincs feladat</v>
      </c>
      <c r="P1007" t="str">
        <f>IFERROR(VLOOKUP(G1007,PAR!$J$2:$M$19,4),"nincs rovat")</f>
        <v>nincs rovat</v>
      </c>
      <c r="Q1007" t="str">
        <f>IF(H1007&gt;0,VLOOKUP(H1007,PAR!$AA$3:$AC$187,3,FALSE),"nincs főkönyvi számla")</f>
        <v>nincs főkönyvi számla</v>
      </c>
      <c r="R1007" t="str">
        <f>IFERROR(VLOOKUP(K1007,PAR!$V$3:$X$438,3,FALSE),"000000 - Nincs COFOG")</f>
        <v>000000 - Nincs COFOG</v>
      </c>
      <c r="S1007">
        <f t="shared" si="297"/>
        <v>0</v>
      </c>
      <c r="T1007">
        <f t="shared" si="298"/>
        <v>0</v>
      </c>
      <c r="U1007" t="str">
        <f>IF('906MP'!J707&gt;0,CONCATENATE('906MP'!J707," - ",'906MP'!P707,", ",'906MP'!E707),"nincs megjegyzés")</f>
        <v>nincs megjegyzés</v>
      </c>
      <c r="V1007" t="str">
        <f t="shared" si="285"/>
        <v>0P0</v>
      </c>
      <c r="W1007" t="str">
        <f t="shared" si="286"/>
        <v>0P0</v>
      </c>
      <c r="X1007" t="str">
        <f t="shared" si="287"/>
        <v>P0</v>
      </c>
      <c r="Y1007" t="str">
        <f t="shared" si="288"/>
        <v>00</v>
      </c>
      <c r="Z1007" t="str">
        <f t="shared" si="299"/>
        <v>00</v>
      </c>
      <c r="AA1007" t="str">
        <f t="shared" si="289"/>
        <v>00</v>
      </c>
      <c r="AB1007" t="str">
        <f t="shared" si="290"/>
        <v>00</v>
      </c>
      <c r="AC1007" t="str">
        <f t="shared" si="291"/>
        <v>0P0</v>
      </c>
      <c r="AD1007" t="str">
        <f t="shared" si="292"/>
        <v>P00</v>
      </c>
      <c r="AE1007" t="str">
        <f t="shared" si="293"/>
        <v>0P0</v>
      </c>
      <c r="AF1007" t="str">
        <f t="shared" si="294"/>
        <v>P00</v>
      </c>
      <c r="AG1007" t="str">
        <f t="shared" si="300"/>
        <v>0P00</v>
      </c>
      <c r="AH1007" t="str">
        <f t="shared" si="301"/>
        <v>P000</v>
      </c>
      <c r="AI1007" t="str">
        <f t="shared" si="302"/>
        <v>0P00</v>
      </c>
      <c r="AJ1007" t="str">
        <f t="shared" si="303"/>
        <v>P000</v>
      </c>
    </row>
    <row r="1008" spans="1:36" x14ac:dyDescent="0.25">
      <c r="A1008" s="325" t="str">
        <f>CONCATENATE("P",'906MP'!M708)</f>
        <v>P</v>
      </c>
      <c r="B1008">
        <f>'906MP'!H708</f>
        <v>0</v>
      </c>
      <c r="C1008">
        <f>'906MP'!J708</f>
        <v>0</v>
      </c>
      <c r="D1008">
        <f>'906MP'!P708</f>
        <v>0</v>
      </c>
      <c r="E1008">
        <f>'906MP'!X708</f>
        <v>0</v>
      </c>
      <c r="F1008" t="str">
        <f t="shared" si="295"/>
        <v>0</v>
      </c>
      <c r="G1008" t="str">
        <f t="shared" si="296"/>
        <v>0</v>
      </c>
      <c r="H1008">
        <f>'906MP'!Y708</f>
        <v>0</v>
      </c>
      <c r="I1008">
        <f>'906MP'!AK708</f>
        <v>0</v>
      </c>
      <c r="J1008">
        <f>'906MP'!T708</f>
        <v>0</v>
      </c>
      <c r="K1008">
        <f>'906MP'!AJ708</f>
        <v>0</v>
      </c>
      <c r="L1008">
        <f>'906MP'!U708</f>
        <v>0</v>
      </c>
      <c r="M1008" s="322" t="str">
        <f>IFERROR(VLOOKUP(A1008,PAR!$D$3:$E$53,2,FALSE),"nincs szervezet")</f>
        <v>nincs szervezet</v>
      </c>
      <c r="N1008" s="322" t="str">
        <f>VLOOKUP(F1008,PAR!$R$3:$S$5,2,FALSE)</f>
        <v>3 - egyik sem</v>
      </c>
      <c r="O1008" t="str">
        <f>IFERROR(VLOOKUP(J1008,PAR!$O$3:$P$5,2,FALSE),"nincs feladat")</f>
        <v>nincs feladat</v>
      </c>
      <c r="P1008" t="str">
        <f>IFERROR(VLOOKUP(G1008,PAR!$J$2:$M$19,4),"nincs rovat")</f>
        <v>nincs rovat</v>
      </c>
      <c r="Q1008" t="str">
        <f>IF(H1008&gt;0,VLOOKUP(H1008,PAR!$AA$3:$AC$187,3,FALSE),"nincs főkönyvi számla")</f>
        <v>nincs főkönyvi számla</v>
      </c>
      <c r="R1008" t="str">
        <f>IFERROR(VLOOKUP(K1008,PAR!$V$3:$X$438,3,FALSE),"000000 - Nincs COFOG")</f>
        <v>000000 - Nincs COFOG</v>
      </c>
      <c r="S1008">
        <f t="shared" si="297"/>
        <v>0</v>
      </c>
      <c r="T1008">
        <f t="shared" si="298"/>
        <v>0</v>
      </c>
      <c r="U1008" t="str">
        <f>IF('906MP'!J708&gt;0,CONCATENATE('906MP'!J708," - ",'906MP'!P708,", ",'906MP'!E708),"nincs megjegyzés")</f>
        <v>nincs megjegyzés</v>
      </c>
      <c r="V1008" t="str">
        <f t="shared" si="285"/>
        <v>0P0</v>
      </c>
      <c r="W1008" t="str">
        <f t="shared" si="286"/>
        <v>0P0</v>
      </c>
      <c r="X1008" t="str">
        <f t="shared" si="287"/>
        <v>P0</v>
      </c>
      <c r="Y1008" t="str">
        <f t="shared" si="288"/>
        <v>00</v>
      </c>
      <c r="Z1008" t="str">
        <f t="shared" si="299"/>
        <v>00</v>
      </c>
      <c r="AA1008" t="str">
        <f t="shared" si="289"/>
        <v>00</v>
      </c>
      <c r="AB1008" t="str">
        <f t="shared" si="290"/>
        <v>00</v>
      </c>
      <c r="AC1008" t="str">
        <f t="shared" si="291"/>
        <v>0P0</v>
      </c>
      <c r="AD1008" t="str">
        <f t="shared" si="292"/>
        <v>P00</v>
      </c>
      <c r="AE1008" t="str">
        <f t="shared" si="293"/>
        <v>0P0</v>
      </c>
      <c r="AF1008" t="str">
        <f t="shared" si="294"/>
        <v>P00</v>
      </c>
      <c r="AG1008" t="str">
        <f t="shared" si="300"/>
        <v>0P00</v>
      </c>
      <c r="AH1008" t="str">
        <f t="shared" si="301"/>
        <v>P000</v>
      </c>
      <c r="AI1008" t="str">
        <f t="shared" si="302"/>
        <v>0P00</v>
      </c>
      <c r="AJ1008" t="str">
        <f t="shared" si="303"/>
        <v>P000</v>
      </c>
    </row>
    <row r="1009" spans="1:36" x14ac:dyDescent="0.25">
      <c r="A1009" s="325" t="str">
        <f>CONCATENATE("P",'906MP'!M709)</f>
        <v>P</v>
      </c>
      <c r="B1009">
        <f>'906MP'!H709</f>
        <v>0</v>
      </c>
      <c r="C1009">
        <f>'906MP'!J709</f>
        <v>0</v>
      </c>
      <c r="D1009">
        <f>'906MP'!P709</f>
        <v>0</v>
      </c>
      <c r="E1009">
        <f>'906MP'!X709</f>
        <v>0</v>
      </c>
      <c r="F1009" t="str">
        <f t="shared" si="295"/>
        <v>0</v>
      </c>
      <c r="G1009" t="str">
        <f t="shared" si="296"/>
        <v>0</v>
      </c>
      <c r="H1009">
        <f>'906MP'!Y709</f>
        <v>0</v>
      </c>
      <c r="I1009">
        <f>'906MP'!AK709</f>
        <v>0</v>
      </c>
      <c r="J1009">
        <f>'906MP'!T709</f>
        <v>0</v>
      </c>
      <c r="K1009">
        <f>'906MP'!AJ709</f>
        <v>0</v>
      </c>
      <c r="L1009">
        <f>'906MP'!U709</f>
        <v>0</v>
      </c>
      <c r="M1009" s="322" t="str">
        <f>IFERROR(VLOOKUP(A1009,PAR!$D$3:$E$53,2,FALSE),"nincs szervezet")</f>
        <v>nincs szervezet</v>
      </c>
      <c r="N1009" s="322" t="str">
        <f>VLOOKUP(F1009,PAR!$R$3:$S$5,2,FALSE)</f>
        <v>3 - egyik sem</v>
      </c>
      <c r="O1009" t="str">
        <f>IFERROR(VLOOKUP(J1009,PAR!$O$3:$P$5,2,FALSE),"nincs feladat")</f>
        <v>nincs feladat</v>
      </c>
      <c r="P1009" t="str">
        <f>IFERROR(VLOOKUP(G1009,PAR!$J$2:$M$19,4),"nincs rovat")</f>
        <v>nincs rovat</v>
      </c>
      <c r="Q1009" t="str">
        <f>IF(H1009&gt;0,VLOOKUP(H1009,PAR!$AA$3:$AC$187,3,FALSE),"nincs főkönyvi számla")</f>
        <v>nincs főkönyvi számla</v>
      </c>
      <c r="R1009" t="str">
        <f>IFERROR(VLOOKUP(K1009,PAR!$V$3:$X$438,3,FALSE),"000000 - Nincs COFOG")</f>
        <v>000000 - Nincs COFOG</v>
      </c>
      <c r="S1009">
        <f t="shared" si="297"/>
        <v>0</v>
      </c>
      <c r="T1009">
        <f t="shared" si="298"/>
        <v>0</v>
      </c>
      <c r="U1009" t="str">
        <f>IF('906MP'!J709&gt;0,CONCATENATE('906MP'!J709," - ",'906MP'!P709,", ",'906MP'!E709),"nincs megjegyzés")</f>
        <v>nincs megjegyzés</v>
      </c>
      <c r="V1009" t="str">
        <f t="shared" si="285"/>
        <v>0P0</v>
      </c>
      <c r="W1009" t="str">
        <f t="shared" si="286"/>
        <v>0P0</v>
      </c>
      <c r="X1009" t="str">
        <f t="shared" si="287"/>
        <v>P0</v>
      </c>
      <c r="Y1009" t="str">
        <f t="shared" si="288"/>
        <v>00</v>
      </c>
      <c r="Z1009" t="str">
        <f t="shared" si="299"/>
        <v>00</v>
      </c>
      <c r="AA1009" t="str">
        <f t="shared" si="289"/>
        <v>00</v>
      </c>
      <c r="AB1009" t="str">
        <f t="shared" si="290"/>
        <v>00</v>
      </c>
      <c r="AC1009" t="str">
        <f t="shared" si="291"/>
        <v>0P0</v>
      </c>
      <c r="AD1009" t="str">
        <f t="shared" si="292"/>
        <v>P00</v>
      </c>
      <c r="AE1009" t="str">
        <f t="shared" si="293"/>
        <v>0P0</v>
      </c>
      <c r="AF1009" t="str">
        <f t="shared" si="294"/>
        <v>P00</v>
      </c>
      <c r="AG1009" t="str">
        <f t="shared" si="300"/>
        <v>0P00</v>
      </c>
      <c r="AH1009" t="str">
        <f t="shared" si="301"/>
        <v>P000</v>
      </c>
      <c r="AI1009" t="str">
        <f t="shared" si="302"/>
        <v>0P00</v>
      </c>
      <c r="AJ1009" t="str">
        <f t="shared" si="303"/>
        <v>P000</v>
      </c>
    </row>
    <row r="1010" spans="1:36" x14ac:dyDescent="0.25">
      <c r="A1010" s="325" t="str">
        <f>CONCATENATE("P",'906MP'!M710)</f>
        <v>P</v>
      </c>
      <c r="B1010">
        <f>'906MP'!H710</f>
        <v>0</v>
      </c>
      <c r="C1010">
        <f>'906MP'!J710</f>
        <v>0</v>
      </c>
      <c r="D1010">
        <f>'906MP'!P710</f>
        <v>0</v>
      </c>
      <c r="E1010">
        <f>'906MP'!X710</f>
        <v>0</v>
      </c>
      <c r="F1010" t="str">
        <f t="shared" si="295"/>
        <v>0</v>
      </c>
      <c r="G1010" t="str">
        <f t="shared" si="296"/>
        <v>0</v>
      </c>
      <c r="H1010">
        <f>'906MP'!Y710</f>
        <v>0</v>
      </c>
      <c r="I1010">
        <f>'906MP'!AK710</f>
        <v>0</v>
      </c>
      <c r="J1010">
        <f>'906MP'!T710</f>
        <v>0</v>
      </c>
      <c r="K1010">
        <f>'906MP'!AJ710</f>
        <v>0</v>
      </c>
      <c r="L1010">
        <f>'906MP'!U710</f>
        <v>0</v>
      </c>
      <c r="M1010" s="322" t="str">
        <f>IFERROR(VLOOKUP(A1010,PAR!$D$3:$E$53,2,FALSE),"nincs szervezet")</f>
        <v>nincs szervezet</v>
      </c>
      <c r="N1010" s="322" t="str">
        <f>VLOOKUP(F1010,PAR!$R$3:$S$5,2,FALSE)</f>
        <v>3 - egyik sem</v>
      </c>
      <c r="O1010" t="str">
        <f>IFERROR(VLOOKUP(J1010,PAR!$O$3:$P$5,2,FALSE),"nincs feladat")</f>
        <v>nincs feladat</v>
      </c>
      <c r="P1010" t="str">
        <f>IFERROR(VLOOKUP(G1010,PAR!$J$2:$M$19,4),"nincs rovat")</f>
        <v>nincs rovat</v>
      </c>
      <c r="Q1010" t="str">
        <f>IF(H1010&gt;0,VLOOKUP(H1010,PAR!$AA$3:$AC$187,3,FALSE),"nincs főkönyvi számla")</f>
        <v>nincs főkönyvi számla</v>
      </c>
      <c r="R1010" t="str">
        <f>IFERROR(VLOOKUP(K1010,PAR!$V$3:$X$438,3,FALSE),"000000 - Nincs COFOG")</f>
        <v>000000 - Nincs COFOG</v>
      </c>
      <c r="S1010">
        <f t="shared" si="297"/>
        <v>0</v>
      </c>
      <c r="T1010">
        <f t="shared" si="298"/>
        <v>0</v>
      </c>
      <c r="U1010" t="str">
        <f>IF('906MP'!J710&gt;0,CONCATENATE('906MP'!J710," - ",'906MP'!P710,", ",'906MP'!E710),"nincs megjegyzés")</f>
        <v>nincs megjegyzés</v>
      </c>
      <c r="V1010" t="str">
        <f t="shared" si="285"/>
        <v>0P0</v>
      </c>
      <c r="W1010" t="str">
        <f t="shared" si="286"/>
        <v>0P0</v>
      </c>
      <c r="X1010" t="str">
        <f t="shared" si="287"/>
        <v>P0</v>
      </c>
      <c r="Y1010" t="str">
        <f t="shared" si="288"/>
        <v>00</v>
      </c>
      <c r="Z1010" t="str">
        <f t="shared" si="299"/>
        <v>00</v>
      </c>
      <c r="AA1010" t="str">
        <f t="shared" si="289"/>
        <v>00</v>
      </c>
      <c r="AB1010" t="str">
        <f t="shared" si="290"/>
        <v>00</v>
      </c>
      <c r="AC1010" t="str">
        <f t="shared" si="291"/>
        <v>0P0</v>
      </c>
      <c r="AD1010" t="str">
        <f t="shared" si="292"/>
        <v>P00</v>
      </c>
      <c r="AE1010" t="str">
        <f t="shared" si="293"/>
        <v>0P0</v>
      </c>
      <c r="AF1010" t="str">
        <f t="shared" si="294"/>
        <v>P00</v>
      </c>
      <c r="AG1010" t="str">
        <f t="shared" si="300"/>
        <v>0P00</v>
      </c>
      <c r="AH1010" t="str">
        <f t="shared" si="301"/>
        <v>P000</v>
      </c>
      <c r="AI1010" t="str">
        <f t="shared" si="302"/>
        <v>0P00</v>
      </c>
      <c r="AJ1010" t="str">
        <f t="shared" si="303"/>
        <v>P000</v>
      </c>
    </row>
    <row r="1011" spans="1:36" x14ac:dyDescent="0.25">
      <c r="A1011" s="325" t="str">
        <f>CONCATENATE("P",'906MP'!M711)</f>
        <v>P</v>
      </c>
      <c r="B1011">
        <f>'906MP'!H711</f>
        <v>0</v>
      </c>
      <c r="C1011">
        <f>'906MP'!J711</f>
        <v>0</v>
      </c>
      <c r="D1011">
        <f>'906MP'!P711</f>
        <v>0</v>
      </c>
      <c r="E1011">
        <f>'906MP'!X711</f>
        <v>0</v>
      </c>
      <c r="F1011" t="str">
        <f t="shared" si="295"/>
        <v>0</v>
      </c>
      <c r="G1011" t="str">
        <f t="shared" si="296"/>
        <v>0</v>
      </c>
      <c r="H1011">
        <f>'906MP'!Y711</f>
        <v>0</v>
      </c>
      <c r="I1011">
        <f>'906MP'!AK711</f>
        <v>0</v>
      </c>
      <c r="J1011">
        <f>'906MP'!T711</f>
        <v>0</v>
      </c>
      <c r="K1011">
        <f>'906MP'!AJ711</f>
        <v>0</v>
      </c>
      <c r="L1011">
        <f>'906MP'!U711</f>
        <v>0</v>
      </c>
      <c r="M1011" s="322" t="str">
        <f>IFERROR(VLOOKUP(A1011,PAR!$D$3:$E$53,2,FALSE),"nincs szervezet")</f>
        <v>nincs szervezet</v>
      </c>
      <c r="N1011" s="322" t="str">
        <f>VLOOKUP(F1011,PAR!$R$3:$S$5,2,FALSE)</f>
        <v>3 - egyik sem</v>
      </c>
      <c r="O1011" t="str">
        <f>IFERROR(VLOOKUP(J1011,PAR!$O$3:$P$5,2,FALSE),"nincs feladat")</f>
        <v>nincs feladat</v>
      </c>
      <c r="P1011" t="str">
        <f>IFERROR(VLOOKUP(G1011,PAR!$J$2:$M$19,4),"nincs rovat")</f>
        <v>nincs rovat</v>
      </c>
      <c r="Q1011" t="str">
        <f>IF(H1011&gt;0,VLOOKUP(H1011,PAR!$AA$3:$AC$187,3,FALSE),"nincs főkönyvi számla")</f>
        <v>nincs főkönyvi számla</v>
      </c>
      <c r="R1011" t="str">
        <f>IFERROR(VLOOKUP(K1011,PAR!$V$3:$X$438,3,FALSE),"000000 - Nincs COFOG")</f>
        <v>000000 - Nincs COFOG</v>
      </c>
      <c r="S1011">
        <f t="shared" si="297"/>
        <v>0</v>
      </c>
      <c r="T1011">
        <f t="shared" si="298"/>
        <v>0</v>
      </c>
      <c r="U1011" t="str">
        <f>IF('906MP'!J711&gt;0,CONCATENATE('906MP'!J711," - ",'906MP'!P711,", ",'906MP'!E711),"nincs megjegyzés")</f>
        <v>nincs megjegyzés</v>
      </c>
      <c r="V1011" t="str">
        <f t="shared" si="285"/>
        <v>0P0</v>
      </c>
      <c r="W1011" t="str">
        <f t="shared" si="286"/>
        <v>0P0</v>
      </c>
      <c r="X1011" t="str">
        <f t="shared" si="287"/>
        <v>P0</v>
      </c>
      <c r="Y1011" t="str">
        <f t="shared" si="288"/>
        <v>00</v>
      </c>
      <c r="Z1011" t="str">
        <f t="shared" si="299"/>
        <v>00</v>
      </c>
      <c r="AA1011" t="str">
        <f t="shared" si="289"/>
        <v>00</v>
      </c>
      <c r="AB1011" t="str">
        <f t="shared" si="290"/>
        <v>00</v>
      </c>
      <c r="AC1011" t="str">
        <f t="shared" si="291"/>
        <v>0P0</v>
      </c>
      <c r="AD1011" t="str">
        <f t="shared" si="292"/>
        <v>P00</v>
      </c>
      <c r="AE1011" t="str">
        <f t="shared" si="293"/>
        <v>0P0</v>
      </c>
      <c r="AF1011" t="str">
        <f t="shared" si="294"/>
        <v>P00</v>
      </c>
      <c r="AG1011" t="str">
        <f t="shared" si="300"/>
        <v>0P00</v>
      </c>
      <c r="AH1011" t="str">
        <f t="shared" si="301"/>
        <v>P000</v>
      </c>
      <c r="AI1011" t="str">
        <f t="shared" si="302"/>
        <v>0P00</v>
      </c>
      <c r="AJ1011" t="str">
        <f t="shared" si="303"/>
        <v>P000</v>
      </c>
    </row>
    <row r="1012" spans="1:36" x14ac:dyDescent="0.25">
      <c r="A1012" s="325" t="str">
        <f>CONCATENATE("P",'906MP'!M712)</f>
        <v>P</v>
      </c>
      <c r="B1012">
        <f>'906MP'!H712</f>
        <v>0</v>
      </c>
      <c r="C1012">
        <f>'906MP'!J712</f>
        <v>0</v>
      </c>
      <c r="D1012">
        <f>'906MP'!P712</f>
        <v>0</v>
      </c>
      <c r="E1012">
        <f>'906MP'!X712</f>
        <v>0</v>
      </c>
      <c r="F1012" t="str">
        <f t="shared" si="295"/>
        <v>0</v>
      </c>
      <c r="G1012" t="str">
        <f t="shared" si="296"/>
        <v>0</v>
      </c>
      <c r="H1012">
        <f>'906MP'!Y712</f>
        <v>0</v>
      </c>
      <c r="I1012">
        <f>'906MP'!AK712</f>
        <v>0</v>
      </c>
      <c r="J1012">
        <f>'906MP'!T712</f>
        <v>0</v>
      </c>
      <c r="K1012">
        <f>'906MP'!AJ712</f>
        <v>0</v>
      </c>
      <c r="L1012">
        <f>'906MP'!U712</f>
        <v>0</v>
      </c>
      <c r="M1012" s="322" t="str">
        <f>IFERROR(VLOOKUP(A1012,PAR!$D$3:$E$53,2,FALSE),"nincs szervezet")</f>
        <v>nincs szervezet</v>
      </c>
      <c r="N1012" s="322" t="str">
        <f>VLOOKUP(F1012,PAR!$R$3:$S$5,2,FALSE)</f>
        <v>3 - egyik sem</v>
      </c>
      <c r="O1012" t="str">
        <f>IFERROR(VLOOKUP(J1012,PAR!$O$3:$P$5,2,FALSE),"nincs feladat")</f>
        <v>nincs feladat</v>
      </c>
      <c r="P1012" t="str">
        <f>IFERROR(VLOOKUP(G1012,PAR!$J$2:$M$19,4),"nincs rovat")</f>
        <v>nincs rovat</v>
      </c>
      <c r="Q1012" t="str">
        <f>IF(H1012&gt;0,VLOOKUP(H1012,PAR!$AA$3:$AC$187,3,FALSE),"nincs főkönyvi számla")</f>
        <v>nincs főkönyvi számla</v>
      </c>
      <c r="R1012" t="str">
        <f>IFERROR(VLOOKUP(K1012,PAR!$V$3:$X$438,3,FALSE),"000000 - Nincs COFOG")</f>
        <v>000000 - Nincs COFOG</v>
      </c>
      <c r="S1012">
        <f t="shared" si="297"/>
        <v>0</v>
      </c>
      <c r="T1012">
        <f t="shared" si="298"/>
        <v>0</v>
      </c>
      <c r="U1012" t="str">
        <f>IF('906MP'!J712&gt;0,CONCATENATE('906MP'!J712," - ",'906MP'!P712,", ",'906MP'!E712),"nincs megjegyzés")</f>
        <v>nincs megjegyzés</v>
      </c>
      <c r="V1012" t="str">
        <f t="shared" si="285"/>
        <v>0P0</v>
      </c>
      <c r="W1012" t="str">
        <f t="shared" si="286"/>
        <v>0P0</v>
      </c>
      <c r="X1012" t="str">
        <f t="shared" si="287"/>
        <v>P0</v>
      </c>
      <c r="Y1012" t="str">
        <f t="shared" si="288"/>
        <v>00</v>
      </c>
      <c r="Z1012" t="str">
        <f t="shared" si="299"/>
        <v>00</v>
      </c>
      <c r="AA1012" t="str">
        <f t="shared" si="289"/>
        <v>00</v>
      </c>
      <c r="AB1012" t="str">
        <f t="shared" si="290"/>
        <v>00</v>
      </c>
      <c r="AC1012" t="str">
        <f t="shared" si="291"/>
        <v>0P0</v>
      </c>
      <c r="AD1012" t="str">
        <f t="shared" si="292"/>
        <v>P00</v>
      </c>
      <c r="AE1012" t="str">
        <f t="shared" si="293"/>
        <v>0P0</v>
      </c>
      <c r="AF1012" t="str">
        <f t="shared" si="294"/>
        <v>P00</v>
      </c>
      <c r="AG1012" t="str">
        <f t="shared" si="300"/>
        <v>0P00</v>
      </c>
      <c r="AH1012" t="str">
        <f t="shared" si="301"/>
        <v>P000</v>
      </c>
      <c r="AI1012" t="str">
        <f t="shared" si="302"/>
        <v>0P00</v>
      </c>
      <c r="AJ1012" t="str">
        <f t="shared" si="303"/>
        <v>P000</v>
      </c>
    </row>
    <row r="1013" spans="1:36" x14ac:dyDescent="0.25">
      <c r="A1013" s="325" t="str">
        <f>CONCATENATE("P",'906MP'!M713)</f>
        <v>P</v>
      </c>
      <c r="B1013">
        <f>'906MP'!H713</f>
        <v>0</v>
      </c>
      <c r="C1013">
        <f>'906MP'!J713</f>
        <v>0</v>
      </c>
      <c r="D1013">
        <f>'906MP'!P713</f>
        <v>0</v>
      </c>
      <c r="E1013">
        <f>'906MP'!X713</f>
        <v>0</v>
      </c>
      <c r="F1013" t="str">
        <f t="shared" si="295"/>
        <v>0</v>
      </c>
      <c r="G1013" t="str">
        <f t="shared" si="296"/>
        <v>0</v>
      </c>
      <c r="H1013">
        <f>'906MP'!Y713</f>
        <v>0</v>
      </c>
      <c r="I1013">
        <f>'906MP'!AK713</f>
        <v>0</v>
      </c>
      <c r="J1013">
        <f>'906MP'!T713</f>
        <v>0</v>
      </c>
      <c r="K1013">
        <f>'906MP'!AJ713</f>
        <v>0</v>
      </c>
      <c r="L1013">
        <f>'906MP'!U713</f>
        <v>0</v>
      </c>
      <c r="M1013" s="322" t="str">
        <f>IFERROR(VLOOKUP(A1013,PAR!$D$3:$E$53,2,FALSE),"nincs szervezet")</f>
        <v>nincs szervezet</v>
      </c>
      <c r="N1013" s="322" t="str">
        <f>VLOOKUP(F1013,PAR!$R$3:$S$5,2,FALSE)</f>
        <v>3 - egyik sem</v>
      </c>
      <c r="O1013" t="str">
        <f>IFERROR(VLOOKUP(J1013,PAR!$O$3:$P$5,2,FALSE),"nincs feladat")</f>
        <v>nincs feladat</v>
      </c>
      <c r="P1013" t="str">
        <f>IFERROR(VLOOKUP(G1013,PAR!$J$2:$M$19,4),"nincs rovat")</f>
        <v>nincs rovat</v>
      </c>
      <c r="Q1013" t="str">
        <f>IF(H1013&gt;0,VLOOKUP(H1013,PAR!$AA$3:$AC$187,3,FALSE),"nincs főkönyvi számla")</f>
        <v>nincs főkönyvi számla</v>
      </c>
      <c r="R1013" t="str">
        <f>IFERROR(VLOOKUP(K1013,PAR!$V$3:$X$438,3,FALSE),"000000 - Nincs COFOG")</f>
        <v>000000 - Nincs COFOG</v>
      </c>
      <c r="S1013">
        <f t="shared" si="297"/>
        <v>0</v>
      </c>
      <c r="T1013">
        <f t="shared" si="298"/>
        <v>0</v>
      </c>
      <c r="U1013" t="str">
        <f>IF('906MP'!J713&gt;0,CONCATENATE('906MP'!J713," - ",'906MP'!P713,", ",'906MP'!E713),"nincs megjegyzés")</f>
        <v>nincs megjegyzés</v>
      </c>
      <c r="V1013" t="str">
        <f t="shared" si="285"/>
        <v>0P0</v>
      </c>
      <c r="W1013" t="str">
        <f t="shared" si="286"/>
        <v>0P0</v>
      </c>
      <c r="X1013" t="str">
        <f t="shared" si="287"/>
        <v>P0</v>
      </c>
      <c r="Y1013" t="str">
        <f t="shared" si="288"/>
        <v>00</v>
      </c>
      <c r="Z1013" t="str">
        <f t="shared" si="299"/>
        <v>00</v>
      </c>
      <c r="AA1013" t="str">
        <f t="shared" si="289"/>
        <v>00</v>
      </c>
      <c r="AB1013" t="str">
        <f t="shared" si="290"/>
        <v>00</v>
      </c>
      <c r="AC1013" t="str">
        <f t="shared" si="291"/>
        <v>0P0</v>
      </c>
      <c r="AD1013" t="str">
        <f t="shared" si="292"/>
        <v>P00</v>
      </c>
      <c r="AE1013" t="str">
        <f t="shared" si="293"/>
        <v>0P0</v>
      </c>
      <c r="AF1013" t="str">
        <f t="shared" si="294"/>
        <v>P00</v>
      </c>
      <c r="AG1013" t="str">
        <f t="shared" si="300"/>
        <v>0P00</v>
      </c>
      <c r="AH1013" t="str">
        <f t="shared" si="301"/>
        <v>P000</v>
      </c>
      <c r="AI1013" t="str">
        <f t="shared" si="302"/>
        <v>0P00</v>
      </c>
      <c r="AJ1013" t="str">
        <f t="shared" si="303"/>
        <v>P000</v>
      </c>
    </row>
    <row r="1014" spans="1:36" x14ac:dyDescent="0.25">
      <c r="A1014" s="325" t="str">
        <f>CONCATENATE("P",'906MP'!M714)</f>
        <v>P</v>
      </c>
      <c r="B1014">
        <f>'906MP'!H714</f>
        <v>0</v>
      </c>
      <c r="C1014">
        <f>'906MP'!J714</f>
        <v>0</v>
      </c>
      <c r="D1014">
        <f>'906MP'!P714</f>
        <v>0</v>
      </c>
      <c r="E1014">
        <f>'906MP'!X714</f>
        <v>0</v>
      </c>
      <c r="F1014" t="str">
        <f t="shared" si="295"/>
        <v>0</v>
      </c>
      <c r="G1014" t="str">
        <f t="shared" si="296"/>
        <v>0</v>
      </c>
      <c r="H1014">
        <f>'906MP'!Y714</f>
        <v>0</v>
      </c>
      <c r="I1014">
        <f>'906MP'!AK714</f>
        <v>0</v>
      </c>
      <c r="J1014">
        <f>'906MP'!T714</f>
        <v>0</v>
      </c>
      <c r="K1014">
        <f>'906MP'!AJ714</f>
        <v>0</v>
      </c>
      <c r="L1014">
        <f>'906MP'!U714</f>
        <v>0</v>
      </c>
      <c r="M1014" s="322" t="str">
        <f>IFERROR(VLOOKUP(A1014,PAR!$D$3:$E$53,2,FALSE),"nincs szervezet")</f>
        <v>nincs szervezet</v>
      </c>
      <c r="N1014" s="322" t="str">
        <f>VLOOKUP(F1014,PAR!$R$3:$S$5,2,FALSE)</f>
        <v>3 - egyik sem</v>
      </c>
      <c r="O1014" t="str">
        <f>IFERROR(VLOOKUP(J1014,PAR!$O$3:$P$5,2,FALSE),"nincs feladat")</f>
        <v>nincs feladat</v>
      </c>
      <c r="P1014" t="str">
        <f>IFERROR(VLOOKUP(G1014,PAR!$J$2:$M$19,4),"nincs rovat")</f>
        <v>nincs rovat</v>
      </c>
      <c r="Q1014" t="str">
        <f>IF(H1014&gt;0,VLOOKUP(H1014,PAR!$AA$3:$AC$187,3,FALSE),"nincs főkönyvi számla")</f>
        <v>nincs főkönyvi számla</v>
      </c>
      <c r="R1014" t="str">
        <f>IFERROR(VLOOKUP(K1014,PAR!$V$3:$X$438,3,FALSE),"000000 - Nincs COFOG")</f>
        <v>000000 - Nincs COFOG</v>
      </c>
      <c r="S1014">
        <f t="shared" si="297"/>
        <v>0</v>
      </c>
      <c r="T1014">
        <f t="shared" si="298"/>
        <v>0</v>
      </c>
      <c r="U1014" t="str">
        <f>IF('906MP'!J714&gt;0,CONCATENATE('906MP'!J714," - ",'906MP'!P714,", ",'906MP'!E714),"nincs megjegyzés")</f>
        <v>nincs megjegyzés</v>
      </c>
      <c r="V1014" t="str">
        <f t="shared" si="285"/>
        <v>0P0</v>
      </c>
      <c r="W1014" t="str">
        <f t="shared" si="286"/>
        <v>0P0</v>
      </c>
      <c r="X1014" t="str">
        <f t="shared" si="287"/>
        <v>P0</v>
      </c>
      <c r="Y1014" t="str">
        <f t="shared" si="288"/>
        <v>00</v>
      </c>
      <c r="Z1014" t="str">
        <f t="shared" si="299"/>
        <v>00</v>
      </c>
      <c r="AA1014" t="str">
        <f t="shared" si="289"/>
        <v>00</v>
      </c>
      <c r="AB1014" t="str">
        <f t="shared" si="290"/>
        <v>00</v>
      </c>
      <c r="AC1014" t="str">
        <f t="shared" si="291"/>
        <v>0P0</v>
      </c>
      <c r="AD1014" t="str">
        <f t="shared" si="292"/>
        <v>P00</v>
      </c>
      <c r="AE1014" t="str">
        <f t="shared" si="293"/>
        <v>0P0</v>
      </c>
      <c r="AF1014" t="str">
        <f t="shared" si="294"/>
        <v>P00</v>
      </c>
      <c r="AG1014" t="str">
        <f t="shared" si="300"/>
        <v>0P00</v>
      </c>
      <c r="AH1014" t="str">
        <f t="shared" si="301"/>
        <v>P000</v>
      </c>
      <c r="AI1014" t="str">
        <f t="shared" si="302"/>
        <v>0P00</v>
      </c>
      <c r="AJ1014" t="str">
        <f t="shared" si="303"/>
        <v>P000</v>
      </c>
    </row>
    <row r="1015" spans="1:36" x14ac:dyDescent="0.25">
      <c r="A1015" s="325" t="str">
        <f>CONCATENATE("P",'906MP'!M715)</f>
        <v>P</v>
      </c>
      <c r="B1015">
        <f>'906MP'!H715</f>
        <v>0</v>
      </c>
      <c r="C1015">
        <f>'906MP'!J715</f>
        <v>0</v>
      </c>
      <c r="D1015">
        <f>'906MP'!P715</f>
        <v>0</v>
      </c>
      <c r="E1015">
        <f>'906MP'!X715</f>
        <v>0</v>
      </c>
      <c r="F1015" t="str">
        <f t="shared" si="295"/>
        <v>0</v>
      </c>
      <c r="G1015" t="str">
        <f t="shared" si="296"/>
        <v>0</v>
      </c>
      <c r="H1015">
        <f>'906MP'!Y715</f>
        <v>0</v>
      </c>
      <c r="I1015">
        <f>'906MP'!AK715</f>
        <v>0</v>
      </c>
      <c r="J1015">
        <f>'906MP'!T715</f>
        <v>0</v>
      </c>
      <c r="K1015">
        <f>'906MP'!AJ715</f>
        <v>0</v>
      </c>
      <c r="L1015">
        <f>'906MP'!U715</f>
        <v>0</v>
      </c>
      <c r="M1015" s="322" t="str">
        <f>IFERROR(VLOOKUP(A1015,PAR!$D$3:$E$53,2,FALSE),"nincs szervezet")</f>
        <v>nincs szervezet</v>
      </c>
      <c r="N1015" s="322" t="str">
        <f>VLOOKUP(F1015,PAR!$R$3:$S$5,2,FALSE)</f>
        <v>3 - egyik sem</v>
      </c>
      <c r="O1015" t="str">
        <f>IFERROR(VLOOKUP(J1015,PAR!$O$3:$P$5,2,FALSE),"nincs feladat")</f>
        <v>nincs feladat</v>
      </c>
      <c r="P1015" t="str">
        <f>IFERROR(VLOOKUP(G1015,PAR!$J$2:$M$19,4),"nincs rovat")</f>
        <v>nincs rovat</v>
      </c>
      <c r="Q1015" t="str">
        <f>IF(H1015&gt;0,VLOOKUP(H1015,PAR!$AA$3:$AC$187,3,FALSE),"nincs főkönyvi számla")</f>
        <v>nincs főkönyvi számla</v>
      </c>
      <c r="R1015" t="str">
        <f>IFERROR(VLOOKUP(K1015,PAR!$V$3:$X$438,3,FALSE),"000000 - Nincs COFOG")</f>
        <v>000000 - Nincs COFOG</v>
      </c>
      <c r="S1015">
        <f t="shared" si="297"/>
        <v>0</v>
      </c>
      <c r="T1015">
        <f t="shared" si="298"/>
        <v>0</v>
      </c>
      <c r="U1015" t="str">
        <f>IF('906MP'!J715&gt;0,CONCATENATE('906MP'!J715," - ",'906MP'!P715,", ",'906MP'!E715),"nincs megjegyzés")</f>
        <v>nincs megjegyzés</v>
      </c>
      <c r="V1015" t="str">
        <f t="shared" si="285"/>
        <v>0P0</v>
      </c>
      <c r="W1015" t="str">
        <f t="shared" si="286"/>
        <v>0P0</v>
      </c>
      <c r="X1015" t="str">
        <f t="shared" si="287"/>
        <v>P0</v>
      </c>
      <c r="Y1015" t="str">
        <f t="shared" si="288"/>
        <v>00</v>
      </c>
      <c r="Z1015" t="str">
        <f t="shared" si="299"/>
        <v>00</v>
      </c>
      <c r="AA1015" t="str">
        <f t="shared" si="289"/>
        <v>00</v>
      </c>
      <c r="AB1015" t="str">
        <f t="shared" si="290"/>
        <v>00</v>
      </c>
      <c r="AC1015" t="str">
        <f t="shared" si="291"/>
        <v>0P0</v>
      </c>
      <c r="AD1015" t="str">
        <f t="shared" si="292"/>
        <v>P00</v>
      </c>
      <c r="AE1015" t="str">
        <f t="shared" si="293"/>
        <v>0P0</v>
      </c>
      <c r="AF1015" t="str">
        <f t="shared" si="294"/>
        <v>P00</v>
      </c>
      <c r="AG1015" t="str">
        <f t="shared" si="300"/>
        <v>0P00</v>
      </c>
      <c r="AH1015" t="str">
        <f t="shared" si="301"/>
        <v>P000</v>
      </c>
      <c r="AI1015" t="str">
        <f t="shared" si="302"/>
        <v>0P00</v>
      </c>
      <c r="AJ1015" t="str">
        <f t="shared" si="303"/>
        <v>P000</v>
      </c>
    </row>
    <row r="1016" spans="1:36" x14ac:dyDescent="0.25">
      <c r="A1016" s="325" t="str">
        <f>CONCATENATE("P",'906MP'!M716)</f>
        <v>P</v>
      </c>
      <c r="B1016">
        <f>'906MP'!H716</f>
        <v>0</v>
      </c>
      <c r="C1016">
        <f>'906MP'!J716</f>
        <v>0</v>
      </c>
      <c r="D1016">
        <f>'906MP'!P716</f>
        <v>0</v>
      </c>
      <c r="E1016">
        <f>'906MP'!X716</f>
        <v>0</v>
      </c>
      <c r="F1016" t="str">
        <f t="shared" si="295"/>
        <v>0</v>
      </c>
      <c r="G1016" t="str">
        <f t="shared" si="296"/>
        <v>0</v>
      </c>
      <c r="H1016">
        <f>'906MP'!Y716</f>
        <v>0</v>
      </c>
      <c r="I1016">
        <f>'906MP'!AK716</f>
        <v>0</v>
      </c>
      <c r="J1016">
        <f>'906MP'!T716</f>
        <v>0</v>
      </c>
      <c r="K1016">
        <f>'906MP'!AJ716</f>
        <v>0</v>
      </c>
      <c r="L1016">
        <f>'906MP'!U716</f>
        <v>0</v>
      </c>
      <c r="M1016" s="322" t="str">
        <f>IFERROR(VLOOKUP(A1016,PAR!$D$3:$E$53,2,FALSE),"nincs szervezet")</f>
        <v>nincs szervezet</v>
      </c>
      <c r="N1016" s="322" t="str">
        <f>VLOOKUP(F1016,PAR!$R$3:$S$5,2,FALSE)</f>
        <v>3 - egyik sem</v>
      </c>
      <c r="O1016" t="str">
        <f>IFERROR(VLOOKUP(J1016,PAR!$O$3:$P$5,2,FALSE),"nincs feladat")</f>
        <v>nincs feladat</v>
      </c>
      <c r="P1016" t="str">
        <f>IFERROR(VLOOKUP(G1016,PAR!$J$2:$M$19,4),"nincs rovat")</f>
        <v>nincs rovat</v>
      </c>
      <c r="Q1016" t="str">
        <f>IF(H1016&gt;0,VLOOKUP(H1016,PAR!$AA$3:$AC$187,3,FALSE),"nincs főkönyvi számla")</f>
        <v>nincs főkönyvi számla</v>
      </c>
      <c r="R1016" t="str">
        <f>IFERROR(VLOOKUP(K1016,PAR!$V$3:$X$438,3,FALSE),"000000 - Nincs COFOG")</f>
        <v>000000 - Nincs COFOG</v>
      </c>
      <c r="S1016">
        <f t="shared" si="297"/>
        <v>0</v>
      </c>
      <c r="T1016">
        <f t="shared" si="298"/>
        <v>0</v>
      </c>
      <c r="U1016" t="str">
        <f>IF('906MP'!J716&gt;0,CONCATENATE('906MP'!J716," - ",'906MP'!P716,", ",'906MP'!E716),"nincs megjegyzés")</f>
        <v>nincs megjegyzés</v>
      </c>
      <c r="V1016" t="str">
        <f t="shared" si="285"/>
        <v>0P0</v>
      </c>
      <c r="W1016" t="str">
        <f t="shared" si="286"/>
        <v>0P0</v>
      </c>
      <c r="X1016" t="str">
        <f t="shared" si="287"/>
        <v>P0</v>
      </c>
      <c r="Y1016" t="str">
        <f t="shared" si="288"/>
        <v>00</v>
      </c>
      <c r="Z1016" t="str">
        <f t="shared" si="299"/>
        <v>00</v>
      </c>
      <c r="AA1016" t="str">
        <f t="shared" si="289"/>
        <v>00</v>
      </c>
      <c r="AB1016" t="str">
        <f t="shared" si="290"/>
        <v>00</v>
      </c>
      <c r="AC1016" t="str">
        <f t="shared" si="291"/>
        <v>0P0</v>
      </c>
      <c r="AD1016" t="str">
        <f t="shared" si="292"/>
        <v>P00</v>
      </c>
      <c r="AE1016" t="str">
        <f t="shared" si="293"/>
        <v>0P0</v>
      </c>
      <c r="AF1016" t="str">
        <f t="shared" si="294"/>
        <v>P00</v>
      </c>
      <c r="AG1016" t="str">
        <f t="shared" si="300"/>
        <v>0P00</v>
      </c>
      <c r="AH1016" t="str">
        <f t="shared" si="301"/>
        <v>P000</v>
      </c>
      <c r="AI1016" t="str">
        <f t="shared" si="302"/>
        <v>0P00</v>
      </c>
      <c r="AJ1016" t="str">
        <f t="shared" si="303"/>
        <v>P000</v>
      </c>
    </row>
    <row r="1017" spans="1:36" x14ac:dyDescent="0.25">
      <c r="A1017" s="325" t="str">
        <f>CONCATENATE("P",'906MP'!M717)</f>
        <v>P</v>
      </c>
      <c r="B1017">
        <f>'906MP'!H717</f>
        <v>0</v>
      </c>
      <c r="C1017">
        <f>'906MP'!J717</f>
        <v>0</v>
      </c>
      <c r="D1017">
        <f>'906MP'!P717</f>
        <v>0</v>
      </c>
      <c r="E1017">
        <f>'906MP'!X717</f>
        <v>0</v>
      </c>
      <c r="F1017" t="str">
        <f t="shared" si="295"/>
        <v>0</v>
      </c>
      <c r="G1017" t="str">
        <f t="shared" si="296"/>
        <v>0</v>
      </c>
      <c r="H1017">
        <f>'906MP'!Y717</f>
        <v>0</v>
      </c>
      <c r="I1017">
        <f>'906MP'!AK717</f>
        <v>0</v>
      </c>
      <c r="J1017">
        <f>'906MP'!T717</f>
        <v>0</v>
      </c>
      <c r="K1017">
        <f>'906MP'!AJ717</f>
        <v>0</v>
      </c>
      <c r="L1017">
        <f>'906MP'!U717</f>
        <v>0</v>
      </c>
      <c r="M1017" s="322" t="str">
        <f>IFERROR(VLOOKUP(A1017,PAR!$D$3:$E$53,2,FALSE),"nincs szervezet")</f>
        <v>nincs szervezet</v>
      </c>
      <c r="N1017" s="322" t="str">
        <f>VLOOKUP(F1017,PAR!$R$3:$S$5,2,FALSE)</f>
        <v>3 - egyik sem</v>
      </c>
      <c r="O1017" t="str">
        <f>IFERROR(VLOOKUP(J1017,PAR!$O$3:$P$5,2,FALSE),"nincs feladat")</f>
        <v>nincs feladat</v>
      </c>
      <c r="P1017" t="str">
        <f>IFERROR(VLOOKUP(G1017,PAR!$J$2:$M$19,4),"nincs rovat")</f>
        <v>nincs rovat</v>
      </c>
      <c r="Q1017" t="str">
        <f>IF(H1017&gt;0,VLOOKUP(H1017,PAR!$AA$3:$AC$187,3,FALSE),"nincs főkönyvi számla")</f>
        <v>nincs főkönyvi számla</v>
      </c>
      <c r="R1017" t="str">
        <f>IFERROR(VLOOKUP(K1017,PAR!$V$3:$X$438,3,FALSE),"000000 - Nincs COFOG")</f>
        <v>000000 - Nincs COFOG</v>
      </c>
      <c r="S1017">
        <f t="shared" si="297"/>
        <v>0</v>
      </c>
      <c r="T1017">
        <f t="shared" si="298"/>
        <v>0</v>
      </c>
      <c r="U1017" t="str">
        <f>IF('906MP'!J717&gt;0,CONCATENATE('906MP'!J717," - ",'906MP'!P717,", ",'906MP'!E717),"nincs megjegyzés")</f>
        <v>nincs megjegyzés</v>
      </c>
      <c r="V1017" t="str">
        <f t="shared" si="285"/>
        <v>0P0</v>
      </c>
      <c r="W1017" t="str">
        <f t="shared" si="286"/>
        <v>0P0</v>
      </c>
      <c r="X1017" t="str">
        <f t="shared" si="287"/>
        <v>P0</v>
      </c>
      <c r="Y1017" t="str">
        <f t="shared" si="288"/>
        <v>00</v>
      </c>
      <c r="Z1017" t="str">
        <f t="shared" si="299"/>
        <v>00</v>
      </c>
      <c r="AA1017" t="str">
        <f t="shared" si="289"/>
        <v>00</v>
      </c>
      <c r="AB1017" t="str">
        <f t="shared" si="290"/>
        <v>00</v>
      </c>
      <c r="AC1017" t="str">
        <f t="shared" si="291"/>
        <v>0P0</v>
      </c>
      <c r="AD1017" t="str">
        <f t="shared" si="292"/>
        <v>P00</v>
      </c>
      <c r="AE1017" t="str">
        <f t="shared" si="293"/>
        <v>0P0</v>
      </c>
      <c r="AF1017" t="str">
        <f t="shared" si="294"/>
        <v>P00</v>
      </c>
      <c r="AG1017" t="str">
        <f t="shared" si="300"/>
        <v>0P00</v>
      </c>
      <c r="AH1017" t="str">
        <f t="shared" si="301"/>
        <v>P000</v>
      </c>
      <c r="AI1017" t="str">
        <f t="shared" si="302"/>
        <v>0P00</v>
      </c>
      <c r="AJ1017" t="str">
        <f t="shared" si="303"/>
        <v>P000</v>
      </c>
    </row>
    <row r="1018" spans="1:36" x14ac:dyDescent="0.25">
      <c r="A1018" s="325" t="str">
        <f>CONCATENATE("P",'906MP'!M718)</f>
        <v>P</v>
      </c>
      <c r="B1018">
        <f>'906MP'!H718</f>
        <v>0</v>
      </c>
      <c r="C1018">
        <f>'906MP'!J718</f>
        <v>0</v>
      </c>
      <c r="D1018">
        <f>'906MP'!P718</f>
        <v>0</v>
      </c>
      <c r="E1018">
        <f>'906MP'!X718</f>
        <v>0</v>
      </c>
      <c r="F1018" t="str">
        <f t="shared" si="295"/>
        <v>0</v>
      </c>
      <c r="G1018" t="str">
        <f t="shared" si="296"/>
        <v>0</v>
      </c>
      <c r="H1018">
        <f>'906MP'!Y718</f>
        <v>0</v>
      </c>
      <c r="I1018">
        <f>'906MP'!AK718</f>
        <v>0</v>
      </c>
      <c r="J1018">
        <f>'906MP'!T718</f>
        <v>0</v>
      </c>
      <c r="K1018">
        <f>'906MP'!AJ718</f>
        <v>0</v>
      </c>
      <c r="L1018">
        <f>'906MP'!U718</f>
        <v>0</v>
      </c>
      <c r="M1018" s="322" t="str">
        <f>IFERROR(VLOOKUP(A1018,PAR!$D$3:$E$53,2,FALSE),"nincs szervezet")</f>
        <v>nincs szervezet</v>
      </c>
      <c r="N1018" s="322" t="str">
        <f>VLOOKUP(F1018,PAR!$R$3:$S$5,2,FALSE)</f>
        <v>3 - egyik sem</v>
      </c>
      <c r="O1018" t="str">
        <f>IFERROR(VLOOKUP(J1018,PAR!$O$3:$P$5,2,FALSE),"nincs feladat")</f>
        <v>nincs feladat</v>
      </c>
      <c r="P1018" t="str">
        <f>IFERROR(VLOOKUP(G1018,PAR!$J$2:$M$19,4),"nincs rovat")</f>
        <v>nincs rovat</v>
      </c>
      <c r="Q1018" t="str">
        <f>IF(H1018&gt;0,VLOOKUP(H1018,PAR!$AA$3:$AC$187,3,FALSE),"nincs főkönyvi számla")</f>
        <v>nincs főkönyvi számla</v>
      </c>
      <c r="R1018" t="str">
        <f>IFERROR(VLOOKUP(K1018,PAR!$V$3:$X$438,3,FALSE),"000000 - Nincs COFOG")</f>
        <v>000000 - Nincs COFOG</v>
      </c>
      <c r="S1018">
        <f t="shared" si="297"/>
        <v>0</v>
      </c>
      <c r="T1018">
        <f t="shared" si="298"/>
        <v>0</v>
      </c>
      <c r="U1018" t="str">
        <f>IF('906MP'!J718&gt;0,CONCATENATE('906MP'!J718," - ",'906MP'!P718,", ",'906MP'!E718),"nincs megjegyzés")</f>
        <v>nincs megjegyzés</v>
      </c>
      <c r="V1018" t="str">
        <f t="shared" si="285"/>
        <v>0P0</v>
      </c>
      <c r="W1018" t="str">
        <f t="shared" si="286"/>
        <v>0P0</v>
      </c>
      <c r="X1018" t="str">
        <f t="shared" si="287"/>
        <v>P0</v>
      </c>
      <c r="Y1018" t="str">
        <f t="shared" si="288"/>
        <v>00</v>
      </c>
      <c r="Z1018" t="str">
        <f t="shared" si="299"/>
        <v>00</v>
      </c>
      <c r="AA1018" t="str">
        <f t="shared" si="289"/>
        <v>00</v>
      </c>
      <c r="AB1018" t="str">
        <f t="shared" si="290"/>
        <v>00</v>
      </c>
      <c r="AC1018" t="str">
        <f t="shared" si="291"/>
        <v>0P0</v>
      </c>
      <c r="AD1018" t="str">
        <f t="shared" si="292"/>
        <v>P00</v>
      </c>
      <c r="AE1018" t="str">
        <f t="shared" si="293"/>
        <v>0P0</v>
      </c>
      <c r="AF1018" t="str">
        <f t="shared" si="294"/>
        <v>P00</v>
      </c>
      <c r="AG1018" t="str">
        <f t="shared" si="300"/>
        <v>0P00</v>
      </c>
      <c r="AH1018" t="str">
        <f t="shared" si="301"/>
        <v>P000</v>
      </c>
      <c r="AI1018" t="str">
        <f t="shared" si="302"/>
        <v>0P00</v>
      </c>
      <c r="AJ1018" t="str">
        <f t="shared" si="303"/>
        <v>P000</v>
      </c>
    </row>
    <row r="1019" spans="1:36" x14ac:dyDescent="0.25">
      <c r="A1019" s="325" t="str">
        <f>CONCATENATE("P",'906MP'!M719)</f>
        <v>P</v>
      </c>
      <c r="B1019">
        <f>'906MP'!H719</f>
        <v>0</v>
      </c>
      <c r="C1019">
        <f>'906MP'!J719</f>
        <v>0</v>
      </c>
      <c r="D1019">
        <f>'906MP'!P719</f>
        <v>0</v>
      </c>
      <c r="E1019">
        <f>'906MP'!X719</f>
        <v>0</v>
      </c>
      <c r="F1019" t="str">
        <f t="shared" si="295"/>
        <v>0</v>
      </c>
      <c r="G1019" t="str">
        <f t="shared" si="296"/>
        <v>0</v>
      </c>
      <c r="H1019">
        <f>'906MP'!Y719</f>
        <v>0</v>
      </c>
      <c r="I1019">
        <f>'906MP'!AK719</f>
        <v>0</v>
      </c>
      <c r="J1019">
        <f>'906MP'!T719</f>
        <v>0</v>
      </c>
      <c r="K1019">
        <f>'906MP'!AJ719</f>
        <v>0</v>
      </c>
      <c r="L1019">
        <f>'906MP'!U719</f>
        <v>0</v>
      </c>
      <c r="M1019" s="322" t="str">
        <f>IFERROR(VLOOKUP(A1019,PAR!$D$3:$E$53,2,FALSE),"nincs szervezet")</f>
        <v>nincs szervezet</v>
      </c>
      <c r="N1019" s="322" t="str">
        <f>VLOOKUP(F1019,PAR!$R$3:$S$5,2,FALSE)</f>
        <v>3 - egyik sem</v>
      </c>
      <c r="O1019" t="str">
        <f>IFERROR(VLOOKUP(J1019,PAR!$O$3:$P$5,2,FALSE),"nincs feladat")</f>
        <v>nincs feladat</v>
      </c>
      <c r="P1019" t="str">
        <f>IFERROR(VLOOKUP(G1019,PAR!$J$2:$M$19,4),"nincs rovat")</f>
        <v>nincs rovat</v>
      </c>
      <c r="Q1019" t="str">
        <f>IF(H1019&gt;0,VLOOKUP(H1019,PAR!$AA$3:$AC$187,3,FALSE),"nincs főkönyvi számla")</f>
        <v>nincs főkönyvi számla</v>
      </c>
      <c r="R1019" t="str">
        <f>IFERROR(VLOOKUP(K1019,PAR!$V$3:$X$438,3,FALSE),"000000 - Nincs COFOG")</f>
        <v>000000 - Nincs COFOG</v>
      </c>
      <c r="S1019">
        <f t="shared" si="297"/>
        <v>0</v>
      </c>
      <c r="T1019">
        <f t="shared" si="298"/>
        <v>0</v>
      </c>
      <c r="U1019" t="str">
        <f>IF('906MP'!J719&gt;0,CONCATENATE('906MP'!J719," - ",'906MP'!P719,", ",'906MP'!E719),"nincs megjegyzés")</f>
        <v>nincs megjegyzés</v>
      </c>
      <c r="V1019" t="str">
        <f t="shared" si="285"/>
        <v>0P0</v>
      </c>
      <c r="W1019" t="str">
        <f t="shared" si="286"/>
        <v>0P0</v>
      </c>
      <c r="X1019" t="str">
        <f t="shared" si="287"/>
        <v>P0</v>
      </c>
      <c r="Y1019" t="str">
        <f t="shared" si="288"/>
        <v>00</v>
      </c>
      <c r="Z1019" t="str">
        <f t="shared" si="299"/>
        <v>00</v>
      </c>
      <c r="AA1019" t="str">
        <f t="shared" si="289"/>
        <v>00</v>
      </c>
      <c r="AB1019" t="str">
        <f t="shared" si="290"/>
        <v>00</v>
      </c>
      <c r="AC1019" t="str">
        <f t="shared" si="291"/>
        <v>0P0</v>
      </c>
      <c r="AD1019" t="str">
        <f t="shared" si="292"/>
        <v>P00</v>
      </c>
      <c r="AE1019" t="str">
        <f t="shared" si="293"/>
        <v>0P0</v>
      </c>
      <c r="AF1019" t="str">
        <f t="shared" si="294"/>
        <v>P00</v>
      </c>
      <c r="AG1019" t="str">
        <f t="shared" si="300"/>
        <v>0P00</v>
      </c>
      <c r="AH1019" t="str">
        <f t="shared" si="301"/>
        <v>P000</v>
      </c>
      <c r="AI1019" t="str">
        <f t="shared" si="302"/>
        <v>0P00</v>
      </c>
      <c r="AJ1019" t="str">
        <f t="shared" si="303"/>
        <v>P000</v>
      </c>
    </row>
    <row r="1020" spans="1:36" x14ac:dyDescent="0.25">
      <c r="A1020" s="325" t="str">
        <f>CONCATENATE("P",'906MP'!M720)</f>
        <v>P</v>
      </c>
      <c r="B1020">
        <f>'906MP'!H720</f>
        <v>0</v>
      </c>
      <c r="C1020">
        <f>'906MP'!J720</f>
        <v>0</v>
      </c>
      <c r="D1020">
        <f>'906MP'!P720</f>
        <v>0</v>
      </c>
      <c r="E1020">
        <f>'906MP'!X720</f>
        <v>0</v>
      </c>
      <c r="F1020" t="str">
        <f t="shared" si="295"/>
        <v>0</v>
      </c>
      <c r="G1020" t="str">
        <f t="shared" si="296"/>
        <v>0</v>
      </c>
      <c r="H1020">
        <f>'906MP'!Y720</f>
        <v>0</v>
      </c>
      <c r="I1020">
        <f>'906MP'!AK720</f>
        <v>0</v>
      </c>
      <c r="J1020">
        <f>'906MP'!T720</f>
        <v>0</v>
      </c>
      <c r="K1020">
        <f>'906MP'!AJ720</f>
        <v>0</v>
      </c>
      <c r="L1020">
        <f>'906MP'!U720</f>
        <v>0</v>
      </c>
      <c r="M1020" s="322" t="str">
        <f>IFERROR(VLOOKUP(A1020,PAR!$D$3:$E$53,2,FALSE),"nincs szervezet")</f>
        <v>nincs szervezet</v>
      </c>
      <c r="N1020" s="322" t="str">
        <f>VLOOKUP(F1020,PAR!$R$3:$S$5,2,FALSE)</f>
        <v>3 - egyik sem</v>
      </c>
      <c r="O1020" t="str">
        <f>IFERROR(VLOOKUP(J1020,PAR!$O$3:$P$5,2,FALSE),"nincs feladat")</f>
        <v>nincs feladat</v>
      </c>
      <c r="P1020" t="str">
        <f>IFERROR(VLOOKUP(G1020,PAR!$J$2:$M$19,4),"nincs rovat")</f>
        <v>nincs rovat</v>
      </c>
      <c r="Q1020" t="str">
        <f>IF(H1020&gt;0,VLOOKUP(H1020,PAR!$AA$3:$AC$187,3,FALSE),"nincs főkönyvi számla")</f>
        <v>nincs főkönyvi számla</v>
      </c>
      <c r="R1020" t="str">
        <f>IFERROR(VLOOKUP(K1020,PAR!$V$3:$X$438,3,FALSE),"000000 - Nincs COFOG")</f>
        <v>000000 - Nincs COFOG</v>
      </c>
      <c r="S1020">
        <f t="shared" si="297"/>
        <v>0</v>
      </c>
      <c r="T1020">
        <f t="shared" si="298"/>
        <v>0</v>
      </c>
      <c r="U1020" t="str">
        <f>IF('906MP'!J720&gt;0,CONCATENATE('906MP'!J720," - ",'906MP'!P720,", ",'906MP'!E720),"nincs megjegyzés")</f>
        <v>nincs megjegyzés</v>
      </c>
      <c r="V1020" t="str">
        <f t="shared" si="285"/>
        <v>0P0</v>
      </c>
      <c r="W1020" t="str">
        <f t="shared" si="286"/>
        <v>0P0</v>
      </c>
      <c r="X1020" t="str">
        <f t="shared" si="287"/>
        <v>P0</v>
      </c>
      <c r="Y1020" t="str">
        <f t="shared" si="288"/>
        <v>00</v>
      </c>
      <c r="Z1020" t="str">
        <f t="shared" si="299"/>
        <v>00</v>
      </c>
      <c r="AA1020" t="str">
        <f t="shared" si="289"/>
        <v>00</v>
      </c>
      <c r="AB1020" t="str">
        <f t="shared" si="290"/>
        <v>00</v>
      </c>
      <c r="AC1020" t="str">
        <f t="shared" si="291"/>
        <v>0P0</v>
      </c>
      <c r="AD1020" t="str">
        <f t="shared" si="292"/>
        <v>P00</v>
      </c>
      <c r="AE1020" t="str">
        <f t="shared" si="293"/>
        <v>0P0</v>
      </c>
      <c r="AF1020" t="str">
        <f t="shared" si="294"/>
        <v>P00</v>
      </c>
      <c r="AG1020" t="str">
        <f t="shared" si="300"/>
        <v>0P00</v>
      </c>
      <c r="AH1020" t="str">
        <f t="shared" si="301"/>
        <v>P000</v>
      </c>
      <c r="AI1020" t="str">
        <f t="shared" si="302"/>
        <v>0P00</v>
      </c>
      <c r="AJ1020" t="str">
        <f t="shared" si="303"/>
        <v>P000</v>
      </c>
    </row>
    <row r="1021" spans="1:36" x14ac:dyDescent="0.25">
      <c r="A1021" s="325" t="str">
        <f>CONCATENATE("P",'906MP'!M721)</f>
        <v>P</v>
      </c>
      <c r="B1021">
        <f>'906MP'!H721</f>
        <v>0</v>
      </c>
      <c r="C1021">
        <f>'906MP'!J721</f>
        <v>0</v>
      </c>
      <c r="D1021">
        <f>'906MP'!P721</f>
        <v>0</v>
      </c>
      <c r="E1021">
        <f>'906MP'!X721</f>
        <v>0</v>
      </c>
      <c r="F1021" t="str">
        <f t="shared" si="295"/>
        <v>0</v>
      </c>
      <c r="G1021" t="str">
        <f t="shared" si="296"/>
        <v>0</v>
      </c>
      <c r="H1021">
        <f>'906MP'!Y721</f>
        <v>0</v>
      </c>
      <c r="I1021">
        <f>'906MP'!AK721</f>
        <v>0</v>
      </c>
      <c r="J1021">
        <f>'906MP'!T721</f>
        <v>0</v>
      </c>
      <c r="K1021">
        <f>'906MP'!AJ721</f>
        <v>0</v>
      </c>
      <c r="L1021">
        <f>'906MP'!U721</f>
        <v>0</v>
      </c>
      <c r="M1021" s="322" t="str">
        <f>IFERROR(VLOOKUP(A1021,PAR!$D$3:$E$53,2,FALSE),"nincs szervezet")</f>
        <v>nincs szervezet</v>
      </c>
      <c r="N1021" s="322" t="str">
        <f>VLOOKUP(F1021,PAR!$R$3:$S$5,2,FALSE)</f>
        <v>3 - egyik sem</v>
      </c>
      <c r="O1021" t="str">
        <f>IFERROR(VLOOKUP(J1021,PAR!$O$3:$P$5,2,FALSE),"nincs feladat")</f>
        <v>nincs feladat</v>
      </c>
      <c r="P1021" t="str">
        <f>IFERROR(VLOOKUP(G1021,PAR!$J$2:$M$19,4),"nincs rovat")</f>
        <v>nincs rovat</v>
      </c>
      <c r="Q1021" t="str">
        <f>IF(H1021&gt;0,VLOOKUP(H1021,PAR!$AA$3:$AC$187,3,FALSE),"nincs főkönyvi számla")</f>
        <v>nincs főkönyvi számla</v>
      </c>
      <c r="R1021" t="str">
        <f>IFERROR(VLOOKUP(K1021,PAR!$V$3:$X$438,3,FALSE),"000000 - Nincs COFOG")</f>
        <v>000000 - Nincs COFOG</v>
      </c>
      <c r="S1021">
        <f t="shared" si="297"/>
        <v>0</v>
      </c>
      <c r="T1021">
        <f t="shared" si="298"/>
        <v>0</v>
      </c>
      <c r="U1021" t="str">
        <f>IF('906MP'!J721&gt;0,CONCATENATE('906MP'!J721," - ",'906MP'!P721,", ",'906MP'!E721),"nincs megjegyzés")</f>
        <v>nincs megjegyzés</v>
      </c>
      <c r="V1021" t="str">
        <f t="shared" si="285"/>
        <v>0P0</v>
      </c>
      <c r="W1021" t="str">
        <f t="shared" si="286"/>
        <v>0P0</v>
      </c>
      <c r="X1021" t="str">
        <f t="shared" si="287"/>
        <v>P0</v>
      </c>
      <c r="Y1021" t="str">
        <f t="shared" si="288"/>
        <v>00</v>
      </c>
      <c r="Z1021" t="str">
        <f t="shared" si="299"/>
        <v>00</v>
      </c>
      <c r="AA1021" t="str">
        <f t="shared" si="289"/>
        <v>00</v>
      </c>
      <c r="AB1021" t="str">
        <f t="shared" si="290"/>
        <v>00</v>
      </c>
      <c r="AC1021" t="str">
        <f t="shared" si="291"/>
        <v>0P0</v>
      </c>
      <c r="AD1021" t="str">
        <f t="shared" si="292"/>
        <v>P00</v>
      </c>
      <c r="AE1021" t="str">
        <f t="shared" si="293"/>
        <v>0P0</v>
      </c>
      <c r="AF1021" t="str">
        <f t="shared" si="294"/>
        <v>P00</v>
      </c>
      <c r="AG1021" t="str">
        <f t="shared" si="300"/>
        <v>0P00</v>
      </c>
      <c r="AH1021" t="str">
        <f t="shared" si="301"/>
        <v>P000</v>
      </c>
      <c r="AI1021" t="str">
        <f t="shared" si="302"/>
        <v>0P00</v>
      </c>
      <c r="AJ1021" t="str">
        <f t="shared" si="303"/>
        <v>P000</v>
      </c>
    </row>
    <row r="1022" spans="1:36" x14ac:dyDescent="0.25">
      <c r="A1022" s="325" t="str">
        <f>CONCATENATE("P",'906MP'!M722)</f>
        <v>P</v>
      </c>
      <c r="B1022">
        <f>'906MP'!H722</f>
        <v>0</v>
      </c>
      <c r="C1022">
        <f>'906MP'!J722</f>
        <v>0</v>
      </c>
      <c r="D1022">
        <f>'906MP'!P722</f>
        <v>0</v>
      </c>
      <c r="E1022">
        <f>'906MP'!X722</f>
        <v>0</v>
      </c>
      <c r="F1022" t="str">
        <f t="shared" si="295"/>
        <v>0</v>
      </c>
      <c r="G1022" t="str">
        <f t="shared" si="296"/>
        <v>0</v>
      </c>
      <c r="H1022">
        <f>'906MP'!Y722</f>
        <v>0</v>
      </c>
      <c r="I1022">
        <f>'906MP'!AK722</f>
        <v>0</v>
      </c>
      <c r="J1022">
        <f>'906MP'!T722</f>
        <v>0</v>
      </c>
      <c r="K1022">
        <f>'906MP'!AJ722</f>
        <v>0</v>
      </c>
      <c r="L1022">
        <f>'906MP'!U722</f>
        <v>0</v>
      </c>
      <c r="M1022" s="322" t="str">
        <f>IFERROR(VLOOKUP(A1022,PAR!$D$3:$E$53,2,FALSE),"nincs szervezet")</f>
        <v>nincs szervezet</v>
      </c>
      <c r="N1022" s="322" t="str">
        <f>VLOOKUP(F1022,PAR!$R$3:$S$5,2,FALSE)</f>
        <v>3 - egyik sem</v>
      </c>
      <c r="O1022" t="str">
        <f>IFERROR(VLOOKUP(J1022,PAR!$O$3:$P$5,2,FALSE),"nincs feladat")</f>
        <v>nincs feladat</v>
      </c>
      <c r="P1022" t="str">
        <f>IFERROR(VLOOKUP(G1022,PAR!$J$2:$M$19,4),"nincs rovat")</f>
        <v>nincs rovat</v>
      </c>
      <c r="Q1022" t="str">
        <f>IF(H1022&gt;0,VLOOKUP(H1022,PAR!$AA$3:$AC$187,3,FALSE),"nincs főkönyvi számla")</f>
        <v>nincs főkönyvi számla</v>
      </c>
      <c r="R1022" t="str">
        <f>IFERROR(VLOOKUP(K1022,PAR!$V$3:$X$438,3,FALSE),"000000 - Nincs COFOG")</f>
        <v>000000 - Nincs COFOG</v>
      </c>
      <c r="S1022">
        <f t="shared" si="297"/>
        <v>0</v>
      </c>
      <c r="T1022">
        <f t="shared" si="298"/>
        <v>0</v>
      </c>
      <c r="U1022" t="str">
        <f>IF('906MP'!J722&gt;0,CONCATENATE('906MP'!J722," - ",'906MP'!P722,", ",'906MP'!E722),"nincs megjegyzés")</f>
        <v>nincs megjegyzés</v>
      </c>
      <c r="V1022" t="str">
        <f t="shared" si="285"/>
        <v>0P0</v>
      </c>
      <c r="W1022" t="str">
        <f t="shared" si="286"/>
        <v>0P0</v>
      </c>
      <c r="X1022" t="str">
        <f t="shared" si="287"/>
        <v>P0</v>
      </c>
      <c r="Y1022" t="str">
        <f t="shared" si="288"/>
        <v>00</v>
      </c>
      <c r="Z1022" t="str">
        <f t="shared" si="299"/>
        <v>00</v>
      </c>
      <c r="AA1022" t="str">
        <f t="shared" si="289"/>
        <v>00</v>
      </c>
      <c r="AB1022" t="str">
        <f t="shared" si="290"/>
        <v>00</v>
      </c>
      <c r="AC1022" t="str">
        <f t="shared" si="291"/>
        <v>0P0</v>
      </c>
      <c r="AD1022" t="str">
        <f t="shared" si="292"/>
        <v>P00</v>
      </c>
      <c r="AE1022" t="str">
        <f t="shared" si="293"/>
        <v>0P0</v>
      </c>
      <c r="AF1022" t="str">
        <f t="shared" si="294"/>
        <v>P00</v>
      </c>
      <c r="AG1022" t="str">
        <f t="shared" si="300"/>
        <v>0P00</v>
      </c>
      <c r="AH1022" t="str">
        <f t="shared" si="301"/>
        <v>P000</v>
      </c>
      <c r="AI1022" t="str">
        <f t="shared" si="302"/>
        <v>0P00</v>
      </c>
      <c r="AJ1022" t="str">
        <f t="shared" si="303"/>
        <v>P000</v>
      </c>
    </row>
    <row r="1023" spans="1:36" x14ac:dyDescent="0.25">
      <c r="A1023" s="325" t="str">
        <f>CONCATENATE("P",'906MP'!M723)</f>
        <v>P</v>
      </c>
      <c r="B1023">
        <f>'906MP'!H723</f>
        <v>0</v>
      </c>
      <c r="C1023">
        <f>'906MP'!J723</f>
        <v>0</v>
      </c>
      <c r="D1023">
        <f>'906MP'!P723</f>
        <v>0</v>
      </c>
      <c r="E1023">
        <f>'906MP'!X723</f>
        <v>0</v>
      </c>
      <c r="F1023" t="str">
        <f t="shared" si="295"/>
        <v>0</v>
      </c>
      <c r="G1023" t="str">
        <f t="shared" si="296"/>
        <v>0</v>
      </c>
      <c r="H1023">
        <f>'906MP'!Y723</f>
        <v>0</v>
      </c>
      <c r="I1023">
        <f>'906MP'!AK723</f>
        <v>0</v>
      </c>
      <c r="J1023">
        <f>'906MP'!T723</f>
        <v>0</v>
      </c>
      <c r="K1023">
        <f>'906MP'!AJ723</f>
        <v>0</v>
      </c>
      <c r="L1023">
        <f>'906MP'!U723</f>
        <v>0</v>
      </c>
      <c r="M1023" s="322" t="str">
        <f>IFERROR(VLOOKUP(A1023,PAR!$D$3:$E$53,2,FALSE),"nincs szervezet")</f>
        <v>nincs szervezet</v>
      </c>
      <c r="N1023" s="322" t="str">
        <f>VLOOKUP(F1023,PAR!$R$3:$S$5,2,FALSE)</f>
        <v>3 - egyik sem</v>
      </c>
      <c r="O1023" t="str">
        <f>IFERROR(VLOOKUP(J1023,PAR!$O$3:$P$5,2,FALSE),"nincs feladat")</f>
        <v>nincs feladat</v>
      </c>
      <c r="P1023" t="str">
        <f>IFERROR(VLOOKUP(G1023,PAR!$J$2:$M$19,4),"nincs rovat")</f>
        <v>nincs rovat</v>
      </c>
      <c r="Q1023" t="str">
        <f>IF(H1023&gt;0,VLOOKUP(H1023,PAR!$AA$3:$AC$187,3,FALSE),"nincs főkönyvi számla")</f>
        <v>nincs főkönyvi számla</v>
      </c>
      <c r="R1023" t="str">
        <f>IFERROR(VLOOKUP(K1023,PAR!$V$3:$X$438,3,FALSE),"000000 - Nincs COFOG")</f>
        <v>000000 - Nincs COFOG</v>
      </c>
      <c r="S1023">
        <f t="shared" si="297"/>
        <v>0</v>
      </c>
      <c r="T1023">
        <f t="shared" si="298"/>
        <v>0</v>
      </c>
      <c r="U1023" t="str">
        <f>IF('906MP'!J723&gt;0,CONCATENATE('906MP'!J723," - ",'906MP'!P723,", ",'906MP'!E723),"nincs megjegyzés")</f>
        <v>nincs megjegyzés</v>
      </c>
      <c r="V1023" t="str">
        <f t="shared" si="285"/>
        <v>0P0</v>
      </c>
      <c r="W1023" t="str">
        <f t="shared" si="286"/>
        <v>0P0</v>
      </c>
      <c r="X1023" t="str">
        <f t="shared" si="287"/>
        <v>P0</v>
      </c>
      <c r="Y1023" t="str">
        <f t="shared" si="288"/>
        <v>00</v>
      </c>
      <c r="Z1023" t="str">
        <f t="shared" si="299"/>
        <v>00</v>
      </c>
      <c r="AA1023" t="str">
        <f t="shared" si="289"/>
        <v>00</v>
      </c>
      <c r="AB1023" t="str">
        <f t="shared" si="290"/>
        <v>00</v>
      </c>
      <c r="AC1023" t="str">
        <f t="shared" si="291"/>
        <v>0P0</v>
      </c>
      <c r="AD1023" t="str">
        <f t="shared" si="292"/>
        <v>P00</v>
      </c>
      <c r="AE1023" t="str">
        <f t="shared" si="293"/>
        <v>0P0</v>
      </c>
      <c r="AF1023" t="str">
        <f t="shared" si="294"/>
        <v>P00</v>
      </c>
      <c r="AG1023" t="str">
        <f t="shared" si="300"/>
        <v>0P00</v>
      </c>
      <c r="AH1023" t="str">
        <f t="shared" si="301"/>
        <v>P000</v>
      </c>
      <c r="AI1023" t="str">
        <f t="shared" si="302"/>
        <v>0P00</v>
      </c>
      <c r="AJ1023" t="str">
        <f t="shared" si="303"/>
        <v>P000</v>
      </c>
    </row>
    <row r="1024" spans="1:36" x14ac:dyDescent="0.25">
      <c r="A1024" s="325" t="str">
        <f>CONCATENATE("P",'906MP'!M724)</f>
        <v>P</v>
      </c>
      <c r="B1024">
        <f>'906MP'!H724</f>
        <v>0</v>
      </c>
      <c r="C1024">
        <f>'906MP'!J724</f>
        <v>0</v>
      </c>
      <c r="D1024">
        <f>'906MP'!P724</f>
        <v>0</v>
      </c>
      <c r="E1024">
        <f>'906MP'!X724</f>
        <v>0</v>
      </c>
      <c r="F1024" t="str">
        <f t="shared" si="295"/>
        <v>0</v>
      </c>
      <c r="G1024" t="str">
        <f t="shared" si="296"/>
        <v>0</v>
      </c>
      <c r="H1024">
        <f>'906MP'!Y724</f>
        <v>0</v>
      </c>
      <c r="I1024">
        <f>'906MP'!AK724</f>
        <v>0</v>
      </c>
      <c r="J1024">
        <f>'906MP'!T724</f>
        <v>0</v>
      </c>
      <c r="K1024">
        <f>'906MP'!AJ724</f>
        <v>0</v>
      </c>
      <c r="L1024">
        <f>'906MP'!U724</f>
        <v>0</v>
      </c>
      <c r="M1024" s="322" t="str">
        <f>IFERROR(VLOOKUP(A1024,PAR!$D$3:$E$53,2,FALSE),"nincs szervezet")</f>
        <v>nincs szervezet</v>
      </c>
      <c r="N1024" s="322" t="str">
        <f>VLOOKUP(F1024,PAR!$R$3:$S$5,2,FALSE)</f>
        <v>3 - egyik sem</v>
      </c>
      <c r="O1024" t="str">
        <f>IFERROR(VLOOKUP(J1024,PAR!$O$3:$P$5,2,FALSE),"nincs feladat")</f>
        <v>nincs feladat</v>
      </c>
      <c r="P1024" t="str">
        <f>IFERROR(VLOOKUP(G1024,PAR!$J$2:$M$19,4),"nincs rovat")</f>
        <v>nincs rovat</v>
      </c>
      <c r="Q1024" t="str">
        <f>IF(H1024&gt;0,VLOOKUP(H1024,PAR!$AA$3:$AC$187,3,FALSE),"nincs főkönyvi számla")</f>
        <v>nincs főkönyvi számla</v>
      </c>
      <c r="R1024" t="str">
        <f>IFERROR(VLOOKUP(K1024,PAR!$V$3:$X$438,3,FALSE),"000000 - Nincs COFOG")</f>
        <v>000000 - Nincs COFOG</v>
      </c>
      <c r="S1024">
        <f t="shared" si="297"/>
        <v>0</v>
      </c>
      <c r="T1024">
        <f t="shared" si="298"/>
        <v>0</v>
      </c>
      <c r="U1024" t="str">
        <f>IF('906MP'!J724&gt;0,CONCATENATE('906MP'!J724," - ",'906MP'!P724,", ",'906MP'!E724),"nincs megjegyzés")</f>
        <v>nincs megjegyzés</v>
      </c>
      <c r="V1024" t="str">
        <f t="shared" si="285"/>
        <v>0P0</v>
      </c>
      <c r="W1024" t="str">
        <f t="shared" si="286"/>
        <v>0P0</v>
      </c>
      <c r="X1024" t="str">
        <f t="shared" si="287"/>
        <v>P0</v>
      </c>
      <c r="Y1024" t="str">
        <f t="shared" si="288"/>
        <v>00</v>
      </c>
      <c r="Z1024" t="str">
        <f t="shared" si="299"/>
        <v>00</v>
      </c>
      <c r="AA1024" t="str">
        <f t="shared" si="289"/>
        <v>00</v>
      </c>
      <c r="AB1024" t="str">
        <f t="shared" si="290"/>
        <v>00</v>
      </c>
      <c r="AC1024" t="str">
        <f t="shared" si="291"/>
        <v>0P0</v>
      </c>
      <c r="AD1024" t="str">
        <f t="shared" si="292"/>
        <v>P00</v>
      </c>
      <c r="AE1024" t="str">
        <f t="shared" si="293"/>
        <v>0P0</v>
      </c>
      <c r="AF1024" t="str">
        <f t="shared" si="294"/>
        <v>P00</v>
      </c>
      <c r="AG1024" t="str">
        <f t="shared" si="300"/>
        <v>0P00</v>
      </c>
      <c r="AH1024" t="str">
        <f t="shared" si="301"/>
        <v>P000</v>
      </c>
      <c r="AI1024" t="str">
        <f t="shared" si="302"/>
        <v>0P00</v>
      </c>
      <c r="AJ1024" t="str">
        <f t="shared" si="303"/>
        <v>P000</v>
      </c>
    </row>
    <row r="1025" spans="1:36" x14ac:dyDescent="0.25">
      <c r="A1025" s="325" t="str">
        <f>CONCATENATE("P",'906MP'!M725)</f>
        <v>P</v>
      </c>
      <c r="B1025">
        <f>'906MP'!H725</f>
        <v>0</v>
      </c>
      <c r="C1025">
        <f>'906MP'!J725</f>
        <v>0</v>
      </c>
      <c r="D1025">
        <f>'906MP'!P725</f>
        <v>0</v>
      </c>
      <c r="E1025">
        <f>'906MP'!X725</f>
        <v>0</v>
      </c>
      <c r="F1025" t="str">
        <f t="shared" si="295"/>
        <v>0</v>
      </c>
      <c r="G1025" t="str">
        <f t="shared" si="296"/>
        <v>0</v>
      </c>
      <c r="H1025">
        <f>'906MP'!Y725</f>
        <v>0</v>
      </c>
      <c r="I1025">
        <f>'906MP'!AK725</f>
        <v>0</v>
      </c>
      <c r="J1025">
        <f>'906MP'!T725</f>
        <v>0</v>
      </c>
      <c r="K1025">
        <f>'906MP'!AJ725</f>
        <v>0</v>
      </c>
      <c r="L1025">
        <f>'906MP'!U725</f>
        <v>0</v>
      </c>
      <c r="M1025" s="322" t="str">
        <f>IFERROR(VLOOKUP(A1025,PAR!$D$3:$E$53,2,FALSE),"nincs szervezet")</f>
        <v>nincs szervezet</v>
      </c>
      <c r="N1025" s="322" t="str">
        <f>VLOOKUP(F1025,PAR!$R$3:$S$5,2,FALSE)</f>
        <v>3 - egyik sem</v>
      </c>
      <c r="O1025" t="str">
        <f>IFERROR(VLOOKUP(J1025,PAR!$O$3:$P$5,2,FALSE),"nincs feladat")</f>
        <v>nincs feladat</v>
      </c>
      <c r="P1025" t="str">
        <f>IFERROR(VLOOKUP(G1025,PAR!$J$2:$M$19,4),"nincs rovat")</f>
        <v>nincs rovat</v>
      </c>
      <c r="Q1025" t="str">
        <f>IF(H1025&gt;0,VLOOKUP(H1025,PAR!$AA$3:$AC$187,3,FALSE),"nincs főkönyvi számla")</f>
        <v>nincs főkönyvi számla</v>
      </c>
      <c r="R1025" t="str">
        <f>IFERROR(VLOOKUP(K1025,PAR!$V$3:$X$438,3,FALSE),"000000 - Nincs COFOG")</f>
        <v>000000 - Nincs COFOG</v>
      </c>
      <c r="S1025">
        <f t="shared" si="297"/>
        <v>0</v>
      </c>
      <c r="T1025">
        <f t="shared" si="298"/>
        <v>0</v>
      </c>
      <c r="U1025" t="str">
        <f>IF('906MP'!J725&gt;0,CONCATENATE('906MP'!J725," - ",'906MP'!P725,", ",'906MP'!E725),"nincs megjegyzés")</f>
        <v>nincs megjegyzés</v>
      </c>
      <c r="V1025" t="str">
        <f t="shared" si="285"/>
        <v>0P0</v>
      </c>
      <c r="W1025" t="str">
        <f t="shared" si="286"/>
        <v>0P0</v>
      </c>
      <c r="X1025" t="str">
        <f t="shared" si="287"/>
        <v>P0</v>
      </c>
      <c r="Y1025" t="str">
        <f t="shared" si="288"/>
        <v>00</v>
      </c>
      <c r="Z1025" t="str">
        <f t="shared" si="299"/>
        <v>00</v>
      </c>
      <c r="AA1025" t="str">
        <f t="shared" si="289"/>
        <v>00</v>
      </c>
      <c r="AB1025" t="str">
        <f t="shared" si="290"/>
        <v>00</v>
      </c>
      <c r="AC1025" t="str">
        <f t="shared" si="291"/>
        <v>0P0</v>
      </c>
      <c r="AD1025" t="str">
        <f t="shared" si="292"/>
        <v>P00</v>
      </c>
      <c r="AE1025" t="str">
        <f t="shared" si="293"/>
        <v>0P0</v>
      </c>
      <c r="AF1025" t="str">
        <f t="shared" si="294"/>
        <v>P00</v>
      </c>
      <c r="AG1025" t="str">
        <f t="shared" si="300"/>
        <v>0P00</v>
      </c>
      <c r="AH1025" t="str">
        <f t="shared" si="301"/>
        <v>P000</v>
      </c>
      <c r="AI1025" t="str">
        <f t="shared" si="302"/>
        <v>0P00</v>
      </c>
      <c r="AJ1025" t="str">
        <f t="shared" si="303"/>
        <v>P000</v>
      </c>
    </row>
    <row r="1026" spans="1:36" x14ac:dyDescent="0.25">
      <c r="A1026" s="325" t="str">
        <f>CONCATENATE("P",'906MP'!M726)</f>
        <v>P</v>
      </c>
      <c r="B1026">
        <f>'906MP'!H726</f>
        <v>0</v>
      </c>
      <c r="C1026">
        <f>'906MP'!J726</f>
        <v>0</v>
      </c>
      <c r="D1026">
        <f>'906MP'!P726</f>
        <v>0</v>
      </c>
      <c r="E1026">
        <f>'906MP'!X726</f>
        <v>0</v>
      </c>
      <c r="F1026" t="str">
        <f t="shared" si="295"/>
        <v>0</v>
      </c>
      <c r="G1026" t="str">
        <f t="shared" si="296"/>
        <v>0</v>
      </c>
      <c r="H1026">
        <f>'906MP'!Y726</f>
        <v>0</v>
      </c>
      <c r="I1026">
        <f>'906MP'!AK726</f>
        <v>0</v>
      </c>
      <c r="J1026">
        <f>'906MP'!T726</f>
        <v>0</v>
      </c>
      <c r="K1026">
        <f>'906MP'!AJ726</f>
        <v>0</v>
      </c>
      <c r="L1026">
        <f>'906MP'!U726</f>
        <v>0</v>
      </c>
      <c r="M1026" s="322" t="str">
        <f>IFERROR(VLOOKUP(A1026,PAR!$D$3:$E$53,2,FALSE),"nincs szervezet")</f>
        <v>nincs szervezet</v>
      </c>
      <c r="N1026" s="322" t="str">
        <f>VLOOKUP(F1026,PAR!$R$3:$S$5,2,FALSE)</f>
        <v>3 - egyik sem</v>
      </c>
      <c r="O1026" t="str">
        <f>IFERROR(VLOOKUP(J1026,PAR!$O$3:$P$5,2,FALSE),"nincs feladat")</f>
        <v>nincs feladat</v>
      </c>
      <c r="P1026" t="str">
        <f>IFERROR(VLOOKUP(G1026,PAR!$J$2:$M$19,4),"nincs rovat")</f>
        <v>nincs rovat</v>
      </c>
      <c r="Q1026" t="str">
        <f>IF(H1026&gt;0,VLOOKUP(H1026,PAR!$AA$3:$AC$187,3,FALSE),"nincs főkönyvi számla")</f>
        <v>nincs főkönyvi számla</v>
      </c>
      <c r="R1026" t="str">
        <f>IFERROR(VLOOKUP(K1026,PAR!$V$3:$X$438,3,FALSE),"000000 - Nincs COFOG")</f>
        <v>000000 - Nincs COFOG</v>
      </c>
      <c r="S1026">
        <f t="shared" si="297"/>
        <v>0</v>
      </c>
      <c r="T1026">
        <f t="shared" si="298"/>
        <v>0</v>
      </c>
      <c r="U1026" t="str">
        <f>IF('906MP'!J726&gt;0,CONCATENATE('906MP'!J726," - ",'906MP'!P726,", ",'906MP'!E726),"nincs megjegyzés")</f>
        <v>nincs megjegyzés</v>
      </c>
      <c r="V1026" t="str">
        <f t="shared" ref="V1026:V1089" si="304">CONCATENATE(B1026,A1026,G1026)</f>
        <v>0P0</v>
      </c>
      <c r="W1026" t="str">
        <f t="shared" ref="W1026:W1089" si="305">CONCATENATE(B1026,A1026,F1026)</f>
        <v>0P0</v>
      </c>
      <c r="X1026" t="str">
        <f t="shared" ref="X1026:X1089" si="306">CONCATENATE(A1026,H1026)</f>
        <v>P0</v>
      </c>
      <c r="Y1026" t="str">
        <f t="shared" ref="Y1026:Y1089" si="307">CONCATENATE(B1026,H1026)</f>
        <v>00</v>
      </c>
      <c r="Z1026" t="str">
        <f t="shared" si="299"/>
        <v>00</v>
      </c>
      <c r="AA1026" t="str">
        <f t="shared" ref="AA1026:AA1089" si="308">CONCATENATE(B1026,G1026)</f>
        <v>00</v>
      </c>
      <c r="AB1026" t="str">
        <f t="shared" ref="AB1026:AB1089" si="309">CONCATENATE(J1026,G1026)</f>
        <v>00</v>
      </c>
      <c r="AC1026" t="str">
        <f t="shared" ref="AC1026:AC1089" si="310">CONCATENATE(B1026,A1026,H1026)</f>
        <v>0P0</v>
      </c>
      <c r="AD1026" t="str">
        <f t="shared" ref="AD1026:AD1089" si="311">CONCATENATE(A1026,H1026,J1026)</f>
        <v>P00</v>
      </c>
      <c r="AE1026" t="str">
        <f t="shared" ref="AE1026:AE1089" si="312">CONCATENATE(B1026,A1026,G1026)</f>
        <v>0P0</v>
      </c>
      <c r="AF1026" t="str">
        <f t="shared" ref="AF1026:AF1089" si="313">CONCATENATE(A1026,G1026,J1026)</f>
        <v>P00</v>
      </c>
      <c r="AG1026" t="str">
        <f t="shared" si="300"/>
        <v>0P00</v>
      </c>
      <c r="AH1026" t="str">
        <f t="shared" si="301"/>
        <v>P000</v>
      </c>
      <c r="AI1026" t="str">
        <f t="shared" si="302"/>
        <v>0P00</v>
      </c>
      <c r="AJ1026" t="str">
        <f t="shared" si="303"/>
        <v>P000</v>
      </c>
    </row>
    <row r="1027" spans="1:36" x14ac:dyDescent="0.25">
      <c r="A1027" s="325" t="str">
        <f>CONCATENATE("P",'906MP'!M727)</f>
        <v>P</v>
      </c>
      <c r="B1027">
        <f>'906MP'!H727</f>
        <v>0</v>
      </c>
      <c r="C1027">
        <f>'906MP'!J727</f>
        <v>0</v>
      </c>
      <c r="D1027">
        <f>'906MP'!P727</f>
        <v>0</v>
      </c>
      <c r="E1027">
        <f>'906MP'!X727</f>
        <v>0</v>
      </c>
      <c r="F1027" t="str">
        <f t="shared" ref="F1027:F1090" si="314">LEFT(G1027,2)</f>
        <v>0</v>
      </c>
      <c r="G1027" t="str">
        <f t="shared" ref="G1027:G1090" si="315">LEFT(H1027,3)</f>
        <v>0</v>
      </c>
      <c r="H1027">
        <f>'906MP'!Y727</f>
        <v>0</v>
      </c>
      <c r="I1027">
        <f>'906MP'!AK727</f>
        <v>0</v>
      </c>
      <c r="J1027">
        <f>'906MP'!T727</f>
        <v>0</v>
      </c>
      <c r="K1027">
        <f>'906MP'!AJ727</f>
        <v>0</v>
      </c>
      <c r="L1027">
        <f>'906MP'!U727</f>
        <v>0</v>
      </c>
      <c r="M1027" s="322" t="str">
        <f>IFERROR(VLOOKUP(A1027,PAR!$D$3:$E$53,2,FALSE),"nincs szervezet")</f>
        <v>nincs szervezet</v>
      </c>
      <c r="N1027" s="322" t="str">
        <f>VLOOKUP(F1027,PAR!$R$3:$S$5,2,FALSE)</f>
        <v>3 - egyik sem</v>
      </c>
      <c r="O1027" t="str">
        <f>IFERROR(VLOOKUP(J1027,PAR!$O$3:$P$5,2,FALSE),"nincs feladat")</f>
        <v>nincs feladat</v>
      </c>
      <c r="P1027" t="str">
        <f>IFERROR(VLOOKUP(G1027,PAR!$J$2:$M$19,4),"nincs rovat")</f>
        <v>nincs rovat</v>
      </c>
      <c r="Q1027" t="str">
        <f>IF(H1027&gt;0,VLOOKUP(H1027,PAR!$AA$3:$AC$187,3,FALSE),"nincs főkönyvi számla")</f>
        <v>nincs főkönyvi számla</v>
      </c>
      <c r="R1027" t="str">
        <f>IFERROR(VLOOKUP(K1027,PAR!$V$3:$X$438,3,FALSE),"000000 - Nincs COFOG")</f>
        <v>000000 - Nincs COFOG</v>
      </c>
      <c r="S1027">
        <f t="shared" ref="S1027:S1090" si="316">E1027</f>
        <v>0</v>
      </c>
      <c r="T1027">
        <f t="shared" ref="T1027:T1090" si="317">IF(F1027="09",E1027*-1,E1027)</f>
        <v>0</v>
      </c>
      <c r="U1027" t="str">
        <f>IF('906MP'!J727&gt;0,CONCATENATE('906MP'!J727," - ",'906MP'!P727,", ",'906MP'!E727),"nincs megjegyzés")</f>
        <v>nincs megjegyzés</v>
      </c>
      <c r="V1027" t="str">
        <f t="shared" si="304"/>
        <v>0P0</v>
      </c>
      <c r="W1027" t="str">
        <f t="shared" si="305"/>
        <v>0P0</v>
      </c>
      <c r="X1027" t="str">
        <f t="shared" si="306"/>
        <v>P0</v>
      </c>
      <c r="Y1027" t="str">
        <f t="shared" si="307"/>
        <v>00</v>
      </c>
      <c r="Z1027" t="str">
        <f t="shared" ref="Z1027:Z1090" si="318">CONCATENATE(J1027,H1027)</f>
        <v>00</v>
      </c>
      <c r="AA1027" t="str">
        <f t="shared" si="308"/>
        <v>00</v>
      </c>
      <c r="AB1027" t="str">
        <f t="shared" si="309"/>
        <v>00</v>
      </c>
      <c r="AC1027" t="str">
        <f t="shared" si="310"/>
        <v>0P0</v>
      </c>
      <c r="AD1027" t="str">
        <f t="shared" si="311"/>
        <v>P00</v>
      </c>
      <c r="AE1027" t="str">
        <f t="shared" si="312"/>
        <v>0P0</v>
      </c>
      <c r="AF1027" t="str">
        <f t="shared" si="313"/>
        <v>P00</v>
      </c>
      <c r="AG1027" t="str">
        <f t="shared" ref="AG1027:AG1090" si="319">CONCATENATE(B1027,A1027,H1027,L1027)</f>
        <v>0P00</v>
      </c>
      <c r="AH1027" t="str">
        <f t="shared" ref="AH1027:AH1090" si="320">CONCATENATE(A1027,J1027,H1027,L1027)</f>
        <v>P000</v>
      </c>
      <c r="AI1027" t="str">
        <f t="shared" ref="AI1027:AI1090" si="321">CONCATENATE(B1027,A1027,G1027,L1027)</f>
        <v>0P00</v>
      </c>
      <c r="AJ1027" t="str">
        <f t="shared" ref="AJ1027:AJ1090" si="322">CONCATENATE(A1027,G1027,J1027,L1027)</f>
        <v>P000</v>
      </c>
    </row>
    <row r="1028" spans="1:36" x14ac:dyDescent="0.25">
      <c r="A1028" s="325" t="str">
        <f>CONCATENATE("P",'906MP'!M728)</f>
        <v>P</v>
      </c>
      <c r="B1028">
        <f>'906MP'!H728</f>
        <v>0</v>
      </c>
      <c r="C1028">
        <f>'906MP'!J728</f>
        <v>0</v>
      </c>
      <c r="D1028">
        <f>'906MP'!P728</f>
        <v>0</v>
      </c>
      <c r="E1028">
        <f>'906MP'!X728</f>
        <v>0</v>
      </c>
      <c r="F1028" t="str">
        <f t="shared" si="314"/>
        <v>0</v>
      </c>
      <c r="G1028" t="str">
        <f t="shared" si="315"/>
        <v>0</v>
      </c>
      <c r="H1028">
        <f>'906MP'!Y728</f>
        <v>0</v>
      </c>
      <c r="I1028">
        <f>'906MP'!AK728</f>
        <v>0</v>
      </c>
      <c r="J1028">
        <f>'906MP'!T728</f>
        <v>0</v>
      </c>
      <c r="K1028">
        <f>'906MP'!AJ728</f>
        <v>0</v>
      </c>
      <c r="L1028">
        <f>'906MP'!U728</f>
        <v>0</v>
      </c>
      <c r="M1028" s="322" t="str">
        <f>IFERROR(VLOOKUP(A1028,PAR!$D$3:$E$53,2,FALSE),"nincs szervezet")</f>
        <v>nincs szervezet</v>
      </c>
      <c r="N1028" s="322" t="str">
        <f>VLOOKUP(F1028,PAR!$R$3:$S$5,2,FALSE)</f>
        <v>3 - egyik sem</v>
      </c>
      <c r="O1028" t="str">
        <f>IFERROR(VLOOKUP(J1028,PAR!$O$3:$P$5,2,FALSE),"nincs feladat")</f>
        <v>nincs feladat</v>
      </c>
      <c r="P1028" t="str">
        <f>IFERROR(VLOOKUP(G1028,PAR!$J$2:$M$19,4),"nincs rovat")</f>
        <v>nincs rovat</v>
      </c>
      <c r="Q1028" t="str">
        <f>IF(H1028&gt;0,VLOOKUP(H1028,PAR!$AA$3:$AC$187,3,FALSE),"nincs főkönyvi számla")</f>
        <v>nincs főkönyvi számla</v>
      </c>
      <c r="R1028" t="str">
        <f>IFERROR(VLOOKUP(K1028,PAR!$V$3:$X$438,3,FALSE),"000000 - Nincs COFOG")</f>
        <v>000000 - Nincs COFOG</v>
      </c>
      <c r="S1028">
        <f t="shared" si="316"/>
        <v>0</v>
      </c>
      <c r="T1028">
        <f t="shared" si="317"/>
        <v>0</v>
      </c>
      <c r="U1028" t="str">
        <f>IF('906MP'!J728&gt;0,CONCATENATE('906MP'!J728," - ",'906MP'!P728,", ",'906MP'!E728),"nincs megjegyzés")</f>
        <v>nincs megjegyzés</v>
      </c>
      <c r="V1028" t="str">
        <f t="shared" si="304"/>
        <v>0P0</v>
      </c>
      <c r="W1028" t="str">
        <f t="shared" si="305"/>
        <v>0P0</v>
      </c>
      <c r="X1028" t="str">
        <f t="shared" si="306"/>
        <v>P0</v>
      </c>
      <c r="Y1028" t="str">
        <f t="shared" si="307"/>
        <v>00</v>
      </c>
      <c r="Z1028" t="str">
        <f t="shared" si="318"/>
        <v>00</v>
      </c>
      <c r="AA1028" t="str">
        <f t="shared" si="308"/>
        <v>00</v>
      </c>
      <c r="AB1028" t="str">
        <f t="shared" si="309"/>
        <v>00</v>
      </c>
      <c r="AC1028" t="str">
        <f t="shared" si="310"/>
        <v>0P0</v>
      </c>
      <c r="AD1028" t="str">
        <f t="shared" si="311"/>
        <v>P00</v>
      </c>
      <c r="AE1028" t="str">
        <f t="shared" si="312"/>
        <v>0P0</v>
      </c>
      <c r="AF1028" t="str">
        <f t="shared" si="313"/>
        <v>P00</v>
      </c>
      <c r="AG1028" t="str">
        <f t="shared" si="319"/>
        <v>0P00</v>
      </c>
      <c r="AH1028" t="str">
        <f t="shared" si="320"/>
        <v>P000</v>
      </c>
      <c r="AI1028" t="str">
        <f t="shared" si="321"/>
        <v>0P00</v>
      </c>
      <c r="AJ1028" t="str">
        <f t="shared" si="322"/>
        <v>P000</v>
      </c>
    </row>
    <row r="1029" spans="1:36" x14ac:dyDescent="0.25">
      <c r="A1029" s="325" t="str">
        <f>CONCATENATE("P",'906MP'!M729)</f>
        <v>P</v>
      </c>
      <c r="B1029">
        <f>'906MP'!H729</f>
        <v>0</v>
      </c>
      <c r="C1029">
        <f>'906MP'!J729</f>
        <v>0</v>
      </c>
      <c r="D1029">
        <f>'906MP'!P729</f>
        <v>0</v>
      </c>
      <c r="E1029">
        <f>'906MP'!X729</f>
        <v>0</v>
      </c>
      <c r="F1029" t="str">
        <f t="shared" si="314"/>
        <v>0</v>
      </c>
      <c r="G1029" t="str">
        <f t="shared" si="315"/>
        <v>0</v>
      </c>
      <c r="H1029">
        <f>'906MP'!Y729</f>
        <v>0</v>
      </c>
      <c r="I1029">
        <f>'906MP'!AK729</f>
        <v>0</v>
      </c>
      <c r="J1029">
        <f>'906MP'!T729</f>
        <v>0</v>
      </c>
      <c r="K1029">
        <f>'906MP'!AJ729</f>
        <v>0</v>
      </c>
      <c r="L1029">
        <f>'906MP'!U729</f>
        <v>0</v>
      </c>
      <c r="M1029" s="322" t="str">
        <f>IFERROR(VLOOKUP(A1029,PAR!$D$3:$E$53,2,FALSE),"nincs szervezet")</f>
        <v>nincs szervezet</v>
      </c>
      <c r="N1029" s="322" t="str">
        <f>VLOOKUP(F1029,PAR!$R$3:$S$5,2,FALSE)</f>
        <v>3 - egyik sem</v>
      </c>
      <c r="O1029" t="str">
        <f>IFERROR(VLOOKUP(J1029,PAR!$O$3:$P$5,2,FALSE),"nincs feladat")</f>
        <v>nincs feladat</v>
      </c>
      <c r="P1029" t="str">
        <f>IFERROR(VLOOKUP(G1029,PAR!$J$2:$M$19,4),"nincs rovat")</f>
        <v>nincs rovat</v>
      </c>
      <c r="Q1029" t="str">
        <f>IF(H1029&gt;0,VLOOKUP(H1029,PAR!$AA$3:$AC$187,3,FALSE),"nincs főkönyvi számla")</f>
        <v>nincs főkönyvi számla</v>
      </c>
      <c r="R1029" t="str">
        <f>IFERROR(VLOOKUP(K1029,PAR!$V$3:$X$438,3,FALSE),"000000 - Nincs COFOG")</f>
        <v>000000 - Nincs COFOG</v>
      </c>
      <c r="S1029">
        <f t="shared" si="316"/>
        <v>0</v>
      </c>
      <c r="T1029">
        <f t="shared" si="317"/>
        <v>0</v>
      </c>
      <c r="U1029" t="str">
        <f>IF('906MP'!J729&gt;0,CONCATENATE('906MP'!J729," - ",'906MP'!P729,", ",'906MP'!E729),"nincs megjegyzés")</f>
        <v>nincs megjegyzés</v>
      </c>
      <c r="V1029" t="str">
        <f t="shared" si="304"/>
        <v>0P0</v>
      </c>
      <c r="W1029" t="str">
        <f t="shared" si="305"/>
        <v>0P0</v>
      </c>
      <c r="X1029" t="str">
        <f t="shared" si="306"/>
        <v>P0</v>
      </c>
      <c r="Y1029" t="str">
        <f t="shared" si="307"/>
        <v>00</v>
      </c>
      <c r="Z1029" t="str">
        <f t="shared" si="318"/>
        <v>00</v>
      </c>
      <c r="AA1029" t="str">
        <f t="shared" si="308"/>
        <v>00</v>
      </c>
      <c r="AB1029" t="str">
        <f t="shared" si="309"/>
        <v>00</v>
      </c>
      <c r="AC1029" t="str">
        <f t="shared" si="310"/>
        <v>0P0</v>
      </c>
      <c r="AD1029" t="str">
        <f t="shared" si="311"/>
        <v>P00</v>
      </c>
      <c r="AE1029" t="str">
        <f t="shared" si="312"/>
        <v>0P0</v>
      </c>
      <c r="AF1029" t="str">
        <f t="shared" si="313"/>
        <v>P00</v>
      </c>
      <c r="AG1029" t="str">
        <f t="shared" si="319"/>
        <v>0P00</v>
      </c>
      <c r="AH1029" t="str">
        <f t="shared" si="320"/>
        <v>P000</v>
      </c>
      <c r="AI1029" t="str">
        <f t="shared" si="321"/>
        <v>0P00</v>
      </c>
      <c r="AJ1029" t="str">
        <f t="shared" si="322"/>
        <v>P000</v>
      </c>
    </row>
    <row r="1030" spans="1:36" x14ac:dyDescent="0.25">
      <c r="A1030" s="325" t="str">
        <f>CONCATENATE("P",'906MP'!M730)</f>
        <v>P</v>
      </c>
      <c r="B1030">
        <f>'906MP'!H730</f>
        <v>0</v>
      </c>
      <c r="C1030">
        <f>'906MP'!J730</f>
        <v>0</v>
      </c>
      <c r="D1030">
        <f>'906MP'!P730</f>
        <v>0</v>
      </c>
      <c r="E1030">
        <f>'906MP'!X730</f>
        <v>0</v>
      </c>
      <c r="F1030" t="str">
        <f t="shared" si="314"/>
        <v>0</v>
      </c>
      <c r="G1030" t="str">
        <f t="shared" si="315"/>
        <v>0</v>
      </c>
      <c r="H1030">
        <f>'906MP'!Y730</f>
        <v>0</v>
      </c>
      <c r="I1030">
        <f>'906MP'!AK730</f>
        <v>0</v>
      </c>
      <c r="J1030">
        <f>'906MP'!T730</f>
        <v>0</v>
      </c>
      <c r="K1030">
        <f>'906MP'!AJ730</f>
        <v>0</v>
      </c>
      <c r="L1030">
        <f>'906MP'!U730</f>
        <v>0</v>
      </c>
      <c r="M1030" s="322" t="str">
        <f>IFERROR(VLOOKUP(A1030,PAR!$D$3:$E$53,2,FALSE),"nincs szervezet")</f>
        <v>nincs szervezet</v>
      </c>
      <c r="N1030" s="322" t="str">
        <f>VLOOKUP(F1030,PAR!$R$3:$S$5,2,FALSE)</f>
        <v>3 - egyik sem</v>
      </c>
      <c r="O1030" t="str">
        <f>IFERROR(VLOOKUP(J1030,PAR!$O$3:$P$5,2,FALSE),"nincs feladat")</f>
        <v>nincs feladat</v>
      </c>
      <c r="P1030" t="str">
        <f>IFERROR(VLOOKUP(G1030,PAR!$J$2:$M$19,4),"nincs rovat")</f>
        <v>nincs rovat</v>
      </c>
      <c r="Q1030" t="str">
        <f>IF(H1030&gt;0,VLOOKUP(H1030,PAR!$AA$3:$AC$187,3,FALSE),"nincs főkönyvi számla")</f>
        <v>nincs főkönyvi számla</v>
      </c>
      <c r="R1030" t="str">
        <f>IFERROR(VLOOKUP(K1030,PAR!$V$3:$X$438,3,FALSE),"000000 - Nincs COFOG")</f>
        <v>000000 - Nincs COFOG</v>
      </c>
      <c r="S1030">
        <f t="shared" si="316"/>
        <v>0</v>
      </c>
      <c r="T1030">
        <f t="shared" si="317"/>
        <v>0</v>
      </c>
      <c r="U1030" t="str">
        <f>IF('906MP'!J730&gt;0,CONCATENATE('906MP'!J730," - ",'906MP'!P730,", ",'906MP'!E730),"nincs megjegyzés")</f>
        <v>nincs megjegyzés</v>
      </c>
      <c r="V1030" t="str">
        <f t="shared" si="304"/>
        <v>0P0</v>
      </c>
      <c r="W1030" t="str">
        <f t="shared" si="305"/>
        <v>0P0</v>
      </c>
      <c r="X1030" t="str">
        <f t="shared" si="306"/>
        <v>P0</v>
      </c>
      <c r="Y1030" t="str">
        <f t="shared" si="307"/>
        <v>00</v>
      </c>
      <c r="Z1030" t="str">
        <f t="shared" si="318"/>
        <v>00</v>
      </c>
      <c r="AA1030" t="str">
        <f t="shared" si="308"/>
        <v>00</v>
      </c>
      <c r="AB1030" t="str">
        <f t="shared" si="309"/>
        <v>00</v>
      </c>
      <c r="AC1030" t="str">
        <f t="shared" si="310"/>
        <v>0P0</v>
      </c>
      <c r="AD1030" t="str">
        <f t="shared" si="311"/>
        <v>P00</v>
      </c>
      <c r="AE1030" t="str">
        <f t="shared" si="312"/>
        <v>0P0</v>
      </c>
      <c r="AF1030" t="str">
        <f t="shared" si="313"/>
        <v>P00</v>
      </c>
      <c r="AG1030" t="str">
        <f t="shared" si="319"/>
        <v>0P00</v>
      </c>
      <c r="AH1030" t="str">
        <f t="shared" si="320"/>
        <v>P000</v>
      </c>
      <c r="AI1030" t="str">
        <f t="shared" si="321"/>
        <v>0P00</v>
      </c>
      <c r="AJ1030" t="str">
        <f t="shared" si="322"/>
        <v>P000</v>
      </c>
    </row>
    <row r="1031" spans="1:36" x14ac:dyDescent="0.25">
      <c r="A1031" s="325" t="str">
        <f>CONCATENATE("P",'906MP'!M731)</f>
        <v>P</v>
      </c>
      <c r="B1031">
        <f>'906MP'!H731</f>
        <v>0</v>
      </c>
      <c r="C1031">
        <f>'906MP'!J731</f>
        <v>0</v>
      </c>
      <c r="D1031">
        <f>'906MP'!P731</f>
        <v>0</v>
      </c>
      <c r="E1031">
        <f>'906MP'!X731</f>
        <v>0</v>
      </c>
      <c r="F1031" t="str">
        <f t="shared" si="314"/>
        <v>0</v>
      </c>
      <c r="G1031" t="str">
        <f t="shared" si="315"/>
        <v>0</v>
      </c>
      <c r="H1031">
        <f>'906MP'!Y731</f>
        <v>0</v>
      </c>
      <c r="I1031">
        <f>'906MP'!AK731</f>
        <v>0</v>
      </c>
      <c r="J1031">
        <f>'906MP'!T731</f>
        <v>0</v>
      </c>
      <c r="K1031">
        <f>'906MP'!AJ731</f>
        <v>0</v>
      </c>
      <c r="L1031">
        <f>'906MP'!U731</f>
        <v>0</v>
      </c>
      <c r="M1031" s="322" t="str">
        <f>IFERROR(VLOOKUP(A1031,PAR!$D$3:$E$53,2,FALSE),"nincs szervezet")</f>
        <v>nincs szervezet</v>
      </c>
      <c r="N1031" s="322" t="str">
        <f>VLOOKUP(F1031,PAR!$R$3:$S$5,2,FALSE)</f>
        <v>3 - egyik sem</v>
      </c>
      <c r="O1031" t="str">
        <f>IFERROR(VLOOKUP(J1031,PAR!$O$3:$P$5,2,FALSE),"nincs feladat")</f>
        <v>nincs feladat</v>
      </c>
      <c r="P1031" t="str">
        <f>IFERROR(VLOOKUP(G1031,PAR!$J$2:$M$19,4),"nincs rovat")</f>
        <v>nincs rovat</v>
      </c>
      <c r="Q1031" t="str">
        <f>IF(H1031&gt;0,VLOOKUP(H1031,PAR!$AA$3:$AC$187,3,FALSE),"nincs főkönyvi számla")</f>
        <v>nincs főkönyvi számla</v>
      </c>
      <c r="R1031" t="str">
        <f>IFERROR(VLOOKUP(K1031,PAR!$V$3:$X$438,3,FALSE),"000000 - Nincs COFOG")</f>
        <v>000000 - Nincs COFOG</v>
      </c>
      <c r="S1031">
        <f t="shared" si="316"/>
        <v>0</v>
      </c>
      <c r="T1031">
        <f t="shared" si="317"/>
        <v>0</v>
      </c>
      <c r="U1031" t="str">
        <f>IF('906MP'!J731&gt;0,CONCATENATE('906MP'!J731," - ",'906MP'!P731,", ",'906MP'!E731),"nincs megjegyzés")</f>
        <v>nincs megjegyzés</v>
      </c>
      <c r="V1031" t="str">
        <f t="shared" si="304"/>
        <v>0P0</v>
      </c>
      <c r="W1031" t="str">
        <f t="shared" si="305"/>
        <v>0P0</v>
      </c>
      <c r="X1031" t="str">
        <f t="shared" si="306"/>
        <v>P0</v>
      </c>
      <c r="Y1031" t="str">
        <f t="shared" si="307"/>
        <v>00</v>
      </c>
      <c r="Z1031" t="str">
        <f t="shared" si="318"/>
        <v>00</v>
      </c>
      <c r="AA1031" t="str">
        <f t="shared" si="308"/>
        <v>00</v>
      </c>
      <c r="AB1031" t="str">
        <f t="shared" si="309"/>
        <v>00</v>
      </c>
      <c r="AC1031" t="str">
        <f t="shared" si="310"/>
        <v>0P0</v>
      </c>
      <c r="AD1031" t="str">
        <f t="shared" si="311"/>
        <v>P00</v>
      </c>
      <c r="AE1031" t="str">
        <f t="shared" si="312"/>
        <v>0P0</v>
      </c>
      <c r="AF1031" t="str">
        <f t="shared" si="313"/>
        <v>P00</v>
      </c>
      <c r="AG1031" t="str">
        <f t="shared" si="319"/>
        <v>0P00</v>
      </c>
      <c r="AH1031" t="str">
        <f t="shared" si="320"/>
        <v>P000</v>
      </c>
      <c r="AI1031" t="str">
        <f t="shared" si="321"/>
        <v>0P00</v>
      </c>
      <c r="AJ1031" t="str">
        <f t="shared" si="322"/>
        <v>P000</v>
      </c>
    </row>
    <row r="1032" spans="1:36" x14ac:dyDescent="0.25">
      <c r="A1032" s="325" t="str">
        <f>CONCATENATE("P",'906MP'!M732)</f>
        <v>P</v>
      </c>
      <c r="B1032">
        <f>'906MP'!H732</f>
        <v>0</v>
      </c>
      <c r="C1032">
        <f>'906MP'!J732</f>
        <v>0</v>
      </c>
      <c r="D1032">
        <f>'906MP'!P732</f>
        <v>0</v>
      </c>
      <c r="E1032">
        <f>'906MP'!X732</f>
        <v>0</v>
      </c>
      <c r="F1032" t="str">
        <f t="shared" si="314"/>
        <v>0</v>
      </c>
      <c r="G1032" t="str">
        <f t="shared" si="315"/>
        <v>0</v>
      </c>
      <c r="H1032">
        <f>'906MP'!Y732</f>
        <v>0</v>
      </c>
      <c r="I1032">
        <f>'906MP'!AK732</f>
        <v>0</v>
      </c>
      <c r="J1032">
        <f>'906MP'!T732</f>
        <v>0</v>
      </c>
      <c r="K1032">
        <f>'906MP'!AJ732</f>
        <v>0</v>
      </c>
      <c r="L1032">
        <f>'906MP'!U732</f>
        <v>0</v>
      </c>
      <c r="M1032" s="322" t="str">
        <f>IFERROR(VLOOKUP(A1032,PAR!$D$3:$E$53,2,FALSE),"nincs szervezet")</f>
        <v>nincs szervezet</v>
      </c>
      <c r="N1032" s="322" t="str">
        <f>VLOOKUP(F1032,PAR!$R$3:$S$5,2,FALSE)</f>
        <v>3 - egyik sem</v>
      </c>
      <c r="O1032" t="str">
        <f>IFERROR(VLOOKUP(J1032,PAR!$O$3:$P$5,2,FALSE),"nincs feladat")</f>
        <v>nincs feladat</v>
      </c>
      <c r="P1032" t="str">
        <f>IFERROR(VLOOKUP(G1032,PAR!$J$2:$M$19,4),"nincs rovat")</f>
        <v>nincs rovat</v>
      </c>
      <c r="Q1032" t="str">
        <f>IF(H1032&gt;0,VLOOKUP(H1032,PAR!$AA$3:$AC$187,3,FALSE),"nincs főkönyvi számla")</f>
        <v>nincs főkönyvi számla</v>
      </c>
      <c r="R1032" t="str">
        <f>IFERROR(VLOOKUP(K1032,PAR!$V$3:$X$438,3,FALSE),"000000 - Nincs COFOG")</f>
        <v>000000 - Nincs COFOG</v>
      </c>
      <c r="S1032">
        <f t="shared" si="316"/>
        <v>0</v>
      </c>
      <c r="T1032">
        <f t="shared" si="317"/>
        <v>0</v>
      </c>
      <c r="U1032" t="str">
        <f>IF('906MP'!J732&gt;0,CONCATENATE('906MP'!J732," - ",'906MP'!P732,", ",'906MP'!E732),"nincs megjegyzés")</f>
        <v>nincs megjegyzés</v>
      </c>
      <c r="V1032" t="str">
        <f t="shared" si="304"/>
        <v>0P0</v>
      </c>
      <c r="W1032" t="str">
        <f t="shared" si="305"/>
        <v>0P0</v>
      </c>
      <c r="X1032" t="str">
        <f t="shared" si="306"/>
        <v>P0</v>
      </c>
      <c r="Y1032" t="str">
        <f t="shared" si="307"/>
        <v>00</v>
      </c>
      <c r="Z1032" t="str">
        <f t="shared" si="318"/>
        <v>00</v>
      </c>
      <c r="AA1032" t="str">
        <f t="shared" si="308"/>
        <v>00</v>
      </c>
      <c r="AB1032" t="str">
        <f t="shared" si="309"/>
        <v>00</v>
      </c>
      <c r="AC1032" t="str">
        <f t="shared" si="310"/>
        <v>0P0</v>
      </c>
      <c r="AD1032" t="str">
        <f t="shared" si="311"/>
        <v>P00</v>
      </c>
      <c r="AE1032" t="str">
        <f t="shared" si="312"/>
        <v>0P0</v>
      </c>
      <c r="AF1032" t="str">
        <f t="shared" si="313"/>
        <v>P00</v>
      </c>
      <c r="AG1032" t="str">
        <f t="shared" si="319"/>
        <v>0P00</v>
      </c>
      <c r="AH1032" t="str">
        <f t="shared" si="320"/>
        <v>P000</v>
      </c>
      <c r="AI1032" t="str">
        <f t="shared" si="321"/>
        <v>0P00</v>
      </c>
      <c r="AJ1032" t="str">
        <f t="shared" si="322"/>
        <v>P000</v>
      </c>
    </row>
    <row r="1033" spans="1:36" x14ac:dyDescent="0.25">
      <c r="A1033" s="325" t="str">
        <f>CONCATENATE("P",'906MP'!M733)</f>
        <v>P</v>
      </c>
      <c r="B1033">
        <f>'906MP'!H733</f>
        <v>0</v>
      </c>
      <c r="C1033">
        <f>'906MP'!J733</f>
        <v>0</v>
      </c>
      <c r="D1033">
        <f>'906MP'!P733</f>
        <v>0</v>
      </c>
      <c r="E1033">
        <f>'906MP'!X733</f>
        <v>0</v>
      </c>
      <c r="F1033" t="str">
        <f t="shared" si="314"/>
        <v>0</v>
      </c>
      <c r="G1033" t="str">
        <f t="shared" si="315"/>
        <v>0</v>
      </c>
      <c r="H1033">
        <f>'906MP'!Y733</f>
        <v>0</v>
      </c>
      <c r="I1033">
        <f>'906MP'!AK733</f>
        <v>0</v>
      </c>
      <c r="J1033">
        <f>'906MP'!T733</f>
        <v>0</v>
      </c>
      <c r="K1033">
        <f>'906MP'!AJ733</f>
        <v>0</v>
      </c>
      <c r="L1033">
        <f>'906MP'!U733</f>
        <v>0</v>
      </c>
      <c r="M1033" s="322" t="str">
        <f>IFERROR(VLOOKUP(A1033,PAR!$D$3:$E$53,2,FALSE),"nincs szervezet")</f>
        <v>nincs szervezet</v>
      </c>
      <c r="N1033" s="322" t="str">
        <f>VLOOKUP(F1033,PAR!$R$3:$S$5,2,FALSE)</f>
        <v>3 - egyik sem</v>
      </c>
      <c r="O1033" t="str">
        <f>IFERROR(VLOOKUP(J1033,PAR!$O$3:$P$5,2,FALSE),"nincs feladat")</f>
        <v>nincs feladat</v>
      </c>
      <c r="P1033" t="str">
        <f>IFERROR(VLOOKUP(G1033,PAR!$J$2:$M$19,4),"nincs rovat")</f>
        <v>nincs rovat</v>
      </c>
      <c r="Q1033" t="str">
        <f>IF(H1033&gt;0,VLOOKUP(H1033,PAR!$AA$3:$AC$187,3,FALSE),"nincs főkönyvi számla")</f>
        <v>nincs főkönyvi számla</v>
      </c>
      <c r="R1033" t="str">
        <f>IFERROR(VLOOKUP(K1033,PAR!$V$3:$X$438,3,FALSE),"000000 - Nincs COFOG")</f>
        <v>000000 - Nincs COFOG</v>
      </c>
      <c r="S1033">
        <f t="shared" si="316"/>
        <v>0</v>
      </c>
      <c r="T1033">
        <f t="shared" si="317"/>
        <v>0</v>
      </c>
      <c r="U1033" t="str">
        <f>IF('906MP'!J733&gt;0,CONCATENATE('906MP'!J733," - ",'906MP'!P733,", ",'906MP'!E733),"nincs megjegyzés")</f>
        <v>nincs megjegyzés</v>
      </c>
      <c r="V1033" t="str">
        <f t="shared" si="304"/>
        <v>0P0</v>
      </c>
      <c r="W1033" t="str">
        <f t="shared" si="305"/>
        <v>0P0</v>
      </c>
      <c r="X1033" t="str">
        <f t="shared" si="306"/>
        <v>P0</v>
      </c>
      <c r="Y1033" t="str">
        <f t="shared" si="307"/>
        <v>00</v>
      </c>
      <c r="Z1033" t="str">
        <f t="shared" si="318"/>
        <v>00</v>
      </c>
      <c r="AA1033" t="str">
        <f t="shared" si="308"/>
        <v>00</v>
      </c>
      <c r="AB1033" t="str">
        <f t="shared" si="309"/>
        <v>00</v>
      </c>
      <c r="AC1033" t="str">
        <f t="shared" si="310"/>
        <v>0P0</v>
      </c>
      <c r="AD1033" t="str">
        <f t="shared" si="311"/>
        <v>P00</v>
      </c>
      <c r="AE1033" t="str">
        <f t="shared" si="312"/>
        <v>0P0</v>
      </c>
      <c r="AF1033" t="str">
        <f t="shared" si="313"/>
        <v>P00</v>
      </c>
      <c r="AG1033" t="str">
        <f t="shared" si="319"/>
        <v>0P00</v>
      </c>
      <c r="AH1033" t="str">
        <f t="shared" si="320"/>
        <v>P000</v>
      </c>
      <c r="AI1033" t="str">
        <f t="shared" si="321"/>
        <v>0P00</v>
      </c>
      <c r="AJ1033" t="str">
        <f t="shared" si="322"/>
        <v>P000</v>
      </c>
    </row>
    <row r="1034" spans="1:36" x14ac:dyDescent="0.25">
      <c r="A1034" s="325" t="str">
        <f>CONCATENATE("P",'906MP'!M734)</f>
        <v>P</v>
      </c>
      <c r="B1034">
        <f>'906MP'!H734</f>
        <v>0</v>
      </c>
      <c r="C1034">
        <f>'906MP'!J734</f>
        <v>0</v>
      </c>
      <c r="D1034">
        <f>'906MP'!P734</f>
        <v>0</v>
      </c>
      <c r="E1034">
        <f>'906MP'!X734</f>
        <v>0</v>
      </c>
      <c r="F1034" t="str">
        <f t="shared" si="314"/>
        <v>0</v>
      </c>
      <c r="G1034" t="str">
        <f t="shared" si="315"/>
        <v>0</v>
      </c>
      <c r="H1034">
        <f>'906MP'!Y734</f>
        <v>0</v>
      </c>
      <c r="I1034">
        <f>'906MP'!AK734</f>
        <v>0</v>
      </c>
      <c r="J1034">
        <f>'906MP'!T734</f>
        <v>0</v>
      </c>
      <c r="K1034">
        <f>'906MP'!AJ734</f>
        <v>0</v>
      </c>
      <c r="L1034">
        <f>'906MP'!U734</f>
        <v>0</v>
      </c>
      <c r="M1034" s="322" t="str">
        <f>IFERROR(VLOOKUP(A1034,PAR!$D$3:$E$53,2,FALSE),"nincs szervezet")</f>
        <v>nincs szervezet</v>
      </c>
      <c r="N1034" s="322" t="str">
        <f>VLOOKUP(F1034,PAR!$R$3:$S$5,2,FALSE)</f>
        <v>3 - egyik sem</v>
      </c>
      <c r="O1034" t="str">
        <f>IFERROR(VLOOKUP(J1034,PAR!$O$3:$P$5,2,FALSE),"nincs feladat")</f>
        <v>nincs feladat</v>
      </c>
      <c r="P1034" t="str">
        <f>IFERROR(VLOOKUP(G1034,PAR!$J$2:$M$19,4),"nincs rovat")</f>
        <v>nincs rovat</v>
      </c>
      <c r="Q1034" t="str">
        <f>IF(H1034&gt;0,VLOOKUP(H1034,PAR!$AA$3:$AC$187,3,FALSE),"nincs főkönyvi számla")</f>
        <v>nincs főkönyvi számla</v>
      </c>
      <c r="R1034" t="str">
        <f>IFERROR(VLOOKUP(K1034,PAR!$V$3:$X$438,3,FALSE),"000000 - Nincs COFOG")</f>
        <v>000000 - Nincs COFOG</v>
      </c>
      <c r="S1034">
        <f t="shared" si="316"/>
        <v>0</v>
      </c>
      <c r="T1034">
        <f t="shared" si="317"/>
        <v>0</v>
      </c>
      <c r="U1034" t="str">
        <f>IF('906MP'!J734&gt;0,CONCATENATE('906MP'!J734," - ",'906MP'!P734,", ",'906MP'!E734),"nincs megjegyzés")</f>
        <v>nincs megjegyzés</v>
      </c>
      <c r="V1034" t="str">
        <f t="shared" si="304"/>
        <v>0P0</v>
      </c>
      <c r="W1034" t="str">
        <f t="shared" si="305"/>
        <v>0P0</v>
      </c>
      <c r="X1034" t="str">
        <f t="shared" si="306"/>
        <v>P0</v>
      </c>
      <c r="Y1034" t="str">
        <f t="shared" si="307"/>
        <v>00</v>
      </c>
      <c r="Z1034" t="str">
        <f t="shared" si="318"/>
        <v>00</v>
      </c>
      <c r="AA1034" t="str">
        <f t="shared" si="308"/>
        <v>00</v>
      </c>
      <c r="AB1034" t="str">
        <f t="shared" si="309"/>
        <v>00</v>
      </c>
      <c r="AC1034" t="str">
        <f t="shared" si="310"/>
        <v>0P0</v>
      </c>
      <c r="AD1034" t="str">
        <f t="shared" si="311"/>
        <v>P00</v>
      </c>
      <c r="AE1034" t="str">
        <f t="shared" si="312"/>
        <v>0P0</v>
      </c>
      <c r="AF1034" t="str">
        <f t="shared" si="313"/>
        <v>P00</v>
      </c>
      <c r="AG1034" t="str">
        <f t="shared" si="319"/>
        <v>0P00</v>
      </c>
      <c r="AH1034" t="str">
        <f t="shared" si="320"/>
        <v>P000</v>
      </c>
      <c r="AI1034" t="str">
        <f t="shared" si="321"/>
        <v>0P00</v>
      </c>
      <c r="AJ1034" t="str">
        <f t="shared" si="322"/>
        <v>P000</v>
      </c>
    </row>
    <row r="1035" spans="1:36" x14ac:dyDescent="0.25">
      <c r="A1035" s="325" t="str">
        <f>CONCATENATE("P",'906MP'!M735)</f>
        <v>P</v>
      </c>
      <c r="B1035">
        <f>'906MP'!H735</f>
        <v>0</v>
      </c>
      <c r="C1035">
        <f>'906MP'!J735</f>
        <v>0</v>
      </c>
      <c r="D1035">
        <f>'906MP'!P735</f>
        <v>0</v>
      </c>
      <c r="E1035">
        <f>'906MP'!X735</f>
        <v>0</v>
      </c>
      <c r="F1035" t="str">
        <f t="shared" si="314"/>
        <v>0</v>
      </c>
      <c r="G1035" t="str">
        <f t="shared" si="315"/>
        <v>0</v>
      </c>
      <c r="H1035">
        <f>'906MP'!Y735</f>
        <v>0</v>
      </c>
      <c r="I1035">
        <f>'906MP'!AK735</f>
        <v>0</v>
      </c>
      <c r="J1035">
        <f>'906MP'!T735</f>
        <v>0</v>
      </c>
      <c r="K1035">
        <f>'906MP'!AJ735</f>
        <v>0</v>
      </c>
      <c r="L1035">
        <f>'906MP'!U735</f>
        <v>0</v>
      </c>
      <c r="M1035" s="322" t="str">
        <f>IFERROR(VLOOKUP(A1035,PAR!$D$3:$E$53,2,FALSE),"nincs szervezet")</f>
        <v>nincs szervezet</v>
      </c>
      <c r="N1035" s="322" t="str">
        <f>VLOOKUP(F1035,PAR!$R$3:$S$5,2,FALSE)</f>
        <v>3 - egyik sem</v>
      </c>
      <c r="O1035" t="str">
        <f>IFERROR(VLOOKUP(J1035,PAR!$O$3:$P$5,2,FALSE),"nincs feladat")</f>
        <v>nincs feladat</v>
      </c>
      <c r="P1035" t="str">
        <f>IFERROR(VLOOKUP(G1035,PAR!$J$2:$M$19,4),"nincs rovat")</f>
        <v>nincs rovat</v>
      </c>
      <c r="Q1035" t="str">
        <f>IF(H1035&gt;0,VLOOKUP(H1035,PAR!$AA$3:$AC$187,3,FALSE),"nincs főkönyvi számla")</f>
        <v>nincs főkönyvi számla</v>
      </c>
      <c r="R1035" t="str">
        <f>IFERROR(VLOOKUP(K1035,PAR!$V$3:$X$438,3,FALSE),"000000 - Nincs COFOG")</f>
        <v>000000 - Nincs COFOG</v>
      </c>
      <c r="S1035">
        <f t="shared" si="316"/>
        <v>0</v>
      </c>
      <c r="T1035">
        <f t="shared" si="317"/>
        <v>0</v>
      </c>
      <c r="U1035" t="str">
        <f>IF('906MP'!J735&gt;0,CONCATENATE('906MP'!J735," - ",'906MP'!P735,", ",'906MP'!E735),"nincs megjegyzés")</f>
        <v>nincs megjegyzés</v>
      </c>
      <c r="V1035" t="str">
        <f t="shared" si="304"/>
        <v>0P0</v>
      </c>
      <c r="W1035" t="str">
        <f t="shared" si="305"/>
        <v>0P0</v>
      </c>
      <c r="X1035" t="str">
        <f t="shared" si="306"/>
        <v>P0</v>
      </c>
      <c r="Y1035" t="str">
        <f t="shared" si="307"/>
        <v>00</v>
      </c>
      <c r="Z1035" t="str">
        <f t="shared" si="318"/>
        <v>00</v>
      </c>
      <c r="AA1035" t="str">
        <f t="shared" si="308"/>
        <v>00</v>
      </c>
      <c r="AB1035" t="str">
        <f t="shared" si="309"/>
        <v>00</v>
      </c>
      <c r="AC1035" t="str">
        <f t="shared" si="310"/>
        <v>0P0</v>
      </c>
      <c r="AD1035" t="str">
        <f t="shared" si="311"/>
        <v>P00</v>
      </c>
      <c r="AE1035" t="str">
        <f t="shared" si="312"/>
        <v>0P0</v>
      </c>
      <c r="AF1035" t="str">
        <f t="shared" si="313"/>
        <v>P00</v>
      </c>
      <c r="AG1035" t="str">
        <f t="shared" si="319"/>
        <v>0P00</v>
      </c>
      <c r="AH1035" t="str">
        <f t="shared" si="320"/>
        <v>P000</v>
      </c>
      <c r="AI1035" t="str">
        <f t="shared" si="321"/>
        <v>0P00</v>
      </c>
      <c r="AJ1035" t="str">
        <f t="shared" si="322"/>
        <v>P000</v>
      </c>
    </row>
    <row r="1036" spans="1:36" x14ac:dyDescent="0.25">
      <c r="A1036" s="325" t="str">
        <f>CONCATENATE("P",'906MP'!M736)</f>
        <v>P</v>
      </c>
      <c r="B1036">
        <f>'906MP'!H736</f>
        <v>0</v>
      </c>
      <c r="C1036">
        <f>'906MP'!J736</f>
        <v>0</v>
      </c>
      <c r="D1036">
        <f>'906MP'!P736</f>
        <v>0</v>
      </c>
      <c r="E1036">
        <f>'906MP'!X736</f>
        <v>0</v>
      </c>
      <c r="F1036" t="str">
        <f t="shared" si="314"/>
        <v>0</v>
      </c>
      <c r="G1036" t="str">
        <f t="shared" si="315"/>
        <v>0</v>
      </c>
      <c r="H1036">
        <f>'906MP'!Y736</f>
        <v>0</v>
      </c>
      <c r="I1036">
        <f>'906MP'!AK736</f>
        <v>0</v>
      </c>
      <c r="J1036">
        <f>'906MP'!T736</f>
        <v>0</v>
      </c>
      <c r="K1036">
        <f>'906MP'!AJ736</f>
        <v>0</v>
      </c>
      <c r="L1036">
        <f>'906MP'!U736</f>
        <v>0</v>
      </c>
      <c r="M1036" s="322" t="str">
        <f>IFERROR(VLOOKUP(A1036,PAR!$D$3:$E$53,2,FALSE),"nincs szervezet")</f>
        <v>nincs szervezet</v>
      </c>
      <c r="N1036" s="322" t="str">
        <f>VLOOKUP(F1036,PAR!$R$3:$S$5,2,FALSE)</f>
        <v>3 - egyik sem</v>
      </c>
      <c r="O1036" t="str">
        <f>IFERROR(VLOOKUP(J1036,PAR!$O$3:$P$5,2,FALSE),"nincs feladat")</f>
        <v>nincs feladat</v>
      </c>
      <c r="P1036" t="str">
        <f>IFERROR(VLOOKUP(G1036,PAR!$J$2:$M$19,4),"nincs rovat")</f>
        <v>nincs rovat</v>
      </c>
      <c r="Q1036" t="str">
        <f>IF(H1036&gt;0,VLOOKUP(H1036,PAR!$AA$3:$AC$187,3,FALSE),"nincs főkönyvi számla")</f>
        <v>nincs főkönyvi számla</v>
      </c>
      <c r="R1036" t="str">
        <f>IFERROR(VLOOKUP(K1036,PAR!$V$3:$X$438,3,FALSE),"000000 - Nincs COFOG")</f>
        <v>000000 - Nincs COFOG</v>
      </c>
      <c r="S1036">
        <f t="shared" si="316"/>
        <v>0</v>
      </c>
      <c r="T1036">
        <f t="shared" si="317"/>
        <v>0</v>
      </c>
      <c r="U1036" t="str">
        <f>IF('906MP'!J736&gt;0,CONCATENATE('906MP'!J736," - ",'906MP'!P736,", ",'906MP'!E736),"nincs megjegyzés")</f>
        <v>nincs megjegyzés</v>
      </c>
      <c r="V1036" t="str">
        <f t="shared" si="304"/>
        <v>0P0</v>
      </c>
      <c r="W1036" t="str">
        <f t="shared" si="305"/>
        <v>0P0</v>
      </c>
      <c r="X1036" t="str">
        <f t="shared" si="306"/>
        <v>P0</v>
      </c>
      <c r="Y1036" t="str">
        <f t="shared" si="307"/>
        <v>00</v>
      </c>
      <c r="Z1036" t="str">
        <f t="shared" si="318"/>
        <v>00</v>
      </c>
      <c r="AA1036" t="str">
        <f t="shared" si="308"/>
        <v>00</v>
      </c>
      <c r="AB1036" t="str">
        <f t="shared" si="309"/>
        <v>00</v>
      </c>
      <c r="AC1036" t="str">
        <f t="shared" si="310"/>
        <v>0P0</v>
      </c>
      <c r="AD1036" t="str">
        <f t="shared" si="311"/>
        <v>P00</v>
      </c>
      <c r="AE1036" t="str">
        <f t="shared" si="312"/>
        <v>0P0</v>
      </c>
      <c r="AF1036" t="str">
        <f t="shared" si="313"/>
        <v>P00</v>
      </c>
      <c r="AG1036" t="str">
        <f t="shared" si="319"/>
        <v>0P00</v>
      </c>
      <c r="AH1036" t="str">
        <f t="shared" si="320"/>
        <v>P000</v>
      </c>
      <c r="AI1036" t="str">
        <f t="shared" si="321"/>
        <v>0P00</v>
      </c>
      <c r="AJ1036" t="str">
        <f t="shared" si="322"/>
        <v>P000</v>
      </c>
    </row>
    <row r="1037" spans="1:36" x14ac:dyDescent="0.25">
      <c r="A1037" s="325" t="str">
        <f>CONCATENATE("P",'906MP'!M737)</f>
        <v>P</v>
      </c>
      <c r="B1037">
        <f>'906MP'!H737</f>
        <v>0</v>
      </c>
      <c r="C1037">
        <f>'906MP'!J737</f>
        <v>0</v>
      </c>
      <c r="D1037">
        <f>'906MP'!P737</f>
        <v>0</v>
      </c>
      <c r="E1037">
        <f>'906MP'!X737</f>
        <v>0</v>
      </c>
      <c r="F1037" t="str">
        <f t="shared" si="314"/>
        <v>0</v>
      </c>
      <c r="G1037" t="str">
        <f t="shared" si="315"/>
        <v>0</v>
      </c>
      <c r="H1037">
        <f>'906MP'!Y737</f>
        <v>0</v>
      </c>
      <c r="I1037">
        <f>'906MP'!AK737</f>
        <v>0</v>
      </c>
      <c r="J1037">
        <f>'906MP'!T737</f>
        <v>0</v>
      </c>
      <c r="K1037">
        <f>'906MP'!AJ737</f>
        <v>0</v>
      </c>
      <c r="L1037">
        <f>'906MP'!U737</f>
        <v>0</v>
      </c>
      <c r="M1037" s="322" t="str">
        <f>IFERROR(VLOOKUP(A1037,PAR!$D$3:$E$53,2,FALSE),"nincs szervezet")</f>
        <v>nincs szervezet</v>
      </c>
      <c r="N1037" s="322" t="str">
        <f>VLOOKUP(F1037,PAR!$R$3:$S$5,2,FALSE)</f>
        <v>3 - egyik sem</v>
      </c>
      <c r="O1037" t="str">
        <f>IFERROR(VLOOKUP(J1037,PAR!$O$3:$P$5,2,FALSE),"nincs feladat")</f>
        <v>nincs feladat</v>
      </c>
      <c r="P1037" t="str">
        <f>IFERROR(VLOOKUP(G1037,PAR!$J$2:$M$19,4),"nincs rovat")</f>
        <v>nincs rovat</v>
      </c>
      <c r="Q1037" t="str">
        <f>IF(H1037&gt;0,VLOOKUP(H1037,PAR!$AA$3:$AC$187,3,FALSE),"nincs főkönyvi számla")</f>
        <v>nincs főkönyvi számla</v>
      </c>
      <c r="R1037" t="str">
        <f>IFERROR(VLOOKUP(K1037,PAR!$V$3:$X$438,3,FALSE),"000000 - Nincs COFOG")</f>
        <v>000000 - Nincs COFOG</v>
      </c>
      <c r="S1037">
        <f t="shared" si="316"/>
        <v>0</v>
      </c>
      <c r="T1037">
        <f t="shared" si="317"/>
        <v>0</v>
      </c>
      <c r="U1037" t="str">
        <f>IF('906MP'!J737&gt;0,CONCATENATE('906MP'!J737," - ",'906MP'!P737,", ",'906MP'!E737),"nincs megjegyzés")</f>
        <v>nincs megjegyzés</v>
      </c>
      <c r="V1037" t="str">
        <f t="shared" si="304"/>
        <v>0P0</v>
      </c>
      <c r="W1037" t="str">
        <f t="shared" si="305"/>
        <v>0P0</v>
      </c>
      <c r="X1037" t="str">
        <f t="shared" si="306"/>
        <v>P0</v>
      </c>
      <c r="Y1037" t="str">
        <f t="shared" si="307"/>
        <v>00</v>
      </c>
      <c r="Z1037" t="str">
        <f t="shared" si="318"/>
        <v>00</v>
      </c>
      <c r="AA1037" t="str">
        <f t="shared" si="308"/>
        <v>00</v>
      </c>
      <c r="AB1037" t="str">
        <f t="shared" si="309"/>
        <v>00</v>
      </c>
      <c r="AC1037" t="str">
        <f t="shared" si="310"/>
        <v>0P0</v>
      </c>
      <c r="AD1037" t="str">
        <f t="shared" si="311"/>
        <v>P00</v>
      </c>
      <c r="AE1037" t="str">
        <f t="shared" si="312"/>
        <v>0P0</v>
      </c>
      <c r="AF1037" t="str">
        <f t="shared" si="313"/>
        <v>P00</v>
      </c>
      <c r="AG1037" t="str">
        <f t="shared" si="319"/>
        <v>0P00</v>
      </c>
      <c r="AH1037" t="str">
        <f t="shared" si="320"/>
        <v>P000</v>
      </c>
      <c r="AI1037" t="str">
        <f t="shared" si="321"/>
        <v>0P00</v>
      </c>
      <c r="AJ1037" t="str">
        <f t="shared" si="322"/>
        <v>P000</v>
      </c>
    </row>
    <row r="1038" spans="1:36" x14ac:dyDescent="0.25">
      <c r="A1038" s="325" t="str">
        <f>CONCATENATE("P",'906MP'!M738)</f>
        <v>P</v>
      </c>
      <c r="B1038">
        <f>'906MP'!H738</f>
        <v>0</v>
      </c>
      <c r="C1038">
        <f>'906MP'!J738</f>
        <v>0</v>
      </c>
      <c r="D1038">
        <f>'906MP'!P738</f>
        <v>0</v>
      </c>
      <c r="E1038">
        <f>'906MP'!X738</f>
        <v>0</v>
      </c>
      <c r="F1038" t="str">
        <f t="shared" si="314"/>
        <v>0</v>
      </c>
      <c r="G1038" t="str">
        <f t="shared" si="315"/>
        <v>0</v>
      </c>
      <c r="H1038">
        <f>'906MP'!Y738</f>
        <v>0</v>
      </c>
      <c r="I1038">
        <f>'906MP'!AK738</f>
        <v>0</v>
      </c>
      <c r="J1038">
        <f>'906MP'!T738</f>
        <v>0</v>
      </c>
      <c r="K1038">
        <f>'906MP'!AJ738</f>
        <v>0</v>
      </c>
      <c r="L1038">
        <f>'906MP'!U738</f>
        <v>0</v>
      </c>
      <c r="M1038" s="322" t="str">
        <f>IFERROR(VLOOKUP(A1038,PAR!$D$3:$E$53,2,FALSE),"nincs szervezet")</f>
        <v>nincs szervezet</v>
      </c>
      <c r="N1038" s="322" t="str">
        <f>VLOOKUP(F1038,PAR!$R$3:$S$5,2,FALSE)</f>
        <v>3 - egyik sem</v>
      </c>
      <c r="O1038" t="str">
        <f>IFERROR(VLOOKUP(J1038,PAR!$O$3:$P$5,2,FALSE),"nincs feladat")</f>
        <v>nincs feladat</v>
      </c>
      <c r="P1038" t="str">
        <f>IFERROR(VLOOKUP(G1038,PAR!$J$2:$M$19,4),"nincs rovat")</f>
        <v>nincs rovat</v>
      </c>
      <c r="Q1038" t="str">
        <f>IF(H1038&gt;0,VLOOKUP(H1038,PAR!$AA$3:$AC$187,3,FALSE),"nincs főkönyvi számla")</f>
        <v>nincs főkönyvi számla</v>
      </c>
      <c r="R1038" t="str">
        <f>IFERROR(VLOOKUP(K1038,PAR!$V$3:$X$438,3,FALSE),"000000 - Nincs COFOG")</f>
        <v>000000 - Nincs COFOG</v>
      </c>
      <c r="S1038">
        <f t="shared" si="316"/>
        <v>0</v>
      </c>
      <c r="T1038">
        <f t="shared" si="317"/>
        <v>0</v>
      </c>
      <c r="U1038" t="str">
        <f>IF('906MP'!J738&gt;0,CONCATENATE('906MP'!J738," - ",'906MP'!P738,", ",'906MP'!E738),"nincs megjegyzés")</f>
        <v>nincs megjegyzés</v>
      </c>
      <c r="V1038" t="str">
        <f t="shared" si="304"/>
        <v>0P0</v>
      </c>
      <c r="W1038" t="str">
        <f t="shared" si="305"/>
        <v>0P0</v>
      </c>
      <c r="X1038" t="str">
        <f t="shared" si="306"/>
        <v>P0</v>
      </c>
      <c r="Y1038" t="str">
        <f t="shared" si="307"/>
        <v>00</v>
      </c>
      <c r="Z1038" t="str">
        <f t="shared" si="318"/>
        <v>00</v>
      </c>
      <c r="AA1038" t="str">
        <f t="shared" si="308"/>
        <v>00</v>
      </c>
      <c r="AB1038" t="str">
        <f t="shared" si="309"/>
        <v>00</v>
      </c>
      <c r="AC1038" t="str">
        <f t="shared" si="310"/>
        <v>0P0</v>
      </c>
      <c r="AD1038" t="str">
        <f t="shared" si="311"/>
        <v>P00</v>
      </c>
      <c r="AE1038" t="str">
        <f t="shared" si="312"/>
        <v>0P0</v>
      </c>
      <c r="AF1038" t="str">
        <f t="shared" si="313"/>
        <v>P00</v>
      </c>
      <c r="AG1038" t="str">
        <f t="shared" si="319"/>
        <v>0P00</v>
      </c>
      <c r="AH1038" t="str">
        <f t="shared" si="320"/>
        <v>P000</v>
      </c>
      <c r="AI1038" t="str">
        <f t="shared" si="321"/>
        <v>0P00</v>
      </c>
      <c r="AJ1038" t="str">
        <f t="shared" si="322"/>
        <v>P000</v>
      </c>
    </row>
    <row r="1039" spans="1:36" x14ac:dyDescent="0.25">
      <c r="A1039" s="325" t="str">
        <f>CONCATENATE("P",'906MP'!M739)</f>
        <v>P</v>
      </c>
      <c r="B1039">
        <f>'906MP'!H739</f>
        <v>0</v>
      </c>
      <c r="C1039">
        <f>'906MP'!J739</f>
        <v>0</v>
      </c>
      <c r="D1039">
        <f>'906MP'!P739</f>
        <v>0</v>
      </c>
      <c r="E1039">
        <f>'906MP'!X739</f>
        <v>0</v>
      </c>
      <c r="F1039" t="str">
        <f t="shared" si="314"/>
        <v>0</v>
      </c>
      <c r="G1039" t="str">
        <f t="shared" si="315"/>
        <v>0</v>
      </c>
      <c r="H1039">
        <f>'906MP'!Y739</f>
        <v>0</v>
      </c>
      <c r="I1039">
        <f>'906MP'!AK739</f>
        <v>0</v>
      </c>
      <c r="J1039">
        <f>'906MP'!T739</f>
        <v>0</v>
      </c>
      <c r="K1039">
        <f>'906MP'!AJ739</f>
        <v>0</v>
      </c>
      <c r="L1039">
        <f>'906MP'!U739</f>
        <v>0</v>
      </c>
      <c r="M1039" s="322" t="str">
        <f>IFERROR(VLOOKUP(A1039,PAR!$D$3:$E$53,2,FALSE),"nincs szervezet")</f>
        <v>nincs szervezet</v>
      </c>
      <c r="N1039" s="322" t="str">
        <f>VLOOKUP(F1039,PAR!$R$3:$S$5,2,FALSE)</f>
        <v>3 - egyik sem</v>
      </c>
      <c r="O1039" t="str">
        <f>IFERROR(VLOOKUP(J1039,PAR!$O$3:$P$5,2,FALSE),"nincs feladat")</f>
        <v>nincs feladat</v>
      </c>
      <c r="P1039" t="str">
        <f>IFERROR(VLOOKUP(G1039,PAR!$J$2:$M$19,4),"nincs rovat")</f>
        <v>nincs rovat</v>
      </c>
      <c r="Q1039" t="str">
        <f>IF(H1039&gt;0,VLOOKUP(H1039,PAR!$AA$3:$AC$187,3,FALSE),"nincs főkönyvi számla")</f>
        <v>nincs főkönyvi számla</v>
      </c>
      <c r="R1039" t="str">
        <f>IFERROR(VLOOKUP(K1039,PAR!$V$3:$X$438,3,FALSE),"000000 - Nincs COFOG")</f>
        <v>000000 - Nincs COFOG</v>
      </c>
      <c r="S1039">
        <f t="shared" si="316"/>
        <v>0</v>
      </c>
      <c r="T1039">
        <f t="shared" si="317"/>
        <v>0</v>
      </c>
      <c r="U1039" t="str">
        <f>IF('906MP'!J739&gt;0,CONCATENATE('906MP'!J739," - ",'906MP'!P739,", ",'906MP'!E739),"nincs megjegyzés")</f>
        <v>nincs megjegyzés</v>
      </c>
      <c r="V1039" t="str">
        <f t="shared" si="304"/>
        <v>0P0</v>
      </c>
      <c r="W1039" t="str">
        <f t="shared" si="305"/>
        <v>0P0</v>
      </c>
      <c r="X1039" t="str">
        <f t="shared" si="306"/>
        <v>P0</v>
      </c>
      <c r="Y1039" t="str">
        <f t="shared" si="307"/>
        <v>00</v>
      </c>
      <c r="Z1039" t="str">
        <f t="shared" si="318"/>
        <v>00</v>
      </c>
      <c r="AA1039" t="str">
        <f t="shared" si="308"/>
        <v>00</v>
      </c>
      <c r="AB1039" t="str">
        <f t="shared" si="309"/>
        <v>00</v>
      </c>
      <c r="AC1039" t="str">
        <f t="shared" si="310"/>
        <v>0P0</v>
      </c>
      <c r="AD1039" t="str">
        <f t="shared" si="311"/>
        <v>P00</v>
      </c>
      <c r="AE1039" t="str">
        <f t="shared" si="312"/>
        <v>0P0</v>
      </c>
      <c r="AF1039" t="str">
        <f t="shared" si="313"/>
        <v>P00</v>
      </c>
      <c r="AG1039" t="str">
        <f t="shared" si="319"/>
        <v>0P00</v>
      </c>
      <c r="AH1039" t="str">
        <f t="shared" si="320"/>
        <v>P000</v>
      </c>
      <c r="AI1039" t="str">
        <f t="shared" si="321"/>
        <v>0P00</v>
      </c>
      <c r="AJ1039" t="str">
        <f t="shared" si="322"/>
        <v>P000</v>
      </c>
    </row>
    <row r="1040" spans="1:36" x14ac:dyDescent="0.25">
      <c r="A1040" s="325" t="str">
        <f>CONCATENATE("P",'906MP'!M740)</f>
        <v>P</v>
      </c>
      <c r="B1040">
        <f>'906MP'!H740</f>
        <v>0</v>
      </c>
      <c r="C1040">
        <f>'906MP'!J740</f>
        <v>0</v>
      </c>
      <c r="D1040">
        <f>'906MP'!P740</f>
        <v>0</v>
      </c>
      <c r="E1040">
        <f>'906MP'!X740</f>
        <v>0</v>
      </c>
      <c r="F1040" t="str">
        <f t="shared" si="314"/>
        <v>0</v>
      </c>
      <c r="G1040" t="str">
        <f t="shared" si="315"/>
        <v>0</v>
      </c>
      <c r="H1040">
        <f>'906MP'!Y740</f>
        <v>0</v>
      </c>
      <c r="I1040">
        <f>'906MP'!AK740</f>
        <v>0</v>
      </c>
      <c r="J1040">
        <f>'906MP'!T740</f>
        <v>0</v>
      </c>
      <c r="K1040">
        <f>'906MP'!AJ740</f>
        <v>0</v>
      </c>
      <c r="L1040">
        <f>'906MP'!U740</f>
        <v>0</v>
      </c>
      <c r="M1040" s="322" t="str">
        <f>IFERROR(VLOOKUP(A1040,PAR!$D$3:$E$53,2,FALSE),"nincs szervezet")</f>
        <v>nincs szervezet</v>
      </c>
      <c r="N1040" s="322" t="str">
        <f>VLOOKUP(F1040,PAR!$R$3:$S$5,2,FALSE)</f>
        <v>3 - egyik sem</v>
      </c>
      <c r="O1040" t="str">
        <f>IFERROR(VLOOKUP(J1040,PAR!$O$3:$P$5,2,FALSE),"nincs feladat")</f>
        <v>nincs feladat</v>
      </c>
      <c r="P1040" t="str">
        <f>IFERROR(VLOOKUP(G1040,PAR!$J$2:$M$19,4),"nincs rovat")</f>
        <v>nincs rovat</v>
      </c>
      <c r="Q1040" t="str">
        <f>IF(H1040&gt;0,VLOOKUP(H1040,PAR!$AA$3:$AC$187,3,FALSE),"nincs főkönyvi számla")</f>
        <v>nincs főkönyvi számla</v>
      </c>
      <c r="R1040" t="str">
        <f>IFERROR(VLOOKUP(K1040,PAR!$V$3:$X$438,3,FALSE),"000000 - Nincs COFOG")</f>
        <v>000000 - Nincs COFOG</v>
      </c>
      <c r="S1040">
        <f t="shared" si="316"/>
        <v>0</v>
      </c>
      <c r="T1040">
        <f t="shared" si="317"/>
        <v>0</v>
      </c>
      <c r="U1040" t="str">
        <f>IF('906MP'!J740&gt;0,CONCATENATE('906MP'!J740," - ",'906MP'!P740,", ",'906MP'!E740),"nincs megjegyzés")</f>
        <v>nincs megjegyzés</v>
      </c>
      <c r="V1040" t="str">
        <f t="shared" si="304"/>
        <v>0P0</v>
      </c>
      <c r="W1040" t="str">
        <f t="shared" si="305"/>
        <v>0P0</v>
      </c>
      <c r="X1040" t="str">
        <f t="shared" si="306"/>
        <v>P0</v>
      </c>
      <c r="Y1040" t="str">
        <f t="shared" si="307"/>
        <v>00</v>
      </c>
      <c r="Z1040" t="str">
        <f t="shared" si="318"/>
        <v>00</v>
      </c>
      <c r="AA1040" t="str">
        <f t="shared" si="308"/>
        <v>00</v>
      </c>
      <c r="AB1040" t="str">
        <f t="shared" si="309"/>
        <v>00</v>
      </c>
      <c r="AC1040" t="str">
        <f t="shared" si="310"/>
        <v>0P0</v>
      </c>
      <c r="AD1040" t="str">
        <f t="shared" si="311"/>
        <v>P00</v>
      </c>
      <c r="AE1040" t="str">
        <f t="shared" si="312"/>
        <v>0P0</v>
      </c>
      <c r="AF1040" t="str">
        <f t="shared" si="313"/>
        <v>P00</v>
      </c>
      <c r="AG1040" t="str">
        <f t="shared" si="319"/>
        <v>0P00</v>
      </c>
      <c r="AH1040" t="str">
        <f t="shared" si="320"/>
        <v>P000</v>
      </c>
      <c r="AI1040" t="str">
        <f t="shared" si="321"/>
        <v>0P00</v>
      </c>
      <c r="AJ1040" t="str">
        <f t="shared" si="322"/>
        <v>P000</v>
      </c>
    </row>
    <row r="1041" spans="1:36" x14ac:dyDescent="0.25">
      <c r="A1041" s="325" t="str">
        <f>CONCATENATE("P",'906MP'!M741)</f>
        <v>P</v>
      </c>
      <c r="B1041">
        <f>'906MP'!H741</f>
        <v>0</v>
      </c>
      <c r="C1041">
        <f>'906MP'!J741</f>
        <v>0</v>
      </c>
      <c r="D1041">
        <f>'906MP'!P741</f>
        <v>0</v>
      </c>
      <c r="E1041">
        <f>'906MP'!X741</f>
        <v>0</v>
      </c>
      <c r="F1041" t="str">
        <f t="shared" si="314"/>
        <v>0</v>
      </c>
      <c r="G1041" t="str">
        <f t="shared" si="315"/>
        <v>0</v>
      </c>
      <c r="H1041">
        <f>'906MP'!Y741</f>
        <v>0</v>
      </c>
      <c r="I1041">
        <f>'906MP'!AK741</f>
        <v>0</v>
      </c>
      <c r="J1041">
        <f>'906MP'!T741</f>
        <v>0</v>
      </c>
      <c r="K1041">
        <f>'906MP'!AJ741</f>
        <v>0</v>
      </c>
      <c r="L1041">
        <f>'906MP'!U741</f>
        <v>0</v>
      </c>
      <c r="M1041" s="322" t="str">
        <f>IFERROR(VLOOKUP(A1041,PAR!$D$3:$E$53,2,FALSE),"nincs szervezet")</f>
        <v>nincs szervezet</v>
      </c>
      <c r="N1041" s="322" t="str">
        <f>VLOOKUP(F1041,PAR!$R$3:$S$5,2,FALSE)</f>
        <v>3 - egyik sem</v>
      </c>
      <c r="O1041" t="str">
        <f>IFERROR(VLOOKUP(J1041,PAR!$O$3:$P$5,2,FALSE),"nincs feladat")</f>
        <v>nincs feladat</v>
      </c>
      <c r="P1041" t="str">
        <f>IFERROR(VLOOKUP(G1041,PAR!$J$2:$M$19,4),"nincs rovat")</f>
        <v>nincs rovat</v>
      </c>
      <c r="Q1041" t="str">
        <f>IF(H1041&gt;0,VLOOKUP(H1041,PAR!$AA$3:$AC$187,3,FALSE),"nincs főkönyvi számla")</f>
        <v>nincs főkönyvi számla</v>
      </c>
      <c r="R1041" t="str">
        <f>IFERROR(VLOOKUP(K1041,PAR!$V$3:$X$438,3,FALSE),"000000 - Nincs COFOG")</f>
        <v>000000 - Nincs COFOG</v>
      </c>
      <c r="S1041">
        <f t="shared" si="316"/>
        <v>0</v>
      </c>
      <c r="T1041">
        <f t="shared" si="317"/>
        <v>0</v>
      </c>
      <c r="U1041" t="str">
        <f>IF('906MP'!J741&gt;0,CONCATENATE('906MP'!J741," - ",'906MP'!P741,", ",'906MP'!E741),"nincs megjegyzés")</f>
        <v>nincs megjegyzés</v>
      </c>
      <c r="V1041" t="str">
        <f t="shared" si="304"/>
        <v>0P0</v>
      </c>
      <c r="W1041" t="str">
        <f t="shared" si="305"/>
        <v>0P0</v>
      </c>
      <c r="X1041" t="str">
        <f t="shared" si="306"/>
        <v>P0</v>
      </c>
      <c r="Y1041" t="str">
        <f t="shared" si="307"/>
        <v>00</v>
      </c>
      <c r="Z1041" t="str">
        <f t="shared" si="318"/>
        <v>00</v>
      </c>
      <c r="AA1041" t="str">
        <f t="shared" si="308"/>
        <v>00</v>
      </c>
      <c r="AB1041" t="str">
        <f t="shared" si="309"/>
        <v>00</v>
      </c>
      <c r="AC1041" t="str">
        <f t="shared" si="310"/>
        <v>0P0</v>
      </c>
      <c r="AD1041" t="str">
        <f t="shared" si="311"/>
        <v>P00</v>
      </c>
      <c r="AE1041" t="str">
        <f t="shared" si="312"/>
        <v>0P0</v>
      </c>
      <c r="AF1041" t="str">
        <f t="shared" si="313"/>
        <v>P00</v>
      </c>
      <c r="AG1041" t="str">
        <f t="shared" si="319"/>
        <v>0P00</v>
      </c>
      <c r="AH1041" t="str">
        <f t="shared" si="320"/>
        <v>P000</v>
      </c>
      <c r="AI1041" t="str">
        <f t="shared" si="321"/>
        <v>0P00</v>
      </c>
      <c r="AJ1041" t="str">
        <f t="shared" si="322"/>
        <v>P000</v>
      </c>
    </row>
    <row r="1042" spans="1:36" x14ac:dyDescent="0.25">
      <c r="A1042" s="325" t="str">
        <f>CONCATENATE("P",'906MP'!M742)</f>
        <v>P</v>
      </c>
      <c r="B1042">
        <f>'906MP'!H742</f>
        <v>0</v>
      </c>
      <c r="C1042">
        <f>'906MP'!J742</f>
        <v>0</v>
      </c>
      <c r="D1042">
        <f>'906MP'!P742</f>
        <v>0</v>
      </c>
      <c r="E1042">
        <f>'906MP'!X742</f>
        <v>0</v>
      </c>
      <c r="F1042" t="str">
        <f t="shared" si="314"/>
        <v>0</v>
      </c>
      <c r="G1042" t="str">
        <f t="shared" si="315"/>
        <v>0</v>
      </c>
      <c r="H1042">
        <f>'906MP'!Y742</f>
        <v>0</v>
      </c>
      <c r="I1042">
        <f>'906MP'!AK742</f>
        <v>0</v>
      </c>
      <c r="J1042">
        <f>'906MP'!T742</f>
        <v>0</v>
      </c>
      <c r="K1042">
        <f>'906MP'!AJ742</f>
        <v>0</v>
      </c>
      <c r="L1042">
        <f>'906MP'!U742</f>
        <v>0</v>
      </c>
      <c r="M1042" s="322" t="str">
        <f>IFERROR(VLOOKUP(A1042,PAR!$D$3:$E$53,2,FALSE),"nincs szervezet")</f>
        <v>nincs szervezet</v>
      </c>
      <c r="N1042" s="322" t="str">
        <f>VLOOKUP(F1042,PAR!$R$3:$S$5,2,FALSE)</f>
        <v>3 - egyik sem</v>
      </c>
      <c r="O1042" t="str">
        <f>IFERROR(VLOOKUP(J1042,PAR!$O$3:$P$5,2,FALSE),"nincs feladat")</f>
        <v>nincs feladat</v>
      </c>
      <c r="P1042" t="str">
        <f>IFERROR(VLOOKUP(G1042,PAR!$J$2:$M$19,4),"nincs rovat")</f>
        <v>nincs rovat</v>
      </c>
      <c r="Q1042" t="str">
        <f>IF(H1042&gt;0,VLOOKUP(H1042,PAR!$AA$3:$AC$187,3,FALSE),"nincs főkönyvi számla")</f>
        <v>nincs főkönyvi számla</v>
      </c>
      <c r="R1042" t="str">
        <f>IFERROR(VLOOKUP(K1042,PAR!$V$3:$X$438,3,FALSE),"000000 - Nincs COFOG")</f>
        <v>000000 - Nincs COFOG</v>
      </c>
      <c r="S1042">
        <f t="shared" si="316"/>
        <v>0</v>
      </c>
      <c r="T1042">
        <f t="shared" si="317"/>
        <v>0</v>
      </c>
      <c r="U1042" t="str">
        <f>IF('906MP'!J742&gt;0,CONCATENATE('906MP'!J742," - ",'906MP'!P742,", ",'906MP'!E742),"nincs megjegyzés")</f>
        <v>nincs megjegyzés</v>
      </c>
      <c r="V1042" t="str">
        <f t="shared" si="304"/>
        <v>0P0</v>
      </c>
      <c r="W1042" t="str">
        <f t="shared" si="305"/>
        <v>0P0</v>
      </c>
      <c r="X1042" t="str">
        <f t="shared" si="306"/>
        <v>P0</v>
      </c>
      <c r="Y1042" t="str">
        <f t="shared" si="307"/>
        <v>00</v>
      </c>
      <c r="Z1042" t="str">
        <f t="shared" si="318"/>
        <v>00</v>
      </c>
      <c r="AA1042" t="str">
        <f t="shared" si="308"/>
        <v>00</v>
      </c>
      <c r="AB1042" t="str">
        <f t="shared" si="309"/>
        <v>00</v>
      </c>
      <c r="AC1042" t="str">
        <f t="shared" si="310"/>
        <v>0P0</v>
      </c>
      <c r="AD1042" t="str">
        <f t="shared" si="311"/>
        <v>P00</v>
      </c>
      <c r="AE1042" t="str">
        <f t="shared" si="312"/>
        <v>0P0</v>
      </c>
      <c r="AF1042" t="str">
        <f t="shared" si="313"/>
        <v>P00</v>
      </c>
      <c r="AG1042" t="str">
        <f t="shared" si="319"/>
        <v>0P00</v>
      </c>
      <c r="AH1042" t="str">
        <f t="shared" si="320"/>
        <v>P000</v>
      </c>
      <c r="AI1042" t="str">
        <f t="shared" si="321"/>
        <v>0P00</v>
      </c>
      <c r="AJ1042" t="str">
        <f t="shared" si="322"/>
        <v>P000</v>
      </c>
    </row>
    <row r="1043" spans="1:36" x14ac:dyDescent="0.25">
      <c r="A1043" s="325" t="str">
        <f>CONCATENATE("P",'906MP'!M743)</f>
        <v>P</v>
      </c>
      <c r="B1043">
        <f>'906MP'!H743</f>
        <v>0</v>
      </c>
      <c r="C1043">
        <f>'906MP'!J743</f>
        <v>0</v>
      </c>
      <c r="D1043">
        <f>'906MP'!P743</f>
        <v>0</v>
      </c>
      <c r="E1043">
        <f>'906MP'!X743</f>
        <v>0</v>
      </c>
      <c r="F1043" t="str">
        <f t="shared" si="314"/>
        <v>0</v>
      </c>
      <c r="G1043" t="str">
        <f t="shared" si="315"/>
        <v>0</v>
      </c>
      <c r="H1043">
        <f>'906MP'!Y743</f>
        <v>0</v>
      </c>
      <c r="I1043">
        <f>'906MP'!AK743</f>
        <v>0</v>
      </c>
      <c r="J1043">
        <f>'906MP'!T743</f>
        <v>0</v>
      </c>
      <c r="K1043">
        <f>'906MP'!AJ743</f>
        <v>0</v>
      </c>
      <c r="L1043">
        <f>'906MP'!U743</f>
        <v>0</v>
      </c>
      <c r="M1043" s="322" t="str">
        <f>IFERROR(VLOOKUP(A1043,PAR!$D$3:$E$53,2,FALSE),"nincs szervezet")</f>
        <v>nincs szervezet</v>
      </c>
      <c r="N1043" s="322" t="str">
        <f>VLOOKUP(F1043,PAR!$R$3:$S$5,2,FALSE)</f>
        <v>3 - egyik sem</v>
      </c>
      <c r="O1043" t="str">
        <f>IFERROR(VLOOKUP(J1043,PAR!$O$3:$P$5,2,FALSE),"nincs feladat")</f>
        <v>nincs feladat</v>
      </c>
      <c r="P1043" t="str">
        <f>IFERROR(VLOOKUP(G1043,PAR!$J$2:$M$19,4),"nincs rovat")</f>
        <v>nincs rovat</v>
      </c>
      <c r="Q1043" t="str">
        <f>IF(H1043&gt;0,VLOOKUP(H1043,PAR!$AA$3:$AC$187,3,FALSE),"nincs főkönyvi számla")</f>
        <v>nincs főkönyvi számla</v>
      </c>
      <c r="R1043" t="str">
        <f>IFERROR(VLOOKUP(K1043,PAR!$V$3:$X$438,3,FALSE),"000000 - Nincs COFOG")</f>
        <v>000000 - Nincs COFOG</v>
      </c>
      <c r="S1043">
        <f t="shared" si="316"/>
        <v>0</v>
      </c>
      <c r="T1043">
        <f t="shared" si="317"/>
        <v>0</v>
      </c>
      <c r="U1043" t="str">
        <f>IF('906MP'!J743&gt;0,CONCATENATE('906MP'!J743," - ",'906MP'!P743,", ",'906MP'!E743),"nincs megjegyzés")</f>
        <v>nincs megjegyzés</v>
      </c>
      <c r="V1043" t="str">
        <f t="shared" si="304"/>
        <v>0P0</v>
      </c>
      <c r="W1043" t="str">
        <f t="shared" si="305"/>
        <v>0P0</v>
      </c>
      <c r="X1043" t="str">
        <f t="shared" si="306"/>
        <v>P0</v>
      </c>
      <c r="Y1043" t="str">
        <f t="shared" si="307"/>
        <v>00</v>
      </c>
      <c r="Z1043" t="str">
        <f t="shared" si="318"/>
        <v>00</v>
      </c>
      <c r="AA1043" t="str">
        <f t="shared" si="308"/>
        <v>00</v>
      </c>
      <c r="AB1043" t="str">
        <f t="shared" si="309"/>
        <v>00</v>
      </c>
      <c r="AC1043" t="str">
        <f t="shared" si="310"/>
        <v>0P0</v>
      </c>
      <c r="AD1043" t="str">
        <f t="shared" si="311"/>
        <v>P00</v>
      </c>
      <c r="AE1043" t="str">
        <f t="shared" si="312"/>
        <v>0P0</v>
      </c>
      <c r="AF1043" t="str">
        <f t="shared" si="313"/>
        <v>P00</v>
      </c>
      <c r="AG1043" t="str">
        <f t="shared" si="319"/>
        <v>0P00</v>
      </c>
      <c r="AH1043" t="str">
        <f t="shared" si="320"/>
        <v>P000</v>
      </c>
      <c r="AI1043" t="str">
        <f t="shared" si="321"/>
        <v>0P00</v>
      </c>
      <c r="AJ1043" t="str">
        <f t="shared" si="322"/>
        <v>P000</v>
      </c>
    </row>
    <row r="1044" spans="1:36" x14ac:dyDescent="0.25">
      <c r="A1044" s="325" t="str">
        <f>CONCATENATE("P",'906MP'!M744)</f>
        <v>P</v>
      </c>
      <c r="B1044">
        <f>'906MP'!H744</f>
        <v>0</v>
      </c>
      <c r="C1044">
        <f>'906MP'!J744</f>
        <v>0</v>
      </c>
      <c r="D1044">
        <f>'906MP'!P744</f>
        <v>0</v>
      </c>
      <c r="E1044">
        <f>'906MP'!X744</f>
        <v>0</v>
      </c>
      <c r="F1044" t="str">
        <f t="shared" si="314"/>
        <v>0</v>
      </c>
      <c r="G1044" t="str">
        <f t="shared" si="315"/>
        <v>0</v>
      </c>
      <c r="H1044">
        <f>'906MP'!Y744</f>
        <v>0</v>
      </c>
      <c r="I1044">
        <f>'906MP'!AK744</f>
        <v>0</v>
      </c>
      <c r="J1044">
        <f>'906MP'!T744</f>
        <v>0</v>
      </c>
      <c r="K1044">
        <f>'906MP'!AJ744</f>
        <v>0</v>
      </c>
      <c r="L1044">
        <f>'906MP'!U744</f>
        <v>0</v>
      </c>
      <c r="M1044" s="322" t="str">
        <f>IFERROR(VLOOKUP(A1044,PAR!$D$3:$E$53,2,FALSE),"nincs szervezet")</f>
        <v>nincs szervezet</v>
      </c>
      <c r="N1044" s="322" t="str">
        <f>VLOOKUP(F1044,PAR!$R$3:$S$5,2,FALSE)</f>
        <v>3 - egyik sem</v>
      </c>
      <c r="O1044" t="str">
        <f>IFERROR(VLOOKUP(J1044,PAR!$O$3:$P$5,2,FALSE),"nincs feladat")</f>
        <v>nincs feladat</v>
      </c>
      <c r="P1044" t="str">
        <f>IFERROR(VLOOKUP(G1044,PAR!$J$2:$M$19,4),"nincs rovat")</f>
        <v>nincs rovat</v>
      </c>
      <c r="Q1044" t="str">
        <f>IF(H1044&gt;0,VLOOKUP(H1044,PAR!$AA$3:$AC$187,3,FALSE),"nincs főkönyvi számla")</f>
        <v>nincs főkönyvi számla</v>
      </c>
      <c r="R1044" t="str">
        <f>IFERROR(VLOOKUP(K1044,PAR!$V$3:$X$438,3,FALSE),"000000 - Nincs COFOG")</f>
        <v>000000 - Nincs COFOG</v>
      </c>
      <c r="S1044">
        <f t="shared" si="316"/>
        <v>0</v>
      </c>
      <c r="T1044">
        <f t="shared" si="317"/>
        <v>0</v>
      </c>
      <c r="U1044" t="str">
        <f>IF('906MP'!J744&gt;0,CONCATENATE('906MP'!J744," - ",'906MP'!P744,", ",'906MP'!E744),"nincs megjegyzés")</f>
        <v>nincs megjegyzés</v>
      </c>
      <c r="V1044" t="str">
        <f t="shared" si="304"/>
        <v>0P0</v>
      </c>
      <c r="W1044" t="str">
        <f t="shared" si="305"/>
        <v>0P0</v>
      </c>
      <c r="X1044" t="str">
        <f t="shared" si="306"/>
        <v>P0</v>
      </c>
      <c r="Y1044" t="str">
        <f t="shared" si="307"/>
        <v>00</v>
      </c>
      <c r="Z1044" t="str">
        <f t="shared" si="318"/>
        <v>00</v>
      </c>
      <c r="AA1044" t="str">
        <f t="shared" si="308"/>
        <v>00</v>
      </c>
      <c r="AB1044" t="str">
        <f t="shared" si="309"/>
        <v>00</v>
      </c>
      <c r="AC1044" t="str">
        <f t="shared" si="310"/>
        <v>0P0</v>
      </c>
      <c r="AD1044" t="str">
        <f t="shared" si="311"/>
        <v>P00</v>
      </c>
      <c r="AE1044" t="str">
        <f t="shared" si="312"/>
        <v>0P0</v>
      </c>
      <c r="AF1044" t="str">
        <f t="shared" si="313"/>
        <v>P00</v>
      </c>
      <c r="AG1044" t="str">
        <f t="shared" si="319"/>
        <v>0P00</v>
      </c>
      <c r="AH1044" t="str">
        <f t="shared" si="320"/>
        <v>P000</v>
      </c>
      <c r="AI1044" t="str">
        <f t="shared" si="321"/>
        <v>0P00</v>
      </c>
      <c r="AJ1044" t="str">
        <f t="shared" si="322"/>
        <v>P000</v>
      </c>
    </row>
    <row r="1045" spans="1:36" x14ac:dyDescent="0.25">
      <c r="A1045" s="325" t="str">
        <f>CONCATENATE("P",'906MP'!M745)</f>
        <v>P</v>
      </c>
      <c r="B1045">
        <f>'906MP'!H745</f>
        <v>0</v>
      </c>
      <c r="C1045">
        <f>'906MP'!J745</f>
        <v>0</v>
      </c>
      <c r="D1045">
        <f>'906MP'!P745</f>
        <v>0</v>
      </c>
      <c r="E1045">
        <f>'906MP'!X745</f>
        <v>0</v>
      </c>
      <c r="F1045" t="str">
        <f t="shared" si="314"/>
        <v>0</v>
      </c>
      <c r="G1045" t="str">
        <f t="shared" si="315"/>
        <v>0</v>
      </c>
      <c r="H1045">
        <f>'906MP'!Y745</f>
        <v>0</v>
      </c>
      <c r="I1045">
        <f>'906MP'!AK745</f>
        <v>0</v>
      </c>
      <c r="J1045">
        <f>'906MP'!T745</f>
        <v>0</v>
      </c>
      <c r="K1045">
        <f>'906MP'!AJ745</f>
        <v>0</v>
      </c>
      <c r="L1045">
        <f>'906MP'!U745</f>
        <v>0</v>
      </c>
      <c r="M1045" s="322" t="str">
        <f>IFERROR(VLOOKUP(A1045,PAR!$D$3:$E$53,2,FALSE),"nincs szervezet")</f>
        <v>nincs szervezet</v>
      </c>
      <c r="N1045" s="322" t="str">
        <f>VLOOKUP(F1045,PAR!$R$3:$S$5,2,FALSE)</f>
        <v>3 - egyik sem</v>
      </c>
      <c r="O1045" t="str">
        <f>IFERROR(VLOOKUP(J1045,PAR!$O$3:$P$5,2,FALSE),"nincs feladat")</f>
        <v>nincs feladat</v>
      </c>
      <c r="P1045" t="str">
        <f>IFERROR(VLOOKUP(G1045,PAR!$J$2:$M$19,4),"nincs rovat")</f>
        <v>nincs rovat</v>
      </c>
      <c r="Q1045" t="str">
        <f>IF(H1045&gt;0,VLOOKUP(H1045,PAR!$AA$3:$AC$187,3,FALSE),"nincs főkönyvi számla")</f>
        <v>nincs főkönyvi számla</v>
      </c>
      <c r="R1045" t="str">
        <f>IFERROR(VLOOKUP(K1045,PAR!$V$3:$X$438,3,FALSE),"000000 - Nincs COFOG")</f>
        <v>000000 - Nincs COFOG</v>
      </c>
      <c r="S1045">
        <f t="shared" si="316"/>
        <v>0</v>
      </c>
      <c r="T1045">
        <f t="shared" si="317"/>
        <v>0</v>
      </c>
      <c r="U1045" t="str">
        <f>IF('906MP'!J745&gt;0,CONCATENATE('906MP'!J745," - ",'906MP'!P745,", ",'906MP'!E745),"nincs megjegyzés")</f>
        <v>nincs megjegyzés</v>
      </c>
      <c r="V1045" t="str">
        <f t="shared" si="304"/>
        <v>0P0</v>
      </c>
      <c r="W1045" t="str">
        <f t="shared" si="305"/>
        <v>0P0</v>
      </c>
      <c r="X1045" t="str">
        <f t="shared" si="306"/>
        <v>P0</v>
      </c>
      <c r="Y1045" t="str">
        <f t="shared" si="307"/>
        <v>00</v>
      </c>
      <c r="Z1045" t="str">
        <f t="shared" si="318"/>
        <v>00</v>
      </c>
      <c r="AA1045" t="str">
        <f t="shared" si="308"/>
        <v>00</v>
      </c>
      <c r="AB1045" t="str">
        <f t="shared" si="309"/>
        <v>00</v>
      </c>
      <c r="AC1045" t="str">
        <f t="shared" si="310"/>
        <v>0P0</v>
      </c>
      <c r="AD1045" t="str">
        <f t="shared" si="311"/>
        <v>P00</v>
      </c>
      <c r="AE1045" t="str">
        <f t="shared" si="312"/>
        <v>0P0</v>
      </c>
      <c r="AF1045" t="str">
        <f t="shared" si="313"/>
        <v>P00</v>
      </c>
      <c r="AG1045" t="str">
        <f t="shared" si="319"/>
        <v>0P00</v>
      </c>
      <c r="AH1045" t="str">
        <f t="shared" si="320"/>
        <v>P000</v>
      </c>
      <c r="AI1045" t="str">
        <f t="shared" si="321"/>
        <v>0P00</v>
      </c>
      <c r="AJ1045" t="str">
        <f t="shared" si="322"/>
        <v>P000</v>
      </c>
    </row>
    <row r="1046" spans="1:36" x14ac:dyDescent="0.25">
      <c r="A1046" s="325" t="str">
        <f>CONCATENATE("P",'906MP'!M746)</f>
        <v>P</v>
      </c>
      <c r="B1046">
        <f>'906MP'!H746</f>
        <v>0</v>
      </c>
      <c r="C1046">
        <f>'906MP'!J746</f>
        <v>0</v>
      </c>
      <c r="D1046">
        <f>'906MP'!P746</f>
        <v>0</v>
      </c>
      <c r="E1046">
        <f>'906MP'!X746</f>
        <v>0</v>
      </c>
      <c r="F1046" t="str">
        <f t="shared" si="314"/>
        <v>0</v>
      </c>
      <c r="G1046" t="str">
        <f t="shared" si="315"/>
        <v>0</v>
      </c>
      <c r="H1046">
        <f>'906MP'!Y746</f>
        <v>0</v>
      </c>
      <c r="I1046">
        <f>'906MP'!AK746</f>
        <v>0</v>
      </c>
      <c r="J1046">
        <f>'906MP'!T746</f>
        <v>0</v>
      </c>
      <c r="K1046">
        <f>'906MP'!AJ746</f>
        <v>0</v>
      </c>
      <c r="L1046">
        <f>'906MP'!U746</f>
        <v>0</v>
      </c>
      <c r="M1046" s="322" t="str">
        <f>IFERROR(VLOOKUP(A1046,PAR!$D$3:$E$53,2,FALSE),"nincs szervezet")</f>
        <v>nincs szervezet</v>
      </c>
      <c r="N1046" s="322" t="str">
        <f>VLOOKUP(F1046,PAR!$R$3:$S$5,2,FALSE)</f>
        <v>3 - egyik sem</v>
      </c>
      <c r="O1046" t="str">
        <f>IFERROR(VLOOKUP(J1046,PAR!$O$3:$P$5,2,FALSE),"nincs feladat")</f>
        <v>nincs feladat</v>
      </c>
      <c r="P1046" t="str">
        <f>IFERROR(VLOOKUP(G1046,PAR!$J$2:$M$19,4),"nincs rovat")</f>
        <v>nincs rovat</v>
      </c>
      <c r="Q1046" t="str">
        <f>IF(H1046&gt;0,VLOOKUP(H1046,PAR!$AA$3:$AC$187,3,FALSE),"nincs főkönyvi számla")</f>
        <v>nincs főkönyvi számla</v>
      </c>
      <c r="R1046" t="str">
        <f>IFERROR(VLOOKUP(K1046,PAR!$V$3:$X$438,3,FALSE),"000000 - Nincs COFOG")</f>
        <v>000000 - Nincs COFOG</v>
      </c>
      <c r="S1046">
        <f t="shared" si="316"/>
        <v>0</v>
      </c>
      <c r="T1046">
        <f t="shared" si="317"/>
        <v>0</v>
      </c>
      <c r="U1046" t="str">
        <f>IF('906MP'!J746&gt;0,CONCATENATE('906MP'!J746," - ",'906MP'!P746,", ",'906MP'!E746),"nincs megjegyzés")</f>
        <v>nincs megjegyzés</v>
      </c>
      <c r="V1046" t="str">
        <f t="shared" si="304"/>
        <v>0P0</v>
      </c>
      <c r="W1046" t="str">
        <f t="shared" si="305"/>
        <v>0P0</v>
      </c>
      <c r="X1046" t="str">
        <f t="shared" si="306"/>
        <v>P0</v>
      </c>
      <c r="Y1046" t="str">
        <f t="shared" si="307"/>
        <v>00</v>
      </c>
      <c r="Z1046" t="str">
        <f t="shared" si="318"/>
        <v>00</v>
      </c>
      <c r="AA1046" t="str">
        <f t="shared" si="308"/>
        <v>00</v>
      </c>
      <c r="AB1046" t="str">
        <f t="shared" si="309"/>
        <v>00</v>
      </c>
      <c r="AC1046" t="str">
        <f t="shared" si="310"/>
        <v>0P0</v>
      </c>
      <c r="AD1046" t="str">
        <f t="shared" si="311"/>
        <v>P00</v>
      </c>
      <c r="AE1046" t="str">
        <f t="shared" si="312"/>
        <v>0P0</v>
      </c>
      <c r="AF1046" t="str">
        <f t="shared" si="313"/>
        <v>P00</v>
      </c>
      <c r="AG1046" t="str">
        <f t="shared" si="319"/>
        <v>0P00</v>
      </c>
      <c r="AH1046" t="str">
        <f t="shared" si="320"/>
        <v>P000</v>
      </c>
      <c r="AI1046" t="str">
        <f t="shared" si="321"/>
        <v>0P00</v>
      </c>
      <c r="AJ1046" t="str">
        <f t="shared" si="322"/>
        <v>P000</v>
      </c>
    </row>
    <row r="1047" spans="1:36" x14ac:dyDescent="0.25">
      <c r="A1047" s="325" t="str">
        <f>CONCATENATE("P",'906MP'!M747)</f>
        <v>P</v>
      </c>
      <c r="B1047">
        <f>'906MP'!H747</f>
        <v>0</v>
      </c>
      <c r="C1047">
        <f>'906MP'!J747</f>
        <v>0</v>
      </c>
      <c r="D1047">
        <f>'906MP'!P747</f>
        <v>0</v>
      </c>
      <c r="E1047">
        <f>'906MP'!X747</f>
        <v>0</v>
      </c>
      <c r="F1047" t="str">
        <f t="shared" si="314"/>
        <v>0</v>
      </c>
      <c r="G1047" t="str">
        <f t="shared" si="315"/>
        <v>0</v>
      </c>
      <c r="H1047">
        <f>'906MP'!Y747</f>
        <v>0</v>
      </c>
      <c r="I1047">
        <f>'906MP'!AK747</f>
        <v>0</v>
      </c>
      <c r="J1047">
        <f>'906MP'!T747</f>
        <v>0</v>
      </c>
      <c r="K1047">
        <f>'906MP'!AJ747</f>
        <v>0</v>
      </c>
      <c r="L1047">
        <f>'906MP'!U747</f>
        <v>0</v>
      </c>
      <c r="M1047" s="322" t="str">
        <f>IFERROR(VLOOKUP(A1047,PAR!$D$3:$E$53,2,FALSE),"nincs szervezet")</f>
        <v>nincs szervezet</v>
      </c>
      <c r="N1047" s="322" t="str">
        <f>VLOOKUP(F1047,PAR!$R$3:$S$5,2,FALSE)</f>
        <v>3 - egyik sem</v>
      </c>
      <c r="O1047" t="str">
        <f>IFERROR(VLOOKUP(J1047,PAR!$O$3:$P$5,2,FALSE),"nincs feladat")</f>
        <v>nincs feladat</v>
      </c>
      <c r="P1047" t="str">
        <f>IFERROR(VLOOKUP(G1047,PAR!$J$2:$M$19,4),"nincs rovat")</f>
        <v>nincs rovat</v>
      </c>
      <c r="Q1047" t="str">
        <f>IF(H1047&gt;0,VLOOKUP(H1047,PAR!$AA$3:$AC$187,3,FALSE),"nincs főkönyvi számla")</f>
        <v>nincs főkönyvi számla</v>
      </c>
      <c r="R1047" t="str">
        <f>IFERROR(VLOOKUP(K1047,PAR!$V$3:$X$438,3,FALSE),"000000 - Nincs COFOG")</f>
        <v>000000 - Nincs COFOG</v>
      </c>
      <c r="S1047">
        <f t="shared" si="316"/>
        <v>0</v>
      </c>
      <c r="T1047">
        <f t="shared" si="317"/>
        <v>0</v>
      </c>
      <c r="U1047" t="str">
        <f>IF('906MP'!J747&gt;0,CONCATENATE('906MP'!J747," - ",'906MP'!P747,", ",'906MP'!E747),"nincs megjegyzés")</f>
        <v>nincs megjegyzés</v>
      </c>
      <c r="V1047" t="str">
        <f t="shared" si="304"/>
        <v>0P0</v>
      </c>
      <c r="W1047" t="str">
        <f t="shared" si="305"/>
        <v>0P0</v>
      </c>
      <c r="X1047" t="str">
        <f t="shared" si="306"/>
        <v>P0</v>
      </c>
      <c r="Y1047" t="str">
        <f t="shared" si="307"/>
        <v>00</v>
      </c>
      <c r="Z1047" t="str">
        <f t="shared" si="318"/>
        <v>00</v>
      </c>
      <c r="AA1047" t="str">
        <f t="shared" si="308"/>
        <v>00</v>
      </c>
      <c r="AB1047" t="str">
        <f t="shared" si="309"/>
        <v>00</v>
      </c>
      <c r="AC1047" t="str">
        <f t="shared" si="310"/>
        <v>0P0</v>
      </c>
      <c r="AD1047" t="str">
        <f t="shared" si="311"/>
        <v>P00</v>
      </c>
      <c r="AE1047" t="str">
        <f t="shared" si="312"/>
        <v>0P0</v>
      </c>
      <c r="AF1047" t="str">
        <f t="shared" si="313"/>
        <v>P00</v>
      </c>
      <c r="AG1047" t="str">
        <f t="shared" si="319"/>
        <v>0P00</v>
      </c>
      <c r="AH1047" t="str">
        <f t="shared" si="320"/>
        <v>P000</v>
      </c>
      <c r="AI1047" t="str">
        <f t="shared" si="321"/>
        <v>0P00</v>
      </c>
      <c r="AJ1047" t="str">
        <f t="shared" si="322"/>
        <v>P000</v>
      </c>
    </row>
    <row r="1048" spans="1:36" x14ac:dyDescent="0.25">
      <c r="A1048" s="325" t="str">
        <f>CONCATENATE("P",'906MP'!M748)</f>
        <v>P</v>
      </c>
      <c r="B1048">
        <f>'906MP'!H748</f>
        <v>0</v>
      </c>
      <c r="C1048">
        <f>'906MP'!J748</f>
        <v>0</v>
      </c>
      <c r="D1048">
        <f>'906MP'!P748</f>
        <v>0</v>
      </c>
      <c r="E1048">
        <f>'906MP'!X748</f>
        <v>0</v>
      </c>
      <c r="F1048" t="str">
        <f t="shared" si="314"/>
        <v>0</v>
      </c>
      <c r="G1048" t="str">
        <f t="shared" si="315"/>
        <v>0</v>
      </c>
      <c r="H1048">
        <f>'906MP'!Y748</f>
        <v>0</v>
      </c>
      <c r="I1048">
        <f>'906MP'!AK748</f>
        <v>0</v>
      </c>
      <c r="J1048">
        <f>'906MP'!T748</f>
        <v>0</v>
      </c>
      <c r="K1048">
        <f>'906MP'!AJ748</f>
        <v>0</v>
      </c>
      <c r="L1048">
        <f>'906MP'!U748</f>
        <v>0</v>
      </c>
      <c r="M1048" s="322" t="str">
        <f>IFERROR(VLOOKUP(A1048,PAR!$D$3:$E$53,2,FALSE),"nincs szervezet")</f>
        <v>nincs szervezet</v>
      </c>
      <c r="N1048" s="322" t="str">
        <f>VLOOKUP(F1048,PAR!$R$3:$S$5,2,FALSE)</f>
        <v>3 - egyik sem</v>
      </c>
      <c r="O1048" t="str">
        <f>IFERROR(VLOOKUP(J1048,PAR!$O$3:$P$5,2,FALSE),"nincs feladat")</f>
        <v>nincs feladat</v>
      </c>
      <c r="P1048" t="str">
        <f>IFERROR(VLOOKUP(G1048,PAR!$J$2:$M$19,4),"nincs rovat")</f>
        <v>nincs rovat</v>
      </c>
      <c r="Q1048" t="str">
        <f>IF(H1048&gt;0,VLOOKUP(H1048,PAR!$AA$3:$AC$187,3,FALSE),"nincs főkönyvi számla")</f>
        <v>nincs főkönyvi számla</v>
      </c>
      <c r="R1048" t="str">
        <f>IFERROR(VLOOKUP(K1048,PAR!$V$3:$X$438,3,FALSE),"000000 - Nincs COFOG")</f>
        <v>000000 - Nincs COFOG</v>
      </c>
      <c r="S1048">
        <f t="shared" si="316"/>
        <v>0</v>
      </c>
      <c r="T1048">
        <f t="shared" si="317"/>
        <v>0</v>
      </c>
      <c r="U1048" t="str">
        <f>IF('906MP'!J748&gt;0,CONCATENATE('906MP'!J748," - ",'906MP'!P748,", ",'906MP'!E748),"nincs megjegyzés")</f>
        <v>nincs megjegyzés</v>
      </c>
      <c r="V1048" t="str">
        <f t="shared" si="304"/>
        <v>0P0</v>
      </c>
      <c r="W1048" t="str">
        <f t="shared" si="305"/>
        <v>0P0</v>
      </c>
      <c r="X1048" t="str">
        <f t="shared" si="306"/>
        <v>P0</v>
      </c>
      <c r="Y1048" t="str">
        <f t="shared" si="307"/>
        <v>00</v>
      </c>
      <c r="Z1048" t="str">
        <f t="shared" si="318"/>
        <v>00</v>
      </c>
      <c r="AA1048" t="str">
        <f t="shared" si="308"/>
        <v>00</v>
      </c>
      <c r="AB1048" t="str">
        <f t="shared" si="309"/>
        <v>00</v>
      </c>
      <c r="AC1048" t="str">
        <f t="shared" si="310"/>
        <v>0P0</v>
      </c>
      <c r="AD1048" t="str">
        <f t="shared" si="311"/>
        <v>P00</v>
      </c>
      <c r="AE1048" t="str">
        <f t="shared" si="312"/>
        <v>0P0</v>
      </c>
      <c r="AF1048" t="str">
        <f t="shared" si="313"/>
        <v>P00</v>
      </c>
      <c r="AG1048" t="str">
        <f t="shared" si="319"/>
        <v>0P00</v>
      </c>
      <c r="AH1048" t="str">
        <f t="shared" si="320"/>
        <v>P000</v>
      </c>
      <c r="AI1048" t="str">
        <f t="shared" si="321"/>
        <v>0P00</v>
      </c>
      <c r="AJ1048" t="str">
        <f t="shared" si="322"/>
        <v>P000</v>
      </c>
    </row>
    <row r="1049" spans="1:36" x14ac:dyDescent="0.25">
      <c r="A1049" s="325" t="str">
        <f>CONCATENATE("P",'906MP'!M749)</f>
        <v>P</v>
      </c>
      <c r="B1049">
        <f>'906MP'!H749</f>
        <v>0</v>
      </c>
      <c r="C1049">
        <f>'906MP'!J749</f>
        <v>0</v>
      </c>
      <c r="D1049">
        <f>'906MP'!P749</f>
        <v>0</v>
      </c>
      <c r="E1049">
        <f>'906MP'!X749</f>
        <v>0</v>
      </c>
      <c r="F1049" t="str">
        <f t="shared" si="314"/>
        <v>0</v>
      </c>
      <c r="G1049" t="str">
        <f t="shared" si="315"/>
        <v>0</v>
      </c>
      <c r="H1049">
        <f>'906MP'!Y749</f>
        <v>0</v>
      </c>
      <c r="I1049">
        <f>'906MP'!AK749</f>
        <v>0</v>
      </c>
      <c r="J1049">
        <f>'906MP'!T749</f>
        <v>0</v>
      </c>
      <c r="K1049">
        <f>'906MP'!AJ749</f>
        <v>0</v>
      </c>
      <c r="L1049">
        <f>'906MP'!U749</f>
        <v>0</v>
      </c>
      <c r="M1049" s="322" t="str">
        <f>IFERROR(VLOOKUP(A1049,PAR!$D$3:$E$53,2,FALSE),"nincs szervezet")</f>
        <v>nincs szervezet</v>
      </c>
      <c r="N1049" s="322" t="str">
        <f>VLOOKUP(F1049,PAR!$R$3:$S$5,2,FALSE)</f>
        <v>3 - egyik sem</v>
      </c>
      <c r="O1049" t="str">
        <f>IFERROR(VLOOKUP(J1049,PAR!$O$3:$P$5,2,FALSE),"nincs feladat")</f>
        <v>nincs feladat</v>
      </c>
      <c r="P1049" t="str">
        <f>IFERROR(VLOOKUP(G1049,PAR!$J$2:$M$19,4),"nincs rovat")</f>
        <v>nincs rovat</v>
      </c>
      <c r="Q1049" t="str">
        <f>IF(H1049&gt;0,VLOOKUP(H1049,PAR!$AA$3:$AC$187,3,FALSE),"nincs főkönyvi számla")</f>
        <v>nincs főkönyvi számla</v>
      </c>
      <c r="R1049" t="str">
        <f>IFERROR(VLOOKUP(K1049,PAR!$V$3:$X$438,3,FALSE),"000000 - Nincs COFOG")</f>
        <v>000000 - Nincs COFOG</v>
      </c>
      <c r="S1049">
        <f t="shared" si="316"/>
        <v>0</v>
      </c>
      <c r="T1049">
        <f t="shared" si="317"/>
        <v>0</v>
      </c>
      <c r="U1049" t="str">
        <f>IF('906MP'!J749&gt;0,CONCATENATE('906MP'!J749," - ",'906MP'!P749,", ",'906MP'!E749),"nincs megjegyzés")</f>
        <v>nincs megjegyzés</v>
      </c>
      <c r="V1049" t="str">
        <f t="shared" si="304"/>
        <v>0P0</v>
      </c>
      <c r="W1049" t="str">
        <f t="shared" si="305"/>
        <v>0P0</v>
      </c>
      <c r="X1049" t="str">
        <f t="shared" si="306"/>
        <v>P0</v>
      </c>
      <c r="Y1049" t="str">
        <f t="shared" si="307"/>
        <v>00</v>
      </c>
      <c r="Z1049" t="str">
        <f t="shared" si="318"/>
        <v>00</v>
      </c>
      <c r="AA1049" t="str">
        <f t="shared" si="308"/>
        <v>00</v>
      </c>
      <c r="AB1049" t="str">
        <f t="shared" si="309"/>
        <v>00</v>
      </c>
      <c r="AC1049" t="str">
        <f t="shared" si="310"/>
        <v>0P0</v>
      </c>
      <c r="AD1049" t="str">
        <f t="shared" si="311"/>
        <v>P00</v>
      </c>
      <c r="AE1049" t="str">
        <f t="shared" si="312"/>
        <v>0P0</v>
      </c>
      <c r="AF1049" t="str">
        <f t="shared" si="313"/>
        <v>P00</v>
      </c>
      <c r="AG1049" t="str">
        <f t="shared" si="319"/>
        <v>0P00</v>
      </c>
      <c r="AH1049" t="str">
        <f t="shared" si="320"/>
        <v>P000</v>
      </c>
      <c r="AI1049" t="str">
        <f t="shared" si="321"/>
        <v>0P00</v>
      </c>
      <c r="AJ1049" t="str">
        <f t="shared" si="322"/>
        <v>P000</v>
      </c>
    </row>
    <row r="1050" spans="1:36" x14ac:dyDescent="0.25">
      <c r="A1050" s="325" t="str">
        <f>CONCATENATE("P",'906MP'!M750)</f>
        <v>P</v>
      </c>
      <c r="B1050">
        <f>'906MP'!H750</f>
        <v>0</v>
      </c>
      <c r="C1050">
        <f>'906MP'!J750</f>
        <v>0</v>
      </c>
      <c r="D1050">
        <f>'906MP'!P750</f>
        <v>0</v>
      </c>
      <c r="E1050">
        <f>'906MP'!X750</f>
        <v>0</v>
      </c>
      <c r="F1050" t="str">
        <f t="shared" si="314"/>
        <v>0</v>
      </c>
      <c r="G1050" t="str">
        <f t="shared" si="315"/>
        <v>0</v>
      </c>
      <c r="H1050">
        <f>'906MP'!Y750</f>
        <v>0</v>
      </c>
      <c r="I1050">
        <f>'906MP'!AK750</f>
        <v>0</v>
      </c>
      <c r="J1050">
        <f>'906MP'!T750</f>
        <v>0</v>
      </c>
      <c r="K1050">
        <f>'906MP'!AJ750</f>
        <v>0</v>
      </c>
      <c r="L1050">
        <f>'906MP'!U750</f>
        <v>0</v>
      </c>
      <c r="M1050" s="322" t="str">
        <f>IFERROR(VLOOKUP(A1050,PAR!$D$3:$E$53,2,FALSE),"nincs szervezet")</f>
        <v>nincs szervezet</v>
      </c>
      <c r="N1050" s="322" t="str">
        <f>VLOOKUP(F1050,PAR!$R$3:$S$5,2,FALSE)</f>
        <v>3 - egyik sem</v>
      </c>
      <c r="O1050" t="str">
        <f>IFERROR(VLOOKUP(J1050,PAR!$O$3:$P$5,2,FALSE),"nincs feladat")</f>
        <v>nincs feladat</v>
      </c>
      <c r="P1050" t="str">
        <f>IFERROR(VLOOKUP(G1050,PAR!$J$2:$M$19,4),"nincs rovat")</f>
        <v>nincs rovat</v>
      </c>
      <c r="Q1050" t="str">
        <f>IF(H1050&gt;0,VLOOKUP(H1050,PAR!$AA$3:$AC$187,3,FALSE),"nincs főkönyvi számla")</f>
        <v>nincs főkönyvi számla</v>
      </c>
      <c r="R1050" t="str">
        <f>IFERROR(VLOOKUP(K1050,PAR!$V$3:$X$438,3,FALSE),"000000 - Nincs COFOG")</f>
        <v>000000 - Nincs COFOG</v>
      </c>
      <c r="S1050">
        <f t="shared" si="316"/>
        <v>0</v>
      </c>
      <c r="T1050">
        <f t="shared" si="317"/>
        <v>0</v>
      </c>
      <c r="U1050" t="str">
        <f>IF('906MP'!J750&gt;0,CONCATENATE('906MP'!J750," - ",'906MP'!P750,", ",'906MP'!E750),"nincs megjegyzés")</f>
        <v>nincs megjegyzés</v>
      </c>
      <c r="V1050" t="str">
        <f t="shared" si="304"/>
        <v>0P0</v>
      </c>
      <c r="W1050" t="str">
        <f t="shared" si="305"/>
        <v>0P0</v>
      </c>
      <c r="X1050" t="str">
        <f t="shared" si="306"/>
        <v>P0</v>
      </c>
      <c r="Y1050" t="str">
        <f t="shared" si="307"/>
        <v>00</v>
      </c>
      <c r="Z1050" t="str">
        <f t="shared" si="318"/>
        <v>00</v>
      </c>
      <c r="AA1050" t="str">
        <f t="shared" si="308"/>
        <v>00</v>
      </c>
      <c r="AB1050" t="str">
        <f t="shared" si="309"/>
        <v>00</v>
      </c>
      <c r="AC1050" t="str">
        <f t="shared" si="310"/>
        <v>0P0</v>
      </c>
      <c r="AD1050" t="str">
        <f t="shared" si="311"/>
        <v>P00</v>
      </c>
      <c r="AE1050" t="str">
        <f t="shared" si="312"/>
        <v>0P0</v>
      </c>
      <c r="AF1050" t="str">
        <f t="shared" si="313"/>
        <v>P00</v>
      </c>
      <c r="AG1050" t="str">
        <f t="shared" si="319"/>
        <v>0P00</v>
      </c>
      <c r="AH1050" t="str">
        <f t="shared" si="320"/>
        <v>P000</v>
      </c>
      <c r="AI1050" t="str">
        <f t="shared" si="321"/>
        <v>0P00</v>
      </c>
      <c r="AJ1050" t="str">
        <f t="shared" si="322"/>
        <v>P000</v>
      </c>
    </row>
    <row r="1051" spans="1:36" x14ac:dyDescent="0.25">
      <c r="A1051" s="325" t="str">
        <f>CONCATENATE("P",'906MP'!M751)</f>
        <v>P</v>
      </c>
      <c r="B1051">
        <f>'906MP'!H751</f>
        <v>0</v>
      </c>
      <c r="C1051">
        <f>'906MP'!J751</f>
        <v>0</v>
      </c>
      <c r="D1051">
        <f>'906MP'!P751</f>
        <v>0</v>
      </c>
      <c r="E1051">
        <f>'906MP'!X751</f>
        <v>0</v>
      </c>
      <c r="F1051" t="str">
        <f t="shared" si="314"/>
        <v>0</v>
      </c>
      <c r="G1051" t="str">
        <f t="shared" si="315"/>
        <v>0</v>
      </c>
      <c r="H1051">
        <f>'906MP'!Y751</f>
        <v>0</v>
      </c>
      <c r="I1051">
        <f>'906MP'!AK751</f>
        <v>0</v>
      </c>
      <c r="J1051">
        <f>'906MP'!T751</f>
        <v>0</v>
      </c>
      <c r="K1051">
        <f>'906MP'!AJ751</f>
        <v>0</v>
      </c>
      <c r="L1051">
        <f>'906MP'!U751</f>
        <v>0</v>
      </c>
      <c r="M1051" s="322" t="str">
        <f>IFERROR(VLOOKUP(A1051,PAR!$D$3:$E$53,2,FALSE),"nincs szervezet")</f>
        <v>nincs szervezet</v>
      </c>
      <c r="N1051" s="322" t="str">
        <f>VLOOKUP(F1051,PAR!$R$3:$S$5,2,FALSE)</f>
        <v>3 - egyik sem</v>
      </c>
      <c r="O1051" t="str">
        <f>IFERROR(VLOOKUP(J1051,PAR!$O$3:$P$5,2,FALSE),"nincs feladat")</f>
        <v>nincs feladat</v>
      </c>
      <c r="P1051" t="str">
        <f>IFERROR(VLOOKUP(G1051,PAR!$J$2:$M$19,4),"nincs rovat")</f>
        <v>nincs rovat</v>
      </c>
      <c r="Q1051" t="str">
        <f>IF(H1051&gt;0,VLOOKUP(H1051,PAR!$AA$3:$AC$187,3,FALSE),"nincs főkönyvi számla")</f>
        <v>nincs főkönyvi számla</v>
      </c>
      <c r="R1051" t="str">
        <f>IFERROR(VLOOKUP(K1051,PAR!$V$3:$X$438,3,FALSE),"000000 - Nincs COFOG")</f>
        <v>000000 - Nincs COFOG</v>
      </c>
      <c r="S1051">
        <f t="shared" si="316"/>
        <v>0</v>
      </c>
      <c r="T1051">
        <f t="shared" si="317"/>
        <v>0</v>
      </c>
      <c r="U1051" t="str">
        <f>IF('906MP'!J751&gt;0,CONCATENATE('906MP'!J751," - ",'906MP'!P751,", ",'906MP'!E751),"nincs megjegyzés")</f>
        <v>nincs megjegyzés</v>
      </c>
      <c r="V1051" t="str">
        <f t="shared" si="304"/>
        <v>0P0</v>
      </c>
      <c r="W1051" t="str">
        <f t="shared" si="305"/>
        <v>0P0</v>
      </c>
      <c r="X1051" t="str">
        <f t="shared" si="306"/>
        <v>P0</v>
      </c>
      <c r="Y1051" t="str">
        <f t="shared" si="307"/>
        <v>00</v>
      </c>
      <c r="Z1051" t="str">
        <f t="shared" si="318"/>
        <v>00</v>
      </c>
      <c r="AA1051" t="str">
        <f t="shared" si="308"/>
        <v>00</v>
      </c>
      <c r="AB1051" t="str">
        <f t="shared" si="309"/>
        <v>00</v>
      </c>
      <c r="AC1051" t="str">
        <f t="shared" si="310"/>
        <v>0P0</v>
      </c>
      <c r="AD1051" t="str">
        <f t="shared" si="311"/>
        <v>P00</v>
      </c>
      <c r="AE1051" t="str">
        <f t="shared" si="312"/>
        <v>0P0</v>
      </c>
      <c r="AF1051" t="str">
        <f t="shared" si="313"/>
        <v>P00</v>
      </c>
      <c r="AG1051" t="str">
        <f t="shared" si="319"/>
        <v>0P00</v>
      </c>
      <c r="AH1051" t="str">
        <f t="shared" si="320"/>
        <v>P000</v>
      </c>
      <c r="AI1051" t="str">
        <f t="shared" si="321"/>
        <v>0P00</v>
      </c>
      <c r="AJ1051" t="str">
        <f t="shared" si="322"/>
        <v>P000</v>
      </c>
    </row>
    <row r="1052" spans="1:36" x14ac:dyDescent="0.25">
      <c r="A1052" s="325" t="str">
        <f>CONCATENATE("P",'906MP'!M752)</f>
        <v>P</v>
      </c>
      <c r="B1052">
        <f>'906MP'!H752</f>
        <v>0</v>
      </c>
      <c r="C1052">
        <f>'906MP'!J752</f>
        <v>0</v>
      </c>
      <c r="D1052">
        <f>'906MP'!P752</f>
        <v>0</v>
      </c>
      <c r="E1052">
        <f>'906MP'!X752</f>
        <v>0</v>
      </c>
      <c r="F1052" t="str">
        <f t="shared" si="314"/>
        <v>0</v>
      </c>
      <c r="G1052" t="str">
        <f t="shared" si="315"/>
        <v>0</v>
      </c>
      <c r="H1052">
        <f>'906MP'!Y752</f>
        <v>0</v>
      </c>
      <c r="I1052">
        <f>'906MP'!AK752</f>
        <v>0</v>
      </c>
      <c r="J1052">
        <f>'906MP'!T752</f>
        <v>0</v>
      </c>
      <c r="K1052">
        <f>'906MP'!AJ752</f>
        <v>0</v>
      </c>
      <c r="L1052">
        <f>'906MP'!U752</f>
        <v>0</v>
      </c>
      <c r="M1052" s="322" t="str">
        <f>IFERROR(VLOOKUP(A1052,PAR!$D$3:$E$53,2,FALSE),"nincs szervezet")</f>
        <v>nincs szervezet</v>
      </c>
      <c r="N1052" s="322" t="str">
        <f>VLOOKUP(F1052,PAR!$R$3:$S$5,2,FALSE)</f>
        <v>3 - egyik sem</v>
      </c>
      <c r="O1052" t="str">
        <f>IFERROR(VLOOKUP(J1052,PAR!$O$3:$P$5,2,FALSE),"nincs feladat")</f>
        <v>nincs feladat</v>
      </c>
      <c r="P1052" t="str">
        <f>IFERROR(VLOOKUP(G1052,PAR!$J$2:$M$19,4),"nincs rovat")</f>
        <v>nincs rovat</v>
      </c>
      <c r="Q1052" t="str">
        <f>IF(H1052&gt;0,VLOOKUP(H1052,PAR!$AA$3:$AC$187,3,FALSE),"nincs főkönyvi számla")</f>
        <v>nincs főkönyvi számla</v>
      </c>
      <c r="R1052" t="str">
        <f>IFERROR(VLOOKUP(K1052,PAR!$V$3:$X$438,3,FALSE),"000000 - Nincs COFOG")</f>
        <v>000000 - Nincs COFOG</v>
      </c>
      <c r="S1052">
        <f t="shared" si="316"/>
        <v>0</v>
      </c>
      <c r="T1052">
        <f t="shared" si="317"/>
        <v>0</v>
      </c>
      <c r="U1052" t="str">
        <f>IF('906MP'!J752&gt;0,CONCATENATE('906MP'!J752," - ",'906MP'!P752,", ",'906MP'!E752),"nincs megjegyzés")</f>
        <v>nincs megjegyzés</v>
      </c>
      <c r="V1052" t="str">
        <f t="shared" si="304"/>
        <v>0P0</v>
      </c>
      <c r="W1052" t="str">
        <f t="shared" si="305"/>
        <v>0P0</v>
      </c>
      <c r="X1052" t="str">
        <f t="shared" si="306"/>
        <v>P0</v>
      </c>
      <c r="Y1052" t="str">
        <f t="shared" si="307"/>
        <v>00</v>
      </c>
      <c r="Z1052" t="str">
        <f t="shared" si="318"/>
        <v>00</v>
      </c>
      <c r="AA1052" t="str">
        <f t="shared" si="308"/>
        <v>00</v>
      </c>
      <c r="AB1052" t="str">
        <f t="shared" si="309"/>
        <v>00</v>
      </c>
      <c r="AC1052" t="str">
        <f t="shared" si="310"/>
        <v>0P0</v>
      </c>
      <c r="AD1052" t="str">
        <f t="shared" si="311"/>
        <v>P00</v>
      </c>
      <c r="AE1052" t="str">
        <f t="shared" si="312"/>
        <v>0P0</v>
      </c>
      <c r="AF1052" t="str">
        <f t="shared" si="313"/>
        <v>P00</v>
      </c>
      <c r="AG1052" t="str">
        <f t="shared" si="319"/>
        <v>0P00</v>
      </c>
      <c r="AH1052" t="str">
        <f t="shared" si="320"/>
        <v>P000</v>
      </c>
      <c r="AI1052" t="str">
        <f t="shared" si="321"/>
        <v>0P00</v>
      </c>
      <c r="AJ1052" t="str">
        <f t="shared" si="322"/>
        <v>P000</v>
      </c>
    </row>
    <row r="1053" spans="1:36" x14ac:dyDescent="0.25">
      <c r="A1053" s="325" t="str">
        <f>CONCATENATE("P",'906MP'!M753)</f>
        <v>P</v>
      </c>
      <c r="B1053">
        <f>'906MP'!H753</f>
        <v>0</v>
      </c>
      <c r="C1053">
        <f>'906MP'!J753</f>
        <v>0</v>
      </c>
      <c r="D1053">
        <f>'906MP'!P753</f>
        <v>0</v>
      </c>
      <c r="E1053">
        <f>'906MP'!X753</f>
        <v>0</v>
      </c>
      <c r="F1053" t="str">
        <f t="shared" si="314"/>
        <v>0</v>
      </c>
      <c r="G1053" t="str">
        <f t="shared" si="315"/>
        <v>0</v>
      </c>
      <c r="H1053">
        <f>'906MP'!Y753</f>
        <v>0</v>
      </c>
      <c r="I1053">
        <f>'906MP'!AK753</f>
        <v>0</v>
      </c>
      <c r="J1053">
        <f>'906MP'!T753</f>
        <v>0</v>
      </c>
      <c r="K1053">
        <f>'906MP'!AJ753</f>
        <v>0</v>
      </c>
      <c r="L1053">
        <f>'906MP'!U753</f>
        <v>0</v>
      </c>
      <c r="M1053" s="322" t="str">
        <f>IFERROR(VLOOKUP(A1053,PAR!$D$3:$E$53,2,FALSE),"nincs szervezet")</f>
        <v>nincs szervezet</v>
      </c>
      <c r="N1053" s="322" t="str">
        <f>VLOOKUP(F1053,PAR!$R$3:$S$5,2,FALSE)</f>
        <v>3 - egyik sem</v>
      </c>
      <c r="O1053" t="str">
        <f>IFERROR(VLOOKUP(J1053,PAR!$O$3:$P$5,2,FALSE),"nincs feladat")</f>
        <v>nincs feladat</v>
      </c>
      <c r="P1053" t="str">
        <f>IFERROR(VLOOKUP(G1053,PAR!$J$2:$M$19,4),"nincs rovat")</f>
        <v>nincs rovat</v>
      </c>
      <c r="Q1053" t="str">
        <f>IF(H1053&gt;0,VLOOKUP(H1053,PAR!$AA$3:$AC$187,3,FALSE),"nincs főkönyvi számla")</f>
        <v>nincs főkönyvi számla</v>
      </c>
      <c r="R1053" t="str">
        <f>IFERROR(VLOOKUP(K1053,PAR!$V$3:$X$438,3,FALSE),"000000 - Nincs COFOG")</f>
        <v>000000 - Nincs COFOG</v>
      </c>
      <c r="S1053">
        <f t="shared" si="316"/>
        <v>0</v>
      </c>
      <c r="T1053">
        <f t="shared" si="317"/>
        <v>0</v>
      </c>
      <c r="U1053" t="str">
        <f>IF('906MP'!J753&gt;0,CONCATENATE('906MP'!J753," - ",'906MP'!P753,", ",'906MP'!E753),"nincs megjegyzés")</f>
        <v>nincs megjegyzés</v>
      </c>
      <c r="V1053" t="str">
        <f t="shared" si="304"/>
        <v>0P0</v>
      </c>
      <c r="W1053" t="str">
        <f t="shared" si="305"/>
        <v>0P0</v>
      </c>
      <c r="X1053" t="str">
        <f t="shared" si="306"/>
        <v>P0</v>
      </c>
      <c r="Y1053" t="str">
        <f t="shared" si="307"/>
        <v>00</v>
      </c>
      <c r="Z1053" t="str">
        <f t="shared" si="318"/>
        <v>00</v>
      </c>
      <c r="AA1053" t="str">
        <f t="shared" si="308"/>
        <v>00</v>
      </c>
      <c r="AB1053" t="str">
        <f t="shared" si="309"/>
        <v>00</v>
      </c>
      <c r="AC1053" t="str">
        <f t="shared" si="310"/>
        <v>0P0</v>
      </c>
      <c r="AD1053" t="str">
        <f t="shared" si="311"/>
        <v>P00</v>
      </c>
      <c r="AE1053" t="str">
        <f t="shared" si="312"/>
        <v>0P0</v>
      </c>
      <c r="AF1053" t="str">
        <f t="shared" si="313"/>
        <v>P00</v>
      </c>
      <c r="AG1053" t="str">
        <f t="shared" si="319"/>
        <v>0P00</v>
      </c>
      <c r="AH1053" t="str">
        <f t="shared" si="320"/>
        <v>P000</v>
      </c>
      <c r="AI1053" t="str">
        <f t="shared" si="321"/>
        <v>0P00</v>
      </c>
      <c r="AJ1053" t="str">
        <f t="shared" si="322"/>
        <v>P000</v>
      </c>
    </row>
    <row r="1054" spans="1:36" x14ac:dyDescent="0.25">
      <c r="A1054" s="325" t="str">
        <f>CONCATENATE("P",'906MP'!M754)</f>
        <v>P</v>
      </c>
      <c r="B1054">
        <f>'906MP'!H754</f>
        <v>0</v>
      </c>
      <c r="C1054">
        <f>'906MP'!J754</f>
        <v>0</v>
      </c>
      <c r="D1054">
        <f>'906MP'!P754</f>
        <v>0</v>
      </c>
      <c r="E1054">
        <f>'906MP'!X754</f>
        <v>0</v>
      </c>
      <c r="F1054" t="str">
        <f t="shared" si="314"/>
        <v>0</v>
      </c>
      <c r="G1054" t="str">
        <f t="shared" si="315"/>
        <v>0</v>
      </c>
      <c r="H1054">
        <f>'906MP'!Y754</f>
        <v>0</v>
      </c>
      <c r="I1054">
        <f>'906MP'!AK754</f>
        <v>0</v>
      </c>
      <c r="J1054">
        <f>'906MP'!T754</f>
        <v>0</v>
      </c>
      <c r="K1054">
        <f>'906MP'!AJ754</f>
        <v>0</v>
      </c>
      <c r="L1054">
        <f>'906MP'!U754</f>
        <v>0</v>
      </c>
      <c r="M1054" s="322" t="str">
        <f>IFERROR(VLOOKUP(A1054,PAR!$D$3:$E$53,2,FALSE),"nincs szervezet")</f>
        <v>nincs szervezet</v>
      </c>
      <c r="N1054" s="322" t="str">
        <f>VLOOKUP(F1054,PAR!$R$3:$S$5,2,FALSE)</f>
        <v>3 - egyik sem</v>
      </c>
      <c r="O1054" t="str">
        <f>IFERROR(VLOOKUP(J1054,PAR!$O$3:$P$5,2,FALSE),"nincs feladat")</f>
        <v>nincs feladat</v>
      </c>
      <c r="P1054" t="str">
        <f>IFERROR(VLOOKUP(G1054,PAR!$J$2:$M$19,4),"nincs rovat")</f>
        <v>nincs rovat</v>
      </c>
      <c r="Q1054" t="str">
        <f>IF(H1054&gt;0,VLOOKUP(H1054,PAR!$AA$3:$AC$187,3,FALSE),"nincs főkönyvi számla")</f>
        <v>nincs főkönyvi számla</v>
      </c>
      <c r="R1054" t="str">
        <f>IFERROR(VLOOKUP(K1054,PAR!$V$3:$X$438,3,FALSE),"000000 - Nincs COFOG")</f>
        <v>000000 - Nincs COFOG</v>
      </c>
      <c r="S1054">
        <f t="shared" si="316"/>
        <v>0</v>
      </c>
      <c r="T1054">
        <f t="shared" si="317"/>
        <v>0</v>
      </c>
      <c r="U1054" t="str">
        <f>IF('906MP'!J754&gt;0,CONCATENATE('906MP'!J754," - ",'906MP'!P754,", ",'906MP'!E754),"nincs megjegyzés")</f>
        <v>nincs megjegyzés</v>
      </c>
      <c r="V1054" t="str">
        <f t="shared" si="304"/>
        <v>0P0</v>
      </c>
      <c r="W1054" t="str">
        <f t="shared" si="305"/>
        <v>0P0</v>
      </c>
      <c r="X1054" t="str">
        <f t="shared" si="306"/>
        <v>P0</v>
      </c>
      <c r="Y1054" t="str">
        <f t="shared" si="307"/>
        <v>00</v>
      </c>
      <c r="Z1054" t="str">
        <f t="shared" si="318"/>
        <v>00</v>
      </c>
      <c r="AA1054" t="str">
        <f t="shared" si="308"/>
        <v>00</v>
      </c>
      <c r="AB1054" t="str">
        <f t="shared" si="309"/>
        <v>00</v>
      </c>
      <c r="AC1054" t="str">
        <f t="shared" si="310"/>
        <v>0P0</v>
      </c>
      <c r="AD1054" t="str">
        <f t="shared" si="311"/>
        <v>P00</v>
      </c>
      <c r="AE1054" t="str">
        <f t="shared" si="312"/>
        <v>0P0</v>
      </c>
      <c r="AF1054" t="str">
        <f t="shared" si="313"/>
        <v>P00</v>
      </c>
      <c r="AG1054" t="str">
        <f t="shared" si="319"/>
        <v>0P00</v>
      </c>
      <c r="AH1054" t="str">
        <f t="shared" si="320"/>
        <v>P000</v>
      </c>
      <c r="AI1054" t="str">
        <f t="shared" si="321"/>
        <v>0P00</v>
      </c>
      <c r="AJ1054" t="str">
        <f t="shared" si="322"/>
        <v>P000</v>
      </c>
    </row>
    <row r="1055" spans="1:36" x14ac:dyDescent="0.25">
      <c r="A1055" s="325" t="str">
        <f>CONCATENATE("P",'906MP'!M755)</f>
        <v>P</v>
      </c>
      <c r="B1055">
        <f>'906MP'!H755</f>
        <v>0</v>
      </c>
      <c r="C1055">
        <f>'906MP'!J755</f>
        <v>0</v>
      </c>
      <c r="D1055">
        <f>'906MP'!P755</f>
        <v>0</v>
      </c>
      <c r="E1055">
        <f>'906MP'!X755</f>
        <v>0</v>
      </c>
      <c r="F1055" t="str">
        <f t="shared" si="314"/>
        <v>0</v>
      </c>
      <c r="G1055" t="str">
        <f t="shared" si="315"/>
        <v>0</v>
      </c>
      <c r="H1055">
        <f>'906MP'!Y755</f>
        <v>0</v>
      </c>
      <c r="I1055">
        <f>'906MP'!AK755</f>
        <v>0</v>
      </c>
      <c r="J1055">
        <f>'906MP'!T755</f>
        <v>0</v>
      </c>
      <c r="K1055">
        <f>'906MP'!AJ755</f>
        <v>0</v>
      </c>
      <c r="L1055">
        <f>'906MP'!U755</f>
        <v>0</v>
      </c>
      <c r="M1055" s="322" t="str">
        <f>IFERROR(VLOOKUP(A1055,PAR!$D$3:$E$53,2,FALSE),"nincs szervezet")</f>
        <v>nincs szervezet</v>
      </c>
      <c r="N1055" s="322" t="str">
        <f>VLOOKUP(F1055,PAR!$R$3:$S$5,2,FALSE)</f>
        <v>3 - egyik sem</v>
      </c>
      <c r="O1055" t="str">
        <f>IFERROR(VLOOKUP(J1055,PAR!$O$3:$P$5,2,FALSE),"nincs feladat")</f>
        <v>nincs feladat</v>
      </c>
      <c r="P1055" t="str">
        <f>IFERROR(VLOOKUP(G1055,PAR!$J$2:$M$19,4),"nincs rovat")</f>
        <v>nincs rovat</v>
      </c>
      <c r="Q1055" t="str">
        <f>IF(H1055&gt;0,VLOOKUP(H1055,PAR!$AA$3:$AC$187,3,FALSE),"nincs főkönyvi számla")</f>
        <v>nincs főkönyvi számla</v>
      </c>
      <c r="R1055" t="str">
        <f>IFERROR(VLOOKUP(K1055,PAR!$V$3:$X$438,3,FALSE),"000000 - Nincs COFOG")</f>
        <v>000000 - Nincs COFOG</v>
      </c>
      <c r="S1055">
        <f t="shared" si="316"/>
        <v>0</v>
      </c>
      <c r="T1055">
        <f t="shared" si="317"/>
        <v>0</v>
      </c>
      <c r="U1055" t="str">
        <f>IF('906MP'!J755&gt;0,CONCATENATE('906MP'!J755," - ",'906MP'!P755,", ",'906MP'!E755),"nincs megjegyzés")</f>
        <v>nincs megjegyzés</v>
      </c>
      <c r="V1055" t="str">
        <f t="shared" si="304"/>
        <v>0P0</v>
      </c>
      <c r="W1055" t="str">
        <f t="shared" si="305"/>
        <v>0P0</v>
      </c>
      <c r="X1055" t="str">
        <f t="shared" si="306"/>
        <v>P0</v>
      </c>
      <c r="Y1055" t="str">
        <f t="shared" si="307"/>
        <v>00</v>
      </c>
      <c r="Z1055" t="str">
        <f t="shared" si="318"/>
        <v>00</v>
      </c>
      <c r="AA1055" t="str">
        <f t="shared" si="308"/>
        <v>00</v>
      </c>
      <c r="AB1055" t="str">
        <f t="shared" si="309"/>
        <v>00</v>
      </c>
      <c r="AC1055" t="str">
        <f t="shared" si="310"/>
        <v>0P0</v>
      </c>
      <c r="AD1055" t="str">
        <f t="shared" si="311"/>
        <v>P00</v>
      </c>
      <c r="AE1055" t="str">
        <f t="shared" si="312"/>
        <v>0P0</v>
      </c>
      <c r="AF1055" t="str">
        <f t="shared" si="313"/>
        <v>P00</v>
      </c>
      <c r="AG1055" t="str">
        <f t="shared" si="319"/>
        <v>0P00</v>
      </c>
      <c r="AH1055" t="str">
        <f t="shared" si="320"/>
        <v>P000</v>
      </c>
      <c r="AI1055" t="str">
        <f t="shared" si="321"/>
        <v>0P00</v>
      </c>
      <c r="AJ1055" t="str">
        <f t="shared" si="322"/>
        <v>P000</v>
      </c>
    </row>
    <row r="1056" spans="1:36" x14ac:dyDescent="0.25">
      <c r="A1056" s="325" t="str">
        <f>CONCATENATE("P",'906MP'!M756)</f>
        <v>P</v>
      </c>
      <c r="B1056">
        <f>'906MP'!H756</f>
        <v>0</v>
      </c>
      <c r="C1056">
        <f>'906MP'!J756</f>
        <v>0</v>
      </c>
      <c r="D1056">
        <f>'906MP'!P756</f>
        <v>0</v>
      </c>
      <c r="E1056">
        <f>'906MP'!X756</f>
        <v>0</v>
      </c>
      <c r="F1056" t="str">
        <f t="shared" si="314"/>
        <v>0</v>
      </c>
      <c r="G1056" t="str">
        <f t="shared" si="315"/>
        <v>0</v>
      </c>
      <c r="H1056">
        <f>'906MP'!Y756</f>
        <v>0</v>
      </c>
      <c r="I1056">
        <f>'906MP'!AK756</f>
        <v>0</v>
      </c>
      <c r="J1056">
        <f>'906MP'!T756</f>
        <v>0</v>
      </c>
      <c r="K1056">
        <f>'906MP'!AJ756</f>
        <v>0</v>
      </c>
      <c r="L1056">
        <f>'906MP'!U756</f>
        <v>0</v>
      </c>
      <c r="M1056" s="322" t="str">
        <f>IFERROR(VLOOKUP(A1056,PAR!$D$3:$E$53,2,FALSE),"nincs szervezet")</f>
        <v>nincs szervezet</v>
      </c>
      <c r="N1056" s="322" t="str">
        <f>VLOOKUP(F1056,PAR!$R$3:$S$5,2,FALSE)</f>
        <v>3 - egyik sem</v>
      </c>
      <c r="O1056" t="str">
        <f>IFERROR(VLOOKUP(J1056,PAR!$O$3:$P$5,2,FALSE),"nincs feladat")</f>
        <v>nincs feladat</v>
      </c>
      <c r="P1056" t="str">
        <f>IFERROR(VLOOKUP(G1056,PAR!$J$2:$M$19,4),"nincs rovat")</f>
        <v>nincs rovat</v>
      </c>
      <c r="Q1056" t="str">
        <f>IF(H1056&gt;0,VLOOKUP(H1056,PAR!$AA$3:$AC$187,3,FALSE),"nincs főkönyvi számla")</f>
        <v>nincs főkönyvi számla</v>
      </c>
      <c r="R1056" t="str">
        <f>IFERROR(VLOOKUP(K1056,PAR!$V$3:$X$438,3,FALSE),"000000 - Nincs COFOG")</f>
        <v>000000 - Nincs COFOG</v>
      </c>
      <c r="S1056">
        <f t="shared" si="316"/>
        <v>0</v>
      </c>
      <c r="T1056">
        <f t="shared" si="317"/>
        <v>0</v>
      </c>
      <c r="U1056" t="str">
        <f>IF('906MP'!J756&gt;0,CONCATENATE('906MP'!J756," - ",'906MP'!P756,", ",'906MP'!E756),"nincs megjegyzés")</f>
        <v>nincs megjegyzés</v>
      </c>
      <c r="V1056" t="str">
        <f t="shared" si="304"/>
        <v>0P0</v>
      </c>
      <c r="W1056" t="str">
        <f t="shared" si="305"/>
        <v>0P0</v>
      </c>
      <c r="X1056" t="str">
        <f t="shared" si="306"/>
        <v>P0</v>
      </c>
      <c r="Y1056" t="str">
        <f t="shared" si="307"/>
        <v>00</v>
      </c>
      <c r="Z1056" t="str">
        <f t="shared" si="318"/>
        <v>00</v>
      </c>
      <c r="AA1056" t="str">
        <f t="shared" si="308"/>
        <v>00</v>
      </c>
      <c r="AB1056" t="str">
        <f t="shared" si="309"/>
        <v>00</v>
      </c>
      <c r="AC1056" t="str">
        <f t="shared" si="310"/>
        <v>0P0</v>
      </c>
      <c r="AD1056" t="str">
        <f t="shared" si="311"/>
        <v>P00</v>
      </c>
      <c r="AE1056" t="str">
        <f t="shared" si="312"/>
        <v>0P0</v>
      </c>
      <c r="AF1056" t="str">
        <f t="shared" si="313"/>
        <v>P00</v>
      </c>
      <c r="AG1056" t="str">
        <f t="shared" si="319"/>
        <v>0P00</v>
      </c>
      <c r="AH1056" t="str">
        <f t="shared" si="320"/>
        <v>P000</v>
      </c>
      <c r="AI1056" t="str">
        <f t="shared" si="321"/>
        <v>0P00</v>
      </c>
      <c r="AJ1056" t="str">
        <f t="shared" si="322"/>
        <v>P000</v>
      </c>
    </row>
    <row r="1057" spans="1:36" x14ac:dyDescent="0.25">
      <c r="A1057" s="325" t="str">
        <f>CONCATENATE("P",'906MP'!M757)</f>
        <v>P</v>
      </c>
      <c r="B1057">
        <f>'906MP'!H757</f>
        <v>0</v>
      </c>
      <c r="C1057">
        <f>'906MP'!J757</f>
        <v>0</v>
      </c>
      <c r="D1057">
        <f>'906MP'!P757</f>
        <v>0</v>
      </c>
      <c r="E1057">
        <f>'906MP'!X757</f>
        <v>0</v>
      </c>
      <c r="F1057" t="str">
        <f t="shared" si="314"/>
        <v>0</v>
      </c>
      <c r="G1057" t="str">
        <f t="shared" si="315"/>
        <v>0</v>
      </c>
      <c r="H1057">
        <f>'906MP'!Y757</f>
        <v>0</v>
      </c>
      <c r="I1057">
        <f>'906MP'!AK757</f>
        <v>0</v>
      </c>
      <c r="J1057">
        <f>'906MP'!T757</f>
        <v>0</v>
      </c>
      <c r="K1057">
        <f>'906MP'!AJ757</f>
        <v>0</v>
      </c>
      <c r="L1057">
        <f>'906MP'!U757</f>
        <v>0</v>
      </c>
      <c r="M1057" s="322" t="str">
        <f>IFERROR(VLOOKUP(A1057,PAR!$D$3:$E$53,2,FALSE),"nincs szervezet")</f>
        <v>nincs szervezet</v>
      </c>
      <c r="N1057" s="322" t="str">
        <f>VLOOKUP(F1057,PAR!$R$3:$S$5,2,FALSE)</f>
        <v>3 - egyik sem</v>
      </c>
      <c r="O1057" t="str">
        <f>IFERROR(VLOOKUP(J1057,PAR!$O$3:$P$5,2,FALSE),"nincs feladat")</f>
        <v>nincs feladat</v>
      </c>
      <c r="P1057" t="str">
        <f>IFERROR(VLOOKUP(G1057,PAR!$J$2:$M$19,4),"nincs rovat")</f>
        <v>nincs rovat</v>
      </c>
      <c r="Q1057" t="str">
        <f>IF(H1057&gt;0,VLOOKUP(H1057,PAR!$AA$3:$AC$187,3,FALSE),"nincs főkönyvi számla")</f>
        <v>nincs főkönyvi számla</v>
      </c>
      <c r="R1057" t="str">
        <f>IFERROR(VLOOKUP(K1057,PAR!$V$3:$X$438,3,FALSE),"000000 - Nincs COFOG")</f>
        <v>000000 - Nincs COFOG</v>
      </c>
      <c r="S1057">
        <f t="shared" si="316"/>
        <v>0</v>
      </c>
      <c r="T1057">
        <f t="shared" si="317"/>
        <v>0</v>
      </c>
      <c r="U1057" t="str">
        <f>IF('906MP'!J757&gt;0,CONCATENATE('906MP'!J757," - ",'906MP'!P757,", ",'906MP'!E757),"nincs megjegyzés")</f>
        <v>nincs megjegyzés</v>
      </c>
      <c r="V1057" t="str">
        <f t="shared" si="304"/>
        <v>0P0</v>
      </c>
      <c r="W1057" t="str">
        <f t="shared" si="305"/>
        <v>0P0</v>
      </c>
      <c r="X1057" t="str">
        <f t="shared" si="306"/>
        <v>P0</v>
      </c>
      <c r="Y1057" t="str">
        <f t="shared" si="307"/>
        <v>00</v>
      </c>
      <c r="Z1057" t="str">
        <f t="shared" si="318"/>
        <v>00</v>
      </c>
      <c r="AA1057" t="str">
        <f t="shared" si="308"/>
        <v>00</v>
      </c>
      <c r="AB1057" t="str">
        <f t="shared" si="309"/>
        <v>00</v>
      </c>
      <c r="AC1057" t="str">
        <f t="shared" si="310"/>
        <v>0P0</v>
      </c>
      <c r="AD1057" t="str">
        <f t="shared" si="311"/>
        <v>P00</v>
      </c>
      <c r="AE1057" t="str">
        <f t="shared" si="312"/>
        <v>0P0</v>
      </c>
      <c r="AF1057" t="str">
        <f t="shared" si="313"/>
        <v>P00</v>
      </c>
      <c r="AG1057" t="str">
        <f t="shared" si="319"/>
        <v>0P00</v>
      </c>
      <c r="AH1057" t="str">
        <f t="shared" si="320"/>
        <v>P000</v>
      </c>
      <c r="AI1057" t="str">
        <f t="shared" si="321"/>
        <v>0P00</v>
      </c>
      <c r="AJ1057" t="str">
        <f t="shared" si="322"/>
        <v>P000</v>
      </c>
    </row>
    <row r="1058" spans="1:36" x14ac:dyDescent="0.25">
      <c r="A1058" s="325" t="str">
        <f>CONCATENATE("P",'906MP'!M758)</f>
        <v>P</v>
      </c>
      <c r="B1058">
        <f>'906MP'!H758</f>
        <v>0</v>
      </c>
      <c r="C1058">
        <f>'906MP'!J758</f>
        <v>0</v>
      </c>
      <c r="D1058">
        <f>'906MP'!P758</f>
        <v>0</v>
      </c>
      <c r="E1058">
        <f>'906MP'!X758</f>
        <v>0</v>
      </c>
      <c r="F1058" t="str">
        <f t="shared" si="314"/>
        <v>0</v>
      </c>
      <c r="G1058" t="str">
        <f t="shared" si="315"/>
        <v>0</v>
      </c>
      <c r="H1058">
        <f>'906MP'!Y758</f>
        <v>0</v>
      </c>
      <c r="I1058">
        <f>'906MP'!AK758</f>
        <v>0</v>
      </c>
      <c r="J1058">
        <f>'906MP'!T758</f>
        <v>0</v>
      </c>
      <c r="K1058">
        <f>'906MP'!AJ758</f>
        <v>0</v>
      </c>
      <c r="L1058">
        <f>'906MP'!U758</f>
        <v>0</v>
      </c>
      <c r="M1058" s="322" t="str">
        <f>IFERROR(VLOOKUP(A1058,PAR!$D$3:$E$53,2,FALSE),"nincs szervezet")</f>
        <v>nincs szervezet</v>
      </c>
      <c r="N1058" s="322" t="str">
        <f>VLOOKUP(F1058,PAR!$R$3:$S$5,2,FALSE)</f>
        <v>3 - egyik sem</v>
      </c>
      <c r="O1058" t="str">
        <f>IFERROR(VLOOKUP(J1058,PAR!$O$3:$P$5,2,FALSE),"nincs feladat")</f>
        <v>nincs feladat</v>
      </c>
      <c r="P1058" t="str">
        <f>IFERROR(VLOOKUP(G1058,PAR!$J$2:$M$19,4),"nincs rovat")</f>
        <v>nincs rovat</v>
      </c>
      <c r="Q1058" t="str">
        <f>IF(H1058&gt;0,VLOOKUP(H1058,PAR!$AA$3:$AC$187,3,FALSE),"nincs főkönyvi számla")</f>
        <v>nincs főkönyvi számla</v>
      </c>
      <c r="R1058" t="str">
        <f>IFERROR(VLOOKUP(K1058,PAR!$V$3:$X$438,3,FALSE),"000000 - Nincs COFOG")</f>
        <v>000000 - Nincs COFOG</v>
      </c>
      <c r="S1058">
        <f t="shared" si="316"/>
        <v>0</v>
      </c>
      <c r="T1058">
        <f t="shared" si="317"/>
        <v>0</v>
      </c>
      <c r="U1058" t="str">
        <f>IF('906MP'!J758&gt;0,CONCATENATE('906MP'!J758," - ",'906MP'!P758,", ",'906MP'!E758),"nincs megjegyzés")</f>
        <v>nincs megjegyzés</v>
      </c>
      <c r="V1058" t="str">
        <f t="shared" si="304"/>
        <v>0P0</v>
      </c>
      <c r="W1058" t="str">
        <f t="shared" si="305"/>
        <v>0P0</v>
      </c>
      <c r="X1058" t="str">
        <f t="shared" si="306"/>
        <v>P0</v>
      </c>
      <c r="Y1058" t="str">
        <f t="shared" si="307"/>
        <v>00</v>
      </c>
      <c r="Z1058" t="str">
        <f t="shared" si="318"/>
        <v>00</v>
      </c>
      <c r="AA1058" t="str">
        <f t="shared" si="308"/>
        <v>00</v>
      </c>
      <c r="AB1058" t="str">
        <f t="shared" si="309"/>
        <v>00</v>
      </c>
      <c r="AC1058" t="str">
        <f t="shared" si="310"/>
        <v>0P0</v>
      </c>
      <c r="AD1058" t="str">
        <f t="shared" si="311"/>
        <v>P00</v>
      </c>
      <c r="AE1058" t="str">
        <f t="shared" si="312"/>
        <v>0P0</v>
      </c>
      <c r="AF1058" t="str">
        <f t="shared" si="313"/>
        <v>P00</v>
      </c>
      <c r="AG1058" t="str">
        <f t="shared" si="319"/>
        <v>0P00</v>
      </c>
      <c r="AH1058" t="str">
        <f t="shared" si="320"/>
        <v>P000</v>
      </c>
      <c r="AI1058" t="str">
        <f t="shared" si="321"/>
        <v>0P00</v>
      </c>
      <c r="AJ1058" t="str">
        <f t="shared" si="322"/>
        <v>P000</v>
      </c>
    </row>
    <row r="1059" spans="1:36" x14ac:dyDescent="0.25">
      <c r="A1059" s="325" t="str">
        <f>CONCATENATE("P",'906MP'!M759)</f>
        <v>P</v>
      </c>
      <c r="B1059">
        <f>'906MP'!H759</f>
        <v>0</v>
      </c>
      <c r="C1059">
        <f>'906MP'!J759</f>
        <v>0</v>
      </c>
      <c r="D1059">
        <f>'906MP'!P759</f>
        <v>0</v>
      </c>
      <c r="E1059">
        <f>'906MP'!X759</f>
        <v>0</v>
      </c>
      <c r="F1059" t="str">
        <f t="shared" si="314"/>
        <v>0</v>
      </c>
      <c r="G1059" t="str">
        <f t="shared" si="315"/>
        <v>0</v>
      </c>
      <c r="H1059">
        <f>'906MP'!Y759</f>
        <v>0</v>
      </c>
      <c r="I1059">
        <f>'906MP'!AK759</f>
        <v>0</v>
      </c>
      <c r="J1059">
        <f>'906MP'!T759</f>
        <v>0</v>
      </c>
      <c r="K1059">
        <f>'906MP'!AJ759</f>
        <v>0</v>
      </c>
      <c r="L1059">
        <f>'906MP'!U759</f>
        <v>0</v>
      </c>
      <c r="M1059" s="322" t="str">
        <f>IFERROR(VLOOKUP(A1059,PAR!$D$3:$E$53,2,FALSE),"nincs szervezet")</f>
        <v>nincs szervezet</v>
      </c>
      <c r="N1059" s="322" t="str">
        <f>VLOOKUP(F1059,PAR!$R$3:$S$5,2,FALSE)</f>
        <v>3 - egyik sem</v>
      </c>
      <c r="O1059" t="str">
        <f>IFERROR(VLOOKUP(J1059,PAR!$O$3:$P$5,2,FALSE),"nincs feladat")</f>
        <v>nincs feladat</v>
      </c>
      <c r="P1059" t="str">
        <f>IFERROR(VLOOKUP(G1059,PAR!$J$2:$M$19,4),"nincs rovat")</f>
        <v>nincs rovat</v>
      </c>
      <c r="Q1059" t="str">
        <f>IF(H1059&gt;0,VLOOKUP(H1059,PAR!$AA$3:$AC$187,3,FALSE),"nincs főkönyvi számla")</f>
        <v>nincs főkönyvi számla</v>
      </c>
      <c r="R1059" t="str">
        <f>IFERROR(VLOOKUP(K1059,PAR!$V$3:$X$438,3,FALSE),"000000 - Nincs COFOG")</f>
        <v>000000 - Nincs COFOG</v>
      </c>
      <c r="S1059">
        <f t="shared" si="316"/>
        <v>0</v>
      </c>
      <c r="T1059">
        <f t="shared" si="317"/>
        <v>0</v>
      </c>
      <c r="U1059" t="str">
        <f>IF('906MP'!J759&gt;0,CONCATENATE('906MP'!J759," - ",'906MP'!P759,", ",'906MP'!E759),"nincs megjegyzés")</f>
        <v>nincs megjegyzés</v>
      </c>
      <c r="V1059" t="str">
        <f t="shared" si="304"/>
        <v>0P0</v>
      </c>
      <c r="W1059" t="str">
        <f t="shared" si="305"/>
        <v>0P0</v>
      </c>
      <c r="X1059" t="str">
        <f t="shared" si="306"/>
        <v>P0</v>
      </c>
      <c r="Y1059" t="str">
        <f t="shared" si="307"/>
        <v>00</v>
      </c>
      <c r="Z1059" t="str">
        <f t="shared" si="318"/>
        <v>00</v>
      </c>
      <c r="AA1059" t="str">
        <f t="shared" si="308"/>
        <v>00</v>
      </c>
      <c r="AB1059" t="str">
        <f t="shared" si="309"/>
        <v>00</v>
      </c>
      <c r="AC1059" t="str">
        <f t="shared" si="310"/>
        <v>0P0</v>
      </c>
      <c r="AD1059" t="str">
        <f t="shared" si="311"/>
        <v>P00</v>
      </c>
      <c r="AE1059" t="str">
        <f t="shared" si="312"/>
        <v>0P0</v>
      </c>
      <c r="AF1059" t="str">
        <f t="shared" si="313"/>
        <v>P00</v>
      </c>
      <c r="AG1059" t="str">
        <f t="shared" si="319"/>
        <v>0P00</v>
      </c>
      <c r="AH1059" t="str">
        <f t="shared" si="320"/>
        <v>P000</v>
      </c>
      <c r="AI1059" t="str">
        <f t="shared" si="321"/>
        <v>0P00</v>
      </c>
      <c r="AJ1059" t="str">
        <f t="shared" si="322"/>
        <v>P000</v>
      </c>
    </row>
    <row r="1060" spans="1:36" x14ac:dyDescent="0.25">
      <c r="A1060" s="325" t="str">
        <f>CONCATENATE("P",'906MP'!M760)</f>
        <v>P</v>
      </c>
      <c r="B1060">
        <f>'906MP'!H760</f>
        <v>0</v>
      </c>
      <c r="C1060">
        <f>'906MP'!J760</f>
        <v>0</v>
      </c>
      <c r="D1060">
        <f>'906MP'!P760</f>
        <v>0</v>
      </c>
      <c r="E1060">
        <f>'906MP'!X760</f>
        <v>0</v>
      </c>
      <c r="F1060" t="str">
        <f t="shared" si="314"/>
        <v>0</v>
      </c>
      <c r="G1060" t="str">
        <f t="shared" si="315"/>
        <v>0</v>
      </c>
      <c r="H1060">
        <f>'906MP'!Y760</f>
        <v>0</v>
      </c>
      <c r="I1060">
        <f>'906MP'!AK760</f>
        <v>0</v>
      </c>
      <c r="J1060">
        <f>'906MP'!T760</f>
        <v>0</v>
      </c>
      <c r="K1060">
        <f>'906MP'!AJ760</f>
        <v>0</v>
      </c>
      <c r="L1060">
        <f>'906MP'!U760</f>
        <v>0</v>
      </c>
      <c r="M1060" s="322" t="str">
        <f>IFERROR(VLOOKUP(A1060,PAR!$D$3:$E$53,2,FALSE),"nincs szervezet")</f>
        <v>nincs szervezet</v>
      </c>
      <c r="N1060" s="322" t="str">
        <f>VLOOKUP(F1060,PAR!$R$3:$S$5,2,FALSE)</f>
        <v>3 - egyik sem</v>
      </c>
      <c r="O1060" t="str">
        <f>IFERROR(VLOOKUP(J1060,PAR!$O$3:$P$5,2,FALSE),"nincs feladat")</f>
        <v>nincs feladat</v>
      </c>
      <c r="P1060" t="str">
        <f>IFERROR(VLOOKUP(G1060,PAR!$J$2:$M$19,4),"nincs rovat")</f>
        <v>nincs rovat</v>
      </c>
      <c r="Q1060" t="str">
        <f>IF(H1060&gt;0,VLOOKUP(H1060,PAR!$AA$3:$AC$187,3,FALSE),"nincs főkönyvi számla")</f>
        <v>nincs főkönyvi számla</v>
      </c>
      <c r="R1060" t="str">
        <f>IFERROR(VLOOKUP(K1060,PAR!$V$3:$X$438,3,FALSE),"000000 - Nincs COFOG")</f>
        <v>000000 - Nincs COFOG</v>
      </c>
      <c r="S1060">
        <f t="shared" si="316"/>
        <v>0</v>
      </c>
      <c r="T1060">
        <f t="shared" si="317"/>
        <v>0</v>
      </c>
      <c r="U1060" t="str">
        <f>IF('906MP'!J760&gt;0,CONCATENATE('906MP'!J760," - ",'906MP'!P760,", ",'906MP'!E760),"nincs megjegyzés")</f>
        <v>nincs megjegyzés</v>
      </c>
      <c r="V1060" t="str">
        <f t="shared" si="304"/>
        <v>0P0</v>
      </c>
      <c r="W1060" t="str">
        <f t="shared" si="305"/>
        <v>0P0</v>
      </c>
      <c r="X1060" t="str">
        <f t="shared" si="306"/>
        <v>P0</v>
      </c>
      <c r="Y1060" t="str">
        <f t="shared" si="307"/>
        <v>00</v>
      </c>
      <c r="Z1060" t="str">
        <f t="shared" si="318"/>
        <v>00</v>
      </c>
      <c r="AA1060" t="str">
        <f t="shared" si="308"/>
        <v>00</v>
      </c>
      <c r="AB1060" t="str">
        <f t="shared" si="309"/>
        <v>00</v>
      </c>
      <c r="AC1060" t="str">
        <f t="shared" si="310"/>
        <v>0P0</v>
      </c>
      <c r="AD1060" t="str">
        <f t="shared" si="311"/>
        <v>P00</v>
      </c>
      <c r="AE1060" t="str">
        <f t="shared" si="312"/>
        <v>0P0</v>
      </c>
      <c r="AF1060" t="str">
        <f t="shared" si="313"/>
        <v>P00</v>
      </c>
      <c r="AG1060" t="str">
        <f t="shared" si="319"/>
        <v>0P00</v>
      </c>
      <c r="AH1060" t="str">
        <f t="shared" si="320"/>
        <v>P000</v>
      </c>
      <c r="AI1060" t="str">
        <f t="shared" si="321"/>
        <v>0P00</v>
      </c>
      <c r="AJ1060" t="str">
        <f t="shared" si="322"/>
        <v>P000</v>
      </c>
    </row>
    <row r="1061" spans="1:36" x14ac:dyDescent="0.25">
      <c r="A1061" s="325" t="str">
        <f>CONCATENATE("P",'906MP'!M761)</f>
        <v>P</v>
      </c>
      <c r="B1061">
        <f>'906MP'!H761</f>
        <v>0</v>
      </c>
      <c r="C1061">
        <f>'906MP'!J761</f>
        <v>0</v>
      </c>
      <c r="D1061">
        <f>'906MP'!P761</f>
        <v>0</v>
      </c>
      <c r="E1061">
        <f>'906MP'!X761</f>
        <v>0</v>
      </c>
      <c r="F1061" t="str">
        <f t="shared" si="314"/>
        <v>0</v>
      </c>
      <c r="G1061" t="str">
        <f t="shared" si="315"/>
        <v>0</v>
      </c>
      <c r="H1061">
        <f>'906MP'!Y761</f>
        <v>0</v>
      </c>
      <c r="I1061">
        <f>'906MP'!AK761</f>
        <v>0</v>
      </c>
      <c r="J1061">
        <f>'906MP'!T761</f>
        <v>0</v>
      </c>
      <c r="K1061">
        <f>'906MP'!AJ761</f>
        <v>0</v>
      </c>
      <c r="L1061">
        <f>'906MP'!U761</f>
        <v>0</v>
      </c>
      <c r="M1061" s="322" t="str">
        <f>IFERROR(VLOOKUP(A1061,PAR!$D$3:$E$53,2,FALSE),"nincs szervezet")</f>
        <v>nincs szervezet</v>
      </c>
      <c r="N1061" s="322" t="str">
        <f>VLOOKUP(F1061,PAR!$R$3:$S$5,2,FALSE)</f>
        <v>3 - egyik sem</v>
      </c>
      <c r="O1061" t="str">
        <f>IFERROR(VLOOKUP(J1061,PAR!$O$3:$P$5,2,FALSE),"nincs feladat")</f>
        <v>nincs feladat</v>
      </c>
      <c r="P1061" t="str">
        <f>IFERROR(VLOOKUP(G1061,PAR!$J$2:$M$19,4),"nincs rovat")</f>
        <v>nincs rovat</v>
      </c>
      <c r="Q1061" t="str">
        <f>IF(H1061&gt;0,VLOOKUP(H1061,PAR!$AA$3:$AC$187,3,FALSE),"nincs főkönyvi számla")</f>
        <v>nincs főkönyvi számla</v>
      </c>
      <c r="R1061" t="str">
        <f>IFERROR(VLOOKUP(K1061,PAR!$V$3:$X$438,3,FALSE),"000000 - Nincs COFOG")</f>
        <v>000000 - Nincs COFOG</v>
      </c>
      <c r="S1061">
        <f t="shared" si="316"/>
        <v>0</v>
      </c>
      <c r="T1061">
        <f t="shared" si="317"/>
        <v>0</v>
      </c>
      <c r="U1061" t="str">
        <f>IF('906MP'!J761&gt;0,CONCATENATE('906MP'!J761," - ",'906MP'!P761,", ",'906MP'!E761),"nincs megjegyzés")</f>
        <v>nincs megjegyzés</v>
      </c>
      <c r="V1061" t="str">
        <f t="shared" si="304"/>
        <v>0P0</v>
      </c>
      <c r="W1061" t="str">
        <f t="shared" si="305"/>
        <v>0P0</v>
      </c>
      <c r="X1061" t="str">
        <f t="shared" si="306"/>
        <v>P0</v>
      </c>
      <c r="Y1061" t="str">
        <f t="shared" si="307"/>
        <v>00</v>
      </c>
      <c r="Z1061" t="str">
        <f t="shared" si="318"/>
        <v>00</v>
      </c>
      <c r="AA1061" t="str">
        <f t="shared" si="308"/>
        <v>00</v>
      </c>
      <c r="AB1061" t="str">
        <f t="shared" si="309"/>
        <v>00</v>
      </c>
      <c r="AC1061" t="str">
        <f t="shared" si="310"/>
        <v>0P0</v>
      </c>
      <c r="AD1061" t="str">
        <f t="shared" si="311"/>
        <v>P00</v>
      </c>
      <c r="AE1061" t="str">
        <f t="shared" si="312"/>
        <v>0P0</v>
      </c>
      <c r="AF1061" t="str">
        <f t="shared" si="313"/>
        <v>P00</v>
      </c>
      <c r="AG1061" t="str">
        <f t="shared" si="319"/>
        <v>0P00</v>
      </c>
      <c r="AH1061" t="str">
        <f t="shared" si="320"/>
        <v>P000</v>
      </c>
      <c r="AI1061" t="str">
        <f t="shared" si="321"/>
        <v>0P00</v>
      </c>
      <c r="AJ1061" t="str">
        <f t="shared" si="322"/>
        <v>P000</v>
      </c>
    </row>
    <row r="1062" spans="1:36" x14ac:dyDescent="0.25">
      <c r="A1062" s="325" t="str">
        <f>CONCATENATE("P",'906MP'!M762)</f>
        <v>P</v>
      </c>
      <c r="B1062">
        <f>'906MP'!H762</f>
        <v>0</v>
      </c>
      <c r="C1062">
        <f>'906MP'!J762</f>
        <v>0</v>
      </c>
      <c r="D1062">
        <f>'906MP'!P762</f>
        <v>0</v>
      </c>
      <c r="E1062">
        <f>'906MP'!X762</f>
        <v>0</v>
      </c>
      <c r="F1062" t="str">
        <f t="shared" si="314"/>
        <v>0</v>
      </c>
      <c r="G1062" t="str">
        <f t="shared" si="315"/>
        <v>0</v>
      </c>
      <c r="H1062">
        <f>'906MP'!Y762</f>
        <v>0</v>
      </c>
      <c r="I1062">
        <f>'906MP'!AK762</f>
        <v>0</v>
      </c>
      <c r="J1062">
        <f>'906MP'!T762</f>
        <v>0</v>
      </c>
      <c r="K1062">
        <f>'906MP'!AJ762</f>
        <v>0</v>
      </c>
      <c r="L1062">
        <f>'906MP'!U762</f>
        <v>0</v>
      </c>
      <c r="M1062" s="322" t="str">
        <f>IFERROR(VLOOKUP(A1062,PAR!$D$3:$E$53,2,FALSE),"nincs szervezet")</f>
        <v>nincs szervezet</v>
      </c>
      <c r="N1062" s="322" t="str">
        <f>VLOOKUP(F1062,PAR!$R$3:$S$5,2,FALSE)</f>
        <v>3 - egyik sem</v>
      </c>
      <c r="O1062" t="str">
        <f>IFERROR(VLOOKUP(J1062,PAR!$O$3:$P$5,2,FALSE),"nincs feladat")</f>
        <v>nincs feladat</v>
      </c>
      <c r="P1062" t="str">
        <f>IFERROR(VLOOKUP(G1062,PAR!$J$2:$M$19,4),"nincs rovat")</f>
        <v>nincs rovat</v>
      </c>
      <c r="Q1062" t="str">
        <f>IF(H1062&gt;0,VLOOKUP(H1062,PAR!$AA$3:$AC$187,3,FALSE),"nincs főkönyvi számla")</f>
        <v>nincs főkönyvi számla</v>
      </c>
      <c r="R1062" t="str">
        <f>IFERROR(VLOOKUP(K1062,PAR!$V$3:$X$438,3,FALSE),"000000 - Nincs COFOG")</f>
        <v>000000 - Nincs COFOG</v>
      </c>
      <c r="S1062">
        <f t="shared" si="316"/>
        <v>0</v>
      </c>
      <c r="T1062">
        <f t="shared" si="317"/>
        <v>0</v>
      </c>
      <c r="U1062" t="str">
        <f>IF('906MP'!J762&gt;0,CONCATENATE('906MP'!J762," - ",'906MP'!P762,", ",'906MP'!E762),"nincs megjegyzés")</f>
        <v>nincs megjegyzés</v>
      </c>
      <c r="V1062" t="str">
        <f t="shared" si="304"/>
        <v>0P0</v>
      </c>
      <c r="W1062" t="str">
        <f t="shared" si="305"/>
        <v>0P0</v>
      </c>
      <c r="X1062" t="str">
        <f t="shared" si="306"/>
        <v>P0</v>
      </c>
      <c r="Y1062" t="str">
        <f t="shared" si="307"/>
        <v>00</v>
      </c>
      <c r="Z1062" t="str">
        <f t="shared" si="318"/>
        <v>00</v>
      </c>
      <c r="AA1062" t="str">
        <f t="shared" si="308"/>
        <v>00</v>
      </c>
      <c r="AB1062" t="str">
        <f t="shared" si="309"/>
        <v>00</v>
      </c>
      <c r="AC1062" t="str">
        <f t="shared" si="310"/>
        <v>0P0</v>
      </c>
      <c r="AD1062" t="str">
        <f t="shared" si="311"/>
        <v>P00</v>
      </c>
      <c r="AE1062" t="str">
        <f t="shared" si="312"/>
        <v>0P0</v>
      </c>
      <c r="AF1062" t="str">
        <f t="shared" si="313"/>
        <v>P00</v>
      </c>
      <c r="AG1062" t="str">
        <f t="shared" si="319"/>
        <v>0P00</v>
      </c>
      <c r="AH1062" t="str">
        <f t="shared" si="320"/>
        <v>P000</v>
      </c>
      <c r="AI1062" t="str">
        <f t="shared" si="321"/>
        <v>0P00</v>
      </c>
      <c r="AJ1062" t="str">
        <f t="shared" si="322"/>
        <v>P000</v>
      </c>
    </row>
    <row r="1063" spans="1:36" x14ac:dyDescent="0.25">
      <c r="A1063" s="325" t="str">
        <f>CONCATENATE("P",'906MP'!M763)</f>
        <v>P</v>
      </c>
      <c r="B1063">
        <f>'906MP'!H763</f>
        <v>0</v>
      </c>
      <c r="C1063">
        <f>'906MP'!J763</f>
        <v>0</v>
      </c>
      <c r="D1063">
        <f>'906MP'!P763</f>
        <v>0</v>
      </c>
      <c r="E1063">
        <f>'906MP'!X763</f>
        <v>0</v>
      </c>
      <c r="F1063" t="str">
        <f t="shared" si="314"/>
        <v>0</v>
      </c>
      <c r="G1063" t="str">
        <f t="shared" si="315"/>
        <v>0</v>
      </c>
      <c r="H1063">
        <f>'906MP'!Y763</f>
        <v>0</v>
      </c>
      <c r="I1063">
        <f>'906MP'!AK763</f>
        <v>0</v>
      </c>
      <c r="J1063">
        <f>'906MP'!T763</f>
        <v>0</v>
      </c>
      <c r="K1063">
        <f>'906MP'!AJ763</f>
        <v>0</v>
      </c>
      <c r="L1063">
        <f>'906MP'!U763</f>
        <v>0</v>
      </c>
      <c r="M1063" s="322" t="str">
        <f>IFERROR(VLOOKUP(A1063,PAR!$D$3:$E$53,2,FALSE),"nincs szervezet")</f>
        <v>nincs szervezet</v>
      </c>
      <c r="N1063" s="322" t="str">
        <f>VLOOKUP(F1063,PAR!$R$3:$S$5,2,FALSE)</f>
        <v>3 - egyik sem</v>
      </c>
      <c r="O1063" t="str">
        <f>IFERROR(VLOOKUP(J1063,PAR!$O$3:$P$5,2,FALSE),"nincs feladat")</f>
        <v>nincs feladat</v>
      </c>
      <c r="P1063" t="str">
        <f>IFERROR(VLOOKUP(G1063,PAR!$J$2:$M$19,4),"nincs rovat")</f>
        <v>nincs rovat</v>
      </c>
      <c r="Q1063" t="str">
        <f>IF(H1063&gt;0,VLOOKUP(H1063,PAR!$AA$3:$AC$187,3,FALSE),"nincs főkönyvi számla")</f>
        <v>nincs főkönyvi számla</v>
      </c>
      <c r="R1063" t="str">
        <f>IFERROR(VLOOKUP(K1063,PAR!$V$3:$X$438,3,FALSE),"000000 - Nincs COFOG")</f>
        <v>000000 - Nincs COFOG</v>
      </c>
      <c r="S1063">
        <f t="shared" si="316"/>
        <v>0</v>
      </c>
      <c r="T1063">
        <f t="shared" si="317"/>
        <v>0</v>
      </c>
      <c r="U1063" t="str">
        <f>IF('906MP'!J763&gt;0,CONCATENATE('906MP'!J763," - ",'906MP'!P763,", ",'906MP'!E763),"nincs megjegyzés")</f>
        <v>nincs megjegyzés</v>
      </c>
      <c r="V1063" t="str">
        <f t="shared" si="304"/>
        <v>0P0</v>
      </c>
      <c r="W1063" t="str">
        <f t="shared" si="305"/>
        <v>0P0</v>
      </c>
      <c r="X1063" t="str">
        <f t="shared" si="306"/>
        <v>P0</v>
      </c>
      <c r="Y1063" t="str">
        <f t="shared" si="307"/>
        <v>00</v>
      </c>
      <c r="Z1063" t="str">
        <f t="shared" si="318"/>
        <v>00</v>
      </c>
      <c r="AA1063" t="str">
        <f t="shared" si="308"/>
        <v>00</v>
      </c>
      <c r="AB1063" t="str">
        <f t="shared" si="309"/>
        <v>00</v>
      </c>
      <c r="AC1063" t="str">
        <f t="shared" si="310"/>
        <v>0P0</v>
      </c>
      <c r="AD1063" t="str">
        <f t="shared" si="311"/>
        <v>P00</v>
      </c>
      <c r="AE1063" t="str">
        <f t="shared" si="312"/>
        <v>0P0</v>
      </c>
      <c r="AF1063" t="str">
        <f t="shared" si="313"/>
        <v>P00</v>
      </c>
      <c r="AG1063" t="str">
        <f t="shared" si="319"/>
        <v>0P00</v>
      </c>
      <c r="AH1063" t="str">
        <f t="shared" si="320"/>
        <v>P000</v>
      </c>
      <c r="AI1063" t="str">
        <f t="shared" si="321"/>
        <v>0P00</v>
      </c>
      <c r="AJ1063" t="str">
        <f t="shared" si="322"/>
        <v>P000</v>
      </c>
    </row>
    <row r="1064" spans="1:36" x14ac:dyDescent="0.25">
      <c r="A1064" s="325" t="str">
        <f>CONCATENATE("P",'906MP'!M764)</f>
        <v>P</v>
      </c>
      <c r="B1064">
        <f>'906MP'!H764</f>
        <v>0</v>
      </c>
      <c r="C1064">
        <f>'906MP'!J764</f>
        <v>0</v>
      </c>
      <c r="D1064">
        <f>'906MP'!P764</f>
        <v>0</v>
      </c>
      <c r="E1064">
        <f>'906MP'!X764</f>
        <v>0</v>
      </c>
      <c r="F1064" t="str">
        <f t="shared" si="314"/>
        <v>0</v>
      </c>
      <c r="G1064" t="str">
        <f t="shared" si="315"/>
        <v>0</v>
      </c>
      <c r="H1064">
        <f>'906MP'!Y764</f>
        <v>0</v>
      </c>
      <c r="I1064">
        <f>'906MP'!AK764</f>
        <v>0</v>
      </c>
      <c r="J1064">
        <f>'906MP'!T764</f>
        <v>0</v>
      </c>
      <c r="K1064">
        <f>'906MP'!AJ764</f>
        <v>0</v>
      </c>
      <c r="L1064">
        <f>'906MP'!U764</f>
        <v>0</v>
      </c>
      <c r="M1064" s="322" t="str">
        <f>IFERROR(VLOOKUP(A1064,PAR!$D$3:$E$53,2,FALSE),"nincs szervezet")</f>
        <v>nincs szervezet</v>
      </c>
      <c r="N1064" s="322" t="str">
        <f>VLOOKUP(F1064,PAR!$R$3:$S$5,2,FALSE)</f>
        <v>3 - egyik sem</v>
      </c>
      <c r="O1064" t="str">
        <f>IFERROR(VLOOKUP(J1064,PAR!$O$3:$P$5,2,FALSE),"nincs feladat")</f>
        <v>nincs feladat</v>
      </c>
      <c r="P1064" t="str">
        <f>IFERROR(VLOOKUP(G1064,PAR!$J$2:$M$19,4),"nincs rovat")</f>
        <v>nincs rovat</v>
      </c>
      <c r="Q1064" t="str">
        <f>IF(H1064&gt;0,VLOOKUP(H1064,PAR!$AA$3:$AC$187,3,FALSE),"nincs főkönyvi számla")</f>
        <v>nincs főkönyvi számla</v>
      </c>
      <c r="R1064" t="str">
        <f>IFERROR(VLOOKUP(K1064,PAR!$V$3:$X$438,3,FALSE),"000000 - Nincs COFOG")</f>
        <v>000000 - Nincs COFOG</v>
      </c>
      <c r="S1064">
        <f t="shared" si="316"/>
        <v>0</v>
      </c>
      <c r="T1064">
        <f t="shared" si="317"/>
        <v>0</v>
      </c>
      <c r="U1064" t="str">
        <f>IF('906MP'!J764&gt;0,CONCATENATE('906MP'!J764," - ",'906MP'!P764,", ",'906MP'!E764),"nincs megjegyzés")</f>
        <v>nincs megjegyzés</v>
      </c>
      <c r="V1064" t="str">
        <f t="shared" si="304"/>
        <v>0P0</v>
      </c>
      <c r="W1064" t="str">
        <f t="shared" si="305"/>
        <v>0P0</v>
      </c>
      <c r="X1064" t="str">
        <f t="shared" si="306"/>
        <v>P0</v>
      </c>
      <c r="Y1064" t="str">
        <f t="shared" si="307"/>
        <v>00</v>
      </c>
      <c r="Z1064" t="str">
        <f t="shared" si="318"/>
        <v>00</v>
      </c>
      <c r="AA1064" t="str">
        <f t="shared" si="308"/>
        <v>00</v>
      </c>
      <c r="AB1064" t="str">
        <f t="shared" si="309"/>
        <v>00</v>
      </c>
      <c r="AC1064" t="str">
        <f t="shared" si="310"/>
        <v>0P0</v>
      </c>
      <c r="AD1064" t="str">
        <f t="shared" si="311"/>
        <v>P00</v>
      </c>
      <c r="AE1064" t="str">
        <f t="shared" si="312"/>
        <v>0P0</v>
      </c>
      <c r="AF1064" t="str">
        <f t="shared" si="313"/>
        <v>P00</v>
      </c>
      <c r="AG1064" t="str">
        <f t="shared" si="319"/>
        <v>0P00</v>
      </c>
      <c r="AH1064" t="str">
        <f t="shared" si="320"/>
        <v>P000</v>
      </c>
      <c r="AI1064" t="str">
        <f t="shared" si="321"/>
        <v>0P00</v>
      </c>
      <c r="AJ1064" t="str">
        <f t="shared" si="322"/>
        <v>P000</v>
      </c>
    </row>
    <row r="1065" spans="1:36" x14ac:dyDescent="0.25">
      <c r="A1065" s="325" t="str">
        <f>CONCATENATE("P",'906MP'!M765)</f>
        <v>P</v>
      </c>
      <c r="B1065">
        <f>'906MP'!H765</f>
        <v>0</v>
      </c>
      <c r="C1065">
        <f>'906MP'!J765</f>
        <v>0</v>
      </c>
      <c r="D1065">
        <f>'906MP'!P765</f>
        <v>0</v>
      </c>
      <c r="E1065">
        <f>'906MP'!X765</f>
        <v>0</v>
      </c>
      <c r="F1065" t="str">
        <f t="shared" si="314"/>
        <v>0</v>
      </c>
      <c r="G1065" t="str">
        <f t="shared" si="315"/>
        <v>0</v>
      </c>
      <c r="H1065">
        <f>'906MP'!Y765</f>
        <v>0</v>
      </c>
      <c r="I1065">
        <f>'906MP'!AK765</f>
        <v>0</v>
      </c>
      <c r="J1065">
        <f>'906MP'!T765</f>
        <v>0</v>
      </c>
      <c r="K1065">
        <f>'906MP'!AJ765</f>
        <v>0</v>
      </c>
      <c r="L1065">
        <f>'906MP'!U765</f>
        <v>0</v>
      </c>
      <c r="M1065" s="322" t="str">
        <f>IFERROR(VLOOKUP(A1065,PAR!$D$3:$E$53,2,FALSE),"nincs szervezet")</f>
        <v>nincs szervezet</v>
      </c>
      <c r="N1065" s="322" t="str">
        <f>VLOOKUP(F1065,PAR!$R$3:$S$5,2,FALSE)</f>
        <v>3 - egyik sem</v>
      </c>
      <c r="O1065" t="str">
        <f>IFERROR(VLOOKUP(J1065,PAR!$O$3:$P$5,2,FALSE),"nincs feladat")</f>
        <v>nincs feladat</v>
      </c>
      <c r="P1065" t="str">
        <f>IFERROR(VLOOKUP(G1065,PAR!$J$2:$M$19,4),"nincs rovat")</f>
        <v>nincs rovat</v>
      </c>
      <c r="Q1065" t="str">
        <f>IF(H1065&gt;0,VLOOKUP(H1065,PAR!$AA$3:$AC$187,3,FALSE),"nincs főkönyvi számla")</f>
        <v>nincs főkönyvi számla</v>
      </c>
      <c r="R1065" t="str">
        <f>IFERROR(VLOOKUP(K1065,PAR!$V$3:$X$438,3,FALSE),"000000 - Nincs COFOG")</f>
        <v>000000 - Nincs COFOG</v>
      </c>
      <c r="S1065">
        <f t="shared" si="316"/>
        <v>0</v>
      </c>
      <c r="T1065">
        <f t="shared" si="317"/>
        <v>0</v>
      </c>
      <c r="U1065" t="str">
        <f>IF('906MP'!J765&gt;0,CONCATENATE('906MP'!J765," - ",'906MP'!P765,", ",'906MP'!E765),"nincs megjegyzés")</f>
        <v>nincs megjegyzés</v>
      </c>
      <c r="V1065" t="str">
        <f t="shared" si="304"/>
        <v>0P0</v>
      </c>
      <c r="W1065" t="str">
        <f t="shared" si="305"/>
        <v>0P0</v>
      </c>
      <c r="X1065" t="str">
        <f t="shared" si="306"/>
        <v>P0</v>
      </c>
      <c r="Y1065" t="str">
        <f t="shared" si="307"/>
        <v>00</v>
      </c>
      <c r="Z1065" t="str">
        <f t="shared" si="318"/>
        <v>00</v>
      </c>
      <c r="AA1065" t="str">
        <f t="shared" si="308"/>
        <v>00</v>
      </c>
      <c r="AB1065" t="str">
        <f t="shared" si="309"/>
        <v>00</v>
      </c>
      <c r="AC1065" t="str">
        <f t="shared" si="310"/>
        <v>0P0</v>
      </c>
      <c r="AD1065" t="str">
        <f t="shared" si="311"/>
        <v>P00</v>
      </c>
      <c r="AE1065" t="str">
        <f t="shared" si="312"/>
        <v>0P0</v>
      </c>
      <c r="AF1065" t="str">
        <f t="shared" si="313"/>
        <v>P00</v>
      </c>
      <c r="AG1065" t="str">
        <f t="shared" si="319"/>
        <v>0P00</v>
      </c>
      <c r="AH1065" t="str">
        <f t="shared" si="320"/>
        <v>P000</v>
      </c>
      <c r="AI1065" t="str">
        <f t="shared" si="321"/>
        <v>0P00</v>
      </c>
      <c r="AJ1065" t="str">
        <f t="shared" si="322"/>
        <v>P000</v>
      </c>
    </row>
    <row r="1066" spans="1:36" x14ac:dyDescent="0.25">
      <c r="A1066" s="325" t="str">
        <f>CONCATENATE("P",'906MP'!M766)</f>
        <v>P</v>
      </c>
      <c r="B1066">
        <f>'906MP'!H766</f>
        <v>0</v>
      </c>
      <c r="C1066">
        <f>'906MP'!J766</f>
        <v>0</v>
      </c>
      <c r="D1066">
        <f>'906MP'!P766</f>
        <v>0</v>
      </c>
      <c r="E1066">
        <f>'906MP'!X766</f>
        <v>0</v>
      </c>
      <c r="F1066" t="str">
        <f t="shared" si="314"/>
        <v>0</v>
      </c>
      <c r="G1066" t="str">
        <f t="shared" si="315"/>
        <v>0</v>
      </c>
      <c r="H1066">
        <f>'906MP'!Y766</f>
        <v>0</v>
      </c>
      <c r="I1066">
        <f>'906MP'!AK766</f>
        <v>0</v>
      </c>
      <c r="J1066">
        <f>'906MP'!T766</f>
        <v>0</v>
      </c>
      <c r="K1066">
        <f>'906MP'!AJ766</f>
        <v>0</v>
      </c>
      <c r="L1066">
        <f>'906MP'!U766</f>
        <v>0</v>
      </c>
      <c r="M1066" s="322" t="str">
        <f>IFERROR(VLOOKUP(A1066,PAR!$D$3:$E$53,2,FALSE),"nincs szervezet")</f>
        <v>nincs szervezet</v>
      </c>
      <c r="N1066" s="322" t="str">
        <f>VLOOKUP(F1066,PAR!$R$3:$S$5,2,FALSE)</f>
        <v>3 - egyik sem</v>
      </c>
      <c r="O1066" t="str">
        <f>IFERROR(VLOOKUP(J1066,PAR!$O$3:$P$5,2,FALSE),"nincs feladat")</f>
        <v>nincs feladat</v>
      </c>
      <c r="P1066" t="str">
        <f>IFERROR(VLOOKUP(G1066,PAR!$J$2:$M$19,4),"nincs rovat")</f>
        <v>nincs rovat</v>
      </c>
      <c r="Q1066" t="str">
        <f>IF(H1066&gt;0,VLOOKUP(H1066,PAR!$AA$3:$AC$187,3,FALSE),"nincs főkönyvi számla")</f>
        <v>nincs főkönyvi számla</v>
      </c>
      <c r="R1066" t="str">
        <f>IFERROR(VLOOKUP(K1066,PAR!$V$3:$X$438,3,FALSE),"000000 - Nincs COFOG")</f>
        <v>000000 - Nincs COFOG</v>
      </c>
      <c r="S1066">
        <f t="shared" si="316"/>
        <v>0</v>
      </c>
      <c r="T1066">
        <f t="shared" si="317"/>
        <v>0</v>
      </c>
      <c r="U1066" t="str">
        <f>IF('906MP'!J766&gt;0,CONCATENATE('906MP'!J766," - ",'906MP'!P766,", ",'906MP'!E766),"nincs megjegyzés")</f>
        <v>nincs megjegyzés</v>
      </c>
      <c r="V1066" t="str">
        <f t="shared" si="304"/>
        <v>0P0</v>
      </c>
      <c r="W1066" t="str">
        <f t="shared" si="305"/>
        <v>0P0</v>
      </c>
      <c r="X1066" t="str">
        <f t="shared" si="306"/>
        <v>P0</v>
      </c>
      <c r="Y1066" t="str">
        <f t="shared" si="307"/>
        <v>00</v>
      </c>
      <c r="Z1066" t="str">
        <f t="shared" si="318"/>
        <v>00</v>
      </c>
      <c r="AA1066" t="str">
        <f t="shared" si="308"/>
        <v>00</v>
      </c>
      <c r="AB1066" t="str">
        <f t="shared" si="309"/>
        <v>00</v>
      </c>
      <c r="AC1066" t="str">
        <f t="shared" si="310"/>
        <v>0P0</v>
      </c>
      <c r="AD1066" t="str">
        <f t="shared" si="311"/>
        <v>P00</v>
      </c>
      <c r="AE1066" t="str">
        <f t="shared" si="312"/>
        <v>0P0</v>
      </c>
      <c r="AF1066" t="str">
        <f t="shared" si="313"/>
        <v>P00</v>
      </c>
      <c r="AG1066" t="str">
        <f t="shared" si="319"/>
        <v>0P00</v>
      </c>
      <c r="AH1066" t="str">
        <f t="shared" si="320"/>
        <v>P000</v>
      </c>
      <c r="AI1066" t="str">
        <f t="shared" si="321"/>
        <v>0P00</v>
      </c>
      <c r="AJ1066" t="str">
        <f t="shared" si="322"/>
        <v>P000</v>
      </c>
    </row>
    <row r="1067" spans="1:36" x14ac:dyDescent="0.25">
      <c r="A1067" s="325" t="str">
        <f>CONCATENATE("P",'906MP'!M767)</f>
        <v>P</v>
      </c>
      <c r="B1067">
        <f>'906MP'!H767</f>
        <v>0</v>
      </c>
      <c r="C1067">
        <f>'906MP'!J767</f>
        <v>0</v>
      </c>
      <c r="D1067">
        <f>'906MP'!P767</f>
        <v>0</v>
      </c>
      <c r="E1067">
        <f>'906MP'!X767</f>
        <v>0</v>
      </c>
      <c r="F1067" t="str">
        <f t="shared" si="314"/>
        <v>0</v>
      </c>
      <c r="G1067" t="str">
        <f t="shared" si="315"/>
        <v>0</v>
      </c>
      <c r="H1067">
        <f>'906MP'!Y767</f>
        <v>0</v>
      </c>
      <c r="I1067">
        <f>'906MP'!AK767</f>
        <v>0</v>
      </c>
      <c r="J1067">
        <f>'906MP'!T767</f>
        <v>0</v>
      </c>
      <c r="K1067">
        <f>'906MP'!AJ767</f>
        <v>0</v>
      </c>
      <c r="L1067">
        <f>'906MP'!U767</f>
        <v>0</v>
      </c>
      <c r="M1067" s="322" t="str">
        <f>IFERROR(VLOOKUP(A1067,PAR!$D$3:$E$53,2,FALSE),"nincs szervezet")</f>
        <v>nincs szervezet</v>
      </c>
      <c r="N1067" s="322" t="str">
        <f>VLOOKUP(F1067,PAR!$R$3:$S$5,2,FALSE)</f>
        <v>3 - egyik sem</v>
      </c>
      <c r="O1067" t="str">
        <f>IFERROR(VLOOKUP(J1067,PAR!$O$3:$P$5,2,FALSE),"nincs feladat")</f>
        <v>nincs feladat</v>
      </c>
      <c r="P1067" t="str">
        <f>IFERROR(VLOOKUP(G1067,PAR!$J$2:$M$19,4),"nincs rovat")</f>
        <v>nincs rovat</v>
      </c>
      <c r="Q1067" t="str">
        <f>IF(H1067&gt;0,VLOOKUP(H1067,PAR!$AA$3:$AC$187,3,FALSE),"nincs főkönyvi számla")</f>
        <v>nincs főkönyvi számla</v>
      </c>
      <c r="R1067" t="str">
        <f>IFERROR(VLOOKUP(K1067,PAR!$V$3:$X$438,3,FALSE),"000000 - Nincs COFOG")</f>
        <v>000000 - Nincs COFOG</v>
      </c>
      <c r="S1067">
        <f t="shared" si="316"/>
        <v>0</v>
      </c>
      <c r="T1067">
        <f t="shared" si="317"/>
        <v>0</v>
      </c>
      <c r="U1067" t="str">
        <f>IF('906MP'!J767&gt;0,CONCATENATE('906MP'!J767," - ",'906MP'!P767,", ",'906MP'!E767),"nincs megjegyzés")</f>
        <v>nincs megjegyzés</v>
      </c>
      <c r="V1067" t="str">
        <f t="shared" si="304"/>
        <v>0P0</v>
      </c>
      <c r="W1067" t="str">
        <f t="shared" si="305"/>
        <v>0P0</v>
      </c>
      <c r="X1067" t="str">
        <f t="shared" si="306"/>
        <v>P0</v>
      </c>
      <c r="Y1067" t="str">
        <f t="shared" si="307"/>
        <v>00</v>
      </c>
      <c r="Z1067" t="str">
        <f t="shared" si="318"/>
        <v>00</v>
      </c>
      <c r="AA1067" t="str">
        <f t="shared" si="308"/>
        <v>00</v>
      </c>
      <c r="AB1067" t="str">
        <f t="shared" si="309"/>
        <v>00</v>
      </c>
      <c r="AC1067" t="str">
        <f t="shared" si="310"/>
        <v>0P0</v>
      </c>
      <c r="AD1067" t="str">
        <f t="shared" si="311"/>
        <v>P00</v>
      </c>
      <c r="AE1067" t="str">
        <f t="shared" si="312"/>
        <v>0P0</v>
      </c>
      <c r="AF1067" t="str">
        <f t="shared" si="313"/>
        <v>P00</v>
      </c>
      <c r="AG1067" t="str">
        <f t="shared" si="319"/>
        <v>0P00</v>
      </c>
      <c r="AH1067" t="str">
        <f t="shared" si="320"/>
        <v>P000</v>
      </c>
      <c r="AI1067" t="str">
        <f t="shared" si="321"/>
        <v>0P00</v>
      </c>
      <c r="AJ1067" t="str">
        <f t="shared" si="322"/>
        <v>P000</v>
      </c>
    </row>
    <row r="1068" spans="1:36" x14ac:dyDescent="0.25">
      <c r="A1068" s="325" t="str">
        <f>CONCATENATE("P",'906MP'!M768)</f>
        <v>P</v>
      </c>
      <c r="B1068">
        <f>'906MP'!H768</f>
        <v>0</v>
      </c>
      <c r="C1068">
        <f>'906MP'!J768</f>
        <v>0</v>
      </c>
      <c r="D1068">
        <f>'906MP'!P768</f>
        <v>0</v>
      </c>
      <c r="E1068">
        <f>'906MP'!X768</f>
        <v>0</v>
      </c>
      <c r="F1068" t="str">
        <f t="shared" si="314"/>
        <v>0</v>
      </c>
      <c r="G1068" t="str">
        <f t="shared" si="315"/>
        <v>0</v>
      </c>
      <c r="H1068">
        <f>'906MP'!Y768</f>
        <v>0</v>
      </c>
      <c r="I1068">
        <f>'906MP'!AK768</f>
        <v>0</v>
      </c>
      <c r="J1068">
        <f>'906MP'!T768</f>
        <v>0</v>
      </c>
      <c r="K1068">
        <f>'906MP'!AJ768</f>
        <v>0</v>
      </c>
      <c r="L1068">
        <f>'906MP'!U768</f>
        <v>0</v>
      </c>
      <c r="M1068" s="322" t="str">
        <f>IFERROR(VLOOKUP(A1068,PAR!$D$3:$E$53,2,FALSE),"nincs szervezet")</f>
        <v>nincs szervezet</v>
      </c>
      <c r="N1068" s="322" t="str">
        <f>VLOOKUP(F1068,PAR!$R$3:$S$5,2,FALSE)</f>
        <v>3 - egyik sem</v>
      </c>
      <c r="O1068" t="str">
        <f>IFERROR(VLOOKUP(J1068,PAR!$O$3:$P$5,2,FALSE),"nincs feladat")</f>
        <v>nincs feladat</v>
      </c>
      <c r="P1068" t="str">
        <f>IFERROR(VLOOKUP(G1068,PAR!$J$2:$M$19,4),"nincs rovat")</f>
        <v>nincs rovat</v>
      </c>
      <c r="Q1068" t="str">
        <f>IF(H1068&gt;0,VLOOKUP(H1068,PAR!$AA$3:$AC$187,3,FALSE),"nincs főkönyvi számla")</f>
        <v>nincs főkönyvi számla</v>
      </c>
      <c r="R1068" t="str">
        <f>IFERROR(VLOOKUP(K1068,PAR!$V$3:$X$438,3,FALSE),"000000 - Nincs COFOG")</f>
        <v>000000 - Nincs COFOG</v>
      </c>
      <c r="S1068">
        <f t="shared" si="316"/>
        <v>0</v>
      </c>
      <c r="T1068">
        <f t="shared" si="317"/>
        <v>0</v>
      </c>
      <c r="U1068" t="str">
        <f>IF('906MP'!J768&gt;0,CONCATENATE('906MP'!J768," - ",'906MP'!P768,", ",'906MP'!E768),"nincs megjegyzés")</f>
        <v>nincs megjegyzés</v>
      </c>
      <c r="V1068" t="str">
        <f t="shared" si="304"/>
        <v>0P0</v>
      </c>
      <c r="W1068" t="str">
        <f t="shared" si="305"/>
        <v>0P0</v>
      </c>
      <c r="X1068" t="str">
        <f t="shared" si="306"/>
        <v>P0</v>
      </c>
      <c r="Y1068" t="str">
        <f t="shared" si="307"/>
        <v>00</v>
      </c>
      <c r="Z1068" t="str">
        <f t="shared" si="318"/>
        <v>00</v>
      </c>
      <c r="AA1068" t="str">
        <f t="shared" si="308"/>
        <v>00</v>
      </c>
      <c r="AB1068" t="str">
        <f t="shared" si="309"/>
        <v>00</v>
      </c>
      <c r="AC1068" t="str">
        <f t="shared" si="310"/>
        <v>0P0</v>
      </c>
      <c r="AD1068" t="str">
        <f t="shared" si="311"/>
        <v>P00</v>
      </c>
      <c r="AE1068" t="str">
        <f t="shared" si="312"/>
        <v>0P0</v>
      </c>
      <c r="AF1068" t="str">
        <f t="shared" si="313"/>
        <v>P00</v>
      </c>
      <c r="AG1068" t="str">
        <f t="shared" si="319"/>
        <v>0P00</v>
      </c>
      <c r="AH1068" t="str">
        <f t="shared" si="320"/>
        <v>P000</v>
      </c>
      <c r="AI1068" t="str">
        <f t="shared" si="321"/>
        <v>0P00</v>
      </c>
      <c r="AJ1068" t="str">
        <f t="shared" si="322"/>
        <v>P000</v>
      </c>
    </row>
    <row r="1069" spans="1:36" x14ac:dyDescent="0.25">
      <c r="A1069" s="325" t="str">
        <f>CONCATENATE("P",'906MP'!M769)</f>
        <v>P</v>
      </c>
      <c r="B1069">
        <f>'906MP'!H769</f>
        <v>0</v>
      </c>
      <c r="C1069">
        <f>'906MP'!J769</f>
        <v>0</v>
      </c>
      <c r="D1069">
        <f>'906MP'!P769</f>
        <v>0</v>
      </c>
      <c r="E1069">
        <f>'906MP'!X769</f>
        <v>0</v>
      </c>
      <c r="F1069" t="str">
        <f t="shared" si="314"/>
        <v>0</v>
      </c>
      <c r="G1069" t="str">
        <f t="shared" si="315"/>
        <v>0</v>
      </c>
      <c r="H1069">
        <f>'906MP'!Y769</f>
        <v>0</v>
      </c>
      <c r="I1069">
        <f>'906MP'!AK769</f>
        <v>0</v>
      </c>
      <c r="J1069">
        <f>'906MP'!T769</f>
        <v>0</v>
      </c>
      <c r="K1069">
        <f>'906MP'!AJ769</f>
        <v>0</v>
      </c>
      <c r="L1069">
        <f>'906MP'!U769</f>
        <v>0</v>
      </c>
      <c r="M1069" s="322" t="str">
        <f>IFERROR(VLOOKUP(A1069,PAR!$D$3:$E$53,2,FALSE),"nincs szervezet")</f>
        <v>nincs szervezet</v>
      </c>
      <c r="N1069" s="322" t="str">
        <f>VLOOKUP(F1069,PAR!$R$3:$S$5,2,FALSE)</f>
        <v>3 - egyik sem</v>
      </c>
      <c r="O1069" t="str">
        <f>IFERROR(VLOOKUP(J1069,PAR!$O$3:$P$5,2,FALSE),"nincs feladat")</f>
        <v>nincs feladat</v>
      </c>
      <c r="P1069" t="str">
        <f>IFERROR(VLOOKUP(G1069,PAR!$J$2:$M$19,4),"nincs rovat")</f>
        <v>nincs rovat</v>
      </c>
      <c r="Q1069" t="str">
        <f>IF(H1069&gt;0,VLOOKUP(H1069,PAR!$AA$3:$AC$187,3,FALSE),"nincs főkönyvi számla")</f>
        <v>nincs főkönyvi számla</v>
      </c>
      <c r="R1069" t="str">
        <f>IFERROR(VLOOKUP(K1069,PAR!$V$3:$X$438,3,FALSE),"000000 - Nincs COFOG")</f>
        <v>000000 - Nincs COFOG</v>
      </c>
      <c r="S1069">
        <f t="shared" si="316"/>
        <v>0</v>
      </c>
      <c r="T1069">
        <f t="shared" si="317"/>
        <v>0</v>
      </c>
      <c r="U1069" t="str">
        <f>IF('906MP'!J769&gt;0,CONCATENATE('906MP'!J769," - ",'906MP'!P769,", ",'906MP'!E769),"nincs megjegyzés")</f>
        <v>nincs megjegyzés</v>
      </c>
      <c r="V1069" t="str">
        <f t="shared" si="304"/>
        <v>0P0</v>
      </c>
      <c r="W1069" t="str">
        <f t="shared" si="305"/>
        <v>0P0</v>
      </c>
      <c r="X1069" t="str">
        <f t="shared" si="306"/>
        <v>P0</v>
      </c>
      <c r="Y1069" t="str">
        <f t="shared" si="307"/>
        <v>00</v>
      </c>
      <c r="Z1069" t="str">
        <f t="shared" si="318"/>
        <v>00</v>
      </c>
      <c r="AA1069" t="str">
        <f t="shared" si="308"/>
        <v>00</v>
      </c>
      <c r="AB1069" t="str">
        <f t="shared" si="309"/>
        <v>00</v>
      </c>
      <c r="AC1069" t="str">
        <f t="shared" si="310"/>
        <v>0P0</v>
      </c>
      <c r="AD1069" t="str">
        <f t="shared" si="311"/>
        <v>P00</v>
      </c>
      <c r="AE1069" t="str">
        <f t="shared" si="312"/>
        <v>0P0</v>
      </c>
      <c r="AF1069" t="str">
        <f t="shared" si="313"/>
        <v>P00</v>
      </c>
      <c r="AG1069" t="str">
        <f t="shared" si="319"/>
        <v>0P00</v>
      </c>
      <c r="AH1069" t="str">
        <f t="shared" si="320"/>
        <v>P000</v>
      </c>
      <c r="AI1069" t="str">
        <f t="shared" si="321"/>
        <v>0P00</v>
      </c>
      <c r="AJ1069" t="str">
        <f t="shared" si="322"/>
        <v>P000</v>
      </c>
    </row>
    <row r="1070" spans="1:36" x14ac:dyDescent="0.25">
      <c r="A1070" s="325" t="str">
        <f>CONCATENATE("P",'906MP'!M770)</f>
        <v>P</v>
      </c>
      <c r="B1070">
        <f>'906MP'!H770</f>
        <v>0</v>
      </c>
      <c r="C1070">
        <f>'906MP'!J770</f>
        <v>0</v>
      </c>
      <c r="D1070">
        <f>'906MP'!P770</f>
        <v>0</v>
      </c>
      <c r="E1070">
        <f>'906MP'!X770</f>
        <v>0</v>
      </c>
      <c r="F1070" t="str">
        <f t="shared" si="314"/>
        <v>0</v>
      </c>
      <c r="G1070" t="str">
        <f t="shared" si="315"/>
        <v>0</v>
      </c>
      <c r="H1070">
        <f>'906MP'!Y770</f>
        <v>0</v>
      </c>
      <c r="I1070">
        <f>'906MP'!AK770</f>
        <v>0</v>
      </c>
      <c r="J1070">
        <f>'906MP'!T770</f>
        <v>0</v>
      </c>
      <c r="K1070">
        <f>'906MP'!AJ770</f>
        <v>0</v>
      </c>
      <c r="L1070">
        <f>'906MP'!U770</f>
        <v>0</v>
      </c>
      <c r="M1070" s="322" t="str">
        <f>IFERROR(VLOOKUP(A1070,PAR!$D$3:$E$53,2,FALSE),"nincs szervezet")</f>
        <v>nincs szervezet</v>
      </c>
      <c r="N1070" s="322" t="str">
        <f>VLOOKUP(F1070,PAR!$R$3:$S$5,2,FALSE)</f>
        <v>3 - egyik sem</v>
      </c>
      <c r="O1070" t="str">
        <f>IFERROR(VLOOKUP(J1070,PAR!$O$3:$P$5,2,FALSE),"nincs feladat")</f>
        <v>nincs feladat</v>
      </c>
      <c r="P1070" t="str">
        <f>IFERROR(VLOOKUP(G1070,PAR!$J$2:$M$19,4),"nincs rovat")</f>
        <v>nincs rovat</v>
      </c>
      <c r="Q1070" t="str">
        <f>IF(H1070&gt;0,VLOOKUP(H1070,PAR!$AA$3:$AC$187,3,FALSE),"nincs főkönyvi számla")</f>
        <v>nincs főkönyvi számla</v>
      </c>
      <c r="R1070" t="str">
        <f>IFERROR(VLOOKUP(K1070,PAR!$V$3:$X$438,3,FALSE),"000000 - Nincs COFOG")</f>
        <v>000000 - Nincs COFOG</v>
      </c>
      <c r="S1070">
        <f t="shared" si="316"/>
        <v>0</v>
      </c>
      <c r="T1070">
        <f t="shared" si="317"/>
        <v>0</v>
      </c>
      <c r="U1070" t="str">
        <f>IF('906MP'!J770&gt;0,CONCATENATE('906MP'!J770," - ",'906MP'!P770,", ",'906MP'!E770),"nincs megjegyzés")</f>
        <v>nincs megjegyzés</v>
      </c>
      <c r="V1070" t="str">
        <f t="shared" si="304"/>
        <v>0P0</v>
      </c>
      <c r="W1070" t="str">
        <f t="shared" si="305"/>
        <v>0P0</v>
      </c>
      <c r="X1070" t="str">
        <f t="shared" si="306"/>
        <v>P0</v>
      </c>
      <c r="Y1070" t="str">
        <f t="shared" si="307"/>
        <v>00</v>
      </c>
      <c r="Z1070" t="str">
        <f t="shared" si="318"/>
        <v>00</v>
      </c>
      <c r="AA1070" t="str">
        <f t="shared" si="308"/>
        <v>00</v>
      </c>
      <c r="AB1070" t="str">
        <f t="shared" si="309"/>
        <v>00</v>
      </c>
      <c r="AC1070" t="str">
        <f t="shared" si="310"/>
        <v>0P0</v>
      </c>
      <c r="AD1070" t="str">
        <f t="shared" si="311"/>
        <v>P00</v>
      </c>
      <c r="AE1070" t="str">
        <f t="shared" si="312"/>
        <v>0P0</v>
      </c>
      <c r="AF1070" t="str">
        <f t="shared" si="313"/>
        <v>P00</v>
      </c>
      <c r="AG1070" t="str">
        <f t="shared" si="319"/>
        <v>0P00</v>
      </c>
      <c r="AH1070" t="str">
        <f t="shared" si="320"/>
        <v>P000</v>
      </c>
      <c r="AI1070" t="str">
        <f t="shared" si="321"/>
        <v>0P00</v>
      </c>
      <c r="AJ1070" t="str">
        <f t="shared" si="322"/>
        <v>P000</v>
      </c>
    </row>
    <row r="1071" spans="1:36" x14ac:dyDescent="0.25">
      <c r="A1071" s="325" t="str">
        <f>CONCATENATE("P",'906MP'!M771)</f>
        <v>P</v>
      </c>
      <c r="B1071">
        <f>'906MP'!H771</f>
        <v>0</v>
      </c>
      <c r="C1071">
        <f>'906MP'!J771</f>
        <v>0</v>
      </c>
      <c r="D1071">
        <f>'906MP'!P771</f>
        <v>0</v>
      </c>
      <c r="E1071">
        <f>'906MP'!X771</f>
        <v>0</v>
      </c>
      <c r="F1071" t="str">
        <f t="shared" si="314"/>
        <v>0</v>
      </c>
      <c r="G1071" t="str">
        <f t="shared" si="315"/>
        <v>0</v>
      </c>
      <c r="H1071">
        <f>'906MP'!Y771</f>
        <v>0</v>
      </c>
      <c r="I1071">
        <f>'906MP'!AK771</f>
        <v>0</v>
      </c>
      <c r="J1071">
        <f>'906MP'!T771</f>
        <v>0</v>
      </c>
      <c r="K1071">
        <f>'906MP'!AJ771</f>
        <v>0</v>
      </c>
      <c r="L1071">
        <f>'906MP'!U771</f>
        <v>0</v>
      </c>
      <c r="M1071" s="322" t="str">
        <f>IFERROR(VLOOKUP(A1071,PAR!$D$3:$E$53,2,FALSE),"nincs szervezet")</f>
        <v>nincs szervezet</v>
      </c>
      <c r="N1071" s="322" t="str">
        <f>VLOOKUP(F1071,PAR!$R$3:$S$5,2,FALSE)</f>
        <v>3 - egyik sem</v>
      </c>
      <c r="O1071" t="str">
        <f>IFERROR(VLOOKUP(J1071,PAR!$O$3:$P$5,2,FALSE),"nincs feladat")</f>
        <v>nincs feladat</v>
      </c>
      <c r="P1071" t="str">
        <f>IFERROR(VLOOKUP(G1071,PAR!$J$2:$M$19,4),"nincs rovat")</f>
        <v>nincs rovat</v>
      </c>
      <c r="Q1071" t="str">
        <f>IF(H1071&gt;0,VLOOKUP(H1071,PAR!$AA$3:$AC$187,3,FALSE),"nincs főkönyvi számla")</f>
        <v>nincs főkönyvi számla</v>
      </c>
      <c r="R1071" t="str">
        <f>IFERROR(VLOOKUP(K1071,PAR!$V$3:$X$438,3,FALSE),"000000 - Nincs COFOG")</f>
        <v>000000 - Nincs COFOG</v>
      </c>
      <c r="S1071">
        <f t="shared" si="316"/>
        <v>0</v>
      </c>
      <c r="T1071">
        <f t="shared" si="317"/>
        <v>0</v>
      </c>
      <c r="U1071" t="str">
        <f>IF('906MP'!J771&gt;0,CONCATENATE('906MP'!J771," - ",'906MP'!P771,", ",'906MP'!E771),"nincs megjegyzés")</f>
        <v>nincs megjegyzés</v>
      </c>
      <c r="V1071" t="str">
        <f t="shared" si="304"/>
        <v>0P0</v>
      </c>
      <c r="W1071" t="str">
        <f t="shared" si="305"/>
        <v>0P0</v>
      </c>
      <c r="X1071" t="str">
        <f t="shared" si="306"/>
        <v>P0</v>
      </c>
      <c r="Y1071" t="str">
        <f t="shared" si="307"/>
        <v>00</v>
      </c>
      <c r="Z1071" t="str">
        <f t="shared" si="318"/>
        <v>00</v>
      </c>
      <c r="AA1071" t="str">
        <f t="shared" si="308"/>
        <v>00</v>
      </c>
      <c r="AB1071" t="str">
        <f t="shared" si="309"/>
        <v>00</v>
      </c>
      <c r="AC1071" t="str">
        <f t="shared" si="310"/>
        <v>0P0</v>
      </c>
      <c r="AD1071" t="str">
        <f t="shared" si="311"/>
        <v>P00</v>
      </c>
      <c r="AE1071" t="str">
        <f t="shared" si="312"/>
        <v>0P0</v>
      </c>
      <c r="AF1071" t="str">
        <f t="shared" si="313"/>
        <v>P00</v>
      </c>
      <c r="AG1071" t="str">
        <f t="shared" si="319"/>
        <v>0P00</v>
      </c>
      <c r="AH1071" t="str">
        <f t="shared" si="320"/>
        <v>P000</v>
      </c>
      <c r="AI1071" t="str">
        <f t="shared" si="321"/>
        <v>0P00</v>
      </c>
      <c r="AJ1071" t="str">
        <f t="shared" si="322"/>
        <v>P000</v>
      </c>
    </row>
    <row r="1072" spans="1:36" x14ac:dyDescent="0.25">
      <c r="A1072" s="325" t="str">
        <f>CONCATENATE("P",'906MP'!M772)</f>
        <v>P</v>
      </c>
      <c r="B1072">
        <f>'906MP'!H772</f>
        <v>0</v>
      </c>
      <c r="C1072">
        <f>'906MP'!J772</f>
        <v>0</v>
      </c>
      <c r="D1072">
        <f>'906MP'!P772</f>
        <v>0</v>
      </c>
      <c r="E1072">
        <f>'906MP'!X772</f>
        <v>0</v>
      </c>
      <c r="F1072" t="str">
        <f t="shared" si="314"/>
        <v>0</v>
      </c>
      <c r="G1072" t="str">
        <f t="shared" si="315"/>
        <v>0</v>
      </c>
      <c r="H1072">
        <f>'906MP'!Y772</f>
        <v>0</v>
      </c>
      <c r="I1072">
        <f>'906MP'!AK772</f>
        <v>0</v>
      </c>
      <c r="J1072">
        <f>'906MP'!T772</f>
        <v>0</v>
      </c>
      <c r="K1072">
        <f>'906MP'!AJ772</f>
        <v>0</v>
      </c>
      <c r="L1072">
        <f>'906MP'!U772</f>
        <v>0</v>
      </c>
      <c r="M1072" s="322" t="str">
        <f>IFERROR(VLOOKUP(A1072,PAR!$D$3:$E$53,2,FALSE),"nincs szervezet")</f>
        <v>nincs szervezet</v>
      </c>
      <c r="N1072" s="322" t="str">
        <f>VLOOKUP(F1072,PAR!$R$3:$S$5,2,FALSE)</f>
        <v>3 - egyik sem</v>
      </c>
      <c r="O1072" t="str">
        <f>IFERROR(VLOOKUP(J1072,PAR!$O$3:$P$5,2,FALSE),"nincs feladat")</f>
        <v>nincs feladat</v>
      </c>
      <c r="P1072" t="str">
        <f>IFERROR(VLOOKUP(G1072,PAR!$J$2:$M$19,4),"nincs rovat")</f>
        <v>nincs rovat</v>
      </c>
      <c r="Q1072" t="str">
        <f>IF(H1072&gt;0,VLOOKUP(H1072,PAR!$AA$3:$AC$187,3,FALSE),"nincs főkönyvi számla")</f>
        <v>nincs főkönyvi számla</v>
      </c>
      <c r="R1072" t="str">
        <f>IFERROR(VLOOKUP(K1072,PAR!$V$3:$X$438,3,FALSE),"000000 - Nincs COFOG")</f>
        <v>000000 - Nincs COFOG</v>
      </c>
      <c r="S1072">
        <f t="shared" si="316"/>
        <v>0</v>
      </c>
      <c r="T1072">
        <f t="shared" si="317"/>
        <v>0</v>
      </c>
      <c r="U1072" t="str">
        <f>IF('906MP'!J772&gt;0,CONCATENATE('906MP'!J772," - ",'906MP'!P772,", ",'906MP'!E772),"nincs megjegyzés")</f>
        <v>nincs megjegyzés</v>
      </c>
      <c r="V1072" t="str">
        <f t="shared" si="304"/>
        <v>0P0</v>
      </c>
      <c r="W1072" t="str">
        <f t="shared" si="305"/>
        <v>0P0</v>
      </c>
      <c r="X1072" t="str">
        <f t="shared" si="306"/>
        <v>P0</v>
      </c>
      <c r="Y1072" t="str">
        <f t="shared" si="307"/>
        <v>00</v>
      </c>
      <c r="Z1072" t="str">
        <f t="shared" si="318"/>
        <v>00</v>
      </c>
      <c r="AA1072" t="str">
        <f t="shared" si="308"/>
        <v>00</v>
      </c>
      <c r="AB1072" t="str">
        <f t="shared" si="309"/>
        <v>00</v>
      </c>
      <c r="AC1072" t="str">
        <f t="shared" si="310"/>
        <v>0P0</v>
      </c>
      <c r="AD1072" t="str">
        <f t="shared" si="311"/>
        <v>P00</v>
      </c>
      <c r="AE1072" t="str">
        <f t="shared" si="312"/>
        <v>0P0</v>
      </c>
      <c r="AF1072" t="str">
        <f t="shared" si="313"/>
        <v>P00</v>
      </c>
      <c r="AG1072" t="str">
        <f t="shared" si="319"/>
        <v>0P00</v>
      </c>
      <c r="AH1072" t="str">
        <f t="shared" si="320"/>
        <v>P000</v>
      </c>
      <c r="AI1072" t="str">
        <f t="shared" si="321"/>
        <v>0P00</v>
      </c>
      <c r="AJ1072" t="str">
        <f t="shared" si="322"/>
        <v>P000</v>
      </c>
    </row>
    <row r="1073" spans="1:36" x14ac:dyDescent="0.25">
      <c r="A1073" s="325" t="str">
        <f>CONCATENATE("P",'906MP'!M773)</f>
        <v>P</v>
      </c>
      <c r="B1073">
        <f>'906MP'!H773</f>
        <v>0</v>
      </c>
      <c r="C1073">
        <f>'906MP'!J773</f>
        <v>0</v>
      </c>
      <c r="D1073">
        <f>'906MP'!P773</f>
        <v>0</v>
      </c>
      <c r="E1073">
        <f>'906MP'!X773</f>
        <v>0</v>
      </c>
      <c r="F1073" t="str">
        <f t="shared" si="314"/>
        <v>0</v>
      </c>
      <c r="G1073" t="str">
        <f t="shared" si="315"/>
        <v>0</v>
      </c>
      <c r="H1073">
        <f>'906MP'!Y773</f>
        <v>0</v>
      </c>
      <c r="I1073">
        <f>'906MP'!AK773</f>
        <v>0</v>
      </c>
      <c r="J1073">
        <f>'906MP'!T773</f>
        <v>0</v>
      </c>
      <c r="K1073">
        <f>'906MP'!AJ773</f>
        <v>0</v>
      </c>
      <c r="L1073">
        <f>'906MP'!U773</f>
        <v>0</v>
      </c>
      <c r="M1073" s="322" t="str">
        <f>IFERROR(VLOOKUP(A1073,PAR!$D$3:$E$53,2,FALSE),"nincs szervezet")</f>
        <v>nincs szervezet</v>
      </c>
      <c r="N1073" s="322" t="str">
        <f>VLOOKUP(F1073,PAR!$R$3:$S$5,2,FALSE)</f>
        <v>3 - egyik sem</v>
      </c>
      <c r="O1073" t="str">
        <f>IFERROR(VLOOKUP(J1073,PAR!$O$3:$P$5,2,FALSE),"nincs feladat")</f>
        <v>nincs feladat</v>
      </c>
      <c r="P1073" t="str">
        <f>IFERROR(VLOOKUP(G1073,PAR!$J$2:$M$19,4),"nincs rovat")</f>
        <v>nincs rovat</v>
      </c>
      <c r="Q1073" t="str">
        <f>IF(H1073&gt;0,VLOOKUP(H1073,PAR!$AA$3:$AC$187,3,FALSE),"nincs főkönyvi számla")</f>
        <v>nincs főkönyvi számla</v>
      </c>
      <c r="R1073" t="str">
        <f>IFERROR(VLOOKUP(K1073,PAR!$V$3:$X$438,3,FALSE),"000000 - Nincs COFOG")</f>
        <v>000000 - Nincs COFOG</v>
      </c>
      <c r="S1073">
        <f t="shared" si="316"/>
        <v>0</v>
      </c>
      <c r="T1073">
        <f t="shared" si="317"/>
        <v>0</v>
      </c>
      <c r="U1073" t="str">
        <f>IF('906MP'!J773&gt;0,CONCATENATE('906MP'!J773," - ",'906MP'!P773,", ",'906MP'!E773),"nincs megjegyzés")</f>
        <v>nincs megjegyzés</v>
      </c>
      <c r="V1073" t="str">
        <f t="shared" si="304"/>
        <v>0P0</v>
      </c>
      <c r="W1073" t="str">
        <f t="shared" si="305"/>
        <v>0P0</v>
      </c>
      <c r="X1073" t="str">
        <f t="shared" si="306"/>
        <v>P0</v>
      </c>
      <c r="Y1073" t="str">
        <f t="shared" si="307"/>
        <v>00</v>
      </c>
      <c r="Z1073" t="str">
        <f t="shared" si="318"/>
        <v>00</v>
      </c>
      <c r="AA1073" t="str">
        <f t="shared" si="308"/>
        <v>00</v>
      </c>
      <c r="AB1073" t="str">
        <f t="shared" si="309"/>
        <v>00</v>
      </c>
      <c r="AC1073" t="str">
        <f t="shared" si="310"/>
        <v>0P0</v>
      </c>
      <c r="AD1073" t="str">
        <f t="shared" si="311"/>
        <v>P00</v>
      </c>
      <c r="AE1073" t="str">
        <f t="shared" si="312"/>
        <v>0P0</v>
      </c>
      <c r="AF1073" t="str">
        <f t="shared" si="313"/>
        <v>P00</v>
      </c>
      <c r="AG1073" t="str">
        <f t="shared" si="319"/>
        <v>0P00</v>
      </c>
      <c r="AH1073" t="str">
        <f t="shared" si="320"/>
        <v>P000</v>
      </c>
      <c r="AI1073" t="str">
        <f t="shared" si="321"/>
        <v>0P00</v>
      </c>
      <c r="AJ1073" t="str">
        <f t="shared" si="322"/>
        <v>P000</v>
      </c>
    </row>
    <row r="1074" spans="1:36" x14ac:dyDescent="0.25">
      <c r="A1074" s="325" t="str">
        <f>CONCATENATE("P",'906MP'!M774)</f>
        <v>P</v>
      </c>
      <c r="B1074">
        <f>'906MP'!H774</f>
        <v>0</v>
      </c>
      <c r="C1074">
        <f>'906MP'!J774</f>
        <v>0</v>
      </c>
      <c r="D1074">
        <f>'906MP'!P774</f>
        <v>0</v>
      </c>
      <c r="E1074">
        <f>'906MP'!X774</f>
        <v>0</v>
      </c>
      <c r="F1074" t="str">
        <f t="shared" si="314"/>
        <v>0</v>
      </c>
      <c r="G1074" t="str">
        <f t="shared" si="315"/>
        <v>0</v>
      </c>
      <c r="H1074">
        <f>'906MP'!Y774</f>
        <v>0</v>
      </c>
      <c r="I1074">
        <f>'906MP'!AK774</f>
        <v>0</v>
      </c>
      <c r="J1074">
        <f>'906MP'!T774</f>
        <v>0</v>
      </c>
      <c r="K1074">
        <f>'906MP'!AJ774</f>
        <v>0</v>
      </c>
      <c r="L1074">
        <f>'906MP'!U774</f>
        <v>0</v>
      </c>
      <c r="M1074" s="322" t="str">
        <f>IFERROR(VLOOKUP(A1074,PAR!$D$3:$E$53,2,FALSE),"nincs szervezet")</f>
        <v>nincs szervezet</v>
      </c>
      <c r="N1074" s="322" t="str">
        <f>VLOOKUP(F1074,PAR!$R$3:$S$5,2,FALSE)</f>
        <v>3 - egyik sem</v>
      </c>
      <c r="O1074" t="str">
        <f>IFERROR(VLOOKUP(J1074,PAR!$O$3:$P$5,2,FALSE),"nincs feladat")</f>
        <v>nincs feladat</v>
      </c>
      <c r="P1074" t="str">
        <f>IFERROR(VLOOKUP(G1074,PAR!$J$2:$M$19,4),"nincs rovat")</f>
        <v>nincs rovat</v>
      </c>
      <c r="Q1074" t="str">
        <f>IF(H1074&gt;0,VLOOKUP(H1074,PAR!$AA$3:$AC$187,3,FALSE),"nincs főkönyvi számla")</f>
        <v>nincs főkönyvi számla</v>
      </c>
      <c r="R1074" t="str">
        <f>IFERROR(VLOOKUP(K1074,PAR!$V$3:$X$438,3,FALSE),"000000 - Nincs COFOG")</f>
        <v>000000 - Nincs COFOG</v>
      </c>
      <c r="S1074">
        <f t="shared" si="316"/>
        <v>0</v>
      </c>
      <c r="T1074">
        <f t="shared" si="317"/>
        <v>0</v>
      </c>
      <c r="U1074" t="str">
        <f>IF('906MP'!J774&gt;0,CONCATENATE('906MP'!J774," - ",'906MP'!P774,", ",'906MP'!E774),"nincs megjegyzés")</f>
        <v>nincs megjegyzés</v>
      </c>
      <c r="V1074" t="str">
        <f t="shared" si="304"/>
        <v>0P0</v>
      </c>
      <c r="W1074" t="str">
        <f t="shared" si="305"/>
        <v>0P0</v>
      </c>
      <c r="X1074" t="str">
        <f t="shared" si="306"/>
        <v>P0</v>
      </c>
      <c r="Y1074" t="str">
        <f t="shared" si="307"/>
        <v>00</v>
      </c>
      <c r="Z1074" t="str">
        <f t="shared" si="318"/>
        <v>00</v>
      </c>
      <c r="AA1074" t="str">
        <f t="shared" si="308"/>
        <v>00</v>
      </c>
      <c r="AB1074" t="str">
        <f t="shared" si="309"/>
        <v>00</v>
      </c>
      <c r="AC1074" t="str">
        <f t="shared" si="310"/>
        <v>0P0</v>
      </c>
      <c r="AD1074" t="str">
        <f t="shared" si="311"/>
        <v>P00</v>
      </c>
      <c r="AE1074" t="str">
        <f t="shared" si="312"/>
        <v>0P0</v>
      </c>
      <c r="AF1074" t="str">
        <f t="shared" si="313"/>
        <v>P00</v>
      </c>
      <c r="AG1074" t="str">
        <f t="shared" si="319"/>
        <v>0P00</v>
      </c>
      <c r="AH1074" t="str">
        <f t="shared" si="320"/>
        <v>P000</v>
      </c>
      <c r="AI1074" t="str">
        <f t="shared" si="321"/>
        <v>0P00</v>
      </c>
      <c r="AJ1074" t="str">
        <f t="shared" si="322"/>
        <v>P000</v>
      </c>
    </row>
    <row r="1075" spans="1:36" x14ac:dyDescent="0.25">
      <c r="A1075" s="325" t="str">
        <f>CONCATENATE("P",'906MP'!M775)</f>
        <v>P</v>
      </c>
      <c r="B1075">
        <f>'906MP'!H775</f>
        <v>0</v>
      </c>
      <c r="C1075">
        <f>'906MP'!J775</f>
        <v>0</v>
      </c>
      <c r="D1075">
        <f>'906MP'!P775</f>
        <v>0</v>
      </c>
      <c r="E1075">
        <f>'906MP'!X775</f>
        <v>0</v>
      </c>
      <c r="F1075" t="str">
        <f t="shared" si="314"/>
        <v>0</v>
      </c>
      <c r="G1075" t="str">
        <f t="shared" si="315"/>
        <v>0</v>
      </c>
      <c r="H1075">
        <f>'906MP'!Y775</f>
        <v>0</v>
      </c>
      <c r="I1075">
        <f>'906MP'!AK775</f>
        <v>0</v>
      </c>
      <c r="J1075">
        <f>'906MP'!T775</f>
        <v>0</v>
      </c>
      <c r="K1075">
        <f>'906MP'!AJ775</f>
        <v>0</v>
      </c>
      <c r="L1075">
        <f>'906MP'!U775</f>
        <v>0</v>
      </c>
      <c r="M1075" s="322" t="str">
        <f>IFERROR(VLOOKUP(A1075,PAR!$D$3:$E$53,2,FALSE),"nincs szervezet")</f>
        <v>nincs szervezet</v>
      </c>
      <c r="N1075" s="322" t="str">
        <f>VLOOKUP(F1075,PAR!$R$3:$S$5,2,FALSE)</f>
        <v>3 - egyik sem</v>
      </c>
      <c r="O1075" t="str">
        <f>IFERROR(VLOOKUP(J1075,PAR!$O$3:$P$5,2,FALSE),"nincs feladat")</f>
        <v>nincs feladat</v>
      </c>
      <c r="P1075" t="str">
        <f>IFERROR(VLOOKUP(G1075,PAR!$J$2:$M$19,4),"nincs rovat")</f>
        <v>nincs rovat</v>
      </c>
      <c r="Q1075" t="str">
        <f>IF(H1075&gt;0,VLOOKUP(H1075,PAR!$AA$3:$AC$187,3,FALSE),"nincs főkönyvi számla")</f>
        <v>nincs főkönyvi számla</v>
      </c>
      <c r="R1075" t="str">
        <f>IFERROR(VLOOKUP(K1075,PAR!$V$3:$X$438,3,FALSE),"000000 - Nincs COFOG")</f>
        <v>000000 - Nincs COFOG</v>
      </c>
      <c r="S1075">
        <f t="shared" si="316"/>
        <v>0</v>
      </c>
      <c r="T1075">
        <f t="shared" si="317"/>
        <v>0</v>
      </c>
      <c r="U1075" t="str">
        <f>IF('906MP'!J775&gt;0,CONCATENATE('906MP'!J775," - ",'906MP'!P775,", ",'906MP'!E775),"nincs megjegyzés")</f>
        <v>nincs megjegyzés</v>
      </c>
      <c r="V1075" t="str">
        <f t="shared" si="304"/>
        <v>0P0</v>
      </c>
      <c r="W1075" t="str">
        <f t="shared" si="305"/>
        <v>0P0</v>
      </c>
      <c r="X1075" t="str">
        <f t="shared" si="306"/>
        <v>P0</v>
      </c>
      <c r="Y1075" t="str">
        <f t="shared" si="307"/>
        <v>00</v>
      </c>
      <c r="Z1075" t="str">
        <f t="shared" si="318"/>
        <v>00</v>
      </c>
      <c r="AA1075" t="str">
        <f t="shared" si="308"/>
        <v>00</v>
      </c>
      <c r="AB1075" t="str">
        <f t="shared" si="309"/>
        <v>00</v>
      </c>
      <c r="AC1075" t="str">
        <f t="shared" si="310"/>
        <v>0P0</v>
      </c>
      <c r="AD1075" t="str">
        <f t="shared" si="311"/>
        <v>P00</v>
      </c>
      <c r="AE1075" t="str">
        <f t="shared" si="312"/>
        <v>0P0</v>
      </c>
      <c r="AF1075" t="str">
        <f t="shared" si="313"/>
        <v>P00</v>
      </c>
      <c r="AG1075" t="str">
        <f t="shared" si="319"/>
        <v>0P00</v>
      </c>
      <c r="AH1075" t="str">
        <f t="shared" si="320"/>
        <v>P000</v>
      </c>
      <c r="AI1075" t="str">
        <f t="shared" si="321"/>
        <v>0P00</v>
      </c>
      <c r="AJ1075" t="str">
        <f t="shared" si="322"/>
        <v>P000</v>
      </c>
    </row>
    <row r="1076" spans="1:36" x14ac:dyDescent="0.25">
      <c r="A1076" s="325" t="str">
        <f>CONCATENATE("P",'906MP'!M776)</f>
        <v>P</v>
      </c>
      <c r="B1076">
        <f>'906MP'!H776</f>
        <v>0</v>
      </c>
      <c r="C1076">
        <f>'906MP'!J776</f>
        <v>0</v>
      </c>
      <c r="D1076">
        <f>'906MP'!P776</f>
        <v>0</v>
      </c>
      <c r="E1076">
        <f>'906MP'!X776</f>
        <v>0</v>
      </c>
      <c r="F1076" t="str">
        <f t="shared" si="314"/>
        <v>0</v>
      </c>
      <c r="G1076" t="str">
        <f t="shared" si="315"/>
        <v>0</v>
      </c>
      <c r="H1076">
        <f>'906MP'!Y776</f>
        <v>0</v>
      </c>
      <c r="I1076">
        <f>'906MP'!AK776</f>
        <v>0</v>
      </c>
      <c r="J1076">
        <f>'906MP'!T776</f>
        <v>0</v>
      </c>
      <c r="K1076">
        <f>'906MP'!AJ776</f>
        <v>0</v>
      </c>
      <c r="L1076">
        <f>'906MP'!U776</f>
        <v>0</v>
      </c>
      <c r="M1076" s="322" t="str">
        <f>IFERROR(VLOOKUP(A1076,PAR!$D$3:$E$53,2,FALSE),"nincs szervezet")</f>
        <v>nincs szervezet</v>
      </c>
      <c r="N1076" s="322" t="str">
        <f>VLOOKUP(F1076,PAR!$R$3:$S$5,2,FALSE)</f>
        <v>3 - egyik sem</v>
      </c>
      <c r="O1076" t="str">
        <f>IFERROR(VLOOKUP(J1076,PAR!$O$3:$P$5,2,FALSE),"nincs feladat")</f>
        <v>nincs feladat</v>
      </c>
      <c r="P1076" t="str">
        <f>IFERROR(VLOOKUP(G1076,PAR!$J$2:$M$19,4),"nincs rovat")</f>
        <v>nincs rovat</v>
      </c>
      <c r="Q1076" t="str">
        <f>IF(H1076&gt;0,VLOOKUP(H1076,PAR!$AA$3:$AC$187,3,FALSE),"nincs főkönyvi számla")</f>
        <v>nincs főkönyvi számla</v>
      </c>
      <c r="R1076" t="str">
        <f>IFERROR(VLOOKUP(K1076,PAR!$V$3:$X$438,3,FALSE),"000000 - Nincs COFOG")</f>
        <v>000000 - Nincs COFOG</v>
      </c>
      <c r="S1076">
        <f t="shared" si="316"/>
        <v>0</v>
      </c>
      <c r="T1076">
        <f t="shared" si="317"/>
        <v>0</v>
      </c>
      <c r="U1076" t="str">
        <f>IF('906MP'!J776&gt;0,CONCATENATE('906MP'!J776," - ",'906MP'!P776,", ",'906MP'!E776),"nincs megjegyzés")</f>
        <v>nincs megjegyzés</v>
      </c>
      <c r="V1076" t="str">
        <f t="shared" si="304"/>
        <v>0P0</v>
      </c>
      <c r="W1076" t="str">
        <f t="shared" si="305"/>
        <v>0P0</v>
      </c>
      <c r="X1076" t="str">
        <f t="shared" si="306"/>
        <v>P0</v>
      </c>
      <c r="Y1076" t="str">
        <f t="shared" si="307"/>
        <v>00</v>
      </c>
      <c r="Z1076" t="str">
        <f t="shared" si="318"/>
        <v>00</v>
      </c>
      <c r="AA1076" t="str">
        <f t="shared" si="308"/>
        <v>00</v>
      </c>
      <c r="AB1076" t="str">
        <f t="shared" si="309"/>
        <v>00</v>
      </c>
      <c r="AC1076" t="str">
        <f t="shared" si="310"/>
        <v>0P0</v>
      </c>
      <c r="AD1076" t="str">
        <f t="shared" si="311"/>
        <v>P00</v>
      </c>
      <c r="AE1076" t="str">
        <f t="shared" si="312"/>
        <v>0P0</v>
      </c>
      <c r="AF1076" t="str">
        <f t="shared" si="313"/>
        <v>P00</v>
      </c>
      <c r="AG1076" t="str">
        <f t="shared" si="319"/>
        <v>0P00</v>
      </c>
      <c r="AH1076" t="str">
        <f t="shared" si="320"/>
        <v>P000</v>
      </c>
      <c r="AI1076" t="str">
        <f t="shared" si="321"/>
        <v>0P00</v>
      </c>
      <c r="AJ1076" t="str">
        <f t="shared" si="322"/>
        <v>P000</v>
      </c>
    </row>
    <row r="1077" spans="1:36" x14ac:dyDescent="0.25">
      <c r="A1077" s="325" t="str">
        <f>CONCATENATE("P",'906MP'!M777)</f>
        <v>P</v>
      </c>
      <c r="B1077">
        <f>'906MP'!H777</f>
        <v>0</v>
      </c>
      <c r="C1077">
        <f>'906MP'!J777</f>
        <v>0</v>
      </c>
      <c r="D1077">
        <f>'906MP'!P777</f>
        <v>0</v>
      </c>
      <c r="E1077">
        <f>'906MP'!X777</f>
        <v>0</v>
      </c>
      <c r="F1077" t="str">
        <f t="shared" si="314"/>
        <v>0</v>
      </c>
      <c r="G1077" t="str">
        <f t="shared" si="315"/>
        <v>0</v>
      </c>
      <c r="H1077">
        <f>'906MP'!Y777</f>
        <v>0</v>
      </c>
      <c r="I1077">
        <f>'906MP'!AK777</f>
        <v>0</v>
      </c>
      <c r="J1077">
        <f>'906MP'!T777</f>
        <v>0</v>
      </c>
      <c r="K1077">
        <f>'906MP'!AJ777</f>
        <v>0</v>
      </c>
      <c r="L1077">
        <f>'906MP'!U777</f>
        <v>0</v>
      </c>
      <c r="M1077" s="322" t="str">
        <f>IFERROR(VLOOKUP(A1077,PAR!$D$3:$E$53,2,FALSE),"nincs szervezet")</f>
        <v>nincs szervezet</v>
      </c>
      <c r="N1077" s="322" t="str">
        <f>VLOOKUP(F1077,PAR!$R$3:$S$5,2,FALSE)</f>
        <v>3 - egyik sem</v>
      </c>
      <c r="O1077" t="str">
        <f>IFERROR(VLOOKUP(J1077,PAR!$O$3:$P$5,2,FALSE),"nincs feladat")</f>
        <v>nincs feladat</v>
      </c>
      <c r="P1077" t="str">
        <f>IFERROR(VLOOKUP(G1077,PAR!$J$2:$M$19,4),"nincs rovat")</f>
        <v>nincs rovat</v>
      </c>
      <c r="Q1077" t="str">
        <f>IF(H1077&gt;0,VLOOKUP(H1077,PAR!$AA$3:$AC$187,3,FALSE),"nincs főkönyvi számla")</f>
        <v>nincs főkönyvi számla</v>
      </c>
      <c r="R1077" t="str">
        <f>IFERROR(VLOOKUP(K1077,PAR!$V$3:$X$438,3,FALSE),"000000 - Nincs COFOG")</f>
        <v>000000 - Nincs COFOG</v>
      </c>
      <c r="S1077">
        <f t="shared" si="316"/>
        <v>0</v>
      </c>
      <c r="T1077">
        <f t="shared" si="317"/>
        <v>0</v>
      </c>
      <c r="U1077" t="str">
        <f>IF('906MP'!J777&gt;0,CONCATENATE('906MP'!J777," - ",'906MP'!P777,", ",'906MP'!E777),"nincs megjegyzés")</f>
        <v>nincs megjegyzés</v>
      </c>
      <c r="V1077" t="str">
        <f t="shared" si="304"/>
        <v>0P0</v>
      </c>
      <c r="W1077" t="str">
        <f t="shared" si="305"/>
        <v>0P0</v>
      </c>
      <c r="X1077" t="str">
        <f t="shared" si="306"/>
        <v>P0</v>
      </c>
      <c r="Y1077" t="str">
        <f t="shared" si="307"/>
        <v>00</v>
      </c>
      <c r="Z1077" t="str">
        <f t="shared" si="318"/>
        <v>00</v>
      </c>
      <c r="AA1077" t="str">
        <f t="shared" si="308"/>
        <v>00</v>
      </c>
      <c r="AB1077" t="str">
        <f t="shared" si="309"/>
        <v>00</v>
      </c>
      <c r="AC1077" t="str">
        <f t="shared" si="310"/>
        <v>0P0</v>
      </c>
      <c r="AD1077" t="str">
        <f t="shared" si="311"/>
        <v>P00</v>
      </c>
      <c r="AE1077" t="str">
        <f t="shared" si="312"/>
        <v>0P0</v>
      </c>
      <c r="AF1077" t="str">
        <f t="shared" si="313"/>
        <v>P00</v>
      </c>
      <c r="AG1077" t="str">
        <f t="shared" si="319"/>
        <v>0P00</v>
      </c>
      <c r="AH1077" t="str">
        <f t="shared" si="320"/>
        <v>P000</v>
      </c>
      <c r="AI1077" t="str">
        <f t="shared" si="321"/>
        <v>0P00</v>
      </c>
      <c r="AJ1077" t="str">
        <f t="shared" si="322"/>
        <v>P000</v>
      </c>
    </row>
    <row r="1078" spans="1:36" x14ac:dyDescent="0.25">
      <c r="A1078" s="325" t="str">
        <f>CONCATENATE("P",'906MP'!M778)</f>
        <v>P</v>
      </c>
      <c r="B1078">
        <f>'906MP'!H778</f>
        <v>0</v>
      </c>
      <c r="C1078">
        <f>'906MP'!J778</f>
        <v>0</v>
      </c>
      <c r="D1078">
        <f>'906MP'!P778</f>
        <v>0</v>
      </c>
      <c r="E1078">
        <f>'906MP'!X778</f>
        <v>0</v>
      </c>
      <c r="F1078" t="str">
        <f t="shared" si="314"/>
        <v>0</v>
      </c>
      <c r="G1078" t="str">
        <f t="shared" si="315"/>
        <v>0</v>
      </c>
      <c r="H1078">
        <f>'906MP'!Y778</f>
        <v>0</v>
      </c>
      <c r="I1078">
        <f>'906MP'!AK778</f>
        <v>0</v>
      </c>
      <c r="J1078">
        <f>'906MP'!T778</f>
        <v>0</v>
      </c>
      <c r="K1078">
        <f>'906MP'!AJ778</f>
        <v>0</v>
      </c>
      <c r="L1078">
        <f>'906MP'!U778</f>
        <v>0</v>
      </c>
      <c r="M1078" s="322" t="str">
        <f>IFERROR(VLOOKUP(A1078,PAR!$D$3:$E$53,2,FALSE),"nincs szervezet")</f>
        <v>nincs szervezet</v>
      </c>
      <c r="N1078" s="322" t="str">
        <f>VLOOKUP(F1078,PAR!$R$3:$S$5,2,FALSE)</f>
        <v>3 - egyik sem</v>
      </c>
      <c r="O1078" t="str">
        <f>IFERROR(VLOOKUP(J1078,PAR!$O$3:$P$5,2,FALSE),"nincs feladat")</f>
        <v>nincs feladat</v>
      </c>
      <c r="P1078" t="str">
        <f>IFERROR(VLOOKUP(G1078,PAR!$J$2:$M$19,4),"nincs rovat")</f>
        <v>nincs rovat</v>
      </c>
      <c r="Q1078" t="str">
        <f>IF(H1078&gt;0,VLOOKUP(H1078,PAR!$AA$3:$AC$187,3,FALSE),"nincs főkönyvi számla")</f>
        <v>nincs főkönyvi számla</v>
      </c>
      <c r="R1078" t="str">
        <f>IFERROR(VLOOKUP(K1078,PAR!$V$3:$X$438,3,FALSE),"000000 - Nincs COFOG")</f>
        <v>000000 - Nincs COFOG</v>
      </c>
      <c r="S1078">
        <f t="shared" si="316"/>
        <v>0</v>
      </c>
      <c r="T1078">
        <f t="shared" si="317"/>
        <v>0</v>
      </c>
      <c r="U1078" t="str">
        <f>IF('906MP'!J778&gt;0,CONCATENATE('906MP'!J778," - ",'906MP'!P778,", ",'906MP'!E778),"nincs megjegyzés")</f>
        <v>nincs megjegyzés</v>
      </c>
      <c r="V1078" t="str">
        <f t="shared" si="304"/>
        <v>0P0</v>
      </c>
      <c r="W1078" t="str">
        <f t="shared" si="305"/>
        <v>0P0</v>
      </c>
      <c r="X1078" t="str">
        <f t="shared" si="306"/>
        <v>P0</v>
      </c>
      <c r="Y1078" t="str">
        <f t="shared" si="307"/>
        <v>00</v>
      </c>
      <c r="Z1078" t="str">
        <f t="shared" si="318"/>
        <v>00</v>
      </c>
      <c r="AA1078" t="str">
        <f t="shared" si="308"/>
        <v>00</v>
      </c>
      <c r="AB1078" t="str">
        <f t="shared" si="309"/>
        <v>00</v>
      </c>
      <c r="AC1078" t="str">
        <f t="shared" si="310"/>
        <v>0P0</v>
      </c>
      <c r="AD1078" t="str">
        <f t="shared" si="311"/>
        <v>P00</v>
      </c>
      <c r="AE1078" t="str">
        <f t="shared" si="312"/>
        <v>0P0</v>
      </c>
      <c r="AF1078" t="str">
        <f t="shared" si="313"/>
        <v>P00</v>
      </c>
      <c r="AG1078" t="str">
        <f t="shared" si="319"/>
        <v>0P00</v>
      </c>
      <c r="AH1078" t="str">
        <f t="shared" si="320"/>
        <v>P000</v>
      </c>
      <c r="AI1078" t="str">
        <f t="shared" si="321"/>
        <v>0P00</v>
      </c>
      <c r="AJ1078" t="str">
        <f t="shared" si="322"/>
        <v>P000</v>
      </c>
    </row>
    <row r="1079" spans="1:36" x14ac:dyDescent="0.25">
      <c r="A1079" s="325" t="str">
        <f>CONCATENATE("P",'906MP'!M779)</f>
        <v>P</v>
      </c>
      <c r="B1079">
        <f>'906MP'!H779</f>
        <v>0</v>
      </c>
      <c r="C1079">
        <f>'906MP'!J779</f>
        <v>0</v>
      </c>
      <c r="D1079">
        <f>'906MP'!P779</f>
        <v>0</v>
      </c>
      <c r="E1079">
        <f>'906MP'!X779</f>
        <v>0</v>
      </c>
      <c r="F1079" t="str">
        <f t="shared" si="314"/>
        <v>0</v>
      </c>
      <c r="G1079" t="str">
        <f t="shared" si="315"/>
        <v>0</v>
      </c>
      <c r="H1079">
        <f>'906MP'!Y779</f>
        <v>0</v>
      </c>
      <c r="I1079">
        <f>'906MP'!AK779</f>
        <v>0</v>
      </c>
      <c r="J1079">
        <f>'906MP'!T779</f>
        <v>0</v>
      </c>
      <c r="K1079">
        <f>'906MP'!AJ779</f>
        <v>0</v>
      </c>
      <c r="L1079">
        <f>'906MP'!U779</f>
        <v>0</v>
      </c>
      <c r="M1079" s="322" t="str">
        <f>IFERROR(VLOOKUP(A1079,PAR!$D$3:$E$53,2,FALSE),"nincs szervezet")</f>
        <v>nincs szervezet</v>
      </c>
      <c r="N1079" s="322" t="str">
        <f>VLOOKUP(F1079,PAR!$R$3:$S$5,2,FALSE)</f>
        <v>3 - egyik sem</v>
      </c>
      <c r="O1079" t="str">
        <f>IFERROR(VLOOKUP(J1079,PAR!$O$3:$P$5,2,FALSE),"nincs feladat")</f>
        <v>nincs feladat</v>
      </c>
      <c r="P1079" t="str">
        <f>IFERROR(VLOOKUP(G1079,PAR!$J$2:$M$19,4),"nincs rovat")</f>
        <v>nincs rovat</v>
      </c>
      <c r="Q1079" t="str">
        <f>IF(H1079&gt;0,VLOOKUP(H1079,PAR!$AA$3:$AC$187,3,FALSE),"nincs főkönyvi számla")</f>
        <v>nincs főkönyvi számla</v>
      </c>
      <c r="R1079" t="str">
        <f>IFERROR(VLOOKUP(K1079,PAR!$V$3:$X$438,3,FALSE),"000000 - Nincs COFOG")</f>
        <v>000000 - Nincs COFOG</v>
      </c>
      <c r="S1079">
        <f t="shared" si="316"/>
        <v>0</v>
      </c>
      <c r="T1079">
        <f t="shared" si="317"/>
        <v>0</v>
      </c>
      <c r="U1079" t="str">
        <f>IF('906MP'!J779&gt;0,CONCATENATE('906MP'!J779," - ",'906MP'!P779,", ",'906MP'!E779),"nincs megjegyzés")</f>
        <v>nincs megjegyzés</v>
      </c>
      <c r="V1079" t="str">
        <f t="shared" si="304"/>
        <v>0P0</v>
      </c>
      <c r="W1079" t="str">
        <f t="shared" si="305"/>
        <v>0P0</v>
      </c>
      <c r="X1079" t="str">
        <f t="shared" si="306"/>
        <v>P0</v>
      </c>
      <c r="Y1079" t="str">
        <f t="shared" si="307"/>
        <v>00</v>
      </c>
      <c r="Z1079" t="str">
        <f t="shared" si="318"/>
        <v>00</v>
      </c>
      <c r="AA1079" t="str">
        <f t="shared" si="308"/>
        <v>00</v>
      </c>
      <c r="AB1079" t="str">
        <f t="shared" si="309"/>
        <v>00</v>
      </c>
      <c r="AC1079" t="str">
        <f t="shared" si="310"/>
        <v>0P0</v>
      </c>
      <c r="AD1079" t="str">
        <f t="shared" si="311"/>
        <v>P00</v>
      </c>
      <c r="AE1079" t="str">
        <f t="shared" si="312"/>
        <v>0P0</v>
      </c>
      <c r="AF1079" t="str">
        <f t="shared" si="313"/>
        <v>P00</v>
      </c>
      <c r="AG1079" t="str">
        <f t="shared" si="319"/>
        <v>0P00</v>
      </c>
      <c r="AH1079" t="str">
        <f t="shared" si="320"/>
        <v>P000</v>
      </c>
      <c r="AI1079" t="str">
        <f t="shared" si="321"/>
        <v>0P00</v>
      </c>
      <c r="AJ1079" t="str">
        <f t="shared" si="322"/>
        <v>P000</v>
      </c>
    </row>
    <row r="1080" spans="1:36" x14ac:dyDescent="0.25">
      <c r="A1080" s="325" t="str">
        <f>CONCATENATE("P",'906MP'!M780)</f>
        <v>P</v>
      </c>
      <c r="B1080">
        <f>'906MP'!H780</f>
        <v>0</v>
      </c>
      <c r="C1080">
        <f>'906MP'!J780</f>
        <v>0</v>
      </c>
      <c r="D1080">
        <f>'906MP'!P780</f>
        <v>0</v>
      </c>
      <c r="E1080">
        <f>'906MP'!X780</f>
        <v>0</v>
      </c>
      <c r="F1080" t="str">
        <f t="shared" si="314"/>
        <v>0</v>
      </c>
      <c r="G1080" t="str">
        <f t="shared" si="315"/>
        <v>0</v>
      </c>
      <c r="H1080">
        <f>'906MP'!Y780</f>
        <v>0</v>
      </c>
      <c r="I1080">
        <f>'906MP'!AK780</f>
        <v>0</v>
      </c>
      <c r="J1080">
        <f>'906MP'!T780</f>
        <v>0</v>
      </c>
      <c r="K1080">
        <f>'906MP'!AJ780</f>
        <v>0</v>
      </c>
      <c r="L1080">
        <f>'906MP'!U780</f>
        <v>0</v>
      </c>
      <c r="M1080" s="322" t="str">
        <f>IFERROR(VLOOKUP(A1080,PAR!$D$3:$E$53,2,FALSE),"nincs szervezet")</f>
        <v>nincs szervezet</v>
      </c>
      <c r="N1080" s="322" t="str">
        <f>VLOOKUP(F1080,PAR!$R$3:$S$5,2,FALSE)</f>
        <v>3 - egyik sem</v>
      </c>
      <c r="O1080" t="str">
        <f>IFERROR(VLOOKUP(J1080,PAR!$O$3:$P$5,2,FALSE),"nincs feladat")</f>
        <v>nincs feladat</v>
      </c>
      <c r="P1080" t="str">
        <f>IFERROR(VLOOKUP(G1080,PAR!$J$2:$M$19,4),"nincs rovat")</f>
        <v>nincs rovat</v>
      </c>
      <c r="Q1080" t="str">
        <f>IF(H1080&gt;0,VLOOKUP(H1080,PAR!$AA$3:$AC$187,3,FALSE),"nincs főkönyvi számla")</f>
        <v>nincs főkönyvi számla</v>
      </c>
      <c r="R1080" t="str">
        <f>IFERROR(VLOOKUP(K1080,PAR!$V$3:$X$438,3,FALSE),"000000 - Nincs COFOG")</f>
        <v>000000 - Nincs COFOG</v>
      </c>
      <c r="S1080">
        <f t="shared" si="316"/>
        <v>0</v>
      </c>
      <c r="T1080">
        <f t="shared" si="317"/>
        <v>0</v>
      </c>
      <c r="U1080" t="str">
        <f>IF('906MP'!J780&gt;0,CONCATENATE('906MP'!J780," - ",'906MP'!P780,", ",'906MP'!E780),"nincs megjegyzés")</f>
        <v>nincs megjegyzés</v>
      </c>
      <c r="V1080" t="str">
        <f t="shared" si="304"/>
        <v>0P0</v>
      </c>
      <c r="W1080" t="str">
        <f t="shared" si="305"/>
        <v>0P0</v>
      </c>
      <c r="X1080" t="str">
        <f t="shared" si="306"/>
        <v>P0</v>
      </c>
      <c r="Y1080" t="str">
        <f t="shared" si="307"/>
        <v>00</v>
      </c>
      <c r="Z1080" t="str">
        <f t="shared" si="318"/>
        <v>00</v>
      </c>
      <c r="AA1080" t="str">
        <f t="shared" si="308"/>
        <v>00</v>
      </c>
      <c r="AB1080" t="str">
        <f t="shared" si="309"/>
        <v>00</v>
      </c>
      <c r="AC1080" t="str">
        <f t="shared" si="310"/>
        <v>0P0</v>
      </c>
      <c r="AD1080" t="str">
        <f t="shared" si="311"/>
        <v>P00</v>
      </c>
      <c r="AE1080" t="str">
        <f t="shared" si="312"/>
        <v>0P0</v>
      </c>
      <c r="AF1080" t="str">
        <f t="shared" si="313"/>
        <v>P00</v>
      </c>
      <c r="AG1080" t="str">
        <f t="shared" si="319"/>
        <v>0P00</v>
      </c>
      <c r="AH1080" t="str">
        <f t="shared" si="320"/>
        <v>P000</v>
      </c>
      <c r="AI1080" t="str">
        <f t="shared" si="321"/>
        <v>0P00</v>
      </c>
      <c r="AJ1080" t="str">
        <f t="shared" si="322"/>
        <v>P000</v>
      </c>
    </row>
    <row r="1081" spans="1:36" x14ac:dyDescent="0.25">
      <c r="A1081" s="325" t="str">
        <f>CONCATENATE("P",'906MP'!M781)</f>
        <v>P</v>
      </c>
      <c r="B1081">
        <f>'906MP'!H781</f>
        <v>0</v>
      </c>
      <c r="C1081">
        <f>'906MP'!J781</f>
        <v>0</v>
      </c>
      <c r="D1081">
        <f>'906MP'!P781</f>
        <v>0</v>
      </c>
      <c r="E1081">
        <f>'906MP'!X781</f>
        <v>0</v>
      </c>
      <c r="F1081" t="str">
        <f t="shared" si="314"/>
        <v>0</v>
      </c>
      <c r="G1081" t="str">
        <f t="shared" si="315"/>
        <v>0</v>
      </c>
      <c r="H1081">
        <f>'906MP'!Y781</f>
        <v>0</v>
      </c>
      <c r="I1081">
        <f>'906MP'!AK781</f>
        <v>0</v>
      </c>
      <c r="J1081">
        <f>'906MP'!T781</f>
        <v>0</v>
      </c>
      <c r="K1081">
        <f>'906MP'!AJ781</f>
        <v>0</v>
      </c>
      <c r="L1081">
        <f>'906MP'!U781</f>
        <v>0</v>
      </c>
      <c r="M1081" s="322" t="str">
        <f>IFERROR(VLOOKUP(A1081,PAR!$D$3:$E$53,2,FALSE),"nincs szervezet")</f>
        <v>nincs szervezet</v>
      </c>
      <c r="N1081" s="322" t="str">
        <f>VLOOKUP(F1081,PAR!$R$3:$S$5,2,FALSE)</f>
        <v>3 - egyik sem</v>
      </c>
      <c r="O1081" t="str">
        <f>IFERROR(VLOOKUP(J1081,PAR!$O$3:$P$5,2,FALSE),"nincs feladat")</f>
        <v>nincs feladat</v>
      </c>
      <c r="P1081" t="str">
        <f>IFERROR(VLOOKUP(G1081,PAR!$J$2:$M$19,4),"nincs rovat")</f>
        <v>nincs rovat</v>
      </c>
      <c r="Q1081" t="str">
        <f>IF(H1081&gt;0,VLOOKUP(H1081,PAR!$AA$3:$AC$187,3,FALSE),"nincs főkönyvi számla")</f>
        <v>nincs főkönyvi számla</v>
      </c>
      <c r="R1081" t="str">
        <f>IFERROR(VLOOKUP(K1081,PAR!$V$3:$X$438,3,FALSE),"000000 - Nincs COFOG")</f>
        <v>000000 - Nincs COFOG</v>
      </c>
      <c r="S1081">
        <f t="shared" si="316"/>
        <v>0</v>
      </c>
      <c r="T1081">
        <f t="shared" si="317"/>
        <v>0</v>
      </c>
      <c r="U1081" t="str">
        <f>IF('906MP'!J781&gt;0,CONCATENATE('906MP'!J781," - ",'906MP'!P781,", ",'906MP'!E781),"nincs megjegyzés")</f>
        <v>nincs megjegyzés</v>
      </c>
      <c r="V1081" t="str">
        <f t="shared" si="304"/>
        <v>0P0</v>
      </c>
      <c r="W1081" t="str">
        <f t="shared" si="305"/>
        <v>0P0</v>
      </c>
      <c r="X1081" t="str">
        <f t="shared" si="306"/>
        <v>P0</v>
      </c>
      <c r="Y1081" t="str">
        <f t="shared" si="307"/>
        <v>00</v>
      </c>
      <c r="Z1081" t="str">
        <f t="shared" si="318"/>
        <v>00</v>
      </c>
      <c r="AA1081" t="str">
        <f t="shared" si="308"/>
        <v>00</v>
      </c>
      <c r="AB1081" t="str">
        <f t="shared" si="309"/>
        <v>00</v>
      </c>
      <c r="AC1081" t="str">
        <f t="shared" si="310"/>
        <v>0P0</v>
      </c>
      <c r="AD1081" t="str">
        <f t="shared" si="311"/>
        <v>P00</v>
      </c>
      <c r="AE1081" t="str">
        <f t="shared" si="312"/>
        <v>0P0</v>
      </c>
      <c r="AF1081" t="str">
        <f t="shared" si="313"/>
        <v>P00</v>
      </c>
      <c r="AG1081" t="str">
        <f t="shared" si="319"/>
        <v>0P00</v>
      </c>
      <c r="AH1081" t="str">
        <f t="shared" si="320"/>
        <v>P000</v>
      </c>
      <c r="AI1081" t="str">
        <f t="shared" si="321"/>
        <v>0P00</v>
      </c>
      <c r="AJ1081" t="str">
        <f t="shared" si="322"/>
        <v>P000</v>
      </c>
    </row>
    <row r="1082" spans="1:36" x14ac:dyDescent="0.25">
      <c r="A1082" s="325" t="str">
        <f>CONCATENATE("P",'906MP'!M782)</f>
        <v>P</v>
      </c>
      <c r="B1082">
        <f>'906MP'!H782</f>
        <v>0</v>
      </c>
      <c r="C1082">
        <f>'906MP'!J782</f>
        <v>0</v>
      </c>
      <c r="D1082">
        <f>'906MP'!P782</f>
        <v>0</v>
      </c>
      <c r="E1082">
        <f>'906MP'!X782</f>
        <v>0</v>
      </c>
      <c r="F1082" t="str">
        <f t="shared" si="314"/>
        <v>0</v>
      </c>
      <c r="G1082" t="str">
        <f t="shared" si="315"/>
        <v>0</v>
      </c>
      <c r="H1082">
        <f>'906MP'!Y782</f>
        <v>0</v>
      </c>
      <c r="I1082">
        <f>'906MP'!AK782</f>
        <v>0</v>
      </c>
      <c r="J1082">
        <f>'906MP'!T782</f>
        <v>0</v>
      </c>
      <c r="K1082">
        <f>'906MP'!AJ782</f>
        <v>0</v>
      </c>
      <c r="L1082">
        <f>'906MP'!U782</f>
        <v>0</v>
      </c>
      <c r="M1082" s="322" t="str">
        <f>IFERROR(VLOOKUP(A1082,PAR!$D$3:$E$53,2,FALSE),"nincs szervezet")</f>
        <v>nincs szervezet</v>
      </c>
      <c r="N1082" s="322" t="str">
        <f>VLOOKUP(F1082,PAR!$R$3:$S$5,2,FALSE)</f>
        <v>3 - egyik sem</v>
      </c>
      <c r="O1082" t="str">
        <f>IFERROR(VLOOKUP(J1082,PAR!$O$3:$P$5,2,FALSE),"nincs feladat")</f>
        <v>nincs feladat</v>
      </c>
      <c r="P1082" t="str">
        <f>IFERROR(VLOOKUP(G1082,PAR!$J$2:$M$19,4),"nincs rovat")</f>
        <v>nincs rovat</v>
      </c>
      <c r="Q1082" t="str">
        <f>IF(H1082&gt;0,VLOOKUP(H1082,PAR!$AA$3:$AC$187,3,FALSE),"nincs főkönyvi számla")</f>
        <v>nincs főkönyvi számla</v>
      </c>
      <c r="R1082" t="str">
        <f>IFERROR(VLOOKUP(K1082,PAR!$V$3:$X$438,3,FALSE),"000000 - Nincs COFOG")</f>
        <v>000000 - Nincs COFOG</v>
      </c>
      <c r="S1082">
        <f t="shared" si="316"/>
        <v>0</v>
      </c>
      <c r="T1082">
        <f t="shared" si="317"/>
        <v>0</v>
      </c>
      <c r="U1082" t="str">
        <f>IF('906MP'!J782&gt;0,CONCATENATE('906MP'!J782," - ",'906MP'!P782,", ",'906MP'!E782),"nincs megjegyzés")</f>
        <v>nincs megjegyzés</v>
      </c>
      <c r="V1082" t="str">
        <f t="shared" si="304"/>
        <v>0P0</v>
      </c>
      <c r="W1082" t="str">
        <f t="shared" si="305"/>
        <v>0P0</v>
      </c>
      <c r="X1082" t="str">
        <f t="shared" si="306"/>
        <v>P0</v>
      </c>
      <c r="Y1082" t="str">
        <f t="shared" si="307"/>
        <v>00</v>
      </c>
      <c r="Z1082" t="str">
        <f t="shared" si="318"/>
        <v>00</v>
      </c>
      <c r="AA1082" t="str">
        <f t="shared" si="308"/>
        <v>00</v>
      </c>
      <c r="AB1082" t="str">
        <f t="shared" si="309"/>
        <v>00</v>
      </c>
      <c r="AC1082" t="str">
        <f t="shared" si="310"/>
        <v>0P0</v>
      </c>
      <c r="AD1082" t="str">
        <f t="shared" si="311"/>
        <v>P00</v>
      </c>
      <c r="AE1082" t="str">
        <f t="shared" si="312"/>
        <v>0P0</v>
      </c>
      <c r="AF1082" t="str">
        <f t="shared" si="313"/>
        <v>P00</v>
      </c>
      <c r="AG1082" t="str">
        <f t="shared" si="319"/>
        <v>0P00</v>
      </c>
      <c r="AH1082" t="str">
        <f t="shared" si="320"/>
        <v>P000</v>
      </c>
      <c r="AI1082" t="str">
        <f t="shared" si="321"/>
        <v>0P00</v>
      </c>
      <c r="AJ1082" t="str">
        <f t="shared" si="322"/>
        <v>P000</v>
      </c>
    </row>
    <row r="1083" spans="1:36" x14ac:dyDescent="0.25">
      <c r="A1083" s="325" t="str">
        <f>CONCATENATE("P",'906MP'!M783)</f>
        <v>P</v>
      </c>
      <c r="B1083">
        <f>'906MP'!H783</f>
        <v>0</v>
      </c>
      <c r="C1083">
        <f>'906MP'!J783</f>
        <v>0</v>
      </c>
      <c r="D1083">
        <f>'906MP'!P783</f>
        <v>0</v>
      </c>
      <c r="E1083">
        <f>'906MP'!X783</f>
        <v>0</v>
      </c>
      <c r="F1083" t="str">
        <f t="shared" si="314"/>
        <v>0</v>
      </c>
      <c r="G1083" t="str">
        <f t="shared" si="315"/>
        <v>0</v>
      </c>
      <c r="H1083">
        <f>'906MP'!Y783</f>
        <v>0</v>
      </c>
      <c r="I1083">
        <f>'906MP'!AK783</f>
        <v>0</v>
      </c>
      <c r="J1083">
        <f>'906MP'!T783</f>
        <v>0</v>
      </c>
      <c r="K1083">
        <f>'906MP'!AJ783</f>
        <v>0</v>
      </c>
      <c r="L1083">
        <f>'906MP'!U783</f>
        <v>0</v>
      </c>
      <c r="M1083" s="322" t="str">
        <f>IFERROR(VLOOKUP(A1083,PAR!$D$3:$E$53,2,FALSE),"nincs szervezet")</f>
        <v>nincs szervezet</v>
      </c>
      <c r="N1083" s="322" t="str">
        <f>VLOOKUP(F1083,PAR!$R$3:$S$5,2,FALSE)</f>
        <v>3 - egyik sem</v>
      </c>
      <c r="O1083" t="str">
        <f>IFERROR(VLOOKUP(J1083,PAR!$O$3:$P$5,2,FALSE),"nincs feladat")</f>
        <v>nincs feladat</v>
      </c>
      <c r="P1083" t="str">
        <f>IFERROR(VLOOKUP(G1083,PAR!$J$2:$M$19,4),"nincs rovat")</f>
        <v>nincs rovat</v>
      </c>
      <c r="Q1083" t="str">
        <f>IF(H1083&gt;0,VLOOKUP(H1083,PAR!$AA$3:$AC$187,3,FALSE),"nincs főkönyvi számla")</f>
        <v>nincs főkönyvi számla</v>
      </c>
      <c r="R1083" t="str">
        <f>IFERROR(VLOOKUP(K1083,PAR!$V$3:$X$438,3,FALSE),"000000 - Nincs COFOG")</f>
        <v>000000 - Nincs COFOG</v>
      </c>
      <c r="S1083">
        <f t="shared" si="316"/>
        <v>0</v>
      </c>
      <c r="T1083">
        <f t="shared" si="317"/>
        <v>0</v>
      </c>
      <c r="U1083" t="str">
        <f>IF('906MP'!J783&gt;0,CONCATENATE('906MP'!J783," - ",'906MP'!P783,", ",'906MP'!E783),"nincs megjegyzés")</f>
        <v>nincs megjegyzés</v>
      </c>
      <c r="V1083" t="str">
        <f t="shared" si="304"/>
        <v>0P0</v>
      </c>
      <c r="W1083" t="str">
        <f t="shared" si="305"/>
        <v>0P0</v>
      </c>
      <c r="X1083" t="str">
        <f t="shared" si="306"/>
        <v>P0</v>
      </c>
      <c r="Y1083" t="str">
        <f t="shared" si="307"/>
        <v>00</v>
      </c>
      <c r="Z1083" t="str">
        <f t="shared" si="318"/>
        <v>00</v>
      </c>
      <c r="AA1083" t="str">
        <f t="shared" si="308"/>
        <v>00</v>
      </c>
      <c r="AB1083" t="str">
        <f t="shared" si="309"/>
        <v>00</v>
      </c>
      <c r="AC1083" t="str">
        <f t="shared" si="310"/>
        <v>0P0</v>
      </c>
      <c r="AD1083" t="str">
        <f t="shared" si="311"/>
        <v>P00</v>
      </c>
      <c r="AE1083" t="str">
        <f t="shared" si="312"/>
        <v>0P0</v>
      </c>
      <c r="AF1083" t="str">
        <f t="shared" si="313"/>
        <v>P00</v>
      </c>
      <c r="AG1083" t="str">
        <f t="shared" si="319"/>
        <v>0P00</v>
      </c>
      <c r="AH1083" t="str">
        <f t="shared" si="320"/>
        <v>P000</v>
      </c>
      <c r="AI1083" t="str">
        <f t="shared" si="321"/>
        <v>0P00</v>
      </c>
      <c r="AJ1083" t="str">
        <f t="shared" si="322"/>
        <v>P000</v>
      </c>
    </row>
    <row r="1084" spans="1:36" x14ac:dyDescent="0.25">
      <c r="A1084" s="325" t="str">
        <f>CONCATENATE("P",'906MP'!M784)</f>
        <v>P</v>
      </c>
      <c r="B1084">
        <f>'906MP'!H784</f>
        <v>0</v>
      </c>
      <c r="C1084">
        <f>'906MP'!J784</f>
        <v>0</v>
      </c>
      <c r="D1084">
        <f>'906MP'!P784</f>
        <v>0</v>
      </c>
      <c r="E1084">
        <f>'906MP'!X784</f>
        <v>0</v>
      </c>
      <c r="F1084" t="str">
        <f t="shared" si="314"/>
        <v>0</v>
      </c>
      <c r="G1084" t="str">
        <f t="shared" si="315"/>
        <v>0</v>
      </c>
      <c r="H1084">
        <f>'906MP'!Y784</f>
        <v>0</v>
      </c>
      <c r="I1084">
        <f>'906MP'!AK784</f>
        <v>0</v>
      </c>
      <c r="J1084">
        <f>'906MP'!T784</f>
        <v>0</v>
      </c>
      <c r="K1084">
        <f>'906MP'!AJ784</f>
        <v>0</v>
      </c>
      <c r="L1084">
        <f>'906MP'!U784</f>
        <v>0</v>
      </c>
      <c r="M1084" s="322" t="str">
        <f>IFERROR(VLOOKUP(A1084,PAR!$D$3:$E$53,2,FALSE),"nincs szervezet")</f>
        <v>nincs szervezet</v>
      </c>
      <c r="N1084" s="322" t="str">
        <f>VLOOKUP(F1084,PAR!$R$3:$S$5,2,FALSE)</f>
        <v>3 - egyik sem</v>
      </c>
      <c r="O1084" t="str">
        <f>IFERROR(VLOOKUP(J1084,PAR!$O$3:$P$5,2,FALSE),"nincs feladat")</f>
        <v>nincs feladat</v>
      </c>
      <c r="P1084" t="str">
        <f>IFERROR(VLOOKUP(G1084,PAR!$J$2:$M$19,4),"nincs rovat")</f>
        <v>nincs rovat</v>
      </c>
      <c r="Q1084" t="str">
        <f>IF(H1084&gt;0,VLOOKUP(H1084,PAR!$AA$3:$AC$187,3,FALSE),"nincs főkönyvi számla")</f>
        <v>nincs főkönyvi számla</v>
      </c>
      <c r="R1084" t="str">
        <f>IFERROR(VLOOKUP(K1084,PAR!$V$3:$X$438,3,FALSE),"000000 - Nincs COFOG")</f>
        <v>000000 - Nincs COFOG</v>
      </c>
      <c r="S1084">
        <f t="shared" si="316"/>
        <v>0</v>
      </c>
      <c r="T1084">
        <f t="shared" si="317"/>
        <v>0</v>
      </c>
      <c r="U1084" t="str">
        <f>IF('906MP'!J784&gt;0,CONCATENATE('906MP'!J784," - ",'906MP'!P784,", ",'906MP'!E784),"nincs megjegyzés")</f>
        <v>nincs megjegyzés</v>
      </c>
      <c r="V1084" t="str">
        <f t="shared" si="304"/>
        <v>0P0</v>
      </c>
      <c r="W1084" t="str">
        <f t="shared" si="305"/>
        <v>0P0</v>
      </c>
      <c r="X1084" t="str">
        <f t="shared" si="306"/>
        <v>P0</v>
      </c>
      <c r="Y1084" t="str">
        <f t="shared" si="307"/>
        <v>00</v>
      </c>
      <c r="Z1084" t="str">
        <f t="shared" si="318"/>
        <v>00</v>
      </c>
      <c r="AA1084" t="str">
        <f t="shared" si="308"/>
        <v>00</v>
      </c>
      <c r="AB1084" t="str">
        <f t="shared" si="309"/>
        <v>00</v>
      </c>
      <c r="AC1084" t="str">
        <f t="shared" si="310"/>
        <v>0P0</v>
      </c>
      <c r="AD1084" t="str">
        <f t="shared" si="311"/>
        <v>P00</v>
      </c>
      <c r="AE1084" t="str">
        <f t="shared" si="312"/>
        <v>0P0</v>
      </c>
      <c r="AF1084" t="str">
        <f t="shared" si="313"/>
        <v>P00</v>
      </c>
      <c r="AG1084" t="str">
        <f t="shared" si="319"/>
        <v>0P00</v>
      </c>
      <c r="AH1084" t="str">
        <f t="shared" si="320"/>
        <v>P000</v>
      </c>
      <c r="AI1084" t="str">
        <f t="shared" si="321"/>
        <v>0P00</v>
      </c>
      <c r="AJ1084" t="str">
        <f t="shared" si="322"/>
        <v>P000</v>
      </c>
    </row>
    <row r="1085" spans="1:36" x14ac:dyDescent="0.25">
      <c r="A1085" s="325" t="str">
        <f>CONCATENATE("P",'906MP'!M785)</f>
        <v>P</v>
      </c>
      <c r="B1085">
        <f>'906MP'!H785</f>
        <v>0</v>
      </c>
      <c r="C1085">
        <f>'906MP'!J785</f>
        <v>0</v>
      </c>
      <c r="D1085">
        <f>'906MP'!P785</f>
        <v>0</v>
      </c>
      <c r="E1085">
        <f>'906MP'!X785</f>
        <v>0</v>
      </c>
      <c r="F1085" t="str">
        <f t="shared" si="314"/>
        <v>0</v>
      </c>
      <c r="G1085" t="str">
        <f t="shared" si="315"/>
        <v>0</v>
      </c>
      <c r="H1085">
        <f>'906MP'!Y785</f>
        <v>0</v>
      </c>
      <c r="I1085">
        <f>'906MP'!AK785</f>
        <v>0</v>
      </c>
      <c r="J1085">
        <f>'906MP'!T785</f>
        <v>0</v>
      </c>
      <c r="K1085">
        <f>'906MP'!AJ785</f>
        <v>0</v>
      </c>
      <c r="L1085">
        <f>'906MP'!U785</f>
        <v>0</v>
      </c>
      <c r="M1085" s="322" t="str">
        <f>IFERROR(VLOOKUP(A1085,PAR!$D$3:$E$53,2,FALSE),"nincs szervezet")</f>
        <v>nincs szervezet</v>
      </c>
      <c r="N1085" s="322" t="str">
        <f>VLOOKUP(F1085,PAR!$R$3:$S$5,2,FALSE)</f>
        <v>3 - egyik sem</v>
      </c>
      <c r="O1085" t="str">
        <f>IFERROR(VLOOKUP(J1085,PAR!$O$3:$P$5,2,FALSE),"nincs feladat")</f>
        <v>nincs feladat</v>
      </c>
      <c r="P1085" t="str">
        <f>IFERROR(VLOOKUP(G1085,PAR!$J$2:$M$19,4),"nincs rovat")</f>
        <v>nincs rovat</v>
      </c>
      <c r="Q1085" t="str">
        <f>IF(H1085&gt;0,VLOOKUP(H1085,PAR!$AA$3:$AC$187,3,FALSE),"nincs főkönyvi számla")</f>
        <v>nincs főkönyvi számla</v>
      </c>
      <c r="R1085" t="str">
        <f>IFERROR(VLOOKUP(K1085,PAR!$V$3:$X$438,3,FALSE),"000000 - Nincs COFOG")</f>
        <v>000000 - Nincs COFOG</v>
      </c>
      <c r="S1085">
        <f t="shared" si="316"/>
        <v>0</v>
      </c>
      <c r="T1085">
        <f t="shared" si="317"/>
        <v>0</v>
      </c>
      <c r="U1085" t="str">
        <f>IF('906MP'!J785&gt;0,CONCATENATE('906MP'!J785," - ",'906MP'!P785,", ",'906MP'!E785),"nincs megjegyzés")</f>
        <v>nincs megjegyzés</v>
      </c>
      <c r="V1085" t="str">
        <f t="shared" si="304"/>
        <v>0P0</v>
      </c>
      <c r="W1085" t="str">
        <f t="shared" si="305"/>
        <v>0P0</v>
      </c>
      <c r="X1085" t="str">
        <f t="shared" si="306"/>
        <v>P0</v>
      </c>
      <c r="Y1085" t="str">
        <f t="shared" si="307"/>
        <v>00</v>
      </c>
      <c r="Z1085" t="str">
        <f t="shared" si="318"/>
        <v>00</v>
      </c>
      <c r="AA1085" t="str">
        <f t="shared" si="308"/>
        <v>00</v>
      </c>
      <c r="AB1085" t="str">
        <f t="shared" si="309"/>
        <v>00</v>
      </c>
      <c r="AC1085" t="str">
        <f t="shared" si="310"/>
        <v>0P0</v>
      </c>
      <c r="AD1085" t="str">
        <f t="shared" si="311"/>
        <v>P00</v>
      </c>
      <c r="AE1085" t="str">
        <f t="shared" si="312"/>
        <v>0P0</v>
      </c>
      <c r="AF1085" t="str">
        <f t="shared" si="313"/>
        <v>P00</v>
      </c>
      <c r="AG1085" t="str">
        <f t="shared" si="319"/>
        <v>0P00</v>
      </c>
      <c r="AH1085" t="str">
        <f t="shared" si="320"/>
        <v>P000</v>
      </c>
      <c r="AI1085" t="str">
        <f t="shared" si="321"/>
        <v>0P00</v>
      </c>
      <c r="AJ1085" t="str">
        <f t="shared" si="322"/>
        <v>P000</v>
      </c>
    </row>
    <row r="1086" spans="1:36" x14ac:dyDescent="0.25">
      <c r="A1086" s="325" t="str">
        <f>CONCATENATE("P",'906MP'!M786)</f>
        <v>P</v>
      </c>
      <c r="B1086">
        <f>'906MP'!H786</f>
        <v>0</v>
      </c>
      <c r="C1086">
        <f>'906MP'!J786</f>
        <v>0</v>
      </c>
      <c r="D1086">
        <f>'906MP'!P786</f>
        <v>0</v>
      </c>
      <c r="E1086">
        <f>'906MP'!X786</f>
        <v>0</v>
      </c>
      <c r="F1086" t="str">
        <f t="shared" si="314"/>
        <v>0</v>
      </c>
      <c r="G1086" t="str">
        <f t="shared" si="315"/>
        <v>0</v>
      </c>
      <c r="H1086">
        <f>'906MP'!Y786</f>
        <v>0</v>
      </c>
      <c r="I1086">
        <f>'906MP'!AK786</f>
        <v>0</v>
      </c>
      <c r="J1086">
        <f>'906MP'!T786</f>
        <v>0</v>
      </c>
      <c r="K1086">
        <f>'906MP'!AJ786</f>
        <v>0</v>
      </c>
      <c r="L1086">
        <f>'906MP'!U786</f>
        <v>0</v>
      </c>
      <c r="M1086" s="322" t="str">
        <f>IFERROR(VLOOKUP(A1086,PAR!$D$3:$E$53,2,FALSE),"nincs szervezet")</f>
        <v>nincs szervezet</v>
      </c>
      <c r="N1086" s="322" t="str">
        <f>VLOOKUP(F1086,PAR!$R$3:$S$5,2,FALSE)</f>
        <v>3 - egyik sem</v>
      </c>
      <c r="O1086" t="str">
        <f>IFERROR(VLOOKUP(J1086,PAR!$O$3:$P$5,2,FALSE),"nincs feladat")</f>
        <v>nincs feladat</v>
      </c>
      <c r="P1086" t="str">
        <f>IFERROR(VLOOKUP(G1086,PAR!$J$2:$M$19,4),"nincs rovat")</f>
        <v>nincs rovat</v>
      </c>
      <c r="Q1086" t="str">
        <f>IF(H1086&gt;0,VLOOKUP(H1086,PAR!$AA$3:$AC$187,3,FALSE),"nincs főkönyvi számla")</f>
        <v>nincs főkönyvi számla</v>
      </c>
      <c r="R1086" t="str">
        <f>IFERROR(VLOOKUP(K1086,PAR!$V$3:$X$438,3,FALSE),"000000 - Nincs COFOG")</f>
        <v>000000 - Nincs COFOG</v>
      </c>
      <c r="S1086">
        <f t="shared" si="316"/>
        <v>0</v>
      </c>
      <c r="T1086">
        <f t="shared" si="317"/>
        <v>0</v>
      </c>
      <c r="U1086" t="str">
        <f>IF('906MP'!J786&gt;0,CONCATENATE('906MP'!J786," - ",'906MP'!P786,", ",'906MP'!E786),"nincs megjegyzés")</f>
        <v>nincs megjegyzés</v>
      </c>
      <c r="V1086" t="str">
        <f t="shared" si="304"/>
        <v>0P0</v>
      </c>
      <c r="W1086" t="str">
        <f t="shared" si="305"/>
        <v>0P0</v>
      </c>
      <c r="X1086" t="str">
        <f t="shared" si="306"/>
        <v>P0</v>
      </c>
      <c r="Y1086" t="str">
        <f t="shared" si="307"/>
        <v>00</v>
      </c>
      <c r="Z1086" t="str">
        <f t="shared" si="318"/>
        <v>00</v>
      </c>
      <c r="AA1086" t="str">
        <f t="shared" si="308"/>
        <v>00</v>
      </c>
      <c r="AB1086" t="str">
        <f t="shared" si="309"/>
        <v>00</v>
      </c>
      <c r="AC1086" t="str">
        <f t="shared" si="310"/>
        <v>0P0</v>
      </c>
      <c r="AD1086" t="str">
        <f t="shared" si="311"/>
        <v>P00</v>
      </c>
      <c r="AE1086" t="str">
        <f t="shared" si="312"/>
        <v>0P0</v>
      </c>
      <c r="AF1086" t="str">
        <f t="shared" si="313"/>
        <v>P00</v>
      </c>
      <c r="AG1086" t="str">
        <f t="shared" si="319"/>
        <v>0P00</v>
      </c>
      <c r="AH1086" t="str">
        <f t="shared" si="320"/>
        <v>P000</v>
      </c>
      <c r="AI1086" t="str">
        <f t="shared" si="321"/>
        <v>0P00</v>
      </c>
      <c r="AJ1086" t="str">
        <f t="shared" si="322"/>
        <v>P000</v>
      </c>
    </row>
    <row r="1087" spans="1:36" x14ac:dyDescent="0.25">
      <c r="A1087" s="325" t="str">
        <f>CONCATENATE("P",'906MP'!M787)</f>
        <v>P</v>
      </c>
      <c r="B1087">
        <f>'906MP'!H787</f>
        <v>0</v>
      </c>
      <c r="C1087">
        <f>'906MP'!J787</f>
        <v>0</v>
      </c>
      <c r="D1087">
        <f>'906MP'!P787</f>
        <v>0</v>
      </c>
      <c r="E1087">
        <f>'906MP'!X787</f>
        <v>0</v>
      </c>
      <c r="F1087" t="str">
        <f t="shared" si="314"/>
        <v>0</v>
      </c>
      <c r="G1087" t="str">
        <f t="shared" si="315"/>
        <v>0</v>
      </c>
      <c r="H1087">
        <f>'906MP'!Y787</f>
        <v>0</v>
      </c>
      <c r="I1087">
        <f>'906MP'!AK787</f>
        <v>0</v>
      </c>
      <c r="J1087">
        <f>'906MP'!T787</f>
        <v>0</v>
      </c>
      <c r="K1087">
        <f>'906MP'!AJ787</f>
        <v>0</v>
      </c>
      <c r="L1087">
        <f>'906MP'!U787</f>
        <v>0</v>
      </c>
      <c r="M1087" s="322" t="str">
        <f>IFERROR(VLOOKUP(A1087,PAR!$D$3:$E$53,2,FALSE),"nincs szervezet")</f>
        <v>nincs szervezet</v>
      </c>
      <c r="N1087" s="322" t="str">
        <f>VLOOKUP(F1087,PAR!$R$3:$S$5,2,FALSE)</f>
        <v>3 - egyik sem</v>
      </c>
      <c r="O1087" t="str">
        <f>IFERROR(VLOOKUP(J1087,PAR!$O$3:$P$5,2,FALSE),"nincs feladat")</f>
        <v>nincs feladat</v>
      </c>
      <c r="P1087" t="str">
        <f>IFERROR(VLOOKUP(G1087,PAR!$J$2:$M$19,4),"nincs rovat")</f>
        <v>nincs rovat</v>
      </c>
      <c r="Q1087" t="str">
        <f>IF(H1087&gt;0,VLOOKUP(H1087,PAR!$AA$3:$AC$187,3,FALSE),"nincs főkönyvi számla")</f>
        <v>nincs főkönyvi számla</v>
      </c>
      <c r="R1087" t="str">
        <f>IFERROR(VLOOKUP(K1087,PAR!$V$3:$X$438,3,FALSE),"000000 - Nincs COFOG")</f>
        <v>000000 - Nincs COFOG</v>
      </c>
      <c r="S1087">
        <f t="shared" si="316"/>
        <v>0</v>
      </c>
      <c r="T1087">
        <f t="shared" si="317"/>
        <v>0</v>
      </c>
      <c r="U1087" t="str">
        <f>IF('906MP'!J787&gt;0,CONCATENATE('906MP'!J787," - ",'906MP'!P787,", ",'906MP'!E787),"nincs megjegyzés")</f>
        <v>nincs megjegyzés</v>
      </c>
      <c r="V1087" t="str">
        <f t="shared" si="304"/>
        <v>0P0</v>
      </c>
      <c r="W1087" t="str">
        <f t="shared" si="305"/>
        <v>0P0</v>
      </c>
      <c r="X1087" t="str">
        <f t="shared" si="306"/>
        <v>P0</v>
      </c>
      <c r="Y1087" t="str">
        <f t="shared" si="307"/>
        <v>00</v>
      </c>
      <c r="Z1087" t="str">
        <f t="shared" si="318"/>
        <v>00</v>
      </c>
      <c r="AA1087" t="str">
        <f t="shared" si="308"/>
        <v>00</v>
      </c>
      <c r="AB1087" t="str">
        <f t="shared" si="309"/>
        <v>00</v>
      </c>
      <c r="AC1087" t="str">
        <f t="shared" si="310"/>
        <v>0P0</v>
      </c>
      <c r="AD1087" t="str">
        <f t="shared" si="311"/>
        <v>P00</v>
      </c>
      <c r="AE1087" t="str">
        <f t="shared" si="312"/>
        <v>0P0</v>
      </c>
      <c r="AF1087" t="str">
        <f t="shared" si="313"/>
        <v>P00</v>
      </c>
      <c r="AG1087" t="str">
        <f t="shared" si="319"/>
        <v>0P00</v>
      </c>
      <c r="AH1087" t="str">
        <f t="shared" si="320"/>
        <v>P000</v>
      </c>
      <c r="AI1087" t="str">
        <f t="shared" si="321"/>
        <v>0P00</v>
      </c>
      <c r="AJ1087" t="str">
        <f t="shared" si="322"/>
        <v>P000</v>
      </c>
    </row>
    <row r="1088" spans="1:36" x14ac:dyDescent="0.25">
      <c r="A1088" s="325" t="str">
        <f>CONCATENATE("P",'906MP'!M788)</f>
        <v>P</v>
      </c>
      <c r="B1088">
        <f>'906MP'!H788</f>
        <v>0</v>
      </c>
      <c r="C1088">
        <f>'906MP'!J788</f>
        <v>0</v>
      </c>
      <c r="D1088">
        <f>'906MP'!P788</f>
        <v>0</v>
      </c>
      <c r="E1088">
        <f>'906MP'!X788</f>
        <v>0</v>
      </c>
      <c r="F1088" t="str">
        <f t="shared" si="314"/>
        <v>0</v>
      </c>
      <c r="G1088" t="str">
        <f t="shared" si="315"/>
        <v>0</v>
      </c>
      <c r="H1088">
        <f>'906MP'!Y788</f>
        <v>0</v>
      </c>
      <c r="I1088">
        <f>'906MP'!AK788</f>
        <v>0</v>
      </c>
      <c r="J1088">
        <f>'906MP'!T788</f>
        <v>0</v>
      </c>
      <c r="K1088">
        <f>'906MP'!AJ788</f>
        <v>0</v>
      </c>
      <c r="L1088">
        <f>'906MP'!U788</f>
        <v>0</v>
      </c>
      <c r="M1088" s="322" t="str">
        <f>IFERROR(VLOOKUP(A1088,PAR!$D$3:$E$53,2,FALSE),"nincs szervezet")</f>
        <v>nincs szervezet</v>
      </c>
      <c r="N1088" s="322" t="str">
        <f>VLOOKUP(F1088,PAR!$R$3:$S$5,2,FALSE)</f>
        <v>3 - egyik sem</v>
      </c>
      <c r="O1088" t="str">
        <f>IFERROR(VLOOKUP(J1088,PAR!$O$3:$P$5,2,FALSE),"nincs feladat")</f>
        <v>nincs feladat</v>
      </c>
      <c r="P1088" t="str">
        <f>IFERROR(VLOOKUP(G1088,PAR!$J$2:$M$19,4),"nincs rovat")</f>
        <v>nincs rovat</v>
      </c>
      <c r="Q1088" t="str">
        <f>IF(H1088&gt;0,VLOOKUP(H1088,PAR!$AA$3:$AC$187,3,FALSE),"nincs főkönyvi számla")</f>
        <v>nincs főkönyvi számla</v>
      </c>
      <c r="R1088" t="str">
        <f>IFERROR(VLOOKUP(K1088,PAR!$V$3:$X$438,3,FALSE),"000000 - Nincs COFOG")</f>
        <v>000000 - Nincs COFOG</v>
      </c>
      <c r="S1088">
        <f t="shared" si="316"/>
        <v>0</v>
      </c>
      <c r="T1088">
        <f t="shared" si="317"/>
        <v>0</v>
      </c>
      <c r="U1088" t="str">
        <f>IF('906MP'!J788&gt;0,CONCATENATE('906MP'!J788," - ",'906MP'!P788,", ",'906MP'!E788),"nincs megjegyzés")</f>
        <v>nincs megjegyzés</v>
      </c>
      <c r="V1088" t="str">
        <f t="shared" si="304"/>
        <v>0P0</v>
      </c>
      <c r="W1088" t="str">
        <f t="shared" si="305"/>
        <v>0P0</v>
      </c>
      <c r="X1088" t="str">
        <f t="shared" si="306"/>
        <v>P0</v>
      </c>
      <c r="Y1088" t="str">
        <f t="shared" si="307"/>
        <v>00</v>
      </c>
      <c r="Z1088" t="str">
        <f t="shared" si="318"/>
        <v>00</v>
      </c>
      <c r="AA1088" t="str">
        <f t="shared" si="308"/>
        <v>00</v>
      </c>
      <c r="AB1088" t="str">
        <f t="shared" si="309"/>
        <v>00</v>
      </c>
      <c r="AC1088" t="str">
        <f t="shared" si="310"/>
        <v>0P0</v>
      </c>
      <c r="AD1088" t="str">
        <f t="shared" si="311"/>
        <v>P00</v>
      </c>
      <c r="AE1088" t="str">
        <f t="shared" si="312"/>
        <v>0P0</v>
      </c>
      <c r="AF1088" t="str">
        <f t="shared" si="313"/>
        <v>P00</v>
      </c>
      <c r="AG1088" t="str">
        <f t="shared" si="319"/>
        <v>0P00</v>
      </c>
      <c r="AH1088" t="str">
        <f t="shared" si="320"/>
        <v>P000</v>
      </c>
      <c r="AI1088" t="str">
        <f t="shared" si="321"/>
        <v>0P00</v>
      </c>
      <c r="AJ1088" t="str">
        <f t="shared" si="322"/>
        <v>P000</v>
      </c>
    </row>
    <row r="1089" spans="1:36" x14ac:dyDescent="0.25">
      <c r="A1089" s="325" t="str">
        <f>CONCATENATE("P",'906MP'!M789)</f>
        <v>P</v>
      </c>
      <c r="B1089">
        <f>'906MP'!H789</f>
        <v>0</v>
      </c>
      <c r="C1089">
        <f>'906MP'!J789</f>
        <v>0</v>
      </c>
      <c r="D1089">
        <f>'906MP'!P789</f>
        <v>0</v>
      </c>
      <c r="E1089">
        <f>'906MP'!X789</f>
        <v>0</v>
      </c>
      <c r="F1089" t="str">
        <f t="shared" si="314"/>
        <v>0</v>
      </c>
      <c r="G1089" t="str">
        <f t="shared" si="315"/>
        <v>0</v>
      </c>
      <c r="H1089">
        <f>'906MP'!Y789</f>
        <v>0</v>
      </c>
      <c r="I1089">
        <f>'906MP'!AK789</f>
        <v>0</v>
      </c>
      <c r="J1089">
        <f>'906MP'!T789</f>
        <v>0</v>
      </c>
      <c r="K1089">
        <f>'906MP'!AJ789</f>
        <v>0</v>
      </c>
      <c r="L1089">
        <f>'906MP'!U789</f>
        <v>0</v>
      </c>
      <c r="M1089" s="322" t="str">
        <f>IFERROR(VLOOKUP(A1089,PAR!$D$3:$E$53,2,FALSE),"nincs szervezet")</f>
        <v>nincs szervezet</v>
      </c>
      <c r="N1089" s="322" t="str">
        <f>VLOOKUP(F1089,PAR!$R$3:$S$5,2,FALSE)</f>
        <v>3 - egyik sem</v>
      </c>
      <c r="O1089" t="str">
        <f>IFERROR(VLOOKUP(J1089,PAR!$O$3:$P$5,2,FALSE),"nincs feladat")</f>
        <v>nincs feladat</v>
      </c>
      <c r="P1089" t="str">
        <f>IFERROR(VLOOKUP(G1089,PAR!$J$2:$M$19,4),"nincs rovat")</f>
        <v>nincs rovat</v>
      </c>
      <c r="Q1089" t="str">
        <f>IF(H1089&gt;0,VLOOKUP(H1089,PAR!$AA$3:$AC$187,3,FALSE),"nincs főkönyvi számla")</f>
        <v>nincs főkönyvi számla</v>
      </c>
      <c r="R1089" t="str">
        <f>IFERROR(VLOOKUP(K1089,PAR!$V$3:$X$438,3,FALSE),"000000 - Nincs COFOG")</f>
        <v>000000 - Nincs COFOG</v>
      </c>
      <c r="S1089">
        <f t="shared" si="316"/>
        <v>0</v>
      </c>
      <c r="T1089">
        <f t="shared" si="317"/>
        <v>0</v>
      </c>
      <c r="U1089" t="str">
        <f>IF('906MP'!J789&gt;0,CONCATENATE('906MP'!J789," - ",'906MP'!P789,", ",'906MP'!E789),"nincs megjegyzés")</f>
        <v>nincs megjegyzés</v>
      </c>
      <c r="V1089" t="str">
        <f t="shared" si="304"/>
        <v>0P0</v>
      </c>
      <c r="W1089" t="str">
        <f t="shared" si="305"/>
        <v>0P0</v>
      </c>
      <c r="X1089" t="str">
        <f t="shared" si="306"/>
        <v>P0</v>
      </c>
      <c r="Y1089" t="str">
        <f t="shared" si="307"/>
        <v>00</v>
      </c>
      <c r="Z1089" t="str">
        <f t="shared" si="318"/>
        <v>00</v>
      </c>
      <c r="AA1089" t="str">
        <f t="shared" si="308"/>
        <v>00</v>
      </c>
      <c r="AB1089" t="str">
        <f t="shared" si="309"/>
        <v>00</v>
      </c>
      <c r="AC1089" t="str">
        <f t="shared" si="310"/>
        <v>0P0</v>
      </c>
      <c r="AD1089" t="str">
        <f t="shared" si="311"/>
        <v>P00</v>
      </c>
      <c r="AE1089" t="str">
        <f t="shared" si="312"/>
        <v>0P0</v>
      </c>
      <c r="AF1089" t="str">
        <f t="shared" si="313"/>
        <v>P00</v>
      </c>
      <c r="AG1089" t="str">
        <f t="shared" si="319"/>
        <v>0P00</v>
      </c>
      <c r="AH1089" t="str">
        <f t="shared" si="320"/>
        <v>P000</v>
      </c>
      <c r="AI1089" t="str">
        <f t="shared" si="321"/>
        <v>0P00</v>
      </c>
      <c r="AJ1089" t="str">
        <f t="shared" si="322"/>
        <v>P000</v>
      </c>
    </row>
    <row r="1090" spans="1:36" x14ac:dyDescent="0.25">
      <c r="A1090" s="325" t="str">
        <f>CONCATENATE("P",'906MP'!M790)</f>
        <v>P</v>
      </c>
      <c r="B1090">
        <f>'906MP'!H790</f>
        <v>0</v>
      </c>
      <c r="C1090">
        <f>'906MP'!J790</f>
        <v>0</v>
      </c>
      <c r="D1090">
        <f>'906MP'!P790</f>
        <v>0</v>
      </c>
      <c r="E1090">
        <f>'906MP'!X790</f>
        <v>0</v>
      </c>
      <c r="F1090" t="str">
        <f t="shared" si="314"/>
        <v>0</v>
      </c>
      <c r="G1090" t="str">
        <f t="shared" si="315"/>
        <v>0</v>
      </c>
      <c r="H1090">
        <f>'906MP'!Y790</f>
        <v>0</v>
      </c>
      <c r="I1090">
        <f>'906MP'!AK790</f>
        <v>0</v>
      </c>
      <c r="J1090">
        <f>'906MP'!T790</f>
        <v>0</v>
      </c>
      <c r="K1090">
        <f>'906MP'!AJ790</f>
        <v>0</v>
      </c>
      <c r="L1090">
        <f>'906MP'!U790</f>
        <v>0</v>
      </c>
      <c r="M1090" s="322" t="str">
        <f>IFERROR(VLOOKUP(A1090,PAR!$D$3:$E$53,2,FALSE),"nincs szervezet")</f>
        <v>nincs szervezet</v>
      </c>
      <c r="N1090" s="322" t="str">
        <f>VLOOKUP(F1090,PAR!$R$3:$S$5,2,FALSE)</f>
        <v>3 - egyik sem</v>
      </c>
      <c r="O1090" t="str">
        <f>IFERROR(VLOOKUP(J1090,PAR!$O$3:$P$5,2,FALSE),"nincs feladat")</f>
        <v>nincs feladat</v>
      </c>
      <c r="P1090" t="str">
        <f>IFERROR(VLOOKUP(G1090,PAR!$J$2:$M$19,4),"nincs rovat")</f>
        <v>nincs rovat</v>
      </c>
      <c r="Q1090" t="str">
        <f>IF(H1090&gt;0,VLOOKUP(H1090,PAR!$AA$3:$AC$187,3,FALSE),"nincs főkönyvi számla")</f>
        <v>nincs főkönyvi számla</v>
      </c>
      <c r="R1090" t="str">
        <f>IFERROR(VLOOKUP(K1090,PAR!$V$3:$X$438,3,FALSE),"000000 - Nincs COFOG")</f>
        <v>000000 - Nincs COFOG</v>
      </c>
      <c r="S1090">
        <f t="shared" si="316"/>
        <v>0</v>
      </c>
      <c r="T1090">
        <f t="shared" si="317"/>
        <v>0</v>
      </c>
      <c r="U1090" t="str">
        <f>IF('906MP'!J790&gt;0,CONCATENATE('906MP'!J790," - ",'906MP'!P790,", ",'906MP'!E790),"nincs megjegyzés")</f>
        <v>nincs megjegyzés</v>
      </c>
      <c r="V1090" t="str">
        <f t="shared" ref="V1090:V1153" si="323">CONCATENATE(B1090,A1090,G1090)</f>
        <v>0P0</v>
      </c>
      <c r="W1090" t="str">
        <f t="shared" ref="W1090:W1153" si="324">CONCATENATE(B1090,A1090,F1090)</f>
        <v>0P0</v>
      </c>
      <c r="X1090" t="str">
        <f t="shared" ref="X1090:X1153" si="325">CONCATENATE(A1090,H1090)</f>
        <v>P0</v>
      </c>
      <c r="Y1090" t="str">
        <f t="shared" ref="Y1090:Y1153" si="326">CONCATENATE(B1090,H1090)</f>
        <v>00</v>
      </c>
      <c r="Z1090" t="str">
        <f t="shared" si="318"/>
        <v>00</v>
      </c>
      <c r="AA1090" t="str">
        <f t="shared" ref="AA1090:AA1153" si="327">CONCATENATE(B1090,G1090)</f>
        <v>00</v>
      </c>
      <c r="AB1090" t="str">
        <f t="shared" ref="AB1090:AB1153" si="328">CONCATENATE(J1090,G1090)</f>
        <v>00</v>
      </c>
      <c r="AC1090" t="str">
        <f t="shared" ref="AC1090:AC1153" si="329">CONCATENATE(B1090,A1090,H1090)</f>
        <v>0P0</v>
      </c>
      <c r="AD1090" t="str">
        <f t="shared" ref="AD1090:AD1153" si="330">CONCATENATE(A1090,H1090,J1090)</f>
        <v>P00</v>
      </c>
      <c r="AE1090" t="str">
        <f t="shared" ref="AE1090:AE1153" si="331">CONCATENATE(B1090,A1090,G1090)</f>
        <v>0P0</v>
      </c>
      <c r="AF1090" t="str">
        <f t="shared" ref="AF1090:AF1153" si="332">CONCATENATE(A1090,G1090,J1090)</f>
        <v>P00</v>
      </c>
      <c r="AG1090" t="str">
        <f t="shared" si="319"/>
        <v>0P00</v>
      </c>
      <c r="AH1090" t="str">
        <f t="shared" si="320"/>
        <v>P000</v>
      </c>
      <c r="AI1090" t="str">
        <f t="shared" si="321"/>
        <v>0P00</v>
      </c>
      <c r="AJ1090" t="str">
        <f t="shared" si="322"/>
        <v>P000</v>
      </c>
    </row>
    <row r="1091" spans="1:36" x14ac:dyDescent="0.25">
      <c r="A1091" s="325" t="str">
        <f>CONCATENATE("P",'906MP'!M791)</f>
        <v>P</v>
      </c>
      <c r="B1091">
        <f>'906MP'!H791</f>
        <v>0</v>
      </c>
      <c r="C1091">
        <f>'906MP'!J791</f>
        <v>0</v>
      </c>
      <c r="D1091">
        <f>'906MP'!P791</f>
        <v>0</v>
      </c>
      <c r="E1091">
        <f>'906MP'!X791</f>
        <v>0</v>
      </c>
      <c r="F1091" t="str">
        <f t="shared" ref="F1091:F1154" si="333">LEFT(G1091,2)</f>
        <v>0</v>
      </c>
      <c r="G1091" t="str">
        <f t="shared" ref="G1091:G1154" si="334">LEFT(H1091,3)</f>
        <v>0</v>
      </c>
      <c r="H1091">
        <f>'906MP'!Y791</f>
        <v>0</v>
      </c>
      <c r="I1091">
        <f>'906MP'!AK791</f>
        <v>0</v>
      </c>
      <c r="J1091">
        <f>'906MP'!T791</f>
        <v>0</v>
      </c>
      <c r="K1091">
        <f>'906MP'!AJ791</f>
        <v>0</v>
      </c>
      <c r="L1091">
        <f>'906MP'!U791</f>
        <v>0</v>
      </c>
      <c r="M1091" s="322" t="str">
        <f>IFERROR(VLOOKUP(A1091,PAR!$D$3:$E$53,2,FALSE),"nincs szervezet")</f>
        <v>nincs szervezet</v>
      </c>
      <c r="N1091" s="322" t="str">
        <f>VLOOKUP(F1091,PAR!$R$3:$S$5,2,FALSE)</f>
        <v>3 - egyik sem</v>
      </c>
      <c r="O1091" t="str">
        <f>IFERROR(VLOOKUP(J1091,PAR!$O$3:$P$5,2,FALSE),"nincs feladat")</f>
        <v>nincs feladat</v>
      </c>
      <c r="P1091" t="str">
        <f>IFERROR(VLOOKUP(G1091,PAR!$J$2:$M$19,4),"nincs rovat")</f>
        <v>nincs rovat</v>
      </c>
      <c r="Q1091" t="str">
        <f>IF(H1091&gt;0,VLOOKUP(H1091,PAR!$AA$3:$AC$187,3,FALSE),"nincs főkönyvi számla")</f>
        <v>nincs főkönyvi számla</v>
      </c>
      <c r="R1091" t="str">
        <f>IFERROR(VLOOKUP(K1091,PAR!$V$3:$X$438,3,FALSE),"000000 - Nincs COFOG")</f>
        <v>000000 - Nincs COFOG</v>
      </c>
      <c r="S1091">
        <f t="shared" ref="S1091:S1154" si="335">E1091</f>
        <v>0</v>
      </c>
      <c r="T1091">
        <f t="shared" ref="T1091:T1154" si="336">IF(F1091="09",E1091*-1,E1091)</f>
        <v>0</v>
      </c>
      <c r="U1091" t="str">
        <f>IF('906MP'!J791&gt;0,CONCATENATE('906MP'!J791," - ",'906MP'!P791,", ",'906MP'!E791),"nincs megjegyzés")</f>
        <v>nincs megjegyzés</v>
      </c>
      <c r="V1091" t="str">
        <f t="shared" si="323"/>
        <v>0P0</v>
      </c>
      <c r="W1091" t="str">
        <f t="shared" si="324"/>
        <v>0P0</v>
      </c>
      <c r="X1091" t="str">
        <f t="shared" si="325"/>
        <v>P0</v>
      </c>
      <c r="Y1091" t="str">
        <f t="shared" si="326"/>
        <v>00</v>
      </c>
      <c r="Z1091" t="str">
        <f t="shared" ref="Z1091:Z1154" si="337">CONCATENATE(J1091,H1091)</f>
        <v>00</v>
      </c>
      <c r="AA1091" t="str">
        <f t="shared" si="327"/>
        <v>00</v>
      </c>
      <c r="AB1091" t="str">
        <f t="shared" si="328"/>
        <v>00</v>
      </c>
      <c r="AC1091" t="str">
        <f t="shared" si="329"/>
        <v>0P0</v>
      </c>
      <c r="AD1091" t="str">
        <f t="shared" si="330"/>
        <v>P00</v>
      </c>
      <c r="AE1091" t="str">
        <f t="shared" si="331"/>
        <v>0P0</v>
      </c>
      <c r="AF1091" t="str">
        <f t="shared" si="332"/>
        <v>P00</v>
      </c>
      <c r="AG1091" t="str">
        <f t="shared" ref="AG1091:AG1154" si="338">CONCATENATE(B1091,A1091,H1091,L1091)</f>
        <v>0P00</v>
      </c>
      <c r="AH1091" t="str">
        <f t="shared" ref="AH1091:AH1154" si="339">CONCATENATE(A1091,J1091,H1091,L1091)</f>
        <v>P000</v>
      </c>
      <c r="AI1091" t="str">
        <f t="shared" ref="AI1091:AI1154" si="340">CONCATENATE(B1091,A1091,G1091,L1091)</f>
        <v>0P00</v>
      </c>
      <c r="AJ1091" t="str">
        <f t="shared" ref="AJ1091:AJ1154" si="341">CONCATENATE(A1091,G1091,J1091,L1091)</f>
        <v>P000</v>
      </c>
    </row>
    <row r="1092" spans="1:36" x14ac:dyDescent="0.25">
      <c r="A1092" s="325" t="str">
        <f>CONCATENATE("P",'906MP'!M792)</f>
        <v>P</v>
      </c>
      <c r="B1092">
        <f>'906MP'!H792</f>
        <v>0</v>
      </c>
      <c r="C1092">
        <f>'906MP'!J792</f>
        <v>0</v>
      </c>
      <c r="D1092">
        <f>'906MP'!P792</f>
        <v>0</v>
      </c>
      <c r="E1092">
        <f>'906MP'!X792</f>
        <v>0</v>
      </c>
      <c r="F1092" t="str">
        <f t="shared" si="333"/>
        <v>0</v>
      </c>
      <c r="G1092" t="str">
        <f t="shared" si="334"/>
        <v>0</v>
      </c>
      <c r="H1092">
        <f>'906MP'!Y792</f>
        <v>0</v>
      </c>
      <c r="I1092">
        <f>'906MP'!AK792</f>
        <v>0</v>
      </c>
      <c r="J1092">
        <f>'906MP'!T792</f>
        <v>0</v>
      </c>
      <c r="K1092">
        <f>'906MP'!AJ792</f>
        <v>0</v>
      </c>
      <c r="L1092">
        <f>'906MP'!U792</f>
        <v>0</v>
      </c>
      <c r="M1092" s="322" t="str">
        <f>IFERROR(VLOOKUP(A1092,PAR!$D$3:$E$53,2,FALSE),"nincs szervezet")</f>
        <v>nincs szervezet</v>
      </c>
      <c r="N1092" s="322" t="str">
        <f>VLOOKUP(F1092,PAR!$R$3:$S$5,2,FALSE)</f>
        <v>3 - egyik sem</v>
      </c>
      <c r="O1092" t="str">
        <f>IFERROR(VLOOKUP(J1092,PAR!$O$3:$P$5,2,FALSE),"nincs feladat")</f>
        <v>nincs feladat</v>
      </c>
      <c r="P1092" t="str">
        <f>IFERROR(VLOOKUP(G1092,PAR!$J$2:$M$19,4),"nincs rovat")</f>
        <v>nincs rovat</v>
      </c>
      <c r="Q1092" t="str">
        <f>IF(H1092&gt;0,VLOOKUP(H1092,PAR!$AA$3:$AC$187,3,FALSE),"nincs főkönyvi számla")</f>
        <v>nincs főkönyvi számla</v>
      </c>
      <c r="R1092" t="str">
        <f>IFERROR(VLOOKUP(K1092,PAR!$V$3:$X$438,3,FALSE),"000000 - Nincs COFOG")</f>
        <v>000000 - Nincs COFOG</v>
      </c>
      <c r="S1092">
        <f t="shared" si="335"/>
        <v>0</v>
      </c>
      <c r="T1092">
        <f t="shared" si="336"/>
        <v>0</v>
      </c>
      <c r="U1092" t="str">
        <f>IF('906MP'!J792&gt;0,CONCATENATE('906MP'!J792," - ",'906MP'!P792,", ",'906MP'!E792),"nincs megjegyzés")</f>
        <v>nincs megjegyzés</v>
      </c>
      <c r="V1092" t="str">
        <f t="shared" si="323"/>
        <v>0P0</v>
      </c>
      <c r="W1092" t="str">
        <f t="shared" si="324"/>
        <v>0P0</v>
      </c>
      <c r="X1092" t="str">
        <f t="shared" si="325"/>
        <v>P0</v>
      </c>
      <c r="Y1092" t="str">
        <f t="shared" si="326"/>
        <v>00</v>
      </c>
      <c r="Z1092" t="str">
        <f t="shared" si="337"/>
        <v>00</v>
      </c>
      <c r="AA1092" t="str">
        <f t="shared" si="327"/>
        <v>00</v>
      </c>
      <c r="AB1092" t="str">
        <f t="shared" si="328"/>
        <v>00</v>
      </c>
      <c r="AC1092" t="str">
        <f t="shared" si="329"/>
        <v>0P0</v>
      </c>
      <c r="AD1092" t="str">
        <f t="shared" si="330"/>
        <v>P00</v>
      </c>
      <c r="AE1092" t="str">
        <f t="shared" si="331"/>
        <v>0P0</v>
      </c>
      <c r="AF1092" t="str">
        <f t="shared" si="332"/>
        <v>P00</v>
      </c>
      <c r="AG1092" t="str">
        <f t="shared" si="338"/>
        <v>0P00</v>
      </c>
      <c r="AH1092" t="str">
        <f t="shared" si="339"/>
        <v>P000</v>
      </c>
      <c r="AI1092" t="str">
        <f t="shared" si="340"/>
        <v>0P00</v>
      </c>
      <c r="AJ1092" t="str">
        <f t="shared" si="341"/>
        <v>P000</v>
      </c>
    </row>
    <row r="1093" spans="1:36" x14ac:dyDescent="0.25">
      <c r="A1093" s="325" t="str">
        <f>CONCATENATE("P",'906MP'!M793)</f>
        <v>P</v>
      </c>
      <c r="B1093">
        <f>'906MP'!H793</f>
        <v>0</v>
      </c>
      <c r="C1093">
        <f>'906MP'!J793</f>
        <v>0</v>
      </c>
      <c r="D1093">
        <f>'906MP'!P793</f>
        <v>0</v>
      </c>
      <c r="E1093">
        <f>'906MP'!X793</f>
        <v>0</v>
      </c>
      <c r="F1093" t="str">
        <f t="shared" si="333"/>
        <v>0</v>
      </c>
      <c r="G1093" t="str">
        <f t="shared" si="334"/>
        <v>0</v>
      </c>
      <c r="H1093">
        <f>'906MP'!Y793</f>
        <v>0</v>
      </c>
      <c r="I1093">
        <f>'906MP'!AK793</f>
        <v>0</v>
      </c>
      <c r="J1093">
        <f>'906MP'!T793</f>
        <v>0</v>
      </c>
      <c r="K1093">
        <f>'906MP'!AJ793</f>
        <v>0</v>
      </c>
      <c r="L1093">
        <f>'906MP'!U793</f>
        <v>0</v>
      </c>
      <c r="M1093" s="322" t="str">
        <f>IFERROR(VLOOKUP(A1093,PAR!$D$3:$E$53,2,FALSE),"nincs szervezet")</f>
        <v>nincs szervezet</v>
      </c>
      <c r="N1093" s="322" t="str">
        <f>VLOOKUP(F1093,PAR!$R$3:$S$5,2,FALSE)</f>
        <v>3 - egyik sem</v>
      </c>
      <c r="O1093" t="str">
        <f>IFERROR(VLOOKUP(J1093,PAR!$O$3:$P$5,2,FALSE),"nincs feladat")</f>
        <v>nincs feladat</v>
      </c>
      <c r="P1093" t="str">
        <f>IFERROR(VLOOKUP(G1093,PAR!$J$2:$M$19,4),"nincs rovat")</f>
        <v>nincs rovat</v>
      </c>
      <c r="Q1093" t="str">
        <f>IF(H1093&gt;0,VLOOKUP(H1093,PAR!$AA$3:$AC$187,3,FALSE),"nincs főkönyvi számla")</f>
        <v>nincs főkönyvi számla</v>
      </c>
      <c r="R1093" t="str">
        <f>IFERROR(VLOOKUP(K1093,PAR!$V$3:$X$438,3,FALSE),"000000 - Nincs COFOG")</f>
        <v>000000 - Nincs COFOG</v>
      </c>
      <c r="S1093">
        <f t="shared" si="335"/>
        <v>0</v>
      </c>
      <c r="T1093">
        <f t="shared" si="336"/>
        <v>0</v>
      </c>
      <c r="U1093" t="str">
        <f>IF('906MP'!J793&gt;0,CONCATENATE('906MP'!J793," - ",'906MP'!P793,", ",'906MP'!E793),"nincs megjegyzés")</f>
        <v>nincs megjegyzés</v>
      </c>
      <c r="V1093" t="str">
        <f t="shared" si="323"/>
        <v>0P0</v>
      </c>
      <c r="W1093" t="str">
        <f t="shared" si="324"/>
        <v>0P0</v>
      </c>
      <c r="X1093" t="str">
        <f t="shared" si="325"/>
        <v>P0</v>
      </c>
      <c r="Y1093" t="str">
        <f t="shared" si="326"/>
        <v>00</v>
      </c>
      <c r="Z1093" t="str">
        <f t="shared" si="337"/>
        <v>00</v>
      </c>
      <c r="AA1093" t="str">
        <f t="shared" si="327"/>
        <v>00</v>
      </c>
      <c r="AB1093" t="str">
        <f t="shared" si="328"/>
        <v>00</v>
      </c>
      <c r="AC1093" t="str">
        <f t="shared" si="329"/>
        <v>0P0</v>
      </c>
      <c r="AD1093" t="str">
        <f t="shared" si="330"/>
        <v>P00</v>
      </c>
      <c r="AE1093" t="str">
        <f t="shared" si="331"/>
        <v>0P0</v>
      </c>
      <c r="AF1093" t="str">
        <f t="shared" si="332"/>
        <v>P00</v>
      </c>
      <c r="AG1093" t="str">
        <f t="shared" si="338"/>
        <v>0P00</v>
      </c>
      <c r="AH1093" t="str">
        <f t="shared" si="339"/>
        <v>P000</v>
      </c>
      <c r="AI1093" t="str">
        <f t="shared" si="340"/>
        <v>0P00</v>
      </c>
      <c r="AJ1093" t="str">
        <f t="shared" si="341"/>
        <v>P000</v>
      </c>
    </row>
    <row r="1094" spans="1:36" x14ac:dyDescent="0.25">
      <c r="A1094" s="325" t="str">
        <f>CONCATENATE("P",'906MP'!M794)</f>
        <v>P</v>
      </c>
      <c r="B1094">
        <f>'906MP'!H794</f>
        <v>0</v>
      </c>
      <c r="C1094">
        <f>'906MP'!J794</f>
        <v>0</v>
      </c>
      <c r="D1094">
        <f>'906MP'!P794</f>
        <v>0</v>
      </c>
      <c r="E1094">
        <f>'906MP'!X794</f>
        <v>0</v>
      </c>
      <c r="F1094" t="str">
        <f t="shared" si="333"/>
        <v>0</v>
      </c>
      <c r="G1094" t="str">
        <f t="shared" si="334"/>
        <v>0</v>
      </c>
      <c r="H1094">
        <f>'906MP'!Y794</f>
        <v>0</v>
      </c>
      <c r="I1094">
        <f>'906MP'!AK794</f>
        <v>0</v>
      </c>
      <c r="J1094">
        <f>'906MP'!T794</f>
        <v>0</v>
      </c>
      <c r="K1094">
        <f>'906MP'!AJ794</f>
        <v>0</v>
      </c>
      <c r="L1094">
        <f>'906MP'!U794</f>
        <v>0</v>
      </c>
      <c r="M1094" s="322" t="str">
        <f>IFERROR(VLOOKUP(A1094,PAR!$D$3:$E$53,2,FALSE),"nincs szervezet")</f>
        <v>nincs szervezet</v>
      </c>
      <c r="N1094" s="322" t="str">
        <f>VLOOKUP(F1094,PAR!$R$3:$S$5,2,FALSE)</f>
        <v>3 - egyik sem</v>
      </c>
      <c r="O1094" t="str">
        <f>IFERROR(VLOOKUP(J1094,PAR!$O$3:$P$5,2,FALSE),"nincs feladat")</f>
        <v>nincs feladat</v>
      </c>
      <c r="P1094" t="str">
        <f>IFERROR(VLOOKUP(G1094,PAR!$J$2:$M$19,4),"nincs rovat")</f>
        <v>nincs rovat</v>
      </c>
      <c r="Q1094" t="str">
        <f>IF(H1094&gt;0,VLOOKUP(H1094,PAR!$AA$3:$AC$187,3,FALSE),"nincs főkönyvi számla")</f>
        <v>nincs főkönyvi számla</v>
      </c>
      <c r="R1094" t="str">
        <f>IFERROR(VLOOKUP(K1094,PAR!$V$3:$X$438,3,FALSE),"000000 - Nincs COFOG")</f>
        <v>000000 - Nincs COFOG</v>
      </c>
      <c r="S1094">
        <f t="shared" si="335"/>
        <v>0</v>
      </c>
      <c r="T1094">
        <f t="shared" si="336"/>
        <v>0</v>
      </c>
      <c r="U1094" t="str">
        <f>IF('906MP'!J794&gt;0,CONCATENATE('906MP'!J794," - ",'906MP'!P794,", ",'906MP'!E794),"nincs megjegyzés")</f>
        <v>nincs megjegyzés</v>
      </c>
      <c r="V1094" t="str">
        <f t="shared" si="323"/>
        <v>0P0</v>
      </c>
      <c r="W1094" t="str">
        <f t="shared" si="324"/>
        <v>0P0</v>
      </c>
      <c r="X1094" t="str">
        <f t="shared" si="325"/>
        <v>P0</v>
      </c>
      <c r="Y1094" t="str">
        <f t="shared" si="326"/>
        <v>00</v>
      </c>
      <c r="Z1094" t="str">
        <f t="shared" si="337"/>
        <v>00</v>
      </c>
      <c r="AA1094" t="str">
        <f t="shared" si="327"/>
        <v>00</v>
      </c>
      <c r="AB1094" t="str">
        <f t="shared" si="328"/>
        <v>00</v>
      </c>
      <c r="AC1094" t="str">
        <f t="shared" si="329"/>
        <v>0P0</v>
      </c>
      <c r="AD1094" t="str">
        <f t="shared" si="330"/>
        <v>P00</v>
      </c>
      <c r="AE1094" t="str">
        <f t="shared" si="331"/>
        <v>0P0</v>
      </c>
      <c r="AF1094" t="str">
        <f t="shared" si="332"/>
        <v>P00</v>
      </c>
      <c r="AG1094" t="str">
        <f t="shared" si="338"/>
        <v>0P00</v>
      </c>
      <c r="AH1094" t="str">
        <f t="shared" si="339"/>
        <v>P000</v>
      </c>
      <c r="AI1094" t="str">
        <f t="shared" si="340"/>
        <v>0P00</v>
      </c>
      <c r="AJ1094" t="str">
        <f t="shared" si="341"/>
        <v>P000</v>
      </c>
    </row>
    <row r="1095" spans="1:36" x14ac:dyDescent="0.25">
      <c r="A1095" s="325" t="str">
        <f>CONCATENATE("P",'906MP'!M795)</f>
        <v>P</v>
      </c>
      <c r="B1095">
        <f>'906MP'!H795</f>
        <v>0</v>
      </c>
      <c r="C1095">
        <f>'906MP'!J795</f>
        <v>0</v>
      </c>
      <c r="D1095">
        <f>'906MP'!P795</f>
        <v>0</v>
      </c>
      <c r="E1095">
        <f>'906MP'!X795</f>
        <v>0</v>
      </c>
      <c r="F1095" t="str">
        <f t="shared" si="333"/>
        <v>0</v>
      </c>
      <c r="G1095" t="str">
        <f t="shared" si="334"/>
        <v>0</v>
      </c>
      <c r="H1095">
        <f>'906MP'!Y795</f>
        <v>0</v>
      </c>
      <c r="I1095">
        <f>'906MP'!AK795</f>
        <v>0</v>
      </c>
      <c r="J1095">
        <f>'906MP'!T795</f>
        <v>0</v>
      </c>
      <c r="K1095">
        <f>'906MP'!AJ795</f>
        <v>0</v>
      </c>
      <c r="L1095">
        <f>'906MP'!U795</f>
        <v>0</v>
      </c>
      <c r="M1095" s="322" t="str">
        <f>IFERROR(VLOOKUP(A1095,PAR!$D$3:$E$53,2,FALSE),"nincs szervezet")</f>
        <v>nincs szervezet</v>
      </c>
      <c r="N1095" s="322" t="str">
        <f>VLOOKUP(F1095,PAR!$R$3:$S$5,2,FALSE)</f>
        <v>3 - egyik sem</v>
      </c>
      <c r="O1095" t="str">
        <f>IFERROR(VLOOKUP(J1095,PAR!$O$3:$P$5,2,FALSE),"nincs feladat")</f>
        <v>nincs feladat</v>
      </c>
      <c r="P1095" t="str">
        <f>IFERROR(VLOOKUP(G1095,PAR!$J$2:$M$19,4),"nincs rovat")</f>
        <v>nincs rovat</v>
      </c>
      <c r="Q1095" t="str">
        <f>IF(H1095&gt;0,VLOOKUP(H1095,PAR!$AA$3:$AC$187,3,FALSE),"nincs főkönyvi számla")</f>
        <v>nincs főkönyvi számla</v>
      </c>
      <c r="R1095" t="str">
        <f>IFERROR(VLOOKUP(K1095,PAR!$V$3:$X$438,3,FALSE),"000000 - Nincs COFOG")</f>
        <v>000000 - Nincs COFOG</v>
      </c>
      <c r="S1095">
        <f t="shared" si="335"/>
        <v>0</v>
      </c>
      <c r="T1095">
        <f t="shared" si="336"/>
        <v>0</v>
      </c>
      <c r="U1095" t="str">
        <f>IF('906MP'!J795&gt;0,CONCATENATE('906MP'!J795," - ",'906MP'!P795,", ",'906MP'!E795),"nincs megjegyzés")</f>
        <v>nincs megjegyzés</v>
      </c>
      <c r="V1095" t="str">
        <f t="shared" si="323"/>
        <v>0P0</v>
      </c>
      <c r="W1095" t="str">
        <f t="shared" si="324"/>
        <v>0P0</v>
      </c>
      <c r="X1095" t="str">
        <f t="shared" si="325"/>
        <v>P0</v>
      </c>
      <c r="Y1095" t="str">
        <f t="shared" si="326"/>
        <v>00</v>
      </c>
      <c r="Z1095" t="str">
        <f t="shared" si="337"/>
        <v>00</v>
      </c>
      <c r="AA1095" t="str">
        <f t="shared" si="327"/>
        <v>00</v>
      </c>
      <c r="AB1095" t="str">
        <f t="shared" si="328"/>
        <v>00</v>
      </c>
      <c r="AC1095" t="str">
        <f t="shared" si="329"/>
        <v>0P0</v>
      </c>
      <c r="AD1095" t="str">
        <f t="shared" si="330"/>
        <v>P00</v>
      </c>
      <c r="AE1095" t="str">
        <f t="shared" si="331"/>
        <v>0P0</v>
      </c>
      <c r="AF1095" t="str">
        <f t="shared" si="332"/>
        <v>P00</v>
      </c>
      <c r="AG1095" t="str">
        <f t="shared" si="338"/>
        <v>0P00</v>
      </c>
      <c r="AH1095" t="str">
        <f t="shared" si="339"/>
        <v>P000</v>
      </c>
      <c r="AI1095" t="str">
        <f t="shared" si="340"/>
        <v>0P00</v>
      </c>
      <c r="AJ1095" t="str">
        <f t="shared" si="341"/>
        <v>P000</v>
      </c>
    </row>
    <row r="1096" spans="1:36" x14ac:dyDescent="0.25">
      <c r="A1096" s="325" t="str">
        <f>CONCATENATE("P",'906MP'!M796)</f>
        <v>P</v>
      </c>
      <c r="B1096">
        <f>'906MP'!H796</f>
        <v>0</v>
      </c>
      <c r="C1096">
        <f>'906MP'!J796</f>
        <v>0</v>
      </c>
      <c r="D1096">
        <f>'906MP'!P796</f>
        <v>0</v>
      </c>
      <c r="E1096">
        <f>'906MP'!X796</f>
        <v>0</v>
      </c>
      <c r="F1096" t="str">
        <f t="shared" si="333"/>
        <v>0</v>
      </c>
      <c r="G1096" t="str">
        <f t="shared" si="334"/>
        <v>0</v>
      </c>
      <c r="H1096">
        <f>'906MP'!Y796</f>
        <v>0</v>
      </c>
      <c r="I1096">
        <f>'906MP'!AK796</f>
        <v>0</v>
      </c>
      <c r="J1096">
        <f>'906MP'!T796</f>
        <v>0</v>
      </c>
      <c r="K1096">
        <f>'906MP'!AJ796</f>
        <v>0</v>
      </c>
      <c r="L1096">
        <f>'906MP'!U796</f>
        <v>0</v>
      </c>
      <c r="M1096" s="322" t="str">
        <f>IFERROR(VLOOKUP(A1096,PAR!$D$3:$E$53,2,FALSE),"nincs szervezet")</f>
        <v>nincs szervezet</v>
      </c>
      <c r="N1096" s="322" t="str">
        <f>VLOOKUP(F1096,PAR!$R$3:$S$5,2,FALSE)</f>
        <v>3 - egyik sem</v>
      </c>
      <c r="O1096" t="str">
        <f>IFERROR(VLOOKUP(J1096,PAR!$O$3:$P$5,2,FALSE),"nincs feladat")</f>
        <v>nincs feladat</v>
      </c>
      <c r="P1096" t="str">
        <f>IFERROR(VLOOKUP(G1096,PAR!$J$2:$M$19,4),"nincs rovat")</f>
        <v>nincs rovat</v>
      </c>
      <c r="Q1096" t="str">
        <f>IF(H1096&gt;0,VLOOKUP(H1096,PAR!$AA$3:$AC$187,3,FALSE),"nincs főkönyvi számla")</f>
        <v>nincs főkönyvi számla</v>
      </c>
      <c r="R1096" t="str">
        <f>IFERROR(VLOOKUP(K1096,PAR!$V$3:$X$438,3,FALSE),"000000 - Nincs COFOG")</f>
        <v>000000 - Nincs COFOG</v>
      </c>
      <c r="S1096">
        <f t="shared" si="335"/>
        <v>0</v>
      </c>
      <c r="T1096">
        <f t="shared" si="336"/>
        <v>0</v>
      </c>
      <c r="U1096" t="str">
        <f>IF('906MP'!J796&gt;0,CONCATENATE('906MP'!J796," - ",'906MP'!P796,", ",'906MP'!E796),"nincs megjegyzés")</f>
        <v>nincs megjegyzés</v>
      </c>
      <c r="V1096" t="str">
        <f t="shared" si="323"/>
        <v>0P0</v>
      </c>
      <c r="W1096" t="str">
        <f t="shared" si="324"/>
        <v>0P0</v>
      </c>
      <c r="X1096" t="str">
        <f t="shared" si="325"/>
        <v>P0</v>
      </c>
      <c r="Y1096" t="str">
        <f t="shared" si="326"/>
        <v>00</v>
      </c>
      <c r="Z1096" t="str">
        <f t="shared" si="337"/>
        <v>00</v>
      </c>
      <c r="AA1096" t="str">
        <f t="shared" si="327"/>
        <v>00</v>
      </c>
      <c r="AB1096" t="str">
        <f t="shared" si="328"/>
        <v>00</v>
      </c>
      <c r="AC1096" t="str">
        <f t="shared" si="329"/>
        <v>0P0</v>
      </c>
      <c r="AD1096" t="str">
        <f t="shared" si="330"/>
        <v>P00</v>
      </c>
      <c r="AE1096" t="str">
        <f t="shared" si="331"/>
        <v>0P0</v>
      </c>
      <c r="AF1096" t="str">
        <f t="shared" si="332"/>
        <v>P00</v>
      </c>
      <c r="AG1096" t="str">
        <f t="shared" si="338"/>
        <v>0P00</v>
      </c>
      <c r="AH1096" t="str">
        <f t="shared" si="339"/>
        <v>P000</v>
      </c>
      <c r="AI1096" t="str">
        <f t="shared" si="340"/>
        <v>0P00</v>
      </c>
      <c r="AJ1096" t="str">
        <f t="shared" si="341"/>
        <v>P000</v>
      </c>
    </row>
    <row r="1097" spans="1:36" x14ac:dyDescent="0.25">
      <c r="A1097" s="325" t="str">
        <f>CONCATENATE("P",'906MP'!M797)</f>
        <v>P</v>
      </c>
      <c r="B1097">
        <f>'906MP'!H797</f>
        <v>0</v>
      </c>
      <c r="C1097">
        <f>'906MP'!J797</f>
        <v>0</v>
      </c>
      <c r="D1097">
        <f>'906MP'!P797</f>
        <v>0</v>
      </c>
      <c r="E1097">
        <f>'906MP'!X797</f>
        <v>0</v>
      </c>
      <c r="F1097" t="str">
        <f t="shared" si="333"/>
        <v>0</v>
      </c>
      <c r="G1097" t="str">
        <f t="shared" si="334"/>
        <v>0</v>
      </c>
      <c r="H1097">
        <f>'906MP'!Y797</f>
        <v>0</v>
      </c>
      <c r="I1097">
        <f>'906MP'!AK797</f>
        <v>0</v>
      </c>
      <c r="J1097">
        <f>'906MP'!T797</f>
        <v>0</v>
      </c>
      <c r="K1097">
        <f>'906MP'!AJ797</f>
        <v>0</v>
      </c>
      <c r="L1097">
        <f>'906MP'!U797</f>
        <v>0</v>
      </c>
      <c r="M1097" s="322" t="str">
        <f>IFERROR(VLOOKUP(A1097,PAR!$D$3:$E$53,2,FALSE),"nincs szervezet")</f>
        <v>nincs szervezet</v>
      </c>
      <c r="N1097" s="322" t="str">
        <f>VLOOKUP(F1097,PAR!$R$3:$S$5,2,FALSE)</f>
        <v>3 - egyik sem</v>
      </c>
      <c r="O1097" t="str">
        <f>IFERROR(VLOOKUP(J1097,PAR!$O$3:$P$5,2,FALSE),"nincs feladat")</f>
        <v>nincs feladat</v>
      </c>
      <c r="P1097" t="str">
        <f>IFERROR(VLOOKUP(G1097,PAR!$J$2:$M$19,4),"nincs rovat")</f>
        <v>nincs rovat</v>
      </c>
      <c r="Q1097" t="str">
        <f>IF(H1097&gt;0,VLOOKUP(H1097,PAR!$AA$3:$AC$187,3,FALSE),"nincs főkönyvi számla")</f>
        <v>nincs főkönyvi számla</v>
      </c>
      <c r="R1097" t="str">
        <f>IFERROR(VLOOKUP(K1097,PAR!$V$3:$X$438,3,FALSE),"000000 - Nincs COFOG")</f>
        <v>000000 - Nincs COFOG</v>
      </c>
      <c r="S1097">
        <f t="shared" si="335"/>
        <v>0</v>
      </c>
      <c r="T1097">
        <f t="shared" si="336"/>
        <v>0</v>
      </c>
      <c r="U1097" t="str">
        <f>IF('906MP'!J797&gt;0,CONCATENATE('906MP'!J797," - ",'906MP'!P797,", ",'906MP'!E797),"nincs megjegyzés")</f>
        <v>nincs megjegyzés</v>
      </c>
      <c r="V1097" t="str">
        <f t="shared" si="323"/>
        <v>0P0</v>
      </c>
      <c r="W1097" t="str">
        <f t="shared" si="324"/>
        <v>0P0</v>
      </c>
      <c r="X1097" t="str">
        <f t="shared" si="325"/>
        <v>P0</v>
      </c>
      <c r="Y1097" t="str">
        <f t="shared" si="326"/>
        <v>00</v>
      </c>
      <c r="Z1097" t="str">
        <f t="shared" si="337"/>
        <v>00</v>
      </c>
      <c r="AA1097" t="str">
        <f t="shared" si="327"/>
        <v>00</v>
      </c>
      <c r="AB1097" t="str">
        <f t="shared" si="328"/>
        <v>00</v>
      </c>
      <c r="AC1097" t="str">
        <f t="shared" si="329"/>
        <v>0P0</v>
      </c>
      <c r="AD1097" t="str">
        <f t="shared" si="330"/>
        <v>P00</v>
      </c>
      <c r="AE1097" t="str">
        <f t="shared" si="331"/>
        <v>0P0</v>
      </c>
      <c r="AF1097" t="str">
        <f t="shared" si="332"/>
        <v>P00</v>
      </c>
      <c r="AG1097" t="str">
        <f t="shared" si="338"/>
        <v>0P00</v>
      </c>
      <c r="AH1097" t="str">
        <f t="shared" si="339"/>
        <v>P000</v>
      </c>
      <c r="AI1097" t="str">
        <f t="shared" si="340"/>
        <v>0P00</v>
      </c>
      <c r="AJ1097" t="str">
        <f t="shared" si="341"/>
        <v>P000</v>
      </c>
    </row>
    <row r="1098" spans="1:36" x14ac:dyDescent="0.25">
      <c r="A1098" s="325" t="str">
        <f>CONCATENATE("P",'906MP'!M798)</f>
        <v>P</v>
      </c>
      <c r="B1098">
        <f>'906MP'!H798</f>
        <v>0</v>
      </c>
      <c r="C1098">
        <f>'906MP'!J798</f>
        <v>0</v>
      </c>
      <c r="D1098">
        <f>'906MP'!P798</f>
        <v>0</v>
      </c>
      <c r="E1098">
        <f>'906MP'!X798</f>
        <v>0</v>
      </c>
      <c r="F1098" t="str">
        <f t="shared" si="333"/>
        <v>0</v>
      </c>
      <c r="G1098" t="str">
        <f t="shared" si="334"/>
        <v>0</v>
      </c>
      <c r="H1098">
        <f>'906MP'!Y798</f>
        <v>0</v>
      </c>
      <c r="I1098">
        <f>'906MP'!AK798</f>
        <v>0</v>
      </c>
      <c r="J1098">
        <f>'906MP'!T798</f>
        <v>0</v>
      </c>
      <c r="K1098">
        <f>'906MP'!AJ798</f>
        <v>0</v>
      </c>
      <c r="L1098">
        <f>'906MP'!U798</f>
        <v>0</v>
      </c>
      <c r="M1098" s="322" t="str">
        <f>IFERROR(VLOOKUP(A1098,PAR!$D$3:$E$53,2,FALSE),"nincs szervezet")</f>
        <v>nincs szervezet</v>
      </c>
      <c r="N1098" s="322" t="str">
        <f>VLOOKUP(F1098,PAR!$R$3:$S$5,2,FALSE)</f>
        <v>3 - egyik sem</v>
      </c>
      <c r="O1098" t="str">
        <f>IFERROR(VLOOKUP(J1098,PAR!$O$3:$P$5,2,FALSE),"nincs feladat")</f>
        <v>nincs feladat</v>
      </c>
      <c r="P1098" t="str">
        <f>IFERROR(VLOOKUP(G1098,PAR!$J$2:$M$19,4),"nincs rovat")</f>
        <v>nincs rovat</v>
      </c>
      <c r="Q1098" t="str">
        <f>IF(H1098&gt;0,VLOOKUP(H1098,PAR!$AA$3:$AC$187,3,FALSE),"nincs főkönyvi számla")</f>
        <v>nincs főkönyvi számla</v>
      </c>
      <c r="R1098" t="str">
        <f>IFERROR(VLOOKUP(K1098,PAR!$V$3:$X$438,3,FALSE),"000000 - Nincs COFOG")</f>
        <v>000000 - Nincs COFOG</v>
      </c>
      <c r="S1098">
        <f t="shared" si="335"/>
        <v>0</v>
      </c>
      <c r="T1098">
        <f t="shared" si="336"/>
        <v>0</v>
      </c>
      <c r="U1098" t="str">
        <f>IF('906MP'!J798&gt;0,CONCATENATE('906MP'!J798," - ",'906MP'!P798,", ",'906MP'!E798),"nincs megjegyzés")</f>
        <v>nincs megjegyzés</v>
      </c>
      <c r="V1098" t="str">
        <f t="shared" si="323"/>
        <v>0P0</v>
      </c>
      <c r="W1098" t="str">
        <f t="shared" si="324"/>
        <v>0P0</v>
      </c>
      <c r="X1098" t="str">
        <f t="shared" si="325"/>
        <v>P0</v>
      </c>
      <c r="Y1098" t="str">
        <f t="shared" si="326"/>
        <v>00</v>
      </c>
      <c r="Z1098" t="str">
        <f t="shared" si="337"/>
        <v>00</v>
      </c>
      <c r="AA1098" t="str">
        <f t="shared" si="327"/>
        <v>00</v>
      </c>
      <c r="AB1098" t="str">
        <f t="shared" si="328"/>
        <v>00</v>
      </c>
      <c r="AC1098" t="str">
        <f t="shared" si="329"/>
        <v>0P0</v>
      </c>
      <c r="AD1098" t="str">
        <f t="shared" si="330"/>
        <v>P00</v>
      </c>
      <c r="AE1098" t="str">
        <f t="shared" si="331"/>
        <v>0P0</v>
      </c>
      <c r="AF1098" t="str">
        <f t="shared" si="332"/>
        <v>P00</v>
      </c>
      <c r="AG1098" t="str">
        <f t="shared" si="338"/>
        <v>0P00</v>
      </c>
      <c r="AH1098" t="str">
        <f t="shared" si="339"/>
        <v>P000</v>
      </c>
      <c r="AI1098" t="str">
        <f t="shared" si="340"/>
        <v>0P00</v>
      </c>
      <c r="AJ1098" t="str">
        <f t="shared" si="341"/>
        <v>P000</v>
      </c>
    </row>
    <row r="1099" spans="1:36" x14ac:dyDescent="0.25">
      <c r="A1099" s="325" t="str">
        <f>CONCATENATE("P",'906MP'!M799)</f>
        <v>P</v>
      </c>
      <c r="B1099">
        <f>'906MP'!H799</f>
        <v>0</v>
      </c>
      <c r="C1099">
        <f>'906MP'!J799</f>
        <v>0</v>
      </c>
      <c r="D1099">
        <f>'906MP'!P799</f>
        <v>0</v>
      </c>
      <c r="E1099">
        <f>'906MP'!X799</f>
        <v>0</v>
      </c>
      <c r="F1099" t="str">
        <f t="shared" si="333"/>
        <v>0</v>
      </c>
      <c r="G1099" t="str">
        <f t="shared" si="334"/>
        <v>0</v>
      </c>
      <c r="H1099">
        <f>'906MP'!Y799</f>
        <v>0</v>
      </c>
      <c r="I1099">
        <f>'906MP'!AK799</f>
        <v>0</v>
      </c>
      <c r="J1099">
        <f>'906MP'!T799</f>
        <v>0</v>
      </c>
      <c r="K1099">
        <f>'906MP'!AJ799</f>
        <v>0</v>
      </c>
      <c r="L1099">
        <f>'906MP'!U799</f>
        <v>0</v>
      </c>
      <c r="M1099" s="322" t="str">
        <f>IFERROR(VLOOKUP(A1099,PAR!$D$3:$E$53,2,FALSE),"nincs szervezet")</f>
        <v>nincs szervezet</v>
      </c>
      <c r="N1099" s="322" t="str">
        <f>VLOOKUP(F1099,PAR!$R$3:$S$5,2,FALSE)</f>
        <v>3 - egyik sem</v>
      </c>
      <c r="O1099" t="str">
        <f>IFERROR(VLOOKUP(J1099,PAR!$O$3:$P$5,2,FALSE),"nincs feladat")</f>
        <v>nincs feladat</v>
      </c>
      <c r="P1099" t="str">
        <f>IFERROR(VLOOKUP(G1099,PAR!$J$2:$M$19,4),"nincs rovat")</f>
        <v>nincs rovat</v>
      </c>
      <c r="Q1099" t="str">
        <f>IF(H1099&gt;0,VLOOKUP(H1099,PAR!$AA$3:$AC$187,3,FALSE),"nincs főkönyvi számla")</f>
        <v>nincs főkönyvi számla</v>
      </c>
      <c r="R1099" t="str">
        <f>IFERROR(VLOOKUP(K1099,PAR!$V$3:$X$438,3,FALSE),"000000 - Nincs COFOG")</f>
        <v>000000 - Nincs COFOG</v>
      </c>
      <c r="S1099">
        <f t="shared" si="335"/>
        <v>0</v>
      </c>
      <c r="T1099">
        <f t="shared" si="336"/>
        <v>0</v>
      </c>
      <c r="U1099" t="str">
        <f>IF('906MP'!J799&gt;0,CONCATENATE('906MP'!J799," - ",'906MP'!P799,", ",'906MP'!E799),"nincs megjegyzés")</f>
        <v>nincs megjegyzés</v>
      </c>
      <c r="V1099" t="str">
        <f t="shared" si="323"/>
        <v>0P0</v>
      </c>
      <c r="W1099" t="str">
        <f t="shared" si="324"/>
        <v>0P0</v>
      </c>
      <c r="X1099" t="str">
        <f t="shared" si="325"/>
        <v>P0</v>
      </c>
      <c r="Y1099" t="str">
        <f t="shared" si="326"/>
        <v>00</v>
      </c>
      <c r="Z1099" t="str">
        <f t="shared" si="337"/>
        <v>00</v>
      </c>
      <c r="AA1099" t="str">
        <f t="shared" si="327"/>
        <v>00</v>
      </c>
      <c r="AB1099" t="str">
        <f t="shared" si="328"/>
        <v>00</v>
      </c>
      <c r="AC1099" t="str">
        <f t="shared" si="329"/>
        <v>0P0</v>
      </c>
      <c r="AD1099" t="str">
        <f t="shared" si="330"/>
        <v>P00</v>
      </c>
      <c r="AE1099" t="str">
        <f t="shared" si="331"/>
        <v>0P0</v>
      </c>
      <c r="AF1099" t="str">
        <f t="shared" si="332"/>
        <v>P00</v>
      </c>
      <c r="AG1099" t="str">
        <f t="shared" si="338"/>
        <v>0P00</v>
      </c>
      <c r="AH1099" t="str">
        <f t="shared" si="339"/>
        <v>P000</v>
      </c>
      <c r="AI1099" t="str">
        <f t="shared" si="340"/>
        <v>0P00</v>
      </c>
      <c r="AJ1099" t="str">
        <f t="shared" si="341"/>
        <v>P000</v>
      </c>
    </row>
    <row r="1100" spans="1:36" x14ac:dyDescent="0.25">
      <c r="A1100" s="325" t="str">
        <f>CONCATENATE("P",'906MP'!M800)</f>
        <v>P</v>
      </c>
      <c r="B1100">
        <f>'906MP'!H800</f>
        <v>0</v>
      </c>
      <c r="C1100">
        <f>'906MP'!J800</f>
        <v>0</v>
      </c>
      <c r="D1100">
        <f>'906MP'!P800</f>
        <v>0</v>
      </c>
      <c r="E1100">
        <f>'906MP'!X800</f>
        <v>0</v>
      </c>
      <c r="F1100" t="str">
        <f t="shared" si="333"/>
        <v>0</v>
      </c>
      <c r="G1100" t="str">
        <f t="shared" si="334"/>
        <v>0</v>
      </c>
      <c r="H1100">
        <f>'906MP'!Y800</f>
        <v>0</v>
      </c>
      <c r="I1100">
        <f>'906MP'!AK800</f>
        <v>0</v>
      </c>
      <c r="J1100">
        <f>'906MP'!T800</f>
        <v>0</v>
      </c>
      <c r="K1100">
        <f>'906MP'!AJ800</f>
        <v>0</v>
      </c>
      <c r="L1100">
        <f>'906MP'!U800</f>
        <v>0</v>
      </c>
      <c r="M1100" s="322" t="str">
        <f>IFERROR(VLOOKUP(A1100,PAR!$D$3:$E$53,2,FALSE),"nincs szervezet")</f>
        <v>nincs szervezet</v>
      </c>
      <c r="N1100" s="322" t="str">
        <f>VLOOKUP(F1100,PAR!$R$3:$S$5,2,FALSE)</f>
        <v>3 - egyik sem</v>
      </c>
      <c r="O1100" t="str">
        <f>IFERROR(VLOOKUP(J1100,PAR!$O$3:$P$5,2,FALSE),"nincs feladat")</f>
        <v>nincs feladat</v>
      </c>
      <c r="P1100" t="str">
        <f>IFERROR(VLOOKUP(G1100,PAR!$J$2:$M$19,4),"nincs rovat")</f>
        <v>nincs rovat</v>
      </c>
      <c r="Q1100" t="str">
        <f>IF(H1100&gt;0,VLOOKUP(H1100,PAR!$AA$3:$AC$187,3,FALSE),"nincs főkönyvi számla")</f>
        <v>nincs főkönyvi számla</v>
      </c>
      <c r="R1100" t="str">
        <f>IFERROR(VLOOKUP(K1100,PAR!$V$3:$X$438,3,FALSE),"000000 - Nincs COFOG")</f>
        <v>000000 - Nincs COFOG</v>
      </c>
      <c r="S1100">
        <f t="shared" si="335"/>
        <v>0</v>
      </c>
      <c r="T1100">
        <f t="shared" si="336"/>
        <v>0</v>
      </c>
      <c r="U1100" t="str">
        <f>IF('906MP'!J800&gt;0,CONCATENATE('906MP'!J800," - ",'906MP'!P800,", ",'906MP'!E800),"nincs megjegyzés")</f>
        <v>nincs megjegyzés</v>
      </c>
      <c r="V1100" t="str">
        <f t="shared" si="323"/>
        <v>0P0</v>
      </c>
      <c r="W1100" t="str">
        <f t="shared" si="324"/>
        <v>0P0</v>
      </c>
      <c r="X1100" t="str">
        <f t="shared" si="325"/>
        <v>P0</v>
      </c>
      <c r="Y1100" t="str">
        <f t="shared" si="326"/>
        <v>00</v>
      </c>
      <c r="Z1100" t="str">
        <f t="shared" si="337"/>
        <v>00</v>
      </c>
      <c r="AA1100" t="str">
        <f t="shared" si="327"/>
        <v>00</v>
      </c>
      <c r="AB1100" t="str">
        <f t="shared" si="328"/>
        <v>00</v>
      </c>
      <c r="AC1100" t="str">
        <f t="shared" si="329"/>
        <v>0P0</v>
      </c>
      <c r="AD1100" t="str">
        <f t="shared" si="330"/>
        <v>P00</v>
      </c>
      <c r="AE1100" t="str">
        <f t="shared" si="331"/>
        <v>0P0</v>
      </c>
      <c r="AF1100" t="str">
        <f t="shared" si="332"/>
        <v>P00</v>
      </c>
      <c r="AG1100" t="str">
        <f t="shared" si="338"/>
        <v>0P00</v>
      </c>
      <c r="AH1100" t="str">
        <f t="shared" si="339"/>
        <v>P000</v>
      </c>
      <c r="AI1100" t="str">
        <f t="shared" si="340"/>
        <v>0P00</v>
      </c>
      <c r="AJ1100" t="str">
        <f t="shared" si="341"/>
        <v>P000</v>
      </c>
    </row>
    <row r="1101" spans="1:36" x14ac:dyDescent="0.25">
      <c r="A1101" s="325" t="str">
        <f>CONCATENATE("P",'906MP'!M801)</f>
        <v>P</v>
      </c>
      <c r="B1101">
        <f>'906MP'!H801</f>
        <v>0</v>
      </c>
      <c r="C1101">
        <f>'906MP'!J801</f>
        <v>0</v>
      </c>
      <c r="D1101">
        <f>'906MP'!P801</f>
        <v>0</v>
      </c>
      <c r="E1101">
        <f>'906MP'!X801</f>
        <v>0</v>
      </c>
      <c r="F1101" t="str">
        <f t="shared" si="333"/>
        <v>0</v>
      </c>
      <c r="G1101" t="str">
        <f t="shared" si="334"/>
        <v>0</v>
      </c>
      <c r="H1101">
        <f>'906MP'!Y801</f>
        <v>0</v>
      </c>
      <c r="I1101">
        <f>'906MP'!AK801</f>
        <v>0</v>
      </c>
      <c r="J1101">
        <f>'906MP'!T801</f>
        <v>0</v>
      </c>
      <c r="K1101">
        <f>'906MP'!AJ801</f>
        <v>0</v>
      </c>
      <c r="L1101">
        <f>'906MP'!U801</f>
        <v>0</v>
      </c>
      <c r="M1101" s="322" t="str">
        <f>IFERROR(VLOOKUP(A1101,PAR!$D$3:$E$53,2,FALSE),"nincs szervezet")</f>
        <v>nincs szervezet</v>
      </c>
      <c r="N1101" s="322" t="str">
        <f>VLOOKUP(F1101,PAR!$R$3:$S$5,2,FALSE)</f>
        <v>3 - egyik sem</v>
      </c>
      <c r="O1101" t="str">
        <f>IFERROR(VLOOKUP(J1101,PAR!$O$3:$P$5,2,FALSE),"nincs feladat")</f>
        <v>nincs feladat</v>
      </c>
      <c r="P1101" t="str">
        <f>IFERROR(VLOOKUP(G1101,PAR!$J$2:$M$19,4),"nincs rovat")</f>
        <v>nincs rovat</v>
      </c>
      <c r="Q1101" t="str">
        <f>IF(H1101&gt;0,VLOOKUP(H1101,PAR!$AA$3:$AC$187,3,FALSE),"nincs főkönyvi számla")</f>
        <v>nincs főkönyvi számla</v>
      </c>
      <c r="R1101" t="str">
        <f>IFERROR(VLOOKUP(K1101,PAR!$V$3:$X$438,3,FALSE),"000000 - Nincs COFOG")</f>
        <v>000000 - Nincs COFOG</v>
      </c>
      <c r="S1101">
        <f t="shared" si="335"/>
        <v>0</v>
      </c>
      <c r="T1101">
        <f t="shared" si="336"/>
        <v>0</v>
      </c>
      <c r="U1101" t="str">
        <f>IF('906MP'!J801&gt;0,CONCATENATE('906MP'!J801," - ",'906MP'!P801,", ",'906MP'!E801),"nincs megjegyzés")</f>
        <v>nincs megjegyzés</v>
      </c>
      <c r="V1101" t="str">
        <f t="shared" si="323"/>
        <v>0P0</v>
      </c>
      <c r="W1101" t="str">
        <f t="shared" si="324"/>
        <v>0P0</v>
      </c>
      <c r="X1101" t="str">
        <f t="shared" si="325"/>
        <v>P0</v>
      </c>
      <c r="Y1101" t="str">
        <f t="shared" si="326"/>
        <v>00</v>
      </c>
      <c r="Z1101" t="str">
        <f t="shared" si="337"/>
        <v>00</v>
      </c>
      <c r="AA1101" t="str">
        <f t="shared" si="327"/>
        <v>00</v>
      </c>
      <c r="AB1101" t="str">
        <f t="shared" si="328"/>
        <v>00</v>
      </c>
      <c r="AC1101" t="str">
        <f t="shared" si="329"/>
        <v>0P0</v>
      </c>
      <c r="AD1101" t="str">
        <f t="shared" si="330"/>
        <v>P00</v>
      </c>
      <c r="AE1101" t="str">
        <f t="shared" si="331"/>
        <v>0P0</v>
      </c>
      <c r="AF1101" t="str">
        <f t="shared" si="332"/>
        <v>P00</v>
      </c>
      <c r="AG1101" t="str">
        <f t="shared" si="338"/>
        <v>0P00</v>
      </c>
      <c r="AH1101" t="str">
        <f t="shared" si="339"/>
        <v>P000</v>
      </c>
      <c r="AI1101" t="str">
        <f t="shared" si="340"/>
        <v>0P00</v>
      </c>
      <c r="AJ1101" t="str">
        <f t="shared" si="341"/>
        <v>P000</v>
      </c>
    </row>
    <row r="1102" spans="1:36" x14ac:dyDescent="0.25">
      <c r="A1102" s="325" t="str">
        <f>CONCATENATE("P",'906MP'!M802)</f>
        <v>P</v>
      </c>
      <c r="B1102">
        <f>'906MP'!H802</f>
        <v>0</v>
      </c>
      <c r="C1102">
        <f>'906MP'!J802</f>
        <v>0</v>
      </c>
      <c r="D1102">
        <f>'906MP'!P802</f>
        <v>0</v>
      </c>
      <c r="E1102">
        <f>'906MP'!X802</f>
        <v>0</v>
      </c>
      <c r="F1102" t="str">
        <f t="shared" si="333"/>
        <v>0</v>
      </c>
      <c r="G1102" t="str">
        <f t="shared" si="334"/>
        <v>0</v>
      </c>
      <c r="H1102">
        <f>'906MP'!Y802</f>
        <v>0</v>
      </c>
      <c r="I1102">
        <f>'906MP'!AK802</f>
        <v>0</v>
      </c>
      <c r="J1102">
        <f>'906MP'!T802</f>
        <v>0</v>
      </c>
      <c r="K1102">
        <f>'906MP'!AJ802</f>
        <v>0</v>
      </c>
      <c r="L1102">
        <f>'906MP'!U802</f>
        <v>0</v>
      </c>
      <c r="M1102" s="322" t="str">
        <f>IFERROR(VLOOKUP(A1102,PAR!$D$3:$E$53,2,FALSE),"nincs szervezet")</f>
        <v>nincs szervezet</v>
      </c>
      <c r="N1102" s="322" t="str">
        <f>VLOOKUP(F1102,PAR!$R$3:$S$5,2,FALSE)</f>
        <v>3 - egyik sem</v>
      </c>
      <c r="O1102" t="str">
        <f>IFERROR(VLOOKUP(J1102,PAR!$O$3:$P$5,2,FALSE),"nincs feladat")</f>
        <v>nincs feladat</v>
      </c>
      <c r="P1102" t="str">
        <f>IFERROR(VLOOKUP(G1102,PAR!$J$2:$M$19,4),"nincs rovat")</f>
        <v>nincs rovat</v>
      </c>
      <c r="Q1102" t="str">
        <f>IF(H1102&gt;0,VLOOKUP(H1102,PAR!$AA$3:$AC$187,3,FALSE),"nincs főkönyvi számla")</f>
        <v>nincs főkönyvi számla</v>
      </c>
      <c r="R1102" t="str">
        <f>IFERROR(VLOOKUP(K1102,PAR!$V$3:$X$438,3,FALSE),"000000 - Nincs COFOG")</f>
        <v>000000 - Nincs COFOG</v>
      </c>
      <c r="S1102">
        <f t="shared" si="335"/>
        <v>0</v>
      </c>
      <c r="T1102">
        <f t="shared" si="336"/>
        <v>0</v>
      </c>
      <c r="U1102" t="str">
        <f>IF('906MP'!J802&gt;0,CONCATENATE('906MP'!J802," - ",'906MP'!P802,", ",'906MP'!E802),"nincs megjegyzés")</f>
        <v>nincs megjegyzés</v>
      </c>
      <c r="V1102" t="str">
        <f t="shared" si="323"/>
        <v>0P0</v>
      </c>
      <c r="W1102" t="str">
        <f t="shared" si="324"/>
        <v>0P0</v>
      </c>
      <c r="X1102" t="str">
        <f t="shared" si="325"/>
        <v>P0</v>
      </c>
      <c r="Y1102" t="str">
        <f t="shared" si="326"/>
        <v>00</v>
      </c>
      <c r="Z1102" t="str">
        <f t="shared" si="337"/>
        <v>00</v>
      </c>
      <c r="AA1102" t="str">
        <f t="shared" si="327"/>
        <v>00</v>
      </c>
      <c r="AB1102" t="str">
        <f t="shared" si="328"/>
        <v>00</v>
      </c>
      <c r="AC1102" t="str">
        <f t="shared" si="329"/>
        <v>0P0</v>
      </c>
      <c r="AD1102" t="str">
        <f t="shared" si="330"/>
        <v>P00</v>
      </c>
      <c r="AE1102" t="str">
        <f t="shared" si="331"/>
        <v>0P0</v>
      </c>
      <c r="AF1102" t="str">
        <f t="shared" si="332"/>
        <v>P00</v>
      </c>
      <c r="AG1102" t="str">
        <f t="shared" si="338"/>
        <v>0P00</v>
      </c>
      <c r="AH1102" t="str">
        <f t="shared" si="339"/>
        <v>P000</v>
      </c>
      <c r="AI1102" t="str">
        <f t="shared" si="340"/>
        <v>0P00</v>
      </c>
      <c r="AJ1102" t="str">
        <f t="shared" si="341"/>
        <v>P000</v>
      </c>
    </row>
    <row r="1103" spans="1:36" x14ac:dyDescent="0.25">
      <c r="A1103" s="325" t="str">
        <f>CONCATENATE("P",'906MP'!M803)</f>
        <v>P</v>
      </c>
      <c r="B1103">
        <f>'906MP'!H803</f>
        <v>0</v>
      </c>
      <c r="C1103">
        <f>'906MP'!J803</f>
        <v>0</v>
      </c>
      <c r="D1103">
        <f>'906MP'!P803</f>
        <v>0</v>
      </c>
      <c r="E1103">
        <f>'906MP'!X803</f>
        <v>0</v>
      </c>
      <c r="F1103" t="str">
        <f t="shared" si="333"/>
        <v>0</v>
      </c>
      <c r="G1103" t="str">
        <f t="shared" si="334"/>
        <v>0</v>
      </c>
      <c r="H1103">
        <f>'906MP'!Y803</f>
        <v>0</v>
      </c>
      <c r="I1103">
        <f>'906MP'!AK803</f>
        <v>0</v>
      </c>
      <c r="J1103">
        <f>'906MP'!T803</f>
        <v>0</v>
      </c>
      <c r="K1103">
        <f>'906MP'!AJ803</f>
        <v>0</v>
      </c>
      <c r="L1103">
        <f>'906MP'!U803</f>
        <v>0</v>
      </c>
      <c r="M1103" s="322" t="str">
        <f>IFERROR(VLOOKUP(A1103,PAR!$D$3:$E$53,2,FALSE),"nincs szervezet")</f>
        <v>nincs szervezet</v>
      </c>
      <c r="N1103" s="322" t="str">
        <f>VLOOKUP(F1103,PAR!$R$3:$S$5,2,FALSE)</f>
        <v>3 - egyik sem</v>
      </c>
      <c r="O1103" t="str">
        <f>IFERROR(VLOOKUP(J1103,PAR!$O$3:$P$5,2,FALSE),"nincs feladat")</f>
        <v>nincs feladat</v>
      </c>
      <c r="P1103" t="str">
        <f>IFERROR(VLOOKUP(G1103,PAR!$J$2:$M$19,4),"nincs rovat")</f>
        <v>nincs rovat</v>
      </c>
      <c r="Q1103" t="str">
        <f>IF(H1103&gt;0,VLOOKUP(H1103,PAR!$AA$3:$AC$187,3,FALSE),"nincs főkönyvi számla")</f>
        <v>nincs főkönyvi számla</v>
      </c>
      <c r="R1103" t="str">
        <f>IFERROR(VLOOKUP(K1103,PAR!$V$3:$X$438,3,FALSE),"000000 - Nincs COFOG")</f>
        <v>000000 - Nincs COFOG</v>
      </c>
      <c r="S1103">
        <f t="shared" si="335"/>
        <v>0</v>
      </c>
      <c r="T1103">
        <f t="shared" si="336"/>
        <v>0</v>
      </c>
      <c r="U1103" t="str">
        <f>IF('906MP'!J803&gt;0,CONCATENATE('906MP'!J803," - ",'906MP'!P803,", ",'906MP'!E803),"nincs megjegyzés")</f>
        <v>nincs megjegyzés</v>
      </c>
      <c r="V1103" t="str">
        <f t="shared" si="323"/>
        <v>0P0</v>
      </c>
      <c r="W1103" t="str">
        <f t="shared" si="324"/>
        <v>0P0</v>
      </c>
      <c r="X1103" t="str">
        <f t="shared" si="325"/>
        <v>P0</v>
      </c>
      <c r="Y1103" t="str">
        <f t="shared" si="326"/>
        <v>00</v>
      </c>
      <c r="Z1103" t="str">
        <f t="shared" si="337"/>
        <v>00</v>
      </c>
      <c r="AA1103" t="str">
        <f t="shared" si="327"/>
        <v>00</v>
      </c>
      <c r="AB1103" t="str">
        <f t="shared" si="328"/>
        <v>00</v>
      </c>
      <c r="AC1103" t="str">
        <f t="shared" si="329"/>
        <v>0P0</v>
      </c>
      <c r="AD1103" t="str">
        <f t="shared" si="330"/>
        <v>P00</v>
      </c>
      <c r="AE1103" t="str">
        <f t="shared" si="331"/>
        <v>0P0</v>
      </c>
      <c r="AF1103" t="str">
        <f t="shared" si="332"/>
        <v>P00</v>
      </c>
      <c r="AG1103" t="str">
        <f t="shared" si="338"/>
        <v>0P00</v>
      </c>
      <c r="AH1103" t="str">
        <f t="shared" si="339"/>
        <v>P000</v>
      </c>
      <c r="AI1103" t="str">
        <f t="shared" si="340"/>
        <v>0P00</v>
      </c>
      <c r="AJ1103" t="str">
        <f t="shared" si="341"/>
        <v>P000</v>
      </c>
    </row>
    <row r="1104" spans="1:36" x14ac:dyDescent="0.25">
      <c r="A1104" s="325" t="str">
        <f>CONCATENATE("P",'906MP'!M804)</f>
        <v>P</v>
      </c>
      <c r="B1104">
        <f>'906MP'!H804</f>
        <v>0</v>
      </c>
      <c r="C1104">
        <f>'906MP'!J804</f>
        <v>0</v>
      </c>
      <c r="D1104">
        <f>'906MP'!P804</f>
        <v>0</v>
      </c>
      <c r="E1104">
        <f>'906MP'!X804</f>
        <v>0</v>
      </c>
      <c r="F1104" t="str">
        <f t="shared" si="333"/>
        <v>0</v>
      </c>
      <c r="G1104" t="str">
        <f t="shared" si="334"/>
        <v>0</v>
      </c>
      <c r="H1104">
        <f>'906MP'!Y804</f>
        <v>0</v>
      </c>
      <c r="I1104">
        <f>'906MP'!AK804</f>
        <v>0</v>
      </c>
      <c r="J1104">
        <f>'906MP'!T804</f>
        <v>0</v>
      </c>
      <c r="K1104">
        <f>'906MP'!AJ804</f>
        <v>0</v>
      </c>
      <c r="L1104">
        <f>'906MP'!U804</f>
        <v>0</v>
      </c>
      <c r="M1104" s="322" t="str">
        <f>IFERROR(VLOOKUP(A1104,PAR!$D$3:$E$53,2,FALSE),"nincs szervezet")</f>
        <v>nincs szervezet</v>
      </c>
      <c r="N1104" s="322" t="str">
        <f>VLOOKUP(F1104,PAR!$R$3:$S$5,2,FALSE)</f>
        <v>3 - egyik sem</v>
      </c>
      <c r="O1104" t="str">
        <f>IFERROR(VLOOKUP(J1104,PAR!$O$3:$P$5,2,FALSE),"nincs feladat")</f>
        <v>nincs feladat</v>
      </c>
      <c r="P1104" t="str">
        <f>IFERROR(VLOOKUP(G1104,PAR!$J$2:$M$19,4),"nincs rovat")</f>
        <v>nincs rovat</v>
      </c>
      <c r="Q1104" t="str">
        <f>IF(H1104&gt;0,VLOOKUP(H1104,PAR!$AA$3:$AC$187,3,FALSE),"nincs főkönyvi számla")</f>
        <v>nincs főkönyvi számla</v>
      </c>
      <c r="R1104" t="str">
        <f>IFERROR(VLOOKUP(K1104,PAR!$V$3:$X$438,3,FALSE),"000000 - Nincs COFOG")</f>
        <v>000000 - Nincs COFOG</v>
      </c>
      <c r="S1104">
        <f t="shared" si="335"/>
        <v>0</v>
      </c>
      <c r="T1104">
        <f t="shared" si="336"/>
        <v>0</v>
      </c>
      <c r="U1104" t="str">
        <f>IF('906MP'!J804&gt;0,CONCATENATE('906MP'!J804," - ",'906MP'!P804,", ",'906MP'!E804),"nincs megjegyzés")</f>
        <v>nincs megjegyzés</v>
      </c>
      <c r="V1104" t="str">
        <f t="shared" si="323"/>
        <v>0P0</v>
      </c>
      <c r="W1104" t="str">
        <f t="shared" si="324"/>
        <v>0P0</v>
      </c>
      <c r="X1104" t="str">
        <f t="shared" si="325"/>
        <v>P0</v>
      </c>
      <c r="Y1104" t="str">
        <f t="shared" si="326"/>
        <v>00</v>
      </c>
      <c r="Z1104" t="str">
        <f t="shared" si="337"/>
        <v>00</v>
      </c>
      <c r="AA1104" t="str">
        <f t="shared" si="327"/>
        <v>00</v>
      </c>
      <c r="AB1104" t="str">
        <f t="shared" si="328"/>
        <v>00</v>
      </c>
      <c r="AC1104" t="str">
        <f t="shared" si="329"/>
        <v>0P0</v>
      </c>
      <c r="AD1104" t="str">
        <f t="shared" si="330"/>
        <v>P00</v>
      </c>
      <c r="AE1104" t="str">
        <f t="shared" si="331"/>
        <v>0P0</v>
      </c>
      <c r="AF1104" t="str">
        <f t="shared" si="332"/>
        <v>P00</v>
      </c>
      <c r="AG1104" t="str">
        <f t="shared" si="338"/>
        <v>0P00</v>
      </c>
      <c r="AH1104" t="str">
        <f t="shared" si="339"/>
        <v>P000</v>
      </c>
      <c r="AI1104" t="str">
        <f t="shared" si="340"/>
        <v>0P00</v>
      </c>
      <c r="AJ1104" t="str">
        <f t="shared" si="341"/>
        <v>P000</v>
      </c>
    </row>
    <row r="1105" spans="1:36" x14ac:dyDescent="0.25">
      <c r="A1105" s="325" t="str">
        <f>CONCATENATE("P",'906MP'!M805)</f>
        <v>P</v>
      </c>
      <c r="B1105">
        <f>'906MP'!H805</f>
        <v>0</v>
      </c>
      <c r="C1105">
        <f>'906MP'!J805</f>
        <v>0</v>
      </c>
      <c r="D1105">
        <f>'906MP'!P805</f>
        <v>0</v>
      </c>
      <c r="E1105">
        <f>'906MP'!X805</f>
        <v>0</v>
      </c>
      <c r="F1105" t="str">
        <f t="shared" si="333"/>
        <v>0</v>
      </c>
      <c r="G1105" t="str">
        <f t="shared" si="334"/>
        <v>0</v>
      </c>
      <c r="H1105">
        <f>'906MP'!Y805</f>
        <v>0</v>
      </c>
      <c r="I1105">
        <f>'906MP'!AK805</f>
        <v>0</v>
      </c>
      <c r="J1105">
        <f>'906MP'!T805</f>
        <v>0</v>
      </c>
      <c r="K1105">
        <f>'906MP'!AJ805</f>
        <v>0</v>
      </c>
      <c r="L1105">
        <f>'906MP'!U805</f>
        <v>0</v>
      </c>
      <c r="M1105" s="322" t="str">
        <f>IFERROR(VLOOKUP(A1105,PAR!$D$3:$E$53,2,FALSE),"nincs szervezet")</f>
        <v>nincs szervezet</v>
      </c>
      <c r="N1105" s="322" t="str">
        <f>VLOOKUP(F1105,PAR!$R$3:$S$5,2,FALSE)</f>
        <v>3 - egyik sem</v>
      </c>
      <c r="O1105" t="str">
        <f>IFERROR(VLOOKUP(J1105,PAR!$O$3:$P$5,2,FALSE),"nincs feladat")</f>
        <v>nincs feladat</v>
      </c>
      <c r="P1105" t="str">
        <f>IFERROR(VLOOKUP(G1105,PAR!$J$2:$M$19,4),"nincs rovat")</f>
        <v>nincs rovat</v>
      </c>
      <c r="Q1105" t="str">
        <f>IF(H1105&gt;0,VLOOKUP(H1105,PAR!$AA$3:$AC$187,3,FALSE),"nincs főkönyvi számla")</f>
        <v>nincs főkönyvi számla</v>
      </c>
      <c r="R1105" t="str">
        <f>IFERROR(VLOOKUP(K1105,PAR!$V$3:$X$438,3,FALSE),"000000 - Nincs COFOG")</f>
        <v>000000 - Nincs COFOG</v>
      </c>
      <c r="S1105">
        <f t="shared" si="335"/>
        <v>0</v>
      </c>
      <c r="T1105">
        <f t="shared" si="336"/>
        <v>0</v>
      </c>
      <c r="U1105" t="str">
        <f>IF('906MP'!J805&gt;0,CONCATENATE('906MP'!J805," - ",'906MP'!P805,", ",'906MP'!E805),"nincs megjegyzés")</f>
        <v>nincs megjegyzés</v>
      </c>
      <c r="V1105" t="str">
        <f t="shared" si="323"/>
        <v>0P0</v>
      </c>
      <c r="W1105" t="str">
        <f t="shared" si="324"/>
        <v>0P0</v>
      </c>
      <c r="X1105" t="str">
        <f t="shared" si="325"/>
        <v>P0</v>
      </c>
      <c r="Y1105" t="str">
        <f t="shared" si="326"/>
        <v>00</v>
      </c>
      <c r="Z1105" t="str">
        <f t="shared" si="337"/>
        <v>00</v>
      </c>
      <c r="AA1105" t="str">
        <f t="shared" si="327"/>
        <v>00</v>
      </c>
      <c r="AB1105" t="str">
        <f t="shared" si="328"/>
        <v>00</v>
      </c>
      <c r="AC1105" t="str">
        <f t="shared" si="329"/>
        <v>0P0</v>
      </c>
      <c r="AD1105" t="str">
        <f t="shared" si="330"/>
        <v>P00</v>
      </c>
      <c r="AE1105" t="str">
        <f t="shared" si="331"/>
        <v>0P0</v>
      </c>
      <c r="AF1105" t="str">
        <f t="shared" si="332"/>
        <v>P00</v>
      </c>
      <c r="AG1105" t="str">
        <f t="shared" si="338"/>
        <v>0P00</v>
      </c>
      <c r="AH1105" t="str">
        <f t="shared" si="339"/>
        <v>P000</v>
      </c>
      <c r="AI1105" t="str">
        <f t="shared" si="340"/>
        <v>0P00</v>
      </c>
      <c r="AJ1105" t="str">
        <f t="shared" si="341"/>
        <v>P000</v>
      </c>
    </row>
    <row r="1106" spans="1:36" x14ac:dyDescent="0.25">
      <c r="A1106" s="325" t="str">
        <f>CONCATENATE("P",'906MP'!M806)</f>
        <v>P</v>
      </c>
      <c r="B1106">
        <f>'906MP'!H806</f>
        <v>0</v>
      </c>
      <c r="C1106">
        <f>'906MP'!J806</f>
        <v>0</v>
      </c>
      <c r="D1106">
        <f>'906MP'!P806</f>
        <v>0</v>
      </c>
      <c r="E1106">
        <f>'906MP'!X806</f>
        <v>0</v>
      </c>
      <c r="F1106" t="str">
        <f t="shared" si="333"/>
        <v>0</v>
      </c>
      <c r="G1106" t="str">
        <f t="shared" si="334"/>
        <v>0</v>
      </c>
      <c r="H1106">
        <f>'906MP'!Y806</f>
        <v>0</v>
      </c>
      <c r="I1106">
        <f>'906MP'!AK806</f>
        <v>0</v>
      </c>
      <c r="J1106">
        <f>'906MP'!T806</f>
        <v>0</v>
      </c>
      <c r="K1106">
        <f>'906MP'!AJ806</f>
        <v>0</v>
      </c>
      <c r="L1106">
        <f>'906MP'!U806</f>
        <v>0</v>
      </c>
      <c r="M1106" s="322" t="str">
        <f>IFERROR(VLOOKUP(A1106,PAR!$D$3:$E$53,2,FALSE),"nincs szervezet")</f>
        <v>nincs szervezet</v>
      </c>
      <c r="N1106" s="322" t="str">
        <f>VLOOKUP(F1106,PAR!$R$3:$S$5,2,FALSE)</f>
        <v>3 - egyik sem</v>
      </c>
      <c r="O1106" t="str">
        <f>IFERROR(VLOOKUP(J1106,PAR!$O$3:$P$5,2,FALSE),"nincs feladat")</f>
        <v>nincs feladat</v>
      </c>
      <c r="P1106" t="str">
        <f>IFERROR(VLOOKUP(G1106,PAR!$J$2:$M$19,4),"nincs rovat")</f>
        <v>nincs rovat</v>
      </c>
      <c r="Q1106" t="str">
        <f>IF(H1106&gt;0,VLOOKUP(H1106,PAR!$AA$3:$AC$187,3,FALSE),"nincs főkönyvi számla")</f>
        <v>nincs főkönyvi számla</v>
      </c>
      <c r="R1106" t="str">
        <f>IFERROR(VLOOKUP(K1106,PAR!$V$3:$X$438,3,FALSE),"000000 - Nincs COFOG")</f>
        <v>000000 - Nincs COFOG</v>
      </c>
      <c r="S1106">
        <f t="shared" si="335"/>
        <v>0</v>
      </c>
      <c r="T1106">
        <f t="shared" si="336"/>
        <v>0</v>
      </c>
      <c r="U1106" t="str">
        <f>IF('906MP'!J806&gt;0,CONCATENATE('906MP'!J806," - ",'906MP'!P806,", ",'906MP'!E806),"nincs megjegyzés")</f>
        <v>nincs megjegyzés</v>
      </c>
      <c r="V1106" t="str">
        <f t="shared" si="323"/>
        <v>0P0</v>
      </c>
      <c r="W1106" t="str">
        <f t="shared" si="324"/>
        <v>0P0</v>
      </c>
      <c r="X1106" t="str">
        <f t="shared" si="325"/>
        <v>P0</v>
      </c>
      <c r="Y1106" t="str">
        <f t="shared" si="326"/>
        <v>00</v>
      </c>
      <c r="Z1106" t="str">
        <f t="shared" si="337"/>
        <v>00</v>
      </c>
      <c r="AA1106" t="str">
        <f t="shared" si="327"/>
        <v>00</v>
      </c>
      <c r="AB1106" t="str">
        <f t="shared" si="328"/>
        <v>00</v>
      </c>
      <c r="AC1106" t="str">
        <f t="shared" si="329"/>
        <v>0P0</v>
      </c>
      <c r="AD1106" t="str">
        <f t="shared" si="330"/>
        <v>P00</v>
      </c>
      <c r="AE1106" t="str">
        <f t="shared" si="331"/>
        <v>0P0</v>
      </c>
      <c r="AF1106" t="str">
        <f t="shared" si="332"/>
        <v>P00</v>
      </c>
      <c r="AG1106" t="str">
        <f t="shared" si="338"/>
        <v>0P00</v>
      </c>
      <c r="AH1106" t="str">
        <f t="shared" si="339"/>
        <v>P000</v>
      </c>
      <c r="AI1106" t="str">
        <f t="shared" si="340"/>
        <v>0P00</v>
      </c>
      <c r="AJ1106" t="str">
        <f t="shared" si="341"/>
        <v>P000</v>
      </c>
    </row>
    <row r="1107" spans="1:36" x14ac:dyDescent="0.25">
      <c r="A1107" s="325" t="str">
        <f>CONCATENATE("P",'906MP'!M807)</f>
        <v>P</v>
      </c>
      <c r="B1107">
        <f>'906MP'!H807</f>
        <v>0</v>
      </c>
      <c r="C1107">
        <f>'906MP'!J807</f>
        <v>0</v>
      </c>
      <c r="D1107">
        <f>'906MP'!P807</f>
        <v>0</v>
      </c>
      <c r="E1107">
        <f>'906MP'!X807</f>
        <v>0</v>
      </c>
      <c r="F1107" t="str">
        <f t="shared" si="333"/>
        <v>0</v>
      </c>
      <c r="G1107" t="str">
        <f t="shared" si="334"/>
        <v>0</v>
      </c>
      <c r="H1107">
        <f>'906MP'!Y807</f>
        <v>0</v>
      </c>
      <c r="I1107">
        <f>'906MP'!AK807</f>
        <v>0</v>
      </c>
      <c r="J1107">
        <f>'906MP'!T807</f>
        <v>0</v>
      </c>
      <c r="K1107">
        <f>'906MP'!AJ807</f>
        <v>0</v>
      </c>
      <c r="L1107">
        <f>'906MP'!U807</f>
        <v>0</v>
      </c>
      <c r="M1107" s="322" t="str">
        <f>IFERROR(VLOOKUP(A1107,PAR!$D$3:$E$53,2,FALSE),"nincs szervezet")</f>
        <v>nincs szervezet</v>
      </c>
      <c r="N1107" s="322" t="str">
        <f>VLOOKUP(F1107,PAR!$R$3:$S$5,2,FALSE)</f>
        <v>3 - egyik sem</v>
      </c>
      <c r="O1107" t="str">
        <f>IFERROR(VLOOKUP(J1107,PAR!$O$3:$P$5,2,FALSE),"nincs feladat")</f>
        <v>nincs feladat</v>
      </c>
      <c r="P1107" t="str">
        <f>IFERROR(VLOOKUP(G1107,PAR!$J$2:$M$19,4),"nincs rovat")</f>
        <v>nincs rovat</v>
      </c>
      <c r="Q1107" t="str">
        <f>IF(H1107&gt;0,VLOOKUP(H1107,PAR!$AA$3:$AC$187,3,FALSE),"nincs főkönyvi számla")</f>
        <v>nincs főkönyvi számla</v>
      </c>
      <c r="R1107" t="str">
        <f>IFERROR(VLOOKUP(K1107,PAR!$V$3:$X$438,3,FALSE),"000000 - Nincs COFOG")</f>
        <v>000000 - Nincs COFOG</v>
      </c>
      <c r="S1107">
        <f t="shared" si="335"/>
        <v>0</v>
      </c>
      <c r="T1107">
        <f t="shared" si="336"/>
        <v>0</v>
      </c>
      <c r="U1107" t="str">
        <f>IF('906MP'!J807&gt;0,CONCATENATE('906MP'!J807," - ",'906MP'!P807,", ",'906MP'!E807),"nincs megjegyzés")</f>
        <v>nincs megjegyzés</v>
      </c>
      <c r="V1107" t="str">
        <f t="shared" si="323"/>
        <v>0P0</v>
      </c>
      <c r="W1107" t="str">
        <f t="shared" si="324"/>
        <v>0P0</v>
      </c>
      <c r="X1107" t="str">
        <f t="shared" si="325"/>
        <v>P0</v>
      </c>
      <c r="Y1107" t="str">
        <f t="shared" si="326"/>
        <v>00</v>
      </c>
      <c r="Z1107" t="str">
        <f t="shared" si="337"/>
        <v>00</v>
      </c>
      <c r="AA1107" t="str">
        <f t="shared" si="327"/>
        <v>00</v>
      </c>
      <c r="AB1107" t="str">
        <f t="shared" si="328"/>
        <v>00</v>
      </c>
      <c r="AC1107" t="str">
        <f t="shared" si="329"/>
        <v>0P0</v>
      </c>
      <c r="AD1107" t="str">
        <f t="shared" si="330"/>
        <v>P00</v>
      </c>
      <c r="AE1107" t="str">
        <f t="shared" si="331"/>
        <v>0P0</v>
      </c>
      <c r="AF1107" t="str">
        <f t="shared" si="332"/>
        <v>P00</v>
      </c>
      <c r="AG1107" t="str">
        <f t="shared" si="338"/>
        <v>0P00</v>
      </c>
      <c r="AH1107" t="str">
        <f t="shared" si="339"/>
        <v>P000</v>
      </c>
      <c r="AI1107" t="str">
        <f t="shared" si="340"/>
        <v>0P00</v>
      </c>
      <c r="AJ1107" t="str">
        <f t="shared" si="341"/>
        <v>P000</v>
      </c>
    </row>
    <row r="1108" spans="1:36" x14ac:dyDescent="0.25">
      <c r="A1108" s="325" t="str">
        <f>CONCATENATE("P",'906MP'!M808)</f>
        <v>P</v>
      </c>
      <c r="B1108">
        <f>'906MP'!H808</f>
        <v>0</v>
      </c>
      <c r="C1108">
        <f>'906MP'!J808</f>
        <v>0</v>
      </c>
      <c r="D1108">
        <f>'906MP'!P808</f>
        <v>0</v>
      </c>
      <c r="E1108">
        <f>'906MP'!X808</f>
        <v>0</v>
      </c>
      <c r="F1108" t="str">
        <f t="shared" si="333"/>
        <v>0</v>
      </c>
      <c r="G1108" t="str">
        <f t="shared" si="334"/>
        <v>0</v>
      </c>
      <c r="H1108">
        <f>'906MP'!Y808</f>
        <v>0</v>
      </c>
      <c r="I1108">
        <f>'906MP'!AK808</f>
        <v>0</v>
      </c>
      <c r="J1108">
        <f>'906MP'!T808</f>
        <v>0</v>
      </c>
      <c r="K1108">
        <f>'906MP'!AJ808</f>
        <v>0</v>
      </c>
      <c r="L1108">
        <f>'906MP'!U808</f>
        <v>0</v>
      </c>
      <c r="M1108" s="322" t="str">
        <f>IFERROR(VLOOKUP(A1108,PAR!$D$3:$E$53,2,FALSE),"nincs szervezet")</f>
        <v>nincs szervezet</v>
      </c>
      <c r="N1108" s="322" t="str">
        <f>VLOOKUP(F1108,PAR!$R$3:$S$5,2,FALSE)</f>
        <v>3 - egyik sem</v>
      </c>
      <c r="O1108" t="str">
        <f>IFERROR(VLOOKUP(J1108,PAR!$O$3:$P$5,2,FALSE),"nincs feladat")</f>
        <v>nincs feladat</v>
      </c>
      <c r="P1108" t="str">
        <f>IFERROR(VLOOKUP(G1108,PAR!$J$2:$M$19,4),"nincs rovat")</f>
        <v>nincs rovat</v>
      </c>
      <c r="Q1108" t="str">
        <f>IF(H1108&gt;0,VLOOKUP(H1108,PAR!$AA$3:$AC$187,3,FALSE),"nincs főkönyvi számla")</f>
        <v>nincs főkönyvi számla</v>
      </c>
      <c r="R1108" t="str">
        <f>IFERROR(VLOOKUP(K1108,PAR!$V$3:$X$438,3,FALSE),"000000 - Nincs COFOG")</f>
        <v>000000 - Nincs COFOG</v>
      </c>
      <c r="S1108">
        <f t="shared" si="335"/>
        <v>0</v>
      </c>
      <c r="T1108">
        <f t="shared" si="336"/>
        <v>0</v>
      </c>
      <c r="U1108" t="str">
        <f>IF('906MP'!J808&gt;0,CONCATENATE('906MP'!J808," - ",'906MP'!P808,", ",'906MP'!E808),"nincs megjegyzés")</f>
        <v>nincs megjegyzés</v>
      </c>
      <c r="V1108" t="str">
        <f t="shared" si="323"/>
        <v>0P0</v>
      </c>
      <c r="W1108" t="str">
        <f t="shared" si="324"/>
        <v>0P0</v>
      </c>
      <c r="X1108" t="str">
        <f t="shared" si="325"/>
        <v>P0</v>
      </c>
      <c r="Y1108" t="str">
        <f t="shared" si="326"/>
        <v>00</v>
      </c>
      <c r="Z1108" t="str">
        <f t="shared" si="337"/>
        <v>00</v>
      </c>
      <c r="AA1108" t="str">
        <f t="shared" si="327"/>
        <v>00</v>
      </c>
      <c r="AB1108" t="str">
        <f t="shared" si="328"/>
        <v>00</v>
      </c>
      <c r="AC1108" t="str">
        <f t="shared" si="329"/>
        <v>0P0</v>
      </c>
      <c r="AD1108" t="str">
        <f t="shared" si="330"/>
        <v>P00</v>
      </c>
      <c r="AE1108" t="str">
        <f t="shared" si="331"/>
        <v>0P0</v>
      </c>
      <c r="AF1108" t="str">
        <f t="shared" si="332"/>
        <v>P00</v>
      </c>
      <c r="AG1108" t="str">
        <f t="shared" si="338"/>
        <v>0P00</v>
      </c>
      <c r="AH1108" t="str">
        <f t="shared" si="339"/>
        <v>P000</v>
      </c>
      <c r="AI1108" t="str">
        <f t="shared" si="340"/>
        <v>0P00</v>
      </c>
      <c r="AJ1108" t="str">
        <f t="shared" si="341"/>
        <v>P000</v>
      </c>
    </row>
    <row r="1109" spans="1:36" x14ac:dyDescent="0.25">
      <c r="A1109" s="325" t="str">
        <f>CONCATENATE("P",'906MP'!M809)</f>
        <v>P</v>
      </c>
      <c r="B1109">
        <f>'906MP'!H809</f>
        <v>0</v>
      </c>
      <c r="C1109">
        <f>'906MP'!J809</f>
        <v>0</v>
      </c>
      <c r="D1109">
        <f>'906MP'!P809</f>
        <v>0</v>
      </c>
      <c r="E1109">
        <f>'906MP'!X809</f>
        <v>0</v>
      </c>
      <c r="F1109" t="str">
        <f t="shared" si="333"/>
        <v>0</v>
      </c>
      <c r="G1109" t="str">
        <f t="shared" si="334"/>
        <v>0</v>
      </c>
      <c r="H1109">
        <f>'906MP'!Y809</f>
        <v>0</v>
      </c>
      <c r="I1109">
        <f>'906MP'!AK809</f>
        <v>0</v>
      </c>
      <c r="J1109">
        <f>'906MP'!T809</f>
        <v>0</v>
      </c>
      <c r="K1109">
        <f>'906MP'!AJ809</f>
        <v>0</v>
      </c>
      <c r="L1109">
        <f>'906MP'!U809</f>
        <v>0</v>
      </c>
      <c r="M1109" s="322" t="str">
        <f>IFERROR(VLOOKUP(A1109,PAR!$D$3:$E$53,2,FALSE),"nincs szervezet")</f>
        <v>nincs szervezet</v>
      </c>
      <c r="N1109" s="322" t="str">
        <f>VLOOKUP(F1109,PAR!$R$3:$S$5,2,FALSE)</f>
        <v>3 - egyik sem</v>
      </c>
      <c r="O1109" t="str">
        <f>IFERROR(VLOOKUP(J1109,PAR!$O$3:$P$5,2,FALSE),"nincs feladat")</f>
        <v>nincs feladat</v>
      </c>
      <c r="P1109" t="str">
        <f>IFERROR(VLOOKUP(G1109,PAR!$J$2:$M$19,4),"nincs rovat")</f>
        <v>nincs rovat</v>
      </c>
      <c r="Q1109" t="str">
        <f>IF(H1109&gt;0,VLOOKUP(H1109,PAR!$AA$3:$AC$187,3,FALSE),"nincs főkönyvi számla")</f>
        <v>nincs főkönyvi számla</v>
      </c>
      <c r="R1109" t="str">
        <f>IFERROR(VLOOKUP(K1109,PAR!$V$3:$X$438,3,FALSE),"000000 - Nincs COFOG")</f>
        <v>000000 - Nincs COFOG</v>
      </c>
      <c r="S1109">
        <f t="shared" si="335"/>
        <v>0</v>
      </c>
      <c r="T1109">
        <f t="shared" si="336"/>
        <v>0</v>
      </c>
      <c r="U1109" t="str">
        <f>IF('906MP'!J809&gt;0,CONCATENATE('906MP'!J809," - ",'906MP'!P809,", ",'906MP'!E809),"nincs megjegyzés")</f>
        <v>nincs megjegyzés</v>
      </c>
      <c r="V1109" t="str">
        <f t="shared" si="323"/>
        <v>0P0</v>
      </c>
      <c r="W1109" t="str">
        <f t="shared" si="324"/>
        <v>0P0</v>
      </c>
      <c r="X1109" t="str">
        <f t="shared" si="325"/>
        <v>P0</v>
      </c>
      <c r="Y1109" t="str">
        <f t="shared" si="326"/>
        <v>00</v>
      </c>
      <c r="Z1109" t="str">
        <f t="shared" si="337"/>
        <v>00</v>
      </c>
      <c r="AA1109" t="str">
        <f t="shared" si="327"/>
        <v>00</v>
      </c>
      <c r="AB1109" t="str">
        <f t="shared" si="328"/>
        <v>00</v>
      </c>
      <c r="AC1109" t="str">
        <f t="shared" si="329"/>
        <v>0P0</v>
      </c>
      <c r="AD1109" t="str">
        <f t="shared" si="330"/>
        <v>P00</v>
      </c>
      <c r="AE1109" t="str">
        <f t="shared" si="331"/>
        <v>0P0</v>
      </c>
      <c r="AF1109" t="str">
        <f t="shared" si="332"/>
        <v>P00</v>
      </c>
      <c r="AG1109" t="str">
        <f t="shared" si="338"/>
        <v>0P00</v>
      </c>
      <c r="AH1109" t="str">
        <f t="shared" si="339"/>
        <v>P000</v>
      </c>
      <c r="AI1109" t="str">
        <f t="shared" si="340"/>
        <v>0P00</v>
      </c>
      <c r="AJ1109" t="str">
        <f t="shared" si="341"/>
        <v>P000</v>
      </c>
    </row>
    <row r="1110" spans="1:36" x14ac:dyDescent="0.25">
      <c r="A1110" s="325" t="str">
        <f>CONCATENATE("P",'906MP'!M810)</f>
        <v>P</v>
      </c>
      <c r="B1110">
        <f>'906MP'!H810</f>
        <v>0</v>
      </c>
      <c r="C1110">
        <f>'906MP'!J810</f>
        <v>0</v>
      </c>
      <c r="D1110">
        <f>'906MP'!P810</f>
        <v>0</v>
      </c>
      <c r="E1110">
        <f>'906MP'!X810</f>
        <v>0</v>
      </c>
      <c r="F1110" t="str">
        <f t="shared" si="333"/>
        <v>0</v>
      </c>
      <c r="G1110" t="str">
        <f t="shared" si="334"/>
        <v>0</v>
      </c>
      <c r="H1110">
        <f>'906MP'!Y810</f>
        <v>0</v>
      </c>
      <c r="I1110">
        <f>'906MP'!AK810</f>
        <v>0</v>
      </c>
      <c r="J1110">
        <f>'906MP'!T810</f>
        <v>0</v>
      </c>
      <c r="K1110">
        <f>'906MP'!AJ810</f>
        <v>0</v>
      </c>
      <c r="L1110">
        <f>'906MP'!U810</f>
        <v>0</v>
      </c>
      <c r="M1110" s="322" t="str">
        <f>IFERROR(VLOOKUP(A1110,PAR!$D$3:$E$53,2,FALSE),"nincs szervezet")</f>
        <v>nincs szervezet</v>
      </c>
      <c r="N1110" s="322" t="str">
        <f>VLOOKUP(F1110,PAR!$R$3:$S$5,2,FALSE)</f>
        <v>3 - egyik sem</v>
      </c>
      <c r="O1110" t="str">
        <f>IFERROR(VLOOKUP(J1110,PAR!$O$3:$P$5,2,FALSE),"nincs feladat")</f>
        <v>nincs feladat</v>
      </c>
      <c r="P1110" t="str">
        <f>IFERROR(VLOOKUP(G1110,PAR!$J$2:$M$19,4),"nincs rovat")</f>
        <v>nincs rovat</v>
      </c>
      <c r="Q1110" t="str">
        <f>IF(H1110&gt;0,VLOOKUP(H1110,PAR!$AA$3:$AC$187,3,FALSE),"nincs főkönyvi számla")</f>
        <v>nincs főkönyvi számla</v>
      </c>
      <c r="R1110" t="str">
        <f>IFERROR(VLOOKUP(K1110,PAR!$V$3:$X$438,3,FALSE),"000000 - Nincs COFOG")</f>
        <v>000000 - Nincs COFOG</v>
      </c>
      <c r="S1110">
        <f t="shared" si="335"/>
        <v>0</v>
      </c>
      <c r="T1110">
        <f t="shared" si="336"/>
        <v>0</v>
      </c>
      <c r="U1110" t="str">
        <f>IF('906MP'!J810&gt;0,CONCATENATE('906MP'!J810," - ",'906MP'!P810,", ",'906MP'!E810),"nincs megjegyzés")</f>
        <v>nincs megjegyzés</v>
      </c>
      <c r="V1110" t="str">
        <f t="shared" si="323"/>
        <v>0P0</v>
      </c>
      <c r="W1110" t="str">
        <f t="shared" si="324"/>
        <v>0P0</v>
      </c>
      <c r="X1110" t="str">
        <f t="shared" si="325"/>
        <v>P0</v>
      </c>
      <c r="Y1110" t="str">
        <f t="shared" si="326"/>
        <v>00</v>
      </c>
      <c r="Z1110" t="str">
        <f t="shared" si="337"/>
        <v>00</v>
      </c>
      <c r="AA1110" t="str">
        <f t="shared" si="327"/>
        <v>00</v>
      </c>
      <c r="AB1110" t="str">
        <f t="shared" si="328"/>
        <v>00</v>
      </c>
      <c r="AC1110" t="str">
        <f t="shared" si="329"/>
        <v>0P0</v>
      </c>
      <c r="AD1110" t="str">
        <f t="shared" si="330"/>
        <v>P00</v>
      </c>
      <c r="AE1110" t="str">
        <f t="shared" si="331"/>
        <v>0P0</v>
      </c>
      <c r="AF1110" t="str">
        <f t="shared" si="332"/>
        <v>P00</v>
      </c>
      <c r="AG1110" t="str">
        <f t="shared" si="338"/>
        <v>0P00</v>
      </c>
      <c r="AH1110" t="str">
        <f t="shared" si="339"/>
        <v>P000</v>
      </c>
      <c r="AI1110" t="str">
        <f t="shared" si="340"/>
        <v>0P00</v>
      </c>
      <c r="AJ1110" t="str">
        <f t="shared" si="341"/>
        <v>P000</v>
      </c>
    </row>
    <row r="1111" spans="1:36" x14ac:dyDescent="0.25">
      <c r="A1111" s="325" t="str">
        <f>CONCATENATE("P",'906MP'!M811)</f>
        <v>P</v>
      </c>
      <c r="B1111">
        <f>'906MP'!H811</f>
        <v>0</v>
      </c>
      <c r="C1111">
        <f>'906MP'!J811</f>
        <v>0</v>
      </c>
      <c r="D1111">
        <f>'906MP'!P811</f>
        <v>0</v>
      </c>
      <c r="E1111">
        <f>'906MP'!X811</f>
        <v>0</v>
      </c>
      <c r="F1111" t="str">
        <f t="shared" si="333"/>
        <v>0</v>
      </c>
      <c r="G1111" t="str">
        <f t="shared" si="334"/>
        <v>0</v>
      </c>
      <c r="H1111">
        <f>'906MP'!Y811</f>
        <v>0</v>
      </c>
      <c r="I1111">
        <f>'906MP'!AK811</f>
        <v>0</v>
      </c>
      <c r="J1111">
        <f>'906MP'!T811</f>
        <v>0</v>
      </c>
      <c r="K1111">
        <f>'906MP'!AJ811</f>
        <v>0</v>
      </c>
      <c r="L1111">
        <f>'906MP'!U811</f>
        <v>0</v>
      </c>
      <c r="M1111" s="322" t="str">
        <f>IFERROR(VLOOKUP(A1111,PAR!$D$3:$E$53,2,FALSE),"nincs szervezet")</f>
        <v>nincs szervezet</v>
      </c>
      <c r="N1111" s="322" t="str">
        <f>VLOOKUP(F1111,PAR!$R$3:$S$5,2,FALSE)</f>
        <v>3 - egyik sem</v>
      </c>
      <c r="O1111" t="str">
        <f>IFERROR(VLOOKUP(J1111,PAR!$O$3:$P$5,2,FALSE),"nincs feladat")</f>
        <v>nincs feladat</v>
      </c>
      <c r="P1111" t="str">
        <f>IFERROR(VLOOKUP(G1111,PAR!$J$2:$M$19,4),"nincs rovat")</f>
        <v>nincs rovat</v>
      </c>
      <c r="Q1111" t="str">
        <f>IF(H1111&gt;0,VLOOKUP(H1111,PAR!$AA$3:$AC$187,3,FALSE),"nincs főkönyvi számla")</f>
        <v>nincs főkönyvi számla</v>
      </c>
      <c r="R1111" t="str">
        <f>IFERROR(VLOOKUP(K1111,PAR!$V$3:$X$438,3,FALSE),"000000 - Nincs COFOG")</f>
        <v>000000 - Nincs COFOG</v>
      </c>
      <c r="S1111">
        <f t="shared" si="335"/>
        <v>0</v>
      </c>
      <c r="T1111">
        <f t="shared" si="336"/>
        <v>0</v>
      </c>
      <c r="U1111" t="str">
        <f>IF('906MP'!J811&gt;0,CONCATENATE('906MP'!J811," - ",'906MP'!P811,", ",'906MP'!E811),"nincs megjegyzés")</f>
        <v>nincs megjegyzés</v>
      </c>
      <c r="V1111" t="str">
        <f t="shared" si="323"/>
        <v>0P0</v>
      </c>
      <c r="W1111" t="str">
        <f t="shared" si="324"/>
        <v>0P0</v>
      </c>
      <c r="X1111" t="str">
        <f t="shared" si="325"/>
        <v>P0</v>
      </c>
      <c r="Y1111" t="str">
        <f t="shared" si="326"/>
        <v>00</v>
      </c>
      <c r="Z1111" t="str">
        <f t="shared" si="337"/>
        <v>00</v>
      </c>
      <c r="AA1111" t="str">
        <f t="shared" si="327"/>
        <v>00</v>
      </c>
      <c r="AB1111" t="str">
        <f t="shared" si="328"/>
        <v>00</v>
      </c>
      <c r="AC1111" t="str">
        <f t="shared" si="329"/>
        <v>0P0</v>
      </c>
      <c r="AD1111" t="str">
        <f t="shared" si="330"/>
        <v>P00</v>
      </c>
      <c r="AE1111" t="str">
        <f t="shared" si="331"/>
        <v>0P0</v>
      </c>
      <c r="AF1111" t="str">
        <f t="shared" si="332"/>
        <v>P00</v>
      </c>
      <c r="AG1111" t="str">
        <f t="shared" si="338"/>
        <v>0P00</v>
      </c>
      <c r="AH1111" t="str">
        <f t="shared" si="339"/>
        <v>P000</v>
      </c>
      <c r="AI1111" t="str">
        <f t="shared" si="340"/>
        <v>0P00</v>
      </c>
      <c r="AJ1111" t="str">
        <f t="shared" si="341"/>
        <v>P000</v>
      </c>
    </row>
    <row r="1112" spans="1:36" x14ac:dyDescent="0.25">
      <c r="A1112" s="325" t="str">
        <f>CONCATENATE("P",'906MP'!M812)</f>
        <v>P</v>
      </c>
      <c r="B1112">
        <f>'906MP'!H812</f>
        <v>0</v>
      </c>
      <c r="C1112">
        <f>'906MP'!J812</f>
        <v>0</v>
      </c>
      <c r="D1112">
        <f>'906MP'!P812</f>
        <v>0</v>
      </c>
      <c r="E1112">
        <f>'906MP'!X812</f>
        <v>0</v>
      </c>
      <c r="F1112" t="str">
        <f t="shared" si="333"/>
        <v>0</v>
      </c>
      <c r="G1112" t="str">
        <f t="shared" si="334"/>
        <v>0</v>
      </c>
      <c r="H1112">
        <f>'906MP'!Y812</f>
        <v>0</v>
      </c>
      <c r="I1112">
        <f>'906MP'!AK812</f>
        <v>0</v>
      </c>
      <c r="J1112">
        <f>'906MP'!T812</f>
        <v>0</v>
      </c>
      <c r="K1112">
        <f>'906MP'!AJ812</f>
        <v>0</v>
      </c>
      <c r="L1112">
        <f>'906MP'!U812</f>
        <v>0</v>
      </c>
      <c r="M1112" s="322" t="str">
        <f>IFERROR(VLOOKUP(A1112,PAR!$D$3:$E$53,2,FALSE),"nincs szervezet")</f>
        <v>nincs szervezet</v>
      </c>
      <c r="N1112" s="322" t="str">
        <f>VLOOKUP(F1112,PAR!$R$3:$S$5,2,FALSE)</f>
        <v>3 - egyik sem</v>
      </c>
      <c r="O1112" t="str">
        <f>IFERROR(VLOOKUP(J1112,PAR!$O$3:$P$5,2,FALSE),"nincs feladat")</f>
        <v>nincs feladat</v>
      </c>
      <c r="P1112" t="str">
        <f>IFERROR(VLOOKUP(G1112,PAR!$J$2:$M$19,4),"nincs rovat")</f>
        <v>nincs rovat</v>
      </c>
      <c r="Q1112" t="str">
        <f>IF(H1112&gt;0,VLOOKUP(H1112,PAR!$AA$3:$AC$187,3,FALSE),"nincs főkönyvi számla")</f>
        <v>nincs főkönyvi számla</v>
      </c>
      <c r="R1112" t="str">
        <f>IFERROR(VLOOKUP(K1112,PAR!$V$3:$X$438,3,FALSE),"000000 - Nincs COFOG")</f>
        <v>000000 - Nincs COFOG</v>
      </c>
      <c r="S1112">
        <f t="shared" si="335"/>
        <v>0</v>
      </c>
      <c r="T1112">
        <f t="shared" si="336"/>
        <v>0</v>
      </c>
      <c r="U1112" t="str">
        <f>IF('906MP'!J812&gt;0,CONCATENATE('906MP'!J812," - ",'906MP'!P812,", ",'906MP'!E812),"nincs megjegyzés")</f>
        <v>nincs megjegyzés</v>
      </c>
      <c r="V1112" t="str">
        <f t="shared" si="323"/>
        <v>0P0</v>
      </c>
      <c r="W1112" t="str">
        <f t="shared" si="324"/>
        <v>0P0</v>
      </c>
      <c r="X1112" t="str">
        <f t="shared" si="325"/>
        <v>P0</v>
      </c>
      <c r="Y1112" t="str">
        <f t="shared" si="326"/>
        <v>00</v>
      </c>
      <c r="Z1112" t="str">
        <f t="shared" si="337"/>
        <v>00</v>
      </c>
      <c r="AA1112" t="str">
        <f t="shared" si="327"/>
        <v>00</v>
      </c>
      <c r="AB1112" t="str">
        <f t="shared" si="328"/>
        <v>00</v>
      </c>
      <c r="AC1112" t="str">
        <f t="shared" si="329"/>
        <v>0P0</v>
      </c>
      <c r="AD1112" t="str">
        <f t="shared" si="330"/>
        <v>P00</v>
      </c>
      <c r="AE1112" t="str">
        <f t="shared" si="331"/>
        <v>0P0</v>
      </c>
      <c r="AF1112" t="str">
        <f t="shared" si="332"/>
        <v>P00</v>
      </c>
      <c r="AG1112" t="str">
        <f t="shared" si="338"/>
        <v>0P00</v>
      </c>
      <c r="AH1112" t="str">
        <f t="shared" si="339"/>
        <v>P000</v>
      </c>
      <c r="AI1112" t="str">
        <f t="shared" si="340"/>
        <v>0P00</v>
      </c>
      <c r="AJ1112" t="str">
        <f t="shared" si="341"/>
        <v>P000</v>
      </c>
    </row>
    <row r="1113" spans="1:36" x14ac:dyDescent="0.25">
      <c r="A1113" s="325" t="str">
        <f>CONCATENATE("P",'906MP'!M813)</f>
        <v>P</v>
      </c>
      <c r="B1113">
        <f>'906MP'!H813</f>
        <v>0</v>
      </c>
      <c r="C1113">
        <f>'906MP'!J813</f>
        <v>0</v>
      </c>
      <c r="D1113">
        <f>'906MP'!P813</f>
        <v>0</v>
      </c>
      <c r="E1113">
        <f>'906MP'!X813</f>
        <v>0</v>
      </c>
      <c r="F1113" t="str">
        <f t="shared" si="333"/>
        <v>0</v>
      </c>
      <c r="G1113" t="str">
        <f t="shared" si="334"/>
        <v>0</v>
      </c>
      <c r="H1113">
        <f>'906MP'!Y813</f>
        <v>0</v>
      </c>
      <c r="I1113">
        <f>'906MP'!AK813</f>
        <v>0</v>
      </c>
      <c r="J1113">
        <f>'906MP'!T813</f>
        <v>0</v>
      </c>
      <c r="K1113">
        <f>'906MP'!AJ813</f>
        <v>0</v>
      </c>
      <c r="L1113">
        <f>'906MP'!U813</f>
        <v>0</v>
      </c>
      <c r="M1113" s="322" t="str">
        <f>IFERROR(VLOOKUP(A1113,PAR!$D$3:$E$53,2,FALSE),"nincs szervezet")</f>
        <v>nincs szervezet</v>
      </c>
      <c r="N1113" s="322" t="str">
        <f>VLOOKUP(F1113,PAR!$R$3:$S$5,2,FALSE)</f>
        <v>3 - egyik sem</v>
      </c>
      <c r="O1113" t="str">
        <f>IFERROR(VLOOKUP(J1113,PAR!$O$3:$P$5,2,FALSE),"nincs feladat")</f>
        <v>nincs feladat</v>
      </c>
      <c r="P1113" t="str">
        <f>IFERROR(VLOOKUP(G1113,PAR!$J$2:$M$19,4),"nincs rovat")</f>
        <v>nincs rovat</v>
      </c>
      <c r="Q1113" t="str">
        <f>IF(H1113&gt;0,VLOOKUP(H1113,PAR!$AA$3:$AC$187,3,FALSE),"nincs főkönyvi számla")</f>
        <v>nincs főkönyvi számla</v>
      </c>
      <c r="R1113" t="str">
        <f>IFERROR(VLOOKUP(K1113,PAR!$V$3:$X$438,3,FALSE),"000000 - Nincs COFOG")</f>
        <v>000000 - Nincs COFOG</v>
      </c>
      <c r="S1113">
        <f t="shared" si="335"/>
        <v>0</v>
      </c>
      <c r="T1113">
        <f t="shared" si="336"/>
        <v>0</v>
      </c>
      <c r="U1113" t="str">
        <f>IF('906MP'!J813&gt;0,CONCATENATE('906MP'!J813," - ",'906MP'!P813,", ",'906MP'!E813),"nincs megjegyzés")</f>
        <v>nincs megjegyzés</v>
      </c>
      <c r="V1113" t="str">
        <f t="shared" si="323"/>
        <v>0P0</v>
      </c>
      <c r="W1113" t="str">
        <f t="shared" si="324"/>
        <v>0P0</v>
      </c>
      <c r="X1113" t="str">
        <f t="shared" si="325"/>
        <v>P0</v>
      </c>
      <c r="Y1113" t="str">
        <f t="shared" si="326"/>
        <v>00</v>
      </c>
      <c r="Z1113" t="str">
        <f t="shared" si="337"/>
        <v>00</v>
      </c>
      <c r="AA1113" t="str">
        <f t="shared" si="327"/>
        <v>00</v>
      </c>
      <c r="AB1113" t="str">
        <f t="shared" si="328"/>
        <v>00</v>
      </c>
      <c r="AC1113" t="str">
        <f t="shared" si="329"/>
        <v>0P0</v>
      </c>
      <c r="AD1113" t="str">
        <f t="shared" si="330"/>
        <v>P00</v>
      </c>
      <c r="AE1113" t="str">
        <f t="shared" si="331"/>
        <v>0P0</v>
      </c>
      <c r="AF1113" t="str">
        <f t="shared" si="332"/>
        <v>P00</v>
      </c>
      <c r="AG1113" t="str">
        <f t="shared" si="338"/>
        <v>0P00</v>
      </c>
      <c r="AH1113" t="str">
        <f t="shared" si="339"/>
        <v>P000</v>
      </c>
      <c r="AI1113" t="str">
        <f t="shared" si="340"/>
        <v>0P00</v>
      </c>
      <c r="AJ1113" t="str">
        <f t="shared" si="341"/>
        <v>P000</v>
      </c>
    </row>
    <row r="1114" spans="1:36" x14ac:dyDescent="0.25">
      <c r="A1114" s="325" t="str">
        <f>CONCATENATE("P",'906MP'!M814)</f>
        <v>P</v>
      </c>
      <c r="B1114">
        <f>'906MP'!H814</f>
        <v>0</v>
      </c>
      <c r="C1114">
        <f>'906MP'!J814</f>
        <v>0</v>
      </c>
      <c r="D1114">
        <f>'906MP'!P814</f>
        <v>0</v>
      </c>
      <c r="E1114">
        <f>'906MP'!X814</f>
        <v>0</v>
      </c>
      <c r="F1114" t="str">
        <f t="shared" si="333"/>
        <v>0</v>
      </c>
      <c r="G1114" t="str">
        <f t="shared" si="334"/>
        <v>0</v>
      </c>
      <c r="H1114">
        <f>'906MP'!Y814</f>
        <v>0</v>
      </c>
      <c r="I1114">
        <f>'906MP'!AK814</f>
        <v>0</v>
      </c>
      <c r="J1114">
        <f>'906MP'!T814</f>
        <v>0</v>
      </c>
      <c r="K1114">
        <f>'906MP'!AJ814</f>
        <v>0</v>
      </c>
      <c r="L1114">
        <f>'906MP'!U814</f>
        <v>0</v>
      </c>
      <c r="M1114" s="322" t="str">
        <f>IFERROR(VLOOKUP(A1114,PAR!$D$3:$E$53,2,FALSE),"nincs szervezet")</f>
        <v>nincs szervezet</v>
      </c>
      <c r="N1114" s="322" t="str">
        <f>VLOOKUP(F1114,PAR!$R$3:$S$5,2,FALSE)</f>
        <v>3 - egyik sem</v>
      </c>
      <c r="O1114" t="str">
        <f>IFERROR(VLOOKUP(J1114,PAR!$O$3:$P$5,2,FALSE),"nincs feladat")</f>
        <v>nincs feladat</v>
      </c>
      <c r="P1114" t="str">
        <f>IFERROR(VLOOKUP(G1114,PAR!$J$2:$M$19,4),"nincs rovat")</f>
        <v>nincs rovat</v>
      </c>
      <c r="Q1114" t="str">
        <f>IF(H1114&gt;0,VLOOKUP(H1114,PAR!$AA$3:$AC$187,3,FALSE),"nincs főkönyvi számla")</f>
        <v>nincs főkönyvi számla</v>
      </c>
      <c r="R1114" t="str">
        <f>IFERROR(VLOOKUP(K1114,PAR!$V$3:$X$438,3,FALSE),"000000 - Nincs COFOG")</f>
        <v>000000 - Nincs COFOG</v>
      </c>
      <c r="S1114">
        <f t="shared" si="335"/>
        <v>0</v>
      </c>
      <c r="T1114">
        <f t="shared" si="336"/>
        <v>0</v>
      </c>
      <c r="U1114" t="str">
        <f>IF('906MP'!J814&gt;0,CONCATENATE('906MP'!J814," - ",'906MP'!P814,", ",'906MP'!E814),"nincs megjegyzés")</f>
        <v>nincs megjegyzés</v>
      </c>
      <c r="V1114" t="str">
        <f t="shared" si="323"/>
        <v>0P0</v>
      </c>
      <c r="W1114" t="str">
        <f t="shared" si="324"/>
        <v>0P0</v>
      </c>
      <c r="X1114" t="str">
        <f t="shared" si="325"/>
        <v>P0</v>
      </c>
      <c r="Y1114" t="str">
        <f t="shared" si="326"/>
        <v>00</v>
      </c>
      <c r="Z1114" t="str">
        <f t="shared" si="337"/>
        <v>00</v>
      </c>
      <c r="AA1114" t="str">
        <f t="shared" si="327"/>
        <v>00</v>
      </c>
      <c r="AB1114" t="str">
        <f t="shared" si="328"/>
        <v>00</v>
      </c>
      <c r="AC1114" t="str">
        <f t="shared" si="329"/>
        <v>0P0</v>
      </c>
      <c r="AD1114" t="str">
        <f t="shared" si="330"/>
        <v>P00</v>
      </c>
      <c r="AE1114" t="str">
        <f t="shared" si="331"/>
        <v>0P0</v>
      </c>
      <c r="AF1114" t="str">
        <f t="shared" si="332"/>
        <v>P00</v>
      </c>
      <c r="AG1114" t="str">
        <f t="shared" si="338"/>
        <v>0P00</v>
      </c>
      <c r="AH1114" t="str">
        <f t="shared" si="339"/>
        <v>P000</v>
      </c>
      <c r="AI1114" t="str">
        <f t="shared" si="340"/>
        <v>0P00</v>
      </c>
      <c r="AJ1114" t="str">
        <f t="shared" si="341"/>
        <v>P000</v>
      </c>
    </row>
    <row r="1115" spans="1:36" x14ac:dyDescent="0.25">
      <c r="A1115" s="325" t="str">
        <f>CONCATENATE("P",'906MP'!M815)</f>
        <v>P</v>
      </c>
      <c r="B1115">
        <f>'906MP'!H815</f>
        <v>0</v>
      </c>
      <c r="C1115">
        <f>'906MP'!J815</f>
        <v>0</v>
      </c>
      <c r="D1115">
        <f>'906MP'!P815</f>
        <v>0</v>
      </c>
      <c r="E1115">
        <f>'906MP'!X815</f>
        <v>0</v>
      </c>
      <c r="F1115" t="str">
        <f t="shared" si="333"/>
        <v>0</v>
      </c>
      <c r="G1115" t="str">
        <f t="shared" si="334"/>
        <v>0</v>
      </c>
      <c r="H1115">
        <f>'906MP'!Y815</f>
        <v>0</v>
      </c>
      <c r="I1115">
        <f>'906MP'!AK815</f>
        <v>0</v>
      </c>
      <c r="J1115">
        <f>'906MP'!T815</f>
        <v>0</v>
      </c>
      <c r="K1115">
        <f>'906MP'!AJ815</f>
        <v>0</v>
      </c>
      <c r="L1115">
        <f>'906MP'!U815</f>
        <v>0</v>
      </c>
      <c r="M1115" s="322" t="str">
        <f>IFERROR(VLOOKUP(A1115,PAR!$D$3:$E$53,2,FALSE),"nincs szervezet")</f>
        <v>nincs szervezet</v>
      </c>
      <c r="N1115" s="322" t="str">
        <f>VLOOKUP(F1115,PAR!$R$3:$S$5,2,FALSE)</f>
        <v>3 - egyik sem</v>
      </c>
      <c r="O1115" t="str">
        <f>IFERROR(VLOOKUP(J1115,PAR!$O$3:$P$5,2,FALSE),"nincs feladat")</f>
        <v>nincs feladat</v>
      </c>
      <c r="P1115" t="str">
        <f>IFERROR(VLOOKUP(G1115,PAR!$J$2:$M$19,4),"nincs rovat")</f>
        <v>nincs rovat</v>
      </c>
      <c r="Q1115" t="str">
        <f>IF(H1115&gt;0,VLOOKUP(H1115,PAR!$AA$3:$AC$187,3,FALSE),"nincs főkönyvi számla")</f>
        <v>nincs főkönyvi számla</v>
      </c>
      <c r="R1115" t="str">
        <f>IFERROR(VLOOKUP(K1115,PAR!$V$3:$X$438,3,FALSE),"000000 - Nincs COFOG")</f>
        <v>000000 - Nincs COFOG</v>
      </c>
      <c r="S1115">
        <f t="shared" si="335"/>
        <v>0</v>
      </c>
      <c r="T1115">
        <f t="shared" si="336"/>
        <v>0</v>
      </c>
      <c r="U1115" t="str">
        <f>IF('906MP'!J815&gt;0,CONCATENATE('906MP'!J815," - ",'906MP'!P815,", ",'906MP'!E815),"nincs megjegyzés")</f>
        <v>nincs megjegyzés</v>
      </c>
      <c r="V1115" t="str">
        <f t="shared" si="323"/>
        <v>0P0</v>
      </c>
      <c r="W1115" t="str">
        <f t="shared" si="324"/>
        <v>0P0</v>
      </c>
      <c r="X1115" t="str">
        <f t="shared" si="325"/>
        <v>P0</v>
      </c>
      <c r="Y1115" t="str">
        <f t="shared" si="326"/>
        <v>00</v>
      </c>
      <c r="Z1115" t="str">
        <f t="shared" si="337"/>
        <v>00</v>
      </c>
      <c r="AA1115" t="str">
        <f t="shared" si="327"/>
        <v>00</v>
      </c>
      <c r="AB1115" t="str">
        <f t="shared" si="328"/>
        <v>00</v>
      </c>
      <c r="AC1115" t="str">
        <f t="shared" si="329"/>
        <v>0P0</v>
      </c>
      <c r="AD1115" t="str">
        <f t="shared" si="330"/>
        <v>P00</v>
      </c>
      <c r="AE1115" t="str">
        <f t="shared" si="331"/>
        <v>0P0</v>
      </c>
      <c r="AF1115" t="str">
        <f t="shared" si="332"/>
        <v>P00</v>
      </c>
      <c r="AG1115" t="str">
        <f t="shared" si="338"/>
        <v>0P00</v>
      </c>
      <c r="AH1115" t="str">
        <f t="shared" si="339"/>
        <v>P000</v>
      </c>
      <c r="AI1115" t="str">
        <f t="shared" si="340"/>
        <v>0P00</v>
      </c>
      <c r="AJ1115" t="str">
        <f t="shared" si="341"/>
        <v>P000</v>
      </c>
    </row>
    <row r="1116" spans="1:36" x14ac:dyDescent="0.25">
      <c r="A1116" s="325" t="str">
        <f>CONCATENATE("P",'906MP'!M816)</f>
        <v>P</v>
      </c>
      <c r="B1116">
        <f>'906MP'!H816</f>
        <v>0</v>
      </c>
      <c r="C1116">
        <f>'906MP'!J816</f>
        <v>0</v>
      </c>
      <c r="D1116">
        <f>'906MP'!P816</f>
        <v>0</v>
      </c>
      <c r="E1116">
        <f>'906MP'!X816</f>
        <v>0</v>
      </c>
      <c r="F1116" t="str">
        <f t="shared" si="333"/>
        <v>0</v>
      </c>
      <c r="G1116" t="str">
        <f t="shared" si="334"/>
        <v>0</v>
      </c>
      <c r="H1116">
        <f>'906MP'!Y816</f>
        <v>0</v>
      </c>
      <c r="I1116">
        <f>'906MP'!AK816</f>
        <v>0</v>
      </c>
      <c r="J1116">
        <f>'906MP'!T816</f>
        <v>0</v>
      </c>
      <c r="K1116">
        <f>'906MP'!AJ816</f>
        <v>0</v>
      </c>
      <c r="L1116">
        <f>'906MP'!U816</f>
        <v>0</v>
      </c>
      <c r="M1116" s="322" t="str">
        <f>IFERROR(VLOOKUP(A1116,PAR!$D$3:$E$53,2,FALSE),"nincs szervezet")</f>
        <v>nincs szervezet</v>
      </c>
      <c r="N1116" s="322" t="str">
        <f>VLOOKUP(F1116,PAR!$R$3:$S$5,2,FALSE)</f>
        <v>3 - egyik sem</v>
      </c>
      <c r="O1116" t="str">
        <f>IFERROR(VLOOKUP(J1116,PAR!$O$3:$P$5,2,FALSE),"nincs feladat")</f>
        <v>nincs feladat</v>
      </c>
      <c r="P1116" t="str">
        <f>IFERROR(VLOOKUP(G1116,PAR!$J$2:$M$19,4),"nincs rovat")</f>
        <v>nincs rovat</v>
      </c>
      <c r="Q1116" t="str">
        <f>IF(H1116&gt;0,VLOOKUP(H1116,PAR!$AA$3:$AC$187,3,FALSE),"nincs főkönyvi számla")</f>
        <v>nincs főkönyvi számla</v>
      </c>
      <c r="R1116" t="str">
        <f>IFERROR(VLOOKUP(K1116,PAR!$V$3:$X$438,3,FALSE),"000000 - Nincs COFOG")</f>
        <v>000000 - Nincs COFOG</v>
      </c>
      <c r="S1116">
        <f t="shared" si="335"/>
        <v>0</v>
      </c>
      <c r="T1116">
        <f t="shared" si="336"/>
        <v>0</v>
      </c>
      <c r="U1116" t="str">
        <f>IF('906MP'!J816&gt;0,CONCATENATE('906MP'!J816," - ",'906MP'!P816,", ",'906MP'!E816),"nincs megjegyzés")</f>
        <v>nincs megjegyzés</v>
      </c>
      <c r="V1116" t="str">
        <f t="shared" si="323"/>
        <v>0P0</v>
      </c>
      <c r="W1116" t="str">
        <f t="shared" si="324"/>
        <v>0P0</v>
      </c>
      <c r="X1116" t="str">
        <f t="shared" si="325"/>
        <v>P0</v>
      </c>
      <c r="Y1116" t="str">
        <f t="shared" si="326"/>
        <v>00</v>
      </c>
      <c r="Z1116" t="str">
        <f t="shared" si="337"/>
        <v>00</v>
      </c>
      <c r="AA1116" t="str">
        <f t="shared" si="327"/>
        <v>00</v>
      </c>
      <c r="AB1116" t="str">
        <f t="shared" si="328"/>
        <v>00</v>
      </c>
      <c r="AC1116" t="str">
        <f t="shared" si="329"/>
        <v>0P0</v>
      </c>
      <c r="AD1116" t="str">
        <f t="shared" si="330"/>
        <v>P00</v>
      </c>
      <c r="AE1116" t="str">
        <f t="shared" si="331"/>
        <v>0P0</v>
      </c>
      <c r="AF1116" t="str">
        <f t="shared" si="332"/>
        <v>P00</v>
      </c>
      <c r="AG1116" t="str">
        <f t="shared" si="338"/>
        <v>0P00</v>
      </c>
      <c r="AH1116" t="str">
        <f t="shared" si="339"/>
        <v>P000</v>
      </c>
      <c r="AI1116" t="str">
        <f t="shared" si="340"/>
        <v>0P00</v>
      </c>
      <c r="AJ1116" t="str">
        <f t="shared" si="341"/>
        <v>P000</v>
      </c>
    </row>
    <row r="1117" spans="1:36" x14ac:dyDescent="0.25">
      <c r="A1117" s="325" t="str">
        <f>CONCATENATE("P",'906MP'!M817)</f>
        <v>P</v>
      </c>
      <c r="B1117">
        <f>'906MP'!H817</f>
        <v>0</v>
      </c>
      <c r="C1117">
        <f>'906MP'!J817</f>
        <v>0</v>
      </c>
      <c r="D1117">
        <f>'906MP'!P817</f>
        <v>0</v>
      </c>
      <c r="E1117">
        <f>'906MP'!X817</f>
        <v>0</v>
      </c>
      <c r="F1117" t="str">
        <f t="shared" si="333"/>
        <v>0</v>
      </c>
      <c r="G1117" t="str">
        <f t="shared" si="334"/>
        <v>0</v>
      </c>
      <c r="H1117">
        <f>'906MP'!Y817</f>
        <v>0</v>
      </c>
      <c r="I1117">
        <f>'906MP'!AK817</f>
        <v>0</v>
      </c>
      <c r="J1117">
        <f>'906MP'!T817</f>
        <v>0</v>
      </c>
      <c r="K1117">
        <f>'906MP'!AJ817</f>
        <v>0</v>
      </c>
      <c r="L1117">
        <f>'906MP'!U817</f>
        <v>0</v>
      </c>
      <c r="M1117" s="322" t="str">
        <f>IFERROR(VLOOKUP(A1117,PAR!$D$3:$E$53,2,FALSE),"nincs szervezet")</f>
        <v>nincs szervezet</v>
      </c>
      <c r="N1117" s="322" t="str">
        <f>VLOOKUP(F1117,PAR!$R$3:$S$5,2,FALSE)</f>
        <v>3 - egyik sem</v>
      </c>
      <c r="O1117" t="str">
        <f>IFERROR(VLOOKUP(J1117,PAR!$O$3:$P$5,2,FALSE),"nincs feladat")</f>
        <v>nincs feladat</v>
      </c>
      <c r="P1117" t="str">
        <f>IFERROR(VLOOKUP(G1117,PAR!$J$2:$M$19,4),"nincs rovat")</f>
        <v>nincs rovat</v>
      </c>
      <c r="Q1117" t="str">
        <f>IF(H1117&gt;0,VLOOKUP(H1117,PAR!$AA$3:$AC$187,3,FALSE),"nincs főkönyvi számla")</f>
        <v>nincs főkönyvi számla</v>
      </c>
      <c r="R1117" t="str">
        <f>IFERROR(VLOOKUP(K1117,PAR!$V$3:$X$438,3,FALSE),"000000 - Nincs COFOG")</f>
        <v>000000 - Nincs COFOG</v>
      </c>
      <c r="S1117">
        <f t="shared" si="335"/>
        <v>0</v>
      </c>
      <c r="T1117">
        <f t="shared" si="336"/>
        <v>0</v>
      </c>
      <c r="U1117" t="str">
        <f>IF('906MP'!J817&gt;0,CONCATENATE('906MP'!J817," - ",'906MP'!P817,", ",'906MP'!E817),"nincs megjegyzés")</f>
        <v>nincs megjegyzés</v>
      </c>
      <c r="V1117" t="str">
        <f t="shared" si="323"/>
        <v>0P0</v>
      </c>
      <c r="W1117" t="str">
        <f t="shared" si="324"/>
        <v>0P0</v>
      </c>
      <c r="X1117" t="str">
        <f t="shared" si="325"/>
        <v>P0</v>
      </c>
      <c r="Y1117" t="str">
        <f t="shared" si="326"/>
        <v>00</v>
      </c>
      <c r="Z1117" t="str">
        <f t="shared" si="337"/>
        <v>00</v>
      </c>
      <c r="AA1117" t="str">
        <f t="shared" si="327"/>
        <v>00</v>
      </c>
      <c r="AB1117" t="str">
        <f t="shared" si="328"/>
        <v>00</v>
      </c>
      <c r="AC1117" t="str">
        <f t="shared" si="329"/>
        <v>0P0</v>
      </c>
      <c r="AD1117" t="str">
        <f t="shared" si="330"/>
        <v>P00</v>
      </c>
      <c r="AE1117" t="str">
        <f t="shared" si="331"/>
        <v>0P0</v>
      </c>
      <c r="AF1117" t="str">
        <f t="shared" si="332"/>
        <v>P00</v>
      </c>
      <c r="AG1117" t="str">
        <f t="shared" si="338"/>
        <v>0P00</v>
      </c>
      <c r="AH1117" t="str">
        <f t="shared" si="339"/>
        <v>P000</v>
      </c>
      <c r="AI1117" t="str">
        <f t="shared" si="340"/>
        <v>0P00</v>
      </c>
      <c r="AJ1117" t="str">
        <f t="shared" si="341"/>
        <v>P000</v>
      </c>
    </row>
    <row r="1118" spans="1:36" x14ac:dyDescent="0.25">
      <c r="A1118" s="325" t="str">
        <f>CONCATENATE("P",'906MP'!M818)</f>
        <v>P</v>
      </c>
      <c r="B1118">
        <f>'906MP'!H818</f>
        <v>0</v>
      </c>
      <c r="C1118">
        <f>'906MP'!J818</f>
        <v>0</v>
      </c>
      <c r="D1118">
        <f>'906MP'!P818</f>
        <v>0</v>
      </c>
      <c r="E1118">
        <f>'906MP'!X818</f>
        <v>0</v>
      </c>
      <c r="F1118" t="str">
        <f t="shared" si="333"/>
        <v>0</v>
      </c>
      <c r="G1118" t="str">
        <f t="shared" si="334"/>
        <v>0</v>
      </c>
      <c r="H1118">
        <f>'906MP'!Y818</f>
        <v>0</v>
      </c>
      <c r="I1118">
        <f>'906MP'!AK818</f>
        <v>0</v>
      </c>
      <c r="J1118">
        <f>'906MP'!T818</f>
        <v>0</v>
      </c>
      <c r="K1118">
        <f>'906MP'!AJ818</f>
        <v>0</v>
      </c>
      <c r="L1118">
        <f>'906MP'!U818</f>
        <v>0</v>
      </c>
      <c r="M1118" s="322" t="str">
        <f>IFERROR(VLOOKUP(A1118,PAR!$D$3:$E$53,2,FALSE),"nincs szervezet")</f>
        <v>nincs szervezet</v>
      </c>
      <c r="N1118" s="322" t="str">
        <f>VLOOKUP(F1118,PAR!$R$3:$S$5,2,FALSE)</f>
        <v>3 - egyik sem</v>
      </c>
      <c r="O1118" t="str">
        <f>IFERROR(VLOOKUP(J1118,PAR!$O$3:$P$5,2,FALSE),"nincs feladat")</f>
        <v>nincs feladat</v>
      </c>
      <c r="P1118" t="str">
        <f>IFERROR(VLOOKUP(G1118,PAR!$J$2:$M$19,4),"nincs rovat")</f>
        <v>nincs rovat</v>
      </c>
      <c r="Q1118" t="str">
        <f>IF(H1118&gt;0,VLOOKUP(H1118,PAR!$AA$3:$AC$187,3,FALSE),"nincs főkönyvi számla")</f>
        <v>nincs főkönyvi számla</v>
      </c>
      <c r="R1118" t="str">
        <f>IFERROR(VLOOKUP(K1118,PAR!$V$3:$X$438,3,FALSE),"000000 - Nincs COFOG")</f>
        <v>000000 - Nincs COFOG</v>
      </c>
      <c r="S1118">
        <f t="shared" si="335"/>
        <v>0</v>
      </c>
      <c r="T1118">
        <f t="shared" si="336"/>
        <v>0</v>
      </c>
      <c r="U1118" t="str">
        <f>IF('906MP'!J818&gt;0,CONCATENATE('906MP'!J818," - ",'906MP'!P818,", ",'906MP'!E818),"nincs megjegyzés")</f>
        <v>nincs megjegyzés</v>
      </c>
      <c r="V1118" t="str">
        <f t="shared" si="323"/>
        <v>0P0</v>
      </c>
      <c r="W1118" t="str">
        <f t="shared" si="324"/>
        <v>0P0</v>
      </c>
      <c r="X1118" t="str">
        <f t="shared" si="325"/>
        <v>P0</v>
      </c>
      <c r="Y1118" t="str">
        <f t="shared" si="326"/>
        <v>00</v>
      </c>
      <c r="Z1118" t="str">
        <f t="shared" si="337"/>
        <v>00</v>
      </c>
      <c r="AA1118" t="str">
        <f t="shared" si="327"/>
        <v>00</v>
      </c>
      <c r="AB1118" t="str">
        <f t="shared" si="328"/>
        <v>00</v>
      </c>
      <c r="AC1118" t="str">
        <f t="shared" si="329"/>
        <v>0P0</v>
      </c>
      <c r="AD1118" t="str">
        <f t="shared" si="330"/>
        <v>P00</v>
      </c>
      <c r="AE1118" t="str">
        <f t="shared" si="331"/>
        <v>0P0</v>
      </c>
      <c r="AF1118" t="str">
        <f t="shared" si="332"/>
        <v>P00</v>
      </c>
      <c r="AG1118" t="str">
        <f t="shared" si="338"/>
        <v>0P00</v>
      </c>
      <c r="AH1118" t="str">
        <f t="shared" si="339"/>
        <v>P000</v>
      </c>
      <c r="AI1118" t="str">
        <f t="shared" si="340"/>
        <v>0P00</v>
      </c>
      <c r="AJ1118" t="str">
        <f t="shared" si="341"/>
        <v>P000</v>
      </c>
    </row>
    <row r="1119" spans="1:36" x14ac:dyDescent="0.25">
      <c r="A1119" s="325" t="str">
        <f>CONCATENATE("P",'906MP'!M819)</f>
        <v>P</v>
      </c>
      <c r="B1119">
        <f>'906MP'!H819</f>
        <v>0</v>
      </c>
      <c r="C1119">
        <f>'906MP'!J819</f>
        <v>0</v>
      </c>
      <c r="D1119">
        <f>'906MP'!P819</f>
        <v>0</v>
      </c>
      <c r="E1119">
        <f>'906MP'!X819</f>
        <v>0</v>
      </c>
      <c r="F1119" t="str">
        <f t="shared" si="333"/>
        <v>0</v>
      </c>
      <c r="G1119" t="str">
        <f t="shared" si="334"/>
        <v>0</v>
      </c>
      <c r="H1119">
        <f>'906MP'!Y819</f>
        <v>0</v>
      </c>
      <c r="I1119">
        <f>'906MP'!AK819</f>
        <v>0</v>
      </c>
      <c r="J1119">
        <f>'906MP'!T819</f>
        <v>0</v>
      </c>
      <c r="K1119">
        <f>'906MP'!AJ819</f>
        <v>0</v>
      </c>
      <c r="L1119">
        <f>'906MP'!U819</f>
        <v>0</v>
      </c>
      <c r="M1119" s="322" t="str">
        <f>IFERROR(VLOOKUP(A1119,PAR!$D$3:$E$53,2,FALSE),"nincs szervezet")</f>
        <v>nincs szervezet</v>
      </c>
      <c r="N1119" s="322" t="str">
        <f>VLOOKUP(F1119,PAR!$R$3:$S$5,2,FALSE)</f>
        <v>3 - egyik sem</v>
      </c>
      <c r="O1119" t="str">
        <f>IFERROR(VLOOKUP(J1119,PAR!$O$3:$P$5,2,FALSE),"nincs feladat")</f>
        <v>nincs feladat</v>
      </c>
      <c r="P1119" t="str">
        <f>IFERROR(VLOOKUP(G1119,PAR!$J$2:$M$19,4),"nincs rovat")</f>
        <v>nincs rovat</v>
      </c>
      <c r="Q1119" t="str">
        <f>IF(H1119&gt;0,VLOOKUP(H1119,PAR!$AA$3:$AC$187,3,FALSE),"nincs főkönyvi számla")</f>
        <v>nincs főkönyvi számla</v>
      </c>
      <c r="R1119" t="str">
        <f>IFERROR(VLOOKUP(K1119,PAR!$V$3:$X$438,3,FALSE),"000000 - Nincs COFOG")</f>
        <v>000000 - Nincs COFOG</v>
      </c>
      <c r="S1119">
        <f t="shared" si="335"/>
        <v>0</v>
      </c>
      <c r="T1119">
        <f t="shared" si="336"/>
        <v>0</v>
      </c>
      <c r="U1119" t="str">
        <f>IF('906MP'!J819&gt;0,CONCATENATE('906MP'!J819," - ",'906MP'!P819,", ",'906MP'!E819),"nincs megjegyzés")</f>
        <v>nincs megjegyzés</v>
      </c>
      <c r="V1119" t="str">
        <f t="shared" si="323"/>
        <v>0P0</v>
      </c>
      <c r="W1119" t="str">
        <f t="shared" si="324"/>
        <v>0P0</v>
      </c>
      <c r="X1119" t="str">
        <f t="shared" si="325"/>
        <v>P0</v>
      </c>
      <c r="Y1119" t="str">
        <f t="shared" si="326"/>
        <v>00</v>
      </c>
      <c r="Z1119" t="str">
        <f t="shared" si="337"/>
        <v>00</v>
      </c>
      <c r="AA1119" t="str">
        <f t="shared" si="327"/>
        <v>00</v>
      </c>
      <c r="AB1119" t="str">
        <f t="shared" si="328"/>
        <v>00</v>
      </c>
      <c r="AC1119" t="str">
        <f t="shared" si="329"/>
        <v>0P0</v>
      </c>
      <c r="AD1119" t="str">
        <f t="shared" si="330"/>
        <v>P00</v>
      </c>
      <c r="AE1119" t="str">
        <f t="shared" si="331"/>
        <v>0P0</v>
      </c>
      <c r="AF1119" t="str">
        <f t="shared" si="332"/>
        <v>P00</v>
      </c>
      <c r="AG1119" t="str">
        <f t="shared" si="338"/>
        <v>0P00</v>
      </c>
      <c r="AH1119" t="str">
        <f t="shared" si="339"/>
        <v>P000</v>
      </c>
      <c r="AI1119" t="str">
        <f t="shared" si="340"/>
        <v>0P00</v>
      </c>
      <c r="AJ1119" t="str">
        <f t="shared" si="341"/>
        <v>P000</v>
      </c>
    </row>
    <row r="1120" spans="1:36" x14ac:dyDescent="0.25">
      <c r="A1120" s="325" t="str">
        <f>CONCATENATE("P",'906MP'!M820)</f>
        <v>P</v>
      </c>
      <c r="B1120">
        <f>'906MP'!H820</f>
        <v>0</v>
      </c>
      <c r="C1120">
        <f>'906MP'!J820</f>
        <v>0</v>
      </c>
      <c r="D1120">
        <f>'906MP'!P820</f>
        <v>0</v>
      </c>
      <c r="E1120">
        <f>'906MP'!X820</f>
        <v>0</v>
      </c>
      <c r="F1120" t="str">
        <f t="shared" si="333"/>
        <v>0</v>
      </c>
      <c r="G1120" t="str">
        <f t="shared" si="334"/>
        <v>0</v>
      </c>
      <c r="H1120">
        <f>'906MP'!Y820</f>
        <v>0</v>
      </c>
      <c r="I1120">
        <f>'906MP'!AK820</f>
        <v>0</v>
      </c>
      <c r="J1120">
        <f>'906MP'!T820</f>
        <v>0</v>
      </c>
      <c r="K1120">
        <f>'906MP'!AJ820</f>
        <v>0</v>
      </c>
      <c r="L1120">
        <f>'906MP'!U820</f>
        <v>0</v>
      </c>
      <c r="M1120" s="322" t="str">
        <f>IFERROR(VLOOKUP(A1120,PAR!$D$3:$E$53,2,FALSE),"nincs szervezet")</f>
        <v>nincs szervezet</v>
      </c>
      <c r="N1120" s="322" t="str">
        <f>VLOOKUP(F1120,PAR!$R$3:$S$5,2,FALSE)</f>
        <v>3 - egyik sem</v>
      </c>
      <c r="O1120" t="str">
        <f>IFERROR(VLOOKUP(J1120,PAR!$O$3:$P$5,2,FALSE),"nincs feladat")</f>
        <v>nincs feladat</v>
      </c>
      <c r="P1120" t="str">
        <f>IFERROR(VLOOKUP(G1120,PAR!$J$2:$M$19,4),"nincs rovat")</f>
        <v>nincs rovat</v>
      </c>
      <c r="Q1120" t="str">
        <f>IF(H1120&gt;0,VLOOKUP(H1120,PAR!$AA$3:$AC$187,3,FALSE),"nincs főkönyvi számla")</f>
        <v>nincs főkönyvi számla</v>
      </c>
      <c r="R1120" t="str">
        <f>IFERROR(VLOOKUP(K1120,PAR!$V$3:$X$438,3,FALSE),"000000 - Nincs COFOG")</f>
        <v>000000 - Nincs COFOG</v>
      </c>
      <c r="S1120">
        <f t="shared" si="335"/>
        <v>0</v>
      </c>
      <c r="T1120">
        <f t="shared" si="336"/>
        <v>0</v>
      </c>
      <c r="U1120" t="str">
        <f>IF('906MP'!J820&gt;0,CONCATENATE('906MP'!J820," - ",'906MP'!P820,", ",'906MP'!E820),"nincs megjegyzés")</f>
        <v>nincs megjegyzés</v>
      </c>
      <c r="V1120" t="str">
        <f t="shared" si="323"/>
        <v>0P0</v>
      </c>
      <c r="W1120" t="str">
        <f t="shared" si="324"/>
        <v>0P0</v>
      </c>
      <c r="X1120" t="str">
        <f t="shared" si="325"/>
        <v>P0</v>
      </c>
      <c r="Y1120" t="str">
        <f t="shared" si="326"/>
        <v>00</v>
      </c>
      <c r="Z1120" t="str">
        <f t="shared" si="337"/>
        <v>00</v>
      </c>
      <c r="AA1120" t="str">
        <f t="shared" si="327"/>
        <v>00</v>
      </c>
      <c r="AB1120" t="str">
        <f t="shared" si="328"/>
        <v>00</v>
      </c>
      <c r="AC1120" t="str">
        <f t="shared" si="329"/>
        <v>0P0</v>
      </c>
      <c r="AD1120" t="str">
        <f t="shared" si="330"/>
        <v>P00</v>
      </c>
      <c r="AE1120" t="str">
        <f t="shared" si="331"/>
        <v>0P0</v>
      </c>
      <c r="AF1120" t="str">
        <f t="shared" si="332"/>
        <v>P00</v>
      </c>
      <c r="AG1120" t="str">
        <f t="shared" si="338"/>
        <v>0P00</v>
      </c>
      <c r="AH1120" t="str">
        <f t="shared" si="339"/>
        <v>P000</v>
      </c>
      <c r="AI1120" t="str">
        <f t="shared" si="340"/>
        <v>0P00</v>
      </c>
      <c r="AJ1120" t="str">
        <f t="shared" si="341"/>
        <v>P000</v>
      </c>
    </row>
    <row r="1121" spans="1:36" x14ac:dyDescent="0.25">
      <c r="A1121" s="325" t="str">
        <f>CONCATENATE("P",'906MP'!M821)</f>
        <v>P</v>
      </c>
      <c r="B1121">
        <f>'906MP'!H821</f>
        <v>0</v>
      </c>
      <c r="C1121">
        <f>'906MP'!J821</f>
        <v>0</v>
      </c>
      <c r="D1121">
        <f>'906MP'!P821</f>
        <v>0</v>
      </c>
      <c r="E1121">
        <f>'906MP'!X821</f>
        <v>0</v>
      </c>
      <c r="F1121" t="str">
        <f t="shared" si="333"/>
        <v>0</v>
      </c>
      <c r="G1121" t="str">
        <f t="shared" si="334"/>
        <v>0</v>
      </c>
      <c r="H1121">
        <f>'906MP'!Y821</f>
        <v>0</v>
      </c>
      <c r="I1121">
        <f>'906MP'!AK821</f>
        <v>0</v>
      </c>
      <c r="J1121">
        <f>'906MP'!T821</f>
        <v>0</v>
      </c>
      <c r="K1121">
        <f>'906MP'!AJ821</f>
        <v>0</v>
      </c>
      <c r="L1121">
        <f>'906MP'!U821</f>
        <v>0</v>
      </c>
      <c r="M1121" s="322" t="str">
        <f>IFERROR(VLOOKUP(A1121,PAR!$D$3:$E$53,2,FALSE),"nincs szervezet")</f>
        <v>nincs szervezet</v>
      </c>
      <c r="N1121" s="322" t="str">
        <f>VLOOKUP(F1121,PAR!$R$3:$S$5,2,FALSE)</f>
        <v>3 - egyik sem</v>
      </c>
      <c r="O1121" t="str">
        <f>IFERROR(VLOOKUP(J1121,PAR!$O$3:$P$5,2,FALSE),"nincs feladat")</f>
        <v>nincs feladat</v>
      </c>
      <c r="P1121" t="str">
        <f>IFERROR(VLOOKUP(G1121,PAR!$J$2:$M$19,4),"nincs rovat")</f>
        <v>nincs rovat</v>
      </c>
      <c r="Q1121" t="str">
        <f>IF(H1121&gt;0,VLOOKUP(H1121,PAR!$AA$3:$AC$187,3,FALSE),"nincs főkönyvi számla")</f>
        <v>nincs főkönyvi számla</v>
      </c>
      <c r="R1121" t="str">
        <f>IFERROR(VLOOKUP(K1121,PAR!$V$3:$X$438,3,FALSE),"000000 - Nincs COFOG")</f>
        <v>000000 - Nincs COFOG</v>
      </c>
      <c r="S1121">
        <f t="shared" si="335"/>
        <v>0</v>
      </c>
      <c r="T1121">
        <f t="shared" si="336"/>
        <v>0</v>
      </c>
      <c r="U1121" t="str">
        <f>IF('906MP'!J821&gt;0,CONCATENATE('906MP'!J821," - ",'906MP'!P821,", ",'906MP'!E821),"nincs megjegyzés")</f>
        <v>nincs megjegyzés</v>
      </c>
      <c r="V1121" t="str">
        <f t="shared" si="323"/>
        <v>0P0</v>
      </c>
      <c r="W1121" t="str">
        <f t="shared" si="324"/>
        <v>0P0</v>
      </c>
      <c r="X1121" t="str">
        <f t="shared" si="325"/>
        <v>P0</v>
      </c>
      <c r="Y1121" t="str">
        <f t="shared" si="326"/>
        <v>00</v>
      </c>
      <c r="Z1121" t="str">
        <f t="shared" si="337"/>
        <v>00</v>
      </c>
      <c r="AA1121" t="str">
        <f t="shared" si="327"/>
        <v>00</v>
      </c>
      <c r="AB1121" t="str">
        <f t="shared" si="328"/>
        <v>00</v>
      </c>
      <c r="AC1121" t="str">
        <f t="shared" si="329"/>
        <v>0P0</v>
      </c>
      <c r="AD1121" t="str">
        <f t="shared" si="330"/>
        <v>P00</v>
      </c>
      <c r="AE1121" t="str">
        <f t="shared" si="331"/>
        <v>0P0</v>
      </c>
      <c r="AF1121" t="str">
        <f t="shared" si="332"/>
        <v>P00</v>
      </c>
      <c r="AG1121" t="str">
        <f t="shared" si="338"/>
        <v>0P00</v>
      </c>
      <c r="AH1121" t="str">
        <f t="shared" si="339"/>
        <v>P000</v>
      </c>
      <c r="AI1121" t="str">
        <f t="shared" si="340"/>
        <v>0P00</v>
      </c>
      <c r="AJ1121" t="str">
        <f t="shared" si="341"/>
        <v>P000</v>
      </c>
    </row>
    <row r="1122" spans="1:36" x14ac:dyDescent="0.25">
      <c r="A1122" s="325" t="str">
        <f>CONCATENATE("P",'906MP'!M822)</f>
        <v>P</v>
      </c>
      <c r="B1122">
        <f>'906MP'!H822</f>
        <v>0</v>
      </c>
      <c r="C1122">
        <f>'906MP'!J822</f>
        <v>0</v>
      </c>
      <c r="D1122">
        <f>'906MP'!P822</f>
        <v>0</v>
      </c>
      <c r="E1122">
        <f>'906MP'!X822</f>
        <v>0</v>
      </c>
      <c r="F1122" t="str">
        <f t="shared" si="333"/>
        <v>0</v>
      </c>
      <c r="G1122" t="str">
        <f t="shared" si="334"/>
        <v>0</v>
      </c>
      <c r="H1122">
        <f>'906MP'!Y822</f>
        <v>0</v>
      </c>
      <c r="I1122">
        <f>'906MP'!AK822</f>
        <v>0</v>
      </c>
      <c r="J1122">
        <f>'906MP'!T822</f>
        <v>0</v>
      </c>
      <c r="K1122">
        <f>'906MP'!AJ822</f>
        <v>0</v>
      </c>
      <c r="L1122">
        <f>'906MP'!U822</f>
        <v>0</v>
      </c>
      <c r="M1122" s="322" t="str">
        <f>IFERROR(VLOOKUP(A1122,PAR!$D$3:$E$53,2,FALSE),"nincs szervezet")</f>
        <v>nincs szervezet</v>
      </c>
      <c r="N1122" s="322" t="str">
        <f>VLOOKUP(F1122,PAR!$R$3:$S$5,2,FALSE)</f>
        <v>3 - egyik sem</v>
      </c>
      <c r="O1122" t="str">
        <f>IFERROR(VLOOKUP(J1122,PAR!$O$3:$P$5,2,FALSE),"nincs feladat")</f>
        <v>nincs feladat</v>
      </c>
      <c r="P1122" t="str">
        <f>IFERROR(VLOOKUP(G1122,PAR!$J$2:$M$19,4),"nincs rovat")</f>
        <v>nincs rovat</v>
      </c>
      <c r="Q1122" t="str">
        <f>IF(H1122&gt;0,VLOOKUP(H1122,PAR!$AA$3:$AC$187,3,FALSE),"nincs főkönyvi számla")</f>
        <v>nincs főkönyvi számla</v>
      </c>
      <c r="R1122" t="str">
        <f>IFERROR(VLOOKUP(K1122,PAR!$V$3:$X$438,3,FALSE),"000000 - Nincs COFOG")</f>
        <v>000000 - Nincs COFOG</v>
      </c>
      <c r="S1122">
        <f t="shared" si="335"/>
        <v>0</v>
      </c>
      <c r="T1122">
        <f t="shared" si="336"/>
        <v>0</v>
      </c>
      <c r="U1122" t="str">
        <f>IF('906MP'!J822&gt;0,CONCATENATE('906MP'!J822," - ",'906MP'!P822,", ",'906MP'!E822),"nincs megjegyzés")</f>
        <v>nincs megjegyzés</v>
      </c>
      <c r="V1122" t="str">
        <f t="shared" si="323"/>
        <v>0P0</v>
      </c>
      <c r="W1122" t="str">
        <f t="shared" si="324"/>
        <v>0P0</v>
      </c>
      <c r="X1122" t="str">
        <f t="shared" si="325"/>
        <v>P0</v>
      </c>
      <c r="Y1122" t="str">
        <f t="shared" si="326"/>
        <v>00</v>
      </c>
      <c r="Z1122" t="str">
        <f t="shared" si="337"/>
        <v>00</v>
      </c>
      <c r="AA1122" t="str">
        <f t="shared" si="327"/>
        <v>00</v>
      </c>
      <c r="AB1122" t="str">
        <f t="shared" si="328"/>
        <v>00</v>
      </c>
      <c r="AC1122" t="str">
        <f t="shared" si="329"/>
        <v>0P0</v>
      </c>
      <c r="AD1122" t="str">
        <f t="shared" si="330"/>
        <v>P00</v>
      </c>
      <c r="AE1122" t="str">
        <f t="shared" si="331"/>
        <v>0P0</v>
      </c>
      <c r="AF1122" t="str">
        <f t="shared" si="332"/>
        <v>P00</v>
      </c>
      <c r="AG1122" t="str">
        <f t="shared" si="338"/>
        <v>0P00</v>
      </c>
      <c r="AH1122" t="str">
        <f t="shared" si="339"/>
        <v>P000</v>
      </c>
      <c r="AI1122" t="str">
        <f t="shared" si="340"/>
        <v>0P00</v>
      </c>
      <c r="AJ1122" t="str">
        <f t="shared" si="341"/>
        <v>P000</v>
      </c>
    </row>
    <row r="1123" spans="1:36" x14ac:dyDescent="0.25">
      <c r="A1123" s="325" t="str">
        <f>CONCATENATE("P",'906MP'!M823)</f>
        <v>P</v>
      </c>
      <c r="B1123">
        <f>'906MP'!H823</f>
        <v>0</v>
      </c>
      <c r="C1123">
        <f>'906MP'!J823</f>
        <v>0</v>
      </c>
      <c r="D1123">
        <f>'906MP'!P823</f>
        <v>0</v>
      </c>
      <c r="E1123">
        <f>'906MP'!X823</f>
        <v>0</v>
      </c>
      <c r="F1123" t="str">
        <f t="shared" si="333"/>
        <v>0</v>
      </c>
      <c r="G1123" t="str">
        <f t="shared" si="334"/>
        <v>0</v>
      </c>
      <c r="H1123">
        <f>'906MP'!Y823</f>
        <v>0</v>
      </c>
      <c r="I1123">
        <f>'906MP'!AK823</f>
        <v>0</v>
      </c>
      <c r="J1123">
        <f>'906MP'!T823</f>
        <v>0</v>
      </c>
      <c r="K1123">
        <f>'906MP'!AJ823</f>
        <v>0</v>
      </c>
      <c r="L1123">
        <f>'906MP'!U823</f>
        <v>0</v>
      </c>
      <c r="M1123" s="322" t="str">
        <f>IFERROR(VLOOKUP(A1123,PAR!$D$3:$E$53,2,FALSE),"nincs szervezet")</f>
        <v>nincs szervezet</v>
      </c>
      <c r="N1123" s="322" t="str">
        <f>VLOOKUP(F1123,PAR!$R$3:$S$5,2,FALSE)</f>
        <v>3 - egyik sem</v>
      </c>
      <c r="O1123" t="str">
        <f>IFERROR(VLOOKUP(J1123,PAR!$O$3:$P$5,2,FALSE),"nincs feladat")</f>
        <v>nincs feladat</v>
      </c>
      <c r="P1123" t="str">
        <f>IFERROR(VLOOKUP(G1123,PAR!$J$2:$M$19,4),"nincs rovat")</f>
        <v>nincs rovat</v>
      </c>
      <c r="Q1123" t="str">
        <f>IF(H1123&gt;0,VLOOKUP(H1123,PAR!$AA$3:$AC$187,3,FALSE),"nincs főkönyvi számla")</f>
        <v>nincs főkönyvi számla</v>
      </c>
      <c r="R1123" t="str">
        <f>IFERROR(VLOOKUP(K1123,PAR!$V$3:$X$438,3,FALSE),"000000 - Nincs COFOG")</f>
        <v>000000 - Nincs COFOG</v>
      </c>
      <c r="S1123">
        <f t="shared" si="335"/>
        <v>0</v>
      </c>
      <c r="T1123">
        <f t="shared" si="336"/>
        <v>0</v>
      </c>
      <c r="U1123" t="str">
        <f>IF('906MP'!J823&gt;0,CONCATENATE('906MP'!J823," - ",'906MP'!P823,", ",'906MP'!E823),"nincs megjegyzés")</f>
        <v>nincs megjegyzés</v>
      </c>
      <c r="V1123" t="str">
        <f t="shared" si="323"/>
        <v>0P0</v>
      </c>
      <c r="W1123" t="str">
        <f t="shared" si="324"/>
        <v>0P0</v>
      </c>
      <c r="X1123" t="str">
        <f t="shared" si="325"/>
        <v>P0</v>
      </c>
      <c r="Y1123" t="str">
        <f t="shared" si="326"/>
        <v>00</v>
      </c>
      <c r="Z1123" t="str">
        <f t="shared" si="337"/>
        <v>00</v>
      </c>
      <c r="AA1123" t="str">
        <f t="shared" si="327"/>
        <v>00</v>
      </c>
      <c r="AB1123" t="str">
        <f t="shared" si="328"/>
        <v>00</v>
      </c>
      <c r="AC1123" t="str">
        <f t="shared" si="329"/>
        <v>0P0</v>
      </c>
      <c r="AD1123" t="str">
        <f t="shared" si="330"/>
        <v>P00</v>
      </c>
      <c r="AE1123" t="str">
        <f t="shared" si="331"/>
        <v>0P0</v>
      </c>
      <c r="AF1123" t="str">
        <f t="shared" si="332"/>
        <v>P00</v>
      </c>
      <c r="AG1123" t="str">
        <f t="shared" si="338"/>
        <v>0P00</v>
      </c>
      <c r="AH1123" t="str">
        <f t="shared" si="339"/>
        <v>P000</v>
      </c>
      <c r="AI1123" t="str">
        <f t="shared" si="340"/>
        <v>0P00</v>
      </c>
      <c r="AJ1123" t="str">
        <f t="shared" si="341"/>
        <v>P000</v>
      </c>
    </row>
    <row r="1124" spans="1:36" x14ac:dyDescent="0.25">
      <c r="A1124" s="325" t="str">
        <f>CONCATENATE("P",'906MP'!M824)</f>
        <v>P</v>
      </c>
      <c r="B1124">
        <f>'906MP'!H824</f>
        <v>0</v>
      </c>
      <c r="C1124">
        <f>'906MP'!J824</f>
        <v>0</v>
      </c>
      <c r="D1124">
        <f>'906MP'!P824</f>
        <v>0</v>
      </c>
      <c r="E1124">
        <f>'906MP'!X824</f>
        <v>0</v>
      </c>
      <c r="F1124" t="str">
        <f t="shared" si="333"/>
        <v>0</v>
      </c>
      <c r="G1124" t="str">
        <f t="shared" si="334"/>
        <v>0</v>
      </c>
      <c r="H1124">
        <f>'906MP'!Y824</f>
        <v>0</v>
      </c>
      <c r="I1124">
        <f>'906MP'!AK824</f>
        <v>0</v>
      </c>
      <c r="J1124">
        <f>'906MP'!T824</f>
        <v>0</v>
      </c>
      <c r="K1124">
        <f>'906MP'!AJ824</f>
        <v>0</v>
      </c>
      <c r="L1124">
        <f>'906MP'!U824</f>
        <v>0</v>
      </c>
      <c r="M1124" s="322" t="str">
        <f>IFERROR(VLOOKUP(A1124,PAR!$D$3:$E$53,2,FALSE),"nincs szervezet")</f>
        <v>nincs szervezet</v>
      </c>
      <c r="N1124" s="322" t="str">
        <f>VLOOKUP(F1124,PAR!$R$3:$S$5,2,FALSE)</f>
        <v>3 - egyik sem</v>
      </c>
      <c r="O1124" t="str">
        <f>IFERROR(VLOOKUP(J1124,PAR!$O$3:$P$5,2,FALSE),"nincs feladat")</f>
        <v>nincs feladat</v>
      </c>
      <c r="P1124" t="str">
        <f>IFERROR(VLOOKUP(G1124,PAR!$J$2:$M$19,4),"nincs rovat")</f>
        <v>nincs rovat</v>
      </c>
      <c r="Q1124" t="str">
        <f>IF(H1124&gt;0,VLOOKUP(H1124,PAR!$AA$3:$AC$187,3,FALSE),"nincs főkönyvi számla")</f>
        <v>nincs főkönyvi számla</v>
      </c>
      <c r="R1124" t="str">
        <f>IFERROR(VLOOKUP(K1124,PAR!$V$3:$X$438,3,FALSE),"000000 - Nincs COFOG")</f>
        <v>000000 - Nincs COFOG</v>
      </c>
      <c r="S1124">
        <f t="shared" si="335"/>
        <v>0</v>
      </c>
      <c r="T1124">
        <f t="shared" si="336"/>
        <v>0</v>
      </c>
      <c r="U1124" t="str">
        <f>IF('906MP'!J824&gt;0,CONCATENATE('906MP'!J824," - ",'906MP'!P824,", ",'906MP'!E824),"nincs megjegyzés")</f>
        <v>nincs megjegyzés</v>
      </c>
      <c r="V1124" t="str">
        <f t="shared" si="323"/>
        <v>0P0</v>
      </c>
      <c r="W1124" t="str">
        <f t="shared" si="324"/>
        <v>0P0</v>
      </c>
      <c r="X1124" t="str">
        <f t="shared" si="325"/>
        <v>P0</v>
      </c>
      <c r="Y1124" t="str">
        <f t="shared" si="326"/>
        <v>00</v>
      </c>
      <c r="Z1124" t="str">
        <f t="shared" si="337"/>
        <v>00</v>
      </c>
      <c r="AA1124" t="str">
        <f t="shared" si="327"/>
        <v>00</v>
      </c>
      <c r="AB1124" t="str">
        <f t="shared" si="328"/>
        <v>00</v>
      </c>
      <c r="AC1124" t="str">
        <f t="shared" si="329"/>
        <v>0P0</v>
      </c>
      <c r="AD1124" t="str">
        <f t="shared" si="330"/>
        <v>P00</v>
      </c>
      <c r="AE1124" t="str">
        <f t="shared" si="331"/>
        <v>0P0</v>
      </c>
      <c r="AF1124" t="str">
        <f t="shared" si="332"/>
        <v>P00</v>
      </c>
      <c r="AG1124" t="str">
        <f t="shared" si="338"/>
        <v>0P00</v>
      </c>
      <c r="AH1124" t="str">
        <f t="shared" si="339"/>
        <v>P000</v>
      </c>
      <c r="AI1124" t="str">
        <f t="shared" si="340"/>
        <v>0P00</v>
      </c>
      <c r="AJ1124" t="str">
        <f t="shared" si="341"/>
        <v>P000</v>
      </c>
    </row>
    <row r="1125" spans="1:36" x14ac:dyDescent="0.25">
      <c r="A1125" s="325" t="str">
        <f>CONCATENATE("P",'906MP'!M825)</f>
        <v>P</v>
      </c>
      <c r="B1125">
        <f>'906MP'!H825</f>
        <v>0</v>
      </c>
      <c r="C1125">
        <f>'906MP'!J825</f>
        <v>0</v>
      </c>
      <c r="D1125">
        <f>'906MP'!P825</f>
        <v>0</v>
      </c>
      <c r="E1125">
        <f>'906MP'!X825</f>
        <v>0</v>
      </c>
      <c r="F1125" t="str">
        <f t="shared" si="333"/>
        <v>0</v>
      </c>
      <c r="G1125" t="str">
        <f t="shared" si="334"/>
        <v>0</v>
      </c>
      <c r="H1125">
        <f>'906MP'!Y825</f>
        <v>0</v>
      </c>
      <c r="I1125">
        <f>'906MP'!AK825</f>
        <v>0</v>
      </c>
      <c r="J1125">
        <f>'906MP'!T825</f>
        <v>0</v>
      </c>
      <c r="K1125">
        <f>'906MP'!AJ825</f>
        <v>0</v>
      </c>
      <c r="L1125">
        <f>'906MP'!U825</f>
        <v>0</v>
      </c>
      <c r="M1125" s="322" t="str">
        <f>IFERROR(VLOOKUP(A1125,PAR!$D$3:$E$53,2,FALSE),"nincs szervezet")</f>
        <v>nincs szervezet</v>
      </c>
      <c r="N1125" s="322" t="str">
        <f>VLOOKUP(F1125,PAR!$R$3:$S$5,2,FALSE)</f>
        <v>3 - egyik sem</v>
      </c>
      <c r="O1125" t="str">
        <f>IFERROR(VLOOKUP(J1125,PAR!$O$3:$P$5,2,FALSE),"nincs feladat")</f>
        <v>nincs feladat</v>
      </c>
      <c r="P1125" t="str">
        <f>IFERROR(VLOOKUP(G1125,PAR!$J$2:$M$19,4),"nincs rovat")</f>
        <v>nincs rovat</v>
      </c>
      <c r="Q1125" t="str">
        <f>IF(H1125&gt;0,VLOOKUP(H1125,PAR!$AA$3:$AC$187,3,FALSE),"nincs főkönyvi számla")</f>
        <v>nincs főkönyvi számla</v>
      </c>
      <c r="R1125" t="str">
        <f>IFERROR(VLOOKUP(K1125,PAR!$V$3:$X$438,3,FALSE),"000000 - Nincs COFOG")</f>
        <v>000000 - Nincs COFOG</v>
      </c>
      <c r="S1125">
        <f t="shared" si="335"/>
        <v>0</v>
      </c>
      <c r="T1125">
        <f t="shared" si="336"/>
        <v>0</v>
      </c>
      <c r="U1125" t="str">
        <f>IF('906MP'!J825&gt;0,CONCATENATE('906MP'!J825," - ",'906MP'!P825,", ",'906MP'!E825),"nincs megjegyzés")</f>
        <v>nincs megjegyzés</v>
      </c>
      <c r="V1125" t="str">
        <f t="shared" si="323"/>
        <v>0P0</v>
      </c>
      <c r="W1125" t="str">
        <f t="shared" si="324"/>
        <v>0P0</v>
      </c>
      <c r="X1125" t="str">
        <f t="shared" si="325"/>
        <v>P0</v>
      </c>
      <c r="Y1125" t="str">
        <f t="shared" si="326"/>
        <v>00</v>
      </c>
      <c r="Z1125" t="str">
        <f t="shared" si="337"/>
        <v>00</v>
      </c>
      <c r="AA1125" t="str">
        <f t="shared" si="327"/>
        <v>00</v>
      </c>
      <c r="AB1125" t="str">
        <f t="shared" si="328"/>
        <v>00</v>
      </c>
      <c r="AC1125" t="str">
        <f t="shared" si="329"/>
        <v>0P0</v>
      </c>
      <c r="AD1125" t="str">
        <f t="shared" si="330"/>
        <v>P00</v>
      </c>
      <c r="AE1125" t="str">
        <f t="shared" si="331"/>
        <v>0P0</v>
      </c>
      <c r="AF1125" t="str">
        <f t="shared" si="332"/>
        <v>P00</v>
      </c>
      <c r="AG1125" t="str">
        <f t="shared" si="338"/>
        <v>0P00</v>
      </c>
      <c r="AH1125" t="str">
        <f t="shared" si="339"/>
        <v>P000</v>
      </c>
      <c r="AI1125" t="str">
        <f t="shared" si="340"/>
        <v>0P00</v>
      </c>
      <c r="AJ1125" t="str">
        <f t="shared" si="341"/>
        <v>P000</v>
      </c>
    </row>
    <row r="1126" spans="1:36" x14ac:dyDescent="0.25">
      <c r="A1126" s="325" t="str">
        <f>CONCATENATE("P",'906MP'!M826)</f>
        <v>P</v>
      </c>
      <c r="B1126">
        <f>'906MP'!H826</f>
        <v>0</v>
      </c>
      <c r="C1126">
        <f>'906MP'!J826</f>
        <v>0</v>
      </c>
      <c r="D1126">
        <f>'906MP'!P826</f>
        <v>0</v>
      </c>
      <c r="E1126">
        <f>'906MP'!X826</f>
        <v>0</v>
      </c>
      <c r="F1126" t="str">
        <f t="shared" si="333"/>
        <v>0</v>
      </c>
      <c r="G1126" t="str">
        <f t="shared" si="334"/>
        <v>0</v>
      </c>
      <c r="H1126">
        <f>'906MP'!Y826</f>
        <v>0</v>
      </c>
      <c r="I1126">
        <f>'906MP'!AK826</f>
        <v>0</v>
      </c>
      <c r="J1126">
        <f>'906MP'!T826</f>
        <v>0</v>
      </c>
      <c r="K1126">
        <f>'906MP'!AJ826</f>
        <v>0</v>
      </c>
      <c r="L1126">
        <f>'906MP'!U826</f>
        <v>0</v>
      </c>
      <c r="M1126" s="322" t="str">
        <f>IFERROR(VLOOKUP(A1126,PAR!$D$3:$E$53,2,FALSE),"nincs szervezet")</f>
        <v>nincs szervezet</v>
      </c>
      <c r="N1126" s="322" t="str">
        <f>VLOOKUP(F1126,PAR!$R$3:$S$5,2,FALSE)</f>
        <v>3 - egyik sem</v>
      </c>
      <c r="O1126" t="str">
        <f>IFERROR(VLOOKUP(J1126,PAR!$O$3:$P$5,2,FALSE),"nincs feladat")</f>
        <v>nincs feladat</v>
      </c>
      <c r="P1126" t="str">
        <f>IFERROR(VLOOKUP(G1126,PAR!$J$2:$M$19,4),"nincs rovat")</f>
        <v>nincs rovat</v>
      </c>
      <c r="Q1126" t="str">
        <f>IF(H1126&gt;0,VLOOKUP(H1126,PAR!$AA$3:$AC$187,3,FALSE),"nincs főkönyvi számla")</f>
        <v>nincs főkönyvi számla</v>
      </c>
      <c r="R1126" t="str">
        <f>IFERROR(VLOOKUP(K1126,PAR!$V$3:$X$438,3,FALSE),"000000 - Nincs COFOG")</f>
        <v>000000 - Nincs COFOG</v>
      </c>
      <c r="S1126">
        <f t="shared" si="335"/>
        <v>0</v>
      </c>
      <c r="T1126">
        <f t="shared" si="336"/>
        <v>0</v>
      </c>
      <c r="U1126" t="str">
        <f>IF('906MP'!J826&gt;0,CONCATENATE('906MP'!J826," - ",'906MP'!P826,", ",'906MP'!E826),"nincs megjegyzés")</f>
        <v>nincs megjegyzés</v>
      </c>
      <c r="V1126" t="str">
        <f t="shared" si="323"/>
        <v>0P0</v>
      </c>
      <c r="W1126" t="str">
        <f t="shared" si="324"/>
        <v>0P0</v>
      </c>
      <c r="X1126" t="str">
        <f t="shared" si="325"/>
        <v>P0</v>
      </c>
      <c r="Y1126" t="str">
        <f t="shared" si="326"/>
        <v>00</v>
      </c>
      <c r="Z1126" t="str">
        <f t="shared" si="337"/>
        <v>00</v>
      </c>
      <c r="AA1126" t="str">
        <f t="shared" si="327"/>
        <v>00</v>
      </c>
      <c r="AB1126" t="str">
        <f t="shared" si="328"/>
        <v>00</v>
      </c>
      <c r="AC1126" t="str">
        <f t="shared" si="329"/>
        <v>0P0</v>
      </c>
      <c r="AD1126" t="str">
        <f t="shared" si="330"/>
        <v>P00</v>
      </c>
      <c r="AE1126" t="str">
        <f t="shared" si="331"/>
        <v>0P0</v>
      </c>
      <c r="AF1126" t="str">
        <f t="shared" si="332"/>
        <v>P00</v>
      </c>
      <c r="AG1126" t="str">
        <f t="shared" si="338"/>
        <v>0P00</v>
      </c>
      <c r="AH1126" t="str">
        <f t="shared" si="339"/>
        <v>P000</v>
      </c>
      <c r="AI1126" t="str">
        <f t="shared" si="340"/>
        <v>0P00</v>
      </c>
      <c r="AJ1126" t="str">
        <f t="shared" si="341"/>
        <v>P000</v>
      </c>
    </row>
    <row r="1127" spans="1:36" x14ac:dyDescent="0.25">
      <c r="A1127" s="325" t="str">
        <f>CONCATENATE("P",'906MP'!M827)</f>
        <v>P</v>
      </c>
      <c r="B1127">
        <f>'906MP'!H827</f>
        <v>0</v>
      </c>
      <c r="C1127">
        <f>'906MP'!J827</f>
        <v>0</v>
      </c>
      <c r="D1127">
        <f>'906MP'!P827</f>
        <v>0</v>
      </c>
      <c r="E1127">
        <f>'906MP'!X827</f>
        <v>0</v>
      </c>
      <c r="F1127" t="str">
        <f t="shared" si="333"/>
        <v>0</v>
      </c>
      <c r="G1127" t="str">
        <f t="shared" si="334"/>
        <v>0</v>
      </c>
      <c r="H1127">
        <f>'906MP'!Y827</f>
        <v>0</v>
      </c>
      <c r="I1127">
        <f>'906MP'!AK827</f>
        <v>0</v>
      </c>
      <c r="J1127">
        <f>'906MP'!T827</f>
        <v>0</v>
      </c>
      <c r="K1127">
        <f>'906MP'!AJ827</f>
        <v>0</v>
      </c>
      <c r="L1127">
        <f>'906MP'!U827</f>
        <v>0</v>
      </c>
      <c r="M1127" s="322" t="str">
        <f>IFERROR(VLOOKUP(A1127,PAR!$D$3:$E$53,2,FALSE),"nincs szervezet")</f>
        <v>nincs szervezet</v>
      </c>
      <c r="N1127" s="322" t="str">
        <f>VLOOKUP(F1127,PAR!$R$3:$S$5,2,FALSE)</f>
        <v>3 - egyik sem</v>
      </c>
      <c r="O1127" t="str">
        <f>IFERROR(VLOOKUP(J1127,PAR!$O$3:$P$5,2,FALSE),"nincs feladat")</f>
        <v>nincs feladat</v>
      </c>
      <c r="P1127" t="str">
        <f>IFERROR(VLOOKUP(G1127,PAR!$J$2:$M$19,4),"nincs rovat")</f>
        <v>nincs rovat</v>
      </c>
      <c r="Q1127" t="str">
        <f>IF(H1127&gt;0,VLOOKUP(H1127,PAR!$AA$3:$AC$187,3,FALSE),"nincs főkönyvi számla")</f>
        <v>nincs főkönyvi számla</v>
      </c>
      <c r="R1127" t="str">
        <f>IFERROR(VLOOKUP(K1127,PAR!$V$3:$X$438,3,FALSE),"000000 - Nincs COFOG")</f>
        <v>000000 - Nincs COFOG</v>
      </c>
      <c r="S1127">
        <f t="shared" si="335"/>
        <v>0</v>
      </c>
      <c r="T1127">
        <f t="shared" si="336"/>
        <v>0</v>
      </c>
      <c r="U1127" t="str">
        <f>IF('906MP'!J827&gt;0,CONCATENATE('906MP'!J827," - ",'906MP'!P827,", ",'906MP'!E827),"nincs megjegyzés")</f>
        <v>nincs megjegyzés</v>
      </c>
      <c r="V1127" t="str">
        <f t="shared" si="323"/>
        <v>0P0</v>
      </c>
      <c r="W1127" t="str">
        <f t="shared" si="324"/>
        <v>0P0</v>
      </c>
      <c r="X1127" t="str">
        <f t="shared" si="325"/>
        <v>P0</v>
      </c>
      <c r="Y1127" t="str">
        <f t="shared" si="326"/>
        <v>00</v>
      </c>
      <c r="Z1127" t="str">
        <f t="shared" si="337"/>
        <v>00</v>
      </c>
      <c r="AA1127" t="str">
        <f t="shared" si="327"/>
        <v>00</v>
      </c>
      <c r="AB1127" t="str">
        <f t="shared" si="328"/>
        <v>00</v>
      </c>
      <c r="AC1127" t="str">
        <f t="shared" si="329"/>
        <v>0P0</v>
      </c>
      <c r="AD1127" t="str">
        <f t="shared" si="330"/>
        <v>P00</v>
      </c>
      <c r="AE1127" t="str">
        <f t="shared" si="331"/>
        <v>0P0</v>
      </c>
      <c r="AF1127" t="str">
        <f t="shared" si="332"/>
        <v>P00</v>
      </c>
      <c r="AG1127" t="str">
        <f t="shared" si="338"/>
        <v>0P00</v>
      </c>
      <c r="AH1127" t="str">
        <f t="shared" si="339"/>
        <v>P000</v>
      </c>
      <c r="AI1127" t="str">
        <f t="shared" si="340"/>
        <v>0P00</v>
      </c>
      <c r="AJ1127" t="str">
        <f t="shared" si="341"/>
        <v>P000</v>
      </c>
    </row>
    <row r="1128" spans="1:36" x14ac:dyDescent="0.25">
      <c r="A1128" s="325" t="str">
        <f>CONCATENATE("P",'906MP'!M828)</f>
        <v>P</v>
      </c>
      <c r="B1128">
        <f>'906MP'!H828</f>
        <v>0</v>
      </c>
      <c r="C1128">
        <f>'906MP'!J828</f>
        <v>0</v>
      </c>
      <c r="D1128">
        <f>'906MP'!P828</f>
        <v>0</v>
      </c>
      <c r="E1128">
        <f>'906MP'!X828</f>
        <v>0</v>
      </c>
      <c r="F1128" t="str">
        <f t="shared" si="333"/>
        <v>0</v>
      </c>
      <c r="G1128" t="str">
        <f t="shared" si="334"/>
        <v>0</v>
      </c>
      <c r="H1128">
        <f>'906MP'!Y828</f>
        <v>0</v>
      </c>
      <c r="I1128">
        <f>'906MP'!AK828</f>
        <v>0</v>
      </c>
      <c r="J1128">
        <f>'906MP'!T828</f>
        <v>0</v>
      </c>
      <c r="K1128">
        <f>'906MP'!AJ828</f>
        <v>0</v>
      </c>
      <c r="L1128">
        <f>'906MP'!U828</f>
        <v>0</v>
      </c>
      <c r="M1128" s="322" t="str">
        <f>IFERROR(VLOOKUP(A1128,PAR!$D$3:$E$53,2,FALSE),"nincs szervezet")</f>
        <v>nincs szervezet</v>
      </c>
      <c r="N1128" s="322" t="str">
        <f>VLOOKUP(F1128,PAR!$R$3:$S$5,2,FALSE)</f>
        <v>3 - egyik sem</v>
      </c>
      <c r="O1128" t="str">
        <f>IFERROR(VLOOKUP(J1128,PAR!$O$3:$P$5,2,FALSE),"nincs feladat")</f>
        <v>nincs feladat</v>
      </c>
      <c r="P1128" t="str">
        <f>IFERROR(VLOOKUP(G1128,PAR!$J$2:$M$19,4),"nincs rovat")</f>
        <v>nincs rovat</v>
      </c>
      <c r="Q1128" t="str">
        <f>IF(H1128&gt;0,VLOOKUP(H1128,PAR!$AA$3:$AC$187,3,FALSE),"nincs főkönyvi számla")</f>
        <v>nincs főkönyvi számla</v>
      </c>
      <c r="R1128" t="str">
        <f>IFERROR(VLOOKUP(K1128,PAR!$V$3:$X$438,3,FALSE),"000000 - Nincs COFOG")</f>
        <v>000000 - Nincs COFOG</v>
      </c>
      <c r="S1128">
        <f t="shared" si="335"/>
        <v>0</v>
      </c>
      <c r="T1128">
        <f t="shared" si="336"/>
        <v>0</v>
      </c>
      <c r="U1128" t="str">
        <f>IF('906MP'!J828&gt;0,CONCATENATE('906MP'!J828," - ",'906MP'!P828,", ",'906MP'!E828),"nincs megjegyzés")</f>
        <v>nincs megjegyzés</v>
      </c>
      <c r="V1128" t="str">
        <f t="shared" si="323"/>
        <v>0P0</v>
      </c>
      <c r="W1128" t="str">
        <f t="shared" si="324"/>
        <v>0P0</v>
      </c>
      <c r="X1128" t="str">
        <f t="shared" si="325"/>
        <v>P0</v>
      </c>
      <c r="Y1128" t="str">
        <f t="shared" si="326"/>
        <v>00</v>
      </c>
      <c r="Z1128" t="str">
        <f t="shared" si="337"/>
        <v>00</v>
      </c>
      <c r="AA1128" t="str">
        <f t="shared" si="327"/>
        <v>00</v>
      </c>
      <c r="AB1128" t="str">
        <f t="shared" si="328"/>
        <v>00</v>
      </c>
      <c r="AC1128" t="str">
        <f t="shared" si="329"/>
        <v>0P0</v>
      </c>
      <c r="AD1128" t="str">
        <f t="shared" si="330"/>
        <v>P00</v>
      </c>
      <c r="AE1128" t="str">
        <f t="shared" si="331"/>
        <v>0P0</v>
      </c>
      <c r="AF1128" t="str">
        <f t="shared" si="332"/>
        <v>P00</v>
      </c>
      <c r="AG1128" t="str">
        <f t="shared" si="338"/>
        <v>0P00</v>
      </c>
      <c r="AH1128" t="str">
        <f t="shared" si="339"/>
        <v>P000</v>
      </c>
      <c r="AI1128" t="str">
        <f t="shared" si="340"/>
        <v>0P00</v>
      </c>
      <c r="AJ1128" t="str">
        <f t="shared" si="341"/>
        <v>P000</v>
      </c>
    </row>
    <row r="1129" spans="1:36" x14ac:dyDescent="0.25">
      <c r="A1129" s="325" t="str">
        <f>CONCATENATE("P",'906MP'!M829)</f>
        <v>P</v>
      </c>
      <c r="B1129">
        <f>'906MP'!H829</f>
        <v>0</v>
      </c>
      <c r="C1129">
        <f>'906MP'!J829</f>
        <v>0</v>
      </c>
      <c r="D1129">
        <f>'906MP'!P829</f>
        <v>0</v>
      </c>
      <c r="E1129">
        <f>'906MP'!X829</f>
        <v>0</v>
      </c>
      <c r="F1129" t="str">
        <f t="shared" si="333"/>
        <v>0</v>
      </c>
      <c r="G1129" t="str">
        <f t="shared" si="334"/>
        <v>0</v>
      </c>
      <c r="H1129">
        <f>'906MP'!Y829</f>
        <v>0</v>
      </c>
      <c r="I1129">
        <f>'906MP'!AK829</f>
        <v>0</v>
      </c>
      <c r="J1129">
        <f>'906MP'!T829</f>
        <v>0</v>
      </c>
      <c r="K1129">
        <f>'906MP'!AJ829</f>
        <v>0</v>
      </c>
      <c r="L1129">
        <f>'906MP'!U829</f>
        <v>0</v>
      </c>
      <c r="M1129" s="322" t="str">
        <f>IFERROR(VLOOKUP(A1129,PAR!$D$3:$E$53,2,FALSE),"nincs szervezet")</f>
        <v>nincs szervezet</v>
      </c>
      <c r="N1129" s="322" t="str">
        <f>VLOOKUP(F1129,PAR!$R$3:$S$5,2,FALSE)</f>
        <v>3 - egyik sem</v>
      </c>
      <c r="O1129" t="str">
        <f>IFERROR(VLOOKUP(J1129,PAR!$O$3:$P$5,2,FALSE),"nincs feladat")</f>
        <v>nincs feladat</v>
      </c>
      <c r="P1129" t="str">
        <f>IFERROR(VLOOKUP(G1129,PAR!$J$2:$M$19,4),"nincs rovat")</f>
        <v>nincs rovat</v>
      </c>
      <c r="Q1129" t="str">
        <f>IF(H1129&gt;0,VLOOKUP(H1129,PAR!$AA$3:$AC$187,3,FALSE),"nincs főkönyvi számla")</f>
        <v>nincs főkönyvi számla</v>
      </c>
      <c r="R1129" t="str">
        <f>IFERROR(VLOOKUP(K1129,PAR!$V$3:$X$438,3,FALSE),"000000 - Nincs COFOG")</f>
        <v>000000 - Nincs COFOG</v>
      </c>
      <c r="S1129">
        <f t="shared" si="335"/>
        <v>0</v>
      </c>
      <c r="T1129">
        <f t="shared" si="336"/>
        <v>0</v>
      </c>
      <c r="U1129" t="str">
        <f>IF('906MP'!J829&gt;0,CONCATENATE('906MP'!J829," - ",'906MP'!P829,", ",'906MP'!E829),"nincs megjegyzés")</f>
        <v>nincs megjegyzés</v>
      </c>
      <c r="V1129" t="str">
        <f t="shared" si="323"/>
        <v>0P0</v>
      </c>
      <c r="W1129" t="str">
        <f t="shared" si="324"/>
        <v>0P0</v>
      </c>
      <c r="X1129" t="str">
        <f t="shared" si="325"/>
        <v>P0</v>
      </c>
      <c r="Y1129" t="str">
        <f t="shared" si="326"/>
        <v>00</v>
      </c>
      <c r="Z1129" t="str">
        <f t="shared" si="337"/>
        <v>00</v>
      </c>
      <c r="AA1129" t="str">
        <f t="shared" si="327"/>
        <v>00</v>
      </c>
      <c r="AB1129" t="str">
        <f t="shared" si="328"/>
        <v>00</v>
      </c>
      <c r="AC1129" t="str">
        <f t="shared" si="329"/>
        <v>0P0</v>
      </c>
      <c r="AD1129" t="str">
        <f t="shared" si="330"/>
        <v>P00</v>
      </c>
      <c r="AE1129" t="str">
        <f t="shared" si="331"/>
        <v>0P0</v>
      </c>
      <c r="AF1129" t="str">
        <f t="shared" si="332"/>
        <v>P00</v>
      </c>
      <c r="AG1129" t="str">
        <f t="shared" si="338"/>
        <v>0P00</v>
      </c>
      <c r="AH1129" t="str">
        <f t="shared" si="339"/>
        <v>P000</v>
      </c>
      <c r="AI1129" t="str">
        <f t="shared" si="340"/>
        <v>0P00</v>
      </c>
      <c r="AJ1129" t="str">
        <f t="shared" si="341"/>
        <v>P000</v>
      </c>
    </row>
    <row r="1130" spans="1:36" x14ac:dyDescent="0.25">
      <c r="A1130" s="325" t="str">
        <f>CONCATENATE("P",'906MP'!M830)</f>
        <v>P</v>
      </c>
      <c r="B1130">
        <f>'906MP'!H830</f>
        <v>0</v>
      </c>
      <c r="C1130">
        <f>'906MP'!J830</f>
        <v>0</v>
      </c>
      <c r="D1130">
        <f>'906MP'!P830</f>
        <v>0</v>
      </c>
      <c r="E1130">
        <f>'906MP'!X830</f>
        <v>0</v>
      </c>
      <c r="F1130" t="str">
        <f t="shared" si="333"/>
        <v>0</v>
      </c>
      <c r="G1130" t="str">
        <f t="shared" si="334"/>
        <v>0</v>
      </c>
      <c r="H1130">
        <f>'906MP'!Y830</f>
        <v>0</v>
      </c>
      <c r="I1130">
        <f>'906MP'!AK830</f>
        <v>0</v>
      </c>
      <c r="J1130">
        <f>'906MP'!T830</f>
        <v>0</v>
      </c>
      <c r="K1130">
        <f>'906MP'!AJ830</f>
        <v>0</v>
      </c>
      <c r="L1130">
        <f>'906MP'!U830</f>
        <v>0</v>
      </c>
      <c r="M1130" s="322" t="str">
        <f>IFERROR(VLOOKUP(A1130,PAR!$D$3:$E$53,2,FALSE),"nincs szervezet")</f>
        <v>nincs szervezet</v>
      </c>
      <c r="N1130" s="322" t="str">
        <f>VLOOKUP(F1130,PAR!$R$3:$S$5,2,FALSE)</f>
        <v>3 - egyik sem</v>
      </c>
      <c r="O1130" t="str">
        <f>IFERROR(VLOOKUP(J1130,PAR!$O$3:$P$5,2,FALSE),"nincs feladat")</f>
        <v>nincs feladat</v>
      </c>
      <c r="P1130" t="str">
        <f>IFERROR(VLOOKUP(G1130,PAR!$J$2:$M$19,4),"nincs rovat")</f>
        <v>nincs rovat</v>
      </c>
      <c r="Q1130" t="str">
        <f>IF(H1130&gt;0,VLOOKUP(H1130,PAR!$AA$3:$AC$187,3,FALSE),"nincs főkönyvi számla")</f>
        <v>nincs főkönyvi számla</v>
      </c>
      <c r="R1130" t="str">
        <f>IFERROR(VLOOKUP(K1130,PAR!$V$3:$X$438,3,FALSE),"000000 - Nincs COFOG")</f>
        <v>000000 - Nincs COFOG</v>
      </c>
      <c r="S1130">
        <f t="shared" si="335"/>
        <v>0</v>
      </c>
      <c r="T1130">
        <f t="shared" si="336"/>
        <v>0</v>
      </c>
      <c r="U1130" t="str">
        <f>IF('906MP'!J830&gt;0,CONCATENATE('906MP'!J830," - ",'906MP'!P830,", ",'906MP'!E830),"nincs megjegyzés")</f>
        <v>nincs megjegyzés</v>
      </c>
      <c r="V1130" t="str">
        <f t="shared" si="323"/>
        <v>0P0</v>
      </c>
      <c r="W1130" t="str">
        <f t="shared" si="324"/>
        <v>0P0</v>
      </c>
      <c r="X1130" t="str">
        <f t="shared" si="325"/>
        <v>P0</v>
      </c>
      <c r="Y1130" t="str">
        <f t="shared" si="326"/>
        <v>00</v>
      </c>
      <c r="Z1130" t="str">
        <f t="shared" si="337"/>
        <v>00</v>
      </c>
      <c r="AA1130" t="str">
        <f t="shared" si="327"/>
        <v>00</v>
      </c>
      <c r="AB1130" t="str">
        <f t="shared" si="328"/>
        <v>00</v>
      </c>
      <c r="AC1130" t="str">
        <f t="shared" si="329"/>
        <v>0P0</v>
      </c>
      <c r="AD1130" t="str">
        <f t="shared" si="330"/>
        <v>P00</v>
      </c>
      <c r="AE1130" t="str">
        <f t="shared" si="331"/>
        <v>0P0</v>
      </c>
      <c r="AF1130" t="str">
        <f t="shared" si="332"/>
        <v>P00</v>
      </c>
      <c r="AG1130" t="str">
        <f t="shared" si="338"/>
        <v>0P00</v>
      </c>
      <c r="AH1130" t="str">
        <f t="shared" si="339"/>
        <v>P000</v>
      </c>
      <c r="AI1130" t="str">
        <f t="shared" si="340"/>
        <v>0P00</v>
      </c>
      <c r="AJ1130" t="str">
        <f t="shared" si="341"/>
        <v>P000</v>
      </c>
    </row>
    <row r="1131" spans="1:36" x14ac:dyDescent="0.25">
      <c r="A1131" s="325" t="str">
        <f>CONCATENATE("P",'906MP'!M831)</f>
        <v>P</v>
      </c>
      <c r="B1131">
        <f>'906MP'!H831</f>
        <v>0</v>
      </c>
      <c r="C1131">
        <f>'906MP'!J831</f>
        <v>0</v>
      </c>
      <c r="D1131">
        <f>'906MP'!P831</f>
        <v>0</v>
      </c>
      <c r="E1131">
        <f>'906MP'!X831</f>
        <v>0</v>
      </c>
      <c r="F1131" t="str">
        <f t="shared" si="333"/>
        <v>0</v>
      </c>
      <c r="G1131" t="str">
        <f t="shared" si="334"/>
        <v>0</v>
      </c>
      <c r="H1131">
        <f>'906MP'!Y831</f>
        <v>0</v>
      </c>
      <c r="I1131">
        <f>'906MP'!AK831</f>
        <v>0</v>
      </c>
      <c r="J1131">
        <f>'906MP'!T831</f>
        <v>0</v>
      </c>
      <c r="K1131">
        <f>'906MP'!AJ831</f>
        <v>0</v>
      </c>
      <c r="L1131">
        <f>'906MP'!U831</f>
        <v>0</v>
      </c>
      <c r="M1131" s="322" t="str">
        <f>IFERROR(VLOOKUP(A1131,PAR!$D$3:$E$53,2,FALSE),"nincs szervezet")</f>
        <v>nincs szervezet</v>
      </c>
      <c r="N1131" s="322" t="str">
        <f>VLOOKUP(F1131,PAR!$R$3:$S$5,2,FALSE)</f>
        <v>3 - egyik sem</v>
      </c>
      <c r="O1131" t="str">
        <f>IFERROR(VLOOKUP(J1131,PAR!$O$3:$P$5,2,FALSE),"nincs feladat")</f>
        <v>nincs feladat</v>
      </c>
      <c r="P1131" t="str">
        <f>IFERROR(VLOOKUP(G1131,PAR!$J$2:$M$19,4),"nincs rovat")</f>
        <v>nincs rovat</v>
      </c>
      <c r="Q1131" t="str">
        <f>IF(H1131&gt;0,VLOOKUP(H1131,PAR!$AA$3:$AC$187,3,FALSE),"nincs főkönyvi számla")</f>
        <v>nincs főkönyvi számla</v>
      </c>
      <c r="R1131" t="str">
        <f>IFERROR(VLOOKUP(K1131,PAR!$V$3:$X$438,3,FALSE),"000000 - Nincs COFOG")</f>
        <v>000000 - Nincs COFOG</v>
      </c>
      <c r="S1131">
        <f t="shared" si="335"/>
        <v>0</v>
      </c>
      <c r="T1131">
        <f t="shared" si="336"/>
        <v>0</v>
      </c>
      <c r="U1131" t="str">
        <f>IF('906MP'!J831&gt;0,CONCATENATE('906MP'!J831," - ",'906MP'!P831,", ",'906MP'!E831),"nincs megjegyzés")</f>
        <v>nincs megjegyzés</v>
      </c>
      <c r="V1131" t="str">
        <f t="shared" si="323"/>
        <v>0P0</v>
      </c>
      <c r="W1131" t="str">
        <f t="shared" si="324"/>
        <v>0P0</v>
      </c>
      <c r="X1131" t="str">
        <f t="shared" si="325"/>
        <v>P0</v>
      </c>
      <c r="Y1131" t="str">
        <f t="shared" si="326"/>
        <v>00</v>
      </c>
      <c r="Z1131" t="str">
        <f t="shared" si="337"/>
        <v>00</v>
      </c>
      <c r="AA1131" t="str">
        <f t="shared" si="327"/>
        <v>00</v>
      </c>
      <c r="AB1131" t="str">
        <f t="shared" si="328"/>
        <v>00</v>
      </c>
      <c r="AC1131" t="str">
        <f t="shared" si="329"/>
        <v>0P0</v>
      </c>
      <c r="AD1131" t="str">
        <f t="shared" si="330"/>
        <v>P00</v>
      </c>
      <c r="AE1131" t="str">
        <f t="shared" si="331"/>
        <v>0P0</v>
      </c>
      <c r="AF1131" t="str">
        <f t="shared" si="332"/>
        <v>P00</v>
      </c>
      <c r="AG1131" t="str">
        <f t="shared" si="338"/>
        <v>0P00</v>
      </c>
      <c r="AH1131" t="str">
        <f t="shared" si="339"/>
        <v>P000</v>
      </c>
      <c r="AI1131" t="str">
        <f t="shared" si="340"/>
        <v>0P00</v>
      </c>
      <c r="AJ1131" t="str">
        <f t="shared" si="341"/>
        <v>P000</v>
      </c>
    </row>
    <row r="1132" spans="1:36" x14ac:dyDescent="0.25">
      <c r="A1132" s="325" t="str">
        <f>CONCATENATE("P",'906MP'!M832)</f>
        <v>P</v>
      </c>
      <c r="B1132">
        <f>'906MP'!H832</f>
        <v>0</v>
      </c>
      <c r="C1132">
        <f>'906MP'!J832</f>
        <v>0</v>
      </c>
      <c r="D1132">
        <f>'906MP'!P832</f>
        <v>0</v>
      </c>
      <c r="E1132">
        <f>'906MP'!X832</f>
        <v>0</v>
      </c>
      <c r="F1132" t="str">
        <f t="shared" si="333"/>
        <v>0</v>
      </c>
      <c r="G1132" t="str">
        <f t="shared" si="334"/>
        <v>0</v>
      </c>
      <c r="H1132">
        <f>'906MP'!Y832</f>
        <v>0</v>
      </c>
      <c r="I1132">
        <f>'906MP'!AK832</f>
        <v>0</v>
      </c>
      <c r="J1132">
        <f>'906MP'!T832</f>
        <v>0</v>
      </c>
      <c r="K1132">
        <f>'906MP'!AJ832</f>
        <v>0</v>
      </c>
      <c r="L1132">
        <f>'906MP'!U832</f>
        <v>0</v>
      </c>
      <c r="M1132" s="322" t="str">
        <f>IFERROR(VLOOKUP(A1132,PAR!$D$3:$E$53,2,FALSE),"nincs szervezet")</f>
        <v>nincs szervezet</v>
      </c>
      <c r="N1132" s="322" t="str">
        <f>VLOOKUP(F1132,PAR!$R$3:$S$5,2,FALSE)</f>
        <v>3 - egyik sem</v>
      </c>
      <c r="O1132" t="str">
        <f>IFERROR(VLOOKUP(J1132,PAR!$O$3:$P$5,2,FALSE),"nincs feladat")</f>
        <v>nincs feladat</v>
      </c>
      <c r="P1132" t="str">
        <f>IFERROR(VLOOKUP(G1132,PAR!$J$2:$M$19,4),"nincs rovat")</f>
        <v>nincs rovat</v>
      </c>
      <c r="Q1132" t="str">
        <f>IF(H1132&gt;0,VLOOKUP(H1132,PAR!$AA$3:$AC$187,3,FALSE),"nincs főkönyvi számla")</f>
        <v>nincs főkönyvi számla</v>
      </c>
      <c r="R1132" t="str">
        <f>IFERROR(VLOOKUP(K1132,PAR!$V$3:$X$438,3,FALSE),"000000 - Nincs COFOG")</f>
        <v>000000 - Nincs COFOG</v>
      </c>
      <c r="S1132">
        <f t="shared" si="335"/>
        <v>0</v>
      </c>
      <c r="T1132">
        <f t="shared" si="336"/>
        <v>0</v>
      </c>
      <c r="U1132" t="str">
        <f>IF('906MP'!J832&gt;0,CONCATENATE('906MP'!J832," - ",'906MP'!P832,", ",'906MP'!E832),"nincs megjegyzés")</f>
        <v>nincs megjegyzés</v>
      </c>
      <c r="V1132" t="str">
        <f t="shared" si="323"/>
        <v>0P0</v>
      </c>
      <c r="W1132" t="str">
        <f t="shared" si="324"/>
        <v>0P0</v>
      </c>
      <c r="X1132" t="str">
        <f t="shared" si="325"/>
        <v>P0</v>
      </c>
      <c r="Y1132" t="str">
        <f t="shared" si="326"/>
        <v>00</v>
      </c>
      <c r="Z1132" t="str">
        <f t="shared" si="337"/>
        <v>00</v>
      </c>
      <c r="AA1132" t="str">
        <f t="shared" si="327"/>
        <v>00</v>
      </c>
      <c r="AB1132" t="str">
        <f t="shared" si="328"/>
        <v>00</v>
      </c>
      <c r="AC1132" t="str">
        <f t="shared" si="329"/>
        <v>0P0</v>
      </c>
      <c r="AD1132" t="str">
        <f t="shared" si="330"/>
        <v>P00</v>
      </c>
      <c r="AE1132" t="str">
        <f t="shared" si="331"/>
        <v>0P0</v>
      </c>
      <c r="AF1132" t="str">
        <f t="shared" si="332"/>
        <v>P00</v>
      </c>
      <c r="AG1132" t="str">
        <f t="shared" si="338"/>
        <v>0P00</v>
      </c>
      <c r="AH1132" t="str">
        <f t="shared" si="339"/>
        <v>P000</v>
      </c>
      <c r="AI1132" t="str">
        <f t="shared" si="340"/>
        <v>0P00</v>
      </c>
      <c r="AJ1132" t="str">
        <f t="shared" si="341"/>
        <v>P000</v>
      </c>
    </row>
    <row r="1133" spans="1:36" x14ac:dyDescent="0.25">
      <c r="A1133" s="325" t="str">
        <f>CONCATENATE("P",'906MP'!M833)</f>
        <v>P</v>
      </c>
      <c r="B1133">
        <f>'906MP'!H833</f>
        <v>0</v>
      </c>
      <c r="C1133">
        <f>'906MP'!J833</f>
        <v>0</v>
      </c>
      <c r="D1133">
        <f>'906MP'!P833</f>
        <v>0</v>
      </c>
      <c r="E1133">
        <f>'906MP'!X833</f>
        <v>0</v>
      </c>
      <c r="F1133" t="str">
        <f t="shared" si="333"/>
        <v>0</v>
      </c>
      <c r="G1133" t="str">
        <f t="shared" si="334"/>
        <v>0</v>
      </c>
      <c r="H1133">
        <f>'906MP'!Y833</f>
        <v>0</v>
      </c>
      <c r="I1133">
        <f>'906MP'!AK833</f>
        <v>0</v>
      </c>
      <c r="J1133">
        <f>'906MP'!T833</f>
        <v>0</v>
      </c>
      <c r="K1133">
        <f>'906MP'!AJ833</f>
        <v>0</v>
      </c>
      <c r="L1133">
        <f>'906MP'!U833</f>
        <v>0</v>
      </c>
      <c r="M1133" s="322" t="str">
        <f>IFERROR(VLOOKUP(A1133,PAR!$D$3:$E$53,2,FALSE),"nincs szervezet")</f>
        <v>nincs szervezet</v>
      </c>
      <c r="N1133" s="322" t="str">
        <f>VLOOKUP(F1133,PAR!$R$3:$S$5,2,FALSE)</f>
        <v>3 - egyik sem</v>
      </c>
      <c r="O1133" t="str">
        <f>IFERROR(VLOOKUP(J1133,PAR!$O$3:$P$5,2,FALSE),"nincs feladat")</f>
        <v>nincs feladat</v>
      </c>
      <c r="P1133" t="str">
        <f>IFERROR(VLOOKUP(G1133,PAR!$J$2:$M$19,4),"nincs rovat")</f>
        <v>nincs rovat</v>
      </c>
      <c r="Q1133" t="str">
        <f>IF(H1133&gt;0,VLOOKUP(H1133,PAR!$AA$3:$AC$187,3,FALSE),"nincs főkönyvi számla")</f>
        <v>nincs főkönyvi számla</v>
      </c>
      <c r="R1133" t="str">
        <f>IFERROR(VLOOKUP(K1133,PAR!$V$3:$X$438,3,FALSE),"000000 - Nincs COFOG")</f>
        <v>000000 - Nincs COFOG</v>
      </c>
      <c r="S1133">
        <f t="shared" si="335"/>
        <v>0</v>
      </c>
      <c r="T1133">
        <f t="shared" si="336"/>
        <v>0</v>
      </c>
      <c r="U1133" t="str">
        <f>IF('906MP'!J833&gt;0,CONCATENATE('906MP'!J833," - ",'906MP'!P833,", ",'906MP'!E833),"nincs megjegyzés")</f>
        <v>nincs megjegyzés</v>
      </c>
      <c r="V1133" t="str">
        <f t="shared" si="323"/>
        <v>0P0</v>
      </c>
      <c r="W1133" t="str">
        <f t="shared" si="324"/>
        <v>0P0</v>
      </c>
      <c r="X1133" t="str">
        <f t="shared" si="325"/>
        <v>P0</v>
      </c>
      <c r="Y1133" t="str">
        <f t="shared" si="326"/>
        <v>00</v>
      </c>
      <c r="Z1133" t="str">
        <f t="shared" si="337"/>
        <v>00</v>
      </c>
      <c r="AA1133" t="str">
        <f t="shared" si="327"/>
        <v>00</v>
      </c>
      <c r="AB1133" t="str">
        <f t="shared" si="328"/>
        <v>00</v>
      </c>
      <c r="AC1133" t="str">
        <f t="shared" si="329"/>
        <v>0P0</v>
      </c>
      <c r="AD1133" t="str">
        <f t="shared" si="330"/>
        <v>P00</v>
      </c>
      <c r="AE1133" t="str">
        <f t="shared" si="331"/>
        <v>0P0</v>
      </c>
      <c r="AF1133" t="str">
        <f t="shared" si="332"/>
        <v>P00</v>
      </c>
      <c r="AG1133" t="str">
        <f t="shared" si="338"/>
        <v>0P00</v>
      </c>
      <c r="AH1133" t="str">
        <f t="shared" si="339"/>
        <v>P000</v>
      </c>
      <c r="AI1133" t="str">
        <f t="shared" si="340"/>
        <v>0P00</v>
      </c>
      <c r="AJ1133" t="str">
        <f t="shared" si="341"/>
        <v>P000</v>
      </c>
    </row>
    <row r="1134" spans="1:36" x14ac:dyDescent="0.25">
      <c r="A1134" s="325" t="str">
        <f>CONCATENATE("P",'906MP'!M834)</f>
        <v>P</v>
      </c>
      <c r="B1134">
        <f>'906MP'!H834</f>
        <v>0</v>
      </c>
      <c r="C1134">
        <f>'906MP'!J834</f>
        <v>0</v>
      </c>
      <c r="D1134">
        <f>'906MP'!P834</f>
        <v>0</v>
      </c>
      <c r="E1134">
        <f>'906MP'!X834</f>
        <v>0</v>
      </c>
      <c r="F1134" t="str">
        <f t="shared" si="333"/>
        <v>0</v>
      </c>
      <c r="G1134" t="str">
        <f t="shared" si="334"/>
        <v>0</v>
      </c>
      <c r="H1134">
        <f>'906MP'!Y834</f>
        <v>0</v>
      </c>
      <c r="I1134">
        <f>'906MP'!AK834</f>
        <v>0</v>
      </c>
      <c r="J1134">
        <f>'906MP'!T834</f>
        <v>0</v>
      </c>
      <c r="K1134">
        <f>'906MP'!AJ834</f>
        <v>0</v>
      </c>
      <c r="L1134">
        <f>'906MP'!U834</f>
        <v>0</v>
      </c>
      <c r="M1134" s="322" t="str">
        <f>IFERROR(VLOOKUP(A1134,PAR!$D$3:$E$53,2,FALSE),"nincs szervezet")</f>
        <v>nincs szervezet</v>
      </c>
      <c r="N1134" s="322" t="str">
        <f>VLOOKUP(F1134,PAR!$R$3:$S$5,2,FALSE)</f>
        <v>3 - egyik sem</v>
      </c>
      <c r="O1134" t="str">
        <f>IFERROR(VLOOKUP(J1134,PAR!$O$3:$P$5,2,FALSE),"nincs feladat")</f>
        <v>nincs feladat</v>
      </c>
      <c r="P1134" t="str">
        <f>IFERROR(VLOOKUP(G1134,PAR!$J$2:$M$19,4),"nincs rovat")</f>
        <v>nincs rovat</v>
      </c>
      <c r="Q1134" t="str">
        <f>IF(H1134&gt;0,VLOOKUP(H1134,PAR!$AA$3:$AC$187,3,FALSE),"nincs főkönyvi számla")</f>
        <v>nincs főkönyvi számla</v>
      </c>
      <c r="R1134" t="str">
        <f>IFERROR(VLOOKUP(K1134,PAR!$V$3:$X$438,3,FALSE),"000000 - Nincs COFOG")</f>
        <v>000000 - Nincs COFOG</v>
      </c>
      <c r="S1134">
        <f t="shared" si="335"/>
        <v>0</v>
      </c>
      <c r="T1134">
        <f t="shared" si="336"/>
        <v>0</v>
      </c>
      <c r="U1134" t="str">
        <f>IF('906MP'!J834&gt;0,CONCATENATE('906MP'!J834," - ",'906MP'!P834,", ",'906MP'!E834),"nincs megjegyzés")</f>
        <v>nincs megjegyzés</v>
      </c>
      <c r="V1134" t="str">
        <f t="shared" si="323"/>
        <v>0P0</v>
      </c>
      <c r="W1134" t="str">
        <f t="shared" si="324"/>
        <v>0P0</v>
      </c>
      <c r="X1134" t="str">
        <f t="shared" si="325"/>
        <v>P0</v>
      </c>
      <c r="Y1134" t="str">
        <f t="shared" si="326"/>
        <v>00</v>
      </c>
      <c r="Z1134" t="str">
        <f t="shared" si="337"/>
        <v>00</v>
      </c>
      <c r="AA1134" t="str">
        <f t="shared" si="327"/>
        <v>00</v>
      </c>
      <c r="AB1134" t="str">
        <f t="shared" si="328"/>
        <v>00</v>
      </c>
      <c r="AC1134" t="str">
        <f t="shared" si="329"/>
        <v>0P0</v>
      </c>
      <c r="AD1134" t="str">
        <f t="shared" si="330"/>
        <v>P00</v>
      </c>
      <c r="AE1134" t="str">
        <f t="shared" si="331"/>
        <v>0P0</v>
      </c>
      <c r="AF1134" t="str">
        <f t="shared" si="332"/>
        <v>P00</v>
      </c>
      <c r="AG1134" t="str">
        <f t="shared" si="338"/>
        <v>0P00</v>
      </c>
      <c r="AH1134" t="str">
        <f t="shared" si="339"/>
        <v>P000</v>
      </c>
      <c r="AI1134" t="str">
        <f t="shared" si="340"/>
        <v>0P00</v>
      </c>
      <c r="AJ1134" t="str">
        <f t="shared" si="341"/>
        <v>P000</v>
      </c>
    </row>
    <row r="1135" spans="1:36" x14ac:dyDescent="0.25">
      <c r="A1135" s="325" t="str">
        <f>CONCATENATE("P",'906MP'!M835)</f>
        <v>P</v>
      </c>
      <c r="B1135">
        <f>'906MP'!H835</f>
        <v>0</v>
      </c>
      <c r="C1135">
        <f>'906MP'!J835</f>
        <v>0</v>
      </c>
      <c r="D1135">
        <f>'906MP'!P835</f>
        <v>0</v>
      </c>
      <c r="E1135">
        <f>'906MP'!X835</f>
        <v>0</v>
      </c>
      <c r="F1135" t="str">
        <f t="shared" si="333"/>
        <v>0</v>
      </c>
      <c r="G1135" t="str">
        <f t="shared" si="334"/>
        <v>0</v>
      </c>
      <c r="H1135">
        <f>'906MP'!Y835</f>
        <v>0</v>
      </c>
      <c r="I1135">
        <f>'906MP'!AK835</f>
        <v>0</v>
      </c>
      <c r="J1135">
        <f>'906MP'!T835</f>
        <v>0</v>
      </c>
      <c r="K1135">
        <f>'906MP'!AJ835</f>
        <v>0</v>
      </c>
      <c r="L1135">
        <f>'906MP'!U835</f>
        <v>0</v>
      </c>
      <c r="M1135" s="322" t="str">
        <f>IFERROR(VLOOKUP(A1135,PAR!$D$3:$E$53,2,FALSE),"nincs szervezet")</f>
        <v>nincs szervezet</v>
      </c>
      <c r="N1135" s="322" t="str">
        <f>VLOOKUP(F1135,PAR!$R$3:$S$5,2,FALSE)</f>
        <v>3 - egyik sem</v>
      </c>
      <c r="O1135" t="str">
        <f>IFERROR(VLOOKUP(J1135,PAR!$O$3:$P$5,2,FALSE),"nincs feladat")</f>
        <v>nincs feladat</v>
      </c>
      <c r="P1135" t="str">
        <f>IFERROR(VLOOKUP(G1135,PAR!$J$2:$M$19,4),"nincs rovat")</f>
        <v>nincs rovat</v>
      </c>
      <c r="Q1135" t="str">
        <f>IF(H1135&gt;0,VLOOKUP(H1135,PAR!$AA$3:$AC$187,3,FALSE),"nincs főkönyvi számla")</f>
        <v>nincs főkönyvi számla</v>
      </c>
      <c r="R1135" t="str">
        <f>IFERROR(VLOOKUP(K1135,PAR!$V$3:$X$438,3,FALSE),"000000 - Nincs COFOG")</f>
        <v>000000 - Nincs COFOG</v>
      </c>
      <c r="S1135">
        <f t="shared" si="335"/>
        <v>0</v>
      </c>
      <c r="T1135">
        <f t="shared" si="336"/>
        <v>0</v>
      </c>
      <c r="U1135" t="str">
        <f>IF('906MP'!J835&gt;0,CONCATENATE('906MP'!J835," - ",'906MP'!P835,", ",'906MP'!E835),"nincs megjegyzés")</f>
        <v>nincs megjegyzés</v>
      </c>
      <c r="V1135" t="str">
        <f t="shared" si="323"/>
        <v>0P0</v>
      </c>
      <c r="W1135" t="str">
        <f t="shared" si="324"/>
        <v>0P0</v>
      </c>
      <c r="X1135" t="str">
        <f t="shared" si="325"/>
        <v>P0</v>
      </c>
      <c r="Y1135" t="str">
        <f t="shared" si="326"/>
        <v>00</v>
      </c>
      <c r="Z1135" t="str">
        <f t="shared" si="337"/>
        <v>00</v>
      </c>
      <c r="AA1135" t="str">
        <f t="shared" si="327"/>
        <v>00</v>
      </c>
      <c r="AB1135" t="str">
        <f t="shared" si="328"/>
        <v>00</v>
      </c>
      <c r="AC1135" t="str">
        <f t="shared" si="329"/>
        <v>0P0</v>
      </c>
      <c r="AD1135" t="str">
        <f t="shared" si="330"/>
        <v>P00</v>
      </c>
      <c r="AE1135" t="str">
        <f t="shared" si="331"/>
        <v>0P0</v>
      </c>
      <c r="AF1135" t="str">
        <f t="shared" si="332"/>
        <v>P00</v>
      </c>
      <c r="AG1135" t="str">
        <f t="shared" si="338"/>
        <v>0P00</v>
      </c>
      <c r="AH1135" t="str">
        <f t="shared" si="339"/>
        <v>P000</v>
      </c>
      <c r="AI1135" t="str">
        <f t="shared" si="340"/>
        <v>0P00</v>
      </c>
      <c r="AJ1135" t="str">
        <f t="shared" si="341"/>
        <v>P000</v>
      </c>
    </row>
    <row r="1136" spans="1:36" x14ac:dyDescent="0.25">
      <c r="A1136" s="325" t="str">
        <f>CONCATENATE("P",'906MP'!M836)</f>
        <v>P</v>
      </c>
      <c r="B1136">
        <f>'906MP'!H836</f>
        <v>0</v>
      </c>
      <c r="C1136">
        <f>'906MP'!J836</f>
        <v>0</v>
      </c>
      <c r="D1136">
        <f>'906MP'!P836</f>
        <v>0</v>
      </c>
      <c r="E1136">
        <f>'906MP'!X836</f>
        <v>0</v>
      </c>
      <c r="F1136" t="str">
        <f t="shared" si="333"/>
        <v>0</v>
      </c>
      <c r="G1136" t="str">
        <f t="shared" si="334"/>
        <v>0</v>
      </c>
      <c r="H1136">
        <f>'906MP'!Y836</f>
        <v>0</v>
      </c>
      <c r="I1136">
        <f>'906MP'!AK836</f>
        <v>0</v>
      </c>
      <c r="J1136">
        <f>'906MP'!T836</f>
        <v>0</v>
      </c>
      <c r="K1136">
        <f>'906MP'!AJ836</f>
        <v>0</v>
      </c>
      <c r="L1136">
        <f>'906MP'!U836</f>
        <v>0</v>
      </c>
      <c r="M1136" s="322" t="str">
        <f>IFERROR(VLOOKUP(A1136,PAR!$D$3:$E$53,2,FALSE),"nincs szervezet")</f>
        <v>nincs szervezet</v>
      </c>
      <c r="N1136" s="322" t="str">
        <f>VLOOKUP(F1136,PAR!$R$3:$S$5,2,FALSE)</f>
        <v>3 - egyik sem</v>
      </c>
      <c r="O1136" t="str">
        <f>IFERROR(VLOOKUP(J1136,PAR!$O$3:$P$5,2,FALSE),"nincs feladat")</f>
        <v>nincs feladat</v>
      </c>
      <c r="P1136" t="str">
        <f>IFERROR(VLOOKUP(G1136,PAR!$J$2:$M$19,4),"nincs rovat")</f>
        <v>nincs rovat</v>
      </c>
      <c r="Q1136" t="str">
        <f>IF(H1136&gt;0,VLOOKUP(H1136,PAR!$AA$3:$AC$187,3,FALSE),"nincs főkönyvi számla")</f>
        <v>nincs főkönyvi számla</v>
      </c>
      <c r="R1136" t="str">
        <f>IFERROR(VLOOKUP(K1136,PAR!$V$3:$X$438,3,FALSE),"000000 - Nincs COFOG")</f>
        <v>000000 - Nincs COFOG</v>
      </c>
      <c r="S1136">
        <f t="shared" si="335"/>
        <v>0</v>
      </c>
      <c r="T1136">
        <f t="shared" si="336"/>
        <v>0</v>
      </c>
      <c r="U1136" t="str">
        <f>IF('906MP'!J836&gt;0,CONCATENATE('906MP'!J836," - ",'906MP'!P836,", ",'906MP'!E836),"nincs megjegyzés")</f>
        <v>nincs megjegyzés</v>
      </c>
      <c r="V1136" t="str">
        <f t="shared" si="323"/>
        <v>0P0</v>
      </c>
      <c r="W1136" t="str">
        <f t="shared" si="324"/>
        <v>0P0</v>
      </c>
      <c r="X1136" t="str">
        <f t="shared" si="325"/>
        <v>P0</v>
      </c>
      <c r="Y1136" t="str">
        <f t="shared" si="326"/>
        <v>00</v>
      </c>
      <c r="Z1136" t="str">
        <f t="shared" si="337"/>
        <v>00</v>
      </c>
      <c r="AA1136" t="str">
        <f t="shared" si="327"/>
        <v>00</v>
      </c>
      <c r="AB1136" t="str">
        <f t="shared" si="328"/>
        <v>00</v>
      </c>
      <c r="AC1136" t="str">
        <f t="shared" si="329"/>
        <v>0P0</v>
      </c>
      <c r="AD1136" t="str">
        <f t="shared" si="330"/>
        <v>P00</v>
      </c>
      <c r="AE1136" t="str">
        <f t="shared" si="331"/>
        <v>0P0</v>
      </c>
      <c r="AF1136" t="str">
        <f t="shared" si="332"/>
        <v>P00</v>
      </c>
      <c r="AG1136" t="str">
        <f t="shared" si="338"/>
        <v>0P00</v>
      </c>
      <c r="AH1136" t="str">
        <f t="shared" si="339"/>
        <v>P000</v>
      </c>
      <c r="AI1136" t="str">
        <f t="shared" si="340"/>
        <v>0P00</v>
      </c>
      <c r="AJ1136" t="str">
        <f t="shared" si="341"/>
        <v>P000</v>
      </c>
    </row>
    <row r="1137" spans="1:36" x14ac:dyDescent="0.25">
      <c r="A1137" s="325" t="str">
        <f>CONCATENATE("P",'906MP'!M837)</f>
        <v>P</v>
      </c>
      <c r="B1137">
        <f>'906MP'!H837</f>
        <v>0</v>
      </c>
      <c r="C1137">
        <f>'906MP'!J837</f>
        <v>0</v>
      </c>
      <c r="D1137">
        <f>'906MP'!P837</f>
        <v>0</v>
      </c>
      <c r="E1137">
        <f>'906MP'!X837</f>
        <v>0</v>
      </c>
      <c r="F1137" t="str">
        <f t="shared" si="333"/>
        <v>0</v>
      </c>
      <c r="G1137" t="str">
        <f t="shared" si="334"/>
        <v>0</v>
      </c>
      <c r="H1137">
        <f>'906MP'!Y837</f>
        <v>0</v>
      </c>
      <c r="I1137">
        <f>'906MP'!AK837</f>
        <v>0</v>
      </c>
      <c r="J1137">
        <f>'906MP'!T837</f>
        <v>0</v>
      </c>
      <c r="K1137">
        <f>'906MP'!AJ837</f>
        <v>0</v>
      </c>
      <c r="L1137">
        <f>'906MP'!U837</f>
        <v>0</v>
      </c>
      <c r="M1137" s="322" t="str">
        <f>IFERROR(VLOOKUP(A1137,PAR!$D$3:$E$53,2,FALSE),"nincs szervezet")</f>
        <v>nincs szervezet</v>
      </c>
      <c r="N1137" s="322" t="str">
        <f>VLOOKUP(F1137,PAR!$R$3:$S$5,2,FALSE)</f>
        <v>3 - egyik sem</v>
      </c>
      <c r="O1137" t="str">
        <f>IFERROR(VLOOKUP(J1137,PAR!$O$3:$P$5,2,FALSE),"nincs feladat")</f>
        <v>nincs feladat</v>
      </c>
      <c r="P1137" t="str">
        <f>IFERROR(VLOOKUP(G1137,PAR!$J$2:$M$19,4),"nincs rovat")</f>
        <v>nincs rovat</v>
      </c>
      <c r="Q1137" t="str">
        <f>IF(H1137&gt;0,VLOOKUP(H1137,PAR!$AA$3:$AC$187,3,FALSE),"nincs főkönyvi számla")</f>
        <v>nincs főkönyvi számla</v>
      </c>
      <c r="R1137" t="str">
        <f>IFERROR(VLOOKUP(K1137,PAR!$V$3:$X$438,3,FALSE),"000000 - Nincs COFOG")</f>
        <v>000000 - Nincs COFOG</v>
      </c>
      <c r="S1137">
        <f t="shared" si="335"/>
        <v>0</v>
      </c>
      <c r="T1137">
        <f t="shared" si="336"/>
        <v>0</v>
      </c>
      <c r="U1137" t="str">
        <f>IF('906MP'!J837&gt;0,CONCATENATE('906MP'!J837," - ",'906MP'!P837,", ",'906MP'!E837),"nincs megjegyzés")</f>
        <v>nincs megjegyzés</v>
      </c>
      <c r="V1137" t="str">
        <f t="shared" si="323"/>
        <v>0P0</v>
      </c>
      <c r="W1137" t="str">
        <f t="shared" si="324"/>
        <v>0P0</v>
      </c>
      <c r="X1137" t="str">
        <f t="shared" si="325"/>
        <v>P0</v>
      </c>
      <c r="Y1137" t="str">
        <f t="shared" si="326"/>
        <v>00</v>
      </c>
      <c r="Z1137" t="str">
        <f t="shared" si="337"/>
        <v>00</v>
      </c>
      <c r="AA1137" t="str">
        <f t="shared" si="327"/>
        <v>00</v>
      </c>
      <c r="AB1137" t="str">
        <f t="shared" si="328"/>
        <v>00</v>
      </c>
      <c r="AC1137" t="str">
        <f t="shared" si="329"/>
        <v>0P0</v>
      </c>
      <c r="AD1137" t="str">
        <f t="shared" si="330"/>
        <v>P00</v>
      </c>
      <c r="AE1137" t="str">
        <f t="shared" si="331"/>
        <v>0P0</v>
      </c>
      <c r="AF1137" t="str">
        <f t="shared" si="332"/>
        <v>P00</v>
      </c>
      <c r="AG1137" t="str">
        <f t="shared" si="338"/>
        <v>0P00</v>
      </c>
      <c r="AH1137" t="str">
        <f t="shared" si="339"/>
        <v>P000</v>
      </c>
      <c r="AI1137" t="str">
        <f t="shared" si="340"/>
        <v>0P00</v>
      </c>
      <c r="AJ1137" t="str">
        <f t="shared" si="341"/>
        <v>P000</v>
      </c>
    </row>
    <row r="1138" spans="1:36" x14ac:dyDescent="0.25">
      <c r="A1138" s="325" t="str">
        <f>CONCATENATE("P",'906MP'!M838)</f>
        <v>P</v>
      </c>
      <c r="B1138">
        <f>'906MP'!H838</f>
        <v>0</v>
      </c>
      <c r="C1138">
        <f>'906MP'!J838</f>
        <v>0</v>
      </c>
      <c r="D1138">
        <f>'906MP'!P838</f>
        <v>0</v>
      </c>
      <c r="E1138">
        <f>'906MP'!X838</f>
        <v>0</v>
      </c>
      <c r="F1138" t="str">
        <f t="shared" si="333"/>
        <v>0</v>
      </c>
      <c r="G1138" t="str">
        <f t="shared" si="334"/>
        <v>0</v>
      </c>
      <c r="H1138">
        <f>'906MP'!Y838</f>
        <v>0</v>
      </c>
      <c r="I1138">
        <f>'906MP'!AK838</f>
        <v>0</v>
      </c>
      <c r="J1138">
        <f>'906MP'!T838</f>
        <v>0</v>
      </c>
      <c r="K1138">
        <f>'906MP'!AJ838</f>
        <v>0</v>
      </c>
      <c r="L1138">
        <f>'906MP'!U838</f>
        <v>0</v>
      </c>
      <c r="M1138" s="322" t="str">
        <f>IFERROR(VLOOKUP(A1138,PAR!$D$3:$E$53,2,FALSE),"nincs szervezet")</f>
        <v>nincs szervezet</v>
      </c>
      <c r="N1138" s="322" t="str">
        <f>VLOOKUP(F1138,PAR!$R$3:$S$5,2,FALSE)</f>
        <v>3 - egyik sem</v>
      </c>
      <c r="O1138" t="str">
        <f>IFERROR(VLOOKUP(J1138,PAR!$O$3:$P$5,2,FALSE),"nincs feladat")</f>
        <v>nincs feladat</v>
      </c>
      <c r="P1138" t="str">
        <f>IFERROR(VLOOKUP(G1138,PAR!$J$2:$M$19,4),"nincs rovat")</f>
        <v>nincs rovat</v>
      </c>
      <c r="Q1138" t="str">
        <f>IF(H1138&gt;0,VLOOKUP(H1138,PAR!$AA$3:$AC$187,3,FALSE),"nincs főkönyvi számla")</f>
        <v>nincs főkönyvi számla</v>
      </c>
      <c r="R1138" t="str">
        <f>IFERROR(VLOOKUP(K1138,PAR!$V$3:$X$438,3,FALSE),"000000 - Nincs COFOG")</f>
        <v>000000 - Nincs COFOG</v>
      </c>
      <c r="S1138">
        <f t="shared" si="335"/>
        <v>0</v>
      </c>
      <c r="T1138">
        <f t="shared" si="336"/>
        <v>0</v>
      </c>
      <c r="U1138" t="str">
        <f>IF('906MP'!J838&gt;0,CONCATENATE('906MP'!J838," - ",'906MP'!P838,", ",'906MP'!E838),"nincs megjegyzés")</f>
        <v>nincs megjegyzés</v>
      </c>
      <c r="V1138" t="str">
        <f t="shared" si="323"/>
        <v>0P0</v>
      </c>
      <c r="W1138" t="str">
        <f t="shared" si="324"/>
        <v>0P0</v>
      </c>
      <c r="X1138" t="str">
        <f t="shared" si="325"/>
        <v>P0</v>
      </c>
      <c r="Y1138" t="str">
        <f t="shared" si="326"/>
        <v>00</v>
      </c>
      <c r="Z1138" t="str">
        <f t="shared" si="337"/>
        <v>00</v>
      </c>
      <c r="AA1138" t="str">
        <f t="shared" si="327"/>
        <v>00</v>
      </c>
      <c r="AB1138" t="str">
        <f t="shared" si="328"/>
        <v>00</v>
      </c>
      <c r="AC1138" t="str">
        <f t="shared" si="329"/>
        <v>0P0</v>
      </c>
      <c r="AD1138" t="str">
        <f t="shared" si="330"/>
        <v>P00</v>
      </c>
      <c r="AE1138" t="str">
        <f t="shared" si="331"/>
        <v>0P0</v>
      </c>
      <c r="AF1138" t="str">
        <f t="shared" si="332"/>
        <v>P00</v>
      </c>
      <c r="AG1138" t="str">
        <f t="shared" si="338"/>
        <v>0P00</v>
      </c>
      <c r="AH1138" t="str">
        <f t="shared" si="339"/>
        <v>P000</v>
      </c>
      <c r="AI1138" t="str">
        <f t="shared" si="340"/>
        <v>0P00</v>
      </c>
      <c r="AJ1138" t="str">
        <f t="shared" si="341"/>
        <v>P000</v>
      </c>
    </row>
    <row r="1139" spans="1:36" x14ac:dyDescent="0.25">
      <c r="A1139" s="325" t="str">
        <f>CONCATENATE("P",'906MP'!M839)</f>
        <v>P</v>
      </c>
      <c r="B1139">
        <f>'906MP'!H839</f>
        <v>0</v>
      </c>
      <c r="C1139">
        <f>'906MP'!J839</f>
        <v>0</v>
      </c>
      <c r="D1139">
        <f>'906MP'!P839</f>
        <v>0</v>
      </c>
      <c r="E1139">
        <f>'906MP'!X839</f>
        <v>0</v>
      </c>
      <c r="F1139" t="str">
        <f t="shared" si="333"/>
        <v>0</v>
      </c>
      <c r="G1139" t="str">
        <f t="shared" si="334"/>
        <v>0</v>
      </c>
      <c r="H1139">
        <f>'906MP'!Y839</f>
        <v>0</v>
      </c>
      <c r="I1139">
        <f>'906MP'!AK839</f>
        <v>0</v>
      </c>
      <c r="J1139">
        <f>'906MP'!T839</f>
        <v>0</v>
      </c>
      <c r="K1139">
        <f>'906MP'!AJ839</f>
        <v>0</v>
      </c>
      <c r="L1139">
        <f>'906MP'!U839</f>
        <v>0</v>
      </c>
      <c r="M1139" s="322" t="str">
        <f>IFERROR(VLOOKUP(A1139,PAR!$D$3:$E$53,2,FALSE),"nincs szervezet")</f>
        <v>nincs szervezet</v>
      </c>
      <c r="N1139" s="322" t="str">
        <f>VLOOKUP(F1139,PAR!$R$3:$S$5,2,FALSE)</f>
        <v>3 - egyik sem</v>
      </c>
      <c r="O1139" t="str">
        <f>IFERROR(VLOOKUP(J1139,PAR!$O$3:$P$5,2,FALSE),"nincs feladat")</f>
        <v>nincs feladat</v>
      </c>
      <c r="P1139" t="str">
        <f>IFERROR(VLOOKUP(G1139,PAR!$J$2:$M$19,4),"nincs rovat")</f>
        <v>nincs rovat</v>
      </c>
      <c r="Q1139" t="str">
        <f>IF(H1139&gt;0,VLOOKUP(H1139,PAR!$AA$3:$AC$187,3,FALSE),"nincs főkönyvi számla")</f>
        <v>nincs főkönyvi számla</v>
      </c>
      <c r="R1139" t="str">
        <f>IFERROR(VLOOKUP(K1139,PAR!$V$3:$X$438,3,FALSE),"000000 - Nincs COFOG")</f>
        <v>000000 - Nincs COFOG</v>
      </c>
      <c r="S1139">
        <f t="shared" si="335"/>
        <v>0</v>
      </c>
      <c r="T1139">
        <f t="shared" si="336"/>
        <v>0</v>
      </c>
      <c r="U1139" t="str">
        <f>IF('906MP'!J839&gt;0,CONCATENATE('906MP'!J839," - ",'906MP'!P839,", ",'906MP'!E839),"nincs megjegyzés")</f>
        <v>nincs megjegyzés</v>
      </c>
      <c r="V1139" t="str">
        <f t="shared" si="323"/>
        <v>0P0</v>
      </c>
      <c r="W1139" t="str">
        <f t="shared" si="324"/>
        <v>0P0</v>
      </c>
      <c r="X1139" t="str">
        <f t="shared" si="325"/>
        <v>P0</v>
      </c>
      <c r="Y1139" t="str">
        <f t="shared" si="326"/>
        <v>00</v>
      </c>
      <c r="Z1139" t="str">
        <f t="shared" si="337"/>
        <v>00</v>
      </c>
      <c r="AA1139" t="str">
        <f t="shared" si="327"/>
        <v>00</v>
      </c>
      <c r="AB1139" t="str">
        <f t="shared" si="328"/>
        <v>00</v>
      </c>
      <c r="AC1139" t="str">
        <f t="shared" si="329"/>
        <v>0P0</v>
      </c>
      <c r="AD1139" t="str">
        <f t="shared" si="330"/>
        <v>P00</v>
      </c>
      <c r="AE1139" t="str">
        <f t="shared" si="331"/>
        <v>0P0</v>
      </c>
      <c r="AF1139" t="str">
        <f t="shared" si="332"/>
        <v>P00</v>
      </c>
      <c r="AG1139" t="str">
        <f t="shared" si="338"/>
        <v>0P00</v>
      </c>
      <c r="AH1139" t="str">
        <f t="shared" si="339"/>
        <v>P000</v>
      </c>
      <c r="AI1139" t="str">
        <f t="shared" si="340"/>
        <v>0P00</v>
      </c>
      <c r="AJ1139" t="str">
        <f t="shared" si="341"/>
        <v>P000</v>
      </c>
    </row>
    <row r="1140" spans="1:36" x14ac:dyDescent="0.25">
      <c r="A1140" s="325" t="str">
        <f>CONCATENATE("P",'906MP'!M840)</f>
        <v>P</v>
      </c>
      <c r="B1140">
        <f>'906MP'!H840</f>
        <v>0</v>
      </c>
      <c r="C1140">
        <f>'906MP'!J840</f>
        <v>0</v>
      </c>
      <c r="D1140">
        <f>'906MP'!P840</f>
        <v>0</v>
      </c>
      <c r="E1140">
        <f>'906MP'!X840</f>
        <v>0</v>
      </c>
      <c r="F1140" t="str">
        <f t="shared" si="333"/>
        <v>0</v>
      </c>
      <c r="G1140" t="str">
        <f t="shared" si="334"/>
        <v>0</v>
      </c>
      <c r="H1140">
        <f>'906MP'!Y840</f>
        <v>0</v>
      </c>
      <c r="I1140">
        <f>'906MP'!AK840</f>
        <v>0</v>
      </c>
      <c r="J1140">
        <f>'906MP'!T840</f>
        <v>0</v>
      </c>
      <c r="K1140">
        <f>'906MP'!AJ840</f>
        <v>0</v>
      </c>
      <c r="L1140">
        <f>'906MP'!U840</f>
        <v>0</v>
      </c>
      <c r="M1140" s="322" t="str">
        <f>IFERROR(VLOOKUP(A1140,PAR!$D$3:$E$53,2,FALSE),"nincs szervezet")</f>
        <v>nincs szervezet</v>
      </c>
      <c r="N1140" s="322" t="str">
        <f>VLOOKUP(F1140,PAR!$R$3:$S$5,2,FALSE)</f>
        <v>3 - egyik sem</v>
      </c>
      <c r="O1140" t="str">
        <f>IFERROR(VLOOKUP(J1140,PAR!$O$3:$P$5,2,FALSE),"nincs feladat")</f>
        <v>nincs feladat</v>
      </c>
      <c r="P1140" t="str">
        <f>IFERROR(VLOOKUP(G1140,PAR!$J$2:$M$19,4),"nincs rovat")</f>
        <v>nincs rovat</v>
      </c>
      <c r="Q1140" t="str">
        <f>IF(H1140&gt;0,VLOOKUP(H1140,PAR!$AA$3:$AC$187,3,FALSE),"nincs főkönyvi számla")</f>
        <v>nincs főkönyvi számla</v>
      </c>
      <c r="R1140" t="str">
        <f>IFERROR(VLOOKUP(K1140,PAR!$V$3:$X$438,3,FALSE),"000000 - Nincs COFOG")</f>
        <v>000000 - Nincs COFOG</v>
      </c>
      <c r="S1140">
        <f t="shared" si="335"/>
        <v>0</v>
      </c>
      <c r="T1140">
        <f t="shared" si="336"/>
        <v>0</v>
      </c>
      <c r="U1140" t="str">
        <f>IF('906MP'!J840&gt;0,CONCATENATE('906MP'!J840," - ",'906MP'!P840,", ",'906MP'!E840),"nincs megjegyzés")</f>
        <v>nincs megjegyzés</v>
      </c>
      <c r="V1140" t="str">
        <f t="shared" si="323"/>
        <v>0P0</v>
      </c>
      <c r="W1140" t="str">
        <f t="shared" si="324"/>
        <v>0P0</v>
      </c>
      <c r="X1140" t="str">
        <f t="shared" si="325"/>
        <v>P0</v>
      </c>
      <c r="Y1140" t="str">
        <f t="shared" si="326"/>
        <v>00</v>
      </c>
      <c r="Z1140" t="str">
        <f t="shared" si="337"/>
        <v>00</v>
      </c>
      <c r="AA1140" t="str">
        <f t="shared" si="327"/>
        <v>00</v>
      </c>
      <c r="AB1140" t="str">
        <f t="shared" si="328"/>
        <v>00</v>
      </c>
      <c r="AC1140" t="str">
        <f t="shared" si="329"/>
        <v>0P0</v>
      </c>
      <c r="AD1140" t="str">
        <f t="shared" si="330"/>
        <v>P00</v>
      </c>
      <c r="AE1140" t="str">
        <f t="shared" si="331"/>
        <v>0P0</v>
      </c>
      <c r="AF1140" t="str">
        <f t="shared" si="332"/>
        <v>P00</v>
      </c>
      <c r="AG1140" t="str">
        <f t="shared" si="338"/>
        <v>0P00</v>
      </c>
      <c r="AH1140" t="str">
        <f t="shared" si="339"/>
        <v>P000</v>
      </c>
      <c r="AI1140" t="str">
        <f t="shared" si="340"/>
        <v>0P00</v>
      </c>
      <c r="AJ1140" t="str">
        <f t="shared" si="341"/>
        <v>P000</v>
      </c>
    </row>
    <row r="1141" spans="1:36" x14ac:dyDescent="0.25">
      <c r="A1141" s="325" t="str">
        <f>CONCATENATE("P",'906MP'!M841)</f>
        <v>P</v>
      </c>
      <c r="B1141">
        <f>'906MP'!H841</f>
        <v>0</v>
      </c>
      <c r="C1141">
        <f>'906MP'!J841</f>
        <v>0</v>
      </c>
      <c r="D1141">
        <f>'906MP'!P841</f>
        <v>0</v>
      </c>
      <c r="E1141">
        <f>'906MP'!X841</f>
        <v>0</v>
      </c>
      <c r="F1141" t="str">
        <f t="shared" si="333"/>
        <v>0</v>
      </c>
      <c r="G1141" t="str">
        <f t="shared" si="334"/>
        <v>0</v>
      </c>
      <c r="H1141">
        <f>'906MP'!Y841</f>
        <v>0</v>
      </c>
      <c r="I1141">
        <f>'906MP'!AK841</f>
        <v>0</v>
      </c>
      <c r="J1141">
        <f>'906MP'!T841</f>
        <v>0</v>
      </c>
      <c r="K1141">
        <f>'906MP'!AJ841</f>
        <v>0</v>
      </c>
      <c r="L1141">
        <f>'906MP'!U841</f>
        <v>0</v>
      </c>
      <c r="M1141" s="322" t="str">
        <f>IFERROR(VLOOKUP(A1141,PAR!$D$3:$E$53,2,FALSE),"nincs szervezet")</f>
        <v>nincs szervezet</v>
      </c>
      <c r="N1141" s="322" t="str">
        <f>VLOOKUP(F1141,PAR!$R$3:$S$5,2,FALSE)</f>
        <v>3 - egyik sem</v>
      </c>
      <c r="O1141" t="str">
        <f>IFERROR(VLOOKUP(J1141,PAR!$O$3:$P$5,2,FALSE),"nincs feladat")</f>
        <v>nincs feladat</v>
      </c>
      <c r="P1141" t="str">
        <f>IFERROR(VLOOKUP(G1141,PAR!$J$2:$M$19,4),"nincs rovat")</f>
        <v>nincs rovat</v>
      </c>
      <c r="Q1141" t="str">
        <f>IF(H1141&gt;0,VLOOKUP(H1141,PAR!$AA$3:$AC$187,3,FALSE),"nincs főkönyvi számla")</f>
        <v>nincs főkönyvi számla</v>
      </c>
      <c r="R1141" t="str">
        <f>IFERROR(VLOOKUP(K1141,PAR!$V$3:$X$438,3,FALSE),"000000 - Nincs COFOG")</f>
        <v>000000 - Nincs COFOG</v>
      </c>
      <c r="S1141">
        <f t="shared" si="335"/>
        <v>0</v>
      </c>
      <c r="T1141">
        <f t="shared" si="336"/>
        <v>0</v>
      </c>
      <c r="U1141" t="str">
        <f>IF('906MP'!J841&gt;0,CONCATENATE('906MP'!J841," - ",'906MP'!P841,", ",'906MP'!E841),"nincs megjegyzés")</f>
        <v>nincs megjegyzés</v>
      </c>
      <c r="V1141" t="str">
        <f t="shared" si="323"/>
        <v>0P0</v>
      </c>
      <c r="W1141" t="str">
        <f t="shared" si="324"/>
        <v>0P0</v>
      </c>
      <c r="X1141" t="str">
        <f t="shared" si="325"/>
        <v>P0</v>
      </c>
      <c r="Y1141" t="str">
        <f t="shared" si="326"/>
        <v>00</v>
      </c>
      <c r="Z1141" t="str">
        <f t="shared" si="337"/>
        <v>00</v>
      </c>
      <c r="AA1141" t="str">
        <f t="shared" si="327"/>
        <v>00</v>
      </c>
      <c r="AB1141" t="str">
        <f t="shared" si="328"/>
        <v>00</v>
      </c>
      <c r="AC1141" t="str">
        <f t="shared" si="329"/>
        <v>0P0</v>
      </c>
      <c r="AD1141" t="str">
        <f t="shared" si="330"/>
        <v>P00</v>
      </c>
      <c r="AE1141" t="str">
        <f t="shared" si="331"/>
        <v>0P0</v>
      </c>
      <c r="AF1141" t="str">
        <f t="shared" si="332"/>
        <v>P00</v>
      </c>
      <c r="AG1141" t="str">
        <f t="shared" si="338"/>
        <v>0P00</v>
      </c>
      <c r="AH1141" t="str">
        <f t="shared" si="339"/>
        <v>P000</v>
      </c>
      <c r="AI1141" t="str">
        <f t="shared" si="340"/>
        <v>0P00</v>
      </c>
      <c r="AJ1141" t="str">
        <f t="shared" si="341"/>
        <v>P000</v>
      </c>
    </row>
    <row r="1142" spans="1:36" x14ac:dyDescent="0.25">
      <c r="A1142" s="325" t="str">
        <f>CONCATENATE("P",'906MP'!M842)</f>
        <v>P</v>
      </c>
      <c r="B1142">
        <f>'906MP'!H842</f>
        <v>0</v>
      </c>
      <c r="C1142">
        <f>'906MP'!J842</f>
        <v>0</v>
      </c>
      <c r="D1142">
        <f>'906MP'!P842</f>
        <v>0</v>
      </c>
      <c r="E1142">
        <f>'906MP'!X842</f>
        <v>0</v>
      </c>
      <c r="F1142" t="str">
        <f t="shared" si="333"/>
        <v>0</v>
      </c>
      <c r="G1142" t="str">
        <f t="shared" si="334"/>
        <v>0</v>
      </c>
      <c r="H1142">
        <f>'906MP'!Y842</f>
        <v>0</v>
      </c>
      <c r="I1142">
        <f>'906MP'!AK842</f>
        <v>0</v>
      </c>
      <c r="J1142">
        <f>'906MP'!T842</f>
        <v>0</v>
      </c>
      <c r="K1142">
        <f>'906MP'!AJ842</f>
        <v>0</v>
      </c>
      <c r="L1142">
        <f>'906MP'!U842</f>
        <v>0</v>
      </c>
      <c r="M1142" s="322" t="str">
        <f>IFERROR(VLOOKUP(A1142,PAR!$D$3:$E$53,2,FALSE),"nincs szervezet")</f>
        <v>nincs szervezet</v>
      </c>
      <c r="N1142" s="322" t="str">
        <f>VLOOKUP(F1142,PAR!$R$3:$S$5,2,FALSE)</f>
        <v>3 - egyik sem</v>
      </c>
      <c r="O1142" t="str">
        <f>IFERROR(VLOOKUP(J1142,PAR!$O$3:$P$5,2,FALSE),"nincs feladat")</f>
        <v>nincs feladat</v>
      </c>
      <c r="P1142" t="str">
        <f>IFERROR(VLOOKUP(G1142,PAR!$J$2:$M$19,4),"nincs rovat")</f>
        <v>nincs rovat</v>
      </c>
      <c r="Q1142" t="str">
        <f>IF(H1142&gt;0,VLOOKUP(H1142,PAR!$AA$3:$AC$187,3,FALSE),"nincs főkönyvi számla")</f>
        <v>nincs főkönyvi számla</v>
      </c>
      <c r="R1142" t="str">
        <f>IFERROR(VLOOKUP(K1142,PAR!$V$3:$X$438,3,FALSE),"000000 - Nincs COFOG")</f>
        <v>000000 - Nincs COFOG</v>
      </c>
      <c r="S1142">
        <f t="shared" si="335"/>
        <v>0</v>
      </c>
      <c r="T1142">
        <f t="shared" si="336"/>
        <v>0</v>
      </c>
      <c r="U1142" t="str">
        <f>IF('906MP'!J842&gt;0,CONCATENATE('906MP'!J842," - ",'906MP'!P842,", ",'906MP'!E842),"nincs megjegyzés")</f>
        <v>nincs megjegyzés</v>
      </c>
      <c r="V1142" t="str">
        <f t="shared" si="323"/>
        <v>0P0</v>
      </c>
      <c r="W1142" t="str">
        <f t="shared" si="324"/>
        <v>0P0</v>
      </c>
      <c r="X1142" t="str">
        <f t="shared" si="325"/>
        <v>P0</v>
      </c>
      <c r="Y1142" t="str">
        <f t="shared" si="326"/>
        <v>00</v>
      </c>
      <c r="Z1142" t="str">
        <f t="shared" si="337"/>
        <v>00</v>
      </c>
      <c r="AA1142" t="str">
        <f t="shared" si="327"/>
        <v>00</v>
      </c>
      <c r="AB1142" t="str">
        <f t="shared" si="328"/>
        <v>00</v>
      </c>
      <c r="AC1142" t="str">
        <f t="shared" si="329"/>
        <v>0P0</v>
      </c>
      <c r="AD1142" t="str">
        <f t="shared" si="330"/>
        <v>P00</v>
      </c>
      <c r="AE1142" t="str">
        <f t="shared" si="331"/>
        <v>0P0</v>
      </c>
      <c r="AF1142" t="str">
        <f t="shared" si="332"/>
        <v>P00</v>
      </c>
      <c r="AG1142" t="str">
        <f t="shared" si="338"/>
        <v>0P00</v>
      </c>
      <c r="AH1142" t="str">
        <f t="shared" si="339"/>
        <v>P000</v>
      </c>
      <c r="AI1142" t="str">
        <f t="shared" si="340"/>
        <v>0P00</v>
      </c>
      <c r="AJ1142" t="str">
        <f t="shared" si="341"/>
        <v>P000</v>
      </c>
    </row>
    <row r="1143" spans="1:36" x14ac:dyDescent="0.25">
      <c r="A1143" s="325" t="str">
        <f>CONCATENATE("P",'906MP'!M843)</f>
        <v>P</v>
      </c>
      <c r="B1143">
        <f>'906MP'!H843</f>
        <v>0</v>
      </c>
      <c r="C1143">
        <f>'906MP'!J843</f>
        <v>0</v>
      </c>
      <c r="D1143">
        <f>'906MP'!P843</f>
        <v>0</v>
      </c>
      <c r="E1143">
        <f>'906MP'!X843</f>
        <v>0</v>
      </c>
      <c r="F1143" t="str">
        <f t="shared" si="333"/>
        <v>0</v>
      </c>
      <c r="G1143" t="str">
        <f t="shared" si="334"/>
        <v>0</v>
      </c>
      <c r="H1143">
        <f>'906MP'!Y843</f>
        <v>0</v>
      </c>
      <c r="I1143">
        <f>'906MP'!AK843</f>
        <v>0</v>
      </c>
      <c r="J1143">
        <f>'906MP'!T843</f>
        <v>0</v>
      </c>
      <c r="K1143">
        <f>'906MP'!AJ843</f>
        <v>0</v>
      </c>
      <c r="L1143">
        <f>'906MP'!U843</f>
        <v>0</v>
      </c>
      <c r="M1143" s="322" t="str">
        <f>IFERROR(VLOOKUP(A1143,PAR!$D$3:$E$53,2,FALSE),"nincs szervezet")</f>
        <v>nincs szervezet</v>
      </c>
      <c r="N1143" s="322" t="str">
        <f>VLOOKUP(F1143,PAR!$R$3:$S$5,2,FALSE)</f>
        <v>3 - egyik sem</v>
      </c>
      <c r="O1143" t="str">
        <f>IFERROR(VLOOKUP(J1143,PAR!$O$3:$P$5,2,FALSE),"nincs feladat")</f>
        <v>nincs feladat</v>
      </c>
      <c r="P1143" t="str">
        <f>IFERROR(VLOOKUP(G1143,PAR!$J$2:$M$19,4),"nincs rovat")</f>
        <v>nincs rovat</v>
      </c>
      <c r="Q1143" t="str">
        <f>IF(H1143&gt;0,VLOOKUP(H1143,PAR!$AA$3:$AC$187,3,FALSE),"nincs főkönyvi számla")</f>
        <v>nincs főkönyvi számla</v>
      </c>
      <c r="R1143" t="str">
        <f>IFERROR(VLOOKUP(K1143,PAR!$V$3:$X$438,3,FALSE),"000000 - Nincs COFOG")</f>
        <v>000000 - Nincs COFOG</v>
      </c>
      <c r="S1143">
        <f t="shared" si="335"/>
        <v>0</v>
      </c>
      <c r="T1143">
        <f t="shared" si="336"/>
        <v>0</v>
      </c>
      <c r="U1143" t="str">
        <f>IF('906MP'!J843&gt;0,CONCATENATE('906MP'!J843," - ",'906MP'!P843,", ",'906MP'!E843),"nincs megjegyzés")</f>
        <v>nincs megjegyzés</v>
      </c>
      <c r="V1143" t="str">
        <f t="shared" si="323"/>
        <v>0P0</v>
      </c>
      <c r="W1143" t="str">
        <f t="shared" si="324"/>
        <v>0P0</v>
      </c>
      <c r="X1143" t="str">
        <f t="shared" si="325"/>
        <v>P0</v>
      </c>
      <c r="Y1143" t="str">
        <f t="shared" si="326"/>
        <v>00</v>
      </c>
      <c r="Z1143" t="str">
        <f t="shared" si="337"/>
        <v>00</v>
      </c>
      <c r="AA1143" t="str">
        <f t="shared" si="327"/>
        <v>00</v>
      </c>
      <c r="AB1143" t="str">
        <f t="shared" si="328"/>
        <v>00</v>
      </c>
      <c r="AC1143" t="str">
        <f t="shared" si="329"/>
        <v>0P0</v>
      </c>
      <c r="AD1143" t="str">
        <f t="shared" si="330"/>
        <v>P00</v>
      </c>
      <c r="AE1143" t="str">
        <f t="shared" si="331"/>
        <v>0P0</v>
      </c>
      <c r="AF1143" t="str">
        <f t="shared" si="332"/>
        <v>P00</v>
      </c>
      <c r="AG1143" t="str">
        <f t="shared" si="338"/>
        <v>0P00</v>
      </c>
      <c r="AH1143" t="str">
        <f t="shared" si="339"/>
        <v>P000</v>
      </c>
      <c r="AI1143" t="str">
        <f t="shared" si="340"/>
        <v>0P00</v>
      </c>
      <c r="AJ1143" t="str">
        <f t="shared" si="341"/>
        <v>P000</v>
      </c>
    </row>
    <row r="1144" spans="1:36" x14ac:dyDescent="0.25">
      <c r="A1144" s="325" t="str">
        <f>CONCATENATE("P",'906MP'!M844)</f>
        <v>P</v>
      </c>
      <c r="B1144">
        <f>'906MP'!H844</f>
        <v>0</v>
      </c>
      <c r="C1144">
        <f>'906MP'!J844</f>
        <v>0</v>
      </c>
      <c r="D1144">
        <f>'906MP'!P844</f>
        <v>0</v>
      </c>
      <c r="E1144">
        <f>'906MP'!X844</f>
        <v>0</v>
      </c>
      <c r="F1144" t="str">
        <f t="shared" si="333"/>
        <v>0</v>
      </c>
      <c r="G1144" t="str">
        <f t="shared" si="334"/>
        <v>0</v>
      </c>
      <c r="H1144">
        <f>'906MP'!Y844</f>
        <v>0</v>
      </c>
      <c r="I1144">
        <f>'906MP'!AK844</f>
        <v>0</v>
      </c>
      <c r="J1144">
        <f>'906MP'!T844</f>
        <v>0</v>
      </c>
      <c r="K1144">
        <f>'906MP'!AJ844</f>
        <v>0</v>
      </c>
      <c r="L1144">
        <f>'906MP'!U844</f>
        <v>0</v>
      </c>
      <c r="M1144" s="322" t="str">
        <f>IFERROR(VLOOKUP(A1144,PAR!$D$3:$E$53,2,FALSE),"nincs szervezet")</f>
        <v>nincs szervezet</v>
      </c>
      <c r="N1144" s="322" t="str">
        <f>VLOOKUP(F1144,PAR!$R$3:$S$5,2,FALSE)</f>
        <v>3 - egyik sem</v>
      </c>
      <c r="O1144" t="str">
        <f>IFERROR(VLOOKUP(J1144,PAR!$O$3:$P$5,2,FALSE),"nincs feladat")</f>
        <v>nincs feladat</v>
      </c>
      <c r="P1144" t="str">
        <f>IFERROR(VLOOKUP(G1144,PAR!$J$2:$M$19,4),"nincs rovat")</f>
        <v>nincs rovat</v>
      </c>
      <c r="Q1144" t="str">
        <f>IF(H1144&gt;0,VLOOKUP(H1144,PAR!$AA$3:$AC$187,3,FALSE),"nincs főkönyvi számla")</f>
        <v>nincs főkönyvi számla</v>
      </c>
      <c r="R1144" t="str">
        <f>IFERROR(VLOOKUP(K1144,PAR!$V$3:$X$438,3,FALSE),"000000 - Nincs COFOG")</f>
        <v>000000 - Nincs COFOG</v>
      </c>
      <c r="S1144">
        <f t="shared" si="335"/>
        <v>0</v>
      </c>
      <c r="T1144">
        <f t="shared" si="336"/>
        <v>0</v>
      </c>
      <c r="U1144" t="str">
        <f>IF('906MP'!J844&gt;0,CONCATENATE('906MP'!J844," - ",'906MP'!P844,", ",'906MP'!E844),"nincs megjegyzés")</f>
        <v>nincs megjegyzés</v>
      </c>
      <c r="V1144" t="str">
        <f t="shared" si="323"/>
        <v>0P0</v>
      </c>
      <c r="W1144" t="str">
        <f t="shared" si="324"/>
        <v>0P0</v>
      </c>
      <c r="X1144" t="str">
        <f t="shared" si="325"/>
        <v>P0</v>
      </c>
      <c r="Y1144" t="str">
        <f t="shared" si="326"/>
        <v>00</v>
      </c>
      <c r="Z1144" t="str">
        <f t="shared" si="337"/>
        <v>00</v>
      </c>
      <c r="AA1144" t="str">
        <f t="shared" si="327"/>
        <v>00</v>
      </c>
      <c r="AB1144" t="str">
        <f t="shared" si="328"/>
        <v>00</v>
      </c>
      <c r="AC1144" t="str">
        <f t="shared" si="329"/>
        <v>0P0</v>
      </c>
      <c r="AD1144" t="str">
        <f t="shared" si="330"/>
        <v>P00</v>
      </c>
      <c r="AE1144" t="str">
        <f t="shared" si="331"/>
        <v>0P0</v>
      </c>
      <c r="AF1144" t="str">
        <f t="shared" si="332"/>
        <v>P00</v>
      </c>
      <c r="AG1144" t="str">
        <f t="shared" si="338"/>
        <v>0P00</v>
      </c>
      <c r="AH1144" t="str">
        <f t="shared" si="339"/>
        <v>P000</v>
      </c>
      <c r="AI1144" t="str">
        <f t="shared" si="340"/>
        <v>0P00</v>
      </c>
      <c r="AJ1144" t="str">
        <f t="shared" si="341"/>
        <v>P000</v>
      </c>
    </row>
    <row r="1145" spans="1:36" x14ac:dyDescent="0.25">
      <c r="A1145" s="325" t="str">
        <f>CONCATENATE("P",'906MP'!M845)</f>
        <v>P</v>
      </c>
      <c r="B1145">
        <f>'906MP'!H845</f>
        <v>0</v>
      </c>
      <c r="C1145">
        <f>'906MP'!J845</f>
        <v>0</v>
      </c>
      <c r="D1145">
        <f>'906MP'!P845</f>
        <v>0</v>
      </c>
      <c r="E1145">
        <f>'906MP'!X845</f>
        <v>0</v>
      </c>
      <c r="F1145" t="str">
        <f t="shared" si="333"/>
        <v>0</v>
      </c>
      <c r="G1145" t="str">
        <f t="shared" si="334"/>
        <v>0</v>
      </c>
      <c r="H1145">
        <f>'906MP'!Y845</f>
        <v>0</v>
      </c>
      <c r="I1145">
        <f>'906MP'!AK845</f>
        <v>0</v>
      </c>
      <c r="J1145">
        <f>'906MP'!T845</f>
        <v>0</v>
      </c>
      <c r="K1145">
        <f>'906MP'!AJ845</f>
        <v>0</v>
      </c>
      <c r="L1145">
        <f>'906MP'!U845</f>
        <v>0</v>
      </c>
      <c r="M1145" s="322" t="str">
        <f>IFERROR(VLOOKUP(A1145,PAR!$D$3:$E$53,2,FALSE),"nincs szervezet")</f>
        <v>nincs szervezet</v>
      </c>
      <c r="N1145" s="322" t="str">
        <f>VLOOKUP(F1145,PAR!$R$3:$S$5,2,FALSE)</f>
        <v>3 - egyik sem</v>
      </c>
      <c r="O1145" t="str">
        <f>IFERROR(VLOOKUP(J1145,PAR!$O$3:$P$5,2,FALSE),"nincs feladat")</f>
        <v>nincs feladat</v>
      </c>
      <c r="P1145" t="str">
        <f>IFERROR(VLOOKUP(G1145,PAR!$J$2:$M$19,4),"nincs rovat")</f>
        <v>nincs rovat</v>
      </c>
      <c r="Q1145" t="str">
        <f>IF(H1145&gt;0,VLOOKUP(H1145,PAR!$AA$3:$AC$187,3,FALSE),"nincs főkönyvi számla")</f>
        <v>nincs főkönyvi számla</v>
      </c>
      <c r="R1145" t="str">
        <f>IFERROR(VLOOKUP(K1145,PAR!$V$3:$X$438,3,FALSE),"000000 - Nincs COFOG")</f>
        <v>000000 - Nincs COFOG</v>
      </c>
      <c r="S1145">
        <f t="shared" si="335"/>
        <v>0</v>
      </c>
      <c r="T1145">
        <f t="shared" si="336"/>
        <v>0</v>
      </c>
      <c r="U1145" t="str">
        <f>IF('906MP'!J845&gt;0,CONCATENATE('906MP'!J845," - ",'906MP'!P845,", ",'906MP'!E845),"nincs megjegyzés")</f>
        <v>nincs megjegyzés</v>
      </c>
      <c r="V1145" t="str">
        <f t="shared" si="323"/>
        <v>0P0</v>
      </c>
      <c r="W1145" t="str">
        <f t="shared" si="324"/>
        <v>0P0</v>
      </c>
      <c r="X1145" t="str">
        <f t="shared" si="325"/>
        <v>P0</v>
      </c>
      <c r="Y1145" t="str">
        <f t="shared" si="326"/>
        <v>00</v>
      </c>
      <c r="Z1145" t="str">
        <f t="shared" si="337"/>
        <v>00</v>
      </c>
      <c r="AA1145" t="str">
        <f t="shared" si="327"/>
        <v>00</v>
      </c>
      <c r="AB1145" t="str">
        <f t="shared" si="328"/>
        <v>00</v>
      </c>
      <c r="AC1145" t="str">
        <f t="shared" si="329"/>
        <v>0P0</v>
      </c>
      <c r="AD1145" t="str">
        <f t="shared" si="330"/>
        <v>P00</v>
      </c>
      <c r="AE1145" t="str">
        <f t="shared" si="331"/>
        <v>0P0</v>
      </c>
      <c r="AF1145" t="str">
        <f t="shared" si="332"/>
        <v>P00</v>
      </c>
      <c r="AG1145" t="str">
        <f t="shared" si="338"/>
        <v>0P00</v>
      </c>
      <c r="AH1145" t="str">
        <f t="shared" si="339"/>
        <v>P000</v>
      </c>
      <c r="AI1145" t="str">
        <f t="shared" si="340"/>
        <v>0P00</v>
      </c>
      <c r="AJ1145" t="str">
        <f t="shared" si="341"/>
        <v>P000</v>
      </c>
    </row>
    <row r="1146" spans="1:36" x14ac:dyDescent="0.25">
      <c r="A1146" s="325" t="str">
        <f>CONCATENATE("P",'906MP'!M846)</f>
        <v>P</v>
      </c>
      <c r="B1146">
        <f>'906MP'!H846</f>
        <v>0</v>
      </c>
      <c r="C1146">
        <f>'906MP'!J846</f>
        <v>0</v>
      </c>
      <c r="D1146">
        <f>'906MP'!P846</f>
        <v>0</v>
      </c>
      <c r="E1146">
        <f>'906MP'!X846</f>
        <v>0</v>
      </c>
      <c r="F1146" t="str">
        <f t="shared" si="333"/>
        <v>0</v>
      </c>
      <c r="G1146" t="str">
        <f t="shared" si="334"/>
        <v>0</v>
      </c>
      <c r="H1146">
        <f>'906MP'!Y846</f>
        <v>0</v>
      </c>
      <c r="I1146">
        <f>'906MP'!AK846</f>
        <v>0</v>
      </c>
      <c r="J1146">
        <f>'906MP'!T846</f>
        <v>0</v>
      </c>
      <c r="K1146">
        <f>'906MP'!AJ846</f>
        <v>0</v>
      </c>
      <c r="L1146">
        <f>'906MP'!U846</f>
        <v>0</v>
      </c>
      <c r="M1146" s="322" t="str">
        <f>IFERROR(VLOOKUP(A1146,PAR!$D$3:$E$53,2,FALSE),"nincs szervezet")</f>
        <v>nincs szervezet</v>
      </c>
      <c r="N1146" s="322" t="str">
        <f>VLOOKUP(F1146,PAR!$R$3:$S$5,2,FALSE)</f>
        <v>3 - egyik sem</v>
      </c>
      <c r="O1146" t="str">
        <f>IFERROR(VLOOKUP(J1146,PAR!$O$3:$P$5,2,FALSE),"nincs feladat")</f>
        <v>nincs feladat</v>
      </c>
      <c r="P1146" t="str">
        <f>IFERROR(VLOOKUP(G1146,PAR!$J$2:$M$19,4),"nincs rovat")</f>
        <v>nincs rovat</v>
      </c>
      <c r="Q1146" t="str">
        <f>IF(H1146&gt;0,VLOOKUP(H1146,PAR!$AA$3:$AC$187,3,FALSE),"nincs főkönyvi számla")</f>
        <v>nincs főkönyvi számla</v>
      </c>
      <c r="R1146" t="str">
        <f>IFERROR(VLOOKUP(K1146,PAR!$V$3:$X$438,3,FALSE),"000000 - Nincs COFOG")</f>
        <v>000000 - Nincs COFOG</v>
      </c>
      <c r="S1146">
        <f t="shared" si="335"/>
        <v>0</v>
      </c>
      <c r="T1146">
        <f t="shared" si="336"/>
        <v>0</v>
      </c>
      <c r="U1146" t="str">
        <f>IF('906MP'!J846&gt;0,CONCATENATE('906MP'!J846," - ",'906MP'!P846,", ",'906MP'!E846),"nincs megjegyzés")</f>
        <v>nincs megjegyzés</v>
      </c>
      <c r="V1146" t="str">
        <f t="shared" si="323"/>
        <v>0P0</v>
      </c>
      <c r="W1146" t="str">
        <f t="shared" si="324"/>
        <v>0P0</v>
      </c>
      <c r="X1146" t="str">
        <f t="shared" si="325"/>
        <v>P0</v>
      </c>
      <c r="Y1146" t="str">
        <f t="shared" si="326"/>
        <v>00</v>
      </c>
      <c r="Z1146" t="str">
        <f t="shared" si="337"/>
        <v>00</v>
      </c>
      <c r="AA1146" t="str">
        <f t="shared" si="327"/>
        <v>00</v>
      </c>
      <c r="AB1146" t="str">
        <f t="shared" si="328"/>
        <v>00</v>
      </c>
      <c r="AC1146" t="str">
        <f t="shared" si="329"/>
        <v>0P0</v>
      </c>
      <c r="AD1146" t="str">
        <f t="shared" si="330"/>
        <v>P00</v>
      </c>
      <c r="AE1146" t="str">
        <f t="shared" si="331"/>
        <v>0P0</v>
      </c>
      <c r="AF1146" t="str">
        <f t="shared" si="332"/>
        <v>P00</v>
      </c>
      <c r="AG1146" t="str">
        <f t="shared" si="338"/>
        <v>0P00</v>
      </c>
      <c r="AH1146" t="str">
        <f t="shared" si="339"/>
        <v>P000</v>
      </c>
      <c r="AI1146" t="str">
        <f t="shared" si="340"/>
        <v>0P00</v>
      </c>
      <c r="AJ1146" t="str">
        <f t="shared" si="341"/>
        <v>P000</v>
      </c>
    </row>
    <row r="1147" spans="1:36" x14ac:dyDescent="0.25">
      <c r="A1147" s="325" t="str">
        <f>CONCATENATE("P",'906MP'!M847)</f>
        <v>P</v>
      </c>
      <c r="B1147">
        <f>'906MP'!H847</f>
        <v>0</v>
      </c>
      <c r="C1147">
        <f>'906MP'!J847</f>
        <v>0</v>
      </c>
      <c r="D1147">
        <f>'906MP'!P847</f>
        <v>0</v>
      </c>
      <c r="E1147">
        <f>'906MP'!X847</f>
        <v>0</v>
      </c>
      <c r="F1147" t="str">
        <f t="shared" si="333"/>
        <v>0</v>
      </c>
      <c r="G1147" t="str">
        <f t="shared" si="334"/>
        <v>0</v>
      </c>
      <c r="H1147">
        <f>'906MP'!Y847</f>
        <v>0</v>
      </c>
      <c r="I1147">
        <f>'906MP'!AK847</f>
        <v>0</v>
      </c>
      <c r="J1147">
        <f>'906MP'!T847</f>
        <v>0</v>
      </c>
      <c r="K1147">
        <f>'906MP'!AJ847</f>
        <v>0</v>
      </c>
      <c r="L1147">
        <f>'906MP'!U847</f>
        <v>0</v>
      </c>
      <c r="M1147" s="322" t="str">
        <f>IFERROR(VLOOKUP(A1147,PAR!$D$3:$E$53,2,FALSE),"nincs szervezet")</f>
        <v>nincs szervezet</v>
      </c>
      <c r="N1147" s="322" t="str">
        <f>VLOOKUP(F1147,PAR!$R$3:$S$5,2,FALSE)</f>
        <v>3 - egyik sem</v>
      </c>
      <c r="O1147" t="str">
        <f>IFERROR(VLOOKUP(J1147,PAR!$O$3:$P$5,2,FALSE),"nincs feladat")</f>
        <v>nincs feladat</v>
      </c>
      <c r="P1147" t="str">
        <f>IFERROR(VLOOKUP(G1147,PAR!$J$2:$M$19,4),"nincs rovat")</f>
        <v>nincs rovat</v>
      </c>
      <c r="Q1147" t="str">
        <f>IF(H1147&gt;0,VLOOKUP(H1147,PAR!$AA$3:$AC$187,3,FALSE),"nincs főkönyvi számla")</f>
        <v>nincs főkönyvi számla</v>
      </c>
      <c r="R1147" t="str">
        <f>IFERROR(VLOOKUP(K1147,PAR!$V$3:$X$438,3,FALSE),"000000 - Nincs COFOG")</f>
        <v>000000 - Nincs COFOG</v>
      </c>
      <c r="S1147">
        <f t="shared" si="335"/>
        <v>0</v>
      </c>
      <c r="T1147">
        <f t="shared" si="336"/>
        <v>0</v>
      </c>
      <c r="U1147" t="str">
        <f>IF('906MP'!J847&gt;0,CONCATENATE('906MP'!J847," - ",'906MP'!P847,", ",'906MP'!E847),"nincs megjegyzés")</f>
        <v>nincs megjegyzés</v>
      </c>
      <c r="V1147" t="str">
        <f t="shared" si="323"/>
        <v>0P0</v>
      </c>
      <c r="W1147" t="str">
        <f t="shared" si="324"/>
        <v>0P0</v>
      </c>
      <c r="X1147" t="str">
        <f t="shared" si="325"/>
        <v>P0</v>
      </c>
      <c r="Y1147" t="str">
        <f t="shared" si="326"/>
        <v>00</v>
      </c>
      <c r="Z1147" t="str">
        <f t="shared" si="337"/>
        <v>00</v>
      </c>
      <c r="AA1147" t="str">
        <f t="shared" si="327"/>
        <v>00</v>
      </c>
      <c r="AB1147" t="str">
        <f t="shared" si="328"/>
        <v>00</v>
      </c>
      <c r="AC1147" t="str">
        <f t="shared" si="329"/>
        <v>0P0</v>
      </c>
      <c r="AD1147" t="str">
        <f t="shared" si="330"/>
        <v>P00</v>
      </c>
      <c r="AE1147" t="str">
        <f t="shared" si="331"/>
        <v>0P0</v>
      </c>
      <c r="AF1147" t="str">
        <f t="shared" si="332"/>
        <v>P00</v>
      </c>
      <c r="AG1147" t="str">
        <f t="shared" si="338"/>
        <v>0P00</v>
      </c>
      <c r="AH1147" t="str">
        <f t="shared" si="339"/>
        <v>P000</v>
      </c>
      <c r="AI1147" t="str">
        <f t="shared" si="340"/>
        <v>0P00</v>
      </c>
      <c r="AJ1147" t="str">
        <f t="shared" si="341"/>
        <v>P000</v>
      </c>
    </row>
    <row r="1148" spans="1:36" x14ac:dyDescent="0.25">
      <c r="A1148" s="325" t="str">
        <f>CONCATENATE("P",'906MP'!M848)</f>
        <v>P</v>
      </c>
      <c r="B1148">
        <f>'906MP'!H848</f>
        <v>0</v>
      </c>
      <c r="C1148">
        <f>'906MP'!J848</f>
        <v>0</v>
      </c>
      <c r="D1148">
        <f>'906MP'!P848</f>
        <v>0</v>
      </c>
      <c r="E1148">
        <f>'906MP'!X848</f>
        <v>0</v>
      </c>
      <c r="F1148" t="str">
        <f t="shared" si="333"/>
        <v>0</v>
      </c>
      <c r="G1148" t="str">
        <f t="shared" si="334"/>
        <v>0</v>
      </c>
      <c r="H1148">
        <f>'906MP'!Y848</f>
        <v>0</v>
      </c>
      <c r="I1148">
        <f>'906MP'!AK848</f>
        <v>0</v>
      </c>
      <c r="J1148">
        <f>'906MP'!T848</f>
        <v>0</v>
      </c>
      <c r="K1148">
        <f>'906MP'!AJ848</f>
        <v>0</v>
      </c>
      <c r="L1148">
        <f>'906MP'!U848</f>
        <v>0</v>
      </c>
      <c r="M1148" s="322" t="str">
        <f>IFERROR(VLOOKUP(A1148,PAR!$D$3:$E$53,2,FALSE),"nincs szervezet")</f>
        <v>nincs szervezet</v>
      </c>
      <c r="N1148" s="322" t="str">
        <f>VLOOKUP(F1148,PAR!$R$3:$S$5,2,FALSE)</f>
        <v>3 - egyik sem</v>
      </c>
      <c r="O1148" t="str">
        <f>IFERROR(VLOOKUP(J1148,PAR!$O$3:$P$5,2,FALSE),"nincs feladat")</f>
        <v>nincs feladat</v>
      </c>
      <c r="P1148" t="str">
        <f>IFERROR(VLOOKUP(G1148,PAR!$J$2:$M$19,4),"nincs rovat")</f>
        <v>nincs rovat</v>
      </c>
      <c r="Q1148" t="str">
        <f>IF(H1148&gt;0,VLOOKUP(H1148,PAR!$AA$3:$AC$187,3,FALSE),"nincs főkönyvi számla")</f>
        <v>nincs főkönyvi számla</v>
      </c>
      <c r="R1148" t="str">
        <f>IFERROR(VLOOKUP(K1148,PAR!$V$3:$X$438,3,FALSE),"000000 - Nincs COFOG")</f>
        <v>000000 - Nincs COFOG</v>
      </c>
      <c r="S1148">
        <f t="shared" si="335"/>
        <v>0</v>
      </c>
      <c r="T1148">
        <f t="shared" si="336"/>
        <v>0</v>
      </c>
      <c r="U1148" t="str">
        <f>IF('906MP'!J848&gt;0,CONCATENATE('906MP'!J848," - ",'906MP'!P848,", ",'906MP'!E848),"nincs megjegyzés")</f>
        <v>nincs megjegyzés</v>
      </c>
      <c r="V1148" t="str">
        <f t="shared" si="323"/>
        <v>0P0</v>
      </c>
      <c r="W1148" t="str">
        <f t="shared" si="324"/>
        <v>0P0</v>
      </c>
      <c r="X1148" t="str">
        <f t="shared" si="325"/>
        <v>P0</v>
      </c>
      <c r="Y1148" t="str">
        <f t="shared" si="326"/>
        <v>00</v>
      </c>
      <c r="Z1148" t="str">
        <f t="shared" si="337"/>
        <v>00</v>
      </c>
      <c r="AA1148" t="str">
        <f t="shared" si="327"/>
        <v>00</v>
      </c>
      <c r="AB1148" t="str">
        <f t="shared" si="328"/>
        <v>00</v>
      </c>
      <c r="AC1148" t="str">
        <f t="shared" si="329"/>
        <v>0P0</v>
      </c>
      <c r="AD1148" t="str">
        <f t="shared" si="330"/>
        <v>P00</v>
      </c>
      <c r="AE1148" t="str">
        <f t="shared" si="331"/>
        <v>0P0</v>
      </c>
      <c r="AF1148" t="str">
        <f t="shared" si="332"/>
        <v>P00</v>
      </c>
      <c r="AG1148" t="str">
        <f t="shared" si="338"/>
        <v>0P00</v>
      </c>
      <c r="AH1148" t="str">
        <f t="shared" si="339"/>
        <v>P000</v>
      </c>
      <c r="AI1148" t="str">
        <f t="shared" si="340"/>
        <v>0P00</v>
      </c>
      <c r="AJ1148" t="str">
        <f t="shared" si="341"/>
        <v>P000</v>
      </c>
    </row>
    <row r="1149" spans="1:36" x14ac:dyDescent="0.25">
      <c r="A1149" s="325" t="str">
        <f>CONCATENATE("P",'906MP'!M849)</f>
        <v>P</v>
      </c>
      <c r="B1149">
        <f>'906MP'!H849</f>
        <v>0</v>
      </c>
      <c r="C1149">
        <f>'906MP'!J849</f>
        <v>0</v>
      </c>
      <c r="D1149">
        <f>'906MP'!P849</f>
        <v>0</v>
      </c>
      <c r="E1149">
        <f>'906MP'!X849</f>
        <v>0</v>
      </c>
      <c r="F1149" t="str">
        <f t="shared" si="333"/>
        <v>0</v>
      </c>
      <c r="G1149" t="str">
        <f t="shared" si="334"/>
        <v>0</v>
      </c>
      <c r="H1149">
        <f>'906MP'!Y849</f>
        <v>0</v>
      </c>
      <c r="I1149">
        <f>'906MP'!AK849</f>
        <v>0</v>
      </c>
      <c r="J1149">
        <f>'906MP'!T849</f>
        <v>0</v>
      </c>
      <c r="K1149">
        <f>'906MP'!AJ849</f>
        <v>0</v>
      </c>
      <c r="L1149">
        <f>'906MP'!U849</f>
        <v>0</v>
      </c>
      <c r="M1149" s="322" t="str">
        <f>IFERROR(VLOOKUP(A1149,PAR!$D$3:$E$53,2,FALSE),"nincs szervezet")</f>
        <v>nincs szervezet</v>
      </c>
      <c r="N1149" s="322" t="str">
        <f>VLOOKUP(F1149,PAR!$R$3:$S$5,2,FALSE)</f>
        <v>3 - egyik sem</v>
      </c>
      <c r="O1149" t="str">
        <f>IFERROR(VLOOKUP(J1149,PAR!$O$3:$P$5,2,FALSE),"nincs feladat")</f>
        <v>nincs feladat</v>
      </c>
      <c r="P1149" t="str">
        <f>IFERROR(VLOOKUP(G1149,PAR!$J$2:$M$19,4),"nincs rovat")</f>
        <v>nincs rovat</v>
      </c>
      <c r="Q1149" t="str">
        <f>IF(H1149&gt;0,VLOOKUP(H1149,PAR!$AA$3:$AC$187,3,FALSE),"nincs főkönyvi számla")</f>
        <v>nincs főkönyvi számla</v>
      </c>
      <c r="R1149" t="str">
        <f>IFERROR(VLOOKUP(K1149,PAR!$V$3:$X$438,3,FALSE),"000000 - Nincs COFOG")</f>
        <v>000000 - Nincs COFOG</v>
      </c>
      <c r="S1149">
        <f t="shared" si="335"/>
        <v>0</v>
      </c>
      <c r="T1149">
        <f t="shared" si="336"/>
        <v>0</v>
      </c>
      <c r="U1149" t="str">
        <f>IF('906MP'!J849&gt;0,CONCATENATE('906MP'!J849," - ",'906MP'!P849,", ",'906MP'!E849),"nincs megjegyzés")</f>
        <v>nincs megjegyzés</v>
      </c>
      <c r="V1149" t="str">
        <f t="shared" si="323"/>
        <v>0P0</v>
      </c>
      <c r="W1149" t="str">
        <f t="shared" si="324"/>
        <v>0P0</v>
      </c>
      <c r="X1149" t="str">
        <f t="shared" si="325"/>
        <v>P0</v>
      </c>
      <c r="Y1149" t="str">
        <f t="shared" si="326"/>
        <v>00</v>
      </c>
      <c r="Z1149" t="str">
        <f t="shared" si="337"/>
        <v>00</v>
      </c>
      <c r="AA1149" t="str">
        <f t="shared" si="327"/>
        <v>00</v>
      </c>
      <c r="AB1149" t="str">
        <f t="shared" si="328"/>
        <v>00</v>
      </c>
      <c r="AC1149" t="str">
        <f t="shared" si="329"/>
        <v>0P0</v>
      </c>
      <c r="AD1149" t="str">
        <f t="shared" si="330"/>
        <v>P00</v>
      </c>
      <c r="AE1149" t="str">
        <f t="shared" si="331"/>
        <v>0P0</v>
      </c>
      <c r="AF1149" t="str">
        <f t="shared" si="332"/>
        <v>P00</v>
      </c>
      <c r="AG1149" t="str">
        <f t="shared" si="338"/>
        <v>0P00</v>
      </c>
      <c r="AH1149" t="str">
        <f t="shared" si="339"/>
        <v>P000</v>
      </c>
      <c r="AI1149" t="str">
        <f t="shared" si="340"/>
        <v>0P00</v>
      </c>
      <c r="AJ1149" t="str">
        <f t="shared" si="341"/>
        <v>P000</v>
      </c>
    </row>
    <row r="1150" spans="1:36" x14ac:dyDescent="0.25">
      <c r="A1150" s="325" t="str">
        <f>CONCATENATE("P",'906MP'!M850)</f>
        <v>P</v>
      </c>
      <c r="B1150">
        <f>'906MP'!H850</f>
        <v>0</v>
      </c>
      <c r="C1150">
        <f>'906MP'!J850</f>
        <v>0</v>
      </c>
      <c r="D1150">
        <f>'906MP'!P850</f>
        <v>0</v>
      </c>
      <c r="E1150">
        <f>'906MP'!X850</f>
        <v>0</v>
      </c>
      <c r="F1150" t="str">
        <f t="shared" si="333"/>
        <v>0</v>
      </c>
      <c r="G1150" t="str">
        <f t="shared" si="334"/>
        <v>0</v>
      </c>
      <c r="H1150">
        <f>'906MP'!Y850</f>
        <v>0</v>
      </c>
      <c r="I1150">
        <f>'906MP'!AK850</f>
        <v>0</v>
      </c>
      <c r="J1150">
        <f>'906MP'!T850</f>
        <v>0</v>
      </c>
      <c r="K1150">
        <f>'906MP'!AJ850</f>
        <v>0</v>
      </c>
      <c r="L1150">
        <f>'906MP'!U850</f>
        <v>0</v>
      </c>
      <c r="M1150" s="322" t="str">
        <f>IFERROR(VLOOKUP(A1150,PAR!$D$3:$E$53,2,FALSE),"nincs szervezet")</f>
        <v>nincs szervezet</v>
      </c>
      <c r="N1150" s="322" t="str">
        <f>VLOOKUP(F1150,PAR!$R$3:$S$5,2,FALSE)</f>
        <v>3 - egyik sem</v>
      </c>
      <c r="O1150" t="str">
        <f>IFERROR(VLOOKUP(J1150,PAR!$O$3:$P$5,2,FALSE),"nincs feladat")</f>
        <v>nincs feladat</v>
      </c>
      <c r="P1150" t="str">
        <f>IFERROR(VLOOKUP(G1150,PAR!$J$2:$M$19,4),"nincs rovat")</f>
        <v>nincs rovat</v>
      </c>
      <c r="Q1150" t="str">
        <f>IF(H1150&gt;0,VLOOKUP(H1150,PAR!$AA$3:$AC$187,3,FALSE),"nincs főkönyvi számla")</f>
        <v>nincs főkönyvi számla</v>
      </c>
      <c r="R1150" t="str">
        <f>IFERROR(VLOOKUP(K1150,PAR!$V$3:$X$438,3,FALSE),"000000 - Nincs COFOG")</f>
        <v>000000 - Nincs COFOG</v>
      </c>
      <c r="S1150">
        <f t="shared" si="335"/>
        <v>0</v>
      </c>
      <c r="T1150">
        <f t="shared" si="336"/>
        <v>0</v>
      </c>
      <c r="U1150" t="str">
        <f>IF('906MP'!J850&gt;0,CONCATENATE('906MP'!J850," - ",'906MP'!P850,", ",'906MP'!E850),"nincs megjegyzés")</f>
        <v>nincs megjegyzés</v>
      </c>
      <c r="V1150" t="str">
        <f t="shared" si="323"/>
        <v>0P0</v>
      </c>
      <c r="W1150" t="str">
        <f t="shared" si="324"/>
        <v>0P0</v>
      </c>
      <c r="X1150" t="str">
        <f t="shared" si="325"/>
        <v>P0</v>
      </c>
      <c r="Y1150" t="str">
        <f t="shared" si="326"/>
        <v>00</v>
      </c>
      <c r="Z1150" t="str">
        <f t="shared" si="337"/>
        <v>00</v>
      </c>
      <c r="AA1150" t="str">
        <f t="shared" si="327"/>
        <v>00</v>
      </c>
      <c r="AB1150" t="str">
        <f t="shared" si="328"/>
        <v>00</v>
      </c>
      <c r="AC1150" t="str">
        <f t="shared" si="329"/>
        <v>0P0</v>
      </c>
      <c r="AD1150" t="str">
        <f t="shared" si="330"/>
        <v>P00</v>
      </c>
      <c r="AE1150" t="str">
        <f t="shared" si="331"/>
        <v>0P0</v>
      </c>
      <c r="AF1150" t="str">
        <f t="shared" si="332"/>
        <v>P00</v>
      </c>
      <c r="AG1150" t="str">
        <f t="shared" si="338"/>
        <v>0P00</v>
      </c>
      <c r="AH1150" t="str">
        <f t="shared" si="339"/>
        <v>P000</v>
      </c>
      <c r="AI1150" t="str">
        <f t="shared" si="340"/>
        <v>0P00</v>
      </c>
      <c r="AJ1150" t="str">
        <f t="shared" si="341"/>
        <v>P000</v>
      </c>
    </row>
    <row r="1151" spans="1:36" x14ac:dyDescent="0.25">
      <c r="A1151" s="325" t="str">
        <f>CONCATENATE("P",'906MP'!M851)</f>
        <v>P</v>
      </c>
      <c r="B1151">
        <f>'906MP'!H851</f>
        <v>0</v>
      </c>
      <c r="C1151">
        <f>'906MP'!J851</f>
        <v>0</v>
      </c>
      <c r="D1151">
        <f>'906MP'!P851</f>
        <v>0</v>
      </c>
      <c r="E1151">
        <f>'906MP'!X851</f>
        <v>0</v>
      </c>
      <c r="F1151" t="str">
        <f t="shared" si="333"/>
        <v>0</v>
      </c>
      <c r="G1151" t="str">
        <f t="shared" si="334"/>
        <v>0</v>
      </c>
      <c r="H1151">
        <f>'906MP'!Y851</f>
        <v>0</v>
      </c>
      <c r="I1151">
        <f>'906MP'!AK851</f>
        <v>0</v>
      </c>
      <c r="J1151">
        <f>'906MP'!T851</f>
        <v>0</v>
      </c>
      <c r="K1151">
        <f>'906MP'!AJ851</f>
        <v>0</v>
      </c>
      <c r="L1151">
        <f>'906MP'!U851</f>
        <v>0</v>
      </c>
      <c r="M1151" s="322" t="str">
        <f>IFERROR(VLOOKUP(A1151,PAR!$D$3:$E$53,2,FALSE),"nincs szervezet")</f>
        <v>nincs szervezet</v>
      </c>
      <c r="N1151" s="322" t="str">
        <f>VLOOKUP(F1151,PAR!$R$3:$S$5,2,FALSE)</f>
        <v>3 - egyik sem</v>
      </c>
      <c r="O1151" t="str">
        <f>IFERROR(VLOOKUP(J1151,PAR!$O$3:$P$5,2,FALSE),"nincs feladat")</f>
        <v>nincs feladat</v>
      </c>
      <c r="P1151" t="str">
        <f>IFERROR(VLOOKUP(G1151,PAR!$J$2:$M$19,4),"nincs rovat")</f>
        <v>nincs rovat</v>
      </c>
      <c r="Q1151" t="str">
        <f>IF(H1151&gt;0,VLOOKUP(H1151,PAR!$AA$3:$AC$187,3,FALSE),"nincs főkönyvi számla")</f>
        <v>nincs főkönyvi számla</v>
      </c>
      <c r="R1151" t="str">
        <f>IFERROR(VLOOKUP(K1151,PAR!$V$3:$X$438,3,FALSE),"000000 - Nincs COFOG")</f>
        <v>000000 - Nincs COFOG</v>
      </c>
      <c r="S1151">
        <f t="shared" si="335"/>
        <v>0</v>
      </c>
      <c r="T1151">
        <f t="shared" si="336"/>
        <v>0</v>
      </c>
      <c r="U1151" t="str">
        <f>IF('906MP'!J851&gt;0,CONCATENATE('906MP'!J851," - ",'906MP'!P851,", ",'906MP'!E851),"nincs megjegyzés")</f>
        <v>nincs megjegyzés</v>
      </c>
      <c r="V1151" t="str">
        <f t="shared" si="323"/>
        <v>0P0</v>
      </c>
      <c r="W1151" t="str">
        <f t="shared" si="324"/>
        <v>0P0</v>
      </c>
      <c r="X1151" t="str">
        <f t="shared" si="325"/>
        <v>P0</v>
      </c>
      <c r="Y1151" t="str">
        <f t="shared" si="326"/>
        <v>00</v>
      </c>
      <c r="Z1151" t="str">
        <f t="shared" si="337"/>
        <v>00</v>
      </c>
      <c r="AA1151" t="str">
        <f t="shared" si="327"/>
        <v>00</v>
      </c>
      <c r="AB1151" t="str">
        <f t="shared" si="328"/>
        <v>00</v>
      </c>
      <c r="AC1151" t="str">
        <f t="shared" si="329"/>
        <v>0P0</v>
      </c>
      <c r="AD1151" t="str">
        <f t="shared" si="330"/>
        <v>P00</v>
      </c>
      <c r="AE1151" t="str">
        <f t="shared" si="331"/>
        <v>0P0</v>
      </c>
      <c r="AF1151" t="str">
        <f t="shared" si="332"/>
        <v>P00</v>
      </c>
      <c r="AG1151" t="str">
        <f t="shared" si="338"/>
        <v>0P00</v>
      </c>
      <c r="AH1151" t="str">
        <f t="shared" si="339"/>
        <v>P000</v>
      </c>
      <c r="AI1151" t="str">
        <f t="shared" si="340"/>
        <v>0P00</v>
      </c>
      <c r="AJ1151" t="str">
        <f t="shared" si="341"/>
        <v>P000</v>
      </c>
    </row>
    <row r="1152" spans="1:36" x14ac:dyDescent="0.25">
      <c r="A1152" s="325" t="str">
        <f>CONCATENATE("P",'906MP'!M852)</f>
        <v>P</v>
      </c>
      <c r="B1152">
        <f>'906MP'!H852</f>
        <v>0</v>
      </c>
      <c r="C1152">
        <f>'906MP'!J852</f>
        <v>0</v>
      </c>
      <c r="D1152">
        <f>'906MP'!P852</f>
        <v>0</v>
      </c>
      <c r="E1152">
        <f>'906MP'!X852</f>
        <v>0</v>
      </c>
      <c r="F1152" t="str">
        <f t="shared" si="333"/>
        <v>0</v>
      </c>
      <c r="G1152" t="str">
        <f t="shared" si="334"/>
        <v>0</v>
      </c>
      <c r="H1152">
        <f>'906MP'!Y852</f>
        <v>0</v>
      </c>
      <c r="I1152">
        <f>'906MP'!AK852</f>
        <v>0</v>
      </c>
      <c r="J1152">
        <f>'906MP'!T852</f>
        <v>0</v>
      </c>
      <c r="K1152">
        <f>'906MP'!AJ852</f>
        <v>0</v>
      </c>
      <c r="L1152">
        <f>'906MP'!U852</f>
        <v>0</v>
      </c>
      <c r="M1152" s="322" t="str">
        <f>IFERROR(VLOOKUP(A1152,PAR!$D$3:$E$53,2,FALSE),"nincs szervezet")</f>
        <v>nincs szervezet</v>
      </c>
      <c r="N1152" s="322" t="str">
        <f>VLOOKUP(F1152,PAR!$R$3:$S$5,2,FALSE)</f>
        <v>3 - egyik sem</v>
      </c>
      <c r="O1152" t="str">
        <f>IFERROR(VLOOKUP(J1152,PAR!$O$3:$P$5,2,FALSE),"nincs feladat")</f>
        <v>nincs feladat</v>
      </c>
      <c r="P1152" t="str">
        <f>IFERROR(VLOOKUP(G1152,PAR!$J$2:$M$19,4),"nincs rovat")</f>
        <v>nincs rovat</v>
      </c>
      <c r="Q1152" t="str">
        <f>IF(H1152&gt;0,VLOOKUP(H1152,PAR!$AA$3:$AC$187,3,FALSE),"nincs főkönyvi számla")</f>
        <v>nincs főkönyvi számla</v>
      </c>
      <c r="R1152" t="str">
        <f>IFERROR(VLOOKUP(K1152,PAR!$V$3:$X$438,3,FALSE),"000000 - Nincs COFOG")</f>
        <v>000000 - Nincs COFOG</v>
      </c>
      <c r="S1152">
        <f t="shared" si="335"/>
        <v>0</v>
      </c>
      <c r="T1152">
        <f t="shared" si="336"/>
        <v>0</v>
      </c>
      <c r="U1152" t="str">
        <f>IF('906MP'!J852&gt;0,CONCATENATE('906MP'!J852," - ",'906MP'!P852,", ",'906MP'!E852),"nincs megjegyzés")</f>
        <v>nincs megjegyzés</v>
      </c>
      <c r="V1152" t="str">
        <f t="shared" si="323"/>
        <v>0P0</v>
      </c>
      <c r="W1152" t="str">
        <f t="shared" si="324"/>
        <v>0P0</v>
      </c>
      <c r="X1152" t="str">
        <f t="shared" si="325"/>
        <v>P0</v>
      </c>
      <c r="Y1152" t="str">
        <f t="shared" si="326"/>
        <v>00</v>
      </c>
      <c r="Z1152" t="str">
        <f t="shared" si="337"/>
        <v>00</v>
      </c>
      <c r="AA1152" t="str">
        <f t="shared" si="327"/>
        <v>00</v>
      </c>
      <c r="AB1152" t="str">
        <f t="shared" si="328"/>
        <v>00</v>
      </c>
      <c r="AC1152" t="str">
        <f t="shared" si="329"/>
        <v>0P0</v>
      </c>
      <c r="AD1152" t="str">
        <f t="shared" si="330"/>
        <v>P00</v>
      </c>
      <c r="AE1152" t="str">
        <f t="shared" si="331"/>
        <v>0P0</v>
      </c>
      <c r="AF1152" t="str">
        <f t="shared" si="332"/>
        <v>P00</v>
      </c>
      <c r="AG1152" t="str">
        <f t="shared" si="338"/>
        <v>0P00</v>
      </c>
      <c r="AH1152" t="str">
        <f t="shared" si="339"/>
        <v>P000</v>
      </c>
      <c r="AI1152" t="str">
        <f t="shared" si="340"/>
        <v>0P00</v>
      </c>
      <c r="AJ1152" t="str">
        <f t="shared" si="341"/>
        <v>P000</v>
      </c>
    </row>
    <row r="1153" spans="1:36" x14ac:dyDescent="0.25">
      <c r="A1153" s="325" t="str">
        <f>CONCATENATE("P",'906MP'!M853)</f>
        <v>P</v>
      </c>
      <c r="B1153">
        <f>'906MP'!H853</f>
        <v>0</v>
      </c>
      <c r="C1153">
        <f>'906MP'!J853</f>
        <v>0</v>
      </c>
      <c r="D1153">
        <f>'906MP'!P853</f>
        <v>0</v>
      </c>
      <c r="E1153">
        <f>'906MP'!X853</f>
        <v>0</v>
      </c>
      <c r="F1153" t="str">
        <f t="shared" si="333"/>
        <v>0</v>
      </c>
      <c r="G1153" t="str">
        <f t="shared" si="334"/>
        <v>0</v>
      </c>
      <c r="H1153">
        <f>'906MP'!Y853</f>
        <v>0</v>
      </c>
      <c r="I1153">
        <f>'906MP'!AK853</f>
        <v>0</v>
      </c>
      <c r="J1153">
        <f>'906MP'!T853</f>
        <v>0</v>
      </c>
      <c r="K1153">
        <f>'906MP'!AJ853</f>
        <v>0</v>
      </c>
      <c r="L1153">
        <f>'906MP'!U853</f>
        <v>0</v>
      </c>
      <c r="M1153" s="322" t="str">
        <f>IFERROR(VLOOKUP(A1153,PAR!$D$3:$E$53,2,FALSE),"nincs szervezet")</f>
        <v>nincs szervezet</v>
      </c>
      <c r="N1153" s="322" t="str">
        <f>VLOOKUP(F1153,PAR!$R$3:$S$5,2,FALSE)</f>
        <v>3 - egyik sem</v>
      </c>
      <c r="O1153" t="str">
        <f>IFERROR(VLOOKUP(J1153,PAR!$O$3:$P$5,2,FALSE),"nincs feladat")</f>
        <v>nincs feladat</v>
      </c>
      <c r="P1153" t="str">
        <f>IFERROR(VLOOKUP(G1153,PAR!$J$2:$M$19,4),"nincs rovat")</f>
        <v>nincs rovat</v>
      </c>
      <c r="Q1153" t="str">
        <f>IF(H1153&gt;0,VLOOKUP(H1153,PAR!$AA$3:$AC$187,3,FALSE),"nincs főkönyvi számla")</f>
        <v>nincs főkönyvi számla</v>
      </c>
      <c r="R1153" t="str">
        <f>IFERROR(VLOOKUP(K1153,PAR!$V$3:$X$438,3,FALSE),"000000 - Nincs COFOG")</f>
        <v>000000 - Nincs COFOG</v>
      </c>
      <c r="S1153">
        <f t="shared" si="335"/>
        <v>0</v>
      </c>
      <c r="T1153">
        <f t="shared" si="336"/>
        <v>0</v>
      </c>
      <c r="U1153" t="str">
        <f>IF('906MP'!J853&gt;0,CONCATENATE('906MP'!J853," - ",'906MP'!P853,", ",'906MP'!E853),"nincs megjegyzés")</f>
        <v>nincs megjegyzés</v>
      </c>
      <c r="V1153" t="str">
        <f t="shared" si="323"/>
        <v>0P0</v>
      </c>
      <c r="W1153" t="str">
        <f t="shared" si="324"/>
        <v>0P0</v>
      </c>
      <c r="X1153" t="str">
        <f t="shared" si="325"/>
        <v>P0</v>
      </c>
      <c r="Y1153" t="str">
        <f t="shared" si="326"/>
        <v>00</v>
      </c>
      <c r="Z1153" t="str">
        <f t="shared" si="337"/>
        <v>00</v>
      </c>
      <c r="AA1153" t="str">
        <f t="shared" si="327"/>
        <v>00</v>
      </c>
      <c r="AB1153" t="str">
        <f t="shared" si="328"/>
        <v>00</v>
      </c>
      <c r="AC1153" t="str">
        <f t="shared" si="329"/>
        <v>0P0</v>
      </c>
      <c r="AD1153" t="str">
        <f t="shared" si="330"/>
        <v>P00</v>
      </c>
      <c r="AE1153" t="str">
        <f t="shared" si="331"/>
        <v>0P0</v>
      </c>
      <c r="AF1153" t="str">
        <f t="shared" si="332"/>
        <v>P00</v>
      </c>
      <c r="AG1153" t="str">
        <f t="shared" si="338"/>
        <v>0P00</v>
      </c>
      <c r="AH1153" t="str">
        <f t="shared" si="339"/>
        <v>P000</v>
      </c>
      <c r="AI1153" t="str">
        <f t="shared" si="340"/>
        <v>0P00</v>
      </c>
      <c r="AJ1153" t="str">
        <f t="shared" si="341"/>
        <v>P000</v>
      </c>
    </row>
    <row r="1154" spans="1:36" x14ac:dyDescent="0.25">
      <c r="A1154" s="325" t="str">
        <f>CONCATENATE("P",'906MP'!M854)</f>
        <v>P</v>
      </c>
      <c r="B1154">
        <f>'906MP'!H854</f>
        <v>0</v>
      </c>
      <c r="C1154">
        <f>'906MP'!J854</f>
        <v>0</v>
      </c>
      <c r="D1154">
        <f>'906MP'!P854</f>
        <v>0</v>
      </c>
      <c r="E1154">
        <f>'906MP'!X854</f>
        <v>0</v>
      </c>
      <c r="F1154" t="str">
        <f t="shared" si="333"/>
        <v>0</v>
      </c>
      <c r="G1154" t="str">
        <f t="shared" si="334"/>
        <v>0</v>
      </c>
      <c r="H1154">
        <f>'906MP'!Y854</f>
        <v>0</v>
      </c>
      <c r="I1154">
        <f>'906MP'!AK854</f>
        <v>0</v>
      </c>
      <c r="J1154">
        <f>'906MP'!T854</f>
        <v>0</v>
      </c>
      <c r="K1154">
        <f>'906MP'!AJ854</f>
        <v>0</v>
      </c>
      <c r="L1154">
        <f>'906MP'!U854</f>
        <v>0</v>
      </c>
      <c r="M1154" s="322" t="str">
        <f>IFERROR(VLOOKUP(A1154,PAR!$D$3:$E$53,2,FALSE),"nincs szervezet")</f>
        <v>nincs szervezet</v>
      </c>
      <c r="N1154" s="322" t="str">
        <f>VLOOKUP(F1154,PAR!$R$3:$S$5,2,FALSE)</f>
        <v>3 - egyik sem</v>
      </c>
      <c r="O1154" t="str">
        <f>IFERROR(VLOOKUP(J1154,PAR!$O$3:$P$5,2,FALSE),"nincs feladat")</f>
        <v>nincs feladat</v>
      </c>
      <c r="P1154" t="str">
        <f>IFERROR(VLOOKUP(G1154,PAR!$J$2:$M$19,4),"nincs rovat")</f>
        <v>nincs rovat</v>
      </c>
      <c r="Q1154" t="str">
        <f>IF(H1154&gt;0,VLOOKUP(H1154,PAR!$AA$3:$AC$187,3,FALSE),"nincs főkönyvi számla")</f>
        <v>nincs főkönyvi számla</v>
      </c>
      <c r="R1154" t="str">
        <f>IFERROR(VLOOKUP(K1154,PAR!$V$3:$X$438,3,FALSE),"000000 - Nincs COFOG")</f>
        <v>000000 - Nincs COFOG</v>
      </c>
      <c r="S1154">
        <f t="shared" si="335"/>
        <v>0</v>
      </c>
      <c r="T1154">
        <f t="shared" si="336"/>
        <v>0</v>
      </c>
      <c r="U1154" t="str">
        <f>IF('906MP'!J854&gt;0,CONCATENATE('906MP'!J854," - ",'906MP'!P854,", ",'906MP'!E854),"nincs megjegyzés")</f>
        <v>nincs megjegyzés</v>
      </c>
      <c r="V1154" t="str">
        <f t="shared" ref="V1154:V1217" si="342">CONCATENATE(B1154,A1154,G1154)</f>
        <v>0P0</v>
      </c>
      <c r="W1154" t="str">
        <f t="shared" ref="W1154:W1217" si="343">CONCATENATE(B1154,A1154,F1154)</f>
        <v>0P0</v>
      </c>
      <c r="X1154" t="str">
        <f t="shared" ref="X1154:X1217" si="344">CONCATENATE(A1154,H1154)</f>
        <v>P0</v>
      </c>
      <c r="Y1154" t="str">
        <f t="shared" ref="Y1154:Y1217" si="345">CONCATENATE(B1154,H1154)</f>
        <v>00</v>
      </c>
      <c r="Z1154" t="str">
        <f t="shared" si="337"/>
        <v>00</v>
      </c>
      <c r="AA1154" t="str">
        <f t="shared" ref="AA1154:AA1217" si="346">CONCATENATE(B1154,G1154)</f>
        <v>00</v>
      </c>
      <c r="AB1154" t="str">
        <f t="shared" ref="AB1154:AB1217" si="347">CONCATENATE(J1154,G1154)</f>
        <v>00</v>
      </c>
      <c r="AC1154" t="str">
        <f t="shared" ref="AC1154:AC1217" si="348">CONCATENATE(B1154,A1154,H1154)</f>
        <v>0P0</v>
      </c>
      <c r="AD1154" t="str">
        <f t="shared" ref="AD1154:AD1217" si="349">CONCATENATE(A1154,H1154,J1154)</f>
        <v>P00</v>
      </c>
      <c r="AE1154" t="str">
        <f t="shared" ref="AE1154:AE1217" si="350">CONCATENATE(B1154,A1154,G1154)</f>
        <v>0P0</v>
      </c>
      <c r="AF1154" t="str">
        <f t="shared" ref="AF1154:AF1217" si="351">CONCATENATE(A1154,G1154,J1154)</f>
        <v>P00</v>
      </c>
      <c r="AG1154" t="str">
        <f t="shared" si="338"/>
        <v>0P00</v>
      </c>
      <c r="AH1154" t="str">
        <f t="shared" si="339"/>
        <v>P000</v>
      </c>
      <c r="AI1154" t="str">
        <f t="shared" si="340"/>
        <v>0P00</v>
      </c>
      <c r="AJ1154" t="str">
        <f t="shared" si="341"/>
        <v>P000</v>
      </c>
    </row>
    <row r="1155" spans="1:36" x14ac:dyDescent="0.25">
      <c r="A1155" s="325" t="str">
        <f>CONCATENATE("P",'906MP'!M855)</f>
        <v>P</v>
      </c>
      <c r="B1155">
        <f>'906MP'!H855</f>
        <v>0</v>
      </c>
      <c r="C1155">
        <f>'906MP'!J855</f>
        <v>0</v>
      </c>
      <c r="D1155">
        <f>'906MP'!P855</f>
        <v>0</v>
      </c>
      <c r="E1155">
        <f>'906MP'!X855</f>
        <v>0</v>
      </c>
      <c r="F1155" t="str">
        <f t="shared" ref="F1155:F1218" si="352">LEFT(G1155,2)</f>
        <v>0</v>
      </c>
      <c r="G1155" t="str">
        <f t="shared" ref="G1155:G1218" si="353">LEFT(H1155,3)</f>
        <v>0</v>
      </c>
      <c r="H1155">
        <f>'906MP'!Y855</f>
        <v>0</v>
      </c>
      <c r="I1155">
        <f>'906MP'!AK855</f>
        <v>0</v>
      </c>
      <c r="J1155">
        <f>'906MP'!T855</f>
        <v>0</v>
      </c>
      <c r="K1155">
        <f>'906MP'!AJ855</f>
        <v>0</v>
      </c>
      <c r="L1155">
        <f>'906MP'!U855</f>
        <v>0</v>
      </c>
      <c r="M1155" s="322" t="str">
        <f>IFERROR(VLOOKUP(A1155,PAR!$D$3:$E$53,2,FALSE),"nincs szervezet")</f>
        <v>nincs szervezet</v>
      </c>
      <c r="N1155" s="322" t="str">
        <f>VLOOKUP(F1155,PAR!$R$3:$S$5,2,FALSE)</f>
        <v>3 - egyik sem</v>
      </c>
      <c r="O1155" t="str">
        <f>IFERROR(VLOOKUP(J1155,PAR!$O$3:$P$5,2,FALSE),"nincs feladat")</f>
        <v>nincs feladat</v>
      </c>
      <c r="P1155" t="str">
        <f>IFERROR(VLOOKUP(G1155,PAR!$J$2:$M$19,4),"nincs rovat")</f>
        <v>nincs rovat</v>
      </c>
      <c r="Q1155" t="str">
        <f>IF(H1155&gt;0,VLOOKUP(H1155,PAR!$AA$3:$AC$187,3,FALSE),"nincs főkönyvi számla")</f>
        <v>nincs főkönyvi számla</v>
      </c>
      <c r="R1155" t="str">
        <f>IFERROR(VLOOKUP(K1155,PAR!$V$3:$X$438,3,FALSE),"000000 - Nincs COFOG")</f>
        <v>000000 - Nincs COFOG</v>
      </c>
      <c r="S1155">
        <f t="shared" ref="S1155:S1218" si="354">E1155</f>
        <v>0</v>
      </c>
      <c r="T1155">
        <f t="shared" ref="T1155:T1218" si="355">IF(F1155="09",E1155*-1,E1155)</f>
        <v>0</v>
      </c>
      <c r="U1155" t="str">
        <f>IF('906MP'!J855&gt;0,CONCATENATE('906MP'!J855," - ",'906MP'!P855,", ",'906MP'!E855),"nincs megjegyzés")</f>
        <v>nincs megjegyzés</v>
      </c>
      <c r="V1155" t="str">
        <f t="shared" si="342"/>
        <v>0P0</v>
      </c>
      <c r="W1155" t="str">
        <f t="shared" si="343"/>
        <v>0P0</v>
      </c>
      <c r="X1155" t="str">
        <f t="shared" si="344"/>
        <v>P0</v>
      </c>
      <c r="Y1155" t="str">
        <f t="shared" si="345"/>
        <v>00</v>
      </c>
      <c r="Z1155" t="str">
        <f t="shared" ref="Z1155:Z1218" si="356">CONCATENATE(J1155,H1155)</f>
        <v>00</v>
      </c>
      <c r="AA1155" t="str">
        <f t="shared" si="346"/>
        <v>00</v>
      </c>
      <c r="AB1155" t="str">
        <f t="shared" si="347"/>
        <v>00</v>
      </c>
      <c r="AC1155" t="str">
        <f t="shared" si="348"/>
        <v>0P0</v>
      </c>
      <c r="AD1155" t="str">
        <f t="shared" si="349"/>
        <v>P00</v>
      </c>
      <c r="AE1155" t="str">
        <f t="shared" si="350"/>
        <v>0P0</v>
      </c>
      <c r="AF1155" t="str">
        <f t="shared" si="351"/>
        <v>P00</v>
      </c>
      <c r="AG1155" t="str">
        <f t="shared" ref="AG1155:AG1218" si="357">CONCATENATE(B1155,A1155,H1155,L1155)</f>
        <v>0P00</v>
      </c>
      <c r="AH1155" t="str">
        <f t="shared" ref="AH1155:AH1218" si="358">CONCATENATE(A1155,J1155,H1155,L1155)</f>
        <v>P000</v>
      </c>
      <c r="AI1155" t="str">
        <f t="shared" ref="AI1155:AI1218" si="359">CONCATENATE(B1155,A1155,G1155,L1155)</f>
        <v>0P00</v>
      </c>
      <c r="AJ1155" t="str">
        <f t="shared" ref="AJ1155:AJ1218" si="360">CONCATENATE(A1155,G1155,J1155,L1155)</f>
        <v>P000</v>
      </c>
    </row>
    <row r="1156" spans="1:36" x14ac:dyDescent="0.25">
      <c r="A1156" s="325" t="str">
        <f>CONCATENATE("P",'906MP'!M856)</f>
        <v>P</v>
      </c>
      <c r="B1156">
        <f>'906MP'!H856</f>
        <v>0</v>
      </c>
      <c r="C1156">
        <f>'906MP'!J856</f>
        <v>0</v>
      </c>
      <c r="D1156">
        <f>'906MP'!P856</f>
        <v>0</v>
      </c>
      <c r="E1156">
        <f>'906MP'!X856</f>
        <v>0</v>
      </c>
      <c r="F1156" t="str">
        <f t="shared" si="352"/>
        <v>0</v>
      </c>
      <c r="G1156" t="str">
        <f t="shared" si="353"/>
        <v>0</v>
      </c>
      <c r="H1156">
        <f>'906MP'!Y856</f>
        <v>0</v>
      </c>
      <c r="I1156">
        <f>'906MP'!AK856</f>
        <v>0</v>
      </c>
      <c r="J1156">
        <f>'906MP'!T856</f>
        <v>0</v>
      </c>
      <c r="K1156">
        <f>'906MP'!AJ856</f>
        <v>0</v>
      </c>
      <c r="L1156">
        <f>'906MP'!U856</f>
        <v>0</v>
      </c>
      <c r="M1156" s="322" t="str">
        <f>IFERROR(VLOOKUP(A1156,PAR!$D$3:$E$53,2,FALSE),"nincs szervezet")</f>
        <v>nincs szervezet</v>
      </c>
      <c r="N1156" s="322" t="str">
        <f>VLOOKUP(F1156,PAR!$R$3:$S$5,2,FALSE)</f>
        <v>3 - egyik sem</v>
      </c>
      <c r="O1156" t="str">
        <f>IFERROR(VLOOKUP(J1156,PAR!$O$3:$P$5,2,FALSE),"nincs feladat")</f>
        <v>nincs feladat</v>
      </c>
      <c r="P1156" t="str">
        <f>IFERROR(VLOOKUP(G1156,PAR!$J$2:$M$19,4),"nincs rovat")</f>
        <v>nincs rovat</v>
      </c>
      <c r="Q1156" t="str">
        <f>IF(H1156&gt;0,VLOOKUP(H1156,PAR!$AA$3:$AC$187,3,FALSE),"nincs főkönyvi számla")</f>
        <v>nincs főkönyvi számla</v>
      </c>
      <c r="R1156" t="str">
        <f>IFERROR(VLOOKUP(K1156,PAR!$V$3:$X$438,3,FALSE),"000000 - Nincs COFOG")</f>
        <v>000000 - Nincs COFOG</v>
      </c>
      <c r="S1156">
        <f t="shared" si="354"/>
        <v>0</v>
      </c>
      <c r="T1156">
        <f t="shared" si="355"/>
        <v>0</v>
      </c>
      <c r="U1156" t="str">
        <f>IF('906MP'!J856&gt;0,CONCATENATE('906MP'!J856," - ",'906MP'!P856,", ",'906MP'!E856),"nincs megjegyzés")</f>
        <v>nincs megjegyzés</v>
      </c>
      <c r="V1156" t="str">
        <f t="shared" si="342"/>
        <v>0P0</v>
      </c>
      <c r="W1156" t="str">
        <f t="shared" si="343"/>
        <v>0P0</v>
      </c>
      <c r="X1156" t="str">
        <f t="shared" si="344"/>
        <v>P0</v>
      </c>
      <c r="Y1156" t="str">
        <f t="shared" si="345"/>
        <v>00</v>
      </c>
      <c r="Z1156" t="str">
        <f t="shared" si="356"/>
        <v>00</v>
      </c>
      <c r="AA1156" t="str">
        <f t="shared" si="346"/>
        <v>00</v>
      </c>
      <c r="AB1156" t="str">
        <f t="shared" si="347"/>
        <v>00</v>
      </c>
      <c r="AC1156" t="str">
        <f t="shared" si="348"/>
        <v>0P0</v>
      </c>
      <c r="AD1156" t="str">
        <f t="shared" si="349"/>
        <v>P00</v>
      </c>
      <c r="AE1156" t="str">
        <f t="shared" si="350"/>
        <v>0P0</v>
      </c>
      <c r="AF1156" t="str">
        <f t="shared" si="351"/>
        <v>P00</v>
      </c>
      <c r="AG1156" t="str">
        <f t="shared" si="357"/>
        <v>0P00</v>
      </c>
      <c r="AH1156" t="str">
        <f t="shared" si="358"/>
        <v>P000</v>
      </c>
      <c r="AI1156" t="str">
        <f t="shared" si="359"/>
        <v>0P00</v>
      </c>
      <c r="AJ1156" t="str">
        <f t="shared" si="360"/>
        <v>P000</v>
      </c>
    </row>
    <row r="1157" spans="1:36" x14ac:dyDescent="0.25">
      <c r="A1157" s="325" t="str">
        <f>CONCATENATE("P",'906MP'!M857)</f>
        <v>P</v>
      </c>
      <c r="B1157">
        <f>'906MP'!H857</f>
        <v>0</v>
      </c>
      <c r="C1157">
        <f>'906MP'!J857</f>
        <v>0</v>
      </c>
      <c r="D1157">
        <f>'906MP'!P857</f>
        <v>0</v>
      </c>
      <c r="E1157">
        <f>'906MP'!X857</f>
        <v>0</v>
      </c>
      <c r="F1157" t="str">
        <f t="shared" si="352"/>
        <v>0</v>
      </c>
      <c r="G1157" t="str">
        <f t="shared" si="353"/>
        <v>0</v>
      </c>
      <c r="H1157">
        <f>'906MP'!Y857</f>
        <v>0</v>
      </c>
      <c r="I1157">
        <f>'906MP'!AK857</f>
        <v>0</v>
      </c>
      <c r="J1157">
        <f>'906MP'!T857</f>
        <v>0</v>
      </c>
      <c r="K1157">
        <f>'906MP'!AJ857</f>
        <v>0</v>
      </c>
      <c r="L1157">
        <f>'906MP'!U857</f>
        <v>0</v>
      </c>
      <c r="M1157" s="322" t="str">
        <f>IFERROR(VLOOKUP(A1157,PAR!$D$3:$E$53,2,FALSE),"nincs szervezet")</f>
        <v>nincs szervezet</v>
      </c>
      <c r="N1157" s="322" t="str">
        <f>VLOOKUP(F1157,PAR!$R$3:$S$5,2,FALSE)</f>
        <v>3 - egyik sem</v>
      </c>
      <c r="O1157" t="str">
        <f>IFERROR(VLOOKUP(J1157,PAR!$O$3:$P$5,2,FALSE),"nincs feladat")</f>
        <v>nincs feladat</v>
      </c>
      <c r="P1157" t="str">
        <f>IFERROR(VLOOKUP(G1157,PAR!$J$2:$M$19,4),"nincs rovat")</f>
        <v>nincs rovat</v>
      </c>
      <c r="Q1157" t="str">
        <f>IF(H1157&gt;0,VLOOKUP(H1157,PAR!$AA$3:$AC$187,3,FALSE),"nincs főkönyvi számla")</f>
        <v>nincs főkönyvi számla</v>
      </c>
      <c r="R1157" t="str">
        <f>IFERROR(VLOOKUP(K1157,PAR!$V$3:$X$438,3,FALSE),"000000 - Nincs COFOG")</f>
        <v>000000 - Nincs COFOG</v>
      </c>
      <c r="S1157">
        <f t="shared" si="354"/>
        <v>0</v>
      </c>
      <c r="T1157">
        <f t="shared" si="355"/>
        <v>0</v>
      </c>
      <c r="U1157" t="str">
        <f>IF('906MP'!J857&gt;0,CONCATENATE('906MP'!J857," - ",'906MP'!P857,", ",'906MP'!E857),"nincs megjegyzés")</f>
        <v>nincs megjegyzés</v>
      </c>
      <c r="V1157" t="str">
        <f t="shared" si="342"/>
        <v>0P0</v>
      </c>
      <c r="W1157" t="str">
        <f t="shared" si="343"/>
        <v>0P0</v>
      </c>
      <c r="X1157" t="str">
        <f t="shared" si="344"/>
        <v>P0</v>
      </c>
      <c r="Y1157" t="str">
        <f t="shared" si="345"/>
        <v>00</v>
      </c>
      <c r="Z1157" t="str">
        <f t="shared" si="356"/>
        <v>00</v>
      </c>
      <c r="AA1157" t="str">
        <f t="shared" si="346"/>
        <v>00</v>
      </c>
      <c r="AB1157" t="str">
        <f t="shared" si="347"/>
        <v>00</v>
      </c>
      <c r="AC1157" t="str">
        <f t="shared" si="348"/>
        <v>0P0</v>
      </c>
      <c r="AD1157" t="str">
        <f t="shared" si="349"/>
        <v>P00</v>
      </c>
      <c r="AE1157" t="str">
        <f t="shared" si="350"/>
        <v>0P0</v>
      </c>
      <c r="AF1157" t="str">
        <f t="shared" si="351"/>
        <v>P00</v>
      </c>
      <c r="AG1157" t="str">
        <f t="shared" si="357"/>
        <v>0P00</v>
      </c>
      <c r="AH1157" t="str">
        <f t="shared" si="358"/>
        <v>P000</v>
      </c>
      <c r="AI1157" t="str">
        <f t="shared" si="359"/>
        <v>0P00</v>
      </c>
      <c r="AJ1157" t="str">
        <f t="shared" si="360"/>
        <v>P000</v>
      </c>
    </row>
    <row r="1158" spans="1:36" x14ac:dyDescent="0.25">
      <c r="A1158" s="325" t="str">
        <f>CONCATENATE("P",'906MP'!M858)</f>
        <v>P</v>
      </c>
      <c r="B1158">
        <f>'906MP'!H858</f>
        <v>0</v>
      </c>
      <c r="C1158">
        <f>'906MP'!J858</f>
        <v>0</v>
      </c>
      <c r="D1158">
        <f>'906MP'!P858</f>
        <v>0</v>
      </c>
      <c r="E1158">
        <f>'906MP'!X858</f>
        <v>0</v>
      </c>
      <c r="F1158" t="str">
        <f t="shared" si="352"/>
        <v>0</v>
      </c>
      <c r="G1158" t="str">
        <f t="shared" si="353"/>
        <v>0</v>
      </c>
      <c r="H1158">
        <f>'906MP'!Y858</f>
        <v>0</v>
      </c>
      <c r="I1158">
        <f>'906MP'!AK858</f>
        <v>0</v>
      </c>
      <c r="J1158">
        <f>'906MP'!T858</f>
        <v>0</v>
      </c>
      <c r="K1158">
        <f>'906MP'!AJ858</f>
        <v>0</v>
      </c>
      <c r="L1158">
        <f>'906MP'!U858</f>
        <v>0</v>
      </c>
      <c r="M1158" s="322" t="str">
        <f>IFERROR(VLOOKUP(A1158,PAR!$D$3:$E$53,2,FALSE),"nincs szervezet")</f>
        <v>nincs szervezet</v>
      </c>
      <c r="N1158" s="322" t="str">
        <f>VLOOKUP(F1158,PAR!$R$3:$S$5,2,FALSE)</f>
        <v>3 - egyik sem</v>
      </c>
      <c r="O1158" t="str">
        <f>IFERROR(VLOOKUP(J1158,PAR!$O$3:$P$5,2,FALSE),"nincs feladat")</f>
        <v>nincs feladat</v>
      </c>
      <c r="P1158" t="str">
        <f>IFERROR(VLOOKUP(G1158,PAR!$J$2:$M$19,4),"nincs rovat")</f>
        <v>nincs rovat</v>
      </c>
      <c r="Q1158" t="str">
        <f>IF(H1158&gt;0,VLOOKUP(H1158,PAR!$AA$3:$AC$187,3,FALSE),"nincs főkönyvi számla")</f>
        <v>nincs főkönyvi számla</v>
      </c>
      <c r="R1158" t="str">
        <f>IFERROR(VLOOKUP(K1158,PAR!$V$3:$X$438,3,FALSE),"000000 - Nincs COFOG")</f>
        <v>000000 - Nincs COFOG</v>
      </c>
      <c r="S1158">
        <f t="shared" si="354"/>
        <v>0</v>
      </c>
      <c r="T1158">
        <f t="shared" si="355"/>
        <v>0</v>
      </c>
      <c r="U1158" t="str">
        <f>IF('906MP'!J858&gt;0,CONCATENATE('906MP'!J858," - ",'906MP'!P858,", ",'906MP'!E858),"nincs megjegyzés")</f>
        <v>nincs megjegyzés</v>
      </c>
      <c r="V1158" t="str">
        <f t="shared" si="342"/>
        <v>0P0</v>
      </c>
      <c r="W1158" t="str">
        <f t="shared" si="343"/>
        <v>0P0</v>
      </c>
      <c r="X1158" t="str">
        <f t="shared" si="344"/>
        <v>P0</v>
      </c>
      <c r="Y1158" t="str">
        <f t="shared" si="345"/>
        <v>00</v>
      </c>
      <c r="Z1158" t="str">
        <f t="shared" si="356"/>
        <v>00</v>
      </c>
      <c r="AA1158" t="str">
        <f t="shared" si="346"/>
        <v>00</v>
      </c>
      <c r="AB1158" t="str">
        <f t="shared" si="347"/>
        <v>00</v>
      </c>
      <c r="AC1158" t="str">
        <f t="shared" si="348"/>
        <v>0P0</v>
      </c>
      <c r="AD1158" t="str">
        <f t="shared" si="349"/>
        <v>P00</v>
      </c>
      <c r="AE1158" t="str">
        <f t="shared" si="350"/>
        <v>0P0</v>
      </c>
      <c r="AF1158" t="str">
        <f t="shared" si="351"/>
        <v>P00</v>
      </c>
      <c r="AG1158" t="str">
        <f t="shared" si="357"/>
        <v>0P00</v>
      </c>
      <c r="AH1158" t="str">
        <f t="shared" si="358"/>
        <v>P000</v>
      </c>
      <c r="AI1158" t="str">
        <f t="shared" si="359"/>
        <v>0P00</v>
      </c>
      <c r="AJ1158" t="str">
        <f t="shared" si="360"/>
        <v>P000</v>
      </c>
    </row>
    <row r="1159" spans="1:36" x14ac:dyDescent="0.25">
      <c r="A1159" s="325" t="str">
        <f>CONCATENATE("P",'906MP'!M859)</f>
        <v>P</v>
      </c>
      <c r="B1159">
        <f>'906MP'!H859</f>
        <v>0</v>
      </c>
      <c r="C1159">
        <f>'906MP'!J859</f>
        <v>0</v>
      </c>
      <c r="D1159">
        <f>'906MP'!P859</f>
        <v>0</v>
      </c>
      <c r="E1159">
        <f>'906MP'!X859</f>
        <v>0</v>
      </c>
      <c r="F1159" t="str">
        <f t="shared" si="352"/>
        <v>0</v>
      </c>
      <c r="G1159" t="str">
        <f t="shared" si="353"/>
        <v>0</v>
      </c>
      <c r="H1159">
        <f>'906MP'!Y859</f>
        <v>0</v>
      </c>
      <c r="I1159">
        <f>'906MP'!AK859</f>
        <v>0</v>
      </c>
      <c r="J1159">
        <f>'906MP'!T859</f>
        <v>0</v>
      </c>
      <c r="K1159">
        <f>'906MP'!AJ859</f>
        <v>0</v>
      </c>
      <c r="L1159">
        <f>'906MP'!U859</f>
        <v>0</v>
      </c>
      <c r="M1159" s="322" t="str">
        <f>IFERROR(VLOOKUP(A1159,PAR!$D$3:$E$53,2,FALSE),"nincs szervezet")</f>
        <v>nincs szervezet</v>
      </c>
      <c r="N1159" s="322" t="str">
        <f>VLOOKUP(F1159,PAR!$R$3:$S$5,2,FALSE)</f>
        <v>3 - egyik sem</v>
      </c>
      <c r="O1159" t="str">
        <f>IFERROR(VLOOKUP(J1159,PAR!$O$3:$P$5,2,FALSE),"nincs feladat")</f>
        <v>nincs feladat</v>
      </c>
      <c r="P1159" t="str">
        <f>IFERROR(VLOOKUP(G1159,PAR!$J$2:$M$19,4),"nincs rovat")</f>
        <v>nincs rovat</v>
      </c>
      <c r="Q1159" t="str">
        <f>IF(H1159&gt;0,VLOOKUP(H1159,PAR!$AA$3:$AC$187,3,FALSE),"nincs főkönyvi számla")</f>
        <v>nincs főkönyvi számla</v>
      </c>
      <c r="R1159" t="str">
        <f>IFERROR(VLOOKUP(K1159,PAR!$V$3:$X$438,3,FALSE),"000000 - Nincs COFOG")</f>
        <v>000000 - Nincs COFOG</v>
      </c>
      <c r="S1159">
        <f t="shared" si="354"/>
        <v>0</v>
      </c>
      <c r="T1159">
        <f t="shared" si="355"/>
        <v>0</v>
      </c>
      <c r="U1159" t="str">
        <f>IF('906MP'!J859&gt;0,CONCATENATE('906MP'!J859," - ",'906MP'!P859,", ",'906MP'!E859),"nincs megjegyzés")</f>
        <v>nincs megjegyzés</v>
      </c>
      <c r="V1159" t="str">
        <f t="shared" si="342"/>
        <v>0P0</v>
      </c>
      <c r="W1159" t="str">
        <f t="shared" si="343"/>
        <v>0P0</v>
      </c>
      <c r="X1159" t="str">
        <f t="shared" si="344"/>
        <v>P0</v>
      </c>
      <c r="Y1159" t="str">
        <f t="shared" si="345"/>
        <v>00</v>
      </c>
      <c r="Z1159" t="str">
        <f t="shared" si="356"/>
        <v>00</v>
      </c>
      <c r="AA1159" t="str">
        <f t="shared" si="346"/>
        <v>00</v>
      </c>
      <c r="AB1159" t="str">
        <f t="shared" si="347"/>
        <v>00</v>
      </c>
      <c r="AC1159" t="str">
        <f t="shared" si="348"/>
        <v>0P0</v>
      </c>
      <c r="AD1159" t="str">
        <f t="shared" si="349"/>
        <v>P00</v>
      </c>
      <c r="AE1159" t="str">
        <f t="shared" si="350"/>
        <v>0P0</v>
      </c>
      <c r="AF1159" t="str">
        <f t="shared" si="351"/>
        <v>P00</v>
      </c>
      <c r="AG1159" t="str">
        <f t="shared" si="357"/>
        <v>0P00</v>
      </c>
      <c r="AH1159" t="str">
        <f t="shared" si="358"/>
        <v>P000</v>
      </c>
      <c r="AI1159" t="str">
        <f t="shared" si="359"/>
        <v>0P00</v>
      </c>
      <c r="AJ1159" t="str">
        <f t="shared" si="360"/>
        <v>P000</v>
      </c>
    </row>
    <row r="1160" spans="1:36" x14ac:dyDescent="0.25">
      <c r="A1160" s="325" t="str">
        <f>CONCATENATE("P",'906MP'!M860)</f>
        <v>P</v>
      </c>
      <c r="B1160">
        <f>'906MP'!H860</f>
        <v>0</v>
      </c>
      <c r="C1160">
        <f>'906MP'!J860</f>
        <v>0</v>
      </c>
      <c r="D1160">
        <f>'906MP'!P860</f>
        <v>0</v>
      </c>
      <c r="E1160">
        <f>'906MP'!X860</f>
        <v>0</v>
      </c>
      <c r="F1160" t="str">
        <f t="shared" si="352"/>
        <v>0</v>
      </c>
      <c r="G1160" t="str">
        <f t="shared" si="353"/>
        <v>0</v>
      </c>
      <c r="H1160">
        <f>'906MP'!Y860</f>
        <v>0</v>
      </c>
      <c r="I1160">
        <f>'906MP'!AK860</f>
        <v>0</v>
      </c>
      <c r="J1160">
        <f>'906MP'!T860</f>
        <v>0</v>
      </c>
      <c r="K1160">
        <f>'906MP'!AJ860</f>
        <v>0</v>
      </c>
      <c r="L1160">
        <f>'906MP'!U860</f>
        <v>0</v>
      </c>
      <c r="M1160" s="322" t="str">
        <f>IFERROR(VLOOKUP(A1160,PAR!$D$3:$E$53,2,FALSE),"nincs szervezet")</f>
        <v>nincs szervezet</v>
      </c>
      <c r="N1160" s="322" t="str">
        <f>VLOOKUP(F1160,PAR!$R$3:$S$5,2,FALSE)</f>
        <v>3 - egyik sem</v>
      </c>
      <c r="O1160" t="str">
        <f>IFERROR(VLOOKUP(J1160,PAR!$O$3:$P$5,2,FALSE),"nincs feladat")</f>
        <v>nincs feladat</v>
      </c>
      <c r="P1160" t="str">
        <f>IFERROR(VLOOKUP(G1160,PAR!$J$2:$M$19,4),"nincs rovat")</f>
        <v>nincs rovat</v>
      </c>
      <c r="Q1160" t="str">
        <f>IF(H1160&gt;0,VLOOKUP(H1160,PAR!$AA$3:$AC$187,3,FALSE),"nincs főkönyvi számla")</f>
        <v>nincs főkönyvi számla</v>
      </c>
      <c r="R1160" t="str">
        <f>IFERROR(VLOOKUP(K1160,PAR!$V$3:$X$438,3,FALSE),"000000 - Nincs COFOG")</f>
        <v>000000 - Nincs COFOG</v>
      </c>
      <c r="S1160">
        <f t="shared" si="354"/>
        <v>0</v>
      </c>
      <c r="T1160">
        <f t="shared" si="355"/>
        <v>0</v>
      </c>
      <c r="U1160" t="str">
        <f>IF('906MP'!J860&gt;0,CONCATENATE('906MP'!J860," - ",'906MP'!P860,", ",'906MP'!E860),"nincs megjegyzés")</f>
        <v>nincs megjegyzés</v>
      </c>
      <c r="V1160" t="str">
        <f t="shared" si="342"/>
        <v>0P0</v>
      </c>
      <c r="W1160" t="str">
        <f t="shared" si="343"/>
        <v>0P0</v>
      </c>
      <c r="X1160" t="str">
        <f t="shared" si="344"/>
        <v>P0</v>
      </c>
      <c r="Y1160" t="str">
        <f t="shared" si="345"/>
        <v>00</v>
      </c>
      <c r="Z1160" t="str">
        <f t="shared" si="356"/>
        <v>00</v>
      </c>
      <c r="AA1160" t="str">
        <f t="shared" si="346"/>
        <v>00</v>
      </c>
      <c r="AB1160" t="str">
        <f t="shared" si="347"/>
        <v>00</v>
      </c>
      <c r="AC1160" t="str">
        <f t="shared" si="348"/>
        <v>0P0</v>
      </c>
      <c r="AD1160" t="str">
        <f t="shared" si="349"/>
        <v>P00</v>
      </c>
      <c r="AE1160" t="str">
        <f t="shared" si="350"/>
        <v>0P0</v>
      </c>
      <c r="AF1160" t="str">
        <f t="shared" si="351"/>
        <v>P00</v>
      </c>
      <c r="AG1160" t="str">
        <f t="shared" si="357"/>
        <v>0P00</v>
      </c>
      <c r="AH1160" t="str">
        <f t="shared" si="358"/>
        <v>P000</v>
      </c>
      <c r="AI1160" t="str">
        <f t="shared" si="359"/>
        <v>0P00</v>
      </c>
      <c r="AJ1160" t="str">
        <f t="shared" si="360"/>
        <v>P000</v>
      </c>
    </row>
    <row r="1161" spans="1:36" x14ac:dyDescent="0.25">
      <c r="A1161" s="325" t="str">
        <f>CONCATENATE("P",'906MP'!M861)</f>
        <v>P</v>
      </c>
      <c r="B1161">
        <f>'906MP'!H861</f>
        <v>0</v>
      </c>
      <c r="C1161">
        <f>'906MP'!J861</f>
        <v>0</v>
      </c>
      <c r="D1161">
        <f>'906MP'!P861</f>
        <v>0</v>
      </c>
      <c r="E1161">
        <f>'906MP'!X861</f>
        <v>0</v>
      </c>
      <c r="F1161" t="str">
        <f t="shared" si="352"/>
        <v>0</v>
      </c>
      <c r="G1161" t="str">
        <f t="shared" si="353"/>
        <v>0</v>
      </c>
      <c r="H1161">
        <f>'906MP'!Y861</f>
        <v>0</v>
      </c>
      <c r="I1161">
        <f>'906MP'!AK861</f>
        <v>0</v>
      </c>
      <c r="J1161">
        <f>'906MP'!T861</f>
        <v>0</v>
      </c>
      <c r="K1161">
        <f>'906MP'!AJ861</f>
        <v>0</v>
      </c>
      <c r="L1161">
        <f>'906MP'!U861</f>
        <v>0</v>
      </c>
      <c r="M1161" s="322" t="str">
        <f>IFERROR(VLOOKUP(A1161,PAR!$D$3:$E$53,2,FALSE),"nincs szervezet")</f>
        <v>nincs szervezet</v>
      </c>
      <c r="N1161" s="322" t="str">
        <f>VLOOKUP(F1161,PAR!$R$3:$S$5,2,FALSE)</f>
        <v>3 - egyik sem</v>
      </c>
      <c r="O1161" t="str">
        <f>IFERROR(VLOOKUP(J1161,PAR!$O$3:$P$5,2,FALSE),"nincs feladat")</f>
        <v>nincs feladat</v>
      </c>
      <c r="P1161" t="str">
        <f>IFERROR(VLOOKUP(G1161,PAR!$J$2:$M$19,4),"nincs rovat")</f>
        <v>nincs rovat</v>
      </c>
      <c r="Q1161" t="str">
        <f>IF(H1161&gt;0,VLOOKUP(H1161,PAR!$AA$3:$AC$187,3,FALSE),"nincs főkönyvi számla")</f>
        <v>nincs főkönyvi számla</v>
      </c>
      <c r="R1161" t="str">
        <f>IFERROR(VLOOKUP(K1161,PAR!$V$3:$X$438,3,FALSE),"000000 - Nincs COFOG")</f>
        <v>000000 - Nincs COFOG</v>
      </c>
      <c r="S1161">
        <f t="shared" si="354"/>
        <v>0</v>
      </c>
      <c r="T1161">
        <f t="shared" si="355"/>
        <v>0</v>
      </c>
      <c r="U1161" t="str">
        <f>IF('906MP'!J861&gt;0,CONCATENATE('906MP'!J861," - ",'906MP'!P861,", ",'906MP'!E861),"nincs megjegyzés")</f>
        <v>nincs megjegyzés</v>
      </c>
      <c r="V1161" t="str">
        <f t="shared" si="342"/>
        <v>0P0</v>
      </c>
      <c r="W1161" t="str">
        <f t="shared" si="343"/>
        <v>0P0</v>
      </c>
      <c r="X1161" t="str">
        <f t="shared" si="344"/>
        <v>P0</v>
      </c>
      <c r="Y1161" t="str">
        <f t="shared" si="345"/>
        <v>00</v>
      </c>
      <c r="Z1161" t="str">
        <f t="shared" si="356"/>
        <v>00</v>
      </c>
      <c r="AA1161" t="str">
        <f t="shared" si="346"/>
        <v>00</v>
      </c>
      <c r="AB1161" t="str">
        <f t="shared" si="347"/>
        <v>00</v>
      </c>
      <c r="AC1161" t="str">
        <f t="shared" si="348"/>
        <v>0P0</v>
      </c>
      <c r="AD1161" t="str">
        <f t="shared" si="349"/>
        <v>P00</v>
      </c>
      <c r="AE1161" t="str">
        <f t="shared" si="350"/>
        <v>0P0</v>
      </c>
      <c r="AF1161" t="str">
        <f t="shared" si="351"/>
        <v>P00</v>
      </c>
      <c r="AG1161" t="str">
        <f t="shared" si="357"/>
        <v>0P00</v>
      </c>
      <c r="AH1161" t="str">
        <f t="shared" si="358"/>
        <v>P000</v>
      </c>
      <c r="AI1161" t="str">
        <f t="shared" si="359"/>
        <v>0P00</v>
      </c>
      <c r="AJ1161" t="str">
        <f t="shared" si="360"/>
        <v>P000</v>
      </c>
    </row>
    <row r="1162" spans="1:36" x14ac:dyDescent="0.25">
      <c r="A1162" s="325" t="str">
        <f>CONCATENATE("P",'906MP'!M862)</f>
        <v>P</v>
      </c>
      <c r="B1162">
        <f>'906MP'!H862</f>
        <v>0</v>
      </c>
      <c r="C1162">
        <f>'906MP'!J862</f>
        <v>0</v>
      </c>
      <c r="D1162">
        <f>'906MP'!P862</f>
        <v>0</v>
      </c>
      <c r="E1162">
        <f>'906MP'!X862</f>
        <v>0</v>
      </c>
      <c r="F1162" t="str">
        <f t="shared" si="352"/>
        <v>0</v>
      </c>
      <c r="G1162" t="str">
        <f t="shared" si="353"/>
        <v>0</v>
      </c>
      <c r="H1162">
        <f>'906MP'!Y862</f>
        <v>0</v>
      </c>
      <c r="I1162">
        <f>'906MP'!AK862</f>
        <v>0</v>
      </c>
      <c r="J1162">
        <f>'906MP'!T862</f>
        <v>0</v>
      </c>
      <c r="K1162">
        <f>'906MP'!AJ862</f>
        <v>0</v>
      </c>
      <c r="L1162">
        <f>'906MP'!U862</f>
        <v>0</v>
      </c>
      <c r="M1162" s="322" t="str">
        <f>IFERROR(VLOOKUP(A1162,PAR!$D$3:$E$53,2,FALSE),"nincs szervezet")</f>
        <v>nincs szervezet</v>
      </c>
      <c r="N1162" s="322" t="str">
        <f>VLOOKUP(F1162,PAR!$R$3:$S$5,2,FALSE)</f>
        <v>3 - egyik sem</v>
      </c>
      <c r="O1162" t="str">
        <f>IFERROR(VLOOKUP(J1162,PAR!$O$3:$P$5,2,FALSE),"nincs feladat")</f>
        <v>nincs feladat</v>
      </c>
      <c r="P1162" t="str">
        <f>IFERROR(VLOOKUP(G1162,PAR!$J$2:$M$19,4),"nincs rovat")</f>
        <v>nincs rovat</v>
      </c>
      <c r="Q1162" t="str">
        <f>IF(H1162&gt;0,VLOOKUP(H1162,PAR!$AA$3:$AC$187,3,FALSE),"nincs főkönyvi számla")</f>
        <v>nincs főkönyvi számla</v>
      </c>
      <c r="R1162" t="str">
        <f>IFERROR(VLOOKUP(K1162,PAR!$V$3:$X$438,3,FALSE),"000000 - Nincs COFOG")</f>
        <v>000000 - Nincs COFOG</v>
      </c>
      <c r="S1162">
        <f t="shared" si="354"/>
        <v>0</v>
      </c>
      <c r="T1162">
        <f t="shared" si="355"/>
        <v>0</v>
      </c>
      <c r="U1162" t="str">
        <f>IF('906MP'!J862&gt;0,CONCATENATE('906MP'!J862," - ",'906MP'!P862,", ",'906MP'!E862),"nincs megjegyzés")</f>
        <v>nincs megjegyzés</v>
      </c>
      <c r="V1162" t="str">
        <f t="shared" si="342"/>
        <v>0P0</v>
      </c>
      <c r="W1162" t="str">
        <f t="shared" si="343"/>
        <v>0P0</v>
      </c>
      <c r="X1162" t="str">
        <f t="shared" si="344"/>
        <v>P0</v>
      </c>
      <c r="Y1162" t="str">
        <f t="shared" si="345"/>
        <v>00</v>
      </c>
      <c r="Z1162" t="str">
        <f t="shared" si="356"/>
        <v>00</v>
      </c>
      <c r="AA1162" t="str">
        <f t="shared" si="346"/>
        <v>00</v>
      </c>
      <c r="AB1162" t="str">
        <f t="shared" si="347"/>
        <v>00</v>
      </c>
      <c r="AC1162" t="str">
        <f t="shared" si="348"/>
        <v>0P0</v>
      </c>
      <c r="AD1162" t="str">
        <f t="shared" si="349"/>
        <v>P00</v>
      </c>
      <c r="AE1162" t="str">
        <f t="shared" si="350"/>
        <v>0P0</v>
      </c>
      <c r="AF1162" t="str">
        <f t="shared" si="351"/>
        <v>P00</v>
      </c>
      <c r="AG1162" t="str">
        <f t="shared" si="357"/>
        <v>0P00</v>
      </c>
      <c r="AH1162" t="str">
        <f t="shared" si="358"/>
        <v>P000</v>
      </c>
      <c r="AI1162" t="str">
        <f t="shared" si="359"/>
        <v>0P00</v>
      </c>
      <c r="AJ1162" t="str">
        <f t="shared" si="360"/>
        <v>P000</v>
      </c>
    </row>
    <row r="1163" spans="1:36" x14ac:dyDescent="0.25">
      <c r="A1163" s="325" t="str">
        <f>CONCATENATE("P",'906MP'!M863)</f>
        <v>P</v>
      </c>
      <c r="B1163">
        <f>'906MP'!H863</f>
        <v>0</v>
      </c>
      <c r="C1163">
        <f>'906MP'!J863</f>
        <v>0</v>
      </c>
      <c r="D1163">
        <f>'906MP'!P863</f>
        <v>0</v>
      </c>
      <c r="E1163">
        <f>'906MP'!X863</f>
        <v>0</v>
      </c>
      <c r="F1163" t="str">
        <f t="shared" si="352"/>
        <v>0</v>
      </c>
      <c r="G1163" t="str">
        <f t="shared" si="353"/>
        <v>0</v>
      </c>
      <c r="H1163">
        <f>'906MP'!Y863</f>
        <v>0</v>
      </c>
      <c r="I1163">
        <f>'906MP'!AK863</f>
        <v>0</v>
      </c>
      <c r="J1163">
        <f>'906MP'!T863</f>
        <v>0</v>
      </c>
      <c r="K1163">
        <f>'906MP'!AJ863</f>
        <v>0</v>
      </c>
      <c r="L1163">
        <f>'906MP'!U863</f>
        <v>0</v>
      </c>
      <c r="M1163" s="322" t="str">
        <f>IFERROR(VLOOKUP(A1163,PAR!$D$3:$E$53,2,FALSE),"nincs szervezet")</f>
        <v>nincs szervezet</v>
      </c>
      <c r="N1163" s="322" t="str">
        <f>VLOOKUP(F1163,PAR!$R$3:$S$5,2,FALSE)</f>
        <v>3 - egyik sem</v>
      </c>
      <c r="O1163" t="str">
        <f>IFERROR(VLOOKUP(J1163,PAR!$O$3:$P$5,2,FALSE),"nincs feladat")</f>
        <v>nincs feladat</v>
      </c>
      <c r="P1163" t="str">
        <f>IFERROR(VLOOKUP(G1163,PAR!$J$2:$M$19,4),"nincs rovat")</f>
        <v>nincs rovat</v>
      </c>
      <c r="Q1163" t="str">
        <f>IF(H1163&gt;0,VLOOKUP(H1163,PAR!$AA$3:$AC$187,3,FALSE),"nincs főkönyvi számla")</f>
        <v>nincs főkönyvi számla</v>
      </c>
      <c r="R1163" t="str">
        <f>IFERROR(VLOOKUP(K1163,PAR!$V$3:$X$438,3,FALSE),"000000 - Nincs COFOG")</f>
        <v>000000 - Nincs COFOG</v>
      </c>
      <c r="S1163">
        <f t="shared" si="354"/>
        <v>0</v>
      </c>
      <c r="T1163">
        <f t="shared" si="355"/>
        <v>0</v>
      </c>
      <c r="U1163" t="str">
        <f>IF('906MP'!J863&gt;0,CONCATENATE('906MP'!J863," - ",'906MP'!P863,", ",'906MP'!E863),"nincs megjegyzés")</f>
        <v>nincs megjegyzés</v>
      </c>
      <c r="V1163" t="str">
        <f t="shared" si="342"/>
        <v>0P0</v>
      </c>
      <c r="W1163" t="str">
        <f t="shared" si="343"/>
        <v>0P0</v>
      </c>
      <c r="X1163" t="str">
        <f t="shared" si="344"/>
        <v>P0</v>
      </c>
      <c r="Y1163" t="str">
        <f t="shared" si="345"/>
        <v>00</v>
      </c>
      <c r="Z1163" t="str">
        <f t="shared" si="356"/>
        <v>00</v>
      </c>
      <c r="AA1163" t="str">
        <f t="shared" si="346"/>
        <v>00</v>
      </c>
      <c r="AB1163" t="str">
        <f t="shared" si="347"/>
        <v>00</v>
      </c>
      <c r="AC1163" t="str">
        <f t="shared" si="348"/>
        <v>0P0</v>
      </c>
      <c r="AD1163" t="str">
        <f t="shared" si="349"/>
        <v>P00</v>
      </c>
      <c r="AE1163" t="str">
        <f t="shared" si="350"/>
        <v>0P0</v>
      </c>
      <c r="AF1163" t="str">
        <f t="shared" si="351"/>
        <v>P00</v>
      </c>
      <c r="AG1163" t="str">
        <f t="shared" si="357"/>
        <v>0P00</v>
      </c>
      <c r="AH1163" t="str">
        <f t="shared" si="358"/>
        <v>P000</v>
      </c>
      <c r="AI1163" t="str">
        <f t="shared" si="359"/>
        <v>0P00</v>
      </c>
      <c r="AJ1163" t="str">
        <f t="shared" si="360"/>
        <v>P000</v>
      </c>
    </row>
    <row r="1164" spans="1:36" x14ac:dyDescent="0.25">
      <c r="A1164" s="325" t="str">
        <f>CONCATENATE("P",'906MP'!M864)</f>
        <v>P</v>
      </c>
      <c r="B1164">
        <f>'906MP'!H864</f>
        <v>0</v>
      </c>
      <c r="C1164">
        <f>'906MP'!J864</f>
        <v>0</v>
      </c>
      <c r="D1164">
        <f>'906MP'!P864</f>
        <v>0</v>
      </c>
      <c r="E1164">
        <f>'906MP'!X864</f>
        <v>0</v>
      </c>
      <c r="F1164" t="str">
        <f t="shared" si="352"/>
        <v>0</v>
      </c>
      <c r="G1164" t="str">
        <f t="shared" si="353"/>
        <v>0</v>
      </c>
      <c r="H1164">
        <f>'906MP'!Y864</f>
        <v>0</v>
      </c>
      <c r="I1164">
        <f>'906MP'!AK864</f>
        <v>0</v>
      </c>
      <c r="J1164">
        <f>'906MP'!T864</f>
        <v>0</v>
      </c>
      <c r="K1164">
        <f>'906MP'!AJ864</f>
        <v>0</v>
      </c>
      <c r="L1164">
        <f>'906MP'!U864</f>
        <v>0</v>
      </c>
      <c r="M1164" s="322" t="str">
        <f>IFERROR(VLOOKUP(A1164,PAR!$D$3:$E$53,2,FALSE),"nincs szervezet")</f>
        <v>nincs szervezet</v>
      </c>
      <c r="N1164" s="322" t="str">
        <f>VLOOKUP(F1164,PAR!$R$3:$S$5,2,FALSE)</f>
        <v>3 - egyik sem</v>
      </c>
      <c r="O1164" t="str">
        <f>IFERROR(VLOOKUP(J1164,PAR!$O$3:$P$5,2,FALSE),"nincs feladat")</f>
        <v>nincs feladat</v>
      </c>
      <c r="P1164" t="str">
        <f>IFERROR(VLOOKUP(G1164,PAR!$J$2:$M$19,4),"nincs rovat")</f>
        <v>nincs rovat</v>
      </c>
      <c r="Q1164" t="str">
        <f>IF(H1164&gt;0,VLOOKUP(H1164,PAR!$AA$3:$AC$187,3,FALSE),"nincs főkönyvi számla")</f>
        <v>nincs főkönyvi számla</v>
      </c>
      <c r="R1164" t="str">
        <f>IFERROR(VLOOKUP(K1164,PAR!$V$3:$X$438,3,FALSE),"000000 - Nincs COFOG")</f>
        <v>000000 - Nincs COFOG</v>
      </c>
      <c r="S1164">
        <f t="shared" si="354"/>
        <v>0</v>
      </c>
      <c r="T1164">
        <f t="shared" si="355"/>
        <v>0</v>
      </c>
      <c r="U1164" t="str">
        <f>IF('906MP'!J864&gt;0,CONCATENATE('906MP'!J864," - ",'906MP'!P864,", ",'906MP'!E864),"nincs megjegyzés")</f>
        <v>nincs megjegyzés</v>
      </c>
      <c r="V1164" t="str">
        <f t="shared" si="342"/>
        <v>0P0</v>
      </c>
      <c r="W1164" t="str">
        <f t="shared" si="343"/>
        <v>0P0</v>
      </c>
      <c r="X1164" t="str">
        <f t="shared" si="344"/>
        <v>P0</v>
      </c>
      <c r="Y1164" t="str">
        <f t="shared" si="345"/>
        <v>00</v>
      </c>
      <c r="Z1164" t="str">
        <f t="shared" si="356"/>
        <v>00</v>
      </c>
      <c r="AA1164" t="str">
        <f t="shared" si="346"/>
        <v>00</v>
      </c>
      <c r="AB1164" t="str">
        <f t="shared" si="347"/>
        <v>00</v>
      </c>
      <c r="AC1164" t="str">
        <f t="shared" si="348"/>
        <v>0P0</v>
      </c>
      <c r="AD1164" t="str">
        <f t="shared" si="349"/>
        <v>P00</v>
      </c>
      <c r="AE1164" t="str">
        <f t="shared" si="350"/>
        <v>0P0</v>
      </c>
      <c r="AF1164" t="str">
        <f t="shared" si="351"/>
        <v>P00</v>
      </c>
      <c r="AG1164" t="str">
        <f t="shared" si="357"/>
        <v>0P00</v>
      </c>
      <c r="AH1164" t="str">
        <f t="shared" si="358"/>
        <v>P000</v>
      </c>
      <c r="AI1164" t="str">
        <f t="shared" si="359"/>
        <v>0P00</v>
      </c>
      <c r="AJ1164" t="str">
        <f t="shared" si="360"/>
        <v>P000</v>
      </c>
    </row>
    <row r="1165" spans="1:36" x14ac:dyDescent="0.25">
      <c r="A1165" s="325" t="str">
        <f>CONCATENATE("P",'906MP'!M865)</f>
        <v>P</v>
      </c>
      <c r="B1165">
        <f>'906MP'!H865</f>
        <v>0</v>
      </c>
      <c r="C1165">
        <f>'906MP'!J865</f>
        <v>0</v>
      </c>
      <c r="D1165">
        <f>'906MP'!P865</f>
        <v>0</v>
      </c>
      <c r="E1165">
        <f>'906MP'!X865</f>
        <v>0</v>
      </c>
      <c r="F1165" t="str">
        <f t="shared" si="352"/>
        <v>0</v>
      </c>
      <c r="G1165" t="str">
        <f t="shared" si="353"/>
        <v>0</v>
      </c>
      <c r="H1165">
        <f>'906MP'!Y865</f>
        <v>0</v>
      </c>
      <c r="I1165">
        <f>'906MP'!AK865</f>
        <v>0</v>
      </c>
      <c r="J1165">
        <f>'906MP'!T865</f>
        <v>0</v>
      </c>
      <c r="K1165">
        <f>'906MP'!AJ865</f>
        <v>0</v>
      </c>
      <c r="L1165">
        <f>'906MP'!U865</f>
        <v>0</v>
      </c>
      <c r="M1165" s="322" t="str">
        <f>IFERROR(VLOOKUP(A1165,PAR!$D$3:$E$53,2,FALSE),"nincs szervezet")</f>
        <v>nincs szervezet</v>
      </c>
      <c r="N1165" s="322" t="str">
        <f>VLOOKUP(F1165,PAR!$R$3:$S$5,2,FALSE)</f>
        <v>3 - egyik sem</v>
      </c>
      <c r="O1165" t="str">
        <f>IFERROR(VLOOKUP(J1165,PAR!$O$3:$P$5,2,FALSE),"nincs feladat")</f>
        <v>nincs feladat</v>
      </c>
      <c r="P1165" t="str">
        <f>IFERROR(VLOOKUP(G1165,PAR!$J$2:$M$19,4),"nincs rovat")</f>
        <v>nincs rovat</v>
      </c>
      <c r="Q1165" t="str">
        <f>IF(H1165&gt;0,VLOOKUP(H1165,PAR!$AA$3:$AC$187,3,FALSE),"nincs főkönyvi számla")</f>
        <v>nincs főkönyvi számla</v>
      </c>
      <c r="R1165" t="str">
        <f>IFERROR(VLOOKUP(K1165,PAR!$V$3:$X$438,3,FALSE),"000000 - Nincs COFOG")</f>
        <v>000000 - Nincs COFOG</v>
      </c>
      <c r="S1165">
        <f t="shared" si="354"/>
        <v>0</v>
      </c>
      <c r="T1165">
        <f t="shared" si="355"/>
        <v>0</v>
      </c>
      <c r="U1165" t="str">
        <f>IF('906MP'!J865&gt;0,CONCATENATE('906MP'!J865," - ",'906MP'!P865,", ",'906MP'!E865),"nincs megjegyzés")</f>
        <v>nincs megjegyzés</v>
      </c>
      <c r="V1165" t="str">
        <f t="shared" si="342"/>
        <v>0P0</v>
      </c>
      <c r="W1165" t="str">
        <f t="shared" si="343"/>
        <v>0P0</v>
      </c>
      <c r="X1165" t="str">
        <f t="shared" si="344"/>
        <v>P0</v>
      </c>
      <c r="Y1165" t="str">
        <f t="shared" si="345"/>
        <v>00</v>
      </c>
      <c r="Z1165" t="str">
        <f t="shared" si="356"/>
        <v>00</v>
      </c>
      <c r="AA1165" t="str">
        <f t="shared" si="346"/>
        <v>00</v>
      </c>
      <c r="AB1165" t="str">
        <f t="shared" si="347"/>
        <v>00</v>
      </c>
      <c r="AC1165" t="str">
        <f t="shared" si="348"/>
        <v>0P0</v>
      </c>
      <c r="AD1165" t="str">
        <f t="shared" si="349"/>
        <v>P00</v>
      </c>
      <c r="AE1165" t="str">
        <f t="shared" si="350"/>
        <v>0P0</v>
      </c>
      <c r="AF1165" t="str">
        <f t="shared" si="351"/>
        <v>P00</v>
      </c>
      <c r="AG1165" t="str">
        <f t="shared" si="357"/>
        <v>0P00</v>
      </c>
      <c r="AH1165" t="str">
        <f t="shared" si="358"/>
        <v>P000</v>
      </c>
      <c r="AI1165" t="str">
        <f t="shared" si="359"/>
        <v>0P00</v>
      </c>
      <c r="AJ1165" t="str">
        <f t="shared" si="360"/>
        <v>P000</v>
      </c>
    </row>
    <row r="1166" spans="1:36" x14ac:dyDescent="0.25">
      <c r="A1166" s="325" t="str">
        <f>CONCATENATE("P",'906MP'!M866)</f>
        <v>P</v>
      </c>
      <c r="B1166">
        <f>'906MP'!H866</f>
        <v>0</v>
      </c>
      <c r="C1166">
        <f>'906MP'!J866</f>
        <v>0</v>
      </c>
      <c r="D1166">
        <f>'906MP'!P866</f>
        <v>0</v>
      </c>
      <c r="E1166">
        <f>'906MP'!X866</f>
        <v>0</v>
      </c>
      <c r="F1166" t="str">
        <f t="shared" si="352"/>
        <v>0</v>
      </c>
      <c r="G1166" t="str">
        <f t="shared" si="353"/>
        <v>0</v>
      </c>
      <c r="H1166">
        <f>'906MP'!Y866</f>
        <v>0</v>
      </c>
      <c r="I1166">
        <f>'906MP'!AK866</f>
        <v>0</v>
      </c>
      <c r="J1166">
        <f>'906MP'!T866</f>
        <v>0</v>
      </c>
      <c r="K1166">
        <f>'906MP'!AJ866</f>
        <v>0</v>
      </c>
      <c r="L1166">
        <f>'906MP'!U866</f>
        <v>0</v>
      </c>
      <c r="M1166" s="322" t="str">
        <f>IFERROR(VLOOKUP(A1166,PAR!$D$3:$E$53,2,FALSE),"nincs szervezet")</f>
        <v>nincs szervezet</v>
      </c>
      <c r="N1166" s="322" t="str">
        <f>VLOOKUP(F1166,PAR!$R$3:$S$5,2,FALSE)</f>
        <v>3 - egyik sem</v>
      </c>
      <c r="O1166" t="str">
        <f>IFERROR(VLOOKUP(J1166,PAR!$O$3:$P$5,2,FALSE),"nincs feladat")</f>
        <v>nincs feladat</v>
      </c>
      <c r="P1166" t="str">
        <f>IFERROR(VLOOKUP(G1166,PAR!$J$2:$M$19,4),"nincs rovat")</f>
        <v>nincs rovat</v>
      </c>
      <c r="Q1166" t="str">
        <f>IF(H1166&gt;0,VLOOKUP(H1166,PAR!$AA$3:$AC$187,3,FALSE),"nincs főkönyvi számla")</f>
        <v>nincs főkönyvi számla</v>
      </c>
      <c r="R1166" t="str">
        <f>IFERROR(VLOOKUP(K1166,PAR!$V$3:$X$438,3,FALSE),"000000 - Nincs COFOG")</f>
        <v>000000 - Nincs COFOG</v>
      </c>
      <c r="S1166">
        <f t="shared" si="354"/>
        <v>0</v>
      </c>
      <c r="T1166">
        <f t="shared" si="355"/>
        <v>0</v>
      </c>
      <c r="U1166" t="str">
        <f>IF('906MP'!J866&gt;0,CONCATENATE('906MP'!J866," - ",'906MP'!P866,", ",'906MP'!E866),"nincs megjegyzés")</f>
        <v>nincs megjegyzés</v>
      </c>
      <c r="V1166" t="str">
        <f t="shared" si="342"/>
        <v>0P0</v>
      </c>
      <c r="W1166" t="str">
        <f t="shared" si="343"/>
        <v>0P0</v>
      </c>
      <c r="X1166" t="str">
        <f t="shared" si="344"/>
        <v>P0</v>
      </c>
      <c r="Y1166" t="str">
        <f t="shared" si="345"/>
        <v>00</v>
      </c>
      <c r="Z1166" t="str">
        <f t="shared" si="356"/>
        <v>00</v>
      </c>
      <c r="AA1166" t="str">
        <f t="shared" si="346"/>
        <v>00</v>
      </c>
      <c r="AB1166" t="str">
        <f t="shared" si="347"/>
        <v>00</v>
      </c>
      <c r="AC1166" t="str">
        <f t="shared" si="348"/>
        <v>0P0</v>
      </c>
      <c r="AD1166" t="str">
        <f t="shared" si="349"/>
        <v>P00</v>
      </c>
      <c r="AE1166" t="str">
        <f t="shared" si="350"/>
        <v>0P0</v>
      </c>
      <c r="AF1166" t="str">
        <f t="shared" si="351"/>
        <v>P00</v>
      </c>
      <c r="AG1166" t="str">
        <f t="shared" si="357"/>
        <v>0P00</v>
      </c>
      <c r="AH1166" t="str">
        <f t="shared" si="358"/>
        <v>P000</v>
      </c>
      <c r="AI1166" t="str">
        <f t="shared" si="359"/>
        <v>0P00</v>
      </c>
      <c r="AJ1166" t="str">
        <f t="shared" si="360"/>
        <v>P000</v>
      </c>
    </row>
    <row r="1167" spans="1:36" x14ac:dyDescent="0.25">
      <c r="A1167" s="325" t="str">
        <f>CONCATENATE("P",'906MP'!M867)</f>
        <v>P</v>
      </c>
      <c r="B1167">
        <f>'906MP'!H867</f>
        <v>0</v>
      </c>
      <c r="C1167">
        <f>'906MP'!J867</f>
        <v>0</v>
      </c>
      <c r="D1167">
        <f>'906MP'!P867</f>
        <v>0</v>
      </c>
      <c r="E1167">
        <f>'906MP'!X867</f>
        <v>0</v>
      </c>
      <c r="F1167" t="str">
        <f t="shared" si="352"/>
        <v>0</v>
      </c>
      <c r="G1167" t="str">
        <f t="shared" si="353"/>
        <v>0</v>
      </c>
      <c r="H1167">
        <f>'906MP'!Y867</f>
        <v>0</v>
      </c>
      <c r="I1167">
        <f>'906MP'!AK867</f>
        <v>0</v>
      </c>
      <c r="J1167">
        <f>'906MP'!T867</f>
        <v>0</v>
      </c>
      <c r="K1167">
        <f>'906MP'!AJ867</f>
        <v>0</v>
      </c>
      <c r="L1167">
        <f>'906MP'!U867</f>
        <v>0</v>
      </c>
      <c r="M1167" s="322" t="str">
        <f>IFERROR(VLOOKUP(A1167,PAR!$D$3:$E$53,2,FALSE),"nincs szervezet")</f>
        <v>nincs szervezet</v>
      </c>
      <c r="N1167" s="322" t="str">
        <f>VLOOKUP(F1167,PAR!$R$3:$S$5,2,FALSE)</f>
        <v>3 - egyik sem</v>
      </c>
      <c r="O1167" t="str">
        <f>IFERROR(VLOOKUP(J1167,PAR!$O$3:$P$5,2,FALSE),"nincs feladat")</f>
        <v>nincs feladat</v>
      </c>
      <c r="P1167" t="str">
        <f>IFERROR(VLOOKUP(G1167,PAR!$J$2:$M$19,4),"nincs rovat")</f>
        <v>nincs rovat</v>
      </c>
      <c r="Q1167" t="str">
        <f>IF(H1167&gt;0,VLOOKUP(H1167,PAR!$AA$3:$AC$187,3,FALSE),"nincs főkönyvi számla")</f>
        <v>nincs főkönyvi számla</v>
      </c>
      <c r="R1167" t="str">
        <f>IFERROR(VLOOKUP(K1167,PAR!$V$3:$X$438,3,FALSE),"000000 - Nincs COFOG")</f>
        <v>000000 - Nincs COFOG</v>
      </c>
      <c r="S1167">
        <f t="shared" si="354"/>
        <v>0</v>
      </c>
      <c r="T1167">
        <f t="shared" si="355"/>
        <v>0</v>
      </c>
      <c r="U1167" t="str">
        <f>IF('906MP'!J867&gt;0,CONCATENATE('906MP'!J867," - ",'906MP'!P867,", ",'906MP'!E867),"nincs megjegyzés")</f>
        <v>nincs megjegyzés</v>
      </c>
      <c r="V1167" t="str">
        <f t="shared" si="342"/>
        <v>0P0</v>
      </c>
      <c r="W1167" t="str">
        <f t="shared" si="343"/>
        <v>0P0</v>
      </c>
      <c r="X1167" t="str">
        <f t="shared" si="344"/>
        <v>P0</v>
      </c>
      <c r="Y1167" t="str">
        <f t="shared" si="345"/>
        <v>00</v>
      </c>
      <c r="Z1167" t="str">
        <f t="shared" si="356"/>
        <v>00</v>
      </c>
      <c r="AA1167" t="str">
        <f t="shared" si="346"/>
        <v>00</v>
      </c>
      <c r="AB1167" t="str">
        <f t="shared" si="347"/>
        <v>00</v>
      </c>
      <c r="AC1167" t="str">
        <f t="shared" si="348"/>
        <v>0P0</v>
      </c>
      <c r="AD1167" t="str">
        <f t="shared" si="349"/>
        <v>P00</v>
      </c>
      <c r="AE1167" t="str">
        <f t="shared" si="350"/>
        <v>0P0</v>
      </c>
      <c r="AF1167" t="str">
        <f t="shared" si="351"/>
        <v>P00</v>
      </c>
      <c r="AG1167" t="str">
        <f t="shared" si="357"/>
        <v>0P00</v>
      </c>
      <c r="AH1167" t="str">
        <f t="shared" si="358"/>
        <v>P000</v>
      </c>
      <c r="AI1167" t="str">
        <f t="shared" si="359"/>
        <v>0P00</v>
      </c>
      <c r="AJ1167" t="str">
        <f t="shared" si="360"/>
        <v>P000</v>
      </c>
    </row>
    <row r="1168" spans="1:36" x14ac:dyDescent="0.25">
      <c r="A1168" s="325" t="str">
        <f>CONCATENATE("P",'906MP'!M868)</f>
        <v>P</v>
      </c>
      <c r="B1168">
        <f>'906MP'!H868</f>
        <v>0</v>
      </c>
      <c r="C1168">
        <f>'906MP'!J868</f>
        <v>0</v>
      </c>
      <c r="D1168">
        <f>'906MP'!P868</f>
        <v>0</v>
      </c>
      <c r="E1168">
        <f>'906MP'!X868</f>
        <v>0</v>
      </c>
      <c r="F1168" t="str">
        <f t="shared" si="352"/>
        <v>0</v>
      </c>
      <c r="G1168" t="str">
        <f t="shared" si="353"/>
        <v>0</v>
      </c>
      <c r="H1168">
        <f>'906MP'!Y868</f>
        <v>0</v>
      </c>
      <c r="I1168">
        <f>'906MP'!AK868</f>
        <v>0</v>
      </c>
      <c r="J1168">
        <f>'906MP'!T868</f>
        <v>0</v>
      </c>
      <c r="K1168">
        <f>'906MP'!AJ868</f>
        <v>0</v>
      </c>
      <c r="L1168">
        <f>'906MP'!U868</f>
        <v>0</v>
      </c>
      <c r="M1168" s="322" t="str">
        <f>IFERROR(VLOOKUP(A1168,PAR!$D$3:$E$53,2,FALSE),"nincs szervezet")</f>
        <v>nincs szervezet</v>
      </c>
      <c r="N1168" s="322" t="str">
        <f>VLOOKUP(F1168,PAR!$R$3:$S$5,2,FALSE)</f>
        <v>3 - egyik sem</v>
      </c>
      <c r="O1168" t="str">
        <f>IFERROR(VLOOKUP(J1168,PAR!$O$3:$P$5,2,FALSE),"nincs feladat")</f>
        <v>nincs feladat</v>
      </c>
      <c r="P1168" t="str">
        <f>IFERROR(VLOOKUP(G1168,PAR!$J$2:$M$19,4),"nincs rovat")</f>
        <v>nincs rovat</v>
      </c>
      <c r="Q1168" t="str">
        <f>IF(H1168&gt;0,VLOOKUP(H1168,PAR!$AA$3:$AC$187,3,FALSE),"nincs főkönyvi számla")</f>
        <v>nincs főkönyvi számla</v>
      </c>
      <c r="R1168" t="str">
        <f>IFERROR(VLOOKUP(K1168,PAR!$V$3:$X$438,3,FALSE),"000000 - Nincs COFOG")</f>
        <v>000000 - Nincs COFOG</v>
      </c>
      <c r="S1168">
        <f t="shared" si="354"/>
        <v>0</v>
      </c>
      <c r="T1168">
        <f t="shared" si="355"/>
        <v>0</v>
      </c>
      <c r="U1168" t="str">
        <f>IF('906MP'!J868&gt;0,CONCATENATE('906MP'!J868," - ",'906MP'!P868,", ",'906MP'!E868),"nincs megjegyzés")</f>
        <v>nincs megjegyzés</v>
      </c>
      <c r="V1168" t="str">
        <f t="shared" si="342"/>
        <v>0P0</v>
      </c>
      <c r="W1168" t="str">
        <f t="shared" si="343"/>
        <v>0P0</v>
      </c>
      <c r="X1168" t="str">
        <f t="shared" si="344"/>
        <v>P0</v>
      </c>
      <c r="Y1168" t="str">
        <f t="shared" si="345"/>
        <v>00</v>
      </c>
      <c r="Z1168" t="str">
        <f t="shared" si="356"/>
        <v>00</v>
      </c>
      <c r="AA1168" t="str">
        <f t="shared" si="346"/>
        <v>00</v>
      </c>
      <c r="AB1168" t="str">
        <f t="shared" si="347"/>
        <v>00</v>
      </c>
      <c r="AC1168" t="str">
        <f t="shared" si="348"/>
        <v>0P0</v>
      </c>
      <c r="AD1168" t="str">
        <f t="shared" si="349"/>
        <v>P00</v>
      </c>
      <c r="AE1168" t="str">
        <f t="shared" si="350"/>
        <v>0P0</v>
      </c>
      <c r="AF1168" t="str">
        <f t="shared" si="351"/>
        <v>P00</v>
      </c>
      <c r="AG1168" t="str">
        <f t="shared" si="357"/>
        <v>0P00</v>
      </c>
      <c r="AH1168" t="str">
        <f t="shared" si="358"/>
        <v>P000</v>
      </c>
      <c r="AI1168" t="str">
        <f t="shared" si="359"/>
        <v>0P00</v>
      </c>
      <c r="AJ1168" t="str">
        <f t="shared" si="360"/>
        <v>P000</v>
      </c>
    </row>
    <row r="1169" spans="1:36" x14ac:dyDescent="0.25">
      <c r="A1169" s="325" t="str">
        <f>CONCATENATE("P",'906MP'!M869)</f>
        <v>P</v>
      </c>
      <c r="B1169">
        <f>'906MP'!H869</f>
        <v>0</v>
      </c>
      <c r="C1169">
        <f>'906MP'!J869</f>
        <v>0</v>
      </c>
      <c r="D1169">
        <f>'906MP'!P869</f>
        <v>0</v>
      </c>
      <c r="E1169">
        <f>'906MP'!X869</f>
        <v>0</v>
      </c>
      <c r="F1169" t="str">
        <f t="shared" si="352"/>
        <v>0</v>
      </c>
      <c r="G1169" t="str">
        <f t="shared" si="353"/>
        <v>0</v>
      </c>
      <c r="H1169">
        <f>'906MP'!Y869</f>
        <v>0</v>
      </c>
      <c r="I1169">
        <f>'906MP'!AK869</f>
        <v>0</v>
      </c>
      <c r="J1169">
        <f>'906MP'!T869</f>
        <v>0</v>
      </c>
      <c r="K1169">
        <f>'906MP'!AJ869</f>
        <v>0</v>
      </c>
      <c r="L1169">
        <f>'906MP'!U869</f>
        <v>0</v>
      </c>
      <c r="M1169" s="322" t="str">
        <f>IFERROR(VLOOKUP(A1169,PAR!$D$3:$E$53,2,FALSE),"nincs szervezet")</f>
        <v>nincs szervezet</v>
      </c>
      <c r="N1169" s="322" t="str">
        <f>VLOOKUP(F1169,PAR!$R$3:$S$5,2,FALSE)</f>
        <v>3 - egyik sem</v>
      </c>
      <c r="O1169" t="str">
        <f>IFERROR(VLOOKUP(J1169,PAR!$O$3:$P$5,2,FALSE),"nincs feladat")</f>
        <v>nincs feladat</v>
      </c>
      <c r="P1169" t="str">
        <f>IFERROR(VLOOKUP(G1169,PAR!$J$2:$M$19,4),"nincs rovat")</f>
        <v>nincs rovat</v>
      </c>
      <c r="Q1169" t="str">
        <f>IF(H1169&gt;0,VLOOKUP(H1169,PAR!$AA$3:$AC$187,3,FALSE),"nincs főkönyvi számla")</f>
        <v>nincs főkönyvi számla</v>
      </c>
      <c r="R1169" t="str">
        <f>IFERROR(VLOOKUP(K1169,PAR!$V$3:$X$438,3,FALSE),"000000 - Nincs COFOG")</f>
        <v>000000 - Nincs COFOG</v>
      </c>
      <c r="S1169">
        <f t="shared" si="354"/>
        <v>0</v>
      </c>
      <c r="T1169">
        <f t="shared" si="355"/>
        <v>0</v>
      </c>
      <c r="U1169" t="str">
        <f>IF('906MP'!J869&gt;0,CONCATENATE('906MP'!J869," - ",'906MP'!P869,", ",'906MP'!E869),"nincs megjegyzés")</f>
        <v>nincs megjegyzés</v>
      </c>
      <c r="V1169" t="str">
        <f t="shared" si="342"/>
        <v>0P0</v>
      </c>
      <c r="W1169" t="str">
        <f t="shared" si="343"/>
        <v>0P0</v>
      </c>
      <c r="X1169" t="str">
        <f t="shared" si="344"/>
        <v>P0</v>
      </c>
      <c r="Y1169" t="str">
        <f t="shared" si="345"/>
        <v>00</v>
      </c>
      <c r="Z1169" t="str">
        <f t="shared" si="356"/>
        <v>00</v>
      </c>
      <c r="AA1169" t="str">
        <f t="shared" si="346"/>
        <v>00</v>
      </c>
      <c r="AB1169" t="str">
        <f t="shared" si="347"/>
        <v>00</v>
      </c>
      <c r="AC1169" t="str">
        <f t="shared" si="348"/>
        <v>0P0</v>
      </c>
      <c r="AD1169" t="str">
        <f t="shared" si="349"/>
        <v>P00</v>
      </c>
      <c r="AE1169" t="str">
        <f t="shared" si="350"/>
        <v>0P0</v>
      </c>
      <c r="AF1169" t="str">
        <f t="shared" si="351"/>
        <v>P00</v>
      </c>
      <c r="AG1169" t="str">
        <f t="shared" si="357"/>
        <v>0P00</v>
      </c>
      <c r="AH1169" t="str">
        <f t="shared" si="358"/>
        <v>P000</v>
      </c>
      <c r="AI1169" t="str">
        <f t="shared" si="359"/>
        <v>0P00</v>
      </c>
      <c r="AJ1169" t="str">
        <f t="shared" si="360"/>
        <v>P000</v>
      </c>
    </row>
    <row r="1170" spans="1:36" x14ac:dyDescent="0.25">
      <c r="A1170" s="325" t="str">
        <f>CONCATENATE("P",'906MP'!M870)</f>
        <v>P</v>
      </c>
      <c r="B1170">
        <f>'906MP'!H870</f>
        <v>0</v>
      </c>
      <c r="C1170">
        <f>'906MP'!J870</f>
        <v>0</v>
      </c>
      <c r="D1170">
        <f>'906MP'!P870</f>
        <v>0</v>
      </c>
      <c r="E1170">
        <f>'906MP'!X870</f>
        <v>0</v>
      </c>
      <c r="F1170" t="str">
        <f t="shared" si="352"/>
        <v>0</v>
      </c>
      <c r="G1170" t="str">
        <f t="shared" si="353"/>
        <v>0</v>
      </c>
      <c r="H1170">
        <f>'906MP'!Y870</f>
        <v>0</v>
      </c>
      <c r="I1170">
        <f>'906MP'!AK870</f>
        <v>0</v>
      </c>
      <c r="J1170">
        <f>'906MP'!T870</f>
        <v>0</v>
      </c>
      <c r="K1170">
        <f>'906MP'!AJ870</f>
        <v>0</v>
      </c>
      <c r="L1170">
        <f>'906MP'!U870</f>
        <v>0</v>
      </c>
      <c r="M1170" s="322" t="str">
        <f>IFERROR(VLOOKUP(A1170,PAR!$D$3:$E$53,2,FALSE),"nincs szervezet")</f>
        <v>nincs szervezet</v>
      </c>
      <c r="N1170" s="322" t="str">
        <f>VLOOKUP(F1170,PAR!$R$3:$S$5,2,FALSE)</f>
        <v>3 - egyik sem</v>
      </c>
      <c r="O1170" t="str">
        <f>IFERROR(VLOOKUP(J1170,PAR!$O$3:$P$5,2,FALSE),"nincs feladat")</f>
        <v>nincs feladat</v>
      </c>
      <c r="P1170" t="str">
        <f>IFERROR(VLOOKUP(G1170,PAR!$J$2:$M$19,4),"nincs rovat")</f>
        <v>nincs rovat</v>
      </c>
      <c r="Q1170" t="str">
        <f>IF(H1170&gt;0,VLOOKUP(H1170,PAR!$AA$3:$AC$187,3,FALSE),"nincs főkönyvi számla")</f>
        <v>nincs főkönyvi számla</v>
      </c>
      <c r="R1170" t="str">
        <f>IFERROR(VLOOKUP(K1170,PAR!$V$3:$X$438,3,FALSE),"000000 - Nincs COFOG")</f>
        <v>000000 - Nincs COFOG</v>
      </c>
      <c r="S1170">
        <f t="shared" si="354"/>
        <v>0</v>
      </c>
      <c r="T1170">
        <f t="shared" si="355"/>
        <v>0</v>
      </c>
      <c r="U1170" t="str">
        <f>IF('906MP'!J870&gt;0,CONCATENATE('906MP'!J870," - ",'906MP'!P870,", ",'906MP'!E870),"nincs megjegyzés")</f>
        <v>nincs megjegyzés</v>
      </c>
      <c r="V1170" t="str">
        <f t="shared" si="342"/>
        <v>0P0</v>
      </c>
      <c r="W1170" t="str">
        <f t="shared" si="343"/>
        <v>0P0</v>
      </c>
      <c r="X1170" t="str">
        <f t="shared" si="344"/>
        <v>P0</v>
      </c>
      <c r="Y1170" t="str">
        <f t="shared" si="345"/>
        <v>00</v>
      </c>
      <c r="Z1170" t="str">
        <f t="shared" si="356"/>
        <v>00</v>
      </c>
      <c r="AA1170" t="str">
        <f t="shared" si="346"/>
        <v>00</v>
      </c>
      <c r="AB1170" t="str">
        <f t="shared" si="347"/>
        <v>00</v>
      </c>
      <c r="AC1170" t="str">
        <f t="shared" si="348"/>
        <v>0P0</v>
      </c>
      <c r="AD1170" t="str">
        <f t="shared" si="349"/>
        <v>P00</v>
      </c>
      <c r="AE1170" t="str">
        <f t="shared" si="350"/>
        <v>0P0</v>
      </c>
      <c r="AF1170" t="str">
        <f t="shared" si="351"/>
        <v>P00</v>
      </c>
      <c r="AG1170" t="str">
        <f t="shared" si="357"/>
        <v>0P00</v>
      </c>
      <c r="AH1170" t="str">
        <f t="shared" si="358"/>
        <v>P000</v>
      </c>
      <c r="AI1170" t="str">
        <f t="shared" si="359"/>
        <v>0P00</v>
      </c>
      <c r="AJ1170" t="str">
        <f t="shared" si="360"/>
        <v>P000</v>
      </c>
    </row>
    <row r="1171" spans="1:36" x14ac:dyDescent="0.25">
      <c r="A1171" s="325" t="str">
        <f>CONCATENATE("P",'906MP'!M871)</f>
        <v>P</v>
      </c>
      <c r="B1171">
        <f>'906MP'!H871</f>
        <v>0</v>
      </c>
      <c r="C1171">
        <f>'906MP'!J871</f>
        <v>0</v>
      </c>
      <c r="D1171">
        <f>'906MP'!P871</f>
        <v>0</v>
      </c>
      <c r="E1171">
        <f>'906MP'!X871</f>
        <v>0</v>
      </c>
      <c r="F1171" t="str">
        <f t="shared" si="352"/>
        <v>0</v>
      </c>
      <c r="G1171" t="str">
        <f t="shared" si="353"/>
        <v>0</v>
      </c>
      <c r="H1171">
        <f>'906MP'!Y871</f>
        <v>0</v>
      </c>
      <c r="I1171">
        <f>'906MP'!AK871</f>
        <v>0</v>
      </c>
      <c r="J1171">
        <f>'906MP'!T871</f>
        <v>0</v>
      </c>
      <c r="K1171">
        <f>'906MP'!AJ871</f>
        <v>0</v>
      </c>
      <c r="L1171">
        <f>'906MP'!U871</f>
        <v>0</v>
      </c>
      <c r="M1171" s="322" t="str">
        <f>IFERROR(VLOOKUP(A1171,PAR!$D$3:$E$53,2,FALSE),"nincs szervezet")</f>
        <v>nincs szervezet</v>
      </c>
      <c r="N1171" s="322" t="str">
        <f>VLOOKUP(F1171,PAR!$R$3:$S$5,2,FALSE)</f>
        <v>3 - egyik sem</v>
      </c>
      <c r="O1171" t="str">
        <f>IFERROR(VLOOKUP(J1171,PAR!$O$3:$P$5,2,FALSE),"nincs feladat")</f>
        <v>nincs feladat</v>
      </c>
      <c r="P1171" t="str">
        <f>IFERROR(VLOOKUP(G1171,PAR!$J$2:$M$19,4),"nincs rovat")</f>
        <v>nincs rovat</v>
      </c>
      <c r="Q1171" t="str">
        <f>IF(H1171&gt;0,VLOOKUP(H1171,PAR!$AA$3:$AC$187,3,FALSE),"nincs főkönyvi számla")</f>
        <v>nincs főkönyvi számla</v>
      </c>
      <c r="R1171" t="str">
        <f>IFERROR(VLOOKUP(K1171,PAR!$V$3:$X$438,3,FALSE),"000000 - Nincs COFOG")</f>
        <v>000000 - Nincs COFOG</v>
      </c>
      <c r="S1171">
        <f t="shared" si="354"/>
        <v>0</v>
      </c>
      <c r="T1171">
        <f t="shared" si="355"/>
        <v>0</v>
      </c>
      <c r="U1171" t="str">
        <f>IF('906MP'!J871&gt;0,CONCATENATE('906MP'!J871," - ",'906MP'!P871,", ",'906MP'!E871),"nincs megjegyzés")</f>
        <v>nincs megjegyzés</v>
      </c>
      <c r="V1171" t="str">
        <f t="shared" si="342"/>
        <v>0P0</v>
      </c>
      <c r="W1171" t="str">
        <f t="shared" si="343"/>
        <v>0P0</v>
      </c>
      <c r="X1171" t="str">
        <f t="shared" si="344"/>
        <v>P0</v>
      </c>
      <c r="Y1171" t="str">
        <f t="shared" si="345"/>
        <v>00</v>
      </c>
      <c r="Z1171" t="str">
        <f t="shared" si="356"/>
        <v>00</v>
      </c>
      <c r="AA1171" t="str">
        <f t="shared" si="346"/>
        <v>00</v>
      </c>
      <c r="AB1171" t="str">
        <f t="shared" si="347"/>
        <v>00</v>
      </c>
      <c r="AC1171" t="str">
        <f t="shared" si="348"/>
        <v>0P0</v>
      </c>
      <c r="AD1171" t="str">
        <f t="shared" si="349"/>
        <v>P00</v>
      </c>
      <c r="AE1171" t="str">
        <f t="shared" si="350"/>
        <v>0P0</v>
      </c>
      <c r="AF1171" t="str">
        <f t="shared" si="351"/>
        <v>P00</v>
      </c>
      <c r="AG1171" t="str">
        <f t="shared" si="357"/>
        <v>0P00</v>
      </c>
      <c r="AH1171" t="str">
        <f t="shared" si="358"/>
        <v>P000</v>
      </c>
      <c r="AI1171" t="str">
        <f t="shared" si="359"/>
        <v>0P00</v>
      </c>
      <c r="AJ1171" t="str">
        <f t="shared" si="360"/>
        <v>P000</v>
      </c>
    </row>
    <row r="1172" spans="1:36" x14ac:dyDescent="0.25">
      <c r="A1172" s="325" t="str">
        <f>CONCATENATE("P",'906MP'!M872)</f>
        <v>P</v>
      </c>
      <c r="B1172">
        <f>'906MP'!H872</f>
        <v>0</v>
      </c>
      <c r="C1172">
        <f>'906MP'!J872</f>
        <v>0</v>
      </c>
      <c r="D1172">
        <f>'906MP'!P872</f>
        <v>0</v>
      </c>
      <c r="E1172">
        <f>'906MP'!X872</f>
        <v>0</v>
      </c>
      <c r="F1172" t="str">
        <f t="shared" si="352"/>
        <v>0</v>
      </c>
      <c r="G1172" t="str">
        <f t="shared" si="353"/>
        <v>0</v>
      </c>
      <c r="H1172">
        <f>'906MP'!Y872</f>
        <v>0</v>
      </c>
      <c r="I1172">
        <f>'906MP'!AK872</f>
        <v>0</v>
      </c>
      <c r="J1172">
        <f>'906MP'!T872</f>
        <v>0</v>
      </c>
      <c r="K1172">
        <f>'906MP'!AJ872</f>
        <v>0</v>
      </c>
      <c r="L1172">
        <f>'906MP'!U872</f>
        <v>0</v>
      </c>
      <c r="M1172" s="322" t="str">
        <f>IFERROR(VLOOKUP(A1172,PAR!$D$3:$E$53,2,FALSE),"nincs szervezet")</f>
        <v>nincs szervezet</v>
      </c>
      <c r="N1172" s="322" t="str">
        <f>VLOOKUP(F1172,PAR!$R$3:$S$5,2,FALSE)</f>
        <v>3 - egyik sem</v>
      </c>
      <c r="O1172" t="str">
        <f>IFERROR(VLOOKUP(J1172,PAR!$O$3:$P$5,2,FALSE),"nincs feladat")</f>
        <v>nincs feladat</v>
      </c>
      <c r="P1172" t="str">
        <f>IFERROR(VLOOKUP(G1172,PAR!$J$2:$M$19,4),"nincs rovat")</f>
        <v>nincs rovat</v>
      </c>
      <c r="Q1172" t="str">
        <f>IF(H1172&gt;0,VLOOKUP(H1172,PAR!$AA$3:$AC$187,3,FALSE),"nincs főkönyvi számla")</f>
        <v>nincs főkönyvi számla</v>
      </c>
      <c r="R1172" t="str">
        <f>IFERROR(VLOOKUP(K1172,PAR!$V$3:$X$438,3,FALSE),"000000 - Nincs COFOG")</f>
        <v>000000 - Nincs COFOG</v>
      </c>
      <c r="S1172">
        <f t="shared" si="354"/>
        <v>0</v>
      </c>
      <c r="T1172">
        <f t="shared" si="355"/>
        <v>0</v>
      </c>
      <c r="U1172" t="str">
        <f>IF('906MP'!J872&gt;0,CONCATENATE('906MP'!J872," - ",'906MP'!P872,", ",'906MP'!E872),"nincs megjegyzés")</f>
        <v>nincs megjegyzés</v>
      </c>
      <c r="V1172" t="str">
        <f t="shared" si="342"/>
        <v>0P0</v>
      </c>
      <c r="W1172" t="str">
        <f t="shared" si="343"/>
        <v>0P0</v>
      </c>
      <c r="X1172" t="str">
        <f t="shared" si="344"/>
        <v>P0</v>
      </c>
      <c r="Y1172" t="str">
        <f t="shared" si="345"/>
        <v>00</v>
      </c>
      <c r="Z1172" t="str">
        <f t="shared" si="356"/>
        <v>00</v>
      </c>
      <c r="AA1172" t="str">
        <f t="shared" si="346"/>
        <v>00</v>
      </c>
      <c r="AB1172" t="str">
        <f t="shared" si="347"/>
        <v>00</v>
      </c>
      <c r="AC1172" t="str">
        <f t="shared" si="348"/>
        <v>0P0</v>
      </c>
      <c r="AD1172" t="str">
        <f t="shared" si="349"/>
        <v>P00</v>
      </c>
      <c r="AE1172" t="str">
        <f t="shared" si="350"/>
        <v>0P0</v>
      </c>
      <c r="AF1172" t="str">
        <f t="shared" si="351"/>
        <v>P00</v>
      </c>
      <c r="AG1172" t="str">
        <f t="shared" si="357"/>
        <v>0P00</v>
      </c>
      <c r="AH1172" t="str">
        <f t="shared" si="358"/>
        <v>P000</v>
      </c>
      <c r="AI1172" t="str">
        <f t="shared" si="359"/>
        <v>0P00</v>
      </c>
      <c r="AJ1172" t="str">
        <f t="shared" si="360"/>
        <v>P000</v>
      </c>
    </row>
    <row r="1173" spans="1:36" x14ac:dyDescent="0.25">
      <c r="A1173" s="325" t="str">
        <f>CONCATENATE("P",'906MP'!M873)</f>
        <v>P</v>
      </c>
      <c r="B1173">
        <f>'906MP'!H873</f>
        <v>0</v>
      </c>
      <c r="C1173">
        <f>'906MP'!J873</f>
        <v>0</v>
      </c>
      <c r="D1173">
        <f>'906MP'!P873</f>
        <v>0</v>
      </c>
      <c r="E1173">
        <f>'906MP'!X873</f>
        <v>0</v>
      </c>
      <c r="F1173" t="str">
        <f t="shared" si="352"/>
        <v>0</v>
      </c>
      <c r="G1173" t="str">
        <f t="shared" si="353"/>
        <v>0</v>
      </c>
      <c r="H1173">
        <f>'906MP'!Y873</f>
        <v>0</v>
      </c>
      <c r="I1173">
        <f>'906MP'!AK873</f>
        <v>0</v>
      </c>
      <c r="J1173">
        <f>'906MP'!T873</f>
        <v>0</v>
      </c>
      <c r="K1173">
        <f>'906MP'!AJ873</f>
        <v>0</v>
      </c>
      <c r="L1173">
        <f>'906MP'!U873</f>
        <v>0</v>
      </c>
      <c r="M1173" s="322" t="str">
        <f>IFERROR(VLOOKUP(A1173,PAR!$D$3:$E$53,2,FALSE),"nincs szervezet")</f>
        <v>nincs szervezet</v>
      </c>
      <c r="N1173" s="322" t="str">
        <f>VLOOKUP(F1173,PAR!$R$3:$S$5,2,FALSE)</f>
        <v>3 - egyik sem</v>
      </c>
      <c r="O1173" t="str">
        <f>IFERROR(VLOOKUP(J1173,PAR!$O$3:$P$5,2,FALSE),"nincs feladat")</f>
        <v>nincs feladat</v>
      </c>
      <c r="P1173" t="str">
        <f>IFERROR(VLOOKUP(G1173,PAR!$J$2:$M$19,4),"nincs rovat")</f>
        <v>nincs rovat</v>
      </c>
      <c r="Q1173" t="str">
        <f>IF(H1173&gt;0,VLOOKUP(H1173,PAR!$AA$3:$AC$187,3,FALSE),"nincs főkönyvi számla")</f>
        <v>nincs főkönyvi számla</v>
      </c>
      <c r="R1173" t="str">
        <f>IFERROR(VLOOKUP(K1173,PAR!$V$3:$X$438,3,FALSE),"000000 - Nincs COFOG")</f>
        <v>000000 - Nincs COFOG</v>
      </c>
      <c r="S1173">
        <f t="shared" si="354"/>
        <v>0</v>
      </c>
      <c r="T1173">
        <f t="shared" si="355"/>
        <v>0</v>
      </c>
      <c r="U1173" t="str">
        <f>IF('906MP'!J873&gt;0,CONCATENATE('906MP'!J873," - ",'906MP'!P873,", ",'906MP'!E873),"nincs megjegyzés")</f>
        <v>nincs megjegyzés</v>
      </c>
      <c r="V1173" t="str">
        <f t="shared" si="342"/>
        <v>0P0</v>
      </c>
      <c r="W1173" t="str">
        <f t="shared" si="343"/>
        <v>0P0</v>
      </c>
      <c r="X1173" t="str">
        <f t="shared" si="344"/>
        <v>P0</v>
      </c>
      <c r="Y1173" t="str">
        <f t="shared" si="345"/>
        <v>00</v>
      </c>
      <c r="Z1173" t="str">
        <f t="shared" si="356"/>
        <v>00</v>
      </c>
      <c r="AA1173" t="str">
        <f t="shared" si="346"/>
        <v>00</v>
      </c>
      <c r="AB1173" t="str">
        <f t="shared" si="347"/>
        <v>00</v>
      </c>
      <c r="AC1173" t="str">
        <f t="shared" si="348"/>
        <v>0P0</v>
      </c>
      <c r="AD1173" t="str">
        <f t="shared" si="349"/>
        <v>P00</v>
      </c>
      <c r="AE1173" t="str">
        <f t="shared" si="350"/>
        <v>0P0</v>
      </c>
      <c r="AF1173" t="str">
        <f t="shared" si="351"/>
        <v>P00</v>
      </c>
      <c r="AG1173" t="str">
        <f t="shared" si="357"/>
        <v>0P00</v>
      </c>
      <c r="AH1173" t="str">
        <f t="shared" si="358"/>
        <v>P000</v>
      </c>
      <c r="AI1173" t="str">
        <f t="shared" si="359"/>
        <v>0P00</v>
      </c>
      <c r="AJ1173" t="str">
        <f t="shared" si="360"/>
        <v>P000</v>
      </c>
    </row>
    <row r="1174" spans="1:36" x14ac:dyDescent="0.25">
      <c r="A1174" s="325" t="str">
        <f>CONCATENATE("P",'906MP'!M874)</f>
        <v>P</v>
      </c>
      <c r="B1174">
        <f>'906MP'!H874</f>
        <v>0</v>
      </c>
      <c r="C1174">
        <f>'906MP'!J874</f>
        <v>0</v>
      </c>
      <c r="D1174">
        <f>'906MP'!P874</f>
        <v>0</v>
      </c>
      <c r="E1174">
        <f>'906MP'!X874</f>
        <v>0</v>
      </c>
      <c r="F1174" t="str">
        <f t="shared" si="352"/>
        <v>0</v>
      </c>
      <c r="G1174" t="str">
        <f t="shared" si="353"/>
        <v>0</v>
      </c>
      <c r="H1174">
        <f>'906MP'!Y874</f>
        <v>0</v>
      </c>
      <c r="I1174">
        <f>'906MP'!AK874</f>
        <v>0</v>
      </c>
      <c r="J1174">
        <f>'906MP'!T874</f>
        <v>0</v>
      </c>
      <c r="K1174">
        <f>'906MP'!AJ874</f>
        <v>0</v>
      </c>
      <c r="L1174">
        <f>'906MP'!U874</f>
        <v>0</v>
      </c>
      <c r="M1174" s="322" t="str">
        <f>IFERROR(VLOOKUP(A1174,PAR!$D$3:$E$53,2,FALSE),"nincs szervezet")</f>
        <v>nincs szervezet</v>
      </c>
      <c r="N1174" s="322" t="str">
        <f>VLOOKUP(F1174,PAR!$R$3:$S$5,2,FALSE)</f>
        <v>3 - egyik sem</v>
      </c>
      <c r="O1174" t="str">
        <f>IFERROR(VLOOKUP(J1174,PAR!$O$3:$P$5,2,FALSE),"nincs feladat")</f>
        <v>nincs feladat</v>
      </c>
      <c r="P1174" t="str">
        <f>IFERROR(VLOOKUP(G1174,PAR!$J$2:$M$19,4),"nincs rovat")</f>
        <v>nincs rovat</v>
      </c>
      <c r="Q1174" t="str">
        <f>IF(H1174&gt;0,VLOOKUP(H1174,PAR!$AA$3:$AC$187,3,FALSE),"nincs főkönyvi számla")</f>
        <v>nincs főkönyvi számla</v>
      </c>
      <c r="R1174" t="str">
        <f>IFERROR(VLOOKUP(K1174,PAR!$V$3:$X$438,3,FALSE),"000000 - Nincs COFOG")</f>
        <v>000000 - Nincs COFOG</v>
      </c>
      <c r="S1174">
        <f t="shared" si="354"/>
        <v>0</v>
      </c>
      <c r="T1174">
        <f t="shared" si="355"/>
        <v>0</v>
      </c>
      <c r="U1174" t="str">
        <f>IF('906MP'!J874&gt;0,CONCATENATE('906MP'!J874," - ",'906MP'!P874,", ",'906MP'!E874),"nincs megjegyzés")</f>
        <v>nincs megjegyzés</v>
      </c>
      <c r="V1174" t="str">
        <f t="shared" si="342"/>
        <v>0P0</v>
      </c>
      <c r="W1174" t="str">
        <f t="shared" si="343"/>
        <v>0P0</v>
      </c>
      <c r="X1174" t="str">
        <f t="shared" si="344"/>
        <v>P0</v>
      </c>
      <c r="Y1174" t="str">
        <f t="shared" si="345"/>
        <v>00</v>
      </c>
      <c r="Z1174" t="str">
        <f t="shared" si="356"/>
        <v>00</v>
      </c>
      <c r="AA1174" t="str">
        <f t="shared" si="346"/>
        <v>00</v>
      </c>
      <c r="AB1174" t="str">
        <f t="shared" si="347"/>
        <v>00</v>
      </c>
      <c r="AC1174" t="str">
        <f t="shared" si="348"/>
        <v>0P0</v>
      </c>
      <c r="AD1174" t="str">
        <f t="shared" si="349"/>
        <v>P00</v>
      </c>
      <c r="AE1174" t="str">
        <f t="shared" si="350"/>
        <v>0P0</v>
      </c>
      <c r="AF1174" t="str">
        <f t="shared" si="351"/>
        <v>P00</v>
      </c>
      <c r="AG1174" t="str">
        <f t="shared" si="357"/>
        <v>0P00</v>
      </c>
      <c r="AH1174" t="str">
        <f t="shared" si="358"/>
        <v>P000</v>
      </c>
      <c r="AI1174" t="str">
        <f t="shared" si="359"/>
        <v>0P00</v>
      </c>
      <c r="AJ1174" t="str">
        <f t="shared" si="360"/>
        <v>P000</v>
      </c>
    </row>
    <row r="1175" spans="1:36" x14ac:dyDescent="0.25">
      <c r="A1175" s="325" t="str">
        <f>CONCATENATE("P",'906MP'!M875)</f>
        <v>P</v>
      </c>
      <c r="B1175">
        <f>'906MP'!H875</f>
        <v>0</v>
      </c>
      <c r="C1175">
        <f>'906MP'!J875</f>
        <v>0</v>
      </c>
      <c r="D1175">
        <f>'906MP'!P875</f>
        <v>0</v>
      </c>
      <c r="E1175">
        <f>'906MP'!X875</f>
        <v>0</v>
      </c>
      <c r="F1175" t="str">
        <f t="shared" si="352"/>
        <v>0</v>
      </c>
      <c r="G1175" t="str">
        <f t="shared" si="353"/>
        <v>0</v>
      </c>
      <c r="H1175">
        <f>'906MP'!Y875</f>
        <v>0</v>
      </c>
      <c r="I1175">
        <f>'906MP'!AK875</f>
        <v>0</v>
      </c>
      <c r="J1175">
        <f>'906MP'!T875</f>
        <v>0</v>
      </c>
      <c r="K1175">
        <f>'906MP'!AJ875</f>
        <v>0</v>
      </c>
      <c r="L1175">
        <f>'906MP'!U875</f>
        <v>0</v>
      </c>
      <c r="M1175" s="322" t="str">
        <f>IFERROR(VLOOKUP(A1175,PAR!$D$3:$E$53,2,FALSE),"nincs szervezet")</f>
        <v>nincs szervezet</v>
      </c>
      <c r="N1175" s="322" t="str">
        <f>VLOOKUP(F1175,PAR!$R$3:$S$5,2,FALSE)</f>
        <v>3 - egyik sem</v>
      </c>
      <c r="O1175" t="str">
        <f>IFERROR(VLOOKUP(J1175,PAR!$O$3:$P$5,2,FALSE),"nincs feladat")</f>
        <v>nincs feladat</v>
      </c>
      <c r="P1175" t="str">
        <f>IFERROR(VLOOKUP(G1175,PAR!$J$2:$M$19,4),"nincs rovat")</f>
        <v>nincs rovat</v>
      </c>
      <c r="Q1175" t="str">
        <f>IF(H1175&gt;0,VLOOKUP(H1175,PAR!$AA$3:$AC$187,3,FALSE),"nincs főkönyvi számla")</f>
        <v>nincs főkönyvi számla</v>
      </c>
      <c r="R1175" t="str">
        <f>IFERROR(VLOOKUP(K1175,PAR!$V$3:$X$438,3,FALSE),"000000 - Nincs COFOG")</f>
        <v>000000 - Nincs COFOG</v>
      </c>
      <c r="S1175">
        <f t="shared" si="354"/>
        <v>0</v>
      </c>
      <c r="T1175">
        <f t="shared" si="355"/>
        <v>0</v>
      </c>
      <c r="U1175" t="str">
        <f>IF('906MP'!J875&gt;0,CONCATENATE('906MP'!J875," - ",'906MP'!P875,", ",'906MP'!E875),"nincs megjegyzés")</f>
        <v>nincs megjegyzés</v>
      </c>
      <c r="V1175" t="str">
        <f t="shared" si="342"/>
        <v>0P0</v>
      </c>
      <c r="W1175" t="str">
        <f t="shared" si="343"/>
        <v>0P0</v>
      </c>
      <c r="X1175" t="str">
        <f t="shared" si="344"/>
        <v>P0</v>
      </c>
      <c r="Y1175" t="str">
        <f t="shared" si="345"/>
        <v>00</v>
      </c>
      <c r="Z1175" t="str">
        <f t="shared" si="356"/>
        <v>00</v>
      </c>
      <c r="AA1175" t="str">
        <f t="shared" si="346"/>
        <v>00</v>
      </c>
      <c r="AB1175" t="str">
        <f t="shared" si="347"/>
        <v>00</v>
      </c>
      <c r="AC1175" t="str">
        <f t="shared" si="348"/>
        <v>0P0</v>
      </c>
      <c r="AD1175" t="str">
        <f t="shared" si="349"/>
        <v>P00</v>
      </c>
      <c r="AE1175" t="str">
        <f t="shared" si="350"/>
        <v>0P0</v>
      </c>
      <c r="AF1175" t="str">
        <f t="shared" si="351"/>
        <v>P00</v>
      </c>
      <c r="AG1175" t="str">
        <f t="shared" si="357"/>
        <v>0P00</v>
      </c>
      <c r="AH1175" t="str">
        <f t="shared" si="358"/>
        <v>P000</v>
      </c>
      <c r="AI1175" t="str">
        <f t="shared" si="359"/>
        <v>0P00</v>
      </c>
      <c r="AJ1175" t="str">
        <f t="shared" si="360"/>
        <v>P000</v>
      </c>
    </row>
    <row r="1176" spans="1:36" x14ac:dyDescent="0.25">
      <c r="A1176" s="325" t="str">
        <f>CONCATENATE("P",'906MP'!M876)</f>
        <v>P</v>
      </c>
      <c r="B1176">
        <f>'906MP'!H876</f>
        <v>0</v>
      </c>
      <c r="C1176">
        <f>'906MP'!J876</f>
        <v>0</v>
      </c>
      <c r="D1176">
        <f>'906MP'!P876</f>
        <v>0</v>
      </c>
      <c r="E1176">
        <f>'906MP'!X876</f>
        <v>0</v>
      </c>
      <c r="F1176" t="str">
        <f t="shared" si="352"/>
        <v>0</v>
      </c>
      <c r="G1176" t="str">
        <f t="shared" si="353"/>
        <v>0</v>
      </c>
      <c r="H1176">
        <f>'906MP'!Y876</f>
        <v>0</v>
      </c>
      <c r="I1176">
        <f>'906MP'!AK876</f>
        <v>0</v>
      </c>
      <c r="J1176">
        <f>'906MP'!T876</f>
        <v>0</v>
      </c>
      <c r="K1176">
        <f>'906MP'!AJ876</f>
        <v>0</v>
      </c>
      <c r="L1176">
        <f>'906MP'!U876</f>
        <v>0</v>
      </c>
      <c r="M1176" s="322" t="str">
        <f>IFERROR(VLOOKUP(A1176,PAR!$D$3:$E$53,2,FALSE),"nincs szervezet")</f>
        <v>nincs szervezet</v>
      </c>
      <c r="N1176" s="322" t="str">
        <f>VLOOKUP(F1176,PAR!$R$3:$S$5,2,FALSE)</f>
        <v>3 - egyik sem</v>
      </c>
      <c r="O1176" t="str">
        <f>IFERROR(VLOOKUP(J1176,PAR!$O$3:$P$5,2,FALSE),"nincs feladat")</f>
        <v>nincs feladat</v>
      </c>
      <c r="P1176" t="str">
        <f>IFERROR(VLOOKUP(G1176,PAR!$J$2:$M$19,4),"nincs rovat")</f>
        <v>nincs rovat</v>
      </c>
      <c r="Q1176" t="str">
        <f>IF(H1176&gt;0,VLOOKUP(H1176,PAR!$AA$3:$AC$187,3,FALSE),"nincs főkönyvi számla")</f>
        <v>nincs főkönyvi számla</v>
      </c>
      <c r="R1176" t="str">
        <f>IFERROR(VLOOKUP(K1176,PAR!$V$3:$X$438,3,FALSE),"000000 - Nincs COFOG")</f>
        <v>000000 - Nincs COFOG</v>
      </c>
      <c r="S1176">
        <f t="shared" si="354"/>
        <v>0</v>
      </c>
      <c r="T1176">
        <f t="shared" si="355"/>
        <v>0</v>
      </c>
      <c r="U1176" t="str">
        <f>IF('906MP'!J876&gt;0,CONCATENATE('906MP'!J876," - ",'906MP'!P876,", ",'906MP'!E876),"nincs megjegyzés")</f>
        <v>nincs megjegyzés</v>
      </c>
      <c r="V1176" t="str">
        <f t="shared" si="342"/>
        <v>0P0</v>
      </c>
      <c r="W1176" t="str">
        <f t="shared" si="343"/>
        <v>0P0</v>
      </c>
      <c r="X1176" t="str">
        <f t="shared" si="344"/>
        <v>P0</v>
      </c>
      <c r="Y1176" t="str">
        <f t="shared" si="345"/>
        <v>00</v>
      </c>
      <c r="Z1176" t="str">
        <f t="shared" si="356"/>
        <v>00</v>
      </c>
      <c r="AA1176" t="str">
        <f t="shared" si="346"/>
        <v>00</v>
      </c>
      <c r="AB1176" t="str">
        <f t="shared" si="347"/>
        <v>00</v>
      </c>
      <c r="AC1176" t="str">
        <f t="shared" si="348"/>
        <v>0P0</v>
      </c>
      <c r="AD1176" t="str">
        <f t="shared" si="349"/>
        <v>P00</v>
      </c>
      <c r="AE1176" t="str">
        <f t="shared" si="350"/>
        <v>0P0</v>
      </c>
      <c r="AF1176" t="str">
        <f t="shared" si="351"/>
        <v>P00</v>
      </c>
      <c r="AG1176" t="str">
        <f t="shared" si="357"/>
        <v>0P00</v>
      </c>
      <c r="AH1176" t="str">
        <f t="shared" si="358"/>
        <v>P000</v>
      </c>
      <c r="AI1176" t="str">
        <f t="shared" si="359"/>
        <v>0P00</v>
      </c>
      <c r="AJ1176" t="str">
        <f t="shared" si="360"/>
        <v>P000</v>
      </c>
    </row>
    <row r="1177" spans="1:36" x14ac:dyDescent="0.25">
      <c r="A1177" s="325" t="str">
        <f>CONCATENATE("P",'906MP'!M877)</f>
        <v>P</v>
      </c>
      <c r="B1177">
        <f>'906MP'!H877</f>
        <v>0</v>
      </c>
      <c r="C1177">
        <f>'906MP'!J877</f>
        <v>0</v>
      </c>
      <c r="D1177">
        <f>'906MP'!P877</f>
        <v>0</v>
      </c>
      <c r="E1177">
        <f>'906MP'!X877</f>
        <v>0</v>
      </c>
      <c r="F1177" t="str">
        <f t="shared" si="352"/>
        <v>0</v>
      </c>
      <c r="G1177" t="str">
        <f t="shared" si="353"/>
        <v>0</v>
      </c>
      <c r="H1177">
        <f>'906MP'!Y877</f>
        <v>0</v>
      </c>
      <c r="I1177">
        <f>'906MP'!AK877</f>
        <v>0</v>
      </c>
      <c r="J1177">
        <f>'906MP'!T877</f>
        <v>0</v>
      </c>
      <c r="K1177">
        <f>'906MP'!AJ877</f>
        <v>0</v>
      </c>
      <c r="L1177">
        <f>'906MP'!U877</f>
        <v>0</v>
      </c>
      <c r="M1177" s="322" t="str">
        <f>IFERROR(VLOOKUP(A1177,PAR!$D$3:$E$53,2,FALSE),"nincs szervezet")</f>
        <v>nincs szervezet</v>
      </c>
      <c r="N1177" s="322" t="str">
        <f>VLOOKUP(F1177,PAR!$R$3:$S$5,2,FALSE)</f>
        <v>3 - egyik sem</v>
      </c>
      <c r="O1177" t="str">
        <f>IFERROR(VLOOKUP(J1177,PAR!$O$3:$P$5,2,FALSE),"nincs feladat")</f>
        <v>nincs feladat</v>
      </c>
      <c r="P1177" t="str">
        <f>IFERROR(VLOOKUP(G1177,PAR!$J$2:$M$19,4),"nincs rovat")</f>
        <v>nincs rovat</v>
      </c>
      <c r="Q1177" t="str">
        <f>IF(H1177&gt;0,VLOOKUP(H1177,PAR!$AA$3:$AC$187,3,FALSE),"nincs főkönyvi számla")</f>
        <v>nincs főkönyvi számla</v>
      </c>
      <c r="R1177" t="str">
        <f>IFERROR(VLOOKUP(K1177,PAR!$V$3:$X$438,3,FALSE),"000000 - Nincs COFOG")</f>
        <v>000000 - Nincs COFOG</v>
      </c>
      <c r="S1177">
        <f t="shared" si="354"/>
        <v>0</v>
      </c>
      <c r="T1177">
        <f t="shared" si="355"/>
        <v>0</v>
      </c>
      <c r="U1177" t="str">
        <f>IF('906MP'!J877&gt;0,CONCATENATE('906MP'!J877," - ",'906MP'!P877,", ",'906MP'!E877),"nincs megjegyzés")</f>
        <v>nincs megjegyzés</v>
      </c>
      <c r="V1177" t="str">
        <f t="shared" si="342"/>
        <v>0P0</v>
      </c>
      <c r="W1177" t="str">
        <f t="shared" si="343"/>
        <v>0P0</v>
      </c>
      <c r="X1177" t="str">
        <f t="shared" si="344"/>
        <v>P0</v>
      </c>
      <c r="Y1177" t="str">
        <f t="shared" si="345"/>
        <v>00</v>
      </c>
      <c r="Z1177" t="str">
        <f t="shared" si="356"/>
        <v>00</v>
      </c>
      <c r="AA1177" t="str">
        <f t="shared" si="346"/>
        <v>00</v>
      </c>
      <c r="AB1177" t="str">
        <f t="shared" si="347"/>
        <v>00</v>
      </c>
      <c r="AC1177" t="str">
        <f t="shared" si="348"/>
        <v>0P0</v>
      </c>
      <c r="AD1177" t="str">
        <f t="shared" si="349"/>
        <v>P00</v>
      </c>
      <c r="AE1177" t="str">
        <f t="shared" si="350"/>
        <v>0P0</v>
      </c>
      <c r="AF1177" t="str">
        <f t="shared" si="351"/>
        <v>P00</v>
      </c>
      <c r="AG1177" t="str">
        <f t="shared" si="357"/>
        <v>0P00</v>
      </c>
      <c r="AH1177" t="str">
        <f t="shared" si="358"/>
        <v>P000</v>
      </c>
      <c r="AI1177" t="str">
        <f t="shared" si="359"/>
        <v>0P00</v>
      </c>
      <c r="AJ1177" t="str">
        <f t="shared" si="360"/>
        <v>P000</v>
      </c>
    </row>
    <row r="1178" spans="1:36" x14ac:dyDescent="0.25">
      <c r="A1178" s="325" t="str">
        <f>CONCATENATE("P",'906MP'!M878)</f>
        <v>P</v>
      </c>
      <c r="B1178">
        <f>'906MP'!H878</f>
        <v>0</v>
      </c>
      <c r="C1178">
        <f>'906MP'!J878</f>
        <v>0</v>
      </c>
      <c r="D1178">
        <f>'906MP'!P878</f>
        <v>0</v>
      </c>
      <c r="E1178">
        <f>'906MP'!X878</f>
        <v>0</v>
      </c>
      <c r="F1178" t="str">
        <f t="shared" si="352"/>
        <v>0</v>
      </c>
      <c r="G1178" t="str">
        <f t="shared" si="353"/>
        <v>0</v>
      </c>
      <c r="H1178">
        <f>'906MP'!Y878</f>
        <v>0</v>
      </c>
      <c r="I1178">
        <f>'906MP'!AK878</f>
        <v>0</v>
      </c>
      <c r="J1178">
        <f>'906MP'!T878</f>
        <v>0</v>
      </c>
      <c r="K1178">
        <f>'906MP'!AJ878</f>
        <v>0</v>
      </c>
      <c r="L1178">
        <f>'906MP'!U878</f>
        <v>0</v>
      </c>
      <c r="M1178" s="322" t="str">
        <f>IFERROR(VLOOKUP(A1178,PAR!$D$3:$E$53,2,FALSE),"nincs szervezet")</f>
        <v>nincs szervezet</v>
      </c>
      <c r="N1178" s="322" t="str">
        <f>VLOOKUP(F1178,PAR!$R$3:$S$5,2,FALSE)</f>
        <v>3 - egyik sem</v>
      </c>
      <c r="O1178" t="str">
        <f>IFERROR(VLOOKUP(J1178,PAR!$O$3:$P$5,2,FALSE),"nincs feladat")</f>
        <v>nincs feladat</v>
      </c>
      <c r="P1178" t="str">
        <f>IFERROR(VLOOKUP(G1178,PAR!$J$2:$M$19,4),"nincs rovat")</f>
        <v>nincs rovat</v>
      </c>
      <c r="Q1178" t="str">
        <f>IF(H1178&gt;0,VLOOKUP(H1178,PAR!$AA$3:$AC$187,3,FALSE),"nincs főkönyvi számla")</f>
        <v>nincs főkönyvi számla</v>
      </c>
      <c r="R1178" t="str">
        <f>IFERROR(VLOOKUP(K1178,PAR!$V$3:$X$438,3,FALSE),"000000 - Nincs COFOG")</f>
        <v>000000 - Nincs COFOG</v>
      </c>
      <c r="S1178">
        <f t="shared" si="354"/>
        <v>0</v>
      </c>
      <c r="T1178">
        <f t="shared" si="355"/>
        <v>0</v>
      </c>
      <c r="U1178" t="str">
        <f>IF('906MP'!J878&gt;0,CONCATENATE('906MP'!J878," - ",'906MP'!P878,", ",'906MP'!E878),"nincs megjegyzés")</f>
        <v>nincs megjegyzés</v>
      </c>
      <c r="V1178" t="str">
        <f t="shared" si="342"/>
        <v>0P0</v>
      </c>
      <c r="W1178" t="str">
        <f t="shared" si="343"/>
        <v>0P0</v>
      </c>
      <c r="X1178" t="str">
        <f t="shared" si="344"/>
        <v>P0</v>
      </c>
      <c r="Y1178" t="str">
        <f t="shared" si="345"/>
        <v>00</v>
      </c>
      <c r="Z1178" t="str">
        <f t="shared" si="356"/>
        <v>00</v>
      </c>
      <c r="AA1178" t="str">
        <f t="shared" si="346"/>
        <v>00</v>
      </c>
      <c r="AB1178" t="str">
        <f t="shared" si="347"/>
        <v>00</v>
      </c>
      <c r="AC1178" t="str">
        <f t="shared" si="348"/>
        <v>0P0</v>
      </c>
      <c r="AD1178" t="str">
        <f t="shared" si="349"/>
        <v>P00</v>
      </c>
      <c r="AE1178" t="str">
        <f t="shared" si="350"/>
        <v>0P0</v>
      </c>
      <c r="AF1178" t="str">
        <f t="shared" si="351"/>
        <v>P00</v>
      </c>
      <c r="AG1178" t="str">
        <f t="shared" si="357"/>
        <v>0P00</v>
      </c>
      <c r="AH1178" t="str">
        <f t="shared" si="358"/>
        <v>P000</v>
      </c>
      <c r="AI1178" t="str">
        <f t="shared" si="359"/>
        <v>0P00</v>
      </c>
      <c r="AJ1178" t="str">
        <f t="shared" si="360"/>
        <v>P000</v>
      </c>
    </row>
    <row r="1179" spans="1:36" x14ac:dyDescent="0.25">
      <c r="A1179" s="325" t="str">
        <f>CONCATENATE("P",'906MP'!M879)</f>
        <v>P</v>
      </c>
      <c r="B1179">
        <f>'906MP'!H879</f>
        <v>0</v>
      </c>
      <c r="C1179">
        <f>'906MP'!J879</f>
        <v>0</v>
      </c>
      <c r="D1179">
        <f>'906MP'!P879</f>
        <v>0</v>
      </c>
      <c r="E1179">
        <f>'906MP'!X879</f>
        <v>0</v>
      </c>
      <c r="F1179" t="str">
        <f t="shared" si="352"/>
        <v>0</v>
      </c>
      <c r="G1179" t="str">
        <f t="shared" si="353"/>
        <v>0</v>
      </c>
      <c r="H1179">
        <f>'906MP'!Y879</f>
        <v>0</v>
      </c>
      <c r="I1179">
        <f>'906MP'!AK879</f>
        <v>0</v>
      </c>
      <c r="J1179">
        <f>'906MP'!T879</f>
        <v>0</v>
      </c>
      <c r="K1179">
        <f>'906MP'!AJ879</f>
        <v>0</v>
      </c>
      <c r="L1179">
        <f>'906MP'!U879</f>
        <v>0</v>
      </c>
      <c r="M1179" s="322" t="str">
        <f>IFERROR(VLOOKUP(A1179,PAR!$D$3:$E$53,2,FALSE),"nincs szervezet")</f>
        <v>nincs szervezet</v>
      </c>
      <c r="N1179" s="322" t="str">
        <f>VLOOKUP(F1179,PAR!$R$3:$S$5,2,FALSE)</f>
        <v>3 - egyik sem</v>
      </c>
      <c r="O1179" t="str">
        <f>IFERROR(VLOOKUP(J1179,PAR!$O$3:$P$5,2,FALSE),"nincs feladat")</f>
        <v>nincs feladat</v>
      </c>
      <c r="P1179" t="str">
        <f>IFERROR(VLOOKUP(G1179,PAR!$J$2:$M$19,4),"nincs rovat")</f>
        <v>nincs rovat</v>
      </c>
      <c r="Q1179" t="str">
        <f>IF(H1179&gt;0,VLOOKUP(H1179,PAR!$AA$3:$AC$187,3,FALSE),"nincs főkönyvi számla")</f>
        <v>nincs főkönyvi számla</v>
      </c>
      <c r="R1179" t="str">
        <f>IFERROR(VLOOKUP(K1179,PAR!$V$3:$X$438,3,FALSE),"000000 - Nincs COFOG")</f>
        <v>000000 - Nincs COFOG</v>
      </c>
      <c r="S1179">
        <f t="shared" si="354"/>
        <v>0</v>
      </c>
      <c r="T1179">
        <f t="shared" si="355"/>
        <v>0</v>
      </c>
      <c r="U1179" t="str">
        <f>IF('906MP'!J879&gt;0,CONCATENATE('906MP'!J879," - ",'906MP'!P879,", ",'906MP'!E879),"nincs megjegyzés")</f>
        <v>nincs megjegyzés</v>
      </c>
      <c r="V1179" t="str">
        <f t="shared" si="342"/>
        <v>0P0</v>
      </c>
      <c r="W1179" t="str">
        <f t="shared" si="343"/>
        <v>0P0</v>
      </c>
      <c r="X1179" t="str">
        <f t="shared" si="344"/>
        <v>P0</v>
      </c>
      <c r="Y1179" t="str">
        <f t="shared" si="345"/>
        <v>00</v>
      </c>
      <c r="Z1179" t="str">
        <f t="shared" si="356"/>
        <v>00</v>
      </c>
      <c r="AA1179" t="str">
        <f t="shared" si="346"/>
        <v>00</v>
      </c>
      <c r="AB1179" t="str">
        <f t="shared" si="347"/>
        <v>00</v>
      </c>
      <c r="AC1179" t="str">
        <f t="shared" si="348"/>
        <v>0P0</v>
      </c>
      <c r="AD1179" t="str">
        <f t="shared" si="349"/>
        <v>P00</v>
      </c>
      <c r="AE1179" t="str">
        <f t="shared" si="350"/>
        <v>0P0</v>
      </c>
      <c r="AF1179" t="str">
        <f t="shared" si="351"/>
        <v>P00</v>
      </c>
      <c r="AG1179" t="str">
        <f t="shared" si="357"/>
        <v>0P00</v>
      </c>
      <c r="AH1179" t="str">
        <f t="shared" si="358"/>
        <v>P000</v>
      </c>
      <c r="AI1179" t="str">
        <f t="shared" si="359"/>
        <v>0P00</v>
      </c>
      <c r="AJ1179" t="str">
        <f t="shared" si="360"/>
        <v>P000</v>
      </c>
    </row>
    <row r="1180" spans="1:36" x14ac:dyDescent="0.25">
      <c r="A1180" s="325" t="str">
        <f>CONCATENATE("P",'906MP'!M880)</f>
        <v>P</v>
      </c>
      <c r="B1180">
        <f>'906MP'!H880</f>
        <v>0</v>
      </c>
      <c r="C1180">
        <f>'906MP'!J880</f>
        <v>0</v>
      </c>
      <c r="D1180">
        <f>'906MP'!P880</f>
        <v>0</v>
      </c>
      <c r="E1180">
        <f>'906MP'!X880</f>
        <v>0</v>
      </c>
      <c r="F1180" t="str">
        <f t="shared" si="352"/>
        <v>0</v>
      </c>
      <c r="G1180" t="str">
        <f t="shared" si="353"/>
        <v>0</v>
      </c>
      <c r="H1180">
        <f>'906MP'!Y880</f>
        <v>0</v>
      </c>
      <c r="I1180">
        <f>'906MP'!AK880</f>
        <v>0</v>
      </c>
      <c r="J1180">
        <f>'906MP'!T880</f>
        <v>0</v>
      </c>
      <c r="K1180">
        <f>'906MP'!AJ880</f>
        <v>0</v>
      </c>
      <c r="L1180">
        <f>'906MP'!U880</f>
        <v>0</v>
      </c>
      <c r="M1180" s="322" t="str">
        <f>IFERROR(VLOOKUP(A1180,PAR!$D$3:$E$53,2,FALSE),"nincs szervezet")</f>
        <v>nincs szervezet</v>
      </c>
      <c r="N1180" s="322" t="str">
        <f>VLOOKUP(F1180,PAR!$R$3:$S$5,2,FALSE)</f>
        <v>3 - egyik sem</v>
      </c>
      <c r="O1180" t="str">
        <f>IFERROR(VLOOKUP(J1180,PAR!$O$3:$P$5,2,FALSE),"nincs feladat")</f>
        <v>nincs feladat</v>
      </c>
      <c r="P1180" t="str">
        <f>IFERROR(VLOOKUP(G1180,PAR!$J$2:$M$19,4),"nincs rovat")</f>
        <v>nincs rovat</v>
      </c>
      <c r="Q1180" t="str">
        <f>IF(H1180&gt;0,VLOOKUP(H1180,PAR!$AA$3:$AC$187,3,FALSE),"nincs főkönyvi számla")</f>
        <v>nincs főkönyvi számla</v>
      </c>
      <c r="R1180" t="str">
        <f>IFERROR(VLOOKUP(K1180,PAR!$V$3:$X$438,3,FALSE),"000000 - Nincs COFOG")</f>
        <v>000000 - Nincs COFOG</v>
      </c>
      <c r="S1180">
        <f t="shared" si="354"/>
        <v>0</v>
      </c>
      <c r="T1180">
        <f t="shared" si="355"/>
        <v>0</v>
      </c>
      <c r="U1180" t="str">
        <f>IF('906MP'!J880&gt;0,CONCATENATE('906MP'!J880," - ",'906MP'!P880,", ",'906MP'!E880),"nincs megjegyzés")</f>
        <v>nincs megjegyzés</v>
      </c>
      <c r="V1180" t="str">
        <f t="shared" si="342"/>
        <v>0P0</v>
      </c>
      <c r="W1180" t="str">
        <f t="shared" si="343"/>
        <v>0P0</v>
      </c>
      <c r="X1180" t="str">
        <f t="shared" si="344"/>
        <v>P0</v>
      </c>
      <c r="Y1180" t="str">
        <f t="shared" si="345"/>
        <v>00</v>
      </c>
      <c r="Z1180" t="str">
        <f t="shared" si="356"/>
        <v>00</v>
      </c>
      <c r="AA1180" t="str">
        <f t="shared" si="346"/>
        <v>00</v>
      </c>
      <c r="AB1180" t="str">
        <f t="shared" si="347"/>
        <v>00</v>
      </c>
      <c r="AC1180" t="str">
        <f t="shared" si="348"/>
        <v>0P0</v>
      </c>
      <c r="AD1180" t="str">
        <f t="shared" si="349"/>
        <v>P00</v>
      </c>
      <c r="AE1180" t="str">
        <f t="shared" si="350"/>
        <v>0P0</v>
      </c>
      <c r="AF1180" t="str">
        <f t="shared" si="351"/>
        <v>P00</v>
      </c>
      <c r="AG1180" t="str">
        <f t="shared" si="357"/>
        <v>0P00</v>
      </c>
      <c r="AH1180" t="str">
        <f t="shared" si="358"/>
        <v>P000</v>
      </c>
      <c r="AI1180" t="str">
        <f t="shared" si="359"/>
        <v>0P00</v>
      </c>
      <c r="AJ1180" t="str">
        <f t="shared" si="360"/>
        <v>P000</v>
      </c>
    </row>
    <row r="1181" spans="1:36" x14ac:dyDescent="0.25">
      <c r="A1181" s="325" t="str">
        <f>CONCATENATE("P",'906MP'!M881)</f>
        <v>P</v>
      </c>
      <c r="B1181">
        <f>'906MP'!H881</f>
        <v>0</v>
      </c>
      <c r="C1181">
        <f>'906MP'!J881</f>
        <v>0</v>
      </c>
      <c r="D1181">
        <f>'906MP'!P881</f>
        <v>0</v>
      </c>
      <c r="E1181">
        <f>'906MP'!X881</f>
        <v>0</v>
      </c>
      <c r="F1181" t="str">
        <f t="shared" si="352"/>
        <v>0</v>
      </c>
      <c r="G1181" t="str">
        <f t="shared" si="353"/>
        <v>0</v>
      </c>
      <c r="H1181">
        <f>'906MP'!Y881</f>
        <v>0</v>
      </c>
      <c r="I1181">
        <f>'906MP'!AK881</f>
        <v>0</v>
      </c>
      <c r="J1181">
        <f>'906MP'!T881</f>
        <v>0</v>
      </c>
      <c r="K1181">
        <f>'906MP'!AJ881</f>
        <v>0</v>
      </c>
      <c r="L1181">
        <f>'906MP'!U881</f>
        <v>0</v>
      </c>
      <c r="M1181" s="322" t="str">
        <f>IFERROR(VLOOKUP(A1181,PAR!$D$3:$E$53,2,FALSE),"nincs szervezet")</f>
        <v>nincs szervezet</v>
      </c>
      <c r="N1181" s="322" t="str">
        <f>VLOOKUP(F1181,PAR!$R$3:$S$5,2,FALSE)</f>
        <v>3 - egyik sem</v>
      </c>
      <c r="O1181" t="str">
        <f>IFERROR(VLOOKUP(J1181,PAR!$O$3:$P$5,2,FALSE),"nincs feladat")</f>
        <v>nincs feladat</v>
      </c>
      <c r="P1181" t="str">
        <f>IFERROR(VLOOKUP(G1181,PAR!$J$2:$M$19,4),"nincs rovat")</f>
        <v>nincs rovat</v>
      </c>
      <c r="Q1181" t="str">
        <f>IF(H1181&gt;0,VLOOKUP(H1181,PAR!$AA$3:$AC$187,3,FALSE),"nincs főkönyvi számla")</f>
        <v>nincs főkönyvi számla</v>
      </c>
      <c r="R1181" t="str">
        <f>IFERROR(VLOOKUP(K1181,PAR!$V$3:$X$438,3,FALSE),"000000 - Nincs COFOG")</f>
        <v>000000 - Nincs COFOG</v>
      </c>
      <c r="S1181">
        <f t="shared" si="354"/>
        <v>0</v>
      </c>
      <c r="T1181">
        <f t="shared" si="355"/>
        <v>0</v>
      </c>
      <c r="U1181" t="str">
        <f>IF('906MP'!J881&gt;0,CONCATENATE('906MP'!J881," - ",'906MP'!P881,", ",'906MP'!E881),"nincs megjegyzés")</f>
        <v>nincs megjegyzés</v>
      </c>
      <c r="V1181" t="str">
        <f t="shared" si="342"/>
        <v>0P0</v>
      </c>
      <c r="W1181" t="str">
        <f t="shared" si="343"/>
        <v>0P0</v>
      </c>
      <c r="X1181" t="str">
        <f t="shared" si="344"/>
        <v>P0</v>
      </c>
      <c r="Y1181" t="str">
        <f t="shared" si="345"/>
        <v>00</v>
      </c>
      <c r="Z1181" t="str">
        <f t="shared" si="356"/>
        <v>00</v>
      </c>
      <c r="AA1181" t="str">
        <f t="shared" si="346"/>
        <v>00</v>
      </c>
      <c r="AB1181" t="str">
        <f t="shared" si="347"/>
        <v>00</v>
      </c>
      <c r="AC1181" t="str">
        <f t="shared" si="348"/>
        <v>0P0</v>
      </c>
      <c r="AD1181" t="str">
        <f t="shared" si="349"/>
        <v>P00</v>
      </c>
      <c r="AE1181" t="str">
        <f t="shared" si="350"/>
        <v>0P0</v>
      </c>
      <c r="AF1181" t="str">
        <f t="shared" si="351"/>
        <v>P00</v>
      </c>
      <c r="AG1181" t="str">
        <f t="shared" si="357"/>
        <v>0P00</v>
      </c>
      <c r="AH1181" t="str">
        <f t="shared" si="358"/>
        <v>P000</v>
      </c>
      <c r="AI1181" t="str">
        <f t="shared" si="359"/>
        <v>0P00</v>
      </c>
      <c r="AJ1181" t="str">
        <f t="shared" si="360"/>
        <v>P000</v>
      </c>
    </row>
    <row r="1182" spans="1:36" x14ac:dyDescent="0.25">
      <c r="A1182" s="325" t="str">
        <f>CONCATENATE("P",'906MP'!M882)</f>
        <v>P</v>
      </c>
      <c r="B1182">
        <f>'906MP'!H882</f>
        <v>0</v>
      </c>
      <c r="C1182">
        <f>'906MP'!J882</f>
        <v>0</v>
      </c>
      <c r="D1182">
        <f>'906MP'!P882</f>
        <v>0</v>
      </c>
      <c r="E1182">
        <f>'906MP'!X882</f>
        <v>0</v>
      </c>
      <c r="F1182" t="str">
        <f t="shared" si="352"/>
        <v>0</v>
      </c>
      <c r="G1182" t="str">
        <f t="shared" si="353"/>
        <v>0</v>
      </c>
      <c r="H1182">
        <f>'906MP'!Y882</f>
        <v>0</v>
      </c>
      <c r="I1182">
        <f>'906MP'!AK882</f>
        <v>0</v>
      </c>
      <c r="J1182">
        <f>'906MP'!T882</f>
        <v>0</v>
      </c>
      <c r="K1182">
        <f>'906MP'!AJ882</f>
        <v>0</v>
      </c>
      <c r="L1182">
        <f>'906MP'!U882</f>
        <v>0</v>
      </c>
      <c r="M1182" s="322" t="str">
        <f>IFERROR(VLOOKUP(A1182,PAR!$D$3:$E$53,2,FALSE),"nincs szervezet")</f>
        <v>nincs szervezet</v>
      </c>
      <c r="N1182" s="322" t="str">
        <f>VLOOKUP(F1182,PAR!$R$3:$S$5,2,FALSE)</f>
        <v>3 - egyik sem</v>
      </c>
      <c r="O1182" t="str">
        <f>IFERROR(VLOOKUP(J1182,PAR!$O$3:$P$5,2,FALSE),"nincs feladat")</f>
        <v>nincs feladat</v>
      </c>
      <c r="P1182" t="str">
        <f>IFERROR(VLOOKUP(G1182,PAR!$J$2:$M$19,4),"nincs rovat")</f>
        <v>nincs rovat</v>
      </c>
      <c r="Q1182" t="str">
        <f>IF(H1182&gt;0,VLOOKUP(H1182,PAR!$AA$3:$AC$187,3,FALSE),"nincs főkönyvi számla")</f>
        <v>nincs főkönyvi számla</v>
      </c>
      <c r="R1182" t="str">
        <f>IFERROR(VLOOKUP(K1182,PAR!$V$3:$X$438,3,FALSE),"000000 - Nincs COFOG")</f>
        <v>000000 - Nincs COFOG</v>
      </c>
      <c r="S1182">
        <f t="shared" si="354"/>
        <v>0</v>
      </c>
      <c r="T1182">
        <f t="shared" si="355"/>
        <v>0</v>
      </c>
      <c r="U1182" t="str">
        <f>IF('906MP'!J882&gt;0,CONCATENATE('906MP'!J882," - ",'906MP'!P882,", ",'906MP'!E882),"nincs megjegyzés")</f>
        <v>nincs megjegyzés</v>
      </c>
      <c r="V1182" t="str">
        <f t="shared" si="342"/>
        <v>0P0</v>
      </c>
      <c r="W1182" t="str">
        <f t="shared" si="343"/>
        <v>0P0</v>
      </c>
      <c r="X1182" t="str">
        <f t="shared" si="344"/>
        <v>P0</v>
      </c>
      <c r="Y1182" t="str">
        <f t="shared" si="345"/>
        <v>00</v>
      </c>
      <c r="Z1182" t="str">
        <f t="shared" si="356"/>
        <v>00</v>
      </c>
      <c r="AA1182" t="str">
        <f t="shared" si="346"/>
        <v>00</v>
      </c>
      <c r="AB1182" t="str">
        <f t="shared" si="347"/>
        <v>00</v>
      </c>
      <c r="AC1182" t="str">
        <f t="shared" si="348"/>
        <v>0P0</v>
      </c>
      <c r="AD1182" t="str">
        <f t="shared" si="349"/>
        <v>P00</v>
      </c>
      <c r="AE1182" t="str">
        <f t="shared" si="350"/>
        <v>0P0</v>
      </c>
      <c r="AF1182" t="str">
        <f t="shared" si="351"/>
        <v>P00</v>
      </c>
      <c r="AG1182" t="str">
        <f t="shared" si="357"/>
        <v>0P00</v>
      </c>
      <c r="AH1182" t="str">
        <f t="shared" si="358"/>
        <v>P000</v>
      </c>
      <c r="AI1182" t="str">
        <f t="shared" si="359"/>
        <v>0P00</v>
      </c>
      <c r="AJ1182" t="str">
        <f t="shared" si="360"/>
        <v>P000</v>
      </c>
    </row>
    <row r="1183" spans="1:36" x14ac:dyDescent="0.25">
      <c r="A1183" s="325" t="str">
        <f>CONCATENATE("P",'906MP'!M883)</f>
        <v>P</v>
      </c>
      <c r="B1183">
        <f>'906MP'!H883</f>
        <v>0</v>
      </c>
      <c r="C1183">
        <f>'906MP'!J883</f>
        <v>0</v>
      </c>
      <c r="D1183">
        <f>'906MP'!P883</f>
        <v>0</v>
      </c>
      <c r="E1183">
        <f>'906MP'!X883</f>
        <v>0</v>
      </c>
      <c r="F1183" t="str">
        <f t="shared" si="352"/>
        <v>0</v>
      </c>
      <c r="G1183" t="str">
        <f t="shared" si="353"/>
        <v>0</v>
      </c>
      <c r="H1183">
        <f>'906MP'!Y883</f>
        <v>0</v>
      </c>
      <c r="I1183">
        <f>'906MP'!AK883</f>
        <v>0</v>
      </c>
      <c r="J1183">
        <f>'906MP'!T883</f>
        <v>0</v>
      </c>
      <c r="K1183">
        <f>'906MP'!AJ883</f>
        <v>0</v>
      </c>
      <c r="L1183">
        <f>'906MP'!U883</f>
        <v>0</v>
      </c>
      <c r="M1183" s="322" t="str">
        <f>IFERROR(VLOOKUP(A1183,PAR!$D$3:$E$53,2,FALSE),"nincs szervezet")</f>
        <v>nincs szervezet</v>
      </c>
      <c r="N1183" s="322" t="str">
        <f>VLOOKUP(F1183,PAR!$R$3:$S$5,2,FALSE)</f>
        <v>3 - egyik sem</v>
      </c>
      <c r="O1183" t="str">
        <f>IFERROR(VLOOKUP(J1183,PAR!$O$3:$P$5,2,FALSE),"nincs feladat")</f>
        <v>nincs feladat</v>
      </c>
      <c r="P1183" t="str">
        <f>IFERROR(VLOOKUP(G1183,PAR!$J$2:$M$19,4),"nincs rovat")</f>
        <v>nincs rovat</v>
      </c>
      <c r="Q1183" t="str">
        <f>IF(H1183&gt;0,VLOOKUP(H1183,PAR!$AA$3:$AC$187,3,FALSE),"nincs főkönyvi számla")</f>
        <v>nincs főkönyvi számla</v>
      </c>
      <c r="R1183" t="str">
        <f>IFERROR(VLOOKUP(K1183,PAR!$V$3:$X$438,3,FALSE),"000000 - Nincs COFOG")</f>
        <v>000000 - Nincs COFOG</v>
      </c>
      <c r="S1183">
        <f t="shared" si="354"/>
        <v>0</v>
      </c>
      <c r="T1183">
        <f t="shared" si="355"/>
        <v>0</v>
      </c>
      <c r="U1183" t="str">
        <f>IF('906MP'!J883&gt;0,CONCATENATE('906MP'!J883," - ",'906MP'!P883,", ",'906MP'!E883),"nincs megjegyzés")</f>
        <v>nincs megjegyzés</v>
      </c>
      <c r="V1183" t="str">
        <f t="shared" si="342"/>
        <v>0P0</v>
      </c>
      <c r="W1183" t="str">
        <f t="shared" si="343"/>
        <v>0P0</v>
      </c>
      <c r="X1183" t="str">
        <f t="shared" si="344"/>
        <v>P0</v>
      </c>
      <c r="Y1183" t="str">
        <f t="shared" si="345"/>
        <v>00</v>
      </c>
      <c r="Z1183" t="str">
        <f t="shared" si="356"/>
        <v>00</v>
      </c>
      <c r="AA1183" t="str">
        <f t="shared" si="346"/>
        <v>00</v>
      </c>
      <c r="AB1183" t="str">
        <f t="shared" si="347"/>
        <v>00</v>
      </c>
      <c r="AC1183" t="str">
        <f t="shared" si="348"/>
        <v>0P0</v>
      </c>
      <c r="AD1183" t="str">
        <f t="shared" si="349"/>
        <v>P00</v>
      </c>
      <c r="AE1183" t="str">
        <f t="shared" si="350"/>
        <v>0P0</v>
      </c>
      <c r="AF1183" t="str">
        <f t="shared" si="351"/>
        <v>P00</v>
      </c>
      <c r="AG1183" t="str">
        <f t="shared" si="357"/>
        <v>0P00</v>
      </c>
      <c r="AH1183" t="str">
        <f t="shared" si="358"/>
        <v>P000</v>
      </c>
      <c r="AI1183" t="str">
        <f t="shared" si="359"/>
        <v>0P00</v>
      </c>
      <c r="AJ1183" t="str">
        <f t="shared" si="360"/>
        <v>P000</v>
      </c>
    </row>
    <row r="1184" spans="1:36" x14ac:dyDescent="0.25">
      <c r="A1184" s="325" t="str">
        <f>CONCATENATE("P",'906MP'!M884)</f>
        <v>P</v>
      </c>
      <c r="B1184">
        <f>'906MP'!H884</f>
        <v>0</v>
      </c>
      <c r="C1184">
        <f>'906MP'!J884</f>
        <v>0</v>
      </c>
      <c r="D1184">
        <f>'906MP'!P884</f>
        <v>0</v>
      </c>
      <c r="E1184">
        <f>'906MP'!X884</f>
        <v>0</v>
      </c>
      <c r="F1184" t="str">
        <f t="shared" si="352"/>
        <v>0</v>
      </c>
      <c r="G1184" t="str">
        <f t="shared" si="353"/>
        <v>0</v>
      </c>
      <c r="H1184">
        <f>'906MP'!Y884</f>
        <v>0</v>
      </c>
      <c r="I1184">
        <f>'906MP'!AK884</f>
        <v>0</v>
      </c>
      <c r="J1184">
        <f>'906MP'!T884</f>
        <v>0</v>
      </c>
      <c r="K1184">
        <f>'906MP'!AJ884</f>
        <v>0</v>
      </c>
      <c r="L1184">
        <f>'906MP'!U884</f>
        <v>0</v>
      </c>
      <c r="M1184" s="322" t="str">
        <f>IFERROR(VLOOKUP(A1184,PAR!$D$3:$E$53,2,FALSE),"nincs szervezet")</f>
        <v>nincs szervezet</v>
      </c>
      <c r="N1184" s="322" t="str">
        <f>VLOOKUP(F1184,PAR!$R$3:$S$5,2,FALSE)</f>
        <v>3 - egyik sem</v>
      </c>
      <c r="O1184" t="str">
        <f>IFERROR(VLOOKUP(J1184,PAR!$O$3:$P$5,2,FALSE),"nincs feladat")</f>
        <v>nincs feladat</v>
      </c>
      <c r="P1184" t="str">
        <f>IFERROR(VLOOKUP(G1184,PAR!$J$2:$M$19,4),"nincs rovat")</f>
        <v>nincs rovat</v>
      </c>
      <c r="Q1184" t="str">
        <f>IF(H1184&gt;0,VLOOKUP(H1184,PAR!$AA$3:$AC$187,3,FALSE),"nincs főkönyvi számla")</f>
        <v>nincs főkönyvi számla</v>
      </c>
      <c r="R1184" t="str">
        <f>IFERROR(VLOOKUP(K1184,PAR!$V$3:$X$438,3,FALSE),"000000 - Nincs COFOG")</f>
        <v>000000 - Nincs COFOG</v>
      </c>
      <c r="S1184">
        <f t="shared" si="354"/>
        <v>0</v>
      </c>
      <c r="T1184">
        <f t="shared" si="355"/>
        <v>0</v>
      </c>
      <c r="U1184" t="str">
        <f>IF('906MP'!J884&gt;0,CONCATENATE('906MP'!J884," - ",'906MP'!P884,", ",'906MP'!E884),"nincs megjegyzés")</f>
        <v>nincs megjegyzés</v>
      </c>
      <c r="V1184" t="str">
        <f t="shared" si="342"/>
        <v>0P0</v>
      </c>
      <c r="W1184" t="str">
        <f t="shared" si="343"/>
        <v>0P0</v>
      </c>
      <c r="X1184" t="str">
        <f t="shared" si="344"/>
        <v>P0</v>
      </c>
      <c r="Y1184" t="str">
        <f t="shared" si="345"/>
        <v>00</v>
      </c>
      <c r="Z1184" t="str">
        <f t="shared" si="356"/>
        <v>00</v>
      </c>
      <c r="AA1184" t="str">
        <f t="shared" si="346"/>
        <v>00</v>
      </c>
      <c r="AB1184" t="str">
        <f t="shared" si="347"/>
        <v>00</v>
      </c>
      <c r="AC1184" t="str">
        <f t="shared" si="348"/>
        <v>0P0</v>
      </c>
      <c r="AD1184" t="str">
        <f t="shared" si="349"/>
        <v>P00</v>
      </c>
      <c r="AE1184" t="str">
        <f t="shared" si="350"/>
        <v>0P0</v>
      </c>
      <c r="AF1184" t="str">
        <f t="shared" si="351"/>
        <v>P00</v>
      </c>
      <c r="AG1184" t="str">
        <f t="shared" si="357"/>
        <v>0P00</v>
      </c>
      <c r="AH1184" t="str">
        <f t="shared" si="358"/>
        <v>P000</v>
      </c>
      <c r="AI1184" t="str">
        <f t="shared" si="359"/>
        <v>0P00</v>
      </c>
      <c r="AJ1184" t="str">
        <f t="shared" si="360"/>
        <v>P000</v>
      </c>
    </row>
    <row r="1185" spans="1:36" x14ac:dyDescent="0.25">
      <c r="A1185" s="325" t="str">
        <f>CONCATENATE("P",'906MP'!M885)</f>
        <v>P</v>
      </c>
      <c r="B1185">
        <f>'906MP'!H885</f>
        <v>0</v>
      </c>
      <c r="C1185">
        <f>'906MP'!J885</f>
        <v>0</v>
      </c>
      <c r="D1185">
        <f>'906MP'!P885</f>
        <v>0</v>
      </c>
      <c r="E1185">
        <f>'906MP'!X885</f>
        <v>0</v>
      </c>
      <c r="F1185" t="str">
        <f t="shared" si="352"/>
        <v>0</v>
      </c>
      <c r="G1185" t="str">
        <f t="shared" si="353"/>
        <v>0</v>
      </c>
      <c r="H1185">
        <f>'906MP'!Y885</f>
        <v>0</v>
      </c>
      <c r="I1185">
        <f>'906MP'!AK885</f>
        <v>0</v>
      </c>
      <c r="J1185">
        <f>'906MP'!T885</f>
        <v>0</v>
      </c>
      <c r="K1185">
        <f>'906MP'!AJ885</f>
        <v>0</v>
      </c>
      <c r="L1185">
        <f>'906MP'!U885</f>
        <v>0</v>
      </c>
      <c r="M1185" s="322" t="str">
        <f>IFERROR(VLOOKUP(A1185,PAR!$D$3:$E$53,2,FALSE),"nincs szervezet")</f>
        <v>nincs szervezet</v>
      </c>
      <c r="N1185" s="322" t="str">
        <f>VLOOKUP(F1185,PAR!$R$3:$S$5,2,FALSE)</f>
        <v>3 - egyik sem</v>
      </c>
      <c r="O1185" t="str">
        <f>IFERROR(VLOOKUP(J1185,PAR!$O$3:$P$5,2,FALSE),"nincs feladat")</f>
        <v>nincs feladat</v>
      </c>
      <c r="P1185" t="str">
        <f>IFERROR(VLOOKUP(G1185,PAR!$J$2:$M$19,4),"nincs rovat")</f>
        <v>nincs rovat</v>
      </c>
      <c r="Q1185" t="str">
        <f>IF(H1185&gt;0,VLOOKUP(H1185,PAR!$AA$3:$AC$187,3,FALSE),"nincs főkönyvi számla")</f>
        <v>nincs főkönyvi számla</v>
      </c>
      <c r="R1185" t="str">
        <f>IFERROR(VLOOKUP(K1185,PAR!$V$3:$X$438,3,FALSE),"000000 - Nincs COFOG")</f>
        <v>000000 - Nincs COFOG</v>
      </c>
      <c r="S1185">
        <f t="shared" si="354"/>
        <v>0</v>
      </c>
      <c r="T1185">
        <f t="shared" si="355"/>
        <v>0</v>
      </c>
      <c r="U1185" t="str">
        <f>IF('906MP'!J885&gt;0,CONCATENATE('906MP'!J885," - ",'906MP'!P885,", ",'906MP'!E885),"nincs megjegyzés")</f>
        <v>nincs megjegyzés</v>
      </c>
      <c r="V1185" t="str">
        <f t="shared" si="342"/>
        <v>0P0</v>
      </c>
      <c r="W1185" t="str">
        <f t="shared" si="343"/>
        <v>0P0</v>
      </c>
      <c r="X1185" t="str">
        <f t="shared" si="344"/>
        <v>P0</v>
      </c>
      <c r="Y1185" t="str">
        <f t="shared" si="345"/>
        <v>00</v>
      </c>
      <c r="Z1185" t="str">
        <f t="shared" si="356"/>
        <v>00</v>
      </c>
      <c r="AA1185" t="str">
        <f t="shared" si="346"/>
        <v>00</v>
      </c>
      <c r="AB1185" t="str">
        <f t="shared" si="347"/>
        <v>00</v>
      </c>
      <c r="AC1185" t="str">
        <f t="shared" si="348"/>
        <v>0P0</v>
      </c>
      <c r="AD1185" t="str">
        <f t="shared" si="349"/>
        <v>P00</v>
      </c>
      <c r="AE1185" t="str">
        <f t="shared" si="350"/>
        <v>0P0</v>
      </c>
      <c r="AF1185" t="str">
        <f t="shared" si="351"/>
        <v>P00</v>
      </c>
      <c r="AG1185" t="str">
        <f t="shared" si="357"/>
        <v>0P00</v>
      </c>
      <c r="AH1185" t="str">
        <f t="shared" si="358"/>
        <v>P000</v>
      </c>
      <c r="AI1185" t="str">
        <f t="shared" si="359"/>
        <v>0P00</v>
      </c>
      <c r="AJ1185" t="str">
        <f t="shared" si="360"/>
        <v>P000</v>
      </c>
    </row>
    <row r="1186" spans="1:36" x14ac:dyDescent="0.25">
      <c r="A1186" s="325" t="str">
        <f>CONCATENATE("P",'906MP'!M886)</f>
        <v>P</v>
      </c>
      <c r="B1186">
        <f>'906MP'!H886</f>
        <v>0</v>
      </c>
      <c r="C1186">
        <f>'906MP'!J886</f>
        <v>0</v>
      </c>
      <c r="D1186">
        <f>'906MP'!P886</f>
        <v>0</v>
      </c>
      <c r="E1186">
        <f>'906MP'!X886</f>
        <v>0</v>
      </c>
      <c r="F1186" t="str">
        <f t="shared" si="352"/>
        <v>0</v>
      </c>
      <c r="G1186" t="str">
        <f t="shared" si="353"/>
        <v>0</v>
      </c>
      <c r="H1186">
        <f>'906MP'!Y886</f>
        <v>0</v>
      </c>
      <c r="I1186">
        <f>'906MP'!AK886</f>
        <v>0</v>
      </c>
      <c r="J1186">
        <f>'906MP'!T886</f>
        <v>0</v>
      </c>
      <c r="K1186">
        <f>'906MP'!AJ886</f>
        <v>0</v>
      </c>
      <c r="L1186">
        <f>'906MP'!U886</f>
        <v>0</v>
      </c>
      <c r="M1186" s="322" t="str">
        <f>IFERROR(VLOOKUP(A1186,PAR!$D$3:$E$53,2,FALSE),"nincs szervezet")</f>
        <v>nincs szervezet</v>
      </c>
      <c r="N1186" s="322" t="str">
        <f>VLOOKUP(F1186,PAR!$R$3:$S$5,2,FALSE)</f>
        <v>3 - egyik sem</v>
      </c>
      <c r="O1186" t="str">
        <f>IFERROR(VLOOKUP(J1186,PAR!$O$3:$P$5,2,FALSE),"nincs feladat")</f>
        <v>nincs feladat</v>
      </c>
      <c r="P1186" t="str">
        <f>IFERROR(VLOOKUP(G1186,PAR!$J$2:$M$19,4),"nincs rovat")</f>
        <v>nincs rovat</v>
      </c>
      <c r="Q1186" t="str">
        <f>IF(H1186&gt;0,VLOOKUP(H1186,PAR!$AA$3:$AC$187,3,FALSE),"nincs főkönyvi számla")</f>
        <v>nincs főkönyvi számla</v>
      </c>
      <c r="R1186" t="str">
        <f>IFERROR(VLOOKUP(K1186,PAR!$V$3:$X$438,3,FALSE),"000000 - Nincs COFOG")</f>
        <v>000000 - Nincs COFOG</v>
      </c>
      <c r="S1186">
        <f t="shared" si="354"/>
        <v>0</v>
      </c>
      <c r="T1186">
        <f t="shared" si="355"/>
        <v>0</v>
      </c>
      <c r="U1186" t="str">
        <f>IF('906MP'!J886&gt;0,CONCATENATE('906MP'!J886," - ",'906MP'!P886,", ",'906MP'!E886),"nincs megjegyzés")</f>
        <v>nincs megjegyzés</v>
      </c>
      <c r="V1186" t="str">
        <f t="shared" si="342"/>
        <v>0P0</v>
      </c>
      <c r="W1186" t="str">
        <f t="shared" si="343"/>
        <v>0P0</v>
      </c>
      <c r="X1186" t="str">
        <f t="shared" si="344"/>
        <v>P0</v>
      </c>
      <c r="Y1186" t="str">
        <f t="shared" si="345"/>
        <v>00</v>
      </c>
      <c r="Z1186" t="str">
        <f t="shared" si="356"/>
        <v>00</v>
      </c>
      <c r="AA1186" t="str">
        <f t="shared" si="346"/>
        <v>00</v>
      </c>
      <c r="AB1186" t="str">
        <f t="shared" si="347"/>
        <v>00</v>
      </c>
      <c r="AC1186" t="str">
        <f t="shared" si="348"/>
        <v>0P0</v>
      </c>
      <c r="AD1186" t="str">
        <f t="shared" si="349"/>
        <v>P00</v>
      </c>
      <c r="AE1186" t="str">
        <f t="shared" si="350"/>
        <v>0P0</v>
      </c>
      <c r="AF1186" t="str">
        <f t="shared" si="351"/>
        <v>P00</v>
      </c>
      <c r="AG1186" t="str">
        <f t="shared" si="357"/>
        <v>0P00</v>
      </c>
      <c r="AH1186" t="str">
        <f t="shared" si="358"/>
        <v>P000</v>
      </c>
      <c r="AI1186" t="str">
        <f t="shared" si="359"/>
        <v>0P00</v>
      </c>
      <c r="AJ1186" t="str">
        <f t="shared" si="360"/>
        <v>P000</v>
      </c>
    </row>
    <row r="1187" spans="1:36" x14ac:dyDescent="0.25">
      <c r="A1187" s="325" t="str">
        <f>CONCATENATE("P",'906MP'!M887)</f>
        <v>P</v>
      </c>
      <c r="B1187">
        <f>'906MP'!H887</f>
        <v>0</v>
      </c>
      <c r="C1187">
        <f>'906MP'!J887</f>
        <v>0</v>
      </c>
      <c r="D1187">
        <f>'906MP'!P887</f>
        <v>0</v>
      </c>
      <c r="E1187">
        <f>'906MP'!X887</f>
        <v>0</v>
      </c>
      <c r="F1187" t="str">
        <f t="shared" si="352"/>
        <v>0</v>
      </c>
      <c r="G1187" t="str">
        <f t="shared" si="353"/>
        <v>0</v>
      </c>
      <c r="H1187">
        <f>'906MP'!Y887</f>
        <v>0</v>
      </c>
      <c r="I1187">
        <f>'906MP'!AK887</f>
        <v>0</v>
      </c>
      <c r="J1187">
        <f>'906MP'!T887</f>
        <v>0</v>
      </c>
      <c r="K1187">
        <f>'906MP'!AJ887</f>
        <v>0</v>
      </c>
      <c r="L1187">
        <f>'906MP'!U887</f>
        <v>0</v>
      </c>
      <c r="M1187" s="322" t="str">
        <f>IFERROR(VLOOKUP(A1187,PAR!$D$3:$E$53,2,FALSE),"nincs szervezet")</f>
        <v>nincs szervezet</v>
      </c>
      <c r="N1187" s="322" t="str">
        <f>VLOOKUP(F1187,PAR!$R$3:$S$5,2,FALSE)</f>
        <v>3 - egyik sem</v>
      </c>
      <c r="O1187" t="str">
        <f>IFERROR(VLOOKUP(J1187,PAR!$O$3:$P$5,2,FALSE),"nincs feladat")</f>
        <v>nincs feladat</v>
      </c>
      <c r="P1187" t="str">
        <f>IFERROR(VLOOKUP(G1187,PAR!$J$2:$M$19,4),"nincs rovat")</f>
        <v>nincs rovat</v>
      </c>
      <c r="Q1187" t="str">
        <f>IF(H1187&gt;0,VLOOKUP(H1187,PAR!$AA$3:$AC$187,3,FALSE),"nincs főkönyvi számla")</f>
        <v>nincs főkönyvi számla</v>
      </c>
      <c r="R1187" t="str">
        <f>IFERROR(VLOOKUP(K1187,PAR!$V$3:$X$438,3,FALSE),"000000 - Nincs COFOG")</f>
        <v>000000 - Nincs COFOG</v>
      </c>
      <c r="S1187">
        <f t="shared" si="354"/>
        <v>0</v>
      </c>
      <c r="T1187">
        <f t="shared" si="355"/>
        <v>0</v>
      </c>
      <c r="U1187" t="str">
        <f>IF('906MP'!J887&gt;0,CONCATENATE('906MP'!J887," - ",'906MP'!P887,", ",'906MP'!E887),"nincs megjegyzés")</f>
        <v>nincs megjegyzés</v>
      </c>
      <c r="V1187" t="str">
        <f t="shared" si="342"/>
        <v>0P0</v>
      </c>
      <c r="W1187" t="str">
        <f t="shared" si="343"/>
        <v>0P0</v>
      </c>
      <c r="X1187" t="str">
        <f t="shared" si="344"/>
        <v>P0</v>
      </c>
      <c r="Y1187" t="str">
        <f t="shared" si="345"/>
        <v>00</v>
      </c>
      <c r="Z1187" t="str">
        <f t="shared" si="356"/>
        <v>00</v>
      </c>
      <c r="AA1187" t="str">
        <f t="shared" si="346"/>
        <v>00</v>
      </c>
      <c r="AB1187" t="str">
        <f t="shared" si="347"/>
        <v>00</v>
      </c>
      <c r="AC1187" t="str">
        <f t="shared" si="348"/>
        <v>0P0</v>
      </c>
      <c r="AD1187" t="str">
        <f t="shared" si="349"/>
        <v>P00</v>
      </c>
      <c r="AE1187" t="str">
        <f t="shared" si="350"/>
        <v>0P0</v>
      </c>
      <c r="AF1187" t="str">
        <f t="shared" si="351"/>
        <v>P00</v>
      </c>
      <c r="AG1187" t="str">
        <f t="shared" si="357"/>
        <v>0P00</v>
      </c>
      <c r="AH1187" t="str">
        <f t="shared" si="358"/>
        <v>P000</v>
      </c>
      <c r="AI1187" t="str">
        <f t="shared" si="359"/>
        <v>0P00</v>
      </c>
      <c r="AJ1187" t="str">
        <f t="shared" si="360"/>
        <v>P000</v>
      </c>
    </row>
    <row r="1188" spans="1:36" x14ac:dyDescent="0.25">
      <c r="A1188" s="325" t="str">
        <f>CONCATENATE("P",'906MP'!M888)</f>
        <v>P</v>
      </c>
      <c r="B1188">
        <f>'906MP'!H888</f>
        <v>0</v>
      </c>
      <c r="C1188">
        <f>'906MP'!J888</f>
        <v>0</v>
      </c>
      <c r="D1188">
        <f>'906MP'!P888</f>
        <v>0</v>
      </c>
      <c r="E1188">
        <f>'906MP'!X888</f>
        <v>0</v>
      </c>
      <c r="F1188" t="str">
        <f t="shared" si="352"/>
        <v>0</v>
      </c>
      <c r="G1188" t="str">
        <f t="shared" si="353"/>
        <v>0</v>
      </c>
      <c r="H1188">
        <f>'906MP'!Y888</f>
        <v>0</v>
      </c>
      <c r="I1188">
        <f>'906MP'!AK888</f>
        <v>0</v>
      </c>
      <c r="J1188">
        <f>'906MP'!T888</f>
        <v>0</v>
      </c>
      <c r="K1188">
        <f>'906MP'!AJ888</f>
        <v>0</v>
      </c>
      <c r="L1188">
        <f>'906MP'!U888</f>
        <v>0</v>
      </c>
      <c r="M1188" s="322" t="str">
        <f>IFERROR(VLOOKUP(A1188,PAR!$D$3:$E$53,2,FALSE),"nincs szervezet")</f>
        <v>nincs szervezet</v>
      </c>
      <c r="N1188" s="322" t="str">
        <f>VLOOKUP(F1188,PAR!$R$3:$S$5,2,FALSE)</f>
        <v>3 - egyik sem</v>
      </c>
      <c r="O1188" t="str">
        <f>IFERROR(VLOOKUP(J1188,PAR!$O$3:$P$5,2,FALSE),"nincs feladat")</f>
        <v>nincs feladat</v>
      </c>
      <c r="P1188" t="str">
        <f>IFERROR(VLOOKUP(G1188,PAR!$J$2:$M$19,4),"nincs rovat")</f>
        <v>nincs rovat</v>
      </c>
      <c r="Q1188" t="str">
        <f>IF(H1188&gt;0,VLOOKUP(H1188,PAR!$AA$3:$AC$187,3,FALSE),"nincs főkönyvi számla")</f>
        <v>nincs főkönyvi számla</v>
      </c>
      <c r="R1188" t="str">
        <f>IFERROR(VLOOKUP(K1188,PAR!$V$3:$X$438,3,FALSE),"000000 - Nincs COFOG")</f>
        <v>000000 - Nincs COFOG</v>
      </c>
      <c r="S1188">
        <f t="shared" si="354"/>
        <v>0</v>
      </c>
      <c r="T1188">
        <f t="shared" si="355"/>
        <v>0</v>
      </c>
      <c r="U1188" t="str">
        <f>IF('906MP'!J888&gt;0,CONCATENATE('906MP'!J888," - ",'906MP'!P888,", ",'906MP'!E888),"nincs megjegyzés")</f>
        <v>nincs megjegyzés</v>
      </c>
      <c r="V1188" t="str">
        <f t="shared" si="342"/>
        <v>0P0</v>
      </c>
      <c r="W1188" t="str">
        <f t="shared" si="343"/>
        <v>0P0</v>
      </c>
      <c r="X1188" t="str">
        <f t="shared" si="344"/>
        <v>P0</v>
      </c>
      <c r="Y1188" t="str">
        <f t="shared" si="345"/>
        <v>00</v>
      </c>
      <c r="Z1188" t="str">
        <f t="shared" si="356"/>
        <v>00</v>
      </c>
      <c r="AA1188" t="str">
        <f t="shared" si="346"/>
        <v>00</v>
      </c>
      <c r="AB1188" t="str">
        <f t="shared" si="347"/>
        <v>00</v>
      </c>
      <c r="AC1188" t="str">
        <f t="shared" si="348"/>
        <v>0P0</v>
      </c>
      <c r="AD1188" t="str">
        <f t="shared" si="349"/>
        <v>P00</v>
      </c>
      <c r="AE1188" t="str">
        <f t="shared" si="350"/>
        <v>0P0</v>
      </c>
      <c r="AF1188" t="str">
        <f t="shared" si="351"/>
        <v>P00</v>
      </c>
      <c r="AG1188" t="str">
        <f t="shared" si="357"/>
        <v>0P00</v>
      </c>
      <c r="AH1188" t="str">
        <f t="shared" si="358"/>
        <v>P000</v>
      </c>
      <c r="AI1188" t="str">
        <f t="shared" si="359"/>
        <v>0P00</v>
      </c>
      <c r="AJ1188" t="str">
        <f t="shared" si="360"/>
        <v>P000</v>
      </c>
    </row>
    <row r="1189" spans="1:36" x14ac:dyDescent="0.25">
      <c r="A1189" s="325" t="str">
        <f>CONCATENATE("P",'906MP'!M889)</f>
        <v>P</v>
      </c>
      <c r="B1189">
        <f>'906MP'!H889</f>
        <v>0</v>
      </c>
      <c r="C1189">
        <f>'906MP'!J889</f>
        <v>0</v>
      </c>
      <c r="D1189">
        <f>'906MP'!P889</f>
        <v>0</v>
      </c>
      <c r="E1189">
        <f>'906MP'!X889</f>
        <v>0</v>
      </c>
      <c r="F1189" t="str">
        <f t="shared" si="352"/>
        <v>0</v>
      </c>
      <c r="G1189" t="str">
        <f t="shared" si="353"/>
        <v>0</v>
      </c>
      <c r="H1189">
        <f>'906MP'!Y889</f>
        <v>0</v>
      </c>
      <c r="I1189">
        <f>'906MP'!AK889</f>
        <v>0</v>
      </c>
      <c r="J1189">
        <f>'906MP'!T889</f>
        <v>0</v>
      </c>
      <c r="K1189">
        <f>'906MP'!AJ889</f>
        <v>0</v>
      </c>
      <c r="L1189">
        <f>'906MP'!U889</f>
        <v>0</v>
      </c>
      <c r="M1189" s="322" t="str">
        <f>IFERROR(VLOOKUP(A1189,PAR!$D$3:$E$53,2,FALSE),"nincs szervezet")</f>
        <v>nincs szervezet</v>
      </c>
      <c r="N1189" s="322" t="str">
        <f>VLOOKUP(F1189,PAR!$R$3:$S$5,2,FALSE)</f>
        <v>3 - egyik sem</v>
      </c>
      <c r="O1189" t="str">
        <f>IFERROR(VLOOKUP(J1189,PAR!$O$3:$P$5,2,FALSE),"nincs feladat")</f>
        <v>nincs feladat</v>
      </c>
      <c r="P1189" t="str">
        <f>IFERROR(VLOOKUP(G1189,PAR!$J$2:$M$19,4),"nincs rovat")</f>
        <v>nincs rovat</v>
      </c>
      <c r="Q1189" t="str">
        <f>IF(H1189&gt;0,VLOOKUP(H1189,PAR!$AA$3:$AC$187,3,FALSE),"nincs főkönyvi számla")</f>
        <v>nincs főkönyvi számla</v>
      </c>
      <c r="R1189" t="str">
        <f>IFERROR(VLOOKUP(K1189,PAR!$V$3:$X$438,3,FALSE),"000000 - Nincs COFOG")</f>
        <v>000000 - Nincs COFOG</v>
      </c>
      <c r="S1189">
        <f t="shared" si="354"/>
        <v>0</v>
      </c>
      <c r="T1189">
        <f t="shared" si="355"/>
        <v>0</v>
      </c>
      <c r="U1189" t="str">
        <f>IF('906MP'!J889&gt;0,CONCATENATE('906MP'!J889," - ",'906MP'!P889,", ",'906MP'!E889),"nincs megjegyzés")</f>
        <v>nincs megjegyzés</v>
      </c>
      <c r="V1189" t="str">
        <f t="shared" si="342"/>
        <v>0P0</v>
      </c>
      <c r="W1189" t="str">
        <f t="shared" si="343"/>
        <v>0P0</v>
      </c>
      <c r="X1189" t="str">
        <f t="shared" si="344"/>
        <v>P0</v>
      </c>
      <c r="Y1189" t="str">
        <f t="shared" si="345"/>
        <v>00</v>
      </c>
      <c r="Z1189" t="str">
        <f t="shared" si="356"/>
        <v>00</v>
      </c>
      <c r="AA1189" t="str">
        <f t="shared" si="346"/>
        <v>00</v>
      </c>
      <c r="AB1189" t="str">
        <f t="shared" si="347"/>
        <v>00</v>
      </c>
      <c r="AC1189" t="str">
        <f t="shared" si="348"/>
        <v>0P0</v>
      </c>
      <c r="AD1189" t="str">
        <f t="shared" si="349"/>
        <v>P00</v>
      </c>
      <c r="AE1189" t="str">
        <f t="shared" si="350"/>
        <v>0P0</v>
      </c>
      <c r="AF1189" t="str">
        <f t="shared" si="351"/>
        <v>P00</v>
      </c>
      <c r="AG1189" t="str">
        <f t="shared" si="357"/>
        <v>0P00</v>
      </c>
      <c r="AH1189" t="str">
        <f t="shared" si="358"/>
        <v>P000</v>
      </c>
      <c r="AI1189" t="str">
        <f t="shared" si="359"/>
        <v>0P00</v>
      </c>
      <c r="AJ1189" t="str">
        <f t="shared" si="360"/>
        <v>P000</v>
      </c>
    </row>
    <row r="1190" spans="1:36" x14ac:dyDescent="0.25">
      <c r="A1190" s="325" t="str">
        <f>CONCATENATE("P",'906MP'!M890)</f>
        <v>P</v>
      </c>
      <c r="B1190">
        <f>'906MP'!H890</f>
        <v>0</v>
      </c>
      <c r="C1190">
        <f>'906MP'!J890</f>
        <v>0</v>
      </c>
      <c r="D1190">
        <f>'906MP'!P890</f>
        <v>0</v>
      </c>
      <c r="E1190">
        <f>'906MP'!X890</f>
        <v>0</v>
      </c>
      <c r="F1190" t="str">
        <f t="shared" si="352"/>
        <v>0</v>
      </c>
      <c r="G1190" t="str">
        <f t="shared" si="353"/>
        <v>0</v>
      </c>
      <c r="H1190">
        <f>'906MP'!Y890</f>
        <v>0</v>
      </c>
      <c r="I1190">
        <f>'906MP'!AK890</f>
        <v>0</v>
      </c>
      <c r="J1190">
        <f>'906MP'!T890</f>
        <v>0</v>
      </c>
      <c r="K1190">
        <f>'906MP'!AJ890</f>
        <v>0</v>
      </c>
      <c r="L1190">
        <f>'906MP'!U890</f>
        <v>0</v>
      </c>
      <c r="M1190" s="322" t="str">
        <f>IFERROR(VLOOKUP(A1190,PAR!$D$3:$E$53,2,FALSE),"nincs szervezet")</f>
        <v>nincs szervezet</v>
      </c>
      <c r="N1190" s="322" t="str">
        <f>VLOOKUP(F1190,PAR!$R$3:$S$5,2,FALSE)</f>
        <v>3 - egyik sem</v>
      </c>
      <c r="O1190" t="str">
        <f>IFERROR(VLOOKUP(J1190,PAR!$O$3:$P$5,2,FALSE),"nincs feladat")</f>
        <v>nincs feladat</v>
      </c>
      <c r="P1190" t="str">
        <f>IFERROR(VLOOKUP(G1190,PAR!$J$2:$M$19,4),"nincs rovat")</f>
        <v>nincs rovat</v>
      </c>
      <c r="Q1190" t="str">
        <f>IF(H1190&gt;0,VLOOKUP(H1190,PAR!$AA$3:$AC$187,3,FALSE),"nincs főkönyvi számla")</f>
        <v>nincs főkönyvi számla</v>
      </c>
      <c r="R1190" t="str">
        <f>IFERROR(VLOOKUP(K1190,PAR!$V$3:$X$438,3,FALSE),"000000 - Nincs COFOG")</f>
        <v>000000 - Nincs COFOG</v>
      </c>
      <c r="S1190">
        <f t="shared" si="354"/>
        <v>0</v>
      </c>
      <c r="T1190">
        <f t="shared" si="355"/>
        <v>0</v>
      </c>
      <c r="U1190" t="str">
        <f>IF('906MP'!J890&gt;0,CONCATENATE('906MP'!J890," - ",'906MP'!P890,", ",'906MP'!E890),"nincs megjegyzés")</f>
        <v>nincs megjegyzés</v>
      </c>
      <c r="V1190" t="str">
        <f t="shared" si="342"/>
        <v>0P0</v>
      </c>
      <c r="W1190" t="str">
        <f t="shared" si="343"/>
        <v>0P0</v>
      </c>
      <c r="X1190" t="str">
        <f t="shared" si="344"/>
        <v>P0</v>
      </c>
      <c r="Y1190" t="str">
        <f t="shared" si="345"/>
        <v>00</v>
      </c>
      <c r="Z1190" t="str">
        <f t="shared" si="356"/>
        <v>00</v>
      </c>
      <c r="AA1190" t="str">
        <f t="shared" si="346"/>
        <v>00</v>
      </c>
      <c r="AB1190" t="str">
        <f t="shared" si="347"/>
        <v>00</v>
      </c>
      <c r="AC1190" t="str">
        <f t="shared" si="348"/>
        <v>0P0</v>
      </c>
      <c r="AD1190" t="str">
        <f t="shared" si="349"/>
        <v>P00</v>
      </c>
      <c r="AE1190" t="str">
        <f t="shared" si="350"/>
        <v>0P0</v>
      </c>
      <c r="AF1190" t="str">
        <f t="shared" si="351"/>
        <v>P00</v>
      </c>
      <c r="AG1190" t="str">
        <f t="shared" si="357"/>
        <v>0P00</v>
      </c>
      <c r="AH1190" t="str">
        <f t="shared" si="358"/>
        <v>P000</v>
      </c>
      <c r="AI1190" t="str">
        <f t="shared" si="359"/>
        <v>0P00</v>
      </c>
      <c r="AJ1190" t="str">
        <f t="shared" si="360"/>
        <v>P000</v>
      </c>
    </row>
    <row r="1191" spans="1:36" x14ac:dyDescent="0.25">
      <c r="A1191" s="325" t="str">
        <f>CONCATENATE("P",'906MP'!M891)</f>
        <v>P</v>
      </c>
      <c r="B1191">
        <f>'906MP'!H891</f>
        <v>0</v>
      </c>
      <c r="C1191">
        <f>'906MP'!J891</f>
        <v>0</v>
      </c>
      <c r="D1191">
        <f>'906MP'!P891</f>
        <v>0</v>
      </c>
      <c r="E1191">
        <f>'906MP'!X891</f>
        <v>0</v>
      </c>
      <c r="F1191" t="str">
        <f t="shared" si="352"/>
        <v>0</v>
      </c>
      <c r="G1191" t="str">
        <f t="shared" si="353"/>
        <v>0</v>
      </c>
      <c r="H1191">
        <f>'906MP'!Y891</f>
        <v>0</v>
      </c>
      <c r="I1191">
        <f>'906MP'!AK891</f>
        <v>0</v>
      </c>
      <c r="J1191">
        <f>'906MP'!T891</f>
        <v>0</v>
      </c>
      <c r="K1191">
        <f>'906MP'!AJ891</f>
        <v>0</v>
      </c>
      <c r="L1191">
        <f>'906MP'!U891</f>
        <v>0</v>
      </c>
      <c r="M1191" s="322" t="str">
        <f>IFERROR(VLOOKUP(A1191,PAR!$D$3:$E$53,2,FALSE),"nincs szervezet")</f>
        <v>nincs szervezet</v>
      </c>
      <c r="N1191" s="322" t="str">
        <f>VLOOKUP(F1191,PAR!$R$3:$S$5,2,FALSE)</f>
        <v>3 - egyik sem</v>
      </c>
      <c r="O1191" t="str">
        <f>IFERROR(VLOOKUP(J1191,PAR!$O$3:$P$5,2,FALSE),"nincs feladat")</f>
        <v>nincs feladat</v>
      </c>
      <c r="P1191" t="str">
        <f>IFERROR(VLOOKUP(G1191,PAR!$J$2:$M$19,4),"nincs rovat")</f>
        <v>nincs rovat</v>
      </c>
      <c r="Q1191" t="str">
        <f>IF(H1191&gt;0,VLOOKUP(H1191,PAR!$AA$3:$AC$187,3,FALSE),"nincs főkönyvi számla")</f>
        <v>nincs főkönyvi számla</v>
      </c>
      <c r="R1191" t="str">
        <f>IFERROR(VLOOKUP(K1191,PAR!$V$3:$X$438,3,FALSE),"000000 - Nincs COFOG")</f>
        <v>000000 - Nincs COFOG</v>
      </c>
      <c r="S1191">
        <f t="shared" si="354"/>
        <v>0</v>
      </c>
      <c r="T1191">
        <f t="shared" si="355"/>
        <v>0</v>
      </c>
      <c r="U1191" t="str">
        <f>IF('906MP'!J891&gt;0,CONCATENATE('906MP'!J891," - ",'906MP'!P891,", ",'906MP'!E891),"nincs megjegyzés")</f>
        <v>nincs megjegyzés</v>
      </c>
      <c r="V1191" t="str">
        <f t="shared" si="342"/>
        <v>0P0</v>
      </c>
      <c r="W1191" t="str">
        <f t="shared" si="343"/>
        <v>0P0</v>
      </c>
      <c r="X1191" t="str">
        <f t="shared" si="344"/>
        <v>P0</v>
      </c>
      <c r="Y1191" t="str">
        <f t="shared" si="345"/>
        <v>00</v>
      </c>
      <c r="Z1191" t="str">
        <f t="shared" si="356"/>
        <v>00</v>
      </c>
      <c r="AA1191" t="str">
        <f t="shared" si="346"/>
        <v>00</v>
      </c>
      <c r="AB1191" t="str">
        <f t="shared" si="347"/>
        <v>00</v>
      </c>
      <c r="AC1191" t="str">
        <f t="shared" si="348"/>
        <v>0P0</v>
      </c>
      <c r="AD1191" t="str">
        <f t="shared" si="349"/>
        <v>P00</v>
      </c>
      <c r="AE1191" t="str">
        <f t="shared" si="350"/>
        <v>0P0</v>
      </c>
      <c r="AF1191" t="str">
        <f t="shared" si="351"/>
        <v>P00</v>
      </c>
      <c r="AG1191" t="str">
        <f t="shared" si="357"/>
        <v>0P00</v>
      </c>
      <c r="AH1191" t="str">
        <f t="shared" si="358"/>
        <v>P000</v>
      </c>
      <c r="AI1191" t="str">
        <f t="shared" si="359"/>
        <v>0P00</v>
      </c>
      <c r="AJ1191" t="str">
        <f t="shared" si="360"/>
        <v>P000</v>
      </c>
    </row>
    <row r="1192" spans="1:36" x14ac:dyDescent="0.25">
      <c r="A1192" s="325" t="str">
        <f>CONCATENATE("P",'906MP'!M892)</f>
        <v>P</v>
      </c>
      <c r="B1192">
        <f>'906MP'!H892</f>
        <v>0</v>
      </c>
      <c r="C1192">
        <f>'906MP'!J892</f>
        <v>0</v>
      </c>
      <c r="D1192">
        <f>'906MP'!P892</f>
        <v>0</v>
      </c>
      <c r="E1192">
        <f>'906MP'!X892</f>
        <v>0</v>
      </c>
      <c r="F1192" t="str">
        <f t="shared" si="352"/>
        <v>0</v>
      </c>
      <c r="G1192" t="str">
        <f t="shared" si="353"/>
        <v>0</v>
      </c>
      <c r="H1192">
        <f>'906MP'!Y892</f>
        <v>0</v>
      </c>
      <c r="I1192">
        <f>'906MP'!AK892</f>
        <v>0</v>
      </c>
      <c r="J1192">
        <f>'906MP'!T892</f>
        <v>0</v>
      </c>
      <c r="K1192">
        <f>'906MP'!AJ892</f>
        <v>0</v>
      </c>
      <c r="L1192">
        <f>'906MP'!U892</f>
        <v>0</v>
      </c>
      <c r="M1192" s="322" t="str">
        <f>IFERROR(VLOOKUP(A1192,PAR!$D$3:$E$53,2,FALSE),"nincs szervezet")</f>
        <v>nincs szervezet</v>
      </c>
      <c r="N1192" s="322" t="str">
        <f>VLOOKUP(F1192,PAR!$R$3:$S$5,2,FALSE)</f>
        <v>3 - egyik sem</v>
      </c>
      <c r="O1192" t="str">
        <f>IFERROR(VLOOKUP(J1192,PAR!$O$3:$P$5,2,FALSE),"nincs feladat")</f>
        <v>nincs feladat</v>
      </c>
      <c r="P1192" t="str">
        <f>IFERROR(VLOOKUP(G1192,PAR!$J$2:$M$19,4),"nincs rovat")</f>
        <v>nincs rovat</v>
      </c>
      <c r="Q1192" t="str">
        <f>IF(H1192&gt;0,VLOOKUP(H1192,PAR!$AA$3:$AC$187,3,FALSE),"nincs főkönyvi számla")</f>
        <v>nincs főkönyvi számla</v>
      </c>
      <c r="R1192" t="str">
        <f>IFERROR(VLOOKUP(K1192,PAR!$V$3:$X$438,3,FALSE),"000000 - Nincs COFOG")</f>
        <v>000000 - Nincs COFOG</v>
      </c>
      <c r="S1192">
        <f t="shared" si="354"/>
        <v>0</v>
      </c>
      <c r="T1192">
        <f t="shared" si="355"/>
        <v>0</v>
      </c>
      <c r="U1192" t="str">
        <f>IF('906MP'!J892&gt;0,CONCATENATE('906MP'!J892," - ",'906MP'!P892,", ",'906MP'!E892),"nincs megjegyzés")</f>
        <v>nincs megjegyzés</v>
      </c>
      <c r="V1192" t="str">
        <f t="shared" si="342"/>
        <v>0P0</v>
      </c>
      <c r="W1192" t="str">
        <f t="shared" si="343"/>
        <v>0P0</v>
      </c>
      <c r="X1192" t="str">
        <f t="shared" si="344"/>
        <v>P0</v>
      </c>
      <c r="Y1192" t="str">
        <f t="shared" si="345"/>
        <v>00</v>
      </c>
      <c r="Z1192" t="str">
        <f t="shared" si="356"/>
        <v>00</v>
      </c>
      <c r="AA1192" t="str">
        <f t="shared" si="346"/>
        <v>00</v>
      </c>
      <c r="AB1192" t="str">
        <f t="shared" si="347"/>
        <v>00</v>
      </c>
      <c r="AC1192" t="str">
        <f t="shared" si="348"/>
        <v>0P0</v>
      </c>
      <c r="AD1192" t="str">
        <f t="shared" si="349"/>
        <v>P00</v>
      </c>
      <c r="AE1192" t="str">
        <f t="shared" si="350"/>
        <v>0P0</v>
      </c>
      <c r="AF1192" t="str">
        <f t="shared" si="351"/>
        <v>P00</v>
      </c>
      <c r="AG1192" t="str">
        <f t="shared" si="357"/>
        <v>0P00</v>
      </c>
      <c r="AH1192" t="str">
        <f t="shared" si="358"/>
        <v>P000</v>
      </c>
      <c r="AI1192" t="str">
        <f t="shared" si="359"/>
        <v>0P00</v>
      </c>
      <c r="AJ1192" t="str">
        <f t="shared" si="360"/>
        <v>P000</v>
      </c>
    </row>
    <row r="1193" spans="1:36" x14ac:dyDescent="0.25">
      <c r="A1193" s="325" t="str">
        <f>CONCATENATE("P",'906MP'!M893)</f>
        <v>P</v>
      </c>
      <c r="B1193">
        <f>'906MP'!H893</f>
        <v>0</v>
      </c>
      <c r="C1193">
        <f>'906MP'!J893</f>
        <v>0</v>
      </c>
      <c r="D1193">
        <f>'906MP'!P893</f>
        <v>0</v>
      </c>
      <c r="E1193">
        <f>'906MP'!X893</f>
        <v>0</v>
      </c>
      <c r="F1193" t="str">
        <f t="shared" si="352"/>
        <v>0</v>
      </c>
      <c r="G1193" t="str">
        <f t="shared" si="353"/>
        <v>0</v>
      </c>
      <c r="H1193">
        <f>'906MP'!Y893</f>
        <v>0</v>
      </c>
      <c r="I1193">
        <f>'906MP'!AK893</f>
        <v>0</v>
      </c>
      <c r="J1193">
        <f>'906MP'!T893</f>
        <v>0</v>
      </c>
      <c r="K1193">
        <f>'906MP'!AJ893</f>
        <v>0</v>
      </c>
      <c r="L1193">
        <f>'906MP'!U893</f>
        <v>0</v>
      </c>
      <c r="M1193" s="322" t="str">
        <f>IFERROR(VLOOKUP(A1193,PAR!$D$3:$E$53,2,FALSE),"nincs szervezet")</f>
        <v>nincs szervezet</v>
      </c>
      <c r="N1193" s="322" t="str">
        <f>VLOOKUP(F1193,PAR!$R$3:$S$5,2,FALSE)</f>
        <v>3 - egyik sem</v>
      </c>
      <c r="O1193" t="str">
        <f>IFERROR(VLOOKUP(J1193,PAR!$O$3:$P$5,2,FALSE),"nincs feladat")</f>
        <v>nincs feladat</v>
      </c>
      <c r="P1193" t="str">
        <f>IFERROR(VLOOKUP(G1193,PAR!$J$2:$M$19,4),"nincs rovat")</f>
        <v>nincs rovat</v>
      </c>
      <c r="Q1193" t="str">
        <f>IF(H1193&gt;0,VLOOKUP(H1193,PAR!$AA$3:$AC$187,3,FALSE),"nincs főkönyvi számla")</f>
        <v>nincs főkönyvi számla</v>
      </c>
      <c r="R1193" t="str">
        <f>IFERROR(VLOOKUP(K1193,PAR!$V$3:$X$438,3,FALSE),"000000 - Nincs COFOG")</f>
        <v>000000 - Nincs COFOG</v>
      </c>
      <c r="S1193">
        <f t="shared" si="354"/>
        <v>0</v>
      </c>
      <c r="T1193">
        <f t="shared" si="355"/>
        <v>0</v>
      </c>
      <c r="U1193" t="str">
        <f>IF('906MP'!J893&gt;0,CONCATENATE('906MP'!J893," - ",'906MP'!P893,", ",'906MP'!E893),"nincs megjegyzés")</f>
        <v>nincs megjegyzés</v>
      </c>
      <c r="V1193" t="str">
        <f t="shared" si="342"/>
        <v>0P0</v>
      </c>
      <c r="W1193" t="str">
        <f t="shared" si="343"/>
        <v>0P0</v>
      </c>
      <c r="X1193" t="str">
        <f t="shared" si="344"/>
        <v>P0</v>
      </c>
      <c r="Y1193" t="str">
        <f t="shared" si="345"/>
        <v>00</v>
      </c>
      <c r="Z1193" t="str">
        <f t="shared" si="356"/>
        <v>00</v>
      </c>
      <c r="AA1193" t="str">
        <f t="shared" si="346"/>
        <v>00</v>
      </c>
      <c r="AB1193" t="str">
        <f t="shared" si="347"/>
        <v>00</v>
      </c>
      <c r="AC1193" t="str">
        <f t="shared" si="348"/>
        <v>0P0</v>
      </c>
      <c r="AD1193" t="str">
        <f t="shared" si="349"/>
        <v>P00</v>
      </c>
      <c r="AE1193" t="str">
        <f t="shared" si="350"/>
        <v>0P0</v>
      </c>
      <c r="AF1193" t="str">
        <f t="shared" si="351"/>
        <v>P00</v>
      </c>
      <c r="AG1193" t="str">
        <f t="shared" si="357"/>
        <v>0P00</v>
      </c>
      <c r="AH1193" t="str">
        <f t="shared" si="358"/>
        <v>P000</v>
      </c>
      <c r="AI1193" t="str">
        <f t="shared" si="359"/>
        <v>0P00</v>
      </c>
      <c r="AJ1193" t="str">
        <f t="shared" si="360"/>
        <v>P000</v>
      </c>
    </row>
    <row r="1194" spans="1:36" x14ac:dyDescent="0.25">
      <c r="A1194" s="325" t="str">
        <f>CONCATENATE("P",'906MP'!M894)</f>
        <v>P</v>
      </c>
      <c r="B1194">
        <f>'906MP'!H894</f>
        <v>0</v>
      </c>
      <c r="C1194">
        <f>'906MP'!J894</f>
        <v>0</v>
      </c>
      <c r="D1194">
        <f>'906MP'!P894</f>
        <v>0</v>
      </c>
      <c r="E1194">
        <f>'906MP'!X894</f>
        <v>0</v>
      </c>
      <c r="F1194" t="str">
        <f t="shared" si="352"/>
        <v>0</v>
      </c>
      <c r="G1194" t="str">
        <f t="shared" si="353"/>
        <v>0</v>
      </c>
      <c r="H1194">
        <f>'906MP'!Y894</f>
        <v>0</v>
      </c>
      <c r="I1194">
        <f>'906MP'!AK894</f>
        <v>0</v>
      </c>
      <c r="J1194">
        <f>'906MP'!T894</f>
        <v>0</v>
      </c>
      <c r="K1194">
        <f>'906MP'!AJ894</f>
        <v>0</v>
      </c>
      <c r="L1194">
        <f>'906MP'!U894</f>
        <v>0</v>
      </c>
      <c r="M1194" s="322" t="str">
        <f>IFERROR(VLOOKUP(A1194,PAR!$D$3:$E$53,2,FALSE),"nincs szervezet")</f>
        <v>nincs szervezet</v>
      </c>
      <c r="N1194" s="322" t="str">
        <f>VLOOKUP(F1194,PAR!$R$3:$S$5,2,FALSE)</f>
        <v>3 - egyik sem</v>
      </c>
      <c r="O1194" t="str">
        <f>IFERROR(VLOOKUP(J1194,PAR!$O$3:$P$5,2,FALSE),"nincs feladat")</f>
        <v>nincs feladat</v>
      </c>
      <c r="P1194" t="str">
        <f>IFERROR(VLOOKUP(G1194,PAR!$J$2:$M$19,4),"nincs rovat")</f>
        <v>nincs rovat</v>
      </c>
      <c r="Q1194" t="str">
        <f>IF(H1194&gt;0,VLOOKUP(H1194,PAR!$AA$3:$AC$187,3,FALSE),"nincs főkönyvi számla")</f>
        <v>nincs főkönyvi számla</v>
      </c>
      <c r="R1194" t="str">
        <f>IFERROR(VLOOKUP(K1194,PAR!$V$3:$X$438,3,FALSE),"000000 - Nincs COFOG")</f>
        <v>000000 - Nincs COFOG</v>
      </c>
      <c r="S1194">
        <f t="shared" si="354"/>
        <v>0</v>
      </c>
      <c r="T1194">
        <f t="shared" si="355"/>
        <v>0</v>
      </c>
      <c r="U1194" t="str">
        <f>IF('906MP'!J894&gt;0,CONCATENATE('906MP'!J894," - ",'906MP'!P894,", ",'906MP'!E894),"nincs megjegyzés")</f>
        <v>nincs megjegyzés</v>
      </c>
      <c r="V1194" t="str">
        <f t="shared" si="342"/>
        <v>0P0</v>
      </c>
      <c r="W1194" t="str">
        <f t="shared" si="343"/>
        <v>0P0</v>
      </c>
      <c r="X1194" t="str">
        <f t="shared" si="344"/>
        <v>P0</v>
      </c>
      <c r="Y1194" t="str">
        <f t="shared" si="345"/>
        <v>00</v>
      </c>
      <c r="Z1194" t="str">
        <f t="shared" si="356"/>
        <v>00</v>
      </c>
      <c r="AA1194" t="str">
        <f t="shared" si="346"/>
        <v>00</v>
      </c>
      <c r="AB1194" t="str">
        <f t="shared" si="347"/>
        <v>00</v>
      </c>
      <c r="AC1194" t="str">
        <f t="shared" si="348"/>
        <v>0P0</v>
      </c>
      <c r="AD1194" t="str">
        <f t="shared" si="349"/>
        <v>P00</v>
      </c>
      <c r="AE1194" t="str">
        <f t="shared" si="350"/>
        <v>0P0</v>
      </c>
      <c r="AF1194" t="str">
        <f t="shared" si="351"/>
        <v>P00</v>
      </c>
      <c r="AG1194" t="str">
        <f t="shared" si="357"/>
        <v>0P00</v>
      </c>
      <c r="AH1194" t="str">
        <f t="shared" si="358"/>
        <v>P000</v>
      </c>
      <c r="AI1194" t="str">
        <f t="shared" si="359"/>
        <v>0P00</v>
      </c>
      <c r="AJ1194" t="str">
        <f t="shared" si="360"/>
        <v>P000</v>
      </c>
    </row>
    <row r="1195" spans="1:36" x14ac:dyDescent="0.25">
      <c r="A1195" s="325" t="str">
        <f>CONCATENATE("P",'906MP'!M895)</f>
        <v>P</v>
      </c>
      <c r="B1195">
        <f>'906MP'!H895</f>
        <v>0</v>
      </c>
      <c r="C1195">
        <f>'906MP'!J895</f>
        <v>0</v>
      </c>
      <c r="D1195">
        <f>'906MP'!P895</f>
        <v>0</v>
      </c>
      <c r="E1195">
        <f>'906MP'!X895</f>
        <v>0</v>
      </c>
      <c r="F1195" t="str">
        <f t="shared" si="352"/>
        <v>0</v>
      </c>
      <c r="G1195" t="str">
        <f t="shared" si="353"/>
        <v>0</v>
      </c>
      <c r="H1195">
        <f>'906MP'!Y895</f>
        <v>0</v>
      </c>
      <c r="I1195">
        <f>'906MP'!AK895</f>
        <v>0</v>
      </c>
      <c r="J1195">
        <f>'906MP'!T895</f>
        <v>0</v>
      </c>
      <c r="K1195">
        <f>'906MP'!AJ895</f>
        <v>0</v>
      </c>
      <c r="L1195">
        <f>'906MP'!U895</f>
        <v>0</v>
      </c>
      <c r="M1195" s="322" t="str">
        <f>IFERROR(VLOOKUP(A1195,PAR!$D$3:$E$53,2,FALSE),"nincs szervezet")</f>
        <v>nincs szervezet</v>
      </c>
      <c r="N1195" s="322" t="str">
        <f>VLOOKUP(F1195,PAR!$R$3:$S$5,2,FALSE)</f>
        <v>3 - egyik sem</v>
      </c>
      <c r="O1195" t="str">
        <f>IFERROR(VLOOKUP(J1195,PAR!$O$3:$P$5,2,FALSE),"nincs feladat")</f>
        <v>nincs feladat</v>
      </c>
      <c r="P1195" t="str">
        <f>IFERROR(VLOOKUP(G1195,PAR!$J$2:$M$19,4),"nincs rovat")</f>
        <v>nincs rovat</v>
      </c>
      <c r="Q1195" t="str">
        <f>IF(H1195&gt;0,VLOOKUP(H1195,PAR!$AA$3:$AC$187,3,FALSE),"nincs főkönyvi számla")</f>
        <v>nincs főkönyvi számla</v>
      </c>
      <c r="R1195" t="str">
        <f>IFERROR(VLOOKUP(K1195,PAR!$V$3:$X$438,3,FALSE),"000000 - Nincs COFOG")</f>
        <v>000000 - Nincs COFOG</v>
      </c>
      <c r="S1195">
        <f t="shared" si="354"/>
        <v>0</v>
      </c>
      <c r="T1195">
        <f t="shared" si="355"/>
        <v>0</v>
      </c>
      <c r="U1195" t="str">
        <f>IF('906MP'!J895&gt;0,CONCATENATE('906MP'!J895," - ",'906MP'!P895,", ",'906MP'!E895),"nincs megjegyzés")</f>
        <v>nincs megjegyzés</v>
      </c>
      <c r="V1195" t="str">
        <f t="shared" si="342"/>
        <v>0P0</v>
      </c>
      <c r="W1195" t="str">
        <f t="shared" si="343"/>
        <v>0P0</v>
      </c>
      <c r="X1195" t="str">
        <f t="shared" si="344"/>
        <v>P0</v>
      </c>
      <c r="Y1195" t="str">
        <f t="shared" si="345"/>
        <v>00</v>
      </c>
      <c r="Z1195" t="str">
        <f t="shared" si="356"/>
        <v>00</v>
      </c>
      <c r="AA1195" t="str">
        <f t="shared" si="346"/>
        <v>00</v>
      </c>
      <c r="AB1195" t="str">
        <f t="shared" si="347"/>
        <v>00</v>
      </c>
      <c r="AC1195" t="str">
        <f t="shared" si="348"/>
        <v>0P0</v>
      </c>
      <c r="AD1195" t="str">
        <f t="shared" si="349"/>
        <v>P00</v>
      </c>
      <c r="AE1195" t="str">
        <f t="shared" si="350"/>
        <v>0P0</v>
      </c>
      <c r="AF1195" t="str">
        <f t="shared" si="351"/>
        <v>P00</v>
      </c>
      <c r="AG1195" t="str">
        <f t="shared" si="357"/>
        <v>0P00</v>
      </c>
      <c r="AH1195" t="str">
        <f t="shared" si="358"/>
        <v>P000</v>
      </c>
      <c r="AI1195" t="str">
        <f t="shared" si="359"/>
        <v>0P00</v>
      </c>
      <c r="AJ1195" t="str">
        <f t="shared" si="360"/>
        <v>P000</v>
      </c>
    </row>
    <row r="1196" spans="1:36" x14ac:dyDescent="0.25">
      <c r="A1196" s="325" t="str">
        <f>CONCATENATE("P",'906MP'!M896)</f>
        <v>P</v>
      </c>
      <c r="B1196">
        <f>'906MP'!H896</f>
        <v>0</v>
      </c>
      <c r="C1196">
        <f>'906MP'!J896</f>
        <v>0</v>
      </c>
      <c r="D1196">
        <f>'906MP'!P896</f>
        <v>0</v>
      </c>
      <c r="E1196">
        <f>'906MP'!X896</f>
        <v>0</v>
      </c>
      <c r="F1196" t="str">
        <f t="shared" si="352"/>
        <v>0</v>
      </c>
      <c r="G1196" t="str">
        <f t="shared" si="353"/>
        <v>0</v>
      </c>
      <c r="H1196">
        <f>'906MP'!Y896</f>
        <v>0</v>
      </c>
      <c r="I1196">
        <f>'906MP'!AK896</f>
        <v>0</v>
      </c>
      <c r="J1196">
        <f>'906MP'!T896</f>
        <v>0</v>
      </c>
      <c r="K1196">
        <f>'906MP'!AJ896</f>
        <v>0</v>
      </c>
      <c r="L1196">
        <f>'906MP'!U896</f>
        <v>0</v>
      </c>
      <c r="M1196" s="322" t="str">
        <f>IFERROR(VLOOKUP(A1196,PAR!$D$3:$E$53,2,FALSE),"nincs szervezet")</f>
        <v>nincs szervezet</v>
      </c>
      <c r="N1196" s="322" t="str">
        <f>VLOOKUP(F1196,PAR!$R$3:$S$5,2,FALSE)</f>
        <v>3 - egyik sem</v>
      </c>
      <c r="O1196" t="str">
        <f>IFERROR(VLOOKUP(J1196,PAR!$O$3:$P$5,2,FALSE),"nincs feladat")</f>
        <v>nincs feladat</v>
      </c>
      <c r="P1196" t="str">
        <f>IFERROR(VLOOKUP(G1196,PAR!$J$2:$M$19,4),"nincs rovat")</f>
        <v>nincs rovat</v>
      </c>
      <c r="Q1196" t="str">
        <f>IF(H1196&gt;0,VLOOKUP(H1196,PAR!$AA$3:$AC$187,3,FALSE),"nincs főkönyvi számla")</f>
        <v>nincs főkönyvi számla</v>
      </c>
      <c r="R1196" t="str">
        <f>IFERROR(VLOOKUP(K1196,PAR!$V$3:$X$438,3,FALSE),"000000 - Nincs COFOG")</f>
        <v>000000 - Nincs COFOG</v>
      </c>
      <c r="S1196">
        <f t="shared" si="354"/>
        <v>0</v>
      </c>
      <c r="T1196">
        <f t="shared" si="355"/>
        <v>0</v>
      </c>
      <c r="U1196" t="str">
        <f>IF('906MP'!J896&gt;0,CONCATENATE('906MP'!J896," - ",'906MP'!P896,", ",'906MP'!E896),"nincs megjegyzés")</f>
        <v>nincs megjegyzés</v>
      </c>
      <c r="V1196" t="str">
        <f t="shared" si="342"/>
        <v>0P0</v>
      </c>
      <c r="W1196" t="str">
        <f t="shared" si="343"/>
        <v>0P0</v>
      </c>
      <c r="X1196" t="str">
        <f t="shared" si="344"/>
        <v>P0</v>
      </c>
      <c r="Y1196" t="str">
        <f t="shared" si="345"/>
        <v>00</v>
      </c>
      <c r="Z1196" t="str">
        <f t="shared" si="356"/>
        <v>00</v>
      </c>
      <c r="AA1196" t="str">
        <f t="shared" si="346"/>
        <v>00</v>
      </c>
      <c r="AB1196" t="str">
        <f t="shared" si="347"/>
        <v>00</v>
      </c>
      <c r="AC1196" t="str">
        <f t="shared" si="348"/>
        <v>0P0</v>
      </c>
      <c r="AD1196" t="str">
        <f t="shared" si="349"/>
        <v>P00</v>
      </c>
      <c r="AE1196" t="str">
        <f t="shared" si="350"/>
        <v>0P0</v>
      </c>
      <c r="AF1196" t="str">
        <f t="shared" si="351"/>
        <v>P00</v>
      </c>
      <c r="AG1196" t="str">
        <f t="shared" si="357"/>
        <v>0P00</v>
      </c>
      <c r="AH1196" t="str">
        <f t="shared" si="358"/>
        <v>P000</v>
      </c>
      <c r="AI1196" t="str">
        <f t="shared" si="359"/>
        <v>0P00</v>
      </c>
      <c r="AJ1196" t="str">
        <f t="shared" si="360"/>
        <v>P000</v>
      </c>
    </row>
    <row r="1197" spans="1:36" x14ac:dyDescent="0.25">
      <c r="A1197" s="325" t="str">
        <f>CONCATENATE("P",'906MP'!M897)</f>
        <v>P</v>
      </c>
      <c r="B1197">
        <f>'906MP'!H897</f>
        <v>0</v>
      </c>
      <c r="C1197">
        <f>'906MP'!J897</f>
        <v>0</v>
      </c>
      <c r="D1197">
        <f>'906MP'!P897</f>
        <v>0</v>
      </c>
      <c r="E1197">
        <f>'906MP'!X897</f>
        <v>0</v>
      </c>
      <c r="F1197" t="str">
        <f t="shared" si="352"/>
        <v>0</v>
      </c>
      <c r="G1197" t="str">
        <f t="shared" si="353"/>
        <v>0</v>
      </c>
      <c r="H1197">
        <f>'906MP'!Y897</f>
        <v>0</v>
      </c>
      <c r="I1197">
        <f>'906MP'!AK897</f>
        <v>0</v>
      </c>
      <c r="J1197">
        <f>'906MP'!T897</f>
        <v>0</v>
      </c>
      <c r="K1197">
        <f>'906MP'!AJ897</f>
        <v>0</v>
      </c>
      <c r="L1197">
        <f>'906MP'!U897</f>
        <v>0</v>
      </c>
      <c r="M1197" s="322" t="str">
        <f>IFERROR(VLOOKUP(A1197,PAR!$D$3:$E$53,2,FALSE),"nincs szervezet")</f>
        <v>nincs szervezet</v>
      </c>
      <c r="N1197" s="322" t="str">
        <f>VLOOKUP(F1197,PAR!$R$3:$S$5,2,FALSE)</f>
        <v>3 - egyik sem</v>
      </c>
      <c r="O1197" t="str">
        <f>IFERROR(VLOOKUP(J1197,PAR!$O$3:$P$5,2,FALSE),"nincs feladat")</f>
        <v>nincs feladat</v>
      </c>
      <c r="P1197" t="str">
        <f>IFERROR(VLOOKUP(G1197,PAR!$J$2:$M$19,4),"nincs rovat")</f>
        <v>nincs rovat</v>
      </c>
      <c r="Q1197" t="str">
        <f>IF(H1197&gt;0,VLOOKUP(H1197,PAR!$AA$3:$AC$187,3,FALSE),"nincs főkönyvi számla")</f>
        <v>nincs főkönyvi számla</v>
      </c>
      <c r="R1197" t="str">
        <f>IFERROR(VLOOKUP(K1197,PAR!$V$3:$X$438,3,FALSE),"000000 - Nincs COFOG")</f>
        <v>000000 - Nincs COFOG</v>
      </c>
      <c r="S1197">
        <f t="shared" si="354"/>
        <v>0</v>
      </c>
      <c r="T1197">
        <f t="shared" si="355"/>
        <v>0</v>
      </c>
      <c r="U1197" t="str">
        <f>IF('906MP'!J897&gt;0,CONCATENATE('906MP'!J897," - ",'906MP'!P897,", ",'906MP'!E897),"nincs megjegyzés")</f>
        <v>nincs megjegyzés</v>
      </c>
      <c r="V1197" t="str">
        <f t="shared" si="342"/>
        <v>0P0</v>
      </c>
      <c r="W1197" t="str">
        <f t="shared" si="343"/>
        <v>0P0</v>
      </c>
      <c r="X1197" t="str">
        <f t="shared" si="344"/>
        <v>P0</v>
      </c>
      <c r="Y1197" t="str">
        <f t="shared" si="345"/>
        <v>00</v>
      </c>
      <c r="Z1197" t="str">
        <f t="shared" si="356"/>
        <v>00</v>
      </c>
      <c r="AA1197" t="str">
        <f t="shared" si="346"/>
        <v>00</v>
      </c>
      <c r="AB1197" t="str">
        <f t="shared" si="347"/>
        <v>00</v>
      </c>
      <c r="AC1197" t="str">
        <f t="shared" si="348"/>
        <v>0P0</v>
      </c>
      <c r="AD1197" t="str">
        <f t="shared" si="349"/>
        <v>P00</v>
      </c>
      <c r="AE1197" t="str">
        <f t="shared" si="350"/>
        <v>0P0</v>
      </c>
      <c r="AF1197" t="str">
        <f t="shared" si="351"/>
        <v>P00</v>
      </c>
      <c r="AG1197" t="str">
        <f t="shared" si="357"/>
        <v>0P00</v>
      </c>
      <c r="AH1197" t="str">
        <f t="shared" si="358"/>
        <v>P000</v>
      </c>
      <c r="AI1197" t="str">
        <f t="shared" si="359"/>
        <v>0P00</v>
      </c>
      <c r="AJ1197" t="str">
        <f t="shared" si="360"/>
        <v>P000</v>
      </c>
    </row>
    <row r="1198" spans="1:36" x14ac:dyDescent="0.25">
      <c r="A1198" s="325" t="str">
        <f>CONCATENATE("P",'906MP'!M898)</f>
        <v>P</v>
      </c>
      <c r="B1198">
        <f>'906MP'!H898</f>
        <v>0</v>
      </c>
      <c r="C1198">
        <f>'906MP'!J898</f>
        <v>0</v>
      </c>
      <c r="D1198">
        <f>'906MP'!P898</f>
        <v>0</v>
      </c>
      <c r="E1198">
        <f>'906MP'!X898</f>
        <v>0</v>
      </c>
      <c r="F1198" t="str">
        <f t="shared" si="352"/>
        <v>0</v>
      </c>
      <c r="G1198" t="str">
        <f t="shared" si="353"/>
        <v>0</v>
      </c>
      <c r="H1198">
        <f>'906MP'!Y898</f>
        <v>0</v>
      </c>
      <c r="I1198">
        <f>'906MP'!AK898</f>
        <v>0</v>
      </c>
      <c r="J1198">
        <f>'906MP'!T898</f>
        <v>0</v>
      </c>
      <c r="K1198">
        <f>'906MP'!AJ898</f>
        <v>0</v>
      </c>
      <c r="L1198">
        <f>'906MP'!U898</f>
        <v>0</v>
      </c>
      <c r="M1198" s="322" t="str">
        <f>IFERROR(VLOOKUP(A1198,PAR!$D$3:$E$53,2,FALSE),"nincs szervezet")</f>
        <v>nincs szervezet</v>
      </c>
      <c r="N1198" s="322" t="str">
        <f>VLOOKUP(F1198,PAR!$R$3:$S$5,2,FALSE)</f>
        <v>3 - egyik sem</v>
      </c>
      <c r="O1198" t="str">
        <f>IFERROR(VLOOKUP(J1198,PAR!$O$3:$P$5,2,FALSE),"nincs feladat")</f>
        <v>nincs feladat</v>
      </c>
      <c r="P1198" t="str">
        <f>IFERROR(VLOOKUP(G1198,PAR!$J$2:$M$19,4),"nincs rovat")</f>
        <v>nincs rovat</v>
      </c>
      <c r="Q1198" t="str">
        <f>IF(H1198&gt;0,VLOOKUP(H1198,PAR!$AA$3:$AC$187,3,FALSE),"nincs főkönyvi számla")</f>
        <v>nincs főkönyvi számla</v>
      </c>
      <c r="R1198" t="str">
        <f>IFERROR(VLOOKUP(K1198,PAR!$V$3:$X$438,3,FALSE),"000000 - Nincs COFOG")</f>
        <v>000000 - Nincs COFOG</v>
      </c>
      <c r="S1198">
        <f t="shared" si="354"/>
        <v>0</v>
      </c>
      <c r="T1198">
        <f t="shared" si="355"/>
        <v>0</v>
      </c>
      <c r="U1198" t="str">
        <f>IF('906MP'!J898&gt;0,CONCATENATE('906MP'!J898," - ",'906MP'!P898,", ",'906MP'!E898),"nincs megjegyzés")</f>
        <v>nincs megjegyzés</v>
      </c>
      <c r="V1198" t="str">
        <f t="shared" si="342"/>
        <v>0P0</v>
      </c>
      <c r="W1198" t="str">
        <f t="shared" si="343"/>
        <v>0P0</v>
      </c>
      <c r="X1198" t="str">
        <f t="shared" si="344"/>
        <v>P0</v>
      </c>
      <c r="Y1198" t="str">
        <f t="shared" si="345"/>
        <v>00</v>
      </c>
      <c r="Z1198" t="str">
        <f t="shared" si="356"/>
        <v>00</v>
      </c>
      <c r="AA1198" t="str">
        <f t="shared" si="346"/>
        <v>00</v>
      </c>
      <c r="AB1198" t="str">
        <f t="shared" si="347"/>
        <v>00</v>
      </c>
      <c r="AC1198" t="str">
        <f t="shared" si="348"/>
        <v>0P0</v>
      </c>
      <c r="AD1198" t="str">
        <f t="shared" si="349"/>
        <v>P00</v>
      </c>
      <c r="AE1198" t="str">
        <f t="shared" si="350"/>
        <v>0P0</v>
      </c>
      <c r="AF1198" t="str">
        <f t="shared" si="351"/>
        <v>P00</v>
      </c>
      <c r="AG1198" t="str">
        <f t="shared" si="357"/>
        <v>0P00</v>
      </c>
      <c r="AH1198" t="str">
        <f t="shared" si="358"/>
        <v>P000</v>
      </c>
      <c r="AI1198" t="str">
        <f t="shared" si="359"/>
        <v>0P00</v>
      </c>
      <c r="AJ1198" t="str">
        <f t="shared" si="360"/>
        <v>P000</v>
      </c>
    </row>
    <row r="1199" spans="1:36" x14ac:dyDescent="0.25">
      <c r="A1199" s="325" t="str">
        <f>CONCATENATE("P",'906MP'!M899)</f>
        <v>P</v>
      </c>
      <c r="B1199">
        <f>'906MP'!H899</f>
        <v>0</v>
      </c>
      <c r="C1199">
        <f>'906MP'!J899</f>
        <v>0</v>
      </c>
      <c r="D1199">
        <f>'906MP'!P899</f>
        <v>0</v>
      </c>
      <c r="E1199">
        <f>'906MP'!X899</f>
        <v>0</v>
      </c>
      <c r="F1199" t="str">
        <f t="shared" si="352"/>
        <v>0</v>
      </c>
      <c r="G1199" t="str">
        <f t="shared" si="353"/>
        <v>0</v>
      </c>
      <c r="H1199">
        <f>'906MP'!Y899</f>
        <v>0</v>
      </c>
      <c r="I1199">
        <f>'906MP'!AK899</f>
        <v>0</v>
      </c>
      <c r="J1199">
        <f>'906MP'!T899</f>
        <v>0</v>
      </c>
      <c r="K1199">
        <f>'906MP'!AJ899</f>
        <v>0</v>
      </c>
      <c r="L1199">
        <f>'906MP'!U899</f>
        <v>0</v>
      </c>
      <c r="M1199" s="322" t="str">
        <f>IFERROR(VLOOKUP(A1199,PAR!$D$3:$E$53,2,FALSE),"nincs szervezet")</f>
        <v>nincs szervezet</v>
      </c>
      <c r="N1199" s="322" t="str">
        <f>VLOOKUP(F1199,PAR!$R$3:$S$5,2,FALSE)</f>
        <v>3 - egyik sem</v>
      </c>
      <c r="O1199" t="str">
        <f>IFERROR(VLOOKUP(J1199,PAR!$O$3:$P$5,2,FALSE),"nincs feladat")</f>
        <v>nincs feladat</v>
      </c>
      <c r="P1199" t="str">
        <f>IFERROR(VLOOKUP(G1199,PAR!$J$2:$M$19,4),"nincs rovat")</f>
        <v>nincs rovat</v>
      </c>
      <c r="Q1199" t="str">
        <f>IF(H1199&gt;0,VLOOKUP(H1199,PAR!$AA$3:$AC$187,3,FALSE),"nincs főkönyvi számla")</f>
        <v>nincs főkönyvi számla</v>
      </c>
      <c r="R1199" t="str">
        <f>IFERROR(VLOOKUP(K1199,PAR!$V$3:$X$438,3,FALSE),"000000 - Nincs COFOG")</f>
        <v>000000 - Nincs COFOG</v>
      </c>
      <c r="S1199">
        <f t="shared" si="354"/>
        <v>0</v>
      </c>
      <c r="T1199">
        <f t="shared" si="355"/>
        <v>0</v>
      </c>
      <c r="U1199" t="str">
        <f>IF('906MP'!J899&gt;0,CONCATENATE('906MP'!J899," - ",'906MP'!P899,", ",'906MP'!E899),"nincs megjegyzés")</f>
        <v>nincs megjegyzés</v>
      </c>
      <c r="V1199" t="str">
        <f t="shared" si="342"/>
        <v>0P0</v>
      </c>
      <c r="W1199" t="str">
        <f t="shared" si="343"/>
        <v>0P0</v>
      </c>
      <c r="X1199" t="str">
        <f t="shared" si="344"/>
        <v>P0</v>
      </c>
      <c r="Y1199" t="str">
        <f t="shared" si="345"/>
        <v>00</v>
      </c>
      <c r="Z1199" t="str">
        <f t="shared" si="356"/>
        <v>00</v>
      </c>
      <c r="AA1199" t="str">
        <f t="shared" si="346"/>
        <v>00</v>
      </c>
      <c r="AB1199" t="str">
        <f t="shared" si="347"/>
        <v>00</v>
      </c>
      <c r="AC1199" t="str">
        <f t="shared" si="348"/>
        <v>0P0</v>
      </c>
      <c r="AD1199" t="str">
        <f t="shared" si="349"/>
        <v>P00</v>
      </c>
      <c r="AE1199" t="str">
        <f t="shared" si="350"/>
        <v>0P0</v>
      </c>
      <c r="AF1199" t="str">
        <f t="shared" si="351"/>
        <v>P00</v>
      </c>
      <c r="AG1199" t="str">
        <f t="shared" si="357"/>
        <v>0P00</v>
      </c>
      <c r="AH1199" t="str">
        <f t="shared" si="358"/>
        <v>P000</v>
      </c>
      <c r="AI1199" t="str">
        <f t="shared" si="359"/>
        <v>0P00</v>
      </c>
      <c r="AJ1199" t="str">
        <f t="shared" si="360"/>
        <v>P000</v>
      </c>
    </row>
    <row r="1200" spans="1:36" x14ac:dyDescent="0.25">
      <c r="A1200" s="325" t="str">
        <f>CONCATENATE("P",'906MP'!M900)</f>
        <v>P</v>
      </c>
      <c r="B1200">
        <f>'906MP'!H900</f>
        <v>0</v>
      </c>
      <c r="C1200">
        <f>'906MP'!J900</f>
        <v>0</v>
      </c>
      <c r="D1200">
        <f>'906MP'!P900</f>
        <v>0</v>
      </c>
      <c r="E1200">
        <f>'906MP'!X900</f>
        <v>0</v>
      </c>
      <c r="F1200" t="str">
        <f t="shared" si="352"/>
        <v>0</v>
      </c>
      <c r="G1200" t="str">
        <f t="shared" si="353"/>
        <v>0</v>
      </c>
      <c r="H1200">
        <f>'906MP'!Y900</f>
        <v>0</v>
      </c>
      <c r="I1200">
        <f>'906MP'!AK900</f>
        <v>0</v>
      </c>
      <c r="J1200">
        <f>'906MP'!T900</f>
        <v>0</v>
      </c>
      <c r="K1200">
        <f>'906MP'!AJ900</f>
        <v>0</v>
      </c>
      <c r="L1200">
        <f>'906MP'!U900</f>
        <v>0</v>
      </c>
      <c r="M1200" s="322" t="str">
        <f>IFERROR(VLOOKUP(A1200,PAR!$D$3:$E$53,2,FALSE),"nincs szervezet")</f>
        <v>nincs szervezet</v>
      </c>
      <c r="N1200" s="322" t="str">
        <f>VLOOKUP(F1200,PAR!$R$3:$S$5,2,FALSE)</f>
        <v>3 - egyik sem</v>
      </c>
      <c r="O1200" t="str">
        <f>IFERROR(VLOOKUP(J1200,PAR!$O$3:$P$5,2,FALSE),"nincs feladat")</f>
        <v>nincs feladat</v>
      </c>
      <c r="P1200" t="str">
        <f>IFERROR(VLOOKUP(G1200,PAR!$J$2:$M$19,4),"nincs rovat")</f>
        <v>nincs rovat</v>
      </c>
      <c r="Q1200" t="str">
        <f>IF(H1200&gt;0,VLOOKUP(H1200,PAR!$AA$3:$AC$187,3,FALSE),"nincs főkönyvi számla")</f>
        <v>nincs főkönyvi számla</v>
      </c>
      <c r="R1200" t="str">
        <f>IFERROR(VLOOKUP(K1200,PAR!$V$3:$X$438,3,FALSE),"000000 - Nincs COFOG")</f>
        <v>000000 - Nincs COFOG</v>
      </c>
      <c r="S1200">
        <f t="shared" si="354"/>
        <v>0</v>
      </c>
      <c r="T1200">
        <f t="shared" si="355"/>
        <v>0</v>
      </c>
      <c r="U1200" t="str">
        <f>IF('906MP'!J900&gt;0,CONCATENATE('906MP'!J900," - ",'906MP'!P900,", ",'906MP'!E900),"nincs megjegyzés")</f>
        <v>nincs megjegyzés</v>
      </c>
      <c r="V1200" t="str">
        <f t="shared" si="342"/>
        <v>0P0</v>
      </c>
      <c r="W1200" t="str">
        <f t="shared" si="343"/>
        <v>0P0</v>
      </c>
      <c r="X1200" t="str">
        <f t="shared" si="344"/>
        <v>P0</v>
      </c>
      <c r="Y1200" t="str">
        <f t="shared" si="345"/>
        <v>00</v>
      </c>
      <c r="Z1200" t="str">
        <f t="shared" si="356"/>
        <v>00</v>
      </c>
      <c r="AA1200" t="str">
        <f t="shared" si="346"/>
        <v>00</v>
      </c>
      <c r="AB1200" t="str">
        <f t="shared" si="347"/>
        <v>00</v>
      </c>
      <c r="AC1200" t="str">
        <f t="shared" si="348"/>
        <v>0P0</v>
      </c>
      <c r="AD1200" t="str">
        <f t="shared" si="349"/>
        <v>P00</v>
      </c>
      <c r="AE1200" t="str">
        <f t="shared" si="350"/>
        <v>0P0</v>
      </c>
      <c r="AF1200" t="str">
        <f t="shared" si="351"/>
        <v>P00</v>
      </c>
      <c r="AG1200" t="str">
        <f t="shared" si="357"/>
        <v>0P00</v>
      </c>
      <c r="AH1200" t="str">
        <f t="shared" si="358"/>
        <v>P000</v>
      </c>
      <c r="AI1200" t="str">
        <f t="shared" si="359"/>
        <v>0P00</v>
      </c>
      <c r="AJ1200" t="str">
        <f t="shared" si="360"/>
        <v>P000</v>
      </c>
    </row>
    <row r="1201" spans="1:36" x14ac:dyDescent="0.25">
      <c r="A1201" s="325" t="str">
        <f>CONCATENATE("P",'906MP'!M901)</f>
        <v>P</v>
      </c>
      <c r="B1201">
        <f>'906MP'!H901</f>
        <v>0</v>
      </c>
      <c r="C1201">
        <f>'906MP'!J901</f>
        <v>0</v>
      </c>
      <c r="D1201">
        <f>'906MP'!P901</f>
        <v>0</v>
      </c>
      <c r="E1201">
        <f>'906MP'!X901</f>
        <v>0</v>
      </c>
      <c r="F1201" t="str">
        <f t="shared" si="352"/>
        <v>0</v>
      </c>
      <c r="G1201" t="str">
        <f t="shared" si="353"/>
        <v>0</v>
      </c>
      <c r="H1201">
        <f>'906MP'!Y901</f>
        <v>0</v>
      </c>
      <c r="I1201">
        <f>'906MP'!AK901</f>
        <v>0</v>
      </c>
      <c r="J1201">
        <f>'906MP'!T901</f>
        <v>0</v>
      </c>
      <c r="K1201">
        <f>'906MP'!AJ901</f>
        <v>0</v>
      </c>
      <c r="L1201">
        <f>'906MP'!U901</f>
        <v>0</v>
      </c>
      <c r="M1201" s="322" t="str">
        <f>IFERROR(VLOOKUP(A1201,PAR!$D$3:$E$53,2,FALSE),"nincs szervezet")</f>
        <v>nincs szervezet</v>
      </c>
      <c r="N1201" s="322" t="str">
        <f>VLOOKUP(F1201,PAR!$R$3:$S$5,2,FALSE)</f>
        <v>3 - egyik sem</v>
      </c>
      <c r="O1201" t="str">
        <f>IFERROR(VLOOKUP(J1201,PAR!$O$3:$P$5,2,FALSE),"nincs feladat")</f>
        <v>nincs feladat</v>
      </c>
      <c r="P1201" t="str">
        <f>IFERROR(VLOOKUP(G1201,PAR!$J$2:$M$19,4),"nincs rovat")</f>
        <v>nincs rovat</v>
      </c>
      <c r="Q1201" t="str">
        <f>IF(H1201&gt;0,VLOOKUP(H1201,PAR!$AA$3:$AC$187,3,FALSE),"nincs főkönyvi számla")</f>
        <v>nincs főkönyvi számla</v>
      </c>
      <c r="R1201" t="str">
        <f>IFERROR(VLOOKUP(K1201,PAR!$V$3:$X$438,3,FALSE),"000000 - Nincs COFOG")</f>
        <v>000000 - Nincs COFOG</v>
      </c>
      <c r="S1201">
        <f t="shared" si="354"/>
        <v>0</v>
      </c>
      <c r="T1201">
        <f t="shared" si="355"/>
        <v>0</v>
      </c>
      <c r="U1201" t="str">
        <f>IF('906MP'!J901&gt;0,CONCATENATE('906MP'!J901," - ",'906MP'!P901,", ",'906MP'!E901),"nincs megjegyzés")</f>
        <v>nincs megjegyzés</v>
      </c>
      <c r="V1201" t="str">
        <f t="shared" si="342"/>
        <v>0P0</v>
      </c>
      <c r="W1201" t="str">
        <f t="shared" si="343"/>
        <v>0P0</v>
      </c>
      <c r="X1201" t="str">
        <f t="shared" si="344"/>
        <v>P0</v>
      </c>
      <c r="Y1201" t="str">
        <f t="shared" si="345"/>
        <v>00</v>
      </c>
      <c r="Z1201" t="str">
        <f t="shared" si="356"/>
        <v>00</v>
      </c>
      <c r="AA1201" t="str">
        <f t="shared" si="346"/>
        <v>00</v>
      </c>
      <c r="AB1201" t="str">
        <f t="shared" si="347"/>
        <v>00</v>
      </c>
      <c r="AC1201" t="str">
        <f t="shared" si="348"/>
        <v>0P0</v>
      </c>
      <c r="AD1201" t="str">
        <f t="shared" si="349"/>
        <v>P00</v>
      </c>
      <c r="AE1201" t="str">
        <f t="shared" si="350"/>
        <v>0P0</v>
      </c>
      <c r="AF1201" t="str">
        <f t="shared" si="351"/>
        <v>P00</v>
      </c>
      <c r="AG1201" t="str">
        <f t="shared" si="357"/>
        <v>0P00</v>
      </c>
      <c r="AH1201" t="str">
        <f t="shared" si="358"/>
        <v>P000</v>
      </c>
      <c r="AI1201" t="str">
        <f t="shared" si="359"/>
        <v>0P00</v>
      </c>
      <c r="AJ1201" t="str">
        <f t="shared" si="360"/>
        <v>P000</v>
      </c>
    </row>
    <row r="1202" spans="1:36" x14ac:dyDescent="0.25">
      <c r="A1202" s="325" t="str">
        <f>CONCATENATE("P",'906MP'!M902)</f>
        <v>P</v>
      </c>
      <c r="B1202">
        <f>'906MP'!H902</f>
        <v>0</v>
      </c>
      <c r="C1202">
        <f>'906MP'!J902</f>
        <v>0</v>
      </c>
      <c r="D1202">
        <f>'906MP'!P902</f>
        <v>0</v>
      </c>
      <c r="E1202">
        <f>'906MP'!X902</f>
        <v>0</v>
      </c>
      <c r="F1202" t="str">
        <f t="shared" si="352"/>
        <v>0</v>
      </c>
      <c r="G1202" t="str">
        <f t="shared" si="353"/>
        <v>0</v>
      </c>
      <c r="H1202">
        <f>'906MP'!Y902</f>
        <v>0</v>
      </c>
      <c r="I1202">
        <f>'906MP'!AK902</f>
        <v>0</v>
      </c>
      <c r="J1202">
        <f>'906MP'!T902</f>
        <v>0</v>
      </c>
      <c r="K1202">
        <f>'906MP'!AJ902</f>
        <v>0</v>
      </c>
      <c r="L1202">
        <f>'906MP'!U902</f>
        <v>0</v>
      </c>
      <c r="M1202" s="322" t="str">
        <f>IFERROR(VLOOKUP(A1202,PAR!$D$3:$E$53,2,FALSE),"nincs szervezet")</f>
        <v>nincs szervezet</v>
      </c>
      <c r="N1202" s="322" t="str">
        <f>VLOOKUP(F1202,PAR!$R$3:$S$5,2,FALSE)</f>
        <v>3 - egyik sem</v>
      </c>
      <c r="O1202" t="str">
        <f>IFERROR(VLOOKUP(J1202,PAR!$O$3:$P$5,2,FALSE),"nincs feladat")</f>
        <v>nincs feladat</v>
      </c>
      <c r="P1202" t="str">
        <f>IFERROR(VLOOKUP(G1202,PAR!$J$2:$M$19,4),"nincs rovat")</f>
        <v>nincs rovat</v>
      </c>
      <c r="Q1202" t="str">
        <f>IF(H1202&gt;0,VLOOKUP(H1202,PAR!$AA$3:$AC$187,3,FALSE),"nincs főkönyvi számla")</f>
        <v>nincs főkönyvi számla</v>
      </c>
      <c r="R1202" t="str">
        <f>IFERROR(VLOOKUP(K1202,PAR!$V$3:$X$438,3,FALSE),"000000 - Nincs COFOG")</f>
        <v>000000 - Nincs COFOG</v>
      </c>
      <c r="S1202">
        <f t="shared" si="354"/>
        <v>0</v>
      </c>
      <c r="T1202">
        <f t="shared" si="355"/>
        <v>0</v>
      </c>
      <c r="U1202" t="str">
        <f>IF('906MP'!J902&gt;0,CONCATENATE('906MP'!J902," - ",'906MP'!P902,", ",'906MP'!E902),"nincs megjegyzés")</f>
        <v>nincs megjegyzés</v>
      </c>
      <c r="V1202" t="str">
        <f t="shared" si="342"/>
        <v>0P0</v>
      </c>
      <c r="W1202" t="str">
        <f t="shared" si="343"/>
        <v>0P0</v>
      </c>
      <c r="X1202" t="str">
        <f t="shared" si="344"/>
        <v>P0</v>
      </c>
      <c r="Y1202" t="str">
        <f t="shared" si="345"/>
        <v>00</v>
      </c>
      <c r="Z1202" t="str">
        <f t="shared" si="356"/>
        <v>00</v>
      </c>
      <c r="AA1202" t="str">
        <f t="shared" si="346"/>
        <v>00</v>
      </c>
      <c r="AB1202" t="str">
        <f t="shared" si="347"/>
        <v>00</v>
      </c>
      <c r="AC1202" t="str">
        <f t="shared" si="348"/>
        <v>0P0</v>
      </c>
      <c r="AD1202" t="str">
        <f t="shared" si="349"/>
        <v>P00</v>
      </c>
      <c r="AE1202" t="str">
        <f t="shared" si="350"/>
        <v>0P0</v>
      </c>
      <c r="AF1202" t="str">
        <f t="shared" si="351"/>
        <v>P00</v>
      </c>
      <c r="AG1202" t="str">
        <f t="shared" si="357"/>
        <v>0P00</v>
      </c>
      <c r="AH1202" t="str">
        <f t="shared" si="358"/>
        <v>P000</v>
      </c>
      <c r="AI1202" t="str">
        <f t="shared" si="359"/>
        <v>0P00</v>
      </c>
      <c r="AJ1202" t="str">
        <f t="shared" si="360"/>
        <v>P000</v>
      </c>
    </row>
    <row r="1203" spans="1:36" x14ac:dyDescent="0.25">
      <c r="A1203" s="325" t="str">
        <f>CONCATENATE("P",'906MP'!M903)</f>
        <v>P</v>
      </c>
      <c r="B1203">
        <f>'906MP'!H903</f>
        <v>0</v>
      </c>
      <c r="C1203">
        <f>'906MP'!J903</f>
        <v>0</v>
      </c>
      <c r="D1203">
        <f>'906MP'!P903</f>
        <v>0</v>
      </c>
      <c r="E1203">
        <f>'906MP'!X903</f>
        <v>0</v>
      </c>
      <c r="F1203" t="str">
        <f t="shared" si="352"/>
        <v>0</v>
      </c>
      <c r="G1203" t="str">
        <f t="shared" si="353"/>
        <v>0</v>
      </c>
      <c r="H1203">
        <f>'906MP'!Y903</f>
        <v>0</v>
      </c>
      <c r="I1203">
        <f>'906MP'!AK903</f>
        <v>0</v>
      </c>
      <c r="J1203">
        <f>'906MP'!T903</f>
        <v>0</v>
      </c>
      <c r="K1203">
        <f>'906MP'!AJ903</f>
        <v>0</v>
      </c>
      <c r="L1203">
        <f>'906MP'!U903</f>
        <v>0</v>
      </c>
      <c r="M1203" s="322" t="str">
        <f>IFERROR(VLOOKUP(A1203,PAR!$D$3:$E$53,2,FALSE),"nincs szervezet")</f>
        <v>nincs szervezet</v>
      </c>
      <c r="N1203" s="322" t="str">
        <f>VLOOKUP(F1203,PAR!$R$3:$S$5,2,FALSE)</f>
        <v>3 - egyik sem</v>
      </c>
      <c r="O1203" t="str">
        <f>IFERROR(VLOOKUP(J1203,PAR!$O$3:$P$5,2,FALSE),"nincs feladat")</f>
        <v>nincs feladat</v>
      </c>
      <c r="P1203" t="str">
        <f>IFERROR(VLOOKUP(G1203,PAR!$J$2:$M$19,4),"nincs rovat")</f>
        <v>nincs rovat</v>
      </c>
      <c r="Q1203" t="str">
        <f>IF(H1203&gt;0,VLOOKUP(H1203,PAR!$AA$3:$AC$187,3,FALSE),"nincs főkönyvi számla")</f>
        <v>nincs főkönyvi számla</v>
      </c>
      <c r="R1203" t="str">
        <f>IFERROR(VLOOKUP(K1203,PAR!$V$3:$X$438,3,FALSE),"000000 - Nincs COFOG")</f>
        <v>000000 - Nincs COFOG</v>
      </c>
      <c r="S1203">
        <f t="shared" si="354"/>
        <v>0</v>
      </c>
      <c r="T1203">
        <f t="shared" si="355"/>
        <v>0</v>
      </c>
      <c r="U1203" t="str">
        <f>IF('906MP'!J903&gt;0,CONCATENATE('906MP'!J903," - ",'906MP'!P903,", ",'906MP'!E903),"nincs megjegyzés")</f>
        <v>nincs megjegyzés</v>
      </c>
      <c r="V1203" t="str">
        <f t="shared" si="342"/>
        <v>0P0</v>
      </c>
      <c r="W1203" t="str">
        <f t="shared" si="343"/>
        <v>0P0</v>
      </c>
      <c r="X1203" t="str">
        <f t="shared" si="344"/>
        <v>P0</v>
      </c>
      <c r="Y1203" t="str">
        <f t="shared" si="345"/>
        <v>00</v>
      </c>
      <c r="Z1203" t="str">
        <f t="shared" si="356"/>
        <v>00</v>
      </c>
      <c r="AA1203" t="str">
        <f t="shared" si="346"/>
        <v>00</v>
      </c>
      <c r="AB1203" t="str">
        <f t="shared" si="347"/>
        <v>00</v>
      </c>
      <c r="AC1203" t="str">
        <f t="shared" si="348"/>
        <v>0P0</v>
      </c>
      <c r="AD1203" t="str">
        <f t="shared" si="349"/>
        <v>P00</v>
      </c>
      <c r="AE1203" t="str">
        <f t="shared" si="350"/>
        <v>0P0</v>
      </c>
      <c r="AF1203" t="str">
        <f t="shared" si="351"/>
        <v>P00</v>
      </c>
      <c r="AG1203" t="str">
        <f t="shared" si="357"/>
        <v>0P00</v>
      </c>
      <c r="AH1203" t="str">
        <f t="shared" si="358"/>
        <v>P000</v>
      </c>
      <c r="AI1203" t="str">
        <f t="shared" si="359"/>
        <v>0P00</v>
      </c>
      <c r="AJ1203" t="str">
        <f t="shared" si="360"/>
        <v>P000</v>
      </c>
    </row>
    <row r="1204" spans="1:36" x14ac:dyDescent="0.25">
      <c r="A1204" s="325" t="str">
        <f>CONCATENATE("P",'906MP'!M904)</f>
        <v>P</v>
      </c>
      <c r="B1204">
        <f>'906MP'!H904</f>
        <v>0</v>
      </c>
      <c r="C1204">
        <f>'906MP'!J904</f>
        <v>0</v>
      </c>
      <c r="D1204">
        <f>'906MP'!P904</f>
        <v>0</v>
      </c>
      <c r="E1204">
        <f>'906MP'!X904</f>
        <v>0</v>
      </c>
      <c r="F1204" t="str">
        <f t="shared" si="352"/>
        <v>0</v>
      </c>
      <c r="G1204" t="str">
        <f t="shared" si="353"/>
        <v>0</v>
      </c>
      <c r="H1204">
        <f>'906MP'!Y904</f>
        <v>0</v>
      </c>
      <c r="I1204">
        <f>'906MP'!AK904</f>
        <v>0</v>
      </c>
      <c r="J1204">
        <f>'906MP'!T904</f>
        <v>0</v>
      </c>
      <c r="K1204">
        <f>'906MP'!AJ904</f>
        <v>0</v>
      </c>
      <c r="L1204">
        <f>'906MP'!U904</f>
        <v>0</v>
      </c>
      <c r="M1204" s="322" t="str">
        <f>IFERROR(VLOOKUP(A1204,PAR!$D$3:$E$53,2,FALSE),"nincs szervezet")</f>
        <v>nincs szervezet</v>
      </c>
      <c r="N1204" s="322" t="str">
        <f>VLOOKUP(F1204,PAR!$R$3:$S$5,2,FALSE)</f>
        <v>3 - egyik sem</v>
      </c>
      <c r="O1204" t="str">
        <f>IFERROR(VLOOKUP(J1204,PAR!$O$3:$P$5,2,FALSE),"nincs feladat")</f>
        <v>nincs feladat</v>
      </c>
      <c r="P1204" t="str">
        <f>IFERROR(VLOOKUP(G1204,PAR!$J$2:$M$19,4),"nincs rovat")</f>
        <v>nincs rovat</v>
      </c>
      <c r="Q1204" t="str">
        <f>IF(H1204&gt;0,VLOOKUP(H1204,PAR!$AA$3:$AC$187,3,FALSE),"nincs főkönyvi számla")</f>
        <v>nincs főkönyvi számla</v>
      </c>
      <c r="R1204" t="str">
        <f>IFERROR(VLOOKUP(K1204,PAR!$V$3:$X$438,3,FALSE),"000000 - Nincs COFOG")</f>
        <v>000000 - Nincs COFOG</v>
      </c>
      <c r="S1204">
        <f t="shared" si="354"/>
        <v>0</v>
      </c>
      <c r="T1204">
        <f t="shared" si="355"/>
        <v>0</v>
      </c>
      <c r="U1204" t="str">
        <f>IF('906MP'!J904&gt;0,CONCATENATE('906MP'!J904," - ",'906MP'!P904,", ",'906MP'!E904),"nincs megjegyzés")</f>
        <v>nincs megjegyzés</v>
      </c>
      <c r="V1204" t="str">
        <f t="shared" si="342"/>
        <v>0P0</v>
      </c>
      <c r="W1204" t="str">
        <f t="shared" si="343"/>
        <v>0P0</v>
      </c>
      <c r="X1204" t="str">
        <f t="shared" si="344"/>
        <v>P0</v>
      </c>
      <c r="Y1204" t="str">
        <f t="shared" si="345"/>
        <v>00</v>
      </c>
      <c r="Z1204" t="str">
        <f t="shared" si="356"/>
        <v>00</v>
      </c>
      <c r="AA1204" t="str">
        <f t="shared" si="346"/>
        <v>00</v>
      </c>
      <c r="AB1204" t="str">
        <f t="shared" si="347"/>
        <v>00</v>
      </c>
      <c r="AC1204" t="str">
        <f t="shared" si="348"/>
        <v>0P0</v>
      </c>
      <c r="AD1204" t="str">
        <f t="shared" si="349"/>
        <v>P00</v>
      </c>
      <c r="AE1204" t="str">
        <f t="shared" si="350"/>
        <v>0P0</v>
      </c>
      <c r="AF1204" t="str">
        <f t="shared" si="351"/>
        <v>P00</v>
      </c>
      <c r="AG1204" t="str">
        <f t="shared" si="357"/>
        <v>0P00</v>
      </c>
      <c r="AH1204" t="str">
        <f t="shared" si="358"/>
        <v>P000</v>
      </c>
      <c r="AI1204" t="str">
        <f t="shared" si="359"/>
        <v>0P00</v>
      </c>
      <c r="AJ1204" t="str">
        <f t="shared" si="360"/>
        <v>P000</v>
      </c>
    </row>
    <row r="1205" spans="1:36" x14ac:dyDescent="0.25">
      <c r="A1205" s="325" t="str">
        <f>CONCATENATE("P",'906MP'!M905)</f>
        <v>P</v>
      </c>
      <c r="B1205">
        <f>'906MP'!H905</f>
        <v>0</v>
      </c>
      <c r="C1205">
        <f>'906MP'!J905</f>
        <v>0</v>
      </c>
      <c r="D1205">
        <f>'906MP'!P905</f>
        <v>0</v>
      </c>
      <c r="E1205">
        <f>'906MP'!X905</f>
        <v>0</v>
      </c>
      <c r="F1205" t="str">
        <f t="shared" si="352"/>
        <v>0</v>
      </c>
      <c r="G1205" t="str">
        <f t="shared" si="353"/>
        <v>0</v>
      </c>
      <c r="H1205">
        <f>'906MP'!Y905</f>
        <v>0</v>
      </c>
      <c r="I1205">
        <f>'906MP'!AK905</f>
        <v>0</v>
      </c>
      <c r="J1205">
        <f>'906MP'!T905</f>
        <v>0</v>
      </c>
      <c r="K1205">
        <f>'906MP'!AJ905</f>
        <v>0</v>
      </c>
      <c r="L1205">
        <f>'906MP'!U905</f>
        <v>0</v>
      </c>
      <c r="M1205" s="322" t="str">
        <f>IFERROR(VLOOKUP(A1205,PAR!$D$3:$E$53,2,FALSE),"nincs szervezet")</f>
        <v>nincs szervezet</v>
      </c>
      <c r="N1205" s="322" t="str">
        <f>VLOOKUP(F1205,PAR!$R$3:$S$5,2,FALSE)</f>
        <v>3 - egyik sem</v>
      </c>
      <c r="O1205" t="str">
        <f>IFERROR(VLOOKUP(J1205,PAR!$O$3:$P$5,2,FALSE),"nincs feladat")</f>
        <v>nincs feladat</v>
      </c>
      <c r="P1205" t="str">
        <f>IFERROR(VLOOKUP(G1205,PAR!$J$2:$M$19,4),"nincs rovat")</f>
        <v>nincs rovat</v>
      </c>
      <c r="Q1205" t="str">
        <f>IF(H1205&gt;0,VLOOKUP(H1205,PAR!$AA$3:$AC$187,3,FALSE),"nincs főkönyvi számla")</f>
        <v>nincs főkönyvi számla</v>
      </c>
      <c r="R1205" t="str">
        <f>IFERROR(VLOOKUP(K1205,PAR!$V$3:$X$438,3,FALSE),"000000 - Nincs COFOG")</f>
        <v>000000 - Nincs COFOG</v>
      </c>
      <c r="S1205">
        <f t="shared" si="354"/>
        <v>0</v>
      </c>
      <c r="T1205">
        <f t="shared" si="355"/>
        <v>0</v>
      </c>
      <c r="U1205" t="str">
        <f>IF('906MP'!J905&gt;0,CONCATENATE('906MP'!J905," - ",'906MP'!P905,", ",'906MP'!E905),"nincs megjegyzés")</f>
        <v>nincs megjegyzés</v>
      </c>
      <c r="V1205" t="str">
        <f t="shared" si="342"/>
        <v>0P0</v>
      </c>
      <c r="W1205" t="str">
        <f t="shared" si="343"/>
        <v>0P0</v>
      </c>
      <c r="X1205" t="str">
        <f t="shared" si="344"/>
        <v>P0</v>
      </c>
      <c r="Y1205" t="str">
        <f t="shared" si="345"/>
        <v>00</v>
      </c>
      <c r="Z1205" t="str">
        <f t="shared" si="356"/>
        <v>00</v>
      </c>
      <c r="AA1205" t="str">
        <f t="shared" si="346"/>
        <v>00</v>
      </c>
      <c r="AB1205" t="str">
        <f t="shared" si="347"/>
        <v>00</v>
      </c>
      <c r="AC1205" t="str">
        <f t="shared" si="348"/>
        <v>0P0</v>
      </c>
      <c r="AD1205" t="str">
        <f t="shared" si="349"/>
        <v>P00</v>
      </c>
      <c r="AE1205" t="str">
        <f t="shared" si="350"/>
        <v>0P0</v>
      </c>
      <c r="AF1205" t="str">
        <f t="shared" si="351"/>
        <v>P00</v>
      </c>
      <c r="AG1205" t="str">
        <f t="shared" si="357"/>
        <v>0P00</v>
      </c>
      <c r="AH1205" t="str">
        <f t="shared" si="358"/>
        <v>P000</v>
      </c>
      <c r="AI1205" t="str">
        <f t="shared" si="359"/>
        <v>0P00</v>
      </c>
      <c r="AJ1205" t="str">
        <f t="shared" si="360"/>
        <v>P000</v>
      </c>
    </row>
    <row r="1206" spans="1:36" x14ac:dyDescent="0.25">
      <c r="A1206" s="325" t="str">
        <f>CONCATENATE("P",'906MP'!M906)</f>
        <v>P</v>
      </c>
      <c r="B1206">
        <f>'906MP'!H906</f>
        <v>0</v>
      </c>
      <c r="C1206">
        <f>'906MP'!J906</f>
        <v>0</v>
      </c>
      <c r="D1206">
        <f>'906MP'!P906</f>
        <v>0</v>
      </c>
      <c r="E1206">
        <f>'906MP'!X906</f>
        <v>0</v>
      </c>
      <c r="F1206" t="str">
        <f t="shared" si="352"/>
        <v>0</v>
      </c>
      <c r="G1206" t="str">
        <f t="shared" si="353"/>
        <v>0</v>
      </c>
      <c r="H1206">
        <f>'906MP'!Y906</f>
        <v>0</v>
      </c>
      <c r="I1206">
        <f>'906MP'!AK906</f>
        <v>0</v>
      </c>
      <c r="J1206">
        <f>'906MP'!T906</f>
        <v>0</v>
      </c>
      <c r="K1206">
        <f>'906MP'!AJ906</f>
        <v>0</v>
      </c>
      <c r="L1206">
        <f>'906MP'!U906</f>
        <v>0</v>
      </c>
      <c r="M1206" s="322" t="str">
        <f>IFERROR(VLOOKUP(A1206,PAR!$D$3:$E$53,2,FALSE),"nincs szervezet")</f>
        <v>nincs szervezet</v>
      </c>
      <c r="N1206" s="322" t="str">
        <f>VLOOKUP(F1206,PAR!$R$3:$S$5,2,FALSE)</f>
        <v>3 - egyik sem</v>
      </c>
      <c r="O1206" t="str">
        <f>IFERROR(VLOOKUP(J1206,PAR!$O$3:$P$5,2,FALSE),"nincs feladat")</f>
        <v>nincs feladat</v>
      </c>
      <c r="P1206" t="str">
        <f>IFERROR(VLOOKUP(G1206,PAR!$J$2:$M$19,4),"nincs rovat")</f>
        <v>nincs rovat</v>
      </c>
      <c r="Q1206" t="str">
        <f>IF(H1206&gt;0,VLOOKUP(H1206,PAR!$AA$3:$AC$187,3,FALSE),"nincs főkönyvi számla")</f>
        <v>nincs főkönyvi számla</v>
      </c>
      <c r="R1206" t="str">
        <f>IFERROR(VLOOKUP(K1206,PAR!$V$3:$X$438,3,FALSE),"000000 - Nincs COFOG")</f>
        <v>000000 - Nincs COFOG</v>
      </c>
      <c r="S1206">
        <f t="shared" si="354"/>
        <v>0</v>
      </c>
      <c r="T1206">
        <f t="shared" si="355"/>
        <v>0</v>
      </c>
      <c r="U1206" t="str">
        <f>IF('906MP'!J906&gt;0,CONCATENATE('906MP'!J906," - ",'906MP'!P906,", ",'906MP'!E906),"nincs megjegyzés")</f>
        <v>nincs megjegyzés</v>
      </c>
      <c r="V1206" t="str">
        <f t="shared" si="342"/>
        <v>0P0</v>
      </c>
      <c r="W1206" t="str">
        <f t="shared" si="343"/>
        <v>0P0</v>
      </c>
      <c r="X1206" t="str">
        <f t="shared" si="344"/>
        <v>P0</v>
      </c>
      <c r="Y1206" t="str">
        <f t="shared" si="345"/>
        <v>00</v>
      </c>
      <c r="Z1206" t="str">
        <f t="shared" si="356"/>
        <v>00</v>
      </c>
      <c r="AA1206" t="str">
        <f t="shared" si="346"/>
        <v>00</v>
      </c>
      <c r="AB1206" t="str">
        <f t="shared" si="347"/>
        <v>00</v>
      </c>
      <c r="AC1206" t="str">
        <f t="shared" si="348"/>
        <v>0P0</v>
      </c>
      <c r="AD1206" t="str">
        <f t="shared" si="349"/>
        <v>P00</v>
      </c>
      <c r="AE1206" t="str">
        <f t="shared" si="350"/>
        <v>0P0</v>
      </c>
      <c r="AF1206" t="str">
        <f t="shared" si="351"/>
        <v>P00</v>
      </c>
      <c r="AG1206" t="str">
        <f t="shared" si="357"/>
        <v>0P00</v>
      </c>
      <c r="AH1206" t="str">
        <f t="shared" si="358"/>
        <v>P000</v>
      </c>
      <c r="AI1206" t="str">
        <f t="shared" si="359"/>
        <v>0P00</v>
      </c>
      <c r="AJ1206" t="str">
        <f t="shared" si="360"/>
        <v>P000</v>
      </c>
    </row>
    <row r="1207" spans="1:36" x14ac:dyDescent="0.25">
      <c r="A1207" s="325" t="str">
        <f>CONCATENATE("P",'906MP'!M907)</f>
        <v>P</v>
      </c>
      <c r="B1207">
        <f>'906MP'!H907</f>
        <v>0</v>
      </c>
      <c r="C1207">
        <f>'906MP'!J907</f>
        <v>0</v>
      </c>
      <c r="D1207">
        <f>'906MP'!P907</f>
        <v>0</v>
      </c>
      <c r="E1207">
        <f>'906MP'!X907</f>
        <v>0</v>
      </c>
      <c r="F1207" t="str">
        <f t="shared" si="352"/>
        <v>0</v>
      </c>
      <c r="G1207" t="str">
        <f t="shared" si="353"/>
        <v>0</v>
      </c>
      <c r="H1207">
        <f>'906MP'!Y907</f>
        <v>0</v>
      </c>
      <c r="I1207">
        <f>'906MP'!AK907</f>
        <v>0</v>
      </c>
      <c r="J1207">
        <f>'906MP'!T907</f>
        <v>0</v>
      </c>
      <c r="K1207">
        <f>'906MP'!AJ907</f>
        <v>0</v>
      </c>
      <c r="L1207">
        <f>'906MP'!U907</f>
        <v>0</v>
      </c>
      <c r="M1207" s="322" t="str">
        <f>IFERROR(VLOOKUP(A1207,PAR!$D$3:$E$53,2,FALSE),"nincs szervezet")</f>
        <v>nincs szervezet</v>
      </c>
      <c r="N1207" s="322" t="str">
        <f>VLOOKUP(F1207,PAR!$R$3:$S$5,2,FALSE)</f>
        <v>3 - egyik sem</v>
      </c>
      <c r="O1207" t="str">
        <f>IFERROR(VLOOKUP(J1207,PAR!$O$3:$P$5,2,FALSE),"nincs feladat")</f>
        <v>nincs feladat</v>
      </c>
      <c r="P1207" t="str">
        <f>IFERROR(VLOOKUP(G1207,PAR!$J$2:$M$19,4),"nincs rovat")</f>
        <v>nincs rovat</v>
      </c>
      <c r="Q1207" t="str">
        <f>IF(H1207&gt;0,VLOOKUP(H1207,PAR!$AA$3:$AC$187,3,FALSE),"nincs főkönyvi számla")</f>
        <v>nincs főkönyvi számla</v>
      </c>
      <c r="R1207" t="str">
        <f>IFERROR(VLOOKUP(K1207,PAR!$V$3:$X$438,3,FALSE),"000000 - Nincs COFOG")</f>
        <v>000000 - Nincs COFOG</v>
      </c>
      <c r="S1207">
        <f t="shared" si="354"/>
        <v>0</v>
      </c>
      <c r="T1207">
        <f t="shared" si="355"/>
        <v>0</v>
      </c>
      <c r="U1207" t="str">
        <f>IF('906MP'!J907&gt;0,CONCATENATE('906MP'!J907," - ",'906MP'!P907,", ",'906MP'!E907),"nincs megjegyzés")</f>
        <v>nincs megjegyzés</v>
      </c>
      <c r="V1207" t="str">
        <f t="shared" si="342"/>
        <v>0P0</v>
      </c>
      <c r="W1207" t="str">
        <f t="shared" si="343"/>
        <v>0P0</v>
      </c>
      <c r="X1207" t="str">
        <f t="shared" si="344"/>
        <v>P0</v>
      </c>
      <c r="Y1207" t="str">
        <f t="shared" si="345"/>
        <v>00</v>
      </c>
      <c r="Z1207" t="str">
        <f t="shared" si="356"/>
        <v>00</v>
      </c>
      <c r="AA1207" t="str">
        <f t="shared" si="346"/>
        <v>00</v>
      </c>
      <c r="AB1207" t="str">
        <f t="shared" si="347"/>
        <v>00</v>
      </c>
      <c r="AC1207" t="str">
        <f t="shared" si="348"/>
        <v>0P0</v>
      </c>
      <c r="AD1207" t="str">
        <f t="shared" si="349"/>
        <v>P00</v>
      </c>
      <c r="AE1207" t="str">
        <f t="shared" si="350"/>
        <v>0P0</v>
      </c>
      <c r="AF1207" t="str">
        <f t="shared" si="351"/>
        <v>P00</v>
      </c>
      <c r="AG1207" t="str">
        <f t="shared" si="357"/>
        <v>0P00</v>
      </c>
      <c r="AH1207" t="str">
        <f t="shared" si="358"/>
        <v>P000</v>
      </c>
      <c r="AI1207" t="str">
        <f t="shared" si="359"/>
        <v>0P00</v>
      </c>
      <c r="AJ1207" t="str">
        <f t="shared" si="360"/>
        <v>P000</v>
      </c>
    </row>
    <row r="1208" spans="1:36" x14ac:dyDescent="0.25">
      <c r="A1208" s="325" t="str">
        <f>CONCATENATE("P",'906MP'!M908)</f>
        <v>P</v>
      </c>
      <c r="B1208">
        <f>'906MP'!H908</f>
        <v>0</v>
      </c>
      <c r="C1208">
        <f>'906MP'!J908</f>
        <v>0</v>
      </c>
      <c r="D1208">
        <f>'906MP'!P908</f>
        <v>0</v>
      </c>
      <c r="E1208">
        <f>'906MP'!X908</f>
        <v>0</v>
      </c>
      <c r="F1208" t="str">
        <f t="shared" si="352"/>
        <v>0</v>
      </c>
      <c r="G1208" t="str">
        <f t="shared" si="353"/>
        <v>0</v>
      </c>
      <c r="H1208">
        <f>'906MP'!Y908</f>
        <v>0</v>
      </c>
      <c r="I1208">
        <f>'906MP'!AK908</f>
        <v>0</v>
      </c>
      <c r="J1208">
        <f>'906MP'!T908</f>
        <v>0</v>
      </c>
      <c r="K1208">
        <f>'906MP'!AJ908</f>
        <v>0</v>
      </c>
      <c r="L1208">
        <f>'906MP'!U908</f>
        <v>0</v>
      </c>
      <c r="M1208" s="322" t="str">
        <f>IFERROR(VLOOKUP(A1208,PAR!$D$3:$E$53,2,FALSE),"nincs szervezet")</f>
        <v>nincs szervezet</v>
      </c>
      <c r="N1208" s="322" t="str">
        <f>VLOOKUP(F1208,PAR!$R$3:$S$5,2,FALSE)</f>
        <v>3 - egyik sem</v>
      </c>
      <c r="O1208" t="str">
        <f>IFERROR(VLOOKUP(J1208,PAR!$O$3:$P$5,2,FALSE),"nincs feladat")</f>
        <v>nincs feladat</v>
      </c>
      <c r="P1208" t="str">
        <f>IFERROR(VLOOKUP(G1208,PAR!$J$2:$M$19,4),"nincs rovat")</f>
        <v>nincs rovat</v>
      </c>
      <c r="Q1208" t="str">
        <f>IF(H1208&gt;0,VLOOKUP(H1208,PAR!$AA$3:$AC$187,3,FALSE),"nincs főkönyvi számla")</f>
        <v>nincs főkönyvi számla</v>
      </c>
      <c r="R1208" t="str">
        <f>IFERROR(VLOOKUP(K1208,PAR!$V$3:$X$438,3,FALSE),"000000 - Nincs COFOG")</f>
        <v>000000 - Nincs COFOG</v>
      </c>
      <c r="S1208">
        <f t="shared" si="354"/>
        <v>0</v>
      </c>
      <c r="T1208">
        <f t="shared" si="355"/>
        <v>0</v>
      </c>
      <c r="U1208" t="str">
        <f>IF('906MP'!J908&gt;0,CONCATENATE('906MP'!J908," - ",'906MP'!P908,", ",'906MP'!E908),"nincs megjegyzés")</f>
        <v>nincs megjegyzés</v>
      </c>
      <c r="V1208" t="str">
        <f t="shared" si="342"/>
        <v>0P0</v>
      </c>
      <c r="W1208" t="str">
        <f t="shared" si="343"/>
        <v>0P0</v>
      </c>
      <c r="X1208" t="str">
        <f t="shared" si="344"/>
        <v>P0</v>
      </c>
      <c r="Y1208" t="str">
        <f t="shared" si="345"/>
        <v>00</v>
      </c>
      <c r="Z1208" t="str">
        <f t="shared" si="356"/>
        <v>00</v>
      </c>
      <c r="AA1208" t="str">
        <f t="shared" si="346"/>
        <v>00</v>
      </c>
      <c r="AB1208" t="str">
        <f t="shared" si="347"/>
        <v>00</v>
      </c>
      <c r="AC1208" t="str">
        <f t="shared" si="348"/>
        <v>0P0</v>
      </c>
      <c r="AD1208" t="str">
        <f t="shared" si="349"/>
        <v>P00</v>
      </c>
      <c r="AE1208" t="str">
        <f t="shared" si="350"/>
        <v>0P0</v>
      </c>
      <c r="AF1208" t="str">
        <f t="shared" si="351"/>
        <v>P00</v>
      </c>
      <c r="AG1208" t="str">
        <f t="shared" si="357"/>
        <v>0P00</v>
      </c>
      <c r="AH1208" t="str">
        <f t="shared" si="358"/>
        <v>P000</v>
      </c>
      <c r="AI1208" t="str">
        <f t="shared" si="359"/>
        <v>0P00</v>
      </c>
      <c r="AJ1208" t="str">
        <f t="shared" si="360"/>
        <v>P000</v>
      </c>
    </row>
    <row r="1209" spans="1:36" x14ac:dyDescent="0.25">
      <c r="A1209" s="325" t="str">
        <f>CONCATENATE("P",'906MP'!M909)</f>
        <v>P</v>
      </c>
      <c r="B1209">
        <f>'906MP'!H909</f>
        <v>0</v>
      </c>
      <c r="C1209">
        <f>'906MP'!J909</f>
        <v>0</v>
      </c>
      <c r="D1209">
        <f>'906MP'!P909</f>
        <v>0</v>
      </c>
      <c r="E1209">
        <f>'906MP'!X909</f>
        <v>0</v>
      </c>
      <c r="F1209" t="str">
        <f t="shared" si="352"/>
        <v>0</v>
      </c>
      <c r="G1209" t="str">
        <f t="shared" si="353"/>
        <v>0</v>
      </c>
      <c r="H1209">
        <f>'906MP'!Y909</f>
        <v>0</v>
      </c>
      <c r="I1209">
        <f>'906MP'!AK909</f>
        <v>0</v>
      </c>
      <c r="J1209">
        <f>'906MP'!T909</f>
        <v>0</v>
      </c>
      <c r="K1209">
        <f>'906MP'!AJ909</f>
        <v>0</v>
      </c>
      <c r="L1209">
        <f>'906MP'!U909</f>
        <v>0</v>
      </c>
      <c r="M1209" s="322" t="str">
        <f>IFERROR(VLOOKUP(A1209,PAR!$D$3:$E$53,2,FALSE),"nincs szervezet")</f>
        <v>nincs szervezet</v>
      </c>
      <c r="N1209" s="322" t="str">
        <f>VLOOKUP(F1209,PAR!$R$3:$S$5,2,FALSE)</f>
        <v>3 - egyik sem</v>
      </c>
      <c r="O1209" t="str">
        <f>IFERROR(VLOOKUP(J1209,PAR!$O$3:$P$5,2,FALSE),"nincs feladat")</f>
        <v>nincs feladat</v>
      </c>
      <c r="P1209" t="str">
        <f>IFERROR(VLOOKUP(G1209,PAR!$J$2:$M$19,4),"nincs rovat")</f>
        <v>nincs rovat</v>
      </c>
      <c r="Q1209" t="str">
        <f>IF(H1209&gt;0,VLOOKUP(H1209,PAR!$AA$3:$AC$187,3,FALSE),"nincs főkönyvi számla")</f>
        <v>nincs főkönyvi számla</v>
      </c>
      <c r="R1209" t="str">
        <f>IFERROR(VLOOKUP(K1209,PAR!$V$3:$X$438,3,FALSE),"000000 - Nincs COFOG")</f>
        <v>000000 - Nincs COFOG</v>
      </c>
      <c r="S1209">
        <f t="shared" si="354"/>
        <v>0</v>
      </c>
      <c r="T1209">
        <f t="shared" si="355"/>
        <v>0</v>
      </c>
      <c r="U1209" t="str">
        <f>IF('906MP'!J909&gt;0,CONCATENATE('906MP'!J909," - ",'906MP'!P909,", ",'906MP'!E909),"nincs megjegyzés")</f>
        <v>nincs megjegyzés</v>
      </c>
      <c r="V1209" t="str">
        <f t="shared" si="342"/>
        <v>0P0</v>
      </c>
      <c r="W1209" t="str">
        <f t="shared" si="343"/>
        <v>0P0</v>
      </c>
      <c r="X1209" t="str">
        <f t="shared" si="344"/>
        <v>P0</v>
      </c>
      <c r="Y1209" t="str">
        <f t="shared" si="345"/>
        <v>00</v>
      </c>
      <c r="Z1209" t="str">
        <f t="shared" si="356"/>
        <v>00</v>
      </c>
      <c r="AA1209" t="str">
        <f t="shared" si="346"/>
        <v>00</v>
      </c>
      <c r="AB1209" t="str">
        <f t="shared" si="347"/>
        <v>00</v>
      </c>
      <c r="AC1209" t="str">
        <f t="shared" si="348"/>
        <v>0P0</v>
      </c>
      <c r="AD1209" t="str">
        <f t="shared" si="349"/>
        <v>P00</v>
      </c>
      <c r="AE1209" t="str">
        <f t="shared" si="350"/>
        <v>0P0</v>
      </c>
      <c r="AF1209" t="str">
        <f t="shared" si="351"/>
        <v>P00</v>
      </c>
      <c r="AG1209" t="str">
        <f t="shared" si="357"/>
        <v>0P00</v>
      </c>
      <c r="AH1209" t="str">
        <f t="shared" si="358"/>
        <v>P000</v>
      </c>
      <c r="AI1209" t="str">
        <f t="shared" si="359"/>
        <v>0P00</v>
      </c>
      <c r="AJ1209" t="str">
        <f t="shared" si="360"/>
        <v>P000</v>
      </c>
    </row>
    <row r="1210" spans="1:36" x14ac:dyDescent="0.25">
      <c r="A1210" s="325" t="str">
        <f>CONCATENATE("P",'906MP'!M910)</f>
        <v>P</v>
      </c>
      <c r="B1210">
        <f>'906MP'!H910</f>
        <v>0</v>
      </c>
      <c r="C1210">
        <f>'906MP'!J910</f>
        <v>0</v>
      </c>
      <c r="D1210">
        <f>'906MP'!P910</f>
        <v>0</v>
      </c>
      <c r="E1210">
        <f>'906MP'!X910</f>
        <v>0</v>
      </c>
      <c r="F1210" t="str">
        <f t="shared" si="352"/>
        <v>0</v>
      </c>
      <c r="G1210" t="str">
        <f t="shared" si="353"/>
        <v>0</v>
      </c>
      <c r="H1210">
        <f>'906MP'!Y910</f>
        <v>0</v>
      </c>
      <c r="I1210">
        <f>'906MP'!AK910</f>
        <v>0</v>
      </c>
      <c r="J1210">
        <f>'906MP'!T910</f>
        <v>0</v>
      </c>
      <c r="K1210">
        <f>'906MP'!AJ910</f>
        <v>0</v>
      </c>
      <c r="L1210">
        <f>'906MP'!U910</f>
        <v>0</v>
      </c>
      <c r="M1210" s="322" t="str">
        <f>IFERROR(VLOOKUP(A1210,PAR!$D$3:$E$53,2,FALSE),"nincs szervezet")</f>
        <v>nincs szervezet</v>
      </c>
      <c r="N1210" s="322" t="str">
        <f>VLOOKUP(F1210,PAR!$R$3:$S$5,2,FALSE)</f>
        <v>3 - egyik sem</v>
      </c>
      <c r="O1210" t="str">
        <f>IFERROR(VLOOKUP(J1210,PAR!$O$3:$P$5,2,FALSE),"nincs feladat")</f>
        <v>nincs feladat</v>
      </c>
      <c r="P1210" t="str">
        <f>IFERROR(VLOOKUP(G1210,PAR!$J$2:$M$19,4),"nincs rovat")</f>
        <v>nincs rovat</v>
      </c>
      <c r="Q1210" t="str">
        <f>IF(H1210&gt;0,VLOOKUP(H1210,PAR!$AA$3:$AC$187,3,FALSE),"nincs főkönyvi számla")</f>
        <v>nincs főkönyvi számla</v>
      </c>
      <c r="R1210" t="str">
        <f>IFERROR(VLOOKUP(K1210,PAR!$V$3:$X$438,3,FALSE),"000000 - Nincs COFOG")</f>
        <v>000000 - Nincs COFOG</v>
      </c>
      <c r="S1210">
        <f t="shared" si="354"/>
        <v>0</v>
      </c>
      <c r="T1210">
        <f t="shared" si="355"/>
        <v>0</v>
      </c>
      <c r="U1210" t="str">
        <f>IF('906MP'!J910&gt;0,CONCATENATE('906MP'!J910," - ",'906MP'!P910,", ",'906MP'!E910),"nincs megjegyzés")</f>
        <v>nincs megjegyzés</v>
      </c>
      <c r="V1210" t="str">
        <f t="shared" si="342"/>
        <v>0P0</v>
      </c>
      <c r="W1210" t="str">
        <f t="shared" si="343"/>
        <v>0P0</v>
      </c>
      <c r="X1210" t="str">
        <f t="shared" si="344"/>
        <v>P0</v>
      </c>
      <c r="Y1210" t="str">
        <f t="shared" si="345"/>
        <v>00</v>
      </c>
      <c r="Z1210" t="str">
        <f t="shared" si="356"/>
        <v>00</v>
      </c>
      <c r="AA1210" t="str">
        <f t="shared" si="346"/>
        <v>00</v>
      </c>
      <c r="AB1210" t="str">
        <f t="shared" si="347"/>
        <v>00</v>
      </c>
      <c r="AC1210" t="str">
        <f t="shared" si="348"/>
        <v>0P0</v>
      </c>
      <c r="AD1210" t="str">
        <f t="shared" si="349"/>
        <v>P00</v>
      </c>
      <c r="AE1210" t="str">
        <f t="shared" si="350"/>
        <v>0P0</v>
      </c>
      <c r="AF1210" t="str">
        <f t="shared" si="351"/>
        <v>P00</v>
      </c>
      <c r="AG1210" t="str">
        <f t="shared" si="357"/>
        <v>0P00</v>
      </c>
      <c r="AH1210" t="str">
        <f t="shared" si="358"/>
        <v>P000</v>
      </c>
      <c r="AI1210" t="str">
        <f t="shared" si="359"/>
        <v>0P00</v>
      </c>
      <c r="AJ1210" t="str">
        <f t="shared" si="360"/>
        <v>P000</v>
      </c>
    </row>
    <row r="1211" spans="1:36" x14ac:dyDescent="0.25">
      <c r="A1211" s="325" t="str">
        <f>CONCATENATE("P",'906MP'!M911)</f>
        <v>P</v>
      </c>
      <c r="B1211">
        <f>'906MP'!H911</f>
        <v>0</v>
      </c>
      <c r="C1211">
        <f>'906MP'!J911</f>
        <v>0</v>
      </c>
      <c r="D1211">
        <f>'906MP'!P911</f>
        <v>0</v>
      </c>
      <c r="E1211">
        <f>'906MP'!X911</f>
        <v>0</v>
      </c>
      <c r="F1211" t="str">
        <f t="shared" si="352"/>
        <v>0</v>
      </c>
      <c r="G1211" t="str">
        <f t="shared" si="353"/>
        <v>0</v>
      </c>
      <c r="H1211">
        <f>'906MP'!Y911</f>
        <v>0</v>
      </c>
      <c r="I1211">
        <f>'906MP'!AK911</f>
        <v>0</v>
      </c>
      <c r="J1211">
        <f>'906MP'!T911</f>
        <v>0</v>
      </c>
      <c r="K1211">
        <f>'906MP'!AJ911</f>
        <v>0</v>
      </c>
      <c r="L1211">
        <f>'906MP'!U911</f>
        <v>0</v>
      </c>
      <c r="M1211" s="322" t="str">
        <f>IFERROR(VLOOKUP(A1211,PAR!$D$3:$E$53,2,FALSE),"nincs szervezet")</f>
        <v>nincs szervezet</v>
      </c>
      <c r="N1211" s="322" t="str">
        <f>VLOOKUP(F1211,PAR!$R$3:$S$5,2,FALSE)</f>
        <v>3 - egyik sem</v>
      </c>
      <c r="O1211" t="str">
        <f>IFERROR(VLOOKUP(J1211,PAR!$O$3:$P$5,2,FALSE),"nincs feladat")</f>
        <v>nincs feladat</v>
      </c>
      <c r="P1211" t="str">
        <f>IFERROR(VLOOKUP(G1211,PAR!$J$2:$M$19,4),"nincs rovat")</f>
        <v>nincs rovat</v>
      </c>
      <c r="Q1211" t="str">
        <f>IF(H1211&gt;0,VLOOKUP(H1211,PAR!$AA$3:$AC$187,3,FALSE),"nincs főkönyvi számla")</f>
        <v>nincs főkönyvi számla</v>
      </c>
      <c r="R1211" t="str">
        <f>IFERROR(VLOOKUP(K1211,PAR!$V$3:$X$438,3,FALSE),"000000 - Nincs COFOG")</f>
        <v>000000 - Nincs COFOG</v>
      </c>
      <c r="S1211">
        <f t="shared" si="354"/>
        <v>0</v>
      </c>
      <c r="T1211">
        <f t="shared" si="355"/>
        <v>0</v>
      </c>
      <c r="U1211" t="str">
        <f>IF('906MP'!J911&gt;0,CONCATENATE('906MP'!J911," - ",'906MP'!P911,", ",'906MP'!E911),"nincs megjegyzés")</f>
        <v>nincs megjegyzés</v>
      </c>
      <c r="V1211" t="str">
        <f t="shared" si="342"/>
        <v>0P0</v>
      </c>
      <c r="W1211" t="str">
        <f t="shared" si="343"/>
        <v>0P0</v>
      </c>
      <c r="X1211" t="str">
        <f t="shared" si="344"/>
        <v>P0</v>
      </c>
      <c r="Y1211" t="str">
        <f t="shared" si="345"/>
        <v>00</v>
      </c>
      <c r="Z1211" t="str">
        <f t="shared" si="356"/>
        <v>00</v>
      </c>
      <c r="AA1211" t="str">
        <f t="shared" si="346"/>
        <v>00</v>
      </c>
      <c r="AB1211" t="str">
        <f t="shared" si="347"/>
        <v>00</v>
      </c>
      <c r="AC1211" t="str">
        <f t="shared" si="348"/>
        <v>0P0</v>
      </c>
      <c r="AD1211" t="str">
        <f t="shared" si="349"/>
        <v>P00</v>
      </c>
      <c r="AE1211" t="str">
        <f t="shared" si="350"/>
        <v>0P0</v>
      </c>
      <c r="AF1211" t="str">
        <f t="shared" si="351"/>
        <v>P00</v>
      </c>
      <c r="AG1211" t="str">
        <f t="shared" si="357"/>
        <v>0P00</v>
      </c>
      <c r="AH1211" t="str">
        <f t="shared" si="358"/>
        <v>P000</v>
      </c>
      <c r="AI1211" t="str">
        <f t="shared" si="359"/>
        <v>0P00</v>
      </c>
      <c r="AJ1211" t="str">
        <f t="shared" si="360"/>
        <v>P000</v>
      </c>
    </row>
    <row r="1212" spans="1:36" x14ac:dyDescent="0.25">
      <c r="A1212" s="325" t="str">
        <f>CONCATENATE("P",'906MP'!M912)</f>
        <v>P</v>
      </c>
      <c r="B1212">
        <f>'906MP'!H912</f>
        <v>0</v>
      </c>
      <c r="C1212">
        <f>'906MP'!J912</f>
        <v>0</v>
      </c>
      <c r="D1212">
        <f>'906MP'!P912</f>
        <v>0</v>
      </c>
      <c r="E1212">
        <f>'906MP'!X912</f>
        <v>0</v>
      </c>
      <c r="F1212" t="str">
        <f t="shared" si="352"/>
        <v>0</v>
      </c>
      <c r="G1212" t="str">
        <f t="shared" si="353"/>
        <v>0</v>
      </c>
      <c r="H1212">
        <f>'906MP'!Y912</f>
        <v>0</v>
      </c>
      <c r="I1212">
        <f>'906MP'!AK912</f>
        <v>0</v>
      </c>
      <c r="J1212">
        <f>'906MP'!T912</f>
        <v>0</v>
      </c>
      <c r="K1212">
        <f>'906MP'!AJ912</f>
        <v>0</v>
      </c>
      <c r="L1212">
        <f>'906MP'!U912</f>
        <v>0</v>
      </c>
      <c r="M1212" s="322" t="str">
        <f>IFERROR(VLOOKUP(A1212,PAR!$D$3:$E$53,2,FALSE),"nincs szervezet")</f>
        <v>nincs szervezet</v>
      </c>
      <c r="N1212" s="322" t="str">
        <f>VLOOKUP(F1212,PAR!$R$3:$S$5,2,FALSE)</f>
        <v>3 - egyik sem</v>
      </c>
      <c r="O1212" t="str">
        <f>IFERROR(VLOOKUP(J1212,PAR!$O$3:$P$5,2,FALSE),"nincs feladat")</f>
        <v>nincs feladat</v>
      </c>
      <c r="P1212" t="str">
        <f>IFERROR(VLOOKUP(G1212,PAR!$J$2:$M$19,4),"nincs rovat")</f>
        <v>nincs rovat</v>
      </c>
      <c r="Q1212" t="str">
        <f>IF(H1212&gt;0,VLOOKUP(H1212,PAR!$AA$3:$AC$187,3,FALSE),"nincs főkönyvi számla")</f>
        <v>nincs főkönyvi számla</v>
      </c>
      <c r="R1212" t="str">
        <f>IFERROR(VLOOKUP(K1212,PAR!$V$3:$X$438,3,FALSE),"000000 - Nincs COFOG")</f>
        <v>000000 - Nincs COFOG</v>
      </c>
      <c r="S1212">
        <f t="shared" si="354"/>
        <v>0</v>
      </c>
      <c r="T1212">
        <f t="shared" si="355"/>
        <v>0</v>
      </c>
      <c r="U1212" t="str">
        <f>IF('906MP'!J912&gt;0,CONCATENATE('906MP'!J912," - ",'906MP'!P912,", ",'906MP'!E912),"nincs megjegyzés")</f>
        <v>nincs megjegyzés</v>
      </c>
      <c r="V1212" t="str">
        <f t="shared" si="342"/>
        <v>0P0</v>
      </c>
      <c r="W1212" t="str">
        <f t="shared" si="343"/>
        <v>0P0</v>
      </c>
      <c r="X1212" t="str">
        <f t="shared" si="344"/>
        <v>P0</v>
      </c>
      <c r="Y1212" t="str">
        <f t="shared" si="345"/>
        <v>00</v>
      </c>
      <c r="Z1212" t="str">
        <f t="shared" si="356"/>
        <v>00</v>
      </c>
      <c r="AA1212" t="str">
        <f t="shared" si="346"/>
        <v>00</v>
      </c>
      <c r="AB1212" t="str">
        <f t="shared" si="347"/>
        <v>00</v>
      </c>
      <c r="AC1212" t="str">
        <f t="shared" si="348"/>
        <v>0P0</v>
      </c>
      <c r="AD1212" t="str">
        <f t="shared" si="349"/>
        <v>P00</v>
      </c>
      <c r="AE1212" t="str">
        <f t="shared" si="350"/>
        <v>0P0</v>
      </c>
      <c r="AF1212" t="str">
        <f t="shared" si="351"/>
        <v>P00</v>
      </c>
      <c r="AG1212" t="str">
        <f t="shared" si="357"/>
        <v>0P00</v>
      </c>
      <c r="AH1212" t="str">
        <f t="shared" si="358"/>
        <v>P000</v>
      </c>
      <c r="AI1212" t="str">
        <f t="shared" si="359"/>
        <v>0P00</v>
      </c>
      <c r="AJ1212" t="str">
        <f t="shared" si="360"/>
        <v>P000</v>
      </c>
    </row>
    <row r="1213" spans="1:36" x14ac:dyDescent="0.25">
      <c r="A1213" s="325" t="str">
        <f>CONCATENATE("P",'906MP'!M913)</f>
        <v>P</v>
      </c>
      <c r="B1213">
        <f>'906MP'!H913</f>
        <v>0</v>
      </c>
      <c r="C1213">
        <f>'906MP'!J913</f>
        <v>0</v>
      </c>
      <c r="D1213">
        <f>'906MP'!P913</f>
        <v>0</v>
      </c>
      <c r="E1213">
        <f>'906MP'!X913</f>
        <v>0</v>
      </c>
      <c r="F1213" t="str">
        <f t="shared" si="352"/>
        <v>0</v>
      </c>
      <c r="G1213" t="str">
        <f t="shared" si="353"/>
        <v>0</v>
      </c>
      <c r="H1213">
        <f>'906MP'!Y913</f>
        <v>0</v>
      </c>
      <c r="I1213">
        <f>'906MP'!AK913</f>
        <v>0</v>
      </c>
      <c r="J1213">
        <f>'906MP'!T913</f>
        <v>0</v>
      </c>
      <c r="K1213">
        <f>'906MP'!AJ913</f>
        <v>0</v>
      </c>
      <c r="L1213">
        <f>'906MP'!U913</f>
        <v>0</v>
      </c>
      <c r="M1213" s="322" t="str">
        <f>IFERROR(VLOOKUP(A1213,PAR!$D$3:$E$53,2,FALSE),"nincs szervezet")</f>
        <v>nincs szervezet</v>
      </c>
      <c r="N1213" s="322" t="str">
        <f>VLOOKUP(F1213,PAR!$R$3:$S$5,2,FALSE)</f>
        <v>3 - egyik sem</v>
      </c>
      <c r="O1213" t="str">
        <f>IFERROR(VLOOKUP(J1213,PAR!$O$3:$P$5,2,FALSE),"nincs feladat")</f>
        <v>nincs feladat</v>
      </c>
      <c r="P1213" t="str">
        <f>IFERROR(VLOOKUP(G1213,PAR!$J$2:$M$19,4),"nincs rovat")</f>
        <v>nincs rovat</v>
      </c>
      <c r="Q1213" t="str">
        <f>IF(H1213&gt;0,VLOOKUP(H1213,PAR!$AA$3:$AC$187,3,FALSE),"nincs főkönyvi számla")</f>
        <v>nincs főkönyvi számla</v>
      </c>
      <c r="R1213" t="str">
        <f>IFERROR(VLOOKUP(K1213,PAR!$V$3:$X$438,3,FALSE),"000000 - Nincs COFOG")</f>
        <v>000000 - Nincs COFOG</v>
      </c>
      <c r="S1213">
        <f t="shared" si="354"/>
        <v>0</v>
      </c>
      <c r="T1213">
        <f t="shared" si="355"/>
        <v>0</v>
      </c>
      <c r="U1213" t="str">
        <f>IF('906MP'!J913&gt;0,CONCATENATE('906MP'!J913," - ",'906MP'!P913,", ",'906MP'!E913),"nincs megjegyzés")</f>
        <v>nincs megjegyzés</v>
      </c>
      <c r="V1213" t="str">
        <f t="shared" si="342"/>
        <v>0P0</v>
      </c>
      <c r="W1213" t="str">
        <f t="shared" si="343"/>
        <v>0P0</v>
      </c>
      <c r="X1213" t="str">
        <f t="shared" si="344"/>
        <v>P0</v>
      </c>
      <c r="Y1213" t="str">
        <f t="shared" si="345"/>
        <v>00</v>
      </c>
      <c r="Z1213" t="str">
        <f t="shared" si="356"/>
        <v>00</v>
      </c>
      <c r="AA1213" t="str">
        <f t="shared" si="346"/>
        <v>00</v>
      </c>
      <c r="AB1213" t="str">
        <f t="shared" si="347"/>
        <v>00</v>
      </c>
      <c r="AC1213" t="str">
        <f t="shared" si="348"/>
        <v>0P0</v>
      </c>
      <c r="AD1213" t="str">
        <f t="shared" si="349"/>
        <v>P00</v>
      </c>
      <c r="AE1213" t="str">
        <f t="shared" si="350"/>
        <v>0P0</v>
      </c>
      <c r="AF1213" t="str">
        <f t="shared" si="351"/>
        <v>P00</v>
      </c>
      <c r="AG1213" t="str">
        <f t="shared" si="357"/>
        <v>0P00</v>
      </c>
      <c r="AH1213" t="str">
        <f t="shared" si="358"/>
        <v>P000</v>
      </c>
      <c r="AI1213" t="str">
        <f t="shared" si="359"/>
        <v>0P00</v>
      </c>
      <c r="AJ1213" t="str">
        <f t="shared" si="360"/>
        <v>P000</v>
      </c>
    </row>
    <row r="1214" spans="1:36" x14ac:dyDescent="0.25">
      <c r="A1214" s="325" t="str">
        <f>CONCATENATE("P",'906MP'!M914)</f>
        <v>P</v>
      </c>
      <c r="B1214">
        <f>'906MP'!H914</f>
        <v>0</v>
      </c>
      <c r="C1214">
        <f>'906MP'!J914</f>
        <v>0</v>
      </c>
      <c r="D1214">
        <f>'906MP'!P914</f>
        <v>0</v>
      </c>
      <c r="E1214">
        <f>'906MP'!X914</f>
        <v>0</v>
      </c>
      <c r="F1214" t="str">
        <f t="shared" si="352"/>
        <v>0</v>
      </c>
      <c r="G1214" t="str">
        <f t="shared" si="353"/>
        <v>0</v>
      </c>
      <c r="H1214">
        <f>'906MP'!Y914</f>
        <v>0</v>
      </c>
      <c r="I1214">
        <f>'906MP'!AK914</f>
        <v>0</v>
      </c>
      <c r="J1214">
        <f>'906MP'!T914</f>
        <v>0</v>
      </c>
      <c r="K1214">
        <f>'906MP'!AJ914</f>
        <v>0</v>
      </c>
      <c r="L1214">
        <f>'906MP'!U914</f>
        <v>0</v>
      </c>
      <c r="M1214" s="322" t="str">
        <f>IFERROR(VLOOKUP(A1214,PAR!$D$3:$E$53,2,FALSE),"nincs szervezet")</f>
        <v>nincs szervezet</v>
      </c>
      <c r="N1214" s="322" t="str">
        <f>VLOOKUP(F1214,PAR!$R$3:$S$5,2,FALSE)</f>
        <v>3 - egyik sem</v>
      </c>
      <c r="O1214" t="str">
        <f>IFERROR(VLOOKUP(J1214,PAR!$O$3:$P$5,2,FALSE),"nincs feladat")</f>
        <v>nincs feladat</v>
      </c>
      <c r="P1214" t="str">
        <f>IFERROR(VLOOKUP(G1214,PAR!$J$2:$M$19,4),"nincs rovat")</f>
        <v>nincs rovat</v>
      </c>
      <c r="Q1214" t="str">
        <f>IF(H1214&gt;0,VLOOKUP(H1214,PAR!$AA$3:$AC$187,3,FALSE),"nincs főkönyvi számla")</f>
        <v>nincs főkönyvi számla</v>
      </c>
      <c r="R1214" t="str">
        <f>IFERROR(VLOOKUP(K1214,PAR!$V$3:$X$438,3,FALSE),"000000 - Nincs COFOG")</f>
        <v>000000 - Nincs COFOG</v>
      </c>
      <c r="S1214">
        <f t="shared" si="354"/>
        <v>0</v>
      </c>
      <c r="T1214">
        <f t="shared" si="355"/>
        <v>0</v>
      </c>
      <c r="U1214" t="str">
        <f>IF('906MP'!J914&gt;0,CONCATENATE('906MP'!J914," - ",'906MP'!P914,", ",'906MP'!E914),"nincs megjegyzés")</f>
        <v>nincs megjegyzés</v>
      </c>
      <c r="V1214" t="str">
        <f t="shared" si="342"/>
        <v>0P0</v>
      </c>
      <c r="W1214" t="str">
        <f t="shared" si="343"/>
        <v>0P0</v>
      </c>
      <c r="X1214" t="str">
        <f t="shared" si="344"/>
        <v>P0</v>
      </c>
      <c r="Y1214" t="str">
        <f t="shared" si="345"/>
        <v>00</v>
      </c>
      <c r="Z1214" t="str">
        <f t="shared" si="356"/>
        <v>00</v>
      </c>
      <c r="AA1214" t="str">
        <f t="shared" si="346"/>
        <v>00</v>
      </c>
      <c r="AB1214" t="str">
        <f t="shared" si="347"/>
        <v>00</v>
      </c>
      <c r="AC1214" t="str">
        <f t="shared" si="348"/>
        <v>0P0</v>
      </c>
      <c r="AD1214" t="str">
        <f t="shared" si="349"/>
        <v>P00</v>
      </c>
      <c r="AE1214" t="str">
        <f t="shared" si="350"/>
        <v>0P0</v>
      </c>
      <c r="AF1214" t="str">
        <f t="shared" si="351"/>
        <v>P00</v>
      </c>
      <c r="AG1214" t="str">
        <f t="shared" si="357"/>
        <v>0P00</v>
      </c>
      <c r="AH1214" t="str">
        <f t="shared" si="358"/>
        <v>P000</v>
      </c>
      <c r="AI1214" t="str">
        <f t="shared" si="359"/>
        <v>0P00</v>
      </c>
      <c r="AJ1214" t="str">
        <f t="shared" si="360"/>
        <v>P000</v>
      </c>
    </row>
    <row r="1215" spans="1:36" x14ac:dyDescent="0.25">
      <c r="A1215" s="325" t="str">
        <f>CONCATENATE("P",'906MP'!M915)</f>
        <v>P</v>
      </c>
      <c r="B1215">
        <f>'906MP'!H915</f>
        <v>0</v>
      </c>
      <c r="C1215">
        <f>'906MP'!J915</f>
        <v>0</v>
      </c>
      <c r="D1215">
        <f>'906MP'!P915</f>
        <v>0</v>
      </c>
      <c r="E1215">
        <f>'906MP'!X915</f>
        <v>0</v>
      </c>
      <c r="F1215" t="str">
        <f t="shared" si="352"/>
        <v>0</v>
      </c>
      <c r="G1215" t="str">
        <f t="shared" si="353"/>
        <v>0</v>
      </c>
      <c r="H1215">
        <f>'906MP'!Y915</f>
        <v>0</v>
      </c>
      <c r="I1215">
        <f>'906MP'!AK915</f>
        <v>0</v>
      </c>
      <c r="J1215">
        <f>'906MP'!T915</f>
        <v>0</v>
      </c>
      <c r="K1215">
        <f>'906MP'!AJ915</f>
        <v>0</v>
      </c>
      <c r="L1215">
        <f>'906MP'!U915</f>
        <v>0</v>
      </c>
      <c r="M1215" s="322" t="str">
        <f>IFERROR(VLOOKUP(A1215,PAR!$D$3:$E$53,2,FALSE),"nincs szervezet")</f>
        <v>nincs szervezet</v>
      </c>
      <c r="N1215" s="322" t="str">
        <f>VLOOKUP(F1215,PAR!$R$3:$S$5,2,FALSE)</f>
        <v>3 - egyik sem</v>
      </c>
      <c r="O1215" t="str">
        <f>IFERROR(VLOOKUP(J1215,PAR!$O$3:$P$5,2,FALSE),"nincs feladat")</f>
        <v>nincs feladat</v>
      </c>
      <c r="P1215" t="str">
        <f>IFERROR(VLOOKUP(G1215,PAR!$J$2:$M$19,4),"nincs rovat")</f>
        <v>nincs rovat</v>
      </c>
      <c r="Q1215" t="str">
        <f>IF(H1215&gt;0,VLOOKUP(H1215,PAR!$AA$3:$AC$187,3,FALSE),"nincs főkönyvi számla")</f>
        <v>nincs főkönyvi számla</v>
      </c>
      <c r="R1215" t="str">
        <f>IFERROR(VLOOKUP(K1215,PAR!$V$3:$X$438,3,FALSE),"000000 - Nincs COFOG")</f>
        <v>000000 - Nincs COFOG</v>
      </c>
      <c r="S1215">
        <f t="shared" si="354"/>
        <v>0</v>
      </c>
      <c r="T1215">
        <f t="shared" si="355"/>
        <v>0</v>
      </c>
      <c r="U1215" t="str">
        <f>IF('906MP'!J915&gt;0,CONCATENATE('906MP'!J915," - ",'906MP'!P915,", ",'906MP'!E915),"nincs megjegyzés")</f>
        <v>nincs megjegyzés</v>
      </c>
      <c r="V1215" t="str">
        <f t="shared" si="342"/>
        <v>0P0</v>
      </c>
      <c r="W1215" t="str">
        <f t="shared" si="343"/>
        <v>0P0</v>
      </c>
      <c r="X1215" t="str">
        <f t="shared" si="344"/>
        <v>P0</v>
      </c>
      <c r="Y1215" t="str">
        <f t="shared" si="345"/>
        <v>00</v>
      </c>
      <c r="Z1215" t="str">
        <f t="shared" si="356"/>
        <v>00</v>
      </c>
      <c r="AA1215" t="str">
        <f t="shared" si="346"/>
        <v>00</v>
      </c>
      <c r="AB1215" t="str">
        <f t="shared" si="347"/>
        <v>00</v>
      </c>
      <c r="AC1215" t="str">
        <f t="shared" si="348"/>
        <v>0P0</v>
      </c>
      <c r="AD1215" t="str">
        <f t="shared" si="349"/>
        <v>P00</v>
      </c>
      <c r="AE1215" t="str">
        <f t="shared" si="350"/>
        <v>0P0</v>
      </c>
      <c r="AF1215" t="str">
        <f t="shared" si="351"/>
        <v>P00</v>
      </c>
      <c r="AG1215" t="str">
        <f t="shared" si="357"/>
        <v>0P00</v>
      </c>
      <c r="AH1215" t="str">
        <f t="shared" si="358"/>
        <v>P000</v>
      </c>
      <c r="AI1215" t="str">
        <f t="shared" si="359"/>
        <v>0P00</v>
      </c>
      <c r="AJ1215" t="str">
        <f t="shared" si="360"/>
        <v>P000</v>
      </c>
    </row>
    <row r="1216" spans="1:36" x14ac:dyDescent="0.25">
      <c r="A1216" s="325" t="str">
        <f>CONCATENATE("P",'906MP'!M916)</f>
        <v>P</v>
      </c>
      <c r="B1216">
        <f>'906MP'!H916</f>
        <v>0</v>
      </c>
      <c r="C1216">
        <f>'906MP'!J916</f>
        <v>0</v>
      </c>
      <c r="D1216">
        <f>'906MP'!P916</f>
        <v>0</v>
      </c>
      <c r="E1216">
        <f>'906MP'!X916</f>
        <v>0</v>
      </c>
      <c r="F1216" t="str">
        <f t="shared" si="352"/>
        <v>0</v>
      </c>
      <c r="G1216" t="str">
        <f t="shared" si="353"/>
        <v>0</v>
      </c>
      <c r="H1216">
        <f>'906MP'!Y916</f>
        <v>0</v>
      </c>
      <c r="I1216">
        <f>'906MP'!AK916</f>
        <v>0</v>
      </c>
      <c r="J1216">
        <f>'906MP'!T916</f>
        <v>0</v>
      </c>
      <c r="K1216">
        <f>'906MP'!AJ916</f>
        <v>0</v>
      </c>
      <c r="L1216">
        <f>'906MP'!U916</f>
        <v>0</v>
      </c>
      <c r="M1216" s="322" t="str">
        <f>IFERROR(VLOOKUP(A1216,PAR!$D$3:$E$53,2,FALSE),"nincs szervezet")</f>
        <v>nincs szervezet</v>
      </c>
      <c r="N1216" s="322" t="str">
        <f>VLOOKUP(F1216,PAR!$R$3:$S$5,2,FALSE)</f>
        <v>3 - egyik sem</v>
      </c>
      <c r="O1216" t="str">
        <f>IFERROR(VLOOKUP(J1216,PAR!$O$3:$P$5,2,FALSE),"nincs feladat")</f>
        <v>nincs feladat</v>
      </c>
      <c r="P1216" t="str">
        <f>IFERROR(VLOOKUP(G1216,PAR!$J$2:$M$19,4),"nincs rovat")</f>
        <v>nincs rovat</v>
      </c>
      <c r="Q1216" t="str">
        <f>IF(H1216&gt;0,VLOOKUP(H1216,PAR!$AA$3:$AC$187,3,FALSE),"nincs főkönyvi számla")</f>
        <v>nincs főkönyvi számla</v>
      </c>
      <c r="R1216" t="str">
        <f>IFERROR(VLOOKUP(K1216,PAR!$V$3:$X$438,3,FALSE),"000000 - Nincs COFOG")</f>
        <v>000000 - Nincs COFOG</v>
      </c>
      <c r="S1216">
        <f t="shared" si="354"/>
        <v>0</v>
      </c>
      <c r="T1216">
        <f t="shared" si="355"/>
        <v>0</v>
      </c>
      <c r="U1216" t="str">
        <f>IF('906MP'!J916&gt;0,CONCATENATE('906MP'!J916," - ",'906MP'!P916,", ",'906MP'!E916),"nincs megjegyzés")</f>
        <v>nincs megjegyzés</v>
      </c>
      <c r="V1216" t="str">
        <f t="shared" si="342"/>
        <v>0P0</v>
      </c>
      <c r="W1216" t="str">
        <f t="shared" si="343"/>
        <v>0P0</v>
      </c>
      <c r="X1216" t="str">
        <f t="shared" si="344"/>
        <v>P0</v>
      </c>
      <c r="Y1216" t="str">
        <f t="shared" si="345"/>
        <v>00</v>
      </c>
      <c r="Z1216" t="str">
        <f t="shared" si="356"/>
        <v>00</v>
      </c>
      <c r="AA1216" t="str">
        <f t="shared" si="346"/>
        <v>00</v>
      </c>
      <c r="AB1216" t="str">
        <f t="shared" si="347"/>
        <v>00</v>
      </c>
      <c r="AC1216" t="str">
        <f t="shared" si="348"/>
        <v>0P0</v>
      </c>
      <c r="AD1216" t="str">
        <f t="shared" si="349"/>
        <v>P00</v>
      </c>
      <c r="AE1216" t="str">
        <f t="shared" si="350"/>
        <v>0P0</v>
      </c>
      <c r="AF1216" t="str">
        <f t="shared" si="351"/>
        <v>P00</v>
      </c>
      <c r="AG1216" t="str">
        <f t="shared" si="357"/>
        <v>0P00</v>
      </c>
      <c r="AH1216" t="str">
        <f t="shared" si="358"/>
        <v>P000</v>
      </c>
      <c r="AI1216" t="str">
        <f t="shared" si="359"/>
        <v>0P00</v>
      </c>
      <c r="AJ1216" t="str">
        <f t="shared" si="360"/>
        <v>P000</v>
      </c>
    </row>
    <row r="1217" spans="1:36" x14ac:dyDescent="0.25">
      <c r="A1217" s="325" t="str">
        <f>CONCATENATE("P",'906MP'!M917)</f>
        <v>P</v>
      </c>
      <c r="B1217">
        <f>'906MP'!H917</f>
        <v>0</v>
      </c>
      <c r="C1217">
        <f>'906MP'!J917</f>
        <v>0</v>
      </c>
      <c r="D1217">
        <f>'906MP'!P917</f>
        <v>0</v>
      </c>
      <c r="E1217">
        <f>'906MP'!X917</f>
        <v>0</v>
      </c>
      <c r="F1217" t="str">
        <f t="shared" si="352"/>
        <v>0</v>
      </c>
      <c r="G1217" t="str">
        <f t="shared" si="353"/>
        <v>0</v>
      </c>
      <c r="H1217">
        <f>'906MP'!Y917</f>
        <v>0</v>
      </c>
      <c r="I1217">
        <f>'906MP'!AK917</f>
        <v>0</v>
      </c>
      <c r="J1217">
        <f>'906MP'!T917</f>
        <v>0</v>
      </c>
      <c r="K1217">
        <f>'906MP'!AJ917</f>
        <v>0</v>
      </c>
      <c r="L1217">
        <f>'906MP'!U917</f>
        <v>0</v>
      </c>
      <c r="M1217" s="322" t="str">
        <f>IFERROR(VLOOKUP(A1217,PAR!$D$3:$E$53,2,FALSE),"nincs szervezet")</f>
        <v>nincs szervezet</v>
      </c>
      <c r="N1217" s="322" t="str">
        <f>VLOOKUP(F1217,PAR!$R$3:$S$5,2,FALSE)</f>
        <v>3 - egyik sem</v>
      </c>
      <c r="O1217" t="str">
        <f>IFERROR(VLOOKUP(J1217,PAR!$O$3:$P$5,2,FALSE),"nincs feladat")</f>
        <v>nincs feladat</v>
      </c>
      <c r="P1217" t="str">
        <f>IFERROR(VLOOKUP(G1217,PAR!$J$2:$M$19,4),"nincs rovat")</f>
        <v>nincs rovat</v>
      </c>
      <c r="Q1217" t="str">
        <f>IF(H1217&gt;0,VLOOKUP(H1217,PAR!$AA$3:$AC$187,3,FALSE),"nincs főkönyvi számla")</f>
        <v>nincs főkönyvi számla</v>
      </c>
      <c r="R1217" t="str">
        <f>IFERROR(VLOOKUP(K1217,PAR!$V$3:$X$438,3,FALSE),"000000 - Nincs COFOG")</f>
        <v>000000 - Nincs COFOG</v>
      </c>
      <c r="S1217">
        <f t="shared" si="354"/>
        <v>0</v>
      </c>
      <c r="T1217">
        <f t="shared" si="355"/>
        <v>0</v>
      </c>
      <c r="U1217" t="str">
        <f>IF('906MP'!J917&gt;0,CONCATENATE('906MP'!J917," - ",'906MP'!P917,", ",'906MP'!E917),"nincs megjegyzés")</f>
        <v>nincs megjegyzés</v>
      </c>
      <c r="V1217" t="str">
        <f t="shared" si="342"/>
        <v>0P0</v>
      </c>
      <c r="W1217" t="str">
        <f t="shared" si="343"/>
        <v>0P0</v>
      </c>
      <c r="X1217" t="str">
        <f t="shared" si="344"/>
        <v>P0</v>
      </c>
      <c r="Y1217" t="str">
        <f t="shared" si="345"/>
        <v>00</v>
      </c>
      <c r="Z1217" t="str">
        <f t="shared" si="356"/>
        <v>00</v>
      </c>
      <c r="AA1217" t="str">
        <f t="shared" si="346"/>
        <v>00</v>
      </c>
      <c r="AB1217" t="str">
        <f t="shared" si="347"/>
        <v>00</v>
      </c>
      <c r="AC1217" t="str">
        <f t="shared" si="348"/>
        <v>0P0</v>
      </c>
      <c r="AD1217" t="str">
        <f t="shared" si="349"/>
        <v>P00</v>
      </c>
      <c r="AE1217" t="str">
        <f t="shared" si="350"/>
        <v>0P0</v>
      </c>
      <c r="AF1217" t="str">
        <f t="shared" si="351"/>
        <v>P00</v>
      </c>
      <c r="AG1217" t="str">
        <f t="shared" si="357"/>
        <v>0P00</v>
      </c>
      <c r="AH1217" t="str">
        <f t="shared" si="358"/>
        <v>P000</v>
      </c>
      <c r="AI1217" t="str">
        <f t="shared" si="359"/>
        <v>0P00</v>
      </c>
      <c r="AJ1217" t="str">
        <f t="shared" si="360"/>
        <v>P000</v>
      </c>
    </row>
    <row r="1218" spans="1:36" x14ac:dyDescent="0.25">
      <c r="A1218" s="325" t="str">
        <f>CONCATENATE("P",'906MP'!M918)</f>
        <v>P</v>
      </c>
      <c r="B1218">
        <f>'906MP'!H918</f>
        <v>0</v>
      </c>
      <c r="C1218">
        <f>'906MP'!J918</f>
        <v>0</v>
      </c>
      <c r="D1218">
        <f>'906MP'!P918</f>
        <v>0</v>
      </c>
      <c r="E1218">
        <f>'906MP'!X918</f>
        <v>0</v>
      </c>
      <c r="F1218" t="str">
        <f t="shared" si="352"/>
        <v>0</v>
      </c>
      <c r="G1218" t="str">
        <f t="shared" si="353"/>
        <v>0</v>
      </c>
      <c r="H1218">
        <f>'906MP'!Y918</f>
        <v>0</v>
      </c>
      <c r="I1218">
        <f>'906MP'!AK918</f>
        <v>0</v>
      </c>
      <c r="J1218">
        <f>'906MP'!T918</f>
        <v>0</v>
      </c>
      <c r="K1218">
        <f>'906MP'!AJ918</f>
        <v>0</v>
      </c>
      <c r="L1218">
        <f>'906MP'!U918</f>
        <v>0</v>
      </c>
      <c r="M1218" s="322" t="str">
        <f>IFERROR(VLOOKUP(A1218,PAR!$D$3:$E$53,2,FALSE),"nincs szervezet")</f>
        <v>nincs szervezet</v>
      </c>
      <c r="N1218" s="322" t="str">
        <f>VLOOKUP(F1218,PAR!$R$3:$S$5,2,FALSE)</f>
        <v>3 - egyik sem</v>
      </c>
      <c r="O1218" t="str">
        <f>IFERROR(VLOOKUP(J1218,PAR!$O$3:$P$5,2,FALSE),"nincs feladat")</f>
        <v>nincs feladat</v>
      </c>
      <c r="P1218" t="str">
        <f>IFERROR(VLOOKUP(G1218,PAR!$J$2:$M$19,4),"nincs rovat")</f>
        <v>nincs rovat</v>
      </c>
      <c r="Q1218" t="str">
        <f>IF(H1218&gt;0,VLOOKUP(H1218,PAR!$AA$3:$AC$187,3,FALSE),"nincs főkönyvi számla")</f>
        <v>nincs főkönyvi számla</v>
      </c>
      <c r="R1218" t="str">
        <f>IFERROR(VLOOKUP(K1218,PAR!$V$3:$X$438,3,FALSE),"000000 - Nincs COFOG")</f>
        <v>000000 - Nincs COFOG</v>
      </c>
      <c r="S1218">
        <f t="shared" si="354"/>
        <v>0</v>
      </c>
      <c r="T1218">
        <f t="shared" si="355"/>
        <v>0</v>
      </c>
      <c r="U1218" t="str">
        <f>IF('906MP'!J918&gt;0,CONCATENATE('906MP'!J918," - ",'906MP'!P918,", ",'906MP'!E918),"nincs megjegyzés")</f>
        <v>nincs megjegyzés</v>
      </c>
      <c r="V1218" t="str">
        <f t="shared" ref="V1218:V1281" si="361">CONCATENATE(B1218,A1218,G1218)</f>
        <v>0P0</v>
      </c>
      <c r="W1218" t="str">
        <f t="shared" ref="W1218:W1281" si="362">CONCATENATE(B1218,A1218,F1218)</f>
        <v>0P0</v>
      </c>
      <c r="X1218" t="str">
        <f t="shared" ref="X1218:X1281" si="363">CONCATENATE(A1218,H1218)</f>
        <v>P0</v>
      </c>
      <c r="Y1218" t="str">
        <f t="shared" ref="Y1218:Y1281" si="364">CONCATENATE(B1218,H1218)</f>
        <v>00</v>
      </c>
      <c r="Z1218" t="str">
        <f t="shared" si="356"/>
        <v>00</v>
      </c>
      <c r="AA1218" t="str">
        <f t="shared" ref="AA1218:AA1281" si="365">CONCATENATE(B1218,G1218)</f>
        <v>00</v>
      </c>
      <c r="AB1218" t="str">
        <f t="shared" ref="AB1218:AB1281" si="366">CONCATENATE(J1218,G1218)</f>
        <v>00</v>
      </c>
      <c r="AC1218" t="str">
        <f t="shared" ref="AC1218:AC1281" si="367">CONCATENATE(B1218,A1218,H1218)</f>
        <v>0P0</v>
      </c>
      <c r="AD1218" t="str">
        <f t="shared" ref="AD1218:AD1281" si="368">CONCATENATE(A1218,H1218,J1218)</f>
        <v>P00</v>
      </c>
      <c r="AE1218" t="str">
        <f t="shared" ref="AE1218:AE1281" si="369">CONCATENATE(B1218,A1218,G1218)</f>
        <v>0P0</v>
      </c>
      <c r="AF1218" t="str">
        <f t="shared" ref="AF1218:AF1281" si="370">CONCATENATE(A1218,G1218,J1218)</f>
        <v>P00</v>
      </c>
      <c r="AG1218" t="str">
        <f t="shared" si="357"/>
        <v>0P00</v>
      </c>
      <c r="AH1218" t="str">
        <f t="shared" si="358"/>
        <v>P000</v>
      </c>
      <c r="AI1218" t="str">
        <f t="shared" si="359"/>
        <v>0P00</v>
      </c>
      <c r="AJ1218" t="str">
        <f t="shared" si="360"/>
        <v>P000</v>
      </c>
    </row>
    <row r="1219" spans="1:36" x14ac:dyDescent="0.25">
      <c r="A1219" s="325" t="str">
        <f>CONCATENATE("P",'906MP'!M919)</f>
        <v>P</v>
      </c>
      <c r="B1219">
        <f>'906MP'!H919</f>
        <v>0</v>
      </c>
      <c r="C1219">
        <f>'906MP'!J919</f>
        <v>0</v>
      </c>
      <c r="D1219">
        <f>'906MP'!P919</f>
        <v>0</v>
      </c>
      <c r="E1219">
        <f>'906MP'!X919</f>
        <v>0</v>
      </c>
      <c r="F1219" t="str">
        <f t="shared" ref="F1219:F1282" si="371">LEFT(G1219,2)</f>
        <v>0</v>
      </c>
      <c r="G1219" t="str">
        <f t="shared" ref="G1219:G1282" si="372">LEFT(H1219,3)</f>
        <v>0</v>
      </c>
      <c r="H1219">
        <f>'906MP'!Y919</f>
        <v>0</v>
      </c>
      <c r="I1219">
        <f>'906MP'!AK919</f>
        <v>0</v>
      </c>
      <c r="J1219">
        <f>'906MP'!T919</f>
        <v>0</v>
      </c>
      <c r="K1219">
        <f>'906MP'!AJ919</f>
        <v>0</v>
      </c>
      <c r="L1219">
        <f>'906MP'!U919</f>
        <v>0</v>
      </c>
      <c r="M1219" s="322" t="str">
        <f>IFERROR(VLOOKUP(A1219,PAR!$D$3:$E$53,2,FALSE),"nincs szervezet")</f>
        <v>nincs szervezet</v>
      </c>
      <c r="N1219" s="322" t="str">
        <f>VLOOKUP(F1219,PAR!$R$3:$S$5,2,FALSE)</f>
        <v>3 - egyik sem</v>
      </c>
      <c r="O1219" t="str">
        <f>IFERROR(VLOOKUP(J1219,PAR!$O$3:$P$5,2,FALSE),"nincs feladat")</f>
        <v>nincs feladat</v>
      </c>
      <c r="P1219" t="str">
        <f>IFERROR(VLOOKUP(G1219,PAR!$J$2:$M$19,4),"nincs rovat")</f>
        <v>nincs rovat</v>
      </c>
      <c r="Q1219" t="str">
        <f>IF(H1219&gt;0,VLOOKUP(H1219,PAR!$AA$3:$AC$187,3,FALSE),"nincs főkönyvi számla")</f>
        <v>nincs főkönyvi számla</v>
      </c>
      <c r="R1219" t="str">
        <f>IFERROR(VLOOKUP(K1219,PAR!$V$3:$X$438,3,FALSE),"000000 - Nincs COFOG")</f>
        <v>000000 - Nincs COFOG</v>
      </c>
      <c r="S1219">
        <f t="shared" ref="S1219:S1282" si="373">E1219</f>
        <v>0</v>
      </c>
      <c r="T1219">
        <f t="shared" ref="T1219:T1282" si="374">IF(F1219="09",E1219*-1,E1219)</f>
        <v>0</v>
      </c>
      <c r="U1219" t="str">
        <f>IF('906MP'!J919&gt;0,CONCATENATE('906MP'!J919," - ",'906MP'!P919,", ",'906MP'!E919),"nincs megjegyzés")</f>
        <v>nincs megjegyzés</v>
      </c>
      <c r="V1219" t="str">
        <f t="shared" si="361"/>
        <v>0P0</v>
      </c>
      <c r="W1219" t="str">
        <f t="shared" si="362"/>
        <v>0P0</v>
      </c>
      <c r="X1219" t="str">
        <f t="shared" si="363"/>
        <v>P0</v>
      </c>
      <c r="Y1219" t="str">
        <f t="shared" si="364"/>
        <v>00</v>
      </c>
      <c r="Z1219" t="str">
        <f t="shared" ref="Z1219:Z1282" si="375">CONCATENATE(J1219,H1219)</f>
        <v>00</v>
      </c>
      <c r="AA1219" t="str">
        <f t="shared" si="365"/>
        <v>00</v>
      </c>
      <c r="AB1219" t="str">
        <f t="shared" si="366"/>
        <v>00</v>
      </c>
      <c r="AC1219" t="str">
        <f t="shared" si="367"/>
        <v>0P0</v>
      </c>
      <c r="AD1219" t="str">
        <f t="shared" si="368"/>
        <v>P00</v>
      </c>
      <c r="AE1219" t="str">
        <f t="shared" si="369"/>
        <v>0P0</v>
      </c>
      <c r="AF1219" t="str">
        <f t="shared" si="370"/>
        <v>P00</v>
      </c>
      <c r="AG1219" t="str">
        <f t="shared" ref="AG1219:AG1282" si="376">CONCATENATE(B1219,A1219,H1219,L1219)</f>
        <v>0P00</v>
      </c>
      <c r="AH1219" t="str">
        <f t="shared" ref="AH1219:AH1282" si="377">CONCATENATE(A1219,J1219,H1219,L1219)</f>
        <v>P000</v>
      </c>
      <c r="AI1219" t="str">
        <f t="shared" ref="AI1219:AI1282" si="378">CONCATENATE(B1219,A1219,G1219,L1219)</f>
        <v>0P00</v>
      </c>
      <c r="AJ1219" t="str">
        <f t="shared" ref="AJ1219:AJ1282" si="379">CONCATENATE(A1219,G1219,J1219,L1219)</f>
        <v>P000</v>
      </c>
    </row>
    <row r="1220" spans="1:36" x14ac:dyDescent="0.25">
      <c r="A1220" s="325" t="str">
        <f>CONCATENATE("P",'906MP'!M920)</f>
        <v>P</v>
      </c>
      <c r="B1220">
        <f>'906MP'!H920</f>
        <v>0</v>
      </c>
      <c r="C1220">
        <f>'906MP'!J920</f>
        <v>0</v>
      </c>
      <c r="D1220">
        <f>'906MP'!P920</f>
        <v>0</v>
      </c>
      <c r="E1220">
        <f>'906MP'!X920</f>
        <v>0</v>
      </c>
      <c r="F1220" t="str">
        <f t="shared" si="371"/>
        <v>0</v>
      </c>
      <c r="G1220" t="str">
        <f t="shared" si="372"/>
        <v>0</v>
      </c>
      <c r="H1220">
        <f>'906MP'!Y920</f>
        <v>0</v>
      </c>
      <c r="I1220">
        <f>'906MP'!AK920</f>
        <v>0</v>
      </c>
      <c r="J1220">
        <f>'906MP'!T920</f>
        <v>0</v>
      </c>
      <c r="K1220">
        <f>'906MP'!AJ920</f>
        <v>0</v>
      </c>
      <c r="L1220">
        <f>'906MP'!U920</f>
        <v>0</v>
      </c>
      <c r="M1220" s="322" t="str">
        <f>IFERROR(VLOOKUP(A1220,PAR!$D$3:$E$53,2,FALSE),"nincs szervezet")</f>
        <v>nincs szervezet</v>
      </c>
      <c r="N1220" s="322" t="str">
        <f>VLOOKUP(F1220,PAR!$R$3:$S$5,2,FALSE)</f>
        <v>3 - egyik sem</v>
      </c>
      <c r="O1220" t="str">
        <f>IFERROR(VLOOKUP(J1220,PAR!$O$3:$P$5,2,FALSE),"nincs feladat")</f>
        <v>nincs feladat</v>
      </c>
      <c r="P1220" t="str">
        <f>IFERROR(VLOOKUP(G1220,PAR!$J$2:$M$19,4),"nincs rovat")</f>
        <v>nincs rovat</v>
      </c>
      <c r="Q1220" t="str">
        <f>IF(H1220&gt;0,VLOOKUP(H1220,PAR!$AA$3:$AC$187,3,FALSE),"nincs főkönyvi számla")</f>
        <v>nincs főkönyvi számla</v>
      </c>
      <c r="R1220" t="str">
        <f>IFERROR(VLOOKUP(K1220,PAR!$V$3:$X$438,3,FALSE),"000000 - Nincs COFOG")</f>
        <v>000000 - Nincs COFOG</v>
      </c>
      <c r="S1220">
        <f t="shared" si="373"/>
        <v>0</v>
      </c>
      <c r="T1220">
        <f t="shared" si="374"/>
        <v>0</v>
      </c>
      <c r="U1220" t="str">
        <f>IF('906MP'!J920&gt;0,CONCATENATE('906MP'!J920," - ",'906MP'!P920,", ",'906MP'!E920),"nincs megjegyzés")</f>
        <v>nincs megjegyzés</v>
      </c>
      <c r="V1220" t="str">
        <f t="shared" si="361"/>
        <v>0P0</v>
      </c>
      <c r="W1220" t="str">
        <f t="shared" si="362"/>
        <v>0P0</v>
      </c>
      <c r="X1220" t="str">
        <f t="shared" si="363"/>
        <v>P0</v>
      </c>
      <c r="Y1220" t="str">
        <f t="shared" si="364"/>
        <v>00</v>
      </c>
      <c r="Z1220" t="str">
        <f t="shared" si="375"/>
        <v>00</v>
      </c>
      <c r="AA1220" t="str">
        <f t="shared" si="365"/>
        <v>00</v>
      </c>
      <c r="AB1220" t="str">
        <f t="shared" si="366"/>
        <v>00</v>
      </c>
      <c r="AC1220" t="str">
        <f t="shared" si="367"/>
        <v>0P0</v>
      </c>
      <c r="AD1220" t="str">
        <f t="shared" si="368"/>
        <v>P00</v>
      </c>
      <c r="AE1220" t="str">
        <f t="shared" si="369"/>
        <v>0P0</v>
      </c>
      <c r="AF1220" t="str">
        <f t="shared" si="370"/>
        <v>P00</v>
      </c>
      <c r="AG1220" t="str">
        <f t="shared" si="376"/>
        <v>0P00</v>
      </c>
      <c r="AH1220" t="str">
        <f t="shared" si="377"/>
        <v>P000</v>
      </c>
      <c r="AI1220" t="str">
        <f t="shared" si="378"/>
        <v>0P00</v>
      </c>
      <c r="AJ1220" t="str">
        <f t="shared" si="379"/>
        <v>P000</v>
      </c>
    </row>
    <row r="1221" spans="1:36" x14ac:dyDescent="0.25">
      <c r="A1221" s="325" t="str">
        <f>CONCATENATE("P",'906MP'!M921)</f>
        <v>P</v>
      </c>
      <c r="B1221">
        <f>'906MP'!H921</f>
        <v>0</v>
      </c>
      <c r="C1221">
        <f>'906MP'!J921</f>
        <v>0</v>
      </c>
      <c r="D1221">
        <f>'906MP'!P921</f>
        <v>0</v>
      </c>
      <c r="E1221">
        <f>'906MP'!X921</f>
        <v>0</v>
      </c>
      <c r="F1221" t="str">
        <f t="shared" si="371"/>
        <v>0</v>
      </c>
      <c r="G1221" t="str">
        <f t="shared" si="372"/>
        <v>0</v>
      </c>
      <c r="H1221">
        <f>'906MP'!Y921</f>
        <v>0</v>
      </c>
      <c r="I1221">
        <f>'906MP'!AK921</f>
        <v>0</v>
      </c>
      <c r="J1221">
        <f>'906MP'!T921</f>
        <v>0</v>
      </c>
      <c r="K1221">
        <f>'906MP'!AJ921</f>
        <v>0</v>
      </c>
      <c r="L1221">
        <f>'906MP'!U921</f>
        <v>0</v>
      </c>
      <c r="M1221" s="322" t="str">
        <f>IFERROR(VLOOKUP(A1221,PAR!$D$3:$E$53,2,FALSE),"nincs szervezet")</f>
        <v>nincs szervezet</v>
      </c>
      <c r="N1221" s="322" t="str">
        <f>VLOOKUP(F1221,PAR!$R$3:$S$5,2,FALSE)</f>
        <v>3 - egyik sem</v>
      </c>
      <c r="O1221" t="str">
        <f>IFERROR(VLOOKUP(J1221,PAR!$O$3:$P$5,2,FALSE),"nincs feladat")</f>
        <v>nincs feladat</v>
      </c>
      <c r="P1221" t="str">
        <f>IFERROR(VLOOKUP(G1221,PAR!$J$2:$M$19,4),"nincs rovat")</f>
        <v>nincs rovat</v>
      </c>
      <c r="Q1221" t="str">
        <f>IF(H1221&gt;0,VLOOKUP(H1221,PAR!$AA$3:$AC$187,3,FALSE),"nincs főkönyvi számla")</f>
        <v>nincs főkönyvi számla</v>
      </c>
      <c r="R1221" t="str">
        <f>IFERROR(VLOOKUP(K1221,PAR!$V$3:$X$438,3,FALSE),"000000 - Nincs COFOG")</f>
        <v>000000 - Nincs COFOG</v>
      </c>
      <c r="S1221">
        <f t="shared" si="373"/>
        <v>0</v>
      </c>
      <c r="T1221">
        <f t="shared" si="374"/>
        <v>0</v>
      </c>
      <c r="U1221" t="str">
        <f>IF('906MP'!J921&gt;0,CONCATENATE('906MP'!J921," - ",'906MP'!P921,", ",'906MP'!E921),"nincs megjegyzés")</f>
        <v>nincs megjegyzés</v>
      </c>
      <c r="V1221" t="str">
        <f t="shared" si="361"/>
        <v>0P0</v>
      </c>
      <c r="W1221" t="str">
        <f t="shared" si="362"/>
        <v>0P0</v>
      </c>
      <c r="X1221" t="str">
        <f t="shared" si="363"/>
        <v>P0</v>
      </c>
      <c r="Y1221" t="str">
        <f t="shared" si="364"/>
        <v>00</v>
      </c>
      <c r="Z1221" t="str">
        <f t="shared" si="375"/>
        <v>00</v>
      </c>
      <c r="AA1221" t="str">
        <f t="shared" si="365"/>
        <v>00</v>
      </c>
      <c r="AB1221" t="str">
        <f t="shared" si="366"/>
        <v>00</v>
      </c>
      <c r="AC1221" t="str">
        <f t="shared" si="367"/>
        <v>0P0</v>
      </c>
      <c r="AD1221" t="str">
        <f t="shared" si="368"/>
        <v>P00</v>
      </c>
      <c r="AE1221" t="str">
        <f t="shared" si="369"/>
        <v>0P0</v>
      </c>
      <c r="AF1221" t="str">
        <f t="shared" si="370"/>
        <v>P00</v>
      </c>
      <c r="AG1221" t="str">
        <f t="shared" si="376"/>
        <v>0P00</v>
      </c>
      <c r="AH1221" t="str">
        <f t="shared" si="377"/>
        <v>P000</v>
      </c>
      <c r="AI1221" t="str">
        <f t="shared" si="378"/>
        <v>0P00</v>
      </c>
      <c r="AJ1221" t="str">
        <f t="shared" si="379"/>
        <v>P000</v>
      </c>
    </row>
    <row r="1222" spans="1:36" x14ac:dyDescent="0.25">
      <c r="A1222" s="325" t="str">
        <f>CONCATENATE("P",'906MP'!M922)</f>
        <v>P</v>
      </c>
      <c r="B1222">
        <f>'906MP'!H922</f>
        <v>0</v>
      </c>
      <c r="C1222">
        <f>'906MP'!J922</f>
        <v>0</v>
      </c>
      <c r="D1222">
        <f>'906MP'!P922</f>
        <v>0</v>
      </c>
      <c r="E1222">
        <f>'906MP'!X922</f>
        <v>0</v>
      </c>
      <c r="F1222" t="str">
        <f t="shared" si="371"/>
        <v>0</v>
      </c>
      <c r="G1222" t="str">
        <f t="shared" si="372"/>
        <v>0</v>
      </c>
      <c r="H1222">
        <f>'906MP'!Y922</f>
        <v>0</v>
      </c>
      <c r="I1222">
        <f>'906MP'!AK922</f>
        <v>0</v>
      </c>
      <c r="J1222">
        <f>'906MP'!T922</f>
        <v>0</v>
      </c>
      <c r="K1222">
        <f>'906MP'!AJ922</f>
        <v>0</v>
      </c>
      <c r="L1222">
        <f>'906MP'!U922</f>
        <v>0</v>
      </c>
      <c r="M1222" s="322" t="str">
        <f>IFERROR(VLOOKUP(A1222,PAR!$D$3:$E$53,2,FALSE),"nincs szervezet")</f>
        <v>nincs szervezet</v>
      </c>
      <c r="N1222" s="322" t="str">
        <f>VLOOKUP(F1222,PAR!$R$3:$S$5,2,FALSE)</f>
        <v>3 - egyik sem</v>
      </c>
      <c r="O1222" t="str">
        <f>IFERROR(VLOOKUP(J1222,PAR!$O$3:$P$5,2,FALSE),"nincs feladat")</f>
        <v>nincs feladat</v>
      </c>
      <c r="P1222" t="str">
        <f>IFERROR(VLOOKUP(G1222,PAR!$J$2:$M$19,4),"nincs rovat")</f>
        <v>nincs rovat</v>
      </c>
      <c r="Q1222" t="str">
        <f>IF(H1222&gt;0,VLOOKUP(H1222,PAR!$AA$3:$AC$187,3,FALSE),"nincs főkönyvi számla")</f>
        <v>nincs főkönyvi számla</v>
      </c>
      <c r="R1222" t="str">
        <f>IFERROR(VLOOKUP(K1222,PAR!$V$3:$X$438,3,FALSE),"000000 - Nincs COFOG")</f>
        <v>000000 - Nincs COFOG</v>
      </c>
      <c r="S1222">
        <f t="shared" si="373"/>
        <v>0</v>
      </c>
      <c r="T1222">
        <f t="shared" si="374"/>
        <v>0</v>
      </c>
      <c r="U1222" t="str">
        <f>IF('906MP'!J922&gt;0,CONCATENATE('906MP'!J922," - ",'906MP'!P922,", ",'906MP'!E922),"nincs megjegyzés")</f>
        <v>nincs megjegyzés</v>
      </c>
      <c r="V1222" t="str">
        <f t="shared" si="361"/>
        <v>0P0</v>
      </c>
      <c r="W1222" t="str">
        <f t="shared" si="362"/>
        <v>0P0</v>
      </c>
      <c r="X1222" t="str">
        <f t="shared" si="363"/>
        <v>P0</v>
      </c>
      <c r="Y1222" t="str">
        <f t="shared" si="364"/>
        <v>00</v>
      </c>
      <c r="Z1222" t="str">
        <f t="shared" si="375"/>
        <v>00</v>
      </c>
      <c r="AA1222" t="str">
        <f t="shared" si="365"/>
        <v>00</v>
      </c>
      <c r="AB1222" t="str">
        <f t="shared" si="366"/>
        <v>00</v>
      </c>
      <c r="AC1222" t="str">
        <f t="shared" si="367"/>
        <v>0P0</v>
      </c>
      <c r="AD1222" t="str">
        <f t="shared" si="368"/>
        <v>P00</v>
      </c>
      <c r="AE1222" t="str">
        <f t="shared" si="369"/>
        <v>0P0</v>
      </c>
      <c r="AF1222" t="str">
        <f t="shared" si="370"/>
        <v>P00</v>
      </c>
      <c r="AG1222" t="str">
        <f t="shared" si="376"/>
        <v>0P00</v>
      </c>
      <c r="AH1222" t="str">
        <f t="shared" si="377"/>
        <v>P000</v>
      </c>
      <c r="AI1222" t="str">
        <f t="shared" si="378"/>
        <v>0P00</v>
      </c>
      <c r="AJ1222" t="str">
        <f t="shared" si="379"/>
        <v>P000</v>
      </c>
    </row>
    <row r="1223" spans="1:36" x14ac:dyDescent="0.25">
      <c r="A1223" s="325" t="str">
        <f>CONCATENATE("P",'906MP'!M923)</f>
        <v>P</v>
      </c>
      <c r="B1223">
        <f>'906MP'!H923</f>
        <v>0</v>
      </c>
      <c r="C1223">
        <f>'906MP'!J923</f>
        <v>0</v>
      </c>
      <c r="D1223">
        <f>'906MP'!P923</f>
        <v>0</v>
      </c>
      <c r="E1223">
        <f>'906MP'!X923</f>
        <v>0</v>
      </c>
      <c r="F1223" t="str">
        <f t="shared" si="371"/>
        <v>0</v>
      </c>
      <c r="G1223" t="str">
        <f t="shared" si="372"/>
        <v>0</v>
      </c>
      <c r="H1223">
        <f>'906MP'!Y923</f>
        <v>0</v>
      </c>
      <c r="I1223">
        <f>'906MP'!AK923</f>
        <v>0</v>
      </c>
      <c r="J1223">
        <f>'906MP'!T923</f>
        <v>0</v>
      </c>
      <c r="K1223">
        <f>'906MP'!AJ923</f>
        <v>0</v>
      </c>
      <c r="L1223">
        <f>'906MP'!U923</f>
        <v>0</v>
      </c>
      <c r="M1223" s="322" t="str">
        <f>IFERROR(VLOOKUP(A1223,PAR!$D$3:$E$53,2,FALSE),"nincs szervezet")</f>
        <v>nincs szervezet</v>
      </c>
      <c r="N1223" s="322" t="str">
        <f>VLOOKUP(F1223,PAR!$R$3:$S$5,2,FALSE)</f>
        <v>3 - egyik sem</v>
      </c>
      <c r="O1223" t="str">
        <f>IFERROR(VLOOKUP(J1223,PAR!$O$3:$P$5,2,FALSE),"nincs feladat")</f>
        <v>nincs feladat</v>
      </c>
      <c r="P1223" t="str">
        <f>IFERROR(VLOOKUP(G1223,PAR!$J$2:$M$19,4),"nincs rovat")</f>
        <v>nincs rovat</v>
      </c>
      <c r="Q1223" t="str">
        <f>IF(H1223&gt;0,VLOOKUP(H1223,PAR!$AA$3:$AC$187,3,FALSE),"nincs főkönyvi számla")</f>
        <v>nincs főkönyvi számla</v>
      </c>
      <c r="R1223" t="str">
        <f>IFERROR(VLOOKUP(K1223,PAR!$V$3:$X$438,3,FALSE),"000000 - Nincs COFOG")</f>
        <v>000000 - Nincs COFOG</v>
      </c>
      <c r="S1223">
        <f t="shared" si="373"/>
        <v>0</v>
      </c>
      <c r="T1223">
        <f t="shared" si="374"/>
        <v>0</v>
      </c>
      <c r="U1223" t="str">
        <f>IF('906MP'!J923&gt;0,CONCATENATE('906MP'!J923," - ",'906MP'!P923,", ",'906MP'!E923),"nincs megjegyzés")</f>
        <v>nincs megjegyzés</v>
      </c>
      <c r="V1223" t="str">
        <f t="shared" si="361"/>
        <v>0P0</v>
      </c>
      <c r="W1223" t="str">
        <f t="shared" si="362"/>
        <v>0P0</v>
      </c>
      <c r="X1223" t="str">
        <f t="shared" si="363"/>
        <v>P0</v>
      </c>
      <c r="Y1223" t="str">
        <f t="shared" si="364"/>
        <v>00</v>
      </c>
      <c r="Z1223" t="str">
        <f t="shared" si="375"/>
        <v>00</v>
      </c>
      <c r="AA1223" t="str">
        <f t="shared" si="365"/>
        <v>00</v>
      </c>
      <c r="AB1223" t="str">
        <f t="shared" si="366"/>
        <v>00</v>
      </c>
      <c r="AC1223" t="str">
        <f t="shared" si="367"/>
        <v>0P0</v>
      </c>
      <c r="AD1223" t="str">
        <f t="shared" si="368"/>
        <v>P00</v>
      </c>
      <c r="AE1223" t="str">
        <f t="shared" si="369"/>
        <v>0P0</v>
      </c>
      <c r="AF1223" t="str">
        <f t="shared" si="370"/>
        <v>P00</v>
      </c>
      <c r="AG1223" t="str">
        <f t="shared" si="376"/>
        <v>0P00</v>
      </c>
      <c r="AH1223" t="str">
        <f t="shared" si="377"/>
        <v>P000</v>
      </c>
      <c r="AI1223" t="str">
        <f t="shared" si="378"/>
        <v>0P00</v>
      </c>
      <c r="AJ1223" t="str">
        <f t="shared" si="379"/>
        <v>P000</v>
      </c>
    </row>
    <row r="1224" spans="1:36" x14ac:dyDescent="0.25">
      <c r="A1224" s="325" t="str">
        <f>CONCATENATE("P",'906MP'!M924)</f>
        <v>P</v>
      </c>
      <c r="B1224">
        <f>'906MP'!H924</f>
        <v>0</v>
      </c>
      <c r="C1224">
        <f>'906MP'!J924</f>
        <v>0</v>
      </c>
      <c r="D1224">
        <f>'906MP'!P924</f>
        <v>0</v>
      </c>
      <c r="E1224">
        <f>'906MP'!X924</f>
        <v>0</v>
      </c>
      <c r="F1224" t="str">
        <f t="shared" si="371"/>
        <v>0</v>
      </c>
      <c r="G1224" t="str">
        <f t="shared" si="372"/>
        <v>0</v>
      </c>
      <c r="H1224">
        <f>'906MP'!Y924</f>
        <v>0</v>
      </c>
      <c r="I1224">
        <f>'906MP'!AK924</f>
        <v>0</v>
      </c>
      <c r="J1224">
        <f>'906MP'!T924</f>
        <v>0</v>
      </c>
      <c r="K1224">
        <f>'906MP'!AJ924</f>
        <v>0</v>
      </c>
      <c r="L1224">
        <f>'906MP'!U924</f>
        <v>0</v>
      </c>
      <c r="M1224" s="322" t="str">
        <f>IFERROR(VLOOKUP(A1224,PAR!$D$3:$E$53,2,FALSE),"nincs szervezet")</f>
        <v>nincs szervezet</v>
      </c>
      <c r="N1224" s="322" t="str">
        <f>VLOOKUP(F1224,PAR!$R$3:$S$5,2,FALSE)</f>
        <v>3 - egyik sem</v>
      </c>
      <c r="O1224" t="str">
        <f>IFERROR(VLOOKUP(J1224,PAR!$O$3:$P$5,2,FALSE),"nincs feladat")</f>
        <v>nincs feladat</v>
      </c>
      <c r="P1224" t="str">
        <f>IFERROR(VLOOKUP(G1224,PAR!$J$2:$M$19,4),"nincs rovat")</f>
        <v>nincs rovat</v>
      </c>
      <c r="Q1224" t="str">
        <f>IF(H1224&gt;0,VLOOKUP(H1224,PAR!$AA$3:$AC$187,3,FALSE),"nincs főkönyvi számla")</f>
        <v>nincs főkönyvi számla</v>
      </c>
      <c r="R1224" t="str">
        <f>IFERROR(VLOOKUP(K1224,PAR!$V$3:$X$438,3,FALSE),"000000 - Nincs COFOG")</f>
        <v>000000 - Nincs COFOG</v>
      </c>
      <c r="S1224">
        <f t="shared" si="373"/>
        <v>0</v>
      </c>
      <c r="T1224">
        <f t="shared" si="374"/>
        <v>0</v>
      </c>
      <c r="U1224" t="str">
        <f>IF('906MP'!J924&gt;0,CONCATENATE('906MP'!J924," - ",'906MP'!P924,", ",'906MP'!E924),"nincs megjegyzés")</f>
        <v>nincs megjegyzés</v>
      </c>
      <c r="V1224" t="str">
        <f t="shared" si="361"/>
        <v>0P0</v>
      </c>
      <c r="W1224" t="str">
        <f t="shared" si="362"/>
        <v>0P0</v>
      </c>
      <c r="X1224" t="str">
        <f t="shared" si="363"/>
        <v>P0</v>
      </c>
      <c r="Y1224" t="str">
        <f t="shared" si="364"/>
        <v>00</v>
      </c>
      <c r="Z1224" t="str">
        <f t="shared" si="375"/>
        <v>00</v>
      </c>
      <c r="AA1224" t="str">
        <f t="shared" si="365"/>
        <v>00</v>
      </c>
      <c r="AB1224" t="str">
        <f t="shared" si="366"/>
        <v>00</v>
      </c>
      <c r="AC1224" t="str">
        <f t="shared" si="367"/>
        <v>0P0</v>
      </c>
      <c r="AD1224" t="str">
        <f t="shared" si="368"/>
        <v>P00</v>
      </c>
      <c r="AE1224" t="str">
        <f t="shared" si="369"/>
        <v>0P0</v>
      </c>
      <c r="AF1224" t="str">
        <f t="shared" si="370"/>
        <v>P00</v>
      </c>
      <c r="AG1224" t="str">
        <f t="shared" si="376"/>
        <v>0P00</v>
      </c>
      <c r="AH1224" t="str">
        <f t="shared" si="377"/>
        <v>P000</v>
      </c>
      <c r="AI1224" t="str">
        <f t="shared" si="378"/>
        <v>0P00</v>
      </c>
      <c r="AJ1224" t="str">
        <f t="shared" si="379"/>
        <v>P000</v>
      </c>
    </row>
    <row r="1225" spans="1:36" x14ac:dyDescent="0.25">
      <c r="A1225" s="325" t="str">
        <f>CONCATENATE("P",'906MP'!M925)</f>
        <v>P</v>
      </c>
      <c r="B1225">
        <f>'906MP'!H925</f>
        <v>0</v>
      </c>
      <c r="C1225">
        <f>'906MP'!J925</f>
        <v>0</v>
      </c>
      <c r="D1225">
        <f>'906MP'!P925</f>
        <v>0</v>
      </c>
      <c r="E1225">
        <f>'906MP'!X925</f>
        <v>0</v>
      </c>
      <c r="F1225" t="str">
        <f t="shared" si="371"/>
        <v>0</v>
      </c>
      <c r="G1225" t="str">
        <f t="shared" si="372"/>
        <v>0</v>
      </c>
      <c r="H1225">
        <f>'906MP'!Y925</f>
        <v>0</v>
      </c>
      <c r="I1225">
        <f>'906MP'!AK925</f>
        <v>0</v>
      </c>
      <c r="J1225">
        <f>'906MP'!T925</f>
        <v>0</v>
      </c>
      <c r="K1225">
        <f>'906MP'!AJ925</f>
        <v>0</v>
      </c>
      <c r="L1225">
        <f>'906MP'!U925</f>
        <v>0</v>
      </c>
      <c r="M1225" s="322" t="str">
        <f>IFERROR(VLOOKUP(A1225,PAR!$D$3:$E$53,2,FALSE),"nincs szervezet")</f>
        <v>nincs szervezet</v>
      </c>
      <c r="N1225" s="322" t="str">
        <f>VLOOKUP(F1225,PAR!$R$3:$S$5,2,FALSE)</f>
        <v>3 - egyik sem</v>
      </c>
      <c r="O1225" t="str">
        <f>IFERROR(VLOOKUP(J1225,PAR!$O$3:$P$5,2,FALSE),"nincs feladat")</f>
        <v>nincs feladat</v>
      </c>
      <c r="P1225" t="str">
        <f>IFERROR(VLOOKUP(G1225,PAR!$J$2:$M$19,4),"nincs rovat")</f>
        <v>nincs rovat</v>
      </c>
      <c r="Q1225" t="str">
        <f>IF(H1225&gt;0,VLOOKUP(H1225,PAR!$AA$3:$AC$187,3,FALSE),"nincs főkönyvi számla")</f>
        <v>nincs főkönyvi számla</v>
      </c>
      <c r="R1225" t="str">
        <f>IFERROR(VLOOKUP(K1225,PAR!$V$3:$X$438,3,FALSE),"000000 - Nincs COFOG")</f>
        <v>000000 - Nincs COFOG</v>
      </c>
      <c r="S1225">
        <f t="shared" si="373"/>
        <v>0</v>
      </c>
      <c r="T1225">
        <f t="shared" si="374"/>
        <v>0</v>
      </c>
      <c r="U1225" t="str">
        <f>IF('906MP'!J925&gt;0,CONCATENATE('906MP'!J925," - ",'906MP'!P925,", ",'906MP'!E925),"nincs megjegyzés")</f>
        <v>nincs megjegyzés</v>
      </c>
      <c r="V1225" t="str">
        <f t="shared" si="361"/>
        <v>0P0</v>
      </c>
      <c r="W1225" t="str">
        <f t="shared" si="362"/>
        <v>0P0</v>
      </c>
      <c r="X1225" t="str">
        <f t="shared" si="363"/>
        <v>P0</v>
      </c>
      <c r="Y1225" t="str">
        <f t="shared" si="364"/>
        <v>00</v>
      </c>
      <c r="Z1225" t="str">
        <f t="shared" si="375"/>
        <v>00</v>
      </c>
      <c r="AA1225" t="str">
        <f t="shared" si="365"/>
        <v>00</v>
      </c>
      <c r="AB1225" t="str">
        <f t="shared" si="366"/>
        <v>00</v>
      </c>
      <c r="AC1225" t="str">
        <f t="shared" si="367"/>
        <v>0P0</v>
      </c>
      <c r="AD1225" t="str">
        <f t="shared" si="368"/>
        <v>P00</v>
      </c>
      <c r="AE1225" t="str">
        <f t="shared" si="369"/>
        <v>0P0</v>
      </c>
      <c r="AF1225" t="str">
        <f t="shared" si="370"/>
        <v>P00</v>
      </c>
      <c r="AG1225" t="str">
        <f t="shared" si="376"/>
        <v>0P00</v>
      </c>
      <c r="AH1225" t="str">
        <f t="shared" si="377"/>
        <v>P000</v>
      </c>
      <c r="AI1225" t="str">
        <f t="shared" si="378"/>
        <v>0P00</v>
      </c>
      <c r="AJ1225" t="str">
        <f t="shared" si="379"/>
        <v>P000</v>
      </c>
    </row>
    <row r="1226" spans="1:36" x14ac:dyDescent="0.25">
      <c r="A1226" s="325" t="str">
        <f>CONCATENATE("P",'906MP'!M926)</f>
        <v>P</v>
      </c>
      <c r="B1226">
        <f>'906MP'!H926</f>
        <v>0</v>
      </c>
      <c r="C1226">
        <f>'906MP'!J926</f>
        <v>0</v>
      </c>
      <c r="D1226">
        <f>'906MP'!P926</f>
        <v>0</v>
      </c>
      <c r="E1226">
        <f>'906MP'!X926</f>
        <v>0</v>
      </c>
      <c r="F1226" t="str">
        <f t="shared" si="371"/>
        <v>0</v>
      </c>
      <c r="G1226" t="str">
        <f t="shared" si="372"/>
        <v>0</v>
      </c>
      <c r="H1226">
        <f>'906MP'!Y926</f>
        <v>0</v>
      </c>
      <c r="I1226">
        <f>'906MP'!AK926</f>
        <v>0</v>
      </c>
      <c r="J1226">
        <f>'906MP'!T926</f>
        <v>0</v>
      </c>
      <c r="K1226">
        <f>'906MP'!AJ926</f>
        <v>0</v>
      </c>
      <c r="L1226">
        <f>'906MP'!U926</f>
        <v>0</v>
      </c>
      <c r="M1226" s="322" t="str">
        <f>IFERROR(VLOOKUP(A1226,PAR!$D$3:$E$53,2,FALSE),"nincs szervezet")</f>
        <v>nincs szervezet</v>
      </c>
      <c r="N1226" s="322" t="str">
        <f>VLOOKUP(F1226,PAR!$R$3:$S$5,2,FALSE)</f>
        <v>3 - egyik sem</v>
      </c>
      <c r="O1226" t="str">
        <f>IFERROR(VLOOKUP(J1226,PAR!$O$3:$P$5,2,FALSE),"nincs feladat")</f>
        <v>nincs feladat</v>
      </c>
      <c r="P1226" t="str">
        <f>IFERROR(VLOOKUP(G1226,PAR!$J$2:$M$19,4),"nincs rovat")</f>
        <v>nincs rovat</v>
      </c>
      <c r="Q1226" t="str">
        <f>IF(H1226&gt;0,VLOOKUP(H1226,PAR!$AA$3:$AC$187,3,FALSE),"nincs főkönyvi számla")</f>
        <v>nincs főkönyvi számla</v>
      </c>
      <c r="R1226" t="str">
        <f>IFERROR(VLOOKUP(K1226,PAR!$V$3:$X$438,3,FALSE),"000000 - Nincs COFOG")</f>
        <v>000000 - Nincs COFOG</v>
      </c>
      <c r="S1226">
        <f t="shared" si="373"/>
        <v>0</v>
      </c>
      <c r="T1226">
        <f t="shared" si="374"/>
        <v>0</v>
      </c>
      <c r="U1226" t="str">
        <f>IF('906MP'!J926&gt;0,CONCATENATE('906MP'!J926," - ",'906MP'!P926,", ",'906MP'!E926),"nincs megjegyzés")</f>
        <v>nincs megjegyzés</v>
      </c>
      <c r="V1226" t="str">
        <f t="shared" si="361"/>
        <v>0P0</v>
      </c>
      <c r="W1226" t="str">
        <f t="shared" si="362"/>
        <v>0P0</v>
      </c>
      <c r="X1226" t="str">
        <f t="shared" si="363"/>
        <v>P0</v>
      </c>
      <c r="Y1226" t="str">
        <f t="shared" si="364"/>
        <v>00</v>
      </c>
      <c r="Z1226" t="str">
        <f t="shared" si="375"/>
        <v>00</v>
      </c>
      <c r="AA1226" t="str">
        <f t="shared" si="365"/>
        <v>00</v>
      </c>
      <c r="AB1226" t="str">
        <f t="shared" si="366"/>
        <v>00</v>
      </c>
      <c r="AC1226" t="str">
        <f t="shared" si="367"/>
        <v>0P0</v>
      </c>
      <c r="AD1226" t="str">
        <f t="shared" si="368"/>
        <v>P00</v>
      </c>
      <c r="AE1226" t="str">
        <f t="shared" si="369"/>
        <v>0P0</v>
      </c>
      <c r="AF1226" t="str">
        <f t="shared" si="370"/>
        <v>P00</v>
      </c>
      <c r="AG1226" t="str">
        <f t="shared" si="376"/>
        <v>0P00</v>
      </c>
      <c r="AH1226" t="str">
        <f t="shared" si="377"/>
        <v>P000</v>
      </c>
      <c r="AI1226" t="str">
        <f t="shared" si="378"/>
        <v>0P00</v>
      </c>
      <c r="AJ1226" t="str">
        <f t="shared" si="379"/>
        <v>P000</v>
      </c>
    </row>
    <row r="1227" spans="1:36" x14ac:dyDescent="0.25">
      <c r="A1227" s="325" t="str">
        <f>CONCATENATE("P",'906MP'!M927)</f>
        <v>P</v>
      </c>
      <c r="B1227">
        <f>'906MP'!H927</f>
        <v>0</v>
      </c>
      <c r="C1227">
        <f>'906MP'!J927</f>
        <v>0</v>
      </c>
      <c r="D1227">
        <f>'906MP'!P927</f>
        <v>0</v>
      </c>
      <c r="E1227">
        <f>'906MP'!X927</f>
        <v>0</v>
      </c>
      <c r="F1227" t="str">
        <f t="shared" si="371"/>
        <v>0</v>
      </c>
      <c r="G1227" t="str">
        <f t="shared" si="372"/>
        <v>0</v>
      </c>
      <c r="H1227">
        <f>'906MP'!Y927</f>
        <v>0</v>
      </c>
      <c r="I1227">
        <f>'906MP'!AK927</f>
        <v>0</v>
      </c>
      <c r="J1227">
        <f>'906MP'!T927</f>
        <v>0</v>
      </c>
      <c r="K1227">
        <f>'906MP'!AJ927</f>
        <v>0</v>
      </c>
      <c r="L1227">
        <f>'906MP'!U927</f>
        <v>0</v>
      </c>
      <c r="M1227" s="322" t="str">
        <f>IFERROR(VLOOKUP(A1227,PAR!$D$3:$E$53,2,FALSE),"nincs szervezet")</f>
        <v>nincs szervezet</v>
      </c>
      <c r="N1227" s="322" t="str">
        <f>VLOOKUP(F1227,PAR!$R$3:$S$5,2,FALSE)</f>
        <v>3 - egyik sem</v>
      </c>
      <c r="O1227" t="str">
        <f>IFERROR(VLOOKUP(J1227,PAR!$O$3:$P$5,2,FALSE),"nincs feladat")</f>
        <v>nincs feladat</v>
      </c>
      <c r="P1227" t="str">
        <f>IFERROR(VLOOKUP(G1227,PAR!$J$2:$M$19,4),"nincs rovat")</f>
        <v>nincs rovat</v>
      </c>
      <c r="Q1227" t="str">
        <f>IF(H1227&gt;0,VLOOKUP(H1227,PAR!$AA$3:$AC$187,3,FALSE),"nincs főkönyvi számla")</f>
        <v>nincs főkönyvi számla</v>
      </c>
      <c r="R1227" t="str">
        <f>IFERROR(VLOOKUP(K1227,PAR!$V$3:$X$438,3,FALSE),"000000 - Nincs COFOG")</f>
        <v>000000 - Nincs COFOG</v>
      </c>
      <c r="S1227">
        <f t="shared" si="373"/>
        <v>0</v>
      </c>
      <c r="T1227">
        <f t="shared" si="374"/>
        <v>0</v>
      </c>
      <c r="U1227" t="str">
        <f>IF('906MP'!J927&gt;0,CONCATENATE('906MP'!J927," - ",'906MP'!P927,", ",'906MP'!E927),"nincs megjegyzés")</f>
        <v>nincs megjegyzés</v>
      </c>
      <c r="V1227" t="str">
        <f t="shared" si="361"/>
        <v>0P0</v>
      </c>
      <c r="W1227" t="str">
        <f t="shared" si="362"/>
        <v>0P0</v>
      </c>
      <c r="X1227" t="str">
        <f t="shared" si="363"/>
        <v>P0</v>
      </c>
      <c r="Y1227" t="str">
        <f t="shared" si="364"/>
        <v>00</v>
      </c>
      <c r="Z1227" t="str">
        <f t="shared" si="375"/>
        <v>00</v>
      </c>
      <c r="AA1227" t="str">
        <f t="shared" si="365"/>
        <v>00</v>
      </c>
      <c r="AB1227" t="str">
        <f t="shared" si="366"/>
        <v>00</v>
      </c>
      <c r="AC1227" t="str">
        <f t="shared" si="367"/>
        <v>0P0</v>
      </c>
      <c r="AD1227" t="str">
        <f t="shared" si="368"/>
        <v>P00</v>
      </c>
      <c r="AE1227" t="str">
        <f t="shared" si="369"/>
        <v>0P0</v>
      </c>
      <c r="AF1227" t="str">
        <f t="shared" si="370"/>
        <v>P00</v>
      </c>
      <c r="AG1227" t="str">
        <f t="shared" si="376"/>
        <v>0P00</v>
      </c>
      <c r="AH1227" t="str">
        <f t="shared" si="377"/>
        <v>P000</v>
      </c>
      <c r="AI1227" t="str">
        <f t="shared" si="378"/>
        <v>0P00</v>
      </c>
      <c r="AJ1227" t="str">
        <f t="shared" si="379"/>
        <v>P000</v>
      </c>
    </row>
    <row r="1228" spans="1:36" x14ac:dyDescent="0.25">
      <c r="A1228" s="325" t="str">
        <f>CONCATENATE("P",'906MP'!M928)</f>
        <v>P</v>
      </c>
      <c r="B1228">
        <f>'906MP'!H928</f>
        <v>0</v>
      </c>
      <c r="C1228">
        <f>'906MP'!J928</f>
        <v>0</v>
      </c>
      <c r="D1228">
        <f>'906MP'!P928</f>
        <v>0</v>
      </c>
      <c r="E1228">
        <f>'906MP'!X928</f>
        <v>0</v>
      </c>
      <c r="F1228" t="str">
        <f t="shared" si="371"/>
        <v>0</v>
      </c>
      <c r="G1228" t="str">
        <f t="shared" si="372"/>
        <v>0</v>
      </c>
      <c r="H1228">
        <f>'906MP'!Y928</f>
        <v>0</v>
      </c>
      <c r="I1228">
        <f>'906MP'!AK928</f>
        <v>0</v>
      </c>
      <c r="J1228">
        <f>'906MP'!T928</f>
        <v>0</v>
      </c>
      <c r="K1228">
        <f>'906MP'!AJ928</f>
        <v>0</v>
      </c>
      <c r="L1228">
        <f>'906MP'!U928</f>
        <v>0</v>
      </c>
      <c r="M1228" s="322" t="str">
        <f>IFERROR(VLOOKUP(A1228,PAR!$D$3:$E$53,2,FALSE),"nincs szervezet")</f>
        <v>nincs szervezet</v>
      </c>
      <c r="N1228" s="322" t="str">
        <f>VLOOKUP(F1228,PAR!$R$3:$S$5,2,FALSE)</f>
        <v>3 - egyik sem</v>
      </c>
      <c r="O1228" t="str">
        <f>IFERROR(VLOOKUP(J1228,PAR!$O$3:$P$5,2,FALSE),"nincs feladat")</f>
        <v>nincs feladat</v>
      </c>
      <c r="P1228" t="str">
        <f>IFERROR(VLOOKUP(G1228,PAR!$J$2:$M$19,4),"nincs rovat")</f>
        <v>nincs rovat</v>
      </c>
      <c r="Q1228" t="str">
        <f>IF(H1228&gt;0,VLOOKUP(H1228,PAR!$AA$3:$AC$187,3,FALSE),"nincs főkönyvi számla")</f>
        <v>nincs főkönyvi számla</v>
      </c>
      <c r="R1228" t="str">
        <f>IFERROR(VLOOKUP(K1228,PAR!$V$3:$X$438,3,FALSE),"000000 - Nincs COFOG")</f>
        <v>000000 - Nincs COFOG</v>
      </c>
      <c r="S1228">
        <f t="shared" si="373"/>
        <v>0</v>
      </c>
      <c r="T1228">
        <f t="shared" si="374"/>
        <v>0</v>
      </c>
      <c r="U1228" t="str">
        <f>IF('906MP'!J928&gt;0,CONCATENATE('906MP'!J928," - ",'906MP'!P928,", ",'906MP'!E928),"nincs megjegyzés")</f>
        <v>nincs megjegyzés</v>
      </c>
      <c r="V1228" t="str">
        <f t="shared" si="361"/>
        <v>0P0</v>
      </c>
      <c r="W1228" t="str">
        <f t="shared" si="362"/>
        <v>0P0</v>
      </c>
      <c r="X1228" t="str">
        <f t="shared" si="363"/>
        <v>P0</v>
      </c>
      <c r="Y1228" t="str">
        <f t="shared" si="364"/>
        <v>00</v>
      </c>
      <c r="Z1228" t="str">
        <f t="shared" si="375"/>
        <v>00</v>
      </c>
      <c r="AA1228" t="str">
        <f t="shared" si="365"/>
        <v>00</v>
      </c>
      <c r="AB1228" t="str">
        <f t="shared" si="366"/>
        <v>00</v>
      </c>
      <c r="AC1228" t="str">
        <f t="shared" si="367"/>
        <v>0P0</v>
      </c>
      <c r="AD1228" t="str">
        <f t="shared" si="368"/>
        <v>P00</v>
      </c>
      <c r="AE1228" t="str">
        <f t="shared" si="369"/>
        <v>0P0</v>
      </c>
      <c r="AF1228" t="str">
        <f t="shared" si="370"/>
        <v>P00</v>
      </c>
      <c r="AG1228" t="str">
        <f t="shared" si="376"/>
        <v>0P00</v>
      </c>
      <c r="AH1228" t="str">
        <f t="shared" si="377"/>
        <v>P000</v>
      </c>
      <c r="AI1228" t="str">
        <f t="shared" si="378"/>
        <v>0P00</v>
      </c>
      <c r="AJ1228" t="str">
        <f t="shared" si="379"/>
        <v>P000</v>
      </c>
    </row>
    <row r="1229" spans="1:36" x14ac:dyDescent="0.25">
      <c r="A1229" s="325" t="str">
        <f>CONCATENATE("P",'906MP'!M929)</f>
        <v>P</v>
      </c>
      <c r="B1229">
        <f>'906MP'!H929</f>
        <v>0</v>
      </c>
      <c r="C1229">
        <f>'906MP'!J929</f>
        <v>0</v>
      </c>
      <c r="D1229">
        <f>'906MP'!P929</f>
        <v>0</v>
      </c>
      <c r="E1229">
        <f>'906MP'!X929</f>
        <v>0</v>
      </c>
      <c r="F1229" t="str">
        <f t="shared" si="371"/>
        <v>0</v>
      </c>
      <c r="G1229" t="str">
        <f t="shared" si="372"/>
        <v>0</v>
      </c>
      <c r="H1229">
        <f>'906MP'!Y929</f>
        <v>0</v>
      </c>
      <c r="I1229">
        <f>'906MP'!AK929</f>
        <v>0</v>
      </c>
      <c r="J1229">
        <f>'906MP'!T929</f>
        <v>0</v>
      </c>
      <c r="K1229">
        <f>'906MP'!AJ929</f>
        <v>0</v>
      </c>
      <c r="L1229">
        <f>'906MP'!U929</f>
        <v>0</v>
      </c>
      <c r="M1229" s="322" t="str">
        <f>IFERROR(VLOOKUP(A1229,PAR!$D$3:$E$53,2,FALSE),"nincs szervezet")</f>
        <v>nincs szervezet</v>
      </c>
      <c r="N1229" s="322" t="str">
        <f>VLOOKUP(F1229,PAR!$R$3:$S$5,2,FALSE)</f>
        <v>3 - egyik sem</v>
      </c>
      <c r="O1229" t="str">
        <f>IFERROR(VLOOKUP(J1229,PAR!$O$3:$P$5,2,FALSE),"nincs feladat")</f>
        <v>nincs feladat</v>
      </c>
      <c r="P1229" t="str">
        <f>IFERROR(VLOOKUP(G1229,PAR!$J$2:$M$19,4),"nincs rovat")</f>
        <v>nincs rovat</v>
      </c>
      <c r="Q1229" t="str">
        <f>IF(H1229&gt;0,VLOOKUP(H1229,PAR!$AA$3:$AC$187,3,FALSE),"nincs főkönyvi számla")</f>
        <v>nincs főkönyvi számla</v>
      </c>
      <c r="R1229" t="str">
        <f>IFERROR(VLOOKUP(K1229,PAR!$V$3:$X$438,3,FALSE),"000000 - Nincs COFOG")</f>
        <v>000000 - Nincs COFOG</v>
      </c>
      <c r="S1229">
        <f t="shared" si="373"/>
        <v>0</v>
      </c>
      <c r="T1229">
        <f t="shared" si="374"/>
        <v>0</v>
      </c>
      <c r="U1229" t="str">
        <f>IF('906MP'!J929&gt;0,CONCATENATE('906MP'!J929," - ",'906MP'!P929,", ",'906MP'!E929),"nincs megjegyzés")</f>
        <v>nincs megjegyzés</v>
      </c>
      <c r="V1229" t="str">
        <f t="shared" si="361"/>
        <v>0P0</v>
      </c>
      <c r="W1229" t="str">
        <f t="shared" si="362"/>
        <v>0P0</v>
      </c>
      <c r="X1229" t="str">
        <f t="shared" si="363"/>
        <v>P0</v>
      </c>
      <c r="Y1229" t="str">
        <f t="shared" si="364"/>
        <v>00</v>
      </c>
      <c r="Z1229" t="str">
        <f t="shared" si="375"/>
        <v>00</v>
      </c>
      <c r="AA1229" t="str">
        <f t="shared" si="365"/>
        <v>00</v>
      </c>
      <c r="AB1229" t="str">
        <f t="shared" si="366"/>
        <v>00</v>
      </c>
      <c r="AC1229" t="str">
        <f t="shared" si="367"/>
        <v>0P0</v>
      </c>
      <c r="AD1229" t="str">
        <f t="shared" si="368"/>
        <v>P00</v>
      </c>
      <c r="AE1229" t="str">
        <f t="shared" si="369"/>
        <v>0P0</v>
      </c>
      <c r="AF1229" t="str">
        <f t="shared" si="370"/>
        <v>P00</v>
      </c>
      <c r="AG1229" t="str">
        <f t="shared" si="376"/>
        <v>0P00</v>
      </c>
      <c r="AH1229" t="str">
        <f t="shared" si="377"/>
        <v>P000</v>
      </c>
      <c r="AI1229" t="str">
        <f t="shared" si="378"/>
        <v>0P00</v>
      </c>
      <c r="AJ1229" t="str">
        <f t="shared" si="379"/>
        <v>P000</v>
      </c>
    </row>
    <row r="1230" spans="1:36" x14ac:dyDescent="0.25">
      <c r="A1230" s="325" t="str">
        <f>CONCATENATE("P",'906MP'!M930)</f>
        <v>P</v>
      </c>
      <c r="B1230">
        <f>'906MP'!H930</f>
        <v>0</v>
      </c>
      <c r="C1230">
        <f>'906MP'!J930</f>
        <v>0</v>
      </c>
      <c r="D1230">
        <f>'906MP'!P930</f>
        <v>0</v>
      </c>
      <c r="E1230">
        <f>'906MP'!X930</f>
        <v>0</v>
      </c>
      <c r="F1230" t="str">
        <f t="shared" si="371"/>
        <v>0</v>
      </c>
      <c r="G1230" t="str">
        <f t="shared" si="372"/>
        <v>0</v>
      </c>
      <c r="H1230">
        <f>'906MP'!Y930</f>
        <v>0</v>
      </c>
      <c r="I1230">
        <f>'906MP'!AK930</f>
        <v>0</v>
      </c>
      <c r="J1230">
        <f>'906MP'!T930</f>
        <v>0</v>
      </c>
      <c r="K1230">
        <f>'906MP'!AJ930</f>
        <v>0</v>
      </c>
      <c r="L1230">
        <f>'906MP'!U930</f>
        <v>0</v>
      </c>
      <c r="M1230" s="322" t="str">
        <f>IFERROR(VLOOKUP(A1230,PAR!$D$3:$E$53,2,FALSE),"nincs szervezet")</f>
        <v>nincs szervezet</v>
      </c>
      <c r="N1230" s="322" t="str">
        <f>VLOOKUP(F1230,PAR!$R$3:$S$5,2,FALSE)</f>
        <v>3 - egyik sem</v>
      </c>
      <c r="O1230" t="str">
        <f>IFERROR(VLOOKUP(J1230,PAR!$O$3:$P$5,2,FALSE),"nincs feladat")</f>
        <v>nincs feladat</v>
      </c>
      <c r="P1230" t="str">
        <f>IFERROR(VLOOKUP(G1230,PAR!$J$2:$M$19,4),"nincs rovat")</f>
        <v>nincs rovat</v>
      </c>
      <c r="Q1230" t="str">
        <f>IF(H1230&gt;0,VLOOKUP(H1230,PAR!$AA$3:$AC$187,3,FALSE),"nincs főkönyvi számla")</f>
        <v>nincs főkönyvi számla</v>
      </c>
      <c r="R1230" t="str">
        <f>IFERROR(VLOOKUP(K1230,PAR!$V$3:$X$438,3,FALSE),"000000 - Nincs COFOG")</f>
        <v>000000 - Nincs COFOG</v>
      </c>
      <c r="S1230">
        <f t="shared" si="373"/>
        <v>0</v>
      </c>
      <c r="T1230">
        <f t="shared" si="374"/>
        <v>0</v>
      </c>
      <c r="U1230" t="str">
        <f>IF('906MP'!J930&gt;0,CONCATENATE('906MP'!J930," - ",'906MP'!P930,", ",'906MP'!E930),"nincs megjegyzés")</f>
        <v>nincs megjegyzés</v>
      </c>
      <c r="V1230" t="str">
        <f t="shared" si="361"/>
        <v>0P0</v>
      </c>
      <c r="W1230" t="str">
        <f t="shared" si="362"/>
        <v>0P0</v>
      </c>
      <c r="X1230" t="str">
        <f t="shared" si="363"/>
        <v>P0</v>
      </c>
      <c r="Y1230" t="str">
        <f t="shared" si="364"/>
        <v>00</v>
      </c>
      <c r="Z1230" t="str">
        <f t="shared" si="375"/>
        <v>00</v>
      </c>
      <c r="AA1230" t="str">
        <f t="shared" si="365"/>
        <v>00</v>
      </c>
      <c r="AB1230" t="str">
        <f t="shared" si="366"/>
        <v>00</v>
      </c>
      <c r="AC1230" t="str">
        <f t="shared" si="367"/>
        <v>0P0</v>
      </c>
      <c r="AD1230" t="str">
        <f t="shared" si="368"/>
        <v>P00</v>
      </c>
      <c r="AE1230" t="str">
        <f t="shared" si="369"/>
        <v>0P0</v>
      </c>
      <c r="AF1230" t="str">
        <f t="shared" si="370"/>
        <v>P00</v>
      </c>
      <c r="AG1230" t="str">
        <f t="shared" si="376"/>
        <v>0P00</v>
      </c>
      <c r="AH1230" t="str">
        <f t="shared" si="377"/>
        <v>P000</v>
      </c>
      <c r="AI1230" t="str">
        <f t="shared" si="378"/>
        <v>0P00</v>
      </c>
      <c r="AJ1230" t="str">
        <f t="shared" si="379"/>
        <v>P000</v>
      </c>
    </row>
    <row r="1231" spans="1:36" x14ac:dyDescent="0.25">
      <c r="A1231" s="325" t="str">
        <f>CONCATENATE("P",'906MP'!M931)</f>
        <v>P</v>
      </c>
      <c r="B1231">
        <f>'906MP'!H931</f>
        <v>0</v>
      </c>
      <c r="C1231">
        <f>'906MP'!J931</f>
        <v>0</v>
      </c>
      <c r="D1231">
        <f>'906MP'!P931</f>
        <v>0</v>
      </c>
      <c r="E1231">
        <f>'906MP'!X931</f>
        <v>0</v>
      </c>
      <c r="F1231" t="str">
        <f t="shared" si="371"/>
        <v>0</v>
      </c>
      <c r="G1231" t="str">
        <f t="shared" si="372"/>
        <v>0</v>
      </c>
      <c r="H1231">
        <f>'906MP'!Y931</f>
        <v>0</v>
      </c>
      <c r="I1231">
        <f>'906MP'!AK931</f>
        <v>0</v>
      </c>
      <c r="J1231">
        <f>'906MP'!T931</f>
        <v>0</v>
      </c>
      <c r="K1231">
        <f>'906MP'!AJ931</f>
        <v>0</v>
      </c>
      <c r="L1231">
        <f>'906MP'!U931</f>
        <v>0</v>
      </c>
      <c r="M1231" s="322" t="str">
        <f>IFERROR(VLOOKUP(A1231,PAR!$D$3:$E$53,2,FALSE),"nincs szervezet")</f>
        <v>nincs szervezet</v>
      </c>
      <c r="N1231" s="322" t="str">
        <f>VLOOKUP(F1231,PAR!$R$3:$S$5,2,FALSE)</f>
        <v>3 - egyik sem</v>
      </c>
      <c r="O1231" t="str">
        <f>IFERROR(VLOOKUP(J1231,PAR!$O$3:$P$5,2,FALSE),"nincs feladat")</f>
        <v>nincs feladat</v>
      </c>
      <c r="P1231" t="str">
        <f>IFERROR(VLOOKUP(G1231,PAR!$J$2:$M$19,4),"nincs rovat")</f>
        <v>nincs rovat</v>
      </c>
      <c r="Q1231" t="str">
        <f>IF(H1231&gt;0,VLOOKUP(H1231,PAR!$AA$3:$AC$187,3,FALSE),"nincs főkönyvi számla")</f>
        <v>nincs főkönyvi számla</v>
      </c>
      <c r="R1231" t="str">
        <f>IFERROR(VLOOKUP(K1231,PAR!$V$3:$X$438,3,FALSE),"000000 - Nincs COFOG")</f>
        <v>000000 - Nincs COFOG</v>
      </c>
      <c r="S1231">
        <f t="shared" si="373"/>
        <v>0</v>
      </c>
      <c r="T1231">
        <f t="shared" si="374"/>
        <v>0</v>
      </c>
      <c r="U1231" t="str">
        <f>IF('906MP'!J931&gt;0,CONCATENATE('906MP'!J931," - ",'906MP'!P931,", ",'906MP'!E931),"nincs megjegyzés")</f>
        <v>nincs megjegyzés</v>
      </c>
      <c r="V1231" t="str">
        <f t="shared" si="361"/>
        <v>0P0</v>
      </c>
      <c r="W1231" t="str">
        <f t="shared" si="362"/>
        <v>0P0</v>
      </c>
      <c r="X1231" t="str">
        <f t="shared" si="363"/>
        <v>P0</v>
      </c>
      <c r="Y1231" t="str">
        <f t="shared" si="364"/>
        <v>00</v>
      </c>
      <c r="Z1231" t="str">
        <f t="shared" si="375"/>
        <v>00</v>
      </c>
      <c r="AA1231" t="str">
        <f t="shared" si="365"/>
        <v>00</v>
      </c>
      <c r="AB1231" t="str">
        <f t="shared" si="366"/>
        <v>00</v>
      </c>
      <c r="AC1231" t="str">
        <f t="shared" si="367"/>
        <v>0P0</v>
      </c>
      <c r="AD1231" t="str">
        <f t="shared" si="368"/>
        <v>P00</v>
      </c>
      <c r="AE1231" t="str">
        <f t="shared" si="369"/>
        <v>0P0</v>
      </c>
      <c r="AF1231" t="str">
        <f t="shared" si="370"/>
        <v>P00</v>
      </c>
      <c r="AG1231" t="str">
        <f t="shared" si="376"/>
        <v>0P00</v>
      </c>
      <c r="AH1231" t="str">
        <f t="shared" si="377"/>
        <v>P000</v>
      </c>
      <c r="AI1231" t="str">
        <f t="shared" si="378"/>
        <v>0P00</v>
      </c>
      <c r="AJ1231" t="str">
        <f t="shared" si="379"/>
        <v>P000</v>
      </c>
    </row>
    <row r="1232" spans="1:36" x14ac:dyDescent="0.25">
      <c r="A1232" s="325" t="str">
        <f>CONCATENATE("P",'906MP'!M932)</f>
        <v>P</v>
      </c>
      <c r="B1232">
        <f>'906MP'!H932</f>
        <v>0</v>
      </c>
      <c r="C1232">
        <f>'906MP'!J932</f>
        <v>0</v>
      </c>
      <c r="D1232">
        <f>'906MP'!P932</f>
        <v>0</v>
      </c>
      <c r="E1232">
        <f>'906MP'!X932</f>
        <v>0</v>
      </c>
      <c r="F1232" t="str">
        <f t="shared" si="371"/>
        <v>0</v>
      </c>
      <c r="G1232" t="str">
        <f t="shared" si="372"/>
        <v>0</v>
      </c>
      <c r="H1232">
        <f>'906MP'!Y932</f>
        <v>0</v>
      </c>
      <c r="I1232">
        <f>'906MP'!AK932</f>
        <v>0</v>
      </c>
      <c r="J1232">
        <f>'906MP'!T932</f>
        <v>0</v>
      </c>
      <c r="K1232">
        <f>'906MP'!AJ932</f>
        <v>0</v>
      </c>
      <c r="L1232">
        <f>'906MP'!U932</f>
        <v>0</v>
      </c>
      <c r="M1232" s="322" t="str">
        <f>IFERROR(VLOOKUP(A1232,PAR!$D$3:$E$53,2,FALSE),"nincs szervezet")</f>
        <v>nincs szervezet</v>
      </c>
      <c r="N1232" s="322" t="str">
        <f>VLOOKUP(F1232,PAR!$R$3:$S$5,2,FALSE)</f>
        <v>3 - egyik sem</v>
      </c>
      <c r="O1232" t="str">
        <f>IFERROR(VLOOKUP(J1232,PAR!$O$3:$P$5,2,FALSE),"nincs feladat")</f>
        <v>nincs feladat</v>
      </c>
      <c r="P1232" t="str">
        <f>IFERROR(VLOOKUP(G1232,PAR!$J$2:$M$19,4),"nincs rovat")</f>
        <v>nincs rovat</v>
      </c>
      <c r="Q1232" t="str">
        <f>IF(H1232&gt;0,VLOOKUP(H1232,PAR!$AA$3:$AC$187,3,FALSE),"nincs főkönyvi számla")</f>
        <v>nincs főkönyvi számla</v>
      </c>
      <c r="R1232" t="str">
        <f>IFERROR(VLOOKUP(K1232,PAR!$V$3:$X$438,3,FALSE),"000000 - Nincs COFOG")</f>
        <v>000000 - Nincs COFOG</v>
      </c>
      <c r="S1232">
        <f t="shared" si="373"/>
        <v>0</v>
      </c>
      <c r="T1232">
        <f t="shared" si="374"/>
        <v>0</v>
      </c>
      <c r="U1232" t="str">
        <f>IF('906MP'!J932&gt;0,CONCATENATE('906MP'!J932," - ",'906MP'!P932,", ",'906MP'!E932),"nincs megjegyzés")</f>
        <v>nincs megjegyzés</v>
      </c>
      <c r="V1232" t="str">
        <f t="shared" si="361"/>
        <v>0P0</v>
      </c>
      <c r="W1232" t="str">
        <f t="shared" si="362"/>
        <v>0P0</v>
      </c>
      <c r="X1232" t="str">
        <f t="shared" si="363"/>
        <v>P0</v>
      </c>
      <c r="Y1232" t="str">
        <f t="shared" si="364"/>
        <v>00</v>
      </c>
      <c r="Z1232" t="str">
        <f t="shared" si="375"/>
        <v>00</v>
      </c>
      <c r="AA1232" t="str">
        <f t="shared" si="365"/>
        <v>00</v>
      </c>
      <c r="AB1232" t="str">
        <f t="shared" si="366"/>
        <v>00</v>
      </c>
      <c r="AC1232" t="str">
        <f t="shared" si="367"/>
        <v>0P0</v>
      </c>
      <c r="AD1232" t="str">
        <f t="shared" si="368"/>
        <v>P00</v>
      </c>
      <c r="AE1232" t="str">
        <f t="shared" si="369"/>
        <v>0P0</v>
      </c>
      <c r="AF1232" t="str">
        <f t="shared" si="370"/>
        <v>P00</v>
      </c>
      <c r="AG1232" t="str">
        <f t="shared" si="376"/>
        <v>0P00</v>
      </c>
      <c r="AH1232" t="str">
        <f t="shared" si="377"/>
        <v>P000</v>
      </c>
      <c r="AI1232" t="str">
        <f t="shared" si="378"/>
        <v>0P00</v>
      </c>
      <c r="AJ1232" t="str">
        <f t="shared" si="379"/>
        <v>P000</v>
      </c>
    </row>
    <row r="1233" spans="1:36" x14ac:dyDescent="0.25">
      <c r="A1233" s="325" t="str">
        <f>CONCATENATE("P",'906MP'!M933)</f>
        <v>P</v>
      </c>
      <c r="B1233">
        <f>'906MP'!H933</f>
        <v>0</v>
      </c>
      <c r="C1233">
        <f>'906MP'!J933</f>
        <v>0</v>
      </c>
      <c r="D1233">
        <f>'906MP'!P933</f>
        <v>0</v>
      </c>
      <c r="E1233">
        <f>'906MP'!X933</f>
        <v>0</v>
      </c>
      <c r="F1233" t="str">
        <f t="shared" si="371"/>
        <v>0</v>
      </c>
      <c r="G1233" t="str">
        <f t="shared" si="372"/>
        <v>0</v>
      </c>
      <c r="H1233">
        <f>'906MP'!Y933</f>
        <v>0</v>
      </c>
      <c r="I1233">
        <f>'906MP'!AK933</f>
        <v>0</v>
      </c>
      <c r="J1233">
        <f>'906MP'!T933</f>
        <v>0</v>
      </c>
      <c r="K1233">
        <f>'906MP'!AJ933</f>
        <v>0</v>
      </c>
      <c r="L1233">
        <f>'906MP'!U933</f>
        <v>0</v>
      </c>
      <c r="M1233" s="322" t="str">
        <f>IFERROR(VLOOKUP(A1233,PAR!$D$3:$E$53,2,FALSE),"nincs szervezet")</f>
        <v>nincs szervezet</v>
      </c>
      <c r="N1233" s="322" t="str">
        <f>VLOOKUP(F1233,PAR!$R$3:$S$5,2,FALSE)</f>
        <v>3 - egyik sem</v>
      </c>
      <c r="O1233" t="str">
        <f>IFERROR(VLOOKUP(J1233,PAR!$O$3:$P$5,2,FALSE),"nincs feladat")</f>
        <v>nincs feladat</v>
      </c>
      <c r="P1233" t="str">
        <f>IFERROR(VLOOKUP(G1233,PAR!$J$2:$M$19,4),"nincs rovat")</f>
        <v>nincs rovat</v>
      </c>
      <c r="Q1233" t="str">
        <f>IF(H1233&gt;0,VLOOKUP(H1233,PAR!$AA$3:$AC$187,3,FALSE),"nincs főkönyvi számla")</f>
        <v>nincs főkönyvi számla</v>
      </c>
      <c r="R1233" t="str">
        <f>IFERROR(VLOOKUP(K1233,PAR!$V$3:$X$438,3,FALSE),"000000 - Nincs COFOG")</f>
        <v>000000 - Nincs COFOG</v>
      </c>
      <c r="S1233">
        <f t="shared" si="373"/>
        <v>0</v>
      </c>
      <c r="T1233">
        <f t="shared" si="374"/>
        <v>0</v>
      </c>
      <c r="U1233" t="str">
        <f>IF('906MP'!J933&gt;0,CONCATENATE('906MP'!J933," - ",'906MP'!P933,", ",'906MP'!E933),"nincs megjegyzés")</f>
        <v>nincs megjegyzés</v>
      </c>
      <c r="V1233" t="str">
        <f t="shared" si="361"/>
        <v>0P0</v>
      </c>
      <c r="W1233" t="str">
        <f t="shared" si="362"/>
        <v>0P0</v>
      </c>
      <c r="X1233" t="str">
        <f t="shared" si="363"/>
        <v>P0</v>
      </c>
      <c r="Y1233" t="str">
        <f t="shared" si="364"/>
        <v>00</v>
      </c>
      <c r="Z1233" t="str">
        <f t="shared" si="375"/>
        <v>00</v>
      </c>
      <c r="AA1233" t="str">
        <f t="shared" si="365"/>
        <v>00</v>
      </c>
      <c r="AB1233" t="str">
        <f t="shared" si="366"/>
        <v>00</v>
      </c>
      <c r="AC1233" t="str">
        <f t="shared" si="367"/>
        <v>0P0</v>
      </c>
      <c r="AD1233" t="str">
        <f t="shared" si="368"/>
        <v>P00</v>
      </c>
      <c r="AE1233" t="str">
        <f t="shared" si="369"/>
        <v>0P0</v>
      </c>
      <c r="AF1233" t="str">
        <f t="shared" si="370"/>
        <v>P00</v>
      </c>
      <c r="AG1233" t="str">
        <f t="shared" si="376"/>
        <v>0P00</v>
      </c>
      <c r="AH1233" t="str">
        <f t="shared" si="377"/>
        <v>P000</v>
      </c>
      <c r="AI1233" t="str">
        <f t="shared" si="378"/>
        <v>0P00</v>
      </c>
      <c r="AJ1233" t="str">
        <f t="shared" si="379"/>
        <v>P000</v>
      </c>
    </row>
    <row r="1234" spans="1:36" x14ac:dyDescent="0.25">
      <c r="A1234" s="325" t="str">
        <f>CONCATENATE("P",'906MP'!M934)</f>
        <v>P</v>
      </c>
      <c r="B1234">
        <f>'906MP'!H934</f>
        <v>0</v>
      </c>
      <c r="C1234">
        <f>'906MP'!J934</f>
        <v>0</v>
      </c>
      <c r="D1234">
        <f>'906MP'!P934</f>
        <v>0</v>
      </c>
      <c r="E1234">
        <f>'906MP'!X934</f>
        <v>0</v>
      </c>
      <c r="F1234" t="str">
        <f t="shared" si="371"/>
        <v>0</v>
      </c>
      <c r="G1234" t="str">
        <f t="shared" si="372"/>
        <v>0</v>
      </c>
      <c r="H1234">
        <f>'906MP'!Y934</f>
        <v>0</v>
      </c>
      <c r="I1234">
        <f>'906MP'!AK934</f>
        <v>0</v>
      </c>
      <c r="J1234">
        <f>'906MP'!T934</f>
        <v>0</v>
      </c>
      <c r="K1234">
        <f>'906MP'!AJ934</f>
        <v>0</v>
      </c>
      <c r="L1234">
        <f>'906MP'!U934</f>
        <v>0</v>
      </c>
      <c r="M1234" s="322" t="str">
        <f>IFERROR(VLOOKUP(A1234,PAR!$D$3:$E$53,2,FALSE),"nincs szervezet")</f>
        <v>nincs szervezet</v>
      </c>
      <c r="N1234" s="322" t="str">
        <f>VLOOKUP(F1234,PAR!$R$3:$S$5,2,FALSE)</f>
        <v>3 - egyik sem</v>
      </c>
      <c r="O1234" t="str">
        <f>IFERROR(VLOOKUP(J1234,PAR!$O$3:$P$5,2,FALSE),"nincs feladat")</f>
        <v>nincs feladat</v>
      </c>
      <c r="P1234" t="str">
        <f>IFERROR(VLOOKUP(G1234,PAR!$J$2:$M$19,4),"nincs rovat")</f>
        <v>nincs rovat</v>
      </c>
      <c r="Q1234" t="str">
        <f>IF(H1234&gt;0,VLOOKUP(H1234,PAR!$AA$3:$AC$187,3,FALSE),"nincs főkönyvi számla")</f>
        <v>nincs főkönyvi számla</v>
      </c>
      <c r="R1234" t="str">
        <f>IFERROR(VLOOKUP(K1234,PAR!$V$3:$X$438,3,FALSE),"000000 - Nincs COFOG")</f>
        <v>000000 - Nincs COFOG</v>
      </c>
      <c r="S1234">
        <f t="shared" si="373"/>
        <v>0</v>
      </c>
      <c r="T1234">
        <f t="shared" si="374"/>
        <v>0</v>
      </c>
      <c r="U1234" t="str">
        <f>IF('906MP'!J934&gt;0,CONCATENATE('906MP'!J934," - ",'906MP'!P934,", ",'906MP'!E934),"nincs megjegyzés")</f>
        <v>nincs megjegyzés</v>
      </c>
      <c r="V1234" t="str">
        <f t="shared" si="361"/>
        <v>0P0</v>
      </c>
      <c r="W1234" t="str">
        <f t="shared" si="362"/>
        <v>0P0</v>
      </c>
      <c r="X1234" t="str">
        <f t="shared" si="363"/>
        <v>P0</v>
      </c>
      <c r="Y1234" t="str">
        <f t="shared" si="364"/>
        <v>00</v>
      </c>
      <c r="Z1234" t="str">
        <f t="shared" si="375"/>
        <v>00</v>
      </c>
      <c r="AA1234" t="str">
        <f t="shared" si="365"/>
        <v>00</v>
      </c>
      <c r="AB1234" t="str">
        <f t="shared" si="366"/>
        <v>00</v>
      </c>
      <c r="AC1234" t="str">
        <f t="shared" si="367"/>
        <v>0P0</v>
      </c>
      <c r="AD1234" t="str">
        <f t="shared" si="368"/>
        <v>P00</v>
      </c>
      <c r="AE1234" t="str">
        <f t="shared" si="369"/>
        <v>0P0</v>
      </c>
      <c r="AF1234" t="str">
        <f t="shared" si="370"/>
        <v>P00</v>
      </c>
      <c r="AG1234" t="str">
        <f t="shared" si="376"/>
        <v>0P00</v>
      </c>
      <c r="AH1234" t="str">
        <f t="shared" si="377"/>
        <v>P000</v>
      </c>
      <c r="AI1234" t="str">
        <f t="shared" si="378"/>
        <v>0P00</v>
      </c>
      <c r="AJ1234" t="str">
        <f t="shared" si="379"/>
        <v>P000</v>
      </c>
    </row>
    <row r="1235" spans="1:36" x14ac:dyDescent="0.25">
      <c r="A1235" s="325" t="str">
        <f>CONCATENATE("P",'906MP'!M935)</f>
        <v>P</v>
      </c>
      <c r="B1235">
        <f>'906MP'!H935</f>
        <v>0</v>
      </c>
      <c r="C1235">
        <f>'906MP'!J935</f>
        <v>0</v>
      </c>
      <c r="D1235">
        <f>'906MP'!P935</f>
        <v>0</v>
      </c>
      <c r="E1235">
        <f>'906MP'!X935</f>
        <v>0</v>
      </c>
      <c r="F1235" t="str">
        <f t="shared" si="371"/>
        <v>0</v>
      </c>
      <c r="G1235" t="str">
        <f t="shared" si="372"/>
        <v>0</v>
      </c>
      <c r="H1235">
        <f>'906MP'!Y935</f>
        <v>0</v>
      </c>
      <c r="I1235">
        <f>'906MP'!AK935</f>
        <v>0</v>
      </c>
      <c r="J1235">
        <f>'906MP'!T935</f>
        <v>0</v>
      </c>
      <c r="K1235">
        <f>'906MP'!AJ935</f>
        <v>0</v>
      </c>
      <c r="L1235">
        <f>'906MP'!U935</f>
        <v>0</v>
      </c>
      <c r="M1235" s="322" t="str">
        <f>IFERROR(VLOOKUP(A1235,PAR!$D$3:$E$53,2,FALSE),"nincs szervezet")</f>
        <v>nincs szervezet</v>
      </c>
      <c r="N1235" s="322" t="str">
        <f>VLOOKUP(F1235,PAR!$R$3:$S$5,2,FALSE)</f>
        <v>3 - egyik sem</v>
      </c>
      <c r="O1235" t="str">
        <f>IFERROR(VLOOKUP(J1235,PAR!$O$3:$P$5,2,FALSE),"nincs feladat")</f>
        <v>nincs feladat</v>
      </c>
      <c r="P1235" t="str">
        <f>IFERROR(VLOOKUP(G1235,PAR!$J$2:$M$19,4),"nincs rovat")</f>
        <v>nincs rovat</v>
      </c>
      <c r="Q1235" t="str">
        <f>IF(H1235&gt;0,VLOOKUP(H1235,PAR!$AA$3:$AC$187,3,FALSE),"nincs főkönyvi számla")</f>
        <v>nincs főkönyvi számla</v>
      </c>
      <c r="R1235" t="str">
        <f>IFERROR(VLOOKUP(K1235,PAR!$V$3:$X$438,3,FALSE),"000000 - Nincs COFOG")</f>
        <v>000000 - Nincs COFOG</v>
      </c>
      <c r="S1235">
        <f t="shared" si="373"/>
        <v>0</v>
      </c>
      <c r="T1235">
        <f t="shared" si="374"/>
        <v>0</v>
      </c>
      <c r="U1235" t="str">
        <f>IF('906MP'!J935&gt;0,CONCATENATE('906MP'!J935," - ",'906MP'!P935,", ",'906MP'!E935),"nincs megjegyzés")</f>
        <v>nincs megjegyzés</v>
      </c>
      <c r="V1235" t="str">
        <f t="shared" si="361"/>
        <v>0P0</v>
      </c>
      <c r="W1235" t="str">
        <f t="shared" si="362"/>
        <v>0P0</v>
      </c>
      <c r="X1235" t="str">
        <f t="shared" si="363"/>
        <v>P0</v>
      </c>
      <c r="Y1235" t="str">
        <f t="shared" si="364"/>
        <v>00</v>
      </c>
      <c r="Z1235" t="str">
        <f t="shared" si="375"/>
        <v>00</v>
      </c>
      <c r="AA1235" t="str">
        <f t="shared" si="365"/>
        <v>00</v>
      </c>
      <c r="AB1235" t="str">
        <f t="shared" si="366"/>
        <v>00</v>
      </c>
      <c r="AC1235" t="str">
        <f t="shared" si="367"/>
        <v>0P0</v>
      </c>
      <c r="AD1235" t="str">
        <f t="shared" si="368"/>
        <v>P00</v>
      </c>
      <c r="AE1235" t="str">
        <f t="shared" si="369"/>
        <v>0P0</v>
      </c>
      <c r="AF1235" t="str">
        <f t="shared" si="370"/>
        <v>P00</v>
      </c>
      <c r="AG1235" t="str">
        <f t="shared" si="376"/>
        <v>0P00</v>
      </c>
      <c r="AH1235" t="str">
        <f t="shared" si="377"/>
        <v>P000</v>
      </c>
      <c r="AI1235" t="str">
        <f t="shared" si="378"/>
        <v>0P00</v>
      </c>
      <c r="AJ1235" t="str">
        <f t="shared" si="379"/>
        <v>P000</v>
      </c>
    </row>
    <row r="1236" spans="1:36" x14ac:dyDescent="0.25">
      <c r="A1236" s="325" t="str">
        <f>CONCATENATE("P",'906MP'!M936)</f>
        <v>P</v>
      </c>
      <c r="B1236">
        <f>'906MP'!H936</f>
        <v>0</v>
      </c>
      <c r="C1236">
        <f>'906MP'!J936</f>
        <v>0</v>
      </c>
      <c r="D1236">
        <f>'906MP'!P936</f>
        <v>0</v>
      </c>
      <c r="E1236">
        <f>'906MP'!X936</f>
        <v>0</v>
      </c>
      <c r="F1236" t="str">
        <f t="shared" si="371"/>
        <v>0</v>
      </c>
      <c r="G1236" t="str">
        <f t="shared" si="372"/>
        <v>0</v>
      </c>
      <c r="H1236">
        <f>'906MP'!Y936</f>
        <v>0</v>
      </c>
      <c r="I1236">
        <f>'906MP'!AK936</f>
        <v>0</v>
      </c>
      <c r="J1236">
        <f>'906MP'!T936</f>
        <v>0</v>
      </c>
      <c r="K1236">
        <f>'906MP'!AJ936</f>
        <v>0</v>
      </c>
      <c r="L1236">
        <f>'906MP'!U936</f>
        <v>0</v>
      </c>
      <c r="M1236" s="322" t="str">
        <f>IFERROR(VLOOKUP(A1236,PAR!$D$3:$E$53,2,FALSE),"nincs szervezet")</f>
        <v>nincs szervezet</v>
      </c>
      <c r="N1236" s="322" t="str">
        <f>VLOOKUP(F1236,PAR!$R$3:$S$5,2,FALSE)</f>
        <v>3 - egyik sem</v>
      </c>
      <c r="O1236" t="str">
        <f>IFERROR(VLOOKUP(J1236,PAR!$O$3:$P$5,2,FALSE),"nincs feladat")</f>
        <v>nincs feladat</v>
      </c>
      <c r="P1236" t="str">
        <f>IFERROR(VLOOKUP(G1236,PAR!$J$2:$M$19,4),"nincs rovat")</f>
        <v>nincs rovat</v>
      </c>
      <c r="Q1236" t="str">
        <f>IF(H1236&gt;0,VLOOKUP(H1236,PAR!$AA$3:$AC$187,3,FALSE),"nincs főkönyvi számla")</f>
        <v>nincs főkönyvi számla</v>
      </c>
      <c r="R1236" t="str">
        <f>IFERROR(VLOOKUP(K1236,PAR!$V$3:$X$438,3,FALSE),"000000 - Nincs COFOG")</f>
        <v>000000 - Nincs COFOG</v>
      </c>
      <c r="S1236">
        <f t="shared" si="373"/>
        <v>0</v>
      </c>
      <c r="T1236">
        <f t="shared" si="374"/>
        <v>0</v>
      </c>
      <c r="U1236" t="str">
        <f>IF('906MP'!J936&gt;0,CONCATENATE('906MP'!J936," - ",'906MP'!P936,", ",'906MP'!E936),"nincs megjegyzés")</f>
        <v>nincs megjegyzés</v>
      </c>
      <c r="V1236" t="str">
        <f t="shared" si="361"/>
        <v>0P0</v>
      </c>
      <c r="W1236" t="str">
        <f t="shared" si="362"/>
        <v>0P0</v>
      </c>
      <c r="X1236" t="str">
        <f t="shared" si="363"/>
        <v>P0</v>
      </c>
      <c r="Y1236" t="str">
        <f t="shared" si="364"/>
        <v>00</v>
      </c>
      <c r="Z1236" t="str">
        <f t="shared" si="375"/>
        <v>00</v>
      </c>
      <c r="AA1236" t="str">
        <f t="shared" si="365"/>
        <v>00</v>
      </c>
      <c r="AB1236" t="str">
        <f t="shared" si="366"/>
        <v>00</v>
      </c>
      <c r="AC1236" t="str">
        <f t="shared" si="367"/>
        <v>0P0</v>
      </c>
      <c r="AD1236" t="str">
        <f t="shared" si="368"/>
        <v>P00</v>
      </c>
      <c r="AE1236" t="str">
        <f t="shared" si="369"/>
        <v>0P0</v>
      </c>
      <c r="AF1236" t="str">
        <f t="shared" si="370"/>
        <v>P00</v>
      </c>
      <c r="AG1236" t="str">
        <f t="shared" si="376"/>
        <v>0P00</v>
      </c>
      <c r="AH1236" t="str">
        <f t="shared" si="377"/>
        <v>P000</v>
      </c>
      <c r="AI1236" t="str">
        <f t="shared" si="378"/>
        <v>0P00</v>
      </c>
      <c r="AJ1236" t="str">
        <f t="shared" si="379"/>
        <v>P000</v>
      </c>
    </row>
    <row r="1237" spans="1:36" x14ac:dyDescent="0.25">
      <c r="A1237" s="325" t="str">
        <f>CONCATENATE("P",'906MP'!M937)</f>
        <v>P</v>
      </c>
      <c r="B1237">
        <f>'906MP'!H937</f>
        <v>0</v>
      </c>
      <c r="C1237">
        <f>'906MP'!J937</f>
        <v>0</v>
      </c>
      <c r="D1237">
        <f>'906MP'!P937</f>
        <v>0</v>
      </c>
      <c r="E1237">
        <f>'906MP'!X937</f>
        <v>0</v>
      </c>
      <c r="F1237" t="str">
        <f t="shared" si="371"/>
        <v>0</v>
      </c>
      <c r="G1237" t="str">
        <f t="shared" si="372"/>
        <v>0</v>
      </c>
      <c r="H1237">
        <f>'906MP'!Y937</f>
        <v>0</v>
      </c>
      <c r="I1237">
        <f>'906MP'!AK937</f>
        <v>0</v>
      </c>
      <c r="J1237">
        <f>'906MP'!T937</f>
        <v>0</v>
      </c>
      <c r="K1237">
        <f>'906MP'!AJ937</f>
        <v>0</v>
      </c>
      <c r="L1237">
        <f>'906MP'!U937</f>
        <v>0</v>
      </c>
      <c r="M1237" s="322" t="str">
        <f>IFERROR(VLOOKUP(A1237,PAR!$D$3:$E$53,2,FALSE),"nincs szervezet")</f>
        <v>nincs szervezet</v>
      </c>
      <c r="N1237" s="322" t="str">
        <f>VLOOKUP(F1237,PAR!$R$3:$S$5,2,FALSE)</f>
        <v>3 - egyik sem</v>
      </c>
      <c r="O1237" t="str">
        <f>IFERROR(VLOOKUP(J1237,PAR!$O$3:$P$5,2,FALSE),"nincs feladat")</f>
        <v>nincs feladat</v>
      </c>
      <c r="P1237" t="str">
        <f>IFERROR(VLOOKUP(G1237,PAR!$J$2:$M$19,4),"nincs rovat")</f>
        <v>nincs rovat</v>
      </c>
      <c r="Q1237" t="str">
        <f>IF(H1237&gt;0,VLOOKUP(H1237,PAR!$AA$3:$AC$187,3,FALSE),"nincs főkönyvi számla")</f>
        <v>nincs főkönyvi számla</v>
      </c>
      <c r="R1237" t="str">
        <f>IFERROR(VLOOKUP(K1237,PAR!$V$3:$X$438,3,FALSE),"000000 - Nincs COFOG")</f>
        <v>000000 - Nincs COFOG</v>
      </c>
      <c r="S1237">
        <f t="shared" si="373"/>
        <v>0</v>
      </c>
      <c r="T1237">
        <f t="shared" si="374"/>
        <v>0</v>
      </c>
      <c r="U1237" t="str">
        <f>IF('906MP'!J937&gt;0,CONCATENATE('906MP'!J937," - ",'906MP'!P937,", ",'906MP'!E937),"nincs megjegyzés")</f>
        <v>nincs megjegyzés</v>
      </c>
      <c r="V1237" t="str">
        <f t="shared" si="361"/>
        <v>0P0</v>
      </c>
      <c r="W1237" t="str">
        <f t="shared" si="362"/>
        <v>0P0</v>
      </c>
      <c r="X1237" t="str">
        <f t="shared" si="363"/>
        <v>P0</v>
      </c>
      <c r="Y1237" t="str">
        <f t="shared" si="364"/>
        <v>00</v>
      </c>
      <c r="Z1237" t="str">
        <f t="shared" si="375"/>
        <v>00</v>
      </c>
      <c r="AA1237" t="str">
        <f t="shared" si="365"/>
        <v>00</v>
      </c>
      <c r="AB1237" t="str">
        <f t="shared" si="366"/>
        <v>00</v>
      </c>
      <c r="AC1237" t="str">
        <f t="shared" si="367"/>
        <v>0P0</v>
      </c>
      <c r="AD1237" t="str">
        <f t="shared" si="368"/>
        <v>P00</v>
      </c>
      <c r="AE1237" t="str">
        <f t="shared" si="369"/>
        <v>0P0</v>
      </c>
      <c r="AF1237" t="str">
        <f t="shared" si="370"/>
        <v>P00</v>
      </c>
      <c r="AG1237" t="str">
        <f t="shared" si="376"/>
        <v>0P00</v>
      </c>
      <c r="AH1237" t="str">
        <f t="shared" si="377"/>
        <v>P000</v>
      </c>
      <c r="AI1237" t="str">
        <f t="shared" si="378"/>
        <v>0P00</v>
      </c>
      <c r="AJ1237" t="str">
        <f t="shared" si="379"/>
        <v>P000</v>
      </c>
    </row>
    <row r="1238" spans="1:36" x14ac:dyDescent="0.25">
      <c r="A1238" s="325" t="str">
        <f>CONCATENATE("P",'906MP'!M938)</f>
        <v>P</v>
      </c>
      <c r="B1238">
        <f>'906MP'!H938</f>
        <v>0</v>
      </c>
      <c r="C1238">
        <f>'906MP'!J938</f>
        <v>0</v>
      </c>
      <c r="D1238">
        <f>'906MP'!P938</f>
        <v>0</v>
      </c>
      <c r="E1238">
        <f>'906MP'!X938</f>
        <v>0</v>
      </c>
      <c r="F1238" t="str">
        <f t="shared" si="371"/>
        <v>0</v>
      </c>
      <c r="G1238" t="str">
        <f t="shared" si="372"/>
        <v>0</v>
      </c>
      <c r="H1238">
        <f>'906MP'!Y938</f>
        <v>0</v>
      </c>
      <c r="I1238">
        <f>'906MP'!AK938</f>
        <v>0</v>
      </c>
      <c r="J1238">
        <f>'906MP'!T938</f>
        <v>0</v>
      </c>
      <c r="K1238">
        <f>'906MP'!AJ938</f>
        <v>0</v>
      </c>
      <c r="L1238">
        <f>'906MP'!U938</f>
        <v>0</v>
      </c>
      <c r="M1238" s="322" t="str">
        <f>IFERROR(VLOOKUP(A1238,PAR!$D$3:$E$53,2,FALSE),"nincs szervezet")</f>
        <v>nincs szervezet</v>
      </c>
      <c r="N1238" s="322" t="str">
        <f>VLOOKUP(F1238,PAR!$R$3:$S$5,2,FALSE)</f>
        <v>3 - egyik sem</v>
      </c>
      <c r="O1238" t="str">
        <f>IFERROR(VLOOKUP(J1238,PAR!$O$3:$P$5,2,FALSE),"nincs feladat")</f>
        <v>nincs feladat</v>
      </c>
      <c r="P1238" t="str">
        <f>IFERROR(VLOOKUP(G1238,PAR!$J$2:$M$19,4),"nincs rovat")</f>
        <v>nincs rovat</v>
      </c>
      <c r="Q1238" t="str">
        <f>IF(H1238&gt;0,VLOOKUP(H1238,PAR!$AA$3:$AC$187,3,FALSE),"nincs főkönyvi számla")</f>
        <v>nincs főkönyvi számla</v>
      </c>
      <c r="R1238" t="str">
        <f>IFERROR(VLOOKUP(K1238,PAR!$V$3:$X$438,3,FALSE),"000000 - Nincs COFOG")</f>
        <v>000000 - Nincs COFOG</v>
      </c>
      <c r="S1238">
        <f t="shared" si="373"/>
        <v>0</v>
      </c>
      <c r="T1238">
        <f t="shared" si="374"/>
        <v>0</v>
      </c>
      <c r="U1238" t="str">
        <f>IF('906MP'!J938&gt;0,CONCATENATE('906MP'!J938," - ",'906MP'!P938,", ",'906MP'!E938),"nincs megjegyzés")</f>
        <v>nincs megjegyzés</v>
      </c>
      <c r="V1238" t="str">
        <f t="shared" si="361"/>
        <v>0P0</v>
      </c>
      <c r="W1238" t="str">
        <f t="shared" si="362"/>
        <v>0P0</v>
      </c>
      <c r="X1238" t="str">
        <f t="shared" si="363"/>
        <v>P0</v>
      </c>
      <c r="Y1238" t="str">
        <f t="shared" si="364"/>
        <v>00</v>
      </c>
      <c r="Z1238" t="str">
        <f t="shared" si="375"/>
        <v>00</v>
      </c>
      <c r="AA1238" t="str">
        <f t="shared" si="365"/>
        <v>00</v>
      </c>
      <c r="AB1238" t="str">
        <f t="shared" si="366"/>
        <v>00</v>
      </c>
      <c r="AC1238" t="str">
        <f t="shared" si="367"/>
        <v>0P0</v>
      </c>
      <c r="AD1238" t="str">
        <f t="shared" si="368"/>
        <v>P00</v>
      </c>
      <c r="AE1238" t="str">
        <f t="shared" si="369"/>
        <v>0P0</v>
      </c>
      <c r="AF1238" t="str">
        <f t="shared" si="370"/>
        <v>P00</v>
      </c>
      <c r="AG1238" t="str">
        <f t="shared" si="376"/>
        <v>0P00</v>
      </c>
      <c r="AH1238" t="str">
        <f t="shared" si="377"/>
        <v>P000</v>
      </c>
      <c r="AI1238" t="str">
        <f t="shared" si="378"/>
        <v>0P00</v>
      </c>
      <c r="AJ1238" t="str">
        <f t="shared" si="379"/>
        <v>P000</v>
      </c>
    </row>
    <row r="1239" spans="1:36" x14ac:dyDescent="0.25">
      <c r="A1239" s="325" t="str">
        <f>CONCATENATE("P",'906MP'!M939)</f>
        <v>P</v>
      </c>
      <c r="B1239">
        <f>'906MP'!H939</f>
        <v>0</v>
      </c>
      <c r="C1239">
        <f>'906MP'!J939</f>
        <v>0</v>
      </c>
      <c r="D1239">
        <f>'906MP'!P939</f>
        <v>0</v>
      </c>
      <c r="E1239">
        <f>'906MP'!X939</f>
        <v>0</v>
      </c>
      <c r="F1239" t="str">
        <f t="shared" si="371"/>
        <v>0</v>
      </c>
      <c r="G1239" t="str">
        <f t="shared" si="372"/>
        <v>0</v>
      </c>
      <c r="H1239">
        <f>'906MP'!Y939</f>
        <v>0</v>
      </c>
      <c r="I1239">
        <f>'906MP'!AK939</f>
        <v>0</v>
      </c>
      <c r="J1239">
        <f>'906MP'!T939</f>
        <v>0</v>
      </c>
      <c r="K1239">
        <f>'906MP'!AJ939</f>
        <v>0</v>
      </c>
      <c r="L1239">
        <f>'906MP'!U939</f>
        <v>0</v>
      </c>
      <c r="M1239" s="322" t="str">
        <f>IFERROR(VLOOKUP(A1239,PAR!$D$3:$E$53,2,FALSE),"nincs szervezet")</f>
        <v>nincs szervezet</v>
      </c>
      <c r="N1239" s="322" t="str">
        <f>VLOOKUP(F1239,PAR!$R$3:$S$5,2,FALSE)</f>
        <v>3 - egyik sem</v>
      </c>
      <c r="O1239" t="str">
        <f>IFERROR(VLOOKUP(J1239,PAR!$O$3:$P$5,2,FALSE),"nincs feladat")</f>
        <v>nincs feladat</v>
      </c>
      <c r="P1239" t="str">
        <f>IFERROR(VLOOKUP(G1239,PAR!$J$2:$M$19,4),"nincs rovat")</f>
        <v>nincs rovat</v>
      </c>
      <c r="Q1239" t="str">
        <f>IF(H1239&gt;0,VLOOKUP(H1239,PAR!$AA$3:$AC$187,3,FALSE),"nincs főkönyvi számla")</f>
        <v>nincs főkönyvi számla</v>
      </c>
      <c r="R1239" t="str">
        <f>IFERROR(VLOOKUP(K1239,PAR!$V$3:$X$438,3,FALSE),"000000 - Nincs COFOG")</f>
        <v>000000 - Nincs COFOG</v>
      </c>
      <c r="S1239">
        <f t="shared" si="373"/>
        <v>0</v>
      </c>
      <c r="T1239">
        <f t="shared" si="374"/>
        <v>0</v>
      </c>
      <c r="U1239" t="str">
        <f>IF('906MP'!J939&gt;0,CONCATENATE('906MP'!J939," - ",'906MP'!P939,", ",'906MP'!E939),"nincs megjegyzés")</f>
        <v>nincs megjegyzés</v>
      </c>
      <c r="V1239" t="str">
        <f t="shared" si="361"/>
        <v>0P0</v>
      </c>
      <c r="W1239" t="str">
        <f t="shared" si="362"/>
        <v>0P0</v>
      </c>
      <c r="X1239" t="str">
        <f t="shared" si="363"/>
        <v>P0</v>
      </c>
      <c r="Y1239" t="str">
        <f t="shared" si="364"/>
        <v>00</v>
      </c>
      <c r="Z1239" t="str">
        <f t="shared" si="375"/>
        <v>00</v>
      </c>
      <c r="AA1239" t="str">
        <f t="shared" si="365"/>
        <v>00</v>
      </c>
      <c r="AB1239" t="str">
        <f t="shared" si="366"/>
        <v>00</v>
      </c>
      <c r="AC1239" t="str">
        <f t="shared" si="367"/>
        <v>0P0</v>
      </c>
      <c r="AD1239" t="str">
        <f t="shared" si="368"/>
        <v>P00</v>
      </c>
      <c r="AE1239" t="str">
        <f t="shared" si="369"/>
        <v>0P0</v>
      </c>
      <c r="AF1239" t="str">
        <f t="shared" si="370"/>
        <v>P00</v>
      </c>
      <c r="AG1239" t="str">
        <f t="shared" si="376"/>
        <v>0P00</v>
      </c>
      <c r="AH1239" t="str">
        <f t="shared" si="377"/>
        <v>P000</v>
      </c>
      <c r="AI1239" t="str">
        <f t="shared" si="378"/>
        <v>0P00</v>
      </c>
      <c r="AJ1239" t="str">
        <f t="shared" si="379"/>
        <v>P000</v>
      </c>
    </row>
    <row r="1240" spans="1:36" x14ac:dyDescent="0.25">
      <c r="A1240" s="325" t="str">
        <f>CONCATENATE("P",'906MP'!M940)</f>
        <v>P</v>
      </c>
      <c r="B1240">
        <f>'906MP'!H940</f>
        <v>0</v>
      </c>
      <c r="C1240">
        <f>'906MP'!J940</f>
        <v>0</v>
      </c>
      <c r="D1240">
        <f>'906MP'!P940</f>
        <v>0</v>
      </c>
      <c r="E1240">
        <f>'906MP'!X940</f>
        <v>0</v>
      </c>
      <c r="F1240" t="str">
        <f t="shared" si="371"/>
        <v>0</v>
      </c>
      <c r="G1240" t="str">
        <f t="shared" si="372"/>
        <v>0</v>
      </c>
      <c r="H1240">
        <f>'906MP'!Y940</f>
        <v>0</v>
      </c>
      <c r="I1240">
        <f>'906MP'!AK940</f>
        <v>0</v>
      </c>
      <c r="J1240">
        <f>'906MP'!T940</f>
        <v>0</v>
      </c>
      <c r="K1240">
        <f>'906MP'!AJ940</f>
        <v>0</v>
      </c>
      <c r="L1240">
        <f>'906MP'!U940</f>
        <v>0</v>
      </c>
      <c r="M1240" s="322" t="str">
        <f>IFERROR(VLOOKUP(A1240,PAR!$D$3:$E$53,2,FALSE),"nincs szervezet")</f>
        <v>nincs szervezet</v>
      </c>
      <c r="N1240" s="322" t="str">
        <f>VLOOKUP(F1240,PAR!$R$3:$S$5,2,FALSE)</f>
        <v>3 - egyik sem</v>
      </c>
      <c r="O1240" t="str">
        <f>IFERROR(VLOOKUP(J1240,PAR!$O$3:$P$5,2,FALSE),"nincs feladat")</f>
        <v>nincs feladat</v>
      </c>
      <c r="P1240" t="str">
        <f>IFERROR(VLOOKUP(G1240,PAR!$J$2:$M$19,4),"nincs rovat")</f>
        <v>nincs rovat</v>
      </c>
      <c r="Q1240" t="str">
        <f>IF(H1240&gt;0,VLOOKUP(H1240,PAR!$AA$3:$AC$187,3,FALSE),"nincs főkönyvi számla")</f>
        <v>nincs főkönyvi számla</v>
      </c>
      <c r="R1240" t="str">
        <f>IFERROR(VLOOKUP(K1240,PAR!$V$3:$X$438,3,FALSE),"000000 - Nincs COFOG")</f>
        <v>000000 - Nincs COFOG</v>
      </c>
      <c r="S1240">
        <f t="shared" si="373"/>
        <v>0</v>
      </c>
      <c r="T1240">
        <f t="shared" si="374"/>
        <v>0</v>
      </c>
      <c r="U1240" t="str">
        <f>IF('906MP'!J940&gt;0,CONCATENATE('906MP'!J940," - ",'906MP'!P940,", ",'906MP'!E940),"nincs megjegyzés")</f>
        <v>nincs megjegyzés</v>
      </c>
      <c r="V1240" t="str">
        <f t="shared" si="361"/>
        <v>0P0</v>
      </c>
      <c r="W1240" t="str">
        <f t="shared" si="362"/>
        <v>0P0</v>
      </c>
      <c r="X1240" t="str">
        <f t="shared" si="363"/>
        <v>P0</v>
      </c>
      <c r="Y1240" t="str">
        <f t="shared" si="364"/>
        <v>00</v>
      </c>
      <c r="Z1240" t="str">
        <f t="shared" si="375"/>
        <v>00</v>
      </c>
      <c r="AA1240" t="str">
        <f t="shared" si="365"/>
        <v>00</v>
      </c>
      <c r="AB1240" t="str">
        <f t="shared" si="366"/>
        <v>00</v>
      </c>
      <c r="AC1240" t="str">
        <f t="shared" si="367"/>
        <v>0P0</v>
      </c>
      <c r="AD1240" t="str">
        <f t="shared" si="368"/>
        <v>P00</v>
      </c>
      <c r="AE1240" t="str">
        <f t="shared" si="369"/>
        <v>0P0</v>
      </c>
      <c r="AF1240" t="str">
        <f t="shared" si="370"/>
        <v>P00</v>
      </c>
      <c r="AG1240" t="str">
        <f t="shared" si="376"/>
        <v>0P00</v>
      </c>
      <c r="AH1240" t="str">
        <f t="shared" si="377"/>
        <v>P000</v>
      </c>
      <c r="AI1240" t="str">
        <f t="shared" si="378"/>
        <v>0P00</v>
      </c>
      <c r="AJ1240" t="str">
        <f t="shared" si="379"/>
        <v>P000</v>
      </c>
    </row>
    <row r="1241" spans="1:36" x14ac:dyDescent="0.25">
      <c r="A1241" s="325" t="str">
        <f>CONCATENATE("P",'906MP'!M941)</f>
        <v>P</v>
      </c>
      <c r="B1241">
        <f>'906MP'!H941</f>
        <v>0</v>
      </c>
      <c r="C1241">
        <f>'906MP'!J941</f>
        <v>0</v>
      </c>
      <c r="D1241">
        <f>'906MP'!P941</f>
        <v>0</v>
      </c>
      <c r="E1241">
        <f>'906MP'!X941</f>
        <v>0</v>
      </c>
      <c r="F1241" t="str">
        <f t="shared" si="371"/>
        <v>0</v>
      </c>
      <c r="G1241" t="str">
        <f t="shared" si="372"/>
        <v>0</v>
      </c>
      <c r="H1241">
        <f>'906MP'!Y941</f>
        <v>0</v>
      </c>
      <c r="I1241">
        <f>'906MP'!AK941</f>
        <v>0</v>
      </c>
      <c r="J1241">
        <f>'906MP'!T941</f>
        <v>0</v>
      </c>
      <c r="K1241">
        <f>'906MP'!AJ941</f>
        <v>0</v>
      </c>
      <c r="L1241">
        <f>'906MP'!U941</f>
        <v>0</v>
      </c>
      <c r="M1241" s="322" t="str">
        <f>IFERROR(VLOOKUP(A1241,PAR!$D$3:$E$53,2,FALSE),"nincs szervezet")</f>
        <v>nincs szervezet</v>
      </c>
      <c r="N1241" s="322" t="str">
        <f>VLOOKUP(F1241,PAR!$R$3:$S$5,2,FALSE)</f>
        <v>3 - egyik sem</v>
      </c>
      <c r="O1241" t="str">
        <f>IFERROR(VLOOKUP(J1241,PAR!$O$3:$P$5,2,FALSE),"nincs feladat")</f>
        <v>nincs feladat</v>
      </c>
      <c r="P1241" t="str">
        <f>IFERROR(VLOOKUP(G1241,PAR!$J$2:$M$19,4),"nincs rovat")</f>
        <v>nincs rovat</v>
      </c>
      <c r="Q1241" t="str">
        <f>IF(H1241&gt;0,VLOOKUP(H1241,PAR!$AA$3:$AC$187,3,FALSE),"nincs főkönyvi számla")</f>
        <v>nincs főkönyvi számla</v>
      </c>
      <c r="R1241" t="str">
        <f>IFERROR(VLOOKUP(K1241,PAR!$V$3:$X$438,3,FALSE),"000000 - Nincs COFOG")</f>
        <v>000000 - Nincs COFOG</v>
      </c>
      <c r="S1241">
        <f t="shared" si="373"/>
        <v>0</v>
      </c>
      <c r="T1241">
        <f t="shared" si="374"/>
        <v>0</v>
      </c>
      <c r="U1241" t="str">
        <f>IF('906MP'!J941&gt;0,CONCATENATE('906MP'!J941," - ",'906MP'!P941,", ",'906MP'!E941),"nincs megjegyzés")</f>
        <v>nincs megjegyzés</v>
      </c>
      <c r="V1241" t="str">
        <f t="shared" si="361"/>
        <v>0P0</v>
      </c>
      <c r="W1241" t="str">
        <f t="shared" si="362"/>
        <v>0P0</v>
      </c>
      <c r="X1241" t="str">
        <f t="shared" si="363"/>
        <v>P0</v>
      </c>
      <c r="Y1241" t="str">
        <f t="shared" si="364"/>
        <v>00</v>
      </c>
      <c r="Z1241" t="str">
        <f t="shared" si="375"/>
        <v>00</v>
      </c>
      <c r="AA1241" t="str">
        <f t="shared" si="365"/>
        <v>00</v>
      </c>
      <c r="AB1241" t="str">
        <f t="shared" si="366"/>
        <v>00</v>
      </c>
      <c r="AC1241" t="str">
        <f t="shared" si="367"/>
        <v>0P0</v>
      </c>
      <c r="AD1241" t="str">
        <f t="shared" si="368"/>
        <v>P00</v>
      </c>
      <c r="AE1241" t="str">
        <f t="shared" si="369"/>
        <v>0P0</v>
      </c>
      <c r="AF1241" t="str">
        <f t="shared" si="370"/>
        <v>P00</v>
      </c>
      <c r="AG1241" t="str">
        <f t="shared" si="376"/>
        <v>0P00</v>
      </c>
      <c r="AH1241" t="str">
        <f t="shared" si="377"/>
        <v>P000</v>
      </c>
      <c r="AI1241" t="str">
        <f t="shared" si="378"/>
        <v>0P00</v>
      </c>
      <c r="AJ1241" t="str">
        <f t="shared" si="379"/>
        <v>P000</v>
      </c>
    </row>
    <row r="1242" spans="1:36" x14ac:dyDescent="0.25">
      <c r="A1242" s="325" t="str">
        <f>CONCATENATE("P",'906MP'!M942)</f>
        <v>P</v>
      </c>
      <c r="B1242">
        <f>'906MP'!H942</f>
        <v>0</v>
      </c>
      <c r="C1242">
        <f>'906MP'!J942</f>
        <v>0</v>
      </c>
      <c r="D1242">
        <f>'906MP'!P942</f>
        <v>0</v>
      </c>
      <c r="E1242">
        <f>'906MP'!X942</f>
        <v>0</v>
      </c>
      <c r="F1242" t="str">
        <f t="shared" si="371"/>
        <v>0</v>
      </c>
      <c r="G1242" t="str">
        <f t="shared" si="372"/>
        <v>0</v>
      </c>
      <c r="H1242">
        <f>'906MP'!Y942</f>
        <v>0</v>
      </c>
      <c r="I1242">
        <f>'906MP'!AK942</f>
        <v>0</v>
      </c>
      <c r="J1242">
        <f>'906MP'!T942</f>
        <v>0</v>
      </c>
      <c r="K1242">
        <f>'906MP'!AJ942</f>
        <v>0</v>
      </c>
      <c r="L1242">
        <f>'906MP'!U942</f>
        <v>0</v>
      </c>
      <c r="M1242" s="322" t="str">
        <f>IFERROR(VLOOKUP(A1242,PAR!$D$3:$E$53,2,FALSE),"nincs szervezet")</f>
        <v>nincs szervezet</v>
      </c>
      <c r="N1242" s="322" t="str">
        <f>VLOOKUP(F1242,PAR!$R$3:$S$5,2,FALSE)</f>
        <v>3 - egyik sem</v>
      </c>
      <c r="O1242" t="str">
        <f>IFERROR(VLOOKUP(J1242,PAR!$O$3:$P$5,2,FALSE),"nincs feladat")</f>
        <v>nincs feladat</v>
      </c>
      <c r="P1242" t="str">
        <f>IFERROR(VLOOKUP(G1242,PAR!$J$2:$M$19,4),"nincs rovat")</f>
        <v>nincs rovat</v>
      </c>
      <c r="Q1242" t="str">
        <f>IF(H1242&gt;0,VLOOKUP(H1242,PAR!$AA$3:$AC$187,3,FALSE),"nincs főkönyvi számla")</f>
        <v>nincs főkönyvi számla</v>
      </c>
      <c r="R1242" t="str">
        <f>IFERROR(VLOOKUP(K1242,PAR!$V$3:$X$438,3,FALSE),"000000 - Nincs COFOG")</f>
        <v>000000 - Nincs COFOG</v>
      </c>
      <c r="S1242">
        <f t="shared" si="373"/>
        <v>0</v>
      </c>
      <c r="T1242">
        <f t="shared" si="374"/>
        <v>0</v>
      </c>
      <c r="U1242" t="str">
        <f>IF('906MP'!J942&gt;0,CONCATENATE('906MP'!J942," - ",'906MP'!P942,", ",'906MP'!E942),"nincs megjegyzés")</f>
        <v>nincs megjegyzés</v>
      </c>
      <c r="V1242" t="str">
        <f t="shared" si="361"/>
        <v>0P0</v>
      </c>
      <c r="W1242" t="str">
        <f t="shared" si="362"/>
        <v>0P0</v>
      </c>
      <c r="X1242" t="str">
        <f t="shared" si="363"/>
        <v>P0</v>
      </c>
      <c r="Y1242" t="str">
        <f t="shared" si="364"/>
        <v>00</v>
      </c>
      <c r="Z1242" t="str">
        <f t="shared" si="375"/>
        <v>00</v>
      </c>
      <c r="AA1242" t="str">
        <f t="shared" si="365"/>
        <v>00</v>
      </c>
      <c r="AB1242" t="str">
        <f t="shared" si="366"/>
        <v>00</v>
      </c>
      <c r="AC1242" t="str">
        <f t="shared" si="367"/>
        <v>0P0</v>
      </c>
      <c r="AD1242" t="str">
        <f t="shared" si="368"/>
        <v>P00</v>
      </c>
      <c r="AE1242" t="str">
        <f t="shared" si="369"/>
        <v>0P0</v>
      </c>
      <c r="AF1242" t="str">
        <f t="shared" si="370"/>
        <v>P00</v>
      </c>
      <c r="AG1242" t="str">
        <f t="shared" si="376"/>
        <v>0P00</v>
      </c>
      <c r="AH1242" t="str">
        <f t="shared" si="377"/>
        <v>P000</v>
      </c>
      <c r="AI1242" t="str">
        <f t="shared" si="378"/>
        <v>0P00</v>
      </c>
      <c r="AJ1242" t="str">
        <f t="shared" si="379"/>
        <v>P000</v>
      </c>
    </row>
    <row r="1243" spans="1:36" x14ac:dyDescent="0.25">
      <c r="A1243" s="325" t="str">
        <f>CONCATENATE("P",'906MP'!M943)</f>
        <v>P</v>
      </c>
      <c r="B1243">
        <f>'906MP'!H943</f>
        <v>0</v>
      </c>
      <c r="C1243">
        <f>'906MP'!J943</f>
        <v>0</v>
      </c>
      <c r="D1243">
        <f>'906MP'!P943</f>
        <v>0</v>
      </c>
      <c r="E1243">
        <f>'906MP'!X943</f>
        <v>0</v>
      </c>
      <c r="F1243" t="str">
        <f t="shared" si="371"/>
        <v>0</v>
      </c>
      <c r="G1243" t="str">
        <f t="shared" si="372"/>
        <v>0</v>
      </c>
      <c r="H1243">
        <f>'906MP'!Y943</f>
        <v>0</v>
      </c>
      <c r="I1243">
        <f>'906MP'!AK943</f>
        <v>0</v>
      </c>
      <c r="J1243">
        <f>'906MP'!T943</f>
        <v>0</v>
      </c>
      <c r="K1243">
        <f>'906MP'!AJ943</f>
        <v>0</v>
      </c>
      <c r="L1243">
        <f>'906MP'!U943</f>
        <v>0</v>
      </c>
      <c r="M1243" s="322" t="str">
        <f>IFERROR(VLOOKUP(A1243,PAR!$D$3:$E$53,2,FALSE),"nincs szervezet")</f>
        <v>nincs szervezet</v>
      </c>
      <c r="N1243" s="322" t="str">
        <f>VLOOKUP(F1243,PAR!$R$3:$S$5,2,FALSE)</f>
        <v>3 - egyik sem</v>
      </c>
      <c r="O1243" t="str">
        <f>IFERROR(VLOOKUP(J1243,PAR!$O$3:$P$5,2,FALSE),"nincs feladat")</f>
        <v>nincs feladat</v>
      </c>
      <c r="P1243" t="str">
        <f>IFERROR(VLOOKUP(G1243,PAR!$J$2:$M$19,4),"nincs rovat")</f>
        <v>nincs rovat</v>
      </c>
      <c r="Q1243" t="str">
        <f>IF(H1243&gt;0,VLOOKUP(H1243,PAR!$AA$3:$AC$187,3,FALSE),"nincs főkönyvi számla")</f>
        <v>nincs főkönyvi számla</v>
      </c>
      <c r="R1243" t="str">
        <f>IFERROR(VLOOKUP(K1243,PAR!$V$3:$X$438,3,FALSE),"000000 - Nincs COFOG")</f>
        <v>000000 - Nincs COFOG</v>
      </c>
      <c r="S1243">
        <f t="shared" si="373"/>
        <v>0</v>
      </c>
      <c r="T1243">
        <f t="shared" si="374"/>
        <v>0</v>
      </c>
      <c r="U1243" t="str">
        <f>IF('906MP'!J943&gt;0,CONCATENATE('906MP'!J943," - ",'906MP'!P943,", ",'906MP'!E943),"nincs megjegyzés")</f>
        <v>nincs megjegyzés</v>
      </c>
      <c r="V1243" t="str">
        <f t="shared" si="361"/>
        <v>0P0</v>
      </c>
      <c r="W1243" t="str">
        <f t="shared" si="362"/>
        <v>0P0</v>
      </c>
      <c r="X1243" t="str">
        <f t="shared" si="363"/>
        <v>P0</v>
      </c>
      <c r="Y1243" t="str">
        <f t="shared" si="364"/>
        <v>00</v>
      </c>
      <c r="Z1243" t="str">
        <f t="shared" si="375"/>
        <v>00</v>
      </c>
      <c r="AA1243" t="str">
        <f t="shared" si="365"/>
        <v>00</v>
      </c>
      <c r="AB1243" t="str">
        <f t="shared" si="366"/>
        <v>00</v>
      </c>
      <c r="AC1243" t="str">
        <f t="shared" si="367"/>
        <v>0P0</v>
      </c>
      <c r="AD1243" t="str">
        <f t="shared" si="368"/>
        <v>P00</v>
      </c>
      <c r="AE1243" t="str">
        <f t="shared" si="369"/>
        <v>0P0</v>
      </c>
      <c r="AF1243" t="str">
        <f t="shared" si="370"/>
        <v>P00</v>
      </c>
      <c r="AG1243" t="str">
        <f t="shared" si="376"/>
        <v>0P00</v>
      </c>
      <c r="AH1243" t="str">
        <f t="shared" si="377"/>
        <v>P000</v>
      </c>
      <c r="AI1243" t="str">
        <f t="shared" si="378"/>
        <v>0P00</v>
      </c>
      <c r="AJ1243" t="str">
        <f t="shared" si="379"/>
        <v>P000</v>
      </c>
    </row>
    <row r="1244" spans="1:36" x14ac:dyDescent="0.25">
      <c r="A1244" s="325" t="str">
        <f>CONCATENATE("P",'906MP'!M944)</f>
        <v>P</v>
      </c>
      <c r="B1244">
        <f>'906MP'!H944</f>
        <v>0</v>
      </c>
      <c r="C1244">
        <f>'906MP'!J944</f>
        <v>0</v>
      </c>
      <c r="D1244">
        <f>'906MP'!P944</f>
        <v>0</v>
      </c>
      <c r="E1244">
        <f>'906MP'!X944</f>
        <v>0</v>
      </c>
      <c r="F1244" t="str">
        <f t="shared" si="371"/>
        <v>0</v>
      </c>
      <c r="G1244" t="str">
        <f t="shared" si="372"/>
        <v>0</v>
      </c>
      <c r="H1244">
        <f>'906MP'!Y944</f>
        <v>0</v>
      </c>
      <c r="I1244">
        <f>'906MP'!AK944</f>
        <v>0</v>
      </c>
      <c r="J1244">
        <f>'906MP'!T944</f>
        <v>0</v>
      </c>
      <c r="K1244">
        <f>'906MP'!AJ944</f>
        <v>0</v>
      </c>
      <c r="L1244">
        <f>'906MP'!U944</f>
        <v>0</v>
      </c>
      <c r="M1244" s="322" t="str">
        <f>IFERROR(VLOOKUP(A1244,PAR!$D$3:$E$53,2,FALSE),"nincs szervezet")</f>
        <v>nincs szervezet</v>
      </c>
      <c r="N1244" s="322" t="str">
        <f>VLOOKUP(F1244,PAR!$R$3:$S$5,2,FALSE)</f>
        <v>3 - egyik sem</v>
      </c>
      <c r="O1244" t="str">
        <f>IFERROR(VLOOKUP(J1244,PAR!$O$3:$P$5,2,FALSE),"nincs feladat")</f>
        <v>nincs feladat</v>
      </c>
      <c r="P1244" t="str">
        <f>IFERROR(VLOOKUP(G1244,PAR!$J$2:$M$19,4),"nincs rovat")</f>
        <v>nincs rovat</v>
      </c>
      <c r="Q1244" t="str">
        <f>IF(H1244&gt;0,VLOOKUP(H1244,PAR!$AA$3:$AC$187,3,FALSE),"nincs főkönyvi számla")</f>
        <v>nincs főkönyvi számla</v>
      </c>
      <c r="R1244" t="str">
        <f>IFERROR(VLOOKUP(K1244,PAR!$V$3:$X$438,3,FALSE),"000000 - Nincs COFOG")</f>
        <v>000000 - Nincs COFOG</v>
      </c>
      <c r="S1244">
        <f t="shared" si="373"/>
        <v>0</v>
      </c>
      <c r="T1244">
        <f t="shared" si="374"/>
        <v>0</v>
      </c>
      <c r="U1244" t="str">
        <f>IF('906MP'!J944&gt;0,CONCATENATE('906MP'!J944," - ",'906MP'!P944,", ",'906MP'!E944),"nincs megjegyzés")</f>
        <v>nincs megjegyzés</v>
      </c>
      <c r="V1244" t="str">
        <f t="shared" si="361"/>
        <v>0P0</v>
      </c>
      <c r="W1244" t="str">
        <f t="shared" si="362"/>
        <v>0P0</v>
      </c>
      <c r="X1244" t="str">
        <f t="shared" si="363"/>
        <v>P0</v>
      </c>
      <c r="Y1244" t="str">
        <f t="shared" si="364"/>
        <v>00</v>
      </c>
      <c r="Z1244" t="str">
        <f t="shared" si="375"/>
        <v>00</v>
      </c>
      <c r="AA1244" t="str">
        <f t="shared" si="365"/>
        <v>00</v>
      </c>
      <c r="AB1244" t="str">
        <f t="shared" si="366"/>
        <v>00</v>
      </c>
      <c r="AC1244" t="str">
        <f t="shared" si="367"/>
        <v>0P0</v>
      </c>
      <c r="AD1244" t="str">
        <f t="shared" si="368"/>
        <v>P00</v>
      </c>
      <c r="AE1244" t="str">
        <f t="shared" si="369"/>
        <v>0P0</v>
      </c>
      <c r="AF1244" t="str">
        <f t="shared" si="370"/>
        <v>P00</v>
      </c>
      <c r="AG1244" t="str">
        <f t="shared" si="376"/>
        <v>0P00</v>
      </c>
      <c r="AH1244" t="str">
        <f t="shared" si="377"/>
        <v>P000</v>
      </c>
      <c r="AI1244" t="str">
        <f t="shared" si="378"/>
        <v>0P00</v>
      </c>
      <c r="AJ1244" t="str">
        <f t="shared" si="379"/>
        <v>P000</v>
      </c>
    </row>
    <row r="1245" spans="1:36" x14ac:dyDescent="0.25">
      <c r="A1245" s="325" t="str">
        <f>CONCATENATE("P",'906MP'!M945)</f>
        <v>P</v>
      </c>
      <c r="B1245">
        <f>'906MP'!H945</f>
        <v>0</v>
      </c>
      <c r="C1245">
        <f>'906MP'!J945</f>
        <v>0</v>
      </c>
      <c r="D1245">
        <f>'906MP'!P945</f>
        <v>0</v>
      </c>
      <c r="E1245">
        <f>'906MP'!X945</f>
        <v>0</v>
      </c>
      <c r="F1245" t="str">
        <f t="shared" si="371"/>
        <v>0</v>
      </c>
      <c r="G1245" t="str">
        <f t="shared" si="372"/>
        <v>0</v>
      </c>
      <c r="H1245">
        <f>'906MP'!Y945</f>
        <v>0</v>
      </c>
      <c r="I1245">
        <f>'906MP'!AK945</f>
        <v>0</v>
      </c>
      <c r="J1245">
        <f>'906MP'!T945</f>
        <v>0</v>
      </c>
      <c r="K1245">
        <f>'906MP'!AJ945</f>
        <v>0</v>
      </c>
      <c r="L1245">
        <f>'906MP'!U945</f>
        <v>0</v>
      </c>
      <c r="M1245" s="322" t="str">
        <f>IFERROR(VLOOKUP(A1245,PAR!$D$3:$E$53,2,FALSE),"nincs szervezet")</f>
        <v>nincs szervezet</v>
      </c>
      <c r="N1245" s="322" t="str">
        <f>VLOOKUP(F1245,PAR!$R$3:$S$5,2,FALSE)</f>
        <v>3 - egyik sem</v>
      </c>
      <c r="O1245" t="str">
        <f>IFERROR(VLOOKUP(J1245,PAR!$O$3:$P$5,2,FALSE),"nincs feladat")</f>
        <v>nincs feladat</v>
      </c>
      <c r="P1245" t="str">
        <f>IFERROR(VLOOKUP(G1245,PAR!$J$2:$M$19,4),"nincs rovat")</f>
        <v>nincs rovat</v>
      </c>
      <c r="Q1245" t="str">
        <f>IF(H1245&gt;0,VLOOKUP(H1245,PAR!$AA$3:$AC$187,3,FALSE),"nincs főkönyvi számla")</f>
        <v>nincs főkönyvi számla</v>
      </c>
      <c r="R1245" t="str">
        <f>IFERROR(VLOOKUP(K1245,PAR!$V$3:$X$438,3,FALSE),"000000 - Nincs COFOG")</f>
        <v>000000 - Nincs COFOG</v>
      </c>
      <c r="S1245">
        <f t="shared" si="373"/>
        <v>0</v>
      </c>
      <c r="T1245">
        <f t="shared" si="374"/>
        <v>0</v>
      </c>
      <c r="U1245" t="str">
        <f>IF('906MP'!J945&gt;0,CONCATENATE('906MP'!J945," - ",'906MP'!P945,", ",'906MP'!E945),"nincs megjegyzés")</f>
        <v>nincs megjegyzés</v>
      </c>
      <c r="V1245" t="str">
        <f t="shared" si="361"/>
        <v>0P0</v>
      </c>
      <c r="W1245" t="str">
        <f t="shared" si="362"/>
        <v>0P0</v>
      </c>
      <c r="X1245" t="str">
        <f t="shared" si="363"/>
        <v>P0</v>
      </c>
      <c r="Y1245" t="str">
        <f t="shared" si="364"/>
        <v>00</v>
      </c>
      <c r="Z1245" t="str">
        <f t="shared" si="375"/>
        <v>00</v>
      </c>
      <c r="AA1245" t="str">
        <f t="shared" si="365"/>
        <v>00</v>
      </c>
      <c r="AB1245" t="str">
        <f t="shared" si="366"/>
        <v>00</v>
      </c>
      <c r="AC1245" t="str">
        <f t="shared" si="367"/>
        <v>0P0</v>
      </c>
      <c r="AD1245" t="str">
        <f t="shared" si="368"/>
        <v>P00</v>
      </c>
      <c r="AE1245" t="str">
        <f t="shared" si="369"/>
        <v>0P0</v>
      </c>
      <c r="AF1245" t="str">
        <f t="shared" si="370"/>
        <v>P00</v>
      </c>
      <c r="AG1245" t="str">
        <f t="shared" si="376"/>
        <v>0P00</v>
      </c>
      <c r="AH1245" t="str">
        <f t="shared" si="377"/>
        <v>P000</v>
      </c>
      <c r="AI1245" t="str">
        <f t="shared" si="378"/>
        <v>0P00</v>
      </c>
      <c r="AJ1245" t="str">
        <f t="shared" si="379"/>
        <v>P000</v>
      </c>
    </row>
    <row r="1246" spans="1:36" x14ac:dyDescent="0.25">
      <c r="A1246" s="325" t="str">
        <f>CONCATENATE("P",'906MP'!M946)</f>
        <v>P</v>
      </c>
      <c r="B1246">
        <f>'906MP'!H946</f>
        <v>0</v>
      </c>
      <c r="C1246">
        <f>'906MP'!J946</f>
        <v>0</v>
      </c>
      <c r="D1246">
        <f>'906MP'!P946</f>
        <v>0</v>
      </c>
      <c r="E1246">
        <f>'906MP'!X946</f>
        <v>0</v>
      </c>
      <c r="F1246" t="str">
        <f t="shared" si="371"/>
        <v>0</v>
      </c>
      <c r="G1246" t="str">
        <f t="shared" si="372"/>
        <v>0</v>
      </c>
      <c r="H1246">
        <f>'906MP'!Y946</f>
        <v>0</v>
      </c>
      <c r="I1246">
        <f>'906MP'!AK946</f>
        <v>0</v>
      </c>
      <c r="J1246">
        <f>'906MP'!T946</f>
        <v>0</v>
      </c>
      <c r="K1246">
        <f>'906MP'!AJ946</f>
        <v>0</v>
      </c>
      <c r="L1246">
        <f>'906MP'!U946</f>
        <v>0</v>
      </c>
      <c r="M1246" s="322" t="str">
        <f>IFERROR(VLOOKUP(A1246,PAR!$D$3:$E$53,2,FALSE),"nincs szervezet")</f>
        <v>nincs szervezet</v>
      </c>
      <c r="N1246" s="322" t="str">
        <f>VLOOKUP(F1246,PAR!$R$3:$S$5,2,FALSE)</f>
        <v>3 - egyik sem</v>
      </c>
      <c r="O1246" t="str">
        <f>IFERROR(VLOOKUP(J1246,PAR!$O$3:$P$5,2,FALSE),"nincs feladat")</f>
        <v>nincs feladat</v>
      </c>
      <c r="P1246" t="str">
        <f>IFERROR(VLOOKUP(G1246,PAR!$J$2:$M$19,4),"nincs rovat")</f>
        <v>nincs rovat</v>
      </c>
      <c r="Q1246" t="str">
        <f>IF(H1246&gt;0,VLOOKUP(H1246,PAR!$AA$3:$AC$187,3,FALSE),"nincs főkönyvi számla")</f>
        <v>nincs főkönyvi számla</v>
      </c>
      <c r="R1246" t="str">
        <f>IFERROR(VLOOKUP(K1246,PAR!$V$3:$X$438,3,FALSE),"000000 - Nincs COFOG")</f>
        <v>000000 - Nincs COFOG</v>
      </c>
      <c r="S1246">
        <f t="shared" si="373"/>
        <v>0</v>
      </c>
      <c r="T1246">
        <f t="shared" si="374"/>
        <v>0</v>
      </c>
      <c r="U1246" t="str">
        <f>IF('906MP'!J946&gt;0,CONCATENATE('906MP'!J946," - ",'906MP'!P946,", ",'906MP'!E946),"nincs megjegyzés")</f>
        <v>nincs megjegyzés</v>
      </c>
      <c r="V1246" t="str">
        <f t="shared" si="361"/>
        <v>0P0</v>
      </c>
      <c r="W1246" t="str">
        <f t="shared" si="362"/>
        <v>0P0</v>
      </c>
      <c r="X1246" t="str">
        <f t="shared" si="363"/>
        <v>P0</v>
      </c>
      <c r="Y1246" t="str">
        <f t="shared" si="364"/>
        <v>00</v>
      </c>
      <c r="Z1246" t="str">
        <f t="shared" si="375"/>
        <v>00</v>
      </c>
      <c r="AA1246" t="str">
        <f t="shared" si="365"/>
        <v>00</v>
      </c>
      <c r="AB1246" t="str">
        <f t="shared" si="366"/>
        <v>00</v>
      </c>
      <c r="AC1246" t="str">
        <f t="shared" si="367"/>
        <v>0P0</v>
      </c>
      <c r="AD1246" t="str">
        <f t="shared" si="368"/>
        <v>P00</v>
      </c>
      <c r="AE1246" t="str">
        <f t="shared" si="369"/>
        <v>0P0</v>
      </c>
      <c r="AF1246" t="str">
        <f t="shared" si="370"/>
        <v>P00</v>
      </c>
      <c r="AG1246" t="str">
        <f t="shared" si="376"/>
        <v>0P00</v>
      </c>
      <c r="AH1246" t="str">
        <f t="shared" si="377"/>
        <v>P000</v>
      </c>
      <c r="AI1246" t="str">
        <f t="shared" si="378"/>
        <v>0P00</v>
      </c>
      <c r="AJ1246" t="str">
        <f t="shared" si="379"/>
        <v>P000</v>
      </c>
    </row>
    <row r="1247" spans="1:36" x14ac:dyDescent="0.25">
      <c r="A1247" s="325" t="str">
        <f>CONCATENATE("P",'906MP'!M947)</f>
        <v>P</v>
      </c>
      <c r="B1247">
        <f>'906MP'!H947</f>
        <v>0</v>
      </c>
      <c r="C1247">
        <f>'906MP'!J947</f>
        <v>0</v>
      </c>
      <c r="D1247">
        <f>'906MP'!P947</f>
        <v>0</v>
      </c>
      <c r="E1247">
        <f>'906MP'!X947</f>
        <v>0</v>
      </c>
      <c r="F1247" t="str">
        <f t="shared" si="371"/>
        <v>0</v>
      </c>
      <c r="G1247" t="str">
        <f t="shared" si="372"/>
        <v>0</v>
      </c>
      <c r="H1247">
        <f>'906MP'!Y947</f>
        <v>0</v>
      </c>
      <c r="I1247">
        <f>'906MP'!AK947</f>
        <v>0</v>
      </c>
      <c r="J1247">
        <f>'906MP'!T947</f>
        <v>0</v>
      </c>
      <c r="K1247">
        <f>'906MP'!AJ947</f>
        <v>0</v>
      </c>
      <c r="L1247">
        <f>'906MP'!U947</f>
        <v>0</v>
      </c>
      <c r="M1247" s="322" t="str">
        <f>IFERROR(VLOOKUP(A1247,PAR!$D$3:$E$53,2,FALSE),"nincs szervezet")</f>
        <v>nincs szervezet</v>
      </c>
      <c r="N1247" s="322" t="str">
        <f>VLOOKUP(F1247,PAR!$R$3:$S$5,2,FALSE)</f>
        <v>3 - egyik sem</v>
      </c>
      <c r="O1247" t="str">
        <f>IFERROR(VLOOKUP(J1247,PAR!$O$3:$P$5,2,FALSE),"nincs feladat")</f>
        <v>nincs feladat</v>
      </c>
      <c r="P1247" t="str">
        <f>IFERROR(VLOOKUP(G1247,PAR!$J$2:$M$19,4),"nincs rovat")</f>
        <v>nincs rovat</v>
      </c>
      <c r="Q1247" t="str">
        <f>IF(H1247&gt;0,VLOOKUP(H1247,PAR!$AA$3:$AC$187,3,FALSE),"nincs főkönyvi számla")</f>
        <v>nincs főkönyvi számla</v>
      </c>
      <c r="R1247" t="str">
        <f>IFERROR(VLOOKUP(K1247,PAR!$V$3:$X$438,3,FALSE),"000000 - Nincs COFOG")</f>
        <v>000000 - Nincs COFOG</v>
      </c>
      <c r="S1247">
        <f t="shared" si="373"/>
        <v>0</v>
      </c>
      <c r="T1247">
        <f t="shared" si="374"/>
        <v>0</v>
      </c>
      <c r="U1247" t="str">
        <f>IF('906MP'!J947&gt;0,CONCATENATE('906MP'!J947," - ",'906MP'!P947,", ",'906MP'!E947),"nincs megjegyzés")</f>
        <v>nincs megjegyzés</v>
      </c>
      <c r="V1247" t="str">
        <f t="shared" si="361"/>
        <v>0P0</v>
      </c>
      <c r="W1247" t="str">
        <f t="shared" si="362"/>
        <v>0P0</v>
      </c>
      <c r="X1247" t="str">
        <f t="shared" si="363"/>
        <v>P0</v>
      </c>
      <c r="Y1247" t="str">
        <f t="shared" si="364"/>
        <v>00</v>
      </c>
      <c r="Z1247" t="str">
        <f t="shared" si="375"/>
        <v>00</v>
      </c>
      <c r="AA1247" t="str">
        <f t="shared" si="365"/>
        <v>00</v>
      </c>
      <c r="AB1247" t="str">
        <f t="shared" si="366"/>
        <v>00</v>
      </c>
      <c r="AC1247" t="str">
        <f t="shared" si="367"/>
        <v>0P0</v>
      </c>
      <c r="AD1247" t="str">
        <f t="shared" si="368"/>
        <v>P00</v>
      </c>
      <c r="AE1247" t="str">
        <f t="shared" si="369"/>
        <v>0P0</v>
      </c>
      <c r="AF1247" t="str">
        <f t="shared" si="370"/>
        <v>P00</v>
      </c>
      <c r="AG1247" t="str">
        <f t="shared" si="376"/>
        <v>0P00</v>
      </c>
      <c r="AH1247" t="str">
        <f t="shared" si="377"/>
        <v>P000</v>
      </c>
      <c r="AI1247" t="str">
        <f t="shared" si="378"/>
        <v>0P00</v>
      </c>
      <c r="AJ1247" t="str">
        <f t="shared" si="379"/>
        <v>P000</v>
      </c>
    </row>
    <row r="1248" spans="1:36" x14ac:dyDescent="0.25">
      <c r="A1248" s="325" t="str">
        <f>CONCATENATE("P",'906MP'!M948)</f>
        <v>P</v>
      </c>
      <c r="B1248">
        <f>'906MP'!H948</f>
        <v>0</v>
      </c>
      <c r="C1248">
        <f>'906MP'!J948</f>
        <v>0</v>
      </c>
      <c r="D1248">
        <f>'906MP'!P948</f>
        <v>0</v>
      </c>
      <c r="E1248">
        <f>'906MP'!X948</f>
        <v>0</v>
      </c>
      <c r="F1248" t="str">
        <f t="shared" si="371"/>
        <v>0</v>
      </c>
      <c r="G1248" t="str">
        <f t="shared" si="372"/>
        <v>0</v>
      </c>
      <c r="H1248">
        <f>'906MP'!Y948</f>
        <v>0</v>
      </c>
      <c r="I1248">
        <f>'906MP'!AK948</f>
        <v>0</v>
      </c>
      <c r="J1248">
        <f>'906MP'!T948</f>
        <v>0</v>
      </c>
      <c r="K1248">
        <f>'906MP'!AJ948</f>
        <v>0</v>
      </c>
      <c r="L1248">
        <f>'906MP'!U948</f>
        <v>0</v>
      </c>
      <c r="M1248" s="322" t="str">
        <f>IFERROR(VLOOKUP(A1248,PAR!$D$3:$E$53,2,FALSE),"nincs szervezet")</f>
        <v>nincs szervezet</v>
      </c>
      <c r="N1248" s="322" t="str">
        <f>VLOOKUP(F1248,PAR!$R$3:$S$5,2,FALSE)</f>
        <v>3 - egyik sem</v>
      </c>
      <c r="O1248" t="str">
        <f>IFERROR(VLOOKUP(J1248,PAR!$O$3:$P$5,2,FALSE),"nincs feladat")</f>
        <v>nincs feladat</v>
      </c>
      <c r="P1248" t="str">
        <f>IFERROR(VLOOKUP(G1248,PAR!$J$2:$M$19,4),"nincs rovat")</f>
        <v>nincs rovat</v>
      </c>
      <c r="Q1248" t="str">
        <f>IF(H1248&gt;0,VLOOKUP(H1248,PAR!$AA$3:$AC$187,3,FALSE),"nincs főkönyvi számla")</f>
        <v>nincs főkönyvi számla</v>
      </c>
      <c r="R1248" t="str">
        <f>IFERROR(VLOOKUP(K1248,PAR!$V$3:$X$438,3,FALSE),"000000 - Nincs COFOG")</f>
        <v>000000 - Nincs COFOG</v>
      </c>
      <c r="S1248">
        <f t="shared" si="373"/>
        <v>0</v>
      </c>
      <c r="T1248">
        <f t="shared" si="374"/>
        <v>0</v>
      </c>
      <c r="U1248" t="str">
        <f>IF('906MP'!J948&gt;0,CONCATENATE('906MP'!J948," - ",'906MP'!P948,", ",'906MP'!E948),"nincs megjegyzés")</f>
        <v>nincs megjegyzés</v>
      </c>
      <c r="V1248" t="str">
        <f t="shared" si="361"/>
        <v>0P0</v>
      </c>
      <c r="W1248" t="str">
        <f t="shared" si="362"/>
        <v>0P0</v>
      </c>
      <c r="X1248" t="str">
        <f t="shared" si="363"/>
        <v>P0</v>
      </c>
      <c r="Y1248" t="str">
        <f t="shared" si="364"/>
        <v>00</v>
      </c>
      <c r="Z1248" t="str">
        <f t="shared" si="375"/>
        <v>00</v>
      </c>
      <c r="AA1248" t="str">
        <f t="shared" si="365"/>
        <v>00</v>
      </c>
      <c r="AB1248" t="str">
        <f t="shared" si="366"/>
        <v>00</v>
      </c>
      <c r="AC1248" t="str">
        <f t="shared" si="367"/>
        <v>0P0</v>
      </c>
      <c r="AD1248" t="str">
        <f t="shared" si="368"/>
        <v>P00</v>
      </c>
      <c r="AE1248" t="str">
        <f t="shared" si="369"/>
        <v>0P0</v>
      </c>
      <c r="AF1248" t="str">
        <f t="shared" si="370"/>
        <v>P00</v>
      </c>
      <c r="AG1248" t="str">
        <f t="shared" si="376"/>
        <v>0P00</v>
      </c>
      <c r="AH1248" t="str">
        <f t="shared" si="377"/>
        <v>P000</v>
      </c>
      <c r="AI1248" t="str">
        <f t="shared" si="378"/>
        <v>0P00</v>
      </c>
      <c r="AJ1248" t="str">
        <f t="shared" si="379"/>
        <v>P000</v>
      </c>
    </row>
    <row r="1249" spans="1:36" x14ac:dyDescent="0.25">
      <c r="A1249" s="325" t="str">
        <f>CONCATENATE("P",'906MP'!M949)</f>
        <v>P</v>
      </c>
      <c r="B1249">
        <f>'906MP'!H949</f>
        <v>0</v>
      </c>
      <c r="C1249">
        <f>'906MP'!J949</f>
        <v>0</v>
      </c>
      <c r="D1249">
        <f>'906MP'!P949</f>
        <v>0</v>
      </c>
      <c r="E1249">
        <f>'906MP'!X949</f>
        <v>0</v>
      </c>
      <c r="F1249" t="str">
        <f t="shared" si="371"/>
        <v>0</v>
      </c>
      <c r="G1249" t="str">
        <f t="shared" si="372"/>
        <v>0</v>
      </c>
      <c r="H1249">
        <f>'906MP'!Y949</f>
        <v>0</v>
      </c>
      <c r="I1249">
        <f>'906MP'!AK949</f>
        <v>0</v>
      </c>
      <c r="J1249">
        <f>'906MP'!T949</f>
        <v>0</v>
      </c>
      <c r="K1249">
        <f>'906MP'!AJ949</f>
        <v>0</v>
      </c>
      <c r="L1249">
        <f>'906MP'!U949</f>
        <v>0</v>
      </c>
      <c r="M1249" s="322" t="str">
        <f>IFERROR(VLOOKUP(A1249,PAR!$D$3:$E$53,2,FALSE),"nincs szervezet")</f>
        <v>nincs szervezet</v>
      </c>
      <c r="N1249" s="322" t="str">
        <f>VLOOKUP(F1249,PAR!$R$3:$S$5,2,FALSE)</f>
        <v>3 - egyik sem</v>
      </c>
      <c r="O1249" t="str">
        <f>IFERROR(VLOOKUP(J1249,PAR!$O$3:$P$5,2,FALSE),"nincs feladat")</f>
        <v>nincs feladat</v>
      </c>
      <c r="P1249" t="str">
        <f>IFERROR(VLOOKUP(G1249,PAR!$J$2:$M$19,4),"nincs rovat")</f>
        <v>nincs rovat</v>
      </c>
      <c r="Q1249" t="str">
        <f>IF(H1249&gt;0,VLOOKUP(H1249,PAR!$AA$3:$AC$187,3,FALSE),"nincs főkönyvi számla")</f>
        <v>nincs főkönyvi számla</v>
      </c>
      <c r="R1249" t="str">
        <f>IFERROR(VLOOKUP(K1249,PAR!$V$3:$X$438,3,FALSE),"000000 - Nincs COFOG")</f>
        <v>000000 - Nincs COFOG</v>
      </c>
      <c r="S1249">
        <f t="shared" si="373"/>
        <v>0</v>
      </c>
      <c r="T1249">
        <f t="shared" si="374"/>
        <v>0</v>
      </c>
      <c r="U1249" t="str">
        <f>IF('906MP'!J949&gt;0,CONCATENATE('906MP'!J949," - ",'906MP'!P949,", ",'906MP'!E949),"nincs megjegyzés")</f>
        <v>nincs megjegyzés</v>
      </c>
      <c r="V1249" t="str">
        <f t="shared" si="361"/>
        <v>0P0</v>
      </c>
      <c r="W1249" t="str">
        <f t="shared" si="362"/>
        <v>0P0</v>
      </c>
      <c r="X1249" t="str">
        <f t="shared" si="363"/>
        <v>P0</v>
      </c>
      <c r="Y1249" t="str">
        <f t="shared" si="364"/>
        <v>00</v>
      </c>
      <c r="Z1249" t="str">
        <f t="shared" si="375"/>
        <v>00</v>
      </c>
      <c r="AA1249" t="str">
        <f t="shared" si="365"/>
        <v>00</v>
      </c>
      <c r="AB1249" t="str">
        <f t="shared" si="366"/>
        <v>00</v>
      </c>
      <c r="AC1249" t="str">
        <f t="shared" si="367"/>
        <v>0P0</v>
      </c>
      <c r="AD1249" t="str">
        <f t="shared" si="368"/>
        <v>P00</v>
      </c>
      <c r="AE1249" t="str">
        <f t="shared" si="369"/>
        <v>0P0</v>
      </c>
      <c r="AF1249" t="str">
        <f t="shared" si="370"/>
        <v>P00</v>
      </c>
      <c r="AG1249" t="str">
        <f t="shared" si="376"/>
        <v>0P00</v>
      </c>
      <c r="AH1249" t="str">
        <f t="shared" si="377"/>
        <v>P000</v>
      </c>
      <c r="AI1249" t="str">
        <f t="shared" si="378"/>
        <v>0P00</v>
      </c>
      <c r="AJ1249" t="str">
        <f t="shared" si="379"/>
        <v>P000</v>
      </c>
    </row>
    <row r="1250" spans="1:36" x14ac:dyDescent="0.25">
      <c r="A1250" s="325" t="str">
        <f>CONCATENATE("P",'906MP'!M950)</f>
        <v>P</v>
      </c>
      <c r="B1250">
        <f>'906MP'!H950</f>
        <v>0</v>
      </c>
      <c r="C1250">
        <f>'906MP'!J950</f>
        <v>0</v>
      </c>
      <c r="D1250">
        <f>'906MP'!P950</f>
        <v>0</v>
      </c>
      <c r="E1250">
        <f>'906MP'!X950</f>
        <v>0</v>
      </c>
      <c r="F1250" t="str">
        <f t="shared" si="371"/>
        <v>0</v>
      </c>
      <c r="G1250" t="str">
        <f t="shared" si="372"/>
        <v>0</v>
      </c>
      <c r="H1250">
        <f>'906MP'!Y950</f>
        <v>0</v>
      </c>
      <c r="I1250">
        <f>'906MP'!AK950</f>
        <v>0</v>
      </c>
      <c r="J1250">
        <f>'906MP'!T950</f>
        <v>0</v>
      </c>
      <c r="K1250">
        <f>'906MP'!AJ950</f>
        <v>0</v>
      </c>
      <c r="L1250">
        <f>'906MP'!U950</f>
        <v>0</v>
      </c>
      <c r="M1250" s="322" t="str">
        <f>IFERROR(VLOOKUP(A1250,PAR!$D$3:$E$53,2,FALSE),"nincs szervezet")</f>
        <v>nincs szervezet</v>
      </c>
      <c r="N1250" s="322" t="str">
        <f>VLOOKUP(F1250,PAR!$R$3:$S$5,2,FALSE)</f>
        <v>3 - egyik sem</v>
      </c>
      <c r="O1250" t="str">
        <f>IFERROR(VLOOKUP(J1250,PAR!$O$3:$P$5,2,FALSE),"nincs feladat")</f>
        <v>nincs feladat</v>
      </c>
      <c r="P1250" t="str">
        <f>IFERROR(VLOOKUP(G1250,PAR!$J$2:$M$19,4),"nincs rovat")</f>
        <v>nincs rovat</v>
      </c>
      <c r="Q1250" t="str">
        <f>IF(H1250&gt;0,VLOOKUP(H1250,PAR!$AA$3:$AC$187,3,FALSE),"nincs főkönyvi számla")</f>
        <v>nincs főkönyvi számla</v>
      </c>
      <c r="R1250" t="str">
        <f>IFERROR(VLOOKUP(K1250,PAR!$V$3:$X$438,3,FALSE),"000000 - Nincs COFOG")</f>
        <v>000000 - Nincs COFOG</v>
      </c>
      <c r="S1250">
        <f t="shared" si="373"/>
        <v>0</v>
      </c>
      <c r="T1250">
        <f t="shared" si="374"/>
        <v>0</v>
      </c>
      <c r="U1250" t="str">
        <f>IF('906MP'!J950&gt;0,CONCATENATE('906MP'!J950," - ",'906MP'!P950,", ",'906MP'!E950),"nincs megjegyzés")</f>
        <v>nincs megjegyzés</v>
      </c>
      <c r="V1250" t="str">
        <f t="shared" si="361"/>
        <v>0P0</v>
      </c>
      <c r="W1250" t="str">
        <f t="shared" si="362"/>
        <v>0P0</v>
      </c>
      <c r="X1250" t="str">
        <f t="shared" si="363"/>
        <v>P0</v>
      </c>
      <c r="Y1250" t="str">
        <f t="shared" si="364"/>
        <v>00</v>
      </c>
      <c r="Z1250" t="str">
        <f t="shared" si="375"/>
        <v>00</v>
      </c>
      <c r="AA1250" t="str">
        <f t="shared" si="365"/>
        <v>00</v>
      </c>
      <c r="AB1250" t="str">
        <f t="shared" si="366"/>
        <v>00</v>
      </c>
      <c r="AC1250" t="str">
        <f t="shared" si="367"/>
        <v>0P0</v>
      </c>
      <c r="AD1250" t="str">
        <f t="shared" si="368"/>
        <v>P00</v>
      </c>
      <c r="AE1250" t="str">
        <f t="shared" si="369"/>
        <v>0P0</v>
      </c>
      <c r="AF1250" t="str">
        <f t="shared" si="370"/>
        <v>P00</v>
      </c>
      <c r="AG1250" t="str">
        <f t="shared" si="376"/>
        <v>0P00</v>
      </c>
      <c r="AH1250" t="str">
        <f t="shared" si="377"/>
        <v>P000</v>
      </c>
      <c r="AI1250" t="str">
        <f t="shared" si="378"/>
        <v>0P00</v>
      </c>
      <c r="AJ1250" t="str">
        <f t="shared" si="379"/>
        <v>P000</v>
      </c>
    </row>
    <row r="1251" spans="1:36" x14ac:dyDescent="0.25">
      <c r="A1251" s="325" t="str">
        <f>CONCATENATE("P",'906MP'!M951)</f>
        <v>P</v>
      </c>
      <c r="B1251">
        <f>'906MP'!H951</f>
        <v>0</v>
      </c>
      <c r="C1251">
        <f>'906MP'!J951</f>
        <v>0</v>
      </c>
      <c r="D1251">
        <f>'906MP'!P951</f>
        <v>0</v>
      </c>
      <c r="E1251">
        <f>'906MP'!X951</f>
        <v>0</v>
      </c>
      <c r="F1251" t="str">
        <f t="shared" si="371"/>
        <v>0</v>
      </c>
      <c r="G1251" t="str">
        <f t="shared" si="372"/>
        <v>0</v>
      </c>
      <c r="H1251">
        <f>'906MP'!Y951</f>
        <v>0</v>
      </c>
      <c r="I1251">
        <f>'906MP'!AK951</f>
        <v>0</v>
      </c>
      <c r="J1251">
        <f>'906MP'!T951</f>
        <v>0</v>
      </c>
      <c r="K1251">
        <f>'906MP'!AJ951</f>
        <v>0</v>
      </c>
      <c r="L1251">
        <f>'906MP'!U951</f>
        <v>0</v>
      </c>
      <c r="M1251" s="322" t="str">
        <f>IFERROR(VLOOKUP(A1251,PAR!$D$3:$E$53,2,FALSE),"nincs szervezet")</f>
        <v>nincs szervezet</v>
      </c>
      <c r="N1251" s="322" t="str">
        <f>VLOOKUP(F1251,PAR!$R$3:$S$5,2,FALSE)</f>
        <v>3 - egyik sem</v>
      </c>
      <c r="O1251" t="str">
        <f>IFERROR(VLOOKUP(J1251,PAR!$O$3:$P$5,2,FALSE),"nincs feladat")</f>
        <v>nincs feladat</v>
      </c>
      <c r="P1251" t="str">
        <f>IFERROR(VLOOKUP(G1251,PAR!$J$2:$M$19,4),"nincs rovat")</f>
        <v>nincs rovat</v>
      </c>
      <c r="Q1251" t="str">
        <f>IF(H1251&gt;0,VLOOKUP(H1251,PAR!$AA$3:$AC$187,3,FALSE),"nincs főkönyvi számla")</f>
        <v>nincs főkönyvi számla</v>
      </c>
      <c r="R1251" t="str">
        <f>IFERROR(VLOOKUP(K1251,PAR!$V$3:$X$438,3,FALSE),"000000 - Nincs COFOG")</f>
        <v>000000 - Nincs COFOG</v>
      </c>
      <c r="S1251">
        <f t="shared" si="373"/>
        <v>0</v>
      </c>
      <c r="T1251">
        <f t="shared" si="374"/>
        <v>0</v>
      </c>
      <c r="U1251" t="str">
        <f>IF('906MP'!J951&gt;0,CONCATENATE('906MP'!J951," - ",'906MP'!P951,", ",'906MP'!E951),"nincs megjegyzés")</f>
        <v>nincs megjegyzés</v>
      </c>
      <c r="V1251" t="str">
        <f t="shared" si="361"/>
        <v>0P0</v>
      </c>
      <c r="W1251" t="str">
        <f t="shared" si="362"/>
        <v>0P0</v>
      </c>
      <c r="X1251" t="str">
        <f t="shared" si="363"/>
        <v>P0</v>
      </c>
      <c r="Y1251" t="str">
        <f t="shared" si="364"/>
        <v>00</v>
      </c>
      <c r="Z1251" t="str">
        <f t="shared" si="375"/>
        <v>00</v>
      </c>
      <c r="AA1251" t="str">
        <f t="shared" si="365"/>
        <v>00</v>
      </c>
      <c r="AB1251" t="str">
        <f t="shared" si="366"/>
        <v>00</v>
      </c>
      <c r="AC1251" t="str">
        <f t="shared" si="367"/>
        <v>0P0</v>
      </c>
      <c r="AD1251" t="str">
        <f t="shared" si="368"/>
        <v>P00</v>
      </c>
      <c r="AE1251" t="str">
        <f t="shared" si="369"/>
        <v>0P0</v>
      </c>
      <c r="AF1251" t="str">
        <f t="shared" si="370"/>
        <v>P00</v>
      </c>
      <c r="AG1251" t="str">
        <f t="shared" si="376"/>
        <v>0P00</v>
      </c>
      <c r="AH1251" t="str">
        <f t="shared" si="377"/>
        <v>P000</v>
      </c>
      <c r="AI1251" t="str">
        <f t="shared" si="378"/>
        <v>0P00</v>
      </c>
      <c r="AJ1251" t="str">
        <f t="shared" si="379"/>
        <v>P000</v>
      </c>
    </row>
    <row r="1252" spans="1:36" x14ac:dyDescent="0.25">
      <c r="A1252" s="325" t="str">
        <f>CONCATENATE("P",'906MP'!M952)</f>
        <v>P</v>
      </c>
      <c r="B1252">
        <f>'906MP'!H952</f>
        <v>0</v>
      </c>
      <c r="C1252">
        <f>'906MP'!J952</f>
        <v>0</v>
      </c>
      <c r="D1252">
        <f>'906MP'!P952</f>
        <v>0</v>
      </c>
      <c r="E1252">
        <f>'906MP'!X952</f>
        <v>0</v>
      </c>
      <c r="F1252" t="str">
        <f t="shared" si="371"/>
        <v>0</v>
      </c>
      <c r="G1252" t="str">
        <f t="shared" si="372"/>
        <v>0</v>
      </c>
      <c r="H1252">
        <f>'906MP'!Y952</f>
        <v>0</v>
      </c>
      <c r="I1252">
        <f>'906MP'!AK952</f>
        <v>0</v>
      </c>
      <c r="J1252">
        <f>'906MP'!T952</f>
        <v>0</v>
      </c>
      <c r="K1252">
        <f>'906MP'!AJ952</f>
        <v>0</v>
      </c>
      <c r="L1252">
        <f>'906MP'!U952</f>
        <v>0</v>
      </c>
      <c r="M1252" s="322" t="str">
        <f>IFERROR(VLOOKUP(A1252,PAR!$D$3:$E$53,2,FALSE),"nincs szervezet")</f>
        <v>nincs szervezet</v>
      </c>
      <c r="N1252" s="322" t="str">
        <f>VLOOKUP(F1252,PAR!$R$3:$S$5,2,FALSE)</f>
        <v>3 - egyik sem</v>
      </c>
      <c r="O1252" t="str">
        <f>IFERROR(VLOOKUP(J1252,PAR!$O$3:$P$5,2,FALSE),"nincs feladat")</f>
        <v>nincs feladat</v>
      </c>
      <c r="P1252" t="str">
        <f>IFERROR(VLOOKUP(G1252,PAR!$J$2:$M$19,4),"nincs rovat")</f>
        <v>nincs rovat</v>
      </c>
      <c r="Q1252" t="str">
        <f>IF(H1252&gt;0,VLOOKUP(H1252,PAR!$AA$3:$AC$187,3,FALSE),"nincs főkönyvi számla")</f>
        <v>nincs főkönyvi számla</v>
      </c>
      <c r="R1252" t="str">
        <f>IFERROR(VLOOKUP(K1252,PAR!$V$3:$X$438,3,FALSE),"000000 - Nincs COFOG")</f>
        <v>000000 - Nincs COFOG</v>
      </c>
      <c r="S1252">
        <f t="shared" si="373"/>
        <v>0</v>
      </c>
      <c r="T1252">
        <f t="shared" si="374"/>
        <v>0</v>
      </c>
      <c r="U1252" t="str">
        <f>IF('906MP'!J952&gt;0,CONCATENATE('906MP'!J952," - ",'906MP'!P952,", ",'906MP'!E952),"nincs megjegyzés")</f>
        <v>nincs megjegyzés</v>
      </c>
      <c r="V1252" t="str">
        <f t="shared" si="361"/>
        <v>0P0</v>
      </c>
      <c r="W1252" t="str">
        <f t="shared" si="362"/>
        <v>0P0</v>
      </c>
      <c r="X1252" t="str">
        <f t="shared" si="363"/>
        <v>P0</v>
      </c>
      <c r="Y1252" t="str">
        <f t="shared" si="364"/>
        <v>00</v>
      </c>
      <c r="Z1252" t="str">
        <f t="shared" si="375"/>
        <v>00</v>
      </c>
      <c r="AA1252" t="str">
        <f t="shared" si="365"/>
        <v>00</v>
      </c>
      <c r="AB1252" t="str">
        <f t="shared" si="366"/>
        <v>00</v>
      </c>
      <c r="AC1252" t="str">
        <f t="shared" si="367"/>
        <v>0P0</v>
      </c>
      <c r="AD1252" t="str">
        <f t="shared" si="368"/>
        <v>P00</v>
      </c>
      <c r="AE1252" t="str">
        <f t="shared" si="369"/>
        <v>0P0</v>
      </c>
      <c r="AF1252" t="str">
        <f t="shared" si="370"/>
        <v>P00</v>
      </c>
      <c r="AG1252" t="str">
        <f t="shared" si="376"/>
        <v>0P00</v>
      </c>
      <c r="AH1252" t="str">
        <f t="shared" si="377"/>
        <v>P000</v>
      </c>
      <c r="AI1252" t="str">
        <f t="shared" si="378"/>
        <v>0P00</v>
      </c>
      <c r="AJ1252" t="str">
        <f t="shared" si="379"/>
        <v>P000</v>
      </c>
    </row>
    <row r="1253" spans="1:36" x14ac:dyDescent="0.25">
      <c r="A1253" s="325" t="str">
        <f>CONCATENATE("P",'906MP'!M953)</f>
        <v>P</v>
      </c>
      <c r="B1253">
        <f>'906MP'!H953</f>
        <v>0</v>
      </c>
      <c r="C1253">
        <f>'906MP'!J953</f>
        <v>0</v>
      </c>
      <c r="D1253">
        <f>'906MP'!P953</f>
        <v>0</v>
      </c>
      <c r="E1253">
        <f>'906MP'!X953</f>
        <v>0</v>
      </c>
      <c r="F1253" t="str">
        <f t="shared" si="371"/>
        <v>0</v>
      </c>
      <c r="G1253" t="str">
        <f t="shared" si="372"/>
        <v>0</v>
      </c>
      <c r="H1253">
        <f>'906MP'!Y953</f>
        <v>0</v>
      </c>
      <c r="I1253">
        <f>'906MP'!AK953</f>
        <v>0</v>
      </c>
      <c r="J1253">
        <f>'906MP'!T953</f>
        <v>0</v>
      </c>
      <c r="K1253">
        <f>'906MP'!AJ953</f>
        <v>0</v>
      </c>
      <c r="L1253">
        <f>'906MP'!U953</f>
        <v>0</v>
      </c>
      <c r="M1253" s="322" t="str">
        <f>IFERROR(VLOOKUP(A1253,PAR!$D$3:$E$53,2,FALSE),"nincs szervezet")</f>
        <v>nincs szervezet</v>
      </c>
      <c r="N1253" s="322" t="str">
        <f>VLOOKUP(F1253,PAR!$R$3:$S$5,2,FALSE)</f>
        <v>3 - egyik sem</v>
      </c>
      <c r="O1253" t="str">
        <f>IFERROR(VLOOKUP(J1253,PAR!$O$3:$P$5,2,FALSE),"nincs feladat")</f>
        <v>nincs feladat</v>
      </c>
      <c r="P1253" t="str">
        <f>IFERROR(VLOOKUP(G1253,PAR!$J$2:$M$19,4),"nincs rovat")</f>
        <v>nincs rovat</v>
      </c>
      <c r="Q1253" t="str">
        <f>IF(H1253&gt;0,VLOOKUP(H1253,PAR!$AA$3:$AC$187,3,FALSE),"nincs főkönyvi számla")</f>
        <v>nincs főkönyvi számla</v>
      </c>
      <c r="R1253" t="str">
        <f>IFERROR(VLOOKUP(K1253,PAR!$V$3:$X$438,3,FALSE),"000000 - Nincs COFOG")</f>
        <v>000000 - Nincs COFOG</v>
      </c>
      <c r="S1253">
        <f t="shared" si="373"/>
        <v>0</v>
      </c>
      <c r="T1253">
        <f t="shared" si="374"/>
        <v>0</v>
      </c>
      <c r="U1253" t="str">
        <f>IF('906MP'!J953&gt;0,CONCATENATE('906MP'!J953," - ",'906MP'!P953,", ",'906MP'!E953),"nincs megjegyzés")</f>
        <v>nincs megjegyzés</v>
      </c>
      <c r="V1253" t="str">
        <f t="shared" si="361"/>
        <v>0P0</v>
      </c>
      <c r="W1253" t="str">
        <f t="shared" si="362"/>
        <v>0P0</v>
      </c>
      <c r="X1253" t="str">
        <f t="shared" si="363"/>
        <v>P0</v>
      </c>
      <c r="Y1253" t="str">
        <f t="shared" si="364"/>
        <v>00</v>
      </c>
      <c r="Z1253" t="str">
        <f t="shared" si="375"/>
        <v>00</v>
      </c>
      <c r="AA1253" t="str">
        <f t="shared" si="365"/>
        <v>00</v>
      </c>
      <c r="AB1253" t="str">
        <f t="shared" si="366"/>
        <v>00</v>
      </c>
      <c r="AC1253" t="str">
        <f t="shared" si="367"/>
        <v>0P0</v>
      </c>
      <c r="AD1253" t="str">
        <f t="shared" si="368"/>
        <v>P00</v>
      </c>
      <c r="AE1253" t="str">
        <f t="shared" si="369"/>
        <v>0P0</v>
      </c>
      <c r="AF1253" t="str">
        <f t="shared" si="370"/>
        <v>P00</v>
      </c>
      <c r="AG1253" t="str">
        <f t="shared" si="376"/>
        <v>0P00</v>
      </c>
      <c r="AH1253" t="str">
        <f t="shared" si="377"/>
        <v>P000</v>
      </c>
      <c r="AI1253" t="str">
        <f t="shared" si="378"/>
        <v>0P00</v>
      </c>
      <c r="AJ1253" t="str">
        <f t="shared" si="379"/>
        <v>P000</v>
      </c>
    </row>
    <row r="1254" spans="1:36" x14ac:dyDescent="0.25">
      <c r="A1254" s="325" t="str">
        <f>CONCATENATE("P",'906MP'!M954)</f>
        <v>P</v>
      </c>
      <c r="B1254">
        <f>'906MP'!H954</f>
        <v>0</v>
      </c>
      <c r="C1254">
        <f>'906MP'!J954</f>
        <v>0</v>
      </c>
      <c r="D1254">
        <f>'906MP'!P954</f>
        <v>0</v>
      </c>
      <c r="E1254">
        <f>'906MP'!X954</f>
        <v>0</v>
      </c>
      <c r="F1254" t="str">
        <f t="shared" si="371"/>
        <v>0</v>
      </c>
      <c r="G1254" t="str">
        <f t="shared" si="372"/>
        <v>0</v>
      </c>
      <c r="H1254">
        <f>'906MP'!Y954</f>
        <v>0</v>
      </c>
      <c r="I1254">
        <f>'906MP'!AK954</f>
        <v>0</v>
      </c>
      <c r="J1254">
        <f>'906MP'!T954</f>
        <v>0</v>
      </c>
      <c r="K1254">
        <f>'906MP'!AJ954</f>
        <v>0</v>
      </c>
      <c r="L1254">
        <f>'906MP'!U954</f>
        <v>0</v>
      </c>
      <c r="M1254" s="322" t="str">
        <f>IFERROR(VLOOKUP(A1254,PAR!$D$3:$E$53,2,FALSE),"nincs szervezet")</f>
        <v>nincs szervezet</v>
      </c>
      <c r="N1254" s="322" t="str">
        <f>VLOOKUP(F1254,PAR!$R$3:$S$5,2,FALSE)</f>
        <v>3 - egyik sem</v>
      </c>
      <c r="O1254" t="str">
        <f>IFERROR(VLOOKUP(J1254,PAR!$O$3:$P$5,2,FALSE),"nincs feladat")</f>
        <v>nincs feladat</v>
      </c>
      <c r="P1254" t="str">
        <f>IFERROR(VLOOKUP(G1254,PAR!$J$2:$M$19,4),"nincs rovat")</f>
        <v>nincs rovat</v>
      </c>
      <c r="Q1254" t="str">
        <f>IF(H1254&gt;0,VLOOKUP(H1254,PAR!$AA$3:$AC$187,3,FALSE),"nincs főkönyvi számla")</f>
        <v>nincs főkönyvi számla</v>
      </c>
      <c r="R1254" t="str">
        <f>IFERROR(VLOOKUP(K1254,PAR!$V$3:$X$438,3,FALSE),"000000 - Nincs COFOG")</f>
        <v>000000 - Nincs COFOG</v>
      </c>
      <c r="S1254">
        <f t="shared" si="373"/>
        <v>0</v>
      </c>
      <c r="T1254">
        <f t="shared" si="374"/>
        <v>0</v>
      </c>
      <c r="U1254" t="str">
        <f>IF('906MP'!J954&gt;0,CONCATENATE('906MP'!J954," - ",'906MP'!P954,", ",'906MP'!E954),"nincs megjegyzés")</f>
        <v>nincs megjegyzés</v>
      </c>
      <c r="V1254" t="str">
        <f t="shared" si="361"/>
        <v>0P0</v>
      </c>
      <c r="W1254" t="str">
        <f t="shared" si="362"/>
        <v>0P0</v>
      </c>
      <c r="X1254" t="str">
        <f t="shared" si="363"/>
        <v>P0</v>
      </c>
      <c r="Y1254" t="str">
        <f t="shared" si="364"/>
        <v>00</v>
      </c>
      <c r="Z1254" t="str">
        <f t="shared" si="375"/>
        <v>00</v>
      </c>
      <c r="AA1254" t="str">
        <f t="shared" si="365"/>
        <v>00</v>
      </c>
      <c r="AB1254" t="str">
        <f t="shared" si="366"/>
        <v>00</v>
      </c>
      <c r="AC1254" t="str">
        <f t="shared" si="367"/>
        <v>0P0</v>
      </c>
      <c r="AD1254" t="str">
        <f t="shared" si="368"/>
        <v>P00</v>
      </c>
      <c r="AE1254" t="str">
        <f t="shared" si="369"/>
        <v>0P0</v>
      </c>
      <c r="AF1254" t="str">
        <f t="shared" si="370"/>
        <v>P00</v>
      </c>
      <c r="AG1254" t="str">
        <f t="shared" si="376"/>
        <v>0P00</v>
      </c>
      <c r="AH1254" t="str">
        <f t="shared" si="377"/>
        <v>P000</v>
      </c>
      <c r="AI1254" t="str">
        <f t="shared" si="378"/>
        <v>0P00</v>
      </c>
      <c r="AJ1254" t="str">
        <f t="shared" si="379"/>
        <v>P000</v>
      </c>
    </row>
    <row r="1255" spans="1:36" x14ac:dyDescent="0.25">
      <c r="A1255" s="325" t="str">
        <f>CONCATENATE("P",'906MP'!M955)</f>
        <v>P</v>
      </c>
      <c r="B1255">
        <f>'906MP'!H955</f>
        <v>0</v>
      </c>
      <c r="C1255">
        <f>'906MP'!J955</f>
        <v>0</v>
      </c>
      <c r="D1255">
        <f>'906MP'!P955</f>
        <v>0</v>
      </c>
      <c r="E1255">
        <f>'906MP'!X955</f>
        <v>0</v>
      </c>
      <c r="F1255" t="str">
        <f t="shared" si="371"/>
        <v>0</v>
      </c>
      <c r="G1255" t="str">
        <f t="shared" si="372"/>
        <v>0</v>
      </c>
      <c r="H1255">
        <f>'906MP'!Y955</f>
        <v>0</v>
      </c>
      <c r="I1255">
        <f>'906MP'!AK955</f>
        <v>0</v>
      </c>
      <c r="J1255">
        <f>'906MP'!T955</f>
        <v>0</v>
      </c>
      <c r="K1255">
        <f>'906MP'!AJ955</f>
        <v>0</v>
      </c>
      <c r="L1255">
        <f>'906MP'!U955</f>
        <v>0</v>
      </c>
      <c r="M1255" s="322" t="str">
        <f>IFERROR(VLOOKUP(A1255,PAR!$D$3:$E$53,2,FALSE),"nincs szervezet")</f>
        <v>nincs szervezet</v>
      </c>
      <c r="N1255" s="322" t="str">
        <f>VLOOKUP(F1255,PAR!$R$3:$S$5,2,FALSE)</f>
        <v>3 - egyik sem</v>
      </c>
      <c r="O1255" t="str">
        <f>IFERROR(VLOOKUP(J1255,PAR!$O$3:$P$5,2,FALSE),"nincs feladat")</f>
        <v>nincs feladat</v>
      </c>
      <c r="P1255" t="str">
        <f>IFERROR(VLOOKUP(G1255,PAR!$J$2:$M$19,4),"nincs rovat")</f>
        <v>nincs rovat</v>
      </c>
      <c r="Q1255" t="str">
        <f>IF(H1255&gt;0,VLOOKUP(H1255,PAR!$AA$3:$AC$187,3,FALSE),"nincs főkönyvi számla")</f>
        <v>nincs főkönyvi számla</v>
      </c>
      <c r="R1255" t="str">
        <f>IFERROR(VLOOKUP(K1255,PAR!$V$3:$X$438,3,FALSE),"000000 - Nincs COFOG")</f>
        <v>000000 - Nincs COFOG</v>
      </c>
      <c r="S1255">
        <f t="shared" si="373"/>
        <v>0</v>
      </c>
      <c r="T1255">
        <f t="shared" si="374"/>
        <v>0</v>
      </c>
      <c r="U1255" t="str">
        <f>IF('906MP'!J955&gt;0,CONCATENATE('906MP'!J955," - ",'906MP'!P955,", ",'906MP'!E955),"nincs megjegyzés")</f>
        <v>nincs megjegyzés</v>
      </c>
      <c r="V1255" t="str">
        <f t="shared" si="361"/>
        <v>0P0</v>
      </c>
      <c r="W1255" t="str">
        <f t="shared" si="362"/>
        <v>0P0</v>
      </c>
      <c r="X1255" t="str">
        <f t="shared" si="363"/>
        <v>P0</v>
      </c>
      <c r="Y1255" t="str">
        <f t="shared" si="364"/>
        <v>00</v>
      </c>
      <c r="Z1255" t="str">
        <f t="shared" si="375"/>
        <v>00</v>
      </c>
      <c r="AA1255" t="str">
        <f t="shared" si="365"/>
        <v>00</v>
      </c>
      <c r="AB1255" t="str">
        <f t="shared" si="366"/>
        <v>00</v>
      </c>
      <c r="AC1255" t="str">
        <f t="shared" si="367"/>
        <v>0P0</v>
      </c>
      <c r="AD1255" t="str">
        <f t="shared" si="368"/>
        <v>P00</v>
      </c>
      <c r="AE1255" t="str">
        <f t="shared" si="369"/>
        <v>0P0</v>
      </c>
      <c r="AF1255" t="str">
        <f t="shared" si="370"/>
        <v>P00</v>
      </c>
      <c r="AG1255" t="str">
        <f t="shared" si="376"/>
        <v>0P00</v>
      </c>
      <c r="AH1255" t="str">
        <f t="shared" si="377"/>
        <v>P000</v>
      </c>
      <c r="AI1255" t="str">
        <f t="shared" si="378"/>
        <v>0P00</v>
      </c>
      <c r="AJ1255" t="str">
        <f t="shared" si="379"/>
        <v>P000</v>
      </c>
    </row>
    <row r="1256" spans="1:36" x14ac:dyDescent="0.25">
      <c r="A1256" s="325" t="str">
        <f>CONCATENATE("P",'906MP'!M956)</f>
        <v>P</v>
      </c>
      <c r="B1256">
        <f>'906MP'!H956</f>
        <v>0</v>
      </c>
      <c r="C1256">
        <f>'906MP'!J956</f>
        <v>0</v>
      </c>
      <c r="D1256">
        <f>'906MP'!P956</f>
        <v>0</v>
      </c>
      <c r="E1256">
        <f>'906MP'!X956</f>
        <v>0</v>
      </c>
      <c r="F1256" t="str">
        <f t="shared" si="371"/>
        <v>0</v>
      </c>
      <c r="G1256" t="str">
        <f t="shared" si="372"/>
        <v>0</v>
      </c>
      <c r="H1256">
        <f>'906MP'!Y956</f>
        <v>0</v>
      </c>
      <c r="I1256">
        <f>'906MP'!AK956</f>
        <v>0</v>
      </c>
      <c r="J1256">
        <f>'906MP'!T956</f>
        <v>0</v>
      </c>
      <c r="K1256">
        <f>'906MP'!AJ956</f>
        <v>0</v>
      </c>
      <c r="L1256">
        <f>'906MP'!U956</f>
        <v>0</v>
      </c>
      <c r="M1256" s="322" t="str">
        <f>IFERROR(VLOOKUP(A1256,PAR!$D$3:$E$53,2,FALSE),"nincs szervezet")</f>
        <v>nincs szervezet</v>
      </c>
      <c r="N1256" s="322" t="str">
        <f>VLOOKUP(F1256,PAR!$R$3:$S$5,2,FALSE)</f>
        <v>3 - egyik sem</v>
      </c>
      <c r="O1256" t="str">
        <f>IFERROR(VLOOKUP(J1256,PAR!$O$3:$P$5,2,FALSE),"nincs feladat")</f>
        <v>nincs feladat</v>
      </c>
      <c r="P1256" t="str">
        <f>IFERROR(VLOOKUP(G1256,PAR!$J$2:$M$19,4),"nincs rovat")</f>
        <v>nincs rovat</v>
      </c>
      <c r="Q1256" t="str">
        <f>IF(H1256&gt;0,VLOOKUP(H1256,PAR!$AA$3:$AC$187,3,FALSE),"nincs főkönyvi számla")</f>
        <v>nincs főkönyvi számla</v>
      </c>
      <c r="R1256" t="str">
        <f>IFERROR(VLOOKUP(K1256,PAR!$V$3:$X$438,3,FALSE),"000000 - Nincs COFOG")</f>
        <v>000000 - Nincs COFOG</v>
      </c>
      <c r="S1256">
        <f t="shared" si="373"/>
        <v>0</v>
      </c>
      <c r="T1256">
        <f t="shared" si="374"/>
        <v>0</v>
      </c>
      <c r="U1256" t="str">
        <f>IF('906MP'!J956&gt;0,CONCATENATE('906MP'!J956," - ",'906MP'!P956,", ",'906MP'!E956),"nincs megjegyzés")</f>
        <v>nincs megjegyzés</v>
      </c>
      <c r="V1256" t="str">
        <f t="shared" si="361"/>
        <v>0P0</v>
      </c>
      <c r="W1256" t="str">
        <f t="shared" si="362"/>
        <v>0P0</v>
      </c>
      <c r="X1256" t="str">
        <f t="shared" si="363"/>
        <v>P0</v>
      </c>
      <c r="Y1256" t="str">
        <f t="shared" si="364"/>
        <v>00</v>
      </c>
      <c r="Z1256" t="str">
        <f t="shared" si="375"/>
        <v>00</v>
      </c>
      <c r="AA1256" t="str">
        <f t="shared" si="365"/>
        <v>00</v>
      </c>
      <c r="AB1256" t="str">
        <f t="shared" si="366"/>
        <v>00</v>
      </c>
      <c r="AC1256" t="str">
        <f t="shared" si="367"/>
        <v>0P0</v>
      </c>
      <c r="AD1256" t="str">
        <f t="shared" si="368"/>
        <v>P00</v>
      </c>
      <c r="AE1256" t="str">
        <f t="shared" si="369"/>
        <v>0P0</v>
      </c>
      <c r="AF1256" t="str">
        <f t="shared" si="370"/>
        <v>P00</v>
      </c>
      <c r="AG1256" t="str">
        <f t="shared" si="376"/>
        <v>0P00</v>
      </c>
      <c r="AH1256" t="str">
        <f t="shared" si="377"/>
        <v>P000</v>
      </c>
      <c r="AI1256" t="str">
        <f t="shared" si="378"/>
        <v>0P00</v>
      </c>
      <c r="AJ1256" t="str">
        <f t="shared" si="379"/>
        <v>P000</v>
      </c>
    </row>
    <row r="1257" spans="1:36" x14ac:dyDescent="0.25">
      <c r="A1257" s="325" t="str">
        <f>CONCATENATE("P",'906MP'!M957)</f>
        <v>P</v>
      </c>
      <c r="B1257">
        <f>'906MP'!H957</f>
        <v>0</v>
      </c>
      <c r="C1257">
        <f>'906MP'!J957</f>
        <v>0</v>
      </c>
      <c r="D1257">
        <f>'906MP'!P957</f>
        <v>0</v>
      </c>
      <c r="E1257">
        <f>'906MP'!X957</f>
        <v>0</v>
      </c>
      <c r="F1257" t="str">
        <f t="shared" si="371"/>
        <v>0</v>
      </c>
      <c r="G1257" t="str">
        <f t="shared" si="372"/>
        <v>0</v>
      </c>
      <c r="H1257">
        <f>'906MP'!Y957</f>
        <v>0</v>
      </c>
      <c r="I1257">
        <f>'906MP'!AK957</f>
        <v>0</v>
      </c>
      <c r="J1257">
        <f>'906MP'!T957</f>
        <v>0</v>
      </c>
      <c r="K1257">
        <f>'906MP'!AJ957</f>
        <v>0</v>
      </c>
      <c r="L1257">
        <f>'906MP'!U957</f>
        <v>0</v>
      </c>
      <c r="M1257" s="322" t="str">
        <f>IFERROR(VLOOKUP(A1257,PAR!$D$3:$E$53,2,FALSE),"nincs szervezet")</f>
        <v>nincs szervezet</v>
      </c>
      <c r="N1257" s="322" t="str">
        <f>VLOOKUP(F1257,PAR!$R$3:$S$5,2,FALSE)</f>
        <v>3 - egyik sem</v>
      </c>
      <c r="O1257" t="str">
        <f>IFERROR(VLOOKUP(J1257,PAR!$O$3:$P$5,2,FALSE),"nincs feladat")</f>
        <v>nincs feladat</v>
      </c>
      <c r="P1257" t="str">
        <f>IFERROR(VLOOKUP(G1257,PAR!$J$2:$M$19,4),"nincs rovat")</f>
        <v>nincs rovat</v>
      </c>
      <c r="Q1257" t="str">
        <f>IF(H1257&gt;0,VLOOKUP(H1257,PAR!$AA$3:$AC$187,3,FALSE),"nincs főkönyvi számla")</f>
        <v>nincs főkönyvi számla</v>
      </c>
      <c r="R1257" t="str">
        <f>IFERROR(VLOOKUP(K1257,PAR!$V$3:$X$438,3,FALSE),"000000 - Nincs COFOG")</f>
        <v>000000 - Nincs COFOG</v>
      </c>
      <c r="S1257">
        <f t="shared" si="373"/>
        <v>0</v>
      </c>
      <c r="T1257">
        <f t="shared" si="374"/>
        <v>0</v>
      </c>
      <c r="U1257" t="str">
        <f>IF('906MP'!J957&gt;0,CONCATENATE('906MP'!J957," - ",'906MP'!P957,", ",'906MP'!E957),"nincs megjegyzés")</f>
        <v>nincs megjegyzés</v>
      </c>
      <c r="V1257" t="str">
        <f t="shared" si="361"/>
        <v>0P0</v>
      </c>
      <c r="W1257" t="str">
        <f t="shared" si="362"/>
        <v>0P0</v>
      </c>
      <c r="X1257" t="str">
        <f t="shared" si="363"/>
        <v>P0</v>
      </c>
      <c r="Y1257" t="str">
        <f t="shared" si="364"/>
        <v>00</v>
      </c>
      <c r="Z1257" t="str">
        <f t="shared" si="375"/>
        <v>00</v>
      </c>
      <c r="AA1257" t="str">
        <f t="shared" si="365"/>
        <v>00</v>
      </c>
      <c r="AB1257" t="str">
        <f t="shared" si="366"/>
        <v>00</v>
      </c>
      <c r="AC1257" t="str">
        <f t="shared" si="367"/>
        <v>0P0</v>
      </c>
      <c r="AD1257" t="str">
        <f t="shared" si="368"/>
        <v>P00</v>
      </c>
      <c r="AE1257" t="str">
        <f t="shared" si="369"/>
        <v>0P0</v>
      </c>
      <c r="AF1257" t="str">
        <f t="shared" si="370"/>
        <v>P00</v>
      </c>
      <c r="AG1257" t="str">
        <f t="shared" si="376"/>
        <v>0P00</v>
      </c>
      <c r="AH1257" t="str">
        <f t="shared" si="377"/>
        <v>P000</v>
      </c>
      <c r="AI1257" t="str">
        <f t="shared" si="378"/>
        <v>0P00</v>
      </c>
      <c r="AJ1257" t="str">
        <f t="shared" si="379"/>
        <v>P000</v>
      </c>
    </row>
    <row r="1258" spans="1:36" x14ac:dyDescent="0.25">
      <c r="A1258" s="325" t="str">
        <f>CONCATENATE("P",'906MP'!M958)</f>
        <v>P</v>
      </c>
      <c r="B1258">
        <f>'906MP'!H958</f>
        <v>0</v>
      </c>
      <c r="C1258">
        <f>'906MP'!J958</f>
        <v>0</v>
      </c>
      <c r="D1258">
        <f>'906MP'!P958</f>
        <v>0</v>
      </c>
      <c r="E1258">
        <f>'906MP'!X958</f>
        <v>0</v>
      </c>
      <c r="F1258" t="str">
        <f t="shared" si="371"/>
        <v>0</v>
      </c>
      <c r="G1258" t="str">
        <f t="shared" si="372"/>
        <v>0</v>
      </c>
      <c r="H1258">
        <f>'906MP'!Y958</f>
        <v>0</v>
      </c>
      <c r="I1258">
        <f>'906MP'!AK958</f>
        <v>0</v>
      </c>
      <c r="J1258">
        <f>'906MP'!T958</f>
        <v>0</v>
      </c>
      <c r="K1258">
        <f>'906MP'!AJ958</f>
        <v>0</v>
      </c>
      <c r="L1258">
        <f>'906MP'!U958</f>
        <v>0</v>
      </c>
      <c r="M1258" s="322" t="str">
        <f>IFERROR(VLOOKUP(A1258,PAR!$D$3:$E$53,2,FALSE),"nincs szervezet")</f>
        <v>nincs szervezet</v>
      </c>
      <c r="N1258" s="322" t="str">
        <f>VLOOKUP(F1258,PAR!$R$3:$S$5,2,FALSE)</f>
        <v>3 - egyik sem</v>
      </c>
      <c r="O1258" t="str">
        <f>IFERROR(VLOOKUP(J1258,PAR!$O$3:$P$5,2,FALSE),"nincs feladat")</f>
        <v>nincs feladat</v>
      </c>
      <c r="P1258" t="str">
        <f>IFERROR(VLOOKUP(G1258,PAR!$J$2:$M$19,4),"nincs rovat")</f>
        <v>nincs rovat</v>
      </c>
      <c r="Q1258" t="str">
        <f>IF(H1258&gt;0,VLOOKUP(H1258,PAR!$AA$3:$AC$187,3,FALSE),"nincs főkönyvi számla")</f>
        <v>nincs főkönyvi számla</v>
      </c>
      <c r="R1258" t="str">
        <f>IFERROR(VLOOKUP(K1258,PAR!$V$3:$X$438,3,FALSE),"000000 - Nincs COFOG")</f>
        <v>000000 - Nincs COFOG</v>
      </c>
      <c r="S1258">
        <f t="shared" si="373"/>
        <v>0</v>
      </c>
      <c r="T1258">
        <f t="shared" si="374"/>
        <v>0</v>
      </c>
      <c r="U1258" t="str">
        <f>IF('906MP'!J958&gt;0,CONCATENATE('906MP'!J958," - ",'906MP'!P958,", ",'906MP'!E958),"nincs megjegyzés")</f>
        <v>nincs megjegyzés</v>
      </c>
      <c r="V1258" t="str">
        <f t="shared" si="361"/>
        <v>0P0</v>
      </c>
      <c r="W1258" t="str">
        <f t="shared" si="362"/>
        <v>0P0</v>
      </c>
      <c r="X1258" t="str">
        <f t="shared" si="363"/>
        <v>P0</v>
      </c>
      <c r="Y1258" t="str">
        <f t="shared" si="364"/>
        <v>00</v>
      </c>
      <c r="Z1258" t="str">
        <f t="shared" si="375"/>
        <v>00</v>
      </c>
      <c r="AA1258" t="str">
        <f t="shared" si="365"/>
        <v>00</v>
      </c>
      <c r="AB1258" t="str">
        <f t="shared" si="366"/>
        <v>00</v>
      </c>
      <c r="AC1258" t="str">
        <f t="shared" si="367"/>
        <v>0P0</v>
      </c>
      <c r="AD1258" t="str">
        <f t="shared" si="368"/>
        <v>P00</v>
      </c>
      <c r="AE1258" t="str">
        <f t="shared" si="369"/>
        <v>0P0</v>
      </c>
      <c r="AF1258" t="str">
        <f t="shared" si="370"/>
        <v>P00</v>
      </c>
      <c r="AG1258" t="str">
        <f t="shared" si="376"/>
        <v>0P00</v>
      </c>
      <c r="AH1258" t="str">
        <f t="shared" si="377"/>
        <v>P000</v>
      </c>
      <c r="AI1258" t="str">
        <f t="shared" si="378"/>
        <v>0P00</v>
      </c>
      <c r="AJ1258" t="str">
        <f t="shared" si="379"/>
        <v>P000</v>
      </c>
    </row>
    <row r="1259" spans="1:36" x14ac:dyDescent="0.25">
      <c r="A1259" s="325" t="str">
        <f>CONCATENATE("P",'906MP'!M959)</f>
        <v>P</v>
      </c>
      <c r="B1259">
        <f>'906MP'!H959</f>
        <v>0</v>
      </c>
      <c r="C1259">
        <f>'906MP'!J959</f>
        <v>0</v>
      </c>
      <c r="D1259">
        <f>'906MP'!P959</f>
        <v>0</v>
      </c>
      <c r="E1259">
        <f>'906MP'!X959</f>
        <v>0</v>
      </c>
      <c r="F1259" t="str">
        <f t="shared" si="371"/>
        <v>0</v>
      </c>
      <c r="G1259" t="str">
        <f t="shared" si="372"/>
        <v>0</v>
      </c>
      <c r="H1259">
        <f>'906MP'!Y959</f>
        <v>0</v>
      </c>
      <c r="I1259">
        <f>'906MP'!AK959</f>
        <v>0</v>
      </c>
      <c r="J1259">
        <f>'906MP'!T959</f>
        <v>0</v>
      </c>
      <c r="K1259">
        <f>'906MP'!AJ959</f>
        <v>0</v>
      </c>
      <c r="L1259">
        <f>'906MP'!U959</f>
        <v>0</v>
      </c>
      <c r="M1259" s="322" t="str">
        <f>IFERROR(VLOOKUP(A1259,PAR!$D$3:$E$53,2,FALSE),"nincs szervezet")</f>
        <v>nincs szervezet</v>
      </c>
      <c r="N1259" s="322" t="str">
        <f>VLOOKUP(F1259,PAR!$R$3:$S$5,2,FALSE)</f>
        <v>3 - egyik sem</v>
      </c>
      <c r="O1259" t="str">
        <f>IFERROR(VLOOKUP(J1259,PAR!$O$3:$P$5,2,FALSE),"nincs feladat")</f>
        <v>nincs feladat</v>
      </c>
      <c r="P1259" t="str">
        <f>IFERROR(VLOOKUP(G1259,PAR!$J$2:$M$19,4),"nincs rovat")</f>
        <v>nincs rovat</v>
      </c>
      <c r="Q1259" t="str">
        <f>IF(H1259&gt;0,VLOOKUP(H1259,PAR!$AA$3:$AC$187,3,FALSE),"nincs főkönyvi számla")</f>
        <v>nincs főkönyvi számla</v>
      </c>
      <c r="R1259" t="str">
        <f>IFERROR(VLOOKUP(K1259,PAR!$V$3:$X$438,3,FALSE),"000000 - Nincs COFOG")</f>
        <v>000000 - Nincs COFOG</v>
      </c>
      <c r="S1259">
        <f t="shared" si="373"/>
        <v>0</v>
      </c>
      <c r="T1259">
        <f t="shared" si="374"/>
        <v>0</v>
      </c>
      <c r="U1259" t="str">
        <f>IF('906MP'!J959&gt;0,CONCATENATE('906MP'!J959," - ",'906MP'!P959,", ",'906MP'!E959),"nincs megjegyzés")</f>
        <v>nincs megjegyzés</v>
      </c>
      <c r="V1259" t="str">
        <f t="shared" si="361"/>
        <v>0P0</v>
      </c>
      <c r="W1259" t="str">
        <f t="shared" si="362"/>
        <v>0P0</v>
      </c>
      <c r="X1259" t="str">
        <f t="shared" si="363"/>
        <v>P0</v>
      </c>
      <c r="Y1259" t="str">
        <f t="shared" si="364"/>
        <v>00</v>
      </c>
      <c r="Z1259" t="str">
        <f t="shared" si="375"/>
        <v>00</v>
      </c>
      <c r="AA1259" t="str">
        <f t="shared" si="365"/>
        <v>00</v>
      </c>
      <c r="AB1259" t="str">
        <f t="shared" si="366"/>
        <v>00</v>
      </c>
      <c r="AC1259" t="str">
        <f t="shared" si="367"/>
        <v>0P0</v>
      </c>
      <c r="AD1259" t="str">
        <f t="shared" si="368"/>
        <v>P00</v>
      </c>
      <c r="AE1259" t="str">
        <f t="shared" si="369"/>
        <v>0P0</v>
      </c>
      <c r="AF1259" t="str">
        <f t="shared" si="370"/>
        <v>P00</v>
      </c>
      <c r="AG1259" t="str">
        <f t="shared" si="376"/>
        <v>0P00</v>
      </c>
      <c r="AH1259" t="str">
        <f t="shared" si="377"/>
        <v>P000</v>
      </c>
      <c r="AI1259" t="str">
        <f t="shared" si="378"/>
        <v>0P00</v>
      </c>
      <c r="AJ1259" t="str">
        <f t="shared" si="379"/>
        <v>P000</v>
      </c>
    </row>
    <row r="1260" spans="1:36" x14ac:dyDescent="0.25">
      <c r="A1260" s="325" t="str">
        <f>CONCATENATE("P",'906MP'!M960)</f>
        <v>P</v>
      </c>
      <c r="B1260">
        <f>'906MP'!H960</f>
        <v>0</v>
      </c>
      <c r="C1260">
        <f>'906MP'!J960</f>
        <v>0</v>
      </c>
      <c r="D1260">
        <f>'906MP'!P960</f>
        <v>0</v>
      </c>
      <c r="E1260">
        <f>'906MP'!X960</f>
        <v>0</v>
      </c>
      <c r="F1260" t="str">
        <f t="shared" si="371"/>
        <v>0</v>
      </c>
      <c r="G1260" t="str">
        <f t="shared" si="372"/>
        <v>0</v>
      </c>
      <c r="H1260">
        <f>'906MP'!Y960</f>
        <v>0</v>
      </c>
      <c r="I1260">
        <f>'906MP'!AK960</f>
        <v>0</v>
      </c>
      <c r="J1260">
        <f>'906MP'!T960</f>
        <v>0</v>
      </c>
      <c r="K1260">
        <f>'906MP'!AJ960</f>
        <v>0</v>
      </c>
      <c r="L1260">
        <f>'906MP'!U960</f>
        <v>0</v>
      </c>
      <c r="M1260" s="322" t="str">
        <f>IFERROR(VLOOKUP(A1260,PAR!$D$3:$E$53,2,FALSE),"nincs szervezet")</f>
        <v>nincs szervezet</v>
      </c>
      <c r="N1260" s="322" t="str">
        <f>VLOOKUP(F1260,PAR!$R$3:$S$5,2,FALSE)</f>
        <v>3 - egyik sem</v>
      </c>
      <c r="O1260" t="str">
        <f>IFERROR(VLOOKUP(J1260,PAR!$O$3:$P$5,2,FALSE),"nincs feladat")</f>
        <v>nincs feladat</v>
      </c>
      <c r="P1260" t="str">
        <f>IFERROR(VLOOKUP(G1260,PAR!$J$2:$M$19,4),"nincs rovat")</f>
        <v>nincs rovat</v>
      </c>
      <c r="Q1260" t="str">
        <f>IF(H1260&gt;0,VLOOKUP(H1260,PAR!$AA$3:$AC$187,3,FALSE),"nincs főkönyvi számla")</f>
        <v>nincs főkönyvi számla</v>
      </c>
      <c r="R1260" t="str">
        <f>IFERROR(VLOOKUP(K1260,PAR!$V$3:$X$438,3,FALSE),"000000 - Nincs COFOG")</f>
        <v>000000 - Nincs COFOG</v>
      </c>
      <c r="S1260">
        <f t="shared" si="373"/>
        <v>0</v>
      </c>
      <c r="T1260">
        <f t="shared" si="374"/>
        <v>0</v>
      </c>
      <c r="U1260" t="str">
        <f>IF('906MP'!J960&gt;0,CONCATENATE('906MP'!J960," - ",'906MP'!P960,", ",'906MP'!E960),"nincs megjegyzés")</f>
        <v>nincs megjegyzés</v>
      </c>
      <c r="V1260" t="str">
        <f t="shared" si="361"/>
        <v>0P0</v>
      </c>
      <c r="W1260" t="str">
        <f t="shared" si="362"/>
        <v>0P0</v>
      </c>
      <c r="X1260" t="str">
        <f t="shared" si="363"/>
        <v>P0</v>
      </c>
      <c r="Y1260" t="str">
        <f t="shared" si="364"/>
        <v>00</v>
      </c>
      <c r="Z1260" t="str">
        <f t="shared" si="375"/>
        <v>00</v>
      </c>
      <c r="AA1260" t="str">
        <f t="shared" si="365"/>
        <v>00</v>
      </c>
      <c r="AB1260" t="str">
        <f t="shared" si="366"/>
        <v>00</v>
      </c>
      <c r="AC1260" t="str">
        <f t="shared" si="367"/>
        <v>0P0</v>
      </c>
      <c r="AD1260" t="str">
        <f t="shared" si="368"/>
        <v>P00</v>
      </c>
      <c r="AE1260" t="str">
        <f t="shared" si="369"/>
        <v>0P0</v>
      </c>
      <c r="AF1260" t="str">
        <f t="shared" si="370"/>
        <v>P00</v>
      </c>
      <c r="AG1260" t="str">
        <f t="shared" si="376"/>
        <v>0P00</v>
      </c>
      <c r="AH1260" t="str">
        <f t="shared" si="377"/>
        <v>P000</v>
      </c>
      <c r="AI1260" t="str">
        <f t="shared" si="378"/>
        <v>0P00</v>
      </c>
      <c r="AJ1260" t="str">
        <f t="shared" si="379"/>
        <v>P000</v>
      </c>
    </row>
    <row r="1261" spans="1:36" x14ac:dyDescent="0.25">
      <c r="A1261" s="325" t="str">
        <f>CONCATENATE("P",'906MP'!M961)</f>
        <v>P</v>
      </c>
      <c r="B1261">
        <f>'906MP'!H961</f>
        <v>0</v>
      </c>
      <c r="C1261">
        <f>'906MP'!J961</f>
        <v>0</v>
      </c>
      <c r="D1261">
        <f>'906MP'!P961</f>
        <v>0</v>
      </c>
      <c r="E1261">
        <f>'906MP'!X961</f>
        <v>0</v>
      </c>
      <c r="F1261" t="str">
        <f t="shared" si="371"/>
        <v>0</v>
      </c>
      <c r="G1261" t="str">
        <f t="shared" si="372"/>
        <v>0</v>
      </c>
      <c r="H1261">
        <f>'906MP'!Y961</f>
        <v>0</v>
      </c>
      <c r="I1261">
        <f>'906MP'!AK961</f>
        <v>0</v>
      </c>
      <c r="J1261">
        <f>'906MP'!T961</f>
        <v>0</v>
      </c>
      <c r="K1261">
        <f>'906MP'!AJ961</f>
        <v>0</v>
      </c>
      <c r="L1261">
        <f>'906MP'!U961</f>
        <v>0</v>
      </c>
      <c r="M1261" s="322" t="str">
        <f>IFERROR(VLOOKUP(A1261,PAR!$D$3:$E$53,2,FALSE),"nincs szervezet")</f>
        <v>nincs szervezet</v>
      </c>
      <c r="N1261" s="322" t="str">
        <f>VLOOKUP(F1261,PAR!$R$3:$S$5,2,FALSE)</f>
        <v>3 - egyik sem</v>
      </c>
      <c r="O1261" t="str">
        <f>IFERROR(VLOOKUP(J1261,PAR!$O$3:$P$5,2,FALSE),"nincs feladat")</f>
        <v>nincs feladat</v>
      </c>
      <c r="P1261" t="str">
        <f>IFERROR(VLOOKUP(G1261,PAR!$J$2:$M$19,4),"nincs rovat")</f>
        <v>nincs rovat</v>
      </c>
      <c r="Q1261" t="str">
        <f>IF(H1261&gt;0,VLOOKUP(H1261,PAR!$AA$3:$AC$187,3,FALSE),"nincs főkönyvi számla")</f>
        <v>nincs főkönyvi számla</v>
      </c>
      <c r="R1261" t="str">
        <f>IFERROR(VLOOKUP(K1261,PAR!$V$3:$X$438,3,FALSE),"000000 - Nincs COFOG")</f>
        <v>000000 - Nincs COFOG</v>
      </c>
      <c r="S1261">
        <f t="shared" si="373"/>
        <v>0</v>
      </c>
      <c r="T1261">
        <f t="shared" si="374"/>
        <v>0</v>
      </c>
      <c r="U1261" t="str">
        <f>IF('906MP'!J961&gt;0,CONCATENATE('906MP'!J961," - ",'906MP'!P961,", ",'906MP'!E961),"nincs megjegyzés")</f>
        <v>nincs megjegyzés</v>
      </c>
      <c r="V1261" t="str">
        <f t="shared" si="361"/>
        <v>0P0</v>
      </c>
      <c r="W1261" t="str">
        <f t="shared" si="362"/>
        <v>0P0</v>
      </c>
      <c r="X1261" t="str">
        <f t="shared" si="363"/>
        <v>P0</v>
      </c>
      <c r="Y1261" t="str">
        <f t="shared" si="364"/>
        <v>00</v>
      </c>
      <c r="Z1261" t="str">
        <f t="shared" si="375"/>
        <v>00</v>
      </c>
      <c r="AA1261" t="str">
        <f t="shared" si="365"/>
        <v>00</v>
      </c>
      <c r="AB1261" t="str">
        <f t="shared" si="366"/>
        <v>00</v>
      </c>
      <c r="AC1261" t="str">
        <f t="shared" si="367"/>
        <v>0P0</v>
      </c>
      <c r="AD1261" t="str">
        <f t="shared" si="368"/>
        <v>P00</v>
      </c>
      <c r="AE1261" t="str">
        <f t="shared" si="369"/>
        <v>0P0</v>
      </c>
      <c r="AF1261" t="str">
        <f t="shared" si="370"/>
        <v>P00</v>
      </c>
      <c r="AG1261" t="str">
        <f t="shared" si="376"/>
        <v>0P00</v>
      </c>
      <c r="AH1261" t="str">
        <f t="shared" si="377"/>
        <v>P000</v>
      </c>
      <c r="AI1261" t="str">
        <f t="shared" si="378"/>
        <v>0P00</v>
      </c>
      <c r="AJ1261" t="str">
        <f t="shared" si="379"/>
        <v>P000</v>
      </c>
    </row>
    <row r="1262" spans="1:36" x14ac:dyDescent="0.25">
      <c r="A1262" s="325" t="str">
        <f>CONCATENATE("P",'906MP'!M962)</f>
        <v>P</v>
      </c>
      <c r="B1262">
        <f>'906MP'!H962</f>
        <v>0</v>
      </c>
      <c r="C1262">
        <f>'906MP'!J962</f>
        <v>0</v>
      </c>
      <c r="D1262">
        <f>'906MP'!P962</f>
        <v>0</v>
      </c>
      <c r="E1262">
        <f>'906MP'!X962</f>
        <v>0</v>
      </c>
      <c r="F1262" t="str">
        <f t="shared" si="371"/>
        <v>0</v>
      </c>
      <c r="G1262" t="str">
        <f t="shared" si="372"/>
        <v>0</v>
      </c>
      <c r="H1262">
        <f>'906MP'!Y962</f>
        <v>0</v>
      </c>
      <c r="I1262">
        <f>'906MP'!AK962</f>
        <v>0</v>
      </c>
      <c r="J1262">
        <f>'906MP'!T962</f>
        <v>0</v>
      </c>
      <c r="K1262">
        <f>'906MP'!AJ962</f>
        <v>0</v>
      </c>
      <c r="L1262">
        <f>'906MP'!U962</f>
        <v>0</v>
      </c>
      <c r="M1262" s="322" t="str">
        <f>IFERROR(VLOOKUP(A1262,PAR!$D$3:$E$53,2,FALSE),"nincs szervezet")</f>
        <v>nincs szervezet</v>
      </c>
      <c r="N1262" s="322" t="str">
        <f>VLOOKUP(F1262,PAR!$R$3:$S$5,2,FALSE)</f>
        <v>3 - egyik sem</v>
      </c>
      <c r="O1262" t="str">
        <f>IFERROR(VLOOKUP(J1262,PAR!$O$3:$P$5,2,FALSE),"nincs feladat")</f>
        <v>nincs feladat</v>
      </c>
      <c r="P1262" t="str">
        <f>IFERROR(VLOOKUP(G1262,PAR!$J$2:$M$19,4),"nincs rovat")</f>
        <v>nincs rovat</v>
      </c>
      <c r="Q1262" t="str">
        <f>IF(H1262&gt;0,VLOOKUP(H1262,PAR!$AA$3:$AC$187,3,FALSE),"nincs főkönyvi számla")</f>
        <v>nincs főkönyvi számla</v>
      </c>
      <c r="R1262" t="str">
        <f>IFERROR(VLOOKUP(K1262,PAR!$V$3:$X$438,3,FALSE),"000000 - Nincs COFOG")</f>
        <v>000000 - Nincs COFOG</v>
      </c>
      <c r="S1262">
        <f t="shared" si="373"/>
        <v>0</v>
      </c>
      <c r="T1262">
        <f t="shared" si="374"/>
        <v>0</v>
      </c>
      <c r="U1262" t="str">
        <f>IF('906MP'!J962&gt;0,CONCATENATE('906MP'!J962," - ",'906MP'!P962,", ",'906MP'!E962),"nincs megjegyzés")</f>
        <v>nincs megjegyzés</v>
      </c>
      <c r="V1262" t="str">
        <f t="shared" si="361"/>
        <v>0P0</v>
      </c>
      <c r="W1262" t="str">
        <f t="shared" si="362"/>
        <v>0P0</v>
      </c>
      <c r="X1262" t="str">
        <f t="shared" si="363"/>
        <v>P0</v>
      </c>
      <c r="Y1262" t="str">
        <f t="shared" si="364"/>
        <v>00</v>
      </c>
      <c r="Z1262" t="str">
        <f t="shared" si="375"/>
        <v>00</v>
      </c>
      <c r="AA1262" t="str">
        <f t="shared" si="365"/>
        <v>00</v>
      </c>
      <c r="AB1262" t="str">
        <f t="shared" si="366"/>
        <v>00</v>
      </c>
      <c r="AC1262" t="str">
        <f t="shared" si="367"/>
        <v>0P0</v>
      </c>
      <c r="AD1262" t="str">
        <f t="shared" si="368"/>
        <v>P00</v>
      </c>
      <c r="AE1262" t="str">
        <f t="shared" si="369"/>
        <v>0P0</v>
      </c>
      <c r="AF1262" t="str">
        <f t="shared" si="370"/>
        <v>P00</v>
      </c>
      <c r="AG1262" t="str">
        <f t="shared" si="376"/>
        <v>0P00</v>
      </c>
      <c r="AH1262" t="str">
        <f t="shared" si="377"/>
        <v>P000</v>
      </c>
      <c r="AI1262" t="str">
        <f t="shared" si="378"/>
        <v>0P00</v>
      </c>
      <c r="AJ1262" t="str">
        <f t="shared" si="379"/>
        <v>P000</v>
      </c>
    </row>
    <row r="1263" spans="1:36" x14ac:dyDescent="0.25">
      <c r="A1263" s="325" t="str">
        <f>CONCATENATE("P",'906MP'!M963)</f>
        <v>P</v>
      </c>
      <c r="B1263">
        <f>'906MP'!H963</f>
        <v>0</v>
      </c>
      <c r="C1263">
        <f>'906MP'!J963</f>
        <v>0</v>
      </c>
      <c r="D1263">
        <f>'906MP'!P963</f>
        <v>0</v>
      </c>
      <c r="E1263">
        <f>'906MP'!X963</f>
        <v>0</v>
      </c>
      <c r="F1263" t="str">
        <f t="shared" si="371"/>
        <v>0</v>
      </c>
      <c r="G1263" t="str">
        <f t="shared" si="372"/>
        <v>0</v>
      </c>
      <c r="H1263">
        <f>'906MP'!Y963</f>
        <v>0</v>
      </c>
      <c r="I1263">
        <f>'906MP'!AK963</f>
        <v>0</v>
      </c>
      <c r="J1263">
        <f>'906MP'!T963</f>
        <v>0</v>
      </c>
      <c r="K1263">
        <f>'906MP'!AJ963</f>
        <v>0</v>
      </c>
      <c r="L1263">
        <f>'906MP'!U963</f>
        <v>0</v>
      </c>
      <c r="M1263" s="322" t="str">
        <f>IFERROR(VLOOKUP(A1263,PAR!$D$3:$E$53,2,FALSE),"nincs szervezet")</f>
        <v>nincs szervezet</v>
      </c>
      <c r="N1263" s="322" t="str">
        <f>VLOOKUP(F1263,PAR!$R$3:$S$5,2,FALSE)</f>
        <v>3 - egyik sem</v>
      </c>
      <c r="O1263" t="str">
        <f>IFERROR(VLOOKUP(J1263,PAR!$O$3:$P$5,2,FALSE),"nincs feladat")</f>
        <v>nincs feladat</v>
      </c>
      <c r="P1263" t="str">
        <f>IFERROR(VLOOKUP(G1263,PAR!$J$2:$M$19,4),"nincs rovat")</f>
        <v>nincs rovat</v>
      </c>
      <c r="Q1263" t="str">
        <f>IF(H1263&gt;0,VLOOKUP(H1263,PAR!$AA$3:$AC$187,3,FALSE),"nincs főkönyvi számla")</f>
        <v>nincs főkönyvi számla</v>
      </c>
      <c r="R1263" t="str">
        <f>IFERROR(VLOOKUP(K1263,PAR!$V$3:$X$438,3,FALSE),"000000 - Nincs COFOG")</f>
        <v>000000 - Nincs COFOG</v>
      </c>
      <c r="S1263">
        <f t="shared" si="373"/>
        <v>0</v>
      </c>
      <c r="T1263">
        <f t="shared" si="374"/>
        <v>0</v>
      </c>
      <c r="U1263" t="str">
        <f>IF('906MP'!J963&gt;0,CONCATENATE('906MP'!J963," - ",'906MP'!P963,", ",'906MP'!E963),"nincs megjegyzés")</f>
        <v>nincs megjegyzés</v>
      </c>
      <c r="V1263" t="str">
        <f t="shared" si="361"/>
        <v>0P0</v>
      </c>
      <c r="W1263" t="str">
        <f t="shared" si="362"/>
        <v>0P0</v>
      </c>
      <c r="X1263" t="str">
        <f t="shared" si="363"/>
        <v>P0</v>
      </c>
      <c r="Y1263" t="str">
        <f t="shared" si="364"/>
        <v>00</v>
      </c>
      <c r="Z1263" t="str">
        <f t="shared" si="375"/>
        <v>00</v>
      </c>
      <c r="AA1263" t="str">
        <f t="shared" si="365"/>
        <v>00</v>
      </c>
      <c r="AB1263" t="str">
        <f t="shared" si="366"/>
        <v>00</v>
      </c>
      <c r="AC1263" t="str">
        <f t="shared" si="367"/>
        <v>0P0</v>
      </c>
      <c r="AD1263" t="str">
        <f t="shared" si="368"/>
        <v>P00</v>
      </c>
      <c r="AE1263" t="str">
        <f t="shared" si="369"/>
        <v>0P0</v>
      </c>
      <c r="AF1263" t="str">
        <f t="shared" si="370"/>
        <v>P00</v>
      </c>
      <c r="AG1263" t="str">
        <f t="shared" si="376"/>
        <v>0P00</v>
      </c>
      <c r="AH1263" t="str">
        <f t="shared" si="377"/>
        <v>P000</v>
      </c>
      <c r="AI1263" t="str">
        <f t="shared" si="378"/>
        <v>0P00</v>
      </c>
      <c r="AJ1263" t="str">
        <f t="shared" si="379"/>
        <v>P000</v>
      </c>
    </row>
    <row r="1264" spans="1:36" x14ac:dyDescent="0.25">
      <c r="A1264" s="325" t="str">
        <f>CONCATENATE("P",'906MP'!M964)</f>
        <v>P</v>
      </c>
      <c r="B1264">
        <f>'906MP'!H964</f>
        <v>0</v>
      </c>
      <c r="C1264">
        <f>'906MP'!J964</f>
        <v>0</v>
      </c>
      <c r="D1264">
        <f>'906MP'!P964</f>
        <v>0</v>
      </c>
      <c r="E1264">
        <f>'906MP'!X964</f>
        <v>0</v>
      </c>
      <c r="F1264" t="str">
        <f t="shared" si="371"/>
        <v>0</v>
      </c>
      <c r="G1264" t="str">
        <f t="shared" si="372"/>
        <v>0</v>
      </c>
      <c r="H1264">
        <f>'906MP'!Y964</f>
        <v>0</v>
      </c>
      <c r="I1264">
        <f>'906MP'!AK964</f>
        <v>0</v>
      </c>
      <c r="J1264">
        <f>'906MP'!T964</f>
        <v>0</v>
      </c>
      <c r="K1264">
        <f>'906MP'!AJ964</f>
        <v>0</v>
      </c>
      <c r="L1264">
        <f>'906MP'!U964</f>
        <v>0</v>
      </c>
      <c r="M1264" s="322" t="str">
        <f>IFERROR(VLOOKUP(A1264,PAR!$D$3:$E$53,2,FALSE),"nincs szervezet")</f>
        <v>nincs szervezet</v>
      </c>
      <c r="N1264" s="322" t="str">
        <f>VLOOKUP(F1264,PAR!$R$3:$S$5,2,FALSE)</f>
        <v>3 - egyik sem</v>
      </c>
      <c r="O1264" t="str">
        <f>IFERROR(VLOOKUP(J1264,PAR!$O$3:$P$5,2,FALSE),"nincs feladat")</f>
        <v>nincs feladat</v>
      </c>
      <c r="P1264" t="str">
        <f>IFERROR(VLOOKUP(G1264,PAR!$J$2:$M$19,4),"nincs rovat")</f>
        <v>nincs rovat</v>
      </c>
      <c r="Q1264" t="str">
        <f>IF(H1264&gt;0,VLOOKUP(H1264,PAR!$AA$3:$AC$187,3,FALSE),"nincs főkönyvi számla")</f>
        <v>nincs főkönyvi számla</v>
      </c>
      <c r="R1264" t="str">
        <f>IFERROR(VLOOKUP(K1264,PAR!$V$3:$X$438,3,FALSE),"000000 - Nincs COFOG")</f>
        <v>000000 - Nincs COFOG</v>
      </c>
      <c r="S1264">
        <f t="shared" si="373"/>
        <v>0</v>
      </c>
      <c r="T1264">
        <f t="shared" si="374"/>
        <v>0</v>
      </c>
      <c r="U1264" t="str">
        <f>IF('906MP'!J964&gt;0,CONCATENATE('906MP'!J964," - ",'906MP'!P964,", ",'906MP'!E964),"nincs megjegyzés")</f>
        <v>nincs megjegyzés</v>
      </c>
      <c r="V1264" t="str">
        <f t="shared" si="361"/>
        <v>0P0</v>
      </c>
      <c r="W1264" t="str">
        <f t="shared" si="362"/>
        <v>0P0</v>
      </c>
      <c r="X1264" t="str">
        <f t="shared" si="363"/>
        <v>P0</v>
      </c>
      <c r="Y1264" t="str">
        <f t="shared" si="364"/>
        <v>00</v>
      </c>
      <c r="Z1264" t="str">
        <f t="shared" si="375"/>
        <v>00</v>
      </c>
      <c r="AA1264" t="str">
        <f t="shared" si="365"/>
        <v>00</v>
      </c>
      <c r="AB1264" t="str">
        <f t="shared" si="366"/>
        <v>00</v>
      </c>
      <c r="AC1264" t="str">
        <f t="shared" si="367"/>
        <v>0P0</v>
      </c>
      <c r="AD1264" t="str">
        <f t="shared" si="368"/>
        <v>P00</v>
      </c>
      <c r="AE1264" t="str">
        <f t="shared" si="369"/>
        <v>0P0</v>
      </c>
      <c r="AF1264" t="str">
        <f t="shared" si="370"/>
        <v>P00</v>
      </c>
      <c r="AG1264" t="str">
        <f t="shared" si="376"/>
        <v>0P00</v>
      </c>
      <c r="AH1264" t="str">
        <f t="shared" si="377"/>
        <v>P000</v>
      </c>
      <c r="AI1264" t="str">
        <f t="shared" si="378"/>
        <v>0P00</v>
      </c>
      <c r="AJ1264" t="str">
        <f t="shared" si="379"/>
        <v>P000</v>
      </c>
    </row>
    <row r="1265" spans="1:36" x14ac:dyDescent="0.25">
      <c r="A1265" s="325" t="str">
        <f>CONCATENATE("P",'906MP'!M965)</f>
        <v>P</v>
      </c>
      <c r="B1265">
        <f>'906MP'!H965</f>
        <v>0</v>
      </c>
      <c r="C1265">
        <f>'906MP'!J965</f>
        <v>0</v>
      </c>
      <c r="D1265">
        <f>'906MP'!P965</f>
        <v>0</v>
      </c>
      <c r="E1265">
        <f>'906MP'!X965</f>
        <v>0</v>
      </c>
      <c r="F1265" t="str">
        <f t="shared" si="371"/>
        <v>0</v>
      </c>
      <c r="G1265" t="str">
        <f t="shared" si="372"/>
        <v>0</v>
      </c>
      <c r="H1265">
        <f>'906MP'!Y965</f>
        <v>0</v>
      </c>
      <c r="I1265">
        <f>'906MP'!AK965</f>
        <v>0</v>
      </c>
      <c r="J1265">
        <f>'906MP'!T965</f>
        <v>0</v>
      </c>
      <c r="K1265">
        <f>'906MP'!AJ965</f>
        <v>0</v>
      </c>
      <c r="L1265">
        <f>'906MP'!U965</f>
        <v>0</v>
      </c>
      <c r="M1265" s="322" t="str">
        <f>IFERROR(VLOOKUP(A1265,PAR!$D$3:$E$53,2,FALSE),"nincs szervezet")</f>
        <v>nincs szervezet</v>
      </c>
      <c r="N1265" s="322" t="str">
        <f>VLOOKUP(F1265,PAR!$R$3:$S$5,2,FALSE)</f>
        <v>3 - egyik sem</v>
      </c>
      <c r="O1265" t="str">
        <f>IFERROR(VLOOKUP(J1265,PAR!$O$3:$P$5,2,FALSE),"nincs feladat")</f>
        <v>nincs feladat</v>
      </c>
      <c r="P1265" t="str">
        <f>IFERROR(VLOOKUP(G1265,PAR!$J$2:$M$19,4),"nincs rovat")</f>
        <v>nincs rovat</v>
      </c>
      <c r="Q1265" t="str">
        <f>IF(H1265&gt;0,VLOOKUP(H1265,PAR!$AA$3:$AC$187,3,FALSE),"nincs főkönyvi számla")</f>
        <v>nincs főkönyvi számla</v>
      </c>
      <c r="R1265" t="str">
        <f>IFERROR(VLOOKUP(K1265,PAR!$V$3:$X$438,3,FALSE),"000000 - Nincs COFOG")</f>
        <v>000000 - Nincs COFOG</v>
      </c>
      <c r="S1265">
        <f t="shared" si="373"/>
        <v>0</v>
      </c>
      <c r="T1265">
        <f t="shared" si="374"/>
        <v>0</v>
      </c>
      <c r="U1265" t="str">
        <f>IF('906MP'!J965&gt;0,CONCATENATE('906MP'!J965," - ",'906MP'!P965,", ",'906MP'!E965),"nincs megjegyzés")</f>
        <v>nincs megjegyzés</v>
      </c>
      <c r="V1265" t="str">
        <f t="shared" si="361"/>
        <v>0P0</v>
      </c>
      <c r="W1265" t="str">
        <f t="shared" si="362"/>
        <v>0P0</v>
      </c>
      <c r="X1265" t="str">
        <f t="shared" si="363"/>
        <v>P0</v>
      </c>
      <c r="Y1265" t="str">
        <f t="shared" si="364"/>
        <v>00</v>
      </c>
      <c r="Z1265" t="str">
        <f t="shared" si="375"/>
        <v>00</v>
      </c>
      <c r="AA1265" t="str">
        <f t="shared" si="365"/>
        <v>00</v>
      </c>
      <c r="AB1265" t="str">
        <f t="shared" si="366"/>
        <v>00</v>
      </c>
      <c r="AC1265" t="str">
        <f t="shared" si="367"/>
        <v>0P0</v>
      </c>
      <c r="AD1265" t="str">
        <f t="shared" si="368"/>
        <v>P00</v>
      </c>
      <c r="AE1265" t="str">
        <f t="shared" si="369"/>
        <v>0P0</v>
      </c>
      <c r="AF1265" t="str">
        <f t="shared" si="370"/>
        <v>P00</v>
      </c>
      <c r="AG1265" t="str">
        <f t="shared" si="376"/>
        <v>0P00</v>
      </c>
      <c r="AH1265" t="str">
        <f t="shared" si="377"/>
        <v>P000</v>
      </c>
      <c r="AI1265" t="str">
        <f t="shared" si="378"/>
        <v>0P00</v>
      </c>
      <c r="AJ1265" t="str">
        <f t="shared" si="379"/>
        <v>P000</v>
      </c>
    </row>
    <row r="1266" spans="1:36" x14ac:dyDescent="0.25">
      <c r="A1266" s="325" t="str">
        <f>CONCATENATE("P",'906MP'!M966)</f>
        <v>P</v>
      </c>
      <c r="B1266">
        <f>'906MP'!H966</f>
        <v>0</v>
      </c>
      <c r="C1266">
        <f>'906MP'!J966</f>
        <v>0</v>
      </c>
      <c r="D1266">
        <f>'906MP'!P966</f>
        <v>0</v>
      </c>
      <c r="E1266">
        <f>'906MP'!X966</f>
        <v>0</v>
      </c>
      <c r="F1266" t="str">
        <f t="shared" si="371"/>
        <v>0</v>
      </c>
      <c r="G1266" t="str">
        <f t="shared" si="372"/>
        <v>0</v>
      </c>
      <c r="H1266">
        <f>'906MP'!Y966</f>
        <v>0</v>
      </c>
      <c r="I1266">
        <f>'906MP'!AK966</f>
        <v>0</v>
      </c>
      <c r="J1266">
        <f>'906MP'!T966</f>
        <v>0</v>
      </c>
      <c r="K1266">
        <f>'906MP'!AJ966</f>
        <v>0</v>
      </c>
      <c r="L1266">
        <f>'906MP'!U966</f>
        <v>0</v>
      </c>
      <c r="M1266" s="322" t="str">
        <f>IFERROR(VLOOKUP(A1266,PAR!$D$3:$E$53,2,FALSE),"nincs szervezet")</f>
        <v>nincs szervezet</v>
      </c>
      <c r="N1266" s="322" t="str">
        <f>VLOOKUP(F1266,PAR!$R$3:$S$5,2,FALSE)</f>
        <v>3 - egyik sem</v>
      </c>
      <c r="O1266" t="str">
        <f>IFERROR(VLOOKUP(J1266,PAR!$O$3:$P$5,2,FALSE),"nincs feladat")</f>
        <v>nincs feladat</v>
      </c>
      <c r="P1266" t="str">
        <f>IFERROR(VLOOKUP(G1266,PAR!$J$2:$M$19,4),"nincs rovat")</f>
        <v>nincs rovat</v>
      </c>
      <c r="Q1266" t="str">
        <f>IF(H1266&gt;0,VLOOKUP(H1266,PAR!$AA$3:$AC$187,3,FALSE),"nincs főkönyvi számla")</f>
        <v>nincs főkönyvi számla</v>
      </c>
      <c r="R1266" t="str">
        <f>IFERROR(VLOOKUP(K1266,PAR!$V$3:$X$438,3,FALSE),"000000 - Nincs COFOG")</f>
        <v>000000 - Nincs COFOG</v>
      </c>
      <c r="S1266">
        <f t="shared" si="373"/>
        <v>0</v>
      </c>
      <c r="T1266">
        <f t="shared" si="374"/>
        <v>0</v>
      </c>
      <c r="U1266" t="str">
        <f>IF('906MP'!J966&gt;0,CONCATENATE('906MP'!J966," - ",'906MP'!P966,", ",'906MP'!E966),"nincs megjegyzés")</f>
        <v>nincs megjegyzés</v>
      </c>
      <c r="V1266" t="str">
        <f t="shared" si="361"/>
        <v>0P0</v>
      </c>
      <c r="W1266" t="str">
        <f t="shared" si="362"/>
        <v>0P0</v>
      </c>
      <c r="X1266" t="str">
        <f t="shared" si="363"/>
        <v>P0</v>
      </c>
      <c r="Y1266" t="str">
        <f t="shared" si="364"/>
        <v>00</v>
      </c>
      <c r="Z1266" t="str">
        <f t="shared" si="375"/>
        <v>00</v>
      </c>
      <c r="AA1266" t="str">
        <f t="shared" si="365"/>
        <v>00</v>
      </c>
      <c r="AB1266" t="str">
        <f t="shared" si="366"/>
        <v>00</v>
      </c>
      <c r="AC1266" t="str">
        <f t="shared" si="367"/>
        <v>0P0</v>
      </c>
      <c r="AD1266" t="str">
        <f t="shared" si="368"/>
        <v>P00</v>
      </c>
      <c r="AE1266" t="str">
        <f t="shared" si="369"/>
        <v>0P0</v>
      </c>
      <c r="AF1266" t="str">
        <f t="shared" si="370"/>
        <v>P00</v>
      </c>
      <c r="AG1266" t="str">
        <f t="shared" si="376"/>
        <v>0P00</v>
      </c>
      <c r="AH1266" t="str">
        <f t="shared" si="377"/>
        <v>P000</v>
      </c>
      <c r="AI1266" t="str">
        <f t="shared" si="378"/>
        <v>0P00</v>
      </c>
      <c r="AJ1266" t="str">
        <f t="shared" si="379"/>
        <v>P000</v>
      </c>
    </row>
    <row r="1267" spans="1:36" x14ac:dyDescent="0.25">
      <c r="A1267" s="325" t="str">
        <f>CONCATENATE("P",'906MP'!M967)</f>
        <v>P</v>
      </c>
      <c r="B1267">
        <f>'906MP'!H967</f>
        <v>0</v>
      </c>
      <c r="C1267">
        <f>'906MP'!J967</f>
        <v>0</v>
      </c>
      <c r="D1267">
        <f>'906MP'!P967</f>
        <v>0</v>
      </c>
      <c r="E1267">
        <f>'906MP'!X967</f>
        <v>0</v>
      </c>
      <c r="F1267" t="str">
        <f t="shared" si="371"/>
        <v>0</v>
      </c>
      <c r="G1267" t="str">
        <f t="shared" si="372"/>
        <v>0</v>
      </c>
      <c r="H1267">
        <f>'906MP'!Y967</f>
        <v>0</v>
      </c>
      <c r="I1267">
        <f>'906MP'!AK967</f>
        <v>0</v>
      </c>
      <c r="J1267">
        <f>'906MP'!T967</f>
        <v>0</v>
      </c>
      <c r="K1267">
        <f>'906MP'!AJ967</f>
        <v>0</v>
      </c>
      <c r="L1267">
        <f>'906MP'!U967</f>
        <v>0</v>
      </c>
      <c r="M1267" s="322" t="str">
        <f>IFERROR(VLOOKUP(A1267,PAR!$D$3:$E$53,2,FALSE),"nincs szervezet")</f>
        <v>nincs szervezet</v>
      </c>
      <c r="N1267" s="322" t="str">
        <f>VLOOKUP(F1267,PAR!$R$3:$S$5,2,FALSE)</f>
        <v>3 - egyik sem</v>
      </c>
      <c r="O1267" t="str">
        <f>IFERROR(VLOOKUP(J1267,PAR!$O$3:$P$5,2,FALSE),"nincs feladat")</f>
        <v>nincs feladat</v>
      </c>
      <c r="P1267" t="str">
        <f>IFERROR(VLOOKUP(G1267,PAR!$J$2:$M$19,4),"nincs rovat")</f>
        <v>nincs rovat</v>
      </c>
      <c r="Q1267" t="str">
        <f>IF(H1267&gt;0,VLOOKUP(H1267,PAR!$AA$3:$AC$187,3,FALSE),"nincs főkönyvi számla")</f>
        <v>nincs főkönyvi számla</v>
      </c>
      <c r="R1267" t="str">
        <f>IFERROR(VLOOKUP(K1267,PAR!$V$3:$X$438,3,FALSE),"000000 - Nincs COFOG")</f>
        <v>000000 - Nincs COFOG</v>
      </c>
      <c r="S1267">
        <f t="shared" si="373"/>
        <v>0</v>
      </c>
      <c r="T1267">
        <f t="shared" si="374"/>
        <v>0</v>
      </c>
      <c r="U1267" t="str">
        <f>IF('906MP'!J967&gt;0,CONCATENATE('906MP'!J967," - ",'906MP'!P967,", ",'906MP'!E967),"nincs megjegyzés")</f>
        <v>nincs megjegyzés</v>
      </c>
      <c r="V1267" t="str">
        <f t="shared" si="361"/>
        <v>0P0</v>
      </c>
      <c r="W1267" t="str">
        <f t="shared" si="362"/>
        <v>0P0</v>
      </c>
      <c r="X1267" t="str">
        <f t="shared" si="363"/>
        <v>P0</v>
      </c>
      <c r="Y1267" t="str">
        <f t="shared" si="364"/>
        <v>00</v>
      </c>
      <c r="Z1267" t="str">
        <f t="shared" si="375"/>
        <v>00</v>
      </c>
      <c r="AA1267" t="str">
        <f t="shared" si="365"/>
        <v>00</v>
      </c>
      <c r="AB1267" t="str">
        <f t="shared" si="366"/>
        <v>00</v>
      </c>
      <c r="AC1267" t="str">
        <f t="shared" si="367"/>
        <v>0P0</v>
      </c>
      <c r="AD1267" t="str">
        <f t="shared" si="368"/>
        <v>P00</v>
      </c>
      <c r="AE1267" t="str">
        <f t="shared" si="369"/>
        <v>0P0</v>
      </c>
      <c r="AF1267" t="str">
        <f t="shared" si="370"/>
        <v>P00</v>
      </c>
      <c r="AG1267" t="str">
        <f t="shared" si="376"/>
        <v>0P00</v>
      </c>
      <c r="AH1267" t="str">
        <f t="shared" si="377"/>
        <v>P000</v>
      </c>
      <c r="AI1267" t="str">
        <f t="shared" si="378"/>
        <v>0P00</v>
      </c>
      <c r="AJ1267" t="str">
        <f t="shared" si="379"/>
        <v>P000</v>
      </c>
    </row>
    <row r="1268" spans="1:36" x14ac:dyDescent="0.25">
      <c r="A1268" s="325" t="str">
        <f>CONCATENATE("P",'906MP'!M968)</f>
        <v>P</v>
      </c>
      <c r="B1268">
        <f>'906MP'!H968</f>
        <v>0</v>
      </c>
      <c r="C1268">
        <f>'906MP'!J968</f>
        <v>0</v>
      </c>
      <c r="D1268">
        <f>'906MP'!P968</f>
        <v>0</v>
      </c>
      <c r="E1268">
        <f>'906MP'!X968</f>
        <v>0</v>
      </c>
      <c r="F1268" t="str">
        <f t="shared" si="371"/>
        <v>0</v>
      </c>
      <c r="G1268" t="str">
        <f t="shared" si="372"/>
        <v>0</v>
      </c>
      <c r="H1268">
        <f>'906MP'!Y968</f>
        <v>0</v>
      </c>
      <c r="I1268">
        <f>'906MP'!AK968</f>
        <v>0</v>
      </c>
      <c r="J1268">
        <f>'906MP'!T968</f>
        <v>0</v>
      </c>
      <c r="K1268">
        <f>'906MP'!AJ968</f>
        <v>0</v>
      </c>
      <c r="L1268">
        <f>'906MP'!U968</f>
        <v>0</v>
      </c>
      <c r="M1268" s="322" t="str">
        <f>IFERROR(VLOOKUP(A1268,PAR!$D$3:$E$53,2,FALSE),"nincs szervezet")</f>
        <v>nincs szervezet</v>
      </c>
      <c r="N1268" s="322" t="str">
        <f>VLOOKUP(F1268,PAR!$R$3:$S$5,2,FALSE)</f>
        <v>3 - egyik sem</v>
      </c>
      <c r="O1268" t="str">
        <f>IFERROR(VLOOKUP(J1268,PAR!$O$3:$P$5,2,FALSE),"nincs feladat")</f>
        <v>nincs feladat</v>
      </c>
      <c r="P1268" t="str">
        <f>IFERROR(VLOOKUP(G1268,PAR!$J$2:$M$19,4),"nincs rovat")</f>
        <v>nincs rovat</v>
      </c>
      <c r="Q1268" t="str">
        <f>IF(H1268&gt;0,VLOOKUP(H1268,PAR!$AA$3:$AC$187,3,FALSE),"nincs főkönyvi számla")</f>
        <v>nincs főkönyvi számla</v>
      </c>
      <c r="R1268" t="str">
        <f>IFERROR(VLOOKUP(K1268,PAR!$V$3:$X$438,3,FALSE),"000000 - Nincs COFOG")</f>
        <v>000000 - Nincs COFOG</v>
      </c>
      <c r="S1268">
        <f t="shared" si="373"/>
        <v>0</v>
      </c>
      <c r="T1268">
        <f t="shared" si="374"/>
        <v>0</v>
      </c>
      <c r="U1268" t="str">
        <f>IF('906MP'!J968&gt;0,CONCATENATE('906MP'!J968," - ",'906MP'!P968,", ",'906MP'!E968),"nincs megjegyzés")</f>
        <v>nincs megjegyzés</v>
      </c>
      <c r="V1268" t="str">
        <f t="shared" si="361"/>
        <v>0P0</v>
      </c>
      <c r="W1268" t="str">
        <f t="shared" si="362"/>
        <v>0P0</v>
      </c>
      <c r="X1268" t="str">
        <f t="shared" si="363"/>
        <v>P0</v>
      </c>
      <c r="Y1268" t="str">
        <f t="shared" si="364"/>
        <v>00</v>
      </c>
      <c r="Z1268" t="str">
        <f t="shared" si="375"/>
        <v>00</v>
      </c>
      <c r="AA1268" t="str">
        <f t="shared" si="365"/>
        <v>00</v>
      </c>
      <c r="AB1268" t="str">
        <f t="shared" si="366"/>
        <v>00</v>
      </c>
      <c r="AC1268" t="str">
        <f t="shared" si="367"/>
        <v>0P0</v>
      </c>
      <c r="AD1268" t="str">
        <f t="shared" si="368"/>
        <v>P00</v>
      </c>
      <c r="AE1268" t="str">
        <f t="shared" si="369"/>
        <v>0P0</v>
      </c>
      <c r="AF1268" t="str">
        <f t="shared" si="370"/>
        <v>P00</v>
      </c>
      <c r="AG1268" t="str">
        <f t="shared" si="376"/>
        <v>0P00</v>
      </c>
      <c r="AH1268" t="str">
        <f t="shared" si="377"/>
        <v>P000</v>
      </c>
      <c r="AI1268" t="str">
        <f t="shared" si="378"/>
        <v>0P00</v>
      </c>
      <c r="AJ1268" t="str">
        <f t="shared" si="379"/>
        <v>P000</v>
      </c>
    </row>
    <row r="1269" spans="1:36" x14ac:dyDescent="0.25">
      <c r="A1269" s="325" t="str">
        <f>CONCATENATE("P",'906MP'!M969)</f>
        <v>P</v>
      </c>
      <c r="B1269">
        <f>'906MP'!H969</f>
        <v>0</v>
      </c>
      <c r="C1269">
        <f>'906MP'!J969</f>
        <v>0</v>
      </c>
      <c r="D1269">
        <f>'906MP'!P969</f>
        <v>0</v>
      </c>
      <c r="E1269">
        <f>'906MP'!X969</f>
        <v>0</v>
      </c>
      <c r="F1269" t="str">
        <f t="shared" si="371"/>
        <v>0</v>
      </c>
      <c r="G1269" t="str">
        <f t="shared" si="372"/>
        <v>0</v>
      </c>
      <c r="H1269">
        <f>'906MP'!Y969</f>
        <v>0</v>
      </c>
      <c r="I1269">
        <f>'906MP'!AK969</f>
        <v>0</v>
      </c>
      <c r="J1269">
        <f>'906MP'!T969</f>
        <v>0</v>
      </c>
      <c r="K1269">
        <f>'906MP'!AJ969</f>
        <v>0</v>
      </c>
      <c r="L1269">
        <f>'906MP'!U969</f>
        <v>0</v>
      </c>
      <c r="M1269" s="322" t="str">
        <f>IFERROR(VLOOKUP(A1269,PAR!$D$3:$E$53,2,FALSE),"nincs szervezet")</f>
        <v>nincs szervezet</v>
      </c>
      <c r="N1269" s="322" t="str">
        <f>VLOOKUP(F1269,PAR!$R$3:$S$5,2,FALSE)</f>
        <v>3 - egyik sem</v>
      </c>
      <c r="O1269" t="str">
        <f>IFERROR(VLOOKUP(J1269,PAR!$O$3:$P$5,2,FALSE),"nincs feladat")</f>
        <v>nincs feladat</v>
      </c>
      <c r="P1269" t="str">
        <f>IFERROR(VLOOKUP(G1269,PAR!$J$2:$M$19,4),"nincs rovat")</f>
        <v>nincs rovat</v>
      </c>
      <c r="Q1269" t="str">
        <f>IF(H1269&gt;0,VLOOKUP(H1269,PAR!$AA$3:$AC$187,3,FALSE),"nincs főkönyvi számla")</f>
        <v>nincs főkönyvi számla</v>
      </c>
      <c r="R1269" t="str">
        <f>IFERROR(VLOOKUP(K1269,PAR!$V$3:$X$438,3,FALSE),"000000 - Nincs COFOG")</f>
        <v>000000 - Nincs COFOG</v>
      </c>
      <c r="S1269">
        <f t="shared" si="373"/>
        <v>0</v>
      </c>
      <c r="T1269">
        <f t="shared" si="374"/>
        <v>0</v>
      </c>
      <c r="U1269" t="str">
        <f>IF('906MP'!J969&gt;0,CONCATENATE('906MP'!J969," - ",'906MP'!P969,", ",'906MP'!E969),"nincs megjegyzés")</f>
        <v>nincs megjegyzés</v>
      </c>
      <c r="V1269" t="str">
        <f t="shared" si="361"/>
        <v>0P0</v>
      </c>
      <c r="W1269" t="str">
        <f t="shared" si="362"/>
        <v>0P0</v>
      </c>
      <c r="X1269" t="str">
        <f t="shared" si="363"/>
        <v>P0</v>
      </c>
      <c r="Y1269" t="str">
        <f t="shared" si="364"/>
        <v>00</v>
      </c>
      <c r="Z1269" t="str">
        <f t="shared" si="375"/>
        <v>00</v>
      </c>
      <c r="AA1269" t="str">
        <f t="shared" si="365"/>
        <v>00</v>
      </c>
      <c r="AB1269" t="str">
        <f t="shared" si="366"/>
        <v>00</v>
      </c>
      <c r="AC1269" t="str">
        <f t="shared" si="367"/>
        <v>0P0</v>
      </c>
      <c r="AD1269" t="str">
        <f t="shared" si="368"/>
        <v>P00</v>
      </c>
      <c r="AE1269" t="str">
        <f t="shared" si="369"/>
        <v>0P0</v>
      </c>
      <c r="AF1269" t="str">
        <f t="shared" si="370"/>
        <v>P00</v>
      </c>
      <c r="AG1269" t="str">
        <f t="shared" si="376"/>
        <v>0P00</v>
      </c>
      <c r="AH1269" t="str">
        <f t="shared" si="377"/>
        <v>P000</v>
      </c>
      <c r="AI1269" t="str">
        <f t="shared" si="378"/>
        <v>0P00</v>
      </c>
      <c r="AJ1269" t="str">
        <f t="shared" si="379"/>
        <v>P000</v>
      </c>
    </row>
    <row r="1270" spans="1:36" x14ac:dyDescent="0.25">
      <c r="A1270" s="325" t="str">
        <f>CONCATENATE("P",'906MP'!M970)</f>
        <v>P</v>
      </c>
      <c r="B1270">
        <f>'906MP'!H970</f>
        <v>0</v>
      </c>
      <c r="C1270">
        <f>'906MP'!J970</f>
        <v>0</v>
      </c>
      <c r="D1270">
        <f>'906MP'!P970</f>
        <v>0</v>
      </c>
      <c r="E1270">
        <f>'906MP'!X970</f>
        <v>0</v>
      </c>
      <c r="F1270" t="str">
        <f t="shared" si="371"/>
        <v>0</v>
      </c>
      <c r="G1270" t="str">
        <f t="shared" si="372"/>
        <v>0</v>
      </c>
      <c r="H1270">
        <f>'906MP'!Y970</f>
        <v>0</v>
      </c>
      <c r="I1270">
        <f>'906MP'!AK970</f>
        <v>0</v>
      </c>
      <c r="J1270">
        <f>'906MP'!T970</f>
        <v>0</v>
      </c>
      <c r="K1270">
        <f>'906MP'!AJ970</f>
        <v>0</v>
      </c>
      <c r="L1270">
        <f>'906MP'!U970</f>
        <v>0</v>
      </c>
      <c r="M1270" s="322" t="str">
        <f>IFERROR(VLOOKUP(A1270,PAR!$D$3:$E$53,2,FALSE),"nincs szervezet")</f>
        <v>nincs szervezet</v>
      </c>
      <c r="N1270" s="322" t="str">
        <f>VLOOKUP(F1270,PAR!$R$3:$S$5,2,FALSE)</f>
        <v>3 - egyik sem</v>
      </c>
      <c r="O1270" t="str">
        <f>IFERROR(VLOOKUP(J1270,PAR!$O$3:$P$5,2,FALSE),"nincs feladat")</f>
        <v>nincs feladat</v>
      </c>
      <c r="P1270" t="str">
        <f>IFERROR(VLOOKUP(G1270,PAR!$J$2:$M$19,4),"nincs rovat")</f>
        <v>nincs rovat</v>
      </c>
      <c r="Q1270" t="str">
        <f>IF(H1270&gt;0,VLOOKUP(H1270,PAR!$AA$3:$AC$187,3,FALSE),"nincs főkönyvi számla")</f>
        <v>nincs főkönyvi számla</v>
      </c>
      <c r="R1270" t="str">
        <f>IFERROR(VLOOKUP(K1270,PAR!$V$3:$X$438,3,FALSE),"000000 - Nincs COFOG")</f>
        <v>000000 - Nincs COFOG</v>
      </c>
      <c r="S1270">
        <f t="shared" si="373"/>
        <v>0</v>
      </c>
      <c r="T1270">
        <f t="shared" si="374"/>
        <v>0</v>
      </c>
      <c r="U1270" t="str">
        <f>IF('906MP'!J970&gt;0,CONCATENATE('906MP'!J970," - ",'906MP'!P970,", ",'906MP'!E970),"nincs megjegyzés")</f>
        <v>nincs megjegyzés</v>
      </c>
      <c r="V1270" t="str">
        <f t="shared" si="361"/>
        <v>0P0</v>
      </c>
      <c r="W1270" t="str">
        <f t="shared" si="362"/>
        <v>0P0</v>
      </c>
      <c r="X1270" t="str">
        <f t="shared" si="363"/>
        <v>P0</v>
      </c>
      <c r="Y1270" t="str">
        <f t="shared" si="364"/>
        <v>00</v>
      </c>
      <c r="Z1270" t="str">
        <f t="shared" si="375"/>
        <v>00</v>
      </c>
      <c r="AA1270" t="str">
        <f t="shared" si="365"/>
        <v>00</v>
      </c>
      <c r="AB1270" t="str">
        <f t="shared" si="366"/>
        <v>00</v>
      </c>
      <c r="AC1270" t="str">
        <f t="shared" si="367"/>
        <v>0P0</v>
      </c>
      <c r="AD1270" t="str">
        <f t="shared" si="368"/>
        <v>P00</v>
      </c>
      <c r="AE1270" t="str">
        <f t="shared" si="369"/>
        <v>0P0</v>
      </c>
      <c r="AF1270" t="str">
        <f t="shared" si="370"/>
        <v>P00</v>
      </c>
      <c r="AG1270" t="str">
        <f t="shared" si="376"/>
        <v>0P00</v>
      </c>
      <c r="AH1270" t="str">
        <f t="shared" si="377"/>
        <v>P000</v>
      </c>
      <c r="AI1270" t="str">
        <f t="shared" si="378"/>
        <v>0P00</v>
      </c>
      <c r="AJ1270" t="str">
        <f t="shared" si="379"/>
        <v>P000</v>
      </c>
    </row>
    <row r="1271" spans="1:36" x14ac:dyDescent="0.25">
      <c r="A1271" s="325" t="str">
        <f>CONCATENATE("P",'906MP'!M971)</f>
        <v>P</v>
      </c>
      <c r="B1271">
        <f>'906MP'!H971</f>
        <v>0</v>
      </c>
      <c r="C1271">
        <f>'906MP'!J971</f>
        <v>0</v>
      </c>
      <c r="D1271">
        <f>'906MP'!P971</f>
        <v>0</v>
      </c>
      <c r="E1271">
        <f>'906MP'!X971</f>
        <v>0</v>
      </c>
      <c r="F1271" t="str">
        <f t="shared" si="371"/>
        <v>0</v>
      </c>
      <c r="G1271" t="str">
        <f t="shared" si="372"/>
        <v>0</v>
      </c>
      <c r="H1271">
        <f>'906MP'!Y971</f>
        <v>0</v>
      </c>
      <c r="I1271">
        <f>'906MP'!AK971</f>
        <v>0</v>
      </c>
      <c r="J1271">
        <f>'906MP'!T971</f>
        <v>0</v>
      </c>
      <c r="K1271">
        <f>'906MP'!AJ971</f>
        <v>0</v>
      </c>
      <c r="L1271">
        <f>'906MP'!U971</f>
        <v>0</v>
      </c>
      <c r="M1271" s="322" t="str">
        <f>IFERROR(VLOOKUP(A1271,PAR!$D$3:$E$53,2,FALSE),"nincs szervezet")</f>
        <v>nincs szervezet</v>
      </c>
      <c r="N1271" s="322" t="str">
        <f>VLOOKUP(F1271,PAR!$R$3:$S$5,2,FALSE)</f>
        <v>3 - egyik sem</v>
      </c>
      <c r="O1271" t="str">
        <f>IFERROR(VLOOKUP(J1271,PAR!$O$3:$P$5,2,FALSE),"nincs feladat")</f>
        <v>nincs feladat</v>
      </c>
      <c r="P1271" t="str">
        <f>IFERROR(VLOOKUP(G1271,PAR!$J$2:$M$19,4),"nincs rovat")</f>
        <v>nincs rovat</v>
      </c>
      <c r="Q1271" t="str">
        <f>IF(H1271&gt;0,VLOOKUP(H1271,PAR!$AA$3:$AC$187,3,FALSE),"nincs főkönyvi számla")</f>
        <v>nincs főkönyvi számla</v>
      </c>
      <c r="R1271" t="str">
        <f>IFERROR(VLOOKUP(K1271,PAR!$V$3:$X$438,3,FALSE),"000000 - Nincs COFOG")</f>
        <v>000000 - Nincs COFOG</v>
      </c>
      <c r="S1271">
        <f t="shared" si="373"/>
        <v>0</v>
      </c>
      <c r="T1271">
        <f t="shared" si="374"/>
        <v>0</v>
      </c>
      <c r="U1271" t="str">
        <f>IF('906MP'!J971&gt;0,CONCATENATE('906MP'!J971," - ",'906MP'!P971,", ",'906MP'!E971),"nincs megjegyzés")</f>
        <v>nincs megjegyzés</v>
      </c>
      <c r="V1271" t="str">
        <f t="shared" si="361"/>
        <v>0P0</v>
      </c>
      <c r="W1271" t="str">
        <f t="shared" si="362"/>
        <v>0P0</v>
      </c>
      <c r="X1271" t="str">
        <f t="shared" si="363"/>
        <v>P0</v>
      </c>
      <c r="Y1271" t="str">
        <f t="shared" si="364"/>
        <v>00</v>
      </c>
      <c r="Z1271" t="str">
        <f t="shared" si="375"/>
        <v>00</v>
      </c>
      <c r="AA1271" t="str">
        <f t="shared" si="365"/>
        <v>00</v>
      </c>
      <c r="AB1271" t="str">
        <f t="shared" si="366"/>
        <v>00</v>
      </c>
      <c r="AC1271" t="str">
        <f t="shared" si="367"/>
        <v>0P0</v>
      </c>
      <c r="AD1271" t="str">
        <f t="shared" si="368"/>
        <v>P00</v>
      </c>
      <c r="AE1271" t="str">
        <f t="shared" si="369"/>
        <v>0P0</v>
      </c>
      <c r="AF1271" t="str">
        <f t="shared" si="370"/>
        <v>P00</v>
      </c>
      <c r="AG1271" t="str">
        <f t="shared" si="376"/>
        <v>0P00</v>
      </c>
      <c r="AH1271" t="str">
        <f t="shared" si="377"/>
        <v>P000</v>
      </c>
      <c r="AI1271" t="str">
        <f t="shared" si="378"/>
        <v>0P00</v>
      </c>
      <c r="AJ1271" t="str">
        <f t="shared" si="379"/>
        <v>P000</v>
      </c>
    </row>
    <row r="1272" spans="1:36" x14ac:dyDescent="0.25">
      <c r="A1272" s="325" t="str">
        <f>CONCATENATE("P",'906MP'!M972)</f>
        <v>P</v>
      </c>
      <c r="B1272">
        <f>'906MP'!H972</f>
        <v>0</v>
      </c>
      <c r="C1272">
        <f>'906MP'!J972</f>
        <v>0</v>
      </c>
      <c r="D1272">
        <f>'906MP'!P972</f>
        <v>0</v>
      </c>
      <c r="E1272">
        <f>'906MP'!X972</f>
        <v>0</v>
      </c>
      <c r="F1272" t="str">
        <f t="shared" si="371"/>
        <v>0</v>
      </c>
      <c r="G1272" t="str">
        <f t="shared" si="372"/>
        <v>0</v>
      </c>
      <c r="H1272">
        <f>'906MP'!Y972</f>
        <v>0</v>
      </c>
      <c r="I1272">
        <f>'906MP'!AK972</f>
        <v>0</v>
      </c>
      <c r="J1272">
        <f>'906MP'!T972</f>
        <v>0</v>
      </c>
      <c r="K1272">
        <f>'906MP'!AJ972</f>
        <v>0</v>
      </c>
      <c r="L1272">
        <f>'906MP'!U972</f>
        <v>0</v>
      </c>
      <c r="M1272" s="322" t="str">
        <f>IFERROR(VLOOKUP(A1272,PAR!$D$3:$E$53,2,FALSE),"nincs szervezet")</f>
        <v>nincs szervezet</v>
      </c>
      <c r="N1272" s="322" t="str">
        <f>VLOOKUP(F1272,PAR!$R$3:$S$5,2,FALSE)</f>
        <v>3 - egyik sem</v>
      </c>
      <c r="O1272" t="str">
        <f>IFERROR(VLOOKUP(J1272,PAR!$O$3:$P$5,2,FALSE),"nincs feladat")</f>
        <v>nincs feladat</v>
      </c>
      <c r="P1272" t="str">
        <f>IFERROR(VLOOKUP(G1272,PAR!$J$2:$M$19,4),"nincs rovat")</f>
        <v>nincs rovat</v>
      </c>
      <c r="Q1272" t="str">
        <f>IF(H1272&gt;0,VLOOKUP(H1272,PAR!$AA$3:$AC$187,3,FALSE),"nincs főkönyvi számla")</f>
        <v>nincs főkönyvi számla</v>
      </c>
      <c r="R1272" t="str">
        <f>IFERROR(VLOOKUP(K1272,PAR!$V$3:$X$438,3,FALSE),"000000 - Nincs COFOG")</f>
        <v>000000 - Nincs COFOG</v>
      </c>
      <c r="S1272">
        <f t="shared" si="373"/>
        <v>0</v>
      </c>
      <c r="T1272">
        <f t="shared" si="374"/>
        <v>0</v>
      </c>
      <c r="U1272" t="str">
        <f>IF('906MP'!J972&gt;0,CONCATENATE('906MP'!J972," - ",'906MP'!P972,", ",'906MP'!E972),"nincs megjegyzés")</f>
        <v>nincs megjegyzés</v>
      </c>
      <c r="V1272" t="str">
        <f t="shared" si="361"/>
        <v>0P0</v>
      </c>
      <c r="W1272" t="str">
        <f t="shared" si="362"/>
        <v>0P0</v>
      </c>
      <c r="X1272" t="str">
        <f t="shared" si="363"/>
        <v>P0</v>
      </c>
      <c r="Y1272" t="str">
        <f t="shared" si="364"/>
        <v>00</v>
      </c>
      <c r="Z1272" t="str">
        <f t="shared" si="375"/>
        <v>00</v>
      </c>
      <c r="AA1272" t="str">
        <f t="shared" si="365"/>
        <v>00</v>
      </c>
      <c r="AB1272" t="str">
        <f t="shared" si="366"/>
        <v>00</v>
      </c>
      <c r="AC1272" t="str">
        <f t="shared" si="367"/>
        <v>0P0</v>
      </c>
      <c r="AD1272" t="str">
        <f t="shared" si="368"/>
        <v>P00</v>
      </c>
      <c r="AE1272" t="str">
        <f t="shared" si="369"/>
        <v>0P0</v>
      </c>
      <c r="AF1272" t="str">
        <f t="shared" si="370"/>
        <v>P00</v>
      </c>
      <c r="AG1272" t="str">
        <f t="shared" si="376"/>
        <v>0P00</v>
      </c>
      <c r="AH1272" t="str">
        <f t="shared" si="377"/>
        <v>P000</v>
      </c>
      <c r="AI1272" t="str">
        <f t="shared" si="378"/>
        <v>0P00</v>
      </c>
      <c r="AJ1272" t="str">
        <f t="shared" si="379"/>
        <v>P000</v>
      </c>
    </row>
    <row r="1273" spans="1:36" x14ac:dyDescent="0.25">
      <c r="A1273" s="325" t="str">
        <f>CONCATENATE("P",'906MP'!M973)</f>
        <v>P</v>
      </c>
      <c r="B1273">
        <f>'906MP'!H973</f>
        <v>0</v>
      </c>
      <c r="C1273">
        <f>'906MP'!J973</f>
        <v>0</v>
      </c>
      <c r="D1273">
        <f>'906MP'!P973</f>
        <v>0</v>
      </c>
      <c r="E1273">
        <f>'906MP'!X973</f>
        <v>0</v>
      </c>
      <c r="F1273" t="str">
        <f t="shared" si="371"/>
        <v>0</v>
      </c>
      <c r="G1273" t="str">
        <f t="shared" si="372"/>
        <v>0</v>
      </c>
      <c r="H1273">
        <f>'906MP'!Y973</f>
        <v>0</v>
      </c>
      <c r="I1273">
        <f>'906MP'!AK973</f>
        <v>0</v>
      </c>
      <c r="J1273">
        <f>'906MP'!T973</f>
        <v>0</v>
      </c>
      <c r="K1273">
        <f>'906MP'!AJ973</f>
        <v>0</v>
      </c>
      <c r="L1273">
        <f>'906MP'!U973</f>
        <v>0</v>
      </c>
      <c r="M1273" s="322" t="str">
        <f>IFERROR(VLOOKUP(A1273,PAR!$D$3:$E$53,2,FALSE),"nincs szervezet")</f>
        <v>nincs szervezet</v>
      </c>
      <c r="N1273" s="322" t="str">
        <f>VLOOKUP(F1273,PAR!$R$3:$S$5,2,FALSE)</f>
        <v>3 - egyik sem</v>
      </c>
      <c r="O1273" t="str">
        <f>IFERROR(VLOOKUP(J1273,PAR!$O$3:$P$5,2,FALSE),"nincs feladat")</f>
        <v>nincs feladat</v>
      </c>
      <c r="P1273" t="str">
        <f>IFERROR(VLOOKUP(G1273,PAR!$J$2:$M$19,4),"nincs rovat")</f>
        <v>nincs rovat</v>
      </c>
      <c r="Q1273" t="str">
        <f>IF(H1273&gt;0,VLOOKUP(H1273,PAR!$AA$3:$AC$187,3,FALSE),"nincs főkönyvi számla")</f>
        <v>nincs főkönyvi számla</v>
      </c>
      <c r="R1273" t="str">
        <f>IFERROR(VLOOKUP(K1273,PAR!$V$3:$X$438,3,FALSE),"000000 - Nincs COFOG")</f>
        <v>000000 - Nincs COFOG</v>
      </c>
      <c r="S1273">
        <f t="shared" si="373"/>
        <v>0</v>
      </c>
      <c r="T1273">
        <f t="shared" si="374"/>
        <v>0</v>
      </c>
      <c r="U1273" t="str">
        <f>IF('906MP'!J973&gt;0,CONCATENATE('906MP'!J973," - ",'906MP'!P973,", ",'906MP'!E973),"nincs megjegyzés")</f>
        <v>nincs megjegyzés</v>
      </c>
      <c r="V1273" t="str">
        <f t="shared" si="361"/>
        <v>0P0</v>
      </c>
      <c r="W1273" t="str">
        <f t="shared" si="362"/>
        <v>0P0</v>
      </c>
      <c r="X1273" t="str">
        <f t="shared" si="363"/>
        <v>P0</v>
      </c>
      <c r="Y1273" t="str">
        <f t="shared" si="364"/>
        <v>00</v>
      </c>
      <c r="Z1273" t="str">
        <f t="shared" si="375"/>
        <v>00</v>
      </c>
      <c r="AA1273" t="str">
        <f t="shared" si="365"/>
        <v>00</v>
      </c>
      <c r="AB1273" t="str">
        <f t="shared" si="366"/>
        <v>00</v>
      </c>
      <c r="AC1273" t="str">
        <f t="shared" si="367"/>
        <v>0P0</v>
      </c>
      <c r="AD1273" t="str">
        <f t="shared" si="368"/>
        <v>P00</v>
      </c>
      <c r="AE1273" t="str">
        <f t="shared" si="369"/>
        <v>0P0</v>
      </c>
      <c r="AF1273" t="str">
        <f t="shared" si="370"/>
        <v>P00</v>
      </c>
      <c r="AG1273" t="str">
        <f t="shared" si="376"/>
        <v>0P00</v>
      </c>
      <c r="AH1273" t="str">
        <f t="shared" si="377"/>
        <v>P000</v>
      </c>
      <c r="AI1273" t="str">
        <f t="shared" si="378"/>
        <v>0P00</v>
      </c>
      <c r="AJ1273" t="str">
        <f t="shared" si="379"/>
        <v>P000</v>
      </c>
    </row>
    <row r="1274" spans="1:36" x14ac:dyDescent="0.25">
      <c r="A1274" s="325" t="str">
        <f>CONCATENATE("P",'906MP'!M974)</f>
        <v>P</v>
      </c>
      <c r="B1274">
        <f>'906MP'!H974</f>
        <v>0</v>
      </c>
      <c r="C1274">
        <f>'906MP'!J974</f>
        <v>0</v>
      </c>
      <c r="D1274">
        <f>'906MP'!P974</f>
        <v>0</v>
      </c>
      <c r="E1274">
        <f>'906MP'!X974</f>
        <v>0</v>
      </c>
      <c r="F1274" t="str">
        <f t="shared" si="371"/>
        <v>0</v>
      </c>
      <c r="G1274" t="str">
        <f t="shared" si="372"/>
        <v>0</v>
      </c>
      <c r="H1274">
        <f>'906MP'!Y974</f>
        <v>0</v>
      </c>
      <c r="I1274">
        <f>'906MP'!AK974</f>
        <v>0</v>
      </c>
      <c r="J1274">
        <f>'906MP'!T974</f>
        <v>0</v>
      </c>
      <c r="K1274">
        <f>'906MP'!AJ974</f>
        <v>0</v>
      </c>
      <c r="L1274">
        <f>'906MP'!U974</f>
        <v>0</v>
      </c>
      <c r="M1274" s="322" t="str">
        <f>IFERROR(VLOOKUP(A1274,PAR!$D$3:$E$53,2,FALSE),"nincs szervezet")</f>
        <v>nincs szervezet</v>
      </c>
      <c r="N1274" s="322" t="str">
        <f>VLOOKUP(F1274,PAR!$R$3:$S$5,2,FALSE)</f>
        <v>3 - egyik sem</v>
      </c>
      <c r="O1274" t="str">
        <f>IFERROR(VLOOKUP(J1274,PAR!$O$3:$P$5,2,FALSE),"nincs feladat")</f>
        <v>nincs feladat</v>
      </c>
      <c r="P1274" t="str">
        <f>IFERROR(VLOOKUP(G1274,PAR!$J$2:$M$19,4),"nincs rovat")</f>
        <v>nincs rovat</v>
      </c>
      <c r="Q1274" t="str">
        <f>IF(H1274&gt;0,VLOOKUP(H1274,PAR!$AA$3:$AC$187,3,FALSE),"nincs főkönyvi számla")</f>
        <v>nincs főkönyvi számla</v>
      </c>
      <c r="R1274" t="str">
        <f>IFERROR(VLOOKUP(K1274,PAR!$V$3:$X$438,3,FALSE),"000000 - Nincs COFOG")</f>
        <v>000000 - Nincs COFOG</v>
      </c>
      <c r="S1274">
        <f t="shared" si="373"/>
        <v>0</v>
      </c>
      <c r="T1274">
        <f t="shared" si="374"/>
        <v>0</v>
      </c>
      <c r="U1274" t="str">
        <f>IF('906MP'!J974&gt;0,CONCATENATE('906MP'!J974," - ",'906MP'!P974,", ",'906MP'!E974),"nincs megjegyzés")</f>
        <v>nincs megjegyzés</v>
      </c>
      <c r="V1274" t="str">
        <f t="shared" si="361"/>
        <v>0P0</v>
      </c>
      <c r="W1274" t="str">
        <f t="shared" si="362"/>
        <v>0P0</v>
      </c>
      <c r="X1274" t="str">
        <f t="shared" si="363"/>
        <v>P0</v>
      </c>
      <c r="Y1274" t="str">
        <f t="shared" si="364"/>
        <v>00</v>
      </c>
      <c r="Z1274" t="str">
        <f t="shared" si="375"/>
        <v>00</v>
      </c>
      <c r="AA1274" t="str">
        <f t="shared" si="365"/>
        <v>00</v>
      </c>
      <c r="AB1274" t="str">
        <f t="shared" si="366"/>
        <v>00</v>
      </c>
      <c r="AC1274" t="str">
        <f t="shared" si="367"/>
        <v>0P0</v>
      </c>
      <c r="AD1274" t="str">
        <f t="shared" si="368"/>
        <v>P00</v>
      </c>
      <c r="AE1274" t="str">
        <f t="shared" si="369"/>
        <v>0P0</v>
      </c>
      <c r="AF1274" t="str">
        <f t="shared" si="370"/>
        <v>P00</v>
      </c>
      <c r="AG1274" t="str">
        <f t="shared" si="376"/>
        <v>0P00</v>
      </c>
      <c r="AH1274" t="str">
        <f t="shared" si="377"/>
        <v>P000</v>
      </c>
      <c r="AI1274" t="str">
        <f t="shared" si="378"/>
        <v>0P00</v>
      </c>
      <c r="AJ1274" t="str">
        <f t="shared" si="379"/>
        <v>P000</v>
      </c>
    </row>
    <row r="1275" spans="1:36" x14ac:dyDescent="0.25">
      <c r="A1275" s="325" t="str">
        <f>CONCATENATE("P",'906MP'!M975)</f>
        <v>P</v>
      </c>
      <c r="B1275">
        <f>'906MP'!H975</f>
        <v>0</v>
      </c>
      <c r="C1275">
        <f>'906MP'!J975</f>
        <v>0</v>
      </c>
      <c r="D1275">
        <f>'906MP'!P975</f>
        <v>0</v>
      </c>
      <c r="E1275">
        <f>'906MP'!X975</f>
        <v>0</v>
      </c>
      <c r="F1275" t="str">
        <f t="shared" si="371"/>
        <v>0</v>
      </c>
      <c r="G1275" t="str">
        <f t="shared" si="372"/>
        <v>0</v>
      </c>
      <c r="H1275">
        <f>'906MP'!Y975</f>
        <v>0</v>
      </c>
      <c r="I1275">
        <f>'906MP'!AK975</f>
        <v>0</v>
      </c>
      <c r="J1275">
        <f>'906MP'!T975</f>
        <v>0</v>
      </c>
      <c r="K1275">
        <f>'906MP'!AJ975</f>
        <v>0</v>
      </c>
      <c r="L1275">
        <f>'906MP'!U975</f>
        <v>0</v>
      </c>
      <c r="M1275" s="322" t="str">
        <f>IFERROR(VLOOKUP(A1275,PAR!$D$3:$E$53,2,FALSE),"nincs szervezet")</f>
        <v>nincs szervezet</v>
      </c>
      <c r="N1275" s="322" t="str">
        <f>VLOOKUP(F1275,PAR!$R$3:$S$5,2,FALSE)</f>
        <v>3 - egyik sem</v>
      </c>
      <c r="O1275" t="str">
        <f>IFERROR(VLOOKUP(J1275,PAR!$O$3:$P$5,2,FALSE),"nincs feladat")</f>
        <v>nincs feladat</v>
      </c>
      <c r="P1275" t="str">
        <f>IFERROR(VLOOKUP(G1275,PAR!$J$2:$M$19,4),"nincs rovat")</f>
        <v>nincs rovat</v>
      </c>
      <c r="Q1275" t="str">
        <f>IF(H1275&gt;0,VLOOKUP(H1275,PAR!$AA$3:$AC$187,3,FALSE),"nincs főkönyvi számla")</f>
        <v>nincs főkönyvi számla</v>
      </c>
      <c r="R1275" t="str">
        <f>IFERROR(VLOOKUP(K1275,PAR!$V$3:$X$438,3,FALSE),"000000 - Nincs COFOG")</f>
        <v>000000 - Nincs COFOG</v>
      </c>
      <c r="S1275">
        <f t="shared" si="373"/>
        <v>0</v>
      </c>
      <c r="T1275">
        <f t="shared" si="374"/>
        <v>0</v>
      </c>
      <c r="U1275" t="str">
        <f>IF('906MP'!J975&gt;0,CONCATENATE('906MP'!J975," - ",'906MP'!P975,", ",'906MP'!E975),"nincs megjegyzés")</f>
        <v>nincs megjegyzés</v>
      </c>
      <c r="V1275" t="str">
        <f t="shared" si="361"/>
        <v>0P0</v>
      </c>
      <c r="W1275" t="str">
        <f t="shared" si="362"/>
        <v>0P0</v>
      </c>
      <c r="X1275" t="str">
        <f t="shared" si="363"/>
        <v>P0</v>
      </c>
      <c r="Y1275" t="str">
        <f t="shared" si="364"/>
        <v>00</v>
      </c>
      <c r="Z1275" t="str">
        <f t="shared" si="375"/>
        <v>00</v>
      </c>
      <c r="AA1275" t="str">
        <f t="shared" si="365"/>
        <v>00</v>
      </c>
      <c r="AB1275" t="str">
        <f t="shared" si="366"/>
        <v>00</v>
      </c>
      <c r="AC1275" t="str">
        <f t="shared" si="367"/>
        <v>0P0</v>
      </c>
      <c r="AD1275" t="str">
        <f t="shared" si="368"/>
        <v>P00</v>
      </c>
      <c r="AE1275" t="str">
        <f t="shared" si="369"/>
        <v>0P0</v>
      </c>
      <c r="AF1275" t="str">
        <f t="shared" si="370"/>
        <v>P00</v>
      </c>
      <c r="AG1275" t="str">
        <f t="shared" si="376"/>
        <v>0P00</v>
      </c>
      <c r="AH1275" t="str">
        <f t="shared" si="377"/>
        <v>P000</v>
      </c>
      <c r="AI1275" t="str">
        <f t="shared" si="378"/>
        <v>0P00</v>
      </c>
      <c r="AJ1275" t="str">
        <f t="shared" si="379"/>
        <v>P000</v>
      </c>
    </row>
    <row r="1276" spans="1:36" x14ac:dyDescent="0.25">
      <c r="A1276" s="325" t="str">
        <f>CONCATENATE("P",'906MP'!M976)</f>
        <v>P</v>
      </c>
      <c r="B1276">
        <f>'906MP'!H976</f>
        <v>0</v>
      </c>
      <c r="C1276">
        <f>'906MP'!J976</f>
        <v>0</v>
      </c>
      <c r="D1276">
        <f>'906MP'!P976</f>
        <v>0</v>
      </c>
      <c r="E1276">
        <f>'906MP'!X976</f>
        <v>0</v>
      </c>
      <c r="F1276" t="str">
        <f t="shared" si="371"/>
        <v>0</v>
      </c>
      <c r="G1276" t="str">
        <f t="shared" si="372"/>
        <v>0</v>
      </c>
      <c r="H1276">
        <f>'906MP'!Y976</f>
        <v>0</v>
      </c>
      <c r="I1276">
        <f>'906MP'!AK976</f>
        <v>0</v>
      </c>
      <c r="J1276">
        <f>'906MP'!T976</f>
        <v>0</v>
      </c>
      <c r="K1276">
        <f>'906MP'!AJ976</f>
        <v>0</v>
      </c>
      <c r="L1276">
        <f>'906MP'!U976</f>
        <v>0</v>
      </c>
      <c r="M1276" s="322" t="str">
        <f>IFERROR(VLOOKUP(A1276,PAR!$D$3:$E$53,2,FALSE),"nincs szervezet")</f>
        <v>nincs szervezet</v>
      </c>
      <c r="N1276" s="322" t="str">
        <f>VLOOKUP(F1276,PAR!$R$3:$S$5,2,FALSE)</f>
        <v>3 - egyik sem</v>
      </c>
      <c r="O1276" t="str">
        <f>IFERROR(VLOOKUP(J1276,PAR!$O$3:$P$5,2,FALSE),"nincs feladat")</f>
        <v>nincs feladat</v>
      </c>
      <c r="P1276" t="str">
        <f>IFERROR(VLOOKUP(G1276,PAR!$J$2:$M$19,4),"nincs rovat")</f>
        <v>nincs rovat</v>
      </c>
      <c r="Q1276" t="str">
        <f>IF(H1276&gt;0,VLOOKUP(H1276,PAR!$AA$3:$AC$187,3,FALSE),"nincs főkönyvi számla")</f>
        <v>nincs főkönyvi számla</v>
      </c>
      <c r="R1276" t="str">
        <f>IFERROR(VLOOKUP(K1276,PAR!$V$3:$X$438,3,FALSE),"000000 - Nincs COFOG")</f>
        <v>000000 - Nincs COFOG</v>
      </c>
      <c r="S1276">
        <f t="shared" si="373"/>
        <v>0</v>
      </c>
      <c r="T1276">
        <f t="shared" si="374"/>
        <v>0</v>
      </c>
      <c r="U1276" t="str">
        <f>IF('906MP'!J976&gt;0,CONCATENATE('906MP'!J976," - ",'906MP'!P976,", ",'906MP'!E976),"nincs megjegyzés")</f>
        <v>nincs megjegyzés</v>
      </c>
      <c r="V1276" t="str">
        <f t="shared" si="361"/>
        <v>0P0</v>
      </c>
      <c r="W1276" t="str">
        <f t="shared" si="362"/>
        <v>0P0</v>
      </c>
      <c r="X1276" t="str">
        <f t="shared" si="363"/>
        <v>P0</v>
      </c>
      <c r="Y1276" t="str">
        <f t="shared" si="364"/>
        <v>00</v>
      </c>
      <c r="Z1276" t="str">
        <f t="shared" si="375"/>
        <v>00</v>
      </c>
      <c r="AA1276" t="str">
        <f t="shared" si="365"/>
        <v>00</v>
      </c>
      <c r="AB1276" t="str">
        <f t="shared" si="366"/>
        <v>00</v>
      </c>
      <c r="AC1276" t="str">
        <f t="shared" si="367"/>
        <v>0P0</v>
      </c>
      <c r="AD1276" t="str">
        <f t="shared" si="368"/>
        <v>P00</v>
      </c>
      <c r="AE1276" t="str">
        <f t="shared" si="369"/>
        <v>0P0</v>
      </c>
      <c r="AF1276" t="str">
        <f t="shared" si="370"/>
        <v>P00</v>
      </c>
      <c r="AG1276" t="str">
        <f t="shared" si="376"/>
        <v>0P00</v>
      </c>
      <c r="AH1276" t="str">
        <f t="shared" si="377"/>
        <v>P000</v>
      </c>
      <c r="AI1276" t="str">
        <f t="shared" si="378"/>
        <v>0P00</v>
      </c>
      <c r="AJ1276" t="str">
        <f t="shared" si="379"/>
        <v>P000</v>
      </c>
    </row>
    <row r="1277" spans="1:36" x14ac:dyDescent="0.25">
      <c r="A1277" s="325" t="str">
        <f>CONCATENATE("P",'906MP'!M977)</f>
        <v>P</v>
      </c>
      <c r="B1277">
        <f>'906MP'!H977</f>
        <v>0</v>
      </c>
      <c r="C1277">
        <f>'906MP'!J977</f>
        <v>0</v>
      </c>
      <c r="D1277">
        <f>'906MP'!P977</f>
        <v>0</v>
      </c>
      <c r="E1277">
        <f>'906MP'!X977</f>
        <v>0</v>
      </c>
      <c r="F1277" t="str">
        <f t="shared" si="371"/>
        <v>0</v>
      </c>
      <c r="G1277" t="str">
        <f t="shared" si="372"/>
        <v>0</v>
      </c>
      <c r="H1277">
        <f>'906MP'!Y977</f>
        <v>0</v>
      </c>
      <c r="I1277">
        <f>'906MP'!AK977</f>
        <v>0</v>
      </c>
      <c r="J1277">
        <f>'906MP'!T977</f>
        <v>0</v>
      </c>
      <c r="K1277">
        <f>'906MP'!AJ977</f>
        <v>0</v>
      </c>
      <c r="L1277">
        <f>'906MP'!U977</f>
        <v>0</v>
      </c>
      <c r="M1277" s="322" t="str">
        <f>IFERROR(VLOOKUP(A1277,PAR!$D$3:$E$53,2,FALSE),"nincs szervezet")</f>
        <v>nincs szervezet</v>
      </c>
      <c r="N1277" s="322" t="str">
        <f>VLOOKUP(F1277,PAR!$R$3:$S$5,2,FALSE)</f>
        <v>3 - egyik sem</v>
      </c>
      <c r="O1277" t="str">
        <f>IFERROR(VLOOKUP(J1277,PAR!$O$3:$P$5,2,FALSE),"nincs feladat")</f>
        <v>nincs feladat</v>
      </c>
      <c r="P1277" t="str">
        <f>IFERROR(VLOOKUP(G1277,PAR!$J$2:$M$19,4),"nincs rovat")</f>
        <v>nincs rovat</v>
      </c>
      <c r="Q1277" t="str">
        <f>IF(H1277&gt;0,VLOOKUP(H1277,PAR!$AA$3:$AC$187,3,FALSE),"nincs főkönyvi számla")</f>
        <v>nincs főkönyvi számla</v>
      </c>
      <c r="R1277" t="str">
        <f>IFERROR(VLOOKUP(K1277,PAR!$V$3:$X$438,3,FALSE),"000000 - Nincs COFOG")</f>
        <v>000000 - Nincs COFOG</v>
      </c>
      <c r="S1277">
        <f t="shared" si="373"/>
        <v>0</v>
      </c>
      <c r="T1277">
        <f t="shared" si="374"/>
        <v>0</v>
      </c>
      <c r="U1277" t="str">
        <f>IF('906MP'!J977&gt;0,CONCATENATE('906MP'!J977," - ",'906MP'!P977,", ",'906MP'!E977),"nincs megjegyzés")</f>
        <v>nincs megjegyzés</v>
      </c>
      <c r="V1277" t="str">
        <f t="shared" si="361"/>
        <v>0P0</v>
      </c>
      <c r="W1277" t="str">
        <f t="shared" si="362"/>
        <v>0P0</v>
      </c>
      <c r="X1277" t="str">
        <f t="shared" si="363"/>
        <v>P0</v>
      </c>
      <c r="Y1277" t="str">
        <f t="shared" si="364"/>
        <v>00</v>
      </c>
      <c r="Z1277" t="str">
        <f t="shared" si="375"/>
        <v>00</v>
      </c>
      <c r="AA1277" t="str">
        <f t="shared" si="365"/>
        <v>00</v>
      </c>
      <c r="AB1277" t="str">
        <f t="shared" si="366"/>
        <v>00</v>
      </c>
      <c r="AC1277" t="str">
        <f t="shared" si="367"/>
        <v>0P0</v>
      </c>
      <c r="AD1277" t="str">
        <f t="shared" si="368"/>
        <v>P00</v>
      </c>
      <c r="AE1277" t="str">
        <f t="shared" si="369"/>
        <v>0P0</v>
      </c>
      <c r="AF1277" t="str">
        <f t="shared" si="370"/>
        <v>P00</v>
      </c>
      <c r="AG1277" t="str">
        <f t="shared" si="376"/>
        <v>0P00</v>
      </c>
      <c r="AH1277" t="str">
        <f t="shared" si="377"/>
        <v>P000</v>
      </c>
      <c r="AI1277" t="str">
        <f t="shared" si="378"/>
        <v>0P00</v>
      </c>
      <c r="AJ1277" t="str">
        <f t="shared" si="379"/>
        <v>P000</v>
      </c>
    </row>
    <row r="1278" spans="1:36" x14ac:dyDescent="0.25">
      <c r="A1278" s="325" t="str">
        <f>CONCATENATE("P",'906MP'!M978)</f>
        <v>P</v>
      </c>
      <c r="B1278">
        <f>'906MP'!H978</f>
        <v>0</v>
      </c>
      <c r="C1278">
        <f>'906MP'!J978</f>
        <v>0</v>
      </c>
      <c r="D1278">
        <f>'906MP'!P978</f>
        <v>0</v>
      </c>
      <c r="E1278">
        <f>'906MP'!X978</f>
        <v>0</v>
      </c>
      <c r="F1278" t="str">
        <f t="shared" si="371"/>
        <v>0</v>
      </c>
      <c r="G1278" t="str">
        <f t="shared" si="372"/>
        <v>0</v>
      </c>
      <c r="H1278">
        <f>'906MP'!Y978</f>
        <v>0</v>
      </c>
      <c r="I1278">
        <f>'906MP'!AK978</f>
        <v>0</v>
      </c>
      <c r="J1278">
        <f>'906MP'!T978</f>
        <v>0</v>
      </c>
      <c r="K1278">
        <f>'906MP'!AJ978</f>
        <v>0</v>
      </c>
      <c r="L1278">
        <f>'906MP'!U978</f>
        <v>0</v>
      </c>
      <c r="M1278" s="322" t="str">
        <f>IFERROR(VLOOKUP(A1278,PAR!$D$3:$E$53,2,FALSE),"nincs szervezet")</f>
        <v>nincs szervezet</v>
      </c>
      <c r="N1278" s="322" t="str">
        <f>VLOOKUP(F1278,PAR!$R$3:$S$5,2,FALSE)</f>
        <v>3 - egyik sem</v>
      </c>
      <c r="O1278" t="str">
        <f>IFERROR(VLOOKUP(J1278,PAR!$O$3:$P$5,2,FALSE),"nincs feladat")</f>
        <v>nincs feladat</v>
      </c>
      <c r="P1278" t="str">
        <f>IFERROR(VLOOKUP(G1278,PAR!$J$2:$M$19,4),"nincs rovat")</f>
        <v>nincs rovat</v>
      </c>
      <c r="Q1278" t="str">
        <f>IF(H1278&gt;0,VLOOKUP(H1278,PAR!$AA$3:$AC$187,3,FALSE),"nincs főkönyvi számla")</f>
        <v>nincs főkönyvi számla</v>
      </c>
      <c r="R1278" t="str">
        <f>IFERROR(VLOOKUP(K1278,PAR!$V$3:$X$438,3,FALSE),"000000 - Nincs COFOG")</f>
        <v>000000 - Nincs COFOG</v>
      </c>
      <c r="S1278">
        <f t="shared" si="373"/>
        <v>0</v>
      </c>
      <c r="T1278">
        <f t="shared" si="374"/>
        <v>0</v>
      </c>
      <c r="U1278" t="str">
        <f>IF('906MP'!J978&gt;0,CONCATENATE('906MP'!J978," - ",'906MP'!P978,", ",'906MP'!E978),"nincs megjegyzés")</f>
        <v>nincs megjegyzés</v>
      </c>
      <c r="V1278" t="str">
        <f t="shared" si="361"/>
        <v>0P0</v>
      </c>
      <c r="W1278" t="str">
        <f t="shared" si="362"/>
        <v>0P0</v>
      </c>
      <c r="X1278" t="str">
        <f t="shared" si="363"/>
        <v>P0</v>
      </c>
      <c r="Y1278" t="str">
        <f t="shared" si="364"/>
        <v>00</v>
      </c>
      <c r="Z1278" t="str">
        <f t="shared" si="375"/>
        <v>00</v>
      </c>
      <c r="AA1278" t="str">
        <f t="shared" si="365"/>
        <v>00</v>
      </c>
      <c r="AB1278" t="str">
        <f t="shared" si="366"/>
        <v>00</v>
      </c>
      <c r="AC1278" t="str">
        <f t="shared" si="367"/>
        <v>0P0</v>
      </c>
      <c r="AD1278" t="str">
        <f t="shared" si="368"/>
        <v>P00</v>
      </c>
      <c r="AE1278" t="str">
        <f t="shared" si="369"/>
        <v>0P0</v>
      </c>
      <c r="AF1278" t="str">
        <f t="shared" si="370"/>
        <v>P00</v>
      </c>
      <c r="AG1278" t="str">
        <f t="shared" si="376"/>
        <v>0P00</v>
      </c>
      <c r="AH1278" t="str">
        <f t="shared" si="377"/>
        <v>P000</v>
      </c>
      <c r="AI1278" t="str">
        <f t="shared" si="378"/>
        <v>0P00</v>
      </c>
      <c r="AJ1278" t="str">
        <f t="shared" si="379"/>
        <v>P000</v>
      </c>
    </row>
    <row r="1279" spans="1:36" x14ac:dyDescent="0.25">
      <c r="A1279" s="325" t="str">
        <f>CONCATENATE("P",'906MP'!M979)</f>
        <v>P</v>
      </c>
      <c r="B1279">
        <f>'906MP'!H979</f>
        <v>0</v>
      </c>
      <c r="C1279">
        <f>'906MP'!J979</f>
        <v>0</v>
      </c>
      <c r="D1279">
        <f>'906MP'!P979</f>
        <v>0</v>
      </c>
      <c r="E1279">
        <f>'906MP'!X979</f>
        <v>0</v>
      </c>
      <c r="F1279" t="str">
        <f t="shared" si="371"/>
        <v>0</v>
      </c>
      <c r="G1279" t="str">
        <f t="shared" si="372"/>
        <v>0</v>
      </c>
      <c r="H1279">
        <f>'906MP'!Y979</f>
        <v>0</v>
      </c>
      <c r="I1279">
        <f>'906MP'!AK979</f>
        <v>0</v>
      </c>
      <c r="J1279">
        <f>'906MP'!T979</f>
        <v>0</v>
      </c>
      <c r="K1279">
        <f>'906MP'!AJ979</f>
        <v>0</v>
      </c>
      <c r="L1279">
        <f>'906MP'!U979</f>
        <v>0</v>
      </c>
      <c r="M1279" s="322" t="str">
        <f>IFERROR(VLOOKUP(A1279,PAR!$D$3:$E$53,2,FALSE),"nincs szervezet")</f>
        <v>nincs szervezet</v>
      </c>
      <c r="N1279" s="322" t="str">
        <f>VLOOKUP(F1279,PAR!$R$3:$S$5,2,FALSE)</f>
        <v>3 - egyik sem</v>
      </c>
      <c r="O1279" t="str">
        <f>IFERROR(VLOOKUP(J1279,PAR!$O$3:$P$5,2,FALSE),"nincs feladat")</f>
        <v>nincs feladat</v>
      </c>
      <c r="P1279" t="str">
        <f>IFERROR(VLOOKUP(G1279,PAR!$J$2:$M$19,4),"nincs rovat")</f>
        <v>nincs rovat</v>
      </c>
      <c r="Q1279" t="str">
        <f>IF(H1279&gt;0,VLOOKUP(H1279,PAR!$AA$3:$AC$187,3,FALSE),"nincs főkönyvi számla")</f>
        <v>nincs főkönyvi számla</v>
      </c>
      <c r="R1279" t="str">
        <f>IFERROR(VLOOKUP(K1279,PAR!$V$3:$X$438,3,FALSE),"000000 - Nincs COFOG")</f>
        <v>000000 - Nincs COFOG</v>
      </c>
      <c r="S1279">
        <f t="shared" si="373"/>
        <v>0</v>
      </c>
      <c r="T1279">
        <f t="shared" si="374"/>
        <v>0</v>
      </c>
      <c r="U1279" t="str">
        <f>IF('906MP'!J979&gt;0,CONCATENATE('906MP'!J979," - ",'906MP'!P979,", ",'906MP'!E979),"nincs megjegyzés")</f>
        <v>nincs megjegyzés</v>
      </c>
      <c r="V1279" t="str">
        <f t="shared" si="361"/>
        <v>0P0</v>
      </c>
      <c r="W1279" t="str">
        <f t="shared" si="362"/>
        <v>0P0</v>
      </c>
      <c r="X1279" t="str">
        <f t="shared" si="363"/>
        <v>P0</v>
      </c>
      <c r="Y1279" t="str">
        <f t="shared" si="364"/>
        <v>00</v>
      </c>
      <c r="Z1279" t="str">
        <f t="shared" si="375"/>
        <v>00</v>
      </c>
      <c r="AA1279" t="str">
        <f t="shared" si="365"/>
        <v>00</v>
      </c>
      <c r="AB1279" t="str">
        <f t="shared" si="366"/>
        <v>00</v>
      </c>
      <c r="AC1279" t="str">
        <f t="shared" si="367"/>
        <v>0P0</v>
      </c>
      <c r="AD1279" t="str">
        <f t="shared" si="368"/>
        <v>P00</v>
      </c>
      <c r="AE1279" t="str">
        <f t="shared" si="369"/>
        <v>0P0</v>
      </c>
      <c r="AF1279" t="str">
        <f t="shared" si="370"/>
        <v>P00</v>
      </c>
      <c r="AG1279" t="str">
        <f t="shared" si="376"/>
        <v>0P00</v>
      </c>
      <c r="AH1279" t="str">
        <f t="shared" si="377"/>
        <v>P000</v>
      </c>
      <c r="AI1279" t="str">
        <f t="shared" si="378"/>
        <v>0P00</v>
      </c>
      <c r="AJ1279" t="str">
        <f t="shared" si="379"/>
        <v>P000</v>
      </c>
    </row>
    <row r="1280" spans="1:36" x14ac:dyDescent="0.25">
      <c r="A1280" s="325" t="str">
        <f>CONCATENATE("P",'906MP'!M980)</f>
        <v>P</v>
      </c>
      <c r="B1280">
        <f>'906MP'!H980</f>
        <v>0</v>
      </c>
      <c r="C1280">
        <f>'906MP'!J980</f>
        <v>0</v>
      </c>
      <c r="D1280">
        <f>'906MP'!P980</f>
        <v>0</v>
      </c>
      <c r="E1280">
        <f>'906MP'!X980</f>
        <v>0</v>
      </c>
      <c r="F1280" t="str">
        <f t="shared" si="371"/>
        <v>0</v>
      </c>
      <c r="G1280" t="str">
        <f t="shared" si="372"/>
        <v>0</v>
      </c>
      <c r="H1280">
        <f>'906MP'!Y980</f>
        <v>0</v>
      </c>
      <c r="I1280">
        <f>'906MP'!AK980</f>
        <v>0</v>
      </c>
      <c r="J1280">
        <f>'906MP'!T980</f>
        <v>0</v>
      </c>
      <c r="K1280">
        <f>'906MP'!AJ980</f>
        <v>0</v>
      </c>
      <c r="L1280">
        <f>'906MP'!U980</f>
        <v>0</v>
      </c>
      <c r="M1280" s="322" t="str">
        <f>IFERROR(VLOOKUP(A1280,PAR!$D$3:$E$53,2,FALSE),"nincs szervezet")</f>
        <v>nincs szervezet</v>
      </c>
      <c r="N1280" s="322" t="str">
        <f>VLOOKUP(F1280,PAR!$R$3:$S$5,2,FALSE)</f>
        <v>3 - egyik sem</v>
      </c>
      <c r="O1280" t="str">
        <f>IFERROR(VLOOKUP(J1280,PAR!$O$3:$P$5,2,FALSE),"nincs feladat")</f>
        <v>nincs feladat</v>
      </c>
      <c r="P1280" t="str">
        <f>IFERROR(VLOOKUP(G1280,PAR!$J$2:$M$19,4),"nincs rovat")</f>
        <v>nincs rovat</v>
      </c>
      <c r="Q1280" t="str">
        <f>IF(H1280&gt;0,VLOOKUP(H1280,PAR!$AA$3:$AC$187,3,FALSE),"nincs főkönyvi számla")</f>
        <v>nincs főkönyvi számla</v>
      </c>
      <c r="R1280" t="str">
        <f>IFERROR(VLOOKUP(K1280,PAR!$V$3:$X$438,3,FALSE),"000000 - Nincs COFOG")</f>
        <v>000000 - Nincs COFOG</v>
      </c>
      <c r="S1280">
        <f t="shared" si="373"/>
        <v>0</v>
      </c>
      <c r="T1280">
        <f t="shared" si="374"/>
        <v>0</v>
      </c>
      <c r="U1280" t="str">
        <f>IF('906MP'!J980&gt;0,CONCATENATE('906MP'!J980," - ",'906MP'!P980,", ",'906MP'!E980),"nincs megjegyzés")</f>
        <v>nincs megjegyzés</v>
      </c>
      <c r="V1280" t="str">
        <f t="shared" si="361"/>
        <v>0P0</v>
      </c>
      <c r="W1280" t="str">
        <f t="shared" si="362"/>
        <v>0P0</v>
      </c>
      <c r="X1280" t="str">
        <f t="shared" si="363"/>
        <v>P0</v>
      </c>
      <c r="Y1280" t="str">
        <f t="shared" si="364"/>
        <v>00</v>
      </c>
      <c r="Z1280" t="str">
        <f t="shared" si="375"/>
        <v>00</v>
      </c>
      <c r="AA1280" t="str">
        <f t="shared" si="365"/>
        <v>00</v>
      </c>
      <c r="AB1280" t="str">
        <f t="shared" si="366"/>
        <v>00</v>
      </c>
      <c r="AC1280" t="str">
        <f t="shared" si="367"/>
        <v>0P0</v>
      </c>
      <c r="AD1280" t="str">
        <f t="shared" si="368"/>
        <v>P00</v>
      </c>
      <c r="AE1280" t="str">
        <f t="shared" si="369"/>
        <v>0P0</v>
      </c>
      <c r="AF1280" t="str">
        <f t="shared" si="370"/>
        <v>P00</v>
      </c>
      <c r="AG1280" t="str">
        <f t="shared" si="376"/>
        <v>0P00</v>
      </c>
      <c r="AH1280" t="str">
        <f t="shared" si="377"/>
        <v>P000</v>
      </c>
      <c r="AI1280" t="str">
        <f t="shared" si="378"/>
        <v>0P00</v>
      </c>
      <c r="AJ1280" t="str">
        <f t="shared" si="379"/>
        <v>P000</v>
      </c>
    </row>
    <row r="1281" spans="1:36" x14ac:dyDescent="0.25">
      <c r="A1281" s="325" t="str">
        <f>CONCATENATE("P",'906MP'!M981)</f>
        <v>P</v>
      </c>
      <c r="B1281">
        <f>'906MP'!H981</f>
        <v>0</v>
      </c>
      <c r="C1281">
        <f>'906MP'!J981</f>
        <v>0</v>
      </c>
      <c r="D1281">
        <f>'906MP'!P981</f>
        <v>0</v>
      </c>
      <c r="E1281">
        <f>'906MP'!X981</f>
        <v>0</v>
      </c>
      <c r="F1281" t="str">
        <f t="shared" si="371"/>
        <v>0</v>
      </c>
      <c r="G1281" t="str">
        <f t="shared" si="372"/>
        <v>0</v>
      </c>
      <c r="H1281">
        <f>'906MP'!Y981</f>
        <v>0</v>
      </c>
      <c r="I1281">
        <f>'906MP'!AK981</f>
        <v>0</v>
      </c>
      <c r="J1281">
        <f>'906MP'!T981</f>
        <v>0</v>
      </c>
      <c r="K1281">
        <f>'906MP'!AJ981</f>
        <v>0</v>
      </c>
      <c r="L1281">
        <f>'906MP'!U981</f>
        <v>0</v>
      </c>
      <c r="M1281" s="322" t="str">
        <f>IFERROR(VLOOKUP(A1281,PAR!$D$3:$E$53,2,FALSE),"nincs szervezet")</f>
        <v>nincs szervezet</v>
      </c>
      <c r="N1281" s="322" t="str">
        <f>VLOOKUP(F1281,PAR!$R$3:$S$5,2,FALSE)</f>
        <v>3 - egyik sem</v>
      </c>
      <c r="O1281" t="str">
        <f>IFERROR(VLOOKUP(J1281,PAR!$O$3:$P$5,2,FALSE),"nincs feladat")</f>
        <v>nincs feladat</v>
      </c>
      <c r="P1281" t="str">
        <f>IFERROR(VLOOKUP(G1281,PAR!$J$2:$M$19,4),"nincs rovat")</f>
        <v>nincs rovat</v>
      </c>
      <c r="Q1281" t="str">
        <f>IF(H1281&gt;0,VLOOKUP(H1281,PAR!$AA$3:$AC$187,3,FALSE),"nincs főkönyvi számla")</f>
        <v>nincs főkönyvi számla</v>
      </c>
      <c r="R1281" t="str">
        <f>IFERROR(VLOOKUP(K1281,PAR!$V$3:$X$438,3,FALSE),"000000 - Nincs COFOG")</f>
        <v>000000 - Nincs COFOG</v>
      </c>
      <c r="S1281">
        <f t="shared" si="373"/>
        <v>0</v>
      </c>
      <c r="T1281">
        <f t="shared" si="374"/>
        <v>0</v>
      </c>
      <c r="U1281" t="str">
        <f>IF('906MP'!J981&gt;0,CONCATENATE('906MP'!J981," - ",'906MP'!P981,", ",'906MP'!E981),"nincs megjegyzés")</f>
        <v>nincs megjegyzés</v>
      </c>
      <c r="V1281" t="str">
        <f t="shared" si="361"/>
        <v>0P0</v>
      </c>
      <c r="W1281" t="str">
        <f t="shared" si="362"/>
        <v>0P0</v>
      </c>
      <c r="X1281" t="str">
        <f t="shared" si="363"/>
        <v>P0</v>
      </c>
      <c r="Y1281" t="str">
        <f t="shared" si="364"/>
        <v>00</v>
      </c>
      <c r="Z1281" t="str">
        <f t="shared" si="375"/>
        <v>00</v>
      </c>
      <c r="AA1281" t="str">
        <f t="shared" si="365"/>
        <v>00</v>
      </c>
      <c r="AB1281" t="str">
        <f t="shared" si="366"/>
        <v>00</v>
      </c>
      <c r="AC1281" t="str">
        <f t="shared" si="367"/>
        <v>0P0</v>
      </c>
      <c r="AD1281" t="str">
        <f t="shared" si="368"/>
        <v>P00</v>
      </c>
      <c r="AE1281" t="str">
        <f t="shared" si="369"/>
        <v>0P0</v>
      </c>
      <c r="AF1281" t="str">
        <f t="shared" si="370"/>
        <v>P00</v>
      </c>
      <c r="AG1281" t="str">
        <f t="shared" si="376"/>
        <v>0P00</v>
      </c>
      <c r="AH1281" t="str">
        <f t="shared" si="377"/>
        <v>P000</v>
      </c>
      <c r="AI1281" t="str">
        <f t="shared" si="378"/>
        <v>0P00</v>
      </c>
      <c r="AJ1281" t="str">
        <f t="shared" si="379"/>
        <v>P000</v>
      </c>
    </row>
    <row r="1282" spans="1:36" x14ac:dyDescent="0.25">
      <c r="A1282" s="325" t="str">
        <f>CONCATENATE("P",'906MP'!M982)</f>
        <v>P</v>
      </c>
      <c r="B1282">
        <f>'906MP'!H982</f>
        <v>0</v>
      </c>
      <c r="C1282">
        <f>'906MP'!J982</f>
        <v>0</v>
      </c>
      <c r="D1282">
        <f>'906MP'!P982</f>
        <v>0</v>
      </c>
      <c r="E1282">
        <f>'906MP'!X982</f>
        <v>0</v>
      </c>
      <c r="F1282" t="str">
        <f t="shared" si="371"/>
        <v>0</v>
      </c>
      <c r="G1282" t="str">
        <f t="shared" si="372"/>
        <v>0</v>
      </c>
      <c r="H1282">
        <f>'906MP'!Y982</f>
        <v>0</v>
      </c>
      <c r="I1282">
        <f>'906MP'!AK982</f>
        <v>0</v>
      </c>
      <c r="J1282">
        <f>'906MP'!T982</f>
        <v>0</v>
      </c>
      <c r="K1282">
        <f>'906MP'!AJ982</f>
        <v>0</v>
      </c>
      <c r="L1282">
        <f>'906MP'!U982</f>
        <v>0</v>
      </c>
      <c r="M1282" s="322" t="str">
        <f>IFERROR(VLOOKUP(A1282,PAR!$D$3:$E$53,2,FALSE),"nincs szervezet")</f>
        <v>nincs szervezet</v>
      </c>
      <c r="N1282" s="322" t="str">
        <f>VLOOKUP(F1282,PAR!$R$3:$S$5,2,FALSE)</f>
        <v>3 - egyik sem</v>
      </c>
      <c r="O1282" t="str">
        <f>IFERROR(VLOOKUP(J1282,PAR!$O$3:$P$5,2,FALSE),"nincs feladat")</f>
        <v>nincs feladat</v>
      </c>
      <c r="P1282" t="str">
        <f>IFERROR(VLOOKUP(G1282,PAR!$J$2:$M$19,4),"nincs rovat")</f>
        <v>nincs rovat</v>
      </c>
      <c r="Q1282" t="str">
        <f>IF(H1282&gt;0,VLOOKUP(H1282,PAR!$AA$3:$AC$187,3,FALSE),"nincs főkönyvi számla")</f>
        <v>nincs főkönyvi számla</v>
      </c>
      <c r="R1282" t="str">
        <f>IFERROR(VLOOKUP(K1282,PAR!$V$3:$X$438,3,FALSE),"000000 - Nincs COFOG")</f>
        <v>000000 - Nincs COFOG</v>
      </c>
      <c r="S1282">
        <f t="shared" si="373"/>
        <v>0</v>
      </c>
      <c r="T1282">
        <f t="shared" si="374"/>
        <v>0</v>
      </c>
      <c r="U1282" t="str">
        <f>IF('906MP'!J982&gt;0,CONCATENATE('906MP'!J982," - ",'906MP'!P982,", ",'906MP'!E982),"nincs megjegyzés")</f>
        <v>nincs megjegyzés</v>
      </c>
      <c r="V1282" t="str">
        <f t="shared" ref="V1282:V1345" si="380">CONCATENATE(B1282,A1282,G1282)</f>
        <v>0P0</v>
      </c>
      <c r="W1282" t="str">
        <f t="shared" ref="W1282:W1345" si="381">CONCATENATE(B1282,A1282,F1282)</f>
        <v>0P0</v>
      </c>
      <c r="X1282" t="str">
        <f t="shared" ref="X1282:X1345" si="382">CONCATENATE(A1282,H1282)</f>
        <v>P0</v>
      </c>
      <c r="Y1282" t="str">
        <f t="shared" ref="Y1282:Y1345" si="383">CONCATENATE(B1282,H1282)</f>
        <v>00</v>
      </c>
      <c r="Z1282" t="str">
        <f t="shared" si="375"/>
        <v>00</v>
      </c>
      <c r="AA1282" t="str">
        <f t="shared" ref="AA1282:AA1345" si="384">CONCATENATE(B1282,G1282)</f>
        <v>00</v>
      </c>
      <c r="AB1282" t="str">
        <f t="shared" ref="AB1282:AB1345" si="385">CONCATENATE(J1282,G1282)</f>
        <v>00</v>
      </c>
      <c r="AC1282" t="str">
        <f t="shared" ref="AC1282:AC1345" si="386">CONCATENATE(B1282,A1282,H1282)</f>
        <v>0P0</v>
      </c>
      <c r="AD1282" t="str">
        <f t="shared" ref="AD1282:AD1345" si="387">CONCATENATE(A1282,H1282,J1282)</f>
        <v>P00</v>
      </c>
      <c r="AE1282" t="str">
        <f t="shared" ref="AE1282:AE1345" si="388">CONCATENATE(B1282,A1282,G1282)</f>
        <v>0P0</v>
      </c>
      <c r="AF1282" t="str">
        <f t="shared" ref="AF1282:AF1345" si="389">CONCATENATE(A1282,G1282,J1282)</f>
        <v>P00</v>
      </c>
      <c r="AG1282" t="str">
        <f t="shared" si="376"/>
        <v>0P00</v>
      </c>
      <c r="AH1282" t="str">
        <f t="shared" si="377"/>
        <v>P000</v>
      </c>
      <c r="AI1282" t="str">
        <f t="shared" si="378"/>
        <v>0P00</v>
      </c>
      <c r="AJ1282" t="str">
        <f t="shared" si="379"/>
        <v>P000</v>
      </c>
    </row>
    <row r="1283" spans="1:36" x14ac:dyDescent="0.25">
      <c r="A1283" s="325" t="str">
        <f>CONCATENATE("P",'906MP'!M983)</f>
        <v>P</v>
      </c>
      <c r="B1283">
        <f>'906MP'!H983</f>
        <v>0</v>
      </c>
      <c r="C1283">
        <f>'906MP'!J983</f>
        <v>0</v>
      </c>
      <c r="D1283">
        <f>'906MP'!P983</f>
        <v>0</v>
      </c>
      <c r="E1283">
        <f>'906MP'!X983</f>
        <v>0</v>
      </c>
      <c r="F1283" t="str">
        <f t="shared" ref="F1283:F1346" si="390">LEFT(G1283,2)</f>
        <v>0</v>
      </c>
      <c r="G1283" t="str">
        <f t="shared" ref="G1283:G1346" si="391">LEFT(H1283,3)</f>
        <v>0</v>
      </c>
      <c r="H1283">
        <f>'906MP'!Y983</f>
        <v>0</v>
      </c>
      <c r="I1283">
        <f>'906MP'!AK983</f>
        <v>0</v>
      </c>
      <c r="J1283">
        <f>'906MP'!T983</f>
        <v>0</v>
      </c>
      <c r="K1283">
        <f>'906MP'!AJ983</f>
        <v>0</v>
      </c>
      <c r="L1283">
        <f>'906MP'!U983</f>
        <v>0</v>
      </c>
      <c r="M1283" s="322" t="str">
        <f>IFERROR(VLOOKUP(A1283,PAR!$D$3:$E$53,2,FALSE),"nincs szervezet")</f>
        <v>nincs szervezet</v>
      </c>
      <c r="N1283" s="322" t="str">
        <f>VLOOKUP(F1283,PAR!$R$3:$S$5,2,FALSE)</f>
        <v>3 - egyik sem</v>
      </c>
      <c r="O1283" t="str">
        <f>IFERROR(VLOOKUP(J1283,PAR!$O$3:$P$5,2,FALSE),"nincs feladat")</f>
        <v>nincs feladat</v>
      </c>
      <c r="P1283" t="str">
        <f>IFERROR(VLOOKUP(G1283,PAR!$J$2:$M$19,4),"nincs rovat")</f>
        <v>nincs rovat</v>
      </c>
      <c r="Q1283" t="str">
        <f>IF(H1283&gt;0,VLOOKUP(H1283,PAR!$AA$3:$AC$187,3,FALSE),"nincs főkönyvi számla")</f>
        <v>nincs főkönyvi számla</v>
      </c>
      <c r="R1283" t="str">
        <f>IFERROR(VLOOKUP(K1283,PAR!$V$3:$X$438,3,FALSE),"000000 - Nincs COFOG")</f>
        <v>000000 - Nincs COFOG</v>
      </c>
      <c r="S1283">
        <f t="shared" ref="S1283:S1346" si="392">E1283</f>
        <v>0</v>
      </c>
      <c r="T1283">
        <f t="shared" ref="T1283:T1346" si="393">IF(F1283="09",E1283*-1,E1283)</f>
        <v>0</v>
      </c>
      <c r="U1283" t="str">
        <f>IF('906MP'!J983&gt;0,CONCATENATE('906MP'!J983," - ",'906MP'!P983,", ",'906MP'!E983),"nincs megjegyzés")</f>
        <v>nincs megjegyzés</v>
      </c>
      <c r="V1283" t="str">
        <f t="shared" si="380"/>
        <v>0P0</v>
      </c>
      <c r="W1283" t="str">
        <f t="shared" si="381"/>
        <v>0P0</v>
      </c>
      <c r="X1283" t="str">
        <f t="shared" si="382"/>
        <v>P0</v>
      </c>
      <c r="Y1283" t="str">
        <f t="shared" si="383"/>
        <v>00</v>
      </c>
      <c r="Z1283" t="str">
        <f t="shared" ref="Z1283:Z1346" si="394">CONCATENATE(J1283,H1283)</f>
        <v>00</v>
      </c>
      <c r="AA1283" t="str">
        <f t="shared" si="384"/>
        <v>00</v>
      </c>
      <c r="AB1283" t="str">
        <f t="shared" si="385"/>
        <v>00</v>
      </c>
      <c r="AC1283" t="str">
        <f t="shared" si="386"/>
        <v>0P0</v>
      </c>
      <c r="AD1283" t="str">
        <f t="shared" si="387"/>
        <v>P00</v>
      </c>
      <c r="AE1283" t="str">
        <f t="shared" si="388"/>
        <v>0P0</v>
      </c>
      <c r="AF1283" t="str">
        <f t="shared" si="389"/>
        <v>P00</v>
      </c>
      <c r="AG1283" t="str">
        <f t="shared" ref="AG1283:AG1346" si="395">CONCATENATE(B1283,A1283,H1283,L1283)</f>
        <v>0P00</v>
      </c>
      <c r="AH1283" t="str">
        <f t="shared" ref="AH1283:AH1346" si="396">CONCATENATE(A1283,J1283,H1283,L1283)</f>
        <v>P000</v>
      </c>
      <c r="AI1283" t="str">
        <f t="shared" ref="AI1283:AI1346" si="397">CONCATENATE(B1283,A1283,G1283,L1283)</f>
        <v>0P00</v>
      </c>
      <c r="AJ1283" t="str">
        <f t="shared" ref="AJ1283:AJ1346" si="398">CONCATENATE(A1283,G1283,J1283,L1283)</f>
        <v>P000</v>
      </c>
    </row>
    <row r="1284" spans="1:36" x14ac:dyDescent="0.25">
      <c r="A1284" s="325" t="str">
        <f>CONCATENATE("P",'906MP'!M984)</f>
        <v>P</v>
      </c>
      <c r="B1284">
        <f>'906MP'!H984</f>
        <v>0</v>
      </c>
      <c r="C1284">
        <f>'906MP'!J984</f>
        <v>0</v>
      </c>
      <c r="D1284">
        <f>'906MP'!P984</f>
        <v>0</v>
      </c>
      <c r="E1284">
        <f>'906MP'!X984</f>
        <v>0</v>
      </c>
      <c r="F1284" t="str">
        <f t="shared" si="390"/>
        <v>0</v>
      </c>
      <c r="G1284" t="str">
        <f t="shared" si="391"/>
        <v>0</v>
      </c>
      <c r="H1284">
        <f>'906MP'!Y984</f>
        <v>0</v>
      </c>
      <c r="I1284">
        <f>'906MP'!AK984</f>
        <v>0</v>
      </c>
      <c r="J1284">
        <f>'906MP'!T984</f>
        <v>0</v>
      </c>
      <c r="K1284">
        <f>'906MP'!AJ984</f>
        <v>0</v>
      </c>
      <c r="L1284">
        <f>'906MP'!U984</f>
        <v>0</v>
      </c>
      <c r="M1284" s="322" t="str">
        <f>IFERROR(VLOOKUP(A1284,PAR!$D$3:$E$53,2,FALSE),"nincs szervezet")</f>
        <v>nincs szervezet</v>
      </c>
      <c r="N1284" s="322" t="str">
        <f>VLOOKUP(F1284,PAR!$R$3:$S$5,2,FALSE)</f>
        <v>3 - egyik sem</v>
      </c>
      <c r="O1284" t="str">
        <f>IFERROR(VLOOKUP(J1284,PAR!$O$3:$P$5,2,FALSE),"nincs feladat")</f>
        <v>nincs feladat</v>
      </c>
      <c r="P1284" t="str">
        <f>IFERROR(VLOOKUP(G1284,PAR!$J$2:$M$19,4),"nincs rovat")</f>
        <v>nincs rovat</v>
      </c>
      <c r="Q1284" t="str">
        <f>IF(H1284&gt;0,VLOOKUP(H1284,PAR!$AA$3:$AC$187,3,FALSE),"nincs főkönyvi számla")</f>
        <v>nincs főkönyvi számla</v>
      </c>
      <c r="R1284" t="str">
        <f>IFERROR(VLOOKUP(K1284,PAR!$V$3:$X$438,3,FALSE),"000000 - Nincs COFOG")</f>
        <v>000000 - Nincs COFOG</v>
      </c>
      <c r="S1284">
        <f t="shared" si="392"/>
        <v>0</v>
      </c>
      <c r="T1284">
        <f t="shared" si="393"/>
        <v>0</v>
      </c>
      <c r="U1284" t="str">
        <f>IF('906MP'!J984&gt;0,CONCATENATE('906MP'!J984," - ",'906MP'!P984,", ",'906MP'!E984),"nincs megjegyzés")</f>
        <v>nincs megjegyzés</v>
      </c>
      <c r="V1284" t="str">
        <f t="shared" si="380"/>
        <v>0P0</v>
      </c>
      <c r="W1284" t="str">
        <f t="shared" si="381"/>
        <v>0P0</v>
      </c>
      <c r="X1284" t="str">
        <f t="shared" si="382"/>
        <v>P0</v>
      </c>
      <c r="Y1284" t="str">
        <f t="shared" si="383"/>
        <v>00</v>
      </c>
      <c r="Z1284" t="str">
        <f t="shared" si="394"/>
        <v>00</v>
      </c>
      <c r="AA1284" t="str">
        <f t="shared" si="384"/>
        <v>00</v>
      </c>
      <c r="AB1284" t="str">
        <f t="shared" si="385"/>
        <v>00</v>
      </c>
      <c r="AC1284" t="str">
        <f t="shared" si="386"/>
        <v>0P0</v>
      </c>
      <c r="AD1284" t="str">
        <f t="shared" si="387"/>
        <v>P00</v>
      </c>
      <c r="AE1284" t="str">
        <f t="shared" si="388"/>
        <v>0P0</v>
      </c>
      <c r="AF1284" t="str">
        <f t="shared" si="389"/>
        <v>P00</v>
      </c>
      <c r="AG1284" t="str">
        <f t="shared" si="395"/>
        <v>0P00</v>
      </c>
      <c r="AH1284" t="str">
        <f t="shared" si="396"/>
        <v>P000</v>
      </c>
      <c r="AI1284" t="str">
        <f t="shared" si="397"/>
        <v>0P00</v>
      </c>
      <c r="AJ1284" t="str">
        <f t="shared" si="398"/>
        <v>P000</v>
      </c>
    </row>
    <row r="1285" spans="1:36" x14ac:dyDescent="0.25">
      <c r="A1285" s="325" t="str">
        <f>CONCATENATE("P",'906MP'!M985)</f>
        <v>P</v>
      </c>
      <c r="B1285">
        <f>'906MP'!H985</f>
        <v>0</v>
      </c>
      <c r="C1285">
        <f>'906MP'!J985</f>
        <v>0</v>
      </c>
      <c r="D1285">
        <f>'906MP'!P985</f>
        <v>0</v>
      </c>
      <c r="E1285">
        <f>'906MP'!X985</f>
        <v>0</v>
      </c>
      <c r="F1285" t="str">
        <f t="shared" si="390"/>
        <v>0</v>
      </c>
      <c r="G1285" t="str">
        <f t="shared" si="391"/>
        <v>0</v>
      </c>
      <c r="H1285">
        <f>'906MP'!Y985</f>
        <v>0</v>
      </c>
      <c r="I1285">
        <f>'906MP'!AK985</f>
        <v>0</v>
      </c>
      <c r="J1285">
        <f>'906MP'!T985</f>
        <v>0</v>
      </c>
      <c r="K1285">
        <f>'906MP'!AJ985</f>
        <v>0</v>
      </c>
      <c r="L1285">
        <f>'906MP'!U985</f>
        <v>0</v>
      </c>
      <c r="M1285" s="322" t="str">
        <f>IFERROR(VLOOKUP(A1285,PAR!$D$3:$E$53,2,FALSE),"nincs szervezet")</f>
        <v>nincs szervezet</v>
      </c>
      <c r="N1285" s="322" t="str">
        <f>VLOOKUP(F1285,PAR!$R$3:$S$5,2,FALSE)</f>
        <v>3 - egyik sem</v>
      </c>
      <c r="O1285" t="str">
        <f>IFERROR(VLOOKUP(J1285,PAR!$O$3:$P$5,2,FALSE),"nincs feladat")</f>
        <v>nincs feladat</v>
      </c>
      <c r="P1285" t="str">
        <f>IFERROR(VLOOKUP(G1285,PAR!$J$2:$M$19,4),"nincs rovat")</f>
        <v>nincs rovat</v>
      </c>
      <c r="Q1285" t="str">
        <f>IF(H1285&gt;0,VLOOKUP(H1285,PAR!$AA$3:$AC$187,3,FALSE),"nincs főkönyvi számla")</f>
        <v>nincs főkönyvi számla</v>
      </c>
      <c r="R1285" t="str">
        <f>IFERROR(VLOOKUP(K1285,PAR!$V$3:$X$438,3,FALSE),"000000 - Nincs COFOG")</f>
        <v>000000 - Nincs COFOG</v>
      </c>
      <c r="S1285">
        <f t="shared" si="392"/>
        <v>0</v>
      </c>
      <c r="T1285">
        <f t="shared" si="393"/>
        <v>0</v>
      </c>
      <c r="U1285" t="str">
        <f>IF('906MP'!J985&gt;0,CONCATENATE('906MP'!J985," - ",'906MP'!P985,", ",'906MP'!E985),"nincs megjegyzés")</f>
        <v>nincs megjegyzés</v>
      </c>
      <c r="V1285" t="str">
        <f t="shared" si="380"/>
        <v>0P0</v>
      </c>
      <c r="W1285" t="str">
        <f t="shared" si="381"/>
        <v>0P0</v>
      </c>
      <c r="X1285" t="str">
        <f t="shared" si="382"/>
        <v>P0</v>
      </c>
      <c r="Y1285" t="str">
        <f t="shared" si="383"/>
        <v>00</v>
      </c>
      <c r="Z1285" t="str">
        <f t="shared" si="394"/>
        <v>00</v>
      </c>
      <c r="AA1285" t="str">
        <f t="shared" si="384"/>
        <v>00</v>
      </c>
      <c r="AB1285" t="str">
        <f t="shared" si="385"/>
        <v>00</v>
      </c>
      <c r="AC1285" t="str">
        <f t="shared" si="386"/>
        <v>0P0</v>
      </c>
      <c r="AD1285" t="str">
        <f t="shared" si="387"/>
        <v>P00</v>
      </c>
      <c r="AE1285" t="str">
        <f t="shared" si="388"/>
        <v>0P0</v>
      </c>
      <c r="AF1285" t="str">
        <f t="shared" si="389"/>
        <v>P00</v>
      </c>
      <c r="AG1285" t="str">
        <f t="shared" si="395"/>
        <v>0P00</v>
      </c>
      <c r="AH1285" t="str">
        <f t="shared" si="396"/>
        <v>P000</v>
      </c>
      <c r="AI1285" t="str">
        <f t="shared" si="397"/>
        <v>0P00</v>
      </c>
      <c r="AJ1285" t="str">
        <f t="shared" si="398"/>
        <v>P000</v>
      </c>
    </row>
    <row r="1286" spans="1:36" x14ac:dyDescent="0.25">
      <c r="A1286" s="325" t="str">
        <f>CONCATENATE("P",'906MP'!M986)</f>
        <v>P</v>
      </c>
      <c r="B1286">
        <f>'906MP'!H986</f>
        <v>0</v>
      </c>
      <c r="C1286">
        <f>'906MP'!J986</f>
        <v>0</v>
      </c>
      <c r="D1286">
        <f>'906MP'!P986</f>
        <v>0</v>
      </c>
      <c r="E1286">
        <f>'906MP'!X986</f>
        <v>0</v>
      </c>
      <c r="F1286" t="str">
        <f t="shared" si="390"/>
        <v>0</v>
      </c>
      <c r="G1286" t="str">
        <f t="shared" si="391"/>
        <v>0</v>
      </c>
      <c r="H1286">
        <f>'906MP'!Y986</f>
        <v>0</v>
      </c>
      <c r="I1286">
        <f>'906MP'!AK986</f>
        <v>0</v>
      </c>
      <c r="J1286">
        <f>'906MP'!T986</f>
        <v>0</v>
      </c>
      <c r="K1286">
        <f>'906MP'!AJ986</f>
        <v>0</v>
      </c>
      <c r="L1286">
        <f>'906MP'!U986</f>
        <v>0</v>
      </c>
      <c r="M1286" s="322" t="str">
        <f>IFERROR(VLOOKUP(A1286,PAR!$D$3:$E$53,2,FALSE),"nincs szervezet")</f>
        <v>nincs szervezet</v>
      </c>
      <c r="N1286" s="322" t="str">
        <f>VLOOKUP(F1286,PAR!$R$3:$S$5,2,FALSE)</f>
        <v>3 - egyik sem</v>
      </c>
      <c r="O1286" t="str">
        <f>IFERROR(VLOOKUP(J1286,PAR!$O$3:$P$5,2,FALSE),"nincs feladat")</f>
        <v>nincs feladat</v>
      </c>
      <c r="P1286" t="str">
        <f>IFERROR(VLOOKUP(G1286,PAR!$J$2:$M$19,4),"nincs rovat")</f>
        <v>nincs rovat</v>
      </c>
      <c r="Q1286" t="str">
        <f>IF(H1286&gt;0,VLOOKUP(H1286,PAR!$AA$3:$AC$187,3,FALSE),"nincs főkönyvi számla")</f>
        <v>nincs főkönyvi számla</v>
      </c>
      <c r="R1286" t="str">
        <f>IFERROR(VLOOKUP(K1286,PAR!$V$3:$X$438,3,FALSE),"000000 - Nincs COFOG")</f>
        <v>000000 - Nincs COFOG</v>
      </c>
      <c r="S1286">
        <f t="shared" si="392"/>
        <v>0</v>
      </c>
      <c r="T1286">
        <f t="shared" si="393"/>
        <v>0</v>
      </c>
      <c r="U1286" t="str">
        <f>IF('906MP'!J986&gt;0,CONCATENATE('906MP'!J986," - ",'906MP'!P986,", ",'906MP'!E986),"nincs megjegyzés")</f>
        <v>nincs megjegyzés</v>
      </c>
      <c r="V1286" t="str">
        <f t="shared" si="380"/>
        <v>0P0</v>
      </c>
      <c r="W1286" t="str">
        <f t="shared" si="381"/>
        <v>0P0</v>
      </c>
      <c r="X1286" t="str">
        <f t="shared" si="382"/>
        <v>P0</v>
      </c>
      <c r="Y1286" t="str">
        <f t="shared" si="383"/>
        <v>00</v>
      </c>
      <c r="Z1286" t="str">
        <f t="shared" si="394"/>
        <v>00</v>
      </c>
      <c r="AA1286" t="str">
        <f t="shared" si="384"/>
        <v>00</v>
      </c>
      <c r="AB1286" t="str">
        <f t="shared" si="385"/>
        <v>00</v>
      </c>
      <c r="AC1286" t="str">
        <f t="shared" si="386"/>
        <v>0P0</v>
      </c>
      <c r="AD1286" t="str">
        <f t="shared" si="387"/>
        <v>P00</v>
      </c>
      <c r="AE1286" t="str">
        <f t="shared" si="388"/>
        <v>0P0</v>
      </c>
      <c r="AF1286" t="str">
        <f t="shared" si="389"/>
        <v>P00</v>
      </c>
      <c r="AG1286" t="str">
        <f t="shared" si="395"/>
        <v>0P00</v>
      </c>
      <c r="AH1286" t="str">
        <f t="shared" si="396"/>
        <v>P000</v>
      </c>
      <c r="AI1286" t="str">
        <f t="shared" si="397"/>
        <v>0P00</v>
      </c>
      <c r="AJ1286" t="str">
        <f t="shared" si="398"/>
        <v>P000</v>
      </c>
    </row>
    <row r="1287" spans="1:36" x14ac:dyDescent="0.25">
      <c r="A1287" s="325" t="str">
        <f>CONCATENATE("P",'906MP'!M987)</f>
        <v>P</v>
      </c>
      <c r="B1287">
        <f>'906MP'!H987</f>
        <v>0</v>
      </c>
      <c r="C1287">
        <f>'906MP'!J987</f>
        <v>0</v>
      </c>
      <c r="D1287">
        <f>'906MP'!P987</f>
        <v>0</v>
      </c>
      <c r="E1287">
        <f>'906MP'!X987</f>
        <v>0</v>
      </c>
      <c r="F1287" t="str">
        <f t="shared" si="390"/>
        <v>0</v>
      </c>
      <c r="G1287" t="str">
        <f t="shared" si="391"/>
        <v>0</v>
      </c>
      <c r="H1287">
        <f>'906MP'!Y987</f>
        <v>0</v>
      </c>
      <c r="I1287">
        <f>'906MP'!AK987</f>
        <v>0</v>
      </c>
      <c r="J1287">
        <f>'906MP'!T987</f>
        <v>0</v>
      </c>
      <c r="K1287">
        <f>'906MP'!AJ987</f>
        <v>0</v>
      </c>
      <c r="L1287">
        <f>'906MP'!U987</f>
        <v>0</v>
      </c>
      <c r="M1287" s="322" t="str">
        <f>IFERROR(VLOOKUP(A1287,PAR!$D$3:$E$53,2,FALSE),"nincs szervezet")</f>
        <v>nincs szervezet</v>
      </c>
      <c r="N1287" s="322" t="str">
        <f>VLOOKUP(F1287,PAR!$R$3:$S$5,2,FALSE)</f>
        <v>3 - egyik sem</v>
      </c>
      <c r="O1287" t="str">
        <f>IFERROR(VLOOKUP(J1287,PAR!$O$3:$P$5,2,FALSE),"nincs feladat")</f>
        <v>nincs feladat</v>
      </c>
      <c r="P1287" t="str">
        <f>IFERROR(VLOOKUP(G1287,PAR!$J$2:$M$19,4),"nincs rovat")</f>
        <v>nincs rovat</v>
      </c>
      <c r="Q1287" t="str">
        <f>IF(H1287&gt;0,VLOOKUP(H1287,PAR!$AA$3:$AC$187,3,FALSE),"nincs főkönyvi számla")</f>
        <v>nincs főkönyvi számla</v>
      </c>
      <c r="R1287" t="str">
        <f>IFERROR(VLOOKUP(K1287,PAR!$V$3:$X$438,3,FALSE),"000000 - Nincs COFOG")</f>
        <v>000000 - Nincs COFOG</v>
      </c>
      <c r="S1287">
        <f t="shared" si="392"/>
        <v>0</v>
      </c>
      <c r="T1287">
        <f t="shared" si="393"/>
        <v>0</v>
      </c>
      <c r="U1287" t="str">
        <f>IF('906MP'!J987&gt;0,CONCATENATE('906MP'!J987," - ",'906MP'!P987,", ",'906MP'!E987),"nincs megjegyzés")</f>
        <v>nincs megjegyzés</v>
      </c>
      <c r="V1287" t="str">
        <f t="shared" si="380"/>
        <v>0P0</v>
      </c>
      <c r="W1287" t="str">
        <f t="shared" si="381"/>
        <v>0P0</v>
      </c>
      <c r="X1287" t="str">
        <f t="shared" si="382"/>
        <v>P0</v>
      </c>
      <c r="Y1287" t="str">
        <f t="shared" si="383"/>
        <v>00</v>
      </c>
      <c r="Z1287" t="str">
        <f t="shared" si="394"/>
        <v>00</v>
      </c>
      <c r="AA1287" t="str">
        <f t="shared" si="384"/>
        <v>00</v>
      </c>
      <c r="AB1287" t="str">
        <f t="shared" si="385"/>
        <v>00</v>
      </c>
      <c r="AC1287" t="str">
        <f t="shared" si="386"/>
        <v>0P0</v>
      </c>
      <c r="AD1287" t="str">
        <f t="shared" si="387"/>
        <v>P00</v>
      </c>
      <c r="AE1287" t="str">
        <f t="shared" si="388"/>
        <v>0P0</v>
      </c>
      <c r="AF1287" t="str">
        <f t="shared" si="389"/>
        <v>P00</v>
      </c>
      <c r="AG1287" t="str">
        <f t="shared" si="395"/>
        <v>0P00</v>
      </c>
      <c r="AH1287" t="str">
        <f t="shared" si="396"/>
        <v>P000</v>
      </c>
      <c r="AI1287" t="str">
        <f t="shared" si="397"/>
        <v>0P00</v>
      </c>
      <c r="AJ1287" t="str">
        <f t="shared" si="398"/>
        <v>P000</v>
      </c>
    </row>
    <row r="1288" spans="1:36" x14ac:dyDescent="0.25">
      <c r="A1288" s="325" t="str">
        <f>CONCATENATE("P",'906MP'!M988)</f>
        <v>P</v>
      </c>
      <c r="B1288">
        <f>'906MP'!H988</f>
        <v>0</v>
      </c>
      <c r="C1288">
        <f>'906MP'!J988</f>
        <v>0</v>
      </c>
      <c r="D1288">
        <f>'906MP'!P988</f>
        <v>0</v>
      </c>
      <c r="E1288">
        <f>'906MP'!X988</f>
        <v>0</v>
      </c>
      <c r="F1288" t="str">
        <f t="shared" si="390"/>
        <v>0</v>
      </c>
      <c r="G1288" t="str">
        <f t="shared" si="391"/>
        <v>0</v>
      </c>
      <c r="H1288">
        <f>'906MP'!Y988</f>
        <v>0</v>
      </c>
      <c r="I1288">
        <f>'906MP'!AK988</f>
        <v>0</v>
      </c>
      <c r="J1288">
        <f>'906MP'!T988</f>
        <v>0</v>
      </c>
      <c r="K1288">
        <f>'906MP'!AJ988</f>
        <v>0</v>
      </c>
      <c r="L1288">
        <f>'906MP'!U988</f>
        <v>0</v>
      </c>
      <c r="M1288" s="322" t="str">
        <f>IFERROR(VLOOKUP(A1288,PAR!$D$3:$E$53,2,FALSE),"nincs szervezet")</f>
        <v>nincs szervezet</v>
      </c>
      <c r="N1288" s="322" t="str">
        <f>VLOOKUP(F1288,PAR!$R$3:$S$5,2,FALSE)</f>
        <v>3 - egyik sem</v>
      </c>
      <c r="O1288" t="str">
        <f>IFERROR(VLOOKUP(J1288,PAR!$O$3:$P$5,2,FALSE),"nincs feladat")</f>
        <v>nincs feladat</v>
      </c>
      <c r="P1288" t="str">
        <f>IFERROR(VLOOKUP(G1288,PAR!$J$2:$M$19,4),"nincs rovat")</f>
        <v>nincs rovat</v>
      </c>
      <c r="Q1288" t="str">
        <f>IF(H1288&gt;0,VLOOKUP(H1288,PAR!$AA$3:$AC$187,3,FALSE),"nincs főkönyvi számla")</f>
        <v>nincs főkönyvi számla</v>
      </c>
      <c r="R1288" t="str">
        <f>IFERROR(VLOOKUP(K1288,PAR!$V$3:$X$438,3,FALSE),"000000 - Nincs COFOG")</f>
        <v>000000 - Nincs COFOG</v>
      </c>
      <c r="S1288">
        <f t="shared" si="392"/>
        <v>0</v>
      </c>
      <c r="T1288">
        <f t="shared" si="393"/>
        <v>0</v>
      </c>
      <c r="U1288" t="str">
        <f>IF('906MP'!J988&gt;0,CONCATENATE('906MP'!J988," - ",'906MP'!P988,", ",'906MP'!E988),"nincs megjegyzés")</f>
        <v>nincs megjegyzés</v>
      </c>
      <c r="V1288" t="str">
        <f t="shared" si="380"/>
        <v>0P0</v>
      </c>
      <c r="W1288" t="str">
        <f t="shared" si="381"/>
        <v>0P0</v>
      </c>
      <c r="X1288" t="str">
        <f t="shared" si="382"/>
        <v>P0</v>
      </c>
      <c r="Y1288" t="str">
        <f t="shared" si="383"/>
        <v>00</v>
      </c>
      <c r="Z1288" t="str">
        <f t="shared" si="394"/>
        <v>00</v>
      </c>
      <c r="AA1288" t="str">
        <f t="shared" si="384"/>
        <v>00</v>
      </c>
      <c r="AB1288" t="str">
        <f t="shared" si="385"/>
        <v>00</v>
      </c>
      <c r="AC1288" t="str">
        <f t="shared" si="386"/>
        <v>0P0</v>
      </c>
      <c r="AD1288" t="str">
        <f t="shared" si="387"/>
        <v>P00</v>
      </c>
      <c r="AE1288" t="str">
        <f t="shared" si="388"/>
        <v>0P0</v>
      </c>
      <c r="AF1288" t="str">
        <f t="shared" si="389"/>
        <v>P00</v>
      </c>
      <c r="AG1288" t="str">
        <f t="shared" si="395"/>
        <v>0P00</v>
      </c>
      <c r="AH1288" t="str">
        <f t="shared" si="396"/>
        <v>P000</v>
      </c>
      <c r="AI1288" t="str">
        <f t="shared" si="397"/>
        <v>0P00</v>
      </c>
      <c r="AJ1288" t="str">
        <f t="shared" si="398"/>
        <v>P000</v>
      </c>
    </row>
    <row r="1289" spans="1:36" x14ac:dyDescent="0.25">
      <c r="A1289" s="325" t="str">
        <f>CONCATENATE("P",'906MP'!M989)</f>
        <v>P</v>
      </c>
      <c r="B1289">
        <f>'906MP'!H989</f>
        <v>0</v>
      </c>
      <c r="C1289">
        <f>'906MP'!J989</f>
        <v>0</v>
      </c>
      <c r="D1289">
        <f>'906MP'!P989</f>
        <v>0</v>
      </c>
      <c r="E1289">
        <f>'906MP'!X989</f>
        <v>0</v>
      </c>
      <c r="F1289" t="str">
        <f t="shared" si="390"/>
        <v>0</v>
      </c>
      <c r="G1289" t="str">
        <f t="shared" si="391"/>
        <v>0</v>
      </c>
      <c r="H1289">
        <f>'906MP'!Y989</f>
        <v>0</v>
      </c>
      <c r="I1289">
        <f>'906MP'!AK989</f>
        <v>0</v>
      </c>
      <c r="J1289">
        <f>'906MP'!T989</f>
        <v>0</v>
      </c>
      <c r="K1289">
        <f>'906MP'!AJ989</f>
        <v>0</v>
      </c>
      <c r="L1289">
        <f>'906MP'!U989</f>
        <v>0</v>
      </c>
      <c r="M1289" s="322" t="str">
        <f>IFERROR(VLOOKUP(A1289,PAR!$D$3:$E$53,2,FALSE),"nincs szervezet")</f>
        <v>nincs szervezet</v>
      </c>
      <c r="N1289" s="322" t="str">
        <f>VLOOKUP(F1289,PAR!$R$3:$S$5,2,FALSE)</f>
        <v>3 - egyik sem</v>
      </c>
      <c r="O1289" t="str">
        <f>IFERROR(VLOOKUP(J1289,PAR!$O$3:$P$5,2,FALSE),"nincs feladat")</f>
        <v>nincs feladat</v>
      </c>
      <c r="P1289" t="str">
        <f>IFERROR(VLOOKUP(G1289,PAR!$J$2:$M$19,4),"nincs rovat")</f>
        <v>nincs rovat</v>
      </c>
      <c r="Q1289" t="str">
        <f>IF(H1289&gt;0,VLOOKUP(H1289,PAR!$AA$3:$AC$187,3,FALSE),"nincs főkönyvi számla")</f>
        <v>nincs főkönyvi számla</v>
      </c>
      <c r="R1289" t="str">
        <f>IFERROR(VLOOKUP(K1289,PAR!$V$3:$X$438,3,FALSE),"000000 - Nincs COFOG")</f>
        <v>000000 - Nincs COFOG</v>
      </c>
      <c r="S1289">
        <f t="shared" si="392"/>
        <v>0</v>
      </c>
      <c r="T1289">
        <f t="shared" si="393"/>
        <v>0</v>
      </c>
      <c r="U1289" t="str">
        <f>IF('906MP'!J989&gt;0,CONCATENATE('906MP'!J989," - ",'906MP'!P989,", ",'906MP'!E989),"nincs megjegyzés")</f>
        <v>nincs megjegyzés</v>
      </c>
      <c r="V1289" t="str">
        <f t="shared" si="380"/>
        <v>0P0</v>
      </c>
      <c r="W1289" t="str">
        <f t="shared" si="381"/>
        <v>0P0</v>
      </c>
      <c r="X1289" t="str">
        <f t="shared" si="382"/>
        <v>P0</v>
      </c>
      <c r="Y1289" t="str">
        <f t="shared" si="383"/>
        <v>00</v>
      </c>
      <c r="Z1289" t="str">
        <f t="shared" si="394"/>
        <v>00</v>
      </c>
      <c r="AA1289" t="str">
        <f t="shared" si="384"/>
        <v>00</v>
      </c>
      <c r="AB1289" t="str">
        <f t="shared" si="385"/>
        <v>00</v>
      </c>
      <c r="AC1289" t="str">
        <f t="shared" si="386"/>
        <v>0P0</v>
      </c>
      <c r="AD1289" t="str">
        <f t="shared" si="387"/>
        <v>P00</v>
      </c>
      <c r="AE1289" t="str">
        <f t="shared" si="388"/>
        <v>0P0</v>
      </c>
      <c r="AF1289" t="str">
        <f t="shared" si="389"/>
        <v>P00</v>
      </c>
      <c r="AG1289" t="str">
        <f t="shared" si="395"/>
        <v>0P00</v>
      </c>
      <c r="AH1289" t="str">
        <f t="shared" si="396"/>
        <v>P000</v>
      </c>
      <c r="AI1289" t="str">
        <f t="shared" si="397"/>
        <v>0P00</v>
      </c>
      <c r="AJ1289" t="str">
        <f t="shared" si="398"/>
        <v>P000</v>
      </c>
    </row>
    <row r="1290" spans="1:36" x14ac:dyDescent="0.25">
      <c r="A1290" s="325" t="str">
        <f>CONCATENATE("P",'906MP'!M990)</f>
        <v>P</v>
      </c>
      <c r="B1290">
        <f>'906MP'!H990</f>
        <v>0</v>
      </c>
      <c r="C1290">
        <f>'906MP'!J990</f>
        <v>0</v>
      </c>
      <c r="D1290">
        <f>'906MP'!P990</f>
        <v>0</v>
      </c>
      <c r="E1290">
        <f>'906MP'!X990</f>
        <v>0</v>
      </c>
      <c r="F1290" t="str">
        <f t="shared" si="390"/>
        <v>0</v>
      </c>
      <c r="G1290" t="str">
        <f t="shared" si="391"/>
        <v>0</v>
      </c>
      <c r="H1290">
        <f>'906MP'!Y990</f>
        <v>0</v>
      </c>
      <c r="I1290">
        <f>'906MP'!AK990</f>
        <v>0</v>
      </c>
      <c r="J1290">
        <f>'906MP'!T990</f>
        <v>0</v>
      </c>
      <c r="K1290">
        <f>'906MP'!AJ990</f>
        <v>0</v>
      </c>
      <c r="L1290">
        <f>'906MP'!U990</f>
        <v>0</v>
      </c>
      <c r="M1290" s="322" t="str">
        <f>IFERROR(VLOOKUP(A1290,PAR!$D$3:$E$53,2,FALSE),"nincs szervezet")</f>
        <v>nincs szervezet</v>
      </c>
      <c r="N1290" s="322" t="str">
        <f>VLOOKUP(F1290,PAR!$R$3:$S$5,2,FALSE)</f>
        <v>3 - egyik sem</v>
      </c>
      <c r="O1290" t="str">
        <f>IFERROR(VLOOKUP(J1290,PAR!$O$3:$P$5,2,FALSE),"nincs feladat")</f>
        <v>nincs feladat</v>
      </c>
      <c r="P1290" t="str">
        <f>IFERROR(VLOOKUP(G1290,PAR!$J$2:$M$19,4),"nincs rovat")</f>
        <v>nincs rovat</v>
      </c>
      <c r="Q1290" t="str">
        <f>IF(H1290&gt;0,VLOOKUP(H1290,PAR!$AA$3:$AC$187,3,FALSE),"nincs főkönyvi számla")</f>
        <v>nincs főkönyvi számla</v>
      </c>
      <c r="R1290" t="str">
        <f>IFERROR(VLOOKUP(K1290,PAR!$V$3:$X$438,3,FALSE),"000000 - Nincs COFOG")</f>
        <v>000000 - Nincs COFOG</v>
      </c>
      <c r="S1290">
        <f t="shared" si="392"/>
        <v>0</v>
      </c>
      <c r="T1290">
        <f t="shared" si="393"/>
        <v>0</v>
      </c>
      <c r="U1290" t="str">
        <f>IF('906MP'!J990&gt;0,CONCATENATE('906MP'!J990," - ",'906MP'!P990,", ",'906MP'!E990),"nincs megjegyzés")</f>
        <v>nincs megjegyzés</v>
      </c>
      <c r="V1290" t="str">
        <f t="shared" si="380"/>
        <v>0P0</v>
      </c>
      <c r="W1290" t="str">
        <f t="shared" si="381"/>
        <v>0P0</v>
      </c>
      <c r="X1290" t="str">
        <f t="shared" si="382"/>
        <v>P0</v>
      </c>
      <c r="Y1290" t="str">
        <f t="shared" si="383"/>
        <v>00</v>
      </c>
      <c r="Z1290" t="str">
        <f t="shared" si="394"/>
        <v>00</v>
      </c>
      <c r="AA1290" t="str">
        <f t="shared" si="384"/>
        <v>00</v>
      </c>
      <c r="AB1290" t="str">
        <f t="shared" si="385"/>
        <v>00</v>
      </c>
      <c r="AC1290" t="str">
        <f t="shared" si="386"/>
        <v>0P0</v>
      </c>
      <c r="AD1290" t="str">
        <f t="shared" si="387"/>
        <v>P00</v>
      </c>
      <c r="AE1290" t="str">
        <f t="shared" si="388"/>
        <v>0P0</v>
      </c>
      <c r="AF1290" t="str">
        <f t="shared" si="389"/>
        <v>P00</v>
      </c>
      <c r="AG1290" t="str">
        <f t="shared" si="395"/>
        <v>0P00</v>
      </c>
      <c r="AH1290" t="str">
        <f t="shared" si="396"/>
        <v>P000</v>
      </c>
      <c r="AI1290" t="str">
        <f t="shared" si="397"/>
        <v>0P00</v>
      </c>
      <c r="AJ1290" t="str">
        <f t="shared" si="398"/>
        <v>P000</v>
      </c>
    </row>
    <row r="1291" spans="1:36" x14ac:dyDescent="0.25">
      <c r="A1291" s="325" t="str">
        <f>CONCATENATE("P",'906MP'!M991)</f>
        <v>P</v>
      </c>
      <c r="B1291">
        <f>'906MP'!H991</f>
        <v>0</v>
      </c>
      <c r="C1291">
        <f>'906MP'!J991</f>
        <v>0</v>
      </c>
      <c r="D1291">
        <f>'906MP'!P991</f>
        <v>0</v>
      </c>
      <c r="E1291">
        <f>'906MP'!X991</f>
        <v>0</v>
      </c>
      <c r="F1291" t="str">
        <f t="shared" si="390"/>
        <v>0</v>
      </c>
      <c r="G1291" t="str">
        <f t="shared" si="391"/>
        <v>0</v>
      </c>
      <c r="H1291">
        <f>'906MP'!Y991</f>
        <v>0</v>
      </c>
      <c r="I1291">
        <f>'906MP'!AK991</f>
        <v>0</v>
      </c>
      <c r="J1291">
        <f>'906MP'!T991</f>
        <v>0</v>
      </c>
      <c r="K1291">
        <f>'906MP'!AJ991</f>
        <v>0</v>
      </c>
      <c r="L1291">
        <f>'906MP'!U991</f>
        <v>0</v>
      </c>
      <c r="M1291" s="322" t="str">
        <f>IFERROR(VLOOKUP(A1291,PAR!$D$3:$E$53,2,FALSE),"nincs szervezet")</f>
        <v>nincs szervezet</v>
      </c>
      <c r="N1291" s="322" t="str">
        <f>VLOOKUP(F1291,PAR!$R$3:$S$5,2,FALSE)</f>
        <v>3 - egyik sem</v>
      </c>
      <c r="O1291" t="str">
        <f>IFERROR(VLOOKUP(J1291,PAR!$O$3:$P$5,2,FALSE),"nincs feladat")</f>
        <v>nincs feladat</v>
      </c>
      <c r="P1291" t="str">
        <f>IFERROR(VLOOKUP(G1291,PAR!$J$2:$M$19,4),"nincs rovat")</f>
        <v>nincs rovat</v>
      </c>
      <c r="Q1291" t="str">
        <f>IF(H1291&gt;0,VLOOKUP(H1291,PAR!$AA$3:$AC$187,3,FALSE),"nincs főkönyvi számla")</f>
        <v>nincs főkönyvi számla</v>
      </c>
      <c r="R1291" t="str">
        <f>IFERROR(VLOOKUP(K1291,PAR!$V$3:$X$438,3,FALSE),"000000 - Nincs COFOG")</f>
        <v>000000 - Nincs COFOG</v>
      </c>
      <c r="S1291">
        <f t="shared" si="392"/>
        <v>0</v>
      </c>
      <c r="T1291">
        <f t="shared" si="393"/>
        <v>0</v>
      </c>
      <c r="U1291" t="str">
        <f>IF('906MP'!J991&gt;0,CONCATENATE('906MP'!J991," - ",'906MP'!P991,", ",'906MP'!E991),"nincs megjegyzés")</f>
        <v>nincs megjegyzés</v>
      </c>
      <c r="V1291" t="str">
        <f t="shared" si="380"/>
        <v>0P0</v>
      </c>
      <c r="W1291" t="str">
        <f t="shared" si="381"/>
        <v>0P0</v>
      </c>
      <c r="X1291" t="str">
        <f t="shared" si="382"/>
        <v>P0</v>
      </c>
      <c r="Y1291" t="str">
        <f t="shared" si="383"/>
        <v>00</v>
      </c>
      <c r="Z1291" t="str">
        <f t="shared" si="394"/>
        <v>00</v>
      </c>
      <c r="AA1291" t="str">
        <f t="shared" si="384"/>
        <v>00</v>
      </c>
      <c r="AB1291" t="str">
        <f t="shared" si="385"/>
        <v>00</v>
      </c>
      <c r="AC1291" t="str">
        <f t="shared" si="386"/>
        <v>0P0</v>
      </c>
      <c r="AD1291" t="str">
        <f t="shared" si="387"/>
        <v>P00</v>
      </c>
      <c r="AE1291" t="str">
        <f t="shared" si="388"/>
        <v>0P0</v>
      </c>
      <c r="AF1291" t="str">
        <f t="shared" si="389"/>
        <v>P00</v>
      </c>
      <c r="AG1291" t="str">
        <f t="shared" si="395"/>
        <v>0P00</v>
      </c>
      <c r="AH1291" t="str">
        <f t="shared" si="396"/>
        <v>P000</v>
      </c>
      <c r="AI1291" t="str">
        <f t="shared" si="397"/>
        <v>0P00</v>
      </c>
      <c r="AJ1291" t="str">
        <f t="shared" si="398"/>
        <v>P000</v>
      </c>
    </row>
    <row r="1292" spans="1:36" x14ac:dyDescent="0.25">
      <c r="A1292" s="325" t="str">
        <f>CONCATENATE("P",'906MP'!M992)</f>
        <v>P</v>
      </c>
      <c r="B1292">
        <f>'906MP'!H992</f>
        <v>0</v>
      </c>
      <c r="C1292">
        <f>'906MP'!J992</f>
        <v>0</v>
      </c>
      <c r="D1292">
        <f>'906MP'!P992</f>
        <v>0</v>
      </c>
      <c r="E1292">
        <f>'906MP'!X992</f>
        <v>0</v>
      </c>
      <c r="F1292" t="str">
        <f t="shared" si="390"/>
        <v>0</v>
      </c>
      <c r="G1292" t="str">
        <f t="shared" si="391"/>
        <v>0</v>
      </c>
      <c r="H1292">
        <f>'906MP'!Y992</f>
        <v>0</v>
      </c>
      <c r="I1292">
        <f>'906MP'!AK992</f>
        <v>0</v>
      </c>
      <c r="J1292">
        <f>'906MP'!T992</f>
        <v>0</v>
      </c>
      <c r="K1292">
        <f>'906MP'!AJ992</f>
        <v>0</v>
      </c>
      <c r="L1292">
        <f>'906MP'!U992</f>
        <v>0</v>
      </c>
      <c r="M1292" s="322" t="str">
        <f>IFERROR(VLOOKUP(A1292,PAR!$D$3:$E$53,2,FALSE),"nincs szervezet")</f>
        <v>nincs szervezet</v>
      </c>
      <c r="N1292" s="322" t="str">
        <f>VLOOKUP(F1292,PAR!$R$3:$S$5,2,FALSE)</f>
        <v>3 - egyik sem</v>
      </c>
      <c r="O1292" t="str">
        <f>IFERROR(VLOOKUP(J1292,PAR!$O$3:$P$5,2,FALSE),"nincs feladat")</f>
        <v>nincs feladat</v>
      </c>
      <c r="P1292" t="str">
        <f>IFERROR(VLOOKUP(G1292,PAR!$J$2:$M$19,4),"nincs rovat")</f>
        <v>nincs rovat</v>
      </c>
      <c r="Q1292" t="str">
        <f>IF(H1292&gt;0,VLOOKUP(H1292,PAR!$AA$3:$AC$187,3,FALSE),"nincs főkönyvi számla")</f>
        <v>nincs főkönyvi számla</v>
      </c>
      <c r="R1292" t="str">
        <f>IFERROR(VLOOKUP(K1292,PAR!$V$3:$X$438,3,FALSE),"000000 - Nincs COFOG")</f>
        <v>000000 - Nincs COFOG</v>
      </c>
      <c r="S1292">
        <f t="shared" si="392"/>
        <v>0</v>
      </c>
      <c r="T1292">
        <f t="shared" si="393"/>
        <v>0</v>
      </c>
      <c r="U1292" t="str">
        <f>IF('906MP'!J992&gt;0,CONCATENATE('906MP'!J992," - ",'906MP'!P992,", ",'906MP'!E992),"nincs megjegyzés")</f>
        <v>nincs megjegyzés</v>
      </c>
      <c r="V1292" t="str">
        <f t="shared" si="380"/>
        <v>0P0</v>
      </c>
      <c r="W1292" t="str">
        <f t="shared" si="381"/>
        <v>0P0</v>
      </c>
      <c r="X1292" t="str">
        <f t="shared" si="382"/>
        <v>P0</v>
      </c>
      <c r="Y1292" t="str">
        <f t="shared" si="383"/>
        <v>00</v>
      </c>
      <c r="Z1292" t="str">
        <f t="shared" si="394"/>
        <v>00</v>
      </c>
      <c r="AA1292" t="str">
        <f t="shared" si="384"/>
        <v>00</v>
      </c>
      <c r="AB1292" t="str">
        <f t="shared" si="385"/>
        <v>00</v>
      </c>
      <c r="AC1292" t="str">
        <f t="shared" si="386"/>
        <v>0P0</v>
      </c>
      <c r="AD1292" t="str">
        <f t="shared" si="387"/>
        <v>P00</v>
      </c>
      <c r="AE1292" t="str">
        <f t="shared" si="388"/>
        <v>0P0</v>
      </c>
      <c r="AF1292" t="str">
        <f t="shared" si="389"/>
        <v>P00</v>
      </c>
      <c r="AG1292" t="str">
        <f t="shared" si="395"/>
        <v>0P00</v>
      </c>
      <c r="AH1292" t="str">
        <f t="shared" si="396"/>
        <v>P000</v>
      </c>
      <c r="AI1292" t="str">
        <f t="shared" si="397"/>
        <v>0P00</v>
      </c>
      <c r="AJ1292" t="str">
        <f t="shared" si="398"/>
        <v>P000</v>
      </c>
    </row>
    <row r="1293" spans="1:36" x14ac:dyDescent="0.25">
      <c r="A1293" s="325" t="str">
        <f>CONCATENATE("P",'906MP'!M993)</f>
        <v>P</v>
      </c>
      <c r="B1293">
        <f>'906MP'!H993</f>
        <v>0</v>
      </c>
      <c r="C1293">
        <f>'906MP'!J993</f>
        <v>0</v>
      </c>
      <c r="D1293">
        <f>'906MP'!P993</f>
        <v>0</v>
      </c>
      <c r="E1293">
        <f>'906MP'!X993</f>
        <v>0</v>
      </c>
      <c r="F1293" t="str">
        <f t="shared" si="390"/>
        <v>0</v>
      </c>
      <c r="G1293" t="str">
        <f t="shared" si="391"/>
        <v>0</v>
      </c>
      <c r="H1293">
        <f>'906MP'!Y993</f>
        <v>0</v>
      </c>
      <c r="I1293">
        <f>'906MP'!AK993</f>
        <v>0</v>
      </c>
      <c r="J1293">
        <f>'906MP'!T993</f>
        <v>0</v>
      </c>
      <c r="K1293">
        <f>'906MP'!AJ993</f>
        <v>0</v>
      </c>
      <c r="L1293">
        <f>'906MP'!U993</f>
        <v>0</v>
      </c>
      <c r="M1293" s="322" t="str">
        <f>IFERROR(VLOOKUP(A1293,PAR!$D$3:$E$53,2,FALSE),"nincs szervezet")</f>
        <v>nincs szervezet</v>
      </c>
      <c r="N1293" s="322" t="str">
        <f>VLOOKUP(F1293,PAR!$R$3:$S$5,2,FALSE)</f>
        <v>3 - egyik sem</v>
      </c>
      <c r="O1293" t="str">
        <f>IFERROR(VLOOKUP(J1293,PAR!$O$3:$P$5,2,FALSE),"nincs feladat")</f>
        <v>nincs feladat</v>
      </c>
      <c r="P1293" t="str">
        <f>IFERROR(VLOOKUP(G1293,PAR!$J$2:$M$19,4),"nincs rovat")</f>
        <v>nincs rovat</v>
      </c>
      <c r="Q1293" t="str">
        <f>IF(H1293&gt;0,VLOOKUP(H1293,PAR!$AA$3:$AC$187,3,FALSE),"nincs főkönyvi számla")</f>
        <v>nincs főkönyvi számla</v>
      </c>
      <c r="R1293" t="str">
        <f>IFERROR(VLOOKUP(K1293,PAR!$V$3:$X$438,3,FALSE),"000000 - Nincs COFOG")</f>
        <v>000000 - Nincs COFOG</v>
      </c>
      <c r="S1293">
        <f t="shared" si="392"/>
        <v>0</v>
      </c>
      <c r="T1293">
        <f t="shared" si="393"/>
        <v>0</v>
      </c>
      <c r="U1293" t="str">
        <f>IF('906MP'!J993&gt;0,CONCATENATE('906MP'!J993," - ",'906MP'!P993,", ",'906MP'!E993),"nincs megjegyzés")</f>
        <v>nincs megjegyzés</v>
      </c>
      <c r="V1293" t="str">
        <f t="shared" si="380"/>
        <v>0P0</v>
      </c>
      <c r="W1293" t="str">
        <f t="shared" si="381"/>
        <v>0P0</v>
      </c>
      <c r="X1293" t="str">
        <f t="shared" si="382"/>
        <v>P0</v>
      </c>
      <c r="Y1293" t="str">
        <f t="shared" si="383"/>
        <v>00</v>
      </c>
      <c r="Z1293" t="str">
        <f t="shared" si="394"/>
        <v>00</v>
      </c>
      <c r="AA1293" t="str">
        <f t="shared" si="384"/>
        <v>00</v>
      </c>
      <c r="AB1293" t="str">
        <f t="shared" si="385"/>
        <v>00</v>
      </c>
      <c r="AC1293" t="str">
        <f t="shared" si="386"/>
        <v>0P0</v>
      </c>
      <c r="AD1293" t="str">
        <f t="shared" si="387"/>
        <v>P00</v>
      </c>
      <c r="AE1293" t="str">
        <f t="shared" si="388"/>
        <v>0P0</v>
      </c>
      <c r="AF1293" t="str">
        <f t="shared" si="389"/>
        <v>P00</v>
      </c>
      <c r="AG1293" t="str">
        <f t="shared" si="395"/>
        <v>0P00</v>
      </c>
      <c r="AH1293" t="str">
        <f t="shared" si="396"/>
        <v>P000</v>
      </c>
      <c r="AI1293" t="str">
        <f t="shared" si="397"/>
        <v>0P00</v>
      </c>
      <c r="AJ1293" t="str">
        <f t="shared" si="398"/>
        <v>P000</v>
      </c>
    </row>
    <row r="1294" spans="1:36" x14ac:dyDescent="0.25">
      <c r="A1294" s="325" t="str">
        <f>CONCATENATE("P",'906MP'!M994)</f>
        <v>P</v>
      </c>
      <c r="B1294">
        <f>'906MP'!H994</f>
        <v>0</v>
      </c>
      <c r="C1294">
        <f>'906MP'!J994</f>
        <v>0</v>
      </c>
      <c r="D1294">
        <f>'906MP'!P994</f>
        <v>0</v>
      </c>
      <c r="E1294">
        <f>'906MP'!X994</f>
        <v>0</v>
      </c>
      <c r="F1294" t="str">
        <f t="shared" si="390"/>
        <v>0</v>
      </c>
      <c r="G1294" t="str">
        <f t="shared" si="391"/>
        <v>0</v>
      </c>
      <c r="H1294">
        <f>'906MP'!Y994</f>
        <v>0</v>
      </c>
      <c r="I1294">
        <f>'906MP'!AK994</f>
        <v>0</v>
      </c>
      <c r="J1294">
        <f>'906MP'!T994</f>
        <v>0</v>
      </c>
      <c r="K1294">
        <f>'906MP'!AJ994</f>
        <v>0</v>
      </c>
      <c r="L1294">
        <f>'906MP'!U994</f>
        <v>0</v>
      </c>
      <c r="M1294" s="322" t="str">
        <f>IFERROR(VLOOKUP(A1294,PAR!$D$3:$E$53,2,FALSE),"nincs szervezet")</f>
        <v>nincs szervezet</v>
      </c>
      <c r="N1294" s="322" t="str">
        <f>VLOOKUP(F1294,PAR!$R$3:$S$5,2,FALSE)</f>
        <v>3 - egyik sem</v>
      </c>
      <c r="O1294" t="str">
        <f>IFERROR(VLOOKUP(J1294,PAR!$O$3:$P$5,2,FALSE),"nincs feladat")</f>
        <v>nincs feladat</v>
      </c>
      <c r="P1294" t="str">
        <f>IFERROR(VLOOKUP(G1294,PAR!$J$2:$M$19,4),"nincs rovat")</f>
        <v>nincs rovat</v>
      </c>
      <c r="Q1294" t="str">
        <f>IF(H1294&gt;0,VLOOKUP(H1294,PAR!$AA$3:$AC$187,3,FALSE),"nincs főkönyvi számla")</f>
        <v>nincs főkönyvi számla</v>
      </c>
      <c r="R1294" t="str">
        <f>IFERROR(VLOOKUP(K1294,PAR!$V$3:$X$438,3,FALSE),"000000 - Nincs COFOG")</f>
        <v>000000 - Nincs COFOG</v>
      </c>
      <c r="S1294">
        <f t="shared" si="392"/>
        <v>0</v>
      </c>
      <c r="T1294">
        <f t="shared" si="393"/>
        <v>0</v>
      </c>
      <c r="U1294" t="str">
        <f>IF('906MP'!J994&gt;0,CONCATENATE('906MP'!J994," - ",'906MP'!P994,", ",'906MP'!E994),"nincs megjegyzés")</f>
        <v>nincs megjegyzés</v>
      </c>
      <c r="V1294" t="str">
        <f t="shared" si="380"/>
        <v>0P0</v>
      </c>
      <c r="W1294" t="str">
        <f t="shared" si="381"/>
        <v>0P0</v>
      </c>
      <c r="X1294" t="str">
        <f t="shared" si="382"/>
        <v>P0</v>
      </c>
      <c r="Y1294" t="str">
        <f t="shared" si="383"/>
        <v>00</v>
      </c>
      <c r="Z1294" t="str">
        <f t="shared" si="394"/>
        <v>00</v>
      </c>
      <c r="AA1294" t="str">
        <f t="shared" si="384"/>
        <v>00</v>
      </c>
      <c r="AB1294" t="str">
        <f t="shared" si="385"/>
        <v>00</v>
      </c>
      <c r="AC1294" t="str">
        <f t="shared" si="386"/>
        <v>0P0</v>
      </c>
      <c r="AD1294" t="str">
        <f t="shared" si="387"/>
        <v>P00</v>
      </c>
      <c r="AE1294" t="str">
        <f t="shared" si="388"/>
        <v>0P0</v>
      </c>
      <c r="AF1294" t="str">
        <f t="shared" si="389"/>
        <v>P00</v>
      </c>
      <c r="AG1294" t="str">
        <f t="shared" si="395"/>
        <v>0P00</v>
      </c>
      <c r="AH1294" t="str">
        <f t="shared" si="396"/>
        <v>P000</v>
      </c>
      <c r="AI1294" t="str">
        <f t="shared" si="397"/>
        <v>0P00</v>
      </c>
      <c r="AJ1294" t="str">
        <f t="shared" si="398"/>
        <v>P000</v>
      </c>
    </row>
    <row r="1295" spans="1:36" x14ac:dyDescent="0.25">
      <c r="A1295" s="325" t="str">
        <f>CONCATENATE("P",'906MP'!M995)</f>
        <v>P</v>
      </c>
      <c r="B1295">
        <f>'906MP'!H995</f>
        <v>0</v>
      </c>
      <c r="C1295">
        <f>'906MP'!J995</f>
        <v>0</v>
      </c>
      <c r="D1295">
        <f>'906MP'!P995</f>
        <v>0</v>
      </c>
      <c r="E1295">
        <f>'906MP'!X995</f>
        <v>0</v>
      </c>
      <c r="F1295" t="str">
        <f t="shared" si="390"/>
        <v>0</v>
      </c>
      <c r="G1295" t="str">
        <f t="shared" si="391"/>
        <v>0</v>
      </c>
      <c r="H1295">
        <f>'906MP'!Y995</f>
        <v>0</v>
      </c>
      <c r="I1295">
        <f>'906MP'!AK995</f>
        <v>0</v>
      </c>
      <c r="J1295">
        <f>'906MP'!T995</f>
        <v>0</v>
      </c>
      <c r="K1295">
        <f>'906MP'!AJ995</f>
        <v>0</v>
      </c>
      <c r="L1295">
        <f>'906MP'!U995</f>
        <v>0</v>
      </c>
      <c r="M1295" s="322" t="str">
        <f>IFERROR(VLOOKUP(A1295,PAR!$D$3:$E$53,2,FALSE),"nincs szervezet")</f>
        <v>nincs szervezet</v>
      </c>
      <c r="N1295" s="322" t="str">
        <f>VLOOKUP(F1295,PAR!$R$3:$S$5,2,FALSE)</f>
        <v>3 - egyik sem</v>
      </c>
      <c r="O1295" t="str">
        <f>IFERROR(VLOOKUP(J1295,PAR!$O$3:$P$5,2,FALSE),"nincs feladat")</f>
        <v>nincs feladat</v>
      </c>
      <c r="P1295" t="str">
        <f>IFERROR(VLOOKUP(G1295,PAR!$J$2:$M$19,4),"nincs rovat")</f>
        <v>nincs rovat</v>
      </c>
      <c r="Q1295" t="str">
        <f>IF(H1295&gt;0,VLOOKUP(H1295,PAR!$AA$3:$AC$187,3,FALSE),"nincs főkönyvi számla")</f>
        <v>nincs főkönyvi számla</v>
      </c>
      <c r="R1295" t="str">
        <f>IFERROR(VLOOKUP(K1295,PAR!$V$3:$X$438,3,FALSE),"000000 - Nincs COFOG")</f>
        <v>000000 - Nincs COFOG</v>
      </c>
      <c r="S1295">
        <f t="shared" si="392"/>
        <v>0</v>
      </c>
      <c r="T1295">
        <f t="shared" si="393"/>
        <v>0</v>
      </c>
      <c r="U1295" t="str">
        <f>IF('906MP'!J995&gt;0,CONCATENATE('906MP'!J995," - ",'906MP'!P995,", ",'906MP'!E995),"nincs megjegyzés")</f>
        <v>nincs megjegyzés</v>
      </c>
      <c r="V1295" t="str">
        <f t="shared" si="380"/>
        <v>0P0</v>
      </c>
      <c r="W1295" t="str">
        <f t="shared" si="381"/>
        <v>0P0</v>
      </c>
      <c r="X1295" t="str">
        <f t="shared" si="382"/>
        <v>P0</v>
      </c>
      <c r="Y1295" t="str">
        <f t="shared" si="383"/>
        <v>00</v>
      </c>
      <c r="Z1295" t="str">
        <f t="shared" si="394"/>
        <v>00</v>
      </c>
      <c r="AA1295" t="str">
        <f t="shared" si="384"/>
        <v>00</v>
      </c>
      <c r="AB1295" t="str">
        <f t="shared" si="385"/>
        <v>00</v>
      </c>
      <c r="AC1295" t="str">
        <f t="shared" si="386"/>
        <v>0P0</v>
      </c>
      <c r="AD1295" t="str">
        <f t="shared" si="387"/>
        <v>P00</v>
      </c>
      <c r="AE1295" t="str">
        <f t="shared" si="388"/>
        <v>0P0</v>
      </c>
      <c r="AF1295" t="str">
        <f t="shared" si="389"/>
        <v>P00</v>
      </c>
      <c r="AG1295" t="str">
        <f t="shared" si="395"/>
        <v>0P00</v>
      </c>
      <c r="AH1295" t="str">
        <f t="shared" si="396"/>
        <v>P000</v>
      </c>
      <c r="AI1295" t="str">
        <f t="shared" si="397"/>
        <v>0P00</v>
      </c>
      <c r="AJ1295" t="str">
        <f t="shared" si="398"/>
        <v>P000</v>
      </c>
    </row>
    <row r="1296" spans="1:36" x14ac:dyDescent="0.25">
      <c r="A1296" s="325" t="str">
        <f>CONCATENATE("P",'906MP'!M996)</f>
        <v>P</v>
      </c>
      <c r="B1296">
        <f>'906MP'!H996</f>
        <v>0</v>
      </c>
      <c r="C1296">
        <f>'906MP'!J996</f>
        <v>0</v>
      </c>
      <c r="D1296">
        <f>'906MP'!P996</f>
        <v>0</v>
      </c>
      <c r="E1296">
        <f>'906MP'!X996</f>
        <v>0</v>
      </c>
      <c r="F1296" t="str">
        <f t="shared" si="390"/>
        <v>0</v>
      </c>
      <c r="G1296" t="str">
        <f t="shared" si="391"/>
        <v>0</v>
      </c>
      <c r="H1296">
        <f>'906MP'!Y996</f>
        <v>0</v>
      </c>
      <c r="I1296">
        <f>'906MP'!AK996</f>
        <v>0</v>
      </c>
      <c r="J1296">
        <f>'906MP'!T996</f>
        <v>0</v>
      </c>
      <c r="K1296">
        <f>'906MP'!AJ996</f>
        <v>0</v>
      </c>
      <c r="L1296">
        <f>'906MP'!U996</f>
        <v>0</v>
      </c>
      <c r="M1296" s="322" t="str">
        <f>IFERROR(VLOOKUP(A1296,PAR!$D$3:$E$53,2,FALSE),"nincs szervezet")</f>
        <v>nincs szervezet</v>
      </c>
      <c r="N1296" s="322" t="str">
        <f>VLOOKUP(F1296,PAR!$R$3:$S$5,2,FALSE)</f>
        <v>3 - egyik sem</v>
      </c>
      <c r="O1296" t="str">
        <f>IFERROR(VLOOKUP(J1296,PAR!$O$3:$P$5,2,FALSE),"nincs feladat")</f>
        <v>nincs feladat</v>
      </c>
      <c r="P1296" t="str">
        <f>IFERROR(VLOOKUP(G1296,PAR!$J$2:$M$19,4),"nincs rovat")</f>
        <v>nincs rovat</v>
      </c>
      <c r="Q1296" t="str">
        <f>IF(H1296&gt;0,VLOOKUP(H1296,PAR!$AA$3:$AC$187,3,FALSE),"nincs főkönyvi számla")</f>
        <v>nincs főkönyvi számla</v>
      </c>
      <c r="R1296" t="str">
        <f>IFERROR(VLOOKUP(K1296,PAR!$V$3:$X$438,3,FALSE),"000000 - Nincs COFOG")</f>
        <v>000000 - Nincs COFOG</v>
      </c>
      <c r="S1296">
        <f t="shared" si="392"/>
        <v>0</v>
      </c>
      <c r="T1296">
        <f t="shared" si="393"/>
        <v>0</v>
      </c>
      <c r="U1296" t="str">
        <f>IF('906MP'!J996&gt;0,CONCATENATE('906MP'!J996," - ",'906MP'!P996,", ",'906MP'!E996),"nincs megjegyzés")</f>
        <v>nincs megjegyzés</v>
      </c>
      <c r="V1296" t="str">
        <f t="shared" si="380"/>
        <v>0P0</v>
      </c>
      <c r="W1296" t="str">
        <f t="shared" si="381"/>
        <v>0P0</v>
      </c>
      <c r="X1296" t="str">
        <f t="shared" si="382"/>
        <v>P0</v>
      </c>
      <c r="Y1296" t="str">
        <f t="shared" si="383"/>
        <v>00</v>
      </c>
      <c r="Z1296" t="str">
        <f t="shared" si="394"/>
        <v>00</v>
      </c>
      <c r="AA1296" t="str">
        <f t="shared" si="384"/>
        <v>00</v>
      </c>
      <c r="AB1296" t="str">
        <f t="shared" si="385"/>
        <v>00</v>
      </c>
      <c r="AC1296" t="str">
        <f t="shared" si="386"/>
        <v>0P0</v>
      </c>
      <c r="AD1296" t="str">
        <f t="shared" si="387"/>
        <v>P00</v>
      </c>
      <c r="AE1296" t="str">
        <f t="shared" si="388"/>
        <v>0P0</v>
      </c>
      <c r="AF1296" t="str">
        <f t="shared" si="389"/>
        <v>P00</v>
      </c>
      <c r="AG1296" t="str">
        <f t="shared" si="395"/>
        <v>0P00</v>
      </c>
      <c r="AH1296" t="str">
        <f t="shared" si="396"/>
        <v>P000</v>
      </c>
      <c r="AI1296" t="str">
        <f t="shared" si="397"/>
        <v>0P00</v>
      </c>
      <c r="AJ1296" t="str">
        <f t="shared" si="398"/>
        <v>P000</v>
      </c>
    </row>
    <row r="1297" spans="1:36" x14ac:dyDescent="0.25">
      <c r="A1297" s="325" t="str">
        <f>CONCATENATE("P",'906MP'!M997)</f>
        <v>P</v>
      </c>
      <c r="B1297">
        <f>'906MP'!H997</f>
        <v>0</v>
      </c>
      <c r="C1297">
        <f>'906MP'!J997</f>
        <v>0</v>
      </c>
      <c r="D1297">
        <f>'906MP'!P997</f>
        <v>0</v>
      </c>
      <c r="E1297">
        <f>'906MP'!X997</f>
        <v>0</v>
      </c>
      <c r="F1297" t="str">
        <f t="shared" si="390"/>
        <v>0</v>
      </c>
      <c r="G1297" t="str">
        <f t="shared" si="391"/>
        <v>0</v>
      </c>
      <c r="H1297">
        <f>'906MP'!Y997</f>
        <v>0</v>
      </c>
      <c r="I1297">
        <f>'906MP'!AK997</f>
        <v>0</v>
      </c>
      <c r="J1297">
        <f>'906MP'!T997</f>
        <v>0</v>
      </c>
      <c r="K1297">
        <f>'906MP'!AJ997</f>
        <v>0</v>
      </c>
      <c r="L1297">
        <f>'906MP'!U997</f>
        <v>0</v>
      </c>
      <c r="M1297" s="322" t="str">
        <f>IFERROR(VLOOKUP(A1297,PAR!$D$3:$E$53,2,FALSE),"nincs szervezet")</f>
        <v>nincs szervezet</v>
      </c>
      <c r="N1297" s="322" t="str">
        <f>VLOOKUP(F1297,PAR!$R$3:$S$5,2,FALSE)</f>
        <v>3 - egyik sem</v>
      </c>
      <c r="O1297" t="str">
        <f>IFERROR(VLOOKUP(J1297,PAR!$O$3:$P$5,2,FALSE),"nincs feladat")</f>
        <v>nincs feladat</v>
      </c>
      <c r="P1297" t="str">
        <f>IFERROR(VLOOKUP(G1297,PAR!$J$2:$M$19,4),"nincs rovat")</f>
        <v>nincs rovat</v>
      </c>
      <c r="Q1297" t="str">
        <f>IF(H1297&gt;0,VLOOKUP(H1297,PAR!$AA$3:$AC$187,3,FALSE),"nincs főkönyvi számla")</f>
        <v>nincs főkönyvi számla</v>
      </c>
      <c r="R1297" t="str">
        <f>IFERROR(VLOOKUP(K1297,PAR!$V$3:$X$438,3,FALSE),"000000 - Nincs COFOG")</f>
        <v>000000 - Nincs COFOG</v>
      </c>
      <c r="S1297">
        <f t="shared" si="392"/>
        <v>0</v>
      </c>
      <c r="T1297">
        <f t="shared" si="393"/>
        <v>0</v>
      </c>
      <c r="U1297" t="str">
        <f>IF('906MP'!J997&gt;0,CONCATENATE('906MP'!J997," - ",'906MP'!P997,", ",'906MP'!E997),"nincs megjegyzés")</f>
        <v>nincs megjegyzés</v>
      </c>
      <c r="V1297" t="str">
        <f t="shared" si="380"/>
        <v>0P0</v>
      </c>
      <c r="W1297" t="str">
        <f t="shared" si="381"/>
        <v>0P0</v>
      </c>
      <c r="X1297" t="str">
        <f t="shared" si="382"/>
        <v>P0</v>
      </c>
      <c r="Y1297" t="str">
        <f t="shared" si="383"/>
        <v>00</v>
      </c>
      <c r="Z1297" t="str">
        <f t="shared" si="394"/>
        <v>00</v>
      </c>
      <c r="AA1297" t="str">
        <f t="shared" si="384"/>
        <v>00</v>
      </c>
      <c r="AB1297" t="str">
        <f t="shared" si="385"/>
        <v>00</v>
      </c>
      <c r="AC1297" t="str">
        <f t="shared" si="386"/>
        <v>0P0</v>
      </c>
      <c r="AD1297" t="str">
        <f t="shared" si="387"/>
        <v>P00</v>
      </c>
      <c r="AE1297" t="str">
        <f t="shared" si="388"/>
        <v>0P0</v>
      </c>
      <c r="AF1297" t="str">
        <f t="shared" si="389"/>
        <v>P00</v>
      </c>
      <c r="AG1297" t="str">
        <f t="shared" si="395"/>
        <v>0P00</v>
      </c>
      <c r="AH1297" t="str">
        <f t="shared" si="396"/>
        <v>P000</v>
      </c>
      <c r="AI1297" t="str">
        <f t="shared" si="397"/>
        <v>0P00</v>
      </c>
      <c r="AJ1297" t="str">
        <f t="shared" si="398"/>
        <v>P000</v>
      </c>
    </row>
    <row r="1298" spans="1:36" x14ac:dyDescent="0.25">
      <c r="A1298" s="325" t="str">
        <f>CONCATENATE("P",'906MP'!M998)</f>
        <v>P</v>
      </c>
      <c r="B1298">
        <f>'906MP'!H998</f>
        <v>0</v>
      </c>
      <c r="C1298">
        <f>'906MP'!J998</f>
        <v>0</v>
      </c>
      <c r="D1298">
        <f>'906MP'!P998</f>
        <v>0</v>
      </c>
      <c r="E1298">
        <f>'906MP'!X998</f>
        <v>0</v>
      </c>
      <c r="F1298" t="str">
        <f t="shared" si="390"/>
        <v>0</v>
      </c>
      <c r="G1298" t="str">
        <f t="shared" si="391"/>
        <v>0</v>
      </c>
      <c r="H1298">
        <f>'906MP'!Y998</f>
        <v>0</v>
      </c>
      <c r="I1298">
        <f>'906MP'!AK998</f>
        <v>0</v>
      </c>
      <c r="J1298">
        <f>'906MP'!T998</f>
        <v>0</v>
      </c>
      <c r="K1298">
        <f>'906MP'!AJ998</f>
        <v>0</v>
      </c>
      <c r="L1298">
        <f>'906MP'!U998</f>
        <v>0</v>
      </c>
      <c r="M1298" s="322" t="str">
        <f>IFERROR(VLOOKUP(A1298,PAR!$D$3:$E$53,2,FALSE),"nincs szervezet")</f>
        <v>nincs szervezet</v>
      </c>
      <c r="N1298" s="322" t="str">
        <f>VLOOKUP(F1298,PAR!$R$3:$S$5,2,FALSE)</f>
        <v>3 - egyik sem</v>
      </c>
      <c r="O1298" t="str">
        <f>IFERROR(VLOOKUP(J1298,PAR!$O$3:$P$5,2,FALSE),"nincs feladat")</f>
        <v>nincs feladat</v>
      </c>
      <c r="P1298" t="str">
        <f>IFERROR(VLOOKUP(G1298,PAR!$J$2:$M$19,4),"nincs rovat")</f>
        <v>nincs rovat</v>
      </c>
      <c r="Q1298" t="str">
        <f>IF(H1298&gt;0,VLOOKUP(H1298,PAR!$AA$3:$AC$187,3,FALSE),"nincs főkönyvi számla")</f>
        <v>nincs főkönyvi számla</v>
      </c>
      <c r="R1298" t="str">
        <f>IFERROR(VLOOKUP(K1298,PAR!$V$3:$X$438,3,FALSE),"000000 - Nincs COFOG")</f>
        <v>000000 - Nincs COFOG</v>
      </c>
      <c r="S1298">
        <f t="shared" si="392"/>
        <v>0</v>
      </c>
      <c r="T1298">
        <f t="shared" si="393"/>
        <v>0</v>
      </c>
      <c r="U1298" t="str">
        <f>IF('906MP'!J998&gt;0,CONCATENATE('906MP'!J998," - ",'906MP'!P998,", ",'906MP'!E998),"nincs megjegyzés")</f>
        <v>nincs megjegyzés</v>
      </c>
      <c r="V1298" t="str">
        <f t="shared" si="380"/>
        <v>0P0</v>
      </c>
      <c r="W1298" t="str">
        <f t="shared" si="381"/>
        <v>0P0</v>
      </c>
      <c r="X1298" t="str">
        <f t="shared" si="382"/>
        <v>P0</v>
      </c>
      <c r="Y1298" t="str">
        <f t="shared" si="383"/>
        <v>00</v>
      </c>
      <c r="Z1298" t="str">
        <f t="shared" si="394"/>
        <v>00</v>
      </c>
      <c r="AA1298" t="str">
        <f t="shared" si="384"/>
        <v>00</v>
      </c>
      <c r="AB1298" t="str">
        <f t="shared" si="385"/>
        <v>00</v>
      </c>
      <c r="AC1298" t="str">
        <f t="shared" si="386"/>
        <v>0P0</v>
      </c>
      <c r="AD1298" t="str">
        <f t="shared" si="387"/>
        <v>P00</v>
      </c>
      <c r="AE1298" t="str">
        <f t="shared" si="388"/>
        <v>0P0</v>
      </c>
      <c r="AF1298" t="str">
        <f t="shared" si="389"/>
        <v>P00</v>
      </c>
      <c r="AG1298" t="str">
        <f t="shared" si="395"/>
        <v>0P00</v>
      </c>
      <c r="AH1298" t="str">
        <f t="shared" si="396"/>
        <v>P000</v>
      </c>
      <c r="AI1298" t="str">
        <f t="shared" si="397"/>
        <v>0P00</v>
      </c>
      <c r="AJ1298" t="str">
        <f t="shared" si="398"/>
        <v>P000</v>
      </c>
    </row>
    <row r="1299" spans="1:36" x14ac:dyDescent="0.25">
      <c r="A1299" s="325" t="str">
        <f>CONCATENATE("P",'906MP'!M999)</f>
        <v>P</v>
      </c>
      <c r="B1299">
        <f>'906MP'!H999</f>
        <v>0</v>
      </c>
      <c r="C1299">
        <f>'906MP'!J999</f>
        <v>0</v>
      </c>
      <c r="D1299">
        <f>'906MP'!P999</f>
        <v>0</v>
      </c>
      <c r="E1299">
        <f>'906MP'!X999</f>
        <v>0</v>
      </c>
      <c r="F1299" t="str">
        <f t="shared" si="390"/>
        <v>0</v>
      </c>
      <c r="G1299" t="str">
        <f t="shared" si="391"/>
        <v>0</v>
      </c>
      <c r="H1299">
        <f>'906MP'!Y999</f>
        <v>0</v>
      </c>
      <c r="I1299">
        <f>'906MP'!AK999</f>
        <v>0</v>
      </c>
      <c r="J1299">
        <f>'906MP'!T999</f>
        <v>0</v>
      </c>
      <c r="K1299">
        <f>'906MP'!AJ999</f>
        <v>0</v>
      </c>
      <c r="L1299">
        <f>'906MP'!U999</f>
        <v>0</v>
      </c>
      <c r="M1299" s="322" t="str">
        <f>IFERROR(VLOOKUP(A1299,PAR!$D$3:$E$53,2,FALSE),"nincs szervezet")</f>
        <v>nincs szervezet</v>
      </c>
      <c r="N1299" s="322" t="str">
        <f>VLOOKUP(F1299,PAR!$R$3:$S$5,2,FALSE)</f>
        <v>3 - egyik sem</v>
      </c>
      <c r="O1299" t="str">
        <f>IFERROR(VLOOKUP(J1299,PAR!$O$3:$P$5,2,FALSE),"nincs feladat")</f>
        <v>nincs feladat</v>
      </c>
      <c r="P1299" t="str">
        <f>IFERROR(VLOOKUP(G1299,PAR!$J$2:$M$19,4),"nincs rovat")</f>
        <v>nincs rovat</v>
      </c>
      <c r="Q1299" t="str">
        <f>IF(H1299&gt;0,VLOOKUP(H1299,PAR!$AA$3:$AC$187,3,FALSE),"nincs főkönyvi számla")</f>
        <v>nincs főkönyvi számla</v>
      </c>
      <c r="R1299" t="str">
        <f>IFERROR(VLOOKUP(K1299,PAR!$V$3:$X$438,3,FALSE),"000000 - Nincs COFOG")</f>
        <v>000000 - Nincs COFOG</v>
      </c>
      <c r="S1299">
        <f t="shared" si="392"/>
        <v>0</v>
      </c>
      <c r="T1299">
        <f t="shared" si="393"/>
        <v>0</v>
      </c>
      <c r="U1299" t="str">
        <f>IF('906MP'!J999&gt;0,CONCATENATE('906MP'!J999," - ",'906MP'!P999,", ",'906MP'!E999),"nincs megjegyzés")</f>
        <v>nincs megjegyzés</v>
      </c>
      <c r="V1299" t="str">
        <f t="shared" si="380"/>
        <v>0P0</v>
      </c>
      <c r="W1299" t="str">
        <f t="shared" si="381"/>
        <v>0P0</v>
      </c>
      <c r="X1299" t="str">
        <f t="shared" si="382"/>
        <v>P0</v>
      </c>
      <c r="Y1299" t="str">
        <f t="shared" si="383"/>
        <v>00</v>
      </c>
      <c r="Z1299" t="str">
        <f t="shared" si="394"/>
        <v>00</v>
      </c>
      <c r="AA1299" t="str">
        <f t="shared" si="384"/>
        <v>00</v>
      </c>
      <c r="AB1299" t="str">
        <f t="shared" si="385"/>
        <v>00</v>
      </c>
      <c r="AC1299" t="str">
        <f t="shared" si="386"/>
        <v>0P0</v>
      </c>
      <c r="AD1299" t="str">
        <f t="shared" si="387"/>
        <v>P00</v>
      </c>
      <c r="AE1299" t="str">
        <f t="shared" si="388"/>
        <v>0P0</v>
      </c>
      <c r="AF1299" t="str">
        <f t="shared" si="389"/>
        <v>P00</v>
      </c>
      <c r="AG1299" t="str">
        <f t="shared" si="395"/>
        <v>0P00</v>
      </c>
      <c r="AH1299" t="str">
        <f t="shared" si="396"/>
        <v>P000</v>
      </c>
      <c r="AI1299" t="str">
        <f t="shared" si="397"/>
        <v>0P00</v>
      </c>
      <c r="AJ1299" t="str">
        <f t="shared" si="398"/>
        <v>P000</v>
      </c>
    </row>
    <row r="1300" spans="1:36" x14ac:dyDescent="0.25">
      <c r="A1300" s="325" t="str">
        <f>CONCATENATE("P",'906MP'!M1000)</f>
        <v>P</v>
      </c>
      <c r="B1300">
        <f>'906MP'!H1000</f>
        <v>0</v>
      </c>
      <c r="C1300">
        <f>'906MP'!J1000</f>
        <v>0</v>
      </c>
      <c r="D1300">
        <f>'906MP'!P1000</f>
        <v>0</v>
      </c>
      <c r="E1300">
        <f>'906MP'!X1000</f>
        <v>0</v>
      </c>
      <c r="F1300" t="str">
        <f t="shared" si="390"/>
        <v>0</v>
      </c>
      <c r="G1300" t="str">
        <f t="shared" si="391"/>
        <v>0</v>
      </c>
      <c r="H1300">
        <f>'906MP'!Y1000</f>
        <v>0</v>
      </c>
      <c r="I1300">
        <f>'906MP'!AK1000</f>
        <v>0</v>
      </c>
      <c r="J1300">
        <f>'906MP'!T1000</f>
        <v>0</v>
      </c>
      <c r="K1300">
        <f>'906MP'!AJ1000</f>
        <v>0</v>
      </c>
      <c r="L1300">
        <f>'906MP'!U1000</f>
        <v>0</v>
      </c>
      <c r="M1300" s="322" t="str">
        <f>IFERROR(VLOOKUP(A1300,PAR!$D$3:$E$53,2,FALSE),"nincs szervezet")</f>
        <v>nincs szervezet</v>
      </c>
      <c r="N1300" s="322" t="str">
        <f>VLOOKUP(F1300,PAR!$R$3:$S$5,2,FALSE)</f>
        <v>3 - egyik sem</v>
      </c>
      <c r="O1300" t="str">
        <f>IFERROR(VLOOKUP(J1300,PAR!$O$3:$P$5,2,FALSE),"nincs feladat")</f>
        <v>nincs feladat</v>
      </c>
      <c r="P1300" t="str">
        <f>IFERROR(VLOOKUP(G1300,PAR!$J$2:$M$19,4),"nincs rovat")</f>
        <v>nincs rovat</v>
      </c>
      <c r="Q1300" t="str">
        <f>IF(H1300&gt;0,VLOOKUP(H1300,PAR!$AA$3:$AC$187,3,FALSE),"nincs főkönyvi számla")</f>
        <v>nincs főkönyvi számla</v>
      </c>
      <c r="R1300" t="str">
        <f>IFERROR(VLOOKUP(K1300,PAR!$V$3:$X$438,3,FALSE),"000000 - Nincs COFOG")</f>
        <v>000000 - Nincs COFOG</v>
      </c>
      <c r="S1300">
        <f t="shared" si="392"/>
        <v>0</v>
      </c>
      <c r="T1300">
        <f t="shared" si="393"/>
        <v>0</v>
      </c>
      <c r="U1300" t="str">
        <f>IF('906MP'!J1000&gt;0,CONCATENATE('906MP'!J1000," - ",'906MP'!P1000,", ",'906MP'!E1000),"nincs megjegyzés")</f>
        <v>nincs megjegyzés</v>
      </c>
      <c r="V1300" t="str">
        <f t="shared" si="380"/>
        <v>0P0</v>
      </c>
      <c r="W1300" t="str">
        <f t="shared" si="381"/>
        <v>0P0</v>
      </c>
      <c r="X1300" t="str">
        <f t="shared" si="382"/>
        <v>P0</v>
      </c>
      <c r="Y1300" t="str">
        <f t="shared" si="383"/>
        <v>00</v>
      </c>
      <c r="Z1300" t="str">
        <f t="shared" si="394"/>
        <v>00</v>
      </c>
      <c r="AA1300" t="str">
        <f t="shared" si="384"/>
        <v>00</v>
      </c>
      <c r="AB1300" t="str">
        <f t="shared" si="385"/>
        <v>00</v>
      </c>
      <c r="AC1300" t="str">
        <f t="shared" si="386"/>
        <v>0P0</v>
      </c>
      <c r="AD1300" t="str">
        <f t="shared" si="387"/>
        <v>P00</v>
      </c>
      <c r="AE1300" t="str">
        <f t="shared" si="388"/>
        <v>0P0</v>
      </c>
      <c r="AF1300" t="str">
        <f t="shared" si="389"/>
        <v>P00</v>
      </c>
      <c r="AG1300" t="str">
        <f t="shared" si="395"/>
        <v>0P00</v>
      </c>
      <c r="AH1300" t="str">
        <f t="shared" si="396"/>
        <v>P000</v>
      </c>
      <c r="AI1300" t="str">
        <f t="shared" si="397"/>
        <v>0P00</v>
      </c>
      <c r="AJ1300" t="str">
        <f t="shared" si="398"/>
        <v>P000</v>
      </c>
    </row>
    <row r="1301" spans="1:36" x14ac:dyDescent="0.25">
      <c r="A1301" s="325" t="str">
        <f>CONCATENATE("P",'906MP'!M1001)</f>
        <v>P</v>
      </c>
      <c r="B1301">
        <f>'906MP'!H1001</f>
        <v>0</v>
      </c>
      <c r="C1301">
        <f>'906MP'!J1001</f>
        <v>0</v>
      </c>
      <c r="D1301">
        <f>'906MP'!P1001</f>
        <v>0</v>
      </c>
      <c r="E1301">
        <f>'906MP'!X1001</f>
        <v>0</v>
      </c>
      <c r="F1301" t="str">
        <f t="shared" si="390"/>
        <v>0</v>
      </c>
      <c r="G1301" t="str">
        <f t="shared" si="391"/>
        <v>0</v>
      </c>
      <c r="H1301">
        <f>'906MP'!Y1001</f>
        <v>0</v>
      </c>
      <c r="I1301">
        <f>'906MP'!AK1001</f>
        <v>0</v>
      </c>
      <c r="J1301">
        <f>'906MP'!T1001</f>
        <v>0</v>
      </c>
      <c r="K1301">
        <f>'906MP'!AJ1001</f>
        <v>0</v>
      </c>
      <c r="L1301">
        <f>'906MP'!U1001</f>
        <v>0</v>
      </c>
      <c r="M1301" s="322" t="str">
        <f>IFERROR(VLOOKUP(A1301,PAR!$D$3:$E$53,2,FALSE),"nincs szervezet")</f>
        <v>nincs szervezet</v>
      </c>
      <c r="N1301" s="322" t="str">
        <f>VLOOKUP(F1301,PAR!$R$3:$S$5,2,FALSE)</f>
        <v>3 - egyik sem</v>
      </c>
      <c r="O1301" t="str">
        <f>IFERROR(VLOOKUP(J1301,PAR!$O$3:$P$5,2,FALSE),"nincs feladat")</f>
        <v>nincs feladat</v>
      </c>
      <c r="P1301" t="str">
        <f>IFERROR(VLOOKUP(G1301,PAR!$J$2:$M$19,4),"nincs rovat")</f>
        <v>nincs rovat</v>
      </c>
      <c r="Q1301" t="str">
        <f>IF(H1301&gt;0,VLOOKUP(H1301,PAR!$AA$3:$AC$187,3,FALSE),"nincs főkönyvi számla")</f>
        <v>nincs főkönyvi számla</v>
      </c>
      <c r="R1301" t="str">
        <f>IFERROR(VLOOKUP(K1301,PAR!$V$3:$X$438,3,FALSE),"000000 - Nincs COFOG")</f>
        <v>000000 - Nincs COFOG</v>
      </c>
      <c r="S1301">
        <f t="shared" si="392"/>
        <v>0</v>
      </c>
      <c r="T1301">
        <f t="shared" si="393"/>
        <v>0</v>
      </c>
      <c r="U1301" t="str">
        <f>IF('906MP'!J1001&gt;0,CONCATENATE('906MP'!J1001," - ",'906MP'!P1001,", ",'906MP'!E1001),"nincs megjegyzés")</f>
        <v>nincs megjegyzés</v>
      </c>
      <c r="V1301" t="str">
        <f t="shared" si="380"/>
        <v>0P0</v>
      </c>
      <c r="W1301" t="str">
        <f t="shared" si="381"/>
        <v>0P0</v>
      </c>
      <c r="X1301" t="str">
        <f t="shared" si="382"/>
        <v>P0</v>
      </c>
      <c r="Y1301" t="str">
        <f t="shared" si="383"/>
        <v>00</v>
      </c>
      <c r="Z1301" t="str">
        <f t="shared" si="394"/>
        <v>00</v>
      </c>
      <c r="AA1301" t="str">
        <f t="shared" si="384"/>
        <v>00</v>
      </c>
      <c r="AB1301" t="str">
        <f t="shared" si="385"/>
        <v>00</v>
      </c>
      <c r="AC1301" t="str">
        <f t="shared" si="386"/>
        <v>0P0</v>
      </c>
      <c r="AD1301" t="str">
        <f t="shared" si="387"/>
        <v>P00</v>
      </c>
      <c r="AE1301" t="str">
        <f t="shared" si="388"/>
        <v>0P0</v>
      </c>
      <c r="AF1301" t="str">
        <f t="shared" si="389"/>
        <v>P00</v>
      </c>
      <c r="AG1301" t="str">
        <f t="shared" si="395"/>
        <v>0P00</v>
      </c>
      <c r="AH1301" t="str">
        <f t="shared" si="396"/>
        <v>P000</v>
      </c>
      <c r="AI1301" t="str">
        <f t="shared" si="397"/>
        <v>0P00</v>
      </c>
      <c r="AJ1301" t="str">
        <f t="shared" si="398"/>
        <v>P000</v>
      </c>
    </row>
    <row r="1302" spans="1:36" x14ac:dyDescent="0.25">
      <c r="A1302" s="325" t="str">
        <f>CONCATENATE("P",'906MP'!M1002)</f>
        <v>P</v>
      </c>
      <c r="B1302">
        <f>'906MP'!H1002</f>
        <v>0</v>
      </c>
      <c r="C1302">
        <f>'906MP'!J1002</f>
        <v>0</v>
      </c>
      <c r="D1302">
        <f>'906MP'!P1002</f>
        <v>0</v>
      </c>
      <c r="E1302">
        <f>'906MP'!X1002</f>
        <v>0</v>
      </c>
      <c r="F1302" t="str">
        <f t="shared" si="390"/>
        <v>0</v>
      </c>
      <c r="G1302" t="str">
        <f t="shared" si="391"/>
        <v>0</v>
      </c>
      <c r="H1302">
        <f>'906MP'!Y1002</f>
        <v>0</v>
      </c>
      <c r="I1302">
        <f>'906MP'!AK1002</f>
        <v>0</v>
      </c>
      <c r="J1302">
        <f>'906MP'!T1002</f>
        <v>0</v>
      </c>
      <c r="K1302">
        <f>'906MP'!AJ1002</f>
        <v>0</v>
      </c>
      <c r="L1302">
        <f>'906MP'!U1002</f>
        <v>0</v>
      </c>
      <c r="M1302" s="322" t="str">
        <f>IFERROR(VLOOKUP(A1302,PAR!$D$3:$E$53,2,FALSE),"nincs szervezet")</f>
        <v>nincs szervezet</v>
      </c>
      <c r="N1302" s="322" t="str">
        <f>VLOOKUP(F1302,PAR!$R$3:$S$5,2,FALSE)</f>
        <v>3 - egyik sem</v>
      </c>
      <c r="O1302" t="str">
        <f>IFERROR(VLOOKUP(J1302,PAR!$O$3:$P$5,2,FALSE),"nincs feladat")</f>
        <v>nincs feladat</v>
      </c>
      <c r="P1302" t="str">
        <f>IFERROR(VLOOKUP(G1302,PAR!$J$2:$M$19,4),"nincs rovat")</f>
        <v>nincs rovat</v>
      </c>
      <c r="Q1302" t="str">
        <f>IF(H1302&gt;0,VLOOKUP(H1302,PAR!$AA$3:$AC$187,3,FALSE),"nincs főkönyvi számla")</f>
        <v>nincs főkönyvi számla</v>
      </c>
      <c r="R1302" t="str">
        <f>IFERROR(VLOOKUP(K1302,PAR!$V$3:$X$438,3,FALSE),"000000 - Nincs COFOG")</f>
        <v>000000 - Nincs COFOG</v>
      </c>
      <c r="S1302">
        <f t="shared" si="392"/>
        <v>0</v>
      </c>
      <c r="T1302">
        <f t="shared" si="393"/>
        <v>0</v>
      </c>
      <c r="U1302" t="str">
        <f>IF('906MP'!J1002&gt;0,CONCATENATE('906MP'!J1002," - ",'906MP'!P1002,", ",'906MP'!E1002),"nincs megjegyzés")</f>
        <v>nincs megjegyzés</v>
      </c>
      <c r="V1302" t="str">
        <f t="shared" si="380"/>
        <v>0P0</v>
      </c>
      <c r="W1302" t="str">
        <f t="shared" si="381"/>
        <v>0P0</v>
      </c>
      <c r="X1302" t="str">
        <f t="shared" si="382"/>
        <v>P0</v>
      </c>
      <c r="Y1302" t="str">
        <f t="shared" si="383"/>
        <v>00</v>
      </c>
      <c r="Z1302" t="str">
        <f t="shared" si="394"/>
        <v>00</v>
      </c>
      <c r="AA1302" t="str">
        <f t="shared" si="384"/>
        <v>00</v>
      </c>
      <c r="AB1302" t="str">
        <f t="shared" si="385"/>
        <v>00</v>
      </c>
      <c r="AC1302" t="str">
        <f t="shared" si="386"/>
        <v>0P0</v>
      </c>
      <c r="AD1302" t="str">
        <f t="shared" si="387"/>
        <v>P00</v>
      </c>
      <c r="AE1302" t="str">
        <f t="shared" si="388"/>
        <v>0P0</v>
      </c>
      <c r="AF1302" t="str">
        <f t="shared" si="389"/>
        <v>P00</v>
      </c>
      <c r="AG1302" t="str">
        <f t="shared" si="395"/>
        <v>0P00</v>
      </c>
      <c r="AH1302" t="str">
        <f t="shared" si="396"/>
        <v>P000</v>
      </c>
      <c r="AI1302" t="str">
        <f t="shared" si="397"/>
        <v>0P00</v>
      </c>
      <c r="AJ1302" t="str">
        <f t="shared" si="398"/>
        <v>P000</v>
      </c>
    </row>
    <row r="1303" spans="1:36" x14ac:dyDescent="0.25">
      <c r="A1303" s="325" t="str">
        <f>CONCATENATE("P",'906MP'!M1003)</f>
        <v>P</v>
      </c>
      <c r="B1303">
        <f>'906MP'!H1003</f>
        <v>0</v>
      </c>
      <c r="C1303">
        <f>'906MP'!J1003</f>
        <v>0</v>
      </c>
      <c r="D1303">
        <f>'906MP'!P1003</f>
        <v>0</v>
      </c>
      <c r="E1303">
        <f>'906MP'!X1003</f>
        <v>0</v>
      </c>
      <c r="F1303" t="str">
        <f t="shared" si="390"/>
        <v>0</v>
      </c>
      <c r="G1303" t="str">
        <f t="shared" si="391"/>
        <v>0</v>
      </c>
      <c r="H1303">
        <f>'906MP'!Y1003</f>
        <v>0</v>
      </c>
      <c r="I1303">
        <f>'906MP'!AK1003</f>
        <v>0</v>
      </c>
      <c r="J1303">
        <f>'906MP'!T1003</f>
        <v>0</v>
      </c>
      <c r="K1303">
        <f>'906MP'!AJ1003</f>
        <v>0</v>
      </c>
      <c r="L1303">
        <f>'906MP'!U1003</f>
        <v>0</v>
      </c>
      <c r="M1303" s="322" t="str">
        <f>IFERROR(VLOOKUP(A1303,PAR!$D$3:$E$53,2,FALSE),"nincs szervezet")</f>
        <v>nincs szervezet</v>
      </c>
      <c r="N1303" s="322" t="str">
        <f>VLOOKUP(F1303,PAR!$R$3:$S$5,2,FALSE)</f>
        <v>3 - egyik sem</v>
      </c>
      <c r="O1303" t="str">
        <f>IFERROR(VLOOKUP(J1303,PAR!$O$3:$P$5,2,FALSE),"nincs feladat")</f>
        <v>nincs feladat</v>
      </c>
      <c r="P1303" t="str">
        <f>IFERROR(VLOOKUP(G1303,PAR!$J$2:$M$19,4),"nincs rovat")</f>
        <v>nincs rovat</v>
      </c>
      <c r="Q1303" t="str">
        <f>IF(H1303&gt;0,VLOOKUP(H1303,PAR!$AA$3:$AC$187,3,FALSE),"nincs főkönyvi számla")</f>
        <v>nincs főkönyvi számla</v>
      </c>
      <c r="R1303" t="str">
        <f>IFERROR(VLOOKUP(K1303,PAR!$V$3:$X$438,3,FALSE),"000000 - Nincs COFOG")</f>
        <v>000000 - Nincs COFOG</v>
      </c>
      <c r="S1303">
        <f t="shared" si="392"/>
        <v>0</v>
      </c>
      <c r="T1303">
        <f t="shared" si="393"/>
        <v>0</v>
      </c>
      <c r="U1303" t="str">
        <f>IF('906MP'!J1003&gt;0,CONCATENATE('906MP'!J1003," - ",'906MP'!P1003,", ",'906MP'!E1003),"nincs megjegyzés")</f>
        <v>nincs megjegyzés</v>
      </c>
      <c r="V1303" t="str">
        <f t="shared" si="380"/>
        <v>0P0</v>
      </c>
      <c r="W1303" t="str">
        <f t="shared" si="381"/>
        <v>0P0</v>
      </c>
      <c r="X1303" t="str">
        <f t="shared" si="382"/>
        <v>P0</v>
      </c>
      <c r="Y1303" t="str">
        <f t="shared" si="383"/>
        <v>00</v>
      </c>
      <c r="Z1303" t="str">
        <f t="shared" si="394"/>
        <v>00</v>
      </c>
      <c r="AA1303" t="str">
        <f t="shared" si="384"/>
        <v>00</v>
      </c>
      <c r="AB1303" t="str">
        <f t="shared" si="385"/>
        <v>00</v>
      </c>
      <c r="AC1303" t="str">
        <f t="shared" si="386"/>
        <v>0P0</v>
      </c>
      <c r="AD1303" t="str">
        <f t="shared" si="387"/>
        <v>P00</v>
      </c>
      <c r="AE1303" t="str">
        <f t="shared" si="388"/>
        <v>0P0</v>
      </c>
      <c r="AF1303" t="str">
        <f t="shared" si="389"/>
        <v>P00</v>
      </c>
      <c r="AG1303" t="str">
        <f t="shared" si="395"/>
        <v>0P00</v>
      </c>
      <c r="AH1303" t="str">
        <f t="shared" si="396"/>
        <v>P000</v>
      </c>
      <c r="AI1303" t="str">
        <f t="shared" si="397"/>
        <v>0P00</v>
      </c>
      <c r="AJ1303" t="str">
        <f t="shared" si="398"/>
        <v>P000</v>
      </c>
    </row>
    <row r="1304" spans="1:36" x14ac:dyDescent="0.25">
      <c r="A1304" s="325" t="str">
        <f>CONCATENATE("P",'906MP'!M1004)</f>
        <v>P</v>
      </c>
      <c r="B1304">
        <f>'906MP'!H1004</f>
        <v>0</v>
      </c>
      <c r="C1304">
        <f>'906MP'!J1004</f>
        <v>0</v>
      </c>
      <c r="D1304">
        <f>'906MP'!P1004</f>
        <v>0</v>
      </c>
      <c r="E1304">
        <f>'906MP'!X1004</f>
        <v>0</v>
      </c>
      <c r="F1304" t="str">
        <f t="shared" si="390"/>
        <v>0</v>
      </c>
      <c r="G1304" t="str">
        <f t="shared" si="391"/>
        <v>0</v>
      </c>
      <c r="H1304">
        <f>'906MP'!Y1004</f>
        <v>0</v>
      </c>
      <c r="I1304">
        <f>'906MP'!AK1004</f>
        <v>0</v>
      </c>
      <c r="J1304">
        <f>'906MP'!T1004</f>
        <v>0</v>
      </c>
      <c r="K1304">
        <f>'906MP'!AJ1004</f>
        <v>0</v>
      </c>
      <c r="L1304">
        <f>'906MP'!U1004</f>
        <v>0</v>
      </c>
      <c r="M1304" s="322" t="str">
        <f>IFERROR(VLOOKUP(A1304,PAR!$D$3:$E$53,2,FALSE),"nincs szervezet")</f>
        <v>nincs szervezet</v>
      </c>
      <c r="N1304" s="322" t="str">
        <f>VLOOKUP(F1304,PAR!$R$3:$S$5,2,FALSE)</f>
        <v>3 - egyik sem</v>
      </c>
      <c r="O1304" t="str">
        <f>IFERROR(VLOOKUP(J1304,PAR!$O$3:$P$5,2,FALSE),"nincs feladat")</f>
        <v>nincs feladat</v>
      </c>
      <c r="P1304" t="str">
        <f>IFERROR(VLOOKUP(G1304,PAR!$J$2:$M$19,4),"nincs rovat")</f>
        <v>nincs rovat</v>
      </c>
      <c r="Q1304" t="str">
        <f>IF(H1304&gt;0,VLOOKUP(H1304,PAR!$AA$3:$AC$187,3,FALSE),"nincs főkönyvi számla")</f>
        <v>nincs főkönyvi számla</v>
      </c>
      <c r="R1304" t="str">
        <f>IFERROR(VLOOKUP(K1304,PAR!$V$3:$X$438,3,FALSE),"000000 - Nincs COFOG")</f>
        <v>000000 - Nincs COFOG</v>
      </c>
      <c r="S1304">
        <f t="shared" si="392"/>
        <v>0</v>
      </c>
      <c r="T1304">
        <f t="shared" si="393"/>
        <v>0</v>
      </c>
      <c r="U1304" t="str">
        <f>IF('906MP'!J1004&gt;0,CONCATENATE('906MP'!J1004," - ",'906MP'!P1004,", ",'906MP'!E1004),"nincs megjegyzés")</f>
        <v>nincs megjegyzés</v>
      </c>
      <c r="V1304" t="str">
        <f t="shared" si="380"/>
        <v>0P0</v>
      </c>
      <c r="W1304" t="str">
        <f t="shared" si="381"/>
        <v>0P0</v>
      </c>
      <c r="X1304" t="str">
        <f t="shared" si="382"/>
        <v>P0</v>
      </c>
      <c r="Y1304" t="str">
        <f t="shared" si="383"/>
        <v>00</v>
      </c>
      <c r="Z1304" t="str">
        <f t="shared" si="394"/>
        <v>00</v>
      </c>
      <c r="AA1304" t="str">
        <f t="shared" si="384"/>
        <v>00</v>
      </c>
      <c r="AB1304" t="str">
        <f t="shared" si="385"/>
        <v>00</v>
      </c>
      <c r="AC1304" t="str">
        <f t="shared" si="386"/>
        <v>0P0</v>
      </c>
      <c r="AD1304" t="str">
        <f t="shared" si="387"/>
        <v>P00</v>
      </c>
      <c r="AE1304" t="str">
        <f t="shared" si="388"/>
        <v>0P0</v>
      </c>
      <c r="AF1304" t="str">
        <f t="shared" si="389"/>
        <v>P00</v>
      </c>
      <c r="AG1304" t="str">
        <f t="shared" si="395"/>
        <v>0P00</v>
      </c>
      <c r="AH1304" t="str">
        <f t="shared" si="396"/>
        <v>P000</v>
      </c>
      <c r="AI1304" t="str">
        <f t="shared" si="397"/>
        <v>0P00</v>
      </c>
      <c r="AJ1304" t="str">
        <f t="shared" si="398"/>
        <v>P000</v>
      </c>
    </row>
    <row r="1305" spans="1:36" x14ac:dyDescent="0.25">
      <c r="A1305" s="325" t="str">
        <f>CONCATENATE("P",'906MP'!M1005)</f>
        <v>P</v>
      </c>
      <c r="B1305">
        <f>'906MP'!H1005</f>
        <v>0</v>
      </c>
      <c r="C1305">
        <f>'906MP'!J1005</f>
        <v>0</v>
      </c>
      <c r="D1305">
        <f>'906MP'!P1005</f>
        <v>0</v>
      </c>
      <c r="E1305">
        <f>'906MP'!X1005</f>
        <v>0</v>
      </c>
      <c r="F1305" t="str">
        <f t="shared" si="390"/>
        <v>0</v>
      </c>
      <c r="G1305" t="str">
        <f t="shared" si="391"/>
        <v>0</v>
      </c>
      <c r="H1305">
        <f>'906MP'!Y1005</f>
        <v>0</v>
      </c>
      <c r="I1305">
        <f>'906MP'!AK1005</f>
        <v>0</v>
      </c>
      <c r="J1305">
        <f>'906MP'!T1005</f>
        <v>0</v>
      </c>
      <c r="K1305">
        <f>'906MP'!AJ1005</f>
        <v>0</v>
      </c>
      <c r="L1305">
        <f>'906MP'!U1005</f>
        <v>0</v>
      </c>
      <c r="M1305" s="322" t="str">
        <f>IFERROR(VLOOKUP(A1305,PAR!$D$3:$E$53,2,FALSE),"nincs szervezet")</f>
        <v>nincs szervezet</v>
      </c>
      <c r="N1305" s="322" t="str">
        <f>VLOOKUP(F1305,PAR!$R$3:$S$5,2,FALSE)</f>
        <v>3 - egyik sem</v>
      </c>
      <c r="O1305" t="str">
        <f>IFERROR(VLOOKUP(J1305,PAR!$O$3:$P$5,2,FALSE),"nincs feladat")</f>
        <v>nincs feladat</v>
      </c>
      <c r="P1305" t="str">
        <f>IFERROR(VLOOKUP(G1305,PAR!$J$2:$M$19,4),"nincs rovat")</f>
        <v>nincs rovat</v>
      </c>
      <c r="Q1305" t="str">
        <f>IF(H1305&gt;0,VLOOKUP(H1305,PAR!$AA$3:$AC$187,3,FALSE),"nincs főkönyvi számla")</f>
        <v>nincs főkönyvi számla</v>
      </c>
      <c r="R1305" t="str">
        <f>IFERROR(VLOOKUP(K1305,PAR!$V$3:$X$438,3,FALSE),"000000 - Nincs COFOG")</f>
        <v>000000 - Nincs COFOG</v>
      </c>
      <c r="S1305">
        <f t="shared" si="392"/>
        <v>0</v>
      </c>
      <c r="T1305">
        <f t="shared" si="393"/>
        <v>0</v>
      </c>
      <c r="U1305" t="str">
        <f>IF('906MP'!J1005&gt;0,CONCATENATE('906MP'!J1005," - ",'906MP'!P1005,", ",'906MP'!E1005),"nincs megjegyzés")</f>
        <v>nincs megjegyzés</v>
      </c>
      <c r="V1305" t="str">
        <f t="shared" si="380"/>
        <v>0P0</v>
      </c>
      <c r="W1305" t="str">
        <f t="shared" si="381"/>
        <v>0P0</v>
      </c>
      <c r="X1305" t="str">
        <f t="shared" si="382"/>
        <v>P0</v>
      </c>
      <c r="Y1305" t="str">
        <f t="shared" si="383"/>
        <v>00</v>
      </c>
      <c r="Z1305" t="str">
        <f t="shared" si="394"/>
        <v>00</v>
      </c>
      <c r="AA1305" t="str">
        <f t="shared" si="384"/>
        <v>00</v>
      </c>
      <c r="AB1305" t="str">
        <f t="shared" si="385"/>
        <v>00</v>
      </c>
      <c r="AC1305" t="str">
        <f t="shared" si="386"/>
        <v>0P0</v>
      </c>
      <c r="AD1305" t="str">
        <f t="shared" si="387"/>
        <v>P00</v>
      </c>
      <c r="AE1305" t="str">
        <f t="shared" si="388"/>
        <v>0P0</v>
      </c>
      <c r="AF1305" t="str">
        <f t="shared" si="389"/>
        <v>P00</v>
      </c>
      <c r="AG1305" t="str">
        <f t="shared" si="395"/>
        <v>0P00</v>
      </c>
      <c r="AH1305" t="str">
        <f t="shared" si="396"/>
        <v>P000</v>
      </c>
      <c r="AI1305" t="str">
        <f t="shared" si="397"/>
        <v>0P00</v>
      </c>
      <c r="AJ1305" t="str">
        <f t="shared" si="398"/>
        <v>P000</v>
      </c>
    </row>
    <row r="1306" spans="1:36" x14ac:dyDescent="0.25">
      <c r="A1306" s="325" t="str">
        <f>CONCATENATE("P",'906MP'!M1006)</f>
        <v>P</v>
      </c>
      <c r="B1306">
        <f>'906MP'!H1006</f>
        <v>0</v>
      </c>
      <c r="C1306">
        <f>'906MP'!J1006</f>
        <v>0</v>
      </c>
      <c r="D1306">
        <f>'906MP'!P1006</f>
        <v>0</v>
      </c>
      <c r="E1306">
        <f>'906MP'!X1006</f>
        <v>0</v>
      </c>
      <c r="F1306" t="str">
        <f t="shared" si="390"/>
        <v>0</v>
      </c>
      <c r="G1306" t="str">
        <f t="shared" si="391"/>
        <v>0</v>
      </c>
      <c r="H1306">
        <f>'906MP'!Y1006</f>
        <v>0</v>
      </c>
      <c r="I1306">
        <f>'906MP'!AK1006</f>
        <v>0</v>
      </c>
      <c r="J1306">
        <f>'906MP'!T1006</f>
        <v>0</v>
      </c>
      <c r="K1306">
        <f>'906MP'!AJ1006</f>
        <v>0</v>
      </c>
      <c r="L1306">
        <f>'906MP'!U1006</f>
        <v>0</v>
      </c>
      <c r="M1306" s="322" t="str">
        <f>IFERROR(VLOOKUP(A1306,PAR!$D$3:$E$53,2,FALSE),"nincs szervezet")</f>
        <v>nincs szervezet</v>
      </c>
      <c r="N1306" s="322" t="str">
        <f>VLOOKUP(F1306,PAR!$R$3:$S$5,2,FALSE)</f>
        <v>3 - egyik sem</v>
      </c>
      <c r="O1306" t="str">
        <f>IFERROR(VLOOKUP(J1306,PAR!$O$3:$P$5,2,FALSE),"nincs feladat")</f>
        <v>nincs feladat</v>
      </c>
      <c r="P1306" t="str">
        <f>IFERROR(VLOOKUP(G1306,PAR!$J$2:$M$19,4),"nincs rovat")</f>
        <v>nincs rovat</v>
      </c>
      <c r="Q1306" t="str">
        <f>IF(H1306&gt;0,VLOOKUP(H1306,PAR!$AA$3:$AC$187,3,FALSE),"nincs főkönyvi számla")</f>
        <v>nincs főkönyvi számla</v>
      </c>
      <c r="R1306" t="str">
        <f>IFERROR(VLOOKUP(K1306,PAR!$V$3:$X$438,3,FALSE),"000000 - Nincs COFOG")</f>
        <v>000000 - Nincs COFOG</v>
      </c>
      <c r="S1306">
        <f t="shared" si="392"/>
        <v>0</v>
      </c>
      <c r="T1306">
        <f t="shared" si="393"/>
        <v>0</v>
      </c>
      <c r="U1306" t="str">
        <f>IF('906MP'!J1006&gt;0,CONCATENATE('906MP'!J1006," - ",'906MP'!P1006,", ",'906MP'!E1006),"nincs megjegyzés")</f>
        <v>nincs megjegyzés</v>
      </c>
      <c r="V1306" t="str">
        <f t="shared" si="380"/>
        <v>0P0</v>
      </c>
      <c r="W1306" t="str">
        <f t="shared" si="381"/>
        <v>0P0</v>
      </c>
      <c r="X1306" t="str">
        <f t="shared" si="382"/>
        <v>P0</v>
      </c>
      <c r="Y1306" t="str">
        <f t="shared" si="383"/>
        <v>00</v>
      </c>
      <c r="Z1306" t="str">
        <f t="shared" si="394"/>
        <v>00</v>
      </c>
      <c r="AA1306" t="str">
        <f t="shared" si="384"/>
        <v>00</v>
      </c>
      <c r="AB1306" t="str">
        <f t="shared" si="385"/>
        <v>00</v>
      </c>
      <c r="AC1306" t="str">
        <f t="shared" si="386"/>
        <v>0P0</v>
      </c>
      <c r="AD1306" t="str">
        <f t="shared" si="387"/>
        <v>P00</v>
      </c>
      <c r="AE1306" t="str">
        <f t="shared" si="388"/>
        <v>0P0</v>
      </c>
      <c r="AF1306" t="str">
        <f t="shared" si="389"/>
        <v>P00</v>
      </c>
      <c r="AG1306" t="str">
        <f t="shared" si="395"/>
        <v>0P00</v>
      </c>
      <c r="AH1306" t="str">
        <f t="shared" si="396"/>
        <v>P000</v>
      </c>
      <c r="AI1306" t="str">
        <f t="shared" si="397"/>
        <v>0P00</v>
      </c>
      <c r="AJ1306" t="str">
        <f t="shared" si="398"/>
        <v>P000</v>
      </c>
    </row>
    <row r="1307" spans="1:36" x14ac:dyDescent="0.25">
      <c r="A1307" s="325" t="str">
        <f>CONCATENATE("P",'906MP'!M1007)</f>
        <v>P</v>
      </c>
      <c r="B1307">
        <f>'906MP'!H1007</f>
        <v>0</v>
      </c>
      <c r="C1307">
        <f>'906MP'!J1007</f>
        <v>0</v>
      </c>
      <c r="D1307">
        <f>'906MP'!P1007</f>
        <v>0</v>
      </c>
      <c r="E1307">
        <f>'906MP'!X1007</f>
        <v>0</v>
      </c>
      <c r="F1307" t="str">
        <f t="shared" si="390"/>
        <v>0</v>
      </c>
      <c r="G1307" t="str">
        <f t="shared" si="391"/>
        <v>0</v>
      </c>
      <c r="H1307">
        <f>'906MP'!Y1007</f>
        <v>0</v>
      </c>
      <c r="I1307">
        <f>'906MP'!AK1007</f>
        <v>0</v>
      </c>
      <c r="J1307">
        <f>'906MP'!T1007</f>
        <v>0</v>
      </c>
      <c r="K1307">
        <f>'906MP'!AJ1007</f>
        <v>0</v>
      </c>
      <c r="L1307">
        <f>'906MP'!U1007</f>
        <v>0</v>
      </c>
      <c r="M1307" s="322" t="str">
        <f>IFERROR(VLOOKUP(A1307,PAR!$D$3:$E$53,2,FALSE),"nincs szervezet")</f>
        <v>nincs szervezet</v>
      </c>
      <c r="N1307" s="322" t="str">
        <f>VLOOKUP(F1307,PAR!$R$3:$S$5,2,FALSE)</f>
        <v>3 - egyik sem</v>
      </c>
      <c r="O1307" t="str">
        <f>IFERROR(VLOOKUP(J1307,PAR!$O$3:$P$5,2,FALSE),"nincs feladat")</f>
        <v>nincs feladat</v>
      </c>
      <c r="P1307" t="str">
        <f>IFERROR(VLOOKUP(G1307,PAR!$J$2:$M$19,4),"nincs rovat")</f>
        <v>nincs rovat</v>
      </c>
      <c r="Q1307" t="str">
        <f>IF(H1307&gt;0,VLOOKUP(H1307,PAR!$AA$3:$AC$187,3,FALSE),"nincs főkönyvi számla")</f>
        <v>nincs főkönyvi számla</v>
      </c>
      <c r="R1307" t="str">
        <f>IFERROR(VLOOKUP(K1307,PAR!$V$3:$X$438,3,FALSE),"000000 - Nincs COFOG")</f>
        <v>000000 - Nincs COFOG</v>
      </c>
      <c r="S1307">
        <f t="shared" si="392"/>
        <v>0</v>
      </c>
      <c r="T1307">
        <f t="shared" si="393"/>
        <v>0</v>
      </c>
      <c r="U1307" t="str">
        <f>IF('906MP'!J1007&gt;0,CONCATENATE('906MP'!J1007," - ",'906MP'!P1007,", ",'906MP'!E1007),"nincs megjegyzés")</f>
        <v>nincs megjegyzés</v>
      </c>
      <c r="V1307" t="str">
        <f t="shared" si="380"/>
        <v>0P0</v>
      </c>
      <c r="W1307" t="str">
        <f t="shared" si="381"/>
        <v>0P0</v>
      </c>
      <c r="X1307" t="str">
        <f t="shared" si="382"/>
        <v>P0</v>
      </c>
      <c r="Y1307" t="str">
        <f t="shared" si="383"/>
        <v>00</v>
      </c>
      <c r="Z1307" t="str">
        <f t="shared" si="394"/>
        <v>00</v>
      </c>
      <c r="AA1307" t="str">
        <f t="shared" si="384"/>
        <v>00</v>
      </c>
      <c r="AB1307" t="str">
        <f t="shared" si="385"/>
        <v>00</v>
      </c>
      <c r="AC1307" t="str">
        <f t="shared" si="386"/>
        <v>0P0</v>
      </c>
      <c r="AD1307" t="str">
        <f t="shared" si="387"/>
        <v>P00</v>
      </c>
      <c r="AE1307" t="str">
        <f t="shared" si="388"/>
        <v>0P0</v>
      </c>
      <c r="AF1307" t="str">
        <f t="shared" si="389"/>
        <v>P00</v>
      </c>
      <c r="AG1307" t="str">
        <f t="shared" si="395"/>
        <v>0P00</v>
      </c>
      <c r="AH1307" t="str">
        <f t="shared" si="396"/>
        <v>P000</v>
      </c>
      <c r="AI1307" t="str">
        <f t="shared" si="397"/>
        <v>0P00</v>
      </c>
      <c r="AJ1307" t="str">
        <f t="shared" si="398"/>
        <v>P000</v>
      </c>
    </row>
    <row r="1308" spans="1:36" x14ac:dyDescent="0.25">
      <c r="A1308" s="325" t="str">
        <f>CONCATENATE("P",'906MP'!M1008)</f>
        <v>P</v>
      </c>
      <c r="B1308">
        <f>'906MP'!H1008</f>
        <v>0</v>
      </c>
      <c r="C1308">
        <f>'906MP'!J1008</f>
        <v>0</v>
      </c>
      <c r="D1308">
        <f>'906MP'!P1008</f>
        <v>0</v>
      </c>
      <c r="E1308">
        <f>'906MP'!X1008</f>
        <v>0</v>
      </c>
      <c r="F1308" t="str">
        <f t="shared" si="390"/>
        <v>0</v>
      </c>
      <c r="G1308" t="str">
        <f t="shared" si="391"/>
        <v>0</v>
      </c>
      <c r="H1308">
        <f>'906MP'!Y1008</f>
        <v>0</v>
      </c>
      <c r="I1308">
        <f>'906MP'!AK1008</f>
        <v>0</v>
      </c>
      <c r="J1308">
        <f>'906MP'!T1008</f>
        <v>0</v>
      </c>
      <c r="K1308">
        <f>'906MP'!AJ1008</f>
        <v>0</v>
      </c>
      <c r="L1308">
        <f>'906MP'!U1008</f>
        <v>0</v>
      </c>
      <c r="M1308" s="322" t="str">
        <f>IFERROR(VLOOKUP(A1308,PAR!$D$3:$E$53,2,FALSE),"nincs szervezet")</f>
        <v>nincs szervezet</v>
      </c>
      <c r="N1308" s="322" t="str">
        <f>VLOOKUP(F1308,PAR!$R$3:$S$5,2,FALSE)</f>
        <v>3 - egyik sem</v>
      </c>
      <c r="O1308" t="str">
        <f>IFERROR(VLOOKUP(J1308,PAR!$O$3:$P$5,2,FALSE),"nincs feladat")</f>
        <v>nincs feladat</v>
      </c>
      <c r="P1308" t="str">
        <f>IFERROR(VLOOKUP(G1308,PAR!$J$2:$M$19,4),"nincs rovat")</f>
        <v>nincs rovat</v>
      </c>
      <c r="Q1308" t="str">
        <f>IF(H1308&gt;0,VLOOKUP(H1308,PAR!$AA$3:$AC$187,3,FALSE),"nincs főkönyvi számla")</f>
        <v>nincs főkönyvi számla</v>
      </c>
      <c r="R1308" t="str">
        <f>IFERROR(VLOOKUP(K1308,PAR!$V$3:$X$438,3,FALSE),"000000 - Nincs COFOG")</f>
        <v>000000 - Nincs COFOG</v>
      </c>
      <c r="S1308">
        <f t="shared" si="392"/>
        <v>0</v>
      </c>
      <c r="T1308">
        <f t="shared" si="393"/>
        <v>0</v>
      </c>
      <c r="U1308" t="str">
        <f>IF('906MP'!J1008&gt;0,CONCATENATE('906MP'!J1008," - ",'906MP'!P1008,", ",'906MP'!E1008),"nincs megjegyzés")</f>
        <v>nincs megjegyzés</v>
      </c>
      <c r="V1308" t="str">
        <f t="shared" si="380"/>
        <v>0P0</v>
      </c>
      <c r="W1308" t="str">
        <f t="shared" si="381"/>
        <v>0P0</v>
      </c>
      <c r="X1308" t="str">
        <f t="shared" si="382"/>
        <v>P0</v>
      </c>
      <c r="Y1308" t="str">
        <f t="shared" si="383"/>
        <v>00</v>
      </c>
      <c r="Z1308" t="str">
        <f t="shared" si="394"/>
        <v>00</v>
      </c>
      <c r="AA1308" t="str">
        <f t="shared" si="384"/>
        <v>00</v>
      </c>
      <c r="AB1308" t="str">
        <f t="shared" si="385"/>
        <v>00</v>
      </c>
      <c r="AC1308" t="str">
        <f t="shared" si="386"/>
        <v>0P0</v>
      </c>
      <c r="AD1308" t="str">
        <f t="shared" si="387"/>
        <v>P00</v>
      </c>
      <c r="AE1308" t="str">
        <f t="shared" si="388"/>
        <v>0P0</v>
      </c>
      <c r="AF1308" t="str">
        <f t="shared" si="389"/>
        <v>P00</v>
      </c>
      <c r="AG1308" t="str">
        <f t="shared" si="395"/>
        <v>0P00</v>
      </c>
      <c r="AH1308" t="str">
        <f t="shared" si="396"/>
        <v>P000</v>
      </c>
      <c r="AI1308" t="str">
        <f t="shared" si="397"/>
        <v>0P00</v>
      </c>
      <c r="AJ1308" t="str">
        <f t="shared" si="398"/>
        <v>P000</v>
      </c>
    </row>
    <row r="1309" spans="1:36" x14ac:dyDescent="0.25">
      <c r="A1309" s="325" t="str">
        <f>CONCATENATE("P",'906MP'!M1009)</f>
        <v>P</v>
      </c>
      <c r="B1309">
        <f>'906MP'!H1009</f>
        <v>0</v>
      </c>
      <c r="C1309">
        <f>'906MP'!J1009</f>
        <v>0</v>
      </c>
      <c r="D1309">
        <f>'906MP'!P1009</f>
        <v>0</v>
      </c>
      <c r="E1309">
        <f>'906MP'!X1009</f>
        <v>0</v>
      </c>
      <c r="F1309" t="str">
        <f t="shared" si="390"/>
        <v>0</v>
      </c>
      <c r="G1309" t="str">
        <f t="shared" si="391"/>
        <v>0</v>
      </c>
      <c r="H1309">
        <f>'906MP'!Y1009</f>
        <v>0</v>
      </c>
      <c r="I1309">
        <f>'906MP'!AK1009</f>
        <v>0</v>
      </c>
      <c r="J1309">
        <f>'906MP'!T1009</f>
        <v>0</v>
      </c>
      <c r="K1309">
        <f>'906MP'!AJ1009</f>
        <v>0</v>
      </c>
      <c r="L1309">
        <f>'906MP'!U1009</f>
        <v>0</v>
      </c>
      <c r="M1309" s="322" t="str">
        <f>IFERROR(VLOOKUP(A1309,PAR!$D$3:$E$53,2,FALSE),"nincs szervezet")</f>
        <v>nincs szervezet</v>
      </c>
      <c r="N1309" s="322" t="str">
        <f>VLOOKUP(F1309,PAR!$R$3:$S$5,2,FALSE)</f>
        <v>3 - egyik sem</v>
      </c>
      <c r="O1309" t="str">
        <f>IFERROR(VLOOKUP(J1309,PAR!$O$3:$P$5,2,FALSE),"nincs feladat")</f>
        <v>nincs feladat</v>
      </c>
      <c r="P1309" t="str">
        <f>IFERROR(VLOOKUP(G1309,PAR!$J$2:$M$19,4),"nincs rovat")</f>
        <v>nincs rovat</v>
      </c>
      <c r="Q1309" t="str">
        <f>IF(H1309&gt;0,VLOOKUP(H1309,PAR!$AA$3:$AC$187,3,FALSE),"nincs főkönyvi számla")</f>
        <v>nincs főkönyvi számla</v>
      </c>
      <c r="R1309" t="str">
        <f>IFERROR(VLOOKUP(K1309,PAR!$V$3:$X$438,3,FALSE),"000000 - Nincs COFOG")</f>
        <v>000000 - Nincs COFOG</v>
      </c>
      <c r="S1309">
        <f t="shared" si="392"/>
        <v>0</v>
      </c>
      <c r="T1309">
        <f t="shared" si="393"/>
        <v>0</v>
      </c>
      <c r="U1309" t="str">
        <f>IF('906MP'!J1009&gt;0,CONCATENATE('906MP'!J1009," - ",'906MP'!P1009,", ",'906MP'!E1009),"nincs megjegyzés")</f>
        <v>nincs megjegyzés</v>
      </c>
      <c r="V1309" t="str">
        <f t="shared" si="380"/>
        <v>0P0</v>
      </c>
      <c r="W1309" t="str">
        <f t="shared" si="381"/>
        <v>0P0</v>
      </c>
      <c r="X1309" t="str">
        <f t="shared" si="382"/>
        <v>P0</v>
      </c>
      <c r="Y1309" t="str">
        <f t="shared" si="383"/>
        <v>00</v>
      </c>
      <c r="Z1309" t="str">
        <f t="shared" si="394"/>
        <v>00</v>
      </c>
      <c r="AA1309" t="str">
        <f t="shared" si="384"/>
        <v>00</v>
      </c>
      <c r="AB1309" t="str">
        <f t="shared" si="385"/>
        <v>00</v>
      </c>
      <c r="AC1309" t="str">
        <f t="shared" si="386"/>
        <v>0P0</v>
      </c>
      <c r="AD1309" t="str">
        <f t="shared" si="387"/>
        <v>P00</v>
      </c>
      <c r="AE1309" t="str">
        <f t="shared" si="388"/>
        <v>0P0</v>
      </c>
      <c r="AF1309" t="str">
        <f t="shared" si="389"/>
        <v>P00</v>
      </c>
      <c r="AG1309" t="str">
        <f t="shared" si="395"/>
        <v>0P00</v>
      </c>
      <c r="AH1309" t="str">
        <f t="shared" si="396"/>
        <v>P000</v>
      </c>
      <c r="AI1309" t="str">
        <f t="shared" si="397"/>
        <v>0P00</v>
      </c>
      <c r="AJ1309" t="str">
        <f t="shared" si="398"/>
        <v>P000</v>
      </c>
    </row>
    <row r="1310" spans="1:36" x14ac:dyDescent="0.25">
      <c r="A1310" s="325" t="str">
        <f>CONCATENATE("P",'906MP'!M1010)</f>
        <v>P</v>
      </c>
      <c r="B1310">
        <f>'906MP'!H1010</f>
        <v>0</v>
      </c>
      <c r="C1310">
        <f>'906MP'!J1010</f>
        <v>0</v>
      </c>
      <c r="D1310">
        <f>'906MP'!P1010</f>
        <v>0</v>
      </c>
      <c r="E1310">
        <f>'906MP'!X1010</f>
        <v>0</v>
      </c>
      <c r="F1310" t="str">
        <f t="shared" si="390"/>
        <v>0</v>
      </c>
      <c r="G1310" t="str">
        <f t="shared" si="391"/>
        <v>0</v>
      </c>
      <c r="H1310">
        <f>'906MP'!Y1010</f>
        <v>0</v>
      </c>
      <c r="I1310">
        <f>'906MP'!AK1010</f>
        <v>0</v>
      </c>
      <c r="J1310">
        <f>'906MP'!T1010</f>
        <v>0</v>
      </c>
      <c r="K1310">
        <f>'906MP'!AJ1010</f>
        <v>0</v>
      </c>
      <c r="L1310">
        <f>'906MP'!U1010</f>
        <v>0</v>
      </c>
      <c r="M1310" s="322" t="str">
        <f>IFERROR(VLOOKUP(A1310,PAR!$D$3:$E$53,2,FALSE),"nincs szervezet")</f>
        <v>nincs szervezet</v>
      </c>
      <c r="N1310" s="322" t="str">
        <f>VLOOKUP(F1310,PAR!$R$3:$S$5,2,FALSE)</f>
        <v>3 - egyik sem</v>
      </c>
      <c r="O1310" t="str">
        <f>IFERROR(VLOOKUP(J1310,PAR!$O$3:$P$5,2,FALSE),"nincs feladat")</f>
        <v>nincs feladat</v>
      </c>
      <c r="P1310" t="str">
        <f>IFERROR(VLOOKUP(G1310,PAR!$J$2:$M$19,4),"nincs rovat")</f>
        <v>nincs rovat</v>
      </c>
      <c r="Q1310" t="str">
        <f>IF(H1310&gt;0,VLOOKUP(H1310,PAR!$AA$3:$AC$187,3,FALSE),"nincs főkönyvi számla")</f>
        <v>nincs főkönyvi számla</v>
      </c>
      <c r="R1310" t="str">
        <f>IFERROR(VLOOKUP(K1310,PAR!$V$3:$X$438,3,FALSE),"000000 - Nincs COFOG")</f>
        <v>000000 - Nincs COFOG</v>
      </c>
      <c r="S1310">
        <f t="shared" si="392"/>
        <v>0</v>
      </c>
      <c r="T1310">
        <f t="shared" si="393"/>
        <v>0</v>
      </c>
      <c r="U1310" t="str">
        <f>IF('906MP'!J1010&gt;0,CONCATENATE('906MP'!J1010," - ",'906MP'!P1010,", ",'906MP'!E1010),"nincs megjegyzés")</f>
        <v>nincs megjegyzés</v>
      </c>
      <c r="V1310" t="str">
        <f t="shared" si="380"/>
        <v>0P0</v>
      </c>
      <c r="W1310" t="str">
        <f t="shared" si="381"/>
        <v>0P0</v>
      </c>
      <c r="X1310" t="str">
        <f t="shared" si="382"/>
        <v>P0</v>
      </c>
      <c r="Y1310" t="str">
        <f t="shared" si="383"/>
        <v>00</v>
      </c>
      <c r="Z1310" t="str">
        <f t="shared" si="394"/>
        <v>00</v>
      </c>
      <c r="AA1310" t="str">
        <f t="shared" si="384"/>
        <v>00</v>
      </c>
      <c r="AB1310" t="str">
        <f t="shared" si="385"/>
        <v>00</v>
      </c>
      <c r="AC1310" t="str">
        <f t="shared" si="386"/>
        <v>0P0</v>
      </c>
      <c r="AD1310" t="str">
        <f t="shared" si="387"/>
        <v>P00</v>
      </c>
      <c r="AE1310" t="str">
        <f t="shared" si="388"/>
        <v>0P0</v>
      </c>
      <c r="AF1310" t="str">
        <f t="shared" si="389"/>
        <v>P00</v>
      </c>
      <c r="AG1310" t="str">
        <f t="shared" si="395"/>
        <v>0P00</v>
      </c>
      <c r="AH1310" t="str">
        <f t="shared" si="396"/>
        <v>P000</v>
      </c>
      <c r="AI1310" t="str">
        <f t="shared" si="397"/>
        <v>0P00</v>
      </c>
      <c r="AJ1310" t="str">
        <f t="shared" si="398"/>
        <v>P000</v>
      </c>
    </row>
    <row r="1311" spans="1:36" x14ac:dyDescent="0.25">
      <c r="A1311" s="325" t="str">
        <f>CONCATENATE("P",'906MP'!M1011)</f>
        <v>P</v>
      </c>
      <c r="B1311">
        <f>'906MP'!H1011</f>
        <v>0</v>
      </c>
      <c r="C1311">
        <f>'906MP'!J1011</f>
        <v>0</v>
      </c>
      <c r="D1311">
        <f>'906MP'!P1011</f>
        <v>0</v>
      </c>
      <c r="E1311">
        <f>'906MP'!X1011</f>
        <v>0</v>
      </c>
      <c r="F1311" t="str">
        <f t="shared" si="390"/>
        <v>0</v>
      </c>
      <c r="G1311" t="str">
        <f t="shared" si="391"/>
        <v>0</v>
      </c>
      <c r="H1311">
        <f>'906MP'!Y1011</f>
        <v>0</v>
      </c>
      <c r="I1311">
        <f>'906MP'!AK1011</f>
        <v>0</v>
      </c>
      <c r="J1311">
        <f>'906MP'!T1011</f>
        <v>0</v>
      </c>
      <c r="K1311">
        <f>'906MP'!AJ1011</f>
        <v>0</v>
      </c>
      <c r="L1311">
        <f>'906MP'!U1011</f>
        <v>0</v>
      </c>
      <c r="M1311" s="322" t="str">
        <f>IFERROR(VLOOKUP(A1311,PAR!$D$3:$E$53,2,FALSE),"nincs szervezet")</f>
        <v>nincs szervezet</v>
      </c>
      <c r="N1311" s="322" t="str">
        <f>VLOOKUP(F1311,PAR!$R$3:$S$5,2,FALSE)</f>
        <v>3 - egyik sem</v>
      </c>
      <c r="O1311" t="str">
        <f>IFERROR(VLOOKUP(J1311,PAR!$O$3:$P$5,2,FALSE),"nincs feladat")</f>
        <v>nincs feladat</v>
      </c>
      <c r="P1311" t="str">
        <f>IFERROR(VLOOKUP(G1311,PAR!$J$2:$M$19,4),"nincs rovat")</f>
        <v>nincs rovat</v>
      </c>
      <c r="Q1311" t="str">
        <f>IF(H1311&gt;0,VLOOKUP(H1311,PAR!$AA$3:$AC$187,3,FALSE),"nincs főkönyvi számla")</f>
        <v>nincs főkönyvi számla</v>
      </c>
      <c r="R1311" t="str">
        <f>IFERROR(VLOOKUP(K1311,PAR!$V$3:$X$438,3,FALSE),"000000 - Nincs COFOG")</f>
        <v>000000 - Nincs COFOG</v>
      </c>
      <c r="S1311">
        <f t="shared" si="392"/>
        <v>0</v>
      </c>
      <c r="T1311">
        <f t="shared" si="393"/>
        <v>0</v>
      </c>
      <c r="U1311" t="str">
        <f>IF('906MP'!J1011&gt;0,CONCATENATE('906MP'!J1011," - ",'906MP'!P1011,", ",'906MP'!E1011),"nincs megjegyzés")</f>
        <v>nincs megjegyzés</v>
      </c>
      <c r="V1311" t="str">
        <f t="shared" si="380"/>
        <v>0P0</v>
      </c>
      <c r="W1311" t="str">
        <f t="shared" si="381"/>
        <v>0P0</v>
      </c>
      <c r="X1311" t="str">
        <f t="shared" si="382"/>
        <v>P0</v>
      </c>
      <c r="Y1311" t="str">
        <f t="shared" si="383"/>
        <v>00</v>
      </c>
      <c r="Z1311" t="str">
        <f t="shared" si="394"/>
        <v>00</v>
      </c>
      <c r="AA1311" t="str">
        <f t="shared" si="384"/>
        <v>00</v>
      </c>
      <c r="AB1311" t="str">
        <f t="shared" si="385"/>
        <v>00</v>
      </c>
      <c r="AC1311" t="str">
        <f t="shared" si="386"/>
        <v>0P0</v>
      </c>
      <c r="AD1311" t="str">
        <f t="shared" si="387"/>
        <v>P00</v>
      </c>
      <c r="AE1311" t="str">
        <f t="shared" si="388"/>
        <v>0P0</v>
      </c>
      <c r="AF1311" t="str">
        <f t="shared" si="389"/>
        <v>P00</v>
      </c>
      <c r="AG1311" t="str">
        <f t="shared" si="395"/>
        <v>0P00</v>
      </c>
      <c r="AH1311" t="str">
        <f t="shared" si="396"/>
        <v>P000</v>
      </c>
      <c r="AI1311" t="str">
        <f t="shared" si="397"/>
        <v>0P00</v>
      </c>
      <c r="AJ1311" t="str">
        <f t="shared" si="398"/>
        <v>P000</v>
      </c>
    </row>
    <row r="1312" spans="1:36" x14ac:dyDescent="0.25">
      <c r="A1312" s="325" t="str">
        <f>CONCATENATE("P",'906MP'!M1012)</f>
        <v>P</v>
      </c>
      <c r="B1312">
        <f>'906MP'!H1012</f>
        <v>0</v>
      </c>
      <c r="C1312">
        <f>'906MP'!J1012</f>
        <v>0</v>
      </c>
      <c r="D1312">
        <f>'906MP'!P1012</f>
        <v>0</v>
      </c>
      <c r="E1312">
        <f>'906MP'!X1012</f>
        <v>0</v>
      </c>
      <c r="F1312" t="str">
        <f t="shared" si="390"/>
        <v>0</v>
      </c>
      <c r="G1312" t="str">
        <f t="shared" si="391"/>
        <v>0</v>
      </c>
      <c r="H1312">
        <f>'906MP'!Y1012</f>
        <v>0</v>
      </c>
      <c r="I1312">
        <f>'906MP'!AK1012</f>
        <v>0</v>
      </c>
      <c r="J1312">
        <f>'906MP'!T1012</f>
        <v>0</v>
      </c>
      <c r="K1312">
        <f>'906MP'!AJ1012</f>
        <v>0</v>
      </c>
      <c r="L1312">
        <f>'906MP'!U1012</f>
        <v>0</v>
      </c>
      <c r="M1312" s="322" t="str">
        <f>IFERROR(VLOOKUP(A1312,PAR!$D$3:$E$53,2,FALSE),"nincs szervezet")</f>
        <v>nincs szervezet</v>
      </c>
      <c r="N1312" s="322" t="str">
        <f>VLOOKUP(F1312,PAR!$R$3:$S$5,2,FALSE)</f>
        <v>3 - egyik sem</v>
      </c>
      <c r="O1312" t="str">
        <f>IFERROR(VLOOKUP(J1312,PAR!$O$3:$P$5,2,FALSE),"nincs feladat")</f>
        <v>nincs feladat</v>
      </c>
      <c r="P1312" t="str">
        <f>IFERROR(VLOOKUP(G1312,PAR!$J$2:$M$19,4),"nincs rovat")</f>
        <v>nincs rovat</v>
      </c>
      <c r="Q1312" t="str">
        <f>IF(H1312&gt;0,VLOOKUP(H1312,PAR!$AA$3:$AC$187,3,FALSE),"nincs főkönyvi számla")</f>
        <v>nincs főkönyvi számla</v>
      </c>
      <c r="R1312" t="str">
        <f>IFERROR(VLOOKUP(K1312,PAR!$V$3:$X$438,3,FALSE),"000000 - Nincs COFOG")</f>
        <v>000000 - Nincs COFOG</v>
      </c>
      <c r="S1312">
        <f t="shared" si="392"/>
        <v>0</v>
      </c>
      <c r="T1312">
        <f t="shared" si="393"/>
        <v>0</v>
      </c>
      <c r="U1312" t="str">
        <f>IF('906MP'!J1012&gt;0,CONCATENATE('906MP'!J1012," - ",'906MP'!P1012,", ",'906MP'!E1012),"nincs megjegyzés")</f>
        <v>nincs megjegyzés</v>
      </c>
      <c r="V1312" t="str">
        <f t="shared" si="380"/>
        <v>0P0</v>
      </c>
      <c r="W1312" t="str">
        <f t="shared" si="381"/>
        <v>0P0</v>
      </c>
      <c r="X1312" t="str">
        <f t="shared" si="382"/>
        <v>P0</v>
      </c>
      <c r="Y1312" t="str">
        <f t="shared" si="383"/>
        <v>00</v>
      </c>
      <c r="Z1312" t="str">
        <f t="shared" si="394"/>
        <v>00</v>
      </c>
      <c r="AA1312" t="str">
        <f t="shared" si="384"/>
        <v>00</v>
      </c>
      <c r="AB1312" t="str">
        <f t="shared" si="385"/>
        <v>00</v>
      </c>
      <c r="AC1312" t="str">
        <f t="shared" si="386"/>
        <v>0P0</v>
      </c>
      <c r="AD1312" t="str">
        <f t="shared" si="387"/>
        <v>P00</v>
      </c>
      <c r="AE1312" t="str">
        <f t="shared" si="388"/>
        <v>0P0</v>
      </c>
      <c r="AF1312" t="str">
        <f t="shared" si="389"/>
        <v>P00</v>
      </c>
      <c r="AG1312" t="str">
        <f t="shared" si="395"/>
        <v>0P00</v>
      </c>
      <c r="AH1312" t="str">
        <f t="shared" si="396"/>
        <v>P000</v>
      </c>
      <c r="AI1312" t="str">
        <f t="shared" si="397"/>
        <v>0P00</v>
      </c>
      <c r="AJ1312" t="str">
        <f t="shared" si="398"/>
        <v>P000</v>
      </c>
    </row>
    <row r="1313" spans="1:36" x14ac:dyDescent="0.25">
      <c r="A1313" s="325" t="str">
        <f>CONCATENATE("P",'906MP'!M1013)</f>
        <v>P</v>
      </c>
      <c r="B1313">
        <f>'906MP'!H1013</f>
        <v>0</v>
      </c>
      <c r="C1313">
        <f>'906MP'!J1013</f>
        <v>0</v>
      </c>
      <c r="D1313">
        <f>'906MP'!P1013</f>
        <v>0</v>
      </c>
      <c r="E1313">
        <f>'906MP'!X1013</f>
        <v>0</v>
      </c>
      <c r="F1313" t="str">
        <f t="shared" si="390"/>
        <v>0</v>
      </c>
      <c r="G1313" t="str">
        <f t="shared" si="391"/>
        <v>0</v>
      </c>
      <c r="H1313">
        <f>'906MP'!Y1013</f>
        <v>0</v>
      </c>
      <c r="I1313">
        <f>'906MP'!AK1013</f>
        <v>0</v>
      </c>
      <c r="J1313">
        <f>'906MP'!T1013</f>
        <v>0</v>
      </c>
      <c r="K1313">
        <f>'906MP'!AJ1013</f>
        <v>0</v>
      </c>
      <c r="L1313">
        <f>'906MP'!U1013</f>
        <v>0</v>
      </c>
      <c r="M1313" s="322" t="str">
        <f>IFERROR(VLOOKUP(A1313,PAR!$D$3:$E$53,2,FALSE),"nincs szervezet")</f>
        <v>nincs szervezet</v>
      </c>
      <c r="N1313" s="322" t="str">
        <f>VLOOKUP(F1313,PAR!$R$3:$S$5,2,FALSE)</f>
        <v>3 - egyik sem</v>
      </c>
      <c r="O1313" t="str">
        <f>IFERROR(VLOOKUP(J1313,PAR!$O$3:$P$5,2,FALSE),"nincs feladat")</f>
        <v>nincs feladat</v>
      </c>
      <c r="P1313" t="str">
        <f>IFERROR(VLOOKUP(G1313,PAR!$J$2:$M$19,4),"nincs rovat")</f>
        <v>nincs rovat</v>
      </c>
      <c r="Q1313" t="str">
        <f>IF(H1313&gt;0,VLOOKUP(H1313,PAR!$AA$3:$AC$187,3,FALSE),"nincs főkönyvi számla")</f>
        <v>nincs főkönyvi számla</v>
      </c>
      <c r="R1313" t="str">
        <f>IFERROR(VLOOKUP(K1313,PAR!$V$3:$X$438,3,FALSE),"000000 - Nincs COFOG")</f>
        <v>000000 - Nincs COFOG</v>
      </c>
      <c r="S1313">
        <f t="shared" si="392"/>
        <v>0</v>
      </c>
      <c r="T1313">
        <f t="shared" si="393"/>
        <v>0</v>
      </c>
      <c r="U1313" t="str">
        <f>IF('906MP'!J1013&gt;0,CONCATENATE('906MP'!J1013," - ",'906MP'!P1013,", ",'906MP'!E1013),"nincs megjegyzés")</f>
        <v>nincs megjegyzés</v>
      </c>
      <c r="V1313" t="str">
        <f t="shared" si="380"/>
        <v>0P0</v>
      </c>
      <c r="W1313" t="str">
        <f t="shared" si="381"/>
        <v>0P0</v>
      </c>
      <c r="X1313" t="str">
        <f t="shared" si="382"/>
        <v>P0</v>
      </c>
      <c r="Y1313" t="str">
        <f t="shared" si="383"/>
        <v>00</v>
      </c>
      <c r="Z1313" t="str">
        <f t="shared" si="394"/>
        <v>00</v>
      </c>
      <c r="AA1313" t="str">
        <f t="shared" si="384"/>
        <v>00</v>
      </c>
      <c r="AB1313" t="str">
        <f t="shared" si="385"/>
        <v>00</v>
      </c>
      <c r="AC1313" t="str">
        <f t="shared" si="386"/>
        <v>0P0</v>
      </c>
      <c r="AD1313" t="str">
        <f t="shared" si="387"/>
        <v>P00</v>
      </c>
      <c r="AE1313" t="str">
        <f t="shared" si="388"/>
        <v>0P0</v>
      </c>
      <c r="AF1313" t="str">
        <f t="shared" si="389"/>
        <v>P00</v>
      </c>
      <c r="AG1313" t="str">
        <f t="shared" si="395"/>
        <v>0P00</v>
      </c>
      <c r="AH1313" t="str">
        <f t="shared" si="396"/>
        <v>P000</v>
      </c>
      <c r="AI1313" t="str">
        <f t="shared" si="397"/>
        <v>0P00</v>
      </c>
      <c r="AJ1313" t="str">
        <f t="shared" si="398"/>
        <v>P000</v>
      </c>
    </row>
    <row r="1314" spans="1:36" x14ac:dyDescent="0.25">
      <c r="A1314" s="325" t="str">
        <f>CONCATENATE("P",'906MP'!M1014)</f>
        <v>P</v>
      </c>
      <c r="B1314">
        <f>'906MP'!H1014</f>
        <v>0</v>
      </c>
      <c r="C1314">
        <f>'906MP'!J1014</f>
        <v>0</v>
      </c>
      <c r="D1314">
        <f>'906MP'!P1014</f>
        <v>0</v>
      </c>
      <c r="E1314">
        <f>'906MP'!X1014</f>
        <v>0</v>
      </c>
      <c r="F1314" t="str">
        <f t="shared" si="390"/>
        <v>0</v>
      </c>
      <c r="G1314" t="str">
        <f t="shared" si="391"/>
        <v>0</v>
      </c>
      <c r="H1314">
        <f>'906MP'!Y1014</f>
        <v>0</v>
      </c>
      <c r="I1314">
        <f>'906MP'!AK1014</f>
        <v>0</v>
      </c>
      <c r="J1314">
        <f>'906MP'!T1014</f>
        <v>0</v>
      </c>
      <c r="K1314">
        <f>'906MP'!AJ1014</f>
        <v>0</v>
      </c>
      <c r="L1314">
        <f>'906MP'!U1014</f>
        <v>0</v>
      </c>
      <c r="M1314" s="322" t="str">
        <f>IFERROR(VLOOKUP(A1314,PAR!$D$3:$E$53,2,FALSE),"nincs szervezet")</f>
        <v>nincs szervezet</v>
      </c>
      <c r="N1314" s="322" t="str">
        <f>VLOOKUP(F1314,PAR!$R$3:$S$5,2,FALSE)</f>
        <v>3 - egyik sem</v>
      </c>
      <c r="O1314" t="str">
        <f>IFERROR(VLOOKUP(J1314,PAR!$O$3:$P$5,2,FALSE),"nincs feladat")</f>
        <v>nincs feladat</v>
      </c>
      <c r="P1314" t="str">
        <f>IFERROR(VLOOKUP(G1314,PAR!$J$2:$M$19,4),"nincs rovat")</f>
        <v>nincs rovat</v>
      </c>
      <c r="Q1314" t="str">
        <f>IF(H1314&gt;0,VLOOKUP(H1314,PAR!$AA$3:$AC$187,3,FALSE),"nincs főkönyvi számla")</f>
        <v>nincs főkönyvi számla</v>
      </c>
      <c r="R1314" t="str">
        <f>IFERROR(VLOOKUP(K1314,PAR!$V$3:$X$438,3,FALSE),"000000 - Nincs COFOG")</f>
        <v>000000 - Nincs COFOG</v>
      </c>
      <c r="S1314">
        <f t="shared" si="392"/>
        <v>0</v>
      </c>
      <c r="T1314">
        <f t="shared" si="393"/>
        <v>0</v>
      </c>
      <c r="U1314" t="str">
        <f>IF('906MP'!J1014&gt;0,CONCATENATE('906MP'!J1014," - ",'906MP'!P1014,", ",'906MP'!E1014),"nincs megjegyzés")</f>
        <v>nincs megjegyzés</v>
      </c>
      <c r="V1314" t="str">
        <f t="shared" si="380"/>
        <v>0P0</v>
      </c>
      <c r="W1314" t="str">
        <f t="shared" si="381"/>
        <v>0P0</v>
      </c>
      <c r="X1314" t="str">
        <f t="shared" si="382"/>
        <v>P0</v>
      </c>
      <c r="Y1314" t="str">
        <f t="shared" si="383"/>
        <v>00</v>
      </c>
      <c r="Z1314" t="str">
        <f t="shared" si="394"/>
        <v>00</v>
      </c>
      <c r="AA1314" t="str">
        <f t="shared" si="384"/>
        <v>00</v>
      </c>
      <c r="AB1314" t="str">
        <f t="shared" si="385"/>
        <v>00</v>
      </c>
      <c r="AC1314" t="str">
        <f t="shared" si="386"/>
        <v>0P0</v>
      </c>
      <c r="AD1314" t="str">
        <f t="shared" si="387"/>
        <v>P00</v>
      </c>
      <c r="AE1314" t="str">
        <f t="shared" si="388"/>
        <v>0P0</v>
      </c>
      <c r="AF1314" t="str">
        <f t="shared" si="389"/>
        <v>P00</v>
      </c>
      <c r="AG1314" t="str">
        <f t="shared" si="395"/>
        <v>0P00</v>
      </c>
      <c r="AH1314" t="str">
        <f t="shared" si="396"/>
        <v>P000</v>
      </c>
      <c r="AI1314" t="str">
        <f t="shared" si="397"/>
        <v>0P00</v>
      </c>
      <c r="AJ1314" t="str">
        <f t="shared" si="398"/>
        <v>P000</v>
      </c>
    </row>
    <row r="1315" spans="1:36" x14ac:dyDescent="0.25">
      <c r="A1315" s="325" t="str">
        <f>CONCATENATE("P",'906MP'!M1015)</f>
        <v>P</v>
      </c>
      <c r="B1315">
        <f>'906MP'!H1015</f>
        <v>0</v>
      </c>
      <c r="C1315">
        <f>'906MP'!J1015</f>
        <v>0</v>
      </c>
      <c r="D1315">
        <f>'906MP'!P1015</f>
        <v>0</v>
      </c>
      <c r="E1315">
        <f>'906MP'!X1015</f>
        <v>0</v>
      </c>
      <c r="F1315" t="str">
        <f t="shared" si="390"/>
        <v>0</v>
      </c>
      <c r="G1315" t="str">
        <f t="shared" si="391"/>
        <v>0</v>
      </c>
      <c r="H1315">
        <f>'906MP'!Y1015</f>
        <v>0</v>
      </c>
      <c r="I1315">
        <f>'906MP'!AK1015</f>
        <v>0</v>
      </c>
      <c r="J1315">
        <f>'906MP'!T1015</f>
        <v>0</v>
      </c>
      <c r="K1315">
        <f>'906MP'!AJ1015</f>
        <v>0</v>
      </c>
      <c r="L1315">
        <f>'906MP'!U1015</f>
        <v>0</v>
      </c>
      <c r="M1315" s="322" t="str">
        <f>IFERROR(VLOOKUP(A1315,PAR!$D$3:$E$53,2,FALSE),"nincs szervezet")</f>
        <v>nincs szervezet</v>
      </c>
      <c r="N1315" s="322" t="str">
        <f>VLOOKUP(F1315,PAR!$R$3:$S$5,2,FALSE)</f>
        <v>3 - egyik sem</v>
      </c>
      <c r="O1315" t="str">
        <f>IFERROR(VLOOKUP(J1315,PAR!$O$3:$P$5,2,FALSE),"nincs feladat")</f>
        <v>nincs feladat</v>
      </c>
      <c r="P1315" t="str">
        <f>IFERROR(VLOOKUP(G1315,PAR!$J$2:$M$19,4),"nincs rovat")</f>
        <v>nincs rovat</v>
      </c>
      <c r="Q1315" t="str">
        <f>IF(H1315&gt;0,VLOOKUP(H1315,PAR!$AA$3:$AC$187,3,FALSE),"nincs főkönyvi számla")</f>
        <v>nincs főkönyvi számla</v>
      </c>
      <c r="R1315" t="str">
        <f>IFERROR(VLOOKUP(K1315,PAR!$V$3:$X$438,3,FALSE),"000000 - Nincs COFOG")</f>
        <v>000000 - Nincs COFOG</v>
      </c>
      <c r="S1315">
        <f t="shared" si="392"/>
        <v>0</v>
      </c>
      <c r="T1315">
        <f t="shared" si="393"/>
        <v>0</v>
      </c>
      <c r="U1315" t="str">
        <f>IF('906MP'!J1015&gt;0,CONCATENATE('906MP'!J1015," - ",'906MP'!P1015,", ",'906MP'!E1015),"nincs megjegyzés")</f>
        <v>nincs megjegyzés</v>
      </c>
      <c r="V1315" t="str">
        <f t="shared" si="380"/>
        <v>0P0</v>
      </c>
      <c r="W1315" t="str">
        <f t="shared" si="381"/>
        <v>0P0</v>
      </c>
      <c r="X1315" t="str">
        <f t="shared" si="382"/>
        <v>P0</v>
      </c>
      <c r="Y1315" t="str">
        <f t="shared" si="383"/>
        <v>00</v>
      </c>
      <c r="Z1315" t="str">
        <f t="shared" si="394"/>
        <v>00</v>
      </c>
      <c r="AA1315" t="str">
        <f t="shared" si="384"/>
        <v>00</v>
      </c>
      <c r="AB1315" t="str">
        <f t="shared" si="385"/>
        <v>00</v>
      </c>
      <c r="AC1315" t="str">
        <f t="shared" si="386"/>
        <v>0P0</v>
      </c>
      <c r="AD1315" t="str">
        <f t="shared" si="387"/>
        <v>P00</v>
      </c>
      <c r="AE1315" t="str">
        <f t="shared" si="388"/>
        <v>0P0</v>
      </c>
      <c r="AF1315" t="str">
        <f t="shared" si="389"/>
        <v>P00</v>
      </c>
      <c r="AG1315" t="str">
        <f t="shared" si="395"/>
        <v>0P00</v>
      </c>
      <c r="AH1315" t="str">
        <f t="shared" si="396"/>
        <v>P000</v>
      </c>
      <c r="AI1315" t="str">
        <f t="shared" si="397"/>
        <v>0P00</v>
      </c>
      <c r="AJ1315" t="str">
        <f t="shared" si="398"/>
        <v>P000</v>
      </c>
    </row>
    <row r="1316" spans="1:36" x14ac:dyDescent="0.25">
      <c r="A1316" s="325" t="str">
        <f>CONCATENATE("P",'906MP'!M1016)</f>
        <v>P</v>
      </c>
      <c r="B1316">
        <f>'906MP'!H1016</f>
        <v>0</v>
      </c>
      <c r="C1316">
        <f>'906MP'!J1016</f>
        <v>0</v>
      </c>
      <c r="D1316">
        <f>'906MP'!P1016</f>
        <v>0</v>
      </c>
      <c r="E1316">
        <f>'906MP'!X1016</f>
        <v>0</v>
      </c>
      <c r="F1316" t="str">
        <f t="shared" si="390"/>
        <v>0</v>
      </c>
      <c r="G1316" t="str">
        <f t="shared" si="391"/>
        <v>0</v>
      </c>
      <c r="H1316">
        <f>'906MP'!Y1016</f>
        <v>0</v>
      </c>
      <c r="I1316">
        <f>'906MP'!AK1016</f>
        <v>0</v>
      </c>
      <c r="J1316">
        <f>'906MP'!T1016</f>
        <v>0</v>
      </c>
      <c r="K1316">
        <f>'906MP'!AJ1016</f>
        <v>0</v>
      </c>
      <c r="L1316">
        <f>'906MP'!U1016</f>
        <v>0</v>
      </c>
      <c r="M1316" s="322" t="str">
        <f>IFERROR(VLOOKUP(A1316,PAR!$D$3:$E$53,2,FALSE),"nincs szervezet")</f>
        <v>nincs szervezet</v>
      </c>
      <c r="N1316" s="322" t="str">
        <f>VLOOKUP(F1316,PAR!$R$3:$S$5,2,FALSE)</f>
        <v>3 - egyik sem</v>
      </c>
      <c r="O1316" t="str">
        <f>IFERROR(VLOOKUP(J1316,PAR!$O$3:$P$5,2,FALSE),"nincs feladat")</f>
        <v>nincs feladat</v>
      </c>
      <c r="P1316" t="str">
        <f>IFERROR(VLOOKUP(G1316,PAR!$J$2:$M$19,4),"nincs rovat")</f>
        <v>nincs rovat</v>
      </c>
      <c r="Q1316" t="str">
        <f>IF(H1316&gt;0,VLOOKUP(H1316,PAR!$AA$3:$AC$187,3,FALSE),"nincs főkönyvi számla")</f>
        <v>nincs főkönyvi számla</v>
      </c>
      <c r="R1316" t="str">
        <f>IFERROR(VLOOKUP(K1316,PAR!$V$3:$X$438,3,FALSE),"000000 - Nincs COFOG")</f>
        <v>000000 - Nincs COFOG</v>
      </c>
      <c r="S1316">
        <f t="shared" si="392"/>
        <v>0</v>
      </c>
      <c r="T1316">
        <f t="shared" si="393"/>
        <v>0</v>
      </c>
      <c r="U1316" t="str">
        <f>IF('906MP'!J1016&gt;0,CONCATENATE('906MP'!J1016," - ",'906MP'!P1016,", ",'906MP'!E1016),"nincs megjegyzés")</f>
        <v>nincs megjegyzés</v>
      </c>
      <c r="V1316" t="str">
        <f t="shared" si="380"/>
        <v>0P0</v>
      </c>
      <c r="W1316" t="str">
        <f t="shared" si="381"/>
        <v>0P0</v>
      </c>
      <c r="X1316" t="str">
        <f t="shared" si="382"/>
        <v>P0</v>
      </c>
      <c r="Y1316" t="str">
        <f t="shared" si="383"/>
        <v>00</v>
      </c>
      <c r="Z1316" t="str">
        <f t="shared" si="394"/>
        <v>00</v>
      </c>
      <c r="AA1316" t="str">
        <f t="shared" si="384"/>
        <v>00</v>
      </c>
      <c r="AB1316" t="str">
        <f t="shared" si="385"/>
        <v>00</v>
      </c>
      <c r="AC1316" t="str">
        <f t="shared" si="386"/>
        <v>0P0</v>
      </c>
      <c r="AD1316" t="str">
        <f t="shared" si="387"/>
        <v>P00</v>
      </c>
      <c r="AE1316" t="str">
        <f t="shared" si="388"/>
        <v>0P0</v>
      </c>
      <c r="AF1316" t="str">
        <f t="shared" si="389"/>
        <v>P00</v>
      </c>
      <c r="AG1316" t="str">
        <f t="shared" si="395"/>
        <v>0P00</v>
      </c>
      <c r="AH1316" t="str">
        <f t="shared" si="396"/>
        <v>P000</v>
      </c>
      <c r="AI1316" t="str">
        <f t="shared" si="397"/>
        <v>0P00</v>
      </c>
      <c r="AJ1316" t="str">
        <f t="shared" si="398"/>
        <v>P000</v>
      </c>
    </row>
    <row r="1317" spans="1:36" x14ac:dyDescent="0.25">
      <c r="A1317" s="325" t="str">
        <f>CONCATENATE("P",'906MP'!M1017)</f>
        <v>P</v>
      </c>
      <c r="B1317">
        <f>'906MP'!H1017</f>
        <v>0</v>
      </c>
      <c r="C1317">
        <f>'906MP'!J1017</f>
        <v>0</v>
      </c>
      <c r="D1317">
        <f>'906MP'!P1017</f>
        <v>0</v>
      </c>
      <c r="E1317">
        <f>'906MP'!X1017</f>
        <v>0</v>
      </c>
      <c r="F1317" t="str">
        <f t="shared" si="390"/>
        <v>0</v>
      </c>
      <c r="G1317" t="str">
        <f t="shared" si="391"/>
        <v>0</v>
      </c>
      <c r="H1317">
        <f>'906MP'!Y1017</f>
        <v>0</v>
      </c>
      <c r="I1317">
        <f>'906MP'!AK1017</f>
        <v>0</v>
      </c>
      <c r="J1317">
        <f>'906MP'!T1017</f>
        <v>0</v>
      </c>
      <c r="K1317">
        <f>'906MP'!AJ1017</f>
        <v>0</v>
      </c>
      <c r="L1317">
        <f>'906MP'!U1017</f>
        <v>0</v>
      </c>
      <c r="M1317" s="322" t="str">
        <f>IFERROR(VLOOKUP(A1317,PAR!$D$3:$E$53,2,FALSE),"nincs szervezet")</f>
        <v>nincs szervezet</v>
      </c>
      <c r="N1317" s="322" t="str">
        <f>VLOOKUP(F1317,PAR!$R$3:$S$5,2,FALSE)</f>
        <v>3 - egyik sem</v>
      </c>
      <c r="O1317" t="str">
        <f>IFERROR(VLOOKUP(J1317,PAR!$O$3:$P$5,2,FALSE),"nincs feladat")</f>
        <v>nincs feladat</v>
      </c>
      <c r="P1317" t="str">
        <f>IFERROR(VLOOKUP(G1317,PAR!$J$2:$M$19,4),"nincs rovat")</f>
        <v>nincs rovat</v>
      </c>
      <c r="Q1317" t="str">
        <f>IF(H1317&gt;0,VLOOKUP(H1317,PAR!$AA$3:$AC$187,3,FALSE),"nincs főkönyvi számla")</f>
        <v>nincs főkönyvi számla</v>
      </c>
      <c r="R1317" t="str">
        <f>IFERROR(VLOOKUP(K1317,PAR!$V$3:$X$438,3,FALSE),"000000 - Nincs COFOG")</f>
        <v>000000 - Nincs COFOG</v>
      </c>
      <c r="S1317">
        <f t="shared" si="392"/>
        <v>0</v>
      </c>
      <c r="T1317">
        <f t="shared" si="393"/>
        <v>0</v>
      </c>
      <c r="U1317" t="str">
        <f>IF('906MP'!J1017&gt;0,CONCATENATE('906MP'!J1017," - ",'906MP'!P1017,", ",'906MP'!E1017),"nincs megjegyzés")</f>
        <v>nincs megjegyzés</v>
      </c>
      <c r="V1317" t="str">
        <f t="shared" si="380"/>
        <v>0P0</v>
      </c>
      <c r="W1317" t="str">
        <f t="shared" si="381"/>
        <v>0P0</v>
      </c>
      <c r="X1317" t="str">
        <f t="shared" si="382"/>
        <v>P0</v>
      </c>
      <c r="Y1317" t="str">
        <f t="shared" si="383"/>
        <v>00</v>
      </c>
      <c r="Z1317" t="str">
        <f t="shared" si="394"/>
        <v>00</v>
      </c>
      <c r="AA1317" t="str">
        <f t="shared" si="384"/>
        <v>00</v>
      </c>
      <c r="AB1317" t="str">
        <f t="shared" si="385"/>
        <v>00</v>
      </c>
      <c r="AC1317" t="str">
        <f t="shared" si="386"/>
        <v>0P0</v>
      </c>
      <c r="AD1317" t="str">
        <f t="shared" si="387"/>
        <v>P00</v>
      </c>
      <c r="AE1317" t="str">
        <f t="shared" si="388"/>
        <v>0P0</v>
      </c>
      <c r="AF1317" t="str">
        <f t="shared" si="389"/>
        <v>P00</v>
      </c>
      <c r="AG1317" t="str">
        <f t="shared" si="395"/>
        <v>0P00</v>
      </c>
      <c r="AH1317" t="str">
        <f t="shared" si="396"/>
        <v>P000</v>
      </c>
      <c r="AI1317" t="str">
        <f t="shared" si="397"/>
        <v>0P00</v>
      </c>
      <c r="AJ1317" t="str">
        <f t="shared" si="398"/>
        <v>P000</v>
      </c>
    </row>
    <row r="1318" spans="1:36" x14ac:dyDescent="0.25">
      <c r="A1318" s="325" t="str">
        <f>CONCATENATE("P",'906MP'!M1018)</f>
        <v>P</v>
      </c>
      <c r="B1318">
        <f>'906MP'!H1018</f>
        <v>0</v>
      </c>
      <c r="C1318">
        <f>'906MP'!J1018</f>
        <v>0</v>
      </c>
      <c r="D1318">
        <f>'906MP'!P1018</f>
        <v>0</v>
      </c>
      <c r="E1318">
        <f>'906MP'!X1018</f>
        <v>0</v>
      </c>
      <c r="F1318" t="str">
        <f t="shared" si="390"/>
        <v>0</v>
      </c>
      <c r="G1318" t="str">
        <f t="shared" si="391"/>
        <v>0</v>
      </c>
      <c r="H1318">
        <f>'906MP'!Y1018</f>
        <v>0</v>
      </c>
      <c r="I1318">
        <f>'906MP'!AK1018</f>
        <v>0</v>
      </c>
      <c r="J1318">
        <f>'906MP'!T1018</f>
        <v>0</v>
      </c>
      <c r="K1318">
        <f>'906MP'!AJ1018</f>
        <v>0</v>
      </c>
      <c r="L1318">
        <f>'906MP'!U1018</f>
        <v>0</v>
      </c>
      <c r="M1318" s="322" t="str">
        <f>IFERROR(VLOOKUP(A1318,PAR!$D$3:$E$53,2,FALSE),"nincs szervezet")</f>
        <v>nincs szervezet</v>
      </c>
      <c r="N1318" s="322" t="str">
        <f>VLOOKUP(F1318,PAR!$R$3:$S$5,2,FALSE)</f>
        <v>3 - egyik sem</v>
      </c>
      <c r="O1318" t="str">
        <f>IFERROR(VLOOKUP(J1318,PAR!$O$3:$P$5,2,FALSE),"nincs feladat")</f>
        <v>nincs feladat</v>
      </c>
      <c r="P1318" t="str">
        <f>IFERROR(VLOOKUP(G1318,PAR!$J$2:$M$19,4),"nincs rovat")</f>
        <v>nincs rovat</v>
      </c>
      <c r="Q1318" t="str">
        <f>IF(H1318&gt;0,VLOOKUP(H1318,PAR!$AA$3:$AC$187,3,FALSE),"nincs főkönyvi számla")</f>
        <v>nincs főkönyvi számla</v>
      </c>
      <c r="R1318" t="str">
        <f>IFERROR(VLOOKUP(K1318,PAR!$V$3:$X$438,3,FALSE),"000000 - Nincs COFOG")</f>
        <v>000000 - Nincs COFOG</v>
      </c>
      <c r="S1318">
        <f t="shared" si="392"/>
        <v>0</v>
      </c>
      <c r="T1318">
        <f t="shared" si="393"/>
        <v>0</v>
      </c>
      <c r="U1318" t="str">
        <f>IF('906MP'!J1018&gt;0,CONCATENATE('906MP'!J1018," - ",'906MP'!P1018,", ",'906MP'!E1018),"nincs megjegyzés")</f>
        <v>nincs megjegyzés</v>
      </c>
      <c r="V1318" t="str">
        <f t="shared" si="380"/>
        <v>0P0</v>
      </c>
      <c r="W1318" t="str">
        <f t="shared" si="381"/>
        <v>0P0</v>
      </c>
      <c r="X1318" t="str">
        <f t="shared" si="382"/>
        <v>P0</v>
      </c>
      <c r="Y1318" t="str">
        <f t="shared" si="383"/>
        <v>00</v>
      </c>
      <c r="Z1318" t="str">
        <f t="shared" si="394"/>
        <v>00</v>
      </c>
      <c r="AA1318" t="str">
        <f t="shared" si="384"/>
        <v>00</v>
      </c>
      <c r="AB1318" t="str">
        <f t="shared" si="385"/>
        <v>00</v>
      </c>
      <c r="AC1318" t="str">
        <f t="shared" si="386"/>
        <v>0P0</v>
      </c>
      <c r="AD1318" t="str">
        <f t="shared" si="387"/>
        <v>P00</v>
      </c>
      <c r="AE1318" t="str">
        <f t="shared" si="388"/>
        <v>0P0</v>
      </c>
      <c r="AF1318" t="str">
        <f t="shared" si="389"/>
        <v>P00</v>
      </c>
      <c r="AG1318" t="str">
        <f t="shared" si="395"/>
        <v>0P00</v>
      </c>
      <c r="AH1318" t="str">
        <f t="shared" si="396"/>
        <v>P000</v>
      </c>
      <c r="AI1318" t="str">
        <f t="shared" si="397"/>
        <v>0P00</v>
      </c>
      <c r="AJ1318" t="str">
        <f t="shared" si="398"/>
        <v>P000</v>
      </c>
    </row>
    <row r="1319" spans="1:36" x14ac:dyDescent="0.25">
      <c r="A1319" s="325" t="str">
        <f>CONCATENATE("P",'906MP'!M1019)</f>
        <v>P</v>
      </c>
      <c r="B1319">
        <f>'906MP'!H1019</f>
        <v>0</v>
      </c>
      <c r="C1319">
        <f>'906MP'!J1019</f>
        <v>0</v>
      </c>
      <c r="D1319">
        <f>'906MP'!P1019</f>
        <v>0</v>
      </c>
      <c r="E1319">
        <f>'906MP'!X1019</f>
        <v>0</v>
      </c>
      <c r="F1319" t="str">
        <f t="shared" si="390"/>
        <v>0</v>
      </c>
      <c r="G1319" t="str">
        <f t="shared" si="391"/>
        <v>0</v>
      </c>
      <c r="H1319">
        <f>'906MP'!Y1019</f>
        <v>0</v>
      </c>
      <c r="I1319">
        <f>'906MP'!AK1019</f>
        <v>0</v>
      </c>
      <c r="J1319">
        <f>'906MP'!T1019</f>
        <v>0</v>
      </c>
      <c r="K1319">
        <f>'906MP'!AJ1019</f>
        <v>0</v>
      </c>
      <c r="L1319">
        <f>'906MP'!U1019</f>
        <v>0</v>
      </c>
      <c r="M1319" s="322" t="str">
        <f>IFERROR(VLOOKUP(A1319,PAR!$D$3:$E$53,2,FALSE),"nincs szervezet")</f>
        <v>nincs szervezet</v>
      </c>
      <c r="N1319" s="322" t="str">
        <f>VLOOKUP(F1319,PAR!$R$3:$S$5,2,FALSE)</f>
        <v>3 - egyik sem</v>
      </c>
      <c r="O1319" t="str">
        <f>IFERROR(VLOOKUP(J1319,PAR!$O$3:$P$5,2,FALSE),"nincs feladat")</f>
        <v>nincs feladat</v>
      </c>
      <c r="P1319" t="str">
        <f>IFERROR(VLOOKUP(G1319,PAR!$J$2:$M$19,4),"nincs rovat")</f>
        <v>nincs rovat</v>
      </c>
      <c r="Q1319" t="str">
        <f>IF(H1319&gt;0,VLOOKUP(H1319,PAR!$AA$3:$AC$187,3,FALSE),"nincs főkönyvi számla")</f>
        <v>nincs főkönyvi számla</v>
      </c>
      <c r="R1319" t="str">
        <f>IFERROR(VLOOKUP(K1319,PAR!$V$3:$X$438,3,FALSE),"000000 - Nincs COFOG")</f>
        <v>000000 - Nincs COFOG</v>
      </c>
      <c r="S1319">
        <f t="shared" si="392"/>
        <v>0</v>
      </c>
      <c r="T1319">
        <f t="shared" si="393"/>
        <v>0</v>
      </c>
      <c r="U1319" t="str">
        <f>IF('906MP'!J1019&gt;0,CONCATENATE('906MP'!J1019," - ",'906MP'!P1019,", ",'906MP'!E1019),"nincs megjegyzés")</f>
        <v>nincs megjegyzés</v>
      </c>
      <c r="V1319" t="str">
        <f t="shared" si="380"/>
        <v>0P0</v>
      </c>
      <c r="W1319" t="str">
        <f t="shared" si="381"/>
        <v>0P0</v>
      </c>
      <c r="X1319" t="str">
        <f t="shared" si="382"/>
        <v>P0</v>
      </c>
      <c r="Y1319" t="str">
        <f t="shared" si="383"/>
        <v>00</v>
      </c>
      <c r="Z1319" t="str">
        <f t="shared" si="394"/>
        <v>00</v>
      </c>
      <c r="AA1319" t="str">
        <f t="shared" si="384"/>
        <v>00</v>
      </c>
      <c r="AB1319" t="str">
        <f t="shared" si="385"/>
        <v>00</v>
      </c>
      <c r="AC1319" t="str">
        <f t="shared" si="386"/>
        <v>0P0</v>
      </c>
      <c r="AD1319" t="str">
        <f t="shared" si="387"/>
        <v>P00</v>
      </c>
      <c r="AE1319" t="str">
        <f t="shared" si="388"/>
        <v>0P0</v>
      </c>
      <c r="AF1319" t="str">
        <f t="shared" si="389"/>
        <v>P00</v>
      </c>
      <c r="AG1319" t="str">
        <f t="shared" si="395"/>
        <v>0P00</v>
      </c>
      <c r="AH1319" t="str">
        <f t="shared" si="396"/>
        <v>P000</v>
      </c>
      <c r="AI1319" t="str">
        <f t="shared" si="397"/>
        <v>0P00</v>
      </c>
      <c r="AJ1319" t="str">
        <f t="shared" si="398"/>
        <v>P000</v>
      </c>
    </row>
    <row r="1320" spans="1:36" x14ac:dyDescent="0.25">
      <c r="A1320" s="325" t="str">
        <f>CONCATENATE("P",'906MP'!M1020)</f>
        <v>P</v>
      </c>
      <c r="B1320">
        <f>'906MP'!H1020</f>
        <v>0</v>
      </c>
      <c r="C1320">
        <f>'906MP'!J1020</f>
        <v>0</v>
      </c>
      <c r="D1320">
        <f>'906MP'!P1020</f>
        <v>0</v>
      </c>
      <c r="E1320">
        <f>'906MP'!X1020</f>
        <v>0</v>
      </c>
      <c r="F1320" t="str">
        <f t="shared" si="390"/>
        <v>0</v>
      </c>
      <c r="G1320" t="str">
        <f t="shared" si="391"/>
        <v>0</v>
      </c>
      <c r="H1320">
        <f>'906MP'!Y1020</f>
        <v>0</v>
      </c>
      <c r="I1320">
        <f>'906MP'!AK1020</f>
        <v>0</v>
      </c>
      <c r="J1320">
        <f>'906MP'!T1020</f>
        <v>0</v>
      </c>
      <c r="K1320">
        <f>'906MP'!AJ1020</f>
        <v>0</v>
      </c>
      <c r="L1320">
        <f>'906MP'!U1020</f>
        <v>0</v>
      </c>
      <c r="M1320" s="322" t="str">
        <f>IFERROR(VLOOKUP(A1320,PAR!$D$3:$E$53,2,FALSE),"nincs szervezet")</f>
        <v>nincs szervezet</v>
      </c>
      <c r="N1320" s="322" t="str">
        <f>VLOOKUP(F1320,PAR!$R$3:$S$5,2,FALSE)</f>
        <v>3 - egyik sem</v>
      </c>
      <c r="O1320" t="str">
        <f>IFERROR(VLOOKUP(J1320,PAR!$O$3:$P$5,2,FALSE),"nincs feladat")</f>
        <v>nincs feladat</v>
      </c>
      <c r="P1320" t="str">
        <f>IFERROR(VLOOKUP(G1320,PAR!$J$2:$M$19,4),"nincs rovat")</f>
        <v>nincs rovat</v>
      </c>
      <c r="Q1320" t="str">
        <f>IF(H1320&gt;0,VLOOKUP(H1320,PAR!$AA$3:$AC$187,3,FALSE),"nincs főkönyvi számla")</f>
        <v>nincs főkönyvi számla</v>
      </c>
      <c r="R1320" t="str">
        <f>IFERROR(VLOOKUP(K1320,PAR!$V$3:$X$438,3,FALSE),"000000 - Nincs COFOG")</f>
        <v>000000 - Nincs COFOG</v>
      </c>
      <c r="S1320">
        <f t="shared" si="392"/>
        <v>0</v>
      </c>
      <c r="T1320">
        <f t="shared" si="393"/>
        <v>0</v>
      </c>
      <c r="U1320" t="str">
        <f>IF('906MP'!J1020&gt;0,CONCATENATE('906MP'!J1020," - ",'906MP'!P1020,", ",'906MP'!E1020),"nincs megjegyzés")</f>
        <v>nincs megjegyzés</v>
      </c>
      <c r="V1320" t="str">
        <f t="shared" si="380"/>
        <v>0P0</v>
      </c>
      <c r="W1320" t="str">
        <f t="shared" si="381"/>
        <v>0P0</v>
      </c>
      <c r="X1320" t="str">
        <f t="shared" si="382"/>
        <v>P0</v>
      </c>
      <c r="Y1320" t="str">
        <f t="shared" si="383"/>
        <v>00</v>
      </c>
      <c r="Z1320" t="str">
        <f t="shared" si="394"/>
        <v>00</v>
      </c>
      <c r="AA1320" t="str">
        <f t="shared" si="384"/>
        <v>00</v>
      </c>
      <c r="AB1320" t="str">
        <f t="shared" si="385"/>
        <v>00</v>
      </c>
      <c r="AC1320" t="str">
        <f t="shared" si="386"/>
        <v>0P0</v>
      </c>
      <c r="AD1320" t="str">
        <f t="shared" si="387"/>
        <v>P00</v>
      </c>
      <c r="AE1320" t="str">
        <f t="shared" si="388"/>
        <v>0P0</v>
      </c>
      <c r="AF1320" t="str">
        <f t="shared" si="389"/>
        <v>P00</v>
      </c>
      <c r="AG1320" t="str">
        <f t="shared" si="395"/>
        <v>0P00</v>
      </c>
      <c r="AH1320" t="str">
        <f t="shared" si="396"/>
        <v>P000</v>
      </c>
      <c r="AI1320" t="str">
        <f t="shared" si="397"/>
        <v>0P00</v>
      </c>
      <c r="AJ1320" t="str">
        <f t="shared" si="398"/>
        <v>P000</v>
      </c>
    </row>
    <row r="1321" spans="1:36" x14ac:dyDescent="0.25">
      <c r="A1321" s="325" t="str">
        <f>CONCATENATE("P",'906MP'!M1021)</f>
        <v>P</v>
      </c>
      <c r="B1321">
        <f>'906MP'!H1021</f>
        <v>0</v>
      </c>
      <c r="C1321">
        <f>'906MP'!J1021</f>
        <v>0</v>
      </c>
      <c r="D1321">
        <f>'906MP'!P1021</f>
        <v>0</v>
      </c>
      <c r="E1321">
        <f>'906MP'!X1021</f>
        <v>0</v>
      </c>
      <c r="F1321" t="str">
        <f t="shared" si="390"/>
        <v>0</v>
      </c>
      <c r="G1321" t="str">
        <f t="shared" si="391"/>
        <v>0</v>
      </c>
      <c r="H1321">
        <f>'906MP'!Y1021</f>
        <v>0</v>
      </c>
      <c r="I1321">
        <f>'906MP'!AK1021</f>
        <v>0</v>
      </c>
      <c r="J1321">
        <f>'906MP'!T1021</f>
        <v>0</v>
      </c>
      <c r="K1321">
        <f>'906MP'!AJ1021</f>
        <v>0</v>
      </c>
      <c r="L1321">
        <f>'906MP'!U1021</f>
        <v>0</v>
      </c>
      <c r="M1321" s="322" t="str">
        <f>IFERROR(VLOOKUP(A1321,PAR!$D$3:$E$53,2,FALSE),"nincs szervezet")</f>
        <v>nincs szervezet</v>
      </c>
      <c r="N1321" s="322" t="str">
        <f>VLOOKUP(F1321,PAR!$R$3:$S$5,2,FALSE)</f>
        <v>3 - egyik sem</v>
      </c>
      <c r="O1321" t="str">
        <f>IFERROR(VLOOKUP(J1321,PAR!$O$3:$P$5,2,FALSE),"nincs feladat")</f>
        <v>nincs feladat</v>
      </c>
      <c r="P1321" t="str">
        <f>IFERROR(VLOOKUP(G1321,PAR!$J$2:$M$19,4),"nincs rovat")</f>
        <v>nincs rovat</v>
      </c>
      <c r="Q1321" t="str">
        <f>IF(H1321&gt;0,VLOOKUP(H1321,PAR!$AA$3:$AC$187,3,FALSE),"nincs főkönyvi számla")</f>
        <v>nincs főkönyvi számla</v>
      </c>
      <c r="R1321" t="str">
        <f>IFERROR(VLOOKUP(K1321,PAR!$V$3:$X$438,3,FALSE),"000000 - Nincs COFOG")</f>
        <v>000000 - Nincs COFOG</v>
      </c>
      <c r="S1321">
        <f t="shared" si="392"/>
        <v>0</v>
      </c>
      <c r="T1321">
        <f t="shared" si="393"/>
        <v>0</v>
      </c>
      <c r="U1321" t="str">
        <f>IF('906MP'!J1021&gt;0,CONCATENATE('906MP'!J1021," - ",'906MP'!P1021,", ",'906MP'!E1021),"nincs megjegyzés")</f>
        <v>nincs megjegyzés</v>
      </c>
      <c r="V1321" t="str">
        <f t="shared" si="380"/>
        <v>0P0</v>
      </c>
      <c r="W1321" t="str">
        <f t="shared" si="381"/>
        <v>0P0</v>
      </c>
      <c r="X1321" t="str">
        <f t="shared" si="382"/>
        <v>P0</v>
      </c>
      <c r="Y1321" t="str">
        <f t="shared" si="383"/>
        <v>00</v>
      </c>
      <c r="Z1321" t="str">
        <f t="shared" si="394"/>
        <v>00</v>
      </c>
      <c r="AA1321" t="str">
        <f t="shared" si="384"/>
        <v>00</v>
      </c>
      <c r="AB1321" t="str">
        <f t="shared" si="385"/>
        <v>00</v>
      </c>
      <c r="AC1321" t="str">
        <f t="shared" si="386"/>
        <v>0P0</v>
      </c>
      <c r="AD1321" t="str">
        <f t="shared" si="387"/>
        <v>P00</v>
      </c>
      <c r="AE1321" t="str">
        <f t="shared" si="388"/>
        <v>0P0</v>
      </c>
      <c r="AF1321" t="str">
        <f t="shared" si="389"/>
        <v>P00</v>
      </c>
      <c r="AG1321" t="str">
        <f t="shared" si="395"/>
        <v>0P00</v>
      </c>
      <c r="AH1321" t="str">
        <f t="shared" si="396"/>
        <v>P000</v>
      </c>
      <c r="AI1321" t="str">
        <f t="shared" si="397"/>
        <v>0P00</v>
      </c>
      <c r="AJ1321" t="str">
        <f t="shared" si="398"/>
        <v>P000</v>
      </c>
    </row>
    <row r="1322" spans="1:36" x14ac:dyDescent="0.25">
      <c r="A1322" s="325" t="str">
        <f>CONCATENATE("P",'906MP'!M1022)</f>
        <v>P</v>
      </c>
      <c r="B1322">
        <f>'906MP'!H1022</f>
        <v>0</v>
      </c>
      <c r="C1322">
        <f>'906MP'!J1022</f>
        <v>0</v>
      </c>
      <c r="D1322">
        <f>'906MP'!P1022</f>
        <v>0</v>
      </c>
      <c r="E1322">
        <f>'906MP'!X1022</f>
        <v>0</v>
      </c>
      <c r="F1322" t="str">
        <f t="shared" si="390"/>
        <v>0</v>
      </c>
      <c r="G1322" t="str">
        <f t="shared" si="391"/>
        <v>0</v>
      </c>
      <c r="H1322">
        <f>'906MP'!Y1022</f>
        <v>0</v>
      </c>
      <c r="I1322">
        <f>'906MP'!AK1022</f>
        <v>0</v>
      </c>
      <c r="J1322">
        <f>'906MP'!T1022</f>
        <v>0</v>
      </c>
      <c r="K1322">
        <f>'906MP'!AJ1022</f>
        <v>0</v>
      </c>
      <c r="L1322">
        <f>'906MP'!U1022</f>
        <v>0</v>
      </c>
      <c r="M1322" s="322" t="str">
        <f>IFERROR(VLOOKUP(A1322,PAR!$D$3:$E$53,2,FALSE),"nincs szervezet")</f>
        <v>nincs szervezet</v>
      </c>
      <c r="N1322" s="322" t="str">
        <f>VLOOKUP(F1322,PAR!$R$3:$S$5,2,FALSE)</f>
        <v>3 - egyik sem</v>
      </c>
      <c r="O1322" t="str">
        <f>IFERROR(VLOOKUP(J1322,PAR!$O$3:$P$5,2,FALSE),"nincs feladat")</f>
        <v>nincs feladat</v>
      </c>
      <c r="P1322" t="str">
        <f>IFERROR(VLOOKUP(G1322,PAR!$J$2:$M$19,4),"nincs rovat")</f>
        <v>nincs rovat</v>
      </c>
      <c r="Q1322" t="str">
        <f>IF(H1322&gt;0,VLOOKUP(H1322,PAR!$AA$3:$AC$187,3,FALSE),"nincs főkönyvi számla")</f>
        <v>nincs főkönyvi számla</v>
      </c>
      <c r="R1322" t="str">
        <f>IFERROR(VLOOKUP(K1322,PAR!$V$3:$X$438,3,FALSE),"000000 - Nincs COFOG")</f>
        <v>000000 - Nincs COFOG</v>
      </c>
      <c r="S1322">
        <f t="shared" si="392"/>
        <v>0</v>
      </c>
      <c r="T1322">
        <f t="shared" si="393"/>
        <v>0</v>
      </c>
      <c r="U1322" t="str">
        <f>IF('906MP'!J1022&gt;0,CONCATENATE('906MP'!J1022," - ",'906MP'!P1022,", ",'906MP'!E1022),"nincs megjegyzés")</f>
        <v>nincs megjegyzés</v>
      </c>
      <c r="V1322" t="str">
        <f t="shared" si="380"/>
        <v>0P0</v>
      </c>
      <c r="W1322" t="str">
        <f t="shared" si="381"/>
        <v>0P0</v>
      </c>
      <c r="X1322" t="str">
        <f t="shared" si="382"/>
        <v>P0</v>
      </c>
      <c r="Y1322" t="str">
        <f t="shared" si="383"/>
        <v>00</v>
      </c>
      <c r="Z1322" t="str">
        <f t="shared" si="394"/>
        <v>00</v>
      </c>
      <c r="AA1322" t="str">
        <f t="shared" si="384"/>
        <v>00</v>
      </c>
      <c r="AB1322" t="str">
        <f t="shared" si="385"/>
        <v>00</v>
      </c>
      <c r="AC1322" t="str">
        <f t="shared" si="386"/>
        <v>0P0</v>
      </c>
      <c r="AD1322" t="str">
        <f t="shared" si="387"/>
        <v>P00</v>
      </c>
      <c r="AE1322" t="str">
        <f t="shared" si="388"/>
        <v>0P0</v>
      </c>
      <c r="AF1322" t="str">
        <f t="shared" si="389"/>
        <v>P00</v>
      </c>
      <c r="AG1322" t="str">
        <f t="shared" si="395"/>
        <v>0P00</v>
      </c>
      <c r="AH1322" t="str">
        <f t="shared" si="396"/>
        <v>P000</v>
      </c>
      <c r="AI1322" t="str">
        <f t="shared" si="397"/>
        <v>0P00</v>
      </c>
      <c r="AJ1322" t="str">
        <f t="shared" si="398"/>
        <v>P000</v>
      </c>
    </row>
    <row r="1323" spans="1:36" x14ac:dyDescent="0.25">
      <c r="A1323" s="325" t="str">
        <f>CONCATENATE("P",'906MP'!M1023)</f>
        <v>P</v>
      </c>
      <c r="B1323">
        <f>'906MP'!H1023</f>
        <v>0</v>
      </c>
      <c r="C1323">
        <f>'906MP'!J1023</f>
        <v>0</v>
      </c>
      <c r="D1323">
        <f>'906MP'!P1023</f>
        <v>0</v>
      </c>
      <c r="E1323">
        <f>'906MP'!X1023</f>
        <v>0</v>
      </c>
      <c r="F1323" t="str">
        <f t="shared" si="390"/>
        <v>0</v>
      </c>
      <c r="G1323" t="str">
        <f t="shared" si="391"/>
        <v>0</v>
      </c>
      <c r="H1323">
        <f>'906MP'!Y1023</f>
        <v>0</v>
      </c>
      <c r="I1323">
        <f>'906MP'!AK1023</f>
        <v>0</v>
      </c>
      <c r="J1323">
        <f>'906MP'!T1023</f>
        <v>0</v>
      </c>
      <c r="K1323">
        <f>'906MP'!AJ1023</f>
        <v>0</v>
      </c>
      <c r="L1323">
        <f>'906MP'!U1023</f>
        <v>0</v>
      </c>
      <c r="M1323" s="322" t="str">
        <f>IFERROR(VLOOKUP(A1323,PAR!$D$3:$E$53,2,FALSE),"nincs szervezet")</f>
        <v>nincs szervezet</v>
      </c>
      <c r="N1323" s="322" t="str">
        <f>VLOOKUP(F1323,PAR!$R$3:$S$5,2,FALSE)</f>
        <v>3 - egyik sem</v>
      </c>
      <c r="O1323" t="str">
        <f>IFERROR(VLOOKUP(J1323,PAR!$O$3:$P$5,2,FALSE),"nincs feladat")</f>
        <v>nincs feladat</v>
      </c>
      <c r="P1323" t="str">
        <f>IFERROR(VLOOKUP(G1323,PAR!$J$2:$M$19,4),"nincs rovat")</f>
        <v>nincs rovat</v>
      </c>
      <c r="Q1323" t="str">
        <f>IF(H1323&gt;0,VLOOKUP(H1323,PAR!$AA$3:$AC$187,3,FALSE),"nincs főkönyvi számla")</f>
        <v>nincs főkönyvi számla</v>
      </c>
      <c r="R1323" t="str">
        <f>IFERROR(VLOOKUP(K1323,PAR!$V$3:$X$438,3,FALSE),"000000 - Nincs COFOG")</f>
        <v>000000 - Nincs COFOG</v>
      </c>
      <c r="S1323">
        <f t="shared" si="392"/>
        <v>0</v>
      </c>
      <c r="T1323">
        <f t="shared" si="393"/>
        <v>0</v>
      </c>
      <c r="U1323" t="str">
        <f>IF('906MP'!J1023&gt;0,CONCATENATE('906MP'!J1023," - ",'906MP'!P1023,", ",'906MP'!E1023),"nincs megjegyzés")</f>
        <v>nincs megjegyzés</v>
      </c>
      <c r="V1323" t="str">
        <f t="shared" si="380"/>
        <v>0P0</v>
      </c>
      <c r="W1323" t="str">
        <f t="shared" si="381"/>
        <v>0P0</v>
      </c>
      <c r="X1323" t="str">
        <f t="shared" si="382"/>
        <v>P0</v>
      </c>
      <c r="Y1323" t="str">
        <f t="shared" si="383"/>
        <v>00</v>
      </c>
      <c r="Z1323" t="str">
        <f t="shared" si="394"/>
        <v>00</v>
      </c>
      <c r="AA1323" t="str">
        <f t="shared" si="384"/>
        <v>00</v>
      </c>
      <c r="AB1323" t="str">
        <f t="shared" si="385"/>
        <v>00</v>
      </c>
      <c r="AC1323" t="str">
        <f t="shared" si="386"/>
        <v>0P0</v>
      </c>
      <c r="AD1323" t="str">
        <f t="shared" si="387"/>
        <v>P00</v>
      </c>
      <c r="AE1323" t="str">
        <f t="shared" si="388"/>
        <v>0P0</v>
      </c>
      <c r="AF1323" t="str">
        <f t="shared" si="389"/>
        <v>P00</v>
      </c>
      <c r="AG1323" t="str">
        <f t="shared" si="395"/>
        <v>0P00</v>
      </c>
      <c r="AH1323" t="str">
        <f t="shared" si="396"/>
        <v>P000</v>
      </c>
      <c r="AI1323" t="str">
        <f t="shared" si="397"/>
        <v>0P00</v>
      </c>
      <c r="AJ1323" t="str">
        <f t="shared" si="398"/>
        <v>P000</v>
      </c>
    </row>
    <row r="1324" spans="1:36" x14ac:dyDescent="0.25">
      <c r="A1324" s="325" t="str">
        <f>CONCATENATE("P",'906MP'!M1024)</f>
        <v>P</v>
      </c>
      <c r="B1324">
        <f>'906MP'!H1024</f>
        <v>0</v>
      </c>
      <c r="C1324">
        <f>'906MP'!J1024</f>
        <v>0</v>
      </c>
      <c r="D1324">
        <f>'906MP'!P1024</f>
        <v>0</v>
      </c>
      <c r="E1324">
        <f>'906MP'!X1024</f>
        <v>0</v>
      </c>
      <c r="F1324" t="str">
        <f t="shared" si="390"/>
        <v>0</v>
      </c>
      <c r="G1324" t="str">
        <f t="shared" si="391"/>
        <v>0</v>
      </c>
      <c r="H1324">
        <f>'906MP'!Y1024</f>
        <v>0</v>
      </c>
      <c r="I1324">
        <f>'906MP'!AK1024</f>
        <v>0</v>
      </c>
      <c r="J1324">
        <f>'906MP'!T1024</f>
        <v>0</v>
      </c>
      <c r="K1324">
        <f>'906MP'!AJ1024</f>
        <v>0</v>
      </c>
      <c r="L1324">
        <f>'906MP'!U1024</f>
        <v>0</v>
      </c>
      <c r="M1324" s="322" t="str">
        <f>IFERROR(VLOOKUP(A1324,PAR!$D$3:$E$53,2,FALSE),"nincs szervezet")</f>
        <v>nincs szervezet</v>
      </c>
      <c r="N1324" s="322" t="str">
        <f>VLOOKUP(F1324,PAR!$R$3:$S$5,2,FALSE)</f>
        <v>3 - egyik sem</v>
      </c>
      <c r="O1324" t="str">
        <f>IFERROR(VLOOKUP(J1324,PAR!$O$3:$P$5,2,FALSE),"nincs feladat")</f>
        <v>nincs feladat</v>
      </c>
      <c r="P1324" t="str">
        <f>IFERROR(VLOOKUP(G1324,PAR!$J$2:$M$19,4),"nincs rovat")</f>
        <v>nincs rovat</v>
      </c>
      <c r="Q1324" t="str">
        <f>IF(H1324&gt;0,VLOOKUP(H1324,PAR!$AA$3:$AC$187,3,FALSE),"nincs főkönyvi számla")</f>
        <v>nincs főkönyvi számla</v>
      </c>
      <c r="R1324" t="str">
        <f>IFERROR(VLOOKUP(K1324,PAR!$V$3:$X$438,3,FALSE),"000000 - Nincs COFOG")</f>
        <v>000000 - Nincs COFOG</v>
      </c>
      <c r="S1324">
        <f t="shared" si="392"/>
        <v>0</v>
      </c>
      <c r="T1324">
        <f t="shared" si="393"/>
        <v>0</v>
      </c>
      <c r="U1324" t="str">
        <f>IF('906MP'!J1024&gt;0,CONCATENATE('906MP'!J1024," - ",'906MP'!P1024,", ",'906MP'!E1024),"nincs megjegyzés")</f>
        <v>nincs megjegyzés</v>
      </c>
      <c r="V1324" t="str">
        <f t="shared" si="380"/>
        <v>0P0</v>
      </c>
      <c r="W1324" t="str">
        <f t="shared" si="381"/>
        <v>0P0</v>
      </c>
      <c r="X1324" t="str">
        <f t="shared" si="382"/>
        <v>P0</v>
      </c>
      <c r="Y1324" t="str">
        <f t="shared" si="383"/>
        <v>00</v>
      </c>
      <c r="Z1324" t="str">
        <f t="shared" si="394"/>
        <v>00</v>
      </c>
      <c r="AA1324" t="str">
        <f t="shared" si="384"/>
        <v>00</v>
      </c>
      <c r="AB1324" t="str">
        <f t="shared" si="385"/>
        <v>00</v>
      </c>
      <c r="AC1324" t="str">
        <f t="shared" si="386"/>
        <v>0P0</v>
      </c>
      <c r="AD1324" t="str">
        <f t="shared" si="387"/>
        <v>P00</v>
      </c>
      <c r="AE1324" t="str">
        <f t="shared" si="388"/>
        <v>0P0</v>
      </c>
      <c r="AF1324" t="str">
        <f t="shared" si="389"/>
        <v>P00</v>
      </c>
      <c r="AG1324" t="str">
        <f t="shared" si="395"/>
        <v>0P00</v>
      </c>
      <c r="AH1324" t="str">
        <f t="shared" si="396"/>
        <v>P000</v>
      </c>
      <c r="AI1324" t="str">
        <f t="shared" si="397"/>
        <v>0P00</v>
      </c>
      <c r="AJ1324" t="str">
        <f t="shared" si="398"/>
        <v>P000</v>
      </c>
    </row>
    <row r="1325" spans="1:36" x14ac:dyDescent="0.25">
      <c r="A1325" s="325" t="str">
        <f>CONCATENATE("P",'906MP'!M1025)</f>
        <v>P</v>
      </c>
      <c r="B1325">
        <f>'906MP'!H1025</f>
        <v>0</v>
      </c>
      <c r="C1325">
        <f>'906MP'!J1025</f>
        <v>0</v>
      </c>
      <c r="D1325">
        <f>'906MP'!P1025</f>
        <v>0</v>
      </c>
      <c r="E1325">
        <f>'906MP'!X1025</f>
        <v>0</v>
      </c>
      <c r="F1325" t="str">
        <f t="shared" si="390"/>
        <v>0</v>
      </c>
      <c r="G1325" t="str">
        <f t="shared" si="391"/>
        <v>0</v>
      </c>
      <c r="H1325">
        <f>'906MP'!Y1025</f>
        <v>0</v>
      </c>
      <c r="I1325">
        <f>'906MP'!AK1025</f>
        <v>0</v>
      </c>
      <c r="J1325">
        <f>'906MP'!T1025</f>
        <v>0</v>
      </c>
      <c r="K1325">
        <f>'906MP'!AJ1025</f>
        <v>0</v>
      </c>
      <c r="L1325">
        <f>'906MP'!U1025</f>
        <v>0</v>
      </c>
      <c r="M1325" s="322" t="str">
        <f>IFERROR(VLOOKUP(A1325,PAR!$D$3:$E$53,2,FALSE),"nincs szervezet")</f>
        <v>nincs szervezet</v>
      </c>
      <c r="N1325" s="322" t="str">
        <f>VLOOKUP(F1325,PAR!$R$3:$S$5,2,FALSE)</f>
        <v>3 - egyik sem</v>
      </c>
      <c r="O1325" t="str">
        <f>IFERROR(VLOOKUP(J1325,PAR!$O$3:$P$5,2,FALSE),"nincs feladat")</f>
        <v>nincs feladat</v>
      </c>
      <c r="P1325" t="str">
        <f>IFERROR(VLOOKUP(G1325,PAR!$J$2:$M$19,4),"nincs rovat")</f>
        <v>nincs rovat</v>
      </c>
      <c r="Q1325" t="str">
        <f>IF(H1325&gt;0,VLOOKUP(H1325,PAR!$AA$3:$AC$187,3,FALSE),"nincs főkönyvi számla")</f>
        <v>nincs főkönyvi számla</v>
      </c>
      <c r="R1325" t="str">
        <f>IFERROR(VLOOKUP(K1325,PAR!$V$3:$X$438,3,FALSE),"000000 - Nincs COFOG")</f>
        <v>000000 - Nincs COFOG</v>
      </c>
      <c r="S1325">
        <f t="shared" si="392"/>
        <v>0</v>
      </c>
      <c r="T1325">
        <f t="shared" si="393"/>
        <v>0</v>
      </c>
      <c r="U1325" t="str">
        <f>IF('906MP'!J1025&gt;0,CONCATENATE('906MP'!J1025," - ",'906MP'!P1025,", ",'906MP'!E1025),"nincs megjegyzés")</f>
        <v>nincs megjegyzés</v>
      </c>
      <c r="V1325" t="str">
        <f t="shared" si="380"/>
        <v>0P0</v>
      </c>
      <c r="W1325" t="str">
        <f t="shared" si="381"/>
        <v>0P0</v>
      </c>
      <c r="X1325" t="str">
        <f t="shared" si="382"/>
        <v>P0</v>
      </c>
      <c r="Y1325" t="str">
        <f t="shared" si="383"/>
        <v>00</v>
      </c>
      <c r="Z1325" t="str">
        <f t="shared" si="394"/>
        <v>00</v>
      </c>
      <c r="AA1325" t="str">
        <f t="shared" si="384"/>
        <v>00</v>
      </c>
      <c r="AB1325" t="str">
        <f t="shared" si="385"/>
        <v>00</v>
      </c>
      <c r="AC1325" t="str">
        <f t="shared" si="386"/>
        <v>0P0</v>
      </c>
      <c r="AD1325" t="str">
        <f t="shared" si="387"/>
        <v>P00</v>
      </c>
      <c r="AE1325" t="str">
        <f t="shared" si="388"/>
        <v>0P0</v>
      </c>
      <c r="AF1325" t="str">
        <f t="shared" si="389"/>
        <v>P00</v>
      </c>
      <c r="AG1325" t="str">
        <f t="shared" si="395"/>
        <v>0P00</v>
      </c>
      <c r="AH1325" t="str">
        <f t="shared" si="396"/>
        <v>P000</v>
      </c>
      <c r="AI1325" t="str">
        <f t="shared" si="397"/>
        <v>0P00</v>
      </c>
      <c r="AJ1325" t="str">
        <f t="shared" si="398"/>
        <v>P000</v>
      </c>
    </row>
    <row r="1326" spans="1:36" x14ac:dyDescent="0.25">
      <c r="A1326" s="325" t="str">
        <f>CONCATENATE("P",'906MP'!M1026)</f>
        <v>P</v>
      </c>
      <c r="B1326">
        <f>'906MP'!H1026</f>
        <v>0</v>
      </c>
      <c r="C1326">
        <f>'906MP'!J1026</f>
        <v>0</v>
      </c>
      <c r="D1326">
        <f>'906MP'!P1026</f>
        <v>0</v>
      </c>
      <c r="E1326">
        <f>'906MP'!X1026</f>
        <v>0</v>
      </c>
      <c r="F1326" t="str">
        <f t="shared" si="390"/>
        <v>0</v>
      </c>
      <c r="G1326" t="str">
        <f t="shared" si="391"/>
        <v>0</v>
      </c>
      <c r="H1326">
        <f>'906MP'!Y1026</f>
        <v>0</v>
      </c>
      <c r="I1326">
        <f>'906MP'!AK1026</f>
        <v>0</v>
      </c>
      <c r="J1326">
        <f>'906MP'!T1026</f>
        <v>0</v>
      </c>
      <c r="K1326">
        <f>'906MP'!AJ1026</f>
        <v>0</v>
      </c>
      <c r="L1326">
        <f>'906MP'!U1026</f>
        <v>0</v>
      </c>
      <c r="M1326" s="322" t="str">
        <f>IFERROR(VLOOKUP(A1326,PAR!$D$3:$E$53,2,FALSE),"nincs szervezet")</f>
        <v>nincs szervezet</v>
      </c>
      <c r="N1326" s="322" t="str">
        <f>VLOOKUP(F1326,PAR!$R$3:$S$5,2,FALSE)</f>
        <v>3 - egyik sem</v>
      </c>
      <c r="O1326" t="str">
        <f>IFERROR(VLOOKUP(J1326,PAR!$O$3:$P$5,2,FALSE),"nincs feladat")</f>
        <v>nincs feladat</v>
      </c>
      <c r="P1326" t="str">
        <f>IFERROR(VLOOKUP(G1326,PAR!$J$2:$M$19,4),"nincs rovat")</f>
        <v>nincs rovat</v>
      </c>
      <c r="Q1326" t="str">
        <f>IF(H1326&gt;0,VLOOKUP(H1326,PAR!$AA$3:$AC$187,3,FALSE),"nincs főkönyvi számla")</f>
        <v>nincs főkönyvi számla</v>
      </c>
      <c r="R1326" t="str">
        <f>IFERROR(VLOOKUP(K1326,PAR!$V$3:$X$438,3,FALSE),"000000 - Nincs COFOG")</f>
        <v>000000 - Nincs COFOG</v>
      </c>
      <c r="S1326">
        <f t="shared" si="392"/>
        <v>0</v>
      </c>
      <c r="T1326">
        <f t="shared" si="393"/>
        <v>0</v>
      </c>
      <c r="U1326" t="str">
        <f>IF('906MP'!J1026&gt;0,CONCATENATE('906MP'!J1026," - ",'906MP'!P1026,", ",'906MP'!E1026),"nincs megjegyzés")</f>
        <v>nincs megjegyzés</v>
      </c>
      <c r="V1326" t="str">
        <f t="shared" si="380"/>
        <v>0P0</v>
      </c>
      <c r="W1326" t="str">
        <f t="shared" si="381"/>
        <v>0P0</v>
      </c>
      <c r="X1326" t="str">
        <f t="shared" si="382"/>
        <v>P0</v>
      </c>
      <c r="Y1326" t="str">
        <f t="shared" si="383"/>
        <v>00</v>
      </c>
      <c r="Z1326" t="str">
        <f t="shared" si="394"/>
        <v>00</v>
      </c>
      <c r="AA1326" t="str">
        <f t="shared" si="384"/>
        <v>00</v>
      </c>
      <c r="AB1326" t="str">
        <f t="shared" si="385"/>
        <v>00</v>
      </c>
      <c r="AC1326" t="str">
        <f t="shared" si="386"/>
        <v>0P0</v>
      </c>
      <c r="AD1326" t="str">
        <f t="shared" si="387"/>
        <v>P00</v>
      </c>
      <c r="AE1326" t="str">
        <f t="shared" si="388"/>
        <v>0P0</v>
      </c>
      <c r="AF1326" t="str">
        <f t="shared" si="389"/>
        <v>P00</v>
      </c>
      <c r="AG1326" t="str">
        <f t="shared" si="395"/>
        <v>0P00</v>
      </c>
      <c r="AH1326" t="str">
        <f t="shared" si="396"/>
        <v>P000</v>
      </c>
      <c r="AI1326" t="str">
        <f t="shared" si="397"/>
        <v>0P00</v>
      </c>
      <c r="AJ1326" t="str">
        <f t="shared" si="398"/>
        <v>P000</v>
      </c>
    </row>
    <row r="1327" spans="1:36" x14ac:dyDescent="0.25">
      <c r="A1327" s="325" t="str">
        <f>CONCATENATE("P",'906MP'!M1027)</f>
        <v>P</v>
      </c>
      <c r="B1327">
        <f>'906MP'!H1027</f>
        <v>0</v>
      </c>
      <c r="C1327">
        <f>'906MP'!J1027</f>
        <v>0</v>
      </c>
      <c r="D1327">
        <f>'906MP'!P1027</f>
        <v>0</v>
      </c>
      <c r="E1327">
        <f>'906MP'!X1027</f>
        <v>0</v>
      </c>
      <c r="F1327" t="str">
        <f t="shared" si="390"/>
        <v>0</v>
      </c>
      <c r="G1327" t="str">
        <f t="shared" si="391"/>
        <v>0</v>
      </c>
      <c r="H1327">
        <f>'906MP'!Y1027</f>
        <v>0</v>
      </c>
      <c r="I1327">
        <f>'906MP'!AK1027</f>
        <v>0</v>
      </c>
      <c r="J1327">
        <f>'906MP'!T1027</f>
        <v>0</v>
      </c>
      <c r="K1327">
        <f>'906MP'!AJ1027</f>
        <v>0</v>
      </c>
      <c r="L1327">
        <f>'906MP'!U1027</f>
        <v>0</v>
      </c>
      <c r="M1327" s="322" t="str">
        <f>IFERROR(VLOOKUP(A1327,PAR!$D$3:$E$53,2,FALSE),"nincs szervezet")</f>
        <v>nincs szervezet</v>
      </c>
      <c r="N1327" s="322" t="str">
        <f>VLOOKUP(F1327,PAR!$R$3:$S$5,2,FALSE)</f>
        <v>3 - egyik sem</v>
      </c>
      <c r="O1327" t="str">
        <f>IFERROR(VLOOKUP(J1327,PAR!$O$3:$P$5,2,FALSE),"nincs feladat")</f>
        <v>nincs feladat</v>
      </c>
      <c r="P1327" t="str">
        <f>IFERROR(VLOOKUP(G1327,PAR!$J$2:$M$19,4),"nincs rovat")</f>
        <v>nincs rovat</v>
      </c>
      <c r="Q1327" t="str">
        <f>IF(H1327&gt;0,VLOOKUP(H1327,PAR!$AA$3:$AC$187,3,FALSE),"nincs főkönyvi számla")</f>
        <v>nincs főkönyvi számla</v>
      </c>
      <c r="R1327" t="str">
        <f>IFERROR(VLOOKUP(K1327,PAR!$V$3:$X$438,3,FALSE),"000000 - Nincs COFOG")</f>
        <v>000000 - Nincs COFOG</v>
      </c>
      <c r="S1327">
        <f t="shared" si="392"/>
        <v>0</v>
      </c>
      <c r="T1327">
        <f t="shared" si="393"/>
        <v>0</v>
      </c>
      <c r="U1327" t="str">
        <f>IF('906MP'!J1027&gt;0,CONCATENATE('906MP'!J1027," - ",'906MP'!P1027,", ",'906MP'!E1027),"nincs megjegyzés")</f>
        <v>nincs megjegyzés</v>
      </c>
      <c r="V1327" t="str">
        <f t="shared" si="380"/>
        <v>0P0</v>
      </c>
      <c r="W1327" t="str">
        <f t="shared" si="381"/>
        <v>0P0</v>
      </c>
      <c r="X1327" t="str">
        <f t="shared" si="382"/>
        <v>P0</v>
      </c>
      <c r="Y1327" t="str">
        <f t="shared" si="383"/>
        <v>00</v>
      </c>
      <c r="Z1327" t="str">
        <f t="shared" si="394"/>
        <v>00</v>
      </c>
      <c r="AA1327" t="str">
        <f t="shared" si="384"/>
        <v>00</v>
      </c>
      <c r="AB1327" t="str">
        <f t="shared" si="385"/>
        <v>00</v>
      </c>
      <c r="AC1327" t="str">
        <f t="shared" si="386"/>
        <v>0P0</v>
      </c>
      <c r="AD1327" t="str">
        <f t="shared" si="387"/>
        <v>P00</v>
      </c>
      <c r="AE1327" t="str">
        <f t="shared" si="388"/>
        <v>0P0</v>
      </c>
      <c r="AF1327" t="str">
        <f t="shared" si="389"/>
        <v>P00</v>
      </c>
      <c r="AG1327" t="str">
        <f t="shared" si="395"/>
        <v>0P00</v>
      </c>
      <c r="AH1327" t="str">
        <f t="shared" si="396"/>
        <v>P000</v>
      </c>
      <c r="AI1327" t="str">
        <f t="shared" si="397"/>
        <v>0P00</v>
      </c>
      <c r="AJ1327" t="str">
        <f t="shared" si="398"/>
        <v>P000</v>
      </c>
    </row>
    <row r="1328" spans="1:36" x14ac:dyDescent="0.25">
      <c r="A1328" s="325" t="str">
        <f>CONCATENATE("P",'906MP'!M1028)</f>
        <v>P</v>
      </c>
      <c r="B1328">
        <f>'906MP'!H1028</f>
        <v>0</v>
      </c>
      <c r="C1328">
        <f>'906MP'!J1028</f>
        <v>0</v>
      </c>
      <c r="D1328">
        <f>'906MP'!P1028</f>
        <v>0</v>
      </c>
      <c r="E1328">
        <f>'906MP'!X1028</f>
        <v>0</v>
      </c>
      <c r="F1328" t="str">
        <f t="shared" si="390"/>
        <v>0</v>
      </c>
      <c r="G1328" t="str">
        <f t="shared" si="391"/>
        <v>0</v>
      </c>
      <c r="H1328">
        <f>'906MP'!Y1028</f>
        <v>0</v>
      </c>
      <c r="I1328">
        <f>'906MP'!AK1028</f>
        <v>0</v>
      </c>
      <c r="J1328">
        <f>'906MP'!T1028</f>
        <v>0</v>
      </c>
      <c r="K1328">
        <f>'906MP'!AJ1028</f>
        <v>0</v>
      </c>
      <c r="L1328">
        <f>'906MP'!U1028</f>
        <v>0</v>
      </c>
      <c r="M1328" s="322" t="str">
        <f>IFERROR(VLOOKUP(A1328,PAR!$D$3:$E$53,2,FALSE),"nincs szervezet")</f>
        <v>nincs szervezet</v>
      </c>
      <c r="N1328" s="322" t="str">
        <f>VLOOKUP(F1328,PAR!$R$3:$S$5,2,FALSE)</f>
        <v>3 - egyik sem</v>
      </c>
      <c r="O1328" t="str">
        <f>IFERROR(VLOOKUP(J1328,PAR!$O$3:$P$5,2,FALSE),"nincs feladat")</f>
        <v>nincs feladat</v>
      </c>
      <c r="P1328" t="str">
        <f>IFERROR(VLOOKUP(G1328,PAR!$J$2:$M$19,4),"nincs rovat")</f>
        <v>nincs rovat</v>
      </c>
      <c r="Q1328" t="str">
        <f>IF(H1328&gt;0,VLOOKUP(H1328,PAR!$AA$3:$AC$187,3,FALSE),"nincs főkönyvi számla")</f>
        <v>nincs főkönyvi számla</v>
      </c>
      <c r="R1328" t="str">
        <f>IFERROR(VLOOKUP(K1328,PAR!$V$3:$X$438,3,FALSE),"000000 - Nincs COFOG")</f>
        <v>000000 - Nincs COFOG</v>
      </c>
      <c r="S1328">
        <f t="shared" si="392"/>
        <v>0</v>
      </c>
      <c r="T1328">
        <f t="shared" si="393"/>
        <v>0</v>
      </c>
      <c r="U1328" t="str">
        <f>IF('906MP'!J1028&gt;0,CONCATENATE('906MP'!J1028," - ",'906MP'!P1028,", ",'906MP'!E1028),"nincs megjegyzés")</f>
        <v>nincs megjegyzés</v>
      </c>
      <c r="V1328" t="str">
        <f t="shared" si="380"/>
        <v>0P0</v>
      </c>
      <c r="W1328" t="str">
        <f t="shared" si="381"/>
        <v>0P0</v>
      </c>
      <c r="X1328" t="str">
        <f t="shared" si="382"/>
        <v>P0</v>
      </c>
      <c r="Y1328" t="str">
        <f t="shared" si="383"/>
        <v>00</v>
      </c>
      <c r="Z1328" t="str">
        <f t="shared" si="394"/>
        <v>00</v>
      </c>
      <c r="AA1328" t="str">
        <f t="shared" si="384"/>
        <v>00</v>
      </c>
      <c r="AB1328" t="str">
        <f t="shared" si="385"/>
        <v>00</v>
      </c>
      <c r="AC1328" t="str">
        <f t="shared" si="386"/>
        <v>0P0</v>
      </c>
      <c r="AD1328" t="str">
        <f t="shared" si="387"/>
        <v>P00</v>
      </c>
      <c r="AE1328" t="str">
        <f t="shared" si="388"/>
        <v>0P0</v>
      </c>
      <c r="AF1328" t="str">
        <f t="shared" si="389"/>
        <v>P00</v>
      </c>
      <c r="AG1328" t="str">
        <f t="shared" si="395"/>
        <v>0P00</v>
      </c>
      <c r="AH1328" t="str">
        <f t="shared" si="396"/>
        <v>P000</v>
      </c>
      <c r="AI1328" t="str">
        <f t="shared" si="397"/>
        <v>0P00</v>
      </c>
      <c r="AJ1328" t="str">
        <f t="shared" si="398"/>
        <v>P000</v>
      </c>
    </row>
    <row r="1329" spans="1:36" x14ac:dyDescent="0.25">
      <c r="A1329" s="325" t="str">
        <f>CONCATENATE("P",'906MP'!M1029)</f>
        <v>P</v>
      </c>
      <c r="B1329">
        <f>'906MP'!H1029</f>
        <v>0</v>
      </c>
      <c r="C1329">
        <f>'906MP'!J1029</f>
        <v>0</v>
      </c>
      <c r="D1329">
        <f>'906MP'!P1029</f>
        <v>0</v>
      </c>
      <c r="E1329">
        <f>'906MP'!X1029</f>
        <v>0</v>
      </c>
      <c r="F1329" t="str">
        <f t="shared" si="390"/>
        <v>0</v>
      </c>
      <c r="G1329" t="str">
        <f t="shared" si="391"/>
        <v>0</v>
      </c>
      <c r="H1329">
        <f>'906MP'!Y1029</f>
        <v>0</v>
      </c>
      <c r="I1329">
        <f>'906MP'!AK1029</f>
        <v>0</v>
      </c>
      <c r="J1329">
        <f>'906MP'!T1029</f>
        <v>0</v>
      </c>
      <c r="K1329">
        <f>'906MP'!AJ1029</f>
        <v>0</v>
      </c>
      <c r="L1329">
        <f>'906MP'!U1029</f>
        <v>0</v>
      </c>
      <c r="M1329" s="322" t="str">
        <f>IFERROR(VLOOKUP(A1329,PAR!$D$3:$E$53,2,FALSE),"nincs szervezet")</f>
        <v>nincs szervezet</v>
      </c>
      <c r="N1329" s="322" t="str">
        <f>VLOOKUP(F1329,PAR!$R$3:$S$5,2,FALSE)</f>
        <v>3 - egyik sem</v>
      </c>
      <c r="O1329" t="str">
        <f>IFERROR(VLOOKUP(J1329,PAR!$O$3:$P$5,2,FALSE),"nincs feladat")</f>
        <v>nincs feladat</v>
      </c>
      <c r="P1329" t="str">
        <f>IFERROR(VLOOKUP(G1329,PAR!$J$2:$M$19,4),"nincs rovat")</f>
        <v>nincs rovat</v>
      </c>
      <c r="Q1329" t="str">
        <f>IF(H1329&gt;0,VLOOKUP(H1329,PAR!$AA$3:$AC$187,3,FALSE),"nincs főkönyvi számla")</f>
        <v>nincs főkönyvi számla</v>
      </c>
      <c r="R1329" t="str">
        <f>IFERROR(VLOOKUP(K1329,PAR!$V$3:$X$438,3,FALSE),"000000 - Nincs COFOG")</f>
        <v>000000 - Nincs COFOG</v>
      </c>
      <c r="S1329">
        <f t="shared" si="392"/>
        <v>0</v>
      </c>
      <c r="T1329">
        <f t="shared" si="393"/>
        <v>0</v>
      </c>
      <c r="U1329" t="str">
        <f>IF('906MP'!J1029&gt;0,CONCATENATE('906MP'!J1029," - ",'906MP'!P1029,", ",'906MP'!E1029),"nincs megjegyzés")</f>
        <v>nincs megjegyzés</v>
      </c>
      <c r="V1329" t="str">
        <f t="shared" si="380"/>
        <v>0P0</v>
      </c>
      <c r="W1329" t="str">
        <f t="shared" si="381"/>
        <v>0P0</v>
      </c>
      <c r="X1329" t="str">
        <f t="shared" si="382"/>
        <v>P0</v>
      </c>
      <c r="Y1329" t="str">
        <f t="shared" si="383"/>
        <v>00</v>
      </c>
      <c r="Z1329" t="str">
        <f t="shared" si="394"/>
        <v>00</v>
      </c>
      <c r="AA1329" t="str">
        <f t="shared" si="384"/>
        <v>00</v>
      </c>
      <c r="AB1329" t="str">
        <f t="shared" si="385"/>
        <v>00</v>
      </c>
      <c r="AC1329" t="str">
        <f t="shared" si="386"/>
        <v>0P0</v>
      </c>
      <c r="AD1329" t="str">
        <f t="shared" si="387"/>
        <v>P00</v>
      </c>
      <c r="AE1329" t="str">
        <f t="shared" si="388"/>
        <v>0P0</v>
      </c>
      <c r="AF1329" t="str">
        <f t="shared" si="389"/>
        <v>P00</v>
      </c>
      <c r="AG1329" t="str">
        <f t="shared" si="395"/>
        <v>0P00</v>
      </c>
      <c r="AH1329" t="str">
        <f t="shared" si="396"/>
        <v>P000</v>
      </c>
      <c r="AI1329" t="str">
        <f t="shared" si="397"/>
        <v>0P00</v>
      </c>
      <c r="AJ1329" t="str">
        <f t="shared" si="398"/>
        <v>P000</v>
      </c>
    </row>
    <row r="1330" spans="1:36" x14ac:dyDescent="0.25">
      <c r="A1330" s="325" t="str">
        <f>CONCATENATE("P",'906MP'!M1030)</f>
        <v>P</v>
      </c>
      <c r="B1330">
        <f>'906MP'!H1030</f>
        <v>0</v>
      </c>
      <c r="C1330">
        <f>'906MP'!J1030</f>
        <v>0</v>
      </c>
      <c r="D1330">
        <f>'906MP'!P1030</f>
        <v>0</v>
      </c>
      <c r="E1330">
        <f>'906MP'!X1030</f>
        <v>0</v>
      </c>
      <c r="F1330" t="str">
        <f t="shared" si="390"/>
        <v>0</v>
      </c>
      <c r="G1330" t="str">
        <f t="shared" si="391"/>
        <v>0</v>
      </c>
      <c r="H1330">
        <f>'906MP'!Y1030</f>
        <v>0</v>
      </c>
      <c r="I1330">
        <f>'906MP'!AK1030</f>
        <v>0</v>
      </c>
      <c r="J1330">
        <f>'906MP'!T1030</f>
        <v>0</v>
      </c>
      <c r="K1330">
        <f>'906MP'!AJ1030</f>
        <v>0</v>
      </c>
      <c r="L1330">
        <f>'906MP'!U1030</f>
        <v>0</v>
      </c>
      <c r="M1330" s="322" t="str">
        <f>IFERROR(VLOOKUP(A1330,PAR!$D$3:$E$53,2,FALSE),"nincs szervezet")</f>
        <v>nincs szervezet</v>
      </c>
      <c r="N1330" s="322" t="str">
        <f>VLOOKUP(F1330,PAR!$R$3:$S$5,2,FALSE)</f>
        <v>3 - egyik sem</v>
      </c>
      <c r="O1330" t="str">
        <f>IFERROR(VLOOKUP(J1330,PAR!$O$3:$P$5,2,FALSE),"nincs feladat")</f>
        <v>nincs feladat</v>
      </c>
      <c r="P1330" t="str">
        <f>IFERROR(VLOOKUP(G1330,PAR!$J$2:$M$19,4),"nincs rovat")</f>
        <v>nincs rovat</v>
      </c>
      <c r="Q1330" t="str">
        <f>IF(H1330&gt;0,VLOOKUP(H1330,PAR!$AA$3:$AC$187,3,FALSE),"nincs főkönyvi számla")</f>
        <v>nincs főkönyvi számla</v>
      </c>
      <c r="R1330" t="str">
        <f>IFERROR(VLOOKUP(K1330,PAR!$V$3:$X$438,3,FALSE),"000000 - Nincs COFOG")</f>
        <v>000000 - Nincs COFOG</v>
      </c>
      <c r="S1330">
        <f t="shared" si="392"/>
        <v>0</v>
      </c>
      <c r="T1330">
        <f t="shared" si="393"/>
        <v>0</v>
      </c>
      <c r="U1330" t="str">
        <f>IF('906MP'!J1030&gt;0,CONCATENATE('906MP'!J1030," - ",'906MP'!P1030,", ",'906MP'!E1030),"nincs megjegyzés")</f>
        <v>nincs megjegyzés</v>
      </c>
      <c r="V1330" t="str">
        <f t="shared" si="380"/>
        <v>0P0</v>
      </c>
      <c r="W1330" t="str">
        <f t="shared" si="381"/>
        <v>0P0</v>
      </c>
      <c r="X1330" t="str">
        <f t="shared" si="382"/>
        <v>P0</v>
      </c>
      <c r="Y1330" t="str">
        <f t="shared" si="383"/>
        <v>00</v>
      </c>
      <c r="Z1330" t="str">
        <f t="shared" si="394"/>
        <v>00</v>
      </c>
      <c r="AA1330" t="str">
        <f t="shared" si="384"/>
        <v>00</v>
      </c>
      <c r="AB1330" t="str">
        <f t="shared" si="385"/>
        <v>00</v>
      </c>
      <c r="AC1330" t="str">
        <f t="shared" si="386"/>
        <v>0P0</v>
      </c>
      <c r="AD1330" t="str">
        <f t="shared" si="387"/>
        <v>P00</v>
      </c>
      <c r="AE1330" t="str">
        <f t="shared" si="388"/>
        <v>0P0</v>
      </c>
      <c r="AF1330" t="str">
        <f t="shared" si="389"/>
        <v>P00</v>
      </c>
      <c r="AG1330" t="str">
        <f t="shared" si="395"/>
        <v>0P00</v>
      </c>
      <c r="AH1330" t="str">
        <f t="shared" si="396"/>
        <v>P000</v>
      </c>
      <c r="AI1330" t="str">
        <f t="shared" si="397"/>
        <v>0P00</v>
      </c>
      <c r="AJ1330" t="str">
        <f t="shared" si="398"/>
        <v>P000</v>
      </c>
    </row>
    <row r="1331" spans="1:36" x14ac:dyDescent="0.25">
      <c r="A1331" s="325" t="str">
        <f>CONCATENATE("P",'906MP'!M1031)</f>
        <v>P</v>
      </c>
      <c r="B1331">
        <f>'906MP'!H1031</f>
        <v>0</v>
      </c>
      <c r="C1331">
        <f>'906MP'!J1031</f>
        <v>0</v>
      </c>
      <c r="D1331">
        <f>'906MP'!P1031</f>
        <v>0</v>
      </c>
      <c r="E1331">
        <f>'906MP'!X1031</f>
        <v>0</v>
      </c>
      <c r="F1331" t="str">
        <f t="shared" si="390"/>
        <v>0</v>
      </c>
      <c r="G1331" t="str">
        <f t="shared" si="391"/>
        <v>0</v>
      </c>
      <c r="H1331">
        <f>'906MP'!Y1031</f>
        <v>0</v>
      </c>
      <c r="I1331">
        <f>'906MP'!AK1031</f>
        <v>0</v>
      </c>
      <c r="J1331">
        <f>'906MP'!T1031</f>
        <v>0</v>
      </c>
      <c r="K1331">
        <f>'906MP'!AJ1031</f>
        <v>0</v>
      </c>
      <c r="L1331">
        <f>'906MP'!U1031</f>
        <v>0</v>
      </c>
      <c r="M1331" s="322" t="str">
        <f>IFERROR(VLOOKUP(A1331,PAR!$D$3:$E$53,2,FALSE),"nincs szervezet")</f>
        <v>nincs szervezet</v>
      </c>
      <c r="N1331" s="322" t="str">
        <f>VLOOKUP(F1331,PAR!$R$3:$S$5,2,FALSE)</f>
        <v>3 - egyik sem</v>
      </c>
      <c r="O1331" t="str">
        <f>IFERROR(VLOOKUP(J1331,PAR!$O$3:$P$5,2,FALSE),"nincs feladat")</f>
        <v>nincs feladat</v>
      </c>
      <c r="P1331" t="str">
        <f>IFERROR(VLOOKUP(G1331,PAR!$J$2:$M$19,4),"nincs rovat")</f>
        <v>nincs rovat</v>
      </c>
      <c r="Q1331" t="str">
        <f>IF(H1331&gt;0,VLOOKUP(H1331,PAR!$AA$3:$AC$187,3,FALSE),"nincs főkönyvi számla")</f>
        <v>nincs főkönyvi számla</v>
      </c>
      <c r="R1331" t="str">
        <f>IFERROR(VLOOKUP(K1331,PAR!$V$3:$X$438,3,FALSE),"000000 - Nincs COFOG")</f>
        <v>000000 - Nincs COFOG</v>
      </c>
      <c r="S1331">
        <f t="shared" si="392"/>
        <v>0</v>
      </c>
      <c r="T1331">
        <f t="shared" si="393"/>
        <v>0</v>
      </c>
      <c r="U1331" t="str">
        <f>IF('906MP'!J1031&gt;0,CONCATENATE('906MP'!J1031," - ",'906MP'!P1031,", ",'906MP'!E1031),"nincs megjegyzés")</f>
        <v>nincs megjegyzés</v>
      </c>
      <c r="V1331" t="str">
        <f t="shared" si="380"/>
        <v>0P0</v>
      </c>
      <c r="W1331" t="str">
        <f t="shared" si="381"/>
        <v>0P0</v>
      </c>
      <c r="X1331" t="str">
        <f t="shared" si="382"/>
        <v>P0</v>
      </c>
      <c r="Y1331" t="str">
        <f t="shared" si="383"/>
        <v>00</v>
      </c>
      <c r="Z1331" t="str">
        <f t="shared" si="394"/>
        <v>00</v>
      </c>
      <c r="AA1331" t="str">
        <f t="shared" si="384"/>
        <v>00</v>
      </c>
      <c r="AB1331" t="str">
        <f t="shared" si="385"/>
        <v>00</v>
      </c>
      <c r="AC1331" t="str">
        <f t="shared" si="386"/>
        <v>0P0</v>
      </c>
      <c r="AD1331" t="str">
        <f t="shared" si="387"/>
        <v>P00</v>
      </c>
      <c r="AE1331" t="str">
        <f t="shared" si="388"/>
        <v>0P0</v>
      </c>
      <c r="AF1331" t="str">
        <f t="shared" si="389"/>
        <v>P00</v>
      </c>
      <c r="AG1331" t="str">
        <f t="shared" si="395"/>
        <v>0P00</v>
      </c>
      <c r="AH1331" t="str">
        <f t="shared" si="396"/>
        <v>P000</v>
      </c>
      <c r="AI1331" t="str">
        <f t="shared" si="397"/>
        <v>0P00</v>
      </c>
      <c r="AJ1331" t="str">
        <f t="shared" si="398"/>
        <v>P000</v>
      </c>
    </row>
    <row r="1332" spans="1:36" x14ac:dyDescent="0.25">
      <c r="A1332" s="325" t="str">
        <f>CONCATENATE("P",'906MP'!M1032)</f>
        <v>P</v>
      </c>
      <c r="B1332">
        <f>'906MP'!H1032</f>
        <v>0</v>
      </c>
      <c r="C1332">
        <f>'906MP'!J1032</f>
        <v>0</v>
      </c>
      <c r="D1332">
        <f>'906MP'!P1032</f>
        <v>0</v>
      </c>
      <c r="E1332">
        <f>'906MP'!X1032</f>
        <v>0</v>
      </c>
      <c r="F1332" t="str">
        <f t="shared" si="390"/>
        <v>0</v>
      </c>
      <c r="G1332" t="str">
        <f t="shared" si="391"/>
        <v>0</v>
      </c>
      <c r="H1332">
        <f>'906MP'!Y1032</f>
        <v>0</v>
      </c>
      <c r="I1332">
        <f>'906MP'!AK1032</f>
        <v>0</v>
      </c>
      <c r="J1332">
        <f>'906MP'!T1032</f>
        <v>0</v>
      </c>
      <c r="K1332">
        <f>'906MP'!AJ1032</f>
        <v>0</v>
      </c>
      <c r="L1332">
        <f>'906MP'!U1032</f>
        <v>0</v>
      </c>
      <c r="M1332" s="322" t="str">
        <f>IFERROR(VLOOKUP(A1332,PAR!$D$3:$E$53,2,FALSE),"nincs szervezet")</f>
        <v>nincs szervezet</v>
      </c>
      <c r="N1332" s="322" t="str">
        <f>VLOOKUP(F1332,PAR!$R$3:$S$5,2,FALSE)</f>
        <v>3 - egyik sem</v>
      </c>
      <c r="O1332" t="str">
        <f>IFERROR(VLOOKUP(J1332,PAR!$O$3:$P$5,2,FALSE),"nincs feladat")</f>
        <v>nincs feladat</v>
      </c>
      <c r="P1332" t="str">
        <f>IFERROR(VLOOKUP(G1332,PAR!$J$2:$M$19,4),"nincs rovat")</f>
        <v>nincs rovat</v>
      </c>
      <c r="Q1332" t="str">
        <f>IF(H1332&gt;0,VLOOKUP(H1332,PAR!$AA$3:$AC$187,3,FALSE),"nincs főkönyvi számla")</f>
        <v>nincs főkönyvi számla</v>
      </c>
      <c r="R1332" t="str">
        <f>IFERROR(VLOOKUP(K1332,PAR!$V$3:$X$438,3,FALSE),"000000 - Nincs COFOG")</f>
        <v>000000 - Nincs COFOG</v>
      </c>
      <c r="S1332">
        <f t="shared" si="392"/>
        <v>0</v>
      </c>
      <c r="T1332">
        <f t="shared" si="393"/>
        <v>0</v>
      </c>
      <c r="U1332" t="str">
        <f>IF('906MP'!J1032&gt;0,CONCATENATE('906MP'!J1032," - ",'906MP'!P1032,", ",'906MP'!E1032),"nincs megjegyzés")</f>
        <v>nincs megjegyzés</v>
      </c>
      <c r="V1332" t="str">
        <f t="shared" si="380"/>
        <v>0P0</v>
      </c>
      <c r="W1332" t="str">
        <f t="shared" si="381"/>
        <v>0P0</v>
      </c>
      <c r="X1332" t="str">
        <f t="shared" si="382"/>
        <v>P0</v>
      </c>
      <c r="Y1332" t="str">
        <f t="shared" si="383"/>
        <v>00</v>
      </c>
      <c r="Z1332" t="str">
        <f t="shared" si="394"/>
        <v>00</v>
      </c>
      <c r="AA1332" t="str">
        <f t="shared" si="384"/>
        <v>00</v>
      </c>
      <c r="AB1332" t="str">
        <f t="shared" si="385"/>
        <v>00</v>
      </c>
      <c r="AC1332" t="str">
        <f t="shared" si="386"/>
        <v>0P0</v>
      </c>
      <c r="AD1332" t="str">
        <f t="shared" si="387"/>
        <v>P00</v>
      </c>
      <c r="AE1332" t="str">
        <f t="shared" si="388"/>
        <v>0P0</v>
      </c>
      <c r="AF1332" t="str">
        <f t="shared" si="389"/>
        <v>P00</v>
      </c>
      <c r="AG1332" t="str">
        <f t="shared" si="395"/>
        <v>0P00</v>
      </c>
      <c r="AH1332" t="str">
        <f t="shared" si="396"/>
        <v>P000</v>
      </c>
      <c r="AI1332" t="str">
        <f t="shared" si="397"/>
        <v>0P00</v>
      </c>
      <c r="AJ1332" t="str">
        <f t="shared" si="398"/>
        <v>P000</v>
      </c>
    </row>
    <row r="1333" spans="1:36" x14ac:dyDescent="0.25">
      <c r="A1333" s="325" t="str">
        <f>CONCATENATE("P",'906MP'!M1033)</f>
        <v>P</v>
      </c>
      <c r="B1333">
        <f>'906MP'!H1033</f>
        <v>0</v>
      </c>
      <c r="C1333">
        <f>'906MP'!J1033</f>
        <v>0</v>
      </c>
      <c r="D1333">
        <f>'906MP'!P1033</f>
        <v>0</v>
      </c>
      <c r="E1333">
        <f>'906MP'!X1033</f>
        <v>0</v>
      </c>
      <c r="F1333" t="str">
        <f t="shared" si="390"/>
        <v>0</v>
      </c>
      <c r="G1333" t="str">
        <f t="shared" si="391"/>
        <v>0</v>
      </c>
      <c r="H1333">
        <f>'906MP'!Y1033</f>
        <v>0</v>
      </c>
      <c r="I1333">
        <f>'906MP'!AK1033</f>
        <v>0</v>
      </c>
      <c r="J1333">
        <f>'906MP'!T1033</f>
        <v>0</v>
      </c>
      <c r="K1333">
        <f>'906MP'!AJ1033</f>
        <v>0</v>
      </c>
      <c r="L1333">
        <f>'906MP'!U1033</f>
        <v>0</v>
      </c>
      <c r="M1333" s="322" t="str">
        <f>IFERROR(VLOOKUP(A1333,PAR!$D$3:$E$53,2,FALSE),"nincs szervezet")</f>
        <v>nincs szervezet</v>
      </c>
      <c r="N1333" s="322" t="str">
        <f>VLOOKUP(F1333,PAR!$R$3:$S$5,2,FALSE)</f>
        <v>3 - egyik sem</v>
      </c>
      <c r="O1333" t="str">
        <f>IFERROR(VLOOKUP(J1333,PAR!$O$3:$P$5,2,FALSE),"nincs feladat")</f>
        <v>nincs feladat</v>
      </c>
      <c r="P1333" t="str">
        <f>IFERROR(VLOOKUP(G1333,PAR!$J$2:$M$19,4),"nincs rovat")</f>
        <v>nincs rovat</v>
      </c>
      <c r="Q1333" t="str">
        <f>IF(H1333&gt;0,VLOOKUP(H1333,PAR!$AA$3:$AC$187,3,FALSE),"nincs főkönyvi számla")</f>
        <v>nincs főkönyvi számla</v>
      </c>
      <c r="R1333" t="str">
        <f>IFERROR(VLOOKUP(K1333,PAR!$V$3:$X$438,3,FALSE),"000000 - Nincs COFOG")</f>
        <v>000000 - Nincs COFOG</v>
      </c>
      <c r="S1333">
        <f t="shared" si="392"/>
        <v>0</v>
      </c>
      <c r="T1333">
        <f t="shared" si="393"/>
        <v>0</v>
      </c>
      <c r="U1333" t="str">
        <f>IF('906MP'!J1033&gt;0,CONCATENATE('906MP'!J1033," - ",'906MP'!P1033,", ",'906MP'!E1033),"nincs megjegyzés")</f>
        <v>nincs megjegyzés</v>
      </c>
      <c r="V1333" t="str">
        <f t="shared" si="380"/>
        <v>0P0</v>
      </c>
      <c r="W1333" t="str">
        <f t="shared" si="381"/>
        <v>0P0</v>
      </c>
      <c r="X1333" t="str">
        <f t="shared" si="382"/>
        <v>P0</v>
      </c>
      <c r="Y1333" t="str">
        <f t="shared" si="383"/>
        <v>00</v>
      </c>
      <c r="Z1333" t="str">
        <f t="shared" si="394"/>
        <v>00</v>
      </c>
      <c r="AA1333" t="str">
        <f t="shared" si="384"/>
        <v>00</v>
      </c>
      <c r="AB1333" t="str">
        <f t="shared" si="385"/>
        <v>00</v>
      </c>
      <c r="AC1333" t="str">
        <f t="shared" si="386"/>
        <v>0P0</v>
      </c>
      <c r="AD1333" t="str">
        <f t="shared" si="387"/>
        <v>P00</v>
      </c>
      <c r="AE1333" t="str">
        <f t="shared" si="388"/>
        <v>0P0</v>
      </c>
      <c r="AF1333" t="str">
        <f t="shared" si="389"/>
        <v>P00</v>
      </c>
      <c r="AG1333" t="str">
        <f t="shared" si="395"/>
        <v>0P00</v>
      </c>
      <c r="AH1333" t="str">
        <f t="shared" si="396"/>
        <v>P000</v>
      </c>
      <c r="AI1333" t="str">
        <f t="shared" si="397"/>
        <v>0P00</v>
      </c>
      <c r="AJ1333" t="str">
        <f t="shared" si="398"/>
        <v>P000</v>
      </c>
    </row>
    <row r="1334" spans="1:36" x14ac:dyDescent="0.25">
      <c r="A1334" s="325" t="str">
        <f>CONCATENATE("P",'906MP'!M1034)</f>
        <v>P</v>
      </c>
      <c r="B1334">
        <f>'906MP'!H1034</f>
        <v>0</v>
      </c>
      <c r="C1334">
        <f>'906MP'!J1034</f>
        <v>0</v>
      </c>
      <c r="D1334">
        <f>'906MP'!P1034</f>
        <v>0</v>
      </c>
      <c r="E1334">
        <f>'906MP'!X1034</f>
        <v>0</v>
      </c>
      <c r="F1334" t="str">
        <f t="shared" si="390"/>
        <v>0</v>
      </c>
      <c r="G1334" t="str">
        <f t="shared" si="391"/>
        <v>0</v>
      </c>
      <c r="H1334">
        <f>'906MP'!Y1034</f>
        <v>0</v>
      </c>
      <c r="I1334">
        <f>'906MP'!AK1034</f>
        <v>0</v>
      </c>
      <c r="J1334">
        <f>'906MP'!T1034</f>
        <v>0</v>
      </c>
      <c r="K1334">
        <f>'906MP'!AJ1034</f>
        <v>0</v>
      </c>
      <c r="L1334">
        <f>'906MP'!U1034</f>
        <v>0</v>
      </c>
      <c r="M1334" s="322" t="str">
        <f>IFERROR(VLOOKUP(A1334,PAR!$D$3:$E$53,2,FALSE),"nincs szervezet")</f>
        <v>nincs szervezet</v>
      </c>
      <c r="N1334" s="322" t="str">
        <f>VLOOKUP(F1334,PAR!$R$3:$S$5,2,FALSE)</f>
        <v>3 - egyik sem</v>
      </c>
      <c r="O1334" t="str">
        <f>IFERROR(VLOOKUP(J1334,PAR!$O$3:$P$5,2,FALSE),"nincs feladat")</f>
        <v>nincs feladat</v>
      </c>
      <c r="P1334" t="str">
        <f>IFERROR(VLOOKUP(G1334,PAR!$J$2:$M$19,4),"nincs rovat")</f>
        <v>nincs rovat</v>
      </c>
      <c r="Q1334" t="str">
        <f>IF(H1334&gt;0,VLOOKUP(H1334,PAR!$AA$3:$AC$187,3,FALSE),"nincs főkönyvi számla")</f>
        <v>nincs főkönyvi számla</v>
      </c>
      <c r="R1334" t="str">
        <f>IFERROR(VLOOKUP(K1334,PAR!$V$3:$X$438,3,FALSE),"000000 - Nincs COFOG")</f>
        <v>000000 - Nincs COFOG</v>
      </c>
      <c r="S1334">
        <f t="shared" si="392"/>
        <v>0</v>
      </c>
      <c r="T1334">
        <f t="shared" si="393"/>
        <v>0</v>
      </c>
      <c r="U1334" t="str">
        <f>IF('906MP'!J1034&gt;0,CONCATENATE('906MP'!J1034," - ",'906MP'!P1034,", ",'906MP'!E1034),"nincs megjegyzés")</f>
        <v>nincs megjegyzés</v>
      </c>
      <c r="V1334" t="str">
        <f t="shared" si="380"/>
        <v>0P0</v>
      </c>
      <c r="W1334" t="str">
        <f t="shared" si="381"/>
        <v>0P0</v>
      </c>
      <c r="X1334" t="str">
        <f t="shared" si="382"/>
        <v>P0</v>
      </c>
      <c r="Y1334" t="str">
        <f t="shared" si="383"/>
        <v>00</v>
      </c>
      <c r="Z1334" t="str">
        <f t="shared" si="394"/>
        <v>00</v>
      </c>
      <c r="AA1334" t="str">
        <f t="shared" si="384"/>
        <v>00</v>
      </c>
      <c r="AB1334" t="str">
        <f t="shared" si="385"/>
        <v>00</v>
      </c>
      <c r="AC1334" t="str">
        <f t="shared" si="386"/>
        <v>0P0</v>
      </c>
      <c r="AD1334" t="str">
        <f t="shared" si="387"/>
        <v>P00</v>
      </c>
      <c r="AE1334" t="str">
        <f t="shared" si="388"/>
        <v>0P0</v>
      </c>
      <c r="AF1334" t="str">
        <f t="shared" si="389"/>
        <v>P00</v>
      </c>
      <c r="AG1334" t="str">
        <f t="shared" si="395"/>
        <v>0P00</v>
      </c>
      <c r="AH1334" t="str">
        <f t="shared" si="396"/>
        <v>P000</v>
      </c>
      <c r="AI1334" t="str">
        <f t="shared" si="397"/>
        <v>0P00</v>
      </c>
      <c r="AJ1334" t="str">
        <f t="shared" si="398"/>
        <v>P000</v>
      </c>
    </row>
    <row r="1335" spans="1:36" x14ac:dyDescent="0.25">
      <c r="A1335" s="325" t="str">
        <f>CONCATENATE("P",'906MP'!M1035)</f>
        <v>P</v>
      </c>
      <c r="B1335">
        <f>'906MP'!H1035</f>
        <v>0</v>
      </c>
      <c r="C1335">
        <f>'906MP'!J1035</f>
        <v>0</v>
      </c>
      <c r="D1335">
        <f>'906MP'!P1035</f>
        <v>0</v>
      </c>
      <c r="E1335">
        <f>'906MP'!X1035</f>
        <v>0</v>
      </c>
      <c r="F1335" t="str">
        <f t="shared" si="390"/>
        <v>0</v>
      </c>
      <c r="G1335" t="str">
        <f t="shared" si="391"/>
        <v>0</v>
      </c>
      <c r="H1335">
        <f>'906MP'!Y1035</f>
        <v>0</v>
      </c>
      <c r="I1335">
        <f>'906MP'!AK1035</f>
        <v>0</v>
      </c>
      <c r="J1335">
        <f>'906MP'!T1035</f>
        <v>0</v>
      </c>
      <c r="K1335">
        <f>'906MP'!AJ1035</f>
        <v>0</v>
      </c>
      <c r="L1335">
        <f>'906MP'!U1035</f>
        <v>0</v>
      </c>
      <c r="M1335" s="322" t="str">
        <f>IFERROR(VLOOKUP(A1335,PAR!$D$3:$E$53,2,FALSE),"nincs szervezet")</f>
        <v>nincs szervezet</v>
      </c>
      <c r="N1335" s="322" t="str">
        <f>VLOOKUP(F1335,PAR!$R$3:$S$5,2,FALSE)</f>
        <v>3 - egyik sem</v>
      </c>
      <c r="O1335" t="str">
        <f>IFERROR(VLOOKUP(J1335,PAR!$O$3:$P$5,2,FALSE),"nincs feladat")</f>
        <v>nincs feladat</v>
      </c>
      <c r="P1335" t="str">
        <f>IFERROR(VLOOKUP(G1335,PAR!$J$2:$M$19,4),"nincs rovat")</f>
        <v>nincs rovat</v>
      </c>
      <c r="Q1335" t="str">
        <f>IF(H1335&gt;0,VLOOKUP(H1335,PAR!$AA$3:$AC$187,3,FALSE),"nincs főkönyvi számla")</f>
        <v>nincs főkönyvi számla</v>
      </c>
      <c r="R1335" t="str">
        <f>IFERROR(VLOOKUP(K1335,PAR!$V$3:$X$438,3,FALSE),"000000 - Nincs COFOG")</f>
        <v>000000 - Nincs COFOG</v>
      </c>
      <c r="S1335">
        <f t="shared" si="392"/>
        <v>0</v>
      </c>
      <c r="T1335">
        <f t="shared" si="393"/>
        <v>0</v>
      </c>
      <c r="U1335" t="str">
        <f>IF('906MP'!J1035&gt;0,CONCATENATE('906MP'!J1035," - ",'906MP'!P1035,", ",'906MP'!E1035),"nincs megjegyzés")</f>
        <v>nincs megjegyzés</v>
      </c>
      <c r="V1335" t="str">
        <f t="shared" si="380"/>
        <v>0P0</v>
      </c>
      <c r="W1335" t="str">
        <f t="shared" si="381"/>
        <v>0P0</v>
      </c>
      <c r="X1335" t="str">
        <f t="shared" si="382"/>
        <v>P0</v>
      </c>
      <c r="Y1335" t="str">
        <f t="shared" si="383"/>
        <v>00</v>
      </c>
      <c r="Z1335" t="str">
        <f t="shared" si="394"/>
        <v>00</v>
      </c>
      <c r="AA1335" t="str">
        <f t="shared" si="384"/>
        <v>00</v>
      </c>
      <c r="AB1335" t="str">
        <f t="shared" si="385"/>
        <v>00</v>
      </c>
      <c r="AC1335" t="str">
        <f t="shared" si="386"/>
        <v>0P0</v>
      </c>
      <c r="AD1335" t="str">
        <f t="shared" si="387"/>
        <v>P00</v>
      </c>
      <c r="AE1335" t="str">
        <f t="shared" si="388"/>
        <v>0P0</v>
      </c>
      <c r="AF1335" t="str">
        <f t="shared" si="389"/>
        <v>P00</v>
      </c>
      <c r="AG1335" t="str">
        <f t="shared" si="395"/>
        <v>0P00</v>
      </c>
      <c r="AH1335" t="str">
        <f t="shared" si="396"/>
        <v>P000</v>
      </c>
      <c r="AI1335" t="str">
        <f t="shared" si="397"/>
        <v>0P00</v>
      </c>
      <c r="AJ1335" t="str">
        <f t="shared" si="398"/>
        <v>P000</v>
      </c>
    </row>
    <row r="1336" spans="1:36" x14ac:dyDescent="0.25">
      <c r="A1336" s="325" t="str">
        <f>CONCATENATE("P",'906MP'!M1036)</f>
        <v>P</v>
      </c>
      <c r="B1336">
        <f>'906MP'!H1036</f>
        <v>0</v>
      </c>
      <c r="C1336">
        <f>'906MP'!J1036</f>
        <v>0</v>
      </c>
      <c r="D1336">
        <f>'906MP'!P1036</f>
        <v>0</v>
      </c>
      <c r="E1336">
        <f>'906MP'!X1036</f>
        <v>0</v>
      </c>
      <c r="F1336" t="str">
        <f t="shared" si="390"/>
        <v>0</v>
      </c>
      <c r="G1336" t="str">
        <f t="shared" si="391"/>
        <v>0</v>
      </c>
      <c r="H1336">
        <f>'906MP'!Y1036</f>
        <v>0</v>
      </c>
      <c r="I1336">
        <f>'906MP'!AK1036</f>
        <v>0</v>
      </c>
      <c r="J1336">
        <f>'906MP'!T1036</f>
        <v>0</v>
      </c>
      <c r="K1336">
        <f>'906MP'!AJ1036</f>
        <v>0</v>
      </c>
      <c r="L1336">
        <f>'906MP'!U1036</f>
        <v>0</v>
      </c>
      <c r="M1336" s="322" t="str">
        <f>IFERROR(VLOOKUP(A1336,PAR!$D$3:$E$53,2,FALSE),"nincs szervezet")</f>
        <v>nincs szervezet</v>
      </c>
      <c r="N1336" s="322" t="str">
        <f>VLOOKUP(F1336,PAR!$R$3:$S$5,2,FALSE)</f>
        <v>3 - egyik sem</v>
      </c>
      <c r="O1336" t="str">
        <f>IFERROR(VLOOKUP(J1336,PAR!$O$3:$P$5,2,FALSE),"nincs feladat")</f>
        <v>nincs feladat</v>
      </c>
      <c r="P1336" t="str">
        <f>IFERROR(VLOOKUP(G1336,PAR!$J$2:$M$19,4),"nincs rovat")</f>
        <v>nincs rovat</v>
      </c>
      <c r="Q1336" t="str">
        <f>IF(H1336&gt;0,VLOOKUP(H1336,PAR!$AA$3:$AC$187,3,FALSE),"nincs főkönyvi számla")</f>
        <v>nincs főkönyvi számla</v>
      </c>
      <c r="R1336" t="str">
        <f>IFERROR(VLOOKUP(K1336,PAR!$V$3:$X$438,3,FALSE),"000000 - Nincs COFOG")</f>
        <v>000000 - Nincs COFOG</v>
      </c>
      <c r="S1336">
        <f t="shared" si="392"/>
        <v>0</v>
      </c>
      <c r="T1336">
        <f t="shared" si="393"/>
        <v>0</v>
      </c>
      <c r="U1336" t="str">
        <f>IF('906MP'!J1036&gt;0,CONCATENATE('906MP'!J1036," - ",'906MP'!P1036,", ",'906MP'!E1036),"nincs megjegyzés")</f>
        <v>nincs megjegyzés</v>
      </c>
      <c r="V1336" t="str">
        <f t="shared" si="380"/>
        <v>0P0</v>
      </c>
      <c r="W1336" t="str">
        <f t="shared" si="381"/>
        <v>0P0</v>
      </c>
      <c r="X1336" t="str">
        <f t="shared" si="382"/>
        <v>P0</v>
      </c>
      <c r="Y1336" t="str">
        <f t="shared" si="383"/>
        <v>00</v>
      </c>
      <c r="Z1336" t="str">
        <f t="shared" si="394"/>
        <v>00</v>
      </c>
      <c r="AA1336" t="str">
        <f t="shared" si="384"/>
        <v>00</v>
      </c>
      <c r="AB1336" t="str">
        <f t="shared" si="385"/>
        <v>00</v>
      </c>
      <c r="AC1336" t="str">
        <f t="shared" si="386"/>
        <v>0P0</v>
      </c>
      <c r="AD1336" t="str">
        <f t="shared" si="387"/>
        <v>P00</v>
      </c>
      <c r="AE1336" t="str">
        <f t="shared" si="388"/>
        <v>0P0</v>
      </c>
      <c r="AF1336" t="str">
        <f t="shared" si="389"/>
        <v>P00</v>
      </c>
      <c r="AG1336" t="str">
        <f t="shared" si="395"/>
        <v>0P00</v>
      </c>
      <c r="AH1336" t="str">
        <f t="shared" si="396"/>
        <v>P000</v>
      </c>
      <c r="AI1336" t="str">
        <f t="shared" si="397"/>
        <v>0P00</v>
      </c>
      <c r="AJ1336" t="str">
        <f t="shared" si="398"/>
        <v>P000</v>
      </c>
    </row>
    <row r="1337" spans="1:36" x14ac:dyDescent="0.25">
      <c r="A1337" s="325" t="str">
        <f>CONCATENATE("P",'906MP'!M1037)</f>
        <v>P</v>
      </c>
      <c r="B1337">
        <f>'906MP'!H1037</f>
        <v>0</v>
      </c>
      <c r="C1337">
        <f>'906MP'!J1037</f>
        <v>0</v>
      </c>
      <c r="D1337">
        <f>'906MP'!P1037</f>
        <v>0</v>
      </c>
      <c r="E1337">
        <f>'906MP'!X1037</f>
        <v>0</v>
      </c>
      <c r="F1337" t="str">
        <f t="shared" si="390"/>
        <v>0</v>
      </c>
      <c r="G1337" t="str">
        <f t="shared" si="391"/>
        <v>0</v>
      </c>
      <c r="H1337">
        <f>'906MP'!Y1037</f>
        <v>0</v>
      </c>
      <c r="I1337">
        <f>'906MP'!AK1037</f>
        <v>0</v>
      </c>
      <c r="J1337">
        <f>'906MP'!T1037</f>
        <v>0</v>
      </c>
      <c r="K1337">
        <f>'906MP'!AJ1037</f>
        <v>0</v>
      </c>
      <c r="L1337">
        <f>'906MP'!U1037</f>
        <v>0</v>
      </c>
      <c r="M1337" s="322" t="str">
        <f>IFERROR(VLOOKUP(A1337,PAR!$D$3:$E$53,2,FALSE),"nincs szervezet")</f>
        <v>nincs szervezet</v>
      </c>
      <c r="N1337" s="322" t="str">
        <f>VLOOKUP(F1337,PAR!$R$3:$S$5,2,FALSE)</f>
        <v>3 - egyik sem</v>
      </c>
      <c r="O1337" t="str">
        <f>IFERROR(VLOOKUP(J1337,PAR!$O$3:$P$5,2,FALSE),"nincs feladat")</f>
        <v>nincs feladat</v>
      </c>
      <c r="P1337" t="str">
        <f>IFERROR(VLOOKUP(G1337,PAR!$J$2:$M$19,4),"nincs rovat")</f>
        <v>nincs rovat</v>
      </c>
      <c r="Q1337" t="str">
        <f>IF(H1337&gt;0,VLOOKUP(H1337,PAR!$AA$3:$AC$187,3,FALSE),"nincs főkönyvi számla")</f>
        <v>nincs főkönyvi számla</v>
      </c>
      <c r="R1337" t="str">
        <f>IFERROR(VLOOKUP(K1337,PAR!$V$3:$X$438,3,FALSE),"000000 - Nincs COFOG")</f>
        <v>000000 - Nincs COFOG</v>
      </c>
      <c r="S1337">
        <f t="shared" si="392"/>
        <v>0</v>
      </c>
      <c r="T1337">
        <f t="shared" si="393"/>
        <v>0</v>
      </c>
      <c r="U1337" t="str">
        <f>IF('906MP'!J1037&gt;0,CONCATENATE('906MP'!J1037," - ",'906MP'!P1037,", ",'906MP'!E1037),"nincs megjegyzés")</f>
        <v>nincs megjegyzés</v>
      </c>
      <c r="V1337" t="str">
        <f t="shared" si="380"/>
        <v>0P0</v>
      </c>
      <c r="W1337" t="str">
        <f t="shared" si="381"/>
        <v>0P0</v>
      </c>
      <c r="X1337" t="str">
        <f t="shared" si="382"/>
        <v>P0</v>
      </c>
      <c r="Y1337" t="str">
        <f t="shared" si="383"/>
        <v>00</v>
      </c>
      <c r="Z1337" t="str">
        <f t="shared" si="394"/>
        <v>00</v>
      </c>
      <c r="AA1337" t="str">
        <f t="shared" si="384"/>
        <v>00</v>
      </c>
      <c r="AB1337" t="str">
        <f t="shared" si="385"/>
        <v>00</v>
      </c>
      <c r="AC1337" t="str">
        <f t="shared" si="386"/>
        <v>0P0</v>
      </c>
      <c r="AD1337" t="str">
        <f t="shared" si="387"/>
        <v>P00</v>
      </c>
      <c r="AE1337" t="str">
        <f t="shared" si="388"/>
        <v>0P0</v>
      </c>
      <c r="AF1337" t="str">
        <f t="shared" si="389"/>
        <v>P00</v>
      </c>
      <c r="AG1337" t="str">
        <f t="shared" si="395"/>
        <v>0P00</v>
      </c>
      <c r="AH1337" t="str">
        <f t="shared" si="396"/>
        <v>P000</v>
      </c>
      <c r="AI1337" t="str">
        <f t="shared" si="397"/>
        <v>0P00</v>
      </c>
      <c r="AJ1337" t="str">
        <f t="shared" si="398"/>
        <v>P000</v>
      </c>
    </row>
    <row r="1338" spans="1:36" x14ac:dyDescent="0.25">
      <c r="A1338" s="325" t="str">
        <f>CONCATENATE("P",'906MP'!M1038)</f>
        <v>P</v>
      </c>
      <c r="B1338">
        <f>'906MP'!H1038</f>
        <v>0</v>
      </c>
      <c r="C1338">
        <f>'906MP'!J1038</f>
        <v>0</v>
      </c>
      <c r="D1338">
        <f>'906MP'!P1038</f>
        <v>0</v>
      </c>
      <c r="E1338">
        <f>'906MP'!X1038</f>
        <v>0</v>
      </c>
      <c r="F1338" t="str">
        <f t="shared" si="390"/>
        <v>0</v>
      </c>
      <c r="G1338" t="str">
        <f t="shared" si="391"/>
        <v>0</v>
      </c>
      <c r="H1338">
        <f>'906MP'!Y1038</f>
        <v>0</v>
      </c>
      <c r="I1338">
        <f>'906MP'!AK1038</f>
        <v>0</v>
      </c>
      <c r="J1338">
        <f>'906MP'!T1038</f>
        <v>0</v>
      </c>
      <c r="K1338">
        <f>'906MP'!AJ1038</f>
        <v>0</v>
      </c>
      <c r="L1338">
        <f>'906MP'!U1038</f>
        <v>0</v>
      </c>
      <c r="M1338" s="322" t="str">
        <f>IFERROR(VLOOKUP(A1338,PAR!$D$3:$E$53,2,FALSE),"nincs szervezet")</f>
        <v>nincs szervezet</v>
      </c>
      <c r="N1338" s="322" t="str">
        <f>VLOOKUP(F1338,PAR!$R$3:$S$5,2,FALSE)</f>
        <v>3 - egyik sem</v>
      </c>
      <c r="O1338" t="str">
        <f>IFERROR(VLOOKUP(J1338,PAR!$O$3:$P$5,2,FALSE),"nincs feladat")</f>
        <v>nincs feladat</v>
      </c>
      <c r="P1338" t="str">
        <f>IFERROR(VLOOKUP(G1338,PAR!$J$2:$M$19,4),"nincs rovat")</f>
        <v>nincs rovat</v>
      </c>
      <c r="Q1338" t="str">
        <f>IF(H1338&gt;0,VLOOKUP(H1338,PAR!$AA$3:$AC$187,3,FALSE),"nincs főkönyvi számla")</f>
        <v>nincs főkönyvi számla</v>
      </c>
      <c r="R1338" t="str">
        <f>IFERROR(VLOOKUP(K1338,PAR!$V$3:$X$438,3,FALSE),"000000 - Nincs COFOG")</f>
        <v>000000 - Nincs COFOG</v>
      </c>
      <c r="S1338">
        <f t="shared" si="392"/>
        <v>0</v>
      </c>
      <c r="T1338">
        <f t="shared" si="393"/>
        <v>0</v>
      </c>
      <c r="U1338" t="str">
        <f>IF('906MP'!J1038&gt;0,CONCATENATE('906MP'!J1038," - ",'906MP'!P1038,", ",'906MP'!E1038),"nincs megjegyzés")</f>
        <v>nincs megjegyzés</v>
      </c>
      <c r="V1338" t="str">
        <f t="shared" si="380"/>
        <v>0P0</v>
      </c>
      <c r="W1338" t="str">
        <f t="shared" si="381"/>
        <v>0P0</v>
      </c>
      <c r="X1338" t="str">
        <f t="shared" si="382"/>
        <v>P0</v>
      </c>
      <c r="Y1338" t="str">
        <f t="shared" si="383"/>
        <v>00</v>
      </c>
      <c r="Z1338" t="str">
        <f t="shared" si="394"/>
        <v>00</v>
      </c>
      <c r="AA1338" t="str">
        <f t="shared" si="384"/>
        <v>00</v>
      </c>
      <c r="AB1338" t="str">
        <f t="shared" si="385"/>
        <v>00</v>
      </c>
      <c r="AC1338" t="str">
        <f t="shared" si="386"/>
        <v>0P0</v>
      </c>
      <c r="AD1338" t="str">
        <f t="shared" si="387"/>
        <v>P00</v>
      </c>
      <c r="AE1338" t="str">
        <f t="shared" si="388"/>
        <v>0P0</v>
      </c>
      <c r="AF1338" t="str">
        <f t="shared" si="389"/>
        <v>P00</v>
      </c>
      <c r="AG1338" t="str">
        <f t="shared" si="395"/>
        <v>0P00</v>
      </c>
      <c r="AH1338" t="str">
        <f t="shared" si="396"/>
        <v>P000</v>
      </c>
      <c r="AI1338" t="str">
        <f t="shared" si="397"/>
        <v>0P00</v>
      </c>
      <c r="AJ1338" t="str">
        <f t="shared" si="398"/>
        <v>P000</v>
      </c>
    </row>
    <row r="1339" spans="1:36" x14ac:dyDescent="0.25">
      <c r="A1339" s="325" t="str">
        <f>CONCATENATE("P",'906MP'!M1039)</f>
        <v>P</v>
      </c>
      <c r="B1339">
        <f>'906MP'!H1039</f>
        <v>0</v>
      </c>
      <c r="C1339">
        <f>'906MP'!J1039</f>
        <v>0</v>
      </c>
      <c r="D1339">
        <f>'906MP'!P1039</f>
        <v>0</v>
      </c>
      <c r="E1339">
        <f>'906MP'!X1039</f>
        <v>0</v>
      </c>
      <c r="F1339" t="str">
        <f t="shared" si="390"/>
        <v>0</v>
      </c>
      <c r="G1339" t="str">
        <f t="shared" si="391"/>
        <v>0</v>
      </c>
      <c r="H1339">
        <f>'906MP'!Y1039</f>
        <v>0</v>
      </c>
      <c r="I1339">
        <f>'906MP'!AK1039</f>
        <v>0</v>
      </c>
      <c r="J1339">
        <f>'906MP'!T1039</f>
        <v>0</v>
      </c>
      <c r="K1339">
        <f>'906MP'!AJ1039</f>
        <v>0</v>
      </c>
      <c r="L1339">
        <f>'906MP'!U1039</f>
        <v>0</v>
      </c>
      <c r="M1339" s="322" t="str">
        <f>IFERROR(VLOOKUP(A1339,PAR!$D$3:$E$53,2,FALSE),"nincs szervezet")</f>
        <v>nincs szervezet</v>
      </c>
      <c r="N1339" s="322" t="str">
        <f>VLOOKUP(F1339,PAR!$R$3:$S$5,2,FALSE)</f>
        <v>3 - egyik sem</v>
      </c>
      <c r="O1339" t="str">
        <f>IFERROR(VLOOKUP(J1339,PAR!$O$3:$P$5,2,FALSE),"nincs feladat")</f>
        <v>nincs feladat</v>
      </c>
      <c r="P1339" t="str">
        <f>IFERROR(VLOOKUP(G1339,PAR!$J$2:$M$19,4),"nincs rovat")</f>
        <v>nincs rovat</v>
      </c>
      <c r="Q1339" t="str">
        <f>IF(H1339&gt;0,VLOOKUP(H1339,PAR!$AA$3:$AC$187,3,FALSE),"nincs főkönyvi számla")</f>
        <v>nincs főkönyvi számla</v>
      </c>
      <c r="R1339" t="str">
        <f>IFERROR(VLOOKUP(K1339,PAR!$V$3:$X$438,3,FALSE),"000000 - Nincs COFOG")</f>
        <v>000000 - Nincs COFOG</v>
      </c>
      <c r="S1339">
        <f t="shared" si="392"/>
        <v>0</v>
      </c>
      <c r="T1339">
        <f t="shared" si="393"/>
        <v>0</v>
      </c>
      <c r="U1339" t="str">
        <f>IF('906MP'!J1039&gt;0,CONCATENATE('906MP'!J1039," - ",'906MP'!P1039,", ",'906MP'!E1039),"nincs megjegyzés")</f>
        <v>nincs megjegyzés</v>
      </c>
      <c r="V1339" t="str">
        <f t="shared" si="380"/>
        <v>0P0</v>
      </c>
      <c r="W1339" t="str">
        <f t="shared" si="381"/>
        <v>0P0</v>
      </c>
      <c r="X1339" t="str">
        <f t="shared" si="382"/>
        <v>P0</v>
      </c>
      <c r="Y1339" t="str">
        <f t="shared" si="383"/>
        <v>00</v>
      </c>
      <c r="Z1339" t="str">
        <f t="shared" si="394"/>
        <v>00</v>
      </c>
      <c r="AA1339" t="str">
        <f t="shared" si="384"/>
        <v>00</v>
      </c>
      <c r="AB1339" t="str">
        <f t="shared" si="385"/>
        <v>00</v>
      </c>
      <c r="AC1339" t="str">
        <f t="shared" si="386"/>
        <v>0P0</v>
      </c>
      <c r="AD1339" t="str">
        <f t="shared" si="387"/>
        <v>P00</v>
      </c>
      <c r="AE1339" t="str">
        <f t="shared" si="388"/>
        <v>0P0</v>
      </c>
      <c r="AF1339" t="str">
        <f t="shared" si="389"/>
        <v>P00</v>
      </c>
      <c r="AG1339" t="str">
        <f t="shared" si="395"/>
        <v>0P00</v>
      </c>
      <c r="AH1339" t="str">
        <f t="shared" si="396"/>
        <v>P000</v>
      </c>
      <c r="AI1339" t="str">
        <f t="shared" si="397"/>
        <v>0P00</v>
      </c>
      <c r="AJ1339" t="str">
        <f t="shared" si="398"/>
        <v>P000</v>
      </c>
    </row>
    <row r="1340" spans="1:36" x14ac:dyDescent="0.25">
      <c r="A1340" s="325" t="str">
        <f>CONCATENATE("P",'906MP'!M1040)</f>
        <v>P</v>
      </c>
      <c r="B1340">
        <f>'906MP'!H1040</f>
        <v>0</v>
      </c>
      <c r="C1340">
        <f>'906MP'!J1040</f>
        <v>0</v>
      </c>
      <c r="D1340">
        <f>'906MP'!P1040</f>
        <v>0</v>
      </c>
      <c r="E1340">
        <f>'906MP'!X1040</f>
        <v>0</v>
      </c>
      <c r="F1340" t="str">
        <f t="shared" si="390"/>
        <v>0</v>
      </c>
      <c r="G1340" t="str">
        <f t="shared" si="391"/>
        <v>0</v>
      </c>
      <c r="H1340">
        <f>'906MP'!Y1040</f>
        <v>0</v>
      </c>
      <c r="I1340">
        <f>'906MP'!AK1040</f>
        <v>0</v>
      </c>
      <c r="J1340">
        <f>'906MP'!T1040</f>
        <v>0</v>
      </c>
      <c r="K1340">
        <f>'906MP'!AJ1040</f>
        <v>0</v>
      </c>
      <c r="L1340">
        <f>'906MP'!U1040</f>
        <v>0</v>
      </c>
      <c r="M1340" s="322" t="str">
        <f>IFERROR(VLOOKUP(A1340,PAR!$D$3:$E$53,2,FALSE),"nincs szervezet")</f>
        <v>nincs szervezet</v>
      </c>
      <c r="N1340" s="322" t="str">
        <f>VLOOKUP(F1340,PAR!$R$3:$S$5,2,FALSE)</f>
        <v>3 - egyik sem</v>
      </c>
      <c r="O1340" t="str">
        <f>IFERROR(VLOOKUP(J1340,PAR!$O$3:$P$5,2,FALSE),"nincs feladat")</f>
        <v>nincs feladat</v>
      </c>
      <c r="P1340" t="str">
        <f>IFERROR(VLOOKUP(G1340,PAR!$J$2:$M$19,4),"nincs rovat")</f>
        <v>nincs rovat</v>
      </c>
      <c r="Q1340" t="str">
        <f>IF(H1340&gt;0,VLOOKUP(H1340,PAR!$AA$3:$AC$187,3,FALSE),"nincs főkönyvi számla")</f>
        <v>nincs főkönyvi számla</v>
      </c>
      <c r="R1340" t="str">
        <f>IFERROR(VLOOKUP(K1340,PAR!$V$3:$X$438,3,FALSE),"000000 - Nincs COFOG")</f>
        <v>000000 - Nincs COFOG</v>
      </c>
      <c r="S1340">
        <f t="shared" si="392"/>
        <v>0</v>
      </c>
      <c r="T1340">
        <f t="shared" si="393"/>
        <v>0</v>
      </c>
      <c r="U1340" t="str">
        <f>IF('906MP'!J1040&gt;0,CONCATENATE('906MP'!J1040," - ",'906MP'!P1040,", ",'906MP'!E1040),"nincs megjegyzés")</f>
        <v>nincs megjegyzés</v>
      </c>
      <c r="V1340" t="str">
        <f t="shared" si="380"/>
        <v>0P0</v>
      </c>
      <c r="W1340" t="str">
        <f t="shared" si="381"/>
        <v>0P0</v>
      </c>
      <c r="X1340" t="str">
        <f t="shared" si="382"/>
        <v>P0</v>
      </c>
      <c r="Y1340" t="str">
        <f t="shared" si="383"/>
        <v>00</v>
      </c>
      <c r="Z1340" t="str">
        <f t="shared" si="394"/>
        <v>00</v>
      </c>
      <c r="AA1340" t="str">
        <f t="shared" si="384"/>
        <v>00</v>
      </c>
      <c r="AB1340" t="str">
        <f t="shared" si="385"/>
        <v>00</v>
      </c>
      <c r="AC1340" t="str">
        <f t="shared" si="386"/>
        <v>0P0</v>
      </c>
      <c r="AD1340" t="str">
        <f t="shared" si="387"/>
        <v>P00</v>
      </c>
      <c r="AE1340" t="str">
        <f t="shared" si="388"/>
        <v>0P0</v>
      </c>
      <c r="AF1340" t="str">
        <f t="shared" si="389"/>
        <v>P00</v>
      </c>
      <c r="AG1340" t="str">
        <f t="shared" si="395"/>
        <v>0P00</v>
      </c>
      <c r="AH1340" t="str">
        <f t="shared" si="396"/>
        <v>P000</v>
      </c>
      <c r="AI1340" t="str">
        <f t="shared" si="397"/>
        <v>0P00</v>
      </c>
      <c r="AJ1340" t="str">
        <f t="shared" si="398"/>
        <v>P000</v>
      </c>
    </row>
    <row r="1341" spans="1:36" x14ac:dyDescent="0.25">
      <c r="A1341" s="325" t="str">
        <f>CONCATENATE("P",'906MP'!M1041)</f>
        <v>P</v>
      </c>
      <c r="B1341">
        <f>'906MP'!H1041</f>
        <v>0</v>
      </c>
      <c r="C1341">
        <f>'906MP'!J1041</f>
        <v>0</v>
      </c>
      <c r="D1341">
        <f>'906MP'!P1041</f>
        <v>0</v>
      </c>
      <c r="E1341">
        <f>'906MP'!X1041</f>
        <v>0</v>
      </c>
      <c r="F1341" t="str">
        <f t="shared" si="390"/>
        <v>0</v>
      </c>
      <c r="G1341" t="str">
        <f t="shared" si="391"/>
        <v>0</v>
      </c>
      <c r="H1341">
        <f>'906MP'!Y1041</f>
        <v>0</v>
      </c>
      <c r="I1341">
        <f>'906MP'!AK1041</f>
        <v>0</v>
      </c>
      <c r="J1341">
        <f>'906MP'!T1041</f>
        <v>0</v>
      </c>
      <c r="K1341">
        <f>'906MP'!AJ1041</f>
        <v>0</v>
      </c>
      <c r="L1341">
        <f>'906MP'!U1041</f>
        <v>0</v>
      </c>
      <c r="M1341" s="322" t="str">
        <f>IFERROR(VLOOKUP(A1341,PAR!$D$3:$E$53,2,FALSE),"nincs szervezet")</f>
        <v>nincs szervezet</v>
      </c>
      <c r="N1341" s="322" t="str">
        <f>VLOOKUP(F1341,PAR!$R$3:$S$5,2,FALSE)</f>
        <v>3 - egyik sem</v>
      </c>
      <c r="O1341" t="str">
        <f>IFERROR(VLOOKUP(J1341,PAR!$O$3:$P$5,2,FALSE),"nincs feladat")</f>
        <v>nincs feladat</v>
      </c>
      <c r="P1341" t="str">
        <f>IFERROR(VLOOKUP(G1341,PAR!$J$2:$M$19,4),"nincs rovat")</f>
        <v>nincs rovat</v>
      </c>
      <c r="Q1341" t="str">
        <f>IF(H1341&gt;0,VLOOKUP(H1341,PAR!$AA$3:$AC$187,3,FALSE),"nincs főkönyvi számla")</f>
        <v>nincs főkönyvi számla</v>
      </c>
      <c r="R1341" t="str">
        <f>IFERROR(VLOOKUP(K1341,PAR!$V$3:$X$438,3,FALSE),"000000 - Nincs COFOG")</f>
        <v>000000 - Nincs COFOG</v>
      </c>
      <c r="S1341">
        <f t="shared" si="392"/>
        <v>0</v>
      </c>
      <c r="T1341">
        <f t="shared" si="393"/>
        <v>0</v>
      </c>
      <c r="U1341" t="str">
        <f>IF('906MP'!J1041&gt;0,CONCATENATE('906MP'!J1041," - ",'906MP'!P1041,", ",'906MP'!E1041),"nincs megjegyzés")</f>
        <v>nincs megjegyzés</v>
      </c>
      <c r="V1341" t="str">
        <f t="shared" si="380"/>
        <v>0P0</v>
      </c>
      <c r="W1341" t="str">
        <f t="shared" si="381"/>
        <v>0P0</v>
      </c>
      <c r="X1341" t="str">
        <f t="shared" si="382"/>
        <v>P0</v>
      </c>
      <c r="Y1341" t="str">
        <f t="shared" si="383"/>
        <v>00</v>
      </c>
      <c r="Z1341" t="str">
        <f t="shared" si="394"/>
        <v>00</v>
      </c>
      <c r="AA1341" t="str">
        <f t="shared" si="384"/>
        <v>00</v>
      </c>
      <c r="AB1341" t="str">
        <f t="shared" si="385"/>
        <v>00</v>
      </c>
      <c r="AC1341" t="str">
        <f t="shared" si="386"/>
        <v>0P0</v>
      </c>
      <c r="AD1341" t="str">
        <f t="shared" si="387"/>
        <v>P00</v>
      </c>
      <c r="AE1341" t="str">
        <f t="shared" si="388"/>
        <v>0P0</v>
      </c>
      <c r="AF1341" t="str">
        <f t="shared" si="389"/>
        <v>P00</v>
      </c>
      <c r="AG1341" t="str">
        <f t="shared" si="395"/>
        <v>0P00</v>
      </c>
      <c r="AH1341" t="str">
        <f t="shared" si="396"/>
        <v>P000</v>
      </c>
      <c r="AI1341" t="str">
        <f t="shared" si="397"/>
        <v>0P00</v>
      </c>
      <c r="AJ1341" t="str">
        <f t="shared" si="398"/>
        <v>P000</v>
      </c>
    </row>
    <row r="1342" spans="1:36" x14ac:dyDescent="0.25">
      <c r="A1342" s="325" t="str">
        <f>CONCATENATE("P",'906MP'!M1042)</f>
        <v>P</v>
      </c>
      <c r="B1342">
        <f>'906MP'!H1042</f>
        <v>0</v>
      </c>
      <c r="C1342">
        <f>'906MP'!J1042</f>
        <v>0</v>
      </c>
      <c r="D1342">
        <f>'906MP'!P1042</f>
        <v>0</v>
      </c>
      <c r="E1342">
        <f>'906MP'!X1042</f>
        <v>0</v>
      </c>
      <c r="F1342" t="str">
        <f t="shared" si="390"/>
        <v>0</v>
      </c>
      <c r="G1342" t="str">
        <f t="shared" si="391"/>
        <v>0</v>
      </c>
      <c r="H1342">
        <f>'906MP'!Y1042</f>
        <v>0</v>
      </c>
      <c r="I1342">
        <f>'906MP'!AK1042</f>
        <v>0</v>
      </c>
      <c r="J1342">
        <f>'906MP'!T1042</f>
        <v>0</v>
      </c>
      <c r="K1342">
        <f>'906MP'!AJ1042</f>
        <v>0</v>
      </c>
      <c r="L1342">
        <f>'906MP'!U1042</f>
        <v>0</v>
      </c>
      <c r="M1342" s="322" t="str">
        <f>IFERROR(VLOOKUP(A1342,PAR!$D$3:$E$53,2,FALSE),"nincs szervezet")</f>
        <v>nincs szervezet</v>
      </c>
      <c r="N1342" s="322" t="str">
        <f>VLOOKUP(F1342,PAR!$R$3:$S$5,2,FALSE)</f>
        <v>3 - egyik sem</v>
      </c>
      <c r="O1342" t="str">
        <f>IFERROR(VLOOKUP(J1342,PAR!$O$3:$P$5,2,FALSE),"nincs feladat")</f>
        <v>nincs feladat</v>
      </c>
      <c r="P1342" t="str">
        <f>IFERROR(VLOOKUP(G1342,PAR!$J$2:$M$19,4),"nincs rovat")</f>
        <v>nincs rovat</v>
      </c>
      <c r="Q1342" t="str">
        <f>IF(H1342&gt;0,VLOOKUP(H1342,PAR!$AA$3:$AC$187,3,FALSE),"nincs főkönyvi számla")</f>
        <v>nincs főkönyvi számla</v>
      </c>
      <c r="R1342" t="str">
        <f>IFERROR(VLOOKUP(K1342,PAR!$V$3:$X$438,3,FALSE),"000000 - Nincs COFOG")</f>
        <v>000000 - Nincs COFOG</v>
      </c>
      <c r="S1342">
        <f t="shared" si="392"/>
        <v>0</v>
      </c>
      <c r="T1342">
        <f t="shared" si="393"/>
        <v>0</v>
      </c>
      <c r="U1342" t="str">
        <f>IF('906MP'!J1042&gt;0,CONCATENATE('906MP'!J1042," - ",'906MP'!P1042,", ",'906MP'!E1042),"nincs megjegyzés")</f>
        <v>nincs megjegyzés</v>
      </c>
      <c r="V1342" t="str">
        <f t="shared" si="380"/>
        <v>0P0</v>
      </c>
      <c r="W1342" t="str">
        <f t="shared" si="381"/>
        <v>0P0</v>
      </c>
      <c r="X1342" t="str">
        <f t="shared" si="382"/>
        <v>P0</v>
      </c>
      <c r="Y1342" t="str">
        <f t="shared" si="383"/>
        <v>00</v>
      </c>
      <c r="Z1342" t="str">
        <f t="shared" si="394"/>
        <v>00</v>
      </c>
      <c r="AA1342" t="str">
        <f t="shared" si="384"/>
        <v>00</v>
      </c>
      <c r="AB1342" t="str">
        <f t="shared" si="385"/>
        <v>00</v>
      </c>
      <c r="AC1342" t="str">
        <f t="shared" si="386"/>
        <v>0P0</v>
      </c>
      <c r="AD1342" t="str">
        <f t="shared" si="387"/>
        <v>P00</v>
      </c>
      <c r="AE1342" t="str">
        <f t="shared" si="388"/>
        <v>0P0</v>
      </c>
      <c r="AF1342" t="str">
        <f t="shared" si="389"/>
        <v>P00</v>
      </c>
      <c r="AG1342" t="str">
        <f t="shared" si="395"/>
        <v>0P00</v>
      </c>
      <c r="AH1342" t="str">
        <f t="shared" si="396"/>
        <v>P000</v>
      </c>
      <c r="AI1342" t="str">
        <f t="shared" si="397"/>
        <v>0P00</v>
      </c>
      <c r="AJ1342" t="str">
        <f t="shared" si="398"/>
        <v>P000</v>
      </c>
    </row>
    <row r="1343" spans="1:36" x14ac:dyDescent="0.25">
      <c r="A1343" s="325" t="str">
        <f>CONCATENATE("P",'906MP'!M1043)</f>
        <v>P</v>
      </c>
      <c r="B1343">
        <f>'906MP'!H1043</f>
        <v>0</v>
      </c>
      <c r="C1343">
        <f>'906MP'!J1043</f>
        <v>0</v>
      </c>
      <c r="D1343">
        <f>'906MP'!P1043</f>
        <v>0</v>
      </c>
      <c r="E1343">
        <f>'906MP'!X1043</f>
        <v>0</v>
      </c>
      <c r="F1343" t="str">
        <f t="shared" si="390"/>
        <v>0</v>
      </c>
      <c r="G1343" t="str">
        <f t="shared" si="391"/>
        <v>0</v>
      </c>
      <c r="H1343">
        <f>'906MP'!Y1043</f>
        <v>0</v>
      </c>
      <c r="I1343">
        <f>'906MP'!AK1043</f>
        <v>0</v>
      </c>
      <c r="J1343">
        <f>'906MP'!T1043</f>
        <v>0</v>
      </c>
      <c r="K1343">
        <f>'906MP'!AJ1043</f>
        <v>0</v>
      </c>
      <c r="L1343">
        <f>'906MP'!U1043</f>
        <v>0</v>
      </c>
      <c r="M1343" s="322" t="str">
        <f>IFERROR(VLOOKUP(A1343,PAR!$D$3:$E$53,2,FALSE),"nincs szervezet")</f>
        <v>nincs szervezet</v>
      </c>
      <c r="N1343" s="322" t="str">
        <f>VLOOKUP(F1343,PAR!$R$3:$S$5,2,FALSE)</f>
        <v>3 - egyik sem</v>
      </c>
      <c r="O1343" t="str">
        <f>IFERROR(VLOOKUP(J1343,PAR!$O$3:$P$5,2,FALSE),"nincs feladat")</f>
        <v>nincs feladat</v>
      </c>
      <c r="P1343" t="str">
        <f>IFERROR(VLOOKUP(G1343,PAR!$J$2:$M$19,4),"nincs rovat")</f>
        <v>nincs rovat</v>
      </c>
      <c r="Q1343" t="str">
        <f>IF(H1343&gt;0,VLOOKUP(H1343,PAR!$AA$3:$AC$187,3,FALSE),"nincs főkönyvi számla")</f>
        <v>nincs főkönyvi számla</v>
      </c>
      <c r="R1343" t="str">
        <f>IFERROR(VLOOKUP(K1343,PAR!$V$3:$X$438,3,FALSE),"000000 - Nincs COFOG")</f>
        <v>000000 - Nincs COFOG</v>
      </c>
      <c r="S1343">
        <f t="shared" si="392"/>
        <v>0</v>
      </c>
      <c r="T1343">
        <f t="shared" si="393"/>
        <v>0</v>
      </c>
      <c r="U1343" t="str">
        <f>IF('906MP'!J1043&gt;0,CONCATENATE('906MP'!J1043," - ",'906MP'!P1043,", ",'906MP'!E1043),"nincs megjegyzés")</f>
        <v>nincs megjegyzés</v>
      </c>
      <c r="V1343" t="str">
        <f t="shared" si="380"/>
        <v>0P0</v>
      </c>
      <c r="W1343" t="str">
        <f t="shared" si="381"/>
        <v>0P0</v>
      </c>
      <c r="X1343" t="str">
        <f t="shared" si="382"/>
        <v>P0</v>
      </c>
      <c r="Y1343" t="str">
        <f t="shared" si="383"/>
        <v>00</v>
      </c>
      <c r="Z1343" t="str">
        <f t="shared" si="394"/>
        <v>00</v>
      </c>
      <c r="AA1343" t="str">
        <f t="shared" si="384"/>
        <v>00</v>
      </c>
      <c r="AB1343" t="str">
        <f t="shared" si="385"/>
        <v>00</v>
      </c>
      <c r="AC1343" t="str">
        <f t="shared" si="386"/>
        <v>0P0</v>
      </c>
      <c r="AD1343" t="str">
        <f t="shared" si="387"/>
        <v>P00</v>
      </c>
      <c r="AE1343" t="str">
        <f t="shared" si="388"/>
        <v>0P0</v>
      </c>
      <c r="AF1343" t="str">
        <f t="shared" si="389"/>
        <v>P00</v>
      </c>
      <c r="AG1343" t="str">
        <f t="shared" si="395"/>
        <v>0P00</v>
      </c>
      <c r="AH1343" t="str">
        <f t="shared" si="396"/>
        <v>P000</v>
      </c>
      <c r="AI1343" t="str">
        <f t="shared" si="397"/>
        <v>0P00</v>
      </c>
      <c r="AJ1343" t="str">
        <f t="shared" si="398"/>
        <v>P000</v>
      </c>
    </row>
    <row r="1344" spans="1:36" x14ac:dyDescent="0.25">
      <c r="A1344" s="325" t="str">
        <f>CONCATENATE("P",'906MP'!M1044)</f>
        <v>P</v>
      </c>
      <c r="B1344">
        <f>'906MP'!H1044</f>
        <v>0</v>
      </c>
      <c r="C1344">
        <f>'906MP'!J1044</f>
        <v>0</v>
      </c>
      <c r="D1344">
        <f>'906MP'!P1044</f>
        <v>0</v>
      </c>
      <c r="E1344">
        <f>'906MP'!X1044</f>
        <v>0</v>
      </c>
      <c r="F1344" t="str">
        <f t="shared" si="390"/>
        <v>0</v>
      </c>
      <c r="G1344" t="str">
        <f t="shared" si="391"/>
        <v>0</v>
      </c>
      <c r="H1344">
        <f>'906MP'!Y1044</f>
        <v>0</v>
      </c>
      <c r="I1344">
        <f>'906MP'!AK1044</f>
        <v>0</v>
      </c>
      <c r="J1344">
        <f>'906MP'!T1044</f>
        <v>0</v>
      </c>
      <c r="K1344">
        <f>'906MP'!AJ1044</f>
        <v>0</v>
      </c>
      <c r="L1344">
        <f>'906MP'!U1044</f>
        <v>0</v>
      </c>
      <c r="M1344" s="322" t="str">
        <f>IFERROR(VLOOKUP(A1344,PAR!$D$3:$E$53,2,FALSE),"nincs szervezet")</f>
        <v>nincs szervezet</v>
      </c>
      <c r="N1344" s="322" t="str">
        <f>VLOOKUP(F1344,PAR!$R$3:$S$5,2,FALSE)</f>
        <v>3 - egyik sem</v>
      </c>
      <c r="O1344" t="str">
        <f>IFERROR(VLOOKUP(J1344,PAR!$O$3:$P$5,2,FALSE),"nincs feladat")</f>
        <v>nincs feladat</v>
      </c>
      <c r="P1344" t="str">
        <f>IFERROR(VLOOKUP(G1344,PAR!$J$2:$M$19,4),"nincs rovat")</f>
        <v>nincs rovat</v>
      </c>
      <c r="Q1344" t="str">
        <f>IF(H1344&gt;0,VLOOKUP(H1344,PAR!$AA$3:$AC$187,3,FALSE),"nincs főkönyvi számla")</f>
        <v>nincs főkönyvi számla</v>
      </c>
      <c r="R1344" t="str">
        <f>IFERROR(VLOOKUP(K1344,PAR!$V$3:$X$438,3,FALSE),"000000 - Nincs COFOG")</f>
        <v>000000 - Nincs COFOG</v>
      </c>
      <c r="S1344">
        <f t="shared" si="392"/>
        <v>0</v>
      </c>
      <c r="T1344">
        <f t="shared" si="393"/>
        <v>0</v>
      </c>
      <c r="U1344" t="str">
        <f>IF('906MP'!J1044&gt;0,CONCATENATE('906MP'!J1044," - ",'906MP'!P1044,", ",'906MP'!E1044),"nincs megjegyzés")</f>
        <v>nincs megjegyzés</v>
      </c>
      <c r="V1344" t="str">
        <f t="shared" si="380"/>
        <v>0P0</v>
      </c>
      <c r="W1344" t="str">
        <f t="shared" si="381"/>
        <v>0P0</v>
      </c>
      <c r="X1344" t="str">
        <f t="shared" si="382"/>
        <v>P0</v>
      </c>
      <c r="Y1344" t="str">
        <f t="shared" si="383"/>
        <v>00</v>
      </c>
      <c r="Z1344" t="str">
        <f t="shared" si="394"/>
        <v>00</v>
      </c>
      <c r="AA1344" t="str">
        <f t="shared" si="384"/>
        <v>00</v>
      </c>
      <c r="AB1344" t="str">
        <f t="shared" si="385"/>
        <v>00</v>
      </c>
      <c r="AC1344" t="str">
        <f t="shared" si="386"/>
        <v>0P0</v>
      </c>
      <c r="AD1344" t="str">
        <f t="shared" si="387"/>
        <v>P00</v>
      </c>
      <c r="AE1344" t="str">
        <f t="shared" si="388"/>
        <v>0P0</v>
      </c>
      <c r="AF1344" t="str">
        <f t="shared" si="389"/>
        <v>P00</v>
      </c>
      <c r="AG1344" t="str">
        <f t="shared" si="395"/>
        <v>0P00</v>
      </c>
      <c r="AH1344" t="str">
        <f t="shared" si="396"/>
        <v>P000</v>
      </c>
      <c r="AI1344" t="str">
        <f t="shared" si="397"/>
        <v>0P00</v>
      </c>
      <c r="AJ1344" t="str">
        <f t="shared" si="398"/>
        <v>P000</v>
      </c>
    </row>
    <row r="1345" spans="1:36" x14ac:dyDescent="0.25">
      <c r="A1345" s="325" t="str">
        <f>CONCATENATE("P",'906MP'!M1045)</f>
        <v>P</v>
      </c>
      <c r="B1345">
        <f>'906MP'!H1045</f>
        <v>0</v>
      </c>
      <c r="C1345">
        <f>'906MP'!J1045</f>
        <v>0</v>
      </c>
      <c r="D1345">
        <f>'906MP'!P1045</f>
        <v>0</v>
      </c>
      <c r="E1345">
        <f>'906MP'!X1045</f>
        <v>0</v>
      </c>
      <c r="F1345" t="str">
        <f t="shared" si="390"/>
        <v>0</v>
      </c>
      <c r="G1345" t="str">
        <f t="shared" si="391"/>
        <v>0</v>
      </c>
      <c r="H1345">
        <f>'906MP'!Y1045</f>
        <v>0</v>
      </c>
      <c r="I1345">
        <f>'906MP'!AK1045</f>
        <v>0</v>
      </c>
      <c r="J1345">
        <f>'906MP'!T1045</f>
        <v>0</v>
      </c>
      <c r="K1345">
        <f>'906MP'!AJ1045</f>
        <v>0</v>
      </c>
      <c r="L1345">
        <f>'906MP'!U1045</f>
        <v>0</v>
      </c>
      <c r="M1345" s="322" t="str">
        <f>IFERROR(VLOOKUP(A1345,PAR!$D$3:$E$53,2,FALSE),"nincs szervezet")</f>
        <v>nincs szervezet</v>
      </c>
      <c r="N1345" s="322" t="str">
        <f>VLOOKUP(F1345,PAR!$R$3:$S$5,2,FALSE)</f>
        <v>3 - egyik sem</v>
      </c>
      <c r="O1345" t="str">
        <f>IFERROR(VLOOKUP(J1345,PAR!$O$3:$P$5,2,FALSE),"nincs feladat")</f>
        <v>nincs feladat</v>
      </c>
      <c r="P1345" t="str">
        <f>IFERROR(VLOOKUP(G1345,PAR!$J$2:$M$19,4),"nincs rovat")</f>
        <v>nincs rovat</v>
      </c>
      <c r="Q1345" t="str">
        <f>IF(H1345&gt;0,VLOOKUP(H1345,PAR!$AA$3:$AC$187,3,FALSE),"nincs főkönyvi számla")</f>
        <v>nincs főkönyvi számla</v>
      </c>
      <c r="R1345" t="str">
        <f>IFERROR(VLOOKUP(K1345,PAR!$V$3:$X$438,3,FALSE),"000000 - Nincs COFOG")</f>
        <v>000000 - Nincs COFOG</v>
      </c>
      <c r="S1345">
        <f t="shared" si="392"/>
        <v>0</v>
      </c>
      <c r="T1345">
        <f t="shared" si="393"/>
        <v>0</v>
      </c>
      <c r="U1345" t="str">
        <f>IF('906MP'!J1045&gt;0,CONCATENATE('906MP'!J1045," - ",'906MP'!P1045,", ",'906MP'!E1045),"nincs megjegyzés")</f>
        <v>nincs megjegyzés</v>
      </c>
      <c r="V1345" t="str">
        <f t="shared" si="380"/>
        <v>0P0</v>
      </c>
      <c r="W1345" t="str">
        <f t="shared" si="381"/>
        <v>0P0</v>
      </c>
      <c r="X1345" t="str">
        <f t="shared" si="382"/>
        <v>P0</v>
      </c>
      <c r="Y1345" t="str">
        <f t="shared" si="383"/>
        <v>00</v>
      </c>
      <c r="Z1345" t="str">
        <f t="shared" si="394"/>
        <v>00</v>
      </c>
      <c r="AA1345" t="str">
        <f t="shared" si="384"/>
        <v>00</v>
      </c>
      <c r="AB1345" t="str">
        <f t="shared" si="385"/>
        <v>00</v>
      </c>
      <c r="AC1345" t="str">
        <f t="shared" si="386"/>
        <v>0P0</v>
      </c>
      <c r="AD1345" t="str">
        <f t="shared" si="387"/>
        <v>P00</v>
      </c>
      <c r="AE1345" t="str">
        <f t="shared" si="388"/>
        <v>0P0</v>
      </c>
      <c r="AF1345" t="str">
        <f t="shared" si="389"/>
        <v>P00</v>
      </c>
      <c r="AG1345" t="str">
        <f t="shared" si="395"/>
        <v>0P00</v>
      </c>
      <c r="AH1345" t="str">
        <f t="shared" si="396"/>
        <v>P000</v>
      </c>
      <c r="AI1345" t="str">
        <f t="shared" si="397"/>
        <v>0P00</v>
      </c>
      <c r="AJ1345" t="str">
        <f t="shared" si="398"/>
        <v>P000</v>
      </c>
    </row>
    <row r="1346" spans="1:36" x14ac:dyDescent="0.25">
      <c r="A1346" s="325" t="str">
        <f>CONCATENATE("P",'906MP'!M1046)</f>
        <v>P</v>
      </c>
      <c r="B1346">
        <f>'906MP'!H1046</f>
        <v>0</v>
      </c>
      <c r="C1346">
        <f>'906MP'!J1046</f>
        <v>0</v>
      </c>
      <c r="D1346">
        <f>'906MP'!P1046</f>
        <v>0</v>
      </c>
      <c r="E1346">
        <f>'906MP'!X1046</f>
        <v>0</v>
      </c>
      <c r="F1346" t="str">
        <f t="shared" si="390"/>
        <v>0</v>
      </c>
      <c r="G1346" t="str">
        <f t="shared" si="391"/>
        <v>0</v>
      </c>
      <c r="H1346">
        <f>'906MP'!Y1046</f>
        <v>0</v>
      </c>
      <c r="I1346">
        <f>'906MP'!AK1046</f>
        <v>0</v>
      </c>
      <c r="J1346">
        <f>'906MP'!T1046</f>
        <v>0</v>
      </c>
      <c r="K1346">
        <f>'906MP'!AJ1046</f>
        <v>0</v>
      </c>
      <c r="L1346">
        <f>'906MP'!U1046</f>
        <v>0</v>
      </c>
      <c r="M1346" s="322" t="str">
        <f>IFERROR(VLOOKUP(A1346,PAR!$D$3:$E$53,2,FALSE),"nincs szervezet")</f>
        <v>nincs szervezet</v>
      </c>
      <c r="N1346" s="322" t="str">
        <f>VLOOKUP(F1346,PAR!$R$3:$S$5,2,FALSE)</f>
        <v>3 - egyik sem</v>
      </c>
      <c r="O1346" t="str">
        <f>IFERROR(VLOOKUP(J1346,PAR!$O$3:$P$5,2,FALSE),"nincs feladat")</f>
        <v>nincs feladat</v>
      </c>
      <c r="P1346" t="str">
        <f>IFERROR(VLOOKUP(G1346,PAR!$J$2:$M$19,4),"nincs rovat")</f>
        <v>nincs rovat</v>
      </c>
      <c r="Q1346" t="str">
        <f>IF(H1346&gt;0,VLOOKUP(H1346,PAR!$AA$3:$AC$187,3,FALSE),"nincs főkönyvi számla")</f>
        <v>nincs főkönyvi számla</v>
      </c>
      <c r="R1346" t="str">
        <f>IFERROR(VLOOKUP(K1346,PAR!$V$3:$X$438,3,FALSE),"000000 - Nincs COFOG")</f>
        <v>000000 - Nincs COFOG</v>
      </c>
      <c r="S1346">
        <f t="shared" si="392"/>
        <v>0</v>
      </c>
      <c r="T1346">
        <f t="shared" si="393"/>
        <v>0</v>
      </c>
      <c r="U1346" t="str">
        <f>IF('906MP'!J1046&gt;0,CONCATENATE('906MP'!J1046," - ",'906MP'!P1046,", ",'906MP'!E1046),"nincs megjegyzés")</f>
        <v>nincs megjegyzés</v>
      </c>
      <c r="V1346" t="str">
        <f t="shared" ref="V1346:V1409" si="399">CONCATENATE(B1346,A1346,G1346)</f>
        <v>0P0</v>
      </c>
      <c r="W1346" t="str">
        <f t="shared" ref="W1346:W1409" si="400">CONCATENATE(B1346,A1346,F1346)</f>
        <v>0P0</v>
      </c>
      <c r="X1346" t="str">
        <f t="shared" ref="X1346:X1409" si="401">CONCATENATE(A1346,H1346)</f>
        <v>P0</v>
      </c>
      <c r="Y1346" t="str">
        <f t="shared" ref="Y1346:Y1409" si="402">CONCATENATE(B1346,H1346)</f>
        <v>00</v>
      </c>
      <c r="Z1346" t="str">
        <f t="shared" si="394"/>
        <v>00</v>
      </c>
      <c r="AA1346" t="str">
        <f t="shared" ref="AA1346:AA1409" si="403">CONCATENATE(B1346,G1346)</f>
        <v>00</v>
      </c>
      <c r="AB1346" t="str">
        <f t="shared" ref="AB1346:AB1409" si="404">CONCATENATE(J1346,G1346)</f>
        <v>00</v>
      </c>
      <c r="AC1346" t="str">
        <f t="shared" ref="AC1346:AC1409" si="405">CONCATENATE(B1346,A1346,H1346)</f>
        <v>0P0</v>
      </c>
      <c r="AD1346" t="str">
        <f t="shared" ref="AD1346:AD1409" si="406">CONCATENATE(A1346,H1346,J1346)</f>
        <v>P00</v>
      </c>
      <c r="AE1346" t="str">
        <f t="shared" ref="AE1346:AE1409" si="407">CONCATENATE(B1346,A1346,G1346)</f>
        <v>0P0</v>
      </c>
      <c r="AF1346" t="str">
        <f t="shared" ref="AF1346:AF1409" si="408">CONCATENATE(A1346,G1346,J1346)</f>
        <v>P00</v>
      </c>
      <c r="AG1346" t="str">
        <f t="shared" si="395"/>
        <v>0P00</v>
      </c>
      <c r="AH1346" t="str">
        <f t="shared" si="396"/>
        <v>P000</v>
      </c>
      <c r="AI1346" t="str">
        <f t="shared" si="397"/>
        <v>0P00</v>
      </c>
      <c r="AJ1346" t="str">
        <f t="shared" si="398"/>
        <v>P000</v>
      </c>
    </row>
    <row r="1347" spans="1:36" x14ac:dyDescent="0.25">
      <c r="A1347" s="325" t="str">
        <f>CONCATENATE("P",'906MP'!M1047)</f>
        <v>P</v>
      </c>
      <c r="B1347">
        <f>'906MP'!H1047</f>
        <v>0</v>
      </c>
      <c r="C1347">
        <f>'906MP'!J1047</f>
        <v>0</v>
      </c>
      <c r="D1347">
        <f>'906MP'!P1047</f>
        <v>0</v>
      </c>
      <c r="E1347">
        <f>'906MP'!X1047</f>
        <v>0</v>
      </c>
      <c r="F1347" t="str">
        <f t="shared" ref="F1347:F1410" si="409">LEFT(G1347,2)</f>
        <v>0</v>
      </c>
      <c r="G1347" t="str">
        <f t="shared" ref="G1347:G1410" si="410">LEFT(H1347,3)</f>
        <v>0</v>
      </c>
      <c r="H1347">
        <f>'906MP'!Y1047</f>
        <v>0</v>
      </c>
      <c r="I1347">
        <f>'906MP'!AK1047</f>
        <v>0</v>
      </c>
      <c r="J1347">
        <f>'906MP'!T1047</f>
        <v>0</v>
      </c>
      <c r="K1347">
        <f>'906MP'!AJ1047</f>
        <v>0</v>
      </c>
      <c r="L1347">
        <f>'906MP'!U1047</f>
        <v>0</v>
      </c>
      <c r="M1347" s="322" t="str">
        <f>IFERROR(VLOOKUP(A1347,PAR!$D$3:$E$53,2,FALSE),"nincs szervezet")</f>
        <v>nincs szervezet</v>
      </c>
      <c r="N1347" s="322" t="str">
        <f>VLOOKUP(F1347,PAR!$R$3:$S$5,2,FALSE)</f>
        <v>3 - egyik sem</v>
      </c>
      <c r="O1347" t="str">
        <f>IFERROR(VLOOKUP(J1347,PAR!$O$3:$P$5,2,FALSE),"nincs feladat")</f>
        <v>nincs feladat</v>
      </c>
      <c r="P1347" t="str">
        <f>IFERROR(VLOOKUP(G1347,PAR!$J$2:$M$19,4),"nincs rovat")</f>
        <v>nincs rovat</v>
      </c>
      <c r="Q1347" t="str">
        <f>IF(H1347&gt;0,VLOOKUP(H1347,PAR!$AA$3:$AC$187,3,FALSE),"nincs főkönyvi számla")</f>
        <v>nincs főkönyvi számla</v>
      </c>
      <c r="R1347" t="str">
        <f>IFERROR(VLOOKUP(K1347,PAR!$V$3:$X$438,3,FALSE),"000000 - Nincs COFOG")</f>
        <v>000000 - Nincs COFOG</v>
      </c>
      <c r="S1347">
        <f t="shared" ref="S1347:S1410" si="411">E1347</f>
        <v>0</v>
      </c>
      <c r="T1347">
        <f t="shared" ref="T1347:T1410" si="412">IF(F1347="09",E1347*-1,E1347)</f>
        <v>0</v>
      </c>
      <c r="U1347" t="str">
        <f>IF('906MP'!J1047&gt;0,CONCATENATE('906MP'!J1047," - ",'906MP'!P1047,", ",'906MP'!E1047),"nincs megjegyzés")</f>
        <v>nincs megjegyzés</v>
      </c>
      <c r="V1347" t="str">
        <f t="shared" si="399"/>
        <v>0P0</v>
      </c>
      <c r="W1347" t="str">
        <f t="shared" si="400"/>
        <v>0P0</v>
      </c>
      <c r="X1347" t="str">
        <f t="shared" si="401"/>
        <v>P0</v>
      </c>
      <c r="Y1347" t="str">
        <f t="shared" si="402"/>
        <v>00</v>
      </c>
      <c r="Z1347" t="str">
        <f t="shared" ref="Z1347:Z1410" si="413">CONCATENATE(J1347,H1347)</f>
        <v>00</v>
      </c>
      <c r="AA1347" t="str">
        <f t="shared" si="403"/>
        <v>00</v>
      </c>
      <c r="AB1347" t="str">
        <f t="shared" si="404"/>
        <v>00</v>
      </c>
      <c r="AC1347" t="str">
        <f t="shared" si="405"/>
        <v>0P0</v>
      </c>
      <c r="AD1347" t="str">
        <f t="shared" si="406"/>
        <v>P00</v>
      </c>
      <c r="AE1347" t="str">
        <f t="shared" si="407"/>
        <v>0P0</v>
      </c>
      <c r="AF1347" t="str">
        <f t="shared" si="408"/>
        <v>P00</v>
      </c>
      <c r="AG1347" t="str">
        <f t="shared" ref="AG1347:AG1410" si="414">CONCATENATE(B1347,A1347,H1347,L1347)</f>
        <v>0P00</v>
      </c>
      <c r="AH1347" t="str">
        <f t="shared" ref="AH1347:AH1410" si="415">CONCATENATE(A1347,J1347,H1347,L1347)</f>
        <v>P000</v>
      </c>
      <c r="AI1347" t="str">
        <f t="shared" ref="AI1347:AI1410" si="416">CONCATENATE(B1347,A1347,G1347,L1347)</f>
        <v>0P00</v>
      </c>
      <c r="AJ1347" t="str">
        <f t="shared" ref="AJ1347:AJ1410" si="417">CONCATENATE(A1347,G1347,J1347,L1347)</f>
        <v>P000</v>
      </c>
    </row>
    <row r="1348" spans="1:36" x14ac:dyDescent="0.25">
      <c r="A1348" s="325" t="str">
        <f>CONCATENATE("P",'906MP'!M1048)</f>
        <v>P</v>
      </c>
      <c r="B1348">
        <f>'906MP'!H1048</f>
        <v>0</v>
      </c>
      <c r="C1348">
        <f>'906MP'!J1048</f>
        <v>0</v>
      </c>
      <c r="D1348">
        <f>'906MP'!P1048</f>
        <v>0</v>
      </c>
      <c r="E1348">
        <f>'906MP'!X1048</f>
        <v>0</v>
      </c>
      <c r="F1348" t="str">
        <f t="shared" si="409"/>
        <v>0</v>
      </c>
      <c r="G1348" t="str">
        <f t="shared" si="410"/>
        <v>0</v>
      </c>
      <c r="H1348">
        <f>'906MP'!Y1048</f>
        <v>0</v>
      </c>
      <c r="I1348">
        <f>'906MP'!AK1048</f>
        <v>0</v>
      </c>
      <c r="J1348">
        <f>'906MP'!T1048</f>
        <v>0</v>
      </c>
      <c r="K1348">
        <f>'906MP'!AJ1048</f>
        <v>0</v>
      </c>
      <c r="L1348">
        <f>'906MP'!U1048</f>
        <v>0</v>
      </c>
      <c r="M1348" s="322" t="str">
        <f>IFERROR(VLOOKUP(A1348,PAR!$D$3:$E$53,2,FALSE),"nincs szervezet")</f>
        <v>nincs szervezet</v>
      </c>
      <c r="N1348" s="322" t="str">
        <f>VLOOKUP(F1348,PAR!$R$3:$S$5,2,FALSE)</f>
        <v>3 - egyik sem</v>
      </c>
      <c r="O1348" t="str">
        <f>IFERROR(VLOOKUP(J1348,PAR!$O$3:$P$5,2,FALSE),"nincs feladat")</f>
        <v>nincs feladat</v>
      </c>
      <c r="P1348" t="str">
        <f>IFERROR(VLOOKUP(G1348,PAR!$J$2:$M$19,4),"nincs rovat")</f>
        <v>nincs rovat</v>
      </c>
      <c r="Q1348" t="str">
        <f>IF(H1348&gt;0,VLOOKUP(H1348,PAR!$AA$3:$AC$187,3,FALSE),"nincs főkönyvi számla")</f>
        <v>nincs főkönyvi számla</v>
      </c>
      <c r="R1348" t="str">
        <f>IFERROR(VLOOKUP(K1348,PAR!$V$3:$X$438,3,FALSE),"000000 - Nincs COFOG")</f>
        <v>000000 - Nincs COFOG</v>
      </c>
      <c r="S1348">
        <f t="shared" si="411"/>
        <v>0</v>
      </c>
      <c r="T1348">
        <f t="shared" si="412"/>
        <v>0</v>
      </c>
      <c r="U1348" t="str">
        <f>IF('906MP'!J1048&gt;0,CONCATENATE('906MP'!J1048," - ",'906MP'!P1048,", ",'906MP'!E1048),"nincs megjegyzés")</f>
        <v>nincs megjegyzés</v>
      </c>
      <c r="V1348" t="str">
        <f t="shared" si="399"/>
        <v>0P0</v>
      </c>
      <c r="W1348" t="str">
        <f t="shared" si="400"/>
        <v>0P0</v>
      </c>
      <c r="X1348" t="str">
        <f t="shared" si="401"/>
        <v>P0</v>
      </c>
      <c r="Y1348" t="str">
        <f t="shared" si="402"/>
        <v>00</v>
      </c>
      <c r="Z1348" t="str">
        <f t="shared" si="413"/>
        <v>00</v>
      </c>
      <c r="AA1348" t="str">
        <f t="shared" si="403"/>
        <v>00</v>
      </c>
      <c r="AB1348" t="str">
        <f t="shared" si="404"/>
        <v>00</v>
      </c>
      <c r="AC1348" t="str">
        <f t="shared" si="405"/>
        <v>0P0</v>
      </c>
      <c r="AD1348" t="str">
        <f t="shared" si="406"/>
        <v>P00</v>
      </c>
      <c r="AE1348" t="str">
        <f t="shared" si="407"/>
        <v>0P0</v>
      </c>
      <c r="AF1348" t="str">
        <f t="shared" si="408"/>
        <v>P00</v>
      </c>
      <c r="AG1348" t="str">
        <f t="shared" si="414"/>
        <v>0P00</v>
      </c>
      <c r="AH1348" t="str">
        <f t="shared" si="415"/>
        <v>P000</v>
      </c>
      <c r="AI1348" t="str">
        <f t="shared" si="416"/>
        <v>0P00</v>
      </c>
      <c r="AJ1348" t="str">
        <f t="shared" si="417"/>
        <v>P000</v>
      </c>
    </row>
    <row r="1349" spans="1:36" x14ac:dyDescent="0.25">
      <c r="A1349" s="325" t="str">
        <f>CONCATENATE("P",'906MP'!M1049)</f>
        <v>P</v>
      </c>
      <c r="B1349">
        <f>'906MP'!H1049</f>
        <v>0</v>
      </c>
      <c r="C1349">
        <f>'906MP'!J1049</f>
        <v>0</v>
      </c>
      <c r="D1349">
        <f>'906MP'!P1049</f>
        <v>0</v>
      </c>
      <c r="E1349">
        <f>'906MP'!X1049</f>
        <v>0</v>
      </c>
      <c r="F1349" t="str">
        <f t="shared" si="409"/>
        <v>0</v>
      </c>
      <c r="G1349" t="str">
        <f t="shared" si="410"/>
        <v>0</v>
      </c>
      <c r="H1349">
        <f>'906MP'!Y1049</f>
        <v>0</v>
      </c>
      <c r="I1349">
        <f>'906MP'!AK1049</f>
        <v>0</v>
      </c>
      <c r="J1349">
        <f>'906MP'!T1049</f>
        <v>0</v>
      </c>
      <c r="K1349">
        <f>'906MP'!AJ1049</f>
        <v>0</v>
      </c>
      <c r="L1349">
        <f>'906MP'!U1049</f>
        <v>0</v>
      </c>
      <c r="M1349" s="322" t="str">
        <f>IFERROR(VLOOKUP(A1349,PAR!$D$3:$E$53,2,FALSE),"nincs szervezet")</f>
        <v>nincs szervezet</v>
      </c>
      <c r="N1349" s="322" t="str">
        <f>VLOOKUP(F1349,PAR!$R$3:$S$5,2,FALSE)</f>
        <v>3 - egyik sem</v>
      </c>
      <c r="O1349" t="str">
        <f>IFERROR(VLOOKUP(J1349,PAR!$O$3:$P$5,2,FALSE),"nincs feladat")</f>
        <v>nincs feladat</v>
      </c>
      <c r="P1349" t="str">
        <f>IFERROR(VLOOKUP(G1349,PAR!$J$2:$M$19,4),"nincs rovat")</f>
        <v>nincs rovat</v>
      </c>
      <c r="Q1349" t="str">
        <f>IF(H1349&gt;0,VLOOKUP(H1349,PAR!$AA$3:$AC$187,3,FALSE),"nincs főkönyvi számla")</f>
        <v>nincs főkönyvi számla</v>
      </c>
      <c r="R1349" t="str">
        <f>IFERROR(VLOOKUP(K1349,PAR!$V$3:$X$438,3,FALSE),"000000 - Nincs COFOG")</f>
        <v>000000 - Nincs COFOG</v>
      </c>
      <c r="S1349">
        <f t="shared" si="411"/>
        <v>0</v>
      </c>
      <c r="T1349">
        <f t="shared" si="412"/>
        <v>0</v>
      </c>
      <c r="U1349" t="str">
        <f>IF('906MP'!J1049&gt;0,CONCATENATE('906MP'!J1049," - ",'906MP'!P1049,", ",'906MP'!E1049),"nincs megjegyzés")</f>
        <v>nincs megjegyzés</v>
      </c>
      <c r="V1349" t="str">
        <f t="shared" si="399"/>
        <v>0P0</v>
      </c>
      <c r="W1349" t="str">
        <f t="shared" si="400"/>
        <v>0P0</v>
      </c>
      <c r="X1349" t="str">
        <f t="shared" si="401"/>
        <v>P0</v>
      </c>
      <c r="Y1349" t="str">
        <f t="shared" si="402"/>
        <v>00</v>
      </c>
      <c r="Z1349" t="str">
        <f t="shared" si="413"/>
        <v>00</v>
      </c>
      <c r="AA1349" t="str">
        <f t="shared" si="403"/>
        <v>00</v>
      </c>
      <c r="AB1349" t="str">
        <f t="shared" si="404"/>
        <v>00</v>
      </c>
      <c r="AC1349" t="str">
        <f t="shared" si="405"/>
        <v>0P0</v>
      </c>
      <c r="AD1349" t="str">
        <f t="shared" si="406"/>
        <v>P00</v>
      </c>
      <c r="AE1349" t="str">
        <f t="shared" si="407"/>
        <v>0P0</v>
      </c>
      <c r="AF1349" t="str">
        <f t="shared" si="408"/>
        <v>P00</v>
      </c>
      <c r="AG1349" t="str">
        <f t="shared" si="414"/>
        <v>0P00</v>
      </c>
      <c r="AH1349" t="str">
        <f t="shared" si="415"/>
        <v>P000</v>
      </c>
      <c r="AI1349" t="str">
        <f t="shared" si="416"/>
        <v>0P00</v>
      </c>
      <c r="AJ1349" t="str">
        <f t="shared" si="417"/>
        <v>P000</v>
      </c>
    </row>
    <row r="1350" spans="1:36" x14ac:dyDescent="0.25">
      <c r="A1350" s="325" t="str">
        <f>CONCATENATE("P",'906MP'!M1050)</f>
        <v>P</v>
      </c>
      <c r="B1350">
        <f>'906MP'!H1050</f>
        <v>0</v>
      </c>
      <c r="C1350">
        <f>'906MP'!J1050</f>
        <v>0</v>
      </c>
      <c r="D1350">
        <f>'906MP'!P1050</f>
        <v>0</v>
      </c>
      <c r="E1350">
        <f>'906MP'!X1050</f>
        <v>0</v>
      </c>
      <c r="F1350" t="str">
        <f t="shared" si="409"/>
        <v>0</v>
      </c>
      <c r="G1350" t="str">
        <f t="shared" si="410"/>
        <v>0</v>
      </c>
      <c r="H1350">
        <f>'906MP'!Y1050</f>
        <v>0</v>
      </c>
      <c r="I1350">
        <f>'906MP'!AK1050</f>
        <v>0</v>
      </c>
      <c r="J1350">
        <f>'906MP'!T1050</f>
        <v>0</v>
      </c>
      <c r="K1350">
        <f>'906MP'!AJ1050</f>
        <v>0</v>
      </c>
      <c r="L1350">
        <f>'906MP'!U1050</f>
        <v>0</v>
      </c>
      <c r="M1350" s="322" t="str">
        <f>IFERROR(VLOOKUP(A1350,PAR!$D$3:$E$53,2,FALSE),"nincs szervezet")</f>
        <v>nincs szervezet</v>
      </c>
      <c r="N1350" s="322" t="str">
        <f>VLOOKUP(F1350,PAR!$R$3:$S$5,2,FALSE)</f>
        <v>3 - egyik sem</v>
      </c>
      <c r="O1350" t="str">
        <f>IFERROR(VLOOKUP(J1350,PAR!$O$3:$P$5,2,FALSE),"nincs feladat")</f>
        <v>nincs feladat</v>
      </c>
      <c r="P1350" t="str">
        <f>IFERROR(VLOOKUP(G1350,PAR!$J$2:$M$19,4),"nincs rovat")</f>
        <v>nincs rovat</v>
      </c>
      <c r="Q1350" t="str">
        <f>IF(H1350&gt;0,VLOOKUP(H1350,PAR!$AA$3:$AC$187,3,FALSE),"nincs főkönyvi számla")</f>
        <v>nincs főkönyvi számla</v>
      </c>
      <c r="R1350" t="str">
        <f>IFERROR(VLOOKUP(K1350,PAR!$V$3:$X$438,3,FALSE),"000000 - Nincs COFOG")</f>
        <v>000000 - Nincs COFOG</v>
      </c>
      <c r="S1350">
        <f t="shared" si="411"/>
        <v>0</v>
      </c>
      <c r="T1350">
        <f t="shared" si="412"/>
        <v>0</v>
      </c>
      <c r="U1350" t="str">
        <f>IF('906MP'!J1050&gt;0,CONCATENATE('906MP'!J1050," - ",'906MP'!P1050,", ",'906MP'!E1050),"nincs megjegyzés")</f>
        <v>nincs megjegyzés</v>
      </c>
      <c r="V1350" t="str">
        <f t="shared" si="399"/>
        <v>0P0</v>
      </c>
      <c r="W1350" t="str">
        <f t="shared" si="400"/>
        <v>0P0</v>
      </c>
      <c r="X1350" t="str">
        <f t="shared" si="401"/>
        <v>P0</v>
      </c>
      <c r="Y1350" t="str">
        <f t="shared" si="402"/>
        <v>00</v>
      </c>
      <c r="Z1350" t="str">
        <f t="shared" si="413"/>
        <v>00</v>
      </c>
      <c r="AA1350" t="str">
        <f t="shared" si="403"/>
        <v>00</v>
      </c>
      <c r="AB1350" t="str">
        <f t="shared" si="404"/>
        <v>00</v>
      </c>
      <c r="AC1350" t="str">
        <f t="shared" si="405"/>
        <v>0P0</v>
      </c>
      <c r="AD1350" t="str">
        <f t="shared" si="406"/>
        <v>P00</v>
      </c>
      <c r="AE1350" t="str">
        <f t="shared" si="407"/>
        <v>0P0</v>
      </c>
      <c r="AF1350" t="str">
        <f t="shared" si="408"/>
        <v>P00</v>
      </c>
      <c r="AG1350" t="str">
        <f t="shared" si="414"/>
        <v>0P00</v>
      </c>
      <c r="AH1350" t="str">
        <f t="shared" si="415"/>
        <v>P000</v>
      </c>
      <c r="AI1350" t="str">
        <f t="shared" si="416"/>
        <v>0P00</v>
      </c>
      <c r="AJ1350" t="str">
        <f t="shared" si="417"/>
        <v>P000</v>
      </c>
    </row>
    <row r="1351" spans="1:36" x14ac:dyDescent="0.25">
      <c r="A1351" s="325" t="str">
        <f>CONCATENATE("P",'906MP'!M1051)</f>
        <v>P</v>
      </c>
      <c r="B1351">
        <f>'906MP'!H1051</f>
        <v>0</v>
      </c>
      <c r="C1351">
        <f>'906MP'!J1051</f>
        <v>0</v>
      </c>
      <c r="D1351">
        <f>'906MP'!P1051</f>
        <v>0</v>
      </c>
      <c r="E1351">
        <f>'906MP'!X1051</f>
        <v>0</v>
      </c>
      <c r="F1351" t="str">
        <f t="shared" si="409"/>
        <v>0</v>
      </c>
      <c r="G1351" t="str">
        <f t="shared" si="410"/>
        <v>0</v>
      </c>
      <c r="H1351">
        <f>'906MP'!Y1051</f>
        <v>0</v>
      </c>
      <c r="I1351">
        <f>'906MP'!AK1051</f>
        <v>0</v>
      </c>
      <c r="J1351">
        <f>'906MP'!T1051</f>
        <v>0</v>
      </c>
      <c r="K1351">
        <f>'906MP'!AJ1051</f>
        <v>0</v>
      </c>
      <c r="L1351">
        <f>'906MP'!U1051</f>
        <v>0</v>
      </c>
      <c r="M1351" s="322" t="str">
        <f>IFERROR(VLOOKUP(A1351,PAR!$D$3:$E$53,2,FALSE),"nincs szervezet")</f>
        <v>nincs szervezet</v>
      </c>
      <c r="N1351" s="322" t="str">
        <f>VLOOKUP(F1351,PAR!$R$3:$S$5,2,FALSE)</f>
        <v>3 - egyik sem</v>
      </c>
      <c r="O1351" t="str">
        <f>IFERROR(VLOOKUP(J1351,PAR!$O$3:$P$5,2,FALSE),"nincs feladat")</f>
        <v>nincs feladat</v>
      </c>
      <c r="P1351" t="str">
        <f>IFERROR(VLOOKUP(G1351,PAR!$J$2:$M$19,4),"nincs rovat")</f>
        <v>nincs rovat</v>
      </c>
      <c r="Q1351" t="str">
        <f>IF(H1351&gt;0,VLOOKUP(H1351,PAR!$AA$3:$AC$187,3,FALSE),"nincs főkönyvi számla")</f>
        <v>nincs főkönyvi számla</v>
      </c>
      <c r="R1351" t="str">
        <f>IFERROR(VLOOKUP(K1351,PAR!$V$3:$X$438,3,FALSE),"000000 - Nincs COFOG")</f>
        <v>000000 - Nincs COFOG</v>
      </c>
      <c r="S1351">
        <f t="shared" si="411"/>
        <v>0</v>
      </c>
      <c r="T1351">
        <f t="shared" si="412"/>
        <v>0</v>
      </c>
      <c r="U1351" t="str">
        <f>IF('906MP'!J1051&gt;0,CONCATENATE('906MP'!J1051," - ",'906MP'!P1051,", ",'906MP'!E1051),"nincs megjegyzés")</f>
        <v>nincs megjegyzés</v>
      </c>
      <c r="V1351" t="str">
        <f t="shared" si="399"/>
        <v>0P0</v>
      </c>
      <c r="W1351" t="str">
        <f t="shared" si="400"/>
        <v>0P0</v>
      </c>
      <c r="X1351" t="str">
        <f t="shared" si="401"/>
        <v>P0</v>
      </c>
      <c r="Y1351" t="str">
        <f t="shared" si="402"/>
        <v>00</v>
      </c>
      <c r="Z1351" t="str">
        <f t="shared" si="413"/>
        <v>00</v>
      </c>
      <c r="AA1351" t="str">
        <f t="shared" si="403"/>
        <v>00</v>
      </c>
      <c r="AB1351" t="str">
        <f t="shared" si="404"/>
        <v>00</v>
      </c>
      <c r="AC1351" t="str">
        <f t="shared" si="405"/>
        <v>0P0</v>
      </c>
      <c r="AD1351" t="str">
        <f t="shared" si="406"/>
        <v>P00</v>
      </c>
      <c r="AE1351" t="str">
        <f t="shared" si="407"/>
        <v>0P0</v>
      </c>
      <c r="AF1351" t="str">
        <f t="shared" si="408"/>
        <v>P00</v>
      </c>
      <c r="AG1351" t="str">
        <f t="shared" si="414"/>
        <v>0P00</v>
      </c>
      <c r="AH1351" t="str">
        <f t="shared" si="415"/>
        <v>P000</v>
      </c>
      <c r="AI1351" t="str">
        <f t="shared" si="416"/>
        <v>0P00</v>
      </c>
      <c r="AJ1351" t="str">
        <f t="shared" si="417"/>
        <v>P000</v>
      </c>
    </row>
    <row r="1352" spans="1:36" x14ac:dyDescent="0.25">
      <c r="A1352" s="325" t="str">
        <f>CONCATENATE("P",'906MP'!M1052)</f>
        <v>P</v>
      </c>
      <c r="B1352">
        <f>'906MP'!H1052</f>
        <v>0</v>
      </c>
      <c r="C1352">
        <f>'906MP'!J1052</f>
        <v>0</v>
      </c>
      <c r="D1352">
        <f>'906MP'!P1052</f>
        <v>0</v>
      </c>
      <c r="E1352">
        <f>'906MP'!X1052</f>
        <v>0</v>
      </c>
      <c r="F1352" t="str">
        <f t="shared" si="409"/>
        <v>0</v>
      </c>
      <c r="G1352" t="str">
        <f t="shared" si="410"/>
        <v>0</v>
      </c>
      <c r="H1352">
        <f>'906MP'!Y1052</f>
        <v>0</v>
      </c>
      <c r="I1352">
        <f>'906MP'!AK1052</f>
        <v>0</v>
      </c>
      <c r="J1352">
        <f>'906MP'!T1052</f>
        <v>0</v>
      </c>
      <c r="K1352">
        <f>'906MP'!AJ1052</f>
        <v>0</v>
      </c>
      <c r="L1352">
        <f>'906MP'!U1052</f>
        <v>0</v>
      </c>
      <c r="M1352" s="322" t="str">
        <f>IFERROR(VLOOKUP(A1352,PAR!$D$3:$E$53,2,FALSE),"nincs szervezet")</f>
        <v>nincs szervezet</v>
      </c>
      <c r="N1352" s="322" t="str">
        <f>VLOOKUP(F1352,PAR!$R$3:$S$5,2,FALSE)</f>
        <v>3 - egyik sem</v>
      </c>
      <c r="O1352" t="str">
        <f>IFERROR(VLOOKUP(J1352,PAR!$O$3:$P$5,2,FALSE),"nincs feladat")</f>
        <v>nincs feladat</v>
      </c>
      <c r="P1352" t="str">
        <f>IFERROR(VLOOKUP(G1352,PAR!$J$2:$M$19,4),"nincs rovat")</f>
        <v>nincs rovat</v>
      </c>
      <c r="Q1352" t="str">
        <f>IF(H1352&gt;0,VLOOKUP(H1352,PAR!$AA$3:$AC$187,3,FALSE),"nincs főkönyvi számla")</f>
        <v>nincs főkönyvi számla</v>
      </c>
      <c r="R1352" t="str">
        <f>IFERROR(VLOOKUP(K1352,PAR!$V$3:$X$438,3,FALSE),"000000 - Nincs COFOG")</f>
        <v>000000 - Nincs COFOG</v>
      </c>
      <c r="S1352">
        <f t="shared" si="411"/>
        <v>0</v>
      </c>
      <c r="T1352">
        <f t="shared" si="412"/>
        <v>0</v>
      </c>
      <c r="U1352" t="str">
        <f>IF('906MP'!J1052&gt;0,CONCATENATE('906MP'!J1052," - ",'906MP'!P1052,", ",'906MP'!E1052),"nincs megjegyzés")</f>
        <v>nincs megjegyzés</v>
      </c>
      <c r="V1352" t="str">
        <f t="shared" si="399"/>
        <v>0P0</v>
      </c>
      <c r="W1352" t="str">
        <f t="shared" si="400"/>
        <v>0P0</v>
      </c>
      <c r="X1352" t="str">
        <f t="shared" si="401"/>
        <v>P0</v>
      </c>
      <c r="Y1352" t="str">
        <f t="shared" si="402"/>
        <v>00</v>
      </c>
      <c r="Z1352" t="str">
        <f t="shared" si="413"/>
        <v>00</v>
      </c>
      <c r="AA1352" t="str">
        <f t="shared" si="403"/>
        <v>00</v>
      </c>
      <c r="AB1352" t="str">
        <f t="shared" si="404"/>
        <v>00</v>
      </c>
      <c r="AC1352" t="str">
        <f t="shared" si="405"/>
        <v>0P0</v>
      </c>
      <c r="AD1352" t="str">
        <f t="shared" si="406"/>
        <v>P00</v>
      </c>
      <c r="AE1352" t="str">
        <f t="shared" si="407"/>
        <v>0P0</v>
      </c>
      <c r="AF1352" t="str">
        <f t="shared" si="408"/>
        <v>P00</v>
      </c>
      <c r="AG1352" t="str">
        <f t="shared" si="414"/>
        <v>0P00</v>
      </c>
      <c r="AH1352" t="str">
        <f t="shared" si="415"/>
        <v>P000</v>
      </c>
      <c r="AI1352" t="str">
        <f t="shared" si="416"/>
        <v>0P00</v>
      </c>
      <c r="AJ1352" t="str">
        <f t="shared" si="417"/>
        <v>P000</v>
      </c>
    </row>
    <row r="1353" spans="1:36" x14ac:dyDescent="0.25">
      <c r="A1353" s="325" t="str">
        <f>CONCATENATE("P",'906MP'!M1053)</f>
        <v>P</v>
      </c>
      <c r="B1353">
        <f>'906MP'!H1053</f>
        <v>0</v>
      </c>
      <c r="C1353">
        <f>'906MP'!J1053</f>
        <v>0</v>
      </c>
      <c r="D1353">
        <f>'906MP'!P1053</f>
        <v>0</v>
      </c>
      <c r="E1353">
        <f>'906MP'!X1053</f>
        <v>0</v>
      </c>
      <c r="F1353" t="str">
        <f t="shared" si="409"/>
        <v>0</v>
      </c>
      <c r="G1353" t="str">
        <f t="shared" si="410"/>
        <v>0</v>
      </c>
      <c r="H1353">
        <f>'906MP'!Y1053</f>
        <v>0</v>
      </c>
      <c r="I1353">
        <f>'906MP'!AK1053</f>
        <v>0</v>
      </c>
      <c r="J1353">
        <f>'906MP'!T1053</f>
        <v>0</v>
      </c>
      <c r="K1353">
        <f>'906MP'!AJ1053</f>
        <v>0</v>
      </c>
      <c r="L1353">
        <f>'906MP'!U1053</f>
        <v>0</v>
      </c>
      <c r="M1353" s="322" t="str">
        <f>IFERROR(VLOOKUP(A1353,PAR!$D$3:$E$53,2,FALSE),"nincs szervezet")</f>
        <v>nincs szervezet</v>
      </c>
      <c r="N1353" s="322" t="str">
        <f>VLOOKUP(F1353,PAR!$R$3:$S$5,2,FALSE)</f>
        <v>3 - egyik sem</v>
      </c>
      <c r="O1353" t="str">
        <f>IFERROR(VLOOKUP(J1353,PAR!$O$3:$P$5,2,FALSE),"nincs feladat")</f>
        <v>nincs feladat</v>
      </c>
      <c r="P1353" t="str">
        <f>IFERROR(VLOOKUP(G1353,PAR!$J$2:$M$19,4),"nincs rovat")</f>
        <v>nincs rovat</v>
      </c>
      <c r="Q1353" t="str">
        <f>IF(H1353&gt;0,VLOOKUP(H1353,PAR!$AA$3:$AC$187,3,FALSE),"nincs főkönyvi számla")</f>
        <v>nincs főkönyvi számla</v>
      </c>
      <c r="R1353" t="str">
        <f>IFERROR(VLOOKUP(K1353,PAR!$V$3:$X$438,3,FALSE),"000000 - Nincs COFOG")</f>
        <v>000000 - Nincs COFOG</v>
      </c>
      <c r="S1353">
        <f t="shared" si="411"/>
        <v>0</v>
      </c>
      <c r="T1353">
        <f t="shared" si="412"/>
        <v>0</v>
      </c>
      <c r="U1353" t="str">
        <f>IF('906MP'!J1053&gt;0,CONCATENATE('906MP'!J1053," - ",'906MP'!P1053,", ",'906MP'!E1053),"nincs megjegyzés")</f>
        <v>nincs megjegyzés</v>
      </c>
      <c r="V1353" t="str">
        <f t="shared" si="399"/>
        <v>0P0</v>
      </c>
      <c r="W1353" t="str">
        <f t="shared" si="400"/>
        <v>0P0</v>
      </c>
      <c r="X1353" t="str">
        <f t="shared" si="401"/>
        <v>P0</v>
      </c>
      <c r="Y1353" t="str">
        <f t="shared" si="402"/>
        <v>00</v>
      </c>
      <c r="Z1353" t="str">
        <f t="shared" si="413"/>
        <v>00</v>
      </c>
      <c r="AA1353" t="str">
        <f t="shared" si="403"/>
        <v>00</v>
      </c>
      <c r="AB1353" t="str">
        <f t="shared" si="404"/>
        <v>00</v>
      </c>
      <c r="AC1353" t="str">
        <f t="shared" si="405"/>
        <v>0P0</v>
      </c>
      <c r="AD1353" t="str">
        <f t="shared" si="406"/>
        <v>P00</v>
      </c>
      <c r="AE1353" t="str">
        <f t="shared" si="407"/>
        <v>0P0</v>
      </c>
      <c r="AF1353" t="str">
        <f t="shared" si="408"/>
        <v>P00</v>
      </c>
      <c r="AG1353" t="str">
        <f t="shared" si="414"/>
        <v>0P00</v>
      </c>
      <c r="AH1353" t="str">
        <f t="shared" si="415"/>
        <v>P000</v>
      </c>
      <c r="AI1353" t="str">
        <f t="shared" si="416"/>
        <v>0P00</v>
      </c>
      <c r="AJ1353" t="str">
        <f t="shared" si="417"/>
        <v>P000</v>
      </c>
    </row>
    <row r="1354" spans="1:36" x14ac:dyDescent="0.25">
      <c r="A1354" s="325" t="str">
        <f>CONCATENATE("P",'906MP'!M1054)</f>
        <v>P</v>
      </c>
      <c r="B1354">
        <f>'906MP'!H1054</f>
        <v>0</v>
      </c>
      <c r="C1354">
        <f>'906MP'!J1054</f>
        <v>0</v>
      </c>
      <c r="D1354">
        <f>'906MP'!P1054</f>
        <v>0</v>
      </c>
      <c r="E1354">
        <f>'906MP'!X1054</f>
        <v>0</v>
      </c>
      <c r="F1354" t="str">
        <f t="shared" si="409"/>
        <v>0</v>
      </c>
      <c r="G1354" t="str">
        <f t="shared" si="410"/>
        <v>0</v>
      </c>
      <c r="H1354">
        <f>'906MP'!Y1054</f>
        <v>0</v>
      </c>
      <c r="I1354">
        <f>'906MP'!AK1054</f>
        <v>0</v>
      </c>
      <c r="J1354">
        <f>'906MP'!T1054</f>
        <v>0</v>
      </c>
      <c r="K1354">
        <f>'906MP'!AJ1054</f>
        <v>0</v>
      </c>
      <c r="L1354">
        <f>'906MP'!U1054</f>
        <v>0</v>
      </c>
      <c r="M1354" s="322" t="str">
        <f>IFERROR(VLOOKUP(A1354,PAR!$D$3:$E$53,2,FALSE),"nincs szervezet")</f>
        <v>nincs szervezet</v>
      </c>
      <c r="N1354" s="322" t="str">
        <f>VLOOKUP(F1354,PAR!$R$3:$S$5,2,FALSE)</f>
        <v>3 - egyik sem</v>
      </c>
      <c r="O1354" t="str">
        <f>IFERROR(VLOOKUP(J1354,PAR!$O$3:$P$5,2,FALSE),"nincs feladat")</f>
        <v>nincs feladat</v>
      </c>
      <c r="P1354" t="str">
        <f>IFERROR(VLOOKUP(G1354,PAR!$J$2:$M$19,4),"nincs rovat")</f>
        <v>nincs rovat</v>
      </c>
      <c r="Q1354" t="str">
        <f>IF(H1354&gt;0,VLOOKUP(H1354,PAR!$AA$3:$AC$187,3,FALSE),"nincs főkönyvi számla")</f>
        <v>nincs főkönyvi számla</v>
      </c>
      <c r="R1354" t="str">
        <f>IFERROR(VLOOKUP(K1354,PAR!$V$3:$X$438,3,FALSE),"000000 - Nincs COFOG")</f>
        <v>000000 - Nincs COFOG</v>
      </c>
      <c r="S1354">
        <f t="shared" si="411"/>
        <v>0</v>
      </c>
      <c r="T1354">
        <f t="shared" si="412"/>
        <v>0</v>
      </c>
      <c r="U1354" t="str">
        <f>IF('906MP'!J1054&gt;0,CONCATENATE('906MP'!J1054," - ",'906MP'!P1054,", ",'906MP'!E1054),"nincs megjegyzés")</f>
        <v>nincs megjegyzés</v>
      </c>
      <c r="V1354" t="str">
        <f t="shared" si="399"/>
        <v>0P0</v>
      </c>
      <c r="W1354" t="str">
        <f t="shared" si="400"/>
        <v>0P0</v>
      </c>
      <c r="X1354" t="str">
        <f t="shared" si="401"/>
        <v>P0</v>
      </c>
      <c r="Y1354" t="str">
        <f t="shared" si="402"/>
        <v>00</v>
      </c>
      <c r="Z1354" t="str">
        <f t="shared" si="413"/>
        <v>00</v>
      </c>
      <c r="AA1354" t="str">
        <f t="shared" si="403"/>
        <v>00</v>
      </c>
      <c r="AB1354" t="str">
        <f t="shared" si="404"/>
        <v>00</v>
      </c>
      <c r="AC1354" t="str">
        <f t="shared" si="405"/>
        <v>0P0</v>
      </c>
      <c r="AD1354" t="str">
        <f t="shared" si="406"/>
        <v>P00</v>
      </c>
      <c r="AE1354" t="str">
        <f t="shared" si="407"/>
        <v>0P0</v>
      </c>
      <c r="AF1354" t="str">
        <f t="shared" si="408"/>
        <v>P00</v>
      </c>
      <c r="AG1354" t="str">
        <f t="shared" si="414"/>
        <v>0P00</v>
      </c>
      <c r="AH1354" t="str">
        <f t="shared" si="415"/>
        <v>P000</v>
      </c>
      <c r="AI1354" t="str">
        <f t="shared" si="416"/>
        <v>0P00</v>
      </c>
      <c r="AJ1354" t="str">
        <f t="shared" si="417"/>
        <v>P000</v>
      </c>
    </row>
    <row r="1355" spans="1:36" x14ac:dyDescent="0.25">
      <c r="A1355" s="325" t="str">
        <f>CONCATENATE("P",'906MP'!M1055)</f>
        <v>P</v>
      </c>
      <c r="B1355">
        <f>'906MP'!H1055</f>
        <v>0</v>
      </c>
      <c r="C1355">
        <f>'906MP'!J1055</f>
        <v>0</v>
      </c>
      <c r="D1355">
        <f>'906MP'!P1055</f>
        <v>0</v>
      </c>
      <c r="E1355">
        <f>'906MP'!X1055</f>
        <v>0</v>
      </c>
      <c r="F1355" t="str">
        <f t="shared" si="409"/>
        <v>0</v>
      </c>
      <c r="G1355" t="str">
        <f t="shared" si="410"/>
        <v>0</v>
      </c>
      <c r="H1355">
        <f>'906MP'!Y1055</f>
        <v>0</v>
      </c>
      <c r="I1355">
        <f>'906MP'!AK1055</f>
        <v>0</v>
      </c>
      <c r="J1355">
        <f>'906MP'!T1055</f>
        <v>0</v>
      </c>
      <c r="K1355">
        <f>'906MP'!AJ1055</f>
        <v>0</v>
      </c>
      <c r="L1355">
        <f>'906MP'!U1055</f>
        <v>0</v>
      </c>
      <c r="M1355" s="322" t="str">
        <f>IFERROR(VLOOKUP(A1355,PAR!$D$3:$E$53,2,FALSE),"nincs szervezet")</f>
        <v>nincs szervezet</v>
      </c>
      <c r="N1355" s="322" t="str">
        <f>VLOOKUP(F1355,PAR!$R$3:$S$5,2,FALSE)</f>
        <v>3 - egyik sem</v>
      </c>
      <c r="O1355" t="str">
        <f>IFERROR(VLOOKUP(J1355,PAR!$O$3:$P$5,2,FALSE),"nincs feladat")</f>
        <v>nincs feladat</v>
      </c>
      <c r="P1355" t="str">
        <f>IFERROR(VLOOKUP(G1355,PAR!$J$2:$M$19,4),"nincs rovat")</f>
        <v>nincs rovat</v>
      </c>
      <c r="Q1355" t="str">
        <f>IF(H1355&gt;0,VLOOKUP(H1355,PAR!$AA$3:$AC$187,3,FALSE),"nincs főkönyvi számla")</f>
        <v>nincs főkönyvi számla</v>
      </c>
      <c r="R1355" t="str">
        <f>IFERROR(VLOOKUP(K1355,PAR!$V$3:$X$438,3,FALSE),"000000 - Nincs COFOG")</f>
        <v>000000 - Nincs COFOG</v>
      </c>
      <c r="S1355">
        <f t="shared" si="411"/>
        <v>0</v>
      </c>
      <c r="T1355">
        <f t="shared" si="412"/>
        <v>0</v>
      </c>
      <c r="U1355" t="str">
        <f>IF('906MP'!J1055&gt;0,CONCATENATE('906MP'!J1055," - ",'906MP'!P1055,", ",'906MP'!E1055),"nincs megjegyzés")</f>
        <v>nincs megjegyzés</v>
      </c>
      <c r="V1355" t="str">
        <f t="shared" si="399"/>
        <v>0P0</v>
      </c>
      <c r="W1355" t="str">
        <f t="shared" si="400"/>
        <v>0P0</v>
      </c>
      <c r="X1355" t="str">
        <f t="shared" si="401"/>
        <v>P0</v>
      </c>
      <c r="Y1355" t="str">
        <f t="shared" si="402"/>
        <v>00</v>
      </c>
      <c r="Z1355" t="str">
        <f t="shared" si="413"/>
        <v>00</v>
      </c>
      <c r="AA1355" t="str">
        <f t="shared" si="403"/>
        <v>00</v>
      </c>
      <c r="AB1355" t="str">
        <f t="shared" si="404"/>
        <v>00</v>
      </c>
      <c r="AC1355" t="str">
        <f t="shared" si="405"/>
        <v>0P0</v>
      </c>
      <c r="AD1355" t="str">
        <f t="shared" si="406"/>
        <v>P00</v>
      </c>
      <c r="AE1355" t="str">
        <f t="shared" si="407"/>
        <v>0P0</v>
      </c>
      <c r="AF1355" t="str">
        <f t="shared" si="408"/>
        <v>P00</v>
      </c>
      <c r="AG1355" t="str">
        <f t="shared" si="414"/>
        <v>0P00</v>
      </c>
      <c r="AH1355" t="str">
        <f t="shared" si="415"/>
        <v>P000</v>
      </c>
      <c r="AI1355" t="str">
        <f t="shared" si="416"/>
        <v>0P00</v>
      </c>
      <c r="AJ1355" t="str">
        <f t="shared" si="417"/>
        <v>P000</v>
      </c>
    </row>
    <row r="1356" spans="1:36" x14ac:dyDescent="0.25">
      <c r="A1356" s="325" t="str">
        <f>CONCATENATE("P",'906MP'!M1056)</f>
        <v>P</v>
      </c>
      <c r="B1356">
        <f>'906MP'!H1056</f>
        <v>0</v>
      </c>
      <c r="C1356">
        <f>'906MP'!J1056</f>
        <v>0</v>
      </c>
      <c r="D1356">
        <f>'906MP'!P1056</f>
        <v>0</v>
      </c>
      <c r="E1356">
        <f>'906MP'!X1056</f>
        <v>0</v>
      </c>
      <c r="F1356" t="str">
        <f t="shared" si="409"/>
        <v>0</v>
      </c>
      <c r="G1356" t="str">
        <f t="shared" si="410"/>
        <v>0</v>
      </c>
      <c r="H1356">
        <f>'906MP'!Y1056</f>
        <v>0</v>
      </c>
      <c r="I1356">
        <f>'906MP'!AK1056</f>
        <v>0</v>
      </c>
      <c r="J1356">
        <f>'906MP'!T1056</f>
        <v>0</v>
      </c>
      <c r="K1356">
        <f>'906MP'!AJ1056</f>
        <v>0</v>
      </c>
      <c r="L1356">
        <f>'906MP'!U1056</f>
        <v>0</v>
      </c>
      <c r="M1356" s="322" t="str">
        <f>IFERROR(VLOOKUP(A1356,PAR!$D$3:$E$53,2,FALSE),"nincs szervezet")</f>
        <v>nincs szervezet</v>
      </c>
      <c r="N1356" s="322" t="str">
        <f>VLOOKUP(F1356,PAR!$R$3:$S$5,2,FALSE)</f>
        <v>3 - egyik sem</v>
      </c>
      <c r="O1356" t="str">
        <f>IFERROR(VLOOKUP(J1356,PAR!$O$3:$P$5,2,FALSE),"nincs feladat")</f>
        <v>nincs feladat</v>
      </c>
      <c r="P1356" t="str">
        <f>IFERROR(VLOOKUP(G1356,PAR!$J$2:$M$19,4),"nincs rovat")</f>
        <v>nincs rovat</v>
      </c>
      <c r="Q1356" t="str">
        <f>IF(H1356&gt;0,VLOOKUP(H1356,PAR!$AA$3:$AC$187,3,FALSE),"nincs főkönyvi számla")</f>
        <v>nincs főkönyvi számla</v>
      </c>
      <c r="R1356" t="str">
        <f>IFERROR(VLOOKUP(K1356,PAR!$V$3:$X$438,3,FALSE),"000000 - Nincs COFOG")</f>
        <v>000000 - Nincs COFOG</v>
      </c>
      <c r="S1356">
        <f t="shared" si="411"/>
        <v>0</v>
      </c>
      <c r="T1356">
        <f t="shared" si="412"/>
        <v>0</v>
      </c>
      <c r="U1356" t="str">
        <f>IF('906MP'!J1056&gt;0,CONCATENATE('906MP'!J1056," - ",'906MP'!P1056,", ",'906MP'!E1056),"nincs megjegyzés")</f>
        <v>nincs megjegyzés</v>
      </c>
      <c r="V1356" t="str">
        <f t="shared" si="399"/>
        <v>0P0</v>
      </c>
      <c r="W1356" t="str">
        <f t="shared" si="400"/>
        <v>0P0</v>
      </c>
      <c r="X1356" t="str">
        <f t="shared" si="401"/>
        <v>P0</v>
      </c>
      <c r="Y1356" t="str">
        <f t="shared" si="402"/>
        <v>00</v>
      </c>
      <c r="Z1356" t="str">
        <f t="shared" si="413"/>
        <v>00</v>
      </c>
      <c r="AA1356" t="str">
        <f t="shared" si="403"/>
        <v>00</v>
      </c>
      <c r="AB1356" t="str">
        <f t="shared" si="404"/>
        <v>00</v>
      </c>
      <c r="AC1356" t="str">
        <f t="shared" si="405"/>
        <v>0P0</v>
      </c>
      <c r="AD1356" t="str">
        <f t="shared" si="406"/>
        <v>P00</v>
      </c>
      <c r="AE1356" t="str">
        <f t="shared" si="407"/>
        <v>0P0</v>
      </c>
      <c r="AF1356" t="str">
        <f t="shared" si="408"/>
        <v>P00</v>
      </c>
      <c r="AG1356" t="str">
        <f t="shared" si="414"/>
        <v>0P00</v>
      </c>
      <c r="AH1356" t="str">
        <f t="shared" si="415"/>
        <v>P000</v>
      </c>
      <c r="AI1356" t="str">
        <f t="shared" si="416"/>
        <v>0P00</v>
      </c>
      <c r="AJ1356" t="str">
        <f t="shared" si="417"/>
        <v>P000</v>
      </c>
    </row>
    <row r="1357" spans="1:36" x14ac:dyDescent="0.25">
      <c r="A1357" s="325" t="str">
        <f>CONCATENATE("P",'906MP'!M1057)</f>
        <v>P</v>
      </c>
      <c r="B1357">
        <f>'906MP'!H1057</f>
        <v>0</v>
      </c>
      <c r="C1357">
        <f>'906MP'!J1057</f>
        <v>0</v>
      </c>
      <c r="D1357">
        <f>'906MP'!P1057</f>
        <v>0</v>
      </c>
      <c r="E1357">
        <f>'906MP'!X1057</f>
        <v>0</v>
      </c>
      <c r="F1357" t="str">
        <f t="shared" si="409"/>
        <v>0</v>
      </c>
      <c r="G1357" t="str">
        <f t="shared" si="410"/>
        <v>0</v>
      </c>
      <c r="H1357">
        <f>'906MP'!Y1057</f>
        <v>0</v>
      </c>
      <c r="I1357">
        <f>'906MP'!AK1057</f>
        <v>0</v>
      </c>
      <c r="J1357">
        <f>'906MP'!T1057</f>
        <v>0</v>
      </c>
      <c r="K1357">
        <f>'906MP'!AJ1057</f>
        <v>0</v>
      </c>
      <c r="L1357">
        <f>'906MP'!U1057</f>
        <v>0</v>
      </c>
      <c r="M1357" s="322" t="str">
        <f>IFERROR(VLOOKUP(A1357,PAR!$D$3:$E$53,2,FALSE),"nincs szervezet")</f>
        <v>nincs szervezet</v>
      </c>
      <c r="N1357" s="322" t="str">
        <f>VLOOKUP(F1357,PAR!$R$3:$S$5,2,FALSE)</f>
        <v>3 - egyik sem</v>
      </c>
      <c r="O1357" t="str">
        <f>IFERROR(VLOOKUP(J1357,PAR!$O$3:$P$5,2,FALSE),"nincs feladat")</f>
        <v>nincs feladat</v>
      </c>
      <c r="P1357" t="str">
        <f>IFERROR(VLOOKUP(G1357,PAR!$J$2:$M$19,4),"nincs rovat")</f>
        <v>nincs rovat</v>
      </c>
      <c r="Q1357" t="str">
        <f>IF(H1357&gt;0,VLOOKUP(H1357,PAR!$AA$3:$AC$187,3,FALSE),"nincs főkönyvi számla")</f>
        <v>nincs főkönyvi számla</v>
      </c>
      <c r="R1357" t="str">
        <f>IFERROR(VLOOKUP(K1357,PAR!$V$3:$X$438,3,FALSE),"000000 - Nincs COFOG")</f>
        <v>000000 - Nincs COFOG</v>
      </c>
      <c r="S1357">
        <f t="shared" si="411"/>
        <v>0</v>
      </c>
      <c r="T1357">
        <f t="shared" si="412"/>
        <v>0</v>
      </c>
      <c r="U1357" t="str">
        <f>IF('906MP'!J1057&gt;0,CONCATENATE('906MP'!J1057," - ",'906MP'!P1057,", ",'906MP'!E1057),"nincs megjegyzés")</f>
        <v>nincs megjegyzés</v>
      </c>
      <c r="V1357" t="str">
        <f t="shared" si="399"/>
        <v>0P0</v>
      </c>
      <c r="W1357" t="str">
        <f t="shared" si="400"/>
        <v>0P0</v>
      </c>
      <c r="X1357" t="str">
        <f t="shared" si="401"/>
        <v>P0</v>
      </c>
      <c r="Y1357" t="str">
        <f t="shared" si="402"/>
        <v>00</v>
      </c>
      <c r="Z1357" t="str">
        <f t="shared" si="413"/>
        <v>00</v>
      </c>
      <c r="AA1357" t="str">
        <f t="shared" si="403"/>
        <v>00</v>
      </c>
      <c r="AB1357" t="str">
        <f t="shared" si="404"/>
        <v>00</v>
      </c>
      <c r="AC1357" t="str">
        <f t="shared" si="405"/>
        <v>0P0</v>
      </c>
      <c r="AD1357" t="str">
        <f t="shared" si="406"/>
        <v>P00</v>
      </c>
      <c r="AE1357" t="str">
        <f t="shared" si="407"/>
        <v>0P0</v>
      </c>
      <c r="AF1357" t="str">
        <f t="shared" si="408"/>
        <v>P00</v>
      </c>
      <c r="AG1357" t="str">
        <f t="shared" si="414"/>
        <v>0P00</v>
      </c>
      <c r="AH1357" t="str">
        <f t="shared" si="415"/>
        <v>P000</v>
      </c>
      <c r="AI1357" t="str">
        <f t="shared" si="416"/>
        <v>0P00</v>
      </c>
      <c r="AJ1357" t="str">
        <f t="shared" si="417"/>
        <v>P000</v>
      </c>
    </row>
    <row r="1358" spans="1:36" x14ac:dyDescent="0.25">
      <c r="A1358" s="325" t="str">
        <f>CONCATENATE("P",'906MP'!M1058)</f>
        <v>P</v>
      </c>
      <c r="B1358">
        <f>'906MP'!H1058</f>
        <v>0</v>
      </c>
      <c r="C1358">
        <f>'906MP'!J1058</f>
        <v>0</v>
      </c>
      <c r="D1358">
        <f>'906MP'!P1058</f>
        <v>0</v>
      </c>
      <c r="E1358">
        <f>'906MP'!X1058</f>
        <v>0</v>
      </c>
      <c r="F1358" t="str">
        <f t="shared" si="409"/>
        <v>0</v>
      </c>
      <c r="G1358" t="str">
        <f t="shared" si="410"/>
        <v>0</v>
      </c>
      <c r="H1358">
        <f>'906MP'!Y1058</f>
        <v>0</v>
      </c>
      <c r="I1358">
        <f>'906MP'!AK1058</f>
        <v>0</v>
      </c>
      <c r="J1358">
        <f>'906MP'!T1058</f>
        <v>0</v>
      </c>
      <c r="K1358">
        <f>'906MP'!AJ1058</f>
        <v>0</v>
      </c>
      <c r="L1358">
        <f>'906MP'!U1058</f>
        <v>0</v>
      </c>
      <c r="M1358" s="322" t="str">
        <f>IFERROR(VLOOKUP(A1358,PAR!$D$3:$E$53,2,FALSE),"nincs szervezet")</f>
        <v>nincs szervezet</v>
      </c>
      <c r="N1358" s="322" t="str">
        <f>VLOOKUP(F1358,PAR!$R$3:$S$5,2,FALSE)</f>
        <v>3 - egyik sem</v>
      </c>
      <c r="O1358" t="str">
        <f>IFERROR(VLOOKUP(J1358,PAR!$O$3:$P$5,2,FALSE),"nincs feladat")</f>
        <v>nincs feladat</v>
      </c>
      <c r="P1358" t="str">
        <f>IFERROR(VLOOKUP(G1358,PAR!$J$2:$M$19,4),"nincs rovat")</f>
        <v>nincs rovat</v>
      </c>
      <c r="Q1358" t="str">
        <f>IF(H1358&gt;0,VLOOKUP(H1358,PAR!$AA$3:$AC$187,3,FALSE),"nincs főkönyvi számla")</f>
        <v>nincs főkönyvi számla</v>
      </c>
      <c r="R1358" t="str">
        <f>IFERROR(VLOOKUP(K1358,PAR!$V$3:$X$438,3,FALSE),"000000 - Nincs COFOG")</f>
        <v>000000 - Nincs COFOG</v>
      </c>
      <c r="S1358">
        <f t="shared" si="411"/>
        <v>0</v>
      </c>
      <c r="T1358">
        <f t="shared" si="412"/>
        <v>0</v>
      </c>
      <c r="U1358" t="str">
        <f>IF('906MP'!J1058&gt;0,CONCATENATE('906MP'!J1058," - ",'906MP'!P1058,", ",'906MP'!E1058),"nincs megjegyzés")</f>
        <v>nincs megjegyzés</v>
      </c>
      <c r="V1358" t="str">
        <f t="shared" si="399"/>
        <v>0P0</v>
      </c>
      <c r="W1358" t="str">
        <f t="shared" si="400"/>
        <v>0P0</v>
      </c>
      <c r="X1358" t="str">
        <f t="shared" si="401"/>
        <v>P0</v>
      </c>
      <c r="Y1358" t="str">
        <f t="shared" si="402"/>
        <v>00</v>
      </c>
      <c r="Z1358" t="str">
        <f t="shared" si="413"/>
        <v>00</v>
      </c>
      <c r="AA1358" t="str">
        <f t="shared" si="403"/>
        <v>00</v>
      </c>
      <c r="AB1358" t="str">
        <f t="shared" si="404"/>
        <v>00</v>
      </c>
      <c r="AC1358" t="str">
        <f t="shared" si="405"/>
        <v>0P0</v>
      </c>
      <c r="AD1358" t="str">
        <f t="shared" si="406"/>
        <v>P00</v>
      </c>
      <c r="AE1358" t="str">
        <f t="shared" si="407"/>
        <v>0P0</v>
      </c>
      <c r="AF1358" t="str">
        <f t="shared" si="408"/>
        <v>P00</v>
      </c>
      <c r="AG1358" t="str">
        <f t="shared" si="414"/>
        <v>0P00</v>
      </c>
      <c r="AH1358" t="str">
        <f t="shared" si="415"/>
        <v>P000</v>
      </c>
      <c r="AI1358" t="str">
        <f t="shared" si="416"/>
        <v>0P00</v>
      </c>
      <c r="AJ1358" t="str">
        <f t="shared" si="417"/>
        <v>P000</v>
      </c>
    </row>
    <row r="1359" spans="1:36" x14ac:dyDescent="0.25">
      <c r="A1359" s="325" t="str">
        <f>CONCATENATE("P",'906MP'!M1059)</f>
        <v>P</v>
      </c>
      <c r="B1359">
        <f>'906MP'!H1059</f>
        <v>0</v>
      </c>
      <c r="C1359">
        <f>'906MP'!J1059</f>
        <v>0</v>
      </c>
      <c r="D1359">
        <f>'906MP'!P1059</f>
        <v>0</v>
      </c>
      <c r="E1359">
        <f>'906MP'!X1059</f>
        <v>0</v>
      </c>
      <c r="F1359" t="str">
        <f t="shared" si="409"/>
        <v>0</v>
      </c>
      <c r="G1359" t="str">
        <f t="shared" si="410"/>
        <v>0</v>
      </c>
      <c r="H1359">
        <f>'906MP'!Y1059</f>
        <v>0</v>
      </c>
      <c r="I1359">
        <f>'906MP'!AK1059</f>
        <v>0</v>
      </c>
      <c r="J1359">
        <f>'906MP'!T1059</f>
        <v>0</v>
      </c>
      <c r="K1359">
        <f>'906MP'!AJ1059</f>
        <v>0</v>
      </c>
      <c r="L1359">
        <f>'906MP'!U1059</f>
        <v>0</v>
      </c>
      <c r="M1359" s="322" t="str">
        <f>IFERROR(VLOOKUP(A1359,PAR!$D$3:$E$53,2,FALSE),"nincs szervezet")</f>
        <v>nincs szervezet</v>
      </c>
      <c r="N1359" s="322" t="str">
        <f>VLOOKUP(F1359,PAR!$R$3:$S$5,2,FALSE)</f>
        <v>3 - egyik sem</v>
      </c>
      <c r="O1359" t="str">
        <f>IFERROR(VLOOKUP(J1359,PAR!$O$3:$P$5,2,FALSE),"nincs feladat")</f>
        <v>nincs feladat</v>
      </c>
      <c r="P1359" t="str">
        <f>IFERROR(VLOOKUP(G1359,PAR!$J$2:$M$19,4),"nincs rovat")</f>
        <v>nincs rovat</v>
      </c>
      <c r="Q1359" t="str">
        <f>IF(H1359&gt;0,VLOOKUP(H1359,PAR!$AA$3:$AC$187,3,FALSE),"nincs főkönyvi számla")</f>
        <v>nincs főkönyvi számla</v>
      </c>
      <c r="R1359" t="str">
        <f>IFERROR(VLOOKUP(K1359,PAR!$V$3:$X$438,3,FALSE),"000000 - Nincs COFOG")</f>
        <v>000000 - Nincs COFOG</v>
      </c>
      <c r="S1359">
        <f t="shared" si="411"/>
        <v>0</v>
      </c>
      <c r="T1359">
        <f t="shared" si="412"/>
        <v>0</v>
      </c>
      <c r="U1359" t="str">
        <f>IF('906MP'!J1059&gt;0,CONCATENATE('906MP'!J1059," - ",'906MP'!P1059,", ",'906MP'!E1059),"nincs megjegyzés")</f>
        <v>nincs megjegyzés</v>
      </c>
      <c r="V1359" t="str">
        <f t="shared" si="399"/>
        <v>0P0</v>
      </c>
      <c r="W1359" t="str">
        <f t="shared" si="400"/>
        <v>0P0</v>
      </c>
      <c r="X1359" t="str">
        <f t="shared" si="401"/>
        <v>P0</v>
      </c>
      <c r="Y1359" t="str">
        <f t="shared" si="402"/>
        <v>00</v>
      </c>
      <c r="Z1359" t="str">
        <f t="shared" si="413"/>
        <v>00</v>
      </c>
      <c r="AA1359" t="str">
        <f t="shared" si="403"/>
        <v>00</v>
      </c>
      <c r="AB1359" t="str">
        <f t="shared" si="404"/>
        <v>00</v>
      </c>
      <c r="AC1359" t="str">
        <f t="shared" si="405"/>
        <v>0P0</v>
      </c>
      <c r="AD1359" t="str">
        <f t="shared" si="406"/>
        <v>P00</v>
      </c>
      <c r="AE1359" t="str">
        <f t="shared" si="407"/>
        <v>0P0</v>
      </c>
      <c r="AF1359" t="str">
        <f t="shared" si="408"/>
        <v>P00</v>
      </c>
      <c r="AG1359" t="str">
        <f t="shared" si="414"/>
        <v>0P00</v>
      </c>
      <c r="AH1359" t="str">
        <f t="shared" si="415"/>
        <v>P000</v>
      </c>
      <c r="AI1359" t="str">
        <f t="shared" si="416"/>
        <v>0P00</v>
      </c>
      <c r="AJ1359" t="str">
        <f t="shared" si="417"/>
        <v>P000</v>
      </c>
    </row>
    <row r="1360" spans="1:36" x14ac:dyDescent="0.25">
      <c r="A1360" s="325" t="str">
        <f>CONCATENATE("P",'906MP'!M1060)</f>
        <v>P</v>
      </c>
      <c r="B1360">
        <f>'906MP'!H1060</f>
        <v>0</v>
      </c>
      <c r="C1360">
        <f>'906MP'!J1060</f>
        <v>0</v>
      </c>
      <c r="D1360">
        <f>'906MP'!P1060</f>
        <v>0</v>
      </c>
      <c r="E1360">
        <f>'906MP'!X1060</f>
        <v>0</v>
      </c>
      <c r="F1360" t="str">
        <f t="shared" si="409"/>
        <v>0</v>
      </c>
      <c r="G1360" t="str">
        <f t="shared" si="410"/>
        <v>0</v>
      </c>
      <c r="H1360">
        <f>'906MP'!Y1060</f>
        <v>0</v>
      </c>
      <c r="I1360">
        <f>'906MP'!AK1060</f>
        <v>0</v>
      </c>
      <c r="J1360">
        <f>'906MP'!T1060</f>
        <v>0</v>
      </c>
      <c r="K1360">
        <f>'906MP'!AJ1060</f>
        <v>0</v>
      </c>
      <c r="L1360">
        <f>'906MP'!U1060</f>
        <v>0</v>
      </c>
      <c r="M1360" s="322" t="str">
        <f>IFERROR(VLOOKUP(A1360,PAR!$D$3:$E$53,2,FALSE),"nincs szervezet")</f>
        <v>nincs szervezet</v>
      </c>
      <c r="N1360" s="322" t="str">
        <f>VLOOKUP(F1360,PAR!$R$3:$S$5,2,FALSE)</f>
        <v>3 - egyik sem</v>
      </c>
      <c r="O1360" t="str">
        <f>IFERROR(VLOOKUP(J1360,PAR!$O$3:$P$5,2,FALSE),"nincs feladat")</f>
        <v>nincs feladat</v>
      </c>
      <c r="P1360" t="str">
        <f>IFERROR(VLOOKUP(G1360,PAR!$J$2:$M$19,4),"nincs rovat")</f>
        <v>nincs rovat</v>
      </c>
      <c r="Q1360" t="str">
        <f>IF(H1360&gt;0,VLOOKUP(H1360,PAR!$AA$3:$AC$187,3,FALSE),"nincs főkönyvi számla")</f>
        <v>nincs főkönyvi számla</v>
      </c>
      <c r="R1360" t="str">
        <f>IFERROR(VLOOKUP(K1360,PAR!$V$3:$X$438,3,FALSE),"000000 - Nincs COFOG")</f>
        <v>000000 - Nincs COFOG</v>
      </c>
      <c r="S1360">
        <f t="shared" si="411"/>
        <v>0</v>
      </c>
      <c r="T1360">
        <f t="shared" si="412"/>
        <v>0</v>
      </c>
      <c r="U1360" t="str">
        <f>IF('906MP'!J1060&gt;0,CONCATENATE('906MP'!J1060," - ",'906MP'!P1060,", ",'906MP'!E1060),"nincs megjegyzés")</f>
        <v>nincs megjegyzés</v>
      </c>
      <c r="V1360" t="str">
        <f t="shared" si="399"/>
        <v>0P0</v>
      </c>
      <c r="W1360" t="str">
        <f t="shared" si="400"/>
        <v>0P0</v>
      </c>
      <c r="X1360" t="str">
        <f t="shared" si="401"/>
        <v>P0</v>
      </c>
      <c r="Y1360" t="str">
        <f t="shared" si="402"/>
        <v>00</v>
      </c>
      <c r="Z1360" t="str">
        <f t="shared" si="413"/>
        <v>00</v>
      </c>
      <c r="AA1360" t="str">
        <f t="shared" si="403"/>
        <v>00</v>
      </c>
      <c r="AB1360" t="str">
        <f t="shared" si="404"/>
        <v>00</v>
      </c>
      <c r="AC1360" t="str">
        <f t="shared" si="405"/>
        <v>0P0</v>
      </c>
      <c r="AD1360" t="str">
        <f t="shared" si="406"/>
        <v>P00</v>
      </c>
      <c r="AE1360" t="str">
        <f t="shared" si="407"/>
        <v>0P0</v>
      </c>
      <c r="AF1360" t="str">
        <f t="shared" si="408"/>
        <v>P00</v>
      </c>
      <c r="AG1360" t="str">
        <f t="shared" si="414"/>
        <v>0P00</v>
      </c>
      <c r="AH1360" t="str">
        <f t="shared" si="415"/>
        <v>P000</v>
      </c>
      <c r="AI1360" t="str">
        <f t="shared" si="416"/>
        <v>0P00</v>
      </c>
      <c r="AJ1360" t="str">
        <f t="shared" si="417"/>
        <v>P000</v>
      </c>
    </row>
    <row r="1361" spans="1:36" x14ac:dyDescent="0.25">
      <c r="A1361" s="325" t="str">
        <f>CONCATENATE("P",'906MP'!M1061)</f>
        <v>P</v>
      </c>
      <c r="B1361">
        <f>'906MP'!H1061</f>
        <v>0</v>
      </c>
      <c r="C1361">
        <f>'906MP'!J1061</f>
        <v>0</v>
      </c>
      <c r="D1361">
        <f>'906MP'!P1061</f>
        <v>0</v>
      </c>
      <c r="E1361">
        <f>'906MP'!X1061</f>
        <v>0</v>
      </c>
      <c r="F1361" t="str">
        <f t="shared" si="409"/>
        <v>0</v>
      </c>
      <c r="G1361" t="str">
        <f t="shared" si="410"/>
        <v>0</v>
      </c>
      <c r="H1361">
        <f>'906MP'!Y1061</f>
        <v>0</v>
      </c>
      <c r="I1361">
        <f>'906MP'!AK1061</f>
        <v>0</v>
      </c>
      <c r="J1361">
        <f>'906MP'!T1061</f>
        <v>0</v>
      </c>
      <c r="K1361">
        <f>'906MP'!AJ1061</f>
        <v>0</v>
      </c>
      <c r="L1361">
        <f>'906MP'!U1061</f>
        <v>0</v>
      </c>
      <c r="M1361" s="322" t="str">
        <f>IFERROR(VLOOKUP(A1361,PAR!$D$3:$E$53,2,FALSE),"nincs szervezet")</f>
        <v>nincs szervezet</v>
      </c>
      <c r="N1361" s="322" t="str">
        <f>VLOOKUP(F1361,PAR!$R$3:$S$5,2,FALSE)</f>
        <v>3 - egyik sem</v>
      </c>
      <c r="O1361" t="str">
        <f>IFERROR(VLOOKUP(J1361,PAR!$O$3:$P$5,2,FALSE),"nincs feladat")</f>
        <v>nincs feladat</v>
      </c>
      <c r="P1361" t="str">
        <f>IFERROR(VLOOKUP(G1361,PAR!$J$2:$M$19,4),"nincs rovat")</f>
        <v>nincs rovat</v>
      </c>
      <c r="Q1361" t="str">
        <f>IF(H1361&gt;0,VLOOKUP(H1361,PAR!$AA$3:$AC$187,3,FALSE),"nincs főkönyvi számla")</f>
        <v>nincs főkönyvi számla</v>
      </c>
      <c r="R1361" t="str">
        <f>IFERROR(VLOOKUP(K1361,PAR!$V$3:$X$438,3,FALSE),"000000 - Nincs COFOG")</f>
        <v>000000 - Nincs COFOG</v>
      </c>
      <c r="S1361">
        <f t="shared" si="411"/>
        <v>0</v>
      </c>
      <c r="T1361">
        <f t="shared" si="412"/>
        <v>0</v>
      </c>
      <c r="U1361" t="str">
        <f>IF('906MP'!J1061&gt;0,CONCATENATE('906MP'!J1061," - ",'906MP'!P1061,", ",'906MP'!E1061),"nincs megjegyzés")</f>
        <v>nincs megjegyzés</v>
      </c>
      <c r="V1361" t="str">
        <f t="shared" si="399"/>
        <v>0P0</v>
      </c>
      <c r="W1361" t="str">
        <f t="shared" si="400"/>
        <v>0P0</v>
      </c>
      <c r="X1361" t="str">
        <f t="shared" si="401"/>
        <v>P0</v>
      </c>
      <c r="Y1361" t="str">
        <f t="shared" si="402"/>
        <v>00</v>
      </c>
      <c r="Z1361" t="str">
        <f t="shared" si="413"/>
        <v>00</v>
      </c>
      <c r="AA1361" t="str">
        <f t="shared" si="403"/>
        <v>00</v>
      </c>
      <c r="AB1361" t="str">
        <f t="shared" si="404"/>
        <v>00</v>
      </c>
      <c r="AC1361" t="str">
        <f t="shared" si="405"/>
        <v>0P0</v>
      </c>
      <c r="AD1361" t="str">
        <f t="shared" si="406"/>
        <v>P00</v>
      </c>
      <c r="AE1361" t="str">
        <f t="shared" si="407"/>
        <v>0P0</v>
      </c>
      <c r="AF1361" t="str">
        <f t="shared" si="408"/>
        <v>P00</v>
      </c>
      <c r="AG1361" t="str">
        <f t="shared" si="414"/>
        <v>0P00</v>
      </c>
      <c r="AH1361" t="str">
        <f t="shared" si="415"/>
        <v>P000</v>
      </c>
      <c r="AI1361" t="str">
        <f t="shared" si="416"/>
        <v>0P00</v>
      </c>
      <c r="AJ1361" t="str">
        <f t="shared" si="417"/>
        <v>P000</v>
      </c>
    </row>
    <row r="1362" spans="1:36" x14ac:dyDescent="0.25">
      <c r="A1362" s="325" t="str">
        <f>CONCATENATE("P",'906MP'!M1062)</f>
        <v>P</v>
      </c>
      <c r="B1362">
        <f>'906MP'!H1062</f>
        <v>0</v>
      </c>
      <c r="C1362">
        <f>'906MP'!J1062</f>
        <v>0</v>
      </c>
      <c r="D1362">
        <f>'906MP'!P1062</f>
        <v>0</v>
      </c>
      <c r="E1362">
        <f>'906MP'!X1062</f>
        <v>0</v>
      </c>
      <c r="F1362" t="str">
        <f t="shared" si="409"/>
        <v>0</v>
      </c>
      <c r="G1362" t="str">
        <f t="shared" si="410"/>
        <v>0</v>
      </c>
      <c r="H1362">
        <f>'906MP'!Y1062</f>
        <v>0</v>
      </c>
      <c r="I1362">
        <f>'906MP'!AK1062</f>
        <v>0</v>
      </c>
      <c r="J1362">
        <f>'906MP'!T1062</f>
        <v>0</v>
      </c>
      <c r="K1362">
        <f>'906MP'!AJ1062</f>
        <v>0</v>
      </c>
      <c r="L1362">
        <f>'906MP'!U1062</f>
        <v>0</v>
      </c>
      <c r="M1362" s="322" t="str">
        <f>IFERROR(VLOOKUP(A1362,PAR!$D$3:$E$53,2,FALSE),"nincs szervezet")</f>
        <v>nincs szervezet</v>
      </c>
      <c r="N1362" s="322" t="str">
        <f>VLOOKUP(F1362,PAR!$R$3:$S$5,2,FALSE)</f>
        <v>3 - egyik sem</v>
      </c>
      <c r="O1362" t="str">
        <f>IFERROR(VLOOKUP(J1362,PAR!$O$3:$P$5,2,FALSE),"nincs feladat")</f>
        <v>nincs feladat</v>
      </c>
      <c r="P1362" t="str">
        <f>IFERROR(VLOOKUP(G1362,PAR!$J$2:$M$19,4),"nincs rovat")</f>
        <v>nincs rovat</v>
      </c>
      <c r="Q1362" t="str">
        <f>IF(H1362&gt;0,VLOOKUP(H1362,PAR!$AA$3:$AC$187,3,FALSE),"nincs főkönyvi számla")</f>
        <v>nincs főkönyvi számla</v>
      </c>
      <c r="R1362" t="str">
        <f>IFERROR(VLOOKUP(K1362,PAR!$V$3:$X$438,3,FALSE),"000000 - Nincs COFOG")</f>
        <v>000000 - Nincs COFOG</v>
      </c>
      <c r="S1362">
        <f t="shared" si="411"/>
        <v>0</v>
      </c>
      <c r="T1362">
        <f t="shared" si="412"/>
        <v>0</v>
      </c>
      <c r="U1362" t="str">
        <f>IF('906MP'!J1062&gt;0,CONCATENATE('906MP'!J1062," - ",'906MP'!P1062,", ",'906MP'!E1062),"nincs megjegyzés")</f>
        <v>nincs megjegyzés</v>
      </c>
      <c r="V1362" t="str">
        <f t="shared" si="399"/>
        <v>0P0</v>
      </c>
      <c r="W1362" t="str">
        <f t="shared" si="400"/>
        <v>0P0</v>
      </c>
      <c r="X1362" t="str">
        <f t="shared" si="401"/>
        <v>P0</v>
      </c>
      <c r="Y1362" t="str">
        <f t="shared" si="402"/>
        <v>00</v>
      </c>
      <c r="Z1362" t="str">
        <f t="shared" si="413"/>
        <v>00</v>
      </c>
      <c r="AA1362" t="str">
        <f t="shared" si="403"/>
        <v>00</v>
      </c>
      <c r="AB1362" t="str">
        <f t="shared" si="404"/>
        <v>00</v>
      </c>
      <c r="AC1362" t="str">
        <f t="shared" si="405"/>
        <v>0P0</v>
      </c>
      <c r="AD1362" t="str">
        <f t="shared" si="406"/>
        <v>P00</v>
      </c>
      <c r="AE1362" t="str">
        <f t="shared" si="407"/>
        <v>0P0</v>
      </c>
      <c r="AF1362" t="str">
        <f t="shared" si="408"/>
        <v>P00</v>
      </c>
      <c r="AG1362" t="str">
        <f t="shared" si="414"/>
        <v>0P00</v>
      </c>
      <c r="AH1362" t="str">
        <f t="shared" si="415"/>
        <v>P000</v>
      </c>
      <c r="AI1362" t="str">
        <f t="shared" si="416"/>
        <v>0P00</v>
      </c>
      <c r="AJ1362" t="str">
        <f t="shared" si="417"/>
        <v>P000</v>
      </c>
    </row>
    <row r="1363" spans="1:36" x14ac:dyDescent="0.25">
      <c r="A1363" s="325" t="str">
        <f>CONCATENATE("P",'906MP'!M1063)</f>
        <v>P</v>
      </c>
      <c r="B1363">
        <f>'906MP'!H1063</f>
        <v>0</v>
      </c>
      <c r="C1363">
        <f>'906MP'!J1063</f>
        <v>0</v>
      </c>
      <c r="D1363">
        <f>'906MP'!P1063</f>
        <v>0</v>
      </c>
      <c r="E1363">
        <f>'906MP'!X1063</f>
        <v>0</v>
      </c>
      <c r="F1363" t="str">
        <f t="shared" si="409"/>
        <v>0</v>
      </c>
      <c r="G1363" t="str">
        <f t="shared" si="410"/>
        <v>0</v>
      </c>
      <c r="H1363">
        <f>'906MP'!Y1063</f>
        <v>0</v>
      </c>
      <c r="I1363">
        <f>'906MP'!AK1063</f>
        <v>0</v>
      </c>
      <c r="J1363">
        <f>'906MP'!T1063</f>
        <v>0</v>
      </c>
      <c r="K1363">
        <f>'906MP'!AJ1063</f>
        <v>0</v>
      </c>
      <c r="L1363">
        <f>'906MP'!U1063</f>
        <v>0</v>
      </c>
      <c r="M1363" s="322" t="str">
        <f>IFERROR(VLOOKUP(A1363,PAR!$D$3:$E$53,2,FALSE),"nincs szervezet")</f>
        <v>nincs szervezet</v>
      </c>
      <c r="N1363" s="322" t="str">
        <f>VLOOKUP(F1363,PAR!$R$3:$S$5,2,FALSE)</f>
        <v>3 - egyik sem</v>
      </c>
      <c r="O1363" t="str">
        <f>IFERROR(VLOOKUP(J1363,PAR!$O$3:$P$5,2,FALSE),"nincs feladat")</f>
        <v>nincs feladat</v>
      </c>
      <c r="P1363" t="str">
        <f>IFERROR(VLOOKUP(G1363,PAR!$J$2:$M$19,4),"nincs rovat")</f>
        <v>nincs rovat</v>
      </c>
      <c r="Q1363" t="str">
        <f>IF(H1363&gt;0,VLOOKUP(H1363,PAR!$AA$3:$AC$187,3,FALSE),"nincs főkönyvi számla")</f>
        <v>nincs főkönyvi számla</v>
      </c>
      <c r="R1363" t="str">
        <f>IFERROR(VLOOKUP(K1363,PAR!$V$3:$X$438,3,FALSE),"000000 - Nincs COFOG")</f>
        <v>000000 - Nincs COFOG</v>
      </c>
      <c r="S1363">
        <f t="shared" si="411"/>
        <v>0</v>
      </c>
      <c r="T1363">
        <f t="shared" si="412"/>
        <v>0</v>
      </c>
      <c r="U1363" t="str">
        <f>IF('906MP'!J1063&gt;0,CONCATENATE('906MP'!J1063," - ",'906MP'!P1063,", ",'906MP'!E1063),"nincs megjegyzés")</f>
        <v>nincs megjegyzés</v>
      </c>
      <c r="V1363" t="str">
        <f t="shared" si="399"/>
        <v>0P0</v>
      </c>
      <c r="W1363" t="str">
        <f t="shared" si="400"/>
        <v>0P0</v>
      </c>
      <c r="X1363" t="str">
        <f t="shared" si="401"/>
        <v>P0</v>
      </c>
      <c r="Y1363" t="str">
        <f t="shared" si="402"/>
        <v>00</v>
      </c>
      <c r="Z1363" t="str">
        <f t="shared" si="413"/>
        <v>00</v>
      </c>
      <c r="AA1363" t="str">
        <f t="shared" si="403"/>
        <v>00</v>
      </c>
      <c r="AB1363" t="str">
        <f t="shared" si="404"/>
        <v>00</v>
      </c>
      <c r="AC1363" t="str">
        <f t="shared" si="405"/>
        <v>0P0</v>
      </c>
      <c r="AD1363" t="str">
        <f t="shared" si="406"/>
        <v>P00</v>
      </c>
      <c r="AE1363" t="str">
        <f t="shared" si="407"/>
        <v>0P0</v>
      </c>
      <c r="AF1363" t="str">
        <f t="shared" si="408"/>
        <v>P00</v>
      </c>
      <c r="AG1363" t="str">
        <f t="shared" si="414"/>
        <v>0P00</v>
      </c>
      <c r="AH1363" t="str">
        <f t="shared" si="415"/>
        <v>P000</v>
      </c>
      <c r="AI1363" t="str">
        <f t="shared" si="416"/>
        <v>0P00</v>
      </c>
      <c r="AJ1363" t="str">
        <f t="shared" si="417"/>
        <v>P000</v>
      </c>
    </row>
    <row r="1364" spans="1:36" x14ac:dyDescent="0.25">
      <c r="A1364" s="325" t="str">
        <f>CONCATENATE("P",'906MP'!M1064)</f>
        <v>P</v>
      </c>
      <c r="B1364">
        <f>'906MP'!H1064</f>
        <v>0</v>
      </c>
      <c r="C1364">
        <f>'906MP'!J1064</f>
        <v>0</v>
      </c>
      <c r="D1364">
        <f>'906MP'!P1064</f>
        <v>0</v>
      </c>
      <c r="E1364">
        <f>'906MP'!X1064</f>
        <v>0</v>
      </c>
      <c r="F1364" t="str">
        <f t="shared" si="409"/>
        <v>0</v>
      </c>
      <c r="G1364" t="str">
        <f t="shared" si="410"/>
        <v>0</v>
      </c>
      <c r="H1364">
        <f>'906MP'!Y1064</f>
        <v>0</v>
      </c>
      <c r="I1364">
        <f>'906MP'!AK1064</f>
        <v>0</v>
      </c>
      <c r="J1364">
        <f>'906MP'!T1064</f>
        <v>0</v>
      </c>
      <c r="K1364">
        <f>'906MP'!AJ1064</f>
        <v>0</v>
      </c>
      <c r="L1364">
        <f>'906MP'!U1064</f>
        <v>0</v>
      </c>
      <c r="M1364" s="322" t="str">
        <f>IFERROR(VLOOKUP(A1364,PAR!$D$3:$E$53,2,FALSE),"nincs szervezet")</f>
        <v>nincs szervezet</v>
      </c>
      <c r="N1364" s="322" t="str">
        <f>VLOOKUP(F1364,PAR!$R$3:$S$5,2,FALSE)</f>
        <v>3 - egyik sem</v>
      </c>
      <c r="O1364" t="str">
        <f>IFERROR(VLOOKUP(J1364,PAR!$O$3:$P$5,2,FALSE),"nincs feladat")</f>
        <v>nincs feladat</v>
      </c>
      <c r="P1364" t="str">
        <f>IFERROR(VLOOKUP(G1364,PAR!$J$2:$M$19,4),"nincs rovat")</f>
        <v>nincs rovat</v>
      </c>
      <c r="Q1364" t="str">
        <f>IF(H1364&gt;0,VLOOKUP(H1364,PAR!$AA$3:$AC$187,3,FALSE),"nincs főkönyvi számla")</f>
        <v>nincs főkönyvi számla</v>
      </c>
      <c r="R1364" t="str">
        <f>IFERROR(VLOOKUP(K1364,PAR!$V$3:$X$438,3,FALSE),"000000 - Nincs COFOG")</f>
        <v>000000 - Nincs COFOG</v>
      </c>
      <c r="S1364">
        <f t="shared" si="411"/>
        <v>0</v>
      </c>
      <c r="T1364">
        <f t="shared" si="412"/>
        <v>0</v>
      </c>
      <c r="U1364" t="str">
        <f>IF('906MP'!J1064&gt;0,CONCATENATE('906MP'!J1064," - ",'906MP'!P1064,", ",'906MP'!E1064),"nincs megjegyzés")</f>
        <v>nincs megjegyzés</v>
      </c>
      <c r="V1364" t="str">
        <f t="shared" si="399"/>
        <v>0P0</v>
      </c>
      <c r="W1364" t="str">
        <f t="shared" si="400"/>
        <v>0P0</v>
      </c>
      <c r="X1364" t="str">
        <f t="shared" si="401"/>
        <v>P0</v>
      </c>
      <c r="Y1364" t="str">
        <f t="shared" si="402"/>
        <v>00</v>
      </c>
      <c r="Z1364" t="str">
        <f t="shared" si="413"/>
        <v>00</v>
      </c>
      <c r="AA1364" t="str">
        <f t="shared" si="403"/>
        <v>00</v>
      </c>
      <c r="AB1364" t="str">
        <f t="shared" si="404"/>
        <v>00</v>
      </c>
      <c r="AC1364" t="str">
        <f t="shared" si="405"/>
        <v>0P0</v>
      </c>
      <c r="AD1364" t="str">
        <f t="shared" si="406"/>
        <v>P00</v>
      </c>
      <c r="AE1364" t="str">
        <f t="shared" si="407"/>
        <v>0P0</v>
      </c>
      <c r="AF1364" t="str">
        <f t="shared" si="408"/>
        <v>P00</v>
      </c>
      <c r="AG1364" t="str">
        <f t="shared" si="414"/>
        <v>0P00</v>
      </c>
      <c r="AH1364" t="str">
        <f t="shared" si="415"/>
        <v>P000</v>
      </c>
      <c r="AI1364" t="str">
        <f t="shared" si="416"/>
        <v>0P00</v>
      </c>
      <c r="AJ1364" t="str">
        <f t="shared" si="417"/>
        <v>P000</v>
      </c>
    </row>
    <row r="1365" spans="1:36" x14ac:dyDescent="0.25">
      <c r="A1365" s="325" t="str">
        <f>CONCATENATE("P",'906MP'!M1065)</f>
        <v>P</v>
      </c>
      <c r="B1365">
        <f>'906MP'!H1065</f>
        <v>0</v>
      </c>
      <c r="C1365">
        <f>'906MP'!J1065</f>
        <v>0</v>
      </c>
      <c r="D1365">
        <f>'906MP'!P1065</f>
        <v>0</v>
      </c>
      <c r="E1365">
        <f>'906MP'!X1065</f>
        <v>0</v>
      </c>
      <c r="F1365" t="str">
        <f t="shared" si="409"/>
        <v>0</v>
      </c>
      <c r="G1365" t="str">
        <f t="shared" si="410"/>
        <v>0</v>
      </c>
      <c r="H1365">
        <f>'906MP'!Y1065</f>
        <v>0</v>
      </c>
      <c r="I1365">
        <f>'906MP'!AK1065</f>
        <v>0</v>
      </c>
      <c r="J1365">
        <f>'906MP'!T1065</f>
        <v>0</v>
      </c>
      <c r="K1365">
        <f>'906MP'!AJ1065</f>
        <v>0</v>
      </c>
      <c r="L1365">
        <f>'906MP'!U1065</f>
        <v>0</v>
      </c>
      <c r="M1365" s="322" t="str">
        <f>IFERROR(VLOOKUP(A1365,PAR!$D$3:$E$53,2,FALSE),"nincs szervezet")</f>
        <v>nincs szervezet</v>
      </c>
      <c r="N1365" s="322" t="str">
        <f>VLOOKUP(F1365,PAR!$R$3:$S$5,2,FALSE)</f>
        <v>3 - egyik sem</v>
      </c>
      <c r="O1365" t="str">
        <f>IFERROR(VLOOKUP(J1365,PAR!$O$3:$P$5,2,FALSE),"nincs feladat")</f>
        <v>nincs feladat</v>
      </c>
      <c r="P1365" t="str">
        <f>IFERROR(VLOOKUP(G1365,PAR!$J$2:$M$19,4),"nincs rovat")</f>
        <v>nincs rovat</v>
      </c>
      <c r="Q1365" t="str">
        <f>IF(H1365&gt;0,VLOOKUP(H1365,PAR!$AA$3:$AC$187,3,FALSE),"nincs főkönyvi számla")</f>
        <v>nincs főkönyvi számla</v>
      </c>
      <c r="R1365" t="str">
        <f>IFERROR(VLOOKUP(K1365,PAR!$V$3:$X$438,3,FALSE),"000000 - Nincs COFOG")</f>
        <v>000000 - Nincs COFOG</v>
      </c>
      <c r="S1365">
        <f t="shared" si="411"/>
        <v>0</v>
      </c>
      <c r="T1365">
        <f t="shared" si="412"/>
        <v>0</v>
      </c>
      <c r="U1365" t="str">
        <f>IF('906MP'!J1065&gt;0,CONCATENATE('906MP'!J1065," - ",'906MP'!P1065,", ",'906MP'!E1065),"nincs megjegyzés")</f>
        <v>nincs megjegyzés</v>
      </c>
      <c r="V1365" t="str">
        <f t="shared" si="399"/>
        <v>0P0</v>
      </c>
      <c r="W1365" t="str">
        <f t="shared" si="400"/>
        <v>0P0</v>
      </c>
      <c r="X1365" t="str">
        <f t="shared" si="401"/>
        <v>P0</v>
      </c>
      <c r="Y1365" t="str">
        <f t="shared" si="402"/>
        <v>00</v>
      </c>
      <c r="Z1365" t="str">
        <f t="shared" si="413"/>
        <v>00</v>
      </c>
      <c r="AA1365" t="str">
        <f t="shared" si="403"/>
        <v>00</v>
      </c>
      <c r="AB1365" t="str">
        <f t="shared" si="404"/>
        <v>00</v>
      </c>
      <c r="AC1365" t="str">
        <f t="shared" si="405"/>
        <v>0P0</v>
      </c>
      <c r="AD1365" t="str">
        <f t="shared" si="406"/>
        <v>P00</v>
      </c>
      <c r="AE1365" t="str">
        <f t="shared" si="407"/>
        <v>0P0</v>
      </c>
      <c r="AF1365" t="str">
        <f t="shared" si="408"/>
        <v>P00</v>
      </c>
      <c r="AG1365" t="str">
        <f t="shared" si="414"/>
        <v>0P00</v>
      </c>
      <c r="AH1365" t="str">
        <f t="shared" si="415"/>
        <v>P000</v>
      </c>
      <c r="AI1365" t="str">
        <f t="shared" si="416"/>
        <v>0P00</v>
      </c>
      <c r="AJ1365" t="str">
        <f t="shared" si="417"/>
        <v>P000</v>
      </c>
    </row>
    <row r="1366" spans="1:36" x14ac:dyDescent="0.25">
      <c r="A1366" s="325" t="str">
        <f>CONCATENATE("P",'906MP'!M1066)</f>
        <v>P</v>
      </c>
      <c r="B1366">
        <f>'906MP'!H1066</f>
        <v>0</v>
      </c>
      <c r="C1366">
        <f>'906MP'!J1066</f>
        <v>0</v>
      </c>
      <c r="D1366">
        <f>'906MP'!P1066</f>
        <v>0</v>
      </c>
      <c r="E1366">
        <f>'906MP'!X1066</f>
        <v>0</v>
      </c>
      <c r="F1366" t="str">
        <f t="shared" si="409"/>
        <v>0</v>
      </c>
      <c r="G1366" t="str">
        <f t="shared" si="410"/>
        <v>0</v>
      </c>
      <c r="H1366">
        <f>'906MP'!Y1066</f>
        <v>0</v>
      </c>
      <c r="I1366">
        <f>'906MP'!AK1066</f>
        <v>0</v>
      </c>
      <c r="J1366">
        <f>'906MP'!T1066</f>
        <v>0</v>
      </c>
      <c r="K1366">
        <f>'906MP'!AJ1066</f>
        <v>0</v>
      </c>
      <c r="L1366">
        <f>'906MP'!U1066</f>
        <v>0</v>
      </c>
      <c r="M1366" s="322" t="str">
        <f>IFERROR(VLOOKUP(A1366,PAR!$D$3:$E$53,2,FALSE),"nincs szervezet")</f>
        <v>nincs szervezet</v>
      </c>
      <c r="N1366" s="322" t="str">
        <f>VLOOKUP(F1366,PAR!$R$3:$S$5,2,FALSE)</f>
        <v>3 - egyik sem</v>
      </c>
      <c r="O1366" t="str">
        <f>IFERROR(VLOOKUP(J1366,PAR!$O$3:$P$5,2,FALSE),"nincs feladat")</f>
        <v>nincs feladat</v>
      </c>
      <c r="P1366" t="str">
        <f>IFERROR(VLOOKUP(G1366,PAR!$J$2:$M$19,4),"nincs rovat")</f>
        <v>nincs rovat</v>
      </c>
      <c r="Q1366" t="str">
        <f>IF(H1366&gt;0,VLOOKUP(H1366,PAR!$AA$3:$AC$187,3,FALSE),"nincs főkönyvi számla")</f>
        <v>nincs főkönyvi számla</v>
      </c>
      <c r="R1366" t="str">
        <f>IFERROR(VLOOKUP(K1366,PAR!$V$3:$X$438,3,FALSE),"000000 - Nincs COFOG")</f>
        <v>000000 - Nincs COFOG</v>
      </c>
      <c r="S1366">
        <f t="shared" si="411"/>
        <v>0</v>
      </c>
      <c r="T1366">
        <f t="shared" si="412"/>
        <v>0</v>
      </c>
      <c r="U1366" t="str">
        <f>IF('906MP'!J1066&gt;0,CONCATENATE('906MP'!J1066," - ",'906MP'!P1066,", ",'906MP'!E1066),"nincs megjegyzés")</f>
        <v>nincs megjegyzés</v>
      </c>
      <c r="V1366" t="str">
        <f t="shared" si="399"/>
        <v>0P0</v>
      </c>
      <c r="W1366" t="str">
        <f t="shared" si="400"/>
        <v>0P0</v>
      </c>
      <c r="X1366" t="str">
        <f t="shared" si="401"/>
        <v>P0</v>
      </c>
      <c r="Y1366" t="str">
        <f t="shared" si="402"/>
        <v>00</v>
      </c>
      <c r="Z1366" t="str">
        <f t="shared" si="413"/>
        <v>00</v>
      </c>
      <c r="AA1366" t="str">
        <f t="shared" si="403"/>
        <v>00</v>
      </c>
      <c r="AB1366" t="str">
        <f t="shared" si="404"/>
        <v>00</v>
      </c>
      <c r="AC1366" t="str">
        <f t="shared" si="405"/>
        <v>0P0</v>
      </c>
      <c r="AD1366" t="str">
        <f t="shared" si="406"/>
        <v>P00</v>
      </c>
      <c r="AE1366" t="str">
        <f t="shared" si="407"/>
        <v>0P0</v>
      </c>
      <c r="AF1366" t="str">
        <f t="shared" si="408"/>
        <v>P00</v>
      </c>
      <c r="AG1366" t="str">
        <f t="shared" si="414"/>
        <v>0P00</v>
      </c>
      <c r="AH1366" t="str">
        <f t="shared" si="415"/>
        <v>P000</v>
      </c>
      <c r="AI1366" t="str">
        <f t="shared" si="416"/>
        <v>0P00</v>
      </c>
      <c r="AJ1366" t="str">
        <f t="shared" si="417"/>
        <v>P000</v>
      </c>
    </row>
    <row r="1367" spans="1:36" x14ac:dyDescent="0.25">
      <c r="A1367" s="325" t="str">
        <f>CONCATENATE("P",'906MP'!M1067)</f>
        <v>P</v>
      </c>
      <c r="B1367">
        <f>'906MP'!H1067</f>
        <v>0</v>
      </c>
      <c r="C1367">
        <f>'906MP'!J1067</f>
        <v>0</v>
      </c>
      <c r="D1367">
        <f>'906MP'!P1067</f>
        <v>0</v>
      </c>
      <c r="E1367">
        <f>'906MP'!X1067</f>
        <v>0</v>
      </c>
      <c r="F1367" t="str">
        <f t="shared" si="409"/>
        <v>0</v>
      </c>
      <c r="G1367" t="str">
        <f t="shared" si="410"/>
        <v>0</v>
      </c>
      <c r="H1367">
        <f>'906MP'!Y1067</f>
        <v>0</v>
      </c>
      <c r="I1367">
        <f>'906MP'!AK1067</f>
        <v>0</v>
      </c>
      <c r="J1367">
        <f>'906MP'!T1067</f>
        <v>0</v>
      </c>
      <c r="K1367">
        <f>'906MP'!AJ1067</f>
        <v>0</v>
      </c>
      <c r="L1367">
        <f>'906MP'!U1067</f>
        <v>0</v>
      </c>
      <c r="M1367" s="322" t="str">
        <f>IFERROR(VLOOKUP(A1367,PAR!$D$3:$E$53,2,FALSE),"nincs szervezet")</f>
        <v>nincs szervezet</v>
      </c>
      <c r="N1367" s="322" t="str">
        <f>VLOOKUP(F1367,PAR!$R$3:$S$5,2,FALSE)</f>
        <v>3 - egyik sem</v>
      </c>
      <c r="O1367" t="str">
        <f>IFERROR(VLOOKUP(J1367,PAR!$O$3:$P$5,2,FALSE),"nincs feladat")</f>
        <v>nincs feladat</v>
      </c>
      <c r="P1367" t="str">
        <f>IFERROR(VLOOKUP(G1367,PAR!$J$2:$M$19,4),"nincs rovat")</f>
        <v>nincs rovat</v>
      </c>
      <c r="Q1367" t="str">
        <f>IF(H1367&gt;0,VLOOKUP(H1367,PAR!$AA$3:$AC$187,3,FALSE),"nincs főkönyvi számla")</f>
        <v>nincs főkönyvi számla</v>
      </c>
      <c r="R1367" t="str">
        <f>IFERROR(VLOOKUP(K1367,PAR!$V$3:$X$438,3,FALSE),"000000 - Nincs COFOG")</f>
        <v>000000 - Nincs COFOG</v>
      </c>
      <c r="S1367">
        <f t="shared" si="411"/>
        <v>0</v>
      </c>
      <c r="T1367">
        <f t="shared" si="412"/>
        <v>0</v>
      </c>
      <c r="U1367" t="str">
        <f>IF('906MP'!J1067&gt;0,CONCATENATE('906MP'!J1067," - ",'906MP'!P1067,", ",'906MP'!E1067),"nincs megjegyzés")</f>
        <v>nincs megjegyzés</v>
      </c>
      <c r="V1367" t="str">
        <f t="shared" si="399"/>
        <v>0P0</v>
      </c>
      <c r="W1367" t="str">
        <f t="shared" si="400"/>
        <v>0P0</v>
      </c>
      <c r="X1367" t="str">
        <f t="shared" si="401"/>
        <v>P0</v>
      </c>
      <c r="Y1367" t="str">
        <f t="shared" si="402"/>
        <v>00</v>
      </c>
      <c r="Z1367" t="str">
        <f t="shared" si="413"/>
        <v>00</v>
      </c>
      <c r="AA1367" t="str">
        <f t="shared" si="403"/>
        <v>00</v>
      </c>
      <c r="AB1367" t="str">
        <f t="shared" si="404"/>
        <v>00</v>
      </c>
      <c r="AC1367" t="str">
        <f t="shared" si="405"/>
        <v>0P0</v>
      </c>
      <c r="AD1367" t="str">
        <f t="shared" si="406"/>
        <v>P00</v>
      </c>
      <c r="AE1367" t="str">
        <f t="shared" si="407"/>
        <v>0P0</v>
      </c>
      <c r="AF1367" t="str">
        <f t="shared" si="408"/>
        <v>P00</v>
      </c>
      <c r="AG1367" t="str">
        <f t="shared" si="414"/>
        <v>0P00</v>
      </c>
      <c r="AH1367" t="str">
        <f t="shared" si="415"/>
        <v>P000</v>
      </c>
      <c r="AI1367" t="str">
        <f t="shared" si="416"/>
        <v>0P00</v>
      </c>
      <c r="AJ1367" t="str">
        <f t="shared" si="417"/>
        <v>P000</v>
      </c>
    </row>
    <row r="1368" spans="1:36" x14ac:dyDescent="0.25">
      <c r="A1368" s="325" t="str">
        <f>CONCATENATE("P",'906MP'!M1068)</f>
        <v>P</v>
      </c>
      <c r="B1368">
        <f>'906MP'!H1068</f>
        <v>0</v>
      </c>
      <c r="C1368">
        <f>'906MP'!J1068</f>
        <v>0</v>
      </c>
      <c r="D1368">
        <f>'906MP'!P1068</f>
        <v>0</v>
      </c>
      <c r="E1368">
        <f>'906MP'!X1068</f>
        <v>0</v>
      </c>
      <c r="F1368" t="str">
        <f t="shared" si="409"/>
        <v>0</v>
      </c>
      <c r="G1368" t="str">
        <f t="shared" si="410"/>
        <v>0</v>
      </c>
      <c r="H1368">
        <f>'906MP'!Y1068</f>
        <v>0</v>
      </c>
      <c r="I1368">
        <f>'906MP'!AK1068</f>
        <v>0</v>
      </c>
      <c r="J1368">
        <f>'906MP'!T1068</f>
        <v>0</v>
      </c>
      <c r="K1368">
        <f>'906MP'!AJ1068</f>
        <v>0</v>
      </c>
      <c r="L1368">
        <f>'906MP'!U1068</f>
        <v>0</v>
      </c>
      <c r="M1368" s="322" t="str">
        <f>IFERROR(VLOOKUP(A1368,PAR!$D$3:$E$53,2,FALSE),"nincs szervezet")</f>
        <v>nincs szervezet</v>
      </c>
      <c r="N1368" s="322" t="str">
        <f>VLOOKUP(F1368,PAR!$R$3:$S$5,2,FALSE)</f>
        <v>3 - egyik sem</v>
      </c>
      <c r="O1368" t="str">
        <f>IFERROR(VLOOKUP(J1368,PAR!$O$3:$P$5,2,FALSE),"nincs feladat")</f>
        <v>nincs feladat</v>
      </c>
      <c r="P1368" t="str">
        <f>IFERROR(VLOOKUP(G1368,PAR!$J$2:$M$19,4),"nincs rovat")</f>
        <v>nincs rovat</v>
      </c>
      <c r="Q1368" t="str">
        <f>IF(H1368&gt;0,VLOOKUP(H1368,PAR!$AA$3:$AC$187,3,FALSE),"nincs főkönyvi számla")</f>
        <v>nincs főkönyvi számla</v>
      </c>
      <c r="R1368" t="str">
        <f>IFERROR(VLOOKUP(K1368,PAR!$V$3:$X$438,3,FALSE),"000000 - Nincs COFOG")</f>
        <v>000000 - Nincs COFOG</v>
      </c>
      <c r="S1368">
        <f t="shared" si="411"/>
        <v>0</v>
      </c>
      <c r="T1368">
        <f t="shared" si="412"/>
        <v>0</v>
      </c>
      <c r="U1368" t="str">
        <f>IF('906MP'!J1068&gt;0,CONCATENATE('906MP'!J1068," - ",'906MP'!P1068,", ",'906MP'!E1068),"nincs megjegyzés")</f>
        <v>nincs megjegyzés</v>
      </c>
      <c r="V1368" t="str">
        <f t="shared" si="399"/>
        <v>0P0</v>
      </c>
      <c r="W1368" t="str">
        <f t="shared" si="400"/>
        <v>0P0</v>
      </c>
      <c r="X1368" t="str">
        <f t="shared" si="401"/>
        <v>P0</v>
      </c>
      <c r="Y1368" t="str">
        <f t="shared" si="402"/>
        <v>00</v>
      </c>
      <c r="Z1368" t="str">
        <f t="shared" si="413"/>
        <v>00</v>
      </c>
      <c r="AA1368" t="str">
        <f t="shared" si="403"/>
        <v>00</v>
      </c>
      <c r="AB1368" t="str">
        <f t="shared" si="404"/>
        <v>00</v>
      </c>
      <c r="AC1368" t="str">
        <f t="shared" si="405"/>
        <v>0P0</v>
      </c>
      <c r="AD1368" t="str">
        <f t="shared" si="406"/>
        <v>P00</v>
      </c>
      <c r="AE1368" t="str">
        <f t="shared" si="407"/>
        <v>0P0</v>
      </c>
      <c r="AF1368" t="str">
        <f t="shared" si="408"/>
        <v>P00</v>
      </c>
      <c r="AG1368" t="str">
        <f t="shared" si="414"/>
        <v>0P00</v>
      </c>
      <c r="AH1368" t="str">
        <f t="shared" si="415"/>
        <v>P000</v>
      </c>
      <c r="AI1368" t="str">
        <f t="shared" si="416"/>
        <v>0P00</v>
      </c>
      <c r="AJ1368" t="str">
        <f t="shared" si="417"/>
        <v>P000</v>
      </c>
    </row>
    <row r="1369" spans="1:36" x14ac:dyDescent="0.25">
      <c r="A1369" s="325" t="str">
        <f>CONCATENATE("P",'906MP'!M1069)</f>
        <v>P</v>
      </c>
      <c r="B1369">
        <f>'906MP'!H1069</f>
        <v>0</v>
      </c>
      <c r="C1369">
        <f>'906MP'!J1069</f>
        <v>0</v>
      </c>
      <c r="D1369">
        <f>'906MP'!P1069</f>
        <v>0</v>
      </c>
      <c r="E1369">
        <f>'906MP'!X1069</f>
        <v>0</v>
      </c>
      <c r="F1369" t="str">
        <f t="shared" si="409"/>
        <v>0</v>
      </c>
      <c r="G1369" t="str">
        <f t="shared" si="410"/>
        <v>0</v>
      </c>
      <c r="H1369">
        <f>'906MP'!Y1069</f>
        <v>0</v>
      </c>
      <c r="I1369">
        <f>'906MP'!AK1069</f>
        <v>0</v>
      </c>
      <c r="J1369">
        <f>'906MP'!T1069</f>
        <v>0</v>
      </c>
      <c r="K1369">
        <f>'906MP'!AJ1069</f>
        <v>0</v>
      </c>
      <c r="L1369">
        <f>'906MP'!U1069</f>
        <v>0</v>
      </c>
      <c r="M1369" s="322" t="str">
        <f>IFERROR(VLOOKUP(A1369,PAR!$D$3:$E$53,2,FALSE),"nincs szervezet")</f>
        <v>nincs szervezet</v>
      </c>
      <c r="N1369" s="322" t="str">
        <f>VLOOKUP(F1369,PAR!$R$3:$S$5,2,FALSE)</f>
        <v>3 - egyik sem</v>
      </c>
      <c r="O1369" t="str">
        <f>IFERROR(VLOOKUP(J1369,PAR!$O$3:$P$5,2,FALSE),"nincs feladat")</f>
        <v>nincs feladat</v>
      </c>
      <c r="P1369" t="str">
        <f>IFERROR(VLOOKUP(G1369,PAR!$J$2:$M$19,4),"nincs rovat")</f>
        <v>nincs rovat</v>
      </c>
      <c r="Q1369" t="str">
        <f>IF(H1369&gt;0,VLOOKUP(H1369,PAR!$AA$3:$AC$187,3,FALSE),"nincs főkönyvi számla")</f>
        <v>nincs főkönyvi számla</v>
      </c>
      <c r="R1369" t="str">
        <f>IFERROR(VLOOKUP(K1369,PAR!$V$3:$X$438,3,FALSE),"000000 - Nincs COFOG")</f>
        <v>000000 - Nincs COFOG</v>
      </c>
      <c r="S1369">
        <f t="shared" si="411"/>
        <v>0</v>
      </c>
      <c r="T1369">
        <f t="shared" si="412"/>
        <v>0</v>
      </c>
      <c r="U1369" t="str">
        <f>IF('906MP'!J1069&gt;0,CONCATENATE('906MP'!J1069," - ",'906MP'!P1069,", ",'906MP'!E1069),"nincs megjegyzés")</f>
        <v>nincs megjegyzés</v>
      </c>
      <c r="V1369" t="str">
        <f t="shared" si="399"/>
        <v>0P0</v>
      </c>
      <c r="W1369" t="str">
        <f t="shared" si="400"/>
        <v>0P0</v>
      </c>
      <c r="X1369" t="str">
        <f t="shared" si="401"/>
        <v>P0</v>
      </c>
      <c r="Y1369" t="str">
        <f t="shared" si="402"/>
        <v>00</v>
      </c>
      <c r="Z1369" t="str">
        <f t="shared" si="413"/>
        <v>00</v>
      </c>
      <c r="AA1369" t="str">
        <f t="shared" si="403"/>
        <v>00</v>
      </c>
      <c r="AB1369" t="str">
        <f t="shared" si="404"/>
        <v>00</v>
      </c>
      <c r="AC1369" t="str">
        <f t="shared" si="405"/>
        <v>0P0</v>
      </c>
      <c r="AD1369" t="str">
        <f t="shared" si="406"/>
        <v>P00</v>
      </c>
      <c r="AE1369" t="str">
        <f t="shared" si="407"/>
        <v>0P0</v>
      </c>
      <c r="AF1369" t="str">
        <f t="shared" si="408"/>
        <v>P00</v>
      </c>
      <c r="AG1369" t="str">
        <f t="shared" si="414"/>
        <v>0P00</v>
      </c>
      <c r="AH1369" t="str">
        <f t="shared" si="415"/>
        <v>P000</v>
      </c>
      <c r="AI1369" t="str">
        <f t="shared" si="416"/>
        <v>0P00</v>
      </c>
      <c r="AJ1369" t="str">
        <f t="shared" si="417"/>
        <v>P000</v>
      </c>
    </row>
    <row r="1370" spans="1:36" x14ac:dyDescent="0.25">
      <c r="A1370" s="325" t="str">
        <f>CONCATENATE("P",'906MP'!M1070)</f>
        <v>P</v>
      </c>
      <c r="B1370">
        <f>'906MP'!H1070</f>
        <v>0</v>
      </c>
      <c r="C1370">
        <f>'906MP'!J1070</f>
        <v>0</v>
      </c>
      <c r="D1370">
        <f>'906MP'!P1070</f>
        <v>0</v>
      </c>
      <c r="E1370">
        <f>'906MP'!X1070</f>
        <v>0</v>
      </c>
      <c r="F1370" t="str">
        <f t="shared" si="409"/>
        <v>0</v>
      </c>
      <c r="G1370" t="str">
        <f t="shared" si="410"/>
        <v>0</v>
      </c>
      <c r="H1370">
        <f>'906MP'!Y1070</f>
        <v>0</v>
      </c>
      <c r="I1370">
        <f>'906MP'!AK1070</f>
        <v>0</v>
      </c>
      <c r="J1370">
        <f>'906MP'!T1070</f>
        <v>0</v>
      </c>
      <c r="K1370">
        <f>'906MP'!AJ1070</f>
        <v>0</v>
      </c>
      <c r="L1370">
        <f>'906MP'!U1070</f>
        <v>0</v>
      </c>
      <c r="M1370" s="322" t="str">
        <f>IFERROR(VLOOKUP(A1370,PAR!$D$3:$E$53,2,FALSE),"nincs szervezet")</f>
        <v>nincs szervezet</v>
      </c>
      <c r="N1370" s="322" t="str">
        <f>VLOOKUP(F1370,PAR!$R$3:$S$5,2,FALSE)</f>
        <v>3 - egyik sem</v>
      </c>
      <c r="O1370" t="str">
        <f>IFERROR(VLOOKUP(J1370,PAR!$O$3:$P$5,2,FALSE),"nincs feladat")</f>
        <v>nincs feladat</v>
      </c>
      <c r="P1370" t="str">
        <f>IFERROR(VLOOKUP(G1370,PAR!$J$2:$M$19,4),"nincs rovat")</f>
        <v>nincs rovat</v>
      </c>
      <c r="Q1370" t="str">
        <f>IF(H1370&gt;0,VLOOKUP(H1370,PAR!$AA$3:$AC$187,3,FALSE),"nincs főkönyvi számla")</f>
        <v>nincs főkönyvi számla</v>
      </c>
      <c r="R1370" t="str">
        <f>IFERROR(VLOOKUP(K1370,PAR!$V$3:$X$438,3,FALSE),"000000 - Nincs COFOG")</f>
        <v>000000 - Nincs COFOG</v>
      </c>
      <c r="S1370">
        <f t="shared" si="411"/>
        <v>0</v>
      </c>
      <c r="T1370">
        <f t="shared" si="412"/>
        <v>0</v>
      </c>
      <c r="U1370" t="str">
        <f>IF('906MP'!J1070&gt;0,CONCATENATE('906MP'!J1070," - ",'906MP'!P1070,", ",'906MP'!E1070),"nincs megjegyzés")</f>
        <v>nincs megjegyzés</v>
      </c>
      <c r="V1370" t="str">
        <f t="shared" si="399"/>
        <v>0P0</v>
      </c>
      <c r="W1370" t="str">
        <f t="shared" si="400"/>
        <v>0P0</v>
      </c>
      <c r="X1370" t="str">
        <f t="shared" si="401"/>
        <v>P0</v>
      </c>
      <c r="Y1370" t="str">
        <f t="shared" si="402"/>
        <v>00</v>
      </c>
      <c r="Z1370" t="str">
        <f t="shared" si="413"/>
        <v>00</v>
      </c>
      <c r="AA1370" t="str">
        <f t="shared" si="403"/>
        <v>00</v>
      </c>
      <c r="AB1370" t="str">
        <f t="shared" si="404"/>
        <v>00</v>
      </c>
      <c r="AC1370" t="str">
        <f t="shared" si="405"/>
        <v>0P0</v>
      </c>
      <c r="AD1370" t="str">
        <f t="shared" si="406"/>
        <v>P00</v>
      </c>
      <c r="AE1370" t="str">
        <f t="shared" si="407"/>
        <v>0P0</v>
      </c>
      <c r="AF1370" t="str">
        <f t="shared" si="408"/>
        <v>P00</v>
      </c>
      <c r="AG1370" t="str">
        <f t="shared" si="414"/>
        <v>0P00</v>
      </c>
      <c r="AH1370" t="str">
        <f t="shared" si="415"/>
        <v>P000</v>
      </c>
      <c r="AI1370" t="str">
        <f t="shared" si="416"/>
        <v>0P00</v>
      </c>
      <c r="AJ1370" t="str">
        <f t="shared" si="417"/>
        <v>P000</v>
      </c>
    </row>
    <row r="1371" spans="1:36" x14ac:dyDescent="0.25">
      <c r="A1371" s="325" t="str">
        <f>CONCATENATE("P",'906MP'!M1071)</f>
        <v>P</v>
      </c>
      <c r="B1371">
        <f>'906MP'!H1071</f>
        <v>0</v>
      </c>
      <c r="C1371">
        <f>'906MP'!J1071</f>
        <v>0</v>
      </c>
      <c r="D1371">
        <f>'906MP'!P1071</f>
        <v>0</v>
      </c>
      <c r="E1371">
        <f>'906MP'!X1071</f>
        <v>0</v>
      </c>
      <c r="F1371" t="str">
        <f t="shared" si="409"/>
        <v>0</v>
      </c>
      <c r="G1371" t="str">
        <f t="shared" si="410"/>
        <v>0</v>
      </c>
      <c r="H1371">
        <f>'906MP'!Y1071</f>
        <v>0</v>
      </c>
      <c r="I1371">
        <f>'906MP'!AK1071</f>
        <v>0</v>
      </c>
      <c r="J1371">
        <f>'906MP'!T1071</f>
        <v>0</v>
      </c>
      <c r="K1371">
        <f>'906MP'!AJ1071</f>
        <v>0</v>
      </c>
      <c r="L1371">
        <f>'906MP'!U1071</f>
        <v>0</v>
      </c>
      <c r="M1371" s="322" t="str">
        <f>IFERROR(VLOOKUP(A1371,PAR!$D$3:$E$53,2,FALSE),"nincs szervezet")</f>
        <v>nincs szervezet</v>
      </c>
      <c r="N1371" s="322" t="str">
        <f>VLOOKUP(F1371,PAR!$R$3:$S$5,2,FALSE)</f>
        <v>3 - egyik sem</v>
      </c>
      <c r="O1371" t="str">
        <f>IFERROR(VLOOKUP(J1371,PAR!$O$3:$P$5,2,FALSE),"nincs feladat")</f>
        <v>nincs feladat</v>
      </c>
      <c r="P1371" t="str">
        <f>IFERROR(VLOOKUP(G1371,PAR!$J$2:$M$19,4),"nincs rovat")</f>
        <v>nincs rovat</v>
      </c>
      <c r="Q1371" t="str">
        <f>IF(H1371&gt;0,VLOOKUP(H1371,PAR!$AA$3:$AC$187,3,FALSE),"nincs főkönyvi számla")</f>
        <v>nincs főkönyvi számla</v>
      </c>
      <c r="R1371" t="str">
        <f>IFERROR(VLOOKUP(K1371,PAR!$V$3:$X$438,3,FALSE),"000000 - Nincs COFOG")</f>
        <v>000000 - Nincs COFOG</v>
      </c>
      <c r="S1371">
        <f t="shared" si="411"/>
        <v>0</v>
      </c>
      <c r="T1371">
        <f t="shared" si="412"/>
        <v>0</v>
      </c>
      <c r="U1371" t="str">
        <f>IF('906MP'!J1071&gt;0,CONCATENATE('906MP'!J1071," - ",'906MP'!P1071,", ",'906MP'!E1071),"nincs megjegyzés")</f>
        <v>nincs megjegyzés</v>
      </c>
      <c r="V1371" t="str">
        <f t="shared" si="399"/>
        <v>0P0</v>
      </c>
      <c r="W1371" t="str">
        <f t="shared" si="400"/>
        <v>0P0</v>
      </c>
      <c r="X1371" t="str">
        <f t="shared" si="401"/>
        <v>P0</v>
      </c>
      <c r="Y1371" t="str">
        <f t="shared" si="402"/>
        <v>00</v>
      </c>
      <c r="Z1371" t="str">
        <f t="shared" si="413"/>
        <v>00</v>
      </c>
      <c r="AA1371" t="str">
        <f t="shared" si="403"/>
        <v>00</v>
      </c>
      <c r="AB1371" t="str">
        <f t="shared" si="404"/>
        <v>00</v>
      </c>
      <c r="AC1371" t="str">
        <f t="shared" si="405"/>
        <v>0P0</v>
      </c>
      <c r="AD1371" t="str">
        <f t="shared" si="406"/>
        <v>P00</v>
      </c>
      <c r="AE1371" t="str">
        <f t="shared" si="407"/>
        <v>0P0</v>
      </c>
      <c r="AF1371" t="str">
        <f t="shared" si="408"/>
        <v>P00</v>
      </c>
      <c r="AG1371" t="str">
        <f t="shared" si="414"/>
        <v>0P00</v>
      </c>
      <c r="AH1371" t="str">
        <f t="shared" si="415"/>
        <v>P000</v>
      </c>
      <c r="AI1371" t="str">
        <f t="shared" si="416"/>
        <v>0P00</v>
      </c>
      <c r="AJ1371" t="str">
        <f t="shared" si="417"/>
        <v>P000</v>
      </c>
    </row>
    <row r="1372" spans="1:36" x14ac:dyDescent="0.25">
      <c r="A1372" s="325" t="str">
        <f>CONCATENATE("P",'906MP'!M1072)</f>
        <v>P</v>
      </c>
      <c r="B1372">
        <f>'906MP'!H1072</f>
        <v>0</v>
      </c>
      <c r="C1372">
        <f>'906MP'!J1072</f>
        <v>0</v>
      </c>
      <c r="D1372">
        <f>'906MP'!P1072</f>
        <v>0</v>
      </c>
      <c r="E1372">
        <f>'906MP'!X1072</f>
        <v>0</v>
      </c>
      <c r="F1372" t="str">
        <f t="shared" si="409"/>
        <v>0</v>
      </c>
      <c r="G1372" t="str">
        <f t="shared" si="410"/>
        <v>0</v>
      </c>
      <c r="H1372">
        <f>'906MP'!Y1072</f>
        <v>0</v>
      </c>
      <c r="I1372">
        <f>'906MP'!AK1072</f>
        <v>0</v>
      </c>
      <c r="J1372">
        <f>'906MP'!T1072</f>
        <v>0</v>
      </c>
      <c r="K1372">
        <f>'906MP'!AJ1072</f>
        <v>0</v>
      </c>
      <c r="L1372">
        <f>'906MP'!U1072</f>
        <v>0</v>
      </c>
      <c r="M1372" s="322" t="str">
        <f>IFERROR(VLOOKUP(A1372,PAR!$D$3:$E$53,2,FALSE),"nincs szervezet")</f>
        <v>nincs szervezet</v>
      </c>
      <c r="N1372" s="322" t="str">
        <f>VLOOKUP(F1372,PAR!$R$3:$S$5,2,FALSE)</f>
        <v>3 - egyik sem</v>
      </c>
      <c r="O1372" t="str">
        <f>IFERROR(VLOOKUP(J1372,PAR!$O$3:$P$5,2,FALSE),"nincs feladat")</f>
        <v>nincs feladat</v>
      </c>
      <c r="P1372" t="str">
        <f>IFERROR(VLOOKUP(G1372,PAR!$J$2:$M$19,4),"nincs rovat")</f>
        <v>nincs rovat</v>
      </c>
      <c r="Q1372" t="str">
        <f>IF(H1372&gt;0,VLOOKUP(H1372,PAR!$AA$3:$AC$187,3,FALSE),"nincs főkönyvi számla")</f>
        <v>nincs főkönyvi számla</v>
      </c>
      <c r="R1372" t="str">
        <f>IFERROR(VLOOKUP(K1372,PAR!$V$3:$X$438,3,FALSE),"000000 - Nincs COFOG")</f>
        <v>000000 - Nincs COFOG</v>
      </c>
      <c r="S1372">
        <f t="shared" si="411"/>
        <v>0</v>
      </c>
      <c r="T1372">
        <f t="shared" si="412"/>
        <v>0</v>
      </c>
      <c r="U1372" t="str">
        <f>IF('906MP'!J1072&gt;0,CONCATENATE('906MP'!J1072," - ",'906MP'!P1072,", ",'906MP'!E1072),"nincs megjegyzés")</f>
        <v>nincs megjegyzés</v>
      </c>
      <c r="V1372" t="str">
        <f t="shared" si="399"/>
        <v>0P0</v>
      </c>
      <c r="W1372" t="str">
        <f t="shared" si="400"/>
        <v>0P0</v>
      </c>
      <c r="X1372" t="str">
        <f t="shared" si="401"/>
        <v>P0</v>
      </c>
      <c r="Y1372" t="str">
        <f t="shared" si="402"/>
        <v>00</v>
      </c>
      <c r="Z1372" t="str">
        <f t="shared" si="413"/>
        <v>00</v>
      </c>
      <c r="AA1372" t="str">
        <f t="shared" si="403"/>
        <v>00</v>
      </c>
      <c r="AB1372" t="str">
        <f t="shared" si="404"/>
        <v>00</v>
      </c>
      <c r="AC1372" t="str">
        <f t="shared" si="405"/>
        <v>0P0</v>
      </c>
      <c r="AD1372" t="str">
        <f t="shared" si="406"/>
        <v>P00</v>
      </c>
      <c r="AE1372" t="str">
        <f t="shared" si="407"/>
        <v>0P0</v>
      </c>
      <c r="AF1372" t="str">
        <f t="shared" si="408"/>
        <v>P00</v>
      </c>
      <c r="AG1372" t="str">
        <f t="shared" si="414"/>
        <v>0P00</v>
      </c>
      <c r="AH1372" t="str">
        <f t="shared" si="415"/>
        <v>P000</v>
      </c>
      <c r="AI1372" t="str">
        <f t="shared" si="416"/>
        <v>0P00</v>
      </c>
      <c r="AJ1372" t="str">
        <f t="shared" si="417"/>
        <v>P000</v>
      </c>
    </row>
    <row r="1373" spans="1:36" x14ac:dyDescent="0.25">
      <c r="A1373" s="325" t="str">
        <f>CONCATENATE("P",'906MP'!M1073)</f>
        <v>P</v>
      </c>
      <c r="B1373">
        <f>'906MP'!H1073</f>
        <v>0</v>
      </c>
      <c r="C1373">
        <f>'906MP'!J1073</f>
        <v>0</v>
      </c>
      <c r="D1373">
        <f>'906MP'!P1073</f>
        <v>0</v>
      </c>
      <c r="E1373">
        <f>'906MP'!X1073</f>
        <v>0</v>
      </c>
      <c r="F1373" t="str">
        <f t="shared" si="409"/>
        <v>0</v>
      </c>
      <c r="G1373" t="str">
        <f t="shared" si="410"/>
        <v>0</v>
      </c>
      <c r="H1373">
        <f>'906MP'!Y1073</f>
        <v>0</v>
      </c>
      <c r="I1373">
        <f>'906MP'!AK1073</f>
        <v>0</v>
      </c>
      <c r="J1373">
        <f>'906MP'!T1073</f>
        <v>0</v>
      </c>
      <c r="K1373">
        <f>'906MP'!AJ1073</f>
        <v>0</v>
      </c>
      <c r="L1373">
        <f>'906MP'!U1073</f>
        <v>0</v>
      </c>
      <c r="M1373" s="322" t="str">
        <f>IFERROR(VLOOKUP(A1373,PAR!$D$3:$E$53,2,FALSE),"nincs szervezet")</f>
        <v>nincs szervezet</v>
      </c>
      <c r="N1373" s="322" t="str">
        <f>VLOOKUP(F1373,PAR!$R$3:$S$5,2,FALSE)</f>
        <v>3 - egyik sem</v>
      </c>
      <c r="O1373" t="str">
        <f>IFERROR(VLOOKUP(J1373,PAR!$O$3:$P$5,2,FALSE),"nincs feladat")</f>
        <v>nincs feladat</v>
      </c>
      <c r="P1373" t="str">
        <f>IFERROR(VLOOKUP(G1373,PAR!$J$2:$M$19,4),"nincs rovat")</f>
        <v>nincs rovat</v>
      </c>
      <c r="Q1373" t="str">
        <f>IF(H1373&gt;0,VLOOKUP(H1373,PAR!$AA$3:$AC$187,3,FALSE),"nincs főkönyvi számla")</f>
        <v>nincs főkönyvi számla</v>
      </c>
      <c r="R1373" t="str">
        <f>IFERROR(VLOOKUP(K1373,PAR!$V$3:$X$438,3,FALSE),"000000 - Nincs COFOG")</f>
        <v>000000 - Nincs COFOG</v>
      </c>
      <c r="S1373">
        <f t="shared" si="411"/>
        <v>0</v>
      </c>
      <c r="T1373">
        <f t="shared" si="412"/>
        <v>0</v>
      </c>
      <c r="U1373" t="str">
        <f>IF('906MP'!J1073&gt;0,CONCATENATE('906MP'!J1073," - ",'906MP'!P1073,", ",'906MP'!E1073),"nincs megjegyzés")</f>
        <v>nincs megjegyzés</v>
      </c>
      <c r="V1373" t="str">
        <f t="shared" si="399"/>
        <v>0P0</v>
      </c>
      <c r="W1373" t="str">
        <f t="shared" si="400"/>
        <v>0P0</v>
      </c>
      <c r="X1373" t="str">
        <f t="shared" si="401"/>
        <v>P0</v>
      </c>
      <c r="Y1373" t="str">
        <f t="shared" si="402"/>
        <v>00</v>
      </c>
      <c r="Z1373" t="str">
        <f t="shared" si="413"/>
        <v>00</v>
      </c>
      <c r="AA1373" t="str">
        <f t="shared" si="403"/>
        <v>00</v>
      </c>
      <c r="AB1373" t="str">
        <f t="shared" si="404"/>
        <v>00</v>
      </c>
      <c r="AC1373" t="str">
        <f t="shared" si="405"/>
        <v>0P0</v>
      </c>
      <c r="AD1373" t="str">
        <f t="shared" si="406"/>
        <v>P00</v>
      </c>
      <c r="AE1373" t="str">
        <f t="shared" si="407"/>
        <v>0P0</v>
      </c>
      <c r="AF1373" t="str">
        <f t="shared" si="408"/>
        <v>P00</v>
      </c>
      <c r="AG1373" t="str">
        <f t="shared" si="414"/>
        <v>0P00</v>
      </c>
      <c r="AH1373" t="str">
        <f t="shared" si="415"/>
        <v>P000</v>
      </c>
      <c r="AI1373" t="str">
        <f t="shared" si="416"/>
        <v>0P00</v>
      </c>
      <c r="AJ1373" t="str">
        <f t="shared" si="417"/>
        <v>P000</v>
      </c>
    </row>
    <row r="1374" spans="1:36" x14ac:dyDescent="0.25">
      <c r="A1374" s="325" t="str">
        <f>CONCATENATE("P",'906MP'!M1074)</f>
        <v>P</v>
      </c>
      <c r="B1374">
        <f>'906MP'!H1074</f>
        <v>0</v>
      </c>
      <c r="C1374">
        <f>'906MP'!J1074</f>
        <v>0</v>
      </c>
      <c r="D1374">
        <f>'906MP'!P1074</f>
        <v>0</v>
      </c>
      <c r="E1374">
        <f>'906MP'!X1074</f>
        <v>0</v>
      </c>
      <c r="F1374" t="str">
        <f t="shared" si="409"/>
        <v>0</v>
      </c>
      <c r="G1374" t="str">
        <f t="shared" si="410"/>
        <v>0</v>
      </c>
      <c r="H1374">
        <f>'906MP'!Y1074</f>
        <v>0</v>
      </c>
      <c r="I1374">
        <f>'906MP'!AK1074</f>
        <v>0</v>
      </c>
      <c r="J1374">
        <f>'906MP'!T1074</f>
        <v>0</v>
      </c>
      <c r="K1374">
        <f>'906MP'!AJ1074</f>
        <v>0</v>
      </c>
      <c r="L1374">
        <f>'906MP'!U1074</f>
        <v>0</v>
      </c>
      <c r="M1374" s="322" t="str">
        <f>IFERROR(VLOOKUP(A1374,PAR!$D$3:$E$53,2,FALSE),"nincs szervezet")</f>
        <v>nincs szervezet</v>
      </c>
      <c r="N1374" s="322" t="str">
        <f>VLOOKUP(F1374,PAR!$R$3:$S$5,2,FALSE)</f>
        <v>3 - egyik sem</v>
      </c>
      <c r="O1374" t="str">
        <f>IFERROR(VLOOKUP(J1374,PAR!$O$3:$P$5,2,FALSE),"nincs feladat")</f>
        <v>nincs feladat</v>
      </c>
      <c r="P1374" t="str">
        <f>IFERROR(VLOOKUP(G1374,PAR!$J$2:$M$19,4),"nincs rovat")</f>
        <v>nincs rovat</v>
      </c>
      <c r="Q1374" t="str">
        <f>IF(H1374&gt;0,VLOOKUP(H1374,PAR!$AA$3:$AC$187,3,FALSE),"nincs főkönyvi számla")</f>
        <v>nincs főkönyvi számla</v>
      </c>
      <c r="R1374" t="str">
        <f>IFERROR(VLOOKUP(K1374,PAR!$V$3:$X$438,3,FALSE),"000000 - Nincs COFOG")</f>
        <v>000000 - Nincs COFOG</v>
      </c>
      <c r="S1374">
        <f t="shared" si="411"/>
        <v>0</v>
      </c>
      <c r="T1374">
        <f t="shared" si="412"/>
        <v>0</v>
      </c>
      <c r="U1374" t="str">
        <f>IF('906MP'!J1074&gt;0,CONCATENATE('906MP'!J1074," - ",'906MP'!P1074,", ",'906MP'!E1074),"nincs megjegyzés")</f>
        <v>nincs megjegyzés</v>
      </c>
      <c r="V1374" t="str">
        <f t="shared" si="399"/>
        <v>0P0</v>
      </c>
      <c r="W1374" t="str">
        <f t="shared" si="400"/>
        <v>0P0</v>
      </c>
      <c r="X1374" t="str">
        <f t="shared" si="401"/>
        <v>P0</v>
      </c>
      <c r="Y1374" t="str">
        <f t="shared" si="402"/>
        <v>00</v>
      </c>
      <c r="Z1374" t="str">
        <f t="shared" si="413"/>
        <v>00</v>
      </c>
      <c r="AA1374" t="str">
        <f t="shared" si="403"/>
        <v>00</v>
      </c>
      <c r="AB1374" t="str">
        <f t="shared" si="404"/>
        <v>00</v>
      </c>
      <c r="AC1374" t="str">
        <f t="shared" si="405"/>
        <v>0P0</v>
      </c>
      <c r="AD1374" t="str">
        <f t="shared" si="406"/>
        <v>P00</v>
      </c>
      <c r="AE1374" t="str">
        <f t="shared" si="407"/>
        <v>0P0</v>
      </c>
      <c r="AF1374" t="str">
        <f t="shared" si="408"/>
        <v>P00</v>
      </c>
      <c r="AG1374" t="str">
        <f t="shared" si="414"/>
        <v>0P00</v>
      </c>
      <c r="AH1374" t="str">
        <f t="shared" si="415"/>
        <v>P000</v>
      </c>
      <c r="AI1374" t="str">
        <f t="shared" si="416"/>
        <v>0P00</v>
      </c>
      <c r="AJ1374" t="str">
        <f t="shared" si="417"/>
        <v>P000</v>
      </c>
    </row>
    <row r="1375" spans="1:36" x14ac:dyDescent="0.25">
      <c r="A1375" s="325" t="str">
        <f>CONCATENATE("P",'906MP'!M1075)</f>
        <v>P</v>
      </c>
      <c r="B1375">
        <f>'906MP'!H1075</f>
        <v>0</v>
      </c>
      <c r="C1375">
        <f>'906MP'!J1075</f>
        <v>0</v>
      </c>
      <c r="D1375">
        <f>'906MP'!P1075</f>
        <v>0</v>
      </c>
      <c r="E1375">
        <f>'906MP'!X1075</f>
        <v>0</v>
      </c>
      <c r="F1375" t="str">
        <f t="shared" si="409"/>
        <v>0</v>
      </c>
      <c r="G1375" t="str">
        <f t="shared" si="410"/>
        <v>0</v>
      </c>
      <c r="H1375">
        <f>'906MP'!Y1075</f>
        <v>0</v>
      </c>
      <c r="I1375">
        <f>'906MP'!AK1075</f>
        <v>0</v>
      </c>
      <c r="J1375">
        <f>'906MP'!T1075</f>
        <v>0</v>
      </c>
      <c r="K1375">
        <f>'906MP'!AJ1075</f>
        <v>0</v>
      </c>
      <c r="L1375">
        <f>'906MP'!U1075</f>
        <v>0</v>
      </c>
      <c r="M1375" s="322" t="str">
        <f>IFERROR(VLOOKUP(A1375,PAR!$D$3:$E$53,2,FALSE),"nincs szervezet")</f>
        <v>nincs szervezet</v>
      </c>
      <c r="N1375" s="322" t="str">
        <f>VLOOKUP(F1375,PAR!$R$3:$S$5,2,FALSE)</f>
        <v>3 - egyik sem</v>
      </c>
      <c r="O1375" t="str">
        <f>IFERROR(VLOOKUP(J1375,PAR!$O$3:$P$5,2,FALSE),"nincs feladat")</f>
        <v>nincs feladat</v>
      </c>
      <c r="P1375" t="str">
        <f>IFERROR(VLOOKUP(G1375,PAR!$J$2:$M$19,4),"nincs rovat")</f>
        <v>nincs rovat</v>
      </c>
      <c r="Q1375" t="str">
        <f>IF(H1375&gt;0,VLOOKUP(H1375,PAR!$AA$3:$AC$187,3,FALSE),"nincs főkönyvi számla")</f>
        <v>nincs főkönyvi számla</v>
      </c>
      <c r="R1375" t="str">
        <f>IFERROR(VLOOKUP(K1375,PAR!$V$3:$X$438,3,FALSE),"000000 - Nincs COFOG")</f>
        <v>000000 - Nincs COFOG</v>
      </c>
      <c r="S1375">
        <f t="shared" si="411"/>
        <v>0</v>
      </c>
      <c r="T1375">
        <f t="shared" si="412"/>
        <v>0</v>
      </c>
      <c r="U1375" t="str">
        <f>IF('906MP'!J1075&gt;0,CONCATENATE('906MP'!J1075," - ",'906MP'!P1075,", ",'906MP'!E1075),"nincs megjegyzés")</f>
        <v>nincs megjegyzés</v>
      </c>
      <c r="V1375" t="str">
        <f t="shared" si="399"/>
        <v>0P0</v>
      </c>
      <c r="W1375" t="str">
        <f t="shared" si="400"/>
        <v>0P0</v>
      </c>
      <c r="X1375" t="str">
        <f t="shared" si="401"/>
        <v>P0</v>
      </c>
      <c r="Y1375" t="str">
        <f t="shared" si="402"/>
        <v>00</v>
      </c>
      <c r="Z1375" t="str">
        <f t="shared" si="413"/>
        <v>00</v>
      </c>
      <c r="AA1375" t="str">
        <f t="shared" si="403"/>
        <v>00</v>
      </c>
      <c r="AB1375" t="str">
        <f t="shared" si="404"/>
        <v>00</v>
      </c>
      <c r="AC1375" t="str">
        <f t="shared" si="405"/>
        <v>0P0</v>
      </c>
      <c r="AD1375" t="str">
        <f t="shared" si="406"/>
        <v>P00</v>
      </c>
      <c r="AE1375" t="str">
        <f t="shared" si="407"/>
        <v>0P0</v>
      </c>
      <c r="AF1375" t="str">
        <f t="shared" si="408"/>
        <v>P00</v>
      </c>
      <c r="AG1375" t="str">
        <f t="shared" si="414"/>
        <v>0P00</v>
      </c>
      <c r="AH1375" t="str">
        <f t="shared" si="415"/>
        <v>P000</v>
      </c>
      <c r="AI1375" t="str">
        <f t="shared" si="416"/>
        <v>0P00</v>
      </c>
      <c r="AJ1375" t="str">
        <f t="shared" si="417"/>
        <v>P000</v>
      </c>
    </row>
    <row r="1376" spans="1:36" x14ac:dyDescent="0.25">
      <c r="A1376" s="325" t="str">
        <f>CONCATENATE("P",'906MP'!M1076)</f>
        <v>P</v>
      </c>
      <c r="B1376">
        <f>'906MP'!H1076</f>
        <v>0</v>
      </c>
      <c r="C1376">
        <f>'906MP'!J1076</f>
        <v>0</v>
      </c>
      <c r="D1376">
        <f>'906MP'!P1076</f>
        <v>0</v>
      </c>
      <c r="E1376">
        <f>'906MP'!X1076</f>
        <v>0</v>
      </c>
      <c r="F1376" t="str">
        <f t="shared" si="409"/>
        <v>0</v>
      </c>
      <c r="G1376" t="str">
        <f t="shared" si="410"/>
        <v>0</v>
      </c>
      <c r="H1376">
        <f>'906MP'!Y1076</f>
        <v>0</v>
      </c>
      <c r="I1376">
        <f>'906MP'!AK1076</f>
        <v>0</v>
      </c>
      <c r="J1376">
        <f>'906MP'!T1076</f>
        <v>0</v>
      </c>
      <c r="K1376">
        <f>'906MP'!AJ1076</f>
        <v>0</v>
      </c>
      <c r="L1376">
        <f>'906MP'!U1076</f>
        <v>0</v>
      </c>
      <c r="M1376" s="322" t="str">
        <f>IFERROR(VLOOKUP(A1376,PAR!$D$3:$E$53,2,FALSE),"nincs szervezet")</f>
        <v>nincs szervezet</v>
      </c>
      <c r="N1376" s="322" t="str">
        <f>VLOOKUP(F1376,PAR!$R$3:$S$5,2,FALSE)</f>
        <v>3 - egyik sem</v>
      </c>
      <c r="O1376" t="str">
        <f>IFERROR(VLOOKUP(J1376,PAR!$O$3:$P$5,2,FALSE),"nincs feladat")</f>
        <v>nincs feladat</v>
      </c>
      <c r="P1376" t="str">
        <f>IFERROR(VLOOKUP(G1376,PAR!$J$2:$M$19,4),"nincs rovat")</f>
        <v>nincs rovat</v>
      </c>
      <c r="Q1376" t="str">
        <f>IF(H1376&gt;0,VLOOKUP(H1376,PAR!$AA$3:$AC$187,3,FALSE),"nincs főkönyvi számla")</f>
        <v>nincs főkönyvi számla</v>
      </c>
      <c r="R1376" t="str">
        <f>IFERROR(VLOOKUP(K1376,PAR!$V$3:$X$438,3,FALSE),"000000 - Nincs COFOG")</f>
        <v>000000 - Nincs COFOG</v>
      </c>
      <c r="S1376">
        <f t="shared" si="411"/>
        <v>0</v>
      </c>
      <c r="T1376">
        <f t="shared" si="412"/>
        <v>0</v>
      </c>
      <c r="U1376" t="str">
        <f>IF('906MP'!J1076&gt;0,CONCATENATE('906MP'!J1076," - ",'906MP'!P1076,", ",'906MP'!E1076),"nincs megjegyzés")</f>
        <v>nincs megjegyzés</v>
      </c>
      <c r="V1376" t="str">
        <f t="shared" si="399"/>
        <v>0P0</v>
      </c>
      <c r="W1376" t="str">
        <f t="shared" si="400"/>
        <v>0P0</v>
      </c>
      <c r="X1376" t="str">
        <f t="shared" si="401"/>
        <v>P0</v>
      </c>
      <c r="Y1376" t="str">
        <f t="shared" si="402"/>
        <v>00</v>
      </c>
      <c r="Z1376" t="str">
        <f t="shared" si="413"/>
        <v>00</v>
      </c>
      <c r="AA1376" t="str">
        <f t="shared" si="403"/>
        <v>00</v>
      </c>
      <c r="AB1376" t="str">
        <f t="shared" si="404"/>
        <v>00</v>
      </c>
      <c r="AC1376" t="str">
        <f t="shared" si="405"/>
        <v>0P0</v>
      </c>
      <c r="AD1376" t="str">
        <f t="shared" si="406"/>
        <v>P00</v>
      </c>
      <c r="AE1376" t="str">
        <f t="shared" si="407"/>
        <v>0P0</v>
      </c>
      <c r="AF1376" t="str">
        <f t="shared" si="408"/>
        <v>P00</v>
      </c>
      <c r="AG1376" t="str">
        <f t="shared" si="414"/>
        <v>0P00</v>
      </c>
      <c r="AH1376" t="str">
        <f t="shared" si="415"/>
        <v>P000</v>
      </c>
      <c r="AI1376" t="str">
        <f t="shared" si="416"/>
        <v>0P00</v>
      </c>
      <c r="AJ1376" t="str">
        <f t="shared" si="417"/>
        <v>P000</v>
      </c>
    </row>
    <row r="1377" spans="1:36" x14ac:dyDescent="0.25">
      <c r="A1377" s="325" t="str">
        <f>CONCATENATE("P",'906MP'!M1077)</f>
        <v>P</v>
      </c>
      <c r="B1377">
        <f>'906MP'!H1077</f>
        <v>0</v>
      </c>
      <c r="C1377">
        <f>'906MP'!J1077</f>
        <v>0</v>
      </c>
      <c r="D1377">
        <f>'906MP'!P1077</f>
        <v>0</v>
      </c>
      <c r="E1377">
        <f>'906MP'!X1077</f>
        <v>0</v>
      </c>
      <c r="F1377" t="str">
        <f t="shared" si="409"/>
        <v>0</v>
      </c>
      <c r="G1377" t="str">
        <f t="shared" si="410"/>
        <v>0</v>
      </c>
      <c r="H1377">
        <f>'906MP'!Y1077</f>
        <v>0</v>
      </c>
      <c r="I1377">
        <f>'906MP'!AK1077</f>
        <v>0</v>
      </c>
      <c r="J1377">
        <f>'906MP'!T1077</f>
        <v>0</v>
      </c>
      <c r="K1377">
        <f>'906MP'!AJ1077</f>
        <v>0</v>
      </c>
      <c r="L1377">
        <f>'906MP'!U1077</f>
        <v>0</v>
      </c>
      <c r="M1377" s="322" t="str">
        <f>IFERROR(VLOOKUP(A1377,PAR!$D$3:$E$53,2,FALSE),"nincs szervezet")</f>
        <v>nincs szervezet</v>
      </c>
      <c r="N1377" s="322" t="str">
        <f>VLOOKUP(F1377,PAR!$R$3:$S$5,2,FALSE)</f>
        <v>3 - egyik sem</v>
      </c>
      <c r="O1377" t="str">
        <f>IFERROR(VLOOKUP(J1377,PAR!$O$3:$P$5,2,FALSE),"nincs feladat")</f>
        <v>nincs feladat</v>
      </c>
      <c r="P1377" t="str">
        <f>IFERROR(VLOOKUP(G1377,PAR!$J$2:$M$19,4),"nincs rovat")</f>
        <v>nincs rovat</v>
      </c>
      <c r="Q1377" t="str">
        <f>IF(H1377&gt;0,VLOOKUP(H1377,PAR!$AA$3:$AC$187,3,FALSE),"nincs főkönyvi számla")</f>
        <v>nincs főkönyvi számla</v>
      </c>
      <c r="R1377" t="str">
        <f>IFERROR(VLOOKUP(K1377,PAR!$V$3:$X$438,3,FALSE),"000000 - Nincs COFOG")</f>
        <v>000000 - Nincs COFOG</v>
      </c>
      <c r="S1377">
        <f t="shared" si="411"/>
        <v>0</v>
      </c>
      <c r="T1377">
        <f t="shared" si="412"/>
        <v>0</v>
      </c>
      <c r="U1377" t="str">
        <f>IF('906MP'!J1077&gt;0,CONCATENATE('906MP'!J1077," - ",'906MP'!P1077,", ",'906MP'!E1077),"nincs megjegyzés")</f>
        <v>nincs megjegyzés</v>
      </c>
      <c r="V1377" t="str">
        <f t="shared" si="399"/>
        <v>0P0</v>
      </c>
      <c r="W1377" t="str">
        <f t="shared" si="400"/>
        <v>0P0</v>
      </c>
      <c r="X1377" t="str">
        <f t="shared" si="401"/>
        <v>P0</v>
      </c>
      <c r="Y1377" t="str">
        <f t="shared" si="402"/>
        <v>00</v>
      </c>
      <c r="Z1377" t="str">
        <f t="shared" si="413"/>
        <v>00</v>
      </c>
      <c r="AA1377" t="str">
        <f t="shared" si="403"/>
        <v>00</v>
      </c>
      <c r="AB1377" t="str">
        <f t="shared" si="404"/>
        <v>00</v>
      </c>
      <c r="AC1377" t="str">
        <f t="shared" si="405"/>
        <v>0P0</v>
      </c>
      <c r="AD1377" t="str">
        <f t="shared" si="406"/>
        <v>P00</v>
      </c>
      <c r="AE1377" t="str">
        <f t="shared" si="407"/>
        <v>0P0</v>
      </c>
      <c r="AF1377" t="str">
        <f t="shared" si="408"/>
        <v>P00</v>
      </c>
      <c r="AG1377" t="str">
        <f t="shared" si="414"/>
        <v>0P00</v>
      </c>
      <c r="AH1377" t="str">
        <f t="shared" si="415"/>
        <v>P000</v>
      </c>
      <c r="AI1377" t="str">
        <f t="shared" si="416"/>
        <v>0P00</v>
      </c>
      <c r="AJ1377" t="str">
        <f t="shared" si="417"/>
        <v>P000</v>
      </c>
    </row>
    <row r="1378" spans="1:36" x14ac:dyDescent="0.25">
      <c r="A1378" s="325" t="str">
        <f>CONCATENATE("P",'906MP'!M1078)</f>
        <v>P</v>
      </c>
      <c r="B1378">
        <f>'906MP'!H1078</f>
        <v>0</v>
      </c>
      <c r="C1378">
        <f>'906MP'!J1078</f>
        <v>0</v>
      </c>
      <c r="D1378">
        <f>'906MP'!P1078</f>
        <v>0</v>
      </c>
      <c r="E1378">
        <f>'906MP'!X1078</f>
        <v>0</v>
      </c>
      <c r="F1378" t="str">
        <f t="shared" si="409"/>
        <v>0</v>
      </c>
      <c r="G1378" t="str">
        <f t="shared" si="410"/>
        <v>0</v>
      </c>
      <c r="H1378">
        <f>'906MP'!Y1078</f>
        <v>0</v>
      </c>
      <c r="I1378">
        <f>'906MP'!AK1078</f>
        <v>0</v>
      </c>
      <c r="J1378">
        <f>'906MP'!T1078</f>
        <v>0</v>
      </c>
      <c r="K1378">
        <f>'906MP'!AJ1078</f>
        <v>0</v>
      </c>
      <c r="L1378">
        <f>'906MP'!U1078</f>
        <v>0</v>
      </c>
      <c r="M1378" s="322" t="str">
        <f>IFERROR(VLOOKUP(A1378,PAR!$D$3:$E$53,2,FALSE),"nincs szervezet")</f>
        <v>nincs szervezet</v>
      </c>
      <c r="N1378" s="322" t="str">
        <f>VLOOKUP(F1378,PAR!$R$3:$S$5,2,FALSE)</f>
        <v>3 - egyik sem</v>
      </c>
      <c r="O1378" t="str">
        <f>IFERROR(VLOOKUP(J1378,PAR!$O$3:$P$5,2,FALSE),"nincs feladat")</f>
        <v>nincs feladat</v>
      </c>
      <c r="P1378" t="str">
        <f>IFERROR(VLOOKUP(G1378,PAR!$J$2:$M$19,4),"nincs rovat")</f>
        <v>nincs rovat</v>
      </c>
      <c r="Q1378" t="str">
        <f>IF(H1378&gt;0,VLOOKUP(H1378,PAR!$AA$3:$AC$187,3,FALSE),"nincs főkönyvi számla")</f>
        <v>nincs főkönyvi számla</v>
      </c>
      <c r="R1378" t="str">
        <f>IFERROR(VLOOKUP(K1378,PAR!$V$3:$X$438,3,FALSE),"000000 - Nincs COFOG")</f>
        <v>000000 - Nincs COFOG</v>
      </c>
      <c r="S1378">
        <f t="shared" si="411"/>
        <v>0</v>
      </c>
      <c r="T1378">
        <f t="shared" si="412"/>
        <v>0</v>
      </c>
      <c r="U1378" t="str">
        <f>IF('906MP'!J1078&gt;0,CONCATENATE('906MP'!J1078," - ",'906MP'!P1078,", ",'906MP'!E1078),"nincs megjegyzés")</f>
        <v>nincs megjegyzés</v>
      </c>
      <c r="V1378" t="str">
        <f t="shared" si="399"/>
        <v>0P0</v>
      </c>
      <c r="W1378" t="str">
        <f t="shared" si="400"/>
        <v>0P0</v>
      </c>
      <c r="X1378" t="str">
        <f t="shared" si="401"/>
        <v>P0</v>
      </c>
      <c r="Y1378" t="str">
        <f t="shared" si="402"/>
        <v>00</v>
      </c>
      <c r="Z1378" t="str">
        <f t="shared" si="413"/>
        <v>00</v>
      </c>
      <c r="AA1378" t="str">
        <f t="shared" si="403"/>
        <v>00</v>
      </c>
      <c r="AB1378" t="str">
        <f t="shared" si="404"/>
        <v>00</v>
      </c>
      <c r="AC1378" t="str">
        <f t="shared" si="405"/>
        <v>0P0</v>
      </c>
      <c r="AD1378" t="str">
        <f t="shared" si="406"/>
        <v>P00</v>
      </c>
      <c r="AE1378" t="str">
        <f t="shared" si="407"/>
        <v>0P0</v>
      </c>
      <c r="AF1378" t="str">
        <f t="shared" si="408"/>
        <v>P00</v>
      </c>
      <c r="AG1378" t="str">
        <f t="shared" si="414"/>
        <v>0P00</v>
      </c>
      <c r="AH1378" t="str">
        <f t="shared" si="415"/>
        <v>P000</v>
      </c>
      <c r="AI1378" t="str">
        <f t="shared" si="416"/>
        <v>0P00</v>
      </c>
      <c r="AJ1378" t="str">
        <f t="shared" si="417"/>
        <v>P000</v>
      </c>
    </row>
    <row r="1379" spans="1:36" x14ac:dyDescent="0.25">
      <c r="A1379" s="325" t="str">
        <f>CONCATENATE("P",'906MP'!M1079)</f>
        <v>P</v>
      </c>
      <c r="B1379">
        <f>'906MP'!H1079</f>
        <v>0</v>
      </c>
      <c r="C1379">
        <f>'906MP'!J1079</f>
        <v>0</v>
      </c>
      <c r="D1379">
        <f>'906MP'!P1079</f>
        <v>0</v>
      </c>
      <c r="E1379">
        <f>'906MP'!X1079</f>
        <v>0</v>
      </c>
      <c r="F1379" t="str">
        <f t="shared" si="409"/>
        <v>0</v>
      </c>
      <c r="G1379" t="str">
        <f t="shared" si="410"/>
        <v>0</v>
      </c>
      <c r="H1379">
        <f>'906MP'!Y1079</f>
        <v>0</v>
      </c>
      <c r="I1379">
        <f>'906MP'!AK1079</f>
        <v>0</v>
      </c>
      <c r="J1379">
        <f>'906MP'!T1079</f>
        <v>0</v>
      </c>
      <c r="K1379">
        <f>'906MP'!AJ1079</f>
        <v>0</v>
      </c>
      <c r="L1379">
        <f>'906MP'!U1079</f>
        <v>0</v>
      </c>
      <c r="M1379" s="322" t="str">
        <f>IFERROR(VLOOKUP(A1379,PAR!$D$3:$E$53,2,FALSE),"nincs szervezet")</f>
        <v>nincs szervezet</v>
      </c>
      <c r="N1379" s="322" t="str">
        <f>VLOOKUP(F1379,PAR!$R$3:$S$5,2,FALSE)</f>
        <v>3 - egyik sem</v>
      </c>
      <c r="O1379" t="str">
        <f>IFERROR(VLOOKUP(J1379,PAR!$O$3:$P$5,2,FALSE),"nincs feladat")</f>
        <v>nincs feladat</v>
      </c>
      <c r="P1379" t="str">
        <f>IFERROR(VLOOKUP(G1379,PAR!$J$2:$M$19,4),"nincs rovat")</f>
        <v>nincs rovat</v>
      </c>
      <c r="Q1379" t="str">
        <f>IF(H1379&gt;0,VLOOKUP(H1379,PAR!$AA$3:$AC$187,3,FALSE),"nincs főkönyvi számla")</f>
        <v>nincs főkönyvi számla</v>
      </c>
      <c r="R1379" t="str">
        <f>IFERROR(VLOOKUP(K1379,PAR!$V$3:$X$438,3,FALSE),"000000 - Nincs COFOG")</f>
        <v>000000 - Nincs COFOG</v>
      </c>
      <c r="S1379">
        <f t="shared" si="411"/>
        <v>0</v>
      </c>
      <c r="T1379">
        <f t="shared" si="412"/>
        <v>0</v>
      </c>
      <c r="U1379" t="str">
        <f>IF('906MP'!J1079&gt;0,CONCATENATE('906MP'!J1079," - ",'906MP'!P1079,", ",'906MP'!E1079),"nincs megjegyzés")</f>
        <v>nincs megjegyzés</v>
      </c>
      <c r="V1379" t="str">
        <f t="shared" si="399"/>
        <v>0P0</v>
      </c>
      <c r="W1379" t="str">
        <f t="shared" si="400"/>
        <v>0P0</v>
      </c>
      <c r="X1379" t="str">
        <f t="shared" si="401"/>
        <v>P0</v>
      </c>
      <c r="Y1379" t="str">
        <f t="shared" si="402"/>
        <v>00</v>
      </c>
      <c r="Z1379" t="str">
        <f t="shared" si="413"/>
        <v>00</v>
      </c>
      <c r="AA1379" t="str">
        <f t="shared" si="403"/>
        <v>00</v>
      </c>
      <c r="AB1379" t="str">
        <f t="shared" si="404"/>
        <v>00</v>
      </c>
      <c r="AC1379" t="str">
        <f t="shared" si="405"/>
        <v>0P0</v>
      </c>
      <c r="AD1379" t="str">
        <f t="shared" si="406"/>
        <v>P00</v>
      </c>
      <c r="AE1379" t="str">
        <f t="shared" si="407"/>
        <v>0P0</v>
      </c>
      <c r="AF1379" t="str">
        <f t="shared" si="408"/>
        <v>P00</v>
      </c>
      <c r="AG1379" t="str">
        <f t="shared" si="414"/>
        <v>0P00</v>
      </c>
      <c r="AH1379" t="str">
        <f t="shared" si="415"/>
        <v>P000</v>
      </c>
      <c r="AI1379" t="str">
        <f t="shared" si="416"/>
        <v>0P00</v>
      </c>
      <c r="AJ1379" t="str">
        <f t="shared" si="417"/>
        <v>P000</v>
      </c>
    </row>
    <row r="1380" spans="1:36" x14ac:dyDescent="0.25">
      <c r="A1380" s="325" t="str">
        <f>CONCATENATE("P",'906MP'!M1080)</f>
        <v>P</v>
      </c>
      <c r="B1380">
        <f>'906MP'!H1080</f>
        <v>0</v>
      </c>
      <c r="C1380">
        <f>'906MP'!J1080</f>
        <v>0</v>
      </c>
      <c r="D1380">
        <f>'906MP'!P1080</f>
        <v>0</v>
      </c>
      <c r="E1380">
        <f>'906MP'!X1080</f>
        <v>0</v>
      </c>
      <c r="F1380" t="str">
        <f t="shared" si="409"/>
        <v>0</v>
      </c>
      <c r="G1380" t="str">
        <f t="shared" si="410"/>
        <v>0</v>
      </c>
      <c r="H1380">
        <f>'906MP'!Y1080</f>
        <v>0</v>
      </c>
      <c r="I1380">
        <f>'906MP'!AK1080</f>
        <v>0</v>
      </c>
      <c r="J1380">
        <f>'906MP'!T1080</f>
        <v>0</v>
      </c>
      <c r="K1380">
        <f>'906MP'!AJ1080</f>
        <v>0</v>
      </c>
      <c r="L1380">
        <f>'906MP'!U1080</f>
        <v>0</v>
      </c>
      <c r="M1380" s="322" t="str">
        <f>IFERROR(VLOOKUP(A1380,PAR!$D$3:$E$53,2,FALSE),"nincs szervezet")</f>
        <v>nincs szervezet</v>
      </c>
      <c r="N1380" s="322" t="str">
        <f>VLOOKUP(F1380,PAR!$R$3:$S$5,2,FALSE)</f>
        <v>3 - egyik sem</v>
      </c>
      <c r="O1380" t="str">
        <f>IFERROR(VLOOKUP(J1380,PAR!$O$3:$P$5,2,FALSE),"nincs feladat")</f>
        <v>nincs feladat</v>
      </c>
      <c r="P1380" t="str">
        <f>IFERROR(VLOOKUP(G1380,PAR!$J$2:$M$19,4),"nincs rovat")</f>
        <v>nincs rovat</v>
      </c>
      <c r="Q1380" t="str">
        <f>IF(H1380&gt;0,VLOOKUP(H1380,PAR!$AA$3:$AC$187,3,FALSE),"nincs főkönyvi számla")</f>
        <v>nincs főkönyvi számla</v>
      </c>
      <c r="R1380" t="str">
        <f>IFERROR(VLOOKUP(K1380,PAR!$V$3:$X$438,3,FALSE),"000000 - Nincs COFOG")</f>
        <v>000000 - Nincs COFOG</v>
      </c>
      <c r="S1380">
        <f t="shared" si="411"/>
        <v>0</v>
      </c>
      <c r="T1380">
        <f t="shared" si="412"/>
        <v>0</v>
      </c>
      <c r="U1380" t="str">
        <f>IF('906MP'!J1080&gt;0,CONCATENATE('906MP'!J1080," - ",'906MP'!P1080,", ",'906MP'!E1080),"nincs megjegyzés")</f>
        <v>nincs megjegyzés</v>
      </c>
      <c r="V1380" t="str">
        <f t="shared" si="399"/>
        <v>0P0</v>
      </c>
      <c r="W1380" t="str">
        <f t="shared" si="400"/>
        <v>0P0</v>
      </c>
      <c r="X1380" t="str">
        <f t="shared" si="401"/>
        <v>P0</v>
      </c>
      <c r="Y1380" t="str">
        <f t="shared" si="402"/>
        <v>00</v>
      </c>
      <c r="Z1380" t="str">
        <f t="shared" si="413"/>
        <v>00</v>
      </c>
      <c r="AA1380" t="str">
        <f t="shared" si="403"/>
        <v>00</v>
      </c>
      <c r="AB1380" t="str">
        <f t="shared" si="404"/>
        <v>00</v>
      </c>
      <c r="AC1380" t="str">
        <f t="shared" si="405"/>
        <v>0P0</v>
      </c>
      <c r="AD1380" t="str">
        <f t="shared" si="406"/>
        <v>P00</v>
      </c>
      <c r="AE1380" t="str">
        <f t="shared" si="407"/>
        <v>0P0</v>
      </c>
      <c r="AF1380" t="str">
        <f t="shared" si="408"/>
        <v>P00</v>
      </c>
      <c r="AG1380" t="str">
        <f t="shared" si="414"/>
        <v>0P00</v>
      </c>
      <c r="AH1380" t="str">
        <f t="shared" si="415"/>
        <v>P000</v>
      </c>
      <c r="AI1380" t="str">
        <f t="shared" si="416"/>
        <v>0P00</v>
      </c>
      <c r="AJ1380" t="str">
        <f t="shared" si="417"/>
        <v>P000</v>
      </c>
    </row>
    <row r="1381" spans="1:36" x14ac:dyDescent="0.25">
      <c r="A1381" s="325" t="str">
        <f>CONCATENATE("P",'906MP'!M1081)</f>
        <v>P</v>
      </c>
      <c r="B1381">
        <f>'906MP'!H1081</f>
        <v>0</v>
      </c>
      <c r="C1381">
        <f>'906MP'!J1081</f>
        <v>0</v>
      </c>
      <c r="D1381">
        <f>'906MP'!P1081</f>
        <v>0</v>
      </c>
      <c r="E1381">
        <f>'906MP'!X1081</f>
        <v>0</v>
      </c>
      <c r="F1381" t="str">
        <f t="shared" si="409"/>
        <v>0</v>
      </c>
      <c r="G1381" t="str">
        <f t="shared" si="410"/>
        <v>0</v>
      </c>
      <c r="H1381">
        <f>'906MP'!Y1081</f>
        <v>0</v>
      </c>
      <c r="I1381">
        <f>'906MP'!AK1081</f>
        <v>0</v>
      </c>
      <c r="J1381">
        <f>'906MP'!T1081</f>
        <v>0</v>
      </c>
      <c r="K1381">
        <f>'906MP'!AJ1081</f>
        <v>0</v>
      </c>
      <c r="L1381">
        <f>'906MP'!U1081</f>
        <v>0</v>
      </c>
      <c r="M1381" s="322" t="str">
        <f>IFERROR(VLOOKUP(A1381,PAR!$D$3:$E$53,2,FALSE),"nincs szervezet")</f>
        <v>nincs szervezet</v>
      </c>
      <c r="N1381" s="322" t="str">
        <f>VLOOKUP(F1381,PAR!$R$3:$S$5,2,FALSE)</f>
        <v>3 - egyik sem</v>
      </c>
      <c r="O1381" t="str">
        <f>IFERROR(VLOOKUP(J1381,PAR!$O$3:$P$5,2,FALSE),"nincs feladat")</f>
        <v>nincs feladat</v>
      </c>
      <c r="P1381" t="str">
        <f>IFERROR(VLOOKUP(G1381,PAR!$J$2:$M$19,4),"nincs rovat")</f>
        <v>nincs rovat</v>
      </c>
      <c r="Q1381" t="str">
        <f>IF(H1381&gt;0,VLOOKUP(H1381,PAR!$AA$3:$AC$187,3,FALSE),"nincs főkönyvi számla")</f>
        <v>nincs főkönyvi számla</v>
      </c>
      <c r="R1381" t="str">
        <f>IFERROR(VLOOKUP(K1381,PAR!$V$3:$X$438,3,FALSE),"000000 - Nincs COFOG")</f>
        <v>000000 - Nincs COFOG</v>
      </c>
      <c r="S1381">
        <f t="shared" si="411"/>
        <v>0</v>
      </c>
      <c r="T1381">
        <f t="shared" si="412"/>
        <v>0</v>
      </c>
      <c r="U1381" t="str">
        <f>IF('906MP'!J1081&gt;0,CONCATENATE('906MP'!J1081," - ",'906MP'!P1081,", ",'906MP'!E1081),"nincs megjegyzés")</f>
        <v>nincs megjegyzés</v>
      </c>
      <c r="V1381" t="str">
        <f t="shared" si="399"/>
        <v>0P0</v>
      </c>
      <c r="W1381" t="str">
        <f t="shared" si="400"/>
        <v>0P0</v>
      </c>
      <c r="X1381" t="str">
        <f t="shared" si="401"/>
        <v>P0</v>
      </c>
      <c r="Y1381" t="str">
        <f t="shared" si="402"/>
        <v>00</v>
      </c>
      <c r="Z1381" t="str">
        <f t="shared" si="413"/>
        <v>00</v>
      </c>
      <c r="AA1381" t="str">
        <f t="shared" si="403"/>
        <v>00</v>
      </c>
      <c r="AB1381" t="str">
        <f t="shared" si="404"/>
        <v>00</v>
      </c>
      <c r="AC1381" t="str">
        <f t="shared" si="405"/>
        <v>0P0</v>
      </c>
      <c r="AD1381" t="str">
        <f t="shared" si="406"/>
        <v>P00</v>
      </c>
      <c r="AE1381" t="str">
        <f t="shared" si="407"/>
        <v>0P0</v>
      </c>
      <c r="AF1381" t="str">
        <f t="shared" si="408"/>
        <v>P00</v>
      </c>
      <c r="AG1381" t="str">
        <f t="shared" si="414"/>
        <v>0P00</v>
      </c>
      <c r="AH1381" t="str">
        <f t="shared" si="415"/>
        <v>P000</v>
      </c>
      <c r="AI1381" t="str">
        <f t="shared" si="416"/>
        <v>0P00</v>
      </c>
      <c r="AJ1381" t="str">
        <f t="shared" si="417"/>
        <v>P000</v>
      </c>
    </row>
    <row r="1382" spans="1:36" x14ac:dyDescent="0.25">
      <c r="A1382" s="325" t="str">
        <f>CONCATENATE("P",'906MP'!M1082)</f>
        <v>P</v>
      </c>
      <c r="B1382">
        <f>'906MP'!H1082</f>
        <v>0</v>
      </c>
      <c r="C1382">
        <f>'906MP'!J1082</f>
        <v>0</v>
      </c>
      <c r="D1382">
        <f>'906MP'!P1082</f>
        <v>0</v>
      </c>
      <c r="E1382">
        <f>'906MP'!X1082</f>
        <v>0</v>
      </c>
      <c r="F1382" t="str">
        <f t="shared" si="409"/>
        <v>0</v>
      </c>
      <c r="G1382" t="str">
        <f t="shared" si="410"/>
        <v>0</v>
      </c>
      <c r="H1382">
        <f>'906MP'!Y1082</f>
        <v>0</v>
      </c>
      <c r="I1382">
        <f>'906MP'!AK1082</f>
        <v>0</v>
      </c>
      <c r="J1382">
        <f>'906MP'!T1082</f>
        <v>0</v>
      </c>
      <c r="K1382">
        <f>'906MP'!AJ1082</f>
        <v>0</v>
      </c>
      <c r="L1382">
        <f>'906MP'!U1082</f>
        <v>0</v>
      </c>
      <c r="M1382" s="322" t="str">
        <f>IFERROR(VLOOKUP(A1382,PAR!$D$3:$E$53,2,FALSE),"nincs szervezet")</f>
        <v>nincs szervezet</v>
      </c>
      <c r="N1382" s="322" t="str">
        <f>VLOOKUP(F1382,PAR!$R$3:$S$5,2,FALSE)</f>
        <v>3 - egyik sem</v>
      </c>
      <c r="O1382" t="str">
        <f>IFERROR(VLOOKUP(J1382,PAR!$O$3:$P$5,2,FALSE),"nincs feladat")</f>
        <v>nincs feladat</v>
      </c>
      <c r="P1382" t="str">
        <f>IFERROR(VLOOKUP(G1382,PAR!$J$2:$M$19,4),"nincs rovat")</f>
        <v>nincs rovat</v>
      </c>
      <c r="Q1382" t="str">
        <f>IF(H1382&gt;0,VLOOKUP(H1382,PAR!$AA$3:$AC$187,3,FALSE),"nincs főkönyvi számla")</f>
        <v>nincs főkönyvi számla</v>
      </c>
      <c r="R1382" t="str">
        <f>IFERROR(VLOOKUP(K1382,PAR!$V$3:$X$438,3,FALSE),"000000 - Nincs COFOG")</f>
        <v>000000 - Nincs COFOG</v>
      </c>
      <c r="S1382">
        <f t="shared" si="411"/>
        <v>0</v>
      </c>
      <c r="T1382">
        <f t="shared" si="412"/>
        <v>0</v>
      </c>
      <c r="U1382" t="str">
        <f>IF('906MP'!J1082&gt;0,CONCATENATE('906MP'!J1082," - ",'906MP'!P1082,", ",'906MP'!E1082),"nincs megjegyzés")</f>
        <v>nincs megjegyzés</v>
      </c>
      <c r="V1382" t="str">
        <f t="shared" si="399"/>
        <v>0P0</v>
      </c>
      <c r="W1382" t="str">
        <f t="shared" si="400"/>
        <v>0P0</v>
      </c>
      <c r="X1382" t="str">
        <f t="shared" si="401"/>
        <v>P0</v>
      </c>
      <c r="Y1382" t="str">
        <f t="shared" si="402"/>
        <v>00</v>
      </c>
      <c r="Z1382" t="str">
        <f t="shared" si="413"/>
        <v>00</v>
      </c>
      <c r="AA1382" t="str">
        <f t="shared" si="403"/>
        <v>00</v>
      </c>
      <c r="AB1382" t="str">
        <f t="shared" si="404"/>
        <v>00</v>
      </c>
      <c r="AC1382" t="str">
        <f t="shared" si="405"/>
        <v>0P0</v>
      </c>
      <c r="AD1382" t="str">
        <f t="shared" si="406"/>
        <v>P00</v>
      </c>
      <c r="AE1382" t="str">
        <f t="shared" si="407"/>
        <v>0P0</v>
      </c>
      <c r="AF1382" t="str">
        <f t="shared" si="408"/>
        <v>P00</v>
      </c>
      <c r="AG1382" t="str">
        <f t="shared" si="414"/>
        <v>0P00</v>
      </c>
      <c r="AH1382" t="str">
        <f t="shared" si="415"/>
        <v>P000</v>
      </c>
      <c r="AI1382" t="str">
        <f t="shared" si="416"/>
        <v>0P00</v>
      </c>
      <c r="AJ1382" t="str">
        <f t="shared" si="417"/>
        <v>P000</v>
      </c>
    </row>
    <row r="1383" spans="1:36" x14ac:dyDescent="0.25">
      <c r="A1383" s="325" t="str">
        <f>CONCATENATE("P",'906MP'!M1083)</f>
        <v>P</v>
      </c>
      <c r="B1383">
        <f>'906MP'!H1083</f>
        <v>0</v>
      </c>
      <c r="C1383">
        <f>'906MP'!J1083</f>
        <v>0</v>
      </c>
      <c r="D1383">
        <f>'906MP'!P1083</f>
        <v>0</v>
      </c>
      <c r="E1383">
        <f>'906MP'!X1083</f>
        <v>0</v>
      </c>
      <c r="F1383" t="str">
        <f t="shared" si="409"/>
        <v>0</v>
      </c>
      <c r="G1383" t="str">
        <f t="shared" si="410"/>
        <v>0</v>
      </c>
      <c r="H1383">
        <f>'906MP'!Y1083</f>
        <v>0</v>
      </c>
      <c r="I1383">
        <f>'906MP'!AK1083</f>
        <v>0</v>
      </c>
      <c r="J1383">
        <f>'906MP'!T1083</f>
        <v>0</v>
      </c>
      <c r="K1383">
        <f>'906MP'!AJ1083</f>
        <v>0</v>
      </c>
      <c r="L1383">
        <f>'906MP'!U1083</f>
        <v>0</v>
      </c>
      <c r="M1383" s="322" t="str">
        <f>IFERROR(VLOOKUP(A1383,PAR!$D$3:$E$53,2,FALSE),"nincs szervezet")</f>
        <v>nincs szervezet</v>
      </c>
      <c r="N1383" s="322" t="str">
        <f>VLOOKUP(F1383,PAR!$R$3:$S$5,2,FALSE)</f>
        <v>3 - egyik sem</v>
      </c>
      <c r="O1383" t="str">
        <f>IFERROR(VLOOKUP(J1383,PAR!$O$3:$P$5,2,FALSE),"nincs feladat")</f>
        <v>nincs feladat</v>
      </c>
      <c r="P1383" t="str">
        <f>IFERROR(VLOOKUP(G1383,PAR!$J$2:$M$19,4),"nincs rovat")</f>
        <v>nincs rovat</v>
      </c>
      <c r="Q1383" t="str">
        <f>IF(H1383&gt;0,VLOOKUP(H1383,PAR!$AA$3:$AC$187,3,FALSE),"nincs főkönyvi számla")</f>
        <v>nincs főkönyvi számla</v>
      </c>
      <c r="R1383" t="str">
        <f>IFERROR(VLOOKUP(K1383,PAR!$V$3:$X$438,3,FALSE),"000000 - Nincs COFOG")</f>
        <v>000000 - Nincs COFOG</v>
      </c>
      <c r="S1383">
        <f t="shared" si="411"/>
        <v>0</v>
      </c>
      <c r="T1383">
        <f t="shared" si="412"/>
        <v>0</v>
      </c>
      <c r="U1383" t="str">
        <f>IF('906MP'!J1083&gt;0,CONCATENATE('906MP'!J1083," - ",'906MP'!P1083,", ",'906MP'!E1083),"nincs megjegyzés")</f>
        <v>nincs megjegyzés</v>
      </c>
      <c r="V1383" t="str">
        <f t="shared" si="399"/>
        <v>0P0</v>
      </c>
      <c r="W1383" t="str">
        <f t="shared" si="400"/>
        <v>0P0</v>
      </c>
      <c r="X1383" t="str">
        <f t="shared" si="401"/>
        <v>P0</v>
      </c>
      <c r="Y1383" t="str">
        <f t="shared" si="402"/>
        <v>00</v>
      </c>
      <c r="Z1383" t="str">
        <f t="shared" si="413"/>
        <v>00</v>
      </c>
      <c r="AA1383" t="str">
        <f t="shared" si="403"/>
        <v>00</v>
      </c>
      <c r="AB1383" t="str">
        <f t="shared" si="404"/>
        <v>00</v>
      </c>
      <c r="AC1383" t="str">
        <f t="shared" si="405"/>
        <v>0P0</v>
      </c>
      <c r="AD1383" t="str">
        <f t="shared" si="406"/>
        <v>P00</v>
      </c>
      <c r="AE1383" t="str">
        <f t="shared" si="407"/>
        <v>0P0</v>
      </c>
      <c r="AF1383" t="str">
        <f t="shared" si="408"/>
        <v>P00</v>
      </c>
      <c r="AG1383" t="str">
        <f t="shared" si="414"/>
        <v>0P00</v>
      </c>
      <c r="AH1383" t="str">
        <f t="shared" si="415"/>
        <v>P000</v>
      </c>
      <c r="AI1383" t="str">
        <f t="shared" si="416"/>
        <v>0P00</v>
      </c>
      <c r="AJ1383" t="str">
        <f t="shared" si="417"/>
        <v>P000</v>
      </c>
    </row>
    <row r="1384" spans="1:36" x14ac:dyDescent="0.25">
      <c r="A1384" s="325" t="str">
        <f>CONCATENATE("P",'906MP'!M1084)</f>
        <v>P</v>
      </c>
      <c r="B1384">
        <f>'906MP'!H1084</f>
        <v>0</v>
      </c>
      <c r="C1384">
        <f>'906MP'!J1084</f>
        <v>0</v>
      </c>
      <c r="D1384">
        <f>'906MP'!P1084</f>
        <v>0</v>
      </c>
      <c r="E1384">
        <f>'906MP'!X1084</f>
        <v>0</v>
      </c>
      <c r="F1384" t="str">
        <f t="shared" si="409"/>
        <v>0</v>
      </c>
      <c r="G1384" t="str">
        <f t="shared" si="410"/>
        <v>0</v>
      </c>
      <c r="H1384">
        <f>'906MP'!Y1084</f>
        <v>0</v>
      </c>
      <c r="I1384">
        <f>'906MP'!AK1084</f>
        <v>0</v>
      </c>
      <c r="J1384">
        <f>'906MP'!T1084</f>
        <v>0</v>
      </c>
      <c r="K1384">
        <f>'906MP'!AJ1084</f>
        <v>0</v>
      </c>
      <c r="L1384">
        <f>'906MP'!U1084</f>
        <v>0</v>
      </c>
      <c r="M1384" s="322" t="str">
        <f>IFERROR(VLOOKUP(A1384,PAR!$D$3:$E$53,2,FALSE),"nincs szervezet")</f>
        <v>nincs szervezet</v>
      </c>
      <c r="N1384" s="322" t="str">
        <f>VLOOKUP(F1384,PAR!$R$3:$S$5,2,FALSE)</f>
        <v>3 - egyik sem</v>
      </c>
      <c r="O1384" t="str">
        <f>IFERROR(VLOOKUP(J1384,PAR!$O$3:$P$5,2,FALSE),"nincs feladat")</f>
        <v>nincs feladat</v>
      </c>
      <c r="P1384" t="str">
        <f>IFERROR(VLOOKUP(G1384,PAR!$J$2:$M$19,4),"nincs rovat")</f>
        <v>nincs rovat</v>
      </c>
      <c r="Q1384" t="str">
        <f>IF(H1384&gt;0,VLOOKUP(H1384,PAR!$AA$3:$AC$187,3,FALSE),"nincs főkönyvi számla")</f>
        <v>nincs főkönyvi számla</v>
      </c>
      <c r="R1384" t="str">
        <f>IFERROR(VLOOKUP(K1384,PAR!$V$3:$X$438,3,FALSE),"000000 - Nincs COFOG")</f>
        <v>000000 - Nincs COFOG</v>
      </c>
      <c r="S1384">
        <f t="shared" si="411"/>
        <v>0</v>
      </c>
      <c r="T1384">
        <f t="shared" si="412"/>
        <v>0</v>
      </c>
      <c r="U1384" t="str">
        <f>IF('906MP'!J1084&gt;0,CONCATENATE('906MP'!J1084," - ",'906MP'!P1084,", ",'906MP'!E1084),"nincs megjegyzés")</f>
        <v>nincs megjegyzés</v>
      </c>
      <c r="V1384" t="str">
        <f t="shared" si="399"/>
        <v>0P0</v>
      </c>
      <c r="W1384" t="str">
        <f t="shared" si="400"/>
        <v>0P0</v>
      </c>
      <c r="X1384" t="str">
        <f t="shared" si="401"/>
        <v>P0</v>
      </c>
      <c r="Y1384" t="str">
        <f t="shared" si="402"/>
        <v>00</v>
      </c>
      <c r="Z1384" t="str">
        <f t="shared" si="413"/>
        <v>00</v>
      </c>
      <c r="AA1384" t="str">
        <f t="shared" si="403"/>
        <v>00</v>
      </c>
      <c r="AB1384" t="str">
        <f t="shared" si="404"/>
        <v>00</v>
      </c>
      <c r="AC1384" t="str">
        <f t="shared" si="405"/>
        <v>0P0</v>
      </c>
      <c r="AD1384" t="str">
        <f t="shared" si="406"/>
        <v>P00</v>
      </c>
      <c r="AE1384" t="str">
        <f t="shared" si="407"/>
        <v>0P0</v>
      </c>
      <c r="AF1384" t="str">
        <f t="shared" si="408"/>
        <v>P00</v>
      </c>
      <c r="AG1384" t="str">
        <f t="shared" si="414"/>
        <v>0P00</v>
      </c>
      <c r="AH1384" t="str">
        <f t="shared" si="415"/>
        <v>P000</v>
      </c>
      <c r="AI1384" t="str">
        <f t="shared" si="416"/>
        <v>0P00</v>
      </c>
      <c r="AJ1384" t="str">
        <f t="shared" si="417"/>
        <v>P000</v>
      </c>
    </row>
    <row r="1385" spans="1:36" x14ac:dyDescent="0.25">
      <c r="A1385" s="325" t="str">
        <f>CONCATENATE("P",'906MP'!M1085)</f>
        <v>P</v>
      </c>
      <c r="B1385">
        <f>'906MP'!H1085</f>
        <v>0</v>
      </c>
      <c r="C1385">
        <f>'906MP'!J1085</f>
        <v>0</v>
      </c>
      <c r="D1385">
        <f>'906MP'!P1085</f>
        <v>0</v>
      </c>
      <c r="E1385">
        <f>'906MP'!X1085</f>
        <v>0</v>
      </c>
      <c r="F1385" t="str">
        <f t="shared" si="409"/>
        <v>0</v>
      </c>
      <c r="G1385" t="str">
        <f t="shared" si="410"/>
        <v>0</v>
      </c>
      <c r="H1385">
        <f>'906MP'!Y1085</f>
        <v>0</v>
      </c>
      <c r="I1385">
        <f>'906MP'!AK1085</f>
        <v>0</v>
      </c>
      <c r="J1385">
        <f>'906MP'!T1085</f>
        <v>0</v>
      </c>
      <c r="K1385">
        <f>'906MP'!AJ1085</f>
        <v>0</v>
      </c>
      <c r="L1385">
        <f>'906MP'!U1085</f>
        <v>0</v>
      </c>
      <c r="M1385" s="322" t="str">
        <f>IFERROR(VLOOKUP(A1385,PAR!$D$3:$E$53,2,FALSE),"nincs szervezet")</f>
        <v>nincs szervezet</v>
      </c>
      <c r="N1385" s="322" t="str">
        <f>VLOOKUP(F1385,PAR!$R$3:$S$5,2,FALSE)</f>
        <v>3 - egyik sem</v>
      </c>
      <c r="O1385" t="str">
        <f>IFERROR(VLOOKUP(J1385,PAR!$O$3:$P$5,2,FALSE),"nincs feladat")</f>
        <v>nincs feladat</v>
      </c>
      <c r="P1385" t="str">
        <f>IFERROR(VLOOKUP(G1385,PAR!$J$2:$M$19,4),"nincs rovat")</f>
        <v>nincs rovat</v>
      </c>
      <c r="Q1385" t="str">
        <f>IF(H1385&gt;0,VLOOKUP(H1385,PAR!$AA$3:$AC$187,3,FALSE),"nincs főkönyvi számla")</f>
        <v>nincs főkönyvi számla</v>
      </c>
      <c r="R1385" t="str">
        <f>IFERROR(VLOOKUP(K1385,PAR!$V$3:$X$438,3,FALSE),"000000 - Nincs COFOG")</f>
        <v>000000 - Nincs COFOG</v>
      </c>
      <c r="S1385">
        <f t="shared" si="411"/>
        <v>0</v>
      </c>
      <c r="T1385">
        <f t="shared" si="412"/>
        <v>0</v>
      </c>
      <c r="U1385" t="str">
        <f>IF('906MP'!J1085&gt;0,CONCATENATE('906MP'!J1085," - ",'906MP'!P1085,", ",'906MP'!E1085),"nincs megjegyzés")</f>
        <v>nincs megjegyzés</v>
      </c>
      <c r="V1385" t="str">
        <f t="shared" si="399"/>
        <v>0P0</v>
      </c>
      <c r="W1385" t="str">
        <f t="shared" si="400"/>
        <v>0P0</v>
      </c>
      <c r="X1385" t="str">
        <f t="shared" si="401"/>
        <v>P0</v>
      </c>
      <c r="Y1385" t="str">
        <f t="shared" si="402"/>
        <v>00</v>
      </c>
      <c r="Z1385" t="str">
        <f t="shared" si="413"/>
        <v>00</v>
      </c>
      <c r="AA1385" t="str">
        <f t="shared" si="403"/>
        <v>00</v>
      </c>
      <c r="AB1385" t="str">
        <f t="shared" si="404"/>
        <v>00</v>
      </c>
      <c r="AC1385" t="str">
        <f t="shared" si="405"/>
        <v>0P0</v>
      </c>
      <c r="AD1385" t="str">
        <f t="shared" si="406"/>
        <v>P00</v>
      </c>
      <c r="AE1385" t="str">
        <f t="shared" si="407"/>
        <v>0P0</v>
      </c>
      <c r="AF1385" t="str">
        <f t="shared" si="408"/>
        <v>P00</v>
      </c>
      <c r="AG1385" t="str">
        <f t="shared" si="414"/>
        <v>0P00</v>
      </c>
      <c r="AH1385" t="str">
        <f t="shared" si="415"/>
        <v>P000</v>
      </c>
      <c r="AI1385" t="str">
        <f t="shared" si="416"/>
        <v>0P00</v>
      </c>
      <c r="AJ1385" t="str">
        <f t="shared" si="417"/>
        <v>P000</v>
      </c>
    </row>
    <row r="1386" spans="1:36" x14ac:dyDescent="0.25">
      <c r="A1386" s="325" t="str">
        <f>CONCATENATE("P",'906MP'!M1086)</f>
        <v>P</v>
      </c>
      <c r="B1386">
        <f>'906MP'!H1086</f>
        <v>0</v>
      </c>
      <c r="C1386">
        <f>'906MP'!J1086</f>
        <v>0</v>
      </c>
      <c r="D1386">
        <f>'906MP'!P1086</f>
        <v>0</v>
      </c>
      <c r="E1386">
        <f>'906MP'!X1086</f>
        <v>0</v>
      </c>
      <c r="F1386" t="str">
        <f t="shared" si="409"/>
        <v>0</v>
      </c>
      <c r="G1386" t="str">
        <f t="shared" si="410"/>
        <v>0</v>
      </c>
      <c r="H1386">
        <f>'906MP'!Y1086</f>
        <v>0</v>
      </c>
      <c r="I1386">
        <f>'906MP'!AK1086</f>
        <v>0</v>
      </c>
      <c r="J1386">
        <f>'906MP'!T1086</f>
        <v>0</v>
      </c>
      <c r="K1386">
        <f>'906MP'!AJ1086</f>
        <v>0</v>
      </c>
      <c r="L1386">
        <f>'906MP'!U1086</f>
        <v>0</v>
      </c>
      <c r="M1386" s="322" t="str">
        <f>IFERROR(VLOOKUP(A1386,PAR!$D$3:$E$53,2,FALSE),"nincs szervezet")</f>
        <v>nincs szervezet</v>
      </c>
      <c r="N1386" s="322" t="str">
        <f>VLOOKUP(F1386,PAR!$R$3:$S$5,2,FALSE)</f>
        <v>3 - egyik sem</v>
      </c>
      <c r="O1386" t="str">
        <f>IFERROR(VLOOKUP(J1386,PAR!$O$3:$P$5,2,FALSE),"nincs feladat")</f>
        <v>nincs feladat</v>
      </c>
      <c r="P1386" t="str">
        <f>IFERROR(VLOOKUP(G1386,PAR!$J$2:$M$19,4),"nincs rovat")</f>
        <v>nincs rovat</v>
      </c>
      <c r="Q1386" t="str">
        <f>IF(H1386&gt;0,VLOOKUP(H1386,PAR!$AA$3:$AC$187,3,FALSE),"nincs főkönyvi számla")</f>
        <v>nincs főkönyvi számla</v>
      </c>
      <c r="R1386" t="str">
        <f>IFERROR(VLOOKUP(K1386,PAR!$V$3:$X$438,3,FALSE),"000000 - Nincs COFOG")</f>
        <v>000000 - Nincs COFOG</v>
      </c>
      <c r="S1386">
        <f t="shared" si="411"/>
        <v>0</v>
      </c>
      <c r="T1386">
        <f t="shared" si="412"/>
        <v>0</v>
      </c>
      <c r="U1386" t="str">
        <f>IF('906MP'!J1086&gt;0,CONCATENATE('906MP'!J1086," - ",'906MP'!P1086,", ",'906MP'!E1086),"nincs megjegyzés")</f>
        <v>nincs megjegyzés</v>
      </c>
      <c r="V1386" t="str">
        <f t="shared" si="399"/>
        <v>0P0</v>
      </c>
      <c r="W1386" t="str">
        <f t="shared" si="400"/>
        <v>0P0</v>
      </c>
      <c r="X1386" t="str">
        <f t="shared" si="401"/>
        <v>P0</v>
      </c>
      <c r="Y1386" t="str">
        <f t="shared" si="402"/>
        <v>00</v>
      </c>
      <c r="Z1386" t="str">
        <f t="shared" si="413"/>
        <v>00</v>
      </c>
      <c r="AA1386" t="str">
        <f t="shared" si="403"/>
        <v>00</v>
      </c>
      <c r="AB1386" t="str">
        <f t="shared" si="404"/>
        <v>00</v>
      </c>
      <c r="AC1386" t="str">
        <f t="shared" si="405"/>
        <v>0P0</v>
      </c>
      <c r="AD1386" t="str">
        <f t="shared" si="406"/>
        <v>P00</v>
      </c>
      <c r="AE1386" t="str">
        <f t="shared" si="407"/>
        <v>0P0</v>
      </c>
      <c r="AF1386" t="str">
        <f t="shared" si="408"/>
        <v>P00</v>
      </c>
      <c r="AG1386" t="str">
        <f t="shared" si="414"/>
        <v>0P00</v>
      </c>
      <c r="AH1386" t="str">
        <f t="shared" si="415"/>
        <v>P000</v>
      </c>
      <c r="AI1386" t="str">
        <f t="shared" si="416"/>
        <v>0P00</v>
      </c>
      <c r="AJ1386" t="str">
        <f t="shared" si="417"/>
        <v>P000</v>
      </c>
    </row>
    <row r="1387" spans="1:36" x14ac:dyDescent="0.25">
      <c r="A1387" s="325" t="str">
        <f>CONCATENATE("P",'906MP'!M1087)</f>
        <v>P</v>
      </c>
      <c r="B1387">
        <f>'906MP'!H1087</f>
        <v>0</v>
      </c>
      <c r="C1387">
        <f>'906MP'!J1087</f>
        <v>0</v>
      </c>
      <c r="D1387">
        <f>'906MP'!P1087</f>
        <v>0</v>
      </c>
      <c r="E1387">
        <f>'906MP'!X1087</f>
        <v>0</v>
      </c>
      <c r="F1387" t="str">
        <f t="shared" si="409"/>
        <v>0</v>
      </c>
      <c r="G1387" t="str">
        <f t="shared" si="410"/>
        <v>0</v>
      </c>
      <c r="H1387">
        <f>'906MP'!Y1087</f>
        <v>0</v>
      </c>
      <c r="I1387">
        <f>'906MP'!AK1087</f>
        <v>0</v>
      </c>
      <c r="J1387">
        <f>'906MP'!T1087</f>
        <v>0</v>
      </c>
      <c r="K1387">
        <f>'906MP'!AJ1087</f>
        <v>0</v>
      </c>
      <c r="L1387">
        <f>'906MP'!U1087</f>
        <v>0</v>
      </c>
      <c r="M1387" s="322" t="str">
        <f>IFERROR(VLOOKUP(A1387,PAR!$D$3:$E$53,2,FALSE),"nincs szervezet")</f>
        <v>nincs szervezet</v>
      </c>
      <c r="N1387" s="322" t="str">
        <f>VLOOKUP(F1387,PAR!$R$3:$S$5,2,FALSE)</f>
        <v>3 - egyik sem</v>
      </c>
      <c r="O1387" t="str">
        <f>IFERROR(VLOOKUP(J1387,PAR!$O$3:$P$5,2,FALSE),"nincs feladat")</f>
        <v>nincs feladat</v>
      </c>
      <c r="P1387" t="str">
        <f>IFERROR(VLOOKUP(G1387,PAR!$J$2:$M$19,4),"nincs rovat")</f>
        <v>nincs rovat</v>
      </c>
      <c r="Q1387" t="str">
        <f>IF(H1387&gt;0,VLOOKUP(H1387,PAR!$AA$3:$AC$187,3,FALSE),"nincs főkönyvi számla")</f>
        <v>nincs főkönyvi számla</v>
      </c>
      <c r="R1387" t="str">
        <f>IFERROR(VLOOKUP(K1387,PAR!$V$3:$X$438,3,FALSE),"000000 - Nincs COFOG")</f>
        <v>000000 - Nincs COFOG</v>
      </c>
      <c r="S1387">
        <f t="shared" si="411"/>
        <v>0</v>
      </c>
      <c r="T1387">
        <f t="shared" si="412"/>
        <v>0</v>
      </c>
      <c r="U1387" t="str">
        <f>IF('906MP'!J1087&gt;0,CONCATENATE('906MP'!J1087," - ",'906MP'!P1087,", ",'906MP'!E1087),"nincs megjegyzés")</f>
        <v>nincs megjegyzés</v>
      </c>
      <c r="V1387" t="str">
        <f t="shared" si="399"/>
        <v>0P0</v>
      </c>
      <c r="W1387" t="str">
        <f t="shared" si="400"/>
        <v>0P0</v>
      </c>
      <c r="X1387" t="str">
        <f t="shared" si="401"/>
        <v>P0</v>
      </c>
      <c r="Y1387" t="str">
        <f t="shared" si="402"/>
        <v>00</v>
      </c>
      <c r="Z1387" t="str">
        <f t="shared" si="413"/>
        <v>00</v>
      </c>
      <c r="AA1387" t="str">
        <f t="shared" si="403"/>
        <v>00</v>
      </c>
      <c r="AB1387" t="str">
        <f t="shared" si="404"/>
        <v>00</v>
      </c>
      <c r="AC1387" t="str">
        <f t="shared" si="405"/>
        <v>0P0</v>
      </c>
      <c r="AD1387" t="str">
        <f t="shared" si="406"/>
        <v>P00</v>
      </c>
      <c r="AE1387" t="str">
        <f t="shared" si="407"/>
        <v>0P0</v>
      </c>
      <c r="AF1387" t="str">
        <f t="shared" si="408"/>
        <v>P00</v>
      </c>
      <c r="AG1387" t="str">
        <f t="shared" si="414"/>
        <v>0P00</v>
      </c>
      <c r="AH1387" t="str">
        <f t="shared" si="415"/>
        <v>P000</v>
      </c>
      <c r="AI1387" t="str">
        <f t="shared" si="416"/>
        <v>0P00</v>
      </c>
      <c r="AJ1387" t="str">
        <f t="shared" si="417"/>
        <v>P000</v>
      </c>
    </row>
    <row r="1388" spans="1:36" x14ac:dyDescent="0.25">
      <c r="A1388" s="325" t="str">
        <f>CONCATENATE("P",'906MP'!M1088)</f>
        <v>P</v>
      </c>
      <c r="B1388">
        <f>'906MP'!H1088</f>
        <v>0</v>
      </c>
      <c r="C1388">
        <f>'906MP'!J1088</f>
        <v>0</v>
      </c>
      <c r="D1388">
        <f>'906MP'!P1088</f>
        <v>0</v>
      </c>
      <c r="E1388">
        <f>'906MP'!X1088</f>
        <v>0</v>
      </c>
      <c r="F1388" t="str">
        <f t="shared" si="409"/>
        <v>0</v>
      </c>
      <c r="G1388" t="str">
        <f t="shared" si="410"/>
        <v>0</v>
      </c>
      <c r="H1388">
        <f>'906MP'!Y1088</f>
        <v>0</v>
      </c>
      <c r="I1388">
        <f>'906MP'!AK1088</f>
        <v>0</v>
      </c>
      <c r="J1388">
        <f>'906MP'!T1088</f>
        <v>0</v>
      </c>
      <c r="K1388">
        <f>'906MP'!AJ1088</f>
        <v>0</v>
      </c>
      <c r="L1388">
        <f>'906MP'!U1088</f>
        <v>0</v>
      </c>
      <c r="M1388" s="322" t="str">
        <f>IFERROR(VLOOKUP(A1388,PAR!$D$3:$E$53,2,FALSE),"nincs szervezet")</f>
        <v>nincs szervezet</v>
      </c>
      <c r="N1388" s="322" t="str">
        <f>VLOOKUP(F1388,PAR!$R$3:$S$5,2,FALSE)</f>
        <v>3 - egyik sem</v>
      </c>
      <c r="O1388" t="str">
        <f>IFERROR(VLOOKUP(J1388,PAR!$O$3:$P$5,2,FALSE),"nincs feladat")</f>
        <v>nincs feladat</v>
      </c>
      <c r="P1388" t="str">
        <f>IFERROR(VLOOKUP(G1388,PAR!$J$2:$M$19,4),"nincs rovat")</f>
        <v>nincs rovat</v>
      </c>
      <c r="Q1388" t="str">
        <f>IF(H1388&gt;0,VLOOKUP(H1388,PAR!$AA$3:$AC$187,3,FALSE),"nincs főkönyvi számla")</f>
        <v>nincs főkönyvi számla</v>
      </c>
      <c r="R1388" t="str">
        <f>IFERROR(VLOOKUP(K1388,PAR!$V$3:$X$438,3,FALSE),"000000 - Nincs COFOG")</f>
        <v>000000 - Nincs COFOG</v>
      </c>
      <c r="S1388">
        <f t="shared" si="411"/>
        <v>0</v>
      </c>
      <c r="T1388">
        <f t="shared" si="412"/>
        <v>0</v>
      </c>
      <c r="U1388" t="str">
        <f>IF('906MP'!J1088&gt;0,CONCATENATE('906MP'!J1088," - ",'906MP'!P1088,", ",'906MP'!E1088),"nincs megjegyzés")</f>
        <v>nincs megjegyzés</v>
      </c>
      <c r="V1388" t="str">
        <f t="shared" si="399"/>
        <v>0P0</v>
      </c>
      <c r="W1388" t="str">
        <f t="shared" si="400"/>
        <v>0P0</v>
      </c>
      <c r="X1388" t="str">
        <f t="shared" si="401"/>
        <v>P0</v>
      </c>
      <c r="Y1388" t="str">
        <f t="shared" si="402"/>
        <v>00</v>
      </c>
      <c r="Z1388" t="str">
        <f t="shared" si="413"/>
        <v>00</v>
      </c>
      <c r="AA1388" t="str">
        <f t="shared" si="403"/>
        <v>00</v>
      </c>
      <c r="AB1388" t="str">
        <f t="shared" si="404"/>
        <v>00</v>
      </c>
      <c r="AC1388" t="str">
        <f t="shared" si="405"/>
        <v>0P0</v>
      </c>
      <c r="AD1388" t="str">
        <f t="shared" si="406"/>
        <v>P00</v>
      </c>
      <c r="AE1388" t="str">
        <f t="shared" si="407"/>
        <v>0P0</v>
      </c>
      <c r="AF1388" t="str">
        <f t="shared" si="408"/>
        <v>P00</v>
      </c>
      <c r="AG1388" t="str">
        <f t="shared" si="414"/>
        <v>0P00</v>
      </c>
      <c r="AH1388" t="str">
        <f t="shared" si="415"/>
        <v>P000</v>
      </c>
      <c r="AI1388" t="str">
        <f t="shared" si="416"/>
        <v>0P00</v>
      </c>
      <c r="AJ1388" t="str">
        <f t="shared" si="417"/>
        <v>P000</v>
      </c>
    </row>
    <row r="1389" spans="1:36" x14ac:dyDescent="0.25">
      <c r="A1389" s="325" t="str">
        <f>CONCATENATE("P",'906MP'!M1089)</f>
        <v>P</v>
      </c>
      <c r="B1389">
        <f>'906MP'!H1089</f>
        <v>0</v>
      </c>
      <c r="C1389">
        <f>'906MP'!J1089</f>
        <v>0</v>
      </c>
      <c r="D1389">
        <f>'906MP'!P1089</f>
        <v>0</v>
      </c>
      <c r="E1389">
        <f>'906MP'!X1089</f>
        <v>0</v>
      </c>
      <c r="F1389" t="str">
        <f t="shared" si="409"/>
        <v>0</v>
      </c>
      <c r="G1389" t="str">
        <f t="shared" si="410"/>
        <v>0</v>
      </c>
      <c r="H1389">
        <f>'906MP'!Y1089</f>
        <v>0</v>
      </c>
      <c r="I1389">
        <f>'906MP'!AK1089</f>
        <v>0</v>
      </c>
      <c r="J1389">
        <f>'906MP'!T1089</f>
        <v>0</v>
      </c>
      <c r="K1389">
        <f>'906MP'!AJ1089</f>
        <v>0</v>
      </c>
      <c r="L1389">
        <f>'906MP'!U1089</f>
        <v>0</v>
      </c>
      <c r="M1389" s="322" t="str">
        <f>IFERROR(VLOOKUP(A1389,PAR!$D$3:$E$53,2,FALSE),"nincs szervezet")</f>
        <v>nincs szervezet</v>
      </c>
      <c r="N1389" s="322" t="str">
        <f>VLOOKUP(F1389,PAR!$R$3:$S$5,2,FALSE)</f>
        <v>3 - egyik sem</v>
      </c>
      <c r="O1389" t="str">
        <f>IFERROR(VLOOKUP(J1389,PAR!$O$3:$P$5,2,FALSE),"nincs feladat")</f>
        <v>nincs feladat</v>
      </c>
      <c r="P1389" t="str">
        <f>IFERROR(VLOOKUP(G1389,PAR!$J$2:$M$19,4),"nincs rovat")</f>
        <v>nincs rovat</v>
      </c>
      <c r="Q1389" t="str">
        <f>IF(H1389&gt;0,VLOOKUP(H1389,PAR!$AA$3:$AC$187,3,FALSE),"nincs főkönyvi számla")</f>
        <v>nincs főkönyvi számla</v>
      </c>
      <c r="R1389" t="str">
        <f>IFERROR(VLOOKUP(K1389,PAR!$V$3:$X$438,3,FALSE),"000000 - Nincs COFOG")</f>
        <v>000000 - Nincs COFOG</v>
      </c>
      <c r="S1389">
        <f t="shared" si="411"/>
        <v>0</v>
      </c>
      <c r="T1389">
        <f t="shared" si="412"/>
        <v>0</v>
      </c>
      <c r="U1389" t="str">
        <f>IF('906MP'!J1089&gt;0,CONCATENATE('906MP'!J1089," - ",'906MP'!P1089,", ",'906MP'!E1089),"nincs megjegyzés")</f>
        <v>nincs megjegyzés</v>
      </c>
      <c r="V1389" t="str">
        <f t="shared" si="399"/>
        <v>0P0</v>
      </c>
      <c r="W1389" t="str">
        <f t="shared" si="400"/>
        <v>0P0</v>
      </c>
      <c r="X1389" t="str">
        <f t="shared" si="401"/>
        <v>P0</v>
      </c>
      <c r="Y1389" t="str">
        <f t="shared" si="402"/>
        <v>00</v>
      </c>
      <c r="Z1389" t="str">
        <f t="shared" si="413"/>
        <v>00</v>
      </c>
      <c r="AA1389" t="str">
        <f t="shared" si="403"/>
        <v>00</v>
      </c>
      <c r="AB1389" t="str">
        <f t="shared" si="404"/>
        <v>00</v>
      </c>
      <c r="AC1389" t="str">
        <f t="shared" si="405"/>
        <v>0P0</v>
      </c>
      <c r="AD1389" t="str">
        <f t="shared" si="406"/>
        <v>P00</v>
      </c>
      <c r="AE1389" t="str">
        <f t="shared" si="407"/>
        <v>0P0</v>
      </c>
      <c r="AF1389" t="str">
        <f t="shared" si="408"/>
        <v>P00</v>
      </c>
      <c r="AG1389" t="str">
        <f t="shared" si="414"/>
        <v>0P00</v>
      </c>
      <c r="AH1389" t="str">
        <f t="shared" si="415"/>
        <v>P000</v>
      </c>
      <c r="AI1389" t="str">
        <f t="shared" si="416"/>
        <v>0P00</v>
      </c>
      <c r="AJ1389" t="str">
        <f t="shared" si="417"/>
        <v>P000</v>
      </c>
    </row>
    <row r="1390" spans="1:36" x14ac:dyDescent="0.25">
      <c r="A1390" s="325" t="str">
        <f>CONCATENATE("P",'906MP'!M1090)</f>
        <v>P</v>
      </c>
      <c r="B1390">
        <f>'906MP'!H1090</f>
        <v>0</v>
      </c>
      <c r="C1390">
        <f>'906MP'!J1090</f>
        <v>0</v>
      </c>
      <c r="D1390">
        <f>'906MP'!P1090</f>
        <v>0</v>
      </c>
      <c r="E1390">
        <f>'906MP'!X1090</f>
        <v>0</v>
      </c>
      <c r="F1390" t="str">
        <f t="shared" si="409"/>
        <v>0</v>
      </c>
      <c r="G1390" t="str">
        <f t="shared" si="410"/>
        <v>0</v>
      </c>
      <c r="H1390">
        <f>'906MP'!Y1090</f>
        <v>0</v>
      </c>
      <c r="I1390">
        <f>'906MP'!AK1090</f>
        <v>0</v>
      </c>
      <c r="J1390">
        <f>'906MP'!T1090</f>
        <v>0</v>
      </c>
      <c r="K1390">
        <f>'906MP'!AJ1090</f>
        <v>0</v>
      </c>
      <c r="L1390">
        <f>'906MP'!U1090</f>
        <v>0</v>
      </c>
      <c r="M1390" s="322" t="str">
        <f>IFERROR(VLOOKUP(A1390,PAR!$D$3:$E$53,2,FALSE),"nincs szervezet")</f>
        <v>nincs szervezet</v>
      </c>
      <c r="N1390" s="322" t="str">
        <f>VLOOKUP(F1390,PAR!$R$3:$S$5,2,FALSE)</f>
        <v>3 - egyik sem</v>
      </c>
      <c r="O1390" t="str">
        <f>IFERROR(VLOOKUP(J1390,PAR!$O$3:$P$5,2,FALSE),"nincs feladat")</f>
        <v>nincs feladat</v>
      </c>
      <c r="P1390" t="str">
        <f>IFERROR(VLOOKUP(G1390,PAR!$J$2:$M$19,4),"nincs rovat")</f>
        <v>nincs rovat</v>
      </c>
      <c r="Q1390" t="str">
        <f>IF(H1390&gt;0,VLOOKUP(H1390,PAR!$AA$3:$AC$187,3,FALSE),"nincs főkönyvi számla")</f>
        <v>nincs főkönyvi számla</v>
      </c>
      <c r="R1390" t="str">
        <f>IFERROR(VLOOKUP(K1390,PAR!$V$3:$X$438,3,FALSE),"000000 - Nincs COFOG")</f>
        <v>000000 - Nincs COFOG</v>
      </c>
      <c r="S1390">
        <f t="shared" si="411"/>
        <v>0</v>
      </c>
      <c r="T1390">
        <f t="shared" si="412"/>
        <v>0</v>
      </c>
      <c r="U1390" t="str">
        <f>IF('906MP'!J1090&gt;0,CONCATENATE('906MP'!J1090," - ",'906MP'!P1090,", ",'906MP'!E1090),"nincs megjegyzés")</f>
        <v>nincs megjegyzés</v>
      </c>
      <c r="V1390" t="str">
        <f t="shared" si="399"/>
        <v>0P0</v>
      </c>
      <c r="W1390" t="str">
        <f t="shared" si="400"/>
        <v>0P0</v>
      </c>
      <c r="X1390" t="str">
        <f t="shared" si="401"/>
        <v>P0</v>
      </c>
      <c r="Y1390" t="str">
        <f t="shared" si="402"/>
        <v>00</v>
      </c>
      <c r="Z1390" t="str">
        <f t="shared" si="413"/>
        <v>00</v>
      </c>
      <c r="AA1390" t="str">
        <f t="shared" si="403"/>
        <v>00</v>
      </c>
      <c r="AB1390" t="str">
        <f t="shared" si="404"/>
        <v>00</v>
      </c>
      <c r="AC1390" t="str">
        <f t="shared" si="405"/>
        <v>0P0</v>
      </c>
      <c r="AD1390" t="str">
        <f t="shared" si="406"/>
        <v>P00</v>
      </c>
      <c r="AE1390" t="str">
        <f t="shared" si="407"/>
        <v>0P0</v>
      </c>
      <c r="AF1390" t="str">
        <f t="shared" si="408"/>
        <v>P00</v>
      </c>
      <c r="AG1390" t="str">
        <f t="shared" si="414"/>
        <v>0P00</v>
      </c>
      <c r="AH1390" t="str">
        <f t="shared" si="415"/>
        <v>P000</v>
      </c>
      <c r="AI1390" t="str">
        <f t="shared" si="416"/>
        <v>0P00</v>
      </c>
      <c r="AJ1390" t="str">
        <f t="shared" si="417"/>
        <v>P000</v>
      </c>
    </row>
    <row r="1391" spans="1:36" x14ac:dyDescent="0.25">
      <c r="A1391" s="325" t="str">
        <f>CONCATENATE("P",'906MP'!M1091)</f>
        <v>P</v>
      </c>
      <c r="B1391">
        <f>'906MP'!H1091</f>
        <v>0</v>
      </c>
      <c r="C1391">
        <f>'906MP'!J1091</f>
        <v>0</v>
      </c>
      <c r="D1391">
        <f>'906MP'!P1091</f>
        <v>0</v>
      </c>
      <c r="E1391">
        <f>'906MP'!X1091</f>
        <v>0</v>
      </c>
      <c r="F1391" t="str">
        <f t="shared" si="409"/>
        <v>0</v>
      </c>
      <c r="G1391" t="str">
        <f t="shared" si="410"/>
        <v>0</v>
      </c>
      <c r="H1391">
        <f>'906MP'!Y1091</f>
        <v>0</v>
      </c>
      <c r="I1391">
        <f>'906MP'!AK1091</f>
        <v>0</v>
      </c>
      <c r="J1391">
        <f>'906MP'!T1091</f>
        <v>0</v>
      </c>
      <c r="K1391">
        <f>'906MP'!AJ1091</f>
        <v>0</v>
      </c>
      <c r="L1391">
        <f>'906MP'!U1091</f>
        <v>0</v>
      </c>
      <c r="M1391" s="322" t="str">
        <f>IFERROR(VLOOKUP(A1391,PAR!$D$3:$E$53,2,FALSE),"nincs szervezet")</f>
        <v>nincs szervezet</v>
      </c>
      <c r="N1391" s="322" t="str">
        <f>VLOOKUP(F1391,PAR!$R$3:$S$5,2,FALSE)</f>
        <v>3 - egyik sem</v>
      </c>
      <c r="O1391" t="str">
        <f>IFERROR(VLOOKUP(J1391,PAR!$O$3:$P$5,2,FALSE),"nincs feladat")</f>
        <v>nincs feladat</v>
      </c>
      <c r="P1391" t="str">
        <f>IFERROR(VLOOKUP(G1391,PAR!$J$2:$M$19,4),"nincs rovat")</f>
        <v>nincs rovat</v>
      </c>
      <c r="Q1391" t="str">
        <f>IF(H1391&gt;0,VLOOKUP(H1391,PAR!$AA$3:$AC$187,3,FALSE),"nincs főkönyvi számla")</f>
        <v>nincs főkönyvi számla</v>
      </c>
      <c r="R1391" t="str">
        <f>IFERROR(VLOOKUP(K1391,PAR!$V$3:$X$438,3,FALSE),"000000 - Nincs COFOG")</f>
        <v>000000 - Nincs COFOG</v>
      </c>
      <c r="S1391">
        <f t="shared" si="411"/>
        <v>0</v>
      </c>
      <c r="T1391">
        <f t="shared" si="412"/>
        <v>0</v>
      </c>
      <c r="U1391" t="str">
        <f>IF('906MP'!J1091&gt;0,CONCATENATE('906MP'!J1091," - ",'906MP'!P1091,", ",'906MP'!E1091),"nincs megjegyzés")</f>
        <v>nincs megjegyzés</v>
      </c>
      <c r="V1391" t="str">
        <f t="shared" si="399"/>
        <v>0P0</v>
      </c>
      <c r="W1391" t="str">
        <f t="shared" si="400"/>
        <v>0P0</v>
      </c>
      <c r="X1391" t="str">
        <f t="shared" si="401"/>
        <v>P0</v>
      </c>
      <c r="Y1391" t="str">
        <f t="shared" si="402"/>
        <v>00</v>
      </c>
      <c r="Z1391" t="str">
        <f t="shared" si="413"/>
        <v>00</v>
      </c>
      <c r="AA1391" t="str">
        <f t="shared" si="403"/>
        <v>00</v>
      </c>
      <c r="AB1391" t="str">
        <f t="shared" si="404"/>
        <v>00</v>
      </c>
      <c r="AC1391" t="str">
        <f t="shared" si="405"/>
        <v>0P0</v>
      </c>
      <c r="AD1391" t="str">
        <f t="shared" si="406"/>
        <v>P00</v>
      </c>
      <c r="AE1391" t="str">
        <f t="shared" si="407"/>
        <v>0P0</v>
      </c>
      <c r="AF1391" t="str">
        <f t="shared" si="408"/>
        <v>P00</v>
      </c>
      <c r="AG1391" t="str">
        <f t="shared" si="414"/>
        <v>0P00</v>
      </c>
      <c r="AH1391" t="str">
        <f t="shared" si="415"/>
        <v>P000</v>
      </c>
      <c r="AI1391" t="str">
        <f t="shared" si="416"/>
        <v>0P00</v>
      </c>
      <c r="AJ1391" t="str">
        <f t="shared" si="417"/>
        <v>P000</v>
      </c>
    </row>
    <row r="1392" spans="1:36" x14ac:dyDescent="0.25">
      <c r="A1392" s="325" t="str">
        <f>CONCATENATE("P",'906MP'!M1092)</f>
        <v>P</v>
      </c>
      <c r="B1392">
        <f>'906MP'!H1092</f>
        <v>0</v>
      </c>
      <c r="C1392">
        <f>'906MP'!J1092</f>
        <v>0</v>
      </c>
      <c r="D1392">
        <f>'906MP'!P1092</f>
        <v>0</v>
      </c>
      <c r="E1392">
        <f>'906MP'!X1092</f>
        <v>0</v>
      </c>
      <c r="F1392" t="str">
        <f t="shared" si="409"/>
        <v>0</v>
      </c>
      <c r="G1392" t="str">
        <f t="shared" si="410"/>
        <v>0</v>
      </c>
      <c r="H1392">
        <f>'906MP'!Y1092</f>
        <v>0</v>
      </c>
      <c r="I1392">
        <f>'906MP'!AK1092</f>
        <v>0</v>
      </c>
      <c r="J1392">
        <f>'906MP'!T1092</f>
        <v>0</v>
      </c>
      <c r="K1392">
        <f>'906MP'!AJ1092</f>
        <v>0</v>
      </c>
      <c r="L1392">
        <f>'906MP'!U1092</f>
        <v>0</v>
      </c>
      <c r="M1392" s="322" t="str">
        <f>IFERROR(VLOOKUP(A1392,PAR!$D$3:$E$53,2,FALSE),"nincs szervezet")</f>
        <v>nincs szervezet</v>
      </c>
      <c r="N1392" s="322" t="str">
        <f>VLOOKUP(F1392,PAR!$R$3:$S$5,2,FALSE)</f>
        <v>3 - egyik sem</v>
      </c>
      <c r="O1392" t="str">
        <f>IFERROR(VLOOKUP(J1392,PAR!$O$3:$P$5,2,FALSE),"nincs feladat")</f>
        <v>nincs feladat</v>
      </c>
      <c r="P1392" t="str">
        <f>IFERROR(VLOOKUP(G1392,PAR!$J$2:$M$19,4),"nincs rovat")</f>
        <v>nincs rovat</v>
      </c>
      <c r="Q1392" t="str">
        <f>IF(H1392&gt;0,VLOOKUP(H1392,PAR!$AA$3:$AC$187,3,FALSE),"nincs főkönyvi számla")</f>
        <v>nincs főkönyvi számla</v>
      </c>
      <c r="R1392" t="str">
        <f>IFERROR(VLOOKUP(K1392,PAR!$V$3:$X$438,3,FALSE),"000000 - Nincs COFOG")</f>
        <v>000000 - Nincs COFOG</v>
      </c>
      <c r="S1392">
        <f t="shared" si="411"/>
        <v>0</v>
      </c>
      <c r="T1392">
        <f t="shared" si="412"/>
        <v>0</v>
      </c>
      <c r="U1392" t="str">
        <f>IF('906MP'!J1092&gt;0,CONCATENATE('906MP'!J1092," - ",'906MP'!P1092,", ",'906MP'!E1092),"nincs megjegyzés")</f>
        <v>nincs megjegyzés</v>
      </c>
      <c r="V1392" t="str">
        <f t="shared" si="399"/>
        <v>0P0</v>
      </c>
      <c r="W1392" t="str">
        <f t="shared" si="400"/>
        <v>0P0</v>
      </c>
      <c r="X1392" t="str">
        <f t="shared" si="401"/>
        <v>P0</v>
      </c>
      <c r="Y1392" t="str">
        <f t="shared" si="402"/>
        <v>00</v>
      </c>
      <c r="Z1392" t="str">
        <f t="shared" si="413"/>
        <v>00</v>
      </c>
      <c r="AA1392" t="str">
        <f t="shared" si="403"/>
        <v>00</v>
      </c>
      <c r="AB1392" t="str">
        <f t="shared" si="404"/>
        <v>00</v>
      </c>
      <c r="AC1392" t="str">
        <f t="shared" si="405"/>
        <v>0P0</v>
      </c>
      <c r="AD1392" t="str">
        <f t="shared" si="406"/>
        <v>P00</v>
      </c>
      <c r="AE1392" t="str">
        <f t="shared" si="407"/>
        <v>0P0</v>
      </c>
      <c r="AF1392" t="str">
        <f t="shared" si="408"/>
        <v>P00</v>
      </c>
      <c r="AG1392" t="str">
        <f t="shared" si="414"/>
        <v>0P00</v>
      </c>
      <c r="AH1392" t="str">
        <f t="shared" si="415"/>
        <v>P000</v>
      </c>
      <c r="AI1392" t="str">
        <f t="shared" si="416"/>
        <v>0P00</v>
      </c>
      <c r="AJ1392" t="str">
        <f t="shared" si="417"/>
        <v>P000</v>
      </c>
    </row>
    <row r="1393" spans="1:36" x14ac:dyDescent="0.25">
      <c r="A1393" s="325" t="str">
        <f>CONCATENATE("P",'906MP'!M1093)</f>
        <v>P</v>
      </c>
      <c r="B1393">
        <f>'906MP'!H1093</f>
        <v>0</v>
      </c>
      <c r="C1393">
        <f>'906MP'!J1093</f>
        <v>0</v>
      </c>
      <c r="D1393">
        <f>'906MP'!P1093</f>
        <v>0</v>
      </c>
      <c r="E1393">
        <f>'906MP'!X1093</f>
        <v>0</v>
      </c>
      <c r="F1393" t="str">
        <f t="shared" si="409"/>
        <v>0</v>
      </c>
      <c r="G1393" t="str">
        <f t="shared" si="410"/>
        <v>0</v>
      </c>
      <c r="H1393">
        <f>'906MP'!Y1093</f>
        <v>0</v>
      </c>
      <c r="I1393">
        <f>'906MP'!AK1093</f>
        <v>0</v>
      </c>
      <c r="J1393">
        <f>'906MP'!T1093</f>
        <v>0</v>
      </c>
      <c r="K1393">
        <f>'906MP'!AJ1093</f>
        <v>0</v>
      </c>
      <c r="L1393">
        <f>'906MP'!U1093</f>
        <v>0</v>
      </c>
      <c r="M1393" s="322" t="str">
        <f>IFERROR(VLOOKUP(A1393,PAR!$D$3:$E$53,2,FALSE),"nincs szervezet")</f>
        <v>nincs szervezet</v>
      </c>
      <c r="N1393" s="322" t="str">
        <f>VLOOKUP(F1393,PAR!$R$3:$S$5,2,FALSE)</f>
        <v>3 - egyik sem</v>
      </c>
      <c r="O1393" t="str">
        <f>IFERROR(VLOOKUP(J1393,PAR!$O$3:$P$5,2,FALSE),"nincs feladat")</f>
        <v>nincs feladat</v>
      </c>
      <c r="P1393" t="str">
        <f>IFERROR(VLOOKUP(G1393,PAR!$J$2:$M$19,4),"nincs rovat")</f>
        <v>nincs rovat</v>
      </c>
      <c r="Q1393" t="str">
        <f>IF(H1393&gt;0,VLOOKUP(H1393,PAR!$AA$3:$AC$187,3,FALSE),"nincs főkönyvi számla")</f>
        <v>nincs főkönyvi számla</v>
      </c>
      <c r="R1393" t="str">
        <f>IFERROR(VLOOKUP(K1393,PAR!$V$3:$X$438,3,FALSE),"000000 - Nincs COFOG")</f>
        <v>000000 - Nincs COFOG</v>
      </c>
      <c r="S1393">
        <f t="shared" si="411"/>
        <v>0</v>
      </c>
      <c r="T1393">
        <f t="shared" si="412"/>
        <v>0</v>
      </c>
      <c r="U1393" t="str">
        <f>IF('906MP'!J1093&gt;0,CONCATENATE('906MP'!J1093," - ",'906MP'!P1093,", ",'906MP'!E1093),"nincs megjegyzés")</f>
        <v>nincs megjegyzés</v>
      </c>
      <c r="V1393" t="str">
        <f t="shared" si="399"/>
        <v>0P0</v>
      </c>
      <c r="W1393" t="str">
        <f t="shared" si="400"/>
        <v>0P0</v>
      </c>
      <c r="X1393" t="str">
        <f t="shared" si="401"/>
        <v>P0</v>
      </c>
      <c r="Y1393" t="str">
        <f t="shared" si="402"/>
        <v>00</v>
      </c>
      <c r="Z1393" t="str">
        <f t="shared" si="413"/>
        <v>00</v>
      </c>
      <c r="AA1393" t="str">
        <f t="shared" si="403"/>
        <v>00</v>
      </c>
      <c r="AB1393" t="str">
        <f t="shared" si="404"/>
        <v>00</v>
      </c>
      <c r="AC1393" t="str">
        <f t="shared" si="405"/>
        <v>0P0</v>
      </c>
      <c r="AD1393" t="str">
        <f t="shared" si="406"/>
        <v>P00</v>
      </c>
      <c r="AE1393" t="str">
        <f t="shared" si="407"/>
        <v>0P0</v>
      </c>
      <c r="AF1393" t="str">
        <f t="shared" si="408"/>
        <v>P00</v>
      </c>
      <c r="AG1393" t="str">
        <f t="shared" si="414"/>
        <v>0P00</v>
      </c>
      <c r="AH1393" t="str">
        <f t="shared" si="415"/>
        <v>P000</v>
      </c>
      <c r="AI1393" t="str">
        <f t="shared" si="416"/>
        <v>0P00</v>
      </c>
      <c r="AJ1393" t="str">
        <f t="shared" si="417"/>
        <v>P000</v>
      </c>
    </row>
    <row r="1394" spans="1:36" x14ac:dyDescent="0.25">
      <c r="A1394" s="325" t="str">
        <f>CONCATENATE("P",'906MP'!M1094)</f>
        <v>P</v>
      </c>
      <c r="B1394">
        <f>'906MP'!H1094</f>
        <v>0</v>
      </c>
      <c r="C1394">
        <f>'906MP'!J1094</f>
        <v>0</v>
      </c>
      <c r="D1394">
        <f>'906MP'!P1094</f>
        <v>0</v>
      </c>
      <c r="E1394">
        <f>'906MP'!X1094</f>
        <v>0</v>
      </c>
      <c r="F1394" t="str">
        <f t="shared" si="409"/>
        <v>0</v>
      </c>
      <c r="G1394" t="str">
        <f t="shared" si="410"/>
        <v>0</v>
      </c>
      <c r="H1394">
        <f>'906MP'!Y1094</f>
        <v>0</v>
      </c>
      <c r="I1394">
        <f>'906MP'!AK1094</f>
        <v>0</v>
      </c>
      <c r="J1394">
        <f>'906MP'!T1094</f>
        <v>0</v>
      </c>
      <c r="K1394">
        <f>'906MP'!AJ1094</f>
        <v>0</v>
      </c>
      <c r="L1394">
        <f>'906MP'!U1094</f>
        <v>0</v>
      </c>
      <c r="M1394" s="322" t="str">
        <f>IFERROR(VLOOKUP(A1394,PAR!$D$3:$E$53,2,FALSE),"nincs szervezet")</f>
        <v>nincs szervezet</v>
      </c>
      <c r="N1394" s="322" t="str">
        <f>VLOOKUP(F1394,PAR!$R$3:$S$5,2,FALSE)</f>
        <v>3 - egyik sem</v>
      </c>
      <c r="O1394" t="str">
        <f>IFERROR(VLOOKUP(J1394,PAR!$O$3:$P$5,2,FALSE),"nincs feladat")</f>
        <v>nincs feladat</v>
      </c>
      <c r="P1394" t="str">
        <f>IFERROR(VLOOKUP(G1394,PAR!$J$2:$M$19,4),"nincs rovat")</f>
        <v>nincs rovat</v>
      </c>
      <c r="Q1394" t="str">
        <f>IF(H1394&gt;0,VLOOKUP(H1394,PAR!$AA$3:$AC$187,3,FALSE),"nincs főkönyvi számla")</f>
        <v>nincs főkönyvi számla</v>
      </c>
      <c r="R1394" t="str">
        <f>IFERROR(VLOOKUP(K1394,PAR!$V$3:$X$438,3,FALSE),"000000 - Nincs COFOG")</f>
        <v>000000 - Nincs COFOG</v>
      </c>
      <c r="S1394">
        <f t="shared" si="411"/>
        <v>0</v>
      </c>
      <c r="T1394">
        <f t="shared" si="412"/>
        <v>0</v>
      </c>
      <c r="U1394" t="str">
        <f>IF('906MP'!J1094&gt;0,CONCATENATE('906MP'!J1094," - ",'906MP'!P1094,", ",'906MP'!E1094),"nincs megjegyzés")</f>
        <v>nincs megjegyzés</v>
      </c>
      <c r="V1394" t="str">
        <f t="shared" si="399"/>
        <v>0P0</v>
      </c>
      <c r="W1394" t="str">
        <f t="shared" si="400"/>
        <v>0P0</v>
      </c>
      <c r="X1394" t="str">
        <f t="shared" si="401"/>
        <v>P0</v>
      </c>
      <c r="Y1394" t="str">
        <f t="shared" si="402"/>
        <v>00</v>
      </c>
      <c r="Z1394" t="str">
        <f t="shared" si="413"/>
        <v>00</v>
      </c>
      <c r="AA1394" t="str">
        <f t="shared" si="403"/>
        <v>00</v>
      </c>
      <c r="AB1394" t="str">
        <f t="shared" si="404"/>
        <v>00</v>
      </c>
      <c r="AC1394" t="str">
        <f t="shared" si="405"/>
        <v>0P0</v>
      </c>
      <c r="AD1394" t="str">
        <f t="shared" si="406"/>
        <v>P00</v>
      </c>
      <c r="AE1394" t="str">
        <f t="shared" si="407"/>
        <v>0P0</v>
      </c>
      <c r="AF1394" t="str">
        <f t="shared" si="408"/>
        <v>P00</v>
      </c>
      <c r="AG1394" t="str">
        <f t="shared" si="414"/>
        <v>0P00</v>
      </c>
      <c r="AH1394" t="str">
        <f t="shared" si="415"/>
        <v>P000</v>
      </c>
      <c r="AI1394" t="str">
        <f t="shared" si="416"/>
        <v>0P00</v>
      </c>
      <c r="AJ1394" t="str">
        <f t="shared" si="417"/>
        <v>P000</v>
      </c>
    </row>
    <row r="1395" spans="1:36" x14ac:dyDescent="0.25">
      <c r="A1395" s="325" t="str">
        <f>CONCATENATE("P",'906MP'!M1095)</f>
        <v>P</v>
      </c>
      <c r="B1395">
        <f>'906MP'!H1095</f>
        <v>0</v>
      </c>
      <c r="C1395">
        <f>'906MP'!J1095</f>
        <v>0</v>
      </c>
      <c r="D1395">
        <f>'906MP'!P1095</f>
        <v>0</v>
      </c>
      <c r="E1395">
        <f>'906MP'!X1095</f>
        <v>0</v>
      </c>
      <c r="F1395" t="str">
        <f t="shared" si="409"/>
        <v>0</v>
      </c>
      <c r="G1395" t="str">
        <f t="shared" si="410"/>
        <v>0</v>
      </c>
      <c r="H1395">
        <f>'906MP'!Y1095</f>
        <v>0</v>
      </c>
      <c r="I1395">
        <f>'906MP'!AK1095</f>
        <v>0</v>
      </c>
      <c r="J1395">
        <f>'906MP'!T1095</f>
        <v>0</v>
      </c>
      <c r="K1395">
        <f>'906MP'!AJ1095</f>
        <v>0</v>
      </c>
      <c r="L1395">
        <f>'906MP'!U1095</f>
        <v>0</v>
      </c>
      <c r="M1395" s="322" t="str">
        <f>IFERROR(VLOOKUP(A1395,PAR!$D$3:$E$53,2,FALSE),"nincs szervezet")</f>
        <v>nincs szervezet</v>
      </c>
      <c r="N1395" s="322" t="str">
        <f>VLOOKUP(F1395,PAR!$R$3:$S$5,2,FALSE)</f>
        <v>3 - egyik sem</v>
      </c>
      <c r="O1395" t="str">
        <f>IFERROR(VLOOKUP(J1395,PAR!$O$3:$P$5,2,FALSE),"nincs feladat")</f>
        <v>nincs feladat</v>
      </c>
      <c r="P1395" t="str">
        <f>IFERROR(VLOOKUP(G1395,PAR!$J$2:$M$19,4),"nincs rovat")</f>
        <v>nincs rovat</v>
      </c>
      <c r="Q1395" t="str">
        <f>IF(H1395&gt;0,VLOOKUP(H1395,PAR!$AA$3:$AC$187,3,FALSE),"nincs főkönyvi számla")</f>
        <v>nincs főkönyvi számla</v>
      </c>
      <c r="R1395" t="str">
        <f>IFERROR(VLOOKUP(K1395,PAR!$V$3:$X$438,3,FALSE),"000000 - Nincs COFOG")</f>
        <v>000000 - Nincs COFOG</v>
      </c>
      <c r="S1395">
        <f t="shared" si="411"/>
        <v>0</v>
      </c>
      <c r="T1395">
        <f t="shared" si="412"/>
        <v>0</v>
      </c>
      <c r="U1395" t="str">
        <f>IF('906MP'!J1095&gt;0,CONCATENATE('906MP'!J1095," - ",'906MP'!P1095,", ",'906MP'!E1095),"nincs megjegyzés")</f>
        <v>nincs megjegyzés</v>
      </c>
      <c r="V1395" t="str">
        <f t="shared" si="399"/>
        <v>0P0</v>
      </c>
      <c r="W1395" t="str">
        <f t="shared" si="400"/>
        <v>0P0</v>
      </c>
      <c r="X1395" t="str">
        <f t="shared" si="401"/>
        <v>P0</v>
      </c>
      <c r="Y1395" t="str">
        <f t="shared" si="402"/>
        <v>00</v>
      </c>
      <c r="Z1395" t="str">
        <f t="shared" si="413"/>
        <v>00</v>
      </c>
      <c r="AA1395" t="str">
        <f t="shared" si="403"/>
        <v>00</v>
      </c>
      <c r="AB1395" t="str">
        <f t="shared" si="404"/>
        <v>00</v>
      </c>
      <c r="AC1395" t="str">
        <f t="shared" si="405"/>
        <v>0P0</v>
      </c>
      <c r="AD1395" t="str">
        <f t="shared" si="406"/>
        <v>P00</v>
      </c>
      <c r="AE1395" t="str">
        <f t="shared" si="407"/>
        <v>0P0</v>
      </c>
      <c r="AF1395" t="str">
        <f t="shared" si="408"/>
        <v>P00</v>
      </c>
      <c r="AG1395" t="str">
        <f t="shared" si="414"/>
        <v>0P00</v>
      </c>
      <c r="AH1395" t="str">
        <f t="shared" si="415"/>
        <v>P000</v>
      </c>
      <c r="AI1395" t="str">
        <f t="shared" si="416"/>
        <v>0P00</v>
      </c>
      <c r="AJ1395" t="str">
        <f t="shared" si="417"/>
        <v>P000</v>
      </c>
    </row>
    <row r="1396" spans="1:36" x14ac:dyDescent="0.25">
      <c r="A1396" s="325" t="str">
        <f>CONCATENATE("P",'906MP'!M1096)</f>
        <v>P</v>
      </c>
      <c r="B1396">
        <f>'906MP'!H1096</f>
        <v>0</v>
      </c>
      <c r="C1396">
        <f>'906MP'!J1096</f>
        <v>0</v>
      </c>
      <c r="D1396">
        <f>'906MP'!P1096</f>
        <v>0</v>
      </c>
      <c r="E1396">
        <f>'906MP'!X1096</f>
        <v>0</v>
      </c>
      <c r="F1396" t="str">
        <f t="shared" si="409"/>
        <v>0</v>
      </c>
      <c r="G1396" t="str">
        <f t="shared" si="410"/>
        <v>0</v>
      </c>
      <c r="H1396">
        <f>'906MP'!Y1096</f>
        <v>0</v>
      </c>
      <c r="I1396">
        <f>'906MP'!AK1096</f>
        <v>0</v>
      </c>
      <c r="J1396">
        <f>'906MP'!T1096</f>
        <v>0</v>
      </c>
      <c r="K1396">
        <f>'906MP'!AJ1096</f>
        <v>0</v>
      </c>
      <c r="L1396">
        <f>'906MP'!U1096</f>
        <v>0</v>
      </c>
      <c r="M1396" s="322" t="str">
        <f>IFERROR(VLOOKUP(A1396,PAR!$D$3:$E$53,2,FALSE),"nincs szervezet")</f>
        <v>nincs szervezet</v>
      </c>
      <c r="N1396" s="322" t="str">
        <f>VLOOKUP(F1396,PAR!$R$3:$S$5,2,FALSE)</f>
        <v>3 - egyik sem</v>
      </c>
      <c r="O1396" t="str">
        <f>IFERROR(VLOOKUP(J1396,PAR!$O$3:$P$5,2,FALSE),"nincs feladat")</f>
        <v>nincs feladat</v>
      </c>
      <c r="P1396" t="str">
        <f>IFERROR(VLOOKUP(G1396,PAR!$J$2:$M$19,4),"nincs rovat")</f>
        <v>nincs rovat</v>
      </c>
      <c r="Q1396" t="str">
        <f>IF(H1396&gt;0,VLOOKUP(H1396,PAR!$AA$3:$AC$187,3,FALSE),"nincs főkönyvi számla")</f>
        <v>nincs főkönyvi számla</v>
      </c>
      <c r="R1396" t="str">
        <f>IFERROR(VLOOKUP(K1396,PAR!$V$3:$X$438,3,FALSE),"000000 - Nincs COFOG")</f>
        <v>000000 - Nincs COFOG</v>
      </c>
      <c r="S1396">
        <f t="shared" si="411"/>
        <v>0</v>
      </c>
      <c r="T1396">
        <f t="shared" si="412"/>
        <v>0</v>
      </c>
      <c r="U1396" t="str">
        <f>IF('906MP'!J1096&gt;0,CONCATENATE('906MP'!J1096," - ",'906MP'!P1096,", ",'906MP'!E1096),"nincs megjegyzés")</f>
        <v>nincs megjegyzés</v>
      </c>
      <c r="V1396" t="str">
        <f t="shared" si="399"/>
        <v>0P0</v>
      </c>
      <c r="W1396" t="str">
        <f t="shared" si="400"/>
        <v>0P0</v>
      </c>
      <c r="X1396" t="str">
        <f t="shared" si="401"/>
        <v>P0</v>
      </c>
      <c r="Y1396" t="str">
        <f t="shared" si="402"/>
        <v>00</v>
      </c>
      <c r="Z1396" t="str">
        <f t="shared" si="413"/>
        <v>00</v>
      </c>
      <c r="AA1396" t="str">
        <f t="shared" si="403"/>
        <v>00</v>
      </c>
      <c r="AB1396" t="str">
        <f t="shared" si="404"/>
        <v>00</v>
      </c>
      <c r="AC1396" t="str">
        <f t="shared" si="405"/>
        <v>0P0</v>
      </c>
      <c r="AD1396" t="str">
        <f t="shared" si="406"/>
        <v>P00</v>
      </c>
      <c r="AE1396" t="str">
        <f t="shared" si="407"/>
        <v>0P0</v>
      </c>
      <c r="AF1396" t="str">
        <f t="shared" si="408"/>
        <v>P00</v>
      </c>
      <c r="AG1396" t="str">
        <f t="shared" si="414"/>
        <v>0P00</v>
      </c>
      <c r="AH1396" t="str">
        <f t="shared" si="415"/>
        <v>P000</v>
      </c>
      <c r="AI1396" t="str">
        <f t="shared" si="416"/>
        <v>0P00</v>
      </c>
      <c r="AJ1396" t="str">
        <f t="shared" si="417"/>
        <v>P000</v>
      </c>
    </row>
    <row r="1397" spans="1:36" x14ac:dyDescent="0.25">
      <c r="A1397" s="325" t="str">
        <f>CONCATENATE("P",'906MP'!M1097)</f>
        <v>P</v>
      </c>
      <c r="B1397">
        <f>'906MP'!H1097</f>
        <v>0</v>
      </c>
      <c r="C1397">
        <f>'906MP'!J1097</f>
        <v>0</v>
      </c>
      <c r="D1397">
        <f>'906MP'!P1097</f>
        <v>0</v>
      </c>
      <c r="E1397">
        <f>'906MP'!X1097</f>
        <v>0</v>
      </c>
      <c r="F1397" t="str">
        <f t="shared" si="409"/>
        <v>0</v>
      </c>
      <c r="G1397" t="str">
        <f t="shared" si="410"/>
        <v>0</v>
      </c>
      <c r="H1397">
        <f>'906MP'!Y1097</f>
        <v>0</v>
      </c>
      <c r="I1397">
        <f>'906MP'!AK1097</f>
        <v>0</v>
      </c>
      <c r="J1397">
        <f>'906MP'!T1097</f>
        <v>0</v>
      </c>
      <c r="K1397">
        <f>'906MP'!AJ1097</f>
        <v>0</v>
      </c>
      <c r="L1397">
        <f>'906MP'!U1097</f>
        <v>0</v>
      </c>
      <c r="M1397" s="322" t="str">
        <f>IFERROR(VLOOKUP(A1397,PAR!$D$3:$E$53,2,FALSE),"nincs szervezet")</f>
        <v>nincs szervezet</v>
      </c>
      <c r="N1397" s="322" t="str">
        <f>VLOOKUP(F1397,PAR!$R$3:$S$5,2,FALSE)</f>
        <v>3 - egyik sem</v>
      </c>
      <c r="O1397" t="str">
        <f>IFERROR(VLOOKUP(J1397,PAR!$O$3:$P$5,2,FALSE),"nincs feladat")</f>
        <v>nincs feladat</v>
      </c>
      <c r="P1397" t="str">
        <f>IFERROR(VLOOKUP(G1397,PAR!$J$2:$M$19,4),"nincs rovat")</f>
        <v>nincs rovat</v>
      </c>
      <c r="Q1397" t="str">
        <f>IF(H1397&gt;0,VLOOKUP(H1397,PAR!$AA$3:$AC$187,3,FALSE),"nincs főkönyvi számla")</f>
        <v>nincs főkönyvi számla</v>
      </c>
      <c r="R1397" t="str">
        <f>IFERROR(VLOOKUP(K1397,PAR!$V$3:$X$438,3,FALSE),"000000 - Nincs COFOG")</f>
        <v>000000 - Nincs COFOG</v>
      </c>
      <c r="S1397">
        <f t="shared" si="411"/>
        <v>0</v>
      </c>
      <c r="T1397">
        <f t="shared" si="412"/>
        <v>0</v>
      </c>
      <c r="U1397" t="str">
        <f>IF('906MP'!J1097&gt;0,CONCATENATE('906MP'!J1097," - ",'906MP'!P1097,", ",'906MP'!E1097),"nincs megjegyzés")</f>
        <v>nincs megjegyzés</v>
      </c>
      <c r="V1397" t="str">
        <f t="shared" si="399"/>
        <v>0P0</v>
      </c>
      <c r="W1397" t="str">
        <f t="shared" si="400"/>
        <v>0P0</v>
      </c>
      <c r="X1397" t="str">
        <f t="shared" si="401"/>
        <v>P0</v>
      </c>
      <c r="Y1397" t="str">
        <f t="shared" si="402"/>
        <v>00</v>
      </c>
      <c r="Z1397" t="str">
        <f t="shared" si="413"/>
        <v>00</v>
      </c>
      <c r="AA1397" t="str">
        <f t="shared" si="403"/>
        <v>00</v>
      </c>
      <c r="AB1397" t="str">
        <f t="shared" si="404"/>
        <v>00</v>
      </c>
      <c r="AC1397" t="str">
        <f t="shared" si="405"/>
        <v>0P0</v>
      </c>
      <c r="AD1397" t="str">
        <f t="shared" si="406"/>
        <v>P00</v>
      </c>
      <c r="AE1397" t="str">
        <f t="shared" si="407"/>
        <v>0P0</v>
      </c>
      <c r="AF1397" t="str">
        <f t="shared" si="408"/>
        <v>P00</v>
      </c>
      <c r="AG1397" t="str">
        <f t="shared" si="414"/>
        <v>0P00</v>
      </c>
      <c r="AH1397" t="str">
        <f t="shared" si="415"/>
        <v>P000</v>
      </c>
      <c r="AI1397" t="str">
        <f t="shared" si="416"/>
        <v>0P00</v>
      </c>
      <c r="AJ1397" t="str">
        <f t="shared" si="417"/>
        <v>P000</v>
      </c>
    </row>
    <row r="1398" spans="1:36" x14ac:dyDescent="0.25">
      <c r="A1398" s="325" t="str">
        <f>CONCATENATE("P",'906MP'!M1098)</f>
        <v>P</v>
      </c>
      <c r="B1398">
        <f>'906MP'!H1098</f>
        <v>0</v>
      </c>
      <c r="C1398">
        <f>'906MP'!J1098</f>
        <v>0</v>
      </c>
      <c r="D1398">
        <f>'906MP'!P1098</f>
        <v>0</v>
      </c>
      <c r="E1398">
        <f>'906MP'!X1098</f>
        <v>0</v>
      </c>
      <c r="F1398" t="str">
        <f t="shared" si="409"/>
        <v>0</v>
      </c>
      <c r="G1398" t="str">
        <f t="shared" si="410"/>
        <v>0</v>
      </c>
      <c r="H1398">
        <f>'906MP'!Y1098</f>
        <v>0</v>
      </c>
      <c r="I1398">
        <f>'906MP'!AK1098</f>
        <v>0</v>
      </c>
      <c r="J1398">
        <f>'906MP'!T1098</f>
        <v>0</v>
      </c>
      <c r="K1398">
        <f>'906MP'!AJ1098</f>
        <v>0</v>
      </c>
      <c r="L1398">
        <f>'906MP'!U1098</f>
        <v>0</v>
      </c>
      <c r="M1398" s="322" t="str">
        <f>IFERROR(VLOOKUP(A1398,PAR!$D$3:$E$53,2,FALSE),"nincs szervezet")</f>
        <v>nincs szervezet</v>
      </c>
      <c r="N1398" s="322" t="str">
        <f>VLOOKUP(F1398,PAR!$R$3:$S$5,2,FALSE)</f>
        <v>3 - egyik sem</v>
      </c>
      <c r="O1398" t="str">
        <f>IFERROR(VLOOKUP(J1398,PAR!$O$3:$P$5,2,FALSE),"nincs feladat")</f>
        <v>nincs feladat</v>
      </c>
      <c r="P1398" t="str">
        <f>IFERROR(VLOOKUP(G1398,PAR!$J$2:$M$19,4),"nincs rovat")</f>
        <v>nincs rovat</v>
      </c>
      <c r="Q1398" t="str">
        <f>IF(H1398&gt;0,VLOOKUP(H1398,PAR!$AA$3:$AC$187,3,FALSE),"nincs főkönyvi számla")</f>
        <v>nincs főkönyvi számla</v>
      </c>
      <c r="R1398" t="str">
        <f>IFERROR(VLOOKUP(K1398,PAR!$V$3:$X$438,3,FALSE),"000000 - Nincs COFOG")</f>
        <v>000000 - Nincs COFOG</v>
      </c>
      <c r="S1398">
        <f t="shared" si="411"/>
        <v>0</v>
      </c>
      <c r="T1398">
        <f t="shared" si="412"/>
        <v>0</v>
      </c>
      <c r="U1398" t="str">
        <f>IF('906MP'!J1098&gt;0,CONCATENATE('906MP'!J1098," - ",'906MP'!P1098,", ",'906MP'!E1098),"nincs megjegyzés")</f>
        <v>nincs megjegyzés</v>
      </c>
      <c r="V1398" t="str">
        <f t="shared" si="399"/>
        <v>0P0</v>
      </c>
      <c r="W1398" t="str">
        <f t="shared" si="400"/>
        <v>0P0</v>
      </c>
      <c r="X1398" t="str">
        <f t="shared" si="401"/>
        <v>P0</v>
      </c>
      <c r="Y1398" t="str">
        <f t="shared" si="402"/>
        <v>00</v>
      </c>
      <c r="Z1398" t="str">
        <f t="shared" si="413"/>
        <v>00</v>
      </c>
      <c r="AA1398" t="str">
        <f t="shared" si="403"/>
        <v>00</v>
      </c>
      <c r="AB1398" t="str">
        <f t="shared" si="404"/>
        <v>00</v>
      </c>
      <c r="AC1398" t="str">
        <f t="shared" si="405"/>
        <v>0P0</v>
      </c>
      <c r="AD1398" t="str">
        <f t="shared" si="406"/>
        <v>P00</v>
      </c>
      <c r="AE1398" t="str">
        <f t="shared" si="407"/>
        <v>0P0</v>
      </c>
      <c r="AF1398" t="str">
        <f t="shared" si="408"/>
        <v>P00</v>
      </c>
      <c r="AG1398" t="str">
        <f t="shared" si="414"/>
        <v>0P00</v>
      </c>
      <c r="AH1398" t="str">
        <f t="shared" si="415"/>
        <v>P000</v>
      </c>
      <c r="AI1398" t="str">
        <f t="shared" si="416"/>
        <v>0P00</v>
      </c>
      <c r="AJ1398" t="str">
        <f t="shared" si="417"/>
        <v>P000</v>
      </c>
    </row>
    <row r="1399" spans="1:36" x14ac:dyDescent="0.25">
      <c r="A1399" s="325" t="str">
        <f>CONCATENATE("P",'906MP'!M1099)</f>
        <v>P</v>
      </c>
      <c r="B1399">
        <f>'906MP'!H1099</f>
        <v>0</v>
      </c>
      <c r="C1399">
        <f>'906MP'!J1099</f>
        <v>0</v>
      </c>
      <c r="D1399">
        <f>'906MP'!P1099</f>
        <v>0</v>
      </c>
      <c r="E1399">
        <f>'906MP'!X1099</f>
        <v>0</v>
      </c>
      <c r="F1399" t="str">
        <f t="shared" si="409"/>
        <v>0</v>
      </c>
      <c r="G1399" t="str">
        <f t="shared" si="410"/>
        <v>0</v>
      </c>
      <c r="H1399">
        <f>'906MP'!Y1099</f>
        <v>0</v>
      </c>
      <c r="I1399">
        <f>'906MP'!AK1099</f>
        <v>0</v>
      </c>
      <c r="J1399">
        <f>'906MP'!T1099</f>
        <v>0</v>
      </c>
      <c r="K1399">
        <f>'906MP'!AJ1099</f>
        <v>0</v>
      </c>
      <c r="L1399">
        <f>'906MP'!U1099</f>
        <v>0</v>
      </c>
      <c r="M1399" s="322" t="str">
        <f>IFERROR(VLOOKUP(A1399,PAR!$D$3:$E$53,2,FALSE),"nincs szervezet")</f>
        <v>nincs szervezet</v>
      </c>
      <c r="N1399" s="322" t="str">
        <f>VLOOKUP(F1399,PAR!$R$3:$S$5,2,FALSE)</f>
        <v>3 - egyik sem</v>
      </c>
      <c r="O1399" t="str">
        <f>IFERROR(VLOOKUP(J1399,PAR!$O$3:$P$5,2,FALSE),"nincs feladat")</f>
        <v>nincs feladat</v>
      </c>
      <c r="P1399" t="str">
        <f>IFERROR(VLOOKUP(G1399,PAR!$J$2:$M$19,4),"nincs rovat")</f>
        <v>nincs rovat</v>
      </c>
      <c r="Q1399" t="str">
        <f>IF(H1399&gt;0,VLOOKUP(H1399,PAR!$AA$3:$AC$187,3,FALSE),"nincs főkönyvi számla")</f>
        <v>nincs főkönyvi számla</v>
      </c>
      <c r="R1399" t="str">
        <f>IFERROR(VLOOKUP(K1399,PAR!$V$3:$X$438,3,FALSE),"000000 - Nincs COFOG")</f>
        <v>000000 - Nincs COFOG</v>
      </c>
      <c r="S1399">
        <f t="shared" si="411"/>
        <v>0</v>
      </c>
      <c r="T1399">
        <f t="shared" si="412"/>
        <v>0</v>
      </c>
      <c r="U1399" t="str">
        <f>IF('906MP'!J1099&gt;0,CONCATENATE('906MP'!J1099," - ",'906MP'!P1099,", ",'906MP'!E1099),"nincs megjegyzés")</f>
        <v>nincs megjegyzés</v>
      </c>
      <c r="V1399" t="str">
        <f t="shared" si="399"/>
        <v>0P0</v>
      </c>
      <c r="W1399" t="str">
        <f t="shared" si="400"/>
        <v>0P0</v>
      </c>
      <c r="X1399" t="str">
        <f t="shared" si="401"/>
        <v>P0</v>
      </c>
      <c r="Y1399" t="str">
        <f t="shared" si="402"/>
        <v>00</v>
      </c>
      <c r="Z1399" t="str">
        <f t="shared" si="413"/>
        <v>00</v>
      </c>
      <c r="AA1399" t="str">
        <f t="shared" si="403"/>
        <v>00</v>
      </c>
      <c r="AB1399" t="str">
        <f t="shared" si="404"/>
        <v>00</v>
      </c>
      <c r="AC1399" t="str">
        <f t="shared" si="405"/>
        <v>0P0</v>
      </c>
      <c r="AD1399" t="str">
        <f t="shared" si="406"/>
        <v>P00</v>
      </c>
      <c r="AE1399" t="str">
        <f t="shared" si="407"/>
        <v>0P0</v>
      </c>
      <c r="AF1399" t="str">
        <f t="shared" si="408"/>
        <v>P00</v>
      </c>
      <c r="AG1399" t="str">
        <f t="shared" si="414"/>
        <v>0P00</v>
      </c>
      <c r="AH1399" t="str">
        <f t="shared" si="415"/>
        <v>P000</v>
      </c>
      <c r="AI1399" t="str">
        <f t="shared" si="416"/>
        <v>0P00</v>
      </c>
      <c r="AJ1399" t="str">
        <f t="shared" si="417"/>
        <v>P000</v>
      </c>
    </row>
    <row r="1400" spans="1:36" x14ac:dyDescent="0.25">
      <c r="A1400" s="325" t="str">
        <f>CONCATENATE("P",'906MP'!M1100)</f>
        <v>P</v>
      </c>
      <c r="B1400">
        <f>'906MP'!H1100</f>
        <v>0</v>
      </c>
      <c r="C1400">
        <f>'906MP'!J1100</f>
        <v>0</v>
      </c>
      <c r="D1400">
        <f>'906MP'!P1100</f>
        <v>0</v>
      </c>
      <c r="E1400">
        <f>'906MP'!X1100</f>
        <v>0</v>
      </c>
      <c r="F1400" t="str">
        <f t="shared" si="409"/>
        <v>0</v>
      </c>
      <c r="G1400" t="str">
        <f t="shared" si="410"/>
        <v>0</v>
      </c>
      <c r="H1400">
        <f>'906MP'!Y1100</f>
        <v>0</v>
      </c>
      <c r="I1400">
        <f>'906MP'!AK1100</f>
        <v>0</v>
      </c>
      <c r="J1400">
        <f>'906MP'!T1100</f>
        <v>0</v>
      </c>
      <c r="K1400">
        <f>'906MP'!AJ1100</f>
        <v>0</v>
      </c>
      <c r="L1400">
        <f>'906MP'!U1100</f>
        <v>0</v>
      </c>
      <c r="M1400" s="322" t="str">
        <f>IFERROR(VLOOKUP(A1400,PAR!$D$3:$E$53,2,FALSE),"nincs szervezet")</f>
        <v>nincs szervezet</v>
      </c>
      <c r="N1400" s="322" t="str">
        <f>VLOOKUP(F1400,PAR!$R$3:$S$5,2,FALSE)</f>
        <v>3 - egyik sem</v>
      </c>
      <c r="O1400" t="str">
        <f>IFERROR(VLOOKUP(J1400,PAR!$O$3:$P$5,2,FALSE),"nincs feladat")</f>
        <v>nincs feladat</v>
      </c>
      <c r="P1400" t="str">
        <f>IFERROR(VLOOKUP(G1400,PAR!$J$2:$M$19,4),"nincs rovat")</f>
        <v>nincs rovat</v>
      </c>
      <c r="Q1400" t="str">
        <f>IF(H1400&gt;0,VLOOKUP(H1400,PAR!$AA$3:$AC$187,3,FALSE),"nincs főkönyvi számla")</f>
        <v>nincs főkönyvi számla</v>
      </c>
      <c r="R1400" t="str">
        <f>IFERROR(VLOOKUP(K1400,PAR!$V$3:$X$438,3,FALSE),"000000 - Nincs COFOG")</f>
        <v>000000 - Nincs COFOG</v>
      </c>
      <c r="S1400">
        <f t="shared" si="411"/>
        <v>0</v>
      </c>
      <c r="T1400">
        <f t="shared" si="412"/>
        <v>0</v>
      </c>
      <c r="U1400" t="str">
        <f>IF('906MP'!J1100&gt;0,CONCATENATE('906MP'!J1100," - ",'906MP'!P1100,", ",'906MP'!E1100),"nincs megjegyzés")</f>
        <v>nincs megjegyzés</v>
      </c>
      <c r="V1400" t="str">
        <f t="shared" si="399"/>
        <v>0P0</v>
      </c>
      <c r="W1400" t="str">
        <f t="shared" si="400"/>
        <v>0P0</v>
      </c>
      <c r="X1400" t="str">
        <f t="shared" si="401"/>
        <v>P0</v>
      </c>
      <c r="Y1400" t="str">
        <f t="shared" si="402"/>
        <v>00</v>
      </c>
      <c r="Z1400" t="str">
        <f t="shared" si="413"/>
        <v>00</v>
      </c>
      <c r="AA1400" t="str">
        <f t="shared" si="403"/>
        <v>00</v>
      </c>
      <c r="AB1400" t="str">
        <f t="shared" si="404"/>
        <v>00</v>
      </c>
      <c r="AC1400" t="str">
        <f t="shared" si="405"/>
        <v>0P0</v>
      </c>
      <c r="AD1400" t="str">
        <f t="shared" si="406"/>
        <v>P00</v>
      </c>
      <c r="AE1400" t="str">
        <f t="shared" si="407"/>
        <v>0P0</v>
      </c>
      <c r="AF1400" t="str">
        <f t="shared" si="408"/>
        <v>P00</v>
      </c>
      <c r="AG1400" t="str">
        <f t="shared" si="414"/>
        <v>0P00</v>
      </c>
      <c r="AH1400" t="str">
        <f t="shared" si="415"/>
        <v>P000</v>
      </c>
      <c r="AI1400" t="str">
        <f t="shared" si="416"/>
        <v>0P00</v>
      </c>
      <c r="AJ1400" t="str">
        <f t="shared" si="417"/>
        <v>P000</v>
      </c>
    </row>
    <row r="1401" spans="1:36" x14ac:dyDescent="0.25">
      <c r="A1401" s="325" t="str">
        <f>CONCATENATE("P",'906MP'!M1101)</f>
        <v>P</v>
      </c>
      <c r="B1401">
        <f>'906MP'!H1101</f>
        <v>0</v>
      </c>
      <c r="C1401">
        <f>'906MP'!J1101</f>
        <v>0</v>
      </c>
      <c r="D1401">
        <f>'906MP'!P1101</f>
        <v>0</v>
      </c>
      <c r="E1401">
        <f>'906MP'!X1101</f>
        <v>0</v>
      </c>
      <c r="F1401" t="str">
        <f t="shared" si="409"/>
        <v>0</v>
      </c>
      <c r="G1401" t="str">
        <f t="shared" si="410"/>
        <v>0</v>
      </c>
      <c r="H1401">
        <f>'906MP'!Y1101</f>
        <v>0</v>
      </c>
      <c r="I1401">
        <f>'906MP'!AK1101</f>
        <v>0</v>
      </c>
      <c r="J1401">
        <f>'906MP'!T1101</f>
        <v>0</v>
      </c>
      <c r="K1401">
        <f>'906MP'!AJ1101</f>
        <v>0</v>
      </c>
      <c r="L1401">
        <f>'906MP'!U1101</f>
        <v>0</v>
      </c>
      <c r="M1401" s="322" t="str">
        <f>IFERROR(VLOOKUP(A1401,PAR!$D$3:$E$53,2,FALSE),"nincs szervezet")</f>
        <v>nincs szervezet</v>
      </c>
      <c r="N1401" s="322" t="str">
        <f>VLOOKUP(F1401,PAR!$R$3:$S$5,2,FALSE)</f>
        <v>3 - egyik sem</v>
      </c>
      <c r="O1401" t="str">
        <f>IFERROR(VLOOKUP(J1401,PAR!$O$3:$P$5,2,FALSE),"nincs feladat")</f>
        <v>nincs feladat</v>
      </c>
      <c r="P1401" t="str">
        <f>IFERROR(VLOOKUP(G1401,PAR!$J$2:$M$19,4),"nincs rovat")</f>
        <v>nincs rovat</v>
      </c>
      <c r="Q1401" t="str">
        <f>IF(H1401&gt;0,VLOOKUP(H1401,PAR!$AA$3:$AC$187,3,FALSE),"nincs főkönyvi számla")</f>
        <v>nincs főkönyvi számla</v>
      </c>
      <c r="R1401" t="str">
        <f>IFERROR(VLOOKUP(K1401,PAR!$V$3:$X$438,3,FALSE),"000000 - Nincs COFOG")</f>
        <v>000000 - Nincs COFOG</v>
      </c>
      <c r="S1401">
        <f t="shared" si="411"/>
        <v>0</v>
      </c>
      <c r="T1401">
        <f t="shared" si="412"/>
        <v>0</v>
      </c>
      <c r="U1401" t="str">
        <f>IF('906MP'!J1101&gt;0,CONCATENATE('906MP'!J1101," - ",'906MP'!P1101,", ",'906MP'!E1101),"nincs megjegyzés")</f>
        <v>nincs megjegyzés</v>
      </c>
      <c r="V1401" t="str">
        <f t="shared" si="399"/>
        <v>0P0</v>
      </c>
      <c r="W1401" t="str">
        <f t="shared" si="400"/>
        <v>0P0</v>
      </c>
      <c r="X1401" t="str">
        <f t="shared" si="401"/>
        <v>P0</v>
      </c>
      <c r="Y1401" t="str">
        <f t="shared" si="402"/>
        <v>00</v>
      </c>
      <c r="Z1401" t="str">
        <f t="shared" si="413"/>
        <v>00</v>
      </c>
      <c r="AA1401" t="str">
        <f t="shared" si="403"/>
        <v>00</v>
      </c>
      <c r="AB1401" t="str">
        <f t="shared" si="404"/>
        <v>00</v>
      </c>
      <c r="AC1401" t="str">
        <f t="shared" si="405"/>
        <v>0P0</v>
      </c>
      <c r="AD1401" t="str">
        <f t="shared" si="406"/>
        <v>P00</v>
      </c>
      <c r="AE1401" t="str">
        <f t="shared" si="407"/>
        <v>0P0</v>
      </c>
      <c r="AF1401" t="str">
        <f t="shared" si="408"/>
        <v>P00</v>
      </c>
      <c r="AG1401" t="str">
        <f t="shared" si="414"/>
        <v>0P00</v>
      </c>
      <c r="AH1401" t="str">
        <f t="shared" si="415"/>
        <v>P000</v>
      </c>
      <c r="AI1401" t="str">
        <f t="shared" si="416"/>
        <v>0P00</v>
      </c>
      <c r="AJ1401" t="str">
        <f t="shared" si="417"/>
        <v>P000</v>
      </c>
    </row>
    <row r="1402" spans="1:36" x14ac:dyDescent="0.25">
      <c r="A1402" s="325" t="str">
        <f>CONCATENATE("P",'906MP'!M1102)</f>
        <v>P</v>
      </c>
      <c r="B1402">
        <f>'906MP'!H1102</f>
        <v>0</v>
      </c>
      <c r="C1402">
        <f>'906MP'!J1102</f>
        <v>0</v>
      </c>
      <c r="D1402">
        <f>'906MP'!P1102</f>
        <v>0</v>
      </c>
      <c r="E1402">
        <f>'906MP'!X1102</f>
        <v>0</v>
      </c>
      <c r="F1402" t="str">
        <f t="shared" si="409"/>
        <v>0</v>
      </c>
      <c r="G1402" t="str">
        <f t="shared" si="410"/>
        <v>0</v>
      </c>
      <c r="H1402">
        <f>'906MP'!Y1102</f>
        <v>0</v>
      </c>
      <c r="I1402">
        <f>'906MP'!AK1102</f>
        <v>0</v>
      </c>
      <c r="J1402">
        <f>'906MP'!T1102</f>
        <v>0</v>
      </c>
      <c r="K1402">
        <f>'906MP'!AJ1102</f>
        <v>0</v>
      </c>
      <c r="L1402">
        <f>'906MP'!U1102</f>
        <v>0</v>
      </c>
      <c r="M1402" s="322" t="str">
        <f>IFERROR(VLOOKUP(A1402,PAR!$D$3:$E$53,2,FALSE),"nincs szervezet")</f>
        <v>nincs szervezet</v>
      </c>
      <c r="N1402" s="322" t="str">
        <f>VLOOKUP(F1402,PAR!$R$3:$S$5,2,FALSE)</f>
        <v>3 - egyik sem</v>
      </c>
      <c r="O1402" t="str">
        <f>IFERROR(VLOOKUP(J1402,PAR!$O$3:$P$5,2,FALSE),"nincs feladat")</f>
        <v>nincs feladat</v>
      </c>
      <c r="P1402" t="str">
        <f>IFERROR(VLOOKUP(G1402,PAR!$J$2:$M$19,4),"nincs rovat")</f>
        <v>nincs rovat</v>
      </c>
      <c r="Q1402" t="str">
        <f>IF(H1402&gt;0,VLOOKUP(H1402,PAR!$AA$3:$AC$187,3,FALSE),"nincs főkönyvi számla")</f>
        <v>nincs főkönyvi számla</v>
      </c>
      <c r="R1402" t="str">
        <f>IFERROR(VLOOKUP(K1402,PAR!$V$3:$X$438,3,FALSE),"000000 - Nincs COFOG")</f>
        <v>000000 - Nincs COFOG</v>
      </c>
      <c r="S1402">
        <f t="shared" si="411"/>
        <v>0</v>
      </c>
      <c r="T1402">
        <f t="shared" si="412"/>
        <v>0</v>
      </c>
      <c r="U1402" t="str">
        <f>IF('906MP'!J1102&gt;0,CONCATENATE('906MP'!J1102," - ",'906MP'!P1102,", ",'906MP'!E1102),"nincs megjegyzés")</f>
        <v>nincs megjegyzés</v>
      </c>
      <c r="V1402" t="str">
        <f t="shared" si="399"/>
        <v>0P0</v>
      </c>
      <c r="W1402" t="str">
        <f t="shared" si="400"/>
        <v>0P0</v>
      </c>
      <c r="X1402" t="str">
        <f t="shared" si="401"/>
        <v>P0</v>
      </c>
      <c r="Y1402" t="str">
        <f t="shared" si="402"/>
        <v>00</v>
      </c>
      <c r="Z1402" t="str">
        <f t="shared" si="413"/>
        <v>00</v>
      </c>
      <c r="AA1402" t="str">
        <f t="shared" si="403"/>
        <v>00</v>
      </c>
      <c r="AB1402" t="str">
        <f t="shared" si="404"/>
        <v>00</v>
      </c>
      <c r="AC1402" t="str">
        <f t="shared" si="405"/>
        <v>0P0</v>
      </c>
      <c r="AD1402" t="str">
        <f t="shared" si="406"/>
        <v>P00</v>
      </c>
      <c r="AE1402" t="str">
        <f t="shared" si="407"/>
        <v>0P0</v>
      </c>
      <c r="AF1402" t="str">
        <f t="shared" si="408"/>
        <v>P00</v>
      </c>
      <c r="AG1402" t="str">
        <f t="shared" si="414"/>
        <v>0P00</v>
      </c>
      <c r="AH1402" t="str">
        <f t="shared" si="415"/>
        <v>P000</v>
      </c>
      <c r="AI1402" t="str">
        <f t="shared" si="416"/>
        <v>0P00</v>
      </c>
      <c r="AJ1402" t="str">
        <f t="shared" si="417"/>
        <v>P000</v>
      </c>
    </row>
    <row r="1403" spans="1:36" x14ac:dyDescent="0.25">
      <c r="A1403" s="325" t="str">
        <f>CONCATENATE("P",'906MP'!M1103)</f>
        <v>P</v>
      </c>
      <c r="B1403">
        <f>'906MP'!H1103</f>
        <v>0</v>
      </c>
      <c r="C1403">
        <f>'906MP'!J1103</f>
        <v>0</v>
      </c>
      <c r="D1403">
        <f>'906MP'!P1103</f>
        <v>0</v>
      </c>
      <c r="E1403">
        <f>'906MP'!X1103</f>
        <v>0</v>
      </c>
      <c r="F1403" t="str">
        <f t="shared" si="409"/>
        <v>0</v>
      </c>
      <c r="G1403" t="str">
        <f t="shared" si="410"/>
        <v>0</v>
      </c>
      <c r="H1403">
        <f>'906MP'!Y1103</f>
        <v>0</v>
      </c>
      <c r="I1403">
        <f>'906MP'!AK1103</f>
        <v>0</v>
      </c>
      <c r="J1403">
        <f>'906MP'!T1103</f>
        <v>0</v>
      </c>
      <c r="K1403">
        <f>'906MP'!AJ1103</f>
        <v>0</v>
      </c>
      <c r="L1403">
        <f>'906MP'!U1103</f>
        <v>0</v>
      </c>
      <c r="M1403" s="322" t="str">
        <f>IFERROR(VLOOKUP(A1403,PAR!$D$3:$E$53,2,FALSE),"nincs szervezet")</f>
        <v>nincs szervezet</v>
      </c>
      <c r="N1403" s="322" t="str">
        <f>VLOOKUP(F1403,PAR!$R$3:$S$5,2,FALSE)</f>
        <v>3 - egyik sem</v>
      </c>
      <c r="O1403" t="str">
        <f>IFERROR(VLOOKUP(J1403,PAR!$O$3:$P$5,2,FALSE),"nincs feladat")</f>
        <v>nincs feladat</v>
      </c>
      <c r="P1403" t="str">
        <f>IFERROR(VLOOKUP(G1403,PAR!$J$2:$M$19,4),"nincs rovat")</f>
        <v>nincs rovat</v>
      </c>
      <c r="Q1403" t="str">
        <f>IF(H1403&gt;0,VLOOKUP(H1403,PAR!$AA$3:$AC$187,3,FALSE),"nincs főkönyvi számla")</f>
        <v>nincs főkönyvi számla</v>
      </c>
      <c r="R1403" t="str">
        <f>IFERROR(VLOOKUP(K1403,PAR!$V$3:$X$438,3,FALSE),"000000 - Nincs COFOG")</f>
        <v>000000 - Nincs COFOG</v>
      </c>
      <c r="S1403">
        <f t="shared" si="411"/>
        <v>0</v>
      </c>
      <c r="T1403">
        <f t="shared" si="412"/>
        <v>0</v>
      </c>
      <c r="U1403" t="str">
        <f>IF('906MP'!J1103&gt;0,CONCATENATE('906MP'!J1103," - ",'906MP'!P1103,", ",'906MP'!E1103),"nincs megjegyzés")</f>
        <v>nincs megjegyzés</v>
      </c>
      <c r="V1403" t="str">
        <f t="shared" si="399"/>
        <v>0P0</v>
      </c>
      <c r="W1403" t="str">
        <f t="shared" si="400"/>
        <v>0P0</v>
      </c>
      <c r="X1403" t="str">
        <f t="shared" si="401"/>
        <v>P0</v>
      </c>
      <c r="Y1403" t="str">
        <f t="shared" si="402"/>
        <v>00</v>
      </c>
      <c r="Z1403" t="str">
        <f t="shared" si="413"/>
        <v>00</v>
      </c>
      <c r="AA1403" t="str">
        <f t="shared" si="403"/>
        <v>00</v>
      </c>
      <c r="AB1403" t="str">
        <f t="shared" si="404"/>
        <v>00</v>
      </c>
      <c r="AC1403" t="str">
        <f t="shared" si="405"/>
        <v>0P0</v>
      </c>
      <c r="AD1403" t="str">
        <f t="shared" si="406"/>
        <v>P00</v>
      </c>
      <c r="AE1403" t="str">
        <f t="shared" si="407"/>
        <v>0P0</v>
      </c>
      <c r="AF1403" t="str">
        <f t="shared" si="408"/>
        <v>P00</v>
      </c>
      <c r="AG1403" t="str">
        <f t="shared" si="414"/>
        <v>0P00</v>
      </c>
      <c r="AH1403" t="str">
        <f t="shared" si="415"/>
        <v>P000</v>
      </c>
      <c r="AI1403" t="str">
        <f t="shared" si="416"/>
        <v>0P00</v>
      </c>
      <c r="AJ1403" t="str">
        <f t="shared" si="417"/>
        <v>P000</v>
      </c>
    </row>
    <row r="1404" spans="1:36" x14ac:dyDescent="0.25">
      <c r="A1404" s="325" t="str">
        <f>CONCATENATE("P",'906MP'!M1104)</f>
        <v>P</v>
      </c>
      <c r="B1404">
        <f>'906MP'!H1104</f>
        <v>0</v>
      </c>
      <c r="C1404">
        <f>'906MP'!J1104</f>
        <v>0</v>
      </c>
      <c r="D1404">
        <f>'906MP'!P1104</f>
        <v>0</v>
      </c>
      <c r="E1404">
        <f>'906MP'!X1104</f>
        <v>0</v>
      </c>
      <c r="F1404" t="str">
        <f t="shared" si="409"/>
        <v>0</v>
      </c>
      <c r="G1404" t="str">
        <f t="shared" si="410"/>
        <v>0</v>
      </c>
      <c r="H1404">
        <f>'906MP'!Y1104</f>
        <v>0</v>
      </c>
      <c r="I1404">
        <f>'906MP'!AK1104</f>
        <v>0</v>
      </c>
      <c r="J1404">
        <f>'906MP'!T1104</f>
        <v>0</v>
      </c>
      <c r="K1404">
        <f>'906MP'!AJ1104</f>
        <v>0</v>
      </c>
      <c r="L1404">
        <f>'906MP'!U1104</f>
        <v>0</v>
      </c>
      <c r="M1404" s="322" t="str">
        <f>IFERROR(VLOOKUP(A1404,PAR!$D$3:$E$53,2,FALSE),"nincs szervezet")</f>
        <v>nincs szervezet</v>
      </c>
      <c r="N1404" s="322" t="str">
        <f>VLOOKUP(F1404,PAR!$R$3:$S$5,2,FALSE)</f>
        <v>3 - egyik sem</v>
      </c>
      <c r="O1404" t="str">
        <f>IFERROR(VLOOKUP(J1404,PAR!$O$3:$P$5,2,FALSE),"nincs feladat")</f>
        <v>nincs feladat</v>
      </c>
      <c r="P1404" t="str">
        <f>IFERROR(VLOOKUP(G1404,PAR!$J$2:$M$19,4),"nincs rovat")</f>
        <v>nincs rovat</v>
      </c>
      <c r="Q1404" t="str">
        <f>IF(H1404&gt;0,VLOOKUP(H1404,PAR!$AA$3:$AC$187,3,FALSE),"nincs főkönyvi számla")</f>
        <v>nincs főkönyvi számla</v>
      </c>
      <c r="R1404" t="str">
        <f>IFERROR(VLOOKUP(K1404,PAR!$V$3:$X$438,3,FALSE),"000000 - Nincs COFOG")</f>
        <v>000000 - Nincs COFOG</v>
      </c>
      <c r="S1404">
        <f t="shared" si="411"/>
        <v>0</v>
      </c>
      <c r="T1404">
        <f t="shared" si="412"/>
        <v>0</v>
      </c>
      <c r="U1404" t="str">
        <f>IF('906MP'!J1104&gt;0,CONCATENATE('906MP'!J1104," - ",'906MP'!P1104,", ",'906MP'!E1104),"nincs megjegyzés")</f>
        <v>nincs megjegyzés</v>
      </c>
      <c r="V1404" t="str">
        <f t="shared" si="399"/>
        <v>0P0</v>
      </c>
      <c r="W1404" t="str">
        <f t="shared" si="400"/>
        <v>0P0</v>
      </c>
      <c r="X1404" t="str">
        <f t="shared" si="401"/>
        <v>P0</v>
      </c>
      <c r="Y1404" t="str">
        <f t="shared" si="402"/>
        <v>00</v>
      </c>
      <c r="Z1404" t="str">
        <f t="shared" si="413"/>
        <v>00</v>
      </c>
      <c r="AA1404" t="str">
        <f t="shared" si="403"/>
        <v>00</v>
      </c>
      <c r="AB1404" t="str">
        <f t="shared" si="404"/>
        <v>00</v>
      </c>
      <c r="AC1404" t="str">
        <f t="shared" si="405"/>
        <v>0P0</v>
      </c>
      <c r="AD1404" t="str">
        <f t="shared" si="406"/>
        <v>P00</v>
      </c>
      <c r="AE1404" t="str">
        <f t="shared" si="407"/>
        <v>0P0</v>
      </c>
      <c r="AF1404" t="str">
        <f t="shared" si="408"/>
        <v>P00</v>
      </c>
      <c r="AG1404" t="str">
        <f t="shared" si="414"/>
        <v>0P00</v>
      </c>
      <c r="AH1404" t="str">
        <f t="shared" si="415"/>
        <v>P000</v>
      </c>
      <c r="AI1404" t="str">
        <f t="shared" si="416"/>
        <v>0P00</v>
      </c>
      <c r="AJ1404" t="str">
        <f t="shared" si="417"/>
        <v>P000</v>
      </c>
    </row>
    <row r="1405" spans="1:36" x14ac:dyDescent="0.25">
      <c r="A1405" s="325" t="str">
        <f>CONCATENATE("P",'906MP'!M1105)</f>
        <v>P</v>
      </c>
      <c r="B1405">
        <f>'906MP'!H1105</f>
        <v>0</v>
      </c>
      <c r="C1405">
        <f>'906MP'!J1105</f>
        <v>0</v>
      </c>
      <c r="D1405">
        <f>'906MP'!P1105</f>
        <v>0</v>
      </c>
      <c r="E1405">
        <f>'906MP'!X1105</f>
        <v>0</v>
      </c>
      <c r="F1405" t="str">
        <f t="shared" si="409"/>
        <v>0</v>
      </c>
      <c r="G1405" t="str">
        <f t="shared" si="410"/>
        <v>0</v>
      </c>
      <c r="H1405">
        <f>'906MP'!Y1105</f>
        <v>0</v>
      </c>
      <c r="I1405">
        <f>'906MP'!AK1105</f>
        <v>0</v>
      </c>
      <c r="J1405">
        <f>'906MP'!T1105</f>
        <v>0</v>
      </c>
      <c r="K1405">
        <f>'906MP'!AJ1105</f>
        <v>0</v>
      </c>
      <c r="L1405">
        <f>'906MP'!U1105</f>
        <v>0</v>
      </c>
      <c r="M1405" s="322" t="str">
        <f>IFERROR(VLOOKUP(A1405,PAR!$D$3:$E$53,2,FALSE),"nincs szervezet")</f>
        <v>nincs szervezet</v>
      </c>
      <c r="N1405" s="322" t="str">
        <f>VLOOKUP(F1405,PAR!$R$3:$S$5,2,FALSE)</f>
        <v>3 - egyik sem</v>
      </c>
      <c r="O1405" t="str">
        <f>IFERROR(VLOOKUP(J1405,PAR!$O$3:$P$5,2,FALSE),"nincs feladat")</f>
        <v>nincs feladat</v>
      </c>
      <c r="P1405" t="str">
        <f>IFERROR(VLOOKUP(G1405,PAR!$J$2:$M$19,4),"nincs rovat")</f>
        <v>nincs rovat</v>
      </c>
      <c r="Q1405" t="str">
        <f>IF(H1405&gt;0,VLOOKUP(H1405,PAR!$AA$3:$AC$187,3,FALSE),"nincs főkönyvi számla")</f>
        <v>nincs főkönyvi számla</v>
      </c>
      <c r="R1405" t="str">
        <f>IFERROR(VLOOKUP(K1405,PAR!$V$3:$X$438,3,FALSE),"000000 - Nincs COFOG")</f>
        <v>000000 - Nincs COFOG</v>
      </c>
      <c r="S1405">
        <f t="shared" si="411"/>
        <v>0</v>
      </c>
      <c r="T1405">
        <f t="shared" si="412"/>
        <v>0</v>
      </c>
      <c r="U1405" t="str">
        <f>IF('906MP'!J1105&gt;0,CONCATENATE('906MP'!J1105," - ",'906MP'!P1105,", ",'906MP'!E1105),"nincs megjegyzés")</f>
        <v>nincs megjegyzés</v>
      </c>
      <c r="V1405" t="str">
        <f t="shared" si="399"/>
        <v>0P0</v>
      </c>
      <c r="W1405" t="str">
        <f t="shared" si="400"/>
        <v>0P0</v>
      </c>
      <c r="X1405" t="str">
        <f t="shared" si="401"/>
        <v>P0</v>
      </c>
      <c r="Y1405" t="str">
        <f t="shared" si="402"/>
        <v>00</v>
      </c>
      <c r="Z1405" t="str">
        <f t="shared" si="413"/>
        <v>00</v>
      </c>
      <c r="AA1405" t="str">
        <f t="shared" si="403"/>
        <v>00</v>
      </c>
      <c r="AB1405" t="str">
        <f t="shared" si="404"/>
        <v>00</v>
      </c>
      <c r="AC1405" t="str">
        <f t="shared" si="405"/>
        <v>0P0</v>
      </c>
      <c r="AD1405" t="str">
        <f t="shared" si="406"/>
        <v>P00</v>
      </c>
      <c r="AE1405" t="str">
        <f t="shared" si="407"/>
        <v>0P0</v>
      </c>
      <c r="AF1405" t="str">
        <f t="shared" si="408"/>
        <v>P00</v>
      </c>
      <c r="AG1405" t="str">
        <f t="shared" si="414"/>
        <v>0P00</v>
      </c>
      <c r="AH1405" t="str">
        <f t="shared" si="415"/>
        <v>P000</v>
      </c>
      <c r="AI1405" t="str">
        <f t="shared" si="416"/>
        <v>0P00</v>
      </c>
      <c r="AJ1405" t="str">
        <f t="shared" si="417"/>
        <v>P000</v>
      </c>
    </row>
    <row r="1406" spans="1:36" x14ac:dyDescent="0.25">
      <c r="A1406" s="325" t="str">
        <f>CONCATENATE("P",'906MP'!M1106)</f>
        <v>P</v>
      </c>
      <c r="B1406">
        <f>'906MP'!H1106</f>
        <v>0</v>
      </c>
      <c r="C1406">
        <f>'906MP'!J1106</f>
        <v>0</v>
      </c>
      <c r="D1406">
        <f>'906MP'!P1106</f>
        <v>0</v>
      </c>
      <c r="E1406">
        <f>'906MP'!X1106</f>
        <v>0</v>
      </c>
      <c r="F1406" t="str">
        <f t="shared" si="409"/>
        <v>0</v>
      </c>
      <c r="G1406" t="str">
        <f t="shared" si="410"/>
        <v>0</v>
      </c>
      <c r="H1406">
        <f>'906MP'!Y1106</f>
        <v>0</v>
      </c>
      <c r="I1406">
        <f>'906MP'!AK1106</f>
        <v>0</v>
      </c>
      <c r="J1406">
        <f>'906MP'!T1106</f>
        <v>0</v>
      </c>
      <c r="K1406">
        <f>'906MP'!AJ1106</f>
        <v>0</v>
      </c>
      <c r="L1406">
        <f>'906MP'!U1106</f>
        <v>0</v>
      </c>
      <c r="M1406" s="322" t="str">
        <f>IFERROR(VLOOKUP(A1406,PAR!$D$3:$E$53,2,FALSE),"nincs szervezet")</f>
        <v>nincs szervezet</v>
      </c>
      <c r="N1406" s="322" t="str">
        <f>VLOOKUP(F1406,PAR!$R$3:$S$5,2,FALSE)</f>
        <v>3 - egyik sem</v>
      </c>
      <c r="O1406" t="str">
        <f>IFERROR(VLOOKUP(J1406,PAR!$O$3:$P$5,2,FALSE),"nincs feladat")</f>
        <v>nincs feladat</v>
      </c>
      <c r="P1406" t="str">
        <f>IFERROR(VLOOKUP(G1406,PAR!$J$2:$M$19,4),"nincs rovat")</f>
        <v>nincs rovat</v>
      </c>
      <c r="Q1406" t="str">
        <f>IF(H1406&gt;0,VLOOKUP(H1406,PAR!$AA$3:$AC$187,3,FALSE),"nincs főkönyvi számla")</f>
        <v>nincs főkönyvi számla</v>
      </c>
      <c r="R1406" t="str">
        <f>IFERROR(VLOOKUP(K1406,PAR!$V$3:$X$438,3,FALSE),"000000 - Nincs COFOG")</f>
        <v>000000 - Nincs COFOG</v>
      </c>
      <c r="S1406">
        <f t="shared" si="411"/>
        <v>0</v>
      </c>
      <c r="T1406">
        <f t="shared" si="412"/>
        <v>0</v>
      </c>
      <c r="U1406" t="str">
        <f>IF('906MP'!J1106&gt;0,CONCATENATE('906MP'!J1106," - ",'906MP'!P1106,", ",'906MP'!E1106),"nincs megjegyzés")</f>
        <v>nincs megjegyzés</v>
      </c>
      <c r="V1406" t="str">
        <f t="shared" si="399"/>
        <v>0P0</v>
      </c>
      <c r="W1406" t="str">
        <f t="shared" si="400"/>
        <v>0P0</v>
      </c>
      <c r="X1406" t="str">
        <f t="shared" si="401"/>
        <v>P0</v>
      </c>
      <c r="Y1406" t="str">
        <f t="shared" si="402"/>
        <v>00</v>
      </c>
      <c r="Z1406" t="str">
        <f t="shared" si="413"/>
        <v>00</v>
      </c>
      <c r="AA1406" t="str">
        <f t="shared" si="403"/>
        <v>00</v>
      </c>
      <c r="AB1406" t="str">
        <f t="shared" si="404"/>
        <v>00</v>
      </c>
      <c r="AC1406" t="str">
        <f t="shared" si="405"/>
        <v>0P0</v>
      </c>
      <c r="AD1406" t="str">
        <f t="shared" si="406"/>
        <v>P00</v>
      </c>
      <c r="AE1406" t="str">
        <f t="shared" si="407"/>
        <v>0P0</v>
      </c>
      <c r="AF1406" t="str">
        <f t="shared" si="408"/>
        <v>P00</v>
      </c>
      <c r="AG1406" t="str">
        <f t="shared" si="414"/>
        <v>0P00</v>
      </c>
      <c r="AH1406" t="str">
        <f t="shared" si="415"/>
        <v>P000</v>
      </c>
      <c r="AI1406" t="str">
        <f t="shared" si="416"/>
        <v>0P00</v>
      </c>
      <c r="AJ1406" t="str">
        <f t="shared" si="417"/>
        <v>P000</v>
      </c>
    </row>
    <row r="1407" spans="1:36" x14ac:dyDescent="0.25">
      <c r="A1407" s="325" t="str">
        <f>CONCATENATE("P",'906MP'!M1107)</f>
        <v>P</v>
      </c>
      <c r="B1407">
        <f>'906MP'!H1107</f>
        <v>0</v>
      </c>
      <c r="C1407">
        <f>'906MP'!J1107</f>
        <v>0</v>
      </c>
      <c r="D1407">
        <f>'906MP'!P1107</f>
        <v>0</v>
      </c>
      <c r="E1407">
        <f>'906MP'!X1107</f>
        <v>0</v>
      </c>
      <c r="F1407" t="str">
        <f t="shared" si="409"/>
        <v>0</v>
      </c>
      <c r="G1407" t="str">
        <f t="shared" si="410"/>
        <v>0</v>
      </c>
      <c r="H1407">
        <f>'906MP'!Y1107</f>
        <v>0</v>
      </c>
      <c r="I1407">
        <f>'906MP'!AK1107</f>
        <v>0</v>
      </c>
      <c r="J1407">
        <f>'906MP'!T1107</f>
        <v>0</v>
      </c>
      <c r="K1407">
        <f>'906MP'!AJ1107</f>
        <v>0</v>
      </c>
      <c r="L1407">
        <f>'906MP'!U1107</f>
        <v>0</v>
      </c>
      <c r="M1407" s="322" t="str">
        <f>IFERROR(VLOOKUP(A1407,PAR!$D$3:$E$53,2,FALSE),"nincs szervezet")</f>
        <v>nincs szervezet</v>
      </c>
      <c r="N1407" s="322" t="str">
        <f>VLOOKUP(F1407,PAR!$R$3:$S$5,2,FALSE)</f>
        <v>3 - egyik sem</v>
      </c>
      <c r="O1407" t="str">
        <f>IFERROR(VLOOKUP(J1407,PAR!$O$3:$P$5,2,FALSE),"nincs feladat")</f>
        <v>nincs feladat</v>
      </c>
      <c r="P1407" t="str">
        <f>IFERROR(VLOOKUP(G1407,PAR!$J$2:$M$19,4),"nincs rovat")</f>
        <v>nincs rovat</v>
      </c>
      <c r="Q1407" t="str">
        <f>IF(H1407&gt;0,VLOOKUP(H1407,PAR!$AA$3:$AC$187,3,FALSE),"nincs főkönyvi számla")</f>
        <v>nincs főkönyvi számla</v>
      </c>
      <c r="R1407" t="str">
        <f>IFERROR(VLOOKUP(K1407,PAR!$V$3:$X$438,3,FALSE),"000000 - Nincs COFOG")</f>
        <v>000000 - Nincs COFOG</v>
      </c>
      <c r="S1407">
        <f t="shared" si="411"/>
        <v>0</v>
      </c>
      <c r="T1407">
        <f t="shared" si="412"/>
        <v>0</v>
      </c>
      <c r="U1407" t="str">
        <f>IF('906MP'!J1107&gt;0,CONCATENATE('906MP'!J1107," - ",'906MP'!P1107,", ",'906MP'!E1107),"nincs megjegyzés")</f>
        <v>nincs megjegyzés</v>
      </c>
      <c r="V1407" t="str">
        <f t="shared" si="399"/>
        <v>0P0</v>
      </c>
      <c r="W1407" t="str">
        <f t="shared" si="400"/>
        <v>0P0</v>
      </c>
      <c r="X1407" t="str">
        <f t="shared" si="401"/>
        <v>P0</v>
      </c>
      <c r="Y1407" t="str">
        <f t="shared" si="402"/>
        <v>00</v>
      </c>
      <c r="Z1407" t="str">
        <f t="shared" si="413"/>
        <v>00</v>
      </c>
      <c r="AA1407" t="str">
        <f t="shared" si="403"/>
        <v>00</v>
      </c>
      <c r="AB1407" t="str">
        <f t="shared" si="404"/>
        <v>00</v>
      </c>
      <c r="AC1407" t="str">
        <f t="shared" si="405"/>
        <v>0P0</v>
      </c>
      <c r="AD1407" t="str">
        <f t="shared" si="406"/>
        <v>P00</v>
      </c>
      <c r="AE1407" t="str">
        <f t="shared" si="407"/>
        <v>0P0</v>
      </c>
      <c r="AF1407" t="str">
        <f t="shared" si="408"/>
        <v>P00</v>
      </c>
      <c r="AG1407" t="str">
        <f t="shared" si="414"/>
        <v>0P00</v>
      </c>
      <c r="AH1407" t="str">
        <f t="shared" si="415"/>
        <v>P000</v>
      </c>
      <c r="AI1407" t="str">
        <f t="shared" si="416"/>
        <v>0P00</v>
      </c>
      <c r="AJ1407" t="str">
        <f t="shared" si="417"/>
        <v>P000</v>
      </c>
    </row>
    <row r="1408" spans="1:36" x14ac:dyDescent="0.25">
      <c r="A1408" s="325" t="str">
        <f>CONCATENATE("P",'906MP'!M1108)</f>
        <v>P</v>
      </c>
      <c r="B1408">
        <f>'906MP'!H1108</f>
        <v>0</v>
      </c>
      <c r="C1408">
        <f>'906MP'!J1108</f>
        <v>0</v>
      </c>
      <c r="D1408">
        <f>'906MP'!P1108</f>
        <v>0</v>
      </c>
      <c r="E1408">
        <f>'906MP'!X1108</f>
        <v>0</v>
      </c>
      <c r="F1408" t="str">
        <f t="shared" si="409"/>
        <v>0</v>
      </c>
      <c r="G1408" t="str">
        <f t="shared" si="410"/>
        <v>0</v>
      </c>
      <c r="H1408">
        <f>'906MP'!Y1108</f>
        <v>0</v>
      </c>
      <c r="I1408">
        <f>'906MP'!AK1108</f>
        <v>0</v>
      </c>
      <c r="J1408">
        <f>'906MP'!T1108</f>
        <v>0</v>
      </c>
      <c r="K1408">
        <f>'906MP'!AJ1108</f>
        <v>0</v>
      </c>
      <c r="L1408">
        <f>'906MP'!U1108</f>
        <v>0</v>
      </c>
      <c r="M1408" s="322" t="str">
        <f>IFERROR(VLOOKUP(A1408,PAR!$D$3:$E$53,2,FALSE),"nincs szervezet")</f>
        <v>nincs szervezet</v>
      </c>
      <c r="N1408" s="322" t="str">
        <f>VLOOKUP(F1408,PAR!$R$3:$S$5,2,FALSE)</f>
        <v>3 - egyik sem</v>
      </c>
      <c r="O1408" t="str">
        <f>IFERROR(VLOOKUP(J1408,PAR!$O$3:$P$5,2,FALSE),"nincs feladat")</f>
        <v>nincs feladat</v>
      </c>
      <c r="P1408" t="str">
        <f>IFERROR(VLOOKUP(G1408,PAR!$J$2:$M$19,4),"nincs rovat")</f>
        <v>nincs rovat</v>
      </c>
      <c r="Q1408" t="str">
        <f>IF(H1408&gt;0,VLOOKUP(H1408,PAR!$AA$3:$AC$187,3,FALSE),"nincs főkönyvi számla")</f>
        <v>nincs főkönyvi számla</v>
      </c>
      <c r="R1408" t="str">
        <f>IFERROR(VLOOKUP(K1408,PAR!$V$3:$X$438,3,FALSE),"000000 - Nincs COFOG")</f>
        <v>000000 - Nincs COFOG</v>
      </c>
      <c r="S1408">
        <f t="shared" si="411"/>
        <v>0</v>
      </c>
      <c r="T1408">
        <f t="shared" si="412"/>
        <v>0</v>
      </c>
      <c r="U1408" t="str">
        <f>IF('906MP'!J1108&gt;0,CONCATENATE('906MP'!J1108," - ",'906MP'!P1108,", ",'906MP'!E1108),"nincs megjegyzés")</f>
        <v>nincs megjegyzés</v>
      </c>
      <c r="V1408" t="str">
        <f t="shared" si="399"/>
        <v>0P0</v>
      </c>
      <c r="W1408" t="str">
        <f t="shared" si="400"/>
        <v>0P0</v>
      </c>
      <c r="X1408" t="str">
        <f t="shared" si="401"/>
        <v>P0</v>
      </c>
      <c r="Y1408" t="str">
        <f t="shared" si="402"/>
        <v>00</v>
      </c>
      <c r="Z1408" t="str">
        <f t="shared" si="413"/>
        <v>00</v>
      </c>
      <c r="AA1408" t="str">
        <f t="shared" si="403"/>
        <v>00</v>
      </c>
      <c r="AB1408" t="str">
        <f t="shared" si="404"/>
        <v>00</v>
      </c>
      <c r="AC1408" t="str">
        <f t="shared" si="405"/>
        <v>0P0</v>
      </c>
      <c r="AD1408" t="str">
        <f t="shared" si="406"/>
        <v>P00</v>
      </c>
      <c r="AE1408" t="str">
        <f t="shared" si="407"/>
        <v>0P0</v>
      </c>
      <c r="AF1408" t="str">
        <f t="shared" si="408"/>
        <v>P00</v>
      </c>
      <c r="AG1408" t="str">
        <f t="shared" si="414"/>
        <v>0P00</v>
      </c>
      <c r="AH1408" t="str">
        <f t="shared" si="415"/>
        <v>P000</v>
      </c>
      <c r="AI1408" t="str">
        <f t="shared" si="416"/>
        <v>0P00</v>
      </c>
      <c r="AJ1408" t="str">
        <f t="shared" si="417"/>
        <v>P000</v>
      </c>
    </row>
    <row r="1409" spans="1:36" x14ac:dyDescent="0.25">
      <c r="A1409" s="325" t="str">
        <f>CONCATENATE("P",'906MP'!M1109)</f>
        <v>P</v>
      </c>
      <c r="B1409">
        <f>'906MP'!H1109</f>
        <v>0</v>
      </c>
      <c r="C1409">
        <f>'906MP'!J1109</f>
        <v>0</v>
      </c>
      <c r="D1409">
        <f>'906MP'!P1109</f>
        <v>0</v>
      </c>
      <c r="E1409">
        <f>'906MP'!X1109</f>
        <v>0</v>
      </c>
      <c r="F1409" t="str">
        <f t="shared" si="409"/>
        <v>0</v>
      </c>
      <c r="G1409" t="str">
        <f t="shared" si="410"/>
        <v>0</v>
      </c>
      <c r="H1409">
        <f>'906MP'!Y1109</f>
        <v>0</v>
      </c>
      <c r="I1409">
        <f>'906MP'!AK1109</f>
        <v>0</v>
      </c>
      <c r="J1409">
        <f>'906MP'!T1109</f>
        <v>0</v>
      </c>
      <c r="K1409">
        <f>'906MP'!AJ1109</f>
        <v>0</v>
      </c>
      <c r="L1409">
        <f>'906MP'!U1109</f>
        <v>0</v>
      </c>
      <c r="M1409" s="322" t="str">
        <f>IFERROR(VLOOKUP(A1409,PAR!$D$3:$E$53,2,FALSE),"nincs szervezet")</f>
        <v>nincs szervezet</v>
      </c>
      <c r="N1409" s="322" t="str">
        <f>VLOOKUP(F1409,PAR!$R$3:$S$5,2,FALSE)</f>
        <v>3 - egyik sem</v>
      </c>
      <c r="O1409" t="str">
        <f>IFERROR(VLOOKUP(J1409,PAR!$O$3:$P$5,2,FALSE),"nincs feladat")</f>
        <v>nincs feladat</v>
      </c>
      <c r="P1409" t="str">
        <f>IFERROR(VLOOKUP(G1409,PAR!$J$2:$M$19,4),"nincs rovat")</f>
        <v>nincs rovat</v>
      </c>
      <c r="Q1409" t="str">
        <f>IF(H1409&gt;0,VLOOKUP(H1409,PAR!$AA$3:$AC$187,3,FALSE),"nincs főkönyvi számla")</f>
        <v>nincs főkönyvi számla</v>
      </c>
      <c r="R1409" t="str">
        <f>IFERROR(VLOOKUP(K1409,PAR!$V$3:$X$438,3,FALSE),"000000 - Nincs COFOG")</f>
        <v>000000 - Nincs COFOG</v>
      </c>
      <c r="S1409">
        <f t="shared" si="411"/>
        <v>0</v>
      </c>
      <c r="T1409">
        <f t="shared" si="412"/>
        <v>0</v>
      </c>
      <c r="U1409" t="str">
        <f>IF('906MP'!J1109&gt;0,CONCATENATE('906MP'!J1109," - ",'906MP'!P1109,", ",'906MP'!E1109),"nincs megjegyzés")</f>
        <v>nincs megjegyzés</v>
      </c>
      <c r="V1409" t="str">
        <f t="shared" si="399"/>
        <v>0P0</v>
      </c>
      <c r="W1409" t="str">
        <f t="shared" si="400"/>
        <v>0P0</v>
      </c>
      <c r="X1409" t="str">
        <f t="shared" si="401"/>
        <v>P0</v>
      </c>
      <c r="Y1409" t="str">
        <f t="shared" si="402"/>
        <v>00</v>
      </c>
      <c r="Z1409" t="str">
        <f t="shared" si="413"/>
        <v>00</v>
      </c>
      <c r="AA1409" t="str">
        <f t="shared" si="403"/>
        <v>00</v>
      </c>
      <c r="AB1409" t="str">
        <f t="shared" si="404"/>
        <v>00</v>
      </c>
      <c r="AC1409" t="str">
        <f t="shared" si="405"/>
        <v>0P0</v>
      </c>
      <c r="AD1409" t="str">
        <f t="shared" si="406"/>
        <v>P00</v>
      </c>
      <c r="AE1409" t="str">
        <f t="shared" si="407"/>
        <v>0P0</v>
      </c>
      <c r="AF1409" t="str">
        <f t="shared" si="408"/>
        <v>P00</v>
      </c>
      <c r="AG1409" t="str">
        <f t="shared" si="414"/>
        <v>0P00</v>
      </c>
      <c r="AH1409" t="str">
        <f t="shared" si="415"/>
        <v>P000</v>
      </c>
      <c r="AI1409" t="str">
        <f t="shared" si="416"/>
        <v>0P00</v>
      </c>
      <c r="AJ1409" t="str">
        <f t="shared" si="417"/>
        <v>P000</v>
      </c>
    </row>
    <row r="1410" spans="1:36" x14ac:dyDescent="0.25">
      <c r="A1410" s="325" t="str">
        <f>CONCATENATE("P",'906MP'!M1110)</f>
        <v>P</v>
      </c>
      <c r="B1410">
        <f>'906MP'!H1110</f>
        <v>0</v>
      </c>
      <c r="C1410">
        <f>'906MP'!J1110</f>
        <v>0</v>
      </c>
      <c r="D1410">
        <f>'906MP'!P1110</f>
        <v>0</v>
      </c>
      <c r="E1410">
        <f>'906MP'!X1110</f>
        <v>0</v>
      </c>
      <c r="F1410" t="str">
        <f t="shared" si="409"/>
        <v>0</v>
      </c>
      <c r="G1410" t="str">
        <f t="shared" si="410"/>
        <v>0</v>
      </c>
      <c r="H1410">
        <f>'906MP'!Y1110</f>
        <v>0</v>
      </c>
      <c r="I1410">
        <f>'906MP'!AK1110</f>
        <v>0</v>
      </c>
      <c r="J1410">
        <f>'906MP'!T1110</f>
        <v>0</v>
      </c>
      <c r="K1410">
        <f>'906MP'!AJ1110</f>
        <v>0</v>
      </c>
      <c r="L1410">
        <f>'906MP'!U1110</f>
        <v>0</v>
      </c>
      <c r="M1410" s="322" t="str">
        <f>IFERROR(VLOOKUP(A1410,PAR!$D$3:$E$53,2,FALSE),"nincs szervezet")</f>
        <v>nincs szervezet</v>
      </c>
      <c r="N1410" s="322" t="str">
        <f>VLOOKUP(F1410,PAR!$R$3:$S$5,2,FALSE)</f>
        <v>3 - egyik sem</v>
      </c>
      <c r="O1410" t="str">
        <f>IFERROR(VLOOKUP(J1410,PAR!$O$3:$P$5,2,FALSE),"nincs feladat")</f>
        <v>nincs feladat</v>
      </c>
      <c r="P1410" t="str">
        <f>IFERROR(VLOOKUP(G1410,PAR!$J$2:$M$19,4),"nincs rovat")</f>
        <v>nincs rovat</v>
      </c>
      <c r="Q1410" t="str">
        <f>IF(H1410&gt;0,VLOOKUP(H1410,PAR!$AA$3:$AC$187,3,FALSE),"nincs főkönyvi számla")</f>
        <v>nincs főkönyvi számla</v>
      </c>
      <c r="R1410" t="str">
        <f>IFERROR(VLOOKUP(K1410,PAR!$V$3:$X$438,3,FALSE),"000000 - Nincs COFOG")</f>
        <v>000000 - Nincs COFOG</v>
      </c>
      <c r="S1410">
        <f t="shared" si="411"/>
        <v>0</v>
      </c>
      <c r="T1410">
        <f t="shared" si="412"/>
        <v>0</v>
      </c>
      <c r="U1410" t="str">
        <f>IF('906MP'!J1110&gt;0,CONCATENATE('906MP'!J1110," - ",'906MP'!P1110,", ",'906MP'!E1110),"nincs megjegyzés")</f>
        <v>nincs megjegyzés</v>
      </c>
      <c r="V1410" t="str">
        <f t="shared" ref="V1410:V1473" si="418">CONCATENATE(B1410,A1410,G1410)</f>
        <v>0P0</v>
      </c>
      <c r="W1410" t="str">
        <f t="shared" ref="W1410:W1473" si="419">CONCATENATE(B1410,A1410,F1410)</f>
        <v>0P0</v>
      </c>
      <c r="X1410" t="str">
        <f t="shared" ref="X1410:X1473" si="420">CONCATENATE(A1410,H1410)</f>
        <v>P0</v>
      </c>
      <c r="Y1410" t="str">
        <f t="shared" ref="Y1410:Y1473" si="421">CONCATENATE(B1410,H1410)</f>
        <v>00</v>
      </c>
      <c r="Z1410" t="str">
        <f t="shared" si="413"/>
        <v>00</v>
      </c>
      <c r="AA1410" t="str">
        <f t="shared" ref="AA1410:AA1473" si="422">CONCATENATE(B1410,G1410)</f>
        <v>00</v>
      </c>
      <c r="AB1410" t="str">
        <f t="shared" ref="AB1410:AB1473" si="423">CONCATENATE(J1410,G1410)</f>
        <v>00</v>
      </c>
      <c r="AC1410" t="str">
        <f t="shared" ref="AC1410:AC1473" si="424">CONCATENATE(B1410,A1410,H1410)</f>
        <v>0P0</v>
      </c>
      <c r="AD1410" t="str">
        <f t="shared" ref="AD1410:AD1473" si="425">CONCATENATE(A1410,H1410,J1410)</f>
        <v>P00</v>
      </c>
      <c r="AE1410" t="str">
        <f t="shared" ref="AE1410:AE1473" si="426">CONCATENATE(B1410,A1410,G1410)</f>
        <v>0P0</v>
      </c>
      <c r="AF1410" t="str">
        <f t="shared" ref="AF1410:AF1473" si="427">CONCATENATE(A1410,G1410,J1410)</f>
        <v>P00</v>
      </c>
      <c r="AG1410" t="str">
        <f t="shared" si="414"/>
        <v>0P00</v>
      </c>
      <c r="AH1410" t="str">
        <f t="shared" si="415"/>
        <v>P000</v>
      </c>
      <c r="AI1410" t="str">
        <f t="shared" si="416"/>
        <v>0P00</v>
      </c>
      <c r="AJ1410" t="str">
        <f t="shared" si="417"/>
        <v>P000</v>
      </c>
    </row>
    <row r="1411" spans="1:36" x14ac:dyDescent="0.25">
      <c r="A1411" s="325" t="str">
        <f>CONCATENATE("P",'906MP'!M1111)</f>
        <v>P</v>
      </c>
      <c r="B1411">
        <f>'906MP'!H1111</f>
        <v>0</v>
      </c>
      <c r="C1411">
        <f>'906MP'!J1111</f>
        <v>0</v>
      </c>
      <c r="D1411">
        <f>'906MP'!P1111</f>
        <v>0</v>
      </c>
      <c r="E1411">
        <f>'906MP'!X1111</f>
        <v>0</v>
      </c>
      <c r="F1411" t="str">
        <f t="shared" ref="F1411:F1474" si="428">LEFT(G1411,2)</f>
        <v>0</v>
      </c>
      <c r="G1411" t="str">
        <f t="shared" ref="G1411:G1474" si="429">LEFT(H1411,3)</f>
        <v>0</v>
      </c>
      <c r="H1411">
        <f>'906MP'!Y1111</f>
        <v>0</v>
      </c>
      <c r="I1411">
        <f>'906MP'!AK1111</f>
        <v>0</v>
      </c>
      <c r="J1411">
        <f>'906MP'!T1111</f>
        <v>0</v>
      </c>
      <c r="K1411">
        <f>'906MP'!AJ1111</f>
        <v>0</v>
      </c>
      <c r="L1411">
        <f>'906MP'!U1111</f>
        <v>0</v>
      </c>
      <c r="M1411" s="322" t="str">
        <f>IFERROR(VLOOKUP(A1411,PAR!$D$3:$E$53,2,FALSE),"nincs szervezet")</f>
        <v>nincs szervezet</v>
      </c>
      <c r="N1411" s="322" t="str">
        <f>VLOOKUP(F1411,PAR!$R$3:$S$5,2,FALSE)</f>
        <v>3 - egyik sem</v>
      </c>
      <c r="O1411" t="str">
        <f>IFERROR(VLOOKUP(J1411,PAR!$O$3:$P$5,2,FALSE),"nincs feladat")</f>
        <v>nincs feladat</v>
      </c>
      <c r="P1411" t="str">
        <f>IFERROR(VLOOKUP(G1411,PAR!$J$2:$M$19,4),"nincs rovat")</f>
        <v>nincs rovat</v>
      </c>
      <c r="Q1411" t="str">
        <f>IF(H1411&gt;0,VLOOKUP(H1411,PAR!$AA$3:$AC$187,3,FALSE),"nincs főkönyvi számla")</f>
        <v>nincs főkönyvi számla</v>
      </c>
      <c r="R1411" t="str">
        <f>IFERROR(VLOOKUP(K1411,PAR!$V$3:$X$438,3,FALSE),"000000 - Nincs COFOG")</f>
        <v>000000 - Nincs COFOG</v>
      </c>
      <c r="S1411">
        <f t="shared" ref="S1411:S1474" si="430">E1411</f>
        <v>0</v>
      </c>
      <c r="T1411">
        <f t="shared" ref="T1411:T1474" si="431">IF(F1411="09",E1411*-1,E1411)</f>
        <v>0</v>
      </c>
      <c r="U1411" t="str">
        <f>IF('906MP'!J1111&gt;0,CONCATENATE('906MP'!J1111," - ",'906MP'!P1111,", ",'906MP'!E1111),"nincs megjegyzés")</f>
        <v>nincs megjegyzés</v>
      </c>
      <c r="V1411" t="str">
        <f t="shared" si="418"/>
        <v>0P0</v>
      </c>
      <c r="W1411" t="str">
        <f t="shared" si="419"/>
        <v>0P0</v>
      </c>
      <c r="X1411" t="str">
        <f t="shared" si="420"/>
        <v>P0</v>
      </c>
      <c r="Y1411" t="str">
        <f t="shared" si="421"/>
        <v>00</v>
      </c>
      <c r="Z1411" t="str">
        <f t="shared" ref="Z1411:Z1474" si="432">CONCATENATE(J1411,H1411)</f>
        <v>00</v>
      </c>
      <c r="AA1411" t="str">
        <f t="shared" si="422"/>
        <v>00</v>
      </c>
      <c r="AB1411" t="str">
        <f t="shared" si="423"/>
        <v>00</v>
      </c>
      <c r="AC1411" t="str">
        <f t="shared" si="424"/>
        <v>0P0</v>
      </c>
      <c r="AD1411" t="str">
        <f t="shared" si="425"/>
        <v>P00</v>
      </c>
      <c r="AE1411" t="str">
        <f t="shared" si="426"/>
        <v>0P0</v>
      </c>
      <c r="AF1411" t="str">
        <f t="shared" si="427"/>
        <v>P00</v>
      </c>
      <c r="AG1411" t="str">
        <f t="shared" ref="AG1411:AG1474" si="433">CONCATENATE(B1411,A1411,H1411,L1411)</f>
        <v>0P00</v>
      </c>
      <c r="AH1411" t="str">
        <f t="shared" ref="AH1411:AH1474" si="434">CONCATENATE(A1411,J1411,H1411,L1411)</f>
        <v>P000</v>
      </c>
      <c r="AI1411" t="str">
        <f t="shared" ref="AI1411:AI1474" si="435">CONCATENATE(B1411,A1411,G1411,L1411)</f>
        <v>0P00</v>
      </c>
      <c r="AJ1411" t="str">
        <f t="shared" ref="AJ1411:AJ1474" si="436">CONCATENATE(A1411,G1411,J1411,L1411)</f>
        <v>P000</v>
      </c>
    </row>
    <row r="1412" spans="1:36" x14ac:dyDescent="0.25">
      <c r="A1412" s="325" t="str">
        <f>CONCATENATE("P",'906MP'!M1112)</f>
        <v>P</v>
      </c>
      <c r="B1412">
        <f>'906MP'!H1112</f>
        <v>0</v>
      </c>
      <c r="C1412">
        <f>'906MP'!J1112</f>
        <v>0</v>
      </c>
      <c r="D1412">
        <f>'906MP'!P1112</f>
        <v>0</v>
      </c>
      <c r="E1412">
        <f>'906MP'!X1112</f>
        <v>0</v>
      </c>
      <c r="F1412" t="str">
        <f t="shared" si="428"/>
        <v>0</v>
      </c>
      <c r="G1412" t="str">
        <f t="shared" si="429"/>
        <v>0</v>
      </c>
      <c r="H1412">
        <f>'906MP'!Y1112</f>
        <v>0</v>
      </c>
      <c r="I1412">
        <f>'906MP'!AK1112</f>
        <v>0</v>
      </c>
      <c r="J1412">
        <f>'906MP'!T1112</f>
        <v>0</v>
      </c>
      <c r="K1412">
        <f>'906MP'!AJ1112</f>
        <v>0</v>
      </c>
      <c r="L1412">
        <f>'906MP'!U1112</f>
        <v>0</v>
      </c>
      <c r="M1412" s="322" t="str">
        <f>IFERROR(VLOOKUP(A1412,PAR!$D$3:$E$53,2,FALSE),"nincs szervezet")</f>
        <v>nincs szervezet</v>
      </c>
      <c r="N1412" s="322" t="str">
        <f>VLOOKUP(F1412,PAR!$R$3:$S$5,2,FALSE)</f>
        <v>3 - egyik sem</v>
      </c>
      <c r="O1412" t="str">
        <f>IFERROR(VLOOKUP(J1412,PAR!$O$3:$P$5,2,FALSE),"nincs feladat")</f>
        <v>nincs feladat</v>
      </c>
      <c r="P1412" t="str">
        <f>IFERROR(VLOOKUP(G1412,PAR!$J$2:$M$19,4),"nincs rovat")</f>
        <v>nincs rovat</v>
      </c>
      <c r="Q1412" t="str">
        <f>IF(H1412&gt;0,VLOOKUP(H1412,PAR!$AA$3:$AC$187,3,FALSE),"nincs főkönyvi számla")</f>
        <v>nincs főkönyvi számla</v>
      </c>
      <c r="R1412" t="str">
        <f>IFERROR(VLOOKUP(K1412,PAR!$V$3:$X$438,3,FALSE),"000000 - Nincs COFOG")</f>
        <v>000000 - Nincs COFOG</v>
      </c>
      <c r="S1412">
        <f t="shared" si="430"/>
        <v>0</v>
      </c>
      <c r="T1412">
        <f t="shared" si="431"/>
        <v>0</v>
      </c>
      <c r="U1412" t="str">
        <f>IF('906MP'!J1112&gt;0,CONCATENATE('906MP'!J1112," - ",'906MP'!P1112,", ",'906MP'!E1112),"nincs megjegyzés")</f>
        <v>nincs megjegyzés</v>
      </c>
      <c r="V1412" t="str">
        <f t="shared" si="418"/>
        <v>0P0</v>
      </c>
      <c r="W1412" t="str">
        <f t="shared" si="419"/>
        <v>0P0</v>
      </c>
      <c r="X1412" t="str">
        <f t="shared" si="420"/>
        <v>P0</v>
      </c>
      <c r="Y1412" t="str">
        <f t="shared" si="421"/>
        <v>00</v>
      </c>
      <c r="Z1412" t="str">
        <f t="shared" si="432"/>
        <v>00</v>
      </c>
      <c r="AA1412" t="str">
        <f t="shared" si="422"/>
        <v>00</v>
      </c>
      <c r="AB1412" t="str">
        <f t="shared" si="423"/>
        <v>00</v>
      </c>
      <c r="AC1412" t="str">
        <f t="shared" si="424"/>
        <v>0P0</v>
      </c>
      <c r="AD1412" t="str">
        <f t="shared" si="425"/>
        <v>P00</v>
      </c>
      <c r="AE1412" t="str">
        <f t="shared" si="426"/>
        <v>0P0</v>
      </c>
      <c r="AF1412" t="str">
        <f t="shared" si="427"/>
        <v>P00</v>
      </c>
      <c r="AG1412" t="str">
        <f t="shared" si="433"/>
        <v>0P00</v>
      </c>
      <c r="AH1412" t="str">
        <f t="shared" si="434"/>
        <v>P000</v>
      </c>
      <c r="AI1412" t="str">
        <f t="shared" si="435"/>
        <v>0P00</v>
      </c>
      <c r="AJ1412" t="str">
        <f t="shared" si="436"/>
        <v>P000</v>
      </c>
    </row>
    <row r="1413" spans="1:36" x14ac:dyDescent="0.25">
      <c r="A1413" s="325" t="str">
        <f>CONCATENATE("P",'906MP'!M1113)</f>
        <v>P</v>
      </c>
      <c r="B1413">
        <f>'906MP'!H1113</f>
        <v>0</v>
      </c>
      <c r="C1413">
        <f>'906MP'!J1113</f>
        <v>0</v>
      </c>
      <c r="D1413">
        <f>'906MP'!P1113</f>
        <v>0</v>
      </c>
      <c r="E1413">
        <f>'906MP'!X1113</f>
        <v>0</v>
      </c>
      <c r="F1413" t="str">
        <f t="shared" si="428"/>
        <v>0</v>
      </c>
      <c r="G1413" t="str">
        <f t="shared" si="429"/>
        <v>0</v>
      </c>
      <c r="H1413">
        <f>'906MP'!Y1113</f>
        <v>0</v>
      </c>
      <c r="I1413">
        <f>'906MP'!AK1113</f>
        <v>0</v>
      </c>
      <c r="J1413">
        <f>'906MP'!T1113</f>
        <v>0</v>
      </c>
      <c r="K1413">
        <f>'906MP'!AJ1113</f>
        <v>0</v>
      </c>
      <c r="L1413">
        <f>'906MP'!U1113</f>
        <v>0</v>
      </c>
      <c r="M1413" s="322" t="str">
        <f>IFERROR(VLOOKUP(A1413,PAR!$D$3:$E$53,2,FALSE),"nincs szervezet")</f>
        <v>nincs szervezet</v>
      </c>
      <c r="N1413" s="322" t="str">
        <f>VLOOKUP(F1413,PAR!$R$3:$S$5,2,FALSE)</f>
        <v>3 - egyik sem</v>
      </c>
      <c r="O1413" t="str">
        <f>IFERROR(VLOOKUP(J1413,PAR!$O$3:$P$5,2,FALSE),"nincs feladat")</f>
        <v>nincs feladat</v>
      </c>
      <c r="P1413" t="str">
        <f>IFERROR(VLOOKUP(G1413,PAR!$J$2:$M$19,4),"nincs rovat")</f>
        <v>nincs rovat</v>
      </c>
      <c r="Q1413" t="str">
        <f>IF(H1413&gt;0,VLOOKUP(H1413,PAR!$AA$3:$AC$187,3,FALSE),"nincs főkönyvi számla")</f>
        <v>nincs főkönyvi számla</v>
      </c>
      <c r="R1413" t="str">
        <f>IFERROR(VLOOKUP(K1413,PAR!$V$3:$X$438,3,FALSE),"000000 - Nincs COFOG")</f>
        <v>000000 - Nincs COFOG</v>
      </c>
      <c r="S1413">
        <f t="shared" si="430"/>
        <v>0</v>
      </c>
      <c r="T1413">
        <f t="shared" si="431"/>
        <v>0</v>
      </c>
      <c r="U1413" t="str">
        <f>IF('906MP'!J1113&gt;0,CONCATENATE('906MP'!J1113," - ",'906MP'!P1113,", ",'906MP'!E1113),"nincs megjegyzés")</f>
        <v>nincs megjegyzés</v>
      </c>
      <c r="V1413" t="str">
        <f t="shared" si="418"/>
        <v>0P0</v>
      </c>
      <c r="W1413" t="str">
        <f t="shared" si="419"/>
        <v>0P0</v>
      </c>
      <c r="X1413" t="str">
        <f t="shared" si="420"/>
        <v>P0</v>
      </c>
      <c r="Y1413" t="str">
        <f t="shared" si="421"/>
        <v>00</v>
      </c>
      <c r="Z1413" t="str">
        <f t="shared" si="432"/>
        <v>00</v>
      </c>
      <c r="AA1413" t="str">
        <f t="shared" si="422"/>
        <v>00</v>
      </c>
      <c r="AB1413" t="str">
        <f t="shared" si="423"/>
        <v>00</v>
      </c>
      <c r="AC1413" t="str">
        <f t="shared" si="424"/>
        <v>0P0</v>
      </c>
      <c r="AD1413" t="str">
        <f t="shared" si="425"/>
        <v>P00</v>
      </c>
      <c r="AE1413" t="str">
        <f t="shared" si="426"/>
        <v>0P0</v>
      </c>
      <c r="AF1413" t="str">
        <f t="shared" si="427"/>
        <v>P00</v>
      </c>
      <c r="AG1413" t="str">
        <f t="shared" si="433"/>
        <v>0P00</v>
      </c>
      <c r="AH1413" t="str">
        <f t="shared" si="434"/>
        <v>P000</v>
      </c>
      <c r="AI1413" t="str">
        <f t="shared" si="435"/>
        <v>0P00</v>
      </c>
      <c r="AJ1413" t="str">
        <f t="shared" si="436"/>
        <v>P000</v>
      </c>
    </row>
    <row r="1414" spans="1:36" x14ac:dyDescent="0.25">
      <c r="A1414" s="325" t="str">
        <f>CONCATENATE("P",'906MP'!M1114)</f>
        <v>P</v>
      </c>
      <c r="B1414">
        <f>'906MP'!H1114</f>
        <v>0</v>
      </c>
      <c r="C1414">
        <f>'906MP'!J1114</f>
        <v>0</v>
      </c>
      <c r="D1414">
        <f>'906MP'!P1114</f>
        <v>0</v>
      </c>
      <c r="E1414">
        <f>'906MP'!X1114</f>
        <v>0</v>
      </c>
      <c r="F1414" t="str">
        <f t="shared" si="428"/>
        <v>0</v>
      </c>
      <c r="G1414" t="str">
        <f t="shared" si="429"/>
        <v>0</v>
      </c>
      <c r="H1414">
        <f>'906MP'!Y1114</f>
        <v>0</v>
      </c>
      <c r="I1414">
        <f>'906MP'!AK1114</f>
        <v>0</v>
      </c>
      <c r="J1414">
        <f>'906MP'!T1114</f>
        <v>0</v>
      </c>
      <c r="K1414">
        <f>'906MP'!AJ1114</f>
        <v>0</v>
      </c>
      <c r="L1414">
        <f>'906MP'!U1114</f>
        <v>0</v>
      </c>
      <c r="M1414" s="322" t="str">
        <f>IFERROR(VLOOKUP(A1414,PAR!$D$3:$E$53,2,FALSE),"nincs szervezet")</f>
        <v>nincs szervezet</v>
      </c>
      <c r="N1414" s="322" t="str">
        <f>VLOOKUP(F1414,PAR!$R$3:$S$5,2,FALSE)</f>
        <v>3 - egyik sem</v>
      </c>
      <c r="O1414" t="str">
        <f>IFERROR(VLOOKUP(J1414,PAR!$O$3:$P$5,2,FALSE),"nincs feladat")</f>
        <v>nincs feladat</v>
      </c>
      <c r="P1414" t="str">
        <f>IFERROR(VLOOKUP(G1414,PAR!$J$2:$M$19,4),"nincs rovat")</f>
        <v>nincs rovat</v>
      </c>
      <c r="Q1414" t="str">
        <f>IF(H1414&gt;0,VLOOKUP(H1414,PAR!$AA$3:$AC$187,3,FALSE),"nincs főkönyvi számla")</f>
        <v>nincs főkönyvi számla</v>
      </c>
      <c r="R1414" t="str">
        <f>IFERROR(VLOOKUP(K1414,PAR!$V$3:$X$438,3,FALSE),"000000 - Nincs COFOG")</f>
        <v>000000 - Nincs COFOG</v>
      </c>
      <c r="S1414">
        <f t="shared" si="430"/>
        <v>0</v>
      </c>
      <c r="T1414">
        <f t="shared" si="431"/>
        <v>0</v>
      </c>
      <c r="U1414" t="str">
        <f>IF('906MP'!J1114&gt;0,CONCATENATE('906MP'!J1114," - ",'906MP'!P1114,", ",'906MP'!E1114),"nincs megjegyzés")</f>
        <v>nincs megjegyzés</v>
      </c>
      <c r="V1414" t="str">
        <f t="shared" si="418"/>
        <v>0P0</v>
      </c>
      <c r="W1414" t="str">
        <f t="shared" si="419"/>
        <v>0P0</v>
      </c>
      <c r="X1414" t="str">
        <f t="shared" si="420"/>
        <v>P0</v>
      </c>
      <c r="Y1414" t="str">
        <f t="shared" si="421"/>
        <v>00</v>
      </c>
      <c r="Z1414" t="str">
        <f t="shared" si="432"/>
        <v>00</v>
      </c>
      <c r="AA1414" t="str">
        <f t="shared" si="422"/>
        <v>00</v>
      </c>
      <c r="AB1414" t="str">
        <f t="shared" si="423"/>
        <v>00</v>
      </c>
      <c r="AC1414" t="str">
        <f t="shared" si="424"/>
        <v>0P0</v>
      </c>
      <c r="AD1414" t="str">
        <f t="shared" si="425"/>
        <v>P00</v>
      </c>
      <c r="AE1414" t="str">
        <f t="shared" si="426"/>
        <v>0P0</v>
      </c>
      <c r="AF1414" t="str">
        <f t="shared" si="427"/>
        <v>P00</v>
      </c>
      <c r="AG1414" t="str">
        <f t="shared" si="433"/>
        <v>0P00</v>
      </c>
      <c r="AH1414" t="str">
        <f t="shared" si="434"/>
        <v>P000</v>
      </c>
      <c r="AI1414" t="str">
        <f t="shared" si="435"/>
        <v>0P00</v>
      </c>
      <c r="AJ1414" t="str">
        <f t="shared" si="436"/>
        <v>P000</v>
      </c>
    </row>
    <row r="1415" spans="1:36" x14ac:dyDescent="0.25">
      <c r="A1415" s="325" t="str">
        <f>CONCATENATE("P",'906MP'!M1115)</f>
        <v>P</v>
      </c>
      <c r="B1415">
        <f>'906MP'!H1115</f>
        <v>0</v>
      </c>
      <c r="C1415">
        <f>'906MP'!J1115</f>
        <v>0</v>
      </c>
      <c r="D1415">
        <f>'906MP'!P1115</f>
        <v>0</v>
      </c>
      <c r="E1415">
        <f>'906MP'!X1115</f>
        <v>0</v>
      </c>
      <c r="F1415" t="str">
        <f t="shared" si="428"/>
        <v>0</v>
      </c>
      <c r="G1415" t="str">
        <f t="shared" si="429"/>
        <v>0</v>
      </c>
      <c r="H1415">
        <f>'906MP'!Y1115</f>
        <v>0</v>
      </c>
      <c r="I1415">
        <f>'906MP'!AK1115</f>
        <v>0</v>
      </c>
      <c r="J1415">
        <f>'906MP'!T1115</f>
        <v>0</v>
      </c>
      <c r="K1415">
        <f>'906MP'!AJ1115</f>
        <v>0</v>
      </c>
      <c r="L1415">
        <f>'906MP'!U1115</f>
        <v>0</v>
      </c>
      <c r="M1415" s="322" t="str">
        <f>IFERROR(VLOOKUP(A1415,PAR!$D$3:$E$53,2,FALSE),"nincs szervezet")</f>
        <v>nincs szervezet</v>
      </c>
      <c r="N1415" s="322" t="str">
        <f>VLOOKUP(F1415,PAR!$R$3:$S$5,2,FALSE)</f>
        <v>3 - egyik sem</v>
      </c>
      <c r="O1415" t="str">
        <f>IFERROR(VLOOKUP(J1415,PAR!$O$3:$P$5,2,FALSE),"nincs feladat")</f>
        <v>nincs feladat</v>
      </c>
      <c r="P1415" t="str">
        <f>IFERROR(VLOOKUP(G1415,PAR!$J$2:$M$19,4),"nincs rovat")</f>
        <v>nincs rovat</v>
      </c>
      <c r="Q1415" t="str">
        <f>IF(H1415&gt;0,VLOOKUP(H1415,PAR!$AA$3:$AC$187,3,FALSE),"nincs főkönyvi számla")</f>
        <v>nincs főkönyvi számla</v>
      </c>
      <c r="R1415" t="str">
        <f>IFERROR(VLOOKUP(K1415,PAR!$V$3:$X$438,3,FALSE),"000000 - Nincs COFOG")</f>
        <v>000000 - Nincs COFOG</v>
      </c>
      <c r="S1415">
        <f t="shared" si="430"/>
        <v>0</v>
      </c>
      <c r="T1415">
        <f t="shared" si="431"/>
        <v>0</v>
      </c>
      <c r="U1415" t="str">
        <f>IF('906MP'!J1115&gt;0,CONCATENATE('906MP'!J1115," - ",'906MP'!P1115,", ",'906MP'!E1115),"nincs megjegyzés")</f>
        <v>nincs megjegyzés</v>
      </c>
      <c r="V1415" t="str">
        <f t="shared" si="418"/>
        <v>0P0</v>
      </c>
      <c r="W1415" t="str">
        <f t="shared" si="419"/>
        <v>0P0</v>
      </c>
      <c r="X1415" t="str">
        <f t="shared" si="420"/>
        <v>P0</v>
      </c>
      <c r="Y1415" t="str">
        <f t="shared" si="421"/>
        <v>00</v>
      </c>
      <c r="Z1415" t="str">
        <f t="shared" si="432"/>
        <v>00</v>
      </c>
      <c r="AA1415" t="str">
        <f t="shared" si="422"/>
        <v>00</v>
      </c>
      <c r="AB1415" t="str">
        <f t="shared" si="423"/>
        <v>00</v>
      </c>
      <c r="AC1415" t="str">
        <f t="shared" si="424"/>
        <v>0P0</v>
      </c>
      <c r="AD1415" t="str">
        <f t="shared" si="425"/>
        <v>P00</v>
      </c>
      <c r="AE1415" t="str">
        <f t="shared" si="426"/>
        <v>0P0</v>
      </c>
      <c r="AF1415" t="str">
        <f t="shared" si="427"/>
        <v>P00</v>
      </c>
      <c r="AG1415" t="str">
        <f t="shared" si="433"/>
        <v>0P00</v>
      </c>
      <c r="AH1415" t="str">
        <f t="shared" si="434"/>
        <v>P000</v>
      </c>
      <c r="AI1415" t="str">
        <f t="shared" si="435"/>
        <v>0P00</v>
      </c>
      <c r="AJ1415" t="str">
        <f t="shared" si="436"/>
        <v>P000</v>
      </c>
    </row>
    <row r="1416" spans="1:36" x14ac:dyDescent="0.25">
      <c r="A1416" s="325" t="str">
        <f>CONCATENATE("P",'906MP'!M1116)</f>
        <v>P</v>
      </c>
      <c r="B1416">
        <f>'906MP'!H1116</f>
        <v>0</v>
      </c>
      <c r="C1416">
        <f>'906MP'!J1116</f>
        <v>0</v>
      </c>
      <c r="D1416">
        <f>'906MP'!P1116</f>
        <v>0</v>
      </c>
      <c r="E1416">
        <f>'906MP'!X1116</f>
        <v>0</v>
      </c>
      <c r="F1416" t="str">
        <f t="shared" si="428"/>
        <v>0</v>
      </c>
      <c r="G1416" t="str">
        <f t="shared" si="429"/>
        <v>0</v>
      </c>
      <c r="H1416">
        <f>'906MP'!Y1116</f>
        <v>0</v>
      </c>
      <c r="I1416">
        <f>'906MP'!AK1116</f>
        <v>0</v>
      </c>
      <c r="J1416">
        <f>'906MP'!T1116</f>
        <v>0</v>
      </c>
      <c r="K1416">
        <f>'906MP'!AJ1116</f>
        <v>0</v>
      </c>
      <c r="L1416">
        <f>'906MP'!U1116</f>
        <v>0</v>
      </c>
      <c r="M1416" s="322" t="str">
        <f>IFERROR(VLOOKUP(A1416,PAR!$D$3:$E$53,2,FALSE),"nincs szervezet")</f>
        <v>nincs szervezet</v>
      </c>
      <c r="N1416" s="322" t="str">
        <f>VLOOKUP(F1416,PAR!$R$3:$S$5,2,FALSE)</f>
        <v>3 - egyik sem</v>
      </c>
      <c r="O1416" t="str">
        <f>IFERROR(VLOOKUP(J1416,PAR!$O$3:$P$5,2,FALSE),"nincs feladat")</f>
        <v>nincs feladat</v>
      </c>
      <c r="P1416" t="str">
        <f>IFERROR(VLOOKUP(G1416,PAR!$J$2:$M$19,4),"nincs rovat")</f>
        <v>nincs rovat</v>
      </c>
      <c r="Q1416" t="str">
        <f>IF(H1416&gt;0,VLOOKUP(H1416,PAR!$AA$3:$AC$187,3,FALSE),"nincs főkönyvi számla")</f>
        <v>nincs főkönyvi számla</v>
      </c>
      <c r="R1416" t="str">
        <f>IFERROR(VLOOKUP(K1416,PAR!$V$3:$X$438,3,FALSE),"000000 - Nincs COFOG")</f>
        <v>000000 - Nincs COFOG</v>
      </c>
      <c r="S1416">
        <f t="shared" si="430"/>
        <v>0</v>
      </c>
      <c r="T1416">
        <f t="shared" si="431"/>
        <v>0</v>
      </c>
      <c r="U1416" t="str">
        <f>IF('906MP'!J1116&gt;0,CONCATENATE('906MP'!J1116," - ",'906MP'!P1116,", ",'906MP'!E1116),"nincs megjegyzés")</f>
        <v>nincs megjegyzés</v>
      </c>
      <c r="V1416" t="str">
        <f t="shared" si="418"/>
        <v>0P0</v>
      </c>
      <c r="W1416" t="str">
        <f t="shared" si="419"/>
        <v>0P0</v>
      </c>
      <c r="X1416" t="str">
        <f t="shared" si="420"/>
        <v>P0</v>
      </c>
      <c r="Y1416" t="str">
        <f t="shared" si="421"/>
        <v>00</v>
      </c>
      <c r="Z1416" t="str">
        <f t="shared" si="432"/>
        <v>00</v>
      </c>
      <c r="AA1416" t="str">
        <f t="shared" si="422"/>
        <v>00</v>
      </c>
      <c r="AB1416" t="str">
        <f t="shared" si="423"/>
        <v>00</v>
      </c>
      <c r="AC1416" t="str">
        <f t="shared" si="424"/>
        <v>0P0</v>
      </c>
      <c r="AD1416" t="str">
        <f t="shared" si="425"/>
        <v>P00</v>
      </c>
      <c r="AE1416" t="str">
        <f t="shared" si="426"/>
        <v>0P0</v>
      </c>
      <c r="AF1416" t="str">
        <f t="shared" si="427"/>
        <v>P00</v>
      </c>
      <c r="AG1416" t="str">
        <f t="shared" si="433"/>
        <v>0P00</v>
      </c>
      <c r="AH1416" t="str">
        <f t="shared" si="434"/>
        <v>P000</v>
      </c>
      <c r="AI1416" t="str">
        <f t="shared" si="435"/>
        <v>0P00</v>
      </c>
      <c r="AJ1416" t="str">
        <f t="shared" si="436"/>
        <v>P000</v>
      </c>
    </row>
    <row r="1417" spans="1:36" x14ac:dyDescent="0.25">
      <c r="A1417" s="325" t="str">
        <f>CONCATENATE("P",'906MP'!M1117)</f>
        <v>P</v>
      </c>
      <c r="B1417">
        <f>'906MP'!H1117</f>
        <v>0</v>
      </c>
      <c r="C1417">
        <f>'906MP'!J1117</f>
        <v>0</v>
      </c>
      <c r="D1417">
        <f>'906MP'!P1117</f>
        <v>0</v>
      </c>
      <c r="E1417">
        <f>'906MP'!X1117</f>
        <v>0</v>
      </c>
      <c r="F1417" t="str">
        <f t="shared" si="428"/>
        <v>0</v>
      </c>
      <c r="G1417" t="str">
        <f t="shared" si="429"/>
        <v>0</v>
      </c>
      <c r="H1417">
        <f>'906MP'!Y1117</f>
        <v>0</v>
      </c>
      <c r="I1417">
        <f>'906MP'!AK1117</f>
        <v>0</v>
      </c>
      <c r="J1417">
        <f>'906MP'!T1117</f>
        <v>0</v>
      </c>
      <c r="K1417">
        <f>'906MP'!AJ1117</f>
        <v>0</v>
      </c>
      <c r="L1417">
        <f>'906MP'!U1117</f>
        <v>0</v>
      </c>
      <c r="M1417" s="322" t="str">
        <f>IFERROR(VLOOKUP(A1417,PAR!$D$3:$E$53,2,FALSE),"nincs szervezet")</f>
        <v>nincs szervezet</v>
      </c>
      <c r="N1417" s="322" t="str">
        <f>VLOOKUP(F1417,PAR!$R$3:$S$5,2,FALSE)</f>
        <v>3 - egyik sem</v>
      </c>
      <c r="O1417" t="str">
        <f>IFERROR(VLOOKUP(J1417,PAR!$O$3:$P$5,2,FALSE),"nincs feladat")</f>
        <v>nincs feladat</v>
      </c>
      <c r="P1417" t="str">
        <f>IFERROR(VLOOKUP(G1417,PAR!$J$2:$M$19,4),"nincs rovat")</f>
        <v>nincs rovat</v>
      </c>
      <c r="Q1417" t="str">
        <f>IF(H1417&gt;0,VLOOKUP(H1417,PAR!$AA$3:$AC$187,3,FALSE),"nincs főkönyvi számla")</f>
        <v>nincs főkönyvi számla</v>
      </c>
      <c r="R1417" t="str">
        <f>IFERROR(VLOOKUP(K1417,PAR!$V$3:$X$438,3,FALSE),"000000 - Nincs COFOG")</f>
        <v>000000 - Nincs COFOG</v>
      </c>
      <c r="S1417">
        <f t="shared" si="430"/>
        <v>0</v>
      </c>
      <c r="T1417">
        <f t="shared" si="431"/>
        <v>0</v>
      </c>
      <c r="U1417" t="str">
        <f>IF('906MP'!J1117&gt;0,CONCATENATE('906MP'!J1117," - ",'906MP'!P1117,", ",'906MP'!E1117),"nincs megjegyzés")</f>
        <v>nincs megjegyzés</v>
      </c>
      <c r="V1417" t="str">
        <f t="shared" si="418"/>
        <v>0P0</v>
      </c>
      <c r="W1417" t="str">
        <f t="shared" si="419"/>
        <v>0P0</v>
      </c>
      <c r="X1417" t="str">
        <f t="shared" si="420"/>
        <v>P0</v>
      </c>
      <c r="Y1417" t="str">
        <f t="shared" si="421"/>
        <v>00</v>
      </c>
      <c r="Z1417" t="str">
        <f t="shared" si="432"/>
        <v>00</v>
      </c>
      <c r="AA1417" t="str">
        <f t="shared" si="422"/>
        <v>00</v>
      </c>
      <c r="AB1417" t="str">
        <f t="shared" si="423"/>
        <v>00</v>
      </c>
      <c r="AC1417" t="str">
        <f t="shared" si="424"/>
        <v>0P0</v>
      </c>
      <c r="AD1417" t="str">
        <f t="shared" si="425"/>
        <v>P00</v>
      </c>
      <c r="AE1417" t="str">
        <f t="shared" si="426"/>
        <v>0P0</v>
      </c>
      <c r="AF1417" t="str">
        <f t="shared" si="427"/>
        <v>P00</v>
      </c>
      <c r="AG1417" t="str">
        <f t="shared" si="433"/>
        <v>0P00</v>
      </c>
      <c r="AH1417" t="str">
        <f t="shared" si="434"/>
        <v>P000</v>
      </c>
      <c r="AI1417" t="str">
        <f t="shared" si="435"/>
        <v>0P00</v>
      </c>
      <c r="AJ1417" t="str">
        <f t="shared" si="436"/>
        <v>P000</v>
      </c>
    </row>
    <row r="1418" spans="1:36" x14ac:dyDescent="0.25">
      <c r="A1418" s="325" t="str">
        <f>CONCATENATE("P",'906MP'!M1118)</f>
        <v>P</v>
      </c>
      <c r="B1418">
        <f>'906MP'!H1118</f>
        <v>0</v>
      </c>
      <c r="C1418">
        <f>'906MP'!J1118</f>
        <v>0</v>
      </c>
      <c r="D1418">
        <f>'906MP'!P1118</f>
        <v>0</v>
      </c>
      <c r="E1418">
        <f>'906MP'!X1118</f>
        <v>0</v>
      </c>
      <c r="F1418" t="str">
        <f t="shared" si="428"/>
        <v>0</v>
      </c>
      <c r="G1418" t="str">
        <f t="shared" si="429"/>
        <v>0</v>
      </c>
      <c r="H1418">
        <f>'906MP'!Y1118</f>
        <v>0</v>
      </c>
      <c r="I1418">
        <f>'906MP'!AK1118</f>
        <v>0</v>
      </c>
      <c r="J1418">
        <f>'906MP'!T1118</f>
        <v>0</v>
      </c>
      <c r="K1418">
        <f>'906MP'!AJ1118</f>
        <v>0</v>
      </c>
      <c r="L1418">
        <f>'906MP'!U1118</f>
        <v>0</v>
      </c>
      <c r="M1418" s="322" t="str">
        <f>IFERROR(VLOOKUP(A1418,PAR!$D$3:$E$53,2,FALSE),"nincs szervezet")</f>
        <v>nincs szervezet</v>
      </c>
      <c r="N1418" s="322" t="str">
        <f>VLOOKUP(F1418,PAR!$R$3:$S$5,2,FALSE)</f>
        <v>3 - egyik sem</v>
      </c>
      <c r="O1418" t="str">
        <f>IFERROR(VLOOKUP(J1418,PAR!$O$3:$P$5,2,FALSE),"nincs feladat")</f>
        <v>nincs feladat</v>
      </c>
      <c r="P1418" t="str">
        <f>IFERROR(VLOOKUP(G1418,PAR!$J$2:$M$19,4),"nincs rovat")</f>
        <v>nincs rovat</v>
      </c>
      <c r="Q1418" t="str">
        <f>IF(H1418&gt;0,VLOOKUP(H1418,PAR!$AA$3:$AC$187,3,FALSE),"nincs főkönyvi számla")</f>
        <v>nincs főkönyvi számla</v>
      </c>
      <c r="R1418" t="str">
        <f>IFERROR(VLOOKUP(K1418,PAR!$V$3:$X$438,3,FALSE),"000000 - Nincs COFOG")</f>
        <v>000000 - Nincs COFOG</v>
      </c>
      <c r="S1418">
        <f t="shared" si="430"/>
        <v>0</v>
      </c>
      <c r="T1418">
        <f t="shared" si="431"/>
        <v>0</v>
      </c>
      <c r="U1418" t="str">
        <f>IF('906MP'!J1118&gt;0,CONCATENATE('906MP'!J1118," - ",'906MP'!P1118,", ",'906MP'!E1118),"nincs megjegyzés")</f>
        <v>nincs megjegyzés</v>
      </c>
      <c r="V1418" t="str">
        <f t="shared" si="418"/>
        <v>0P0</v>
      </c>
      <c r="W1418" t="str">
        <f t="shared" si="419"/>
        <v>0P0</v>
      </c>
      <c r="X1418" t="str">
        <f t="shared" si="420"/>
        <v>P0</v>
      </c>
      <c r="Y1418" t="str">
        <f t="shared" si="421"/>
        <v>00</v>
      </c>
      <c r="Z1418" t="str">
        <f t="shared" si="432"/>
        <v>00</v>
      </c>
      <c r="AA1418" t="str">
        <f t="shared" si="422"/>
        <v>00</v>
      </c>
      <c r="AB1418" t="str">
        <f t="shared" si="423"/>
        <v>00</v>
      </c>
      <c r="AC1418" t="str">
        <f t="shared" si="424"/>
        <v>0P0</v>
      </c>
      <c r="AD1418" t="str">
        <f t="shared" si="425"/>
        <v>P00</v>
      </c>
      <c r="AE1418" t="str">
        <f t="shared" si="426"/>
        <v>0P0</v>
      </c>
      <c r="AF1418" t="str">
        <f t="shared" si="427"/>
        <v>P00</v>
      </c>
      <c r="AG1418" t="str">
        <f t="shared" si="433"/>
        <v>0P00</v>
      </c>
      <c r="AH1418" t="str">
        <f t="shared" si="434"/>
        <v>P000</v>
      </c>
      <c r="AI1418" t="str">
        <f t="shared" si="435"/>
        <v>0P00</v>
      </c>
      <c r="AJ1418" t="str">
        <f t="shared" si="436"/>
        <v>P000</v>
      </c>
    </row>
    <row r="1419" spans="1:36" x14ac:dyDescent="0.25">
      <c r="A1419" s="325" t="str">
        <f>CONCATENATE("P",'906MP'!M1119)</f>
        <v>P</v>
      </c>
      <c r="B1419">
        <f>'906MP'!H1119</f>
        <v>0</v>
      </c>
      <c r="C1419">
        <f>'906MP'!J1119</f>
        <v>0</v>
      </c>
      <c r="D1419">
        <f>'906MP'!P1119</f>
        <v>0</v>
      </c>
      <c r="E1419">
        <f>'906MP'!X1119</f>
        <v>0</v>
      </c>
      <c r="F1419" t="str">
        <f t="shared" si="428"/>
        <v>0</v>
      </c>
      <c r="G1419" t="str">
        <f t="shared" si="429"/>
        <v>0</v>
      </c>
      <c r="H1419">
        <f>'906MP'!Y1119</f>
        <v>0</v>
      </c>
      <c r="I1419">
        <f>'906MP'!AK1119</f>
        <v>0</v>
      </c>
      <c r="J1419">
        <f>'906MP'!T1119</f>
        <v>0</v>
      </c>
      <c r="K1419">
        <f>'906MP'!AJ1119</f>
        <v>0</v>
      </c>
      <c r="L1419">
        <f>'906MP'!U1119</f>
        <v>0</v>
      </c>
      <c r="M1419" s="322" t="str">
        <f>IFERROR(VLOOKUP(A1419,PAR!$D$3:$E$53,2,FALSE),"nincs szervezet")</f>
        <v>nincs szervezet</v>
      </c>
      <c r="N1419" s="322" t="str">
        <f>VLOOKUP(F1419,PAR!$R$3:$S$5,2,FALSE)</f>
        <v>3 - egyik sem</v>
      </c>
      <c r="O1419" t="str">
        <f>IFERROR(VLOOKUP(J1419,PAR!$O$3:$P$5,2,FALSE),"nincs feladat")</f>
        <v>nincs feladat</v>
      </c>
      <c r="P1419" t="str">
        <f>IFERROR(VLOOKUP(G1419,PAR!$J$2:$M$19,4),"nincs rovat")</f>
        <v>nincs rovat</v>
      </c>
      <c r="Q1419" t="str">
        <f>IF(H1419&gt;0,VLOOKUP(H1419,PAR!$AA$3:$AC$187,3,FALSE),"nincs főkönyvi számla")</f>
        <v>nincs főkönyvi számla</v>
      </c>
      <c r="R1419" t="str">
        <f>IFERROR(VLOOKUP(K1419,PAR!$V$3:$X$438,3,FALSE),"000000 - Nincs COFOG")</f>
        <v>000000 - Nincs COFOG</v>
      </c>
      <c r="S1419">
        <f t="shared" si="430"/>
        <v>0</v>
      </c>
      <c r="T1419">
        <f t="shared" si="431"/>
        <v>0</v>
      </c>
      <c r="U1419" t="str">
        <f>IF('906MP'!J1119&gt;0,CONCATENATE('906MP'!J1119," - ",'906MP'!P1119,", ",'906MP'!E1119),"nincs megjegyzés")</f>
        <v>nincs megjegyzés</v>
      </c>
      <c r="V1419" t="str">
        <f t="shared" si="418"/>
        <v>0P0</v>
      </c>
      <c r="W1419" t="str">
        <f t="shared" si="419"/>
        <v>0P0</v>
      </c>
      <c r="X1419" t="str">
        <f t="shared" si="420"/>
        <v>P0</v>
      </c>
      <c r="Y1419" t="str">
        <f t="shared" si="421"/>
        <v>00</v>
      </c>
      <c r="Z1419" t="str">
        <f t="shared" si="432"/>
        <v>00</v>
      </c>
      <c r="AA1419" t="str">
        <f t="shared" si="422"/>
        <v>00</v>
      </c>
      <c r="AB1419" t="str">
        <f t="shared" si="423"/>
        <v>00</v>
      </c>
      <c r="AC1419" t="str">
        <f t="shared" si="424"/>
        <v>0P0</v>
      </c>
      <c r="AD1419" t="str">
        <f t="shared" si="425"/>
        <v>P00</v>
      </c>
      <c r="AE1419" t="str">
        <f t="shared" si="426"/>
        <v>0P0</v>
      </c>
      <c r="AF1419" t="str">
        <f t="shared" si="427"/>
        <v>P00</v>
      </c>
      <c r="AG1419" t="str">
        <f t="shared" si="433"/>
        <v>0P00</v>
      </c>
      <c r="AH1419" t="str">
        <f t="shared" si="434"/>
        <v>P000</v>
      </c>
      <c r="AI1419" t="str">
        <f t="shared" si="435"/>
        <v>0P00</v>
      </c>
      <c r="AJ1419" t="str">
        <f t="shared" si="436"/>
        <v>P000</v>
      </c>
    </row>
    <row r="1420" spans="1:36" x14ac:dyDescent="0.25">
      <c r="A1420" s="325" t="str">
        <f>CONCATENATE("P",'906MP'!M1120)</f>
        <v>P</v>
      </c>
      <c r="B1420">
        <f>'906MP'!H1120</f>
        <v>0</v>
      </c>
      <c r="C1420">
        <f>'906MP'!J1120</f>
        <v>0</v>
      </c>
      <c r="D1420">
        <f>'906MP'!P1120</f>
        <v>0</v>
      </c>
      <c r="E1420">
        <f>'906MP'!X1120</f>
        <v>0</v>
      </c>
      <c r="F1420" t="str">
        <f t="shared" si="428"/>
        <v>0</v>
      </c>
      <c r="G1420" t="str">
        <f t="shared" si="429"/>
        <v>0</v>
      </c>
      <c r="H1420">
        <f>'906MP'!Y1120</f>
        <v>0</v>
      </c>
      <c r="I1420">
        <f>'906MP'!AK1120</f>
        <v>0</v>
      </c>
      <c r="J1420">
        <f>'906MP'!T1120</f>
        <v>0</v>
      </c>
      <c r="K1420">
        <f>'906MP'!AJ1120</f>
        <v>0</v>
      </c>
      <c r="L1420">
        <f>'906MP'!U1120</f>
        <v>0</v>
      </c>
      <c r="M1420" s="322" t="str">
        <f>IFERROR(VLOOKUP(A1420,PAR!$D$3:$E$53,2,FALSE),"nincs szervezet")</f>
        <v>nincs szervezet</v>
      </c>
      <c r="N1420" s="322" t="str">
        <f>VLOOKUP(F1420,PAR!$R$3:$S$5,2,FALSE)</f>
        <v>3 - egyik sem</v>
      </c>
      <c r="O1420" t="str">
        <f>IFERROR(VLOOKUP(J1420,PAR!$O$3:$P$5,2,FALSE),"nincs feladat")</f>
        <v>nincs feladat</v>
      </c>
      <c r="P1420" t="str">
        <f>IFERROR(VLOOKUP(G1420,PAR!$J$2:$M$19,4),"nincs rovat")</f>
        <v>nincs rovat</v>
      </c>
      <c r="Q1420" t="str">
        <f>IF(H1420&gt;0,VLOOKUP(H1420,PAR!$AA$3:$AC$187,3,FALSE),"nincs főkönyvi számla")</f>
        <v>nincs főkönyvi számla</v>
      </c>
      <c r="R1420" t="str">
        <f>IFERROR(VLOOKUP(K1420,PAR!$V$3:$X$438,3,FALSE),"000000 - Nincs COFOG")</f>
        <v>000000 - Nincs COFOG</v>
      </c>
      <c r="S1420">
        <f t="shared" si="430"/>
        <v>0</v>
      </c>
      <c r="T1420">
        <f t="shared" si="431"/>
        <v>0</v>
      </c>
      <c r="U1420" t="str">
        <f>IF('906MP'!J1120&gt;0,CONCATENATE('906MP'!J1120," - ",'906MP'!P1120,", ",'906MP'!E1120),"nincs megjegyzés")</f>
        <v>nincs megjegyzés</v>
      </c>
      <c r="V1420" t="str">
        <f t="shared" si="418"/>
        <v>0P0</v>
      </c>
      <c r="W1420" t="str">
        <f t="shared" si="419"/>
        <v>0P0</v>
      </c>
      <c r="X1420" t="str">
        <f t="shared" si="420"/>
        <v>P0</v>
      </c>
      <c r="Y1420" t="str">
        <f t="shared" si="421"/>
        <v>00</v>
      </c>
      <c r="Z1420" t="str">
        <f t="shared" si="432"/>
        <v>00</v>
      </c>
      <c r="AA1420" t="str">
        <f t="shared" si="422"/>
        <v>00</v>
      </c>
      <c r="AB1420" t="str">
        <f t="shared" si="423"/>
        <v>00</v>
      </c>
      <c r="AC1420" t="str">
        <f t="shared" si="424"/>
        <v>0P0</v>
      </c>
      <c r="AD1420" t="str">
        <f t="shared" si="425"/>
        <v>P00</v>
      </c>
      <c r="AE1420" t="str">
        <f t="shared" si="426"/>
        <v>0P0</v>
      </c>
      <c r="AF1420" t="str">
        <f t="shared" si="427"/>
        <v>P00</v>
      </c>
      <c r="AG1420" t="str">
        <f t="shared" si="433"/>
        <v>0P00</v>
      </c>
      <c r="AH1420" t="str">
        <f t="shared" si="434"/>
        <v>P000</v>
      </c>
      <c r="AI1420" t="str">
        <f t="shared" si="435"/>
        <v>0P00</v>
      </c>
      <c r="AJ1420" t="str">
        <f t="shared" si="436"/>
        <v>P000</v>
      </c>
    </row>
    <row r="1421" spans="1:36" x14ac:dyDescent="0.25">
      <c r="A1421" s="325" t="str">
        <f>CONCATENATE("P",'906MP'!M1121)</f>
        <v>P</v>
      </c>
      <c r="B1421">
        <f>'906MP'!H1121</f>
        <v>0</v>
      </c>
      <c r="C1421">
        <f>'906MP'!J1121</f>
        <v>0</v>
      </c>
      <c r="D1421">
        <f>'906MP'!P1121</f>
        <v>0</v>
      </c>
      <c r="E1421">
        <f>'906MP'!X1121</f>
        <v>0</v>
      </c>
      <c r="F1421" t="str">
        <f t="shared" si="428"/>
        <v>0</v>
      </c>
      <c r="G1421" t="str">
        <f t="shared" si="429"/>
        <v>0</v>
      </c>
      <c r="H1421">
        <f>'906MP'!Y1121</f>
        <v>0</v>
      </c>
      <c r="I1421">
        <f>'906MP'!AK1121</f>
        <v>0</v>
      </c>
      <c r="J1421">
        <f>'906MP'!T1121</f>
        <v>0</v>
      </c>
      <c r="K1421">
        <f>'906MP'!AJ1121</f>
        <v>0</v>
      </c>
      <c r="L1421">
        <f>'906MP'!U1121</f>
        <v>0</v>
      </c>
      <c r="M1421" s="322" t="str">
        <f>IFERROR(VLOOKUP(A1421,PAR!$D$3:$E$53,2,FALSE),"nincs szervezet")</f>
        <v>nincs szervezet</v>
      </c>
      <c r="N1421" s="322" t="str">
        <f>VLOOKUP(F1421,PAR!$R$3:$S$5,2,FALSE)</f>
        <v>3 - egyik sem</v>
      </c>
      <c r="O1421" t="str">
        <f>IFERROR(VLOOKUP(J1421,PAR!$O$3:$P$5,2,FALSE),"nincs feladat")</f>
        <v>nincs feladat</v>
      </c>
      <c r="P1421" t="str">
        <f>IFERROR(VLOOKUP(G1421,PAR!$J$2:$M$19,4),"nincs rovat")</f>
        <v>nincs rovat</v>
      </c>
      <c r="Q1421" t="str">
        <f>IF(H1421&gt;0,VLOOKUP(H1421,PAR!$AA$3:$AC$187,3,FALSE),"nincs főkönyvi számla")</f>
        <v>nincs főkönyvi számla</v>
      </c>
      <c r="R1421" t="str">
        <f>IFERROR(VLOOKUP(K1421,PAR!$V$3:$X$438,3,FALSE),"000000 - Nincs COFOG")</f>
        <v>000000 - Nincs COFOG</v>
      </c>
      <c r="S1421">
        <f t="shared" si="430"/>
        <v>0</v>
      </c>
      <c r="T1421">
        <f t="shared" si="431"/>
        <v>0</v>
      </c>
      <c r="U1421" t="str">
        <f>IF('906MP'!J1121&gt;0,CONCATENATE('906MP'!J1121," - ",'906MP'!P1121,", ",'906MP'!E1121),"nincs megjegyzés")</f>
        <v>nincs megjegyzés</v>
      </c>
      <c r="V1421" t="str">
        <f t="shared" si="418"/>
        <v>0P0</v>
      </c>
      <c r="W1421" t="str">
        <f t="shared" si="419"/>
        <v>0P0</v>
      </c>
      <c r="X1421" t="str">
        <f t="shared" si="420"/>
        <v>P0</v>
      </c>
      <c r="Y1421" t="str">
        <f t="shared" si="421"/>
        <v>00</v>
      </c>
      <c r="Z1421" t="str">
        <f t="shared" si="432"/>
        <v>00</v>
      </c>
      <c r="AA1421" t="str">
        <f t="shared" si="422"/>
        <v>00</v>
      </c>
      <c r="AB1421" t="str">
        <f t="shared" si="423"/>
        <v>00</v>
      </c>
      <c r="AC1421" t="str">
        <f t="shared" si="424"/>
        <v>0P0</v>
      </c>
      <c r="AD1421" t="str">
        <f t="shared" si="425"/>
        <v>P00</v>
      </c>
      <c r="AE1421" t="str">
        <f t="shared" si="426"/>
        <v>0P0</v>
      </c>
      <c r="AF1421" t="str">
        <f t="shared" si="427"/>
        <v>P00</v>
      </c>
      <c r="AG1421" t="str">
        <f t="shared" si="433"/>
        <v>0P00</v>
      </c>
      <c r="AH1421" t="str">
        <f t="shared" si="434"/>
        <v>P000</v>
      </c>
      <c r="AI1421" t="str">
        <f t="shared" si="435"/>
        <v>0P00</v>
      </c>
      <c r="AJ1421" t="str">
        <f t="shared" si="436"/>
        <v>P000</v>
      </c>
    </row>
    <row r="1422" spans="1:36" x14ac:dyDescent="0.25">
      <c r="A1422" s="325" t="str">
        <f>CONCATENATE("P",'906MP'!M1122)</f>
        <v>P</v>
      </c>
      <c r="B1422">
        <f>'906MP'!H1122</f>
        <v>0</v>
      </c>
      <c r="C1422">
        <f>'906MP'!J1122</f>
        <v>0</v>
      </c>
      <c r="D1422">
        <f>'906MP'!P1122</f>
        <v>0</v>
      </c>
      <c r="E1422">
        <f>'906MP'!X1122</f>
        <v>0</v>
      </c>
      <c r="F1422" t="str">
        <f t="shared" si="428"/>
        <v>0</v>
      </c>
      <c r="G1422" t="str">
        <f t="shared" si="429"/>
        <v>0</v>
      </c>
      <c r="H1422">
        <f>'906MP'!Y1122</f>
        <v>0</v>
      </c>
      <c r="I1422">
        <f>'906MP'!AK1122</f>
        <v>0</v>
      </c>
      <c r="J1422">
        <f>'906MP'!T1122</f>
        <v>0</v>
      </c>
      <c r="K1422">
        <f>'906MP'!AJ1122</f>
        <v>0</v>
      </c>
      <c r="L1422">
        <f>'906MP'!U1122</f>
        <v>0</v>
      </c>
      <c r="M1422" s="322" t="str">
        <f>IFERROR(VLOOKUP(A1422,PAR!$D$3:$E$53,2,FALSE),"nincs szervezet")</f>
        <v>nincs szervezet</v>
      </c>
      <c r="N1422" s="322" t="str">
        <f>VLOOKUP(F1422,PAR!$R$3:$S$5,2,FALSE)</f>
        <v>3 - egyik sem</v>
      </c>
      <c r="O1422" t="str">
        <f>IFERROR(VLOOKUP(J1422,PAR!$O$3:$P$5,2,FALSE),"nincs feladat")</f>
        <v>nincs feladat</v>
      </c>
      <c r="P1422" t="str">
        <f>IFERROR(VLOOKUP(G1422,PAR!$J$2:$M$19,4),"nincs rovat")</f>
        <v>nincs rovat</v>
      </c>
      <c r="Q1422" t="str">
        <f>IF(H1422&gt;0,VLOOKUP(H1422,PAR!$AA$3:$AC$187,3,FALSE),"nincs főkönyvi számla")</f>
        <v>nincs főkönyvi számla</v>
      </c>
      <c r="R1422" t="str">
        <f>IFERROR(VLOOKUP(K1422,PAR!$V$3:$X$438,3,FALSE),"000000 - Nincs COFOG")</f>
        <v>000000 - Nincs COFOG</v>
      </c>
      <c r="S1422">
        <f t="shared" si="430"/>
        <v>0</v>
      </c>
      <c r="T1422">
        <f t="shared" si="431"/>
        <v>0</v>
      </c>
      <c r="U1422" t="str">
        <f>IF('906MP'!J1122&gt;0,CONCATENATE('906MP'!J1122," - ",'906MP'!P1122,", ",'906MP'!E1122),"nincs megjegyzés")</f>
        <v>nincs megjegyzés</v>
      </c>
      <c r="V1422" t="str">
        <f t="shared" si="418"/>
        <v>0P0</v>
      </c>
      <c r="W1422" t="str">
        <f t="shared" si="419"/>
        <v>0P0</v>
      </c>
      <c r="X1422" t="str">
        <f t="shared" si="420"/>
        <v>P0</v>
      </c>
      <c r="Y1422" t="str">
        <f t="shared" si="421"/>
        <v>00</v>
      </c>
      <c r="Z1422" t="str">
        <f t="shared" si="432"/>
        <v>00</v>
      </c>
      <c r="AA1422" t="str">
        <f t="shared" si="422"/>
        <v>00</v>
      </c>
      <c r="AB1422" t="str">
        <f t="shared" si="423"/>
        <v>00</v>
      </c>
      <c r="AC1422" t="str">
        <f t="shared" si="424"/>
        <v>0P0</v>
      </c>
      <c r="AD1422" t="str">
        <f t="shared" si="425"/>
        <v>P00</v>
      </c>
      <c r="AE1422" t="str">
        <f t="shared" si="426"/>
        <v>0P0</v>
      </c>
      <c r="AF1422" t="str">
        <f t="shared" si="427"/>
        <v>P00</v>
      </c>
      <c r="AG1422" t="str">
        <f t="shared" si="433"/>
        <v>0P00</v>
      </c>
      <c r="AH1422" t="str">
        <f t="shared" si="434"/>
        <v>P000</v>
      </c>
      <c r="AI1422" t="str">
        <f t="shared" si="435"/>
        <v>0P00</v>
      </c>
      <c r="AJ1422" t="str">
        <f t="shared" si="436"/>
        <v>P000</v>
      </c>
    </row>
    <row r="1423" spans="1:36" x14ac:dyDescent="0.25">
      <c r="A1423" s="325" t="str">
        <f>CONCATENATE("P",'906MP'!M1123)</f>
        <v>P</v>
      </c>
      <c r="B1423">
        <f>'906MP'!H1123</f>
        <v>0</v>
      </c>
      <c r="C1423">
        <f>'906MP'!J1123</f>
        <v>0</v>
      </c>
      <c r="D1423">
        <f>'906MP'!P1123</f>
        <v>0</v>
      </c>
      <c r="E1423">
        <f>'906MP'!X1123</f>
        <v>0</v>
      </c>
      <c r="F1423" t="str">
        <f t="shared" si="428"/>
        <v>0</v>
      </c>
      <c r="G1423" t="str">
        <f t="shared" si="429"/>
        <v>0</v>
      </c>
      <c r="H1423">
        <f>'906MP'!Y1123</f>
        <v>0</v>
      </c>
      <c r="I1423">
        <f>'906MP'!AK1123</f>
        <v>0</v>
      </c>
      <c r="J1423">
        <f>'906MP'!T1123</f>
        <v>0</v>
      </c>
      <c r="K1423">
        <f>'906MP'!AJ1123</f>
        <v>0</v>
      </c>
      <c r="L1423">
        <f>'906MP'!U1123</f>
        <v>0</v>
      </c>
      <c r="M1423" s="322" t="str">
        <f>IFERROR(VLOOKUP(A1423,PAR!$D$3:$E$53,2,FALSE),"nincs szervezet")</f>
        <v>nincs szervezet</v>
      </c>
      <c r="N1423" s="322" t="str">
        <f>VLOOKUP(F1423,PAR!$R$3:$S$5,2,FALSE)</f>
        <v>3 - egyik sem</v>
      </c>
      <c r="O1423" t="str">
        <f>IFERROR(VLOOKUP(J1423,PAR!$O$3:$P$5,2,FALSE),"nincs feladat")</f>
        <v>nincs feladat</v>
      </c>
      <c r="P1423" t="str">
        <f>IFERROR(VLOOKUP(G1423,PAR!$J$2:$M$19,4),"nincs rovat")</f>
        <v>nincs rovat</v>
      </c>
      <c r="Q1423" t="str">
        <f>IF(H1423&gt;0,VLOOKUP(H1423,PAR!$AA$3:$AC$187,3,FALSE),"nincs főkönyvi számla")</f>
        <v>nincs főkönyvi számla</v>
      </c>
      <c r="R1423" t="str">
        <f>IFERROR(VLOOKUP(K1423,PAR!$V$3:$X$438,3,FALSE),"000000 - Nincs COFOG")</f>
        <v>000000 - Nincs COFOG</v>
      </c>
      <c r="S1423">
        <f t="shared" si="430"/>
        <v>0</v>
      </c>
      <c r="T1423">
        <f t="shared" si="431"/>
        <v>0</v>
      </c>
      <c r="U1423" t="str">
        <f>IF('906MP'!J1123&gt;0,CONCATENATE('906MP'!J1123," - ",'906MP'!P1123,", ",'906MP'!E1123),"nincs megjegyzés")</f>
        <v>nincs megjegyzés</v>
      </c>
      <c r="V1423" t="str">
        <f t="shared" si="418"/>
        <v>0P0</v>
      </c>
      <c r="W1423" t="str">
        <f t="shared" si="419"/>
        <v>0P0</v>
      </c>
      <c r="X1423" t="str">
        <f t="shared" si="420"/>
        <v>P0</v>
      </c>
      <c r="Y1423" t="str">
        <f t="shared" si="421"/>
        <v>00</v>
      </c>
      <c r="Z1423" t="str">
        <f t="shared" si="432"/>
        <v>00</v>
      </c>
      <c r="AA1423" t="str">
        <f t="shared" si="422"/>
        <v>00</v>
      </c>
      <c r="AB1423" t="str">
        <f t="shared" si="423"/>
        <v>00</v>
      </c>
      <c r="AC1423" t="str">
        <f t="shared" si="424"/>
        <v>0P0</v>
      </c>
      <c r="AD1423" t="str">
        <f t="shared" si="425"/>
        <v>P00</v>
      </c>
      <c r="AE1423" t="str">
        <f t="shared" si="426"/>
        <v>0P0</v>
      </c>
      <c r="AF1423" t="str">
        <f t="shared" si="427"/>
        <v>P00</v>
      </c>
      <c r="AG1423" t="str">
        <f t="shared" si="433"/>
        <v>0P00</v>
      </c>
      <c r="AH1423" t="str">
        <f t="shared" si="434"/>
        <v>P000</v>
      </c>
      <c r="AI1423" t="str">
        <f t="shared" si="435"/>
        <v>0P00</v>
      </c>
      <c r="AJ1423" t="str">
        <f t="shared" si="436"/>
        <v>P000</v>
      </c>
    </row>
    <row r="1424" spans="1:36" x14ac:dyDescent="0.25">
      <c r="A1424" s="325" t="str">
        <f>CONCATENATE("P",'906MP'!M1124)</f>
        <v>P</v>
      </c>
      <c r="B1424">
        <f>'906MP'!H1124</f>
        <v>0</v>
      </c>
      <c r="C1424">
        <f>'906MP'!J1124</f>
        <v>0</v>
      </c>
      <c r="D1424">
        <f>'906MP'!P1124</f>
        <v>0</v>
      </c>
      <c r="E1424">
        <f>'906MP'!X1124</f>
        <v>0</v>
      </c>
      <c r="F1424" t="str">
        <f t="shared" si="428"/>
        <v>0</v>
      </c>
      <c r="G1424" t="str">
        <f t="shared" si="429"/>
        <v>0</v>
      </c>
      <c r="H1424">
        <f>'906MP'!Y1124</f>
        <v>0</v>
      </c>
      <c r="I1424">
        <f>'906MP'!AK1124</f>
        <v>0</v>
      </c>
      <c r="J1424">
        <f>'906MP'!T1124</f>
        <v>0</v>
      </c>
      <c r="K1424">
        <f>'906MP'!AJ1124</f>
        <v>0</v>
      </c>
      <c r="L1424">
        <f>'906MP'!U1124</f>
        <v>0</v>
      </c>
      <c r="M1424" s="322" t="str">
        <f>IFERROR(VLOOKUP(A1424,PAR!$D$3:$E$53,2,FALSE),"nincs szervezet")</f>
        <v>nincs szervezet</v>
      </c>
      <c r="N1424" s="322" t="str">
        <f>VLOOKUP(F1424,PAR!$R$3:$S$5,2,FALSE)</f>
        <v>3 - egyik sem</v>
      </c>
      <c r="O1424" t="str">
        <f>IFERROR(VLOOKUP(J1424,PAR!$O$3:$P$5,2,FALSE),"nincs feladat")</f>
        <v>nincs feladat</v>
      </c>
      <c r="P1424" t="str">
        <f>IFERROR(VLOOKUP(G1424,PAR!$J$2:$M$19,4),"nincs rovat")</f>
        <v>nincs rovat</v>
      </c>
      <c r="Q1424" t="str">
        <f>IF(H1424&gt;0,VLOOKUP(H1424,PAR!$AA$3:$AC$187,3,FALSE),"nincs főkönyvi számla")</f>
        <v>nincs főkönyvi számla</v>
      </c>
      <c r="R1424" t="str">
        <f>IFERROR(VLOOKUP(K1424,PAR!$V$3:$X$438,3,FALSE),"000000 - Nincs COFOG")</f>
        <v>000000 - Nincs COFOG</v>
      </c>
      <c r="S1424">
        <f t="shared" si="430"/>
        <v>0</v>
      </c>
      <c r="T1424">
        <f t="shared" si="431"/>
        <v>0</v>
      </c>
      <c r="U1424" t="str">
        <f>IF('906MP'!J1124&gt;0,CONCATENATE('906MP'!J1124," - ",'906MP'!P1124,", ",'906MP'!E1124),"nincs megjegyzés")</f>
        <v>nincs megjegyzés</v>
      </c>
      <c r="V1424" t="str">
        <f t="shared" si="418"/>
        <v>0P0</v>
      </c>
      <c r="W1424" t="str">
        <f t="shared" si="419"/>
        <v>0P0</v>
      </c>
      <c r="X1424" t="str">
        <f t="shared" si="420"/>
        <v>P0</v>
      </c>
      <c r="Y1424" t="str">
        <f t="shared" si="421"/>
        <v>00</v>
      </c>
      <c r="Z1424" t="str">
        <f t="shared" si="432"/>
        <v>00</v>
      </c>
      <c r="AA1424" t="str">
        <f t="shared" si="422"/>
        <v>00</v>
      </c>
      <c r="AB1424" t="str">
        <f t="shared" si="423"/>
        <v>00</v>
      </c>
      <c r="AC1424" t="str">
        <f t="shared" si="424"/>
        <v>0P0</v>
      </c>
      <c r="AD1424" t="str">
        <f t="shared" si="425"/>
        <v>P00</v>
      </c>
      <c r="AE1424" t="str">
        <f t="shared" si="426"/>
        <v>0P0</v>
      </c>
      <c r="AF1424" t="str">
        <f t="shared" si="427"/>
        <v>P00</v>
      </c>
      <c r="AG1424" t="str">
        <f t="shared" si="433"/>
        <v>0P00</v>
      </c>
      <c r="AH1424" t="str">
        <f t="shared" si="434"/>
        <v>P000</v>
      </c>
      <c r="AI1424" t="str">
        <f t="shared" si="435"/>
        <v>0P00</v>
      </c>
      <c r="AJ1424" t="str">
        <f t="shared" si="436"/>
        <v>P000</v>
      </c>
    </row>
    <row r="1425" spans="1:36" x14ac:dyDescent="0.25">
      <c r="A1425" s="325" t="str">
        <f>CONCATENATE("P",'906MP'!M1125)</f>
        <v>P</v>
      </c>
      <c r="B1425">
        <f>'906MP'!H1125</f>
        <v>0</v>
      </c>
      <c r="C1425">
        <f>'906MP'!J1125</f>
        <v>0</v>
      </c>
      <c r="D1425">
        <f>'906MP'!P1125</f>
        <v>0</v>
      </c>
      <c r="E1425">
        <f>'906MP'!X1125</f>
        <v>0</v>
      </c>
      <c r="F1425" t="str">
        <f t="shared" si="428"/>
        <v>0</v>
      </c>
      <c r="G1425" t="str">
        <f t="shared" si="429"/>
        <v>0</v>
      </c>
      <c r="H1425">
        <f>'906MP'!Y1125</f>
        <v>0</v>
      </c>
      <c r="I1425">
        <f>'906MP'!AK1125</f>
        <v>0</v>
      </c>
      <c r="J1425">
        <f>'906MP'!T1125</f>
        <v>0</v>
      </c>
      <c r="K1425">
        <f>'906MP'!AJ1125</f>
        <v>0</v>
      </c>
      <c r="L1425">
        <f>'906MP'!U1125</f>
        <v>0</v>
      </c>
      <c r="M1425" s="322" t="str">
        <f>IFERROR(VLOOKUP(A1425,PAR!$D$3:$E$53,2,FALSE),"nincs szervezet")</f>
        <v>nincs szervezet</v>
      </c>
      <c r="N1425" s="322" t="str">
        <f>VLOOKUP(F1425,PAR!$R$3:$S$5,2,FALSE)</f>
        <v>3 - egyik sem</v>
      </c>
      <c r="O1425" t="str">
        <f>IFERROR(VLOOKUP(J1425,PAR!$O$3:$P$5,2,FALSE),"nincs feladat")</f>
        <v>nincs feladat</v>
      </c>
      <c r="P1425" t="str">
        <f>IFERROR(VLOOKUP(G1425,PAR!$J$2:$M$19,4),"nincs rovat")</f>
        <v>nincs rovat</v>
      </c>
      <c r="Q1425" t="str">
        <f>IF(H1425&gt;0,VLOOKUP(H1425,PAR!$AA$3:$AC$187,3,FALSE),"nincs főkönyvi számla")</f>
        <v>nincs főkönyvi számla</v>
      </c>
      <c r="R1425" t="str">
        <f>IFERROR(VLOOKUP(K1425,PAR!$V$3:$X$438,3,FALSE),"000000 - Nincs COFOG")</f>
        <v>000000 - Nincs COFOG</v>
      </c>
      <c r="S1425">
        <f t="shared" si="430"/>
        <v>0</v>
      </c>
      <c r="T1425">
        <f t="shared" si="431"/>
        <v>0</v>
      </c>
      <c r="U1425" t="str">
        <f>IF('906MP'!J1125&gt;0,CONCATENATE('906MP'!J1125," - ",'906MP'!P1125,", ",'906MP'!E1125),"nincs megjegyzés")</f>
        <v>nincs megjegyzés</v>
      </c>
      <c r="V1425" t="str">
        <f t="shared" si="418"/>
        <v>0P0</v>
      </c>
      <c r="W1425" t="str">
        <f t="shared" si="419"/>
        <v>0P0</v>
      </c>
      <c r="X1425" t="str">
        <f t="shared" si="420"/>
        <v>P0</v>
      </c>
      <c r="Y1425" t="str">
        <f t="shared" si="421"/>
        <v>00</v>
      </c>
      <c r="Z1425" t="str">
        <f t="shared" si="432"/>
        <v>00</v>
      </c>
      <c r="AA1425" t="str">
        <f t="shared" si="422"/>
        <v>00</v>
      </c>
      <c r="AB1425" t="str">
        <f t="shared" si="423"/>
        <v>00</v>
      </c>
      <c r="AC1425" t="str">
        <f t="shared" si="424"/>
        <v>0P0</v>
      </c>
      <c r="AD1425" t="str">
        <f t="shared" si="425"/>
        <v>P00</v>
      </c>
      <c r="AE1425" t="str">
        <f t="shared" si="426"/>
        <v>0P0</v>
      </c>
      <c r="AF1425" t="str">
        <f t="shared" si="427"/>
        <v>P00</v>
      </c>
      <c r="AG1425" t="str">
        <f t="shared" si="433"/>
        <v>0P00</v>
      </c>
      <c r="AH1425" t="str">
        <f t="shared" si="434"/>
        <v>P000</v>
      </c>
      <c r="AI1425" t="str">
        <f t="shared" si="435"/>
        <v>0P00</v>
      </c>
      <c r="AJ1425" t="str">
        <f t="shared" si="436"/>
        <v>P000</v>
      </c>
    </row>
    <row r="1426" spans="1:36" x14ac:dyDescent="0.25">
      <c r="A1426" s="325" t="str">
        <f>CONCATENATE("P",'906MP'!M1126)</f>
        <v>P</v>
      </c>
      <c r="B1426">
        <f>'906MP'!H1126</f>
        <v>0</v>
      </c>
      <c r="C1426">
        <f>'906MP'!J1126</f>
        <v>0</v>
      </c>
      <c r="D1426">
        <f>'906MP'!P1126</f>
        <v>0</v>
      </c>
      <c r="E1426">
        <f>'906MP'!X1126</f>
        <v>0</v>
      </c>
      <c r="F1426" t="str">
        <f t="shared" si="428"/>
        <v>0</v>
      </c>
      <c r="G1426" t="str">
        <f t="shared" si="429"/>
        <v>0</v>
      </c>
      <c r="H1426">
        <f>'906MP'!Y1126</f>
        <v>0</v>
      </c>
      <c r="I1426">
        <f>'906MP'!AK1126</f>
        <v>0</v>
      </c>
      <c r="J1426">
        <f>'906MP'!T1126</f>
        <v>0</v>
      </c>
      <c r="K1426">
        <f>'906MP'!AJ1126</f>
        <v>0</v>
      </c>
      <c r="L1426">
        <f>'906MP'!U1126</f>
        <v>0</v>
      </c>
      <c r="M1426" s="322" t="str">
        <f>IFERROR(VLOOKUP(A1426,PAR!$D$3:$E$53,2,FALSE),"nincs szervezet")</f>
        <v>nincs szervezet</v>
      </c>
      <c r="N1426" s="322" t="str">
        <f>VLOOKUP(F1426,PAR!$R$3:$S$5,2,FALSE)</f>
        <v>3 - egyik sem</v>
      </c>
      <c r="O1426" t="str">
        <f>IFERROR(VLOOKUP(J1426,PAR!$O$3:$P$5,2,FALSE),"nincs feladat")</f>
        <v>nincs feladat</v>
      </c>
      <c r="P1426" t="str">
        <f>IFERROR(VLOOKUP(G1426,PAR!$J$2:$M$19,4),"nincs rovat")</f>
        <v>nincs rovat</v>
      </c>
      <c r="Q1426" t="str">
        <f>IF(H1426&gt;0,VLOOKUP(H1426,PAR!$AA$3:$AC$187,3,FALSE),"nincs főkönyvi számla")</f>
        <v>nincs főkönyvi számla</v>
      </c>
      <c r="R1426" t="str">
        <f>IFERROR(VLOOKUP(K1426,PAR!$V$3:$X$438,3,FALSE),"000000 - Nincs COFOG")</f>
        <v>000000 - Nincs COFOG</v>
      </c>
      <c r="S1426">
        <f t="shared" si="430"/>
        <v>0</v>
      </c>
      <c r="T1426">
        <f t="shared" si="431"/>
        <v>0</v>
      </c>
      <c r="U1426" t="str">
        <f>IF('906MP'!J1126&gt;0,CONCATENATE('906MP'!J1126," - ",'906MP'!P1126,", ",'906MP'!E1126),"nincs megjegyzés")</f>
        <v>nincs megjegyzés</v>
      </c>
      <c r="V1426" t="str">
        <f t="shared" si="418"/>
        <v>0P0</v>
      </c>
      <c r="W1426" t="str">
        <f t="shared" si="419"/>
        <v>0P0</v>
      </c>
      <c r="X1426" t="str">
        <f t="shared" si="420"/>
        <v>P0</v>
      </c>
      <c r="Y1426" t="str">
        <f t="shared" si="421"/>
        <v>00</v>
      </c>
      <c r="Z1426" t="str">
        <f t="shared" si="432"/>
        <v>00</v>
      </c>
      <c r="AA1426" t="str">
        <f t="shared" si="422"/>
        <v>00</v>
      </c>
      <c r="AB1426" t="str">
        <f t="shared" si="423"/>
        <v>00</v>
      </c>
      <c r="AC1426" t="str">
        <f t="shared" si="424"/>
        <v>0P0</v>
      </c>
      <c r="AD1426" t="str">
        <f t="shared" si="425"/>
        <v>P00</v>
      </c>
      <c r="AE1426" t="str">
        <f t="shared" si="426"/>
        <v>0P0</v>
      </c>
      <c r="AF1426" t="str">
        <f t="shared" si="427"/>
        <v>P00</v>
      </c>
      <c r="AG1426" t="str">
        <f t="shared" si="433"/>
        <v>0P00</v>
      </c>
      <c r="AH1426" t="str">
        <f t="shared" si="434"/>
        <v>P000</v>
      </c>
      <c r="AI1426" t="str">
        <f t="shared" si="435"/>
        <v>0P00</v>
      </c>
      <c r="AJ1426" t="str">
        <f t="shared" si="436"/>
        <v>P000</v>
      </c>
    </row>
    <row r="1427" spans="1:36" x14ac:dyDescent="0.25">
      <c r="A1427" s="325" t="str">
        <f>CONCATENATE("P",'906MP'!M1127)</f>
        <v>P</v>
      </c>
      <c r="B1427">
        <f>'906MP'!H1127</f>
        <v>0</v>
      </c>
      <c r="C1427">
        <f>'906MP'!J1127</f>
        <v>0</v>
      </c>
      <c r="D1427">
        <f>'906MP'!P1127</f>
        <v>0</v>
      </c>
      <c r="E1427">
        <f>'906MP'!X1127</f>
        <v>0</v>
      </c>
      <c r="F1427" t="str">
        <f t="shared" si="428"/>
        <v>0</v>
      </c>
      <c r="G1427" t="str">
        <f t="shared" si="429"/>
        <v>0</v>
      </c>
      <c r="H1427">
        <f>'906MP'!Y1127</f>
        <v>0</v>
      </c>
      <c r="I1427">
        <f>'906MP'!AK1127</f>
        <v>0</v>
      </c>
      <c r="J1427">
        <f>'906MP'!T1127</f>
        <v>0</v>
      </c>
      <c r="K1427">
        <f>'906MP'!AJ1127</f>
        <v>0</v>
      </c>
      <c r="L1427">
        <f>'906MP'!U1127</f>
        <v>0</v>
      </c>
      <c r="M1427" s="322" t="str">
        <f>IFERROR(VLOOKUP(A1427,PAR!$D$3:$E$53,2,FALSE),"nincs szervezet")</f>
        <v>nincs szervezet</v>
      </c>
      <c r="N1427" s="322" t="str">
        <f>VLOOKUP(F1427,PAR!$R$3:$S$5,2,FALSE)</f>
        <v>3 - egyik sem</v>
      </c>
      <c r="O1427" t="str">
        <f>IFERROR(VLOOKUP(J1427,PAR!$O$3:$P$5,2,FALSE),"nincs feladat")</f>
        <v>nincs feladat</v>
      </c>
      <c r="P1427" t="str">
        <f>IFERROR(VLOOKUP(G1427,PAR!$J$2:$M$19,4),"nincs rovat")</f>
        <v>nincs rovat</v>
      </c>
      <c r="Q1427" t="str">
        <f>IF(H1427&gt;0,VLOOKUP(H1427,PAR!$AA$3:$AC$187,3,FALSE),"nincs főkönyvi számla")</f>
        <v>nincs főkönyvi számla</v>
      </c>
      <c r="R1427" t="str">
        <f>IFERROR(VLOOKUP(K1427,PAR!$V$3:$X$438,3,FALSE),"000000 - Nincs COFOG")</f>
        <v>000000 - Nincs COFOG</v>
      </c>
      <c r="S1427">
        <f t="shared" si="430"/>
        <v>0</v>
      </c>
      <c r="T1427">
        <f t="shared" si="431"/>
        <v>0</v>
      </c>
      <c r="U1427" t="str">
        <f>IF('906MP'!J1127&gt;0,CONCATENATE('906MP'!J1127," - ",'906MP'!P1127,", ",'906MP'!E1127),"nincs megjegyzés")</f>
        <v>nincs megjegyzés</v>
      </c>
      <c r="V1427" t="str">
        <f t="shared" si="418"/>
        <v>0P0</v>
      </c>
      <c r="W1427" t="str">
        <f t="shared" si="419"/>
        <v>0P0</v>
      </c>
      <c r="X1427" t="str">
        <f t="shared" si="420"/>
        <v>P0</v>
      </c>
      <c r="Y1427" t="str">
        <f t="shared" si="421"/>
        <v>00</v>
      </c>
      <c r="Z1427" t="str">
        <f t="shared" si="432"/>
        <v>00</v>
      </c>
      <c r="AA1427" t="str">
        <f t="shared" si="422"/>
        <v>00</v>
      </c>
      <c r="AB1427" t="str">
        <f t="shared" si="423"/>
        <v>00</v>
      </c>
      <c r="AC1427" t="str">
        <f t="shared" si="424"/>
        <v>0P0</v>
      </c>
      <c r="AD1427" t="str">
        <f t="shared" si="425"/>
        <v>P00</v>
      </c>
      <c r="AE1427" t="str">
        <f t="shared" si="426"/>
        <v>0P0</v>
      </c>
      <c r="AF1427" t="str">
        <f t="shared" si="427"/>
        <v>P00</v>
      </c>
      <c r="AG1427" t="str">
        <f t="shared" si="433"/>
        <v>0P00</v>
      </c>
      <c r="AH1427" t="str">
        <f t="shared" si="434"/>
        <v>P000</v>
      </c>
      <c r="AI1427" t="str">
        <f t="shared" si="435"/>
        <v>0P00</v>
      </c>
      <c r="AJ1427" t="str">
        <f t="shared" si="436"/>
        <v>P000</v>
      </c>
    </row>
    <row r="1428" spans="1:36" x14ac:dyDescent="0.25">
      <c r="A1428" s="325" t="str">
        <f>CONCATENATE("P",'906MP'!M1128)</f>
        <v>P</v>
      </c>
      <c r="B1428">
        <f>'906MP'!H1128</f>
        <v>0</v>
      </c>
      <c r="C1428">
        <f>'906MP'!J1128</f>
        <v>0</v>
      </c>
      <c r="D1428">
        <f>'906MP'!P1128</f>
        <v>0</v>
      </c>
      <c r="E1428">
        <f>'906MP'!X1128</f>
        <v>0</v>
      </c>
      <c r="F1428" t="str">
        <f t="shared" si="428"/>
        <v>0</v>
      </c>
      <c r="G1428" t="str">
        <f t="shared" si="429"/>
        <v>0</v>
      </c>
      <c r="H1428">
        <f>'906MP'!Y1128</f>
        <v>0</v>
      </c>
      <c r="I1428">
        <f>'906MP'!AK1128</f>
        <v>0</v>
      </c>
      <c r="J1428">
        <f>'906MP'!T1128</f>
        <v>0</v>
      </c>
      <c r="K1428">
        <f>'906MP'!AJ1128</f>
        <v>0</v>
      </c>
      <c r="L1428">
        <f>'906MP'!U1128</f>
        <v>0</v>
      </c>
      <c r="M1428" s="322" t="str">
        <f>IFERROR(VLOOKUP(A1428,PAR!$D$3:$E$53,2,FALSE),"nincs szervezet")</f>
        <v>nincs szervezet</v>
      </c>
      <c r="N1428" s="322" t="str">
        <f>VLOOKUP(F1428,PAR!$R$3:$S$5,2,FALSE)</f>
        <v>3 - egyik sem</v>
      </c>
      <c r="O1428" t="str">
        <f>IFERROR(VLOOKUP(J1428,PAR!$O$3:$P$5,2,FALSE),"nincs feladat")</f>
        <v>nincs feladat</v>
      </c>
      <c r="P1428" t="str">
        <f>IFERROR(VLOOKUP(G1428,PAR!$J$2:$M$19,4),"nincs rovat")</f>
        <v>nincs rovat</v>
      </c>
      <c r="Q1428" t="str">
        <f>IF(H1428&gt;0,VLOOKUP(H1428,PAR!$AA$3:$AC$187,3,FALSE),"nincs főkönyvi számla")</f>
        <v>nincs főkönyvi számla</v>
      </c>
      <c r="R1428" t="str">
        <f>IFERROR(VLOOKUP(K1428,PAR!$V$3:$X$438,3,FALSE),"000000 - Nincs COFOG")</f>
        <v>000000 - Nincs COFOG</v>
      </c>
      <c r="S1428">
        <f t="shared" si="430"/>
        <v>0</v>
      </c>
      <c r="T1428">
        <f t="shared" si="431"/>
        <v>0</v>
      </c>
      <c r="U1428" t="str">
        <f>IF('906MP'!J1128&gt;0,CONCATENATE('906MP'!J1128," - ",'906MP'!P1128,", ",'906MP'!E1128),"nincs megjegyzés")</f>
        <v>nincs megjegyzés</v>
      </c>
      <c r="V1428" t="str">
        <f t="shared" si="418"/>
        <v>0P0</v>
      </c>
      <c r="W1428" t="str">
        <f t="shared" si="419"/>
        <v>0P0</v>
      </c>
      <c r="X1428" t="str">
        <f t="shared" si="420"/>
        <v>P0</v>
      </c>
      <c r="Y1428" t="str">
        <f t="shared" si="421"/>
        <v>00</v>
      </c>
      <c r="Z1428" t="str">
        <f t="shared" si="432"/>
        <v>00</v>
      </c>
      <c r="AA1428" t="str">
        <f t="shared" si="422"/>
        <v>00</v>
      </c>
      <c r="AB1428" t="str">
        <f t="shared" si="423"/>
        <v>00</v>
      </c>
      <c r="AC1428" t="str">
        <f t="shared" si="424"/>
        <v>0P0</v>
      </c>
      <c r="AD1428" t="str">
        <f t="shared" si="425"/>
        <v>P00</v>
      </c>
      <c r="AE1428" t="str">
        <f t="shared" si="426"/>
        <v>0P0</v>
      </c>
      <c r="AF1428" t="str">
        <f t="shared" si="427"/>
        <v>P00</v>
      </c>
      <c r="AG1428" t="str">
        <f t="shared" si="433"/>
        <v>0P00</v>
      </c>
      <c r="AH1428" t="str">
        <f t="shared" si="434"/>
        <v>P000</v>
      </c>
      <c r="AI1428" t="str">
        <f t="shared" si="435"/>
        <v>0P00</v>
      </c>
      <c r="AJ1428" t="str">
        <f t="shared" si="436"/>
        <v>P000</v>
      </c>
    </row>
    <row r="1429" spans="1:36" x14ac:dyDescent="0.25">
      <c r="A1429" s="325" t="str">
        <f>CONCATENATE("P",'906MP'!M1129)</f>
        <v>P</v>
      </c>
      <c r="B1429">
        <f>'906MP'!H1129</f>
        <v>0</v>
      </c>
      <c r="C1429">
        <f>'906MP'!J1129</f>
        <v>0</v>
      </c>
      <c r="D1429">
        <f>'906MP'!P1129</f>
        <v>0</v>
      </c>
      <c r="E1429">
        <f>'906MP'!X1129</f>
        <v>0</v>
      </c>
      <c r="F1429" t="str">
        <f t="shared" si="428"/>
        <v>0</v>
      </c>
      <c r="G1429" t="str">
        <f t="shared" si="429"/>
        <v>0</v>
      </c>
      <c r="H1429">
        <f>'906MP'!Y1129</f>
        <v>0</v>
      </c>
      <c r="I1429">
        <f>'906MP'!AK1129</f>
        <v>0</v>
      </c>
      <c r="J1429">
        <f>'906MP'!T1129</f>
        <v>0</v>
      </c>
      <c r="K1429">
        <f>'906MP'!AJ1129</f>
        <v>0</v>
      </c>
      <c r="L1429">
        <f>'906MP'!U1129</f>
        <v>0</v>
      </c>
      <c r="M1429" s="322" t="str">
        <f>IFERROR(VLOOKUP(A1429,PAR!$D$3:$E$53,2,FALSE),"nincs szervezet")</f>
        <v>nincs szervezet</v>
      </c>
      <c r="N1429" s="322" t="str">
        <f>VLOOKUP(F1429,PAR!$R$3:$S$5,2,FALSE)</f>
        <v>3 - egyik sem</v>
      </c>
      <c r="O1429" t="str">
        <f>IFERROR(VLOOKUP(J1429,PAR!$O$3:$P$5,2,FALSE),"nincs feladat")</f>
        <v>nincs feladat</v>
      </c>
      <c r="P1429" t="str">
        <f>IFERROR(VLOOKUP(G1429,PAR!$J$2:$M$19,4),"nincs rovat")</f>
        <v>nincs rovat</v>
      </c>
      <c r="Q1429" t="str">
        <f>IF(H1429&gt;0,VLOOKUP(H1429,PAR!$AA$3:$AC$187,3,FALSE),"nincs főkönyvi számla")</f>
        <v>nincs főkönyvi számla</v>
      </c>
      <c r="R1429" t="str">
        <f>IFERROR(VLOOKUP(K1429,PAR!$V$3:$X$438,3,FALSE),"000000 - Nincs COFOG")</f>
        <v>000000 - Nincs COFOG</v>
      </c>
      <c r="S1429">
        <f t="shared" si="430"/>
        <v>0</v>
      </c>
      <c r="T1429">
        <f t="shared" si="431"/>
        <v>0</v>
      </c>
      <c r="U1429" t="str">
        <f>IF('906MP'!J1129&gt;0,CONCATENATE('906MP'!J1129," - ",'906MP'!P1129,", ",'906MP'!E1129),"nincs megjegyzés")</f>
        <v>nincs megjegyzés</v>
      </c>
      <c r="V1429" t="str">
        <f t="shared" si="418"/>
        <v>0P0</v>
      </c>
      <c r="W1429" t="str">
        <f t="shared" si="419"/>
        <v>0P0</v>
      </c>
      <c r="X1429" t="str">
        <f t="shared" si="420"/>
        <v>P0</v>
      </c>
      <c r="Y1429" t="str">
        <f t="shared" si="421"/>
        <v>00</v>
      </c>
      <c r="Z1429" t="str">
        <f t="shared" si="432"/>
        <v>00</v>
      </c>
      <c r="AA1429" t="str">
        <f t="shared" si="422"/>
        <v>00</v>
      </c>
      <c r="AB1429" t="str">
        <f t="shared" si="423"/>
        <v>00</v>
      </c>
      <c r="AC1429" t="str">
        <f t="shared" si="424"/>
        <v>0P0</v>
      </c>
      <c r="AD1429" t="str">
        <f t="shared" si="425"/>
        <v>P00</v>
      </c>
      <c r="AE1429" t="str">
        <f t="shared" si="426"/>
        <v>0P0</v>
      </c>
      <c r="AF1429" t="str">
        <f t="shared" si="427"/>
        <v>P00</v>
      </c>
      <c r="AG1429" t="str">
        <f t="shared" si="433"/>
        <v>0P00</v>
      </c>
      <c r="AH1429" t="str">
        <f t="shared" si="434"/>
        <v>P000</v>
      </c>
      <c r="AI1429" t="str">
        <f t="shared" si="435"/>
        <v>0P00</v>
      </c>
      <c r="AJ1429" t="str">
        <f t="shared" si="436"/>
        <v>P000</v>
      </c>
    </row>
    <row r="1430" spans="1:36" x14ac:dyDescent="0.25">
      <c r="A1430" s="325" t="str">
        <f>CONCATENATE("P",'906MP'!M1130)</f>
        <v>P</v>
      </c>
      <c r="B1430">
        <f>'906MP'!H1130</f>
        <v>0</v>
      </c>
      <c r="C1430">
        <f>'906MP'!J1130</f>
        <v>0</v>
      </c>
      <c r="D1430">
        <f>'906MP'!P1130</f>
        <v>0</v>
      </c>
      <c r="E1430">
        <f>'906MP'!X1130</f>
        <v>0</v>
      </c>
      <c r="F1430" t="str">
        <f t="shared" si="428"/>
        <v>0</v>
      </c>
      <c r="G1430" t="str">
        <f t="shared" si="429"/>
        <v>0</v>
      </c>
      <c r="H1430">
        <f>'906MP'!Y1130</f>
        <v>0</v>
      </c>
      <c r="I1430">
        <f>'906MP'!AK1130</f>
        <v>0</v>
      </c>
      <c r="J1430">
        <f>'906MP'!T1130</f>
        <v>0</v>
      </c>
      <c r="K1430">
        <f>'906MP'!AJ1130</f>
        <v>0</v>
      </c>
      <c r="L1430">
        <f>'906MP'!U1130</f>
        <v>0</v>
      </c>
      <c r="M1430" s="322" t="str">
        <f>IFERROR(VLOOKUP(A1430,PAR!$D$3:$E$53,2,FALSE),"nincs szervezet")</f>
        <v>nincs szervezet</v>
      </c>
      <c r="N1430" s="322" t="str">
        <f>VLOOKUP(F1430,PAR!$R$3:$S$5,2,FALSE)</f>
        <v>3 - egyik sem</v>
      </c>
      <c r="O1430" t="str">
        <f>IFERROR(VLOOKUP(J1430,PAR!$O$3:$P$5,2,FALSE),"nincs feladat")</f>
        <v>nincs feladat</v>
      </c>
      <c r="P1430" t="str">
        <f>IFERROR(VLOOKUP(G1430,PAR!$J$2:$M$19,4),"nincs rovat")</f>
        <v>nincs rovat</v>
      </c>
      <c r="Q1430" t="str">
        <f>IF(H1430&gt;0,VLOOKUP(H1430,PAR!$AA$3:$AC$187,3,FALSE),"nincs főkönyvi számla")</f>
        <v>nincs főkönyvi számla</v>
      </c>
      <c r="R1430" t="str">
        <f>IFERROR(VLOOKUP(K1430,PAR!$V$3:$X$438,3,FALSE),"000000 - Nincs COFOG")</f>
        <v>000000 - Nincs COFOG</v>
      </c>
      <c r="S1430">
        <f t="shared" si="430"/>
        <v>0</v>
      </c>
      <c r="T1430">
        <f t="shared" si="431"/>
        <v>0</v>
      </c>
      <c r="U1430" t="str">
        <f>IF('906MP'!J1130&gt;0,CONCATENATE('906MP'!J1130," - ",'906MP'!P1130,", ",'906MP'!E1130),"nincs megjegyzés")</f>
        <v>nincs megjegyzés</v>
      </c>
      <c r="V1430" t="str">
        <f t="shared" si="418"/>
        <v>0P0</v>
      </c>
      <c r="W1430" t="str">
        <f t="shared" si="419"/>
        <v>0P0</v>
      </c>
      <c r="X1430" t="str">
        <f t="shared" si="420"/>
        <v>P0</v>
      </c>
      <c r="Y1430" t="str">
        <f t="shared" si="421"/>
        <v>00</v>
      </c>
      <c r="Z1430" t="str">
        <f t="shared" si="432"/>
        <v>00</v>
      </c>
      <c r="AA1430" t="str">
        <f t="shared" si="422"/>
        <v>00</v>
      </c>
      <c r="AB1430" t="str">
        <f t="shared" si="423"/>
        <v>00</v>
      </c>
      <c r="AC1430" t="str">
        <f t="shared" si="424"/>
        <v>0P0</v>
      </c>
      <c r="AD1430" t="str">
        <f t="shared" si="425"/>
        <v>P00</v>
      </c>
      <c r="AE1430" t="str">
        <f t="shared" si="426"/>
        <v>0P0</v>
      </c>
      <c r="AF1430" t="str">
        <f t="shared" si="427"/>
        <v>P00</v>
      </c>
      <c r="AG1430" t="str">
        <f t="shared" si="433"/>
        <v>0P00</v>
      </c>
      <c r="AH1430" t="str">
        <f t="shared" si="434"/>
        <v>P000</v>
      </c>
      <c r="AI1430" t="str">
        <f t="shared" si="435"/>
        <v>0P00</v>
      </c>
      <c r="AJ1430" t="str">
        <f t="shared" si="436"/>
        <v>P000</v>
      </c>
    </row>
    <row r="1431" spans="1:36" x14ac:dyDescent="0.25">
      <c r="A1431" s="325" t="str">
        <f>CONCATENATE("P",'906MP'!M1131)</f>
        <v>P</v>
      </c>
      <c r="B1431">
        <f>'906MP'!H1131</f>
        <v>0</v>
      </c>
      <c r="C1431">
        <f>'906MP'!J1131</f>
        <v>0</v>
      </c>
      <c r="D1431">
        <f>'906MP'!P1131</f>
        <v>0</v>
      </c>
      <c r="E1431">
        <f>'906MP'!X1131</f>
        <v>0</v>
      </c>
      <c r="F1431" t="str">
        <f t="shared" si="428"/>
        <v>0</v>
      </c>
      <c r="G1431" t="str">
        <f t="shared" si="429"/>
        <v>0</v>
      </c>
      <c r="H1431">
        <f>'906MP'!Y1131</f>
        <v>0</v>
      </c>
      <c r="I1431">
        <f>'906MP'!AK1131</f>
        <v>0</v>
      </c>
      <c r="J1431">
        <f>'906MP'!T1131</f>
        <v>0</v>
      </c>
      <c r="K1431">
        <f>'906MP'!AJ1131</f>
        <v>0</v>
      </c>
      <c r="L1431">
        <f>'906MP'!U1131</f>
        <v>0</v>
      </c>
      <c r="M1431" s="322" t="str">
        <f>IFERROR(VLOOKUP(A1431,PAR!$D$3:$E$53,2,FALSE),"nincs szervezet")</f>
        <v>nincs szervezet</v>
      </c>
      <c r="N1431" s="322" t="str">
        <f>VLOOKUP(F1431,PAR!$R$3:$S$5,2,FALSE)</f>
        <v>3 - egyik sem</v>
      </c>
      <c r="O1431" t="str">
        <f>IFERROR(VLOOKUP(J1431,PAR!$O$3:$P$5,2,FALSE),"nincs feladat")</f>
        <v>nincs feladat</v>
      </c>
      <c r="P1431" t="str">
        <f>IFERROR(VLOOKUP(G1431,PAR!$J$2:$M$19,4),"nincs rovat")</f>
        <v>nincs rovat</v>
      </c>
      <c r="Q1431" t="str">
        <f>IF(H1431&gt;0,VLOOKUP(H1431,PAR!$AA$3:$AC$187,3,FALSE),"nincs főkönyvi számla")</f>
        <v>nincs főkönyvi számla</v>
      </c>
      <c r="R1431" t="str">
        <f>IFERROR(VLOOKUP(K1431,PAR!$V$3:$X$438,3,FALSE),"000000 - Nincs COFOG")</f>
        <v>000000 - Nincs COFOG</v>
      </c>
      <c r="S1431">
        <f t="shared" si="430"/>
        <v>0</v>
      </c>
      <c r="T1431">
        <f t="shared" si="431"/>
        <v>0</v>
      </c>
      <c r="U1431" t="str">
        <f>IF('906MP'!J1131&gt;0,CONCATENATE('906MP'!J1131," - ",'906MP'!P1131,", ",'906MP'!E1131),"nincs megjegyzés")</f>
        <v>nincs megjegyzés</v>
      </c>
      <c r="V1431" t="str">
        <f t="shared" si="418"/>
        <v>0P0</v>
      </c>
      <c r="W1431" t="str">
        <f t="shared" si="419"/>
        <v>0P0</v>
      </c>
      <c r="X1431" t="str">
        <f t="shared" si="420"/>
        <v>P0</v>
      </c>
      <c r="Y1431" t="str">
        <f t="shared" si="421"/>
        <v>00</v>
      </c>
      <c r="Z1431" t="str">
        <f t="shared" si="432"/>
        <v>00</v>
      </c>
      <c r="AA1431" t="str">
        <f t="shared" si="422"/>
        <v>00</v>
      </c>
      <c r="AB1431" t="str">
        <f t="shared" si="423"/>
        <v>00</v>
      </c>
      <c r="AC1431" t="str">
        <f t="shared" si="424"/>
        <v>0P0</v>
      </c>
      <c r="AD1431" t="str">
        <f t="shared" si="425"/>
        <v>P00</v>
      </c>
      <c r="AE1431" t="str">
        <f t="shared" si="426"/>
        <v>0P0</v>
      </c>
      <c r="AF1431" t="str">
        <f t="shared" si="427"/>
        <v>P00</v>
      </c>
      <c r="AG1431" t="str">
        <f t="shared" si="433"/>
        <v>0P00</v>
      </c>
      <c r="AH1431" t="str">
        <f t="shared" si="434"/>
        <v>P000</v>
      </c>
      <c r="AI1431" t="str">
        <f t="shared" si="435"/>
        <v>0P00</v>
      </c>
      <c r="AJ1431" t="str">
        <f t="shared" si="436"/>
        <v>P000</v>
      </c>
    </row>
    <row r="1432" spans="1:36" x14ac:dyDescent="0.25">
      <c r="A1432" s="325" t="str">
        <f>CONCATENATE("P",'906MP'!M1132)</f>
        <v>P</v>
      </c>
      <c r="B1432">
        <f>'906MP'!H1132</f>
        <v>0</v>
      </c>
      <c r="C1432">
        <f>'906MP'!J1132</f>
        <v>0</v>
      </c>
      <c r="D1432">
        <f>'906MP'!P1132</f>
        <v>0</v>
      </c>
      <c r="E1432">
        <f>'906MP'!X1132</f>
        <v>0</v>
      </c>
      <c r="F1432" t="str">
        <f t="shared" si="428"/>
        <v>0</v>
      </c>
      <c r="G1432" t="str">
        <f t="shared" si="429"/>
        <v>0</v>
      </c>
      <c r="H1432">
        <f>'906MP'!Y1132</f>
        <v>0</v>
      </c>
      <c r="I1432">
        <f>'906MP'!AK1132</f>
        <v>0</v>
      </c>
      <c r="J1432">
        <f>'906MP'!T1132</f>
        <v>0</v>
      </c>
      <c r="K1432">
        <f>'906MP'!AJ1132</f>
        <v>0</v>
      </c>
      <c r="L1432">
        <f>'906MP'!U1132</f>
        <v>0</v>
      </c>
      <c r="M1432" s="322" t="str">
        <f>IFERROR(VLOOKUP(A1432,PAR!$D$3:$E$53,2,FALSE),"nincs szervezet")</f>
        <v>nincs szervezet</v>
      </c>
      <c r="N1432" s="322" t="str">
        <f>VLOOKUP(F1432,PAR!$R$3:$S$5,2,FALSE)</f>
        <v>3 - egyik sem</v>
      </c>
      <c r="O1432" t="str">
        <f>IFERROR(VLOOKUP(J1432,PAR!$O$3:$P$5,2,FALSE),"nincs feladat")</f>
        <v>nincs feladat</v>
      </c>
      <c r="P1432" t="str">
        <f>IFERROR(VLOOKUP(G1432,PAR!$J$2:$M$19,4),"nincs rovat")</f>
        <v>nincs rovat</v>
      </c>
      <c r="Q1432" t="str">
        <f>IF(H1432&gt;0,VLOOKUP(H1432,PAR!$AA$3:$AC$187,3,FALSE),"nincs főkönyvi számla")</f>
        <v>nincs főkönyvi számla</v>
      </c>
      <c r="R1432" t="str">
        <f>IFERROR(VLOOKUP(K1432,PAR!$V$3:$X$438,3,FALSE),"000000 - Nincs COFOG")</f>
        <v>000000 - Nincs COFOG</v>
      </c>
      <c r="S1432">
        <f t="shared" si="430"/>
        <v>0</v>
      </c>
      <c r="T1432">
        <f t="shared" si="431"/>
        <v>0</v>
      </c>
      <c r="U1432" t="str">
        <f>IF('906MP'!J1132&gt;0,CONCATENATE('906MP'!J1132," - ",'906MP'!P1132,", ",'906MP'!E1132),"nincs megjegyzés")</f>
        <v>nincs megjegyzés</v>
      </c>
      <c r="V1432" t="str">
        <f t="shared" si="418"/>
        <v>0P0</v>
      </c>
      <c r="W1432" t="str">
        <f t="shared" si="419"/>
        <v>0P0</v>
      </c>
      <c r="X1432" t="str">
        <f t="shared" si="420"/>
        <v>P0</v>
      </c>
      <c r="Y1432" t="str">
        <f t="shared" si="421"/>
        <v>00</v>
      </c>
      <c r="Z1432" t="str">
        <f t="shared" si="432"/>
        <v>00</v>
      </c>
      <c r="AA1432" t="str">
        <f t="shared" si="422"/>
        <v>00</v>
      </c>
      <c r="AB1432" t="str">
        <f t="shared" si="423"/>
        <v>00</v>
      </c>
      <c r="AC1432" t="str">
        <f t="shared" si="424"/>
        <v>0P0</v>
      </c>
      <c r="AD1432" t="str">
        <f t="shared" si="425"/>
        <v>P00</v>
      </c>
      <c r="AE1432" t="str">
        <f t="shared" si="426"/>
        <v>0P0</v>
      </c>
      <c r="AF1432" t="str">
        <f t="shared" si="427"/>
        <v>P00</v>
      </c>
      <c r="AG1432" t="str">
        <f t="shared" si="433"/>
        <v>0P00</v>
      </c>
      <c r="AH1432" t="str">
        <f t="shared" si="434"/>
        <v>P000</v>
      </c>
      <c r="AI1432" t="str">
        <f t="shared" si="435"/>
        <v>0P00</v>
      </c>
      <c r="AJ1432" t="str">
        <f t="shared" si="436"/>
        <v>P000</v>
      </c>
    </row>
    <row r="1433" spans="1:36" x14ac:dyDescent="0.25">
      <c r="A1433" s="325" t="str">
        <f>CONCATENATE("P",'906MP'!M1133)</f>
        <v>P</v>
      </c>
      <c r="B1433">
        <f>'906MP'!H1133</f>
        <v>0</v>
      </c>
      <c r="C1433">
        <f>'906MP'!J1133</f>
        <v>0</v>
      </c>
      <c r="D1433">
        <f>'906MP'!P1133</f>
        <v>0</v>
      </c>
      <c r="E1433">
        <f>'906MP'!X1133</f>
        <v>0</v>
      </c>
      <c r="F1433" t="str">
        <f t="shared" si="428"/>
        <v>0</v>
      </c>
      <c r="G1433" t="str">
        <f t="shared" si="429"/>
        <v>0</v>
      </c>
      <c r="H1433">
        <f>'906MP'!Y1133</f>
        <v>0</v>
      </c>
      <c r="I1433">
        <f>'906MP'!AK1133</f>
        <v>0</v>
      </c>
      <c r="J1433">
        <f>'906MP'!T1133</f>
        <v>0</v>
      </c>
      <c r="K1433">
        <f>'906MP'!AJ1133</f>
        <v>0</v>
      </c>
      <c r="L1433">
        <f>'906MP'!U1133</f>
        <v>0</v>
      </c>
      <c r="M1433" s="322" t="str">
        <f>IFERROR(VLOOKUP(A1433,PAR!$D$3:$E$53,2,FALSE),"nincs szervezet")</f>
        <v>nincs szervezet</v>
      </c>
      <c r="N1433" s="322" t="str">
        <f>VLOOKUP(F1433,PAR!$R$3:$S$5,2,FALSE)</f>
        <v>3 - egyik sem</v>
      </c>
      <c r="O1433" t="str">
        <f>IFERROR(VLOOKUP(J1433,PAR!$O$3:$P$5,2,FALSE),"nincs feladat")</f>
        <v>nincs feladat</v>
      </c>
      <c r="P1433" t="str">
        <f>IFERROR(VLOOKUP(G1433,PAR!$J$2:$M$19,4),"nincs rovat")</f>
        <v>nincs rovat</v>
      </c>
      <c r="Q1433" t="str">
        <f>IF(H1433&gt;0,VLOOKUP(H1433,PAR!$AA$3:$AC$187,3,FALSE),"nincs főkönyvi számla")</f>
        <v>nincs főkönyvi számla</v>
      </c>
      <c r="R1433" t="str">
        <f>IFERROR(VLOOKUP(K1433,PAR!$V$3:$X$438,3,FALSE),"000000 - Nincs COFOG")</f>
        <v>000000 - Nincs COFOG</v>
      </c>
      <c r="S1433">
        <f t="shared" si="430"/>
        <v>0</v>
      </c>
      <c r="T1433">
        <f t="shared" si="431"/>
        <v>0</v>
      </c>
      <c r="U1433" t="str">
        <f>IF('906MP'!J1133&gt;0,CONCATENATE('906MP'!J1133," - ",'906MP'!P1133,", ",'906MP'!E1133),"nincs megjegyzés")</f>
        <v>nincs megjegyzés</v>
      </c>
      <c r="V1433" t="str">
        <f t="shared" si="418"/>
        <v>0P0</v>
      </c>
      <c r="W1433" t="str">
        <f t="shared" si="419"/>
        <v>0P0</v>
      </c>
      <c r="X1433" t="str">
        <f t="shared" si="420"/>
        <v>P0</v>
      </c>
      <c r="Y1433" t="str">
        <f t="shared" si="421"/>
        <v>00</v>
      </c>
      <c r="Z1433" t="str">
        <f t="shared" si="432"/>
        <v>00</v>
      </c>
      <c r="AA1433" t="str">
        <f t="shared" si="422"/>
        <v>00</v>
      </c>
      <c r="AB1433" t="str">
        <f t="shared" si="423"/>
        <v>00</v>
      </c>
      <c r="AC1433" t="str">
        <f t="shared" si="424"/>
        <v>0P0</v>
      </c>
      <c r="AD1433" t="str">
        <f t="shared" si="425"/>
        <v>P00</v>
      </c>
      <c r="AE1433" t="str">
        <f t="shared" si="426"/>
        <v>0P0</v>
      </c>
      <c r="AF1433" t="str">
        <f t="shared" si="427"/>
        <v>P00</v>
      </c>
      <c r="AG1433" t="str">
        <f t="shared" si="433"/>
        <v>0P00</v>
      </c>
      <c r="AH1433" t="str">
        <f t="shared" si="434"/>
        <v>P000</v>
      </c>
      <c r="AI1433" t="str">
        <f t="shared" si="435"/>
        <v>0P00</v>
      </c>
      <c r="AJ1433" t="str">
        <f t="shared" si="436"/>
        <v>P000</v>
      </c>
    </row>
    <row r="1434" spans="1:36" x14ac:dyDescent="0.25">
      <c r="A1434" s="325" t="str">
        <f>CONCATENATE("P",'906MP'!M1134)</f>
        <v>P</v>
      </c>
      <c r="B1434">
        <f>'906MP'!H1134</f>
        <v>0</v>
      </c>
      <c r="C1434">
        <f>'906MP'!J1134</f>
        <v>0</v>
      </c>
      <c r="D1434">
        <f>'906MP'!P1134</f>
        <v>0</v>
      </c>
      <c r="E1434">
        <f>'906MP'!X1134</f>
        <v>0</v>
      </c>
      <c r="F1434" t="str">
        <f t="shared" si="428"/>
        <v>0</v>
      </c>
      <c r="G1434" t="str">
        <f t="shared" si="429"/>
        <v>0</v>
      </c>
      <c r="H1434">
        <f>'906MP'!Y1134</f>
        <v>0</v>
      </c>
      <c r="I1434">
        <f>'906MP'!AK1134</f>
        <v>0</v>
      </c>
      <c r="J1434">
        <f>'906MP'!T1134</f>
        <v>0</v>
      </c>
      <c r="K1434">
        <f>'906MP'!AJ1134</f>
        <v>0</v>
      </c>
      <c r="L1434">
        <f>'906MP'!U1134</f>
        <v>0</v>
      </c>
      <c r="M1434" s="322" t="str">
        <f>IFERROR(VLOOKUP(A1434,PAR!$D$3:$E$53,2,FALSE),"nincs szervezet")</f>
        <v>nincs szervezet</v>
      </c>
      <c r="N1434" s="322" t="str">
        <f>VLOOKUP(F1434,PAR!$R$3:$S$5,2,FALSE)</f>
        <v>3 - egyik sem</v>
      </c>
      <c r="O1434" t="str">
        <f>IFERROR(VLOOKUP(J1434,PAR!$O$3:$P$5,2,FALSE),"nincs feladat")</f>
        <v>nincs feladat</v>
      </c>
      <c r="P1434" t="str">
        <f>IFERROR(VLOOKUP(G1434,PAR!$J$2:$M$19,4),"nincs rovat")</f>
        <v>nincs rovat</v>
      </c>
      <c r="Q1434" t="str">
        <f>IF(H1434&gt;0,VLOOKUP(H1434,PAR!$AA$3:$AC$187,3,FALSE),"nincs főkönyvi számla")</f>
        <v>nincs főkönyvi számla</v>
      </c>
      <c r="R1434" t="str">
        <f>IFERROR(VLOOKUP(K1434,PAR!$V$3:$X$438,3,FALSE),"000000 - Nincs COFOG")</f>
        <v>000000 - Nincs COFOG</v>
      </c>
      <c r="S1434">
        <f t="shared" si="430"/>
        <v>0</v>
      </c>
      <c r="T1434">
        <f t="shared" si="431"/>
        <v>0</v>
      </c>
      <c r="U1434" t="str">
        <f>IF('906MP'!J1134&gt;0,CONCATENATE('906MP'!J1134," - ",'906MP'!P1134,", ",'906MP'!E1134),"nincs megjegyzés")</f>
        <v>nincs megjegyzés</v>
      </c>
      <c r="V1434" t="str">
        <f t="shared" si="418"/>
        <v>0P0</v>
      </c>
      <c r="W1434" t="str">
        <f t="shared" si="419"/>
        <v>0P0</v>
      </c>
      <c r="X1434" t="str">
        <f t="shared" si="420"/>
        <v>P0</v>
      </c>
      <c r="Y1434" t="str">
        <f t="shared" si="421"/>
        <v>00</v>
      </c>
      <c r="Z1434" t="str">
        <f t="shared" si="432"/>
        <v>00</v>
      </c>
      <c r="AA1434" t="str">
        <f t="shared" si="422"/>
        <v>00</v>
      </c>
      <c r="AB1434" t="str">
        <f t="shared" si="423"/>
        <v>00</v>
      </c>
      <c r="AC1434" t="str">
        <f t="shared" si="424"/>
        <v>0P0</v>
      </c>
      <c r="AD1434" t="str">
        <f t="shared" si="425"/>
        <v>P00</v>
      </c>
      <c r="AE1434" t="str">
        <f t="shared" si="426"/>
        <v>0P0</v>
      </c>
      <c r="AF1434" t="str">
        <f t="shared" si="427"/>
        <v>P00</v>
      </c>
      <c r="AG1434" t="str">
        <f t="shared" si="433"/>
        <v>0P00</v>
      </c>
      <c r="AH1434" t="str">
        <f t="shared" si="434"/>
        <v>P000</v>
      </c>
      <c r="AI1434" t="str">
        <f t="shared" si="435"/>
        <v>0P00</v>
      </c>
      <c r="AJ1434" t="str">
        <f t="shared" si="436"/>
        <v>P000</v>
      </c>
    </row>
    <row r="1435" spans="1:36" x14ac:dyDescent="0.25">
      <c r="A1435" s="325" t="str">
        <f>CONCATENATE("P",'906MP'!M1135)</f>
        <v>P</v>
      </c>
      <c r="B1435">
        <f>'906MP'!H1135</f>
        <v>0</v>
      </c>
      <c r="C1435">
        <f>'906MP'!J1135</f>
        <v>0</v>
      </c>
      <c r="D1435">
        <f>'906MP'!P1135</f>
        <v>0</v>
      </c>
      <c r="E1435">
        <f>'906MP'!X1135</f>
        <v>0</v>
      </c>
      <c r="F1435" t="str">
        <f t="shared" si="428"/>
        <v>0</v>
      </c>
      <c r="G1435" t="str">
        <f t="shared" si="429"/>
        <v>0</v>
      </c>
      <c r="H1435">
        <f>'906MP'!Y1135</f>
        <v>0</v>
      </c>
      <c r="I1435">
        <f>'906MP'!AK1135</f>
        <v>0</v>
      </c>
      <c r="J1435">
        <f>'906MP'!T1135</f>
        <v>0</v>
      </c>
      <c r="K1435">
        <f>'906MP'!AJ1135</f>
        <v>0</v>
      </c>
      <c r="L1435">
        <f>'906MP'!U1135</f>
        <v>0</v>
      </c>
      <c r="M1435" s="322" t="str">
        <f>IFERROR(VLOOKUP(A1435,PAR!$D$3:$E$53,2,FALSE),"nincs szervezet")</f>
        <v>nincs szervezet</v>
      </c>
      <c r="N1435" s="322" t="str">
        <f>VLOOKUP(F1435,PAR!$R$3:$S$5,2,FALSE)</f>
        <v>3 - egyik sem</v>
      </c>
      <c r="O1435" t="str">
        <f>IFERROR(VLOOKUP(J1435,PAR!$O$3:$P$5,2,FALSE),"nincs feladat")</f>
        <v>nincs feladat</v>
      </c>
      <c r="P1435" t="str">
        <f>IFERROR(VLOOKUP(G1435,PAR!$J$2:$M$19,4),"nincs rovat")</f>
        <v>nincs rovat</v>
      </c>
      <c r="Q1435" t="str">
        <f>IF(H1435&gt;0,VLOOKUP(H1435,PAR!$AA$3:$AC$187,3,FALSE),"nincs főkönyvi számla")</f>
        <v>nincs főkönyvi számla</v>
      </c>
      <c r="R1435" t="str">
        <f>IFERROR(VLOOKUP(K1435,PAR!$V$3:$X$438,3,FALSE),"000000 - Nincs COFOG")</f>
        <v>000000 - Nincs COFOG</v>
      </c>
      <c r="S1435">
        <f t="shared" si="430"/>
        <v>0</v>
      </c>
      <c r="T1435">
        <f t="shared" si="431"/>
        <v>0</v>
      </c>
      <c r="U1435" t="str">
        <f>IF('906MP'!J1135&gt;0,CONCATENATE('906MP'!J1135," - ",'906MP'!P1135,", ",'906MP'!E1135),"nincs megjegyzés")</f>
        <v>nincs megjegyzés</v>
      </c>
      <c r="V1435" t="str">
        <f t="shared" si="418"/>
        <v>0P0</v>
      </c>
      <c r="W1435" t="str">
        <f t="shared" si="419"/>
        <v>0P0</v>
      </c>
      <c r="X1435" t="str">
        <f t="shared" si="420"/>
        <v>P0</v>
      </c>
      <c r="Y1435" t="str">
        <f t="shared" si="421"/>
        <v>00</v>
      </c>
      <c r="Z1435" t="str">
        <f t="shared" si="432"/>
        <v>00</v>
      </c>
      <c r="AA1435" t="str">
        <f t="shared" si="422"/>
        <v>00</v>
      </c>
      <c r="AB1435" t="str">
        <f t="shared" si="423"/>
        <v>00</v>
      </c>
      <c r="AC1435" t="str">
        <f t="shared" si="424"/>
        <v>0P0</v>
      </c>
      <c r="AD1435" t="str">
        <f t="shared" si="425"/>
        <v>P00</v>
      </c>
      <c r="AE1435" t="str">
        <f t="shared" si="426"/>
        <v>0P0</v>
      </c>
      <c r="AF1435" t="str">
        <f t="shared" si="427"/>
        <v>P00</v>
      </c>
      <c r="AG1435" t="str">
        <f t="shared" si="433"/>
        <v>0P00</v>
      </c>
      <c r="AH1435" t="str">
        <f t="shared" si="434"/>
        <v>P000</v>
      </c>
      <c r="AI1435" t="str">
        <f t="shared" si="435"/>
        <v>0P00</v>
      </c>
      <c r="AJ1435" t="str">
        <f t="shared" si="436"/>
        <v>P000</v>
      </c>
    </row>
    <row r="1436" spans="1:36" x14ac:dyDescent="0.25">
      <c r="A1436" s="325" t="str">
        <f>CONCATENATE("P",'906MP'!M1136)</f>
        <v>P</v>
      </c>
      <c r="B1436">
        <f>'906MP'!H1136</f>
        <v>0</v>
      </c>
      <c r="C1436">
        <f>'906MP'!J1136</f>
        <v>0</v>
      </c>
      <c r="D1436">
        <f>'906MP'!P1136</f>
        <v>0</v>
      </c>
      <c r="E1436">
        <f>'906MP'!X1136</f>
        <v>0</v>
      </c>
      <c r="F1436" t="str">
        <f t="shared" si="428"/>
        <v>0</v>
      </c>
      <c r="G1436" t="str">
        <f t="shared" si="429"/>
        <v>0</v>
      </c>
      <c r="H1436">
        <f>'906MP'!Y1136</f>
        <v>0</v>
      </c>
      <c r="I1436">
        <f>'906MP'!AK1136</f>
        <v>0</v>
      </c>
      <c r="J1436">
        <f>'906MP'!T1136</f>
        <v>0</v>
      </c>
      <c r="K1436">
        <f>'906MP'!AJ1136</f>
        <v>0</v>
      </c>
      <c r="L1436">
        <f>'906MP'!U1136</f>
        <v>0</v>
      </c>
      <c r="M1436" s="322" t="str">
        <f>IFERROR(VLOOKUP(A1436,PAR!$D$3:$E$53,2,FALSE),"nincs szervezet")</f>
        <v>nincs szervezet</v>
      </c>
      <c r="N1436" s="322" t="str">
        <f>VLOOKUP(F1436,PAR!$R$3:$S$5,2,FALSE)</f>
        <v>3 - egyik sem</v>
      </c>
      <c r="O1436" t="str">
        <f>IFERROR(VLOOKUP(J1436,PAR!$O$3:$P$5,2,FALSE),"nincs feladat")</f>
        <v>nincs feladat</v>
      </c>
      <c r="P1436" t="str">
        <f>IFERROR(VLOOKUP(G1436,PAR!$J$2:$M$19,4),"nincs rovat")</f>
        <v>nincs rovat</v>
      </c>
      <c r="Q1436" t="str">
        <f>IF(H1436&gt;0,VLOOKUP(H1436,PAR!$AA$3:$AC$187,3,FALSE),"nincs főkönyvi számla")</f>
        <v>nincs főkönyvi számla</v>
      </c>
      <c r="R1436" t="str">
        <f>IFERROR(VLOOKUP(K1436,PAR!$V$3:$X$438,3,FALSE),"000000 - Nincs COFOG")</f>
        <v>000000 - Nincs COFOG</v>
      </c>
      <c r="S1436">
        <f t="shared" si="430"/>
        <v>0</v>
      </c>
      <c r="T1436">
        <f t="shared" si="431"/>
        <v>0</v>
      </c>
      <c r="U1436" t="str">
        <f>IF('906MP'!J1136&gt;0,CONCATENATE('906MP'!J1136," - ",'906MP'!P1136,", ",'906MP'!E1136),"nincs megjegyzés")</f>
        <v>nincs megjegyzés</v>
      </c>
      <c r="V1436" t="str">
        <f t="shared" si="418"/>
        <v>0P0</v>
      </c>
      <c r="W1436" t="str">
        <f t="shared" si="419"/>
        <v>0P0</v>
      </c>
      <c r="X1436" t="str">
        <f t="shared" si="420"/>
        <v>P0</v>
      </c>
      <c r="Y1436" t="str">
        <f t="shared" si="421"/>
        <v>00</v>
      </c>
      <c r="Z1436" t="str">
        <f t="shared" si="432"/>
        <v>00</v>
      </c>
      <c r="AA1436" t="str">
        <f t="shared" si="422"/>
        <v>00</v>
      </c>
      <c r="AB1436" t="str">
        <f t="shared" si="423"/>
        <v>00</v>
      </c>
      <c r="AC1436" t="str">
        <f t="shared" si="424"/>
        <v>0P0</v>
      </c>
      <c r="AD1436" t="str">
        <f t="shared" si="425"/>
        <v>P00</v>
      </c>
      <c r="AE1436" t="str">
        <f t="shared" si="426"/>
        <v>0P0</v>
      </c>
      <c r="AF1436" t="str">
        <f t="shared" si="427"/>
        <v>P00</v>
      </c>
      <c r="AG1436" t="str">
        <f t="shared" si="433"/>
        <v>0P00</v>
      </c>
      <c r="AH1436" t="str">
        <f t="shared" si="434"/>
        <v>P000</v>
      </c>
      <c r="AI1436" t="str">
        <f t="shared" si="435"/>
        <v>0P00</v>
      </c>
      <c r="AJ1436" t="str">
        <f t="shared" si="436"/>
        <v>P000</v>
      </c>
    </row>
    <row r="1437" spans="1:36" x14ac:dyDescent="0.25">
      <c r="A1437" s="325" t="str">
        <f>CONCATENATE("P",'906MP'!M1137)</f>
        <v>P</v>
      </c>
      <c r="B1437">
        <f>'906MP'!H1137</f>
        <v>0</v>
      </c>
      <c r="C1437">
        <f>'906MP'!J1137</f>
        <v>0</v>
      </c>
      <c r="D1437">
        <f>'906MP'!P1137</f>
        <v>0</v>
      </c>
      <c r="E1437">
        <f>'906MP'!X1137</f>
        <v>0</v>
      </c>
      <c r="F1437" t="str">
        <f t="shared" si="428"/>
        <v>0</v>
      </c>
      <c r="G1437" t="str">
        <f t="shared" si="429"/>
        <v>0</v>
      </c>
      <c r="H1437">
        <f>'906MP'!Y1137</f>
        <v>0</v>
      </c>
      <c r="I1437">
        <f>'906MP'!AK1137</f>
        <v>0</v>
      </c>
      <c r="J1437">
        <f>'906MP'!T1137</f>
        <v>0</v>
      </c>
      <c r="K1437">
        <f>'906MP'!AJ1137</f>
        <v>0</v>
      </c>
      <c r="L1437">
        <f>'906MP'!U1137</f>
        <v>0</v>
      </c>
      <c r="M1437" s="322" t="str">
        <f>IFERROR(VLOOKUP(A1437,PAR!$D$3:$E$53,2,FALSE),"nincs szervezet")</f>
        <v>nincs szervezet</v>
      </c>
      <c r="N1437" s="322" t="str">
        <f>VLOOKUP(F1437,PAR!$R$3:$S$5,2,FALSE)</f>
        <v>3 - egyik sem</v>
      </c>
      <c r="O1437" t="str">
        <f>IFERROR(VLOOKUP(J1437,PAR!$O$3:$P$5,2,FALSE),"nincs feladat")</f>
        <v>nincs feladat</v>
      </c>
      <c r="P1437" t="str">
        <f>IFERROR(VLOOKUP(G1437,PAR!$J$2:$M$19,4),"nincs rovat")</f>
        <v>nincs rovat</v>
      </c>
      <c r="Q1437" t="str">
        <f>IF(H1437&gt;0,VLOOKUP(H1437,PAR!$AA$3:$AC$187,3,FALSE),"nincs főkönyvi számla")</f>
        <v>nincs főkönyvi számla</v>
      </c>
      <c r="R1437" t="str">
        <f>IFERROR(VLOOKUP(K1437,PAR!$V$3:$X$438,3,FALSE),"000000 - Nincs COFOG")</f>
        <v>000000 - Nincs COFOG</v>
      </c>
      <c r="S1437">
        <f t="shared" si="430"/>
        <v>0</v>
      </c>
      <c r="T1437">
        <f t="shared" si="431"/>
        <v>0</v>
      </c>
      <c r="U1437" t="str">
        <f>IF('906MP'!J1137&gt;0,CONCATENATE('906MP'!J1137," - ",'906MP'!P1137,", ",'906MP'!E1137),"nincs megjegyzés")</f>
        <v>nincs megjegyzés</v>
      </c>
      <c r="V1437" t="str">
        <f t="shared" si="418"/>
        <v>0P0</v>
      </c>
      <c r="W1437" t="str">
        <f t="shared" si="419"/>
        <v>0P0</v>
      </c>
      <c r="X1437" t="str">
        <f t="shared" si="420"/>
        <v>P0</v>
      </c>
      <c r="Y1437" t="str">
        <f t="shared" si="421"/>
        <v>00</v>
      </c>
      <c r="Z1437" t="str">
        <f t="shared" si="432"/>
        <v>00</v>
      </c>
      <c r="AA1437" t="str">
        <f t="shared" si="422"/>
        <v>00</v>
      </c>
      <c r="AB1437" t="str">
        <f t="shared" si="423"/>
        <v>00</v>
      </c>
      <c r="AC1437" t="str">
        <f t="shared" si="424"/>
        <v>0P0</v>
      </c>
      <c r="AD1437" t="str">
        <f t="shared" si="425"/>
        <v>P00</v>
      </c>
      <c r="AE1437" t="str">
        <f t="shared" si="426"/>
        <v>0P0</v>
      </c>
      <c r="AF1437" t="str">
        <f t="shared" si="427"/>
        <v>P00</v>
      </c>
      <c r="AG1437" t="str">
        <f t="shared" si="433"/>
        <v>0P00</v>
      </c>
      <c r="AH1437" t="str">
        <f t="shared" si="434"/>
        <v>P000</v>
      </c>
      <c r="AI1437" t="str">
        <f t="shared" si="435"/>
        <v>0P00</v>
      </c>
      <c r="AJ1437" t="str">
        <f t="shared" si="436"/>
        <v>P000</v>
      </c>
    </row>
    <row r="1438" spans="1:36" x14ac:dyDescent="0.25">
      <c r="A1438" s="325" t="str">
        <f>CONCATENATE("P",'906MP'!M1138)</f>
        <v>P</v>
      </c>
      <c r="B1438">
        <f>'906MP'!H1138</f>
        <v>0</v>
      </c>
      <c r="C1438">
        <f>'906MP'!J1138</f>
        <v>0</v>
      </c>
      <c r="D1438">
        <f>'906MP'!P1138</f>
        <v>0</v>
      </c>
      <c r="E1438">
        <f>'906MP'!X1138</f>
        <v>0</v>
      </c>
      <c r="F1438" t="str">
        <f t="shared" si="428"/>
        <v>0</v>
      </c>
      <c r="G1438" t="str">
        <f t="shared" si="429"/>
        <v>0</v>
      </c>
      <c r="H1438">
        <f>'906MP'!Y1138</f>
        <v>0</v>
      </c>
      <c r="I1438">
        <f>'906MP'!AK1138</f>
        <v>0</v>
      </c>
      <c r="J1438">
        <f>'906MP'!T1138</f>
        <v>0</v>
      </c>
      <c r="K1438">
        <f>'906MP'!AJ1138</f>
        <v>0</v>
      </c>
      <c r="L1438">
        <f>'906MP'!U1138</f>
        <v>0</v>
      </c>
      <c r="M1438" s="322" t="str">
        <f>IFERROR(VLOOKUP(A1438,PAR!$D$3:$E$53,2,FALSE),"nincs szervezet")</f>
        <v>nincs szervezet</v>
      </c>
      <c r="N1438" s="322" t="str">
        <f>VLOOKUP(F1438,PAR!$R$3:$S$5,2,FALSE)</f>
        <v>3 - egyik sem</v>
      </c>
      <c r="O1438" t="str">
        <f>IFERROR(VLOOKUP(J1438,PAR!$O$3:$P$5,2,FALSE),"nincs feladat")</f>
        <v>nincs feladat</v>
      </c>
      <c r="P1438" t="str">
        <f>IFERROR(VLOOKUP(G1438,PAR!$J$2:$M$19,4),"nincs rovat")</f>
        <v>nincs rovat</v>
      </c>
      <c r="Q1438" t="str">
        <f>IF(H1438&gt;0,VLOOKUP(H1438,PAR!$AA$3:$AC$187,3,FALSE),"nincs főkönyvi számla")</f>
        <v>nincs főkönyvi számla</v>
      </c>
      <c r="R1438" t="str">
        <f>IFERROR(VLOOKUP(K1438,PAR!$V$3:$X$438,3,FALSE),"000000 - Nincs COFOG")</f>
        <v>000000 - Nincs COFOG</v>
      </c>
      <c r="S1438">
        <f t="shared" si="430"/>
        <v>0</v>
      </c>
      <c r="T1438">
        <f t="shared" si="431"/>
        <v>0</v>
      </c>
      <c r="U1438" t="str">
        <f>IF('906MP'!J1138&gt;0,CONCATENATE('906MP'!J1138," - ",'906MP'!P1138,", ",'906MP'!E1138),"nincs megjegyzés")</f>
        <v>nincs megjegyzés</v>
      </c>
      <c r="V1438" t="str">
        <f t="shared" si="418"/>
        <v>0P0</v>
      </c>
      <c r="W1438" t="str">
        <f t="shared" si="419"/>
        <v>0P0</v>
      </c>
      <c r="X1438" t="str">
        <f t="shared" si="420"/>
        <v>P0</v>
      </c>
      <c r="Y1438" t="str">
        <f t="shared" si="421"/>
        <v>00</v>
      </c>
      <c r="Z1438" t="str">
        <f t="shared" si="432"/>
        <v>00</v>
      </c>
      <c r="AA1438" t="str">
        <f t="shared" si="422"/>
        <v>00</v>
      </c>
      <c r="AB1438" t="str">
        <f t="shared" si="423"/>
        <v>00</v>
      </c>
      <c r="AC1438" t="str">
        <f t="shared" si="424"/>
        <v>0P0</v>
      </c>
      <c r="AD1438" t="str">
        <f t="shared" si="425"/>
        <v>P00</v>
      </c>
      <c r="AE1438" t="str">
        <f t="shared" si="426"/>
        <v>0P0</v>
      </c>
      <c r="AF1438" t="str">
        <f t="shared" si="427"/>
        <v>P00</v>
      </c>
      <c r="AG1438" t="str">
        <f t="shared" si="433"/>
        <v>0P00</v>
      </c>
      <c r="AH1438" t="str">
        <f t="shared" si="434"/>
        <v>P000</v>
      </c>
      <c r="AI1438" t="str">
        <f t="shared" si="435"/>
        <v>0P00</v>
      </c>
      <c r="AJ1438" t="str">
        <f t="shared" si="436"/>
        <v>P000</v>
      </c>
    </row>
    <row r="1439" spans="1:36" x14ac:dyDescent="0.25">
      <c r="A1439" s="325" t="str">
        <f>CONCATENATE("P",'906MP'!M1139)</f>
        <v>P</v>
      </c>
      <c r="B1439">
        <f>'906MP'!H1139</f>
        <v>0</v>
      </c>
      <c r="C1439">
        <f>'906MP'!J1139</f>
        <v>0</v>
      </c>
      <c r="D1439">
        <f>'906MP'!P1139</f>
        <v>0</v>
      </c>
      <c r="E1439">
        <f>'906MP'!X1139</f>
        <v>0</v>
      </c>
      <c r="F1439" t="str">
        <f t="shared" si="428"/>
        <v>0</v>
      </c>
      <c r="G1439" t="str">
        <f t="shared" si="429"/>
        <v>0</v>
      </c>
      <c r="H1439">
        <f>'906MP'!Y1139</f>
        <v>0</v>
      </c>
      <c r="I1439">
        <f>'906MP'!AK1139</f>
        <v>0</v>
      </c>
      <c r="J1439">
        <f>'906MP'!T1139</f>
        <v>0</v>
      </c>
      <c r="K1439">
        <f>'906MP'!AJ1139</f>
        <v>0</v>
      </c>
      <c r="L1439">
        <f>'906MP'!U1139</f>
        <v>0</v>
      </c>
      <c r="M1439" s="322" t="str">
        <f>IFERROR(VLOOKUP(A1439,PAR!$D$3:$E$53,2,FALSE),"nincs szervezet")</f>
        <v>nincs szervezet</v>
      </c>
      <c r="N1439" s="322" t="str">
        <f>VLOOKUP(F1439,PAR!$R$3:$S$5,2,FALSE)</f>
        <v>3 - egyik sem</v>
      </c>
      <c r="O1439" t="str">
        <f>IFERROR(VLOOKUP(J1439,PAR!$O$3:$P$5,2,FALSE),"nincs feladat")</f>
        <v>nincs feladat</v>
      </c>
      <c r="P1439" t="str">
        <f>IFERROR(VLOOKUP(G1439,PAR!$J$2:$M$19,4),"nincs rovat")</f>
        <v>nincs rovat</v>
      </c>
      <c r="Q1439" t="str">
        <f>IF(H1439&gt;0,VLOOKUP(H1439,PAR!$AA$3:$AC$187,3,FALSE),"nincs főkönyvi számla")</f>
        <v>nincs főkönyvi számla</v>
      </c>
      <c r="R1439" t="str">
        <f>IFERROR(VLOOKUP(K1439,PAR!$V$3:$X$438,3,FALSE),"000000 - Nincs COFOG")</f>
        <v>000000 - Nincs COFOG</v>
      </c>
      <c r="S1439">
        <f t="shared" si="430"/>
        <v>0</v>
      </c>
      <c r="T1439">
        <f t="shared" si="431"/>
        <v>0</v>
      </c>
      <c r="U1439" t="str">
        <f>IF('906MP'!J1139&gt;0,CONCATENATE('906MP'!J1139," - ",'906MP'!P1139,", ",'906MP'!E1139),"nincs megjegyzés")</f>
        <v>nincs megjegyzés</v>
      </c>
      <c r="V1439" t="str">
        <f t="shared" si="418"/>
        <v>0P0</v>
      </c>
      <c r="W1439" t="str">
        <f t="shared" si="419"/>
        <v>0P0</v>
      </c>
      <c r="X1439" t="str">
        <f t="shared" si="420"/>
        <v>P0</v>
      </c>
      <c r="Y1439" t="str">
        <f t="shared" si="421"/>
        <v>00</v>
      </c>
      <c r="Z1439" t="str">
        <f t="shared" si="432"/>
        <v>00</v>
      </c>
      <c r="AA1439" t="str">
        <f t="shared" si="422"/>
        <v>00</v>
      </c>
      <c r="AB1439" t="str">
        <f t="shared" si="423"/>
        <v>00</v>
      </c>
      <c r="AC1439" t="str">
        <f t="shared" si="424"/>
        <v>0P0</v>
      </c>
      <c r="AD1439" t="str">
        <f t="shared" si="425"/>
        <v>P00</v>
      </c>
      <c r="AE1439" t="str">
        <f t="shared" si="426"/>
        <v>0P0</v>
      </c>
      <c r="AF1439" t="str">
        <f t="shared" si="427"/>
        <v>P00</v>
      </c>
      <c r="AG1439" t="str">
        <f t="shared" si="433"/>
        <v>0P00</v>
      </c>
      <c r="AH1439" t="str">
        <f t="shared" si="434"/>
        <v>P000</v>
      </c>
      <c r="AI1439" t="str">
        <f t="shared" si="435"/>
        <v>0P00</v>
      </c>
      <c r="AJ1439" t="str">
        <f t="shared" si="436"/>
        <v>P000</v>
      </c>
    </row>
    <row r="1440" spans="1:36" x14ac:dyDescent="0.25">
      <c r="A1440" s="325" t="str">
        <f>CONCATENATE("P",'906MP'!M1140)</f>
        <v>P</v>
      </c>
      <c r="B1440">
        <f>'906MP'!H1140</f>
        <v>0</v>
      </c>
      <c r="C1440">
        <f>'906MP'!J1140</f>
        <v>0</v>
      </c>
      <c r="D1440">
        <f>'906MP'!P1140</f>
        <v>0</v>
      </c>
      <c r="E1440">
        <f>'906MP'!X1140</f>
        <v>0</v>
      </c>
      <c r="F1440" t="str">
        <f t="shared" si="428"/>
        <v>0</v>
      </c>
      <c r="G1440" t="str">
        <f t="shared" si="429"/>
        <v>0</v>
      </c>
      <c r="H1440">
        <f>'906MP'!Y1140</f>
        <v>0</v>
      </c>
      <c r="I1440">
        <f>'906MP'!AK1140</f>
        <v>0</v>
      </c>
      <c r="J1440">
        <f>'906MP'!T1140</f>
        <v>0</v>
      </c>
      <c r="K1440">
        <f>'906MP'!AJ1140</f>
        <v>0</v>
      </c>
      <c r="L1440">
        <f>'906MP'!U1140</f>
        <v>0</v>
      </c>
      <c r="M1440" s="322" t="str">
        <f>IFERROR(VLOOKUP(A1440,PAR!$D$3:$E$53,2,FALSE),"nincs szervezet")</f>
        <v>nincs szervezet</v>
      </c>
      <c r="N1440" s="322" t="str">
        <f>VLOOKUP(F1440,PAR!$R$3:$S$5,2,FALSE)</f>
        <v>3 - egyik sem</v>
      </c>
      <c r="O1440" t="str">
        <f>IFERROR(VLOOKUP(J1440,PAR!$O$3:$P$5,2,FALSE),"nincs feladat")</f>
        <v>nincs feladat</v>
      </c>
      <c r="P1440" t="str">
        <f>IFERROR(VLOOKUP(G1440,PAR!$J$2:$M$19,4),"nincs rovat")</f>
        <v>nincs rovat</v>
      </c>
      <c r="Q1440" t="str">
        <f>IF(H1440&gt;0,VLOOKUP(H1440,PAR!$AA$3:$AC$187,3,FALSE),"nincs főkönyvi számla")</f>
        <v>nincs főkönyvi számla</v>
      </c>
      <c r="R1440" t="str">
        <f>IFERROR(VLOOKUP(K1440,PAR!$V$3:$X$438,3,FALSE),"000000 - Nincs COFOG")</f>
        <v>000000 - Nincs COFOG</v>
      </c>
      <c r="S1440">
        <f t="shared" si="430"/>
        <v>0</v>
      </c>
      <c r="T1440">
        <f t="shared" si="431"/>
        <v>0</v>
      </c>
      <c r="U1440" t="str">
        <f>IF('906MP'!J1140&gt;0,CONCATENATE('906MP'!J1140," - ",'906MP'!P1140,", ",'906MP'!E1140),"nincs megjegyzés")</f>
        <v>nincs megjegyzés</v>
      </c>
      <c r="V1440" t="str">
        <f t="shared" si="418"/>
        <v>0P0</v>
      </c>
      <c r="W1440" t="str">
        <f t="shared" si="419"/>
        <v>0P0</v>
      </c>
      <c r="X1440" t="str">
        <f t="shared" si="420"/>
        <v>P0</v>
      </c>
      <c r="Y1440" t="str">
        <f t="shared" si="421"/>
        <v>00</v>
      </c>
      <c r="Z1440" t="str">
        <f t="shared" si="432"/>
        <v>00</v>
      </c>
      <c r="AA1440" t="str">
        <f t="shared" si="422"/>
        <v>00</v>
      </c>
      <c r="AB1440" t="str">
        <f t="shared" si="423"/>
        <v>00</v>
      </c>
      <c r="AC1440" t="str">
        <f t="shared" si="424"/>
        <v>0P0</v>
      </c>
      <c r="AD1440" t="str">
        <f t="shared" si="425"/>
        <v>P00</v>
      </c>
      <c r="AE1440" t="str">
        <f t="shared" si="426"/>
        <v>0P0</v>
      </c>
      <c r="AF1440" t="str">
        <f t="shared" si="427"/>
        <v>P00</v>
      </c>
      <c r="AG1440" t="str">
        <f t="shared" si="433"/>
        <v>0P00</v>
      </c>
      <c r="AH1440" t="str">
        <f t="shared" si="434"/>
        <v>P000</v>
      </c>
      <c r="AI1440" t="str">
        <f t="shared" si="435"/>
        <v>0P00</v>
      </c>
      <c r="AJ1440" t="str">
        <f t="shared" si="436"/>
        <v>P000</v>
      </c>
    </row>
    <row r="1441" spans="1:36" x14ac:dyDescent="0.25">
      <c r="A1441" s="325" t="str">
        <f>CONCATENATE("P",'906MP'!M1141)</f>
        <v>P</v>
      </c>
      <c r="B1441">
        <f>'906MP'!H1141</f>
        <v>0</v>
      </c>
      <c r="C1441">
        <f>'906MP'!J1141</f>
        <v>0</v>
      </c>
      <c r="D1441">
        <f>'906MP'!P1141</f>
        <v>0</v>
      </c>
      <c r="E1441">
        <f>'906MP'!X1141</f>
        <v>0</v>
      </c>
      <c r="F1441" t="str">
        <f t="shared" si="428"/>
        <v>0</v>
      </c>
      <c r="G1441" t="str">
        <f t="shared" si="429"/>
        <v>0</v>
      </c>
      <c r="H1441">
        <f>'906MP'!Y1141</f>
        <v>0</v>
      </c>
      <c r="I1441">
        <f>'906MP'!AK1141</f>
        <v>0</v>
      </c>
      <c r="J1441">
        <f>'906MP'!T1141</f>
        <v>0</v>
      </c>
      <c r="K1441">
        <f>'906MP'!AJ1141</f>
        <v>0</v>
      </c>
      <c r="L1441">
        <f>'906MP'!U1141</f>
        <v>0</v>
      </c>
      <c r="M1441" s="322" t="str">
        <f>IFERROR(VLOOKUP(A1441,PAR!$D$3:$E$53,2,FALSE),"nincs szervezet")</f>
        <v>nincs szervezet</v>
      </c>
      <c r="N1441" s="322" t="str">
        <f>VLOOKUP(F1441,PAR!$R$3:$S$5,2,FALSE)</f>
        <v>3 - egyik sem</v>
      </c>
      <c r="O1441" t="str">
        <f>IFERROR(VLOOKUP(J1441,PAR!$O$3:$P$5,2,FALSE),"nincs feladat")</f>
        <v>nincs feladat</v>
      </c>
      <c r="P1441" t="str">
        <f>IFERROR(VLOOKUP(G1441,PAR!$J$2:$M$19,4),"nincs rovat")</f>
        <v>nincs rovat</v>
      </c>
      <c r="Q1441" t="str">
        <f>IF(H1441&gt;0,VLOOKUP(H1441,PAR!$AA$3:$AC$187,3,FALSE),"nincs főkönyvi számla")</f>
        <v>nincs főkönyvi számla</v>
      </c>
      <c r="R1441" t="str">
        <f>IFERROR(VLOOKUP(K1441,PAR!$V$3:$X$438,3,FALSE),"000000 - Nincs COFOG")</f>
        <v>000000 - Nincs COFOG</v>
      </c>
      <c r="S1441">
        <f t="shared" si="430"/>
        <v>0</v>
      </c>
      <c r="T1441">
        <f t="shared" si="431"/>
        <v>0</v>
      </c>
      <c r="U1441" t="str">
        <f>IF('906MP'!J1141&gt;0,CONCATENATE('906MP'!J1141," - ",'906MP'!P1141,", ",'906MP'!E1141),"nincs megjegyzés")</f>
        <v>nincs megjegyzés</v>
      </c>
      <c r="V1441" t="str">
        <f t="shared" si="418"/>
        <v>0P0</v>
      </c>
      <c r="W1441" t="str">
        <f t="shared" si="419"/>
        <v>0P0</v>
      </c>
      <c r="X1441" t="str">
        <f t="shared" si="420"/>
        <v>P0</v>
      </c>
      <c r="Y1441" t="str">
        <f t="shared" si="421"/>
        <v>00</v>
      </c>
      <c r="Z1441" t="str">
        <f t="shared" si="432"/>
        <v>00</v>
      </c>
      <c r="AA1441" t="str">
        <f t="shared" si="422"/>
        <v>00</v>
      </c>
      <c r="AB1441" t="str">
        <f t="shared" si="423"/>
        <v>00</v>
      </c>
      <c r="AC1441" t="str">
        <f t="shared" si="424"/>
        <v>0P0</v>
      </c>
      <c r="AD1441" t="str">
        <f t="shared" si="425"/>
        <v>P00</v>
      </c>
      <c r="AE1441" t="str">
        <f t="shared" si="426"/>
        <v>0P0</v>
      </c>
      <c r="AF1441" t="str">
        <f t="shared" si="427"/>
        <v>P00</v>
      </c>
      <c r="AG1441" t="str">
        <f t="shared" si="433"/>
        <v>0P00</v>
      </c>
      <c r="AH1441" t="str">
        <f t="shared" si="434"/>
        <v>P000</v>
      </c>
      <c r="AI1441" t="str">
        <f t="shared" si="435"/>
        <v>0P00</v>
      </c>
      <c r="AJ1441" t="str">
        <f t="shared" si="436"/>
        <v>P000</v>
      </c>
    </row>
    <row r="1442" spans="1:36" x14ac:dyDescent="0.25">
      <c r="A1442" s="325" t="str">
        <f>CONCATENATE("P",'906MP'!M1142)</f>
        <v>P</v>
      </c>
      <c r="B1442">
        <f>'906MP'!H1142</f>
        <v>0</v>
      </c>
      <c r="C1442">
        <f>'906MP'!J1142</f>
        <v>0</v>
      </c>
      <c r="D1442">
        <f>'906MP'!P1142</f>
        <v>0</v>
      </c>
      <c r="E1442">
        <f>'906MP'!X1142</f>
        <v>0</v>
      </c>
      <c r="F1442" t="str">
        <f t="shared" si="428"/>
        <v>0</v>
      </c>
      <c r="G1442" t="str">
        <f t="shared" si="429"/>
        <v>0</v>
      </c>
      <c r="H1442">
        <f>'906MP'!Y1142</f>
        <v>0</v>
      </c>
      <c r="I1442">
        <f>'906MP'!AK1142</f>
        <v>0</v>
      </c>
      <c r="J1442">
        <f>'906MP'!T1142</f>
        <v>0</v>
      </c>
      <c r="K1442">
        <f>'906MP'!AJ1142</f>
        <v>0</v>
      </c>
      <c r="L1442">
        <f>'906MP'!U1142</f>
        <v>0</v>
      </c>
      <c r="M1442" s="322" t="str">
        <f>IFERROR(VLOOKUP(A1442,PAR!$D$3:$E$53,2,FALSE),"nincs szervezet")</f>
        <v>nincs szervezet</v>
      </c>
      <c r="N1442" s="322" t="str">
        <f>VLOOKUP(F1442,PAR!$R$3:$S$5,2,FALSE)</f>
        <v>3 - egyik sem</v>
      </c>
      <c r="O1442" t="str">
        <f>IFERROR(VLOOKUP(J1442,PAR!$O$3:$P$5,2,FALSE),"nincs feladat")</f>
        <v>nincs feladat</v>
      </c>
      <c r="P1442" t="str">
        <f>IFERROR(VLOOKUP(G1442,PAR!$J$2:$M$19,4),"nincs rovat")</f>
        <v>nincs rovat</v>
      </c>
      <c r="Q1442" t="str">
        <f>IF(H1442&gt;0,VLOOKUP(H1442,PAR!$AA$3:$AC$187,3,FALSE),"nincs főkönyvi számla")</f>
        <v>nincs főkönyvi számla</v>
      </c>
      <c r="R1442" t="str">
        <f>IFERROR(VLOOKUP(K1442,PAR!$V$3:$X$438,3,FALSE),"000000 - Nincs COFOG")</f>
        <v>000000 - Nincs COFOG</v>
      </c>
      <c r="S1442">
        <f t="shared" si="430"/>
        <v>0</v>
      </c>
      <c r="T1442">
        <f t="shared" si="431"/>
        <v>0</v>
      </c>
      <c r="U1442" t="str">
        <f>IF('906MP'!J1142&gt;0,CONCATENATE('906MP'!J1142," - ",'906MP'!P1142,", ",'906MP'!E1142),"nincs megjegyzés")</f>
        <v>nincs megjegyzés</v>
      </c>
      <c r="V1442" t="str">
        <f t="shared" si="418"/>
        <v>0P0</v>
      </c>
      <c r="W1442" t="str">
        <f t="shared" si="419"/>
        <v>0P0</v>
      </c>
      <c r="X1442" t="str">
        <f t="shared" si="420"/>
        <v>P0</v>
      </c>
      <c r="Y1442" t="str">
        <f t="shared" si="421"/>
        <v>00</v>
      </c>
      <c r="Z1442" t="str">
        <f t="shared" si="432"/>
        <v>00</v>
      </c>
      <c r="AA1442" t="str">
        <f t="shared" si="422"/>
        <v>00</v>
      </c>
      <c r="AB1442" t="str">
        <f t="shared" si="423"/>
        <v>00</v>
      </c>
      <c r="AC1442" t="str">
        <f t="shared" si="424"/>
        <v>0P0</v>
      </c>
      <c r="AD1442" t="str">
        <f t="shared" si="425"/>
        <v>P00</v>
      </c>
      <c r="AE1442" t="str">
        <f t="shared" si="426"/>
        <v>0P0</v>
      </c>
      <c r="AF1442" t="str">
        <f t="shared" si="427"/>
        <v>P00</v>
      </c>
      <c r="AG1442" t="str">
        <f t="shared" si="433"/>
        <v>0P00</v>
      </c>
      <c r="AH1442" t="str">
        <f t="shared" si="434"/>
        <v>P000</v>
      </c>
      <c r="AI1442" t="str">
        <f t="shared" si="435"/>
        <v>0P00</v>
      </c>
      <c r="AJ1442" t="str">
        <f t="shared" si="436"/>
        <v>P000</v>
      </c>
    </row>
    <row r="1443" spans="1:36" x14ac:dyDescent="0.25">
      <c r="A1443" s="325" t="str">
        <f>CONCATENATE("P",'906MP'!M1143)</f>
        <v>P</v>
      </c>
      <c r="B1443">
        <f>'906MP'!H1143</f>
        <v>0</v>
      </c>
      <c r="C1443">
        <f>'906MP'!J1143</f>
        <v>0</v>
      </c>
      <c r="D1443">
        <f>'906MP'!P1143</f>
        <v>0</v>
      </c>
      <c r="E1443">
        <f>'906MP'!X1143</f>
        <v>0</v>
      </c>
      <c r="F1443" t="str">
        <f t="shared" si="428"/>
        <v>0</v>
      </c>
      <c r="G1443" t="str">
        <f t="shared" si="429"/>
        <v>0</v>
      </c>
      <c r="H1443">
        <f>'906MP'!Y1143</f>
        <v>0</v>
      </c>
      <c r="I1443">
        <f>'906MP'!AK1143</f>
        <v>0</v>
      </c>
      <c r="J1443">
        <f>'906MP'!T1143</f>
        <v>0</v>
      </c>
      <c r="K1443">
        <f>'906MP'!AJ1143</f>
        <v>0</v>
      </c>
      <c r="L1443">
        <f>'906MP'!U1143</f>
        <v>0</v>
      </c>
      <c r="M1443" s="322" t="str">
        <f>IFERROR(VLOOKUP(A1443,PAR!$D$3:$E$53,2,FALSE),"nincs szervezet")</f>
        <v>nincs szervezet</v>
      </c>
      <c r="N1443" s="322" t="str">
        <f>VLOOKUP(F1443,PAR!$R$3:$S$5,2,FALSE)</f>
        <v>3 - egyik sem</v>
      </c>
      <c r="O1443" t="str">
        <f>IFERROR(VLOOKUP(J1443,PAR!$O$3:$P$5,2,FALSE),"nincs feladat")</f>
        <v>nincs feladat</v>
      </c>
      <c r="P1443" t="str">
        <f>IFERROR(VLOOKUP(G1443,PAR!$J$2:$M$19,4),"nincs rovat")</f>
        <v>nincs rovat</v>
      </c>
      <c r="Q1443" t="str">
        <f>IF(H1443&gt;0,VLOOKUP(H1443,PAR!$AA$3:$AC$187,3,FALSE),"nincs főkönyvi számla")</f>
        <v>nincs főkönyvi számla</v>
      </c>
      <c r="R1443" t="str">
        <f>IFERROR(VLOOKUP(K1443,PAR!$V$3:$X$438,3,FALSE),"000000 - Nincs COFOG")</f>
        <v>000000 - Nincs COFOG</v>
      </c>
      <c r="S1443">
        <f t="shared" si="430"/>
        <v>0</v>
      </c>
      <c r="T1443">
        <f t="shared" si="431"/>
        <v>0</v>
      </c>
      <c r="U1443" t="str">
        <f>IF('906MP'!J1143&gt;0,CONCATENATE('906MP'!J1143," - ",'906MP'!P1143,", ",'906MP'!E1143),"nincs megjegyzés")</f>
        <v>nincs megjegyzés</v>
      </c>
      <c r="V1443" t="str">
        <f t="shared" si="418"/>
        <v>0P0</v>
      </c>
      <c r="W1443" t="str">
        <f t="shared" si="419"/>
        <v>0P0</v>
      </c>
      <c r="X1443" t="str">
        <f t="shared" si="420"/>
        <v>P0</v>
      </c>
      <c r="Y1443" t="str">
        <f t="shared" si="421"/>
        <v>00</v>
      </c>
      <c r="Z1443" t="str">
        <f t="shared" si="432"/>
        <v>00</v>
      </c>
      <c r="AA1443" t="str">
        <f t="shared" si="422"/>
        <v>00</v>
      </c>
      <c r="AB1443" t="str">
        <f t="shared" si="423"/>
        <v>00</v>
      </c>
      <c r="AC1443" t="str">
        <f t="shared" si="424"/>
        <v>0P0</v>
      </c>
      <c r="AD1443" t="str">
        <f t="shared" si="425"/>
        <v>P00</v>
      </c>
      <c r="AE1443" t="str">
        <f t="shared" si="426"/>
        <v>0P0</v>
      </c>
      <c r="AF1443" t="str">
        <f t="shared" si="427"/>
        <v>P00</v>
      </c>
      <c r="AG1443" t="str">
        <f t="shared" si="433"/>
        <v>0P00</v>
      </c>
      <c r="AH1443" t="str">
        <f t="shared" si="434"/>
        <v>P000</v>
      </c>
      <c r="AI1443" t="str">
        <f t="shared" si="435"/>
        <v>0P00</v>
      </c>
      <c r="AJ1443" t="str">
        <f t="shared" si="436"/>
        <v>P000</v>
      </c>
    </row>
    <row r="1444" spans="1:36" x14ac:dyDescent="0.25">
      <c r="A1444" s="325" t="str">
        <f>CONCATENATE("P",'906MP'!M1144)</f>
        <v>P</v>
      </c>
      <c r="B1444">
        <f>'906MP'!H1144</f>
        <v>0</v>
      </c>
      <c r="C1444">
        <f>'906MP'!J1144</f>
        <v>0</v>
      </c>
      <c r="D1444">
        <f>'906MP'!P1144</f>
        <v>0</v>
      </c>
      <c r="E1444">
        <f>'906MP'!X1144</f>
        <v>0</v>
      </c>
      <c r="F1444" t="str">
        <f t="shared" si="428"/>
        <v>0</v>
      </c>
      <c r="G1444" t="str">
        <f t="shared" si="429"/>
        <v>0</v>
      </c>
      <c r="H1444">
        <f>'906MP'!Y1144</f>
        <v>0</v>
      </c>
      <c r="I1444">
        <f>'906MP'!AK1144</f>
        <v>0</v>
      </c>
      <c r="J1444">
        <f>'906MP'!T1144</f>
        <v>0</v>
      </c>
      <c r="K1444">
        <f>'906MP'!AJ1144</f>
        <v>0</v>
      </c>
      <c r="L1444">
        <f>'906MP'!U1144</f>
        <v>0</v>
      </c>
      <c r="M1444" s="322" t="str">
        <f>IFERROR(VLOOKUP(A1444,PAR!$D$3:$E$53,2,FALSE),"nincs szervezet")</f>
        <v>nincs szervezet</v>
      </c>
      <c r="N1444" s="322" t="str">
        <f>VLOOKUP(F1444,PAR!$R$3:$S$5,2,FALSE)</f>
        <v>3 - egyik sem</v>
      </c>
      <c r="O1444" t="str">
        <f>IFERROR(VLOOKUP(J1444,PAR!$O$3:$P$5,2,FALSE),"nincs feladat")</f>
        <v>nincs feladat</v>
      </c>
      <c r="P1444" t="str">
        <f>IFERROR(VLOOKUP(G1444,PAR!$J$2:$M$19,4),"nincs rovat")</f>
        <v>nincs rovat</v>
      </c>
      <c r="Q1444" t="str">
        <f>IF(H1444&gt;0,VLOOKUP(H1444,PAR!$AA$3:$AC$187,3,FALSE),"nincs főkönyvi számla")</f>
        <v>nincs főkönyvi számla</v>
      </c>
      <c r="R1444" t="str">
        <f>IFERROR(VLOOKUP(K1444,PAR!$V$3:$X$438,3,FALSE),"000000 - Nincs COFOG")</f>
        <v>000000 - Nincs COFOG</v>
      </c>
      <c r="S1444">
        <f t="shared" si="430"/>
        <v>0</v>
      </c>
      <c r="T1444">
        <f t="shared" si="431"/>
        <v>0</v>
      </c>
      <c r="U1444" t="str">
        <f>IF('906MP'!J1144&gt;0,CONCATENATE('906MP'!J1144," - ",'906MP'!P1144,", ",'906MP'!E1144),"nincs megjegyzés")</f>
        <v>nincs megjegyzés</v>
      </c>
      <c r="V1444" t="str">
        <f t="shared" si="418"/>
        <v>0P0</v>
      </c>
      <c r="W1444" t="str">
        <f t="shared" si="419"/>
        <v>0P0</v>
      </c>
      <c r="X1444" t="str">
        <f t="shared" si="420"/>
        <v>P0</v>
      </c>
      <c r="Y1444" t="str">
        <f t="shared" si="421"/>
        <v>00</v>
      </c>
      <c r="Z1444" t="str">
        <f t="shared" si="432"/>
        <v>00</v>
      </c>
      <c r="AA1444" t="str">
        <f t="shared" si="422"/>
        <v>00</v>
      </c>
      <c r="AB1444" t="str">
        <f t="shared" si="423"/>
        <v>00</v>
      </c>
      <c r="AC1444" t="str">
        <f t="shared" si="424"/>
        <v>0P0</v>
      </c>
      <c r="AD1444" t="str">
        <f t="shared" si="425"/>
        <v>P00</v>
      </c>
      <c r="AE1444" t="str">
        <f t="shared" si="426"/>
        <v>0P0</v>
      </c>
      <c r="AF1444" t="str">
        <f t="shared" si="427"/>
        <v>P00</v>
      </c>
      <c r="AG1444" t="str">
        <f t="shared" si="433"/>
        <v>0P00</v>
      </c>
      <c r="AH1444" t="str">
        <f t="shared" si="434"/>
        <v>P000</v>
      </c>
      <c r="AI1444" t="str">
        <f t="shared" si="435"/>
        <v>0P00</v>
      </c>
      <c r="AJ1444" t="str">
        <f t="shared" si="436"/>
        <v>P000</v>
      </c>
    </row>
    <row r="1445" spans="1:36" x14ac:dyDescent="0.25">
      <c r="A1445" s="325" t="str">
        <f>CONCATENATE("P",'906MP'!M1145)</f>
        <v>P</v>
      </c>
      <c r="B1445">
        <f>'906MP'!H1145</f>
        <v>0</v>
      </c>
      <c r="C1445">
        <f>'906MP'!J1145</f>
        <v>0</v>
      </c>
      <c r="D1445">
        <f>'906MP'!P1145</f>
        <v>0</v>
      </c>
      <c r="E1445">
        <f>'906MP'!X1145</f>
        <v>0</v>
      </c>
      <c r="F1445" t="str">
        <f t="shared" si="428"/>
        <v>0</v>
      </c>
      <c r="G1445" t="str">
        <f t="shared" si="429"/>
        <v>0</v>
      </c>
      <c r="H1445">
        <f>'906MP'!Y1145</f>
        <v>0</v>
      </c>
      <c r="I1445">
        <f>'906MP'!AK1145</f>
        <v>0</v>
      </c>
      <c r="J1445">
        <f>'906MP'!T1145</f>
        <v>0</v>
      </c>
      <c r="K1445">
        <f>'906MP'!AJ1145</f>
        <v>0</v>
      </c>
      <c r="L1445">
        <f>'906MP'!U1145</f>
        <v>0</v>
      </c>
      <c r="M1445" s="322" t="str">
        <f>IFERROR(VLOOKUP(A1445,PAR!$D$3:$E$53,2,FALSE),"nincs szervezet")</f>
        <v>nincs szervezet</v>
      </c>
      <c r="N1445" s="322" t="str">
        <f>VLOOKUP(F1445,PAR!$R$3:$S$5,2,FALSE)</f>
        <v>3 - egyik sem</v>
      </c>
      <c r="O1445" t="str">
        <f>IFERROR(VLOOKUP(J1445,PAR!$O$3:$P$5,2,FALSE),"nincs feladat")</f>
        <v>nincs feladat</v>
      </c>
      <c r="P1445" t="str">
        <f>IFERROR(VLOOKUP(G1445,PAR!$J$2:$M$19,4),"nincs rovat")</f>
        <v>nincs rovat</v>
      </c>
      <c r="Q1445" t="str">
        <f>IF(H1445&gt;0,VLOOKUP(H1445,PAR!$AA$3:$AC$187,3,FALSE),"nincs főkönyvi számla")</f>
        <v>nincs főkönyvi számla</v>
      </c>
      <c r="R1445" t="str">
        <f>IFERROR(VLOOKUP(K1445,PAR!$V$3:$X$438,3,FALSE),"000000 - Nincs COFOG")</f>
        <v>000000 - Nincs COFOG</v>
      </c>
      <c r="S1445">
        <f t="shared" si="430"/>
        <v>0</v>
      </c>
      <c r="T1445">
        <f t="shared" si="431"/>
        <v>0</v>
      </c>
      <c r="U1445" t="str">
        <f>IF('906MP'!J1145&gt;0,CONCATENATE('906MP'!J1145," - ",'906MP'!P1145,", ",'906MP'!E1145),"nincs megjegyzés")</f>
        <v>nincs megjegyzés</v>
      </c>
      <c r="V1445" t="str">
        <f t="shared" si="418"/>
        <v>0P0</v>
      </c>
      <c r="W1445" t="str">
        <f t="shared" si="419"/>
        <v>0P0</v>
      </c>
      <c r="X1445" t="str">
        <f t="shared" si="420"/>
        <v>P0</v>
      </c>
      <c r="Y1445" t="str">
        <f t="shared" si="421"/>
        <v>00</v>
      </c>
      <c r="Z1445" t="str">
        <f t="shared" si="432"/>
        <v>00</v>
      </c>
      <c r="AA1445" t="str">
        <f t="shared" si="422"/>
        <v>00</v>
      </c>
      <c r="AB1445" t="str">
        <f t="shared" si="423"/>
        <v>00</v>
      </c>
      <c r="AC1445" t="str">
        <f t="shared" si="424"/>
        <v>0P0</v>
      </c>
      <c r="AD1445" t="str">
        <f t="shared" si="425"/>
        <v>P00</v>
      </c>
      <c r="AE1445" t="str">
        <f t="shared" si="426"/>
        <v>0P0</v>
      </c>
      <c r="AF1445" t="str">
        <f t="shared" si="427"/>
        <v>P00</v>
      </c>
      <c r="AG1445" t="str">
        <f t="shared" si="433"/>
        <v>0P00</v>
      </c>
      <c r="AH1445" t="str">
        <f t="shared" si="434"/>
        <v>P000</v>
      </c>
      <c r="AI1445" t="str">
        <f t="shared" si="435"/>
        <v>0P00</v>
      </c>
      <c r="AJ1445" t="str">
        <f t="shared" si="436"/>
        <v>P000</v>
      </c>
    </row>
    <row r="1446" spans="1:36" x14ac:dyDescent="0.25">
      <c r="A1446" s="325" t="str">
        <f>CONCATENATE("P",'906MP'!M1146)</f>
        <v>P</v>
      </c>
      <c r="B1446">
        <f>'906MP'!H1146</f>
        <v>0</v>
      </c>
      <c r="C1446">
        <f>'906MP'!J1146</f>
        <v>0</v>
      </c>
      <c r="D1446">
        <f>'906MP'!P1146</f>
        <v>0</v>
      </c>
      <c r="E1446">
        <f>'906MP'!X1146</f>
        <v>0</v>
      </c>
      <c r="F1446" t="str">
        <f t="shared" si="428"/>
        <v>0</v>
      </c>
      <c r="G1446" t="str">
        <f t="shared" si="429"/>
        <v>0</v>
      </c>
      <c r="H1446">
        <f>'906MP'!Y1146</f>
        <v>0</v>
      </c>
      <c r="I1446">
        <f>'906MP'!AK1146</f>
        <v>0</v>
      </c>
      <c r="J1446">
        <f>'906MP'!T1146</f>
        <v>0</v>
      </c>
      <c r="K1446">
        <f>'906MP'!AJ1146</f>
        <v>0</v>
      </c>
      <c r="L1446">
        <f>'906MP'!U1146</f>
        <v>0</v>
      </c>
      <c r="M1446" s="322" t="str">
        <f>IFERROR(VLOOKUP(A1446,PAR!$D$3:$E$53,2,FALSE),"nincs szervezet")</f>
        <v>nincs szervezet</v>
      </c>
      <c r="N1446" s="322" t="str">
        <f>VLOOKUP(F1446,PAR!$R$3:$S$5,2,FALSE)</f>
        <v>3 - egyik sem</v>
      </c>
      <c r="O1446" t="str">
        <f>IFERROR(VLOOKUP(J1446,PAR!$O$3:$P$5,2,FALSE),"nincs feladat")</f>
        <v>nincs feladat</v>
      </c>
      <c r="P1446" t="str">
        <f>IFERROR(VLOOKUP(G1446,PAR!$J$2:$M$19,4),"nincs rovat")</f>
        <v>nincs rovat</v>
      </c>
      <c r="Q1446" t="str">
        <f>IF(H1446&gt;0,VLOOKUP(H1446,PAR!$AA$3:$AC$187,3,FALSE),"nincs főkönyvi számla")</f>
        <v>nincs főkönyvi számla</v>
      </c>
      <c r="R1446" t="str">
        <f>IFERROR(VLOOKUP(K1446,PAR!$V$3:$X$438,3,FALSE),"000000 - Nincs COFOG")</f>
        <v>000000 - Nincs COFOG</v>
      </c>
      <c r="S1446">
        <f t="shared" si="430"/>
        <v>0</v>
      </c>
      <c r="T1446">
        <f t="shared" si="431"/>
        <v>0</v>
      </c>
      <c r="U1446" t="str">
        <f>IF('906MP'!J1146&gt;0,CONCATENATE('906MP'!J1146," - ",'906MP'!P1146,", ",'906MP'!E1146),"nincs megjegyzés")</f>
        <v>nincs megjegyzés</v>
      </c>
      <c r="V1446" t="str">
        <f t="shared" si="418"/>
        <v>0P0</v>
      </c>
      <c r="W1446" t="str">
        <f t="shared" si="419"/>
        <v>0P0</v>
      </c>
      <c r="X1446" t="str">
        <f t="shared" si="420"/>
        <v>P0</v>
      </c>
      <c r="Y1446" t="str">
        <f t="shared" si="421"/>
        <v>00</v>
      </c>
      <c r="Z1446" t="str">
        <f t="shared" si="432"/>
        <v>00</v>
      </c>
      <c r="AA1446" t="str">
        <f t="shared" si="422"/>
        <v>00</v>
      </c>
      <c r="AB1446" t="str">
        <f t="shared" si="423"/>
        <v>00</v>
      </c>
      <c r="AC1446" t="str">
        <f t="shared" si="424"/>
        <v>0P0</v>
      </c>
      <c r="AD1446" t="str">
        <f t="shared" si="425"/>
        <v>P00</v>
      </c>
      <c r="AE1446" t="str">
        <f t="shared" si="426"/>
        <v>0P0</v>
      </c>
      <c r="AF1446" t="str">
        <f t="shared" si="427"/>
        <v>P00</v>
      </c>
      <c r="AG1446" t="str">
        <f t="shared" si="433"/>
        <v>0P00</v>
      </c>
      <c r="AH1446" t="str">
        <f t="shared" si="434"/>
        <v>P000</v>
      </c>
      <c r="AI1446" t="str">
        <f t="shared" si="435"/>
        <v>0P00</v>
      </c>
      <c r="AJ1446" t="str">
        <f t="shared" si="436"/>
        <v>P000</v>
      </c>
    </row>
    <row r="1447" spans="1:36" x14ac:dyDescent="0.25">
      <c r="A1447" s="325" t="str">
        <f>CONCATENATE("P",'906MP'!M1147)</f>
        <v>P</v>
      </c>
      <c r="B1447">
        <f>'906MP'!H1147</f>
        <v>0</v>
      </c>
      <c r="C1447">
        <f>'906MP'!J1147</f>
        <v>0</v>
      </c>
      <c r="D1447">
        <f>'906MP'!P1147</f>
        <v>0</v>
      </c>
      <c r="E1447">
        <f>'906MP'!X1147</f>
        <v>0</v>
      </c>
      <c r="F1447" t="str">
        <f t="shared" si="428"/>
        <v>0</v>
      </c>
      <c r="G1447" t="str">
        <f t="shared" si="429"/>
        <v>0</v>
      </c>
      <c r="H1447">
        <f>'906MP'!Y1147</f>
        <v>0</v>
      </c>
      <c r="I1447">
        <f>'906MP'!AK1147</f>
        <v>0</v>
      </c>
      <c r="J1447">
        <f>'906MP'!T1147</f>
        <v>0</v>
      </c>
      <c r="K1447">
        <f>'906MP'!AJ1147</f>
        <v>0</v>
      </c>
      <c r="L1447">
        <f>'906MP'!U1147</f>
        <v>0</v>
      </c>
      <c r="M1447" s="322" t="str">
        <f>IFERROR(VLOOKUP(A1447,PAR!$D$3:$E$53,2,FALSE),"nincs szervezet")</f>
        <v>nincs szervezet</v>
      </c>
      <c r="N1447" s="322" t="str">
        <f>VLOOKUP(F1447,PAR!$R$3:$S$5,2,FALSE)</f>
        <v>3 - egyik sem</v>
      </c>
      <c r="O1447" t="str">
        <f>IFERROR(VLOOKUP(J1447,PAR!$O$3:$P$5,2,FALSE),"nincs feladat")</f>
        <v>nincs feladat</v>
      </c>
      <c r="P1447" t="str">
        <f>IFERROR(VLOOKUP(G1447,PAR!$J$2:$M$19,4),"nincs rovat")</f>
        <v>nincs rovat</v>
      </c>
      <c r="Q1447" t="str">
        <f>IF(H1447&gt;0,VLOOKUP(H1447,PAR!$AA$3:$AC$187,3,FALSE),"nincs főkönyvi számla")</f>
        <v>nincs főkönyvi számla</v>
      </c>
      <c r="R1447" t="str">
        <f>IFERROR(VLOOKUP(K1447,PAR!$V$3:$X$438,3,FALSE),"000000 - Nincs COFOG")</f>
        <v>000000 - Nincs COFOG</v>
      </c>
      <c r="S1447">
        <f t="shared" si="430"/>
        <v>0</v>
      </c>
      <c r="T1447">
        <f t="shared" si="431"/>
        <v>0</v>
      </c>
      <c r="U1447" t="str">
        <f>IF('906MP'!J1147&gt;0,CONCATENATE('906MP'!J1147," - ",'906MP'!P1147,", ",'906MP'!E1147),"nincs megjegyzés")</f>
        <v>nincs megjegyzés</v>
      </c>
      <c r="V1447" t="str">
        <f t="shared" si="418"/>
        <v>0P0</v>
      </c>
      <c r="W1447" t="str">
        <f t="shared" si="419"/>
        <v>0P0</v>
      </c>
      <c r="X1447" t="str">
        <f t="shared" si="420"/>
        <v>P0</v>
      </c>
      <c r="Y1447" t="str">
        <f t="shared" si="421"/>
        <v>00</v>
      </c>
      <c r="Z1447" t="str">
        <f t="shared" si="432"/>
        <v>00</v>
      </c>
      <c r="AA1447" t="str">
        <f t="shared" si="422"/>
        <v>00</v>
      </c>
      <c r="AB1447" t="str">
        <f t="shared" si="423"/>
        <v>00</v>
      </c>
      <c r="AC1447" t="str">
        <f t="shared" si="424"/>
        <v>0P0</v>
      </c>
      <c r="AD1447" t="str">
        <f t="shared" si="425"/>
        <v>P00</v>
      </c>
      <c r="AE1447" t="str">
        <f t="shared" si="426"/>
        <v>0P0</v>
      </c>
      <c r="AF1447" t="str">
        <f t="shared" si="427"/>
        <v>P00</v>
      </c>
      <c r="AG1447" t="str">
        <f t="shared" si="433"/>
        <v>0P00</v>
      </c>
      <c r="AH1447" t="str">
        <f t="shared" si="434"/>
        <v>P000</v>
      </c>
      <c r="AI1447" t="str">
        <f t="shared" si="435"/>
        <v>0P00</v>
      </c>
      <c r="AJ1447" t="str">
        <f t="shared" si="436"/>
        <v>P000</v>
      </c>
    </row>
    <row r="1448" spans="1:36" x14ac:dyDescent="0.25">
      <c r="A1448" s="325" t="str">
        <f>CONCATENATE("P",'906MP'!M1148)</f>
        <v>P</v>
      </c>
      <c r="B1448">
        <f>'906MP'!H1148</f>
        <v>0</v>
      </c>
      <c r="C1448">
        <f>'906MP'!J1148</f>
        <v>0</v>
      </c>
      <c r="D1448">
        <f>'906MP'!P1148</f>
        <v>0</v>
      </c>
      <c r="E1448">
        <f>'906MP'!X1148</f>
        <v>0</v>
      </c>
      <c r="F1448" t="str">
        <f t="shared" si="428"/>
        <v>0</v>
      </c>
      <c r="G1448" t="str">
        <f t="shared" si="429"/>
        <v>0</v>
      </c>
      <c r="H1448">
        <f>'906MP'!Y1148</f>
        <v>0</v>
      </c>
      <c r="I1448">
        <f>'906MP'!AK1148</f>
        <v>0</v>
      </c>
      <c r="J1448">
        <f>'906MP'!T1148</f>
        <v>0</v>
      </c>
      <c r="K1448">
        <f>'906MP'!AJ1148</f>
        <v>0</v>
      </c>
      <c r="L1448">
        <f>'906MP'!U1148</f>
        <v>0</v>
      </c>
      <c r="M1448" s="322" t="str">
        <f>IFERROR(VLOOKUP(A1448,PAR!$D$3:$E$53,2,FALSE),"nincs szervezet")</f>
        <v>nincs szervezet</v>
      </c>
      <c r="N1448" s="322" t="str">
        <f>VLOOKUP(F1448,PAR!$R$3:$S$5,2,FALSE)</f>
        <v>3 - egyik sem</v>
      </c>
      <c r="O1448" t="str">
        <f>IFERROR(VLOOKUP(J1448,PAR!$O$3:$P$5,2,FALSE),"nincs feladat")</f>
        <v>nincs feladat</v>
      </c>
      <c r="P1448" t="str">
        <f>IFERROR(VLOOKUP(G1448,PAR!$J$2:$M$19,4),"nincs rovat")</f>
        <v>nincs rovat</v>
      </c>
      <c r="Q1448" t="str">
        <f>IF(H1448&gt;0,VLOOKUP(H1448,PAR!$AA$3:$AC$187,3,FALSE),"nincs főkönyvi számla")</f>
        <v>nincs főkönyvi számla</v>
      </c>
      <c r="R1448" t="str">
        <f>IFERROR(VLOOKUP(K1448,PAR!$V$3:$X$438,3,FALSE),"000000 - Nincs COFOG")</f>
        <v>000000 - Nincs COFOG</v>
      </c>
      <c r="S1448">
        <f t="shared" si="430"/>
        <v>0</v>
      </c>
      <c r="T1448">
        <f t="shared" si="431"/>
        <v>0</v>
      </c>
      <c r="U1448" t="str">
        <f>IF('906MP'!J1148&gt;0,CONCATENATE('906MP'!J1148," - ",'906MP'!P1148,", ",'906MP'!E1148),"nincs megjegyzés")</f>
        <v>nincs megjegyzés</v>
      </c>
      <c r="V1448" t="str">
        <f t="shared" si="418"/>
        <v>0P0</v>
      </c>
      <c r="W1448" t="str">
        <f t="shared" si="419"/>
        <v>0P0</v>
      </c>
      <c r="X1448" t="str">
        <f t="shared" si="420"/>
        <v>P0</v>
      </c>
      <c r="Y1448" t="str">
        <f t="shared" si="421"/>
        <v>00</v>
      </c>
      <c r="Z1448" t="str">
        <f t="shared" si="432"/>
        <v>00</v>
      </c>
      <c r="AA1448" t="str">
        <f t="shared" si="422"/>
        <v>00</v>
      </c>
      <c r="AB1448" t="str">
        <f t="shared" si="423"/>
        <v>00</v>
      </c>
      <c r="AC1448" t="str">
        <f t="shared" si="424"/>
        <v>0P0</v>
      </c>
      <c r="AD1448" t="str">
        <f t="shared" si="425"/>
        <v>P00</v>
      </c>
      <c r="AE1448" t="str">
        <f t="shared" si="426"/>
        <v>0P0</v>
      </c>
      <c r="AF1448" t="str">
        <f t="shared" si="427"/>
        <v>P00</v>
      </c>
      <c r="AG1448" t="str">
        <f t="shared" si="433"/>
        <v>0P00</v>
      </c>
      <c r="AH1448" t="str">
        <f t="shared" si="434"/>
        <v>P000</v>
      </c>
      <c r="AI1448" t="str">
        <f t="shared" si="435"/>
        <v>0P00</v>
      </c>
      <c r="AJ1448" t="str">
        <f t="shared" si="436"/>
        <v>P000</v>
      </c>
    </row>
    <row r="1449" spans="1:36" x14ac:dyDescent="0.25">
      <c r="A1449" s="325" t="str">
        <f>CONCATENATE("P",'906MP'!M1149)</f>
        <v>P</v>
      </c>
      <c r="B1449">
        <f>'906MP'!H1149</f>
        <v>0</v>
      </c>
      <c r="C1449">
        <f>'906MP'!J1149</f>
        <v>0</v>
      </c>
      <c r="D1449">
        <f>'906MP'!P1149</f>
        <v>0</v>
      </c>
      <c r="E1449">
        <f>'906MP'!X1149</f>
        <v>0</v>
      </c>
      <c r="F1449" t="str">
        <f t="shared" si="428"/>
        <v>0</v>
      </c>
      <c r="G1449" t="str">
        <f t="shared" si="429"/>
        <v>0</v>
      </c>
      <c r="H1449">
        <f>'906MP'!Y1149</f>
        <v>0</v>
      </c>
      <c r="I1449">
        <f>'906MP'!AK1149</f>
        <v>0</v>
      </c>
      <c r="J1449">
        <f>'906MP'!T1149</f>
        <v>0</v>
      </c>
      <c r="K1449">
        <f>'906MP'!AJ1149</f>
        <v>0</v>
      </c>
      <c r="L1449">
        <f>'906MP'!U1149</f>
        <v>0</v>
      </c>
      <c r="M1449" s="322" t="str">
        <f>IFERROR(VLOOKUP(A1449,PAR!$D$3:$E$53,2,FALSE),"nincs szervezet")</f>
        <v>nincs szervezet</v>
      </c>
      <c r="N1449" s="322" t="str">
        <f>VLOOKUP(F1449,PAR!$R$3:$S$5,2,FALSE)</f>
        <v>3 - egyik sem</v>
      </c>
      <c r="O1449" t="str">
        <f>IFERROR(VLOOKUP(J1449,PAR!$O$3:$P$5,2,FALSE),"nincs feladat")</f>
        <v>nincs feladat</v>
      </c>
      <c r="P1449" t="str">
        <f>IFERROR(VLOOKUP(G1449,PAR!$J$2:$M$19,4),"nincs rovat")</f>
        <v>nincs rovat</v>
      </c>
      <c r="Q1449" t="str">
        <f>IF(H1449&gt;0,VLOOKUP(H1449,PAR!$AA$3:$AC$187,3,FALSE),"nincs főkönyvi számla")</f>
        <v>nincs főkönyvi számla</v>
      </c>
      <c r="R1449" t="str">
        <f>IFERROR(VLOOKUP(K1449,PAR!$V$3:$X$438,3,FALSE),"000000 - Nincs COFOG")</f>
        <v>000000 - Nincs COFOG</v>
      </c>
      <c r="S1449">
        <f t="shared" si="430"/>
        <v>0</v>
      </c>
      <c r="T1449">
        <f t="shared" si="431"/>
        <v>0</v>
      </c>
      <c r="U1449" t="str">
        <f>IF('906MP'!J1149&gt;0,CONCATENATE('906MP'!J1149," - ",'906MP'!P1149,", ",'906MP'!E1149),"nincs megjegyzés")</f>
        <v>nincs megjegyzés</v>
      </c>
      <c r="V1449" t="str">
        <f t="shared" si="418"/>
        <v>0P0</v>
      </c>
      <c r="W1449" t="str">
        <f t="shared" si="419"/>
        <v>0P0</v>
      </c>
      <c r="X1449" t="str">
        <f t="shared" si="420"/>
        <v>P0</v>
      </c>
      <c r="Y1449" t="str">
        <f t="shared" si="421"/>
        <v>00</v>
      </c>
      <c r="Z1449" t="str">
        <f t="shared" si="432"/>
        <v>00</v>
      </c>
      <c r="AA1449" t="str">
        <f t="shared" si="422"/>
        <v>00</v>
      </c>
      <c r="AB1449" t="str">
        <f t="shared" si="423"/>
        <v>00</v>
      </c>
      <c r="AC1449" t="str">
        <f t="shared" si="424"/>
        <v>0P0</v>
      </c>
      <c r="AD1449" t="str">
        <f t="shared" si="425"/>
        <v>P00</v>
      </c>
      <c r="AE1449" t="str">
        <f t="shared" si="426"/>
        <v>0P0</v>
      </c>
      <c r="AF1449" t="str">
        <f t="shared" si="427"/>
        <v>P00</v>
      </c>
      <c r="AG1449" t="str">
        <f t="shared" si="433"/>
        <v>0P00</v>
      </c>
      <c r="AH1449" t="str">
        <f t="shared" si="434"/>
        <v>P000</v>
      </c>
      <c r="AI1449" t="str">
        <f t="shared" si="435"/>
        <v>0P00</v>
      </c>
      <c r="AJ1449" t="str">
        <f t="shared" si="436"/>
        <v>P000</v>
      </c>
    </row>
    <row r="1450" spans="1:36" x14ac:dyDescent="0.25">
      <c r="A1450" s="325" t="str">
        <f>CONCATENATE("P",'906MP'!M1150)</f>
        <v>P</v>
      </c>
      <c r="B1450">
        <f>'906MP'!H1150</f>
        <v>0</v>
      </c>
      <c r="C1450">
        <f>'906MP'!J1150</f>
        <v>0</v>
      </c>
      <c r="D1450">
        <f>'906MP'!P1150</f>
        <v>0</v>
      </c>
      <c r="E1450">
        <f>'906MP'!X1150</f>
        <v>0</v>
      </c>
      <c r="F1450" t="str">
        <f t="shared" si="428"/>
        <v>0</v>
      </c>
      <c r="G1450" t="str">
        <f t="shared" si="429"/>
        <v>0</v>
      </c>
      <c r="H1450">
        <f>'906MP'!Y1150</f>
        <v>0</v>
      </c>
      <c r="I1450">
        <f>'906MP'!AK1150</f>
        <v>0</v>
      </c>
      <c r="J1450">
        <f>'906MP'!T1150</f>
        <v>0</v>
      </c>
      <c r="K1450">
        <f>'906MP'!AJ1150</f>
        <v>0</v>
      </c>
      <c r="L1450">
        <f>'906MP'!U1150</f>
        <v>0</v>
      </c>
      <c r="M1450" s="322" t="str">
        <f>IFERROR(VLOOKUP(A1450,PAR!$D$3:$E$53,2,FALSE),"nincs szervezet")</f>
        <v>nincs szervezet</v>
      </c>
      <c r="N1450" s="322" t="str">
        <f>VLOOKUP(F1450,PAR!$R$3:$S$5,2,FALSE)</f>
        <v>3 - egyik sem</v>
      </c>
      <c r="O1450" t="str">
        <f>IFERROR(VLOOKUP(J1450,PAR!$O$3:$P$5,2,FALSE),"nincs feladat")</f>
        <v>nincs feladat</v>
      </c>
      <c r="P1450" t="str">
        <f>IFERROR(VLOOKUP(G1450,PAR!$J$2:$M$19,4),"nincs rovat")</f>
        <v>nincs rovat</v>
      </c>
      <c r="Q1450" t="str">
        <f>IF(H1450&gt;0,VLOOKUP(H1450,PAR!$AA$3:$AC$187,3,FALSE),"nincs főkönyvi számla")</f>
        <v>nincs főkönyvi számla</v>
      </c>
      <c r="R1450" t="str">
        <f>IFERROR(VLOOKUP(K1450,PAR!$V$3:$X$438,3,FALSE),"000000 - Nincs COFOG")</f>
        <v>000000 - Nincs COFOG</v>
      </c>
      <c r="S1450">
        <f t="shared" si="430"/>
        <v>0</v>
      </c>
      <c r="T1450">
        <f t="shared" si="431"/>
        <v>0</v>
      </c>
      <c r="U1450" t="str">
        <f>IF('906MP'!J1150&gt;0,CONCATENATE('906MP'!J1150," - ",'906MP'!P1150,", ",'906MP'!E1150),"nincs megjegyzés")</f>
        <v>nincs megjegyzés</v>
      </c>
      <c r="V1450" t="str">
        <f t="shared" si="418"/>
        <v>0P0</v>
      </c>
      <c r="W1450" t="str">
        <f t="shared" si="419"/>
        <v>0P0</v>
      </c>
      <c r="X1450" t="str">
        <f t="shared" si="420"/>
        <v>P0</v>
      </c>
      <c r="Y1450" t="str">
        <f t="shared" si="421"/>
        <v>00</v>
      </c>
      <c r="Z1450" t="str">
        <f t="shared" si="432"/>
        <v>00</v>
      </c>
      <c r="AA1450" t="str">
        <f t="shared" si="422"/>
        <v>00</v>
      </c>
      <c r="AB1450" t="str">
        <f t="shared" si="423"/>
        <v>00</v>
      </c>
      <c r="AC1450" t="str">
        <f t="shared" si="424"/>
        <v>0P0</v>
      </c>
      <c r="AD1450" t="str">
        <f t="shared" si="425"/>
        <v>P00</v>
      </c>
      <c r="AE1450" t="str">
        <f t="shared" si="426"/>
        <v>0P0</v>
      </c>
      <c r="AF1450" t="str">
        <f t="shared" si="427"/>
        <v>P00</v>
      </c>
      <c r="AG1450" t="str">
        <f t="shared" si="433"/>
        <v>0P00</v>
      </c>
      <c r="AH1450" t="str">
        <f t="shared" si="434"/>
        <v>P000</v>
      </c>
      <c r="AI1450" t="str">
        <f t="shared" si="435"/>
        <v>0P00</v>
      </c>
      <c r="AJ1450" t="str">
        <f t="shared" si="436"/>
        <v>P000</v>
      </c>
    </row>
    <row r="1451" spans="1:36" x14ac:dyDescent="0.25">
      <c r="A1451" s="325" t="str">
        <f>CONCATENATE("P",'906MP'!M1151)</f>
        <v>P</v>
      </c>
      <c r="B1451">
        <f>'906MP'!H1151</f>
        <v>0</v>
      </c>
      <c r="C1451">
        <f>'906MP'!J1151</f>
        <v>0</v>
      </c>
      <c r="D1451">
        <f>'906MP'!P1151</f>
        <v>0</v>
      </c>
      <c r="E1451">
        <f>'906MP'!X1151</f>
        <v>0</v>
      </c>
      <c r="F1451" t="str">
        <f t="shared" si="428"/>
        <v>0</v>
      </c>
      <c r="G1451" t="str">
        <f t="shared" si="429"/>
        <v>0</v>
      </c>
      <c r="H1451">
        <f>'906MP'!Y1151</f>
        <v>0</v>
      </c>
      <c r="I1451">
        <f>'906MP'!AK1151</f>
        <v>0</v>
      </c>
      <c r="J1451">
        <f>'906MP'!T1151</f>
        <v>0</v>
      </c>
      <c r="K1451">
        <f>'906MP'!AJ1151</f>
        <v>0</v>
      </c>
      <c r="L1451">
        <f>'906MP'!U1151</f>
        <v>0</v>
      </c>
      <c r="M1451" s="322" t="str">
        <f>IFERROR(VLOOKUP(A1451,PAR!$D$3:$E$53,2,FALSE),"nincs szervezet")</f>
        <v>nincs szervezet</v>
      </c>
      <c r="N1451" s="322" t="str">
        <f>VLOOKUP(F1451,PAR!$R$3:$S$5,2,FALSE)</f>
        <v>3 - egyik sem</v>
      </c>
      <c r="O1451" t="str">
        <f>IFERROR(VLOOKUP(J1451,PAR!$O$3:$P$5,2,FALSE),"nincs feladat")</f>
        <v>nincs feladat</v>
      </c>
      <c r="P1451" t="str">
        <f>IFERROR(VLOOKUP(G1451,PAR!$J$2:$M$19,4),"nincs rovat")</f>
        <v>nincs rovat</v>
      </c>
      <c r="Q1451" t="str">
        <f>IF(H1451&gt;0,VLOOKUP(H1451,PAR!$AA$3:$AC$187,3,FALSE),"nincs főkönyvi számla")</f>
        <v>nincs főkönyvi számla</v>
      </c>
      <c r="R1451" t="str">
        <f>IFERROR(VLOOKUP(K1451,PAR!$V$3:$X$438,3,FALSE),"000000 - Nincs COFOG")</f>
        <v>000000 - Nincs COFOG</v>
      </c>
      <c r="S1451">
        <f t="shared" si="430"/>
        <v>0</v>
      </c>
      <c r="T1451">
        <f t="shared" si="431"/>
        <v>0</v>
      </c>
      <c r="U1451" t="str">
        <f>IF('906MP'!J1151&gt;0,CONCATENATE('906MP'!J1151," - ",'906MP'!P1151,", ",'906MP'!E1151),"nincs megjegyzés")</f>
        <v>nincs megjegyzés</v>
      </c>
      <c r="V1451" t="str">
        <f t="shared" si="418"/>
        <v>0P0</v>
      </c>
      <c r="W1451" t="str">
        <f t="shared" si="419"/>
        <v>0P0</v>
      </c>
      <c r="X1451" t="str">
        <f t="shared" si="420"/>
        <v>P0</v>
      </c>
      <c r="Y1451" t="str">
        <f t="shared" si="421"/>
        <v>00</v>
      </c>
      <c r="Z1451" t="str">
        <f t="shared" si="432"/>
        <v>00</v>
      </c>
      <c r="AA1451" t="str">
        <f t="shared" si="422"/>
        <v>00</v>
      </c>
      <c r="AB1451" t="str">
        <f t="shared" si="423"/>
        <v>00</v>
      </c>
      <c r="AC1451" t="str">
        <f t="shared" si="424"/>
        <v>0P0</v>
      </c>
      <c r="AD1451" t="str">
        <f t="shared" si="425"/>
        <v>P00</v>
      </c>
      <c r="AE1451" t="str">
        <f t="shared" si="426"/>
        <v>0P0</v>
      </c>
      <c r="AF1451" t="str">
        <f t="shared" si="427"/>
        <v>P00</v>
      </c>
      <c r="AG1451" t="str">
        <f t="shared" si="433"/>
        <v>0P00</v>
      </c>
      <c r="AH1451" t="str">
        <f t="shared" si="434"/>
        <v>P000</v>
      </c>
      <c r="AI1451" t="str">
        <f t="shared" si="435"/>
        <v>0P00</v>
      </c>
      <c r="AJ1451" t="str">
        <f t="shared" si="436"/>
        <v>P000</v>
      </c>
    </row>
    <row r="1452" spans="1:36" x14ac:dyDescent="0.25">
      <c r="A1452" s="325" t="str">
        <f>CONCATENATE("P",'906MP'!M1152)</f>
        <v>P</v>
      </c>
      <c r="B1452">
        <f>'906MP'!H1152</f>
        <v>0</v>
      </c>
      <c r="C1452">
        <f>'906MP'!J1152</f>
        <v>0</v>
      </c>
      <c r="D1452">
        <f>'906MP'!P1152</f>
        <v>0</v>
      </c>
      <c r="E1452">
        <f>'906MP'!X1152</f>
        <v>0</v>
      </c>
      <c r="F1452" t="str">
        <f t="shared" si="428"/>
        <v>0</v>
      </c>
      <c r="G1452" t="str">
        <f t="shared" si="429"/>
        <v>0</v>
      </c>
      <c r="H1452">
        <f>'906MP'!Y1152</f>
        <v>0</v>
      </c>
      <c r="I1452">
        <f>'906MP'!AK1152</f>
        <v>0</v>
      </c>
      <c r="J1452">
        <f>'906MP'!T1152</f>
        <v>0</v>
      </c>
      <c r="K1452">
        <f>'906MP'!AJ1152</f>
        <v>0</v>
      </c>
      <c r="L1452">
        <f>'906MP'!U1152</f>
        <v>0</v>
      </c>
      <c r="M1452" s="322" t="str">
        <f>IFERROR(VLOOKUP(A1452,PAR!$D$3:$E$53,2,FALSE),"nincs szervezet")</f>
        <v>nincs szervezet</v>
      </c>
      <c r="N1452" s="322" t="str">
        <f>VLOOKUP(F1452,PAR!$R$3:$S$5,2,FALSE)</f>
        <v>3 - egyik sem</v>
      </c>
      <c r="O1452" t="str">
        <f>IFERROR(VLOOKUP(J1452,PAR!$O$3:$P$5,2,FALSE),"nincs feladat")</f>
        <v>nincs feladat</v>
      </c>
      <c r="P1452" t="str">
        <f>IFERROR(VLOOKUP(G1452,PAR!$J$2:$M$19,4),"nincs rovat")</f>
        <v>nincs rovat</v>
      </c>
      <c r="Q1452" t="str">
        <f>IF(H1452&gt;0,VLOOKUP(H1452,PAR!$AA$3:$AC$187,3,FALSE),"nincs főkönyvi számla")</f>
        <v>nincs főkönyvi számla</v>
      </c>
      <c r="R1452" t="str">
        <f>IFERROR(VLOOKUP(K1452,PAR!$V$3:$X$438,3,FALSE),"000000 - Nincs COFOG")</f>
        <v>000000 - Nincs COFOG</v>
      </c>
      <c r="S1452">
        <f t="shared" si="430"/>
        <v>0</v>
      </c>
      <c r="T1452">
        <f t="shared" si="431"/>
        <v>0</v>
      </c>
      <c r="U1452" t="str">
        <f>IF('906MP'!J1152&gt;0,CONCATENATE('906MP'!J1152," - ",'906MP'!P1152,", ",'906MP'!E1152),"nincs megjegyzés")</f>
        <v>nincs megjegyzés</v>
      </c>
      <c r="V1452" t="str">
        <f t="shared" si="418"/>
        <v>0P0</v>
      </c>
      <c r="W1452" t="str">
        <f t="shared" si="419"/>
        <v>0P0</v>
      </c>
      <c r="X1452" t="str">
        <f t="shared" si="420"/>
        <v>P0</v>
      </c>
      <c r="Y1452" t="str">
        <f t="shared" si="421"/>
        <v>00</v>
      </c>
      <c r="Z1452" t="str">
        <f t="shared" si="432"/>
        <v>00</v>
      </c>
      <c r="AA1452" t="str">
        <f t="shared" si="422"/>
        <v>00</v>
      </c>
      <c r="AB1452" t="str">
        <f t="shared" si="423"/>
        <v>00</v>
      </c>
      <c r="AC1452" t="str">
        <f t="shared" si="424"/>
        <v>0P0</v>
      </c>
      <c r="AD1452" t="str">
        <f t="shared" si="425"/>
        <v>P00</v>
      </c>
      <c r="AE1452" t="str">
        <f t="shared" si="426"/>
        <v>0P0</v>
      </c>
      <c r="AF1452" t="str">
        <f t="shared" si="427"/>
        <v>P00</v>
      </c>
      <c r="AG1452" t="str">
        <f t="shared" si="433"/>
        <v>0P00</v>
      </c>
      <c r="AH1452" t="str">
        <f t="shared" si="434"/>
        <v>P000</v>
      </c>
      <c r="AI1452" t="str">
        <f t="shared" si="435"/>
        <v>0P00</v>
      </c>
      <c r="AJ1452" t="str">
        <f t="shared" si="436"/>
        <v>P000</v>
      </c>
    </row>
    <row r="1453" spans="1:36" x14ac:dyDescent="0.25">
      <c r="A1453" s="325" t="str">
        <f>CONCATENATE("P",'906MP'!M1153)</f>
        <v>P</v>
      </c>
      <c r="B1453">
        <f>'906MP'!H1153</f>
        <v>0</v>
      </c>
      <c r="C1453">
        <f>'906MP'!J1153</f>
        <v>0</v>
      </c>
      <c r="D1453">
        <f>'906MP'!P1153</f>
        <v>0</v>
      </c>
      <c r="E1453">
        <f>'906MP'!X1153</f>
        <v>0</v>
      </c>
      <c r="F1453" t="str">
        <f t="shared" si="428"/>
        <v>0</v>
      </c>
      <c r="G1453" t="str">
        <f t="shared" si="429"/>
        <v>0</v>
      </c>
      <c r="H1453">
        <f>'906MP'!Y1153</f>
        <v>0</v>
      </c>
      <c r="I1453">
        <f>'906MP'!AK1153</f>
        <v>0</v>
      </c>
      <c r="J1453">
        <f>'906MP'!T1153</f>
        <v>0</v>
      </c>
      <c r="K1453">
        <f>'906MP'!AJ1153</f>
        <v>0</v>
      </c>
      <c r="L1453">
        <f>'906MP'!U1153</f>
        <v>0</v>
      </c>
      <c r="M1453" s="322" t="str">
        <f>IFERROR(VLOOKUP(A1453,PAR!$D$3:$E$53,2,FALSE),"nincs szervezet")</f>
        <v>nincs szervezet</v>
      </c>
      <c r="N1453" s="322" t="str">
        <f>VLOOKUP(F1453,PAR!$R$3:$S$5,2,FALSE)</f>
        <v>3 - egyik sem</v>
      </c>
      <c r="O1453" t="str">
        <f>IFERROR(VLOOKUP(J1453,PAR!$O$3:$P$5,2,FALSE),"nincs feladat")</f>
        <v>nincs feladat</v>
      </c>
      <c r="P1453" t="str">
        <f>IFERROR(VLOOKUP(G1453,PAR!$J$2:$M$19,4),"nincs rovat")</f>
        <v>nincs rovat</v>
      </c>
      <c r="Q1453" t="str">
        <f>IF(H1453&gt;0,VLOOKUP(H1453,PAR!$AA$3:$AC$187,3,FALSE),"nincs főkönyvi számla")</f>
        <v>nincs főkönyvi számla</v>
      </c>
      <c r="R1453" t="str">
        <f>IFERROR(VLOOKUP(K1453,PAR!$V$3:$X$438,3,FALSE),"000000 - Nincs COFOG")</f>
        <v>000000 - Nincs COFOG</v>
      </c>
      <c r="S1453">
        <f t="shared" si="430"/>
        <v>0</v>
      </c>
      <c r="T1453">
        <f t="shared" si="431"/>
        <v>0</v>
      </c>
      <c r="U1453" t="str">
        <f>IF('906MP'!J1153&gt;0,CONCATENATE('906MP'!J1153," - ",'906MP'!P1153,", ",'906MP'!E1153),"nincs megjegyzés")</f>
        <v>nincs megjegyzés</v>
      </c>
      <c r="V1453" t="str">
        <f t="shared" si="418"/>
        <v>0P0</v>
      </c>
      <c r="W1453" t="str">
        <f t="shared" si="419"/>
        <v>0P0</v>
      </c>
      <c r="X1453" t="str">
        <f t="shared" si="420"/>
        <v>P0</v>
      </c>
      <c r="Y1453" t="str">
        <f t="shared" si="421"/>
        <v>00</v>
      </c>
      <c r="Z1453" t="str">
        <f t="shared" si="432"/>
        <v>00</v>
      </c>
      <c r="AA1453" t="str">
        <f t="shared" si="422"/>
        <v>00</v>
      </c>
      <c r="AB1453" t="str">
        <f t="shared" si="423"/>
        <v>00</v>
      </c>
      <c r="AC1453" t="str">
        <f t="shared" si="424"/>
        <v>0P0</v>
      </c>
      <c r="AD1453" t="str">
        <f t="shared" si="425"/>
        <v>P00</v>
      </c>
      <c r="AE1453" t="str">
        <f t="shared" si="426"/>
        <v>0P0</v>
      </c>
      <c r="AF1453" t="str">
        <f t="shared" si="427"/>
        <v>P00</v>
      </c>
      <c r="AG1453" t="str">
        <f t="shared" si="433"/>
        <v>0P00</v>
      </c>
      <c r="AH1453" t="str">
        <f t="shared" si="434"/>
        <v>P000</v>
      </c>
      <c r="AI1453" t="str">
        <f t="shared" si="435"/>
        <v>0P00</v>
      </c>
      <c r="AJ1453" t="str">
        <f t="shared" si="436"/>
        <v>P000</v>
      </c>
    </row>
    <row r="1454" spans="1:36" x14ac:dyDescent="0.25">
      <c r="A1454" s="325" t="str">
        <f>CONCATENATE("P",'906MP'!M1154)</f>
        <v>P</v>
      </c>
      <c r="B1454">
        <f>'906MP'!H1154</f>
        <v>0</v>
      </c>
      <c r="C1454">
        <f>'906MP'!J1154</f>
        <v>0</v>
      </c>
      <c r="D1454">
        <f>'906MP'!P1154</f>
        <v>0</v>
      </c>
      <c r="E1454">
        <f>'906MP'!X1154</f>
        <v>0</v>
      </c>
      <c r="F1454" t="str">
        <f t="shared" si="428"/>
        <v>0</v>
      </c>
      <c r="G1454" t="str">
        <f t="shared" si="429"/>
        <v>0</v>
      </c>
      <c r="H1454">
        <f>'906MP'!Y1154</f>
        <v>0</v>
      </c>
      <c r="I1454">
        <f>'906MP'!AK1154</f>
        <v>0</v>
      </c>
      <c r="J1454">
        <f>'906MP'!T1154</f>
        <v>0</v>
      </c>
      <c r="K1454">
        <f>'906MP'!AJ1154</f>
        <v>0</v>
      </c>
      <c r="L1454">
        <f>'906MP'!U1154</f>
        <v>0</v>
      </c>
      <c r="M1454" s="322" t="str">
        <f>IFERROR(VLOOKUP(A1454,PAR!$D$3:$E$53,2,FALSE),"nincs szervezet")</f>
        <v>nincs szervezet</v>
      </c>
      <c r="N1454" s="322" t="str">
        <f>VLOOKUP(F1454,PAR!$R$3:$S$5,2,FALSE)</f>
        <v>3 - egyik sem</v>
      </c>
      <c r="O1454" t="str">
        <f>IFERROR(VLOOKUP(J1454,PAR!$O$3:$P$5,2,FALSE),"nincs feladat")</f>
        <v>nincs feladat</v>
      </c>
      <c r="P1454" t="str">
        <f>IFERROR(VLOOKUP(G1454,PAR!$J$2:$M$19,4),"nincs rovat")</f>
        <v>nincs rovat</v>
      </c>
      <c r="Q1454" t="str">
        <f>IF(H1454&gt;0,VLOOKUP(H1454,PAR!$AA$3:$AC$187,3,FALSE),"nincs főkönyvi számla")</f>
        <v>nincs főkönyvi számla</v>
      </c>
      <c r="R1454" t="str">
        <f>IFERROR(VLOOKUP(K1454,PAR!$V$3:$X$438,3,FALSE),"000000 - Nincs COFOG")</f>
        <v>000000 - Nincs COFOG</v>
      </c>
      <c r="S1454">
        <f t="shared" si="430"/>
        <v>0</v>
      </c>
      <c r="T1454">
        <f t="shared" si="431"/>
        <v>0</v>
      </c>
      <c r="U1454" t="str">
        <f>IF('906MP'!J1154&gt;0,CONCATENATE('906MP'!J1154," - ",'906MP'!P1154,", ",'906MP'!E1154),"nincs megjegyzés")</f>
        <v>nincs megjegyzés</v>
      </c>
      <c r="V1454" t="str">
        <f t="shared" si="418"/>
        <v>0P0</v>
      </c>
      <c r="W1454" t="str">
        <f t="shared" si="419"/>
        <v>0P0</v>
      </c>
      <c r="X1454" t="str">
        <f t="shared" si="420"/>
        <v>P0</v>
      </c>
      <c r="Y1454" t="str">
        <f t="shared" si="421"/>
        <v>00</v>
      </c>
      <c r="Z1454" t="str">
        <f t="shared" si="432"/>
        <v>00</v>
      </c>
      <c r="AA1454" t="str">
        <f t="shared" si="422"/>
        <v>00</v>
      </c>
      <c r="AB1454" t="str">
        <f t="shared" si="423"/>
        <v>00</v>
      </c>
      <c r="AC1454" t="str">
        <f t="shared" si="424"/>
        <v>0P0</v>
      </c>
      <c r="AD1454" t="str">
        <f t="shared" si="425"/>
        <v>P00</v>
      </c>
      <c r="AE1454" t="str">
        <f t="shared" si="426"/>
        <v>0P0</v>
      </c>
      <c r="AF1454" t="str">
        <f t="shared" si="427"/>
        <v>P00</v>
      </c>
      <c r="AG1454" t="str">
        <f t="shared" si="433"/>
        <v>0P00</v>
      </c>
      <c r="AH1454" t="str">
        <f t="shared" si="434"/>
        <v>P000</v>
      </c>
      <c r="AI1454" t="str">
        <f t="shared" si="435"/>
        <v>0P00</v>
      </c>
      <c r="AJ1454" t="str">
        <f t="shared" si="436"/>
        <v>P000</v>
      </c>
    </row>
    <row r="1455" spans="1:36" x14ac:dyDescent="0.25">
      <c r="A1455" s="325" t="str">
        <f>CONCATENATE("P",'906MP'!M1155)</f>
        <v>P</v>
      </c>
      <c r="B1455">
        <f>'906MP'!H1155</f>
        <v>0</v>
      </c>
      <c r="C1455">
        <f>'906MP'!J1155</f>
        <v>0</v>
      </c>
      <c r="D1455">
        <f>'906MP'!P1155</f>
        <v>0</v>
      </c>
      <c r="E1455">
        <f>'906MP'!X1155</f>
        <v>0</v>
      </c>
      <c r="F1455" t="str">
        <f t="shared" si="428"/>
        <v>0</v>
      </c>
      <c r="G1455" t="str">
        <f t="shared" si="429"/>
        <v>0</v>
      </c>
      <c r="H1455">
        <f>'906MP'!Y1155</f>
        <v>0</v>
      </c>
      <c r="I1455">
        <f>'906MP'!AK1155</f>
        <v>0</v>
      </c>
      <c r="J1455">
        <f>'906MP'!T1155</f>
        <v>0</v>
      </c>
      <c r="K1455">
        <f>'906MP'!AJ1155</f>
        <v>0</v>
      </c>
      <c r="L1455">
        <f>'906MP'!U1155</f>
        <v>0</v>
      </c>
      <c r="M1455" s="322" t="str">
        <f>IFERROR(VLOOKUP(A1455,PAR!$D$3:$E$53,2,FALSE),"nincs szervezet")</f>
        <v>nincs szervezet</v>
      </c>
      <c r="N1455" s="322" t="str">
        <f>VLOOKUP(F1455,PAR!$R$3:$S$5,2,FALSE)</f>
        <v>3 - egyik sem</v>
      </c>
      <c r="O1455" t="str">
        <f>IFERROR(VLOOKUP(J1455,PAR!$O$3:$P$5,2,FALSE),"nincs feladat")</f>
        <v>nincs feladat</v>
      </c>
      <c r="P1455" t="str">
        <f>IFERROR(VLOOKUP(G1455,PAR!$J$2:$M$19,4),"nincs rovat")</f>
        <v>nincs rovat</v>
      </c>
      <c r="Q1455" t="str">
        <f>IF(H1455&gt;0,VLOOKUP(H1455,PAR!$AA$3:$AC$187,3,FALSE),"nincs főkönyvi számla")</f>
        <v>nincs főkönyvi számla</v>
      </c>
      <c r="R1455" t="str">
        <f>IFERROR(VLOOKUP(K1455,PAR!$V$3:$X$438,3,FALSE),"000000 - Nincs COFOG")</f>
        <v>000000 - Nincs COFOG</v>
      </c>
      <c r="S1455">
        <f t="shared" si="430"/>
        <v>0</v>
      </c>
      <c r="T1455">
        <f t="shared" si="431"/>
        <v>0</v>
      </c>
      <c r="U1455" t="str">
        <f>IF('906MP'!J1155&gt;0,CONCATENATE('906MP'!J1155," - ",'906MP'!P1155,", ",'906MP'!E1155),"nincs megjegyzés")</f>
        <v>nincs megjegyzés</v>
      </c>
      <c r="V1455" t="str">
        <f t="shared" si="418"/>
        <v>0P0</v>
      </c>
      <c r="W1455" t="str">
        <f t="shared" si="419"/>
        <v>0P0</v>
      </c>
      <c r="X1455" t="str">
        <f t="shared" si="420"/>
        <v>P0</v>
      </c>
      <c r="Y1455" t="str">
        <f t="shared" si="421"/>
        <v>00</v>
      </c>
      <c r="Z1455" t="str">
        <f t="shared" si="432"/>
        <v>00</v>
      </c>
      <c r="AA1455" t="str">
        <f t="shared" si="422"/>
        <v>00</v>
      </c>
      <c r="AB1455" t="str">
        <f t="shared" si="423"/>
        <v>00</v>
      </c>
      <c r="AC1455" t="str">
        <f t="shared" si="424"/>
        <v>0P0</v>
      </c>
      <c r="AD1455" t="str">
        <f t="shared" si="425"/>
        <v>P00</v>
      </c>
      <c r="AE1455" t="str">
        <f t="shared" si="426"/>
        <v>0P0</v>
      </c>
      <c r="AF1455" t="str">
        <f t="shared" si="427"/>
        <v>P00</v>
      </c>
      <c r="AG1455" t="str">
        <f t="shared" si="433"/>
        <v>0P00</v>
      </c>
      <c r="AH1455" t="str">
        <f t="shared" si="434"/>
        <v>P000</v>
      </c>
      <c r="AI1455" t="str">
        <f t="shared" si="435"/>
        <v>0P00</v>
      </c>
      <c r="AJ1455" t="str">
        <f t="shared" si="436"/>
        <v>P000</v>
      </c>
    </row>
    <row r="1456" spans="1:36" x14ac:dyDescent="0.25">
      <c r="A1456" s="325" t="str">
        <f>CONCATENATE("P",'906MP'!M1156)</f>
        <v>P</v>
      </c>
      <c r="B1456">
        <f>'906MP'!H1156</f>
        <v>0</v>
      </c>
      <c r="C1456">
        <f>'906MP'!J1156</f>
        <v>0</v>
      </c>
      <c r="D1456">
        <f>'906MP'!P1156</f>
        <v>0</v>
      </c>
      <c r="E1456">
        <f>'906MP'!X1156</f>
        <v>0</v>
      </c>
      <c r="F1456" t="str">
        <f t="shared" si="428"/>
        <v>0</v>
      </c>
      <c r="G1456" t="str">
        <f t="shared" si="429"/>
        <v>0</v>
      </c>
      <c r="H1456">
        <f>'906MP'!Y1156</f>
        <v>0</v>
      </c>
      <c r="I1456">
        <f>'906MP'!AK1156</f>
        <v>0</v>
      </c>
      <c r="J1456">
        <f>'906MP'!T1156</f>
        <v>0</v>
      </c>
      <c r="K1456">
        <f>'906MP'!AJ1156</f>
        <v>0</v>
      </c>
      <c r="L1456">
        <f>'906MP'!U1156</f>
        <v>0</v>
      </c>
      <c r="M1456" s="322" t="str">
        <f>IFERROR(VLOOKUP(A1456,PAR!$D$3:$E$53,2,FALSE),"nincs szervezet")</f>
        <v>nincs szervezet</v>
      </c>
      <c r="N1456" s="322" t="str">
        <f>VLOOKUP(F1456,PAR!$R$3:$S$5,2,FALSE)</f>
        <v>3 - egyik sem</v>
      </c>
      <c r="O1456" t="str">
        <f>IFERROR(VLOOKUP(J1456,PAR!$O$3:$P$5,2,FALSE),"nincs feladat")</f>
        <v>nincs feladat</v>
      </c>
      <c r="P1456" t="str">
        <f>IFERROR(VLOOKUP(G1456,PAR!$J$2:$M$19,4),"nincs rovat")</f>
        <v>nincs rovat</v>
      </c>
      <c r="Q1456" t="str">
        <f>IF(H1456&gt;0,VLOOKUP(H1456,PAR!$AA$3:$AC$187,3,FALSE),"nincs főkönyvi számla")</f>
        <v>nincs főkönyvi számla</v>
      </c>
      <c r="R1456" t="str">
        <f>IFERROR(VLOOKUP(K1456,PAR!$V$3:$X$438,3,FALSE),"000000 - Nincs COFOG")</f>
        <v>000000 - Nincs COFOG</v>
      </c>
      <c r="S1456">
        <f t="shared" si="430"/>
        <v>0</v>
      </c>
      <c r="T1456">
        <f t="shared" si="431"/>
        <v>0</v>
      </c>
      <c r="U1456" t="str">
        <f>IF('906MP'!J1156&gt;0,CONCATENATE('906MP'!J1156," - ",'906MP'!P1156,", ",'906MP'!E1156),"nincs megjegyzés")</f>
        <v>nincs megjegyzés</v>
      </c>
      <c r="V1456" t="str">
        <f t="shared" si="418"/>
        <v>0P0</v>
      </c>
      <c r="W1456" t="str">
        <f t="shared" si="419"/>
        <v>0P0</v>
      </c>
      <c r="X1456" t="str">
        <f t="shared" si="420"/>
        <v>P0</v>
      </c>
      <c r="Y1456" t="str">
        <f t="shared" si="421"/>
        <v>00</v>
      </c>
      <c r="Z1456" t="str">
        <f t="shared" si="432"/>
        <v>00</v>
      </c>
      <c r="AA1456" t="str">
        <f t="shared" si="422"/>
        <v>00</v>
      </c>
      <c r="AB1456" t="str">
        <f t="shared" si="423"/>
        <v>00</v>
      </c>
      <c r="AC1456" t="str">
        <f t="shared" si="424"/>
        <v>0P0</v>
      </c>
      <c r="AD1456" t="str">
        <f t="shared" si="425"/>
        <v>P00</v>
      </c>
      <c r="AE1456" t="str">
        <f t="shared" si="426"/>
        <v>0P0</v>
      </c>
      <c r="AF1456" t="str">
        <f t="shared" si="427"/>
        <v>P00</v>
      </c>
      <c r="AG1456" t="str">
        <f t="shared" si="433"/>
        <v>0P00</v>
      </c>
      <c r="AH1456" t="str">
        <f t="shared" si="434"/>
        <v>P000</v>
      </c>
      <c r="AI1456" t="str">
        <f t="shared" si="435"/>
        <v>0P00</v>
      </c>
      <c r="AJ1456" t="str">
        <f t="shared" si="436"/>
        <v>P000</v>
      </c>
    </row>
    <row r="1457" spans="1:36" x14ac:dyDescent="0.25">
      <c r="A1457" s="325" t="str">
        <f>CONCATENATE("P",'906MP'!M1157)</f>
        <v>P</v>
      </c>
      <c r="B1457">
        <f>'906MP'!H1157</f>
        <v>0</v>
      </c>
      <c r="C1457">
        <f>'906MP'!J1157</f>
        <v>0</v>
      </c>
      <c r="D1457">
        <f>'906MP'!P1157</f>
        <v>0</v>
      </c>
      <c r="E1457">
        <f>'906MP'!X1157</f>
        <v>0</v>
      </c>
      <c r="F1457" t="str">
        <f t="shared" si="428"/>
        <v>0</v>
      </c>
      <c r="G1457" t="str">
        <f t="shared" si="429"/>
        <v>0</v>
      </c>
      <c r="H1457">
        <f>'906MP'!Y1157</f>
        <v>0</v>
      </c>
      <c r="I1457">
        <f>'906MP'!AK1157</f>
        <v>0</v>
      </c>
      <c r="J1457">
        <f>'906MP'!T1157</f>
        <v>0</v>
      </c>
      <c r="K1457">
        <f>'906MP'!AJ1157</f>
        <v>0</v>
      </c>
      <c r="L1457">
        <f>'906MP'!U1157</f>
        <v>0</v>
      </c>
      <c r="M1457" s="322" t="str">
        <f>IFERROR(VLOOKUP(A1457,PAR!$D$3:$E$53,2,FALSE),"nincs szervezet")</f>
        <v>nincs szervezet</v>
      </c>
      <c r="N1457" s="322" t="str">
        <f>VLOOKUP(F1457,PAR!$R$3:$S$5,2,FALSE)</f>
        <v>3 - egyik sem</v>
      </c>
      <c r="O1457" t="str">
        <f>IFERROR(VLOOKUP(J1457,PAR!$O$3:$P$5,2,FALSE),"nincs feladat")</f>
        <v>nincs feladat</v>
      </c>
      <c r="P1457" t="str">
        <f>IFERROR(VLOOKUP(G1457,PAR!$J$2:$M$19,4),"nincs rovat")</f>
        <v>nincs rovat</v>
      </c>
      <c r="Q1457" t="str">
        <f>IF(H1457&gt;0,VLOOKUP(H1457,PAR!$AA$3:$AC$187,3,FALSE),"nincs főkönyvi számla")</f>
        <v>nincs főkönyvi számla</v>
      </c>
      <c r="R1457" t="str">
        <f>IFERROR(VLOOKUP(K1457,PAR!$V$3:$X$438,3,FALSE),"000000 - Nincs COFOG")</f>
        <v>000000 - Nincs COFOG</v>
      </c>
      <c r="S1457">
        <f t="shared" si="430"/>
        <v>0</v>
      </c>
      <c r="T1457">
        <f t="shared" si="431"/>
        <v>0</v>
      </c>
      <c r="U1457" t="str">
        <f>IF('906MP'!J1157&gt;0,CONCATENATE('906MP'!J1157," - ",'906MP'!P1157,", ",'906MP'!E1157),"nincs megjegyzés")</f>
        <v>nincs megjegyzés</v>
      </c>
      <c r="V1457" t="str">
        <f t="shared" si="418"/>
        <v>0P0</v>
      </c>
      <c r="W1457" t="str">
        <f t="shared" si="419"/>
        <v>0P0</v>
      </c>
      <c r="X1457" t="str">
        <f t="shared" si="420"/>
        <v>P0</v>
      </c>
      <c r="Y1457" t="str">
        <f t="shared" si="421"/>
        <v>00</v>
      </c>
      <c r="Z1457" t="str">
        <f t="shared" si="432"/>
        <v>00</v>
      </c>
      <c r="AA1457" t="str">
        <f t="shared" si="422"/>
        <v>00</v>
      </c>
      <c r="AB1457" t="str">
        <f t="shared" si="423"/>
        <v>00</v>
      </c>
      <c r="AC1457" t="str">
        <f t="shared" si="424"/>
        <v>0P0</v>
      </c>
      <c r="AD1457" t="str">
        <f t="shared" si="425"/>
        <v>P00</v>
      </c>
      <c r="AE1457" t="str">
        <f t="shared" si="426"/>
        <v>0P0</v>
      </c>
      <c r="AF1457" t="str">
        <f t="shared" si="427"/>
        <v>P00</v>
      </c>
      <c r="AG1457" t="str">
        <f t="shared" si="433"/>
        <v>0P00</v>
      </c>
      <c r="AH1457" t="str">
        <f t="shared" si="434"/>
        <v>P000</v>
      </c>
      <c r="AI1457" t="str">
        <f t="shared" si="435"/>
        <v>0P00</v>
      </c>
      <c r="AJ1457" t="str">
        <f t="shared" si="436"/>
        <v>P000</v>
      </c>
    </row>
    <row r="1458" spans="1:36" x14ac:dyDescent="0.25">
      <c r="A1458" s="325" t="str">
        <f>CONCATENATE("P",'906MP'!M1158)</f>
        <v>P</v>
      </c>
      <c r="B1458">
        <f>'906MP'!H1158</f>
        <v>0</v>
      </c>
      <c r="C1458">
        <f>'906MP'!J1158</f>
        <v>0</v>
      </c>
      <c r="D1458">
        <f>'906MP'!P1158</f>
        <v>0</v>
      </c>
      <c r="E1458">
        <f>'906MP'!X1158</f>
        <v>0</v>
      </c>
      <c r="F1458" t="str">
        <f t="shared" si="428"/>
        <v>0</v>
      </c>
      <c r="G1458" t="str">
        <f t="shared" si="429"/>
        <v>0</v>
      </c>
      <c r="H1458">
        <f>'906MP'!Y1158</f>
        <v>0</v>
      </c>
      <c r="I1458">
        <f>'906MP'!AK1158</f>
        <v>0</v>
      </c>
      <c r="J1458">
        <f>'906MP'!T1158</f>
        <v>0</v>
      </c>
      <c r="K1458">
        <f>'906MP'!AJ1158</f>
        <v>0</v>
      </c>
      <c r="L1458">
        <f>'906MP'!U1158</f>
        <v>0</v>
      </c>
      <c r="M1458" s="322" t="str">
        <f>IFERROR(VLOOKUP(A1458,PAR!$D$3:$E$53,2,FALSE),"nincs szervezet")</f>
        <v>nincs szervezet</v>
      </c>
      <c r="N1458" s="322" t="str">
        <f>VLOOKUP(F1458,PAR!$R$3:$S$5,2,FALSE)</f>
        <v>3 - egyik sem</v>
      </c>
      <c r="O1458" t="str">
        <f>IFERROR(VLOOKUP(J1458,PAR!$O$3:$P$5,2,FALSE),"nincs feladat")</f>
        <v>nincs feladat</v>
      </c>
      <c r="P1458" t="str">
        <f>IFERROR(VLOOKUP(G1458,PAR!$J$2:$M$19,4),"nincs rovat")</f>
        <v>nincs rovat</v>
      </c>
      <c r="Q1458" t="str">
        <f>IF(H1458&gt;0,VLOOKUP(H1458,PAR!$AA$3:$AC$187,3,FALSE),"nincs főkönyvi számla")</f>
        <v>nincs főkönyvi számla</v>
      </c>
      <c r="R1458" t="str">
        <f>IFERROR(VLOOKUP(K1458,PAR!$V$3:$X$438,3,FALSE),"000000 - Nincs COFOG")</f>
        <v>000000 - Nincs COFOG</v>
      </c>
      <c r="S1458">
        <f t="shared" si="430"/>
        <v>0</v>
      </c>
      <c r="T1458">
        <f t="shared" si="431"/>
        <v>0</v>
      </c>
      <c r="U1458" t="str">
        <f>IF('906MP'!J1158&gt;0,CONCATENATE('906MP'!J1158," - ",'906MP'!P1158,", ",'906MP'!E1158),"nincs megjegyzés")</f>
        <v>nincs megjegyzés</v>
      </c>
      <c r="V1458" t="str">
        <f t="shared" si="418"/>
        <v>0P0</v>
      </c>
      <c r="W1458" t="str">
        <f t="shared" si="419"/>
        <v>0P0</v>
      </c>
      <c r="X1458" t="str">
        <f t="shared" si="420"/>
        <v>P0</v>
      </c>
      <c r="Y1458" t="str">
        <f t="shared" si="421"/>
        <v>00</v>
      </c>
      <c r="Z1458" t="str">
        <f t="shared" si="432"/>
        <v>00</v>
      </c>
      <c r="AA1458" t="str">
        <f t="shared" si="422"/>
        <v>00</v>
      </c>
      <c r="AB1458" t="str">
        <f t="shared" si="423"/>
        <v>00</v>
      </c>
      <c r="AC1458" t="str">
        <f t="shared" si="424"/>
        <v>0P0</v>
      </c>
      <c r="AD1458" t="str">
        <f t="shared" si="425"/>
        <v>P00</v>
      </c>
      <c r="AE1458" t="str">
        <f t="shared" si="426"/>
        <v>0P0</v>
      </c>
      <c r="AF1458" t="str">
        <f t="shared" si="427"/>
        <v>P00</v>
      </c>
      <c r="AG1458" t="str">
        <f t="shared" si="433"/>
        <v>0P00</v>
      </c>
      <c r="AH1458" t="str">
        <f t="shared" si="434"/>
        <v>P000</v>
      </c>
      <c r="AI1458" t="str">
        <f t="shared" si="435"/>
        <v>0P00</v>
      </c>
      <c r="AJ1458" t="str">
        <f t="shared" si="436"/>
        <v>P000</v>
      </c>
    </row>
    <row r="1459" spans="1:36" x14ac:dyDescent="0.25">
      <c r="A1459" s="325" t="str">
        <f>CONCATENATE("P",'906MP'!M1159)</f>
        <v>P</v>
      </c>
      <c r="B1459">
        <f>'906MP'!H1159</f>
        <v>0</v>
      </c>
      <c r="C1459">
        <f>'906MP'!J1159</f>
        <v>0</v>
      </c>
      <c r="D1459">
        <f>'906MP'!P1159</f>
        <v>0</v>
      </c>
      <c r="E1459">
        <f>'906MP'!X1159</f>
        <v>0</v>
      </c>
      <c r="F1459" t="str">
        <f t="shared" si="428"/>
        <v>0</v>
      </c>
      <c r="G1459" t="str">
        <f t="shared" si="429"/>
        <v>0</v>
      </c>
      <c r="H1459">
        <f>'906MP'!Y1159</f>
        <v>0</v>
      </c>
      <c r="I1459">
        <f>'906MP'!AK1159</f>
        <v>0</v>
      </c>
      <c r="J1459">
        <f>'906MP'!T1159</f>
        <v>0</v>
      </c>
      <c r="K1459">
        <f>'906MP'!AJ1159</f>
        <v>0</v>
      </c>
      <c r="L1459">
        <f>'906MP'!U1159</f>
        <v>0</v>
      </c>
      <c r="M1459" s="322" t="str">
        <f>IFERROR(VLOOKUP(A1459,PAR!$D$3:$E$53,2,FALSE),"nincs szervezet")</f>
        <v>nincs szervezet</v>
      </c>
      <c r="N1459" s="322" t="str">
        <f>VLOOKUP(F1459,PAR!$R$3:$S$5,2,FALSE)</f>
        <v>3 - egyik sem</v>
      </c>
      <c r="O1459" t="str">
        <f>IFERROR(VLOOKUP(J1459,PAR!$O$3:$P$5,2,FALSE),"nincs feladat")</f>
        <v>nincs feladat</v>
      </c>
      <c r="P1459" t="str">
        <f>IFERROR(VLOOKUP(G1459,PAR!$J$2:$M$19,4),"nincs rovat")</f>
        <v>nincs rovat</v>
      </c>
      <c r="Q1459" t="str">
        <f>IF(H1459&gt;0,VLOOKUP(H1459,PAR!$AA$3:$AC$187,3,FALSE),"nincs főkönyvi számla")</f>
        <v>nincs főkönyvi számla</v>
      </c>
      <c r="R1459" t="str">
        <f>IFERROR(VLOOKUP(K1459,PAR!$V$3:$X$438,3,FALSE),"000000 - Nincs COFOG")</f>
        <v>000000 - Nincs COFOG</v>
      </c>
      <c r="S1459">
        <f t="shared" si="430"/>
        <v>0</v>
      </c>
      <c r="T1459">
        <f t="shared" si="431"/>
        <v>0</v>
      </c>
      <c r="U1459" t="str">
        <f>IF('906MP'!J1159&gt;0,CONCATENATE('906MP'!J1159," - ",'906MP'!P1159,", ",'906MP'!E1159),"nincs megjegyzés")</f>
        <v>nincs megjegyzés</v>
      </c>
      <c r="V1459" t="str">
        <f t="shared" si="418"/>
        <v>0P0</v>
      </c>
      <c r="W1459" t="str">
        <f t="shared" si="419"/>
        <v>0P0</v>
      </c>
      <c r="X1459" t="str">
        <f t="shared" si="420"/>
        <v>P0</v>
      </c>
      <c r="Y1459" t="str">
        <f t="shared" si="421"/>
        <v>00</v>
      </c>
      <c r="Z1459" t="str">
        <f t="shared" si="432"/>
        <v>00</v>
      </c>
      <c r="AA1459" t="str">
        <f t="shared" si="422"/>
        <v>00</v>
      </c>
      <c r="AB1459" t="str">
        <f t="shared" si="423"/>
        <v>00</v>
      </c>
      <c r="AC1459" t="str">
        <f t="shared" si="424"/>
        <v>0P0</v>
      </c>
      <c r="AD1459" t="str">
        <f t="shared" si="425"/>
        <v>P00</v>
      </c>
      <c r="AE1459" t="str">
        <f t="shared" si="426"/>
        <v>0P0</v>
      </c>
      <c r="AF1459" t="str">
        <f t="shared" si="427"/>
        <v>P00</v>
      </c>
      <c r="AG1459" t="str">
        <f t="shared" si="433"/>
        <v>0P00</v>
      </c>
      <c r="AH1459" t="str">
        <f t="shared" si="434"/>
        <v>P000</v>
      </c>
      <c r="AI1459" t="str">
        <f t="shared" si="435"/>
        <v>0P00</v>
      </c>
      <c r="AJ1459" t="str">
        <f t="shared" si="436"/>
        <v>P000</v>
      </c>
    </row>
    <row r="1460" spans="1:36" x14ac:dyDescent="0.25">
      <c r="A1460" s="325" t="str">
        <f>CONCATENATE("P",'906MP'!M1160)</f>
        <v>P</v>
      </c>
      <c r="B1460">
        <f>'906MP'!H1160</f>
        <v>0</v>
      </c>
      <c r="C1460">
        <f>'906MP'!J1160</f>
        <v>0</v>
      </c>
      <c r="D1460">
        <f>'906MP'!P1160</f>
        <v>0</v>
      </c>
      <c r="E1460">
        <f>'906MP'!X1160</f>
        <v>0</v>
      </c>
      <c r="F1460" t="str">
        <f t="shared" si="428"/>
        <v>0</v>
      </c>
      <c r="G1460" t="str">
        <f t="shared" si="429"/>
        <v>0</v>
      </c>
      <c r="H1460">
        <f>'906MP'!Y1160</f>
        <v>0</v>
      </c>
      <c r="I1460">
        <f>'906MP'!AK1160</f>
        <v>0</v>
      </c>
      <c r="J1460">
        <f>'906MP'!T1160</f>
        <v>0</v>
      </c>
      <c r="K1460">
        <f>'906MP'!AJ1160</f>
        <v>0</v>
      </c>
      <c r="L1460">
        <f>'906MP'!U1160</f>
        <v>0</v>
      </c>
      <c r="M1460" s="322" t="str">
        <f>IFERROR(VLOOKUP(A1460,PAR!$D$3:$E$53,2,FALSE),"nincs szervezet")</f>
        <v>nincs szervezet</v>
      </c>
      <c r="N1460" s="322" t="str">
        <f>VLOOKUP(F1460,PAR!$R$3:$S$5,2,FALSE)</f>
        <v>3 - egyik sem</v>
      </c>
      <c r="O1460" t="str">
        <f>IFERROR(VLOOKUP(J1460,PAR!$O$3:$P$5,2,FALSE),"nincs feladat")</f>
        <v>nincs feladat</v>
      </c>
      <c r="P1460" t="str">
        <f>IFERROR(VLOOKUP(G1460,PAR!$J$2:$M$19,4),"nincs rovat")</f>
        <v>nincs rovat</v>
      </c>
      <c r="Q1460" t="str">
        <f>IF(H1460&gt;0,VLOOKUP(H1460,PAR!$AA$3:$AC$187,3,FALSE),"nincs főkönyvi számla")</f>
        <v>nincs főkönyvi számla</v>
      </c>
      <c r="R1460" t="str">
        <f>IFERROR(VLOOKUP(K1460,PAR!$V$3:$X$438,3,FALSE),"000000 - Nincs COFOG")</f>
        <v>000000 - Nincs COFOG</v>
      </c>
      <c r="S1460">
        <f t="shared" si="430"/>
        <v>0</v>
      </c>
      <c r="T1460">
        <f t="shared" si="431"/>
        <v>0</v>
      </c>
      <c r="U1460" t="str">
        <f>IF('906MP'!J1160&gt;0,CONCATENATE('906MP'!J1160," - ",'906MP'!P1160,", ",'906MP'!E1160),"nincs megjegyzés")</f>
        <v>nincs megjegyzés</v>
      </c>
      <c r="V1460" t="str">
        <f t="shared" si="418"/>
        <v>0P0</v>
      </c>
      <c r="W1460" t="str">
        <f t="shared" si="419"/>
        <v>0P0</v>
      </c>
      <c r="X1460" t="str">
        <f t="shared" si="420"/>
        <v>P0</v>
      </c>
      <c r="Y1460" t="str">
        <f t="shared" si="421"/>
        <v>00</v>
      </c>
      <c r="Z1460" t="str">
        <f t="shared" si="432"/>
        <v>00</v>
      </c>
      <c r="AA1460" t="str">
        <f t="shared" si="422"/>
        <v>00</v>
      </c>
      <c r="AB1460" t="str">
        <f t="shared" si="423"/>
        <v>00</v>
      </c>
      <c r="AC1460" t="str">
        <f t="shared" si="424"/>
        <v>0P0</v>
      </c>
      <c r="AD1460" t="str">
        <f t="shared" si="425"/>
        <v>P00</v>
      </c>
      <c r="AE1460" t="str">
        <f t="shared" si="426"/>
        <v>0P0</v>
      </c>
      <c r="AF1460" t="str">
        <f t="shared" si="427"/>
        <v>P00</v>
      </c>
      <c r="AG1460" t="str">
        <f t="shared" si="433"/>
        <v>0P00</v>
      </c>
      <c r="AH1460" t="str">
        <f t="shared" si="434"/>
        <v>P000</v>
      </c>
      <c r="AI1460" t="str">
        <f t="shared" si="435"/>
        <v>0P00</v>
      </c>
      <c r="AJ1460" t="str">
        <f t="shared" si="436"/>
        <v>P000</v>
      </c>
    </row>
    <row r="1461" spans="1:36" x14ac:dyDescent="0.25">
      <c r="A1461" s="325" t="str">
        <f>CONCATENATE("P",'906MP'!M1161)</f>
        <v>P</v>
      </c>
      <c r="B1461">
        <f>'906MP'!H1161</f>
        <v>0</v>
      </c>
      <c r="C1461">
        <f>'906MP'!J1161</f>
        <v>0</v>
      </c>
      <c r="D1461">
        <f>'906MP'!P1161</f>
        <v>0</v>
      </c>
      <c r="E1461">
        <f>'906MP'!X1161</f>
        <v>0</v>
      </c>
      <c r="F1461" t="str">
        <f t="shared" si="428"/>
        <v>0</v>
      </c>
      <c r="G1461" t="str">
        <f t="shared" si="429"/>
        <v>0</v>
      </c>
      <c r="H1461">
        <f>'906MP'!Y1161</f>
        <v>0</v>
      </c>
      <c r="I1461">
        <f>'906MP'!AK1161</f>
        <v>0</v>
      </c>
      <c r="J1461">
        <f>'906MP'!T1161</f>
        <v>0</v>
      </c>
      <c r="K1461">
        <f>'906MP'!AJ1161</f>
        <v>0</v>
      </c>
      <c r="L1461">
        <f>'906MP'!U1161</f>
        <v>0</v>
      </c>
      <c r="M1461" s="322" t="str">
        <f>IFERROR(VLOOKUP(A1461,PAR!$D$3:$E$53,2,FALSE),"nincs szervezet")</f>
        <v>nincs szervezet</v>
      </c>
      <c r="N1461" s="322" t="str">
        <f>VLOOKUP(F1461,PAR!$R$3:$S$5,2,FALSE)</f>
        <v>3 - egyik sem</v>
      </c>
      <c r="O1461" t="str">
        <f>IFERROR(VLOOKUP(J1461,PAR!$O$3:$P$5,2,FALSE),"nincs feladat")</f>
        <v>nincs feladat</v>
      </c>
      <c r="P1461" t="str">
        <f>IFERROR(VLOOKUP(G1461,PAR!$J$2:$M$19,4),"nincs rovat")</f>
        <v>nincs rovat</v>
      </c>
      <c r="Q1461" t="str">
        <f>IF(H1461&gt;0,VLOOKUP(H1461,PAR!$AA$3:$AC$187,3,FALSE),"nincs főkönyvi számla")</f>
        <v>nincs főkönyvi számla</v>
      </c>
      <c r="R1461" t="str">
        <f>IFERROR(VLOOKUP(K1461,PAR!$V$3:$X$438,3,FALSE),"000000 - Nincs COFOG")</f>
        <v>000000 - Nincs COFOG</v>
      </c>
      <c r="S1461">
        <f t="shared" si="430"/>
        <v>0</v>
      </c>
      <c r="T1461">
        <f t="shared" si="431"/>
        <v>0</v>
      </c>
      <c r="U1461" t="str">
        <f>IF('906MP'!J1161&gt;0,CONCATENATE('906MP'!J1161," - ",'906MP'!P1161,", ",'906MP'!E1161),"nincs megjegyzés")</f>
        <v>nincs megjegyzés</v>
      </c>
      <c r="V1461" t="str">
        <f t="shared" si="418"/>
        <v>0P0</v>
      </c>
      <c r="W1461" t="str">
        <f t="shared" si="419"/>
        <v>0P0</v>
      </c>
      <c r="X1461" t="str">
        <f t="shared" si="420"/>
        <v>P0</v>
      </c>
      <c r="Y1461" t="str">
        <f t="shared" si="421"/>
        <v>00</v>
      </c>
      <c r="Z1461" t="str">
        <f t="shared" si="432"/>
        <v>00</v>
      </c>
      <c r="AA1461" t="str">
        <f t="shared" si="422"/>
        <v>00</v>
      </c>
      <c r="AB1461" t="str">
        <f t="shared" si="423"/>
        <v>00</v>
      </c>
      <c r="AC1461" t="str">
        <f t="shared" si="424"/>
        <v>0P0</v>
      </c>
      <c r="AD1461" t="str">
        <f t="shared" si="425"/>
        <v>P00</v>
      </c>
      <c r="AE1461" t="str">
        <f t="shared" si="426"/>
        <v>0P0</v>
      </c>
      <c r="AF1461" t="str">
        <f t="shared" si="427"/>
        <v>P00</v>
      </c>
      <c r="AG1461" t="str">
        <f t="shared" si="433"/>
        <v>0P00</v>
      </c>
      <c r="AH1461" t="str">
        <f t="shared" si="434"/>
        <v>P000</v>
      </c>
      <c r="AI1461" t="str">
        <f t="shared" si="435"/>
        <v>0P00</v>
      </c>
      <c r="AJ1461" t="str">
        <f t="shared" si="436"/>
        <v>P000</v>
      </c>
    </row>
    <row r="1462" spans="1:36" x14ac:dyDescent="0.25">
      <c r="A1462" s="325" t="str">
        <f>CONCATENATE("P",'906MP'!M1162)</f>
        <v>P</v>
      </c>
      <c r="B1462">
        <f>'906MP'!H1162</f>
        <v>0</v>
      </c>
      <c r="C1462">
        <f>'906MP'!J1162</f>
        <v>0</v>
      </c>
      <c r="D1462">
        <f>'906MP'!P1162</f>
        <v>0</v>
      </c>
      <c r="E1462">
        <f>'906MP'!X1162</f>
        <v>0</v>
      </c>
      <c r="F1462" t="str">
        <f t="shared" si="428"/>
        <v>0</v>
      </c>
      <c r="G1462" t="str">
        <f t="shared" si="429"/>
        <v>0</v>
      </c>
      <c r="H1462">
        <f>'906MP'!Y1162</f>
        <v>0</v>
      </c>
      <c r="I1462">
        <f>'906MP'!AK1162</f>
        <v>0</v>
      </c>
      <c r="J1462">
        <f>'906MP'!T1162</f>
        <v>0</v>
      </c>
      <c r="K1462">
        <f>'906MP'!AJ1162</f>
        <v>0</v>
      </c>
      <c r="L1462">
        <f>'906MP'!U1162</f>
        <v>0</v>
      </c>
      <c r="M1462" s="322" t="str">
        <f>IFERROR(VLOOKUP(A1462,PAR!$D$3:$E$53,2,FALSE),"nincs szervezet")</f>
        <v>nincs szervezet</v>
      </c>
      <c r="N1462" s="322" t="str">
        <f>VLOOKUP(F1462,PAR!$R$3:$S$5,2,FALSE)</f>
        <v>3 - egyik sem</v>
      </c>
      <c r="O1462" t="str">
        <f>IFERROR(VLOOKUP(J1462,PAR!$O$3:$P$5,2,FALSE),"nincs feladat")</f>
        <v>nincs feladat</v>
      </c>
      <c r="P1462" t="str">
        <f>IFERROR(VLOOKUP(G1462,PAR!$J$2:$M$19,4),"nincs rovat")</f>
        <v>nincs rovat</v>
      </c>
      <c r="Q1462" t="str">
        <f>IF(H1462&gt;0,VLOOKUP(H1462,PAR!$AA$3:$AC$187,3,FALSE),"nincs főkönyvi számla")</f>
        <v>nincs főkönyvi számla</v>
      </c>
      <c r="R1462" t="str">
        <f>IFERROR(VLOOKUP(K1462,PAR!$V$3:$X$438,3,FALSE),"000000 - Nincs COFOG")</f>
        <v>000000 - Nincs COFOG</v>
      </c>
      <c r="S1462">
        <f t="shared" si="430"/>
        <v>0</v>
      </c>
      <c r="T1462">
        <f t="shared" si="431"/>
        <v>0</v>
      </c>
      <c r="U1462" t="str">
        <f>IF('906MP'!J1162&gt;0,CONCATENATE('906MP'!J1162," - ",'906MP'!P1162,", ",'906MP'!E1162),"nincs megjegyzés")</f>
        <v>nincs megjegyzés</v>
      </c>
      <c r="V1462" t="str">
        <f t="shared" si="418"/>
        <v>0P0</v>
      </c>
      <c r="W1462" t="str">
        <f t="shared" si="419"/>
        <v>0P0</v>
      </c>
      <c r="X1462" t="str">
        <f t="shared" si="420"/>
        <v>P0</v>
      </c>
      <c r="Y1462" t="str">
        <f t="shared" si="421"/>
        <v>00</v>
      </c>
      <c r="Z1462" t="str">
        <f t="shared" si="432"/>
        <v>00</v>
      </c>
      <c r="AA1462" t="str">
        <f t="shared" si="422"/>
        <v>00</v>
      </c>
      <c r="AB1462" t="str">
        <f t="shared" si="423"/>
        <v>00</v>
      </c>
      <c r="AC1462" t="str">
        <f t="shared" si="424"/>
        <v>0P0</v>
      </c>
      <c r="AD1462" t="str">
        <f t="shared" si="425"/>
        <v>P00</v>
      </c>
      <c r="AE1462" t="str">
        <f t="shared" si="426"/>
        <v>0P0</v>
      </c>
      <c r="AF1462" t="str">
        <f t="shared" si="427"/>
        <v>P00</v>
      </c>
      <c r="AG1462" t="str">
        <f t="shared" si="433"/>
        <v>0P00</v>
      </c>
      <c r="AH1462" t="str">
        <f t="shared" si="434"/>
        <v>P000</v>
      </c>
      <c r="AI1462" t="str">
        <f t="shared" si="435"/>
        <v>0P00</v>
      </c>
      <c r="AJ1462" t="str">
        <f t="shared" si="436"/>
        <v>P000</v>
      </c>
    </row>
    <row r="1463" spans="1:36" x14ac:dyDescent="0.25">
      <c r="A1463" s="325" t="str">
        <f>CONCATENATE("P",'906MP'!M1163)</f>
        <v>P</v>
      </c>
      <c r="B1463">
        <f>'906MP'!H1163</f>
        <v>0</v>
      </c>
      <c r="C1463">
        <f>'906MP'!J1163</f>
        <v>0</v>
      </c>
      <c r="D1463">
        <f>'906MP'!P1163</f>
        <v>0</v>
      </c>
      <c r="E1463">
        <f>'906MP'!X1163</f>
        <v>0</v>
      </c>
      <c r="F1463" t="str">
        <f t="shared" si="428"/>
        <v>0</v>
      </c>
      <c r="G1463" t="str">
        <f t="shared" si="429"/>
        <v>0</v>
      </c>
      <c r="H1463">
        <f>'906MP'!Y1163</f>
        <v>0</v>
      </c>
      <c r="I1463">
        <f>'906MP'!AK1163</f>
        <v>0</v>
      </c>
      <c r="J1463">
        <f>'906MP'!T1163</f>
        <v>0</v>
      </c>
      <c r="K1463">
        <f>'906MP'!AJ1163</f>
        <v>0</v>
      </c>
      <c r="L1463">
        <f>'906MP'!U1163</f>
        <v>0</v>
      </c>
      <c r="M1463" s="322" t="str">
        <f>IFERROR(VLOOKUP(A1463,PAR!$D$3:$E$53,2,FALSE),"nincs szervezet")</f>
        <v>nincs szervezet</v>
      </c>
      <c r="N1463" s="322" t="str">
        <f>VLOOKUP(F1463,PAR!$R$3:$S$5,2,FALSE)</f>
        <v>3 - egyik sem</v>
      </c>
      <c r="O1463" t="str">
        <f>IFERROR(VLOOKUP(J1463,PAR!$O$3:$P$5,2,FALSE),"nincs feladat")</f>
        <v>nincs feladat</v>
      </c>
      <c r="P1463" t="str">
        <f>IFERROR(VLOOKUP(G1463,PAR!$J$2:$M$19,4),"nincs rovat")</f>
        <v>nincs rovat</v>
      </c>
      <c r="Q1463" t="str">
        <f>IF(H1463&gt;0,VLOOKUP(H1463,PAR!$AA$3:$AC$187,3,FALSE),"nincs főkönyvi számla")</f>
        <v>nincs főkönyvi számla</v>
      </c>
      <c r="R1463" t="str">
        <f>IFERROR(VLOOKUP(K1463,PAR!$V$3:$X$438,3,FALSE),"000000 - Nincs COFOG")</f>
        <v>000000 - Nincs COFOG</v>
      </c>
      <c r="S1463">
        <f t="shared" si="430"/>
        <v>0</v>
      </c>
      <c r="T1463">
        <f t="shared" si="431"/>
        <v>0</v>
      </c>
      <c r="U1463" t="str">
        <f>IF('906MP'!J1163&gt;0,CONCATENATE('906MP'!J1163," - ",'906MP'!P1163,", ",'906MP'!E1163),"nincs megjegyzés")</f>
        <v>nincs megjegyzés</v>
      </c>
      <c r="V1463" t="str">
        <f t="shared" si="418"/>
        <v>0P0</v>
      </c>
      <c r="W1463" t="str">
        <f t="shared" si="419"/>
        <v>0P0</v>
      </c>
      <c r="X1463" t="str">
        <f t="shared" si="420"/>
        <v>P0</v>
      </c>
      <c r="Y1463" t="str">
        <f t="shared" si="421"/>
        <v>00</v>
      </c>
      <c r="Z1463" t="str">
        <f t="shared" si="432"/>
        <v>00</v>
      </c>
      <c r="AA1463" t="str">
        <f t="shared" si="422"/>
        <v>00</v>
      </c>
      <c r="AB1463" t="str">
        <f t="shared" si="423"/>
        <v>00</v>
      </c>
      <c r="AC1463" t="str">
        <f t="shared" si="424"/>
        <v>0P0</v>
      </c>
      <c r="AD1463" t="str">
        <f t="shared" si="425"/>
        <v>P00</v>
      </c>
      <c r="AE1463" t="str">
        <f t="shared" si="426"/>
        <v>0P0</v>
      </c>
      <c r="AF1463" t="str">
        <f t="shared" si="427"/>
        <v>P00</v>
      </c>
      <c r="AG1463" t="str">
        <f t="shared" si="433"/>
        <v>0P00</v>
      </c>
      <c r="AH1463" t="str">
        <f t="shared" si="434"/>
        <v>P000</v>
      </c>
      <c r="AI1463" t="str">
        <f t="shared" si="435"/>
        <v>0P00</v>
      </c>
      <c r="AJ1463" t="str">
        <f t="shared" si="436"/>
        <v>P000</v>
      </c>
    </row>
    <row r="1464" spans="1:36" x14ac:dyDescent="0.25">
      <c r="A1464" s="325" t="str">
        <f>CONCATENATE("P",'906MP'!M1164)</f>
        <v>P</v>
      </c>
      <c r="B1464">
        <f>'906MP'!H1164</f>
        <v>0</v>
      </c>
      <c r="C1464">
        <f>'906MP'!J1164</f>
        <v>0</v>
      </c>
      <c r="D1464">
        <f>'906MP'!P1164</f>
        <v>0</v>
      </c>
      <c r="E1464">
        <f>'906MP'!X1164</f>
        <v>0</v>
      </c>
      <c r="F1464" t="str">
        <f t="shared" si="428"/>
        <v>0</v>
      </c>
      <c r="G1464" t="str">
        <f t="shared" si="429"/>
        <v>0</v>
      </c>
      <c r="H1464">
        <f>'906MP'!Y1164</f>
        <v>0</v>
      </c>
      <c r="I1464">
        <f>'906MP'!AK1164</f>
        <v>0</v>
      </c>
      <c r="J1464">
        <f>'906MP'!T1164</f>
        <v>0</v>
      </c>
      <c r="K1464">
        <f>'906MP'!AJ1164</f>
        <v>0</v>
      </c>
      <c r="L1464">
        <f>'906MP'!U1164</f>
        <v>0</v>
      </c>
      <c r="M1464" s="322" t="str">
        <f>IFERROR(VLOOKUP(A1464,PAR!$D$3:$E$53,2,FALSE),"nincs szervezet")</f>
        <v>nincs szervezet</v>
      </c>
      <c r="N1464" s="322" t="str">
        <f>VLOOKUP(F1464,PAR!$R$3:$S$5,2,FALSE)</f>
        <v>3 - egyik sem</v>
      </c>
      <c r="O1464" t="str">
        <f>IFERROR(VLOOKUP(J1464,PAR!$O$3:$P$5,2,FALSE),"nincs feladat")</f>
        <v>nincs feladat</v>
      </c>
      <c r="P1464" t="str">
        <f>IFERROR(VLOOKUP(G1464,PAR!$J$2:$M$19,4),"nincs rovat")</f>
        <v>nincs rovat</v>
      </c>
      <c r="Q1464" t="str">
        <f>IF(H1464&gt;0,VLOOKUP(H1464,PAR!$AA$3:$AC$187,3,FALSE),"nincs főkönyvi számla")</f>
        <v>nincs főkönyvi számla</v>
      </c>
      <c r="R1464" t="str">
        <f>IFERROR(VLOOKUP(K1464,PAR!$V$3:$X$438,3,FALSE),"000000 - Nincs COFOG")</f>
        <v>000000 - Nincs COFOG</v>
      </c>
      <c r="S1464">
        <f t="shared" si="430"/>
        <v>0</v>
      </c>
      <c r="T1464">
        <f t="shared" si="431"/>
        <v>0</v>
      </c>
      <c r="U1464" t="str">
        <f>IF('906MP'!J1164&gt;0,CONCATENATE('906MP'!J1164," - ",'906MP'!P1164,", ",'906MP'!E1164),"nincs megjegyzés")</f>
        <v>nincs megjegyzés</v>
      </c>
      <c r="V1464" t="str">
        <f t="shared" si="418"/>
        <v>0P0</v>
      </c>
      <c r="W1464" t="str">
        <f t="shared" si="419"/>
        <v>0P0</v>
      </c>
      <c r="X1464" t="str">
        <f t="shared" si="420"/>
        <v>P0</v>
      </c>
      <c r="Y1464" t="str">
        <f t="shared" si="421"/>
        <v>00</v>
      </c>
      <c r="Z1464" t="str">
        <f t="shared" si="432"/>
        <v>00</v>
      </c>
      <c r="AA1464" t="str">
        <f t="shared" si="422"/>
        <v>00</v>
      </c>
      <c r="AB1464" t="str">
        <f t="shared" si="423"/>
        <v>00</v>
      </c>
      <c r="AC1464" t="str">
        <f t="shared" si="424"/>
        <v>0P0</v>
      </c>
      <c r="AD1464" t="str">
        <f t="shared" si="425"/>
        <v>P00</v>
      </c>
      <c r="AE1464" t="str">
        <f t="shared" si="426"/>
        <v>0P0</v>
      </c>
      <c r="AF1464" t="str">
        <f t="shared" si="427"/>
        <v>P00</v>
      </c>
      <c r="AG1464" t="str">
        <f t="shared" si="433"/>
        <v>0P00</v>
      </c>
      <c r="AH1464" t="str">
        <f t="shared" si="434"/>
        <v>P000</v>
      </c>
      <c r="AI1464" t="str">
        <f t="shared" si="435"/>
        <v>0P00</v>
      </c>
      <c r="AJ1464" t="str">
        <f t="shared" si="436"/>
        <v>P000</v>
      </c>
    </row>
    <row r="1465" spans="1:36" x14ac:dyDescent="0.25">
      <c r="A1465" s="325" t="str">
        <f>CONCATENATE("P",'906MP'!M1165)</f>
        <v>P</v>
      </c>
      <c r="B1465">
        <f>'906MP'!H1165</f>
        <v>0</v>
      </c>
      <c r="C1465">
        <f>'906MP'!J1165</f>
        <v>0</v>
      </c>
      <c r="D1465">
        <f>'906MP'!P1165</f>
        <v>0</v>
      </c>
      <c r="E1465">
        <f>'906MP'!X1165</f>
        <v>0</v>
      </c>
      <c r="F1465" t="str">
        <f t="shared" si="428"/>
        <v>0</v>
      </c>
      <c r="G1465" t="str">
        <f t="shared" si="429"/>
        <v>0</v>
      </c>
      <c r="H1465">
        <f>'906MP'!Y1165</f>
        <v>0</v>
      </c>
      <c r="I1465">
        <f>'906MP'!AK1165</f>
        <v>0</v>
      </c>
      <c r="J1465">
        <f>'906MP'!T1165</f>
        <v>0</v>
      </c>
      <c r="K1465">
        <f>'906MP'!AJ1165</f>
        <v>0</v>
      </c>
      <c r="L1465">
        <f>'906MP'!U1165</f>
        <v>0</v>
      </c>
      <c r="M1465" s="322" t="str">
        <f>IFERROR(VLOOKUP(A1465,PAR!$D$3:$E$53,2,FALSE),"nincs szervezet")</f>
        <v>nincs szervezet</v>
      </c>
      <c r="N1465" s="322" t="str">
        <f>VLOOKUP(F1465,PAR!$R$3:$S$5,2,FALSE)</f>
        <v>3 - egyik sem</v>
      </c>
      <c r="O1465" t="str">
        <f>IFERROR(VLOOKUP(J1465,PAR!$O$3:$P$5,2,FALSE),"nincs feladat")</f>
        <v>nincs feladat</v>
      </c>
      <c r="P1465" t="str">
        <f>IFERROR(VLOOKUP(G1465,PAR!$J$2:$M$19,4),"nincs rovat")</f>
        <v>nincs rovat</v>
      </c>
      <c r="Q1465" t="str">
        <f>IF(H1465&gt;0,VLOOKUP(H1465,PAR!$AA$3:$AC$187,3,FALSE),"nincs főkönyvi számla")</f>
        <v>nincs főkönyvi számla</v>
      </c>
      <c r="R1465" t="str">
        <f>IFERROR(VLOOKUP(K1465,PAR!$V$3:$X$438,3,FALSE),"000000 - Nincs COFOG")</f>
        <v>000000 - Nincs COFOG</v>
      </c>
      <c r="S1465">
        <f t="shared" si="430"/>
        <v>0</v>
      </c>
      <c r="T1465">
        <f t="shared" si="431"/>
        <v>0</v>
      </c>
      <c r="U1465" t="str">
        <f>IF('906MP'!J1165&gt;0,CONCATENATE('906MP'!J1165," - ",'906MP'!P1165,", ",'906MP'!E1165),"nincs megjegyzés")</f>
        <v>nincs megjegyzés</v>
      </c>
      <c r="V1465" t="str">
        <f t="shared" si="418"/>
        <v>0P0</v>
      </c>
      <c r="W1465" t="str">
        <f t="shared" si="419"/>
        <v>0P0</v>
      </c>
      <c r="X1465" t="str">
        <f t="shared" si="420"/>
        <v>P0</v>
      </c>
      <c r="Y1465" t="str">
        <f t="shared" si="421"/>
        <v>00</v>
      </c>
      <c r="Z1465" t="str">
        <f t="shared" si="432"/>
        <v>00</v>
      </c>
      <c r="AA1465" t="str">
        <f t="shared" si="422"/>
        <v>00</v>
      </c>
      <c r="AB1465" t="str">
        <f t="shared" si="423"/>
        <v>00</v>
      </c>
      <c r="AC1465" t="str">
        <f t="shared" si="424"/>
        <v>0P0</v>
      </c>
      <c r="AD1465" t="str">
        <f t="shared" si="425"/>
        <v>P00</v>
      </c>
      <c r="AE1465" t="str">
        <f t="shared" si="426"/>
        <v>0P0</v>
      </c>
      <c r="AF1465" t="str">
        <f t="shared" si="427"/>
        <v>P00</v>
      </c>
      <c r="AG1465" t="str">
        <f t="shared" si="433"/>
        <v>0P00</v>
      </c>
      <c r="AH1465" t="str">
        <f t="shared" si="434"/>
        <v>P000</v>
      </c>
      <c r="AI1465" t="str">
        <f t="shared" si="435"/>
        <v>0P00</v>
      </c>
      <c r="AJ1465" t="str">
        <f t="shared" si="436"/>
        <v>P000</v>
      </c>
    </row>
    <row r="1466" spans="1:36" x14ac:dyDescent="0.25">
      <c r="A1466" s="325" t="str">
        <f>CONCATENATE("P",'906MP'!M1166)</f>
        <v>P</v>
      </c>
      <c r="B1466">
        <f>'906MP'!H1166</f>
        <v>0</v>
      </c>
      <c r="C1466">
        <f>'906MP'!J1166</f>
        <v>0</v>
      </c>
      <c r="D1466">
        <f>'906MP'!P1166</f>
        <v>0</v>
      </c>
      <c r="E1466">
        <f>'906MP'!X1166</f>
        <v>0</v>
      </c>
      <c r="F1466" t="str">
        <f t="shared" si="428"/>
        <v>0</v>
      </c>
      <c r="G1466" t="str">
        <f t="shared" si="429"/>
        <v>0</v>
      </c>
      <c r="H1466">
        <f>'906MP'!Y1166</f>
        <v>0</v>
      </c>
      <c r="I1466">
        <f>'906MP'!AK1166</f>
        <v>0</v>
      </c>
      <c r="J1466">
        <f>'906MP'!T1166</f>
        <v>0</v>
      </c>
      <c r="K1466">
        <f>'906MP'!AJ1166</f>
        <v>0</v>
      </c>
      <c r="L1466">
        <f>'906MP'!U1166</f>
        <v>0</v>
      </c>
      <c r="M1466" s="322" t="str">
        <f>IFERROR(VLOOKUP(A1466,PAR!$D$3:$E$53,2,FALSE),"nincs szervezet")</f>
        <v>nincs szervezet</v>
      </c>
      <c r="N1466" s="322" t="str">
        <f>VLOOKUP(F1466,PAR!$R$3:$S$5,2,FALSE)</f>
        <v>3 - egyik sem</v>
      </c>
      <c r="O1466" t="str">
        <f>IFERROR(VLOOKUP(J1466,PAR!$O$3:$P$5,2,FALSE),"nincs feladat")</f>
        <v>nincs feladat</v>
      </c>
      <c r="P1466" t="str">
        <f>IFERROR(VLOOKUP(G1466,PAR!$J$2:$M$19,4),"nincs rovat")</f>
        <v>nincs rovat</v>
      </c>
      <c r="Q1466" t="str">
        <f>IF(H1466&gt;0,VLOOKUP(H1466,PAR!$AA$3:$AC$187,3,FALSE),"nincs főkönyvi számla")</f>
        <v>nincs főkönyvi számla</v>
      </c>
      <c r="R1466" t="str">
        <f>IFERROR(VLOOKUP(K1466,PAR!$V$3:$X$438,3,FALSE),"000000 - Nincs COFOG")</f>
        <v>000000 - Nincs COFOG</v>
      </c>
      <c r="S1466">
        <f t="shared" si="430"/>
        <v>0</v>
      </c>
      <c r="T1466">
        <f t="shared" si="431"/>
        <v>0</v>
      </c>
      <c r="U1466" t="str">
        <f>IF('906MP'!J1166&gt;0,CONCATENATE('906MP'!J1166," - ",'906MP'!P1166,", ",'906MP'!E1166),"nincs megjegyzés")</f>
        <v>nincs megjegyzés</v>
      </c>
      <c r="V1466" t="str">
        <f t="shared" si="418"/>
        <v>0P0</v>
      </c>
      <c r="W1466" t="str">
        <f t="shared" si="419"/>
        <v>0P0</v>
      </c>
      <c r="X1466" t="str">
        <f t="shared" si="420"/>
        <v>P0</v>
      </c>
      <c r="Y1466" t="str">
        <f t="shared" si="421"/>
        <v>00</v>
      </c>
      <c r="Z1466" t="str">
        <f t="shared" si="432"/>
        <v>00</v>
      </c>
      <c r="AA1466" t="str">
        <f t="shared" si="422"/>
        <v>00</v>
      </c>
      <c r="AB1466" t="str">
        <f t="shared" si="423"/>
        <v>00</v>
      </c>
      <c r="AC1466" t="str">
        <f t="shared" si="424"/>
        <v>0P0</v>
      </c>
      <c r="AD1466" t="str">
        <f t="shared" si="425"/>
        <v>P00</v>
      </c>
      <c r="AE1466" t="str">
        <f t="shared" si="426"/>
        <v>0P0</v>
      </c>
      <c r="AF1466" t="str">
        <f t="shared" si="427"/>
        <v>P00</v>
      </c>
      <c r="AG1466" t="str">
        <f t="shared" si="433"/>
        <v>0P00</v>
      </c>
      <c r="AH1466" t="str">
        <f t="shared" si="434"/>
        <v>P000</v>
      </c>
      <c r="AI1466" t="str">
        <f t="shared" si="435"/>
        <v>0P00</v>
      </c>
      <c r="AJ1466" t="str">
        <f t="shared" si="436"/>
        <v>P000</v>
      </c>
    </row>
    <row r="1467" spans="1:36" x14ac:dyDescent="0.25">
      <c r="A1467" s="325" t="str">
        <f>CONCATENATE("P",'906MP'!M1167)</f>
        <v>P</v>
      </c>
      <c r="B1467">
        <f>'906MP'!H1167</f>
        <v>0</v>
      </c>
      <c r="C1467">
        <f>'906MP'!J1167</f>
        <v>0</v>
      </c>
      <c r="D1467">
        <f>'906MP'!P1167</f>
        <v>0</v>
      </c>
      <c r="E1467">
        <f>'906MP'!X1167</f>
        <v>0</v>
      </c>
      <c r="F1467" t="str">
        <f t="shared" si="428"/>
        <v>0</v>
      </c>
      <c r="G1467" t="str">
        <f t="shared" si="429"/>
        <v>0</v>
      </c>
      <c r="H1467">
        <f>'906MP'!Y1167</f>
        <v>0</v>
      </c>
      <c r="I1467">
        <f>'906MP'!AK1167</f>
        <v>0</v>
      </c>
      <c r="J1467">
        <f>'906MP'!T1167</f>
        <v>0</v>
      </c>
      <c r="K1467">
        <f>'906MP'!AJ1167</f>
        <v>0</v>
      </c>
      <c r="L1467">
        <f>'906MP'!U1167</f>
        <v>0</v>
      </c>
      <c r="M1467" s="322" t="str">
        <f>IFERROR(VLOOKUP(A1467,PAR!$D$3:$E$53,2,FALSE),"nincs szervezet")</f>
        <v>nincs szervezet</v>
      </c>
      <c r="N1467" s="322" t="str">
        <f>VLOOKUP(F1467,PAR!$R$3:$S$5,2,FALSE)</f>
        <v>3 - egyik sem</v>
      </c>
      <c r="O1467" t="str">
        <f>IFERROR(VLOOKUP(J1467,PAR!$O$3:$P$5,2,FALSE),"nincs feladat")</f>
        <v>nincs feladat</v>
      </c>
      <c r="P1467" t="str">
        <f>IFERROR(VLOOKUP(G1467,PAR!$J$2:$M$19,4),"nincs rovat")</f>
        <v>nincs rovat</v>
      </c>
      <c r="Q1467" t="str">
        <f>IF(H1467&gt;0,VLOOKUP(H1467,PAR!$AA$3:$AC$187,3,FALSE),"nincs főkönyvi számla")</f>
        <v>nincs főkönyvi számla</v>
      </c>
      <c r="R1467" t="str">
        <f>IFERROR(VLOOKUP(K1467,PAR!$V$3:$X$438,3,FALSE),"000000 - Nincs COFOG")</f>
        <v>000000 - Nincs COFOG</v>
      </c>
      <c r="S1467">
        <f t="shared" si="430"/>
        <v>0</v>
      </c>
      <c r="T1467">
        <f t="shared" si="431"/>
        <v>0</v>
      </c>
      <c r="U1467" t="str">
        <f>IF('906MP'!J1167&gt;0,CONCATENATE('906MP'!J1167," - ",'906MP'!P1167,", ",'906MP'!E1167),"nincs megjegyzés")</f>
        <v>nincs megjegyzés</v>
      </c>
      <c r="V1467" t="str">
        <f t="shared" si="418"/>
        <v>0P0</v>
      </c>
      <c r="W1467" t="str">
        <f t="shared" si="419"/>
        <v>0P0</v>
      </c>
      <c r="X1467" t="str">
        <f t="shared" si="420"/>
        <v>P0</v>
      </c>
      <c r="Y1467" t="str">
        <f t="shared" si="421"/>
        <v>00</v>
      </c>
      <c r="Z1467" t="str">
        <f t="shared" si="432"/>
        <v>00</v>
      </c>
      <c r="AA1467" t="str">
        <f t="shared" si="422"/>
        <v>00</v>
      </c>
      <c r="AB1467" t="str">
        <f t="shared" si="423"/>
        <v>00</v>
      </c>
      <c r="AC1467" t="str">
        <f t="shared" si="424"/>
        <v>0P0</v>
      </c>
      <c r="AD1467" t="str">
        <f t="shared" si="425"/>
        <v>P00</v>
      </c>
      <c r="AE1467" t="str">
        <f t="shared" si="426"/>
        <v>0P0</v>
      </c>
      <c r="AF1467" t="str">
        <f t="shared" si="427"/>
        <v>P00</v>
      </c>
      <c r="AG1467" t="str">
        <f t="shared" si="433"/>
        <v>0P00</v>
      </c>
      <c r="AH1467" t="str">
        <f t="shared" si="434"/>
        <v>P000</v>
      </c>
      <c r="AI1467" t="str">
        <f t="shared" si="435"/>
        <v>0P00</v>
      </c>
      <c r="AJ1467" t="str">
        <f t="shared" si="436"/>
        <v>P000</v>
      </c>
    </row>
    <row r="1468" spans="1:36" x14ac:dyDescent="0.25">
      <c r="A1468" s="325" t="str">
        <f>CONCATENATE("P",'906MP'!M1168)</f>
        <v>P</v>
      </c>
      <c r="B1468">
        <f>'906MP'!H1168</f>
        <v>0</v>
      </c>
      <c r="C1468">
        <f>'906MP'!J1168</f>
        <v>0</v>
      </c>
      <c r="D1468">
        <f>'906MP'!P1168</f>
        <v>0</v>
      </c>
      <c r="E1468">
        <f>'906MP'!X1168</f>
        <v>0</v>
      </c>
      <c r="F1468" t="str">
        <f t="shared" si="428"/>
        <v>0</v>
      </c>
      <c r="G1468" t="str">
        <f t="shared" si="429"/>
        <v>0</v>
      </c>
      <c r="H1468">
        <f>'906MP'!Y1168</f>
        <v>0</v>
      </c>
      <c r="I1468">
        <f>'906MP'!AK1168</f>
        <v>0</v>
      </c>
      <c r="J1468">
        <f>'906MP'!T1168</f>
        <v>0</v>
      </c>
      <c r="K1468">
        <f>'906MP'!AJ1168</f>
        <v>0</v>
      </c>
      <c r="L1468">
        <f>'906MP'!U1168</f>
        <v>0</v>
      </c>
      <c r="M1468" s="322" t="str">
        <f>IFERROR(VLOOKUP(A1468,PAR!$D$3:$E$53,2,FALSE),"nincs szervezet")</f>
        <v>nincs szervezet</v>
      </c>
      <c r="N1468" s="322" t="str">
        <f>VLOOKUP(F1468,PAR!$R$3:$S$5,2,FALSE)</f>
        <v>3 - egyik sem</v>
      </c>
      <c r="O1468" t="str">
        <f>IFERROR(VLOOKUP(J1468,PAR!$O$3:$P$5,2,FALSE),"nincs feladat")</f>
        <v>nincs feladat</v>
      </c>
      <c r="P1468" t="str">
        <f>IFERROR(VLOOKUP(G1468,PAR!$J$2:$M$19,4),"nincs rovat")</f>
        <v>nincs rovat</v>
      </c>
      <c r="Q1468" t="str">
        <f>IF(H1468&gt;0,VLOOKUP(H1468,PAR!$AA$3:$AC$187,3,FALSE),"nincs főkönyvi számla")</f>
        <v>nincs főkönyvi számla</v>
      </c>
      <c r="R1468" t="str">
        <f>IFERROR(VLOOKUP(K1468,PAR!$V$3:$X$438,3,FALSE),"000000 - Nincs COFOG")</f>
        <v>000000 - Nincs COFOG</v>
      </c>
      <c r="S1468">
        <f t="shared" si="430"/>
        <v>0</v>
      </c>
      <c r="T1468">
        <f t="shared" si="431"/>
        <v>0</v>
      </c>
      <c r="U1468" t="str">
        <f>IF('906MP'!J1168&gt;0,CONCATENATE('906MP'!J1168," - ",'906MP'!P1168,", ",'906MP'!E1168),"nincs megjegyzés")</f>
        <v>nincs megjegyzés</v>
      </c>
      <c r="V1468" t="str">
        <f t="shared" si="418"/>
        <v>0P0</v>
      </c>
      <c r="W1468" t="str">
        <f t="shared" si="419"/>
        <v>0P0</v>
      </c>
      <c r="X1468" t="str">
        <f t="shared" si="420"/>
        <v>P0</v>
      </c>
      <c r="Y1468" t="str">
        <f t="shared" si="421"/>
        <v>00</v>
      </c>
      <c r="Z1468" t="str">
        <f t="shared" si="432"/>
        <v>00</v>
      </c>
      <c r="AA1468" t="str">
        <f t="shared" si="422"/>
        <v>00</v>
      </c>
      <c r="AB1468" t="str">
        <f t="shared" si="423"/>
        <v>00</v>
      </c>
      <c r="AC1468" t="str">
        <f t="shared" si="424"/>
        <v>0P0</v>
      </c>
      <c r="AD1468" t="str">
        <f t="shared" si="425"/>
        <v>P00</v>
      </c>
      <c r="AE1468" t="str">
        <f t="shared" si="426"/>
        <v>0P0</v>
      </c>
      <c r="AF1468" t="str">
        <f t="shared" si="427"/>
        <v>P00</v>
      </c>
      <c r="AG1468" t="str">
        <f t="shared" si="433"/>
        <v>0P00</v>
      </c>
      <c r="AH1468" t="str">
        <f t="shared" si="434"/>
        <v>P000</v>
      </c>
      <c r="AI1468" t="str">
        <f t="shared" si="435"/>
        <v>0P00</v>
      </c>
      <c r="AJ1468" t="str">
        <f t="shared" si="436"/>
        <v>P000</v>
      </c>
    </row>
    <row r="1469" spans="1:36" x14ac:dyDescent="0.25">
      <c r="A1469" s="325" t="str">
        <f>CONCATENATE("P",'906MP'!M1169)</f>
        <v>P</v>
      </c>
      <c r="B1469">
        <f>'906MP'!H1169</f>
        <v>0</v>
      </c>
      <c r="C1469">
        <f>'906MP'!J1169</f>
        <v>0</v>
      </c>
      <c r="D1469">
        <f>'906MP'!P1169</f>
        <v>0</v>
      </c>
      <c r="E1469">
        <f>'906MP'!X1169</f>
        <v>0</v>
      </c>
      <c r="F1469" t="str">
        <f t="shared" si="428"/>
        <v>0</v>
      </c>
      <c r="G1469" t="str">
        <f t="shared" si="429"/>
        <v>0</v>
      </c>
      <c r="H1469">
        <f>'906MP'!Y1169</f>
        <v>0</v>
      </c>
      <c r="I1469">
        <f>'906MP'!AK1169</f>
        <v>0</v>
      </c>
      <c r="J1469">
        <f>'906MP'!T1169</f>
        <v>0</v>
      </c>
      <c r="K1469">
        <f>'906MP'!AJ1169</f>
        <v>0</v>
      </c>
      <c r="L1469">
        <f>'906MP'!U1169</f>
        <v>0</v>
      </c>
      <c r="M1469" s="322" t="str">
        <f>IFERROR(VLOOKUP(A1469,PAR!$D$3:$E$53,2,FALSE),"nincs szervezet")</f>
        <v>nincs szervezet</v>
      </c>
      <c r="N1469" s="322" t="str">
        <f>VLOOKUP(F1469,PAR!$R$3:$S$5,2,FALSE)</f>
        <v>3 - egyik sem</v>
      </c>
      <c r="O1469" t="str">
        <f>IFERROR(VLOOKUP(J1469,PAR!$O$3:$P$5,2,FALSE),"nincs feladat")</f>
        <v>nincs feladat</v>
      </c>
      <c r="P1469" t="str">
        <f>IFERROR(VLOOKUP(G1469,PAR!$J$2:$M$19,4),"nincs rovat")</f>
        <v>nincs rovat</v>
      </c>
      <c r="Q1469" t="str">
        <f>IF(H1469&gt;0,VLOOKUP(H1469,PAR!$AA$3:$AC$187,3,FALSE),"nincs főkönyvi számla")</f>
        <v>nincs főkönyvi számla</v>
      </c>
      <c r="R1469" t="str">
        <f>IFERROR(VLOOKUP(K1469,PAR!$V$3:$X$438,3,FALSE),"000000 - Nincs COFOG")</f>
        <v>000000 - Nincs COFOG</v>
      </c>
      <c r="S1469">
        <f t="shared" si="430"/>
        <v>0</v>
      </c>
      <c r="T1469">
        <f t="shared" si="431"/>
        <v>0</v>
      </c>
      <c r="U1469" t="str">
        <f>IF('906MP'!J1169&gt;0,CONCATENATE('906MP'!J1169," - ",'906MP'!P1169,", ",'906MP'!E1169),"nincs megjegyzés")</f>
        <v>nincs megjegyzés</v>
      </c>
      <c r="V1469" t="str">
        <f t="shared" si="418"/>
        <v>0P0</v>
      </c>
      <c r="W1469" t="str">
        <f t="shared" si="419"/>
        <v>0P0</v>
      </c>
      <c r="X1469" t="str">
        <f t="shared" si="420"/>
        <v>P0</v>
      </c>
      <c r="Y1469" t="str">
        <f t="shared" si="421"/>
        <v>00</v>
      </c>
      <c r="Z1469" t="str">
        <f t="shared" si="432"/>
        <v>00</v>
      </c>
      <c r="AA1469" t="str">
        <f t="shared" si="422"/>
        <v>00</v>
      </c>
      <c r="AB1469" t="str">
        <f t="shared" si="423"/>
        <v>00</v>
      </c>
      <c r="AC1469" t="str">
        <f t="shared" si="424"/>
        <v>0P0</v>
      </c>
      <c r="AD1469" t="str">
        <f t="shared" si="425"/>
        <v>P00</v>
      </c>
      <c r="AE1469" t="str">
        <f t="shared" si="426"/>
        <v>0P0</v>
      </c>
      <c r="AF1469" t="str">
        <f t="shared" si="427"/>
        <v>P00</v>
      </c>
      <c r="AG1469" t="str">
        <f t="shared" si="433"/>
        <v>0P00</v>
      </c>
      <c r="AH1469" t="str">
        <f t="shared" si="434"/>
        <v>P000</v>
      </c>
      <c r="AI1469" t="str">
        <f t="shared" si="435"/>
        <v>0P00</v>
      </c>
      <c r="AJ1469" t="str">
        <f t="shared" si="436"/>
        <v>P000</v>
      </c>
    </row>
    <row r="1470" spans="1:36" x14ac:dyDescent="0.25">
      <c r="A1470" s="325" t="str">
        <f>CONCATENATE("P",'906MP'!M1170)</f>
        <v>P</v>
      </c>
      <c r="B1470">
        <f>'906MP'!H1170</f>
        <v>0</v>
      </c>
      <c r="C1470">
        <f>'906MP'!J1170</f>
        <v>0</v>
      </c>
      <c r="D1470">
        <f>'906MP'!P1170</f>
        <v>0</v>
      </c>
      <c r="E1470">
        <f>'906MP'!X1170</f>
        <v>0</v>
      </c>
      <c r="F1470" t="str">
        <f t="shared" si="428"/>
        <v>0</v>
      </c>
      <c r="G1470" t="str">
        <f t="shared" si="429"/>
        <v>0</v>
      </c>
      <c r="H1470">
        <f>'906MP'!Y1170</f>
        <v>0</v>
      </c>
      <c r="I1470">
        <f>'906MP'!AK1170</f>
        <v>0</v>
      </c>
      <c r="J1470">
        <f>'906MP'!T1170</f>
        <v>0</v>
      </c>
      <c r="K1470">
        <f>'906MP'!AJ1170</f>
        <v>0</v>
      </c>
      <c r="L1470">
        <f>'906MP'!U1170</f>
        <v>0</v>
      </c>
      <c r="M1470" s="322" t="str">
        <f>IFERROR(VLOOKUP(A1470,PAR!$D$3:$E$53,2,FALSE),"nincs szervezet")</f>
        <v>nincs szervezet</v>
      </c>
      <c r="N1470" s="322" t="str">
        <f>VLOOKUP(F1470,PAR!$R$3:$S$5,2,FALSE)</f>
        <v>3 - egyik sem</v>
      </c>
      <c r="O1470" t="str">
        <f>IFERROR(VLOOKUP(J1470,PAR!$O$3:$P$5,2,FALSE),"nincs feladat")</f>
        <v>nincs feladat</v>
      </c>
      <c r="P1470" t="str">
        <f>IFERROR(VLOOKUP(G1470,PAR!$J$2:$M$19,4),"nincs rovat")</f>
        <v>nincs rovat</v>
      </c>
      <c r="Q1470" t="str">
        <f>IF(H1470&gt;0,VLOOKUP(H1470,PAR!$AA$3:$AC$187,3,FALSE),"nincs főkönyvi számla")</f>
        <v>nincs főkönyvi számla</v>
      </c>
      <c r="R1470" t="str">
        <f>IFERROR(VLOOKUP(K1470,PAR!$V$3:$X$438,3,FALSE),"000000 - Nincs COFOG")</f>
        <v>000000 - Nincs COFOG</v>
      </c>
      <c r="S1470">
        <f t="shared" si="430"/>
        <v>0</v>
      </c>
      <c r="T1470">
        <f t="shared" si="431"/>
        <v>0</v>
      </c>
      <c r="U1470" t="str">
        <f>IF('906MP'!J1170&gt;0,CONCATENATE('906MP'!J1170," - ",'906MP'!P1170,", ",'906MP'!E1170),"nincs megjegyzés")</f>
        <v>nincs megjegyzés</v>
      </c>
      <c r="V1470" t="str">
        <f t="shared" si="418"/>
        <v>0P0</v>
      </c>
      <c r="W1470" t="str">
        <f t="shared" si="419"/>
        <v>0P0</v>
      </c>
      <c r="X1470" t="str">
        <f t="shared" si="420"/>
        <v>P0</v>
      </c>
      <c r="Y1470" t="str">
        <f t="shared" si="421"/>
        <v>00</v>
      </c>
      <c r="Z1470" t="str">
        <f t="shared" si="432"/>
        <v>00</v>
      </c>
      <c r="AA1470" t="str">
        <f t="shared" si="422"/>
        <v>00</v>
      </c>
      <c r="AB1470" t="str">
        <f t="shared" si="423"/>
        <v>00</v>
      </c>
      <c r="AC1470" t="str">
        <f t="shared" si="424"/>
        <v>0P0</v>
      </c>
      <c r="AD1470" t="str">
        <f t="shared" si="425"/>
        <v>P00</v>
      </c>
      <c r="AE1470" t="str">
        <f t="shared" si="426"/>
        <v>0P0</v>
      </c>
      <c r="AF1470" t="str">
        <f t="shared" si="427"/>
        <v>P00</v>
      </c>
      <c r="AG1470" t="str">
        <f t="shared" si="433"/>
        <v>0P00</v>
      </c>
      <c r="AH1470" t="str">
        <f t="shared" si="434"/>
        <v>P000</v>
      </c>
      <c r="AI1470" t="str">
        <f t="shared" si="435"/>
        <v>0P00</v>
      </c>
      <c r="AJ1470" t="str">
        <f t="shared" si="436"/>
        <v>P000</v>
      </c>
    </row>
    <row r="1471" spans="1:36" x14ac:dyDescent="0.25">
      <c r="A1471" s="325" t="str">
        <f>CONCATENATE("P",'906MP'!M1171)</f>
        <v>P</v>
      </c>
      <c r="B1471">
        <f>'906MP'!H1171</f>
        <v>0</v>
      </c>
      <c r="C1471">
        <f>'906MP'!J1171</f>
        <v>0</v>
      </c>
      <c r="D1471">
        <f>'906MP'!P1171</f>
        <v>0</v>
      </c>
      <c r="E1471">
        <f>'906MP'!X1171</f>
        <v>0</v>
      </c>
      <c r="F1471" t="str">
        <f t="shared" si="428"/>
        <v>0</v>
      </c>
      <c r="G1471" t="str">
        <f t="shared" si="429"/>
        <v>0</v>
      </c>
      <c r="H1471">
        <f>'906MP'!Y1171</f>
        <v>0</v>
      </c>
      <c r="I1471">
        <f>'906MP'!AK1171</f>
        <v>0</v>
      </c>
      <c r="J1471">
        <f>'906MP'!T1171</f>
        <v>0</v>
      </c>
      <c r="K1471">
        <f>'906MP'!AJ1171</f>
        <v>0</v>
      </c>
      <c r="L1471">
        <f>'906MP'!U1171</f>
        <v>0</v>
      </c>
      <c r="M1471" s="322" t="str">
        <f>IFERROR(VLOOKUP(A1471,PAR!$D$3:$E$53,2,FALSE),"nincs szervezet")</f>
        <v>nincs szervezet</v>
      </c>
      <c r="N1471" s="322" t="str">
        <f>VLOOKUP(F1471,PAR!$R$3:$S$5,2,FALSE)</f>
        <v>3 - egyik sem</v>
      </c>
      <c r="O1471" t="str">
        <f>IFERROR(VLOOKUP(J1471,PAR!$O$3:$P$5,2,FALSE),"nincs feladat")</f>
        <v>nincs feladat</v>
      </c>
      <c r="P1471" t="str">
        <f>IFERROR(VLOOKUP(G1471,PAR!$J$2:$M$19,4),"nincs rovat")</f>
        <v>nincs rovat</v>
      </c>
      <c r="Q1471" t="str">
        <f>IF(H1471&gt;0,VLOOKUP(H1471,PAR!$AA$3:$AC$187,3,FALSE),"nincs főkönyvi számla")</f>
        <v>nincs főkönyvi számla</v>
      </c>
      <c r="R1471" t="str">
        <f>IFERROR(VLOOKUP(K1471,PAR!$V$3:$X$438,3,FALSE),"000000 - Nincs COFOG")</f>
        <v>000000 - Nincs COFOG</v>
      </c>
      <c r="S1471">
        <f t="shared" si="430"/>
        <v>0</v>
      </c>
      <c r="T1471">
        <f t="shared" si="431"/>
        <v>0</v>
      </c>
      <c r="U1471" t="str">
        <f>IF('906MP'!J1171&gt;0,CONCATENATE('906MP'!J1171," - ",'906MP'!P1171,", ",'906MP'!E1171),"nincs megjegyzés")</f>
        <v>nincs megjegyzés</v>
      </c>
      <c r="V1471" t="str">
        <f t="shared" si="418"/>
        <v>0P0</v>
      </c>
      <c r="W1471" t="str">
        <f t="shared" si="419"/>
        <v>0P0</v>
      </c>
      <c r="X1471" t="str">
        <f t="shared" si="420"/>
        <v>P0</v>
      </c>
      <c r="Y1471" t="str">
        <f t="shared" si="421"/>
        <v>00</v>
      </c>
      <c r="Z1471" t="str">
        <f t="shared" si="432"/>
        <v>00</v>
      </c>
      <c r="AA1471" t="str">
        <f t="shared" si="422"/>
        <v>00</v>
      </c>
      <c r="AB1471" t="str">
        <f t="shared" si="423"/>
        <v>00</v>
      </c>
      <c r="AC1471" t="str">
        <f t="shared" si="424"/>
        <v>0P0</v>
      </c>
      <c r="AD1471" t="str">
        <f t="shared" si="425"/>
        <v>P00</v>
      </c>
      <c r="AE1471" t="str">
        <f t="shared" si="426"/>
        <v>0P0</v>
      </c>
      <c r="AF1471" t="str">
        <f t="shared" si="427"/>
        <v>P00</v>
      </c>
      <c r="AG1471" t="str">
        <f t="shared" si="433"/>
        <v>0P00</v>
      </c>
      <c r="AH1471" t="str">
        <f t="shared" si="434"/>
        <v>P000</v>
      </c>
      <c r="AI1471" t="str">
        <f t="shared" si="435"/>
        <v>0P00</v>
      </c>
      <c r="AJ1471" t="str">
        <f t="shared" si="436"/>
        <v>P000</v>
      </c>
    </row>
    <row r="1472" spans="1:36" x14ac:dyDescent="0.25">
      <c r="A1472" s="325" t="str">
        <f>CONCATENATE("P",'906MP'!M1172)</f>
        <v>P</v>
      </c>
      <c r="B1472">
        <f>'906MP'!H1172</f>
        <v>0</v>
      </c>
      <c r="C1472">
        <f>'906MP'!J1172</f>
        <v>0</v>
      </c>
      <c r="D1472">
        <f>'906MP'!P1172</f>
        <v>0</v>
      </c>
      <c r="E1472">
        <f>'906MP'!X1172</f>
        <v>0</v>
      </c>
      <c r="F1472" t="str">
        <f t="shared" si="428"/>
        <v>0</v>
      </c>
      <c r="G1472" t="str">
        <f t="shared" si="429"/>
        <v>0</v>
      </c>
      <c r="H1472">
        <f>'906MP'!Y1172</f>
        <v>0</v>
      </c>
      <c r="I1472">
        <f>'906MP'!AK1172</f>
        <v>0</v>
      </c>
      <c r="J1472">
        <f>'906MP'!T1172</f>
        <v>0</v>
      </c>
      <c r="K1472">
        <f>'906MP'!AJ1172</f>
        <v>0</v>
      </c>
      <c r="L1472">
        <f>'906MP'!U1172</f>
        <v>0</v>
      </c>
      <c r="M1472" s="322" t="str">
        <f>IFERROR(VLOOKUP(A1472,PAR!$D$3:$E$53,2,FALSE),"nincs szervezet")</f>
        <v>nincs szervezet</v>
      </c>
      <c r="N1472" s="322" t="str">
        <f>VLOOKUP(F1472,PAR!$R$3:$S$5,2,FALSE)</f>
        <v>3 - egyik sem</v>
      </c>
      <c r="O1472" t="str">
        <f>IFERROR(VLOOKUP(J1472,PAR!$O$3:$P$5,2,FALSE),"nincs feladat")</f>
        <v>nincs feladat</v>
      </c>
      <c r="P1472" t="str">
        <f>IFERROR(VLOOKUP(G1472,PAR!$J$2:$M$19,4),"nincs rovat")</f>
        <v>nincs rovat</v>
      </c>
      <c r="Q1472" t="str">
        <f>IF(H1472&gt;0,VLOOKUP(H1472,PAR!$AA$3:$AC$187,3,FALSE),"nincs főkönyvi számla")</f>
        <v>nincs főkönyvi számla</v>
      </c>
      <c r="R1472" t="str">
        <f>IFERROR(VLOOKUP(K1472,PAR!$V$3:$X$438,3,FALSE),"000000 - Nincs COFOG")</f>
        <v>000000 - Nincs COFOG</v>
      </c>
      <c r="S1472">
        <f t="shared" si="430"/>
        <v>0</v>
      </c>
      <c r="T1472">
        <f t="shared" si="431"/>
        <v>0</v>
      </c>
      <c r="U1472" t="str">
        <f>IF('906MP'!J1172&gt;0,CONCATENATE('906MP'!J1172," - ",'906MP'!P1172,", ",'906MP'!E1172),"nincs megjegyzés")</f>
        <v>nincs megjegyzés</v>
      </c>
      <c r="V1472" t="str">
        <f t="shared" si="418"/>
        <v>0P0</v>
      </c>
      <c r="W1472" t="str">
        <f t="shared" si="419"/>
        <v>0P0</v>
      </c>
      <c r="X1472" t="str">
        <f t="shared" si="420"/>
        <v>P0</v>
      </c>
      <c r="Y1472" t="str">
        <f t="shared" si="421"/>
        <v>00</v>
      </c>
      <c r="Z1472" t="str">
        <f t="shared" si="432"/>
        <v>00</v>
      </c>
      <c r="AA1472" t="str">
        <f t="shared" si="422"/>
        <v>00</v>
      </c>
      <c r="AB1472" t="str">
        <f t="shared" si="423"/>
        <v>00</v>
      </c>
      <c r="AC1472" t="str">
        <f t="shared" si="424"/>
        <v>0P0</v>
      </c>
      <c r="AD1472" t="str">
        <f t="shared" si="425"/>
        <v>P00</v>
      </c>
      <c r="AE1472" t="str">
        <f t="shared" si="426"/>
        <v>0P0</v>
      </c>
      <c r="AF1472" t="str">
        <f t="shared" si="427"/>
        <v>P00</v>
      </c>
      <c r="AG1472" t="str">
        <f t="shared" si="433"/>
        <v>0P00</v>
      </c>
      <c r="AH1472" t="str">
        <f t="shared" si="434"/>
        <v>P000</v>
      </c>
      <c r="AI1472" t="str">
        <f t="shared" si="435"/>
        <v>0P00</v>
      </c>
      <c r="AJ1472" t="str">
        <f t="shared" si="436"/>
        <v>P000</v>
      </c>
    </row>
    <row r="1473" spans="1:36" x14ac:dyDescent="0.25">
      <c r="A1473" s="325" t="str">
        <f>CONCATENATE("P",'906MP'!M1173)</f>
        <v>P</v>
      </c>
      <c r="B1473">
        <f>'906MP'!H1173</f>
        <v>0</v>
      </c>
      <c r="C1473">
        <f>'906MP'!J1173</f>
        <v>0</v>
      </c>
      <c r="D1473">
        <f>'906MP'!P1173</f>
        <v>0</v>
      </c>
      <c r="E1473">
        <f>'906MP'!X1173</f>
        <v>0</v>
      </c>
      <c r="F1473" t="str">
        <f t="shared" si="428"/>
        <v>0</v>
      </c>
      <c r="G1473" t="str">
        <f t="shared" si="429"/>
        <v>0</v>
      </c>
      <c r="H1473">
        <f>'906MP'!Y1173</f>
        <v>0</v>
      </c>
      <c r="I1473">
        <f>'906MP'!AK1173</f>
        <v>0</v>
      </c>
      <c r="J1473">
        <f>'906MP'!T1173</f>
        <v>0</v>
      </c>
      <c r="K1473">
        <f>'906MP'!AJ1173</f>
        <v>0</v>
      </c>
      <c r="L1473">
        <f>'906MP'!U1173</f>
        <v>0</v>
      </c>
      <c r="M1473" s="322" t="str">
        <f>IFERROR(VLOOKUP(A1473,PAR!$D$3:$E$53,2,FALSE),"nincs szervezet")</f>
        <v>nincs szervezet</v>
      </c>
      <c r="N1473" s="322" t="str">
        <f>VLOOKUP(F1473,PAR!$R$3:$S$5,2,FALSE)</f>
        <v>3 - egyik sem</v>
      </c>
      <c r="O1473" t="str">
        <f>IFERROR(VLOOKUP(J1473,PAR!$O$3:$P$5,2,FALSE),"nincs feladat")</f>
        <v>nincs feladat</v>
      </c>
      <c r="P1473" t="str">
        <f>IFERROR(VLOOKUP(G1473,PAR!$J$2:$M$19,4),"nincs rovat")</f>
        <v>nincs rovat</v>
      </c>
      <c r="Q1473" t="str">
        <f>IF(H1473&gt;0,VLOOKUP(H1473,PAR!$AA$3:$AC$187,3,FALSE),"nincs főkönyvi számla")</f>
        <v>nincs főkönyvi számla</v>
      </c>
      <c r="R1473" t="str">
        <f>IFERROR(VLOOKUP(K1473,PAR!$V$3:$X$438,3,FALSE),"000000 - Nincs COFOG")</f>
        <v>000000 - Nincs COFOG</v>
      </c>
      <c r="S1473">
        <f t="shared" si="430"/>
        <v>0</v>
      </c>
      <c r="T1473">
        <f t="shared" si="431"/>
        <v>0</v>
      </c>
      <c r="U1473" t="str">
        <f>IF('906MP'!J1173&gt;0,CONCATENATE('906MP'!J1173," - ",'906MP'!P1173,", ",'906MP'!E1173),"nincs megjegyzés")</f>
        <v>nincs megjegyzés</v>
      </c>
      <c r="V1473" t="str">
        <f t="shared" si="418"/>
        <v>0P0</v>
      </c>
      <c r="W1473" t="str">
        <f t="shared" si="419"/>
        <v>0P0</v>
      </c>
      <c r="X1473" t="str">
        <f t="shared" si="420"/>
        <v>P0</v>
      </c>
      <c r="Y1473" t="str">
        <f t="shared" si="421"/>
        <v>00</v>
      </c>
      <c r="Z1473" t="str">
        <f t="shared" si="432"/>
        <v>00</v>
      </c>
      <c r="AA1473" t="str">
        <f t="shared" si="422"/>
        <v>00</v>
      </c>
      <c r="AB1473" t="str">
        <f t="shared" si="423"/>
        <v>00</v>
      </c>
      <c r="AC1473" t="str">
        <f t="shared" si="424"/>
        <v>0P0</v>
      </c>
      <c r="AD1473" t="str">
        <f t="shared" si="425"/>
        <v>P00</v>
      </c>
      <c r="AE1473" t="str">
        <f t="shared" si="426"/>
        <v>0P0</v>
      </c>
      <c r="AF1473" t="str">
        <f t="shared" si="427"/>
        <v>P00</v>
      </c>
      <c r="AG1473" t="str">
        <f t="shared" si="433"/>
        <v>0P00</v>
      </c>
      <c r="AH1473" t="str">
        <f t="shared" si="434"/>
        <v>P000</v>
      </c>
      <c r="AI1473" t="str">
        <f t="shared" si="435"/>
        <v>0P00</v>
      </c>
      <c r="AJ1473" t="str">
        <f t="shared" si="436"/>
        <v>P000</v>
      </c>
    </row>
    <row r="1474" spans="1:36" x14ac:dyDescent="0.25">
      <c r="A1474" s="325" t="str">
        <f>CONCATENATE("P",'906MP'!M1174)</f>
        <v>P</v>
      </c>
      <c r="B1474">
        <f>'906MP'!H1174</f>
        <v>0</v>
      </c>
      <c r="C1474">
        <f>'906MP'!J1174</f>
        <v>0</v>
      </c>
      <c r="D1474">
        <f>'906MP'!P1174</f>
        <v>0</v>
      </c>
      <c r="E1474">
        <f>'906MP'!X1174</f>
        <v>0</v>
      </c>
      <c r="F1474" t="str">
        <f t="shared" si="428"/>
        <v>0</v>
      </c>
      <c r="G1474" t="str">
        <f t="shared" si="429"/>
        <v>0</v>
      </c>
      <c r="H1474">
        <f>'906MP'!Y1174</f>
        <v>0</v>
      </c>
      <c r="I1474">
        <f>'906MP'!AK1174</f>
        <v>0</v>
      </c>
      <c r="J1474">
        <f>'906MP'!T1174</f>
        <v>0</v>
      </c>
      <c r="K1474">
        <f>'906MP'!AJ1174</f>
        <v>0</v>
      </c>
      <c r="L1474">
        <f>'906MP'!U1174</f>
        <v>0</v>
      </c>
      <c r="M1474" s="322" t="str">
        <f>IFERROR(VLOOKUP(A1474,PAR!$D$3:$E$53,2,FALSE),"nincs szervezet")</f>
        <v>nincs szervezet</v>
      </c>
      <c r="N1474" s="322" t="str">
        <f>VLOOKUP(F1474,PAR!$R$3:$S$5,2,FALSE)</f>
        <v>3 - egyik sem</v>
      </c>
      <c r="O1474" t="str">
        <f>IFERROR(VLOOKUP(J1474,PAR!$O$3:$P$5,2,FALSE),"nincs feladat")</f>
        <v>nincs feladat</v>
      </c>
      <c r="P1474" t="str">
        <f>IFERROR(VLOOKUP(G1474,PAR!$J$2:$M$19,4),"nincs rovat")</f>
        <v>nincs rovat</v>
      </c>
      <c r="Q1474" t="str">
        <f>IF(H1474&gt;0,VLOOKUP(H1474,PAR!$AA$3:$AC$187,3,FALSE),"nincs főkönyvi számla")</f>
        <v>nincs főkönyvi számla</v>
      </c>
      <c r="R1474" t="str">
        <f>IFERROR(VLOOKUP(K1474,PAR!$V$3:$X$438,3,FALSE),"000000 - Nincs COFOG")</f>
        <v>000000 - Nincs COFOG</v>
      </c>
      <c r="S1474">
        <f t="shared" si="430"/>
        <v>0</v>
      </c>
      <c r="T1474">
        <f t="shared" si="431"/>
        <v>0</v>
      </c>
      <c r="U1474" t="str">
        <f>IF('906MP'!J1174&gt;0,CONCATENATE('906MP'!J1174," - ",'906MP'!P1174,", ",'906MP'!E1174),"nincs megjegyzés")</f>
        <v>nincs megjegyzés</v>
      </c>
      <c r="V1474" t="str">
        <f t="shared" ref="V1474:V1537" si="437">CONCATENATE(B1474,A1474,G1474)</f>
        <v>0P0</v>
      </c>
      <c r="W1474" t="str">
        <f t="shared" ref="W1474:W1537" si="438">CONCATENATE(B1474,A1474,F1474)</f>
        <v>0P0</v>
      </c>
      <c r="X1474" t="str">
        <f t="shared" ref="X1474:X1537" si="439">CONCATENATE(A1474,H1474)</f>
        <v>P0</v>
      </c>
      <c r="Y1474" t="str">
        <f t="shared" ref="Y1474:Y1537" si="440">CONCATENATE(B1474,H1474)</f>
        <v>00</v>
      </c>
      <c r="Z1474" t="str">
        <f t="shared" si="432"/>
        <v>00</v>
      </c>
      <c r="AA1474" t="str">
        <f t="shared" ref="AA1474:AA1537" si="441">CONCATENATE(B1474,G1474)</f>
        <v>00</v>
      </c>
      <c r="AB1474" t="str">
        <f t="shared" ref="AB1474:AB1537" si="442">CONCATENATE(J1474,G1474)</f>
        <v>00</v>
      </c>
      <c r="AC1474" t="str">
        <f t="shared" ref="AC1474:AC1537" si="443">CONCATENATE(B1474,A1474,H1474)</f>
        <v>0P0</v>
      </c>
      <c r="AD1474" t="str">
        <f t="shared" ref="AD1474:AD1537" si="444">CONCATENATE(A1474,H1474,J1474)</f>
        <v>P00</v>
      </c>
      <c r="AE1474" t="str">
        <f t="shared" ref="AE1474:AE1537" si="445">CONCATENATE(B1474,A1474,G1474)</f>
        <v>0P0</v>
      </c>
      <c r="AF1474" t="str">
        <f t="shared" ref="AF1474:AF1537" si="446">CONCATENATE(A1474,G1474,J1474)</f>
        <v>P00</v>
      </c>
      <c r="AG1474" t="str">
        <f t="shared" si="433"/>
        <v>0P00</v>
      </c>
      <c r="AH1474" t="str">
        <f t="shared" si="434"/>
        <v>P000</v>
      </c>
      <c r="AI1474" t="str">
        <f t="shared" si="435"/>
        <v>0P00</v>
      </c>
      <c r="AJ1474" t="str">
        <f t="shared" si="436"/>
        <v>P000</v>
      </c>
    </row>
    <row r="1475" spans="1:36" x14ac:dyDescent="0.25">
      <c r="A1475" s="325" t="str">
        <f>CONCATENATE("P",'906MP'!M1175)</f>
        <v>P</v>
      </c>
      <c r="B1475">
        <f>'906MP'!H1175</f>
        <v>0</v>
      </c>
      <c r="C1475">
        <f>'906MP'!J1175</f>
        <v>0</v>
      </c>
      <c r="D1475">
        <f>'906MP'!P1175</f>
        <v>0</v>
      </c>
      <c r="E1475">
        <f>'906MP'!X1175</f>
        <v>0</v>
      </c>
      <c r="F1475" t="str">
        <f t="shared" ref="F1475:F1538" si="447">LEFT(G1475,2)</f>
        <v>0</v>
      </c>
      <c r="G1475" t="str">
        <f t="shared" ref="G1475:G1538" si="448">LEFT(H1475,3)</f>
        <v>0</v>
      </c>
      <c r="H1475">
        <f>'906MP'!Y1175</f>
        <v>0</v>
      </c>
      <c r="I1475">
        <f>'906MP'!AK1175</f>
        <v>0</v>
      </c>
      <c r="J1475">
        <f>'906MP'!T1175</f>
        <v>0</v>
      </c>
      <c r="K1475">
        <f>'906MP'!AJ1175</f>
        <v>0</v>
      </c>
      <c r="L1475">
        <f>'906MP'!U1175</f>
        <v>0</v>
      </c>
      <c r="M1475" s="322" t="str">
        <f>IFERROR(VLOOKUP(A1475,PAR!$D$3:$E$53,2,FALSE),"nincs szervezet")</f>
        <v>nincs szervezet</v>
      </c>
      <c r="N1475" s="322" t="str">
        <f>VLOOKUP(F1475,PAR!$R$3:$S$5,2,FALSE)</f>
        <v>3 - egyik sem</v>
      </c>
      <c r="O1475" t="str">
        <f>IFERROR(VLOOKUP(J1475,PAR!$O$3:$P$5,2,FALSE),"nincs feladat")</f>
        <v>nincs feladat</v>
      </c>
      <c r="P1475" t="str">
        <f>IFERROR(VLOOKUP(G1475,PAR!$J$2:$M$19,4),"nincs rovat")</f>
        <v>nincs rovat</v>
      </c>
      <c r="Q1475" t="str">
        <f>IF(H1475&gt;0,VLOOKUP(H1475,PAR!$AA$3:$AC$187,3,FALSE),"nincs főkönyvi számla")</f>
        <v>nincs főkönyvi számla</v>
      </c>
      <c r="R1475" t="str">
        <f>IFERROR(VLOOKUP(K1475,PAR!$V$3:$X$438,3,FALSE),"000000 - Nincs COFOG")</f>
        <v>000000 - Nincs COFOG</v>
      </c>
      <c r="S1475">
        <f t="shared" ref="S1475:S1538" si="449">E1475</f>
        <v>0</v>
      </c>
      <c r="T1475">
        <f t="shared" ref="T1475:T1538" si="450">IF(F1475="09",E1475*-1,E1475)</f>
        <v>0</v>
      </c>
      <c r="U1475" t="str">
        <f>IF('906MP'!J1175&gt;0,CONCATENATE('906MP'!J1175," - ",'906MP'!P1175,", ",'906MP'!E1175),"nincs megjegyzés")</f>
        <v>nincs megjegyzés</v>
      </c>
      <c r="V1475" t="str">
        <f t="shared" si="437"/>
        <v>0P0</v>
      </c>
      <c r="W1475" t="str">
        <f t="shared" si="438"/>
        <v>0P0</v>
      </c>
      <c r="X1475" t="str">
        <f t="shared" si="439"/>
        <v>P0</v>
      </c>
      <c r="Y1475" t="str">
        <f t="shared" si="440"/>
        <v>00</v>
      </c>
      <c r="Z1475" t="str">
        <f t="shared" ref="Z1475:Z1538" si="451">CONCATENATE(J1475,H1475)</f>
        <v>00</v>
      </c>
      <c r="AA1475" t="str">
        <f t="shared" si="441"/>
        <v>00</v>
      </c>
      <c r="AB1475" t="str">
        <f t="shared" si="442"/>
        <v>00</v>
      </c>
      <c r="AC1475" t="str">
        <f t="shared" si="443"/>
        <v>0P0</v>
      </c>
      <c r="AD1475" t="str">
        <f t="shared" si="444"/>
        <v>P00</v>
      </c>
      <c r="AE1475" t="str">
        <f t="shared" si="445"/>
        <v>0P0</v>
      </c>
      <c r="AF1475" t="str">
        <f t="shared" si="446"/>
        <v>P00</v>
      </c>
      <c r="AG1475" t="str">
        <f t="shared" ref="AG1475:AG1538" si="452">CONCATENATE(B1475,A1475,H1475,L1475)</f>
        <v>0P00</v>
      </c>
      <c r="AH1475" t="str">
        <f t="shared" ref="AH1475:AH1538" si="453">CONCATENATE(A1475,J1475,H1475,L1475)</f>
        <v>P000</v>
      </c>
      <c r="AI1475" t="str">
        <f t="shared" ref="AI1475:AI1538" si="454">CONCATENATE(B1475,A1475,G1475,L1475)</f>
        <v>0P00</v>
      </c>
      <c r="AJ1475" t="str">
        <f t="shared" ref="AJ1475:AJ1538" si="455">CONCATENATE(A1475,G1475,J1475,L1475)</f>
        <v>P000</v>
      </c>
    </row>
    <row r="1476" spans="1:36" x14ac:dyDescent="0.25">
      <c r="A1476" s="325" t="str">
        <f>CONCATENATE("P",'906MP'!M1176)</f>
        <v>P</v>
      </c>
      <c r="B1476">
        <f>'906MP'!H1176</f>
        <v>0</v>
      </c>
      <c r="C1476">
        <f>'906MP'!J1176</f>
        <v>0</v>
      </c>
      <c r="D1476">
        <f>'906MP'!P1176</f>
        <v>0</v>
      </c>
      <c r="E1476">
        <f>'906MP'!X1176</f>
        <v>0</v>
      </c>
      <c r="F1476" t="str">
        <f t="shared" si="447"/>
        <v>0</v>
      </c>
      <c r="G1476" t="str">
        <f t="shared" si="448"/>
        <v>0</v>
      </c>
      <c r="H1476">
        <f>'906MP'!Y1176</f>
        <v>0</v>
      </c>
      <c r="I1476">
        <f>'906MP'!AK1176</f>
        <v>0</v>
      </c>
      <c r="J1476">
        <f>'906MP'!T1176</f>
        <v>0</v>
      </c>
      <c r="K1476">
        <f>'906MP'!AJ1176</f>
        <v>0</v>
      </c>
      <c r="L1476">
        <f>'906MP'!U1176</f>
        <v>0</v>
      </c>
      <c r="M1476" s="322" t="str">
        <f>IFERROR(VLOOKUP(A1476,PAR!$D$3:$E$53,2,FALSE),"nincs szervezet")</f>
        <v>nincs szervezet</v>
      </c>
      <c r="N1476" s="322" t="str">
        <f>VLOOKUP(F1476,PAR!$R$3:$S$5,2,FALSE)</f>
        <v>3 - egyik sem</v>
      </c>
      <c r="O1476" t="str">
        <f>IFERROR(VLOOKUP(J1476,PAR!$O$3:$P$5,2,FALSE),"nincs feladat")</f>
        <v>nincs feladat</v>
      </c>
      <c r="P1476" t="str">
        <f>IFERROR(VLOOKUP(G1476,PAR!$J$2:$M$19,4),"nincs rovat")</f>
        <v>nincs rovat</v>
      </c>
      <c r="Q1476" t="str">
        <f>IF(H1476&gt;0,VLOOKUP(H1476,PAR!$AA$3:$AC$187,3,FALSE),"nincs főkönyvi számla")</f>
        <v>nincs főkönyvi számla</v>
      </c>
      <c r="R1476" t="str">
        <f>IFERROR(VLOOKUP(K1476,PAR!$V$3:$X$438,3,FALSE),"000000 - Nincs COFOG")</f>
        <v>000000 - Nincs COFOG</v>
      </c>
      <c r="S1476">
        <f t="shared" si="449"/>
        <v>0</v>
      </c>
      <c r="T1476">
        <f t="shared" si="450"/>
        <v>0</v>
      </c>
      <c r="U1476" t="str">
        <f>IF('906MP'!J1176&gt;0,CONCATENATE('906MP'!J1176," - ",'906MP'!P1176,", ",'906MP'!E1176),"nincs megjegyzés")</f>
        <v>nincs megjegyzés</v>
      </c>
      <c r="V1476" t="str">
        <f t="shared" si="437"/>
        <v>0P0</v>
      </c>
      <c r="W1476" t="str">
        <f t="shared" si="438"/>
        <v>0P0</v>
      </c>
      <c r="X1476" t="str">
        <f t="shared" si="439"/>
        <v>P0</v>
      </c>
      <c r="Y1476" t="str">
        <f t="shared" si="440"/>
        <v>00</v>
      </c>
      <c r="Z1476" t="str">
        <f t="shared" si="451"/>
        <v>00</v>
      </c>
      <c r="AA1476" t="str">
        <f t="shared" si="441"/>
        <v>00</v>
      </c>
      <c r="AB1476" t="str">
        <f t="shared" si="442"/>
        <v>00</v>
      </c>
      <c r="AC1476" t="str">
        <f t="shared" si="443"/>
        <v>0P0</v>
      </c>
      <c r="AD1476" t="str">
        <f t="shared" si="444"/>
        <v>P00</v>
      </c>
      <c r="AE1476" t="str">
        <f t="shared" si="445"/>
        <v>0P0</v>
      </c>
      <c r="AF1476" t="str">
        <f t="shared" si="446"/>
        <v>P00</v>
      </c>
      <c r="AG1476" t="str">
        <f t="shared" si="452"/>
        <v>0P00</v>
      </c>
      <c r="AH1476" t="str">
        <f t="shared" si="453"/>
        <v>P000</v>
      </c>
      <c r="AI1476" t="str">
        <f t="shared" si="454"/>
        <v>0P00</v>
      </c>
      <c r="AJ1476" t="str">
        <f t="shared" si="455"/>
        <v>P000</v>
      </c>
    </row>
    <row r="1477" spans="1:36" x14ac:dyDescent="0.25">
      <c r="A1477" s="325" t="str">
        <f>CONCATENATE("P",'906MP'!M1177)</f>
        <v>P</v>
      </c>
      <c r="B1477">
        <f>'906MP'!H1177</f>
        <v>0</v>
      </c>
      <c r="C1477">
        <f>'906MP'!J1177</f>
        <v>0</v>
      </c>
      <c r="D1477">
        <f>'906MP'!P1177</f>
        <v>0</v>
      </c>
      <c r="E1477">
        <f>'906MP'!X1177</f>
        <v>0</v>
      </c>
      <c r="F1477" t="str">
        <f t="shared" si="447"/>
        <v>0</v>
      </c>
      <c r="G1477" t="str">
        <f t="shared" si="448"/>
        <v>0</v>
      </c>
      <c r="H1477">
        <f>'906MP'!Y1177</f>
        <v>0</v>
      </c>
      <c r="I1477">
        <f>'906MP'!AK1177</f>
        <v>0</v>
      </c>
      <c r="J1477">
        <f>'906MP'!T1177</f>
        <v>0</v>
      </c>
      <c r="K1477">
        <f>'906MP'!AJ1177</f>
        <v>0</v>
      </c>
      <c r="L1477">
        <f>'906MP'!U1177</f>
        <v>0</v>
      </c>
      <c r="M1477" s="322" t="str">
        <f>IFERROR(VLOOKUP(A1477,PAR!$D$3:$E$53,2,FALSE),"nincs szervezet")</f>
        <v>nincs szervezet</v>
      </c>
      <c r="N1477" s="322" t="str">
        <f>VLOOKUP(F1477,PAR!$R$3:$S$5,2,FALSE)</f>
        <v>3 - egyik sem</v>
      </c>
      <c r="O1477" t="str">
        <f>IFERROR(VLOOKUP(J1477,PAR!$O$3:$P$5,2,FALSE),"nincs feladat")</f>
        <v>nincs feladat</v>
      </c>
      <c r="P1477" t="str">
        <f>IFERROR(VLOOKUP(G1477,PAR!$J$2:$M$19,4),"nincs rovat")</f>
        <v>nincs rovat</v>
      </c>
      <c r="Q1477" t="str">
        <f>IF(H1477&gt;0,VLOOKUP(H1477,PAR!$AA$3:$AC$187,3,FALSE),"nincs főkönyvi számla")</f>
        <v>nincs főkönyvi számla</v>
      </c>
      <c r="R1477" t="str">
        <f>IFERROR(VLOOKUP(K1477,PAR!$V$3:$X$438,3,FALSE),"000000 - Nincs COFOG")</f>
        <v>000000 - Nincs COFOG</v>
      </c>
      <c r="S1477">
        <f t="shared" si="449"/>
        <v>0</v>
      </c>
      <c r="T1477">
        <f t="shared" si="450"/>
        <v>0</v>
      </c>
      <c r="U1477" t="str">
        <f>IF('906MP'!J1177&gt;0,CONCATENATE('906MP'!J1177," - ",'906MP'!P1177,", ",'906MP'!E1177),"nincs megjegyzés")</f>
        <v>nincs megjegyzés</v>
      </c>
      <c r="V1477" t="str">
        <f t="shared" si="437"/>
        <v>0P0</v>
      </c>
      <c r="W1477" t="str">
        <f t="shared" si="438"/>
        <v>0P0</v>
      </c>
      <c r="X1477" t="str">
        <f t="shared" si="439"/>
        <v>P0</v>
      </c>
      <c r="Y1477" t="str">
        <f t="shared" si="440"/>
        <v>00</v>
      </c>
      <c r="Z1477" t="str">
        <f t="shared" si="451"/>
        <v>00</v>
      </c>
      <c r="AA1477" t="str">
        <f t="shared" si="441"/>
        <v>00</v>
      </c>
      <c r="AB1477" t="str">
        <f t="shared" si="442"/>
        <v>00</v>
      </c>
      <c r="AC1477" t="str">
        <f t="shared" si="443"/>
        <v>0P0</v>
      </c>
      <c r="AD1477" t="str">
        <f t="shared" si="444"/>
        <v>P00</v>
      </c>
      <c r="AE1477" t="str">
        <f t="shared" si="445"/>
        <v>0P0</v>
      </c>
      <c r="AF1477" t="str">
        <f t="shared" si="446"/>
        <v>P00</v>
      </c>
      <c r="AG1477" t="str">
        <f t="shared" si="452"/>
        <v>0P00</v>
      </c>
      <c r="AH1477" t="str">
        <f t="shared" si="453"/>
        <v>P000</v>
      </c>
      <c r="AI1477" t="str">
        <f t="shared" si="454"/>
        <v>0P00</v>
      </c>
      <c r="AJ1477" t="str">
        <f t="shared" si="455"/>
        <v>P000</v>
      </c>
    </row>
    <row r="1478" spans="1:36" x14ac:dyDescent="0.25">
      <c r="A1478" s="325" t="str">
        <f>CONCATENATE("P",'906MP'!M1178)</f>
        <v>P</v>
      </c>
      <c r="B1478">
        <f>'906MP'!H1178</f>
        <v>0</v>
      </c>
      <c r="C1478">
        <f>'906MP'!J1178</f>
        <v>0</v>
      </c>
      <c r="D1478">
        <f>'906MP'!P1178</f>
        <v>0</v>
      </c>
      <c r="E1478">
        <f>'906MP'!X1178</f>
        <v>0</v>
      </c>
      <c r="F1478" t="str">
        <f t="shared" si="447"/>
        <v>0</v>
      </c>
      <c r="G1478" t="str">
        <f t="shared" si="448"/>
        <v>0</v>
      </c>
      <c r="H1478">
        <f>'906MP'!Y1178</f>
        <v>0</v>
      </c>
      <c r="I1478">
        <f>'906MP'!AK1178</f>
        <v>0</v>
      </c>
      <c r="J1478">
        <f>'906MP'!T1178</f>
        <v>0</v>
      </c>
      <c r="K1478">
        <f>'906MP'!AJ1178</f>
        <v>0</v>
      </c>
      <c r="L1478">
        <f>'906MP'!U1178</f>
        <v>0</v>
      </c>
      <c r="M1478" s="322" t="str">
        <f>IFERROR(VLOOKUP(A1478,PAR!$D$3:$E$53,2,FALSE),"nincs szervezet")</f>
        <v>nincs szervezet</v>
      </c>
      <c r="N1478" s="322" t="str">
        <f>VLOOKUP(F1478,PAR!$R$3:$S$5,2,FALSE)</f>
        <v>3 - egyik sem</v>
      </c>
      <c r="O1478" t="str">
        <f>IFERROR(VLOOKUP(J1478,PAR!$O$3:$P$5,2,FALSE),"nincs feladat")</f>
        <v>nincs feladat</v>
      </c>
      <c r="P1478" t="str">
        <f>IFERROR(VLOOKUP(G1478,PAR!$J$2:$M$19,4),"nincs rovat")</f>
        <v>nincs rovat</v>
      </c>
      <c r="Q1478" t="str">
        <f>IF(H1478&gt;0,VLOOKUP(H1478,PAR!$AA$3:$AC$187,3,FALSE),"nincs főkönyvi számla")</f>
        <v>nincs főkönyvi számla</v>
      </c>
      <c r="R1478" t="str">
        <f>IFERROR(VLOOKUP(K1478,PAR!$V$3:$X$438,3,FALSE),"000000 - Nincs COFOG")</f>
        <v>000000 - Nincs COFOG</v>
      </c>
      <c r="S1478">
        <f t="shared" si="449"/>
        <v>0</v>
      </c>
      <c r="T1478">
        <f t="shared" si="450"/>
        <v>0</v>
      </c>
      <c r="U1478" t="str">
        <f>IF('906MP'!J1178&gt;0,CONCATENATE('906MP'!J1178," - ",'906MP'!P1178,", ",'906MP'!E1178),"nincs megjegyzés")</f>
        <v>nincs megjegyzés</v>
      </c>
      <c r="V1478" t="str">
        <f t="shared" si="437"/>
        <v>0P0</v>
      </c>
      <c r="W1478" t="str">
        <f t="shared" si="438"/>
        <v>0P0</v>
      </c>
      <c r="X1478" t="str">
        <f t="shared" si="439"/>
        <v>P0</v>
      </c>
      <c r="Y1478" t="str">
        <f t="shared" si="440"/>
        <v>00</v>
      </c>
      <c r="Z1478" t="str">
        <f t="shared" si="451"/>
        <v>00</v>
      </c>
      <c r="AA1478" t="str">
        <f t="shared" si="441"/>
        <v>00</v>
      </c>
      <c r="AB1478" t="str">
        <f t="shared" si="442"/>
        <v>00</v>
      </c>
      <c r="AC1478" t="str">
        <f t="shared" si="443"/>
        <v>0P0</v>
      </c>
      <c r="AD1478" t="str">
        <f t="shared" si="444"/>
        <v>P00</v>
      </c>
      <c r="AE1478" t="str">
        <f t="shared" si="445"/>
        <v>0P0</v>
      </c>
      <c r="AF1478" t="str">
        <f t="shared" si="446"/>
        <v>P00</v>
      </c>
      <c r="AG1478" t="str">
        <f t="shared" si="452"/>
        <v>0P00</v>
      </c>
      <c r="AH1478" t="str">
        <f t="shared" si="453"/>
        <v>P000</v>
      </c>
      <c r="AI1478" t="str">
        <f t="shared" si="454"/>
        <v>0P00</v>
      </c>
      <c r="AJ1478" t="str">
        <f t="shared" si="455"/>
        <v>P000</v>
      </c>
    </row>
    <row r="1479" spans="1:36" x14ac:dyDescent="0.25">
      <c r="A1479" s="325" t="str">
        <f>CONCATENATE("P",'906MP'!M1179)</f>
        <v>P</v>
      </c>
      <c r="B1479">
        <f>'906MP'!H1179</f>
        <v>0</v>
      </c>
      <c r="C1479">
        <f>'906MP'!J1179</f>
        <v>0</v>
      </c>
      <c r="D1479">
        <f>'906MP'!P1179</f>
        <v>0</v>
      </c>
      <c r="E1479">
        <f>'906MP'!X1179</f>
        <v>0</v>
      </c>
      <c r="F1479" t="str">
        <f t="shared" si="447"/>
        <v>0</v>
      </c>
      <c r="G1479" t="str">
        <f t="shared" si="448"/>
        <v>0</v>
      </c>
      <c r="H1479">
        <f>'906MP'!Y1179</f>
        <v>0</v>
      </c>
      <c r="I1479">
        <f>'906MP'!AK1179</f>
        <v>0</v>
      </c>
      <c r="J1479">
        <f>'906MP'!T1179</f>
        <v>0</v>
      </c>
      <c r="K1479">
        <f>'906MP'!AJ1179</f>
        <v>0</v>
      </c>
      <c r="L1479">
        <f>'906MP'!U1179</f>
        <v>0</v>
      </c>
      <c r="M1479" s="322" t="str">
        <f>IFERROR(VLOOKUP(A1479,PAR!$D$3:$E$53,2,FALSE),"nincs szervezet")</f>
        <v>nincs szervezet</v>
      </c>
      <c r="N1479" s="322" t="str">
        <f>VLOOKUP(F1479,PAR!$R$3:$S$5,2,FALSE)</f>
        <v>3 - egyik sem</v>
      </c>
      <c r="O1479" t="str">
        <f>IFERROR(VLOOKUP(J1479,PAR!$O$3:$P$5,2,FALSE),"nincs feladat")</f>
        <v>nincs feladat</v>
      </c>
      <c r="P1479" t="str">
        <f>IFERROR(VLOOKUP(G1479,PAR!$J$2:$M$19,4),"nincs rovat")</f>
        <v>nincs rovat</v>
      </c>
      <c r="Q1479" t="str">
        <f>IF(H1479&gt;0,VLOOKUP(H1479,PAR!$AA$3:$AC$187,3,FALSE),"nincs főkönyvi számla")</f>
        <v>nincs főkönyvi számla</v>
      </c>
      <c r="R1479" t="str">
        <f>IFERROR(VLOOKUP(K1479,PAR!$V$3:$X$438,3,FALSE),"000000 - Nincs COFOG")</f>
        <v>000000 - Nincs COFOG</v>
      </c>
      <c r="S1479">
        <f t="shared" si="449"/>
        <v>0</v>
      </c>
      <c r="T1479">
        <f t="shared" si="450"/>
        <v>0</v>
      </c>
      <c r="U1479" t="str">
        <f>IF('906MP'!J1179&gt;0,CONCATENATE('906MP'!J1179," - ",'906MP'!P1179,", ",'906MP'!E1179),"nincs megjegyzés")</f>
        <v>nincs megjegyzés</v>
      </c>
      <c r="V1479" t="str">
        <f t="shared" si="437"/>
        <v>0P0</v>
      </c>
      <c r="W1479" t="str">
        <f t="shared" si="438"/>
        <v>0P0</v>
      </c>
      <c r="X1479" t="str">
        <f t="shared" si="439"/>
        <v>P0</v>
      </c>
      <c r="Y1479" t="str">
        <f t="shared" si="440"/>
        <v>00</v>
      </c>
      <c r="Z1479" t="str">
        <f t="shared" si="451"/>
        <v>00</v>
      </c>
      <c r="AA1479" t="str">
        <f t="shared" si="441"/>
        <v>00</v>
      </c>
      <c r="AB1479" t="str">
        <f t="shared" si="442"/>
        <v>00</v>
      </c>
      <c r="AC1479" t="str">
        <f t="shared" si="443"/>
        <v>0P0</v>
      </c>
      <c r="AD1479" t="str">
        <f t="shared" si="444"/>
        <v>P00</v>
      </c>
      <c r="AE1479" t="str">
        <f t="shared" si="445"/>
        <v>0P0</v>
      </c>
      <c r="AF1479" t="str">
        <f t="shared" si="446"/>
        <v>P00</v>
      </c>
      <c r="AG1479" t="str">
        <f t="shared" si="452"/>
        <v>0P00</v>
      </c>
      <c r="AH1479" t="str">
        <f t="shared" si="453"/>
        <v>P000</v>
      </c>
      <c r="AI1479" t="str">
        <f t="shared" si="454"/>
        <v>0P00</v>
      </c>
      <c r="AJ1479" t="str">
        <f t="shared" si="455"/>
        <v>P000</v>
      </c>
    </row>
    <row r="1480" spans="1:36" x14ac:dyDescent="0.25">
      <c r="A1480" s="325" t="str">
        <f>CONCATENATE("P",'906MP'!M1180)</f>
        <v>P</v>
      </c>
      <c r="B1480">
        <f>'906MP'!H1180</f>
        <v>0</v>
      </c>
      <c r="C1480">
        <f>'906MP'!J1180</f>
        <v>0</v>
      </c>
      <c r="D1480">
        <f>'906MP'!P1180</f>
        <v>0</v>
      </c>
      <c r="E1480">
        <f>'906MP'!X1180</f>
        <v>0</v>
      </c>
      <c r="F1480" t="str">
        <f t="shared" si="447"/>
        <v>0</v>
      </c>
      <c r="G1480" t="str">
        <f t="shared" si="448"/>
        <v>0</v>
      </c>
      <c r="H1480">
        <f>'906MP'!Y1180</f>
        <v>0</v>
      </c>
      <c r="I1480">
        <f>'906MP'!AK1180</f>
        <v>0</v>
      </c>
      <c r="J1480">
        <f>'906MP'!T1180</f>
        <v>0</v>
      </c>
      <c r="K1480">
        <f>'906MP'!AJ1180</f>
        <v>0</v>
      </c>
      <c r="L1480">
        <f>'906MP'!U1180</f>
        <v>0</v>
      </c>
      <c r="M1480" s="322" t="str">
        <f>IFERROR(VLOOKUP(A1480,PAR!$D$3:$E$53,2,FALSE),"nincs szervezet")</f>
        <v>nincs szervezet</v>
      </c>
      <c r="N1480" s="322" t="str">
        <f>VLOOKUP(F1480,PAR!$R$3:$S$5,2,FALSE)</f>
        <v>3 - egyik sem</v>
      </c>
      <c r="O1480" t="str">
        <f>IFERROR(VLOOKUP(J1480,PAR!$O$3:$P$5,2,FALSE),"nincs feladat")</f>
        <v>nincs feladat</v>
      </c>
      <c r="P1480" t="str">
        <f>IFERROR(VLOOKUP(G1480,PAR!$J$2:$M$19,4),"nincs rovat")</f>
        <v>nincs rovat</v>
      </c>
      <c r="Q1480" t="str">
        <f>IF(H1480&gt;0,VLOOKUP(H1480,PAR!$AA$3:$AC$187,3,FALSE),"nincs főkönyvi számla")</f>
        <v>nincs főkönyvi számla</v>
      </c>
      <c r="R1480" t="str">
        <f>IFERROR(VLOOKUP(K1480,PAR!$V$3:$X$438,3,FALSE),"000000 - Nincs COFOG")</f>
        <v>000000 - Nincs COFOG</v>
      </c>
      <c r="S1480">
        <f t="shared" si="449"/>
        <v>0</v>
      </c>
      <c r="T1480">
        <f t="shared" si="450"/>
        <v>0</v>
      </c>
      <c r="U1480" t="str">
        <f>IF('906MP'!J1180&gt;0,CONCATENATE('906MP'!J1180," - ",'906MP'!P1180,", ",'906MP'!E1180),"nincs megjegyzés")</f>
        <v>nincs megjegyzés</v>
      </c>
      <c r="V1480" t="str">
        <f t="shared" si="437"/>
        <v>0P0</v>
      </c>
      <c r="W1480" t="str">
        <f t="shared" si="438"/>
        <v>0P0</v>
      </c>
      <c r="X1480" t="str">
        <f t="shared" si="439"/>
        <v>P0</v>
      </c>
      <c r="Y1480" t="str">
        <f t="shared" si="440"/>
        <v>00</v>
      </c>
      <c r="Z1480" t="str">
        <f t="shared" si="451"/>
        <v>00</v>
      </c>
      <c r="AA1480" t="str">
        <f t="shared" si="441"/>
        <v>00</v>
      </c>
      <c r="AB1480" t="str">
        <f t="shared" si="442"/>
        <v>00</v>
      </c>
      <c r="AC1480" t="str">
        <f t="shared" si="443"/>
        <v>0P0</v>
      </c>
      <c r="AD1480" t="str">
        <f t="shared" si="444"/>
        <v>P00</v>
      </c>
      <c r="AE1480" t="str">
        <f t="shared" si="445"/>
        <v>0P0</v>
      </c>
      <c r="AF1480" t="str">
        <f t="shared" si="446"/>
        <v>P00</v>
      </c>
      <c r="AG1480" t="str">
        <f t="shared" si="452"/>
        <v>0P00</v>
      </c>
      <c r="AH1480" t="str">
        <f t="shared" si="453"/>
        <v>P000</v>
      </c>
      <c r="AI1480" t="str">
        <f t="shared" si="454"/>
        <v>0P00</v>
      </c>
      <c r="AJ1480" t="str">
        <f t="shared" si="455"/>
        <v>P000</v>
      </c>
    </row>
    <row r="1481" spans="1:36" x14ac:dyDescent="0.25">
      <c r="A1481" s="325" t="str">
        <f>CONCATENATE("P",'906MP'!M1181)</f>
        <v>P</v>
      </c>
      <c r="B1481">
        <f>'906MP'!H1181</f>
        <v>0</v>
      </c>
      <c r="C1481">
        <f>'906MP'!J1181</f>
        <v>0</v>
      </c>
      <c r="D1481">
        <f>'906MP'!P1181</f>
        <v>0</v>
      </c>
      <c r="E1481">
        <f>'906MP'!X1181</f>
        <v>0</v>
      </c>
      <c r="F1481" t="str">
        <f t="shared" si="447"/>
        <v>0</v>
      </c>
      <c r="G1481" t="str">
        <f t="shared" si="448"/>
        <v>0</v>
      </c>
      <c r="H1481">
        <f>'906MP'!Y1181</f>
        <v>0</v>
      </c>
      <c r="I1481">
        <f>'906MP'!AK1181</f>
        <v>0</v>
      </c>
      <c r="J1481">
        <f>'906MP'!T1181</f>
        <v>0</v>
      </c>
      <c r="K1481">
        <f>'906MP'!AJ1181</f>
        <v>0</v>
      </c>
      <c r="L1481">
        <f>'906MP'!U1181</f>
        <v>0</v>
      </c>
      <c r="M1481" s="322" t="str">
        <f>IFERROR(VLOOKUP(A1481,PAR!$D$3:$E$53,2,FALSE),"nincs szervezet")</f>
        <v>nincs szervezet</v>
      </c>
      <c r="N1481" s="322" t="str">
        <f>VLOOKUP(F1481,PAR!$R$3:$S$5,2,FALSE)</f>
        <v>3 - egyik sem</v>
      </c>
      <c r="O1481" t="str">
        <f>IFERROR(VLOOKUP(J1481,PAR!$O$3:$P$5,2,FALSE),"nincs feladat")</f>
        <v>nincs feladat</v>
      </c>
      <c r="P1481" t="str">
        <f>IFERROR(VLOOKUP(G1481,PAR!$J$2:$M$19,4),"nincs rovat")</f>
        <v>nincs rovat</v>
      </c>
      <c r="Q1481" t="str">
        <f>IF(H1481&gt;0,VLOOKUP(H1481,PAR!$AA$3:$AC$187,3,FALSE),"nincs főkönyvi számla")</f>
        <v>nincs főkönyvi számla</v>
      </c>
      <c r="R1481" t="str">
        <f>IFERROR(VLOOKUP(K1481,PAR!$V$3:$X$438,3,FALSE),"000000 - Nincs COFOG")</f>
        <v>000000 - Nincs COFOG</v>
      </c>
      <c r="S1481">
        <f t="shared" si="449"/>
        <v>0</v>
      </c>
      <c r="T1481">
        <f t="shared" si="450"/>
        <v>0</v>
      </c>
      <c r="U1481" t="str">
        <f>IF('906MP'!J1181&gt;0,CONCATENATE('906MP'!J1181," - ",'906MP'!P1181,", ",'906MP'!E1181),"nincs megjegyzés")</f>
        <v>nincs megjegyzés</v>
      </c>
      <c r="V1481" t="str">
        <f t="shared" si="437"/>
        <v>0P0</v>
      </c>
      <c r="W1481" t="str">
        <f t="shared" si="438"/>
        <v>0P0</v>
      </c>
      <c r="X1481" t="str">
        <f t="shared" si="439"/>
        <v>P0</v>
      </c>
      <c r="Y1481" t="str">
        <f t="shared" si="440"/>
        <v>00</v>
      </c>
      <c r="Z1481" t="str">
        <f t="shared" si="451"/>
        <v>00</v>
      </c>
      <c r="AA1481" t="str">
        <f t="shared" si="441"/>
        <v>00</v>
      </c>
      <c r="AB1481" t="str">
        <f t="shared" si="442"/>
        <v>00</v>
      </c>
      <c r="AC1481" t="str">
        <f t="shared" si="443"/>
        <v>0P0</v>
      </c>
      <c r="AD1481" t="str">
        <f t="shared" si="444"/>
        <v>P00</v>
      </c>
      <c r="AE1481" t="str">
        <f t="shared" si="445"/>
        <v>0P0</v>
      </c>
      <c r="AF1481" t="str">
        <f t="shared" si="446"/>
        <v>P00</v>
      </c>
      <c r="AG1481" t="str">
        <f t="shared" si="452"/>
        <v>0P00</v>
      </c>
      <c r="AH1481" t="str">
        <f t="shared" si="453"/>
        <v>P000</v>
      </c>
      <c r="AI1481" t="str">
        <f t="shared" si="454"/>
        <v>0P00</v>
      </c>
      <c r="AJ1481" t="str">
        <f t="shared" si="455"/>
        <v>P000</v>
      </c>
    </row>
    <row r="1482" spans="1:36" x14ac:dyDescent="0.25">
      <c r="A1482" s="325" t="str">
        <f>CONCATENATE("P",'906MP'!M1182)</f>
        <v>P</v>
      </c>
      <c r="B1482">
        <f>'906MP'!H1182</f>
        <v>0</v>
      </c>
      <c r="C1482">
        <f>'906MP'!J1182</f>
        <v>0</v>
      </c>
      <c r="D1482">
        <f>'906MP'!P1182</f>
        <v>0</v>
      </c>
      <c r="E1482">
        <f>'906MP'!X1182</f>
        <v>0</v>
      </c>
      <c r="F1482" t="str">
        <f t="shared" si="447"/>
        <v>0</v>
      </c>
      <c r="G1482" t="str">
        <f t="shared" si="448"/>
        <v>0</v>
      </c>
      <c r="H1482">
        <f>'906MP'!Y1182</f>
        <v>0</v>
      </c>
      <c r="I1482">
        <f>'906MP'!AK1182</f>
        <v>0</v>
      </c>
      <c r="J1482">
        <f>'906MP'!T1182</f>
        <v>0</v>
      </c>
      <c r="K1482">
        <f>'906MP'!AJ1182</f>
        <v>0</v>
      </c>
      <c r="L1482">
        <f>'906MP'!U1182</f>
        <v>0</v>
      </c>
      <c r="M1482" s="322" t="str">
        <f>IFERROR(VLOOKUP(A1482,PAR!$D$3:$E$53,2,FALSE),"nincs szervezet")</f>
        <v>nincs szervezet</v>
      </c>
      <c r="N1482" s="322" t="str">
        <f>VLOOKUP(F1482,PAR!$R$3:$S$5,2,FALSE)</f>
        <v>3 - egyik sem</v>
      </c>
      <c r="O1482" t="str">
        <f>IFERROR(VLOOKUP(J1482,PAR!$O$3:$P$5,2,FALSE),"nincs feladat")</f>
        <v>nincs feladat</v>
      </c>
      <c r="P1482" t="str">
        <f>IFERROR(VLOOKUP(G1482,PAR!$J$2:$M$19,4),"nincs rovat")</f>
        <v>nincs rovat</v>
      </c>
      <c r="Q1482" t="str">
        <f>IF(H1482&gt;0,VLOOKUP(H1482,PAR!$AA$3:$AC$187,3,FALSE),"nincs főkönyvi számla")</f>
        <v>nincs főkönyvi számla</v>
      </c>
      <c r="R1482" t="str">
        <f>IFERROR(VLOOKUP(K1482,PAR!$V$3:$X$438,3,FALSE),"000000 - Nincs COFOG")</f>
        <v>000000 - Nincs COFOG</v>
      </c>
      <c r="S1482">
        <f t="shared" si="449"/>
        <v>0</v>
      </c>
      <c r="T1482">
        <f t="shared" si="450"/>
        <v>0</v>
      </c>
      <c r="U1482" t="str">
        <f>IF('906MP'!J1182&gt;0,CONCATENATE('906MP'!J1182," - ",'906MP'!P1182,", ",'906MP'!E1182),"nincs megjegyzés")</f>
        <v>nincs megjegyzés</v>
      </c>
      <c r="V1482" t="str">
        <f t="shared" si="437"/>
        <v>0P0</v>
      </c>
      <c r="W1482" t="str">
        <f t="shared" si="438"/>
        <v>0P0</v>
      </c>
      <c r="X1482" t="str">
        <f t="shared" si="439"/>
        <v>P0</v>
      </c>
      <c r="Y1482" t="str">
        <f t="shared" si="440"/>
        <v>00</v>
      </c>
      <c r="Z1482" t="str">
        <f t="shared" si="451"/>
        <v>00</v>
      </c>
      <c r="AA1482" t="str">
        <f t="shared" si="441"/>
        <v>00</v>
      </c>
      <c r="AB1482" t="str">
        <f t="shared" si="442"/>
        <v>00</v>
      </c>
      <c r="AC1482" t="str">
        <f t="shared" si="443"/>
        <v>0P0</v>
      </c>
      <c r="AD1482" t="str">
        <f t="shared" si="444"/>
        <v>P00</v>
      </c>
      <c r="AE1482" t="str">
        <f t="shared" si="445"/>
        <v>0P0</v>
      </c>
      <c r="AF1482" t="str">
        <f t="shared" si="446"/>
        <v>P00</v>
      </c>
      <c r="AG1482" t="str">
        <f t="shared" si="452"/>
        <v>0P00</v>
      </c>
      <c r="AH1482" t="str">
        <f t="shared" si="453"/>
        <v>P000</v>
      </c>
      <c r="AI1482" t="str">
        <f t="shared" si="454"/>
        <v>0P00</v>
      </c>
      <c r="AJ1482" t="str">
        <f t="shared" si="455"/>
        <v>P000</v>
      </c>
    </row>
    <row r="1483" spans="1:36" x14ac:dyDescent="0.25">
      <c r="A1483" s="325" t="str">
        <f>CONCATENATE("P",'906MP'!M1183)</f>
        <v>P</v>
      </c>
      <c r="B1483">
        <f>'906MP'!H1183</f>
        <v>0</v>
      </c>
      <c r="C1483">
        <f>'906MP'!J1183</f>
        <v>0</v>
      </c>
      <c r="D1483">
        <f>'906MP'!P1183</f>
        <v>0</v>
      </c>
      <c r="E1483">
        <f>'906MP'!X1183</f>
        <v>0</v>
      </c>
      <c r="F1483" t="str">
        <f t="shared" si="447"/>
        <v>0</v>
      </c>
      <c r="G1483" t="str">
        <f t="shared" si="448"/>
        <v>0</v>
      </c>
      <c r="H1483">
        <f>'906MP'!Y1183</f>
        <v>0</v>
      </c>
      <c r="I1483">
        <f>'906MP'!AK1183</f>
        <v>0</v>
      </c>
      <c r="J1483">
        <f>'906MP'!T1183</f>
        <v>0</v>
      </c>
      <c r="K1483">
        <f>'906MP'!AJ1183</f>
        <v>0</v>
      </c>
      <c r="L1483">
        <f>'906MP'!U1183</f>
        <v>0</v>
      </c>
      <c r="M1483" s="322" t="str">
        <f>IFERROR(VLOOKUP(A1483,PAR!$D$3:$E$53,2,FALSE),"nincs szervezet")</f>
        <v>nincs szervezet</v>
      </c>
      <c r="N1483" s="322" t="str">
        <f>VLOOKUP(F1483,PAR!$R$3:$S$5,2,FALSE)</f>
        <v>3 - egyik sem</v>
      </c>
      <c r="O1483" t="str">
        <f>IFERROR(VLOOKUP(J1483,PAR!$O$3:$P$5,2,FALSE),"nincs feladat")</f>
        <v>nincs feladat</v>
      </c>
      <c r="P1483" t="str">
        <f>IFERROR(VLOOKUP(G1483,PAR!$J$2:$M$19,4),"nincs rovat")</f>
        <v>nincs rovat</v>
      </c>
      <c r="Q1483" t="str">
        <f>IF(H1483&gt;0,VLOOKUP(H1483,PAR!$AA$3:$AC$187,3,FALSE),"nincs főkönyvi számla")</f>
        <v>nincs főkönyvi számla</v>
      </c>
      <c r="R1483" t="str">
        <f>IFERROR(VLOOKUP(K1483,PAR!$V$3:$X$438,3,FALSE),"000000 - Nincs COFOG")</f>
        <v>000000 - Nincs COFOG</v>
      </c>
      <c r="S1483">
        <f t="shared" si="449"/>
        <v>0</v>
      </c>
      <c r="T1483">
        <f t="shared" si="450"/>
        <v>0</v>
      </c>
      <c r="U1483" t="str">
        <f>IF('906MP'!J1183&gt;0,CONCATENATE('906MP'!J1183," - ",'906MP'!P1183,", ",'906MP'!E1183),"nincs megjegyzés")</f>
        <v>nincs megjegyzés</v>
      </c>
      <c r="V1483" t="str">
        <f t="shared" si="437"/>
        <v>0P0</v>
      </c>
      <c r="W1483" t="str">
        <f t="shared" si="438"/>
        <v>0P0</v>
      </c>
      <c r="X1483" t="str">
        <f t="shared" si="439"/>
        <v>P0</v>
      </c>
      <c r="Y1483" t="str">
        <f t="shared" si="440"/>
        <v>00</v>
      </c>
      <c r="Z1483" t="str">
        <f t="shared" si="451"/>
        <v>00</v>
      </c>
      <c r="AA1483" t="str">
        <f t="shared" si="441"/>
        <v>00</v>
      </c>
      <c r="AB1483" t="str">
        <f t="shared" si="442"/>
        <v>00</v>
      </c>
      <c r="AC1483" t="str">
        <f t="shared" si="443"/>
        <v>0P0</v>
      </c>
      <c r="AD1483" t="str">
        <f t="shared" si="444"/>
        <v>P00</v>
      </c>
      <c r="AE1483" t="str">
        <f t="shared" si="445"/>
        <v>0P0</v>
      </c>
      <c r="AF1483" t="str">
        <f t="shared" si="446"/>
        <v>P00</v>
      </c>
      <c r="AG1483" t="str">
        <f t="shared" si="452"/>
        <v>0P00</v>
      </c>
      <c r="AH1483" t="str">
        <f t="shared" si="453"/>
        <v>P000</v>
      </c>
      <c r="AI1483" t="str">
        <f t="shared" si="454"/>
        <v>0P00</v>
      </c>
      <c r="AJ1483" t="str">
        <f t="shared" si="455"/>
        <v>P000</v>
      </c>
    </row>
    <row r="1484" spans="1:36" x14ac:dyDescent="0.25">
      <c r="A1484" s="325" t="str">
        <f>CONCATENATE("P",'906MP'!M1184)</f>
        <v>P</v>
      </c>
      <c r="B1484">
        <f>'906MP'!H1184</f>
        <v>0</v>
      </c>
      <c r="C1484">
        <f>'906MP'!J1184</f>
        <v>0</v>
      </c>
      <c r="D1484">
        <f>'906MP'!P1184</f>
        <v>0</v>
      </c>
      <c r="E1484">
        <f>'906MP'!X1184</f>
        <v>0</v>
      </c>
      <c r="F1484" t="str">
        <f t="shared" si="447"/>
        <v>0</v>
      </c>
      <c r="G1484" t="str">
        <f t="shared" si="448"/>
        <v>0</v>
      </c>
      <c r="H1484">
        <f>'906MP'!Y1184</f>
        <v>0</v>
      </c>
      <c r="I1484">
        <f>'906MP'!AK1184</f>
        <v>0</v>
      </c>
      <c r="J1484">
        <f>'906MP'!T1184</f>
        <v>0</v>
      </c>
      <c r="K1484">
        <f>'906MP'!AJ1184</f>
        <v>0</v>
      </c>
      <c r="L1484">
        <f>'906MP'!U1184</f>
        <v>0</v>
      </c>
      <c r="M1484" s="322" t="str">
        <f>IFERROR(VLOOKUP(A1484,PAR!$D$3:$E$53,2,FALSE),"nincs szervezet")</f>
        <v>nincs szervezet</v>
      </c>
      <c r="N1484" s="322" t="str">
        <f>VLOOKUP(F1484,PAR!$R$3:$S$5,2,FALSE)</f>
        <v>3 - egyik sem</v>
      </c>
      <c r="O1484" t="str">
        <f>IFERROR(VLOOKUP(J1484,PAR!$O$3:$P$5,2,FALSE),"nincs feladat")</f>
        <v>nincs feladat</v>
      </c>
      <c r="P1484" t="str">
        <f>IFERROR(VLOOKUP(G1484,PAR!$J$2:$M$19,4),"nincs rovat")</f>
        <v>nincs rovat</v>
      </c>
      <c r="Q1484" t="str">
        <f>IF(H1484&gt;0,VLOOKUP(H1484,PAR!$AA$3:$AC$187,3,FALSE),"nincs főkönyvi számla")</f>
        <v>nincs főkönyvi számla</v>
      </c>
      <c r="R1484" t="str">
        <f>IFERROR(VLOOKUP(K1484,PAR!$V$3:$X$438,3,FALSE),"000000 - Nincs COFOG")</f>
        <v>000000 - Nincs COFOG</v>
      </c>
      <c r="S1484">
        <f t="shared" si="449"/>
        <v>0</v>
      </c>
      <c r="T1484">
        <f t="shared" si="450"/>
        <v>0</v>
      </c>
      <c r="U1484" t="str">
        <f>IF('906MP'!J1184&gt;0,CONCATENATE('906MP'!J1184," - ",'906MP'!P1184,", ",'906MP'!E1184),"nincs megjegyzés")</f>
        <v>nincs megjegyzés</v>
      </c>
      <c r="V1484" t="str">
        <f t="shared" si="437"/>
        <v>0P0</v>
      </c>
      <c r="W1484" t="str">
        <f t="shared" si="438"/>
        <v>0P0</v>
      </c>
      <c r="X1484" t="str">
        <f t="shared" si="439"/>
        <v>P0</v>
      </c>
      <c r="Y1484" t="str">
        <f t="shared" si="440"/>
        <v>00</v>
      </c>
      <c r="Z1484" t="str">
        <f t="shared" si="451"/>
        <v>00</v>
      </c>
      <c r="AA1484" t="str">
        <f t="shared" si="441"/>
        <v>00</v>
      </c>
      <c r="AB1484" t="str">
        <f t="shared" si="442"/>
        <v>00</v>
      </c>
      <c r="AC1484" t="str">
        <f t="shared" si="443"/>
        <v>0P0</v>
      </c>
      <c r="AD1484" t="str">
        <f t="shared" si="444"/>
        <v>P00</v>
      </c>
      <c r="AE1484" t="str">
        <f t="shared" si="445"/>
        <v>0P0</v>
      </c>
      <c r="AF1484" t="str">
        <f t="shared" si="446"/>
        <v>P00</v>
      </c>
      <c r="AG1484" t="str">
        <f t="shared" si="452"/>
        <v>0P00</v>
      </c>
      <c r="AH1484" t="str">
        <f t="shared" si="453"/>
        <v>P000</v>
      </c>
      <c r="AI1484" t="str">
        <f t="shared" si="454"/>
        <v>0P00</v>
      </c>
      <c r="AJ1484" t="str">
        <f t="shared" si="455"/>
        <v>P000</v>
      </c>
    </row>
    <row r="1485" spans="1:36" x14ac:dyDescent="0.25">
      <c r="A1485" s="325" t="str">
        <f>CONCATENATE("P",'906MP'!M1185)</f>
        <v>P</v>
      </c>
      <c r="B1485">
        <f>'906MP'!H1185</f>
        <v>0</v>
      </c>
      <c r="C1485">
        <f>'906MP'!J1185</f>
        <v>0</v>
      </c>
      <c r="D1485">
        <f>'906MP'!P1185</f>
        <v>0</v>
      </c>
      <c r="E1485">
        <f>'906MP'!X1185</f>
        <v>0</v>
      </c>
      <c r="F1485" t="str">
        <f t="shared" si="447"/>
        <v>0</v>
      </c>
      <c r="G1485" t="str">
        <f t="shared" si="448"/>
        <v>0</v>
      </c>
      <c r="H1485">
        <f>'906MP'!Y1185</f>
        <v>0</v>
      </c>
      <c r="I1485">
        <f>'906MP'!AK1185</f>
        <v>0</v>
      </c>
      <c r="J1485">
        <f>'906MP'!T1185</f>
        <v>0</v>
      </c>
      <c r="K1485">
        <f>'906MP'!AJ1185</f>
        <v>0</v>
      </c>
      <c r="L1485">
        <f>'906MP'!U1185</f>
        <v>0</v>
      </c>
      <c r="M1485" s="322" t="str">
        <f>IFERROR(VLOOKUP(A1485,PAR!$D$3:$E$53,2,FALSE),"nincs szervezet")</f>
        <v>nincs szervezet</v>
      </c>
      <c r="N1485" s="322" t="str">
        <f>VLOOKUP(F1485,PAR!$R$3:$S$5,2,FALSE)</f>
        <v>3 - egyik sem</v>
      </c>
      <c r="O1485" t="str">
        <f>IFERROR(VLOOKUP(J1485,PAR!$O$3:$P$5,2,FALSE),"nincs feladat")</f>
        <v>nincs feladat</v>
      </c>
      <c r="P1485" t="str">
        <f>IFERROR(VLOOKUP(G1485,PAR!$J$2:$M$19,4),"nincs rovat")</f>
        <v>nincs rovat</v>
      </c>
      <c r="Q1485" t="str">
        <f>IF(H1485&gt;0,VLOOKUP(H1485,PAR!$AA$3:$AC$187,3,FALSE),"nincs főkönyvi számla")</f>
        <v>nincs főkönyvi számla</v>
      </c>
      <c r="R1485" t="str">
        <f>IFERROR(VLOOKUP(K1485,PAR!$V$3:$X$438,3,FALSE),"000000 - Nincs COFOG")</f>
        <v>000000 - Nincs COFOG</v>
      </c>
      <c r="S1485">
        <f t="shared" si="449"/>
        <v>0</v>
      </c>
      <c r="T1485">
        <f t="shared" si="450"/>
        <v>0</v>
      </c>
      <c r="U1485" t="str">
        <f>IF('906MP'!J1185&gt;0,CONCATENATE('906MP'!J1185," - ",'906MP'!P1185,", ",'906MP'!E1185),"nincs megjegyzés")</f>
        <v>nincs megjegyzés</v>
      </c>
      <c r="V1485" t="str">
        <f t="shared" si="437"/>
        <v>0P0</v>
      </c>
      <c r="W1485" t="str">
        <f t="shared" si="438"/>
        <v>0P0</v>
      </c>
      <c r="X1485" t="str">
        <f t="shared" si="439"/>
        <v>P0</v>
      </c>
      <c r="Y1485" t="str">
        <f t="shared" si="440"/>
        <v>00</v>
      </c>
      <c r="Z1485" t="str">
        <f t="shared" si="451"/>
        <v>00</v>
      </c>
      <c r="AA1485" t="str">
        <f t="shared" si="441"/>
        <v>00</v>
      </c>
      <c r="AB1485" t="str">
        <f t="shared" si="442"/>
        <v>00</v>
      </c>
      <c r="AC1485" t="str">
        <f t="shared" si="443"/>
        <v>0P0</v>
      </c>
      <c r="AD1485" t="str">
        <f t="shared" si="444"/>
        <v>P00</v>
      </c>
      <c r="AE1485" t="str">
        <f t="shared" si="445"/>
        <v>0P0</v>
      </c>
      <c r="AF1485" t="str">
        <f t="shared" si="446"/>
        <v>P00</v>
      </c>
      <c r="AG1485" t="str">
        <f t="shared" si="452"/>
        <v>0P00</v>
      </c>
      <c r="AH1485" t="str">
        <f t="shared" si="453"/>
        <v>P000</v>
      </c>
      <c r="AI1485" t="str">
        <f t="shared" si="454"/>
        <v>0P00</v>
      </c>
      <c r="AJ1485" t="str">
        <f t="shared" si="455"/>
        <v>P000</v>
      </c>
    </row>
    <row r="1486" spans="1:36" x14ac:dyDescent="0.25">
      <c r="A1486" s="325" t="str">
        <f>CONCATENATE("P",'906MP'!M1186)</f>
        <v>P</v>
      </c>
      <c r="B1486">
        <f>'906MP'!H1186</f>
        <v>0</v>
      </c>
      <c r="C1486">
        <f>'906MP'!J1186</f>
        <v>0</v>
      </c>
      <c r="D1486">
        <f>'906MP'!P1186</f>
        <v>0</v>
      </c>
      <c r="E1486">
        <f>'906MP'!X1186</f>
        <v>0</v>
      </c>
      <c r="F1486" t="str">
        <f t="shared" si="447"/>
        <v>0</v>
      </c>
      <c r="G1486" t="str">
        <f t="shared" si="448"/>
        <v>0</v>
      </c>
      <c r="H1486">
        <f>'906MP'!Y1186</f>
        <v>0</v>
      </c>
      <c r="I1486">
        <f>'906MP'!AK1186</f>
        <v>0</v>
      </c>
      <c r="J1486">
        <f>'906MP'!T1186</f>
        <v>0</v>
      </c>
      <c r="K1486">
        <f>'906MP'!AJ1186</f>
        <v>0</v>
      </c>
      <c r="L1486">
        <f>'906MP'!U1186</f>
        <v>0</v>
      </c>
      <c r="M1486" s="322" t="str">
        <f>IFERROR(VLOOKUP(A1486,PAR!$D$3:$E$53,2,FALSE),"nincs szervezet")</f>
        <v>nincs szervezet</v>
      </c>
      <c r="N1486" s="322" t="str">
        <f>VLOOKUP(F1486,PAR!$R$3:$S$5,2,FALSE)</f>
        <v>3 - egyik sem</v>
      </c>
      <c r="O1486" t="str">
        <f>IFERROR(VLOOKUP(J1486,PAR!$O$3:$P$5,2,FALSE),"nincs feladat")</f>
        <v>nincs feladat</v>
      </c>
      <c r="P1486" t="str">
        <f>IFERROR(VLOOKUP(G1486,PAR!$J$2:$M$19,4),"nincs rovat")</f>
        <v>nincs rovat</v>
      </c>
      <c r="Q1486" t="str">
        <f>IF(H1486&gt;0,VLOOKUP(H1486,PAR!$AA$3:$AC$187,3,FALSE),"nincs főkönyvi számla")</f>
        <v>nincs főkönyvi számla</v>
      </c>
      <c r="R1486" t="str">
        <f>IFERROR(VLOOKUP(K1486,PAR!$V$3:$X$438,3,FALSE),"000000 - Nincs COFOG")</f>
        <v>000000 - Nincs COFOG</v>
      </c>
      <c r="S1486">
        <f t="shared" si="449"/>
        <v>0</v>
      </c>
      <c r="T1486">
        <f t="shared" si="450"/>
        <v>0</v>
      </c>
      <c r="U1486" t="str">
        <f>IF('906MP'!J1186&gt;0,CONCATENATE('906MP'!J1186," - ",'906MP'!P1186,", ",'906MP'!E1186),"nincs megjegyzés")</f>
        <v>nincs megjegyzés</v>
      </c>
      <c r="V1486" t="str">
        <f t="shared" si="437"/>
        <v>0P0</v>
      </c>
      <c r="W1486" t="str">
        <f t="shared" si="438"/>
        <v>0P0</v>
      </c>
      <c r="X1486" t="str">
        <f t="shared" si="439"/>
        <v>P0</v>
      </c>
      <c r="Y1486" t="str">
        <f t="shared" si="440"/>
        <v>00</v>
      </c>
      <c r="Z1486" t="str">
        <f t="shared" si="451"/>
        <v>00</v>
      </c>
      <c r="AA1486" t="str">
        <f t="shared" si="441"/>
        <v>00</v>
      </c>
      <c r="AB1486" t="str">
        <f t="shared" si="442"/>
        <v>00</v>
      </c>
      <c r="AC1486" t="str">
        <f t="shared" si="443"/>
        <v>0P0</v>
      </c>
      <c r="AD1486" t="str">
        <f t="shared" si="444"/>
        <v>P00</v>
      </c>
      <c r="AE1486" t="str">
        <f t="shared" si="445"/>
        <v>0P0</v>
      </c>
      <c r="AF1486" t="str">
        <f t="shared" si="446"/>
        <v>P00</v>
      </c>
      <c r="AG1486" t="str">
        <f t="shared" si="452"/>
        <v>0P00</v>
      </c>
      <c r="AH1486" t="str">
        <f t="shared" si="453"/>
        <v>P000</v>
      </c>
      <c r="AI1486" t="str">
        <f t="shared" si="454"/>
        <v>0P00</v>
      </c>
      <c r="AJ1486" t="str">
        <f t="shared" si="455"/>
        <v>P000</v>
      </c>
    </row>
    <row r="1487" spans="1:36" x14ac:dyDescent="0.25">
      <c r="A1487" s="325" t="str">
        <f>CONCATENATE("P",'906MP'!M1187)</f>
        <v>P</v>
      </c>
      <c r="B1487">
        <f>'906MP'!H1187</f>
        <v>0</v>
      </c>
      <c r="C1487">
        <f>'906MP'!J1187</f>
        <v>0</v>
      </c>
      <c r="D1487">
        <f>'906MP'!P1187</f>
        <v>0</v>
      </c>
      <c r="E1487">
        <f>'906MP'!X1187</f>
        <v>0</v>
      </c>
      <c r="F1487" t="str">
        <f t="shared" si="447"/>
        <v>0</v>
      </c>
      <c r="G1487" t="str">
        <f t="shared" si="448"/>
        <v>0</v>
      </c>
      <c r="H1487">
        <f>'906MP'!Y1187</f>
        <v>0</v>
      </c>
      <c r="I1487">
        <f>'906MP'!AK1187</f>
        <v>0</v>
      </c>
      <c r="J1487">
        <f>'906MP'!T1187</f>
        <v>0</v>
      </c>
      <c r="K1487">
        <f>'906MP'!AJ1187</f>
        <v>0</v>
      </c>
      <c r="L1487">
        <f>'906MP'!U1187</f>
        <v>0</v>
      </c>
      <c r="M1487" s="322" t="str">
        <f>IFERROR(VLOOKUP(A1487,PAR!$D$3:$E$53,2,FALSE),"nincs szervezet")</f>
        <v>nincs szervezet</v>
      </c>
      <c r="N1487" s="322" t="str">
        <f>VLOOKUP(F1487,PAR!$R$3:$S$5,2,FALSE)</f>
        <v>3 - egyik sem</v>
      </c>
      <c r="O1487" t="str">
        <f>IFERROR(VLOOKUP(J1487,PAR!$O$3:$P$5,2,FALSE),"nincs feladat")</f>
        <v>nincs feladat</v>
      </c>
      <c r="P1487" t="str">
        <f>IFERROR(VLOOKUP(G1487,PAR!$J$2:$M$19,4),"nincs rovat")</f>
        <v>nincs rovat</v>
      </c>
      <c r="Q1487" t="str">
        <f>IF(H1487&gt;0,VLOOKUP(H1487,PAR!$AA$3:$AC$187,3,FALSE),"nincs főkönyvi számla")</f>
        <v>nincs főkönyvi számla</v>
      </c>
      <c r="R1487" t="str">
        <f>IFERROR(VLOOKUP(K1487,PAR!$V$3:$X$438,3,FALSE),"000000 - Nincs COFOG")</f>
        <v>000000 - Nincs COFOG</v>
      </c>
      <c r="S1487">
        <f t="shared" si="449"/>
        <v>0</v>
      </c>
      <c r="T1487">
        <f t="shared" si="450"/>
        <v>0</v>
      </c>
      <c r="U1487" t="str">
        <f>IF('906MP'!J1187&gt;0,CONCATENATE('906MP'!J1187," - ",'906MP'!P1187,", ",'906MP'!E1187),"nincs megjegyzés")</f>
        <v>nincs megjegyzés</v>
      </c>
      <c r="V1487" t="str">
        <f t="shared" si="437"/>
        <v>0P0</v>
      </c>
      <c r="W1487" t="str">
        <f t="shared" si="438"/>
        <v>0P0</v>
      </c>
      <c r="X1487" t="str">
        <f t="shared" si="439"/>
        <v>P0</v>
      </c>
      <c r="Y1487" t="str">
        <f t="shared" si="440"/>
        <v>00</v>
      </c>
      <c r="Z1487" t="str">
        <f t="shared" si="451"/>
        <v>00</v>
      </c>
      <c r="AA1487" t="str">
        <f t="shared" si="441"/>
        <v>00</v>
      </c>
      <c r="AB1487" t="str">
        <f t="shared" si="442"/>
        <v>00</v>
      </c>
      <c r="AC1487" t="str">
        <f t="shared" si="443"/>
        <v>0P0</v>
      </c>
      <c r="AD1487" t="str">
        <f t="shared" si="444"/>
        <v>P00</v>
      </c>
      <c r="AE1487" t="str">
        <f t="shared" si="445"/>
        <v>0P0</v>
      </c>
      <c r="AF1487" t="str">
        <f t="shared" si="446"/>
        <v>P00</v>
      </c>
      <c r="AG1487" t="str">
        <f t="shared" si="452"/>
        <v>0P00</v>
      </c>
      <c r="AH1487" t="str">
        <f t="shared" si="453"/>
        <v>P000</v>
      </c>
      <c r="AI1487" t="str">
        <f t="shared" si="454"/>
        <v>0P00</v>
      </c>
      <c r="AJ1487" t="str">
        <f t="shared" si="455"/>
        <v>P000</v>
      </c>
    </row>
    <row r="1488" spans="1:36" x14ac:dyDescent="0.25">
      <c r="A1488" s="325" t="str">
        <f>CONCATENATE("P",'906MP'!M1188)</f>
        <v>P</v>
      </c>
      <c r="B1488">
        <f>'906MP'!H1188</f>
        <v>0</v>
      </c>
      <c r="C1488">
        <f>'906MP'!J1188</f>
        <v>0</v>
      </c>
      <c r="D1488">
        <f>'906MP'!P1188</f>
        <v>0</v>
      </c>
      <c r="E1488">
        <f>'906MP'!X1188</f>
        <v>0</v>
      </c>
      <c r="F1488" t="str">
        <f t="shared" si="447"/>
        <v>0</v>
      </c>
      <c r="G1488" t="str">
        <f t="shared" si="448"/>
        <v>0</v>
      </c>
      <c r="H1488">
        <f>'906MP'!Y1188</f>
        <v>0</v>
      </c>
      <c r="I1488">
        <f>'906MP'!AK1188</f>
        <v>0</v>
      </c>
      <c r="J1488">
        <f>'906MP'!T1188</f>
        <v>0</v>
      </c>
      <c r="K1488">
        <f>'906MP'!AJ1188</f>
        <v>0</v>
      </c>
      <c r="L1488">
        <f>'906MP'!U1188</f>
        <v>0</v>
      </c>
      <c r="M1488" s="322" t="str">
        <f>IFERROR(VLOOKUP(A1488,PAR!$D$3:$E$53,2,FALSE),"nincs szervezet")</f>
        <v>nincs szervezet</v>
      </c>
      <c r="N1488" s="322" t="str">
        <f>VLOOKUP(F1488,PAR!$R$3:$S$5,2,FALSE)</f>
        <v>3 - egyik sem</v>
      </c>
      <c r="O1488" t="str">
        <f>IFERROR(VLOOKUP(J1488,PAR!$O$3:$P$5,2,FALSE),"nincs feladat")</f>
        <v>nincs feladat</v>
      </c>
      <c r="P1488" t="str">
        <f>IFERROR(VLOOKUP(G1488,PAR!$J$2:$M$19,4),"nincs rovat")</f>
        <v>nincs rovat</v>
      </c>
      <c r="Q1488" t="str">
        <f>IF(H1488&gt;0,VLOOKUP(H1488,PAR!$AA$3:$AC$187,3,FALSE),"nincs főkönyvi számla")</f>
        <v>nincs főkönyvi számla</v>
      </c>
      <c r="R1488" t="str">
        <f>IFERROR(VLOOKUP(K1488,PAR!$V$3:$X$438,3,FALSE),"000000 - Nincs COFOG")</f>
        <v>000000 - Nincs COFOG</v>
      </c>
      <c r="S1488">
        <f t="shared" si="449"/>
        <v>0</v>
      </c>
      <c r="T1488">
        <f t="shared" si="450"/>
        <v>0</v>
      </c>
      <c r="U1488" t="str">
        <f>IF('906MP'!J1188&gt;0,CONCATENATE('906MP'!J1188," - ",'906MP'!P1188,", ",'906MP'!E1188),"nincs megjegyzés")</f>
        <v>nincs megjegyzés</v>
      </c>
      <c r="V1488" t="str">
        <f t="shared" si="437"/>
        <v>0P0</v>
      </c>
      <c r="W1488" t="str">
        <f t="shared" si="438"/>
        <v>0P0</v>
      </c>
      <c r="X1488" t="str">
        <f t="shared" si="439"/>
        <v>P0</v>
      </c>
      <c r="Y1488" t="str">
        <f t="shared" si="440"/>
        <v>00</v>
      </c>
      <c r="Z1488" t="str">
        <f t="shared" si="451"/>
        <v>00</v>
      </c>
      <c r="AA1488" t="str">
        <f t="shared" si="441"/>
        <v>00</v>
      </c>
      <c r="AB1488" t="str">
        <f t="shared" si="442"/>
        <v>00</v>
      </c>
      <c r="AC1488" t="str">
        <f t="shared" si="443"/>
        <v>0P0</v>
      </c>
      <c r="AD1488" t="str">
        <f t="shared" si="444"/>
        <v>P00</v>
      </c>
      <c r="AE1488" t="str">
        <f t="shared" si="445"/>
        <v>0P0</v>
      </c>
      <c r="AF1488" t="str">
        <f t="shared" si="446"/>
        <v>P00</v>
      </c>
      <c r="AG1488" t="str">
        <f t="shared" si="452"/>
        <v>0P00</v>
      </c>
      <c r="AH1488" t="str">
        <f t="shared" si="453"/>
        <v>P000</v>
      </c>
      <c r="AI1488" t="str">
        <f t="shared" si="454"/>
        <v>0P00</v>
      </c>
      <c r="AJ1488" t="str">
        <f t="shared" si="455"/>
        <v>P000</v>
      </c>
    </row>
    <row r="1489" spans="1:36" x14ac:dyDescent="0.25">
      <c r="A1489" s="325" t="str">
        <f>CONCATENATE("P",'906MP'!M1189)</f>
        <v>P</v>
      </c>
      <c r="B1489">
        <f>'906MP'!H1189</f>
        <v>0</v>
      </c>
      <c r="C1489">
        <f>'906MP'!J1189</f>
        <v>0</v>
      </c>
      <c r="D1489">
        <f>'906MP'!P1189</f>
        <v>0</v>
      </c>
      <c r="E1489">
        <f>'906MP'!X1189</f>
        <v>0</v>
      </c>
      <c r="F1489" t="str">
        <f t="shared" si="447"/>
        <v>0</v>
      </c>
      <c r="G1489" t="str">
        <f t="shared" si="448"/>
        <v>0</v>
      </c>
      <c r="H1489">
        <f>'906MP'!Y1189</f>
        <v>0</v>
      </c>
      <c r="I1489">
        <f>'906MP'!AK1189</f>
        <v>0</v>
      </c>
      <c r="J1489">
        <f>'906MP'!T1189</f>
        <v>0</v>
      </c>
      <c r="K1489">
        <f>'906MP'!AJ1189</f>
        <v>0</v>
      </c>
      <c r="L1489">
        <f>'906MP'!U1189</f>
        <v>0</v>
      </c>
      <c r="M1489" s="322" t="str">
        <f>IFERROR(VLOOKUP(A1489,PAR!$D$3:$E$53,2,FALSE),"nincs szervezet")</f>
        <v>nincs szervezet</v>
      </c>
      <c r="N1489" s="322" t="str">
        <f>VLOOKUP(F1489,PAR!$R$3:$S$5,2,FALSE)</f>
        <v>3 - egyik sem</v>
      </c>
      <c r="O1489" t="str">
        <f>IFERROR(VLOOKUP(J1489,PAR!$O$3:$P$5,2,FALSE),"nincs feladat")</f>
        <v>nincs feladat</v>
      </c>
      <c r="P1489" t="str">
        <f>IFERROR(VLOOKUP(G1489,PAR!$J$2:$M$19,4),"nincs rovat")</f>
        <v>nincs rovat</v>
      </c>
      <c r="Q1489" t="str">
        <f>IF(H1489&gt;0,VLOOKUP(H1489,PAR!$AA$3:$AC$187,3,FALSE),"nincs főkönyvi számla")</f>
        <v>nincs főkönyvi számla</v>
      </c>
      <c r="R1489" t="str">
        <f>IFERROR(VLOOKUP(K1489,PAR!$V$3:$X$438,3,FALSE),"000000 - Nincs COFOG")</f>
        <v>000000 - Nincs COFOG</v>
      </c>
      <c r="S1489">
        <f t="shared" si="449"/>
        <v>0</v>
      </c>
      <c r="T1489">
        <f t="shared" si="450"/>
        <v>0</v>
      </c>
      <c r="U1489" t="str">
        <f>IF('906MP'!J1189&gt;0,CONCATENATE('906MP'!J1189," - ",'906MP'!P1189,", ",'906MP'!E1189),"nincs megjegyzés")</f>
        <v>nincs megjegyzés</v>
      </c>
      <c r="V1489" t="str">
        <f t="shared" si="437"/>
        <v>0P0</v>
      </c>
      <c r="W1489" t="str">
        <f t="shared" si="438"/>
        <v>0P0</v>
      </c>
      <c r="X1489" t="str">
        <f t="shared" si="439"/>
        <v>P0</v>
      </c>
      <c r="Y1489" t="str">
        <f t="shared" si="440"/>
        <v>00</v>
      </c>
      <c r="Z1489" t="str">
        <f t="shared" si="451"/>
        <v>00</v>
      </c>
      <c r="AA1489" t="str">
        <f t="shared" si="441"/>
        <v>00</v>
      </c>
      <c r="AB1489" t="str">
        <f t="shared" si="442"/>
        <v>00</v>
      </c>
      <c r="AC1489" t="str">
        <f t="shared" si="443"/>
        <v>0P0</v>
      </c>
      <c r="AD1489" t="str">
        <f t="shared" si="444"/>
        <v>P00</v>
      </c>
      <c r="AE1489" t="str">
        <f t="shared" si="445"/>
        <v>0P0</v>
      </c>
      <c r="AF1489" t="str">
        <f t="shared" si="446"/>
        <v>P00</v>
      </c>
      <c r="AG1489" t="str">
        <f t="shared" si="452"/>
        <v>0P00</v>
      </c>
      <c r="AH1489" t="str">
        <f t="shared" si="453"/>
        <v>P000</v>
      </c>
      <c r="AI1489" t="str">
        <f t="shared" si="454"/>
        <v>0P00</v>
      </c>
      <c r="AJ1489" t="str">
        <f t="shared" si="455"/>
        <v>P000</v>
      </c>
    </row>
    <row r="1490" spans="1:36" x14ac:dyDescent="0.25">
      <c r="A1490" s="325" t="str">
        <f>CONCATENATE("P",'906MP'!M1190)</f>
        <v>P</v>
      </c>
      <c r="B1490">
        <f>'906MP'!H1190</f>
        <v>0</v>
      </c>
      <c r="C1490">
        <f>'906MP'!J1190</f>
        <v>0</v>
      </c>
      <c r="D1490">
        <f>'906MP'!P1190</f>
        <v>0</v>
      </c>
      <c r="E1490">
        <f>'906MP'!X1190</f>
        <v>0</v>
      </c>
      <c r="F1490" t="str">
        <f t="shared" si="447"/>
        <v>0</v>
      </c>
      <c r="G1490" t="str">
        <f t="shared" si="448"/>
        <v>0</v>
      </c>
      <c r="H1490">
        <f>'906MP'!Y1190</f>
        <v>0</v>
      </c>
      <c r="I1490">
        <f>'906MP'!AK1190</f>
        <v>0</v>
      </c>
      <c r="J1490">
        <f>'906MP'!T1190</f>
        <v>0</v>
      </c>
      <c r="K1490">
        <f>'906MP'!AJ1190</f>
        <v>0</v>
      </c>
      <c r="L1490">
        <f>'906MP'!U1190</f>
        <v>0</v>
      </c>
      <c r="M1490" s="322" t="str">
        <f>IFERROR(VLOOKUP(A1490,PAR!$D$3:$E$53,2,FALSE),"nincs szervezet")</f>
        <v>nincs szervezet</v>
      </c>
      <c r="N1490" s="322" t="str">
        <f>VLOOKUP(F1490,PAR!$R$3:$S$5,2,FALSE)</f>
        <v>3 - egyik sem</v>
      </c>
      <c r="O1490" t="str">
        <f>IFERROR(VLOOKUP(J1490,PAR!$O$3:$P$5,2,FALSE),"nincs feladat")</f>
        <v>nincs feladat</v>
      </c>
      <c r="P1490" t="str">
        <f>IFERROR(VLOOKUP(G1490,PAR!$J$2:$M$19,4),"nincs rovat")</f>
        <v>nincs rovat</v>
      </c>
      <c r="Q1490" t="str">
        <f>IF(H1490&gt;0,VLOOKUP(H1490,PAR!$AA$3:$AC$187,3,FALSE),"nincs főkönyvi számla")</f>
        <v>nincs főkönyvi számla</v>
      </c>
      <c r="R1490" t="str">
        <f>IFERROR(VLOOKUP(K1490,PAR!$V$3:$X$438,3,FALSE),"000000 - Nincs COFOG")</f>
        <v>000000 - Nincs COFOG</v>
      </c>
      <c r="S1490">
        <f t="shared" si="449"/>
        <v>0</v>
      </c>
      <c r="T1490">
        <f t="shared" si="450"/>
        <v>0</v>
      </c>
      <c r="U1490" t="str">
        <f>IF('906MP'!J1190&gt;0,CONCATENATE('906MP'!J1190," - ",'906MP'!P1190,", ",'906MP'!E1190),"nincs megjegyzés")</f>
        <v>nincs megjegyzés</v>
      </c>
      <c r="V1490" t="str">
        <f t="shared" si="437"/>
        <v>0P0</v>
      </c>
      <c r="W1490" t="str">
        <f t="shared" si="438"/>
        <v>0P0</v>
      </c>
      <c r="X1490" t="str">
        <f t="shared" si="439"/>
        <v>P0</v>
      </c>
      <c r="Y1490" t="str">
        <f t="shared" si="440"/>
        <v>00</v>
      </c>
      <c r="Z1490" t="str">
        <f t="shared" si="451"/>
        <v>00</v>
      </c>
      <c r="AA1490" t="str">
        <f t="shared" si="441"/>
        <v>00</v>
      </c>
      <c r="AB1490" t="str">
        <f t="shared" si="442"/>
        <v>00</v>
      </c>
      <c r="AC1490" t="str">
        <f t="shared" si="443"/>
        <v>0P0</v>
      </c>
      <c r="AD1490" t="str">
        <f t="shared" si="444"/>
        <v>P00</v>
      </c>
      <c r="AE1490" t="str">
        <f t="shared" si="445"/>
        <v>0P0</v>
      </c>
      <c r="AF1490" t="str">
        <f t="shared" si="446"/>
        <v>P00</v>
      </c>
      <c r="AG1490" t="str">
        <f t="shared" si="452"/>
        <v>0P00</v>
      </c>
      <c r="AH1490" t="str">
        <f t="shared" si="453"/>
        <v>P000</v>
      </c>
      <c r="AI1490" t="str">
        <f t="shared" si="454"/>
        <v>0P00</v>
      </c>
      <c r="AJ1490" t="str">
        <f t="shared" si="455"/>
        <v>P000</v>
      </c>
    </row>
    <row r="1491" spans="1:36" x14ac:dyDescent="0.25">
      <c r="A1491" s="325" t="str">
        <f>CONCATENATE("P",'906MP'!M1191)</f>
        <v>P</v>
      </c>
      <c r="B1491">
        <f>'906MP'!H1191</f>
        <v>0</v>
      </c>
      <c r="C1491">
        <f>'906MP'!J1191</f>
        <v>0</v>
      </c>
      <c r="D1491">
        <f>'906MP'!P1191</f>
        <v>0</v>
      </c>
      <c r="E1491">
        <f>'906MP'!X1191</f>
        <v>0</v>
      </c>
      <c r="F1491" t="str">
        <f t="shared" si="447"/>
        <v>0</v>
      </c>
      <c r="G1491" t="str">
        <f t="shared" si="448"/>
        <v>0</v>
      </c>
      <c r="H1491">
        <f>'906MP'!Y1191</f>
        <v>0</v>
      </c>
      <c r="I1491">
        <f>'906MP'!AK1191</f>
        <v>0</v>
      </c>
      <c r="J1491">
        <f>'906MP'!T1191</f>
        <v>0</v>
      </c>
      <c r="K1491">
        <f>'906MP'!AJ1191</f>
        <v>0</v>
      </c>
      <c r="L1491">
        <f>'906MP'!U1191</f>
        <v>0</v>
      </c>
      <c r="M1491" s="322" t="str">
        <f>IFERROR(VLOOKUP(A1491,PAR!$D$3:$E$53,2,FALSE),"nincs szervezet")</f>
        <v>nincs szervezet</v>
      </c>
      <c r="N1491" s="322" t="str">
        <f>VLOOKUP(F1491,PAR!$R$3:$S$5,2,FALSE)</f>
        <v>3 - egyik sem</v>
      </c>
      <c r="O1491" t="str">
        <f>IFERROR(VLOOKUP(J1491,PAR!$O$3:$P$5,2,FALSE),"nincs feladat")</f>
        <v>nincs feladat</v>
      </c>
      <c r="P1491" t="str">
        <f>IFERROR(VLOOKUP(G1491,PAR!$J$2:$M$19,4),"nincs rovat")</f>
        <v>nincs rovat</v>
      </c>
      <c r="Q1491" t="str">
        <f>IF(H1491&gt;0,VLOOKUP(H1491,PAR!$AA$3:$AC$187,3,FALSE),"nincs főkönyvi számla")</f>
        <v>nincs főkönyvi számla</v>
      </c>
      <c r="R1491" t="str">
        <f>IFERROR(VLOOKUP(K1491,PAR!$V$3:$X$438,3,FALSE),"000000 - Nincs COFOG")</f>
        <v>000000 - Nincs COFOG</v>
      </c>
      <c r="S1491">
        <f t="shared" si="449"/>
        <v>0</v>
      </c>
      <c r="T1491">
        <f t="shared" si="450"/>
        <v>0</v>
      </c>
      <c r="U1491" t="str">
        <f>IF('906MP'!J1191&gt;0,CONCATENATE('906MP'!J1191," - ",'906MP'!P1191,", ",'906MP'!E1191),"nincs megjegyzés")</f>
        <v>nincs megjegyzés</v>
      </c>
      <c r="V1491" t="str">
        <f t="shared" si="437"/>
        <v>0P0</v>
      </c>
      <c r="W1491" t="str">
        <f t="shared" si="438"/>
        <v>0P0</v>
      </c>
      <c r="X1491" t="str">
        <f t="shared" si="439"/>
        <v>P0</v>
      </c>
      <c r="Y1491" t="str">
        <f t="shared" si="440"/>
        <v>00</v>
      </c>
      <c r="Z1491" t="str">
        <f t="shared" si="451"/>
        <v>00</v>
      </c>
      <c r="AA1491" t="str">
        <f t="shared" si="441"/>
        <v>00</v>
      </c>
      <c r="AB1491" t="str">
        <f t="shared" si="442"/>
        <v>00</v>
      </c>
      <c r="AC1491" t="str">
        <f t="shared" si="443"/>
        <v>0P0</v>
      </c>
      <c r="AD1491" t="str">
        <f t="shared" si="444"/>
        <v>P00</v>
      </c>
      <c r="AE1491" t="str">
        <f t="shared" si="445"/>
        <v>0P0</v>
      </c>
      <c r="AF1491" t="str">
        <f t="shared" si="446"/>
        <v>P00</v>
      </c>
      <c r="AG1491" t="str">
        <f t="shared" si="452"/>
        <v>0P00</v>
      </c>
      <c r="AH1491" t="str">
        <f t="shared" si="453"/>
        <v>P000</v>
      </c>
      <c r="AI1491" t="str">
        <f t="shared" si="454"/>
        <v>0P00</v>
      </c>
      <c r="AJ1491" t="str">
        <f t="shared" si="455"/>
        <v>P000</v>
      </c>
    </row>
    <row r="1492" spans="1:36" x14ac:dyDescent="0.25">
      <c r="A1492" s="325" t="str">
        <f>CONCATENATE("P",'906MP'!M1192)</f>
        <v>P</v>
      </c>
      <c r="B1492">
        <f>'906MP'!H1192</f>
        <v>0</v>
      </c>
      <c r="C1492">
        <f>'906MP'!J1192</f>
        <v>0</v>
      </c>
      <c r="D1492">
        <f>'906MP'!P1192</f>
        <v>0</v>
      </c>
      <c r="E1492">
        <f>'906MP'!X1192</f>
        <v>0</v>
      </c>
      <c r="F1492" t="str">
        <f t="shared" si="447"/>
        <v>0</v>
      </c>
      <c r="G1492" t="str">
        <f t="shared" si="448"/>
        <v>0</v>
      </c>
      <c r="H1492">
        <f>'906MP'!Y1192</f>
        <v>0</v>
      </c>
      <c r="I1492">
        <f>'906MP'!AK1192</f>
        <v>0</v>
      </c>
      <c r="J1492">
        <f>'906MP'!T1192</f>
        <v>0</v>
      </c>
      <c r="K1492">
        <f>'906MP'!AJ1192</f>
        <v>0</v>
      </c>
      <c r="L1492">
        <f>'906MP'!U1192</f>
        <v>0</v>
      </c>
      <c r="M1492" s="322" t="str">
        <f>IFERROR(VLOOKUP(A1492,PAR!$D$3:$E$53,2,FALSE),"nincs szervezet")</f>
        <v>nincs szervezet</v>
      </c>
      <c r="N1492" s="322" t="str">
        <f>VLOOKUP(F1492,PAR!$R$3:$S$5,2,FALSE)</f>
        <v>3 - egyik sem</v>
      </c>
      <c r="O1492" t="str">
        <f>IFERROR(VLOOKUP(J1492,PAR!$O$3:$P$5,2,FALSE),"nincs feladat")</f>
        <v>nincs feladat</v>
      </c>
      <c r="P1492" t="str">
        <f>IFERROR(VLOOKUP(G1492,PAR!$J$2:$M$19,4),"nincs rovat")</f>
        <v>nincs rovat</v>
      </c>
      <c r="Q1492" t="str">
        <f>IF(H1492&gt;0,VLOOKUP(H1492,PAR!$AA$3:$AC$187,3,FALSE),"nincs főkönyvi számla")</f>
        <v>nincs főkönyvi számla</v>
      </c>
      <c r="R1492" t="str">
        <f>IFERROR(VLOOKUP(K1492,PAR!$V$3:$X$438,3,FALSE),"000000 - Nincs COFOG")</f>
        <v>000000 - Nincs COFOG</v>
      </c>
      <c r="S1492">
        <f t="shared" si="449"/>
        <v>0</v>
      </c>
      <c r="T1492">
        <f t="shared" si="450"/>
        <v>0</v>
      </c>
      <c r="U1492" t="str">
        <f>IF('906MP'!J1192&gt;0,CONCATENATE('906MP'!J1192," - ",'906MP'!P1192,", ",'906MP'!E1192),"nincs megjegyzés")</f>
        <v>nincs megjegyzés</v>
      </c>
      <c r="V1492" t="str">
        <f t="shared" si="437"/>
        <v>0P0</v>
      </c>
      <c r="W1492" t="str">
        <f t="shared" si="438"/>
        <v>0P0</v>
      </c>
      <c r="X1492" t="str">
        <f t="shared" si="439"/>
        <v>P0</v>
      </c>
      <c r="Y1492" t="str">
        <f t="shared" si="440"/>
        <v>00</v>
      </c>
      <c r="Z1492" t="str">
        <f t="shared" si="451"/>
        <v>00</v>
      </c>
      <c r="AA1492" t="str">
        <f t="shared" si="441"/>
        <v>00</v>
      </c>
      <c r="AB1492" t="str">
        <f t="shared" si="442"/>
        <v>00</v>
      </c>
      <c r="AC1492" t="str">
        <f t="shared" si="443"/>
        <v>0P0</v>
      </c>
      <c r="AD1492" t="str">
        <f t="shared" si="444"/>
        <v>P00</v>
      </c>
      <c r="AE1492" t="str">
        <f t="shared" si="445"/>
        <v>0P0</v>
      </c>
      <c r="AF1492" t="str">
        <f t="shared" si="446"/>
        <v>P00</v>
      </c>
      <c r="AG1492" t="str">
        <f t="shared" si="452"/>
        <v>0P00</v>
      </c>
      <c r="AH1492" t="str">
        <f t="shared" si="453"/>
        <v>P000</v>
      </c>
      <c r="AI1492" t="str">
        <f t="shared" si="454"/>
        <v>0P00</v>
      </c>
      <c r="AJ1492" t="str">
        <f t="shared" si="455"/>
        <v>P000</v>
      </c>
    </row>
    <row r="1493" spans="1:36" x14ac:dyDescent="0.25">
      <c r="A1493" s="325" t="str">
        <f>CONCATENATE("P",'906MP'!M1193)</f>
        <v>P</v>
      </c>
      <c r="B1493">
        <f>'906MP'!H1193</f>
        <v>0</v>
      </c>
      <c r="C1493">
        <f>'906MP'!J1193</f>
        <v>0</v>
      </c>
      <c r="D1493">
        <f>'906MP'!P1193</f>
        <v>0</v>
      </c>
      <c r="E1493">
        <f>'906MP'!X1193</f>
        <v>0</v>
      </c>
      <c r="F1493" t="str">
        <f t="shared" si="447"/>
        <v>0</v>
      </c>
      <c r="G1493" t="str">
        <f t="shared" si="448"/>
        <v>0</v>
      </c>
      <c r="H1493">
        <f>'906MP'!Y1193</f>
        <v>0</v>
      </c>
      <c r="I1493">
        <f>'906MP'!AK1193</f>
        <v>0</v>
      </c>
      <c r="J1493">
        <f>'906MP'!T1193</f>
        <v>0</v>
      </c>
      <c r="K1493">
        <f>'906MP'!AJ1193</f>
        <v>0</v>
      </c>
      <c r="L1493">
        <f>'906MP'!U1193</f>
        <v>0</v>
      </c>
      <c r="M1493" s="322" t="str">
        <f>IFERROR(VLOOKUP(A1493,PAR!$D$3:$E$53,2,FALSE),"nincs szervezet")</f>
        <v>nincs szervezet</v>
      </c>
      <c r="N1493" s="322" t="str">
        <f>VLOOKUP(F1493,PAR!$R$3:$S$5,2,FALSE)</f>
        <v>3 - egyik sem</v>
      </c>
      <c r="O1493" t="str">
        <f>IFERROR(VLOOKUP(J1493,PAR!$O$3:$P$5,2,FALSE),"nincs feladat")</f>
        <v>nincs feladat</v>
      </c>
      <c r="P1493" t="str">
        <f>IFERROR(VLOOKUP(G1493,PAR!$J$2:$M$19,4),"nincs rovat")</f>
        <v>nincs rovat</v>
      </c>
      <c r="Q1493" t="str">
        <f>IF(H1493&gt;0,VLOOKUP(H1493,PAR!$AA$3:$AC$187,3,FALSE),"nincs főkönyvi számla")</f>
        <v>nincs főkönyvi számla</v>
      </c>
      <c r="R1493" t="str">
        <f>IFERROR(VLOOKUP(K1493,PAR!$V$3:$X$438,3,FALSE),"000000 - Nincs COFOG")</f>
        <v>000000 - Nincs COFOG</v>
      </c>
      <c r="S1493">
        <f t="shared" si="449"/>
        <v>0</v>
      </c>
      <c r="T1493">
        <f t="shared" si="450"/>
        <v>0</v>
      </c>
      <c r="U1493" t="str">
        <f>IF('906MP'!J1193&gt;0,CONCATENATE('906MP'!J1193," - ",'906MP'!P1193,", ",'906MP'!E1193),"nincs megjegyzés")</f>
        <v>nincs megjegyzés</v>
      </c>
      <c r="V1493" t="str">
        <f t="shared" si="437"/>
        <v>0P0</v>
      </c>
      <c r="W1493" t="str">
        <f t="shared" si="438"/>
        <v>0P0</v>
      </c>
      <c r="X1493" t="str">
        <f t="shared" si="439"/>
        <v>P0</v>
      </c>
      <c r="Y1493" t="str">
        <f t="shared" si="440"/>
        <v>00</v>
      </c>
      <c r="Z1493" t="str">
        <f t="shared" si="451"/>
        <v>00</v>
      </c>
      <c r="AA1493" t="str">
        <f t="shared" si="441"/>
        <v>00</v>
      </c>
      <c r="AB1493" t="str">
        <f t="shared" si="442"/>
        <v>00</v>
      </c>
      <c r="AC1493" t="str">
        <f t="shared" si="443"/>
        <v>0P0</v>
      </c>
      <c r="AD1493" t="str">
        <f t="shared" si="444"/>
        <v>P00</v>
      </c>
      <c r="AE1493" t="str">
        <f t="shared" si="445"/>
        <v>0P0</v>
      </c>
      <c r="AF1493" t="str">
        <f t="shared" si="446"/>
        <v>P00</v>
      </c>
      <c r="AG1493" t="str">
        <f t="shared" si="452"/>
        <v>0P00</v>
      </c>
      <c r="AH1493" t="str">
        <f t="shared" si="453"/>
        <v>P000</v>
      </c>
      <c r="AI1493" t="str">
        <f t="shared" si="454"/>
        <v>0P00</v>
      </c>
      <c r="AJ1493" t="str">
        <f t="shared" si="455"/>
        <v>P000</v>
      </c>
    </row>
    <row r="1494" spans="1:36" x14ac:dyDescent="0.25">
      <c r="A1494" s="325" t="str">
        <f>CONCATENATE("P",'906MP'!M1194)</f>
        <v>P</v>
      </c>
      <c r="B1494">
        <f>'906MP'!H1194</f>
        <v>0</v>
      </c>
      <c r="C1494">
        <f>'906MP'!J1194</f>
        <v>0</v>
      </c>
      <c r="D1494">
        <f>'906MP'!P1194</f>
        <v>0</v>
      </c>
      <c r="E1494">
        <f>'906MP'!X1194</f>
        <v>0</v>
      </c>
      <c r="F1494" t="str">
        <f t="shared" si="447"/>
        <v>0</v>
      </c>
      <c r="G1494" t="str">
        <f t="shared" si="448"/>
        <v>0</v>
      </c>
      <c r="H1494">
        <f>'906MP'!Y1194</f>
        <v>0</v>
      </c>
      <c r="I1494">
        <f>'906MP'!AK1194</f>
        <v>0</v>
      </c>
      <c r="J1494">
        <f>'906MP'!T1194</f>
        <v>0</v>
      </c>
      <c r="K1494">
        <f>'906MP'!AJ1194</f>
        <v>0</v>
      </c>
      <c r="L1494">
        <f>'906MP'!U1194</f>
        <v>0</v>
      </c>
      <c r="M1494" s="322" t="str">
        <f>IFERROR(VLOOKUP(A1494,PAR!$D$3:$E$53,2,FALSE),"nincs szervezet")</f>
        <v>nincs szervezet</v>
      </c>
      <c r="N1494" s="322" t="str">
        <f>VLOOKUP(F1494,PAR!$R$3:$S$5,2,FALSE)</f>
        <v>3 - egyik sem</v>
      </c>
      <c r="O1494" t="str">
        <f>IFERROR(VLOOKUP(J1494,PAR!$O$3:$P$5,2,FALSE),"nincs feladat")</f>
        <v>nincs feladat</v>
      </c>
      <c r="P1494" t="str">
        <f>IFERROR(VLOOKUP(G1494,PAR!$J$2:$M$19,4),"nincs rovat")</f>
        <v>nincs rovat</v>
      </c>
      <c r="Q1494" t="str">
        <f>IF(H1494&gt;0,VLOOKUP(H1494,PAR!$AA$3:$AC$187,3,FALSE),"nincs főkönyvi számla")</f>
        <v>nincs főkönyvi számla</v>
      </c>
      <c r="R1494" t="str">
        <f>IFERROR(VLOOKUP(K1494,PAR!$V$3:$X$438,3,FALSE),"000000 - Nincs COFOG")</f>
        <v>000000 - Nincs COFOG</v>
      </c>
      <c r="S1494">
        <f t="shared" si="449"/>
        <v>0</v>
      </c>
      <c r="T1494">
        <f t="shared" si="450"/>
        <v>0</v>
      </c>
      <c r="U1494" t="str">
        <f>IF('906MP'!J1194&gt;0,CONCATENATE('906MP'!J1194," - ",'906MP'!P1194,", ",'906MP'!E1194),"nincs megjegyzés")</f>
        <v>nincs megjegyzés</v>
      </c>
      <c r="V1494" t="str">
        <f t="shared" si="437"/>
        <v>0P0</v>
      </c>
      <c r="W1494" t="str">
        <f t="shared" si="438"/>
        <v>0P0</v>
      </c>
      <c r="X1494" t="str">
        <f t="shared" si="439"/>
        <v>P0</v>
      </c>
      <c r="Y1494" t="str">
        <f t="shared" si="440"/>
        <v>00</v>
      </c>
      <c r="Z1494" t="str">
        <f t="shared" si="451"/>
        <v>00</v>
      </c>
      <c r="AA1494" t="str">
        <f t="shared" si="441"/>
        <v>00</v>
      </c>
      <c r="AB1494" t="str">
        <f t="shared" si="442"/>
        <v>00</v>
      </c>
      <c r="AC1494" t="str">
        <f t="shared" si="443"/>
        <v>0P0</v>
      </c>
      <c r="AD1494" t="str">
        <f t="shared" si="444"/>
        <v>P00</v>
      </c>
      <c r="AE1494" t="str">
        <f t="shared" si="445"/>
        <v>0P0</v>
      </c>
      <c r="AF1494" t="str">
        <f t="shared" si="446"/>
        <v>P00</v>
      </c>
      <c r="AG1494" t="str">
        <f t="shared" si="452"/>
        <v>0P00</v>
      </c>
      <c r="AH1494" t="str">
        <f t="shared" si="453"/>
        <v>P000</v>
      </c>
      <c r="AI1494" t="str">
        <f t="shared" si="454"/>
        <v>0P00</v>
      </c>
      <c r="AJ1494" t="str">
        <f t="shared" si="455"/>
        <v>P000</v>
      </c>
    </row>
    <row r="1495" spans="1:36" x14ac:dyDescent="0.25">
      <c r="A1495" s="325" t="str">
        <f>CONCATENATE("P",'906MP'!M1195)</f>
        <v>P</v>
      </c>
      <c r="B1495">
        <f>'906MP'!H1195</f>
        <v>0</v>
      </c>
      <c r="C1495">
        <f>'906MP'!J1195</f>
        <v>0</v>
      </c>
      <c r="D1495">
        <f>'906MP'!P1195</f>
        <v>0</v>
      </c>
      <c r="E1495">
        <f>'906MP'!X1195</f>
        <v>0</v>
      </c>
      <c r="F1495" t="str">
        <f t="shared" si="447"/>
        <v>0</v>
      </c>
      <c r="G1495" t="str">
        <f t="shared" si="448"/>
        <v>0</v>
      </c>
      <c r="H1495">
        <f>'906MP'!Y1195</f>
        <v>0</v>
      </c>
      <c r="I1495">
        <f>'906MP'!AK1195</f>
        <v>0</v>
      </c>
      <c r="J1495">
        <f>'906MP'!T1195</f>
        <v>0</v>
      </c>
      <c r="K1495">
        <f>'906MP'!AJ1195</f>
        <v>0</v>
      </c>
      <c r="L1495">
        <f>'906MP'!U1195</f>
        <v>0</v>
      </c>
      <c r="M1495" s="322" t="str">
        <f>IFERROR(VLOOKUP(A1495,PAR!$D$3:$E$53,2,FALSE),"nincs szervezet")</f>
        <v>nincs szervezet</v>
      </c>
      <c r="N1495" s="322" t="str">
        <f>VLOOKUP(F1495,PAR!$R$3:$S$5,2,FALSE)</f>
        <v>3 - egyik sem</v>
      </c>
      <c r="O1495" t="str">
        <f>IFERROR(VLOOKUP(J1495,PAR!$O$3:$P$5,2,FALSE),"nincs feladat")</f>
        <v>nincs feladat</v>
      </c>
      <c r="P1495" t="str">
        <f>IFERROR(VLOOKUP(G1495,PAR!$J$2:$M$19,4),"nincs rovat")</f>
        <v>nincs rovat</v>
      </c>
      <c r="Q1495" t="str">
        <f>IF(H1495&gt;0,VLOOKUP(H1495,PAR!$AA$3:$AC$187,3,FALSE),"nincs főkönyvi számla")</f>
        <v>nincs főkönyvi számla</v>
      </c>
      <c r="R1495" t="str">
        <f>IFERROR(VLOOKUP(K1495,PAR!$V$3:$X$438,3,FALSE),"000000 - Nincs COFOG")</f>
        <v>000000 - Nincs COFOG</v>
      </c>
      <c r="S1495">
        <f t="shared" si="449"/>
        <v>0</v>
      </c>
      <c r="T1495">
        <f t="shared" si="450"/>
        <v>0</v>
      </c>
      <c r="U1495" t="str">
        <f>IF('906MP'!J1195&gt;0,CONCATENATE('906MP'!J1195," - ",'906MP'!P1195,", ",'906MP'!E1195),"nincs megjegyzés")</f>
        <v>nincs megjegyzés</v>
      </c>
      <c r="V1495" t="str">
        <f t="shared" si="437"/>
        <v>0P0</v>
      </c>
      <c r="W1495" t="str">
        <f t="shared" si="438"/>
        <v>0P0</v>
      </c>
      <c r="X1495" t="str">
        <f t="shared" si="439"/>
        <v>P0</v>
      </c>
      <c r="Y1495" t="str">
        <f t="shared" si="440"/>
        <v>00</v>
      </c>
      <c r="Z1495" t="str">
        <f t="shared" si="451"/>
        <v>00</v>
      </c>
      <c r="AA1495" t="str">
        <f t="shared" si="441"/>
        <v>00</v>
      </c>
      <c r="AB1495" t="str">
        <f t="shared" si="442"/>
        <v>00</v>
      </c>
      <c r="AC1495" t="str">
        <f t="shared" si="443"/>
        <v>0P0</v>
      </c>
      <c r="AD1495" t="str">
        <f t="shared" si="444"/>
        <v>P00</v>
      </c>
      <c r="AE1495" t="str">
        <f t="shared" si="445"/>
        <v>0P0</v>
      </c>
      <c r="AF1495" t="str">
        <f t="shared" si="446"/>
        <v>P00</v>
      </c>
      <c r="AG1495" t="str">
        <f t="shared" si="452"/>
        <v>0P00</v>
      </c>
      <c r="AH1495" t="str">
        <f t="shared" si="453"/>
        <v>P000</v>
      </c>
      <c r="AI1495" t="str">
        <f t="shared" si="454"/>
        <v>0P00</v>
      </c>
      <c r="AJ1495" t="str">
        <f t="shared" si="455"/>
        <v>P000</v>
      </c>
    </row>
    <row r="1496" spans="1:36" x14ac:dyDescent="0.25">
      <c r="A1496" s="325" t="str">
        <f>CONCATENATE("P",'906MP'!M1196)</f>
        <v>P</v>
      </c>
      <c r="B1496">
        <f>'906MP'!H1196</f>
        <v>0</v>
      </c>
      <c r="C1496">
        <f>'906MP'!J1196</f>
        <v>0</v>
      </c>
      <c r="D1496">
        <f>'906MP'!P1196</f>
        <v>0</v>
      </c>
      <c r="E1496">
        <f>'906MP'!X1196</f>
        <v>0</v>
      </c>
      <c r="F1496" t="str">
        <f t="shared" si="447"/>
        <v>0</v>
      </c>
      <c r="G1496" t="str">
        <f t="shared" si="448"/>
        <v>0</v>
      </c>
      <c r="H1496">
        <f>'906MP'!Y1196</f>
        <v>0</v>
      </c>
      <c r="I1496">
        <f>'906MP'!AK1196</f>
        <v>0</v>
      </c>
      <c r="J1496">
        <f>'906MP'!T1196</f>
        <v>0</v>
      </c>
      <c r="K1496">
        <f>'906MP'!AJ1196</f>
        <v>0</v>
      </c>
      <c r="L1496">
        <f>'906MP'!U1196</f>
        <v>0</v>
      </c>
      <c r="M1496" s="322" t="str">
        <f>IFERROR(VLOOKUP(A1496,PAR!$D$3:$E$53,2,FALSE),"nincs szervezet")</f>
        <v>nincs szervezet</v>
      </c>
      <c r="N1496" s="322" t="str">
        <f>VLOOKUP(F1496,PAR!$R$3:$S$5,2,FALSE)</f>
        <v>3 - egyik sem</v>
      </c>
      <c r="O1496" t="str">
        <f>IFERROR(VLOOKUP(J1496,PAR!$O$3:$P$5,2,FALSE),"nincs feladat")</f>
        <v>nincs feladat</v>
      </c>
      <c r="P1496" t="str">
        <f>IFERROR(VLOOKUP(G1496,PAR!$J$2:$M$19,4),"nincs rovat")</f>
        <v>nincs rovat</v>
      </c>
      <c r="Q1496" t="str">
        <f>IF(H1496&gt;0,VLOOKUP(H1496,PAR!$AA$3:$AC$187,3,FALSE),"nincs főkönyvi számla")</f>
        <v>nincs főkönyvi számla</v>
      </c>
      <c r="R1496" t="str">
        <f>IFERROR(VLOOKUP(K1496,PAR!$V$3:$X$438,3,FALSE),"000000 - Nincs COFOG")</f>
        <v>000000 - Nincs COFOG</v>
      </c>
      <c r="S1496">
        <f t="shared" si="449"/>
        <v>0</v>
      </c>
      <c r="T1496">
        <f t="shared" si="450"/>
        <v>0</v>
      </c>
      <c r="U1496" t="str">
        <f>IF('906MP'!J1196&gt;0,CONCATENATE('906MP'!J1196," - ",'906MP'!P1196,", ",'906MP'!E1196),"nincs megjegyzés")</f>
        <v>nincs megjegyzés</v>
      </c>
      <c r="V1496" t="str">
        <f t="shared" si="437"/>
        <v>0P0</v>
      </c>
      <c r="W1496" t="str">
        <f t="shared" si="438"/>
        <v>0P0</v>
      </c>
      <c r="X1496" t="str">
        <f t="shared" si="439"/>
        <v>P0</v>
      </c>
      <c r="Y1496" t="str">
        <f t="shared" si="440"/>
        <v>00</v>
      </c>
      <c r="Z1496" t="str">
        <f t="shared" si="451"/>
        <v>00</v>
      </c>
      <c r="AA1496" t="str">
        <f t="shared" si="441"/>
        <v>00</v>
      </c>
      <c r="AB1496" t="str">
        <f t="shared" si="442"/>
        <v>00</v>
      </c>
      <c r="AC1496" t="str">
        <f t="shared" si="443"/>
        <v>0P0</v>
      </c>
      <c r="AD1496" t="str">
        <f t="shared" si="444"/>
        <v>P00</v>
      </c>
      <c r="AE1496" t="str">
        <f t="shared" si="445"/>
        <v>0P0</v>
      </c>
      <c r="AF1496" t="str">
        <f t="shared" si="446"/>
        <v>P00</v>
      </c>
      <c r="AG1496" t="str">
        <f t="shared" si="452"/>
        <v>0P00</v>
      </c>
      <c r="AH1496" t="str">
        <f t="shared" si="453"/>
        <v>P000</v>
      </c>
      <c r="AI1496" t="str">
        <f t="shared" si="454"/>
        <v>0P00</v>
      </c>
      <c r="AJ1496" t="str">
        <f t="shared" si="455"/>
        <v>P000</v>
      </c>
    </row>
    <row r="1497" spans="1:36" x14ac:dyDescent="0.25">
      <c r="A1497" s="325" t="str">
        <f>CONCATENATE("P",'906MP'!M1197)</f>
        <v>P</v>
      </c>
      <c r="B1497">
        <f>'906MP'!H1197</f>
        <v>0</v>
      </c>
      <c r="C1497">
        <f>'906MP'!J1197</f>
        <v>0</v>
      </c>
      <c r="D1497">
        <f>'906MP'!P1197</f>
        <v>0</v>
      </c>
      <c r="E1497">
        <f>'906MP'!X1197</f>
        <v>0</v>
      </c>
      <c r="F1497" t="str">
        <f t="shared" si="447"/>
        <v>0</v>
      </c>
      <c r="G1497" t="str">
        <f t="shared" si="448"/>
        <v>0</v>
      </c>
      <c r="H1497">
        <f>'906MP'!Y1197</f>
        <v>0</v>
      </c>
      <c r="I1497">
        <f>'906MP'!AK1197</f>
        <v>0</v>
      </c>
      <c r="J1497">
        <f>'906MP'!T1197</f>
        <v>0</v>
      </c>
      <c r="K1497">
        <f>'906MP'!AJ1197</f>
        <v>0</v>
      </c>
      <c r="L1497">
        <f>'906MP'!U1197</f>
        <v>0</v>
      </c>
      <c r="M1497" s="322" t="str">
        <f>IFERROR(VLOOKUP(A1497,PAR!$D$3:$E$53,2,FALSE),"nincs szervezet")</f>
        <v>nincs szervezet</v>
      </c>
      <c r="N1497" s="322" t="str">
        <f>VLOOKUP(F1497,PAR!$R$3:$S$5,2,FALSE)</f>
        <v>3 - egyik sem</v>
      </c>
      <c r="O1497" t="str">
        <f>IFERROR(VLOOKUP(J1497,PAR!$O$3:$P$5,2,FALSE),"nincs feladat")</f>
        <v>nincs feladat</v>
      </c>
      <c r="P1497" t="str">
        <f>IFERROR(VLOOKUP(G1497,PAR!$J$2:$M$19,4),"nincs rovat")</f>
        <v>nincs rovat</v>
      </c>
      <c r="Q1497" t="str">
        <f>IF(H1497&gt;0,VLOOKUP(H1497,PAR!$AA$3:$AC$187,3,FALSE),"nincs főkönyvi számla")</f>
        <v>nincs főkönyvi számla</v>
      </c>
      <c r="R1497" t="str">
        <f>IFERROR(VLOOKUP(K1497,PAR!$V$3:$X$438,3,FALSE),"000000 - Nincs COFOG")</f>
        <v>000000 - Nincs COFOG</v>
      </c>
      <c r="S1497">
        <f t="shared" si="449"/>
        <v>0</v>
      </c>
      <c r="T1497">
        <f t="shared" si="450"/>
        <v>0</v>
      </c>
      <c r="U1497" t="str">
        <f>IF('906MP'!J1197&gt;0,CONCATENATE('906MP'!J1197," - ",'906MP'!P1197,", ",'906MP'!E1197),"nincs megjegyzés")</f>
        <v>nincs megjegyzés</v>
      </c>
      <c r="V1497" t="str">
        <f t="shared" si="437"/>
        <v>0P0</v>
      </c>
      <c r="W1497" t="str">
        <f t="shared" si="438"/>
        <v>0P0</v>
      </c>
      <c r="X1497" t="str">
        <f t="shared" si="439"/>
        <v>P0</v>
      </c>
      <c r="Y1497" t="str">
        <f t="shared" si="440"/>
        <v>00</v>
      </c>
      <c r="Z1497" t="str">
        <f t="shared" si="451"/>
        <v>00</v>
      </c>
      <c r="AA1497" t="str">
        <f t="shared" si="441"/>
        <v>00</v>
      </c>
      <c r="AB1497" t="str">
        <f t="shared" si="442"/>
        <v>00</v>
      </c>
      <c r="AC1497" t="str">
        <f t="shared" si="443"/>
        <v>0P0</v>
      </c>
      <c r="AD1497" t="str">
        <f t="shared" si="444"/>
        <v>P00</v>
      </c>
      <c r="AE1497" t="str">
        <f t="shared" si="445"/>
        <v>0P0</v>
      </c>
      <c r="AF1497" t="str">
        <f t="shared" si="446"/>
        <v>P00</v>
      </c>
      <c r="AG1497" t="str">
        <f t="shared" si="452"/>
        <v>0P00</v>
      </c>
      <c r="AH1497" t="str">
        <f t="shared" si="453"/>
        <v>P000</v>
      </c>
      <c r="AI1497" t="str">
        <f t="shared" si="454"/>
        <v>0P00</v>
      </c>
      <c r="AJ1497" t="str">
        <f t="shared" si="455"/>
        <v>P000</v>
      </c>
    </row>
    <row r="1498" spans="1:36" x14ac:dyDescent="0.25">
      <c r="A1498" s="325" t="str">
        <f>CONCATENATE("P",'906MP'!M1198)</f>
        <v>P</v>
      </c>
      <c r="B1498">
        <f>'906MP'!H1198</f>
        <v>0</v>
      </c>
      <c r="C1498">
        <f>'906MP'!J1198</f>
        <v>0</v>
      </c>
      <c r="D1498">
        <f>'906MP'!P1198</f>
        <v>0</v>
      </c>
      <c r="E1498">
        <f>'906MP'!X1198</f>
        <v>0</v>
      </c>
      <c r="F1498" t="str">
        <f t="shared" si="447"/>
        <v>0</v>
      </c>
      <c r="G1498" t="str">
        <f t="shared" si="448"/>
        <v>0</v>
      </c>
      <c r="H1498">
        <f>'906MP'!Y1198</f>
        <v>0</v>
      </c>
      <c r="I1498">
        <f>'906MP'!AK1198</f>
        <v>0</v>
      </c>
      <c r="J1498">
        <f>'906MP'!T1198</f>
        <v>0</v>
      </c>
      <c r="K1498">
        <f>'906MP'!AJ1198</f>
        <v>0</v>
      </c>
      <c r="L1498">
        <f>'906MP'!U1198</f>
        <v>0</v>
      </c>
      <c r="M1498" s="322" t="str">
        <f>IFERROR(VLOOKUP(A1498,PAR!$D$3:$E$53,2,FALSE),"nincs szervezet")</f>
        <v>nincs szervezet</v>
      </c>
      <c r="N1498" s="322" t="str">
        <f>VLOOKUP(F1498,PAR!$R$3:$S$5,2,FALSE)</f>
        <v>3 - egyik sem</v>
      </c>
      <c r="O1498" t="str">
        <f>IFERROR(VLOOKUP(J1498,PAR!$O$3:$P$5,2,FALSE),"nincs feladat")</f>
        <v>nincs feladat</v>
      </c>
      <c r="P1498" t="str">
        <f>IFERROR(VLOOKUP(G1498,PAR!$J$2:$M$19,4),"nincs rovat")</f>
        <v>nincs rovat</v>
      </c>
      <c r="Q1498" t="str">
        <f>IF(H1498&gt;0,VLOOKUP(H1498,PAR!$AA$3:$AC$187,3,FALSE),"nincs főkönyvi számla")</f>
        <v>nincs főkönyvi számla</v>
      </c>
      <c r="R1498" t="str">
        <f>IFERROR(VLOOKUP(K1498,PAR!$V$3:$X$438,3,FALSE),"000000 - Nincs COFOG")</f>
        <v>000000 - Nincs COFOG</v>
      </c>
      <c r="S1498">
        <f t="shared" si="449"/>
        <v>0</v>
      </c>
      <c r="T1498">
        <f t="shared" si="450"/>
        <v>0</v>
      </c>
      <c r="U1498" t="str">
        <f>IF('906MP'!J1198&gt;0,CONCATENATE('906MP'!J1198," - ",'906MP'!P1198,", ",'906MP'!E1198),"nincs megjegyzés")</f>
        <v>nincs megjegyzés</v>
      </c>
      <c r="V1498" t="str">
        <f t="shared" si="437"/>
        <v>0P0</v>
      </c>
      <c r="W1498" t="str">
        <f t="shared" si="438"/>
        <v>0P0</v>
      </c>
      <c r="X1498" t="str">
        <f t="shared" si="439"/>
        <v>P0</v>
      </c>
      <c r="Y1498" t="str">
        <f t="shared" si="440"/>
        <v>00</v>
      </c>
      <c r="Z1498" t="str">
        <f t="shared" si="451"/>
        <v>00</v>
      </c>
      <c r="AA1498" t="str">
        <f t="shared" si="441"/>
        <v>00</v>
      </c>
      <c r="AB1498" t="str">
        <f t="shared" si="442"/>
        <v>00</v>
      </c>
      <c r="AC1498" t="str">
        <f t="shared" si="443"/>
        <v>0P0</v>
      </c>
      <c r="AD1498" t="str">
        <f t="shared" si="444"/>
        <v>P00</v>
      </c>
      <c r="AE1498" t="str">
        <f t="shared" si="445"/>
        <v>0P0</v>
      </c>
      <c r="AF1498" t="str">
        <f t="shared" si="446"/>
        <v>P00</v>
      </c>
      <c r="AG1498" t="str">
        <f t="shared" si="452"/>
        <v>0P00</v>
      </c>
      <c r="AH1498" t="str">
        <f t="shared" si="453"/>
        <v>P000</v>
      </c>
      <c r="AI1498" t="str">
        <f t="shared" si="454"/>
        <v>0P00</v>
      </c>
      <c r="AJ1498" t="str">
        <f t="shared" si="455"/>
        <v>P000</v>
      </c>
    </row>
    <row r="1499" spans="1:36" x14ac:dyDescent="0.25">
      <c r="A1499" s="325" t="str">
        <f>CONCATENATE("P",'906MP'!M1199)</f>
        <v>P</v>
      </c>
      <c r="B1499">
        <f>'906MP'!H1199</f>
        <v>0</v>
      </c>
      <c r="C1499">
        <f>'906MP'!J1199</f>
        <v>0</v>
      </c>
      <c r="D1499">
        <f>'906MP'!P1199</f>
        <v>0</v>
      </c>
      <c r="E1499">
        <f>'906MP'!X1199</f>
        <v>0</v>
      </c>
      <c r="F1499" t="str">
        <f t="shared" si="447"/>
        <v>0</v>
      </c>
      <c r="G1499" t="str">
        <f t="shared" si="448"/>
        <v>0</v>
      </c>
      <c r="H1499">
        <f>'906MP'!Y1199</f>
        <v>0</v>
      </c>
      <c r="I1499">
        <f>'906MP'!AK1199</f>
        <v>0</v>
      </c>
      <c r="J1499">
        <f>'906MP'!T1199</f>
        <v>0</v>
      </c>
      <c r="K1499">
        <f>'906MP'!AJ1199</f>
        <v>0</v>
      </c>
      <c r="L1499">
        <f>'906MP'!U1199</f>
        <v>0</v>
      </c>
      <c r="M1499" s="322" t="str">
        <f>IFERROR(VLOOKUP(A1499,PAR!$D$3:$E$53,2,FALSE),"nincs szervezet")</f>
        <v>nincs szervezet</v>
      </c>
      <c r="N1499" s="322" t="str">
        <f>VLOOKUP(F1499,PAR!$R$3:$S$5,2,FALSE)</f>
        <v>3 - egyik sem</v>
      </c>
      <c r="O1499" t="str">
        <f>IFERROR(VLOOKUP(J1499,PAR!$O$3:$P$5,2,FALSE),"nincs feladat")</f>
        <v>nincs feladat</v>
      </c>
      <c r="P1499" t="str">
        <f>IFERROR(VLOOKUP(G1499,PAR!$J$2:$M$19,4),"nincs rovat")</f>
        <v>nincs rovat</v>
      </c>
      <c r="Q1499" t="str">
        <f>IF(H1499&gt;0,VLOOKUP(H1499,PAR!$AA$3:$AC$187,3,FALSE),"nincs főkönyvi számla")</f>
        <v>nincs főkönyvi számla</v>
      </c>
      <c r="R1499" t="str">
        <f>IFERROR(VLOOKUP(K1499,PAR!$V$3:$X$438,3,FALSE),"000000 - Nincs COFOG")</f>
        <v>000000 - Nincs COFOG</v>
      </c>
      <c r="S1499">
        <f t="shared" si="449"/>
        <v>0</v>
      </c>
      <c r="T1499">
        <f t="shared" si="450"/>
        <v>0</v>
      </c>
      <c r="U1499" t="str">
        <f>IF('906MP'!J1199&gt;0,CONCATENATE('906MP'!J1199," - ",'906MP'!P1199,", ",'906MP'!E1199),"nincs megjegyzés")</f>
        <v>nincs megjegyzés</v>
      </c>
      <c r="V1499" t="str">
        <f t="shared" si="437"/>
        <v>0P0</v>
      </c>
      <c r="W1499" t="str">
        <f t="shared" si="438"/>
        <v>0P0</v>
      </c>
      <c r="X1499" t="str">
        <f t="shared" si="439"/>
        <v>P0</v>
      </c>
      <c r="Y1499" t="str">
        <f t="shared" si="440"/>
        <v>00</v>
      </c>
      <c r="Z1499" t="str">
        <f t="shared" si="451"/>
        <v>00</v>
      </c>
      <c r="AA1499" t="str">
        <f t="shared" si="441"/>
        <v>00</v>
      </c>
      <c r="AB1499" t="str">
        <f t="shared" si="442"/>
        <v>00</v>
      </c>
      <c r="AC1499" t="str">
        <f t="shared" si="443"/>
        <v>0P0</v>
      </c>
      <c r="AD1499" t="str">
        <f t="shared" si="444"/>
        <v>P00</v>
      </c>
      <c r="AE1499" t="str">
        <f t="shared" si="445"/>
        <v>0P0</v>
      </c>
      <c r="AF1499" t="str">
        <f t="shared" si="446"/>
        <v>P00</v>
      </c>
      <c r="AG1499" t="str">
        <f t="shared" si="452"/>
        <v>0P00</v>
      </c>
      <c r="AH1499" t="str">
        <f t="shared" si="453"/>
        <v>P000</v>
      </c>
      <c r="AI1499" t="str">
        <f t="shared" si="454"/>
        <v>0P00</v>
      </c>
      <c r="AJ1499" t="str">
        <f t="shared" si="455"/>
        <v>P000</v>
      </c>
    </row>
    <row r="1500" spans="1:36" x14ac:dyDescent="0.25">
      <c r="A1500" s="325" t="str">
        <f>CONCATENATE("P",'906MP'!M1200)</f>
        <v>P</v>
      </c>
      <c r="B1500">
        <f>'906MP'!H1200</f>
        <v>0</v>
      </c>
      <c r="C1500">
        <f>'906MP'!J1200</f>
        <v>0</v>
      </c>
      <c r="D1500">
        <f>'906MP'!P1200</f>
        <v>0</v>
      </c>
      <c r="E1500">
        <f>'906MP'!X1200</f>
        <v>0</v>
      </c>
      <c r="F1500" t="str">
        <f t="shared" si="447"/>
        <v>0</v>
      </c>
      <c r="G1500" t="str">
        <f t="shared" si="448"/>
        <v>0</v>
      </c>
      <c r="H1500">
        <f>'906MP'!Y1200</f>
        <v>0</v>
      </c>
      <c r="I1500">
        <f>'906MP'!AK1200</f>
        <v>0</v>
      </c>
      <c r="J1500">
        <f>'906MP'!T1200</f>
        <v>0</v>
      </c>
      <c r="K1500">
        <f>'906MP'!AJ1200</f>
        <v>0</v>
      </c>
      <c r="L1500">
        <f>'906MP'!U1200</f>
        <v>0</v>
      </c>
      <c r="M1500" s="322" t="str">
        <f>IFERROR(VLOOKUP(A1500,PAR!$D$3:$E$53,2,FALSE),"nincs szervezet")</f>
        <v>nincs szervezet</v>
      </c>
      <c r="N1500" s="322" t="str">
        <f>VLOOKUP(F1500,PAR!$R$3:$S$5,2,FALSE)</f>
        <v>3 - egyik sem</v>
      </c>
      <c r="O1500" t="str">
        <f>IFERROR(VLOOKUP(J1500,PAR!$O$3:$P$5,2,FALSE),"nincs feladat")</f>
        <v>nincs feladat</v>
      </c>
      <c r="P1500" t="str">
        <f>IFERROR(VLOOKUP(G1500,PAR!$J$2:$M$19,4),"nincs rovat")</f>
        <v>nincs rovat</v>
      </c>
      <c r="Q1500" t="str">
        <f>IF(H1500&gt;0,VLOOKUP(H1500,PAR!$AA$3:$AC$187,3,FALSE),"nincs főkönyvi számla")</f>
        <v>nincs főkönyvi számla</v>
      </c>
      <c r="R1500" t="str">
        <f>IFERROR(VLOOKUP(K1500,PAR!$V$3:$X$438,3,FALSE),"000000 - Nincs COFOG")</f>
        <v>000000 - Nincs COFOG</v>
      </c>
      <c r="S1500">
        <f t="shared" si="449"/>
        <v>0</v>
      </c>
      <c r="T1500">
        <f t="shared" si="450"/>
        <v>0</v>
      </c>
      <c r="U1500" t="str">
        <f>IF('906MP'!J1200&gt;0,CONCATENATE('906MP'!J1200," - ",'906MP'!P1200,", ",'906MP'!E1200),"nincs megjegyzés")</f>
        <v>nincs megjegyzés</v>
      </c>
      <c r="V1500" t="str">
        <f t="shared" si="437"/>
        <v>0P0</v>
      </c>
      <c r="W1500" t="str">
        <f t="shared" si="438"/>
        <v>0P0</v>
      </c>
      <c r="X1500" t="str">
        <f t="shared" si="439"/>
        <v>P0</v>
      </c>
      <c r="Y1500" t="str">
        <f t="shared" si="440"/>
        <v>00</v>
      </c>
      <c r="Z1500" t="str">
        <f t="shared" si="451"/>
        <v>00</v>
      </c>
      <c r="AA1500" t="str">
        <f t="shared" si="441"/>
        <v>00</v>
      </c>
      <c r="AB1500" t="str">
        <f t="shared" si="442"/>
        <v>00</v>
      </c>
      <c r="AC1500" t="str">
        <f t="shared" si="443"/>
        <v>0P0</v>
      </c>
      <c r="AD1500" t="str">
        <f t="shared" si="444"/>
        <v>P00</v>
      </c>
      <c r="AE1500" t="str">
        <f t="shared" si="445"/>
        <v>0P0</v>
      </c>
      <c r="AF1500" t="str">
        <f t="shared" si="446"/>
        <v>P00</v>
      </c>
      <c r="AG1500" t="str">
        <f t="shared" si="452"/>
        <v>0P00</v>
      </c>
      <c r="AH1500" t="str">
        <f t="shared" si="453"/>
        <v>P000</v>
      </c>
      <c r="AI1500" t="str">
        <f t="shared" si="454"/>
        <v>0P00</v>
      </c>
      <c r="AJ1500" t="str">
        <f t="shared" si="455"/>
        <v>P000</v>
      </c>
    </row>
    <row r="1501" spans="1:36" x14ac:dyDescent="0.25">
      <c r="A1501" s="325" t="str">
        <f>CONCATENATE("P",'906MP'!M1201)</f>
        <v>P</v>
      </c>
      <c r="B1501">
        <f>'906MP'!H1201</f>
        <v>0</v>
      </c>
      <c r="C1501">
        <f>'906MP'!J1201</f>
        <v>0</v>
      </c>
      <c r="D1501">
        <f>'906MP'!P1201</f>
        <v>0</v>
      </c>
      <c r="E1501">
        <f>'906MP'!X1201</f>
        <v>0</v>
      </c>
      <c r="F1501" t="str">
        <f t="shared" si="447"/>
        <v>0</v>
      </c>
      <c r="G1501" t="str">
        <f t="shared" si="448"/>
        <v>0</v>
      </c>
      <c r="H1501">
        <f>'906MP'!Y1201</f>
        <v>0</v>
      </c>
      <c r="I1501">
        <f>'906MP'!AK1201</f>
        <v>0</v>
      </c>
      <c r="J1501">
        <f>'906MP'!T1201</f>
        <v>0</v>
      </c>
      <c r="K1501">
        <f>'906MP'!AJ1201</f>
        <v>0</v>
      </c>
      <c r="L1501">
        <f>'906MP'!U1201</f>
        <v>0</v>
      </c>
      <c r="M1501" s="322" t="str">
        <f>IFERROR(VLOOKUP(A1501,PAR!$D$3:$E$53,2,FALSE),"nincs szervezet")</f>
        <v>nincs szervezet</v>
      </c>
      <c r="N1501" s="322" t="str">
        <f>VLOOKUP(F1501,PAR!$R$3:$S$5,2,FALSE)</f>
        <v>3 - egyik sem</v>
      </c>
      <c r="O1501" t="str">
        <f>IFERROR(VLOOKUP(J1501,PAR!$O$3:$P$5,2,FALSE),"nincs feladat")</f>
        <v>nincs feladat</v>
      </c>
      <c r="P1501" t="str">
        <f>IFERROR(VLOOKUP(G1501,PAR!$J$2:$M$19,4),"nincs rovat")</f>
        <v>nincs rovat</v>
      </c>
      <c r="Q1501" t="str">
        <f>IF(H1501&gt;0,VLOOKUP(H1501,PAR!$AA$3:$AC$187,3,FALSE),"nincs főkönyvi számla")</f>
        <v>nincs főkönyvi számla</v>
      </c>
      <c r="R1501" t="str">
        <f>IFERROR(VLOOKUP(K1501,PAR!$V$3:$X$438,3,FALSE),"000000 - Nincs COFOG")</f>
        <v>000000 - Nincs COFOG</v>
      </c>
      <c r="S1501">
        <f t="shared" si="449"/>
        <v>0</v>
      </c>
      <c r="T1501">
        <f t="shared" si="450"/>
        <v>0</v>
      </c>
      <c r="U1501" t="str">
        <f>IF('906MP'!J1201&gt;0,CONCATENATE('906MP'!J1201," - ",'906MP'!P1201,", ",'906MP'!E1201),"nincs megjegyzés")</f>
        <v>nincs megjegyzés</v>
      </c>
      <c r="V1501" t="str">
        <f t="shared" si="437"/>
        <v>0P0</v>
      </c>
      <c r="W1501" t="str">
        <f t="shared" si="438"/>
        <v>0P0</v>
      </c>
      <c r="X1501" t="str">
        <f t="shared" si="439"/>
        <v>P0</v>
      </c>
      <c r="Y1501" t="str">
        <f t="shared" si="440"/>
        <v>00</v>
      </c>
      <c r="Z1501" t="str">
        <f t="shared" si="451"/>
        <v>00</v>
      </c>
      <c r="AA1501" t="str">
        <f t="shared" si="441"/>
        <v>00</v>
      </c>
      <c r="AB1501" t="str">
        <f t="shared" si="442"/>
        <v>00</v>
      </c>
      <c r="AC1501" t="str">
        <f t="shared" si="443"/>
        <v>0P0</v>
      </c>
      <c r="AD1501" t="str">
        <f t="shared" si="444"/>
        <v>P00</v>
      </c>
      <c r="AE1501" t="str">
        <f t="shared" si="445"/>
        <v>0P0</v>
      </c>
      <c r="AF1501" t="str">
        <f t="shared" si="446"/>
        <v>P00</v>
      </c>
      <c r="AG1501" t="str">
        <f t="shared" si="452"/>
        <v>0P00</v>
      </c>
      <c r="AH1501" t="str">
        <f t="shared" si="453"/>
        <v>P000</v>
      </c>
      <c r="AI1501" t="str">
        <f t="shared" si="454"/>
        <v>0P00</v>
      </c>
      <c r="AJ1501" t="str">
        <f t="shared" si="455"/>
        <v>P000</v>
      </c>
    </row>
    <row r="1502" spans="1:36" x14ac:dyDescent="0.25">
      <c r="A1502" s="325" t="str">
        <f>CONCATENATE("P",'906MP'!M1202)</f>
        <v>P</v>
      </c>
      <c r="B1502">
        <f>'906MP'!H1202</f>
        <v>0</v>
      </c>
      <c r="C1502">
        <f>'906MP'!J1202</f>
        <v>0</v>
      </c>
      <c r="D1502">
        <f>'906MP'!P1202</f>
        <v>0</v>
      </c>
      <c r="E1502">
        <f>'906MP'!X1202</f>
        <v>0</v>
      </c>
      <c r="F1502" t="str">
        <f t="shared" si="447"/>
        <v>0</v>
      </c>
      <c r="G1502" t="str">
        <f t="shared" si="448"/>
        <v>0</v>
      </c>
      <c r="H1502">
        <f>'906MP'!Y1202</f>
        <v>0</v>
      </c>
      <c r="I1502">
        <f>'906MP'!AK1202</f>
        <v>0</v>
      </c>
      <c r="J1502">
        <f>'906MP'!T1202</f>
        <v>0</v>
      </c>
      <c r="K1502">
        <f>'906MP'!AJ1202</f>
        <v>0</v>
      </c>
      <c r="L1502">
        <f>'906MP'!U1202</f>
        <v>0</v>
      </c>
      <c r="M1502" s="322" t="str">
        <f>IFERROR(VLOOKUP(A1502,PAR!$D$3:$E$53,2,FALSE),"nincs szervezet")</f>
        <v>nincs szervezet</v>
      </c>
      <c r="N1502" s="322" t="str">
        <f>VLOOKUP(F1502,PAR!$R$3:$S$5,2,FALSE)</f>
        <v>3 - egyik sem</v>
      </c>
      <c r="O1502" t="str">
        <f>IFERROR(VLOOKUP(J1502,PAR!$O$3:$P$5,2,FALSE),"nincs feladat")</f>
        <v>nincs feladat</v>
      </c>
      <c r="P1502" t="str">
        <f>IFERROR(VLOOKUP(G1502,PAR!$J$2:$M$19,4),"nincs rovat")</f>
        <v>nincs rovat</v>
      </c>
      <c r="Q1502" t="str">
        <f>IF(H1502&gt;0,VLOOKUP(H1502,PAR!$AA$3:$AC$187,3,FALSE),"nincs főkönyvi számla")</f>
        <v>nincs főkönyvi számla</v>
      </c>
      <c r="R1502" t="str">
        <f>IFERROR(VLOOKUP(K1502,PAR!$V$3:$X$438,3,FALSE),"000000 - Nincs COFOG")</f>
        <v>000000 - Nincs COFOG</v>
      </c>
      <c r="S1502">
        <f t="shared" si="449"/>
        <v>0</v>
      </c>
      <c r="T1502">
        <f t="shared" si="450"/>
        <v>0</v>
      </c>
      <c r="U1502" t="str">
        <f>IF('906MP'!J1202&gt;0,CONCATENATE('906MP'!J1202," - ",'906MP'!P1202,", ",'906MP'!E1202),"nincs megjegyzés")</f>
        <v>nincs megjegyzés</v>
      </c>
      <c r="V1502" t="str">
        <f t="shared" si="437"/>
        <v>0P0</v>
      </c>
      <c r="W1502" t="str">
        <f t="shared" si="438"/>
        <v>0P0</v>
      </c>
      <c r="X1502" t="str">
        <f t="shared" si="439"/>
        <v>P0</v>
      </c>
      <c r="Y1502" t="str">
        <f t="shared" si="440"/>
        <v>00</v>
      </c>
      <c r="Z1502" t="str">
        <f t="shared" si="451"/>
        <v>00</v>
      </c>
      <c r="AA1502" t="str">
        <f t="shared" si="441"/>
        <v>00</v>
      </c>
      <c r="AB1502" t="str">
        <f t="shared" si="442"/>
        <v>00</v>
      </c>
      <c r="AC1502" t="str">
        <f t="shared" si="443"/>
        <v>0P0</v>
      </c>
      <c r="AD1502" t="str">
        <f t="shared" si="444"/>
        <v>P00</v>
      </c>
      <c r="AE1502" t="str">
        <f t="shared" si="445"/>
        <v>0P0</v>
      </c>
      <c r="AF1502" t="str">
        <f t="shared" si="446"/>
        <v>P00</v>
      </c>
      <c r="AG1502" t="str">
        <f t="shared" si="452"/>
        <v>0P00</v>
      </c>
      <c r="AH1502" t="str">
        <f t="shared" si="453"/>
        <v>P000</v>
      </c>
      <c r="AI1502" t="str">
        <f t="shared" si="454"/>
        <v>0P00</v>
      </c>
      <c r="AJ1502" t="str">
        <f t="shared" si="455"/>
        <v>P000</v>
      </c>
    </row>
    <row r="1503" spans="1:36" x14ac:dyDescent="0.25">
      <c r="A1503" s="325" t="str">
        <f>CONCATENATE("P",'906MP'!M1203)</f>
        <v>P</v>
      </c>
      <c r="B1503">
        <f>'906MP'!H1203</f>
        <v>0</v>
      </c>
      <c r="C1503">
        <f>'906MP'!J1203</f>
        <v>0</v>
      </c>
      <c r="D1503">
        <f>'906MP'!P1203</f>
        <v>0</v>
      </c>
      <c r="E1503">
        <f>'906MP'!X1203</f>
        <v>0</v>
      </c>
      <c r="F1503" t="str">
        <f t="shared" si="447"/>
        <v>0</v>
      </c>
      <c r="G1503" t="str">
        <f t="shared" si="448"/>
        <v>0</v>
      </c>
      <c r="H1503">
        <f>'906MP'!Y1203</f>
        <v>0</v>
      </c>
      <c r="I1503">
        <f>'906MP'!AK1203</f>
        <v>0</v>
      </c>
      <c r="J1503">
        <f>'906MP'!T1203</f>
        <v>0</v>
      </c>
      <c r="K1503">
        <f>'906MP'!AJ1203</f>
        <v>0</v>
      </c>
      <c r="L1503">
        <f>'906MP'!U1203</f>
        <v>0</v>
      </c>
      <c r="M1503" s="322" t="str">
        <f>IFERROR(VLOOKUP(A1503,PAR!$D$3:$E$53,2,FALSE),"nincs szervezet")</f>
        <v>nincs szervezet</v>
      </c>
      <c r="N1503" s="322" t="str">
        <f>VLOOKUP(F1503,PAR!$R$3:$S$5,2,FALSE)</f>
        <v>3 - egyik sem</v>
      </c>
      <c r="O1503" t="str">
        <f>IFERROR(VLOOKUP(J1503,PAR!$O$3:$P$5,2,FALSE),"nincs feladat")</f>
        <v>nincs feladat</v>
      </c>
      <c r="P1503" t="str">
        <f>IFERROR(VLOOKUP(G1503,PAR!$J$2:$M$19,4),"nincs rovat")</f>
        <v>nincs rovat</v>
      </c>
      <c r="Q1503" t="str">
        <f>IF(H1503&gt;0,VLOOKUP(H1503,PAR!$AA$3:$AC$187,3,FALSE),"nincs főkönyvi számla")</f>
        <v>nincs főkönyvi számla</v>
      </c>
      <c r="R1503" t="str">
        <f>IFERROR(VLOOKUP(K1503,PAR!$V$3:$X$438,3,FALSE),"000000 - Nincs COFOG")</f>
        <v>000000 - Nincs COFOG</v>
      </c>
      <c r="S1503">
        <f t="shared" si="449"/>
        <v>0</v>
      </c>
      <c r="T1503">
        <f t="shared" si="450"/>
        <v>0</v>
      </c>
      <c r="U1503" t="str">
        <f>IF('906MP'!J1203&gt;0,CONCATENATE('906MP'!J1203," - ",'906MP'!P1203,", ",'906MP'!E1203),"nincs megjegyzés")</f>
        <v>nincs megjegyzés</v>
      </c>
      <c r="V1503" t="str">
        <f t="shared" si="437"/>
        <v>0P0</v>
      </c>
      <c r="W1503" t="str">
        <f t="shared" si="438"/>
        <v>0P0</v>
      </c>
      <c r="X1503" t="str">
        <f t="shared" si="439"/>
        <v>P0</v>
      </c>
      <c r="Y1503" t="str">
        <f t="shared" si="440"/>
        <v>00</v>
      </c>
      <c r="Z1503" t="str">
        <f t="shared" si="451"/>
        <v>00</v>
      </c>
      <c r="AA1503" t="str">
        <f t="shared" si="441"/>
        <v>00</v>
      </c>
      <c r="AB1503" t="str">
        <f t="shared" si="442"/>
        <v>00</v>
      </c>
      <c r="AC1503" t="str">
        <f t="shared" si="443"/>
        <v>0P0</v>
      </c>
      <c r="AD1503" t="str">
        <f t="shared" si="444"/>
        <v>P00</v>
      </c>
      <c r="AE1503" t="str">
        <f t="shared" si="445"/>
        <v>0P0</v>
      </c>
      <c r="AF1503" t="str">
        <f t="shared" si="446"/>
        <v>P00</v>
      </c>
      <c r="AG1503" t="str">
        <f t="shared" si="452"/>
        <v>0P00</v>
      </c>
      <c r="AH1503" t="str">
        <f t="shared" si="453"/>
        <v>P000</v>
      </c>
      <c r="AI1503" t="str">
        <f t="shared" si="454"/>
        <v>0P00</v>
      </c>
      <c r="AJ1503" t="str">
        <f t="shared" si="455"/>
        <v>P000</v>
      </c>
    </row>
    <row r="1504" spans="1:36" x14ac:dyDescent="0.25">
      <c r="A1504" s="325" t="str">
        <f>CONCATENATE("P",'906MP'!M1204)</f>
        <v>P</v>
      </c>
      <c r="B1504">
        <f>'906MP'!H1204</f>
        <v>0</v>
      </c>
      <c r="C1504">
        <f>'906MP'!J1204</f>
        <v>0</v>
      </c>
      <c r="D1504">
        <f>'906MP'!P1204</f>
        <v>0</v>
      </c>
      <c r="E1504">
        <f>'906MP'!X1204</f>
        <v>0</v>
      </c>
      <c r="F1504" t="str">
        <f t="shared" si="447"/>
        <v>0</v>
      </c>
      <c r="G1504" t="str">
        <f t="shared" si="448"/>
        <v>0</v>
      </c>
      <c r="H1504">
        <f>'906MP'!Y1204</f>
        <v>0</v>
      </c>
      <c r="I1504">
        <f>'906MP'!AK1204</f>
        <v>0</v>
      </c>
      <c r="J1504">
        <f>'906MP'!T1204</f>
        <v>0</v>
      </c>
      <c r="K1504">
        <f>'906MP'!AJ1204</f>
        <v>0</v>
      </c>
      <c r="L1504">
        <f>'906MP'!U1204</f>
        <v>0</v>
      </c>
      <c r="M1504" s="322" t="str">
        <f>IFERROR(VLOOKUP(A1504,PAR!$D$3:$E$53,2,FALSE),"nincs szervezet")</f>
        <v>nincs szervezet</v>
      </c>
      <c r="N1504" s="322" t="str">
        <f>VLOOKUP(F1504,PAR!$R$3:$S$5,2,FALSE)</f>
        <v>3 - egyik sem</v>
      </c>
      <c r="O1504" t="str">
        <f>IFERROR(VLOOKUP(J1504,PAR!$O$3:$P$5,2,FALSE),"nincs feladat")</f>
        <v>nincs feladat</v>
      </c>
      <c r="P1504" t="str">
        <f>IFERROR(VLOOKUP(G1504,PAR!$J$2:$M$19,4),"nincs rovat")</f>
        <v>nincs rovat</v>
      </c>
      <c r="Q1504" t="str">
        <f>IF(H1504&gt;0,VLOOKUP(H1504,PAR!$AA$3:$AC$187,3,FALSE),"nincs főkönyvi számla")</f>
        <v>nincs főkönyvi számla</v>
      </c>
      <c r="R1504" t="str">
        <f>IFERROR(VLOOKUP(K1504,PAR!$V$3:$X$438,3,FALSE),"000000 - Nincs COFOG")</f>
        <v>000000 - Nincs COFOG</v>
      </c>
      <c r="S1504">
        <f t="shared" si="449"/>
        <v>0</v>
      </c>
      <c r="T1504">
        <f t="shared" si="450"/>
        <v>0</v>
      </c>
      <c r="U1504" t="str">
        <f>IF('906MP'!J1204&gt;0,CONCATENATE('906MP'!J1204," - ",'906MP'!P1204,", ",'906MP'!E1204),"nincs megjegyzés")</f>
        <v>nincs megjegyzés</v>
      </c>
      <c r="V1504" t="str">
        <f t="shared" si="437"/>
        <v>0P0</v>
      </c>
      <c r="W1504" t="str">
        <f t="shared" si="438"/>
        <v>0P0</v>
      </c>
      <c r="X1504" t="str">
        <f t="shared" si="439"/>
        <v>P0</v>
      </c>
      <c r="Y1504" t="str">
        <f t="shared" si="440"/>
        <v>00</v>
      </c>
      <c r="Z1504" t="str">
        <f t="shared" si="451"/>
        <v>00</v>
      </c>
      <c r="AA1504" t="str">
        <f t="shared" si="441"/>
        <v>00</v>
      </c>
      <c r="AB1504" t="str">
        <f t="shared" si="442"/>
        <v>00</v>
      </c>
      <c r="AC1504" t="str">
        <f t="shared" si="443"/>
        <v>0P0</v>
      </c>
      <c r="AD1504" t="str">
        <f t="shared" si="444"/>
        <v>P00</v>
      </c>
      <c r="AE1504" t="str">
        <f t="shared" si="445"/>
        <v>0P0</v>
      </c>
      <c r="AF1504" t="str">
        <f t="shared" si="446"/>
        <v>P00</v>
      </c>
      <c r="AG1504" t="str">
        <f t="shared" si="452"/>
        <v>0P00</v>
      </c>
      <c r="AH1504" t="str">
        <f t="shared" si="453"/>
        <v>P000</v>
      </c>
      <c r="AI1504" t="str">
        <f t="shared" si="454"/>
        <v>0P00</v>
      </c>
      <c r="AJ1504" t="str">
        <f t="shared" si="455"/>
        <v>P000</v>
      </c>
    </row>
    <row r="1505" spans="1:36" x14ac:dyDescent="0.25">
      <c r="A1505" s="325" t="str">
        <f>CONCATENATE("P",'906MP'!M1205)</f>
        <v>P</v>
      </c>
      <c r="B1505">
        <f>'906MP'!H1205</f>
        <v>0</v>
      </c>
      <c r="C1505">
        <f>'906MP'!J1205</f>
        <v>0</v>
      </c>
      <c r="D1505">
        <f>'906MP'!P1205</f>
        <v>0</v>
      </c>
      <c r="E1505">
        <f>'906MP'!X1205</f>
        <v>0</v>
      </c>
      <c r="F1505" t="str">
        <f t="shared" si="447"/>
        <v>0</v>
      </c>
      <c r="G1505" t="str">
        <f t="shared" si="448"/>
        <v>0</v>
      </c>
      <c r="H1505">
        <f>'906MP'!Y1205</f>
        <v>0</v>
      </c>
      <c r="I1505">
        <f>'906MP'!AK1205</f>
        <v>0</v>
      </c>
      <c r="J1505">
        <f>'906MP'!T1205</f>
        <v>0</v>
      </c>
      <c r="K1505">
        <f>'906MP'!AJ1205</f>
        <v>0</v>
      </c>
      <c r="L1505">
        <f>'906MP'!U1205</f>
        <v>0</v>
      </c>
      <c r="M1505" s="322" t="str">
        <f>IFERROR(VLOOKUP(A1505,PAR!$D$3:$E$53,2,FALSE),"nincs szervezet")</f>
        <v>nincs szervezet</v>
      </c>
      <c r="N1505" s="322" t="str">
        <f>VLOOKUP(F1505,PAR!$R$3:$S$5,2,FALSE)</f>
        <v>3 - egyik sem</v>
      </c>
      <c r="O1505" t="str">
        <f>IFERROR(VLOOKUP(J1505,PAR!$O$3:$P$5,2,FALSE),"nincs feladat")</f>
        <v>nincs feladat</v>
      </c>
      <c r="P1505" t="str">
        <f>IFERROR(VLOOKUP(G1505,PAR!$J$2:$M$19,4),"nincs rovat")</f>
        <v>nincs rovat</v>
      </c>
      <c r="Q1505" t="str">
        <f>IF(H1505&gt;0,VLOOKUP(H1505,PAR!$AA$3:$AC$187,3,FALSE),"nincs főkönyvi számla")</f>
        <v>nincs főkönyvi számla</v>
      </c>
      <c r="R1505" t="str">
        <f>IFERROR(VLOOKUP(K1505,PAR!$V$3:$X$438,3,FALSE),"000000 - Nincs COFOG")</f>
        <v>000000 - Nincs COFOG</v>
      </c>
      <c r="S1505">
        <f t="shared" si="449"/>
        <v>0</v>
      </c>
      <c r="T1505">
        <f t="shared" si="450"/>
        <v>0</v>
      </c>
      <c r="U1505" t="str">
        <f>IF('906MP'!J1205&gt;0,CONCATENATE('906MP'!J1205," - ",'906MP'!P1205,", ",'906MP'!E1205),"nincs megjegyzés")</f>
        <v>nincs megjegyzés</v>
      </c>
      <c r="V1505" t="str">
        <f t="shared" si="437"/>
        <v>0P0</v>
      </c>
      <c r="W1505" t="str">
        <f t="shared" si="438"/>
        <v>0P0</v>
      </c>
      <c r="X1505" t="str">
        <f t="shared" si="439"/>
        <v>P0</v>
      </c>
      <c r="Y1505" t="str">
        <f t="shared" si="440"/>
        <v>00</v>
      </c>
      <c r="Z1505" t="str">
        <f t="shared" si="451"/>
        <v>00</v>
      </c>
      <c r="AA1505" t="str">
        <f t="shared" si="441"/>
        <v>00</v>
      </c>
      <c r="AB1505" t="str">
        <f t="shared" si="442"/>
        <v>00</v>
      </c>
      <c r="AC1505" t="str">
        <f t="shared" si="443"/>
        <v>0P0</v>
      </c>
      <c r="AD1505" t="str">
        <f t="shared" si="444"/>
        <v>P00</v>
      </c>
      <c r="AE1505" t="str">
        <f t="shared" si="445"/>
        <v>0P0</v>
      </c>
      <c r="AF1505" t="str">
        <f t="shared" si="446"/>
        <v>P00</v>
      </c>
      <c r="AG1505" t="str">
        <f t="shared" si="452"/>
        <v>0P00</v>
      </c>
      <c r="AH1505" t="str">
        <f t="shared" si="453"/>
        <v>P000</v>
      </c>
      <c r="AI1505" t="str">
        <f t="shared" si="454"/>
        <v>0P00</v>
      </c>
      <c r="AJ1505" t="str">
        <f t="shared" si="455"/>
        <v>P000</v>
      </c>
    </row>
    <row r="1506" spans="1:36" x14ac:dyDescent="0.25">
      <c r="A1506" s="325" t="str">
        <f>CONCATENATE("P",'906MP'!M1206)</f>
        <v>P</v>
      </c>
      <c r="B1506">
        <f>'906MP'!H1206</f>
        <v>0</v>
      </c>
      <c r="C1506">
        <f>'906MP'!J1206</f>
        <v>0</v>
      </c>
      <c r="D1506">
        <f>'906MP'!P1206</f>
        <v>0</v>
      </c>
      <c r="E1506">
        <f>'906MP'!X1206</f>
        <v>0</v>
      </c>
      <c r="F1506" t="str">
        <f t="shared" si="447"/>
        <v>0</v>
      </c>
      <c r="G1506" t="str">
        <f t="shared" si="448"/>
        <v>0</v>
      </c>
      <c r="H1506">
        <f>'906MP'!Y1206</f>
        <v>0</v>
      </c>
      <c r="I1506">
        <f>'906MP'!AK1206</f>
        <v>0</v>
      </c>
      <c r="J1506">
        <f>'906MP'!T1206</f>
        <v>0</v>
      </c>
      <c r="K1506">
        <f>'906MP'!AJ1206</f>
        <v>0</v>
      </c>
      <c r="L1506">
        <f>'906MP'!U1206</f>
        <v>0</v>
      </c>
      <c r="M1506" s="322" t="str">
        <f>IFERROR(VLOOKUP(A1506,PAR!$D$3:$E$53,2,FALSE),"nincs szervezet")</f>
        <v>nincs szervezet</v>
      </c>
      <c r="N1506" s="322" t="str">
        <f>VLOOKUP(F1506,PAR!$R$3:$S$5,2,FALSE)</f>
        <v>3 - egyik sem</v>
      </c>
      <c r="O1506" t="str">
        <f>IFERROR(VLOOKUP(J1506,PAR!$O$3:$P$5,2,FALSE),"nincs feladat")</f>
        <v>nincs feladat</v>
      </c>
      <c r="P1506" t="str">
        <f>IFERROR(VLOOKUP(G1506,PAR!$J$2:$M$19,4),"nincs rovat")</f>
        <v>nincs rovat</v>
      </c>
      <c r="Q1506" t="str">
        <f>IF(H1506&gt;0,VLOOKUP(H1506,PAR!$AA$3:$AC$187,3,FALSE),"nincs főkönyvi számla")</f>
        <v>nincs főkönyvi számla</v>
      </c>
      <c r="R1506" t="str">
        <f>IFERROR(VLOOKUP(K1506,PAR!$V$3:$X$438,3,FALSE),"000000 - Nincs COFOG")</f>
        <v>000000 - Nincs COFOG</v>
      </c>
      <c r="S1506">
        <f t="shared" si="449"/>
        <v>0</v>
      </c>
      <c r="T1506">
        <f t="shared" si="450"/>
        <v>0</v>
      </c>
      <c r="U1506" t="str">
        <f>IF('906MP'!J1206&gt;0,CONCATENATE('906MP'!J1206," - ",'906MP'!P1206,", ",'906MP'!E1206),"nincs megjegyzés")</f>
        <v>nincs megjegyzés</v>
      </c>
      <c r="V1506" t="str">
        <f t="shared" si="437"/>
        <v>0P0</v>
      </c>
      <c r="W1506" t="str">
        <f t="shared" si="438"/>
        <v>0P0</v>
      </c>
      <c r="X1506" t="str">
        <f t="shared" si="439"/>
        <v>P0</v>
      </c>
      <c r="Y1506" t="str">
        <f t="shared" si="440"/>
        <v>00</v>
      </c>
      <c r="Z1506" t="str">
        <f t="shared" si="451"/>
        <v>00</v>
      </c>
      <c r="AA1506" t="str">
        <f t="shared" si="441"/>
        <v>00</v>
      </c>
      <c r="AB1506" t="str">
        <f t="shared" si="442"/>
        <v>00</v>
      </c>
      <c r="AC1506" t="str">
        <f t="shared" si="443"/>
        <v>0P0</v>
      </c>
      <c r="AD1506" t="str">
        <f t="shared" si="444"/>
        <v>P00</v>
      </c>
      <c r="AE1506" t="str">
        <f t="shared" si="445"/>
        <v>0P0</v>
      </c>
      <c r="AF1506" t="str">
        <f t="shared" si="446"/>
        <v>P00</v>
      </c>
      <c r="AG1506" t="str">
        <f t="shared" si="452"/>
        <v>0P00</v>
      </c>
      <c r="AH1506" t="str">
        <f t="shared" si="453"/>
        <v>P000</v>
      </c>
      <c r="AI1506" t="str">
        <f t="shared" si="454"/>
        <v>0P00</v>
      </c>
      <c r="AJ1506" t="str">
        <f t="shared" si="455"/>
        <v>P000</v>
      </c>
    </row>
    <row r="1507" spans="1:36" x14ac:dyDescent="0.25">
      <c r="A1507" s="325" t="str">
        <f>CONCATENATE("P",'906MP'!M1207)</f>
        <v>P</v>
      </c>
      <c r="B1507">
        <f>'906MP'!H1207</f>
        <v>0</v>
      </c>
      <c r="C1507">
        <f>'906MP'!J1207</f>
        <v>0</v>
      </c>
      <c r="D1507">
        <f>'906MP'!P1207</f>
        <v>0</v>
      </c>
      <c r="E1507">
        <f>'906MP'!X1207</f>
        <v>0</v>
      </c>
      <c r="F1507" t="str">
        <f t="shared" si="447"/>
        <v>0</v>
      </c>
      <c r="G1507" t="str">
        <f t="shared" si="448"/>
        <v>0</v>
      </c>
      <c r="H1507">
        <f>'906MP'!Y1207</f>
        <v>0</v>
      </c>
      <c r="I1507">
        <f>'906MP'!AK1207</f>
        <v>0</v>
      </c>
      <c r="J1507">
        <f>'906MP'!T1207</f>
        <v>0</v>
      </c>
      <c r="K1507">
        <f>'906MP'!AJ1207</f>
        <v>0</v>
      </c>
      <c r="L1507">
        <f>'906MP'!U1207</f>
        <v>0</v>
      </c>
      <c r="M1507" s="322" t="str">
        <f>IFERROR(VLOOKUP(A1507,PAR!$D$3:$E$53,2,FALSE),"nincs szervezet")</f>
        <v>nincs szervezet</v>
      </c>
      <c r="N1507" s="322" t="str">
        <f>VLOOKUP(F1507,PAR!$R$3:$S$5,2,FALSE)</f>
        <v>3 - egyik sem</v>
      </c>
      <c r="O1507" t="str">
        <f>IFERROR(VLOOKUP(J1507,PAR!$O$3:$P$5,2,FALSE),"nincs feladat")</f>
        <v>nincs feladat</v>
      </c>
      <c r="P1507" t="str">
        <f>IFERROR(VLOOKUP(G1507,PAR!$J$2:$M$19,4),"nincs rovat")</f>
        <v>nincs rovat</v>
      </c>
      <c r="Q1507" t="str">
        <f>IF(H1507&gt;0,VLOOKUP(H1507,PAR!$AA$3:$AC$187,3,FALSE),"nincs főkönyvi számla")</f>
        <v>nincs főkönyvi számla</v>
      </c>
      <c r="R1507" t="str">
        <f>IFERROR(VLOOKUP(K1507,PAR!$V$3:$X$438,3,FALSE),"000000 - Nincs COFOG")</f>
        <v>000000 - Nincs COFOG</v>
      </c>
      <c r="S1507">
        <f t="shared" si="449"/>
        <v>0</v>
      </c>
      <c r="T1507">
        <f t="shared" si="450"/>
        <v>0</v>
      </c>
      <c r="U1507" t="str">
        <f>IF('906MP'!J1207&gt;0,CONCATENATE('906MP'!J1207," - ",'906MP'!P1207,", ",'906MP'!E1207),"nincs megjegyzés")</f>
        <v>nincs megjegyzés</v>
      </c>
      <c r="V1507" t="str">
        <f t="shared" si="437"/>
        <v>0P0</v>
      </c>
      <c r="W1507" t="str">
        <f t="shared" si="438"/>
        <v>0P0</v>
      </c>
      <c r="X1507" t="str">
        <f t="shared" si="439"/>
        <v>P0</v>
      </c>
      <c r="Y1507" t="str">
        <f t="shared" si="440"/>
        <v>00</v>
      </c>
      <c r="Z1507" t="str">
        <f t="shared" si="451"/>
        <v>00</v>
      </c>
      <c r="AA1507" t="str">
        <f t="shared" si="441"/>
        <v>00</v>
      </c>
      <c r="AB1507" t="str">
        <f t="shared" si="442"/>
        <v>00</v>
      </c>
      <c r="AC1507" t="str">
        <f t="shared" si="443"/>
        <v>0P0</v>
      </c>
      <c r="AD1507" t="str">
        <f t="shared" si="444"/>
        <v>P00</v>
      </c>
      <c r="AE1507" t="str">
        <f t="shared" si="445"/>
        <v>0P0</v>
      </c>
      <c r="AF1507" t="str">
        <f t="shared" si="446"/>
        <v>P00</v>
      </c>
      <c r="AG1507" t="str">
        <f t="shared" si="452"/>
        <v>0P00</v>
      </c>
      <c r="AH1507" t="str">
        <f t="shared" si="453"/>
        <v>P000</v>
      </c>
      <c r="AI1507" t="str">
        <f t="shared" si="454"/>
        <v>0P00</v>
      </c>
      <c r="AJ1507" t="str">
        <f t="shared" si="455"/>
        <v>P000</v>
      </c>
    </row>
    <row r="1508" spans="1:36" x14ac:dyDescent="0.25">
      <c r="A1508" s="325" t="str">
        <f>CONCATENATE("P",'906MP'!M1208)</f>
        <v>P</v>
      </c>
      <c r="B1508">
        <f>'906MP'!H1208</f>
        <v>0</v>
      </c>
      <c r="C1508">
        <f>'906MP'!J1208</f>
        <v>0</v>
      </c>
      <c r="D1508">
        <f>'906MP'!P1208</f>
        <v>0</v>
      </c>
      <c r="E1508">
        <f>'906MP'!X1208</f>
        <v>0</v>
      </c>
      <c r="F1508" t="str">
        <f t="shared" si="447"/>
        <v>0</v>
      </c>
      <c r="G1508" t="str">
        <f t="shared" si="448"/>
        <v>0</v>
      </c>
      <c r="H1508">
        <f>'906MP'!Y1208</f>
        <v>0</v>
      </c>
      <c r="I1508">
        <f>'906MP'!AK1208</f>
        <v>0</v>
      </c>
      <c r="J1508">
        <f>'906MP'!T1208</f>
        <v>0</v>
      </c>
      <c r="K1508">
        <f>'906MP'!AJ1208</f>
        <v>0</v>
      </c>
      <c r="L1508">
        <f>'906MP'!U1208</f>
        <v>0</v>
      </c>
      <c r="M1508" s="322" t="str">
        <f>IFERROR(VLOOKUP(A1508,PAR!$D$3:$E$53,2,FALSE),"nincs szervezet")</f>
        <v>nincs szervezet</v>
      </c>
      <c r="N1508" s="322" t="str">
        <f>VLOOKUP(F1508,PAR!$R$3:$S$5,2,FALSE)</f>
        <v>3 - egyik sem</v>
      </c>
      <c r="O1508" t="str">
        <f>IFERROR(VLOOKUP(J1508,PAR!$O$3:$P$5,2,FALSE),"nincs feladat")</f>
        <v>nincs feladat</v>
      </c>
      <c r="P1508" t="str">
        <f>IFERROR(VLOOKUP(G1508,PAR!$J$2:$M$19,4),"nincs rovat")</f>
        <v>nincs rovat</v>
      </c>
      <c r="Q1508" t="str">
        <f>IF(H1508&gt;0,VLOOKUP(H1508,PAR!$AA$3:$AC$187,3,FALSE),"nincs főkönyvi számla")</f>
        <v>nincs főkönyvi számla</v>
      </c>
      <c r="R1508" t="str">
        <f>IFERROR(VLOOKUP(K1508,PAR!$V$3:$X$438,3,FALSE),"000000 - Nincs COFOG")</f>
        <v>000000 - Nincs COFOG</v>
      </c>
      <c r="S1508">
        <f t="shared" si="449"/>
        <v>0</v>
      </c>
      <c r="T1508">
        <f t="shared" si="450"/>
        <v>0</v>
      </c>
      <c r="U1508" t="str">
        <f>IF('906MP'!J1208&gt;0,CONCATENATE('906MP'!J1208," - ",'906MP'!P1208,", ",'906MP'!E1208),"nincs megjegyzés")</f>
        <v>nincs megjegyzés</v>
      </c>
      <c r="V1508" t="str">
        <f t="shared" si="437"/>
        <v>0P0</v>
      </c>
      <c r="W1508" t="str">
        <f t="shared" si="438"/>
        <v>0P0</v>
      </c>
      <c r="X1508" t="str">
        <f t="shared" si="439"/>
        <v>P0</v>
      </c>
      <c r="Y1508" t="str">
        <f t="shared" si="440"/>
        <v>00</v>
      </c>
      <c r="Z1508" t="str">
        <f t="shared" si="451"/>
        <v>00</v>
      </c>
      <c r="AA1508" t="str">
        <f t="shared" si="441"/>
        <v>00</v>
      </c>
      <c r="AB1508" t="str">
        <f t="shared" si="442"/>
        <v>00</v>
      </c>
      <c r="AC1508" t="str">
        <f t="shared" si="443"/>
        <v>0P0</v>
      </c>
      <c r="AD1508" t="str">
        <f t="shared" si="444"/>
        <v>P00</v>
      </c>
      <c r="AE1508" t="str">
        <f t="shared" si="445"/>
        <v>0P0</v>
      </c>
      <c r="AF1508" t="str">
        <f t="shared" si="446"/>
        <v>P00</v>
      </c>
      <c r="AG1508" t="str">
        <f t="shared" si="452"/>
        <v>0P00</v>
      </c>
      <c r="AH1508" t="str">
        <f t="shared" si="453"/>
        <v>P000</v>
      </c>
      <c r="AI1508" t="str">
        <f t="shared" si="454"/>
        <v>0P00</v>
      </c>
      <c r="AJ1508" t="str">
        <f t="shared" si="455"/>
        <v>P000</v>
      </c>
    </row>
    <row r="1509" spans="1:36" x14ac:dyDescent="0.25">
      <c r="A1509" s="325" t="str">
        <f>CONCATENATE("P",'906MP'!M1209)</f>
        <v>P</v>
      </c>
      <c r="B1509">
        <f>'906MP'!H1209</f>
        <v>0</v>
      </c>
      <c r="C1509">
        <f>'906MP'!J1209</f>
        <v>0</v>
      </c>
      <c r="D1509">
        <f>'906MP'!P1209</f>
        <v>0</v>
      </c>
      <c r="E1509">
        <f>'906MP'!X1209</f>
        <v>0</v>
      </c>
      <c r="F1509" t="str">
        <f t="shared" si="447"/>
        <v>0</v>
      </c>
      <c r="G1509" t="str">
        <f t="shared" si="448"/>
        <v>0</v>
      </c>
      <c r="H1509">
        <f>'906MP'!Y1209</f>
        <v>0</v>
      </c>
      <c r="I1509">
        <f>'906MP'!AK1209</f>
        <v>0</v>
      </c>
      <c r="J1509">
        <f>'906MP'!T1209</f>
        <v>0</v>
      </c>
      <c r="K1509">
        <f>'906MP'!AJ1209</f>
        <v>0</v>
      </c>
      <c r="L1509">
        <f>'906MP'!U1209</f>
        <v>0</v>
      </c>
      <c r="M1509" s="322" t="str">
        <f>IFERROR(VLOOKUP(A1509,PAR!$D$3:$E$53,2,FALSE),"nincs szervezet")</f>
        <v>nincs szervezet</v>
      </c>
      <c r="N1509" s="322" t="str">
        <f>VLOOKUP(F1509,PAR!$R$3:$S$5,2,FALSE)</f>
        <v>3 - egyik sem</v>
      </c>
      <c r="O1509" t="str">
        <f>IFERROR(VLOOKUP(J1509,PAR!$O$3:$P$5,2,FALSE),"nincs feladat")</f>
        <v>nincs feladat</v>
      </c>
      <c r="P1509" t="str">
        <f>IFERROR(VLOOKUP(G1509,PAR!$J$2:$M$19,4),"nincs rovat")</f>
        <v>nincs rovat</v>
      </c>
      <c r="Q1509" t="str">
        <f>IF(H1509&gt;0,VLOOKUP(H1509,PAR!$AA$3:$AC$187,3,FALSE),"nincs főkönyvi számla")</f>
        <v>nincs főkönyvi számla</v>
      </c>
      <c r="R1509" t="str">
        <f>IFERROR(VLOOKUP(K1509,PAR!$V$3:$X$438,3,FALSE),"000000 - Nincs COFOG")</f>
        <v>000000 - Nincs COFOG</v>
      </c>
      <c r="S1509">
        <f t="shared" si="449"/>
        <v>0</v>
      </c>
      <c r="T1509">
        <f t="shared" si="450"/>
        <v>0</v>
      </c>
      <c r="U1509" t="str">
        <f>IF('906MP'!J1209&gt;0,CONCATENATE('906MP'!J1209," - ",'906MP'!P1209,", ",'906MP'!E1209),"nincs megjegyzés")</f>
        <v>nincs megjegyzés</v>
      </c>
      <c r="V1509" t="str">
        <f t="shared" si="437"/>
        <v>0P0</v>
      </c>
      <c r="W1509" t="str">
        <f t="shared" si="438"/>
        <v>0P0</v>
      </c>
      <c r="X1509" t="str">
        <f t="shared" si="439"/>
        <v>P0</v>
      </c>
      <c r="Y1509" t="str">
        <f t="shared" si="440"/>
        <v>00</v>
      </c>
      <c r="Z1509" t="str">
        <f t="shared" si="451"/>
        <v>00</v>
      </c>
      <c r="AA1509" t="str">
        <f t="shared" si="441"/>
        <v>00</v>
      </c>
      <c r="AB1509" t="str">
        <f t="shared" si="442"/>
        <v>00</v>
      </c>
      <c r="AC1509" t="str">
        <f t="shared" si="443"/>
        <v>0P0</v>
      </c>
      <c r="AD1509" t="str">
        <f t="shared" si="444"/>
        <v>P00</v>
      </c>
      <c r="AE1509" t="str">
        <f t="shared" si="445"/>
        <v>0P0</v>
      </c>
      <c r="AF1509" t="str">
        <f t="shared" si="446"/>
        <v>P00</v>
      </c>
      <c r="AG1509" t="str">
        <f t="shared" si="452"/>
        <v>0P00</v>
      </c>
      <c r="AH1509" t="str">
        <f t="shared" si="453"/>
        <v>P000</v>
      </c>
      <c r="AI1509" t="str">
        <f t="shared" si="454"/>
        <v>0P00</v>
      </c>
      <c r="AJ1509" t="str">
        <f t="shared" si="455"/>
        <v>P000</v>
      </c>
    </row>
    <row r="1510" spans="1:36" x14ac:dyDescent="0.25">
      <c r="A1510" s="325" t="str">
        <f>CONCATENATE("P",'906MP'!M1210)</f>
        <v>P</v>
      </c>
      <c r="B1510">
        <f>'906MP'!H1210</f>
        <v>0</v>
      </c>
      <c r="C1510">
        <f>'906MP'!J1210</f>
        <v>0</v>
      </c>
      <c r="D1510">
        <f>'906MP'!P1210</f>
        <v>0</v>
      </c>
      <c r="E1510">
        <f>'906MP'!X1210</f>
        <v>0</v>
      </c>
      <c r="F1510" t="str">
        <f t="shared" si="447"/>
        <v>0</v>
      </c>
      <c r="G1510" t="str">
        <f t="shared" si="448"/>
        <v>0</v>
      </c>
      <c r="H1510">
        <f>'906MP'!Y1210</f>
        <v>0</v>
      </c>
      <c r="I1510">
        <f>'906MP'!AK1210</f>
        <v>0</v>
      </c>
      <c r="J1510">
        <f>'906MP'!T1210</f>
        <v>0</v>
      </c>
      <c r="K1510">
        <f>'906MP'!AJ1210</f>
        <v>0</v>
      </c>
      <c r="L1510">
        <f>'906MP'!U1210</f>
        <v>0</v>
      </c>
      <c r="M1510" s="322" t="str">
        <f>IFERROR(VLOOKUP(A1510,PAR!$D$3:$E$53,2,FALSE),"nincs szervezet")</f>
        <v>nincs szervezet</v>
      </c>
      <c r="N1510" s="322" t="str">
        <f>VLOOKUP(F1510,PAR!$R$3:$S$5,2,FALSE)</f>
        <v>3 - egyik sem</v>
      </c>
      <c r="O1510" t="str">
        <f>IFERROR(VLOOKUP(J1510,PAR!$O$3:$P$5,2,FALSE),"nincs feladat")</f>
        <v>nincs feladat</v>
      </c>
      <c r="P1510" t="str">
        <f>IFERROR(VLOOKUP(G1510,PAR!$J$2:$M$19,4),"nincs rovat")</f>
        <v>nincs rovat</v>
      </c>
      <c r="Q1510" t="str">
        <f>IF(H1510&gt;0,VLOOKUP(H1510,PAR!$AA$3:$AC$187,3,FALSE),"nincs főkönyvi számla")</f>
        <v>nincs főkönyvi számla</v>
      </c>
      <c r="R1510" t="str">
        <f>IFERROR(VLOOKUP(K1510,PAR!$V$3:$X$438,3,FALSE),"000000 - Nincs COFOG")</f>
        <v>000000 - Nincs COFOG</v>
      </c>
      <c r="S1510">
        <f t="shared" si="449"/>
        <v>0</v>
      </c>
      <c r="T1510">
        <f t="shared" si="450"/>
        <v>0</v>
      </c>
      <c r="U1510" t="str">
        <f>IF('906MP'!J1210&gt;0,CONCATENATE('906MP'!J1210," - ",'906MP'!P1210,", ",'906MP'!E1210),"nincs megjegyzés")</f>
        <v>nincs megjegyzés</v>
      </c>
      <c r="V1510" t="str">
        <f t="shared" si="437"/>
        <v>0P0</v>
      </c>
      <c r="W1510" t="str">
        <f t="shared" si="438"/>
        <v>0P0</v>
      </c>
      <c r="X1510" t="str">
        <f t="shared" si="439"/>
        <v>P0</v>
      </c>
      <c r="Y1510" t="str">
        <f t="shared" si="440"/>
        <v>00</v>
      </c>
      <c r="Z1510" t="str">
        <f t="shared" si="451"/>
        <v>00</v>
      </c>
      <c r="AA1510" t="str">
        <f t="shared" si="441"/>
        <v>00</v>
      </c>
      <c r="AB1510" t="str">
        <f t="shared" si="442"/>
        <v>00</v>
      </c>
      <c r="AC1510" t="str">
        <f t="shared" si="443"/>
        <v>0P0</v>
      </c>
      <c r="AD1510" t="str">
        <f t="shared" si="444"/>
        <v>P00</v>
      </c>
      <c r="AE1510" t="str">
        <f t="shared" si="445"/>
        <v>0P0</v>
      </c>
      <c r="AF1510" t="str">
        <f t="shared" si="446"/>
        <v>P00</v>
      </c>
      <c r="AG1510" t="str">
        <f t="shared" si="452"/>
        <v>0P00</v>
      </c>
      <c r="AH1510" t="str">
        <f t="shared" si="453"/>
        <v>P000</v>
      </c>
      <c r="AI1510" t="str">
        <f t="shared" si="454"/>
        <v>0P00</v>
      </c>
      <c r="AJ1510" t="str">
        <f t="shared" si="455"/>
        <v>P000</v>
      </c>
    </row>
    <row r="1511" spans="1:36" x14ac:dyDescent="0.25">
      <c r="A1511" s="325" t="str">
        <f>CONCATENATE("P",'906MP'!M1211)</f>
        <v>P</v>
      </c>
      <c r="B1511">
        <f>'906MP'!H1211</f>
        <v>0</v>
      </c>
      <c r="C1511">
        <f>'906MP'!J1211</f>
        <v>0</v>
      </c>
      <c r="D1511">
        <f>'906MP'!P1211</f>
        <v>0</v>
      </c>
      <c r="E1511">
        <f>'906MP'!X1211</f>
        <v>0</v>
      </c>
      <c r="F1511" t="str">
        <f t="shared" si="447"/>
        <v>0</v>
      </c>
      <c r="G1511" t="str">
        <f t="shared" si="448"/>
        <v>0</v>
      </c>
      <c r="H1511">
        <f>'906MP'!Y1211</f>
        <v>0</v>
      </c>
      <c r="I1511">
        <f>'906MP'!AK1211</f>
        <v>0</v>
      </c>
      <c r="J1511">
        <f>'906MP'!T1211</f>
        <v>0</v>
      </c>
      <c r="K1511">
        <f>'906MP'!AJ1211</f>
        <v>0</v>
      </c>
      <c r="L1511">
        <f>'906MP'!U1211</f>
        <v>0</v>
      </c>
      <c r="M1511" s="322" t="str">
        <f>IFERROR(VLOOKUP(A1511,PAR!$D$3:$E$53,2,FALSE),"nincs szervezet")</f>
        <v>nincs szervezet</v>
      </c>
      <c r="N1511" s="322" t="str">
        <f>VLOOKUP(F1511,PAR!$R$3:$S$5,2,FALSE)</f>
        <v>3 - egyik sem</v>
      </c>
      <c r="O1511" t="str">
        <f>IFERROR(VLOOKUP(J1511,PAR!$O$3:$P$5,2,FALSE),"nincs feladat")</f>
        <v>nincs feladat</v>
      </c>
      <c r="P1511" t="str">
        <f>IFERROR(VLOOKUP(G1511,PAR!$J$2:$M$19,4),"nincs rovat")</f>
        <v>nincs rovat</v>
      </c>
      <c r="Q1511" t="str">
        <f>IF(H1511&gt;0,VLOOKUP(H1511,PAR!$AA$3:$AC$187,3,FALSE),"nincs főkönyvi számla")</f>
        <v>nincs főkönyvi számla</v>
      </c>
      <c r="R1511" t="str">
        <f>IFERROR(VLOOKUP(K1511,PAR!$V$3:$X$438,3,FALSE),"000000 - Nincs COFOG")</f>
        <v>000000 - Nincs COFOG</v>
      </c>
      <c r="S1511">
        <f t="shared" si="449"/>
        <v>0</v>
      </c>
      <c r="T1511">
        <f t="shared" si="450"/>
        <v>0</v>
      </c>
      <c r="U1511" t="str">
        <f>IF('906MP'!J1211&gt;0,CONCATENATE('906MP'!J1211," - ",'906MP'!P1211,", ",'906MP'!E1211),"nincs megjegyzés")</f>
        <v>nincs megjegyzés</v>
      </c>
      <c r="V1511" t="str">
        <f t="shared" si="437"/>
        <v>0P0</v>
      </c>
      <c r="W1511" t="str">
        <f t="shared" si="438"/>
        <v>0P0</v>
      </c>
      <c r="X1511" t="str">
        <f t="shared" si="439"/>
        <v>P0</v>
      </c>
      <c r="Y1511" t="str">
        <f t="shared" si="440"/>
        <v>00</v>
      </c>
      <c r="Z1511" t="str">
        <f t="shared" si="451"/>
        <v>00</v>
      </c>
      <c r="AA1511" t="str">
        <f t="shared" si="441"/>
        <v>00</v>
      </c>
      <c r="AB1511" t="str">
        <f t="shared" si="442"/>
        <v>00</v>
      </c>
      <c r="AC1511" t="str">
        <f t="shared" si="443"/>
        <v>0P0</v>
      </c>
      <c r="AD1511" t="str">
        <f t="shared" si="444"/>
        <v>P00</v>
      </c>
      <c r="AE1511" t="str">
        <f t="shared" si="445"/>
        <v>0P0</v>
      </c>
      <c r="AF1511" t="str">
        <f t="shared" si="446"/>
        <v>P00</v>
      </c>
      <c r="AG1511" t="str">
        <f t="shared" si="452"/>
        <v>0P00</v>
      </c>
      <c r="AH1511" t="str">
        <f t="shared" si="453"/>
        <v>P000</v>
      </c>
      <c r="AI1511" t="str">
        <f t="shared" si="454"/>
        <v>0P00</v>
      </c>
      <c r="AJ1511" t="str">
        <f t="shared" si="455"/>
        <v>P000</v>
      </c>
    </row>
    <row r="1512" spans="1:36" x14ac:dyDescent="0.25">
      <c r="A1512" s="325" t="str">
        <f>CONCATENATE("P",'906MP'!M1212)</f>
        <v>P</v>
      </c>
      <c r="B1512">
        <f>'906MP'!H1212</f>
        <v>0</v>
      </c>
      <c r="C1512">
        <f>'906MP'!J1212</f>
        <v>0</v>
      </c>
      <c r="D1512">
        <f>'906MP'!P1212</f>
        <v>0</v>
      </c>
      <c r="E1512">
        <f>'906MP'!X1212</f>
        <v>0</v>
      </c>
      <c r="F1512" t="str">
        <f t="shared" si="447"/>
        <v>0</v>
      </c>
      <c r="G1512" t="str">
        <f t="shared" si="448"/>
        <v>0</v>
      </c>
      <c r="H1512">
        <f>'906MP'!Y1212</f>
        <v>0</v>
      </c>
      <c r="I1512">
        <f>'906MP'!AK1212</f>
        <v>0</v>
      </c>
      <c r="J1512">
        <f>'906MP'!T1212</f>
        <v>0</v>
      </c>
      <c r="K1512">
        <f>'906MP'!AJ1212</f>
        <v>0</v>
      </c>
      <c r="L1512">
        <f>'906MP'!U1212</f>
        <v>0</v>
      </c>
      <c r="M1512" s="322" t="str">
        <f>IFERROR(VLOOKUP(A1512,PAR!$D$3:$E$53,2,FALSE),"nincs szervezet")</f>
        <v>nincs szervezet</v>
      </c>
      <c r="N1512" s="322" t="str">
        <f>VLOOKUP(F1512,PAR!$R$3:$S$5,2,FALSE)</f>
        <v>3 - egyik sem</v>
      </c>
      <c r="O1512" t="str">
        <f>IFERROR(VLOOKUP(J1512,PAR!$O$3:$P$5,2,FALSE),"nincs feladat")</f>
        <v>nincs feladat</v>
      </c>
      <c r="P1512" t="str">
        <f>IFERROR(VLOOKUP(G1512,PAR!$J$2:$M$19,4),"nincs rovat")</f>
        <v>nincs rovat</v>
      </c>
      <c r="Q1512" t="str">
        <f>IF(H1512&gt;0,VLOOKUP(H1512,PAR!$AA$3:$AC$187,3,FALSE),"nincs főkönyvi számla")</f>
        <v>nincs főkönyvi számla</v>
      </c>
      <c r="R1512" t="str">
        <f>IFERROR(VLOOKUP(K1512,PAR!$V$3:$X$438,3,FALSE),"000000 - Nincs COFOG")</f>
        <v>000000 - Nincs COFOG</v>
      </c>
      <c r="S1512">
        <f t="shared" si="449"/>
        <v>0</v>
      </c>
      <c r="T1512">
        <f t="shared" si="450"/>
        <v>0</v>
      </c>
      <c r="U1512" t="str">
        <f>IF('906MP'!J1212&gt;0,CONCATENATE('906MP'!J1212," - ",'906MP'!P1212,", ",'906MP'!E1212),"nincs megjegyzés")</f>
        <v>nincs megjegyzés</v>
      </c>
      <c r="V1512" t="str">
        <f t="shared" si="437"/>
        <v>0P0</v>
      </c>
      <c r="W1512" t="str">
        <f t="shared" si="438"/>
        <v>0P0</v>
      </c>
      <c r="X1512" t="str">
        <f t="shared" si="439"/>
        <v>P0</v>
      </c>
      <c r="Y1512" t="str">
        <f t="shared" si="440"/>
        <v>00</v>
      </c>
      <c r="Z1512" t="str">
        <f t="shared" si="451"/>
        <v>00</v>
      </c>
      <c r="AA1512" t="str">
        <f t="shared" si="441"/>
        <v>00</v>
      </c>
      <c r="AB1512" t="str">
        <f t="shared" si="442"/>
        <v>00</v>
      </c>
      <c r="AC1512" t="str">
        <f t="shared" si="443"/>
        <v>0P0</v>
      </c>
      <c r="AD1512" t="str">
        <f t="shared" si="444"/>
        <v>P00</v>
      </c>
      <c r="AE1512" t="str">
        <f t="shared" si="445"/>
        <v>0P0</v>
      </c>
      <c r="AF1512" t="str">
        <f t="shared" si="446"/>
        <v>P00</v>
      </c>
      <c r="AG1512" t="str">
        <f t="shared" si="452"/>
        <v>0P00</v>
      </c>
      <c r="AH1512" t="str">
        <f t="shared" si="453"/>
        <v>P000</v>
      </c>
      <c r="AI1512" t="str">
        <f t="shared" si="454"/>
        <v>0P00</v>
      </c>
      <c r="AJ1512" t="str">
        <f t="shared" si="455"/>
        <v>P000</v>
      </c>
    </row>
    <row r="1513" spans="1:36" x14ac:dyDescent="0.25">
      <c r="A1513" s="325" t="str">
        <f>CONCATENATE("P",'906MP'!M1213)</f>
        <v>P</v>
      </c>
      <c r="B1513">
        <f>'906MP'!H1213</f>
        <v>0</v>
      </c>
      <c r="C1513">
        <f>'906MP'!J1213</f>
        <v>0</v>
      </c>
      <c r="D1513">
        <f>'906MP'!P1213</f>
        <v>0</v>
      </c>
      <c r="E1513">
        <f>'906MP'!X1213</f>
        <v>0</v>
      </c>
      <c r="F1513" t="str">
        <f t="shared" si="447"/>
        <v>0</v>
      </c>
      <c r="G1513" t="str">
        <f t="shared" si="448"/>
        <v>0</v>
      </c>
      <c r="H1513">
        <f>'906MP'!Y1213</f>
        <v>0</v>
      </c>
      <c r="I1513">
        <f>'906MP'!AK1213</f>
        <v>0</v>
      </c>
      <c r="J1513">
        <f>'906MP'!T1213</f>
        <v>0</v>
      </c>
      <c r="K1513">
        <f>'906MP'!AJ1213</f>
        <v>0</v>
      </c>
      <c r="L1513">
        <f>'906MP'!U1213</f>
        <v>0</v>
      </c>
      <c r="M1513" s="322" t="str">
        <f>IFERROR(VLOOKUP(A1513,PAR!$D$3:$E$53,2,FALSE),"nincs szervezet")</f>
        <v>nincs szervezet</v>
      </c>
      <c r="N1513" s="322" t="str">
        <f>VLOOKUP(F1513,PAR!$R$3:$S$5,2,FALSE)</f>
        <v>3 - egyik sem</v>
      </c>
      <c r="O1513" t="str">
        <f>IFERROR(VLOOKUP(J1513,PAR!$O$3:$P$5,2,FALSE),"nincs feladat")</f>
        <v>nincs feladat</v>
      </c>
      <c r="P1513" t="str">
        <f>IFERROR(VLOOKUP(G1513,PAR!$J$2:$M$19,4),"nincs rovat")</f>
        <v>nincs rovat</v>
      </c>
      <c r="Q1513" t="str">
        <f>IF(H1513&gt;0,VLOOKUP(H1513,PAR!$AA$3:$AC$187,3,FALSE),"nincs főkönyvi számla")</f>
        <v>nincs főkönyvi számla</v>
      </c>
      <c r="R1513" t="str">
        <f>IFERROR(VLOOKUP(K1513,PAR!$V$3:$X$438,3,FALSE),"000000 - Nincs COFOG")</f>
        <v>000000 - Nincs COFOG</v>
      </c>
      <c r="S1513">
        <f t="shared" si="449"/>
        <v>0</v>
      </c>
      <c r="T1513">
        <f t="shared" si="450"/>
        <v>0</v>
      </c>
      <c r="U1513" t="str">
        <f>IF('906MP'!J1213&gt;0,CONCATENATE('906MP'!J1213," - ",'906MP'!P1213,", ",'906MP'!E1213),"nincs megjegyzés")</f>
        <v>nincs megjegyzés</v>
      </c>
      <c r="V1513" t="str">
        <f t="shared" si="437"/>
        <v>0P0</v>
      </c>
      <c r="W1513" t="str">
        <f t="shared" si="438"/>
        <v>0P0</v>
      </c>
      <c r="X1513" t="str">
        <f t="shared" si="439"/>
        <v>P0</v>
      </c>
      <c r="Y1513" t="str">
        <f t="shared" si="440"/>
        <v>00</v>
      </c>
      <c r="Z1513" t="str">
        <f t="shared" si="451"/>
        <v>00</v>
      </c>
      <c r="AA1513" t="str">
        <f t="shared" si="441"/>
        <v>00</v>
      </c>
      <c r="AB1513" t="str">
        <f t="shared" si="442"/>
        <v>00</v>
      </c>
      <c r="AC1513" t="str">
        <f t="shared" si="443"/>
        <v>0P0</v>
      </c>
      <c r="AD1513" t="str">
        <f t="shared" si="444"/>
        <v>P00</v>
      </c>
      <c r="AE1513" t="str">
        <f t="shared" si="445"/>
        <v>0P0</v>
      </c>
      <c r="AF1513" t="str">
        <f t="shared" si="446"/>
        <v>P00</v>
      </c>
      <c r="AG1513" t="str">
        <f t="shared" si="452"/>
        <v>0P00</v>
      </c>
      <c r="AH1513" t="str">
        <f t="shared" si="453"/>
        <v>P000</v>
      </c>
      <c r="AI1513" t="str">
        <f t="shared" si="454"/>
        <v>0P00</v>
      </c>
      <c r="AJ1513" t="str">
        <f t="shared" si="455"/>
        <v>P000</v>
      </c>
    </row>
    <row r="1514" spans="1:36" x14ac:dyDescent="0.25">
      <c r="A1514" s="325" t="str">
        <f>CONCATENATE("P",'906MP'!M1214)</f>
        <v>P</v>
      </c>
      <c r="B1514">
        <f>'906MP'!H1214</f>
        <v>0</v>
      </c>
      <c r="C1514">
        <f>'906MP'!J1214</f>
        <v>0</v>
      </c>
      <c r="D1514">
        <f>'906MP'!P1214</f>
        <v>0</v>
      </c>
      <c r="E1514">
        <f>'906MP'!X1214</f>
        <v>0</v>
      </c>
      <c r="F1514" t="str">
        <f t="shared" si="447"/>
        <v>0</v>
      </c>
      <c r="G1514" t="str">
        <f t="shared" si="448"/>
        <v>0</v>
      </c>
      <c r="H1514">
        <f>'906MP'!Y1214</f>
        <v>0</v>
      </c>
      <c r="I1514">
        <f>'906MP'!AK1214</f>
        <v>0</v>
      </c>
      <c r="J1514">
        <f>'906MP'!T1214</f>
        <v>0</v>
      </c>
      <c r="K1514">
        <f>'906MP'!AJ1214</f>
        <v>0</v>
      </c>
      <c r="L1514">
        <f>'906MP'!U1214</f>
        <v>0</v>
      </c>
      <c r="M1514" s="322" t="str">
        <f>IFERROR(VLOOKUP(A1514,PAR!$D$3:$E$53,2,FALSE),"nincs szervezet")</f>
        <v>nincs szervezet</v>
      </c>
      <c r="N1514" s="322" t="str">
        <f>VLOOKUP(F1514,PAR!$R$3:$S$5,2,FALSE)</f>
        <v>3 - egyik sem</v>
      </c>
      <c r="O1514" t="str">
        <f>IFERROR(VLOOKUP(J1514,PAR!$O$3:$P$5,2,FALSE),"nincs feladat")</f>
        <v>nincs feladat</v>
      </c>
      <c r="P1514" t="str">
        <f>IFERROR(VLOOKUP(G1514,PAR!$J$2:$M$19,4),"nincs rovat")</f>
        <v>nincs rovat</v>
      </c>
      <c r="Q1514" t="str">
        <f>IF(H1514&gt;0,VLOOKUP(H1514,PAR!$AA$3:$AC$187,3,FALSE),"nincs főkönyvi számla")</f>
        <v>nincs főkönyvi számla</v>
      </c>
      <c r="R1514" t="str">
        <f>IFERROR(VLOOKUP(K1514,PAR!$V$3:$X$438,3,FALSE),"000000 - Nincs COFOG")</f>
        <v>000000 - Nincs COFOG</v>
      </c>
      <c r="S1514">
        <f t="shared" si="449"/>
        <v>0</v>
      </c>
      <c r="T1514">
        <f t="shared" si="450"/>
        <v>0</v>
      </c>
      <c r="U1514" t="str">
        <f>IF('906MP'!J1214&gt;0,CONCATENATE('906MP'!J1214," - ",'906MP'!P1214,", ",'906MP'!E1214),"nincs megjegyzés")</f>
        <v>nincs megjegyzés</v>
      </c>
      <c r="V1514" t="str">
        <f t="shared" si="437"/>
        <v>0P0</v>
      </c>
      <c r="W1514" t="str">
        <f t="shared" si="438"/>
        <v>0P0</v>
      </c>
      <c r="X1514" t="str">
        <f t="shared" si="439"/>
        <v>P0</v>
      </c>
      <c r="Y1514" t="str">
        <f t="shared" si="440"/>
        <v>00</v>
      </c>
      <c r="Z1514" t="str">
        <f t="shared" si="451"/>
        <v>00</v>
      </c>
      <c r="AA1514" t="str">
        <f t="shared" si="441"/>
        <v>00</v>
      </c>
      <c r="AB1514" t="str">
        <f t="shared" si="442"/>
        <v>00</v>
      </c>
      <c r="AC1514" t="str">
        <f t="shared" si="443"/>
        <v>0P0</v>
      </c>
      <c r="AD1514" t="str">
        <f t="shared" si="444"/>
        <v>P00</v>
      </c>
      <c r="AE1514" t="str">
        <f t="shared" si="445"/>
        <v>0P0</v>
      </c>
      <c r="AF1514" t="str">
        <f t="shared" si="446"/>
        <v>P00</v>
      </c>
      <c r="AG1514" t="str">
        <f t="shared" si="452"/>
        <v>0P00</v>
      </c>
      <c r="AH1514" t="str">
        <f t="shared" si="453"/>
        <v>P000</v>
      </c>
      <c r="AI1514" t="str">
        <f t="shared" si="454"/>
        <v>0P00</v>
      </c>
      <c r="AJ1514" t="str">
        <f t="shared" si="455"/>
        <v>P000</v>
      </c>
    </row>
    <row r="1515" spans="1:36" x14ac:dyDescent="0.25">
      <c r="A1515" s="325" t="str">
        <f>CONCATENATE("P",'906MP'!M1215)</f>
        <v>P</v>
      </c>
      <c r="B1515">
        <f>'906MP'!H1215</f>
        <v>0</v>
      </c>
      <c r="C1515">
        <f>'906MP'!J1215</f>
        <v>0</v>
      </c>
      <c r="D1515">
        <f>'906MP'!P1215</f>
        <v>0</v>
      </c>
      <c r="E1515">
        <f>'906MP'!X1215</f>
        <v>0</v>
      </c>
      <c r="F1515" t="str">
        <f t="shared" si="447"/>
        <v>0</v>
      </c>
      <c r="G1515" t="str">
        <f t="shared" si="448"/>
        <v>0</v>
      </c>
      <c r="H1515">
        <f>'906MP'!Y1215</f>
        <v>0</v>
      </c>
      <c r="I1515">
        <f>'906MP'!AK1215</f>
        <v>0</v>
      </c>
      <c r="J1515">
        <f>'906MP'!T1215</f>
        <v>0</v>
      </c>
      <c r="K1515">
        <f>'906MP'!AJ1215</f>
        <v>0</v>
      </c>
      <c r="L1515">
        <f>'906MP'!U1215</f>
        <v>0</v>
      </c>
      <c r="M1515" s="322" t="str">
        <f>IFERROR(VLOOKUP(A1515,PAR!$D$3:$E$53,2,FALSE),"nincs szervezet")</f>
        <v>nincs szervezet</v>
      </c>
      <c r="N1515" s="322" t="str">
        <f>VLOOKUP(F1515,PAR!$R$3:$S$5,2,FALSE)</f>
        <v>3 - egyik sem</v>
      </c>
      <c r="O1515" t="str">
        <f>IFERROR(VLOOKUP(J1515,PAR!$O$3:$P$5,2,FALSE),"nincs feladat")</f>
        <v>nincs feladat</v>
      </c>
      <c r="P1515" t="str">
        <f>IFERROR(VLOOKUP(G1515,PAR!$J$2:$M$19,4),"nincs rovat")</f>
        <v>nincs rovat</v>
      </c>
      <c r="Q1515" t="str">
        <f>IF(H1515&gt;0,VLOOKUP(H1515,PAR!$AA$3:$AC$187,3,FALSE),"nincs főkönyvi számla")</f>
        <v>nincs főkönyvi számla</v>
      </c>
      <c r="R1515" t="str">
        <f>IFERROR(VLOOKUP(K1515,PAR!$V$3:$X$438,3,FALSE),"000000 - Nincs COFOG")</f>
        <v>000000 - Nincs COFOG</v>
      </c>
      <c r="S1515">
        <f t="shared" si="449"/>
        <v>0</v>
      </c>
      <c r="T1515">
        <f t="shared" si="450"/>
        <v>0</v>
      </c>
      <c r="U1515" t="str">
        <f>IF('906MP'!J1215&gt;0,CONCATENATE('906MP'!J1215," - ",'906MP'!P1215,", ",'906MP'!E1215),"nincs megjegyzés")</f>
        <v>nincs megjegyzés</v>
      </c>
      <c r="V1515" t="str">
        <f t="shared" si="437"/>
        <v>0P0</v>
      </c>
      <c r="W1515" t="str">
        <f t="shared" si="438"/>
        <v>0P0</v>
      </c>
      <c r="X1515" t="str">
        <f t="shared" si="439"/>
        <v>P0</v>
      </c>
      <c r="Y1515" t="str">
        <f t="shared" si="440"/>
        <v>00</v>
      </c>
      <c r="Z1515" t="str">
        <f t="shared" si="451"/>
        <v>00</v>
      </c>
      <c r="AA1515" t="str">
        <f t="shared" si="441"/>
        <v>00</v>
      </c>
      <c r="AB1515" t="str">
        <f t="shared" si="442"/>
        <v>00</v>
      </c>
      <c r="AC1515" t="str">
        <f t="shared" si="443"/>
        <v>0P0</v>
      </c>
      <c r="AD1515" t="str">
        <f t="shared" si="444"/>
        <v>P00</v>
      </c>
      <c r="AE1515" t="str">
        <f t="shared" si="445"/>
        <v>0P0</v>
      </c>
      <c r="AF1515" t="str">
        <f t="shared" si="446"/>
        <v>P00</v>
      </c>
      <c r="AG1515" t="str">
        <f t="shared" si="452"/>
        <v>0P00</v>
      </c>
      <c r="AH1515" t="str">
        <f t="shared" si="453"/>
        <v>P000</v>
      </c>
      <c r="AI1515" t="str">
        <f t="shared" si="454"/>
        <v>0P00</v>
      </c>
      <c r="AJ1515" t="str">
        <f t="shared" si="455"/>
        <v>P000</v>
      </c>
    </row>
    <row r="1516" spans="1:36" x14ac:dyDescent="0.25">
      <c r="A1516" s="325" t="str">
        <f>CONCATENATE("P",'906MP'!M1216)</f>
        <v>P</v>
      </c>
      <c r="B1516">
        <f>'906MP'!H1216</f>
        <v>0</v>
      </c>
      <c r="C1516">
        <f>'906MP'!J1216</f>
        <v>0</v>
      </c>
      <c r="D1516">
        <f>'906MP'!P1216</f>
        <v>0</v>
      </c>
      <c r="E1516">
        <f>'906MP'!X1216</f>
        <v>0</v>
      </c>
      <c r="F1516" t="str">
        <f t="shared" si="447"/>
        <v>0</v>
      </c>
      <c r="G1516" t="str">
        <f t="shared" si="448"/>
        <v>0</v>
      </c>
      <c r="H1516">
        <f>'906MP'!Y1216</f>
        <v>0</v>
      </c>
      <c r="I1516">
        <f>'906MP'!AK1216</f>
        <v>0</v>
      </c>
      <c r="J1516">
        <f>'906MP'!T1216</f>
        <v>0</v>
      </c>
      <c r="K1516">
        <f>'906MP'!AJ1216</f>
        <v>0</v>
      </c>
      <c r="L1516">
        <f>'906MP'!U1216</f>
        <v>0</v>
      </c>
      <c r="M1516" s="322" t="str">
        <f>IFERROR(VLOOKUP(A1516,PAR!$D$3:$E$53,2,FALSE),"nincs szervezet")</f>
        <v>nincs szervezet</v>
      </c>
      <c r="N1516" s="322" t="str">
        <f>VLOOKUP(F1516,PAR!$R$3:$S$5,2,FALSE)</f>
        <v>3 - egyik sem</v>
      </c>
      <c r="O1516" t="str">
        <f>IFERROR(VLOOKUP(J1516,PAR!$O$3:$P$5,2,FALSE),"nincs feladat")</f>
        <v>nincs feladat</v>
      </c>
      <c r="P1516" t="str">
        <f>IFERROR(VLOOKUP(G1516,PAR!$J$2:$M$19,4),"nincs rovat")</f>
        <v>nincs rovat</v>
      </c>
      <c r="Q1516" t="str">
        <f>IF(H1516&gt;0,VLOOKUP(H1516,PAR!$AA$3:$AC$187,3,FALSE),"nincs főkönyvi számla")</f>
        <v>nincs főkönyvi számla</v>
      </c>
      <c r="R1516" t="str">
        <f>IFERROR(VLOOKUP(K1516,PAR!$V$3:$X$438,3,FALSE),"000000 - Nincs COFOG")</f>
        <v>000000 - Nincs COFOG</v>
      </c>
      <c r="S1516">
        <f t="shared" si="449"/>
        <v>0</v>
      </c>
      <c r="T1516">
        <f t="shared" si="450"/>
        <v>0</v>
      </c>
      <c r="U1516" t="str">
        <f>IF('906MP'!J1216&gt;0,CONCATENATE('906MP'!J1216," - ",'906MP'!P1216,", ",'906MP'!E1216),"nincs megjegyzés")</f>
        <v>nincs megjegyzés</v>
      </c>
      <c r="V1516" t="str">
        <f t="shared" si="437"/>
        <v>0P0</v>
      </c>
      <c r="W1516" t="str">
        <f t="shared" si="438"/>
        <v>0P0</v>
      </c>
      <c r="X1516" t="str">
        <f t="shared" si="439"/>
        <v>P0</v>
      </c>
      <c r="Y1516" t="str">
        <f t="shared" si="440"/>
        <v>00</v>
      </c>
      <c r="Z1516" t="str">
        <f t="shared" si="451"/>
        <v>00</v>
      </c>
      <c r="AA1516" t="str">
        <f t="shared" si="441"/>
        <v>00</v>
      </c>
      <c r="AB1516" t="str">
        <f t="shared" si="442"/>
        <v>00</v>
      </c>
      <c r="AC1516" t="str">
        <f t="shared" si="443"/>
        <v>0P0</v>
      </c>
      <c r="AD1516" t="str">
        <f t="shared" si="444"/>
        <v>P00</v>
      </c>
      <c r="AE1516" t="str">
        <f t="shared" si="445"/>
        <v>0P0</v>
      </c>
      <c r="AF1516" t="str">
        <f t="shared" si="446"/>
        <v>P00</v>
      </c>
      <c r="AG1516" t="str">
        <f t="shared" si="452"/>
        <v>0P00</v>
      </c>
      <c r="AH1516" t="str">
        <f t="shared" si="453"/>
        <v>P000</v>
      </c>
      <c r="AI1516" t="str">
        <f t="shared" si="454"/>
        <v>0P00</v>
      </c>
      <c r="AJ1516" t="str">
        <f t="shared" si="455"/>
        <v>P000</v>
      </c>
    </row>
    <row r="1517" spans="1:36" x14ac:dyDescent="0.25">
      <c r="A1517" s="325" t="str">
        <f>CONCATENATE("P",'906MP'!M1217)</f>
        <v>P</v>
      </c>
      <c r="B1517">
        <f>'906MP'!H1217</f>
        <v>0</v>
      </c>
      <c r="C1517">
        <f>'906MP'!J1217</f>
        <v>0</v>
      </c>
      <c r="D1517">
        <f>'906MP'!P1217</f>
        <v>0</v>
      </c>
      <c r="E1517">
        <f>'906MP'!X1217</f>
        <v>0</v>
      </c>
      <c r="F1517" t="str">
        <f t="shared" si="447"/>
        <v>0</v>
      </c>
      <c r="G1517" t="str">
        <f t="shared" si="448"/>
        <v>0</v>
      </c>
      <c r="H1517">
        <f>'906MP'!Y1217</f>
        <v>0</v>
      </c>
      <c r="I1517">
        <f>'906MP'!AK1217</f>
        <v>0</v>
      </c>
      <c r="J1517">
        <f>'906MP'!T1217</f>
        <v>0</v>
      </c>
      <c r="K1517">
        <f>'906MP'!AJ1217</f>
        <v>0</v>
      </c>
      <c r="L1517">
        <f>'906MP'!U1217</f>
        <v>0</v>
      </c>
      <c r="M1517" s="322" t="str">
        <f>IFERROR(VLOOKUP(A1517,PAR!$D$3:$E$53,2,FALSE),"nincs szervezet")</f>
        <v>nincs szervezet</v>
      </c>
      <c r="N1517" s="322" t="str">
        <f>VLOOKUP(F1517,PAR!$R$3:$S$5,2,FALSE)</f>
        <v>3 - egyik sem</v>
      </c>
      <c r="O1517" t="str">
        <f>IFERROR(VLOOKUP(J1517,PAR!$O$3:$P$5,2,FALSE),"nincs feladat")</f>
        <v>nincs feladat</v>
      </c>
      <c r="P1517" t="str">
        <f>IFERROR(VLOOKUP(G1517,PAR!$J$2:$M$19,4),"nincs rovat")</f>
        <v>nincs rovat</v>
      </c>
      <c r="Q1517" t="str">
        <f>IF(H1517&gt;0,VLOOKUP(H1517,PAR!$AA$3:$AC$187,3,FALSE),"nincs főkönyvi számla")</f>
        <v>nincs főkönyvi számla</v>
      </c>
      <c r="R1517" t="str">
        <f>IFERROR(VLOOKUP(K1517,PAR!$V$3:$X$438,3,FALSE),"000000 - Nincs COFOG")</f>
        <v>000000 - Nincs COFOG</v>
      </c>
      <c r="S1517">
        <f t="shared" si="449"/>
        <v>0</v>
      </c>
      <c r="T1517">
        <f t="shared" si="450"/>
        <v>0</v>
      </c>
      <c r="U1517" t="str">
        <f>IF('906MP'!J1217&gt;0,CONCATENATE('906MP'!J1217," - ",'906MP'!P1217,", ",'906MP'!E1217),"nincs megjegyzés")</f>
        <v>nincs megjegyzés</v>
      </c>
      <c r="V1517" t="str">
        <f t="shared" si="437"/>
        <v>0P0</v>
      </c>
      <c r="W1517" t="str">
        <f t="shared" si="438"/>
        <v>0P0</v>
      </c>
      <c r="X1517" t="str">
        <f t="shared" si="439"/>
        <v>P0</v>
      </c>
      <c r="Y1517" t="str">
        <f t="shared" si="440"/>
        <v>00</v>
      </c>
      <c r="Z1517" t="str">
        <f t="shared" si="451"/>
        <v>00</v>
      </c>
      <c r="AA1517" t="str">
        <f t="shared" si="441"/>
        <v>00</v>
      </c>
      <c r="AB1517" t="str">
        <f t="shared" si="442"/>
        <v>00</v>
      </c>
      <c r="AC1517" t="str">
        <f t="shared" si="443"/>
        <v>0P0</v>
      </c>
      <c r="AD1517" t="str">
        <f t="shared" si="444"/>
        <v>P00</v>
      </c>
      <c r="AE1517" t="str">
        <f t="shared" si="445"/>
        <v>0P0</v>
      </c>
      <c r="AF1517" t="str">
        <f t="shared" si="446"/>
        <v>P00</v>
      </c>
      <c r="AG1517" t="str">
        <f t="shared" si="452"/>
        <v>0P00</v>
      </c>
      <c r="AH1517" t="str">
        <f t="shared" si="453"/>
        <v>P000</v>
      </c>
      <c r="AI1517" t="str">
        <f t="shared" si="454"/>
        <v>0P00</v>
      </c>
      <c r="AJ1517" t="str">
        <f t="shared" si="455"/>
        <v>P000</v>
      </c>
    </row>
    <row r="1518" spans="1:36" x14ac:dyDescent="0.25">
      <c r="A1518" s="325" t="str">
        <f>CONCATENATE("P",'906MP'!M1218)</f>
        <v>P</v>
      </c>
      <c r="B1518">
        <f>'906MP'!H1218</f>
        <v>0</v>
      </c>
      <c r="C1518">
        <f>'906MP'!J1218</f>
        <v>0</v>
      </c>
      <c r="D1518">
        <f>'906MP'!P1218</f>
        <v>0</v>
      </c>
      <c r="E1518">
        <f>'906MP'!X1218</f>
        <v>0</v>
      </c>
      <c r="F1518" t="str">
        <f t="shared" si="447"/>
        <v>0</v>
      </c>
      <c r="G1518" t="str">
        <f t="shared" si="448"/>
        <v>0</v>
      </c>
      <c r="H1518">
        <f>'906MP'!Y1218</f>
        <v>0</v>
      </c>
      <c r="I1518">
        <f>'906MP'!AK1218</f>
        <v>0</v>
      </c>
      <c r="J1518">
        <f>'906MP'!T1218</f>
        <v>0</v>
      </c>
      <c r="K1518">
        <f>'906MP'!AJ1218</f>
        <v>0</v>
      </c>
      <c r="L1518">
        <f>'906MP'!U1218</f>
        <v>0</v>
      </c>
      <c r="M1518" s="322" t="str">
        <f>IFERROR(VLOOKUP(A1518,PAR!$D$3:$E$53,2,FALSE),"nincs szervezet")</f>
        <v>nincs szervezet</v>
      </c>
      <c r="N1518" s="322" t="str">
        <f>VLOOKUP(F1518,PAR!$R$3:$S$5,2,FALSE)</f>
        <v>3 - egyik sem</v>
      </c>
      <c r="O1518" t="str">
        <f>IFERROR(VLOOKUP(J1518,PAR!$O$3:$P$5,2,FALSE),"nincs feladat")</f>
        <v>nincs feladat</v>
      </c>
      <c r="P1518" t="str">
        <f>IFERROR(VLOOKUP(G1518,PAR!$J$2:$M$19,4),"nincs rovat")</f>
        <v>nincs rovat</v>
      </c>
      <c r="Q1518" t="str">
        <f>IF(H1518&gt;0,VLOOKUP(H1518,PAR!$AA$3:$AC$187,3,FALSE),"nincs főkönyvi számla")</f>
        <v>nincs főkönyvi számla</v>
      </c>
      <c r="R1518" t="str">
        <f>IFERROR(VLOOKUP(K1518,PAR!$V$3:$X$438,3,FALSE),"000000 - Nincs COFOG")</f>
        <v>000000 - Nincs COFOG</v>
      </c>
      <c r="S1518">
        <f t="shared" si="449"/>
        <v>0</v>
      </c>
      <c r="T1518">
        <f t="shared" si="450"/>
        <v>0</v>
      </c>
      <c r="U1518" t="str">
        <f>IF('906MP'!J1218&gt;0,CONCATENATE('906MP'!J1218," - ",'906MP'!P1218,", ",'906MP'!E1218),"nincs megjegyzés")</f>
        <v>nincs megjegyzés</v>
      </c>
      <c r="V1518" t="str">
        <f t="shared" si="437"/>
        <v>0P0</v>
      </c>
      <c r="W1518" t="str">
        <f t="shared" si="438"/>
        <v>0P0</v>
      </c>
      <c r="X1518" t="str">
        <f t="shared" si="439"/>
        <v>P0</v>
      </c>
      <c r="Y1518" t="str">
        <f t="shared" si="440"/>
        <v>00</v>
      </c>
      <c r="Z1518" t="str">
        <f t="shared" si="451"/>
        <v>00</v>
      </c>
      <c r="AA1518" t="str">
        <f t="shared" si="441"/>
        <v>00</v>
      </c>
      <c r="AB1518" t="str">
        <f t="shared" si="442"/>
        <v>00</v>
      </c>
      <c r="AC1518" t="str">
        <f t="shared" si="443"/>
        <v>0P0</v>
      </c>
      <c r="AD1518" t="str">
        <f t="shared" si="444"/>
        <v>P00</v>
      </c>
      <c r="AE1518" t="str">
        <f t="shared" si="445"/>
        <v>0P0</v>
      </c>
      <c r="AF1518" t="str">
        <f t="shared" si="446"/>
        <v>P00</v>
      </c>
      <c r="AG1518" t="str">
        <f t="shared" si="452"/>
        <v>0P00</v>
      </c>
      <c r="AH1518" t="str">
        <f t="shared" si="453"/>
        <v>P000</v>
      </c>
      <c r="AI1518" t="str">
        <f t="shared" si="454"/>
        <v>0P00</v>
      </c>
      <c r="AJ1518" t="str">
        <f t="shared" si="455"/>
        <v>P000</v>
      </c>
    </row>
    <row r="1519" spans="1:36" x14ac:dyDescent="0.25">
      <c r="A1519" s="325" t="str">
        <f>CONCATENATE("P",'906MP'!M1219)</f>
        <v>P</v>
      </c>
      <c r="B1519">
        <f>'906MP'!H1219</f>
        <v>0</v>
      </c>
      <c r="C1519">
        <f>'906MP'!J1219</f>
        <v>0</v>
      </c>
      <c r="D1519">
        <f>'906MP'!P1219</f>
        <v>0</v>
      </c>
      <c r="E1519">
        <f>'906MP'!X1219</f>
        <v>0</v>
      </c>
      <c r="F1519" t="str">
        <f t="shared" si="447"/>
        <v>0</v>
      </c>
      <c r="G1519" t="str">
        <f t="shared" si="448"/>
        <v>0</v>
      </c>
      <c r="H1519">
        <f>'906MP'!Y1219</f>
        <v>0</v>
      </c>
      <c r="I1519">
        <f>'906MP'!AK1219</f>
        <v>0</v>
      </c>
      <c r="J1519">
        <f>'906MP'!T1219</f>
        <v>0</v>
      </c>
      <c r="K1519">
        <f>'906MP'!AJ1219</f>
        <v>0</v>
      </c>
      <c r="L1519">
        <f>'906MP'!U1219</f>
        <v>0</v>
      </c>
      <c r="M1519" s="322" t="str">
        <f>IFERROR(VLOOKUP(A1519,PAR!$D$3:$E$53,2,FALSE),"nincs szervezet")</f>
        <v>nincs szervezet</v>
      </c>
      <c r="N1519" s="322" t="str">
        <f>VLOOKUP(F1519,PAR!$R$3:$S$5,2,FALSE)</f>
        <v>3 - egyik sem</v>
      </c>
      <c r="O1519" t="str">
        <f>IFERROR(VLOOKUP(J1519,PAR!$O$3:$P$5,2,FALSE),"nincs feladat")</f>
        <v>nincs feladat</v>
      </c>
      <c r="P1519" t="str">
        <f>IFERROR(VLOOKUP(G1519,PAR!$J$2:$M$19,4),"nincs rovat")</f>
        <v>nincs rovat</v>
      </c>
      <c r="Q1519" t="str">
        <f>IF(H1519&gt;0,VLOOKUP(H1519,PAR!$AA$3:$AC$187,3,FALSE),"nincs főkönyvi számla")</f>
        <v>nincs főkönyvi számla</v>
      </c>
      <c r="R1519" t="str">
        <f>IFERROR(VLOOKUP(K1519,PAR!$V$3:$X$438,3,FALSE),"000000 - Nincs COFOG")</f>
        <v>000000 - Nincs COFOG</v>
      </c>
      <c r="S1519">
        <f t="shared" si="449"/>
        <v>0</v>
      </c>
      <c r="T1519">
        <f t="shared" si="450"/>
        <v>0</v>
      </c>
      <c r="U1519" t="str">
        <f>IF('906MP'!J1219&gt;0,CONCATENATE('906MP'!J1219," - ",'906MP'!P1219,", ",'906MP'!E1219),"nincs megjegyzés")</f>
        <v>nincs megjegyzés</v>
      </c>
      <c r="V1519" t="str">
        <f t="shared" si="437"/>
        <v>0P0</v>
      </c>
      <c r="W1519" t="str">
        <f t="shared" si="438"/>
        <v>0P0</v>
      </c>
      <c r="X1519" t="str">
        <f t="shared" si="439"/>
        <v>P0</v>
      </c>
      <c r="Y1519" t="str">
        <f t="shared" si="440"/>
        <v>00</v>
      </c>
      <c r="Z1519" t="str">
        <f t="shared" si="451"/>
        <v>00</v>
      </c>
      <c r="AA1519" t="str">
        <f t="shared" si="441"/>
        <v>00</v>
      </c>
      <c r="AB1519" t="str">
        <f t="shared" si="442"/>
        <v>00</v>
      </c>
      <c r="AC1519" t="str">
        <f t="shared" si="443"/>
        <v>0P0</v>
      </c>
      <c r="AD1519" t="str">
        <f t="shared" si="444"/>
        <v>P00</v>
      </c>
      <c r="AE1519" t="str">
        <f t="shared" si="445"/>
        <v>0P0</v>
      </c>
      <c r="AF1519" t="str">
        <f t="shared" si="446"/>
        <v>P00</v>
      </c>
      <c r="AG1519" t="str">
        <f t="shared" si="452"/>
        <v>0P00</v>
      </c>
      <c r="AH1519" t="str">
        <f t="shared" si="453"/>
        <v>P000</v>
      </c>
      <c r="AI1519" t="str">
        <f t="shared" si="454"/>
        <v>0P00</v>
      </c>
      <c r="AJ1519" t="str">
        <f t="shared" si="455"/>
        <v>P000</v>
      </c>
    </row>
    <row r="1520" spans="1:36" x14ac:dyDescent="0.25">
      <c r="A1520" s="325" t="str">
        <f>CONCATENATE("P",'906MP'!M1220)</f>
        <v>P</v>
      </c>
      <c r="B1520">
        <f>'906MP'!H1220</f>
        <v>0</v>
      </c>
      <c r="C1520">
        <f>'906MP'!J1220</f>
        <v>0</v>
      </c>
      <c r="D1520">
        <f>'906MP'!P1220</f>
        <v>0</v>
      </c>
      <c r="E1520">
        <f>'906MP'!X1220</f>
        <v>0</v>
      </c>
      <c r="F1520" t="str">
        <f t="shared" si="447"/>
        <v>0</v>
      </c>
      <c r="G1520" t="str">
        <f t="shared" si="448"/>
        <v>0</v>
      </c>
      <c r="H1520">
        <f>'906MP'!Y1220</f>
        <v>0</v>
      </c>
      <c r="I1520">
        <f>'906MP'!AK1220</f>
        <v>0</v>
      </c>
      <c r="J1520">
        <f>'906MP'!T1220</f>
        <v>0</v>
      </c>
      <c r="K1520">
        <f>'906MP'!AJ1220</f>
        <v>0</v>
      </c>
      <c r="L1520">
        <f>'906MP'!U1220</f>
        <v>0</v>
      </c>
      <c r="M1520" s="322" t="str">
        <f>IFERROR(VLOOKUP(A1520,PAR!$D$3:$E$53,2,FALSE),"nincs szervezet")</f>
        <v>nincs szervezet</v>
      </c>
      <c r="N1520" s="322" t="str">
        <f>VLOOKUP(F1520,PAR!$R$3:$S$5,2,FALSE)</f>
        <v>3 - egyik sem</v>
      </c>
      <c r="O1520" t="str">
        <f>IFERROR(VLOOKUP(J1520,PAR!$O$3:$P$5,2,FALSE),"nincs feladat")</f>
        <v>nincs feladat</v>
      </c>
      <c r="P1520" t="str">
        <f>IFERROR(VLOOKUP(G1520,PAR!$J$2:$M$19,4),"nincs rovat")</f>
        <v>nincs rovat</v>
      </c>
      <c r="Q1520" t="str">
        <f>IF(H1520&gt;0,VLOOKUP(H1520,PAR!$AA$3:$AC$187,3,FALSE),"nincs főkönyvi számla")</f>
        <v>nincs főkönyvi számla</v>
      </c>
      <c r="R1520" t="str">
        <f>IFERROR(VLOOKUP(K1520,PAR!$V$3:$X$438,3,FALSE),"000000 - Nincs COFOG")</f>
        <v>000000 - Nincs COFOG</v>
      </c>
      <c r="S1520">
        <f t="shared" si="449"/>
        <v>0</v>
      </c>
      <c r="T1520">
        <f t="shared" si="450"/>
        <v>0</v>
      </c>
      <c r="U1520" t="str">
        <f>IF('906MP'!J1220&gt;0,CONCATENATE('906MP'!J1220," - ",'906MP'!P1220,", ",'906MP'!E1220),"nincs megjegyzés")</f>
        <v>nincs megjegyzés</v>
      </c>
      <c r="V1520" t="str">
        <f t="shared" si="437"/>
        <v>0P0</v>
      </c>
      <c r="W1520" t="str">
        <f t="shared" si="438"/>
        <v>0P0</v>
      </c>
      <c r="X1520" t="str">
        <f t="shared" si="439"/>
        <v>P0</v>
      </c>
      <c r="Y1520" t="str">
        <f t="shared" si="440"/>
        <v>00</v>
      </c>
      <c r="Z1520" t="str">
        <f t="shared" si="451"/>
        <v>00</v>
      </c>
      <c r="AA1520" t="str">
        <f t="shared" si="441"/>
        <v>00</v>
      </c>
      <c r="AB1520" t="str">
        <f t="shared" si="442"/>
        <v>00</v>
      </c>
      <c r="AC1520" t="str">
        <f t="shared" si="443"/>
        <v>0P0</v>
      </c>
      <c r="AD1520" t="str">
        <f t="shared" si="444"/>
        <v>P00</v>
      </c>
      <c r="AE1520" t="str">
        <f t="shared" si="445"/>
        <v>0P0</v>
      </c>
      <c r="AF1520" t="str">
        <f t="shared" si="446"/>
        <v>P00</v>
      </c>
      <c r="AG1520" t="str">
        <f t="shared" si="452"/>
        <v>0P00</v>
      </c>
      <c r="AH1520" t="str">
        <f t="shared" si="453"/>
        <v>P000</v>
      </c>
      <c r="AI1520" t="str">
        <f t="shared" si="454"/>
        <v>0P00</v>
      </c>
      <c r="AJ1520" t="str">
        <f t="shared" si="455"/>
        <v>P000</v>
      </c>
    </row>
    <row r="1521" spans="1:36" x14ac:dyDescent="0.25">
      <c r="A1521" s="325" t="str">
        <f>CONCATENATE("P",'906MP'!M1221)</f>
        <v>P</v>
      </c>
      <c r="B1521">
        <f>'906MP'!H1221</f>
        <v>0</v>
      </c>
      <c r="C1521">
        <f>'906MP'!J1221</f>
        <v>0</v>
      </c>
      <c r="D1521">
        <f>'906MP'!P1221</f>
        <v>0</v>
      </c>
      <c r="E1521">
        <f>'906MP'!X1221</f>
        <v>0</v>
      </c>
      <c r="F1521" t="str">
        <f t="shared" si="447"/>
        <v>0</v>
      </c>
      <c r="G1521" t="str">
        <f t="shared" si="448"/>
        <v>0</v>
      </c>
      <c r="H1521">
        <f>'906MP'!Y1221</f>
        <v>0</v>
      </c>
      <c r="I1521">
        <f>'906MP'!AK1221</f>
        <v>0</v>
      </c>
      <c r="J1521">
        <f>'906MP'!T1221</f>
        <v>0</v>
      </c>
      <c r="K1521">
        <f>'906MP'!AJ1221</f>
        <v>0</v>
      </c>
      <c r="L1521">
        <f>'906MP'!U1221</f>
        <v>0</v>
      </c>
      <c r="M1521" s="322" t="str">
        <f>IFERROR(VLOOKUP(A1521,PAR!$D$3:$E$53,2,FALSE),"nincs szervezet")</f>
        <v>nincs szervezet</v>
      </c>
      <c r="N1521" s="322" t="str">
        <f>VLOOKUP(F1521,PAR!$R$3:$S$5,2,FALSE)</f>
        <v>3 - egyik sem</v>
      </c>
      <c r="O1521" t="str">
        <f>IFERROR(VLOOKUP(J1521,PAR!$O$3:$P$5,2,FALSE),"nincs feladat")</f>
        <v>nincs feladat</v>
      </c>
      <c r="P1521" t="str">
        <f>IFERROR(VLOOKUP(G1521,PAR!$J$2:$M$19,4),"nincs rovat")</f>
        <v>nincs rovat</v>
      </c>
      <c r="Q1521" t="str">
        <f>IF(H1521&gt;0,VLOOKUP(H1521,PAR!$AA$3:$AC$187,3,FALSE),"nincs főkönyvi számla")</f>
        <v>nincs főkönyvi számla</v>
      </c>
      <c r="R1521" t="str">
        <f>IFERROR(VLOOKUP(K1521,PAR!$V$3:$X$438,3,FALSE),"000000 - Nincs COFOG")</f>
        <v>000000 - Nincs COFOG</v>
      </c>
      <c r="S1521">
        <f t="shared" si="449"/>
        <v>0</v>
      </c>
      <c r="T1521">
        <f t="shared" si="450"/>
        <v>0</v>
      </c>
      <c r="U1521" t="str">
        <f>IF('906MP'!J1221&gt;0,CONCATENATE('906MP'!J1221," - ",'906MP'!P1221,", ",'906MP'!E1221),"nincs megjegyzés")</f>
        <v>nincs megjegyzés</v>
      </c>
      <c r="V1521" t="str">
        <f t="shared" si="437"/>
        <v>0P0</v>
      </c>
      <c r="W1521" t="str">
        <f t="shared" si="438"/>
        <v>0P0</v>
      </c>
      <c r="X1521" t="str">
        <f t="shared" si="439"/>
        <v>P0</v>
      </c>
      <c r="Y1521" t="str">
        <f t="shared" si="440"/>
        <v>00</v>
      </c>
      <c r="Z1521" t="str">
        <f t="shared" si="451"/>
        <v>00</v>
      </c>
      <c r="AA1521" t="str">
        <f t="shared" si="441"/>
        <v>00</v>
      </c>
      <c r="AB1521" t="str">
        <f t="shared" si="442"/>
        <v>00</v>
      </c>
      <c r="AC1521" t="str">
        <f t="shared" si="443"/>
        <v>0P0</v>
      </c>
      <c r="AD1521" t="str">
        <f t="shared" si="444"/>
        <v>P00</v>
      </c>
      <c r="AE1521" t="str">
        <f t="shared" si="445"/>
        <v>0P0</v>
      </c>
      <c r="AF1521" t="str">
        <f t="shared" si="446"/>
        <v>P00</v>
      </c>
      <c r="AG1521" t="str">
        <f t="shared" si="452"/>
        <v>0P00</v>
      </c>
      <c r="AH1521" t="str">
        <f t="shared" si="453"/>
        <v>P000</v>
      </c>
      <c r="AI1521" t="str">
        <f t="shared" si="454"/>
        <v>0P00</v>
      </c>
      <c r="AJ1521" t="str">
        <f t="shared" si="455"/>
        <v>P000</v>
      </c>
    </row>
    <row r="1522" spans="1:36" x14ac:dyDescent="0.25">
      <c r="A1522" s="325" t="str">
        <f>CONCATENATE("P",'906MP'!M1222)</f>
        <v>P</v>
      </c>
      <c r="B1522">
        <f>'906MP'!H1222</f>
        <v>0</v>
      </c>
      <c r="C1522">
        <f>'906MP'!J1222</f>
        <v>0</v>
      </c>
      <c r="D1522">
        <f>'906MP'!P1222</f>
        <v>0</v>
      </c>
      <c r="E1522">
        <f>'906MP'!X1222</f>
        <v>0</v>
      </c>
      <c r="F1522" t="str">
        <f t="shared" si="447"/>
        <v>0</v>
      </c>
      <c r="G1522" t="str">
        <f t="shared" si="448"/>
        <v>0</v>
      </c>
      <c r="H1522">
        <f>'906MP'!Y1222</f>
        <v>0</v>
      </c>
      <c r="I1522">
        <f>'906MP'!AK1222</f>
        <v>0</v>
      </c>
      <c r="J1522">
        <f>'906MP'!T1222</f>
        <v>0</v>
      </c>
      <c r="K1522">
        <f>'906MP'!AJ1222</f>
        <v>0</v>
      </c>
      <c r="L1522">
        <f>'906MP'!U1222</f>
        <v>0</v>
      </c>
      <c r="M1522" s="322" t="str">
        <f>IFERROR(VLOOKUP(A1522,PAR!$D$3:$E$53,2,FALSE),"nincs szervezet")</f>
        <v>nincs szervezet</v>
      </c>
      <c r="N1522" s="322" t="str">
        <f>VLOOKUP(F1522,PAR!$R$3:$S$5,2,FALSE)</f>
        <v>3 - egyik sem</v>
      </c>
      <c r="O1522" t="str">
        <f>IFERROR(VLOOKUP(J1522,PAR!$O$3:$P$5,2,FALSE),"nincs feladat")</f>
        <v>nincs feladat</v>
      </c>
      <c r="P1522" t="str">
        <f>IFERROR(VLOOKUP(G1522,PAR!$J$2:$M$19,4),"nincs rovat")</f>
        <v>nincs rovat</v>
      </c>
      <c r="Q1522" t="str">
        <f>IF(H1522&gt;0,VLOOKUP(H1522,PAR!$AA$3:$AC$187,3,FALSE),"nincs főkönyvi számla")</f>
        <v>nincs főkönyvi számla</v>
      </c>
      <c r="R1522" t="str">
        <f>IFERROR(VLOOKUP(K1522,PAR!$V$3:$X$438,3,FALSE),"000000 - Nincs COFOG")</f>
        <v>000000 - Nincs COFOG</v>
      </c>
      <c r="S1522">
        <f t="shared" si="449"/>
        <v>0</v>
      </c>
      <c r="T1522">
        <f t="shared" si="450"/>
        <v>0</v>
      </c>
      <c r="U1522" t="str">
        <f>IF('906MP'!J1222&gt;0,CONCATENATE('906MP'!J1222," - ",'906MP'!P1222,", ",'906MP'!E1222),"nincs megjegyzés")</f>
        <v>nincs megjegyzés</v>
      </c>
      <c r="V1522" t="str">
        <f t="shared" si="437"/>
        <v>0P0</v>
      </c>
      <c r="W1522" t="str">
        <f t="shared" si="438"/>
        <v>0P0</v>
      </c>
      <c r="X1522" t="str">
        <f t="shared" si="439"/>
        <v>P0</v>
      </c>
      <c r="Y1522" t="str">
        <f t="shared" si="440"/>
        <v>00</v>
      </c>
      <c r="Z1522" t="str">
        <f t="shared" si="451"/>
        <v>00</v>
      </c>
      <c r="AA1522" t="str">
        <f t="shared" si="441"/>
        <v>00</v>
      </c>
      <c r="AB1522" t="str">
        <f t="shared" si="442"/>
        <v>00</v>
      </c>
      <c r="AC1522" t="str">
        <f t="shared" si="443"/>
        <v>0P0</v>
      </c>
      <c r="AD1522" t="str">
        <f t="shared" si="444"/>
        <v>P00</v>
      </c>
      <c r="AE1522" t="str">
        <f t="shared" si="445"/>
        <v>0P0</v>
      </c>
      <c r="AF1522" t="str">
        <f t="shared" si="446"/>
        <v>P00</v>
      </c>
      <c r="AG1522" t="str">
        <f t="shared" si="452"/>
        <v>0P00</v>
      </c>
      <c r="AH1522" t="str">
        <f t="shared" si="453"/>
        <v>P000</v>
      </c>
      <c r="AI1522" t="str">
        <f t="shared" si="454"/>
        <v>0P00</v>
      </c>
      <c r="AJ1522" t="str">
        <f t="shared" si="455"/>
        <v>P000</v>
      </c>
    </row>
    <row r="1523" spans="1:36" x14ac:dyDescent="0.25">
      <c r="A1523" s="325" t="str">
        <f>CONCATENATE("P",'906MP'!M1223)</f>
        <v>P</v>
      </c>
      <c r="B1523">
        <f>'906MP'!H1223</f>
        <v>0</v>
      </c>
      <c r="C1523">
        <f>'906MP'!J1223</f>
        <v>0</v>
      </c>
      <c r="D1523">
        <f>'906MP'!P1223</f>
        <v>0</v>
      </c>
      <c r="E1523">
        <f>'906MP'!X1223</f>
        <v>0</v>
      </c>
      <c r="F1523" t="str">
        <f t="shared" si="447"/>
        <v>0</v>
      </c>
      <c r="G1523" t="str">
        <f t="shared" si="448"/>
        <v>0</v>
      </c>
      <c r="H1523">
        <f>'906MP'!Y1223</f>
        <v>0</v>
      </c>
      <c r="I1523">
        <f>'906MP'!AK1223</f>
        <v>0</v>
      </c>
      <c r="J1523">
        <f>'906MP'!T1223</f>
        <v>0</v>
      </c>
      <c r="K1523">
        <f>'906MP'!AJ1223</f>
        <v>0</v>
      </c>
      <c r="L1523">
        <f>'906MP'!U1223</f>
        <v>0</v>
      </c>
      <c r="M1523" s="322" t="str">
        <f>IFERROR(VLOOKUP(A1523,PAR!$D$3:$E$53,2,FALSE),"nincs szervezet")</f>
        <v>nincs szervezet</v>
      </c>
      <c r="N1523" s="322" t="str">
        <f>VLOOKUP(F1523,PAR!$R$3:$S$5,2,FALSE)</f>
        <v>3 - egyik sem</v>
      </c>
      <c r="O1523" t="str">
        <f>IFERROR(VLOOKUP(J1523,PAR!$O$3:$P$5,2,FALSE),"nincs feladat")</f>
        <v>nincs feladat</v>
      </c>
      <c r="P1523" t="str">
        <f>IFERROR(VLOOKUP(G1523,PAR!$J$2:$M$19,4),"nincs rovat")</f>
        <v>nincs rovat</v>
      </c>
      <c r="Q1523" t="str">
        <f>IF(H1523&gt;0,VLOOKUP(H1523,PAR!$AA$3:$AC$187,3,FALSE),"nincs főkönyvi számla")</f>
        <v>nincs főkönyvi számla</v>
      </c>
      <c r="R1523" t="str">
        <f>IFERROR(VLOOKUP(K1523,PAR!$V$3:$X$438,3,FALSE),"000000 - Nincs COFOG")</f>
        <v>000000 - Nincs COFOG</v>
      </c>
      <c r="S1523">
        <f t="shared" si="449"/>
        <v>0</v>
      </c>
      <c r="T1523">
        <f t="shared" si="450"/>
        <v>0</v>
      </c>
      <c r="U1523" t="str">
        <f>IF('906MP'!J1223&gt;0,CONCATENATE('906MP'!J1223," - ",'906MP'!P1223,", ",'906MP'!E1223),"nincs megjegyzés")</f>
        <v>nincs megjegyzés</v>
      </c>
      <c r="V1523" t="str">
        <f t="shared" si="437"/>
        <v>0P0</v>
      </c>
      <c r="W1523" t="str">
        <f t="shared" si="438"/>
        <v>0P0</v>
      </c>
      <c r="X1523" t="str">
        <f t="shared" si="439"/>
        <v>P0</v>
      </c>
      <c r="Y1523" t="str">
        <f t="shared" si="440"/>
        <v>00</v>
      </c>
      <c r="Z1523" t="str">
        <f t="shared" si="451"/>
        <v>00</v>
      </c>
      <c r="AA1523" t="str">
        <f t="shared" si="441"/>
        <v>00</v>
      </c>
      <c r="AB1523" t="str">
        <f t="shared" si="442"/>
        <v>00</v>
      </c>
      <c r="AC1523" t="str">
        <f t="shared" si="443"/>
        <v>0P0</v>
      </c>
      <c r="AD1523" t="str">
        <f t="shared" si="444"/>
        <v>P00</v>
      </c>
      <c r="AE1523" t="str">
        <f t="shared" si="445"/>
        <v>0P0</v>
      </c>
      <c r="AF1523" t="str">
        <f t="shared" si="446"/>
        <v>P00</v>
      </c>
      <c r="AG1523" t="str">
        <f t="shared" si="452"/>
        <v>0P00</v>
      </c>
      <c r="AH1523" t="str">
        <f t="shared" si="453"/>
        <v>P000</v>
      </c>
      <c r="AI1523" t="str">
        <f t="shared" si="454"/>
        <v>0P00</v>
      </c>
      <c r="AJ1523" t="str">
        <f t="shared" si="455"/>
        <v>P000</v>
      </c>
    </row>
    <row r="1524" spans="1:36" x14ac:dyDescent="0.25">
      <c r="A1524" s="325" t="str">
        <f>CONCATENATE("P",'906MP'!M1224)</f>
        <v>P</v>
      </c>
      <c r="B1524">
        <f>'906MP'!H1224</f>
        <v>0</v>
      </c>
      <c r="C1524">
        <f>'906MP'!J1224</f>
        <v>0</v>
      </c>
      <c r="D1524">
        <f>'906MP'!P1224</f>
        <v>0</v>
      </c>
      <c r="E1524">
        <f>'906MP'!X1224</f>
        <v>0</v>
      </c>
      <c r="F1524" t="str">
        <f t="shared" si="447"/>
        <v>0</v>
      </c>
      <c r="G1524" t="str">
        <f t="shared" si="448"/>
        <v>0</v>
      </c>
      <c r="H1524">
        <f>'906MP'!Y1224</f>
        <v>0</v>
      </c>
      <c r="I1524">
        <f>'906MP'!AK1224</f>
        <v>0</v>
      </c>
      <c r="J1524">
        <f>'906MP'!T1224</f>
        <v>0</v>
      </c>
      <c r="K1524">
        <f>'906MP'!AJ1224</f>
        <v>0</v>
      </c>
      <c r="L1524">
        <f>'906MP'!U1224</f>
        <v>0</v>
      </c>
      <c r="M1524" s="322" t="str">
        <f>IFERROR(VLOOKUP(A1524,PAR!$D$3:$E$53,2,FALSE),"nincs szervezet")</f>
        <v>nincs szervezet</v>
      </c>
      <c r="N1524" s="322" t="str">
        <f>VLOOKUP(F1524,PAR!$R$3:$S$5,2,FALSE)</f>
        <v>3 - egyik sem</v>
      </c>
      <c r="O1524" t="str">
        <f>IFERROR(VLOOKUP(J1524,PAR!$O$3:$P$5,2,FALSE),"nincs feladat")</f>
        <v>nincs feladat</v>
      </c>
      <c r="P1524" t="str">
        <f>IFERROR(VLOOKUP(G1524,PAR!$J$2:$M$19,4),"nincs rovat")</f>
        <v>nincs rovat</v>
      </c>
      <c r="Q1524" t="str">
        <f>IF(H1524&gt;0,VLOOKUP(H1524,PAR!$AA$3:$AC$187,3,FALSE),"nincs főkönyvi számla")</f>
        <v>nincs főkönyvi számla</v>
      </c>
      <c r="R1524" t="str">
        <f>IFERROR(VLOOKUP(K1524,PAR!$V$3:$X$438,3,FALSE),"000000 - Nincs COFOG")</f>
        <v>000000 - Nincs COFOG</v>
      </c>
      <c r="S1524">
        <f t="shared" si="449"/>
        <v>0</v>
      </c>
      <c r="T1524">
        <f t="shared" si="450"/>
        <v>0</v>
      </c>
      <c r="U1524" t="str">
        <f>IF('906MP'!J1224&gt;0,CONCATENATE('906MP'!J1224," - ",'906MP'!P1224,", ",'906MP'!E1224),"nincs megjegyzés")</f>
        <v>nincs megjegyzés</v>
      </c>
      <c r="V1524" t="str">
        <f t="shared" si="437"/>
        <v>0P0</v>
      </c>
      <c r="W1524" t="str">
        <f t="shared" si="438"/>
        <v>0P0</v>
      </c>
      <c r="X1524" t="str">
        <f t="shared" si="439"/>
        <v>P0</v>
      </c>
      <c r="Y1524" t="str">
        <f t="shared" si="440"/>
        <v>00</v>
      </c>
      <c r="Z1524" t="str">
        <f t="shared" si="451"/>
        <v>00</v>
      </c>
      <c r="AA1524" t="str">
        <f t="shared" si="441"/>
        <v>00</v>
      </c>
      <c r="AB1524" t="str">
        <f t="shared" si="442"/>
        <v>00</v>
      </c>
      <c r="AC1524" t="str">
        <f t="shared" si="443"/>
        <v>0P0</v>
      </c>
      <c r="AD1524" t="str">
        <f t="shared" si="444"/>
        <v>P00</v>
      </c>
      <c r="AE1524" t="str">
        <f t="shared" si="445"/>
        <v>0P0</v>
      </c>
      <c r="AF1524" t="str">
        <f t="shared" si="446"/>
        <v>P00</v>
      </c>
      <c r="AG1524" t="str">
        <f t="shared" si="452"/>
        <v>0P00</v>
      </c>
      <c r="AH1524" t="str">
        <f t="shared" si="453"/>
        <v>P000</v>
      </c>
      <c r="AI1524" t="str">
        <f t="shared" si="454"/>
        <v>0P00</v>
      </c>
      <c r="AJ1524" t="str">
        <f t="shared" si="455"/>
        <v>P000</v>
      </c>
    </row>
    <row r="1525" spans="1:36" x14ac:dyDescent="0.25">
      <c r="A1525" s="325" t="str">
        <f>CONCATENATE("P",'906MP'!M1225)</f>
        <v>P</v>
      </c>
      <c r="B1525">
        <f>'906MP'!H1225</f>
        <v>0</v>
      </c>
      <c r="C1525">
        <f>'906MP'!J1225</f>
        <v>0</v>
      </c>
      <c r="D1525">
        <f>'906MP'!P1225</f>
        <v>0</v>
      </c>
      <c r="E1525">
        <f>'906MP'!X1225</f>
        <v>0</v>
      </c>
      <c r="F1525" t="str">
        <f t="shared" si="447"/>
        <v>0</v>
      </c>
      <c r="G1525" t="str">
        <f t="shared" si="448"/>
        <v>0</v>
      </c>
      <c r="H1525">
        <f>'906MP'!Y1225</f>
        <v>0</v>
      </c>
      <c r="I1525">
        <f>'906MP'!AK1225</f>
        <v>0</v>
      </c>
      <c r="J1525">
        <f>'906MP'!T1225</f>
        <v>0</v>
      </c>
      <c r="K1525">
        <f>'906MP'!AJ1225</f>
        <v>0</v>
      </c>
      <c r="L1525">
        <f>'906MP'!U1225</f>
        <v>0</v>
      </c>
      <c r="M1525" s="322" t="str">
        <f>IFERROR(VLOOKUP(A1525,PAR!$D$3:$E$53,2,FALSE),"nincs szervezet")</f>
        <v>nincs szervezet</v>
      </c>
      <c r="N1525" s="322" t="str">
        <f>VLOOKUP(F1525,PAR!$R$3:$S$5,2,FALSE)</f>
        <v>3 - egyik sem</v>
      </c>
      <c r="O1525" t="str">
        <f>IFERROR(VLOOKUP(J1525,PAR!$O$3:$P$5,2,FALSE),"nincs feladat")</f>
        <v>nincs feladat</v>
      </c>
      <c r="P1525" t="str">
        <f>IFERROR(VLOOKUP(G1525,PAR!$J$2:$M$19,4),"nincs rovat")</f>
        <v>nincs rovat</v>
      </c>
      <c r="Q1525" t="str">
        <f>IF(H1525&gt;0,VLOOKUP(H1525,PAR!$AA$3:$AC$187,3,FALSE),"nincs főkönyvi számla")</f>
        <v>nincs főkönyvi számla</v>
      </c>
      <c r="R1525" t="str">
        <f>IFERROR(VLOOKUP(K1525,PAR!$V$3:$X$438,3,FALSE),"000000 - Nincs COFOG")</f>
        <v>000000 - Nincs COFOG</v>
      </c>
      <c r="S1525">
        <f t="shared" si="449"/>
        <v>0</v>
      </c>
      <c r="T1525">
        <f t="shared" si="450"/>
        <v>0</v>
      </c>
      <c r="U1525" t="str">
        <f>IF('906MP'!J1225&gt;0,CONCATENATE('906MP'!J1225," - ",'906MP'!P1225,", ",'906MP'!E1225),"nincs megjegyzés")</f>
        <v>nincs megjegyzés</v>
      </c>
      <c r="V1525" t="str">
        <f t="shared" si="437"/>
        <v>0P0</v>
      </c>
      <c r="W1525" t="str">
        <f t="shared" si="438"/>
        <v>0P0</v>
      </c>
      <c r="X1525" t="str">
        <f t="shared" si="439"/>
        <v>P0</v>
      </c>
      <c r="Y1525" t="str">
        <f t="shared" si="440"/>
        <v>00</v>
      </c>
      <c r="Z1525" t="str">
        <f t="shared" si="451"/>
        <v>00</v>
      </c>
      <c r="AA1525" t="str">
        <f t="shared" si="441"/>
        <v>00</v>
      </c>
      <c r="AB1525" t="str">
        <f t="shared" si="442"/>
        <v>00</v>
      </c>
      <c r="AC1525" t="str">
        <f t="shared" si="443"/>
        <v>0P0</v>
      </c>
      <c r="AD1525" t="str">
        <f t="shared" si="444"/>
        <v>P00</v>
      </c>
      <c r="AE1525" t="str">
        <f t="shared" si="445"/>
        <v>0P0</v>
      </c>
      <c r="AF1525" t="str">
        <f t="shared" si="446"/>
        <v>P00</v>
      </c>
      <c r="AG1525" t="str">
        <f t="shared" si="452"/>
        <v>0P00</v>
      </c>
      <c r="AH1525" t="str">
        <f t="shared" si="453"/>
        <v>P000</v>
      </c>
      <c r="AI1525" t="str">
        <f t="shared" si="454"/>
        <v>0P00</v>
      </c>
      <c r="AJ1525" t="str">
        <f t="shared" si="455"/>
        <v>P000</v>
      </c>
    </row>
    <row r="1526" spans="1:36" x14ac:dyDescent="0.25">
      <c r="A1526" s="325" t="str">
        <f>CONCATENATE("P",'906MP'!M1226)</f>
        <v>P</v>
      </c>
      <c r="B1526">
        <f>'906MP'!H1226</f>
        <v>0</v>
      </c>
      <c r="C1526">
        <f>'906MP'!J1226</f>
        <v>0</v>
      </c>
      <c r="D1526">
        <f>'906MP'!P1226</f>
        <v>0</v>
      </c>
      <c r="E1526">
        <f>'906MP'!X1226</f>
        <v>0</v>
      </c>
      <c r="F1526" t="str">
        <f t="shared" si="447"/>
        <v>0</v>
      </c>
      <c r="G1526" t="str">
        <f t="shared" si="448"/>
        <v>0</v>
      </c>
      <c r="H1526">
        <f>'906MP'!Y1226</f>
        <v>0</v>
      </c>
      <c r="I1526">
        <f>'906MP'!AK1226</f>
        <v>0</v>
      </c>
      <c r="J1526">
        <f>'906MP'!T1226</f>
        <v>0</v>
      </c>
      <c r="K1526">
        <f>'906MP'!AJ1226</f>
        <v>0</v>
      </c>
      <c r="L1526">
        <f>'906MP'!U1226</f>
        <v>0</v>
      </c>
      <c r="M1526" s="322" t="str">
        <f>IFERROR(VLOOKUP(A1526,PAR!$D$3:$E$53,2,FALSE),"nincs szervezet")</f>
        <v>nincs szervezet</v>
      </c>
      <c r="N1526" s="322" t="str">
        <f>VLOOKUP(F1526,PAR!$R$3:$S$5,2,FALSE)</f>
        <v>3 - egyik sem</v>
      </c>
      <c r="O1526" t="str">
        <f>IFERROR(VLOOKUP(J1526,PAR!$O$3:$P$5,2,FALSE),"nincs feladat")</f>
        <v>nincs feladat</v>
      </c>
      <c r="P1526" t="str">
        <f>IFERROR(VLOOKUP(G1526,PAR!$J$2:$M$19,4),"nincs rovat")</f>
        <v>nincs rovat</v>
      </c>
      <c r="Q1526" t="str">
        <f>IF(H1526&gt;0,VLOOKUP(H1526,PAR!$AA$3:$AC$187,3,FALSE),"nincs főkönyvi számla")</f>
        <v>nincs főkönyvi számla</v>
      </c>
      <c r="R1526" t="str">
        <f>IFERROR(VLOOKUP(K1526,PAR!$V$3:$X$438,3,FALSE),"000000 - Nincs COFOG")</f>
        <v>000000 - Nincs COFOG</v>
      </c>
      <c r="S1526">
        <f t="shared" si="449"/>
        <v>0</v>
      </c>
      <c r="T1526">
        <f t="shared" si="450"/>
        <v>0</v>
      </c>
      <c r="U1526" t="str">
        <f>IF('906MP'!J1226&gt;0,CONCATENATE('906MP'!J1226," - ",'906MP'!P1226,", ",'906MP'!E1226),"nincs megjegyzés")</f>
        <v>nincs megjegyzés</v>
      </c>
      <c r="V1526" t="str">
        <f t="shared" si="437"/>
        <v>0P0</v>
      </c>
      <c r="W1526" t="str">
        <f t="shared" si="438"/>
        <v>0P0</v>
      </c>
      <c r="X1526" t="str">
        <f t="shared" si="439"/>
        <v>P0</v>
      </c>
      <c r="Y1526" t="str">
        <f t="shared" si="440"/>
        <v>00</v>
      </c>
      <c r="Z1526" t="str">
        <f t="shared" si="451"/>
        <v>00</v>
      </c>
      <c r="AA1526" t="str">
        <f t="shared" si="441"/>
        <v>00</v>
      </c>
      <c r="AB1526" t="str">
        <f t="shared" si="442"/>
        <v>00</v>
      </c>
      <c r="AC1526" t="str">
        <f t="shared" si="443"/>
        <v>0P0</v>
      </c>
      <c r="AD1526" t="str">
        <f t="shared" si="444"/>
        <v>P00</v>
      </c>
      <c r="AE1526" t="str">
        <f t="shared" si="445"/>
        <v>0P0</v>
      </c>
      <c r="AF1526" t="str">
        <f t="shared" si="446"/>
        <v>P00</v>
      </c>
      <c r="AG1526" t="str">
        <f t="shared" si="452"/>
        <v>0P00</v>
      </c>
      <c r="AH1526" t="str">
        <f t="shared" si="453"/>
        <v>P000</v>
      </c>
      <c r="AI1526" t="str">
        <f t="shared" si="454"/>
        <v>0P00</v>
      </c>
      <c r="AJ1526" t="str">
        <f t="shared" si="455"/>
        <v>P000</v>
      </c>
    </row>
    <row r="1527" spans="1:36" x14ac:dyDescent="0.25">
      <c r="A1527" s="325" t="str">
        <f>CONCATENATE("P",'906MP'!M1227)</f>
        <v>P</v>
      </c>
      <c r="B1527">
        <f>'906MP'!H1227</f>
        <v>0</v>
      </c>
      <c r="C1527">
        <f>'906MP'!J1227</f>
        <v>0</v>
      </c>
      <c r="D1527">
        <f>'906MP'!P1227</f>
        <v>0</v>
      </c>
      <c r="E1527">
        <f>'906MP'!X1227</f>
        <v>0</v>
      </c>
      <c r="F1527" t="str">
        <f t="shared" si="447"/>
        <v>0</v>
      </c>
      <c r="G1527" t="str">
        <f t="shared" si="448"/>
        <v>0</v>
      </c>
      <c r="H1527">
        <f>'906MP'!Y1227</f>
        <v>0</v>
      </c>
      <c r="I1527">
        <f>'906MP'!AK1227</f>
        <v>0</v>
      </c>
      <c r="J1527">
        <f>'906MP'!T1227</f>
        <v>0</v>
      </c>
      <c r="K1527">
        <f>'906MP'!AJ1227</f>
        <v>0</v>
      </c>
      <c r="L1527">
        <f>'906MP'!U1227</f>
        <v>0</v>
      </c>
      <c r="M1527" s="322" t="str">
        <f>IFERROR(VLOOKUP(A1527,PAR!$D$3:$E$53,2,FALSE),"nincs szervezet")</f>
        <v>nincs szervezet</v>
      </c>
      <c r="N1527" s="322" t="str">
        <f>VLOOKUP(F1527,PAR!$R$3:$S$5,2,FALSE)</f>
        <v>3 - egyik sem</v>
      </c>
      <c r="O1527" t="str">
        <f>IFERROR(VLOOKUP(J1527,PAR!$O$3:$P$5,2,FALSE),"nincs feladat")</f>
        <v>nincs feladat</v>
      </c>
      <c r="P1527" t="str">
        <f>IFERROR(VLOOKUP(G1527,PAR!$J$2:$M$19,4),"nincs rovat")</f>
        <v>nincs rovat</v>
      </c>
      <c r="Q1527" t="str">
        <f>IF(H1527&gt;0,VLOOKUP(H1527,PAR!$AA$3:$AC$187,3,FALSE),"nincs főkönyvi számla")</f>
        <v>nincs főkönyvi számla</v>
      </c>
      <c r="R1527" t="str">
        <f>IFERROR(VLOOKUP(K1527,PAR!$V$3:$X$438,3,FALSE),"000000 - Nincs COFOG")</f>
        <v>000000 - Nincs COFOG</v>
      </c>
      <c r="S1527">
        <f t="shared" si="449"/>
        <v>0</v>
      </c>
      <c r="T1527">
        <f t="shared" si="450"/>
        <v>0</v>
      </c>
      <c r="U1527" t="str">
        <f>IF('906MP'!J1227&gt;0,CONCATENATE('906MP'!J1227," - ",'906MP'!P1227,", ",'906MP'!E1227),"nincs megjegyzés")</f>
        <v>nincs megjegyzés</v>
      </c>
      <c r="V1527" t="str">
        <f t="shared" si="437"/>
        <v>0P0</v>
      </c>
      <c r="W1527" t="str">
        <f t="shared" si="438"/>
        <v>0P0</v>
      </c>
      <c r="X1527" t="str">
        <f t="shared" si="439"/>
        <v>P0</v>
      </c>
      <c r="Y1527" t="str">
        <f t="shared" si="440"/>
        <v>00</v>
      </c>
      <c r="Z1527" t="str">
        <f t="shared" si="451"/>
        <v>00</v>
      </c>
      <c r="AA1527" t="str">
        <f t="shared" si="441"/>
        <v>00</v>
      </c>
      <c r="AB1527" t="str">
        <f t="shared" si="442"/>
        <v>00</v>
      </c>
      <c r="AC1527" t="str">
        <f t="shared" si="443"/>
        <v>0P0</v>
      </c>
      <c r="AD1527" t="str">
        <f t="shared" si="444"/>
        <v>P00</v>
      </c>
      <c r="AE1527" t="str">
        <f t="shared" si="445"/>
        <v>0P0</v>
      </c>
      <c r="AF1527" t="str">
        <f t="shared" si="446"/>
        <v>P00</v>
      </c>
      <c r="AG1527" t="str">
        <f t="shared" si="452"/>
        <v>0P00</v>
      </c>
      <c r="AH1527" t="str">
        <f t="shared" si="453"/>
        <v>P000</v>
      </c>
      <c r="AI1527" t="str">
        <f t="shared" si="454"/>
        <v>0P00</v>
      </c>
      <c r="AJ1527" t="str">
        <f t="shared" si="455"/>
        <v>P000</v>
      </c>
    </row>
    <row r="1528" spans="1:36" x14ac:dyDescent="0.25">
      <c r="A1528" s="325" t="str">
        <f>CONCATENATE("P",'906MP'!M1228)</f>
        <v>P</v>
      </c>
      <c r="B1528">
        <f>'906MP'!H1228</f>
        <v>0</v>
      </c>
      <c r="C1528">
        <f>'906MP'!J1228</f>
        <v>0</v>
      </c>
      <c r="D1528">
        <f>'906MP'!P1228</f>
        <v>0</v>
      </c>
      <c r="E1528">
        <f>'906MP'!X1228</f>
        <v>0</v>
      </c>
      <c r="F1528" t="str">
        <f t="shared" si="447"/>
        <v>0</v>
      </c>
      <c r="G1528" t="str">
        <f t="shared" si="448"/>
        <v>0</v>
      </c>
      <c r="H1528">
        <f>'906MP'!Y1228</f>
        <v>0</v>
      </c>
      <c r="I1528">
        <f>'906MP'!AK1228</f>
        <v>0</v>
      </c>
      <c r="J1528">
        <f>'906MP'!T1228</f>
        <v>0</v>
      </c>
      <c r="K1528">
        <f>'906MP'!AJ1228</f>
        <v>0</v>
      </c>
      <c r="L1528">
        <f>'906MP'!U1228</f>
        <v>0</v>
      </c>
      <c r="M1528" s="322" t="str">
        <f>IFERROR(VLOOKUP(A1528,PAR!$D$3:$E$53,2,FALSE),"nincs szervezet")</f>
        <v>nincs szervezet</v>
      </c>
      <c r="N1528" s="322" t="str">
        <f>VLOOKUP(F1528,PAR!$R$3:$S$5,2,FALSE)</f>
        <v>3 - egyik sem</v>
      </c>
      <c r="O1528" t="str">
        <f>IFERROR(VLOOKUP(J1528,PAR!$O$3:$P$5,2,FALSE),"nincs feladat")</f>
        <v>nincs feladat</v>
      </c>
      <c r="P1528" t="str">
        <f>IFERROR(VLOOKUP(G1528,PAR!$J$2:$M$19,4),"nincs rovat")</f>
        <v>nincs rovat</v>
      </c>
      <c r="Q1528" t="str">
        <f>IF(H1528&gt;0,VLOOKUP(H1528,PAR!$AA$3:$AC$187,3,FALSE),"nincs főkönyvi számla")</f>
        <v>nincs főkönyvi számla</v>
      </c>
      <c r="R1528" t="str">
        <f>IFERROR(VLOOKUP(K1528,PAR!$V$3:$X$438,3,FALSE),"000000 - Nincs COFOG")</f>
        <v>000000 - Nincs COFOG</v>
      </c>
      <c r="S1528">
        <f t="shared" si="449"/>
        <v>0</v>
      </c>
      <c r="T1528">
        <f t="shared" si="450"/>
        <v>0</v>
      </c>
      <c r="U1528" t="str">
        <f>IF('906MP'!J1228&gt;0,CONCATENATE('906MP'!J1228," - ",'906MP'!P1228,", ",'906MP'!E1228),"nincs megjegyzés")</f>
        <v>nincs megjegyzés</v>
      </c>
      <c r="V1528" t="str">
        <f t="shared" si="437"/>
        <v>0P0</v>
      </c>
      <c r="W1528" t="str">
        <f t="shared" si="438"/>
        <v>0P0</v>
      </c>
      <c r="X1528" t="str">
        <f t="shared" si="439"/>
        <v>P0</v>
      </c>
      <c r="Y1528" t="str">
        <f t="shared" si="440"/>
        <v>00</v>
      </c>
      <c r="Z1528" t="str">
        <f t="shared" si="451"/>
        <v>00</v>
      </c>
      <c r="AA1528" t="str">
        <f t="shared" si="441"/>
        <v>00</v>
      </c>
      <c r="AB1528" t="str">
        <f t="shared" si="442"/>
        <v>00</v>
      </c>
      <c r="AC1528" t="str">
        <f t="shared" si="443"/>
        <v>0P0</v>
      </c>
      <c r="AD1528" t="str">
        <f t="shared" si="444"/>
        <v>P00</v>
      </c>
      <c r="AE1528" t="str">
        <f t="shared" si="445"/>
        <v>0P0</v>
      </c>
      <c r="AF1528" t="str">
        <f t="shared" si="446"/>
        <v>P00</v>
      </c>
      <c r="AG1528" t="str">
        <f t="shared" si="452"/>
        <v>0P00</v>
      </c>
      <c r="AH1528" t="str">
        <f t="shared" si="453"/>
        <v>P000</v>
      </c>
      <c r="AI1528" t="str">
        <f t="shared" si="454"/>
        <v>0P00</v>
      </c>
      <c r="AJ1528" t="str">
        <f t="shared" si="455"/>
        <v>P000</v>
      </c>
    </row>
    <row r="1529" spans="1:36" x14ac:dyDescent="0.25">
      <c r="A1529" s="325" t="str">
        <f>CONCATENATE("P",'906MP'!M1229)</f>
        <v>P</v>
      </c>
      <c r="B1529">
        <f>'906MP'!H1229</f>
        <v>0</v>
      </c>
      <c r="C1529">
        <f>'906MP'!J1229</f>
        <v>0</v>
      </c>
      <c r="D1529">
        <f>'906MP'!P1229</f>
        <v>0</v>
      </c>
      <c r="E1529">
        <f>'906MP'!X1229</f>
        <v>0</v>
      </c>
      <c r="F1529" t="str">
        <f t="shared" si="447"/>
        <v>0</v>
      </c>
      <c r="G1529" t="str">
        <f t="shared" si="448"/>
        <v>0</v>
      </c>
      <c r="H1529">
        <f>'906MP'!Y1229</f>
        <v>0</v>
      </c>
      <c r="I1529">
        <f>'906MP'!AK1229</f>
        <v>0</v>
      </c>
      <c r="J1529">
        <f>'906MP'!T1229</f>
        <v>0</v>
      </c>
      <c r="K1529">
        <f>'906MP'!AJ1229</f>
        <v>0</v>
      </c>
      <c r="L1529">
        <f>'906MP'!U1229</f>
        <v>0</v>
      </c>
      <c r="M1529" s="322" t="str">
        <f>IFERROR(VLOOKUP(A1529,PAR!$D$3:$E$53,2,FALSE),"nincs szervezet")</f>
        <v>nincs szervezet</v>
      </c>
      <c r="N1529" s="322" t="str">
        <f>VLOOKUP(F1529,PAR!$R$3:$S$5,2,FALSE)</f>
        <v>3 - egyik sem</v>
      </c>
      <c r="O1529" t="str">
        <f>IFERROR(VLOOKUP(J1529,PAR!$O$3:$P$5,2,FALSE),"nincs feladat")</f>
        <v>nincs feladat</v>
      </c>
      <c r="P1529" t="str">
        <f>IFERROR(VLOOKUP(G1529,PAR!$J$2:$M$19,4),"nincs rovat")</f>
        <v>nincs rovat</v>
      </c>
      <c r="Q1529" t="str">
        <f>IF(H1529&gt;0,VLOOKUP(H1529,PAR!$AA$3:$AC$187,3,FALSE),"nincs főkönyvi számla")</f>
        <v>nincs főkönyvi számla</v>
      </c>
      <c r="R1529" t="str">
        <f>IFERROR(VLOOKUP(K1529,PAR!$V$3:$X$438,3,FALSE),"000000 - Nincs COFOG")</f>
        <v>000000 - Nincs COFOG</v>
      </c>
      <c r="S1529">
        <f t="shared" si="449"/>
        <v>0</v>
      </c>
      <c r="T1529">
        <f t="shared" si="450"/>
        <v>0</v>
      </c>
      <c r="U1529" t="str">
        <f>IF('906MP'!J1229&gt;0,CONCATENATE('906MP'!J1229," - ",'906MP'!P1229,", ",'906MP'!E1229),"nincs megjegyzés")</f>
        <v>nincs megjegyzés</v>
      </c>
      <c r="V1529" t="str">
        <f t="shared" si="437"/>
        <v>0P0</v>
      </c>
      <c r="W1529" t="str">
        <f t="shared" si="438"/>
        <v>0P0</v>
      </c>
      <c r="X1529" t="str">
        <f t="shared" si="439"/>
        <v>P0</v>
      </c>
      <c r="Y1529" t="str">
        <f t="shared" si="440"/>
        <v>00</v>
      </c>
      <c r="Z1529" t="str">
        <f t="shared" si="451"/>
        <v>00</v>
      </c>
      <c r="AA1529" t="str">
        <f t="shared" si="441"/>
        <v>00</v>
      </c>
      <c r="AB1529" t="str">
        <f t="shared" si="442"/>
        <v>00</v>
      </c>
      <c r="AC1529" t="str">
        <f t="shared" si="443"/>
        <v>0P0</v>
      </c>
      <c r="AD1529" t="str">
        <f t="shared" si="444"/>
        <v>P00</v>
      </c>
      <c r="AE1529" t="str">
        <f t="shared" si="445"/>
        <v>0P0</v>
      </c>
      <c r="AF1529" t="str">
        <f t="shared" si="446"/>
        <v>P00</v>
      </c>
      <c r="AG1529" t="str">
        <f t="shared" si="452"/>
        <v>0P00</v>
      </c>
      <c r="AH1529" t="str">
        <f t="shared" si="453"/>
        <v>P000</v>
      </c>
      <c r="AI1529" t="str">
        <f t="shared" si="454"/>
        <v>0P00</v>
      </c>
      <c r="AJ1529" t="str">
        <f t="shared" si="455"/>
        <v>P000</v>
      </c>
    </row>
    <row r="1530" spans="1:36" x14ac:dyDescent="0.25">
      <c r="A1530" s="325" t="str">
        <f>CONCATENATE("P",'906MP'!M1230)</f>
        <v>P</v>
      </c>
      <c r="B1530">
        <f>'906MP'!H1230</f>
        <v>0</v>
      </c>
      <c r="C1530">
        <f>'906MP'!J1230</f>
        <v>0</v>
      </c>
      <c r="D1530">
        <f>'906MP'!P1230</f>
        <v>0</v>
      </c>
      <c r="E1530">
        <f>'906MP'!X1230</f>
        <v>0</v>
      </c>
      <c r="F1530" t="str">
        <f t="shared" si="447"/>
        <v>0</v>
      </c>
      <c r="G1530" t="str">
        <f t="shared" si="448"/>
        <v>0</v>
      </c>
      <c r="H1530">
        <f>'906MP'!Y1230</f>
        <v>0</v>
      </c>
      <c r="I1530">
        <f>'906MP'!AK1230</f>
        <v>0</v>
      </c>
      <c r="J1530">
        <f>'906MP'!T1230</f>
        <v>0</v>
      </c>
      <c r="K1530">
        <f>'906MP'!AJ1230</f>
        <v>0</v>
      </c>
      <c r="L1530">
        <f>'906MP'!U1230</f>
        <v>0</v>
      </c>
      <c r="M1530" s="322" t="str">
        <f>IFERROR(VLOOKUP(A1530,PAR!$D$3:$E$53,2,FALSE),"nincs szervezet")</f>
        <v>nincs szervezet</v>
      </c>
      <c r="N1530" s="322" t="str">
        <f>VLOOKUP(F1530,PAR!$R$3:$S$5,2,FALSE)</f>
        <v>3 - egyik sem</v>
      </c>
      <c r="O1530" t="str">
        <f>IFERROR(VLOOKUP(J1530,PAR!$O$3:$P$5,2,FALSE),"nincs feladat")</f>
        <v>nincs feladat</v>
      </c>
      <c r="P1530" t="str">
        <f>IFERROR(VLOOKUP(G1530,PAR!$J$2:$M$19,4),"nincs rovat")</f>
        <v>nincs rovat</v>
      </c>
      <c r="Q1530" t="str">
        <f>IF(H1530&gt;0,VLOOKUP(H1530,PAR!$AA$3:$AC$187,3,FALSE),"nincs főkönyvi számla")</f>
        <v>nincs főkönyvi számla</v>
      </c>
      <c r="R1530" t="str">
        <f>IFERROR(VLOOKUP(K1530,PAR!$V$3:$X$438,3,FALSE),"000000 - Nincs COFOG")</f>
        <v>000000 - Nincs COFOG</v>
      </c>
      <c r="S1530">
        <f t="shared" si="449"/>
        <v>0</v>
      </c>
      <c r="T1530">
        <f t="shared" si="450"/>
        <v>0</v>
      </c>
      <c r="U1530" t="str">
        <f>IF('906MP'!J1230&gt;0,CONCATENATE('906MP'!J1230," - ",'906MP'!P1230,", ",'906MP'!E1230),"nincs megjegyzés")</f>
        <v>nincs megjegyzés</v>
      </c>
      <c r="V1530" t="str">
        <f t="shared" si="437"/>
        <v>0P0</v>
      </c>
      <c r="W1530" t="str">
        <f t="shared" si="438"/>
        <v>0P0</v>
      </c>
      <c r="X1530" t="str">
        <f t="shared" si="439"/>
        <v>P0</v>
      </c>
      <c r="Y1530" t="str">
        <f t="shared" si="440"/>
        <v>00</v>
      </c>
      <c r="Z1530" t="str">
        <f t="shared" si="451"/>
        <v>00</v>
      </c>
      <c r="AA1530" t="str">
        <f t="shared" si="441"/>
        <v>00</v>
      </c>
      <c r="AB1530" t="str">
        <f t="shared" si="442"/>
        <v>00</v>
      </c>
      <c r="AC1530" t="str">
        <f t="shared" si="443"/>
        <v>0P0</v>
      </c>
      <c r="AD1530" t="str">
        <f t="shared" si="444"/>
        <v>P00</v>
      </c>
      <c r="AE1530" t="str">
        <f t="shared" si="445"/>
        <v>0P0</v>
      </c>
      <c r="AF1530" t="str">
        <f t="shared" si="446"/>
        <v>P00</v>
      </c>
      <c r="AG1530" t="str">
        <f t="shared" si="452"/>
        <v>0P00</v>
      </c>
      <c r="AH1530" t="str">
        <f t="shared" si="453"/>
        <v>P000</v>
      </c>
      <c r="AI1530" t="str">
        <f t="shared" si="454"/>
        <v>0P00</v>
      </c>
      <c r="AJ1530" t="str">
        <f t="shared" si="455"/>
        <v>P000</v>
      </c>
    </row>
    <row r="1531" spans="1:36" x14ac:dyDescent="0.25">
      <c r="A1531" s="325" t="str">
        <f>CONCATENATE("P",'906MP'!M1231)</f>
        <v>P</v>
      </c>
      <c r="B1531">
        <f>'906MP'!H1231</f>
        <v>0</v>
      </c>
      <c r="C1531">
        <f>'906MP'!J1231</f>
        <v>0</v>
      </c>
      <c r="D1531">
        <f>'906MP'!P1231</f>
        <v>0</v>
      </c>
      <c r="E1531">
        <f>'906MP'!X1231</f>
        <v>0</v>
      </c>
      <c r="F1531" t="str">
        <f t="shared" si="447"/>
        <v>0</v>
      </c>
      <c r="G1531" t="str">
        <f t="shared" si="448"/>
        <v>0</v>
      </c>
      <c r="H1531">
        <f>'906MP'!Y1231</f>
        <v>0</v>
      </c>
      <c r="I1531">
        <f>'906MP'!AK1231</f>
        <v>0</v>
      </c>
      <c r="J1531">
        <f>'906MP'!T1231</f>
        <v>0</v>
      </c>
      <c r="K1531">
        <f>'906MP'!AJ1231</f>
        <v>0</v>
      </c>
      <c r="L1531">
        <f>'906MP'!U1231</f>
        <v>0</v>
      </c>
      <c r="M1531" s="322" t="str">
        <f>IFERROR(VLOOKUP(A1531,PAR!$D$3:$E$53,2,FALSE),"nincs szervezet")</f>
        <v>nincs szervezet</v>
      </c>
      <c r="N1531" s="322" t="str">
        <f>VLOOKUP(F1531,PAR!$R$3:$S$5,2,FALSE)</f>
        <v>3 - egyik sem</v>
      </c>
      <c r="O1531" t="str">
        <f>IFERROR(VLOOKUP(J1531,PAR!$O$3:$P$5,2,FALSE),"nincs feladat")</f>
        <v>nincs feladat</v>
      </c>
      <c r="P1531" t="str">
        <f>IFERROR(VLOOKUP(G1531,PAR!$J$2:$M$19,4),"nincs rovat")</f>
        <v>nincs rovat</v>
      </c>
      <c r="Q1531" t="str">
        <f>IF(H1531&gt;0,VLOOKUP(H1531,PAR!$AA$3:$AC$187,3,FALSE),"nincs főkönyvi számla")</f>
        <v>nincs főkönyvi számla</v>
      </c>
      <c r="R1531" t="str">
        <f>IFERROR(VLOOKUP(K1531,PAR!$V$3:$X$438,3,FALSE),"000000 - Nincs COFOG")</f>
        <v>000000 - Nincs COFOG</v>
      </c>
      <c r="S1531">
        <f t="shared" si="449"/>
        <v>0</v>
      </c>
      <c r="T1531">
        <f t="shared" si="450"/>
        <v>0</v>
      </c>
      <c r="U1531" t="str">
        <f>IF('906MP'!J1231&gt;0,CONCATENATE('906MP'!J1231," - ",'906MP'!P1231,", ",'906MP'!E1231),"nincs megjegyzés")</f>
        <v>nincs megjegyzés</v>
      </c>
      <c r="V1531" t="str">
        <f t="shared" si="437"/>
        <v>0P0</v>
      </c>
      <c r="W1531" t="str">
        <f t="shared" si="438"/>
        <v>0P0</v>
      </c>
      <c r="X1531" t="str">
        <f t="shared" si="439"/>
        <v>P0</v>
      </c>
      <c r="Y1531" t="str">
        <f t="shared" si="440"/>
        <v>00</v>
      </c>
      <c r="Z1531" t="str">
        <f t="shared" si="451"/>
        <v>00</v>
      </c>
      <c r="AA1531" t="str">
        <f t="shared" si="441"/>
        <v>00</v>
      </c>
      <c r="AB1531" t="str">
        <f t="shared" si="442"/>
        <v>00</v>
      </c>
      <c r="AC1531" t="str">
        <f t="shared" si="443"/>
        <v>0P0</v>
      </c>
      <c r="AD1531" t="str">
        <f t="shared" si="444"/>
        <v>P00</v>
      </c>
      <c r="AE1531" t="str">
        <f t="shared" si="445"/>
        <v>0P0</v>
      </c>
      <c r="AF1531" t="str">
        <f t="shared" si="446"/>
        <v>P00</v>
      </c>
      <c r="AG1531" t="str">
        <f t="shared" si="452"/>
        <v>0P00</v>
      </c>
      <c r="AH1531" t="str">
        <f t="shared" si="453"/>
        <v>P000</v>
      </c>
      <c r="AI1531" t="str">
        <f t="shared" si="454"/>
        <v>0P00</v>
      </c>
      <c r="AJ1531" t="str">
        <f t="shared" si="455"/>
        <v>P000</v>
      </c>
    </row>
    <row r="1532" spans="1:36" x14ac:dyDescent="0.25">
      <c r="A1532" s="325" t="str">
        <f>CONCATENATE("P",'906MP'!M1232)</f>
        <v>P</v>
      </c>
      <c r="B1532">
        <f>'906MP'!H1232</f>
        <v>0</v>
      </c>
      <c r="C1532">
        <f>'906MP'!J1232</f>
        <v>0</v>
      </c>
      <c r="D1532">
        <f>'906MP'!P1232</f>
        <v>0</v>
      </c>
      <c r="E1532">
        <f>'906MP'!X1232</f>
        <v>0</v>
      </c>
      <c r="F1532" t="str">
        <f t="shared" si="447"/>
        <v>0</v>
      </c>
      <c r="G1532" t="str">
        <f t="shared" si="448"/>
        <v>0</v>
      </c>
      <c r="H1532">
        <f>'906MP'!Y1232</f>
        <v>0</v>
      </c>
      <c r="I1532">
        <f>'906MP'!AK1232</f>
        <v>0</v>
      </c>
      <c r="J1532">
        <f>'906MP'!T1232</f>
        <v>0</v>
      </c>
      <c r="K1532">
        <f>'906MP'!AJ1232</f>
        <v>0</v>
      </c>
      <c r="L1532">
        <f>'906MP'!U1232</f>
        <v>0</v>
      </c>
      <c r="M1532" s="322" t="str">
        <f>IFERROR(VLOOKUP(A1532,PAR!$D$3:$E$53,2,FALSE),"nincs szervezet")</f>
        <v>nincs szervezet</v>
      </c>
      <c r="N1532" s="322" t="str">
        <f>VLOOKUP(F1532,PAR!$R$3:$S$5,2,FALSE)</f>
        <v>3 - egyik sem</v>
      </c>
      <c r="O1532" t="str">
        <f>IFERROR(VLOOKUP(J1532,PAR!$O$3:$P$5,2,FALSE),"nincs feladat")</f>
        <v>nincs feladat</v>
      </c>
      <c r="P1532" t="str">
        <f>IFERROR(VLOOKUP(G1532,PAR!$J$2:$M$19,4),"nincs rovat")</f>
        <v>nincs rovat</v>
      </c>
      <c r="Q1532" t="str">
        <f>IF(H1532&gt;0,VLOOKUP(H1532,PAR!$AA$3:$AC$187,3,FALSE),"nincs főkönyvi számla")</f>
        <v>nincs főkönyvi számla</v>
      </c>
      <c r="R1532" t="str">
        <f>IFERROR(VLOOKUP(K1532,PAR!$V$3:$X$438,3,FALSE),"000000 - Nincs COFOG")</f>
        <v>000000 - Nincs COFOG</v>
      </c>
      <c r="S1532">
        <f t="shared" si="449"/>
        <v>0</v>
      </c>
      <c r="T1532">
        <f t="shared" si="450"/>
        <v>0</v>
      </c>
      <c r="U1532" t="str">
        <f>IF('906MP'!J1232&gt;0,CONCATENATE('906MP'!J1232," - ",'906MP'!P1232,", ",'906MP'!E1232),"nincs megjegyzés")</f>
        <v>nincs megjegyzés</v>
      </c>
      <c r="V1532" t="str">
        <f t="shared" si="437"/>
        <v>0P0</v>
      </c>
      <c r="W1532" t="str">
        <f t="shared" si="438"/>
        <v>0P0</v>
      </c>
      <c r="X1532" t="str">
        <f t="shared" si="439"/>
        <v>P0</v>
      </c>
      <c r="Y1532" t="str">
        <f t="shared" si="440"/>
        <v>00</v>
      </c>
      <c r="Z1532" t="str">
        <f t="shared" si="451"/>
        <v>00</v>
      </c>
      <c r="AA1532" t="str">
        <f t="shared" si="441"/>
        <v>00</v>
      </c>
      <c r="AB1532" t="str">
        <f t="shared" si="442"/>
        <v>00</v>
      </c>
      <c r="AC1532" t="str">
        <f t="shared" si="443"/>
        <v>0P0</v>
      </c>
      <c r="AD1532" t="str">
        <f t="shared" si="444"/>
        <v>P00</v>
      </c>
      <c r="AE1532" t="str">
        <f t="shared" si="445"/>
        <v>0P0</v>
      </c>
      <c r="AF1532" t="str">
        <f t="shared" si="446"/>
        <v>P00</v>
      </c>
      <c r="AG1532" t="str">
        <f t="shared" si="452"/>
        <v>0P00</v>
      </c>
      <c r="AH1532" t="str">
        <f t="shared" si="453"/>
        <v>P000</v>
      </c>
      <c r="AI1532" t="str">
        <f t="shared" si="454"/>
        <v>0P00</v>
      </c>
      <c r="AJ1532" t="str">
        <f t="shared" si="455"/>
        <v>P000</v>
      </c>
    </row>
    <row r="1533" spans="1:36" x14ac:dyDescent="0.25">
      <c r="A1533" s="325" t="str">
        <f>CONCATENATE("P",'906MP'!M1233)</f>
        <v>P</v>
      </c>
      <c r="B1533">
        <f>'906MP'!H1233</f>
        <v>0</v>
      </c>
      <c r="C1533">
        <f>'906MP'!J1233</f>
        <v>0</v>
      </c>
      <c r="D1533">
        <f>'906MP'!P1233</f>
        <v>0</v>
      </c>
      <c r="E1533">
        <f>'906MP'!X1233</f>
        <v>0</v>
      </c>
      <c r="F1533" t="str">
        <f t="shared" si="447"/>
        <v>0</v>
      </c>
      <c r="G1533" t="str">
        <f t="shared" si="448"/>
        <v>0</v>
      </c>
      <c r="H1533">
        <f>'906MP'!Y1233</f>
        <v>0</v>
      </c>
      <c r="I1533">
        <f>'906MP'!AK1233</f>
        <v>0</v>
      </c>
      <c r="J1533">
        <f>'906MP'!T1233</f>
        <v>0</v>
      </c>
      <c r="K1533">
        <f>'906MP'!AJ1233</f>
        <v>0</v>
      </c>
      <c r="L1533">
        <f>'906MP'!U1233</f>
        <v>0</v>
      </c>
      <c r="M1533" s="322" t="str">
        <f>IFERROR(VLOOKUP(A1533,PAR!$D$3:$E$53,2,FALSE),"nincs szervezet")</f>
        <v>nincs szervezet</v>
      </c>
      <c r="N1533" s="322" t="str">
        <f>VLOOKUP(F1533,PAR!$R$3:$S$5,2,FALSE)</f>
        <v>3 - egyik sem</v>
      </c>
      <c r="O1533" t="str">
        <f>IFERROR(VLOOKUP(J1533,PAR!$O$3:$P$5,2,FALSE),"nincs feladat")</f>
        <v>nincs feladat</v>
      </c>
      <c r="P1533" t="str">
        <f>IFERROR(VLOOKUP(G1533,PAR!$J$2:$M$19,4),"nincs rovat")</f>
        <v>nincs rovat</v>
      </c>
      <c r="Q1533" t="str">
        <f>IF(H1533&gt;0,VLOOKUP(H1533,PAR!$AA$3:$AC$187,3,FALSE),"nincs főkönyvi számla")</f>
        <v>nincs főkönyvi számla</v>
      </c>
      <c r="R1533" t="str">
        <f>IFERROR(VLOOKUP(K1533,PAR!$V$3:$X$438,3,FALSE),"000000 - Nincs COFOG")</f>
        <v>000000 - Nincs COFOG</v>
      </c>
      <c r="S1533">
        <f t="shared" si="449"/>
        <v>0</v>
      </c>
      <c r="T1533">
        <f t="shared" si="450"/>
        <v>0</v>
      </c>
      <c r="U1533" t="str">
        <f>IF('906MP'!J1233&gt;0,CONCATENATE('906MP'!J1233," - ",'906MP'!P1233,", ",'906MP'!E1233),"nincs megjegyzés")</f>
        <v>nincs megjegyzés</v>
      </c>
      <c r="V1533" t="str">
        <f t="shared" si="437"/>
        <v>0P0</v>
      </c>
      <c r="W1533" t="str">
        <f t="shared" si="438"/>
        <v>0P0</v>
      </c>
      <c r="X1533" t="str">
        <f t="shared" si="439"/>
        <v>P0</v>
      </c>
      <c r="Y1533" t="str">
        <f t="shared" si="440"/>
        <v>00</v>
      </c>
      <c r="Z1533" t="str">
        <f t="shared" si="451"/>
        <v>00</v>
      </c>
      <c r="AA1533" t="str">
        <f t="shared" si="441"/>
        <v>00</v>
      </c>
      <c r="AB1533" t="str">
        <f t="shared" si="442"/>
        <v>00</v>
      </c>
      <c r="AC1533" t="str">
        <f t="shared" si="443"/>
        <v>0P0</v>
      </c>
      <c r="AD1533" t="str">
        <f t="shared" si="444"/>
        <v>P00</v>
      </c>
      <c r="AE1533" t="str">
        <f t="shared" si="445"/>
        <v>0P0</v>
      </c>
      <c r="AF1533" t="str">
        <f t="shared" si="446"/>
        <v>P00</v>
      </c>
      <c r="AG1533" t="str">
        <f t="shared" si="452"/>
        <v>0P00</v>
      </c>
      <c r="AH1533" t="str">
        <f t="shared" si="453"/>
        <v>P000</v>
      </c>
      <c r="AI1533" t="str">
        <f t="shared" si="454"/>
        <v>0P00</v>
      </c>
      <c r="AJ1533" t="str">
        <f t="shared" si="455"/>
        <v>P000</v>
      </c>
    </row>
    <row r="1534" spans="1:36" x14ac:dyDescent="0.25">
      <c r="A1534" s="325" t="str">
        <f>CONCATENATE("P",'906MP'!M1234)</f>
        <v>P</v>
      </c>
      <c r="B1534">
        <f>'906MP'!H1234</f>
        <v>0</v>
      </c>
      <c r="C1534">
        <f>'906MP'!J1234</f>
        <v>0</v>
      </c>
      <c r="D1534">
        <f>'906MP'!P1234</f>
        <v>0</v>
      </c>
      <c r="E1534">
        <f>'906MP'!X1234</f>
        <v>0</v>
      </c>
      <c r="F1534" t="str">
        <f t="shared" si="447"/>
        <v>0</v>
      </c>
      <c r="G1534" t="str">
        <f t="shared" si="448"/>
        <v>0</v>
      </c>
      <c r="H1534">
        <f>'906MP'!Y1234</f>
        <v>0</v>
      </c>
      <c r="I1534">
        <f>'906MP'!AK1234</f>
        <v>0</v>
      </c>
      <c r="J1534">
        <f>'906MP'!T1234</f>
        <v>0</v>
      </c>
      <c r="K1534">
        <f>'906MP'!AJ1234</f>
        <v>0</v>
      </c>
      <c r="L1534">
        <f>'906MP'!U1234</f>
        <v>0</v>
      </c>
      <c r="M1534" s="322" t="str">
        <f>IFERROR(VLOOKUP(A1534,PAR!$D$3:$E$53,2,FALSE),"nincs szervezet")</f>
        <v>nincs szervezet</v>
      </c>
      <c r="N1534" s="322" t="str">
        <f>VLOOKUP(F1534,PAR!$R$3:$S$5,2,FALSE)</f>
        <v>3 - egyik sem</v>
      </c>
      <c r="O1534" t="str">
        <f>IFERROR(VLOOKUP(J1534,PAR!$O$3:$P$5,2,FALSE),"nincs feladat")</f>
        <v>nincs feladat</v>
      </c>
      <c r="P1534" t="str">
        <f>IFERROR(VLOOKUP(G1534,PAR!$J$2:$M$19,4),"nincs rovat")</f>
        <v>nincs rovat</v>
      </c>
      <c r="Q1534" t="str">
        <f>IF(H1534&gt;0,VLOOKUP(H1534,PAR!$AA$3:$AC$187,3,FALSE),"nincs főkönyvi számla")</f>
        <v>nincs főkönyvi számla</v>
      </c>
      <c r="R1534" t="str">
        <f>IFERROR(VLOOKUP(K1534,PAR!$V$3:$X$438,3,FALSE),"000000 - Nincs COFOG")</f>
        <v>000000 - Nincs COFOG</v>
      </c>
      <c r="S1534">
        <f t="shared" si="449"/>
        <v>0</v>
      </c>
      <c r="T1534">
        <f t="shared" si="450"/>
        <v>0</v>
      </c>
      <c r="U1534" t="str">
        <f>IF('906MP'!J1234&gt;0,CONCATENATE('906MP'!J1234," - ",'906MP'!P1234,", ",'906MP'!E1234),"nincs megjegyzés")</f>
        <v>nincs megjegyzés</v>
      </c>
      <c r="V1534" t="str">
        <f t="shared" si="437"/>
        <v>0P0</v>
      </c>
      <c r="W1534" t="str">
        <f t="shared" si="438"/>
        <v>0P0</v>
      </c>
      <c r="X1534" t="str">
        <f t="shared" si="439"/>
        <v>P0</v>
      </c>
      <c r="Y1534" t="str">
        <f t="shared" si="440"/>
        <v>00</v>
      </c>
      <c r="Z1534" t="str">
        <f t="shared" si="451"/>
        <v>00</v>
      </c>
      <c r="AA1534" t="str">
        <f t="shared" si="441"/>
        <v>00</v>
      </c>
      <c r="AB1534" t="str">
        <f t="shared" si="442"/>
        <v>00</v>
      </c>
      <c r="AC1534" t="str">
        <f t="shared" si="443"/>
        <v>0P0</v>
      </c>
      <c r="AD1534" t="str">
        <f t="shared" si="444"/>
        <v>P00</v>
      </c>
      <c r="AE1534" t="str">
        <f t="shared" si="445"/>
        <v>0P0</v>
      </c>
      <c r="AF1534" t="str">
        <f t="shared" si="446"/>
        <v>P00</v>
      </c>
      <c r="AG1534" t="str">
        <f t="shared" si="452"/>
        <v>0P00</v>
      </c>
      <c r="AH1534" t="str">
        <f t="shared" si="453"/>
        <v>P000</v>
      </c>
      <c r="AI1534" t="str">
        <f t="shared" si="454"/>
        <v>0P00</v>
      </c>
      <c r="AJ1534" t="str">
        <f t="shared" si="455"/>
        <v>P000</v>
      </c>
    </row>
    <row r="1535" spans="1:36" x14ac:dyDescent="0.25">
      <c r="A1535" s="325" t="str">
        <f>CONCATENATE("P",'906MP'!M1235)</f>
        <v>P</v>
      </c>
      <c r="B1535">
        <f>'906MP'!H1235</f>
        <v>0</v>
      </c>
      <c r="C1535">
        <f>'906MP'!J1235</f>
        <v>0</v>
      </c>
      <c r="D1535">
        <f>'906MP'!P1235</f>
        <v>0</v>
      </c>
      <c r="E1535">
        <f>'906MP'!X1235</f>
        <v>0</v>
      </c>
      <c r="F1535" t="str">
        <f t="shared" si="447"/>
        <v>0</v>
      </c>
      <c r="G1535" t="str">
        <f t="shared" si="448"/>
        <v>0</v>
      </c>
      <c r="H1535">
        <f>'906MP'!Y1235</f>
        <v>0</v>
      </c>
      <c r="I1535">
        <f>'906MP'!AK1235</f>
        <v>0</v>
      </c>
      <c r="J1535">
        <f>'906MP'!T1235</f>
        <v>0</v>
      </c>
      <c r="K1535">
        <f>'906MP'!AJ1235</f>
        <v>0</v>
      </c>
      <c r="L1535">
        <f>'906MP'!U1235</f>
        <v>0</v>
      </c>
      <c r="M1535" s="322" t="str">
        <f>IFERROR(VLOOKUP(A1535,PAR!$D$3:$E$53,2,FALSE),"nincs szervezet")</f>
        <v>nincs szervezet</v>
      </c>
      <c r="N1535" s="322" t="str">
        <f>VLOOKUP(F1535,PAR!$R$3:$S$5,2,FALSE)</f>
        <v>3 - egyik sem</v>
      </c>
      <c r="O1535" t="str">
        <f>IFERROR(VLOOKUP(J1535,PAR!$O$3:$P$5,2,FALSE),"nincs feladat")</f>
        <v>nincs feladat</v>
      </c>
      <c r="P1535" t="str">
        <f>IFERROR(VLOOKUP(G1535,PAR!$J$2:$M$19,4),"nincs rovat")</f>
        <v>nincs rovat</v>
      </c>
      <c r="Q1535" t="str">
        <f>IF(H1535&gt;0,VLOOKUP(H1535,PAR!$AA$3:$AC$187,3,FALSE),"nincs főkönyvi számla")</f>
        <v>nincs főkönyvi számla</v>
      </c>
      <c r="R1535" t="str">
        <f>IFERROR(VLOOKUP(K1535,PAR!$V$3:$X$438,3,FALSE),"000000 - Nincs COFOG")</f>
        <v>000000 - Nincs COFOG</v>
      </c>
      <c r="S1535">
        <f t="shared" si="449"/>
        <v>0</v>
      </c>
      <c r="T1535">
        <f t="shared" si="450"/>
        <v>0</v>
      </c>
      <c r="U1535" t="str">
        <f>IF('906MP'!J1235&gt;0,CONCATENATE('906MP'!J1235," - ",'906MP'!P1235,", ",'906MP'!E1235),"nincs megjegyzés")</f>
        <v>nincs megjegyzés</v>
      </c>
      <c r="V1535" t="str">
        <f t="shared" si="437"/>
        <v>0P0</v>
      </c>
      <c r="W1535" t="str">
        <f t="shared" si="438"/>
        <v>0P0</v>
      </c>
      <c r="X1535" t="str">
        <f t="shared" si="439"/>
        <v>P0</v>
      </c>
      <c r="Y1535" t="str">
        <f t="shared" si="440"/>
        <v>00</v>
      </c>
      <c r="Z1535" t="str">
        <f t="shared" si="451"/>
        <v>00</v>
      </c>
      <c r="AA1535" t="str">
        <f t="shared" si="441"/>
        <v>00</v>
      </c>
      <c r="AB1535" t="str">
        <f t="shared" si="442"/>
        <v>00</v>
      </c>
      <c r="AC1535" t="str">
        <f t="shared" si="443"/>
        <v>0P0</v>
      </c>
      <c r="AD1535" t="str">
        <f t="shared" si="444"/>
        <v>P00</v>
      </c>
      <c r="AE1535" t="str">
        <f t="shared" si="445"/>
        <v>0P0</v>
      </c>
      <c r="AF1535" t="str">
        <f t="shared" si="446"/>
        <v>P00</v>
      </c>
      <c r="AG1535" t="str">
        <f t="shared" si="452"/>
        <v>0P00</v>
      </c>
      <c r="AH1535" t="str">
        <f t="shared" si="453"/>
        <v>P000</v>
      </c>
      <c r="AI1535" t="str">
        <f t="shared" si="454"/>
        <v>0P00</v>
      </c>
      <c r="AJ1535" t="str">
        <f t="shared" si="455"/>
        <v>P000</v>
      </c>
    </row>
    <row r="1536" spans="1:36" x14ac:dyDescent="0.25">
      <c r="A1536" s="325" t="str">
        <f>CONCATENATE("P",'906MP'!M1236)</f>
        <v>P</v>
      </c>
      <c r="B1536">
        <f>'906MP'!H1236</f>
        <v>0</v>
      </c>
      <c r="C1536">
        <f>'906MP'!J1236</f>
        <v>0</v>
      </c>
      <c r="D1536">
        <f>'906MP'!P1236</f>
        <v>0</v>
      </c>
      <c r="E1536">
        <f>'906MP'!X1236</f>
        <v>0</v>
      </c>
      <c r="F1536" t="str">
        <f t="shared" si="447"/>
        <v>0</v>
      </c>
      <c r="G1536" t="str">
        <f t="shared" si="448"/>
        <v>0</v>
      </c>
      <c r="H1536">
        <f>'906MP'!Y1236</f>
        <v>0</v>
      </c>
      <c r="I1536">
        <f>'906MP'!AK1236</f>
        <v>0</v>
      </c>
      <c r="J1536">
        <f>'906MP'!T1236</f>
        <v>0</v>
      </c>
      <c r="K1536">
        <f>'906MP'!AJ1236</f>
        <v>0</v>
      </c>
      <c r="L1536">
        <f>'906MP'!U1236</f>
        <v>0</v>
      </c>
      <c r="M1536" s="322" t="str">
        <f>IFERROR(VLOOKUP(A1536,PAR!$D$3:$E$53,2,FALSE),"nincs szervezet")</f>
        <v>nincs szervezet</v>
      </c>
      <c r="N1536" s="322" t="str">
        <f>VLOOKUP(F1536,PAR!$R$3:$S$5,2,FALSE)</f>
        <v>3 - egyik sem</v>
      </c>
      <c r="O1536" t="str">
        <f>IFERROR(VLOOKUP(J1536,PAR!$O$3:$P$5,2,FALSE),"nincs feladat")</f>
        <v>nincs feladat</v>
      </c>
      <c r="P1536" t="str">
        <f>IFERROR(VLOOKUP(G1536,PAR!$J$2:$M$19,4),"nincs rovat")</f>
        <v>nincs rovat</v>
      </c>
      <c r="Q1536" t="str">
        <f>IF(H1536&gt;0,VLOOKUP(H1536,PAR!$AA$3:$AC$187,3,FALSE),"nincs főkönyvi számla")</f>
        <v>nincs főkönyvi számla</v>
      </c>
      <c r="R1536" t="str">
        <f>IFERROR(VLOOKUP(K1536,PAR!$V$3:$X$438,3,FALSE),"000000 - Nincs COFOG")</f>
        <v>000000 - Nincs COFOG</v>
      </c>
      <c r="S1536">
        <f t="shared" si="449"/>
        <v>0</v>
      </c>
      <c r="T1536">
        <f t="shared" si="450"/>
        <v>0</v>
      </c>
      <c r="U1536" t="str">
        <f>IF('906MP'!J1236&gt;0,CONCATENATE('906MP'!J1236," - ",'906MP'!P1236,", ",'906MP'!E1236),"nincs megjegyzés")</f>
        <v>nincs megjegyzés</v>
      </c>
      <c r="V1536" t="str">
        <f t="shared" si="437"/>
        <v>0P0</v>
      </c>
      <c r="W1536" t="str">
        <f t="shared" si="438"/>
        <v>0P0</v>
      </c>
      <c r="X1536" t="str">
        <f t="shared" si="439"/>
        <v>P0</v>
      </c>
      <c r="Y1536" t="str">
        <f t="shared" si="440"/>
        <v>00</v>
      </c>
      <c r="Z1536" t="str">
        <f t="shared" si="451"/>
        <v>00</v>
      </c>
      <c r="AA1536" t="str">
        <f t="shared" si="441"/>
        <v>00</v>
      </c>
      <c r="AB1536" t="str">
        <f t="shared" si="442"/>
        <v>00</v>
      </c>
      <c r="AC1536" t="str">
        <f t="shared" si="443"/>
        <v>0P0</v>
      </c>
      <c r="AD1536" t="str">
        <f t="shared" si="444"/>
        <v>P00</v>
      </c>
      <c r="AE1536" t="str">
        <f t="shared" si="445"/>
        <v>0P0</v>
      </c>
      <c r="AF1536" t="str">
        <f t="shared" si="446"/>
        <v>P00</v>
      </c>
      <c r="AG1536" t="str">
        <f t="shared" si="452"/>
        <v>0P00</v>
      </c>
      <c r="AH1536" t="str">
        <f t="shared" si="453"/>
        <v>P000</v>
      </c>
      <c r="AI1536" t="str">
        <f t="shared" si="454"/>
        <v>0P00</v>
      </c>
      <c r="AJ1536" t="str">
        <f t="shared" si="455"/>
        <v>P000</v>
      </c>
    </row>
    <row r="1537" spans="1:36" x14ac:dyDescent="0.25">
      <c r="A1537" s="325" t="str">
        <f>CONCATENATE("P",'906MP'!M1237)</f>
        <v>P</v>
      </c>
      <c r="B1537">
        <f>'906MP'!H1237</f>
        <v>0</v>
      </c>
      <c r="C1537">
        <f>'906MP'!J1237</f>
        <v>0</v>
      </c>
      <c r="D1537">
        <f>'906MP'!P1237</f>
        <v>0</v>
      </c>
      <c r="E1537">
        <f>'906MP'!X1237</f>
        <v>0</v>
      </c>
      <c r="F1537" t="str">
        <f t="shared" si="447"/>
        <v>0</v>
      </c>
      <c r="G1537" t="str">
        <f t="shared" si="448"/>
        <v>0</v>
      </c>
      <c r="H1537">
        <f>'906MP'!Y1237</f>
        <v>0</v>
      </c>
      <c r="I1537">
        <f>'906MP'!AK1237</f>
        <v>0</v>
      </c>
      <c r="J1537">
        <f>'906MP'!T1237</f>
        <v>0</v>
      </c>
      <c r="K1537">
        <f>'906MP'!AJ1237</f>
        <v>0</v>
      </c>
      <c r="L1537">
        <f>'906MP'!U1237</f>
        <v>0</v>
      </c>
      <c r="M1537" s="322" t="str">
        <f>IFERROR(VLOOKUP(A1537,PAR!$D$3:$E$53,2,FALSE),"nincs szervezet")</f>
        <v>nincs szervezet</v>
      </c>
      <c r="N1537" s="322" t="str">
        <f>VLOOKUP(F1537,PAR!$R$3:$S$5,2,FALSE)</f>
        <v>3 - egyik sem</v>
      </c>
      <c r="O1537" t="str">
        <f>IFERROR(VLOOKUP(J1537,PAR!$O$3:$P$5,2,FALSE),"nincs feladat")</f>
        <v>nincs feladat</v>
      </c>
      <c r="P1537" t="str">
        <f>IFERROR(VLOOKUP(G1537,PAR!$J$2:$M$19,4),"nincs rovat")</f>
        <v>nincs rovat</v>
      </c>
      <c r="Q1537" t="str">
        <f>IF(H1537&gt;0,VLOOKUP(H1537,PAR!$AA$3:$AC$187,3,FALSE),"nincs főkönyvi számla")</f>
        <v>nincs főkönyvi számla</v>
      </c>
      <c r="R1537" t="str">
        <f>IFERROR(VLOOKUP(K1537,PAR!$V$3:$X$438,3,FALSE),"000000 - Nincs COFOG")</f>
        <v>000000 - Nincs COFOG</v>
      </c>
      <c r="S1537">
        <f t="shared" si="449"/>
        <v>0</v>
      </c>
      <c r="T1537">
        <f t="shared" si="450"/>
        <v>0</v>
      </c>
      <c r="U1537" t="str">
        <f>IF('906MP'!J1237&gt;0,CONCATENATE('906MP'!J1237," - ",'906MP'!P1237,", ",'906MP'!E1237),"nincs megjegyzés")</f>
        <v>nincs megjegyzés</v>
      </c>
      <c r="V1537" t="str">
        <f t="shared" si="437"/>
        <v>0P0</v>
      </c>
      <c r="W1537" t="str">
        <f t="shared" si="438"/>
        <v>0P0</v>
      </c>
      <c r="X1537" t="str">
        <f t="shared" si="439"/>
        <v>P0</v>
      </c>
      <c r="Y1537" t="str">
        <f t="shared" si="440"/>
        <v>00</v>
      </c>
      <c r="Z1537" t="str">
        <f t="shared" si="451"/>
        <v>00</v>
      </c>
      <c r="AA1537" t="str">
        <f t="shared" si="441"/>
        <v>00</v>
      </c>
      <c r="AB1537" t="str">
        <f t="shared" si="442"/>
        <v>00</v>
      </c>
      <c r="AC1537" t="str">
        <f t="shared" si="443"/>
        <v>0P0</v>
      </c>
      <c r="AD1537" t="str">
        <f t="shared" si="444"/>
        <v>P00</v>
      </c>
      <c r="AE1537" t="str">
        <f t="shared" si="445"/>
        <v>0P0</v>
      </c>
      <c r="AF1537" t="str">
        <f t="shared" si="446"/>
        <v>P00</v>
      </c>
      <c r="AG1537" t="str">
        <f t="shared" si="452"/>
        <v>0P00</v>
      </c>
      <c r="AH1537" t="str">
        <f t="shared" si="453"/>
        <v>P000</v>
      </c>
      <c r="AI1537" t="str">
        <f t="shared" si="454"/>
        <v>0P00</v>
      </c>
      <c r="AJ1537" t="str">
        <f t="shared" si="455"/>
        <v>P000</v>
      </c>
    </row>
    <row r="1538" spans="1:36" x14ac:dyDescent="0.25">
      <c r="A1538" s="325" t="str">
        <f>CONCATENATE("P",'906MP'!M1238)</f>
        <v>P</v>
      </c>
      <c r="B1538">
        <f>'906MP'!H1238</f>
        <v>0</v>
      </c>
      <c r="C1538">
        <f>'906MP'!J1238</f>
        <v>0</v>
      </c>
      <c r="D1538">
        <f>'906MP'!P1238</f>
        <v>0</v>
      </c>
      <c r="E1538">
        <f>'906MP'!X1238</f>
        <v>0</v>
      </c>
      <c r="F1538" t="str">
        <f t="shared" si="447"/>
        <v>0</v>
      </c>
      <c r="G1538" t="str">
        <f t="shared" si="448"/>
        <v>0</v>
      </c>
      <c r="H1538">
        <f>'906MP'!Y1238</f>
        <v>0</v>
      </c>
      <c r="I1538">
        <f>'906MP'!AK1238</f>
        <v>0</v>
      </c>
      <c r="J1538">
        <f>'906MP'!T1238</f>
        <v>0</v>
      </c>
      <c r="K1538">
        <f>'906MP'!AJ1238</f>
        <v>0</v>
      </c>
      <c r="L1538">
        <f>'906MP'!U1238</f>
        <v>0</v>
      </c>
      <c r="M1538" s="322" t="str">
        <f>IFERROR(VLOOKUP(A1538,PAR!$D$3:$E$53,2,FALSE),"nincs szervezet")</f>
        <v>nincs szervezet</v>
      </c>
      <c r="N1538" s="322" t="str">
        <f>VLOOKUP(F1538,PAR!$R$3:$S$5,2,FALSE)</f>
        <v>3 - egyik sem</v>
      </c>
      <c r="O1538" t="str">
        <f>IFERROR(VLOOKUP(J1538,PAR!$O$3:$P$5,2,FALSE),"nincs feladat")</f>
        <v>nincs feladat</v>
      </c>
      <c r="P1538" t="str">
        <f>IFERROR(VLOOKUP(G1538,PAR!$J$2:$M$19,4),"nincs rovat")</f>
        <v>nincs rovat</v>
      </c>
      <c r="Q1538" t="str">
        <f>IF(H1538&gt;0,VLOOKUP(H1538,PAR!$AA$3:$AC$187,3,FALSE),"nincs főkönyvi számla")</f>
        <v>nincs főkönyvi számla</v>
      </c>
      <c r="R1538" t="str">
        <f>IFERROR(VLOOKUP(K1538,PAR!$V$3:$X$438,3,FALSE),"000000 - Nincs COFOG")</f>
        <v>000000 - Nincs COFOG</v>
      </c>
      <c r="S1538">
        <f t="shared" si="449"/>
        <v>0</v>
      </c>
      <c r="T1538">
        <f t="shared" si="450"/>
        <v>0</v>
      </c>
      <c r="U1538" t="str">
        <f>IF('906MP'!J1238&gt;0,CONCATENATE('906MP'!J1238," - ",'906MP'!P1238,", ",'906MP'!E1238),"nincs megjegyzés")</f>
        <v>nincs megjegyzés</v>
      </c>
      <c r="V1538" t="str">
        <f t="shared" ref="V1538:V1601" si="456">CONCATENATE(B1538,A1538,G1538)</f>
        <v>0P0</v>
      </c>
      <c r="W1538" t="str">
        <f t="shared" ref="W1538:W1601" si="457">CONCATENATE(B1538,A1538,F1538)</f>
        <v>0P0</v>
      </c>
      <c r="X1538" t="str">
        <f t="shared" ref="X1538:X1601" si="458">CONCATENATE(A1538,H1538)</f>
        <v>P0</v>
      </c>
      <c r="Y1538" t="str">
        <f t="shared" ref="Y1538:Y1601" si="459">CONCATENATE(B1538,H1538)</f>
        <v>00</v>
      </c>
      <c r="Z1538" t="str">
        <f t="shared" si="451"/>
        <v>00</v>
      </c>
      <c r="AA1538" t="str">
        <f t="shared" ref="AA1538:AA1601" si="460">CONCATENATE(B1538,G1538)</f>
        <v>00</v>
      </c>
      <c r="AB1538" t="str">
        <f t="shared" ref="AB1538:AB1601" si="461">CONCATENATE(J1538,G1538)</f>
        <v>00</v>
      </c>
      <c r="AC1538" t="str">
        <f t="shared" ref="AC1538:AC1601" si="462">CONCATENATE(B1538,A1538,H1538)</f>
        <v>0P0</v>
      </c>
      <c r="AD1538" t="str">
        <f t="shared" ref="AD1538:AD1601" si="463">CONCATENATE(A1538,H1538,J1538)</f>
        <v>P00</v>
      </c>
      <c r="AE1538" t="str">
        <f t="shared" ref="AE1538:AE1601" si="464">CONCATENATE(B1538,A1538,G1538)</f>
        <v>0P0</v>
      </c>
      <c r="AF1538" t="str">
        <f t="shared" ref="AF1538:AF1601" si="465">CONCATENATE(A1538,G1538,J1538)</f>
        <v>P00</v>
      </c>
      <c r="AG1538" t="str">
        <f t="shared" si="452"/>
        <v>0P00</v>
      </c>
      <c r="AH1538" t="str">
        <f t="shared" si="453"/>
        <v>P000</v>
      </c>
      <c r="AI1538" t="str">
        <f t="shared" si="454"/>
        <v>0P00</v>
      </c>
      <c r="AJ1538" t="str">
        <f t="shared" si="455"/>
        <v>P000</v>
      </c>
    </row>
    <row r="1539" spans="1:36" x14ac:dyDescent="0.25">
      <c r="A1539" s="325" t="str">
        <f>CONCATENATE("P",'906MP'!M1239)</f>
        <v>P</v>
      </c>
      <c r="B1539">
        <f>'906MP'!H1239</f>
        <v>0</v>
      </c>
      <c r="C1539">
        <f>'906MP'!J1239</f>
        <v>0</v>
      </c>
      <c r="D1539">
        <f>'906MP'!P1239</f>
        <v>0</v>
      </c>
      <c r="E1539">
        <f>'906MP'!X1239</f>
        <v>0</v>
      </c>
      <c r="F1539" t="str">
        <f t="shared" ref="F1539:F1602" si="466">LEFT(G1539,2)</f>
        <v>0</v>
      </c>
      <c r="G1539" t="str">
        <f t="shared" ref="G1539:G1602" si="467">LEFT(H1539,3)</f>
        <v>0</v>
      </c>
      <c r="H1539">
        <f>'906MP'!Y1239</f>
        <v>0</v>
      </c>
      <c r="I1539">
        <f>'906MP'!AK1239</f>
        <v>0</v>
      </c>
      <c r="J1539">
        <f>'906MP'!T1239</f>
        <v>0</v>
      </c>
      <c r="K1539">
        <f>'906MP'!AJ1239</f>
        <v>0</v>
      </c>
      <c r="L1539">
        <f>'906MP'!U1239</f>
        <v>0</v>
      </c>
      <c r="M1539" s="322" t="str">
        <f>IFERROR(VLOOKUP(A1539,PAR!$D$3:$E$53,2,FALSE),"nincs szervezet")</f>
        <v>nincs szervezet</v>
      </c>
      <c r="N1539" s="322" t="str">
        <f>VLOOKUP(F1539,PAR!$R$3:$S$5,2,FALSE)</f>
        <v>3 - egyik sem</v>
      </c>
      <c r="O1539" t="str">
        <f>IFERROR(VLOOKUP(J1539,PAR!$O$3:$P$5,2,FALSE),"nincs feladat")</f>
        <v>nincs feladat</v>
      </c>
      <c r="P1539" t="str">
        <f>IFERROR(VLOOKUP(G1539,PAR!$J$2:$M$19,4),"nincs rovat")</f>
        <v>nincs rovat</v>
      </c>
      <c r="Q1539" t="str">
        <f>IF(H1539&gt;0,VLOOKUP(H1539,PAR!$AA$3:$AC$187,3,FALSE),"nincs főkönyvi számla")</f>
        <v>nincs főkönyvi számla</v>
      </c>
      <c r="R1539" t="str">
        <f>IFERROR(VLOOKUP(K1539,PAR!$V$3:$X$438,3,FALSE),"000000 - Nincs COFOG")</f>
        <v>000000 - Nincs COFOG</v>
      </c>
      <c r="S1539">
        <f t="shared" ref="S1539:S1602" si="468">E1539</f>
        <v>0</v>
      </c>
      <c r="T1539">
        <f t="shared" ref="T1539:T1602" si="469">IF(F1539="09",E1539*-1,E1539)</f>
        <v>0</v>
      </c>
      <c r="U1539" t="str">
        <f>IF('906MP'!J1239&gt;0,CONCATENATE('906MP'!J1239," - ",'906MP'!P1239,", ",'906MP'!E1239),"nincs megjegyzés")</f>
        <v>nincs megjegyzés</v>
      </c>
      <c r="V1539" t="str">
        <f t="shared" si="456"/>
        <v>0P0</v>
      </c>
      <c r="W1539" t="str">
        <f t="shared" si="457"/>
        <v>0P0</v>
      </c>
      <c r="X1539" t="str">
        <f t="shared" si="458"/>
        <v>P0</v>
      </c>
      <c r="Y1539" t="str">
        <f t="shared" si="459"/>
        <v>00</v>
      </c>
      <c r="Z1539" t="str">
        <f t="shared" ref="Z1539:Z1602" si="470">CONCATENATE(J1539,H1539)</f>
        <v>00</v>
      </c>
      <c r="AA1539" t="str">
        <f t="shared" si="460"/>
        <v>00</v>
      </c>
      <c r="AB1539" t="str">
        <f t="shared" si="461"/>
        <v>00</v>
      </c>
      <c r="AC1539" t="str">
        <f t="shared" si="462"/>
        <v>0P0</v>
      </c>
      <c r="AD1539" t="str">
        <f t="shared" si="463"/>
        <v>P00</v>
      </c>
      <c r="AE1539" t="str">
        <f t="shared" si="464"/>
        <v>0P0</v>
      </c>
      <c r="AF1539" t="str">
        <f t="shared" si="465"/>
        <v>P00</v>
      </c>
      <c r="AG1539" t="str">
        <f t="shared" ref="AG1539:AG1602" si="471">CONCATENATE(B1539,A1539,H1539,L1539)</f>
        <v>0P00</v>
      </c>
      <c r="AH1539" t="str">
        <f t="shared" ref="AH1539:AH1602" si="472">CONCATENATE(A1539,J1539,H1539,L1539)</f>
        <v>P000</v>
      </c>
      <c r="AI1539" t="str">
        <f t="shared" ref="AI1539:AI1602" si="473">CONCATENATE(B1539,A1539,G1539,L1539)</f>
        <v>0P00</v>
      </c>
      <c r="AJ1539" t="str">
        <f t="shared" ref="AJ1539:AJ1602" si="474">CONCATENATE(A1539,G1539,J1539,L1539)</f>
        <v>P000</v>
      </c>
    </row>
    <row r="1540" spans="1:36" x14ac:dyDescent="0.25">
      <c r="A1540" s="325" t="str">
        <f>CONCATENATE("P",'906MP'!M1240)</f>
        <v>P</v>
      </c>
      <c r="B1540">
        <f>'906MP'!H1240</f>
        <v>0</v>
      </c>
      <c r="C1540">
        <f>'906MP'!J1240</f>
        <v>0</v>
      </c>
      <c r="D1540">
        <f>'906MP'!P1240</f>
        <v>0</v>
      </c>
      <c r="E1540">
        <f>'906MP'!X1240</f>
        <v>0</v>
      </c>
      <c r="F1540" t="str">
        <f t="shared" si="466"/>
        <v>0</v>
      </c>
      <c r="G1540" t="str">
        <f t="shared" si="467"/>
        <v>0</v>
      </c>
      <c r="H1540">
        <f>'906MP'!Y1240</f>
        <v>0</v>
      </c>
      <c r="I1540">
        <f>'906MP'!AK1240</f>
        <v>0</v>
      </c>
      <c r="J1540">
        <f>'906MP'!T1240</f>
        <v>0</v>
      </c>
      <c r="K1540">
        <f>'906MP'!AJ1240</f>
        <v>0</v>
      </c>
      <c r="L1540">
        <f>'906MP'!U1240</f>
        <v>0</v>
      </c>
      <c r="M1540" s="322" t="str">
        <f>IFERROR(VLOOKUP(A1540,PAR!$D$3:$E$53,2,FALSE),"nincs szervezet")</f>
        <v>nincs szervezet</v>
      </c>
      <c r="N1540" s="322" t="str">
        <f>VLOOKUP(F1540,PAR!$R$3:$S$5,2,FALSE)</f>
        <v>3 - egyik sem</v>
      </c>
      <c r="O1540" t="str">
        <f>IFERROR(VLOOKUP(J1540,PAR!$O$3:$P$5,2,FALSE),"nincs feladat")</f>
        <v>nincs feladat</v>
      </c>
      <c r="P1540" t="str">
        <f>IFERROR(VLOOKUP(G1540,PAR!$J$2:$M$19,4),"nincs rovat")</f>
        <v>nincs rovat</v>
      </c>
      <c r="Q1540" t="str">
        <f>IF(H1540&gt;0,VLOOKUP(H1540,PAR!$AA$3:$AC$187,3,FALSE),"nincs főkönyvi számla")</f>
        <v>nincs főkönyvi számla</v>
      </c>
      <c r="R1540" t="str">
        <f>IFERROR(VLOOKUP(K1540,PAR!$V$3:$X$438,3,FALSE),"000000 - Nincs COFOG")</f>
        <v>000000 - Nincs COFOG</v>
      </c>
      <c r="S1540">
        <f t="shared" si="468"/>
        <v>0</v>
      </c>
      <c r="T1540">
        <f t="shared" si="469"/>
        <v>0</v>
      </c>
      <c r="U1540" t="str">
        <f>IF('906MP'!J1240&gt;0,CONCATENATE('906MP'!J1240," - ",'906MP'!P1240,", ",'906MP'!E1240),"nincs megjegyzés")</f>
        <v>nincs megjegyzés</v>
      </c>
      <c r="V1540" t="str">
        <f t="shared" si="456"/>
        <v>0P0</v>
      </c>
      <c r="W1540" t="str">
        <f t="shared" si="457"/>
        <v>0P0</v>
      </c>
      <c r="X1540" t="str">
        <f t="shared" si="458"/>
        <v>P0</v>
      </c>
      <c r="Y1540" t="str">
        <f t="shared" si="459"/>
        <v>00</v>
      </c>
      <c r="Z1540" t="str">
        <f t="shared" si="470"/>
        <v>00</v>
      </c>
      <c r="AA1540" t="str">
        <f t="shared" si="460"/>
        <v>00</v>
      </c>
      <c r="AB1540" t="str">
        <f t="shared" si="461"/>
        <v>00</v>
      </c>
      <c r="AC1540" t="str">
        <f t="shared" si="462"/>
        <v>0P0</v>
      </c>
      <c r="AD1540" t="str">
        <f t="shared" si="463"/>
        <v>P00</v>
      </c>
      <c r="AE1540" t="str">
        <f t="shared" si="464"/>
        <v>0P0</v>
      </c>
      <c r="AF1540" t="str">
        <f t="shared" si="465"/>
        <v>P00</v>
      </c>
      <c r="AG1540" t="str">
        <f t="shared" si="471"/>
        <v>0P00</v>
      </c>
      <c r="AH1540" t="str">
        <f t="shared" si="472"/>
        <v>P000</v>
      </c>
      <c r="AI1540" t="str">
        <f t="shared" si="473"/>
        <v>0P00</v>
      </c>
      <c r="AJ1540" t="str">
        <f t="shared" si="474"/>
        <v>P000</v>
      </c>
    </row>
    <row r="1541" spans="1:36" x14ac:dyDescent="0.25">
      <c r="A1541" s="325" t="str">
        <f>CONCATENATE("P",'906MP'!M1241)</f>
        <v>P</v>
      </c>
      <c r="B1541">
        <f>'906MP'!H1241</f>
        <v>0</v>
      </c>
      <c r="C1541">
        <f>'906MP'!J1241</f>
        <v>0</v>
      </c>
      <c r="D1541">
        <f>'906MP'!P1241</f>
        <v>0</v>
      </c>
      <c r="E1541">
        <f>'906MP'!X1241</f>
        <v>0</v>
      </c>
      <c r="F1541" t="str">
        <f t="shared" si="466"/>
        <v>0</v>
      </c>
      <c r="G1541" t="str">
        <f t="shared" si="467"/>
        <v>0</v>
      </c>
      <c r="H1541">
        <f>'906MP'!Y1241</f>
        <v>0</v>
      </c>
      <c r="I1541">
        <f>'906MP'!AK1241</f>
        <v>0</v>
      </c>
      <c r="J1541">
        <f>'906MP'!T1241</f>
        <v>0</v>
      </c>
      <c r="K1541">
        <f>'906MP'!AJ1241</f>
        <v>0</v>
      </c>
      <c r="L1541">
        <f>'906MP'!U1241</f>
        <v>0</v>
      </c>
      <c r="M1541" s="322" t="str">
        <f>IFERROR(VLOOKUP(A1541,PAR!$D$3:$E$53,2,FALSE),"nincs szervezet")</f>
        <v>nincs szervezet</v>
      </c>
      <c r="N1541" s="322" t="str">
        <f>VLOOKUP(F1541,PAR!$R$3:$S$5,2,FALSE)</f>
        <v>3 - egyik sem</v>
      </c>
      <c r="O1541" t="str">
        <f>IFERROR(VLOOKUP(J1541,PAR!$O$3:$P$5,2,FALSE),"nincs feladat")</f>
        <v>nincs feladat</v>
      </c>
      <c r="P1541" t="str">
        <f>IFERROR(VLOOKUP(G1541,PAR!$J$2:$M$19,4),"nincs rovat")</f>
        <v>nincs rovat</v>
      </c>
      <c r="Q1541" t="str">
        <f>IF(H1541&gt;0,VLOOKUP(H1541,PAR!$AA$3:$AC$187,3,FALSE),"nincs főkönyvi számla")</f>
        <v>nincs főkönyvi számla</v>
      </c>
      <c r="R1541" t="str">
        <f>IFERROR(VLOOKUP(K1541,PAR!$V$3:$X$438,3,FALSE),"000000 - Nincs COFOG")</f>
        <v>000000 - Nincs COFOG</v>
      </c>
      <c r="S1541">
        <f t="shared" si="468"/>
        <v>0</v>
      </c>
      <c r="T1541">
        <f t="shared" si="469"/>
        <v>0</v>
      </c>
      <c r="U1541" t="str">
        <f>IF('906MP'!J1241&gt;0,CONCATENATE('906MP'!J1241," - ",'906MP'!P1241,", ",'906MP'!E1241),"nincs megjegyzés")</f>
        <v>nincs megjegyzés</v>
      </c>
      <c r="V1541" t="str">
        <f t="shared" si="456"/>
        <v>0P0</v>
      </c>
      <c r="W1541" t="str">
        <f t="shared" si="457"/>
        <v>0P0</v>
      </c>
      <c r="X1541" t="str">
        <f t="shared" si="458"/>
        <v>P0</v>
      </c>
      <c r="Y1541" t="str">
        <f t="shared" si="459"/>
        <v>00</v>
      </c>
      <c r="Z1541" t="str">
        <f t="shared" si="470"/>
        <v>00</v>
      </c>
      <c r="AA1541" t="str">
        <f t="shared" si="460"/>
        <v>00</v>
      </c>
      <c r="AB1541" t="str">
        <f t="shared" si="461"/>
        <v>00</v>
      </c>
      <c r="AC1541" t="str">
        <f t="shared" si="462"/>
        <v>0P0</v>
      </c>
      <c r="AD1541" t="str">
        <f t="shared" si="463"/>
        <v>P00</v>
      </c>
      <c r="AE1541" t="str">
        <f t="shared" si="464"/>
        <v>0P0</v>
      </c>
      <c r="AF1541" t="str">
        <f t="shared" si="465"/>
        <v>P00</v>
      </c>
      <c r="AG1541" t="str">
        <f t="shared" si="471"/>
        <v>0P00</v>
      </c>
      <c r="AH1541" t="str">
        <f t="shared" si="472"/>
        <v>P000</v>
      </c>
      <c r="AI1541" t="str">
        <f t="shared" si="473"/>
        <v>0P00</v>
      </c>
      <c r="AJ1541" t="str">
        <f t="shared" si="474"/>
        <v>P000</v>
      </c>
    </row>
    <row r="1542" spans="1:36" x14ac:dyDescent="0.25">
      <c r="A1542" s="325" t="str">
        <f>CONCATENATE("P",'906MP'!M1242)</f>
        <v>P</v>
      </c>
      <c r="B1542">
        <f>'906MP'!H1242</f>
        <v>0</v>
      </c>
      <c r="C1542">
        <f>'906MP'!J1242</f>
        <v>0</v>
      </c>
      <c r="D1542">
        <f>'906MP'!P1242</f>
        <v>0</v>
      </c>
      <c r="E1542">
        <f>'906MP'!X1242</f>
        <v>0</v>
      </c>
      <c r="F1542" t="str">
        <f t="shared" si="466"/>
        <v>0</v>
      </c>
      <c r="G1542" t="str">
        <f t="shared" si="467"/>
        <v>0</v>
      </c>
      <c r="H1542">
        <f>'906MP'!Y1242</f>
        <v>0</v>
      </c>
      <c r="I1542">
        <f>'906MP'!AK1242</f>
        <v>0</v>
      </c>
      <c r="J1542">
        <f>'906MP'!T1242</f>
        <v>0</v>
      </c>
      <c r="K1542">
        <f>'906MP'!AJ1242</f>
        <v>0</v>
      </c>
      <c r="L1542">
        <f>'906MP'!U1242</f>
        <v>0</v>
      </c>
      <c r="M1542" s="322" t="str">
        <f>IFERROR(VLOOKUP(A1542,PAR!$D$3:$E$53,2,FALSE),"nincs szervezet")</f>
        <v>nincs szervezet</v>
      </c>
      <c r="N1542" s="322" t="str">
        <f>VLOOKUP(F1542,PAR!$R$3:$S$5,2,FALSE)</f>
        <v>3 - egyik sem</v>
      </c>
      <c r="O1542" t="str">
        <f>IFERROR(VLOOKUP(J1542,PAR!$O$3:$P$5,2,FALSE),"nincs feladat")</f>
        <v>nincs feladat</v>
      </c>
      <c r="P1542" t="str">
        <f>IFERROR(VLOOKUP(G1542,PAR!$J$2:$M$19,4),"nincs rovat")</f>
        <v>nincs rovat</v>
      </c>
      <c r="Q1542" t="str">
        <f>IF(H1542&gt;0,VLOOKUP(H1542,PAR!$AA$3:$AC$187,3,FALSE),"nincs főkönyvi számla")</f>
        <v>nincs főkönyvi számla</v>
      </c>
      <c r="R1542" t="str">
        <f>IFERROR(VLOOKUP(K1542,PAR!$V$3:$X$438,3,FALSE),"000000 - Nincs COFOG")</f>
        <v>000000 - Nincs COFOG</v>
      </c>
      <c r="S1542">
        <f t="shared" si="468"/>
        <v>0</v>
      </c>
      <c r="T1542">
        <f t="shared" si="469"/>
        <v>0</v>
      </c>
      <c r="U1542" t="str">
        <f>IF('906MP'!J1242&gt;0,CONCATENATE('906MP'!J1242," - ",'906MP'!P1242,", ",'906MP'!E1242),"nincs megjegyzés")</f>
        <v>nincs megjegyzés</v>
      </c>
      <c r="V1542" t="str">
        <f t="shared" si="456"/>
        <v>0P0</v>
      </c>
      <c r="W1542" t="str">
        <f t="shared" si="457"/>
        <v>0P0</v>
      </c>
      <c r="X1542" t="str">
        <f t="shared" si="458"/>
        <v>P0</v>
      </c>
      <c r="Y1542" t="str">
        <f t="shared" si="459"/>
        <v>00</v>
      </c>
      <c r="Z1542" t="str">
        <f t="shared" si="470"/>
        <v>00</v>
      </c>
      <c r="AA1542" t="str">
        <f t="shared" si="460"/>
        <v>00</v>
      </c>
      <c r="AB1542" t="str">
        <f t="shared" si="461"/>
        <v>00</v>
      </c>
      <c r="AC1542" t="str">
        <f t="shared" si="462"/>
        <v>0P0</v>
      </c>
      <c r="AD1542" t="str">
        <f t="shared" si="463"/>
        <v>P00</v>
      </c>
      <c r="AE1542" t="str">
        <f t="shared" si="464"/>
        <v>0P0</v>
      </c>
      <c r="AF1542" t="str">
        <f t="shared" si="465"/>
        <v>P00</v>
      </c>
      <c r="AG1542" t="str">
        <f t="shared" si="471"/>
        <v>0P00</v>
      </c>
      <c r="AH1542" t="str">
        <f t="shared" si="472"/>
        <v>P000</v>
      </c>
      <c r="AI1542" t="str">
        <f t="shared" si="473"/>
        <v>0P00</v>
      </c>
      <c r="AJ1542" t="str">
        <f t="shared" si="474"/>
        <v>P000</v>
      </c>
    </row>
    <row r="1543" spans="1:36" x14ac:dyDescent="0.25">
      <c r="A1543" s="325" t="str">
        <f>CONCATENATE("P",'906MP'!M1243)</f>
        <v>P</v>
      </c>
      <c r="B1543">
        <f>'906MP'!H1243</f>
        <v>0</v>
      </c>
      <c r="C1543">
        <f>'906MP'!J1243</f>
        <v>0</v>
      </c>
      <c r="D1543">
        <f>'906MP'!P1243</f>
        <v>0</v>
      </c>
      <c r="E1543">
        <f>'906MP'!X1243</f>
        <v>0</v>
      </c>
      <c r="F1543" t="str">
        <f t="shared" si="466"/>
        <v>0</v>
      </c>
      <c r="G1543" t="str">
        <f t="shared" si="467"/>
        <v>0</v>
      </c>
      <c r="H1543">
        <f>'906MP'!Y1243</f>
        <v>0</v>
      </c>
      <c r="I1543">
        <f>'906MP'!AK1243</f>
        <v>0</v>
      </c>
      <c r="J1543">
        <f>'906MP'!T1243</f>
        <v>0</v>
      </c>
      <c r="K1543">
        <f>'906MP'!AJ1243</f>
        <v>0</v>
      </c>
      <c r="L1543">
        <f>'906MP'!U1243</f>
        <v>0</v>
      </c>
      <c r="M1543" s="322" t="str">
        <f>IFERROR(VLOOKUP(A1543,PAR!$D$3:$E$53,2,FALSE),"nincs szervezet")</f>
        <v>nincs szervezet</v>
      </c>
      <c r="N1543" s="322" t="str">
        <f>VLOOKUP(F1543,PAR!$R$3:$S$5,2,FALSE)</f>
        <v>3 - egyik sem</v>
      </c>
      <c r="O1543" t="str">
        <f>IFERROR(VLOOKUP(J1543,PAR!$O$3:$P$5,2,FALSE),"nincs feladat")</f>
        <v>nincs feladat</v>
      </c>
      <c r="P1543" t="str">
        <f>IFERROR(VLOOKUP(G1543,PAR!$J$2:$M$19,4),"nincs rovat")</f>
        <v>nincs rovat</v>
      </c>
      <c r="Q1543" t="str">
        <f>IF(H1543&gt;0,VLOOKUP(H1543,PAR!$AA$3:$AC$187,3,FALSE),"nincs főkönyvi számla")</f>
        <v>nincs főkönyvi számla</v>
      </c>
      <c r="R1543" t="str">
        <f>IFERROR(VLOOKUP(K1543,PAR!$V$3:$X$438,3,FALSE),"000000 - Nincs COFOG")</f>
        <v>000000 - Nincs COFOG</v>
      </c>
      <c r="S1543">
        <f t="shared" si="468"/>
        <v>0</v>
      </c>
      <c r="T1543">
        <f t="shared" si="469"/>
        <v>0</v>
      </c>
      <c r="U1543" t="str">
        <f>IF('906MP'!J1243&gt;0,CONCATENATE('906MP'!J1243," - ",'906MP'!P1243,", ",'906MP'!E1243),"nincs megjegyzés")</f>
        <v>nincs megjegyzés</v>
      </c>
      <c r="V1543" t="str">
        <f t="shared" si="456"/>
        <v>0P0</v>
      </c>
      <c r="W1543" t="str">
        <f t="shared" si="457"/>
        <v>0P0</v>
      </c>
      <c r="X1543" t="str">
        <f t="shared" si="458"/>
        <v>P0</v>
      </c>
      <c r="Y1543" t="str">
        <f t="shared" si="459"/>
        <v>00</v>
      </c>
      <c r="Z1543" t="str">
        <f t="shared" si="470"/>
        <v>00</v>
      </c>
      <c r="AA1543" t="str">
        <f t="shared" si="460"/>
        <v>00</v>
      </c>
      <c r="AB1543" t="str">
        <f t="shared" si="461"/>
        <v>00</v>
      </c>
      <c r="AC1543" t="str">
        <f t="shared" si="462"/>
        <v>0P0</v>
      </c>
      <c r="AD1543" t="str">
        <f t="shared" si="463"/>
        <v>P00</v>
      </c>
      <c r="AE1543" t="str">
        <f t="shared" si="464"/>
        <v>0P0</v>
      </c>
      <c r="AF1543" t="str">
        <f t="shared" si="465"/>
        <v>P00</v>
      </c>
      <c r="AG1543" t="str">
        <f t="shared" si="471"/>
        <v>0P00</v>
      </c>
      <c r="AH1543" t="str">
        <f t="shared" si="472"/>
        <v>P000</v>
      </c>
      <c r="AI1543" t="str">
        <f t="shared" si="473"/>
        <v>0P00</v>
      </c>
      <c r="AJ1543" t="str">
        <f t="shared" si="474"/>
        <v>P000</v>
      </c>
    </row>
    <row r="1544" spans="1:36" x14ac:dyDescent="0.25">
      <c r="A1544" s="325" t="str">
        <f>CONCATENATE("P",'906MP'!M1244)</f>
        <v>P</v>
      </c>
      <c r="B1544">
        <f>'906MP'!H1244</f>
        <v>0</v>
      </c>
      <c r="C1544">
        <f>'906MP'!J1244</f>
        <v>0</v>
      </c>
      <c r="D1544">
        <f>'906MP'!P1244</f>
        <v>0</v>
      </c>
      <c r="E1544">
        <f>'906MP'!X1244</f>
        <v>0</v>
      </c>
      <c r="F1544" t="str">
        <f t="shared" si="466"/>
        <v>0</v>
      </c>
      <c r="G1544" t="str">
        <f t="shared" si="467"/>
        <v>0</v>
      </c>
      <c r="H1544">
        <f>'906MP'!Y1244</f>
        <v>0</v>
      </c>
      <c r="I1544">
        <f>'906MP'!AK1244</f>
        <v>0</v>
      </c>
      <c r="J1544">
        <f>'906MP'!T1244</f>
        <v>0</v>
      </c>
      <c r="K1544">
        <f>'906MP'!AJ1244</f>
        <v>0</v>
      </c>
      <c r="L1544">
        <f>'906MP'!U1244</f>
        <v>0</v>
      </c>
      <c r="M1544" s="322" t="str">
        <f>IFERROR(VLOOKUP(A1544,PAR!$D$3:$E$53,2,FALSE),"nincs szervezet")</f>
        <v>nincs szervezet</v>
      </c>
      <c r="N1544" s="322" t="str">
        <f>VLOOKUP(F1544,PAR!$R$3:$S$5,2,FALSE)</f>
        <v>3 - egyik sem</v>
      </c>
      <c r="O1544" t="str">
        <f>IFERROR(VLOOKUP(J1544,PAR!$O$3:$P$5,2,FALSE),"nincs feladat")</f>
        <v>nincs feladat</v>
      </c>
      <c r="P1544" t="str">
        <f>IFERROR(VLOOKUP(G1544,PAR!$J$2:$M$19,4),"nincs rovat")</f>
        <v>nincs rovat</v>
      </c>
      <c r="Q1544" t="str">
        <f>IF(H1544&gt;0,VLOOKUP(H1544,PAR!$AA$3:$AC$187,3,FALSE),"nincs főkönyvi számla")</f>
        <v>nincs főkönyvi számla</v>
      </c>
      <c r="R1544" t="str">
        <f>IFERROR(VLOOKUP(K1544,PAR!$V$3:$X$438,3,FALSE),"000000 - Nincs COFOG")</f>
        <v>000000 - Nincs COFOG</v>
      </c>
      <c r="S1544">
        <f t="shared" si="468"/>
        <v>0</v>
      </c>
      <c r="T1544">
        <f t="shared" si="469"/>
        <v>0</v>
      </c>
      <c r="U1544" t="str">
        <f>IF('906MP'!J1244&gt;0,CONCATENATE('906MP'!J1244," - ",'906MP'!P1244,", ",'906MP'!E1244),"nincs megjegyzés")</f>
        <v>nincs megjegyzés</v>
      </c>
      <c r="V1544" t="str">
        <f t="shared" si="456"/>
        <v>0P0</v>
      </c>
      <c r="W1544" t="str">
        <f t="shared" si="457"/>
        <v>0P0</v>
      </c>
      <c r="X1544" t="str">
        <f t="shared" si="458"/>
        <v>P0</v>
      </c>
      <c r="Y1544" t="str">
        <f t="shared" si="459"/>
        <v>00</v>
      </c>
      <c r="Z1544" t="str">
        <f t="shared" si="470"/>
        <v>00</v>
      </c>
      <c r="AA1544" t="str">
        <f t="shared" si="460"/>
        <v>00</v>
      </c>
      <c r="AB1544" t="str">
        <f t="shared" si="461"/>
        <v>00</v>
      </c>
      <c r="AC1544" t="str">
        <f t="shared" si="462"/>
        <v>0P0</v>
      </c>
      <c r="AD1544" t="str">
        <f t="shared" si="463"/>
        <v>P00</v>
      </c>
      <c r="AE1544" t="str">
        <f t="shared" si="464"/>
        <v>0P0</v>
      </c>
      <c r="AF1544" t="str">
        <f t="shared" si="465"/>
        <v>P00</v>
      </c>
      <c r="AG1544" t="str">
        <f t="shared" si="471"/>
        <v>0P00</v>
      </c>
      <c r="AH1544" t="str">
        <f t="shared" si="472"/>
        <v>P000</v>
      </c>
      <c r="AI1544" t="str">
        <f t="shared" si="473"/>
        <v>0P00</v>
      </c>
      <c r="AJ1544" t="str">
        <f t="shared" si="474"/>
        <v>P000</v>
      </c>
    </row>
    <row r="1545" spans="1:36" x14ac:dyDescent="0.25">
      <c r="A1545" s="325" t="str">
        <f>CONCATENATE("P",'906MP'!M1245)</f>
        <v>P</v>
      </c>
      <c r="B1545">
        <f>'906MP'!H1245</f>
        <v>0</v>
      </c>
      <c r="C1545">
        <f>'906MP'!J1245</f>
        <v>0</v>
      </c>
      <c r="D1545">
        <f>'906MP'!P1245</f>
        <v>0</v>
      </c>
      <c r="E1545">
        <f>'906MP'!X1245</f>
        <v>0</v>
      </c>
      <c r="F1545" t="str">
        <f t="shared" si="466"/>
        <v>0</v>
      </c>
      <c r="G1545" t="str">
        <f t="shared" si="467"/>
        <v>0</v>
      </c>
      <c r="H1545">
        <f>'906MP'!Y1245</f>
        <v>0</v>
      </c>
      <c r="I1545">
        <f>'906MP'!AK1245</f>
        <v>0</v>
      </c>
      <c r="J1545">
        <f>'906MP'!T1245</f>
        <v>0</v>
      </c>
      <c r="K1545">
        <f>'906MP'!AJ1245</f>
        <v>0</v>
      </c>
      <c r="L1545">
        <f>'906MP'!U1245</f>
        <v>0</v>
      </c>
      <c r="M1545" s="322" t="str">
        <f>IFERROR(VLOOKUP(A1545,PAR!$D$3:$E$53,2,FALSE),"nincs szervezet")</f>
        <v>nincs szervezet</v>
      </c>
      <c r="N1545" s="322" t="str">
        <f>VLOOKUP(F1545,PAR!$R$3:$S$5,2,FALSE)</f>
        <v>3 - egyik sem</v>
      </c>
      <c r="O1545" t="str">
        <f>IFERROR(VLOOKUP(J1545,PAR!$O$3:$P$5,2,FALSE),"nincs feladat")</f>
        <v>nincs feladat</v>
      </c>
      <c r="P1545" t="str">
        <f>IFERROR(VLOOKUP(G1545,PAR!$J$2:$M$19,4),"nincs rovat")</f>
        <v>nincs rovat</v>
      </c>
      <c r="Q1545" t="str">
        <f>IF(H1545&gt;0,VLOOKUP(H1545,PAR!$AA$3:$AC$187,3,FALSE),"nincs főkönyvi számla")</f>
        <v>nincs főkönyvi számla</v>
      </c>
      <c r="R1545" t="str">
        <f>IFERROR(VLOOKUP(K1545,PAR!$V$3:$X$438,3,FALSE),"000000 - Nincs COFOG")</f>
        <v>000000 - Nincs COFOG</v>
      </c>
      <c r="S1545">
        <f t="shared" si="468"/>
        <v>0</v>
      </c>
      <c r="T1545">
        <f t="shared" si="469"/>
        <v>0</v>
      </c>
      <c r="U1545" t="str">
        <f>IF('906MP'!J1245&gt;0,CONCATENATE('906MP'!J1245," - ",'906MP'!P1245,", ",'906MP'!E1245),"nincs megjegyzés")</f>
        <v>nincs megjegyzés</v>
      </c>
      <c r="V1545" t="str">
        <f t="shared" si="456"/>
        <v>0P0</v>
      </c>
      <c r="W1545" t="str">
        <f t="shared" si="457"/>
        <v>0P0</v>
      </c>
      <c r="X1545" t="str">
        <f t="shared" si="458"/>
        <v>P0</v>
      </c>
      <c r="Y1545" t="str">
        <f t="shared" si="459"/>
        <v>00</v>
      </c>
      <c r="Z1545" t="str">
        <f t="shared" si="470"/>
        <v>00</v>
      </c>
      <c r="AA1545" t="str">
        <f t="shared" si="460"/>
        <v>00</v>
      </c>
      <c r="AB1545" t="str">
        <f t="shared" si="461"/>
        <v>00</v>
      </c>
      <c r="AC1545" t="str">
        <f t="shared" si="462"/>
        <v>0P0</v>
      </c>
      <c r="AD1545" t="str">
        <f t="shared" si="463"/>
        <v>P00</v>
      </c>
      <c r="AE1545" t="str">
        <f t="shared" si="464"/>
        <v>0P0</v>
      </c>
      <c r="AF1545" t="str">
        <f t="shared" si="465"/>
        <v>P00</v>
      </c>
      <c r="AG1545" t="str">
        <f t="shared" si="471"/>
        <v>0P00</v>
      </c>
      <c r="AH1545" t="str">
        <f t="shared" si="472"/>
        <v>P000</v>
      </c>
      <c r="AI1545" t="str">
        <f t="shared" si="473"/>
        <v>0P00</v>
      </c>
      <c r="AJ1545" t="str">
        <f t="shared" si="474"/>
        <v>P000</v>
      </c>
    </row>
    <row r="1546" spans="1:36" x14ac:dyDescent="0.25">
      <c r="A1546" s="325" t="str">
        <f>CONCATENATE("P",'906MP'!M1246)</f>
        <v>P</v>
      </c>
      <c r="B1546">
        <f>'906MP'!H1246</f>
        <v>0</v>
      </c>
      <c r="C1546">
        <f>'906MP'!J1246</f>
        <v>0</v>
      </c>
      <c r="D1546">
        <f>'906MP'!P1246</f>
        <v>0</v>
      </c>
      <c r="E1546">
        <f>'906MP'!X1246</f>
        <v>0</v>
      </c>
      <c r="F1546" t="str">
        <f t="shared" si="466"/>
        <v>0</v>
      </c>
      <c r="G1546" t="str">
        <f t="shared" si="467"/>
        <v>0</v>
      </c>
      <c r="H1546">
        <f>'906MP'!Y1246</f>
        <v>0</v>
      </c>
      <c r="I1546">
        <f>'906MP'!AK1246</f>
        <v>0</v>
      </c>
      <c r="J1546">
        <f>'906MP'!T1246</f>
        <v>0</v>
      </c>
      <c r="K1546">
        <f>'906MP'!AJ1246</f>
        <v>0</v>
      </c>
      <c r="L1546">
        <f>'906MP'!U1246</f>
        <v>0</v>
      </c>
      <c r="M1546" s="322" t="str">
        <f>IFERROR(VLOOKUP(A1546,PAR!$D$3:$E$53,2,FALSE),"nincs szervezet")</f>
        <v>nincs szervezet</v>
      </c>
      <c r="N1546" s="322" t="str">
        <f>VLOOKUP(F1546,PAR!$R$3:$S$5,2,FALSE)</f>
        <v>3 - egyik sem</v>
      </c>
      <c r="O1546" t="str">
        <f>IFERROR(VLOOKUP(J1546,PAR!$O$3:$P$5,2,FALSE),"nincs feladat")</f>
        <v>nincs feladat</v>
      </c>
      <c r="P1546" t="str">
        <f>IFERROR(VLOOKUP(G1546,PAR!$J$2:$M$19,4),"nincs rovat")</f>
        <v>nincs rovat</v>
      </c>
      <c r="Q1546" t="str">
        <f>IF(H1546&gt;0,VLOOKUP(H1546,PAR!$AA$3:$AC$187,3,FALSE),"nincs főkönyvi számla")</f>
        <v>nincs főkönyvi számla</v>
      </c>
      <c r="R1546" t="str">
        <f>IFERROR(VLOOKUP(K1546,PAR!$V$3:$X$438,3,FALSE),"000000 - Nincs COFOG")</f>
        <v>000000 - Nincs COFOG</v>
      </c>
      <c r="S1546">
        <f t="shared" si="468"/>
        <v>0</v>
      </c>
      <c r="T1546">
        <f t="shared" si="469"/>
        <v>0</v>
      </c>
      <c r="U1546" t="str">
        <f>IF('906MP'!J1246&gt;0,CONCATENATE('906MP'!J1246," - ",'906MP'!P1246,", ",'906MP'!E1246),"nincs megjegyzés")</f>
        <v>nincs megjegyzés</v>
      </c>
      <c r="V1546" t="str">
        <f t="shared" si="456"/>
        <v>0P0</v>
      </c>
      <c r="W1546" t="str">
        <f t="shared" si="457"/>
        <v>0P0</v>
      </c>
      <c r="X1546" t="str">
        <f t="shared" si="458"/>
        <v>P0</v>
      </c>
      <c r="Y1546" t="str">
        <f t="shared" si="459"/>
        <v>00</v>
      </c>
      <c r="Z1546" t="str">
        <f t="shared" si="470"/>
        <v>00</v>
      </c>
      <c r="AA1546" t="str">
        <f t="shared" si="460"/>
        <v>00</v>
      </c>
      <c r="AB1546" t="str">
        <f t="shared" si="461"/>
        <v>00</v>
      </c>
      <c r="AC1546" t="str">
        <f t="shared" si="462"/>
        <v>0P0</v>
      </c>
      <c r="AD1546" t="str">
        <f t="shared" si="463"/>
        <v>P00</v>
      </c>
      <c r="AE1546" t="str">
        <f t="shared" si="464"/>
        <v>0P0</v>
      </c>
      <c r="AF1546" t="str">
        <f t="shared" si="465"/>
        <v>P00</v>
      </c>
      <c r="AG1546" t="str">
        <f t="shared" si="471"/>
        <v>0P00</v>
      </c>
      <c r="AH1546" t="str">
        <f t="shared" si="472"/>
        <v>P000</v>
      </c>
      <c r="AI1546" t="str">
        <f t="shared" si="473"/>
        <v>0P00</v>
      </c>
      <c r="AJ1546" t="str">
        <f t="shared" si="474"/>
        <v>P000</v>
      </c>
    </row>
    <row r="1547" spans="1:36" x14ac:dyDescent="0.25">
      <c r="A1547" s="325" t="str">
        <f>CONCATENATE("P",'906MP'!M1247)</f>
        <v>P</v>
      </c>
      <c r="B1547">
        <f>'906MP'!H1247</f>
        <v>0</v>
      </c>
      <c r="C1547">
        <f>'906MP'!J1247</f>
        <v>0</v>
      </c>
      <c r="D1547">
        <f>'906MP'!P1247</f>
        <v>0</v>
      </c>
      <c r="E1547">
        <f>'906MP'!X1247</f>
        <v>0</v>
      </c>
      <c r="F1547" t="str">
        <f t="shared" si="466"/>
        <v>0</v>
      </c>
      <c r="G1547" t="str">
        <f t="shared" si="467"/>
        <v>0</v>
      </c>
      <c r="H1547">
        <f>'906MP'!Y1247</f>
        <v>0</v>
      </c>
      <c r="I1547">
        <f>'906MP'!AK1247</f>
        <v>0</v>
      </c>
      <c r="J1547">
        <f>'906MP'!T1247</f>
        <v>0</v>
      </c>
      <c r="K1547">
        <f>'906MP'!AJ1247</f>
        <v>0</v>
      </c>
      <c r="L1547">
        <f>'906MP'!U1247</f>
        <v>0</v>
      </c>
      <c r="M1547" s="322" t="str">
        <f>IFERROR(VLOOKUP(A1547,PAR!$D$3:$E$53,2,FALSE),"nincs szervezet")</f>
        <v>nincs szervezet</v>
      </c>
      <c r="N1547" s="322" t="str">
        <f>VLOOKUP(F1547,PAR!$R$3:$S$5,2,FALSE)</f>
        <v>3 - egyik sem</v>
      </c>
      <c r="O1547" t="str">
        <f>IFERROR(VLOOKUP(J1547,PAR!$O$3:$P$5,2,FALSE),"nincs feladat")</f>
        <v>nincs feladat</v>
      </c>
      <c r="P1547" t="str">
        <f>IFERROR(VLOOKUP(G1547,PAR!$J$2:$M$19,4),"nincs rovat")</f>
        <v>nincs rovat</v>
      </c>
      <c r="Q1547" t="str">
        <f>IF(H1547&gt;0,VLOOKUP(H1547,PAR!$AA$3:$AC$187,3,FALSE),"nincs főkönyvi számla")</f>
        <v>nincs főkönyvi számla</v>
      </c>
      <c r="R1547" t="str">
        <f>IFERROR(VLOOKUP(K1547,PAR!$V$3:$X$438,3,FALSE),"000000 - Nincs COFOG")</f>
        <v>000000 - Nincs COFOG</v>
      </c>
      <c r="S1547">
        <f t="shared" si="468"/>
        <v>0</v>
      </c>
      <c r="T1547">
        <f t="shared" si="469"/>
        <v>0</v>
      </c>
      <c r="U1547" t="str">
        <f>IF('906MP'!J1247&gt;0,CONCATENATE('906MP'!J1247," - ",'906MP'!P1247,", ",'906MP'!E1247),"nincs megjegyzés")</f>
        <v>nincs megjegyzés</v>
      </c>
      <c r="V1547" t="str">
        <f t="shared" si="456"/>
        <v>0P0</v>
      </c>
      <c r="W1547" t="str">
        <f t="shared" si="457"/>
        <v>0P0</v>
      </c>
      <c r="X1547" t="str">
        <f t="shared" si="458"/>
        <v>P0</v>
      </c>
      <c r="Y1547" t="str">
        <f t="shared" si="459"/>
        <v>00</v>
      </c>
      <c r="Z1547" t="str">
        <f t="shared" si="470"/>
        <v>00</v>
      </c>
      <c r="AA1547" t="str">
        <f t="shared" si="460"/>
        <v>00</v>
      </c>
      <c r="AB1547" t="str">
        <f t="shared" si="461"/>
        <v>00</v>
      </c>
      <c r="AC1547" t="str">
        <f t="shared" si="462"/>
        <v>0P0</v>
      </c>
      <c r="AD1547" t="str">
        <f t="shared" si="463"/>
        <v>P00</v>
      </c>
      <c r="AE1547" t="str">
        <f t="shared" si="464"/>
        <v>0P0</v>
      </c>
      <c r="AF1547" t="str">
        <f t="shared" si="465"/>
        <v>P00</v>
      </c>
      <c r="AG1547" t="str">
        <f t="shared" si="471"/>
        <v>0P00</v>
      </c>
      <c r="AH1547" t="str">
        <f t="shared" si="472"/>
        <v>P000</v>
      </c>
      <c r="AI1547" t="str">
        <f t="shared" si="473"/>
        <v>0P00</v>
      </c>
      <c r="AJ1547" t="str">
        <f t="shared" si="474"/>
        <v>P000</v>
      </c>
    </row>
    <row r="1548" spans="1:36" x14ac:dyDescent="0.25">
      <c r="A1548" s="325" t="str">
        <f>CONCATENATE("P",'906MP'!M1248)</f>
        <v>P</v>
      </c>
      <c r="B1548">
        <f>'906MP'!H1248</f>
        <v>0</v>
      </c>
      <c r="C1548">
        <f>'906MP'!J1248</f>
        <v>0</v>
      </c>
      <c r="D1548">
        <f>'906MP'!P1248</f>
        <v>0</v>
      </c>
      <c r="E1548">
        <f>'906MP'!X1248</f>
        <v>0</v>
      </c>
      <c r="F1548" t="str">
        <f t="shared" si="466"/>
        <v>0</v>
      </c>
      <c r="G1548" t="str">
        <f t="shared" si="467"/>
        <v>0</v>
      </c>
      <c r="H1548">
        <f>'906MP'!Y1248</f>
        <v>0</v>
      </c>
      <c r="I1548">
        <f>'906MP'!AK1248</f>
        <v>0</v>
      </c>
      <c r="J1548">
        <f>'906MP'!T1248</f>
        <v>0</v>
      </c>
      <c r="K1548">
        <f>'906MP'!AJ1248</f>
        <v>0</v>
      </c>
      <c r="L1548">
        <f>'906MP'!U1248</f>
        <v>0</v>
      </c>
      <c r="M1548" s="322" t="str">
        <f>IFERROR(VLOOKUP(A1548,PAR!$D$3:$E$53,2,FALSE),"nincs szervezet")</f>
        <v>nincs szervezet</v>
      </c>
      <c r="N1548" s="322" t="str">
        <f>VLOOKUP(F1548,PAR!$R$3:$S$5,2,FALSE)</f>
        <v>3 - egyik sem</v>
      </c>
      <c r="O1548" t="str">
        <f>IFERROR(VLOOKUP(J1548,PAR!$O$3:$P$5,2,FALSE),"nincs feladat")</f>
        <v>nincs feladat</v>
      </c>
      <c r="P1548" t="str">
        <f>IFERROR(VLOOKUP(G1548,PAR!$J$2:$M$19,4),"nincs rovat")</f>
        <v>nincs rovat</v>
      </c>
      <c r="Q1548" t="str">
        <f>IF(H1548&gt;0,VLOOKUP(H1548,PAR!$AA$3:$AC$187,3,FALSE),"nincs főkönyvi számla")</f>
        <v>nincs főkönyvi számla</v>
      </c>
      <c r="R1548" t="str">
        <f>IFERROR(VLOOKUP(K1548,PAR!$V$3:$X$438,3,FALSE),"000000 - Nincs COFOG")</f>
        <v>000000 - Nincs COFOG</v>
      </c>
      <c r="S1548">
        <f t="shared" si="468"/>
        <v>0</v>
      </c>
      <c r="T1548">
        <f t="shared" si="469"/>
        <v>0</v>
      </c>
      <c r="U1548" t="str">
        <f>IF('906MP'!J1248&gt;0,CONCATENATE('906MP'!J1248," - ",'906MP'!P1248,", ",'906MP'!E1248),"nincs megjegyzés")</f>
        <v>nincs megjegyzés</v>
      </c>
      <c r="V1548" t="str">
        <f t="shared" si="456"/>
        <v>0P0</v>
      </c>
      <c r="W1548" t="str">
        <f t="shared" si="457"/>
        <v>0P0</v>
      </c>
      <c r="X1548" t="str">
        <f t="shared" si="458"/>
        <v>P0</v>
      </c>
      <c r="Y1548" t="str">
        <f t="shared" si="459"/>
        <v>00</v>
      </c>
      <c r="Z1548" t="str">
        <f t="shared" si="470"/>
        <v>00</v>
      </c>
      <c r="AA1548" t="str">
        <f t="shared" si="460"/>
        <v>00</v>
      </c>
      <c r="AB1548" t="str">
        <f t="shared" si="461"/>
        <v>00</v>
      </c>
      <c r="AC1548" t="str">
        <f t="shared" si="462"/>
        <v>0P0</v>
      </c>
      <c r="AD1548" t="str">
        <f t="shared" si="463"/>
        <v>P00</v>
      </c>
      <c r="AE1548" t="str">
        <f t="shared" si="464"/>
        <v>0P0</v>
      </c>
      <c r="AF1548" t="str">
        <f t="shared" si="465"/>
        <v>P00</v>
      </c>
      <c r="AG1548" t="str">
        <f t="shared" si="471"/>
        <v>0P00</v>
      </c>
      <c r="AH1548" t="str">
        <f t="shared" si="472"/>
        <v>P000</v>
      </c>
      <c r="AI1548" t="str">
        <f t="shared" si="473"/>
        <v>0P00</v>
      </c>
      <c r="AJ1548" t="str">
        <f t="shared" si="474"/>
        <v>P000</v>
      </c>
    </row>
    <row r="1549" spans="1:36" x14ac:dyDescent="0.25">
      <c r="A1549" s="325" t="str">
        <f>CONCATENATE("P",'906MP'!M1249)</f>
        <v>P</v>
      </c>
      <c r="B1549">
        <f>'906MP'!H1249</f>
        <v>0</v>
      </c>
      <c r="C1549">
        <f>'906MP'!J1249</f>
        <v>0</v>
      </c>
      <c r="D1549">
        <f>'906MP'!P1249</f>
        <v>0</v>
      </c>
      <c r="E1549">
        <f>'906MP'!X1249</f>
        <v>0</v>
      </c>
      <c r="F1549" t="str">
        <f t="shared" si="466"/>
        <v>0</v>
      </c>
      <c r="G1549" t="str">
        <f t="shared" si="467"/>
        <v>0</v>
      </c>
      <c r="H1549">
        <f>'906MP'!Y1249</f>
        <v>0</v>
      </c>
      <c r="I1549">
        <f>'906MP'!AK1249</f>
        <v>0</v>
      </c>
      <c r="J1549">
        <f>'906MP'!T1249</f>
        <v>0</v>
      </c>
      <c r="K1549">
        <f>'906MP'!AJ1249</f>
        <v>0</v>
      </c>
      <c r="L1549">
        <f>'906MP'!U1249</f>
        <v>0</v>
      </c>
      <c r="M1549" s="322" t="str">
        <f>IFERROR(VLOOKUP(A1549,PAR!$D$3:$E$53,2,FALSE),"nincs szervezet")</f>
        <v>nincs szervezet</v>
      </c>
      <c r="N1549" s="322" t="str">
        <f>VLOOKUP(F1549,PAR!$R$3:$S$5,2,FALSE)</f>
        <v>3 - egyik sem</v>
      </c>
      <c r="O1549" t="str">
        <f>IFERROR(VLOOKUP(J1549,PAR!$O$3:$P$5,2,FALSE),"nincs feladat")</f>
        <v>nincs feladat</v>
      </c>
      <c r="P1549" t="str">
        <f>IFERROR(VLOOKUP(G1549,PAR!$J$2:$M$19,4),"nincs rovat")</f>
        <v>nincs rovat</v>
      </c>
      <c r="Q1549" t="str">
        <f>IF(H1549&gt;0,VLOOKUP(H1549,PAR!$AA$3:$AC$187,3,FALSE),"nincs főkönyvi számla")</f>
        <v>nincs főkönyvi számla</v>
      </c>
      <c r="R1549" t="str">
        <f>IFERROR(VLOOKUP(K1549,PAR!$V$3:$X$438,3,FALSE),"000000 - Nincs COFOG")</f>
        <v>000000 - Nincs COFOG</v>
      </c>
      <c r="S1549">
        <f t="shared" si="468"/>
        <v>0</v>
      </c>
      <c r="T1549">
        <f t="shared" si="469"/>
        <v>0</v>
      </c>
      <c r="U1549" t="str">
        <f>IF('906MP'!J1249&gt;0,CONCATENATE('906MP'!J1249," - ",'906MP'!P1249,", ",'906MP'!E1249),"nincs megjegyzés")</f>
        <v>nincs megjegyzés</v>
      </c>
      <c r="V1549" t="str">
        <f t="shared" si="456"/>
        <v>0P0</v>
      </c>
      <c r="W1549" t="str">
        <f t="shared" si="457"/>
        <v>0P0</v>
      </c>
      <c r="X1549" t="str">
        <f t="shared" si="458"/>
        <v>P0</v>
      </c>
      <c r="Y1549" t="str">
        <f t="shared" si="459"/>
        <v>00</v>
      </c>
      <c r="Z1549" t="str">
        <f t="shared" si="470"/>
        <v>00</v>
      </c>
      <c r="AA1549" t="str">
        <f t="shared" si="460"/>
        <v>00</v>
      </c>
      <c r="AB1549" t="str">
        <f t="shared" si="461"/>
        <v>00</v>
      </c>
      <c r="AC1549" t="str">
        <f t="shared" si="462"/>
        <v>0P0</v>
      </c>
      <c r="AD1549" t="str">
        <f t="shared" si="463"/>
        <v>P00</v>
      </c>
      <c r="AE1549" t="str">
        <f t="shared" si="464"/>
        <v>0P0</v>
      </c>
      <c r="AF1549" t="str">
        <f t="shared" si="465"/>
        <v>P00</v>
      </c>
      <c r="AG1549" t="str">
        <f t="shared" si="471"/>
        <v>0P00</v>
      </c>
      <c r="AH1549" t="str">
        <f t="shared" si="472"/>
        <v>P000</v>
      </c>
      <c r="AI1549" t="str">
        <f t="shared" si="473"/>
        <v>0P00</v>
      </c>
      <c r="AJ1549" t="str">
        <f t="shared" si="474"/>
        <v>P000</v>
      </c>
    </row>
    <row r="1550" spans="1:36" x14ac:dyDescent="0.25">
      <c r="A1550" s="325" t="str">
        <f>CONCATENATE("P",'906MP'!M1250)</f>
        <v>P</v>
      </c>
      <c r="B1550">
        <f>'906MP'!H1250</f>
        <v>0</v>
      </c>
      <c r="C1550">
        <f>'906MP'!J1250</f>
        <v>0</v>
      </c>
      <c r="D1550">
        <f>'906MP'!P1250</f>
        <v>0</v>
      </c>
      <c r="E1550">
        <f>'906MP'!X1250</f>
        <v>0</v>
      </c>
      <c r="F1550" t="str">
        <f t="shared" si="466"/>
        <v>0</v>
      </c>
      <c r="G1550" t="str">
        <f t="shared" si="467"/>
        <v>0</v>
      </c>
      <c r="H1550">
        <f>'906MP'!Y1250</f>
        <v>0</v>
      </c>
      <c r="I1550">
        <f>'906MP'!AK1250</f>
        <v>0</v>
      </c>
      <c r="J1550">
        <f>'906MP'!T1250</f>
        <v>0</v>
      </c>
      <c r="K1550">
        <f>'906MP'!AJ1250</f>
        <v>0</v>
      </c>
      <c r="L1550">
        <f>'906MP'!U1250</f>
        <v>0</v>
      </c>
      <c r="M1550" s="322" t="str">
        <f>IFERROR(VLOOKUP(A1550,PAR!$D$3:$E$53,2,FALSE),"nincs szervezet")</f>
        <v>nincs szervezet</v>
      </c>
      <c r="N1550" s="322" t="str">
        <f>VLOOKUP(F1550,PAR!$R$3:$S$5,2,FALSE)</f>
        <v>3 - egyik sem</v>
      </c>
      <c r="O1550" t="str">
        <f>IFERROR(VLOOKUP(J1550,PAR!$O$3:$P$5,2,FALSE),"nincs feladat")</f>
        <v>nincs feladat</v>
      </c>
      <c r="P1550" t="str">
        <f>IFERROR(VLOOKUP(G1550,PAR!$J$2:$M$19,4),"nincs rovat")</f>
        <v>nincs rovat</v>
      </c>
      <c r="Q1550" t="str">
        <f>IF(H1550&gt;0,VLOOKUP(H1550,PAR!$AA$3:$AC$187,3,FALSE),"nincs főkönyvi számla")</f>
        <v>nincs főkönyvi számla</v>
      </c>
      <c r="R1550" t="str">
        <f>IFERROR(VLOOKUP(K1550,PAR!$V$3:$X$438,3,FALSE),"000000 - Nincs COFOG")</f>
        <v>000000 - Nincs COFOG</v>
      </c>
      <c r="S1550">
        <f t="shared" si="468"/>
        <v>0</v>
      </c>
      <c r="T1550">
        <f t="shared" si="469"/>
        <v>0</v>
      </c>
      <c r="U1550" t="str">
        <f>IF('906MP'!J1250&gt;0,CONCATENATE('906MP'!J1250," - ",'906MP'!P1250,", ",'906MP'!E1250),"nincs megjegyzés")</f>
        <v>nincs megjegyzés</v>
      </c>
      <c r="V1550" t="str">
        <f t="shared" si="456"/>
        <v>0P0</v>
      </c>
      <c r="W1550" t="str">
        <f t="shared" si="457"/>
        <v>0P0</v>
      </c>
      <c r="X1550" t="str">
        <f t="shared" si="458"/>
        <v>P0</v>
      </c>
      <c r="Y1550" t="str">
        <f t="shared" si="459"/>
        <v>00</v>
      </c>
      <c r="Z1550" t="str">
        <f t="shared" si="470"/>
        <v>00</v>
      </c>
      <c r="AA1550" t="str">
        <f t="shared" si="460"/>
        <v>00</v>
      </c>
      <c r="AB1550" t="str">
        <f t="shared" si="461"/>
        <v>00</v>
      </c>
      <c r="AC1550" t="str">
        <f t="shared" si="462"/>
        <v>0P0</v>
      </c>
      <c r="AD1550" t="str">
        <f t="shared" si="463"/>
        <v>P00</v>
      </c>
      <c r="AE1550" t="str">
        <f t="shared" si="464"/>
        <v>0P0</v>
      </c>
      <c r="AF1550" t="str">
        <f t="shared" si="465"/>
        <v>P00</v>
      </c>
      <c r="AG1550" t="str">
        <f t="shared" si="471"/>
        <v>0P00</v>
      </c>
      <c r="AH1550" t="str">
        <f t="shared" si="472"/>
        <v>P000</v>
      </c>
      <c r="AI1550" t="str">
        <f t="shared" si="473"/>
        <v>0P00</v>
      </c>
      <c r="AJ1550" t="str">
        <f t="shared" si="474"/>
        <v>P000</v>
      </c>
    </row>
    <row r="1551" spans="1:36" x14ac:dyDescent="0.25">
      <c r="A1551" s="325" t="str">
        <f>CONCATENATE("P",'906MP'!M1251)</f>
        <v>P</v>
      </c>
      <c r="B1551">
        <f>'906MP'!H1251</f>
        <v>0</v>
      </c>
      <c r="C1551">
        <f>'906MP'!J1251</f>
        <v>0</v>
      </c>
      <c r="D1551">
        <f>'906MP'!P1251</f>
        <v>0</v>
      </c>
      <c r="E1551">
        <f>'906MP'!X1251</f>
        <v>0</v>
      </c>
      <c r="F1551" t="str">
        <f t="shared" si="466"/>
        <v>0</v>
      </c>
      <c r="G1551" t="str">
        <f t="shared" si="467"/>
        <v>0</v>
      </c>
      <c r="H1551">
        <f>'906MP'!Y1251</f>
        <v>0</v>
      </c>
      <c r="I1551">
        <f>'906MP'!AK1251</f>
        <v>0</v>
      </c>
      <c r="J1551">
        <f>'906MP'!T1251</f>
        <v>0</v>
      </c>
      <c r="K1551">
        <f>'906MP'!AJ1251</f>
        <v>0</v>
      </c>
      <c r="L1551">
        <f>'906MP'!U1251</f>
        <v>0</v>
      </c>
      <c r="M1551" s="322" t="str">
        <f>IFERROR(VLOOKUP(A1551,PAR!$D$3:$E$53,2,FALSE),"nincs szervezet")</f>
        <v>nincs szervezet</v>
      </c>
      <c r="N1551" s="322" t="str">
        <f>VLOOKUP(F1551,PAR!$R$3:$S$5,2,FALSE)</f>
        <v>3 - egyik sem</v>
      </c>
      <c r="O1551" t="str">
        <f>IFERROR(VLOOKUP(J1551,PAR!$O$3:$P$5,2,FALSE),"nincs feladat")</f>
        <v>nincs feladat</v>
      </c>
      <c r="P1551" t="str">
        <f>IFERROR(VLOOKUP(G1551,PAR!$J$2:$M$19,4),"nincs rovat")</f>
        <v>nincs rovat</v>
      </c>
      <c r="Q1551" t="str">
        <f>IF(H1551&gt;0,VLOOKUP(H1551,PAR!$AA$3:$AC$187,3,FALSE),"nincs főkönyvi számla")</f>
        <v>nincs főkönyvi számla</v>
      </c>
      <c r="R1551" t="str">
        <f>IFERROR(VLOOKUP(K1551,PAR!$V$3:$X$438,3,FALSE),"000000 - Nincs COFOG")</f>
        <v>000000 - Nincs COFOG</v>
      </c>
      <c r="S1551">
        <f t="shared" si="468"/>
        <v>0</v>
      </c>
      <c r="T1551">
        <f t="shared" si="469"/>
        <v>0</v>
      </c>
      <c r="U1551" t="str">
        <f>IF('906MP'!J1251&gt;0,CONCATENATE('906MP'!J1251," - ",'906MP'!P1251,", ",'906MP'!E1251),"nincs megjegyzés")</f>
        <v>nincs megjegyzés</v>
      </c>
      <c r="V1551" t="str">
        <f t="shared" si="456"/>
        <v>0P0</v>
      </c>
      <c r="W1551" t="str">
        <f t="shared" si="457"/>
        <v>0P0</v>
      </c>
      <c r="X1551" t="str">
        <f t="shared" si="458"/>
        <v>P0</v>
      </c>
      <c r="Y1551" t="str">
        <f t="shared" si="459"/>
        <v>00</v>
      </c>
      <c r="Z1551" t="str">
        <f t="shared" si="470"/>
        <v>00</v>
      </c>
      <c r="AA1551" t="str">
        <f t="shared" si="460"/>
        <v>00</v>
      </c>
      <c r="AB1551" t="str">
        <f t="shared" si="461"/>
        <v>00</v>
      </c>
      <c r="AC1551" t="str">
        <f t="shared" si="462"/>
        <v>0P0</v>
      </c>
      <c r="AD1551" t="str">
        <f t="shared" si="463"/>
        <v>P00</v>
      </c>
      <c r="AE1551" t="str">
        <f t="shared" si="464"/>
        <v>0P0</v>
      </c>
      <c r="AF1551" t="str">
        <f t="shared" si="465"/>
        <v>P00</v>
      </c>
      <c r="AG1551" t="str">
        <f t="shared" si="471"/>
        <v>0P00</v>
      </c>
      <c r="AH1551" t="str">
        <f t="shared" si="472"/>
        <v>P000</v>
      </c>
      <c r="AI1551" t="str">
        <f t="shared" si="473"/>
        <v>0P00</v>
      </c>
      <c r="AJ1551" t="str">
        <f t="shared" si="474"/>
        <v>P000</v>
      </c>
    </row>
    <row r="1552" spans="1:36" x14ac:dyDescent="0.25">
      <c r="A1552" s="325" t="str">
        <f>CONCATENATE("P",'906MP'!M1252)</f>
        <v>P</v>
      </c>
      <c r="B1552">
        <f>'906MP'!H1252</f>
        <v>0</v>
      </c>
      <c r="C1552">
        <f>'906MP'!J1252</f>
        <v>0</v>
      </c>
      <c r="D1552">
        <f>'906MP'!P1252</f>
        <v>0</v>
      </c>
      <c r="E1552">
        <f>'906MP'!X1252</f>
        <v>0</v>
      </c>
      <c r="F1552" t="str">
        <f t="shared" si="466"/>
        <v>0</v>
      </c>
      <c r="G1552" t="str">
        <f t="shared" si="467"/>
        <v>0</v>
      </c>
      <c r="H1552">
        <f>'906MP'!Y1252</f>
        <v>0</v>
      </c>
      <c r="I1552">
        <f>'906MP'!AK1252</f>
        <v>0</v>
      </c>
      <c r="J1552">
        <f>'906MP'!T1252</f>
        <v>0</v>
      </c>
      <c r="K1552">
        <f>'906MP'!AJ1252</f>
        <v>0</v>
      </c>
      <c r="L1552">
        <f>'906MP'!U1252</f>
        <v>0</v>
      </c>
      <c r="M1552" s="322" t="str">
        <f>IFERROR(VLOOKUP(A1552,PAR!$D$3:$E$53,2,FALSE),"nincs szervezet")</f>
        <v>nincs szervezet</v>
      </c>
      <c r="N1552" s="322" t="str">
        <f>VLOOKUP(F1552,PAR!$R$3:$S$5,2,FALSE)</f>
        <v>3 - egyik sem</v>
      </c>
      <c r="O1552" t="str">
        <f>IFERROR(VLOOKUP(J1552,PAR!$O$3:$P$5,2,FALSE),"nincs feladat")</f>
        <v>nincs feladat</v>
      </c>
      <c r="P1552" t="str">
        <f>IFERROR(VLOOKUP(G1552,PAR!$J$2:$M$19,4),"nincs rovat")</f>
        <v>nincs rovat</v>
      </c>
      <c r="Q1552" t="str">
        <f>IF(H1552&gt;0,VLOOKUP(H1552,PAR!$AA$3:$AC$187,3,FALSE),"nincs főkönyvi számla")</f>
        <v>nincs főkönyvi számla</v>
      </c>
      <c r="R1552" t="str">
        <f>IFERROR(VLOOKUP(K1552,PAR!$V$3:$X$438,3,FALSE),"000000 - Nincs COFOG")</f>
        <v>000000 - Nincs COFOG</v>
      </c>
      <c r="S1552">
        <f t="shared" si="468"/>
        <v>0</v>
      </c>
      <c r="T1552">
        <f t="shared" si="469"/>
        <v>0</v>
      </c>
      <c r="U1552" t="str">
        <f>IF('906MP'!J1252&gt;0,CONCATENATE('906MP'!J1252," - ",'906MP'!P1252,", ",'906MP'!E1252),"nincs megjegyzés")</f>
        <v>nincs megjegyzés</v>
      </c>
      <c r="V1552" t="str">
        <f t="shared" si="456"/>
        <v>0P0</v>
      </c>
      <c r="W1552" t="str">
        <f t="shared" si="457"/>
        <v>0P0</v>
      </c>
      <c r="X1552" t="str">
        <f t="shared" si="458"/>
        <v>P0</v>
      </c>
      <c r="Y1552" t="str">
        <f t="shared" si="459"/>
        <v>00</v>
      </c>
      <c r="Z1552" t="str">
        <f t="shared" si="470"/>
        <v>00</v>
      </c>
      <c r="AA1552" t="str">
        <f t="shared" si="460"/>
        <v>00</v>
      </c>
      <c r="AB1552" t="str">
        <f t="shared" si="461"/>
        <v>00</v>
      </c>
      <c r="AC1552" t="str">
        <f t="shared" si="462"/>
        <v>0P0</v>
      </c>
      <c r="AD1552" t="str">
        <f t="shared" si="463"/>
        <v>P00</v>
      </c>
      <c r="AE1552" t="str">
        <f t="shared" si="464"/>
        <v>0P0</v>
      </c>
      <c r="AF1552" t="str">
        <f t="shared" si="465"/>
        <v>P00</v>
      </c>
      <c r="AG1552" t="str">
        <f t="shared" si="471"/>
        <v>0P00</v>
      </c>
      <c r="AH1552" t="str">
        <f t="shared" si="472"/>
        <v>P000</v>
      </c>
      <c r="AI1552" t="str">
        <f t="shared" si="473"/>
        <v>0P00</v>
      </c>
      <c r="AJ1552" t="str">
        <f t="shared" si="474"/>
        <v>P000</v>
      </c>
    </row>
    <row r="1553" spans="1:36" x14ac:dyDescent="0.25">
      <c r="A1553" s="325" t="str">
        <f>CONCATENATE("P",'906MP'!M1253)</f>
        <v>P</v>
      </c>
      <c r="B1553">
        <f>'906MP'!H1253</f>
        <v>0</v>
      </c>
      <c r="C1553">
        <f>'906MP'!J1253</f>
        <v>0</v>
      </c>
      <c r="D1553">
        <f>'906MP'!P1253</f>
        <v>0</v>
      </c>
      <c r="E1553">
        <f>'906MP'!X1253</f>
        <v>0</v>
      </c>
      <c r="F1553" t="str">
        <f t="shared" si="466"/>
        <v>0</v>
      </c>
      <c r="G1553" t="str">
        <f t="shared" si="467"/>
        <v>0</v>
      </c>
      <c r="H1553">
        <f>'906MP'!Y1253</f>
        <v>0</v>
      </c>
      <c r="I1553">
        <f>'906MP'!AK1253</f>
        <v>0</v>
      </c>
      <c r="J1553">
        <f>'906MP'!T1253</f>
        <v>0</v>
      </c>
      <c r="K1553">
        <f>'906MP'!AJ1253</f>
        <v>0</v>
      </c>
      <c r="L1553">
        <f>'906MP'!U1253</f>
        <v>0</v>
      </c>
      <c r="M1553" s="322" t="str">
        <f>IFERROR(VLOOKUP(A1553,PAR!$D$3:$E$53,2,FALSE),"nincs szervezet")</f>
        <v>nincs szervezet</v>
      </c>
      <c r="N1553" s="322" t="str">
        <f>VLOOKUP(F1553,PAR!$R$3:$S$5,2,FALSE)</f>
        <v>3 - egyik sem</v>
      </c>
      <c r="O1553" t="str">
        <f>IFERROR(VLOOKUP(J1553,PAR!$O$3:$P$5,2,FALSE),"nincs feladat")</f>
        <v>nincs feladat</v>
      </c>
      <c r="P1553" t="str">
        <f>IFERROR(VLOOKUP(G1553,PAR!$J$2:$M$19,4),"nincs rovat")</f>
        <v>nincs rovat</v>
      </c>
      <c r="Q1553" t="str">
        <f>IF(H1553&gt;0,VLOOKUP(H1553,PAR!$AA$3:$AC$187,3,FALSE),"nincs főkönyvi számla")</f>
        <v>nincs főkönyvi számla</v>
      </c>
      <c r="R1553" t="str">
        <f>IFERROR(VLOOKUP(K1553,PAR!$V$3:$X$438,3,FALSE),"000000 - Nincs COFOG")</f>
        <v>000000 - Nincs COFOG</v>
      </c>
      <c r="S1553">
        <f t="shared" si="468"/>
        <v>0</v>
      </c>
      <c r="T1553">
        <f t="shared" si="469"/>
        <v>0</v>
      </c>
      <c r="U1553" t="str">
        <f>IF('906MP'!J1253&gt;0,CONCATENATE('906MP'!J1253," - ",'906MP'!P1253,", ",'906MP'!E1253),"nincs megjegyzés")</f>
        <v>nincs megjegyzés</v>
      </c>
      <c r="V1553" t="str">
        <f t="shared" si="456"/>
        <v>0P0</v>
      </c>
      <c r="W1553" t="str">
        <f t="shared" si="457"/>
        <v>0P0</v>
      </c>
      <c r="X1553" t="str">
        <f t="shared" si="458"/>
        <v>P0</v>
      </c>
      <c r="Y1553" t="str">
        <f t="shared" si="459"/>
        <v>00</v>
      </c>
      <c r="Z1553" t="str">
        <f t="shared" si="470"/>
        <v>00</v>
      </c>
      <c r="AA1553" t="str">
        <f t="shared" si="460"/>
        <v>00</v>
      </c>
      <c r="AB1553" t="str">
        <f t="shared" si="461"/>
        <v>00</v>
      </c>
      <c r="AC1553" t="str">
        <f t="shared" si="462"/>
        <v>0P0</v>
      </c>
      <c r="AD1553" t="str">
        <f t="shared" si="463"/>
        <v>P00</v>
      </c>
      <c r="AE1553" t="str">
        <f t="shared" si="464"/>
        <v>0P0</v>
      </c>
      <c r="AF1553" t="str">
        <f t="shared" si="465"/>
        <v>P00</v>
      </c>
      <c r="AG1553" t="str">
        <f t="shared" si="471"/>
        <v>0P00</v>
      </c>
      <c r="AH1553" t="str">
        <f t="shared" si="472"/>
        <v>P000</v>
      </c>
      <c r="AI1553" t="str">
        <f t="shared" si="473"/>
        <v>0P00</v>
      </c>
      <c r="AJ1553" t="str">
        <f t="shared" si="474"/>
        <v>P000</v>
      </c>
    </row>
    <row r="1554" spans="1:36" x14ac:dyDescent="0.25">
      <c r="A1554" s="325" t="str">
        <f>CONCATENATE("P",'906MP'!M1254)</f>
        <v>P</v>
      </c>
      <c r="B1554">
        <f>'906MP'!H1254</f>
        <v>0</v>
      </c>
      <c r="C1554">
        <f>'906MP'!J1254</f>
        <v>0</v>
      </c>
      <c r="D1554">
        <f>'906MP'!P1254</f>
        <v>0</v>
      </c>
      <c r="E1554">
        <f>'906MP'!X1254</f>
        <v>0</v>
      </c>
      <c r="F1554" t="str">
        <f t="shared" si="466"/>
        <v>0</v>
      </c>
      <c r="G1554" t="str">
        <f t="shared" si="467"/>
        <v>0</v>
      </c>
      <c r="H1554">
        <f>'906MP'!Y1254</f>
        <v>0</v>
      </c>
      <c r="I1554">
        <f>'906MP'!AK1254</f>
        <v>0</v>
      </c>
      <c r="J1554">
        <f>'906MP'!T1254</f>
        <v>0</v>
      </c>
      <c r="K1554">
        <f>'906MP'!AJ1254</f>
        <v>0</v>
      </c>
      <c r="L1554">
        <f>'906MP'!U1254</f>
        <v>0</v>
      </c>
      <c r="M1554" s="322" t="str">
        <f>IFERROR(VLOOKUP(A1554,PAR!$D$3:$E$53,2,FALSE),"nincs szervezet")</f>
        <v>nincs szervezet</v>
      </c>
      <c r="N1554" s="322" t="str">
        <f>VLOOKUP(F1554,PAR!$R$3:$S$5,2,FALSE)</f>
        <v>3 - egyik sem</v>
      </c>
      <c r="O1554" t="str">
        <f>IFERROR(VLOOKUP(J1554,PAR!$O$3:$P$5,2,FALSE),"nincs feladat")</f>
        <v>nincs feladat</v>
      </c>
      <c r="P1554" t="str">
        <f>IFERROR(VLOOKUP(G1554,PAR!$J$2:$M$19,4),"nincs rovat")</f>
        <v>nincs rovat</v>
      </c>
      <c r="Q1554" t="str">
        <f>IF(H1554&gt;0,VLOOKUP(H1554,PAR!$AA$3:$AC$187,3,FALSE),"nincs főkönyvi számla")</f>
        <v>nincs főkönyvi számla</v>
      </c>
      <c r="R1554" t="str">
        <f>IFERROR(VLOOKUP(K1554,PAR!$V$3:$X$438,3,FALSE),"000000 - Nincs COFOG")</f>
        <v>000000 - Nincs COFOG</v>
      </c>
      <c r="S1554">
        <f t="shared" si="468"/>
        <v>0</v>
      </c>
      <c r="T1554">
        <f t="shared" si="469"/>
        <v>0</v>
      </c>
      <c r="U1554" t="str">
        <f>IF('906MP'!J1254&gt;0,CONCATENATE('906MP'!J1254," - ",'906MP'!P1254,", ",'906MP'!E1254),"nincs megjegyzés")</f>
        <v>nincs megjegyzés</v>
      </c>
      <c r="V1554" t="str">
        <f t="shared" si="456"/>
        <v>0P0</v>
      </c>
      <c r="W1554" t="str">
        <f t="shared" si="457"/>
        <v>0P0</v>
      </c>
      <c r="X1554" t="str">
        <f t="shared" si="458"/>
        <v>P0</v>
      </c>
      <c r="Y1554" t="str">
        <f t="shared" si="459"/>
        <v>00</v>
      </c>
      <c r="Z1554" t="str">
        <f t="shared" si="470"/>
        <v>00</v>
      </c>
      <c r="AA1554" t="str">
        <f t="shared" si="460"/>
        <v>00</v>
      </c>
      <c r="AB1554" t="str">
        <f t="shared" si="461"/>
        <v>00</v>
      </c>
      <c r="AC1554" t="str">
        <f t="shared" si="462"/>
        <v>0P0</v>
      </c>
      <c r="AD1554" t="str">
        <f t="shared" si="463"/>
        <v>P00</v>
      </c>
      <c r="AE1554" t="str">
        <f t="shared" si="464"/>
        <v>0P0</v>
      </c>
      <c r="AF1554" t="str">
        <f t="shared" si="465"/>
        <v>P00</v>
      </c>
      <c r="AG1554" t="str">
        <f t="shared" si="471"/>
        <v>0P00</v>
      </c>
      <c r="AH1554" t="str">
        <f t="shared" si="472"/>
        <v>P000</v>
      </c>
      <c r="AI1554" t="str">
        <f t="shared" si="473"/>
        <v>0P00</v>
      </c>
      <c r="AJ1554" t="str">
        <f t="shared" si="474"/>
        <v>P000</v>
      </c>
    </row>
    <row r="1555" spans="1:36" x14ac:dyDescent="0.25">
      <c r="A1555" s="325" t="str">
        <f>CONCATENATE("P",'906MP'!M1255)</f>
        <v>P</v>
      </c>
      <c r="B1555">
        <f>'906MP'!H1255</f>
        <v>0</v>
      </c>
      <c r="C1555">
        <f>'906MP'!J1255</f>
        <v>0</v>
      </c>
      <c r="D1555">
        <f>'906MP'!P1255</f>
        <v>0</v>
      </c>
      <c r="E1555">
        <f>'906MP'!X1255</f>
        <v>0</v>
      </c>
      <c r="F1555" t="str">
        <f t="shared" si="466"/>
        <v>0</v>
      </c>
      <c r="G1555" t="str">
        <f t="shared" si="467"/>
        <v>0</v>
      </c>
      <c r="H1555">
        <f>'906MP'!Y1255</f>
        <v>0</v>
      </c>
      <c r="I1555">
        <f>'906MP'!AK1255</f>
        <v>0</v>
      </c>
      <c r="J1555">
        <f>'906MP'!T1255</f>
        <v>0</v>
      </c>
      <c r="K1555">
        <f>'906MP'!AJ1255</f>
        <v>0</v>
      </c>
      <c r="L1555">
        <f>'906MP'!U1255</f>
        <v>0</v>
      </c>
      <c r="M1555" s="322" t="str">
        <f>IFERROR(VLOOKUP(A1555,PAR!$D$3:$E$53,2,FALSE),"nincs szervezet")</f>
        <v>nincs szervezet</v>
      </c>
      <c r="N1555" s="322" t="str">
        <f>VLOOKUP(F1555,PAR!$R$3:$S$5,2,FALSE)</f>
        <v>3 - egyik sem</v>
      </c>
      <c r="O1555" t="str">
        <f>IFERROR(VLOOKUP(J1555,PAR!$O$3:$P$5,2,FALSE),"nincs feladat")</f>
        <v>nincs feladat</v>
      </c>
      <c r="P1555" t="str">
        <f>IFERROR(VLOOKUP(G1555,PAR!$J$2:$M$19,4),"nincs rovat")</f>
        <v>nincs rovat</v>
      </c>
      <c r="Q1555" t="str">
        <f>IF(H1555&gt;0,VLOOKUP(H1555,PAR!$AA$3:$AC$187,3,FALSE),"nincs főkönyvi számla")</f>
        <v>nincs főkönyvi számla</v>
      </c>
      <c r="R1555" t="str">
        <f>IFERROR(VLOOKUP(K1555,PAR!$V$3:$X$438,3,FALSE),"000000 - Nincs COFOG")</f>
        <v>000000 - Nincs COFOG</v>
      </c>
      <c r="S1555">
        <f t="shared" si="468"/>
        <v>0</v>
      </c>
      <c r="T1555">
        <f t="shared" si="469"/>
        <v>0</v>
      </c>
      <c r="U1555" t="str">
        <f>IF('906MP'!J1255&gt;0,CONCATENATE('906MP'!J1255," - ",'906MP'!P1255,", ",'906MP'!E1255),"nincs megjegyzés")</f>
        <v>nincs megjegyzés</v>
      </c>
      <c r="V1555" t="str">
        <f t="shared" si="456"/>
        <v>0P0</v>
      </c>
      <c r="W1555" t="str">
        <f t="shared" si="457"/>
        <v>0P0</v>
      </c>
      <c r="X1555" t="str">
        <f t="shared" si="458"/>
        <v>P0</v>
      </c>
      <c r="Y1555" t="str">
        <f t="shared" si="459"/>
        <v>00</v>
      </c>
      <c r="Z1555" t="str">
        <f t="shared" si="470"/>
        <v>00</v>
      </c>
      <c r="AA1555" t="str">
        <f t="shared" si="460"/>
        <v>00</v>
      </c>
      <c r="AB1555" t="str">
        <f t="shared" si="461"/>
        <v>00</v>
      </c>
      <c r="AC1555" t="str">
        <f t="shared" si="462"/>
        <v>0P0</v>
      </c>
      <c r="AD1555" t="str">
        <f t="shared" si="463"/>
        <v>P00</v>
      </c>
      <c r="AE1555" t="str">
        <f t="shared" si="464"/>
        <v>0P0</v>
      </c>
      <c r="AF1555" t="str">
        <f t="shared" si="465"/>
        <v>P00</v>
      </c>
      <c r="AG1555" t="str">
        <f t="shared" si="471"/>
        <v>0P00</v>
      </c>
      <c r="AH1555" t="str">
        <f t="shared" si="472"/>
        <v>P000</v>
      </c>
      <c r="AI1555" t="str">
        <f t="shared" si="473"/>
        <v>0P00</v>
      </c>
      <c r="AJ1555" t="str">
        <f t="shared" si="474"/>
        <v>P000</v>
      </c>
    </row>
    <row r="1556" spans="1:36" x14ac:dyDescent="0.25">
      <c r="A1556" s="325" t="str">
        <f>CONCATENATE("P",'906MP'!M1256)</f>
        <v>P</v>
      </c>
      <c r="B1556">
        <f>'906MP'!H1256</f>
        <v>0</v>
      </c>
      <c r="C1556">
        <f>'906MP'!J1256</f>
        <v>0</v>
      </c>
      <c r="D1556">
        <f>'906MP'!P1256</f>
        <v>0</v>
      </c>
      <c r="E1556">
        <f>'906MP'!X1256</f>
        <v>0</v>
      </c>
      <c r="F1556" t="str">
        <f t="shared" si="466"/>
        <v>0</v>
      </c>
      <c r="G1556" t="str">
        <f t="shared" si="467"/>
        <v>0</v>
      </c>
      <c r="H1556">
        <f>'906MP'!Y1256</f>
        <v>0</v>
      </c>
      <c r="I1556">
        <f>'906MP'!AK1256</f>
        <v>0</v>
      </c>
      <c r="J1556">
        <f>'906MP'!T1256</f>
        <v>0</v>
      </c>
      <c r="K1556">
        <f>'906MP'!AJ1256</f>
        <v>0</v>
      </c>
      <c r="L1556">
        <f>'906MP'!U1256</f>
        <v>0</v>
      </c>
      <c r="M1556" s="322" t="str">
        <f>IFERROR(VLOOKUP(A1556,PAR!$D$3:$E$53,2,FALSE),"nincs szervezet")</f>
        <v>nincs szervezet</v>
      </c>
      <c r="N1556" s="322" t="str">
        <f>VLOOKUP(F1556,PAR!$R$3:$S$5,2,FALSE)</f>
        <v>3 - egyik sem</v>
      </c>
      <c r="O1556" t="str">
        <f>IFERROR(VLOOKUP(J1556,PAR!$O$3:$P$5,2,FALSE),"nincs feladat")</f>
        <v>nincs feladat</v>
      </c>
      <c r="P1556" t="str">
        <f>IFERROR(VLOOKUP(G1556,PAR!$J$2:$M$19,4),"nincs rovat")</f>
        <v>nincs rovat</v>
      </c>
      <c r="Q1556" t="str">
        <f>IF(H1556&gt;0,VLOOKUP(H1556,PAR!$AA$3:$AC$187,3,FALSE),"nincs főkönyvi számla")</f>
        <v>nincs főkönyvi számla</v>
      </c>
      <c r="R1556" t="str">
        <f>IFERROR(VLOOKUP(K1556,PAR!$V$3:$X$438,3,FALSE),"000000 - Nincs COFOG")</f>
        <v>000000 - Nincs COFOG</v>
      </c>
      <c r="S1556">
        <f t="shared" si="468"/>
        <v>0</v>
      </c>
      <c r="T1556">
        <f t="shared" si="469"/>
        <v>0</v>
      </c>
      <c r="U1556" t="str">
        <f>IF('906MP'!J1256&gt;0,CONCATENATE('906MP'!J1256," - ",'906MP'!P1256,", ",'906MP'!E1256),"nincs megjegyzés")</f>
        <v>nincs megjegyzés</v>
      </c>
      <c r="V1556" t="str">
        <f t="shared" si="456"/>
        <v>0P0</v>
      </c>
      <c r="W1556" t="str">
        <f t="shared" si="457"/>
        <v>0P0</v>
      </c>
      <c r="X1556" t="str">
        <f t="shared" si="458"/>
        <v>P0</v>
      </c>
      <c r="Y1556" t="str">
        <f t="shared" si="459"/>
        <v>00</v>
      </c>
      <c r="Z1556" t="str">
        <f t="shared" si="470"/>
        <v>00</v>
      </c>
      <c r="AA1556" t="str">
        <f t="shared" si="460"/>
        <v>00</v>
      </c>
      <c r="AB1556" t="str">
        <f t="shared" si="461"/>
        <v>00</v>
      </c>
      <c r="AC1556" t="str">
        <f t="shared" si="462"/>
        <v>0P0</v>
      </c>
      <c r="AD1556" t="str">
        <f t="shared" si="463"/>
        <v>P00</v>
      </c>
      <c r="AE1556" t="str">
        <f t="shared" si="464"/>
        <v>0P0</v>
      </c>
      <c r="AF1556" t="str">
        <f t="shared" si="465"/>
        <v>P00</v>
      </c>
      <c r="AG1556" t="str">
        <f t="shared" si="471"/>
        <v>0P00</v>
      </c>
      <c r="AH1556" t="str">
        <f t="shared" si="472"/>
        <v>P000</v>
      </c>
      <c r="AI1556" t="str">
        <f t="shared" si="473"/>
        <v>0P00</v>
      </c>
      <c r="AJ1556" t="str">
        <f t="shared" si="474"/>
        <v>P000</v>
      </c>
    </row>
    <row r="1557" spans="1:36" x14ac:dyDescent="0.25">
      <c r="A1557" s="325" t="str">
        <f>CONCATENATE("P",'906MP'!M1257)</f>
        <v>P</v>
      </c>
      <c r="B1557">
        <f>'906MP'!H1257</f>
        <v>0</v>
      </c>
      <c r="C1557">
        <f>'906MP'!J1257</f>
        <v>0</v>
      </c>
      <c r="D1557">
        <f>'906MP'!P1257</f>
        <v>0</v>
      </c>
      <c r="E1557">
        <f>'906MP'!X1257</f>
        <v>0</v>
      </c>
      <c r="F1557" t="str">
        <f t="shared" si="466"/>
        <v>0</v>
      </c>
      <c r="G1557" t="str">
        <f t="shared" si="467"/>
        <v>0</v>
      </c>
      <c r="H1557">
        <f>'906MP'!Y1257</f>
        <v>0</v>
      </c>
      <c r="I1557">
        <f>'906MP'!AK1257</f>
        <v>0</v>
      </c>
      <c r="J1557">
        <f>'906MP'!T1257</f>
        <v>0</v>
      </c>
      <c r="K1557">
        <f>'906MP'!AJ1257</f>
        <v>0</v>
      </c>
      <c r="L1557">
        <f>'906MP'!U1257</f>
        <v>0</v>
      </c>
      <c r="M1557" s="322" t="str">
        <f>IFERROR(VLOOKUP(A1557,PAR!$D$3:$E$53,2,FALSE),"nincs szervezet")</f>
        <v>nincs szervezet</v>
      </c>
      <c r="N1557" s="322" t="str">
        <f>VLOOKUP(F1557,PAR!$R$3:$S$5,2,FALSE)</f>
        <v>3 - egyik sem</v>
      </c>
      <c r="O1557" t="str">
        <f>IFERROR(VLOOKUP(J1557,PAR!$O$3:$P$5,2,FALSE),"nincs feladat")</f>
        <v>nincs feladat</v>
      </c>
      <c r="P1557" t="str">
        <f>IFERROR(VLOOKUP(G1557,PAR!$J$2:$M$19,4),"nincs rovat")</f>
        <v>nincs rovat</v>
      </c>
      <c r="Q1557" t="str">
        <f>IF(H1557&gt;0,VLOOKUP(H1557,PAR!$AA$3:$AC$187,3,FALSE),"nincs főkönyvi számla")</f>
        <v>nincs főkönyvi számla</v>
      </c>
      <c r="R1557" t="str">
        <f>IFERROR(VLOOKUP(K1557,PAR!$V$3:$X$438,3,FALSE),"000000 - Nincs COFOG")</f>
        <v>000000 - Nincs COFOG</v>
      </c>
      <c r="S1557">
        <f t="shared" si="468"/>
        <v>0</v>
      </c>
      <c r="T1557">
        <f t="shared" si="469"/>
        <v>0</v>
      </c>
      <c r="U1557" t="str">
        <f>IF('906MP'!J1257&gt;0,CONCATENATE('906MP'!J1257," - ",'906MP'!P1257,", ",'906MP'!E1257),"nincs megjegyzés")</f>
        <v>nincs megjegyzés</v>
      </c>
      <c r="V1557" t="str">
        <f t="shared" si="456"/>
        <v>0P0</v>
      </c>
      <c r="W1557" t="str">
        <f t="shared" si="457"/>
        <v>0P0</v>
      </c>
      <c r="X1557" t="str">
        <f t="shared" si="458"/>
        <v>P0</v>
      </c>
      <c r="Y1557" t="str">
        <f t="shared" si="459"/>
        <v>00</v>
      </c>
      <c r="Z1557" t="str">
        <f t="shared" si="470"/>
        <v>00</v>
      </c>
      <c r="AA1557" t="str">
        <f t="shared" si="460"/>
        <v>00</v>
      </c>
      <c r="AB1557" t="str">
        <f t="shared" si="461"/>
        <v>00</v>
      </c>
      <c r="AC1557" t="str">
        <f t="shared" si="462"/>
        <v>0P0</v>
      </c>
      <c r="AD1557" t="str">
        <f t="shared" si="463"/>
        <v>P00</v>
      </c>
      <c r="AE1557" t="str">
        <f t="shared" si="464"/>
        <v>0P0</v>
      </c>
      <c r="AF1557" t="str">
        <f t="shared" si="465"/>
        <v>P00</v>
      </c>
      <c r="AG1557" t="str">
        <f t="shared" si="471"/>
        <v>0P00</v>
      </c>
      <c r="AH1557" t="str">
        <f t="shared" si="472"/>
        <v>P000</v>
      </c>
      <c r="AI1557" t="str">
        <f t="shared" si="473"/>
        <v>0P00</v>
      </c>
      <c r="AJ1557" t="str">
        <f t="shared" si="474"/>
        <v>P000</v>
      </c>
    </row>
    <row r="1558" spans="1:36" x14ac:dyDescent="0.25">
      <c r="A1558" s="325" t="str">
        <f>CONCATENATE("P",'906MP'!M1258)</f>
        <v>P</v>
      </c>
      <c r="B1558">
        <f>'906MP'!H1258</f>
        <v>0</v>
      </c>
      <c r="C1558">
        <f>'906MP'!J1258</f>
        <v>0</v>
      </c>
      <c r="D1558">
        <f>'906MP'!P1258</f>
        <v>0</v>
      </c>
      <c r="E1558">
        <f>'906MP'!X1258</f>
        <v>0</v>
      </c>
      <c r="F1558" t="str">
        <f t="shared" si="466"/>
        <v>0</v>
      </c>
      <c r="G1558" t="str">
        <f t="shared" si="467"/>
        <v>0</v>
      </c>
      <c r="H1558">
        <f>'906MP'!Y1258</f>
        <v>0</v>
      </c>
      <c r="I1558">
        <f>'906MP'!AK1258</f>
        <v>0</v>
      </c>
      <c r="J1558">
        <f>'906MP'!T1258</f>
        <v>0</v>
      </c>
      <c r="K1558">
        <f>'906MP'!AJ1258</f>
        <v>0</v>
      </c>
      <c r="L1558">
        <f>'906MP'!U1258</f>
        <v>0</v>
      </c>
      <c r="M1558" s="322" t="str">
        <f>IFERROR(VLOOKUP(A1558,PAR!$D$3:$E$53,2,FALSE),"nincs szervezet")</f>
        <v>nincs szervezet</v>
      </c>
      <c r="N1558" s="322" t="str">
        <f>VLOOKUP(F1558,PAR!$R$3:$S$5,2,FALSE)</f>
        <v>3 - egyik sem</v>
      </c>
      <c r="O1558" t="str">
        <f>IFERROR(VLOOKUP(J1558,PAR!$O$3:$P$5,2,FALSE),"nincs feladat")</f>
        <v>nincs feladat</v>
      </c>
      <c r="P1558" t="str">
        <f>IFERROR(VLOOKUP(G1558,PAR!$J$2:$M$19,4),"nincs rovat")</f>
        <v>nincs rovat</v>
      </c>
      <c r="Q1558" t="str">
        <f>IF(H1558&gt;0,VLOOKUP(H1558,PAR!$AA$3:$AC$187,3,FALSE),"nincs főkönyvi számla")</f>
        <v>nincs főkönyvi számla</v>
      </c>
      <c r="R1558" t="str">
        <f>IFERROR(VLOOKUP(K1558,PAR!$V$3:$X$438,3,FALSE),"000000 - Nincs COFOG")</f>
        <v>000000 - Nincs COFOG</v>
      </c>
      <c r="S1558">
        <f t="shared" si="468"/>
        <v>0</v>
      </c>
      <c r="T1558">
        <f t="shared" si="469"/>
        <v>0</v>
      </c>
      <c r="U1558" t="str">
        <f>IF('906MP'!J1258&gt;0,CONCATENATE('906MP'!J1258," - ",'906MP'!P1258,", ",'906MP'!E1258),"nincs megjegyzés")</f>
        <v>nincs megjegyzés</v>
      </c>
      <c r="V1558" t="str">
        <f t="shared" si="456"/>
        <v>0P0</v>
      </c>
      <c r="W1558" t="str">
        <f t="shared" si="457"/>
        <v>0P0</v>
      </c>
      <c r="X1558" t="str">
        <f t="shared" si="458"/>
        <v>P0</v>
      </c>
      <c r="Y1558" t="str">
        <f t="shared" si="459"/>
        <v>00</v>
      </c>
      <c r="Z1558" t="str">
        <f t="shared" si="470"/>
        <v>00</v>
      </c>
      <c r="AA1558" t="str">
        <f t="shared" si="460"/>
        <v>00</v>
      </c>
      <c r="AB1558" t="str">
        <f t="shared" si="461"/>
        <v>00</v>
      </c>
      <c r="AC1558" t="str">
        <f t="shared" si="462"/>
        <v>0P0</v>
      </c>
      <c r="AD1558" t="str">
        <f t="shared" si="463"/>
        <v>P00</v>
      </c>
      <c r="AE1558" t="str">
        <f t="shared" si="464"/>
        <v>0P0</v>
      </c>
      <c r="AF1558" t="str">
        <f t="shared" si="465"/>
        <v>P00</v>
      </c>
      <c r="AG1558" t="str">
        <f t="shared" si="471"/>
        <v>0P00</v>
      </c>
      <c r="AH1558" t="str">
        <f t="shared" si="472"/>
        <v>P000</v>
      </c>
      <c r="AI1558" t="str">
        <f t="shared" si="473"/>
        <v>0P00</v>
      </c>
      <c r="AJ1558" t="str">
        <f t="shared" si="474"/>
        <v>P000</v>
      </c>
    </row>
    <row r="1559" spans="1:36" x14ac:dyDescent="0.25">
      <c r="A1559" s="325" t="str">
        <f>CONCATENATE("P",'906MP'!M1259)</f>
        <v>P</v>
      </c>
      <c r="B1559">
        <f>'906MP'!H1259</f>
        <v>0</v>
      </c>
      <c r="C1559">
        <f>'906MP'!J1259</f>
        <v>0</v>
      </c>
      <c r="D1559">
        <f>'906MP'!P1259</f>
        <v>0</v>
      </c>
      <c r="E1559">
        <f>'906MP'!X1259</f>
        <v>0</v>
      </c>
      <c r="F1559" t="str">
        <f t="shared" si="466"/>
        <v>0</v>
      </c>
      <c r="G1559" t="str">
        <f t="shared" si="467"/>
        <v>0</v>
      </c>
      <c r="H1559">
        <f>'906MP'!Y1259</f>
        <v>0</v>
      </c>
      <c r="I1559">
        <f>'906MP'!AK1259</f>
        <v>0</v>
      </c>
      <c r="J1559">
        <f>'906MP'!T1259</f>
        <v>0</v>
      </c>
      <c r="K1559">
        <f>'906MP'!AJ1259</f>
        <v>0</v>
      </c>
      <c r="L1559">
        <f>'906MP'!U1259</f>
        <v>0</v>
      </c>
      <c r="M1559" s="322" t="str">
        <f>IFERROR(VLOOKUP(A1559,PAR!$D$3:$E$53,2,FALSE),"nincs szervezet")</f>
        <v>nincs szervezet</v>
      </c>
      <c r="N1559" s="322" t="str">
        <f>VLOOKUP(F1559,PAR!$R$3:$S$5,2,FALSE)</f>
        <v>3 - egyik sem</v>
      </c>
      <c r="O1559" t="str">
        <f>IFERROR(VLOOKUP(J1559,PAR!$O$3:$P$5,2,FALSE),"nincs feladat")</f>
        <v>nincs feladat</v>
      </c>
      <c r="P1559" t="str">
        <f>IFERROR(VLOOKUP(G1559,PAR!$J$2:$M$19,4),"nincs rovat")</f>
        <v>nincs rovat</v>
      </c>
      <c r="Q1559" t="str">
        <f>IF(H1559&gt;0,VLOOKUP(H1559,PAR!$AA$3:$AC$187,3,FALSE),"nincs főkönyvi számla")</f>
        <v>nincs főkönyvi számla</v>
      </c>
      <c r="R1559" t="str">
        <f>IFERROR(VLOOKUP(K1559,PAR!$V$3:$X$438,3,FALSE),"000000 - Nincs COFOG")</f>
        <v>000000 - Nincs COFOG</v>
      </c>
      <c r="S1559">
        <f t="shared" si="468"/>
        <v>0</v>
      </c>
      <c r="T1559">
        <f t="shared" si="469"/>
        <v>0</v>
      </c>
      <c r="U1559" t="str">
        <f>IF('906MP'!J1259&gt;0,CONCATENATE('906MP'!J1259," - ",'906MP'!P1259,", ",'906MP'!E1259),"nincs megjegyzés")</f>
        <v>nincs megjegyzés</v>
      </c>
      <c r="V1559" t="str">
        <f t="shared" si="456"/>
        <v>0P0</v>
      </c>
      <c r="W1559" t="str">
        <f t="shared" si="457"/>
        <v>0P0</v>
      </c>
      <c r="X1559" t="str">
        <f t="shared" si="458"/>
        <v>P0</v>
      </c>
      <c r="Y1559" t="str">
        <f t="shared" si="459"/>
        <v>00</v>
      </c>
      <c r="Z1559" t="str">
        <f t="shared" si="470"/>
        <v>00</v>
      </c>
      <c r="AA1559" t="str">
        <f t="shared" si="460"/>
        <v>00</v>
      </c>
      <c r="AB1559" t="str">
        <f t="shared" si="461"/>
        <v>00</v>
      </c>
      <c r="AC1559" t="str">
        <f t="shared" si="462"/>
        <v>0P0</v>
      </c>
      <c r="AD1559" t="str">
        <f t="shared" si="463"/>
        <v>P00</v>
      </c>
      <c r="AE1559" t="str">
        <f t="shared" si="464"/>
        <v>0P0</v>
      </c>
      <c r="AF1559" t="str">
        <f t="shared" si="465"/>
        <v>P00</v>
      </c>
      <c r="AG1559" t="str">
        <f t="shared" si="471"/>
        <v>0P00</v>
      </c>
      <c r="AH1559" t="str">
        <f t="shared" si="472"/>
        <v>P000</v>
      </c>
      <c r="AI1559" t="str">
        <f t="shared" si="473"/>
        <v>0P00</v>
      </c>
      <c r="AJ1559" t="str">
        <f t="shared" si="474"/>
        <v>P000</v>
      </c>
    </row>
    <row r="1560" spans="1:36" x14ac:dyDescent="0.25">
      <c r="A1560" s="325" t="str">
        <f>CONCATENATE("P",'906MP'!M1260)</f>
        <v>P</v>
      </c>
      <c r="B1560">
        <f>'906MP'!H1260</f>
        <v>0</v>
      </c>
      <c r="C1560">
        <f>'906MP'!J1260</f>
        <v>0</v>
      </c>
      <c r="D1560">
        <f>'906MP'!P1260</f>
        <v>0</v>
      </c>
      <c r="E1560">
        <f>'906MP'!X1260</f>
        <v>0</v>
      </c>
      <c r="F1560" t="str">
        <f t="shared" si="466"/>
        <v>0</v>
      </c>
      <c r="G1560" t="str">
        <f t="shared" si="467"/>
        <v>0</v>
      </c>
      <c r="H1560">
        <f>'906MP'!Y1260</f>
        <v>0</v>
      </c>
      <c r="I1560">
        <f>'906MP'!AK1260</f>
        <v>0</v>
      </c>
      <c r="J1560">
        <f>'906MP'!T1260</f>
        <v>0</v>
      </c>
      <c r="K1560">
        <f>'906MP'!AJ1260</f>
        <v>0</v>
      </c>
      <c r="L1560">
        <f>'906MP'!U1260</f>
        <v>0</v>
      </c>
      <c r="M1560" s="322" t="str">
        <f>IFERROR(VLOOKUP(A1560,PAR!$D$3:$E$53,2,FALSE),"nincs szervezet")</f>
        <v>nincs szervezet</v>
      </c>
      <c r="N1560" s="322" t="str">
        <f>VLOOKUP(F1560,PAR!$R$3:$S$5,2,FALSE)</f>
        <v>3 - egyik sem</v>
      </c>
      <c r="O1560" t="str">
        <f>IFERROR(VLOOKUP(J1560,PAR!$O$3:$P$5,2,FALSE),"nincs feladat")</f>
        <v>nincs feladat</v>
      </c>
      <c r="P1560" t="str">
        <f>IFERROR(VLOOKUP(G1560,PAR!$J$2:$M$19,4),"nincs rovat")</f>
        <v>nincs rovat</v>
      </c>
      <c r="Q1560" t="str">
        <f>IF(H1560&gt;0,VLOOKUP(H1560,PAR!$AA$3:$AC$187,3,FALSE),"nincs főkönyvi számla")</f>
        <v>nincs főkönyvi számla</v>
      </c>
      <c r="R1560" t="str">
        <f>IFERROR(VLOOKUP(K1560,PAR!$V$3:$X$438,3,FALSE),"000000 - Nincs COFOG")</f>
        <v>000000 - Nincs COFOG</v>
      </c>
      <c r="S1560">
        <f t="shared" si="468"/>
        <v>0</v>
      </c>
      <c r="T1560">
        <f t="shared" si="469"/>
        <v>0</v>
      </c>
      <c r="U1560" t="str">
        <f>IF('906MP'!J1260&gt;0,CONCATENATE('906MP'!J1260," - ",'906MP'!P1260,", ",'906MP'!E1260),"nincs megjegyzés")</f>
        <v>nincs megjegyzés</v>
      </c>
      <c r="V1560" t="str">
        <f t="shared" si="456"/>
        <v>0P0</v>
      </c>
      <c r="W1560" t="str">
        <f t="shared" si="457"/>
        <v>0P0</v>
      </c>
      <c r="X1560" t="str">
        <f t="shared" si="458"/>
        <v>P0</v>
      </c>
      <c r="Y1560" t="str">
        <f t="shared" si="459"/>
        <v>00</v>
      </c>
      <c r="Z1560" t="str">
        <f t="shared" si="470"/>
        <v>00</v>
      </c>
      <c r="AA1560" t="str">
        <f t="shared" si="460"/>
        <v>00</v>
      </c>
      <c r="AB1560" t="str">
        <f t="shared" si="461"/>
        <v>00</v>
      </c>
      <c r="AC1560" t="str">
        <f t="shared" si="462"/>
        <v>0P0</v>
      </c>
      <c r="AD1560" t="str">
        <f t="shared" si="463"/>
        <v>P00</v>
      </c>
      <c r="AE1560" t="str">
        <f t="shared" si="464"/>
        <v>0P0</v>
      </c>
      <c r="AF1560" t="str">
        <f t="shared" si="465"/>
        <v>P00</v>
      </c>
      <c r="AG1560" t="str">
        <f t="shared" si="471"/>
        <v>0P00</v>
      </c>
      <c r="AH1560" t="str">
        <f t="shared" si="472"/>
        <v>P000</v>
      </c>
      <c r="AI1560" t="str">
        <f t="shared" si="473"/>
        <v>0P00</v>
      </c>
      <c r="AJ1560" t="str">
        <f t="shared" si="474"/>
        <v>P000</v>
      </c>
    </row>
    <row r="1561" spans="1:36" x14ac:dyDescent="0.25">
      <c r="A1561" s="325" t="str">
        <f>CONCATENATE("P",'906MP'!M1261)</f>
        <v>P</v>
      </c>
      <c r="B1561">
        <f>'906MP'!H1261</f>
        <v>0</v>
      </c>
      <c r="C1561">
        <f>'906MP'!J1261</f>
        <v>0</v>
      </c>
      <c r="D1561">
        <f>'906MP'!P1261</f>
        <v>0</v>
      </c>
      <c r="E1561">
        <f>'906MP'!X1261</f>
        <v>0</v>
      </c>
      <c r="F1561" t="str">
        <f t="shared" si="466"/>
        <v>0</v>
      </c>
      <c r="G1561" t="str">
        <f t="shared" si="467"/>
        <v>0</v>
      </c>
      <c r="H1561">
        <f>'906MP'!Y1261</f>
        <v>0</v>
      </c>
      <c r="I1561">
        <f>'906MP'!AK1261</f>
        <v>0</v>
      </c>
      <c r="J1561">
        <f>'906MP'!T1261</f>
        <v>0</v>
      </c>
      <c r="K1561">
        <f>'906MP'!AJ1261</f>
        <v>0</v>
      </c>
      <c r="L1561">
        <f>'906MP'!U1261</f>
        <v>0</v>
      </c>
      <c r="M1561" s="322" t="str">
        <f>IFERROR(VLOOKUP(A1561,PAR!$D$3:$E$53,2,FALSE),"nincs szervezet")</f>
        <v>nincs szervezet</v>
      </c>
      <c r="N1561" s="322" t="str">
        <f>VLOOKUP(F1561,PAR!$R$3:$S$5,2,FALSE)</f>
        <v>3 - egyik sem</v>
      </c>
      <c r="O1561" t="str">
        <f>IFERROR(VLOOKUP(J1561,PAR!$O$3:$P$5,2,FALSE),"nincs feladat")</f>
        <v>nincs feladat</v>
      </c>
      <c r="P1561" t="str">
        <f>IFERROR(VLOOKUP(G1561,PAR!$J$2:$M$19,4),"nincs rovat")</f>
        <v>nincs rovat</v>
      </c>
      <c r="Q1561" t="str">
        <f>IF(H1561&gt;0,VLOOKUP(H1561,PAR!$AA$3:$AC$187,3,FALSE),"nincs főkönyvi számla")</f>
        <v>nincs főkönyvi számla</v>
      </c>
      <c r="R1561" t="str">
        <f>IFERROR(VLOOKUP(K1561,PAR!$V$3:$X$438,3,FALSE),"000000 - Nincs COFOG")</f>
        <v>000000 - Nincs COFOG</v>
      </c>
      <c r="S1561">
        <f t="shared" si="468"/>
        <v>0</v>
      </c>
      <c r="T1561">
        <f t="shared" si="469"/>
        <v>0</v>
      </c>
      <c r="U1561" t="str">
        <f>IF('906MP'!J1261&gt;0,CONCATENATE('906MP'!J1261," - ",'906MP'!P1261,", ",'906MP'!E1261),"nincs megjegyzés")</f>
        <v>nincs megjegyzés</v>
      </c>
      <c r="V1561" t="str">
        <f t="shared" si="456"/>
        <v>0P0</v>
      </c>
      <c r="W1561" t="str">
        <f t="shared" si="457"/>
        <v>0P0</v>
      </c>
      <c r="X1561" t="str">
        <f t="shared" si="458"/>
        <v>P0</v>
      </c>
      <c r="Y1561" t="str">
        <f t="shared" si="459"/>
        <v>00</v>
      </c>
      <c r="Z1561" t="str">
        <f t="shared" si="470"/>
        <v>00</v>
      </c>
      <c r="AA1561" t="str">
        <f t="shared" si="460"/>
        <v>00</v>
      </c>
      <c r="AB1561" t="str">
        <f t="shared" si="461"/>
        <v>00</v>
      </c>
      <c r="AC1561" t="str">
        <f t="shared" si="462"/>
        <v>0P0</v>
      </c>
      <c r="AD1561" t="str">
        <f t="shared" si="463"/>
        <v>P00</v>
      </c>
      <c r="AE1561" t="str">
        <f t="shared" si="464"/>
        <v>0P0</v>
      </c>
      <c r="AF1561" t="str">
        <f t="shared" si="465"/>
        <v>P00</v>
      </c>
      <c r="AG1561" t="str">
        <f t="shared" si="471"/>
        <v>0P00</v>
      </c>
      <c r="AH1561" t="str">
        <f t="shared" si="472"/>
        <v>P000</v>
      </c>
      <c r="AI1561" t="str">
        <f t="shared" si="473"/>
        <v>0P00</v>
      </c>
      <c r="AJ1561" t="str">
        <f t="shared" si="474"/>
        <v>P000</v>
      </c>
    </row>
    <row r="1562" spans="1:36" x14ac:dyDescent="0.25">
      <c r="A1562" s="325" t="str">
        <f>CONCATENATE("P",'906MP'!M1262)</f>
        <v>P</v>
      </c>
      <c r="B1562">
        <f>'906MP'!H1262</f>
        <v>0</v>
      </c>
      <c r="C1562">
        <f>'906MP'!J1262</f>
        <v>0</v>
      </c>
      <c r="D1562">
        <f>'906MP'!P1262</f>
        <v>0</v>
      </c>
      <c r="E1562">
        <f>'906MP'!X1262</f>
        <v>0</v>
      </c>
      <c r="F1562" t="str">
        <f t="shared" si="466"/>
        <v>0</v>
      </c>
      <c r="G1562" t="str">
        <f t="shared" si="467"/>
        <v>0</v>
      </c>
      <c r="H1562">
        <f>'906MP'!Y1262</f>
        <v>0</v>
      </c>
      <c r="I1562">
        <f>'906MP'!AK1262</f>
        <v>0</v>
      </c>
      <c r="J1562">
        <f>'906MP'!T1262</f>
        <v>0</v>
      </c>
      <c r="K1562">
        <f>'906MP'!AJ1262</f>
        <v>0</v>
      </c>
      <c r="L1562">
        <f>'906MP'!U1262</f>
        <v>0</v>
      </c>
      <c r="M1562" s="322" t="str">
        <f>IFERROR(VLOOKUP(A1562,PAR!$D$3:$E$53,2,FALSE),"nincs szervezet")</f>
        <v>nincs szervezet</v>
      </c>
      <c r="N1562" s="322" t="str">
        <f>VLOOKUP(F1562,PAR!$R$3:$S$5,2,FALSE)</f>
        <v>3 - egyik sem</v>
      </c>
      <c r="O1562" t="str">
        <f>IFERROR(VLOOKUP(J1562,PAR!$O$3:$P$5,2,FALSE),"nincs feladat")</f>
        <v>nincs feladat</v>
      </c>
      <c r="P1562" t="str">
        <f>IFERROR(VLOOKUP(G1562,PAR!$J$2:$M$19,4),"nincs rovat")</f>
        <v>nincs rovat</v>
      </c>
      <c r="Q1562" t="str">
        <f>IF(H1562&gt;0,VLOOKUP(H1562,PAR!$AA$3:$AC$187,3,FALSE),"nincs főkönyvi számla")</f>
        <v>nincs főkönyvi számla</v>
      </c>
      <c r="R1562" t="str">
        <f>IFERROR(VLOOKUP(K1562,PAR!$V$3:$X$438,3,FALSE),"000000 - Nincs COFOG")</f>
        <v>000000 - Nincs COFOG</v>
      </c>
      <c r="S1562">
        <f t="shared" si="468"/>
        <v>0</v>
      </c>
      <c r="T1562">
        <f t="shared" si="469"/>
        <v>0</v>
      </c>
      <c r="U1562" t="str">
        <f>IF('906MP'!J1262&gt;0,CONCATENATE('906MP'!J1262," - ",'906MP'!P1262,", ",'906MP'!E1262),"nincs megjegyzés")</f>
        <v>nincs megjegyzés</v>
      </c>
      <c r="V1562" t="str">
        <f t="shared" si="456"/>
        <v>0P0</v>
      </c>
      <c r="W1562" t="str">
        <f t="shared" si="457"/>
        <v>0P0</v>
      </c>
      <c r="X1562" t="str">
        <f t="shared" si="458"/>
        <v>P0</v>
      </c>
      <c r="Y1562" t="str">
        <f t="shared" si="459"/>
        <v>00</v>
      </c>
      <c r="Z1562" t="str">
        <f t="shared" si="470"/>
        <v>00</v>
      </c>
      <c r="AA1562" t="str">
        <f t="shared" si="460"/>
        <v>00</v>
      </c>
      <c r="AB1562" t="str">
        <f t="shared" si="461"/>
        <v>00</v>
      </c>
      <c r="AC1562" t="str">
        <f t="shared" si="462"/>
        <v>0P0</v>
      </c>
      <c r="AD1562" t="str">
        <f t="shared" si="463"/>
        <v>P00</v>
      </c>
      <c r="AE1562" t="str">
        <f t="shared" si="464"/>
        <v>0P0</v>
      </c>
      <c r="AF1562" t="str">
        <f t="shared" si="465"/>
        <v>P00</v>
      </c>
      <c r="AG1562" t="str">
        <f t="shared" si="471"/>
        <v>0P00</v>
      </c>
      <c r="AH1562" t="str">
        <f t="shared" si="472"/>
        <v>P000</v>
      </c>
      <c r="AI1562" t="str">
        <f t="shared" si="473"/>
        <v>0P00</v>
      </c>
      <c r="AJ1562" t="str">
        <f t="shared" si="474"/>
        <v>P000</v>
      </c>
    </row>
    <row r="1563" spans="1:36" x14ac:dyDescent="0.25">
      <c r="A1563" s="325" t="str">
        <f>CONCATENATE("P",'906MP'!M1263)</f>
        <v>P</v>
      </c>
      <c r="B1563">
        <f>'906MP'!H1263</f>
        <v>0</v>
      </c>
      <c r="C1563">
        <f>'906MP'!J1263</f>
        <v>0</v>
      </c>
      <c r="D1563">
        <f>'906MP'!P1263</f>
        <v>0</v>
      </c>
      <c r="E1563">
        <f>'906MP'!X1263</f>
        <v>0</v>
      </c>
      <c r="F1563" t="str">
        <f t="shared" si="466"/>
        <v>0</v>
      </c>
      <c r="G1563" t="str">
        <f t="shared" si="467"/>
        <v>0</v>
      </c>
      <c r="H1563">
        <f>'906MP'!Y1263</f>
        <v>0</v>
      </c>
      <c r="I1563">
        <f>'906MP'!AK1263</f>
        <v>0</v>
      </c>
      <c r="J1563">
        <f>'906MP'!T1263</f>
        <v>0</v>
      </c>
      <c r="K1563">
        <f>'906MP'!AJ1263</f>
        <v>0</v>
      </c>
      <c r="L1563">
        <f>'906MP'!U1263</f>
        <v>0</v>
      </c>
      <c r="M1563" s="322" t="str">
        <f>IFERROR(VLOOKUP(A1563,PAR!$D$3:$E$53,2,FALSE),"nincs szervezet")</f>
        <v>nincs szervezet</v>
      </c>
      <c r="N1563" s="322" t="str">
        <f>VLOOKUP(F1563,PAR!$R$3:$S$5,2,FALSE)</f>
        <v>3 - egyik sem</v>
      </c>
      <c r="O1563" t="str">
        <f>IFERROR(VLOOKUP(J1563,PAR!$O$3:$P$5,2,FALSE),"nincs feladat")</f>
        <v>nincs feladat</v>
      </c>
      <c r="P1563" t="str">
        <f>IFERROR(VLOOKUP(G1563,PAR!$J$2:$M$19,4),"nincs rovat")</f>
        <v>nincs rovat</v>
      </c>
      <c r="Q1563" t="str">
        <f>IF(H1563&gt;0,VLOOKUP(H1563,PAR!$AA$3:$AC$187,3,FALSE),"nincs főkönyvi számla")</f>
        <v>nincs főkönyvi számla</v>
      </c>
      <c r="R1563" t="str">
        <f>IFERROR(VLOOKUP(K1563,PAR!$V$3:$X$438,3,FALSE),"000000 - Nincs COFOG")</f>
        <v>000000 - Nincs COFOG</v>
      </c>
      <c r="S1563">
        <f t="shared" si="468"/>
        <v>0</v>
      </c>
      <c r="T1563">
        <f t="shared" si="469"/>
        <v>0</v>
      </c>
      <c r="U1563" t="str">
        <f>IF('906MP'!J1263&gt;0,CONCATENATE('906MP'!J1263," - ",'906MP'!P1263,", ",'906MP'!E1263),"nincs megjegyzés")</f>
        <v>nincs megjegyzés</v>
      </c>
      <c r="V1563" t="str">
        <f t="shared" si="456"/>
        <v>0P0</v>
      </c>
      <c r="W1563" t="str">
        <f t="shared" si="457"/>
        <v>0P0</v>
      </c>
      <c r="X1563" t="str">
        <f t="shared" si="458"/>
        <v>P0</v>
      </c>
      <c r="Y1563" t="str">
        <f t="shared" si="459"/>
        <v>00</v>
      </c>
      <c r="Z1563" t="str">
        <f t="shared" si="470"/>
        <v>00</v>
      </c>
      <c r="AA1563" t="str">
        <f t="shared" si="460"/>
        <v>00</v>
      </c>
      <c r="AB1563" t="str">
        <f t="shared" si="461"/>
        <v>00</v>
      </c>
      <c r="AC1563" t="str">
        <f t="shared" si="462"/>
        <v>0P0</v>
      </c>
      <c r="AD1563" t="str">
        <f t="shared" si="463"/>
        <v>P00</v>
      </c>
      <c r="AE1563" t="str">
        <f t="shared" si="464"/>
        <v>0P0</v>
      </c>
      <c r="AF1563" t="str">
        <f t="shared" si="465"/>
        <v>P00</v>
      </c>
      <c r="AG1563" t="str">
        <f t="shared" si="471"/>
        <v>0P00</v>
      </c>
      <c r="AH1563" t="str">
        <f t="shared" si="472"/>
        <v>P000</v>
      </c>
      <c r="AI1563" t="str">
        <f t="shared" si="473"/>
        <v>0P00</v>
      </c>
      <c r="AJ1563" t="str">
        <f t="shared" si="474"/>
        <v>P000</v>
      </c>
    </row>
    <row r="1564" spans="1:36" x14ac:dyDescent="0.25">
      <c r="A1564" s="325" t="str">
        <f>CONCATENATE("P",'906MP'!M1264)</f>
        <v>P</v>
      </c>
      <c r="B1564">
        <f>'906MP'!H1264</f>
        <v>0</v>
      </c>
      <c r="C1564">
        <f>'906MP'!J1264</f>
        <v>0</v>
      </c>
      <c r="D1564">
        <f>'906MP'!P1264</f>
        <v>0</v>
      </c>
      <c r="E1564">
        <f>'906MP'!X1264</f>
        <v>0</v>
      </c>
      <c r="F1564" t="str">
        <f t="shared" si="466"/>
        <v>0</v>
      </c>
      <c r="G1564" t="str">
        <f t="shared" si="467"/>
        <v>0</v>
      </c>
      <c r="H1564">
        <f>'906MP'!Y1264</f>
        <v>0</v>
      </c>
      <c r="I1564">
        <f>'906MP'!AK1264</f>
        <v>0</v>
      </c>
      <c r="J1564">
        <f>'906MP'!T1264</f>
        <v>0</v>
      </c>
      <c r="K1564">
        <f>'906MP'!AJ1264</f>
        <v>0</v>
      </c>
      <c r="L1564">
        <f>'906MP'!U1264</f>
        <v>0</v>
      </c>
      <c r="M1564" s="322" t="str">
        <f>IFERROR(VLOOKUP(A1564,PAR!$D$3:$E$53,2,FALSE),"nincs szervezet")</f>
        <v>nincs szervezet</v>
      </c>
      <c r="N1564" s="322" t="str">
        <f>VLOOKUP(F1564,PAR!$R$3:$S$5,2,FALSE)</f>
        <v>3 - egyik sem</v>
      </c>
      <c r="O1564" t="str">
        <f>IFERROR(VLOOKUP(J1564,PAR!$O$3:$P$5,2,FALSE),"nincs feladat")</f>
        <v>nincs feladat</v>
      </c>
      <c r="P1564" t="str">
        <f>IFERROR(VLOOKUP(G1564,PAR!$J$2:$M$19,4),"nincs rovat")</f>
        <v>nincs rovat</v>
      </c>
      <c r="Q1564" t="str">
        <f>IF(H1564&gt;0,VLOOKUP(H1564,PAR!$AA$3:$AC$187,3,FALSE),"nincs főkönyvi számla")</f>
        <v>nincs főkönyvi számla</v>
      </c>
      <c r="R1564" t="str">
        <f>IFERROR(VLOOKUP(K1564,PAR!$V$3:$X$438,3,FALSE),"000000 - Nincs COFOG")</f>
        <v>000000 - Nincs COFOG</v>
      </c>
      <c r="S1564">
        <f t="shared" si="468"/>
        <v>0</v>
      </c>
      <c r="T1564">
        <f t="shared" si="469"/>
        <v>0</v>
      </c>
      <c r="U1564" t="str">
        <f>IF('906MP'!J1264&gt;0,CONCATENATE('906MP'!J1264," - ",'906MP'!P1264,", ",'906MP'!E1264),"nincs megjegyzés")</f>
        <v>nincs megjegyzés</v>
      </c>
      <c r="V1564" t="str">
        <f t="shared" si="456"/>
        <v>0P0</v>
      </c>
      <c r="W1564" t="str">
        <f t="shared" si="457"/>
        <v>0P0</v>
      </c>
      <c r="X1564" t="str">
        <f t="shared" si="458"/>
        <v>P0</v>
      </c>
      <c r="Y1564" t="str">
        <f t="shared" si="459"/>
        <v>00</v>
      </c>
      <c r="Z1564" t="str">
        <f t="shared" si="470"/>
        <v>00</v>
      </c>
      <c r="AA1564" t="str">
        <f t="shared" si="460"/>
        <v>00</v>
      </c>
      <c r="AB1564" t="str">
        <f t="shared" si="461"/>
        <v>00</v>
      </c>
      <c r="AC1564" t="str">
        <f t="shared" si="462"/>
        <v>0P0</v>
      </c>
      <c r="AD1564" t="str">
        <f t="shared" si="463"/>
        <v>P00</v>
      </c>
      <c r="AE1564" t="str">
        <f t="shared" si="464"/>
        <v>0P0</v>
      </c>
      <c r="AF1564" t="str">
        <f t="shared" si="465"/>
        <v>P00</v>
      </c>
      <c r="AG1564" t="str">
        <f t="shared" si="471"/>
        <v>0P00</v>
      </c>
      <c r="AH1564" t="str">
        <f t="shared" si="472"/>
        <v>P000</v>
      </c>
      <c r="AI1564" t="str">
        <f t="shared" si="473"/>
        <v>0P00</v>
      </c>
      <c r="AJ1564" t="str">
        <f t="shared" si="474"/>
        <v>P000</v>
      </c>
    </row>
    <row r="1565" spans="1:36" x14ac:dyDescent="0.25">
      <c r="A1565" s="325" t="str">
        <f>CONCATENATE("P",'906MP'!M1265)</f>
        <v>P</v>
      </c>
      <c r="B1565">
        <f>'906MP'!H1265</f>
        <v>0</v>
      </c>
      <c r="C1565">
        <f>'906MP'!J1265</f>
        <v>0</v>
      </c>
      <c r="D1565">
        <f>'906MP'!P1265</f>
        <v>0</v>
      </c>
      <c r="E1565">
        <f>'906MP'!X1265</f>
        <v>0</v>
      </c>
      <c r="F1565" t="str">
        <f t="shared" si="466"/>
        <v>0</v>
      </c>
      <c r="G1565" t="str">
        <f t="shared" si="467"/>
        <v>0</v>
      </c>
      <c r="H1565">
        <f>'906MP'!Y1265</f>
        <v>0</v>
      </c>
      <c r="I1565">
        <f>'906MP'!AK1265</f>
        <v>0</v>
      </c>
      <c r="J1565">
        <f>'906MP'!T1265</f>
        <v>0</v>
      </c>
      <c r="K1565">
        <f>'906MP'!AJ1265</f>
        <v>0</v>
      </c>
      <c r="L1565">
        <f>'906MP'!U1265</f>
        <v>0</v>
      </c>
      <c r="M1565" s="322" t="str">
        <f>IFERROR(VLOOKUP(A1565,PAR!$D$3:$E$53,2,FALSE),"nincs szervezet")</f>
        <v>nincs szervezet</v>
      </c>
      <c r="N1565" s="322" t="str">
        <f>VLOOKUP(F1565,PAR!$R$3:$S$5,2,FALSE)</f>
        <v>3 - egyik sem</v>
      </c>
      <c r="O1565" t="str">
        <f>IFERROR(VLOOKUP(J1565,PAR!$O$3:$P$5,2,FALSE),"nincs feladat")</f>
        <v>nincs feladat</v>
      </c>
      <c r="P1565" t="str">
        <f>IFERROR(VLOOKUP(G1565,PAR!$J$2:$M$19,4),"nincs rovat")</f>
        <v>nincs rovat</v>
      </c>
      <c r="Q1565" t="str">
        <f>IF(H1565&gt;0,VLOOKUP(H1565,PAR!$AA$3:$AC$187,3,FALSE),"nincs főkönyvi számla")</f>
        <v>nincs főkönyvi számla</v>
      </c>
      <c r="R1565" t="str">
        <f>IFERROR(VLOOKUP(K1565,PAR!$V$3:$X$438,3,FALSE),"000000 - Nincs COFOG")</f>
        <v>000000 - Nincs COFOG</v>
      </c>
      <c r="S1565">
        <f t="shared" si="468"/>
        <v>0</v>
      </c>
      <c r="T1565">
        <f t="shared" si="469"/>
        <v>0</v>
      </c>
      <c r="U1565" t="str">
        <f>IF('906MP'!J1265&gt;0,CONCATENATE('906MP'!J1265," - ",'906MP'!P1265,", ",'906MP'!E1265),"nincs megjegyzés")</f>
        <v>nincs megjegyzés</v>
      </c>
      <c r="V1565" t="str">
        <f t="shared" si="456"/>
        <v>0P0</v>
      </c>
      <c r="W1565" t="str">
        <f t="shared" si="457"/>
        <v>0P0</v>
      </c>
      <c r="X1565" t="str">
        <f t="shared" si="458"/>
        <v>P0</v>
      </c>
      <c r="Y1565" t="str">
        <f t="shared" si="459"/>
        <v>00</v>
      </c>
      <c r="Z1565" t="str">
        <f t="shared" si="470"/>
        <v>00</v>
      </c>
      <c r="AA1565" t="str">
        <f t="shared" si="460"/>
        <v>00</v>
      </c>
      <c r="AB1565" t="str">
        <f t="shared" si="461"/>
        <v>00</v>
      </c>
      <c r="AC1565" t="str">
        <f t="shared" si="462"/>
        <v>0P0</v>
      </c>
      <c r="AD1565" t="str">
        <f t="shared" si="463"/>
        <v>P00</v>
      </c>
      <c r="AE1565" t="str">
        <f t="shared" si="464"/>
        <v>0P0</v>
      </c>
      <c r="AF1565" t="str">
        <f t="shared" si="465"/>
        <v>P00</v>
      </c>
      <c r="AG1565" t="str">
        <f t="shared" si="471"/>
        <v>0P00</v>
      </c>
      <c r="AH1565" t="str">
        <f t="shared" si="472"/>
        <v>P000</v>
      </c>
      <c r="AI1565" t="str">
        <f t="shared" si="473"/>
        <v>0P00</v>
      </c>
      <c r="AJ1565" t="str">
        <f t="shared" si="474"/>
        <v>P000</v>
      </c>
    </row>
    <row r="1566" spans="1:36" x14ac:dyDescent="0.25">
      <c r="A1566" s="325" t="str">
        <f>CONCATENATE("P",'906MP'!M1266)</f>
        <v>P</v>
      </c>
      <c r="B1566">
        <f>'906MP'!H1266</f>
        <v>0</v>
      </c>
      <c r="C1566">
        <f>'906MP'!J1266</f>
        <v>0</v>
      </c>
      <c r="D1566">
        <f>'906MP'!P1266</f>
        <v>0</v>
      </c>
      <c r="E1566">
        <f>'906MP'!X1266</f>
        <v>0</v>
      </c>
      <c r="F1566" t="str">
        <f t="shared" si="466"/>
        <v>0</v>
      </c>
      <c r="G1566" t="str">
        <f t="shared" si="467"/>
        <v>0</v>
      </c>
      <c r="H1566">
        <f>'906MP'!Y1266</f>
        <v>0</v>
      </c>
      <c r="I1566">
        <f>'906MP'!AK1266</f>
        <v>0</v>
      </c>
      <c r="J1566">
        <f>'906MP'!T1266</f>
        <v>0</v>
      </c>
      <c r="K1566">
        <f>'906MP'!AJ1266</f>
        <v>0</v>
      </c>
      <c r="L1566">
        <f>'906MP'!U1266</f>
        <v>0</v>
      </c>
      <c r="M1566" s="322" t="str">
        <f>IFERROR(VLOOKUP(A1566,PAR!$D$3:$E$53,2,FALSE),"nincs szervezet")</f>
        <v>nincs szervezet</v>
      </c>
      <c r="N1566" s="322" t="str">
        <f>VLOOKUP(F1566,PAR!$R$3:$S$5,2,FALSE)</f>
        <v>3 - egyik sem</v>
      </c>
      <c r="O1566" t="str">
        <f>IFERROR(VLOOKUP(J1566,PAR!$O$3:$P$5,2,FALSE),"nincs feladat")</f>
        <v>nincs feladat</v>
      </c>
      <c r="P1566" t="str">
        <f>IFERROR(VLOOKUP(G1566,PAR!$J$2:$M$19,4),"nincs rovat")</f>
        <v>nincs rovat</v>
      </c>
      <c r="Q1566" t="str">
        <f>IF(H1566&gt;0,VLOOKUP(H1566,PAR!$AA$3:$AC$187,3,FALSE),"nincs főkönyvi számla")</f>
        <v>nincs főkönyvi számla</v>
      </c>
      <c r="R1566" t="str">
        <f>IFERROR(VLOOKUP(K1566,PAR!$V$3:$X$438,3,FALSE),"000000 - Nincs COFOG")</f>
        <v>000000 - Nincs COFOG</v>
      </c>
      <c r="S1566">
        <f t="shared" si="468"/>
        <v>0</v>
      </c>
      <c r="T1566">
        <f t="shared" si="469"/>
        <v>0</v>
      </c>
      <c r="U1566" t="str">
        <f>IF('906MP'!J1266&gt;0,CONCATENATE('906MP'!J1266," - ",'906MP'!P1266,", ",'906MP'!E1266),"nincs megjegyzés")</f>
        <v>nincs megjegyzés</v>
      </c>
      <c r="V1566" t="str">
        <f t="shared" si="456"/>
        <v>0P0</v>
      </c>
      <c r="W1566" t="str">
        <f t="shared" si="457"/>
        <v>0P0</v>
      </c>
      <c r="X1566" t="str">
        <f t="shared" si="458"/>
        <v>P0</v>
      </c>
      <c r="Y1566" t="str">
        <f t="shared" si="459"/>
        <v>00</v>
      </c>
      <c r="Z1566" t="str">
        <f t="shared" si="470"/>
        <v>00</v>
      </c>
      <c r="AA1566" t="str">
        <f t="shared" si="460"/>
        <v>00</v>
      </c>
      <c r="AB1566" t="str">
        <f t="shared" si="461"/>
        <v>00</v>
      </c>
      <c r="AC1566" t="str">
        <f t="shared" si="462"/>
        <v>0P0</v>
      </c>
      <c r="AD1566" t="str">
        <f t="shared" si="463"/>
        <v>P00</v>
      </c>
      <c r="AE1566" t="str">
        <f t="shared" si="464"/>
        <v>0P0</v>
      </c>
      <c r="AF1566" t="str">
        <f t="shared" si="465"/>
        <v>P00</v>
      </c>
      <c r="AG1566" t="str">
        <f t="shared" si="471"/>
        <v>0P00</v>
      </c>
      <c r="AH1566" t="str">
        <f t="shared" si="472"/>
        <v>P000</v>
      </c>
      <c r="AI1566" t="str">
        <f t="shared" si="473"/>
        <v>0P00</v>
      </c>
      <c r="AJ1566" t="str">
        <f t="shared" si="474"/>
        <v>P000</v>
      </c>
    </row>
    <row r="1567" spans="1:36" x14ac:dyDescent="0.25">
      <c r="A1567" s="325" t="str">
        <f>CONCATENATE("P",'906MP'!M1267)</f>
        <v>P</v>
      </c>
      <c r="B1567">
        <f>'906MP'!H1267</f>
        <v>0</v>
      </c>
      <c r="C1567">
        <f>'906MP'!J1267</f>
        <v>0</v>
      </c>
      <c r="D1567">
        <f>'906MP'!P1267</f>
        <v>0</v>
      </c>
      <c r="E1567">
        <f>'906MP'!X1267</f>
        <v>0</v>
      </c>
      <c r="F1567" t="str">
        <f t="shared" si="466"/>
        <v>0</v>
      </c>
      <c r="G1567" t="str">
        <f t="shared" si="467"/>
        <v>0</v>
      </c>
      <c r="H1567">
        <f>'906MP'!Y1267</f>
        <v>0</v>
      </c>
      <c r="I1567">
        <f>'906MP'!AK1267</f>
        <v>0</v>
      </c>
      <c r="J1567">
        <f>'906MP'!T1267</f>
        <v>0</v>
      </c>
      <c r="K1567">
        <f>'906MP'!AJ1267</f>
        <v>0</v>
      </c>
      <c r="L1567">
        <f>'906MP'!U1267</f>
        <v>0</v>
      </c>
      <c r="M1567" s="322" t="str">
        <f>IFERROR(VLOOKUP(A1567,PAR!$D$3:$E$53,2,FALSE),"nincs szervezet")</f>
        <v>nincs szervezet</v>
      </c>
      <c r="N1567" s="322" t="str">
        <f>VLOOKUP(F1567,PAR!$R$3:$S$5,2,FALSE)</f>
        <v>3 - egyik sem</v>
      </c>
      <c r="O1567" t="str">
        <f>IFERROR(VLOOKUP(J1567,PAR!$O$3:$P$5,2,FALSE),"nincs feladat")</f>
        <v>nincs feladat</v>
      </c>
      <c r="P1567" t="str">
        <f>IFERROR(VLOOKUP(G1567,PAR!$J$2:$M$19,4),"nincs rovat")</f>
        <v>nincs rovat</v>
      </c>
      <c r="Q1567" t="str">
        <f>IF(H1567&gt;0,VLOOKUP(H1567,PAR!$AA$3:$AC$187,3,FALSE),"nincs főkönyvi számla")</f>
        <v>nincs főkönyvi számla</v>
      </c>
      <c r="R1567" t="str">
        <f>IFERROR(VLOOKUP(K1567,PAR!$V$3:$X$438,3,FALSE),"000000 - Nincs COFOG")</f>
        <v>000000 - Nincs COFOG</v>
      </c>
      <c r="S1567">
        <f t="shared" si="468"/>
        <v>0</v>
      </c>
      <c r="T1567">
        <f t="shared" si="469"/>
        <v>0</v>
      </c>
      <c r="U1567" t="str">
        <f>IF('906MP'!J1267&gt;0,CONCATENATE('906MP'!J1267," - ",'906MP'!P1267,", ",'906MP'!E1267),"nincs megjegyzés")</f>
        <v>nincs megjegyzés</v>
      </c>
      <c r="V1567" t="str">
        <f t="shared" si="456"/>
        <v>0P0</v>
      </c>
      <c r="W1567" t="str">
        <f t="shared" si="457"/>
        <v>0P0</v>
      </c>
      <c r="X1567" t="str">
        <f t="shared" si="458"/>
        <v>P0</v>
      </c>
      <c r="Y1567" t="str">
        <f t="shared" si="459"/>
        <v>00</v>
      </c>
      <c r="Z1567" t="str">
        <f t="shared" si="470"/>
        <v>00</v>
      </c>
      <c r="AA1567" t="str">
        <f t="shared" si="460"/>
        <v>00</v>
      </c>
      <c r="AB1567" t="str">
        <f t="shared" si="461"/>
        <v>00</v>
      </c>
      <c r="AC1567" t="str">
        <f t="shared" si="462"/>
        <v>0P0</v>
      </c>
      <c r="AD1567" t="str">
        <f t="shared" si="463"/>
        <v>P00</v>
      </c>
      <c r="AE1567" t="str">
        <f t="shared" si="464"/>
        <v>0P0</v>
      </c>
      <c r="AF1567" t="str">
        <f t="shared" si="465"/>
        <v>P00</v>
      </c>
      <c r="AG1567" t="str">
        <f t="shared" si="471"/>
        <v>0P00</v>
      </c>
      <c r="AH1567" t="str">
        <f t="shared" si="472"/>
        <v>P000</v>
      </c>
      <c r="AI1567" t="str">
        <f t="shared" si="473"/>
        <v>0P00</v>
      </c>
      <c r="AJ1567" t="str">
        <f t="shared" si="474"/>
        <v>P000</v>
      </c>
    </row>
    <row r="1568" spans="1:36" x14ac:dyDescent="0.25">
      <c r="A1568" s="325" t="str">
        <f>CONCATENATE("P",'906MP'!M1268)</f>
        <v>P</v>
      </c>
      <c r="B1568">
        <f>'906MP'!H1268</f>
        <v>0</v>
      </c>
      <c r="C1568">
        <f>'906MP'!J1268</f>
        <v>0</v>
      </c>
      <c r="D1568">
        <f>'906MP'!P1268</f>
        <v>0</v>
      </c>
      <c r="E1568">
        <f>'906MP'!X1268</f>
        <v>0</v>
      </c>
      <c r="F1568" t="str">
        <f t="shared" si="466"/>
        <v>0</v>
      </c>
      <c r="G1568" t="str">
        <f t="shared" si="467"/>
        <v>0</v>
      </c>
      <c r="H1568">
        <f>'906MP'!Y1268</f>
        <v>0</v>
      </c>
      <c r="I1568">
        <f>'906MP'!AK1268</f>
        <v>0</v>
      </c>
      <c r="J1568">
        <f>'906MP'!T1268</f>
        <v>0</v>
      </c>
      <c r="K1568">
        <f>'906MP'!AJ1268</f>
        <v>0</v>
      </c>
      <c r="L1568">
        <f>'906MP'!U1268</f>
        <v>0</v>
      </c>
      <c r="M1568" s="322" t="str">
        <f>IFERROR(VLOOKUP(A1568,PAR!$D$3:$E$53,2,FALSE),"nincs szervezet")</f>
        <v>nincs szervezet</v>
      </c>
      <c r="N1568" s="322" t="str">
        <f>VLOOKUP(F1568,PAR!$R$3:$S$5,2,FALSE)</f>
        <v>3 - egyik sem</v>
      </c>
      <c r="O1568" t="str">
        <f>IFERROR(VLOOKUP(J1568,PAR!$O$3:$P$5,2,FALSE),"nincs feladat")</f>
        <v>nincs feladat</v>
      </c>
      <c r="P1568" t="str">
        <f>IFERROR(VLOOKUP(G1568,PAR!$J$2:$M$19,4),"nincs rovat")</f>
        <v>nincs rovat</v>
      </c>
      <c r="Q1568" t="str">
        <f>IF(H1568&gt;0,VLOOKUP(H1568,PAR!$AA$3:$AC$187,3,FALSE),"nincs főkönyvi számla")</f>
        <v>nincs főkönyvi számla</v>
      </c>
      <c r="R1568" t="str">
        <f>IFERROR(VLOOKUP(K1568,PAR!$V$3:$X$438,3,FALSE),"000000 - Nincs COFOG")</f>
        <v>000000 - Nincs COFOG</v>
      </c>
      <c r="S1568">
        <f t="shared" si="468"/>
        <v>0</v>
      </c>
      <c r="T1568">
        <f t="shared" si="469"/>
        <v>0</v>
      </c>
      <c r="U1568" t="str">
        <f>IF('906MP'!J1268&gt;0,CONCATENATE('906MP'!J1268," - ",'906MP'!P1268,", ",'906MP'!E1268),"nincs megjegyzés")</f>
        <v>nincs megjegyzés</v>
      </c>
      <c r="V1568" t="str">
        <f t="shared" si="456"/>
        <v>0P0</v>
      </c>
      <c r="W1568" t="str">
        <f t="shared" si="457"/>
        <v>0P0</v>
      </c>
      <c r="X1568" t="str">
        <f t="shared" si="458"/>
        <v>P0</v>
      </c>
      <c r="Y1568" t="str">
        <f t="shared" si="459"/>
        <v>00</v>
      </c>
      <c r="Z1568" t="str">
        <f t="shared" si="470"/>
        <v>00</v>
      </c>
      <c r="AA1568" t="str">
        <f t="shared" si="460"/>
        <v>00</v>
      </c>
      <c r="AB1568" t="str">
        <f t="shared" si="461"/>
        <v>00</v>
      </c>
      <c r="AC1568" t="str">
        <f t="shared" si="462"/>
        <v>0P0</v>
      </c>
      <c r="AD1568" t="str">
        <f t="shared" si="463"/>
        <v>P00</v>
      </c>
      <c r="AE1568" t="str">
        <f t="shared" si="464"/>
        <v>0P0</v>
      </c>
      <c r="AF1568" t="str">
        <f t="shared" si="465"/>
        <v>P00</v>
      </c>
      <c r="AG1568" t="str">
        <f t="shared" si="471"/>
        <v>0P00</v>
      </c>
      <c r="AH1568" t="str">
        <f t="shared" si="472"/>
        <v>P000</v>
      </c>
      <c r="AI1568" t="str">
        <f t="shared" si="473"/>
        <v>0P00</v>
      </c>
      <c r="AJ1568" t="str">
        <f t="shared" si="474"/>
        <v>P000</v>
      </c>
    </row>
    <row r="1569" spans="1:36" x14ac:dyDescent="0.25">
      <c r="A1569" s="325" t="str">
        <f>CONCATENATE("P",'906MP'!M1269)</f>
        <v>P</v>
      </c>
      <c r="B1569">
        <f>'906MP'!H1269</f>
        <v>0</v>
      </c>
      <c r="C1569">
        <f>'906MP'!J1269</f>
        <v>0</v>
      </c>
      <c r="D1569">
        <f>'906MP'!P1269</f>
        <v>0</v>
      </c>
      <c r="E1569">
        <f>'906MP'!X1269</f>
        <v>0</v>
      </c>
      <c r="F1569" t="str">
        <f t="shared" si="466"/>
        <v>0</v>
      </c>
      <c r="G1569" t="str">
        <f t="shared" si="467"/>
        <v>0</v>
      </c>
      <c r="H1569">
        <f>'906MP'!Y1269</f>
        <v>0</v>
      </c>
      <c r="I1569">
        <f>'906MP'!AK1269</f>
        <v>0</v>
      </c>
      <c r="J1569">
        <f>'906MP'!T1269</f>
        <v>0</v>
      </c>
      <c r="K1569">
        <f>'906MP'!AJ1269</f>
        <v>0</v>
      </c>
      <c r="L1569">
        <f>'906MP'!U1269</f>
        <v>0</v>
      </c>
      <c r="M1569" s="322" t="str">
        <f>IFERROR(VLOOKUP(A1569,PAR!$D$3:$E$53,2,FALSE),"nincs szervezet")</f>
        <v>nincs szervezet</v>
      </c>
      <c r="N1569" s="322" t="str">
        <f>VLOOKUP(F1569,PAR!$R$3:$S$5,2,FALSE)</f>
        <v>3 - egyik sem</v>
      </c>
      <c r="O1569" t="str">
        <f>IFERROR(VLOOKUP(J1569,PAR!$O$3:$P$5,2,FALSE),"nincs feladat")</f>
        <v>nincs feladat</v>
      </c>
      <c r="P1569" t="str">
        <f>IFERROR(VLOOKUP(G1569,PAR!$J$2:$M$19,4),"nincs rovat")</f>
        <v>nincs rovat</v>
      </c>
      <c r="Q1569" t="str">
        <f>IF(H1569&gt;0,VLOOKUP(H1569,PAR!$AA$3:$AC$187,3,FALSE),"nincs főkönyvi számla")</f>
        <v>nincs főkönyvi számla</v>
      </c>
      <c r="R1569" t="str">
        <f>IFERROR(VLOOKUP(K1569,PAR!$V$3:$X$438,3,FALSE),"000000 - Nincs COFOG")</f>
        <v>000000 - Nincs COFOG</v>
      </c>
      <c r="S1569">
        <f t="shared" si="468"/>
        <v>0</v>
      </c>
      <c r="T1569">
        <f t="shared" si="469"/>
        <v>0</v>
      </c>
      <c r="U1569" t="str">
        <f>IF('906MP'!J1269&gt;0,CONCATENATE('906MP'!J1269," - ",'906MP'!P1269,", ",'906MP'!E1269),"nincs megjegyzés")</f>
        <v>nincs megjegyzés</v>
      </c>
      <c r="V1569" t="str">
        <f t="shared" si="456"/>
        <v>0P0</v>
      </c>
      <c r="W1569" t="str">
        <f t="shared" si="457"/>
        <v>0P0</v>
      </c>
      <c r="X1569" t="str">
        <f t="shared" si="458"/>
        <v>P0</v>
      </c>
      <c r="Y1569" t="str">
        <f t="shared" si="459"/>
        <v>00</v>
      </c>
      <c r="Z1569" t="str">
        <f t="shared" si="470"/>
        <v>00</v>
      </c>
      <c r="AA1569" t="str">
        <f t="shared" si="460"/>
        <v>00</v>
      </c>
      <c r="AB1569" t="str">
        <f t="shared" si="461"/>
        <v>00</v>
      </c>
      <c r="AC1569" t="str">
        <f t="shared" si="462"/>
        <v>0P0</v>
      </c>
      <c r="AD1569" t="str">
        <f t="shared" si="463"/>
        <v>P00</v>
      </c>
      <c r="AE1569" t="str">
        <f t="shared" si="464"/>
        <v>0P0</v>
      </c>
      <c r="AF1569" t="str">
        <f t="shared" si="465"/>
        <v>P00</v>
      </c>
      <c r="AG1569" t="str">
        <f t="shared" si="471"/>
        <v>0P00</v>
      </c>
      <c r="AH1569" t="str">
        <f t="shared" si="472"/>
        <v>P000</v>
      </c>
      <c r="AI1569" t="str">
        <f t="shared" si="473"/>
        <v>0P00</v>
      </c>
      <c r="AJ1569" t="str">
        <f t="shared" si="474"/>
        <v>P000</v>
      </c>
    </row>
    <row r="1570" spans="1:36" x14ac:dyDescent="0.25">
      <c r="A1570" s="325" t="str">
        <f>CONCATENATE("P",'906MP'!M1270)</f>
        <v>P</v>
      </c>
      <c r="B1570">
        <f>'906MP'!H1270</f>
        <v>0</v>
      </c>
      <c r="C1570">
        <f>'906MP'!J1270</f>
        <v>0</v>
      </c>
      <c r="D1570">
        <f>'906MP'!P1270</f>
        <v>0</v>
      </c>
      <c r="E1570">
        <f>'906MP'!X1270</f>
        <v>0</v>
      </c>
      <c r="F1570" t="str">
        <f t="shared" si="466"/>
        <v>0</v>
      </c>
      <c r="G1570" t="str">
        <f t="shared" si="467"/>
        <v>0</v>
      </c>
      <c r="H1570">
        <f>'906MP'!Y1270</f>
        <v>0</v>
      </c>
      <c r="I1570">
        <f>'906MP'!AK1270</f>
        <v>0</v>
      </c>
      <c r="J1570">
        <f>'906MP'!T1270</f>
        <v>0</v>
      </c>
      <c r="K1570">
        <f>'906MP'!AJ1270</f>
        <v>0</v>
      </c>
      <c r="L1570">
        <f>'906MP'!U1270</f>
        <v>0</v>
      </c>
      <c r="M1570" s="322" t="str">
        <f>IFERROR(VLOOKUP(A1570,PAR!$D$3:$E$53,2,FALSE),"nincs szervezet")</f>
        <v>nincs szervezet</v>
      </c>
      <c r="N1570" s="322" t="str">
        <f>VLOOKUP(F1570,PAR!$R$3:$S$5,2,FALSE)</f>
        <v>3 - egyik sem</v>
      </c>
      <c r="O1570" t="str">
        <f>IFERROR(VLOOKUP(J1570,PAR!$O$3:$P$5,2,FALSE),"nincs feladat")</f>
        <v>nincs feladat</v>
      </c>
      <c r="P1570" t="str">
        <f>IFERROR(VLOOKUP(G1570,PAR!$J$2:$M$19,4),"nincs rovat")</f>
        <v>nincs rovat</v>
      </c>
      <c r="Q1570" t="str">
        <f>IF(H1570&gt;0,VLOOKUP(H1570,PAR!$AA$3:$AC$187,3,FALSE),"nincs főkönyvi számla")</f>
        <v>nincs főkönyvi számla</v>
      </c>
      <c r="R1570" t="str">
        <f>IFERROR(VLOOKUP(K1570,PAR!$V$3:$X$438,3,FALSE),"000000 - Nincs COFOG")</f>
        <v>000000 - Nincs COFOG</v>
      </c>
      <c r="S1570">
        <f t="shared" si="468"/>
        <v>0</v>
      </c>
      <c r="T1570">
        <f t="shared" si="469"/>
        <v>0</v>
      </c>
      <c r="U1570" t="str">
        <f>IF('906MP'!J1270&gt;0,CONCATENATE('906MP'!J1270," - ",'906MP'!P1270,", ",'906MP'!E1270),"nincs megjegyzés")</f>
        <v>nincs megjegyzés</v>
      </c>
      <c r="V1570" t="str">
        <f t="shared" si="456"/>
        <v>0P0</v>
      </c>
      <c r="W1570" t="str">
        <f t="shared" si="457"/>
        <v>0P0</v>
      </c>
      <c r="X1570" t="str">
        <f t="shared" si="458"/>
        <v>P0</v>
      </c>
      <c r="Y1570" t="str">
        <f t="shared" si="459"/>
        <v>00</v>
      </c>
      <c r="Z1570" t="str">
        <f t="shared" si="470"/>
        <v>00</v>
      </c>
      <c r="AA1570" t="str">
        <f t="shared" si="460"/>
        <v>00</v>
      </c>
      <c r="AB1570" t="str">
        <f t="shared" si="461"/>
        <v>00</v>
      </c>
      <c r="AC1570" t="str">
        <f t="shared" si="462"/>
        <v>0P0</v>
      </c>
      <c r="AD1570" t="str">
        <f t="shared" si="463"/>
        <v>P00</v>
      </c>
      <c r="AE1570" t="str">
        <f t="shared" si="464"/>
        <v>0P0</v>
      </c>
      <c r="AF1570" t="str">
        <f t="shared" si="465"/>
        <v>P00</v>
      </c>
      <c r="AG1570" t="str">
        <f t="shared" si="471"/>
        <v>0P00</v>
      </c>
      <c r="AH1570" t="str">
        <f t="shared" si="472"/>
        <v>P000</v>
      </c>
      <c r="AI1570" t="str">
        <f t="shared" si="473"/>
        <v>0P00</v>
      </c>
      <c r="AJ1570" t="str">
        <f t="shared" si="474"/>
        <v>P000</v>
      </c>
    </row>
    <row r="1571" spans="1:36" x14ac:dyDescent="0.25">
      <c r="A1571" s="325" t="str">
        <f>CONCATENATE("P",'906MP'!M1271)</f>
        <v>P</v>
      </c>
      <c r="B1571">
        <f>'906MP'!H1271</f>
        <v>0</v>
      </c>
      <c r="C1571">
        <f>'906MP'!J1271</f>
        <v>0</v>
      </c>
      <c r="D1571">
        <f>'906MP'!P1271</f>
        <v>0</v>
      </c>
      <c r="E1571">
        <f>'906MP'!X1271</f>
        <v>0</v>
      </c>
      <c r="F1571" t="str">
        <f t="shared" si="466"/>
        <v>0</v>
      </c>
      <c r="G1571" t="str">
        <f t="shared" si="467"/>
        <v>0</v>
      </c>
      <c r="H1571">
        <f>'906MP'!Y1271</f>
        <v>0</v>
      </c>
      <c r="I1571">
        <f>'906MP'!AK1271</f>
        <v>0</v>
      </c>
      <c r="J1571">
        <f>'906MP'!T1271</f>
        <v>0</v>
      </c>
      <c r="K1571">
        <f>'906MP'!AJ1271</f>
        <v>0</v>
      </c>
      <c r="L1571">
        <f>'906MP'!U1271</f>
        <v>0</v>
      </c>
      <c r="M1571" s="322" t="str">
        <f>IFERROR(VLOOKUP(A1571,PAR!$D$3:$E$53,2,FALSE),"nincs szervezet")</f>
        <v>nincs szervezet</v>
      </c>
      <c r="N1571" s="322" t="str">
        <f>VLOOKUP(F1571,PAR!$R$3:$S$5,2,FALSE)</f>
        <v>3 - egyik sem</v>
      </c>
      <c r="O1571" t="str">
        <f>IFERROR(VLOOKUP(J1571,PAR!$O$3:$P$5,2,FALSE),"nincs feladat")</f>
        <v>nincs feladat</v>
      </c>
      <c r="P1571" t="str">
        <f>IFERROR(VLOOKUP(G1571,PAR!$J$2:$M$19,4),"nincs rovat")</f>
        <v>nincs rovat</v>
      </c>
      <c r="Q1571" t="str">
        <f>IF(H1571&gt;0,VLOOKUP(H1571,PAR!$AA$3:$AC$187,3,FALSE),"nincs főkönyvi számla")</f>
        <v>nincs főkönyvi számla</v>
      </c>
      <c r="R1571" t="str">
        <f>IFERROR(VLOOKUP(K1571,PAR!$V$3:$X$438,3,FALSE),"000000 - Nincs COFOG")</f>
        <v>000000 - Nincs COFOG</v>
      </c>
      <c r="S1571">
        <f t="shared" si="468"/>
        <v>0</v>
      </c>
      <c r="T1571">
        <f t="shared" si="469"/>
        <v>0</v>
      </c>
      <c r="U1571" t="str">
        <f>IF('906MP'!J1271&gt;0,CONCATENATE('906MP'!J1271," - ",'906MP'!P1271,", ",'906MP'!E1271),"nincs megjegyzés")</f>
        <v>nincs megjegyzés</v>
      </c>
      <c r="V1571" t="str">
        <f t="shared" si="456"/>
        <v>0P0</v>
      </c>
      <c r="W1571" t="str">
        <f t="shared" si="457"/>
        <v>0P0</v>
      </c>
      <c r="X1571" t="str">
        <f t="shared" si="458"/>
        <v>P0</v>
      </c>
      <c r="Y1571" t="str">
        <f t="shared" si="459"/>
        <v>00</v>
      </c>
      <c r="Z1571" t="str">
        <f t="shared" si="470"/>
        <v>00</v>
      </c>
      <c r="AA1571" t="str">
        <f t="shared" si="460"/>
        <v>00</v>
      </c>
      <c r="AB1571" t="str">
        <f t="shared" si="461"/>
        <v>00</v>
      </c>
      <c r="AC1571" t="str">
        <f t="shared" si="462"/>
        <v>0P0</v>
      </c>
      <c r="AD1571" t="str">
        <f t="shared" si="463"/>
        <v>P00</v>
      </c>
      <c r="AE1571" t="str">
        <f t="shared" si="464"/>
        <v>0P0</v>
      </c>
      <c r="AF1571" t="str">
        <f t="shared" si="465"/>
        <v>P00</v>
      </c>
      <c r="AG1571" t="str">
        <f t="shared" si="471"/>
        <v>0P00</v>
      </c>
      <c r="AH1571" t="str">
        <f t="shared" si="472"/>
        <v>P000</v>
      </c>
      <c r="AI1571" t="str">
        <f t="shared" si="473"/>
        <v>0P00</v>
      </c>
      <c r="AJ1571" t="str">
        <f t="shared" si="474"/>
        <v>P000</v>
      </c>
    </row>
    <row r="1572" spans="1:36" x14ac:dyDescent="0.25">
      <c r="A1572" s="325" t="str">
        <f>CONCATENATE("P",'906MP'!M1272)</f>
        <v>P</v>
      </c>
      <c r="B1572">
        <f>'906MP'!H1272</f>
        <v>0</v>
      </c>
      <c r="C1572">
        <f>'906MP'!J1272</f>
        <v>0</v>
      </c>
      <c r="D1572">
        <f>'906MP'!P1272</f>
        <v>0</v>
      </c>
      <c r="E1572">
        <f>'906MP'!X1272</f>
        <v>0</v>
      </c>
      <c r="F1572" t="str">
        <f t="shared" si="466"/>
        <v>0</v>
      </c>
      <c r="G1572" t="str">
        <f t="shared" si="467"/>
        <v>0</v>
      </c>
      <c r="H1572">
        <f>'906MP'!Y1272</f>
        <v>0</v>
      </c>
      <c r="I1572">
        <f>'906MP'!AK1272</f>
        <v>0</v>
      </c>
      <c r="J1572">
        <f>'906MP'!T1272</f>
        <v>0</v>
      </c>
      <c r="K1572">
        <f>'906MP'!AJ1272</f>
        <v>0</v>
      </c>
      <c r="L1572">
        <f>'906MP'!U1272</f>
        <v>0</v>
      </c>
      <c r="M1572" s="322" t="str">
        <f>IFERROR(VLOOKUP(A1572,PAR!$D$3:$E$53,2,FALSE),"nincs szervezet")</f>
        <v>nincs szervezet</v>
      </c>
      <c r="N1572" s="322" t="str">
        <f>VLOOKUP(F1572,PAR!$R$3:$S$5,2,FALSE)</f>
        <v>3 - egyik sem</v>
      </c>
      <c r="O1572" t="str">
        <f>IFERROR(VLOOKUP(J1572,PAR!$O$3:$P$5,2,FALSE),"nincs feladat")</f>
        <v>nincs feladat</v>
      </c>
      <c r="P1572" t="str">
        <f>IFERROR(VLOOKUP(G1572,PAR!$J$2:$M$19,4),"nincs rovat")</f>
        <v>nincs rovat</v>
      </c>
      <c r="Q1572" t="str">
        <f>IF(H1572&gt;0,VLOOKUP(H1572,PAR!$AA$3:$AC$187,3,FALSE),"nincs főkönyvi számla")</f>
        <v>nincs főkönyvi számla</v>
      </c>
      <c r="R1572" t="str">
        <f>IFERROR(VLOOKUP(K1572,PAR!$V$3:$X$438,3,FALSE),"000000 - Nincs COFOG")</f>
        <v>000000 - Nincs COFOG</v>
      </c>
      <c r="S1572">
        <f t="shared" si="468"/>
        <v>0</v>
      </c>
      <c r="T1572">
        <f t="shared" si="469"/>
        <v>0</v>
      </c>
      <c r="U1572" t="str">
        <f>IF('906MP'!J1272&gt;0,CONCATENATE('906MP'!J1272," - ",'906MP'!P1272,", ",'906MP'!E1272),"nincs megjegyzés")</f>
        <v>nincs megjegyzés</v>
      </c>
      <c r="V1572" t="str">
        <f t="shared" si="456"/>
        <v>0P0</v>
      </c>
      <c r="W1572" t="str">
        <f t="shared" si="457"/>
        <v>0P0</v>
      </c>
      <c r="X1572" t="str">
        <f t="shared" si="458"/>
        <v>P0</v>
      </c>
      <c r="Y1572" t="str">
        <f t="shared" si="459"/>
        <v>00</v>
      </c>
      <c r="Z1572" t="str">
        <f t="shared" si="470"/>
        <v>00</v>
      </c>
      <c r="AA1572" t="str">
        <f t="shared" si="460"/>
        <v>00</v>
      </c>
      <c r="AB1572" t="str">
        <f t="shared" si="461"/>
        <v>00</v>
      </c>
      <c r="AC1572" t="str">
        <f t="shared" si="462"/>
        <v>0P0</v>
      </c>
      <c r="AD1572" t="str">
        <f t="shared" si="463"/>
        <v>P00</v>
      </c>
      <c r="AE1572" t="str">
        <f t="shared" si="464"/>
        <v>0P0</v>
      </c>
      <c r="AF1572" t="str">
        <f t="shared" si="465"/>
        <v>P00</v>
      </c>
      <c r="AG1572" t="str">
        <f t="shared" si="471"/>
        <v>0P00</v>
      </c>
      <c r="AH1572" t="str">
        <f t="shared" si="472"/>
        <v>P000</v>
      </c>
      <c r="AI1572" t="str">
        <f t="shared" si="473"/>
        <v>0P00</v>
      </c>
      <c r="AJ1572" t="str">
        <f t="shared" si="474"/>
        <v>P000</v>
      </c>
    </row>
    <row r="1573" spans="1:36" x14ac:dyDescent="0.25">
      <c r="A1573" s="325" t="str">
        <f>CONCATENATE("P",'906MP'!M1273)</f>
        <v>P</v>
      </c>
      <c r="B1573">
        <f>'906MP'!H1273</f>
        <v>0</v>
      </c>
      <c r="C1573">
        <f>'906MP'!J1273</f>
        <v>0</v>
      </c>
      <c r="D1573">
        <f>'906MP'!P1273</f>
        <v>0</v>
      </c>
      <c r="E1573">
        <f>'906MP'!X1273</f>
        <v>0</v>
      </c>
      <c r="F1573" t="str">
        <f t="shared" si="466"/>
        <v>0</v>
      </c>
      <c r="G1573" t="str">
        <f t="shared" si="467"/>
        <v>0</v>
      </c>
      <c r="H1573">
        <f>'906MP'!Y1273</f>
        <v>0</v>
      </c>
      <c r="I1573">
        <f>'906MP'!AK1273</f>
        <v>0</v>
      </c>
      <c r="J1573">
        <f>'906MP'!T1273</f>
        <v>0</v>
      </c>
      <c r="K1573">
        <f>'906MP'!AJ1273</f>
        <v>0</v>
      </c>
      <c r="L1573">
        <f>'906MP'!U1273</f>
        <v>0</v>
      </c>
      <c r="M1573" s="322" t="str">
        <f>IFERROR(VLOOKUP(A1573,PAR!$D$3:$E$53,2,FALSE),"nincs szervezet")</f>
        <v>nincs szervezet</v>
      </c>
      <c r="N1573" s="322" t="str">
        <f>VLOOKUP(F1573,PAR!$R$3:$S$5,2,FALSE)</f>
        <v>3 - egyik sem</v>
      </c>
      <c r="O1573" t="str">
        <f>IFERROR(VLOOKUP(J1573,PAR!$O$3:$P$5,2,FALSE),"nincs feladat")</f>
        <v>nincs feladat</v>
      </c>
      <c r="P1573" t="str">
        <f>IFERROR(VLOOKUP(G1573,PAR!$J$2:$M$19,4),"nincs rovat")</f>
        <v>nincs rovat</v>
      </c>
      <c r="Q1573" t="str">
        <f>IF(H1573&gt;0,VLOOKUP(H1573,PAR!$AA$3:$AC$187,3,FALSE),"nincs főkönyvi számla")</f>
        <v>nincs főkönyvi számla</v>
      </c>
      <c r="R1573" t="str">
        <f>IFERROR(VLOOKUP(K1573,PAR!$V$3:$X$438,3,FALSE),"000000 - Nincs COFOG")</f>
        <v>000000 - Nincs COFOG</v>
      </c>
      <c r="S1573">
        <f t="shared" si="468"/>
        <v>0</v>
      </c>
      <c r="T1573">
        <f t="shared" si="469"/>
        <v>0</v>
      </c>
      <c r="U1573" t="str">
        <f>IF('906MP'!J1273&gt;0,CONCATENATE('906MP'!J1273," - ",'906MP'!P1273,", ",'906MP'!E1273),"nincs megjegyzés")</f>
        <v>nincs megjegyzés</v>
      </c>
      <c r="V1573" t="str">
        <f t="shared" si="456"/>
        <v>0P0</v>
      </c>
      <c r="W1573" t="str">
        <f t="shared" si="457"/>
        <v>0P0</v>
      </c>
      <c r="X1573" t="str">
        <f t="shared" si="458"/>
        <v>P0</v>
      </c>
      <c r="Y1573" t="str">
        <f t="shared" si="459"/>
        <v>00</v>
      </c>
      <c r="Z1573" t="str">
        <f t="shared" si="470"/>
        <v>00</v>
      </c>
      <c r="AA1573" t="str">
        <f t="shared" si="460"/>
        <v>00</v>
      </c>
      <c r="AB1573" t="str">
        <f t="shared" si="461"/>
        <v>00</v>
      </c>
      <c r="AC1573" t="str">
        <f t="shared" si="462"/>
        <v>0P0</v>
      </c>
      <c r="AD1573" t="str">
        <f t="shared" si="463"/>
        <v>P00</v>
      </c>
      <c r="AE1573" t="str">
        <f t="shared" si="464"/>
        <v>0P0</v>
      </c>
      <c r="AF1573" t="str">
        <f t="shared" si="465"/>
        <v>P00</v>
      </c>
      <c r="AG1573" t="str">
        <f t="shared" si="471"/>
        <v>0P00</v>
      </c>
      <c r="AH1573" t="str">
        <f t="shared" si="472"/>
        <v>P000</v>
      </c>
      <c r="AI1573" t="str">
        <f t="shared" si="473"/>
        <v>0P00</v>
      </c>
      <c r="AJ1573" t="str">
        <f t="shared" si="474"/>
        <v>P000</v>
      </c>
    </row>
    <row r="1574" spans="1:36" x14ac:dyDescent="0.25">
      <c r="A1574" s="325" t="str">
        <f>CONCATENATE("P",'906MP'!M1274)</f>
        <v>P</v>
      </c>
      <c r="B1574">
        <f>'906MP'!H1274</f>
        <v>0</v>
      </c>
      <c r="C1574">
        <f>'906MP'!J1274</f>
        <v>0</v>
      </c>
      <c r="D1574">
        <f>'906MP'!P1274</f>
        <v>0</v>
      </c>
      <c r="E1574">
        <f>'906MP'!X1274</f>
        <v>0</v>
      </c>
      <c r="F1574" t="str">
        <f t="shared" si="466"/>
        <v>0</v>
      </c>
      <c r="G1574" t="str">
        <f t="shared" si="467"/>
        <v>0</v>
      </c>
      <c r="H1574">
        <f>'906MP'!Y1274</f>
        <v>0</v>
      </c>
      <c r="I1574">
        <f>'906MP'!AK1274</f>
        <v>0</v>
      </c>
      <c r="J1574">
        <f>'906MP'!T1274</f>
        <v>0</v>
      </c>
      <c r="K1574">
        <f>'906MP'!AJ1274</f>
        <v>0</v>
      </c>
      <c r="L1574">
        <f>'906MP'!U1274</f>
        <v>0</v>
      </c>
      <c r="M1574" s="322" t="str">
        <f>IFERROR(VLOOKUP(A1574,PAR!$D$3:$E$53,2,FALSE),"nincs szervezet")</f>
        <v>nincs szervezet</v>
      </c>
      <c r="N1574" s="322" t="str">
        <f>VLOOKUP(F1574,PAR!$R$3:$S$5,2,FALSE)</f>
        <v>3 - egyik sem</v>
      </c>
      <c r="O1574" t="str">
        <f>IFERROR(VLOOKUP(J1574,PAR!$O$3:$P$5,2,FALSE),"nincs feladat")</f>
        <v>nincs feladat</v>
      </c>
      <c r="P1574" t="str">
        <f>IFERROR(VLOOKUP(G1574,PAR!$J$2:$M$19,4),"nincs rovat")</f>
        <v>nincs rovat</v>
      </c>
      <c r="Q1574" t="str">
        <f>IF(H1574&gt;0,VLOOKUP(H1574,PAR!$AA$3:$AC$187,3,FALSE),"nincs főkönyvi számla")</f>
        <v>nincs főkönyvi számla</v>
      </c>
      <c r="R1574" t="str">
        <f>IFERROR(VLOOKUP(K1574,PAR!$V$3:$X$438,3,FALSE),"000000 - Nincs COFOG")</f>
        <v>000000 - Nincs COFOG</v>
      </c>
      <c r="S1574">
        <f t="shared" si="468"/>
        <v>0</v>
      </c>
      <c r="T1574">
        <f t="shared" si="469"/>
        <v>0</v>
      </c>
      <c r="U1574" t="str">
        <f>IF('906MP'!J1274&gt;0,CONCATENATE('906MP'!J1274," - ",'906MP'!P1274,", ",'906MP'!E1274),"nincs megjegyzés")</f>
        <v>nincs megjegyzés</v>
      </c>
      <c r="V1574" t="str">
        <f t="shared" si="456"/>
        <v>0P0</v>
      </c>
      <c r="W1574" t="str">
        <f t="shared" si="457"/>
        <v>0P0</v>
      </c>
      <c r="X1574" t="str">
        <f t="shared" si="458"/>
        <v>P0</v>
      </c>
      <c r="Y1574" t="str">
        <f t="shared" si="459"/>
        <v>00</v>
      </c>
      <c r="Z1574" t="str">
        <f t="shared" si="470"/>
        <v>00</v>
      </c>
      <c r="AA1574" t="str">
        <f t="shared" si="460"/>
        <v>00</v>
      </c>
      <c r="AB1574" t="str">
        <f t="shared" si="461"/>
        <v>00</v>
      </c>
      <c r="AC1574" t="str">
        <f t="shared" si="462"/>
        <v>0P0</v>
      </c>
      <c r="AD1574" t="str">
        <f t="shared" si="463"/>
        <v>P00</v>
      </c>
      <c r="AE1574" t="str">
        <f t="shared" si="464"/>
        <v>0P0</v>
      </c>
      <c r="AF1574" t="str">
        <f t="shared" si="465"/>
        <v>P00</v>
      </c>
      <c r="AG1574" t="str">
        <f t="shared" si="471"/>
        <v>0P00</v>
      </c>
      <c r="AH1574" t="str">
        <f t="shared" si="472"/>
        <v>P000</v>
      </c>
      <c r="AI1574" t="str">
        <f t="shared" si="473"/>
        <v>0P00</v>
      </c>
      <c r="AJ1574" t="str">
        <f t="shared" si="474"/>
        <v>P000</v>
      </c>
    </row>
    <row r="1575" spans="1:36" x14ac:dyDescent="0.25">
      <c r="A1575" s="325" t="str">
        <f>CONCATENATE("P",'906MP'!M1275)</f>
        <v>P</v>
      </c>
      <c r="B1575">
        <f>'906MP'!H1275</f>
        <v>0</v>
      </c>
      <c r="C1575">
        <f>'906MP'!J1275</f>
        <v>0</v>
      </c>
      <c r="D1575">
        <f>'906MP'!P1275</f>
        <v>0</v>
      </c>
      <c r="E1575">
        <f>'906MP'!X1275</f>
        <v>0</v>
      </c>
      <c r="F1575" t="str">
        <f t="shared" si="466"/>
        <v>0</v>
      </c>
      <c r="G1575" t="str">
        <f t="shared" si="467"/>
        <v>0</v>
      </c>
      <c r="H1575">
        <f>'906MP'!Y1275</f>
        <v>0</v>
      </c>
      <c r="I1575">
        <f>'906MP'!AK1275</f>
        <v>0</v>
      </c>
      <c r="J1575">
        <f>'906MP'!T1275</f>
        <v>0</v>
      </c>
      <c r="K1575">
        <f>'906MP'!AJ1275</f>
        <v>0</v>
      </c>
      <c r="L1575">
        <f>'906MP'!U1275</f>
        <v>0</v>
      </c>
      <c r="M1575" s="322" t="str">
        <f>IFERROR(VLOOKUP(A1575,PAR!$D$3:$E$53,2,FALSE),"nincs szervezet")</f>
        <v>nincs szervezet</v>
      </c>
      <c r="N1575" s="322" t="str">
        <f>VLOOKUP(F1575,PAR!$R$3:$S$5,2,FALSE)</f>
        <v>3 - egyik sem</v>
      </c>
      <c r="O1575" t="str">
        <f>IFERROR(VLOOKUP(J1575,PAR!$O$3:$P$5,2,FALSE),"nincs feladat")</f>
        <v>nincs feladat</v>
      </c>
      <c r="P1575" t="str">
        <f>IFERROR(VLOOKUP(G1575,PAR!$J$2:$M$19,4),"nincs rovat")</f>
        <v>nincs rovat</v>
      </c>
      <c r="Q1575" t="str">
        <f>IF(H1575&gt;0,VLOOKUP(H1575,PAR!$AA$3:$AC$187,3,FALSE),"nincs főkönyvi számla")</f>
        <v>nincs főkönyvi számla</v>
      </c>
      <c r="R1575" t="str">
        <f>IFERROR(VLOOKUP(K1575,PAR!$V$3:$X$438,3,FALSE),"000000 - Nincs COFOG")</f>
        <v>000000 - Nincs COFOG</v>
      </c>
      <c r="S1575">
        <f t="shared" si="468"/>
        <v>0</v>
      </c>
      <c r="T1575">
        <f t="shared" si="469"/>
        <v>0</v>
      </c>
      <c r="U1575" t="str">
        <f>IF('906MP'!J1275&gt;0,CONCATENATE('906MP'!J1275," - ",'906MP'!P1275,", ",'906MP'!E1275),"nincs megjegyzés")</f>
        <v>nincs megjegyzés</v>
      </c>
      <c r="V1575" t="str">
        <f t="shared" si="456"/>
        <v>0P0</v>
      </c>
      <c r="W1575" t="str">
        <f t="shared" si="457"/>
        <v>0P0</v>
      </c>
      <c r="X1575" t="str">
        <f t="shared" si="458"/>
        <v>P0</v>
      </c>
      <c r="Y1575" t="str">
        <f t="shared" si="459"/>
        <v>00</v>
      </c>
      <c r="Z1575" t="str">
        <f t="shared" si="470"/>
        <v>00</v>
      </c>
      <c r="AA1575" t="str">
        <f t="shared" si="460"/>
        <v>00</v>
      </c>
      <c r="AB1575" t="str">
        <f t="shared" si="461"/>
        <v>00</v>
      </c>
      <c r="AC1575" t="str">
        <f t="shared" si="462"/>
        <v>0P0</v>
      </c>
      <c r="AD1575" t="str">
        <f t="shared" si="463"/>
        <v>P00</v>
      </c>
      <c r="AE1575" t="str">
        <f t="shared" si="464"/>
        <v>0P0</v>
      </c>
      <c r="AF1575" t="str">
        <f t="shared" si="465"/>
        <v>P00</v>
      </c>
      <c r="AG1575" t="str">
        <f t="shared" si="471"/>
        <v>0P00</v>
      </c>
      <c r="AH1575" t="str">
        <f t="shared" si="472"/>
        <v>P000</v>
      </c>
      <c r="AI1575" t="str">
        <f t="shared" si="473"/>
        <v>0P00</v>
      </c>
      <c r="AJ1575" t="str">
        <f t="shared" si="474"/>
        <v>P000</v>
      </c>
    </row>
    <row r="1576" spans="1:36" x14ac:dyDescent="0.25">
      <c r="A1576" s="325" t="str">
        <f>CONCATENATE("P",'906MP'!M1276)</f>
        <v>P</v>
      </c>
      <c r="B1576">
        <f>'906MP'!H1276</f>
        <v>0</v>
      </c>
      <c r="C1576">
        <f>'906MP'!J1276</f>
        <v>0</v>
      </c>
      <c r="D1576">
        <f>'906MP'!P1276</f>
        <v>0</v>
      </c>
      <c r="E1576">
        <f>'906MP'!X1276</f>
        <v>0</v>
      </c>
      <c r="F1576" t="str">
        <f t="shared" si="466"/>
        <v>0</v>
      </c>
      <c r="G1576" t="str">
        <f t="shared" si="467"/>
        <v>0</v>
      </c>
      <c r="H1576">
        <f>'906MP'!Y1276</f>
        <v>0</v>
      </c>
      <c r="I1576">
        <f>'906MP'!AK1276</f>
        <v>0</v>
      </c>
      <c r="J1576">
        <f>'906MP'!T1276</f>
        <v>0</v>
      </c>
      <c r="K1576">
        <f>'906MP'!AJ1276</f>
        <v>0</v>
      </c>
      <c r="L1576">
        <f>'906MP'!U1276</f>
        <v>0</v>
      </c>
      <c r="M1576" s="322" t="str">
        <f>IFERROR(VLOOKUP(A1576,PAR!$D$3:$E$53,2,FALSE),"nincs szervezet")</f>
        <v>nincs szervezet</v>
      </c>
      <c r="N1576" s="322" t="str">
        <f>VLOOKUP(F1576,PAR!$R$3:$S$5,2,FALSE)</f>
        <v>3 - egyik sem</v>
      </c>
      <c r="O1576" t="str">
        <f>IFERROR(VLOOKUP(J1576,PAR!$O$3:$P$5,2,FALSE),"nincs feladat")</f>
        <v>nincs feladat</v>
      </c>
      <c r="P1576" t="str">
        <f>IFERROR(VLOOKUP(G1576,PAR!$J$2:$M$19,4),"nincs rovat")</f>
        <v>nincs rovat</v>
      </c>
      <c r="Q1576" t="str">
        <f>IF(H1576&gt;0,VLOOKUP(H1576,PAR!$AA$3:$AC$187,3,FALSE),"nincs főkönyvi számla")</f>
        <v>nincs főkönyvi számla</v>
      </c>
      <c r="R1576" t="str">
        <f>IFERROR(VLOOKUP(K1576,PAR!$V$3:$X$438,3,FALSE),"000000 - Nincs COFOG")</f>
        <v>000000 - Nincs COFOG</v>
      </c>
      <c r="S1576">
        <f t="shared" si="468"/>
        <v>0</v>
      </c>
      <c r="T1576">
        <f t="shared" si="469"/>
        <v>0</v>
      </c>
      <c r="U1576" t="str">
        <f>IF('906MP'!J1276&gt;0,CONCATENATE('906MP'!J1276," - ",'906MP'!P1276,", ",'906MP'!E1276),"nincs megjegyzés")</f>
        <v>nincs megjegyzés</v>
      </c>
      <c r="V1576" t="str">
        <f t="shared" si="456"/>
        <v>0P0</v>
      </c>
      <c r="W1576" t="str">
        <f t="shared" si="457"/>
        <v>0P0</v>
      </c>
      <c r="X1576" t="str">
        <f t="shared" si="458"/>
        <v>P0</v>
      </c>
      <c r="Y1576" t="str">
        <f t="shared" si="459"/>
        <v>00</v>
      </c>
      <c r="Z1576" t="str">
        <f t="shared" si="470"/>
        <v>00</v>
      </c>
      <c r="AA1576" t="str">
        <f t="shared" si="460"/>
        <v>00</v>
      </c>
      <c r="AB1576" t="str">
        <f t="shared" si="461"/>
        <v>00</v>
      </c>
      <c r="AC1576" t="str">
        <f t="shared" si="462"/>
        <v>0P0</v>
      </c>
      <c r="AD1576" t="str">
        <f t="shared" si="463"/>
        <v>P00</v>
      </c>
      <c r="AE1576" t="str">
        <f t="shared" si="464"/>
        <v>0P0</v>
      </c>
      <c r="AF1576" t="str">
        <f t="shared" si="465"/>
        <v>P00</v>
      </c>
      <c r="AG1576" t="str">
        <f t="shared" si="471"/>
        <v>0P00</v>
      </c>
      <c r="AH1576" t="str">
        <f t="shared" si="472"/>
        <v>P000</v>
      </c>
      <c r="AI1576" t="str">
        <f t="shared" si="473"/>
        <v>0P00</v>
      </c>
      <c r="AJ1576" t="str">
        <f t="shared" si="474"/>
        <v>P000</v>
      </c>
    </row>
    <row r="1577" spans="1:36" x14ac:dyDescent="0.25">
      <c r="A1577" s="325" t="str">
        <f>CONCATENATE("P",'906MP'!M1277)</f>
        <v>P</v>
      </c>
      <c r="B1577">
        <f>'906MP'!H1277</f>
        <v>0</v>
      </c>
      <c r="C1577">
        <f>'906MP'!J1277</f>
        <v>0</v>
      </c>
      <c r="D1577">
        <f>'906MP'!P1277</f>
        <v>0</v>
      </c>
      <c r="E1577">
        <f>'906MP'!X1277</f>
        <v>0</v>
      </c>
      <c r="F1577" t="str">
        <f t="shared" si="466"/>
        <v>0</v>
      </c>
      <c r="G1577" t="str">
        <f t="shared" si="467"/>
        <v>0</v>
      </c>
      <c r="H1577">
        <f>'906MP'!Y1277</f>
        <v>0</v>
      </c>
      <c r="I1577">
        <f>'906MP'!AK1277</f>
        <v>0</v>
      </c>
      <c r="J1577">
        <f>'906MP'!T1277</f>
        <v>0</v>
      </c>
      <c r="K1577">
        <f>'906MP'!AJ1277</f>
        <v>0</v>
      </c>
      <c r="L1577">
        <f>'906MP'!U1277</f>
        <v>0</v>
      </c>
      <c r="M1577" s="322" t="str">
        <f>IFERROR(VLOOKUP(A1577,PAR!$D$3:$E$53,2,FALSE),"nincs szervezet")</f>
        <v>nincs szervezet</v>
      </c>
      <c r="N1577" s="322" t="str">
        <f>VLOOKUP(F1577,PAR!$R$3:$S$5,2,FALSE)</f>
        <v>3 - egyik sem</v>
      </c>
      <c r="O1577" t="str">
        <f>IFERROR(VLOOKUP(J1577,PAR!$O$3:$P$5,2,FALSE),"nincs feladat")</f>
        <v>nincs feladat</v>
      </c>
      <c r="P1577" t="str">
        <f>IFERROR(VLOOKUP(G1577,PAR!$J$2:$M$19,4),"nincs rovat")</f>
        <v>nincs rovat</v>
      </c>
      <c r="Q1577" t="str">
        <f>IF(H1577&gt;0,VLOOKUP(H1577,PAR!$AA$3:$AC$187,3,FALSE),"nincs főkönyvi számla")</f>
        <v>nincs főkönyvi számla</v>
      </c>
      <c r="R1577" t="str">
        <f>IFERROR(VLOOKUP(K1577,PAR!$V$3:$X$438,3,FALSE),"000000 - Nincs COFOG")</f>
        <v>000000 - Nincs COFOG</v>
      </c>
      <c r="S1577">
        <f t="shared" si="468"/>
        <v>0</v>
      </c>
      <c r="T1577">
        <f t="shared" si="469"/>
        <v>0</v>
      </c>
      <c r="U1577" t="str">
        <f>IF('906MP'!J1277&gt;0,CONCATENATE('906MP'!J1277," - ",'906MP'!P1277,", ",'906MP'!E1277),"nincs megjegyzés")</f>
        <v>nincs megjegyzés</v>
      </c>
      <c r="V1577" t="str">
        <f t="shared" si="456"/>
        <v>0P0</v>
      </c>
      <c r="W1577" t="str">
        <f t="shared" si="457"/>
        <v>0P0</v>
      </c>
      <c r="X1577" t="str">
        <f t="shared" si="458"/>
        <v>P0</v>
      </c>
      <c r="Y1577" t="str">
        <f t="shared" si="459"/>
        <v>00</v>
      </c>
      <c r="Z1577" t="str">
        <f t="shared" si="470"/>
        <v>00</v>
      </c>
      <c r="AA1577" t="str">
        <f t="shared" si="460"/>
        <v>00</v>
      </c>
      <c r="AB1577" t="str">
        <f t="shared" si="461"/>
        <v>00</v>
      </c>
      <c r="AC1577" t="str">
        <f t="shared" si="462"/>
        <v>0P0</v>
      </c>
      <c r="AD1577" t="str">
        <f t="shared" si="463"/>
        <v>P00</v>
      </c>
      <c r="AE1577" t="str">
        <f t="shared" si="464"/>
        <v>0P0</v>
      </c>
      <c r="AF1577" t="str">
        <f t="shared" si="465"/>
        <v>P00</v>
      </c>
      <c r="AG1577" t="str">
        <f t="shared" si="471"/>
        <v>0P00</v>
      </c>
      <c r="AH1577" t="str">
        <f t="shared" si="472"/>
        <v>P000</v>
      </c>
      <c r="AI1577" t="str">
        <f t="shared" si="473"/>
        <v>0P00</v>
      </c>
      <c r="AJ1577" t="str">
        <f t="shared" si="474"/>
        <v>P000</v>
      </c>
    </row>
    <row r="1578" spans="1:36" x14ac:dyDescent="0.25">
      <c r="A1578" s="325" t="str">
        <f>CONCATENATE("P",'906MP'!M1278)</f>
        <v>P</v>
      </c>
      <c r="B1578">
        <f>'906MP'!H1278</f>
        <v>0</v>
      </c>
      <c r="C1578">
        <f>'906MP'!J1278</f>
        <v>0</v>
      </c>
      <c r="D1578">
        <f>'906MP'!P1278</f>
        <v>0</v>
      </c>
      <c r="E1578">
        <f>'906MP'!X1278</f>
        <v>0</v>
      </c>
      <c r="F1578" t="str">
        <f t="shared" si="466"/>
        <v>0</v>
      </c>
      <c r="G1578" t="str">
        <f t="shared" si="467"/>
        <v>0</v>
      </c>
      <c r="H1578">
        <f>'906MP'!Y1278</f>
        <v>0</v>
      </c>
      <c r="I1578">
        <f>'906MP'!AK1278</f>
        <v>0</v>
      </c>
      <c r="J1578">
        <f>'906MP'!T1278</f>
        <v>0</v>
      </c>
      <c r="K1578">
        <f>'906MP'!AJ1278</f>
        <v>0</v>
      </c>
      <c r="L1578">
        <f>'906MP'!U1278</f>
        <v>0</v>
      </c>
      <c r="M1578" s="322" t="str">
        <f>IFERROR(VLOOKUP(A1578,PAR!$D$3:$E$53,2,FALSE),"nincs szervezet")</f>
        <v>nincs szervezet</v>
      </c>
      <c r="N1578" s="322" t="str">
        <f>VLOOKUP(F1578,PAR!$R$3:$S$5,2,FALSE)</f>
        <v>3 - egyik sem</v>
      </c>
      <c r="O1578" t="str">
        <f>IFERROR(VLOOKUP(J1578,PAR!$O$3:$P$5,2,FALSE),"nincs feladat")</f>
        <v>nincs feladat</v>
      </c>
      <c r="P1578" t="str">
        <f>IFERROR(VLOOKUP(G1578,PAR!$J$2:$M$19,4),"nincs rovat")</f>
        <v>nincs rovat</v>
      </c>
      <c r="Q1578" t="str">
        <f>IF(H1578&gt;0,VLOOKUP(H1578,PAR!$AA$3:$AC$187,3,FALSE),"nincs főkönyvi számla")</f>
        <v>nincs főkönyvi számla</v>
      </c>
      <c r="R1578" t="str">
        <f>IFERROR(VLOOKUP(K1578,PAR!$V$3:$X$438,3,FALSE),"000000 - Nincs COFOG")</f>
        <v>000000 - Nincs COFOG</v>
      </c>
      <c r="S1578">
        <f t="shared" si="468"/>
        <v>0</v>
      </c>
      <c r="T1578">
        <f t="shared" si="469"/>
        <v>0</v>
      </c>
      <c r="U1578" t="str">
        <f>IF('906MP'!J1278&gt;0,CONCATENATE('906MP'!J1278," - ",'906MP'!P1278,", ",'906MP'!E1278),"nincs megjegyzés")</f>
        <v>nincs megjegyzés</v>
      </c>
      <c r="V1578" t="str">
        <f t="shared" si="456"/>
        <v>0P0</v>
      </c>
      <c r="W1578" t="str">
        <f t="shared" si="457"/>
        <v>0P0</v>
      </c>
      <c r="X1578" t="str">
        <f t="shared" si="458"/>
        <v>P0</v>
      </c>
      <c r="Y1578" t="str">
        <f t="shared" si="459"/>
        <v>00</v>
      </c>
      <c r="Z1578" t="str">
        <f t="shared" si="470"/>
        <v>00</v>
      </c>
      <c r="AA1578" t="str">
        <f t="shared" si="460"/>
        <v>00</v>
      </c>
      <c r="AB1578" t="str">
        <f t="shared" si="461"/>
        <v>00</v>
      </c>
      <c r="AC1578" t="str">
        <f t="shared" si="462"/>
        <v>0P0</v>
      </c>
      <c r="AD1578" t="str">
        <f t="shared" si="463"/>
        <v>P00</v>
      </c>
      <c r="AE1578" t="str">
        <f t="shared" si="464"/>
        <v>0P0</v>
      </c>
      <c r="AF1578" t="str">
        <f t="shared" si="465"/>
        <v>P00</v>
      </c>
      <c r="AG1578" t="str">
        <f t="shared" si="471"/>
        <v>0P00</v>
      </c>
      <c r="AH1578" t="str">
        <f t="shared" si="472"/>
        <v>P000</v>
      </c>
      <c r="AI1578" t="str">
        <f t="shared" si="473"/>
        <v>0P00</v>
      </c>
      <c r="AJ1578" t="str">
        <f t="shared" si="474"/>
        <v>P000</v>
      </c>
    </row>
    <row r="1579" spans="1:36" x14ac:dyDescent="0.25">
      <c r="A1579" s="325" t="str">
        <f>CONCATENATE("P",'906MP'!M1279)</f>
        <v>P</v>
      </c>
      <c r="B1579">
        <f>'906MP'!H1279</f>
        <v>0</v>
      </c>
      <c r="C1579">
        <f>'906MP'!J1279</f>
        <v>0</v>
      </c>
      <c r="D1579">
        <f>'906MP'!P1279</f>
        <v>0</v>
      </c>
      <c r="E1579">
        <f>'906MP'!X1279</f>
        <v>0</v>
      </c>
      <c r="F1579" t="str">
        <f t="shared" si="466"/>
        <v>0</v>
      </c>
      <c r="G1579" t="str">
        <f t="shared" si="467"/>
        <v>0</v>
      </c>
      <c r="H1579">
        <f>'906MP'!Y1279</f>
        <v>0</v>
      </c>
      <c r="I1579">
        <f>'906MP'!AK1279</f>
        <v>0</v>
      </c>
      <c r="J1579">
        <f>'906MP'!T1279</f>
        <v>0</v>
      </c>
      <c r="K1579">
        <f>'906MP'!AJ1279</f>
        <v>0</v>
      </c>
      <c r="L1579">
        <f>'906MP'!U1279</f>
        <v>0</v>
      </c>
      <c r="M1579" s="322" t="str">
        <f>IFERROR(VLOOKUP(A1579,PAR!$D$3:$E$53,2,FALSE),"nincs szervezet")</f>
        <v>nincs szervezet</v>
      </c>
      <c r="N1579" s="322" t="str">
        <f>VLOOKUP(F1579,PAR!$R$3:$S$5,2,FALSE)</f>
        <v>3 - egyik sem</v>
      </c>
      <c r="O1579" t="str">
        <f>IFERROR(VLOOKUP(J1579,PAR!$O$3:$P$5,2,FALSE),"nincs feladat")</f>
        <v>nincs feladat</v>
      </c>
      <c r="P1579" t="str">
        <f>IFERROR(VLOOKUP(G1579,PAR!$J$2:$M$19,4),"nincs rovat")</f>
        <v>nincs rovat</v>
      </c>
      <c r="Q1579" t="str">
        <f>IF(H1579&gt;0,VLOOKUP(H1579,PAR!$AA$3:$AC$187,3,FALSE),"nincs főkönyvi számla")</f>
        <v>nincs főkönyvi számla</v>
      </c>
      <c r="R1579" t="str">
        <f>IFERROR(VLOOKUP(K1579,PAR!$V$3:$X$438,3,FALSE),"000000 - Nincs COFOG")</f>
        <v>000000 - Nincs COFOG</v>
      </c>
      <c r="S1579">
        <f t="shared" si="468"/>
        <v>0</v>
      </c>
      <c r="T1579">
        <f t="shared" si="469"/>
        <v>0</v>
      </c>
      <c r="U1579" t="str">
        <f>IF('906MP'!J1279&gt;0,CONCATENATE('906MP'!J1279," - ",'906MP'!P1279,", ",'906MP'!E1279),"nincs megjegyzés")</f>
        <v>nincs megjegyzés</v>
      </c>
      <c r="V1579" t="str">
        <f t="shared" si="456"/>
        <v>0P0</v>
      </c>
      <c r="W1579" t="str">
        <f t="shared" si="457"/>
        <v>0P0</v>
      </c>
      <c r="X1579" t="str">
        <f t="shared" si="458"/>
        <v>P0</v>
      </c>
      <c r="Y1579" t="str">
        <f t="shared" si="459"/>
        <v>00</v>
      </c>
      <c r="Z1579" t="str">
        <f t="shared" si="470"/>
        <v>00</v>
      </c>
      <c r="AA1579" t="str">
        <f t="shared" si="460"/>
        <v>00</v>
      </c>
      <c r="AB1579" t="str">
        <f t="shared" si="461"/>
        <v>00</v>
      </c>
      <c r="AC1579" t="str">
        <f t="shared" si="462"/>
        <v>0P0</v>
      </c>
      <c r="AD1579" t="str">
        <f t="shared" si="463"/>
        <v>P00</v>
      </c>
      <c r="AE1579" t="str">
        <f t="shared" si="464"/>
        <v>0P0</v>
      </c>
      <c r="AF1579" t="str">
        <f t="shared" si="465"/>
        <v>P00</v>
      </c>
      <c r="AG1579" t="str">
        <f t="shared" si="471"/>
        <v>0P00</v>
      </c>
      <c r="AH1579" t="str">
        <f t="shared" si="472"/>
        <v>P000</v>
      </c>
      <c r="AI1579" t="str">
        <f t="shared" si="473"/>
        <v>0P00</v>
      </c>
      <c r="AJ1579" t="str">
        <f t="shared" si="474"/>
        <v>P000</v>
      </c>
    </row>
    <row r="1580" spans="1:36" x14ac:dyDescent="0.25">
      <c r="A1580" s="325" t="str">
        <f>CONCATENATE("P",'906MP'!M1280)</f>
        <v>P</v>
      </c>
      <c r="B1580">
        <f>'906MP'!H1280</f>
        <v>0</v>
      </c>
      <c r="C1580">
        <f>'906MP'!J1280</f>
        <v>0</v>
      </c>
      <c r="D1580">
        <f>'906MP'!P1280</f>
        <v>0</v>
      </c>
      <c r="E1580">
        <f>'906MP'!X1280</f>
        <v>0</v>
      </c>
      <c r="F1580" t="str">
        <f t="shared" si="466"/>
        <v>0</v>
      </c>
      <c r="G1580" t="str">
        <f t="shared" si="467"/>
        <v>0</v>
      </c>
      <c r="H1580">
        <f>'906MP'!Y1280</f>
        <v>0</v>
      </c>
      <c r="I1580">
        <f>'906MP'!AK1280</f>
        <v>0</v>
      </c>
      <c r="J1580">
        <f>'906MP'!T1280</f>
        <v>0</v>
      </c>
      <c r="K1580">
        <f>'906MP'!AJ1280</f>
        <v>0</v>
      </c>
      <c r="L1580">
        <f>'906MP'!U1280</f>
        <v>0</v>
      </c>
      <c r="M1580" s="322" t="str">
        <f>IFERROR(VLOOKUP(A1580,PAR!$D$3:$E$53,2,FALSE),"nincs szervezet")</f>
        <v>nincs szervezet</v>
      </c>
      <c r="N1580" s="322" t="str">
        <f>VLOOKUP(F1580,PAR!$R$3:$S$5,2,FALSE)</f>
        <v>3 - egyik sem</v>
      </c>
      <c r="O1580" t="str">
        <f>IFERROR(VLOOKUP(J1580,PAR!$O$3:$P$5,2,FALSE),"nincs feladat")</f>
        <v>nincs feladat</v>
      </c>
      <c r="P1580" t="str">
        <f>IFERROR(VLOOKUP(G1580,PAR!$J$2:$M$19,4),"nincs rovat")</f>
        <v>nincs rovat</v>
      </c>
      <c r="Q1580" t="str">
        <f>IF(H1580&gt;0,VLOOKUP(H1580,PAR!$AA$3:$AC$187,3,FALSE),"nincs főkönyvi számla")</f>
        <v>nincs főkönyvi számla</v>
      </c>
      <c r="R1580" t="str">
        <f>IFERROR(VLOOKUP(K1580,PAR!$V$3:$X$438,3,FALSE),"000000 - Nincs COFOG")</f>
        <v>000000 - Nincs COFOG</v>
      </c>
      <c r="S1580">
        <f t="shared" si="468"/>
        <v>0</v>
      </c>
      <c r="T1580">
        <f t="shared" si="469"/>
        <v>0</v>
      </c>
      <c r="U1580" t="str">
        <f>IF('906MP'!J1280&gt;0,CONCATENATE('906MP'!J1280," - ",'906MP'!P1280,", ",'906MP'!E1280),"nincs megjegyzés")</f>
        <v>nincs megjegyzés</v>
      </c>
      <c r="V1580" t="str">
        <f t="shared" si="456"/>
        <v>0P0</v>
      </c>
      <c r="W1580" t="str">
        <f t="shared" si="457"/>
        <v>0P0</v>
      </c>
      <c r="X1580" t="str">
        <f t="shared" si="458"/>
        <v>P0</v>
      </c>
      <c r="Y1580" t="str">
        <f t="shared" si="459"/>
        <v>00</v>
      </c>
      <c r="Z1580" t="str">
        <f t="shared" si="470"/>
        <v>00</v>
      </c>
      <c r="AA1580" t="str">
        <f t="shared" si="460"/>
        <v>00</v>
      </c>
      <c r="AB1580" t="str">
        <f t="shared" si="461"/>
        <v>00</v>
      </c>
      <c r="AC1580" t="str">
        <f t="shared" si="462"/>
        <v>0P0</v>
      </c>
      <c r="AD1580" t="str">
        <f t="shared" si="463"/>
        <v>P00</v>
      </c>
      <c r="AE1580" t="str">
        <f t="shared" si="464"/>
        <v>0P0</v>
      </c>
      <c r="AF1580" t="str">
        <f t="shared" si="465"/>
        <v>P00</v>
      </c>
      <c r="AG1580" t="str">
        <f t="shared" si="471"/>
        <v>0P00</v>
      </c>
      <c r="AH1580" t="str">
        <f t="shared" si="472"/>
        <v>P000</v>
      </c>
      <c r="AI1580" t="str">
        <f t="shared" si="473"/>
        <v>0P00</v>
      </c>
      <c r="AJ1580" t="str">
        <f t="shared" si="474"/>
        <v>P000</v>
      </c>
    </row>
    <row r="1581" spans="1:36" x14ac:dyDescent="0.25">
      <c r="A1581" s="325" t="str">
        <f>CONCATENATE("P",'906MP'!M1281)</f>
        <v>P</v>
      </c>
      <c r="B1581">
        <f>'906MP'!H1281</f>
        <v>0</v>
      </c>
      <c r="C1581">
        <f>'906MP'!J1281</f>
        <v>0</v>
      </c>
      <c r="D1581">
        <f>'906MP'!P1281</f>
        <v>0</v>
      </c>
      <c r="E1581">
        <f>'906MP'!X1281</f>
        <v>0</v>
      </c>
      <c r="F1581" t="str">
        <f t="shared" si="466"/>
        <v>0</v>
      </c>
      <c r="G1581" t="str">
        <f t="shared" si="467"/>
        <v>0</v>
      </c>
      <c r="H1581">
        <f>'906MP'!Y1281</f>
        <v>0</v>
      </c>
      <c r="I1581">
        <f>'906MP'!AK1281</f>
        <v>0</v>
      </c>
      <c r="J1581">
        <f>'906MP'!T1281</f>
        <v>0</v>
      </c>
      <c r="K1581">
        <f>'906MP'!AJ1281</f>
        <v>0</v>
      </c>
      <c r="L1581">
        <f>'906MP'!U1281</f>
        <v>0</v>
      </c>
      <c r="M1581" s="322" t="str">
        <f>IFERROR(VLOOKUP(A1581,PAR!$D$3:$E$53,2,FALSE),"nincs szervezet")</f>
        <v>nincs szervezet</v>
      </c>
      <c r="N1581" s="322" t="str">
        <f>VLOOKUP(F1581,PAR!$R$3:$S$5,2,FALSE)</f>
        <v>3 - egyik sem</v>
      </c>
      <c r="O1581" t="str">
        <f>IFERROR(VLOOKUP(J1581,PAR!$O$3:$P$5,2,FALSE),"nincs feladat")</f>
        <v>nincs feladat</v>
      </c>
      <c r="P1581" t="str">
        <f>IFERROR(VLOOKUP(G1581,PAR!$J$2:$M$19,4),"nincs rovat")</f>
        <v>nincs rovat</v>
      </c>
      <c r="Q1581" t="str">
        <f>IF(H1581&gt;0,VLOOKUP(H1581,PAR!$AA$3:$AC$187,3,FALSE),"nincs főkönyvi számla")</f>
        <v>nincs főkönyvi számla</v>
      </c>
      <c r="R1581" t="str">
        <f>IFERROR(VLOOKUP(K1581,PAR!$V$3:$X$438,3,FALSE),"000000 - Nincs COFOG")</f>
        <v>000000 - Nincs COFOG</v>
      </c>
      <c r="S1581">
        <f t="shared" si="468"/>
        <v>0</v>
      </c>
      <c r="T1581">
        <f t="shared" si="469"/>
        <v>0</v>
      </c>
      <c r="U1581" t="str">
        <f>IF('906MP'!J1281&gt;0,CONCATENATE('906MP'!J1281," - ",'906MP'!P1281,", ",'906MP'!E1281),"nincs megjegyzés")</f>
        <v>nincs megjegyzés</v>
      </c>
      <c r="V1581" t="str">
        <f t="shared" si="456"/>
        <v>0P0</v>
      </c>
      <c r="W1581" t="str">
        <f t="shared" si="457"/>
        <v>0P0</v>
      </c>
      <c r="X1581" t="str">
        <f t="shared" si="458"/>
        <v>P0</v>
      </c>
      <c r="Y1581" t="str">
        <f t="shared" si="459"/>
        <v>00</v>
      </c>
      <c r="Z1581" t="str">
        <f t="shared" si="470"/>
        <v>00</v>
      </c>
      <c r="AA1581" t="str">
        <f t="shared" si="460"/>
        <v>00</v>
      </c>
      <c r="AB1581" t="str">
        <f t="shared" si="461"/>
        <v>00</v>
      </c>
      <c r="AC1581" t="str">
        <f t="shared" si="462"/>
        <v>0P0</v>
      </c>
      <c r="AD1581" t="str">
        <f t="shared" si="463"/>
        <v>P00</v>
      </c>
      <c r="AE1581" t="str">
        <f t="shared" si="464"/>
        <v>0P0</v>
      </c>
      <c r="AF1581" t="str">
        <f t="shared" si="465"/>
        <v>P00</v>
      </c>
      <c r="AG1581" t="str">
        <f t="shared" si="471"/>
        <v>0P00</v>
      </c>
      <c r="AH1581" t="str">
        <f t="shared" si="472"/>
        <v>P000</v>
      </c>
      <c r="AI1581" t="str">
        <f t="shared" si="473"/>
        <v>0P00</v>
      </c>
      <c r="AJ1581" t="str">
        <f t="shared" si="474"/>
        <v>P000</v>
      </c>
    </row>
    <row r="1582" spans="1:36" x14ac:dyDescent="0.25">
      <c r="A1582" s="325" t="str">
        <f>CONCATENATE("P",'906MP'!M1282)</f>
        <v>P</v>
      </c>
      <c r="B1582">
        <f>'906MP'!H1282</f>
        <v>0</v>
      </c>
      <c r="C1582">
        <f>'906MP'!J1282</f>
        <v>0</v>
      </c>
      <c r="D1582">
        <f>'906MP'!P1282</f>
        <v>0</v>
      </c>
      <c r="E1582">
        <f>'906MP'!X1282</f>
        <v>0</v>
      </c>
      <c r="F1582" t="str">
        <f t="shared" si="466"/>
        <v>0</v>
      </c>
      <c r="G1582" t="str">
        <f t="shared" si="467"/>
        <v>0</v>
      </c>
      <c r="H1582">
        <f>'906MP'!Y1282</f>
        <v>0</v>
      </c>
      <c r="I1582">
        <f>'906MP'!AK1282</f>
        <v>0</v>
      </c>
      <c r="J1582">
        <f>'906MP'!T1282</f>
        <v>0</v>
      </c>
      <c r="K1582">
        <f>'906MP'!AJ1282</f>
        <v>0</v>
      </c>
      <c r="L1582">
        <f>'906MP'!U1282</f>
        <v>0</v>
      </c>
      <c r="M1582" s="322" t="str">
        <f>IFERROR(VLOOKUP(A1582,PAR!$D$3:$E$53,2,FALSE),"nincs szervezet")</f>
        <v>nincs szervezet</v>
      </c>
      <c r="N1582" s="322" t="str">
        <f>VLOOKUP(F1582,PAR!$R$3:$S$5,2,FALSE)</f>
        <v>3 - egyik sem</v>
      </c>
      <c r="O1582" t="str">
        <f>IFERROR(VLOOKUP(J1582,PAR!$O$3:$P$5,2,FALSE),"nincs feladat")</f>
        <v>nincs feladat</v>
      </c>
      <c r="P1582" t="str">
        <f>IFERROR(VLOOKUP(G1582,PAR!$J$2:$M$19,4),"nincs rovat")</f>
        <v>nincs rovat</v>
      </c>
      <c r="Q1582" t="str">
        <f>IF(H1582&gt;0,VLOOKUP(H1582,PAR!$AA$3:$AC$187,3,FALSE),"nincs főkönyvi számla")</f>
        <v>nincs főkönyvi számla</v>
      </c>
      <c r="R1582" t="str">
        <f>IFERROR(VLOOKUP(K1582,PAR!$V$3:$X$438,3,FALSE),"000000 - Nincs COFOG")</f>
        <v>000000 - Nincs COFOG</v>
      </c>
      <c r="S1582">
        <f t="shared" si="468"/>
        <v>0</v>
      </c>
      <c r="T1582">
        <f t="shared" si="469"/>
        <v>0</v>
      </c>
      <c r="U1582" t="str">
        <f>IF('906MP'!J1282&gt;0,CONCATENATE('906MP'!J1282," - ",'906MP'!P1282,", ",'906MP'!E1282),"nincs megjegyzés")</f>
        <v>nincs megjegyzés</v>
      </c>
      <c r="V1582" t="str">
        <f t="shared" si="456"/>
        <v>0P0</v>
      </c>
      <c r="W1582" t="str">
        <f t="shared" si="457"/>
        <v>0P0</v>
      </c>
      <c r="X1582" t="str">
        <f t="shared" si="458"/>
        <v>P0</v>
      </c>
      <c r="Y1582" t="str">
        <f t="shared" si="459"/>
        <v>00</v>
      </c>
      <c r="Z1582" t="str">
        <f t="shared" si="470"/>
        <v>00</v>
      </c>
      <c r="AA1582" t="str">
        <f t="shared" si="460"/>
        <v>00</v>
      </c>
      <c r="AB1582" t="str">
        <f t="shared" si="461"/>
        <v>00</v>
      </c>
      <c r="AC1582" t="str">
        <f t="shared" si="462"/>
        <v>0P0</v>
      </c>
      <c r="AD1582" t="str">
        <f t="shared" si="463"/>
        <v>P00</v>
      </c>
      <c r="AE1582" t="str">
        <f t="shared" si="464"/>
        <v>0P0</v>
      </c>
      <c r="AF1582" t="str">
        <f t="shared" si="465"/>
        <v>P00</v>
      </c>
      <c r="AG1582" t="str">
        <f t="shared" si="471"/>
        <v>0P00</v>
      </c>
      <c r="AH1582" t="str">
        <f t="shared" si="472"/>
        <v>P000</v>
      </c>
      <c r="AI1582" t="str">
        <f t="shared" si="473"/>
        <v>0P00</v>
      </c>
      <c r="AJ1582" t="str">
        <f t="shared" si="474"/>
        <v>P000</v>
      </c>
    </row>
    <row r="1583" spans="1:36" x14ac:dyDescent="0.25">
      <c r="A1583" s="325" t="str">
        <f>CONCATENATE("P",'906MP'!M1283)</f>
        <v>P</v>
      </c>
      <c r="B1583">
        <f>'906MP'!H1283</f>
        <v>0</v>
      </c>
      <c r="C1583">
        <f>'906MP'!J1283</f>
        <v>0</v>
      </c>
      <c r="D1583">
        <f>'906MP'!P1283</f>
        <v>0</v>
      </c>
      <c r="E1583">
        <f>'906MP'!X1283</f>
        <v>0</v>
      </c>
      <c r="F1583" t="str">
        <f t="shared" si="466"/>
        <v>0</v>
      </c>
      <c r="G1583" t="str">
        <f t="shared" si="467"/>
        <v>0</v>
      </c>
      <c r="H1583">
        <f>'906MP'!Y1283</f>
        <v>0</v>
      </c>
      <c r="I1583">
        <f>'906MP'!AK1283</f>
        <v>0</v>
      </c>
      <c r="J1583">
        <f>'906MP'!T1283</f>
        <v>0</v>
      </c>
      <c r="K1583">
        <f>'906MP'!AJ1283</f>
        <v>0</v>
      </c>
      <c r="L1583">
        <f>'906MP'!U1283</f>
        <v>0</v>
      </c>
      <c r="M1583" s="322" t="str">
        <f>IFERROR(VLOOKUP(A1583,PAR!$D$3:$E$53,2,FALSE),"nincs szervezet")</f>
        <v>nincs szervezet</v>
      </c>
      <c r="N1583" s="322" t="str">
        <f>VLOOKUP(F1583,PAR!$R$3:$S$5,2,FALSE)</f>
        <v>3 - egyik sem</v>
      </c>
      <c r="O1583" t="str">
        <f>IFERROR(VLOOKUP(J1583,PAR!$O$3:$P$5,2,FALSE),"nincs feladat")</f>
        <v>nincs feladat</v>
      </c>
      <c r="P1583" t="str">
        <f>IFERROR(VLOOKUP(G1583,PAR!$J$2:$M$19,4),"nincs rovat")</f>
        <v>nincs rovat</v>
      </c>
      <c r="Q1583" t="str">
        <f>IF(H1583&gt;0,VLOOKUP(H1583,PAR!$AA$3:$AC$187,3,FALSE),"nincs főkönyvi számla")</f>
        <v>nincs főkönyvi számla</v>
      </c>
      <c r="R1583" t="str">
        <f>IFERROR(VLOOKUP(K1583,PAR!$V$3:$X$438,3,FALSE),"000000 - Nincs COFOG")</f>
        <v>000000 - Nincs COFOG</v>
      </c>
      <c r="S1583">
        <f t="shared" si="468"/>
        <v>0</v>
      </c>
      <c r="T1583">
        <f t="shared" si="469"/>
        <v>0</v>
      </c>
      <c r="U1583" t="str">
        <f>IF('906MP'!J1283&gt;0,CONCATENATE('906MP'!J1283," - ",'906MP'!P1283,", ",'906MP'!E1283),"nincs megjegyzés")</f>
        <v>nincs megjegyzés</v>
      </c>
      <c r="V1583" t="str">
        <f t="shared" si="456"/>
        <v>0P0</v>
      </c>
      <c r="W1583" t="str">
        <f t="shared" si="457"/>
        <v>0P0</v>
      </c>
      <c r="X1583" t="str">
        <f t="shared" si="458"/>
        <v>P0</v>
      </c>
      <c r="Y1583" t="str">
        <f t="shared" si="459"/>
        <v>00</v>
      </c>
      <c r="Z1583" t="str">
        <f t="shared" si="470"/>
        <v>00</v>
      </c>
      <c r="AA1583" t="str">
        <f t="shared" si="460"/>
        <v>00</v>
      </c>
      <c r="AB1583" t="str">
        <f t="shared" si="461"/>
        <v>00</v>
      </c>
      <c r="AC1583" t="str">
        <f t="shared" si="462"/>
        <v>0P0</v>
      </c>
      <c r="AD1583" t="str">
        <f t="shared" si="463"/>
        <v>P00</v>
      </c>
      <c r="AE1583" t="str">
        <f t="shared" si="464"/>
        <v>0P0</v>
      </c>
      <c r="AF1583" t="str">
        <f t="shared" si="465"/>
        <v>P00</v>
      </c>
      <c r="AG1583" t="str">
        <f t="shared" si="471"/>
        <v>0P00</v>
      </c>
      <c r="AH1583" t="str">
        <f t="shared" si="472"/>
        <v>P000</v>
      </c>
      <c r="AI1583" t="str">
        <f t="shared" si="473"/>
        <v>0P00</v>
      </c>
      <c r="AJ1583" t="str">
        <f t="shared" si="474"/>
        <v>P000</v>
      </c>
    </row>
    <row r="1584" spans="1:36" x14ac:dyDescent="0.25">
      <c r="A1584" s="325" t="str">
        <f>CONCATENATE("P",'906MP'!M1284)</f>
        <v>P</v>
      </c>
      <c r="B1584">
        <f>'906MP'!H1284</f>
        <v>0</v>
      </c>
      <c r="C1584">
        <f>'906MP'!J1284</f>
        <v>0</v>
      </c>
      <c r="D1584">
        <f>'906MP'!P1284</f>
        <v>0</v>
      </c>
      <c r="E1584">
        <f>'906MP'!X1284</f>
        <v>0</v>
      </c>
      <c r="F1584" t="str">
        <f t="shared" si="466"/>
        <v>0</v>
      </c>
      <c r="G1584" t="str">
        <f t="shared" si="467"/>
        <v>0</v>
      </c>
      <c r="H1584">
        <f>'906MP'!Y1284</f>
        <v>0</v>
      </c>
      <c r="I1584">
        <f>'906MP'!AK1284</f>
        <v>0</v>
      </c>
      <c r="J1584">
        <f>'906MP'!T1284</f>
        <v>0</v>
      </c>
      <c r="K1584">
        <f>'906MP'!AJ1284</f>
        <v>0</v>
      </c>
      <c r="L1584">
        <f>'906MP'!U1284</f>
        <v>0</v>
      </c>
      <c r="M1584" s="322" t="str">
        <f>IFERROR(VLOOKUP(A1584,PAR!$D$3:$E$53,2,FALSE),"nincs szervezet")</f>
        <v>nincs szervezet</v>
      </c>
      <c r="N1584" s="322" t="str">
        <f>VLOOKUP(F1584,PAR!$R$3:$S$5,2,FALSE)</f>
        <v>3 - egyik sem</v>
      </c>
      <c r="O1584" t="str">
        <f>IFERROR(VLOOKUP(J1584,PAR!$O$3:$P$5,2,FALSE),"nincs feladat")</f>
        <v>nincs feladat</v>
      </c>
      <c r="P1584" t="str">
        <f>IFERROR(VLOOKUP(G1584,PAR!$J$2:$M$19,4),"nincs rovat")</f>
        <v>nincs rovat</v>
      </c>
      <c r="Q1584" t="str">
        <f>IF(H1584&gt;0,VLOOKUP(H1584,PAR!$AA$3:$AC$187,3,FALSE),"nincs főkönyvi számla")</f>
        <v>nincs főkönyvi számla</v>
      </c>
      <c r="R1584" t="str">
        <f>IFERROR(VLOOKUP(K1584,PAR!$V$3:$X$438,3,FALSE),"000000 - Nincs COFOG")</f>
        <v>000000 - Nincs COFOG</v>
      </c>
      <c r="S1584">
        <f t="shared" si="468"/>
        <v>0</v>
      </c>
      <c r="T1584">
        <f t="shared" si="469"/>
        <v>0</v>
      </c>
      <c r="U1584" t="str">
        <f>IF('906MP'!J1284&gt;0,CONCATENATE('906MP'!J1284," - ",'906MP'!P1284,", ",'906MP'!E1284),"nincs megjegyzés")</f>
        <v>nincs megjegyzés</v>
      </c>
      <c r="V1584" t="str">
        <f t="shared" si="456"/>
        <v>0P0</v>
      </c>
      <c r="W1584" t="str">
        <f t="shared" si="457"/>
        <v>0P0</v>
      </c>
      <c r="X1584" t="str">
        <f t="shared" si="458"/>
        <v>P0</v>
      </c>
      <c r="Y1584" t="str">
        <f t="shared" si="459"/>
        <v>00</v>
      </c>
      <c r="Z1584" t="str">
        <f t="shared" si="470"/>
        <v>00</v>
      </c>
      <c r="AA1584" t="str">
        <f t="shared" si="460"/>
        <v>00</v>
      </c>
      <c r="AB1584" t="str">
        <f t="shared" si="461"/>
        <v>00</v>
      </c>
      <c r="AC1584" t="str">
        <f t="shared" si="462"/>
        <v>0P0</v>
      </c>
      <c r="AD1584" t="str">
        <f t="shared" si="463"/>
        <v>P00</v>
      </c>
      <c r="AE1584" t="str">
        <f t="shared" si="464"/>
        <v>0P0</v>
      </c>
      <c r="AF1584" t="str">
        <f t="shared" si="465"/>
        <v>P00</v>
      </c>
      <c r="AG1584" t="str">
        <f t="shared" si="471"/>
        <v>0P00</v>
      </c>
      <c r="AH1584" t="str">
        <f t="shared" si="472"/>
        <v>P000</v>
      </c>
      <c r="AI1584" t="str">
        <f t="shared" si="473"/>
        <v>0P00</v>
      </c>
      <c r="AJ1584" t="str">
        <f t="shared" si="474"/>
        <v>P000</v>
      </c>
    </row>
    <row r="1585" spans="1:36" x14ac:dyDescent="0.25">
      <c r="A1585" s="325" t="str">
        <f>CONCATENATE("P",'906MP'!M1285)</f>
        <v>P</v>
      </c>
      <c r="B1585">
        <f>'906MP'!H1285</f>
        <v>0</v>
      </c>
      <c r="C1585">
        <f>'906MP'!J1285</f>
        <v>0</v>
      </c>
      <c r="D1585">
        <f>'906MP'!P1285</f>
        <v>0</v>
      </c>
      <c r="E1585">
        <f>'906MP'!X1285</f>
        <v>0</v>
      </c>
      <c r="F1585" t="str">
        <f t="shared" si="466"/>
        <v>0</v>
      </c>
      <c r="G1585" t="str">
        <f t="shared" si="467"/>
        <v>0</v>
      </c>
      <c r="H1585">
        <f>'906MP'!Y1285</f>
        <v>0</v>
      </c>
      <c r="I1585">
        <f>'906MP'!AK1285</f>
        <v>0</v>
      </c>
      <c r="J1585">
        <f>'906MP'!T1285</f>
        <v>0</v>
      </c>
      <c r="K1585">
        <f>'906MP'!AJ1285</f>
        <v>0</v>
      </c>
      <c r="L1585">
        <f>'906MP'!U1285</f>
        <v>0</v>
      </c>
      <c r="M1585" s="322" t="str">
        <f>IFERROR(VLOOKUP(A1585,PAR!$D$3:$E$53,2,FALSE),"nincs szervezet")</f>
        <v>nincs szervezet</v>
      </c>
      <c r="N1585" s="322" t="str">
        <f>VLOOKUP(F1585,PAR!$R$3:$S$5,2,FALSE)</f>
        <v>3 - egyik sem</v>
      </c>
      <c r="O1585" t="str">
        <f>IFERROR(VLOOKUP(J1585,PAR!$O$3:$P$5,2,FALSE),"nincs feladat")</f>
        <v>nincs feladat</v>
      </c>
      <c r="P1585" t="str">
        <f>IFERROR(VLOOKUP(G1585,PAR!$J$2:$M$19,4),"nincs rovat")</f>
        <v>nincs rovat</v>
      </c>
      <c r="Q1585" t="str">
        <f>IF(H1585&gt;0,VLOOKUP(H1585,PAR!$AA$3:$AC$187,3,FALSE),"nincs főkönyvi számla")</f>
        <v>nincs főkönyvi számla</v>
      </c>
      <c r="R1585" t="str">
        <f>IFERROR(VLOOKUP(K1585,PAR!$V$3:$X$438,3,FALSE),"000000 - Nincs COFOG")</f>
        <v>000000 - Nincs COFOG</v>
      </c>
      <c r="S1585">
        <f t="shared" si="468"/>
        <v>0</v>
      </c>
      <c r="T1585">
        <f t="shared" si="469"/>
        <v>0</v>
      </c>
      <c r="U1585" t="str">
        <f>IF('906MP'!J1285&gt;0,CONCATENATE('906MP'!J1285," - ",'906MP'!P1285,", ",'906MP'!E1285),"nincs megjegyzés")</f>
        <v>nincs megjegyzés</v>
      </c>
      <c r="V1585" t="str">
        <f t="shared" si="456"/>
        <v>0P0</v>
      </c>
      <c r="W1585" t="str">
        <f t="shared" si="457"/>
        <v>0P0</v>
      </c>
      <c r="X1585" t="str">
        <f t="shared" si="458"/>
        <v>P0</v>
      </c>
      <c r="Y1585" t="str">
        <f t="shared" si="459"/>
        <v>00</v>
      </c>
      <c r="Z1585" t="str">
        <f t="shared" si="470"/>
        <v>00</v>
      </c>
      <c r="AA1585" t="str">
        <f t="shared" si="460"/>
        <v>00</v>
      </c>
      <c r="AB1585" t="str">
        <f t="shared" si="461"/>
        <v>00</v>
      </c>
      <c r="AC1585" t="str">
        <f t="shared" si="462"/>
        <v>0P0</v>
      </c>
      <c r="AD1585" t="str">
        <f t="shared" si="463"/>
        <v>P00</v>
      </c>
      <c r="AE1585" t="str">
        <f t="shared" si="464"/>
        <v>0P0</v>
      </c>
      <c r="AF1585" t="str">
        <f t="shared" si="465"/>
        <v>P00</v>
      </c>
      <c r="AG1585" t="str">
        <f t="shared" si="471"/>
        <v>0P00</v>
      </c>
      <c r="AH1585" t="str">
        <f t="shared" si="472"/>
        <v>P000</v>
      </c>
      <c r="AI1585" t="str">
        <f t="shared" si="473"/>
        <v>0P00</v>
      </c>
      <c r="AJ1585" t="str">
        <f t="shared" si="474"/>
        <v>P000</v>
      </c>
    </row>
    <row r="1586" spans="1:36" x14ac:dyDescent="0.25">
      <c r="A1586" s="325" t="str">
        <f>CONCATENATE("P",'906MP'!M1286)</f>
        <v>P</v>
      </c>
      <c r="B1586">
        <f>'906MP'!H1286</f>
        <v>0</v>
      </c>
      <c r="C1586">
        <f>'906MP'!J1286</f>
        <v>0</v>
      </c>
      <c r="D1586">
        <f>'906MP'!P1286</f>
        <v>0</v>
      </c>
      <c r="E1586">
        <f>'906MP'!X1286</f>
        <v>0</v>
      </c>
      <c r="F1586" t="str">
        <f t="shared" si="466"/>
        <v>0</v>
      </c>
      <c r="G1586" t="str">
        <f t="shared" si="467"/>
        <v>0</v>
      </c>
      <c r="H1586">
        <f>'906MP'!Y1286</f>
        <v>0</v>
      </c>
      <c r="I1586">
        <f>'906MP'!AK1286</f>
        <v>0</v>
      </c>
      <c r="J1586">
        <f>'906MP'!T1286</f>
        <v>0</v>
      </c>
      <c r="K1586">
        <f>'906MP'!AJ1286</f>
        <v>0</v>
      </c>
      <c r="L1586">
        <f>'906MP'!U1286</f>
        <v>0</v>
      </c>
      <c r="M1586" s="322" t="str">
        <f>IFERROR(VLOOKUP(A1586,PAR!$D$3:$E$53,2,FALSE),"nincs szervezet")</f>
        <v>nincs szervezet</v>
      </c>
      <c r="N1586" s="322" t="str">
        <f>VLOOKUP(F1586,PAR!$R$3:$S$5,2,FALSE)</f>
        <v>3 - egyik sem</v>
      </c>
      <c r="O1586" t="str">
        <f>IFERROR(VLOOKUP(J1586,PAR!$O$3:$P$5,2,FALSE),"nincs feladat")</f>
        <v>nincs feladat</v>
      </c>
      <c r="P1586" t="str">
        <f>IFERROR(VLOOKUP(G1586,PAR!$J$2:$M$19,4),"nincs rovat")</f>
        <v>nincs rovat</v>
      </c>
      <c r="Q1586" t="str">
        <f>IF(H1586&gt;0,VLOOKUP(H1586,PAR!$AA$3:$AC$187,3,FALSE),"nincs főkönyvi számla")</f>
        <v>nincs főkönyvi számla</v>
      </c>
      <c r="R1586" t="str">
        <f>IFERROR(VLOOKUP(K1586,PAR!$V$3:$X$438,3,FALSE),"000000 - Nincs COFOG")</f>
        <v>000000 - Nincs COFOG</v>
      </c>
      <c r="S1586">
        <f t="shared" si="468"/>
        <v>0</v>
      </c>
      <c r="T1586">
        <f t="shared" si="469"/>
        <v>0</v>
      </c>
      <c r="U1586" t="str">
        <f>IF('906MP'!J1286&gt;0,CONCATENATE('906MP'!J1286," - ",'906MP'!P1286,", ",'906MP'!E1286),"nincs megjegyzés")</f>
        <v>nincs megjegyzés</v>
      </c>
      <c r="V1586" t="str">
        <f t="shared" si="456"/>
        <v>0P0</v>
      </c>
      <c r="W1586" t="str">
        <f t="shared" si="457"/>
        <v>0P0</v>
      </c>
      <c r="X1586" t="str">
        <f t="shared" si="458"/>
        <v>P0</v>
      </c>
      <c r="Y1586" t="str">
        <f t="shared" si="459"/>
        <v>00</v>
      </c>
      <c r="Z1586" t="str">
        <f t="shared" si="470"/>
        <v>00</v>
      </c>
      <c r="AA1586" t="str">
        <f t="shared" si="460"/>
        <v>00</v>
      </c>
      <c r="AB1586" t="str">
        <f t="shared" si="461"/>
        <v>00</v>
      </c>
      <c r="AC1586" t="str">
        <f t="shared" si="462"/>
        <v>0P0</v>
      </c>
      <c r="AD1586" t="str">
        <f t="shared" si="463"/>
        <v>P00</v>
      </c>
      <c r="AE1586" t="str">
        <f t="shared" si="464"/>
        <v>0P0</v>
      </c>
      <c r="AF1586" t="str">
        <f t="shared" si="465"/>
        <v>P00</v>
      </c>
      <c r="AG1586" t="str">
        <f t="shared" si="471"/>
        <v>0P00</v>
      </c>
      <c r="AH1586" t="str">
        <f t="shared" si="472"/>
        <v>P000</v>
      </c>
      <c r="AI1586" t="str">
        <f t="shared" si="473"/>
        <v>0P00</v>
      </c>
      <c r="AJ1586" t="str">
        <f t="shared" si="474"/>
        <v>P000</v>
      </c>
    </row>
    <row r="1587" spans="1:36" x14ac:dyDescent="0.25">
      <c r="A1587" s="325" t="str">
        <f>CONCATENATE("P",'906MP'!M1287)</f>
        <v>P</v>
      </c>
      <c r="B1587">
        <f>'906MP'!H1287</f>
        <v>0</v>
      </c>
      <c r="C1587">
        <f>'906MP'!J1287</f>
        <v>0</v>
      </c>
      <c r="D1587">
        <f>'906MP'!P1287</f>
        <v>0</v>
      </c>
      <c r="E1587">
        <f>'906MP'!X1287</f>
        <v>0</v>
      </c>
      <c r="F1587" t="str">
        <f t="shared" si="466"/>
        <v>0</v>
      </c>
      <c r="G1587" t="str">
        <f t="shared" si="467"/>
        <v>0</v>
      </c>
      <c r="H1587">
        <f>'906MP'!Y1287</f>
        <v>0</v>
      </c>
      <c r="I1587">
        <f>'906MP'!AK1287</f>
        <v>0</v>
      </c>
      <c r="J1587">
        <f>'906MP'!T1287</f>
        <v>0</v>
      </c>
      <c r="K1587">
        <f>'906MP'!AJ1287</f>
        <v>0</v>
      </c>
      <c r="L1587">
        <f>'906MP'!U1287</f>
        <v>0</v>
      </c>
      <c r="M1587" s="322" t="str">
        <f>IFERROR(VLOOKUP(A1587,PAR!$D$3:$E$53,2,FALSE),"nincs szervezet")</f>
        <v>nincs szervezet</v>
      </c>
      <c r="N1587" s="322" t="str">
        <f>VLOOKUP(F1587,PAR!$R$3:$S$5,2,FALSE)</f>
        <v>3 - egyik sem</v>
      </c>
      <c r="O1587" t="str">
        <f>IFERROR(VLOOKUP(J1587,PAR!$O$3:$P$5,2,FALSE),"nincs feladat")</f>
        <v>nincs feladat</v>
      </c>
      <c r="P1587" t="str">
        <f>IFERROR(VLOOKUP(G1587,PAR!$J$2:$M$19,4),"nincs rovat")</f>
        <v>nincs rovat</v>
      </c>
      <c r="Q1587" t="str">
        <f>IF(H1587&gt;0,VLOOKUP(H1587,PAR!$AA$3:$AC$187,3,FALSE),"nincs főkönyvi számla")</f>
        <v>nincs főkönyvi számla</v>
      </c>
      <c r="R1587" t="str">
        <f>IFERROR(VLOOKUP(K1587,PAR!$V$3:$X$438,3,FALSE),"000000 - Nincs COFOG")</f>
        <v>000000 - Nincs COFOG</v>
      </c>
      <c r="S1587">
        <f t="shared" si="468"/>
        <v>0</v>
      </c>
      <c r="T1587">
        <f t="shared" si="469"/>
        <v>0</v>
      </c>
      <c r="U1587" t="str">
        <f>IF('906MP'!J1287&gt;0,CONCATENATE('906MP'!J1287," - ",'906MP'!P1287,", ",'906MP'!E1287),"nincs megjegyzés")</f>
        <v>nincs megjegyzés</v>
      </c>
      <c r="V1587" t="str">
        <f t="shared" si="456"/>
        <v>0P0</v>
      </c>
      <c r="W1587" t="str">
        <f t="shared" si="457"/>
        <v>0P0</v>
      </c>
      <c r="X1587" t="str">
        <f t="shared" si="458"/>
        <v>P0</v>
      </c>
      <c r="Y1587" t="str">
        <f t="shared" si="459"/>
        <v>00</v>
      </c>
      <c r="Z1587" t="str">
        <f t="shared" si="470"/>
        <v>00</v>
      </c>
      <c r="AA1587" t="str">
        <f t="shared" si="460"/>
        <v>00</v>
      </c>
      <c r="AB1587" t="str">
        <f t="shared" si="461"/>
        <v>00</v>
      </c>
      <c r="AC1587" t="str">
        <f t="shared" si="462"/>
        <v>0P0</v>
      </c>
      <c r="AD1587" t="str">
        <f t="shared" si="463"/>
        <v>P00</v>
      </c>
      <c r="AE1587" t="str">
        <f t="shared" si="464"/>
        <v>0P0</v>
      </c>
      <c r="AF1587" t="str">
        <f t="shared" si="465"/>
        <v>P00</v>
      </c>
      <c r="AG1587" t="str">
        <f t="shared" si="471"/>
        <v>0P00</v>
      </c>
      <c r="AH1587" t="str">
        <f t="shared" si="472"/>
        <v>P000</v>
      </c>
      <c r="AI1587" t="str">
        <f t="shared" si="473"/>
        <v>0P00</v>
      </c>
      <c r="AJ1587" t="str">
        <f t="shared" si="474"/>
        <v>P000</v>
      </c>
    </row>
    <row r="1588" spans="1:36" x14ac:dyDescent="0.25">
      <c r="A1588" s="325" t="str">
        <f>CONCATENATE("P",'906MP'!M1288)</f>
        <v>P</v>
      </c>
      <c r="B1588">
        <f>'906MP'!H1288</f>
        <v>0</v>
      </c>
      <c r="C1588">
        <f>'906MP'!J1288</f>
        <v>0</v>
      </c>
      <c r="D1588">
        <f>'906MP'!P1288</f>
        <v>0</v>
      </c>
      <c r="E1588">
        <f>'906MP'!X1288</f>
        <v>0</v>
      </c>
      <c r="F1588" t="str">
        <f t="shared" si="466"/>
        <v>0</v>
      </c>
      <c r="G1588" t="str">
        <f t="shared" si="467"/>
        <v>0</v>
      </c>
      <c r="H1588">
        <f>'906MP'!Y1288</f>
        <v>0</v>
      </c>
      <c r="I1588">
        <f>'906MP'!AK1288</f>
        <v>0</v>
      </c>
      <c r="J1588">
        <f>'906MP'!T1288</f>
        <v>0</v>
      </c>
      <c r="K1588">
        <f>'906MP'!AJ1288</f>
        <v>0</v>
      </c>
      <c r="L1588">
        <f>'906MP'!U1288</f>
        <v>0</v>
      </c>
      <c r="M1588" s="322" t="str">
        <f>IFERROR(VLOOKUP(A1588,PAR!$D$3:$E$53,2,FALSE),"nincs szervezet")</f>
        <v>nincs szervezet</v>
      </c>
      <c r="N1588" s="322" t="str">
        <f>VLOOKUP(F1588,PAR!$R$3:$S$5,2,FALSE)</f>
        <v>3 - egyik sem</v>
      </c>
      <c r="O1588" t="str">
        <f>IFERROR(VLOOKUP(J1588,PAR!$O$3:$P$5,2,FALSE),"nincs feladat")</f>
        <v>nincs feladat</v>
      </c>
      <c r="P1588" t="str">
        <f>IFERROR(VLOOKUP(G1588,PAR!$J$2:$M$19,4),"nincs rovat")</f>
        <v>nincs rovat</v>
      </c>
      <c r="Q1588" t="str">
        <f>IF(H1588&gt;0,VLOOKUP(H1588,PAR!$AA$3:$AC$187,3,FALSE),"nincs főkönyvi számla")</f>
        <v>nincs főkönyvi számla</v>
      </c>
      <c r="R1588" t="str">
        <f>IFERROR(VLOOKUP(K1588,PAR!$V$3:$X$438,3,FALSE),"000000 - Nincs COFOG")</f>
        <v>000000 - Nincs COFOG</v>
      </c>
      <c r="S1588">
        <f t="shared" si="468"/>
        <v>0</v>
      </c>
      <c r="T1588">
        <f t="shared" si="469"/>
        <v>0</v>
      </c>
      <c r="U1588" t="str">
        <f>IF('906MP'!J1288&gt;0,CONCATENATE('906MP'!J1288," - ",'906MP'!P1288,", ",'906MP'!E1288),"nincs megjegyzés")</f>
        <v>nincs megjegyzés</v>
      </c>
      <c r="V1588" t="str">
        <f t="shared" si="456"/>
        <v>0P0</v>
      </c>
      <c r="W1588" t="str">
        <f t="shared" si="457"/>
        <v>0P0</v>
      </c>
      <c r="X1588" t="str">
        <f t="shared" si="458"/>
        <v>P0</v>
      </c>
      <c r="Y1588" t="str">
        <f t="shared" si="459"/>
        <v>00</v>
      </c>
      <c r="Z1588" t="str">
        <f t="shared" si="470"/>
        <v>00</v>
      </c>
      <c r="AA1588" t="str">
        <f t="shared" si="460"/>
        <v>00</v>
      </c>
      <c r="AB1588" t="str">
        <f t="shared" si="461"/>
        <v>00</v>
      </c>
      <c r="AC1588" t="str">
        <f t="shared" si="462"/>
        <v>0P0</v>
      </c>
      <c r="AD1588" t="str">
        <f t="shared" si="463"/>
        <v>P00</v>
      </c>
      <c r="AE1588" t="str">
        <f t="shared" si="464"/>
        <v>0P0</v>
      </c>
      <c r="AF1588" t="str">
        <f t="shared" si="465"/>
        <v>P00</v>
      </c>
      <c r="AG1588" t="str">
        <f t="shared" si="471"/>
        <v>0P00</v>
      </c>
      <c r="AH1588" t="str">
        <f t="shared" si="472"/>
        <v>P000</v>
      </c>
      <c r="AI1588" t="str">
        <f t="shared" si="473"/>
        <v>0P00</v>
      </c>
      <c r="AJ1588" t="str">
        <f t="shared" si="474"/>
        <v>P000</v>
      </c>
    </row>
    <row r="1589" spans="1:36" x14ac:dyDescent="0.25">
      <c r="A1589" s="325" t="str">
        <f>CONCATENATE("P",'906MP'!M1289)</f>
        <v>P</v>
      </c>
      <c r="B1589">
        <f>'906MP'!H1289</f>
        <v>0</v>
      </c>
      <c r="C1589">
        <f>'906MP'!J1289</f>
        <v>0</v>
      </c>
      <c r="D1589">
        <f>'906MP'!P1289</f>
        <v>0</v>
      </c>
      <c r="E1589">
        <f>'906MP'!X1289</f>
        <v>0</v>
      </c>
      <c r="F1589" t="str">
        <f t="shared" si="466"/>
        <v>0</v>
      </c>
      <c r="G1589" t="str">
        <f t="shared" si="467"/>
        <v>0</v>
      </c>
      <c r="H1589">
        <f>'906MP'!Y1289</f>
        <v>0</v>
      </c>
      <c r="I1589">
        <f>'906MP'!AK1289</f>
        <v>0</v>
      </c>
      <c r="J1589">
        <f>'906MP'!T1289</f>
        <v>0</v>
      </c>
      <c r="K1589">
        <f>'906MP'!AJ1289</f>
        <v>0</v>
      </c>
      <c r="L1589">
        <f>'906MP'!U1289</f>
        <v>0</v>
      </c>
      <c r="M1589" s="322" t="str">
        <f>IFERROR(VLOOKUP(A1589,PAR!$D$3:$E$53,2,FALSE),"nincs szervezet")</f>
        <v>nincs szervezet</v>
      </c>
      <c r="N1589" s="322" t="str">
        <f>VLOOKUP(F1589,PAR!$R$3:$S$5,2,FALSE)</f>
        <v>3 - egyik sem</v>
      </c>
      <c r="O1589" t="str">
        <f>IFERROR(VLOOKUP(J1589,PAR!$O$3:$P$5,2,FALSE),"nincs feladat")</f>
        <v>nincs feladat</v>
      </c>
      <c r="P1589" t="str">
        <f>IFERROR(VLOOKUP(G1589,PAR!$J$2:$M$19,4),"nincs rovat")</f>
        <v>nincs rovat</v>
      </c>
      <c r="Q1589" t="str">
        <f>IF(H1589&gt;0,VLOOKUP(H1589,PAR!$AA$3:$AC$187,3,FALSE),"nincs főkönyvi számla")</f>
        <v>nincs főkönyvi számla</v>
      </c>
      <c r="R1589" t="str">
        <f>IFERROR(VLOOKUP(K1589,PAR!$V$3:$X$438,3,FALSE),"000000 - Nincs COFOG")</f>
        <v>000000 - Nincs COFOG</v>
      </c>
      <c r="S1589">
        <f t="shared" si="468"/>
        <v>0</v>
      </c>
      <c r="T1589">
        <f t="shared" si="469"/>
        <v>0</v>
      </c>
      <c r="U1589" t="str">
        <f>IF('906MP'!J1289&gt;0,CONCATENATE('906MP'!J1289," - ",'906MP'!P1289,", ",'906MP'!E1289),"nincs megjegyzés")</f>
        <v>nincs megjegyzés</v>
      </c>
      <c r="V1589" t="str">
        <f t="shared" si="456"/>
        <v>0P0</v>
      </c>
      <c r="W1589" t="str">
        <f t="shared" si="457"/>
        <v>0P0</v>
      </c>
      <c r="X1589" t="str">
        <f t="shared" si="458"/>
        <v>P0</v>
      </c>
      <c r="Y1589" t="str">
        <f t="shared" si="459"/>
        <v>00</v>
      </c>
      <c r="Z1589" t="str">
        <f t="shared" si="470"/>
        <v>00</v>
      </c>
      <c r="AA1589" t="str">
        <f t="shared" si="460"/>
        <v>00</v>
      </c>
      <c r="AB1589" t="str">
        <f t="shared" si="461"/>
        <v>00</v>
      </c>
      <c r="AC1589" t="str">
        <f t="shared" si="462"/>
        <v>0P0</v>
      </c>
      <c r="AD1589" t="str">
        <f t="shared" si="463"/>
        <v>P00</v>
      </c>
      <c r="AE1589" t="str">
        <f t="shared" si="464"/>
        <v>0P0</v>
      </c>
      <c r="AF1589" t="str">
        <f t="shared" si="465"/>
        <v>P00</v>
      </c>
      <c r="AG1589" t="str">
        <f t="shared" si="471"/>
        <v>0P00</v>
      </c>
      <c r="AH1589" t="str">
        <f t="shared" si="472"/>
        <v>P000</v>
      </c>
      <c r="AI1589" t="str">
        <f t="shared" si="473"/>
        <v>0P00</v>
      </c>
      <c r="AJ1589" t="str">
        <f t="shared" si="474"/>
        <v>P000</v>
      </c>
    </row>
    <row r="1590" spans="1:36" x14ac:dyDescent="0.25">
      <c r="A1590" s="325" t="str">
        <f>CONCATENATE("P",'906MP'!M1290)</f>
        <v>P</v>
      </c>
      <c r="B1590">
        <f>'906MP'!H1290</f>
        <v>0</v>
      </c>
      <c r="C1590">
        <f>'906MP'!J1290</f>
        <v>0</v>
      </c>
      <c r="D1590">
        <f>'906MP'!P1290</f>
        <v>0</v>
      </c>
      <c r="E1590">
        <f>'906MP'!X1290</f>
        <v>0</v>
      </c>
      <c r="F1590" t="str">
        <f t="shared" si="466"/>
        <v>0</v>
      </c>
      <c r="G1590" t="str">
        <f t="shared" si="467"/>
        <v>0</v>
      </c>
      <c r="H1590">
        <f>'906MP'!Y1290</f>
        <v>0</v>
      </c>
      <c r="I1590">
        <f>'906MP'!AK1290</f>
        <v>0</v>
      </c>
      <c r="J1590">
        <f>'906MP'!T1290</f>
        <v>0</v>
      </c>
      <c r="K1590">
        <f>'906MP'!AJ1290</f>
        <v>0</v>
      </c>
      <c r="L1590">
        <f>'906MP'!U1290</f>
        <v>0</v>
      </c>
      <c r="M1590" s="322" t="str">
        <f>IFERROR(VLOOKUP(A1590,PAR!$D$3:$E$53,2,FALSE),"nincs szervezet")</f>
        <v>nincs szervezet</v>
      </c>
      <c r="N1590" s="322" t="str">
        <f>VLOOKUP(F1590,PAR!$R$3:$S$5,2,FALSE)</f>
        <v>3 - egyik sem</v>
      </c>
      <c r="O1590" t="str">
        <f>IFERROR(VLOOKUP(J1590,PAR!$O$3:$P$5,2,FALSE),"nincs feladat")</f>
        <v>nincs feladat</v>
      </c>
      <c r="P1590" t="str">
        <f>IFERROR(VLOOKUP(G1590,PAR!$J$2:$M$19,4),"nincs rovat")</f>
        <v>nincs rovat</v>
      </c>
      <c r="Q1590" t="str">
        <f>IF(H1590&gt;0,VLOOKUP(H1590,PAR!$AA$3:$AC$187,3,FALSE),"nincs főkönyvi számla")</f>
        <v>nincs főkönyvi számla</v>
      </c>
      <c r="R1590" t="str">
        <f>IFERROR(VLOOKUP(K1590,PAR!$V$3:$X$438,3,FALSE),"000000 - Nincs COFOG")</f>
        <v>000000 - Nincs COFOG</v>
      </c>
      <c r="S1590">
        <f t="shared" si="468"/>
        <v>0</v>
      </c>
      <c r="T1590">
        <f t="shared" si="469"/>
        <v>0</v>
      </c>
      <c r="U1590" t="str">
        <f>IF('906MP'!J1290&gt;0,CONCATENATE('906MP'!J1290," - ",'906MP'!P1290,", ",'906MP'!E1290),"nincs megjegyzés")</f>
        <v>nincs megjegyzés</v>
      </c>
      <c r="V1590" t="str">
        <f t="shared" si="456"/>
        <v>0P0</v>
      </c>
      <c r="W1590" t="str">
        <f t="shared" si="457"/>
        <v>0P0</v>
      </c>
      <c r="X1590" t="str">
        <f t="shared" si="458"/>
        <v>P0</v>
      </c>
      <c r="Y1590" t="str">
        <f t="shared" si="459"/>
        <v>00</v>
      </c>
      <c r="Z1590" t="str">
        <f t="shared" si="470"/>
        <v>00</v>
      </c>
      <c r="AA1590" t="str">
        <f t="shared" si="460"/>
        <v>00</v>
      </c>
      <c r="AB1590" t="str">
        <f t="shared" si="461"/>
        <v>00</v>
      </c>
      <c r="AC1590" t="str">
        <f t="shared" si="462"/>
        <v>0P0</v>
      </c>
      <c r="AD1590" t="str">
        <f t="shared" si="463"/>
        <v>P00</v>
      </c>
      <c r="AE1590" t="str">
        <f t="shared" si="464"/>
        <v>0P0</v>
      </c>
      <c r="AF1590" t="str">
        <f t="shared" si="465"/>
        <v>P00</v>
      </c>
      <c r="AG1590" t="str">
        <f t="shared" si="471"/>
        <v>0P00</v>
      </c>
      <c r="AH1590" t="str">
        <f t="shared" si="472"/>
        <v>P000</v>
      </c>
      <c r="AI1590" t="str">
        <f t="shared" si="473"/>
        <v>0P00</v>
      </c>
      <c r="AJ1590" t="str">
        <f t="shared" si="474"/>
        <v>P000</v>
      </c>
    </row>
    <row r="1591" spans="1:36" x14ac:dyDescent="0.25">
      <c r="A1591" s="325" t="str">
        <f>CONCATENATE("P",'906MP'!M1291)</f>
        <v>P</v>
      </c>
      <c r="B1591">
        <f>'906MP'!H1291</f>
        <v>0</v>
      </c>
      <c r="C1591">
        <f>'906MP'!J1291</f>
        <v>0</v>
      </c>
      <c r="D1591">
        <f>'906MP'!P1291</f>
        <v>0</v>
      </c>
      <c r="E1591">
        <f>'906MP'!X1291</f>
        <v>0</v>
      </c>
      <c r="F1591" t="str">
        <f t="shared" si="466"/>
        <v>0</v>
      </c>
      <c r="G1591" t="str">
        <f t="shared" si="467"/>
        <v>0</v>
      </c>
      <c r="H1591">
        <f>'906MP'!Y1291</f>
        <v>0</v>
      </c>
      <c r="I1591">
        <f>'906MP'!AK1291</f>
        <v>0</v>
      </c>
      <c r="J1591">
        <f>'906MP'!T1291</f>
        <v>0</v>
      </c>
      <c r="K1591">
        <f>'906MP'!AJ1291</f>
        <v>0</v>
      </c>
      <c r="L1591">
        <f>'906MP'!U1291</f>
        <v>0</v>
      </c>
      <c r="M1591" s="322" t="str">
        <f>IFERROR(VLOOKUP(A1591,PAR!$D$3:$E$53,2,FALSE),"nincs szervezet")</f>
        <v>nincs szervezet</v>
      </c>
      <c r="N1591" s="322" t="str">
        <f>VLOOKUP(F1591,PAR!$R$3:$S$5,2,FALSE)</f>
        <v>3 - egyik sem</v>
      </c>
      <c r="O1591" t="str">
        <f>IFERROR(VLOOKUP(J1591,PAR!$O$3:$P$5,2,FALSE),"nincs feladat")</f>
        <v>nincs feladat</v>
      </c>
      <c r="P1591" t="str">
        <f>IFERROR(VLOOKUP(G1591,PAR!$J$2:$M$19,4),"nincs rovat")</f>
        <v>nincs rovat</v>
      </c>
      <c r="Q1591" t="str">
        <f>IF(H1591&gt;0,VLOOKUP(H1591,PAR!$AA$3:$AC$187,3,FALSE),"nincs főkönyvi számla")</f>
        <v>nincs főkönyvi számla</v>
      </c>
      <c r="R1591" t="str">
        <f>IFERROR(VLOOKUP(K1591,PAR!$V$3:$X$438,3,FALSE),"000000 - Nincs COFOG")</f>
        <v>000000 - Nincs COFOG</v>
      </c>
      <c r="S1591">
        <f t="shared" si="468"/>
        <v>0</v>
      </c>
      <c r="T1591">
        <f t="shared" si="469"/>
        <v>0</v>
      </c>
      <c r="U1591" t="str">
        <f>IF('906MP'!J1291&gt;0,CONCATENATE('906MP'!J1291," - ",'906MP'!P1291,", ",'906MP'!E1291),"nincs megjegyzés")</f>
        <v>nincs megjegyzés</v>
      </c>
      <c r="V1591" t="str">
        <f t="shared" si="456"/>
        <v>0P0</v>
      </c>
      <c r="W1591" t="str">
        <f t="shared" si="457"/>
        <v>0P0</v>
      </c>
      <c r="X1591" t="str">
        <f t="shared" si="458"/>
        <v>P0</v>
      </c>
      <c r="Y1591" t="str">
        <f t="shared" si="459"/>
        <v>00</v>
      </c>
      <c r="Z1591" t="str">
        <f t="shared" si="470"/>
        <v>00</v>
      </c>
      <c r="AA1591" t="str">
        <f t="shared" si="460"/>
        <v>00</v>
      </c>
      <c r="AB1591" t="str">
        <f t="shared" si="461"/>
        <v>00</v>
      </c>
      <c r="AC1591" t="str">
        <f t="shared" si="462"/>
        <v>0P0</v>
      </c>
      <c r="AD1591" t="str">
        <f t="shared" si="463"/>
        <v>P00</v>
      </c>
      <c r="AE1591" t="str">
        <f t="shared" si="464"/>
        <v>0P0</v>
      </c>
      <c r="AF1591" t="str">
        <f t="shared" si="465"/>
        <v>P00</v>
      </c>
      <c r="AG1591" t="str">
        <f t="shared" si="471"/>
        <v>0P00</v>
      </c>
      <c r="AH1591" t="str">
        <f t="shared" si="472"/>
        <v>P000</v>
      </c>
      <c r="AI1591" t="str">
        <f t="shared" si="473"/>
        <v>0P00</v>
      </c>
      <c r="AJ1591" t="str">
        <f t="shared" si="474"/>
        <v>P000</v>
      </c>
    </row>
    <row r="1592" spans="1:36" x14ac:dyDescent="0.25">
      <c r="A1592" s="325" t="str">
        <f>CONCATENATE("P",'906MP'!M1292)</f>
        <v>P</v>
      </c>
      <c r="B1592">
        <f>'906MP'!H1292</f>
        <v>0</v>
      </c>
      <c r="C1592">
        <f>'906MP'!J1292</f>
        <v>0</v>
      </c>
      <c r="D1592">
        <f>'906MP'!P1292</f>
        <v>0</v>
      </c>
      <c r="E1592">
        <f>'906MP'!X1292</f>
        <v>0</v>
      </c>
      <c r="F1592" t="str">
        <f t="shared" si="466"/>
        <v>0</v>
      </c>
      <c r="G1592" t="str">
        <f t="shared" si="467"/>
        <v>0</v>
      </c>
      <c r="H1592">
        <f>'906MP'!Y1292</f>
        <v>0</v>
      </c>
      <c r="I1592">
        <f>'906MP'!AK1292</f>
        <v>0</v>
      </c>
      <c r="J1592">
        <f>'906MP'!T1292</f>
        <v>0</v>
      </c>
      <c r="K1592">
        <f>'906MP'!AJ1292</f>
        <v>0</v>
      </c>
      <c r="L1592">
        <f>'906MP'!U1292</f>
        <v>0</v>
      </c>
      <c r="M1592" s="322" t="str">
        <f>IFERROR(VLOOKUP(A1592,PAR!$D$3:$E$53,2,FALSE),"nincs szervezet")</f>
        <v>nincs szervezet</v>
      </c>
      <c r="N1592" s="322" t="str">
        <f>VLOOKUP(F1592,PAR!$R$3:$S$5,2,FALSE)</f>
        <v>3 - egyik sem</v>
      </c>
      <c r="O1592" t="str">
        <f>IFERROR(VLOOKUP(J1592,PAR!$O$3:$P$5,2,FALSE),"nincs feladat")</f>
        <v>nincs feladat</v>
      </c>
      <c r="P1592" t="str">
        <f>IFERROR(VLOOKUP(G1592,PAR!$J$2:$M$19,4),"nincs rovat")</f>
        <v>nincs rovat</v>
      </c>
      <c r="Q1592" t="str">
        <f>IF(H1592&gt;0,VLOOKUP(H1592,PAR!$AA$3:$AC$187,3,FALSE),"nincs főkönyvi számla")</f>
        <v>nincs főkönyvi számla</v>
      </c>
      <c r="R1592" t="str">
        <f>IFERROR(VLOOKUP(K1592,PAR!$V$3:$X$438,3,FALSE),"000000 - Nincs COFOG")</f>
        <v>000000 - Nincs COFOG</v>
      </c>
      <c r="S1592">
        <f t="shared" si="468"/>
        <v>0</v>
      </c>
      <c r="T1592">
        <f t="shared" si="469"/>
        <v>0</v>
      </c>
      <c r="U1592" t="str">
        <f>IF('906MP'!J1292&gt;0,CONCATENATE('906MP'!J1292," - ",'906MP'!P1292,", ",'906MP'!E1292),"nincs megjegyzés")</f>
        <v>nincs megjegyzés</v>
      </c>
      <c r="V1592" t="str">
        <f t="shared" si="456"/>
        <v>0P0</v>
      </c>
      <c r="W1592" t="str">
        <f t="shared" si="457"/>
        <v>0P0</v>
      </c>
      <c r="X1592" t="str">
        <f t="shared" si="458"/>
        <v>P0</v>
      </c>
      <c r="Y1592" t="str">
        <f t="shared" si="459"/>
        <v>00</v>
      </c>
      <c r="Z1592" t="str">
        <f t="shared" si="470"/>
        <v>00</v>
      </c>
      <c r="AA1592" t="str">
        <f t="shared" si="460"/>
        <v>00</v>
      </c>
      <c r="AB1592" t="str">
        <f t="shared" si="461"/>
        <v>00</v>
      </c>
      <c r="AC1592" t="str">
        <f t="shared" si="462"/>
        <v>0P0</v>
      </c>
      <c r="AD1592" t="str">
        <f t="shared" si="463"/>
        <v>P00</v>
      </c>
      <c r="AE1592" t="str">
        <f t="shared" si="464"/>
        <v>0P0</v>
      </c>
      <c r="AF1592" t="str">
        <f t="shared" si="465"/>
        <v>P00</v>
      </c>
      <c r="AG1592" t="str">
        <f t="shared" si="471"/>
        <v>0P00</v>
      </c>
      <c r="AH1592" t="str">
        <f t="shared" si="472"/>
        <v>P000</v>
      </c>
      <c r="AI1592" t="str">
        <f t="shared" si="473"/>
        <v>0P00</v>
      </c>
      <c r="AJ1592" t="str">
        <f t="shared" si="474"/>
        <v>P000</v>
      </c>
    </row>
    <row r="1593" spans="1:36" x14ac:dyDescent="0.25">
      <c r="A1593" s="325" t="str">
        <f>CONCATENATE("P",'906MP'!M1293)</f>
        <v>P</v>
      </c>
      <c r="B1593">
        <f>'906MP'!H1293</f>
        <v>0</v>
      </c>
      <c r="C1593">
        <f>'906MP'!J1293</f>
        <v>0</v>
      </c>
      <c r="D1593">
        <f>'906MP'!P1293</f>
        <v>0</v>
      </c>
      <c r="E1593">
        <f>'906MP'!X1293</f>
        <v>0</v>
      </c>
      <c r="F1593" t="str">
        <f t="shared" si="466"/>
        <v>0</v>
      </c>
      <c r="G1593" t="str">
        <f t="shared" si="467"/>
        <v>0</v>
      </c>
      <c r="H1593">
        <f>'906MP'!Y1293</f>
        <v>0</v>
      </c>
      <c r="I1593">
        <f>'906MP'!AK1293</f>
        <v>0</v>
      </c>
      <c r="J1593">
        <f>'906MP'!T1293</f>
        <v>0</v>
      </c>
      <c r="K1593">
        <f>'906MP'!AJ1293</f>
        <v>0</v>
      </c>
      <c r="L1593">
        <f>'906MP'!U1293</f>
        <v>0</v>
      </c>
      <c r="M1593" s="322" t="str">
        <f>IFERROR(VLOOKUP(A1593,PAR!$D$3:$E$53,2,FALSE),"nincs szervezet")</f>
        <v>nincs szervezet</v>
      </c>
      <c r="N1593" s="322" t="str">
        <f>VLOOKUP(F1593,PAR!$R$3:$S$5,2,FALSE)</f>
        <v>3 - egyik sem</v>
      </c>
      <c r="O1593" t="str">
        <f>IFERROR(VLOOKUP(J1593,PAR!$O$3:$P$5,2,FALSE),"nincs feladat")</f>
        <v>nincs feladat</v>
      </c>
      <c r="P1593" t="str">
        <f>IFERROR(VLOOKUP(G1593,PAR!$J$2:$M$19,4),"nincs rovat")</f>
        <v>nincs rovat</v>
      </c>
      <c r="Q1593" t="str">
        <f>IF(H1593&gt;0,VLOOKUP(H1593,PAR!$AA$3:$AC$187,3,FALSE),"nincs főkönyvi számla")</f>
        <v>nincs főkönyvi számla</v>
      </c>
      <c r="R1593" t="str">
        <f>IFERROR(VLOOKUP(K1593,PAR!$V$3:$X$438,3,FALSE),"000000 - Nincs COFOG")</f>
        <v>000000 - Nincs COFOG</v>
      </c>
      <c r="S1593">
        <f t="shared" si="468"/>
        <v>0</v>
      </c>
      <c r="T1593">
        <f t="shared" si="469"/>
        <v>0</v>
      </c>
      <c r="U1593" t="str">
        <f>IF('906MP'!J1293&gt;0,CONCATENATE('906MP'!J1293," - ",'906MP'!P1293,", ",'906MP'!E1293),"nincs megjegyzés")</f>
        <v>nincs megjegyzés</v>
      </c>
      <c r="V1593" t="str">
        <f t="shared" si="456"/>
        <v>0P0</v>
      </c>
      <c r="W1593" t="str">
        <f t="shared" si="457"/>
        <v>0P0</v>
      </c>
      <c r="X1593" t="str">
        <f t="shared" si="458"/>
        <v>P0</v>
      </c>
      <c r="Y1593" t="str">
        <f t="shared" si="459"/>
        <v>00</v>
      </c>
      <c r="Z1593" t="str">
        <f t="shared" si="470"/>
        <v>00</v>
      </c>
      <c r="AA1593" t="str">
        <f t="shared" si="460"/>
        <v>00</v>
      </c>
      <c r="AB1593" t="str">
        <f t="shared" si="461"/>
        <v>00</v>
      </c>
      <c r="AC1593" t="str">
        <f t="shared" si="462"/>
        <v>0P0</v>
      </c>
      <c r="AD1593" t="str">
        <f t="shared" si="463"/>
        <v>P00</v>
      </c>
      <c r="AE1593" t="str">
        <f t="shared" si="464"/>
        <v>0P0</v>
      </c>
      <c r="AF1593" t="str">
        <f t="shared" si="465"/>
        <v>P00</v>
      </c>
      <c r="AG1593" t="str">
        <f t="shared" si="471"/>
        <v>0P00</v>
      </c>
      <c r="AH1593" t="str">
        <f t="shared" si="472"/>
        <v>P000</v>
      </c>
      <c r="AI1593" t="str">
        <f t="shared" si="473"/>
        <v>0P00</v>
      </c>
      <c r="AJ1593" t="str">
        <f t="shared" si="474"/>
        <v>P000</v>
      </c>
    </row>
    <row r="1594" spans="1:36" x14ac:dyDescent="0.25">
      <c r="A1594" s="325" t="str">
        <f>CONCATENATE("P",'906MP'!M1294)</f>
        <v>P</v>
      </c>
      <c r="B1594">
        <f>'906MP'!H1294</f>
        <v>0</v>
      </c>
      <c r="C1594">
        <f>'906MP'!J1294</f>
        <v>0</v>
      </c>
      <c r="D1594">
        <f>'906MP'!P1294</f>
        <v>0</v>
      </c>
      <c r="E1594">
        <f>'906MP'!X1294</f>
        <v>0</v>
      </c>
      <c r="F1594" t="str">
        <f t="shared" si="466"/>
        <v>0</v>
      </c>
      <c r="G1594" t="str">
        <f t="shared" si="467"/>
        <v>0</v>
      </c>
      <c r="H1594">
        <f>'906MP'!Y1294</f>
        <v>0</v>
      </c>
      <c r="I1594">
        <f>'906MP'!AK1294</f>
        <v>0</v>
      </c>
      <c r="J1594">
        <f>'906MP'!T1294</f>
        <v>0</v>
      </c>
      <c r="K1594">
        <f>'906MP'!AJ1294</f>
        <v>0</v>
      </c>
      <c r="L1594">
        <f>'906MP'!U1294</f>
        <v>0</v>
      </c>
      <c r="M1594" s="322" t="str">
        <f>IFERROR(VLOOKUP(A1594,PAR!$D$3:$E$53,2,FALSE),"nincs szervezet")</f>
        <v>nincs szervezet</v>
      </c>
      <c r="N1594" s="322" t="str">
        <f>VLOOKUP(F1594,PAR!$R$3:$S$5,2,FALSE)</f>
        <v>3 - egyik sem</v>
      </c>
      <c r="O1594" t="str">
        <f>IFERROR(VLOOKUP(J1594,PAR!$O$3:$P$5,2,FALSE),"nincs feladat")</f>
        <v>nincs feladat</v>
      </c>
      <c r="P1594" t="str">
        <f>IFERROR(VLOOKUP(G1594,PAR!$J$2:$M$19,4),"nincs rovat")</f>
        <v>nincs rovat</v>
      </c>
      <c r="Q1594" t="str">
        <f>IF(H1594&gt;0,VLOOKUP(H1594,PAR!$AA$3:$AC$187,3,FALSE),"nincs főkönyvi számla")</f>
        <v>nincs főkönyvi számla</v>
      </c>
      <c r="R1594" t="str">
        <f>IFERROR(VLOOKUP(K1594,PAR!$V$3:$X$438,3,FALSE),"000000 - Nincs COFOG")</f>
        <v>000000 - Nincs COFOG</v>
      </c>
      <c r="S1594">
        <f t="shared" si="468"/>
        <v>0</v>
      </c>
      <c r="T1594">
        <f t="shared" si="469"/>
        <v>0</v>
      </c>
      <c r="U1594" t="str">
        <f>IF('906MP'!J1294&gt;0,CONCATENATE('906MP'!J1294," - ",'906MP'!P1294,", ",'906MP'!E1294),"nincs megjegyzés")</f>
        <v>nincs megjegyzés</v>
      </c>
      <c r="V1594" t="str">
        <f t="shared" si="456"/>
        <v>0P0</v>
      </c>
      <c r="W1594" t="str">
        <f t="shared" si="457"/>
        <v>0P0</v>
      </c>
      <c r="X1594" t="str">
        <f t="shared" si="458"/>
        <v>P0</v>
      </c>
      <c r="Y1594" t="str">
        <f t="shared" si="459"/>
        <v>00</v>
      </c>
      <c r="Z1594" t="str">
        <f t="shared" si="470"/>
        <v>00</v>
      </c>
      <c r="AA1594" t="str">
        <f t="shared" si="460"/>
        <v>00</v>
      </c>
      <c r="AB1594" t="str">
        <f t="shared" si="461"/>
        <v>00</v>
      </c>
      <c r="AC1594" t="str">
        <f t="shared" si="462"/>
        <v>0P0</v>
      </c>
      <c r="AD1594" t="str">
        <f t="shared" si="463"/>
        <v>P00</v>
      </c>
      <c r="AE1594" t="str">
        <f t="shared" si="464"/>
        <v>0P0</v>
      </c>
      <c r="AF1594" t="str">
        <f t="shared" si="465"/>
        <v>P00</v>
      </c>
      <c r="AG1594" t="str">
        <f t="shared" si="471"/>
        <v>0P00</v>
      </c>
      <c r="AH1594" t="str">
        <f t="shared" si="472"/>
        <v>P000</v>
      </c>
      <c r="AI1594" t="str">
        <f t="shared" si="473"/>
        <v>0P00</v>
      </c>
      <c r="AJ1594" t="str">
        <f t="shared" si="474"/>
        <v>P000</v>
      </c>
    </row>
    <row r="1595" spans="1:36" x14ac:dyDescent="0.25">
      <c r="A1595" s="325" t="str">
        <f>CONCATENATE("P",'906MP'!M1295)</f>
        <v>P</v>
      </c>
      <c r="B1595">
        <f>'906MP'!H1295</f>
        <v>0</v>
      </c>
      <c r="C1595">
        <f>'906MP'!J1295</f>
        <v>0</v>
      </c>
      <c r="D1595">
        <f>'906MP'!P1295</f>
        <v>0</v>
      </c>
      <c r="E1595">
        <f>'906MP'!X1295</f>
        <v>0</v>
      </c>
      <c r="F1595" t="str">
        <f t="shared" si="466"/>
        <v>0</v>
      </c>
      <c r="G1595" t="str">
        <f t="shared" si="467"/>
        <v>0</v>
      </c>
      <c r="H1595">
        <f>'906MP'!Y1295</f>
        <v>0</v>
      </c>
      <c r="I1595">
        <f>'906MP'!AK1295</f>
        <v>0</v>
      </c>
      <c r="J1595">
        <f>'906MP'!T1295</f>
        <v>0</v>
      </c>
      <c r="K1595">
        <f>'906MP'!AJ1295</f>
        <v>0</v>
      </c>
      <c r="L1595">
        <f>'906MP'!U1295</f>
        <v>0</v>
      </c>
      <c r="M1595" s="322" t="str">
        <f>IFERROR(VLOOKUP(A1595,PAR!$D$3:$E$53,2,FALSE),"nincs szervezet")</f>
        <v>nincs szervezet</v>
      </c>
      <c r="N1595" s="322" t="str">
        <f>VLOOKUP(F1595,PAR!$R$3:$S$5,2,FALSE)</f>
        <v>3 - egyik sem</v>
      </c>
      <c r="O1595" t="str">
        <f>IFERROR(VLOOKUP(J1595,PAR!$O$3:$P$5,2,FALSE),"nincs feladat")</f>
        <v>nincs feladat</v>
      </c>
      <c r="P1595" t="str">
        <f>IFERROR(VLOOKUP(G1595,PAR!$J$2:$M$19,4),"nincs rovat")</f>
        <v>nincs rovat</v>
      </c>
      <c r="Q1595" t="str">
        <f>IF(H1595&gt;0,VLOOKUP(H1595,PAR!$AA$3:$AC$187,3,FALSE),"nincs főkönyvi számla")</f>
        <v>nincs főkönyvi számla</v>
      </c>
      <c r="R1595" t="str">
        <f>IFERROR(VLOOKUP(K1595,PAR!$V$3:$X$438,3,FALSE),"000000 - Nincs COFOG")</f>
        <v>000000 - Nincs COFOG</v>
      </c>
      <c r="S1595">
        <f t="shared" si="468"/>
        <v>0</v>
      </c>
      <c r="T1595">
        <f t="shared" si="469"/>
        <v>0</v>
      </c>
      <c r="U1595" t="str">
        <f>IF('906MP'!J1295&gt;0,CONCATENATE('906MP'!J1295," - ",'906MP'!P1295,", ",'906MP'!E1295),"nincs megjegyzés")</f>
        <v>nincs megjegyzés</v>
      </c>
      <c r="V1595" t="str">
        <f t="shared" si="456"/>
        <v>0P0</v>
      </c>
      <c r="W1595" t="str">
        <f t="shared" si="457"/>
        <v>0P0</v>
      </c>
      <c r="X1595" t="str">
        <f t="shared" si="458"/>
        <v>P0</v>
      </c>
      <c r="Y1595" t="str">
        <f t="shared" si="459"/>
        <v>00</v>
      </c>
      <c r="Z1595" t="str">
        <f t="shared" si="470"/>
        <v>00</v>
      </c>
      <c r="AA1595" t="str">
        <f t="shared" si="460"/>
        <v>00</v>
      </c>
      <c r="AB1595" t="str">
        <f t="shared" si="461"/>
        <v>00</v>
      </c>
      <c r="AC1595" t="str">
        <f t="shared" si="462"/>
        <v>0P0</v>
      </c>
      <c r="AD1595" t="str">
        <f t="shared" si="463"/>
        <v>P00</v>
      </c>
      <c r="AE1595" t="str">
        <f t="shared" si="464"/>
        <v>0P0</v>
      </c>
      <c r="AF1595" t="str">
        <f t="shared" si="465"/>
        <v>P00</v>
      </c>
      <c r="AG1595" t="str">
        <f t="shared" si="471"/>
        <v>0P00</v>
      </c>
      <c r="AH1595" t="str">
        <f t="shared" si="472"/>
        <v>P000</v>
      </c>
      <c r="AI1595" t="str">
        <f t="shared" si="473"/>
        <v>0P00</v>
      </c>
      <c r="AJ1595" t="str">
        <f t="shared" si="474"/>
        <v>P000</v>
      </c>
    </row>
    <row r="1596" spans="1:36" x14ac:dyDescent="0.25">
      <c r="A1596" s="325" t="str">
        <f>CONCATENATE("P",'906MP'!M1296)</f>
        <v>P</v>
      </c>
      <c r="B1596">
        <f>'906MP'!H1296</f>
        <v>0</v>
      </c>
      <c r="C1596">
        <f>'906MP'!J1296</f>
        <v>0</v>
      </c>
      <c r="D1596">
        <f>'906MP'!P1296</f>
        <v>0</v>
      </c>
      <c r="E1596">
        <f>'906MP'!X1296</f>
        <v>0</v>
      </c>
      <c r="F1596" t="str">
        <f t="shared" si="466"/>
        <v>0</v>
      </c>
      <c r="G1596" t="str">
        <f t="shared" si="467"/>
        <v>0</v>
      </c>
      <c r="H1596">
        <f>'906MP'!Y1296</f>
        <v>0</v>
      </c>
      <c r="I1596">
        <f>'906MP'!AK1296</f>
        <v>0</v>
      </c>
      <c r="J1596">
        <f>'906MP'!T1296</f>
        <v>0</v>
      </c>
      <c r="K1596">
        <f>'906MP'!AJ1296</f>
        <v>0</v>
      </c>
      <c r="L1596">
        <f>'906MP'!U1296</f>
        <v>0</v>
      </c>
      <c r="M1596" s="322" t="str">
        <f>IFERROR(VLOOKUP(A1596,PAR!$D$3:$E$53,2,FALSE),"nincs szervezet")</f>
        <v>nincs szervezet</v>
      </c>
      <c r="N1596" s="322" t="str">
        <f>VLOOKUP(F1596,PAR!$R$3:$S$5,2,FALSE)</f>
        <v>3 - egyik sem</v>
      </c>
      <c r="O1596" t="str">
        <f>IFERROR(VLOOKUP(J1596,PAR!$O$3:$P$5,2,FALSE),"nincs feladat")</f>
        <v>nincs feladat</v>
      </c>
      <c r="P1596" t="str">
        <f>IFERROR(VLOOKUP(G1596,PAR!$J$2:$M$19,4),"nincs rovat")</f>
        <v>nincs rovat</v>
      </c>
      <c r="Q1596" t="str">
        <f>IF(H1596&gt;0,VLOOKUP(H1596,PAR!$AA$3:$AC$187,3,FALSE),"nincs főkönyvi számla")</f>
        <v>nincs főkönyvi számla</v>
      </c>
      <c r="R1596" t="str">
        <f>IFERROR(VLOOKUP(K1596,PAR!$V$3:$X$438,3,FALSE),"000000 - Nincs COFOG")</f>
        <v>000000 - Nincs COFOG</v>
      </c>
      <c r="S1596">
        <f t="shared" si="468"/>
        <v>0</v>
      </c>
      <c r="T1596">
        <f t="shared" si="469"/>
        <v>0</v>
      </c>
      <c r="U1596" t="str">
        <f>IF('906MP'!J1296&gt;0,CONCATENATE('906MP'!J1296," - ",'906MP'!P1296,", ",'906MP'!E1296),"nincs megjegyzés")</f>
        <v>nincs megjegyzés</v>
      </c>
      <c r="V1596" t="str">
        <f t="shared" si="456"/>
        <v>0P0</v>
      </c>
      <c r="W1596" t="str">
        <f t="shared" si="457"/>
        <v>0P0</v>
      </c>
      <c r="X1596" t="str">
        <f t="shared" si="458"/>
        <v>P0</v>
      </c>
      <c r="Y1596" t="str">
        <f t="shared" si="459"/>
        <v>00</v>
      </c>
      <c r="Z1596" t="str">
        <f t="shared" si="470"/>
        <v>00</v>
      </c>
      <c r="AA1596" t="str">
        <f t="shared" si="460"/>
        <v>00</v>
      </c>
      <c r="AB1596" t="str">
        <f t="shared" si="461"/>
        <v>00</v>
      </c>
      <c r="AC1596" t="str">
        <f t="shared" si="462"/>
        <v>0P0</v>
      </c>
      <c r="AD1596" t="str">
        <f t="shared" si="463"/>
        <v>P00</v>
      </c>
      <c r="AE1596" t="str">
        <f t="shared" si="464"/>
        <v>0P0</v>
      </c>
      <c r="AF1596" t="str">
        <f t="shared" si="465"/>
        <v>P00</v>
      </c>
      <c r="AG1596" t="str">
        <f t="shared" si="471"/>
        <v>0P00</v>
      </c>
      <c r="AH1596" t="str">
        <f t="shared" si="472"/>
        <v>P000</v>
      </c>
      <c r="AI1596" t="str">
        <f t="shared" si="473"/>
        <v>0P00</v>
      </c>
      <c r="AJ1596" t="str">
        <f t="shared" si="474"/>
        <v>P000</v>
      </c>
    </row>
    <row r="1597" spans="1:36" x14ac:dyDescent="0.25">
      <c r="A1597" s="325" t="str">
        <f>CONCATENATE("P",'906MP'!M1297)</f>
        <v>P</v>
      </c>
      <c r="B1597">
        <f>'906MP'!H1297</f>
        <v>0</v>
      </c>
      <c r="C1597">
        <f>'906MP'!J1297</f>
        <v>0</v>
      </c>
      <c r="D1597">
        <f>'906MP'!P1297</f>
        <v>0</v>
      </c>
      <c r="E1597">
        <f>'906MP'!X1297</f>
        <v>0</v>
      </c>
      <c r="F1597" t="str">
        <f t="shared" si="466"/>
        <v>0</v>
      </c>
      <c r="G1597" t="str">
        <f t="shared" si="467"/>
        <v>0</v>
      </c>
      <c r="H1597">
        <f>'906MP'!Y1297</f>
        <v>0</v>
      </c>
      <c r="I1597">
        <f>'906MP'!AK1297</f>
        <v>0</v>
      </c>
      <c r="J1597">
        <f>'906MP'!T1297</f>
        <v>0</v>
      </c>
      <c r="K1597">
        <f>'906MP'!AJ1297</f>
        <v>0</v>
      </c>
      <c r="L1597">
        <f>'906MP'!U1297</f>
        <v>0</v>
      </c>
      <c r="M1597" s="322" t="str">
        <f>IFERROR(VLOOKUP(A1597,PAR!$D$3:$E$53,2,FALSE),"nincs szervezet")</f>
        <v>nincs szervezet</v>
      </c>
      <c r="N1597" s="322" t="str">
        <f>VLOOKUP(F1597,PAR!$R$3:$S$5,2,FALSE)</f>
        <v>3 - egyik sem</v>
      </c>
      <c r="O1597" t="str">
        <f>IFERROR(VLOOKUP(J1597,PAR!$O$3:$P$5,2,FALSE),"nincs feladat")</f>
        <v>nincs feladat</v>
      </c>
      <c r="P1597" t="str">
        <f>IFERROR(VLOOKUP(G1597,PAR!$J$2:$M$19,4),"nincs rovat")</f>
        <v>nincs rovat</v>
      </c>
      <c r="Q1597" t="str">
        <f>IF(H1597&gt;0,VLOOKUP(H1597,PAR!$AA$3:$AC$187,3,FALSE),"nincs főkönyvi számla")</f>
        <v>nincs főkönyvi számla</v>
      </c>
      <c r="R1597" t="str">
        <f>IFERROR(VLOOKUP(K1597,PAR!$V$3:$X$438,3,FALSE),"000000 - Nincs COFOG")</f>
        <v>000000 - Nincs COFOG</v>
      </c>
      <c r="S1597">
        <f t="shared" si="468"/>
        <v>0</v>
      </c>
      <c r="T1597">
        <f t="shared" si="469"/>
        <v>0</v>
      </c>
      <c r="U1597" t="str">
        <f>IF('906MP'!J1297&gt;0,CONCATENATE('906MP'!J1297," - ",'906MP'!P1297,", ",'906MP'!E1297),"nincs megjegyzés")</f>
        <v>nincs megjegyzés</v>
      </c>
      <c r="V1597" t="str">
        <f t="shared" si="456"/>
        <v>0P0</v>
      </c>
      <c r="W1597" t="str">
        <f t="shared" si="457"/>
        <v>0P0</v>
      </c>
      <c r="X1597" t="str">
        <f t="shared" si="458"/>
        <v>P0</v>
      </c>
      <c r="Y1597" t="str">
        <f t="shared" si="459"/>
        <v>00</v>
      </c>
      <c r="Z1597" t="str">
        <f t="shared" si="470"/>
        <v>00</v>
      </c>
      <c r="AA1597" t="str">
        <f t="shared" si="460"/>
        <v>00</v>
      </c>
      <c r="AB1597" t="str">
        <f t="shared" si="461"/>
        <v>00</v>
      </c>
      <c r="AC1597" t="str">
        <f t="shared" si="462"/>
        <v>0P0</v>
      </c>
      <c r="AD1597" t="str">
        <f t="shared" si="463"/>
        <v>P00</v>
      </c>
      <c r="AE1597" t="str">
        <f t="shared" si="464"/>
        <v>0P0</v>
      </c>
      <c r="AF1597" t="str">
        <f t="shared" si="465"/>
        <v>P00</v>
      </c>
      <c r="AG1597" t="str">
        <f t="shared" si="471"/>
        <v>0P00</v>
      </c>
      <c r="AH1597" t="str">
        <f t="shared" si="472"/>
        <v>P000</v>
      </c>
      <c r="AI1597" t="str">
        <f t="shared" si="473"/>
        <v>0P00</v>
      </c>
      <c r="AJ1597" t="str">
        <f t="shared" si="474"/>
        <v>P000</v>
      </c>
    </row>
    <row r="1598" spans="1:36" x14ac:dyDescent="0.25">
      <c r="A1598" s="325" t="str">
        <f>CONCATENATE("P",'906MP'!M1298)</f>
        <v>P</v>
      </c>
      <c r="B1598">
        <f>'906MP'!H1298</f>
        <v>0</v>
      </c>
      <c r="C1598">
        <f>'906MP'!J1298</f>
        <v>0</v>
      </c>
      <c r="D1598">
        <f>'906MP'!P1298</f>
        <v>0</v>
      </c>
      <c r="E1598">
        <f>'906MP'!X1298</f>
        <v>0</v>
      </c>
      <c r="F1598" t="str">
        <f t="shared" si="466"/>
        <v>0</v>
      </c>
      <c r="G1598" t="str">
        <f t="shared" si="467"/>
        <v>0</v>
      </c>
      <c r="H1598">
        <f>'906MP'!Y1298</f>
        <v>0</v>
      </c>
      <c r="I1598">
        <f>'906MP'!AK1298</f>
        <v>0</v>
      </c>
      <c r="J1598">
        <f>'906MP'!T1298</f>
        <v>0</v>
      </c>
      <c r="K1598">
        <f>'906MP'!AJ1298</f>
        <v>0</v>
      </c>
      <c r="L1598">
        <f>'906MP'!U1298</f>
        <v>0</v>
      </c>
      <c r="M1598" s="322" t="str">
        <f>IFERROR(VLOOKUP(A1598,PAR!$D$3:$E$53,2,FALSE),"nincs szervezet")</f>
        <v>nincs szervezet</v>
      </c>
      <c r="N1598" s="322" t="str">
        <f>VLOOKUP(F1598,PAR!$R$3:$S$5,2,FALSE)</f>
        <v>3 - egyik sem</v>
      </c>
      <c r="O1598" t="str">
        <f>IFERROR(VLOOKUP(J1598,PAR!$O$3:$P$5,2,FALSE),"nincs feladat")</f>
        <v>nincs feladat</v>
      </c>
      <c r="P1598" t="str">
        <f>IFERROR(VLOOKUP(G1598,PAR!$J$2:$M$19,4),"nincs rovat")</f>
        <v>nincs rovat</v>
      </c>
      <c r="Q1598" t="str">
        <f>IF(H1598&gt;0,VLOOKUP(H1598,PAR!$AA$3:$AC$187,3,FALSE),"nincs főkönyvi számla")</f>
        <v>nincs főkönyvi számla</v>
      </c>
      <c r="R1598" t="str">
        <f>IFERROR(VLOOKUP(K1598,PAR!$V$3:$X$438,3,FALSE),"000000 - Nincs COFOG")</f>
        <v>000000 - Nincs COFOG</v>
      </c>
      <c r="S1598">
        <f t="shared" si="468"/>
        <v>0</v>
      </c>
      <c r="T1598">
        <f t="shared" si="469"/>
        <v>0</v>
      </c>
      <c r="U1598" t="str">
        <f>IF('906MP'!J1298&gt;0,CONCATENATE('906MP'!J1298," - ",'906MP'!P1298,", ",'906MP'!E1298),"nincs megjegyzés")</f>
        <v>nincs megjegyzés</v>
      </c>
      <c r="V1598" t="str">
        <f t="shared" si="456"/>
        <v>0P0</v>
      </c>
      <c r="W1598" t="str">
        <f t="shared" si="457"/>
        <v>0P0</v>
      </c>
      <c r="X1598" t="str">
        <f t="shared" si="458"/>
        <v>P0</v>
      </c>
      <c r="Y1598" t="str">
        <f t="shared" si="459"/>
        <v>00</v>
      </c>
      <c r="Z1598" t="str">
        <f t="shared" si="470"/>
        <v>00</v>
      </c>
      <c r="AA1598" t="str">
        <f t="shared" si="460"/>
        <v>00</v>
      </c>
      <c r="AB1598" t="str">
        <f t="shared" si="461"/>
        <v>00</v>
      </c>
      <c r="AC1598" t="str">
        <f t="shared" si="462"/>
        <v>0P0</v>
      </c>
      <c r="AD1598" t="str">
        <f t="shared" si="463"/>
        <v>P00</v>
      </c>
      <c r="AE1598" t="str">
        <f t="shared" si="464"/>
        <v>0P0</v>
      </c>
      <c r="AF1598" t="str">
        <f t="shared" si="465"/>
        <v>P00</v>
      </c>
      <c r="AG1598" t="str">
        <f t="shared" si="471"/>
        <v>0P00</v>
      </c>
      <c r="AH1598" t="str">
        <f t="shared" si="472"/>
        <v>P000</v>
      </c>
      <c r="AI1598" t="str">
        <f t="shared" si="473"/>
        <v>0P00</v>
      </c>
      <c r="AJ1598" t="str">
        <f t="shared" si="474"/>
        <v>P000</v>
      </c>
    </row>
    <row r="1599" spans="1:36" x14ac:dyDescent="0.25">
      <c r="A1599" s="325" t="str">
        <f>CONCATENATE("P",'906MP'!M1299)</f>
        <v>P</v>
      </c>
      <c r="B1599">
        <f>'906MP'!H1299</f>
        <v>0</v>
      </c>
      <c r="C1599">
        <f>'906MP'!J1299</f>
        <v>0</v>
      </c>
      <c r="D1599">
        <f>'906MP'!P1299</f>
        <v>0</v>
      </c>
      <c r="E1599">
        <f>'906MP'!X1299</f>
        <v>0</v>
      </c>
      <c r="F1599" t="str">
        <f t="shared" si="466"/>
        <v>0</v>
      </c>
      <c r="G1599" t="str">
        <f t="shared" si="467"/>
        <v>0</v>
      </c>
      <c r="H1599">
        <f>'906MP'!Y1299</f>
        <v>0</v>
      </c>
      <c r="I1599">
        <f>'906MP'!AK1299</f>
        <v>0</v>
      </c>
      <c r="J1599">
        <f>'906MP'!T1299</f>
        <v>0</v>
      </c>
      <c r="K1599">
        <f>'906MP'!AJ1299</f>
        <v>0</v>
      </c>
      <c r="L1599">
        <f>'906MP'!U1299</f>
        <v>0</v>
      </c>
      <c r="M1599" s="322" t="str">
        <f>IFERROR(VLOOKUP(A1599,PAR!$D$3:$E$53,2,FALSE),"nincs szervezet")</f>
        <v>nincs szervezet</v>
      </c>
      <c r="N1599" s="322" t="str">
        <f>VLOOKUP(F1599,PAR!$R$3:$S$5,2,FALSE)</f>
        <v>3 - egyik sem</v>
      </c>
      <c r="O1599" t="str">
        <f>IFERROR(VLOOKUP(J1599,PAR!$O$3:$P$5,2,FALSE),"nincs feladat")</f>
        <v>nincs feladat</v>
      </c>
      <c r="P1599" t="str">
        <f>IFERROR(VLOOKUP(G1599,PAR!$J$2:$M$19,4),"nincs rovat")</f>
        <v>nincs rovat</v>
      </c>
      <c r="Q1599" t="str">
        <f>IF(H1599&gt;0,VLOOKUP(H1599,PAR!$AA$3:$AC$187,3,FALSE),"nincs főkönyvi számla")</f>
        <v>nincs főkönyvi számla</v>
      </c>
      <c r="R1599" t="str">
        <f>IFERROR(VLOOKUP(K1599,PAR!$V$3:$X$438,3,FALSE),"000000 - Nincs COFOG")</f>
        <v>000000 - Nincs COFOG</v>
      </c>
      <c r="S1599">
        <f t="shared" si="468"/>
        <v>0</v>
      </c>
      <c r="T1599">
        <f t="shared" si="469"/>
        <v>0</v>
      </c>
      <c r="U1599" t="str">
        <f>IF('906MP'!J1299&gt;0,CONCATENATE('906MP'!J1299," - ",'906MP'!P1299,", ",'906MP'!E1299),"nincs megjegyzés")</f>
        <v>nincs megjegyzés</v>
      </c>
      <c r="V1599" t="str">
        <f t="shared" si="456"/>
        <v>0P0</v>
      </c>
      <c r="W1599" t="str">
        <f t="shared" si="457"/>
        <v>0P0</v>
      </c>
      <c r="X1599" t="str">
        <f t="shared" si="458"/>
        <v>P0</v>
      </c>
      <c r="Y1599" t="str">
        <f t="shared" si="459"/>
        <v>00</v>
      </c>
      <c r="Z1599" t="str">
        <f t="shared" si="470"/>
        <v>00</v>
      </c>
      <c r="AA1599" t="str">
        <f t="shared" si="460"/>
        <v>00</v>
      </c>
      <c r="AB1599" t="str">
        <f t="shared" si="461"/>
        <v>00</v>
      </c>
      <c r="AC1599" t="str">
        <f t="shared" si="462"/>
        <v>0P0</v>
      </c>
      <c r="AD1599" t="str">
        <f t="shared" si="463"/>
        <v>P00</v>
      </c>
      <c r="AE1599" t="str">
        <f t="shared" si="464"/>
        <v>0P0</v>
      </c>
      <c r="AF1599" t="str">
        <f t="shared" si="465"/>
        <v>P00</v>
      </c>
      <c r="AG1599" t="str">
        <f t="shared" si="471"/>
        <v>0P00</v>
      </c>
      <c r="AH1599" t="str">
        <f t="shared" si="472"/>
        <v>P000</v>
      </c>
      <c r="AI1599" t="str">
        <f t="shared" si="473"/>
        <v>0P00</v>
      </c>
      <c r="AJ1599" t="str">
        <f t="shared" si="474"/>
        <v>P000</v>
      </c>
    </row>
    <row r="1600" spans="1:36" x14ac:dyDescent="0.25">
      <c r="A1600" s="325" t="str">
        <f>CONCATENATE("P",'906MP'!M1300)</f>
        <v>P</v>
      </c>
      <c r="B1600">
        <f>'906MP'!H1300</f>
        <v>0</v>
      </c>
      <c r="C1600">
        <f>'906MP'!J1300</f>
        <v>0</v>
      </c>
      <c r="D1600">
        <f>'906MP'!P1300</f>
        <v>0</v>
      </c>
      <c r="E1600">
        <f>'906MP'!X1300</f>
        <v>0</v>
      </c>
      <c r="F1600" t="str">
        <f t="shared" si="466"/>
        <v>0</v>
      </c>
      <c r="G1600" t="str">
        <f t="shared" si="467"/>
        <v>0</v>
      </c>
      <c r="H1600">
        <f>'906MP'!Y1300</f>
        <v>0</v>
      </c>
      <c r="I1600">
        <f>'906MP'!AK1300</f>
        <v>0</v>
      </c>
      <c r="J1600">
        <f>'906MP'!T1300</f>
        <v>0</v>
      </c>
      <c r="K1600">
        <f>'906MP'!AJ1300</f>
        <v>0</v>
      </c>
      <c r="L1600">
        <f>'906MP'!U1300</f>
        <v>0</v>
      </c>
      <c r="M1600" s="322" t="str">
        <f>IFERROR(VLOOKUP(A1600,PAR!$D$3:$E$53,2,FALSE),"nincs szervezet")</f>
        <v>nincs szervezet</v>
      </c>
      <c r="N1600" s="322" t="str">
        <f>VLOOKUP(F1600,PAR!$R$3:$S$5,2,FALSE)</f>
        <v>3 - egyik sem</v>
      </c>
      <c r="O1600" t="str">
        <f>IFERROR(VLOOKUP(J1600,PAR!$O$3:$P$5,2,FALSE),"nincs feladat")</f>
        <v>nincs feladat</v>
      </c>
      <c r="P1600" t="str">
        <f>IFERROR(VLOOKUP(G1600,PAR!$J$2:$M$19,4),"nincs rovat")</f>
        <v>nincs rovat</v>
      </c>
      <c r="Q1600" t="str">
        <f>IF(H1600&gt;0,VLOOKUP(H1600,PAR!$AA$3:$AC$187,3,FALSE),"nincs főkönyvi számla")</f>
        <v>nincs főkönyvi számla</v>
      </c>
      <c r="R1600" t="str">
        <f>IFERROR(VLOOKUP(K1600,PAR!$V$3:$X$438,3,FALSE),"000000 - Nincs COFOG")</f>
        <v>000000 - Nincs COFOG</v>
      </c>
      <c r="S1600">
        <f t="shared" si="468"/>
        <v>0</v>
      </c>
      <c r="T1600">
        <f t="shared" si="469"/>
        <v>0</v>
      </c>
      <c r="U1600" t="str">
        <f>IF('906MP'!J1300&gt;0,CONCATENATE('906MP'!J1300," - ",'906MP'!P1300,", ",'906MP'!E1300),"nincs megjegyzés")</f>
        <v>nincs megjegyzés</v>
      </c>
      <c r="V1600" t="str">
        <f t="shared" si="456"/>
        <v>0P0</v>
      </c>
      <c r="W1600" t="str">
        <f t="shared" si="457"/>
        <v>0P0</v>
      </c>
      <c r="X1600" t="str">
        <f t="shared" si="458"/>
        <v>P0</v>
      </c>
      <c r="Y1600" t="str">
        <f t="shared" si="459"/>
        <v>00</v>
      </c>
      <c r="Z1600" t="str">
        <f t="shared" si="470"/>
        <v>00</v>
      </c>
      <c r="AA1600" t="str">
        <f t="shared" si="460"/>
        <v>00</v>
      </c>
      <c r="AB1600" t="str">
        <f t="shared" si="461"/>
        <v>00</v>
      </c>
      <c r="AC1600" t="str">
        <f t="shared" si="462"/>
        <v>0P0</v>
      </c>
      <c r="AD1600" t="str">
        <f t="shared" si="463"/>
        <v>P00</v>
      </c>
      <c r="AE1600" t="str">
        <f t="shared" si="464"/>
        <v>0P0</v>
      </c>
      <c r="AF1600" t="str">
        <f t="shared" si="465"/>
        <v>P00</v>
      </c>
      <c r="AG1600" t="str">
        <f t="shared" si="471"/>
        <v>0P00</v>
      </c>
      <c r="AH1600" t="str">
        <f t="shared" si="472"/>
        <v>P000</v>
      </c>
      <c r="AI1600" t="str">
        <f t="shared" si="473"/>
        <v>0P00</v>
      </c>
      <c r="AJ1600" t="str">
        <f t="shared" si="474"/>
        <v>P000</v>
      </c>
    </row>
    <row r="1601" spans="1:36" x14ac:dyDescent="0.25">
      <c r="A1601" s="325" t="str">
        <f>CONCATENATE("P",'906MP'!M1301)</f>
        <v>P</v>
      </c>
      <c r="B1601">
        <f>'906MP'!H1301</f>
        <v>0</v>
      </c>
      <c r="C1601">
        <f>'906MP'!J1301</f>
        <v>0</v>
      </c>
      <c r="D1601">
        <f>'906MP'!P1301</f>
        <v>0</v>
      </c>
      <c r="E1601">
        <f>'906MP'!X1301</f>
        <v>0</v>
      </c>
      <c r="F1601" t="str">
        <f t="shared" si="466"/>
        <v>0</v>
      </c>
      <c r="G1601" t="str">
        <f t="shared" si="467"/>
        <v>0</v>
      </c>
      <c r="H1601">
        <f>'906MP'!Y1301</f>
        <v>0</v>
      </c>
      <c r="I1601">
        <f>'906MP'!AK1301</f>
        <v>0</v>
      </c>
      <c r="J1601">
        <f>'906MP'!T1301</f>
        <v>0</v>
      </c>
      <c r="K1601">
        <f>'906MP'!AJ1301</f>
        <v>0</v>
      </c>
      <c r="L1601">
        <f>'906MP'!U1301</f>
        <v>0</v>
      </c>
      <c r="M1601" s="322" t="str">
        <f>IFERROR(VLOOKUP(A1601,PAR!$D$3:$E$53,2,FALSE),"nincs szervezet")</f>
        <v>nincs szervezet</v>
      </c>
      <c r="N1601" s="322" t="str">
        <f>VLOOKUP(F1601,PAR!$R$3:$S$5,2,FALSE)</f>
        <v>3 - egyik sem</v>
      </c>
      <c r="O1601" t="str">
        <f>IFERROR(VLOOKUP(J1601,PAR!$O$3:$P$5,2,FALSE),"nincs feladat")</f>
        <v>nincs feladat</v>
      </c>
      <c r="P1601" t="str">
        <f>IFERROR(VLOOKUP(G1601,PAR!$J$2:$M$19,4),"nincs rovat")</f>
        <v>nincs rovat</v>
      </c>
      <c r="Q1601" t="str">
        <f>IF(H1601&gt;0,VLOOKUP(H1601,PAR!$AA$3:$AC$187,3,FALSE),"nincs főkönyvi számla")</f>
        <v>nincs főkönyvi számla</v>
      </c>
      <c r="R1601" t="str">
        <f>IFERROR(VLOOKUP(K1601,PAR!$V$3:$X$438,3,FALSE),"000000 - Nincs COFOG")</f>
        <v>000000 - Nincs COFOG</v>
      </c>
      <c r="S1601">
        <f t="shared" si="468"/>
        <v>0</v>
      </c>
      <c r="T1601">
        <f t="shared" si="469"/>
        <v>0</v>
      </c>
      <c r="U1601" t="str">
        <f>IF('906MP'!J1301&gt;0,CONCATENATE('906MP'!J1301," - ",'906MP'!P1301,", ",'906MP'!E1301),"nincs megjegyzés")</f>
        <v>nincs megjegyzés</v>
      </c>
      <c r="V1601" t="str">
        <f t="shared" si="456"/>
        <v>0P0</v>
      </c>
      <c r="W1601" t="str">
        <f t="shared" si="457"/>
        <v>0P0</v>
      </c>
      <c r="X1601" t="str">
        <f t="shared" si="458"/>
        <v>P0</v>
      </c>
      <c r="Y1601" t="str">
        <f t="shared" si="459"/>
        <v>00</v>
      </c>
      <c r="Z1601" t="str">
        <f t="shared" si="470"/>
        <v>00</v>
      </c>
      <c r="AA1601" t="str">
        <f t="shared" si="460"/>
        <v>00</v>
      </c>
      <c r="AB1601" t="str">
        <f t="shared" si="461"/>
        <v>00</v>
      </c>
      <c r="AC1601" t="str">
        <f t="shared" si="462"/>
        <v>0P0</v>
      </c>
      <c r="AD1601" t="str">
        <f t="shared" si="463"/>
        <v>P00</v>
      </c>
      <c r="AE1601" t="str">
        <f t="shared" si="464"/>
        <v>0P0</v>
      </c>
      <c r="AF1601" t="str">
        <f t="shared" si="465"/>
        <v>P00</v>
      </c>
      <c r="AG1601" t="str">
        <f t="shared" si="471"/>
        <v>0P00</v>
      </c>
      <c r="AH1601" t="str">
        <f t="shared" si="472"/>
        <v>P000</v>
      </c>
      <c r="AI1601" t="str">
        <f t="shared" si="473"/>
        <v>0P00</v>
      </c>
      <c r="AJ1601" t="str">
        <f t="shared" si="474"/>
        <v>P000</v>
      </c>
    </row>
    <row r="1602" spans="1:36" x14ac:dyDescent="0.25">
      <c r="A1602" s="325" t="str">
        <f>CONCATENATE("P",'906MP'!M1302)</f>
        <v>P</v>
      </c>
      <c r="B1602">
        <f>'906MP'!H1302</f>
        <v>0</v>
      </c>
      <c r="C1602">
        <f>'906MP'!J1302</f>
        <v>0</v>
      </c>
      <c r="D1602">
        <f>'906MP'!P1302</f>
        <v>0</v>
      </c>
      <c r="E1602">
        <f>'906MP'!X1302</f>
        <v>0</v>
      </c>
      <c r="F1602" t="str">
        <f t="shared" si="466"/>
        <v>0</v>
      </c>
      <c r="G1602" t="str">
        <f t="shared" si="467"/>
        <v>0</v>
      </c>
      <c r="H1602">
        <f>'906MP'!Y1302</f>
        <v>0</v>
      </c>
      <c r="I1602">
        <f>'906MP'!AK1302</f>
        <v>0</v>
      </c>
      <c r="J1602">
        <f>'906MP'!T1302</f>
        <v>0</v>
      </c>
      <c r="K1602">
        <f>'906MP'!AJ1302</f>
        <v>0</v>
      </c>
      <c r="L1602">
        <f>'906MP'!U1302</f>
        <v>0</v>
      </c>
      <c r="M1602" s="322" t="str">
        <f>IFERROR(VLOOKUP(A1602,PAR!$D$3:$E$53,2,FALSE),"nincs szervezet")</f>
        <v>nincs szervezet</v>
      </c>
      <c r="N1602" s="322" t="str">
        <f>VLOOKUP(F1602,PAR!$R$3:$S$5,2,FALSE)</f>
        <v>3 - egyik sem</v>
      </c>
      <c r="O1602" t="str">
        <f>IFERROR(VLOOKUP(J1602,PAR!$O$3:$P$5,2,FALSE),"nincs feladat")</f>
        <v>nincs feladat</v>
      </c>
      <c r="P1602" t="str">
        <f>IFERROR(VLOOKUP(G1602,PAR!$J$2:$M$19,4),"nincs rovat")</f>
        <v>nincs rovat</v>
      </c>
      <c r="Q1602" t="str">
        <f>IF(H1602&gt;0,VLOOKUP(H1602,PAR!$AA$3:$AC$187,3,FALSE),"nincs főkönyvi számla")</f>
        <v>nincs főkönyvi számla</v>
      </c>
      <c r="R1602" t="str">
        <f>IFERROR(VLOOKUP(K1602,PAR!$V$3:$X$438,3,FALSE),"000000 - Nincs COFOG")</f>
        <v>000000 - Nincs COFOG</v>
      </c>
      <c r="S1602">
        <f t="shared" si="468"/>
        <v>0</v>
      </c>
      <c r="T1602">
        <f t="shared" si="469"/>
        <v>0</v>
      </c>
      <c r="U1602" t="str">
        <f>IF('906MP'!J1302&gt;0,CONCATENATE('906MP'!J1302," - ",'906MP'!P1302,", ",'906MP'!E1302),"nincs megjegyzés")</f>
        <v>nincs megjegyzés</v>
      </c>
      <c r="V1602" t="str">
        <f t="shared" ref="V1602:V1665" si="475">CONCATENATE(B1602,A1602,G1602)</f>
        <v>0P0</v>
      </c>
      <c r="W1602" t="str">
        <f t="shared" ref="W1602:W1665" si="476">CONCATENATE(B1602,A1602,F1602)</f>
        <v>0P0</v>
      </c>
      <c r="X1602" t="str">
        <f t="shared" ref="X1602:X1665" si="477">CONCATENATE(A1602,H1602)</f>
        <v>P0</v>
      </c>
      <c r="Y1602" t="str">
        <f t="shared" ref="Y1602:Y1665" si="478">CONCATENATE(B1602,H1602)</f>
        <v>00</v>
      </c>
      <c r="Z1602" t="str">
        <f t="shared" si="470"/>
        <v>00</v>
      </c>
      <c r="AA1602" t="str">
        <f t="shared" ref="AA1602:AA1665" si="479">CONCATENATE(B1602,G1602)</f>
        <v>00</v>
      </c>
      <c r="AB1602" t="str">
        <f t="shared" ref="AB1602:AB1665" si="480">CONCATENATE(J1602,G1602)</f>
        <v>00</v>
      </c>
      <c r="AC1602" t="str">
        <f t="shared" ref="AC1602:AC1665" si="481">CONCATENATE(B1602,A1602,H1602)</f>
        <v>0P0</v>
      </c>
      <c r="AD1602" t="str">
        <f t="shared" ref="AD1602:AD1665" si="482">CONCATENATE(A1602,H1602,J1602)</f>
        <v>P00</v>
      </c>
      <c r="AE1602" t="str">
        <f t="shared" ref="AE1602:AE1665" si="483">CONCATENATE(B1602,A1602,G1602)</f>
        <v>0P0</v>
      </c>
      <c r="AF1602" t="str">
        <f t="shared" ref="AF1602:AF1665" si="484">CONCATENATE(A1602,G1602,J1602)</f>
        <v>P00</v>
      </c>
      <c r="AG1602" t="str">
        <f t="shared" si="471"/>
        <v>0P00</v>
      </c>
      <c r="AH1602" t="str">
        <f t="shared" si="472"/>
        <v>P000</v>
      </c>
      <c r="AI1602" t="str">
        <f t="shared" si="473"/>
        <v>0P00</v>
      </c>
      <c r="AJ1602" t="str">
        <f t="shared" si="474"/>
        <v>P000</v>
      </c>
    </row>
    <row r="1603" spans="1:36" x14ac:dyDescent="0.25">
      <c r="A1603" s="325" t="str">
        <f>CONCATENATE("P",'906MP'!M1303)</f>
        <v>P</v>
      </c>
      <c r="B1603">
        <f>'906MP'!H1303</f>
        <v>0</v>
      </c>
      <c r="C1603">
        <f>'906MP'!J1303</f>
        <v>0</v>
      </c>
      <c r="D1603">
        <f>'906MP'!P1303</f>
        <v>0</v>
      </c>
      <c r="E1603">
        <f>'906MP'!X1303</f>
        <v>0</v>
      </c>
      <c r="F1603" t="str">
        <f t="shared" ref="F1603:F1666" si="485">LEFT(G1603,2)</f>
        <v>0</v>
      </c>
      <c r="G1603" t="str">
        <f t="shared" ref="G1603:G1666" si="486">LEFT(H1603,3)</f>
        <v>0</v>
      </c>
      <c r="H1603">
        <f>'906MP'!Y1303</f>
        <v>0</v>
      </c>
      <c r="I1603">
        <f>'906MP'!AK1303</f>
        <v>0</v>
      </c>
      <c r="J1603">
        <f>'906MP'!T1303</f>
        <v>0</v>
      </c>
      <c r="K1603">
        <f>'906MP'!AJ1303</f>
        <v>0</v>
      </c>
      <c r="L1603">
        <f>'906MP'!U1303</f>
        <v>0</v>
      </c>
      <c r="M1603" s="322" t="str">
        <f>IFERROR(VLOOKUP(A1603,PAR!$D$3:$E$53,2,FALSE),"nincs szervezet")</f>
        <v>nincs szervezet</v>
      </c>
      <c r="N1603" s="322" t="str">
        <f>VLOOKUP(F1603,PAR!$R$3:$S$5,2,FALSE)</f>
        <v>3 - egyik sem</v>
      </c>
      <c r="O1603" t="str">
        <f>IFERROR(VLOOKUP(J1603,PAR!$O$3:$P$5,2,FALSE),"nincs feladat")</f>
        <v>nincs feladat</v>
      </c>
      <c r="P1603" t="str">
        <f>IFERROR(VLOOKUP(G1603,PAR!$J$2:$M$19,4),"nincs rovat")</f>
        <v>nincs rovat</v>
      </c>
      <c r="Q1603" t="str">
        <f>IF(H1603&gt;0,VLOOKUP(H1603,PAR!$AA$3:$AC$187,3,FALSE),"nincs főkönyvi számla")</f>
        <v>nincs főkönyvi számla</v>
      </c>
      <c r="R1603" t="str">
        <f>IFERROR(VLOOKUP(K1603,PAR!$V$3:$X$438,3,FALSE),"000000 - Nincs COFOG")</f>
        <v>000000 - Nincs COFOG</v>
      </c>
      <c r="S1603">
        <f t="shared" ref="S1603:S1666" si="487">E1603</f>
        <v>0</v>
      </c>
      <c r="T1603">
        <f t="shared" ref="T1603:T1666" si="488">IF(F1603="09",E1603*-1,E1603)</f>
        <v>0</v>
      </c>
      <c r="U1603" t="str">
        <f>IF('906MP'!J1303&gt;0,CONCATENATE('906MP'!J1303," - ",'906MP'!P1303,", ",'906MP'!E1303),"nincs megjegyzés")</f>
        <v>nincs megjegyzés</v>
      </c>
      <c r="V1603" t="str">
        <f t="shared" si="475"/>
        <v>0P0</v>
      </c>
      <c r="W1603" t="str">
        <f t="shared" si="476"/>
        <v>0P0</v>
      </c>
      <c r="X1603" t="str">
        <f t="shared" si="477"/>
        <v>P0</v>
      </c>
      <c r="Y1603" t="str">
        <f t="shared" si="478"/>
        <v>00</v>
      </c>
      <c r="Z1603" t="str">
        <f t="shared" ref="Z1603:Z1666" si="489">CONCATENATE(J1603,H1603)</f>
        <v>00</v>
      </c>
      <c r="AA1603" t="str">
        <f t="shared" si="479"/>
        <v>00</v>
      </c>
      <c r="AB1603" t="str">
        <f t="shared" si="480"/>
        <v>00</v>
      </c>
      <c r="AC1603" t="str">
        <f t="shared" si="481"/>
        <v>0P0</v>
      </c>
      <c r="AD1603" t="str">
        <f t="shared" si="482"/>
        <v>P00</v>
      </c>
      <c r="AE1603" t="str">
        <f t="shared" si="483"/>
        <v>0P0</v>
      </c>
      <c r="AF1603" t="str">
        <f t="shared" si="484"/>
        <v>P00</v>
      </c>
      <c r="AG1603" t="str">
        <f t="shared" ref="AG1603:AG1666" si="490">CONCATENATE(B1603,A1603,H1603,L1603)</f>
        <v>0P00</v>
      </c>
      <c r="AH1603" t="str">
        <f t="shared" ref="AH1603:AH1666" si="491">CONCATENATE(A1603,J1603,H1603,L1603)</f>
        <v>P000</v>
      </c>
      <c r="AI1603" t="str">
        <f t="shared" ref="AI1603:AI1666" si="492">CONCATENATE(B1603,A1603,G1603,L1603)</f>
        <v>0P00</v>
      </c>
      <c r="AJ1603" t="str">
        <f t="shared" ref="AJ1603:AJ1666" si="493">CONCATENATE(A1603,G1603,J1603,L1603)</f>
        <v>P000</v>
      </c>
    </row>
    <row r="1604" spans="1:36" x14ac:dyDescent="0.25">
      <c r="A1604" s="325" t="str">
        <f>CONCATENATE("P",'906MP'!M1304)</f>
        <v>P</v>
      </c>
      <c r="B1604">
        <f>'906MP'!H1304</f>
        <v>0</v>
      </c>
      <c r="C1604">
        <f>'906MP'!J1304</f>
        <v>0</v>
      </c>
      <c r="D1604">
        <f>'906MP'!P1304</f>
        <v>0</v>
      </c>
      <c r="E1604">
        <f>'906MP'!X1304</f>
        <v>0</v>
      </c>
      <c r="F1604" t="str">
        <f t="shared" si="485"/>
        <v>0</v>
      </c>
      <c r="G1604" t="str">
        <f t="shared" si="486"/>
        <v>0</v>
      </c>
      <c r="H1604">
        <f>'906MP'!Y1304</f>
        <v>0</v>
      </c>
      <c r="I1604">
        <f>'906MP'!AK1304</f>
        <v>0</v>
      </c>
      <c r="J1604">
        <f>'906MP'!T1304</f>
        <v>0</v>
      </c>
      <c r="K1604">
        <f>'906MP'!AJ1304</f>
        <v>0</v>
      </c>
      <c r="L1604">
        <f>'906MP'!U1304</f>
        <v>0</v>
      </c>
      <c r="M1604" s="322" t="str">
        <f>IFERROR(VLOOKUP(A1604,PAR!$D$3:$E$53,2,FALSE),"nincs szervezet")</f>
        <v>nincs szervezet</v>
      </c>
      <c r="N1604" s="322" t="str">
        <f>VLOOKUP(F1604,PAR!$R$3:$S$5,2,FALSE)</f>
        <v>3 - egyik sem</v>
      </c>
      <c r="O1604" t="str">
        <f>IFERROR(VLOOKUP(J1604,PAR!$O$3:$P$5,2,FALSE),"nincs feladat")</f>
        <v>nincs feladat</v>
      </c>
      <c r="P1604" t="str">
        <f>IFERROR(VLOOKUP(G1604,PAR!$J$2:$M$19,4),"nincs rovat")</f>
        <v>nincs rovat</v>
      </c>
      <c r="Q1604" t="str">
        <f>IF(H1604&gt;0,VLOOKUP(H1604,PAR!$AA$3:$AC$187,3,FALSE),"nincs főkönyvi számla")</f>
        <v>nincs főkönyvi számla</v>
      </c>
      <c r="R1604" t="str">
        <f>IFERROR(VLOOKUP(K1604,PAR!$V$3:$X$438,3,FALSE),"000000 - Nincs COFOG")</f>
        <v>000000 - Nincs COFOG</v>
      </c>
      <c r="S1604">
        <f t="shared" si="487"/>
        <v>0</v>
      </c>
      <c r="T1604">
        <f t="shared" si="488"/>
        <v>0</v>
      </c>
      <c r="U1604" t="str">
        <f>IF('906MP'!J1304&gt;0,CONCATENATE('906MP'!J1304," - ",'906MP'!P1304,", ",'906MP'!E1304),"nincs megjegyzés")</f>
        <v>nincs megjegyzés</v>
      </c>
      <c r="V1604" t="str">
        <f t="shared" si="475"/>
        <v>0P0</v>
      </c>
      <c r="W1604" t="str">
        <f t="shared" si="476"/>
        <v>0P0</v>
      </c>
      <c r="X1604" t="str">
        <f t="shared" si="477"/>
        <v>P0</v>
      </c>
      <c r="Y1604" t="str">
        <f t="shared" si="478"/>
        <v>00</v>
      </c>
      <c r="Z1604" t="str">
        <f t="shared" si="489"/>
        <v>00</v>
      </c>
      <c r="AA1604" t="str">
        <f t="shared" si="479"/>
        <v>00</v>
      </c>
      <c r="AB1604" t="str">
        <f t="shared" si="480"/>
        <v>00</v>
      </c>
      <c r="AC1604" t="str">
        <f t="shared" si="481"/>
        <v>0P0</v>
      </c>
      <c r="AD1604" t="str">
        <f t="shared" si="482"/>
        <v>P00</v>
      </c>
      <c r="AE1604" t="str">
        <f t="shared" si="483"/>
        <v>0P0</v>
      </c>
      <c r="AF1604" t="str">
        <f t="shared" si="484"/>
        <v>P00</v>
      </c>
      <c r="AG1604" t="str">
        <f t="shared" si="490"/>
        <v>0P00</v>
      </c>
      <c r="AH1604" t="str">
        <f t="shared" si="491"/>
        <v>P000</v>
      </c>
      <c r="AI1604" t="str">
        <f t="shared" si="492"/>
        <v>0P00</v>
      </c>
      <c r="AJ1604" t="str">
        <f t="shared" si="493"/>
        <v>P000</v>
      </c>
    </row>
    <row r="1605" spans="1:36" x14ac:dyDescent="0.25">
      <c r="A1605" s="325" t="str">
        <f>CONCATENATE("P",'906MP'!M1305)</f>
        <v>P</v>
      </c>
      <c r="B1605">
        <f>'906MP'!H1305</f>
        <v>0</v>
      </c>
      <c r="C1605">
        <f>'906MP'!J1305</f>
        <v>0</v>
      </c>
      <c r="D1605">
        <f>'906MP'!P1305</f>
        <v>0</v>
      </c>
      <c r="E1605">
        <f>'906MP'!X1305</f>
        <v>0</v>
      </c>
      <c r="F1605" t="str">
        <f t="shared" si="485"/>
        <v>0</v>
      </c>
      <c r="G1605" t="str">
        <f t="shared" si="486"/>
        <v>0</v>
      </c>
      <c r="H1605">
        <f>'906MP'!Y1305</f>
        <v>0</v>
      </c>
      <c r="I1605">
        <f>'906MP'!AK1305</f>
        <v>0</v>
      </c>
      <c r="J1605">
        <f>'906MP'!T1305</f>
        <v>0</v>
      </c>
      <c r="K1605">
        <f>'906MP'!AJ1305</f>
        <v>0</v>
      </c>
      <c r="L1605">
        <f>'906MP'!U1305</f>
        <v>0</v>
      </c>
      <c r="M1605" s="322" t="str">
        <f>IFERROR(VLOOKUP(A1605,PAR!$D$3:$E$53,2,FALSE),"nincs szervezet")</f>
        <v>nincs szervezet</v>
      </c>
      <c r="N1605" s="322" t="str">
        <f>VLOOKUP(F1605,PAR!$R$3:$S$5,2,FALSE)</f>
        <v>3 - egyik sem</v>
      </c>
      <c r="O1605" t="str">
        <f>IFERROR(VLOOKUP(J1605,PAR!$O$3:$P$5,2,FALSE),"nincs feladat")</f>
        <v>nincs feladat</v>
      </c>
      <c r="P1605" t="str">
        <f>IFERROR(VLOOKUP(G1605,PAR!$J$2:$M$19,4),"nincs rovat")</f>
        <v>nincs rovat</v>
      </c>
      <c r="Q1605" t="str">
        <f>IF(H1605&gt;0,VLOOKUP(H1605,PAR!$AA$3:$AC$187,3,FALSE),"nincs főkönyvi számla")</f>
        <v>nincs főkönyvi számla</v>
      </c>
      <c r="R1605" t="str">
        <f>IFERROR(VLOOKUP(K1605,PAR!$V$3:$X$438,3,FALSE),"000000 - Nincs COFOG")</f>
        <v>000000 - Nincs COFOG</v>
      </c>
      <c r="S1605">
        <f t="shared" si="487"/>
        <v>0</v>
      </c>
      <c r="T1605">
        <f t="shared" si="488"/>
        <v>0</v>
      </c>
      <c r="U1605" t="str">
        <f>IF('906MP'!J1305&gt;0,CONCATENATE('906MP'!J1305," - ",'906MP'!P1305,", ",'906MP'!E1305),"nincs megjegyzés")</f>
        <v>nincs megjegyzés</v>
      </c>
      <c r="V1605" t="str">
        <f t="shared" si="475"/>
        <v>0P0</v>
      </c>
      <c r="W1605" t="str">
        <f t="shared" si="476"/>
        <v>0P0</v>
      </c>
      <c r="X1605" t="str">
        <f t="shared" si="477"/>
        <v>P0</v>
      </c>
      <c r="Y1605" t="str">
        <f t="shared" si="478"/>
        <v>00</v>
      </c>
      <c r="Z1605" t="str">
        <f t="shared" si="489"/>
        <v>00</v>
      </c>
      <c r="AA1605" t="str">
        <f t="shared" si="479"/>
        <v>00</v>
      </c>
      <c r="AB1605" t="str">
        <f t="shared" si="480"/>
        <v>00</v>
      </c>
      <c r="AC1605" t="str">
        <f t="shared" si="481"/>
        <v>0P0</v>
      </c>
      <c r="AD1605" t="str">
        <f t="shared" si="482"/>
        <v>P00</v>
      </c>
      <c r="AE1605" t="str">
        <f t="shared" si="483"/>
        <v>0P0</v>
      </c>
      <c r="AF1605" t="str">
        <f t="shared" si="484"/>
        <v>P00</v>
      </c>
      <c r="AG1605" t="str">
        <f t="shared" si="490"/>
        <v>0P00</v>
      </c>
      <c r="AH1605" t="str">
        <f t="shared" si="491"/>
        <v>P000</v>
      </c>
      <c r="AI1605" t="str">
        <f t="shared" si="492"/>
        <v>0P00</v>
      </c>
      <c r="AJ1605" t="str">
        <f t="shared" si="493"/>
        <v>P000</v>
      </c>
    </row>
    <row r="1606" spans="1:36" x14ac:dyDescent="0.25">
      <c r="A1606" s="325" t="str">
        <f>CONCATENATE("P",'906MP'!M1306)</f>
        <v>P</v>
      </c>
      <c r="B1606">
        <f>'906MP'!H1306</f>
        <v>0</v>
      </c>
      <c r="C1606">
        <f>'906MP'!J1306</f>
        <v>0</v>
      </c>
      <c r="D1606">
        <f>'906MP'!P1306</f>
        <v>0</v>
      </c>
      <c r="E1606">
        <f>'906MP'!X1306</f>
        <v>0</v>
      </c>
      <c r="F1606" t="str">
        <f t="shared" si="485"/>
        <v>0</v>
      </c>
      <c r="G1606" t="str">
        <f t="shared" si="486"/>
        <v>0</v>
      </c>
      <c r="H1606">
        <f>'906MP'!Y1306</f>
        <v>0</v>
      </c>
      <c r="I1606">
        <f>'906MP'!AK1306</f>
        <v>0</v>
      </c>
      <c r="J1606">
        <f>'906MP'!T1306</f>
        <v>0</v>
      </c>
      <c r="K1606">
        <f>'906MP'!AJ1306</f>
        <v>0</v>
      </c>
      <c r="L1606">
        <f>'906MP'!U1306</f>
        <v>0</v>
      </c>
      <c r="M1606" s="322" t="str">
        <f>IFERROR(VLOOKUP(A1606,PAR!$D$3:$E$53,2,FALSE),"nincs szervezet")</f>
        <v>nincs szervezet</v>
      </c>
      <c r="N1606" s="322" t="str">
        <f>VLOOKUP(F1606,PAR!$R$3:$S$5,2,FALSE)</f>
        <v>3 - egyik sem</v>
      </c>
      <c r="O1606" t="str">
        <f>IFERROR(VLOOKUP(J1606,PAR!$O$3:$P$5,2,FALSE),"nincs feladat")</f>
        <v>nincs feladat</v>
      </c>
      <c r="P1606" t="str">
        <f>IFERROR(VLOOKUP(G1606,PAR!$J$2:$M$19,4),"nincs rovat")</f>
        <v>nincs rovat</v>
      </c>
      <c r="Q1606" t="str">
        <f>IF(H1606&gt;0,VLOOKUP(H1606,PAR!$AA$3:$AC$187,3,FALSE),"nincs főkönyvi számla")</f>
        <v>nincs főkönyvi számla</v>
      </c>
      <c r="R1606" t="str">
        <f>IFERROR(VLOOKUP(K1606,PAR!$V$3:$X$438,3,FALSE),"000000 - Nincs COFOG")</f>
        <v>000000 - Nincs COFOG</v>
      </c>
      <c r="S1606">
        <f t="shared" si="487"/>
        <v>0</v>
      </c>
      <c r="T1606">
        <f t="shared" si="488"/>
        <v>0</v>
      </c>
      <c r="U1606" t="str">
        <f>IF('906MP'!J1306&gt;0,CONCATENATE('906MP'!J1306," - ",'906MP'!P1306,", ",'906MP'!E1306),"nincs megjegyzés")</f>
        <v>nincs megjegyzés</v>
      </c>
      <c r="V1606" t="str">
        <f t="shared" si="475"/>
        <v>0P0</v>
      </c>
      <c r="W1606" t="str">
        <f t="shared" si="476"/>
        <v>0P0</v>
      </c>
      <c r="X1606" t="str">
        <f t="shared" si="477"/>
        <v>P0</v>
      </c>
      <c r="Y1606" t="str">
        <f t="shared" si="478"/>
        <v>00</v>
      </c>
      <c r="Z1606" t="str">
        <f t="shared" si="489"/>
        <v>00</v>
      </c>
      <c r="AA1606" t="str">
        <f t="shared" si="479"/>
        <v>00</v>
      </c>
      <c r="AB1606" t="str">
        <f t="shared" si="480"/>
        <v>00</v>
      </c>
      <c r="AC1606" t="str">
        <f t="shared" si="481"/>
        <v>0P0</v>
      </c>
      <c r="AD1606" t="str">
        <f t="shared" si="482"/>
        <v>P00</v>
      </c>
      <c r="AE1606" t="str">
        <f t="shared" si="483"/>
        <v>0P0</v>
      </c>
      <c r="AF1606" t="str">
        <f t="shared" si="484"/>
        <v>P00</v>
      </c>
      <c r="AG1606" t="str">
        <f t="shared" si="490"/>
        <v>0P00</v>
      </c>
      <c r="AH1606" t="str">
        <f t="shared" si="491"/>
        <v>P000</v>
      </c>
      <c r="AI1606" t="str">
        <f t="shared" si="492"/>
        <v>0P00</v>
      </c>
      <c r="AJ1606" t="str">
        <f t="shared" si="493"/>
        <v>P000</v>
      </c>
    </row>
    <row r="1607" spans="1:36" x14ac:dyDescent="0.25">
      <c r="A1607" s="325" t="str">
        <f>CONCATENATE("P",'906MP'!M1307)</f>
        <v>P</v>
      </c>
      <c r="B1607">
        <f>'906MP'!H1307</f>
        <v>0</v>
      </c>
      <c r="C1607">
        <f>'906MP'!J1307</f>
        <v>0</v>
      </c>
      <c r="D1607">
        <f>'906MP'!P1307</f>
        <v>0</v>
      </c>
      <c r="E1607">
        <f>'906MP'!X1307</f>
        <v>0</v>
      </c>
      <c r="F1607" t="str">
        <f t="shared" si="485"/>
        <v>0</v>
      </c>
      <c r="G1607" t="str">
        <f t="shared" si="486"/>
        <v>0</v>
      </c>
      <c r="H1607">
        <f>'906MP'!Y1307</f>
        <v>0</v>
      </c>
      <c r="I1607">
        <f>'906MP'!AK1307</f>
        <v>0</v>
      </c>
      <c r="J1607">
        <f>'906MP'!T1307</f>
        <v>0</v>
      </c>
      <c r="K1607">
        <f>'906MP'!AJ1307</f>
        <v>0</v>
      </c>
      <c r="L1607">
        <f>'906MP'!U1307</f>
        <v>0</v>
      </c>
      <c r="M1607" s="322" t="str">
        <f>IFERROR(VLOOKUP(A1607,PAR!$D$3:$E$53,2,FALSE),"nincs szervezet")</f>
        <v>nincs szervezet</v>
      </c>
      <c r="N1607" s="322" t="str">
        <f>VLOOKUP(F1607,PAR!$R$3:$S$5,2,FALSE)</f>
        <v>3 - egyik sem</v>
      </c>
      <c r="O1607" t="str">
        <f>IFERROR(VLOOKUP(J1607,PAR!$O$3:$P$5,2,FALSE),"nincs feladat")</f>
        <v>nincs feladat</v>
      </c>
      <c r="P1607" t="str">
        <f>IFERROR(VLOOKUP(G1607,PAR!$J$2:$M$19,4),"nincs rovat")</f>
        <v>nincs rovat</v>
      </c>
      <c r="Q1607" t="str">
        <f>IF(H1607&gt;0,VLOOKUP(H1607,PAR!$AA$3:$AC$187,3,FALSE),"nincs főkönyvi számla")</f>
        <v>nincs főkönyvi számla</v>
      </c>
      <c r="R1607" t="str">
        <f>IFERROR(VLOOKUP(K1607,PAR!$V$3:$X$438,3,FALSE),"000000 - Nincs COFOG")</f>
        <v>000000 - Nincs COFOG</v>
      </c>
      <c r="S1607">
        <f t="shared" si="487"/>
        <v>0</v>
      </c>
      <c r="T1607">
        <f t="shared" si="488"/>
        <v>0</v>
      </c>
      <c r="U1607" t="str">
        <f>IF('906MP'!J1307&gt;0,CONCATENATE('906MP'!J1307," - ",'906MP'!P1307,", ",'906MP'!E1307),"nincs megjegyzés")</f>
        <v>nincs megjegyzés</v>
      </c>
      <c r="V1607" t="str">
        <f t="shared" si="475"/>
        <v>0P0</v>
      </c>
      <c r="W1607" t="str">
        <f t="shared" si="476"/>
        <v>0P0</v>
      </c>
      <c r="X1607" t="str">
        <f t="shared" si="477"/>
        <v>P0</v>
      </c>
      <c r="Y1607" t="str">
        <f t="shared" si="478"/>
        <v>00</v>
      </c>
      <c r="Z1607" t="str">
        <f t="shared" si="489"/>
        <v>00</v>
      </c>
      <c r="AA1607" t="str">
        <f t="shared" si="479"/>
        <v>00</v>
      </c>
      <c r="AB1607" t="str">
        <f t="shared" si="480"/>
        <v>00</v>
      </c>
      <c r="AC1607" t="str">
        <f t="shared" si="481"/>
        <v>0P0</v>
      </c>
      <c r="AD1607" t="str">
        <f t="shared" si="482"/>
        <v>P00</v>
      </c>
      <c r="AE1607" t="str">
        <f t="shared" si="483"/>
        <v>0P0</v>
      </c>
      <c r="AF1607" t="str">
        <f t="shared" si="484"/>
        <v>P00</v>
      </c>
      <c r="AG1607" t="str">
        <f t="shared" si="490"/>
        <v>0P00</v>
      </c>
      <c r="AH1607" t="str">
        <f t="shared" si="491"/>
        <v>P000</v>
      </c>
      <c r="AI1607" t="str">
        <f t="shared" si="492"/>
        <v>0P00</v>
      </c>
      <c r="AJ1607" t="str">
        <f t="shared" si="493"/>
        <v>P000</v>
      </c>
    </row>
    <row r="1608" spans="1:36" x14ac:dyDescent="0.25">
      <c r="A1608" s="325" t="str">
        <f>CONCATENATE("P",'906MP'!M1308)</f>
        <v>P</v>
      </c>
      <c r="B1608">
        <f>'906MP'!H1308</f>
        <v>0</v>
      </c>
      <c r="C1608">
        <f>'906MP'!J1308</f>
        <v>0</v>
      </c>
      <c r="D1608">
        <f>'906MP'!P1308</f>
        <v>0</v>
      </c>
      <c r="E1608">
        <f>'906MP'!X1308</f>
        <v>0</v>
      </c>
      <c r="F1608" t="str">
        <f t="shared" si="485"/>
        <v>0</v>
      </c>
      <c r="G1608" t="str">
        <f t="shared" si="486"/>
        <v>0</v>
      </c>
      <c r="H1608">
        <f>'906MP'!Y1308</f>
        <v>0</v>
      </c>
      <c r="I1608">
        <f>'906MP'!AK1308</f>
        <v>0</v>
      </c>
      <c r="J1608">
        <f>'906MP'!T1308</f>
        <v>0</v>
      </c>
      <c r="K1608">
        <f>'906MP'!AJ1308</f>
        <v>0</v>
      </c>
      <c r="L1608">
        <f>'906MP'!U1308</f>
        <v>0</v>
      </c>
      <c r="M1608" s="322" t="str">
        <f>IFERROR(VLOOKUP(A1608,PAR!$D$3:$E$53,2,FALSE),"nincs szervezet")</f>
        <v>nincs szervezet</v>
      </c>
      <c r="N1608" s="322" t="str">
        <f>VLOOKUP(F1608,PAR!$R$3:$S$5,2,FALSE)</f>
        <v>3 - egyik sem</v>
      </c>
      <c r="O1608" t="str">
        <f>IFERROR(VLOOKUP(J1608,PAR!$O$3:$P$5,2,FALSE),"nincs feladat")</f>
        <v>nincs feladat</v>
      </c>
      <c r="P1608" t="str">
        <f>IFERROR(VLOOKUP(G1608,PAR!$J$2:$M$19,4),"nincs rovat")</f>
        <v>nincs rovat</v>
      </c>
      <c r="Q1608" t="str">
        <f>IF(H1608&gt;0,VLOOKUP(H1608,PAR!$AA$3:$AC$187,3,FALSE),"nincs főkönyvi számla")</f>
        <v>nincs főkönyvi számla</v>
      </c>
      <c r="R1608" t="str">
        <f>IFERROR(VLOOKUP(K1608,PAR!$V$3:$X$438,3,FALSE),"000000 - Nincs COFOG")</f>
        <v>000000 - Nincs COFOG</v>
      </c>
      <c r="S1608">
        <f t="shared" si="487"/>
        <v>0</v>
      </c>
      <c r="T1608">
        <f t="shared" si="488"/>
        <v>0</v>
      </c>
      <c r="U1608" t="str">
        <f>IF('906MP'!J1308&gt;0,CONCATENATE('906MP'!J1308," - ",'906MP'!P1308,", ",'906MP'!E1308),"nincs megjegyzés")</f>
        <v>nincs megjegyzés</v>
      </c>
      <c r="V1608" t="str">
        <f t="shared" si="475"/>
        <v>0P0</v>
      </c>
      <c r="W1608" t="str">
        <f t="shared" si="476"/>
        <v>0P0</v>
      </c>
      <c r="X1608" t="str">
        <f t="shared" si="477"/>
        <v>P0</v>
      </c>
      <c r="Y1608" t="str">
        <f t="shared" si="478"/>
        <v>00</v>
      </c>
      <c r="Z1608" t="str">
        <f t="shared" si="489"/>
        <v>00</v>
      </c>
      <c r="AA1608" t="str">
        <f t="shared" si="479"/>
        <v>00</v>
      </c>
      <c r="AB1608" t="str">
        <f t="shared" si="480"/>
        <v>00</v>
      </c>
      <c r="AC1608" t="str">
        <f t="shared" si="481"/>
        <v>0P0</v>
      </c>
      <c r="AD1608" t="str">
        <f t="shared" si="482"/>
        <v>P00</v>
      </c>
      <c r="AE1608" t="str">
        <f t="shared" si="483"/>
        <v>0P0</v>
      </c>
      <c r="AF1608" t="str">
        <f t="shared" si="484"/>
        <v>P00</v>
      </c>
      <c r="AG1608" t="str">
        <f t="shared" si="490"/>
        <v>0P00</v>
      </c>
      <c r="AH1608" t="str">
        <f t="shared" si="491"/>
        <v>P000</v>
      </c>
      <c r="AI1608" t="str">
        <f t="shared" si="492"/>
        <v>0P00</v>
      </c>
      <c r="AJ1608" t="str">
        <f t="shared" si="493"/>
        <v>P000</v>
      </c>
    </row>
    <row r="1609" spans="1:36" x14ac:dyDescent="0.25">
      <c r="A1609" s="325" t="str">
        <f>CONCATENATE("P",'906MP'!M1309)</f>
        <v>P</v>
      </c>
      <c r="B1609">
        <f>'906MP'!H1309</f>
        <v>0</v>
      </c>
      <c r="C1609">
        <f>'906MP'!J1309</f>
        <v>0</v>
      </c>
      <c r="D1609">
        <f>'906MP'!P1309</f>
        <v>0</v>
      </c>
      <c r="E1609">
        <f>'906MP'!X1309</f>
        <v>0</v>
      </c>
      <c r="F1609" t="str">
        <f t="shared" si="485"/>
        <v>0</v>
      </c>
      <c r="G1609" t="str">
        <f t="shared" si="486"/>
        <v>0</v>
      </c>
      <c r="H1609">
        <f>'906MP'!Y1309</f>
        <v>0</v>
      </c>
      <c r="I1609">
        <f>'906MP'!AK1309</f>
        <v>0</v>
      </c>
      <c r="J1609">
        <f>'906MP'!T1309</f>
        <v>0</v>
      </c>
      <c r="K1609">
        <f>'906MP'!AJ1309</f>
        <v>0</v>
      </c>
      <c r="L1609">
        <f>'906MP'!U1309</f>
        <v>0</v>
      </c>
      <c r="M1609" s="322" t="str">
        <f>IFERROR(VLOOKUP(A1609,PAR!$D$3:$E$53,2,FALSE),"nincs szervezet")</f>
        <v>nincs szervezet</v>
      </c>
      <c r="N1609" s="322" t="str">
        <f>VLOOKUP(F1609,PAR!$R$3:$S$5,2,FALSE)</f>
        <v>3 - egyik sem</v>
      </c>
      <c r="O1609" t="str">
        <f>IFERROR(VLOOKUP(J1609,PAR!$O$3:$P$5,2,FALSE),"nincs feladat")</f>
        <v>nincs feladat</v>
      </c>
      <c r="P1609" t="str">
        <f>IFERROR(VLOOKUP(G1609,PAR!$J$2:$M$19,4),"nincs rovat")</f>
        <v>nincs rovat</v>
      </c>
      <c r="Q1609" t="str">
        <f>IF(H1609&gt;0,VLOOKUP(H1609,PAR!$AA$3:$AC$187,3,FALSE),"nincs főkönyvi számla")</f>
        <v>nincs főkönyvi számla</v>
      </c>
      <c r="R1609" t="str">
        <f>IFERROR(VLOOKUP(K1609,PAR!$V$3:$X$438,3,FALSE),"000000 - Nincs COFOG")</f>
        <v>000000 - Nincs COFOG</v>
      </c>
      <c r="S1609">
        <f t="shared" si="487"/>
        <v>0</v>
      </c>
      <c r="T1609">
        <f t="shared" si="488"/>
        <v>0</v>
      </c>
      <c r="U1609" t="str">
        <f>IF('906MP'!J1309&gt;0,CONCATENATE('906MP'!J1309," - ",'906MP'!P1309,", ",'906MP'!E1309),"nincs megjegyzés")</f>
        <v>nincs megjegyzés</v>
      </c>
      <c r="V1609" t="str">
        <f t="shared" si="475"/>
        <v>0P0</v>
      </c>
      <c r="W1609" t="str">
        <f t="shared" si="476"/>
        <v>0P0</v>
      </c>
      <c r="X1609" t="str">
        <f t="shared" si="477"/>
        <v>P0</v>
      </c>
      <c r="Y1609" t="str">
        <f t="shared" si="478"/>
        <v>00</v>
      </c>
      <c r="Z1609" t="str">
        <f t="shared" si="489"/>
        <v>00</v>
      </c>
      <c r="AA1609" t="str">
        <f t="shared" si="479"/>
        <v>00</v>
      </c>
      <c r="AB1609" t="str">
        <f t="shared" si="480"/>
        <v>00</v>
      </c>
      <c r="AC1609" t="str">
        <f t="shared" si="481"/>
        <v>0P0</v>
      </c>
      <c r="AD1609" t="str">
        <f t="shared" si="482"/>
        <v>P00</v>
      </c>
      <c r="AE1609" t="str">
        <f t="shared" si="483"/>
        <v>0P0</v>
      </c>
      <c r="AF1609" t="str">
        <f t="shared" si="484"/>
        <v>P00</v>
      </c>
      <c r="AG1609" t="str">
        <f t="shared" si="490"/>
        <v>0P00</v>
      </c>
      <c r="AH1609" t="str">
        <f t="shared" si="491"/>
        <v>P000</v>
      </c>
      <c r="AI1609" t="str">
        <f t="shared" si="492"/>
        <v>0P00</v>
      </c>
      <c r="AJ1609" t="str">
        <f t="shared" si="493"/>
        <v>P000</v>
      </c>
    </row>
    <row r="1610" spans="1:36" x14ac:dyDescent="0.25">
      <c r="A1610" s="325" t="str">
        <f>CONCATENATE("P",'906MP'!M1310)</f>
        <v>P</v>
      </c>
      <c r="B1610">
        <f>'906MP'!H1310</f>
        <v>0</v>
      </c>
      <c r="C1610">
        <f>'906MP'!J1310</f>
        <v>0</v>
      </c>
      <c r="D1610">
        <f>'906MP'!P1310</f>
        <v>0</v>
      </c>
      <c r="E1610">
        <f>'906MP'!X1310</f>
        <v>0</v>
      </c>
      <c r="F1610" t="str">
        <f t="shared" si="485"/>
        <v>0</v>
      </c>
      <c r="G1610" t="str">
        <f t="shared" si="486"/>
        <v>0</v>
      </c>
      <c r="H1610">
        <f>'906MP'!Y1310</f>
        <v>0</v>
      </c>
      <c r="I1610">
        <f>'906MP'!AK1310</f>
        <v>0</v>
      </c>
      <c r="J1610">
        <f>'906MP'!T1310</f>
        <v>0</v>
      </c>
      <c r="K1610">
        <f>'906MP'!AJ1310</f>
        <v>0</v>
      </c>
      <c r="L1610">
        <f>'906MP'!U1310</f>
        <v>0</v>
      </c>
      <c r="M1610" s="322" t="str">
        <f>IFERROR(VLOOKUP(A1610,PAR!$D$3:$E$53,2,FALSE),"nincs szervezet")</f>
        <v>nincs szervezet</v>
      </c>
      <c r="N1610" s="322" t="str">
        <f>VLOOKUP(F1610,PAR!$R$3:$S$5,2,FALSE)</f>
        <v>3 - egyik sem</v>
      </c>
      <c r="O1610" t="str">
        <f>IFERROR(VLOOKUP(J1610,PAR!$O$3:$P$5,2,FALSE),"nincs feladat")</f>
        <v>nincs feladat</v>
      </c>
      <c r="P1610" t="str">
        <f>IFERROR(VLOOKUP(G1610,PAR!$J$2:$M$19,4),"nincs rovat")</f>
        <v>nincs rovat</v>
      </c>
      <c r="Q1610" t="str">
        <f>IF(H1610&gt;0,VLOOKUP(H1610,PAR!$AA$3:$AC$187,3,FALSE),"nincs főkönyvi számla")</f>
        <v>nincs főkönyvi számla</v>
      </c>
      <c r="R1610" t="str">
        <f>IFERROR(VLOOKUP(K1610,PAR!$V$3:$X$438,3,FALSE),"000000 - Nincs COFOG")</f>
        <v>000000 - Nincs COFOG</v>
      </c>
      <c r="S1610">
        <f t="shared" si="487"/>
        <v>0</v>
      </c>
      <c r="T1610">
        <f t="shared" si="488"/>
        <v>0</v>
      </c>
      <c r="U1610" t="str">
        <f>IF('906MP'!J1310&gt;0,CONCATENATE('906MP'!J1310," - ",'906MP'!P1310,", ",'906MP'!E1310),"nincs megjegyzés")</f>
        <v>nincs megjegyzés</v>
      </c>
      <c r="V1610" t="str">
        <f t="shared" si="475"/>
        <v>0P0</v>
      </c>
      <c r="W1610" t="str">
        <f t="shared" si="476"/>
        <v>0P0</v>
      </c>
      <c r="X1610" t="str">
        <f t="shared" si="477"/>
        <v>P0</v>
      </c>
      <c r="Y1610" t="str">
        <f t="shared" si="478"/>
        <v>00</v>
      </c>
      <c r="Z1610" t="str">
        <f t="shared" si="489"/>
        <v>00</v>
      </c>
      <c r="AA1610" t="str">
        <f t="shared" si="479"/>
        <v>00</v>
      </c>
      <c r="AB1610" t="str">
        <f t="shared" si="480"/>
        <v>00</v>
      </c>
      <c r="AC1610" t="str">
        <f t="shared" si="481"/>
        <v>0P0</v>
      </c>
      <c r="AD1610" t="str">
        <f t="shared" si="482"/>
        <v>P00</v>
      </c>
      <c r="AE1610" t="str">
        <f t="shared" si="483"/>
        <v>0P0</v>
      </c>
      <c r="AF1610" t="str">
        <f t="shared" si="484"/>
        <v>P00</v>
      </c>
      <c r="AG1610" t="str">
        <f t="shared" si="490"/>
        <v>0P00</v>
      </c>
      <c r="AH1610" t="str">
        <f t="shared" si="491"/>
        <v>P000</v>
      </c>
      <c r="AI1610" t="str">
        <f t="shared" si="492"/>
        <v>0P00</v>
      </c>
      <c r="AJ1610" t="str">
        <f t="shared" si="493"/>
        <v>P000</v>
      </c>
    </row>
    <row r="1611" spans="1:36" x14ac:dyDescent="0.25">
      <c r="A1611" s="325" t="str">
        <f>CONCATENATE("P",'906MP'!M1311)</f>
        <v>P</v>
      </c>
      <c r="B1611">
        <f>'906MP'!H1311</f>
        <v>0</v>
      </c>
      <c r="C1611">
        <f>'906MP'!J1311</f>
        <v>0</v>
      </c>
      <c r="D1611">
        <f>'906MP'!P1311</f>
        <v>0</v>
      </c>
      <c r="E1611">
        <f>'906MP'!X1311</f>
        <v>0</v>
      </c>
      <c r="F1611" t="str">
        <f t="shared" si="485"/>
        <v>0</v>
      </c>
      <c r="G1611" t="str">
        <f t="shared" si="486"/>
        <v>0</v>
      </c>
      <c r="H1611">
        <f>'906MP'!Y1311</f>
        <v>0</v>
      </c>
      <c r="I1611">
        <f>'906MP'!AK1311</f>
        <v>0</v>
      </c>
      <c r="J1611">
        <f>'906MP'!T1311</f>
        <v>0</v>
      </c>
      <c r="K1611">
        <f>'906MP'!AJ1311</f>
        <v>0</v>
      </c>
      <c r="L1611">
        <f>'906MP'!U1311</f>
        <v>0</v>
      </c>
      <c r="M1611" s="322" t="str">
        <f>IFERROR(VLOOKUP(A1611,PAR!$D$3:$E$53,2,FALSE),"nincs szervezet")</f>
        <v>nincs szervezet</v>
      </c>
      <c r="N1611" s="322" t="str">
        <f>VLOOKUP(F1611,PAR!$R$3:$S$5,2,FALSE)</f>
        <v>3 - egyik sem</v>
      </c>
      <c r="O1611" t="str">
        <f>IFERROR(VLOOKUP(J1611,PAR!$O$3:$P$5,2,FALSE),"nincs feladat")</f>
        <v>nincs feladat</v>
      </c>
      <c r="P1611" t="str">
        <f>IFERROR(VLOOKUP(G1611,PAR!$J$2:$M$19,4),"nincs rovat")</f>
        <v>nincs rovat</v>
      </c>
      <c r="Q1611" t="str">
        <f>IF(H1611&gt;0,VLOOKUP(H1611,PAR!$AA$3:$AC$187,3,FALSE),"nincs főkönyvi számla")</f>
        <v>nincs főkönyvi számla</v>
      </c>
      <c r="R1611" t="str">
        <f>IFERROR(VLOOKUP(K1611,PAR!$V$3:$X$438,3,FALSE),"000000 - Nincs COFOG")</f>
        <v>000000 - Nincs COFOG</v>
      </c>
      <c r="S1611">
        <f t="shared" si="487"/>
        <v>0</v>
      </c>
      <c r="T1611">
        <f t="shared" si="488"/>
        <v>0</v>
      </c>
      <c r="U1611" t="str">
        <f>IF('906MP'!J1311&gt;0,CONCATENATE('906MP'!J1311," - ",'906MP'!P1311,", ",'906MP'!E1311),"nincs megjegyzés")</f>
        <v>nincs megjegyzés</v>
      </c>
      <c r="V1611" t="str">
        <f t="shared" si="475"/>
        <v>0P0</v>
      </c>
      <c r="W1611" t="str">
        <f t="shared" si="476"/>
        <v>0P0</v>
      </c>
      <c r="X1611" t="str">
        <f t="shared" si="477"/>
        <v>P0</v>
      </c>
      <c r="Y1611" t="str">
        <f t="shared" si="478"/>
        <v>00</v>
      </c>
      <c r="Z1611" t="str">
        <f t="shared" si="489"/>
        <v>00</v>
      </c>
      <c r="AA1611" t="str">
        <f t="shared" si="479"/>
        <v>00</v>
      </c>
      <c r="AB1611" t="str">
        <f t="shared" si="480"/>
        <v>00</v>
      </c>
      <c r="AC1611" t="str">
        <f t="shared" si="481"/>
        <v>0P0</v>
      </c>
      <c r="AD1611" t="str">
        <f t="shared" si="482"/>
        <v>P00</v>
      </c>
      <c r="AE1611" t="str">
        <f t="shared" si="483"/>
        <v>0P0</v>
      </c>
      <c r="AF1611" t="str">
        <f t="shared" si="484"/>
        <v>P00</v>
      </c>
      <c r="AG1611" t="str">
        <f t="shared" si="490"/>
        <v>0P00</v>
      </c>
      <c r="AH1611" t="str">
        <f t="shared" si="491"/>
        <v>P000</v>
      </c>
      <c r="AI1611" t="str">
        <f t="shared" si="492"/>
        <v>0P00</v>
      </c>
      <c r="AJ1611" t="str">
        <f t="shared" si="493"/>
        <v>P000</v>
      </c>
    </row>
    <row r="1612" spans="1:36" x14ac:dyDescent="0.25">
      <c r="A1612" s="325" t="str">
        <f>CONCATENATE("P",'906MP'!M1312)</f>
        <v>P</v>
      </c>
      <c r="B1612">
        <f>'906MP'!H1312</f>
        <v>0</v>
      </c>
      <c r="C1612">
        <f>'906MP'!J1312</f>
        <v>0</v>
      </c>
      <c r="D1612">
        <f>'906MP'!P1312</f>
        <v>0</v>
      </c>
      <c r="E1612">
        <f>'906MP'!X1312</f>
        <v>0</v>
      </c>
      <c r="F1612" t="str">
        <f t="shared" si="485"/>
        <v>0</v>
      </c>
      <c r="G1612" t="str">
        <f t="shared" si="486"/>
        <v>0</v>
      </c>
      <c r="H1612">
        <f>'906MP'!Y1312</f>
        <v>0</v>
      </c>
      <c r="I1612">
        <f>'906MP'!AK1312</f>
        <v>0</v>
      </c>
      <c r="J1612">
        <f>'906MP'!T1312</f>
        <v>0</v>
      </c>
      <c r="K1612">
        <f>'906MP'!AJ1312</f>
        <v>0</v>
      </c>
      <c r="L1612">
        <f>'906MP'!U1312</f>
        <v>0</v>
      </c>
      <c r="M1612" s="322" t="str">
        <f>IFERROR(VLOOKUP(A1612,PAR!$D$3:$E$53,2,FALSE),"nincs szervezet")</f>
        <v>nincs szervezet</v>
      </c>
      <c r="N1612" s="322" t="str">
        <f>VLOOKUP(F1612,PAR!$R$3:$S$5,2,FALSE)</f>
        <v>3 - egyik sem</v>
      </c>
      <c r="O1612" t="str">
        <f>IFERROR(VLOOKUP(J1612,PAR!$O$3:$P$5,2,FALSE),"nincs feladat")</f>
        <v>nincs feladat</v>
      </c>
      <c r="P1612" t="str">
        <f>IFERROR(VLOOKUP(G1612,PAR!$J$2:$M$19,4),"nincs rovat")</f>
        <v>nincs rovat</v>
      </c>
      <c r="Q1612" t="str">
        <f>IF(H1612&gt;0,VLOOKUP(H1612,PAR!$AA$3:$AC$187,3,FALSE),"nincs főkönyvi számla")</f>
        <v>nincs főkönyvi számla</v>
      </c>
      <c r="R1612" t="str">
        <f>IFERROR(VLOOKUP(K1612,PAR!$V$3:$X$438,3,FALSE),"000000 - Nincs COFOG")</f>
        <v>000000 - Nincs COFOG</v>
      </c>
      <c r="S1612">
        <f t="shared" si="487"/>
        <v>0</v>
      </c>
      <c r="T1612">
        <f t="shared" si="488"/>
        <v>0</v>
      </c>
      <c r="U1612" t="str">
        <f>IF('906MP'!J1312&gt;0,CONCATENATE('906MP'!J1312," - ",'906MP'!P1312,", ",'906MP'!E1312),"nincs megjegyzés")</f>
        <v>nincs megjegyzés</v>
      </c>
      <c r="V1612" t="str">
        <f t="shared" si="475"/>
        <v>0P0</v>
      </c>
      <c r="W1612" t="str">
        <f t="shared" si="476"/>
        <v>0P0</v>
      </c>
      <c r="X1612" t="str">
        <f t="shared" si="477"/>
        <v>P0</v>
      </c>
      <c r="Y1612" t="str">
        <f t="shared" si="478"/>
        <v>00</v>
      </c>
      <c r="Z1612" t="str">
        <f t="shared" si="489"/>
        <v>00</v>
      </c>
      <c r="AA1612" t="str">
        <f t="shared" si="479"/>
        <v>00</v>
      </c>
      <c r="AB1612" t="str">
        <f t="shared" si="480"/>
        <v>00</v>
      </c>
      <c r="AC1612" t="str">
        <f t="shared" si="481"/>
        <v>0P0</v>
      </c>
      <c r="AD1612" t="str">
        <f t="shared" si="482"/>
        <v>P00</v>
      </c>
      <c r="AE1612" t="str">
        <f t="shared" si="483"/>
        <v>0P0</v>
      </c>
      <c r="AF1612" t="str">
        <f t="shared" si="484"/>
        <v>P00</v>
      </c>
      <c r="AG1612" t="str">
        <f t="shared" si="490"/>
        <v>0P00</v>
      </c>
      <c r="AH1612" t="str">
        <f t="shared" si="491"/>
        <v>P000</v>
      </c>
      <c r="AI1612" t="str">
        <f t="shared" si="492"/>
        <v>0P00</v>
      </c>
      <c r="AJ1612" t="str">
        <f t="shared" si="493"/>
        <v>P000</v>
      </c>
    </row>
    <row r="1613" spans="1:36" x14ac:dyDescent="0.25">
      <c r="A1613" s="325" t="str">
        <f>CONCATENATE("P",'906MP'!M1313)</f>
        <v>P</v>
      </c>
      <c r="B1613">
        <f>'906MP'!H1313</f>
        <v>0</v>
      </c>
      <c r="C1613">
        <f>'906MP'!J1313</f>
        <v>0</v>
      </c>
      <c r="D1613">
        <f>'906MP'!P1313</f>
        <v>0</v>
      </c>
      <c r="E1613">
        <f>'906MP'!X1313</f>
        <v>0</v>
      </c>
      <c r="F1613" t="str">
        <f t="shared" si="485"/>
        <v>0</v>
      </c>
      <c r="G1613" t="str">
        <f t="shared" si="486"/>
        <v>0</v>
      </c>
      <c r="H1613">
        <f>'906MP'!Y1313</f>
        <v>0</v>
      </c>
      <c r="I1613">
        <f>'906MP'!AK1313</f>
        <v>0</v>
      </c>
      <c r="J1613">
        <f>'906MP'!T1313</f>
        <v>0</v>
      </c>
      <c r="K1613">
        <f>'906MP'!AJ1313</f>
        <v>0</v>
      </c>
      <c r="L1613">
        <f>'906MP'!U1313</f>
        <v>0</v>
      </c>
      <c r="M1613" s="322" t="str">
        <f>IFERROR(VLOOKUP(A1613,PAR!$D$3:$E$53,2,FALSE),"nincs szervezet")</f>
        <v>nincs szervezet</v>
      </c>
      <c r="N1613" s="322" t="str">
        <f>VLOOKUP(F1613,PAR!$R$3:$S$5,2,FALSE)</f>
        <v>3 - egyik sem</v>
      </c>
      <c r="O1613" t="str">
        <f>IFERROR(VLOOKUP(J1613,PAR!$O$3:$P$5,2,FALSE),"nincs feladat")</f>
        <v>nincs feladat</v>
      </c>
      <c r="P1613" t="str">
        <f>IFERROR(VLOOKUP(G1613,PAR!$J$2:$M$19,4),"nincs rovat")</f>
        <v>nincs rovat</v>
      </c>
      <c r="Q1613" t="str">
        <f>IF(H1613&gt;0,VLOOKUP(H1613,PAR!$AA$3:$AC$187,3,FALSE),"nincs főkönyvi számla")</f>
        <v>nincs főkönyvi számla</v>
      </c>
      <c r="R1613" t="str">
        <f>IFERROR(VLOOKUP(K1613,PAR!$V$3:$X$438,3,FALSE),"000000 - Nincs COFOG")</f>
        <v>000000 - Nincs COFOG</v>
      </c>
      <c r="S1613">
        <f t="shared" si="487"/>
        <v>0</v>
      </c>
      <c r="T1613">
        <f t="shared" si="488"/>
        <v>0</v>
      </c>
      <c r="U1613" t="str">
        <f>IF('906MP'!J1313&gt;0,CONCATENATE('906MP'!J1313," - ",'906MP'!P1313,", ",'906MP'!E1313),"nincs megjegyzés")</f>
        <v>nincs megjegyzés</v>
      </c>
      <c r="V1613" t="str">
        <f t="shared" si="475"/>
        <v>0P0</v>
      </c>
      <c r="W1613" t="str">
        <f t="shared" si="476"/>
        <v>0P0</v>
      </c>
      <c r="X1613" t="str">
        <f t="shared" si="477"/>
        <v>P0</v>
      </c>
      <c r="Y1613" t="str">
        <f t="shared" si="478"/>
        <v>00</v>
      </c>
      <c r="Z1613" t="str">
        <f t="shared" si="489"/>
        <v>00</v>
      </c>
      <c r="AA1613" t="str">
        <f t="shared" si="479"/>
        <v>00</v>
      </c>
      <c r="AB1613" t="str">
        <f t="shared" si="480"/>
        <v>00</v>
      </c>
      <c r="AC1613" t="str">
        <f t="shared" si="481"/>
        <v>0P0</v>
      </c>
      <c r="AD1613" t="str">
        <f t="shared" si="482"/>
        <v>P00</v>
      </c>
      <c r="AE1613" t="str">
        <f t="shared" si="483"/>
        <v>0P0</v>
      </c>
      <c r="AF1613" t="str">
        <f t="shared" si="484"/>
        <v>P00</v>
      </c>
      <c r="AG1613" t="str">
        <f t="shared" si="490"/>
        <v>0P00</v>
      </c>
      <c r="AH1613" t="str">
        <f t="shared" si="491"/>
        <v>P000</v>
      </c>
      <c r="AI1613" t="str">
        <f t="shared" si="492"/>
        <v>0P00</v>
      </c>
      <c r="AJ1613" t="str">
        <f t="shared" si="493"/>
        <v>P000</v>
      </c>
    </row>
    <row r="1614" spans="1:36" x14ac:dyDescent="0.25">
      <c r="A1614" s="325" t="str">
        <f>CONCATENATE("P",'906MP'!M1314)</f>
        <v>P</v>
      </c>
      <c r="B1614">
        <f>'906MP'!H1314</f>
        <v>0</v>
      </c>
      <c r="C1614">
        <f>'906MP'!J1314</f>
        <v>0</v>
      </c>
      <c r="D1614">
        <f>'906MP'!P1314</f>
        <v>0</v>
      </c>
      <c r="E1614">
        <f>'906MP'!X1314</f>
        <v>0</v>
      </c>
      <c r="F1614" t="str">
        <f t="shared" si="485"/>
        <v>0</v>
      </c>
      <c r="G1614" t="str">
        <f t="shared" si="486"/>
        <v>0</v>
      </c>
      <c r="H1614">
        <f>'906MP'!Y1314</f>
        <v>0</v>
      </c>
      <c r="I1614">
        <f>'906MP'!AK1314</f>
        <v>0</v>
      </c>
      <c r="J1614">
        <f>'906MP'!T1314</f>
        <v>0</v>
      </c>
      <c r="K1614">
        <f>'906MP'!AJ1314</f>
        <v>0</v>
      </c>
      <c r="L1614">
        <f>'906MP'!U1314</f>
        <v>0</v>
      </c>
      <c r="M1614" s="322" t="str">
        <f>IFERROR(VLOOKUP(A1614,PAR!$D$3:$E$53,2,FALSE),"nincs szervezet")</f>
        <v>nincs szervezet</v>
      </c>
      <c r="N1614" s="322" t="str">
        <f>VLOOKUP(F1614,PAR!$R$3:$S$5,2,FALSE)</f>
        <v>3 - egyik sem</v>
      </c>
      <c r="O1614" t="str">
        <f>IFERROR(VLOOKUP(J1614,PAR!$O$3:$P$5,2,FALSE),"nincs feladat")</f>
        <v>nincs feladat</v>
      </c>
      <c r="P1614" t="str">
        <f>IFERROR(VLOOKUP(G1614,PAR!$J$2:$M$19,4),"nincs rovat")</f>
        <v>nincs rovat</v>
      </c>
      <c r="Q1614" t="str">
        <f>IF(H1614&gt;0,VLOOKUP(H1614,PAR!$AA$3:$AC$187,3,FALSE),"nincs főkönyvi számla")</f>
        <v>nincs főkönyvi számla</v>
      </c>
      <c r="R1614" t="str">
        <f>IFERROR(VLOOKUP(K1614,PAR!$V$3:$X$438,3,FALSE),"000000 - Nincs COFOG")</f>
        <v>000000 - Nincs COFOG</v>
      </c>
      <c r="S1614">
        <f t="shared" si="487"/>
        <v>0</v>
      </c>
      <c r="T1614">
        <f t="shared" si="488"/>
        <v>0</v>
      </c>
      <c r="U1614" t="str">
        <f>IF('906MP'!J1314&gt;0,CONCATENATE('906MP'!J1314," - ",'906MP'!P1314,", ",'906MP'!E1314),"nincs megjegyzés")</f>
        <v>nincs megjegyzés</v>
      </c>
      <c r="V1614" t="str">
        <f t="shared" si="475"/>
        <v>0P0</v>
      </c>
      <c r="W1614" t="str">
        <f t="shared" si="476"/>
        <v>0P0</v>
      </c>
      <c r="X1614" t="str">
        <f t="shared" si="477"/>
        <v>P0</v>
      </c>
      <c r="Y1614" t="str">
        <f t="shared" si="478"/>
        <v>00</v>
      </c>
      <c r="Z1614" t="str">
        <f t="shared" si="489"/>
        <v>00</v>
      </c>
      <c r="AA1614" t="str">
        <f t="shared" si="479"/>
        <v>00</v>
      </c>
      <c r="AB1614" t="str">
        <f t="shared" si="480"/>
        <v>00</v>
      </c>
      <c r="AC1614" t="str">
        <f t="shared" si="481"/>
        <v>0P0</v>
      </c>
      <c r="AD1614" t="str">
        <f t="shared" si="482"/>
        <v>P00</v>
      </c>
      <c r="AE1614" t="str">
        <f t="shared" si="483"/>
        <v>0P0</v>
      </c>
      <c r="AF1614" t="str">
        <f t="shared" si="484"/>
        <v>P00</v>
      </c>
      <c r="AG1614" t="str">
        <f t="shared" si="490"/>
        <v>0P00</v>
      </c>
      <c r="AH1614" t="str">
        <f t="shared" si="491"/>
        <v>P000</v>
      </c>
      <c r="AI1614" t="str">
        <f t="shared" si="492"/>
        <v>0P00</v>
      </c>
      <c r="AJ1614" t="str">
        <f t="shared" si="493"/>
        <v>P000</v>
      </c>
    </row>
    <row r="1615" spans="1:36" x14ac:dyDescent="0.25">
      <c r="A1615" s="325" t="str">
        <f>CONCATENATE("P",'906MP'!M1315)</f>
        <v>P</v>
      </c>
      <c r="B1615">
        <f>'906MP'!H1315</f>
        <v>0</v>
      </c>
      <c r="C1615">
        <f>'906MP'!J1315</f>
        <v>0</v>
      </c>
      <c r="D1615">
        <f>'906MP'!P1315</f>
        <v>0</v>
      </c>
      <c r="E1615">
        <f>'906MP'!X1315</f>
        <v>0</v>
      </c>
      <c r="F1615" t="str">
        <f t="shared" si="485"/>
        <v>0</v>
      </c>
      <c r="G1615" t="str">
        <f t="shared" si="486"/>
        <v>0</v>
      </c>
      <c r="H1615">
        <f>'906MP'!Y1315</f>
        <v>0</v>
      </c>
      <c r="I1615">
        <f>'906MP'!AK1315</f>
        <v>0</v>
      </c>
      <c r="J1615">
        <f>'906MP'!T1315</f>
        <v>0</v>
      </c>
      <c r="K1615">
        <f>'906MP'!AJ1315</f>
        <v>0</v>
      </c>
      <c r="L1615">
        <f>'906MP'!U1315</f>
        <v>0</v>
      </c>
      <c r="M1615" s="322" t="str">
        <f>IFERROR(VLOOKUP(A1615,PAR!$D$3:$E$53,2,FALSE),"nincs szervezet")</f>
        <v>nincs szervezet</v>
      </c>
      <c r="N1615" s="322" t="str">
        <f>VLOOKUP(F1615,PAR!$R$3:$S$5,2,FALSE)</f>
        <v>3 - egyik sem</v>
      </c>
      <c r="O1615" t="str">
        <f>IFERROR(VLOOKUP(J1615,PAR!$O$3:$P$5,2,FALSE),"nincs feladat")</f>
        <v>nincs feladat</v>
      </c>
      <c r="P1615" t="str">
        <f>IFERROR(VLOOKUP(G1615,PAR!$J$2:$M$19,4),"nincs rovat")</f>
        <v>nincs rovat</v>
      </c>
      <c r="Q1615" t="str">
        <f>IF(H1615&gt;0,VLOOKUP(H1615,PAR!$AA$3:$AC$187,3,FALSE),"nincs főkönyvi számla")</f>
        <v>nincs főkönyvi számla</v>
      </c>
      <c r="R1615" t="str">
        <f>IFERROR(VLOOKUP(K1615,PAR!$V$3:$X$438,3,FALSE),"000000 - Nincs COFOG")</f>
        <v>000000 - Nincs COFOG</v>
      </c>
      <c r="S1615">
        <f t="shared" si="487"/>
        <v>0</v>
      </c>
      <c r="T1615">
        <f t="shared" si="488"/>
        <v>0</v>
      </c>
      <c r="U1615" t="str">
        <f>IF('906MP'!J1315&gt;0,CONCATENATE('906MP'!J1315," - ",'906MP'!P1315,", ",'906MP'!E1315),"nincs megjegyzés")</f>
        <v>nincs megjegyzés</v>
      </c>
      <c r="V1615" t="str">
        <f t="shared" si="475"/>
        <v>0P0</v>
      </c>
      <c r="W1615" t="str">
        <f t="shared" si="476"/>
        <v>0P0</v>
      </c>
      <c r="X1615" t="str">
        <f t="shared" si="477"/>
        <v>P0</v>
      </c>
      <c r="Y1615" t="str">
        <f t="shared" si="478"/>
        <v>00</v>
      </c>
      <c r="Z1615" t="str">
        <f t="shared" si="489"/>
        <v>00</v>
      </c>
      <c r="AA1615" t="str">
        <f t="shared" si="479"/>
        <v>00</v>
      </c>
      <c r="AB1615" t="str">
        <f t="shared" si="480"/>
        <v>00</v>
      </c>
      <c r="AC1615" t="str">
        <f t="shared" si="481"/>
        <v>0P0</v>
      </c>
      <c r="AD1615" t="str">
        <f t="shared" si="482"/>
        <v>P00</v>
      </c>
      <c r="AE1615" t="str">
        <f t="shared" si="483"/>
        <v>0P0</v>
      </c>
      <c r="AF1615" t="str">
        <f t="shared" si="484"/>
        <v>P00</v>
      </c>
      <c r="AG1615" t="str">
        <f t="shared" si="490"/>
        <v>0P00</v>
      </c>
      <c r="AH1615" t="str">
        <f t="shared" si="491"/>
        <v>P000</v>
      </c>
      <c r="AI1615" t="str">
        <f t="shared" si="492"/>
        <v>0P00</v>
      </c>
      <c r="AJ1615" t="str">
        <f t="shared" si="493"/>
        <v>P000</v>
      </c>
    </row>
    <row r="1616" spans="1:36" x14ac:dyDescent="0.25">
      <c r="A1616" s="325" t="str">
        <f>CONCATENATE("P",'906MP'!M1316)</f>
        <v>P</v>
      </c>
      <c r="B1616">
        <f>'906MP'!H1316</f>
        <v>0</v>
      </c>
      <c r="C1616">
        <f>'906MP'!J1316</f>
        <v>0</v>
      </c>
      <c r="D1616">
        <f>'906MP'!P1316</f>
        <v>0</v>
      </c>
      <c r="E1616">
        <f>'906MP'!X1316</f>
        <v>0</v>
      </c>
      <c r="F1616" t="str">
        <f t="shared" si="485"/>
        <v>0</v>
      </c>
      <c r="G1616" t="str">
        <f t="shared" si="486"/>
        <v>0</v>
      </c>
      <c r="H1616">
        <f>'906MP'!Y1316</f>
        <v>0</v>
      </c>
      <c r="I1616">
        <f>'906MP'!AK1316</f>
        <v>0</v>
      </c>
      <c r="J1616">
        <f>'906MP'!T1316</f>
        <v>0</v>
      </c>
      <c r="K1616">
        <f>'906MP'!AJ1316</f>
        <v>0</v>
      </c>
      <c r="L1616">
        <f>'906MP'!U1316</f>
        <v>0</v>
      </c>
      <c r="M1616" s="322" t="str">
        <f>IFERROR(VLOOKUP(A1616,PAR!$D$3:$E$53,2,FALSE),"nincs szervezet")</f>
        <v>nincs szervezet</v>
      </c>
      <c r="N1616" s="322" t="str">
        <f>VLOOKUP(F1616,PAR!$R$3:$S$5,2,FALSE)</f>
        <v>3 - egyik sem</v>
      </c>
      <c r="O1616" t="str">
        <f>IFERROR(VLOOKUP(J1616,PAR!$O$3:$P$5,2,FALSE),"nincs feladat")</f>
        <v>nincs feladat</v>
      </c>
      <c r="P1616" t="str">
        <f>IFERROR(VLOOKUP(G1616,PAR!$J$2:$M$19,4),"nincs rovat")</f>
        <v>nincs rovat</v>
      </c>
      <c r="Q1616" t="str">
        <f>IF(H1616&gt;0,VLOOKUP(H1616,PAR!$AA$3:$AC$187,3,FALSE),"nincs főkönyvi számla")</f>
        <v>nincs főkönyvi számla</v>
      </c>
      <c r="R1616" t="str">
        <f>IFERROR(VLOOKUP(K1616,PAR!$V$3:$X$438,3,FALSE),"000000 - Nincs COFOG")</f>
        <v>000000 - Nincs COFOG</v>
      </c>
      <c r="S1616">
        <f t="shared" si="487"/>
        <v>0</v>
      </c>
      <c r="T1616">
        <f t="shared" si="488"/>
        <v>0</v>
      </c>
      <c r="U1616" t="str">
        <f>IF('906MP'!J1316&gt;0,CONCATENATE('906MP'!J1316," - ",'906MP'!P1316,", ",'906MP'!E1316),"nincs megjegyzés")</f>
        <v>nincs megjegyzés</v>
      </c>
      <c r="V1616" t="str">
        <f t="shared" si="475"/>
        <v>0P0</v>
      </c>
      <c r="W1616" t="str">
        <f t="shared" si="476"/>
        <v>0P0</v>
      </c>
      <c r="X1616" t="str">
        <f t="shared" si="477"/>
        <v>P0</v>
      </c>
      <c r="Y1616" t="str">
        <f t="shared" si="478"/>
        <v>00</v>
      </c>
      <c r="Z1616" t="str">
        <f t="shared" si="489"/>
        <v>00</v>
      </c>
      <c r="AA1616" t="str">
        <f t="shared" si="479"/>
        <v>00</v>
      </c>
      <c r="AB1616" t="str">
        <f t="shared" si="480"/>
        <v>00</v>
      </c>
      <c r="AC1616" t="str">
        <f t="shared" si="481"/>
        <v>0P0</v>
      </c>
      <c r="AD1616" t="str">
        <f t="shared" si="482"/>
        <v>P00</v>
      </c>
      <c r="AE1616" t="str">
        <f t="shared" si="483"/>
        <v>0P0</v>
      </c>
      <c r="AF1616" t="str">
        <f t="shared" si="484"/>
        <v>P00</v>
      </c>
      <c r="AG1616" t="str">
        <f t="shared" si="490"/>
        <v>0P00</v>
      </c>
      <c r="AH1616" t="str">
        <f t="shared" si="491"/>
        <v>P000</v>
      </c>
      <c r="AI1616" t="str">
        <f t="shared" si="492"/>
        <v>0P00</v>
      </c>
      <c r="AJ1616" t="str">
        <f t="shared" si="493"/>
        <v>P000</v>
      </c>
    </row>
    <row r="1617" spans="1:36" x14ac:dyDescent="0.25">
      <c r="A1617" s="325" t="str">
        <f>CONCATENATE("P",'906MP'!M1317)</f>
        <v>P</v>
      </c>
      <c r="B1617">
        <f>'906MP'!H1317</f>
        <v>0</v>
      </c>
      <c r="C1617">
        <f>'906MP'!J1317</f>
        <v>0</v>
      </c>
      <c r="D1617">
        <f>'906MP'!P1317</f>
        <v>0</v>
      </c>
      <c r="E1617">
        <f>'906MP'!X1317</f>
        <v>0</v>
      </c>
      <c r="F1617" t="str">
        <f t="shared" si="485"/>
        <v>0</v>
      </c>
      <c r="G1617" t="str">
        <f t="shared" si="486"/>
        <v>0</v>
      </c>
      <c r="H1617">
        <f>'906MP'!Y1317</f>
        <v>0</v>
      </c>
      <c r="I1617">
        <f>'906MP'!AK1317</f>
        <v>0</v>
      </c>
      <c r="J1617">
        <f>'906MP'!T1317</f>
        <v>0</v>
      </c>
      <c r="K1617">
        <f>'906MP'!AJ1317</f>
        <v>0</v>
      </c>
      <c r="L1617">
        <f>'906MP'!U1317</f>
        <v>0</v>
      </c>
      <c r="M1617" s="322" t="str">
        <f>IFERROR(VLOOKUP(A1617,PAR!$D$3:$E$53,2,FALSE),"nincs szervezet")</f>
        <v>nincs szervezet</v>
      </c>
      <c r="N1617" s="322" t="str">
        <f>VLOOKUP(F1617,PAR!$R$3:$S$5,2,FALSE)</f>
        <v>3 - egyik sem</v>
      </c>
      <c r="O1617" t="str">
        <f>IFERROR(VLOOKUP(J1617,PAR!$O$3:$P$5,2,FALSE),"nincs feladat")</f>
        <v>nincs feladat</v>
      </c>
      <c r="P1617" t="str">
        <f>IFERROR(VLOOKUP(G1617,PAR!$J$2:$M$19,4),"nincs rovat")</f>
        <v>nincs rovat</v>
      </c>
      <c r="Q1617" t="str">
        <f>IF(H1617&gt;0,VLOOKUP(H1617,PAR!$AA$3:$AC$187,3,FALSE),"nincs főkönyvi számla")</f>
        <v>nincs főkönyvi számla</v>
      </c>
      <c r="R1617" t="str">
        <f>IFERROR(VLOOKUP(K1617,PAR!$V$3:$X$438,3,FALSE),"000000 - Nincs COFOG")</f>
        <v>000000 - Nincs COFOG</v>
      </c>
      <c r="S1617">
        <f t="shared" si="487"/>
        <v>0</v>
      </c>
      <c r="T1617">
        <f t="shared" si="488"/>
        <v>0</v>
      </c>
      <c r="U1617" t="str">
        <f>IF('906MP'!J1317&gt;0,CONCATENATE('906MP'!J1317," - ",'906MP'!P1317,", ",'906MP'!E1317),"nincs megjegyzés")</f>
        <v>nincs megjegyzés</v>
      </c>
      <c r="V1617" t="str">
        <f t="shared" si="475"/>
        <v>0P0</v>
      </c>
      <c r="W1617" t="str">
        <f t="shared" si="476"/>
        <v>0P0</v>
      </c>
      <c r="X1617" t="str">
        <f t="shared" si="477"/>
        <v>P0</v>
      </c>
      <c r="Y1617" t="str">
        <f t="shared" si="478"/>
        <v>00</v>
      </c>
      <c r="Z1617" t="str">
        <f t="shared" si="489"/>
        <v>00</v>
      </c>
      <c r="AA1617" t="str">
        <f t="shared" si="479"/>
        <v>00</v>
      </c>
      <c r="AB1617" t="str">
        <f t="shared" si="480"/>
        <v>00</v>
      </c>
      <c r="AC1617" t="str">
        <f t="shared" si="481"/>
        <v>0P0</v>
      </c>
      <c r="AD1617" t="str">
        <f t="shared" si="482"/>
        <v>P00</v>
      </c>
      <c r="AE1617" t="str">
        <f t="shared" si="483"/>
        <v>0P0</v>
      </c>
      <c r="AF1617" t="str">
        <f t="shared" si="484"/>
        <v>P00</v>
      </c>
      <c r="AG1617" t="str">
        <f t="shared" si="490"/>
        <v>0P00</v>
      </c>
      <c r="AH1617" t="str">
        <f t="shared" si="491"/>
        <v>P000</v>
      </c>
      <c r="AI1617" t="str">
        <f t="shared" si="492"/>
        <v>0P00</v>
      </c>
      <c r="AJ1617" t="str">
        <f t="shared" si="493"/>
        <v>P000</v>
      </c>
    </row>
    <row r="1618" spans="1:36" x14ac:dyDescent="0.25">
      <c r="A1618" s="325" t="str">
        <f>CONCATENATE("P",'906MP'!M1318)</f>
        <v>P</v>
      </c>
      <c r="B1618">
        <f>'906MP'!H1318</f>
        <v>0</v>
      </c>
      <c r="C1618">
        <f>'906MP'!J1318</f>
        <v>0</v>
      </c>
      <c r="D1618">
        <f>'906MP'!P1318</f>
        <v>0</v>
      </c>
      <c r="E1618">
        <f>'906MP'!X1318</f>
        <v>0</v>
      </c>
      <c r="F1618" t="str">
        <f t="shared" si="485"/>
        <v>0</v>
      </c>
      <c r="G1618" t="str">
        <f t="shared" si="486"/>
        <v>0</v>
      </c>
      <c r="H1618">
        <f>'906MP'!Y1318</f>
        <v>0</v>
      </c>
      <c r="I1618">
        <f>'906MP'!AK1318</f>
        <v>0</v>
      </c>
      <c r="J1618">
        <f>'906MP'!T1318</f>
        <v>0</v>
      </c>
      <c r="K1618">
        <f>'906MP'!AJ1318</f>
        <v>0</v>
      </c>
      <c r="L1618">
        <f>'906MP'!U1318</f>
        <v>0</v>
      </c>
      <c r="M1618" s="322" t="str">
        <f>IFERROR(VLOOKUP(A1618,PAR!$D$3:$E$53,2,FALSE),"nincs szervezet")</f>
        <v>nincs szervezet</v>
      </c>
      <c r="N1618" s="322" t="str">
        <f>VLOOKUP(F1618,PAR!$R$3:$S$5,2,FALSE)</f>
        <v>3 - egyik sem</v>
      </c>
      <c r="O1618" t="str">
        <f>IFERROR(VLOOKUP(J1618,PAR!$O$3:$P$5,2,FALSE),"nincs feladat")</f>
        <v>nincs feladat</v>
      </c>
      <c r="P1618" t="str">
        <f>IFERROR(VLOOKUP(G1618,PAR!$J$2:$M$19,4),"nincs rovat")</f>
        <v>nincs rovat</v>
      </c>
      <c r="Q1618" t="str">
        <f>IF(H1618&gt;0,VLOOKUP(H1618,PAR!$AA$3:$AC$187,3,FALSE),"nincs főkönyvi számla")</f>
        <v>nincs főkönyvi számla</v>
      </c>
      <c r="R1618" t="str">
        <f>IFERROR(VLOOKUP(K1618,PAR!$V$3:$X$438,3,FALSE),"000000 - Nincs COFOG")</f>
        <v>000000 - Nincs COFOG</v>
      </c>
      <c r="S1618">
        <f t="shared" si="487"/>
        <v>0</v>
      </c>
      <c r="T1618">
        <f t="shared" si="488"/>
        <v>0</v>
      </c>
      <c r="U1618" t="str">
        <f>IF('906MP'!J1318&gt;0,CONCATENATE('906MP'!J1318," - ",'906MP'!P1318,", ",'906MP'!E1318),"nincs megjegyzés")</f>
        <v>nincs megjegyzés</v>
      </c>
      <c r="V1618" t="str">
        <f t="shared" si="475"/>
        <v>0P0</v>
      </c>
      <c r="W1618" t="str">
        <f t="shared" si="476"/>
        <v>0P0</v>
      </c>
      <c r="X1618" t="str">
        <f t="shared" si="477"/>
        <v>P0</v>
      </c>
      <c r="Y1618" t="str">
        <f t="shared" si="478"/>
        <v>00</v>
      </c>
      <c r="Z1618" t="str">
        <f t="shared" si="489"/>
        <v>00</v>
      </c>
      <c r="AA1618" t="str">
        <f t="shared" si="479"/>
        <v>00</v>
      </c>
      <c r="AB1618" t="str">
        <f t="shared" si="480"/>
        <v>00</v>
      </c>
      <c r="AC1618" t="str">
        <f t="shared" si="481"/>
        <v>0P0</v>
      </c>
      <c r="AD1618" t="str">
        <f t="shared" si="482"/>
        <v>P00</v>
      </c>
      <c r="AE1618" t="str">
        <f t="shared" si="483"/>
        <v>0P0</v>
      </c>
      <c r="AF1618" t="str">
        <f t="shared" si="484"/>
        <v>P00</v>
      </c>
      <c r="AG1618" t="str">
        <f t="shared" si="490"/>
        <v>0P00</v>
      </c>
      <c r="AH1618" t="str">
        <f t="shared" si="491"/>
        <v>P000</v>
      </c>
      <c r="AI1618" t="str">
        <f t="shared" si="492"/>
        <v>0P00</v>
      </c>
      <c r="AJ1618" t="str">
        <f t="shared" si="493"/>
        <v>P000</v>
      </c>
    </row>
    <row r="1619" spans="1:36" x14ac:dyDescent="0.25">
      <c r="A1619" s="325" t="str">
        <f>CONCATENATE("P",'906MP'!M1319)</f>
        <v>P</v>
      </c>
      <c r="B1619">
        <f>'906MP'!H1319</f>
        <v>0</v>
      </c>
      <c r="C1619">
        <f>'906MP'!J1319</f>
        <v>0</v>
      </c>
      <c r="D1619">
        <f>'906MP'!P1319</f>
        <v>0</v>
      </c>
      <c r="E1619">
        <f>'906MP'!X1319</f>
        <v>0</v>
      </c>
      <c r="F1619" t="str">
        <f t="shared" si="485"/>
        <v>0</v>
      </c>
      <c r="G1619" t="str">
        <f t="shared" si="486"/>
        <v>0</v>
      </c>
      <c r="H1619">
        <f>'906MP'!Y1319</f>
        <v>0</v>
      </c>
      <c r="I1619">
        <f>'906MP'!AK1319</f>
        <v>0</v>
      </c>
      <c r="J1619">
        <f>'906MP'!T1319</f>
        <v>0</v>
      </c>
      <c r="K1619">
        <f>'906MP'!AJ1319</f>
        <v>0</v>
      </c>
      <c r="L1619">
        <f>'906MP'!U1319</f>
        <v>0</v>
      </c>
      <c r="M1619" s="322" t="str">
        <f>IFERROR(VLOOKUP(A1619,PAR!$D$3:$E$53,2,FALSE),"nincs szervezet")</f>
        <v>nincs szervezet</v>
      </c>
      <c r="N1619" s="322" t="str">
        <f>VLOOKUP(F1619,PAR!$R$3:$S$5,2,FALSE)</f>
        <v>3 - egyik sem</v>
      </c>
      <c r="O1619" t="str">
        <f>IFERROR(VLOOKUP(J1619,PAR!$O$3:$P$5,2,FALSE),"nincs feladat")</f>
        <v>nincs feladat</v>
      </c>
      <c r="P1619" t="str">
        <f>IFERROR(VLOOKUP(G1619,PAR!$J$2:$M$19,4),"nincs rovat")</f>
        <v>nincs rovat</v>
      </c>
      <c r="Q1619" t="str">
        <f>IF(H1619&gt;0,VLOOKUP(H1619,PAR!$AA$3:$AC$187,3,FALSE),"nincs főkönyvi számla")</f>
        <v>nincs főkönyvi számla</v>
      </c>
      <c r="R1619" t="str">
        <f>IFERROR(VLOOKUP(K1619,PAR!$V$3:$X$438,3,FALSE),"000000 - Nincs COFOG")</f>
        <v>000000 - Nincs COFOG</v>
      </c>
      <c r="S1619">
        <f t="shared" si="487"/>
        <v>0</v>
      </c>
      <c r="T1619">
        <f t="shared" si="488"/>
        <v>0</v>
      </c>
      <c r="U1619" t="str">
        <f>IF('906MP'!J1319&gt;0,CONCATENATE('906MP'!J1319," - ",'906MP'!P1319,", ",'906MP'!E1319),"nincs megjegyzés")</f>
        <v>nincs megjegyzés</v>
      </c>
      <c r="V1619" t="str">
        <f t="shared" si="475"/>
        <v>0P0</v>
      </c>
      <c r="W1619" t="str">
        <f t="shared" si="476"/>
        <v>0P0</v>
      </c>
      <c r="X1619" t="str">
        <f t="shared" si="477"/>
        <v>P0</v>
      </c>
      <c r="Y1619" t="str">
        <f t="shared" si="478"/>
        <v>00</v>
      </c>
      <c r="Z1619" t="str">
        <f t="shared" si="489"/>
        <v>00</v>
      </c>
      <c r="AA1619" t="str">
        <f t="shared" si="479"/>
        <v>00</v>
      </c>
      <c r="AB1619" t="str">
        <f t="shared" si="480"/>
        <v>00</v>
      </c>
      <c r="AC1619" t="str">
        <f t="shared" si="481"/>
        <v>0P0</v>
      </c>
      <c r="AD1619" t="str">
        <f t="shared" si="482"/>
        <v>P00</v>
      </c>
      <c r="AE1619" t="str">
        <f t="shared" si="483"/>
        <v>0P0</v>
      </c>
      <c r="AF1619" t="str">
        <f t="shared" si="484"/>
        <v>P00</v>
      </c>
      <c r="AG1619" t="str">
        <f t="shared" si="490"/>
        <v>0P00</v>
      </c>
      <c r="AH1619" t="str">
        <f t="shared" si="491"/>
        <v>P000</v>
      </c>
      <c r="AI1619" t="str">
        <f t="shared" si="492"/>
        <v>0P00</v>
      </c>
      <c r="AJ1619" t="str">
        <f t="shared" si="493"/>
        <v>P000</v>
      </c>
    </row>
    <row r="1620" spans="1:36" x14ac:dyDescent="0.25">
      <c r="A1620" s="325" t="str">
        <f>CONCATENATE("P",'906MP'!M1320)</f>
        <v>P</v>
      </c>
      <c r="B1620">
        <f>'906MP'!H1320</f>
        <v>0</v>
      </c>
      <c r="C1620">
        <f>'906MP'!J1320</f>
        <v>0</v>
      </c>
      <c r="D1620">
        <f>'906MP'!P1320</f>
        <v>0</v>
      </c>
      <c r="E1620">
        <f>'906MP'!X1320</f>
        <v>0</v>
      </c>
      <c r="F1620" t="str">
        <f t="shared" si="485"/>
        <v>0</v>
      </c>
      <c r="G1620" t="str">
        <f t="shared" si="486"/>
        <v>0</v>
      </c>
      <c r="H1620">
        <f>'906MP'!Y1320</f>
        <v>0</v>
      </c>
      <c r="I1620">
        <f>'906MP'!AK1320</f>
        <v>0</v>
      </c>
      <c r="J1620">
        <f>'906MP'!T1320</f>
        <v>0</v>
      </c>
      <c r="K1620">
        <f>'906MP'!AJ1320</f>
        <v>0</v>
      </c>
      <c r="L1620">
        <f>'906MP'!U1320</f>
        <v>0</v>
      </c>
      <c r="M1620" s="322" t="str">
        <f>IFERROR(VLOOKUP(A1620,PAR!$D$3:$E$53,2,FALSE),"nincs szervezet")</f>
        <v>nincs szervezet</v>
      </c>
      <c r="N1620" s="322" t="str">
        <f>VLOOKUP(F1620,PAR!$R$3:$S$5,2,FALSE)</f>
        <v>3 - egyik sem</v>
      </c>
      <c r="O1620" t="str">
        <f>IFERROR(VLOOKUP(J1620,PAR!$O$3:$P$5,2,FALSE),"nincs feladat")</f>
        <v>nincs feladat</v>
      </c>
      <c r="P1620" t="str">
        <f>IFERROR(VLOOKUP(G1620,PAR!$J$2:$M$19,4),"nincs rovat")</f>
        <v>nincs rovat</v>
      </c>
      <c r="Q1620" t="str">
        <f>IF(H1620&gt;0,VLOOKUP(H1620,PAR!$AA$3:$AC$187,3,FALSE),"nincs főkönyvi számla")</f>
        <v>nincs főkönyvi számla</v>
      </c>
      <c r="R1620" t="str">
        <f>IFERROR(VLOOKUP(K1620,PAR!$V$3:$X$438,3,FALSE),"000000 - Nincs COFOG")</f>
        <v>000000 - Nincs COFOG</v>
      </c>
      <c r="S1620">
        <f t="shared" si="487"/>
        <v>0</v>
      </c>
      <c r="T1620">
        <f t="shared" si="488"/>
        <v>0</v>
      </c>
      <c r="U1620" t="str">
        <f>IF('906MP'!J1320&gt;0,CONCATENATE('906MP'!J1320," - ",'906MP'!P1320,", ",'906MP'!E1320),"nincs megjegyzés")</f>
        <v>nincs megjegyzés</v>
      </c>
      <c r="V1620" t="str">
        <f t="shared" si="475"/>
        <v>0P0</v>
      </c>
      <c r="W1620" t="str">
        <f t="shared" si="476"/>
        <v>0P0</v>
      </c>
      <c r="X1620" t="str">
        <f t="shared" si="477"/>
        <v>P0</v>
      </c>
      <c r="Y1620" t="str">
        <f t="shared" si="478"/>
        <v>00</v>
      </c>
      <c r="Z1620" t="str">
        <f t="shared" si="489"/>
        <v>00</v>
      </c>
      <c r="AA1620" t="str">
        <f t="shared" si="479"/>
        <v>00</v>
      </c>
      <c r="AB1620" t="str">
        <f t="shared" si="480"/>
        <v>00</v>
      </c>
      <c r="AC1620" t="str">
        <f t="shared" si="481"/>
        <v>0P0</v>
      </c>
      <c r="AD1620" t="str">
        <f t="shared" si="482"/>
        <v>P00</v>
      </c>
      <c r="AE1620" t="str">
        <f t="shared" si="483"/>
        <v>0P0</v>
      </c>
      <c r="AF1620" t="str">
        <f t="shared" si="484"/>
        <v>P00</v>
      </c>
      <c r="AG1620" t="str">
        <f t="shared" si="490"/>
        <v>0P00</v>
      </c>
      <c r="AH1620" t="str">
        <f t="shared" si="491"/>
        <v>P000</v>
      </c>
      <c r="AI1620" t="str">
        <f t="shared" si="492"/>
        <v>0P00</v>
      </c>
      <c r="AJ1620" t="str">
        <f t="shared" si="493"/>
        <v>P000</v>
      </c>
    </row>
    <row r="1621" spans="1:36" x14ac:dyDescent="0.25">
      <c r="A1621" s="325" t="str">
        <f>CONCATENATE("P",'906MP'!M1321)</f>
        <v>P</v>
      </c>
      <c r="B1621">
        <f>'906MP'!H1321</f>
        <v>0</v>
      </c>
      <c r="C1621">
        <f>'906MP'!J1321</f>
        <v>0</v>
      </c>
      <c r="D1621">
        <f>'906MP'!P1321</f>
        <v>0</v>
      </c>
      <c r="E1621">
        <f>'906MP'!X1321</f>
        <v>0</v>
      </c>
      <c r="F1621" t="str">
        <f t="shared" si="485"/>
        <v>0</v>
      </c>
      <c r="G1621" t="str">
        <f t="shared" si="486"/>
        <v>0</v>
      </c>
      <c r="H1621">
        <f>'906MP'!Y1321</f>
        <v>0</v>
      </c>
      <c r="I1621">
        <f>'906MP'!AK1321</f>
        <v>0</v>
      </c>
      <c r="J1621">
        <f>'906MP'!T1321</f>
        <v>0</v>
      </c>
      <c r="K1621">
        <f>'906MP'!AJ1321</f>
        <v>0</v>
      </c>
      <c r="L1621">
        <f>'906MP'!U1321</f>
        <v>0</v>
      </c>
      <c r="M1621" s="322" t="str">
        <f>IFERROR(VLOOKUP(A1621,PAR!$D$3:$E$53,2,FALSE),"nincs szervezet")</f>
        <v>nincs szervezet</v>
      </c>
      <c r="N1621" s="322" t="str">
        <f>VLOOKUP(F1621,PAR!$R$3:$S$5,2,FALSE)</f>
        <v>3 - egyik sem</v>
      </c>
      <c r="O1621" t="str">
        <f>IFERROR(VLOOKUP(J1621,PAR!$O$3:$P$5,2,FALSE),"nincs feladat")</f>
        <v>nincs feladat</v>
      </c>
      <c r="P1621" t="str">
        <f>IFERROR(VLOOKUP(G1621,PAR!$J$2:$M$19,4),"nincs rovat")</f>
        <v>nincs rovat</v>
      </c>
      <c r="Q1621" t="str">
        <f>IF(H1621&gt;0,VLOOKUP(H1621,PAR!$AA$3:$AC$187,3,FALSE),"nincs főkönyvi számla")</f>
        <v>nincs főkönyvi számla</v>
      </c>
      <c r="R1621" t="str">
        <f>IFERROR(VLOOKUP(K1621,PAR!$V$3:$X$438,3,FALSE),"000000 - Nincs COFOG")</f>
        <v>000000 - Nincs COFOG</v>
      </c>
      <c r="S1621">
        <f t="shared" si="487"/>
        <v>0</v>
      </c>
      <c r="T1621">
        <f t="shared" si="488"/>
        <v>0</v>
      </c>
      <c r="U1621" t="str">
        <f>IF('906MP'!J1321&gt;0,CONCATENATE('906MP'!J1321," - ",'906MP'!P1321,", ",'906MP'!E1321),"nincs megjegyzés")</f>
        <v>nincs megjegyzés</v>
      </c>
      <c r="V1621" t="str">
        <f t="shared" si="475"/>
        <v>0P0</v>
      </c>
      <c r="W1621" t="str">
        <f t="shared" si="476"/>
        <v>0P0</v>
      </c>
      <c r="X1621" t="str">
        <f t="shared" si="477"/>
        <v>P0</v>
      </c>
      <c r="Y1621" t="str">
        <f t="shared" si="478"/>
        <v>00</v>
      </c>
      <c r="Z1621" t="str">
        <f t="shared" si="489"/>
        <v>00</v>
      </c>
      <c r="AA1621" t="str">
        <f t="shared" si="479"/>
        <v>00</v>
      </c>
      <c r="AB1621" t="str">
        <f t="shared" si="480"/>
        <v>00</v>
      </c>
      <c r="AC1621" t="str">
        <f t="shared" si="481"/>
        <v>0P0</v>
      </c>
      <c r="AD1621" t="str">
        <f t="shared" si="482"/>
        <v>P00</v>
      </c>
      <c r="AE1621" t="str">
        <f t="shared" si="483"/>
        <v>0P0</v>
      </c>
      <c r="AF1621" t="str">
        <f t="shared" si="484"/>
        <v>P00</v>
      </c>
      <c r="AG1621" t="str">
        <f t="shared" si="490"/>
        <v>0P00</v>
      </c>
      <c r="AH1621" t="str">
        <f t="shared" si="491"/>
        <v>P000</v>
      </c>
      <c r="AI1621" t="str">
        <f t="shared" si="492"/>
        <v>0P00</v>
      </c>
      <c r="AJ1621" t="str">
        <f t="shared" si="493"/>
        <v>P000</v>
      </c>
    </row>
    <row r="1622" spans="1:36" x14ac:dyDescent="0.25">
      <c r="A1622" s="325" t="str">
        <f>CONCATENATE("P",'906MP'!M1322)</f>
        <v>P</v>
      </c>
      <c r="B1622">
        <f>'906MP'!H1322</f>
        <v>0</v>
      </c>
      <c r="C1622">
        <f>'906MP'!J1322</f>
        <v>0</v>
      </c>
      <c r="D1622">
        <f>'906MP'!P1322</f>
        <v>0</v>
      </c>
      <c r="E1622">
        <f>'906MP'!X1322</f>
        <v>0</v>
      </c>
      <c r="F1622" t="str">
        <f t="shared" si="485"/>
        <v>0</v>
      </c>
      <c r="G1622" t="str">
        <f t="shared" si="486"/>
        <v>0</v>
      </c>
      <c r="H1622">
        <f>'906MP'!Y1322</f>
        <v>0</v>
      </c>
      <c r="I1622">
        <f>'906MP'!AK1322</f>
        <v>0</v>
      </c>
      <c r="J1622">
        <f>'906MP'!T1322</f>
        <v>0</v>
      </c>
      <c r="K1622">
        <f>'906MP'!AJ1322</f>
        <v>0</v>
      </c>
      <c r="L1622">
        <f>'906MP'!U1322</f>
        <v>0</v>
      </c>
      <c r="M1622" s="322" t="str">
        <f>IFERROR(VLOOKUP(A1622,PAR!$D$3:$E$53,2,FALSE),"nincs szervezet")</f>
        <v>nincs szervezet</v>
      </c>
      <c r="N1622" s="322" t="str">
        <f>VLOOKUP(F1622,PAR!$R$3:$S$5,2,FALSE)</f>
        <v>3 - egyik sem</v>
      </c>
      <c r="O1622" t="str">
        <f>IFERROR(VLOOKUP(J1622,PAR!$O$3:$P$5,2,FALSE),"nincs feladat")</f>
        <v>nincs feladat</v>
      </c>
      <c r="P1622" t="str">
        <f>IFERROR(VLOOKUP(G1622,PAR!$J$2:$M$19,4),"nincs rovat")</f>
        <v>nincs rovat</v>
      </c>
      <c r="Q1622" t="str">
        <f>IF(H1622&gt;0,VLOOKUP(H1622,PAR!$AA$3:$AC$187,3,FALSE),"nincs főkönyvi számla")</f>
        <v>nincs főkönyvi számla</v>
      </c>
      <c r="R1622" t="str">
        <f>IFERROR(VLOOKUP(K1622,PAR!$V$3:$X$438,3,FALSE),"000000 - Nincs COFOG")</f>
        <v>000000 - Nincs COFOG</v>
      </c>
      <c r="S1622">
        <f t="shared" si="487"/>
        <v>0</v>
      </c>
      <c r="T1622">
        <f t="shared" si="488"/>
        <v>0</v>
      </c>
      <c r="U1622" t="str">
        <f>IF('906MP'!J1322&gt;0,CONCATENATE('906MP'!J1322," - ",'906MP'!P1322,", ",'906MP'!E1322),"nincs megjegyzés")</f>
        <v>nincs megjegyzés</v>
      </c>
      <c r="V1622" t="str">
        <f t="shared" si="475"/>
        <v>0P0</v>
      </c>
      <c r="W1622" t="str">
        <f t="shared" si="476"/>
        <v>0P0</v>
      </c>
      <c r="X1622" t="str">
        <f t="shared" si="477"/>
        <v>P0</v>
      </c>
      <c r="Y1622" t="str">
        <f t="shared" si="478"/>
        <v>00</v>
      </c>
      <c r="Z1622" t="str">
        <f t="shared" si="489"/>
        <v>00</v>
      </c>
      <c r="AA1622" t="str">
        <f t="shared" si="479"/>
        <v>00</v>
      </c>
      <c r="AB1622" t="str">
        <f t="shared" si="480"/>
        <v>00</v>
      </c>
      <c r="AC1622" t="str">
        <f t="shared" si="481"/>
        <v>0P0</v>
      </c>
      <c r="AD1622" t="str">
        <f t="shared" si="482"/>
        <v>P00</v>
      </c>
      <c r="AE1622" t="str">
        <f t="shared" si="483"/>
        <v>0P0</v>
      </c>
      <c r="AF1622" t="str">
        <f t="shared" si="484"/>
        <v>P00</v>
      </c>
      <c r="AG1622" t="str">
        <f t="shared" si="490"/>
        <v>0P00</v>
      </c>
      <c r="AH1622" t="str">
        <f t="shared" si="491"/>
        <v>P000</v>
      </c>
      <c r="AI1622" t="str">
        <f t="shared" si="492"/>
        <v>0P00</v>
      </c>
      <c r="AJ1622" t="str">
        <f t="shared" si="493"/>
        <v>P000</v>
      </c>
    </row>
    <row r="1623" spans="1:36" x14ac:dyDescent="0.25">
      <c r="A1623" s="325" t="str">
        <f>CONCATENATE("P",'906MP'!M1323)</f>
        <v>P</v>
      </c>
      <c r="B1623">
        <f>'906MP'!H1323</f>
        <v>0</v>
      </c>
      <c r="C1623">
        <f>'906MP'!J1323</f>
        <v>0</v>
      </c>
      <c r="D1623">
        <f>'906MP'!P1323</f>
        <v>0</v>
      </c>
      <c r="E1623">
        <f>'906MP'!X1323</f>
        <v>0</v>
      </c>
      <c r="F1623" t="str">
        <f t="shared" si="485"/>
        <v>0</v>
      </c>
      <c r="G1623" t="str">
        <f t="shared" si="486"/>
        <v>0</v>
      </c>
      <c r="H1623">
        <f>'906MP'!Y1323</f>
        <v>0</v>
      </c>
      <c r="I1623">
        <f>'906MP'!AK1323</f>
        <v>0</v>
      </c>
      <c r="J1623">
        <f>'906MP'!T1323</f>
        <v>0</v>
      </c>
      <c r="K1623">
        <f>'906MP'!AJ1323</f>
        <v>0</v>
      </c>
      <c r="L1623">
        <f>'906MP'!U1323</f>
        <v>0</v>
      </c>
      <c r="M1623" s="322" t="str">
        <f>IFERROR(VLOOKUP(A1623,PAR!$D$3:$E$53,2,FALSE),"nincs szervezet")</f>
        <v>nincs szervezet</v>
      </c>
      <c r="N1623" s="322" t="str">
        <f>VLOOKUP(F1623,PAR!$R$3:$S$5,2,FALSE)</f>
        <v>3 - egyik sem</v>
      </c>
      <c r="O1623" t="str">
        <f>IFERROR(VLOOKUP(J1623,PAR!$O$3:$P$5,2,FALSE),"nincs feladat")</f>
        <v>nincs feladat</v>
      </c>
      <c r="P1623" t="str">
        <f>IFERROR(VLOOKUP(G1623,PAR!$J$2:$M$19,4),"nincs rovat")</f>
        <v>nincs rovat</v>
      </c>
      <c r="Q1623" t="str">
        <f>IF(H1623&gt;0,VLOOKUP(H1623,PAR!$AA$3:$AC$187,3,FALSE),"nincs főkönyvi számla")</f>
        <v>nincs főkönyvi számla</v>
      </c>
      <c r="R1623" t="str">
        <f>IFERROR(VLOOKUP(K1623,PAR!$V$3:$X$438,3,FALSE),"000000 - Nincs COFOG")</f>
        <v>000000 - Nincs COFOG</v>
      </c>
      <c r="S1623">
        <f t="shared" si="487"/>
        <v>0</v>
      </c>
      <c r="T1623">
        <f t="shared" si="488"/>
        <v>0</v>
      </c>
      <c r="U1623" t="str">
        <f>IF('906MP'!J1323&gt;0,CONCATENATE('906MP'!J1323," - ",'906MP'!P1323,", ",'906MP'!E1323),"nincs megjegyzés")</f>
        <v>nincs megjegyzés</v>
      </c>
      <c r="V1623" t="str">
        <f t="shared" si="475"/>
        <v>0P0</v>
      </c>
      <c r="W1623" t="str">
        <f t="shared" si="476"/>
        <v>0P0</v>
      </c>
      <c r="X1623" t="str">
        <f t="shared" si="477"/>
        <v>P0</v>
      </c>
      <c r="Y1623" t="str">
        <f t="shared" si="478"/>
        <v>00</v>
      </c>
      <c r="Z1623" t="str">
        <f t="shared" si="489"/>
        <v>00</v>
      </c>
      <c r="AA1623" t="str">
        <f t="shared" si="479"/>
        <v>00</v>
      </c>
      <c r="AB1623" t="str">
        <f t="shared" si="480"/>
        <v>00</v>
      </c>
      <c r="AC1623" t="str">
        <f t="shared" si="481"/>
        <v>0P0</v>
      </c>
      <c r="AD1623" t="str">
        <f t="shared" si="482"/>
        <v>P00</v>
      </c>
      <c r="AE1623" t="str">
        <f t="shared" si="483"/>
        <v>0P0</v>
      </c>
      <c r="AF1623" t="str">
        <f t="shared" si="484"/>
        <v>P00</v>
      </c>
      <c r="AG1623" t="str">
        <f t="shared" si="490"/>
        <v>0P00</v>
      </c>
      <c r="AH1623" t="str">
        <f t="shared" si="491"/>
        <v>P000</v>
      </c>
      <c r="AI1623" t="str">
        <f t="shared" si="492"/>
        <v>0P00</v>
      </c>
      <c r="AJ1623" t="str">
        <f t="shared" si="493"/>
        <v>P000</v>
      </c>
    </row>
    <row r="1624" spans="1:36" x14ac:dyDescent="0.25">
      <c r="A1624" s="325" t="str">
        <f>CONCATENATE("P",'906MP'!M1324)</f>
        <v>P</v>
      </c>
      <c r="B1624">
        <f>'906MP'!H1324</f>
        <v>0</v>
      </c>
      <c r="C1624">
        <f>'906MP'!J1324</f>
        <v>0</v>
      </c>
      <c r="D1624">
        <f>'906MP'!P1324</f>
        <v>0</v>
      </c>
      <c r="E1624">
        <f>'906MP'!X1324</f>
        <v>0</v>
      </c>
      <c r="F1624" t="str">
        <f t="shared" si="485"/>
        <v>0</v>
      </c>
      <c r="G1624" t="str">
        <f t="shared" si="486"/>
        <v>0</v>
      </c>
      <c r="H1624">
        <f>'906MP'!Y1324</f>
        <v>0</v>
      </c>
      <c r="I1624">
        <f>'906MP'!AK1324</f>
        <v>0</v>
      </c>
      <c r="J1624">
        <f>'906MP'!T1324</f>
        <v>0</v>
      </c>
      <c r="K1624">
        <f>'906MP'!AJ1324</f>
        <v>0</v>
      </c>
      <c r="L1624">
        <f>'906MP'!U1324</f>
        <v>0</v>
      </c>
      <c r="M1624" s="322" t="str">
        <f>IFERROR(VLOOKUP(A1624,PAR!$D$3:$E$53,2,FALSE),"nincs szervezet")</f>
        <v>nincs szervezet</v>
      </c>
      <c r="N1624" s="322" t="str">
        <f>VLOOKUP(F1624,PAR!$R$3:$S$5,2,FALSE)</f>
        <v>3 - egyik sem</v>
      </c>
      <c r="O1624" t="str">
        <f>IFERROR(VLOOKUP(J1624,PAR!$O$3:$P$5,2,FALSE),"nincs feladat")</f>
        <v>nincs feladat</v>
      </c>
      <c r="P1624" t="str">
        <f>IFERROR(VLOOKUP(G1624,PAR!$J$2:$M$19,4),"nincs rovat")</f>
        <v>nincs rovat</v>
      </c>
      <c r="Q1624" t="str">
        <f>IF(H1624&gt;0,VLOOKUP(H1624,PAR!$AA$3:$AC$187,3,FALSE),"nincs főkönyvi számla")</f>
        <v>nincs főkönyvi számla</v>
      </c>
      <c r="R1624" t="str">
        <f>IFERROR(VLOOKUP(K1624,PAR!$V$3:$X$438,3,FALSE),"000000 - Nincs COFOG")</f>
        <v>000000 - Nincs COFOG</v>
      </c>
      <c r="S1624">
        <f t="shared" si="487"/>
        <v>0</v>
      </c>
      <c r="T1624">
        <f t="shared" si="488"/>
        <v>0</v>
      </c>
      <c r="U1624" t="str">
        <f>IF('906MP'!J1324&gt;0,CONCATENATE('906MP'!J1324," - ",'906MP'!P1324,", ",'906MP'!E1324),"nincs megjegyzés")</f>
        <v>nincs megjegyzés</v>
      </c>
      <c r="V1624" t="str">
        <f t="shared" si="475"/>
        <v>0P0</v>
      </c>
      <c r="W1624" t="str">
        <f t="shared" si="476"/>
        <v>0P0</v>
      </c>
      <c r="X1624" t="str">
        <f t="shared" si="477"/>
        <v>P0</v>
      </c>
      <c r="Y1624" t="str">
        <f t="shared" si="478"/>
        <v>00</v>
      </c>
      <c r="Z1624" t="str">
        <f t="shared" si="489"/>
        <v>00</v>
      </c>
      <c r="AA1624" t="str">
        <f t="shared" si="479"/>
        <v>00</v>
      </c>
      <c r="AB1624" t="str">
        <f t="shared" si="480"/>
        <v>00</v>
      </c>
      <c r="AC1624" t="str">
        <f t="shared" si="481"/>
        <v>0P0</v>
      </c>
      <c r="AD1624" t="str">
        <f t="shared" si="482"/>
        <v>P00</v>
      </c>
      <c r="AE1624" t="str">
        <f t="shared" si="483"/>
        <v>0P0</v>
      </c>
      <c r="AF1624" t="str">
        <f t="shared" si="484"/>
        <v>P00</v>
      </c>
      <c r="AG1624" t="str">
        <f t="shared" si="490"/>
        <v>0P00</v>
      </c>
      <c r="AH1624" t="str">
        <f t="shared" si="491"/>
        <v>P000</v>
      </c>
      <c r="AI1624" t="str">
        <f t="shared" si="492"/>
        <v>0P00</v>
      </c>
      <c r="AJ1624" t="str">
        <f t="shared" si="493"/>
        <v>P000</v>
      </c>
    </row>
    <row r="1625" spans="1:36" x14ac:dyDescent="0.25">
      <c r="A1625" s="325" t="str">
        <f>CONCATENATE("P",'906MP'!M1325)</f>
        <v>P</v>
      </c>
      <c r="B1625">
        <f>'906MP'!H1325</f>
        <v>0</v>
      </c>
      <c r="C1625">
        <f>'906MP'!J1325</f>
        <v>0</v>
      </c>
      <c r="D1625">
        <f>'906MP'!P1325</f>
        <v>0</v>
      </c>
      <c r="E1625">
        <f>'906MP'!X1325</f>
        <v>0</v>
      </c>
      <c r="F1625" t="str">
        <f t="shared" si="485"/>
        <v>0</v>
      </c>
      <c r="G1625" t="str">
        <f t="shared" si="486"/>
        <v>0</v>
      </c>
      <c r="H1625">
        <f>'906MP'!Y1325</f>
        <v>0</v>
      </c>
      <c r="I1625">
        <f>'906MP'!AK1325</f>
        <v>0</v>
      </c>
      <c r="J1625">
        <f>'906MP'!T1325</f>
        <v>0</v>
      </c>
      <c r="K1625">
        <f>'906MP'!AJ1325</f>
        <v>0</v>
      </c>
      <c r="L1625">
        <f>'906MP'!U1325</f>
        <v>0</v>
      </c>
      <c r="M1625" s="322" t="str">
        <f>IFERROR(VLOOKUP(A1625,PAR!$D$3:$E$53,2,FALSE),"nincs szervezet")</f>
        <v>nincs szervezet</v>
      </c>
      <c r="N1625" s="322" t="str">
        <f>VLOOKUP(F1625,PAR!$R$3:$S$5,2,FALSE)</f>
        <v>3 - egyik sem</v>
      </c>
      <c r="O1625" t="str">
        <f>IFERROR(VLOOKUP(J1625,PAR!$O$3:$P$5,2,FALSE),"nincs feladat")</f>
        <v>nincs feladat</v>
      </c>
      <c r="P1625" t="str">
        <f>IFERROR(VLOOKUP(G1625,PAR!$J$2:$M$19,4),"nincs rovat")</f>
        <v>nincs rovat</v>
      </c>
      <c r="Q1625" t="str">
        <f>IF(H1625&gt;0,VLOOKUP(H1625,PAR!$AA$3:$AC$187,3,FALSE),"nincs főkönyvi számla")</f>
        <v>nincs főkönyvi számla</v>
      </c>
      <c r="R1625" t="str">
        <f>IFERROR(VLOOKUP(K1625,PAR!$V$3:$X$438,3,FALSE),"000000 - Nincs COFOG")</f>
        <v>000000 - Nincs COFOG</v>
      </c>
      <c r="S1625">
        <f t="shared" si="487"/>
        <v>0</v>
      </c>
      <c r="T1625">
        <f t="shared" si="488"/>
        <v>0</v>
      </c>
      <c r="U1625" t="str">
        <f>IF('906MP'!J1325&gt;0,CONCATENATE('906MP'!J1325," - ",'906MP'!P1325,", ",'906MP'!E1325),"nincs megjegyzés")</f>
        <v>nincs megjegyzés</v>
      </c>
      <c r="V1625" t="str">
        <f t="shared" si="475"/>
        <v>0P0</v>
      </c>
      <c r="W1625" t="str">
        <f t="shared" si="476"/>
        <v>0P0</v>
      </c>
      <c r="X1625" t="str">
        <f t="shared" si="477"/>
        <v>P0</v>
      </c>
      <c r="Y1625" t="str">
        <f t="shared" si="478"/>
        <v>00</v>
      </c>
      <c r="Z1625" t="str">
        <f t="shared" si="489"/>
        <v>00</v>
      </c>
      <c r="AA1625" t="str">
        <f t="shared" si="479"/>
        <v>00</v>
      </c>
      <c r="AB1625" t="str">
        <f t="shared" si="480"/>
        <v>00</v>
      </c>
      <c r="AC1625" t="str">
        <f t="shared" si="481"/>
        <v>0P0</v>
      </c>
      <c r="AD1625" t="str">
        <f t="shared" si="482"/>
        <v>P00</v>
      </c>
      <c r="AE1625" t="str">
        <f t="shared" si="483"/>
        <v>0P0</v>
      </c>
      <c r="AF1625" t="str">
        <f t="shared" si="484"/>
        <v>P00</v>
      </c>
      <c r="AG1625" t="str">
        <f t="shared" si="490"/>
        <v>0P00</v>
      </c>
      <c r="AH1625" t="str">
        <f t="shared" si="491"/>
        <v>P000</v>
      </c>
      <c r="AI1625" t="str">
        <f t="shared" si="492"/>
        <v>0P00</v>
      </c>
      <c r="AJ1625" t="str">
        <f t="shared" si="493"/>
        <v>P000</v>
      </c>
    </row>
    <row r="1626" spans="1:36" x14ac:dyDescent="0.25">
      <c r="A1626" s="325" t="str">
        <f>CONCATENATE("P",'906MP'!M1326)</f>
        <v>P</v>
      </c>
      <c r="B1626">
        <f>'906MP'!H1326</f>
        <v>0</v>
      </c>
      <c r="C1626">
        <f>'906MP'!J1326</f>
        <v>0</v>
      </c>
      <c r="D1626">
        <f>'906MP'!P1326</f>
        <v>0</v>
      </c>
      <c r="E1626">
        <f>'906MP'!X1326</f>
        <v>0</v>
      </c>
      <c r="F1626" t="str">
        <f t="shared" si="485"/>
        <v>0</v>
      </c>
      <c r="G1626" t="str">
        <f t="shared" si="486"/>
        <v>0</v>
      </c>
      <c r="H1626">
        <f>'906MP'!Y1326</f>
        <v>0</v>
      </c>
      <c r="I1626">
        <f>'906MP'!AK1326</f>
        <v>0</v>
      </c>
      <c r="J1626">
        <f>'906MP'!T1326</f>
        <v>0</v>
      </c>
      <c r="K1626">
        <f>'906MP'!AJ1326</f>
        <v>0</v>
      </c>
      <c r="L1626">
        <f>'906MP'!U1326</f>
        <v>0</v>
      </c>
      <c r="M1626" s="322" t="str">
        <f>IFERROR(VLOOKUP(A1626,PAR!$D$3:$E$53,2,FALSE),"nincs szervezet")</f>
        <v>nincs szervezet</v>
      </c>
      <c r="N1626" s="322" t="str">
        <f>VLOOKUP(F1626,PAR!$R$3:$S$5,2,FALSE)</f>
        <v>3 - egyik sem</v>
      </c>
      <c r="O1626" t="str">
        <f>IFERROR(VLOOKUP(J1626,PAR!$O$3:$P$5,2,FALSE),"nincs feladat")</f>
        <v>nincs feladat</v>
      </c>
      <c r="P1626" t="str">
        <f>IFERROR(VLOOKUP(G1626,PAR!$J$2:$M$19,4),"nincs rovat")</f>
        <v>nincs rovat</v>
      </c>
      <c r="Q1626" t="str">
        <f>IF(H1626&gt;0,VLOOKUP(H1626,PAR!$AA$3:$AC$187,3,FALSE),"nincs főkönyvi számla")</f>
        <v>nincs főkönyvi számla</v>
      </c>
      <c r="R1626" t="str">
        <f>IFERROR(VLOOKUP(K1626,PAR!$V$3:$X$438,3,FALSE),"000000 - Nincs COFOG")</f>
        <v>000000 - Nincs COFOG</v>
      </c>
      <c r="S1626">
        <f t="shared" si="487"/>
        <v>0</v>
      </c>
      <c r="T1626">
        <f t="shared" si="488"/>
        <v>0</v>
      </c>
      <c r="U1626" t="str">
        <f>IF('906MP'!J1326&gt;0,CONCATENATE('906MP'!J1326," - ",'906MP'!P1326,", ",'906MP'!E1326),"nincs megjegyzés")</f>
        <v>nincs megjegyzés</v>
      </c>
      <c r="V1626" t="str">
        <f t="shared" si="475"/>
        <v>0P0</v>
      </c>
      <c r="W1626" t="str">
        <f t="shared" si="476"/>
        <v>0P0</v>
      </c>
      <c r="X1626" t="str">
        <f t="shared" si="477"/>
        <v>P0</v>
      </c>
      <c r="Y1626" t="str">
        <f t="shared" si="478"/>
        <v>00</v>
      </c>
      <c r="Z1626" t="str">
        <f t="shared" si="489"/>
        <v>00</v>
      </c>
      <c r="AA1626" t="str">
        <f t="shared" si="479"/>
        <v>00</v>
      </c>
      <c r="AB1626" t="str">
        <f t="shared" si="480"/>
        <v>00</v>
      </c>
      <c r="AC1626" t="str">
        <f t="shared" si="481"/>
        <v>0P0</v>
      </c>
      <c r="AD1626" t="str">
        <f t="shared" si="482"/>
        <v>P00</v>
      </c>
      <c r="AE1626" t="str">
        <f t="shared" si="483"/>
        <v>0P0</v>
      </c>
      <c r="AF1626" t="str">
        <f t="shared" si="484"/>
        <v>P00</v>
      </c>
      <c r="AG1626" t="str">
        <f t="shared" si="490"/>
        <v>0P00</v>
      </c>
      <c r="AH1626" t="str">
        <f t="shared" si="491"/>
        <v>P000</v>
      </c>
      <c r="AI1626" t="str">
        <f t="shared" si="492"/>
        <v>0P00</v>
      </c>
      <c r="AJ1626" t="str">
        <f t="shared" si="493"/>
        <v>P000</v>
      </c>
    </row>
    <row r="1627" spans="1:36" x14ac:dyDescent="0.25">
      <c r="A1627" s="325" t="str">
        <f>CONCATENATE("P",'906MP'!M1327)</f>
        <v>P</v>
      </c>
      <c r="B1627">
        <f>'906MP'!H1327</f>
        <v>0</v>
      </c>
      <c r="C1627">
        <f>'906MP'!J1327</f>
        <v>0</v>
      </c>
      <c r="D1627">
        <f>'906MP'!P1327</f>
        <v>0</v>
      </c>
      <c r="E1627">
        <f>'906MP'!X1327</f>
        <v>0</v>
      </c>
      <c r="F1627" t="str">
        <f t="shared" si="485"/>
        <v>0</v>
      </c>
      <c r="G1627" t="str">
        <f t="shared" si="486"/>
        <v>0</v>
      </c>
      <c r="H1627">
        <f>'906MP'!Y1327</f>
        <v>0</v>
      </c>
      <c r="I1627">
        <f>'906MP'!AK1327</f>
        <v>0</v>
      </c>
      <c r="J1627">
        <f>'906MP'!T1327</f>
        <v>0</v>
      </c>
      <c r="K1627">
        <f>'906MP'!AJ1327</f>
        <v>0</v>
      </c>
      <c r="L1627">
        <f>'906MP'!U1327</f>
        <v>0</v>
      </c>
      <c r="M1627" s="322" t="str">
        <f>IFERROR(VLOOKUP(A1627,PAR!$D$3:$E$53,2,FALSE),"nincs szervezet")</f>
        <v>nincs szervezet</v>
      </c>
      <c r="N1627" s="322" t="str">
        <f>VLOOKUP(F1627,PAR!$R$3:$S$5,2,FALSE)</f>
        <v>3 - egyik sem</v>
      </c>
      <c r="O1627" t="str">
        <f>IFERROR(VLOOKUP(J1627,PAR!$O$3:$P$5,2,FALSE),"nincs feladat")</f>
        <v>nincs feladat</v>
      </c>
      <c r="P1627" t="str">
        <f>IFERROR(VLOOKUP(G1627,PAR!$J$2:$M$19,4),"nincs rovat")</f>
        <v>nincs rovat</v>
      </c>
      <c r="Q1627" t="str">
        <f>IF(H1627&gt;0,VLOOKUP(H1627,PAR!$AA$3:$AC$187,3,FALSE),"nincs főkönyvi számla")</f>
        <v>nincs főkönyvi számla</v>
      </c>
      <c r="R1627" t="str">
        <f>IFERROR(VLOOKUP(K1627,PAR!$V$3:$X$438,3,FALSE),"000000 - Nincs COFOG")</f>
        <v>000000 - Nincs COFOG</v>
      </c>
      <c r="S1627">
        <f t="shared" si="487"/>
        <v>0</v>
      </c>
      <c r="T1627">
        <f t="shared" si="488"/>
        <v>0</v>
      </c>
      <c r="U1627" t="str">
        <f>IF('906MP'!J1327&gt;0,CONCATENATE('906MP'!J1327," - ",'906MP'!P1327,", ",'906MP'!E1327),"nincs megjegyzés")</f>
        <v>nincs megjegyzés</v>
      </c>
      <c r="V1627" t="str">
        <f t="shared" si="475"/>
        <v>0P0</v>
      </c>
      <c r="W1627" t="str">
        <f t="shared" si="476"/>
        <v>0P0</v>
      </c>
      <c r="X1627" t="str">
        <f t="shared" si="477"/>
        <v>P0</v>
      </c>
      <c r="Y1627" t="str">
        <f t="shared" si="478"/>
        <v>00</v>
      </c>
      <c r="Z1627" t="str">
        <f t="shared" si="489"/>
        <v>00</v>
      </c>
      <c r="AA1627" t="str">
        <f t="shared" si="479"/>
        <v>00</v>
      </c>
      <c r="AB1627" t="str">
        <f t="shared" si="480"/>
        <v>00</v>
      </c>
      <c r="AC1627" t="str">
        <f t="shared" si="481"/>
        <v>0P0</v>
      </c>
      <c r="AD1627" t="str">
        <f t="shared" si="482"/>
        <v>P00</v>
      </c>
      <c r="AE1627" t="str">
        <f t="shared" si="483"/>
        <v>0P0</v>
      </c>
      <c r="AF1627" t="str">
        <f t="shared" si="484"/>
        <v>P00</v>
      </c>
      <c r="AG1627" t="str">
        <f t="shared" si="490"/>
        <v>0P00</v>
      </c>
      <c r="AH1627" t="str">
        <f t="shared" si="491"/>
        <v>P000</v>
      </c>
      <c r="AI1627" t="str">
        <f t="shared" si="492"/>
        <v>0P00</v>
      </c>
      <c r="AJ1627" t="str">
        <f t="shared" si="493"/>
        <v>P000</v>
      </c>
    </row>
    <row r="1628" spans="1:36" x14ac:dyDescent="0.25">
      <c r="A1628" s="325" t="str">
        <f>CONCATENATE("P",'906MP'!M1328)</f>
        <v>P</v>
      </c>
      <c r="B1628">
        <f>'906MP'!H1328</f>
        <v>0</v>
      </c>
      <c r="C1628">
        <f>'906MP'!J1328</f>
        <v>0</v>
      </c>
      <c r="D1628">
        <f>'906MP'!P1328</f>
        <v>0</v>
      </c>
      <c r="E1628">
        <f>'906MP'!X1328</f>
        <v>0</v>
      </c>
      <c r="F1628" t="str">
        <f t="shared" si="485"/>
        <v>0</v>
      </c>
      <c r="G1628" t="str">
        <f t="shared" si="486"/>
        <v>0</v>
      </c>
      <c r="H1628">
        <f>'906MP'!Y1328</f>
        <v>0</v>
      </c>
      <c r="I1628">
        <f>'906MP'!AK1328</f>
        <v>0</v>
      </c>
      <c r="J1628">
        <f>'906MP'!T1328</f>
        <v>0</v>
      </c>
      <c r="K1628">
        <f>'906MP'!AJ1328</f>
        <v>0</v>
      </c>
      <c r="L1628">
        <f>'906MP'!U1328</f>
        <v>0</v>
      </c>
      <c r="M1628" s="322" t="str">
        <f>IFERROR(VLOOKUP(A1628,PAR!$D$3:$E$53,2,FALSE),"nincs szervezet")</f>
        <v>nincs szervezet</v>
      </c>
      <c r="N1628" s="322" t="str">
        <f>VLOOKUP(F1628,PAR!$R$3:$S$5,2,FALSE)</f>
        <v>3 - egyik sem</v>
      </c>
      <c r="O1628" t="str">
        <f>IFERROR(VLOOKUP(J1628,PAR!$O$3:$P$5,2,FALSE),"nincs feladat")</f>
        <v>nincs feladat</v>
      </c>
      <c r="P1628" t="str">
        <f>IFERROR(VLOOKUP(G1628,PAR!$J$2:$M$19,4),"nincs rovat")</f>
        <v>nincs rovat</v>
      </c>
      <c r="Q1628" t="str">
        <f>IF(H1628&gt;0,VLOOKUP(H1628,PAR!$AA$3:$AC$187,3,FALSE),"nincs főkönyvi számla")</f>
        <v>nincs főkönyvi számla</v>
      </c>
      <c r="R1628" t="str">
        <f>IFERROR(VLOOKUP(K1628,PAR!$V$3:$X$438,3,FALSE),"000000 - Nincs COFOG")</f>
        <v>000000 - Nincs COFOG</v>
      </c>
      <c r="S1628">
        <f t="shared" si="487"/>
        <v>0</v>
      </c>
      <c r="T1628">
        <f t="shared" si="488"/>
        <v>0</v>
      </c>
      <c r="U1628" t="str">
        <f>IF('906MP'!J1328&gt;0,CONCATENATE('906MP'!J1328," - ",'906MP'!P1328,", ",'906MP'!E1328),"nincs megjegyzés")</f>
        <v>nincs megjegyzés</v>
      </c>
      <c r="V1628" t="str">
        <f t="shared" si="475"/>
        <v>0P0</v>
      </c>
      <c r="W1628" t="str">
        <f t="shared" si="476"/>
        <v>0P0</v>
      </c>
      <c r="X1628" t="str">
        <f t="shared" si="477"/>
        <v>P0</v>
      </c>
      <c r="Y1628" t="str">
        <f t="shared" si="478"/>
        <v>00</v>
      </c>
      <c r="Z1628" t="str">
        <f t="shared" si="489"/>
        <v>00</v>
      </c>
      <c r="AA1628" t="str">
        <f t="shared" si="479"/>
        <v>00</v>
      </c>
      <c r="AB1628" t="str">
        <f t="shared" si="480"/>
        <v>00</v>
      </c>
      <c r="AC1628" t="str">
        <f t="shared" si="481"/>
        <v>0P0</v>
      </c>
      <c r="AD1628" t="str">
        <f t="shared" si="482"/>
        <v>P00</v>
      </c>
      <c r="AE1628" t="str">
        <f t="shared" si="483"/>
        <v>0P0</v>
      </c>
      <c r="AF1628" t="str">
        <f t="shared" si="484"/>
        <v>P00</v>
      </c>
      <c r="AG1628" t="str">
        <f t="shared" si="490"/>
        <v>0P00</v>
      </c>
      <c r="AH1628" t="str">
        <f t="shared" si="491"/>
        <v>P000</v>
      </c>
      <c r="AI1628" t="str">
        <f t="shared" si="492"/>
        <v>0P00</v>
      </c>
      <c r="AJ1628" t="str">
        <f t="shared" si="493"/>
        <v>P000</v>
      </c>
    </row>
    <row r="1629" spans="1:36" x14ac:dyDescent="0.25">
      <c r="A1629" s="325" t="str">
        <f>CONCATENATE("P",'906MP'!M1329)</f>
        <v>P</v>
      </c>
      <c r="B1629">
        <f>'906MP'!H1329</f>
        <v>0</v>
      </c>
      <c r="C1629">
        <f>'906MP'!J1329</f>
        <v>0</v>
      </c>
      <c r="D1629">
        <f>'906MP'!P1329</f>
        <v>0</v>
      </c>
      <c r="E1629">
        <f>'906MP'!X1329</f>
        <v>0</v>
      </c>
      <c r="F1629" t="str">
        <f t="shared" si="485"/>
        <v>0</v>
      </c>
      <c r="G1629" t="str">
        <f t="shared" si="486"/>
        <v>0</v>
      </c>
      <c r="H1629">
        <f>'906MP'!Y1329</f>
        <v>0</v>
      </c>
      <c r="I1629">
        <f>'906MP'!AK1329</f>
        <v>0</v>
      </c>
      <c r="J1629">
        <f>'906MP'!T1329</f>
        <v>0</v>
      </c>
      <c r="K1629">
        <f>'906MP'!AJ1329</f>
        <v>0</v>
      </c>
      <c r="L1629">
        <f>'906MP'!U1329</f>
        <v>0</v>
      </c>
      <c r="M1629" s="322" t="str">
        <f>IFERROR(VLOOKUP(A1629,PAR!$D$3:$E$53,2,FALSE),"nincs szervezet")</f>
        <v>nincs szervezet</v>
      </c>
      <c r="N1629" s="322" t="str">
        <f>VLOOKUP(F1629,PAR!$R$3:$S$5,2,FALSE)</f>
        <v>3 - egyik sem</v>
      </c>
      <c r="O1629" t="str">
        <f>IFERROR(VLOOKUP(J1629,PAR!$O$3:$P$5,2,FALSE),"nincs feladat")</f>
        <v>nincs feladat</v>
      </c>
      <c r="P1629" t="str">
        <f>IFERROR(VLOOKUP(G1629,PAR!$J$2:$M$19,4),"nincs rovat")</f>
        <v>nincs rovat</v>
      </c>
      <c r="Q1629" t="str">
        <f>IF(H1629&gt;0,VLOOKUP(H1629,PAR!$AA$3:$AC$187,3,FALSE),"nincs főkönyvi számla")</f>
        <v>nincs főkönyvi számla</v>
      </c>
      <c r="R1629" t="str">
        <f>IFERROR(VLOOKUP(K1629,PAR!$V$3:$X$438,3,FALSE),"000000 - Nincs COFOG")</f>
        <v>000000 - Nincs COFOG</v>
      </c>
      <c r="S1629">
        <f t="shared" si="487"/>
        <v>0</v>
      </c>
      <c r="T1629">
        <f t="shared" si="488"/>
        <v>0</v>
      </c>
      <c r="U1629" t="str">
        <f>IF('906MP'!J1329&gt;0,CONCATENATE('906MP'!J1329," - ",'906MP'!P1329,", ",'906MP'!E1329),"nincs megjegyzés")</f>
        <v>nincs megjegyzés</v>
      </c>
      <c r="V1629" t="str">
        <f t="shared" si="475"/>
        <v>0P0</v>
      </c>
      <c r="W1629" t="str">
        <f t="shared" si="476"/>
        <v>0P0</v>
      </c>
      <c r="X1629" t="str">
        <f t="shared" si="477"/>
        <v>P0</v>
      </c>
      <c r="Y1629" t="str">
        <f t="shared" si="478"/>
        <v>00</v>
      </c>
      <c r="Z1629" t="str">
        <f t="shared" si="489"/>
        <v>00</v>
      </c>
      <c r="AA1629" t="str">
        <f t="shared" si="479"/>
        <v>00</v>
      </c>
      <c r="AB1629" t="str">
        <f t="shared" si="480"/>
        <v>00</v>
      </c>
      <c r="AC1629" t="str">
        <f t="shared" si="481"/>
        <v>0P0</v>
      </c>
      <c r="AD1629" t="str">
        <f t="shared" si="482"/>
        <v>P00</v>
      </c>
      <c r="AE1629" t="str">
        <f t="shared" si="483"/>
        <v>0P0</v>
      </c>
      <c r="AF1629" t="str">
        <f t="shared" si="484"/>
        <v>P00</v>
      </c>
      <c r="AG1629" t="str">
        <f t="shared" si="490"/>
        <v>0P00</v>
      </c>
      <c r="AH1629" t="str">
        <f t="shared" si="491"/>
        <v>P000</v>
      </c>
      <c r="AI1629" t="str">
        <f t="shared" si="492"/>
        <v>0P00</v>
      </c>
      <c r="AJ1629" t="str">
        <f t="shared" si="493"/>
        <v>P000</v>
      </c>
    </row>
    <row r="1630" spans="1:36" x14ac:dyDescent="0.25">
      <c r="A1630" s="325" t="str">
        <f>CONCATENATE("P",'906MP'!M1330)</f>
        <v>P</v>
      </c>
      <c r="B1630">
        <f>'906MP'!H1330</f>
        <v>0</v>
      </c>
      <c r="C1630">
        <f>'906MP'!J1330</f>
        <v>0</v>
      </c>
      <c r="D1630">
        <f>'906MP'!P1330</f>
        <v>0</v>
      </c>
      <c r="E1630">
        <f>'906MP'!X1330</f>
        <v>0</v>
      </c>
      <c r="F1630" t="str">
        <f t="shared" si="485"/>
        <v>0</v>
      </c>
      <c r="G1630" t="str">
        <f t="shared" si="486"/>
        <v>0</v>
      </c>
      <c r="H1630">
        <f>'906MP'!Y1330</f>
        <v>0</v>
      </c>
      <c r="I1630">
        <f>'906MP'!AK1330</f>
        <v>0</v>
      </c>
      <c r="J1630">
        <f>'906MP'!T1330</f>
        <v>0</v>
      </c>
      <c r="K1630">
        <f>'906MP'!AJ1330</f>
        <v>0</v>
      </c>
      <c r="L1630">
        <f>'906MP'!U1330</f>
        <v>0</v>
      </c>
      <c r="M1630" s="322" t="str">
        <f>IFERROR(VLOOKUP(A1630,PAR!$D$3:$E$53,2,FALSE),"nincs szervezet")</f>
        <v>nincs szervezet</v>
      </c>
      <c r="N1630" s="322" t="str">
        <f>VLOOKUP(F1630,PAR!$R$3:$S$5,2,FALSE)</f>
        <v>3 - egyik sem</v>
      </c>
      <c r="O1630" t="str">
        <f>IFERROR(VLOOKUP(J1630,PAR!$O$3:$P$5,2,FALSE),"nincs feladat")</f>
        <v>nincs feladat</v>
      </c>
      <c r="P1630" t="str">
        <f>IFERROR(VLOOKUP(G1630,PAR!$J$2:$M$19,4),"nincs rovat")</f>
        <v>nincs rovat</v>
      </c>
      <c r="Q1630" t="str">
        <f>IF(H1630&gt;0,VLOOKUP(H1630,PAR!$AA$3:$AC$187,3,FALSE),"nincs főkönyvi számla")</f>
        <v>nincs főkönyvi számla</v>
      </c>
      <c r="R1630" t="str">
        <f>IFERROR(VLOOKUP(K1630,PAR!$V$3:$X$438,3,FALSE),"000000 - Nincs COFOG")</f>
        <v>000000 - Nincs COFOG</v>
      </c>
      <c r="S1630">
        <f t="shared" si="487"/>
        <v>0</v>
      </c>
      <c r="T1630">
        <f t="shared" si="488"/>
        <v>0</v>
      </c>
      <c r="U1630" t="str">
        <f>IF('906MP'!J1330&gt;0,CONCATENATE('906MP'!J1330," - ",'906MP'!P1330,", ",'906MP'!E1330),"nincs megjegyzés")</f>
        <v>nincs megjegyzés</v>
      </c>
      <c r="V1630" t="str">
        <f t="shared" si="475"/>
        <v>0P0</v>
      </c>
      <c r="W1630" t="str">
        <f t="shared" si="476"/>
        <v>0P0</v>
      </c>
      <c r="X1630" t="str">
        <f t="shared" si="477"/>
        <v>P0</v>
      </c>
      <c r="Y1630" t="str">
        <f t="shared" si="478"/>
        <v>00</v>
      </c>
      <c r="Z1630" t="str">
        <f t="shared" si="489"/>
        <v>00</v>
      </c>
      <c r="AA1630" t="str">
        <f t="shared" si="479"/>
        <v>00</v>
      </c>
      <c r="AB1630" t="str">
        <f t="shared" si="480"/>
        <v>00</v>
      </c>
      <c r="AC1630" t="str">
        <f t="shared" si="481"/>
        <v>0P0</v>
      </c>
      <c r="AD1630" t="str">
        <f t="shared" si="482"/>
        <v>P00</v>
      </c>
      <c r="AE1630" t="str">
        <f t="shared" si="483"/>
        <v>0P0</v>
      </c>
      <c r="AF1630" t="str">
        <f t="shared" si="484"/>
        <v>P00</v>
      </c>
      <c r="AG1630" t="str">
        <f t="shared" si="490"/>
        <v>0P00</v>
      </c>
      <c r="AH1630" t="str">
        <f t="shared" si="491"/>
        <v>P000</v>
      </c>
      <c r="AI1630" t="str">
        <f t="shared" si="492"/>
        <v>0P00</v>
      </c>
      <c r="AJ1630" t="str">
        <f t="shared" si="493"/>
        <v>P000</v>
      </c>
    </row>
    <row r="1631" spans="1:36" x14ac:dyDescent="0.25">
      <c r="A1631" s="325" t="str">
        <f>CONCATENATE("P",'906MP'!M1331)</f>
        <v>P</v>
      </c>
      <c r="B1631">
        <f>'906MP'!H1331</f>
        <v>0</v>
      </c>
      <c r="C1631">
        <f>'906MP'!J1331</f>
        <v>0</v>
      </c>
      <c r="D1631">
        <f>'906MP'!P1331</f>
        <v>0</v>
      </c>
      <c r="E1631">
        <f>'906MP'!X1331</f>
        <v>0</v>
      </c>
      <c r="F1631" t="str">
        <f t="shared" si="485"/>
        <v>0</v>
      </c>
      <c r="G1631" t="str">
        <f t="shared" si="486"/>
        <v>0</v>
      </c>
      <c r="H1631">
        <f>'906MP'!Y1331</f>
        <v>0</v>
      </c>
      <c r="I1631">
        <f>'906MP'!AK1331</f>
        <v>0</v>
      </c>
      <c r="J1631">
        <f>'906MP'!T1331</f>
        <v>0</v>
      </c>
      <c r="K1631">
        <f>'906MP'!AJ1331</f>
        <v>0</v>
      </c>
      <c r="L1631">
        <f>'906MP'!U1331</f>
        <v>0</v>
      </c>
      <c r="M1631" s="322" t="str">
        <f>IFERROR(VLOOKUP(A1631,PAR!$D$3:$E$53,2,FALSE),"nincs szervezet")</f>
        <v>nincs szervezet</v>
      </c>
      <c r="N1631" s="322" t="str">
        <f>VLOOKUP(F1631,PAR!$R$3:$S$5,2,FALSE)</f>
        <v>3 - egyik sem</v>
      </c>
      <c r="O1631" t="str">
        <f>IFERROR(VLOOKUP(J1631,PAR!$O$3:$P$5,2,FALSE),"nincs feladat")</f>
        <v>nincs feladat</v>
      </c>
      <c r="P1631" t="str">
        <f>IFERROR(VLOOKUP(G1631,PAR!$J$2:$M$19,4),"nincs rovat")</f>
        <v>nincs rovat</v>
      </c>
      <c r="Q1631" t="str">
        <f>IF(H1631&gt;0,VLOOKUP(H1631,PAR!$AA$3:$AC$187,3,FALSE),"nincs főkönyvi számla")</f>
        <v>nincs főkönyvi számla</v>
      </c>
      <c r="R1631" t="str">
        <f>IFERROR(VLOOKUP(K1631,PAR!$V$3:$X$438,3,FALSE),"000000 - Nincs COFOG")</f>
        <v>000000 - Nincs COFOG</v>
      </c>
      <c r="S1631">
        <f t="shared" si="487"/>
        <v>0</v>
      </c>
      <c r="T1631">
        <f t="shared" si="488"/>
        <v>0</v>
      </c>
      <c r="U1631" t="str">
        <f>IF('906MP'!J1331&gt;0,CONCATENATE('906MP'!J1331," - ",'906MP'!P1331,", ",'906MP'!E1331),"nincs megjegyzés")</f>
        <v>nincs megjegyzés</v>
      </c>
      <c r="V1631" t="str">
        <f t="shared" si="475"/>
        <v>0P0</v>
      </c>
      <c r="W1631" t="str">
        <f t="shared" si="476"/>
        <v>0P0</v>
      </c>
      <c r="X1631" t="str">
        <f t="shared" si="477"/>
        <v>P0</v>
      </c>
      <c r="Y1631" t="str">
        <f t="shared" si="478"/>
        <v>00</v>
      </c>
      <c r="Z1631" t="str">
        <f t="shared" si="489"/>
        <v>00</v>
      </c>
      <c r="AA1631" t="str">
        <f t="shared" si="479"/>
        <v>00</v>
      </c>
      <c r="AB1631" t="str">
        <f t="shared" si="480"/>
        <v>00</v>
      </c>
      <c r="AC1631" t="str">
        <f t="shared" si="481"/>
        <v>0P0</v>
      </c>
      <c r="AD1631" t="str">
        <f t="shared" si="482"/>
        <v>P00</v>
      </c>
      <c r="AE1631" t="str">
        <f t="shared" si="483"/>
        <v>0P0</v>
      </c>
      <c r="AF1631" t="str">
        <f t="shared" si="484"/>
        <v>P00</v>
      </c>
      <c r="AG1631" t="str">
        <f t="shared" si="490"/>
        <v>0P00</v>
      </c>
      <c r="AH1631" t="str">
        <f t="shared" si="491"/>
        <v>P000</v>
      </c>
      <c r="AI1631" t="str">
        <f t="shared" si="492"/>
        <v>0P00</v>
      </c>
      <c r="AJ1631" t="str">
        <f t="shared" si="493"/>
        <v>P000</v>
      </c>
    </row>
    <row r="1632" spans="1:36" x14ac:dyDescent="0.25">
      <c r="A1632" s="325" t="str">
        <f>CONCATENATE("P",'906MP'!M1332)</f>
        <v>P</v>
      </c>
      <c r="B1632">
        <f>'906MP'!H1332</f>
        <v>0</v>
      </c>
      <c r="C1632">
        <f>'906MP'!J1332</f>
        <v>0</v>
      </c>
      <c r="D1632">
        <f>'906MP'!P1332</f>
        <v>0</v>
      </c>
      <c r="E1632">
        <f>'906MP'!X1332</f>
        <v>0</v>
      </c>
      <c r="F1632" t="str">
        <f t="shared" si="485"/>
        <v>0</v>
      </c>
      <c r="G1632" t="str">
        <f t="shared" si="486"/>
        <v>0</v>
      </c>
      <c r="H1632">
        <f>'906MP'!Y1332</f>
        <v>0</v>
      </c>
      <c r="I1632">
        <f>'906MP'!AK1332</f>
        <v>0</v>
      </c>
      <c r="J1632">
        <f>'906MP'!T1332</f>
        <v>0</v>
      </c>
      <c r="K1632">
        <f>'906MP'!AJ1332</f>
        <v>0</v>
      </c>
      <c r="L1632">
        <f>'906MP'!U1332</f>
        <v>0</v>
      </c>
      <c r="M1632" s="322" t="str">
        <f>IFERROR(VLOOKUP(A1632,PAR!$D$3:$E$53,2,FALSE),"nincs szervezet")</f>
        <v>nincs szervezet</v>
      </c>
      <c r="N1632" s="322" t="str">
        <f>VLOOKUP(F1632,PAR!$R$3:$S$5,2,FALSE)</f>
        <v>3 - egyik sem</v>
      </c>
      <c r="O1632" t="str">
        <f>IFERROR(VLOOKUP(J1632,PAR!$O$3:$P$5,2,FALSE),"nincs feladat")</f>
        <v>nincs feladat</v>
      </c>
      <c r="P1632" t="str">
        <f>IFERROR(VLOOKUP(G1632,PAR!$J$2:$M$19,4),"nincs rovat")</f>
        <v>nincs rovat</v>
      </c>
      <c r="Q1632" t="str">
        <f>IF(H1632&gt;0,VLOOKUP(H1632,PAR!$AA$3:$AC$187,3,FALSE),"nincs főkönyvi számla")</f>
        <v>nincs főkönyvi számla</v>
      </c>
      <c r="R1632" t="str">
        <f>IFERROR(VLOOKUP(K1632,PAR!$V$3:$X$438,3,FALSE),"000000 - Nincs COFOG")</f>
        <v>000000 - Nincs COFOG</v>
      </c>
      <c r="S1632">
        <f t="shared" si="487"/>
        <v>0</v>
      </c>
      <c r="T1632">
        <f t="shared" si="488"/>
        <v>0</v>
      </c>
      <c r="U1632" t="str">
        <f>IF('906MP'!J1332&gt;0,CONCATENATE('906MP'!J1332," - ",'906MP'!P1332,", ",'906MP'!E1332),"nincs megjegyzés")</f>
        <v>nincs megjegyzés</v>
      </c>
      <c r="V1632" t="str">
        <f t="shared" si="475"/>
        <v>0P0</v>
      </c>
      <c r="W1632" t="str">
        <f t="shared" si="476"/>
        <v>0P0</v>
      </c>
      <c r="X1632" t="str">
        <f t="shared" si="477"/>
        <v>P0</v>
      </c>
      <c r="Y1632" t="str">
        <f t="shared" si="478"/>
        <v>00</v>
      </c>
      <c r="Z1632" t="str">
        <f t="shared" si="489"/>
        <v>00</v>
      </c>
      <c r="AA1632" t="str">
        <f t="shared" si="479"/>
        <v>00</v>
      </c>
      <c r="AB1632" t="str">
        <f t="shared" si="480"/>
        <v>00</v>
      </c>
      <c r="AC1632" t="str">
        <f t="shared" si="481"/>
        <v>0P0</v>
      </c>
      <c r="AD1632" t="str">
        <f t="shared" si="482"/>
        <v>P00</v>
      </c>
      <c r="AE1632" t="str">
        <f t="shared" si="483"/>
        <v>0P0</v>
      </c>
      <c r="AF1632" t="str">
        <f t="shared" si="484"/>
        <v>P00</v>
      </c>
      <c r="AG1632" t="str">
        <f t="shared" si="490"/>
        <v>0P00</v>
      </c>
      <c r="AH1632" t="str">
        <f t="shared" si="491"/>
        <v>P000</v>
      </c>
      <c r="AI1632" t="str">
        <f t="shared" si="492"/>
        <v>0P00</v>
      </c>
      <c r="AJ1632" t="str">
        <f t="shared" si="493"/>
        <v>P000</v>
      </c>
    </row>
    <row r="1633" spans="1:36" x14ac:dyDescent="0.25">
      <c r="A1633" s="325" t="str">
        <f>CONCATENATE("P",'906MP'!M1333)</f>
        <v>P</v>
      </c>
      <c r="B1633">
        <f>'906MP'!H1333</f>
        <v>0</v>
      </c>
      <c r="C1633">
        <f>'906MP'!J1333</f>
        <v>0</v>
      </c>
      <c r="D1633">
        <f>'906MP'!P1333</f>
        <v>0</v>
      </c>
      <c r="E1633">
        <f>'906MP'!X1333</f>
        <v>0</v>
      </c>
      <c r="F1633" t="str">
        <f t="shared" si="485"/>
        <v>0</v>
      </c>
      <c r="G1633" t="str">
        <f t="shared" si="486"/>
        <v>0</v>
      </c>
      <c r="H1633">
        <f>'906MP'!Y1333</f>
        <v>0</v>
      </c>
      <c r="I1633">
        <f>'906MP'!AK1333</f>
        <v>0</v>
      </c>
      <c r="J1633">
        <f>'906MP'!T1333</f>
        <v>0</v>
      </c>
      <c r="K1633">
        <f>'906MP'!AJ1333</f>
        <v>0</v>
      </c>
      <c r="L1633">
        <f>'906MP'!U1333</f>
        <v>0</v>
      </c>
      <c r="M1633" s="322" t="str">
        <f>IFERROR(VLOOKUP(A1633,PAR!$D$3:$E$53,2,FALSE),"nincs szervezet")</f>
        <v>nincs szervezet</v>
      </c>
      <c r="N1633" s="322" t="str">
        <f>VLOOKUP(F1633,PAR!$R$3:$S$5,2,FALSE)</f>
        <v>3 - egyik sem</v>
      </c>
      <c r="O1633" t="str">
        <f>IFERROR(VLOOKUP(J1633,PAR!$O$3:$P$5,2,FALSE),"nincs feladat")</f>
        <v>nincs feladat</v>
      </c>
      <c r="P1633" t="str">
        <f>IFERROR(VLOOKUP(G1633,PAR!$J$2:$M$19,4),"nincs rovat")</f>
        <v>nincs rovat</v>
      </c>
      <c r="Q1633" t="str">
        <f>IF(H1633&gt;0,VLOOKUP(H1633,PAR!$AA$3:$AC$187,3,FALSE),"nincs főkönyvi számla")</f>
        <v>nincs főkönyvi számla</v>
      </c>
      <c r="R1633" t="str">
        <f>IFERROR(VLOOKUP(K1633,PAR!$V$3:$X$438,3,FALSE),"000000 - Nincs COFOG")</f>
        <v>000000 - Nincs COFOG</v>
      </c>
      <c r="S1633">
        <f t="shared" si="487"/>
        <v>0</v>
      </c>
      <c r="T1633">
        <f t="shared" si="488"/>
        <v>0</v>
      </c>
      <c r="U1633" t="str">
        <f>IF('906MP'!J1333&gt;0,CONCATENATE('906MP'!J1333," - ",'906MP'!P1333,", ",'906MP'!E1333),"nincs megjegyzés")</f>
        <v>nincs megjegyzés</v>
      </c>
      <c r="V1633" t="str">
        <f t="shared" si="475"/>
        <v>0P0</v>
      </c>
      <c r="W1633" t="str">
        <f t="shared" si="476"/>
        <v>0P0</v>
      </c>
      <c r="X1633" t="str">
        <f t="shared" si="477"/>
        <v>P0</v>
      </c>
      <c r="Y1633" t="str">
        <f t="shared" si="478"/>
        <v>00</v>
      </c>
      <c r="Z1633" t="str">
        <f t="shared" si="489"/>
        <v>00</v>
      </c>
      <c r="AA1633" t="str">
        <f t="shared" si="479"/>
        <v>00</v>
      </c>
      <c r="AB1633" t="str">
        <f t="shared" si="480"/>
        <v>00</v>
      </c>
      <c r="AC1633" t="str">
        <f t="shared" si="481"/>
        <v>0P0</v>
      </c>
      <c r="AD1633" t="str">
        <f t="shared" si="482"/>
        <v>P00</v>
      </c>
      <c r="AE1633" t="str">
        <f t="shared" si="483"/>
        <v>0P0</v>
      </c>
      <c r="AF1633" t="str">
        <f t="shared" si="484"/>
        <v>P00</v>
      </c>
      <c r="AG1633" t="str">
        <f t="shared" si="490"/>
        <v>0P00</v>
      </c>
      <c r="AH1633" t="str">
        <f t="shared" si="491"/>
        <v>P000</v>
      </c>
      <c r="AI1633" t="str">
        <f t="shared" si="492"/>
        <v>0P00</v>
      </c>
      <c r="AJ1633" t="str">
        <f t="shared" si="493"/>
        <v>P000</v>
      </c>
    </row>
    <row r="1634" spans="1:36" x14ac:dyDescent="0.25">
      <c r="A1634" s="325" t="str">
        <f>CONCATENATE("P",'906MP'!M1334)</f>
        <v>P</v>
      </c>
      <c r="B1634">
        <f>'906MP'!H1334</f>
        <v>0</v>
      </c>
      <c r="C1634">
        <f>'906MP'!J1334</f>
        <v>0</v>
      </c>
      <c r="D1634">
        <f>'906MP'!P1334</f>
        <v>0</v>
      </c>
      <c r="E1634">
        <f>'906MP'!X1334</f>
        <v>0</v>
      </c>
      <c r="F1634" t="str">
        <f t="shared" si="485"/>
        <v>0</v>
      </c>
      <c r="G1634" t="str">
        <f t="shared" si="486"/>
        <v>0</v>
      </c>
      <c r="H1634">
        <f>'906MP'!Y1334</f>
        <v>0</v>
      </c>
      <c r="I1634">
        <f>'906MP'!AK1334</f>
        <v>0</v>
      </c>
      <c r="J1634">
        <f>'906MP'!T1334</f>
        <v>0</v>
      </c>
      <c r="K1634">
        <f>'906MP'!AJ1334</f>
        <v>0</v>
      </c>
      <c r="L1634">
        <f>'906MP'!U1334</f>
        <v>0</v>
      </c>
      <c r="M1634" s="322" t="str">
        <f>IFERROR(VLOOKUP(A1634,PAR!$D$3:$E$53,2,FALSE),"nincs szervezet")</f>
        <v>nincs szervezet</v>
      </c>
      <c r="N1634" s="322" t="str">
        <f>VLOOKUP(F1634,PAR!$R$3:$S$5,2,FALSE)</f>
        <v>3 - egyik sem</v>
      </c>
      <c r="O1634" t="str">
        <f>IFERROR(VLOOKUP(J1634,PAR!$O$3:$P$5,2,FALSE),"nincs feladat")</f>
        <v>nincs feladat</v>
      </c>
      <c r="P1634" t="str">
        <f>IFERROR(VLOOKUP(G1634,PAR!$J$2:$M$19,4),"nincs rovat")</f>
        <v>nincs rovat</v>
      </c>
      <c r="Q1634" t="str">
        <f>IF(H1634&gt;0,VLOOKUP(H1634,PAR!$AA$3:$AC$187,3,FALSE),"nincs főkönyvi számla")</f>
        <v>nincs főkönyvi számla</v>
      </c>
      <c r="R1634" t="str">
        <f>IFERROR(VLOOKUP(K1634,PAR!$V$3:$X$438,3,FALSE),"000000 - Nincs COFOG")</f>
        <v>000000 - Nincs COFOG</v>
      </c>
      <c r="S1634">
        <f t="shared" si="487"/>
        <v>0</v>
      </c>
      <c r="T1634">
        <f t="shared" si="488"/>
        <v>0</v>
      </c>
      <c r="U1634" t="str">
        <f>IF('906MP'!J1334&gt;0,CONCATENATE('906MP'!J1334," - ",'906MP'!P1334,", ",'906MP'!E1334),"nincs megjegyzés")</f>
        <v>nincs megjegyzés</v>
      </c>
      <c r="V1634" t="str">
        <f t="shared" si="475"/>
        <v>0P0</v>
      </c>
      <c r="W1634" t="str">
        <f t="shared" si="476"/>
        <v>0P0</v>
      </c>
      <c r="X1634" t="str">
        <f t="shared" si="477"/>
        <v>P0</v>
      </c>
      <c r="Y1634" t="str">
        <f t="shared" si="478"/>
        <v>00</v>
      </c>
      <c r="Z1634" t="str">
        <f t="shared" si="489"/>
        <v>00</v>
      </c>
      <c r="AA1634" t="str">
        <f t="shared" si="479"/>
        <v>00</v>
      </c>
      <c r="AB1634" t="str">
        <f t="shared" si="480"/>
        <v>00</v>
      </c>
      <c r="AC1634" t="str">
        <f t="shared" si="481"/>
        <v>0P0</v>
      </c>
      <c r="AD1634" t="str">
        <f t="shared" si="482"/>
        <v>P00</v>
      </c>
      <c r="AE1634" t="str">
        <f t="shared" si="483"/>
        <v>0P0</v>
      </c>
      <c r="AF1634" t="str">
        <f t="shared" si="484"/>
        <v>P00</v>
      </c>
      <c r="AG1634" t="str">
        <f t="shared" si="490"/>
        <v>0P00</v>
      </c>
      <c r="AH1634" t="str">
        <f t="shared" si="491"/>
        <v>P000</v>
      </c>
      <c r="AI1634" t="str">
        <f t="shared" si="492"/>
        <v>0P00</v>
      </c>
      <c r="AJ1634" t="str">
        <f t="shared" si="493"/>
        <v>P000</v>
      </c>
    </row>
    <row r="1635" spans="1:36" x14ac:dyDescent="0.25">
      <c r="A1635" s="325" t="str">
        <f>CONCATENATE("P",'906MP'!M1335)</f>
        <v>P</v>
      </c>
      <c r="B1635">
        <f>'906MP'!H1335</f>
        <v>0</v>
      </c>
      <c r="C1635">
        <f>'906MP'!J1335</f>
        <v>0</v>
      </c>
      <c r="D1635">
        <f>'906MP'!P1335</f>
        <v>0</v>
      </c>
      <c r="E1635">
        <f>'906MP'!X1335</f>
        <v>0</v>
      </c>
      <c r="F1635" t="str">
        <f t="shared" si="485"/>
        <v>0</v>
      </c>
      <c r="G1635" t="str">
        <f t="shared" si="486"/>
        <v>0</v>
      </c>
      <c r="H1635">
        <f>'906MP'!Y1335</f>
        <v>0</v>
      </c>
      <c r="I1635">
        <f>'906MP'!AK1335</f>
        <v>0</v>
      </c>
      <c r="J1635">
        <f>'906MP'!T1335</f>
        <v>0</v>
      </c>
      <c r="K1635">
        <f>'906MP'!AJ1335</f>
        <v>0</v>
      </c>
      <c r="L1635">
        <f>'906MP'!U1335</f>
        <v>0</v>
      </c>
      <c r="M1635" s="322" t="str">
        <f>IFERROR(VLOOKUP(A1635,PAR!$D$3:$E$53,2,FALSE),"nincs szervezet")</f>
        <v>nincs szervezet</v>
      </c>
      <c r="N1635" s="322" t="str">
        <f>VLOOKUP(F1635,PAR!$R$3:$S$5,2,FALSE)</f>
        <v>3 - egyik sem</v>
      </c>
      <c r="O1635" t="str">
        <f>IFERROR(VLOOKUP(J1635,PAR!$O$3:$P$5,2,FALSE),"nincs feladat")</f>
        <v>nincs feladat</v>
      </c>
      <c r="P1635" t="str">
        <f>IFERROR(VLOOKUP(G1635,PAR!$J$2:$M$19,4),"nincs rovat")</f>
        <v>nincs rovat</v>
      </c>
      <c r="Q1635" t="str">
        <f>IF(H1635&gt;0,VLOOKUP(H1635,PAR!$AA$3:$AC$187,3,FALSE),"nincs főkönyvi számla")</f>
        <v>nincs főkönyvi számla</v>
      </c>
      <c r="R1635" t="str">
        <f>IFERROR(VLOOKUP(K1635,PAR!$V$3:$X$438,3,FALSE),"000000 - Nincs COFOG")</f>
        <v>000000 - Nincs COFOG</v>
      </c>
      <c r="S1635">
        <f t="shared" si="487"/>
        <v>0</v>
      </c>
      <c r="T1635">
        <f t="shared" si="488"/>
        <v>0</v>
      </c>
      <c r="U1635" t="str">
        <f>IF('906MP'!J1335&gt;0,CONCATENATE('906MP'!J1335," - ",'906MP'!P1335,", ",'906MP'!E1335),"nincs megjegyzés")</f>
        <v>nincs megjegyzés</v>
      </c>
      <c r="V1635" t="str">
        <f t="shared" si="475"/>
        <v>0P0</v>
      </c>
      <c r="W1635" t="str">
        <f t="shared" si="476"/>
        <v>0P0</v>
      </c>
      <c r="X1635" t="str">
        <f t="shared" si="477"/>
        <v>P0</v>
      </c>
      <c r="Y1635" t="str">
        <f t="shared" si="478"/>
        <v>00</v>
      </c>
      <c r="Z1635" t="str">
        <f t="shared" si="489"/>
        <v>00</v>
      </c>
      <c r="AA1635" t="str">
        <f t="shared" si="479"/>
        <v>00</v>
      </c>
      <c r="AB1635" t="str">
        <f t="shared" si="480"/>
        <v>00</v>
      </c>
      <c r="AC1635" t="str">
        <f t="shared" si="481"/>
        <v>0P0</v>
      </c>
      <c r="AD1635" t="str">
        <f t="shared" si="482"/>
        <v>P00</v>
      </c>
      <c r="AE1635" t="str">
        <f t="shared" si="483"/>
        <v>0P0</v>
      </c>
      <c r="AF1635" t="str">
        <f t="shared" si="484"/>
        <v>P00</v>
      </c>
      <c r="AG1635" t="str">
        <f t="shared" si="490"/>
        <v>0P00</v>
      </c>
      <c r="AH1635" t="str">
        <f t="shared" si="491"/>
        <v>P000</v>
      </c>
      <c r="AI1635" t="str">
        <f t="shared" si="492"/>
        <v>0P00</v>
      </c>
      <c r="AJ1635" t="str">
        <f t="shared" si="493"/>
        <v>P000</v>
      </c>
    </row>
    <row r="1636" spans="1:36" x14ac:dyDescent="0.25">
      <c r="A1636" s="325" t="str">
        <f>CONCATENATE("P",'906MP'!M1336)</f>
        <v>P</v>
      </c>
      <c r="B1636">
        <f>'906MP'!H1336</f>
        <v>0</v>
      </c>
      <c r="C1636">
        <f>'906MP'!J1336</f>
        <v>0</v>
      </c>
      <c r="D1636">
        <f>'906MP'!P1336</f>
        <v>0</v>
      </c>
      <c r="E1636">
        <f>'906MP'!X1336</f>
        <v>0</v>
      </c>
      <c r="F1636" t="str">
        <f t="shared" si="485"/>
        <v>0</v>
      </c>
      <c r="G1636" t="str">
        <f t="shared" si="486"/>
        <v>0</v>
      </c>
      <c r="H1636">
        <f>'906MP'!Y1336</f>
        <v>0</v>
      </c>
      <c r="I1636">
        <f>'906MP'!AK1336</f>
        <v>0</v>
      </c>
      <c r="J1636">
        <f>'906MP'!T1336</f>
        <v>0</v>
      </c>
      <c r="K1636">
        <f>'906MP'!AJ1336</f>
        <v>0</v>
      </c>
      <c r="L1636">
        <f>'906MP'!U1336</f>
        <v>0</v>
      </c>
      <c r="M1636" s="322" t="str">
        <f>IFERROR(VLOOKUP(A1636,PAR!$D$3:$E$53,2,FALSE),"nincs szervezet")</f>
        <v>nincs szervezet</v>
      </c>
      <c r="N1636" s="322" t="str">
        <f>VLOOKUP(F1636,PAR!$R$3:$S$5,2,FALSE)</f>
        <v>3 - egyik sem</v>
      </c>
      <c r="O1636" t="str">
        <f>IFERROR(VLOOKUP(J1636,PAR!$O$3:$P$5,2,FALSE),"nincs feladat")</f>
        <v>nincs feladat</v>
      </c>
      <c r="P1636" t="str">
        <f>IFERROR(VLOOKUP(G1636,PAR!$J$2:$M$19,4),"nincs rovat")</f>
        <v>nincs rovat</v>
      </c>
      <c r="Q1636" t="str">
        <f>IF(H1636&gt;0,VLOOKUP(H1636,PAR!$AA$3:$AC$187,3,FALSE),"nincs főkönyvi számla")</f>
        <v>nincs főkönyvi számla</v>
      </c>
      <c r="R1636" t="str">
        <f>IFERROR(VLOOKUP(K1636,PAR!$V$3:$X$438,3,FALSE),"000000 - Nincs COFOG")</f>
        <v>000000 - Nincs COFOG</v>
      </c>
      <c r="S1636">
        <f t="shared" si="487"/>
        <v>0</v>
      </c>
      <c r="T1636">
        <f t="shared" si="488"/>
        <v>0</v>
      </c>
      <c r="U1636" t="str">
        <f>IF('906MP'!J1336&gt;0,CONCATENATE('906MP'!J1336," - ",'906MP'!P1336,", ",'906MP'!E1336),"nincs megjegyzés")</f>
        <v>nincs megjegyzés</v>
      </c>
      <c r="V1636" t="str">
        <f t="shared" si="475"/>
        <v>0P0</v>
      </c>
      <c r="W1636" t="str">
        <f t="shared" si="476"/>
        <v>0P0</v>
      </c>
      <c r="X1636" t="str">
        <f t="shared" si="477"/>
        <v>P0</v>
      </c>
      <c r="Y1636" t="str">
        <f t="shared" si="478"/>
        <v>00</v>
      </c>
      <c r="Z1636" t="str">
        <f t="shared" si="489"/>
        <v>00</v>
      </c>
      <c r="AA1636" t="str">
        <f t="shared" si="479"/>
        <v>00</v>
      </c>
      <c r="AB1636" t="str">
        <f t="shared" si="480"/>
        <v>00</v>
      </c>
      <c r="AC1636" t="str">
        <f t="shared" si="481"/>
        <v>0P0</v>
      </c>
      <c r="AD1636" t="str">
        <f t="shared" si="482"/>
        <v>P00</v>
      </c>
      <c r="AE1636" t="str">
        <f t="shared" si="483"/>
        <v>0P0</v>
      </c>
      <c r="AF1636" t="str">
        <f t="shared" si="484"/>
        <v>P00</v>
      </c>
      <c r="AG1636" t="str">
        <f t="shared" si="490"/>
        <v>0P00</v>
      </c>
      <c r="AH1636" t="str">
        <f t="shared" si="491"/>
        <v>P000</v>
      </c>
      <c r="AI1636" t="str">
        <f t="shared" si="492"/>
        <v>0P00</v>
      </c>
      <c r="AJ1636" t="str">
        <f t="shared" si="493"/>
        <v>P000</v>
      </c>
    </row>
    <row r="1637" spans="1:36" x14ac:dyDescent="0.25">
      <c r="A1637" s="325" t="str">
        <f>CONCATENATE("P",'906MP'!M1337)</f>
        <v>P</v>
      </c>
      <c r="B1637">
        <f>'906MP'!H1337</f>
        <v>0</v>
      </c>
      <c r="C1637">
        <f>'906MP'!J1337</f>
        <v>0</v>
      </c>
      <c r="D1637">
        <f>'906MP'!P1337</f>
        <v>0</v>
      </c>
      <c r="E1637">
        <f>'906MP'!X1337</f>
        <v>0</v>
      </c>
      <c r="F1637" t="str">
        <f t="shared" si="485"/>
        <v>0</v>
      </c>
      <c r="G1637" t="str">
        <f t="shared" si="486"/>
        <v>0</v>
      </c>
      <c r="H1637">
        <f>'906MP'!Y1337</f>
        <v>0</v>
      </c>
      <c r="I1637">
        <f>'906MP'!AK1337</f>
        <v>0</v>
      </c>
      <c r="J1637">
        <f>'906MP'!T1337</f>
        <v>0</v>
      </c>
      <c r="K1637">
        <f>'906MP'!AJ1337</f>
        <v>0</v>
      </c>
      <c r="L1637">
        <f>'906MP'!U1337</f>
        <v>0</v>
      </c>
      <c r="M1637" s="322" t="str">
        <f>IFERROR(VLOOKUP(A1637,PAR!$D$3:$E$53,2,FALSE),"nincs szervezet")</f>
        <v>nincs szervezet</v>
      </c>
      <c r="N1637" s="322" t="str">
        <f>VLOOKUP(F1637,PAR!$R$3:$S$5,2,FALSE)</f>
        <v>3 - egyik sem</v>
      </c>
      <c r="O1637" t="str">
        <f>IFERROR(VLOOKUP(J1637,PAR!$O$3:$P$5,2,FALSE),"nincs feladat")</f>
        <v>nincs feladat</v>
      </c>
      <c r="P1637" t="str">
        <f>IFERROR(VLOOKUP(G1637,PAR!$J$2:$M$19,4),"nincs rovat")</f>
        <v>nincs rovat</v>
      </c>
      <c r="Q1637" t="str">
        <f>IF(H1637&gt;0,VLOOKUP(H1637,PAR!$AA$3:$AC$187,3,FALSE),"nincs főkönyvi számla")</f>
        <v>nincs főkönyvi számla</v>
      </c>
      <c r="R1637" t="str">
        <f>IFERROR(VLOOKUP(K1637,PAR!$V$3:$X$438,3,FALSE),"000000 - Nincs COFOG")</f>
        <v>000000 - Nincs COFOG</v>
      </c>
      <c r="S1637">
        <f t="shared" si="487"/>
        <v>0</v>
      </c>
      <c r="T1637">
        <f t="shared" si="488"/>
        <v>0</v>
      </c>
      <c r="U1637" t="str">
        <f>IF('906MP'!J1337&gt;0,CONCATENATE('906MP'!J1337," - ",'906MP'!P1337,", ",'906MP'!E1337),"nincs megjegyzés")</f>
        <v>nincs megjegyzés</v>
      </c>
      <c r="V1637" t="str">
        <f t="shared" si="475"/>
        <v>0P0</v>
      </c>
      <c r="W1637" t="str">
        <f t="shared" si="476"/>
        <v>0P0</v>
      </c>
      <c r="X1637" t="str">
        <f t="shared" si="477"/>
        <v>P0</v>
      </c>
      <c r="Y1637" t="str">
        <f t="shared" si="478"/>
        <v>00</v>
      </c>
      <c r="Z1637" t="str">
        <f t="shared" si="489"/>
        <v>00</v>
      </c>
      <c r="AA1637" t="str">
        <f t="shared" si="479"/>
        <v>00</v>
      </c>
      <c r="AB1637" t="str">
        <f t="shared" si="480"/>
        <v>00</v>
      </c>
      <c r="AC1637" t="str">
        <f t="shared" si="481"/>
        <v>0P0</v>
      </c>
      <c r="AD1637" t="str">
        <f t="shared" si="482"/>
        <v>P00</v>
      </c>
      <c r="AE1637" t="str">
        <f t="shared" si="483"/>
        <v>0P0</v>
      </c>
      <c r="AF1637" t="str">
        <f t="shared" si="484"/>
        <v>P00</v>
      </c>
      <c r="AG1637" t="str">
        <f t="shared" si="490"/>
        <v>0P00</v>
      </c>
      <c r="AH1637" t="str">
        <f t="shared" si="491"/>
        <v>P000</v>
      </c>
      <c r="AI1637" t="str">
        <f t="shared" si="492"/>
        <v>0P00</v>
      </c>
      <c r="AJ1637" t="str">
        <f t="shared" si="493"/>
        <v>P000</v>
      </c>
    </row>
    <row r="1638" spans="1:36" x14ac:dyDescent="0.25">
      <c r="A1638" s="325" t="str">
        <f>CONCATENATE("P",'906MP'!M1338)</f>
        <v>P</v>
      </c>
      <c r="B1638">
        <f>'906MP'!H1338</f>
        <v>0</v>
      </c>
      <c r="C1638">
        <f>'906MP'!J1338</f>
        <v>0</v>
      </c>
      <c r="D1638">
        <f>'906MP'!P1338</f>
        <v>0</v>
      </c>
      <c r="E1638">
        <f>'906MP'!X1338</f>
        <v>0</v>
      </c>
      <c r="F1638" t="str">
        <f t="shared" si="485"/>
        <v>0</v>
      </c>
      <c r="G1638" t="str">
        <f t="shared" si="486"/>
        <v>0</v>
      </c>
      <c r="H1638">
        <f>'906MP'!Y1338</f>
        <v>0</v>
      </c>
      <c r="I1638">
        <f>'906MP'!AK1338</f>
        <v>0</v>
      </c>
      <c r="J1638">
        <f>'906MP'!T1338</f>
        <v>0</v>
      </c>
      <c r="K1638">
        <f>'906MP'!AJ1338</f>
        <v>0</v>
      </c>
      <c r="L1638">
        <f>'906MP'!U1338</f>
        <v>0</v>
      </c>
      <c r="M1638" s="322" t="str">
        <f>IFERROR(VLOOKUP(A1638,PAR!$D$3:$E$53,2,FALSE),"nincs szervezet")</f>
        <v>nincs szervezet</v>
      </c>
      <c r="N1638" s="322" t="str">
        <f>VLOOKUP(F1638,PAR!$R$3:$S$5,2,FALSE)</f>
        <v>3 - egyik sem</v>
      </c>
      <c r="O1638" t="str">
        <f>IFERROR(VLOOKUP(J1638,PAR!$O$3:$P$5,2,FALSE),"nincs feladat")</f>
        <v>nincs feladat</v>
      </c>
      <c r="P1638" t="str">
        <f>IFERROR(VLOOKUP(G1638,PAR!$J$2:$M$19,4),"nincs rovat")</f>
        <v>nincs rovat</v>
      </c>
      <c r="Q1638" t="str">
        <f>IF(H1638&gt;0,VLOOKUP(H1638,PAR!$AA$3:$AC$187,3,FALSE),"nincs főkönyvi számla")</f>
        <v>nincs főkönyvi számla</v>
      </c>
      <c r="R1638" t="str">
        <f>IFERROR(VLOOKUP(K1638,PAR!$V$3:$X$438,3,FALSE),"000000 - Nincs COFOG")</f>
        <v>000000 - Nincs COFOG</v>
      </c>
      <c r="S1638">
        <f t="shared" si="487"/>
        <v>0</v>
      </c>
      <c r="T1638">
        <f t="shared" si="488"/>
        <v>0</v>
      </c>
      <c r="U1638" t="str">
        <f>IF('906MP'!J1338&gt;0,CONCATENATE('906MP'!J1338," - ",'906MP'!P1338,", ",'906MP'!E1338),"nincs megjegyzés")</f>
        <v>nincs megjegyzés</v>
      </c>
      <c r="V1638" t="str">
        <f t="shared" si="475"/>
        <v>0P0</v>
      </c>
      <c r="W1638" t="str">
        <f t="shared" si="476"/>
        <v>0P0</v>
      </c>
      <c r="X1638" t="str">
        <f t="shared" si="477"/>
        <v>P0</v>
      </c>
      <c r="Y1638" t="str">
        <f t="shared" si="478"/>
        <v>00</v>
      </c>
      <c r="Z1638" t="str">
        <f t="shared" si="489"/>
        <v>00</v>
      </c>
      <c r="AA1638" t="str">
        <f t="shared" si="479"/>
        <v>00</v>
      </c>
      <c r="AB1638" t="str">
        <f t="shared" si="480"/>
        <v>00</v>
      </c>
      <c r="AC1638" t="str">
        <f t="shared" si="481"/>
        <v>0P0</v>
      </c>
      <c r="AD1638" t="str">
        <f t="shared" si="482"/>
        <v>P00</v>
      </c>
      <c r="AE1638" t="str">
        <f t="shared" si="483"/>
        <v>0P0</v>
      </c>
      <c r="AF1638" t="str">
        <f t="shared" si="484"/>
        <v>P00</v>
      </c>
      <c r="AG1638" t="str">
        <f t="shared" si="490"/>
        <v>0P00</v>
      </c>
      <c r="AH1638" t="str">
        <f t="shared" si="491"/>
        <v>P000</v>
      </c>
      <c r="AI1638" t="str">
        <f t="shared" si="492"/>
        <v>0P00</v>
      </c>
      <c r="AJ1638" t="str">
        <f t="shared" si="493"/>
        <v>P000</v>
      </c>
    </row>
    <row r="1639" spans="1:36" x14ac:dyDescent="0.25">
      <c r="A1639" s="325" t="str">
        <f>CONCATENATE("P",'906MP'!M1339)</f>
        <v>P</v>
      </c>
      <c r="B1639">
        <f>'906MP'!H1339</f>
        <v>0</v>
      </c>
      <c r="C1639">
        <f>'906MP'!J1339</f>
        <v>0</v>
      </c>
      <c r="D1639">
        <f>'906MP'!P1339</f>
        <v>0</v>
      </c>
      <c r="E1639">
        <f>'906MP'!X1339</f>
        <v>0</v>
      </c>
      <c r="F1639" t="str">
        <f t="shared" si="485"/>
        <v>0</v>
      </c>
      <c r="G1639" t="str">
        <f t="shared" si="486"/>
        <v>0</v>
      </c>
      <c r="H1639">
        <f>'906MP'!Y1339</f>
        <v>0</v>
      </c>
      <c r="I1639">
        <f>'906MP'!AK1339</f>
        <v>0</v>
      </c>
      <c r="J1639">
        <f>'906MP'!T1339</f>
        <v>0</v>
      </c>
      <c r="K1639">
        <f>'906MP'!AJ1339</f>
        <v>0</v>
      </c>
      <c r="L1639">
        <f>'906MP'!U1339</f>
        <v>0</v>
      </c>
      <c r="M1639" s="322" t="str">
        <f>IFERROR(VLOOKUP(A1639,PAR!$D$3:$E$53,2,FALSE),"nincs szervezet")</f>
        <v>nincs szervezet</v>
      </c>
      <c r="N1639" s="322" t="str">
        <f>VLOOKUP(F1639,PAR!$R$3:$S$5,2,FALSE)</f>
        <v>3 - egyik sem</v>
      </c>
      <c r="O1639" t="str">
        <f>IFERROR(VLOOKUP(J1639,PAR!$O$3:$P$5,2,FALSE),"nincs feladat")</f>
        <v>nincs feladat</v>
      </c>
      <c r="P1639" t="str">
        <f>IFERROR(VLOOKUP(G1639,PAR!$J$2:$M$19,4),"nincs rovat")</f>
        <v>nincs rovat</v>
      </c>
      <c r="Q1639" t="str">
        <f>IF(H1639&gt;0,VLOOKUP(H1639,PAR!$AA$3:$AC$187,3,FALSE),"nincs főkönyvi számla")</f>
        <v>nincs főkönyvi számla</v>
      </c>
      <c r="R1639" t="str">
        <f>IFERROR(VLOOKUP(K1639,PAR!$V$3:$X$438,3,FALSE),"000000 - Nincs COFOG")</f>
        <v>000000 - Nincs COFOG</v>
      </c>
      <c r="S1639">
        <f t="shared" si="487"/>
        <v>0</v>
      </c>
      <c r="T1639">
        <f t="shared" si="488"/>
        <v>0</v>
      </c>
      <c r="U1639" t="str">
        <f>IF('906MP'!J1339&gt;0,CONCATENATE('906MP'!J1339," - ",'906MP'!P1339,", ",'906MP'!E1339),"nincs megjegyzés")</f>
        <v>nincs megjegyzés</v>
      </c>
      <c r="V1639" t="str">
        <f t="shared" si="475"/>
        <v>0P0</v>
      </c>
      <c r="W1639" t="str">
        <f t="shared" si="476"/>
        <v>0P0</v>
      </c>
      <c r="X1639" t="str">
        <f t="shared" si="477"/>
        <v>P0</v>
      </c>
      <c r="Y1639" t="str">
        <f t="shared" si="478"/>
        <v>00</v>
      </c>
      <c r="Z1639" t="str">
        <f t="shared" si="489"/>
        <v>00</v>
      </c>
      <c r="AA1639" t="str">
        <f t="shared" si="479"/>
        <v>00</v>
      </c>
      <c r="AB1639" t="str">
        <f t="shared" si="480"/>
        <v>00</v>
      </c>
      <c r="AC1639" t="str">
        <f t="shared" si="481"/>
        <v>0P0</v>
      </c>
      <c r="AD1639" t="str">
        <f t="shared" si="482"/>
        <v>P00</v>
      </c>
      <c r="AE1639" t="str">
        <f t="shared" si="483"/>
        <v>0P0</v>
      </c>
      <c r="AF1639" t="str">
        <f t="shared" si="484"/>
        <v>P00</v>
      </c>
      <c r="AG1639" t="str">
        <f t="shared" si="490"/>
        <v>0P00</v>
      </c>
      <c r="AH1639" t="str">
        <f t="shared" si="491"/>
        <v>P000</v>
      </c>
      <c r="AI1639" t="str">
        <f t="shared" si="492"/>
        <v>0P00</v>
      </c>
      <c r="AJ1639" t="str">
        <f t="shared" si="493"/>
        <v>P000</v>
      </c>
    </row>
    <row r="1640" spans="1:36" x14ac:dyDescent="0.25">
      <c r="A1640" s="325" t="str">
        <f>CONCATENATE("P",'906MP'!M1340)</f>
        <v>P</v>
      </c>
      <c r="B1640">
        <f>'906MP'!H1340</f>
        <v>0</v>
      </c>
      <c r="C1640">
        <f>'906MP'!J1340</f>
        <v>0</v>
      </c>
      <c r="D1640">
        <f>'906MP'!P1340</f>
        <v>0</v>
      </c>
      <c r="E1640">
        <f>'906MP'!X1340</f>
        <v>0</v>
      </c>
      <c r="F1640" t="str">
        <f t="shared" si="485"/>
        <v>0</v>
      </c>
      <c r="G1640" t="str">
        <f t="shared" si="486"/>
        <v>0</v>
      </c>
      <c r="H1640">
        <f>'906MP'!Y1340</f>
        <v>0</v>
      </c>
      <c r="I1640">
        <f>'906MP'!AK1340</f>
        <v>0</v>
      </c>
      <c r="J1640">
        <f>'906MP'!T1340</f>
        <v>0</v>
      </c>
      <c r="K1640">
        <f>'906MP'!AJ1340</f>
        <v>0</v>
      </c>
      <c r="L1640">
        <f>'906MP'!U1340</f>
        <v>0</v>
      </c>
      <c r="M1640" s="322" t="str">
        <f>IFERROR(VLOOKUP(A1640,PAR!$D$3:$E$53,2,FALSE),"nincs szervezet")</f>
        <v>nincs szervezet</v>
      </c>
      <c r="N1640" s="322" t="str">
        <f>VLOOKUP(F1640,PAR!$R$3:$S$5,2,FALSE)</f>
        <v>3 - egyik sem</v>
      </c>
      <c r="O1640" t="str">
        <f>IFERROR(VLOOKUP(J1640,PAR!$O$3:$P$5,2,FALSE),"nincs feladat")</f>
        <v>nincs feladat</v>
      </c>
      <c r="P1640" t="str">
        <f>IFERROR(VLOOKUP(G1640,PAR!$J$2:$M$19,4),"nincs rovat")</f>
        <v>nincs rovat</v>
      </c>
      <c r="Q1640" t="str">
        <f>IF(H1640&gt;0,VLOOKUP(H1640,PAR!$AA$3:$AC$187,3,FALSE),"nincs főkönyvi számla")</f>
        <v>nincs főkönyvi számla</v>
      </c>
      <c r="R1640" t="str">
        <f>IFERROR(VLOOKUP(K1640,PAR!$V$3:$X$438,3,FALSE),"000000 - Nincs COFOG")</f>
        <v>000000 - Nincs COFOG</v>
      </c>
      <c r="S1640">
        <f t="shared" si="487"/>
        <v>0</v>
      </c>
      <c r="T1640">
        <f t="shared" si="488"/>
        <v>0</v>
      </c>
      <c r="U1640" t="str">
        <f>IF('906MP'!J1340&gt;0,CONCATENATE('906MP'!J1340," - ",'906MP'!P1340,", ",'906MP'!E1340),"nincs megjegyzés")</f>
        <v>nincs megjegyzés</v>
      </c>
      <c r="V1640" t="str">
        <f t="shared" si="475"/>
        <v>0P0</v>
      </c>
      <c r="W1640" t="str">
        <f t="shared" si="476"/>
        <v>0P0</v>
      </c>
      <c r="X1640" t="str">
        <f t="shared" si="477"/>
        <v>P0</v>
      </c>
      <c r="Y1640" t="str">
        <f t="shared" si="478"/>
        <v>00</v>
      </c>
      <c r="Z1640" t="str">
        <f t="shared" si="489"/>
        <v>00</v>
      </c>
      <c r="AA1640" t="str">
        <f t="shared" si="479"/>
        <v>00</v>
      </c>
      <c r="AB1640" t="str">
        <f t="shared" si="480"/>
        <v>00</v>
      </c>
      <c r="AC1640" t="str">
        <f t="shared" si="481"/>
        <v>0P0</v>
      </c>
      <c r="AD1640" t="str">
        <f t="shared" si="482"/>
        <v>P00</v>
      </c>
      <c r="AE1640" t="str">
        <f t="shared" si="483"/>
        <v>0P0</v>
      </c>
      <c r="AF1640" t="str">
        <f t="shared" si="484"/>
        <v>P00</v>
      </c>
      <c r="AG1640" t="str">
        <f t="shared" si="490"/>
        <v>0P00</v>
      </c>
      <c r="AH1640" t="str">
        <f t="shared" si="491"/>
        <v>P000</v>
      </c>
      <c r="AI1640" t="str">
        <f t="shared" si="492"/>
        <v>0P00</v>
      </c>
      <c r="AJ1640" t="str">
        <f t="shared" si="493"/>
        <v>P000</v>
      </c>
    </row>
    <row r="1641" spans="1:36" x14ac:dyDescent="0.25">
      <c r="A1641" s="325" t="str">
        <f>CONCATENATE("P",'906MP'!M1341)</f>
        <v>P</v>
      </c>
      <c r="B1641">
        <f>'906MP'!H1341</f>
        <v>0</v>
      </c>
      <c r="C1641">
        <f>'906MP'!J1341</f>
        <v>0</v>
      </c>
      <c r="D1641">
        <f>'906MP'!P1341</f>
        <v>0</v>
      </c>
      <c r="E1641">
        <f>'906MP'!X1341</f>
        <v>0</v>
      </c>
      <c r="F1641" t="str">
        <f t="shared" si="485"/>
        <v>0</v>
      </c>
      <c r="G1641" t="str">
        <f t="shared" si="486"/>
        <v>0</v>
      </c>
      <c r="H1641">
        <f>'906MP'!Y1341</f>
        <v>0</v>
      </c>
      <c r="I1641">
        <f>'906MP'!AK1341</f>
        <v>0</v>
      </c>
      <c r="J1641">
        <f>'906MP'!T1341</f>
        <v>0</v>
      </c>
      <c r="K1641">
        <f>'906MP'!AJ1341</f>
        <v>0</v>
      </c>
      <c r="L1641">
        <f>'906MP'!U1341</f>
        <v>0</v>
      </c>
      <c r="M1641" s="322" t="str">
        <f>IFERROR(VLOOKUP(A1641,PAR!$D$3:$E$53,2,FALSE),"nincs szervezet")</f>
        <v>nincs szervezet</v>
      </c>
      <c r="N1641" s="322" t="str">
        <f>VLOOKUP(F1641,PAR!$R$3:$S$5,2,FALSE)</f>
        <v>3 - egyik sem</v>
      </c>
      <c r="O1641" t="str">
        <f>IFERROR(VLOOKUP(J1641,PAR!$O$3:$P$5,2,FALSE),"nincs feladat")</f>
        <v>nincs feladat</v>
      </c>
      <c r="P1641" t="str">
        <f>IFERROR(VLOOKUP(G1641,PAR!$J$2:$M$19,4),"nincs rovat")</f>
        <v>nincs rovat</v>
      </c>
      <c r="Q1641" t="str">
        <f>IF(H1641&gt;0,VLOOKUP(H1641,PAR!$AA$3:$AC$187,3,FALSE),"nincs főkönyvi számla")</f>
        <v>nincs főkönyvi számla</v>
      </c>
      <c r="R1641" t="str">
        <f>IFERROR(VLOOKUP(K1641,PAR!$V$3:$X$438,3,FALSE),"000000 - Nincs COFOG")</f>
        <v>000000 - Nincs COFOG</v>
      </c>
      <c r="S1641">
        <f t="shared" si="487"/>
        <v>0</v>
      </c>
      <c r="T1641">
        <f t="shared" si="488"/>
        <v>0</v>
      </c>
      <c r="U1641" t="str">
        <f>IF('906MP'!J1341&gt;0,CONCATENATE('906MP'!J1341," - ",'906MP'!P1341,", ",'906MP'!E1341),"nincs megjegyzés")</f>
        <v>nincs megjegyzés</v>
      </c>
      <c r="V1641" t="str">
        <f t="shared" si="475"/>
        <v>0P0</v>
      </c>
      <c r="W1641" t="str">
        <f t="shared" si="476"/>
        <v>0P0</v>
      </c>
      <c r="X1641" t="str">
        <f t="shared" si="477"/>
        <v>P0</v>
      </c>
      <c r="Y1641" t="str">
        <f t="shared" si="478"/>
        <v>00</v>
      </c>
      <c r="Z1641" t="str">
        <f t="shared" si="489"/>
        <v>00</v>
      </c>
      <c r="AA1641" t="str">
        <f t="shared" si="479"/>
        <v>00</v>
      </c>
      <c r="AB1641" t="str">
        <f t="shared" si="480"/>
        <v>00</v>
      </c>
      <c r="AC1641" t="str">
        <f t="shared" si="481"/>
        <v>0P0</v>
      </c>
      <c r="AD1641" t="str">
        <f t="shared" si="482"/>
        <v>P00</v>
      </c>
      <c r="AE1641" t="str">
        <f t="shared" si="483"/>
        <v>0P0</v>
      </c>
      <c r="AF1641" t="str">
        <f t="shared" si="484"/>
        <v>P00</v>
      </c>
      <c r="AG1641" t="str">
        <f t="shared" si="490"/>
        <v>0P00</v>
      </c>
      <c r="AH1641" t="str">
        <f t="shared" si="491"/>
        <v>P000</v>
      </c>
      <c r="AI1641" t="str">
        <f t="shared" si="492"/>
        <v>0P00</v>
      </c>
      <c r="AJ1641" t="str">
        <f t="shared" si="493"/>
        <v>P000</v>
      </c>
    </row>
    <row r="1642" spans="1:36" x14ac:dyDescent="0.25">
      <c r="A1642" s="325" t="str">
        <f>CONCATENATE("P",'906MP'!M1342)</f>
        <v>P</v>
      </c>
      <c r="B1642">
        <f>'906MP'!H1342</f>
        <v>0</v>
      </c>
      <c r="C1642">
        <f>'906MP'!J1342</f>
        <v>0</v>
      </c>
      <c r="D1642">
        <f>'906MP'!P1342</f>
        <v>0</v>
      </c>
      <c r="E1642">
        <f>'906MP'!X1342</f>
        <v>0</v>
      </c>
      <c r="F1642" t="str">
        <f t="shared" si="485"/>
        <v>0</v>
      </c>
      <c r="G1642" t="str">
        <f t="shared" si="486"/>
        <v>0</v>
      </c>
      <c r="H1642">
        <f>'906MP'!Y1342</f>
        <v>0</v>
      </c>
      <c r="I1642">
        <f>'906MP'!AK1342</f>
        <v>0</v>
      </c>
      <c r="J1642">
        <f>'906MP'!T1342</f>
        <v>0</v>
      </c>
      <c r="K1642">
        <f>'906MP'!AJ1342</f>
        <v>0</v>
      </c>
      <c r="L1642">
        <f>'906MP'!U1342</f>
        <v>0</v>
      </c>
      <c r="M1642" s="322" t="str">
        <f>IFERROR(VLOOKUP(A1642,PAR!$D$3:$E$53,2,FALSE),"nincs szervezet")</f>
        <v>nincs szervezet</v>
      </c>
      <c r="N1642" s="322" t="str">
        <f>VLOOKUP(F1642,PAR!$R$3:$S$5,2,FALSE)</f>
        <v>3 - egyik sem</v>
      </c>
      <c r="O1642" t="str">
        <f>IFERROR(VLOOKUP(J1642,PAR!$O$3:$P$5,2,FALSE),"nincs feladat")</f>
        <v>nincs feladat</v>
      </c>
      <c r="P1642" t="str">
        <f>IFERROR(VLOOKUP(G1642,PAR!$J$2:$M$19,4),"nincs rovat")</f>
        <v>nincs rovat</v>
      </c>
      <c r="Q1642" t="str">
        <f>IF(H1642&gt;0,VLOOKUP(H1642,PAR!$AA$3:$AC$187,3,FALSE),"nincs főkönyvi számla")</f>
        <v>nincs főkönyvi számla</v>
      </c>
      <c r="R1642" t="str">
        <f>IFERROR(VLOOKUP(K1642,PAR!$V$3:$X$438,3,FALSE),"000000 - Nincs COFOG")</f>
        <v>000000 - Nincs COFOG</v>
      </c>
      <c r="S1642">
        <f t="shared" si="487"/>
        <v>0</v>
      </c>
      <c r="T1642">
        <f t="shared" si="488"/>
        <v>0</v>
      </c>
      <c r="U1642" t="str">
        <f>IF('906MP'!J1342&gt;0,CONCATENATE('906MP'!J1342," - ",'906MP'!P1342,", ",'906MP'!E1342),"nincs megjegyzés")</f>
        <v>nincs megjegyzés</v>
      </c>
      <c r="V1642" t="str">
        <f t="shared" si="475"/>
        <v>0P0</v>
      </c>
      <c r="W1642" t="str">
        <f t="shared" si="476"/>
        <v>0P0</v>
      </c>
      <c r="X1642" t="str">
        <f t="shared" si="477"/>
        <v>P0</v>
      </c>
      <c r="Y1642" t="str">
        <f t="shared" si="478"/>
        <v>00</v>
      </c>
      <c r="Z1642" t="str">
        <f t="shared" si="489"/>
        <v>00</v>
      </c>
      <c r="AA1642" t="str">
        <f t="shared" si="479"/>
        <v>00</v>
      </c>
      <c r="AB1642" t="str">
        <f t="shared" si="480"/>
        <v>00</v>
      </c>
      <c r="AC1642" t="str">
        <f t="shared" si="481"/>
        <v>0P0</v>
      </c>
      <c r="AD1642" t="str">
        <f t="shared" si="482"/>
        <v>P00</v>
      </c>
      <c r="AE1642" t="str">
        <f t="shared" si="483"/>
        <v>0P0</v>
      </c>
      <c r="AF1642" t="str">
        <f t="shared" si="484"/>
        <v>P00</v>
      </c>
      <c r="AG1642" t="str">
        <f t="shared" si="490"/>
        <v>0P00</v>
      </c>
      <c r="AH1642" t="str">
        <f t="shared" si="491"/>
        <v>P000</v>
      </c>
      <c r="AI1642" t="str">
        <f t="shared" si="492"/>
        <v>0P00</v>
      </c>
      <c r="AJ1642" t="str">
        <f t="shared" si="493"/>
        <v>P000</v>
      </c>
    </row>
    <row r="1643" spans="1:36" x14ac:dyDescent="0.25">
      <c r="A1643" s="325" t="str">
        <f>CONCATENATE("P",'906MP'!M1343)</f>
        <v>P</v>
      </c>
      <c r="B1643">
        <f>'906MP'!H1343</f>
        <v>0</v>
      </c>
      <c r="C1643">
        <f>'906MP'!J1343</f>
        <v>0</v>
      </c>
      <c r="D1643">
        <f>'906MP'!P1343</f>
        <v>0</v>
      </c>
      <c r="E1643">
        <f>'906MP'!X1343</f>
        <v>0</v>
      </c>
      <c r="F1643" t="str">
        <f t="shared" si="485"/>
        <v>0</v>
      </c>
      <c r="G1643" t="str">
        <f t="shared" si="486"/>
        <v>0</v>
      </c>
      <c r="H1643">
        <f>'906MP'!Y1343</f>
        <v>0</v>
      </c>
      <c r="I1643">
        <f>'906MP'!AK1343</f>
        <v>0</v>
      </c>
      <c r="J1643">
        <f>'906MP'!T1343</f>
        <v>0</v>
      </c>
      <c r="K1643">
        <f>'906MP'!AJ1343</f>
        <v>0</v>
      </c>
      <c r="L1643">
        <f>'906MP'!U1343</f>
        <v>0</v>
      </c>
      <c r="M1643" s="322" t="str">
        <f>IFERROR(VLOOKUP(A1643,PAR!$D$3:$E$53,2,FALSE),"nincs szervezet")</f>
        <v>nincs szervezet</v>
      </c>
      <c r="N1643" s="322" t="str">
        <f>VLOOKUP(F1643,PAR!$R$3:$S$5,2,FALSE)</f>
        <v>3 - egyik sem</v>
      </c>
      <c r="O1643" t="str">
        <f>IFERROR(VLOOKUP(J1643,PAR!$O$3:$P$5,2,FALSE),"nincs feladat")</f>
        <v>nincs feladat</v>
      </c>
      <c r="P1643" t="str">
        <f>IFERROR(VLOOKUP(G1643,PAR!$J$2:$M$19,4),"nincs rovat")</f>
        <v>nincs rovat</v>
      </c>
      <c r="Q1643" t="str">
        <f>IF(H1643&gt;0,VLOOKUP(H1643,PAR!$AA$3:$AC$187,3,FALSE),"nincs főkönyvi számla")</f>
        <v>nincs főkönyvi számla</v>
      </c>
      <c r="R1643" t="str">
        <f>IFERROR(VLOOKUP(K1643,PAR!$V$3:$X$438,3,FALSE),"000000 - Nincs COFOG")</f>
        <v>000000 - Nincs COFOG</v>
      </c>
      <c r="S1643">
        <f t="shared" si="487"/>
        <v>0</v>
      </c>
      <c r="T1643">
        <f t="shared" si="488"/>
        <v>0</v>
      </c>
      <c r="U1643" t="str">
        <f>IF('906MP'!J1343&gt;0,CONCATENATE('906MP'!J1343," - ",'906MP'!P1343,", ",'906MP'!E1343),"nincs megjegyzés")</f>
        <v>nincs megjegyzés</v>
      </c>
      <c r="V1643" t="str">
        <f t="shared" si="475"/>
        <v>0P0</v>
      </c>
      <c r="W1643" t="str">
        <f t="shared" si="476"/>
        <v>0P0</v>
      </c>
      <c r="X1643" t="str">
        <f t="shared" si="477"/>
        <v>P0</v>
      </c>
      <c r="Y1643" t="str">
        <f t="shared" si="478"/>
        <v>00</v>
      </c>
      <c r="Z1643" t="str">
        <f t="shared" si="489"/>
        <v>00</v>
      </c>
      <c r="AA1643" t="str">
        <f t="shared" si="479"/>
        <v>00</v>
      </c>
      <c r="AB1643" t="str">
        <f t="shared" si="480"/>
        <v>00</v>
      </c>
      <c r="AC1643" t="str">
        <f t="shared" si="481"/>
        <v>0P0</v>
      </c>
      <c r="AD1643" t="str">
        <f t="shared" si="482"/>
        <v>P00</v>
      </c>
      <c r="AE1643" t="str">
        <f t="shared" si="483"/>
        <v>0P0</v>
      </c>
      <c r="AF1643" t="str">
        <f t="shared" si="484"/>
        <v>P00</v>
      </c>
      <c r="AG1643" t="str">
        <f t="shared" si="490"/>
        <v>0P00</v>
      </c>
      <c r="AH1643" t="str">
        <f t="shared" si="491"/>
        <v>P000</v>
      </c>
      <c r="AI1643" t="str">
        <f t="shared" si="492"/>
        <v>0P00</v>
      </c>
      <c r="AJ1643" t="str">
        <f t="shared" si="493"/>
        <v>P000</v>
      </c>
    </row>
    <row r="1644" spans="1:36" x14ac:dyDescent="0.25">
      <c r="A1644" s="325" t="str">
        <f>CONCATENATE("P",'906MP'!M1344)</f>
        <v>P</v>
      </c>
      <c r="B1644">
        <f>'906MP'!H1344</f>
        <v>0</v>
      </c>
      <c r="C1644">
        <f>'906MP'!J1344</f>
        <v>0</v>
      </c>
      <c r="D1644">
        <f>'906MP'!P1344</f>
        <v>0</v>
      </c>
      <c r="E1644">
        <f>'906MP'!X1344</f>
        <v>0</v>
      </c>
      <c r="F1644" t="str">
        <f t="shared" si="485"/>
        <v>0</v>
      </c>
      <c r="G1644" t="str">
        <f t="shared" si="486"/>
        <v>0</v>
      </c>
      <c r="H1644">
        <f>'906MP'!Y1344</f>
        <v>0</v>
      </c>
      <c r="I1644">
        <f>'906MP'!AK1344</f>
        <v>0</v>
      </c>
      <c r="J1644">
        <f>'906MP'!T1344</f>
        <v>0</v>
      </c>
      <c r="K1644">
        <f>'906MP'!AJ1344</f>
        <v>0</v>
      </c>
      <c r="L1644">
        <f>'906MP'!U1344</f>
        <v>0</v>
      </c>
      <c r="M1644" s="322" t="str">
        <f>IFERROR(VLOOKUP(A1644,PAR!$D$3:$E$53,2,FALSE),"nincs szervezet")</f>
        <v>nincs szervezet</v>
      </c>
      <c r="N1644" s="322" t="str">
        <f>VLOOKUP(F1644,PAR!$R$3:$S$5,2,FALSE)</f>
        <v>3 - egyik sem</v>
      </c>
      <c r="O1644" t="str">
        <f>IFERROR(VLOOKUP(J1644,PAR!$O$3:$P$5,2,FALSE),"nincs feladat")</f>
        <v>nincs feladat</v>
      </c>
      <c r="P1644" t="str">
        <f>IFERROR(VLOOKUP(G1644,PAR!$J$2:$M$19,4),"nincs rovat")</f>
        <v>nincs rovat</v>
      </c>
      <c r="Q1644" t="str">
        <f>IF(H1644&gt;0,VLOOKUP(H1644,PAR!$AA$3:$AC$187,3,FALSE),"nincs főkönyvi számla")</f>
        <v>nincs főkönyvi számla</v>
      </c>
      <c r="R1644" t="str">
        <f>IFERROR(VLOOKUP(K1644,PAR!$V$3:$X$438,3,FALSE),"000000 - Nincs COFOG")</f>
        <v>000000 - Nincs COFOG</v>
      </c>
      <c r="S1644">
        <f t="shared" si="487"/>
        <v>0</v>
      </c>
      <c r="T1644">
        <f t="shared" si="488"/>
        <v>0</v>
      </c>
      <c r="U1644" t="str">
        <f>IF('906MP'!J1344&gt;0,CONCATENATE('906MP'!J1344," - ",'906MP'!P1344,", ",'906MP'!E1344),"nincs megjegyzés")</f>
        <v>nincs megjegyzés</v>
      </c>
      <c r="V1644" t="str">
        <f t="shared" si="475"/>
        <v>0P0</v>
      </c>
      <c r="W1644" t="str">
        <f t="shared" si="476"/>
        <v>0P0</v>
      </c>
      <c r="X1644" t="str">
        <f t="shared" si="477"/>
        <v>P0</v>
      </c>
      <c r="Y1644" t="str">
        <f t="shared" si="478"/>
        <v>00</v>
      </c>
      <c r="Z1644" t="str">
        <f t="shared" si="489"/>
        <v>00</v>
      </c>
      <c r="AA1644" t="str">
        <f t="shared" si="479"/>
        <v>00</v>
      </c>
      <c r="AB1644" t="str">
        <f t="shared" si="480"/>
        <v>00</v>
      </c>
      <c r="AC1644" t="str">
        <f t="shared" si="481"/>
        <v>0P0</v>
      </c>
      <c r="AD1644" t="str">
        <f t="shared" si="482"/>
        <v>P00</v>
      </c>
      <c r="AE1644" t="str">
        <f t="shared" si="483"/>
        <v>0P0</v>
      </c>
      <c r="AF1644" t="str">
        <f t="shared" si="484"/>
        <v>P00</v>
      </c>
      <c r="AG1644" t="str">
        <f t="shared" si="490"/>
        <v>0P00</v>
      </c>
      <c r="AH1644" t="str">
        <f t="shared" si="491"/>
        <v>P000</v>
      </c>
      <c r="AI1644" t="str">
        <f t="shared" si="492"/>
        <v>0P00</v>
      </c>
      <c r="AJ1644" t="str">
        <f t="shared" si="493"/>
        <v>P000</v>
      </c>
    </row>
    <row r="1645" spans="1:36" x14ac:dyDescent="0.25">
      <c r="A1645" s="325" t="str">
        <f>CONCATENATE("P",'906MP'!M1345)</f>
        <v>P</v>
      </c>
      <c r="B1645">
        <f>'906MP'!H1345</f>
        <v>0</v>
      </c>
      <c r="C1645">
        <f>'906MP'!J1345</f>
        <v>0</v>
      </c>
      <c r="D1645">
        <f>'906MP'!P1345</f>
        <v>0</v>
      </c>
      <c r="E1645">
        <f>'906MP'!X1345</f>
        <v>0</v>
      </c>
      <c r="F1645" t="str">
        <f t="shared" si="485"/>
        <v>0</v>
      </c>
      <c r="G1645" t="str">
        <f t="shared" si="486"/>
        <v>0</v>
      </c>
      <c r="H1645">
        <f>'906MP'!Y1345</f>
        <v>0</v>
      </c>
      <c r="I1645">
        <f>'906MP'!AK1345</f>
        <v>0</v>
      </c>
      <c r="J1645">
        <f>'906MP'!T1345</f>
        <v>0</v>
      </c>
      <c r="K1645">
        <f>'906MP'!AJ1345</f>
        <v>0</v>
      </c>
      <c r="L1645">
        <f>'906MP'!U1345</f>
        <v>0</v>
      </c>
      <c r="M1645" s="322" t="str">
        <f>IFERROR(VLOOKUP(A1645,PAR!$D$3:$E$53,2,FALSE),"nincs szervezet")</f>
        <v>nincs szervezet</v>
      </c>
      <c r="N1645" s="322" t="str">
        <f>VLOOKUP(F1645,PAR!$R$3:$S$5,2,FALSE)</f>
        <v>3 - egyik sem</v>
      </c>
      <c r="O1645" t="str">
        <f>IFERROR(VLOOKUP(J1645,PAR!$O$3:$P$5,2,FALSE),"nincs feladat")</f>
        <v>nincs feladat</v>
      </c>
      <c r="P1645" t="str">
        <f>IFERROR(VLOOKUP(G1645,PAR!$J$2:$M$19,4),"nincs rovat")</f>
        <v>nincs rovat</v>
      </c>
      <c r="Q1645" t="str">
        <f>IF(H1645&gt;0,VLOOKUP(H1645,PAR!$AA$3:$AC$187,3,FALSE),"nincs főkönyvi számla")</f>
        <v>nincs főkönyvi számla</v>
      </c>
      <c r="R1645" t="str">
        <f>IFERROR(VLOOKUP(K1645,PAR!$V$3:$X$438,3,FALSE),"000000 - Nincs COFOG")</f>
        <v>000000 - Nincs COFOG</v>
      </c>
      <c r="S1645">
        <f t="shared" si="487"/>
        <v>0</v>
      </c>
      <c r="T1645">
        <f t="shared" si="488"/>
        <v>0</v>
      </c>
      <c r="U1645" t="str">
        <f>IF('906MP'!J1345&gt;0,CONCATENATE('906MP'!J1345," - ",'906MP'!P1345,", ",'906MP'!E1345),"nincs megjegyzés")</f>
        <v>nincs megjegyzés</v>
      </c>
      <c r="V1645" t="str">
        <f t="shared" si="475"/>
        <v>0P0</v>
      </c>
      <c r="W1645" t="str">
        <f t="shared" si="476"/>
        <v>0P0</v>
      </c>
      <c r="X1645" t="str">
        <f t="shared" si="477"/>
        <v>P0</v>
      </c>
      <c r="Y1645" t="str">
        <f t="shared" si="478"/>
        <v>00</v>
      </c>
      <c r="Z1645" t="str">
        <f t="shared" si="489"/>
        <v>00</v>
      </c>
      <c r="AA1645" t="str">
        <f t="shared" si="479"/>
        <v>00</v>
      </c>
      <c r="AB1645" t="str">
        <f t="shared" si="480"/>
        <v>00</v>
      </c>
      <c r="AC1645" t="str">
        <f t="shared" si="481"/>
        <v>0P0</v>
      </c>
      <c r="AD1645" t="str">
        <f t="shared" si="482"/>
        <v>P00</v>
      </c>
      <c r="AE1645" t="str">
        <f t="shared" si="483"/>
        <v>0P0</v>
      </c>
      <c r="AF1645" t="str">
        <f t="shared" si="484"/>
        <v>P00</v>
      </c>
      <c r="AG1645" t="str">
        <f t="shared" si="490"/>
        <v>0P00</v>
      </c>
      <c r="AH1645" t="str">
        <f t="shared" si="491"/>
        <v>P000</v>
      </c>
      <c r="AI1645" t="str">
        <f t="shared" si="492"/>
        <v>0P00</v>
      </c>
      <c r="AJ1645" t="str">
        <f t="shared" si="493"/>
        <v>P000</v>
      </c>
    </row>
    <row r="1646" spans="1:36" x14ac:dyDescent="0.25">
      <c r="A1646" s="325" t="str">
        <f>CONCATENATE("P",'906MP'!M1346)</f>
        <v>P</v>
      </c>
      <c r="B1646">
        <f>'906MP'!H1346</f>
        <v>0</v>
      </c>
      <c r="C1646">
        <f>'906MP'!J1346</f>
        <v>0</v>
      </c>
      <c r="D1646">
        <f>'906MP'!P1346</f>
        <v>0</v>
      </c>
      <c r="E1646">
        <f>'906MP'!X1346</f>
        <v>0</v>
      </c>
      <c r="F1646" t="str">
        <f t="shared" si="485"/>
        <v>0</v>
      </c>
      <c r="G1646" t="str">
        <f t="shared" si="486"/>
        <v>0</v>
      </c>
      <c r="H1646">
        <f>'906MP'!Y1346</f>
        <v>0</v>
      </c>
      <c r="I1646">
        <f>'906MP'!AK1346</f>
        <v>0</v>
      </c>
      <c r="J1646">
        <f>'906MP'!T1346</f>
        <v>0</v>
      </c>
      <c r="K1646">
        <f>'906MP'!AJ1346</f>
        <v>0</v>
      </c>
      <c r="L1646">
        <f>'906MP'!U1346</f>
        <v>0</v>
      </c>
      <c r="M1646" s="322" t="str">
        <f>IFERROR(VLOOKUP(A1646,PAR!$D$3:$E$53,2,FALSE),"nincs szervezet")</f>
        <v>nincs szervezet</v>
      </c>
      <c r="N1646" s="322" t="str">
        <f>VLOOKUP(F1646,PAR!$R$3:$S$5,2,FALSE)</f>
        <v>3 - egyik sem</v>
      </c>
      <c r="O1646" t="str">
        <f>IFERROR(VLOOKUP(J1646,PAR!$O$3:$P$5,2,FALSE),"nincs feladat")</f>
        <v>nincs feladat</v>
      </c>
      <c r="P1646" t="str">
        <f>IFERROR(VLOOKUP(G1646,PAR!$J$2:$M$19,4),"nincs rovat")</f>
        <v>nincs rovat</v>
      </c>
      <c r="Q1646" t="str">
        <f>IF(H1646&gt;0,VLOOKUP(H1646,PAR!$AA$3:$AC$187,3,FALSE),"nincs főkönyvi számla")</f>
        <v>nincs főkönyvi számla</v>
      </c>
      <c r="R1646" t="str">
        <f>IFERROR(VLOOKUP(K1646,PAR!$V$3:$X$438,3,FALSE),"000000 - Nincs COFOG")</f>
        <v>000000 - Nincs COFOG</v>
      </c>
      <c r="S1646">
        <f t="shared" si="487"/>
        <v>0</v>
      </c>
      <c r="T1646">
        <f t="shared" si="488"/>
        <v>0</v>
      </c>
      <c r="U1646" t="str">
        <f>IF('906MP'!J1346&gt;0,CONCATENATE('906MP'!J1346," - ",'906MP'!P1346,", ",'906MP'!E1346),"nincs megjegyzés")</f>
        <v>nincs megjegyzés</v>
      </c>
      <c r="V1646" t="str">
        <f t="shared" si="475"/>
        <v>0P0</v>
      </c>
      <c r="W1646" t="str">
        <f t="shared" si="476"/>
        <v>0P0</v>
      </c>
      <c r="X1646" t="str">
        <f t="shared" si="477"/>
        <v>P0</v>
      </c>
      <c r="Y1646" t="str">
        <f t="shared" si="478"/>
        <v>00</v>
      </c>
      <c r="Z1646" t="str">
        <f t="shared" si="489"/>
        <v>00</v>
      </c>
      <c r="AA1646" t="str">
        <f t="shared" si="479"/>
        <v>00</v>
      </c>
      <c r="AB1646" t="str">
        <f t="shared" si="480"/>
        <v>00</v>
      </c>
      <c r="AC1646" t="str">
        <f t="shared" si="481"/>
        <v>0P0</v>
      </c>
      <c r="AD1646" t="str">
        <f t="shared" si="482"/>
        <v>P00</v>
      </c>
      <c r="AE1646" t="str">
        <f t="shared" si="483"/>
        <v>0P0</v>
      </c>
      <c r="AF1646" t="str">
        <f t="shared" si="484"/>
        <v>P00</v>
      </c>
      <c r="AG1646" t="str">
        <f t="shared" si="490"/>
        <v>0P00</v>
      </c>
      <c r="AH1646" t="str">
        <f t="shared" si="491"/>
        <v>P000</v>
      </c>
      <c r="AI1646" t="str">
        <f t="shared" si="492"/>
        <v>0P00</v>
      </c>
      <c r="AJ1646" t="str">
        <f t="shared" si="493"/>
        <v>P000</v>
      </c>
    </row>
    <row r="1647" spans="1:36" x14ac:dyDescent="0.25">
      <c r="A1647" s="325" t="str">
        <f>CONCATENATE("P",'906MP'!M1347)</f>
        <v>P</v>
      </c>
      <c r="B1647">
        <f>'906MP'!H1347</f>
        <v>0</v>
      </c>
      <c r="C1647">
        <f>'906MP'!J1347</f>
        <v>0</v>
      </c>
      <c r="D1647">
        <f>'906MP'!P1347</f>
        <v>0</v>
      </c>
      <c r="E1647">
        <f>'906MP'!X1347</f>
        <v>0</v>
      </c>
      <c r="F1647" t="str">
        <f t="shared" si="485"/>
        <v>0</v>
      </c>
      <c r="G1647" t="str">
        <f t="shared" si="486"/>
        <v>0</v>
      </c>
      <c r="H1647">
        <f>'906MP'!Y1347</f>
        <v>0</v>
      </c>
      <c r="I1647">
        <f>'906MP'!AK1347</f>
        <v>0</v>
      </c>
      <c r="J1647">
        <f>'906MP'!T1347</f>
        <v>0</v>
      </c>
      <c r="K1647">
        <f>'906MP'!AJ1347</f>
        <v>0</v>
      </c>
      <c r="L1647">
        <f>'906MP'!U1347</f>
        <v>0</v>
      </c>
      <c r="M1647" s="322" t="str">
        <f>IFERROR(VLOOKUP(A1647,PAR!$D$3:$E$53,2,FALSE),"nincs szervezet")</f>
        <v>nincs szervezet</v>
      </c>
      <c r="N1647" s="322" t="str">
        <f>VLOOKUP(F1647,PAR!$R$3:$S$5,2,FALSE)</f>
        <v>3 - egyik sem</v>
      </c>
      <c r="O1647" t="str">
        <f>IFERROR(VLOOKUP(J1647,PAR!$O$3:$P$5,2,FALSE),"nincs feladat")</f>
        <v>nincs feladat</v>
      </c>
      <c r="P1647" t="str">
        <f>IFERROR(VLOOKUP(G1647,PAR!$J$2:$M$19,4),"nincs rovat")</f>
        <v>nincs rovat</v>
      </c>
      <c r="Q1647" t="str">
        <f>IF(H1647&gt;0,VLOOKUP(H1647,PAR!$AA$3:$AC$187,3,FALSE),"nincs főkönyvi számla")</f>
        <v>nincs főkönyvi számla</v>
      </c>
      <c r="R1647" t="str">
        <f>IFERROR(VLOOKUP(K1647,PAR!$V$3:$X$438,3,FALSE),"000000 - Nincs COFOG")</f>
        <v>000000 - Nincs COFOG</v>
      </c>
      <c r="S1647">
        <f t="shared" si="487"/>
        <v>0</v>
      </c>
      <c r="T1647">
        <f t="shared" si="488"/>
        <v>0</v>
      </c>
      <c r="U1647" t="str">
        <f>IF('906MP'!J1347&gt;0,CONCATENATE('906MP'!J1347," - ",'906MP'!P1347,", ",'906MP'!E1347),"nincs megjegyzés")</f>
        <v>nincs megjegyzés</v>
      </c>
      <c r="V1647" t="str">
        <f t="shared" si="475"/>
        <v>0P0</v>
      </c>
      <c r="W1647" t="str">
        <f t="shared" si="476"/>
        <v>0P0</v>
      </c>
      <c r="X1647" t="str">
        <f t="shared" si="477"/>
        <v>P0</v>
      </c>
      <c r="Y1647" t="str">
        <f t="shared" si="478"/>
        <v>00</v>
      </c>
      <c r="Z1647" t="str">
        <f t="shared" si="489"/>
        <v>00</v>
      </c>
      <c r="AA1647" t="str">
        <f t="shared" si="479"/>
        <v>00</v>
      </c>
      <c r="AB1647" t="str">
        <f t="shared" si="480"/>
        <v>00</v>
      </c>
      <c r="AC1647" t="str">
        <f t="shared" si="481"/>
        <v>0P0</v>
      </c>
      <c r="AD1647" t="str">
        <f t="shared" si="482"/>
        <v>P00</v>
      </c>
      <c r="AE1647" t="str">
        <f t="shared" si="483"/>
        <v>0P0</v>
      </c>
      <c r="AF1647" t="str">
        <f t="shared" si="484"/>
        <v>P00</v>
      </c>
      <c r="AG1647" t="str">
        <f t="shared" si="490"/>
        <v>0P00</v>
      </c>
      <c r="AH1647" t="str">
        <f t="shared" si="491"/>
        <v>P000</v>
      </c>
      <c r="AI1647" t="str">
        <f t="shared" si="492"/>
        <v>0P00</v>
      </c>
      <c r="AJ1647" t="str">
        <f t="shared" si="493"/>
        <v>P000</v>
      </c>
    </row>
    <row r="1648" spans="1:36" x14ac:dyDescent="0.25">
      <c r="A1648" s="325" t="str">
        <f>CONCATENATE("P",'906MP'!M1348)</f>
        <v>P</v>
      </c>
      <c r="B1648">
        <f>'906MP'!H1348</f>
        <v>0</v>
      </c>
      <c r="C1648">
        <f>'906MP'!J1348</f>
        <v>0</v>
      </c>
      <c r="D1648">
        <f>'906MP'!P1348</f>
        <v>0</v>
      </c>
      <c r="E1648">
        <f>'906MP'!X1348</f>
        <v>0</v>
      </c>
      <c r="F1648" t="str">
        <f t="shared" si="485"/>
        <v>0</v>
      </c>
      <c r="G1648" t="str">
        <f t="shared" si="486"/>
        <v>0</v>
      </c>
      <c r="H1648">
        <f>'906MP'!Y1348</f>
        <v>0</v>
      </c>
      <c r="I1648">
        <f>'906MP'!AK1348</f>
        <v>0</v>
      </c>
      <c r="J1648">
        <f>'906MP'!T1348</f>
        <v>0</v>
      </c>
      <c r="K1648">
        <f>'906MP'!AJ1348</f>
        <v>0</v>
      </c>
      <c r="L1648">
        <f>'906MP'!U1348</f>
        <v>0</v>
      </c>
      <c r="M1648" s="322" t="str">
        <f>IFERROR(VLOOKUP(A1648,PAR!$D$3:$E$53,2,FALSE),"nincs szervezet")</f>
        <v>nincs szervezet</v>
      </c>
      <c r="N1648" s="322" t="str">
        <f>VLOOKUP(F1648,PAR!$R$3:$S$5,2,FALSE)</f>
        <v>3 - egyik sem</v>
      </c>
      <c r="O1648" t="str">
        <f>IFERROR(VLOOKUP(J1648,PAR!$O$3:$P$5,2,FALSE),"nincs feladat")</f>
        <v>nincs feladat</v>
      </c>
      <c r="P1648" t="str">
        <f>IFERROR(VLOOKUP(G1648,PAR!$J$2:$M$19,4),"nincs rovat")</f>
        <v>nincs rovat</v>
      </c>
      <c r="Q1648" t="str">
        <f>IF(H1648&gt;0,VLOOKUP(H1648,PAR!$AA$3:$AC$187,3,FALSE),"nincs főkönyvi számla")</f>
        <v>nincs főkönyvi számla</v>
      </c>
      <c r="R1648" t="str">
        <f>IFERROR(VLOOKUP(K1648,PAR!$V$3:$X$438,3,FALSE),"000000 - Nincs COFOG")</f>
        <v>000000 - Nincs COFOG</v>
      </c>
      <c r="S1648">
        <f t="shared" si="487"/>
        <v>0</v>
      </c>
      <c r="T1648">
        <f t="shared" si="488"/>
        <v>0</v>
      </c>
      <c r="U1648" t="str">
        <f>IF('906MP'!J1348&gt;0,CONCATENATE('906MP'!J1348," - ",'906MP'!P1348,", ",'906MP'!E1348),"nincs megjegyzés")</f>
        <v>nincs megjegyzés</v>
      </c>
      <c r="V1648" t="str">
        <f t="shared" si="475"/>
        <v>0P0</v>
      </c>
      <c r="W1648" t="str">
        <f t="shared" si="476"/>
        <v>0P0</v>
      </c>
      <c r="X1648" t="str">
        <f t="shared" si="477"/>
        <v>P0</v>
      </c>
      <c r="Y1648" t="str">
        <f t="shared" si="478"/>
        <v>00</v>
      </c>
      <c r="Z1648" t="str">
        <f t="shared" si="489"/>
        <v>00</v>
      </c>
      <c r="AA1648" t="str">
        <f t="shared" si="479"/>
        <v>00</v>
      </c>
      <c r="AB1648" t="str">
        <f t="shared" si="480"/>
        <v>00</v>
      </c>
      <c r="AC1648" t="str">
        <f t="shared" si="481"/>
        <v>0P0</v>
      </c>
      <c r="AD1648" t="str">
        <f t="shared" si="482"/>
        <v>P00</v>
      </c>
      <c r="AE1648" t="str">
        <f t="shared" si="483"/>
        <v>0P0</v>
      </c>
      <c r="AF1648" t="str">
        <f t="shared" si="484"/>
        <v>P00</v>
      </c>
      <c r="AG1648" t="str">
        <f t="shared" si="490"/>
        <v>0P00</v>
      </c>
      <c r="AH1648" t="str">
        <f t="shared" si="491"/>
        <v>P000</v>
      </c>
      <c r="AI1648" t="str">
        <f t="shared" si="492"/>
        <v>0P00</v>
      </c>
      <c r="AJ1648" t="str">
        <f t="shared" si="493"/>
        <v>P000</v>
      </c>
    </row>
    <row r="1649" spans="1:36" x14ac:dyDescent="0.25">
      <c r="A1649" s="325" t="str">
        <f>CONCATENATE("P",'906MP'!M1349)</f>
        <v>P</v>
      </c>
      <c r="B1649">
        <f>'906MP'!H1349</f>
        <v>0</v>
      </c>
      <c r="C1649">
        <f>'906MP'!J1349</f>
        <v>0</v>
      </c>
      <c r="D1649">
        <f>'906MP'!P1349</f>
        <v>0</v>
      </c>
      <c r="E1649">
        <f>'906MP'!X1349</f>
        <v>0</v>
      </c>
      <c r="F1649" t="str">
        <f t="shared" si="485"/>
        <v>0</v>
      </c>
      <c r="G1649" t="str">
        <f t="shared" si="486"/>
        <v>0</v>
      </c>
      <c r="H1649">
        <f>'906MP'!Y1349</f>
        <v>0</v>
      </c>
      <c r="I1649">
        <f>'906MP'!AK1349</f>
        <v>0</v>
      </c>
      <c r="J1649">
        <f>'906MP'!T1349</f>
        <v>0</v>
      </c>
      <c r="K1649">
        <f>'906MP'!AJ1349</f>
        <v>0</v>
      </c>
      <c r="L1649">
        <f>'906MP'!U1349</f>
        <v>0</v>
      </c>
      <c r="M1649" s="322" t="str">
        <f>IFERROR(VLOOKUP(A1649,PAR!$D$3:$E$53,2,FALSE),"nincs szervezet")</f>
        <v>nincs szervezet</v>
      </c>
      <c r="N1649" s="322" t="str">
        <f>VLOOKUP(F1649,PAR!$R$3:$S$5,2,FALSE)</f>
        <v>3 - egyik sem</v>
      </c>
      <c r="O1649" t="str">
        <f>IFERROR(VLOOKUP(J1649,PAR!$O$3:$P$5,2,FALSE),"nincs feladat")</f>
        <v>nincs feladat</v>
      </c>
      <c r="P1649" t="str">
        <f>IFERROR(VLOOKUP(G1649,PAR!$J$2:$M$19,4),"nincs rovat")</f>
        <v>nincs rovat</v>
      </c>
      <c r="Q1649" t="str">
        <f>IF(H1649&gt;0,VLOOKUP(H1649,PAR!$AA$3:$AC$187,3,FALSE),"nincs főkönyvi számla")</f>
        <v>nincs főkönyvi számla</v>
      </c>
      <c r="R1649" t="str">
        <f>IFERROR(VLOOKUP(K1649,PAR!$V$3:$X$438,3,FALSE),"000000 - Nincs COFOG")</f>
        <v>000000 - Nincs COFOG</v>
      </c>
      <c r="S1649">
        <f t="shared" si="487"/>
        <v>0</v>
      </c>
      <c r="T1649">
        <f t="shared" si="488"/>
        <v>0</v>
      </c>
      <c r="U1649" t="str">
        <f>IF('906MP'!J1349&gt;0,CONCATENATE('906MP'!J1349," - ",'906MP'!P1349,", ",'906MP'!E1349),"nincs megjegyzés")</f>
        <v>nincs megjegyzés</v>
      </c>
      <c r="V1649" t="str">
        <f t="shared" si="475"/>
        <v>0P0</v>
      </c>
      <c r="W1649" t="str">
        <f t="shared" si="476"/>
        <v>0P0</v>
      </c>
      <c r="X1649" t="str">
        <f t="shared" si="477"/>
        <v>P0</v>
      </c>
      <c r="Y1649" t="str">
        <f t="shared" si="478"/>
        <v>00</v>
      </c>
      <c r="Z1649" t="str">
        <f t="shared" si="489"/>
        <v>00</v>
      </c>
      <c r="AA1649" t="str">
        <f t="shared" si="479"/>
        <v>00</v>
      </c>
      <c r="AB1649" t="str">
        <f t="shared" si="480"/>
        <v>00</v>
      </c>
      <c r="AC1649" t="str">
        <f t="shared" si="481"/>
        <v>0P0</v>
      </c>
      <c r="AD1649" t="str">
        <f t="shared" si="482"/>
        <v>P00</v>
      </c>
      <c r="AE1649" t="str">
        <f t="shared" si="483"/>
        <v>0P0</v>
      </c>
      <c r="AF1649" t="str">
        <f t="shared" si="484"/>
        <v>P00</v>
      </c>
      <c r="AG1649" t="str">
        <f t="shared" si="490"/>
        <v>0P00</v>
      </c>
      <c r="AH1649" t="str">
        <f t="shared" si="491"/>
        <v>P000</v>
      </c>
      <c r="AI1649" t="str">
        <f t="shared" si="492"/>
        <v>0P00</v>
      </c>
      <c r="AJ1649" t="str">
        <f t="shared" si="493"/>
        <v>P000</v>
      </c>
    </row>
    <row r="1650" spans="1:36" x14ac:dyDescent="0.25">
      <c r="A1650" s="325" t="str">
        <f>CONCATENATE("P",'906MP'!M1350)</f>
        <v>P</v>
      </c>
      <c r="B1650">
        <f>'906MP'!H1350</f>
        <v>0</v>
      </c>
      <c r="C1650">
        <f>'906MP'!J1350</f>
        <v>0</v>
      </c>
      <c r="D1650">
        <f>'906MP'!P1350</f>
        <v>0</v>
      </c>
      <c r="E1650">
        <f>'906MP'!X1350</f>
        <v>0</v>
      </c>
      <c r="F1650" t="str">
        <f t="shared" si="485"/>
        <v>0</v>
      </c>
      <c r="G1650" t="str">
        <f t="shared" si="486"/>
        <v>0</v>
      </c>
      <c r="H1650">
        <f>'906MP'!Y1350</f>
        <v>0</v>
      </c>
      <c r="I1650">
        <f>'906MP'!AK1350</f>
        <v>0</v>
      </c>
      <c r="J1650">
        <f>'906MP'!T1350</f>
        <v>0</v>
      </c>
      <c r="K1650">
        <f>'906MP'!AJ1350</f>
        <v>0</v>
      </c>
      <c r="L1650">
        <f>'906MP'!U1350</f>
        <v>0</v>
      </c>
      <c r="M1650" s="322" t="str">
        <f>IFERROR(VLOOKUP(A1650,PAR!$D$3:$E$53,2,FALSE),"nincs szervezet")</f>
        <v>nincs szervezet</v>
      </c>
      <c r="N1650" s="322" t="str">
        <f>VLOOKUP(F1650,PAR!$R$3:$S$5,2,FALSE)</f>
        <v>3 - egyik sem</v>
      </c>
      <c r="O1650" t="str">
        <f>IFERROR(VLOOKUP(J1650,PAR!$O$3:$P$5,2,FALSE),"nincs feladat")</f>
        <v>nincs feladat</v>
      </c>
      <c r="P1650" t="str">
        <f>IFERROR(VLOOKUP(G1650,PAR!$J$2:$M$19,4),"nincs rovat")</f>
        <v>nincs rovat</v>
      </c>
      <c r="Q1650" t="str">
        <f>IF(H1650&gt;0,VLOOKUP(H1650,PAR!$AA$3:$AC$187,3,FALSE),"nincs főkönyvi számla")</f>
        <v>nincs főkönyvi számla</v>
      </c>
      <c r="R1650" t="str">
        <f>IFERROR(VLOOKUP(K1650,PAR!$V$3:$X$438,3,FALSE),"000000 - Nincs COFOG")</f>
        <v>000000 - Nincs COFOG</v>
      </c>
      <c r="S1650">
        <f t="shared" si="487"/>
        <v>0</v>
      </c>
      <c r="T1650">
        <f t="shared" si="488"/>
        <v>0</v>
      </c>
      <c r="U1650" t="str">
        <f>IF('906MP'!J1350&gt;0,CONCATENATE('906MP'!J1350," - ",'906MP'!P1350,", ",'906MP'!E1350),"nincs megjegyzés")</f>
        <v>nincs megjegyzés</v>
      </c>
      <c r="V1650" t="str">
        <f t="shared" si="475"/>
        <v>0P0</v>
      </c>
      <c r="W1650" t="str">
        <f t="shared" si="476"/>
        <v>0P0</v>
      </c>
      <c r="X1650" t="str">
        <f t="shared" si="477"/>
        <v>P0</v>
      </c>
      <c r="Y1650" t="str">
        <f t="shared" si="478"/>
        <v>00</v>
      </c>
      <c r="Z1650" t="str">
        <f t="shared" si="489"/>
        <v>00</v>
      </c>
      <c r="AA1650" t="str">
        <f t="shared" si="479"/>
        <v>00</v>
      </c>
      <c r="AB1650" t="str">
        <f t="shared" si="480"/>
        <v>00</v>
      </c>
      <c r="AC1650" t="str">
        <f t="shared" si="481"/>
        <v>0P0</v>
      </c>
      <c r="AD1650" t="str">
        <f t="shared" si="482"/>
        <v>P00</v>
      </c>
      <c r="AE1650" t="str">
        <f t="shared" si="483"/>
        <v>0P0</v>
      </c>
      <c r="AF1650" t="str">
        <f t="shared" si="484"/>
        <v>P00</v>
      </c>
      <c r="AG1650" t="str">
        <f t="shared" si="490"/>
        <v>0P00</v>
      </c>
      <c r="AH1650" t="str">
        <f t="shared" si="491"/>
        <v>P000</v>
      </c>
      <c r="AI1650" t="str">
        <f t="shared" si="492"/>
        <v>0P00</v>
      </c>
      <c r="AJ1650" t="str">
        <f t="shared" si="493"/>
        <v>P000</v>
      </c>
    </row>
    <row r="1651" spans="1:36" x14ac:dyDescent="0.25">
      <c r="A1651" s="325" t="str">
        <f>CONCATENATE("P",'906MP'!M1351)</f>
        <v>P</v>
      </c>
      <c r="B1651">
        <f>'906MP'!H1351</f>
        <v>0</v>
      </c>
      <c r="C1651">
        <f>'906MP'!J1351</f>
        <v>0</v>
      </c>
      <c r="D1651">
        <f>'906MP'!P1351</f>
        <v>0</v>
      </c>
      <c r="E1651">
        <f>'906MP'!X1351</f>
        <v>0</v>
      </c>
      <c r="F1651" t="str">
        <f t="shared" si="485"/>
        <v>0</v>
      </c>
      <c r="G1651" t="str">
        <f t="shared" si="486"/>
        <v>0</v>
      </c>
      <c r="H1651">
        <f>'906MP'!Y1351</f>
        <v>0</v>
      </c>
      <c r="I1651">
        <f>'906MP'!AK1351</f>
        <v>0</v>
      </c>
      <c r="J1651">
        <f>'906MP'!T1351</f>
        <v>0</v>
      </c>
      <c r="K1651">
        <f>'906MP'!AJ1351</f>
        <v>0</v>
      </c>
      <c r="L1651">
        <f>'906MP'!U1351</f>
        <v>0</v>
      </c>
      <c r="M1651" s="322" t="str">
        <f>IFERROR(VLOOKUP(A1651,PAR!$D$3:$E$53,2,FALSE),"nincs szervezet")</f>
        <v>nincs szervezet</v>
      </c>
      <c r="N1651" s="322" t="str">
        <f>VLOOKUP(F1651,PAR!$R$3:$S$5,2,FALSE)</f>
        <v>3 - egyik sem</v>
      </c>
      <c r="O1651" t="str">
        <f>IFERROR(VLOOKUP(J1651,PAR!$O$3:$P$5,2,FALSE),"nincs feladat")</f>
        <v>nincs feladat</v>
      </c>
      <c r="P1651" t="str">
        <f>IFERROR(VLOOKUP(G1651,PAR!$J$2:$M$19,4),"nincs rovat")</f>
        <v>nincs rovat</v>
      </c>
      <c r="Q1651" t="str">
        <f>IF(H1651&gt;0,VLOOKUP(H1651,PAR!$AA$3:$AC$187,3,FALSE),"nincs főkönyvi számla")</f>
        <v>nincs főkönyvi számla</v>
      </c>
      <c r="R1651" t="str">
        <f>IFERROR(VLOOKUP(K1651,PAR!$V$3:$X$438,3,FALSE),"000000 - Nincs COFOG")</f>
        <v>000000 - Nincs COFOG</v>
      </c>
      <c r="S1651">
        <f t="shared" si="487"/>
        <v>0</v>
      </c>
      <c r="T1651">
        <f t="shared" si="488"/>
        <v>0</v>
      </c>
      <c r="U1651" t="str">
        <f>IF('906MP'!J1351&gt;0,CONCATENATE('906MP'!J1351," - ",'906MP'!P1351,", ",'906MP'!E1351),"nincs megjegyzés")</f>
        <v>nincs megjegyzés</v>
      </c>
      <c r="V1651" t="str">
        <f t="shared" si="475"/>
        <v>0P0</v>
      </c>
      <c r="W1651" t="str">
        <f t="shared" si="476"/>
        <v>0P0</v>
      </c>
      <c r="X1651" t="str">
        <f t="shared" si="477"/>
        <v>P0</v>
      </c>
      <c r="Y1651" t="str">
        <f t="shared" si="478"/>
        <v>00</v>
      </c>
      <c r="Z1651" t="str">
        <f t="shared" si="489"/>
        <v>00</v>
      </c>
      <c r="AA1651" t="str">
        <f t="shared" si="479"/>
        <v>00</v>
      </c>
      <c r="AB1651" t="str">
        <f t="shared" si="480"/>
        <v>00</v>
      </c>
      <c r="AC1651" t="str">
        <f t="shared" si="481"/>
        <v>0P0</v>
      </c>
      <c r="AD1651" t="str">
        <f t="shared" si="482"/>
        <v>P00</v>
      </c>
      <c r="AE1651" t="str">
        <f t="shared" si="483"/>
        <v>0P0</v>
      </c>
      <c r="AF1651" t="str">
        <f t="shared" si="484"/>
        <v>P00</v>
      </c>
      <c r="AG1651" t="str">
        <f t="shared" si="490"/>
        <v>0P00</v>
      </c>
      <c r="AH1651" t="str">
        <f t="shared" si="491"/>
        <v>P000</v>
      </c>
      <c r="AI1651" t="str">
        <f t="shared" si="492"/>
        <v>0P00</v>
      </c>
      <c r="AJ1651" t="str">
        <f t="shared" si="493"/>
        <v>P000</v>
      </c>
    </row>
    <row r="1652" spans="1:36" x14ac:dyDescent="0.25">
      <c r="A1652" s="325" t="str">
        <f>CONCATENATE("P",'906MP'!M1352)</f>
        <v>P</v>
      </c>
      <c r="B1652">
        <f>'906MP'!H1352</f>
        <v>0</v>
      </c>
      <c r="C1652">
        <f>'906MP'!J1352</f>
        <v>0</v>
      </c>
      <c r="D1652">
        <f>'906MP'!P1352</f>
        <v>0</v>
      </c>
      <c r="E1652">
        <f>'906MP'!X1352</f>
        <v>0</v>
      </c>
      <c r="F1652" t="str">
        <f t="shared" si="485"/>
        <v>0</v>
      </c>
      <c r="G1652" t="str">
        <f t="shared" si="486"/>
        <v>0</v>
      </c>
      <c r="H1652">
        <f>'906MP'!Y1352</f>
        <v>0</v>
      </c>
      <c r="I1652">
        <f>'906MP'!AK1352</f>
        <v>0</v>
      </c>
      <c r="J1652">
        <f>'906MP'!T1352</f>
        <v>0</v>
      </c>
      <c r="K1652">
        <f>'906MP'!AJ1352</f>
        <v>0</v>
      </c>
      <c r="L1652">
        <f>'906MP'!U1352</f>
        <v>0</v>
      </c>
      <c r="M1652" s="322" t="str">
        <f>IFERROR(VLOOKUP(A1652,PAR!$D$3:$E$53,2,FALSE),"nincs szervezet")</f>
        <v>nincs szervezet</v>
      </c>
      <c r="N1652" s="322" t="str">
        <f>VLOOKUP(F1652,PAR!$R$3:$S$5,2,FALSE)</f>
        <v>3 - egyik sem</v>
      </c>
      <c r="O1652" t="str">
        <f>IFERROR(VLOOKUP(J1652,PAR!$O$3:$P$5,2,FALSE),"nincs feladat")</f>
        <v>nincs feladat</v>
      </c>
      <c r="P1652" t="str">
        <f>IFERROR(VLOOKUP(G1652,PAR!$J$2:$M$19,4),"nincs rovat")</f>
        <v>nincs rovat</v>
      </c>
      <c r="Q1652" t="str">
        <f>IF(H1652&gt;0,VLOOKUP(H1652,PAR!$AA$3:$AC$187,3,FALSE),"nincs főkönyvi számla")</f>
        <v>nincs főkönyvi számla</v>
      </c>
      <c r="R1652" t="str">
        <f>IFERROR(VLOOKUP(K1652,PAR!$V$3:$X$438,3,FALSE),"000000 - Nincs COFOG")</f>
        <v>000000 - Nincs COFOG</v>
      </c>
      <c r="S1652">
        <f t="shared" si="487"/>
        <v>0</v>
      </c>
      <c r="T1652">
        <f t="shared" si="488"/>
        <v>0</v>
      </c>
      <c r="U1652" t="str">
        <f>IF('906MP'!J1352&gt;0,CONCATENATE('906MP'!J1352," - ",'906MP'!P1352,", ",'906MP'!E1352),"nincs megjegyzés")</f>
        <v>nincs megjegyzés</v>
      </c>
      <c r="V1652" t="str">
        <f t="shared" si="475"/>
        <v>0P0</v>
      </c>
      <c r="W1652" t="str">
        <f t="shared" si="476"/>
        <v>0P0</v>
      </c>
      <c r="X1652" t="str">
        <f t="shared" si="477"/>
        <v>P0</v>
      </c>
      <c r="Y1652" t="str">
        <f t="shared" si="478"/>
        <v>00</v>
      </c>
      <c r="Z1652" t="str">
        <f t="shared" si="489"/>
        <v>00</v>
      </c>
      <c r="AA1652" t="str">
        <f t="shared" si="479"/>
        <v>00</v>
      </c>
      <c r="AB1652" t="str">
        <f t="shared" si="480"/>
        <v>00</v>
      </c>
      <c r="AC1652" t="str">
        <f t="shared" si="481"/>
        <v>0P0</v>
      </c>
      <c r="AD1652" t="str">
        <f t="shared" si="482"/>
        <v>P00</v>
      </c>
      <c r="AE1652" t="str">
        <f t="shared" si="483"/>
        <v>0P0</v>
      </c>
      <c r="AF1652" t="str">
        <f t="shared" si="484"/>
        <v>P00</v>
      </c>
      <c r="AG1652" t="str">
        <f t="shared" si="490"/>
        <v>0P00</v>
      </c>
      <c r="AH1652" t="str">
        <f t="shared" si="491"/>
        <v>P000</v>
      </c>
      <c r="AI1652" t="str">
        <f t="shared" si="492"/>
        <v>0P00</v>
      </c>
      <c r="AJ1652" t="str">
        <f t="shared" si="493"/>
        <v>P000</v>
      </c>
    </row>
    <row r="1653" spans="1:36" x14ac:dyDescent="0.25">
      <c r="A1653" s="325" t="str">
        <f>CONCATENATE("P",'906MP'!M1353)</f>
        <v>P</v>
      </c>
      <c r="B1653">
        <f>'906MP'!H1353</f>
        <v>0</v>
      </c>
      <c r="C1653">
        <f>'906MP'!J1353</f>
        <v>0</v>
      </c>
      <c r="D1653">
        <f>'906MP'!P1353</f>
        <v>0</v>
      </c>
      <c r="E1653">
        <f>'906MP'!X1353</f>
        <v>0</v>
      </c>
      <c r="F1653" t="str">
        <f t="shared" si="485"/>
        <v>0</v>
      </c>
      <c r="G1653" t="str">
        <f t="shared" si="486"/>
        <v>0</v>
      </c>
      <c r="H1653">
        <f>'906MP'!Y1353</f>
        <v>0</v>
      </c>
      <c r="I1653">
        <f>'906MP'!AK1353</f>
        <v>0</v>
      </c>
      <c r="J1653">
        <f>'906MP'!T1353</f>
        <v>0</v>
      </c>
      <c r="K1653">
        <f>'906MP'!AJ1353</f>
        <v>0</v>
      </c>
      <c r="L1653">
        <f>'906MP'!U1353</f>
        <v>0</v>
      </c>
      <c r="M1653" s="322" t="str">
        <f>IFERROR(VLOOKUP(A1653,PAR!$D$3:$E$53,2,FALSE),"nincs szervezet")</f>
        <v>nincs szervezet</v>
      </c>
      <c r="N1653" s="322" t="str">
        <f>VLOOKUP(F1653,PAR!$R$3:$S$5,2,FALSE)</f>
        <v>3 - egyik sem</v>
      </c>
      <c r="O1653" t="str">
        <f>IFERROR(VLOOKUP(J1653,PAR!$O$3:$P$5,2,FALSE),"nincs feladat")</f>
        <v>nincs feladat</v>
      </c>
      <c r="P1653" t="str">
        <f>IFERROR(VLOOKUP(G1653,PAR!$J$2:$M$19,4),"nincs rovat")</f>
        <v>nincs rovat</v>
      </c>
      <c r="Q1653" t="str">
        <f>IF(H1653&gt;0,VLOOKUP(H1653,PAR!$AA$3:$AC$187,3,FALSE),"nincs főkönyvi számla")</f>
        <v>nincs főkönyvi számla</v>
      </c>
      <c r="R1653" t="str">
        <f>IFERROR(VLOOKUP(K1653,PAR!$V$3:$X$438,3,FALSE),"000000 - Nincs COFOG")</f>
        <v>000000 - Nincs COFOG</v>
      </c>
      <c r="S1653">
        <f t="shared" si="487"/>
        <v>0</v>
      </c>
      <c r="T1653">
        <f t="shared" si="488"/>
        <v>0</v>
      </c>
      <c r="U1653" t="str">
        <f>IF('906MP'!J1353&gt;0,CONCATENATE('906MP'!J1353," - ",'906MP'!P1353,", ",'906MP'!E1353),"nincs megjegyzés")</f>
        <v>nincs megjegyzés</v>
      </c>
      <c r="V1653" t="str">
        <f t="shared" si="475"/>
        <v>0P0</v>
      </c>
      <c r="W1653" t="str">
        <f t="shared" si="476"/>
        <v>0P0</v>
      </c>
      <c r="X1653" t="str">
        <f t="shared" si="477"/>
        <v>P0</v>
      </c>
      <c r="Y1653" t="str">
        <f t="shared" si="478"/>
        <v>00</v>
      </c>
      <c r="Z1653" t="str">
        <f t="shared" si="489"/>
        <v>00</v>
      </c>
      <c r="AA1653" t="str">
        <f t="shared" si="479"/>
        <v>00</v>
      </c>
      <c r="AB1653" t="str">
        <f t="shared" si="480"/>
        <v>00</v>
      </c>
      <c r="AC1653" t="str">
        <f t="shared" si="481"/>
        <v>0P0</v>
      </c>
      <c r="AD1653" t="str">
        <f t="shared" si="482"/>
        <v>P00</v>
      </c>
      <c r="AE1653" t="str">
        <f t="shared" si="483"/>
        <v>0P0</v>
      </c>
      <c r="AF1653" t="str">
        <f t="shared" si="484"/>
        <v>P00</v>
      </c>
      <c r="AG1653" t="str">
        <f t="shared" si="490"/>
        <v>0P00</v>
      </c>
      <c r="AH1653" t="str">
        <f t="shared" si="491"/>
        <v>P000</v>
      </c>
      <c r="AI1653" t="str">
        <f t="shared" si="492"/>
        <v>0P00</v>
      </c>
      <c r="AJ1653" t="str">
        <f t="shared" si="493"/>
        <v>P000</v>
      </c>
    </row>
    <row r="1654" spans="1:36" x14ac:dyDescent="0.25">
      <c r="A1654" s="325" t="str">
        <f>CONCATENATE("P",'906MP'!M1354)</f>
        <v>P</v>
      </c>
      <c r="B1654">
        <f>'906MP'!H1354</f>
        <v>0</v>
      </c>
      <c r="C1654">
        <f>'906MP'!J1354</f>
        <v>0</v>
      </c>
      <c r="D1654">
        <f>'906MP'!P1354</f>
        <v>0</v>
      </c>
      <c r="E1654">
        <f>'906MP'!X1354</f>
        <v>0</v>
      </c>
      <c r="F1654" t="str">
        <f t="shared" si="485"/>
        <v>0</v>
      </c>
      <c r="G1654" t="str">
        <f t="shared" si="486"/>
        <v>0</v>
      </c>
      <c r="H1654">
        <f>'906MP'!Y1354</f>
        <v>0</v>
      </c>
      <c r="I1654">
        <f>'906MP'!AK1354</f>
        <v>0</v>
      </c>
      <c r="J1654">
        <f>'906MP'!T1354</f>
        <v>0</v>
      </c>
      <c r="K1654">
        <f>'906MP'!AJ1354</f>
        <v>0</v>
      </c>
      <c r="L1654">
        <f>'906MP'!U1354</f>
        <v>0</v>
      </c>
      <c r="M1654" s="322" t="str">
        <f>IFERROR(VLOOKUP(A1654,PAR!$D$3:$E$53,2,FALSE),"nincs szervezet")</f>
        <v>nincs szervezet</v>
      </c>
      <c r="N1654" s="322" t="str">
        <f>VLOOKUP(F1654,PAR!$R$3:$S$5,2,FALSE)</f>
        <v>3 - egyik sem</v>
      </c>
      <c r="O1654" t="str">
        <f>IFERROR(VLOOKUP(J1654,PAR!$O$3:$P$5,2,FALSE),"nincs feladat")</f>
        <v>nincs feladat</v>
      </c>
      <c r="P1654" t="str">
        <f>IFERROR(VLOOKUP(G1654,PAR!$J$2:$M$19,4),"nincs rovat")</f>
        <v>nincs rovat</v>
      </c>
      <c r="Q1654" t="str">
        <f>IF(H1654&gt;0,VLOOKUP(H1654,PAR!$AA$3:$AC$187,3,FALSE),"nincs főkönyvi számla")</f>
        <v>nincs főkönyvi számla</v>
      </c>
      <c r="R1654" t="str">
        <f>IFERROR(VLOOKUP(K1654,PAR!$V$3:$X$438,3,FALSE),"000000 - Nincs COFOG")</f>
        <v>000000 - Nincs COFOG</v>
      </c>
      <c r="S1654">
        <f t="shared" si="487"/>
        <v>0</v>
      </c>
      <c r="T1654">
        <f t="shared" si="488"/>
        <v>0</v>
      </c>
      <c r="U1654" t="str">
        <f>IF('906MP'!J1354&gt;0,CONCATENATE('906MP'!J1354," - ",'906MP'!P1354,", ",'906MP'!E1354),"nincs megjegyzés")</f>
        <v>nincs megjegyzés</v>
      </c>
      <c r="V1654" t="str">
        <f t="shared" si="475"/>
        <v>0P0</v>
      </c>
      <c r="W1654" t="str">
        <f t="shared" si="476"/>
        <v>0P0</v>
      </c>
      <c r="X1654" t="str">
        <f t="shared" si="477"/>
        <v>P0</v>
      </c>
      <c r="Y1654" t="str">
        <f t="shared" si="478"/>
        <v>00</v>
      </c>
      <c r="Z1654" t="str">
        <f t="shared" si="489"/>
        <v>00</v>
      </c>
      <c r="AA1654" t="str">
        <f t="shared" si="479"/>
        <v>00</v>
      </c>
      <c r="AB1654" t="str">
        <f t="shared" si="480"/>
        <v>00</v>
      </c>
      <c r="AC1654" t="str">
        <f t="shared" si="481"/>
        <v>0P0</v>
      </c>
      <c r="AD1654" t="str">
        <f t="shared" si="482"/>
        <v>P00</v>
      </c>
      <c r="AE1654" t="str">
        <f t="shared" si="483"/>
        <v>0P0</v>
      </c>
      <c r="AF1654" t="str">
        <f t="shared" si="484"/>
        <v>P00</v>
      </c>
      <c r="AG1654" t="str">
        <f t="shared" si="490"/>
        <v>0P00</v>
      </c>
      <c r="AH1654" t="str">
        <f t="shared" si="491"/>
        <v>P000</v>
      </c>
      <c r="AI1654" t="str">
        <f t="shared" si="492"/>
        <v>0P00</v>
      </c>
      <c r="AJ1654" t="str">
        <f t="shared" si="493"/>
        <v>P000</v>
      </c>
    </row>
    <row r="1655" spans="1:36" x14ac:dyDescent="0.25">
      <c r="A1655" s="325" t="str">
        <f>CONCATENATE("P",'906MP'!M1355)</f>
        <v>P</v>
      </c>
      <c r="B1655">
        <f>'906MP'!H1355</f>
        <v>0</v>
      </c>
      <c r="C1655">
        <f>'906MP'!J1355</f>
        <v>0</v>
      </c>
      <c r="D1655">
        <f>'906MP'!P1355</f>
        <v>0</v>
      </c>
      <c r="E1655">
        <f>'906MP'!X1355</f>
        <v>0</v>
      </c>
      <c r="F1655" t="str">
        <f t="shared" si="485"/>
        <v>0</v>
      </c>
      <c r="G1655" t="str">
        <f t="shared" si="486"/>
        <v>0</v>
      </c>
      <c r="H1655">
        <f>'906MP'!Y1355</f>
        <v>0</v>
      </c>
      <c r="I1655">
        <f>'906MP'!AK1355</f>
        <v>0</v>
      </c>
      <c r="J1655">
        <f>'906MP'!T1355</f>
        <v>0</v>
      </c>
      <c r="K1655">
        <f>'906MP'!AJ1355</f>
        <v>0</v>
      </c>
      <c r="L1655">
        <f>'906MP'!U1355</f>
        <v>0</v>
      </c>
      <c r="M1655" s="322" t="str">
        <f>IFERROR(VLOOKUP(A1655,PAR!$D$3:$E$53,2,FALSE),"nincs szervezet")</f>
        <v>nincs szervezet</v>
      </c>
      <c r="N1655" s="322" t="str">
        <f>VLOOKUP(F1655,PAR!$R$3:$S$5,2,FALSE)</f>
        <v>3 - egyik sem</v>
      </c>
      <c r="O1655" t="str">
        <f>IFERROR(VLOOKUP(J1655,PAR!$O$3:$P$5,2,FALSE),"nincs feladat")</f>
        <v>nincs feladat</v>
      </c>
      <c r="P1655" t="str">
        <f>IFERROR(VLOOKUP(G1655,PAR!$J$2:$M$19,4),"nincs rovat")</f>
        <v>nincs rovat</v>
      </c>
      <c r="Q1655" t="str">
        <f>IF(H1655&gt;0,VLOOKUP(H1655,PAR!$AA$3:$AC$187,3,FALSE),"nincs főkönyvi számla")</f>
        <v>nincs főkönyvi számla</v>
      </c>
      <c r="R1655" t="str">
        <f>IFERROR(VLOOKUP(K1655,PAR!$V$3:$X$438,3,FALSE),"000000 - Nincs COFOG")</f>
        <v>000000 - Nincs COFOG</v>
      </c>
      <c r="S1655">
        <f t="shared" si="487"/>
        <v>0</v>
      </c>
      <c r="T1655">
        <f t="shared" si="488"/>
        <v>0</v>
      </c>
      <c r="U1655" t="str">
        <f>IF('906MP'!J1355&gt;0,CONCATENATE('906MP'!J1355," - ",'906MP'!P1355,", ",'906MP'!E1355),"nincs megjegyzés")</f>
        <v>nincs megjegyzés</v>
      </c>
      <c r="V1655" t="str">
        <f t="shared" si="475"/>
        <v>0P0</v>
      </c>
      <c r="W1655" t="str">
        <f t="shared" si="476"/>
        <v>0P0</v>
      </c>
      <c r="X1655" t="str">
        <f t="shared" si="477"/>
        <v>P0</v>
      </c>
      <c r="Y1655" t="str">
        <f t="shared" si="478"/>
        <v>00</v>
      </c>
      <c r="Z1655" t="str">
        <f t="shared" si="489"/>
        <v>00</v>
      </c>
      <c r="AA1655" t="str">
        <f t="shared" si="479"/>
        <v>00</v>
      </c>
      <c r="AB1655" t="str">
        <f t="shared" si="480"/>
        <v>00</v>
      </c>
      <c r="AC1655" t="str">
        <f t="shared" si="481"/>
        <v>0P0</v>
      </c>
      <c r="AD1655" t="str">
        <f t="shared" si="482"/>
        <v>P00</v>
      </c>
      <c r="AE1655" t="str">
        <f t="shared" si="483"/>
        <v>0P0</v>
      </c>
      <c r="AF1655" t="str">
        <f t="shared" si="484"/>
        <v>P00</v>
      </c>
      <c r="AG1655" t="str">
        <f t="shared" si="490"/>
        <v>0P00</v>
      </c>
      <c r="AH1655" t="str">
        <f t="shared" si="491"/>
        <v>P000</v>
      </c>
      <c r="AI1655" t="str">
        <f t="shared" si="492"/>
        <v>0P00</v>
      </c>
      <c r="AJ1655" t="str">
        <f t="shared" si="493"/>
        <v>P000</v>
      </c>
    </row>
    <row r="1656" spans="1:36" x14ac:dyDescent="0.25">
      <c r="A1656" s="325" t="str">
        <f>CONCATENATE("P",'906MP'!M1356)</f>
        <v>P</v>
      </c>
      <c r="B1656">
        <f>'906MP'!H1356</f>
        <v>0</v>
      </c>
      <c r="C1656">
        <f>'906MP'!J1356</f>
        <v>0</v>
      </c>
      <c r="D1656">
        <f>'906MP'!P1356</f>
        <v>0</v>
      </c>
      <c r="E1656">
        <f>'906MP'!X1356</f>
        <v>0</v>
      </c>
      <c r="F1656" t="str">
        <f t="shared" si="485"/>
        <v>0</v>
      </c>
      <c r="G1656" t="str">
        <f t="shared" si="486"/>
        <v>0</v>
      </c>
      <c r="H1656">
        <f>'906MP'!Y1356</f>
        <v>0</v>
      </c>
      <c r="I1656">
        <f>'906MP'!AK1356</f>
        <v>0</v>
      </c>
      <c r="J1656">
        <f>'906MP'!T1356</f>
        <v>0</v>
      </c>
      <c r="K1656">
        <f>'906MP'!AJ1356</f>
        <v>0</v>
      </c>
      <c r="L1656">
        <f>'906MP'!U1356</f>
        <v>0</v>
      </c>
      <c r="M1656" s="322" t="str">
        <f>IFERROR(VLOOKUP(A1656,PAR!$D$3:$E$53,2,FALSE),"nincs szervezet")</f>
        <v>nincs szervezet</v>
      </c>
      <c r="N1656" s="322" t="str">
        <f>VLOOKUP(F1656,PAR!$R$3:$S$5,2,FALSE)</f>
        <v>3 - egyik sem</v>
      </c>
      <c r="O1656" t="str">
        <f>IFERROR(VLOOKUP(J1656,PAR!$O$3:$P$5,2,FALSE),"nincs feladat")</f>
        <v>nincs feladat</v>
      </c>
      <c r="P1656" t="str">
        <f>IFERROR(VLOOKUP(G1656,PAR!$J$2:$M$19,4),"nincs rovat")</f>
        <v>nincs rovat</v>
      </c>
      <c r="Q1656" t="str">
        <f>IF(H1656&gt;0,VLOOKUP(H1656,PAR!$AA$3:$AC$187,3,FALSE),"nincs főkönyvi számla")</f>
        <v>nincs főkönyvi számla</v>
      </c>
      <c r="R1656" t="str">
        <f>IFERROR(VLOOKUP(K1656,PAR!$V$3:$X$438,3,FALSE),"000000 - Nincs COFOG")</f>
        <v>000000 - Nincs COFOG</v>
      </c>
      <c r="S1656">
        <f t="shared" si="487"/>
        <v>0</v>
      </c>
      <c r="T1656">
        <f t="shared" si="488"/>
        <v>0</v>
      </c>
      <c r="U1656" t="str">
        <f>IF('906MP'!J1356&gt;0,CONCATENATE('906MP'!J1356," - ",'906MP'!P1356,", ",'906MP'!E1356),"nincs megjegyzés")</f>
        <v>nincs megjegyzés</v>
      </c>
      <c r="V1656" t="str">
        <f t="shared" si="475"/>
        <v>0P0</v>
      </c>
      <c r="W1656" t="str">
        <f t="shared" si="476"/>
        <v>0P0</v>
      </c>
      <c r="X1656" t="str">
        <f t="shared" si="477"/>
        <v>P0</v>
      </c>
      <c r="Y1656" t="str">
        <f t="shared" si="478"/>
        <v>00</v>
      </c>
      <c r="Z1656" t="str">
        <f t="shared" si="489"/>
        <v>00</v>
      </c>
      <c r="AA1656" t="str">
        <f t="shared" si="479"/>
        <v>00</v>
      </c>
      <c r="AB1656" t="str">
        <f t="shared" si="480"/>
        <v>00</v>
      </c>
      <c r="AC1656" t="str">
        <f t="shared" si="481"/>
        <v>0P0</v>
      </c>
      <c r="AD1656" t="str">
        <f t="shared" si="482"/>
        <v>P00</v>
      </c>
      <c r="AE1656" t="str">
        <f t="shared" si="483"/>
        <v>0P0</v>
      </c>
      <c r="AF1656" t="str">
        <f t="shared" si="484"/>
        <v>P00</v>
      </c>
      <c r="AG1656" t="str">
        <f t="shared" si="490"/>
        <v>0P00</v>
      </c>
      <c r="AH1656" t="str">
        <f t="shared" si="491"/>
        <v>P000</v>
      </c>
      <c r="AI1656" t="str">
        <f t="shared" si="492"/>
        <v>0P00</v>
      </c>
      <c r="AJ1656" t="str">
        <f t="shared" si="493"/>
        <v>P000</v>
      </c>
    </row>
    <row r="1657" spans="1:36" x14ac:dyDescent="0.25">
      <c r="A1657" s="325" t="str">
        <f>CONCATENATE("P",'906MP'!M1357)</f>
        <v>P</v>
      </c>
      <c r="B1657">
        <f>'906MP'!H1357</f>
        <v>0</v>
      </c>
      <c r="C1657">
        <f>'906MP'!J1357</f>
        <v>0</v>
      </c>
      <c r="D1657">
        <f>'906MP'!P1357</f>
        <v>0</v>
      </c>
      <c r="E1657">
        <f>'906MP'!X1357</f>
        <v>0</v>
      </c>
      <c r="F1657" t="str">
        <f t="shared" si="485"/>
        <v>0</v>
      </c>
      <c r="G1657" t="str">
        <f t="shared" si="486"/>
        <v>0</v>
      </c>
      <c r="H1657">
        <f>'906MP'!Y1357</f>
        <v>0</v>
      </c>
      <c r="I1657">
        <f>'906MP'!AK1357</f>
        <v>0</v>
      </c>
      <c r="J1657">
        <f>'906MP'!T1357</f>
        <v>0</v>
      </c>
      <c r="K1657">
        <f>'906MP'!AJ1357</f>
        <v>0</v>
      </c>
      <c r="L1657">
        <f>'906MP'!U1357</f>
        <v>0</v>
      </c>
      <c r="M1657" s="322" t="str">
        <f>IFERROR(VLOOKUP(A1657,PAR!$D$3:$E$53,2,FALSE),"nincs szervezet")</f>
        <v>nincs szervezet</v>
      </c>
      <c r="N1657" s="322" t="str">
        <f>VLOOKUP(F1657,PAR!$R$3:$S$5,2,FALSE)</f>
        <v>3 - egyik sem</v>
      </c>
      <c r="O1657" t="str">
        <f>IFERROR(VLOOKUP(J1657,PAR!$O$3:$P$5,2,FALSE),"nincs feladat")</f>
        <v>nincs feladat</v>
      </c>
      <c r="P1657" t="str">
        <f>IFERROR(VLOOKUP(G1657,PAR!$J$2:$M$19,4),"nincs rovat")</f>
        <v>nincs rovat</v>
      </c>
      <c r="Q1657" t="str">
        <f>IF(H1657&gt;0,VLOOKUP(H1657,PAR!$AA$3:$AC$187,3,FALSE),"nincs főkönyvi számla")</f>
        <v>nincs főkönyvi számla</v>
      </c>
      <c r="R1657" t="str">
        <f>IFERROR(VLOOKUP(K1657,PAR!$V$3:$X$438,3,FALSE),"000000 - Nincs COFOG")</f>
        <v>000000 - Nincs COFOG</v>
      </c>
      <c r="S1657">
        <f t="shared" si="487"/>
        <v>0</v>
      </c>
      <c r="T1657">
        <f t="shared" si="488"/>
        <v>0</v>
      </c>
      <c r="U1657" t="str">
        <f>IF('906MP'!J1357&gt;0,CONCATENATE('906MP'!J1357," - ",'906MP'!P1357,", ",'906MP'!E1357),"nincs megjegyzés")</f>
        <v>nincs megjegyzés</v>
      </c>
      <c r="V1657" t="str">
        <f t="shared" si="475"/>
        <v>0P0</v>
      </c>
      <c r="W1657" t="str">
        <f t="shared" si="476"/>
        <v>0P0</v>
      </c>
      <c r="X1657" t="str">
        <f t="shared" si="477"/>
        <v>P0</v>
      </c>
      <c r="Y1657" t="str">
        <f t="shared" si="478"/>
        <v>00</v>
      </c>
      <c r="Z1657" t="str">
        <f t="shared" si="489"/>
        <v>00</v>
      </c>
      <c r="AA1657" t="str">
        <f t="shared" si="479"/>
        <v>00</v>
      </c>
      <c r="AB1657" t="str">
        <f t="shared" si="480"/>
        <v>00</v>
      </c>
      <c r="AC1657" t="str">
        <f t="shared" si="481"/>
        <v>0P0</v>
      </c>
      <c r="AD1657" t="str">
        <f t="shared" si="482"/>
        <v>P00</v>
      </c>
      <c r="AE1657" t="str">
        <f t="shared" si="483"/>
        <v>0P0</v>
      </c>
      <c r="AF1657" t="str">
        <f t="shared" si="484"/>
        <v>P00</v>
      </c>
      <c r="AG1657" t="str">
        <f t="shared" si="490"/>
        <v>0P00</v>
      </c>
      <c r="AH1657" t="str">
        <f t="shared" si="491"/>
        <v>P000</v>
      </c>
      <c r="AI1657" t="str">
        <f t="shared" si="492"/>
        <v>0P00</v>
      </c>
      <c r="AJ1657" t="str">
        <f t="shared" si="493"/>
        <v>P000</v>
      </c>
    </row>
    <row r="1658" spans="1:36" x14ac:dyDescent="0.25">
      <c r="A1658" s="325" t="str">
        <f>CONCATENATE("P",'906MP'!M1358)</f>
        <v>P</v>
      </c>
      <c r="B1658">
        <f>'906MP'!H1358</f>
        <v>0</v>
      </c>
      <c r="C1658">
        <f>'906MP'!J1358</f>
        <v>0</v>
      </c>
      <c r="D1658">
        <f>'906MP'!P1358</f>
        <v>0</v>
      </c>
      <c r="E1658">
        <f>'906MP'!X1358</f>
        <v>0</v>
      </c>
      <c r="F1658" t="str">
        <f t="shared" si="485"/>
        <v>0</v>
      </c>
      <c r="G1658" t="str">
        <f t="shared" si="486"/>
        <v>0</v>
      </c>
      <c r="H1658">
        <f>'906MP'!Y1358</f>
        <v>0</v>
      </c>
      <c r="I1658">
        <f>'906MP'!AK1358</f>
        <v>0</v>
      </c>
      <c r="J1658">
        <f>'906MP'!T1358</f>
        <v>0</v>
      </c>
      <c r="K1658">
        <f>'906MP'!AJ1358</f>
        <v>0</v>
      </c>
      <c r="L1658">
        <f>'906MP'!U1358</f>
        <v>0</v>
      </c>
      <c r="M1658" s="322" t="str">
        <f>IFERROR(VLOOKUP(A1658,PAR!$D$3:$E$53,2,FALSE),"nincs szervezet")</f>
        <v>nincs szervezet</v>
      </c>
      <c r="N1658" s="322" t="str">
        <f>VLOOKUP(F1658,PAR!$R$3:$S$5,2,FALSE)</f>
        <v>3 - egyik sem</v>
      </c>
      <c r="O1658" t="str">
        <f>IFERROR(VLOOKUP(J1658,PAR!$O$3:$P$5,2,FALSE),"nincs feladat")</f>
        <v>nincs feladat</v>
      </c>
      <c r="P1658" t="str">
        <f>IFERROR(VLOOKUP(G1658,PAR!$J$2:$M$19,4),"nincs rovat")</f>
        <v>nincs rovat</v>
      </c>
      <c r="Q1658" t="str">
        <f>IF(H1658&gt;0,VLOOKUP(H1658,PAR!$AA$3:$AC$187,3,FALSE),"nincs főkönyvi számla")</f>
        <v>nincs főkönyvi számla</v>
      </c>
      <c r="R1658" t="str">
        <f>IFERROR(VLOOKUP(K1658,PAR!$V$3:$X$438,3,FALSE),"000000 - Nincs COFOG")</f>
        <v>000000 - Nincs COFOG</v>
      </c>
      <c r="S1658">
        <f t="shared" si="487"/>
        <v>0</v>
      </c>
      <c r="T1658">
        <f t="shared" si="488"/>
        <v>0</v>
      </c>
      <c r="U1658" t="str">
        <f>IF('906MP'!J1358&gt;0,CONCATENATE('906MP'!J1358," - ",'906MP'!P1358,", ",'906MP'!E1358),"nincs megjegyzés")</f>
        <v>nincs megjegyzés</v>
      </c>
      <c r="V1658" t="str">
        <f t="shared" si="475"/>
        <v>0P0</v>
      </c>
      <c r="W1658" t="str">
        <f t="shared" si="476"/>
        <v>0P0</v>
      </c>
      <c r="X1658" t="str">
        <f t="shared" si="477"/>
        <v>P0</v>
      </c>
      <c r="Y1658" t="str">
        <f t="shared" si="478"/>
        <v>00</v>
      </c>
      <c r="Z1658" t="str">
        <f t="shared" si="489"/>
        <v>00</v>
      </c>
      <c r="AA1658" t="str">
        <f t="shared" si="479"/>
        <v>00</v>
      </c>
      <c r="AB1658" t="str">
        <f t="shared" si="480"/>
        <v>00</v>
      </c>
      <c r="AC1658" t="str">
        <f t="shared" si="481"/>
        <v>0P0</v>
      </c>
      <c r="AD1658" t="str">
        <f t="shared" si="482"/>
        <v>P00</v>
      </c>
      <c r="AE1658" t="str">
        <f t="shared" si="483"/>
        <v>0P0</v>
      </c>
      <c r="AF1658" t="str">
        <f t="shared" si="484"/>
        <v>P00</v>
      </c>
      <c r="AG1658" t="str">
        <f t="shared" si="490"/>
        <v>0P00</v>
      </c>
      <c r="AH1658" t="str">
        <f t="shared" si="491"/>
        <v>P000</v>
      </c>
      <c r="AI1658" t="str">
        <f t="shared" si="492"/>
        <v>0P00</v>
      </c>
      <c r="AJ1658" t="str">
        <f t="shared" si="493"/>
        <v>P000</v>
      </c>
    </row>
    <row r="1659" spans="1:36" x14ac:dyDescent="0.25">
      <c r="A1659" s="325" t="str">
        <f>CONCATENATE("P",'906MP'!M1359)</f>
        <v>P</v>
      </c>
      <c r="B1659">
        <f>'906MP'!H1359</f>
        <v>0</v>
      </c>
      <c r="C1659">
        <f>'906MP'!J1359</f>
        <v>0</v>
      </c>
      <c r="D1659">
        <f>'906MP'!P1359</f>
        <v>0</v>
      </c>
      <c r="E1659">
        <f>'906MP'!X1359</f>
        <v>0</v>
      </c>
      <c r="F1659" t="str">
        <f t="shared" si="485"/>
        <v>0</v>
      </c>
      <c r="G1659" t="str">
        <f t="shared" si="486"/>
        <v>0</v>
      </c>
      <c r="H1659">
        <f>'906MP'!Y1359</f>
        <v>0</v>
      </c>
      <c r="I1659">
        <f>'906MP'!AK1359</f>
        <v>0</v>
      </c>
      <c r="J1659">
        <f>'906MP'!T1359</f>
        <v>0</v>
      </c>
      <c r="K1659">
        <f>'906MP'!AJ1359</f>
        <v>0</v>
      </c>
      <c r="L1659">
        <f>'906MP'!U1359</f>
        <v>0</v>
      </c>
      <c r="M1659" s="322" t="str">
        <f>IFERROR(VLOOKUP(A1659,PAR!$D$3:$E$53,2,FALSE),"nincs szervezet")</f>
        <v>nincs szervezet</v>
      </c>
      <c r="N1659" s="322" t="str">
        <f>VLOOKUP(F1659,PAR!$R$3:$S$5,2,FALSE)</f>
        <v>3 - egyik sem</v>
      </c>
      <c r="O1659" t="str">
        <f>IFERROR(VLOOKUP(J1659,PAR!$O$3:$P$5,2,FALSE),"nincs feladat")</f>
        <v>nincs feladat</v>
      </c>
      <c r="P1659" t="str">
        <f>IFERROR(VLOOKUP(G1659,PAR!$J$2:$M$19,4),"nincs rovat")</f>
        <v>nincs rovat</v>
      </c>
      <c r="Q1659" t="str">
        <f>IF(H1659&gt;0,VLOOKUP(H1659,PAR!$AA$3:$AC$187,3,FALSE),"nincs főkönyvi számla")</f>
        <v>nincs főkönyvi számla</v>
      </c>
      <c r="R1659" t="str">
        <f>IFERROR(VLOOKUP(K1659,PAR!$V$3:$X$438,3,FALSE),"000000 - Nincs COFOG")</f>
        <v>000000 - Nincs COFOG</v>
      </c>
      <c r="S1659">
        <f t="shared" si="487"/>
        <v>0</v>
      </c>
      <c r="T1659">
        <f t="shared" si="488"/>
        <v>0</v>
      </c>
      <c r="U1659" t="str">
        <f>IF('906MP'!J1359&gt;0,CONCATENATE('906MP'!J1359," - ",'906MP'!P1359,", ",'906MP'!E1359),"nincs megjegyzés")</f>
        <v>nincs megjegyzés</v>
      </c>
      <c r="V1659" t="str">
        <f t="shared" si="475"/>
        <v>0P0</v>
      </c>
      <c r="W1659" t="str">
        <f t="shared" si="476"/>
        <v>0P0</v>
      </c>
      <c r="X1659" t="str">
        <f t="shared" si="477"/>
        <v>P0</v>
      </c>
      <c r="Y1659" t="str">
        <f t="shared" si="478"/>
        <v>00</v>
      </c>
      <c r="Z1659" t="str">
        <f t="shared" si="489"/>
        <v>00</v>
      </c>
      <c r="AA1659" t="str">
        <f t="shared" si="479"/>
        <v>00</v>
      </c>
      <c r="AB1659" t="str">
        <f t="shared" si="480"/>
        <v>00</v>
      </c>
      <c r="AC1659" t="str">
        <f t="shared" si="481"/>
        <v>0P0</v>
      </c>
      <c r="AD1659" t="str">
        <f t="shared" si="482"/>
        <v>P00</v>
      </c>
      <c r="AE1659" t="str">
        <f t="shared" si="483"/>
        <v>0P0</v>
      </c>
      <c r="AF1659" t="str">
        <f t="shared" si="484"/>
        <v>P00</v>
      </c>
      <c r="AG1659" t="str">
        <f t="shared" si="490"/>
        <v>0P00</v>
      </c>
      <c r="AH1659" t="str">
        <f t="shared" si="491"/>
        <v>P000</v>
      </c>
      <c r="AI1659" t="str">
        <f t="shared" si="492"/>
        <v>0P00</v>
      </c>
      <c r="AJ1659" t="str">
        <f t="shared" si="493"/>
        <v>P000</v>
      </c>
    </row>
    <row r="1660" spans="1:36" x14ac:dyDescent="0.25">
      <c r="A1660" s="325" t="str">
        <f>CONCATENATE("P",'906MP'!M1360)</f>
        <v>P</v>
      </c>
      <c r="B1660">
        <f>'906MP'!H1360</f>
        <v>0</v>
      </c>
      <c r="C1660">
        <f>'906MP'!J1360</f>
        <v>0</v>
      </c>
      <c r="D1660">
        <f>'906MP'!P1360</f>
        <v>0</v>
      </c>
      <c r="E1660">
        <f>'906MP'!X1360</f>
        <v>0</v>
      </c>
      <c r="F1660" t="str">
        <f t="shared" si="485"/>
        <v>0</v>
      </c>
      <c r="G1660" t="str">
        <f t="shared" si="486"/>
        <v>0</v>
      </c>
      <c r="H1660">
        <f>'906MP'!Y1360</f>
        <v>0</v>
      </c>
      <c r="I1660">
        <f>'906MP'!AK1360</f>
        <v>0</v>
      </c>
      <c r="J1660">
        <f>'906MP'!T1360</f>
        <v>0</v>
      </c>
      <c r="K1660">
        <f>'906MP'!AJ1360</f>
        <v>0</v>
      </c>
      <c r="L1660">
        <f>'906MP'!U1360</f>
        <v>0</v>
      </c>
      <c r="M1660" s="322" t="str">
        <f>IFERROR(VLOOKUP(A1660,PAR!$D$3:$E$53,2,FALSE),"nincs szervezet")</f>
        <v>nincs szervezet</v>
      </c>
      <c r="N1660" s="322" t="str">
        <f>VLOOKUP(F1660,PAR!$R$3:$S$5,2,FALSE)</f>
        <v>3 - egyik sem</v>
      </c>
      <c r="O1660" t="str">
        <f>IFERROR(VLOOKUP(J1660,PAR!$O$3:$P$5,2,FALSE),"nincs feladat")</f>
        <v>nincs feladat</v>
      </c>
      <c r="P1660" t="str">
        <f>IFERROR(VLOOKUP(G1660,PAR!$J$2:$M$19,4),"nincs rovat")</f>
        <v>nincs rovat</v>
      </c>
      <c r="Q1660" t="str">
        <f>IF(H1660&gt;0,VLOOKUP(H1660,PAR!$AA$3:$AC$187,3,FALSE),"nincs főkönyvi számla")</f>
        <v>nincs főkönyvi számla</v>
      </c>
      <c r="R1660" t="str">
        <f>IFERROR(VLOOKUP(K1660,PAR!$V$3:$X$438,3,FALSE),"000000 - Nincs COFOG")</f>
        <v>000000 - Nincs COFOG</v>
      </c>
      <c r="S1660">
        <f t="shared" si="487"/>
        <v>0</v>
      </c>
      <c r="T1660">
        <f t="shared" si="488"/>
        <v>0</v>
      </c>
      <c r="U1660" t="str">
        <f>IF('906MP'!J1360&gt;0,CONCATENATE('906MP'!J1360," - ",'906MP'!P1360,", ",'906MP'!E1360),"nincs megjegyzés")</f>
        <v>nincs megjegyzés</v>
      </c>
      <c r="V1660" t="str">
        <f t="shared" si="475"/>
        <v>0P0</v>
      </c>
      <c r="W1660" t="str">
        <f t="shared" si="476"/>
        <v>0P0</v>
      </c>
      <c r="X1660" t="str">
        <f t="shared" si="477"/>
        <v>P0</v>
      </c>
      <c r="Y1660" t="str">
        <f t="shared" si="478"/>
        <v>00</v>
      </c>
      <c r="Z1660" t="str">
        <f t="shared" si="489"/>
        <v>00</v>
      </c>
      <c r="AA1660" t="str">
        <f t="shared" si="479"/>
        <v>00</v>
      </c>
      <c r="AB1660" t="str">
        <f t="shared" si="480"/>
        <v>00</v>
      </c>
      <c r="AC1660" t="str">
        <f t="shared" si="481"/>
        <v>0P0</v>
      </c>
      <c r="AD1660" t="str">
        <f t="shared" si="482"/>
        <v>P00</v>
      </c>
      <c r="AE1660" t="str">
        <f t="shared" si="483"/>
        <v>0P0</v>
      </c>
      <c r="AF1660" t="str">
        <f t="shared" si="484"/>
        <v>P00</v>
      </c>
      <c r="AG1660" t="str">
        <f t="shared" si="490"/>
        <v>0P00</v>
      </c>
      <c r="AH1660" t="str">
        <f t="shared" si="491"/>
        <v>P000</v>
      </c>
      <c r="AI1660" t="str">
        <f t="shared" si="492"/>
        <v>0P00</v>
      </c>
      <c r="AJ1660" t="str">
        <f t="shared" si="493"/>
        <v>P000</v>
      </c>
    </row>
    <row r="1661" spans="1:36" x14ac:dyDescent="0.25">
      <c r="A1661" s="325" t="str">
        <f>CONCATENATE("P",'906MP'!M1361)</f>
        <v>P</v>
      </c>
      <c r="B1661">
        <f>'906MP'!H1361</f>
        <v>0</v>
      </c>
      <c r="C1661">
        <f>'906MP'!J1361</f>
        <v>0</v>
      </c>
      <c r="D1661">
        <f>'906MP'!P1361</f>
        <v>0</v>
      </c>
      <c r="E1661">
        <f>'906MP'!X1361</f>
        <v>0</v>
      </c>
      <c r="F1661" t="str">
        <f t="shared" si="485"/>
        <v>0</v>
      </c>
      <c r="G1661" t="str">
        <f t="shared" si="486"/>
        <v>0</v>
      </c>
      <c r="H1661">
        <f>'906MP'!Y1361</f>
        <v>0</v>
      </c>
      <c r="I1661">
        <f>'906MP'!AK1361</f>
        <v>0</v>
      </c>
      <c r="J1661">
        <f>'906MP'!T1361</f>
        <v>0</v>
      </c>
      <c r="K1661">
        <f>'906MP'!AJ1361</f>
        <v>0</v>
      </c>
      <c r="L1661">
        <f>'906MP'!U1361</f>
        <v>0</v>
      </c>
      <c r="M1661" s="322" t="str">
        <f>IFERROR(VLOOKUP(A1661,PAR!$D$3:$E$53,2,FALSE),"nincs szervezet")</f>
        <v>nincs szervezet</v>
      </c>
      <c r="N1661" s="322" t="str">
        <f>VLOOKUP(F1661,PAR!$R$3:$S$5,2,FALSE)</f>
        <v>3 - egyik sem</v>
      </c>
      <c r="O1661" t="str">
        <f>IFERROR(VLOOKUP(J1661,PAR!$O$3:$P$5,2,FALSE),"nincs feladat")</f>
        <v>nincs feladat</v>
      </c>
      <c r="P1661" t="str">
        <f>IFERROR(VLOOKUP(G1661,PAR!$J$2:$M$19,4),"nincs rovat")</f>
        <v>nincs rovat</v>
      </c>
      <c r="Q1661" t="str">
        <f>IF(H1661&gt;0,VLOOKUP(H1661,PAR!$AA$3:$AC$187,3,FALSE),"nincs főkönyvi számla")</f>
        <v>nincs főkönyvi számla</v>
      </c>
      <c r="R1661" t="str">
        <f>IFERROR(VLOOKUP(K1661,PAR!$V$3:$X$438,3,FALSE),"000000 - Nincs COFOG")</f>
        <v>000000 - Nincs COFOG</v>
      </c>
      <c r="S1661">
        <f t="shared" si="487"/>
        <v>0</v>
      </c>
      <c r="T1661">
        <f t="shared" si="488"/>
        <v>0</v>
      </c>
      <c r="U1661" t="str">
        <f>IF('906MP'!J1361&gt;0,CONCATENATE('906MP'!J1361," - ",'906MP'!P1361,", ",'906MP'!E1361),"nincs megjegyzés")</f>
        <v>nincs megjegyzés</v>
      </c>
      <c r="V1661" t="str">
        <f t="shared" si="475"/>
        <v>0P0</v>
      </c>
      <c r="W1661" t="str">
        <f t="shared" si="476"/>
        <v>0P0</v>
      </c>
      <c r="X1661" t="str">
        <f t="shared" si="477"/>
        <v>P0</v>
      </c>
      <c r="Y1661" t="str">
        <f t="shared" si="478"/>
        <v>00</v>
      </c>
      <c r="Z1661" t="str">
        <f t="shared" si="489"/>
        <v>00</v>
      </c>
      <c r="AA1661" t="str">
        <f t="shared" si="479"/>
        <v>00</v>
      </c>
      <c r="AB1661" t="str">
        <f t="shared" si="480"/>
        <v>00</v>
      </c>
      <c r="AC1661" t="str">
        <f t="shared" si="481"/>
        <v>0P0</v>
      </c>
      <c r="AD1661" t="str">
        <f t="shared" si="482"/>
        <v>P00</v>
      </c>
      <c r="AE1661" t="str">
        <f t="shared" si="483"/>
        <v>0P0</v>
      </c>
      <c r="AF1661" t="str">
        <f t="shared" si="484"/>
        <v>P00</v>
      </c>
      <c r="AG1661" t="str">
        <f t="shared" si="490"/>
        <v>0P00</v>
      </c>
      <c r="AH1661" t="str">
        <f t="shared" si="491"/>
        <v>P000</v>
      </c>
      <c r="AI1661" t="str">
        <f t="shared" si="492"/>
        <v>0P00</v>
      </c>
      <c r="AJ1661" t="str">
        <f t="shared" si="493"/>
        <v>P000</v>
      </c>
    </row>
    <row r="1662" spans="1:36" x14ac:dyDescent="0.25">
      <c r="A1662" s="325" t="str">
        <f>CONCATENATE("P",'906MP'!M1362)</f>
        <v>P</v>
      </c>
      <c r="B1662">
        <f>'906MP'!H1362</f>
        <v>0</v>
      </c>
      <c r="C1662">
        <f>'906MP'!J1362</f>
        <v>0</v>
      </c>
      <c r="D1662">
        <f>'906MP'!P1362</f>
        <v>0</v>
      </c>
      <c r="E1662">
        <f>'906MP'!X1362</f>
        <v>0</v>
      </c>
      <c r="F1662" t="str">
        <f t="shared" si="485"/>
        <v>0</v>
      </c>
      <c r="G1662" t="str">
        <f t="shared" si="486"/>
        <v>0</v>
      </c>
      <c r="H1662">
        <f>'906MP'!Y1362</f>
        <v>0</v>
      </c>
      <c r="I1662">
        <f>'906MP'!AK1362</f>
        <v>0</v>
      </c>
      <c r="J1662">
        <f>'906MP'!T1362</f>
        <v>0</v>
      </c>
      <c r="K1662">
        <f>'906MP'!AJ1362</f>
        <v>0</v>
      </c>
      <c r="L1662">
        <f>'906MP'!U1362</f>
        <v>0</v>
      </c>
      <c r="M1662" s="322" t="str">
        <f>IFERROR(VLOOKUP(A1662,PAR!$D$3:$E$53,2,FALSE),"nincs szervezet")</f>
        <v>nincs szervezet</v>
      </c>
      <c r="N1662" s="322" t="str">
        <f>VLOOKUP(F1662,PAR!$R$3:$S$5,2,FALSE)</f>
        <v>3 - egyik sem</v>
      </c>
      <c r="O1662" t="str">
        <f>IFERROR(VLOOKUP(J1662,PAR!$O$3:$P$5,2,FALSE),"nincs feladat")</f>
        <v>nincs feladat</v>
      </c>
      <c r="P1662" t="str">
        <f>IFERROR(VLOOKUP(G1662,PAR!$J$2:$M$19,4),"nincs rovat")</f>
        <v>nincs rovat</v>
      </c>
      <c r="Q1662" t="str">
        <f>IF(H1662&gt;0,VLOOKUP(H1662,PAR!$AA$3:$AC$187,3,FALSE),"nincs főkönyvi számla")</f>
        <v>nincs főkönyvi számla</v>
      </c>
      <c r="R1662" t="str">
        <f>IFERROR(VLOOKUP(K1662,PAR!$V$3:$X$438,3,FALSE),"000000 - Nincs COFOG")</f>
        <v>000000 - Nincs COFOG</v>
      </c>
      <c r="S1662">
        <f t="shared" si="487"/>
        <v>0</v>
      </c>
      <c r="T1662">
        <f t="shared" si="488"/>
        <v>0</v>
      </c>
      <c r="U1662" t="str">
        <f>IF('906MP'!J1362&gt;0,CONCATENATE('906MP'!J1362," - ",'906MP'!P1362,", ",'906MP'!E1362),"nincs megjegyzés")</f>
        <v>nincs megjegyzés</v>
      </c>
      <c r="V1662" t="str">
        <f t="shared" si="475"/>
        <v>0P0</v>
      </c>
      <c r="W1662" t="str">
        <f t="shared" si="476"/>
        <v>0P0</v>
      </c>
      <c r="X1662" t="str">
        <f t="shared" si="477"/>
        <v>P0</v>
      </c>
      <c r="Y1662" t="str">
        <f t="shared" si="478"/>
        <v>00</v>
      </c>
      <c r="Z1662" t="str">
        <f t="shared" si="489"/>
        <v>00</v>
      </c>
      <c r="AA1662" t="str">
        <f t="shared" si="479"/>
        <v>00</v>
      </c>
      <c r="AB1662" t="str">
        <f t="shared" si="480"/>
        <v>00</v>
      </c>
      <c r="AC1662" t="str">
        <f t="shared" si="481"/>
        <v>0P0</v>
      </c>
      <c r="AD1662" t="str">
        <f t="shared" si="482"/>
        <v>P00</v>
      </c>
      <c r="AE1662" t="str">
        <f t="shared" si="483"/>
        <v>0P0</v>
      </c>
      <c r="AF1662" t="str">
        <f t="shared" si="484"/>
        <v>P00</v>
      </c>
      <c r="AG1662" t="str">
        <f t="shared" si="490"/>
        <v>0P00</v>
      </c>
      <c r="AH1662" t="str">
        <f t="shared" si="491"/>
        <v>P000</v>
      </c>
      <c r="AI1662" t="str">
        <f t="shared" si="492"/>
        <v>0P00</v>
      </c>
      <c r="AJ1662" t="str">
        <f t="shared" si="493"/>
        <v>P000</v>
      </c>
    </row>
    <row r="1663" spans="1:36" x14ac:dyDescent="0.25">
      <c r="A1663" s="325" t="str">
        <f>CONCATENATE("P",'906MP'!M1363)</f>
        <v>P</v>
      </c>
      <c r="B1663">
        <f>'906MP'!H1363</f>
        <v>0</v>
      </c>
      <c r="C1663">
        <f>'906MP'!J1363</f>
        <v>0</v>
      </c>
      <c r="D1663">
        <f>'906MP'!P1363</f>
        <v>0</v>
      </c>
      <c r="E1663">
        <f>'906MP'!X1363</f>
        <v>0</v>
      </c>
      <c r="F1663" t="str">
        <f t="shared" si="485"/>
        <v>0</v>
      </c>
      <c r="G1663" t="str">
        <f t="shared" si="486"/>
        <v>0</v>
      </c>
      <c r="H1663">
        <f>'906MP'!Y1363</f>
        <v>0</v>
      </c>
      <c r="I1663">
        <f>'906MP'!AK1363</f>
        <v>0</v>
      </c>
      <c r="J1663">
        <f>'906MP'!T1363</f>
        <v>0</v>
      </c>
      <c r="K1663">
        <f>'906MP'!AJ1363</f>
        <v>0</v>
      </c>
      <c r="L1663">
        <f>'906MP'!U1363</f>
        <v>0</v>
      </c>
      <c r="M1663" s="322" t="str">
        <f>IFERROR(VLOOKUP(A1663,PAR!$D$3:$E$53,2,FALSE),"nincs szervezet")</f>
        <v>nincs szervezet</v>
      </c>
      <c r="N1663" s="322" t="str">
        <f>VLOOKUP(F1663,PAR!$R$3:$S$5,2,FALSE)</f>
        <v>3 - egyik sem</v>
      </c>
      <c r="O1663" t="str">
        <f>IFERROR(VLOOKUP(J1663,PAR!$O$3:$P$5,2,FALSE),"nincs feladat")</f>
        <v>nincs feladat</v>
      </c>
      <c r="P1663" t="str">
        <f>IFERROR(VLOOKUP(G1663,PAR!$J$2:$M$19,4),"nincs rovat")</f>
        <v>nincs rovat</v>
      </c>
      <c r="Q1663" t="str">
        <f>IF(H1663&gt;0,VLOOKUP(H1663,PAR!$AA$3:$AC$187,3,FALSE),"nincs főkönyvi számla")</f>
        <v>nincs főkönyvi számla</v>
      </c>
      <c r="R1663" t="str">
        <f>IFERROR(VLOOKUP(K1663,PAR!$V$3:$X$438,3,FALSE),"000000 - Nincs COFOG")</f>
        <v>000000 - Nincs COFOG</v>
      </c>
      <c r="S1663">
        <f t="shared" si="487"/>
        <v>0</v>
      </c>
      <c r="T1663">
        <f t="shared" si="488"/>
        <v>0</v>
      </c>
      <c r="U1663" t="str">
        <f>IF('906MP'!J1363&gt;0,CONCATENATE('906MP'!J1363," - ",'906MP'!P1363,", ",'906MP'!E1363),"nincs megjegyzés")</f>
        <v>nincs megjegyzés</v>
      </c>
      <c r="V1663" t="str">
        <f t="shared" si="475"/>
        <v>0P0</v>
      </c>
      <c r="W1663" t="str">
        <f t="shared" si="476"/>
        <v>0P0</v>
      </c>
      <c r="X1663" t="str">
        <f t="shared" si="477"/>
        <v>P0</v>
      </c>
      <c r="Y1663" t="str">
        <f t="shared" si="478"/>
        <v>00</v>
      </c>
      <c r="Z1663" t="str">
        <f t="shared" si="489"/>
        <v>00</v>
      </c>
      <c r="AA1663" t="str">
        <f t="shared" si="479"/>
        <v>00</v>
      </c>
      <c r="AB1663" t="str">
        <f t="shared" si="480"/>
        <v>00</v>
      </c>
      <c r="AC1663" t="str">
        <f t="shared" si="481"/>
        <v>0P0</v>
      </c>
      <c r="AD1663" t="str">
        <f t="shared" si="482"/>
        <v>P00</v>
      </c>
      <c r="AE1663" t="str">
        <f t="shared" si="483"/>
        <v>0P0</v>
      </c>
      <c r="AF1663" t="str">
        <f t="shared" si="484"/>
        <v>P00</v>
      </c>
      <c r="AG1663" t="str">
        <f t="shared" si="490"/>
        <v>0P00</v>
      </c>
      <c r="AH1663" t="str">
        <f t="shared" si="491"/>
        <v>P000</v>
      </c>
      <c r="AI1663" t="str">
        <f t="shared" si="492"/>
        <v>0P00</v>
      </c>
      <c r="AJ1663" t="str">
        <f t="shared" si="493"/>
        <v>P000</v>
      </c>
    </row>
    <row r="1664" spans="1:36" x14ac:dyDescent="0.25">
      <c r="A1664" s="325" t="str">
        <f>CONCATENATE("P",'906MP'!M1364)</f>
        <v>P</v>
      </c>
      <c r="B1664">
        <f>'906MP'!H1364</f>
        <v>0</v>
      </c>
      <c r="C1664">
        <f>'906MP'!J1364</f>
        <v>0</v>
      </c>
      <c r="D1664">
        <f>'906MP'!P1364</f>
        <v>0</v>
      </c>
      <c r="E1664">
        <f>'906MP'!X1364</f>
        <v>0</v>
      </c>
      <c r="F1664" t="str">
        <f t="shared" si="485"/>
        <v>0</v>
      </c>
      <c r="G1664" t="str">
        <f t="shared" si="486"/>
        <v>0</v>
      </c>
      <c r="H1664">
        <f>'906MP'!Y1364</f>
        <v>0</v>
      </c>
      <c r="I1664">
        <f>'906MP'!AK1364</f>
        <v>0</v>
      </c>
      <c r="J1664">
        <f>'906MP'!T1364</f>
        <v>0</v>
      </c>
      <c r="K1664">
        <f>'906MP'!AJ1364</f>
        <v>0</v>
      </c>
      <c r="L1664">
        <f>'906MP'!U1364</f>
        <v>0</v>
      </c>
      <c r="M1664" s="322" t="str">
        <f>IFERROR(VLOOKUP(A1664,PAR!$D$3:$E$53,2,FALSE),"nincs szervezet")</f>
        <v>nincs szervezet</v>
      </c>
      <c r="N1664" s="322" t="str">
        <f>VLOOKUP(F1664,PAR!$R$3:$S$5,2,FALSE)</f>
        <v>3 - egyik sem</v>
      </c>
      <c r="O1664" t="str">
        <f>IFERROR(VLOOKUP(J1664,PAR!$O$3:$P$5,2,FALSE),"nincs feladat")</f>
        <v>nincs feladat</v>
      </c>
      <c r="P1664" t="str">
        <f>IFERROR(VLOOKUP(G1664,PAR!$J$2:$M$19,4),"nincs rovat")</f>
        <v>nincs rovat</v>
      </c>
      <c r="Q1664" t="str">
        <f>IF(H1664&gt;0,VLOOKUP(H1664,PAR!$AA$3:$AC$187,3,FALSE),"nincs főkönyvi számla")</f>
        <v>nincs főkönyvi számla</v>
      </c>
      <c r="R1664" t="str">
        <f>IFERROR(VLOOKUP(K1664,PAR!$V$3:$X$438,3,FALSE),"000000 - Nincs COFOG")</f>
        <v>000000 - Nincs COFOG</v>
      </c>
      <c r="S1664">
        <f t="shared" si="487"/>
        <v>0</v>
      </c>
      <c r="T1664">
        <f t="shared" si="488"/>
        <v>0</v>
      </c>
      <c r="U1664" t="str">
        <f>IF('906MP'!J1364&gt;0,CONCATENATE('906MP'!J1364," - ",'906MP'!P1364,", ",'906MP'!E1364),"nincs megjegyzés")</f>
        <v>nincs megjegyzés</v>
      </c>
      <c r="V1664" t="str">
        <f t="shared" si="475"/>
        <v>0P0</v>
      </c>
      <c r="W1664" t="str">
        <f t="shared" si="476"/>
        <v>0P0</v>
      </c>
      <c r="X1664" t="str">
        <f t="shared" si="477"/>
        <v>P0</v>
      </c>
      <c r="Y1664" t="str">
        <f t="shared" si="478"/>
        <v>00</v>
      </c>
      <c r="Z1664" t="str">
        <f t="shared" si="489"/>
        <v>00</v>
      </c>
      <c r="AA1664" t="str">
        <f t="shared" si="479"/>
        <v>00</v>
      </c>
      <c r="AB1664" t="str">
        <f t="shared" si="480"/>
        <v>00</v>
      </c>
      <c r="AC1664" t="str">
        <f t="shared" si="481"/>
        <v>0P0</v>
      </c>
      <c r="AD1664" t="str">
        <f t="shared" si="482"/>
        <v>P00</v>
      </c>
      <c r="AE1664" t="str">
        <f t="shared" si="483"/>
        <v>0P0</v>
      </c>
      <c r="AF1664" t="str">
        <f t="shared" si="484"/>
        <v>P00</v>
      </c>
      <c r="AG1664" t="str">
        <f t="shared" si="490"/>
        <v>0P00</v>
      </c>
      <c r="AH1664" t="str">
        <f t="shared" si="491"/>
        <v>P000</v>
      </c>
      <c r="AI1664" t="str">
        <f t="shared" si="492"/>
        <v>0P00</v>
      </c>
      <c r="AJ1664" t="str">
        <f t="shared" si="493"/>
        <v>P000</v>
      </c>
    </row>
    <row r="1665" spans="1:36" x14ac:dyDescent="0.25">
      <c r="A1665" s="325" t="str">
        <f>CONCATENATE("P",'906MP'!M1365)</f>
        <v>P</v>
      </c>
      <c r="B1665">
        <f>'906MP'!H1365</f>
        <v>0</v>
      </c>
      <c r="C1665">
        <f>'906MP'!J1365</f>
        <v>0</v>
      </c>
      <c r="D1665">
        <f>'906MP'!P1365</f>
        <v>0</v>
      </c>
      <c r="E1665">
        <f>'906MP'!X1365</f>
        <v>0</v>
      </c>
      <c r="F1665" t="str">
        <f t="shared" si="485"/>
        <v>0</v>
      </c>
      <c r="G1665" t="str">
        <f t="shared" si="486"/>
        <v>0</v>
      </c>
      <c r="H1665">
        <f>'906MP'!Y1365</f>
        <v>0</v>
      </c>
      <c r="I1665">
        <f>'906MP'!AK1365</f>
        <v>0</v>
      </c>
      <c r="J1665">
        <f>'906MP'!T1365</f>
        <v>0</v>
      </c>
      <c r="K1665">
        <f>'906MP'!AJ1365</f>
        <v>0</v>
      </c>
      <c r="L1665">
        <f>'906MP'!U1365</f>
        <v>0</v>
      </c>
      <c r="M1665" s="322" t="str">
        <f>IFERROR(VLOOKUP(A1665,PAR!$D$3:$E$53,2,FALSE),"nincs szervezet")</f>
        <v>nincs szervezet</v>
      </c>
      <c r="N1665" s="322" t="str">
        <f>VLOOKUP(F1665,PAR!$R$3:$S$5,2,FALSE)</f>
        <v>3 - egyik sem</v>
      </c>
      <c r="O1665" t="str">
        <f>IFERROR(VLOOKUP(J1665,PAR!$O$3:$P$5,2,FALSE),"nincs feladat")</f>
        <v>nincs feladat</v>
      </c>
      <c r="P1665" t="str">
        <f>IFERROR(VLOOKUP(G1665,PAR!$J$2:$M$19,4),"nincs rovat")</f>
        <v>nincs rovat</v>
      </c>
      <c r="Q1665" t="str">
        <f>IF(H1665&gt;0,VLOOKUP(H1665,PAR!$AA$3:$AC$187,3,FALSE),"nincs főkönyvi számla")</f>
        <v>nincs főkönyvi számla</v>
      </c>
      <c r="R1665" t="str">
        <f>IFERROR(VLOOKUP(K1665,PAR!$V$3:$X$438,3,FALSE),"000000 - Nincs COFOG")</f>
        <v>000000 - Nincs COFOG</v>
      </c>
      <c r="S1665">
        <f t="shared" si="487"/>
        <v>0</v>
      </c>
      <c r="T1665">
        <f t="shared" si="488"/>
        <v>0</v>
      </c>
      <c r="U1665" t="str">
        <f>IF('906MP'!J1365&gt;0,CONCATENATE('906MP'!J1365," - ",'906MP'!P1365,", ",'906MP'!E1365),"nincs megjegyzés")</f>
        <v>nincs megjegyzés</v>
      </c>
      <c r="V1665" t="str">
        <f t="shared" si="475"/>
        <v>0P0</v>
      </c>
      <c r="W1665" t="str">
        <f t="shared" si="476"/>
        <v>0P0</v>
      </c>
      <c r="X1665" t="str">
        <f t="shared" si="477"/>
        <v>P0</v>
      </c>
      <c r="Y1665" t="str">
        <f t="shared" si="478"/>
        <v>00</v>
      </c>
      <c r="Z1665" t="str">
        <f t="shared" si="489"/>
        <v>00</v>
      </c>
      <c r="AA1665" t="str">
        <f t="shared" si="479"/>
        <v>00</v>
      </c>
      <c r="AB1665" t="str">
        <f t="shared" si="480"/>
        <v>00</v>
      </c>
      <c r="AC1665" t="str">
        <f t="shared" si="481"/>
        <v>0P0</v>
      </c>
      <c r="AD1665" t="str">
        <f t="shared" si="482"/>
        <v>P00</v>
      </c>
      <c r="AE1665" t="str">
        <f t="shared" si="483"/>
        <v>0P0</v>
      </c>
      <c r="AF1665" t="str">
        <f t="shared" si="484"/>
        <v>P00</v>
      </c>
      <c r="AG1665" t="str">
        <f t="shared" si="490"/>
        <v>0P00</v>
      </c>
      <c r="AH1665" t="str">
        <f t="shared" si="491"/>
        <v>P000</v>
      </c>
      <c r="AI1665" t="str">
        <f t="shared" si="492"/>
        <v>0P00</v>
      </c>
      <c r="AJ1665" t="str">
        <f t="shared" si="493"/>
        <v>P000</v>
      </c>
    </row>
    <row r="1666" spans="1:36" x14ac:dyDescent="0.25">
      <c r="A1666" s="325" t="str">
        <f>CONCATENATE("P",'906MP'!M1366)</f>
        <v>P</v>
      </c>
      <c r="B1666">
        <f>'906MP'!H1366</f>
        <v>0</v>
      </c>
      <c r="C1666">
        <f>'906MP'!J1366</f>
        <v>0</v>
      </c>
      <c r="D1666">
        <f>'906MP'!P1366</f>
        <v>0</v>
      </c>
      <c r="E1666">
        <f>'906MP'!X1366</f>
        <v>0</v>
      </c>
      <c r="F1666" t="str">
        <f t="shared" si="485"/>
        <v>0</v>
      </c>
      <c r="G1666" t="str">
        <f t="shared" si="486"/>
        <v>0</v>
      </c>
      <c r="H1666">
        <f>'906MP'!Y1366</f>
        <v>0</v>
      </c>
      <c r="I1666">
        <f>'906MP'!AK1366</f>
        <v>0</v>
      </c>
      <c r="J1666">
        <f>'906MP'!T1366</f>
        <v>0</v>
      </c>
      <c r="K1666">
        <f>'906MP'!AJ1366</f>
        <v>0</v>
      </c>
      <c r="L1666">
        <f>'906MP'!U1366</f>
        <v>0</v>
      </c>
      <c r="M1666" s="322" t="str">
        <f>IFERROR(VLOOKUP(A1666,PAR!$D$3:$E$53,2,FALSE),"nincs szervezet")</f>
        <v>nincs szervezet</v>
      </c>
      <c r="N1666" s="322" t="str">
        <f>VLOOKUP(F1666,PAR!$R$3:$S$5,2,FALSE)</f>
        <v>3 - egyik sem</v>
      </c>
      <c r="O1666" t="str">
        <f>IFERROR(VLOOKUP(J1666,PAR!$O$3:$P$5,2,FALSE),"nincs feladat")</f>
        <v>nincs feladat</v>
      </c>
      <c r="P1666" t="str">
        <f>IFERROR(VLOOKUP(G1666,PAR!$J$2:$M$19,4),"nincs rovat")</f>
        <v>nincs rovat</v>
      </c>
      <c r="Q1666" t="str">
        <f>IF(H1666&gt;0,VLOOKUP(H1666,PAR!$AA$3:$AC$187,3,FALSE),"nincs főkönyvi számla")</f>
        <v>nincs főkönyvi számla</v>
      </c>
      <c r="R1666" t="str">
        <f>IFERROR(VLOOKUP(K1666,PAR!$V$3:$X$438,3,FALSE),"000000 - Nincs COFOG")</f>
        <v>000000 - Nincs COFOG</v>
      </c>
      <c r="S1666">
        <f t="shared" si="487"/>
        <v>0</v>
      </c>
      <c r="T1666">
        <f t="shared" si="488"/>
        <v>0</v>
      </c>
      <c r="U1666" t="str">
        <f>IF('906MP'!J1366&gt;0,CONCATENATE('906MP'!J1366," - ",'906MP'!P1366,", ",'906MP'!E1366),"nincs megjegyzés")</f>
        <v>nincs megjegyzés</v>
      </c>
      <c r="V1666" t="str">
        <f t="shared" ref="V1666:V1729" si="494">CONCATENATE(B1666,A1666,G1666)</f>
        <v>0P0</v>
      </c>
      <c r="W1666" t="str">
        <f t="shared" ref="W1666:W1729" si="495">CONCATENATE(B1666,A1666,F1666)</f>
        <v>0P0</v>
      </c>
      <c r="X1666" t="str">
        <f t="shared" ref="X1666:X1729" si="496">CONCATENATE(A1666,H1666)</f>
        <v>P0</v>
      </c>
      <c r="Y1666" t="str">
        <f t="shared" ref="Y1666:Y1729" si="497">CONCATENATE(B1666,H1666)</f>
        <v>00</v>
      </c>
      <c r="Z1666" t="str">
        <f t="shared" si="489"/>
        <v>00</v>
      </c>
      <c r="AA1666" t="str">
        <f t="shared" ref="AA1666:AA1729" si="498">CONCATENATE(B1666,G1666)</f>
        <v>00</v>
      </c>
      <c r="AB1666" t="str">
        <f t="shared" ref="AB1666:AB1729" si="499">CONCATENATE(J1666,G1666)</f>
        <v>00</v>
      </c>
      <c r="AC1666" t="str">
        <f t="shared" ref="AC1666:AC1729" si="500">CONCATENATE(B1666,A1666,H1666)</f>
        <v>0P0</v>
      </c>
      <c r="AD1666" t="str">
        <f t="shared" ref="AD1666:AD1729" si="501">CONCATENATE(A1666,H1666,J1666)</f>
        <v>P00</v>
      </c>
      <c r="AE1666" t="str">
        <f t="shared" ref="AE1666:AE1729" si="502">CONCATENATE(B1666,A1666,G1666)</f>
        <v>0P0</v>
      </c>
      <c r="AF1666" t="str">
        <f t="shared" ref="AF1666:AF1729" si="503">CONCATENATE(A1666,G1666,J1666)</f>
        <v>P00</v>
      </c>
      <c r="AG1666" t="str">
        <f t="shared" si="490"/>
        <v>0P00</v>
      </c>
      <c r="AH1666" t="str">
        <f t="shared" si="491"/>
        <v>P000</v>
      </c>
      <c r="AI1666" t="str">
        <f t="shared" si="492"/>
        <v>0P00</v>
      </c>
      <c r="AJ1666" t="str">
        <f t="shared" si="493"/>
        <v>P000</v>
      </c>
    </row>
    <row r="1667" spans="1:36" x14ac:dyDescent="0.25">
      <c r="A1667" s="325" t="str">
        <f>CONCATENATE("P",'906MP'!M1367)</f>
        <v>P</v>
      </c>
      <c r="B1667">
        <f>'906MP'!H1367</f>
        <v>0</v>
      </c>
      <c r="C1667">
        <f>'906MP'!J1367</f>
        <v>0</v>
      </c>
      <c r="D1667">
        <f>'906MP'!P1367</f>
        <v>0</v>
      </c>
      <c r="E1667">
        <f>'906MP'!X1367</f>
        <v>0</v>
      </c>
      <c r="F1667" t="str">
        <f t="shared" ref="F1667:F1730" si="504">LEFT(G1667,2)</f>
        <v>0</v>
      </c>
      <c r="G1667" t="str">
        <f t="shared" ref="G1667:G1730" si="505">LEFT(H1667,3)</f>
        <v>0</v>
      </c>
      <c r="H1667">
        <f>'906MP'!Y1367</f>
        <v>0</v>
      </c>
      <c r="I1667">
        <f>'906MP'!AK1367</f>
        <v>0</v>
      </c>
      <c r="J1667">
        <f>'906MP'!T1367</f>
        <v>0</v>
      </c>
      <c r="K1667">
        <f>'906MP'!AJ1367</f>
        <v>0</v>
      </c>
      <c r="L1667">
        <f>'906MP'!U1367</f>
        <v>0</v>
      </c>
      <c r="M1667" s="322" t="str">
        <f>IFERROR(VLOOKUP(A1667,PAR!$D$3:$E$53,2,FALSE),"nincs szervezet")</f>
        <v>nincs szervezet</v>
      </c>
      <c r="N1667" s="322" t="str">
        <f>VLOOKUP(F1667,PAR!$R$3:$S$5,2,FALSE)</f>
        <v>3 - egyik sem</v>
      </c>
      <c r="O1667" t="str">
        <f>IFERROR(VLOOKUP(J1667,PAR!$O$3:$P$5,2,FALSE),"nincs feladat")</f>
        <v>nincs feladat</v>
      </c>
      <c r="P1667" t="str">
        <f>IFERROR(VLOOKUP(G1667,PAR!$J$2:$M$19,4),"nincs rovat")</f>
        <v>nincs rovat</v>
      </c>
      <c r="Q1667" t="str">
        <f>IF(H1667&gt;0,VLOOKUP(H1667,PAR!$AA$3:$AC$187,3,FALSE),"nincs főkönyvi számla")</f>
        <v>nincs főkönyvi számla</v>
      </c>
      <c r="R1667" t="str">
        <f>IFERROR(VLOOKUP(K1667,PAR!$V$3:$X$438,3,FALSE),"000000 - Nincs COFOG")</f>
        <v>000000 - Nincs COFOG</v>
      </c>
      <c r="S1667">
        <f t="shared" ref="S1667:S1730" si="506">E1667</f>
        <v>0</v>
      </c>
      <c r="T1667">
        <f t="shared" ref="T1667:T1730" si="507">IF(F1667="09",E1667*-1,E1667)</f>
        <v>0</v>
      </c>
      <c r="U1667" t="str">
        <f>IF('906MP'!J1367&gt;0,CONCATENATE('906MP'!J1367," - ",'906MP'!P1367,", ",'906MP'!E1367),"nincs megjegyzés")</f>
        <v>nincs megjegyzés</v>
      </c>
      <c r="V1667" t="str">
        <f t="shared" si="494"/>
        <v>0P0</v>
      </c>
      <c r="W1667" t="str">
        <f t="shared" si="495"/>
        <v>0P0</v>
      </c>
      <c r="X1667" t="str">
        <f t="shared" si="496"/>
        <v>P0</v>
      </c>
      <c r="Y1667" t="str">
        <f t="shared" si="497"/>
        <v>00</v>
      </c>
      <c r="Z1667" t="str">
        <f t="shared" ref="Z1667:Z1730" si="508">CONCATENATE(J1667,H1667)</f>
        <v>00</v>
      </c>
      <c r="AA1667" t="str">
        <f t="shared" si="498"/>
        <v>00</v>
      </c>
      <c r="AB1667" t="str">
        <f t="shared" si="499"/>
        <v>00</v>
      </c>
      <c r="AC1667" t="str">
        <f t="shared" si="500"/>
        <v>0P0</v>
      </c>
      <c r="AD1667" t="str">
        <f t="shared" si="501"/>
        <v>P00</v>
      </c>
      <c r="AE1667" t="str">
        <f t="shared" si="502"/>
        <v>0P0</v>
      </c>
      <c r="AF1667" t="str">
        <f t="shared" si="503"/>
        <v>P00</v>
      </c>
      <c r="AG1667" t="str">
        <f t="shared" ref="AG1667:AG1730" si="509">CONCATENATE(B1667,A1667,H1667,L1667)</f>
        <v>0P00</v>
      </c>
      <c r="AH1667" t="str">
        <f t="shared" ref="AH1667:AH1730" si="510">CONCATENATE(A1667,J1667,H1667,L1667)</f>
        <v>P000</v>
      </c>
      <c r="AI1667" t="str">
        <f t="shared" ref="AI1667:AI1730" si="511">CONCATENATE(B1667,A1667,G1667,L1667)</f>
        <v>0P00</v>
      </c>
      <c r="AJ1667" t="str">
        <f t="shared" ref="AJ1667:AJ1730" si="512">CONCATENATE(A1667,G1667,J1667,L1667)</f>
        <v>P000</v>
      </c>
    </row>
    <row r="1668" spans="1:36" x14ac:dyDescent="0.25">
      <c r="A1668" s="325" t="str">
        <f>CONCATENATE("P",'906MP'!M1368)</f>
        <v>P</v>
      </c>
      <c r="B1668">
        <f>'906MP'!H1368</f>
        <v>0</v>
      </c>
      <c r="C1668">
        <f>'906MP'!J1368</f>
        <v>0</v>
      </c>
      <c r="D1668">
        <f>'906MP'!P1368</f>
        <v>0</v>
      </c>
      <c r="E1668">
        <f>'906MP'!X1368</f>
        <v>0</v>
      </c>
      <c r="F1668" t="str">
        <f t="shared" si="504"/>
        <v>0</v>
      </c>
      <c r="G1668" t="str">
        <f t="shared" si="505"/>
        <v>0</v>
      </c>
      <c r="H1668">
        <f>'906MP'!Y1368</f>
        <v>0</v>
      </c>
      <c r="I1668">
        <f>'906MP'!AK1368</f>
        <v>0</v>
      </c>
      <c r="J1668">
        <f>'906MP'!T1368</f>
        <v>0</v>
      </c>
      <c r="K1668">
        <f>'906MP'!AJ1368</f>
        <v>0</v>
      </c>
      <c r="L1668">
        <f>'906MP'!U1368</f>
        <v>0</v>
      </c>
      <c r="M1668" s="322" t="str">
        <f>IFERROR(VLOOKUP(A1668,PAR!$D$3:$E$53,2,FALSE),"nincs szervezet")</f>
        <v>nincs szervezet</v>
      </c>
      <c r="N1668" s="322" t="str">
        <f>VLOOKUP(F1668,PAR!$R$3:$S$5,2,FALSE)</f>
        <v>3 - egyik sem</v>
      </c>
      <c r="O1668" t="str">
        <f>IFERROR(VLOOKUP(J1668,PAR!$O$3:$P$5,2,FALSE),"nincs feladat")</f>
        <v>nincs feladat</v>
      </c>
      <c r="P1668" t="str">
        <f>IFERROR(VLOOKUP(G1668,PAR!$J$2:$M$19,4),"nincs rovat")</f>
        <v>nincs rovat</v>
      </c>
      <c r="Q1668" t="str">
        <f>IF(H1668&gt;0,VLOOKUP(H1668,PAR!$AA$3:$AC$187,3,FALSE),"nincs főkönyvi számla")</f>
        <v>nincs főkönyvi számla</v>
      </c>
      <c r="R1668" t="str">
        <f>IFERROR(VLOOKUP(K1668,PAR!$V$3:$X$438,3,FALSE),"000000 - Nincs COFOG")</f>
        <v>000000 - Nincs COFOG</v>
      </c>
      <c r="S1668">
        <f t="shared" si="506"/>
        <v>0</v>
      </c>
      <c r="T1668">
        <f t="shared" si="507"/>
        <v>0</v>
      </c>
      <c r="U1668" t="str">
        <f>IF('906MP'!J1368&gt;0,CONCATENATE('906MP'!J1368," - ",'906MP'!P1368,", ",'906MP'!E1368),"nincs megjegyzés")</f>
        <v>nincs megjegyzés</v>
      </c>
      <c r="V1668" t="str">
        <f t="shared" si="494"/>
        <v>0P0</v>
      </c>
      <c r="W1668" t="str">
        <f t="shared" si="495"/>
        <v>0P0</v>
      </c>
      <c r="X1668" t="str">
        <f t="shared" si="496"/>
        <v>P0</v>
      </c>
      <c r="Y1668" t="str">
        <f t="shared" si="497"/>
        <v>00</v>
      </c>
      <c r="Z1668" t="str">
        <f t="shared" si="508"/>
        <v>00</v>
      </c>
      <c r="AA1668" t="str">
        <f t="shared" si="498"/>
        <v>00</v>
      </c>
      <c r="AB1668" t="str">
        <f t="shared" si="499"/>
        <v>00</v>
      </c>
      <c r="AC1668" t="str">
        <f t="shared" si="500"/>
        <v>0P0</v>
      </c>
      <c r="AD1668" t="str">
        <f t="shared" si="501"/>
        <v>P00</v>
      </c>
      <c r="AE1668" t="str">
        <f t="shared" si="502"/>
        <v>0P0</v>
      </c>
      <c r="AF1668" t="str">
        <f t="shared" si="503"/>
        <v>P00</v>
      </c>
      <c r="AG1668" t="str">
        <f t="shared" si="509"/>
        <v>0P00</v>
      </c>
      <c r="AH1668" t="str">
        <f t="shared" si="510"/>
        <v>P000</v>
      </c>
      <c r="AI1668" t="str">
        <f t="shared" si="511"/>
        <v>0P00</v>
      </c>
      <c r="AJ1668" t="str">
        <f t="shared" si="512"/>
        <v>P000</v>
      </c>
    </row>
    <row r="1669" spans="1:36" x14ac:dyDescent="0.25">
      <c r="A1669" s="325" t="str">
        <f>CONCATENATE("P",'906MP'!M1369)</f>
        <v>P</v>
      </c>
      <c r="B1669">
        <f>'906MP'!H1369</f>
        <v>0</v>
      </c>
      <c r="C1669">
        <f>'906MP'!J1369</f>
        <v>0</v>
      </c>
      <c r="D1669">
        <f>'906MP'!P1369</f>
        <v>0</v>
      </c>
      <c r="E1669">
        <f>'906MP'!X1369</f>
        <v>0</v>
      </c>
      <c r="F1669" t="str">
        <f t="shared" si="504"/>
        <v>0</v>
      </c>
      <c r="G1669" t="str">
        <f t="shared" si="505"/>
        <v>0</v>
      </c>
      <c r="H1669">
        <f>'906MP'!Y1369</f>
        <v>0</v>
      </c>
      <c r="I1669">
        <f>'906MP'!AK1369</f>
        <v>0</v>
      </c>
      <c r="J1669">
        <f>'906MP'!T1369</f>
        <v>0</v>
      </c>
      <c r="K1669">
        <f>'906MP'!AJ1369</f>
        <v>0</v>
      </c>
      <c r="L1669">
        <f>'906MP'!U1369</f>
        <v>0</v>
      </c>
      <c r="M1669" s="322" t="str">
        <f>IFERROR(VLOOKUP(A1669,PAR!$D$3:$E$53,2,FALSE),"nincs szervezet")</f>
        <v>nincs szervezet</v>
      </c>
      <c r="N1669" s="322" t="str">
        <f>VLOOKUP(F1669,PAR!$R$3:$S$5,2,FALSE)</f>
        <v>3 - egyik sem</v>
      </c>
      <c r="O1669" t="str">
        <f>IFERROR(VLOOKUP(J1669,PAR!$O$3:$P$5,2,FALSE),"nincs feladat")</f>
        <v>nincs feladat</v>
      </c>
      <c r="P1669" t="str">
        <f>IFERROR(VLOOKUP(G1669,PAR!$J$2:$M$19,4),"nincs rovat")</f>
        <v>nincs rovat</v>
      </c>
      <c r="Q1669" t="str">
        <f>IF(H1669&gt;0,VLOOKUP(H1669,PAR!$AA$3:$AC$187,3,FALSE),"nincs főkönyvi számla")</f>
        <v>nincs főkönyvi számla</v>
      </c>
      <c r="R1669" t="str">
        <f>IFERROR(VLOOKUP(K1669,PAR!$V$3:$X$438,3,FALSE),"000000 - Nincs COFOG")</f>
        <v>000000 - Nincs COFOG</v>
      </c>
      <c r="S1669">
        <f t="shared" si="506"/>
        <v>0</v>
      </c>
      <c r="T1669">
        <f t="shared" si="507"/>
        <v>0</v>
      </c>
      <c r="U1669" t="str">
        <f>IF('906MP'!J1369&gt;0,CONCATENATE('906MP'!J1369," - ",'906MP'!P1369,", ",'906MP'!E1369),"nincs megjegyzés")</f>
        <v>nincs megjegyzés</v>
      </c>
      <c r="V1669" t="str">
        <f t="shared" si="494"/>
        <v>0P0</v>
      </c>
      <c r="W1669" t="str">
        <f t="shared" si="495"/>
        <v>0P0</v>
      </c>
      <c r="X1669" t="str">
        <f t="shared" si="496"/>
        <v>P0</v>
      </c>
      <c r="Y1669" t="str">
        <f t="shared" si="497"/>
        <v>00</v>
      </c>
      <c r="Z1669" t="str">
        <f t="shared" si="508"/>
        <v>00</v>
      </c>
      <c r="AA1669" t="str">
        <f t="shared" si="498"/>
        <v>00</v>
      </c>
      <c r="AB1669" t="str">
        <f t="shared" si="499"/>
        <v>00</v>
      </c>
      <c r="AC1669" t="str">
        <f t="shared" si="500"/>
        <v>0P0</v>
      </c>
      <c r="AD1669" t="str">
        <f t="shared" si="501"/>
        <v>P00</v>
      </c>
      <c r="AE1669" t="str">
        <f t="shared" si="502"/>
        <v>0P0</v>
      </c>
      <c r="AF1669" t="str">
        <f t="shared" si="503"/>
        <v>P00</v>
      </c>
      <c r="AG1669" t="str">
        <f t="shared" si="509"/>
        <v>0P00</v>
      </c>
      <c r="AH1669" t="str">
        <f t="shared" si="510"/>
        <v>P000</v>
      </c>
      <c r="AI1669" t="str">
        <f t="shared" si="511"/>
        <v>0P00</v>
      </c>
      <c r="AJ1669" t="str">
        <f t="shared" si="512"/>
        <v>P000</v>
      </c>
    </row>
    <row r="1670" spans="1:36" x14ac:dyDescent="0.25">
      <c r="A1670" s="325" t="str">
        <f>CONCATENATE("P",'906MP'!M1370)</f>
        <v>P</v>
      </c>
      <c r="B1670">
        <f>'906MP'!H1370</f>
        <v>0</v>
      </c>
      <c r="C1670">
        <f>'906MP'!J1370</f>
        <v>0</v>
      </c>
      <c r="D1670">
        <f>'906MP'!P1370</f>
        <v>0</v>
      </c>
      <c r="E1670">
        <f>'906MP'!X1370</f>
        <v>0</v>
      </c>
      <c r="F1670" t="str">
        <f t="shared" si="504"/>
        <v>0</v>
      </c>
      <c r="G1670" t="str">
        <f t="shared" si="505"/>
        <v>0</v>
      </c>
      <c r="H1670">
        <f>'906MP'!Y1370</f>
        <v>0</v>
      </c>
      <c r="I1670">
        <f>'906MP'!AK1370</f>
        <v>0</v>
      </c>
      <c r="J1670">
        <f>'906MP'!T1370</f>
        <v>0</v>
      </c>
      <c r="K1670">
        <f>'906MP'!AJ1370</f>
        <v>0</v>
      </c>
      <c r="L1670">
        <f>'906MP'!U1370</f>
        <v>0</v>
      </c>
      <c r="M1670" s="322" t="str">
        <f>IFERROR(VLOOKUP(A1670,PAR!$D$3:$E$53,2,FALSE),"nincs szervezet")</f>
        <v>nincs szervezet</v>
      </c>
      <c r="N1670" s="322" t="str">
        <f>VLOOKUP(F1670,PAR!$R$3:$S$5,2,FALSE)</f>
        <v>3 - egyik sem</v>
      </c>
      <c r="O1670" t="str">
        <f>IFERROR(VLOOKUP(J1670,PAR!$O$3:$P$5,2,FALSE),"nincs feladat")</f>
        <v>nincs feladat</v>
      </c>
      <c r="P1670" t="str">
        <f>IFERROR(VLOOKUP(G1670,PAR!$J$2:$M$19,4),"nincs rovat")</f>
        <v>nincs rovat</v>
      </c>
      <c r="Q1670" t="str">
        <f>IF(H1670&gt;0,VLOOKUP(H1670,PAR!$AA$3:$AC$187,3,FALSE),"nincs főkönyvi számla")</f>
        <v>nincs főkönyvi számla</v>
      </c>
      <c r="R1670" t="str">
        <f>IFERROR(VLOOKUP(K1670,PAR!$V$3:$X$438,3,FALSE),"000000 - Nincs COFOG")</f>
        <v>000000 - Nincs COFOG</v>
      </c>
      <c r="S1670">
        <f t="shared" si="506"/>
        <v>0</v>
      </c>
      <c r="T1670">
        <f t="shared" si="507"/>
        <v>0</v>
      </c>
      <c r="U1670" t="str">
        <f>IF('906MP'!J1370&gt;0,CONCATENATE('906MP'!J1370," - ",'906MP'!P1370,", ",'906MP'!E1370),"nincs megjegyzés")</f>
        <v>nincs megjegyzés</v>
      </c>
      <c r="V1670" t="str">
        <f t="shared" si="494"/>
        <v>0P0</v>
      </c>
      <c r="W1670" t="str">
        <f t="shared" si="495"/>
        <v>0P0</v>
      </c>
      <c r="X1670" t="str">
        <f t="shared" si="496"/>
        <v>P0</v>
      </c>
      <c r="Y1670" t="str">
        <f t="shared" si="497"/>
        <v>00</v>
      </c>
      <c r="Z1670" t="str">
        <f t="shared" si="508"/>
        <v>00</v>
      </c>
      <c r="AA1670" t="str">
        <f t="shared" si="498"/>
        <v>00</v>
      </c>
      <c r="AB1670" t="str">
        <f t="shared" si="499"/>
        <v>00</v>
      </c>
      <c r="AC1670" t="str">
        <f t="shared" si="500"/>
        <v>0P0</v>
      </c>
      <c r="AD1670" t="str">
        <f t="shared" si="501"/>
        <v>P00</v>
      </c>
      <c r="AE1670" t="str">
        <f t="shared" si="502"/>
        <v>0P0</v>
      </c>
      <c r="AF1670" t="str">
        <f t="shared" si="503"/>
        <v>P00</v>
      </c>
      <c r="AG1670" t="str">
        <f t="shared" si="509"/>
        <v>0P00</v>
      </c>
      <c r="AH1670" t="str">
        <f t="shared" si="510"/>
        <v>P000</v>
      </c>
      <c r="AI1670" t="str">
        <f t="shared" si="511"/>
        <v>0P00</v>
      </c>
      <c r="AJ1670" t="str">
        <f t="shared" si="512"/>
        <v>P000</v>
      </c>
    </row>
    <row r="1671" spans="1:36" x14ac:dyDescent="0.25">
      <c r="A1671" s="325" t="str">
        <f>CONCATENATE("P",'906MP'!M1371)</f>
        <v>P</v>
      </c>
      <c r="B1671">
        <f>'906MP'!H1371</f>
        <v>0</v>
      </c>
      <c r="C1671">
        <f>'906MP'!J1371</f>
        <v>0</v>
      </c>
      <c r="D1671">
        <f>'906MP'!P1371</f>
        <v>0</v>
      </c>
      <c r="E1671">
        <f>'906MP'!X1371</f>
        <v>0</v>
      </c>
      <c r="F1671" t="str">
        <f t="shared" si="504"/>
        <v>0</v>
      </c>
      <c r="G1671" t="str">
        <f t="shared" si="505"/>
        <v>0</v>
      </c>
      <c r="H1671">
        <f>'906MP'!Y1371</f>
        <v>0</v>
      </c>
      <c r="I1671">
        <f>'906MP'!AK1371</f>
        <v>0</v>
      </c>
      <c r="J1671">
        <f>'906MP'!T1371</f>
        <v>0</v>
      </c>
      <c r="K1671">
        <f>'906MP'!AJ1371</f>
        <v>0</v>
      </c>
      <c r="L1671">
        <f>'906MP'!U1371</f>
        <v>0</v>
      </c>
      <c r="M1671" s="322" t="str">
        <f>IFERROR(VLOOKUP(A1671,PAR!$D$3:$E$53,2,FALSE),"nincs szervezet")</f>
        <v>nincs szervezet</v>
      </c>
      <c r="N1671" s="322" t="str">
        <f>VLOOKUP(F1671,PAR!$R$3:$S$5,2,FALSE)</f>
        <v>3 - egyik sem</v>
      </c>
      <c r="O1671" t="str">
        <f>IFERROR(VLOOKUP(J1671,PAR!$O$3:$P$5,2,FALSE),"nincs feladat")</f>
        <v>nincs feladat</v>
      </c>
      <c r="P1671" t="str">
        <f>IFERROR(VLOOKUP(G1671,PAR!$J$2:$M$19,4),"nincs rovat")</f>
        <v>nincs rovat</v>
      </c>
      <c r="Q1671" t="str">
        <f>IF(H1671&gt;0,VLOOKUP(H1671,PAR!$AA$3:$AC$187,3,FALSE),"nincs főkönyvi számla")</f>
        <v>nincs főkönyvi számla</v>
      </c>
      <c r="R1671" t="str">
        <f>IFERROR(VLOOKUP(K1671,PAR!$V$3:$X$438,3,FALSE),"000000 - Nincs COFOG")</f>
        <v>000000 - Nincs COFOG</v>
      </c>
      <c r="S1671">
        <f t="shared" si="506"/>
        <v>0</v>
      </c>
      <c r="T1671">
        <f t="shared" si="507"/>
        <v>0</v>
      </c>
      <c r="U1671" t="str">
        <f>IF('906MP'!J1371&gt;0,CONCATENATE('906MP'!J1371," - ",'906MP'!P1371,", ",'906MP'!E1371),"nincs megjegyzés")</f>
        <v>nincs megjegyzés</v>
      </c>
      <c r="V1671" t="str">
        <f t="shared" si="494"/>
        <v>0P0</v>
      </c>
      <c r="W1671" t="str">
        <f t="shared" si="495"/>
        <v>0P0</v>
      </c>
      <c r="X1671" t="str">
        <f t="shared" si="496"/>
        <v>P0</v>
      </c>
      <c r="Y1671" t="str">
        <f t="shared" si="497"/>
        <v>00</v>
      </c>
      <c r="Z1671" t="str">
        <f t="shared" si="508"/>
        <v>00</v>
      </c>
      <c r="AA1671" t="str">
        <f t="shared" si="498"/>
        <v>00</v>
      </c>
      <c r="AB1671" t="str">
        <f t="shared" si="499"/>
        <v>00</v>
      </c>
      <c r="AC1671" t="str">
        <f t="shared" si="500"/>
        <v>0P0</v>
      </c>
      <c r="AD1671" t="str">
        <f t="shared" si="501"/>
        <v>P00</v>
      </c>
      <c r="AE1671" t="str">
        <f t="shared" si="502"/>
        <v>0P0</v>
      </c>
      <c r="AF1671" t="str">
        <f t="shared" si="503"/>
        <v>P00</v>
      </c>
      <c r="AG1671" t="str">
        <f t="shared" si="509"/>
        <v>0P00</v>
      </c>
      <c r="AH1671" t="str">
        <f t="shared" si="510"/>
        <v>P000</v>
      </c>
      <c r="AI1671" t="str">
        <f t="shared" si="511"/>
        <v>0P00</v>
      </c>
      <c r="AJ1671" t="str">
        <f t="shared" si="512"/>
        <v>P000</v>
      </c>
    </row>
    <row r="1672" spans="1:36" x14ac:dyDescent="0.25">
      <c r="A1672" s="325" t="str">
        <f>CONCATENATE("P",'906MP'!M1372)</f>
        <v>P</v>
      </c>
      <c r="B1672">
        <f>'906MP'!H1372</f>
        <v>0</v>
      </c>
      <c r="C1672">
        <f>'906MP'!J1372</f>
        <v>0</v>
      </c>
      <c r="D1672">
        <f>'906MP'!P1372</f>
        <v>0</v>
      </c>
      <c r="E1672">
        <f>'906MP'!X1372</f>
        <v>0</v>
      </c>
      <c r="F1672" t="str">
        <f t="shared" si="504"/>
        <v>0</v>
      </c>
      <c r="G1672" t="str">
        <f t="shared" si="505"/>
        <v>0</v>
      </c>
      <c r="H1672">
        <f>'906MP'!Y1372</f>
        <v>0</v>
      </c>
      <c r="I1672">
        <f>'906MP'!AK1372</f>
        <v>0</v>
      </c>
      <c r="J1672">
        <f>'906MP'!T1372</f>
        <v>0</v>
      </c>
      <c r="K1672">
        <f>'906MP'!AJ1372</f>
        <v>0</v>
      </c>
      <c r="L1672">
        <f>'906MP'!U1372</f>
        <v>0</v>
      </c>
      <c r="M1672" s="322" t="str">
        <f>IFERROR(VLOOKUP(A1672,PAR!$D$3:$E$53,2,FALSE),"nincs szervezet")</f>
        <v>nincs szervezet</v>
      </c>
      <c r="N1672" s="322" t="str">
        <f>VLOOKUP(F1672,PAR!$R$3:$S$5,2,FALSE)</f>
        <v>3 - egyik sem</v>
      </c>
      <c r="O1672" t="str">
        <f>IFERROR(VLOOKUP(J1672,PAR!$O$3:$P$5,2,FALSE),"nincs feladat")</f>
        <v>nincs feladat</v>
      </c>
      <c r="P1672" t="str">
        <f>IFERROR(VLOOKUP(G1672,PAR!$J$2:$M$19,4),"nincs rovat")</f>
        <v>nincs rovat</v>
      </c>
      <c r="Q1672" t="str">
        <f>IF(H1672&gt;0,VLOOKUP(H1672,PAR!$AA$3:$AC$187,3,FALSE),"nincs főkönyvi számla")</f>
        <v>nincs főkönyvi számla</v>
      </c>
      <c r="R1672" t="str">
        <f>IFERROR(VLOOKUP(K1672,PAR!$V$3:$X$438,3,FALSE),"000000 - Nincs COFOG")</f>
        <v>000000 - Nincs COFOG</v>
      </c>
      <c r="S1672">
        <f t="shared" si="506"/>
        <v>0</v>
      </c>
      <c r="T1672">
        <f t="shared" si="507"/>
        <v>0</v>
      </c>
      <c r="U1672" t="str">
        <f>IF('906MP'!J1372&gt;0,CONCATENATE('906MP'!J1372," - ",'906MP'!P1372,", ",'906MP'!E1372),"nincs megjegyzés")</f>
        <v>nincs megjegyzés</v>
      </c>
      <c r="V1672" t="str">
        <f t="shared" si="494"/>
        <v>0P0</v>
      </c>
      <c r="W1672" t="str">
        <f t="shared" si="495"/>
        <v>0P0</v>
      </c>
      <c r="X1672" t="str">
        <f t="shared" si="496"/>
        <v>P0</v>
      </c>
      <c r="Y1672" t="str">
        <f t="shared" si="497"/>
        <v>00</v>
      </c>
      <c r="Z1672" t="str">
        <f t="shared" si="508"/>
        <v>00</v>
      </c>
      <c r="AA1672" t="str">
        <f t="shared" si="498"/>
        <v>00</v>
      </c>
      <c r="AB1672" t="str">
        <f t="shared" si="499"/>
        <v>00</v>
      </c>
      <c r="AC1672" t="str">
        <f t="shared" si="500"/>
        <v>0P0</v>
      </c>
      <c r="AD1672" t="str">
        <f t="shared" si="501"/>
        <v>P00</v>
      </c>
      <c r="AE1672" t="str">
        <f t="shared" si="502"/>
        <v>0P0</v>
      </c>
      <c r="AF1672" t="str">
        <f t="shared" si="503"/>
        <v>P00</v>
      </c>
      <c r="AG1672" t="str">
        <f t="shared" si="509"/>
        <v>0P00</v>
      </c>
      <c r="AH1672" t="str">
        <f t="shared" si="510"/>
        <v>P000</v>
      </c>
      <c r="AI1672" t="str">
        <f t="shared" si="511"/>
        <v>0P00</v>
      </c>
      <c r="AJ1672" t="str">
        <f t="shared" si="512"/>
        <v>P000</v>
      </c>
    </row>
    <row r="1673" spans="1:36" x14ac:dyDescent="0.25">
      <c r="A1673" s="325" t="str">
        <f>CONCATENATE("P",'906MP'!M1373)</f>
        <v>P</v>
      </c>
      <c r="B1673">
        <f>'906MP'!H1373</f>
        <v>0</v>
      </c>
      <c r="C1673">
        <f>'906MP'!J1373</f>
        <v>0</v>
      </c>
      <c r="D1673">
        <f>'906MP'!P1373</f>
        <v>0</v>
      </c>
      <c r="E1673">
        <f>'906MP'!X1373</f>
        <v>0</v>
      </c>
      <c r="F1673" t="str">
        <f t="shared" si="504"/>
        <v>0</v>
      </c>
      <c r="G1673" t="str">
        <f t="shared" si="505"/>
        <v>0</v>
      </c>
      <c r="H1673">
        <f>'906MP'!Y1373</f>
        <v>0</v>
      </c>
      <c r="I1673">
        <f>'906MP'!AK1373</f>
        <v>0</v>
      </c>
      <c r="J1673">
        <f>'906MP'!T1373</f>
        <v>0</v>
      </c>
      <c r="K1673">
        <f>'906MP'!AJ1373</f>
        <v>0</v>
      </c>
      <c r="L1673">
        <f>'906MP'!U1373</f>
        <v>0</v>
      </c>
      <c r="M1673" s="322" t="str">
        <f>IFERROR(VLOOKUP(A1673,PAR!$D$3:$E$53,2,FALSE),"nincs szervezet")</f>
        <v>nincs szervezet</v>
      </c>
      <c r="N1673" s="322" t="str">
        <f>VLOOKUP(F1673,PAR!$R$3:$S$5,2,FALSE)</f>
        <v>3 - egyik sem</v>
      </c>
      <c r="O1673" t="str">
        <f>IFERROR(VLOOKUP(J1673,PAR!$O$3:$P$5,2,FALSE),"nincs feladat")</f>
        <v>nincs feladat</v>
      </c>
      <c r="P1673" t="str">
        <f>IFERROR(VLOOKUP(G1673,PAR!$J$2:$M$19,4),"nincs rovat")</f>
        <v>nincs rovat</v>
      </c>
      <c r="Q1673" t="str">
        <f>IF(H1673&gt;0,VLOOKUP(H1673,PAR!$AA$3:$AC$187,3,FALSE),"nincs főkönyvi számla")</f>
        <v>nincs főkönyvi számla</v>
      </c>
      <c r="R1673" t="str">
        <f>IFERROR(VLOOKUP(K1673,PAR!$V$3:$X$438,3,FALSE),"000000 - Nincs COFOG")</f>
        <v>000000 - Nincs COFOG</v>
      </c>
      <c r="S1673">
        <f t="shared" si="506"/>
        <v>0</v>
      </c>
      <c r="T1673">
        <f t="shared" si="507"/>
        <v>0</v>
      </c>
      <c r="U1673" t="str">
        <f>IF('906MP'!J1373&gt;0,CONCATENATE('906MP'!J1373," - ",'906MP'!P1373,", ",'906MP'!E1373),"nincs megjegyzés")</f>
        <v>nincs megjegyzés</v>
      </c>
      <c r="V1673" t="str">
        <f t="shared" si="494"/>
        <v>0P0</v>
      </c>
      <c r="W1673" t="str">
        <f t="shared" si="495"/>
        <v>0P0</v>
      </c>
      <c r="X1673" t="str">
        <f t="shared" si="496"/>
        <v>P0</v>
      </c>
      <c r="Y1673" t="str">
        <f t="shared" si="497"/>
        <v>00</v>
      </c>
      <c r="Z1673" t="str">
        <f t="shared" si="508"/>
        <v>00</v>
      </c>
      <c r="AA1673" t="str">
        <f t="shared" si="498"/>
        <v>00</v>
      </c>
      <c r="AB1673" t="str">
        <f t="shared" si="499"/>
        <v>00</v>
      </c>
      <c r="AC1673" t="str">
        <f t="shared" si="500"/>
        <v>0P0</v>
      </c>
      <c r="AD1673" t="str">
        <f t="shared" si="501"/>
        <v>P00</v>
      </c>
      <c r="AE1673" t="str">
        <f t="shared" si="502"/>
        <v>0P0</v>
      </c>
      <c r="AF1673" t="str">
        <f t="shared" si="503"/>
        <v>P00</v>
      </c>
      <c r="AG1673" t="str">
        <f t="shared" si="509"/>
        <v>0P00</v>
      </c>
      <c r="AH1673" t="str">
        <f t="shared" si="510"/>
        <v>P000</v>
      </c>
      <c r="AI1673" t="str">
        <f t="shared" si="511"/>
        <v>0P00</v>
      </c>
      <c r="AJ1673" t="str">
        <f t="shared" si="512"/>
        <v>P000</v>
      </c>
    </row>
    <row r="1674" spans="1:36" x14ac:dyDescent="0.25">
      <c r="A1674" s="325" t="str">
        <f>CONCATENATE("P",'906MP'!M1374)</f>
        <v>P</v>
      </c>
      <c r="B1674">
        <f>'906MP'!H1374</f>
        <v>0</v>
      </c>
      <c r="C1674">
        <f>'906MP'!J1374</f>
        <v>0</v>
      </c>
      <c r="D1674">
        <f>'906MP'!P1374</f>
        <v>0</v>
      </c>
      <c r="E1674">
        <f>'906MP'!X1374</f>
        <v>0</v>
      </c>
      <c r="F1674" t="str">
        <f t="shared" si="504"/>
        <v>0</v>
      </c>
      <c r="G1674" t="str">
        <f t="shared" si="505"/>
        <v>0</v>
      </c>
      <c r="H1674">
        <f>'906MP'!Y1374</f>
        <v>0</v>
      </c>
      <c r="I1674">
        <f>'906MP'!AK1374</f>
        <v>0</v>
      </c>
      <c r="J1674">
        <f>'906MP'!T1374</f>
        <v>0</v>
      </c>
      <c r="K1674">
        <f>'906MP'!AJ1374</f>
        <v>0</v>
      </c>
      <c r="L1674">
        <f>'906MP'!U1374</f>
        <v>0</v>
      </c>
      <c r="M1674" s="322" t="str">
        <f>IFERROR(VLOOKUP(A1674,PAR!$D$3:$E$53,2,FALSE),"nincs szervezet")</f>
        <v>nincs szervezet</v>
      </c>
      <c r="N1674" s="322" t="str">
        <f>VLOOKUP(F1674,PAR!$R$3:$S$5,2,FALSE)</f>
        <v>3 - egyik sem</v>
      </c>
      <c r="O1674" t="str">
        <f>IFERROR(VLOOKUP(J1674,PAR!$O$3:$P$5,2,FALSE),"nincs feladat")</f>
        <v>nincs feladat</v>
      </c>
      <c r="P1674" t="str">
        <f>IFERROR(VLOOKUP(G1674,PAR!$J$2:$M$19,4),"nincs rovat")</f>
        <v>nincs rovat</v>
      </c>
      <c r="Q1674" t="str">
        <f>IF(H1674&gt;0,VLOOKUP(H1674,PAR!$AA$3:$AC$187,3,FALSE),"nincs főkönyvi számla")</f>
        <v>nincs főkönyvi számla</v>
      </c>
      <c r="R1674" t="str">
        <f>IFERROR(VLOOKUP(K1674,PAR!$V$3:$X$438,3,FALSE),"000000 - Nincs COFOG")</f>
        <v>000000 - Nincs COFOG</v>
      </c>
      <c r="S1674">
        <f t="shared" si="506"/>
        <v>0</v>
      </c>
      <c r="T1674">
        <f t="shared" si="507"/>
        <v>0</v>
      </c>
      <c r="U1674" t="str">
        <f>IF('906MP'!J1374&gt;0,CONCATENATE('906MP'!J1374," - ",'906MP'!P1374,", ",'906MP'!E1374),"nincs megjegyzés")</f>
        <v>nincs megjegyzés</v>
      </c>
      <c r="V1674" t="str">
        <f t="shared" si="494"/>
        <v>0P0</v>
      </c>
      <c r="W1674" t="str">
        <f t="shared" si="495"/>
        <v>0P0</v>
      </c>
      <c r="X1674" t="str">
        <f t="shared" si="496"/>
        <v>P0</v>
      </c>
      <c r="Y1674" t="str">
        <f t="shared" si="497"/>
        <v>00</v>
      </c>
      <c r="Z1674" t="str">
        <f t="shared" si="508"/>
        <v>00</v>
      </c>
      <c r="AA1674" t="str">
        <f t="shared" si="498"/>
        <v>00</v>
      </c>
      <c r="AB1674" t="str">
        <f t="shared" si="499"/>
        <v>00</v>
      </c>
      <c r="AC1674" t="str">
        <f t="shared" si="500"/>
        <v>0P0</v>
      </c>
      <c r="AD1674" t="str">
        <f t="shared" si="501"/>
        <v>P00</v>
      </c>
      <c r="AE1674" t="str">
        <f t="shared" si="502"/>
        <v>0P0</v>
      </c>
      <c r="AF1674" t="str">
        <f t="shared" si="503"/>
        <v>P00</v>
      </c>
      <c r="AG1674" t="str">
        <f t="shared" si="509"/>
        <v>0P00</v>
      </c>
      <c r="AH1674" t="str">
        <f t="shared" si="510"/>
        <v>P000</v>
      </c>
      <c r="AI1674" t="str">
        <f t="shared" si="511"/>
        <v>0P00</v>
      </c>
      <c r="AJ1674" t="str">
        <f t="shared" si="512"/>
        <v>P000</v>
      </c>
    </row>
    <row r="1675" spans="1:36" x14ac:dyDescent="0.25">
      <c r="A1675" s="325" t="str">
        <f>CONCATENATE("P",'906MP'!M1375)</f>
        <v>P</v>
      </c>
      <c r="B1675">
        <f>'906MP'!H1375</f>
        <v>0</v>
      </c>
      <c r="C1675">
        <f>'906MP'!J1375</f>
        <v>0</v>
      </c>
      <c r="D1675">
        <f>'906MP'!P1375</f>
        <v>0</v>
      </c>
      <c r="E1675">
        <f>'906MP'!X1375</f>
        <v>0</v>
      </c>
      <c r="F1675" t="str">
        <f t="shared" si="504"/>
        <v>0</v>
      </c>
      <c r="G1675" t="str">
        <f t="shared" si="505"/>
        <v>0</v>
      </c>
      <c r="H1675">
        <f>'906MP'!Y1375</f>
        <v>0</v>
      </c>
      <c r="I1675">
        <f>'906MP'!AK1375</f>
        <v>0</v>
      </c>
      <c r="J1675">
        <f>'906MP'!T1375</f>
        <v>0</v>
      </c>
      <c r="K1675">
        <f>'906MP'!AJ1375</f>
        <v>0</v>
      </c>
      <c r="L1675">
        <f>'906MP'!U1375</f>
        <v>0</v>
      </c>
      <c r="M1675" s="322" t="str">
        <f>IFERROR(VLOOKUP(A1675,PAR!$D$3:$E$53,2,FALSE),"nincs szervezet")</f>
        <v>nincs szervezet</v>
      </c>
      <c r="N1675" s="322" t="str">
        <f>VLOOKUP(F1675,PAR!$R$3:$S$5,2,FALSE)</f>
        <v>3 - egyik sem</v>
      </c>
      <c r="O1675" t="str">
        <f>IFERROR(VLOOKUP(J1675,PAR!$O$3:$P$5,2,FALSE),"nincs feladat")</f>
        <v>nincs feladat</v>
      </c>
      <c r="P1675" t="str">
        <f>IFERROR(VLOOKUP(G1675,PAR!$J$2:$M$19,4),"nincs rovat")</f>
        <v>nincs rovat</v>
      </c>
      <c r="Q1675" t="str">
        <f>IF(H1675&gt;0,VLOOKUP(H1675,PAR!$AA$3:$AC$187,3,FALSE),"nincs főkönyvi számla")</f>
        <v>nincs főkönyvi számla</v>
      </c>
      <c r="R1675" t="str">
        <f>IFERROR(VLOOKUP(K1675,PAR!$V$3:$X$438,3,FALSE),"000000 - Nincs COFOG")</f>
        <v>000000 - Nincs COFOG</v>
      </c>
      <c r="S1675">
        <f t="shared" si="506"/>
        <v>0</v>
      </c>
      <c r="T1675">
        <f t="shared" si="507"/>
        <v>0</v>
      </c>
      <c r="U1675" t="str">
        <f>IF('906MP'!J1375&gt;0,CONCATENATE('906MP'!J1375," - ",'906MP'!P1375,", ",'906MP'!E1375),"nincs megjegyzés")</f>
        <v>nincs megjegyzés</v>
      </c>
      <c r="V1675" t="str">
        <f t="shared" si="494"/>
        <v>0P0</v>
      </c>
      <c r="W1675" t="str">
        <f t="shared" si="495"/>
        <v>0P0</v>
      </c>
      <c r="X1675" t="str">
        <f t="shared" si="496"/>
        <v>P0</v>
      </c>
      <c r="Y1675" t="str">
        <f t="shared" si="497"/>
        <v>00</v>
      </c>
      <c r="Z1675" t="str">
        <f t="shared" si="508"/>
        <v>00</v>
      </c>
      <c r="AA1675" t="str">
        <f t="shared" si="498"/>
        <v>00</v>
      </c>
      <c r="AB1675" t="str">
        <f t="shared" si="499"/>
        <v>00</v>
      </c>
      <c r="AC1675" t="str">
        <f t="shared" si="500"/>
        <v>0P0</v>
      </c>
      <c r="AD1675" t="str">
        <f t="shared" si="501"/>
        <v>P00</v>
      </c>
      <c r="AE1675" t="str">
        <f t="shared" si="502"/>
        <v>0P0</v>
      </c>
      <c r="AF1675" t="str">
        <f t="shared" si="503"/>
        <v>P00</v>
      </c>
      <c r="AG1675" t="str">
        <f t="shared" si="509"/>
        <v>0P00</v>
      </c>
      <c r="AH1675" t="str">
        <f t="shared" si="510"/>
        <v>P000</v>
      </c>
      <c r="AI1675" t="str">
        <f t="shared" si="511"/>
        <v>0P00</v>
      </c>
      <c r="AJ1675" t="str">
        <f t="shared" si="512"/>
        <v>P000</v>
      </c>
    </row>
    <row r="1676" spans="1:36" x14ac:dyDescent="0.25">
      <c r="A1676" s="325" t="str">
        <f>CONCATENATE("P",'906MP'!M1376)</f>
        <v>P</v>
      </c>
      <c r="B1676">
        <f>'906MP'!H1376</f>
        <v>0</v>
      </c>
      <c r="C1676">
        <f>'906MP'!J1376</f>
        <v>0</v>
      </c>
      <c r="D1676">
        <f>'906MP'!P1376</f>
        <v>0</v>
      </c>
      <c r="E1676">
        <f>'906MP'!X1376</f>
        <v>0</v>
      </c>
      <c r="F1676" t="str">
        <f t="shared" si="504"/>
        <v>0</v>
      </c>
      <c r="G1676" t="str">
        <f t="shared" si="505"/>
        <v>0</v>
      </c>
      <c r="H1676">
        <f>'906MP'!Y1376</f>
        <v>0</v>
      </c>
      <c r="I1676">
        <f>'906MP'!AK1376</f>
        <v>0</v>
      </c>
      <c r="J1676">
        <f>'906MP'!T1376</f>
        <v>0</v>
      </c>
      <c r="K1676">
        <f>'906MP'!AJ1376</f>
        <v>0</v>
      </c>
      <c r="L1676">
        <f>'906MP'!U1376</f>
        <v>0</v>
      </c>
      <c r="M1676" s="322" t="str">
        <f>IFERROR(VLOOKUP(A1676,PAR!$D$3:$E$53,2,FALSE),"nincs szervezet")</f>
        <v>nincs szervezet</v>
      </c>
      <c r="N1676" s="322" t="str">
        <f>VLOOKUP(F1676,PAR!$R$3:$S$5,2,FALSE)</f>
        <v>3 - egyik sem</v>
      </c>
      <c r="O1676" t="str">
        <f>IFERROR(VLOOKUP(J1676,PAR!$O$3:$P$5,2,FALSE),"nincs feladat")</f>
        <v>nincs feladat</v>
      </c>
      <c r="P1676" t="str">
        <f>IFERROR(VLOOKUP(G1676,PAR!$J$2:$M$19,4),"nincs rovat")</f>
        <v>nincs rovat</v>
      </c>
      <c r="Q1676" t="str">
        <f>IF(H1676&gt;0,VLOOKUP(H1676,PAR!$AA$3:$AC$187,3,FALSE),"nincs főkönyvi számla")</f>
        <v>nincs főkönyvi számla</v>
      </c>
      <c r="R1676" t="str">
        <f>IFERROR(VLOOKUP(K1676,PAR!$V$3:$X$438,3,FALSE),"000000 - Nincs COFOG")</f>
        <v>000000 - Nincs COFOG</v>
      </c>
      <c r="S1676">
        <f t="shared" si="506"/>
        <v>0</v>
      </c>
      <c r="T1676">
        <f t="shared" si="507"/>
        <v>0</v>
      </c>
      <c r="U1676" t="str">
        <f>IF('906MP'!J1376&gt;0,CONCATENATE('906MP'!J1376," - ",'906MP'!P1376,", ",'906MP'!E1376),"nincs megjegyzés")</f>
        <v>nincs megjegyzés</v>
      </c>
      <c r="V1676" t="str">
        <f t="shared" si="494"/>
        <v>0P0</v>
      </c>
      <c r="W1676" t="str">
        <f t="shared" si="495"/>
        <v>0P0</v>
      </c>
      <c r="X1676" t="str">
        <f t="shared" si="496"/>
        <v>P0</v>
      </c>
      <c r="Y1676" t="str">
        <f t="shared" si="497"/>
        <v>00</v>
      </c>
      <c r="Z1676" t="str">
        <f t="shared" si="508"/>
        <v>00</v>
      </c>
      <c r="AA1676" t="str">
        <f t="shared" si="498"/>
        <v>00</v>
      </c>
      <c r="AB1676" t="str">
        <f t="shared" si="499"/>
        <v>00</v>
      </c>
      <c r="AC1676" t="str">
        <f t="shared" si="500"/>
        <v>0P0</v>
      </c>
      <c r="AD1676" t="str">
        <f t="shared" si="501"/>
        <v>P00</v>
      </c>
      <c r="AE1676" t="str">
        <f t="shared" si="502"/>
        <v>0P0</v>
      </c>
      <c r="AF1676" t="str">
        <f t="shared" si="503"/>
        <v>P00</v>
      </c>
      <c r="AG1676" t="str">
        <f t="shared" si="509"/>
        <v>0P00</v>
      </c>
      <c r="AH1676" t="str">
        <f t="shared" si="510"/>
        <v>P000</v>
      </c>
      <c r="AI1676" t="str">
        <f t="shared" si="511"/>
        <v>0P00</v>
      </c>
      <c r="AJ1676" t="str">
        <f t="shared" si="512"/>
        <v>P000</v>
      </c>
    </row>
    <row r="1677" spans="1:36" x14ac:dyDescent="0.25">
      <c r="A1677" s="325" t="str">
        <f>CONCATENATE("P",'906MP'!M1377)</f>
        <v>P</v>
      </c>
      <c r="B1677">
        <f>'906MP'!H1377</f>
        <v>0</v>
      </c>
      <c r="C1677">
        <f>'906MP'!J1377</f>
        <v>0</v>
      </c>
      <c r="D1677">
        <f>'906MP'!P1377</f>
        <v>0</v>
      </c>
      <c r="E1677">
        <f>'906MP'!X1377</f>
        <v>0</v>
      </c>
      <c r="F1677" t="str">
        <f t="shared" si="504"/>
        <v>0</v>
      </c>
      <c r="G1677" t="str">
        <f t="shared" si="505"/>
        <v>0</v>
      </c>
      <c r="H1677">
        <f>'906MP'!Y1377</f>
        <v>0</v>
      </c>
      <c r="I1677">
        <f>'906MP'!AK1377</f>
        <v>0</v>
      </c>
      <c r="J1677">
        <f>'906MP'!T1377</f>
        <v>0</v>
      </c>
      <c r="K1677">
        <f>'906MP'!AJ1377</f>
        <v>0</v>
      </c>
      <c r="L1677">
        <f>'906MP'!U1377</f>
        <v>0</v>
      </c>
      <c r="M1677" s="322" t="str">
        <f>IFERROR(VLOOKUP(A1677,PAR!$D$3:$E$53,2,FALSE),"nincs szervezet")</f>
        <v>nincs szervezet</v>
      </c>
      <c r="N1677" s="322" t="str">
        <f>VLOOKUP(F1677,PAR!$R$3:$S$5,2,FALSE)</f>
        <v>3 - egyik sem</v>
      </c>
      <c r="O1677" t="str">
        <f>IFERROR(VLOOKUP(J1677,PAR!$O$3:$P$5,2,FALSE),"nincs feladat")</f>
        <v>nincs feladat</v>
      </c>
      <c r="P1677" t="str">
        <f>IFERROR(VLOOKUP(G1677,PAR!$J$2:$M$19,4),"nincs rovat")</f>
        <v>nincs rovat</v>
      </c>
      <c r="Q1677" t="str">
        <f>IF(H1677&gt;0,VLOOKUP(H1677,PAR!$AA$3:$AC$187,3,FALSE),"nincs főkönyvi számla")</f>
        <v>nincs főkönyvi számla</v>
      </c>
      <c r="R1677" t="str">
        <f>IFERROR(VLOOKUP(K1677,PAR!$V$3:$X$438,3,FALSE),"000000 - Nincs COFOG")</f>
        <v>000000 - Nincs COFOG</v>
      </c>
      <c r="S1677">
        <f t="shared" si="506"/>
        <v>0</v>
      </c>
      <c r="T1677">
        <f t="shared" si="507"/>
        <v>0</v>
      </c>
      <c r="U1677" t="str">
        <f>IF('906MP'!J1377&gt;0,CONCATENATE('906MP'!J1377," - ",'906MP'!P1377,", ",'906MP'!E1377),"nincs megjegyzés")</f>
        <v>nincs megjegyzés</v>
      </c>
      <c r="V1677" t="str">
        <f t="shared" si="494"/>
        <v>0P0</v>
      </c>
      <c r="W1677" t="str">
        <f t="shared" si="495"/>
        <v>0P0</v>
      </c>
      <c r="X1677" t="str">
        <f t="shared" si="496"/>
        <v>P0</v>
      </c>
      <c r="Y1677" t="str">
        <f t="shared" si="497"/>
        <v>00</v>
      </c>
      <c r="Z1677" t="str">
        <f t="shared" si="508"/>
        <v>00</v>
      </c>
      <c r="AA1677" t="str">
        <f t="shared" si="498"/>
        <v>00</v>
      </c>
      <c r="AB1677" t="str">
        <f t="shared" si="499"/>
        <v>00</v>
      </c>
      <c r="AC1677" t="str">
        <f t="shared" si="500"/>
        <v>0P0</v>
      </c>
      <c r="AD1677" t="str">
        <f t="shared" si="501"/>
        <v>P00</v>
      </c>
      <c r="AE1677" t="str">
        <f t="shared" si="502"/>
        <v>0P0</v>
      </c>
      <c r="AF1677" t="str">
        <f t="shared" si="503"/>
        <v>P00</v>
      </c>
      <c r="AG1677" t="str">
        <f t="shared" si="509"/>
        <v>0P00</v>
      </c>
      <c r="AH1677" t="str">
        <f t="shared" si="510"/>
        <v>P000</v>
      </c>
      <c r="AI1677" t="str">
        <f t="shared" si="511"/>
        <v>0P00</v>
      </c>
      <c r="AJ1677" t="str">
        <f t="shared" si="512"/>
        <v>P000</v>
      </c>
    </row>
    <row r="1678" spans="1:36" x14ac:dyDescent="0.25">
      <c r="A1678" s="325" t="str">
        <f>CONCATENATE("P",'906MP'!M1378)</f>
        <v>P</v>
      </c>
      <c r="B1678">
        <f>'906MP'!H1378</f>
        <v>0</v>
      </c>
      <c r="C1678">
        <f>'906MP'!J1378</f>
        <v>0</v>
      </c>
      <c r="D1678">
        <f>'906MP'!P1378</f>
        <v>0</v>
      </c>
      <c r="E1678">
        <f>'906MP'!X1378</f>
        <v>0</v>
      </c>
      <c r="F1678" t="str">
        <f t="shared" si="504"/>
        <v>0</v>
      </c>
      <c r="G1678" t="str">
        <f t="shared" si="505"/>
        <v>0</v>
      </c>
      <c r="H1678">
        <f>'906MP'!Y1378</f>
        <v>0</v>
      </c>
      <c r="I1678">
        <f>'906MP'!AK1378</f>
        <v>0</v>
      </c>
      <c r="J1678">
        <f>'906MP'!T1378</f>
        <v>0</v>
      </c>
      <c r="K1678">
        <f>'906MP'!AJ1378</f>
        <v>0</v>
      </c>
      <c r="L1678">
        <f>'906MP'!U1378</f>
        <v>0</v>
      </c>
      <c r="M1678" s="322" t="str">
        <f>IFERROR(VLOOKUP(A1678,PAR!$D$3:$E$53,2,FALSE),"nincs szervezet")</f>
        <v>nincs szervezet</v>
      </c>
      <c r="N1678" s="322" t="str">
        <f>VLOOKUP(F1678,PAR!$R$3:$S$5,2,FALSE)</f>
        <v>3 - egyik sem</v>
      </c>
      <c r="O1678" t="str">
        <f>IFERROR(VLOOKUP(J1678,PAR!$O$3:$P$5,2,FALSE),"nincs feladat")</f>
        <v>nincs feladat</v>
      </c>
      <c r="P1678" t="str">
        <f>IFERROR(VLOOKUP(G1678,PAR!$J$2:$M$19,4),"nincs rovat")</f>
        <v>nincs rovat</v>
      </c>
      <c r="Q1678" t="str">
        <f>IF(H1678&gt;0,VLOOKUP(H1678,PAR!$AA$3:$AC$187,3,FALSE),"nincs főkönyvi számla")</f>
        <v>nincs főkönyvi számla</v>
      </c>
      <c r="R1678" t="str">
        <f>IFERROR(VLOOKUP(K1678,PAR!$V$3:$X$438,3,FALSE),"000000 - Nincs COFOG")</f>
        <v>000000 - Nincs COFOG</v>
      </c>
      <c r="S1678">
        <f t="shared" si="506"/>
        <v>0</v>
      </c>
      <c r="T1678">
        <f t="shared" si="507"/>
        <v>0</v>
      </c>
      <c r="U1678" t="str">
        <f>IF('906MP'!J1378&gt;0,CONCATENATE('906MP'!J1378," - ",'906MP'!P1378,", ",'906MP'!E1378),"nincs megjegyzés")</f>
        <v>nincs megjegyzés</v>
      </c>
      <c r="V1678" t="str">
        <f t="shared" si="494"/>
        <v>0P0</v>
      </c>
      <c r="W1678" t="str">
        <f t="shared" si="495"/>
        <v>0P0</v>
      </c>
      <c r="X1678" t="str">
        <f t="shared" si="496"/>
        <v>P0</v>
      </c>
      <c r="Y1678" t="str">
        <f t="shared" si="497"/>
        <v>00</v>
      </c>
      <c r="Z1678" t="str">
        <f t="shared" si="508"/>
        <v>00</v>
      </c>
      <c r="AA1678" t="str">
        <f t="shared" si="498"/>
        <v>00</v>
      </c>
      <c r="AB1678" t="str">
        <f t="shared" si="499"/>
        <v>00</v>
      </c>
      <c r="AC1678" t="str">
        <f t="shared" si="500"/>
        <v>0P0</v>
      </c>
      <c r="AD1678" t="str">
        <f t="shared" si="501"/>
        <v>P00</v>
      </c>
      <c r="AE1678" t="str">
        <f t="shared" si="502"/>
        <v>0P0</v>
      </c>
      <c r="AF1678" t="str">
        <f t="shared" si="503"/>
        <v>P00</v>
      </c>
      <c r="AG1678" t="str">
        <f t="shared" si="509"/>
        <v>0P00</v>
      </c>
      <c r="AH1678" t="str">
        <f t="shared" si="510"/>
        <v>P000</v>
      </c>
      <c r="AI1678" t="str">
        <f t="shared" si="511"/>
        <v>0P00</v>
      </c>
      <c r="AJ1678" t="str">
        <f t="shared" si="512"/>
        <v>P000</v>
      </c>
    </row>
    <row r="1679" spans="1:36" x14ac:dyDescent="0.25">
      <c r="A1679" s="325" t="str">
        <f>CONCATENATE("P",'906MP'!M1379)</f>
        <v>P</v>
      </c>
      <c r="B1679">
        <f>'906MP'!H1379</f>
        <v>0</v>
      </c>
      <c r="C1679">
        <f>'906MP'!J1379</f>
        <v>0</v>
      </c>
      <c r="D1679">
        <f>'906MP'!P1379</f>
        <v>0</v>
      </c>
      <c r="E1679">
        <f>'906MP'!X1379</f>
        <v>0</v>
      </c>
      <c r="F1679" t="str">
        <f t="shared" si="504"/>
        <v>0</v>
      </c>
      <c r="G1679" t="str">
        <f t="shared" si="505"/>
        <v>0</v>
      </c>
      <c r="H1679">
        <f>'906MP'!Y1379</f>
        <v>0</v>
      </c>
      <c r="I1679">
        <f>'906MP'!AK1379</f>
        <v>0</v>
      </c>
      <c r="J1679">
        <f>'906MP'!T1379</f>
        <v>0</v>
      </c>
      <c r="K1679">
        <f>'906MP'!AJ1379</f>
        <v>0</v>
      </c>
      <c r="L1679">
        <f>'906MP'!U1379</f>
        <v>0</v>
      </c>
      <c r="M1679" s="322" t="str">
        <f>IFERROR(VLOOKUP(A1679,PAR!$D$3:$E$53,2,FALSE),"nincs szervezet")</f>
        <v>nincs szervezet</v>
      </c>
      <c r="N1679" s="322" t="str">
        <f>VLOOKUP(F1679,PAR!$R$3:$S$5,2,FALSE)</f>
        <v>3 - egyik sem</v>
      </c>
      <c r="O1679" t="str">
        <f>IFERROR(VLOOKUP(J1679,PAR!$O$3:$P$5,2,FALSE),"nincs feladat")</f>
        <v>nincs feladat</v>
      </c>
      <c r="P1679" t="str">
        <f>IFERROR(VLOOKUP(G1679,PAR!$J$2:$M$19,4),"nincs rovat")</f>
        <v>nincs rovat</v>
      </c>
      <c r="Q1679" t="str">
        <f>IF(H1679&gt;0,VLOOKUP(H1679,PAR!$AA$3:$AC$187,3,FALSE),"nincs főkönyvi számla")</f>
        <v>nincs főkönyvi számla</v>
      </c>
      <c r="R1679" t="str">
        <f>IFERROR(VLOOKUP(K1679,PAR!$V$3:$X$438,3,FALSE),"000000 - Nincs COFOG")</f>
        <v>000000 - Nincs COFOG</v>
      </c>
      <c r="S1679">
        <f t="shared" si="506"/>
        <v>0</v>
      </c>
      <c r="T1679">
        <f t="shared" si="507"/>
        <v>0</v>
      </c>
      <c r="U1679" t="str">
        <f>IF('906MP'!J1379&gt;0,CONCATENATE('906MP'!J1379," - ",'906MP'!P1379,", ",'906MP'!E1379),"nincs megjegyzés")</f>
        <v>nincs megjegyzés</v>
      </c>
      <c r="V1679" t="str">
        <f t="shared" si="494"/>
        <v>0P0</v>
      </c>
      <c r="W1679" t="str">
        <f t="shared" si="495"/>
        <v>0P0</v>
      </c>
      <c r="X1679" t="str">
        <f t="shared" si="496"/>
        <v>P0</v>
      </c>
      <c r="Y1679" t="str">
        <f t="shared" si="497"/>
        <v>00</v>
      </c>
      <c r="Z1679" t="str">
        <f t="shared" si="508"/>
        <v>00</v>
      </c>
      <c r="AA1679" t="str">
        <f t="shared" si="498"/>
        <v>00</v>
      </c>
      <c r="AB1679" t="str">
        <f t="shared" si="499"/>
        <v>00</v>
      </c>
      <c r="AC1679" t="str">
        <f t="shared" si="500"/>
        <v>0P0</v>
      </c>
      <c r="AD1679" t="str">
        <f t="shared" si="501"/>
        <v>P00</v>
      </c>
      <c r="AE1679" t="str">
        <f t="shared" si="502"/>
        <v>0P0</v>
      </c>
      <c r="AF1679" t="str">
        <f t="shared" si="503"/>
        <v>P00</v>
      </c>
      <c r="AG1679" t="str">
        <f t="shared" si="509"/>
        <v>0P00</v>
      </c>
      <c r="AH1679" t="str">
        <f t="shared" si="510"/>
        <v>P000</v>
      </c>
      <c r="AI1679" t="str">
        <f t="shared" si="511"/>
        <v>0P00</v>
      </c>
      <c r="AJ1679" t="str">
        <f t="shared" si="512"/>
        <v>P000</v>
      </c>
    </row>
    <row r="1680" spans="1:36" x14ac:dyDescent="0.25">
      <c r="A1680" s="325" t="str">
        <f>CONCATENATE("P",'906MP'!M1380)</f>
        <v>P</v>
      </c>
      <c r="B1680">
        <f>'906MP'!H1380</f>
        <v>0</v>
      </c>
      <c r="C1680">
        <f>'906MP'!J1380</f>
        <v>0</v>
      </c>
      <c r="D1680">
        <f>'906MP'!P1380</f>
        <v>0</v>
      </c>
      <c r="E1680">
        <f>'906MP'!X1380</f>
        <v>0</v>
      </c>
      <c r="F1680" t="str">
        <f t="shared" si="504"/>
        <v>0</v>
      </c>
      <c r="G1680" t="str">
        <f t="shared" si="505"/>
        <v>0</v>
      </c>
      <c r="H1680">
        <f>'906MP'!Y1380</f>
        <v>0</v>
      </c>
      <c r="I1680">
        <f>'906MP'!AK1380</f>
        <v>0</v>
      </c>
      <c r="J1680">
        <f>'906MP'!T1380</f>
        <v>0</v>
      </c>
      <c r="K1680">
        <f>'906MP'!AJ1380</f>
        <v>0</v>
      </c>
      <c r="L1680">
        <f>'906MP'!U1380</f>
        <v>0</v>
      </c>
      <c r="M1680" s="322" t="str">
        <f>IFERROR(VLOOKUP(A1680,PAR!$D$3:$E$53,2,FALSE),"nincs szervezet")</f>
        <v>nincs szervezet</v>
      </c>
      <c r="N1680" s="322" t="str">
        <f>VLOOKUP(F1680,PAR!$R$3:$S$5,2,FALSE)</f>
        <v>3 - egyik sem</v>
      </c>
      <c r="O1680" t="str">
        <f>IFERROR(VLOOKUP(J1680,PAR!$O$3:$P$5,2,FALSE),"nincs feladat")</f>
        <v>nincs feladat</v>
      </c>
      <c r="P1680" t="str">
        <f>IFERROR(VLOOKUP(G1680,PAR!$J$2:$M$19,4),"nincs rovat")</f>
        <v>nincs rovat</v>
      </c>
      <c r="Q1680" t="str">
        <f>IF(H1680&gt;0,VLOOKUP(H1680,PAR!$AA$3:$AC$187,3,FALSE),"nincs főkönyvi számla")</f>
        <v>nincs főkönyvi számla</v>
      </c>
      <c r="R1680" t="str">
        <f>IFERROR(VLOOKUP(K1680,PAR!$V$3:$X$438,3,FALSE),"000000 - Nincs COFOG")</f>
        <v>000000 - Nincs COFOG</v>
      </c>
      <c r="S1680">
        <f t="shared" si="506"/>
        <v>0</v>
      </c>
      <c r="T1680">
        <f t="shared" si="507"/>
        <v>0</v>
      </c>
      <c r="U1680" t="str">
        <f>IF('906MP'!J1380&gt;0,CONCATENATE('906MP'!J1380," - ",'906MP'!P1380,", ",'906MP'!E1380),"nincs megjegyzés")</f>
        <v>nincs megjegyzés</v>
      </c>
      <c r="V1680" t="str">
        <f t="shared" si="494"/>
        <v>0P0</v>
      </c>
      <c r="W1680" t="str">
        <f t="shared" si="495"/>
        <v>0P0</v>
      </c>
      <c r="X1680" t="str">
        <f t="shared" si="496"/>
        <v>P0</v>
      </c>
      <c r="Y1680" t="str">
        <f t="shared" si="497"/>
        <v>00</v>
      </c>
      <c r="Z1680" t="str">
        <f t="shared" si="508"/>
        <v>00</v>
      </c>
      <c r="AA1680" t="str">
        <f t="shared" si="498"/>
        <v>00</v>
      </c>
      <c r="AB1680" t="str">
        <f t="shared" si="499"/>
        <v>00</v>
      </c>
      <c r="AC1680" t="str">
        <f t="shared" si="500"/>
        <v>0P0</v>
      </c>
      <c r="AD1680" t="str">
        <f t="shared" si="501"/>
        <v>P00</v>
      </c>
      <c r="AE1680" t="str">
        <f t="shared" si="502"/>
        <v>0P0</v>
      </c>
      <c r="AF1680" t="str">
        <f t="shared" si="503"/>
        <v>P00</v>
      </c>
      <c r="AG1680" t="str">
        <f t="shared" si="509"/>
        <v>0P00</v>
      </c>
      <c r="AH1680" t="str">
        <f t="shared" si="510"/>
        <v>P000</v>
      </c>
      <c r="AI1680" t="str">
        <f t="shared" si="511"/>
        <v>0P00</v>
      </c>
      <c r="AJ1680" t="str">
        <f t="shared" si="512"/>
        <v>P000</v>
      </c>
    </row>
    <row r="1681" spans="1:36" x14ac:dyDescent="0.25">
      <c r="A1681" s="325" t="str">
        <f>CONCATENATE("P",'906MP'!M1381)</f>
        <v>P</v>
      </c>
      <c r="B1681">
        <f>'906MP'!H1381</f>
        <v>0</v>
      </c>
      <c r="C1681">
        <f>'906MP'!J1381</f>
        <v>0</v>
      </c>
      <c r="D1681">
        <f>'906MP'!P1381</f>
        <v>0</v>
      </c>
      <c r="E1681">
        <f>'906MP'!X1381</f>
        <v>0</v>
      </c>
      <c r="F1681" t="str">
        <f t="shared" si="504"/>
        <v>0</v>
      </c>
      <c r="G1681" t="str">
        <f t="shared" si="505"/>
        <v>0</v>
      </c>
      <c r="H1681">
        <f>'906MP'!Y1381</f>
        <v>0</v>
      </c>
      <c r="I1681">
        <f>'906MP'!AK1381</f>
        <v>0</v>
      </c>
      <c r="J1681">
        <f>'906MP'!T1381</f>
        <v>0</v>
      </c>
      <c r="K1681">
        <f>'906MP'!AJ1381</f>
        <v>0</v>
      </c>
      <c r="L1681">
        <f>'906MP'!U1381</f>
        <v>0</v>
      </c>
      <c r="M1681" s="322" t="str">
        <f>IFERROR(VLOOKUP(A1681,PAR!$D$3:$E$53,2,FALSE),"nincs szervezet")</f>
        <v>nincs szervezet</v>
      </c>
      <c r="N1681" s="322" t="str">
        <f>VLOOKUP(F1681,PAR!$R$3:$S$5,2,FALSE)</f>
        <v>3 - egyik sem</v>
      </c>
      <c r="O1681" t="str">
        <f>IFERROR(VLOOKUP(J1681,PAR!$O$3:$P$5,2,FALSE),"nincs feladat")</f>
        <v>nincs feladat</v>
      </c>
      <c r="P1681" t="str">
        <f>IFERROR(VLOOKUP(G1681,PAR!$J$2:$M$19,4),"nincs rovat")</f>
        <v>nincs rovat</v>
      </c>
      <c r="Q1681" t="str">
        <f>IF(H1681&gt;0,VLOOKUP(H1681,PAR!$AA$3:$AC$187,3,FALSE),"nincs főkönyvi számla")</f>
        <v>nincs főkönyvi számla</v>
      </c>
      <c r="R1681" t="str">
        <f>IFERROR(VLOOKUP(K1681,PAR!$V$3:$X$438,3,FALSE),"000000 - Nincs COFOG")</f>
        <v>000000 - Nincs COFOG</v>
      </c>
      <c r="S1681">
        <f t="shared" si="506"/>
        <v>0</v>
      </c>
      <c r="T1681">
        <f t="shared" si="507"/>
        <v>0</v>
      </c>
      <c r="U1681" t="str">
        <f>IF('906MP'!J1381&gt;0,CONCATENATE('906MP'!J1381," - ",'906MP'!P1381,", ",'906MP'!E1381),"nincs megjegyzés")</f>
        <v>nincs megjegyzés</v>
      </c>
      <c r="V1681" t="str">
        <f t="shared" si="494"/>
        <v>0P0</v>
      </c>
      <c r="W1681" t="str">
        <f t="shared" si="495"/>
        <v>0P0</v>
      </c>
      <c r="X1681" t="str">
        <f t="shared" si="496"/>
        <v>P0</v>
      </c>
      <c r="Y1681" t="str">
        <f t="shared" si="497"/>
        <v>00</v>
      </c>
      <c r="Z1681" t="str">
        <f t="shared" si="508"/>
        <v>00</v>
      </c>
      <c r="AA1681" t="str">
        <f t="shared" si="498"/>
        <v>00</v>
      </c>
      <c r="AB1681" t="str">
        <f t="shared" si="499"/>
        <v>00</v>
      </c>
      <c r="AC1681" t="str">
        <f t="shared" si="500"/>
        <v>0P0</v>
      </c>
      <c r="AD1681" t="str">
        <f t="shared" si="501"/>
        <v>P00</v>
      </c>
      <c r="AE1681" t="str">
        <f t="shared" si="502"/>
        <v>0P0</v>
      </c>
      <c r="AF1681" t="str">
        <f t="shared" si="503"/>
        <v>P00</v>
      </c>
      <c r="AG1681" t="str">
        <f t="shared" si="509"/>
        <v>0P00</v>
      </c>
      <c r="AH1681" t="str">
        <f t="shared" si="510"/>
        <v>P000</v>
      </c>
      <c r="AI1681" t="str">
        <f t="shared" si="511"/>
        <v>0P00</v>
      </c>
      <c r="AJ1681" t="str">
        <f t="shared" si="512"/>
        <v>P000</v>
      </c>
    </row>
    <row r="1682" spans="1:36" x14ac:dyDescent="0.25">
      <c r="A1682" s="325" t="str">
        <f>CONCATENATE("P",'906MP'!M1382)</f>
        <v>P</v>
      </c>
      <c r="B1682">
        <f>'906MP'!H1382</f>
        <v>0</v>
      </c>
      <c r="C1682">
        <f>'906MP'!J1382</f>
        <v>0</v>
      </c>
      <c r="D1682">
        <f>'906MP'!P1382</f>
        <v>0</v>
      </c>
      <c r="E1682">
        <f>'906MP'!X1382</f>
        <v>0</v>
      </c>
      <c r="F1682" t="str">
        <f t="shared" si="504"/>
        <v>0</v>
      </c>
      <c r="G1682" t="str">
        <f t="shared" si="505"/>
        <v>0</v>
      </c>
      <c r="H1682">
        <f>'906MP'!Y1382</f>
        <v>0</v>
      </c>
      <c r="I1682">
        <f>'906MP'!AK1382</f>
        <v>0</v>
      </c>
      <c r="J1682">
        <f>'906MP'!T1382</f>
        <v>0</v>
      </c>
      <c r="K1682">
        <f>'906MP'!AJ1382</f>
        <v>0</v>
      </c>
      <c r="L1682">
        <f>'906MP'!U1382</f>
        <v>0</v>
      </c>
      <c r="M1682" s="322" t="str">
        <f>IFERROR(VLOOKUP(A1682,PAR!$D$3:$E$53,2,FALSE),"nincs szervezet")</f>
        <v>nincs szervezet</v>
      </c>
      <c r="N1682" s="322" t="str">
        <f>VLOOKUP(F1682,PAR!$R$3:$S$5,2,FALSE)</f>
        <v>3 - egyik sem</v>
      </c>
      <c r="O1682" t="str">
        <f>IFERROR(VLOOKUP(J1682,PAR!$O$3:$P$5,2,FALSE),"nincs feladat")</f>
        <v>nincs feladat</v>
      </c>
      <c r="P1682" t="str">
        <f>IFERROR(VLOOKUP(G1682,PAR!$J$2:$M$19,4),"nincs rovat")</f>
        <v>nincs rovat</v>
      </c>
      <c r="Q1682" t="str">
        <f>IF(H1682&gt;0,VLOOKUP(H1682,PAR!$AA$3:$AC$187,3,FALSE),"nincs főkönyvi számla")</f>
        <v>nincs főkönyvi számla</v>
      </c>
      <c r="R1682" t="str">
        <f>IFERROR(VLOOKUP(K1682,PAR!$V$3:$X$438,3,FALSE),"000000 - Nincs COFOG")</f>
        <v>000000 - Nincs COFOG</v>
      </c>
      <c r="S1682">
        <f t="shared" si="506"/>
        <v>0</v>
      </c>
      <c r="T1682">
        <f t="shared" si="507"/>
        <v>0</v>
      </c>
      <c r="U1682" t="str">
        <f>IF('906MP'!J1382&gt;0,CONCATENATE('906MP'!J1382," - ",'906MP'!P1382,", ",'906MP'!E1382),"nincs megjegyzés")</f>
        <v>nincs megjegyzés</v>
      </c>
      <c r="V1682" t="str">
        <f t="shared" si="494"/>
        <v>0P0</v>
      </c>
      <c r="W1682" t="str">
        <f t="shared" si="495"/>
        <v>0P0</v>
      </c>
      <c r="X1682" t="str">
        <f t="shared" si="496"/>
        <v>P0</v>
      </c>
      <c r="Y1682" t="str">
        <f t="shared" si="497"/>
        <v>00</v>
      </c>
      <c r="Z1682" t="str">
        <f t="shared" si="508"/>
        <v>00</v>
      </c>
      <c r="AA1682" t="str">
        <f t="shared" si="498"/>
        <v>00</v>
      </c>
      <c r="AB1682" t="str">
        <f t="shared" si="499"/>
        <v>00</v>
      </c>
      <c r="AC1682" t="str">
        <f t="shared" si="500"/>
        <v>0P0</v>
      </c>
      <c r="AD1682" t="str">
        <f t="shared" si="501"/>
        <v>P00</v>
      </c>
      <c r="AE1682" t="str">
        <f t="shared" si="502"/>
        <v>0P0</v>
      </c>
      <c r="AF1682" t="str">
        <f t="shared" si="503"/>
        <v>P00</v>
      </c>
      <c r="AG1682" t="str">
        <f t="shared" si="509"/>
        <v>0P00</v>
      </c>
      <c r="AH1682" t="str">
        <f t="shared" si="510"/>
        <v>P000</v>
      </c>
      <c r="AI1682" t="str">
        <f t="shared" si="511"/>
        <v>0P00</v>
      </c>
      <c r="AJ1682" t="str">
        <f t="shared" si="512"/>
        <v>P000</v>
      </c>
    </row>
    <row r="1683" spans="1:36" x14ac:dyDescent="0.25">
      <c r="A1683" s="325" t="str">
        <f>CONCATENATE("P",'906MP'!M1383)</f>
        <v>P</v>
      </c>
      <c r="B1683">
        <f>'906MP'!H1383</f>
        <v>0</v>
      </c>
      <c r="C1683">
        <f>'906MP'!J1383</f>
        <v>0</v>
      </c>
      <c r="D1683">
        <f>'906MP'!P1383</f>
        <v>0</v>
      </c>
      <c r="E1683">
        <f>'906MP'!X1383</f>
        <v>0</v>
      </c>
      <c r="F1683" t="str">
        <f t="shared" si="504"/>
        <v>0</v>
      </c>
      <c r="G1683" t="str">
        <f t="shared" si="505"/>
        <v>0</v>
      </c>
      <c r="H1683">
        <f>'906MP'!Y1383</f>
        <v>0</v>
      </c>
      <c r="I1683">
        <f>'906MP'!AK1383</f>
        <v>0</v>
      </c>
      <c r="J1683">
        <f>'906MP'!T1383</f>
        <v>0</v>
      </c>
      <c r="K1683">
        <f>'906MP'!AJ1383</f>
        <v>0</v>
      </c>
      <c r="L1683">
        <f>'906MP'!U1383</f>
        <v>0</v>
      </c>
      <c r="M1683" s="322" t="str">
        <f>IFERROR(VLOOKUP(A1683,PAR!$D$3:$E$53,2,FALSE),"nincs szervezet")</f>
        <v>nincs szervezet</v>
      </c>
      <c r="N1683" s="322" t="str">
        <f>VLOOKUP(F1683,PAR!$R$3:$S$5,2,FALSE)</f>
        <v>3 - egyik sem</v>
      </c>
      <c r="O1683" t="str">
        <f>IFERROR(VLOOKUP(J1683,PAR!$O$3:$P$5,2,FALSE),"nincs feladat")</f>
        <v>nincs feladat</v>
      </c>
      <c r="P1683" t="str">
        <f>IFERROR(VLOOKUP(G1683,PAR!$J$2:$M$19,4),"nincs rovat")</f>
        <v>nincs rovat</v>
      </c>
      <c r="Q1683" t="str">
        <f>IF(H1683&gt;0,VLOOKUP(H1683,PAR!$AA$3:$AC$187,3,FALSE),"nincs főkönyvi számla")</f>
        <v>nincs főkönyvi számla</v>
      </c>
      <c r="R1683" t="str">
        <f>IFERROR(VLOOKUP(K1683,PAR!$V$3:$X$438,3,FALSE),"000000 - Nincs COFOG")</f>
        <v>000000 - Nincs COFOG</v>
      </c>
      <c r="S1683">
        <f t="shared" si="506"/>
        <v>0</v>
      </c>
      <c r="T1683">
        <f t="shared" si="507"/>
        <v>0</v>
      </c>
      <c r="U1683" t="str">
        <f>IF('906MP'!J1383&gt;0,CONCATENATE('906MP'!J1383," - ",'906MP'!P1383,", ",'906MP'!E1383),"nincs megjegyzés")</f>
        <v>nincs megjegyzés</v>
      </c>
      <c r="V1683" t="str">
        <f t="shared" si="494"/>
        <v>0P0</v>
      </c>
      <c r="W1683" t="str">
        <f t="shared" si="495"/>
        <v>0P0</v>
      </c>
      <c r="X1683" t="str">
        <f t="shared" si="496"/>
        <v>P0</v>
      </c>
      <c r="Y1683" t="str">
        <f t="shared" si="497"/>
        <v>00</v>
      </c>
      <c r="Z1683" t="str">
        <f t="shared" si="508"/>
        <v>00</v>
      </c>
      <c r="AA1683" t="str">
        <f t="shared" si="498"/>
        <v>00</v>
      </c>
      <c r="AB1683" t="str">
        <f t="shared" si="499"/>
        <v>00</v>
      </c>
      <c r="AC1683" t="str">
        <f t="shared" si="500"/>
        <v>0P0</v>
      </c>
      <c r="AD1683" t="str">
        <f t="shared" si="501"/>
        <v>P00</v>
      </c>
      <c r="AE1683" t="str">
        <f t="shared" si="502"/>
        <v>0P0</v>
      </c>
      <c r="AF1683" t="str">
        <f t="shared" si="503"/>
        <v>P00</v>
      </c>
      <c r="AG1683" t="str">
        <f t="shared" si="509"/>
        <v>0P00</v>
      </c>
      <c r="AH1683" t="str">
        <f t="shared" si="510"/>
        <v>P000</v>
      </c>
      <c r="AI1683" t="str">
        <f t="shared" si="511"/>
        <v>0P00</v>
      </c>
      <c r="AJ1683" t="str">
        <f t="shared" si="512"/>
        <v>P000</v>
      </c>
    </row>
    <row r="1684" spans="1:36" x14ac:dyDescent="0.25">
      <c r="A1684" s="325" t="str">
        <f>CONCATENATE("P",'906MP'!M1384)</f>
        <v>P</v>
      </c>
      <c r="B1684">
        <f>'906MP'!H1384</f>
        <v>0</v>
      </c>
      <c r="C1684">
        <f>'906MP'!J1384</f>
        <v>0</v>
      </c>
      <c r="D1684">
        <f>'906MP'!P1384</f>
        <v>0</v>
      </c>
      <c r="E1684">
        <f>'906MP'!X1384</f>
        <v>0</v>
      </c>
      <c r="F1684" t="str">
        <f t="shared" si="504"/>
        <v>0</v>
      </c>
      <c r="G1684" t="str">
        <f t="shared" si="505"/>
        <v>0</v>
      </c>
      <c r="H1684">
        <f>'906MP'!Y1384</f>
        <v>0</v>
      </c>
      <c r="I1684">
        <f>'906MP'!AK1384</f>
        <v>0</v>
      </c>
      <c r="J1684">
        <f>'906MP'!T1384</f>
        <v>0</v>
      </c>
      <c r="K1684">
        <f>'906MP'!AJ1384</f>
        <v>0</v>
      </c>
      <c r="L1684">
        <f>'906MP'!U1384</f>
        <v>0</v>
      </c>
      <c r="M1684" s="322" t="str">
        <f>IFERROR(VLOOKUP(A1684,PAR!$D$3:$E$53,2,FALSE),"nincs szervezet")</f>
        <v>nincs szervezet</v>
      </c>
      <c r="N1684" s="322" t="str">
        <f>VLOOKUP(F1684,PAR!$R$3:$S$5,2,FALSE)</f>
        <v>3 - egyik sem</v>
      </c>
      <c r="O1684" t="str">
        <f>IFERROR(VLOOKUP(J1684,PAR!$O$3:$P$5,2,FALSE),"nincs feladat")</f>
        <v>nincs feladat</v>
      </c>
      <c r="P1684" t="str">
        <f>IFERROR(VLOOKUP(G1684,PAR!$J$2:$M$19,4),"nincs rovat")</f>
        <v>nincs rovat</v>
      </c>
      <c r="Q1684" t="str">
        <f>IF(H1684&gt;0,VLOOKUP(H1684,PAR!$AA$3:$AC$187,3,FALSE),"nincs főkönyvi számla")</f>
        <v>nincs főkönyvi számla</v>
      </c>
      <c r="R1684" t="str">
        <f>IFERROR(VLOOKUP(K1684,PAR!$V$3:$X$438,3,FALSE),"000000 - Nincs COFOG")</f>
        <v>000000 - Nincs COFOG</v>
      </c>
      <c r="S1684">
        <f t="shared" si="506"/>
        <v>0</v>
      </c>
      <c r="T1684">
        <f t="shared" si="507"/>
        <v>0</v>
      </c>
      <c r="U1684" t="str">
        <f>IF('906MP'!J1384&gt;0,CONCATENATE('906MP'!J1384," - ",'906MP'!P1384,", ",'906MP'!E1384),"nincs megjegyzés")</f>
        <v>nincs megjegyzés</v>
      </c>
      <c r="V1684" t="str">
        <f t="shared" si="494"/>
        <v>0P0</v>
      </c>
      <c r="W1684" t="str">
        <f t="shared" si="495"/>
        <v>0P0</v>
      </c>
      <c r="X1684" t="str">
        <f t="shared" si="496"/>
        <v>P0</v>
      </c>
      <c r="Y1684" t="str">
        <f t="shared" si="497"/>
        <v>00</v>
      </c>
      <c r="Z1684" t="str">
        <f t="shared" si="508"/>
        <v>00</v>
      </c>
      <c r="AA1684" t="str">
        <f t="shared" si="498"/>
        <v>00</v>
      </c>
      <c r="AB1684" t="str">
        <f t="shared" si="499"/>
        <v>00</v>
      </c>
      <c r="AC1684" t="str">
        <f t="shared" si="500"/>
        <v>0P0</v>
      </c>
      <c r="AD1684" t="str">
        <f t="shared" si="501"/>
        <v>P00</v>
      </c>
      <c r="AE1684" t="str">
        <f t="shared" si="502"/>
        <v>0P0</v>
      </c>
      <c r="AF1684" t="str">
        <f t="shared" si="503"/>
        <v>P00</v>
      </c>
      <c r="AG1684" t="str">
        <f t="shared" si="509"/>
        <v>0P00</v>
      </c>
      <c r="AH1684" t="str">
        <f t="shared" si="510"/>
        <v>P000</v>
      </c>
      <c r="AI1684" t="str">
        <f t="shared" si="511"/>
        <v>0P00</v>
      </c>
      <c r="AJ1684" t="str">
        <f t="shared" si="512"/>
        <v>P000</v>
      </c>
    </row>
    <row r="1685" spans="1:36" x14ac:dyDescent="0.25">
      <c r="A1685" s="325" t="str">
        <f>CONCATENATE("P",'906MP'!M1385)</f>
        <v>P</v>
      </c>
      <c r="B1685">
        <f>'906MP'!H1385</f>
        <v>0</v>
      </c>
      <c r="C1685">
        <f>'906MP'!J1385</f>
        <v>0</v>
      </c>
      <c r="D1685">
        <f>'906MP'!P1385</f>
        <v>0</v>
      </c>
      <c r="E1685">
        <f>'906MP'!X1385</f>
        <v>0</v>
      </c>
      <c r="F1685" t="str">
        <f t="shared" si="504"/>
        <v>0</v>
      </c>
      <c r="G1685" t="str">
        <f t="shared" si="505"/>
        <v>0</v>
      </c>
      <c r="H1685">
        <f>'906MP'!Y1385</f>
        <v>0</v>
      </c>
      <c r="I1685">
        <f>'906MP'!AK1385</f>
        <v>0</v>
      </c>
      <c r="J1685">
        <f>'906MP'!T1385</f>
        <v>0</v>
      </c>
      <c r="K1685">
        <f>'906MP'!AJ1385</f>
        <v>0</v>
      </c>
      <c r="L1685">
        <f>'906MP'!U1385</f>
        <v>0</v>
      </c>
      <c r="M1685" s="322" t="str">
        <f>IFERROR(VLOOKUP(A1685,PAR!$D$3:$E$53,2,FALSE),"nincs szervezet")</f>
        <v>nincs szervezet</v>
      </c>
      <c r="N1685" s="322" t="str">
        <f>VLOOKUP(F1685,PAR!$R$3:$S$5,2,FALSE)</f>
        <v>3 - egyik sem</v>
      </c>
      <c r="O1685" t="str">
        <f>IFERROR(VLOOKUP(J1685,PAR!$O$3:$P$5,2,FALSE),"nincs feladat")</f>
        <v>nincs feladat</v>
      </c>
      <c r="P1685" t="str">
        <f>IFERROR(VLOOKUP(G1685,PAR!$J$2:$M$19,4),"nincs rovat")</f>
        <v>nincs rovat</v>
      </c>
      <c r="Q1685" t="str">
        <f>IF(H1685&gt;0,VLOOKUP(H1685,PAR!$AA$3:$AC$187,3,FALSE),"nincs főkönyvi számla")</f>
        <v>nincs főkönyvi számla</v>
      </c>
      <c r="R1685" t="str">
        <f>IFERROR(VLOOKUP(K1685,PAR!$V$3:$X$438,3,FALSE),"000000 - Nincs COFOG")</f>
        <v>000000 - Nincs COFOG</v>
      </c>
      <c r="S1685">
        <f t="shared" si="506"/>
        <v>0</v>
      </c>
      <c r="T1685">
        <f t="shared" si="507"/>
        <v>0</v>
      </c>
      <c r="U1685" t="str">
        <f>IF('906MP'!J1385&gt;0,CONCATENATE('906MP'!J1385," - ",'906MP'!P1385,", ",'906MP'!E1385),"nincs megjegyzés")</f>
        <v>nincs megjegyzés</v>
      </c>
      <c r="V1685" t="str">
        <f t="shared" si="494"/>
        <v>0P0</v>
      </c>
      <c r="W1685" t="str">
        <f t="shared" si="495"/>
        <v>0P0</v>
      </c>
      <c r="X1685" t="str">
        <f t="shared" si="496"/>
        <v>P0</v>
      </c>
      <c r="Y1685" t="str">
        <f t="shared" si="497"/>
        <v>00</v>
      </c>
      <c r="Z1685" t="str">
        <f t="shared" si="508"/>
        <v>00</v>
      </c>
      <c r="AA1685" t="str">
        <f t="shared" si="498"/>
        <v>00</v>
      </c>
      <c r="AB1685" t="str">
        <f t="shared" si="499"/>
        <v>00</v>
      </c>
      <c r="AC1685" t="str">
        <f t="shared" si="500"/>
        <v>0P0</v>
      </c>
      <c r="AD1685" t="str">
        <f t="shared" si="501"/>
        <v>P00</v>
      </c>
      <c r="AE1685" t="str">
        <f t="shared" si="502"/>
        <v>0P0</v>
      </c>
      <c r="AF1685" t="str">
        <f t="shared" si="503"/>
        <v>P00</v>
      </c>
      <c r="AG1685" t="str">
        <f t="shared" si="509"/>
        <v>0P00</v>
      </c>
      <c r="AH1685" t="str">
        <f t="shared" si="510"/>
        <v>P000</v>
      </c>
      <c r="AI1685" t="str">
        <f t="shared" si="511"/>
        <v>0P00</v>
      </c>
      <c r="AJ1685" t="str">
        <f t="shared" si="512"/>
        <v>P000</v>
      </c>
    </row>
    <row r="1686" spans="1:36" x14ac:dyDescent="0.25">
      <c r="A1686" s="325" t="str">
        <f>CONCATENATE("P",'906MP'!M1386)</f>
        <v>P</v>
      </c>
      <c r="B1686">
        <f>'906MP'!H1386</f>
        <v>0</v>
      </c>
      <c r="C1686">
        <f>'906MP'!J1386</f>
        <v>0</v>
      </c>
      <c r="D1686">
        <f>'906MP'!P1386</f>
        <v>0</v>
      </c>
      <c r="E1686">
        <f>'906MP'!X1386</f>
        <v>0</v>
      </c>
      <c r="F1686" t="str">
        <f t="shared" si="504"/>
        <v>0</v>
      </c>
      <c r="G1686" t="str">
        <f t="shared" si="505"/>
        <v>0</v>
      </c>
      <c r="H1686">
        <f>'906MP'!Y1386</f>
        <v>0</v>
      </c>
      <c r="I1686">
        <f>'906MP'!AK1386</f>
        <v>0</v>
      </c>
      <c r="J1686">
        <f>'906MP'!T1386</f>
        <v>0</v>
      </c>
      <c r="K1686">
        <f>'906MP'!AJ1386</f>
        <v>0</v>
      </c>
      <c r="L1686">
        <f>'906MP'!U1386</f>
        <v>0</v>
      </c>
      <c r="M1686" s="322" t="str">
        <f>IFERROR(VLOOKUP(A1686,PAR!$D$3:$E$53,2,FALSE),"nincs szervezet")</f>
        <v>nincs szervezet</v>
      </c>
      <c r="N1686" s="322" t="str">
        <f>VLOOKUP(F1686,PAR!$R$3:$S$5,2,FALSE)</f>
        <v>3 - egyik sem</v>
      </c>
      <c r="O1686" t="str">
        <f>IFERROR(VLOOKUP(J1686,PAR!$O$3:$P$5,2,FALSE),"nincs feladat")</f>
        <v>nincs feladat</v>
      </c>
      <c r="P1686" t="str">
        <f>IFERROR(VLOOKUP(G1686,PAR!$J$2:$M$19,4),"nincs rovat")</f>
        <v>nincs rovat</v>
      </c>
      <c r="Q1686" t="str">
        <f>IF(H1686&gt;0,VLOOKUP(H1686,PAR!$AA$3:$AC$187,3,FALSE),"nincs főkönyvi számla")</f>
        <v>nincs főkönyvi számla</v>
      </c>
      <c r="R1686" t="str">
        <f>IFERROR(VLOOKUP(K1686,PAR!$V$3:$X$438,3,FALSE),"000000 - Nincs COFOG")</f>
        <v>000000 - Nincs COFOG</v>
      </c>
      <c r="S1686">
        <f t="shared" si="506"/>
        <v>0</v>
      </c>
      <c r="T1686">
        <f t="shared" si="507"/>
        <v>0</v>
      </c>
      <c r="U1686" t="str">
        <f>IF('906MP'!J1386&gt;0,CONCATENATE('906MP'!J1386," - ",'906MP'!P1386,", ",'906MP'!E1386),"nincs megjegyzés")</f>
        <v>nincs megjegyzés</v>
      </c>
      <c r="V1686" t="str">
        <f t="shared" si="494"/>
        <v>0P0</v>
      </c>
      <c r="W1686" t="str">
        <f t="shared" si="495"/>
        <v>0P0</v>
      </c>
      <c r="X1686" t="str">
        <f t="shared" si="496"/>
        <v>P0</v>
      </c>
      <c r="Y1686" t="str">
        <f t="shared" si="497"/>
        <v>00</v>
      </c>
      <c r="Z1686" t="str">
        <f t="shared" si="508"/>
        <v>00</v>
      </c>
      <c r="AA1686" t="str">
        <f t="shared" si="498"/>
        <v>00</v>
      </c>
      <c r="AB1686" t="str">
        <f t="shared" si="499"/>
        <v>00</v>
      </c>
      <c r="AC1686" t="str">
        <f t="shared" si="500"/>
        <v>0P0</v>
      </c>
      <c r="AD1686" t="str">
        <f t="shared" si="501"/>
        <v>P00</v>
      </c>
      <c r="AE1686" t="str">
        <f t="shared" si="502"/>
        <v>0P0</v>
      </c>
      <c r="AF1686" t="str">
        <f t="shared" si="503"/>
        <v>P00</v>
      </c>
      <c r="AG1686" t="str">
        <f t="shared" si="509"/>
        <v>0P00</v>
      </c>
      <c r="AH1686" t="str">
        <f t="shared" si="510"/>
        <v>P000</v>
      </c>
      <c r="AI1686" t="str">
        <f t="shared" si="511"/>
        <v>0P00</v>
      </c>
      <c r="AJ1686" t="str">
        <f t="shared" si="512"/>
        <v>P000</v>
      </c>
    </row>
    <row r="1687" spans="1:36" x14ac:dyDescent="0.25">
      <c r="A1687" s="325" t="str">
        <f>CONCATENATE("P",'906MP'!M1387)</f>
        <v>P</v>
      </c>
      <c r="B1687">
        <f>'906MP'!H1387</f>
        <v>0</v>
      </c>
      <c r="C1687">
        <f>'906MP'!J1387</f>
        <v>0</v>
      </c>
      <c r="D1687">
        <f>'906MP'!P1387</f>
        <v>0</v>
      </c>
      <c r="E1687">
        <f>'906MP'!X1387</f>
        <v>0</v>
      </c>
      <c r="F1687" t="str">
        <f t="shared" si="504"/>
        <v>0</v>
      </c>
      <c r="G1687" t="str">
        <f t="shared" si="505"/>
        <v>0</v>
      </c>
      <c r="H1687">
        <f>'906MP'!Y1387</f>
        <v>0</v>
      </c>
      <c r="I1687">
        <f>'906MP'!AK1387</f>
        <v>0</v>
      </c>
      <c r="J1687">
        <f>'906MP'!T1387</f>
        <v>0</v>
      </c>
      <c r="K1687">
        <f>'906MP'!AJ1387</f>
        <v>0</v>
      </c>
      <c r="L1687">
        <f>'906MP'!U1387</f>
        <v>0</v>
      </c>
      <c r="M1687" s="322" t="str">
        <f>IFERROR(VLOOKUP(A1687,PAR!$D$3:$E$53,2,FALSE),"nincs szervezet")</f>
        <v>nincs szervezet</v>
      </c>
      <c r="N1687" s="322" t="str">
        <f>VLOOKUP(F1687,PAR!$R$3:$S$5,2,FALSE)</f>
        <v>3 - egyik sem</v>
      </c>
      <c r="O1687" t="str">
        <f>IFERROR(VLOOKUP(J1687,PAR!$O$3:$P$5,2,FALSE),"nincs feladat")</f>
        <v>nincs feladat</v>
      </c>
      <c r="P1687" t="str">
        <f>IFERROR(VLOOKUP(G1687,PAR!$J$2:$M$19,4),"nincs rovat")</f>
        <v>nincs rovat</v>
      </c>
      <c r="Q1687" t="str">
        <f>IF(H1687&gt;0,VLOOKUP(H1687,PAR!$AA$3:$AC$187,3,FALSE),"nincs főkönyvi számla")</f>
        <v>nincs főkönyvi számla</v>
      </c>
      <c r="R1687" t="str">
        <f>IFERROR(VLOOKUP(K1687,PAR!$V$3:$X$438,3,FALSE),"000000 - Nincs COFOG")</f>
        <v>000000 - Nincs COFOG</v>
      </c>
      <c r="S1687">
        <f t="shared" si="506"/>
        <v>0</v>
      </c>
      <c r="T1687">
        <f t="shared" si="507"/>
        <v>0</v>
      </c>
      <c r="U1687" t="str">
        <f>IF('906MP'!J1387&gt;0,CONCATENATE('906MP'!J1387," - ",'906MP'!P1387,", ",'906MP'!E1387),"nincs megjegyzés")</f>
        <v>nincs megjegyzés</v>
      </c>
      <c r="V1687" t="str">
        <f t="shared" si="494"/>
        <v>0P0</v>
      </c>
      <c r="W1687" t="str">
        <f t="shared" si="495"/>
        <v>0P0</v>
      </c>
      <c r="X1687" t="str">
        <f t="shared" si="496"/>
        <v>P0</v>
      </c>
      <c r="Y1687" t="str">
        <f t="shared" si="497"/>
        <v>00</v>
      </c>
      <c r="Z1687" t="str">
        <f t="shared" si="508"/>
        <v>00</v>
      </c>
      <c r="AA1687" t="str">
        <f t="shared" si="498"/>
        <v>00</v>
      </c>
      <c r="AB1687" t="str">
        <f t="shared" si="499"/>
        <v>00</v>
      </c>
      <c r="AC1687" t="str">
        <f t="shared" si="500"/>
        <v>0P0</v>
      </c>
      <c r="AD1687" t="str">
        <f t="shared" si="501"/>
        <v>P00</v>
      </c>
      <c r="AE1687" t="str">
        <f t="shared" si="502"/>
        <v>0P0</v>
      </c>
      <c r="AF1687" t="str">
        <f t="shared" si="503"/>
        <v>P00</v>
      </c>
      <c r="AG1687" t="str">
        <f t="shared" si="509"/>
        <v>0P00</v>
      </c>
      <c r="AH1687" t="str">
        <f t="shared" si="510"/>
        <v>P000</v>
      </c>
      <c r="AI1687" t="str">
        <f t="shared" si="511"/>
        <v>0P00</v>
      </c>
      <c r="AJ1687" t="str">
        <f t="shared" si="512"/>
        <v>P000</v>
      </c>
    </row>
    <row r="1688" spans="1:36" x14ac:dyDescent="0.25">
      <c r="A1688" s="325" t="str">
        <f>CONCATENATE("P",'906MP'!M1388)</f>
        <v>P</v>
      </c>
      <c r="B1688">
        <f>'906MP'!H1388</f>
        <v>0</v>
      </c>
      <c r="C1688">
        <f>'906MP'!J1388</f>
        <v>0</v>
      </c>
      <c r="D1688">
        <f>'906MP'!P1388</f>
        <v>0</v>
      </c>
      <c r="E1688">
        <f>'906MP'!X1388</f>
        <v>0</v>
      </c>
      <c r="F1688" t="str">
        <f t="shared" si="504"/>
        <v>0</v>
      </c>
      <c r="G1688" t="str">
        <f t="shared" si="505"/>
        <v>0</v>
      </c>
      <c r="H1688">
        <f>'906MP'!Y1388</f>
        <v>0</v>
      </c>
      <c r="I1688">
        <f>'906MP'!AK1388</f>
        <v>0</v>
      </c>
      <c r="J1688">
        <f>'906MP'!T1388</f>
        <v>0</v>
      </c>
      <c r="K1688">
        <f>'906MP'!AJ1388</f>
        <v>0</v>
      </c>
      <c r="L1688">
        <f>'906MP'!U1388</f>
        <v>0</v>
      </c>
      <c r="M1688" s="322" t="str">
        <f>IFERROR(VLOOKUP(A1688,PAR!$D$3:$E$53,2,FALSE),"nincs szervezet")</f>
        <v>nincs szervezet</v>
      </c>
      <c r="N1688" s="322" t="str">
        <f>VLOOKUP(F1688,PAR!$R$3:$S$5,2,FALSE)</f>
        <v>3 - egyik sem</v>
      </c>
      <c r="O1688" t="str">
        <f>IFERROR(VLOOKUP(J1688,PAR!$O$3:$P$5,2,FALSE),"nincs feladat")</f>
        <v>nincs feladat</v>
      </c>
      <c r="P1688" t="str">
        <f>IFERROR(VLOOKUP(G1688,PAR!$J$2:$M$19,4),"nincs rovat")</f>
        <v>nincs rovat</v>
      </c>
      <c r="Q1688" t="str">
        <f>IF(H1688&gt;0,VLOOKUP(H1688,PAR!$AA$3:$AC$187,3,FALSE),"nincs főkönyvi számla")</f>
        <v>nincs főkönyvi számla</v>
      </c>
      <c r="R1688" t="str">
        <f>IFERROR(VLOOKUP(K1688,PAR!$V$3:$X$438,3,FALSE),"000000 - Nincs COFOG")</f>
        <v>000000 - Nincs COFOG</v>
      </c>
      <c r="S1688">
        <f t="shared" si="506"/>
        <v>0</v>
      </c>
      <c r="T1688">
        <f t="shared" si="507"/>
        <v>0</v>
      </c>
      <c r="U1688" t="str">
        <f>IF('906MP'!J1388&gt;0,CONCATENATE('906MP'!J1388," - ",'906MP'!P1388,", ",'906MP'!E1388),"nincs megjegyzés")</f>
        <v>nincs megjegyzés</v>
      </c>
      <c r="V1688" t="str">
        <f t="shared" si="494"/>
        <v>0P0</v>
      </c>
      <c r="W1688" t="str">
        <f t="shared" si="495"/>
        <v>0P0</v>
      </c>
      <c r="X1688" t="str">
        <f t="shared" si="496"/>
        <v>P0</v>
      </c>
      <c r="Y1688" t="str">
        <f t="shared" si="497"/>
        <v>00</v>
      </c>
      <c r="Z1688" t="str">
        <f t="shared" si="508"/>
        <v>00</v>
      </c>
      <c r="AA1688" t="str">
        <f t="shared" si="498"/>
        <v>00</v>
      </c>
      <c r="AB1688" t="str">
        <f t="shared" si="499"/>
        <v>00</v>
      </c>
      <c r="AC1688" t="str">
        <f t="shared" si="500"/>
        <v>0P0</v>
      </c>
      <c r="AD1688" t="str">
        <f t="shared" si="501"/>
        <v>P00</v>
      </c>
      <c r="AE1688" t="str">
        <f t="shared" si="502"/>
        <v>0P0</v>
      </c>
      <c r="AF1688" t="str">
        <f t="shared" si="503"/>
        <v>P00</v>
      </c>
      <c r="AG1688" t="str">
        <f t="shared" si="509"/>
        <v>0P00</v>
      </c>
      <c r="AH1688" t="str">
        <f t="shared" si="510"/>
        <v>P000</v>
      </c>
      <c r="AI1688" t="str">
        <f t="shared" si="511"/>
        <v>0P00</v>
      </c>
      <c r="AJ1688" t="str">
        <f t="shared" si="512"/>
        <v>P000</v>
      </c>
    </row>
    <row r="1689" spans="1:36" x14ac:dyDescent="0.25">
      <c r="A1689" s="325" t="str">
        <f>CONCATENATE("P",'906MP'!M1389)</f>
        <v>P</v>
      </c>
      <c r="B1689">
        <f>'906MP'!H1389</f>
        <v>0</v>
      </c>
      <c r="C1689">
        <f>'906MP'!J1389</f>
        <v>0</v>
      </c>
      <c r="D1689">
        <f>'906MP'!P1389</f>
        <v>0</v>
      </c>
      <c r="E1689">
        <f>'906MP'!X1389</f>
        <v>0</v>
      </c>
      <c r="F1689" t="str">
        <f t="shared" si="504"/>
        <v>0</v>
      </c>
      <c r="G1689" t="str">
        <f t="shared" si="505"/>
        <v>0</v>
      </c>
      <c r="H1689">
        <f>'906MP'!Y1389</f>
        <v>0</v>
      </c>
      <c r="I1689">
        <f>'906MP'!AK1389</f>
        <v>0</v>
      </c>
      <c r="J1689">
        <f>'906MP'!T1389</f>
        <v>0</v>
      </c>
      <c r="K1689">
        <f>'906MP'!AJ1389</f>
        <v>0</v>
      </c>
      <c r="L1689">
        <f>'906MP'!U1389</f>
        <v>0</v>
      </c>
      <c r="M1689" s="322" t="str">
        <f>IFERROR(VLOOKUP(A1689,PAR!$D$3:$E$53,2,FALSE),"nincs szervezet")</f>
        <v>nincs szervezet</v>
      </c>
      <c r="N1689" s="322" t="str">
        <f>VLOOKUP(F1689,PAR!$R$3:$S$5,2,FALSE)</f>
        <v>3 - egyik sem</v>
      </c>
      <c r="O1689" t="str">
        <f>IFERROR(VLOOKUP(J1689,PAR!$O$3:$P$5,2,FALSE),"nincs feladat")</f>
        <v>nincs feladat</v>
      </c>
      <c r="P1689" t="str">
        <f>IFERROR(VLOOKUP(G1689,PAR!$J$2:$M$19,4),"nincs rovat")</f>
        <v>nincs rovat</v>
      </c>
      <c r="Q1689" t="str">
        <f>IF(H1689&gt;0,VLOOKUP(H1689,PAR!$AA$3:$AC$187,3,FALSE),"nincs főkönyvi számla")</f>
        <v>nincs főkönyvi számla</v>
      </c>
      <c r="R1689" t="str">
        <f>IFERROR(VLOOKUP(K1689,PAR!$V$3:$X$438,3,FALSE),"000000 - Nincs COFOG")</f>
        <v>000000 - Nincs COFOG</v>
      </c>
      <c r="S1689">
        <f t="shared" si="506"/>
        <v>0</v>
      </c>
      <c r="T1689">
        <f t="shared" si="507"/>
        <v>0</v>
      </c>
      <c r="U1689" t="str">
        <f>IF('906MP'!J1389&gt;0,CONCATENATE('906MP'!J1389," - ",'906MP'!P1389,", ",'906MP'!E1389),"nincs megjegyzés")</f>
        <v>nincs megjegyzés</v>
      </c>
      <c r="V1689" t="str">
        <f t="shared" si="494"/>
        <v>0P0</v>
      </c>
      <c r="W1689" t="str">
        <f t="shared" si="495"/>
        <v>0P0</v>
      </c>
      <c r="X1689" t="str">
        <f t="shared" si="496"/>
        <v>P0</v>
      </c>
      <c r="Y1689" t="str">
        <f t="shared" si="497"/>
        <v>00</v>
      </c>
      <c r="Z1689" t="str">
        <f t="shared" si="508"/>
        <v>00</v>
      </c>
      <c r="AA1689" t="str">
        <f t="shared" si="498"/>
        <v>00</v>
      </c>
      <c r="AB1689" t="str">
        <f t="shared" si="499"/>
        <v>00</v>
      </c>
      <c r="AC1689" t="str">
        <f t="shared" si="500"/>
        <v>0P0</v>
      </c>
      <c r="AD1689" t="str">
        <f t="shared" si="501"/>
        <v>P00</v>
      </c>
      <c r="AE1689" t="str">
        <f t="shared" si="502"/>
        <v>0P0</v>
      </c>
      <c r="AF1689" t="str">
        <f t="shared" si="503"/>
        <v>P00</v>
      </c>
      <c r="AG1689" t="str">
        <f t="shared" si="509"/>
        <v>0P00</v>
      </c>
      <c r="AH1689" t="str">
        <f t="shared" si="510"/>
        <v>P000</v>
      </c>
      <c r="AI1689" t="str">
        <f t="shared" si="511"/>
        <v>0P00</v>
      </c>
      <c r="AJ1689" t="str">
        <f t="shared" si="512"/>
        <v>P000</v>
      </c>
    </row>
    <row r="1690" spans="1:36" x14ac:dyDescent="0.25">
      <c r="A1690" s="325" t="str">
        <f>CONCATENATE("P",'906MP'!M1390)</f>
        <v>P</v>
      </c>
      <c r="B1690">
        <f>'906MP'!H1390</f>
        <v>0</v>
      </c>
      <c r="C1690">
        <f>'906MP'!J1390</f>
        <v>0</v>
      </c>
      <c r="D1690">
        <f>'906MP'!P1390</f>
        <v>0</v>
      </c>
      <c r="E1690">
        <f>'906MP'!X1390</f>
        <v>0</v>
      </c>
      <c r="F1690" t="str">
        <f t="shared" si="504"/>
        <v>0</v>
      </c>
      <c r="G1690" t="str">
        <f t="shared" si="505"/>
        <v>0</v>
      </c>
      <c r="H1690">
        <f>'906MP'!Y1390</f>
        <v>0</v>
      </c>
      <c r="I1690">
        <f>'906MP'!AK1390</f>
        <v>0</v>
      </c>
      <c r="J1690">
        <f>'906MP'!T1390</f>
        <v>0</v>
      </c>
      <c r="K1690">
        <f>'906MP'!AJ1390</f>
        <v>0</v>
      </c>
      <c r="L1690">
        <f>'906MP'!U1390</f>
        <v>0</v>
      </c>
      <c r="M1690" s="322" t="str">
        <f>IFERROR(VLOOKUP(A1690,PAR!$D$3:$E$53,2,FALSE),"nincs szervezet")</f>
        <v>nincs szervezet</v>
      </c>
      <c r="N1690" s="322" t="str">
        <f>VLOOKUP(F1690,PAR!$R$3:$S$5,2,FALSE)</f>
        <v>3 - egyik sem</v>
      </c>
      <c r="O1690" t="str">
        <f>IFERROR(VLOOKUP(J1690,PAR!$O$3:$P$5,2,FALSE),"nincs feladat")</f>
        <v>nincs feladat</v>
      </c>
      <c r="P1690" t="str">
        <f>IFERROR(VLOOKUP(G1690,PAR!$J$2:$M$19,4),"nincs rovat")</f>
        <v>nincs rovat</v>
      </c>
      <c r="Q1690" t="str">
        <f>IF(H1690&gt;0,VLOOKUP(H1690,PAR!$AA$3:$AC$187,3,FALSE),"nincs főkönyvi számla")</f>
        <v>nincs főkönyvi számla</v>
      </c>
      <c r="R1690" t="str">
        <f>IFERROR(VLOOKUP(K1690,PAR!$V$3:$X$438,3,FALSE),"000000 - Nincs COFOG")</f>
        <v>000000 - Nincs COFOG</v>
      </c>
      <c r="S1690">
        <f t="shared" si="506"/>
        <v>0</v>
      </c>
      <c r="T1690">
        <f t="shared" si="507"/>
        <v>0</v>
      </c>
      <c r="U1690" t="str">
        <f>IF('906MP'!J1390&gt;0,CONCATENATE('906MP'!J1390," - ",'906MP'!P1390,", ",'906MP'!E1390),"nincs megjegyzés")</f>
        <v>nincs megjegyzés</v>
      </c>
      <c r="V1690" t="str">
        <f t="shared" si="494"/>
        <v>0P0</v>
      </c>
      <c r="W1690" t="str">
        <f t="shared" si="495"/>
        <v>0P0</v>
      </c>
      <c r="X1690" t="str">
        <f t="shared" si="496"/>
        <v>P0</v>
      </c>
      <c r="Y1690" t="str">
        <f t="shared" si="497"/>
        <v>00</v>
      </c>
      <c r="Z1690" t="str">
        <f t="shared" si="508"/>
        <v>00</v>
      </c>
      <c r="AA1690" t="str">
        <f t="shared" si="498"/>
        <v>00</v>
      </c>
      <c r="AB1690" t="str">
        <f t="shared" si="499"/>
        <v>00</v>
      </c>
      <c r="AC1690" t="str">
        <f t="shared" si="500"/>
        <v>0P0</v>
      </c>
      <c r="AD1690" t="str">
        <f t="shared" si="501"/>
        <v>P00</v>
      </c>
      <c r="AE1690" t="str">
        <f t="shared" si="502"/>
        <v>0P0</v>
      </c>
      <c r="AF1690" t="str">
        <f t="shared" si="503"/>
        <v>P00</v>
      </c>
      <c r="AG1690" t="str">
        <f t="shared" si="509"/>
        <v>0P00</v>
      </c>
      <c r="AH1690" t="str">
        <f t="shared" si="510"/>
        <v>P000</v>
      </c>
      <c r="AI1690" t="str">
        <f t="shared" si="511"/>
        <v>0P00</v>
      </c>
      <c r="AJ1690" t="str">
        <f t="shared" si="512"/>
        <v>P000</v>
      </c>
    </row>
    <row r="1691" spans="1:36" x14ac:dyDescent="0.25">
      <c r="A1691" s="325" t="str">
        <f>CONCATENATE("P",'906MP'!M1391)</f>
        <v>P</v>
      </c>
      <c r="B1691">
        <f>'906MP'!H1391</f>
        <v>0</v>
      </c>
      <c r="C1691">
        <f>'906MP'!J1391</f>
        <v>0</v>
      </c>
      <c r="D1691">
        <f>'906MP'!P1391</f>
        <v>0</v>
      </c>
      <c r="E1691">
        <f>'906MP'!X1391</f>
        <v>0</v>
      </c>
      <c r="F1691" t="str">
        <f t="shared" si="504"/>
        <v>0</v>
      </c>
      <c r="G1691" t="str">
        <f t="shared" si="505"/>
        <v>0</v>
      </c>
      <c r="H1691">
        <f>'906MP'!Y1391</f>
        <v>0</v>
      </c>
      <c r="I1691">
        <f>'906MP'!AK1391</f>
        <v>0</v>
      </c>
      <c r="J1691">
        <f>'906MP'!T1391</f>
        <v>0</v>
      </c>
      <c r="K1691">
        <f>'906MP'!AJ1391</f>
        <v>0</v>
      </c>
      <c r="L1691">
        <f>'906MP'!U1391</f>
        <v>0</v>
      </c>
      <c r="M1691" s="322" t="str">
        <f>IFERROR(VLOOKUP(A1691,PAR!$D$3:$E$53,2,FALSE),"nincs szervezet")</f>
        <v>nincs szervezet</v>
      </c>
      <c r="N1691" s="322" t="str">
        <f>VLOOKUP(F1691,PAR!$R$3:$S$5,2,FALSE)</f>
        <v>3 - egyik sem</v>
      </c>
      <c r="O1691" t="str">
        <f>IFERROR(VLOOKUP(J1691,PAR!$O$3:$P$5,2,FALSE),"nincs feladat")</f>
        <v>nincs feladat</v>
      </c>
      <c r="P1691" t="str">
        <f>IFERROR(VLOOKUP(G1691,PAR!$J$2:$M$19,4),"nincs rovat")</f>
        <v>nincs rovat</v>
      </c>
      <c r="Q1691" t="str">
        <f>IF(H1691&gt;0,VLOOKUP(H1691,PAR!$AA$3:$AC$187,3,FALSE),"nincs főkönyvi számla")</f>
        <v>nincs főkönyvi számla</v>
      </c>
      <c r="R1691" t="str">
        <f>IFERROR(VLOOKUP(K1691,PAR!$V$3:$X$438,3,FALSE),"000000 - Nincs COFOG")</f>
        <v>000000 - Nincs COFOG</v>
      </c>
      <c r="S1691">
        <f t="shared" si="506"/>
        <v>0</v>
      </c>
      <c r="T1691">
        <f t="shared" si="507"/>
        <v>0</v>
      </c>
      <c r="U1691" t="str">
        <f>IF('906MP'!J1391&gt;0,CONCATENATE('906MP'!J1391," - ",'906MP'!P1391,", ",'906MP'!E1391),"nincs megjegyzés")</f>
        <v>nincs megjegyzés</v>
      </c>
      <c r="V1691" t="str">
        <f t="shared" si="494"/>
        <v>0P0</v>
      </c>
      <c r="W1691" t="str">
        <f t="shared" si="495"/>
        <v>0P0</v>
      </c>
      <c r="X1691" t="str">
        <f t="shared" si="496"/>
        <v>P0</v>
      </c>
      <c r="Y1691" t="str">
        <f t="shared" si="497"/>
        <v>00</v>
      </c>
      <c r="Z1691" t="str">
        <f t="shared" si="508"/>
        <v>00</v>
      </c>
      <c r="AA1691" t="str">
        <f t="shared" si="498"/>
        <v>00</v>
      </c>
      <c r="AB1691" t="str">
        <f t="shared" si="499"/>
        <v>00</v>
      </c>
      <c r="AC1691" t="str">
        <f t="shared" si="500"/>
        <v>0P0</v>
      </c>
      <c r="AD1691" t="str">
        <f t="shared" si="501"/>
        <v>P00</v>
      </c>
      <c r="AE1691" t="str">
        <f t="shared" si="502"/>
        <v>0P0</v>
      </c>
      <c r="AF1691" t="str">
        <f t="shared" si="503"/>
        <v>P00</v>
      </c>
      <c r="AG1691" t="str">
        <f t="shared" si="509"/>
        <v>0P00</v>
      </c>
      <c r="AH1691" t="str">
        <f t="shared" si="510"/>
        <v>P000</v>
      </c>
      <c r="AI1691" t="str">
        <f t="shared" si="511"/>
        <v>0P00</v>
      </c>
      <c r="AJ1691" t="str">
        <f t="shared" si="512"/>
        <v>P000</v>
      </c>
    </row>
    <row r="1692" spans="1:36" x14ac:dyDescent="0.25">
      <c r="A1692" s="325" t="str">
        <f>CONCATENATE("P",'906MP'!M1392)</f>
        <v>P</v>
      </c>
      <c r="B1692">
        <f>'906MP'!H1392</f>
        <v>0</v>
      </c>
      <c r="C1692">
        <f>'906MP'!J1392</f>
        <v>0</v>
      </c>
      <c r="D1692">
        <f>'906MP'!P1392</f>
        <v>0</v>
      </c>
      <c r="E1692">
        <f>'906MP'!X1392</f>
        <v>0</v>
      </c>
      <c r="F1692" t="str">
        <f t="shared" si="504"/>
        <v>0</v>
      </c>
      <c r="G1692" t="str">
        <f t="shared" si="505"/>
        <v>0</v>
      </c>
      <c r="H1692">
        <f>'906MP'!Y1392</f>
        <v>0</v>
      </c>
      <c r="I1692">
        <f>'906MP'!AK1392</f>
        <v>0</v>
      </c>
      <c r="J1692">
        <f>'906MP'!T1392</f>
        <v>0</v>
      </c>
      <c r="K1692">
        <f>'906MP'!AJ1392</f>
        <v>0</v>
      </c>
      <c r="L1692">
        <f>'906MP'!U1392</f>
        <v>0</v>
      </c>
      <c r="M1692" s="322" t="str">
        <f>IFERROR(VLOOKUP(A1692,PAR!$D$3:$E$53,2,FALSE),"nincs szervezet")</f>
        <v>nincs szervezet</v>
      </c>
      <c r="N1692" s="322" t="str">
        <f>VLOOKUP(F1692,PAR!$R$3:$S$5,2,FALSE)</f>
        <v>3 - egyik sem</v>
      </c>
      <c r="O1692" t="str">
        <f>IFERROR(VLOOKUP(J1692,PAR!$O$3:$P$5,2,FALSE),"nincs feladat")</f>
        <v>nincs feladat</v>
      </c>
      <c r="P1692" t="str">
        <f>IFERROR(VLOOKUP(G1692,PAR!$J$2:$M$19,4),"nincs rovat")</f>
        <v>nincs rovat</v>
      </c>
      <c r="Q1692" t="str">
        <f>IF(H1692&gt;0,VLOOKUP(H1692,PAR!$AA$3:$AC$187,3,FALSE),"nincs főkönyvi számla")</f>
        <v>nincs főkönyvi számla</v>
      </c>
      <c r="R1692" t="str">
        <f>IFERROR(VLOOKUP(K1692,PAR!$V$3:$X$438,3,FALSE),"000000 - Nincs COFOG")</f>
        <v>000000 - Nincs COFOG</v>
      </c>
      <c r="S1692">
        <f t="shared" si="506"/>
        <v>0</v>
      </c>
      <c r="T1692">
        <f t="shared" si="507"/>
        <v>0</v>
      </c>
      <c r="U1692" t="str">
        <f>IF('906MP'!J1392&gt;0,CONCATENATE('906MP'!J1392," - ",'906MP'!P1392,", ",'906MP'!E1392),"nincs megjegyzés")</f>
        <v>nincs megjegyzés</v>
      </c>
      <c r="V1692" t="str">
        <f t="shared" si="494"/>
        <v>0P0</v>
      </c>
      <c r="W1692" t="str">
        <f t="shared" si="495"/>
        <v>0P0</v>
      </c>
      <c r="X1692" t="str">
        <f t="shared" si="496"/>
        <v>P0</v>
      </c>
      <c r="Y1692" t="str">
        <f t="shared" si="497"/>
        <v>00</v>
      </c>
      <c r="Z1692" t="str">
        <f t="shared" si="508"/>
        <v>00</v>
      </c>
      <c r="AA1692" t="str">
        <f t="shared" si="498"/>
        <v>00</v>
      </c>
      <c r="AB1692" t="str">
        <f t="shared" si="499"/>
        <v>00</v>
      </c>
      <c r="AC1692" t="str">
        <f t="shared" si="500"/>
        <v>0P0</v>
      </c>
      <c r="AD1692" t="str">
        <f t="shared" si="501"/>
        <v>P00</v>
      </c>
      <c r="AE1692" t="str">
        <f t="shared" si="502"/>
        <v>0P0</v>
      </c>
      <c r="AF1692" t="str">
        <f t="shared" si="503"/>
        <v>P00</v>
      </c>
      <c r="AG1692" t="str">
        <f t="shared" si="509"/>
        <v>0P00</v>
      </c>
      <c r="AH1692" t="str">
        <f t="shared" si="510"/>
        <v>P000</v>
      </c>
      <c r="AI1692" t="str">
        <f t="shared" si="511"/>
        <v>0P00</v>
      </c>
      <c r="AJ1692" t="str">
        <f t="shared" si="512"/>
        <v>P000</v>
      </c>
    </row>
    <row r="1693" spans="1:36" x14ac:dyDescent="0.25">
      <c r="A1693" s="325" t="str">
        <f>CONCATENATE("P",'906MP'!M1393)</f>
        <v>P</v>
      </c>
      <c r="B1693">
        <f>'906MP'!H1393</f>
        <v>0</v>
      </c>
      <c r="C1693">
        <f>'906MP'!J1393</f>
        <v>0</v>
      </c>
      <c r="D1693">
        <f>'906MP'!P1393</f>
        <v>0</v>
      </c>
      <c r="E1693">
        <f>'906MP'!X1393</f>
        <v>0</v>
      </c>
      <c r="F1693" t="str">
        <f t="shared" si="504"/>
        <v>0</v>
      </c>
      <c r="G1693" t="str">
        <f t="shared" si="505"/>
        <v>0</v>
      </c>
      <c r="H1693">
        <f>'906MP'!Y1393</f>
        <v>0</v>
      </c>
      <c r="I1693">
        <f>'906MP'!AK1393</f>
        <v>0</v>
      </c>
      <c r="J1693">
        <f>'906MP'!T1393</f>
        <v>0</v>
      </c>
      <c r="K1693">
        <f>'906MP'!AJ1393</f>
        <v>0</v>
      </c>
      <c r="L1693">
        <f>'906MP'!U1393</f>
        <v>0</v>
      </c>
      <c r="M1693" s="322" t="str">
        <f>IFERROR(VLOOKUP(A1693,PAR!$D$3:$E$53,2,FALSE),"nincs szervezet")</f>
        <v>nincs szervezet</v>
      </c>
      <c r="N1693" s="322" t="str">
        <f>VLOOKUP(F1693,PAR!$R$3:$S$5,2,FALSE)</f>
        <v>3 - egyik sem</v>
      </c>
      <c r="O1693" t="str">
        <f>IFERROR(VLOOKUP(J1693,PAR!$O$3:$P$5,2,FALSE),"nincs feladat")</f>
        <v>nincs feladat</v>
      </c>
      <c r="P1693" t="str">
        <f>IFERROR(VLOOKUP(G1693,PAR!$J$2:$M$19,4),"nincs rovat")</f>
        <v>nincs rovat</v>
      </c>
      <c r="Q1693" t="str">
        <f>IF(H1693&gt;0,VLOOKUP(H1693,PAR!$AA$3:$AC$187,3,FALSE),"nincs főkönyvi számla")</f>
        <v>nincs főkönyvi számla</v>
      </c>
      <c r="R1693" t="str">
        <f>IFERROR(VLOOKUP(K1693,PAR!$V$3:$X$438,3,FALSE),"000000 - Nincs COFOG")</f>
        <v>000000 - Nincs COFOG</v>
      </c>
      <c r="S1693">
        <f t="shared" si="506"/>
        <v>0</v>
      </c>
      <c r="T1693">
        <f t="shared" si="507"/>
        <v>0</v>
      </c>
      <c r="U1693" t="str">
        <f>IF('906MP'!J1393&gt;0,CONCATENATE('906MP'!J1393," - ",'906MP'!P1393,", ",'906MP'!E1393),"nincs megjegyzés")</f>
        <v>nincs megjegyzés</v>
      </c>
      <c r="V1693" t="str">
        <f t="shared" si="494"/>
        <v>0P0</v>
      </c>
      <c r="W1693" t="str">
        <f t="shared" si="495"/>
        <v>0P0</v>
      </c>
      <c r="X1693" t="str">
        <f t="shared" si="496"/>
        <v>P0</v>
      </c>
      <c r="Y1693" t="str">
        <f t="shared" si="497"/>
        <v>00</v>
      </c>
      <c r="Z1693" t="str">
        <f t="shared" si="508"/>
        <v>00</v>
      </c>
      <c r="AA1693" t="str">
        <f t="shared" si="498"/>
        <v>00</v>
      </c>
      <c r="AB1693" t="str">
        <f t="shared" si="499"/>
        <v>00</v>
      </c>
      <c r="AC1693" t="str">
        <f t="shared" si="500"/>
        <v>0P0</v>
      </c>
      <c r="AD1693" t="str">
        <f t="shared" si="501"/>
        <v>P00</v>
      </c>
      <c r="AE1693" t="str">
        <f t="shared" si="502"/>
        <v>0P0</v>
      </c>
      <c r="AF1693" t="str">
        <f t="shared" si="503"/>
        <v>P00</v>
      </c>
      <c r="AG1693" t="str">
        <f t="shared" si="509"/>
        <v>0P00</v>
      </c>
      <c r="AH1693" t="str">
        <f t="shared" si="510"/>
        <v>P000</v>
      </c>
      <c r="AI1693" t="str">
        <f t="shared" si="511"/>
        <v>0P00</v>
      </c>
      <c r="AJ1693" t="str">
        <f t="shared" si="512"/>
        <v>P000</v>
      </c>
    </row>
    <row r="1694" spans="1:36" x14ac:dyDescent="0.25">
      <c r="A1694" s="325" t="str">
        <f>CONCATENATE("P",'906MP'!M1394)</f>
        <v>P</v>
      </c>
      <c r="B1694">
        <f>'906MP'!H1394</f>
        <v>0</v>
      </c>
      <c r="C1694">
        <f>'906MP'!J1394</f>
        <v>0</v>
      </c>
      <c r="D1694">
        <f>'906MP'!P1394</f>
        <v>0</v>
      </c>
      <c r="E1694">
        <f>'906MP'!X1394</f>
        <v>0</v>
      </c>
      <c r="F1694" t="str">
        <f t="shared" si="504"/>
        <v>0</v>
      </c>
      <c r="G1694" t="str">
        <f t="shared" si="505"/>
        <v>0</v>
      </c>
      <c r="H1694">
        <f>'906MP'!Y1394</f>
        <v>0</v>
      </c>
      <c r="I1694">
        <f>'906MP'!AK1394</f>
        <v>0</v>
      </c>
      <c r="J1694">
        <f>'906MP'!T1394</f>
        <v>0</v>
      </c>
      <c r="K1694">
        <f>'906MP'!AJ1394</f>
        <v>0</v>
      </c>
      <c r="L1694">
        <f>'906MP'!U1394</f>
        <v>0</v>
      </c>
      <c r="M1694" s="322" t="str">
        <f>IFERROR(VLOOKUP(A1694,PAR!$D$3:$E$53,2,FALSE),"nincs szervezet")</f>
        <v>nincs szervezet</v>
      </c>
      <c r="N1694" s="322" t="str">
        <f>VLOOKUP(F1694,PAR!$R$3:$S$5,2,FALSE)</f>
        <v>3 - egyik sem</v>
      </c>
      <c r="O1694" t="str">
        <f>IFERROR(VLOOKUP(J1694,PAR!$O$3:$P$5,2,FALSE),"nincs feladat")</f>
        <v>nincs feladat</v>
      </c>
      <c r="P1694" t="str">
        <f>IFERROR(VLOOKUP(G1694,PAR!$J$2:$M$19,4),"nincs rovat")</f>
        <v>nincs rovat</v>
      </c>
      <c r="Q1694" t="str">
        <f>IF(H1694&gt;0,VLOOKUP(H1694,PAR!$AA$3:$AC$187,3,FALSE),"nincs főkönyvi számla")</f>
        <v>nincs főkönyvi számla</v>
      </c>
      <c r="R1694" t="str">
        <f>IFERROR(VLOOKUP(K1694,PAR!$V$3:$X$438,3,FALSE),"000000 - Nincs COFOG")</f>
        <v>000000 - Nincs COFOG</v>
      </c>
      <c r="S1694">
        <f t="shared" si="506"/>
        <v>0</v>
      </c>
      <c r="T1694">
        <f t="shared" si="507"/>
        <v>0</v>
      </c>
      <c r="U1694" t="str">
        <f>IF('906MP'!J1394&gt;0,CONCATENATE('906MP'!J1394," - ",'906MP'!P1394,", ",'906MP'!E1394),"nincs megjegyzés")</f>
        <v>nincs megjegyzés</v>
      </c>
      <c r="V1694" t="str">
        <f t="shared" si="494"/>
        <v>0P0</v>
      </c>
      <c r="W1694" t="str">
        <f t="shared" si="495"/>
        <v>0P0</v>
      </c>
      <c r="X1694" t="str">
        <f t="shared" si="496"/>
        <v>P0</v>
      </c>
      <c r="Y1694" t="str">
        <f t="shared" si="497"/>
        <v>00</v>
      </c>
      <c r="Z1694" t="str">
        <f t="shared" si="508"/>
        <v>00</v>
      </c>
      <c r="AA1694" t="str">
        <f t="shared" si="498"/>
        <v>00</v>
      </c>
      <c r="AB1694" t="str">
        <f t="shared" si="499"/>
        <v>00</v>
      </c>
      <c r="AC1694" t="str">
        <f t="shared" si="500"/>
        <v>0P0</v>
      </c>
      <c r="AD1694" t="str">
        <f t="shared" si="501"/>
        <v>P00</v>
      </c>
      <c r="AE1694" t="str">
        <f t="shared" si="502"/>
        <v>0P0</v>
      </c>
      <c r="AF1694" t="str">
        <f t="shared" si="503"/>
        <v>P00</v>
      </c>
      <c r="AG1694" t="str">
        <f t="shared" si="509"/>
        <v>0P00</v>
      </c>
      <c r="AH1694" t="str">
        <f t="shared" si="510"/>
        <v>P000</v>
      </c>
      <c r="AI1694" t="str">
        <f t="shared" si="511"/>
        <v>0P00</v>
      </c>
      <c r="AJ1694" t="str">
        <f t="shared" si="512"/>
        <v>P000</v>
      </c>
    </row>
    <row r="1695" spans="1:36" x14ac:dyDescent="0.25">
      <c r="A1695" s="325" t="str">
        <f>CONCATENATE("P",'906MP'!M1395)</f>
        <v>P</v>
      </c>
      <c r="B1695">
        <f>'906MP'!H1395</f>
        <v>0</v>
      </c>
      <c r="C1695">
        <f>'906MP'!J1395</f>
        <v>0</v>
      </c>
      <c r="D1695">
        <f>'906MP'!P1395</f>
        <v>0</v>
      </c>
      <c r="E1695">
        <f>'906MP'!X1395</f>
        <v>0</v>
      </c>
      <c r="F1695" t="str">
        <f t="shared" si="504"/>
        <v>0</v>
      </c>
      <c r="G1695" t="str">
        <f t="shared" si="505"/>
        <v>0</v>
      </c>
      <c r="H1695">
        <f>'906MP'!Y1395</f>
        <v>0</v>
      </c>
      <c r="I1695">
        <f>'906MP'!AK1395</f>
        <v>0</v>
      </c>
      <c r="J1695">
        <f>'906MP'!T1395</f>
        <v>0</v>
      </c>
      <c r="K1695">
        <f>'906MP'!AJ1395</f>
        <v>0</v>
      </c>
      <c r="L1695">
        <f>'906MP'!U1395</f>
        <v>0</v>
      </c>
      <c r="M1695" s="322" t="str">
        <f>IFERROR(VLOOKUP(A1695,PAR!$D$3:$E$53,2,FALSE),"nincs szervezet")</f>
        <v>nincs szervezet</v>
      </c>
      <c r="N1695" s="322" t="str">
        <f>VLOOKUP(F1695,PAR!$R$3:$S$5,2,FALSE)</f>
        <v>3 - egyik sem</v>
      </c>
      <c r="O1695" t="str">
        <f>IFERROR(VLOOKUP(J1695,PAR!$O$3:$P$5,2,FALSE),"nincs feladat")</f>
        <v>nincs feladat</v>
      </c>
      <c r="P1695" t="str">
        <f>IFERROR(VLOOKUP(G1695,PAR!$J$2:$M$19,4),"nincs rovat")</f>
        <v>nincs rovat</v>
      </c>
      <c r="Q1695" t="str">
        <f>IF(H1695&gt;0,VLOOKUP(H1695,PAR!$AA$3:$AC$187,3,FALSE),"nincs főkönyvi számla")</f>
        <v>nincs főkönyvi számla</v>
      </c>
      <c r="R1695" t="str">
        <f>IFERROR(VLOOKUP(K1695,PAR!$V$3:$X$438,3,FALSE),"000000 - Nincs COFOG")</f>
        <v>000000 - Nincs COFOG</v>
      </c>
      <c r="S1695">
        <f t="shared" si="506"/>
        <v>0</v>
      </c>
      <c r="T1695">
        <f t="shared" si="507"/>
        <v>0</v>
      </c>
      <c r="U1695" t="str">
        <f>IF('906MP'!J1395&gt;0,CONCATENATE('906MP'!J1395," - ",'906MP'!P1395,", ",'906MP'!E1395),"nincs megjegyzés")</f>
        <v>nincs megjegyzés</v>
      </c>
      <c r="V1695" t="str">
        <f t="shared" si="494"/>
        <v>0P0</v>
      </c>
      <c r="W1695" t="str">
        <f t="shared" si="495"/>
        <v>0P0</v>
      </c>
      <c r="X1695" t="str">
        <f t="shared" si="496"/>
        <v>P0</v>
      </c>
      <c r="Y1695" t="str">
        <f t="shared" si="497"/>
        <v>00</v>
      </c>
      <c r="Z1695" t="str">
        <f t="shared" si="508"/>
        <v>00</v>
      </c>
      <c r="AA1695" t="str">
        <f t="shared" si="498"/>
        <v>00</v>
      </c>
      <c r="AB1695" t="str">
        <f t="shared" si="499"/>
        <v>00</v>
      </c>
      <c r="AC1695" t="str">
        <f t="shared" si="500"/>
        <v>0P0</v>
      </c>
      <c r="AD1695" t="str">
        <f t="shared" si="501"/>
        <v>P00</v>
      </c>
      <c r="AE1695" t="str">
        <f t="shared" si="502"/>
        <v>0P0</v>
      </c>
      <c r="AF1695" t="str">
        <f t="shared" si="503"/>
        <v>P00</v>
      </c>
      <c r="AG1695" t="str">
        <f t="shared" si="509"/>
        <v>0P00</v>
      </c>
      <c r="AH1695" t="str">
        <f t="shared" si="510"/>
        <v>P000</v>
      </c>
      <c r="AI1695" t="str">
        <f t="shared" si="511"/>
        <v>0P00</v>
      </c>
      <c r="AJ1695" t="str">
        <f t="shared" si="512"/>
        <v>P000</v>
      </c>
    </row>
    <row r="1696" spans="1:36" x14ac:dyDescent="0.25">
      <c r="A1696" s="325" t="str">
        <f>CONCATENATE("P",'906MP'!M1396)</f>
        <v>P</v>
      </c>
      <c r="B1696">
        <f>'906MP'!H1396</f>
        <v>0</v>
      </c>
      <c r="C1696">
        <f>'906MP'!J1396</f>
        <v>0</v>
      </c>
      <c r="D1696">
        <f>'906MP'!P1396</f>
        <v>0</v>
      </c>
      <c r="E1696">
        <f>'906MP'!X1396</f>
        <v>0</v>
      </c>
      <c r="F1696" t="str">
        <f t="shared" si="504"/>
        <v>0</v>
      </c>
      <c r="G1696" t="str">
        <f t="shared" si="505"/>
        <v>0</v>
      </c>
      <c r="H1696">
        <f>'906MP'!Y1396</f>
        <v>0</v>
      </c>
      <c r="I1696">
        <f>'906MP'!AK1396</f>
        <v>0</v>
      </c>
      <c r="J1696">
        <f>'906MP'!T1396</f>
        <v>0</v>
      </c>
      <c r="K1696">
        <f>'906MP'!AJ1396</f>
        <v>0</v>
      </c>
      <c r="L1696">
        <f>'906MP'!U1396</f>
        <v>0</v>
      </c>
      <c r="M1696" s="322" t="str">
        <f>IFERROR(VLOOKUP(A1696,PAR!$D$3:$E$53,2,FALSE),"nincs szervezet")</f>
        <v>nincs szervezet</v>
      </c>
      <c r="N1696" s="322" t="str">
        <f>VLOOKUP(F1696,PAR!$R$3:$S$5,2,FALSE)</f>
        <v>3 - egyik sem</v>
      </c>
      <c r="O1696" t="str">
        <f>IFERROR(VLOOKUP(J1696,PAR!$O$3:$P$5,2,FALSE),"nincs feladat")</f>
        <v>nincs feladat</v>
      </c>
      <c r="P1696" t="str">
        <f>IFERROR(VLOOKUP(G1696,PAR!$J$2:$M$19,4),"nincs rovat")</f>
        <v>nincs rovat</v>
      </c>
      <c r="Q1696" t="str">
        <f>IF(H1696&gt;0,VLOOKUP(H1696,PAR!$AA$3:$AC$187,3,FALSE),"nincs főkönyvi számla")</f>
        <v>nincs főkönyvi számla</v>
      </c>
      <c r="R1696" t="str">
        <f>IFERROR(VLOOKUP(K1696,PAR!$V$3:$X$438,3,FALSE),"000000 - Nincs COFOG")</f>
        <v>000000 - Nincs COFOG</v>
      </c>
      <c r="S1696">
        <f t="shared" si="506"/>
        <v>0</v>
      </c>
      <c r="T1696">
        <f t="shared" si="507"/>
        <v>0</v>
      </c>
      <c r="U1696" t="str">
        <f>IF('906MP'!J1396&gt;0,CONCATENATE('906MP'!J1396," - ",'906MP'!P1396,", ",'906MP'!E1396),"nincs megjegyzés")</f>
        <v>nincs megjegyzés</v>
      </c>
      <c r="V1696" t="str">
        <f t="shared" si="494"/>
        <v>0P0</v>
      </c>
      <c r="W1696" t="str">
        <f t="shared" si="495"/>
        <v>0P0</v>
      </c>
      <c r="X1696" t="str">
        <f t="shared" si="496"/>
        <v>P0</v>
      </c>
      <c r="Y1696" t="str">
        <f t="shared" si="497"/>
        <v>00</v>
      </c>
      <c r="Z1696" t="str">
        <f t="shared" si="508"/>
        <v>00</v>
      </c>
      <c r="AA1696" t="str">
        <f t="shared" si="498"/>
        <v>00</v>
      </c>
      <c r="AB1696" t="str">
        <f t="shared" si="499"/>
        <v>00</v>
      </c>
      <c r="AC1696" t="str">
        <f t="shared" si="500"/>
        <v>0P0</v>
      </c>
      <c r="AD1696" t="str">
        <f t="shared" si="501"/>
        <v>P00</v>
      </c>
      <c r="AE1696" t="str">
        <f t="shared" si="502"/>
        <v>0P0</v>
      </c>
      <c r="AF1696" t="str">
        <f t="shared" si="503"/>
        <v>P00</v>
      </c>
      <c r="AG1696" t="str">
        <f t="shared" si="509"/>
        <v>0P00</v>
      </c>
      <c r="AH1696" t="str">
        <f t="shared" si="510"/>
        <v>P000</v>
      </c>
      <c r="AI1696" t="str">
        <f t="shared" si="511"/>
        <v>0P00</v>
      </c>
      <c r="AJ1696" t="str">
        <f t="shared" si="512"/>
        <v>P000</v>
      </c>
    </row>
    <row r="1697" spans="1:36" x14ac:dyDescent="0.25">
      <c r="A1697" s="325" t="str">
        <f>CONCATENATE("P",'906MP'!M1397)</f>
        <v>P</v>
      </c>
      <c r="B1697">
        <f>'906MP'!H1397</f>
        <v>0</v>
      </c>
      <c r="C1697">
        <f>'906MP'!J1397</f>
        <v>0</v>
      </c>
      <c r="D1697">
        <f>'906MP'!P1397</f>
        <v>0</v>
      </c>
      <c r="E1697">
        <f>'906MP'!X1397</f>
        <v>0</v>
      </c>
      <c r="F1697" t="str">
        <f t="shared" si="504"/>
        <v>0</v>
      </c>
      <c r="G1697" t="str">
        <f t="shared" si="505"/>
        <v>0</v>
      </c>
      <c r="H1697">
        <f>'906MP'!Y1397</f>
        <v>0</v>
      </c>
      <c r="I1697">
        <f>'906MP'!AK1397</f>
        <v>0</v>
      </c>
      <c r="J1697">
        <f>'906MP'!T1397</f>
        <v>0</v>
      </c>
      <c r="K1697">
        <f>'906MP'!AJ1397</f>
        <v>0</v>
      </c>
      <c r="L1697">
        <f>'906MP'!U1397</f>
        <v>0</v>
      </c>
      <c r="M1697" s="322" t="str">
        <f>IFERROR(VLOOKUP(A1697,PAR!$D$3:$E$53,2,FALSE),"nincs szervezet")</f>
        <v>nincs szervezet</v>
      </c>
      <c r="N1697" s="322" t="str">
        <f>VLOOKUP(F1697,PAR!$R$3:$S$5,2,FALSE)</f>
        <v>3 - egyik sem</v>
      </c>
      <c r="O1697" t="str">
        <f>IFERROR(VLOOKUP(J1697,PAR!$O$3:$P$5,2,FALSE),"nincs feladat")</f>
        <v>nincs feladat</v>
      </c>
      <c r="P1697" t="str">
        <f>IFERROR(VLOOKUP(G1697,PAR!$J$2:$M$19,4),"nincs rovat")</f>
        <v>nincs rovat</v>
      </c>
      <c r="Q1697" t="str">
        <f>IF(H1697&gt;0,VLOOKUP(H1697,PAR!$AA$3:$AC$187,3,FALSE),"nincs főkönyvi számla")</f>
        <v>nincs főkönyvi számla</v>
      </c>
      <c r="R1697" t="str">
        <f>IFERROR(VLOOKUP(K1697,PAR!$V$3:$X$438,3,FALSE),"000000 - Nincs COFOG")</f>
        <v>000000 - Nincs COFOG</v>
      </c>
      <c r="S1697">
        <f t="shared" si="506"/>
        <v>0</v>
      </c>
      <c r="T1697">
        <f t="shared" si="507"/>
        <v>0</v>
      </c>
      <c r="U1697" t="str">
        <f>IF('906MP'!J1397&gt;0,CONCATENATE('906MP'!J1397," - ",'906MP'!P1397,", ",'906MP'!E1397),"nincs megjegyzés")</f>
        <v>nincs megjegyzés</v>
      </c>
      <c r="V1697" t="str">
        <f t="shared" si="494"/>
        <v>0P0</v>
      </c>
      <c r="W1697" t="str">
        <f t="shared" si="495"/>
        <v>0P0</v>
      </c>
      <c r="X1697" t="str">
        <f t="shared" si="496"/>
        <v>P0</v>
      </c>
      <c r="Y1697" t="str">
        <f t="shared" si="497"/>
        <v>00</v>
      </c>
      <c r="Z1697" t="str">
        <f t="shared" si="508"/>
        <v>00</v>
      </c>
      <c r="AA1697" t="str">
        <f t="shared" si="498"/>
        <v>00</v>
      </c>
      <c r="AB1697" t="str">
        <f t="shared" si="499"/>
        <v>00</v>
      </c>
      <c r="AC1697" t="str">
        <f t="shared" si="500"/>
        <v>0P0</v>
      </c>
      <c r="AD1697" t="str">
        <f t="shared" si="501"/>
        <v>P00</v>
      </c>
      <c r="AE1697" t="str">
        <f t="shared" si="502"/>
        <v>0P0</v>
      </c>
      <c r="AF1697" t="str">
        <f t="shared" si="503"/>
        <v>P00</v>
      </c>
      <c r="AG1697" t="str">
        <f t="shared" si="509"/>
        <v>0P00</v>
      </c>
      <c r="AH1697" t="str">
        <f t="shared" si="510"/>
        <v>P000</v>
      </c>
      <c r="AI1697" t="str">
        <f t="shared" si="511"/>
        <v>0P00</v>
      </c>
      <c r="AJ1697" t="str">
        <f t="shared" si="512"/>
        <v>P000</v>
      </c>
    </row>
    <row r="1698" spans="1:36" x14ac:dyDescent="0.25">
      <c r="A1698" s="325" t="str">
        <f>CONCATENATE("P",'906MP'!M1398)</f>
        <v>P</v>
      </c>
      <c r="B1698">
        <f>'906MP'!H1398</f>
        <v>0</v>
      </c>
      <c r="C1698">
        <f>'906MP'!J1398</f>
        <v>0</v>
      </c>
      <c r="D1698">
        <f>'906MP'!P1398</f>
        <v>0</v>
      </c>
      <c r="E1698">
        <f>'906MP'!X1398</f>
        <v>0</v>
      </c>
      <c r="F1698" t="str">
        <f t="shared" si="504"/>
        <v>0</v>
      </c>
      <c r="G1698" t="str">
        <f t="shared" si="505"/>
        <v>0</v>
      </c>
      <c r="H1698">
        <f>'906MP'!Y1398</f>
        <v>0</v>
      </c>
      <c r="I1698">
        <f>'906MP'!AK1398</f>
        <v>0</v>
      </c>
      <c r="J1698">
        <f>'906MP'!T1398</f>
        <v>0</v>
      </c>
      <c r="K1698">
        <f>'906MP'!AJ1398</f>
        <v>0</v>
      </c>
      <c r="L1698">
        <f>'906MP'!U1398</f>
        <v>0</v>
      </c>
      <c r="M1698" s="322" t="str">
        <f>IFERROR(VLOOKUP(A1698,PAR!$D$3:$E$53,2,FALSE),"nincs szervezet")</f>
        <v>nincs szervezet</v>
      </c>
      <c r="N1698" s="322" t="str">
        <f>VLOOKUP(F1698,PAR!$R$3:$S$5,2,FALSE)</f>
        <v>3 - egyik sem</v>
      </c>
      <c r="O1698" t="str">
        <f>IFERROR(VLOOKUP(J1698,PAR!$O$3:$P$5,2,FALSE),"nincs feladat")</f>
        <v>nincs feladat</v>
      </c>
      <c r="P1698" t="str">
        <f>IFERROR(VLOOKUP(G1698,PAR!$J$2:$M$19,4),"nincs rovat")</f>
        <v>nincs rovat</v>
      </c>
      <c r="Q1698" t="str">
        <f>IF(H1698&gt;0,VLOOKUP(H1698,PAR!$AA$3:$AC$187,3,FALSE),"nincs főkönyvi számla")</f>
        <v>nincs főkönyvi számla</v>
      </c>
      <c r="R1698" t="str">
        <f>IFERROR(VLOOKUP(K1698,PAR!$V$3:$X$438,3,FALSE),"000000 - Nincs COFOG")</f>
        <v>000000 - Nincs COFOG</v>
      </c>
      <c r="S1698">
        <f t="shared" si="506"/>
        <v>0</v>
      </c>
      <c r="T1698">
        <f t="shared" si="507"/>
        <v>0</v>
      </c>
      <c r="U1698" t="str">
        <f>IF('906MP'!J1398&gt;0,CONCATENATE('906MP'!J1398," - ",'906MP'!P1398,", ",'906MP'!E1398),"nincs megjegyzés")</f>
        <v>nincs megjegyzés</v>
      </c>
      <c r="V1698" t="str">
        <f t="shared" si="494"/>
        <v>0P0</v>
      </c>
      <c r="W1698" t="str">
        <f t="shared" si="495"/>
        <v>0P0</v>
      </c>
      <c r="X1698" t="str">
        <f t="shared" si="496"/>
        <v>P0</v>
      </c>
      <c r="Y1698" t="str">
        <f t="shared" si="497"/>
        <v>00</v>
      </c>
      <c r="Z1698" t="str">
        <f t="shared" si="508"/>
        <v>00</v>
      </c>
      <c r="AA1698" t="str">
        <f t="shared" si="498"/>
        <v>00</v>
      </c>
      <c r="AB1698" t="str">
        <f t="shared" si="499"/>
        <v>00</v>
      </c>
      <c r="AC1698" t="str">
        <f t="shared" si="500"/>
        <v>0P0</v>
      </c>
      <c r="AD1698" t="str">
        <f t="shared" si="501"/>
        <v>P00</v>
      </c>
      <c r="AE1698" t="str">
        <f t="shared" si="502"/>
        <v>0P0</v>
      </c>
      <c r="AF1698" t="str">
        <f t="shared" si="503"/>
        <v>P00</v>
      </c>
      <c r="AG1698" t="str">
        <f t="shared" si="509"/>
        <v>0P00</v>
      </c>
      <c r="AH1698" t="str">
        <f t="shared" si="510"/>
        <v>P000</v>
      </c>
      <c r="AI1698" t="str">
        <f t="shared" si="511"/>
        <v>0P00</v>
      </c>
      <c r="AJ1698" t="str">
        <f t="shared" si="512"/>
        <v>P000</v>
      </c>
    </row>
    <row r="1699" spans="1:36" x14ac:dyDescent="0.25">
      <c r="A1699" s="325" t="str">
        <f>CONCATENATE("P",'906MP'!M1399)</f>
        <v>P</v>
      </c>
      <c r="B1699">
        <f>'906MP'!H1399</f>
        <v>0</v>
      </c>
      <c r="C1699">
        <f>'906MP'!J1399</f>
        <v>0</v>
      </c>
      <c r="D1699">
        <f>'906MP'!P1399</f>
        <v>0</v>
      </c>
      <c r="E1699">
        <f>'906MP'!X1399</f>
        <v>0</v>
      </c>
      <c r="F1699" t="str">
        <f t="shared" si="504"/>
        <v>0</v>
      </c>
      <c r="G1699" t="str">
        <f t="shared" si="505"/>
        <v>0</v>
      </c>
      <c r="H1699">
        <f>'906MP'!Y1399</f>
        <v>0</v>
      </c>
      <c r="I1699">
        <f>'906MP'!AK1399</f>
        <v>0</v>
      </c>
      <c r="J1699">
        <f>'906MP'!T1399</f>
        <v>0</v>
      </c>
      <c r="K1699">
        <f>'906MP'!AJ1399</f>
        <v>0</v>
      </c>
      <c r="L1699">
        <f>'906MP'!U1399</f>
        <v>0</v>
      </c>
      <c r="M1699" s="322" t="str">
        <f>IFERROR(VLOOKUP(A1699,PAR!$D$3:$E$53,2,FALSE),"nincs szervezet")</f>
        <v>nincs szervezet</v>
      </c>
      <c r="N1699" s="322" t="str">
        <f>VLOOKUP(F1699,PAR!$R$3:$S$5,2,FALSE)</f>
        <v>3 - egyik sem</v>
      </c>
      <c r="O1699" t="str">
        <f>IFERROR(VLOOKUP(J1699,PAR!$O$3:$P$5,2,FALSE),"nincs feladat")</f>
        <v>nincs feladat</v>
      </c>
      <c r="P1699" t="str">
        <f>IFERROR(VLOOKUP(G1699,PAR!$J$2:$M$19,4),"nincs rovat")</f>
        <v>nincs rovat</v>
      </c>
      <c r="Q1699" t="str">
        <f>IF(H1699&gt;0,VLOOKUP(H1699,PAR!$AA$3:$AC$187,3,FALSE),"nincs főkönyvi számla")</f>
        <v>nincs főkönyvi számla</v>
      </c>
      <c r="R1699" t="str">
        <f>IFERROR(VLOOKUP(K1699,PAR!$V$3:$X$438,3,FALSE),"000000 - Nincs COFOG")</f>
        <v>000000 - Nincs COFOG</v>
      </c>
      <c r="S1699">
        <f t="shared" si="506"/>
        <v>0</v>
      </c>
      <c r="T1699">
        <f t="shared" si="507"/>
        <v>0</v>
      </c>
      <c r="U1699" t="str">
        <f>IF('906MP'!J1399&gt;0,CONCATENATE('906MP'!J1399," - ",'906MP'!P1399,", ",'906MP'!E1399),"nincs megjegyzés")</f>
        <v>nincs megjegyzés</v>
      </c>
      <c r="V1699" t="str">
        <f t="shared" si="494"/>
        <v>0P0</v>
      </c>
      <c r="W1699" t="str">
        <f t="shared" si="495"/>
        <v>0P0</v>
      </c>
      <c r="X1699" t="str">
        <f t="shared" si="496"/>
        <v>P0</v>
      </c>
      <c r="Y1699" t="str">
        <f t="shared" si="497"/>
        <v>00</v>
      </c>
      <c r="Z1699" t="str">
        <f t="shared" si="508"/>
        <v>00</v>
      </c>
      <c r="AA1699" t="str">
        <f t="shared" si="498"/>
        <v>00</v>
      </c>
      <c r="AB1699" t="str">
        <f t="shared" si="499"/>
        <v>00</v>
      </c>
      <c r="AC1699" t="str">
        <f t="shared" si="500"/>
        <v>0P0</v>
      </c>
      <c r="AD1699" t="str">
        <f t="shared" si="501"/>
        <v>P00</v>
      </c>
      <c r="AE1699" t="str">
        <f t="shared" si="502"/>
        <v>0P0</v>
      </c>
      <c r="AF1699" t="str">
        <f t="shared" si="503"/>
        <v>P00</v>
      </c>
      <c r="AG1699" t="str">
        <f t="shared" si="509"/>
        <v>0P00</v>
      </c>
      <c r="AH1699" t="str">
        <f t="shared" si="510"/>
        <v>P000</v>
      </c>
      <c r="AI1699" t="str">
        <f t="shared" si="511"/>
        <v>0P00</v>
      </c>
      <c r="AJ1699" t="str">
        <f t="shared" si="512"/>
        <v>P000</v>
      </c>
    </row>
    <row r="1700" spans="1:36" x14ac:dyDescent="0.25">
      <c r="A1700" s="325" t="str">
        <f>CONCATENATE("P",'906MP'!M1400)</f>
        <v>P</v>
      </c>
      <c r="B1700">
        <f>'906MP'!H1400</f>
        <v>0</v>
      </c>
      <c r="C1700">
        <f>'906MP'!J1400</f>
        <v>0</v>
      </c>
      <c r="D1700">
        <f>'906MP'!P1400</f>
        <v>0</v>
      </c>
      <c r="E1700">
        <f>'906MP'!X1400</f>
        <v>0</v>
      </c>
      <c r="F1700" t="str">
        <f t="shared" si="504"/>
        <v>0</v>
      </c>
      <c r="G1700" t="str">
        <f t="shared" si="505"/>
        <v>0</v>
      </c>
      <c r="H1700">
        <f>'906MP'!Y1400</f>
        <v>0</v>
      </c>
      <c r="I1700">
        <f>'906MP'!AK1400</f>
        <v>0</v>
      </c>
      <c r="J1700">
        <f>'906MP'!T1400</f>
        <v>0</v>
      </c>
      <c r="K1700">
        <f>'906MP'!AJ1400</f>
        <v>0</v>
      </c>
      <c r="L1700">
        <f>'906MP'!U1400</f>
        <v>0</v>
      </c>
      <c r="M1700" s="322" t="str">
        <f>IFERROR(VLOOKUP(A1700,PAR!$D$3:$E$53,2,FALSE),"nincs szervezet")</f>
        <v>nincs szervezet</v>
      </c>
      <c r="N1700" s="322" t="str">
        <f>VLOOKUP(F1700,PAR!$R$3:$S$5,2,FALSE)</f>
        <v>3 - egyik sem</v>
      </c>
      <c r="O1700" t="str">
        <f>IFERROR(VLOOKUP(J1700,PAR!$O$3:$P$5,2,FALSE),"nincs feladat")</f>
        <v>nincs feladat</v>
      </c>
      <c r="P1700" t="str">
        <f>IFERROR(VLOOKUP(G1700,PAR!$J$2:$M$19,4),"nincs rovat")</f>
        <v>nincs rovat</v>
      </c>
      <c r="Q1700" t="str">
        <f>IF(H1700&gt;0,VLOOKUP(H1700,PAR!$AA$3:$AC$187,3,FALSE),"nincs főkönyvi számla")</f>
        <v>nincs főkönyvi számla</v>
      </c>
      <c r="R1700" t="str">
        <f>IFERROR(VLOOKUP(K1700,PAR!$V$3:$X$438,3,FALSE),"000000 - Nincs COFOG")</f>
        <v>000000 - Nincs COFOG</v>
      </c>
      <c r="S1700">
        <f t="shared" si="506"/>
        <v>0</v>
      </c>
      <c r="T1700">
        <f t="shared" si="507"/>
        <v>0</v>
      </c>
      <c r="U1700" t="str">
        <f>IF('906MP'!J1400&gt;0,CONCATENATE('906MP'!J1400," - ",'906MP'!P1400,", ",'906MP'!E1400),"nincs megjegyzés")</f>
        <v>nincs megjegyzés</v>
      </c>
      <c r="V1700" t="str">
        <f t="shared" si="494"/>
        <v>0P0</v>
      </c>
      <c r="W1700" t="str">
        <f t="shared" si="495"/>
        <v>0P0</v>
      </c>
      <c r="X1700" t="str">
        <f t="shared" si="496"/>
        <v>P0</v>
      </c>
      <c r="Y1700" t="str">
        <f t="shared" si="497"/>
        <v>00</v>
      </c>
      <c r="Z1700" t="str">
        <f t="shared" si="508"/>
        <v>00</v>
      </c>
      <c r="AA1700" t="str">
        <f t="shared" si="498"/>
        <v>00</v>
      </c>
      <c r="AB1700" t="str">
        <f t="shared" si="499"/>
        <v>00</v>
      </c>
      <c r="AC1700" t="str">
        <f t="shared" si="500"/>
        <v>0P0</v>
      </c>
      <c r="AD1700" t="str">
        <f t="shared" si="501"/>
        <v>P00</v>
      </c>
      <c r="AE1700" t="str">
        <f t="shared" si="502"/>
        <v>0P0</v>
      </c>
      <c r="AF1700" t="str">
        <f t="shared" si="503"/>
        <v>P00</v>
      </c>
      <c r="AG1700" t="str">
        <f t="shared" si="509"/>
        <v>0P00</v>
      </c>
      <c r="AH1700" t="str">
        <f t="shared" si="510"/>
        <v>P000</v>
      </c>
      <c r="AI1700" t="str">
        <f t="shared" si="511"/>
        <v>0P00</v>
      </c>
      <c r="AJ1700" t="str">
        <f t="shared" si="512"/>
        <v>P000</v>
      </c>
    </row>
    <row r="1701" spans="1:36" x14ac:dyDescent="0.25">
      <c r="A1701" s="325" t="str">
        <f>CONCATENATE("P",'906MP'!M1401)</f>
        <v>P</v>
      </c>
      <c r="B1701">
        <f>'906MP'!H1401</f>
        <v>0</v>
      </c>
      <c r="C1701">
        <f>'906MP'!J1401</f>
        <v>0</v>
      </c>
      <c r="D1701">
        <f>'906MP'!P1401</f>
        <v>0</v>
      </c>
      <c r="E1701">
        <f>'906MP'!X1401</f>
        <v>0</v>
      </c>
      <c r="F1701" t="str">
        <f t="shared" si="504"/>
        <v>0</v>
      </c>
      <c r="G1701" t="str">
        <f t="shared" si="505"/>
        <v>0</v>
      </c>
      <c r="H1701">
        <f>'906MP'!Y1401</f>
        <v>0</v>
      </c>
      <c r="I1701">
        <f>'906MP'!AK1401</f>
        <v>0</v>
      </c>
      <c r="J1701">
        <f>'906MP'!T1401</f>
        <v>0</v>
      </c>
      <c r="K1701">
        <f>'906MP'!AJ1401</f>
        <v>0</v>
      </c>
      <c r="L1701">
        <f>'906MP'!U1401</f>
        <v>0</v>
      </c>
      <c r="M1701" s="322" t="str">
        <f>IFERROR(VLOOKUP(A1701,PAR!$D$3:$E$53,2,FALSE),"nincs szervezet")</f>
        <v>nincs szervezet</v>
      </c>
      <c r="N1701" s="322" t="str">
        <f>VLOOKUP(F1701,PAR!$R$3:$S$5,2,FALSE)</f>
        <v>3 - egyik sem</v>
      </c>
      <c r="O1701" t="str">
        <f>IFERROR(VLOOKUP(J1701,PAR!$O$3:$P$5,2,FALSE),"nincs feladat")</f>
        <v>nincs feladat</v>
      </c>
      <c r="P1701" t="str">
        <f>IFERROR(VLOOKUP(G1701,PAR!$J$2:$M$19,4),"nincs rovat")</f>
        <v>nincs rovat</v>
      </c>
      <c r="Q1701" t="str">
        <f>IF(H1701&gt;0,VLOOKUP(H1701,PAR!$AA$3:$AC$187,3,FALSE),"nincs főkönyvi számla")</f>
        <v>nincs főkönyvi számla</v>
      </c>
      <c r="R1701" t="str">
        <f>IFERROR(VLOOKUP(K1701,PAR!$V$3:$X$438,3,FALSE),"000000 - Nincs COFOG")</f>
        <v>000000 - Nincs COFOG</v>
      </c>
      <c r="S1701">
        <f t="shared" si="506"/>
        <v>0</v>
      </c>
      <c r="T1701">
        <f t="shared" si="507"/>
        <v>0</v>
      </c>
      <c r="U1701" t="str">
        <f>IF('906MP'!J1401&gt;0,CONCATENATE('906MP'!J1401," - ",'906MP'!P1401,", ",'906MP'!E1401),"nincs megjegyzés")</f>
        <v>nincs megjegyzés</v>
      </c>
      <c r="V1701" t="str">
        <f t="shared" si="494"/>
        <v>0P0</v>
      </c>
      <c r="W1701" t="str">
        <f t="shared" si="495"/>
        <v>0P0</v>
      </c>
      <c r="X1701" t="str">
        <f t="shared" si="496"/>
        <v>P0</v>
      </c>
      <c r="Y1701" t="str">
        <f t="shared" si="497"/>
        <v>00</v>
      </c>
      <c r="Z1701" t="str">
        <f t="shared" si="508"/>
        <v>00</v>
      </c>
      <c r="AA1701" t="str">
        <f t="shared" si="498"/>
        <v>00</v>
      </c>
      <c r="AB1701" t="str">
        <f t="shared" si="499"/>
        <v>00</v>
      </c>
      <c r="AC1701" t="str">
        <f t="shared" si="500"/>
        <v>0P0</v>
      </c>
      <c r="AD1701" t="str">
        <f t="shared" si="501"/>
        <v>P00</v>
      </c>
      <c r="AE1701" t="str">
        <f t="shared" si="502"/>
        <v>0P0</v>
      </c>
      <c r="AF1701" t="str">
        <f t="shared" si="503"/>
        <v>P00</v>
      </c>
      <c r="AG1701" t="str">
        <f t="shared" si="509"/>
        <v>0P00</v>
      </c>
      <c r="AH1701" t="str">
        <f t="shared" si="510"/>
        <v>P000</v>
      </c>
      <c r="AI1701" t="str">
        <f t="shared" si="511"/>
        <v>0P00</v>
      </c>
      <c r="AJ1701" t="str">
        <f t="shared" si="512"/>
        <v>P000</v>
      </c>
    </row>
    <row r="1702" spans="1:36" x14ac:dyDescent="0.25">
      <c r="A1702" s="325" t="str">
        <f>CONCATENATE("P",'906MP'!M1402)</f>
        <v>P</v>
      </c>
      <c r="B1702">
        <f>'906MP'!H1402</f>
        <v>0</v>
      </c>
      <c r="C1702">
        <f>'906MP'!J1402</f>
        <v>0</v>
      </c>
      <c r="D1702">
        <f>'906MP'!P1402</f>
        <v>0</v>
      </c>
      <c r="E1702">
        <f>'906MP'!X1402</f>
        <v>0</v>
      </c>
      <c r="F1702" t="str">
        <f t="shared" si="504"/>
        <v>0</v>
      </c>
      <c r="G1702" t="str">
        <f t="shared" si="505"/>
        <v>0</v>
      </c>
      <c r="H1702">
        <f>'906MP'!Y1402</f>
        <v>0</v>
      </c>
      <c r="I1702">
        <f>'906MP'!AK1402</f>
        <v>0</v>
      </c>
      <c r="J1702">
        <f>'906MP'!T1402</f>
        <v>0</v>
      </c>
      <c r="K1702">
        <f>'906MP'!AJ1402</f>
        <v>0</v>
      </c>
      <c r="L1702">
        <f>'906MP'!U1402</f>
        <v>0</v>
      </c>
      <c r="M1702" s="322" t="str">
        <f>IFERROR(VLOOKUP(A1702,PAR!$D$3:$E$53,2,FALSE),"nincs szervezet")</f>
        <v>nincs szervezet</v>
      </c>
      <c r="N1702" s="322" t="str">
        <f>VLOOKUP(F1702,PAR!$R$3:$S$5,2,FALSE)</f>
        <v>3 - egyik sem</v>
      </c>
      <c r="O1702" t="str">
        <f>IFERROR(VLOOKUP(J1702,PAR!$O$3:$P$5,2,FALSE),"nincs feladat")</f>
        <v>nincs feladat</v>
      </c>
      <c r="P1702" t="str">
        <f>IFERROR(VLOOKUP(G1702,PAR!$J$2:$M$19,4),"nincs rovat")</f>
        <v>nincs rovat</v>
      </c>
      <c r="Q1702" t="str">
        <f>IF(H1702&gt;0,VLOOKUP(H1702,PAR!$AA$3:$AC$187,3,FALSE),"nincs főkönyvi számla")</f>
        <v>nincs főkönyvi számla</v>
      </c>
      <c r="R1702" t="str">
        <f>IFERROR(VLOOKUP(K1702,PAR!$V$3:$X$438,3,FALSE),"000000 - Nincs COFOG")</f>
        <v>000000 - Nincs COFOG</v>
      </c>
      <c r="S1702">
        <f t="shared" si="506"/>
        <v>0</v>
      </c>
      <c r="T1702">
        <f t="shared" si="507"/>
        <v>0</v>
      </c>
      <c r="U1702" t="str">
        <f>IF('906MP'!J1402&gt;0,CONCATENATE('906MP'!J1402," - ",'906MP'!P1402,", ",'906MP'!E1402),"nincs megjegyzés")</f>
        <v>nincs megjegyzés</v>
      </c>
      <c r="V1702" t="str">
        <f t="shared" si="494"/>
        <v>0P0</v>
      </c>
      <c r="W1702" t="str">
        <f t="shared" si="495"/>
        <v>0P0</v>
      </c>
      <c r="X1702" t="str">
        <f t="shared" si="496"/>
        <v>P0</v>
      </c>
      <c r="Y1702" t="str">
        <f t="shared" si="497"/>
        <v>00</v>
      </c>
      <c r="Z1702" t="str">
        <f t="shared" si="508"/>
        <v>00</v>
      </c>
      <c r="AA1702" t="str">
        <f t="shared" si="498"/>
        <v>00</v>
      </c>
      <c r="AB1702" t="str">
        <f t="shared" si="499"/>
        <v>00</v>
      </c>
      <c r="AC1702" t="str">
        <f t="shared" si="500"/>
        <v>0P0</v>
      </c>
      <c r="AD1702" t="str">
        <f t="shared" si="501"/>
        <v>P00</v>
      </c>
      <c r="AE1702" t="str">
        <f t="shared" si="502"/>
        <v>0P0</v>
      </c>
      <c r="AF1702" t="str">
        <f t="shared" si="503"/>
        <v>P00</v>
      </c>
      <c r="AG1702" t="str">
        <f t="shared" si="509"/>
        <v>0P00</v>
      </c>
      <c r="AH1702" t="str">
        <f t="shared" si="510"/>
        <v>P000</v>
      </c>
      <c r="AI1702" t="str">
        <f t="shared" si="511"/>
        <v>0P00</v>
      </c>
      <c r="AJ1702" t="str">
        <f t="shared" si="512"/>
        <v>P000</v>
      </c>
    </row>
    <row r="1703" spans="1:36" x14ac:dyDescent="0.25">
      <c r="A1703" s="325" t="str">
        <f>CONCATENATE("P",'906MP'!M1403)</f>
        <v>P</v>
      </c>
      <c r="B1703">
        <f>'906MP'!H1403</f>
        <v>0</v>
      </c>
      <c r="C1703">
        <f>'906MP'!J1403</f>
        <v>0</v>
      </c>
      <c r="D1703">
        <f>'906MP'!P1403</f>
        <v>0</v>
      </c>
      <c r="E1703">
        <f>'906MP'!X1403</f>
        <v>0</v>
      </c>
      <c r="F1703" t="str">
        <f t="shared" si="504"/>
        <v>0</v>
      </c>
      <c r="G1703" t="str">
        <f t="shared" si="505"/>
        <v>0</v>
      </c>
      <c r="H1703">
        <f>'906MP'!Y1403</f>
        <v>0</v>
      </c>
      <c r="I1703">
        <f>'906MP'!AK1403</f>
        <v>0</v>
      </c>
      <c r="J1703">
        <f>'906MP'!T1403</f>
        <v>0</v>
      </c>
      <c r="K1703">
        <f>'906MP'!AJ1403</f>
        <v>0</v>
      </c>
      <c r="L1703">
        <f>'906MP'!U1403</f>
        <v>0</v>
      </c>
      <c r="M1703" s="322" t="str">
        <f>IFERROR(VLOOKUP(A1703,PAR!$D$3:$E$53,2,FALSE),"nincs szervezet")</f>
        <v>nincs szervezet</v>
      </c>
      <c r="N1703" s="322" t="str">
        <f>VLOOKUP(F1703,PAR!$R$3:$S$5,2,FALSE)</f>
        <v>3 - egyik sem</v>
      </c>
      <c r="O1703" t="str">
        <f>IFERROR(VLOOKUP(J1703,PAR!$O$3:$P$5,2,FALSE),"nincs feladat")</f>
        <v>nincs feladat</v>
      </c>
      <c r="P1703" t="str">
        <f>IFERROR(VLOOKUP(G1703,PAR!$J$2:$M$19,4),"nincs rovat")</f>
        <v>nincs rovat</v>
      </c>
      <c r="Q1703" t="str">
        <f>IF(H1703&gt;0,VLOOKUP(H1703,PAR!$AA$3:$AC$187,3,FALSE),"nincs főkönyvi számla")</f>
        <v>nincs főkönyvi számla</v>
      </c>
      <c r="R1703" t="str">
        <f>IFERROR(VLOOKUP(K1703,PAR!$V$3:$X$438,3,FALSE),"000000 - Nincs COFOG")</f>
        <v>000000 - Nincs COFOG</v>
      </c>
      <c r="S1703">
        <f t="shared" si="506"/>
        <v>0</v>
      </c>
      <c r="T1703">
        <f t="shared" si="507"/>
        <v>0</v>
      </c>
      <c r="U1703" t="str">
        <f>IF('906MP'!J1403&gt;0,CONCATENATE('906MP'!J1403," - ",'906MP'!P1403,", ",'906MP'!E1403),"nincs megjegyzés")</f>
        <v>nincs megjegyzés</v>
      </c>
      <c r="V1703" t="str">
        <f t="shared" si="494"/>
        <v>0P0</v>
      </c>
      <c r="W1703" t="str">
        <f t="shared" si="495"/>
        <v>0P0</v>
      </c>
      <c r="X1703" t="str">
        <f t="shared" si="496"/>
        <v>P0</v>
      </c>
      <c r="Y1703" t="str">
        <f t="shared" si="497"/>
        <v>00</v>
      </c>
      <c r="Z1703" t="str">
        <f t="shared" si="508"/>
        <v>00</v>
      </c>
      <c r="AA1703" t="str">
        <f t="shared" si="498"/>
        <v>00</v>
      </c>
      <c r="AB1703" t="str">
        <f t="shared" si="499"/>
        <v>00</v>
      </c>
      <c r="AC1703" t="str">
        <f t="shared" si="500"/>
        <v>0P0</v>
      </c>
      <c r="AD1703" t="str">
        <f t="shared" si="501"/>
        <v>P00</v>
      </c>
      <c r="AE1703" t="str">
        <f t="shared" si="502"/>
        <v>0P0</v>
      </c>
      <c r="AF1703" t="str">
        <f t="shared" si="503"/>
        <v>P00</v>
      </c>
      <c r="AG1703" t="str">
        <f t="shared" si="509"/>
        <v>0P00</v>
      </c>
      <c r="AH1703" t="str">
        <f t="shared" si="510"/>
        <v>P000</v>
      </c>
      <c r="AI1703" t="str">
        <f t="shared" si="511"/>
        <v>0P00</v>
      </c>
      <c r="AJ1703" t="str">
        <f t="shared" si="512"/>
        <v>P000</v>
      </c>
    </row>
    <row r="1704" spans="1:36" x14ac:dyDescent="0.25">
      <c r="A1704" s="325" t="str">
        <f>CONCATENATE("P",'906MP'!M1404)</f>
        <v>P</v>
      </c>
      <c r="B1704">
        <f>'906MP'!H1404</f>
        <v>0</v>
      </c>
      <c r="C1704">
        <f>'906MP'!J1404</f>
        <v>0</v>
      </c>
      <c r="D1704">
        <f>'906MP'!P1404</f>
        <v>0</v>
      </c>
      <c r="E1704">
        <f>'906MP'!X1404</f>
        <v>0</v>
      </c>
      <c r="F1704" t="str">
        <f t="shared" si="504"/>
        <v>0</v>
      </c>
      <c r="G1704" t="str">
        <f t="shared" si="505"/>
        <v>0</v>
      </c>
      <c r="H1704">
        <f>'906MP'!Y1404</f>
        <v>0</v>
      </c>
      <c r="I1704">
        <f>'906MP'!AK1404</f>
        <v>0</v>
      </c>
      <c r="J1704">
        <f>'906MP'!T1404</f>
        <v>0</v>
      </c>
      <c r="K1704">
        <f>'906MP'!AJ1404</f>
        <v>0</v>
      </c>
      <c r="L1704">
        <f>'906MP'!U1404</f>
        <v>0</v>
      </c>
      <c r="M1704" s="322" t="str">
        <f>IFERROR(VLOOKUP(A1704,PAR!$D$3:$E$53,2,FALSE),"nincs szervezet")</f>
        <v>nincs szervezet</v>
      </c>
      <c r="N1704" s="322" t="str">
        <f>VLOOKUP(F1704,PAR!$R$3:$S$5,2,FALSE)</f>
        <v>3 - egyik sem</v>
      </c>
      <c r="O1704" t="str">
        <f>IFERROR(VLOOKUP(J1704,PAR!$O$3:$P$5,2,FALSE),"nincs feladat")</f>
        <v>nincs feladat</v>
      </c>
      <c r="P1704" t="str">
        <f>IFERROR(VLOOKUP(G1704,PAR!$J$2:$M$19,4),"nincs rovat")</f>
        <v>nincs rovat</v>
      </c>
      <c r="Q1704" t="str">
        <f>IF(H1704&gt;0,VLOOKUP(H1704,PAR!$AA$3:$AC$187,3,FALSE),"nincs főkönyvi számla")</f>
        <v>nincs főkönyvi számla</v>
      </c>
      <c r="R1704" t="str">
        <f>IFERROR(VLOOKUP(K1704,PAR!$V$3:$X$438,3,FALSE),"000000 - Nincs COFOG")</f>
        <v>000000 - Nincs COFOG</v>
      </c>
      <c r="S1704">
        <f t="shared" si="506"/>
        <v>0</v>
      </c>
      <c r="T1704">
        <f t="shared" si="507"/>
        <v>0</v>
      </c>
      <c r="U1704" t="str">
        <f>IF('906MP'!J1404&gt;0,CONCATENATE('906MP'!J1404," - ",'906MP'!P1404,", ",'906MP'!E1404),"nincs megjegyzés")</f>
        <v>nincs megjegyzés</v>
      </c>
      <c r="V1704" t="str">
        <f t="shared" si="494"/>
        <v>0P0</v>
      </c>
      <c r="W1704" t="str">
        <f t="shared" si="495"/>
        <v>0P0</v>
      </c>
      <c r="X1704" t="str">
        <f t="shared" si="496"/>
        <v>P0</v>
      </c>
      <c r="Y1704" t="str">
        <f t="shared" si="497"/>
        <v>00</v>
      </c>
      <c r="Z1704" t="str">
        <f t="shared" si="508"/>
        <v>00</v>
      </c>
      <c r="AA1704" t="str">
        <f t="shared" si="498"/>
        <v>00</v>
      </c>
      <c r="AB1704" t="str">
        <f t="shared" si="499"/>
        <v>00</v>
      </c>
      <c r="AC1704" t="str">
        <f t="shared" si="500"/>
        <v>0P0</v>
      </c>
      <c r="AD1704" t="str">
        <f t="shared" si="501"/>
        <v>P00</v>
      </c>
      <c r="AE1704" t="str">
        <f t="shared" si="502"/>
        <v>0P0</v>
      </c>
      <c r="AF1704" t="str">
        <f t="shared" si="503"/>
        <v>P00</v>
      </c>
      <c r="AG1704" t="str">
        <f t="shared" si="509"/>
        <v>0P00</v>
      </c>
      <c r="AH1704" t="str">
        <f t="shared" si="510"/>
        <v>P000</v>
      </c>
      <c r="AI1704" t="str">
        <f t="shared" si="511"/>
        <v>0P00</v>
      </c>
      <c r="AJ1704" t="str">
        <f t="shared" si="512"/>
        <v>P000</v>
      </c>
    </row>
    <row r="1705" spans="1:36" x14ac:dyDescent="0.25">
      <c r="A1705" s="325" t="str">
        <f>CONCATENATE("P",'906MP'!M1405)</f>
        <v>P</v>
      </c>
      <c r="B1705">
        <f>'906MP'!H1405</f>
        <v>0</v>
      </c>
      <c r="C1705">
        <f>'906MP'!J1405</f>
        <v>0</v>
      </c>
      <c r="D1705">
        <f>'906MP'!P1405</f>
        <v>0</v>
      </c>
      <c r="E1705">
        <f>'906MP'!X1405</f>
        <v>0</v>
      </c>
      <c r="F1705" t="str">
        <f t="shared" si="504"/>
        <v>0</v>
      </c>
      <c r="G1705" t="str">
        <f t="shared" si="505"/>
        <v>0</v>
      </c>
      <c r="H1705">
        <f>'906MP'!Y1405</f>
        <v>0</v>
      </c>
      <c r="I1705">
        <f>'906MP'!AK1405</f>
        <v>0</v>
      </c>
      <c r="J1705">
        <f>'906MP'!T1405</f>
        <v>0</v>
      </c>
      <c r="K1705">
        <f>'906MP'!AJ1405</f>
        <v>0</v>
      </c>
      <c r="L1705">
        <f>'906MP'!U1405</f>
        <v>0</v>
      </c>
      <c r="M1705" s="322" t="str">
        <f>IFERROR(VLOOKUP(A1705,PAR!$D$3:$E$53,2,FALSE),"nincs szervezet")</f>
        <v>nincs szervezet</v>
      </c>
      <c r="N1705" s="322" t="str">
        <f>VLOOKUP(F1705,PAR!$R$3:$S$5,2,FALSE)</f>
        <v>3 - egyik sem</v>
      </c>
      <c r="O1705" t="str">
        <f>IFERROR(VLOOKUP(J1705,PAR!$O$3:$P$5,2,FALSE),"nincs feladat")</f>
        <v>nincs feladat</v>
      </c>
      <c r="P1705" t="str">
        <f>IFERROR(VLOOKUP(G1705,PAR!$J$2:$M$19,4),"nincs rovat")</f>
        <v>nincs rovat</v>
      </c>
      <c r="Q1705" t="str">
        <f>IF(H1705&gt;0,VLOOKUP(H1705,PAR!$AA$3:$AC$187,3,FALSE),"nincs főkönyvi számla")</f>
        <v>nincs főkönyvi számla</v>
      </c>
      <c r="R1705" t="str">
        <f>IFERROR(VLOOKUP(K1705,PAR!$V$3:$X$438,3,FALSE),"000000 - Nincs COFOG")</f>
        <v>000000 - Nincs COFOG</v>
      </c>
      <c r="S1705">
        <f t="shared" si="506"/>
        <v>0</v>
      </c>
      <c r="T1705">
        <f t="shared" si="507"/>
        <v>0</v>
      </c>
      <c r="U1705" t="str">
        <f>IF('906MP'!J1405&gt;0,CONCATENATE('906MP'!J1405," - ",'906MP'!P1405,", ",'906MP'!E1405),"nincs megjegyzés")</f>
        <v>nincs megjegyzés</v>
      </c>
      <c r="V1705" t="str">
        <f t="shared" si="494"/>
        <v>0P0</v>
      </c>
      <c r="W1705" t="str">
        <f t="shared" si="495"/>
        <v>0P0</v>
      </c>
      <c r="X1705" t="str">
        <f t="shared" si="496"/>
        <v>P0</v>
      </c>
      <c r="Y1705" t="str">
        <f t="shared" si="497"/>
        <v>00</v>
      </c>
      <c r="Z1705" t="str">
        <f t="shared" si="508"/>
        <v>00</v>
      </c>
      <c r="AA1705" t="str">
        <f t="shared" si="498"/>
        <v>00</v>
      </c>
      <c r="AB1705" t="str">
        <f t="shared" si="499"/>
        <v>00</v>
      </c>
      <c r="AC1705" t="str">
        <f t="shared" si="500"/>
        <v>0P0</v>
      </c>
      <c r="AD1705" t="str">
        <f t="shared" si="501"/>
        <v>P00</v>
      </c>
      <c r="AE1705" t="str">
        <f t="shared" si="502"/>
        <v>0P0</v>
      </c>
      <c r="AF1705" t="str">
        <f t="shared" si="503"/>
        <v>P00</v>
      </c>
      <c r="AG1705" t="str">
        <f t="shared" si="509"/>
        <v>0P00</v>
      </c>
      <c r="AH1705" t="str">
        <f t="shared" si="510"/>
        <v>P000</v>
      </c>
      <c r="AI1705" t="str">
        <f t="shared" si="511"/>
        <v>0P00</v>
      </c>
      <c r="AJ1705" t="str">
        <f t="shared" si="512"/>
        <v>P000</v>
      </c>
    </row>
    <row r="1706" spans="1:36" x14ac:dyDescent="0.25">
      <c r="A1706" s="325" t="str">
        <f>CONCATENATE("P",'906MP'!M1406)</f>
        <v>P</v>
      </c>
      <c r="B1706">
        <f>'906MP'!H1406</f>
        <v>0</v>
      </c>
      <c r="C1706">
        <f>'906MP'!J1406</f>
        <v>0</v>
      </c>
      <c r="D1706">
        <f>'906MP'!P1406</f>
        <v>0</v>
      </c>
      <c r="E1706">
        <f>'906MP'!X1406</f>
        <v>0</v>
      </c>
      <c r="F1706" t="str">
        <f t="shared" si="504"/>
        <v>0</v>
      </c>
      <c r="G1706" t="str">
        <f t="shared" si="505"/>
        <v>0</v>
      </c>
      <c r="H1706">
        <f>'906MP'!Y1406</f>
        <v>0</v>
      </c>
      <c r="I1706">
        <f>'906MP'!AK1406</f>
        <v>0</v>
      </c>
      <c r="J1706">
        <f>'906MP'!T1406</f>
        <v>0</v>
      </c>
      <c r="K1706">
        <f>'906MP'!AJ1406</f>
        <v>0</v>
      </c>
      <c r="L1706">
        <f>'906MP'!U1406</f>
        <v>0</v>
      </c>
      <c r="M1706" s="322" t="str">
        <f>IFERROR(VLOOKUP(A1706,PAR!$D$3:$E$53,2,FALSE),"nincs szervezet")</f>
        <v>nincs szervezet</v>
      </c>
      <c r="N1706" s="322" t="str">
        <f>VLOOKUP(F1706,PAR!$R$3:$S$5,2,FALSE)</f>
        <v>3 - egyik sem</v>
      </c>
      <c r="O1706" t="str">
        <f>IFERROR(VLOOKUP(J1706,PAR!$O$3:$P$5,2,FALSE),"nincs feladat")</f>
        <v>nincs feladat</v>
      </c>
      <c r="P1706" t="str">
        <f>IFERROR(VLOOKUP(G1706,PAR!$J$2:$M$19,4),"nincs rovat")</f>
        <v>nincs rovat</v>
      </c>
      <c r="Q1706" t="str">
        <f>IF(H1706&gt;0,VLOOKUP(H1706,PAR!$AA$3:$AC$187,3,FALSE),"nincs főkönyvi számla")</f>
        <v>nincs főkönyvi számla</v>
      </c>
      <c r="R1706" t="str">
        <f>IFERROR(VLOOKUP(K1706,PAR!$V$3:$X$438,3,FALSE),"000000 - Nincs COFOG")</f>
        <v>000000 - Nincs COFOG</v>
      </c>
      <c r="S1706">
        <f t="shared" si="506"/>
        <v>0</v>
      </c>
      <c r="T1706">
        <f t="shared" si="507"/>
        <v>0</v>
      </c>
      <c r="U1706" t="str">
        <f>IF('906MP'!J1406&gt;0,CONCATENATE('906MP'!J1406," - ",'906MP'!P1406,", ",'906MP'!E1406),"nincs megjegyzés")</f>
        <v>nincs megjegyzés</v>
      </c>
      <c r="V1706" t="str">
        <f t="shared" si="494"/>
        <v>0P0</v>
      </c>
      <c r="W1706" t="str">
        <f t="shared" si="495"/>
        <v>0P0</v>
      </c>
      <c r="X1706" t="str">
        <f t="shared" si="496"/>
        <v>P0</v>
      </c>
      <c r="Y1706" t="str">
        <f t="shared" si="497"/>
        <v>00</v>
      </c>
      <c r="Z1706" t="str">
        <f t="shared" si="508"/>
        <v>00</v>
      </c>
      <c r="AA1706" t="str">
        <f t="shared" si="498"/>
        <v>00</v>
      </c>
      <c r="AB1706" t="str">
        <f t="shared" si="499"/>
        <v>00</v>
      </c>
      <c r="AC1706" t="str">
        <f t="shared" si="500"/>
        <v>0P0</v>
      </c>
      <c r="AD1706" t="str">
        <f t="shared" si="501"/>
        <v>P00</v>
      </c>
      <c r="AE1706" t="str">
        <f t="shared" si="502"/>
        <v>0P0</v>
      </c>
      <c r="AF1706" t="str">
        <f t="shared" si="503"/>
        <v>P00</v>
      </c>
      <c r="AG1706" t="str">
        <f t="shared" si="509"/>
        <v>0P00</v>
      </c>
      <c r="AH1706" t="str">
        <f t="shared" si="510"/>
        <v>P000</v>
      </c>
      <c r="AI1706" t="str">
        <f t="shared" si="511"/>
        <v>0P00</v>
      </c>
      <c r="AJ1706" t="str">
        <f t="shared" si="512"/>
        <v>P000</v>
      </c>
    </row>
    <row r="1707" spans="1:36" x14ac:dyDescent="0.25">
      <c r="A1707" s="325" t="str">
        <f>CONCATENATE("P",'906MP'!M1407)</f>
        <v>P</v>
      </c>
      <c r="B1707">
        <f>'906MP'!H1407</f>
        <v>0</v>
      </c>
      <c r="C1707">
        <f>'906MP'!J1407</f>
        <v>0</v>
      </c>
      <c r="D1707">
        <f>'906MP'!P1407</f>
        <v>0</v>
      </c>
      <c r="E1707">
        <f>'906MP'!X1407</f>
        <v>0</v>
      </c>
      <c r="F1707" t="str">
        <f t="shared" si="504"/>
        <v>0</v>
      </c>
      <c r="G1707" t="str">
        <f t="shared" si="505"/>
        <v>0</v>
      </c>
      <c r="H1707">
        <f>'906MP'!Y1407</f>
        <v>0</v>
      </c>
      <c r="I1707">
        <f>'906MP'!AK1407</f>
        <v>0</v>
      </c>
      <c r="J1707">
        <f>'906MP'!T1407</f>
        <v>0</v>
      </c>
      <c r="K1707">
        <f>'906MP'!AJ1407</f>
        <v>0</v>
      </c>
      <c r="L1707">
        <f>'906MP'!U1407</f>
        <v>0</v>
      </c>
      <c r="M1707" s="322" t="str">
        <f>IFERROR(VLOOKUP(A1707,PAR!$D$3:$E$53,2,FALSE),"nincs szervezet")</f>
        <v>nincs szervezet</v>
      </c>
      <c r="N1707" s="322" t="str">
        <f>VLOOKUP(F1707,PAR!$R$3:$S$5,2,FALSE)</f>
        <v>3 - egyik sem</v>
      </c>
      <c r="O1707" t="str">
        <f>IFERROR(VLOOKUP(J1707,PAR!$O$3:$P$5,2,FALSE),"nincs feladat")</f>
        <v>nincs feladat</v>
      </c>
      <c r="P1707" t="str">
        <f>IFERROR(VLOOKUP(G1707,PAR!$J$2:$M$19,4),"nincs rovat")</f>
        <v>nincs rovat</v>
      </c>
      <c r="Q1707" t="str">
        <f>IF(H1707&gt;0,VLOOKUP(H1707,PAR!$AA$3:$AC$187,3,FALSE),"nincs főkönyvi számla")</f>
        <v>nincs főkönyvi számla</v>
      </c>
      <c r="R1707" t="str">
        <f>IFERROR(VLOOKUP(K1707,PAR!$V$3:$X$438,3,FALSE),"000000 - Nincs COFOG")</f>
        <v>000000 - Nincs COFOG</v>
      </c>
      <c r="S1707">
        <f t="shared" si="506"/>
        <v>0</v>
      </c>
      <c r="T1707">
        <f t="shared" si="507"/>
        <v>0</v>
      </c>
      <c r="U1707" t="str">
        <f>IF('906MP'!J1407&gt;0,CONCATENATE('906MP'!J1407," - ",'906MP'!P1407,", ",'906MP'!E1407),"nincs megjegyzés")</f>
        <v>nincs megjegyzés</v>
      </c>
      <c r="V1707" t="str">
        <f t="shared" si="494"/>
        <v>0P0</v>
      </c>
      <c r="W1707" t="str">
        <f t="shared" si="495"/>
        <v>0P0</v>
      </c>
      <c r="X1707" t="str">
        <f t="shared" si="496"/>
        <v>P0</v>
      </c>
      <c r="Y1707" t="str">
        <f t="shared" si="497"/>
        <v>00</v>
      </c>
      <c r="Z1707" t="str">
        <f t="shared" si="508"/>
        <v>00</v>
      </c>
      <c r="AA1707" t="str">
        <f t="shared" si="498"/>
        <v>00</v>
      </c>
      <c r="AB1707" t="str">
        <f t="shared" si="499"/>
        <v>00</v>
      </c>
      <c r="AC1707" t="str">
        <f t="shared" si="500"/>
        <v>0P0</v>
      </c>
      <c r="AD1707" t="str">
        <f t="shared" si="501"/>
        <v>P00</v>
      </c>
      <c r="AE1707" t="str">
        <f t="shared" si="502"/>
        <v>0P0</v>
      </c>
      <c r="AF1707" t="str">
        <f t="shared" si="503"/>
        <v>P00</v>
      </c>
      <c r="AG1707" t="str">
        <f t="shared" si="509"/>
        <v>0P00</v>
      </c>
      <c r="AH1707" t="str">
        <f t="shared" si="510"/>
        <v>P000</v>
      </c>
      <c r="AI1707" t="str">
        <f t="shared" si="511"/>
        <v>0P00</v>
      </c>
      <c r="AJ1707" t="str">
        <f t="shared" si="512"/>
        <v>P000</v>
      </c>
    </row>
    <row r="1708" spans="1:36" x14ac:dyDescent="0.25">
      <c r="A1708" s="325" t="str">
        <f>CONCATENATE("P",'906MP'!M1408)</f>
        <v>P</v>
      </c>
      <c r="B1708">
        <f>'906MP'!H1408</f>
        <v>0</v>
      </c>
      <c r="C1708">
        <f>'906MP'!J1408</f>
        <v>0</v>
      </c>
      <c r="D1708">
        <f>'906MP'!P1408</f>
        <v>0</v>
      </c>
      <c r="E1708">
        <f>'906MP'!X1408</f>
        <v>0</v>
      </c>
      <c r="F1708" t="str">
        <f t="shared" si="504"/>
        <v>0</v>
      </c>
      <c r="G1708" t="str">
        <f t="shared" si="505"/>
        <v>0</v>
      </c>
      <c r="H1708">
        <f>'906MP'!Y1408</f>
        <v>0</v>
      </c>
      <c r="I1708">
        <f>'906MP'!AK1408</f>
        <v>0</v>
      </c>
      <c r="J1708">
        <f>'906MP'!T1408</f>
        <v>0</v>
      </c>
      <c r="K1708">
        <f>'906MP'!AJ1408</f>
        <v>0</v>
      </c>
      <c r="L1708">
        <f>'906MP'!U1408</f>
        <v>0</v>
      </c>
      <c r="M1708" s="322" t="str">
        <f>IFERROR(VLOOKUP(A1708,PAR!$D$3:$E$53,2,FALSE),"nincs szervezet")</f>
        <v>nincs szervezet</v>
      </c>
      <c r="N1708" s="322" t="str">
        <f>VLOOKUP(F1708,PAR!$R$3:$S$5,2,FALSE)</f>
        <v>3 - egyik sem</v>
      </c>
      <c r="O1708" t="str">
        <f>IFERROR(VLOOKUP(J1708,PAR!$O$3:$P$5,2,FALSE),"nincs feladat")</f>
        <v>nincs feladat</v>
      </c>
      <c r="P1708" t="str">
        <f>IFERROR(VLOOKUP(G1708,PAR!$J$2:$M$19,4),"nincs rovat")</f>
        <v>nincs rovat</v>
      </c>
      <c r="Q1708" t="str">
        <f>IF(H1708&gt;0,VLOOKUP(H1708,PAR!$AA$3:$AC$187,3,FALSE),"nincs főkönyvi számla")</f>
        <v>nincs főkönyvi számla</v>
      </c>
      <c r="R1708" t="str">
        <f>IFERROR(VLOOKUP(K1708,PAR!$V$3:$X$438,3,FALSE),"000000 - Nincs COFOG")</f>
        <v>000000 - Nincs COFOG</v>
      </c>
      <c r="S1708">
        <f t="shared" si="506"/>
        <v>0</v>
      </c>
      <c r="T1708">
        <f t="shared" si="507"/>
        <v>0</v>
      </c>
      <c r="U1708" t="str">
        <f>IF('906MP'!J1408&gt;0,CONCATENATE('906MP'!J1408," - ",'906MP'!P1408,", ",'906MP'!E1408),"nincs megjegyzés")</f>
        <v>nincs megjegyzés</v>
      </c>
      <c r="V1708" t="str">
        <f t="shared" si="494"/>
        <v>0P0</v>
      </c>
      <c r="W1708" t="str">
        <f t="shared" si="495"/>
        <v>0P0</v>
      </c>
      <c r="X1708" t="str">
        <f t="shared" si="496"/>
        <v>P0</v>
      </c>
      <c r="Y1708" t="str">
        <f t="shared" si="497"/>
        <v>00</v>
      </c>
      <c r="Z1708" t="str">
        <f t="shared" si="508"/>
        <v>00</v>
      </c>
      <c r="AA1708" t="str">
        <f t="shared" si="498"/>
        <v>00</v>
      </c>
      <c r="AB1708" t="str">
        <f t="shared" si="499"/>
        <v>00</v>
      </c>
      <c r="AC1708" t="str">
        <f t="shared" si="500"/>
        <v>0P0</v>
      </c>
      <c r="AD1708" t="str">
        <f t="shared" si="501"/>
        <v>P00</v>
      </c>
      <c r="AE1708" t="str">
        <f t="shared" si="502"/>
        <v>0P0</v>
      </c>
      <c r="AF1708" t="str">
        <f t="shared" si="503"/>
        <v>P00</v>
      </c>
      <c r="AG1708" t="str">
        <f t="shared" si="509"/>
        <v>0P00</v>
      </c>
      <c r="AH1708" t="str">
        <f t="shared" si="510"/>
        <v>P000</v>
      </c>
      <c r="AI1708" t="str">
        <f t="shared" si="511"/>
        <v>0P00</v>
      </c>
      <c r="AJ1708" t="str">
        <f t="shared" si="512"/>
        <v>P000</v>
      </c>
    </row>
    <row r="1709" spans="1:36" x14ac:dyDescent="0.25">
      <c r="A1709" s="325" t="str">
        <f>CONCATENATE("P",'906MP'!M1409)</f>
        <v>P</v>
      </c>
      <c r="B1709">
        <f>'906MP'!H1409</f>
        <v>0</v>
      </c>
      <c r="C1709">
        <f>'906MP'!J1409</f>
        <v>0</v>
      </c>
      <c r="D1709">
        <f>'906MP'!P1409</f>
        <v>0</v>
      </c>
      <c r="E1709">
        <f>'906MP'!X1409</f>
        <v>0</v>
      </c>
      <c r="F1709" t="str">
        <f t="shared" si="504"/>
        <v>0</v>
      </c>
      <c r="G1709" t="str">
        <f t="shared" si="505"/>
        <v>0</v>
      </c>
      <c r="H1709">
        <f>'906MP'!Y1409</f>
        <v>0</v>
      </c>
      <c r="I1709">
        <f>'906MP'!AK1409</f>
        <v>0</v>
      </c>
      <c r="J1709">
        <f>'906MP'!T1409</f>
        <v>0</v>
      </c>
      <c r="K1709">
        <f>'906MP'!AJ1409</f>
        <v>0</v>
      </c>
      <c r="L1709">
        <f>'906MP'!U1409</f>
        <v>0</v>
      </c>
      <c r="M1709" s="322" t="str">
        <f>IFERROR(VLOOKUP(A1709,PAR!$D$3:$E$53,2,FALSE),"nincs szervezet")</f>
        <v>nincs szervezet</v>
      </c>
      <c r="N1709" s="322" t="str">
        <f>VLOOKUP(F1709,PAR!$R$3:$S$5,2,FALSE)</f>
        <v>3 - egyik sem</v>
      </c>
      <c r="O1709" t="str">
        <f>IFERROR(VLOOKUP(J1709,PAR!$O$3:$P$5,2,FALSE),"nincs feladat")</f>
        <v>nincs feladat</v>
      </c>
      <c r="P1709" t="str">
        <f>IFERROR(VLOOKUP(G1709,PAR!$J$2:$M$19,4),"nincs rovat")</f>
        <v>nincs rovat</v>
      </c>
      <c r="Q1709" t="str">
        <f>IF(H1709&gt;0,VLOOKUP(H1709,PAR!$AA$3:$AC$187,3,FALSE),"nincs főkönyvi számla")</f>
        <v>nincs főkönyvi számla</v>
      </c>
      <c r="R1709" t="str">
        <f>IFERROR(VLOOKUP(K1709,PAR!$V$3:$X$438,3,FALSE),"000000 - Nincs COFOG")</f>
        <v>000000 - Nincs COFOG</v>
      </c>
      <c r="S1709">
        <f t="shared" si="506"/>
        <v>0</v>
      </c>
      <c r="T1709">
        <f t="shared" si="507"/>
        <v>0</v>
      </c>
      <c r="U1709" t="str">
        <f>IF('906MP'!J1409&gt;0,CONCATENATE('906MP'!J1409," - ",'906MP'!P1409,", ",'906MP'!E1409),"nincs megjegyzés")</f>
        <v>nincs megjegyzés</v>
      </c>
      <c r="V1709" t="str">
        <f t="shared" si="494"/>
        <v>0P0</v>
      </c>
      <c r="W1709" t="str">
        <f t="shared" si="495"/>
        <v>0P0</v>
      </c>
      <c r="X1709" t="str">
        <f t="shared" si="496"/>
        <v>P0</v>
      </c>
      <c r="Y1709" t="str">
        <f t="shared" si="497"/>
        <v>00</v>
      </c>
      <c r="Z1709" t="str">
        <f t="shared" si="508"/>
        <v>00</v>
      </c>
      <c r="AA1709" t="str">
        <f t="shared" si="498"/>
        <v>00</v>
      </c>
      <c r="AB1709" t="str">
        <f t="shared" si="499"/>
        <v>00</v>
      </c>
      <c r="AC1709" t="str">
        <f t="shared" si="500"/>
        <v>0P0</v>
      </c>
      <c r="AD1709" t="str">
        <f t="shared" si="501"/>
        <v>P00</v>
      </c>
      <c r="AE1709" t="str">
        <f t="shared" si="502"/>
        <v>0P0</v>
      </c>
      <c r="AF1709" t="str">
        <f t="shared" si="503"/>
        <v>P00</v>
      </c>
      <c r="AG1709" t="str">
        <f t="shared" si="509"/>
        <v>0P00</v>
      </c>
      <c r="AH1709" t="str">
        <f t="shared" si="510"/>
        <v>P000</v>
      </c>
      <c r="AI1709" t="str">
        <f t="shared" si="511"/>
        <v>0P00</v>
      </c>
      <c r="AJ1709" t="str">
        <f t="shared" si="512"/>
        <v>P000</v>
      </c>
    </row>
    <row r="1710" spans="1:36" x14ac:dyDescent="0.25">
      <c r="A1710" s="325" t="str">
        <f>CONCATENATE("P",'906MP'!M1410)</f>
        <v>P</v>
      </c>
      <c r="B1710">
        <f>'906MP'!H1410</f>
        <v>0</v>
      </c>
      <c r="C1710">
        <f>'906MP'!J1410</f>
        <v>0</v>
      </c>
      <c r="D1710">
        <f>'906MP'!P1410</f>
        <v>0</v>
      </c>
      <c r="E1710">
        <f>'906MP'!X1410</f>
        <v>0</v>
      </c>
      <c r="F1710" t="str">
        <f t="shared" si="504"/>
        <v>0</v>
      </c>
      <c r="G1710" t="str">
        <f t="shared" si="505"/>
        <v>0</v>
      </c>
      <c r="H1710">
        <f>'906MP'!Y1410</f>
        <v>0</v>
      </c>
      <c r="I1710">
        <f>'906MP'!AK1410</f>
        <v>0</v>
      </c>
      <c r="J1710">
        <f>'906MP'!T1410</f>
        <v>0</v>
      </c>
      <c r="K1710">
        <f>'906MP'!AJ1410</f>
        <v>0</v>
      </c>
      <c r="L1710">
        <f>'906MP'!U1410</f>
        <v>0</v>
      </c>
      <c r="M1710" s="322" t="str">
        <f>IFERROR(VLOOKUP(A1710,PAR!$D$3:$E$53,2,FALSE),"nincs szervezet")</f>
        <v>nincs szervezet</v>
      </c>
      <c r="N1710" s="322" t="str">
        <f>VLOOKUP(F1710,PAR!$R$3:$S$5,2,FALSE)</f>
        <v>3 - egyik sem</v>
      </c>
      <c r="O1710" t="str">
        <f>IFERROR(VLOOKUP(J1710,PAR!$O$3:$P$5,2,FALSE),"nincs feladat")</f>
        <v>nincs feladat</v>
      </c>
      <c r="P1710" t="str">
        <f>IFERROR(VLOOKUP(G1710,PAR!$J$2:$M$19,4),"nincs rovat")</f>
        <v>nincs rovat</v>
      </c>
      <c r="Q1710" t="str">
        <f>IF(H1710&gt;0,VLOOKUP(H1710,PAR!$AA$3:$AC$187,3,FALSE),"nincs főkönyvi számla")</f>
        <v>nincs főkönyvi számla</v>
      </c>
      <c r="R1710" t="str">
        <f>IFERROR(VLOOKUP(K1710,PAR!$V$3:$X$438,3,FALSE),"000000 - Nincs COFOG")</f>
        <v>000000 - Nincs COFOG</v>
      </c>
      <c r="S1710">
        <f t="shared" si="506"/>
        <v>0</v>
      </c>
      <c r="T1710">
        <f t="shared" si="507"/>
        <v>0</v>
      </c>
      <c r="U1710" t="str">
        <f>IF('906MP'!J1410&gt;0,CONCATENATE('906MP'!J1410," - ",'906MP'!P1410,", ",'906MP'!E1410),"nincs megjegyzés")</f>
        <v>nincs megjegyzés</v>
      </c>
      <c r="V1710" t="str">
        <f t="shared" si="494"/>
        <v>0P0</v>
      </c>
      <c r="W1710" t="str">
        <f t="shared" si="495"/>
        <v>0P0</v>
      </c>
      <c r="X1710" t="str">
        <f t="shared" si="496"/>
        <v>P0</v>
      </c>
      <c r="Y1710" t="str">
        <f t="shared" si="497"/>
        <v>00</v>
      </c>
      <c r="Z1710" t="str">
        <f t="shared" si="508"/>
        <v>00</v>
      </c>
      <c r="AA1710" t="str">
        <f t="shared" si="498"/>
        <v>00</v>
      </c>
      <c r="AB1710" t="str">
        <f t="shared" si="499"/>
        <v>00</v>
      </c>
      <c r="AC1710" t="str">
        <f t="shared" si="500"/>
        <v>0P0</v>
      </c>
      <c r="AD1710" t="str">
        <f t="shared" si="501"/>
        <v>P00</v>
      </c>
      <c r="AE1710" t="str">
        <f t="shared" si="502"/>
        <v>0P0</v>
      </c>
      <c r="AF1710" t="str">
        <f t="shared" si="503"/>
        <v>P00</v>
      </c>
      <c r="AG1710" t="str">
        <f t="shared" si="509"/>
        <v>0P00</v>
      </c>
      <c r="AH1710" t="str">
        <f t="shared" si="510"/>
        <v>P000</v>
      </c>
      <c r="AI1710" t="str">
        <f t="shared" si="511"/>
        <v>0P00</v>
      </c>
      <c r="AJ1710" t="str">
        <f t="shared" si="512"/>
        <v>P000</v>
      </c>
    </row>
    <row r="1711" spans="1:36" x14ac:dyDescent="0.25">
      <c r="A1711" s="325" t="str">
        <f>CONCATENATE("P",'906MP'!M1411)</f>
        <v>P</v>
      </c>
      <c r="B1711">
        <f>'906MP'!H1411</f>
        <v>0</v>
      </c>
      <c r="C1711">
        <f>'906MP'!J1411</f>
        <v>0</v>
      </c>
      <c r="D1711">
        <f>'906MP'!P1411</f>
        <v>0</v>
      </c>
      <c r="E1711">
        <f>'906MP'!X1411</f>
        <v>0</v>
      </c>
      <c r="F1711" t="str">
        <f t="shared" si="504"/>
        <v>0</v>
      </c>
      <c r="G1711" t="str">
        <f t="shared" si="505"/>
        <v>0</v>
      </c>
      <c r="H1711">
        <f>'906MP'!Y1411</f>
        <v>0</v>
      </c>
      <c r="I1711">
        <f>'906MP'!AK1411</f>
        <v>0</v>
      </c>
      <c r="J1711">
        <f>'906MP'!T1411</f>
        <v>0</v>
      </c>
      <c r="K1711">
        <f>'906MP'!AJ1411</f>
        <v>0</v>
      </c>
      <c r="L1711">
        <f>'906MP'!U1411</f>
        <v>0</v>
      </c>
      <c r="M1711" s="322" t="str">
        <f>IFERROR(VLOOKUP(A1711,PAR!$D$3:$E$53,2,FALSE),"nincs szervezet")</f>
        <v>nincs szervezet</v>
      </c>
      <c r="N1711" s="322" t="str">
        <f>VLOOKUP(F1711,PAR!$R$3:$S$5,2,FALSE)</f>
        <v>3 - egyik sem</v>
      </c>
      <c r="O1711" t="str">
        <f>IFERROR(VLOOKUP(J1711,PAR!$O$3:$P$5,2,FALSE),"nincs feladat")</f>
        <v>nincs feladat</v>
      </c>
      <c r="P1711" t="str">
        <f>IFERROR(VLOOKUP(G1711,PAR!$J$2:$M$19,4),"nincs rovat")</f>
        <v>nincs rovat</v>
      </c>
      <c r="Q1711" t="str">
        <f>IF(H1711&gt;0,VLOOKUP(H1711,PAR!$AA$3:$AC$187,3,FALSE),"nincs főkönyvi számla")</f>
        <v>nincs főkönyvi számla</v>
      </c>
      <c r="R1711" t="str">
        <f>IFERROR(VLOOKUP(K1711,PAR!$V$3:$X$438,3,FALSE),"000000 - Nincs COFOG")</f>
        <v>000000 - Nincs COFOG</v>
      </c>
      <c r="S1711">
        <f t="shared" si="506"/>
        <v>0</v>
      </c>
      <c r="T1711">
        <f t="shared" si="507"/>
        <v>0</v>
      </c>
      <c r="U1711" t="str">
        <f>IF('906MP'!J1411&gt;0,CONCATENATE('906MP'!J1411," - ",'906MP'!P1411,", ",'906MP'!E1411),"nincs megjegyzés")</f>
        <v>nincs megjegyzés</v>
      </c>
      <c r="V1711" t="str">
        <f t="shared" si="494"/>
        <v>0P0</v>
      </c>
      <c r="W1711" t="str">
        <f t="shared" si="495"/>
        <v>0P0</v>
      </c>
      <c r="X1711" t="str">
        <f t="shared" si="496"/>
        <v>P0</v>
      </c>
      <c r="Y1711" t="str">
        <f t="shared" si="497"/>
        <v>00</v>
      </c>
      <c r="Z1711" t="str">
        <f t="shared" si="508"/>
        <v>00</v>
      </c>
      <c r="AA1711" t="str">
        <f t="shared" si="498"/>
        <v>00</v>
      </c>
      <c r="AB1711" t="str">
        <f t="shared" si="499"/>
        <v>00</v>
      </c>
      <c r="AC1711" t="str">
        <f t="shared" si="500"/>
        <v>0P0</v>
      </c>
      <c r="AD1711" t="str">
        <f t="shared" si="501"/>
        <v>P00</v>
      </c>
      <c r="AE1711" t="str">
        <f t="shared" si="502"/>
        <v>0P0</v>
      </c>
      <c r="AF1711" t="str">
        <f t="shared" si="503"/>
        <v>P00</v>
      </c>
      <c r="AG1711" t="str">
        <f t="shared" si="509"/>
        <v>0P00</v>
      </c>
      <c r="AH1711" t="str">
        <f t="shared" si="510"/>
        <v>P000</v>
      </c>
      <c r="AI1711" t="str">
        <f t="shared" si="511"/>
        <v>0P00</v>
      </c>
      <c r="AJ1711" t="str">
        <f t="shared" si="512"/>
        <v>P000</v>
      </c>
    </row>
    <row r="1712" spans="1:36" x14ac:dyDescent="0.25">
      <c r="A1712" s="325" t="str">
        <f>CONCATENATE("P",'906MP'!M1412)</f>
        <v>P</v>
      </c>
      <c r="B1712">
        <f>'906MP'!H1412</f>
        <v>0</v>
      </c>
      <c r="C1712">
        <f>'906MP'!J1412</f>
        <v>0</v>
      </c>
      <c r="D1712">
        <f>'906MP'!P1412</f>
        <v>0</v>
      </c>
      <c r="E1712">
        <f>'906MP'!X1412</f>
        <v>0</v>
      </c>
      <c r="F1712" t="str">
        <f t="shared" si="504"/>
        <v>0</v>
      </c>
      <c r="G1712" t="str">
        <f t="shared" si="505"/>
        <v>0</v>
      </c>
      <c r="H1712">
        <f>'906MP'!Y1412</f>
        <v>0</v>
      </c>
      <c r="I1712">
        <f>'906MP'!AK1412</f>
        <v>0</v>
      </c>
      <c r="J1712">
        <f>'906MP'!T1412</f>
        <v>0</v>
      </c>
      <c r="K1712">
        <f>'906MP'!AJ1412</f>
        <v>0</v>
      </c>
      <c r="L1712">
        <f>'906MP'!U1412</f>
        <v>0</v>
      </c>
      <c r="M1712" s="322" t="str">
        <f>IFERROR(VLOOKUP(A1712,PAR!$D$3:$E$53,2,FALSE),"nincs szervezet")</f>
        <v>nincs szervezet</v>
      </c>
      <c r="N1712" s="322" t="str">
        <f>VLOOKUP(F1712,PAR!$R$3:$S$5,2,FALSE)</f>
        <v>3 - egyik sem</v>
      </c>
      <c r="O1712" t="str">
        <f>IFERROR(VLOOKUP(J1712,PAR!$O$3:$P$5,2,FALSE),"nincs feladat")</f>
        <v>nincs feladat</v>
      </c>
      <c r="P1712" t="str">
        <f>IFERROR(VLOOKUP(G1712,PAR!$J$2:$M$19,4),"nincs rovat")</f>
        <v>nincs rovat</v>
      </c>
      <c r="Q1712" t="str">
        <f>IF(H1712&gt;0,VLOOKUP(H1712,PAR!$AA$3:$AC$187,3,FALSE),"nincs főkönyvi számla")</f>
        <v>nincs főkönyvi számla</v>
      </c>
      <c r="R1712" t="str">
        <f>IFERROR(VLOOKUP(K1712,PAR!$V$3:$X$438,3,FALSE),"000000 - Nincs COFOG")</f>
        <v>000000 - Nincs COFOG</v>
      </c>
      <c r="S1712">
        <f t="shared" si="506"/>
        <v>0</v>
      </c>
      <c r="T1712">
        <f t="shared" si="507"/>
        <v>0</v>
      </c>
      <c r="U1712" t="str">
        <f>IF('906MP'!J1412&gt;0,CONCATENATE('906MP'!J1412," - ",'906MP'!P1412,", ",'906MP'!E1412),"nincs megjegyzés")</f>
        <v>nincs megjegyzés</v>
      </c>
      <c r="V1712" t="str">
        <f t="shared" si="494"/>
        <v>0P0</v>
      </c>
      <c r="W1712" t="str">
        <f t="shared" si="495"/>
        <v>0P0</v>
      </c>
      <c r="X1712" t="str">
        <f t="shared" si="496"/>
        <v>P0</v>
      </c>
      <c r="Y1712" t="str">
        <f t="shared" si="497"/>
        <v>00</v>
      </c>
      <c r="Z1712" t="str">
        <f t="shared" si="508"/>
        <v>00</v>
      </c>
      <c r="AA1712" t="str">
        <f t="shared" si="498"/>
        <v>00</v>
      </c>
      <c r="AB1712" t="str">
        <f t="shared" si="499"/>
        <v>00</v>
      </c>
      <c r="AC1712" t="str">
        <f t="shared" si="500"/>
        <v>0P0</v>
      </c>
      <c r="AD1712" t="str">
        <f t="shared" si="501"/>
        <v>P00</v>
      </c>
      <c r="AE1712" t="str">
        <f t="shared" si="502"/>
        <v>0P0</v>
      </c>
      <c r="AF1712" t="str">
        <f t="shared" si="503"/>
        <v>P00</v>
      </c>
      <c r="AG1712" t="str">
        <f t="shared" si="509"/>
        <v>0P00</v>
      </c>
      <c r="AH1712" t="str">
        <f t="shared" si="510"/>
        <v>P000</v>
      </c>
      <c r="AI1712" t="str">
        <f t="shared" si="511"/>
        <v>0P00</v>
      </c>
      <c r="AJ1712" t="str">
        <f t="shared" si="512"/>
        <v>P000</v>
      </c>
    </row>
    <row r="1713" spans="1:36" x14ac:dyDescent="0.25">
      <c r="A1713" s="325" t="str">
        <f>CONCATENATE("P",'906MP'!M1413)</f>
        <v>P</v>
      </c>
      <c r="B1713">
        <f>'906MP'!H1413</f>
        <v>0</v>
      </c>
      <c r="C1713">
        <f>'906MP'!J1413</f>
        <v>0</v>
      </c>
      <c r="D1713">
        <f>'906MP'!P1413</f>
        <v>0</v>
      </c>
      <c r="E1713">
        <f>'906MP'!X1413</f>
        <v>0</v>
      </c>
      <c r="F1713" t="str">
        <f t="shared" si="504"/>
        <v>0</v>
      </c>
      <c r="G1713" t="str">
        <f t="shared" si="505"/>
        <v>0</v>
      </c>
      <c r="H1713">
        <f>'906MP'!Y1413</f>
        <v>0</v>
      </c>
      <c r="I1713">
        <f>'906MP'!AK1413</f>
        <v>0</v>
      </c>
      <c r="J1713">
        <f>'906MP'!T1413</f>
        <v>0</v>
      </c>
      <c r="K1713">
        <f>'906MP'!AJ1413</f>
        <v>0</v>
      </c>
      <c r="L1713">
        <f>'906MP'!U1413</f>
        <v>0</v>
      </c>
      <c r="M1713" s="322" t="str">
        <f>IFERROR(VLOOKUP(A1713,PAR!$D$3:$E$53,2,FALSE),"nincs szervezet")</f>
        <v>nincs szervezet</v>
      </c>
      <c r="N1713" s="322" t="str">
        <f>VLOOKUP(F1713,PAR!$R$3:$S$5,2,FALSE)</f>
        <v>3 - egyik sem</v>
      </c>
      <c r="O1713" t="str">
        <f>IFERROR(VLOOKUP(J1713,PAR!$O$3:$P$5,2,FALSE),"nincs feladat")</f>
        <v>nincs feladat</v>
      </c>
      <c r="P1713" t="str">
        <f>IFERROR(VLOOKUP(G1713,PAR!$J$2:$M$19,4),"nincs rovat")</f>
        <v>nincs rovat</v>
      </c>
      <c r="Q1713" t="str">
        <f>IF(H1713&gt;0,VLOOKUP(H1713,PAR!$AA$3:$AC$187,3,FALSE),"nincs főkönyvi számla")</f>
        <v>nincs főkönyvi számla</v>
      </c>
      <c r="R1713" t="str">
        <f>IFERROR(VLOOKUP(K1713,PAR!$V$3:$X$438,3,FALSE),"000000 - Nincs COFOG")</f>
        <v>000000 - Nincs COFOG</v>
      </c>
      <c r="S1713">
        <f t="shared" si="506"/>
        <v>0</v>
      </c>
      <c r="T1713">
        <f t="shared" si="507"/>
        <v>0</v>
      </c>
      <c r="U1713" t="str">
        <f>IF('906MP'!J1413&gt;0,CONCATENATE('906MP'!J1413," - ",'906MP'!P1413,", ",'906MP'!E1413),"nincs megjegyzés")</f>
        <v>nincs megjegyzés</v>
      </c>
      <c r="V1713" t="str">
        <f t="shared" si="494"/>
        <v>0P0</v>
      </c>
      <c r="W1713" t="str">
        <f t="shared" si="495"/>
        <v>0P0</v>
      </c>
      <c r="X1713" t="str">
        <f t="shared" si="496"/>
        <v>P0</v>
      </c>
      <c r="Y1713" t="str">
        <f t="shared" si="497"/>
        <v>00</v>
      </c>
      <c r="Z1713" t="str">
        <f t="shared" si="508"/>
        <v>00</v>
      </c>
      <c r="AA1713" t="str">
        <f t="shared" si="498"/>
        <v>00</v>
      </c>
      <c r="AB1713" t="str">
        <f t="shared" si="499"/>
        <v>00</v>
      </c>
      <c r="AC1713" t="str">
        <f t="shared" si="500"/>
        <v>0P0</v>
      </c>
      <c r="AD1713" t="str">
        <f t="shared" si="501"/>
        <v>P00</v>
      </c>
      <c r="AE1713" t="str">
        <f t="shared" si="502"/>
        <v>0P0</v>
      </c>
      <c r="AF1713" t="str">
        <f t="shared" si="503"/>
        <v>P00</v>
      </c>
      <c r="AG1713" t="str">
        <f t="shared" si="509"/>
        <v>0P00</v>
      </c>
      <c r="AH1713" t="str">
        <f t="shared" si="510"/>
        <v>P000</v>
      </c>
      <c r="AI1713" t="str">
        <f t="shared" si="511"/>
        <v>0P00</v>
      </c>
      <c r="AJ1713" t="str">
        <f t="shared" si="512"/>
        <v>P000</v>
      </c>
    </row>
    <row r="1714" spans="1:36" x14ac:dyDescent="0.25">
      <c r="A1714" s="325" t="str">
        <f>CONCATENATE("P",'906MP'!M1414)</f>
        <v>P</v>
      </c>
      <c r="B1714">
        <f>'906MP'!H1414</f>
        <v>0</v>
      </c>
      <c r="C1714">
        <f>'906MP'!J1414</f>
        <v>0</v>
      </c>
      <c r="D1714">
        <f>'906MP'!P1414</f>
        <v>0</v>
      </c>
      <c r="E1714">
        <f>'906MP'!X1414</f>
        <v>0</v>
      </c>
      <c r="F1714" t="str">
        <f t="shared" si="504"/>
        <v>0</v>
      </c>
      <c r="G1714" t="str">
        <f t="shared" si="505"/>
        <v>0</v>
      </c>
      <c r="H1714">
        <f>'906MP'!Y1414</f>
        <v>0</v>
      </c>
      <c r="I1714">
        <f>'906MP'!AK1414</f>
        <v>0</v>
      </c>
      <c r="J1714">
        <f>'906MP'!T1414</f>
        <v>0</v>
      </c>
      <c r="K1714">
        <f>'906MP'!AJ1414</f>
        <v>0</v>
      </c>
      <c r="L1714">
        <f>'906MP'!U1414</f>
        <v>0</v>
      </c>
      <c r="M1714" s="322" t="str">
        <f>IFERROR(VLOOKUP(A1714,PAR!$D$3:$E$53,2,FALSE),"nincs szervezet")</f>
        <v>nincs szervezet</v>
      </c>
      <c r="N1714" s="322" t="str">
        <f>VLOOKUP(F1714,PAR!$R$3:$S$5,2,FALSE)</f>
        <v>3 - egyik sem</v>
      </c>
      <c r="O1714" t="str">
        <f>IFERROR(VLOOKUP(J1714,PAR!$O$3:$P$5,2,FALSE),"nincs feladat")</f>
        <v>nincs feladat</v>
      </c>
      <c r="P1714" t="str">
        <f>IFERROR(VLOOKUP(G1714,PAR!$J$2:$M$19,4),"nincs rovat")</f>
        <v>nincs rovat</v>
      </c>
      <c r="Q1714" t="str">
        <f>IF(H1714&gt;0,VLOOKUP(H1714,PAR!$AA$3:$AC$187,3,FALSE),"nincs főkönyvi számla")</f>
        <v>nincs főkönyvi számla</v>
      </c>
      <c r="R1714" t="str">
        <f>IFERROR(VLOOKUP(K1714,PAR!$V$3:$X$438,3,FALSE),"000000 - Nincs COFOG")</f>
        <v>000000 - Nincs COFOG</v>
      </c>
      <c r="S1714">
        <f t="shared" si="506"/>
        <v>0</v>
      </c>
      <c r="T1714">
        <f t="shared" si="507"/>
        <v>0</v>
      </c>
      <c r="U1714" t="str">
        <f>IF('906MP'!J1414&gt;0,CONCATENATE('906MP'!J1414," - ",'906MP'!P1414,", ",'906MP'!E1414),"nincs megjegyzés")</f>
        <v>nincs megjegyzés</v>
      </c>
      <c r="V1714" t="str">
        <f t="shared" si="494"/>
        <v>0P0</v>
      </c>
      <c r="W1714" t="str">
        <f t="shared" si="495"/>
        <v>0P0</v>
      </c>
      <c r="X1714" t="str">
        <f t="shared" si="496"/>
        <v>P0</v>
      </c>
      <c r="Y1714" t="str">
        <f t="shared" si="497"/>
        <v>00</v>
      </c>
      <c r="Z1714" t="str">
        <f t="shared" si="508"/>
        <v>00</v>
      </c>
      <c r="AA1714" t="str">
        <f t="shared" si="498"/>
        <v>00</v>
      </c>
      <c r="AB1714" t="str">
        <f t="shared" si="499"/>
        <v>00</v>
      </c>
      <c r="AC1714" t="str">
        <f t="shared" si="500"/>
        <v>0P0</v>
      </c>
      <c r="AD1714" t="str">
        <f t="shared" si="501"/>
        <v>P00</v>
      </c>
      <c r="AE1714" t="str">
        <f t="shared" si="502"/>
        <v>0P0</v>
      </c>
      <c r="AF1714" t="str">
        <f t="shared" si="503"/>
        <v>P00</v>
      </c>
      <c r="AG1714" t="str">
        <f t="shared" si="509"/>
        <v>0P00</v>
      </c>
      <c r="AH1714" t="str">
        <f t="shared" si="510"/>
        <v>P000</v>
      </c>
      <c r="AI1714" t="str">
        <f t="shared" si="511"/>
        <v>0P00</v>
      </c>
      <c r="AJ1714" t="str">
        <f t="shared" si="512"/>
        <v>P000</v>
      </c>
    </row>
    <row r="1715" spans="1:36" x14ac:dyDescent="0.25">
      <c r="A1715" s="325" t="str">
        <f>CONCATENATE("P",'906MP'!M1415)</f>
        <v>P</v>
      </c>
      <c r="B1715">
        <f>'906MP'!H1415</f>
        <v>0</v>
      </c>
      <c r="C1715">
        <f>'906MP'!J1415</f>
        <v>0</v>
      </c>
      <c r="D1715">
        <f>'906MP'!P1415</f>
        <v>0</v>
      </c>
      <c r="E1715">
        <f>'906MP'!X1415</f>
        <v>0</v>
      </c>
      <c r="F1715" t="str">
        <f t="shared" si="504"/>
        <v>0</v>
      </c>
      <c r="G1715" t="str">
        <f t="shared" si="505"/>
        <v>0</v>
      </c>
      <c r="H1715">
        <f>'906MP'!Y1415</f>
        <v>0</v>
      </c>
      <c r="I1715">
        <f>'906MP'!AK1415</f>
        <v>0</v>
      </c>
      <c r="J1715">
        <f>'906MP'!T1415</f>
        <v>0</v>
      </c>
      <c r="K1715">
        <f>'906MP'!AJ1415</f>
        <v>0</v>
      </c>
      <c r="L1715">
        <f>'906MP'!U1415</f>
        <v>0</v>
      </c>
      <c r="M1715" s="322" t="str">
        <f>IFERROR(VLOOKUP(A1715,PAR!$D$3:$E$53,2,FALSE),"nincs szervezet")</f>
        <v>nincs szervezet</v>
      </c>
      <c r="N1715" s="322" t="str">
        <f>VLOOKUP(F1715,PAR!$R$3:$S$5,2,FALSE)</f>
        <v>3 - egyik sem</v>
      </c>
      <c r="O1715" t="str">
        <f>IFERROR(VLOOKUP(J1715,PAR!$O$3:$P$5,2,FALSE),"nincs feladat")</f>
        <v>nincs feladat</v>
      </c>
      <c r="P1715" t="str">
        <f>IFERROR(VLOOKUP(G1715,PAR!$J$2:$M$19,4),"nincs rovat")</f>
        <v>nincs rovat</v>
      </c>
      <c r="Q1715" t="str">
        <f>IF(H1715&gt;0,VLOOKUP(H1715,PAR!$AA$3:$AC$187,3,FALSE),"nincs főkönyvi számla")</f>
        <v>nincs főkönyvi számla</v>
      </c>
      <c r="R1715" t="str">
        <f>IFERROR(VLOOKUP(K1715,PAR!$V$3:$X$438,3,FALSE),"000000 - Nincs COFOG")</f>
        <v>000000 - Nincs COFOG</v>
      </c>
      <c r="S1715">
        <f t="shared" si="506"/>
        <v>0</v>
      </c>
      <c r="T1715">
        <f t="shared" si="507"/>
        <v>0</v>
      </c>
      <c r="U1715" t="str">
        <f>IF('906MP'!J1415&gt;0,CONCATENATE('906MP'!J1415," - ",'906MP'!P1415,", ",'906MP'!E1415),"nincs megjegyzés")</f>
        <v>nincs megjegyzés</v>
      </c>
      <c r="V1715" t="str">
        <f t="shared" si="494"/>
        <v>0P0</v>
      </c>
      <c r="W1715" t="str">
        <f t="shared" si="495"/>
        <v>0P0</v>
      </c>
      <c r="X1715" t="str">
        <f t="shared" si="496"/>
        <v>P0</v>
      </c>
      <c r="Y1715" t="str">
        <f t="shared" si="497"/>
        <v>00</v>
      </c>
      <c r="Z1715" t="str">
        <f t="shared" si="508"/>
        <v>00</v>
      </c>
      <c r="AA1715" t="str">
        <f t="shared" si="498"/>
        <v>00</v>
      </c>
      <c r="AB1715" t="str">
        <f t="shared" si="499"/>
        <v>00</v>
      </c>
      <c r="AC1715" t="str">
        <f t="shared" si="500"/>
        <v>0P0</v>
      </c>
      <c r="AD1715" t="str">
        <f t="shared" si="501"/>
        <v>P00</v>
      </c>
      <c r="AE1715" t="str">
        <f t="shared" si="502"/>
        <v>0P0</v>
      </c>
      <c r="AF1715" t="str">
        <f t="shared" si="503"/>
        <v>P00</v>
      </c>
      <c r="AG1715" t="str">
        <f t="shared" si="509"/>
        <v>0P00</v>
      </c>
      <c r="AH1715" t="str">
        <f t="shared" si="510"/>
        <v>P000</v>
      </c>
      <c r="AI1715" t="str">
        <f t="shared" si="511"/>
        <v>0P00</v>
      </c>
      <c r="AJ1715" t="str">
        <f t="shared" si="512"/>
        <v>P000</v>
      </c>
    </row>
    <row r="1716" spans="1:36" x14ac:dyDescent="0.25">
      <c r="A1716" s="325" t="str">
        <f>CONCATENATE("P",'906MP'!M1416)</f>
        <v>P</v>
      </c>
      <c r="B1716">
        <f>'906MP'!H1416</f>
        <v>0</v>
      </c>
      <c r="C1716">
        <f>'906MP'!J1416</f>
        <v>0</v>
      </c>
      <c r="D1716">
        <f>'906MP'!P1416</f>
        <v>0</v>
      </c>
      <c r="E1716">
        <f>'906MP'!X1416</f>
        <v>0</v>
      </c>
      <c r="F1716" t="str">
        <f t="shared" si="504"/>
        <v>0</v>
      </c>
      <c r="G1716" t="str">
        <f t="shared" si="505"/>
        <v>0</v>
      </c>
      <c r="H1716">
        <f>'906MP'!Y1416</f>
        <v>0</v>
      </c>
      <c r="I1716">
        <f>'906MP'!AK1416</f>
        <v>0</v>
      </c>
      <c r="J1716">
        <f>'906MP'!T1416</f>
        <v>0</v>
      </c>
      <c r="K1716">
        <f>'906MP'!AJ1416</f>
        <v>0</v>
      </c>
      <c r="L1716">
        <f>'906MP'!U1416</f>
        <v>0</v>
      </c>
      <c r="M1716" s="322" t="str">
        <f>IFERROR(VLOOKUP(A1716,PAR!$D$3:$E$53,2,FALSE),"nincs szervezet")</f>
        <v>nincs szervezet</v>
      </c>
      <c r="N1716" s="322" t="str">
        <f>VLOOKUP(F1716,PAR!$R$3:$S$5,2,FALSE)</f>
        <v>3 - egyik sem</v>
      </c>
      <c r="O1716" t="str">
        <f>IFERROR(VLOOKUP(J1716,PAR!$O$3:$P$5,2,FALSE),"nincs feladat")</f>
        <v>nincs feladat</v>
      </c>
      <c r="P1716" t="str">
        <f>IFERROR(VLOOKUP(G1716,PAR!$J$2:$M$19,4),"nincs rovat")</f>
        <v>nincs rovat</v>
      </c>
      <c r="Q1716" t="str">
        <f>IF(H1716&gt;0,VLOOKUP(H1716,PAR!$AA$3:$AC$187,3,FALSE),"nincs főkönyvi számla")</f>
        <v>nincs főkönyvi számla</v>
      </c>
      <c r="R1716" t="str">
        <f>IFERROR(VLOOKUP(K1716,PAR!$V$3:$X$438,3,FALSE),"000000 - Nincs COFOG")</f>
        <v>000000 - Nincs COFOG</v>
      </c>
      <c r="S1716">
        <f t="shared" si="506"/>
        <v>0</v>
      </c>
      <c r="T1716">
        <f t="shared" si="507"/>
        <v>0</v>
      </c>
      <c r="U1716" t="str">
        <f>IF('906MP'!J1416&gt;0,CONCATENATE('906MP'!J1416," - ",'906MP'!P1416,", ",'906MP'!E1416),"nincs megjegyzés")</f>
        <v>nincs megjegyzés</v>
      </c>
      <c r="V1716" t="str">
        <f t="shared" si="494"/>
        <v>0P0</v>
      </c>
      <c r="W1716" t="str">
        <f t="shared" si="495"/>
        <v>0P0</v>
      </c>
      <c r="X1716" t="str">
        <f t="shared" si="496"/>
        <v>P0</v>
      </c>
      <c r="Y1716" t="str">
        <f t="shared" si="497"/>
        <v>00</v>
      </c>
      <c r="Z1716" t="str">
        <f t="shared" si="508"/>
        <v>00</v>
      </c>
      <c r="AA1716" t="str">
        <f t="shared" si="498"/>
        <v>00</v>
      </c>
      <c r="AB1716" t="str">
        <f t="shared" si="499"/>
        <v>00</v>
      </c>
      <c r="AC1716" t="str">
        <f t="shared" si="500"/>
        <v>0P0</v>
      </c>
      <c r="AD1716" t="str">
        <f t="shared" si="501"/>
        <v>P00</v>
      </c>
      <c r="AE1716" t="str">
        <f t="shared" si="502"/>
        <v>0P0</v>
      </c>
      <c r="AF1716" t="str">
        <f t="shared" si="503"/>
        <v>P00</v>
      </c>
      <c r="AG1716" t="str">
        <f t="shared" si="509"/>
        <v>0P00</v>
      </c>
      <c r="AH1716" t="str">
        <f t="shared" si="510"/>
        <v>P000</v>
      </c>
      <c r="AI1716" t="str">
        <f t="shared" si="511"/>
        <v>0P00</v>
      </c>
      <c r="AJ1716" t="str">
        <f t="shared" si="512"/>
        <v>P000</v>
      </c>
    </row>
    <row r="1717" spans="1:36" x14ac:dyDescent="0.25">
      <c r="A1717" s="325" t="str">
        <f>CONCATENATE("P",'906MP'!M1417)</f>
        <v>P</v>
      </c>
      <c r="B1717">
        <f>'906MP'!H1417</f>
        <v>0</v>
      </c>
      <c r="C1717">
        <f>'906MP'!J1417</f>
        <v>0</v>
      </c>
      <c r="D1717">
        <f>'906MP'!P1417</f>
        <v>0</v>
      </c>
      <c r="E1717">
        <f>'906MP'!X1417</f>
        <v>0</v>
      </c>
      <c r="F1717" t="str">
        <f t="shared" si="504"/>
        <v>0</v>
      </c>
      <c r="G1717" t="str">
        <f t="shared" si="505"/>
        <v>0</v>
      </c>
      <c r="H1717">
        <f>'906MP'!Y1417</f>
        <v>0</v>
      </c>
      <c r="I1717">
        <f>'906MP'!AK1417</f>
        <v>0</v>
      </c>
      <c r="J1717">
        <f>'906MP'!T1417</f>
        <v>0</v>
      </c>
      <c r="K1717">
        <f>'906MP'!AJ1417</f>
        <v>0</v>
      </c>
      <c r="L1717">
        <f>'906MP'!U1417</f>
        <v>0</v>
      </c>
      <c r="M1717" s="322" t="str">
        <f>IFERROR(VLOOKUP(A1717,PAR!$D$3:$E$53,2,FALSE),"nincs szervezet")</f>
        <v>nincs szervezet</v>
      </c>
      <c r="N1717" s="322" t="str">
        <f>VLOOKUP(F1717,PAR!$R$3:$S$5,2,FALSE)</f>
        <v>3 - egyik sem</v>
      </c>
      <c r="O1717" t="str">
        <f>IFERROR(VLOOKUP(J1717,PAR!$O$3:$P$5,2,FALSE),"nincs feladat")</f>
        <v>nincs feladat</v>
      </c>
      <c r="P1717" t="str">
        <f>IFERROR(VLOOKUP(G1717,PAR!$J$2:$M$19,4),"nincs rovat")</f>
        <v>nincs rovat</v>
      </c>
      <c r="Q1717" t="str">
        <f>IF(H1717&gt;0,VLOOKUP(H1717,PAR!$AA$3:$AC$187,3,FALSE),"nincs főkönyvi számla")</f>
        <v>nincs főkönyvi számla</v>
      </c>
      <c r="R1717" t="str">
        <f>IFERROR(VLOOKUP(K1717,PAR!$V$3:$X$438,3,FALSE),"000000 - Nincs COFOG")</f>
        <v>000000 - Nincs COFOG</v>
      </c>
      <c r="S1717">
        <f t="shared" si="506"/>
        <v>0</v>
      </c>
      <c r="T1717">
        <f t="shared" si="507"/>
        <v>0</v>
      </c>
      <c r="U1717" t="str">
        <f>IF('906MP'!J1417&gt;0,CONCATENATE('906MP'!J1417," - ",'906MP'!P1417,", ",'906MP'!E1417),"nincs megjegyzés")</f>
        <v>nincs megjegyzés</v>
      </c>
      <c r="V1717" t="str">
        <f t="shared" si="494"/>
        <v>0P0</v>
      </c>
      <c r="W1717" t="str">
        <f t="shared" si="495"/>
        <v>0P0</v>
      </c>
      <c r="X1717" t="str">
        <f t="shared" si="496"/>
        <v>P0</v>
      </c>
      <c r="Y1717" t="str">
        <f t="shared" si="497"/>
        <v>00</v>
      </c>
      <c r="Z1717" t="str">
        <f t="shared" si="508"/>
        <v>00</v>
      </c>
      <c r="AA1717" t="str">
        <f t="shared" si="498"/>
        <v>00</v>
      </c>
      <c r="AB1717" t="str">
        <f t="shared" si="499"/>
        <v>00</v>
      </c>
      <c r="AC1717" t="str">
        <f t="shared" si="500"/>
        <v>0P0</v>
      </c>
      <c r="AD1717" t="str">
        <f t="shared" si="501"/>
        <v>P00</v>
      </c>
      <c r="AE1717" t="str">
        <f t="shared" si="502"/>
        <v>0P0</v>
      </c>
      <c r="AF1717" t="str">
        <f t="shared" si="503"/>
        <v>P00</v>
      </c>
      <c r="AG1717" t="str">
        <f t="shared" si="509"/>
        <v>0P00</v>
      </c>
      <c r="AH1717" t="str">
        <f t="shared" si="510"/>
        <v>P000</v>
      </c>
      <c r="AI1717" t="str">
        <f t="shared" si="511"/>
        <v>0P00</v>
      </c>
      <c r="AJ1717" t="str">
        <f t="shared" si="512"/>
        <v>P000</v>
      </c>
    </row>
    <row r="1718" spans="1:36" x14ac:dyDescent="0.25">
      <c r="A1718" s="325" t="str">
        <f>CONCATENATE("P",'906MP'!M1418)</f>
        <v>P</v>
      </c>
      <c r="B1718">
        <f>'906MP'!H1418</f>
        <v>0</v>
      </c>
      <c r="C1718">
        <f>'906MP'!J1418</f>
        <v>0</v>
      </c>
      <c r="D1718">
        <f>'906MP'!P1418</f>
        <v>0</v>
      </c>
      <c r="E1718">
        <f>'906MP'!X1418</f>
        <v>0</v>
      </c>
      <c r="F1718" t="str">
        <f t="shared" si="504"/>
        <v>0</v>
      </c>
      <c r="G1718" t="str">
        <f t="shared" si="505"/>
        <v>0</v>
      </c>
      <c r="H1718">
        <f>'906MP'!Y1418</f>
        <v>0</v>
      </c>
      <c r="I1718">
        <f>'906MP'!AK1418</f>
        <v>0</v>
      </c>
      <c r="J1718">
        <f>'906MP'!T1418</f>
        <v>0</v>
      </c>
      <c r="K1718">
        <f>'906MP'!AJ1418</f>
        <v>0</v>
      </c>
      <c r="L1718">
        <f>'906MP'!U1418</f>
        <v>0</v>
      </c>
      <c r="M1718" s="322" t="str">
        <f>IFERROR(VLOOKUP(A1718,PAR!$D$3:$E$53,2,FALSE),"nincs szervezet")</f>
        <v>nincs szervezet</v>
      </c>
      <c r="N1718" s="322" t="str">
        <f>VLOOKUP(F1718,PAR!$R$3:$S$5,2,FALSE)</f>
        <v>3 - egyik sem</v>
      </c>
      <c r="O1718" t="str">
        <f>IFERROR(VLOOKUP(J1718,PAR!$O$3:$P$5,2,FALSE),"nincs feladat")</f>
        <v>nincs feladat</v>
      </c>
      <c r="P1718" t="str">
        <f>IFERROR(VLOOKUP(G1718,PAR!$J$2:$M$19,4),"nincs rovat")</f>
        <v>nincs rovat</v>
      </c>
      <c r="Q1718" t="str">
        <f>IF(H1718&gt;0,VLOOKUP(H1718,PAR!$AA$3:$AC$187,3,FALSE),"nincs főkönyvi számla")</f>
        <v>nincs főkönyvi számla</v>
      </c>
      <c r="R1718" t="str">
        <f>IFERROR(VLOOKUP(K1718,PAR!$V$3:$X$438,3,FALSE),"000000 - Nincs COFOG")</f>
        <v>000000 - Nincs COFOG</v>
      </c>
      <c r="S1718">
        <f t="shared" si="506"/>
        <v>0</v>
      </c>
      <c r="T1718">
        <f t="shared" si="507"/>
        <v>0</v>
      </c>
      <c r="U1718" t="str">
        <f>IF('906MP'!J1418&gt;0,CONCATENATE('906MP'!J1418," - ",'906MP'!P1418,", ",'906MP'!E1418),"nincs megjegyzés")</f>
        <v>nincs megjegyzés</v>
      </c>
      <c r="V1718" t="str">
        <f t="shared" si="494"/>
        <v>0P0</v>
      </c>
      <c r="W1718" t="str">
        <f t="shared" si="495"/>
        <v>0P0</v>
      </c>
      <c r="X1718" t="str">
        <f t="shared" si="496"/>
        <v>P0</v>
      </c>
      <c r="Y1718" t="str">
        <f t="shared" si="497"/>
        <v>00</v>
      </c>
      <c r="Z1718" t="str">
        <f t="shared" si="508"/>
        <v>00</v>
      </c>
      <c r="AA1718" t="str">
        <f t="shared" si="498"/>
        <v>00</v>
      </c>
      <c r="AB1718" t="str">
        <f t="shared" si="499"/>
        <v>00</v>
      </c>
      <c r="AC1718" t="str">
        <f t="shared" si="500"/>
        <v>0P0</v>
      </c>
      <c r="AD1718" t="str">
        <f t="shared" si="501"/>
        <v>P00</v>
      </c>
      <c r="AE1718" t="str">
        <f t="shared" si="502"/>
        <v>0P0</v>
      </c>
      <c r="AF1718" t="str">
        <f t="shared" si="503"/>
        <v>P00</v>
      </c>
      <c r="AG1718" t="str">
        <f t="shared" si="509"/>
        <v>0P00</v>
      </c>
      <c r="AH1718" t="str">
        <f t="shared" si="510"/>
        <v>P000</v>
      </c>
      <c r="AI1718" t="str">
        <f t="shared" si="511"/>
        <v>0P00</v>
      </c>
      <c r="AJ1718" t="str">
        <f t="shared" si="512"/>
        <v>P000</v>
      </c>
    </row>
    <row r="1719" spans="1:36" x14ac:dyDescent="0.25">
      <c r="A1719" s="325" t="str">
        <f>CONCATENATE("P",'906MP'!M1419)</f>
        <v>P</v>
      </c>
      <c r="B1719">
        <f>'906MP'!H1419</f>
        <v>0</v>
      </c>
      <c r="C1719">
        <f>'906MP'!J1419</f>
        <v>0</v>
      </c>
      <c r="D1719">
        <f>'906MP'!P1419</f>
        <v>0</v>
      </c>
      <c r="E1719">
        <f>'906MP'!X1419</f>
        <v>0</v>
      </c>
      <c r="F1719" t="str">
        <f t="shared" si="504"/>
        <v>0</v>
      </c>
      <c r="G1719" t="str">
        <f t="shared" si="505"/>
        <v>0</v>
      </c>
      <c r="H1719">
        <f>'906MP'!Y1419</f>
        <v>0</v>
      </c>
      <c r="I1719">
        <f>'906MP'!AK1419</f>
        <v>0</v>
      </c>
      <c r="J1719">
        <f>'906MP'!T1419</f>
        <v>0</v>
      </c>
      <c r="K1719">
        <f>'906MP'!AJ1419</f>
        <v>0</v>
      </c>
      <c r="L1719">
        <f>'906MP'!U1419</f>
        <v>0</v>
      </c>
      <c r="M1719" s="322" t="str">
        <f>IFERROR(VLOOKUP(A1719,PAR!$D$3:$E$53,2,FALSE),"nincs szervezet")</f>
        <v>nincs szervezet</v>
      </c>
      <c r="N1719" s="322" t="str">
        <f>VLOOKUP(F1719,PAR!$R$3:$S$5,2,FALSE)</f>
        <v>3 - egyik sem</v>
      </c>
      <c r="O1719" t="str">
        <f>IFERROR(VLOOKUP(J1719,PAR!$O$3:$P$5,2,FALSE),"nincs feladat")</f>
        <v>nincs feladat</v>
      </c>
      <c r="P1719" t="str">
        <f>IFERROR(VLOOKUP(G1719,PAR!$J$2:$M$19,4),"nincs rovat")</f>
        <v>nincs rovat</v>
      </c>
      <c r="Q1719" t="str">
        <f>IF(H1719&gt;0,VLOOKUP(H1719,PAR!$AA$3:$AC$187,3,FALSE),"nincs főkönyvi számla")</f>
        <v>nincs főkönyvi számla</v>
      </c>
      <c r="R1719" t="str">
        <f>IFERROR(VLOOKUP(K1719,PAR!$V$3:$X$438,3,FALSE),"000000 - Nincs COFOG")</f>
        <v>000000 - Nincs COFOG</v>
      </c>
      <c r="S1719">
        <f t="shared" si="506"/>
        <v>0</v>
      </c>
      <c r="T1719">
        <f t="shared" si="507"/>
        <v>0</v>
      </c>
      <c r="U1719" t="str">
        <f>IF('906MP'!J1419&gt;0,CONCATENATE('906MP'!J1419," - ",'906MP'!P1419,", ",'906MP'!E1419),"nincs megjegyzés")</f>
        <v>nincs megjegyzés</v>
      </c>
      <c r="V1719" t="str">
        <f t="shared" si="494"/>
        <v>0P0</v>
      </c>
      <c r="W1719" t="str">
        <f t="shared" si="495"/>
        <v>0P0</v>
      </c>
      <c r="X1719" t="str">
        <f t="shared" si="496"/>
        <v>P0</v>
      </c>
      <c r="Y1719" t="str">
        <f t="shared" si="497"/>
        <v>00</v>
      </c>
      <c r="Z1719" t="str">
        <f t="shared" si="508"/>
        <v>00</v>
      </c>
      <c r="AA1719" t="str">
        <f t="shared" si="498"/>
        <v>00</v>
      </c>
      <c r="AB1719" t="str">
        <f t="shared" si="499"/>
        <v>00</v>
      </c>
      <c r="AC1719" t="str">
        <f t="shared" si="500"/>
        <v>0P0</v>
      </c>
      <c r="AD1719" t="str">
        <f t="shared" si="501"/>
        <v>P00</v>
      </c>
      <c r="AE1719" t="str">
        <f t="shared" si="502"/>
        <v>0P0</v>
      </c>
      <c r="AF1719" t="str">
        <f t="shared" si="503"/>
        <v>P00</v>
      </c>
      <c r="AG1719" t="str">
        <f t="shared" si="509"/>
        <v>0P00</v>
      </c>
      <c r="AH1719" t="str">
        <f t="shared" si="510"/>
        <v>P000</v>
      </c>
      <c r="AI1719" t="str">
        <f t="shared" si="511"/>
        <v>0P00</v>
      </c>
      <c r="AJ1719" t="str">
        <f t="shared" si="512"/>
        <v>P000</v>
      </c>
    </row>
    <row r="1720" spans="1:36" x14ac:dyDescent="0.25">
      <c r="A1720" s="325" t="str">
        <f>CONCATENATE("P",'906MP'!M1420)</f>
        <v>P</v>
      </c>
      <c r="B1720">
        <f>'906MP'!H1420</f>
        <v>0</v>
      </c>
      <c r="C1720">
        <f>'906MP'!J1420</f>
        <v>0</v>
      </c>
      <c r="D1720">
        <f>'906MP'!P1420</f>
        <v>0</v>
      </c>
      <c r="E1720">
        <f>'906MP'!X1420</f>
        <v>0</v>
      </c>
      <c r="F1720" t="str">
        <f t="shared" si="504"/>
        <v>0</v>
      </c>
      <c r="G1720" t="str">
        <f t="shared" si="505"/>
        <v>0</v>
      </c>
      <c r="H1720">
        <f>'906MP'!Y1420</f>
        <v>0</v>
      </c>
      <c r="I1720">
        <f>'906MP'!AK1420</f>
        <v>0</v>
      </c>
      <c r="J1720">
        <f>'906MP'!T1420</f>
        <v>0</v>
      </c>
      <c r="K1720">
        <f>'906MP'!AJ1420</f>
        <v>0</v>
      </c>
      <c r="L1720">
        <f>'906MP'!U1420</f>
        <v>0</v>
      </c>
      <c r="M1720" s="322" t="str">
        <f>IFERROR(VLOOKUP(A1720,PAR!$D$3:$E$53,2,FALSE),"nincs szervezet")</f>
        <v>nincs szervezet</v>
      </c>
      <c r="N1720" s="322" t="str">
        <f>VLOOKUP(F1720,PAR!$R$3:$S$5,2,FALSE)</f>
        <v>3 - egyik sem</v>
      </c>
      <c r="O1720" t="str">
        <f>IFERROR(VLOOKUP(J1720,PAR!$O$3:$P$5,2,FALSE),"nincs feladat")</f>
        <v>nincs feladat</v>
      </c>
      <c r="P1720" t="str">
        <f>IFERROR(VLOOKUP(G1720,PAR!$J$2:$M$19,4),"nincs rovat")</f>
        <v>nincs rovat</v>
      </c>
      <c r="Q1720" t="str">
        <f>IF(H1720&gt;0,VLOOKUP(H1720,PAR!$AA$3:$AC$187,3,FALSE),"nincs főkönyvi számla")</f>
        <v>nincs főkönyvi számla</v>
      </c>
      <c r="R1720" t="str">
        <f>IFERROR(VLOOKUP(K1720,PAR!$V$3:$X$438,3,FALSE),"000000 - Nincs COFOG")</f>
        <v>000000 - Nincs COFOG</v>
      </c>
      <c r="S1720">
        <f t="shared" si="506"/>
        <v>0</v>
      </c>
      <c r="T1720">
        <f t="shared" si="507"/>
        <v>0</v>
      </c>
      <c r="U1720" t="str">
        <f>IF('906MP'!J1420&gt;0,CONCATENATE('906MP'!J1420," - ",'906MP'!P1420,", ",'906MP'!E1420),"nincs megjegyzés")</f>
        <v>nincs megjegyzés</v>
      </c>
      <c r="V1720" t="str">
        <f t="shared" si="494"/>
        <v>0P0</v>
      </c>
      <c r="W1720" t="str">
        <f t="shared" si="495"/>
        <v>0P0</v>
      </c>
      <c r="X1720" t="str">
        <f t="shared" si="496"/>
        <v>P0</v>
      </c>
      <c r="Y1720" t="str">
        <f t="shared" si="497"/>
        <v>00</v>
      </c>
      <c r="Z1720" t="str">
        <f t="shared" si="508"/>
        <v>00</v>
      </c>
      <c r="AA1720" t="str">
        <f t="shared" si="498"/>
        <v>00</v>
      </c>
      <c r="AB1720" t="str">
        <f t="shared" si="499"/>
        <v>00</v>
      </c>
      <c r="AC1720" t="str">
        <f t="shared" si="500"/>
        <v>0P0</v>
      </c>
      <c r="AD1720" t="str">
        <f t="shared" si="501"/>
        <v>P00</v>
      </c>
      <c r="AE1720" t="str">
        <f t="shared" si="502"/>
        <v>0P0</v>
      </c>
      <c r="AF1720" t="str">
        <f t="shared" si="503"/>
        <v>P00</v>
      </c>
      <c r="AG1720" t="str">
        <f t="shared" si="509"/>
        <v>0P00</v>
      </c>
      <c r="AH1720" t="str">
        <f t="shared" si="510"/>
        <v>P000</v>
      </c>
      <c r="AI1720" t="str">
        <f t="shared" si="511"/>
        <v>0P00</v>
      </c>
      <c r="AJ1720" t="str">
        <f t="shared" si="512"/>
        <v>P000</v>
      </c>
    </row>
    <row r="1721" spans="1:36" x14ac:dyDescent="0.25">
      <c r="A1721" s="325" t="str">
        <f>CONCATENATE("P",'906MP'!M1421)</f>
        <v>P</v>
      </c>
      <c r="B1721">
        <f>'906MP'!H1421</f>
        <v>0</v>
      </c>
      <c r="C1721">
        <f>'906MP'!J1421</f>
        <v>0</v>
      </c>
      <c r="D1721">
        <f>'906MP'!P1421</f>
        <v>0</v>
      </c>
      <c r="E1721">
        <f>'906MP'!X1421</f>
        <v>0</v>
      </c>
      <c r="F1721" t="str">
        <f t="shared" si="504"/>
        <v>0</v>
      </c>
      <c r="G1721" t="str">
        <f t="shared" si="505"/>
        <v>0</v>
      </c>
      <c r="H1721">
        <f>'906MP'!Y1421</f>
        <v>0</v>
      </c>
      <c r="I1721">
        <f>'906MP'!AK1421</f>
        <v>0</v>
      </c>
      <c r="J1721">
        <f>'906MP'!T1421</f>
        <v>0</v>
      </c>
      <c r="K1721">
        <f>'906MP'!AJ1421</f>
        <v>0</v>
      </c>
      <c r="L1721">
        <f>'906MP'!U1421</f>
        <v>0</v>
      </c>
      <c r="M1721" s="322" t="str">
        <f>IFERROR(VLOOKUP(A1721,PAR!$D$3:$E$53,2,FALSE),"nincs szervezet")</f>
        <v>nincs szervezet</v>
      </c>
      <c r="N1721" s="322" t="str">
        <f>VLOOKUP(F1721,PAR!$R$3:$S$5,2,FALSE)</f>
        <v>3 - egyik sem</v>
      </c>
      <c r="O1721" t="str">
        <f>IFERROR(VLOOKUP(J1721,PAR!$O$3:$P$5,2,FALSE),"nincs feladat")</f>
        <v>nincs feladat</v>
      </c>
      <c r="P1721" t="str">
        <f>IFERROR(VLOOKUP(G1721,PAR!$J$2:$M$19,4),"nincs rovat")</f>
        <v>nincs rovat</v>
      </c>
      <c r="Q1721" t="str">
        <f>IF(H1721&gt;0,VLOOKUP(H1721,PAR!$AA$3:$AC$187,3,FALSE),"nincs főkönyvi számla")</f>
        <v>nincs főkönyvi számla</v>
      </c>
      <c r="R1721" t="str">
        <f>IFERROR(VLOOKUP(K1721,PAR!$V$3:$X$438,3,FALSE),"000000 - Nincs COFOG")</f>
        <v>000000 - Nincs COFOG</v>
      </c>
      <c r="S1721">
        <f t="shared" si="506"/>
        <v>0</v>
      </c>
      <c r="T1721">
        <f t="shared" si="507"/>
        <v>0</v>
      </c>
      <c r="U1721" t="str">
        <f>IF('906MP'!J1421&gt;0,CONCATENATE('906MP'!J1421," - ",'906MP'!P1421,", ",'906MP'!E1421),"nincs megjegyzés")</f>
        <v>nincs megjegyzés</v>
      </c>
      <c r="V1721" t="str">
        <f t="shared" si="494"/>
        <v>0P0</v>
      </c>
      <c r="W1721" t="str">
        <f t="shared" si="495"/>
        <v>0P0</v>
      </c>
      <c r="X1721" t="str">
        <f t="shared" si="496"/>
        <v>P0</v>
      </c>
      <c r="Y1721" t="str">
        <f t="shared" si="497"/>
        <v>00</v>
      </c>
      <c r="Z1721" t="str">
        <f t="shared" si="508"/>
        <v>00</v>
      </c>
      <c r="AA1721" t="str">
        <f t="shared" si="498"/>
        <v>00</v>
      </c>
      <c r="AB1721" t="str">
        <f t="shared" si="499"/>
        <v>00</v>
      </c>
      <c r="AC1721" t="str">
        <f t="shared" si="500"/>
        <v>0P0</v>
      </c>
      <c r="AD1721" t="str">
        <f t="shared" si="501"/>
        <v>P00</v>
      </c>
      <c r="AE1721" t="str">
        <f t="shared" si="502"/>
        <v>0P0</v>
      </c>
      <c r="AF1721" t="str">
        <f t="shared" si="503"/>
        <v>P00</v>
      </c>
      <c r="AG1721" t="str">
        <f t="shared" si="509"/>
        <v>0P00</v>
      </c>
      <c r="AH1721" t="str">
        <f t="shared" si="510"/>
        <v>P000</v>
      </c>
      <c r="AI1721" t="str">
        <f t="shared" si="511"/>
        <v>0P00</v>
      </c>
      <c r="AJ1721" t="str">
        <f t="shared" si="512"/>
        <v>P000</v>
      </c>
    </row>
    <row r="1722" spans="1:36" x14ac:dyDescent="0.25">
      <c r="A1722" s="325" t="str">
        <f>CONCATENATE("P",'906MP'!M1422)</f>
        <v>P</v>
      </c>
      <c r="B1722">
        <f>'906MP'!H1422</f>
        <v>0</v>
      </c>
      <c r="C1722">
        <f>'906MP'!J1422</f>
        <v>0</v>
      </c>
      <c r="D1722">
        <f>'906MP'!P1422</f>
        <v>0</v>
      </c>
      <c r="E1722">
        <f>'906MP'!X1422</f>
        <v>0</v>
      </c>
      <c r="F1722" t="str">
        <f t="shared" si="504"/>
        <v>0</v>
      </c>
      <c r="G1722" t="str">
        <f t="shared" si="505"/>
        <v>0</v>
      </c>
      <c r="H1722">
        <f>'906MP'!Y1422</f>
        <v>0</v>
      </c>
      <c r="I1722">
        <f>'906MP'!AK1422</f>
        <v>0</v>
      </c>
      <c r="J1722">
        <f>'906MP'!T1422</f>
        <v>0</v>
      </c>
      <c r="K1722">
        <f>'906MP'!AJ1422</f>
        <v>0</v>
      </c>
      <c r="L1722">
        <f>'906MP'!U1422</f>
        <v>0</v>
      </c>
      <c r="M1722" s="322" t="str">
        <f>IFERROR(VLOOKUP(A1722,PAR!$D$3:$E$53,2,FALSE),"nincs szervezet")</f>
        <v>nincs szervezet</v>
      </c>
      <c r="N1722" s="322" t="str">
        <f>VLOOKUP(F1722,PAR!$R$3:$S$5,2,FALSE)</f>
        <v>3 - egyik sem</v>
      </c>
      <c r="O1722" t="str">
        <f>IFERROR(VLOOKUP(J1722,PAR!$O$3:$P$5,2,FALSE),"nincs feladat")</f>
        <v>nincs feladat</v>
      </c>
      <c r="P1722" t="str">
        <f>IFERROR(VLOOKUP(G1722,PAR!$J$2:$M$19,4),"nincs rovat")</f>
        <v>nincs rovat</v>
      </c>
      <c r="Q1722" t="str">
        <f>IF(H1722&gt;0,VLOOKUP(H1722,PAR!$AA$3:$AC$187,3,FALSE),"nincs főkönyvi számla")</f>
        <v>nincs főkönyvi számla</v>
      </c>
      <c r="R1722" t="str">
        <f>IFERROR(VLOOKUP(K1722,PAR!$V$3:$X$438,3,FALSE),"000000 - Nincs COFOG")</f>
        <v>000000 - Nincs COFOG</v>
      </c>
      <c r="S1722">
        <f t="shared" si="506"/>
        <v>0</v>
      </c>
      <c r="T1722">
        <f t="shared" si="507"/>
        <v>0</v>
      </c>
      <c r="U1722" t="str">
        <f>IF('906MP'!J1422&gt;0,CONCATENATE('906MP'!J1422," - ",'906MP'!P1422,", ",'906MP'!E1422),"nincs megjegyzés")</f>
        <v>nincs megjegyzés</v>
      </c>
      <c r="V1722" t="str">
        <f t="shared" si="494"/>
        <v>0P0</v>
      </c>
      <c r="W1722" t="str">
        <f t="shared" si="495"/>
        <v>0P0</v>
      </c>
      <c r="X1722" t="str">
        <f t="shared" si="496"/>
        <v>P0</v>
      </c>
      <c r="Y1722" t="str">
        <f t="shared" si="497"/>
        <v>00</v>
      </c>
      <c r="Z1722" t="str">
        <f t="shared" si="508"/>
        <v>00</v>
      </c>
      <c r="AA1722" t="str">
        <f t="shared" si="498"/>
        <v>00</v>
      </c>
      <c r="AB1722" t="str">
        <f t="shared" si="499"/>
        <v>00</v>
      </c>
      <c r="AC1722" t="str">
        <f t="shared" si="500"/>
        <v>0P0</v>
      </c>
      <c r="AD1722" t="str">
        <f t="shared" si="501"/>
        <v>P00</v>
      </c>
      <c r="AE1722" t="str">
        <f t="shared" si="502"/>
        <v>0P0</v>
      </c>
      <c r="AF1722" t="str">
        <f t="shared" si="503"/>
        <v>P00</v>
      </c>
      <c r="AG1722" t="str">
        <f t="shared" si="509"/>
        <v>0P00</v>
      </c>
      <c r="AH1722" t="str">
        <f t="shared" si="510"/>
        <v>P000</v>
      </c>
      <c r="AI1722" t="str">
        <f t="shared" si="511"/>
        <v>0P00</v>
      </c>
      <c r="AJ1722" t="str">
        <f t="shared" si="512"/>
        <v>P000</v>
      </c>
    </row>
    <row r="1723" spans="1:36" x14ac:dyDescent="0.25">
      <c r="A1723" s="325" t="str">
        <f>CONCATENATE("P",'906MP'!M1423)</f>
        <v>P</v>
      </c>
      <c r="B1723">
        <f>'906MP'!H1423</f>
        <v>0</v>
      </c>
      <c r="C1723">
        <f>'906MP'!J1423</f>
        <v>0</v>
      </c>
      <c r="D1723">
        <f>'906MP'!P1423</f>
        <v>0</v>
      </c>
      <c r="E1723">
        <f>'906MP'!X1423</f>
        <v>0</v>
      </c>
      <c r="F1723" t="str">
        <f t="shared" si="504"/>
        <v>0</v>
      </c>
      <c r="G1723" t="str">
        <f t="shared" si="505"/>
        <v>0</v>
      </c>
      <c r="H1723">
        <f>'906MP'!Y1423</f>
        <v>0</v>
      </c>
      <c r="I1723">
        <f>'906MP'!AK1423</f>
        <v>0</v>
      </c>
      <c r="J1723">
        <f>'906MP'!T1423</f>
        <v>0</v>
      </c>
      <c r="K1723">
        <f>'906MP'!AJ1423</f>
        <v>0</v>
      </c>
      <c r="L1723">
        <f>'906MP'!U1423</f>
        <v>0</v>
      </c>
      <c r="M1723" s="322" t="str">
        <f>IFERROR(VLOOKUP(A1723,PAR!$D$3:$E$53,2,FALSE),"nincs szervezet")</f>
        <v>nincs szervezet</v>
      </c>
      <c r="N1723" s="322" t="str">
        <f>VLOOKUP(F1723,PAR!$R$3:$S$5,2,FALSE)</f>
        <v>3 - egyik sem</v>
      </c>
      <c r="O1723" t="str">
        <f>IFERROR(VLOOKUP(J1723,PAR!$O$3:$P$5,2,FALSE),"nincs feladat")</f>
        <v>nincs feladat</v>
      </c>
      <c r="P1723" t="str">
        <f>IFERROR(VLOOKUP(G1723,PAR!$J$2:$M$19,4),"nincs rovat")</f>
        <v>nincs rovat</v>
      </c>
      <c r="Q1723" t="str">
        <f>IF(H1723&gt;0,VLOOKUP(H1723,PAR!$AA$3:$AC$187,3,FALSE),"nincs főkönyvi számla")</f>
        <v>nincs főkönyvi számla</v>
      </c>
      <c r="R1723" t="str">
        <f>IFERROR(VLOOKUP(K1723,PAR!$V$3:$X$438,3,FALSE),"000000 - Nincs COFOG")</f>
        <v>000000 - Nincs COFOG</v>
      </c>
      <c r="S1723">
        <f t="shared" si="506"/>
        <v>0</v>
      </c>
      <c r="T1723">
        <f t="shared" si="507"/>
        <v>0</v>
      </c>
      <c r="U1723" t="str">
        <f>IF('906MP'!J1423&gt;0,CONCATENATE('906MP'!J1423," - ",'906MP'!P1423,", ",'906MP'!E1423),"nincs megjegyzés")</f>
        <v>nincs megjegyzés</v>
      </c>
      <c r="V1723" t="str">
        <f t="shared" si="494"/>
        <v>0P0</v>
      </c>
      <c r="W1723" t="str">
        <f t="shared" si="495"/>
        <v>0P0</v>
      </c>
      <c r="X1723" t="str">
        <f t="shared" si="496"/>
        <v>P0</v>
      </c>
      <c r="Y1723" t="str">
        <f t="shared" si="497"/>
        <v>00</v>
      </c>
      <c r="Z1723" t="str">
        <f t="shared" si="508"/>
        <v>00</v>
      </c>
      <c r="AA1723" t="str">
        <f t="shared" si="498"/>
        <v>00</v>
      </c>
      <c r="AB1723" t="str">
        <f t="shared" si="499"/>
        <v>00</v>
      </c>
      <c r="AC1723" t="str">
        <f t="shared" si="500"/>
        <v>0P0</v>
      </c>
      <c r="AD1723" t="str">
        <f t="shared" si="501"/>
        <v>P00</v>
      </c>
      <c r="AE1723" t="str">
        <f t="shared" si="502"/>
        <v>0P0</v>
      </c>
      <c r="AF1723" t="str">
        <f t="shared" si="503"/>
        <v>P00</v>
      </c>
      <c r="AG1723" t="str">
        <f t="shared" si="509"/>
        <v>0P00</v>
      </c>
      <c r="AH1723" t="str">
        <f t="shared" si="510"/>
        <v>P000</v>
      </c>
      <c r="AI1723" t="str">
        <f t="shared" si="511"/>
        <v>0P00</v>
      </c>
      <c r="AJ1723" t="str">
        <f t="shared" si="512"/>
        <v>P000</v>
      </c>
    </row>
    <row r="1724" spans="1:36" x14ac:dyDescent="0.25">
      <c r="A1724" s="325" t="str">
        <f>CONCATENATE("P",'906MP'!M1424)</f>
        <v>P</v>
      </c>
      <c r="B1724">
        <f>'906MP'!H1424</f>
        <v>0</v>
      </c>
      <c r="C1724">
        <f>'906MP'!J1424</f>
        <v>0</v>
      </c>
      <c r="D1724">
        <f>'906MP'!P1424</f>
        <v>0</v>
      </c>
      <c r="E1724">
        <f>'906MP'!X1424</f>
        <v>0</v>
      </c>
      <c r="F1724" t="str">
        <f t="shared" si="504"/>
        <v>0</v>
      </c>
      <c r="G1724" t="str">
        <f t="shared" si="505"/>
        <v>0</v>
      </c>
      <c r="H1724">
        <f>'906MP'!Y1424</f>
        <v>0</v>
      </c>
      <c r="I1724">
        <f>'906MP'!AK1424</f>
        <v>0</v>
      </c>
      <c r="J1724">
        <f>'906MP'!T1424</f>
        <v>0</v>
      </c>
      <c r="K1724">
        <f>'906MP'!AJ1424</f>
        <v>0</v>
      </c>
      <c r="L1724">
        <f>'906MP'!U1424</f>
        <v>0</v>
      </c>
      <c r="M1724" s="322" t="str">
        <f>IFERROR(VLOOKUP(A1724,PAR!$D$3:$E$53,2,FALSE),"nincs szervezet")</f>
        <v>nincs szervezet</v>
      </c>
      <c r="N1724" s="322" t="str">
        <f>VLOOKUP(F1724,PAR!$R$3:$S$5,2,FALSE)</f>
        <v>3 - egyik sem</v>
      </c>
      <c r="O1724" t="str">
        <f>IFERROR(VLOOKUP(J1724,PAR!$O$3:$P$5,2,FALSE),"nincs feladat")</f>
        <v>nincs feladat</v>
      </c>
      <c r="P1724" t="str">
        <f>IFERROR(VLOOKUP(G1724,PAR!$J$2:$M$19,4),"nincs rovat")</f>
        <v>nincs rovat</v>
      </c>
      <c r="Q1724" t="str">
        <f>IF(H1724&gt;0,VLOOKUP(H1724,PAR!$AA$3:$AC$187,3,FALSE),"nincs főkönyvi számla")</f>
        <v>nincs főkönyvi számla</v>
      </c>
      <c r="R1724" t="str">
        <f>IFERROR(VLOOKUP(K1724,PAR!$V$3:$X$438,3,FALSE),"000000 - Nincs COFOG")</f>
        <v>000000 - Nincs COFOG</v>
      </c>
      <c r="S1724">
        <f t="shared" si="506"/>
        <v>0</v>
      </c>
      <c r="T1724">
        <f t="shared" si="507"/>
        <v>0</v>
      </c>
      <c r="U1724" t="str">
        <f>IF('906MP'!J1424&gt;0,CONCATENATE('906MP'!J1424," - ",'906MP'!P1424,", ",'906MP'!E1424),"nincs megjegyzés")</f>
        <v>nincs megjegyzés</v>
      </c>
      <c r="V1724" t="str">
        <f t="shared" si="494"/>
        <v>0P0</v>
      </c>
      <c r="W1724" t="str">
        <f t="shared" si="495"/>
        <v>0P0</v>
      </c>
      <c r="X1724" t="str">
        <f t="shared" si="496"/>
        <v>P0</v>
      </c>
      <c r="Y1724" t="str">
        <f t="shared" si="497"/>
        <v>00</v>
      </c>
      <c r="Z1724" t="str">
        <f t="shared" si="508"/>
        <v>00</v>
      </c>
      <c r="AA1724" t="str">
        <f t="shared" si="498"/>
        <v>00</v>
      </c>
      <c r="AB1724" t="str">
        <f t="shared" si="499"/>
        <v>00</v>
      </c>
      <c r="AC1724" t="str">
        <f t="shared" si="500"/>
        <v>0P0</v>
      </c>
      <c r="AD1724" t="str">
        <f t="shared" si="501"/>
        <v>P00</v>
      </c>
      <c r="AE1724" t="str">
        <f t="shared" si="502"/>
        <v>0P0</v>
      </c>
      <c r="AF1724" t="str">
        <f t="shared" si="503"/>
        <v>P00</v>
      </c>
      <c r="AG1724" t="str">
        <f t="shared" si="509"/>
        <v>0P00</v>
      </c>
      <c r="AH1724" t="str">
        <f t="shared" si="510"/>
        <v>P000</v>
      </c>
      <c r="AI1724" t="str">
        <f t="shared" si="511"/>
        <v>0P00</v>
      </c>
      <c r="AJ1724" t="str">
        <f t="shared" si="512"/>
        <v>P000</v>
      </c>
    </row>
    <row r="1725" spans="1:36" x14ac:dyDescent="0.25">
      <c r="A1725" s="325" t="str">
        <f>CONCATENATE("P",'906MP'!M1425)</f>
        <v>P</v>
      </c>
      <c r="B1725">
        <f>'906MP'!H1425</f>
        <v>0</v>
      </c>
      <c r="C1725">
        <f>'906MP'!J1425</f>
        <v>0</v>
      </c>
      <c r="D1725">
        <f>'906MP'!P1425</f>
        <v>0</v>
      </c>
      <c r="E1725">
        <f>'906MP'!X1425</f>
        <v>0</v>
      </c>
      <c r="F1725" t="str">
        <f t="shared" si="504"/>
        <v>0</v>
      </c>
      <c r="G1725" t="str">
        <f t="shared" si="505"/>
        <v>0</v>
      </c>
      <c r="H1725">
        <f>'906MP'!Y1425</f>
        <v>0</v>
      </c>
      <c r="I1725">
        <f>'906MP'!AK1425</f>
        <v>0</v>
      </c>
      <c r="J1725">
        <f>'906MP'!T1425</f>
        <v>0</v>
      </c>
      <c r="K1725">
        <f>'906MP'!AJ1425</f>
        <v>0</v>
      </c>
      <c r="L1725">
        <f>'906MP'!U1425</f>
        <v>0</v>
      </c>
      <c r="M1725" s="322" t="str">
        <f>IFERROR(VLOOKUP(A1725,PAR!$D$3:$E$53,2,FALSE),"nincs szervezet")</f>
        <v>nincs szervezet</v>
      </c>
      <c r="N1725" s="322" t="str">
        <f>VLOOKUP(F1725,PAR!$R$3:$S$5,2,FALSE)</f>
        <v>3 - egyik sem</v>
      </c>
      <c r="O1725" t="str">
        <f>IFERROR(VLOOKUP(J1725,PAR!$O$3:$P$5,2,FALSE),"nincs feladat")</f>
        <v>nincs feladat</v>
      </c>
      <c r="P1725" t="str">
        <f>IFERROR(VLOOKUP(G1725,PAR!$J$2:$M$19,4),"nincs rovat")</f>
        <v>nincs rovat</v>
      </c>
      <c r="Q1725" t="str">
        <f>IF(H1725&gt;0,VLOOKUP(H1725,PAR!$AA$3:$AC$187,3,FALSE),"nincs főkönyvi számla")</f>
        <v>nincs főkönyvi számla</v>
      </c>
      <c r="R1725" t="str">
        <f>IFERROR(VLOOKUP(K1725,PAR!$V$3:$X$438,3,FALSE),"000000 - Nincs COFOG")</f>
        <v>000000 - Nincs COFOG</v>
      </c>
      <c r="S1725">
        <f t="shared" si="506"/>
        <v>0</v>
      </c>
      <c r="T1725">
        <f t="shared" si="507"/>
        <v>0</v>
      </c>
      <c r="U1725" t="str">
        <f>IF('906MP'!J1425&gt;0,CONCATENATE('906MP'!J1425," - ",'906MP'!P1425,", ",'906MP'!E1425),"nincs megjegyzés")</f>
        <v>nincs megjegyzés</v>
      </c>
      <c r="V1725" t="str">
        <f t="shared" si="494"/>
        <v>0P0</v>
      </c>
      <c r="W1725" t="str">
        <f t="shared" si="495"/>
        <v>0P0</v>
      </c>
      <c r="X1725" t="str">
        <f t="shared" si="496"/>
        <v>P0</v>
      </c>
      <c r="Y1725" t="str">
        <f t="shared" si="497"/>
        <v>00</v>
      </c>
      <c r="Z1725" t="str">
        <f t="shared" si="508"/>
        <v>00</v>
      </c>
      <c r="AA1725" t="str">
        <f t="shared" si="498"/>
        <v>00</v>
      </c>
      <c r="AB1725" t="str">
        <f t="shared" si="499"/>
        <v>00</v>
      </c>
      <c r="AC1725" t="str">
        <f t="shared" si="500"/>
        <v>0P0</v>
      </c>
      <c r="AD1725" t="str">
        <f t="shared" si="501"/>
        <v>P00</v>
      </c>
      <c r="AE1725" t="str">
        <f t="shared" si="502"/>
        <v>0P0</v>
      </c>
      <c r="AF1725" t="str">
        <f t="shared" si="503"/>
        <v>P00</v>
      </c>
      <c r="AG1725" t="str">
        <f t="shared" si="509"/>
        <v>0P00</v>
      </c>
      <c r="AH1725" t="str">
        <f t="shared" si="510"/>
        <v>P000</v>
      </c>
      <c r="AI1725" t="str">
        <f t="shared" si="511"/>
        <v>0P00</v>
      </c>
      <c r="AJ1725" t="str">
        <f t="shared" si="512"/>
        <v>P000</v>
      </c>
    </row>
    <row r="1726" spans="1:36" x14ac:dyDescent="0.25">
      <c r="A1726" s="325" t="str">
        <f>CONCATENATE("P",'906MP'!M1426)</f>
        <v>P</v>
      </c>
      <c r="B1726">
        <f>'906MP'!H1426</f>
        <v>0</v>
      </c>
      <c r="C1726">
        <f>'906MP'!J1426</f>
        <v>0</v>
      </c>
      <c r="D1726">
        <f>'906MP'!P1426</f>
        <v>0</v>
      </c>
      <c r="E1726">
        <f>'906MP'!X1426</f>
        <v>0</v>
      </c>
      <c r="F1726" t="str">
        <f t="shared" si="504"/>
        <v>0</v>
      </c>
      <c r="G1726" t="str">
        <f t="shared" si="505"/>
        <v>0</v>
      </c>
      <c r="H1726">
        <f>'906MP'!Y1426</f>
        <v>0</v>
      </c>
      <c r="I1726">
        <f>'906MP'!AK1426</f>
        <v>0</v>
      </c>
      <c r="J1726">
        <f>'906MP'!T1426</f>
        <v>0</v>
      </c>
      <c r="K1726">
        <f>'906MP'!AJ1426</f>
        <v>0</v>
      </c>
      <c r="L1726">
        <f>'906MP'!U1426</f>
        <v>0</v>
      </c>
      <c r="M1726" s="322" t="str">
        <f>IFERROR(VLOOKUP(A1726,PAR!$D$3:$E$53,2,FALSE),"nincs szervezet")</f>
        <v>nincs szervezet</v>
      </c>
      <c r="N1726" s="322" t="str">
        <f>VLOOKUP(F1726,PAR!$R$3:$S$5,2,FALSE)</f>
        <v>3 - egyik sem</v>
      </c>
      <c r="O1726" t="str">
        <f>IFERROR(VLOOKUP(J1726,PAR!$O$3:$P$5,2,FALSE),"nincs feladat")</f>
        <v>nincs feladat</v>
      </c>
      <c r="P1726" t="str">
        <f>IFERROR(VLOOKUP(G1726,PAR!$J$2:$M$19,4),"nincs rovat")</f>
        <v>nincs rovat</v>
      </c>
      <c r="Q1726" t="str">
        <f>IF(H1726&gt;0,VLOOKUP(H1726,PAR!$AA$3:$AC$187,3,FALSE),"nincs főkönyvi számla")</f>
        <v>nincs főkönyvi számla</v>
      </c>
      <c r="R1726" t="str">
        <f>IFERROR(VLOOKUP(K1726,PAR!$V$3:$X$438,3,FALSE),"000000 - Nincs COFOG")</f>
        <v>000000 - Nincs COFOG</v>
      </c>
      <c r="S1726">
        <f t="shared" si="506"/>
        <v>0</v>
      </c>
      <c r="T1726">
        <f t="shared" si="507"/>
        <v>0</v>
      </c>
      <c r="U1726" t="str">
        <f>IF('906MP'!J1426&gt;0,CONCATENATE('906MP'!J1426," - ",'906MP'!P1426,", ",'906MP'!E1426),"nincs megjegyzés")</f>
        <v>nincs megjegyzés</v>
      </c>
      <c r="V1726" t="str">
        <f t="shared" si="494"/>
        <v>0P0</v>
      </c>
      <c r="W1726" t="str">
        <f t="shared" si="495"/>
        <v>0P0</v>
      </c>
      <c r="X1726" t="str">
        <f t="shared" si="496"/>
        <v>P0</v>
      </c>
      <c r="Y1726" t="str">
        <f t="shared" si="497"/>
        <v>00</v>
      </c>
      <c r="Z1726" t="str">
        <f t="shared" si="508"/>
        <v>00</v>
      </c>
      <c r="AA1726" t="str">
        <f t="shared" si="498"/>
        <v>00</v>
      </c>
      <c r="AB1726" t="str">
        <f t="shared" si="499"/>
        <v>00</v>
      </c>
      <c r="AC1726" t="str">
        <f t="shared" si="500"/>
        <v>0P0</v>
      </c>
      <c r="AD1726" t="str">
        <f t="shared" si="501"/>
        <v>P00</v>
      </c>
      <c r="AE1726" t="str">
        <f t="shared" si="502"/>
        <v>0P0</v>
      </c>
      <c r="AF1726" t="str">
        <f t="shared" si="503"/>
        <v>P00</v>
      </c>
      <c r="AG1726" t="str">
        <f t="shared" si="509"/>
        <v>0P00</v>
      </c>
      <c r="AH1726" t="str">
        <f t="shared" si="510"/>
        <v>P000</v>
      </c>
      <c r="AI1726" t="str">
        <f t="shared" si="511"/>
        <v>0P00</v>
      </c>
      <c r="AJ1726" t="str">
        <f t="shared" si="512"/>
        <v>P000</v>
      </c>
    </row>
    <row r="1727" spans="1:36" x14ac:dyDescent="0.25">
      <c r="A1727" s="325" t="str">
        <f>CONCATENATE("P",'906MP'!M1427)</f>
        <v>P</v>
      </c>
      <c r="B1727">
        <f>'906MP'!H1427</f>
        <v>0</v>
      </c>
      <c r="C1727">
        <f>'906MP'!J1427</f>
        <v>0</v>
      </c>
      <c r="D1727">
        <f>'906MP'!P1427</f>
        <v>0</v>
      </c>
      <c r="E1727">
        <f>'906MP'!X1427</f>
        <v>0</v>
      </c>
      <c r="F1727" t="str">
        <f t="shared" si="504"/>
        <v>0</v>
      </c>
      <c r="G1727" t="str">
        <f t="shared" si="505"/>
        <v>0</v>
      </c>
      <c r="H1727">
        <f>'906MP'!Y1427</f>
        <v>0</v>
      </c>
      <c r="I1727">
        <f>'906MP'!AK1427</f>
        <v>0</v>
      </c>
      <c r="J1727">
        <f>'906MP'!T1427</f>
        <v>0</v>
      </c>
      <c r="K1727">
        <f>'906MP'!AJ1427</f>
        <v>0</v>
      </c>
      <c r="L1727">
        <f>'906MP'!U1427</f>
        <v>0</v>
      </c>
      <c r="M1727" s="322" t="str">
        <f>IFERROR(VLOOKUP(A1727,PAR!$D$3:$E$53,2,FALSE),"nincs szervezet")</f>
        <v>nincs szervezet</v>
      </c>
      <c r="N1727" s="322" t="str">
        <f>VLOOKUP(F1727,PAR!$R$3:$S$5,2,FALSE)</f>
        <v>3 - egyik sem</v>
      </c>
      <c r="O1727" t="str">
        <f>IFERROR(VLOOKUP(J1727,PAR!$O$3:$P$5,2,FALSE),"nincs feladat")</f>
        <v>nincs feladat</v>
      </c>
      <c r="P1727" t="str">
        <f>IFERROR(VLOOKUP(G1727,PAR!$J$2:$M$19,4),"nincs rovat")</f>
        <v>nincs rovat</v>
      </c>
      <c r="Q1727" t="str">
        <f>IF(H1727&gt;0,VLOOKUP(H1727,PAR!$AA$3:$AC$187,3,FALSE),"nincs főkönyvi számla")</f>
        <v>nincs főkönyvi számla</v>
      </c>
      <c r="R1727" t="str">
        <f>IFERROR(VLOOKUP(K1727,PAR!$V$3:$X$438,3,FALSE),"000000 - Nincs COFOG")</f>
        <v>000000 - Nincs COFOG</v>
      </c>
      <c r="S1727">
        <f t="shared" si="506"/>
        <v>0</v>
      </c>
      <c r="T1727">
        <f t="shared" si="507"/>
        <v>0</v>
      </c>
      <c r="U1727" t="str">
        <f>IF('906MP'!J1427&gt;0,CONCATENATE('906MP'!J1427," - ",'906MP'!P1427,", ",'906MP'!E1427),"nincs megjegyzés")</f>
        <v>nincs megjegyzés</v>
      </c>
      <c r="V1727" t="str">
        <f t="shared" si="494"/>
        <v>0P0</v>
      </c>
      <c r="W1727" t="str">
        <f t="shared" si="495"/>
        <v>0P0</v>
      </c>
      <c r="X1727" t="str">
        <f t="shared" si="496"/>
        <v>P0</v>
      </c>
      <c r="Y1727" t="str">
        <f t="shared" si="497"/>
        <v>00</v>
      </c>
      <c r="Z1727" t="str">
        <f t="shared" si="508"/>
        <v>00</v>
      </c>
      <c r="AA1727" t="str">
        <f t="shared" si="498"/>
        <v>00</v>
      </c>
      <c r="AB1727" t="str">
        <f t="shared" si="499"/>
        <v>00</v>
      </c>
      <c r="AC1727" t="str">
        <f t="shared" si="500"/>
        <v>0P0</v>
      </c>
      <c r="AD1727" t="str">
        <f t="shared" si="501"/>
        <v>P00</v>
      </c>
      <c r="AE1727" t="str">
        <f t="shared" si="502"/>
        <v>0P0</v>
      </c>
      <c r="AF1727" t="str">
        <f t="shared" si="503"/>
        <v>P00</v>
      </c>
      <c r="AG1727" t="str">
        <f t="shared" si="509"/>
        <v>0P00</v>
      </c>
      <c r="AH1727" t="str">
        <f t="shared" si="510"/>
        <v>P000</v>
      </c>
      <c r="AI1727" t="str">
        <f t="shared" si="511"/>
        <v>0P00</v>
      </c>
      <c r="AJ1727" t="str">
        <f t="shared" si="512"/>
        <v>P000</v>
      </c>
    </row>
    <row r="1728" spans="1:36" x14ac:dyDescent="0.25">
      <c r="A1728" s="325" t="str">
        <f>CONCATENATE("P",'906MP'!M1428)</f>
        <v>P</v>
      </c>
      <c r="B1728">
        <f>'906MP'!H1428</f>
        <v>0</v>
      </c>
      <c r="C1728">
        <f>'906MP'!J1428</f>
        <v>0</v>
      </c>
      <c r="D1728">
        <f>'906MP'!P1428</f>
        <v>0</v>
      </c>
      <c r="E1728">
        <f>'906MP'!X1428</f>
        <v>0</v>
      </c>
      <c r="F1728" t="str">
        <f t="shared" si="504"/>
        <v>0</v>
      </c>
      <c r="G1728" t="str">
        <f t="shared" si="505"/>
        <v>0</v>
      </c>
      <c r="H1728">
        <f>'906MP'!Y1428</f>
        <v>0</v>
      </c>
      <c r="I1728">
        <f>'906MP'!AK1428</f>
        <v>0</v>
      </c>
      <c r="J1728">
        <f>'906MP'!T1428</f>
        <v>0</v>
      </c>
      <c r="K1728">
        <f>'906MP'!AJ1428</f>
        <v>0</v>
      </c>
      <c r="L1728">
        <f>'906MP'!U1428</f>
        <v>0</v>
      </c>
      <c r="M1728" s="322" t="str">
        <f>IFERROR(VLOOKUP(A1728,PAR!$D$3:$E$53,2,FALSE),"nincs szervezet")</f>
        <v>nincs szervezet</v>
      </c>
      <c r="N1728" s="322" t="str">
        <f>VLOOKUP(F1728,PAR!$R$3:$S$5,2,FALSE)</f>
        <v>3 - egyik sem</v>
      </c>
      <c r="O1728" t="str">
        <f>IFERROR(VLOOKUP(J1728,PAR!$O$3:$P$5,2,FALSE),"nincs feladat")</f>
        <v>nincs feladat</v>
      </c>
      <c r="P1728" t="str">
        <f>IFERROR(VLOOKUP(G1728,PAR!$J$2:$M$19,4),"nincs rovat")</f>
        <v>nincs rovat</v>
      </c>
      <c r="Q1728" t="str">
        <f>IF(H1728&gt;0,VLOOKUP(H1728,PAR!$AA$3:$AC$187,3,FALSE),"nincs főkönyvi számla")</f>
        <v>nincs főkönyvi számla</v>
      </c>
      <c r="R1728" t="str">
        <f>IFERROR(VLOOKUP(K1728,PAR!$V$3:$X$438,3,FALSE),"000000 - Nincs COFOG")</f>
        <v>000000 - Nincs COFOG</v>
      </c>
      <c r="S1728">
        <f t="shared" si="506"/>
        <v>0</v>
      </c>
      <c r="T1728">
        <f t="shared" si="507"/>
        <v>0</v>
      </c>
      <c r="U1728" t="str">
        <f>IF('906MP'!J1428&gt;0,CONCATENATE('906MP'!J1428," - ",'906MP'!P1428,", ",'906MP'!E1428),"nincs megjegyzés")</f>
        <v>nincs megjegyzés</v>
      </c>
      <c r="V1728" t="str">
        <f t="shared" si="494"/>
        <v>0P0</v>
      </c>
      <c r="W1728" t="str">
        <f t="shared" si="495"/>
        <v>0P0</v>
      </c>
      <c r="X1728" t="str">
        <f t="shared" si="496"/>
        <v>P0</v>
      </c>
      <c r="Y1728" t="str">
        <f t="shared" si="497"/>
        <v>00</v>
      </c>
      <c r="Z1728" t="str">
        <f t="shared" si="508"/>
        <v>00</v>
      </c>
      <c r="AA1728" t="str">
        <f t="shared" si="498"/>
        <v>00</v>
      </c>
      <c r="AB1728" t="str">
        <f t="shared" si="499"/>
        <v>00</v>
      </c>
      <c r="AC1728" t="str">
        <f t="shared" si="500"/>
        <v>0P0</v>
      </c>
      <c r="AD1728" t="str">
        <f t="shared" si="501"/>
        <v>P00</v>
      </c>
      <c r="AE1728" t="str">
        <f t="shared" si="502"/>
        <v>0P0</v>
      </c>
      <c r="AF1728" t="str">
        <f t="shared" si="503"/>
        <v>P00</v>
      </c>
      <c r="AG1728" t="str">
        <f t="shared" si="509"/>
        <v>0P00</v>
      </c>
      <c r="AH1728" t="str">
        <f t="shared" si="510"/>
        <v>P000</v>
      </c>
      <c r="AI1728" t="str">
        <f t="shared" si="511"/>
        <v>0P00</v>
      </c>
      <c r="AJ1728" t="str">
        <f t="shared" si="512"/>
        <v>P000</v>
      </c>
    </row>
    <row r="1729" spans="1:36" x14ac:dyDescent="0.25">
      <c r="A1729" s="325" t="str">
        <f>CONCATENATE("P",'906MP'!M1429)</f>
        <v>P</v>
      </c>
      <c r="B1729">
        <f>'906MP'!H1429</f>
        <v>0</v>
      </c>
      <c r="C1729">
        <f>'906MP'!J1429</f>
        <v>0</v>
      </c>
      <c r="D1729">
        <f>'906MP'!P1429</f>
        <v>0</v>
      </c>
      <c r="E1729">
        <f>'906MP'!X1429</f>
        <v>0</v>
      </c>
      <c r="F1729" t="str">
        <f t="shared" si="504"/>
        <v>0</v>
      </c>
      <c r="G1729" t="str">
        <f t="shared" si="505"/>
        <v>0</v>
      </c>
      <c r="H1729">
        <f>'906MP'!Y1429</f>
        <v>0</v>
      </c>
      <c r="I1729">
        <f>'906MP'!AK1429</f>
        <v>0</v>
      </c>
      <c r="J1729">
        <f>'906MP'!T1429</f>
        <v>0</v>
      </c>
      <c r="K1729">
        <f>'906MP'!AJ1429</f>
        <v>0</v>
      </c>
      <c r="L1729">
        <f>'906MP'!U1429</f>
        <v>0</v>
      </c>
      <c r="M1729" s="322" t="str">
        <f>IFERROR(VLOOKUP(A1729,PAR!$D$3:$E$53,2,FALSE),"nincs szervezet")</f>
        <v>nincs szervezet</v>
      </c>
      <c r="N1729" s="322" t="str">
        <f>VLOOKUP(F1729,PAR!$R$3:$S$5,2,FALSE)</f>
        <v>3 - egyik sem</v>
      </c>
      <c r="O1729" t="str">
        <f>IFERROR(VLOOKUP(J1729,PAR!$O$3:$P$5,2,FALSE),"nincs feladat")</f>
        <v>nincs feladat</v>
      </c>
      <c r="P1729" t="str">
        <f>IFERROR(VLOOKUP(G1729,PAR!$J$2:$M$19,4),"nincs rovat")</f>
        <v>nincs rovat</v>
      </c>
      <c r="Q1729" t="str">
        <f>IF(H1729&gt;0,VLOOKUP(H1729,PAR!$AA$3:$AC$187,3,FALSE),"nincs főkönyvi számla")</f>
        <v>nincs főkönyvi számla</v>
      </c>
      <c r="R1729" t="str">
        <f>IFERROR(VLOOKUP(K1729,PAR!$V$3:$X$438,3,FALSE),"000000 - Nincs COFOG")</f>
        <v>000000 - Nincs COFOG</v>
      </c>
      <c r="S1729">
        <f t="shared" si="506"/>
        <v>0</v>
      </c>
      <c r="T1729">
        <f t="shared" si="507"/>
        <v>0</v>
      </c>
      <c r="U1729" t="str">
        <f>IF('906MP'!J1429&gt;0,CONCATENATE('906MP'!J1429," - ",'906MP'!P1429,", ",'906MP'!E1429),"nincs megjegyzés")</f>
        <v>nincs megjegyzés</v>
      </c>
      <c r="V1729" t="str">
        <f t="shared" si="494"/>
        <v>0P0</v>
      </c>
      <c r="W1729" t="str">
        <f t="shared" si="495"/>
        <v>0P0</v>
      </c>
      <c r="X1729" t="str">
        <f t="shared" si="496"/>
        <v>P0</v>
      </c>
      <c r="Y1729" t="str">
        <f t="shared" si="497"/>
        <v>00</v>
      </c>
      <c r="Z1729" t="str">
        <f t="shared" si="508"/>
        <v>00</v>
      </c>
      <c r="AA1729" t="str">
        <f t="shared" si="498"/>
        <v>00</v>
      </c>
      <c r="AB1729" t="str">
        <f t="shared" si="499"/>
        <v>00</v>
      </c>
      <c r="AC1729" t="str">
        <f t="shared" si="500"/>
        <v>0P0</v>
      </c>
      <c r="AD1729" t="str">
        <f t="shared" si="501"/>
        <v>P00</v>
      </c>
      <c r="AE1729" t="str">
        <f t="shared" si="502"/>
        <v>0P0</v>
      </c>
      <c r="AF1729" t="str">
        <f t="shared" si="503"/>
        <v>P00</v>
      </c>
      <c r="AG1729" t="str">
        <f t="shared" si="509"/>
        <v>0P00</v>
      </c>
      <c r="AH1729" t="str">
        <f t="shared" si="510"/>
        <v>P000</v>
      </c>
      <c r="AI1729" t="str">
        <f t="shared" si="511"/>
        <v>0P00</v>
      </c>
      <c r="AJ1729" t="str">
        <f t="shared" si="512"/>
        <v>P000</v>
      </c>
    </row>
    <row r="1730" spans="1:36" x14ac:dyDescent="0.25">
      <c r="A1730" s="325" t="str">
        <f>CONCATENATE("P",'906MP'!M1430)</f>
        <v>P</v>
      </c>
      <c r="B1730">
        <f>'906MP'!H1430</f>
        <v>0</v>
      </c>
      <c r="C1730">
        <f>'906MP'!J1430</f>
        <v>0</v>
      </c>
      <c r="D1730">
        <f>'906MP'!P1430</f>
        <v>0</v>
      </c>
      <c r="E1730">
        <f>'906MP'!X1430</f>
        <v>0</v>
      </c>
      <c r="F1730" t="str">
        <f t="shared" si="504"/>
        <v>0</v>
      </c>
      <c r="G1730" t="str">
        <f t="shared" si="505"/>
        <v>0</v>
      </c>
      <c r="H1730">
        <f>'906MP'!Y1430</f>
        <v>0</v>
      </c>
      <c r="I1730">
        <f>'906MP'!AK1430</f>
        <v>0</v>
      </c>
      <c r="J1730">
        <f>'906MP'!T1430</f>
        <v>0</v>
      </c>
      <c r="K1730">
        <f>'906MP'!AJ1430</f>
        <v>0</v>
      </c>
      <c r="L1730">
        <f>'906MP'!U1430</f>
        <v>0</v>
      </c>
      <c r="M1730" s="322" t="str">
        <f>IFERROR(VLOOKUP(A1730,PAR!$D$3:$E$53,2,FALSE),"nincs szervezet")</f>
        <v>nincs szervezet</v>
      </c>
      <c r="N1730" s="322" t="str">
        <f>VLOOKUP(F1730,PAR!$R$3:$S$5,2,FALSE)</f>
        <v>3 - egyik sem</v>
      </c>
      <c r="O1730" t="str">
        <f>IFERROR(VLOOKUP(J1730,PAR!$O$3:$P$5,2,FALSE),"nincs feladat")</f>
        <v>nincs feladat</v>
      </c>
      <c r="P1730" t="str">
        <f>IFERROR(VLOOKUP(G1730,PAR!$J$2:$M$19,4),"nincs rovat")</f>
        <v>nincs rovat</v>
      </c>
      <c r="Q1730" t="str">
        <f>IF(H1730&gt;0,VLOOKUP(H1730,PAR!$AA$3:$AC$187,3,FALSE),"nincs főkönyvi számla")</f>
        <v>nincs főkönyvi számla</v>
      </c>
      <c r="R1730" t="str">
        <f>IFERROR(VLOOKUP(K1730,PAR!$V$3:$X$438,3,FALSE),"000000 - Nincs COFOG")</f>
        <v>000000 - Nincs COFOG</v>
      </c>
      <c r="S1730">
        <f t="shared" si="506"/>
        <v>0</v>
      </c>
      <c r="T1730">
        <f t="shared" si="507"/>
        <v>0</v>
      </c>
      <c r="U1730" t="str">
        <f>IF('906MP'!J1430&gt;0,CONCATENATE('906MP'!J1430," - ",'906MP'!P1430,", ",'906MP'!E1430),"nincs megjegyzés")</f>
        <v>nincs megjegyzés</v>
      </c>
      <c r="V1730" t="str">
        <f t="shared" ref="V1730:V1793" si="513">CONCATENATE(B1730,A1730,G1730)</f>
        <v>0P0</v>
      </c>
      <c r="W1730" t="str">
        <f t="shared" ref="W1730:W1793" si="514">CONCATENATE(B1730,A1730,F1730)</f>
        <v>0P0</v>
      </c>
      <c r="X1730" t="str">
        <f t="shared" ref="X1730:X1793" si="515">CONCATENATE(A1730,H1730)</f>
        <v>P0</v>
      </c>
      <c r="Y1730" t="str">
        <f t="shared" ref="Y1730:Y1793" si="516">CONCATENATE(B1730,H1730)</f>
        <v>00</v>
      </c>
      <c r="Z1730" t="str">
        <f t="shared" si="508"/>
        <v>00</v>
      </c>
      <c r="AA1730" t="str">
        <f t="shared" ref="AA1730:AA1793" si="517">CONCATENATE(B1730,G1730)</f>
        <v>00</v>
      </c>
      <c r="AB1730" t="str">
        <f t="shared" ref="AB1730:AB1793" si="518">CONCATENATE(J1730,G1730)</f>
        <v>00</v>
      </c>
      <c r="AC1730" t="str">
        <f t="shared" ref="AC1730:AC1793" si="519">CONCATENATE(B1730,A1730,H1730)</f>
        <v>0P0</v>
      </c>
      <c r="AD1730" t="str">
        <f t="shared" ref="AD1730:AD1793" si="520">CONCATENATE(A1730,H1730,J1730)</f>
        <v>P00</v>
      </c>
      <c r="AE1730" t="str">
        <f t="shared" ref="AE1730:AE1793" si="521">CONCATENATE(B1730,A1730,G1730)</f>
        <v>0P0</v>
      </c>
      <c r="AF1730" t="str">
        <f t="shared" ref="AF1730:AF1793" si="522">CONCATENATE(A1730,G1730,J1730)</f>
        <v>P00</v>
      </c>
      <c r="AG1730" t="str">
        <f t="shared" si="509"/>
        <v>0P00</v>
      </c>
      <c r="AH1730" t="str">
        <f t="shared" si="510"/>
        <v>P000</v>
      </c>
      <c r="AI1730" t="str">
        <f t="shared" si="511"/>
        <v>0P00</v>
      </c>
      <c r="AJ1730" t="str">
        <f t="shared" si="512"/>
        <v>P000</v>
      </c>
    </row>
    <row r="1731" spans="1:36" x14ac:dyDescent="0.25">
      <c r="A1731" s="325" t="str">
        <f>CONCATENATE("P",'906MP'!M1431)</f>
        <v>P</v>
      </c>
      <c r="B1731">
        <f>'906MP'!H1431</f>
        <v>0</v>
      </c>
      <c r="C1731">
        <f>'906MP'!J1431</f>
        <v>0</v>
      </c>
      <c r="D1731">
        <f>'906MP'!P1431</f>
        <v>0</v>
      </c>
      <c r="E1731">
        <f>'906MP'!X1431</f>
        <v>0</v>
      </c>
      <c r="F1731" t="str">
        <f t="shared" ref="F1731:F1794" si="523">LEFT(G1731,2)</f>
        <v>0</v>
      </c>
      <c r="G1731" t="str">
        <f t="shared" ref="G1731:G1794" si="524">LEFT(H1731,3)</f>
        <v>0</v>
      </c>
      <c r="H1731">
        <f>'906MP'!Y1431</f>
        <v>0</v>
      </c>
      <c r="I1731">
        <f>'906MP'!AK1431</f>
        <v>0</v>
      </c>
      <c r="J1731">
        <f>'906MP'!T1431</f>
        <v>0</v>
      </c>
      <c r="K1731">
        <f>'906MP'!AJ1431</f>
        <v>0</v>
      </c>
      <c r="L1731">
        <f>'906MP'!U1431</f>
        <v>0</v>
      </c>
      <c r="M1731" s="322" t="str">
        <f>IFERROR(VLOOKUP(A1731,PAR!$D$3:$E$53,2,FALSE),"nincs szervezet")</f>
        <v>nincs szervezet</v>
      </c>
      <c r="N1731" s="322" t="str">
        <f>VLOOKUP(F1731,PAR!$R$3:$S$5,2,FALSE)</f>
        <v>3 - egyik sem</v>
      </c>
      <c r="O1731" t="str">
        <f>IFERROR(VLOOKUP(J1731,PAR!$O$3:$P$5,2,FALSE),"nincs feladat")</f>
        <v>nincs feladat</v>
      </c>
      <c r="P1731" t="str">
        <f>IFERROR(VLOOKUP(G1731,PAR!$J$2:$M$19,4),"nincs rovat")</f>
        <v>nincs rovat</v>
      </c>
      <c r="Q1731" t="str">
        <f>IF(H1731&gt;0,VLOOKUP(H1731,PAR!$AA$3:$AC$187,3,FALSE),"nincs főkönyvi számla")</f>
        <v>nincs főkönyvi számla</v>
      </c>
      <c r="R1731" t="str">
        <f>IFERROR(VLOOKUP(K1731,PAR!$V$3:$X$438,3,FALSE),"000000 - Nincs COFOG")</f>
        <v>000000 - Nincs COFOG</v>
      </c>
      <c r="S1731">
        <f t="shared" ref="S1731:S1794" si="525">E1731</f>
        <v>0</v>
      </c>
      <c r="T1731">
        <f t="shared" ref="T1731:T1794" si="526">IF(F1731="09",E1731*-1,E1731)</f>
        <v>0</v>
      </c>
      <c r="U1731" t="str">
        <f>IF('906MP'!J1431&gt;0,CONCATENATE('906MP'!J1431," - ",'906MP'!P1431,", ",'906MP'!E1431),"nincs megjegyzés")</f>
        <v>nincs megjegyzés</v>
      </c>
      <c r="V1731" t="str">
        <f t="shared" si="513"/>
        <v>0P0</v>
      </c>
      <c r="W1731" t="str">
        <f t="shared" si="514"/>
        <v>0P0</v>
      </c>
      <c r="X1731" t="str">
        <f t="shared" si="515"/>
        <v>P0</v>
      </c>
      <c r="Y1731" t="str">
        <f t="shared" si="516"/>
        <v>00</v>
      </c>
      <c r="Z1731" t="str">
        <f t="shared" ref="Z1731:Z1794" si="527">CONCATENATE(J1731,H1731)</f>
        <v>00</v>
      </c>
      <c r="AA1731" t="str">
        <f t="shared" si="517"/>
        <v>00</v>
      </c>
      <c r="AB1731" t="str">
        <f t="shared" si="518"/>
        <v>00</v>
      </c>
      <c r="AC1731" t="str">
        <f t="shared" si="519"/>
        <v>0P0</v>
      </c>
      <c r="AD1731" t="str">
        <f t="shared" si="520"/>
        <v>P00</v>
      </c>
      <c r="AE1731" t="str">
        <f t="shared" si="521"/>
        <v>0P0</v>
      </c>
      <c r="AF1731" t="str">
        <f t="shared" si="522"/>
        <v>P00</v>
      </c>
      <c r="AG1731" t="str">
        <f t="shared" ref="AG1731:AG1794" si="528">CONCATENATE(B1731,A1731,H1731,L1731)</f>
        <v>0P00</v>
      </c>
      <c r="AH1731" t="str">
        <f t="shared" ref="AH1731:AH1794" si="529">CONCATENATE(A1731,J1731,H1731,L1731)</f>
        <v>P000</v>
      </c>
      <c r="AI1731" t="str">
        <f t="shared" ref="AI1731:AI1794" si="530">CONCATENATE(B1731,A1731,G1731,L1731)</f>
        <v>0P00</v>
      </c>
      <c r="AJ1731" t="str">
        <f t="shared" ref="AJ1731:AJ1794" si="531">CONCATENATE(A1731,G1731,J1731,L1731)</f>
        <v>P000</v>
      </c>
    </row>
    <row r="1732" spans="1:36" x14ac:dyDescent="0.25">
      <c r="A1732" s="325" t="str">
        <f>CONCATENATE("P",'906MP'!M1432)</f>
        <v>P</v>
      </c>
      <c r="B1732">
        <f>'906MP'!H1432</f>
        <v>0</v>
      </c>
      <c r="C1732">
        <f>'906MP'!J1432</f>
        <v>0</v>
      </c>
      <c r="D1732">
        <f>'906MP'!P1432</f>
        <v>0</v>
      </c>
      <c r="E1732">
        <f>'906MP'!X1432</f>
        <v>0</v>
      </c>
      <c r="F1732" t="str">
        <f t="shared" si="523"/>
        <v>0</v>
      </c>
      <c r="G1732" t="str">
        <f t="shared" si="524"/>
        <v>0</v>
      </c>
      <c r="H1732">
        <f>'906MP'!Y1432</f>
        <v>0</v>
      </c>
      <c r="I1732">
        <f>'906MP'!AK1432</f>
        <v>0</v>
      </c>
      <c r="J1732">
        <f>'906MP'!T1432</f>
        <v>0</v>
      </c>
      <c r="K1732">
        <f>'906MP'!AJ1432</f>
        <v>0</v>
      </c>
      <c r="L1732">
        <f>'906MP'!U1432</f>
        <v>0</v>
      </c>
      <c r="M1732" s="322" t="str">
        <f>IFERROR(VLOOKUP(A1732,PAR!$D$3:$E$53,2,FALSE),"nincs szervezet")</f>
        <v>nincs szervezet</v>
      </c>
      <c r="N1732" s="322" t="str">
        <f>VLOOKUP(F1732,PAR!$R$3:$S$5,2,FALSE)</f>
        <v>3 - egyik sem</v>
      </c>
      <c r="O1732" t="str">
        <f>IFERROR(VLOOKUP(J1732,PAR!$O$3:$P$5,2,FALSE),"nincs feladat")</f>
        <v>nincs feladat</v>
      </c>
      <c r="P1732" t="str">
        <f>IFERROR(VLOOKUP(G1732,PAR!$J$2:$M$19,4),"nincs rovat")</f>
        <v>nincs rovat</v>
      </c>
      <c r="Q1732" t="str">
        <f>IF(H1732&gt;0,VLOOKUP(H1732,PAR!$AA$3:$AC$187,3,FALSE),"nincs főkönyvi számla")</f>
        <v>nincs főkönyvi számla</v>
      </c>
      <c r="R1732" t="str">
        <f>IFERROR(VLOOKUP(K1732,PAR!$V$3:$X$438,3,FALSE),"000000 - Nincs COFOG")</f>
        <v>000000 - Nincs COFOG</v>
      </c>
      <c r="S1732">
        <f t="shared" si="525"/>
        <v>0</v>
      </c>
      <c r="T1732">
        <f t="shared" si="526"/>
        <v>0</v>
      </c>
      <c r="U1732" t="str">
        <f>IF('906MP'!J1432&gt;0,CONCATENATE('906MP'!J1432," - ",'906MP'!P1432,", ",'906MP'!E1432),"nincs megjegyzés")</f>
        <v>nincs megjegyzés</v>
      </c>
      <c r="V1732" t="str">
        <f t="shared" si="513"/>
        <v>0P0</v>
      </c>
      <c r="W1732" t="str">
        <f t="shared" si="514"/>
        <v>0P0</v>
      </c>
      <c r="X1732" t="str">
        <f t="shared" si="515"/>
        <v>P0</v>
      </c>
      <c r="Y1732" t="str">
        <f t="shared" si="516"/>
        <v>00</v>
      </c>
      <c r="Z1732" t="str">
        <f t="shared" si="527"/>
        <v>00</v>
      </c>
      <c r="AA1732" t="str">
        <f t="shared" si="517"/>
        <v>00</v>
      </c>
      <c r="AB1732" t="str">
        <f t="shared" si="518"/>
        <v>00</v>
      </c>
      <c r="AC1732" t="str">
        <f t="shared" si="519"/>
        <v>0P0</v>
      </c>
      <c r="AD1732" t="str">
        <f t="shared" si="520"/>
        <v>P00</v>
      </c>
      <c r="AE1732" t="str">
        <f t="shared" si="521"/>
        <v>0P0</v>
      </c>
      <c r="AF1732" t="str">
        <f t="shared" si="522"/>
        <v>P00</v>
      </c>
      <c r="AG1732" t="str">
        <f t="shared" si="528"/>
        <v>0P00</v>
      </c>
      <c r="AH1732" t="str">
        <f t="shared" si="529"/>
        <v>P000</v>
      </c>
      <c r="AI1732" t="str">
        <f t="shared" si="530"/>
        <v>0P00</v>
      </c>
      <c r="AJ1732" t="str">
        <f t="shared" si="531"/>
        <v>P000</v>
      </c>
    </row>
    <row r="1733" spans="1:36" x14ac:dyDescent="0.25">
      <c r="A1733" s="325" t="str">
        <f>CONCATENATE("P",'906MP'!M1433)</f>
        <v>P</v>
      </c>
      <c r="B1733">
        <f>'906MP'!H1433</f>
        <v>0</v>
      </c>
      <c r="C1733">
        <f>'906MP'!J1433</f>
        <v>0</v>
      </c>
      <c r="D1733">
        <f>'906MP'!P1433</f>
        <v>0</v>
      </c>
      <c r="E1733">
        <f>'906MP'!X1433</f>
        <v>0</v>
      </c>
      <c r="F1733" t="str">
        <f t="shared" si="523"/>
        <v>0</v>
      </c>
      <c r="G1733" t="str">
        <f t="shared" si="524"/>
        <v>0</v>
      </c>
      <c r="H1733">
        <f>'906MP'!Y1433</f>
        <v>0</v>
      </c>
      <c r="I1733">
        <f>'906MP'!AK1433</f>
        <v>0</v>
      </c>
      <c r="J1733">
        <f>'906MP'!T1433</f>
        <v>0</v>
      </c>
      <c r="K1733">
        <f>'906MP'!AJ1433</f>
        <v>0</v>
      </c>
      <c r="L1733">
        <f>'906MP'!U1433</f>
        <v>0</v>
      </c>
      <c r="M1733" s="322" t="str">
        <f>IFERROR(VLOOKUP(A1733,PAR!$D$3:$E$53,2,FALSE),"nincs szervezet")</f>
        <v>nincs szervezet</v>
      </c>
      <c r="N1733" s="322" t="str">
        <f>VLOOKUP(F1733,PAR!$R$3:$S$5,2,FALSE)</f>
        <v>3 - egyik sem</v>
      </c>
      <c r="O1733" t="str">
        <f>IFERROR(VLOOKUP(J1733,PAR!$O$3:$P$5,2,FALSE),"nincs feladat")</f>
        <v>nincs feladat</v>
      </c>
      <c r="P1733" t="str">
        <f>IFERROR(VLOOKUP(G1733,PAR!$J$2:$M$19,4),"nincs rovat")</f>
        <v>nincs rovat</v>
      </c>
      <c r="Q1733" t="str">
        <f>IF(H1733&gt;0,VLOOKUP(H1733,PAR!$AA$3:$AC$187,3,FALSE),"nincs főkönyvi számla")</f>
        <v>nincs főkönyvi számla</v>
      </c>
      <c r="R1733" t="str">
        <f>IFERROR(VLOOKUP(K1733,PAR!$V$3:$X$438,3,FALSE),"000000 - Nincs COFOG")</f>
        <v>000000 - Nincs COFOG</v>
      </c>
      <c r="S1733">
        <f t="shared" si="525"/>
        <v>0</v>
      </c>
      <c r="T1733">
        <f t="shared" si="526"/>
        <v>0</v>
      </c>
      <c r="U1733" t="str">
        <f>IF('906MP'!J1433&gt;0,CONCATENATE('906MP'!J1433," - ",'906MP'!P1433,", ",'906MP'!E1433),"nincs megjegyzés")</f>
        <v>nincs megjegyzés</v>
      </c>
      <c r="V1733" t="str">
        <f t="shared" si="513"/>
        <v>0P0</v>
      </c>
      <c r="W1733" t="str">
        <f t="shared" si="514"/>
        <v>0P0</v>
      </c>
      <c r="X1733" t="str">
        <f t="shared" si="515"/>
        <v>P0</v>
      </c>
      <c r="Y1733" t="str">
        <f t="shared" si="516"/>
        <v>00</v>
      </c>
      <c r="Z1733" t="str">
        <f t="shared" si="527"/>
        <v>00</v>
      </c>
      <c r="AA1733" t="str">
        <f t="shared" si="517"/>
        <v>00</v>
      </c>
      <c r="AB1733" t="str">
        <f t="shared" si="518"/>
        <v>00</v>
      </c>
      <c r="AC1733" t="str">
        <f t="shared" si="519"/>
        <v>0P0</v>
      </c>
      <c r="AD1733" t="str">
        <f t="shared" si="520"/>
        <v>P00</v>
      </c>
      <c r="AE1733" t="str">
        <f t="shared" si="521"/>
        <v>0P0</v>
      </c>
      <c r="AF1733" t="str">
        <f t="shared" si="522"/>
        <v>P00</v>
      </c>
      <c r="AG1733" t="str">
        <f t="shared" si="528"/>
        <v>0P00</v>
      </c>
      <c r="AH1733" t="str">
        <f t="shared" si="529"/>
        <v>P000</v>
      </c>
      <c r="AI1733" t="str">
        <f t="shared" si="530"/>
        <v>0P00</v>
      </c>
      <c r="AJ1733" t="str">
        <f t="shared" si="531"/>
        <v>P000</v>
      </c>
    </row>
    <row r="1734" spans="1:36" x14ac:dyDescent="0.25">
      <c r="A1734" s="325" t="str">
        <f>CONCATENATE("P",'906MP'!M1434)</f>
        <v>P</v>
      </c>
      <c r="B1734">
        <f>'906MP'!H1434</f>
        <v>0</v>
      </c>
      <c r="C1734">
        <f>'906MP'!J1434</f>
        <v>0</v>
      </c>
      <c r="D1734">
        <f>'906MP'!P1434</f>
        <v>0</v>
      </c>
      <c r="E1734">
        <f>'906MP'!X1434</f>
        <v>0</v>
      </c>
      <c r="F1734" t="str">
        <f t="shared" si="523"/>
        <v>0</v>
      </c>
      <c r="G1734" t="str">
        <f t="shared" si="524"/>
        <v>0</v>
      </c>
      <c r="H1734">
        <f>'906MP'!Y1434</f>
        <v>0</v>
      </c>
      <c r="I1734">
        <f>'906MP'!AK1434</f>
        <v>0</v>
      </c>
      <c r="J1734">
        <f>'906MP'!T1434</f>
        <v>0</v>
      </c>
      <c r="K1734">
        <f>'906MP'!AJ1434</f>
        <v>0</v>
      </c>
      <c r="L1734">
        <f>'906MP'!U1434</f>
        <v>0</v>
      </c>
      <c r="M1734" s="322" t="str">
        <f>IFERROR(VLOOKUP(A1734,PAR!$D$3:$E$53,2,FALSE),"nincs szervezet")</f>
        <v>nincs szervezet</v>
      </c>
      <c r="N1734" s="322" t="str">
        <f>VLOOKUP(F1734,PAR!$R$3:$S$5,2,FALSE)</f>
        <v>3 - egyik sem</v>
      </c>
      <c r="O1734" t="str">
        <f>IFERROR(VLOOKUP(J1734,PAR!$O$3:$P$5,2,FALSE),"nincs feladat")</f>
        <v>nincs feladat</v>
      </c>
      <c r="P1734" t="str">
        <f>IFERROR(VLOOKUP(G1734,PAR!$J$2:$M$19,4),"nincs rovat")</f>
        <v>nincs rovat</v>
      </c>
      <c r="Q1734" t="str">
        <f>IF(H1734&gt;0,VLOOKUP(H1734,PAR!$AA$3:$AC$187,3,FALSE),"nincs főkönyvi számla")</f>
        <v>nincs főkönyvi számla</v>
      </c>
      <c r="R1734" t="str">
        <f>IFERROR(VLOOKUP(K1734,PAR!$V$3:$X$438,3,FALSE),"000000 - Nincs COFOG")</f>
        <v>000000 - Nincs COFOG</v>
      </c>
      <c r="S1734">
        <f t="shared" si="525"/>
        <v>0</v>
      </c>
      <c r="T1734">
        <f t="shared" si="526"/>
        <v>0</v>
      </c>
      <c r="U1734" t="str">
        <f>IF('906MP'!J1434&gt;0,CONCATENATE('906MP'!J1434," - ",'906MP'!P1434,", ",'906MP'!E1434),"nincs megjegyzés")</f>
        <v>nincs megjegyzés</v>
      </c>
      <c r="V1734" t="str">
        <f t="shared" si="513"/>
        <v>0P0</v>
      </c>
      <c r="W1734" t="str">
        <f t="shared" si="514"/>
        <v>0P0</v>
      </c>
      <c r="X1734" t="str">
        <f t="shared" si="515"/>
        <v>P0</v>
      </c>
      <c r="Y1734" t="str">
        <f t="shared" si="516"/>
        <v>00</v>
      </c>
      <c r="Z1734" t="str">
        <f t="shared" si="527"/>
        <v>00</v>
      </c>
      <c r="AA1734" t="str">
        <f t="shared" si="517"/>
        <v>00</v>
      </c>
      <c r="AB1734" t="str">
        <f t="shared" si="518"/>
        <v>00</v>
      </c>
      <c r="AC1734" t="str">
        <f t="shared" si="519"/>
        <v>0P0</v>
      </c>
      <c r="AD1734" t="str">
        <f t="shared" si="520"/>
        <v>P00</v>
      </c>
      <c r="AE1734" t="str">
        <f t="shared" si="521"/>
        <v>0P0</v>
      </c>
      <c r="AF1734" t="str">
        <f t="shared" si="522"/>
        <v>P00</v>
      </c>
      <c r="AG1734" t="str">
        <f t="shared" si="528"/>
        <v>0P00</v>
      </c>
      <c r="AH1734" t="str">
        <f t="shared" si="529"/>
        <v>P000</v>
      </c>
      <c r="AI1734" t="str">
        <f t="shared" si="530"/>
        <v>0P00</v>
      </c>
      <c r="AJ1734" t="str">
        <f t="shared" si="531"/>
        <v>P000</v>
      </c>
    </row>
    <row r="1735" spans="1:36" x14ac:dyDescent="0.25">
      <c r="A1735" s="325" t="str">
        <f>CONCATENATE("P",'906MP'!M1435)</f>
        <v>P</v>
      </c>
      <c r="B1735">
        <f>'906MP'!H1435</f>
        <v>0</v>
      </c>
      <c r="C1735">
        <f>'906MP'!J1435</f>
        <v>0</v>
      </c>
      <c r="D1735">
        <f>'906MP'!P1435</f>
        <v>0</v>
      </c>
      <c r="E1735">
        <f>'906MP'!X1435</f>
        <v>0</v>
      </c>
      <c r="F1735" t="str">
        <f t="shared" si="523"/>
        <v>0</v>
      </c>
      <c r="G1735" t="str">
        <f t="shared" si="524"/>
        <v>0</v>
      </c>
      <c r="H1735">
        <f>'906MP'!Y1435</f>
        <v>0</v>
      </c>
      <c r="I1735">
        <f>'906MP'!AK1435</f>
        <v>0</v>
      </c>
      <c r="J1735">
        <f>'906MP'!T1435</f>
        <v>0</v>
      </c>
      <c r="K1735">
        <f>'906MP'!AJ1435</f>
        <v>0</v>
      </c>
      <c r="L1735">
        <f>'906MP'!U1435</f>
        <v>0</v>
      </c>
      <c r="M1735" s="322" t="str">
        <f>IFERROR(VLOOKUP(A1735,PAR!$D$3:$E$53,2,FALSE),"nincs szervezet")</f>
        <v>nincs szervezet</v>
      </c>
      <c r="N1735" s="322" t="str">
        <f>VLOOKUP(F1735,PAR!$R$3:$S$5,2,FALSE)</f>
        <v>3 - egyik sem</v>
      </c>
      <c r="O1735" t="str">
        <f>IFERROR(VLOOKUP(J1735,PAR!$O$3:$P$5,2,FALSE),"nincs feladat")</f>
        <v>nincs feladat</v>
      </c>
      <c r="P1735" t="str">
        <f>IFERROR(VLOOKUP(G1735,PAR!$J$2:$M$19,4),"nincs rovat")</f>
        <v>nincs rovat</v>
      </c>
      <c r="Q1735" t="str">
        <f>IF(H1735&gt;0,VLOOKUP(H1735,PAR!$AA$3:$AC$187,3,FALSE),"nincs főkönyvi számla")</f>
        <v>nincs főkönyvi számla</v>
      </c>
      <c r="R1735" t="str">
        <f>IFERROR(VLOOKUP(K1735,PAR!$V$3:$X$438,3,FALSE),"000000 - Nincs COFOG")</f>
        <v>000000 - Nincs COFOG</v>
      </c>
      <c r="S1735">
        <f t="shared" si="525"/>
        <v>0</v>
      </c>
      <c r="T1735">
        <f t="shared" si="526"/>
        <v>0</v>
      </c>
      <c r="U1735" t="str">
        <f>IF('906MP'!J1435&gt;0,CONCATENATE('906MP'!J1435," - ",'906MP'!P1435,", ",'906MP'!E1435),"nincs megjegyzés")</f>
        <v>nincs megjegyzés</v>
      </c>
      <c r="V1735" t="str">
        <f t="shared" si="513"/>
        <v>0P0</v>
      </c>
      <c r="W1735" t="str">
        <f t="shared" si="514"/>
        <v>0P0</v>
      </c>
      <c r="X1735" t="str">
        <f t="shared" si="515"/>
        <v>P0</v>
      </c>
      <c r="Y1735" t="str">
        <f t="shared" si="516"/>
        <v>00</v>
      </c>
      <c r="Z1735" t="str">
        <f t="shared" si="527"/>
        <v>00</v>
      </c>
      <c r="AA1735" t="str">
        <f t="shared" si="517"/>
        <v>00</v>
      </c>
      <c r="AB1735" t="str">
        <f t="shared" si="518"/>
        <v>00</v>
      </c>
      <c r="AC1735" t="str">
        <f t="shared" si="519"/>
        <v>0P0</v>
      </c>
      <c r="AD1735" t="str">
        <f t="shared" si="520"/>
        <v>P00</v>
      </c>
      <c r="AE1735" t="str">
        <f t="shared" si="521"/>
        <v>0P0</v>
      </c>
      <c r="AF1735" t="str">
        <f t="shared" si="522"/>
        <v>P00</v>
      </c>
      <c r="AG1735" t="str">
        <f t="shared" si="528"/>
        <v>0P00</v>
      </c>
      <c r="AH1735" t="str">
        <f t="shared" si="529"/>
        <v>P000</v>
      </c>
      <c r="AI1735" t="str">
        <f t="shared" si="530"/>
        <v>0P00</v>
      </c>
      <c r="AJ1735" t="str">
        <f t="shared" si="531"/>
        <v>P000</v>
      </c>
    </row>
    <row r="1736" spans="1:36" x14ac:dyDescent="0.25">
      <c r="A1736" s="325" t="str">
        <f>CONCATENATE("P",'906MP'!M1436)</f>
        <v>P</v>
      </c>
      <c r="B1736">
        <f>'906MP'!H1436</f>
        <v>0</v>
      </c>
      <c r="C1736">
        <f>'906MP'!J1436</f>
        <v>0</v>
      </c>
      <c r="D1736">
        <f>'906MP'!P1436</f>
        <v>0</v>
      </c>
      <c r="E1736">
        <f>'906MP'!X1436</f>
        <v>0</v>
      </c>
      <c r="F1736" t="str">
        <f t="shared" si="523"/>
        <v>0</v>
      </c>
      <c r="G1736" t="str">
        <f t="shared" si="524"/>
        <v>0</v>
      </c>
      <c r="H1736">
        <f>'906MP'!Y1436</f>
        <v>0</v>
      </c>
      <c r="I1736">
        <f>'906MP'!AK1436</f>
        <v>0</v>
      </c>
      <c r="J1736">
        <f>'906MP'!T1436</f>
        <v>0</v>
      </c>
      <c r="K1736">
        <f>'906MP'!AJ1436</f>
        <v>0</v>
      </c>
      <c r="L1736">
        <f>'906MP'!U1436</f>
        <v>0</v>
      </c>
      <c r="M1736" s="322" t="str">
        <f>IFERROR(VLOOKUP(A1736,PAR!$D$3:$E$53,2,FALSE),"nincs szervezet")</f>
        <v>nincs szervezet</v>
      </c>
      <c r="N1736" s="322" t="str">
        <f>VLOOKUP(F1736,PAR!$R$3:$S$5,2,FALSE)</f>
        <v>3 - egyik sem</v>
      </c>
      <c r="O1736" t="str">
        <f>IFERROR(VLOOKUP(J1736,PAR!$O$3:$P$5,2,FALSE),"nincs feladat")</f>
        <v>nincs feladat</v>
      </c>
      <c r="P1736" t="str">
        <f>IFERROR(VLOOKUP(G1736,PAR!$J$2:$M$19,4),"nincs rovat")</f>
        <v>nincs rovat</v>
      </c>
      <c r="Q1736" t="str">
        <f>IF(H1736&gt;0,VLOOKUP(H1736,PAR!$AA$3:$AC$187,3,FALSE),"nincs főkönyvi számla")</f>
        <v>nincs főkönyvi számla</v>
      </c>
      <c r="R1736" t="str">
        <f>IFERROR(VLOOKUP(K1736,PAR!$V$3:$X$438,3,FALSE),"000000 - Nincs COFOG")</f>
        <v>000000 - Nincs COFOG</v>
      </c>
      <c r="S1736">
        <f t="shared" si="525"/>
        <v>0</v>
      </c>
      <c r="T1736">
        <f t="shared" si="526"/>
        <v>0</v>
      </c>
      <c r="U1736" t="str">
        <f>IF('906MP'!J1436&gt;0,CONCATENATE('906MP'!J1436," - ",'906MP'!P1436,", ",'906MP'!E1436),"nincs megjegyzés")</f>
        <v>nincs megjegyzés</v>
      </c>
      <c r="V1736" t="str">
        <f t="shared" si="513"/>
        <v>0P0</v>
      </c>
      <c r="W1736" t="str">
        <f t="shared" si="514"/>
        <v>0P0</v>
      </c>
      <c r="X1736" t="str">
        <f t="shared" si="515"/>
        <v>P0</v>
      </c>
      <c r="Y1736" t="str">
        <f t="shared" si="516"/>
        <v>00</v>
      </c>
      <c r="Z1736" t="str">
        <f t="shared" si="527"/>
        <v>00</v>
      </c>
      <c r="AA1736" t="str">
        <f t="shared" si="517"/>
        <v>00</v>
      </c>
      <c r="AB1736" t="str">
        <f t="shared" si="518"/>
        <v>00</v>
      </c>
      <c r="AC1736" t="str">
        <f t="shared" si="519"/>
        <v>0P0</v>
      </c>
      <c r="AD1736" t="str">
        <f t="shared" si="520"/>
        <v>P00</v>
      </c>
      <c r="AE1736" t="str">
        <f t="shared" si="521"/>
        <v>0P0</v>
      </c>
      <c r="AF1736" t="str">
        <f t="shared" si="522"/>
        <v>P00</v>
      </c>
      <c r="AG1736" t="str">
        <f t="shared" si="528"/>
        <v>0P00</v>
      </c>
      <c r="AH1736" t="str">
        <f t="shared" si="529"/>
        <v>P000</v>
      </c>
      <c r="AI1736" t="str">
        <f t="shared" si="530"/>
        <v>0P00</v>
      </c>
      <c r="AJ1736" t="str">
        <f t="shared" si="531"/>
        <v>P000</v>
      </c>
    </row>
    <row r="1737" spans="1:36" x14ac:dyDescent="0.25">
      <c r="A1737" s="325" t="str">
        <f>CONCATENATE("P",'906MP'!M1437)</f>
        <v>P</v>
      </c>
      <c r="B1737">
        <f>'906MP'!H1437</f>
        <v>0</v>
      </c>
      <c r="C1737">
        <f>'906MP'!J1437</f>
        <v>0</v>
      </c>
      <c r="D1737">
        <f>'906MP'!P1437</f>
        <v>0</v>
      </c>
      <c r="E1737">
        <f>'906MP'!X1437</f>
        <v>0</v>
      </c>
      <c r="F1737" t="str">
        <f t="shared" si="523"/>
        <v>0</v>
      </c>
      <c r="G1737" t="str">
        <f t="shared" si="524"/>
        <v>0</v>
      </c>
      <c r="H1737">
        <f>'906MP'!Y1437</f>
        <v>0</v>
      </c>
      <c r="I1737">
        <f>'906MP'!AK1437</f>
        <v>0</v>
      </c>
      <c r="J1737">
        <f>'906MP'!T1437</f>
        <v>0</v>
      </c>
      <c r="K1737">
        <f>'906MP'!AJ1437</f>
        <v>0</v>
      </c>
      <c r="L1737">
        <f>'906MP'!U1437</f>
        <v>0</v>
      </c>
      <c r="M1737" s="322" t="str">
        <f>IFERROR(VLOOKUP(A1737,PAR!$D$3:$E$53,2,FALSE),"nincs szervezet")</f>
        <v>nincs szervezet</v>
      </c>
      <c r="N1737" s="322" t="str">
        <f>VLOOKUP(F1737,PAR!$R$3:$S$5,2,FALSE)</f>
        <v>3 - egyik sem</v>
      </c>
      <c r="O1737" t="str">
        <f>IFERROR(VLOOKUP(J1737,PAR!$O$3:$P$5,2,FALSE),"nincs feladat")</f>
        <v>nincs feladat</v>
      </c>
      <c r="P1737" t="str">
        <f>IFERROR(VLOOKUP(G1737,PAR!$J$2:$M$19,4),"nincs rovat")</f>
        <v>nincs rovat</v>
      </c>
      <c r="Q1737" t="str">
        <f>IF(H1737&gt;0,VLOOKUP(H1737,PAR!$AA$3:$AC$187,3,FALSE),"nincs főkönyvi számla")</f>
        <v>nincs főkönyvi számla</v>
      </c>
      <c r="R1737" t="str">
        <f>IFERROR(VLOOKUP(K1737,PAR!$V$3:$X$438,3,FALSE),"000000 - Nincs COFOG")</f>
        <v>000000 - Nincs COFOG</v>
      </c>
      <c r="S1737">
        <f t="shared" si="525"/>
        <v>0</v>
      </c>
      <c r="T1737">
        <f t="shared" si="526"/>
        <v>0</v>
      </c>
      <c r="U1737" t="str">
        <f>IF('906MP'!J1437&gt;0,CONCATENATE('906MP'!J1437," - ",'906MP'!P1437,", ",'906MP'!E1437),"nincs megjegyzés")</f>
        <v>nincs megjegyzés</v>
      </c>
      <c r="V1737" t="str">
        <f t="shared" si="513"/>
        <v>0P0</v>
      </c>
      <c r="W1737" t="str">
        <f t="shared" si="514"/>
        <v>0P0</v>
      </c>
      <c r="X1737" t="str">
        <f t="shared" si="515"/>
        <v>P0</v>
      </c>
      <c r="Y1737" t="str">
        <f t="shared" si="516"/>
        <v>00</v>
      </c>
      <c r="Z1737" t="str">
        <f t="shared" si="527"/>
        <v>00</v>
      </c>
      <c r="AA1737" t="str">
        <f t="shared" si="517"/>
        <v>00</v>
      </c>
      <c r="AB1737" t="str">
        <f t="shared" si="518"/>
        <v>00</v>
      </c>
      <c r="AC1737" t="str">
        <f t="shared" si="519"/>
        <v>0P0</v>
      </c>
      <c r="AD1737" t="str">
        <f t="shared" si="520"/>
        <v>P00</v>
      </c>
      <c r="AE1737" t="str">
        <f t="shared" si="521"/>
        <v>0P0</v>
      </c>
      <c r="AF1737" t="str">
        <f t="shared" si="522"/>
        <v>P00</v>
      </c>
      <c r="AG1737" t="str">
        <f t="shared" si="528"/>
        <v>0P00</v>
      </c>
      <c r="AH1737" t="str">
        <f t="shared" si="529"/>
        <v>P000</v>
      </c>
      <c r="AI1737" t="str">
        <f t="shared" si="530"/>
        <v>0P00</v>
      </c>
      <c r="AJ1737" t="str">
        <f t="shared" si="531"/>
        <v>P000</v>
      </c>
    </row>
    <row r="1738" spans="1:36" x14ac:dyDescent="0.25">
      <c r="A1738" s="325" t="str">
        <f>CONCATENATE("P",'906MP'!M1438)</f>
        <v>P</v>
      </c>
      <c r="B1738">
        <f>'906MP'!H1438</f>
        <v>0</v>
      </c>
      <c r="C1738">
        <f>'906MP'!J1438</f>
        <v>0</v>
      </c>
      <c r="D1738">
        <f>'906MP'!P1438</f>
        <v>0</v>
      </c>
      <c r="E1738">
        <f>'906MP'!X1438</f>
        <v>0</v>
      </c>
      <c r="F1738" t="str">
        <f t="shared" si="523"/>
        <v>0</v>
      </c>
      <c r="G1738" t="str">
        <f t="shared" si="524"/>
        <v>0</v>
      </c>
      <c r="H1738">
        <f>'906MP'!Y1438</f>
        <v>0</v>
      </c>
      <c r="I1738">
        <f>'906MP'!AK1438</f>
        <v>0</v>
      </c>
      <c r="J1738">
        <f>'906MP'!T1438</f>
        <v>0</v>
      </c>
      <c r="K1738">
        <f>'906MP'!AJ1438</f>
        <v>0</v>
      </c>
      <c r="L1738">
        <f>'906MP'!U1438</f>
        <v>0</v>
      </c>
      <c r="M1738" s="322" t="str">
        <f>IFERROR(VLOOKUP(A1738,PAR!$D$3:$E$53,2,FALSE),"nincs szervezet")</f>
        <v>nincs szervezet</v>
      </c>
      <c r="N1738" s="322" t="str">
        <f>VLOOKUP(F1738,PAR!$R$3:$S$5,2,FALSE)</f>
        <v>3 - egyik sem</v>
      </c>
      <c r="O1738" t="str">
        <f>IFERROR(VLOOKUP(J1738,PAR!$O$3:$P$5,2,FALSE),"nincs feladat")</f>
        <v>nincs feladat</v>
      </c>
      <c r="P1738" t="str">
        <f>IFERROR(VLOOKUP(G1738,PAR!$J$2:$M$19,4),"nincs rovat")</f>
        <v>nincs rovat</v>
      </c>
      <c r="Q1738" t="str">
        <f>IF(H1738&gt;0,VLOOKUP(H1738,PAR!$AA$3:$AC$187,3,FALSE),"nincs főkönyvi számla")</f>
        <v>nincs főkönyvi számla</v>
      </c>
      <c r="R1738" t="str">
        <f>IFERROR(VLOOKUP(K1738,PAR!$V$3:$X$438,3,FALSE),"000000 - Nincs COFOG")</f>
        <v>000000 - Nincs COFOG</v>
      </c>
      <c r="S1738">
        <f t="shared" si="525"/>
        <v>0</v>
      </c>
      <c r="T1738">
        <f t="shared" si="526"/>
        <v>0</v>
      </c>
      <c r="U1738" t="str">
        <f>IF('906MP'!J1438&gt;0,CONCATENATE('906MP'!J1438," - ",'906MP'!P1438,", ",'906MP'!E1438),"nincs megjegyzés")</f>
        <v>nincs megjegyzés</v>
      </c>
      <c r="V1738" t="str">
        <f t="shared" si="513"/>
        <v>0P0</v>
      </c>
      <c r="W1738" t="str">
        <f t="shared" si="514"/>
        <v>0P0</v>
      </c>
      <c r="X1738" t="str">
        <f t="shared" si="515"/>
        <v>P0</v>
      </c>
      <c r="Y1738" t="str">
        <f t="shared" si="516"/>
        <v>00</v>
      </c>
      <c r="Z1738" t="str">
        <f t="shared" si="527"/>
        <v>00</v>
      </c>
      <c r="AA1738" t="str">
        <f t="shared" si="517"/>
        <v>00</v>
      </c>
      <c r="AB1738" t="str">
        <f t="shared" si="518"/>
        <v>00</v>
      </c>
      <c r="AC1738" t="str">
        <f t="shared" si="519"/>
        <v>0P0</v>
      </c>
      <c r="AD1738" t="str">
        <f t="shared" si="520"/>
        <v>P00</v>
      </c>
      <c r="AE1738" t="str">
        <f t="shared" si="521"/>
        <v>0P0</v>
      </c>
      <c r="AF1738" t="str">
        <f t="shared" si="522"/>
        <v>P00</v>
      </c>
      <c r="AG1738" t="str">
        <f t="shared" si="528"/>
        <v>0P00</v>
      </c>
      <c r="AH1738" t="str">
        <f t="shared" si="529"/>
        <v>P000</v>
      </c>
      <c r="AI1738" t="str">
        <f t="shared" si="530"/>
        <v>0P00</v>
      </c>
      <c r="AJ1738" t="str">
        <f t="shared" si="531"/>
        <v>P000</v>
      </c>
    </row>
    <row r="1739" spans="1:36" x14ac:dyDescent="0.25">
      <c r="A1739" s="325" t="str">
        <f>CONCATENATE("P",'906MP'!M1439)</f>
        <v>P</v>
      </c>
      <c r="B1739">
        <f>'906MP'!H1439</f>
        <v>0</v>
      </c>
      <c r="C1739">
        <f>'906MP'!J1439</f>
        <v>0</v>
      </c>
      <c r="D1739">
        <f>'906MP'!P1439</f>
        <v>0</v>
      </c>
      <c r="E1739">
        <f>'906MP'!X1439</f>
        <v>0</v>
      </c>
      <c r="F1739" t="str">
        <f t="shared" si="523"/>
        <v>0</v>
      </c>
      <c r="G1739" t="str">
        <f t="shared" si="524"/>
        <v>0</v>
      </c>
      <c r="H1739">
        <f>'906MP'!Y1439</f>
        <v>0</v>
      </c>
      <c r="I1739">
        <f>'906MP'!AK1439</f>
        <v>0</v>
      </c>
      <c r="J1739">
        <f>'906MP'!T1439</f>
        <v>0</v>
      </c>
      <c r="K1739">
        <f>'906MP'!AJ1439</f>
        <v>0</v>
      </c>
      <c r="L1739">
        <f>'906MP'!U1439</f>
        <v>0</v>
      </c>
      <c r="M1739" s="322" t="str">
        <f>IFERROR(VLOOKUP(A1739,PAR!$D$3:$E$53,2,FALSE),"nincs szervezet")</f>
        <v>nincs szervezet</v>
      </c>
      <c r="N1739" s="322" t="str">
        <f>VLOOKUP(F1739,PAR!$R$3:$S$5,2,FALSE)</f>
        <v>3 - egyik sem</v>
      </c>
      <c r="O1739" t="str">
        <f>IFERROR(VLOOKUP(J1739,PAR!$O$3:$P$5,2,FALSE),"nincs feladat")</f>
        <v>nincs feladat</v>
      </c>
      <c r="P1739" t="str">
        <f>IFERROR(VLOOKUP(G1739,PAR!$J$2:$M$19,4),"nincs rovat")</f>
        <v>nincs rovat</v>
      </c>
      <c r="Q1739" t="str">
        <f>IF(H1739&gt;0,VLOOKUP(H1739,PAR!$AA$3:$AC$187,3,FALSE),"nincs főkönyvi számla")</f>
        <v>nincs főkönyvi számla</v>
      </c>
      <c r="R1739" t="str">
        <f>IFERROR(VLOOKUP(K1739,PAR!$V$3:$X$438,3,FALSE),"000000 - Nincs COFOG")</f>
        <v>000000 - Nincs COFOG</v>
      </c>
      <c r="S1739">
        <f t="shared" si="525"/>
        <v>0</v>
      </c>
      <c r="T1739">
        <f t="shared" si="526"/>
        <v>0</v>
      </c>
      <c r="U1739" t="str">
        <f>IF('906MP'!J1439&gt;0,CONCATENATE('906MP'!J1439," - ",'906MP'!P1439,", ",'906MP'!E1439),"nincs megjegyzés")</f>
        <v>nincs megjegyzés</v>
      </c>
      <c r="V1739" t="str">
        <f t="shared" si="513"/>
        <v>0P0</v>
      </c>
      <c r="W1739" t="str">
        <f t="shared" si="514"/>
        <v>0P0</v>
      </c>
      <c r="X1739" t="str">
        <f t="shared" si="515"/>
        <v>P0</v>
      </c>
      <c r="Y1739" t="str">
        <f t="shared" si="516"/>
        <v>00</v>
      </c>
      <c r="Z1739" t="str">
        <f t="shared" si="527"/>
        <v>00</v>
      </c>
      <c r="AA1739" t="str">
        <f t="shared" si="517"/>
        <v>00</v>
      </c>
      <c r="AB1739" t="str">
        <f t="shared" si="518"/>
        <v>00</v>
      </c>
      <c r="AC1739" t="str">
        <f t="shared" si="519"/>
        <v>0P0</v>
      </c>
      <c r="AD1739" t="str">
        <f t="shared" si="520"/>
        <v>P00</v>
      </c>
      <c r="AE1739" t="str">
        <f t="shared" si="521"/>
        <v>0P0</v>
      </c>
      <c r="AF1739" t="str">
        <f t="shared" si="522"/>
        <v>P00</v>
      </c>
      <c r="AG1739" t="str">
        <f t="shared" si="528"/>
        <v>0P00</v>
      </c>
      <c r="AH1739" t="str">
        <f t="shared" si="529"/>
        <v>P000</v>
      </c>
      <c r="AI1739" t="str">
        <f t="shared" si="530"/>
        <v>0P00</v>
      </c>
      <c r="AJ1739" t="str">
        <f t="shared" si="531"/>
        <v>P000</v>
      </c>
    </row>
    <row r="1740" spans="1:36" x14ac:dyDescent="0.25">
      <c r="A1740" s="325" t="str">
        <f>CONCATENATE("P",'906MP'!M1440)</f>
        <v>P</v>
      </c>
      <c r="B1740">
        <f>'906MP'!H1440</f>
        <v>0</v>
      </c>
      <c r="C1740">
        <f>'906MP'!J1440</f>
        <v>0</v>
      </c>
      <c r="D1740">
        <f>'906MP'!P1440</f>
        <v>0</v>
      </c>
      <c r="E1740">
        <f>'906MP'!X1440</f>
        <v>0</v>
      </c>
      <c r="F1740" t="str">
        <f t="shared" si="523"/>
        <v>0</v>
      </c>
      <c r="G1740" t="str">
        <f t="shared" si="524"/>
        <v>0</v>
      </c>
      <c r="H1740">
        <f>'906MP'!Y1440</f>
        <v>0</v>
      </c>
      <c r="I1740">
        <f>'906MP'!AK1440</f>
        <v>0</v>
      </c>
      <c r="J1740">
        <f>'906MP'!T1440</f>
        <v>0</v>
      </c>
      <c r="K1740">
        <f>'906MP'!AJ1440</f>
        <v>0</v>
      </c>
      <c r="L1740">
        <f>'906MP'!U1440</f>
        <v>0</v>
      </c>
      <c r="M1740" s="322" t="str">
        <f>IFERROR(VLOOKUP(A1740,PAR!$D$3:$E$53,2,FALSE),"nincs szervezet")</f>
        <v>nincs szervezet</v>
      </c>
      <c r="N1740" s="322" t="str">
        <f>VLOOKUP(F1740,PAR!$R$3:$S$5,2,FALSE)</f>
        <v>3 - egyik sem</v>
      </c>
      <c r="O1740" t="str">
        <f>IFERROR(VLOOKUP(J1740,PAR!$O$3:$P$5,2,FALSE),"nincs feladat")</f>
        <v>nincs feladat</v>
      </c>
      <c r="P1740" t="str">
        <f>IFERROR(VLOOKUP(G1740,PAR!$J$2:$M$19,4),"nincs rovat")</f>
        <v>nincs rovat</v>
      </c>
      <c r="Q1740" t="str">
        <f>IF(H1740&gt;0,VLOOKUP(H1740,PAR!$AA$3:$AC$187,3,FALSE),"nincs főkönyvi számla")</f>
        <v>nincs főkönyvi számla</v>
      </c>
      <c r="R1740" t="str">
        <f>IFERROR(VLOOKUP(K1740,PAR!$V$3:$X$438,3,FALSE),"000000 - Nincs COFOG")</f>
        <v>000000 - Nincs COFOG</v>
      </c>
      <c r="S1740">
        <f t="shared" si="525"/>
        <v>0</v>
      </c>
      <c r="T1740">
        <f t="shared" si="526"/>
        <v>0</v>
      </c>
      <c r="U1740" t="str">
        <f>IF('906MP'!J1440&gt;0,CONCATENATE('906MP'!J1440," - ",'906MP'!P1440,", ",'906MP'!E1440),"nincs megjegyzés")</f>
        <v>nincs megjegyzés</v>
      </c>
      <c r="V1740" t="str">
        <f t="shared" si="513"/>
        <v>0P0</v>
      </c>
      <c r="W1740" t="str">
        <f t="shared" si="514"/>
        <v>0P0</v>
      </c>
      <c r="X1740" t="str">
        <f t="shared" si="515"/>
        <v>P0</v>
      </c>
      <c r="Y1740" t="str">
        <f t="shared" si="516"/>
        <v>00</v>
      </c>
      <c r="Z1740" t="str">
        <f t="shared" si="527"/>
        <v>00</v>
      </c>
      <c r="AA1740" t="str">
        <f t="shared" si="517"/>
        <v>00</v>
      </c>
      <c r="AB1740" t="str">
        <f t="shared" si="518"/>
        <v>00</v>
      </c>
      <c r="AC1740" t="str">
        <f t="shared" si="519"/>
        <v>0P0</v>
      </c>
      <c r="AD1740" t="str">
        <f t="shared" si="520"/>
        <v>P00</v>
      </c>
      <c r="AE1740" t="str">
        <f t="shared" si="521"/>
        <v>0P0</v>
      </c>
      <c r="AF1740" t="str">
        <f t="shared" si="522"/>
        <v>P00</v>
      </c>
      <c r="AG1740" t="str">
        <f t="shared" si="528"/>
        <v>0P00</v>
      </c>
      <c r="AH1740" t="str">
        <f t="shared" si="529"/>
        <v>P000</v>
      </c>
      <c r="AI1740" t="str">
        <f t="shared" si="530"/>
        <v>0P00</v>
      </c>
      <c r="AJ1740" t="str">
        <f t="shared" si="531"/>
        <v>P000</v>
      </c>
    </row>
    <row r="1741" spans="1:36" x14ac:dyDescent="0.25">
      <c r="A1741" s="325" t="str">
        <f>CONCATENATE("P",'906MP'!M1441)</f>
        <v>P</v>
      </c>
      <c r="B1741">
        <f>'906MP'!H1441</f>
        <v>0</v>
      </c>
      <c r="C1741">
        <f>'906MP'!J1441</f>
        <v>0</v>
      </c>
      <c r="D1741">
        <f>'906MP'!P1441</f>
        <v>0</v>
      </c>
      <c r="E1741">
        <f>'906MP'!X1441</f>
        <v>0</v>
      </c>
      <c r="F1741" t="str">
        <f t="shared" si="523"/>
        <v>0</v>
      </c>
      <c r="G1741" t="str">
        <f t="shared" si="524"/>
        <v>0</v>
      </c>
      <c r="H1741">
        <f>'906MP'!Y1441</f>
        <v>0</v>
      </c>
      <c r="I1741">
        <f>'906MP'!AK1441</f>
        <v>0</v>
      </c>
      <c r="J1741">
        <f>'906MP'!T1441</f>
        <v>0</v>
      </c>
      <c r="K1741">
        <f>'906MP'!AJ1441</f>
        <v>0</v>
      </c>
      <c r="L1741">
        <f>'906MP'!U1441</f>
        <v>0</v>
      </c>
      <c r="M1741" s="322" t="str">
        <f>IFERROR(VLOOKUP(A1741,PAR!$D$3:$E$53,2,FALSE),"nincs szervezet")</f>
        <v>nincs szervezet</v>
      </c>
      <c r="N1741" s="322" t="str">
        <f>VLOOKUP(F1741,PAR!$R$3:$S$5,2,FALSE)</f>
        <v>3 - egyik sem</v>
      </c>
      <c r="O1741" t="str">
        <f>IFERROR(VLOOKUP(J1741,PAR!$O$3:$P$5,2,FALSE),"nincs feladat")</f>
        <v>nincs feladat</v>
      </c>
      <c r="P1741" t="str">
        <f>IFERROR(VLOOKUP(G1741,PAR!$J$2:$M$19,4),"nincs rovat")</f>
        <v>nincs rovat</v>
      </c>
      <c r="Q1741" t="str">
        <f>IF(H1741&gt;0,VLOOKUP(H1741,PAR!$AA$3:$AC$187,3,FALSE),"nincs főkönyvi számla")</f>
        <v>nincs főkönyvi számla</v>
      </c>
      <c r="R1741" t="str">
        <f>IFERROR(VLOOKUP(K1741,PAR!$V$3:$X$438,3,FALSE),"000000 - Nincs COFOG")</f>
        <v>000000 - Nincs COFOG</v>
      </c>
      <c r="S1741">
        <f t="shared" si="525"/>
        <v>0</v>
      </c>
      <c r="T1741">
        <f t="shared" si="526"/>
        <v>0</v>
      </c>
      <c r="U1741" t="str">
        <f>IF('906MP'!J1441&gt;0,CONCATENATE('906MP'!J1441," - ",'906MP'!P1441,", ",'906MP'!E1441),"nincs megjegyzés")</f>
        <v>nincs megjegyzés</v>
      </c>
      <c r="V1741" t="str">
        <f t="shared" si="513"/>
        <v>0P0</v>
      </c>
      <c r="W1741" t="str">
        <f t="shared" si="514"/>
        <v>0P0</v>
      </c>
      <c r="X1741" t="str">
        <f t="shared" si="515"/>
        <v>P0</v>
      </c>
      <c r="Y1741" t="str">
        <f t="shared" si="516"/>
        <v>00</v>
      </c>
      <c r="Z1741" t="str">
        <f t="shared" si="527"/>
        <v>00</v>
      </c>
      <c r="AA1741" t="str">
        <f t="shared" si="517"/>
        <v>00</v>
      </c>
      <c r="AB1741" t="str">
        <f t="shared" si="518"/>
        <v>00</v>
      </c>
      <c r="AC1741" t="str">
        <f t="shared" si="519"/>
        <v>0P0</v>
      </c>
      <c r="AD1741" t="str">
        <f t="shared" si="520"/>
        <v>P00</v>
      </c>
      <c r="AE1741" t="str">
        <f t="shared" si="521"/>
        <v>0P0</v>
      </c>
      <c r="AF1741" t="str">
        <f t="shared" si="522"/>
        <v>P00</v>
      </c>
      <c r="AG1741" t="str">
        <f t="shared" si="528"/>
        <v>0P00</v>
      </c>
      <c r="AH1741" t="str">
        <f t="shared" si="529"/>
        <v>P000</v>
      </c>
      <c r="AI1741" t="str">
        <f t="shared" si="530"/>
        <v>0P00</v>
      </c>
      <c r="AJ1741" t="str">
        <f t="shared" si="531"/>
        <v>P000</v>
      </c>
    </row>
    <row r="1742" spans="1:36" x14ac:dyDescent="0.25">
      <c r="A1742" s="325" t="str">
        <f>CONCATENATE("P",'906MP'!M1442)</f>
        <v>P</v>
      </c>
      <c r="B1742">
        <f>'906MP'!H1442</f>
        <v>0</v>
      </c>
      <c r="C1742">
        <f>'906MP'!J1442</f>
        <v>0</v>
      </c>
      <c r="D1742">
        <f>'906MP'!P1442</f>
        <v>0</v>
      </c>
      <c r="E1742">
        <f>'906MP'!X1442</f>
        <v>0</v>
      </c>
      <c r="F1742" t="str">
        <f t="shared" si="523"/>
        <v>0</v>
      </c>
      <c r="G1742" t="str">
        <f t="shared" si="524"/>
        <v>0</v>
      </c>
      <c r="H1742">
        <f>'906MP'!Y1442</f>
        <v>0</v>
      </c>
      <c r="I1742">
        <f>'906MP'!AK1442</f>
        <v>0</v>
      </c>
      <c r="J1742">
        <f>'906MP'!T1442</f>
        <v>0</v>
      </c>
      <c r="K1742">
        <f>'906MP'!AJ1442</f>
        <v>0</v>
      </c>
      <c r="L1742">
        <f>'906MP'!U1442</f>
        <v>0</v>
      </c>
      <c r="M1742" s="322" t="str">
        <f>IFERROR(VLOOKUP(A1742,PAR!$D$3:$E$53,2,FALSE),"nincs szervezet")</f>
        <v>nincs szervezet</v>
      </c>
      <c r="N1742" s="322" t="str">
        <f>VLOOKUP(F1742,PAR!$R$3:$S$5,2,FALSE)</f>
        <v>3 - egyik sem</v>
      </c>
      <c r="O1742" t="str">
        <f>IFERROR(VLOOKUP(J1742,PAR!$O$3:$P$5,2,FALSE),"nincs feladat")</f>
        <v>nincs feladat</v>
      </c>
      <c r="P1742" t="str">
        <f>IFERROR(VLOOKUP(G1742,PAR!$J$2:$M$19,4),"nincs rovat")</f>
        <v>nincs rovat</v>
      </c>
      <c r="Q1742" t="str">
        <f>IF(H1742&gt;0,VLOOKUP(H1742,PAR!$AA$3:$AC$187,3,FALSE),"nincs főkönyvi számla")</f>
        <v>nincs főkönyvi számla</v>
      </c>
      <c r="R1742" t="str">
        <f>IFERROR(VLOOKUP(K1742,PAR!$V$3:$X$438,3,FALSE),"000000 - Nincs COFOG")</f>
        <v>000000 - Nincs COFOG</v>
      </c>
      <c r="S1742">
        <f t="shared" si="525"/>
        <v>0</v>
      </c>
      <c r="T1742">
        <f t="shared" si="526"/>
        <v>0</v>
      </c>
      <c r="U1742" t="str">
        <f>IF('906MP'!J1442&gt;0,CONCATENATE('906MP'!J1442," - ",'906MP'!P1442,", ",'906MP'!E1442),"nincs megjegyzés")</f>
        <v>nincs megjegyzés</v>
      </c>
      <c r="V1742" t="str">
        <f t="shared" si="513"/>
        <v>0P0</v>
      </c>
      <c r="W1742" t="str">
        <f t="shared" si="514"/>
        <v>0P0</v>
      </c>
      <c r="X1742" t="str">
        <f t="shared" si="515"/>
        <v>P0</v>
      </c>
      <c r="Y1742" t="str">
        <f t="shared" si="516"/>
        <v>00</v>
      </c>
      <c r="Z1742" t="str">
        <f t="shared" si="527"/>
        <v>00</v>
      </c>
      <c r="AA1742" t="str">
        <f t="shared" si="517"/>
        <v>00</v>
      </c>
      <c r="AB1742" t="str">
        <f t="shared" si="518"/>
        <v>00</v>
      </c>
      <c r="AC1742" t="str">
        <f t="shared" si="519"/>
        <v>0P0</v>
      </c>
      <c r="AD1742" t="str">
        <f t="shared" si="520"/>
        <v>P00</v>
      </c>
      <c r="AE1742" t="str">
        <f t="shared" si="521"/>
        <v>0P0</v>
      </c>
      <c r="AF1742" t="str">
        <f t="shared" si="522"/>
        <v>P00</v>
      </c>
      <c r="AG1742" t="str">
        <f t="shared" si="528"/>
        <v>0P00</v>
      </c>
      <c r="AH1742" t="str">
        <f t="shared" si="529"/>
        <v>P000</v>
      </c>
      <c r="AI1742" t="str">
        <f t="shared" si="530"/>
        <v>0P00</v>
      </c>
      <c r="AJ1742" t="str">
        <f t="shared" si="531"/>
        <v>P000</v>
      </c>
    </row>
    <row r="1743" spans="1:36" x14ac:dyDescent="0.25">
      <c r="A1743" s="325" t="str">
        <f>CONCATENATE("P",'906MP'!M1443)</f>
        <v>P</v>
      </c>
      <c r="B1743">
        <f>'906MP'!H1443</f>
        <v>0</v>
      </c>
      <c r="C1743">
        <f>'906MP'!J1443</f>
        <v>0</v>
      </c>
      <c r="D1743">
        <f>'906MP'!P1443</f>
        <v>0</v>
      </c>
      <c r="E1743">
        <f>'906MP'!X1443</f>
        <v>0</v>
      </c>
      <c r="F1743" t="str">
        <f t="shared" si="523"/>
        <v>0</v>
      </c>
      <c r="G1743" t="str">
        <f t="shared" si="524"/>
        <v>0</v>
      </c>
      <c r="H1743">
        <f>'906MP'!Y1443</f>
        <v>0</v>
      </c>
      <c r="I1743">
        <f>'906MP'!AK1443</f>
        <v>0</v>
      </c>
      <c r="J1743">
        <f>'906MP'!T1443</f>
        <v>0</v>
      </c>
      <c r="K1743">
        <f>'906MP'!AJ1443</f>
        <v>0</v>
      </c>
      <c r="L1743">
        <f>'906MP'!U1443</f>
        <v>0</v>
      </c>
      <c r="M1743" s="322" t="str">
        <f>IFERROR(VLOOKUP(A1743,PAR!$D$3:$E$53,2,FALSE),"nincs szervezet")</f>
        <v>nincs szervezet</v>
      </c>
      <c r="N1743" s="322" t="str">
        <f>VLOOKUP(F1743,PAR!$R$3:$S$5,2,FALSE)</f>
        <v>3 - egyik sem</v>
      </c>
      <c r="O1743" t="str">
        <f>IFERROR(VLOOKUP(J1743,PAR!$O$3:$P$5,2,FALSE),"nincs feladat")</f>
        <v>nincs feladat</v>
      </c>
      <c r="P1743" t="str">
        <f>IFERROR(VLOOKUP(G1743,PAR!$J$2:$M$19,4),"nincs rovat")</f>
        <v>nincs rovat</v>
      </c>
      <c r="Q1743" t="str">
        <f>IF(H1743&gt;0,VLOOKUP(H1743,PAR!$AA$3:$AC$187,3,FALSE),"nincs főkönyvi számla")</f>
        <v>nincs főkönyvi számla</v>
      </c>
      <c r="R1743" t="str">
        <f>IFERROR(VLOOKUP(K1743,PAR!$V$3:$X$438,3,FALSE),"000000 - Nincs COFOG")</f>
        <v>000000 - Nincs COFOG</v>
      </c>
      <c r="S1743">
        <f t="shared" si="525"/>
        <v>0</v>
      </c>
      <c r="T1743">
        <f t="shared" si="526"/>
        <v>0</v>
      </c>
      <c r="U1743" t="str">
        <f>IF('906MP'!J1443&gt;0,CONCATENATE('906MP'!J1443," - ",'906MP'!P1443,", ",'906MP'!E1443),"nincs megjegyzés")</f>
        <v>nincs megjegyzés</v>
      </c>
      <c r="V1743" t="str">
        <f t="shared" si="513"/>
        <v>0P0</v>
      </c>
      <c r="W1743" t="str">
        <f t="shared" si="514"/>
        <v>0P0</v>
      </c>
      <c r="X1743" t="str">
        <f t="shared" si="515"/>
        <v>P0</v>
      </c>
      <c r="Y1743" t="str">
        <f t="shared" si="516"/>
        <v>00</v>
      </c>
      <c r="Z1743" t="str">
        <f t="shared" si="527"/>
        <v>00</v>
      </c>
      <c r="AA1743" t="str">
        <f t="shared" si="517"/>
        <v>00</v>
      </c>
      <c r="AB1743" t="str">
        <f t="shared" si="518"/>
        <v>00</v>
      </c>
      <c r="AC1743" t="str">
        <f t="shared" si="519"/>
        <v>0P0</v>
      </c>
      <c r="AD1743" t="str">
        <f t="shared" si="520"/>
        <v>P00</v>
      </c>
      <c r="AE1743" t="str">
        <f t="shared" si="521"/>
        <v>0P0</v>
      </c>
      <c r="AF1743" t="str">
        <f t="shared" si="522"/>
        <v>P00</v>
      </c>
      <c r="AG1743" t="str">
        <f t="shared" si="528"/>
        <v>0P00</v>
      </c>
      <c r="AH1743" t="str">
        <f t="shared" si="529"/>
        <v>P000</v>
      </c>
      <c r="AI1743" t="str">
        <f t="shared" si="530"/>
        <v>0P00</v>
      </c>
      <c r="AJ1743" t="str">
        <f t="shared" si="531"/>
        <v>P000</v>
      </c>
    </row>
    <row r="1744" spans="1:36" x14ac:dyDescent="0.25">
      <c r="A1744" s="325" t="str">
        <f>CONCATENATE("P",'906MP'!M1444)</f>
        <v>P</v>
      </c>
      <c r="B1744">
        <f>'906MP'!H1444</f>
        <v>0</v>
      </c>
      <c r="C1744">
        <f>'906MP'!J1444</f>
        <v>0</v>
      </c>
      <c r="D1744">
        <f>'906MP'!P1444</f>
        <v>0</v>
      </c>
      <c r="E1744">
        <f>'906MP'!X1444</f>
        <v>0</v>
      </c>
      <c r="F1744" t="str">
        <f t="shared" si="523"/>
        <v>0</v>
      </c>
      <c r="G1744" t="str">
        <f t="shared" si="524"/>
        <v>0</v>
      </c>
      <c r="H1744">
        <f>'906MP'!Y1444</f>
        <v>0</v>
      </c>
      <c r="I1744">
        <f>'906MP'!AK1444</f>
        <v>0</v>
      </c>
      <c r="J1744">
        <f>'906MP'!T1444</f>
        <v>0</v>
      </c>
      <c r="K1744">
        <f>'906MP'!AJ1444</f>
        <v>0</v>
      </c>
      <c r="L1744">
        <f>'906MP'!U1444</f>
        <v>0</v>
      </c>
      <c r="M1744" s="322" t="str">
        <f>IFERROR(VLOOKUP(A1744,PAR!$D$3:$E$53,2,FALSE),"nincs szervezet")</f>
        <v>nincs szervezet</v>
      </c>
      <c r="N1744" s="322" t="str">
        <f>VLOOKUP(F1744,PAR!$R$3:$S$5,2,FALSE)</f>
        <v>3 - egyik sem</v>
      </c>
      <c r="O1744" t="str">
        <f>IFERROR(VLOOKUP(J1744,PAR!$O$3:$P$5,2,FALSE),"nincs feladat")</f>
        <v>nincs feladat</v>
      </c>
      <c r="P1744" t="str">
        <f>IFERROR(VLOOKUP(G1744,PAR!$J$2:$M$19,4),"nincs rovat")</f>
        <v>nincs rovat</v>
      </c>
      <c r="Q1744" t="str">
        <f>IF(H1744&gt;0,VLOOKUP(H1744,PAR!$AA$3:$AC$187,3,FALSE),"nincs főkönyvi számla")</f>
        <v>nincs főkönyvi számla</v>
      </c>
      <c r="R1744" t="str">
        <f>IFERROR(VLOOKUP(K1744,PAR!$V$3:$X$438,3,FALSE),"000000 - Nincs COFOG")</f>
        <v>000000 - Nincs COFOG</v>
      </c>
      <c r="S1744">
        <f t="shared" si="525"/>
        <v>0</v>
      </c>
      <c r="T1744">
        <f t="shared" si="526"/>
        <v>0</v>
      </c>
      <c r="U1744" t="str">
        <f>IF('906MP'!J1444&gt;0,CONCATENATE('906MP'!J1444," - ",'906MP'!P1444,", ",'906MP'!E1444),"nincs megjegyzés")</f>
        <v>nincs megjegyzés</v>
      </c>
      <c r="V1744" t="str">
        <f t="shared" si="513"/>
        <v>0P0</v>
      </c>
      <c r="W1744" t="str">
        <f t="shared" si="514"/>
        <v>0P0</v>
      </c>
      <c r="X1744" t="str">
        <f t="shared" si="515"/>
        <v>P0</v>
      </c>
      <c r="Y1744" t="str">
        <f t="shared" si="516"/>
        <v>00</v>
      </c>
      <c r="Z1744" t="str">
        <f t="shared" si="527"/>
        <v>00</v>
      </c>
      <c r="AA1744" t="str">
        <f t="shared" si="517"/>
        <v>00</v>
      </c>
      <c r="AB1744" t="str">
        <f t="shared" si="518"/>
        <v>00</v>
      </c>
      <c r="AC1744" t="str">
        <f t="shared" si="519"/>
        <v>0P0</v>
      </c>
      <c r="AD1744" t="str">
        <f t="shared" si="520"/>
        <v>P00</v>
      </c>
      <c r="AE1744" t="str">
        <f t="shared" si="521"/>
        <v>0P0</v>
      </c>
      <c r="AF1744" t="str">
        <f t="shared" si="522"/>
        <v>P00</v>
      </c>
      <c r="AG1744" t="str">
        <f t="shared" si="528"/>
        <v>0P00</v>
      </c>
      <c r="AH1744" t="str">
        <f t="shared" si="529"/>
        <v>P000</v>
      </c>
      <c r="AI1744" t="str">
        <f t="shared" si="530"/>
        <v>0P00</v>
      </c>
      <c r="AJ1744" t="str">
        <f t="shared" si="531"/>
        <v>P000</v>
      </c>
    </row>
    <row r="1745" spans="1:36" x14ac:dyDescent="0.25">
      <c r="A1745" s="325" t="str">
        <f>CONCATENATE("P",'906MP'!M1445)</f>
        <v>P</v>
      </c>
      <c r="B1745">
        <f>'906MP'!H1445</f>
        <v>0</v>
      </c>
      <c r="C1745">
        <f>'906MP'!J1445</f>
        <v>0</v>
      </c>
      <c r="D1745">
        <f>'906MP'!P1445</f>
        <v>0</v>
      </c>
      <c r="E1745">
        <f>'906MP'!X1445</f>
        <v>0</v>
      </c>
      <c r="F1745" t="str">
        <f t="shared" si="523"/>
        <v>0</v>
      </c>
      <c r="G1745" t="str">
        <f t="shared" si="524"/>
        <v>0</v>
      </c>
      <c r="H1745">
        <f>'906MP'!Y1445</f>
        <v>0</v>
      </c>
      <c r="I1745">
        <f>'906MP'!AK1445</f>
        <v>0</v>
      </c>
      <c r="J1745">
        <f>'906MP'!T1445</f>
        <v>0</v>
      </c>
      <c r="K1745">
        <f>'906MP'!AJ1445</f>
        <v>0</v>
      </c>
      <c r="L1745">
        <f>'906MP'!U1445</f>
        <v>0</v>
      </c>
      <c r="M1745" s="322" t="str">
        <f>IFERROR(VLOOKUP(A1745,PAR!$D$3:$E$53,2,FALSE),"nincs szervezet")</f>
        <v>nincs szervezet</v>
      </c>
      <c r="N1745" s="322" t="str">
        <f>VLOOKUP(F1745,PAR!$R$3:$S$5,2,FALSE)</f>
        <v>3 - egyik sem</v>
      </c>
      <c r="O1745" t="str">
        <f>IFERROR(VLOOKUP(J1745,PAR!$O$3:$P$5,2,FALSE),"nincs feladat")</f>
        <v>nincs feladat</v>
      </c>
      <c r="P1745" t="str">
        <f>IFERROR(VLOOKUP(G1745,PAR!$J$2:$M$19,4),"nincs rovat")</f>
        <v>nincs rovat</v>
      </c>
      <c r="Q1745" t="str">
        <f>IF(H1745&gt;0,VLOOKUP(H1745,PAR!$AA$3:$AC$187,3,FALSE),"nincs főkönyvi számla")</f>
        <v>nincs főkönyvi számla</v>
      </c>
      <c r="R1745" t="str">
        <f>IFERROR(VLOOKUP(K1745,PAR!$V$3:$X$438,3,FALSE),"000000 - Nincs COFOG")</f>
        <v>000000 - Nincs COFOG</v>
      </c>
      <c r="S1745">
        <f t="shared" si="525"/>
        <v>0</v>
      </c>
      <c r="T1745">
        <f t="shared" si="526"/>
        <v>0</v>
      </c>
      <c r="U1745" t="str">
        <f>IF('906MP'!J1445&gt;0,CONCATENATE('906MP'!J1445," - ",'906MP'!P1445,", ",'906MP'!E1445),"nincs megjegyzés")</f>
        <v>nincs megjegyzés</v>
      </c>
      <c r="V1745" t="str">
        <f t="shared" si="513"/>
        <v>0P0</v>
      </c>
      <c r="W1745" t="str">
        <f t="shared" si="514"/>
        <v>0P0</v>
      </c>
      <c r="X1745" t="str">
        <f t="shared" si="515"/>
        <v>P0</v>
      </c>
      <c r="Y1745" t="str">
        <f t="shared" si="516"/>
        <v>00</v>
      </c>
      <c r="Z1745" t="str">
        <f t="shared" si="527"/>
        <v>00</v>
      </c>
      <c r="AA1745" t="str">
        <f t="shared" si="517"/>
        <v>00</v>
      </c>
      <c r="AB1745" t="str">
        <f t="shared" si="518"/>
        <v>00</v>
      </c>
      <c r="AC1745" t="str">
        <f t="shared" si="519"/>
        <v>0P0</v>
      </c>
      <c r="AD1745" t="str">
        <f t="shared" si="520"/>
        <v>P00</v>
      </c>
      <c r="AE1745" t="str">
        <f t="shared" si="521"/>
        <v>0P0</v>
      </c>
      <c r="AF1745" t="str">
        <f t="shared" si="522"/>
        <v>P00</v>
      </c>
      <c r="AG1745" t="str">
        <f t="shared" si="528"/>
        <v>0P00</v>
      </c>
      <c r="AH1745" t="str">
        <f t="shared" si="529"/>
        <v>P000</v>
      </c>
      <c r="AI1745" t="str">
        <f t="shared" si="530"/>
        <v>0P00</v>
      </c>
      <c r="AJ1745" t="str">
        <f t="shared" si="531"/>
        <v>P000</v>
      </c>
    </row>
    <row r="1746" spans="1:36" x14ac:dyDescent="0.25">
      <c r="A1746" s="325" t="str">
        <f>CONCATENATE("P",'906MP'!M1446)</f>
        <v>P</v>
      </c>
      <c r="B1746">
        <f>'906MP'!H1446</f>
        <v>0</v>
      </c>
      <c r="C1746">
        <f>'906MP'!J1446</f>
        <v>0</v>
      </c>
      <c r="D1746">
        <f>'906MP'!P1446</f>
        <v>0</v>
      </c>
      <c r="E1746">
        <f>'906MP'!X1446</f>
        <v>0</v>
      </c>
      <c r="F1746" t="str">
        <f t="shared" si="523"/>
        <v>0</v>
      </c>
      <c r="G1746" t="str">
        <f t="shared" si="524"/>
        <v>0</v>
      </c>
      <c r="H1746">
        <f>'906MP'!Y1446</f>
        <v>0</v>
      </c>
      <c r="I1746">
        <f>'906MP'!AK1446</f>
        <v>0</v>
      </c>
      <c r="J1746">
        <f>'906MP'!T1446</f>
        <v>0</v>
      </c>
      <c r="K1746">
        <f>'906MP'!AJ1446</f>
        <v>0</v>
      </c>
      <c r="L1746">
        <f>'906MP'!U1446</f>
        <v>0</v>
      </c>
      <c r="M1746" s="322" t="str">
        <f>IFERROR(VLOOKUP(A1746,PAR!$D$3:$E$53,2,FALSE),"nincs szervezet")</f>
        <v>nincs szervezet</v>
      </c>
      <c r="N1746" s="322" t="str">
        <f>VLOOKUP(F1746,PAR!$R$3:$S$5,2,FALSE)</f>
        <v>3 - egyik sem</v>
      </c>
      <c r="O1746" t="str">
        <f>IFERROR(VLOOKUP(J1746,PAR!$O$3:$P$5,2,FALSE),"nincs feladat")</f>
        <v>nincs feladat</v>
      </c>
      <c r="P1746" t="str">
        <f>IFERROR(VLOOKUP(G1746,PAR!$J$2:$M$19,4),"nincs rovat")</f>
        <v>nincs rovat</v>
      </c>
      <c r="Q1746" t="str">
        <f>IF(H1746&gt;0,VLOOKUP(H1746,PAR!$AA$3:$AC$187,3,FALSE),"nincs főkönyvi számla")</f>
        <v>nincs főkönyvi számla</v>
      </c>
      <c r="R1746" t="str">
        <f>IFERROR(VLOOKUP(K1746,PAR!$V$3:$X$438,3,FALSE),"000000 - Nincs COFOG")</f>
        <v>000000 - Nincs COFOG</v>
      </c>
      <c r="S1746">
        <f t="shared" si="525"/>
        <v>0</v>
      </c>
      <c r="T1746">
        <f t="shared" si="526"/>
        <v>0</v>
      </c>
      <c r="U1746" t="str">
        <f>IF('906MP'!J1446&gt;0,CONCATENATE('906MP'!J1446," - ",'906MP'!P1446,", ",'906MP'!E1446),"nincs megjegyzés")</f>
        <v>nincs megjegyzés</v>
      </c>
      <c r="V1746" t="str">
        <f t="shared" si="513"/>
        <v>0P0</v>
      </c>
      <c r="W1746" t="str">
        <f t="shared" si="514"/>
        <v>0P0</v>
      </c>
      <c r="X1746" t="str">
        <f t="shared" si="515"/>
        <v>P0</v>
      </c>
      <c r="Y1746" t="str">
        <f t="shared" si="516"/>
        <v>00</v>
      </c>
      <c r="Z1746" t="str">
        <f t="shared" si="527"/>
        <v>00</v>
      </c>
      <c r="AA1746" t="str">
        <f t="shared" si="517"/>
        <v>00</v>
      </c>
      <c r="AB1746" t="str">
        <f t="shared" si="518"/>
        <v>00</v>
      </c>
      <c r="AC1746" t="str">
        <f t="shared" si="519"/>
        <v>0P0</v>
      </c>
      <c r="AD1746" t="str">
        <f t="shared" si="520"/>
        <v>P00</v>
      </c>
      <c r="AE1746" t="str">
        <f t="shared" si="521"/>
        <v>0P0</v>
      </c>
      <c r="AF1746" t="str">
        <f t="shared" si="522"/>
        <v>P00</v>
      </c>
      <c r="AG1746" t="str">
        <f t="shared" si="528"/>
        <v>0P00</v>
      </c>
      <c r="AH1746" t="str">
        <f t="shared" si="529"/>
        <v>P000</v>
      </c>
      <c r="AI1746" t="str">
        <f t="shared" si="530"/>
        <v>0P00</v>
      </c>
      <c r="AJ1746" t="str">
        <f t="shared" si="531"/>
        <v>P000</v>
      </c>
    </row>
    <row r="1747" spans="1:36" x14ac:dyDescent="0.25">
      <c r="A1747" s="325" t="str">
        <f>CONCATENATE("P",'906MP'!M1447)</f>
        <v>P</v>
      </c>
      <c r="B1747">
        <f>'906MP'!H1447</f>
        <v>0</v>
      </c>
      <c r="C1747">
        <f>'906MP'!J1447</f>
        <v>0</v>
      </c>
      <c r="D1747">
        <f>'906MP'!P1447</f>
        <v>0</v>
      </c>
      <c r="E1747">
        <f>'906MP'!X1447</f>
        <v>0</v>
      </c>
      <c r="F1747" t="str">
        <f t="shared" si="523"/>
        <v>0</v>
      </c>
      <c r="G1747" t="str">
        <f t="shared" si="524"/>
        <v>0</v>
      </c>
      <c r="H1747">
        <f>'906MP'!Y1447</f>
        <v>0</v>
      </c>
      <c r="I1747">
        <f>'906MP'!AK1447</f>
        <v>0</v>
      </c>
      <c r="J1747">
        <f>'906MP'!T1447</f>
        <v>0</v>
      </c>
      <c r="K1747">
        <f>'906MP'!AJ1447</f>
        <v>0</v>
      </c>
      <c r="L1747">
        <f>'906MP'!U1447</f>
        <v>0</v>
      </c>
      <c r="M1747" s="322" t="str">
        <f>IFERROR(VLOOKUP(A1747,PAR!$D$3:$E$53,2,FALSE),"nincs szervezet")</f>
        <v>nincs szervezet</v>
      </c>
      <c r="N1747" s="322" t="str">
        <f>VLOOKUP(F1747,PAR!$R$3:$S$5,2,FALSE)</f>
        <v>3 - egyik sem</v>
      </c>
      <c r="O1747" t="str">
        <f>IFERROR(VLOOKUP(J1747,PAR!$O$3:$P$5,2,FALSE),"nincs feladat")</f>
        <v>nincs feladat</v>
      </c>
      <c r="P1747" t="str">
        <f>IFERROR(VLOOKUP(G1747,PAR!$J$2:$M$19,4),"nincs rovat")</f>
        <v>nincs rovat</v>
      </c>
      <c r="Q1747" t="str">
        <f>IF(H1747&gt;0,VLOOKUP(H1747,PAR!$AA$3:$AC$187,3,FALSE),"nincs főkönyvi számla")</f>
        <v>nincs főkönyvi számla</v>
      </c>
      <c r="R1747" t="str">
        <f>IFERROR(VLOOKUP(K1747,PAR!$V$3:$X$438,3,FALSE),"000000 - Nincs COFOG")</f>
        <v>000000 - Nincs COFOG</v>
      </c>
      <c r="S1747">
        <f t="shared" si="525"/>
        <v>0</v>
      </c>
      <c r="T1747">
        <f t="shared" si="526"/>
        <v>0</v>
      </c>
      <c r="U1747" t="str">
        <f>IF('906MP'!J1447&gt;0,CONCATENATE('906MP'!J1447," - ",'906MP'!P1447,", ",'906MP'!E1447),"nincs megjegyzés")</f>
        <v>nincs megjegyzés</v>
      </c>
      <c r="V1747" t="str">
        <f t="shared" si="513"/>
        <v>0P0</v>
      </c>
      <c r="W1747" t="str">
        <f t="shared" si="514"/>
        <v>0P0</v>
      </c>
      <c r="X1747" t="str">
        <f t="shared" si="515"/>
        <v>P0</v>
      </c>
      <c r="Y1747" t="str">
        <f t="shared" si="516"/>
        <v>00</v>
      </c>
      <c r="Z1747" t="str">
        <f t="shared" si="527"/>
        <v>00</v>
      </c>
      <c r="AA1747" t="str">
        <f t="shared" si="517"/>
        <v>00</v>
      </c>
      <c r="AB1747" t="str">
        <f t="shared" si="518"/>
        <v>00</v>
      </c>
      <c r="AC1747" t="str">
        <f t="shared" si="519"/>
        <v>0P0</v>
      </c>
      <c r="AD1747" t="str">
        <f t="shared" si="520"/>
        <v>P00</v>
      </c>
      <c r="AE1747" t="str">
        <f t="shared" si="521"/>
        <v>0P0</v>
      </c>
      <c r="AF1747" t="str">
        <f t="shared" si="522"/>
        <v>P00</v>
      </c>
      <c r="AG1747" t="str">
        <f t="shared" si="528"/>
        <v>0P00</v>
      </c>
      <c r="AH1747" t="str">
        <f t="shared" si="529"/>
        <v>P000</v>
      </c>
      <c r="AI1747" t="str">
        <f t="shared" si="530"/>
        <v>0P00</v>
      </c>
      <c r="AJ1747" t="str">
        <f t="shared" si="531"/>
        <v>P000</v>
      </c>
    </row>
    <row r="1748" spans="1:36" x14ac:dyDescent="0.25">
      <c r="A1748" s="325" t="str">
        <f>CONCATENATE("P",'906MP'!M1448)</f>
        <v>P</v>
      </c>
      <c r="B1748">
        <f>'906MP'!H1448</f>
        <v>0</v>
      </c>
      <c r="C1748">
        <f>'906MP'!J1448</f>
        <v>0</v>
      </c>
      <c r="D1748">
        <f>'906MP'!P1448</f>
        <v>0</v>
      </c>
      <c r="E1748">
        <f>'906MP'!X1448</f>
        <v>0</v>
      </c>
      <c r="F1748" t="str">
        <f t="shared" si="523"/>
        <v>0</v>
      </c>
      <c r="G1748" t="str">
        <f t="shared" si="524"/>
        <v>0</v>
      </c>
      <c r="H1748">
        <f>'906MP'!Y1448</f>
        <v>0</v>
      </c>
      <c r="I1748">
        <f>'906MP'!AK1448</f>
        <v>0</v>
      </c>
      <c r="J1748">
        <f>'906MP'!T1448</f>
        <v>0</v>
      </c>
      <c r="K1748">
        <f>'906MP'!AJ1448</f>
        <v>0</v>
      </c>
      <c r="L1748">
        <f>'906MP'!U1448</f>
        <v>0</v>
      </c>
      <c r="M1748" s="322" t="str">
        <f>IFERROR(VLOOKUP(A1748,PAR!$D$3:$E$53,2,FALSE),"nincs szervezet")</f>
        <v>nincs szervezet</v>
      </c>
      <c r="N1748" s="322" t="str">
        <f>VLOOKUP(F1748,PAR!$R$3:$S$5,2,FALSE)</f>
        <v>3 - egyik sem</v>
      </c>
      <c r="O1748" t="str">
        <f>IFERROR(VLOOKUP(J1748,PAR!$O$3:$P$5,2,FALSE),"nincs feladat")</f>
        <v>nincs feladat</v>
      </c>
      <c r="P1748" t="str">
        <f>IFERROR(VLOOKUP(G1748,PAR!$J$2:$M$19,4),"nincs rovat")</f>
        <v>nincs rovat</v>
      </c>
      <c r="Q1748" t="str">
        <f>IF(H1748&gt;0,VLOOKUP(H1748,PAR!$AA$3:$AC$187,3,FALSE),"nincs főkönyvi számla")</f>
        <v>nincs főkönyvi számla</v>
      </c>
      <c r="R1748" t="str">
        <f>IFERROR(VLOOKUP(K1748,PAR!$V$3:$X$438,3,FALSE),"000000 - Nincs COFOG")</f>
        <v>000000 - Nincs COFOG</v>
      </c>
      <c r="S1748">
        <f t="shared" si="525"/>
        <v>0</v>
      </c>
      <c r="T1748">
        <f t="shared" si="526"/>
        <v>0</v>
      </c>
      <c r="U1748" t="str">
        <f>IF('906MP'!J1448&gt;0,CONCATENATE('906MP'!J1448," - ",'906MP'!P1448,", ",'906MP'!E1448),"nincs megjegyzés")</f>
        <v>nincs megjegyzés</v>
      </c>
      <c r="V1748" t="str">
        <f t="shared" si="513"/>
        <v>0P0</v>
      </c>
      <c r="W1748" t="str">
        <f t="shared" si="514"/>
        <v>0P0</v>
      </c>
      <c r="X1748" t="str">
        <f t="shared" si="515"/>
        <v>P0</v>
      </c>
      <c r="Y1748" t="str">
        <f t="shared" si="516"/>
        <v>00</v>
      </c>
      <c r="Z1748" t="str">
        <f t="shared" si="527"/>
        <v>00</v>
      </c>
      <c r="AA1748" t="str">
        <f t="shared" si="517"/>
        <v>00</v>
      </c>
      <c r="AB1748" t="str">
        <f t="shared" si="518"/>
        <v>00</v>
      </c>
      <c r="AC1748" t="str">
        <f t="shared" si="519"/>
        <v>0P0</v>
      </c>
      <c r="AD1748" t="str">
        <f t="shared" si="520"/>
        <v>P00</v>
      </c>
      <c r="AE1748" t="str">
        <f t="shared" si="521"/>
        <v>0P0</v>
      </c>
      <c r="AF1748" t="str">
        <f t="shared" si="522"/>
        <v>P00</v>
      </c>
      <c r="AG1748" t="str">
        <f t="shared" si="528"/>
        <v>0P00</v>
      </c>
      <c r="AH1748" t="str">
        <f t="shared" si="529"/>
        <v>P000</v>
      </c>
      <c r="AI1748" t="str">
        <f t="shared" si="530"/>
        <v>0P00</v>
      </c>
      <c r="AJ1748" t="str">
        <f t="shared" si="531"/>
        <v>P000</v>
      </c>
    </row>
    <row r="1749" spans="1:36" x14ac:dyDescent="0.25">
      <c r="A1749" s="325" t="str">
        <f>CONCATENATE("P",'906MP'!M1449)</f>
        <v>P</v>
      </c>
      <c r="B1749">
        <f>'906MP'!H1449</f>
        <v>0</v>
      </c>
      <c r="C1749">
        <f>'906MP'!J1449</f>
        <v>0</v>
      </c>
      <c r="D1749">
        <f>'906MP'!P1449</f>
        <v>0</v>
      </c>
      <c r="E1749">
        <f>'906MP'!X1449</f>
        <v>0</v>
      </c>
      <c r="F1749" t="str">
        <f t="shared" si="523"/>
        <v>0</v>
      </c>
      <c r="G1749" t="str">
        <f t="shared" si="524"/>
        <v>0</v>
      </c>
      <c r="H1749">
        <f>'906MP'!Y1449</f>
        <v>0</v>
      </c>
      <c r="I1749">
        <f>'906MP'!AK1449</f>
        <v>0</v>
      </c>
      <c r="J1749">
        <f>'906MP'!T1449</f>
        <v>0</v>
      </c>
      <c r="K1749">
        <f>'906MP'!AJ1449</f>
        <v>0</v>
      </c>
      <c r="L1749">
        <f>'906MP'!U1449</f>
        <v>0</v>
      </c>
      <c r="M1749" s="322" t="str">
        <f>IFERROR(VLOOKUP(A1749,PAR!$D$3:$E$53,2,FALSE),"nincs szervezet")</f>
        <v>nincs szervezet</v>
      </c>
      <c r="N1749" s="322" t="str">
        <f>VLOOKUP(F1749,PAR!$R$3:$S$5,2,FALSE)</f>
        <v>3 - egyik sem</v>
      </c>
      <c r="O1749" t="str">
        <f>IFERROR(VLOOKUP(J1749,PAR!$O$3:$P$5,2,FALSE),"nincs feladat")</f>
        <v>nincs feladat</v>
      </c>
      <c r="P1749" t="str">
        <f>IFERROR(VLOOKUP(G1749,PAR!$J$2:$M$19,4),"nincs rovat")</f>
        <v>nincs rovat</v>
      </c>
      <c r="Q1749" t="str">
        <f>IF(H1749&gt;0,VLOOKUP(H1749,PAR!$AA$3:$AC$187,3,FALSE),"nincs főkönyvi számla")</f>
        <v>nincs főkönyvi számla</v>
      </c>
      <c r="R1749" t="str">
        <f>IFERROR(VLOOKUP(K1749,PAR!$V$3:$X$438,3,FALSE),"000000 - Nincs COFOG")</f>
        <v>000000 - Nincs COFOG</v>
      </c>
      <c r="S1749">
        <f t="shared" si="525"/>
        <v>0</v>
      </c>
      <c r="T1749">
        <f t="shared" si="526"/>
        <v>0</v>
      </c>
      <c r="U1749" t="str">
        <f>IF('906MP'!J1449&gt;0,CONCATENATE('906MP'!J1449," - ",'906MP'!P1449,", ",'906MP'!E1449),"nincs megjegyzés")</f>
        <v>nincs megjegyzés</v>
      </c>
      <c r="V1749" t="str">
        <f t="shared" si="513"/>
        <v>0P0</v>
      </c>
      <c r="W1749" t="str">
        <f t="shared" si="514"/>
        <v>0P0</v>
      </c>
      <c r="X1749" t="str">
        <f t="shared" si="515"/>
        <v>P0</v>
      </c>
      <c r="Y1749" t="str">
        <f t="shared" si="516"/>
        <v>00</v>
      </c>
      <c r="Z1749" t="str">
        <f t="shared" si="527"/>
        <v>00</v>
      </c>
      <c r="AA1749" t="str">
        <f t="shared" si="517"/>
        <v>00</v>
      </c>
      <c r="AB1749" t="str">
        <f t="shared" si="518"/>
        <v>00</v>
      </c>
      <c r="AC1749" t="str">
        <f t="shared" si="519"/>
        <v>0P0</v>
      </c>
      <c r="AD1749" t="str">
        <f t="shared" si="520"/>
        <v>P00</v>
      </c>
      <c r="AE1749" t="str">
        <f t="shared" si="521"/>
        <v>0P0</v>
      </c>
      <c r="AF1749" t="str">
        <f t="shared" si="522"/>
        <v>P00</v>
      </c>
      <c r="AG1749" t="str">
        <f t="shared" si="528"/>
        <v>0P00</v>
      </c>
      <c r="AH1749" t="str">
        <f t="shared" si="529"/>
        <v>P000</v>
      </c>
      <c r="AI1749" t="str">
        <f t="shared" si="530"/>
        <v>0P00</v>
      </c>
      <c r="AJ1749" t="str">
        <f t="shared" si="531"/>
        <v>P000</v>
      </c>
    </row>
    <row r="1750" spans="1:36" x14ac:dyDescent="0.25">
      <c r="A1750" s="325" t="str">
        <f>CONCATENATE("P",'906MP'!M1450)</f>
        <v>P</v>
      </c>
      <c r="B1750">
        <f>'906MP'!H1450</f>
        <v>0</v>
      </c>
      <c r="C1750">
        <f>'906MP'!J1450</f>
        <v>0</v>
      </c>
      <c r="D1750">
        <f>'906MP'!P1450</f>
        <v>0</v>
      </c>
      <c r="E1750">
        <f>'906MP'!X1450</f>
        <v>0</v>
      </c>
      <c r="F1750" t="str">
        <f t="shared" si="523"/>
        <v>0</v>
      </c>
      <c r="G1750" t="str">
        <f t="shared" si="524"/>
        <v>0</v>
      </c>
      <c r="H1750">
        <f>'906MP'!Y1450</f>
        <v>0</v>
      </c>
      <c r="I1750">
        <f>'906MP'!AK1450</f>
        <v>0</v>
      </c>
      <c r="J1750">
        <f>'906MP'!T1450</f>
        <v>0</v>
      </c>
      <c r="K1750">
        <f>'906MP'!AJ1450</f>
        <v>0</v>
      </c>
      <c r="L1750">
        <f>'906MP'!U1450</f>
        <v>0</v>
      </c>
      <c r="M1750" s="322" t="str">
        <f>IFERROR(VLOOKUP(A1750,PAR!$D$3:$E$53,2,FALSE),"nincs szervezet")</f>
        <v>nincs szervezet</v>
      </c>
      <c r="N1750" s="322" t="str">
        <f>VLOOKUP(F1750,PAR!$R$3:$S$5,2,FALSE)</f>
        <v>3 - egyik sem</v>
      </c>
      <c r="O1750" t="str">
        <f>IFERROR(VLOOKUP(J1750,PAR!$O$3:$P$5,2,FALSE),"nincs feladat")</f>
        <v>nincs feladat</v>
      </c>
      <c r="P1750" t="str">
        <f>IFERROR(VLOOKUP(G1750,PAR!$J$2:$M$19,4),"nincs rovat")</f>
        <v>nincs rovat</v>
      </c>
      <c r="Q1750" t="str">
        <f>IF(H1750&gt;0,VLOOKUP(H1750,PAR!$AA$3:$AC$187,3,FALSE),"nincs főkönyvi számla")</f>
        <v>nincs főkönyvi számla</v>
      </c>
      <c r="R1750" t="str">
        <f>IFERROR(VLOOKUP(K1750,PAR!$V$3:$X$438,3,FALSE),"000000 - Nincs COFOG")</f>
        <v>000000 - Nincs COFOG</v>
      </c>
      <c r="S1750">
        <f t="shared" si="525"/>
        <v>0</v>
      </c>
      <c r="T1750">
        <f t="shared" si="526"/>
        <v>0</v>
      </c>
      <c r="U1750" t="str">
        <f>IF('906MP'!J1450&gt;0,CONCATENATE('906MP'!J1450," - ",'906MP'!P1450,", ",'906MP'!E1450),"nincs megjegyzés")</f>
        <v>nincs megjegyzés</v>
      </c>
      <c r="V1750" t="str">
        <f t="shared" si="513"/>
        <v>0P0</v>
      </c>
      <c r="W1750" t="str">
        <f t="shared" si="514"/>
        <v>0P0</v>
      </c>
      <c r="X1750" t="str">
        <f t="shared" si="515"/>
        <v>P0</v>
      </c>
      <c r="Y1750" t="str">
        <f t="shared" si="516"/>
        <v>00</v>
      </c>
      <c r="Z1750" t="str">
        <f t="shared" si="527"/>
        <v>00</v>
      </c>
      <c r="AA1750" t="str">
        <f t="shared" si="517"/>
        <v>00</v>
      </c>
      <c r="AB1750" t="str">
        <f t="shared" si="518"/>
        <v>00</v>
      </c>
      <c r="AC1750" t="str">
        <f t="shared" si="519"/>
        <v>0P0</v>
      </c>
      <c r="AD1750" t="str">
        <f t="shared" si="520"/>
        <v>P00</v>
      </c>
      <c r="AE1750" t="str">
        <f t="shared" si="521"/>
        <v>0P0</v>
      </c>
      <c r="AF1750" t="str">
        <f t="shared" si="522"/>
        <v>P00</v>
      </c>
      <c r="AG1750" t="str">
        <f t="shared" si="528"/>
        <v>0P00</v>
      </c>
      <c r="AH1750" t="str">
        <f t="shared" si="529"/>
        <v>P000</v>
      </c>
      <c r="AI1750" t="str">
        <f t="shared" si="530"/>
        <v>0P00</v>
      </c>
      <c r="AJ1750" t="str">
        <f t="shared" si="531"/>
        <v>P000</v>
      </c>
    </row>
    <row r="1751" spans="1:36" x14ac:dyDescent="0.25">
      <c r="A1751" s="325" t="str">
        <f>CONCATENATE("P",'906MP'!M1451)</f>
        <v>P</v>
      </c>
      <c r="B1751">
        <f>'906MP'!H1451</f>
        <v>0</v>
      </c>
      <c r="C1751">
        <f>'906MP'!J1451</f>
        <v>0</v>
      </c>
      <c r="D1751">
        <f>'906MP'!P1451</f>
        <v>0</v>
      </c>
      <c r="E1751">
        <f>'906MP'!X1451</f>
        <v>0</v>
      </c>
      <c r="F1751" t="str">
        <f t="shared" si="523"/>
        <v>0</v>
      </c>
      <c r="G1751" t="str">
        <f t="shared" si="524"/>
        <v>0</v>
      </c>
      <c r="H1751">
        <f>'906MP'!Y1451</f>
        <v>0</v>
      </c>
      <c r="I1751">
        <f>'906MP'!AK1451</f>
        <v>0</v>
      </c>
      <c r="J1751">
        <f>'906MP'!T1451</f>
        <v>0</v>
      </c>
      <c r="K1751">
        <f>'906MP'!AJ1451</f>
        <v>0</v>
      </c>
      <c r="L1751">
        <f>'906MP'!U1451</f>
        <v>0</v>
      </c>
      <c r="M1751" s="322" t="str">
        <f>IFERROR(VLOOKUP(A1751,PAR!$D$3:$E$53,2,FALSE),"nincs szervezet")</f>
        <v>nincs szervezet</v>
      </c>
      <c r="N1751" s="322" t="str">
        <f>VLOOKUP(F1751,PAR!$R$3:$S$5,2,FALSE)</f>
        <v>3 - egyik sem</v>
      </c>
      <c r="O1751" t="str">
        <f>IFERROR(VLOOKUP(J1751,PAR!$O$3:$P$5,2,FALSE),"nincs feladat")</f>
        <v>nincs feladat</v>
      </c>
      <c r="P1751" t="str">
        <f>IFERROR(VLOOKUP(G1751,PAR!$J$2:$M$19,4),"nincs rovat")</f>
        <v>nincs rovat</v>
      </c>
      <c r="Q1751" t="str">
        <f>IF(H1751&gt;0,VLOOKUP(H1751,PAR!$AA$3:$AC$187,3,FALSE),"nincs főkönyvi számla")</f>
        <v>nincs főkönyvi számla</v>
      </c>
      <c r="R1751" t="str">
        <f>IFERROR(VLOOKUP(K1751,PAR!$V$3:$X$438,3,FALSE),"000000 - Nincs COFOG")</f>
        <v>000000 - Nincs COFOG</v>
      </c>
      <c r="S1751">
        <f t="shared" si="525"/>
        <v>0</v>
      </c>
      <c r="T1751">
        <f t="shared" si="526"/>
        <v>0</v>
      </c>
      <c r="U1751" t="str">
        <f>IF('906MP'!J1451&gt;0,CONCATENATE('906MP'!J1451," - ",'906MP'!P1451,", ",'906MP'!E1451),"nincs megjegyzés")</f>
        <v>nincs megjegyzés</v>
      </c>
      <c r="V1751" t="str">
        <f t="shared" si="513"/>
        <v>0P0</v>
      </c>
      <c r="W1751" t="str">
        <f t="shared" si="514"/>
        <v>0P0</v>
      </c>
      <c r="X1751" t="str">
        <f t="shared" si="515"/>
        <v>P0</v>
      </c>
      <c r="Y1751" t="str">
        <f t="shared" si="516"/>
        <v>00</v>
      </c>
      <c r="Z1751" t="str">
        <f t="shared" si="527"/>
        <v>00</v>
      </c>
      <c r="AA1751" t="str">
        <f t="shared" si="517"/>
        <v>00</v>
      </c>
      <c r="AB1751" t="str">
        <f t="shared" si="518"/>
        <v>00</v>
      </c>
      <c r="AC1751" t="str">
        <f t="shared" si="519"/>
        <v>0P0</v>
      </c>
      <c r="AD1751" t="str">
        <f t="shared" si="520"/>
        <v>P00</v>
      </c>
      <c r="AE1751" t="str">
        <f t="shared" si="521"/>
        <v>0P0</v>
      </c>
      <c r="AF1751" t="str">
        <f t="shared" si="522"/>
        <v>P00</v>
      </c>
      <c r="AG1751" t="str">
        <f t="shared" si="528"/>
        <v>0P00</v>
      </c>
      <c r="AH1751" t="str">
        <f t="shared" si="529"/>
        <v>P000</v>
      </c>
      <c r="AI1751" t="str">
        <f t="shared" si="530"/>
        <v>0P00</v>
      </c>
      <c r="AJ1751" t="str">
        <f t="shared" si="531"/>
        <v>P000</v>
      </c>
    </row>
    <row r="1752" spans="1:36" x14ac:dyDescent="0.25">
      <c r="A1752" s="325" t="str">
        <f>CONCATENATE("P",'906MP'!M1452)</f>
        <v>P</v>
      </c>
      <c r="B1752">
        <f>'906MP'!H1452</f>
        <v>0</v>
      </c>
      <c r="C1752">
        <f>'906MP'!J1452</f>
        <v>0</v>
      </c>
      <c r="D1752">
        <f>'906MP'!P1452</f>
        <v>0</v>
      </c>
      <c r="E1752">
        <f>'906MP'!X1452</f>
        <v>0</v>
      </c>
      <c r="F1752" t="str">
        <f t="shared" si="523"/>
        <v>0</v>
      </c>
      <c r="G1752" t="str">
        <f t="shared" si="524"/>
        <v>0</v>
      </c>
      <c r="H1752">
        <f>'906MP'!Y1452</f>
        <v>0</v>
      </c>
      <c r="I1752">
        <f>'906MP'!AK1452</f>
        <v>0</v>
      </c>
      <c r="J1752">
        <f>'906MP'!T1452</f>
        <v>0</v>
      </c>
      <c r="K1752">
        <f>'906MP'!AJ1452</f>
        <v>0</v>
      </c>
      <c r="L1752">
        <f>'906MP'!U1452</f>
        <v>0</v>
      </c>
      <c r="M1752" s="322" t="str">
        <f>IFERROR(VLOOKUP(A1752,PAR!$D$3:$E$53,2,FALSE),"nincs szervezet")</f>
        <v>nincs szervezet</v>
      </c>
      <c r="N1752" s="322" t="str">
        <f>VLOOKUP(F1752,PAR!$R$3:$S$5,2,FALSE)</f>
        <v>3 - egyik sem</v>
      </c>
      <c r="O1752" t="str">
        <f>IFERROR(VLOOKUP(J1752,PAR!$O$3:$P$5,2,FALSE),"nincs feladat")</f>
        <v>nincs feladat</v>
      </c>
      <c r="P1752" t="str">
        <f>IFERROR(VLOOKUP(G1752,PAR!$J$2:$M$19,4),"nincs rovat")</f>
        <v>nincs rovat</v>
      </c>
      <c r="Q1752" t="str">
        <f>IF(H1752&gt;0,VLOOKUP(H1752,PAR!$AA$3:$AC$187,3,FALSE),"nincs főkönyvi számla")</f>
        <v>nincs főkönyvi számla</v>
      </c>
      <c r="R1752" t="str">
        <f>IFERROR(VLOOKUP(K1752,PAR!$V$3:$X$438,3,FALSE),"000000 - Nincs COFOG")</f>
        <v>000000 - Nincs COFOG</v>
      </c>
      <c r="S1752">
        <f t="shared" si="525"/>
        <v>0</v>
      </c>
      <c r="T1752">
        <f t="shared" si="526"/>
        <v>0</v>
      </c>
      <c r="U1752" t="str">
        <f>IF('906MP'!J1452&gt;0,CONCATENATE('906MP'!J1452," - ",'906MP'!P1452,", ",'906MP'!E1452),"nincs megjegyzés")</f>
        <v>nincs megjegyzés</v>
      </c>
      <c r="V1752" t="str">
        <f t="shared" si="513"/>
        <v>0P0</v>
      </c>
      <c r="W1752" t="str">
        <f t="shared" si="514"/>
        <v>0P0</v>
      </c>
      <c r="X1752" t="str">
        <f t="shared" si="515"/>
        <v>P0</v>
      </c>
      <c r="Y1752" t="str">
        <f t="shared" si="516"/>
        <v>00</v>
      </c>
      <c r="Z1752" t="str">
        <f t="shared" si="527"/>
        <v>00</v>
      </c>
      <c r="AA1752" t="str">
        <f t="shared" si="517"/>
        <v>00</v>
      </c>
      <c r="AB1752" t="str">
        <f t="shared" si="518"/>
        <v>00</v>
      </c>
      <c r="AC1752" t="str">
        <f t="shared" si="519"/>
        <v>0P0</v>
      </c>
      <c r="AD1752" t="str">
        <f t="shared" si="520"/>
        <v>P00</v>
      </c>
      <c r="AE1752" t="str">
        <f t="shared" si="521"/>
        <v>0P0</v>
      </c>
      <c r="AF1752" t="str">
        <f t="shared" si="522"/>
        <v>P00</v>
      </c>
      <c r="AG1752" t="str">
        <f t="shared" si="528"/>
        <v>0P00</v>
      </c>
      <c r="AH1752" t="str">
        <f t="shared" si="529"/>
        <v>P000</v>
      </c>
      <c r="AI1752" t="str">
        <f t="shared" si="530"/>
        <v>0P00</v>
      </c>
      <c r="AJ1752" t="str">
        <f t="shared" si="531"/>
        <v>P000</v>
      </c>
    </row>
    <row r="1753" spans="1:36" x14ac:dyDescent="0.25">
      <c r="A1753" s="325" t="str">
        <f>CONCATENATE("P",'906MP'!M1453)</f>
        <v>P</v>
      </c>
      <c r="B1753">
        <f>'906MP'!H1453</f>
        <v>0</v>
      </c>
      <c r="C1753">
        <f>'906MP'!J1453</f>
        <v>0</v>
      </c>
      <c r="D1753">
        <f>'906MP'!P1453</f>
        <v>0</v>
      </c>
      <c r="E1753">
        <f>'906MP'!X1453</f>
        <v>0</v>
      </c>
      <c r="F1753" t="str">
        <f t="shared" si="523"/>
        <v>0</v>
      </c>
      <c r="G1753" t="str">
        <f t="shared" si="524"/>
        <v>0</v>
      </c>
      <c r="H1753">
        <f>'906MP'!Y1453</f>
        <v>0</v>
      </c>
      <c r="I1753">
        <f>'906MP'!AK1453</f>
        <v>0</v>
      </c>
      <c r="J1753">
        <f>'906MP'!T1453</f>
        <v>0</v>
      </c>
      <c r="K1753">
        <f>'906MP'!AJ1453</f>
        <v>0</v>
      </c>
      <c r="L1753">
        <f>'906MP'!U1453</f>
        <v>0</v>
      </c>
      <c r="M1753" s="322" t="str">
        <f>IFERROR(VLOOKUP(A1753,PAR!$D$3:$E$53,2,FALSE),"nincs szervezet")</f>
        <v>nincs szervezet</v>
      </c>
      <c r="N1753" s="322" t="str">
        <f>VLOOKUP(F1753,PAR!$R$3:$S$5,2,FALSE)</f>
        <v>3 - egyik sem</v>
      </c>
      <c r="O1753" t="str">
        <f>IFERROR(VLOOKUP(J1753,PAR!$O$3:$P$5,2,FALSE),"nincs feladat")</f>
        <v>nincs feladat</v>
      </c>
      <c r="P1753" t="str">
        <f>IFERROR(VLOOKUP(G1753,PAR!$J$2:$M$19,4),"nincs rovat")</f>
        <v>nincs rovat</v>
      </c>
      <c r="Q1753" t="str">
        <f>IF(H1753&gt;0,VLOOKUP(H1753,PAR!$AA$3:$AC$187,3,FALSE),"nincs főkönyvi számla")</f>
        <v>nincs főkönyvi számla</v>
      </c>
      <c r="R1753" t="str">
        <f>IFERROR(VLOOKUP(K1753,PAR!$V$3:$X$438,3,FALSE),"000000 - Nincs COFOG")</f>
        <v>000000 - Nincs COFOG</v>
      </c>
      <c r="S1753">
        <f t="shared" si="525"/>
        <v>0</v>
      </c>
      <c r="T1753">
        <f t="shared" si="526"/>
        <v>0</v>
      </c>
      <c r="U1753" t="str">
        <f>IF('906MP'!J1453&gt;0,CONCATENATE('906MP'!J1453," - ",'906MP'!P1453,", ",'906MP'!E1453),"nincs megjegyzés")</f>
        <v>nincs megjegyzés</v>
      </c>
      <c r="V1753" t="str">
        <f t="shared" si="513"/>
        <v>0P0</v>
      </c>
      <c r="W1753" t="str">
        <f t="shared" si="514"/>
        <v>0P0</v>
      </c>
      <c r="X1753" t="str">
        <f t="shared" si="515"/>
        <v>P0</v>
      </c>
      <c r="Y1753" t="str">
        <f t="shared" si="516"/>
        <v>00</v>
      </c>
      <c r="Z1753" t="str">
        <f t="shared" si="527"/>
        <v>00</v>
      </c>
      <c r="AA1753" t="str">
        <f t="shared" si="517"/>
        <v>00</v>
      </c>
      <c r="AB1753" t="str">
        <f t="shared" si="518"/>
        <v>00</v>
      </c>
      <c r="AC1753" t="str">
        <f t="shared" si="519"/>
        <v>0P0</v>
      </c>
      <c r="AD1753" t="str">
        <f t="shared" si="520"/>
        <v>P00</v>
      </c>
      <c r="AE1753" t="str">
        <f t="shared" si="521"/>
        <v>0P0</v>
      </c>
      <c r="AF1753" t="str">
        <f t="shared" si="522"/>
        <v>P00</v>
      </c>
      <c r="AG1753" t="str">
        <f t="shared" si="528"/>
        <v>0P00</v>
      </c>
      <c r="AH1753" t="str">
        <f t="shared" si="529"/>
        <v>P000</v>
      </c>
      <c r="AI1753" t="str">
        <f t="shared" si="530"/>
        <v>0P00</v>
      </c>
      <c r="AJ1753" t="str">
        <f t="shared" si="531"/>
        <v>P000</v>
      </c>
    </row>
    <row r="1754" spans="1:36" x14ac:dyDescent="0.25">
      <c r="A1754" s="325" t="str">
        <f>CONCATENATE("P",'906MP'!M1454)</f>
        <v>P</v>
      </c>
      <c r="B1754">
        <f>'906MP'!H1454</f>
        <v>0</v>
      </c>
      <c r="C1754">
        <f>'906MP'!J1454</f>
        <v>0</v>
      </c>
      <c r="D1754">
        <f>'906MP'!P1454</f>
        <v>0</v>
      </c>
      <c r="E1754">
        <f>'906MP'!X1454</f>
        <v>0</v>
      </c>
      <c r="F1754" t="str">
        <f t="shared" si="523"/>
        <v>0</v>
      </c>
      <c r="G1754" t="str">
        <f t="shared" si="524"/>
        <v>0</v>
      </c>
      <c r="H1754">
        <f>'906MP'!Y1454</f>
        <v>0</v>
      </c>
      <c r="I1754">
        <f>'906MP'!AK1454</f>
        <v>0</v>
      </c>
      <c r="J1754">
        <f>'906MP'!T1454</f>
        <v>0</v>
      </c>
      <c r="K1754">
        <f>'906MP'!AJ1454</f>
        <v>0</v>
      </c>
      <c r="L1754">
        <f>'906MP'!U1454</f>
        <v>0</v>
      </c>
      <c r="M1754" s="322" t="str">
        <f>IFERROR(VLOOKUP(A1754,PAR!$D$3:$E$53,2,FALSE),"nincs szervezet")</f>
        <v>nincs szervezet</v>
      </c>
      <c r="N1754" s="322" t="str">
        <f>VLOOKUP(F1754,PAR!$R$3:$S$5,2,FALSE)</f>
        <v>3 - egyik sem</v>
      </c>
      <c r="O1754" t="str">
        <f>IFERROR(VLOOKUP(J1754,PAR!$O$3:$P$5,2,FALSE),"nincs feladat")</f>
        <v>nincs feladat</v>
      </c>
      <c r="P1754" t="str">
        <f>IFERROR(VLOOKUP(G1754,PAR!$J$2:$M$19,4),"nincs rovat")</f>
        <v>nincs rovat</v>
      </c>
      <c r="Q1754" t="str">
        <f>IF(H1754&gt;0,VLOOKUP(H1754,PAR!$AA$3:$AC$187,3,FALSE),"nincs főkönyvi számla")</f>
        <v>nincs főkönyvi számla</v>
      </c>
      <c r="R1754" t="str">
        <f>IFERROR(VLOOKUP(K1754,PAR!$V$3:$X$438,3,FALSE),"000000 - Nincs COFOG")</f>
        <v>000000 - Nincs COFOG</v>
      </c>
      <c r="S1754">
        <f t="shared" si="525"/>
        <v>0</v>
      </c>
      <c r="T1754">
        <f t="shared" si="526"/>
        <v>0</v>
      </c>
      <c r="U1754" t="str">
        <f>IF('906MP'!J1454&gt;0,CONCATENATE('906MP'!J1454," - ",'906MP'!P1454,", ",'906MP'!E1454),"nincs megjegyzés")</f>
        <v>nincs megjegyzés</v>
      </c>
      <c r="V1754" t="str">
        <f t="shared" si="513"/>
        <v>0P0</v>
      </c>
      <c r="W1754" t="str">
        <f t="shared" si="514"/>
        <v>0P0</v>
      </c>
      <c r="X1754" t="str">
        <f t="shared" si="515"/>
        <v>P0</v>
      </c>
      <c r="Y1754" t="str">
        <f t="shared" si="516"/>
        <v>00</v>
      </c>
      <c r="Z1754" t="str">
        <f t="shared" si="527"/>
        <v>00</v>
      </c>
      <c r="AA1754" t="str">
        <f t="shared" si="517"/>
        <v>00</v>
      </c>
      <c r="AB1754" t="str">
        <f t="shared" si="518"/>
        <v>00</v>
      </c>
      <c r="AC1754" t="str">
        <f t="shared" si="519"/>
        <v>0P0</v>
      </c>
      <c r="AD1754" t="str">
        <f t="shared" si="520"/>
        <v>P00</v>
      </c>
      <c r="AE1754" t="str">
        <f t="shared" si="521"/>
        <v>0P0</v>
      </c>
      <c r="AF1754" t="str">
        <f t="shared" si="522"/>
        <v>P00</v>
      </c>
      <c r="AG1754" t="str">
        <f t="shared" si="528"/>
        <v>0P00</v>
      </c>
      <c r="AH1754" t="str">
        <f t="shared" si="529"/>
        <v>P000</v>
      </c>
      <c r="AI1754" t="str">
        <f t="shared" si="530"/>
        <v>0P00</v>
      </c>
      <c r="AJ1754" t="str">
        <f t="shared" si="531"/>
        <v>P000</v>
      </c>
    </row>
    <row r="1755" spans="1:36" x14ac:dyDescent="0.25">
      <c r="A1755" s="325" t="str">
        <f>CONCATENATE("P",'906MP'!M1455)</f>
        <v>P</v>
      </c>
      <c r="B1755">
        <f>'906MP'!H1455</f>
        <v>0</v>
      </c>
      <c r="C1755">
        <f>'906MP'!J1455</f>
        <v>0</v>
      </c>
      <c r="D1755">
        <f>'906MP'!P1455</f>
        <v>0</v>
      </c>
      <c r="E1755">
        <f>'906MP'!X1455</f>
        <v>0</v>
      </c>
      <c r="F1755" t="str">
        <f t="shared" si="523"/>
        <v>0</v>
      </c>
      <c r="G1755" t="str">
        <f t="shared" si="524"/>
        <v>0</v>
      </c>
      <c r="H1755">
        <f>'906MP'!Y1455</f>
        <v>0</v>
      </c>
      <c r="I1755">
        <f>'906MP'!AK1455</f>
        <v>0</v>
      </c>
      <c r="J1755">
        <f>'906MP'!T1455</f>
        <v>0</v>
      </c>
      <c r="K1755">
        <f>'906MP'!AJ1455</f>
        <v>0</v>
      </c>
      <c r="L1755">
        <f>'906MP'!U1455</f>
        <v>0</v>
      </c>
      <c r="M1755" s="322" t="str">
        <f>IFERROR(VLOOKUP(A1755,PAR!$D$3:$E$53,2,FALSE),"nincs szervezet")</f>
        <v>nincs szervezet</v>
      </c>
      <c r="N1755" s="322" t="str">
        <f>VLOOKUP(F1755,PAR!$R$3:$S$5,2,FALSE)</f>
        <v>3 - egyik sem</v>
      </c>
      <c r="O1755" t="str">
        <f>IFERROR(VLOOKUP(J1755,PAR!$O$3:$P$5,2,FALSE),"nincs feladat")</f>
        <v>nincs feladat</v>
      </c>
      <c r="P1755" t="str">
        <f>IFERROR(VLOOKUP(G1755,PAR!$J$2:$M$19,4),"nincs rovat")</f>
        <v>nincs rovat</v>
      </c>
      <c r="Q1755" t="str">
        <f>IF(H1755&gt;0,VLOOKUP(H1755,PAR!$AA$3:$AC$187,3,FALSE),"nincs főkönyvi számla")</f>
        <v>nincs főkönyvi számla</v>
      </c>
      <c r="R1755" t="str">
        <f>IFERROR(VLOOKUP(K1755,PAR!$V$3:$X$438,3,FALSE),"000000 - Nincs COFOG")</f>
        <v>000000 - Nincs COFOG</v>
      </c>
      <c r="S1755">
        <f t="shared" si="525"/>
        <v>0</v>
      </c>
      <c r="T1755">
        <f t="shared" si="526"/>
        <v>0</v>
      </c>
      <c r="U1755" t="str">
        <f>IF('906MP'!J1455&gt;0,CONCATENATE('906MP'!J1455," - ",'906MP'!P1455,", ",'906MP'!E1455),"nincs megjegyzés")</f>
        <v>nincs megjegyzés</v>
      </c>
      <c r="V1755" t="str">
        <f t="shared" si="513"/>
        <v>0P0</v>
      </c>
      <c r="W1755" t="str">
        <f t="shared" si="514"/>
        <v>0P0</v>
      </c>
      <c r="X1755" t="str">
        <f t="shared" si="515"/>
        <v>P0</v>
      </c>
      <c r="Y1755" t="str">
        <f t="shared" si="516"/>
        <v>00</v>
      </c>
      <c r="Z1755" t="str">
        <f t="shared" si="527"/>
        <v>00</v>
      </c>
      <c r="AA1755" t="str">
        <f t="shared" si="517"/>
        <v>00</v>
      </c>
      <c r="AB1755" t="str">
        <f t="shared" si="518"/>
        <v>00</v>
      </c>
      <c r="AC1755" t="str">
        <f t="shared" si="519"/>
        <v>0P0</v>
      </c>
      <c r="AD1755" t="str">
        <f t="shared" si="520"/>
        <v>P00</v>
      </c>
      <c r="AE1755" t="str">
        <f t="shared" si="521"/>
        <v>0P0</v>
      </c>
      <c r="AF1755" t="str">
        <f t="shared" si="522"/>
        <v>P00</v>
      </c>
      <c r="AG1755" t="str">
        <f t="shared" si="528"/>
        <v>0P00</v>
      </c>
      <c r="AH1755" t="str">
        <f t="shared" si="529"/>
        <v>P000</v>
      </c>
      <c r="AI1755" t="str">
        <f t="shared" si="530"/>
        <v>0P00</v>
      </c>
      <c r="AJ1755" t="str">
        <f t="shared" si="531"/>
        <v>P000</v>
      </c>
    </row>
    <row r="1756" spans="1:36" x14ac:dyDescent="0.25">
      <c r="A1756" s="325" t="str">
        <f>CONCATENATE("P",'906MP'!M1456)</f>
        <v>P</v>
      </c>
      <c r="B1756">
        <f>'906MP'!H1456</f>
        <v>0</v>
      </c>
      <c r="C1756">
        <f>'906MP'!J1456</f>
        <v>0</v>
      </c>
      <c r="D1756">
        <f>'906MP'!P1456</f>
        <v>0</v>
      </c>
      <c r="E1756">
        <f>'906MP'!X1456</f>
        <v>0</v>
      </c>
      <c r="F1756" t="str">
        <f t="shared" si="523"/>
        <v>0</v>
      </c>
      <c r="G1756" t="str">
        <f t="shared" si="524"/>
        <v>0</v>
      </c>
      <c r="H1756">
        <f>'906MP'!Y1456</f>
        <v>0</v>
      </c>
      <c r="I1756">
        <f>'906MP'!AK1456</f>
        <v>0</v>
      </c>
      <c r="J1756">
        <f>'906MP'!T1456</f>
        <v>0</v>
      </c>
      <c r="K1756">
        <f>'906MP'!AJ1456</f>
        <v>0</v>
      </c>
      <c r="L1756">
        <f>'906MP'!U1456</f>
        <v>0</v>
      </c>
      <c r="M1756" s="322" t="str">
        <f>IFERROR(VLOOKUP(A1756,PAR!$D$3:$E$53,2,FALSE),"nincs szervezet")</f>
        <v>nincs szervezet</v>
      </c>
      <c r="N1756" s="322" t="str">
        <f>VLOOKUP(F1756,PAR!$R$3:$S$5,2,FALSE)</f>
        <v>3 - egyik sem</v>
      </c>
      <c r="O1756" t="str">
        <f>IFERROR(VLOOKUP(J1756,PAR!$O$3:$P$5,2,FALSE),"nincs feladat")</f>
        <v>nincs feladat</v>
      </c>
      <c r="P1756" t="str">
        <f>IFERROR(VLOOKUP(G1756,PAR!$J$2:$M$19,4),"nincs rovat")</f>
        <v>nincs rovat</v>
      </c>
      <c r="Q1756" t="str">
        <f>IF(H1756&gt;0,VLOOKUP(H1756,PAR!$AA$3:$AC$187,3,FALSE),"nincs főkönyvi számla")</f>
        <v>nincs főkönyvi számla</v>
      </c>
      <c r="R1756" t="str">
        <f>IFERROR(VLOOKUP(K1756,PAR!$V$3:$X$438,3,FALSE),"000000 - Nincs COFOG")</f>
        <v>000000 - Nincs COFOG</v>
      </c>
      <c r="S1756">
        <f t="shared" si="525"/>
        <v>0</v>
      </c>
      <c r="T1756">
        <f t="shared" si="526"/>
        <v>0</v>
      </c>
      <c r="U1756" t="str">
        <f>IF('906MP'!J1456&gt;0,CONCATENATE('906MP'!J1456," - ",'906MP'!P1456,", ",'906MP'!E1456),"nincs megjegyzés")</f>
        <v>nincs megjegyzés</v>
      </c>
      <c r="V1756" t="str">
        <f t="shared" si="513"/>
        <v>0P0</v>
      </c>
      <c r="W1756" t="str">
        <f t="shared" si="514"/>
        <v>0P0</v>
      </c>
      <c r="X1756" t="str">
        <f t="shared" si="515"/>
        <v>P0</v>
      </c>
      <c r="Y1756" t="str">
        <f t="shared" si="516"/>
        <v>00</v>
      </c>
      <c r="Z1756" t="str">
        <f t="shared" si="527"/>
        <v>00</v>
      </c>
      <c r="AA1756" t="str">
        <f t="shared" si="517"/>
        <v>00</v>
      </c>
      <c r="AB1756" t="str">
        <f t="shared" si="518"/>
        <v>00</v>
      </c>
      <c r="AC1756" t="str">
        <f t="shared" si="519"/>
        <v>0P0</v>
      </c>
      <c r="AD1756" t="str">
        <f t="shared" si="520"/>
        <v>P00</v>
      </c>
      <c r="AE1756" t="str">
        <f t="shared" si="521"/>
        <v>0P0</v>
      </c>
      <c r="AF1756" t="str">
        <f t="shared" si="522"/>
        <v>P00</v>
      </c>
      <c r="AG1756" t="str">
        <f t="shared" si="528"/>
        <v>0P00</v>
      </c>
      <c r="AH1756" t="str">
        <f t="shared" si="529"/>
        <v>P000</v>
      </c>
      <c r="AI1756" t="str">
        <f t="shared" si="530"/>
        <v>0P00</v>
      </c>
      <c r="AJ1756" t="str">
        <f t="shared" si="531"/>
        <v>P000</v>
      </c>
    </row>
    <row r="1757" spans="1:36" x14ac:dyDescent="0.25">
      <c r="A1757" s="325" t="str">
        <f>CONCATENATE("P",'906MP'!M1457)</f>
        <v>P</v>
      </c>
      <c r="B1757">
        <f>'906MP'!H1457</f>
        <v>0</v>
      </c>
      <c r="C1757">
        <f>'906MP'!J1457</f>
        <v>0</v>
      </c>
      <c r="D1757">
        <f>'906MP'!P1457</f>
        <v>0</v>
      </c>
      <c r="E1757">
        <f>'906MP'!X1457</f>
        <v>0</v>
      </c>
      <c r="F1757" t="str">
        <f t="shared" si="523"/>
        <v>0</v>
      </c>
      <c r="G1757" t="str">
        <f t="shared" si="524"/>
        <v>0</v>
      </c>
      <c r="H1757">
        <f>'906MP'!Y1457</f>
        <v>0</v>
      </c>
      <c r="I1757">
        <f>'906MP'!AK1457</f>
        <v>0</v>
      </c>
      <c r="J1757">
        <f>'906MP'!T1457</f>
        <v>0</v>
      </c>
      <c r="K1757">
        <f>'906MP'!AJ1457</f>
        <v>0</v>
      </c>
      <c r="L1757">
        <f>'906MP'!U1457</f>
        <v>0</v>
      </c>
      <c r="M1757" s="322" t="str">
        <f>IFERROR(VLOOKUP(A1757,PAR!$D$3:$E$53,2,FALSE),"nincs szervezet")</f>
        <v>nincs szervezet</v>
      </c>
      <c r="N1757" s="322" t="str">
        <f>VLOOKUP(F1757,PAR!$R$3:$S$5,2,FALSE)</f>
        <v>3 - egyik sem</v>
      </c>
      <c r="O1757" t="str">
        <f>IFERROR(VLOOKUP(J1757,PAR!$O$3:$P$5,2,FALSE),"nincs feladat")</f>
        <v>nincs feladat</v>
      </c>
      <c r="P1757" t="str">
        <f>IFERROR(VLOOKUP(G1757,PAR!$J$2:$M$19,4),"nincs rovat")</f>
        <v>nincs rovat</v>
      </c>
      <c r="Q1757" t="str">
        <f>IF(H1757&gt;0,VLOOKUP(H1757,PAR!$AA$3:$AC$187,3,FALSE),"nincs főkönyvi számla")</f>
        <v>nincs főkönyvi számla</v>
      </c>
      <c r="R1757" t="str">
        <f>IFERROR(VLOOKUP(K1757,PAR!$V$3:$X$438,3,FALSE),"000000 - Nincs COFOG")</f>
        <v>000000 - Nincs COFOG</v>
      </c>
      <c r="S1757">
        <f t="shared" si="525"/>
        <v>0</v>
      </c>
      <c r="T1757">
        <f t="shared" si="526"/>
        <v>0</v>
      </c>
      <c r="U1757" t="str">
        <f>IF('906MP'!J1457&gt;0,CONCATENATE('906MP'!J1457," - ",'906MP'!P1457,", ",'906MP'!E1457),"nincs megjegyzés")</f>
        <v>nincs megjegyzés</v>
      </c>
      <c r="V1757" t="str">
        <f t="shared" si="513"/>
        <v>0P0</v>
      </c>
      <c r="W1757" t="str">
        <f t="shared" si="514"/>
        <v>0P0</v>
      </c>
      <c r="X1757" t="str">
        <f t="shared" si="515"/>
        <v>P0</v>
      </c>
      <c r="Y1757" t="str">
        <f t="shared" si="516"/>
        <v>00</v>
      </c>
      <c r="Z1757" t="str">
        <f t="shared" si="527"/>
        <v>00</v>
      </c>
      <c r="AA1757" t="str">
        <f t="shared" si="517"/>
        <v>00</v>
      </c>
      <c r="AB1757" t="str">
        <f t="shared" si="518"/>
        <v>00</v>
      </c>
      <c r="AC1757" t="str">
        <f t="shared" si="519"/>
        <v>0P0</v>
      </c>
      <c r="AD1757" t="str">
        <f t="shared" si="520"/>
        <v>P00</v>
      </c>
      <c r="AE1757" t="str">
        <f t="shared" si="521"/>
        <v>0P0</v>
      </c>
      <c r="AF1757" t="str">
        <f t="shared" si="522"/>
        <v>P00</v>
      </c>
      <c r="AG1757" t="str">
        <f t="shared" si="528"/>
        <v>0P00</v>
      </c>
      <c r="AH1757" t="str">
        <f t="shared" si="529"/>
        <v>P000</v>
      </c>
      <c r="AI1757" t="str">
        <f t="shared" si="530"/>
        <v>0P00</v>
      </c>
      <c r="AJ1757" t="str">
        <f t="shared" si="531"/>
        <v>P000</v>
      </c>
    </row>
    <row r="1758" spans="1:36" x14ac:dyDescent="0.25">
      <c r="A1758" s="325" t="str">
        <f>CONCATENATE("P",'906MP'!M1458)</f>
        <v>P</v>
      </c>
      <c r="B1758">
        <f>'906MP'!H1458</f>
        <v>0</v>
      </c>
      <c r="C1758">
        <f>'906MP'!J1458</f>
        <v>0</v>
      </c>
      <c r="D1758">
        <f>'906MP'!P1458</f>
        <v>0</v>
      </c>
      <c r="E1758">
        <f>'906MP'!X1458</f>
        <v>0</v>
      </c>
      <c r="F1758" t="str">
        <f t="shared" si="523"/>
        <v>0</v>
      </c>
      <c r="G1758" t="str">
        <f t="shared" si="524"/>
        <v>0</v>
      </c>
      <c r="H1758">
        <f>'906MP'!Y1458</f>
        <v>0</v>
      </c>
      <c r="I1758">
        <f>'906MP'!AK1458</f>
        <v>0</v>
      </c>
      <c r="J1758">
        <f>'906MP'!T1458</f>
        <v>0</v>
      </c>
      <c r="K1758">
        <f>'906MP'!AJ1458</f>
        <v>0</v>
      </c>
      <c r="L1758">
        <f>'906MP'!U1458</f>
        <v>0</v>
      </c>
      <c r="M1758" s="322" t="str">
        <f>IFERROR(VLOOKUP(A1758,PAR!$D$3:$E$53,2,FALSE),"nincs szervezet")</f>
        <v>nincs szervezet</v>
      </c>
      <c r="N1758" s="322" t="str">
        <f>VLOOKUP(F1758,PAR!$R$3:$S$5,2,FALSE)</f>
        <v>3 - egyik sem</v>
      </c>
      <c r="O1758" t="str">
        <f>IFERROR(VLOOKUP(J1758,PAR!$O$3:$P$5,2,FALSE),"nincs feladat")</f>
        <v>nincs feladat</v>
      </c>
      <c r="P1758" t="str">
        <f>IFERROR(VLOOKUP(G1758,PAR!$J$2:$M$19,4),"nincs rovat")</f>
        <v>nincs rovat</v>
      </c>
      <c r="Q1758" t="str">
        <f>IF(H1758&gt;0,VLOOKUP(H1758,PAR!$AA$3:$AC$187,3,FALSE),"nincs főkönyvi számla")</f>
        <v>nincs főkönyvi számla</v>
      </c>
      <c r="R1758" t="str">
        <f>IFERROR(VLOOKUP(K1758,PAR!$V$3:$X$438,3,FALSE),"000000 - Nincs COFOG")</f>
        <v>000000 - Nincs COFOG</v>
      </c>
      <c r="S1758">
        <f t="shared" si="525"/>
        <v>0</v>
      </c>
      <c r="T1758">
        <f t="shared" si="526"/>
        <v>0</v>
      </c>
      <c r="U1758" t="str">
        <f>IF('906MP'!J1458&gt;0,CONCATENATE('906MP'!J1458," - ",'906MP'!P1458,", ",'906MP'!E1458),"nincs megjegyzés")</f>
        <v>nincs megjegyzés</v>
      </c>
      <c r="V1758" t="str">
        <f t="shared" si="513"/>
        <v>0P0</v>
      </c>
      <c r="W1758" t="str">
        <f t="shared" si="514"/>
        <v>0P0</v>
      </c>
      <c r="X1758" t="str">
        <f t="shared" si="515"/>
        <v>P0</v>
      </c>
      <c r="Y1758" t="str">
        <f t="shared" si="516"/>
        <v>00</v>
      </c>
      <c r="Z1758" t="str">
        <f t="shared" si="527"/>
        <v>00</v>
      </c>
      <c r="AA1758" t="str">
        <f t="shared" si="517"/>
        <v>00</v>
      </c>
      <c r="AB1758" t="str">
        <f t="shared" si="518"/>
        <v>00</v>
      </c>
      <c r="AC1758" t="str">
        <f t="shared" si="519"/>
        <v>0P0</v>
      </c>
      <c r="AD1758" t="str">
        <f t="shared" si="520"/>
        <v>P00</v>
      </c>
      <c r="AE1758" t="str">
        <f t="shared" si="521"/>
        <v>0P0</v>
      </c>
      <c r="AF1758" t="str">
        <f t="shared" si="522"/>
        <v>P00</v>
      </c>
      <c r="AG1758" t="str">
        <f t="shared" si="528"/>
        <v>0P00</v>
      </c>
      <c r="AH1758" t="str">
        <f t="shared" si="529"/>
        <v>P000</v>
      </c>
      <c r="AI1758" t="str">
        <f t="shared" si="530"/>
        <v>0P00</v>
      </c>
      <c r="AJ1758" t="str">
        <f t="shared" si="531"/>
        <v>P000</v>
      </c>
    </row>
    <row r="1759" spans="1:36" x14ac:dyDescent="0.25">
      <c r="A1759" s="325" t="str">
        <f>CONCATENATE("P",'906MP'!M1459)</f>
        <v>P</v>
      </c>
      <c r="B1759">
        <f>'906MP'!H1459</f>
        <v>0</v>
      </c>
      <c r="C1759">
        <f>'906MP'!J1459</f>
        <v>0</v>
      </c>
      <c r="D1759">
        <f>'906MP'!P1459</f>
        <v>0</v>
      </c>
      <c r="E1759">
        <f>'906MP'!X1459</f>
        <v>0</v>
      </c>
      <c r="F1759" t="str">
        <f t="shared" si="523"/>
        <v>0</v>
      </c>
      <c r="G1759" t="str">
        <f t="shared" si="524"/>
        <v>0</v>
      </c>
      <c r="H1759">
        <f>'906MP'!Y1459</f>
        <v>0</v>
      </c>
      <c r="I1759">
        <f>'906MP'!AK1459</f>
        <v>0</v>
      </c>
      <c r="J1759">
        <f>'906MP'!T1459</f>
        <v>0</v>
      </c>
      <c r="K1759">
        <f>'906MP'!AJ1459</f>
        <v>0</v>
      </c>
      <c r="L1759">
        <f>'906MP'!U1459</f>
        <v>0</v>
      </c>
      <c r="M1759" s="322" t="str">
        <f>IFERROR(VLOOKUP(A1759,PAR!$D$3:$E$53,2,FALSE),"nincs szervezet")</f>
        <v>nincs szervezet</v>
      </c>
      <c r="N1759" s="322" t="str">
        <f>VLOOKUP(F1759,PAR!$R$3:$S$5,2,FALSE)</f>
        <v>3 - egyik sem</v>
      </c>
      <c r="O1759" t="str">
        <f>IFERROR(VLOOKUP(J1759,PAR!$O$3:$P$5,2,FALSE),"nincs feladat")</f>
        <v>nincs feladat</v>
      </c>
      <c r="P1759" t="str">
        <f>IFERROR(VLOOKUP(G1759,PAR!$J$2:$M$19,4),"nincs rovat")</f>
        <v>nincs rovat</v>
      </c>
      <c r="Q1759" t="str">
        <f>IF(H1759&gt;0,VLOOKUP(H1759,PAR!$AA$3:$AC$187,3,FALSE),"nincs főkönyvi számla")</f>
        <v>nincs főkönyvi számla</v>
      </c>
      <c r="R1759" t="str">
        <f>IFERROR(VLOOKUP(K1759,PAR!$V$3:$X$438,3,FALSE),"000000 - Nincs COFOG")</f>
        <v>000000 - Nincs COFOG</v>
      </c>
      <c r="S1759">
        <f t="shared" si="525"/>
        <v>0</v>
      </c>
      <c r="T1759">
        <f t="shared" si="526"/>
        <v>0</v>
      </c>
      <c r="U1759" t="str">
        <f>IF('906MP'!J1459&gt;0,CONCATENATE('906MP'!J1459," - ",'906MP'!P1459,", ",'906MP'!E1459),"nincs megjegyzés")</f>
        <v>nincs megjegyzés</v>
      </c>
      <c r="V1759" t="str">
        <f t="shared" si="513"/>
        <v>0P0</v>
      </c>
      <c r="W1759" t="str">
        <f t="shared" si="514"/>
        <v>0P0</v>
      </c>
      <c r="X1759" t="str">
        <f t="shared" si="515"/>
        <v>P0</v>
      </c>
      <c r="Y1759" t="str">
        <f t="shared" si="516"/>
        <v>00</v>
      </c>
      <c r="Z1759" t="str">
        <f t="shared" si="527"/>
        <v>00</v>
      </c>
      <c r="AA1759" t="str">
        <f t="shared" si="517"/>
        <v>00</v>
      </c>
      <c r="AB1759" t="str">
        <f t="shared" si="518"/>
        <v>00</v>
      </c>
      <c r="AC1759" t="str">
        <f t="shared" si="519"/>
        <v>0P0</v>
      </c>
      <c r="AD1759" t="str">
        <f t="shared" si="520"/>
        <v>P00</v>
      </c>
      <c r="AE1759" t="str">
        <f t="shared" si="521"/>
        <v>0P0</v>
      </c>
      <c r="AF1759" t="str">
        <f t="shared" si="522"/>
        <v>P00</v>
      </c>
      <c r="AG1759" t="str">
        <f t="shared" si="528"/>
        <v>0P00</v>
      </c>
      <c r="AH1759" t="str">
        <f t="shared" si="529"/>
        <v>P000</v>
      </c>
      <c r="AI1759" t="str">
        <f t="shared" si="530"/>
        <v>0P00</v>
      </c>
      <c r="AJ1759" t="str">
        <f t="shared" si="531"/>
        <v>P000</v>
      </c>
    </row>
    <row r="1760" spans="1:36" x14ac:dyDescent="0.25">
      <c r="A1760" s="325" t="str">
        <f>CONCATENATE("P",'906MP'!M1460)</f>
        <v>P</v>
      </c>
      <c r="B1760">
        <f>'906MP'!H1460</f>
        <v>0</v>
      </c>
      <c r="C1760">
        <f>'906MP'!J1460</f>
        <v>0</v>
      </c>
      <c r="D1760">
        <f>'906MP'!P1460</f>
        <v>0</v>
      </c>
      <c r="E1760">
        <f>'906MP'!X1460</f>
        <v>0</v>
      </c>
      <c r="F1760" t="str">
        <f t="shared" si="523"/>
        <v>0</v>
      </c>
      <c r="G1760" t="str">
        <f t="shared" si="524"/>
        <v>0</v>
      </c>
      <c r="H1760">
        <f>'906MP'!Y1460</f>
        <v>0</v>
      </c>
      <c r="I1760">
        <f>'906MP'!AK1460</f>
        <v>0</v>
      </c>
      <c r="J1760">
        <f>'906MP'!T1460</f>
        <v>0</v>
      </c>
      <c r="K1760">
        <f>'906MP'!AJ1460</f>
        <v>0</v>
      </c>
      <c r="L1760">
        <f>'906MP'!U1460</f>
        <v>0</v>
      </c>
      <c r="M1760" s="322" t="str">
        <f>IFERROR(VLOOKUP(A1760,PAR!$D$3:$E$53,2,FALSE),"nincs szervezet")</f>
        <v>nincs szervezet</v>
      </c>
      <c r="N1760" s="322" t="str">
        <f>VLOOKUP(F1760,PAR!$R$3:$S$5,2,FALSE)</f>
        <v>3 - egyik sem</v>
      </c>
      <c r="O1760" t="str">
        <f>IFERROR(VLOOKUP(J1760,PAR!$O$3:$P$5,2,FALSE),"nincs feladat")</f>
        <v>nincs feladat</v>
      </c>
      <c r="P1760" t="str">
        <f>IFERROR(VLOOKUP(G1760,PAR!$J$2:$M$19,4),"nincs rovat")</f>
        <v>nincs rovat</v>
      </c>
      <c r="Q1760" t="str">
        <f>IF(H1760&gt;0,VLOOKUP(H1760,PAR!$AA$3:$AC$187,3,FALSE),"nincs főkönyvi számla")</f>
        <v>nincs főkönyvi számla</v>
      </c>
      <c r="R1760" t="str">
        <f>IFERROR(VLOOKUP(K1760,PAR!$V$3:$X$438,3,FALSE),"000000 - Nincs COFOG")</f>
        <v>000000 - Nincs COFOG</v>
      </c>
      <c r="S1760">
        <f t="shared" si="525"/>
        <v>0</v>
      </c>
      <c r="T1760">
        <f t="shared" si="526"/>
        <v>0</v>
      </c>
      <c r="U1760" t="str">
        <f>IF('906MP'!J1460&gt;0,CONCATENATE('906MP'!J1460," - ",'906MP'!P1460,", ",'906MP'!E1460),"nincs megjegyzés")</f>
        <v>nincs megjegyzés</v>
      </c>
      <c r="V1760" t="str">
        <f t="shared" si="513"/>
        <v>0P0</v>
      </c>
      <c r="W1760" t="str">
        <f t="shared" si="514"/>
        <v>0P0</v>
      </c>
      <c r="X1760" t="str">
        <f t="shared" si="515"/>
        <v>P0</v>
      </c>
      <c r="Y1760" t="str">
        <f t="shared" si="516"/>
        <v>00</v>
      </c>
      <c r="Z1760" t="str">
        <f t="shared" si="527"/>
        <v>00</v>
      </c>
      <c r="AA1760" t="str">
        <f t="shared" si="517"/>
        <v>00</v>
      </c>
      <c r="AB1760" t="str">
        <f t="shared" si="518"/>
        <v>00</v>
      </c>
      <c r="AC1760" t="str">
        <f t="shared" si="519"/>
        <v>0P0</v>
      </c>
      <c r="AD1760" t="str">
        <f t="shared" si="520"/>
        <v>P00</v>
      </c>
      <c r="AE1760" t="str">
        <f t="shared" si="521"/>
        <v>0P0</v>
      </c>
      <c r="AF1760" t="str">
        <f t="shared" si="522"/>
        <v>P00</v>
      </c>
      <c r="AG1760" t="str">
        <f t="shared" si="528"/>
        <v>0P00</v>
      </c>
      <c r="AH1760" t="str">
        <f t="shared" si="529"/>
        <v>P000</v>
      </c>
      <c r="AI1760" t="str">
        <f t="shared" si="530"/>
        <v>0P00</v>
      </c>
      <c r="AJ1760" t="str">
        <f t="shared" si="531"/>
        <v>P000</v>
      </c>
    </row>
    <row r="1761" spans="1:36" x14ac:dyDescent="0.25">
      <c r="A1761" s="325" t="str">
        <f>CONCATENATE("P",'906MP'!M1461)</f>
        <v>P</v>
      </c>
      <c r="B1761">
        <f>'906MP'!H1461</f>
        <v>0</v>
      </c>
      <c r="C1761">
        <f>'906MP'!J1461</f>
        <v>0</v>
      </c>
      <c r="D1761">
        <f>'906MP'!P1461</f>
        <v>0</v>
      </c>
      <c r="E1761">
        <f>'906MP'!X1461</f>
        <v>0</v>
      </c>
      <c r="F1761" t="str">
        <f t="shared" si="523"/>
        <v>0</v>
      </c>
      <c r="G1761" t="str">
        <f t="shared" si="524"/>
        <v>0</v>
      </c>
      <c r="H1761">
        <f>'906MP'!Y1461</f>
        <v>0</v>
      </c>
      <c r="I1761">
        <f>'906MP'!AK1461</f>
        <v>0</v>
      </c>
      <c r="J1761">
        <f>'906MP'!T1461</f>
        <v>0</v>
      </c>
      <c r="K1761">
        <f>'906MP'!AJ1461</f>
        <v>0</v>
      </c>
      <c r="L1761">
        <f>'906MP'!U1461</f>
        <v>0</v>
      </c>
      <c r="M1761" s="322" t="str">
        <f>IFERROR(VLOOKUP(A1761,PAR!$D$3:$E$53,2,FALSE),"nincs szervezet")</f>
        <v>nincs szervezet</v>
      </c>
      <c r="N1761" s="322" t="str">
        <f>VLOOKUP(F1761,PAR!$R$3:$S$5,2,FALSE)</f>
        <v>3 - egyik sem</v>
      </c>
      <c r="O1761" t="str">
        <f>IFERROR(VLOOKUP(J1761,PAR!$O$3:$P$5,2,FALSE),"nincs feladat")</f>
        <v>nincs feladat</v>
      </c>
      <c r="P1761" t="str">
        <f>IFERROR(VLOOKUP(G1761,PAR!$J$2:$M$19,4),"nincs rovat")</f>
        <v>nincs rovat</v>
      </c>
      <c r="Q1761" t="str">
        <f>IF(H1761&gt;0,VLOOKUP(H1761,PAR!$AA$3:$AC$187,3,FALSE),"nincs főkönyvi számla")</f>
        <v>nincs főkönyvi számla</v>
      </c>
      <c r="R1761" t="str">
        <f>IFERROR(VLOOKUP(K1761,PAR!$V$3:$X$438,3,FALSE),"000000 - Nincs COFOG")</f>
        <v>000000 - Nincs COFOG</v>
      </c>
      <c r="S1761">
        <f t="shared" si="525"/>
        <v>0</v>
      </c>
      <c r="T1761">
        <f t="shared" si="526"/>
        <v>0</v>
      </c>
      <c r="U1761" t="str">
        <f>IF('906MP'!J1461&gt;0,CONCATENATE('906MP'!J1461," - ",'906MP'!P1461,", ",'906MP'!E1461),"nincs megjegyzés")</f>
        <v>nincs megjegyzés</v>
      </c>
      <c r="V1761" t="str">
        <f t="shared" si="513"/>
        <v>0P0</v>
      </c>
      <c r="W1761" t="str">
        <f t="shared" si="514"/>
        <v>0P0</v>
      </c>
      <c r="X1761" t="str">
        <f t="shared" si="515"/>
        <v>P0</v>
      </c>
      <c r="Y1761" t="str">
        <f t="shared" si="516"/>
        <v>00</v>
      </c>
      <c r="Z1761" t="str">
        <f t="shared" si="527"/>
        <v>00</v>
      </c>
      <c r="AA1761" t="str">
        <f t="shared" si="517"/>
        <v>00</v>
      </c>
      <c r="AB1761" t="str">
        <f t="shared" si="518"/>
        <v>00</v>
      </c>
      <c r="AC1761" t="str">
        <f t="shared" si="519"/>
        <v>0P0</v>
      </c>
      <c r="AD1761" t="str">
        <f t="shared" si="520"/>
        <v>P00</v>
      </c>
      <c r="AE1761" t="str">
        <f t="shared" si="521"/>
        <v>0P0</v>
      </c>
      <c r="AF1761" t="str">
        <f t="shared" si="522"/>
        <v>P00</v>
      </c>
      <c r="AG1761" t="str">
        <f t="shared" si="528"/>
        <v>0P00</v>
      </c>
      <c r="AH1761" t="str">
        <f t="shared" si="529"/>
        <v>P000</v>
      </c>
      <c r="AI1761" t="str">
        <f t="shared" si="530"/>
        <v>0P00</v>
      </c>
      <c r="AJ1761" t="str">
        <f t="shared" si="531"/>
        <v>P000</v>
      </c>
    </row>
    <row r="1762" spans="1:36" x14ac:dyDescent="0.25">
      <c r="A1762" s="325" t="str">
        <f>CONCATENATE("P",'906MP'!M1462)</f>
        <v>P</v>
      </c>
      <c r="B1762">
        <f>'906MP'!H1462</f>
        <v>0</v>
      </c>
      <c r="C1762">
        <f>'906MP'!J1462</f>
        <v>0</v>
      </c>
      <c r="D1762">
        <f>'906MP'!P1462</f>
        <v>0</v>
      </c>
      <c r="E1762">
        <f>'906MP'!X1462</f>
        <v>0</v>
      </c>
      <c r="F1762" t="str">
        <f t="shared" si="523"/>
        <v>0</v>
      </c>
      <c r="G1762" t="str">
        <f t="shared" si="524"/>
        <v>0</v>
      </c>
      <c r="H1762">
        <f>'906MP'!Y1462</f>
        <v>0</v>
      </c>
      <c r="I1762">
        <f>'906MP'!AK1462</f>
        <v>0</v>
      </c>
      <c r="J1762">
        <f>'906MP'!T1462</f>
        <v>0</v>
      </c>
      <c r="K1762">
        <f>'906MP'!AJ1462</f>
        <v>0</v>
      </c>
      <c r="L1762">
        <f>'906MP'!U1462</f>
        <v>0</v>
      </c>
      <c r="M1762" s="322" t="str">
        <f>IFERROR(VLOOKUP(A1762,PAR!$D$3:$E$53,2,FALSE),"nincs szervezet")</f>
        <v>nincs szervezet</v>
      </c>
      <c r="N1762" s="322" t="str">
        <f>VLOOKUP(F1762,PAR!$R$3:$S$5,2,FALSE)</f>
        <v>3 - egyik sem</v>
      </c>
      <c r="O1762" t="str">
        <f>IFERROR(VLOOKUP(J1762,PAR!$O$3:$P$5,2,FALSE),"nincs feladat")</f>
        <v>nincs feladat</v>
      </c>
      <c r="P1762" t="str">
        <f>IFERROR(VLOOKUP(G1762,PAR!$J$2:$M$19,4),"nincs rovat")</f>
        <v>nincs rovat</v>
      </c>
      <c r="Q1762" t="str">
        <f>IF(H1762&gt;0,VLOOKUP(H1762,PAR!$AA$3:$AC$187,3,FALSE),"nincs főkönyvi számla")</f>
        <v>nincs főkönyvi számla</v>
      </c>
      <c r="R1762" t="str">
        <f>IFERROR(VLOOKUP(K1762,PAR!$V$3:$X$438,3,FALSE),"000000 - Nincs COFOG")</f>
        <v>000000 - Nincs COFOG</v>
      </c>
      <c r="S1762">
        <f t="shared" si="525"/>
        <v>0</v>
      </c>
      <c r="T1762">
        <f t="shared" si="526"/>
        <v>0</v>
      </c>
      <c r="U1762" t="str">
        <f>IF('906MP'!J1462&gt;0,CONCATENATE('906MP'!J1462," - ",'906MP'!P1462,", ",'906MP'!E1462),"nincs megjegyzés")</f>
        <v>nincs megjegyzés</v>
      </c>
      <c r="V1762" t="str">
        <f t="shared" si="513"/>
        <v>0P0</v>
      </c>
      <c r="W1762" t="str">
        <f t="shared" si="514"/>
        <v>0P0</v>
      </c>
      <c r="X1762" t="str">
        <f t="shared" si="515"/>
        <v>P0</v>
      </c>
      <c r="Y1762" t="str">
        <f t="shared" si="516"/>
        <v>00</v>
      </c>
      <c r="Z1762" t="str">
        <f t="shared" si="527"/>
        <v>00</v>
      </c>
      <c r="AA1762" t="str">
        <f t="shared" si="517"/>
        <v>00</v>
      </c>
      <c r="AB1762" t="str">
        <f t="shared" si="518"/>
        <v>00</v>
      </c>
      <c r="AC1762" t="str">
        <f t="shared" si="519"/>
        <v>0P0</v>
      </c>
      <c r="AD1762" t="str">
        <f t="shared" si="520"/>
        <v>P00</v>
      </c>
      <c r="AE1762" t="str">
        <f t="shared" si="521"/>
        <v>0P0</v>
      </c>
      <c r="AF1762" t="str">
        <f t="shared" si="522"/>
        <v>P00</v>
      </c>
      <c r="AG1762" t="str">
        <f t="shared" si="528"/>
        <v>0P00</v>
      </c>
      <c r="AH1762" t="str">
        <f t="shared" si="529"/>
        <v>P000</v>
      </c>
      <c r="AI1762" t="str">
        <f t="shared" si="530"/>
        <v>0P00</v>
      </c>
      <c r="AJ1762" t="str">
        <f t="shared" si="531"/>
        <v>P000</v>
      </c>
    </row>
    <row r="1763" spans="1:36" x14ac:dyDescent="0.25">
      <c r="A1763" s="325" t="str">
        <f>CONCATENATE("P",'906MP'!M1463)</f>
        <v>P</v>
      </c>
      <c r="B1763">
        <f>'906MP'!H1463</f>
        <v>0</v>
      </c>
      <c r="C1763">
        <f>'906MP'!J1463</f>
        <v>0</v>
      </c>
      <c r="D1763">
        <f>'906MP'!P1463</f>
        <v>0</v>
      </c>
      <c r="E1763">
        <f>'906MP'!X1463</f>
        <v>0</v>
      </c>
      <c r="F1763" t="str">
        <f t="shared" si="523"/>
        <v>0</v>
      </c>
      <c r="G1763" t="str">
        <f t="shared" si="524"/>
        <v>0</v>
      </c>
      <c r="H1763">
        <f>'906MP'!Y1463</f>
        <v>0</v>
      </c>
      <c r="I1763">
        <f>'906MP'!AK1463</f>
        <v>0</v>
      </c>
      <c r="J1763">
        <f>'906MP'!T1463</f>
        <v>0</v>
      </c>
      <c r="K1763">
        <f>'906MP'!AJ1463</f>
        <v>0</v>
      </c>
      <c r="L1763">
        <f>'906MP'!U1463</f>
        <v>0</v>
      </c>
      <c r="M1763" s="322" t="str">
        <f>IFERROR(VLOOKUP(A1763,PAR!$D$3:$E$53,2,FALSE),"nincs szervezet")</f>
        <v>nincs szervezet</v>
      </c>
      <c r="N1763" s="322" t="str">
        <f>VLOOKUP(F1763,PAR!$R$3:$S$5,2,FALSE)</f>
        <v>3 - egyik sem</v>
      </c>
      <c r="O1763" t="str">
        <f>IFERROR(VLOOKUP(J1763,PAR!$O$3:$P$5,2,FALSE),"nincs feladat")</f>
        <v>nincs feladat</v>
      </c>
      <c r="P1763" t="str">
        <f>IFERROR(VLOOKUP(G1763,PAR!$J$2:$M$19,4),"nincs rovat")</f>
        <v>nincs rovat</v>
      </c>
      <c r="Q1763" t="str">
        <f>IF(H1763&gt;0,VLOOKUP(H1763,PAR!$AA$3:$AC$187,3,FALSE),"nincs főkönyvi számla")</f>
        <v>nincs főkönyvi számla</v>
      </c>
      <c r="R1763" t="str">
        <f>IFERROR(VLOOKUP(K1763,PAR!$V$3:$X$438,3,FALSE),"000000 - Nincs COFOG")</f>
        <v>000000 - Nincs COFOG</v>
      </c>
      <c r="S1763">
        <f t="shared" si="525"/>
        <v>0</v>
      </c>
      <c r="T1763">
        <f t="shared" si="526"/>
        <v>0</v>
      </c>
      <c r="U1763" t="str">
        <f>IF('906MP'!J1463&gt;0,CONCATENATE('906MP'!J1463," - ",'906MP'!P1463,", ",'906MP'!E1463),"nincs megjegyzés")</f>
        <v>nincs megjegyzés</v>
      </c>
      <c r="V1763" t="str">
        <f t="shared" si="513"/>
        <v>0P0</v>
      </c>
      <c r="W1763" t="str">
        <f t="shared" si="514"/>
        <v>0P0</v>
      </c>
      <c r="X1763" t="str">
        <f t="shared" si="515"/>
        <v>P0</v>
      </c>
      <c r="Y1763" t="str">
        <f t="shared" si="516"/>
        <v>00</v>
      </c>
      <c r="Z1763" t="str">
        <f t="shared" si="527"/>
        <v>00</v>
      </c>
      <c r="AA1763" t="str">
        <f t="shared" si="517"/>
        <v>00</v>
      </c>
      <c r="AB1763" t="str">
        <f t="shared" si="518"/>
        <v>00</v>
      </c>
      <c r="AC1763" t="str">
        <f t="shared" si="519"/>
        <v>0P0</v>
      </c>
      <c r="AD1763" t="str">
        <f t="shared" si="520"/>
        <v>P00</v>
      </c>
      <c r="AE1763" t="str">
        <f t="shared" si="521"/>
        <v>0P0</v>
      </c>
      <c r="AF1763" t="str">
        <f t="shared" si="522"/>
        <v>P00</v>
      </c>
      <c r="AG1763" t="str">
        <f t="shared" si="528"/>
        <v>0P00</v>
      </c>
      <c r="AH1763" t="str">
        <f t="shared" si="529"/>
        <v>P000</v>
      </c>
      <c r="AI1763" t="str">
        <f t="shared" si="530"/>
        <v>0P00</v>
      </c>
      <c r="AJ1763" t="str">
        <f t="shared" si="531"/>
        <v>P000</v>
      </c>
    </row>
    <row r="1764" spans="1:36" x14ac:dyDescent="0.25">
      <c r="A1764" s="325" t="str">
        <f>CONCATENATE("P",'906MP'!M1464)</f>
        <v>P</v>
      </c>
      <c r="B1764">
        <f>'906MP'!H1464</f>
        <v>0</v>
      </c>
      <c r="C1764">
        <f>'906MP'!J1464</f>
        <v>0</v>
      </c>
      <c r="D1764">
        <f>'906MP'!P1464</f>
        <v>0</v>
      </c>
      <c r="E1764">
        <f>'906MP'!X1464</f>
        <v>0</v>
      </c>
      <c r="F1764" t="str">
        <f t="shared" si="523"/>
        <v>0</v>
      </c>
      <c r="G1764" t="str">
        <f t="shared" si="524"/>
        <v>0</v>
      </c>
      <c r="H1764">
        <f>'906MP'!Y1464</f>
        <v>0</v>
      </c>
      <c r="I1764">
        <f>'906MP'!AK1464</f>
        <v>0</v>
      </c>
      <c r="J1764">
        <f>'906MP'!T1464</f>
        <v>0</v>
      </c>
      <c r="K1764">
        <f>'906MP'!AJ1464</f>
        <v>0</v>
      </c>
      <c r="L1764">
        <f>'906MP'!U1464</f>
        <v>0</v>
      </c>
      <c r="M1764" s="322" t="str">
        <f>IFERROR(VLOOKUP(A1764,PAR!$D$3:$E$53,2,FALSE),"nincs szervezet")</f>
        <v>nincs szervezet</v>
      </c>
      <c r="N1764" s="322" t="str">
        <f>VLOOKUP(F1764,PAR!$R$3:$S$5,2,FALSE)</f>
        <v>3 - egyik sem</v>
      </c>
      <c r="O1764" t="str">
        <f>IFERROR(VLOOKUP(J1764,PAR!$O$3:$P$5,2,FALSE),"nincs feladat")</f>
        <v>nincs feladat</v>
      </c>
      <c r="P1764" t="str">
        <f>IFERROR(VLOOKUP(G1764,PAR!$J$2:$M$19,4),"nincs rovat")</f>
        <v>nincs rovat</v>
      </c>
      <c r="Q1764" t="str">
        <f>IF(H1764&gt;0,VLOOKUP(H1764,PAR!$AA$3:$AC$187,3,FALSE),"nincs főkönyvi számla")</f>
        <v>nincs főkönyvi számla</v>
      </c>
      <c r="R1764" t="str">
        <f>IFERROR(VLOOKUP(K1764,PAR!$V$3:$X$438,3,FALSE),"000000 - Nincs COFOG")</f>
        <v>000000 - Nincs COFOG</v>
      </c>
      <c r="S1764">
        <f t="shared" si="525"/>
        <v>0</v>
      </c>
      <c r="T1764">
        <f t="shared" si="526"/>
        <v>0</v>
      </c>
      <c r="U1764" t="str">
        <f>IF('906MP'!J1464&gt;0,CONCATENATE('906MP'!J1464," - ",'906MP'!P1464,", ",'906MP'!E1464),"nincs megjegyzés")</f>
        <v>nincs megjegyzés</v>
      </c>
      <c r="V1764" t="str">
        <f t="shared" si="513"/>
        <v>0P0</v>
      </c>
      <c r="W1764" t="str">
        <f t="shared" si="514"/>
        <v>0P0</v>
      </c>
      <c r="X1764" t="str">
        <f t="shared" si="515"/>
        <v>P0</v>
      </c>
      <c r="Y1764" t="str">
        <f t="shared" si="516"/>
        <v>00</v>
      </c>
      <c r="Z1764" t="str">
        <f t="shared" si="527"/>
        <v>00</v>
      </c>
      <c r="AA1764" t="str">
        <f t="shared" si="517"/>
        <v>00</v>
      </c>
      <c r="AB1764" t="str">
        <f t="shared" si="518"/>
        <v>00</v>
      </c>
      <c r="AC1764" t="str">
        <f t="shared" si="519"/>
        <v>0P0</v>
      </c>
      <c r="AD1764" t="str">
        <f t="shared" si="520"/>
        <v>P00</v>
      </c>
      <c r="AE1764" t="str">
        <f t="shared" si="521"/>
        <v>0P0</v>
      </c>
      <c r="AF1764" t="str">
        <f t="shared" si="522"/>
        <v>P00</v>
      </c>
      <c r="AG1764" t="str">
        <f t="shared" si="528"/>
        <v>0P00</v>
      </c>
      <c r="AH1764" t="str">
        <f t="shared" si="529"/>
        <v>P000</v>
      </c>
      <c r="AI1764" t="str">
        <f t="shared" si="530"/>
        <v>0P00</v>
      </c>
      <c r="AJ1764" t="str">
        <f t="shared" si="531"/>
        <v>P000</v>
      </c>
    </row>
    <row r="1765" spans="1:36" x14ac:dyDescent="0.25">
      <c r="A1765" s="325" t="str">
        <f>CONCATENATE("P",'906MP'!M1465)</f>
        <v>P</v>
      </c>
      <c r="B1765">
        <f>'906MP'!H1465</f>
        <v>0</v>
      </c>
      <c r="C1765">
        <f>'906MP'!J1465</f>
        <v>0</v>
      </c>
      <c r="D1765">
        <f>'906MP'!P1465</f>
        <v>0</v>
      </c>
      <c r="E1765">
        <f>'906MP'!X1465</f>
        <v>0</v>
      </c>
      <c r="F1765" t="str">
        <f t="shared" si="523"/>
        <v>0</v>
      </c>
      <c r="G1765" t="str">
        <f t="shared" si="524"/>
        <v>0</v>
      </c>
      <c r="H1765">
        <f>'906MP'!Y1465</f>
        <v>0</v>
      </c>
      <c r="I1765">
        <f>'906MP'!AK1465</f>
        <v>0</v>
      </c>
      <c r="J1765">
        <f>'906MP'!T1465</f>
        <v>0</v>
      </c>
      <c r="K1765">
        <f>'906MP'!AJ1465</f>
        <v>0</v>
      </c>
      <c r="L1765">
        <f>'906MP'!U1465</f>
        <v>0</v>
      </c>
      <c r="M1765" s="322" t="str">
        <f>IFERROR(VLOOKUP(A1765,PAR!$D$3:$E$53,2,FALSE),"nincs szervezet")</f>
        <v>nincs szervezet</v>
      </c>
      <c r="N1765" s="322" t="str">
        <f>VLOOKUP(F1765,PAR!$R$3:$S$5,2,FALSE)</f>
        <v>3 - egyik sem</v>
      </c>
      <c r="O1765" t="str">
        <f>IFERROR(VLOOKUP(J1765,PAR!$O$3:$P$5,2,FALSE),"nincs feladat")</f>
        <v>nincs feladat</v>
      </c>
      <c r="P1765" t="str">
        <f>IFERROR(VLOOKUP(G1765,PAR!$J$2:$M$19,4),"nincs rovat")</f>
        <v>nincs rovat</v>
      </c>
      <c r="Q1765" t="str">
        <f>IF(H1765&gt;0,VLOOKUP(H1765,PAR!$AA$3:$AC$187,3,FALSE),"nincs főkönyvi számla")</f>
        <v>nincs főkönyvi számla</v>
      </c>
      <c r="R1765" t="str">
        <f>IFERROR(VLOOKUP(K1765,PAR!$V$3:$X$438,3,FALSE),"000000 - Nincs COFOG")</f>
        <v>000000 - Nincs COFOG</v>
      </c>
      <c r="S1765">
        <f t="shared" si="525"/>
        <v>0</v>
      </c>
      <c r="T1765">
        <f t="shared" si="526"/>
        <v>0</v>
      </c>
      <c r="U1765" t="str">
        <f>IF('906MP'!J1465&gt;0,CONCATENATE('906MP'!J1465," - ",'906MP'!P1465,", ",'906MP'!E1465),"nincs megjegyzés")</f>
        <v>nincs megjegyzés</v>
      </c>
      <c r="V1765" t="str">
        <f t="shared" si="513"/>
        <v>0P0</v>
      </c>
      <c r="W1765" t="str">
        <f t="shared" si="514"/>
        <v>0P0</v>
      </c>
      <c r="X1765" t="str">
        <f t="shared" si="515"/>
        <v>P0</v>
      </c>
      <c r="Y1765" t="str">
        <f t="shared" si="516"/>
        <v>00</v>
      </c>
      <c r="Z1765" t="str">
        <f t="shared" si="527"/>
        <v>00</v>
      </c>
      <c r="AA1765" t="str">
        <f t="shared" si="517"/>
        <v>00</v>
      </c>
      <c r="AB1765" t="str">
        <f t="shared" si="518"/>
        <v>00</v>
      </c>
      <c r="AC1765" t="str">
        <f t="shared" si="519"/>
        <v>0P0</v>
      </c>
      <c r="AD1765" t="str">
        <f t="shared" si="520"/>
        <v>P00</v>
      </c>
      <c r="AE1765" t="str">
        <f t="shared" si="521"/>
        <v>0P0</v>
      </c>
      <c r="AF1765" t="str">
        <f t="shared" si="522"/>
        <v>P00</v>
      </c>
      <c r="AG1765" t="str">
        <f t="shared" si="528"/>
        <v>0P00</v>
      </c>
      <c r="AH1765" t="str">
        <f t="shared" si="529"/>
        <v>P000</v>
      </c>
      <c r="AI1765" t="str">
        <f t="shared" si="530"/>
        <v>0P00</v>
      </c>
      <c r="AJ1765" t="str">
        <f t="shared" si="531"/>
        <v>P000</v>
      </c>
    </row>
    <row r="1766" spans="1:36" x14ac:dyDescent="0.25">
      <c r="A1766" s="325" t="str">
        <f>CONCATENATE("P",'906MP'!M1466)</f>
        <v>P</v>
      </c>
      <c r="B1766">
        <f>'906MP'!H1466</f>
        <v>0</v>
      </c>
      <c r="C1766">
        <f>'906MP'!J1466</f>
        <v>0</v>
      </c>
      <c r="D1766">
        <f>'906MP'!P1466</f>
        <v>0</v>
      </c>
      <c r="E1766">
        <f>'906MP'!X1466</f>
        <v>0</v>
      </c>
      <c r="F1766" t="str">
        <f t="shared" si="523"/>
        <v>0</v>
      </c>
      <c r="G1766" t="str">
        <f t="shared" si="524"/>
        <v>0</v>
      </c>
      <c r="H1766">
        <f>'906MP'!Y1466</f>
        <v>0</v>
      </c>
      <c r="I1766">
        <f>'906MP'!AK1466</f>
        <v>0</v>
      </c>
      <c r="J1766">
        <f>'906MP'!T1466</f>
        <v>0</v>
      </c>
      <c r="K1766">
        <f>'906MP'!AJ1466</f>
        <v>0</v>
      </c>
      <c r="L1766">
        <f>'906MP'!U1466</f>
        <v>0</v>
      </c>
      <c r="M1766" s="322" t="str">
        <f>IFERROR(VLOOKUP(A1766,PAR!$D$3:$E$53,2,FALSE),"nincs szervezet")</f>
        <v>nincs szervezet</v>
      </c>
      <c r="N1766" s="322" t="str">
        <f>VLOOKUP(F1766,PAR!$R$3:$S$5,2,FALSE)</f>
        <v>3 - egyik sem</v>
      </c>
      <c r="O1766" t="str">
        <f>IFERROR(VLOOKUP(J1766,PAR!$O$3:$P$5,2,FALSE),"nincs feladat")</f>
        <v>nincs feladat</v>
      </c>
      <c r="P1766" t="str">
        <f>IFERROR(VLOOKUP(G1766,PAR!$J$2:$M$19,4),"nincs rovat")</f>
        <v>nincs rovat</v>
      </c>
      <c r="Q1766" t="str">
        <f>IF(H1766&gt;0,VLOOKUP(H1766,PAR!$AA$3:$AC$187,3,FALSE),"nincs főkönyvi számla")</f>
        <v>nincs főkönyvi számla</v>
      </c>
      <c r="R1766" t="str">
        <f>IFERROR(VLOOKUP(K1766,PAR!$V$3:$X$438,3,FALSE),"000000 - Nincs COFOG")</f>
        <v>000000 - Nincs COFOG</v>
      </c>
      <c r="S1766">
        <f t="shared" si="525"/>
        <v>0</v>
      </c>
      <c r="T1766">
        <f t="shared" si="526"/>
        <v>0</v>
      </c>
      <c r="U1766" t="str">
        <f>IF('906MP'!J1466&gt;0,CONCATENATE('906MP'!J1466," - ",'906MP'!P1466,", ",'906MP'!E1466),"nincs megjegyzés")</f>
        <v>nincs megjegyzés</v>
      </c>
      <c r="V1766" t="str">
        <f t="shared" si="513"/>
        <v>0P0</v>
      </c>
      <c r="W1766" t="str">
        <f t="shared" si="514"/>
        <v>0P0</v>
      </c>
      <c r="X1766" t="str">
        <f t="shared" si="515"/>
        <v>P0</v>
      </c>
      <c r="Y1766" t="str">
        <f t="shared" si="516"/>
        <v>00</v>
      </c>
      <c r="Z1766" t="str">
        <f t="shared" si="527"/>
        <v>00</v>
      </c>
      <c r="AA1766" t="str">
        <f t="shared" si="517"/>
        <v>00</v>
      </c>
      <c r="AB1766" t="str">
        <f t="shared" si="518"/>
        <v>00</v>
      </c>
      <c r="AC1766" t="str">
        <f t="shared" si="519"/>
        <v>0P0</v>
      </c>
      <c r="AD1766" t="str">
        <f t="shared" si="520"/>
        <v>P00</v>
      </c>
      <c r="AE1766" t="str">
        <f t="shared" si="521"/>
        <v>0P0</v>
      </c>
      <c r="AF1766" t="str">
        <f t="shared" si="522"/>
        <v>P00</v>
      </c>
      <c r="AG1766" t="str">
        <f t="shared" si="528"/>
        <v>0P00</v>
      </c>
      <c r="AH1766" t="str">
        <f t="shared" si="529"/>
        <v>P000</v>
      </c>
      <c r="AI1766" t="str">
        <f t="shared" si="530"/>
        <v>0P00</v>
      </c>
      <c r="AJ1766" t="str">
        <f t="shared" si="531"/>
        <v>P000</v>
      </c>
    </row>
    <row r="1767" spans="1:36" x14ac:dyDescent="0.25">
      <c r="A1767" s="325" t="str">
        <f>CONCATENATE("P",'906MP'!M1467)</f>
        <v>P</v>
      </c>
      <c r="B1767">
        <f>'906MP'!H1467</f>
        <v>0</v>
      </c>
      <c r="C1767">
        <f>'906MP'!J1467</f>
        <v>0</v>
      </c>
      <c r="D1767">
        <f>'906MP'!P1467</f>
        <v>0</v>
      </c>
      <c r="E1767">
        <f>'906MP'!X1467</f>
        <v>0</v>
      </c>
      <c r="F1767" t="str">
        <f t="shared" si="523"/>
        <v>0</v>
      </c>
      <c r="G1767" t="str">
        <f t="shared" si="524"/>
        <v>0</v>
      </c>
      <c r="H1767">
        <f>'906MP'!Y1467</f>
        <v>0</v>
      </c>
      <c r="I1767">
        <f>'906MP'!AK1467</f>
        <v>0</v>
      </c>
      <c r="J1767">
        <f>'906MP'!T1467</f>
        <v>0</v>
      </c>
      <c r="K1767">
        <f>'906MP'!AJ1467</f>
        <v>0</v>
      </c>
      <c r="L1767">
        <f>'906MP'!U1467</f>
        <v>0</v>
      </c>
      <c r="M1767" s="322" t="str">
        <f>IFERROR(VLOOKUP(A1767,PAR!$D$3:$E$53,2,FALSE),"nincs szervezet")</f>
        <v>nincs szervezet</v>
      </c>
      <c r="N1767" s="322" t="str">
        <f>VLOOKUP(F1767,PAR!$R$3:$S$5,2,FALSE)</f>
        <v>3 - egyik sem</v>
      </c>
      <c r="O1767" t="str">
        <f>IFERROR(VLOOKUP(J1767,PAR!$O$3:$P$5,2,FALSE),"nincs feladat")</f>
        <v>nincs feladat</v>
      </c>
      <c r="P1767" t="str">
        <f>IFERROR(VLOOKUP(G1767,PAR!$J$2:$M$19,4),"nincs rovat")</f>
        <v>nincs rovat</v>
      </c>
      <c r="Q1767" t="str">
        <f>IF(H1767&gt;0,VLOOKUP(H1767,PAR!$AA$3:$AC$187,3,FALSE),"nincs főkönyvi számla")</f>
        <v>nincs főkönyvi számla</v>
      </c>
      <c r="R1767" t="str">
        <f>IFERROR(VLOOKUP(K1767,PAR!$V$3:$X$438,3,FALSE),"000000 - Nincs COFOG")</f>
        <v>000000 - Nincs COFOG</v>
      </c>
      <c r="S1767">
        <f t="shared" si="525"/>
        <v>0</v>
      </c>
      <c r="T1767">
        <f t="shared" si="526"/>
        <v>0</v>
      </c>
      <c r="U1767" t="str">
        <f>IF('906MP'!J1467&gt;0,CONCATENATE('906MP'!J1467," - ",'906MP'!P1467,", ",'906MP'!E1467),"nincs megjegyzés")</f>
        <v>nincs megjegyzés</v>
      </c>
      <c r="V1767" t="str">
        <f t="shared" si="513"/>
        <v>0P0</v>
      </c>
      <c r="W1767" t="str">
        <f t="shared" si="514"/>
        <v>0P0</v>
      </c>
      <c r="X1767" t="str">
        <f t="shared" si="515"/>
        <v>P0</v>
      </c>
      <c r="Y1767" t="str">
        <f t="shared" si="516"/>
        <v>00</v>
      </c>
      <c r="Z1767" t="str">
        <f t="shared" si="527"/>
        <v>00</v>
      </c>
      <c r="AA1767" t="str">
        <f t="shared" si="517"/>
        <v>00</v>
      </c>
      <c r="AB1767" t="str">
        <f t="shared" si="518"/>
        <v>00</v>
      </c>
      <c r="AC1767" t="str">
        <f t="shared" si="519"/>
        <v>0P0</v>
      </c>
      <c r="AD1767" t="str">
        <f t="shared" si="520"/>
        <v>P00</v>
      </c>
      <c r="AE1767" t="str">
        <f t="shared" si="521"/>
        <v>0P0</v>
      </c>
      <c r="AF1767" t="str">
        <f t="shared" si="522"/>
        <v>P00</v>
      </c>
      <c r="AG1767" t="str">
        <f t="shared" si="528"/>
        <v>0P00</v>
      </c>
      <c r="AH1767" t="str">
        <f t="shared" si="529"/>
        <v>P000</v>
      </c>
      <c r="AI1767" t="str">
        <f t="shared" si="530"/>
        <v>0P00</v>
      </c>
      <c r="AJ1767" t="str">
        <f t="shared" si="531"/>
        <v>P000</v>
      </c>
    </row>
    <row r="1768" spans="1:36" x14ac:dyDescent="0.25">
      <c r="A1768" s="325" t="str">
        <f>CONCATENATE("P",'906MP'!M1468)</f>
        <v>P</v>
      </c>
      <c r="B1768">
        <f>'906MP'!H1468</f>
        <v>0</v>
      </c>
      <c r="C1768">
        <f>'906MP'!J1468</f>
        <v>0</v>
      </c>
      <c r="D1768">
        <f>'906MP'!P1468</f>
        <v>0</v>
      </c>
      <c r="E1768">
        <f>'906MP'!X1468</f>
        <v>0</v>
      </c>
      <c r="F1768" t="str">
        <f t="shared" si="523"/>
        <v>0</v>
      </c>
      <c r="G1768" t="str">
        <f t="shared" si="524"/>
        <v>0</v>
      </c>
      <c r="H1768">
        <f>'906MP'!Y1468</f>
        <v>0</v>
      </c>
      <c r="I1768">
        <f>'906MP'!AK1468</f>
        <v>0</v>
      </c>
      <c r="J1768">
        <f>'906MP'!T1468</f>
        <v>0</v>
      </c>
      <c r="K1768">
        <f>'906MP'!AJ1468</f>
        <v>0</v>
      </c>
      <c r="L1768">
        <f>'906MP'!U1468</f>
        <v>0</v>
      </c>
      <c r="M1768" s="322" t="str">
        <f>IFERROR(VLOOKUP(A1768,PAR!$D$3:$E$53,2,FALSE),"nincs szervezet")</f>
        <v>nincs szervezet</v>
      </c>
      <c r="N1768" s="322" t="str">
        <f>VLOOKUP(F1768,PAR!$R$3:$S$5,2,FALSE)</f>
        <v>3 - egyik sem</v>
      </c>
      <c r="O1768" t="str">
        <f>IFERROR(VLOOKUP(J1768,PAR!$O$3:$P$5,2,FALSE),"nincs feladat")</f>
        <v>nincs feladat</v>
      </c>
      <c r="P1768" t="str">
        <f>IFERROR(VLOOKUP(G1768,PAR!$J$2:$M$19,4),"nincs rovat")</f>
        <v>nincs rovat</v>
      </c>
      <c r="Q1768" t="str">
        <f>IF(H1768&gt;0,VLOOKUP(H1768,PAR!$AA$3:$AC$187,3,FALSE),"nincs főkönyvi számla")</f>
        <v>nincs főkönyvi számla</v>
      </c>
      <c r="R1768" t="str">
        <f>IFERROR(VLOOKUP(K1768,PAR!$V$3:$X$438,3,FALSE),"000000 - Nincs COFOG")</f>
        <v>000000 - Nincs COFOG</v>
      </c>
      <c r="S1768">
        <f t="shared" si="525"/>
        <v>0</v>
      </c>
      <c r="T1768">
        <f t="shared" si="526"/>
        <v>0</v>
      </c>
      <c r="U1768" t="str">
        <f>IF('906MP'!J1468&gt;0,CONCATENATE('906MP'!J1468," - ",'906MP'!P1468,", ",'906MP'!E1468),"nincs megjegyzés")</f>
        <v>nincs megjegyzés</v>
      </c>
      <c r="V1768" t="str">
        <f t="shared" si="513"/>
        <v>0P0</v>
      </c>
      <c r="W1768" t="str">
        <f t="shared" si="514"/>
        <v>0P0</v>
      </c>
      <c r="X1768" t="str">
        <f t="shared" si="515"/>
        <v>P0</v>
      </c>
      <c r="Y1768" t="str">
        <f t="shared" si="516"/>
        <v>00</v>
      </c>
      <c r="Z1768" t="str">
        <f t="shared" si="527"/>
        <v>00</v>
      </c>
      <c r="AA1768" t="str">
        <f t="shared" si="517"/>
        <v>00</v>
      </c>
      <c r="AB1768" t="str">
        <f t="shared" si="518"/>
        <v>00</v>
      </c>
      <c r="AC1768" t="str">
        <f t="shared" si="519"/>
        <v>0P0</v>
      </c>
      <c r="AD1768" t="str">
        <f t="shared" si="520"/>
        <v>P00</v>
      </c>
      <c r="AE1768" t="str">
        <f t="shared" si="521"/>
        <v>0P0</v>
      </c>
      <c r="AF1768" t="str">
        <f t="shared" si="522"/>
        <v>P00</v>
      </c>
      <c r="AG1768" t="str">
        <f t="shared" si="528"/>
        <v>0P00</v>
      </c>
      <c r="AH1768" t="str">
        <f t="shared" si="529"/>
        <v>P000</v>
      </c>
      <c r="AI1768" t="str">
        <f t="shared" si="530"/>
        <v>0P00</v>
      </c>
      <c r="AJ1768" t="str">
        <f t="shared" si="531"/>
        <v>P000</v>
      </c>
    </row>
    <row r="1769" spans="1:36" x14ac:dyDescent="0.25">
      <c r="A1769" s="325" t="str">
        <f>CONCATENATE("P",'906MP'!M1469)</f>
        <v>P</v>
      </c>
      <c r="B1769">
        <f>'906MP'!H1469</f>
        <v>0</v>
      </c>
      <c r="C1769">
        <f>'906MP'!J1469</f>
        <v>0</v>
      </c>
      <c r="D1769">
        <f>'906MP'!P1469</f>
        <v>0</v>
      </c>
      <c r="E1769">
        <f>'906MP'!X1469</f>
        <v>0</v>
      </c>
      <c r="F1769" t="str">
        <f t="shared" si="523"/>
        <v>0</v>
      </c>
      <c r="G1769" t="str">
        <f t="shared" si="524"/>
        <v>0</v>
      </c>
      <c r="H1769">
        <f>'906MP'!Y1469</f>
        <v>0</v>
      </c>
      <c r="I1769">
        <f>'906MP'!AK1469</f>
        <v>0</v>
      </c>
      <c r="J1769">
        <f>'906MP'!T1469</f>
        <v>0</v>
      </c>
      <c r="K1769">
        <f>'906MP'!AJ1469</f>
        <v>0</v>
      </c>
      <c r="L1769">
        <f>'906MP'!U1469</f>
        <v>0</v>
      </c>
      <c r="M1769" s="322" t="str">
        <f>IFERROR(VLOOKUP(A1769,PAR!$D$3:$E$53,2,FALSE),"nincs szervezet")</f>
        <v>nincs szervezet</v>
      </c>
      <c r="N1769" s="322" t="str">
        <f>VLOOKUP(F1769,PAR!$R$3:$S$5,2,FALSE)</f>
        <v>3 - egyik sem</v>
      </c>
      <c r="O1769" t="str">
        <f>IFERROR(VLOOKUP(J1769,PAR!$O$3:$P$5,2,FALSE),"nincs feladat")</f>
        <v>nincs feladat</v>
      </c>
      <c r="P1769" t="str">
        <f>IFERROR(VLOOKUP(G1769,PAR!$J$2:$M$19,4),"nincs rovat")</f>
        <v>nincs rovat</v>
      </c>
      <c r="Q1769" t="str">
        <f>IF(H1769&gt;0,VLOOKUP(H1769,PAR!$AA$3:$AC$187,3,FALSE),"nincs főkönyvi számla")</f>
        <v>nincs főkönyvi számla</v>
      </c>
      <c r="R1769" t="str">
        <f>IFERROR(VLOOKUP(K1769,PAR!$V$3:$X$438,3,FALSE),"000000 - Nincs COFOG")</f>
        <v>000000 - Nincs COFOG</v>
      </c>
      <c r="S1769">
        <f t="shared" si="525"/>
        <v>0</v>
      </c>
      <c r="T1769">
        <f t="shared" si="526"/>
        <v>0</v>
      </c>
      <c r="U1769" t="str">
        <f>IF('906MP'!J1469&gt;0,CONCATENATE('906MP'!J1469," - ",'906MP'!P1469,", ",'906MP'!E1469),"nincs megjegyzés")</f>
        <v>nincs megjegyzés</v>
      </c>
      <c r="V1769" t="str">
        <f t="shared" si="513"/>
        <v>0P0</v>
      </c>
      <c r="W1769" t="str">
        <f t="shared" si="514"/>
        <v>0P0</v>
      </c>
      <c r="X1769" t="str">
        <f t="shared" si="515"/>
        <v>P0</v>
      </c>
      <c r="Y1769" t="str">
        <f t="shared" si="516"/>
        <v>00</v>
      </c>
      <c r="Z1769" t="str">
        <f t="shared" si="527"/>
        <v>00</v>
      </c>
      <c r="AA1769" t="str">
        <f t="shared" si="517"/>
        <v>00</v>
      </c>
      <c r="AB1769" t="str">
        <f t="shared" si="518"/>
        <v>00</v>
      </c>
      <c r="AC1769" t="str">
        <f t="shared" si="519"/>
        <v>0P0</v>
      </c>
      <c r="AD1769" t="str">
        <f t="shared" si="520"/>
        <v>P00</v>
      </c>
      <c r="AE1769" t="str">
        <f t="shared" si="521"/>
        <v>0P0</v>
      </c>
      <c r="AF1769" t="str">
        <f t="shared" si="522"/>
        <v>P00</v>
      </c>
      <c r="AG1769" t="str">
        <f t="shared" si="528"/>
        <v>0P00</v>
      </c>
      <c r="AH1769" t="str">
        <f t="shared" si="529"/>
        <v>P000</v>
      </c>
      <c r="AI1769" t="str">
        <f t="shared" si="530"/>
        <v>0P00</v>
      </c>
      <c r="AJ1769" t="str">
        <f t="shared" si="531"/>
        <v>P000</v>
      </c>
    </row>
    <row r="1770" spans="1:36" x14ac:dyDescent="0.25">
      <c r="A1770" s="325" t="str">
        <f>CONCATENATE("P",'906MP'!M1470)</f>
        <v>P</v>
      </c>
      <c r="B1770">
        <f>'906MP'!H1470</f>
        <v>0</v>
      </c>
      <c r="C1770">
        <f>'906MP'!J1470</f>
        <v>0</v>
      </c>
      <c r="D1770">
        <f>'906MP'!P1470</f>
        <v>0</v>
      </c>
      <c r="E1770">
        <f>'906MP'!X1470</f>
        <v>0</v>
      </c>
      <c r="F1770" t="str">
        <f t="shared" si="523"/>
        <v>0</v>
      </c>
      <c r="G1770" t="str">
        <f t="shared" si="524"/>
        <v>0</v>
      </c>
      <c r="H1770">
        <f>'906MP'!Y1470</f>
        <v>0</v>
      </c>
      <c r="I1770">
        <f>'906MP'!AK1470</f>
        <v>0</v>
      </c>
      <c r="J1770">
        <f>'906MP'!T1470</f>
        <v>0</v>
      </c>
      <c r="K1770">
        <f>'906MP'!AJ1470</f>
        <v>0</v>
      </c>
      <c r="L1770">
        <f>'906MP'!U1470</f>
        <v>0</v>
      </c>
      <c r="M1770" s="322" t="str">
        <f>IFERROR(VLOOKUP(A1770,PAR!$D$3:$E$53,2,FALSE),"nincs szervezet")</f>
        <v>nincs szervezet</v>
      </c>
      <c r="N1770" s="322" t="str">
        <f>VLOOKUP(F1770,PAR!$R$3:$S$5,2,FALSE)</f>
        <v>3 - egyik sem</v>
      </c>
      <c r="O1770" t="str">
        <f>IFERROR(VLOOKUP(J1770,PAR!$O$3:$P$5,2,FALSE),"nincs feladat")</f>
        <v>nincs feladat</v>
      </c>
      <c r="P1770" t="str">
        <f>IFERROR(VLOOKUP(G1770,PAR!$J$2:$M$19,4),"nincs rovat")</f>
        <v>nincs rovat</v>
      </c>
      <c r="Q1770" t="str">
        <f>IF(H1770&gt;0,VLOOKUP(H1770,PAR!$AA$3:$AC$187,3,FALSE),"nincs főkönyvi számla")</f>
        <v>nincs főkönyvi számla</v>
      </c>
      <c r="R1770" t="str">
        <f>IFERROR(VLOOKUP(K1770,PAR!$V$3:$X$438,3,FALSE),"000000 - Nincs COFOG")</f>
        <v>000000 - Nincs COFOG</v>
      </c>
      <c r="S1770">
        <f t="shared" si="525"/>
        <v>0</v>
      </c>
      <c r="T1770">
        <f t="shared" si="526"/>
        <v>0</v>
      </c>
      <c r="U1770" t="str">
        <f>IF('906MP'!J1470&gt;0,CONCATENATE('906MP'!J1470," - ",'906MP'!P1470,", ",'906MP'!E1470),"nincs megjegyzés")</f>
        <v>nincs megjegyzés</v>
      </c>
      <c r="V1770" t="str">
        <f t="shared" si="513"/>
        <v>0P0</v>
      </c>
      <c r="W1770" t="str">
        <f t="shared" si="514"/>
        <v>0P0</v>
      </c>
      <c r="X1770" t="str">
        <f t="shared" si="515"/>
        <v>P0</v>
      </c>
      <c r="Y1770" t="str">
        <f t="shared" si="516"/>
        <v>00</v>
      </c>
      <c r="Z1770" t="str">
        <f t="shared" si="527"/>
        <v>00</v>
      </c>
      <c r="AA1770" t="str">
        <f t="shared" si="517"/>
        <v>00</v>
      </c>
      <c r="AB1770" t="str">
        <f t="shared" si="518"/>
        <v>00</v>
      </c>
      <c r="AC1770" t="str">
        <f t="shared" si="519"/>
        <v>0P0</v>
      </c>
      <c r="AD1770" t="str">
        <f t="shared" si="520"/>
        <v>P00</v>
      </c>
      <c r="AE1770" t="str">
        <f t="shared" si="521"/>
        <v>0P0</v>
      </c>
      <c r="AF1770" t="str">
        <f t="shared" si="522"/>
        <v>P00</v>
      </c>
      <c r="AG1770" t="str">
        <f t="shared" si="528"/>
        <v>0P00</v>
      </c>
      <c r="AH1770" t="str">
        <f t="shared" si="529"/>
        <v>P000</v>
      </c>
      <c r="AI1770" t="str">
        <f t="shared" si="530"/>
        <v>0P00</v>
      </c>
      <c r="AJ1770" t="str">
        <f t="shared" si="531"/>
        <v>P000</v>
      </c>
    </row>
    <row r="1771" spans="1:36" x14ac:dyDescent="0.25">
      <c r="A1771" s="325" t="str">
        <f>CONCATENATE("P",'906MP'!M1471)</f>
        <v>P</v>
      </c>
      <c r="B1771">
        <f>'906MP'!H1471</f>
        <v>0</v>
      </c>
      <c r="C1771">
        <f>'906MP'!J1471</f>
        <v>0</v>
      </c>
      <c r="D1771">
        <f>'906MP'!P1471</f>
        <v>0</v>
      </c>
      <c r="E1771">
        <f>'906MP'!X1471</f>
        <v>0</v>
      </c>
      <c r="F1771" t="str">
        <f t="shared" si="523"/>
        <v>0</v>
      </c>
      <c r="G1771" t="str">
        <f t="shared" si="524"/>
        <v>0</v>
      </c>
      <c r="H1771">
        <f>'906MP'!Y1471</f>
        <v>0</v>
      </c>
      <c r="I1771">
        <f>'906MP'!AK1471</f>
        <v>0</v>
      </c>
      <c r="J1771">
        <f>'906MP'!T1471</f>
        <v>0</v>
      </c>
      <c r="K1771">
        <f>'906MP'!AJ1471</f>
        <v>0</v>
      </c>
      <c r="L1771">
        <f>'906MP'!U1471</f>
        <v>0</v>
      </c>
      <c r="M1771" s="322" t="str">
        <f>IFERROR(VLOOKUP(A1771,PAR!$D$3:$E$53,2,FALSE),"nincs szervezet")</f>
        <v>nincs szervezet</v>
      </c>
      <c r="N1771" s="322" t="str">
        <f>VLOOKUP(F1771,PAR!$R$3:$S$5,2,FALSE)</f>
        <v>3 - egyik sem</v>
      </c>
      <c r="O1771" t="str">
        <f>IFERROR(VLOOKUP(J1771,PAR!$O$3:$P$5,2,FALSE),"nincs feladat")</f>
        <v>nincs feladat</v>
      </c>
      <c r="P1771" t="str">
        <f>IFERROR(VLOOKUP(G1771,PAR!$J$2:$M$19,4),"nincs rovat")</f>
        <v>nincs rovat</v>
      </c>
      <c r="Q1771" t="str">
        <f>IF(H1771&gt;0,VLOOKUP(H1771,PAR!$AA$3:$AC$187,3,FALSE),"nincs főkönyvi számla")</f>
        <v>nincs főkönyvi számla</v>
      </c>
      <c r="R1771" t="str">
        <f>IFERROR(VLOOKUP(K1771,PAR!$V$3:$X$438,3,FALSE),"000000 - Nincs COFOG")</f>
        <v>000000 - Nincs COFOG</v>
      </c>
      <c r="S1771">
        <f t="shared" si="525"/>
        <v>0</v>
      </c>
      <c r="T1771">
        <f t="shared" si="526"/>
        <v>0</v>
      </c>
      <c r="U1771" t="str">
        <f>IF('906MP'!J1471&gt;0,CONCATENATE('906MP'!J1471," - ",'906MP'!P1471,", ",'906MP'!E1471),"nincs megjegyzés")</f>
        <v>nincs megjegyzés</v>
      </c>
      <c r="V1771" t="str">
        <f t="shared" si="513"/>
        <v>0P0</v>
      </c>
      <c r="W1771" t="str">
        <f t="shared" si="514"/>
        <v>0P0</v>
      </c>
      <c r="X1771" t="str">
        <f t="shared" si="515"/>
        <v>P0</v>
      </c>
      <c r="Y1771" t="str">
        <f t="shared" si="516"/>
        <v>00</v>
      </c>
      <c r="Z1771" t="str">
        <f t="shared" si="527"/>
        <v>00</v>
      </c>
      <c r="AA1771" t="str">
        <f t="shared" si="517"/>
        <v>00</v>
      </c>
      <c r="AB1771" t="str">
        <f t="shared" si="518"/>
        <v>00</v>
      </c>
      <c r="AC1771" t="str">
        <f t="shared" si="519"/>
        <v>0P0</v>
      </c>
      <c r="AD1771" t="str">
        <f t="shared" si="520"/>
        <v>P00</v>
      </c>
      <c r="AE1771" t="str">
        <f t="shared" si="521"/>
        <v>0P0</v>
      </c>
      <c r="AF1771" t="str">
        <f t="shared" si="522"/>
        <v>P00</v>
      </c>
      <c r="AG1771" t="str">
        <f t="shared" si="528"/>
        <v>0P00</v>
      </c>
      <c r="AH1771" t="str">
        <f t="shared" si="529"/>
        <v>P000</v>
      </c>
      <c r="AI1771" t="str">
        <f t="shared" si="530"/>
        <v>0P00</v>
      </c>
      <c r="AJ1771" t="str">
        <f t="shared" si="531"/>
        <v>P000</v>
      </c>
    </row>
    <row r="1772" spans="1:36" x14ac:dyDescent="0.25">
      <c r="A1772" s="325" t="str">
        <f>CONCATENATE("P",'906MP'!M1472)</f>
        <v>P</v>
      </c>
      <c r="B1772">
        <f>'906MP'!H1472</f>
        <v>0</v>
      </c>
      <c r="C1772">
        <f>'906MP'!J1472</f>
        <v>0</v>
      </c>
      <c r="D1772">
        <f>'906MP'!P1472</f>
        <v>0</v>
      </c>
      <c r="E1772">
        <f>'906MP'!X1472</f>
        <v>0</v>
      </c>
      <c r="F1772" t="str">
        <f t="shared" si="523"/>
        <v>0</v>
      </c>
      <c r="G1772" t="str">
        <f t="shared" si="524"/>
        <v>0</v>
      </c>
      <c r="H1772">
        <f>'906MP'!Y1472</f>
        <v>0</v>
      </c>
      <c r="I1772">
        <f>'906MP'!AK1472</f>
        <v>0</v>
      </c>
      <c r="J1772">
        <f>'906MP'!T1472</f>
        <v>0</v>
      </c>
      <c r="K1772">
        <f>'906MP'!AJ1472</f>
        <v>0</v>
      </c>
      <c r="L1772">
        <f>'906MP'!U1472</f>
        <v>0</v>
      </c>
      <c r="M1772" s="322" t="str">
        <f>IFERROR(VLOOKUP(A1772,PAR!$D$3:$E$53,2,FALSE),"nincs szervezet")</f>
        <v>nincs szervezet</v>
      </c>
      <c r="N1772" s="322" t="str">
        <f>VLOOKUP(F1772,PAR!$R$3:$S$5,2,FALSE)</f>
        <v>3 - egyik sem</v>
      </c>
      <c r="O1772" t="str">
        <f>IFERROR(VLOOKUP(J1772,PAR!$O$3:$P$5,2,FALSE),"nincs feladat")</f>
        <v>nincs feladat</v>
      </c>
      <c r="P1772" t="str">
        <f>IFERROR(VLOOKUP(G1772,PAR!$J$2:$M$19,4),"nincs rovat")</f>
        <v>nincs rovat</v>
      </c>
      <c r="Q1772" t="str">
        <f>IF(H1772&gt;0,VLOOKUP(H1772,PAR!$AA$3:$AC$187,3,FALSE),"nincs főkönyvi számla")</f>
        <v>nincs főkönyvi számla</v>
      </c>
      <c r="R1772" t="str">
        <f>IFERROR(VLOOKUP(K1772,PAR!$V$3:$X$438,3,FALSE),"000000 - Nincs COFOG")</f>
        <v>000000 - Nincs COFOG</v>
      </c>
      <c r="S1772">
        <f t="shared" si="525"/>
        <v>0</v>
      </c>
      <c r="T1772">
        <f t="shared" si="526"/>
        <v>0</v>
      </c>
      <c r="U1772" t="str">
        <f>IF('906MP'!J1472&gt;0,CONCATENATE('906MP'!J1472," - ",'906MP'!P1472,", ",'906MP'!E1472),"nincs megjegyzés")</f>
        <v>nincs megjegyzés</v>
      </c>
      <c r="V1772" t="str">
        <f t="shared" si="513"/>
        <v>0P0</v>
      </c>
      <c r="W1772" t="str">
        <f t="shared" si="514"/>
        <v>0P0</v>
      </c>
      <c r="X1772" t="str">
        <f t="shared" si="515"/>
        <v>P0</v>
      </c>
      <c r="Y1772" t="str">
        <f t="shared" si="516"/>
        <v>00</v>
      </c>
      <c r="Z1772" t="str">
        <f t="shared" si="527"/>
        <v>00</v>
      </c>
      <c r="AA1772" t="str">
        <f t="shared" si="517"/>
        <v>00</v>
      </c>
      <c r="AB1772" t="str">
        <f t="shared" si="518"/>
        <v>00</v>
      </c>
      <c r="AC1772" t="str">
        <f t="shared" si="519"/>
        <v>0P0</v>
      </c>
      <c r="AD1772" t="str">
        <f t="shared" si="520"/>
        <v>P00</v>
      </c>
      <c r="AE1772" t="str">
        <f t="shared" si="521"/>
        <v>0P0</v>
      </c>
      <c r="AF1772" t="str">
        <f t="shared" si="522"/>
        <v>P00</v>
      </c>
      <c r="AG1772" t="str">
        <f t="shared" si="528"/>
        <v>0P00</v>
      </c>
      <c r="AH1772" t="str">
        <f t="shared" si="529"/>
        <v>P000</v>
      </c>
      <c r="AI1772" t="str">
        <f t="shared" si="530"/>
        <v>0P00</v>
      </c>
      <c r="AJ1772" t="str">
        <f t="shared" si="531"/>
        <v>P000</v>
      </c>
    </row>
    <row r="1773" spans="1:36" x14ac:dyDescent="0.25">
      <c r="A1773" s="325" t="str">
        <f>CONCATENATE("P",'906MP'!M1473)</f>
        <v>P</v>
      </c>
      <c r="B1773">
        <f>'906MP'!H1473</f>
        <v>0</v>
      </c>
      <c r="C1773">
        <f>'906MP'!J1473</f>
        <v>0</v>
      </c>
      <c r="D1773">
        <f>'906MP'!P1473</f>
        <v>0</v>
      </c>
      <c r="E1773">
        <f>'906MP'!X1473</f>
        <v>0</v>
      </c>
      <c r="F1773" t="str">
        <f t="shared" si="523"/>
        <v>0</v>
      </c>
      <c r="G1773" t="str">
        <f t="shared" si="524"/>
        <v>0</v>
      </c>
      <c r="H1773">
        <f>'906MP'!Y1473</f>
        <v>0</v>
      </c>
      <c r="I1773">
        <f>'906MP'!AK1473</f>
        <v>0</v>
      </c>
      <c r="J1773">
        <f>'906MP'!T1473</f>
        <v>0</v>
      </c>
      <c r="K1773">
        <f>'906MP'!AJ1473</f>
        <v>0</v>
      </c>
      <c r="L1773">
        <f>'906MP'!U1473</f>
        <v>0</v>
      </c>
      <c r="M1773" s="322" t="str">
        <f>IFERROR(VLOOKUP(A1773,PAR!$D$3:$E$53,2,FALSE),"nincs szervezet")</f>
        <v>nincs szervezet</v>
      </c>
      <c r="N1773" s="322" t="str">
        <f>VLOOKUP(F1773,PAR!$R$3:$S$5,2,FALSE)</f>
        <v>3 - egyik sem</v>
      </c>
      <c r="O1773" t="str">
        <f>IFERROR(VLOOKUP(J1773,PAR!$O$3:$P$5,2,FALSE),"nincs feladat")</f>
        <v>nincs feladat</v>
      </c>
      <c r="P1773" t="str">
        <f>IFERROR(VLOOKUP(G1773,PAR!$J$2:$M$19,4),"nincs rovat")</f>
        <v>nincs rovat</v>
      </c>
      <c r="Q1773" t="str">
        <f>IF(H1773&gt;0,VLOOKUP(H1773,PAR!$AA$3:$AC$187,3,FALSE),"nincs főkönyvi számla")</f>
        <v>nincs főkönyvi számla</v>
      </c>
      <c r="R1773" t="str">
        <f>IFERROR(VLOOKUP(K1773,PAR!$V$3:$X$438,3,FALSE),"000000 - Nincs COFOG")</f>
        <v>000000 - Nincs COFOG</v>
      </c>
      <c r="S1773">
        <f t="shared" si="525"/>
        <v>0</v>
      </c>
      <c r="T1773">
        <f t="shared" si="526"/>
        <v>0</v>
      </c>
      <c r="U1773" t="str">
        <f>IF('906MP'!J1473&gt;0,CONCATENATE('906MP'!J1473," - ",'906MP'!P1473,", ",'906MP'!E1473),"nincs megjegyzés")</f>
        <v>nincs megjegyzés</v>
      </c>
      <c r="V1773" t="str">
        <f t="shared" si="513"/>
        <v>0P0</v>
      </c>
      <c r="W1773" t="str">
        <f t="shared" si="514"/>
        <v>0P0</v>
      </c>
      <c r="X1773" t="str">
        <f t="shared" si="515"/>
        <v>P0</v>
      </c>
      <c r="Y1773" t="str">
        <f t="shared" si="516"/>
        <v>00</v>
      </c>
      <c r="Z1773" t="str">
        <f t="shared" si="527"/>
        <v>00</v>
      </c>
      <c r="AA1773" t="str">
        <f t="shared" si="517"/>
        <v>00</v>
      </c>
      <c r="AB1773" t="str">
        <f t="shared" si="518"/>
        <v>00</v>
      </c>
      <c r="AC1773" t="str">
        <f t="shared" si="519"/>
        <v>0P0</v>
      </c>
      <c r="AD1773" t="str">
        <f t="shared" si="520"/>
        <v>P00</v>
      </c>
      <c r="AE1773" t="str">
        <f t="shared" si="521"/>
        <v>0P0</v>
      </c>
      <c r="AF1773" t="str">
        <f t="shared" si="522"/>
        <v>P00</v>
      </c>
      <c r="AG1773" t="str">
        <f t="shared" si="528"/>
        <v>0P00</v>
      </c>
      <c r="AH1773" t="str">
        <f t="shared" si="529"/>
        <v>P000</v>
      </c>
      <c r="AI1773" t="str">
        <f t="shared" si="530"/>
        <v>0P00</v>
      </c>
      <c r="AJ1773" t="str">
        <f t="shared" si="531"/>
        <v>P000</v>
      </c>
    </row>
    <row r="1774" spans="1:36" x14ac:dyDescent="0.25">
      <c r="A1774" s="325" t="str">
        <f>CONCATENATE("P",'906MP'!M1474)</f>
        <v>P</v>
      </c>
      <c r="B1774">
        <f>'906MP'!H1474</f>
        <v>0</v>
      </c>
      <c r="C1774">
        <f>'906MP'!J1474</f>
        <v>0</v>
      </c>
      <c r="D1774">
        <f>'906MP'!P1474</f>
        <v>0</v>
      </c>
      <c r="E1774">
        <f>'906MP'!X1474</f>
        <v>0</v>
      </c>
      <c r="F1774" t="str">
        <f t="shared" si="523"/>
        <v>0</v>
      </c>
      <c r="G1774" t="str">
        <f t="shared" si="524"/>
        <v>0</v>
      </c>
      <c r="H1774">
        <f>'906MP'!Y1474</f>
        <v>0</v>
      </c>
      <c r="I1774">
        <f>'906MP'!AK1474</f>
        <v>0</v>
      </c>
      <c r="J1774">
        <f>'906MP'!T1474</f>
        <v>0</v>
      </c>
      <c r="K1774">
        <f>'906MP'!AJ1474</f>
        <v>0</v>
      </c>
      <c r="L1774">
        <f>'906MP'!U1474</f>
        <v>0</v>
      </c>
      <c r="M1774" s="322" t="str">
        <f>IFERROR(VLOOKUP(A1774,PAR!$D$3:$E$53,2,FALSE),"nincs szervezet")</f>
        <v>nincs szervezet</v>
      </c>
      <c r="N1774" s="322" t="str">
        <f>VLOOKUP(F1774,PAR!$R$3:$S$5,2,FALSE)</f>
        <v>3 - egyik sem</v>
      </c>
      <c r="O1774" t="str">
        <f>IFERROR(VLOOKUP(J1774,PAR!$O$3:$P$5,2,FALSE),"nincs feladat")</f>
        <v>nincs feladat</v>
      </c>
      <c r="P1774" t="str">
        <f>IFERROR(VLOOKUP(G1774,PAR!$J$2:$M$19,4),"nincs rovat")</f>
        <v>nincs rovat</v>
      </c>
      <c r="Q1774" t="str">
        <f>IF(H1774&gt;0,VLOOKUP(H1774,PAR!$AA$3:$AC$187,3,FALSE),"nincs főkönyvi számla")</f>
        <v>nincs főkönyvi számla</v>
      </c>
      <c r="R1774" t="str">
        <f>IFERROR(VLOOKUP(K1774,PAR!$V$3:$X$438,3,FALSE),"000000 - Nincs COFOG")</f>
        <v>000000 - Nincs COFOG</v>
      </c>
      <c r="S1774">
        <f t="shared" si="525"/>
        <v>0</v>
      </c>
      <c r="T1774">
        <f t="shared" si="526"/>
        <v>0</v>
      </c>
      <c r="U1774" t="str">
        <f>IF('906MP'!J1474&gt;0,CONCATENATE('906MP'!J1474," - ",'906MP'!P1474,", ",'906MP'!E1474),"nincs megjegyzés")</f>
        <v>nincs megjegyzés</v>
      </c>
      <c r="V1774" t="str">
        <f t="shared" si="513"/>
        <v>0P0</v>
      </c>
      <c r="W1774" t="str">
        <f t="shared" si="514"/>
        <v>0P0</v>
      </c>
      <c r="X1774" t="str">
        <f t="shared" si="515"/>
        <v>P0</v>
      </c>
      <c r="Y1774" t="str">
        <f t="shared" si="516"/>
        <v>00</v>
      </c>
      <c r="Z1774" t="str">
        <f t="shared" si="527"/>
        <v>00</v>
      </c>
      <c r="AA1774" t="str">
        <f t="shared" si="517"/>
        <v>00</v>
      </c>
      <c r="AB1774" t="str">
        <f t="shared" si="518"/>
        <v>00</v>
      </c>
      <c r="AC1774" t="str">
        <f t="shared" si="519"/>
        <v>0P0</v>
      </c>
      <c r="AD1774" t="str">
        <f t="shared" si="520"/>
        <v>P00</v>
      </c>
      <c r="AE1774" t="str">
        <f t="shared" si="521"/>
        <v>0P0</v>
      </c>
      <c r="AF1774" t="str">
        <f t="shared" si="522"/>
        <v>P00</v>
      </c>
      <c r="AG1774" t="str">
        <f t="shared" si="528"/>
        <v>0P00</v>
      </c>
      <c r="AH1774" t="str">
        <f t="shared" si="529"/>
        <v>P000</v>
      </c>
      <c r="AI1774" t="str">
        <f t="shared" si="530"/>
        <v>0P00</v>
      </c>
      <c r="AJ1774" t="str">
        <f t="shared" si="531"/>
        <v>P000</v>
      </c>
    </row>
    <row r="1775" spans="1:36" x14ac:dyDescent="0.25">
      <c r="A1775" s="325" t="str">
        <f>CONCATENATE("P",'906MP'!M1475)</f>
        <v>P</v>
      </c>
      <c r="B1775">
        <f>'906MP'!H1475</f>
        <v>0</v>
      </c>
      <c r="C1775">
        <f>'906MP'!J1475</f>
        <v>0</v>
      </c>
      <c r="D1775">
        <f>'906MP'!P1475</f>
        <v>0</v>
      </c>
      <c r="E1775">
        <f>'906MP'!X1475</f>
        <v>0</v>
      </c>
      <c r="F1775" t="str">
        <f t="shared" si="523"/>
        <v>0</v>
      </c>
      <c r="G1775" t="str">
        <f t="shared" si="524"/>
        <v>0</v>
      </c>
      <c r="H1775">
        <f>'906MP'!Y1475</f>
        <v>0</v>
      </c>
      <c r="I1775">
        <f>'906MP'!AK1475</f>
        <v>0</v>
      </c>
      <c r="J1775">
        <f>'906MP'!T1475</f>
        <v>0</v>
      </c>
      <c r="K1775">
        <f>'906MP'!AJ1475</f>
        <v>0</v>
      </c>
      <c r="L1775">
        <f>'906MP'!U1475</f>
        <v>0</v>
      </c>
      <c r="M1775" s="322" t="str">
        <f>IFERROR(VLOOKUP(A1775,PAR!$D$3:$E$53,2,FALSE),"nincs szervezet")</f>
        <v>nincs szervezet</v>
      </c>
      <c r="N1775" s="322" t="str">
        <f>VLOOKUP(F1775,PAR!$R$3:$S$5,2,FALSE)</f>
        <v>3 - egyik sem</v>
      </c>
      <c r="O1775" t="str">
        <f>IFERROR(VLOOKUP(J1775,PAR!$O$3:$P$5,2,FALSE),"nincs feladat")</f>
        <v>nincs feladat</v>
      </c>
      <c r="P1775" t="str">
        <f>IFERROR(VLOOKUP(G1775,PAR!$J$2:$M$19,4),"nincs rovat")</f>
        <v>nincs rovat</v>
      </c>
      <c r="Q1775" t="str">
        <f>IF(H1775&gt;0,VLOOKUP(H1775,PAR!$AA$3:$AC$187,3,FALSE),"nincs főkönyvi számla")</f>
        <v>nincs főkönyvi számla</v>
      </c>
      <c r="R1775" t="str">
        <f>IFERROR(VLOOKUP(K1775,PAR!$V$3:$X$438,3,FALSE),"000000 - Nincs COFOG")</f>
        <v>000000 - Nincs COFOG</v>
      </c>
      <c r="S1775">
        <f t="shared" si="525"/>
        <v>0</v>
      </c>
      <c r="T1775">
        <f t="shared" si="526"/>
        <v>0</v>
      </c>
      <c r="U1775" t="str">
        <f>IF('906MP'!J1475&gt;0,CONCATENATE('906MP'!J1475," - ",'906MP'!P1475,", ",'906MP'!E1475),"nincs megjegyzés")</f>
        <v>nincs megjegyzés</v>
      </c>
      <c r="V1775" t="str">
        <f t="shared" si="513"/>
        <v>0P0</v>
      </c>
      <c r="W1775" t="str">
        <f t="shared" si="514"/>
        <v>0P0</v>
      </c>
      <c r="X1775" t="str">
        <f t="shared" si="515"/>
        <v>P0</v>
      </c>
      <c r="Y1775" t="str">
        <f t="shared" si="516"/>
        <v>00</v>
      </c>
      <c r="Z1775" t="str">
        <f t="shared" si="527"/>
        <v>00</v>
      </c>
      <c r="AA1775" t="str">
        <f t="shared" si="517"/>
        <v>00</v>
      </c>
      <c r="AB1775" t="str">
        <f t="shared" si="518"/>
        <v>00</v>
      </c>
      <c r="AC1775" t="str">
        <f t="shared" si="519"/>
        <v>0P0</v>
      </c>
      <c r="AD1775" t="str">
        <f t="shared" si="520"/>
        <v>P00</v>
      </c>
      <c r="AE1775" t="str">
        <f t="shared" si="521"/>
        <v>0P0</v>
      </c>
      <c r="AF1775" t="str">
        <f t="shared" si="522"/>
        <v>P00</v>
      </c>
      <c r="AG1775" t="str">
        <f t="shared" si="528"/>
        <v>0P00</v>
      </c>
      <c r="AH1775" t="str">
        <f t="shared" si="529"/>
        <v>P000</v>
      </c>
      <c r="AI1775" t="str">
        <f t="shared" si="530"/>
        <v>0P00</v>
      </c>
      <c r="AJ1775" t="str">
        <f t="shared" si="531"/>
        <v>P000</v>
      </c>
    </row>
    <row r="1776" spans="1:36" x14ac:dyDescent="0.25">
      <c r="A1776" s="325" t="str">
        <f>CONCATENATE("P",'906MP'!M1476)</f>
        <v>P</v>
      </c>
      <c r="B1776">
        <f>'906MP'!H1476</f>
        <v>0</v>
      </c>
      <c r="C1776">
        <f>'906MP'!J1476</f>
        <v>0</v>
      </c>
      <c r="D1776">
        <f>'906MP'!P1476</f>
        <v>0</v>
      </c>
      <c r="E1776">
        <f>'906MP'!X1476</f>
        <v>0</v>
      </c>
      <c r="F1776" t="str">
        <f t="shared" si="523"/>
        <v>0</v>
      </c>
      <c r="G1776" t="str">
        <f t="shared" si="524"/>
        <v>0</v>
      </c>
      <c r="H1776">
        <f>'906MP'!Y1476</f>
        <v>0</v>
      </c>
      <c r="I1776">
        <f>'906MP'!AK1476</f>
        <v>0</v>
      </c>
      <c r="J1776">
        <f>'906MP'!T1476</f>
        <v>0</v>
      </c>
      <c r="K1776">
        <f>'906MP'!AJ1476</f>
        <v>0</v>
      </c>
      <c r="L1776">
        <f>'906MP'!U1476</f>
        <v>0</v>
      </c>
      <c r="M1776" s="322" t="str">
        <f>IFERROR(VLOOKUP(A1776,PAR!$D$3:$E$53,2,FALSE),"nincs szervezet")</f>
        <v>nincs szervezet</v>
      </c>
      <c r="N1776" s="322" t="str">
        <f>VLOOKUP(F1776,PAR!$R$3:$S$5,2,FALSE)</f>
        <v>3 - egyik sem</v>
      </c>
      <c r="O1776" t="str">
        <f>IFERROR(VLOOKUP(J1776,PAR!$O$3:$P$5,2,FALSE),"nincs feladat")</f>
        <v>nincs feladat</v>
      </c>
      <c r="P1776" t="str">
        <f>IFERROR(VLOOKUP(G1776,PAR!$J$2:$M$19,4),"nincs rovat")</f>
        <v>nincs rovat</v>
      </c>
      <c r="Q1776" t="str">
        <f>IF(H1776&gt;0,VLOOKUP(H1776,PAR!$AA$3:$AC$187,3,FALSE),"nincs főkönyvi számla")</f>
        <v>nincs főkönyvi számla</v>
      </c>
      <c r="R1776" t="str">
        <f>IFERROR(VLOOKUP(K1776,PAR!$V$3:$X$438,3,FALSE),"000000 - Nincs COFOG")</f>
        <v>000000 - Nincs COFOG</v>
      </c>
      <c r="S1776">
        <f t="shared" si="525"/>
        <v>0</v>
      </c>
      <c r="T1776">
        <f t="shared" si="526"/>
        <v>0</v>
      </c>
      <c r="U1776" t="str">
        <f>IF('906MP'!J1476&gt;0,CONCATENATE('906MP'!J1476," - ",'906MP'!P1476,", ",'906MP'!E1476),"nincs megjegyzés")</f>
        <v>nincs megjegyzés</v>
      </c>
      <c r="V1776" t="str">
        <f t="shared" si="513"/>
        <v>0P0</v>
      </c>
      <c r="W1776" t="str">
        <f t="shared" si="514"/>
        <v>0P0</v>
      </c>
      <c r="X1776" t="str">
        <f t="shared" si="515"/>
        <v>P0</v>
      </c>
      <c r="Y1776" t="str">
        <f t="shared" si="516"/>
        <v>00</v>
      </c>
      <c r="Z1776" t="str">
        <f t="shared" si="527"/>
        <v>00</v>
      </c>
      <c r="AA1776" t="str">
        <f t="shared" si="517"/>
        <v>00</v>
      </c>
      <c r="AB1776" t="str">
        <f t="shared" si="518"/>
        <v>00</v>
      </c>
      <c r="AC1776" t="str">
        <f t="shared" si="519"/>
        <v>0P0</v>
      </c>
      <c r="AD1776" t="str">
        <f t="shared" si="520"/>
        <v>P00</v>
      </c>
      <c r="AE1776" t="str">
        <f t="shared" si="521"/>
        <v>0P0</v>
      </c>
      <c r="AF1776" t="str">
        <f t="shared" si="522"/>
        <v>P00</v>
      </c>
      <c r="AG1776" t="str">
        <f t="shared" si="528"/>
        <v>0P00</v>
      </c>
      <c r="AH1776" t="str">
        <f t="shared" si="529"/>
        <v>P000</v>
      </c>
      <c r="AI1776" t="str">
        <f t="shared" si="530"/>
        <v>0P00</v>
      </c>
      <c r="AJ1776" t="str">
        <f t="shared" si="531"/>
        <v>P000</v>
      </c>
    </row>
    <row r="1777" spans="1:36" x14ac:dyDescent="0.25">
      <c r="A1777" s="325" t="str">
        <f>CONCATENATE("P",'906MP'!M1477)</f>
        <v>P</v>
      </c>
      <c r="B1777">
        <f>'906MP'!H1477</f>
        <v>0</v>
      </c>
      <c r="C1777">
        <f>'906MP'!J1477</f>
        <v>0</v>
      </c>
      <c r="D1777">
        <f>'906MP'!P1477</f>
        <v>0</v>
      </c>
      <c r="E1777">
        <f>'906MP'!X1477</f>
        <v>0</v>
      </c>
      <c r="F1777" t="str">
        <f t="shared" si="523"/>
        <v>0</v>
      </c>
      <c r="G1777" t="str">
        <f t="shared" si="524"/>
        <v>0</v>
      </c>
      <c r="H1777">
        <f>'906MP'!Y1477</f>
        <v>0</v>
      </c>
      <c r="I1777">
        <f>'906MP'!AK1477</f>
        <v>0</v>
      </c>
      <c r="J1777">
        <f>'906MP'!T1477</f>
        <v>0</v>
      </c>
      <c r="K1777">
        <f>'906MP'!AJ1477</f>
        <v>0</v>
      </c>
      <c r="L1777">
        <f>'906MP'!U1477</f>
        <v>0</v>
      </c>
      <c r="M1777" s="322" t="str">
        <f>IFERROR(VLOOKUP(A1777,PAR!$D$3:$E$53,2,FALSE),"nincs szervezet")</f>
        <v>nincs szervezet</v>
      </c>
      <c r="N1777" s="322" t="str">
        <f>VLOOKUP(F1777,PAR!$R$3:$S$5,2,FALSE)</f>
        <v>3 - egyik sem</v>
      </c>
      <c r="O1777" t="str">
        <f>IFERROR(VLOOKUP(J1777,PAR!$O$3:$P$5,2,FALSE),"nincs feladat")</f>
        <v>nincs feladat</v>
      </c>
      <c r="P1777" t="str">
        <f>IFERROR(VLOOKUP(G1777,PAR!$J$2:$M$19,4),"nincs rovat")</f>
        <v>nincs rovat</v>
      </c>
      <c r="Q1777" t="str">
        <f>IF(H1777&gt;0,VLOOKUP(H1777,PAR!$AA$3:$AC$187,3,FALSE),"nincs főkönyvi számla")</f>
        <v>nincs főkönyvi számla</v>
      </c>
      <c r="R1777" t="str">
        <f>IFERROR(VLOOKUP(K1777,PAR!$V$3:$X$438,3,FALSE),"000000 - Nincs COFOG")</f>
        <v>000000 - Nincs COFOG</v>
      </c>
      <c r="S1777">
        <f t="shared" si="525"/>
        <v>0</v>
      </c>
      <c r="T1777">
        <f t="shared" si="526"/>
        <v>0</v>
      </c>
      <c r="U1777" t="str">
        <f>IF('906MP'!J1477&gt;0,CONCATENATE('906MP'!J1477," - ",'906MP'!P1477,", ",'906MP'!E1477),"nincs megjegyzés")</f>
        <v>nincs megjegyzés</v>
      </c>
      <c r="V1777" t="str">
        <f t="shared" si="513"/>
        <v>0P0</v>
      </c>
      <c r="W1777" t="str">
        <f t="shared" si="514"/>
        <v>0P0</v>
      </c>
      <c r="X1777" t="str">
        <f t="shared" si="515"/>
        <v>P0</v>
      </c>
      <c r="Y1777" t="str">
        <f t="shared" si="516"/>
        <v>00</v>
      </c>
      <c r="Z1777" t="str">
        <f t="shared" si="527"/>
        <v>00</v>
      </c>
      <c r="AA1777" t="str">
        <f t="shared" si="517"/>
        <v>00</v>
      </c>
      <c r="AB1777" t="str">
        <f t="shared" si="518"/>
        <v>00</v>
      </c>
      <c r="AC1777" t="str">
        <f t="shared" si="519"/>
        <v>0P0</v>
      </c>
      <c r="AD1777" t="str">
        <f t="shared" si="520"/>
        <v>P00</v>
      </c>
      <c r="AE1777" t="str">
        <f t="shared" si="521"/>
        <v>0P0</v>
      </c>
      <c r="AF1777" t="str">
        <f t="shared" si="522"/>
        <v>P00</v>
      </c>
      <c r="AG1777" t="str">
        <f t="shared" si="528"/>
        <v>0P00</v>
      </c>
      <c r="AH1777" t="str">
        <f t="shared" si="529"/>
        <v>P000</v>
      </c>
      <c r="AI1777" t="str">
        <f t="shared" si="530"/>
        <v>0P00</v>
      </c>
      <c r="AJ1777" t="str">
        <f t="shared" si="531"/>
        <v>P000</v>
      </c>
    </row>
    <row r="1778" spans="1:36" x14ac:dyDescent="0.25">
      <c r="A1778" s="325" t="str">
        <f>CONCATENATE("P",'906MP'!M1478)</f>
        <v>P</v>
      </c>
      <c r="B1778">
        <f>'906MP'!H1478</f>
        <v>0</v>
      </c>
      <c r="C1778">
        <f>'906MP'!J1478</f>
        <v>0</v>
      </c>
      <c r="D1778">
        <f>'906MP'!P1478</f>
        <v>0</v>
      </c>
      <c r="E1778">
        <f>'906MP'!X1478</f>
        <v>0</v>
      </c>
      <c r="F1778" t="str">
        <f t="shared" si="523"/>
        <v>0</v>
      </c>
      <c r="G1778" t="str">
        <f t="shared" si="524"/>
        <v>0</v>
      </c>
      <c r="H1778">
        <f>'906MP'!Y1478</f>
        <v>0</v>
      </c>
      <c r="I1778">
        <f>'906MP'!AK1478</f>
        <v>0</v>
      </c>
      <c r="J1778">
        <f>'906MP'!T1478</f>
        <v>0</v>
      </c>
      <c r="K1778">
        <f>'906MP'!AJ1478</f>
        <v>0</v>
      </c>
      <c r="L1778">
        <f>'906MP'!U1478</f>
        <v>0</v>
      </c>
      <c r="M1778" s="322" t="str">
        <f>IFERROR(VLOOKUP(A1778,PAR!$D$3:$E$53,2,FALSE),"nincs szervezet")</f>
        <v>nincs szervezet</v>
      </c>
      <c r="N1778" s="322" t="str">
        <f>VLOOKUP(F1778,PAR!$R$3:$S$5,2,FALSE)</f>
        <v>3 - egyik sem</v>
      </c>
      <c r="O1778" t="str">
        <f>IFERROR(VLOOKUP(J1778,PAR!$O$3:$P$5,2,FALSE),"nincs feladat")</f>
        <v>nincs feladat</v>
      </c>
      <c r="P1778" t="str">
        <f>IFERROR(VLOOKUP(G1778,PAR!$J$2:$M$19,4),"nincs rovat")</f>
        <v>nincs rovat</v>
      </c>
      <c r="Q1778" t="str">
        <f>IF(H1778&gt;0,VLOOKUP(H1778,PAR!$AA$3:$AC$187,3,FALSE),"nincs főkönyvi számla")</f>
        <v>nincs főkönyvi számla</v>
      </c>
      <c r="R1778" t="str">
        <f>IFERROR(VLOOKUP(K1778,PAR!$V$3:$X$438,3,FALSE),"000000 - Nincs COFOG")</f>
        <v>000000 - Nincs COFOG</v>
      </c>
      <c r="S1778">
        <f t="shared" si="525"/>
        <v>0</v>
      </c>
      <c r="T1778">
        <f t="shared" si="526"/>
        <v>0</v>
      </c>
      <c r="U1778" t="str">
        <f>IF('906MP'!J1478&gt;0,CONCATENATE('906MP'!J1478," - ",'906MP'!P1478,", ",'906MP'!E1478),"nincs megjegyzés")</f>
        <v>nincs megjegyzés</v>
      </c>
      <c r="V1778" t="str">
        <f t="shared" si="513"/>
        <v>0P0</v>
      </c>
      <c r="W1778" t="str">
        <f t="shared" si="514"/>
        <v>0P0</v>
      </c>
      <c r="X1778" t="str">
        <f t="shared" si="515"/>
        <v>P0</v>
      </c>
      <c r="Y1778" t="str">
        <f t="shared" si="516"/>
        <v>00</v>
      </c>
      <c r="Z1778" t="str">
        <f t="shared" si="527"/>
        <v>00</v>
      </c>
      <c r="AA1778" t="str">
        <f t="shared" si="517"/>
        <v>00</v>
      </c>
      <c r="AB1778" t="str">
        <f t="shared" si="518"/>
        <v>00</v>
      </c>
      <c r="AC1778" t="str">
        <f t="shared" si="519"/>
        <v>0P0</v>
      </c>
      <c r="AD1778" t="str">
        <f t="shared" si="520"/>
        <v>P00</v>
      </c>
      <c r="AE1778" t="str">
        <f t="shared" si="521"/>
        <v>0P0</v>
      </c>
      <c r="AF1778" t="str">
        <f t="shared" si="522"/>
        <v>P00</v>
      </c>
      <c r="AG1778" t="str">
        <f t="shared" si="528"/>
        <v>0P00</v>
      </c>
      <c r="AH1778" t="str">
        <f t="shared" si="529"/>
        <v>P000</v>
      </c>
      <c r="AI1778" t="str">
        <f t="shared" si="530"/>
        <v>0P00</v>
      </c>
      <c r="AJ1778" t="str">
        <f t="shared" si="531"/>
        <v>P000</v>
      </c>
    </row>
    <row r="1779" spans="1:36" x14ac:dyDescent="0.25">
      <c r="A1779" s="325" t="str">
        <f>CONCATENATE("P",'906MP'!M1479)</f>
        <v>P</v>
      </c>
      <c r="B1779">
        <f>'906MP'!H1479</f>
        <v>0</v>
      </c>
      <c r="C1779">
        <f>'906MP'!J1479</f>
        <v>0</v>
      </c>
      <c r="D1779">
        <f>'906MP'!P1479</f>
        <v>0</v>
      </c>
      <c r="E1779">
        <f>'906MP'!X1479</f>
        <v>0</v>
      </c>
      <c r="F1779" t="str">
        <f t="shared" si="523"/>
        <v>0</v>
      </c>
      <c r="G1779" t="str">
        <f t="shared" si="524"/>
        <v>0</v>
      </c>
      <c r="H1779">
        <f>'906MP'!Y1479</f>
        <v>0</v>
      </c>
      <c r="I1779">
        <f>'906MP'!AK1479</f>
        <v>0</v>
      </c>
      <c r="J1779">
        <f>'906MP'!T1479</f>
        <v>0</v>
      </c>
      <c r="K1779">
        <f>'906MP'!AJ1479</f>
        <v>0</v>
      </c>
      <c r="L1779">
        <f>'906MP'!U1479</f>
        <v>0</v>
      </c>
      <c r="M1779" s="322" t="str">
        <f>IFERROR(VLOOKUP(A1779,PAR!$D$3:$E$53,2,FALSE),"nincs szervezet")</f>
        <v>nincs szervezet</v>
      </c>
      <c r="N1779" s="322" t="str">
        <f>VLOOKUP(F1779,PAR!$R$3:$S$5,2,FALSE)</f>
        <v>3 - egyik sem</v>
      </c>
      <c r="O1779" t="str">
        <f>IFERROR(VLOOKUP(J1779,PAR!$O$3:$P$5,2,FALSE),"nincs feladat")</f>
        <v>nincs feladat</v>
      </c>
      <c r="P1779" t="str">
        <f>IFERROR(VLOOKUP(G1779,PAR!$J$2:$M$19,4),"nincs rovat")</f>
        <v>nincs rovat</v>
      </c>
      <c r="Q1779" t="str">
        <f>IF(H1779&gt;0,VLOOKUP(H1779,PAR!$AA$3:$AC$187,3,FALSE),"nincs főkönyvi számla")</f>
        <v>nincs főkönyvi számla</v>
      </c>
      <c r="R1779" t="str">
        <f>IFERROR(VLOOKUP(K1779,PAR!$V$3:$X$438,3,FALSE),"000000 - Nincs COFOG")</f>
        <v>000000 - Nincs COFOG</v>
      </c>
      <c r="S1779">
        <f t="shared" si="525"/>
        <v>0</v>
      </c>
      <c r="T1779">
        <f t="shared" si="526"/>
        <v>0</v>
      </c>
      <c r="U1779" t="str">
        <f>IF('906MP'!J1479&gt;0,CONCATENATE('906MP'!J1479," - ",'906MP'!P1479,", ",'906MP'!E1479),"nincs megjegyzés")</f>
        <v>nincs megjegyzés</v>
      </c>
      <c r="V1779" t="str">
        <f t="shared" si="513"/>
        <v>0P0</v>
      </c>
      <c r="W1779" t="str">
        <f t="shared" si="514"/>
        <v>0P0</v>
      </c>
      <c r="X1779" t="str">
        <f t="shared" si="515"/>
        <v>P0</v>
      </c>
      <c r="Y1779" t="str">
        <f t="shared" si="516"/>
        <v>00</v>
      </c>
      <c r="Z1779" t="str">
        <f t="shared" si="527"/>
        <v>00</v>
      </c>
      <c r="AA1779" t="str">
        <f t="shared" si="517"/>
        <v>00</v>
      </c>
      <c r="AB1779" t="str">
        <f t="shared" si="518"/>
        <v>00</v>
      </c>
      <c r="AC1779" t="str">
        <f t="shared" si="519"/>
        <v>0P0</v>
      </c>
      <c r="AD1779" t="str">
        <f t="shared" si="520"/>
        <v>P00</v>
      </c>
      <c r="AE1779" t="str">
        <f t="shared" si="521"/>
        <v>0P0</v>
      </c>
      <c r="AF1779" t="str">
        <f t="shared" si="522"/>
        <v>P00</v>
      </c>
      <c r="AG1779" t="str">
        <f t="shared" si="528"/>
        <v>0P00</v>
      </c>
      <c r="AH1779" t="str">
        <f t="shared" si="529"/>
        <v>P000</v>
      </c>
      <c r="AI1779" t="str">
        <f t="shared" si="530"/>
        <v>0P00</v>
      </c>
      <c r="AJ1779" t="str">
        <f t="shared" si="531"/>
        <v>P000</v>
      </c>
    </row>
    <row r="1780" spans="1:36" x14ac:dyDescent="0.25">
      <c r="A1780" s="325" t="str">
        <f>CONCATENATE("P",'906MP'!M1480)</f>
        <v>P</v>
      </c>
      <c r="B1780">
        <f>'906MP'!H1480</f>
        <v>0</v>
      </c>
      <c r="C1780">
        <f>'906MP'!J1480</f>
        <v>0</v>
      </c>
      <c r="D1780">
        <f>'906MP'!P1480</f>
        <v>0</v>
      </c>
      <c r="E1780">
        <f>'906MP'!X1480</f>
        <v>0</v>
      </c>
      <c r="F1780" t="str">
        <f t="shared" si="523"/>
        <v>0</v>
      </c>
      <c r="G1780" t="str">
        <f t="shared" si="524"/>
        <v>0</v>
      </c>
      <c r="H1780">
        <f>'906MP'!Y1480</f>
        <v>0</v>
      </c>
      <c r="I1780">
        <f>'906MP'!AK1480</f>
        <v>0</v>
      </c>
      <c r="J1780">
        <f>'906MP'!T1480</f>
        <v>0</v>
      </c>
      <c r="K1780">
        <f>'906MP'!AJ1480</f>
        <v>0</v>
      </c>
      <c r="L1780">
        <f>'906MP'!U1480</f>
        <v>0</v>
      </c>
      <c r="M1780" s="322" t="str">
        <f>IFERROR(VLOOKUP(A1780,PAR!$D$3:$E$53,2,FALSE),"nincs szervezet")</f>
        <v>nincs szervezet</v>
      </c>
      <c r="N1780" s="322" t="str">
        <f>VLOOKUP(F1780,PAR!$R$3:$S$5,2,FALSE)</f>
        <v>3 - egyik sem</v>
      </c>
      <c r="O1780" t="str">
        <f>IFERROR(VLOOKUP(J1780,PAR!$O$3:$P$5,2,FALSE),"nincs feladat")</f>
        <v>nincs feladat</v>
      </c>
      <c r="P1780" t="str">
        <f>IFERROR(VLOOKUP(G1780,PAR!$J$2:$M$19,4),"nincs rovat")</f>
        <v>nincs rovat</v>
      </c>
      <c r="Q1780" t="str">
        <f>IF(H1780&gt;0,VLOOKUP(H1780,PAR!$AA$3:$AC$187,3,FALSE),"nincs főkönyvi számla")</f>
        <v>nincs főkönyvi számla</v>
      </c>
      <c r="R1780" t="str">
        <f>IFERROR(VLOOKUP(K1780,PAR!$V$3:$X$438,3,FALSE),"000000 - Nincs COFOG")</f>
        <v>000000 - Nincs COFOG</v>
      </c>
      <c r="S1780">
        <f t="shared" si="525"/>
        <v>0</v>
      </c>
      <c r="T1780">
        <f t="shared" si="526"/>
        <v>0</v>
      </c>
      <c r="U1780" t="str">
        <f>IF('906MP'!J1480&gt;0,CONCATENATE('906MP'!J1480," - ",'906MP'!P1480,", ",'906MP'!E1480),"nincs megjegyzés")</f>
        <v>nincs megjegyzés</v>
      </c>
      <c r="V1780" t="str">
        <f t="shared" si="513"/>
        <v>0P0</v>
      </c>
      <c r="W1780" t="str">
        <f t="shared" si="514"/>
        <v>0P0</v>
      </c>
      <c r="X1780" t="str">
        <f t="shared" si="515"/>
        <v>P0</v>
      </c>
      <c r="Y1780" t="str">
        <f t="shared" si="516"/>
        <v>00</v>
      </c>
      <c r="Z1780" t="str">
        <f t="shared" si="527"/>
        <v>00</v>
      </c>
      <c r="AA1780" t="str">
        <f t="shared" si="517"/>
        <v>00</v>
      </c>
      <c r="AB1780" t="str">
        <f t="shared" si="518"/>
        <v>00</v>
      </c>
      <c r="AC1780" t="str">
        <f t="shared" si="519"/>
        <v>0P0</v>
      </c>
      <c r="AD1780" t="str">
        <f t="shared" si="520"/>
        <v>P00</v>
      </c>
      <c r="AE1780" t="str">
        <f t="shared" si="521"/>
        <v>0P0</v>
      </c>
      <c r="AF1780" t="str">
        <f t="shared" si="522"/>
        <v>P00</v>
      </c>
      <c r="AG1780" t="str">
        <f t="shared" si="528"/>
        <v>0P00</v>
      </c>
      <c r="AH1780" t="str">
        <f t="shared" si="529"/>
        <v>P000</v>
      </c>
      <c r="AI1780" t="str">
        <f t="shared" si="530"/>
        <v>0P00</v>
      </c>
      <c r="AJ1780" t="str">
        <f t="shared" si="531"/>
        <v>P000</v>
      </c>
    </row>
    <row r="1781" spans="1:36" x14ac:dyDescent="0.25">
      <c r="A1781" s="325" t="str">
        <f>CONCATENATE("P",'906MP'!M1481)</f>
        <v>P</v>
      </c>
      <c r="B1781">
        <f>'906MP'!H1481</f>
        <v>0</v>
      </c>
      <c r="C1781">
        <f>'906MP'!J1481</f>
        <v>0</v>
      </c>
      <c r="D1781">
        <f>'906MP'!P1481</f>
        <v>0</v>
      </c>
      <c r="E1781">
        <f>'906MP'!X1481</f>
        <v>0</v>
      </c>
      <c r="F1781" t="str">
        <f t="shared" si="523"/>
        <v>0</v>
      </c>
      <c r="G1781" t="str">
        <f t="shared" si="524"/>
        <v>0</v>
      </c>
      <c r="H1781">
        <f>'906MP'!Y1481</f>
        <v>0</v>
      </c>
      <c r="I1781">
        <f>'906MP'!AK1481</f>
        <v>0</v>
      </c>
      <c r="J1781">
        <f>'906MP'!T1481</f>
        <v>0</v>
      </c>
      <c r="K1781">
        <f>'906MP'!AJ1481</f>
        <v>0</v>
      </c>
      <c r="L1781">
        <f>'906MP'!U1481</f>
        <v>0</v>
      </c>
      <c r="M1781" s="322" t="str">
        <f>IFERROR(VLOOKUP(A1781,PAR!$D$3:$E$53,2,FALSE),"nincs szervezet")</f>
        <v>nincs szervezet</v>
      </c>
      <c r="N1781" s="322" t="str">
        <f>VLOOKUP(F1781,PAR!$R$3:$S$5,2,FALSE)</f>
        <v>3 - egyik sem</v>
      </c>
      <c r="O1781" t="str">
        <f>IFERROR(VLOOKUP(J1781,PAR!$O$3:$P$5,2,FALSE),"nincs feladat")</f>
        <v>nincs feladat</v>
      </c>
      <c r="P1781" t="str">
        <f>IFERROR(VLOOKUP(G1781,PAR!$J$2:$M$19,4),"nincs rovat")</f>
        <v>nincs rovat</v>
      </c>
      <c r="Q1781" t="str">
        <f>IF(H1781&gt;0,VLOOKUP(H1781,PAR!$AA$3:$AC$187,3,FALSE),"nincs főkönyvi számla")</f>
        <v>nincs főkönyvi számla</v>
      </c>
      <c r="R1781" t="str">
        <f>IFERROR(VLOOKUP(K1781,PAR!$V$3:$X$438,3,FALSE),"000000 - Nincs COFOG")</f>
        <v>000000 - Nincs COFOG</v>
      </c>
      <c r="S1781">
        <f t="shared" si="525"/>
        <v>0</v>
      </c>
      <c r="T1781">
        <f t="shared" si="526"/>
        <v>0</v>
      </c>
      <c r="U1781" t="str">
        <f>IF('906MP'!J1481&gt;0,CONCATENATE('906MP'!J1481," - ",'906MP'!P1481,", ",'906MP'!E1481),"nincs megjegyzés")</f>
        <v>nincs megjegyzés</v>
      </c>
      <c r="V1781" t="str">
        <f t="shared" si="513"/>
        <v>0P0</v>
      </c>
      <c r="W1781" t="str">
        <f t="shared" si="514"/>
        <v>0P0</v>
      </c>
      <c r="X1781" t="str">
        <f t="shared" si="515"/>
        <v>P0</v>
      </c>
      <c r="Y1781" t="str">
        <f t="shared" si="516"/>
        <v>00</v>
      </c>
      <c r="Z1781" t="str">
        <f t="shared" si="527"/>
        <v>00</v>
      </c>
      <c r="AA1781" t="str">
        <f t="shared" si="517"/>
        <v>00</v>
      </c>
      <c r="AB1781" t="str">
        <f t="shared" si="518"/>
        <v>00</v>
      </c>
      <c r="AC1781" t="str">
        <f t="shared" si="519"/>
        <v>0P0</v>
      </c>
      <c r="AD1781" t="str">
        <f t="shared" si="520"/>
        <v>P00</v>
      </c>
      <c r="AE1781" t="str">
        <f t="shared" si="521"/>
        <v>0P0</v>
      </c>
      <c r="AF1781" t="str">
        <f t="shared" si="522"/>
        <v>P00</v>
      </c>
      <c r="AG1781" t="str">
        <f t="shared" si="528"/>
        <v>0P00</v>
      </c>
      <c r="AH1781" t="str">
        <f t="shared" si="529"/>
        <v>P000</v>
      </c>
      <c r="AI1781" t="str">
        <f t="shared" si="530"/>
        <v>0P00</v>
      </c>
      <c r="AJ1781" t="str">
        <f t="shared" si="531"/>
        <v>P000</v>
      </c>
    </row>
    <row r="1782" spans="1:36" x14ac:dyDescent="0.25">
      <c r="A1782" s="325" t="str">
        <f>CONCATENATE("P",'906MP'!M1482)</f>
        <v>P</v>
      </c>
      <c r="B1782">
        <f>'906MP'!H1482</f>
        <v>0</v>
      </c>
      <c r="C1782">
        <f>'906MP'!J1482</f>
        <v>0</v>
      </c>
      <c r="D1782">
        <f>'906MP'!P1482</f>
        <v>0</v>
      </c>
      <c r="E1782">
        <f>'906MP'!X1482</f>
        <v>0</v>
      </c>
      <c r="F1782" t="str">
        <f t="shared" si="523"/>
        <v>0</v>
      </c>
      <c r="G1782" t="str">
        <f t="shared" si="524"/>
        <v>0</v>
      </c>
      <c r="H1782">
        <f>'906MP'!Y1482</f>
        <v>0</v>
      </c>
      <c r="I1782">
        <f>'906MP'!AK1482</f>
        <v>0</v>
      </c>
      <c r="J1782">
        <f>'906MP'!T1482</f>
        <v>0</v>
      </c>
      <c r="K1782">
        <f>'906MP'!AJ1482</f>
        <v>0</v>
      </c>
      <c r="L1782">
        <f>'906MP'!U1482</f>
        <v>0</v>
      </c>
      <c r="M1782" s="322" t="str">
        <f>IFERROR(VLOOKUP(A1782,PAR!$D$3:$E$53,2,FALSE),"nincs szervezet")</f>
        <v>nincs szervezet</v>
      </c>
      <c r="N1782" s="322" t="str">
        <f>VLOOKUP(F1782,PAR!$R$3:$S$5,2,FALSE)</f>
        <v>3 - egyik sem</v>
      </c>
      <c r="O1782" t="str">
        <f>IFERROR(VLOOKUP(J1782,PAR!$O$3:$P$5,2,FALSE),"nincs feladat")</f>
        <v>nincs feladat</v>
      </c>
      <c r="P1782" t="str">
        <f>IFERROR(VLOOKUP(G1782,PAR!$J$2:$M$19,4),"nincs rovat")</f>
        <v>nincs rovat</v>
      </c>
      <c r="Q1782" t="str">
        <f>IF(H1782&gt;0,VLOOKUP(H1782,PAR!$AA$3:$AC$187,3,FALSE),"nincs főkönyvi számla")</f>
        <v>nincs főkönyvi számla</v>
      </c>
      <c r="R1782" t="str">
        <f>IFERROR(VLOOKUP(K1782,PAR!$V$3:$X$438,3,FALSE),"000000 - Nincs COFOG")</f>
        <v>000000 - Nincs COFOG</v>
      </c>
      <c r="S1782">
        <f t="shared" si="525"/>
        <v>0</v>
      </c>
      <c r="T1782">
        <f t="shared" si="526"/>
        <v>0</v>
      </c>
      <c r="U1782" t="str">
        <f>IF('906MP'!J1482&gt;0,CONCATENATE('906MP'!J1482," - ",'906MP'!P1482,", ",'906MP'!E1482),"nincs megjegyzés")</f>
        <v>nincs megjegyzés</v>
      </c>
      <c r="V1782" t="str">
        <f t="shared" si="513"/>
        <v>0P0</v>
      </c>
      <c r="W1782" t="str">
        <f t="shared" si="514"/>
        <v>0P0</v>
      </c>
      <c r="X1782" t="str">
        <f t="shared" si="515"/>
        <v>P0</v>
      </c>
      <c r="Y1782" t="str">
        <f t="shared" si="516"/>
        <v>00</v>
      </c>
      <c r="Z1782" t="str">
        <f t="shared" si="527"/>
        <v>00</v>
      </c>
      <c r="AA1782" t="str">
        <f t="shared" si="517"/>
        <v>00</v>
      </c>
      <c r="AB1782" t="str">
        <f t="shared" si="518"/>
        <v>00</v>
      </c>
      <c r="AC1782" t="str">
        <f t="shared" si="519"/>
        <v>0P0</v>
      </c>
      <c r="AD1782" t="str">
        <f t="shared" si="520"/>
        <v>P00</v>
      </c>
      <c r="AE1782" t="str">
        <f t="shared" si="521"/>
        <v>0P0</v>
      </c>
      <c r="AF1782" t="str">
        <f t="shared" si="522"/>
        <v>P00</v>
      </c>
      <c r="AG1782" t="str">
        <f t="shared" si="528"/>
        <v>0P00</v>
      </c>
      <c r="AH1782" t="str">
        <f t="shared" si="529"/>
        <v>P000</v>
      </c>
      <c r="AI1782" t="str">
        <f t="shared" si="530"/>
        <v>0P00</v>
      </c>
      <c r="AJ1782" t="str">
        <f t="shared" si="531"/>
        <v>P000</v>
      </c>
    </row>
    <row r="1783" spans="1:36" x14ac:dyDescent="0.25">
      <c r="A1783" s="325" t="str">
        <f>CONCATENATE("P",'906MP'!M1483)</f>
        <v>P</v>
      </c>
      <c r="B1783">
        <f>'906MP'!H1483</f>
        <v>0</v>
      </c>
      <c r="C1783">
        <f>'906MP'!J1483</f>
        <v>0</v>
      </c>
      <c r="D1783">
        <f>'906MP'!P1483</f>
        <v>0</v>
      </c>
      <c r="E1783">
        <f>'906MP'!X1483</f>
        <v>0</v>
      </c>
      <c r="F1783" t="str">
        <f t="shared" si="523"/>
        <v>0</v>
      </c>
      <c r="G1783" t="str">
        <f t="shared" si="524"/>
        <v>0</v>
      </c>
      <c r="H1783">
        <f>'906MP'!Y1483</f>
        <v>0</v>
      </c>
      <c r="I1783">
        <f>'906MP'!AK1483</f>
        <v>0</v>
      </c>
      <c r="J1783">
        <f>'906MP'!T1483</f>
        <v>0</v>
      </c>
      <c r="K1783">
        <f>'906MP'!AJ1483</f>
        <v>0</v>
      </c>
      <c r="L1783">
        <f>'906MP'!U1483</f>
        <v>0</v>
      </c>
      <c r="M1783" s="322" t="str">
        <f>IFERROR(VLOOKUP(A1783,PAR!$D$3:$E$53,2,FALSE),"nincs szervezet")</f>
        <v>nincs szervezet</v>
      </c>
      <c r="N1783" s="322" t="str">
        <f>VLOOKUP(F1783,PAR!$R$3:$S$5,2,FALSE)</f>
        <v>3 - egyik sem</v>
      </c>
      <c r="O1783" t="str">
        <f>IFERROR(VLOOKUP(J1783,PAR!$O$3:$P$5,2,FALSE),"nincs feladat")</f>
        <v>nincs feladat</v>
      </c>
      <c r="P1783" t="str">
        <f>IFERROR(VLOOKUP(G1783,PAR!$J$2:$M$19,4),"nincs rovat")</f>
        <v>nincs rovat</v>
      </c>
      <c r="Q1783" t="str">
        <f>IF(H1783&gt;0,VLOOKUP(H1783,PAR!$AA$3:$AC$187,3,FALSE),"nincs főkönyvi számla")</f>
        <v>nincs főkönyvi számla</v>
      </c>
      <c r="R1783" t="str">
        <f>IFERROR(VLOOKUP(K1783,PAR!$V$3:$X$438,3,FALSE),"000000 - Nincs COFOG")</f>
        <v>000000 - Nincs COFOG</v>
      </c>
      <c r="S1783">
        <f t="shared" si="525"/>
        <v>0</v>
      </c>
      <c r="T1783">
        <f t="shared" si="526"/>
        <v>0</v>
      </c>
      <c r="U1783" t="str">
        <f>IF('906MP'!J1483&gt;0,CONCATENATE('906MP'!J1483," - ",'906MP'!P1483,", ",'906MP'!E1483),"nincs megjegyzés")</f>
        <v>nincs megjegyzés</v>
      </c>
      <c r="V1783" t="str">
        <f t="shared" si="513"/>
        <v>0P0</v>
      </c>
      <c r="W1783" t="str">
        <f t="shared" si="514"/>
        <v>0P0</v>
      </c>
      <c r="X1783" t="str">
        <f t="shared" si="515"/>
        <v>P0</v>
      </c>
      <c r="Y1783" t="str">
        <f t="shared" si="516"/>
        <v>00</v>
      </c>
      <c r="Z1783" t="str">
        <f t="shared" si="527"/>
        <v>00</v>
      </c>
      <c r="AA1783" t="str">
        <f t="shared" si="517"/>
        <v>00</v>
      </c>
      <c r="AB1783" t="str">
        <f t="shared" si="518"/>
        <v>00</v>
      </c>
      <c r="AC1783" t="str">
        <f t="shared" si="519"/>
        <v>0P0</v>
      </c>
      <c r="AD1783" t="str">
        <f t="shared" si="520"/>
        <v>P00</v>
      </c>
      <c r="AE1783" t="str">
        <f t="shared" si="521"/>
        <v>0P0</v>
      </c>
      <c r="AF1783" t="str">
        <f t="shared" si="522"/>
        <v>P00</v>
      </c>
      <c r="AG1783" t="str">
        <f t="shared" si="528"/>
        <v>0P00</v>
      </c>
      <c r="AH1783" t="str">
        <f t="shared" si="529"/>
        <v>P000</v>
      </c>
      <c r="AI1783" t="str">
        <f t="shared" si="530"/>
        <v>0P00</v>
      </c>
      <c r="AJ1783" t="str">
        <f t="shared" si="531"/>
        <v>P000</v>
      </c>
    </row>
    <row r="1784" spans="1:36" x14ac:dyDescent="0.25">
      <c r="A1784" s="325" t="str">
        <f>CONCATENATE("P",'906MP'!M1484)</f>
        <v>P</v>
      </c>
      <c r="B1784">
        <f>'906MP'!H1484</f>
        <v>0</v>
      </c>
      <c r="C1784">
        <f>'906MP'!J1484</f>
        <v>0</v>
      </c>
      <c r="D1784">
        <f>'906MP'!P1484</f>
        <v>0</v>
      </c>
      <c r="E1784">
        <f>'906MP'!X1484</f>
        <v>0</v>
      </c>
      <c r="F1784" t="str">
        <f t="shared" si="523"/>
        <v>0</v>
      </c>
      <c r="G1784" t="str">
        <f t="shared" si="524"/>
        <v>0</v>
      </c>
      <c r="H1784">
        <f>'906MP'!Y1484</f>
        <v>0</v>
      </c>
      <c r="I1784">
        <f>'906MP'!AK1484</f>
        <v>0</v>
      </c>
      <c r="J1784">
        <f>'906MP'!T1484</f>
        <v>0</v>
      </c>
      <c r="K1784">
        <f>'906MP'!AJ1484</f>
        <v>0</v>
      </c>
      <c r="L1784">
        <f>'906MP'!U1484</f>
        <v>0</v>
      </c>
      <c r="M1784" s="322" t="str">
        <f>IFERROR(VLOOKUP(A1784,PAR!$D$3:$E$53,2,FALSE),"nincs szervezet")</f>
        <v>nincs szervezet</v>
      </c>
      <c r="N1784" s="322" t="str">
        <f>VLOOKUP(F1784,PAR!$R$3:$S$5,2,FALSE)</f>
        <v>3 - egyik sem</v>
      </c>
      <c r="O1784" t="str">
        <f>IFERROR(VLOOKUP(J1784,PAR!$O$3:$P$5,2,FALSE),"nincs feladat")</f>
        <v>nincs feladat</v>
      </c>
      <c r="P1784" t="str">
        <f>IFERROR(VLOOKUP(G1784,PAR!$J$2:$M$19,4),"nincs rovat")</f>
        <v>nincs rovat</v>
      </c>
      <c r="Q1784" t="str">
        <f>IF(H1784&gt;0,VLOOKUP(H1784,PAR!$AA$3:$AC$187,3,FALSE),"nincs főkönyvi számla")</f>
        <v>nincs főkönyvi számla</v>
      </c>
      <c r="R1784" t="str">
        <f>IFERROR(VLOOKUP(K1784,PAR!$V$3:$X$438,3,FALSE),"000000 - Nincs COFOG")</f>
        <v>000000 - Nincs COFOG</v>
      </c>
      <c r="S1784">
        <f t="shared" si="525"/>
        <v>0</v>
      </c>
      <c r="T1784">
        <f t="shared" si="526"/>
        <v>0</v>
      </c>
      <c r="U1784" t="str">
        <f>IF('906MP'!J1484&gt;0,CONCATENATE('906MP'!J1484," - ",'906MP'!P1484,", ",'906MP'!E1484),"nincs megjegyzés")</f>
        <v>nincs megjegyzés</v>
      </c>
      <c r="V1784" t="str">
        <f t="shared" si="513"/>
        <v>0P0</v>
      </c>
      <c r="W1784" t="str">
        <f t="shared" si="514"/>
        <v>0P0</v>
      </c>
      <c r="X1784" t="str">
        <f t="shared" si="515"/>
        <v>P0</v>
      </c>
      <c r="Y1784" t="str">
        <f t="shared" si="516"/>
        <v>00</v>
      </c>
      <c r="Z1784" t="str">
        <f t="shared" si="527"/>
        <v>00</v>
      </c>
      <c r="AA1784" t="str">
        <f t="shared" si="517"/>
        <v>00</v>
      </c>
      <c r="AB1784" t="str">
        <f t="shared" si="518"/>
        <v>00</v>
      </c>
      <c r="AC1784" t="str">
        <f t="shared" si="519"/>
        <v>0P0</v>
      </c>
      <c r="AD1784" t="str">
        <f t="shared" si="520"/>
        <v>P00</v>
      </c>
      <c r="AE1784" t="str">
        <f t="shared" si="521"/>
        <v>0P0</v>
      </c>
      <c r="AF1784" t="str">
        <f t="shared" si="522"/>
        <v>P00</v>
      </c>
      <c r="AG1784" t="str">
        <f t="shared" si="528"/>
        <v>0P00</v>
      </c>
      <c r="AH1784" t="str">
        <f t="shared" si="529"/>
        <v>P000</v>
      </c>
      <c r="AI1784" t="str">
        <f t="shared" si="530"/>
        <v>0P00</v>
      </c>
      <c r="AJ1784" t="str">
        <f t="shared" si="531"/>
        <v>P000</v>
      </c>
    </row>
    <row r="1785" spans="1:36" x14ac:dyDescent="0.25">
      <c r="A1785" s="325" t="str">
        <f>CONCATENATE("P",'906MP'!M1485)</f>
        <v>P</v>
      </c>
      <c r="B1785">
        <f>'906MP'!H1485</f>
        <v>0</v>
      </c>
      <c r="C1785">
        <f>'906MP'!J1485</f>
        <v>0</v>
      </c>
      <c r="D1785">
        <f>'906MP'!P1485</f>
        <v>0</v>
      </c>
      <c r="E1785">
        <f>'906MP'!X1485</f>
        <v>0</v>
      </c>
      <c r="F1785" t="str">
        <f t="shared" si="523"/>
        <v>0</v>
      </c>
      <c r="G1785" t="str">
        <f t="shared" si="524"/>
        <v>0</v>
      </c>
      <c r="H1785">
        <f>'906MP'!Y1485</f>
        <v>0</v>
      </c>
      <c r="I1785">
        <f>'906MP'!AK1485</f>
        <v>0</v>
      </c>
      <c r="J1785">
        <f>'906MP'!T1485</f>
        <v>0</v>
      </c>
      <c r="K1785">
        <f>'906MP'!AJ1485</f>
        <v>0</v>
      </c>
      <c r="L1785">
        <f>'906MP'!U1485</f>
        <v>0</v>
      </c>
      <c r="M1785" s="322" t="str">
        <f>IFERROR(VLOOKUP(A1785,PAR!$D$3:$E$53,2,FALSE),"nincs szervezet")</f>
        <v>nincs szervezet</v>
      </c>
      <c r="N1785" s="322" t="str">
        <f>VLOOKUP(F1785,PAR!$R$3:$S$5,2,FALSE)</f>
        <v>3 - egyik sem</v>
      </c>
      <c r="O1785" t="str">
        <f>IFERROR(VLOOKUP(J1785,PAR!$O$3:$P$5,2,FALSE),"nincs feladat")</f>
        <v>nincs feladat</v>
      </c>
      <c r="P1785" t="str">
        <f>IFERROR(VLOOKUP(G1785,PAR!$J$2:$M$19,4),"nincs rovat")</f>
        <v>nincs rovat</v>
      </c>
      <c r="Q1785" t="str">
        <f>IF(H1785&gt;0,VLOOKUP(H1785,PAR!$AA$3:$AC$187,3,FALSE),"nincs főkönyvi számla")</f>
        <v>nincs főkönyvi számla</v>
      </c>
      <c r="R1785" t="str">
        <f>IFERROR(VLOOKUP(K1785,PAR!$V$3:$X$438,3,FALSE),"000000 - Nincs COFOG")</f>
        <v>000000 - Nincs COFOG</v>
      </c>
      <c r="S1785">
        <f t="shared" si="525"/>
        <v>0</v>
      </c>
      <c r="T1785">
        <f t="shared" si="526"/>
        <v>0</v>
      </c>
      <c r="U1785" t="str">
        <f>IF('906MP'!J1485&gt;0,CONCATENATE('906MP'!J1485," - ",'906MP'!P1485,", ",'906MP'!E1485),"nincs megjegyzés")</f>
        <v>nincs megjegyzés</v>
      </c>
      <c r="V1785" t="str">
        <f t="shared" si="513"/>
        <v>0P0</v>
      </c>
      <c r="W1785" t="str">
        <f t="shared" si="514"/>
        <v>0P0</v>
      </c>
      <c r="X1785" t="str">
        <f t="shared" si="515"/>
        <v>P0</v>
      </c>
      <c r="Y1785" t="str">
        <f t="shared" si="516"/>
        <v>00</v>
      </c>
      <c r="Z1785" t="str">
        <f t="shared" si="527"/>
        <v>00</v>
      </c>
      <c r="AA1785" t="str">
        <f t="shared" si="517"/>
        <v>00</v>
      </c>
      <c r="AB1785" t="str">
        <f t="shared" si="518"/>
        <v>00</v>
      </c>
      <c r="AC1785" t="str">
        <f t="shared" si="519"/>
        <v>0P0</v>
      </c>
      <c r="AD1785" t="str">
        <f t="shared" si="520"/>
        <v>P00</v>
      </c>
      <c r="AE1785" t="str">
        <f t="shared" si="521"/>
        <v>0P0</v>
      </c>
      <c r="AF1785" t="str">
        <f t="shared" si="522"/>
        <v>P00</v>
      </c>
      <c r="AG1785" t="str">
        <f t="shared" si="528"/>
        <v>0P00</v>
      </c>
      <c r="AH1785" t="str">
        <f t="shared" si="529"/>
        <v>P000</v>
      </c>
      <c r="AI1785" t="str">
        <f t="shared" si="530"/>
        <v>0P00</v>
      </c>
      <c r="AJ1785" t="str">
        <f t="shared" si="531"/>
        <v>P000</v>
      </c>
    </row>
    <row r="1786" spans="1:36" x14ac:dyDescent="0.25">
      <c r="A1786" s="325" t="str">
        <f>CONCATENATE("P",'906MP'!M1486)</f>
        <v>P</v>
      </c>
      <c r="B1786">
        <f>'906MP'!H1486</f>
        <v>0</v>
      </c>
      <c r="C1786">
        <f>'906MP'!J1486</f>
        <v>0</v>
      </c>
      <c r="D1786">
        <f>'906MP'!P1486</f>
        <v>0</v>
      </c>
      <c r="E1786">
        <f>'906MP'!X1486</f>
        <v>0</v>
      </c>
      <c r="F1786" t="str">
        <f t="shared" si="523"/>
        <v>0</v>
      </c>
      <c r="G1786" t="str">
        <f t="shared" si="524"/>
        <v>0</v>
      </c>
      <c r="H1786">
        <f>'906MP'!Y1486</f>
        <v>0</v>
      </c>
      <c r="I1786">
        <f>'906MP'!AK1486</f>
        <v>0</v>
      </c>
      <c r="J1786">
        <f>'906MP'!T1486</f>
        <v>0</v>
      </c>
      <c r="K1786">
        <f>'906MP'!AJ1486</f>
        <v>0</v>
      </c>
      <c r="L1786">
        <f>'906MP'!U1486</f>
        <v>0</v>
      </c>
      <c r="M1786" s="322" t="str">
        <f>IFERROR(VLOOKUP(A1786,PAR!$D$3:$E$53,2,FALSE),"nincs szervezet")</f>
        <v>nincs szervezet</v>
      </c>
      <c r="N1786" s="322" t="str">
        <f>VLOOKUP(F1786,PAR!$R$3:$S$5,2,FALSE)</f>
        <v>3 - egyik sem</v>
      </c>
      <c r="O1786" t="str">
        <f>IFERROR(VLOOKUP(J1786,PAR!$O$3:$P$5,2,FALSE),"nincs feladat")</f>
        <v>nincs feladat</v>
      </c>
      <c r="P1786" t="str">
        <f>IFERROR(VLOOKUP(G1786,PAR!$J$2:$M$19,4),"nincs rovat")</f>
        <v>nincs rovat</v>
      </c>
      <c r="Q1786" t="str">
        <f>IF(H1786&gt;0,VLOOKUP(H1786,PAR!$AA$3:$AC$187,3,FALSE),"nincs főkönyvi számla")</f>
        <v>nincs főkönyvi számla</v>
      </c>
      <c r="R1786" t="str">
        <f>IFERROR(VLOOKUP(K1786,PAR!$V$3:$X$438,3,FALSE),"000000 - Nincs COFOG")</f>
        <v>000000 - Nincs COFOG</v>
      </c>
      <c r="S1786">
        <f t="shared" si="525"/>
        <v>0</v>
      </c>
      <c r="T1786">
        <f t="shared" si="526"/>
        <v>0</v>
      </c>
      <c r="U1786" t="str">
        <f>IF('906MP'!J1486&gt;0,CONCATENATE('906MP'!J1486," - ",'906MP'!P1486,", ",'906MP'!E1486),"nincs megjegyzés")</f>
        <v>nincs megjegyzés</v>
      </c>
      <c r="V1786" t="str">
        <f t="shared" si="513"/>
        <v>0P0</v>
      </c>
      <c r="W1786" t="str">
        <f t="shared" si="514"/>
        <v>0P0</v>
      </c>
      <c r="X1786" t="str">
        <f t="shared" si="515"/>
        <v>P0</v>
      </c>
      <c r="Y1786" t="str">
        <f t="shared" si="516"/>
        <v>00</v>
      </c>
      <c r="Z1786" t="str">
        <f t="shared" si="527"/>
        <v>00</v>
      </c>
      <c r="AA1786" t="str">
        <f t="shared" si="517"/>
        <v>00</v>
      </c>
      <c r="AB1786" t="str">
        <f t="shared" si="518"/>
        <v>00</v>
      </c>
      <c r="AC1786" t="str">
        <f t="shared" si="519"/>
        <v>0P0</v>
      </c>
      <c r="AD1786" t="str">
        <f t="shared" si="520"/>
        <v>P00</v>
      </c>
      <c r="AE1786" t="str">
        <f t="shared" si="521"/>
        <v>0P0</v>
      </c>
      <c r="AF1786" t="str">
        <f t="shared" si="522"/>
        <v>P00</v>
      </c>
      <c r="AG1786" t="str">
        <f t="shared" si="528"/>
        <v>0P00</v>
      </c>
      <c r="AH1786" t="str">
        <f t="shared" si="529"/>
        <v>P000</v>
      </c>
      <c r="AI1786" t="str">
        <f t="shared" si="530"/>
        <v>0P00</v>
      </c>
      <c r="AJ1786" t="str">
        <f t="shared" si="531"/>
        <v>P000</v>
      </c>
    </row>
    <row r="1787" spans="1:36" x14ac:dyDescent="0.25">
      <c r="A1787" s="325" t="str">
        <f>CONCATENATE("P",'906MP'!M1487)</f>
        <v>P</v>
      </c>
      <c r="B1787">
        <f>'906MP'!H1487</f>
        <v>0</v>
      </c>
      <c r="C1787">
        <f>'906MP'!J1487</f>
        <v>0</v>
      </c>
      <c r="D1787">
        <f>'906MP'!P1487</f>
        <v>0</v>
      </c>
      <c r="E1787">
        <f>'906MP'!X1487</f>
        <v>0</v>
      </c>
      <c r="F1787" t="str">
        <f t="shared" si="523"/>
        <v>0</v>
      </c>
      <c r="G1787" t="str">
        <f t="shared" si="524"/>
        <v>0</v>
      </c>
      <c r="H1787">
        <f>'906MP'!Y1487</f>
        <v>0</v>
      </c>
      <c r="I1787">
        <f>'906MP'!AK1487</f>
        <v>0</v>
      </c>
      <c r="J1787">
        <f>'906MP'!T1487</f>
        <v>0</v>
      </c>
      <c r="K1787">
        <f>'906MP'!AJ1487</f>
        <v>0</v>
      </c>
      <c r="L1787">
        <f>'906MP'!U1487</f>
        <v>0</v>
      </c>
      <c r="M1787" s="322" t="str">
        <f>IFERROR(VLOOKUP(A1787,PAR!$D$3:$E$53,2,FALSE),"nincs szervezet")</f>
        <v>nincs szervezet</v>
      </c>
      <c r="N1787" s="322" t="str">
        <f>VLOOKUP(F1787,PAR!$R$3:$S$5,2,FALSE)</f>
        <v>3 - egyik sem</v>
      </c>
      <c r="O1787" t="str">
        <f>IFERROR(VLOOKUP(J1787,PAR!$O$3:$P$5,2,FALSE),"nincs feladat")</f>
        <v>nincs feladat</v>
      </c>
      <c r="P1787" t="str">
        <f>IFERROR(VLOOKUP(G1787,PAR!$J$2:$M$19,4),"nincs rovat")</f>
        <v>nincs rovat</v>
      </c>
      <c r="Q1787" t="str">
        <f>IF(H1787&gt;0,VLOOKUP(H1787,PAR!$AA$3:$AC$187,3,FALSE),"nincs főkönyvi számla")</f>
        <v>nincs főkönyvi számla</v>
      </c>
      <c r="R1787" t="str">
        <f>IFERROR(VLOOKUP(K1787,PAR!$V$3:$X$438,3,FALSE),"000000 - Nincs COFOG")</f>
        <v>000000 - Nincs COFOG</v>
      </c>
      <c r="S1787">
        <f t="shared" si="525"/>
        <v>0</v>
      </c>
      <c r="T1787">
        <f t="shared" si="526"/>
        <v>0</v>
      </c>
      <c r="U1787" t="str">
        <f>IF('906MP'!J1487&gt;0,CONCATENATE('906MP'!J1487," - ",'906MP'!P1487,", ",'906MP'!E1487),"nincs megjegyzés")</f>
        <v>nincs megjegyzés</v>
      </c>
      <c r="V1787" t="str">
        <f t="shared" si="513"/>
        <v>0P0</v>
      </c>
      <c r="W1787" t="str">
        <f t="shared" si="514"/>
        <v>0P0</v>
      </c>
      <c r="X1787" t="str">
        <f t="shared" si="515"/>
        <v>P0</v>
      </c>
      <c r="Y1787" t="str">
        <f t="shared" si="516"/>
        <v>00</v>
      </c>
      <c r="Z1787" t="str">
        <f t="shared" si="527"/>
        <v>00</v>
      </c>
      <c r="AA1787" t="str">
        <f t="shared" si="517"/>
        <v>00</v>
      </c>
      <c r="AB1787" t="str">
        <f t="shared" si="518"/>
        <v>00</v>
      </c>
      <c r="AC1787" t="str">
        <f t="shared" si="519"/>
        <v>0P0</v>
      </c>
      <c r="AD1787" t="str">
        <f t="shared" si="520"/>
        <v>P00</v>
      </c>
      <c r="AE1787" t="str">
        <f t="shared" si="521"/>
        <v>0P0</v>
      </c>
      <c r="AF1787" t="str">
        <f t="shared" si="522"/>
        <v>P00</v>
      </c>
      <c r="AG1787" t="str">
        <f t="shared" si="528"/>
        <v>0P00</v>
      </c>
      <c r="AH1787" t="str">
        <f t="shared" si="529"/>
        <v>P000</v>
      </c>
      <c r="AI1787" t="str">
        <f t="shared" si="530"/>
        <v>0P00</v>
      </c>
      <c r="AJ1787" t="str">
        <f t="shared" si="531"/>
        <v>P000</v>
      </c>
    </row>
    <row r="1788" spans="1:36" x14ac:dyDescent="0.25">
      <c r="A1788" s="325" t="str">
        <f>CONCATENATE("P",'906MP'!M1488)</f>
        <v>P</v>
      </c>
      <c r="B1788">
        <f>'906MP'!H1488</f>
        <v>0</v>
      </c>
      <c r="C1788">
        <f>'906MP'!J1488</f>
        <v>0</v>
      </c>
      <c r="D1788">
        <f>'906MP'!P1488</f>
        <v>0</v>
      </c>
      <c r="E1788">
        <f>'906MP'!X1488</f>
        <v>0</v>
      </c>
      <c r="F1788" t="str">
        <f t="shared" si="523"/>
        <v>0</v>
      </c>
      <c r="G1788" t="str">
        <f t="shared" si="524"/>
        <v>0</v>
      </c>
      <c r="H1788">
        <f>'906MP'!Y1488</f>
        <v>0</v>
      </c>
      <c r="I1788">
        <f>'906MP'!AK1488</f>
        <v>0</v>
      </c>
      <c r="J1788">
        <f>'906MP'!T1488</f>
        <v>0</v>
      </c>
      <c r="K1788">
        <f>'906MP'!AJ1488</f>
        <v>0</v>
      </c>
      <c r="L1788">
        <f>'906MP'!U1488</f>
        <v>0</v>
      </c>
      <c r="M1788" s="322" t="str">
        <f>IFERROR(VLOOKUP(A1788,PAR!$D$3:$E$53,2,FALSE),"nincs szervezet")</f>
        <v>nincs szervezet</v>
      </c>
      <c r="N1788" s="322" t="str">
        <f>VLOOKUP(F1788,PAR!$R$3:$S$5,2,FALSE)</f>
        <v>3 - egyik sem</v>
      </c>
      <c r="O1788" t="str">
        <f>IFERROR(VLOOKUP(J1788,PAR!$O$3:$P$5,2,FALSE),"nincs feladat")</f>
        <v>nincs feladat</v>
      </c>
      <c r="P1788" t="str">
        <f>IFERROR(VLOOKUP(G1788,PAR!$J$2:$M$19,4),"nincs rovat")</f>
        <v>nincs rovat</v>
      </c>
      <c r="Q1788" t="str">
        <f>IF(H1788&gt;0,VLOOKUP(H1788,PAR!$AA$3:$AC$187,3,FALSE),"nincs főkönyvi számla")</f>
        <v>nincs főkönyvi számla</v>
      </c>
      <c r="R1788" t="str">
        <f>IFERROR(VLOOKUP(K1788,PAR!$V$3:$X$438,3,FALSE),"000000 - Nincs COFOG")</f>
        <v>000000 - Nincs COFOG</v>
      </c>
      <c r="S1788">
        <f t="shared" si="525"/>
        <v>0</v>
      </c>
      <c r="T1788">
        <f t="shared" si="526"/>
        <v>0</v>
      </c>
      <c r="U1788" t="str">
        <f>IF('906MP'!J1488&gt;0,CONCATENATE('906MP'!J1488," - ",'906MP'!P1488,", ",'906MP'!E1488),"nincs megjegyzés")</f>
        <v>nincs megjegyzés</v>
      </c>
      <c r="V1788" t="str">
        <f t="shared" si="513"/>
        <v>0P0</v>
      </c>
      <c r="W1788" t="str">
        <f t="shared" si="514"/>
        <v>0P0</v>
      </c>
      <c r="X1788" t="str">
        <f t="shared" si="515"/>
        <v>P0</v>
      </c>
      <c r="Y1788" t="str">
        <f t="shared" si="516"/>
        <v>00</v>
      </c>
      <c r="Z1788" t="str">
        <f t="shared" si="527"/>
        <v>00</v>
      </c>
      <c r="AA1788" t="str">
        <f t="shared" si="517"/>
        <v>00</v>
      </c>
      <c r="AB1788" t="str">
        <f t="shared" si="518"/>
        <v>00</v>
      </c>
      <c r="AC1788" t="str">
        <f t="shared" si="519"/>
        <v>0P0</v>
      </c>
      <c r="AD1788" t="str">
        <f t="shared" si="520"/>
        <v>P00</v>
      </c>
      <c r="AE1788" t="str">
        <f t="shared" si="521"/>
        <v>0P0</v>
      </c>
      <c r="AF1788" t="str">
        <f t="shared" si="522"/>
        <v>P00</v>
      </c>
      <c r="AG1788" t="str">
        <f t="shared" si="528"/>
        <v>0P00</v>
      </c>
      <c r="AH1788" t="str">
        <f t="shared" si="529"/>
        <v>P000</v>
      </c>
      <c r="AI1788" t="str">
        <f t="shared" si="530"/>
        <v>0P00</v>
      </c>
      <c r="AJ1788" t="str">
        <f t="shared" si="531"/>
        <v>P000</v>
      </c>
    </row>
    <row r="1789" spans="1:36" x14ac:dyDescent="0.25">
      <c r="A1789" s="325" t="str">
        <f>CONCATENATE("P",'906MP'!M1489)</f>
        <v>P</v>
      </c>
      <c r="B1789">
        <f>'906MP'!H1489</f>
        <v>0</v>
      </c>
      <c r="C1789">
        <f>'906MP'!J1489</f>
        <v>0</v>
      </c>
      <c r="D1789">
        <f>'906MP'!P1489</f>
        <v>0</v>
      </c>
      <c r="E1789">
        <f>'906MP'!X1489</f>
        <v>0</v>
      </c>
      <c r="F1789" t="str">
        <f t="shared" si="523"/>
        <v>0</v>
      </c>
      <c r="G1789" t="str">
        <f t="shared" si="524"/>
        <v>0</v>
      </c>
      <c r="H1789">
        <f>'906MP'!Y1489</f>
        <v>0</v>
      </c>
      <c r="I1789">
        <f>'906MP'!AK1489</f>
        <v>0</v>
      </c>
      <c r="J1789">
        <f>'906MP'!T1489</f>
        <v>0</v>
      </c>
      <c r="K1789">
        <f>'906MP'!AJ1489</f>
        <v>0</v>
      </c>
      <c r="L1789">
        <f>'906MP'!U1489</f>
        <v>0</v>
      </c>
      <c r="M1789" s="322" t="str">
        <f>IFERROR(VLOOKUP(A1789,PAR!$D$3:$E$53,2,FALSE),"nincs szervezet")</f>
        <v>nincs szervezet</v>
      </c>
      <c r="N1789" s="322" t="str">
        <f>VLOOKUP(F1789,PAR!$R$3:$S$5,2,FALSE)</f>
        <v>3 - egyik sem</v>
      </c>
      <c r="O1789" t="str">
        <f>IFERROR(VLOOKUP(J1789,PAR!$O$3:$P$5,2,FALSE),"nincs feladat")</f>
        <v>nincs feladat</v>
      </c>
      <c r="P1789" t="str">
        <f>IFERROR(VLOOKUP(G1789,PAR!$J$2:$M$19,4),"nincs rovat")</f>
        <v>nincs rovat</v>
      </c>
      <c r="Q1789" t="str">
        <f>IF(H1789&gt;0,VLOOKUP(H1789,PAR!$AA$3:$AC$187,3,FALSE),"nincs főkönyvi számla")</f>
        <v>nincs főkönyvi számla</v>
      </c>
      <c r="R1789" t="str">
        <f>IFERROR(VLOOKUP(K1789,PAR!$V$3:$X$438,3,FALSE),"000000 - Nincs COFOG")</f>
        <v>000000 - Nincs COFOG</v>
      </c>
      <c r="S1789">
        <f t="shared" si="525"/>
        <v>0</v>
      </c>
      <c r="T1789">
        <f t="shared" si="526"/>
        <v>0</v>
      </c>
      <c r="U1789" t="str">
        <f>IF('906MP'!J1489&gt;0,CONCATENATE('906MP'!J1489," - ",'906MP'!P1489,", ",'906MP'!E1489),"nincs megjegyzés")</f>
        <v>nincs megjegyzés</v>
      </c>
      <c r="V1789" t="str">
        <f t="shared" si="513"/>
        <v>0P0</v>
      </c>
      <c r="W1789" t="str">
        <f t="shared" si="514"/>
        <v>0P0</v>
      </c>
      <c r="X1789" t="str">
        <f t="shared" si="515"/>
        <v>P0</v>
      </c>
      <c r="Y1789" t="str">
        <f t="shared" si="516"/>
        <v>00</v>
      </c>
      <c r="Z1789" t="str">
        <f t="shared" si="527"/>
        <v>00</v>
      </c>
      <c r="AA1789" t="str">
        <f t="shared" si="517"/>
        <v>00</v>
      </c>
      <c r="AB1789" t="str">
        <f t="shared" si="518"/>
        <v>00</v>
      </c>
      <c r="AC1789" t="str">
        <f t="shared" si="519"/>
        <v>0P0</v>
      </c>
      <c r="AD1789" t="str">
        <f t="shared" si="520"/>
        <v>P00</v>
      </c>
      <c r="AE1789" t="str">
        <f t="shared" si="521"/>
        <v>0P0</v>
      </c>
      <c r="AF1789" t="str">
        <f t="shared" si="522"/>
        <v>P00</v>
      </c>
      <c r="AG1789" t="str">
        <f t="shared" si="528"/>
        <v>0P00</v>
      </c>
      <c r="AH1789" t="str">
        <f t="shared" si="529"/>
        <v>P000</v>
      </c>
      <c r="AI1789" t="str">
        <f t="shared" si="530"/>
        <v>0P00</v>
      </c>
      <c r="AJ1789" t="str">
        <f t="shared" si="531"/>
        <v>P000</v>
      </c>
    </row>
    <row r="1790" spans="1:36" x14ac:dyDescent="0.25">
      <c r="A1790" s="325" t="str">
        <f>CONCATENATE("P",'906MP'!M1490)</f>
        <v>P</v>
      </c>
      <c r="B1790">
        <f>'906MP'!H1490</f>
        <v>0</v>
      </c>
      <c r="C1790">
        <f>'906MP'!J1490</f>
        <v>0</v>
      </c>
      <c r="D1790">
        <f>'906MP'!P1490</f>
        <v>0</v>
      </c>
      <c r="E1790">
        <f>'906MP'!X1490</f>
        <v>0</v>
      </c>
      <c r="F1790" t="str">
        <f t="shared" si="523"/>
        <v>0</v>
      </c>
      <c r="G1790" t="str">
        <f t="shared" si="524"/>
        <v>0</v>
      </c>
      <c r="H1790">
        <f>'906MP'!Y1490</f>
        <v>0</v>
      </c>
      <c r="I1790">
        <f>'906MP'!AK1490</f>
        <v>0</v>
      </c>
      <c r="J1790">
        <f>'906MP'!T1490</f>
        <v>0</v>
      </c>
      <c r="K1790">
        <f>'906MP'!AJ1490</f>
        <v>0</v>
      </c>
      <c r="L1790">
        <f>'906MP'!U1490</f>
        <v>0</v>
      </c>
      <c r="M1790" s="322" t="str">
        <f>IFERROR(VLOOKUP(A1790,PAR!$D$3:$E$53,2,FALSE),"nincs szervezet")</f>
        <v>nincs szervezet</v>
      </c>
      <c r="N1790" s="322" t="str">
        <f>VLOOKUP(F1790,PAR!$R$3:$S$5,2,FALSE)</f>
        <v>3 - egyik sem</v>
      </c>
      <c r="O1790" t="str">
        <f>IFERROR(VLOOKUP(J1790,PAR!$O$3:$P$5,2,FALSE),"nincs feladat")</f>
        <v>nincs feladat</v>
      </c>
      <c r="P1790" t="str">
        <f>IFERROR(VLOOKUP(G1790,PAR!$J$2:$M$19,4),"nincs rovat")</f>
        <v>nincs rovat</v>
      </c>
      <c r="Q1790" t="str">
        <f>IF(H1790&gt;0,VLOOKUP(H1790,PAR!$AA$3:$AC$187,3,FALSE),"nincs főkönyvi számla")</f>
        <v>nincs főkönyvi számla</v>
      </c>
      <c r="R1790" t="str">
        <f>IFERROR(VLOOKUP(K1790,PAR!$V$3:$X$438,3,FALSE),"000000 - Nincs COFOG")</f>
        <v>000000 - Nincs COFOG</v>
      </c>
      <c r="S1790">
        <f t="shared" si="525"/>
        <v>0</v>
      </c>
      <c r="T1790">
        <f t="shared" si="526"/>
        <v>0</v>
      </c>
      <c r="U1790" t="str">
        <f>IF('906MP'!J1490&gt;0,CONCATENATE('906MP'!J1490," - ",'906MP'!P1490,", ",'906MP'!E1490),"nincs megjegyzés")</f>
        <v>nincs megjegyzés</v>
      </c>
      <c r="V1790" t="str">
        <f t="shared" si="513"/>
        <v>0P0</v>
      </c>
      <c r="W1790" t="str">
        <f t="shared" si="514"/>
        <v>0P0</v>
      </c>
      <c r="X1790" t="str">
        <f t="shared" si="515"/>
        <v>P0</v>
      </c>
      <c r="Y1790" t="str">
        <f t="shared" si="516"/>
        <v>00</v>
      </c>
      <c r="Z1790" t="str">
        <f t="shared" si="527"/>
        <v>00</v>
      </c>
      <c r="AA1790" t="str">
        <f t="shared" si="517"/>
        <v>00</v>
      </c>
      <c r="AB1790" t="str">
        <f t="shared" si="518"/>
        <v>00</v>
      </c>
      <c r="AC1790" t="str">
        <f t="shared" si="519"/>
        <v>0P0</v>
      </c>
      <c r="AD1790" t="str">
        <f t="shared" si="520"/>
        <v>P00</v>
      </c>
      <c r="AE1790" t="str">
        <f t="shared" si="521"/>
        <v>0P0</v>
      </c>
      <c r="AF1790" t="str">
        <f t="shared" si="522"/>
        <v>P00</v>
      </c>
      <c r="AG1790" t="str">
        <f t="shared" si="528"/>
        <v>0P00</v>
      </c>
      <c r="AH1790" t="str">
        <f t="shared" si="529"/>
        <v>P000</v>
      </c>
      <c r="AI1790" t="str">
        <f t="shared" si="530"/>
        <v>0P00</v>
      </c>
      <c r="AJ1790" t="str">
        <f t="shared" si="531"/>
        <v>P000</v>
      </c>
    </row>
    <row r="1791" spans="1:36" x14ac:dyDescent="0.25">
      <c r="A1791" s="325" t="str">
        <f>CONCATENATE("P",'906MP'!M1491)</f>
        <v>P</v>
      </c>
      <c r="B1791">
        <f>'906MP'!H1491</f>
        <v>0</v>
      </c>
      <c r="C1791">
        <f>'906MP'!J1491</f>
        <v>0</v>
      </c>
      <c r="D1791">
        <f>'906MP'!P1491</f>
        <v>0</v>
      </c>
      <c r="E1791">
        <f>'906MP'!X1491</f>
        <v>0</v>
      </c>
      <c r="F1791" t="str">
        <f t="shared" si="523"/>
        <v>0</v>
      </c>
      <c r="G1791" t="str">
        <f t="shared" si="524"/>
        <v>0</v>
      </c>
      <c r="H1791">
        <f>'906MP'!Y1491</f>
        <v>0</v>
      </c>
      <c r="I1791">
        <f>'906MP'!AK1491</f>
        <v>0</v>
      </c>
      <c r="J1791">
        <f>'906MP'!T1491</f>
        <v>0</v>
      </c>
      <c r="K1791">
        <f>'906MP'!AJ1491</f>
        <v>0</v>
      </c>
      <c r="L1791">
        <f>'906MP'!U1491</f>
        <v>0</v>
      </c>
      <c r="M1791" s="322" t="str">
        <f>IFERROR(VLOOKUP(A1791,PAR!$D$3:$E$53,2,FALSE),"nincs szervezet")</f>
        <v>nincs szervezet</v>
      </c>
      <c r="N1791" s="322" t="str">
        <f>VLOOKUP(F1791,PAR!$R$3:$S$5,2,FALSE)</f>
        <v>3 - egyik sem</v>
      </c>
      <c r="O1791" t="str">
        <f>IFERROR(VLOOKUP(J1791,PAR!$O$3:$P$5,2,FALSE),"nincs feladat")</f>
        <v>nincs feladat</v>
      </c>
      <c r="P1791" t="str">
        <f>IFERROR(VLOOKUP(G1791,PAR!$J$2:$M$19,4),"nincs rovat")</f>
        <v>nincs rovat</v>
      </c>
      <c r="Q1791" t="str">
        <f>IF(H1791&gt;0,VLOOKUP(H1791,PAR!$AA$3:$AC$187,3,FALSE),"nincs főkönyvi számla")</f>
        <v>nincs főkönyvi számla</v>
      </c>
      <c r="R1791" t="str">
        <f>IFERROR(VLOOKUP(K1791,PAR!$V$3:$X$438,3,FALSE),"000000 - Nincs COFOG")</f>
        <v>000000 - Nincs COFOG</v>
      </c>
      <c r="S1791">
        <f t="shared" si="525"/>
        <v>0</v>
      </c>
      <c r="T1791">
        <f t="shared" si="526"/>
        <v>0</v>
      </c>
      <c r="U1791" t="str">
        <f>IF('906MP'!J1491&gt;0,CONCATENATE('906MP'!J1491," - ",'906MP'!P1491,", ",'906MP'!E1491),"nincs megjegyzés")</f>
        <v>nincs megjegyzés</v>
      </c>
      <c r="V1791" t="str">
        <f t="shared" si="513"/>
        <v>0P0</v>
      </c>
      <c r="W1791" t="str">
        <f t="shared" si="514"/>
        <v>0P0</v>
      </c>
      <c r="X1791" t="str">
        <f t="shared" si="515"/>
        <v>P0</v>
      </c>
      <c r="Y1791" t="str">
        <f t="shared" si="516"/>
        <v>00</v>
      </c>
      <c r="Z1791" t="str">
        <f t="shared" si="527"/>
        <v>00</v>
      </c>
      <c r="AA1791" t="str">
        <f t="shared" si="517"/>
        <v>00</v>
      </c>
      <c r="AB1791" t="str">
        <f t="shared" si="518"/>
        <v>00</v>
      </c>
      <c r="AC1791" t="str">
        <f t="shared" si="519"/>
        <v>0P0</v>
      </c>
      <c r="AD1791" t="str">
        <f t="shared" si="520"/>
        <v>P00</v>
      </c>
      <c r="AE1791" t="str">
        <f t="shared" si="521"/>
        <v>0P0</v>
      </c>
      <c r="AF1791" t="str">
        <f t="shared" si="522"/>
        <v>P00</v>
      </c>
      <c r="AG1791" t="str">
        <f t="shared" si="528"/>
        <v>0P00</v>
      </c>
      <c r="AH1791" t="str">
        <f t="shared" si="529"/>
        <v>P000</v>
      </c>
      <c r="AI1791" t="str">
        <f t="shared" si="530"/>
        <v>0P00</v>
      </c>
      <c r="AJ1791" t="str">
        <f t="shared" si="531"/>
        <v>P000</v>
      </c>
    </row>
    <row r="1792" spans="1:36" x14ac:dyDescent="0.25">
      <c r="A1792" s="325" t="str">
        <f>CONCATENATE("P",'906MP'!M1492)</f>
        <v>P</v>
      </c>
      <c r="B1792">
        <f>'906MP'!H1492</f>
        <v>0</v>
      </c>
      <c r="C1792">
        <f>'906MP'!J1492</f>
        <v>0</v>
      </c>
      <c r="D1792">
        <f>'906MP'!P1492</f>
        <v>0</v>
      </c>
      <c r="E1792">
        <f>'906MP'!X1492</f>
        <v>0</v>
      </c>
      <c r="F1792" t="str">
        <f t="shared" si="523"/>
        <v>0</v>
      </c>
      <c r="G1792" t="str">
        <f t="shared" si="524"/>
        <v>0</v>
      </c>
      <c r="H1792">
        <f>'906MP'!Y1492</f>
        <v>0</v>
      </c>
      <c r="I1792">
        <f>'906MP'!AK1492</f>
        <v>0</v>
      </c>
      <c r="J1792">
        <f>'906MP'!T1492</f>
        <v>0</v>
      </c>
      <c r="K1792">
        <f>'906MP'!AJ1492</f>
        <v>0</v>
      </c>
      <c r="L1792">
        <f>'906MP'!U1492</f>
        <v>0</v>
      </c>
      <c r="M1792" s="322" t="str">
        <f>IFERROR(VLOOKUP(A1792,PAR!$D$3:$E$53,2,FALSE),"nincs szervezet")</f>
        <v>nincs szervezet</v>
      </c>
      <c r="N1792" s="322" t="str">
        <f>VLOOKUP(F1792,PAR!$R$3:$S$5,2,FALSE)</f>
        <v>3 - egyik sem</v>
      </c>
      <c r="O1792" t="str">
        <f>IFERROR(VLOOKUP(J1792,PAR!$O$3:$P$5,2,FALSE),"nincs feladat")</f>
        <v>nincs feladat</v>
      </c>
      <c r="P1792" t="str">
        <f>IFERROR(VLOOKUP(G1792,PAR!$J$2:$M$19,4),"nincs rovat")</f>
        <v>nincs rovat</v>
      </c>
      <c r="Q1792" t="str">
        <f>IF(H1792&gt;0,VLOOKUP(H1792,PAR!$AA$3:$AC$187,3,FALSE),"nincs főkönyvi számla")</f>
        <v>nincs főkönyvi számla</v>
      </c>
      <c r="R1792" t="str">
        <f>IFERROR(VLOOKUP(K1792,PAR!$V$3:$X$438,3,FALSE),"000000 - Nincs COFOG")</f>
        <v>000000 - Nincs COFOG</v>
      </c>
      <c r="S1792">
        <f t="shared" si="525"/>
        <v>0</v>
      </c>
      <c r="T1792">
        <f t="shared" si="526"/>
        <v>0</v>
      </c>
      <c r="U1792" t="str">
        <f>IF('906MP'!J1492&gt;0,CONCATENATE('906MP'!J1492," - ",'906MP'!P1492,", ",'906MP'!E1492),"nincs megjegyzés")</f>
        <v>nincs megjegyzés</v>
      </c>
      <c r="V1792" t="str">
        <f t="shared" si="513"/>
        <v>0P0</v>
      </c>
      <c r="W1792" t="str">
        <f t="shared" si="514"/>
        <v>0P0</v>
      </c>
      <c r="X1792" t="str">
        <f t="shared" si="515"/>
        <v>P0</v>
      </c>
      <c r="Y1792" t="str">
        <f t="shared" si="516"/>
        <v>00</v>
      </c>
      <c r="Z1792" t="str">
        <f t="shared" si="527"/>
        <v>00</v>
      </c>
      <c r="AA1792" t="str">
        <f t="shared" si="517"/>
        <v>00</v>
      </c>
      <c r="AB1792" t="str">
        <f t="shared" si="518"/>
        <v>00</v>
      </c>
      <c r="AC1792" t="str">
        <f t="shared" si="519"/>
        <v>0P0</v>
      </c>
      <c r="AD1792" t="str">
        <f t="shared" si="520"/>
        <v>P00</v>
      </c>
      <c r="AE1792" t="str">
        <f t="shared" si="521"/>
        <v>0P0</v>
      </c>
      <c r="AF1792" t="str">
        <f t="shared" si="522"/>
        <v>P00</v>
      </c>
      <c r="AG1792" t="str">
        <f t="shared" si="528"/>
        <v>0P00</v>
      </c>
      <c r="AH1792" t="str">
        <f t="shared" si="529"/>
        <v>P000</v>
      </c>
      <c r="AI1792" t="str">
        <f t="shared" si="530"/>
        <v>0P00</v>
      </c>
      <c r="AJ1792" t="str">
        <f t="shared" si="531"/>
        <v>P000</v>
      </c>
    </row>
    <row r="1793" spans="1:36" x14ac:dyDescent="0.25">
      <c r="A1793" s="325" t="str">
        <f>CONCATENATE("P",'906MP'!M1493)</f>
        <v>P</v>
      </c>
      <c r="B1793">
        <f>'906MP'!H1493</f>
        <v>0</v>
      </c>
      <c r="C1793">
        <f>'906MP'!J1493</f>
        <v>0</v>
      </c>
      <c r="D1793">
        <f>'906MP'!P1493</f>
        <v>0</v>
      </c>
      <c r="E1793">
        <f>'906MP'!X1493</f>
        <v>0</v>
      </c>
      <c r="F1793" t="str">
        <f t="shared" si="523"/>
        <v>0</v>
      </c>
      <c r="G1793" t="str">
        <f t="shared" si="524"/>
        <v>0</v>
      </c>
      <c r="H1793">
        <f>'906MP'!Y1493</f>
        <v>0</v>
      </c>
      <c r="I1793">
        <f>'906MP'!AK1493</f>
        <v>0</v>
      </c>
      <c r="J1793">
        <f>'906MP'!T1493</f>
        <v>0</v>
      </c>
      <c r="K1793">
        <f>'906MP'!AJ1493</f>
        <v>0</v>
      </c>
      <c r="L1793">
        <f>'906MP'!U1493</f>
        <v>0</v>
      </c>
      <c r="M1793" s="322" t="str">
        <f>IFERROR(VLOOKUP(A1793,PAR!$D$3:$E$53,2,FALSE),"nincs szervezet")</f>
        <v>nincs szervezet</v>
      </c>
      <c r="N1793" s="322" t="str">
        <f>VLOOKUP(F1793,PAR!$R$3:$S$5,2,FALSE)</f>
        <v>3 - egyik sem</v>
      </c>
      <c r="O1793" t="str">
        <f>IFERROR(VLOOKUP(J1793,PAR!$O$3:$P$5,2,FALSE),"nincs feladat")</f>
        <v>nincs feladat</v>
      </c>
      <c r="P1793" t="str">
        <f>IFERROR(VLOOKUP(G1793,PAR!$J$2:$M$19,4),"nincs rovat")</f>
        <v>nincs rovat</v>
      </c>
      <c r="Q1793" t="str">
        <f>IF(H1793&gt;0,VLOOKUP(H1793,PAR!$AA$3:$AC$187,3,FALSE),"nincs főkönyvi számla")</f>
        <v>nincs főkönyvi számla</v>
      </c>
      <c r="R1793" t="str">
        <f>IFERROR(VLOOKUP(K1793,PAR!$V$3:$X$438,3,FALSE),"000000 - Nincs COFOG")</f>
        <v>000000 - Nincs COFOG</v>
      </c>
      <c r="S1793">
        <f t="shared" si="525"/>
        <v>0</v>
      </c>
      <c r="T1793">
        <f t="shared" si="526"/>
        <v>0</v>
      </c>
      <c r="U1793" t="str">
        <f>IF('906MP'!J1493&gt;0,CONCATENATE('906MP'!J1493," - ",'906MP'!P1493,", ",'906MP'!E1493),"nincs megjegyzés")</f>
        <v>nincs megjegyzés</v>
      </c>
      <c r="V1793" t="str">
        <f t="shared" si="513"/>
        <v>0P0</v>
      </c>
      <c r="W1793" t="str">
        <f t="shared" si="514"/>
        <v>0P0</v>
      </c>
      <c r="X1793" t="str">
        <f t="shared" si="515"/>
        <v>P0</v>
      </c>
      <c r="Y1793" t="str">
        <f t="shared" si="516"/>
        <v>00</v>
      </c>
      <c r="Z1793" t="str">
        <f t="shared" si="527"/>
        <v>00</v>
      </c>
      <c r="AA1793" t="str">
        <f t="shared" si="517"/>
        <v>00</v>
      </c>
      <c r="AB1793" t="str">
        <f t="shared" si="518"/>
        <v>00</v>
      </c>
      <c r="AC1793" t="str">
        <f t="shared" si="519"/>
        <v>0P0</v>
      </c>
      <c r="AD1793" t="str">
        <f t="shared" si="520"/>
        <v>P00</v>
      </c>
      <c r="AE1793" t="str">
        <f t="shared" si="521"/>
        <v>0P0</v>
      </c>
      <c r="AF1793" t="str">
        <f t="shared" si="522"/>
        <v>P00</v>
      </c>
      <c r="AG1793" t="str">
        <f t="shared" si="528"/>
        <v>0P00</v>
      </c>
      <c r="AH1793" t="str">
        <f t="shared" si="529"/>
        <v>P000</v>
      </c>
      <c r="AI1793" t="str">
        <f t="shared" si="530"/>
        <v>0P00</v>
      </c>
      <c r="AJ1793" t="str">
        <f t="shared" si="531"/>
        <v>P000</v>
      </c>
    </row>
    <row r="1794" spans="1:36" x14ac:dyDescent="0.25">
      <c r="A1794" s="325" t="str">
        <f>CONCATENATE("P",'906MP'!M1494)</f>
        <v>P</v>
      </c>
      <c r="B1794">
        <f>'906MP'!H1494</f>
        <v>0</v>
      </c>
      <c r="C1794">
        <f>'906MP'!J1494</f>
        <v>0</v>
      </c>
      <c r="D1794">
        <f>'906MP'!P1494</f>
        <v>0</v>
      </c>
      <c r="E1794">
        <f>'906MP'!X1494</f>
        <v>0</v>
      </c>
      <c r="F1794" t="str">
        <f t="shared" si="523"/>
        <v>0</v>
      </c>
      <c r="G1794" t="str">
        <f t="shared" si="524"/>
        <v>0</v>
      </c>
      <c r="H1794">
        <f>'906MP'!Y1494</f>
        <v>0</v>
      </c>
      <c r="I1794">
        <f>'906MP'!AK1494</f>
        <v>0</v>
      </c>
      <c r="J1794">
        <f>'906MP'!T1494</f>
        <v>0</v>
      </c>
      <c r="K1794">
        <f>'906MP'!AJ1494</f>
        <v>0</v>
      </c>
      <c r="L1794">
        <f>'906MP'!U1494</f>
        <v>0</v>
      </c>
      <c r="M1794" s="322" t="str">
        <f>IFERROR(VLOOKUP(A1794,PAR!$D$3:$E$53,2,FALSE),"nincs szervezet")</f>
        <v>nincs szervezet</v>
      </c>
      <c r="N1794" s="322" t="str">
        <f>VLOOKUP(F1794,PAR!$R$3:$S$5,2,FALSE)</f>
        <v>3 - egyik sem</v>
      </c>
      <c r="O1794" t="str">
        <f>IFERROR(VLOOKUP(J1794,PAR!$O$3:$P$5,2,FALSE),"nincs feladat")</f>
        <v>nincs feladat</v>
      </c>
      <c r="P1794" t="str">
        <f>IFERROR(VLOOKUP(G1794,PAR!$J$2:$M$19,4),"nincs rovat")</f>
        <v>nincs rovat</v>
      </c>
      <c r="Q1794" t="str">
        <f>IF(H1794&gt;0,VLOOKUP(H1794,PAR!$AA$3:$AC$187,3,FALSE),"nincs főkönyvi számla")</f>
        <v>nincs főkönyvi számla</v>
      </c>
      <c r="R1794" t="str">
        <f>IFERROR(VLOOKUP(K1794,PAR!$V$3:$X$438,3,FALSE),"000000 - Nincs COFOG")</f>
        <v>000000 - Nincs COFOG</v>
      </c>
      <c r="S1794">
        <f t="shared" si="525"/>
        <v>0</v>
      </c>
      <c r="T1794">
        <f t="shared" si="526"/>
        <v>0</v>
      </c>
      <c r="U1794" t="str">
        <f>IF('906MP'!J1494&gt;0,CONCATENATE('906MP'!J1494," - ",'906MP'!P1494,", ",'906MP'!E1494),"nincs megjegyzés")</f>
        <v>nincs megjegyzés</v>
      </c>
      <c r="V1794" t="str">
        <f t="shared" ref="V1794:V1857" si="532">CONCATENATE(B1794,A1794,G1794)</f>
        <v>0P0</v>
      </c>
      <c r="W1794" t="str">
        <f t="shared" ref="W1794:W1857" si="533">CONCATENATE(B1794,A1794,F1794)</f>
        <v>0P0</v>
      </c>
      <c r="X1794" t="str">
        <f t="shared" ref="X1794:X1857" si="534">CONCATENATE(A1794,H1794)</f>
        <v>P0</v>
      </c>
      <c r="Y1794" t="str">
        <f t="shared" ref="Y1794:Y1857" si="535">CONCATENATE(B1794,H1794)</f>
        <v>00</v>
      </c>
      <c r="Z1794" t="str">
        <f t="shared" si="527"/>
        <v>00</v>
      </c>
      <c r="AA1794" t="str">
        <f t="shared" ref="AA1794:AA1857" si="536">CONCATENATE(B1794,G1794)</f>
        <v>00</v>
      </c>
      <c r="AB1794" t="str">
        <f t="shared" ref="AB1794:AB1857" si="537">CONCATENATE(J1794,G1794)</f>
        <v>00</v>
      </c>
      <c r="AC1794" t="str">
        <f t="shared" ref="AC1794:AC1857" si="538">CONCATENATE(B1794,A1794,H1794)</f>
        <v>0P0</v>
      </c>
      <c r="AD1794" t="str">
        <f t="shared" ref="AD1794:AD1857" si="539">CONCATENATE(A1794,H1794,J1794)</f>
        <v>P00</v>
      </c>
      <c r="AE1794" t="str">
        <f t="shared" ref="AE1794:AE1857" si="540">CONCATENATE(B1794,A1794,G1794)</f>
        <v>0P0</v>
      </c>
      <c r="AF1794" t="str">
        <f t="shared" ref="AF1794:AF1857" si="541">CONCATENATE(A1794,G1794,J1794)</f>
        <v>P00</v>
      </c>
      <c r="AG1794" t="str">
        <f t="shared" si="528"/>
        <v>0P00</v>
      </c>
      <c r="AH1794" t="str">
        <f t="shared" si="529"/>
        <v>P000</v>
      </c>
      <c r="AI1794" t="str">
        <f t="shared" si="530"/>
        <v>0P00</v>
      </c>
      <c r="AJ1794" t="str">
        <f t="shared" si="531"/>
        <v>P000</v>
      </c>
    </row>
    <row r="1795" spans="1:36" x14ac:dyDescent="0.25">
      <c r="A1795" s="325" t="str">
        <f>CONCATENATE("P",'906MP'!M1495)</f>
        <v>P</v>
      </c>
      <c r="B1795">
        <f>'906MP'!H1495</f>
        <v>0</v>
      </c>
      <c r="C1795">
        <f>'906MP'!J1495</f>
        <v>0</v>
      </c>
      <c r="D1795">
        <f>'906MP'!P1495</f>
        <v>0</v>
      </c>
      <c r="E1795">
        <f>'906MP'!X1495</f>
        <v>0</v>
      </c>
      <c r="F1795" t="str">
        <f t="shared" ref="F1795:F1858" si="542">LEFT(G1795,2)</f>
        <v>0</v>
      </c>
      <c r="G1795" t="str">
        <f t="shared" ref="G1795:G1858" si="543">LEFT(H1795,3)</f>
        <v>0</v>
      </c>
      <c r="H1795">
        <f>'906MP'!Y1495</f>
        <v>0</v>
      </c>
      <c r="I1795">
        <f>'906MP'!AK1495</f>
        <v>0</v>
      </c>
      <c r="J1795">
        <f>'906MP'!T1495</f>
        <v>0</v>
      </c>
      <c r="K1795">
        <f>'906MP'!AJ1495</f>
        <v>0</v>
      </c>
      <c r="L1795">
        <f>'906MP'!U1495</f>
        <v>0</v>
      </c>
      <c r="M1795" s="322" t="str">
        <f>IFERROR(VLOOKUP(A1795,PAR!$D$3:$E$53,2,FALSE),"nincs szervezet")</f>
        <v>nincs szervezet</v>
      </c>
      <c r="N1795" s="322" t="str">
        <f>VLOOKUP(F1795,PAR!$R$3:$S$5,2,FALSE)</f>
        <v>3 - egyik sem</v>
      </c>
      <c r="O1795" t="str">
        <f>IFERROR(VLOOKUP(J1795,PAR!$O$3:$P$5,2,FALSE),"nincs feladat")</f>
        <v>nincs feladat</v>
      </c>
      <c r="P1795" t="str">
        <f>IFERROR(VLOOKUP(G1795,PAR!$J$2:$M$19,4),"nincs rovat")</f>
        <v>nincs rovat</v>
      </c>
      <c r="Q1795" t="str">
        <f>IF(H1795&gt;0,VLOOKUP(H1795,PAR!$AA$3:$AC$187,3,FALSE),"nincs főkönyvi számla")</f>
        <v>nincs főkönyvi számla</v>
      </c>
      <c r="R1795" t="str">
        <f>IFERROR(VLOOKUP(K1795,PAR!$V$3:$X$438,3,FALSE),"000000 - Nincs COFOG")</f>
        <v>000000 - Nincs COFOG</v>
      </c>
      <c r="S1795">
        <f t="shared" ref="S1795:S1858" si="544">E1795</f>
        <v>0</v>
      </c>
      <c r="T1795">
        <f t="shared" ref="T1795:T1858" si="545">IF(F1795="09",E1795*-1,E1795)</f>
        <v>0</v>
      </c>
      <c r="U1795" t="str">
        <f>IF('906MP'!J1495&gt;0,CONCATENATE('906MP'!J1495," - ",'906MP'!P1495,", ",'906MP'!E1495),"nincs megjegyzés")</f>
        <v>nincs megjegyzés</v>
      </c>
      <c r="V1795" t="str">
        <f t="shared" si="532"/>
        <v>0P0</v>
      </c>
      <c r="W1795" t="str">
        <f t="shared" si="533"/>
        <v>0P0</v>
      </c>
      <c r="X1795" t="str">
        <f t="shared" si="534"/>
        <v>P0</v>
      </c>
      <c r="Y1795" t="str">
        <f t="shared" si="535"/>
        <v>00</v>
      </c>
      <c r="Z1795" t="str">
        <f t="shared" ref="Z1795:Z1858" si="546">CONCATENATE(J1795,H1795)</f>
        <v>00</v>
      </c>
      <c r="AA1795" t="str">
        <f t="shared" si="536"/>
        <v>00</v>
      </c>
      <c r="AB1795" t="str">
        <f t="shared" si="537"/>
        <v>00</v>
      </c>
      <c r="AC1795" t="str">
        <f t="shared" si="538"/>
        <v>0P0</v>
      </c>
      <c r="AD1795" t="str">
        <f t="shared" si="539"/>
        <v>P00</v>
      </c>
      <c r="AE1795" t="str">
        <f t="shared" si="540"/>
        <v>0P0</v>
      </c>
      <c r="AF1795" t="str">
        <f t="shared" si="541"/>
        <v>P00</v>
      </c>
      <c r="AG1795" t="str">
        <f t="shared" ref="AG1795:AG1858" si="547">CONCATENATE(B1795,A1795,H1795,L1795)</f>
        <v>0P00</v>
      </c>
      <c r="AH1795" t="str">
        <f t="shared" ref="AH1795:AH1858" si="548">CONCATENATE(A1795,J1795,H1795,L1795)</f>
        <v>P000</v>
      </c>
      <c r="AI1795" t="str">
        <f t="shared" ref="AI1795:AI1858" si="549">CONCATENATE(B1795,A1795,G1795,L1795)</f>
        <v>0P00</v>
      </c>
      <c r="AJ1795" t="str">
        <f t="shared" ref="AJ1795:AJ1858" si="550">CONCATENATE(A1795,G1795,J1795,L1795)</f>
        <v>P000</v>
      </c>
    </row>
    <row r="1796" spans="1:36" x14ac:dyDescent="0.25">
      <c r="A1796" s="325" t="str">
        <f>CONCATENATE("P",'906MP'!M1496)</f>
        <v>P</v>
      </c>
      <c r="B1796">
        <f>'906MP'!H1496</f>
        <v>0</v>
      </c>
      <c r="C1796">
        <f>'906MP'!J1496</f>
        <v>0</v>
      </c>
      <c r="D1796">
        <f>'906MP'!P1496</f>
        <v>0</v>
      </c>
      <c r="E1796">
        <f>'906MP'!X1496</f>
        <v>0</v>
      </c>
      <c r="F1796" t="str">
        <f t="shared" si="542"/>
        <v>0</v>
      </c>
      <c r="G1796" t="str">
        <f t="shared" si="543"/>
        <v>0</v>
      </c>
      <c r="H1796">
        <f>'906MP'!Y1496</f>
        <v>0</v>
      </c>
      <c r="I1796">
        <f>'906MP'!AK1496</f>
        <v>0</v>
      </c>
      <c r="J1796">
        <f>'906MP'!T1496</f>
        <v>0</v>
      </c>
      <c r="K1796">
        <f>'906MP'!AJ1496</f>
        <v>0</v>
      </c>
      <c r="L1796">
        <f>'906MP'!U1496</f>
        <v>0</v>
      </c>
      <c r="M1796" s="322" t="str">
        <f>IFERROR(VLOOKUP(A1796,PAR!$D$3:$E$53,2,FALSE),"nincs szervezet")</f>
        <v>nincs szervezet</v>
      </c>
      <c r="N1796" s="322" t="str">
        <f>VLOOKUP(F1796,PAR!$R$3:$S$5,2,FALSE)</f>
        <v>3 - egyik sem</v>
      </c>
      <c r="O1796" t="str">
        <f>IFERROR(VLOOKUP(J1796,PAR!$O$3:$P$5,2,FALSE),"nincs feladat")</f>
        <v>nincs feladat</v>
      </c>
      <c r="P1796" t="str">
        <f>IFERROR(VLOOKUP(G1796,PAR!$J$2:$M$19,4),"nincs rovat")</f>
        <v>nincs rovat</v>
      </c>
      <c r="Q1796" t="str">
        <f>IF(H1796&gt;0,VLOOKUP(H1796,PAR!$AA$3:$AC$187,3,FALSE),"nincs főkönyvi számla")</f>
        <v>nincs főkönyvi számla</v>
      </c>
      <c r="R1796" t="str">
        <f>IFERROR(VLOOKUP(K1796,PAR!$V$3:$X$438,3,FALSE),"000000 - Nincs COFOG")</f>
        <v>000000 - Nincs COFOG</v>
      </c>
      <c r="S1796">
        <f t="shared" si="544"/>
        <v>0</v>
      </c>
      <c r="T1796">
        <f t="shared" si="545"/>
        <v>0</v>
      </c>
      <c r="U1796" t="str">
        <f>IF('906MP'!J1496&gt;0,CONCATENATE('906MP'!J1496," - ",'906MP'!P1496,", ",'906MP'!E1496),"nincs megjegyzés")</f>
        <v>nincs megjegyzés</v>
      </c>
      <c r="V1796" t="str">
        <f t="shared" si="532"/>
        <v>0P0</v>
      </c>
      <c r="W1796" t="str">
        <f t="shared" si="533"/>
        <v>0P0</v>
      </c>
      <c r="X1796" t="str">
        <f t="shared" si="534"/>
        <v>P0</v>
      </c>
      <c r="Y1796" t="str">
        <f t="shared" si="535"/>
        <v>00</v>
      </c>
      <c r="Z1796" t="str">
        <f t="shared" si="546"/>
        <v>00</v>
      </c>
      <c r="AA1796" t="str">
        <f t="shared" si="536"/>
        <v>00</v>
      </c>
      <c r="AB1796" t="str">
        <f t="shared" si="537"/>
        <v>00</v>
      </c>
      <c r="AC1796" t="str">
        <f t="shared" si="538"/>
        <v>0P0</v>
      </c>
      <c r="AD1796" t="str">
        <f t="shared" si="539"/>
        <v>P00</v>
      </c>
      <c r="AE1796" t="str">
        <f t="shared" si="540"/>
        <v>0P0</v>
      </c>
      <c r="AF1796" t="str">
        <f t="shared" si="541"/>
        <v>P00</v>
      </c>
      <c r="AG1796" t="str">
        <f t="shared" si="547"/>
        <v>0P00</v>
      </c>
      <c r="AH1796" t="str">
        <f t="shared" si="548"/>
        <v>P000</v>
      </c>
      <c r="AI1796" t="str">
        <f t="shared" si="549"/>
        <v>0P00</v>
      </c>
      <c r="AJ1796" t="str">
        <f t="shared" si="550"/>
        <v>P000</v>
      </c>
    </row>
    <row r="1797" spans="1:36" x14ac:dyDescent="0.25">
      <c r="A1797" s="325" t="str">
        <f>CONCATENATE("P",'906MP'!M1497)</f>
        <v>P</v>
      </c>
      <c r="B1797">
        <f>'906MP'!H1497</f>
        <v>0</v>
      </c>
      <c r="C1797">
        <f>'906MP'!J1497</f>
        <v>0</v>
      </c>
      <c r="D1797">
        <f>'906MP'!P1497</f>
        <v>0</v>
      </c>
      <c r="E1797">
        <f>'906MP'!X1497</f>
        <v>0</v>
      </c>
      <c r="F1797" t="str">
        <f t="shared" si="542"/>
        <v>0</v>
      </c>
      <c r="G1797" t="str">
        <f t="shared" si="543"/>
        <v>0</v>
      </c>
      <c r="H1797">
        <f>'906MP'!Y1497</f>
        <v>0</v>
      </c>
      <c r="I1797">
        <f>'906MP'!AK1497</f>
        <v>0</v>
      </c>
      <c r="J1797">
        <f>'906MP'!T1497</f>
        <v>0</v>
      </c>
      <c r="K1797">
        <f>'906MP'!AJ1497</f>
        <v>0</v>
      </c>
      <c r="L1797">
        <f>'906MP'!U1497</f>
        <v>0</v>
      </c>
      <c r="M1797" s="322" t="str">
        <f>IFERROR(VLOOKUP(A1797,PAR!$D$3:$E$53,2,FALSE),"nincs szervezet")</f>
        <v>nincs szervezet</v>
      </c>
      <c r="N1797" s="322" t="str">
        <f>VLOOKUP(F1797,PAR!$R$3:$S$5,2,FALSE)</f>
        <v>3 - egyik sem</v>
      </c>
      <c r="O1797" t="str">
        <f>IFERROR(VLOOKUP(J1797,PAR!$O$3:$P$5,2,FALSE),"nincs feladat")</f>
        <v>nincs feladat</v>
      </c>
      <c r="P1797" t="str">
        <f>IFERROR(VLOOKUP(G1797,PAR!$J$2:$M$19,4),"nincs rovat")</f>
        <v>nincs rovat</v>
      </c>
      <c r="Q1797" t="str">
        <f>IF(H1797&gt;0,VLOOKUP(H1797,PAR!$AA$3:$AC$187,3,FALSE),"nincs főkönyvi számla")</f>
        <v>nincs főkönyvi számla</v>
      </c>
      <c r="R1797" t="str">
        <f>IFERROR(VLOOKUP(K1797,PAR!$V$3:$X$438,3,FALSE),"000000 - Nincs COFOG")</f>
        <v>000000 - Nincs COFOG</v>
      </c>
      <c r="S1797">
        <f t="shared" si="544"/>
        <v>0</v>
      </c>
      <c r="T1797">
        <f t="shared" si="545"/>
        <v>0</v>
      </c>
      <c r="U1797" t="str">
        <f>IF('906MP'!J1497&gt;0,CONCATENATE('906MP'!J1497," - ",'906MP'!P1497,", ",'906MP'!E1497),"nincs megjegyzés")</f>
        <v>nincs megjegyzés</v>
      </c>
      <c r="V1797" t="str">
        <f t="shared" si="532"/>
        <v>0P0</v>
      </c>
      <c r="W1797" t="str">
        <f t="shared" si="533"/>
        <v>0P0</v>
      </c>
      <c r="X1797" t="str">
        <f t="shared" si="534"/>
        <v>P0</v>
      </c>
      <c r="Y1797" t="str">
        <f t="shared" si="535"/>
        <v>00</v>
      </c>
      <c r="Z1797" t="str">
        <f t="shared" si="546"/>
        <v>00</v>
      </c>
      <c r="AA1797" t="str">
        <f t="shared" si="536"/>
        <v>00</v>
      </c>
      <c r="AB1797" t="str">
        <f t="shared" si="537"/>
        <v>00</v>
      </c>
      <c r="AC1797" t="str">
        <f t="shared" si="538"/>
        <v>0P0</v>
      </c>
      <c r="AD1797" t="str">
        <f t="shared" si="539"/>
        <v>P00</v>
      </c>
      <c r="AE1797" t="str">
        <f t="shared" si="540"/>
        <v>0P0</v>
      </c>
      <c r="AF1797" t="str">
        <f t="shared" si="541"/>
        <v>P00</v>
      </c>
      <c r="AG1797" t="str">
        <f t="shared" si="547"/>
        <v>0P00</v>
      </c>
      <c r="AH1797" t="str">
        <f t="shared" si="548"/>
        <v>P000</v>
      </c>
      <c r="AI1797" t="str">
        <f t="shared" si="549"/>
        <v>0P00</v>
      </c>
      <c r="AJ1797" t="str">
        <f t="shared" si="550"/>
        <v>P000</v>
      </c>
    </row>
    <row r="1798" spans="1:36" x14ac:dyDescent="0.25">
      <c r="A1798" s="325" t="str">
        <f>CONCATENATE("P",'906MP'!M1498)</f>
        <v>P</v>
      </c>
      <c r="B1798">
        <f>'906MP'!H1498</f>
        <v>0</v>
      </c>
      <c r="C1798">
        <f>'906MP'!J1498</f>
        <v>0</v>
      </c>
      <c r="D1798">
        <f>'906MP'!P1498</f>
        <v>0</v>
      </c>
      <c r="E1798">
        <f>'906MP'!X1498</f>
        <v>0</v>
      </c>
      <c r="F1798" t="str">
        <f t="shared" si="542"/>
        <v>0</v>
      </c>
      <c r="G1798" t="str">
        <f t="shared" si="543"/>
        <v>0</v>
      </c>
      <c r="H1798">
        <f>'906MP'!Y1498</f>
        <v>0</v>
      </c>
      <c r="I1798">
        <f>'906MP'!AK1498</f>
        <v>0</v>
      </c>
      <c r="J1798">
        <f>'906MP'!T1498</f>
        <v>0</v>
      </c>
      <c r="K1798">
        <f>'906MP'!AJ1498</f>
        <v>0</v>
      </c>
      <c r="L1798">
        <f>'906MP'!U1498</f>
        <v>0</v>
      </c>
      <c r="M1798" s="322" t="str">
        <f>IFERROR(VLOOKUP(A1798,PAR!$D$3:$E$53,2,FALSE),"nincs szervezet")</f>
        <v>nincs szervezet</v>
      </c>
      <c r="N1798" s="322" t="str">
        <f>VLOOKUP(F1798,PAR!$R$3:$S$5,2,FALSE)</f>
        <v>3 - egyik sem</v>
      </c>
      <c r="O1798" t="str">
        <f>IFERROR(VLOOKUP(J1798,PAR!$O$3:$P$5,2,FALSE),"nincs feladat")</f>
        <v>nincs feladat</v>
      </c>
      <c r="P1798" t="str">
        <f>IFERROR(VLOOKUP(G1798,PAR!$J$2:$M$19,4),"nincs rovat")</f>
        <v>nincs rovat</v>
      </c>
      <c r="Q1798" t="str">
        <f>IF(H1798&gt;0,VLOOKUP(H1798,PAR!$AA$3:$AC$187,3,FALSE),"nincs főkönyvi számla")</f>
        <v>nincs főkönyvi számla</v>
      </c>
      <c r="R1798" t="str">
        <f>IFERROR(VLOOKUP(K1798,PAR!$V$3:$X$438,3,FALSE),"000000 - Nincs COFOG")</f>
        <v>000000 - Nincs COFOG</v>
      </c>
      <c r="S1798">
        <f t="shared" si="544"/>
        <v>0</v>
      </c>
      <c r="T1798">
        <f t="shared" si="545"/>
        <v>0</v>
      </c>
      <c r="U1798" t="str">
        <f>IF('906MP'!J1498&gt;0,CONCATENATE('906MP'!J1498," - ",'906MP'!P1498,", ",'906MP'!E1498),"nincs megjegyzés")</f>
        <v>nincs megjegyzés</v>
      </c>
      <c r="V1798" t="str">
        <f t="shared" si="532"/>
        <v>0P0</v>
      </c>
      <c r="W1798" t="str">
        <f t="shared" si="533"/>
        <v>0P0</v>
      </c>
      <c r="X1798" t="str">
        <f t="shared" si="534"/>
        <v>P0</v>
      </c>
      <c r="Y1798" t="str">
        <f t="shared" si="535"/>
        <v>00</v>
      </c>
      <c r="Z1798" t="str">
        <f t="shared" si="546"/>
        <v>00</v>
      </c>
      <c r="AA1798" t="str">
        <f t="shared" si="536"/>
        <v>00</v>
      </c>
      <c r="AB1798" t="str">
        <f t="shared" si="537"/>
        <v>00</v>
      </c>
      <c r="AC1798" t="str">
        <f t="shared" si="538"/>
        <v>0P0</v>
      </c>
      <c r="AD1798" t="str">
        <f t="shared" si="539"/>
        <v>P00</v>
      </c>
      <c r="AE1798" t="str">
        <f t="shared" si="540"/>
        <v>0P0</v>
      </c>
      <c r="AF1798" t="str">
        <f t="shared" si="541"/>
        <v>P00</v>
      </c>
      <c r="AG1798" t="str">
        <f t="shared" si="547"/>
        <v>0P00</v>
      </c>
      <c r="AH1798" t="str">
        <f t="shared" si="548"/>
        <v>P000</v>
      </c>
      <c r="AI1798" t="str">
        <f t="shared" si="549"/>
        <v>0P00</v>
      </c>
      <c r="AJ1798" t="str">
        <f t="shared" si="550"/>
        <v>P000</v>
      </c>
    </row>
    <row r="1799" spans="1:36" x14ac:dyDescent="0.25">
      <c r="A1799" s="325" t="str">
        <f>CONCATENATE("P",'906MP'!M1499)</f>
        <v>P</v>
      </c>
      <c r="B1799">
        <f>'906MP'!H1499</f>
        <v>0</v>
      </c>
      <c r="C1799">
        <f>'906MP'!J1499</f>
        <v>0</v>
      </c>
      <c r="D1799">
        <f>'906MP'!P1499</f>
        <v>0</v>
      </c>
      <c r="E1799">
        <f>'906MP'!X1499</f>
        <v>0</v>
      </c>
      <c r="F1799" t="str">
        <f t="shared" si="542"/>
        <v>0</v>
      </c>
      <c r="G1799" t="str">
        <f t="shared" si="543"/>
        <v>0</v>
      </c>
      <c r="H1799">
        <f>'906MP'!Y1499</f>
        <v>0</v>
      </c>
      <c r="I1799">
        <f>'906MP'!AK1499</f>
        <v>0</v>
      </c>
      <c r="J1799">
        <f>'906MP'!T1499</f>
        <v>0</v>
      </c>
      <c r="K1799">
        <f>'906MP'!AJ1499</f>
        <v>0</v>
      </c>
      <c r="L1799">
        <f>'906MP'!U1499</f>
        <v>0</v>
      </c>
      <c r="M1799" s="322" t="str">
        <f>IFERROR(VLOOKUP(A1799,PAR!$D$3:$E$53,2,FALSE),"nincs szervezet")</f>
        <v>nincs szervezet</v>
      </c>
      <c r="N1799" s="322" t="str">
        <f>VLOOKUP(F1799,PAR!$R$3:$S$5,2,FALSE)</f>
        <v>3 - egyik sem</v>
      </c>
      <c r="O1799" t="str">
        <f>IFERROR(VLOOKUP(J1799,PAR!$O$3:$P$5,2,FALSE),"nincs feladat")</f>
        <v>nincs feladat</v>
      </c>
      <c r="P1799" t="str">
        <f>IFERROR(VLOOKUP(G1799,PAR!$J$2:$M$19,4),"nincs rovat")</f>
        <v>nincs rovat</v>
      </c>
      <c r="Q1799" t="str">
        <f>IF(H1799&gt;0,VLOOKUP(H1799,PAR!$AA$3:$AC$187,3,FALSE),"nincs főkönyvi számla")</f>
        <v>nincs főkönyvi számla</v>
      </c>
      <c r="R1799" t="str">
        <f>IFERROR(VLOOKUP(K1799,PAR!$V$3:$X$438,3,FALSE),"000000 - Nincs COFOG")</f>
        <v>000000 - Nincs COFOG</v>
      </c>
      <c r="S1799">
        <f t="shared" si="544"/>
        <v>0</v>
      </c>
      <c r="T1799">
        <f t="shared" si="545"/>
        <v>0</v>
      </c>
      <c r="U1799" t="str">
        <f>IF('906MP'!J1499&gt;0,CONCATENATE('906MP'!J1499," - ",'906MP'!P1499,", ",'906MP'!E1499),"nincs megjegyzés")</f>
        <v>nincs megjegyzés</v>
      </c>
      <c r="V1799" t="str">
        <f t="shared" si="532"/>
        <v>0P0</v>
      </c>
      <c r="W1799" t="str">
        <f t="shared" si="533"/>
        <v>0P0</v>
      </c>
      <c r="X1799" t="str">
        <f t="shared" si="534"/>
        <v>P0</v>
      </c>
      <c r="Y1799" t="str">
        <f t="shared" si="535"/>
        <v>00</v>
      </c>
      <c r="Z1799" t="str">
        <f t="shared" si="546"/>
        <v>00</v>
      </c>
      <c r="AA1799" t="str">
        <f t="shared" si="536"/>
        <v>00</v>
      </c>
      <c r="AB1799" t="str">
        <f t="shared" si="537"/>
        <v>00</v>
      </c>
      <c r="AC1799" t="str">
        <f t="shared" si="538"/>
        <v>0P0</v>
      </c>
      <c r="AD1799" t="str">
        <f t="shared" si="539"/>
        <v>P00</v>
      </c>
      <c r="AE1799" t="str">
        <f t="shared" si="540"/>
        <v>0P0</v>
      </c>
      <c r="AF1799" t="str">
        <f t="shared" si="541"/>
        <v>P00</v>
      </c>
      <c r="AG1799" t="str">
        <f t="shared" si="547"/>
        <v>0P00</v>
      </c>
      <c r="AH1799" t="str">
        <f t="shared" si="548"/>
        <v>P000</v>
      </c>
      <c r="AI1799" t="str">
        <f t="shared" si="549"/>
        <v>0P00</v>
      </c>
      <c r="AJ1799" t="str">
        <f t="shared" si="550"/>
        <v>P000</v>
      </c>
    </row>
    <row r="1800" spans="1:36" x14ac:dyDescent="0.25">
      <c r="A1800" s="325" t="str">
        <f>CONCATENATE("P",'906MP'!M1500)</f>
        <v>P</v>
      </c>
      <c r="B1800">
        <f>'906MP'!H1500</f>
        <v>0</v>
      </c>
      <c r="C1800">
        <f>'906MP'!J1500</f>
        <v>0</v>
      </c>
      <c r="D1800">
        <f>'906MP'!P1500</f>
        <v>0</v>
      </c>
      <c r="E1800">
        <f>'906MP'!X1500</f>
        <v>0</v>
      </c>
      <c r="F1800" t="str">
        <f t="shared" si="542"/>
        <v>0</v>
      </c>
      <c r="G1800" t="str">
        <f t="shared" si="543"/>
        <v>0</v>
      </c>
      <c r="H1800">
        <f>'906MP'!Y1500</f>
        <v>0</v>
      </c>
      <c r="I1800">
        <f>'906MP'!AK1500</f>
        <v>0</v>
      </c>
      <c r="J1800">
        <f>'906MP'!T1500</f>
        <v>0</v>
      </c>
      <c r="K1800">
        <f>'906MP'!AJ1500</f>
        <v>0</v>
      </c>
      <c r="L1800">
        <f>'906MP'!U1500</f>
        <v>0</v>
      </c>
      <c r="M1800" s="322" t="str">
        <f>IFERROR(VLOOKUP(A1800,PAR!$D$3:$E$53,2,FALSE),"nincs szervezet")</f>
        <v>nincs szervezet</v>
      </c>
      <c r="N1800" s="322" t="str">
        <f>VLOOKUP(F1800,PAR!$R$3:$S$5,2,FALSE)</f>
        <v>3 - egyik sem</v>
      </c>
      <c r="O1800" t="str">
        <f>IFERROR(VLOOKUP(J1800,PAR!$O$3:$P$5,2,FALSE),"nincs feladat")</f>
        <v>nincs feladat</v>
      </c>
      <c r="P1800" t="str">
        <f>IFERROR(VLOOKUP(G1800,PAR!$J$2:$M$19,4),"nincs rovat")</f>
        <v>nincs rovat</v>
      </c>
      <c r="Q1800" t="str">
        <f>IF(H1800&gt;0,VLOOKUP(H1800,PAR!$AA$3:$AC$187,3,FALSE),"nincs főkönyvi számla")</f>
        <v>nincs főkönyvi számla</v>
      </c>
      <c r="R1800" t="str">
        <f>IFERROR(VLOOKUP(K1800,PAR!$V$3:$X$438,3,FALSE),"000000 - Nincs COFOG")</f>
        <v>000000 - Nincs COFOG</v>
      </c>
      <c r="S1800">
        <f t="shared" si="544"/>
        <v>0</v>
      </c>
      <c r="T1800">
        <f t="shared" si="545"/>
        <v>0</v>
      </c>
      <c r="U1800" t="str">
        <f>IF('906MP'!J1500&gt;0,CONCATENATE('906MP'!J1500," - ",'906MP'!P1500,", ",'906MP'!E1500),"nincs megjegyzés")</f>
        <v>nincs megjegyzés</v>
      </c>
      <c r="V1800" t="str">
        <f t="shared" si="532"/>
        <v>0P0</v>
      </c>
      <c r="W1800" t="str">
        <f t="shared" si="533"/>
        <v>0P0</v>
      </c>
      <c r="X1800" t="str">
        <f t="shared" si="534"/>
        <v>P0</v>
      </c>
      <c r="Y1800" t="str">
        <f t="shared" si="535"/>
        <v>00</v>
      </c>
      <c r="Z1800" t="str">
        <f t="shared" si="546"/>
        <v>00</v>
      </c>
      <c r="AA1800" t="str">
        <f t="shared" si="536"/>
        <v>00</v>
      </c>
      <c r="AB1800" t="str">
        <f t="shared" si="537"/>
        <v>00</v>
      </c>
      <c r="AC1800" t="str">
        <f t="shared" si="538"/>
        <v>0P0</v>
      </c>
      <c r="AD1800" t="str">
        <f t="shared" si="539"/>
        <v>P00</v>
      </c>
      <c r="AE1800" t="str">
        <f t="shared" si="540"/>
        <v>0P0</v>
      </c>
      <c r="AF1800" t="str">
        <f t="shared" si="541"/>
        <v>P00</v>
      </c>
      <c r="AG1800" t="str">
        <f t="shared" si="547"/>
        <v>0P00</v>
      </c>
      <c r="AH1800" t="str">
        <f t="shared" si="548"/>
        <v>P000</v>
      </c>
      <c r="AI1800" t="str">
        <f t="shared" si="549"/>
        <v>0P00</v>
      </c>
      <c r="AJ1800" t="str">
        <f t="shared" si="550"/>
        <v>P000</v>
      </c>
    </row>
    <row r="1801" spans="1:36" x14ac:dyDescent="0.25">
      <c r="A1801" s="325" t="str">
        <f>CONCATENATE("P",'906MP'!M1501)</f>
        <v>P</v>
      </c>
      <c r="B1801">
        <f>'906MP'!H1501</f>
        <v>0</v>
      </c>
      <c r="C1801">
        <f>'906MP'!J1501</f>
        <v>0</v>
      </c>
      <c r="D1801">
        <f>'906MP'!P1501</f>
        <v>0</v>
      </c>
      <c r="E1801">
        <f>'906MP'!X1501</f>
        <v>0</v>
      </c>
      <c r="F1801" t="str">
        <f t="shared" si="542"/>
        <v>0</v>
      </c>
      <c r="G1801" t="str">
        <f t="shared" si="543"/>
        <v>0</v>
      </c>
      <c r="H1801">
        <f>'906MP'!Y1501</f>
        <v>0</v>
      </c>
      <c r="I1801">
        <f>'906MP'!AK1501</f>
        <v>0</v>
      </c>
      <c r="J1801">
        <f>'906MP'!T1501</f>
        <v>0</v>
      </c>
      <c r="K1801">
        <f>'906MP'!AJ1501</f>
        <v>0</v>
      </c>
      <c r="L1801">
        <f>'906MP'!U1501</f>
        <v>0</v>
      </c>
      <c r="M1801" s="322" t="str">
        <f>IFERROR(VLOOKUP(A1801,PAR!$D$3:$E$53,2,FALSE),"nincs szervezet")</f>
        <v>nincs szervezet</v>
      </c>
      <c r="N1801" s="322" t="str">
        <f>VLOOKUP(F1801,PAR!$R$3:$S$5,2,FALSE)</f>
        <v>3 - egyik sem</v>
      </c>
      <c r="O1801" t="str">
        <f>IFERROR(VLOOKUP(J1801,PAR!$O$3:$P$5,2,FALSE),"nincs feladat")</f>
        <v>nincs feladat</v>
      </c>
      <c r="P1801" t="str">
        <f>IFERROR(VLOOKUP(G1801,PAR!$J$2:$M$19,4),"nincs rovat")</f>
        <v>nincs rovat</v>
      </c>
      <c r="Q1801" t="str">
        <f>IF(H1801&gt;0,VLOOKUP(H1801,PAR!$AA$3:$AC$187,3,FALSE),"nincs főkönyvi számla")</f>
        <v>nincs főkönyvi számla</v>
      </c>
      <c r="R1801" t="str">
        <f>IFERROR(VLOOKUP(K1801,PAR!$V$3:$X$438,3,FALSE),"000000 - Nincs COFOG")</f>
        <v>000000 - Nincs COFOG</v>
      </c>
      <c r="S1801">
        <f t="shared" si="544"/>
        <v>0</v>
      </c>
      <c r="T1801">
        <f t="shared" si="545"/>
        <v>0</v>
      </c>
      <c r="U1801" t="str">
        <f>IF('906MP'!J1501&gt;0,CONCATENATE('906MP'!J1501," - ",'906MP'!P1501,", ",'906MP'!E1501),"nincs megjegyzés")</f>
        <v>nincs megjegyzés</v>
      </c>
      <c r="V1801" t="str">
        <f t="shared" si="532"/>
        <v>0P0</v>
      </c>
      <c r="W1801" t="str">
        <f t="shared" si="533"/>
        <v>0P0</v>
      </c>
      <c r="X1801" t="str">
        <f t="shared" si="534"/>
        <v>P0</v>
      </c>
      <c r="Y1801" t="str">
        <f t="shared" si="535"/>
        <v>00</v>
      </c>
      <c r="Z1801" t="str">
        <f t="shared" si="546"/>
        <v>00</v>
      </c>
      <c r="AA1801" t="str">
        <f t="shared" si="536"/>
        <v>00</v>
      </c>
      <c r="AB1801" t="str">
        <f t="shared" si="537"/>
        <v>00</v>
      </c>
      <c r="AC1801" t="str">
        <f t="shared" si="538"/>
        <v>0P0</v>
      </c>
      <c r="AD1801" t="str">
        <f t="shared" si="539"/>
        <v>P00</v>
      </c>
      <c r="AE1801" t="str">
        <f t="shared" si="540"/>
        <v>0P0</v>
      </c>
      <c r="AF1801" t="str">
        <f t="shared" si="541"/>
        <v>P00</v>
      </c>
      <c r="AG1801" t="str">
        <f t="shared" si="547"/>
        <v>0P00</v>
      </c>
      <c r="AH1801" t="str">
        <f t="shared" si="548"/>
        <v>P000</v>
      </c>
      <c r="AI1801" t="str">
        <f t="shared" si="549"/>
        <v>0P00</v>
      </c>
      <c r="AJ1801" t="str">
        <f t="shared" si="550"/>
        <v>P000</v>
      </c>
    </row>
    <row r="1802" spans="1:36" x14ac:dyDescent="0.25">
      <c r="A1802" s="325" t="str">
        <f>CONCATENATE("P",'906MP'!M1502)</f>
        <v>P</v>
      </c>
      <c r="B1802">
        <f>'906MP'!H1502</f>
        <v>0</v>
      </c>
      <c r="C1802">
        <f>'906MP'!J1502</f>
        <v>0</v>
      </c>
      <c r="D1802">
        <f>'906MP'!P1502</f>
        <v>0</v>
      </c>
      <c r="E1802">
        <f>'906MP'!X1502</f>
        <v>0</v>
      </c>
      <c r="F1802" t="str">
        <f t="shared" si="542"/>
        <v>0</v>
      </c>
      <c r="G1802" t="str">
        <f t="shared" si="543"/>
        <v>0</v>
      </c>
      <c r="H1802">
        <f>'906MP'!Y1502</f>
        <v>0</v>
      </c>
      <c r="I1802">
        <f>'906MP'!AK1502</f>
        <v>0</v>
      </c>
      <c r="J1802">
        <f>'906MP'!T1502</f>
        <v>0</v>
      </c>
      <c r="K1802">
        <f>'906MP'!AJ1502</f>
        <v>0</v>
      </c>
      <c r="L1802">
        <f>'906MP'!U1502</f>
        <v>0</v>
      </c>
      <c r="M1802" s="322" t="str">
        <f>IFERROR(VLOOKUP(A1802,PAR!$D$3:$E$53,2,FALSE),"nincs szervezet")</f>
        <v>nincs szervezet</v>
      </c>
      <c r="N1802" s="322" t="str">
        <f>VLOOKUP(F1802,PAR!$R$3:$S$5,2,FALSE)</f>
        <v>3 - egyik sem</v>
      </c>
      <c r="O1802" t="str">
        <f>IFERROR(VLOOKUP(J1802,PAR!$O$3:$P$5,2,FALSE),"nincs feladat")</f>
        <v>nincs feladat</v>
      </c>
      <c r="P1802" t="str">
        <f>IFERROR(VLOOKUP(G1802,PAR!$J$2:$M$19,4),"nincs rovat")</f>
        <v>nincs rovat</v>
      </c>
      <c r="Q1802" t="str">
        <f>IF(H1802&gt;0,VLOOKUP(H1802,PAR!$AA$3:$AC$187,3,FALSE),"nincs főkönyvi számla")</f>
        <v>nincs főkönyvi számla</v>
      </c>
      <c r="R1802" t="str">
        <f>IFERROR(VLOOKUP(K1802,PAR!$V$3:$X$438,3,FALSE),"000000 - Nincs COFOG")</f>
        <v>000000 - Nincs COFOG</v>
      </c>
      <c r="S1802">
        <f t="shared" si="544"/>
        <v>0</v>
      </c>
      <c r="T1802">
        <f t="shared" si="545"/>
        <v>0</v>
      </c>
      <c r="U1802" t="str">
        <f>IF('906MP'!J1502&gt;0,CONCATENATE('906MP'!J1502," - ",'906MP'!P1502,", ",'906MP'!E1502),"nincs megjegyzés")</f>
        <v>nincs megjegyzés</v>
      </c>
      <c r="V1802" t="str">
        <f t="shared" si="532"/>
        <v>0P0</v>
      </c>
      <c r="W1802" t="str">
        <f t="shared" si="533"/>
        <v>0P0</v>
      </c>
      <c r="X1802" t="str">
        <f t="shared" si="534"/>
        <v>P0</v>
      </c>
      <c r="Y1802" t="str">
        <f t="shared" si="535"/>
        <v>00</v>
      </c>
      <c r="Z1802" t="str">
        <f t="shared" si="546"/>
        <v>00</v>
      </c>
      <c r="AA1802" t="str">
        <f t="shared" si="536"/>
        <v>00</v>
      </c>
      <c r="AB1802" t="str">
        <f t="shared" si="537"/>
        <v>00</v>
      </c>
      <c r="AC1802" t="str">
        <f t="shared" si="538"/>
        <v>0P0</v>
      </c>
      <c r="AD1802" t="str">
        <f t="shared" si="539"/>
        <v>P00</v>
      </c>
      <c r="AE1802" t="str">
        <f t="shared" si="540"/>
        <v>0P0</v>
      </c>
      <c r="AF1802" t="str">
        <f t="shared" si="541"/>
        <v>P00</v>
      </c>
      <c r="AG1802" t="str">
        <f t="shared" si="547"/>
        <v>0P00</v>
      </c>
      <c r="AH1802" t="str">
        <f t="shared" si="548"/>
        <v>P000</v>
      </c>
      <c r="AI1802" t="str">
        <f t="shared" si="549"/>
        <v>0P00</v>
      </c>
      <c r="AJ1802" t="str">
        <f t="shared" si="550"/>
        <v>P000</v>
      </c>
    </row>
    <row r="1803" spans="1:36" x14ac:dyDescent="0.25">
      <c r="A1803" s="325" t="str">
        <f>CONCATENATE("P",'906MP'!M1503)</f>
        <v>P</v>
      </c>
      <c r="B1803">
        <f>'906MP'!H1503</f>
        <v>0</v>
      </c>
      <c r="C1803">
        <f>'906MP'!J1503</f>
        <v>0</v>
      </c>
      <c r="D1803">
        <f>'906MP'!P1503</f>
        <v>0</v>
      </c>
      <c r="E1803">
        <f>'906MP'!X1503</f>
        <v>0</v>
      </c>
      <c r="F1803" t="str">
        <f t="shared" si="542"/>
        <v>0</v>
      </c>
      <c r="G1803" t="str">
        <f t="shared" si="543"/>
        <v>0</v>
      </c>
      <c r="H1803">
        <f>'906MP'!Y1503</f>
        <v>0</v>
      </c>
      <c r="I1803">
        <f>'906MP'!AK1503</f>
        <v>0</v>
      </c>
      <c r="J1803">
        <f>'906MP'!T1503</f>
        <v>0</v>
      </c>
      <c r="K1803">
        <f>'906MP'!AJ1503</f>
        <v>0</v>
      </c>
      <c r="L1803">
        <f>'906MP'!U1503</f>
        <v>0</v>
      </c>
      <c r="M1803" s="322" t="str">
        <f>IFERROR(VLOOKUP(A1803,PAR!$D$3:$E$53,2,FALSE),"nincs szervezet")</f>
        <v>nincs szervezet</v>
      </c>
      <c r="N1803" s="322" t="str">
        <f>VLOOKUP(F1803,PAR!$R$3:$S$5,2,FALSE)</f>
        <v>3 - egyik sem</v>
      </c>
      <c r="O1803" t="str">
        <f>IFERROR(VLOOKUP(J1803,PAR!$O$3:$P$5,2,FALSE),"nincs feladat")</f>
        <v>nincs feladat</v>
      </c>
      <c r="P1803" t="str">
        <f>IFERROR(VLOOKUP(G1803,PAR!$J$2:$M$19,4),"nincs rovat")</f>
        <v>nincs rovat</v>
      </c>
      <c r="Q1803" t="str">
        <f>IF(H1803&gt;0,VLOOKUP(H1803,PAR!$AA$3:$AC$187,3,FALSE),"nincs főkönyvi számla")</f>
        <v>nincs főkönyvi számla</v>
      </c>
      <c r="R1803" t="str">
        <f>IFERROR(VLOOKUP(K1803,PAR!$V$3:$X$438,3,FALSE),"000000 - Nincs COFOG")</f>
        <v>000000 - Nincs COFOG</v>
      </c>
      <c r="S1803">
        <f t="shared" si="544"/>
        <v>0</v>
      </c>
      <c r="T1803">
        <f t="shared" si="545"/>
        <v>0</v>
      </c>
      <c r="U1803" t="str">
        <f>IF('906MP'!J1503&gt;0,CONCATENATE('906MP'!J1503," - ",'906MP'!P1503,", ",'906MP'!E1503),"nincs megjegyzés")</f>
        <v>nincs megjegyzés</v>
      </c>
      <c r="V1803" t="str">
        <f t="shared" si="532"/>
        <v>0P0</v>
      </c>
      <c r="W1803" t="str">
        <f t="shared" si="533"/>
        <v>0P0</v>
      </c>
      <c r="X1803" t="str">
        <f t="shared" si="534"/>
        <v>P0</v>
      </c>
      <c r="Y1803" t="str">
        <f t="shared" si="535"/>
        <v>00</v>
      </c>
      <c r="Z1803" t="str">
        <f t="shared" si="546"/>
        <v>00</v>
      </c>
      <c r="AA1803" t="str">
        <f t="shared" si="536"/>
        <v>00</v>
      </c>
      <c r="AB1803" t="str">
        <f t="shared" si="537"/>
        <v>00</v>
      </c>
      <c r="AC1803" t="str">
        <f t="shared" si="538"/>
        <v>0P0</v>
      </c>
      <c r="AD1803" t="str">
        <f t="shared" si="539"/>
        <v>P00</v>
      </c>
      <c r="AE1803" t="str">
        <f t="shared" si="540"/>
        <v>0P0</v>
      </c>
      <c r="AF1803" t="str">
        <f t="shared" si="541"/>
        <v>P00</v>
      </c>
      <c r="AG1803" t="str">
        <f t="shared" si="547"/>
        <v>0P00</v>
      </c>
      <c r="AH1803" t="str">
        <f t="shared" si="548"/>
        <v>P000</v>
      </c>
      <c r="AI1803" t="str">
        <f t="shared" si="549"/>
        <v>0P00</v>
      </c>
      <c r="AJ1803" t="str">
        <f t="shared" si="550"/>
        <v>P000</v>
      </c>
    </row>
    <row r="1804" spans="1:36" x14ac:dyDescent="0.25">
      <c r="A1804" s="325" t="str">
        <f>CONCATENATE("P",'906MP'!M1504)</f>
        <v>P</v>
      </c>
      <c r="B1804">
        <f>'906MP'!H1504</f>
        <v>0</v>
      </c>
      <c r="C1804">
        <f>'906MP'!J1504</f>
        <v>0</v>
      </c>
      <c r="D1804">
        <f>'906MP'!P1504</f>
        <v>0</v>
      </c>
      <c r="E1804">
        <f>'906MP'!X1504</f>
        <v>0</v>
      </c>
      <c r="F1804" t="str">
        <f t="shared" si="542"/>
        <v>0</v>
      </c>
      <c r="G1804" t="str">
        <f t="shared" si="543"/>
        <v>0</v>
      </c>
      <c r="H1804">
        <f>'906MP'!Y1504</f>
        <v>0</v>
      </c>
      <c r="I1804">
        <f>'906MP'!AK1504</f>
        <v>0</v>
      </c>
      <c r="J1804">
        <f>'906MP'!T1504</f>
        <v>0</v>
      </c>
      <c r="K1804">
        <f>'906MP'!AJ1504</f>
        <v>0</v>
      </c>
      <c r="L1804">
        <f>'906MP'!U1504</f>
        <v>0</v>
      </c>
      <c r="M1804" s="322" t="str">
        <f>IFERROR(VLOOKUP(A1804,PAR!$D$3:$E$53,2,FALSE),"nincs szervezet")</f>
        <v>nincs szervezet</v>
      </c>
      <c r="N1804" s="322" t="str">
        <f>VLOOKUP(F1804,PAR!$R$3:$S$5,2,FALSE)</f>
        <v>3 - egyik sem</v>
      </c>
      <c r="O1804" t="str">
        <f>IFERROR(VLOOKUP(J1804,PAR!$O$3:$P$5,2,FALSE),"nincs feladat")</f>
        <v>nincs feladat</v>
      </c>
      <c r="P1804" t="str">
        <f>IFERROR(VLOOKUP(G1804,PAR!$J$2:$M$19,4),"nincs rovat")</f>
        <v>nincs rovat</v>
      </c>
      <c r="Q1804" t="str">
        <f>IF(H1804&gt;0,VLOOKUP(H1804,PAR!$AA$3:$AC$187,3,FALSE),"nincs főkönyvi számla")</f>
        <v>nincs főkönyvi számla</v>
      </c>
      <c r="R1804" t="str">
        <f>IFERROR(VLOOKUP(K1804,PAR!$V$3:$X$438,3,FALSE),"000000 - Nincs COFOG")</f>
        <v>000000 - Nincs COFOG</v>
      </c>
      <c r="S1804">
        <f t="shared" si="544"/>
        <v>0</v>
      </c>
      <c r="T1804">
        <f t="shared" si="545"/>
        <v>0</v>
      </c>
      <c r="U1804" t="str">
        <f>IF('906MP'!J1504&gt;0,CONCATENATE('906MP'!J1504," - ",'906MP'!P1504,", ",'906MP'!E1504),"nincs megjegyzés")</f>
        <v>nincs megjegyzés</v>
      </c>
      <c r="V1804" t="str">
        <f t="shared" si="532"/>
        <v>0P0</v>
      </c>
      <c r="W1804" t="str">
        <f t="shared" si="533"/>
        <v>0P0</v>
      </c>
      <c r="X1804" t="str">
        <f t="shared" si="534"/>
        <v>P0</v>
      </c>
      <c r="Y1804" t="str">
        <f t="shared" si="535"/>
        <v>00</v>
      </c>
      <c r="Z1804" t="str">
        <f t="shared" si="546"/>
        <v>00</v>
      </c>
      <c r="AA1804" t="str">
        <f t="shared" si="536"/>
        <v>00</v>
      </c>
      <c r="AB1804" t="str">
        <f t="shared" si="537"/>
        <v>00</v>
      </c>
      <c r="AC1804" t="str">
        <f t="shared" si="538"/>
        <v>0P0</v>
      </c>
      <c r="AD1804" t="str">
        <f t="shared" si="539"/>
        <v>P00</v>
      </c>
      <c r="AE1804" t="str">
        <f t="shared" si="540"/>
        <v>0P0</v>
      </c>
      <c r="AF1804" t="str">
        <f t="shared" si="541"/>
        <v>P00</v>
      </c>
      <c r="AG1804" t="str">
        <f t="shared" si="547"/>
        <v>0P00</v>
      </c>
      <c r="AH1804" t="str">
        <f t="shared" si="548"/>
        <v>P000</v>
      </c>
      <c r="AI1804" t="str">
        <f t="shared" si="549"/>
        <v>0P00</v>
      </c>
      <c r="AJ1804" t="str">
        <f t="shared" si="550"/>
        <v>P000</v>
      </c>
    </row>
    <row r="1805" spans="1:36" x14ac:dyDescent="0.25">
      <c r="A1805" s="325" t="str">
        <f>CONCATENATE("P",'906MP'!M1505)</f>
        <v>P</v>
      </c>
      <c r="B1805">
        <f>'906MP'!H1505</f>
        <v>0</v>
      </c>
      <c r="C1805">
        <f>'906MP'!J1505</f>
        <v>0</v>
      </c>
      <c r="D1805">
        <f>'906MP'!P1505</f>
        <v>0</v>
      </c>
      <c r="E1805">
        <f>'906MP'!X1505</f>
        <v>0</v>
      </c>
      <c r="F1805" t="str">
        <f t="shared" si="542"/>
        <v>0</v>
      </c>
      <c r="G1805" t="str">
        <f t="shared" si="543"/>
        <v>0</v>
      </c>
      <c r="H1805">
        <f>'906MP'!Y1505</f>
        <v>0</v>
      </c>
      <c r="I1805">
        <f>'906MP'!AK1505</f>
        <v>0</v>
      </c>
      <c r="J1805">
        <f>'906MP'!T1505</f>
        <v>0</v>
      </c>
      <c r="K1805">
        <f>'906MP'!AJ1505</f>
        <v>0</v>
      </c>
      <c r="L1805">
        <f>'906MP'!U1505</f>
        <v>0</v>
      </c>
      <c r="M1805" s="322" t="str">
        <f>IFERROR(VLOOKUP(A1805,PAR!$D$3:$E$53,2,FALSE),"nincs szervezet")</f>
        <v>nincs szervezet</v>
      </c>
      <c r="N1805" s="322" t="str">
        <f>VLOOKUP(F1805,PAR!$R$3:$S$5,2,FALSE)</f>
        <v>3 - egyik sem</v>
      </c>
      <c r="O1805" t="str">
        <f>IFERROR(VLOOKUP(J1805,PAR!$O$3:$P$5,2,FALSE),"nincs feladat")</f>
        <v>nincs feladat</v>
      </c>
      <c r="P1805" t="str">
        <f>IFERROR(VLOOKUP(G1805,PAR!$J$2:$M$19,4),"nincs rovat")</f>
        <v>nincs rovat</v>
      </c>
      <c r="Q1805" t="str">
        <f>IF(H1805&gt;0,VLOOKUP(H1805,PAR!$AA$3:$AC$187,3,FALSE),"nincs főkönyvi számla")</f>
        <v>nincs főkönyvi számla</v>
      </c>
      <c r="R1805" t="str">
        <f>IFERROR(VLOOKUP(K1805,PAR!$V$3:$X$438,3,FALSE),"000000 - Nincs COFOG")</f>
        <v>000000 - Nincs COFOG</v>
      </c>
      <c r="S1805">
        <f t="shared" si="544"/>
        <v>0</v>
      </c>
      <c r="T1805">
        <f t="shared" si="545"/>
        <v>0</v>
      </c>
      <c r="U1805" t="str">
        <f>IF('906MP'!J1505&gt;0,CONCATENATE('906MP'!J1505," - ",'906MP'!P1505,", ",'906MP'!E1505),"nincs megjegyzés")</f>
        <v>nincs megjegyzés</v>
      </c>
      <c r="V1805" t="str">
        <f t="shared" si="532"/>
        <v>0P0</v>
      </c>
      <c r="W1805" t="str">
        <f t="shared" si="533"/>
        <v>0P0</v>
      </c>
      <c r="X1805" t="str">
        <f t="shared" si="534"/>
        <v>P0</v>
      </c>
      <c r="Y1805" t="str">
        <f t="shared" si="535"/>
        <v>00</v>
      </c>
      <c r="Z1805" t="str">
        <f t="shared" si="546"/>
        <v>00</v>
      </c>
      <c r="AA1805" t="str">
        <f t="shared" si="536"/>
        <v>00</v>
      </c>
      <c r="AB1805" t="str">
        <f t="shared" si="537"/>
        <v>00</v>
      </c>
      <c r="AC1805" t="str">
        <f t="shared" si="538"/>
        <v>0P0</v>
      </c>
      <c r="AD1805" t="str">
        <f t="shared" si="539"/>
        <v>P00</v>
      </c>
      <c r="AE1805" t="str">
        <f t="shared" si="540"/>
        <v>0P0</v>
      </c>
      <c r="AF1805" t="str">
        <f t="shared" si="541"/>
        <v>P00</v>
      </c>
      <c r="AG1805" t="str">
        <f t="shared" si="547"/>
        <v>0P00</v>
      </c>
      <c r="AH1805" t="str">
        <f t="shared" si="548"/>
        <v>P000</v>
      </c>
      <c r="AI1805" t="str">
        <f t="shared" si="549"/>
        <v>0P00</v>
      </c>
      <c r="AJ1805" t="str">
        <f t="shared" si="550"/>
        <v>P000</v>
      </c>
    </row>
    <row r="1806" spans="1:36" x14ac:dyDescent="0.25">
      <c r="A1806" s="325" t="str">
        <f>CONCATENATE("P",'906MP'!M1506)</f>
        <v>P</v>
      </c>
      <c r="B1806">
        <f>'906MP'!H1506</f>
        <v>0</v>
      </c>
      <c r="C1806">
        <f>'906MP'!J1506</f>
        <v>0</v>
      </c>
      <c r="D1806">
        <f>'906MP'!P1506</f>
        <v>0</v>
      </c>
      <c r="E1806">
        <f>'906MP'!X1506</f>
        <v>0</v>
      </c>
      <c r="F1806" t="str">
        <f t="shared" si="542"/>
        <v>0</v>
      </c>
      <c r="G1806" t="str">
        <f t="shared" si="543"/>
        <v>0</v>
      </c>
      <c r="H1806">
        <f>'906MP'!Y1506</f>
        <v>0</v>
      </c>
      <c r="I1806">
        <f>'906MP'!AK1506</f>
        <v>0</v>
      </c>
      <c r="J1806">
        <f>'906MP'!T1506</f>
        <v>0</v>
      </c>
      <c r="K1806">
        <f>'906MP'!AJ1506</f>
        <v>0</v>
      </c>
      <c r="L1806">
        <f>'906MP'!U1506</f>
        <v>0</v>
      </c>
      <c r="M1806" s="322" t="str">
        <f>IFERROR(VLOOKUP(A1806,PAR!$D$3:$E$53,2,FALSE),"nincs szervezet")</f>
        <v>nincs szervezet</v>
      </c>
      <c r="N1806" s="322" t="str">
        <f>VLOOKUP(F1806,PAR!$R$3:$S$5,2,FALSE)</f>
        <v>3 - egyik sem</v>
      </c>
      <c r="O1806" t="str">
        <f>IFERROR(VLOOKUP(J1806,PAR!$O$3:$P$5,2,FALSE),"nincs feladat")</f>
        <v>nincs feladat</v>
      </c>
      <c r="P1806" t="str">
        <f>IFERROR(VLOOKUP(G1806,PAR!$J$2:$M$19,4),"nincs rovat")</f>
        <v>nincs rovat</v>
      </c>
      <c r="Q1806" t="str">
        <f>IF(H1806&gt;0,VLOOKUP(H1806,PAR!$AA$3:$AC$187,3,FALSE),"nincs főkönyvi számla")</f>
        <v>nincs főkönyvi számla</v>
      </c>
      <c r="R1806" t="str">
        <f>IFERROR(VLOOKUP(K1806,PAR!$V$3:$X$438,3,FALSE),"000000 - Nincs COFOG")</f>
        <v>000000 - Nincs COFOG</v>
      </c>
      <c r="S1806">
        <f t="shared" si="544"/>
        <v>0</v>
      </c>
      <c r="T1806">
        <f t="shared" si="545"/>
        <v>0</v>
      </c>
      <c r="U1806" t="str">
        <f>IF('906MP'!J1506&gt;0,CONCATENATE('906MP'!J1506," - ",'906MP'!P1506,", ",'906MP'!E1506),"nincs megjegyzés")</f>
        <v>nincs megjegyzés</v>
      </c>
      <c r="V1806" t="str">
        <f t="shared" si="532"/>
        <v>0P0</v>
      </c>
      <c r="W1806" t="str">
        <f t="shared" si="533"/>
        <v>0P0</v>
      </c>
      <c r="X1806" t="str">
        <f t="shared" si="534"/>
        <v>P0</v>
      </c>
      <c r="Y1806" t="str">
        <f t="shared" si="535"/>
        <v>00</v>
      </c>
      <c r="Z1806" t="str">
        <f t="shared" si="546"/>
        <v>00</v>
      </c>
      <c r="AA1806" t="str">
        <f t="shared" si="536"/>
        <v>00</v>
      </c>
      <c r="AB1806" t="str">
        <f t="shared" si="537"/>
        <v>00</v>
      </c>
      <c r="AC1806" t="str">
        <f t="shared" si="538"/>
        <v>0P0</v>
      </c>
      <c r="AD1806" t="str">
        <f t="shared" si="539"/>
        <v>P00</v>
      </c>
      <c r="AE1806" t="str">
        <f t="shared" si="540"/>
        <v>0P0</v>
      </c>
      <c r="AF1806" t="str">
        <f t="shared" si="541"/>
        <v>P00</v>
      </c>
      <c r="AG1806" t="str">
        <f t="shared" si="547"/>
        <v>0P00</v>
      </c>
      <c r="AH1806" t="str">
        <f t="shared" si="548"/>
        <v>P000</v>
      </c>
      <c r="AI1806" t="str">
        <f t="shared" si="549"/>
        <v>0P00</v>
      </c>
      <c r="AJ1806" t="str">
        <f t="shared" si="550"/>
        <v>P000</v>
      </c>
    </row>
    <row r="1807" spans="1:36" x14ac:dyDescent="0.25">
      <c r="A1807" s="325" t="str">
        <f>CONCATENATE("P",'906MP'!M1507)</f>
        <v>P</v>
      </c>
      <c r="B1807">
        <f>'906MP'!H1507</f>
        <v>0</v>
      </c>
      <c r="C1807">
        <f>'906MP'!J1507</f>
        <v>0</v>
      </c>
      <c r="D1807">
        <f>'906MP'!P1507</f>
        <v>0</v>
      </c>
      <c r="E1807">
        <f>'906MP'!X1507</f>
        <v>0</v>
      </c>
      <c r="F1807" t="str">
        <f t="shared" si="542"/>
        <v>0</v>
      </c>
      <c r="G1807" t="str">
        <f t="shared" si="543"/>
        <v>0</v>
      </c>
      <c r="H1807">
        <f>'906MP'!Y1507</f>
        <v>0</v>
      </c>
      <c r="I1807">
        <f>'906MP'!AK1507</f>
        <v>0</v>
      </c>
      <c r="J1807">
        <f>'906MP'!T1507</f>
        <v>0</v>
      </c>
      <c r="K1807">
        <f>'906MP'!AJ1507</f>
        <v>0</v>
      </c>
      <c r="L1807">
        <f>'906MP'!U1507</f>
        <v>0</v>
      </c>
      <c r="M1807" s="322" t="str">
        <f>IFERROR(VLOOKUP(A1807,PAR!$D$3:$E$53,2,FALSE),"nincs szervezet")</f>
        <v>nincs szervezet</v>
      </c>
      <c r="N1807" s="322" t="str">
        <f>VLOOKUP(F1807,PAR!$R$3:$S$5,2,FALSE)</f>
        <v>3 - egyik sem</v>
      </c>
      <c r="O1807" t="str">
        <f>IFERROR(VLOOKUP(J1807,PAR!$O$3:$P$5,2,FALSE),"nincs feladat")</f>
        <v>nincs feladat</v>
      </c>
      <c r="P1807" t="str">
        <f>IFERROR(VLOOKUP(G1807,PAR!$J$2:$M$19,4),"nincs rovat")</f>
        <v>nincs rovat</v>
      </c>
      <c r="Q1807" t="str">
        <f>IF(H1807&gt;0,VLOOKUP(H1807,PAR!$AA$3:$AC$187,3,FALSE),"nincs főkönyvi számla")</f>
        <v>nincs főkönyvi számla</v>
      </c>
      <c r="R1807" t="str">
        <f>IFERROR(VLOOKUP(K1807,PAR!$V$3:$X$438,3,FALSE),"000000 - Nincs COFOG")</f>
        <v>000000 - Nincs COFOG</v>
      </c>
      <c r="S1807">
        <f t="shared" si="544"/>
        <v>0</v>
      </c>
      <c r="T1807">
        <f t="shared" si="545"/>
        <v>0</v>
      </c>
      <c r="U1807" t="str">
        <f>IF('906MP'!J1507&gt;0,CONCATENATE('906MP'!J1507," - ",'906MP'!P1507,", ",'906MP'!E1507),"nincs megjegyzés")</f>
        <v>nincs megjegyzés</v>
      </c>
      <c r="V1807" t="str">
        <f t="shared" si="532"/>
        <v>0P0</v>
      </c>
      <c r="W1807" t="str">
        <f t="shared" si="533"/>
        <v>0P0</v>
      </c>
      <c r="X1807" t="str">
        <f t="shared" si="534"/>
        <v>P0</v>
      </c>
      <c r="Y1807" t="str">
        <f t="shared" si="535"/>
        <v>00</v>
      </c>
      <c r="Z1807" t="str">
        <f t="shared" si="546"/>
        <v>00</v>
      </c>
      <c r="AA1807" t="str">
        <f t="shared" si="536"/>
        <v>00</v>
      </c>
      <c r="AB1807" t="str">
        <f t="shared" si="537"/>
        <v>00</v>
      </c>
      <c r="AC1807" t="str">
        <f t="shared" si="538"/>
        <v>0P0</v>
      </c>
      <c r="AD1807" t="str">
        <f t="shared" si="539"/>
        <v>P00</v>
      </c>
      <c r="AE1807" t="str">
        <f t="shared" si="540"/>
        <v>0P0</v>
      </c>
      <c r="AF1807" t="str">
        <f t="shared" si="541"/>
        <v>P00</v>
      </c>
      <c r="AG1807" t="str">
        <f t="shared" si="547"/>
        <v>0P00</v>
      </c>
      <c r="AH1807" t="str">
        <f t="shared" si="548"/>
        <v>P000</v>
      </c>
      <c r="AI1807" t="str">
        <f t="shared" si="549"/>
        <v>0P00</v>
      </c>
      <c r="AJ1807" t="str">
        <f t="shared" si="550"/>
        <v>P000</v>
      </c>
    </row>
    <row r="1808" spans="1:36" x14ac:dyDescent="0.25">
      <c r="A1808" s="325" t="str">
        <f>CONCATENATE("P",'906MP'!M1508)</f>
        <v>P</v>
      </c>
      <c r="B1808">
        <f>'906MP'!H1508</f>
        <v>0</v>
      </c>
      <c r="C1808">
        <f>'906MP'!J1508</f>
        <v>0</v>
      </c>
      <c r="D1808">
        <f>'906MP'!P1508</f>
        <v>0</v>
      </c>
      <c r="E1808">
        <f>'906MP'!X1508</f>
        <v>0</v>
      </c>
      <c r="F1808" t="str">
        <f t="shared" si="542"/>
        <v>0</v>
      </c>
      <c r="G1808" t="str">
        <f t="shared" si="543"/>
        <v>0</v>
      </c>
      <c r="H1808">
        <f>'906MP'!Y1508</f>
        <v>0</v>
      </c>
      <c r="I1808">
        <f>'906MP'!AK1508</f>
        <v>0</v>
      </c>
      <c r="J1808">
        <f>'906MP'!T1508</f>
        <v>0</v>
      </c>
      <c r="K1808">
        <f>'906MP'!AJ1508</f>
        <v>0</v>
      </c>
      <c r="L1808">
        <f>'906MP'!U1508</f>
        <v>0</v>
      </c>
      <c r="M1808" s="322" t="str">
        <f>IFERROR(VLOOKUP(A1808,PAR!$D$3:$E$53,2,FALSE),"nincs szervezet")</f>
        <v>nincs szervezet</v>
      </c>
      <c r="N1808" s="322" t="str">
        <f>VLOOKUP(F1808,PAR!$R$3:$S$5,2,FALSE)</f>
        <v>3 - egyik sem</v>
      </c>
      <c r="O1808" t="str">
        <f>IFERROR(VLOOKUP(J1808,PAR!$O$3:$P$5,2,FALSE),"nincs feladat")</f>
        <v>nincs feladat</v>
      </c>
      <c r="P1808" t="str">
        <f>IFERROR(VLOOKUP(G1808,PAR!$J$2:$M$19,4),"nincs rovat")</f>
        <v>nincs rovat</v>
      </c>
      <c r="Q1808" t="str">
        <f>IF(H1808&gt;0,VLOOKUP(H1808,PAR!$AA$3:$AC$187,3,FALSE),"nincs főkönyvi számla")</f>
        <v>nincs főkönyvi számla</v>
      </c>
      <c r="R1808" t="str">
        <f>IFERROR(VLOOKUP(K1808,PAR!$V$3:$X$438,3,FALSE),"000000 - Nincs COFOG")</f>
        <v>000000 - Nincs COFOG</v>
      </c>
      <c r="S1808">
        <f t="shared" si="544"/>
        <v>0</v>
      </c>
      <c r="T1808">
        <f t="shared" si="545"/>
        <v>0</v>
      </c>
      <c r="U1808" t="str">
        <f>IF('906MP'!J1508&gt;0,CONCATENATE('906MP'!J1508," - ",'906MP'!P1508,", ",'906MP'!E1508),"nincs megjegyzés")</f>
        <v>nincs megjegyzés</v>
      </c>
      <c r="V1808" t="str">
        <f t="shared" si="532"/>
        <v>0P0</v>
      </c>
      <c r="W1808" t="str">
        <f t="shared" si="533"/>
        <v>0P0</v>
      </c>
      <c r="X1808" t="str">
        <f t="shared" si="534"/>
        <v>P0</v>
      </c>
      <c r="Y1808" t="str">
        <f t="shared" si="535"/>
        <v>00</v>
      </c>
      <c r="Z1808" t="str">
        <f t="shared" si="546"/>
        <v>00</v>
      </c>
      <c r="AA1808" t="str">
        <f t="shared" si="536"/>
        <v>00</v>
      </c>
      <c r="AB1808" t="str">
        <f t="shared" si="537"/>
        <v>00</v>
      </c>
      <c r="AC1808" t="str">
        <f t="shared" si="538"/>
        <v>0P0</v>
      </c>
      <c r="AD1808" t="str">
        <f t="shared" si="539"/>
        <v>P00</v>
      </c>
      <c r="AE1808" t="str">
        <f t="shared" si="540"/>
        <v>0P0</v>
      </c>
      <c r="AF1808" t="str">
        <f t="shared" si="541"/>
        <v>P00</v>
      </c>
      <c r="AG1808" t="str">
        <f t="shared" si="547"/>
        <v>0P00</v>
      </c>
      <c r="AH1808" t="str">
        <f t="shared" si="548"/>
        <v>P000</v>
      </c>
      <c r="AI1808" t="str">
        <f t="shared" si="549"/>
        <v>0P00</v>
      </c>
      <c r="AJ1808" t="str">
        <f t="shared" si="550"/>
        <v>P000</v>
      </c>
    </row>
    <row r="1809" spans="1:36" x14ac:dyDescent="0.25">
      <c r="A1809" s="325" t="str">
        <f>CONCATENATE("P",'906MP'!M1509)</f>
        <v>P</v>
      </c>
      <c r="B1809">
        <f>'906MP'!H1509</f>
        <v>0</v>
      </c>
      <c r="C1809">
        <f>'906MP'!J1509</f>
        <v>0</v>
      </c>
      <c r="D1809">
        <f>'906MP'!P1509</f>
        <v>0</v>
      </c>
      <c r="E1809">
        <f>'906MP'!X1509</f>
        <v>0</v>
      </c>
      <c r="F1809" t="str">
        <f t="shared" si="542"/>
        <v>0</v>
      </c>
      <c r="G1809" t="str">
        <f t="shared" si="543"/>
        <v>0</v>
      </c>
      <c r="H1809">
        <f>'906MP'!Y1509</f>
        <v>0</v>
      </c>
      <c r="I1809">
        <f>'906MP'!AK1509</f>
        <v>0</v>
      </c>
      <c r="J1809">
        <f>'906MP'!T1509</f>
        <v>0</v>
      </c>
      <c r="K1809">
        <f>'906MP'!AJ1509</f>
        <v>0</v>
      </c>
      <c r="L1809">
        <f>'906MP'!U1509</f>
        <v>0</v>
      </c>
      <c r="M1809" s="322" t="str">
        <f>IFERROR(VLOOKUP(A1809,PAR!$D$3:$E$53,2,FALSE),"nincs szervezet")</f>
        <v>nincs szervezet</v>
      </c>
      <c r="N1809" s="322" t="str">
        <f>VLOOKUP(F1809,PAR!$R$3:$S$5,2,FALSE)</f>
        <v>3 - egyik sem</v>
      </c>
      <c r="O1809" t="str">
        <f>IFERROR(VLOOKUP(J1809,PAR!$O$3:$P$5,2,FALSE),"nincs feladat")</f>
        <v>nincs feladat</v>
      </c>
      <c r="P1809" t="str">
        <f>IFERROR(VLOOKUP(G1809,PAR!$J$2:$M$19,4),"nincs rovat")</f>
        <v>nincs rovat</v>
      </c>
      <c r="Q1809" t="str">
        <f>IF(H1809&gt;0,VLOOKUP(H1809,PAR!$AA$3:$AC$187,3,FALSE),"nincs főkönyvi számla")</f>
        <v>nincs főkönyvi számla</v>
      </c>
      <c r="R1809" t="str">
        <f>IFERROR(VLOOKUP(K1809,PAR!$V$3:$X$438,3,FALSE),"000000 - Nincs COFOG")</f>
        <v>000000 - Nincs COFOG</v>
      </c>
      <c r="S1809">
        <f t="shared" si="544"/>
        <v>0</v>
      </c>
      <c r="T1809">
        <f t="shared" si="545"/>
        <v>0</v>
      </c>
      <c r="U1809" t="str">
        <f>IF('906MP'!J1509&gt;0,CONCATENATE('906MP'!J1509," - ",'906MP'!P1509,", ",'906MP'!E1509),"nincs megjegyzés")</f>
        <v>nincs megjegyzés</v>
      </c>
      <c r="V1809" t="str">
        <f t="shared" si="532"/>
        <v>0P0</v>
      </c>
      <c r="W1809" t="str">
        <f t="shared" si="533"/>
        <v>0P0</v>
      </c>
      <c r="X1809" t="str">
        <f t="shared" si="534"/>
        <v>P0</v>
      </c>
      <c r="Y1809" t="str">
        <f t="shared" si="535"/>
        <v>00</v>
      </c>
      <c r="Z1809" t="str">
        <f t="shared" si="546"/>
        <v>00</v>
      </c>
      <c r="AA1809" t="str">
        <f t="shared" si="536"/>
        <v>00</v>
      </c>
      <c r="AB1809" t="str">
        <f t="shared" si="537"/>
        <v>00</v>
      </c>
      <c r="AC1809" t="str">
        <f t="shared" si="538"/>
        <v>0P0</v>
      </c>
      <c r="AD1809" t="str">
        <f t="shared" si="539"/>
        <v>P00</v>
      </c>
      <c r="AE1809" t="str">
        <f t="shared" si="540"/>
        <v>0P0</v>
      </c>
      <c r="AF1809" t="str">
        <f t="shared" si="541"/>
        <v>P00</v>
      </c>
      <c r="AG1809" t="str">
        <f t="shared" si="547"/>
        <v>0P00</v>
      </c>
      <c r="AH1809" t="str">
        <f t="shared" si="548"/>
        <v>P000</v>
      </c>
      <c r="AI1809" t="str">
        <f t="shared" si="549"/>
        <v>0P00</v>
      </c>
      <c r="AJ1809" t="str">
        <f t="shared" si="550"/>
        <v>P000</v>
      </c>
    </row>
    <row r="1810" spans="1:36" x14ac:dyDescent="0.25">
      <c r="A1810" s="325" t="str">
        <f>CONCATENATE("P",'906MP'!M1510)</f>
        <v>P</v>
      </c>
      <c r="B1810">
        <f>'906MP'!H1510</f>
        <v>0</v>
      </c>
      <c r="C1810">
        <f>'906MP'!J1510</f>
        <v>0</v>
      </c>
      <c r="D1810">
        <f>'906MP'!P1510</f>
        <v>0</v>
      </c>
      <c r="E1810">
        <f>'906MP'!X1510</f>
        <v>0</v>
      </c>
      <c r="F1810" t="str">
        <f t="shared" si="542"/>
        <v>0</v>
      </c>
      <c r="G1810" t="str">
        <f t="shared" si="543"/>
        <v>0</v>
      </c>
      <c r="H1810">
        <f>'906MP'!Y1510</f>
        <v>0</v>
      </c>
      <c r="I1810">
        <f>'906MP'!AK1510</f>
        <v>0</v>
      </c>
      <c r="J1810">
        <f>'906MP'!T1510</f>
        <v>0</v>
      </c>
      <c r="K1810">
        <f>'906MP'!AJ1510</f>
        <v>0</v>
      </c>
      <c r="L1810">
        <f>'906MP'!U1510</f>
        <v>0</v>
      </c>
      <c r="M1810" s="322" t="str">
        <f>IFERROR(VLOOKUP(A1810,PAR!$D$3:$E$53,2,FALSE),"nincs szervezet")</f>
        <v>nincs szervezet</v>
      </c>
      <c r="N1810" s="322" t="str">
        <f>VLOOKUP(F1810,PAR!$R$3:$S$5,2,FALSE)</f>
        <v>3 - egyik sem</v>
      </c>
      <c r="O1810" t="str">
        <f>IFERROR(VLOOKUP(J1810,PAR!$O$3:$P$5,2,FALSE),"nincs feladat")</f>
        <v>nincs feladat</v>
      </c>
      <c r="P1810" t="str">
        <f>IFERROR(VLOOKUP(G1810,PAR!$J$2:$M$19,4),"nincs rovat")</f>
        <v>nincs rovat</v>
      </c>
      <c r="Q1810" t="str">
        <f>IF(H1810&gt;0,VLOOKUP(H1810,PAR!$AA$3:$AC$187,3,FALSE),"nincs főkönyvi számla")</f>
        <v>nincs főkönyvi számla</v>
      </c>
      <c r="R1810" t="str">
        <f>IFERROR(VLOOKUP(K1810,PAR!$V$3:$X$438,3,FALSE),"000000 - Nincs COFOG")</f>
        <v>000000 - Nincs COFOG</v>
      </c>
      <c r="S1810">
        <f t="shared" si="544"/>
        <v>0</v>
      </c>
      <c r="T1810">
        <f t="shared" si="545"/>
        <v>0</v>
      </c>
      <c r="U1810" t="str">
        <f>IF('906MP'!J1510&gt;0,CONCATENATE('906MP'!J1510," - ",'906MP'!P1510,", ",'906MP'!E1510),"nincs megjegyzés")</f>
        <v>nincs megjegyzés</v>
      </c>
      <c r="V1810" t="str">
        <f t="shared" si="532"/>
        <v>0P0</v>
      </c>
      <c r="W1810" t="str">
        <f t="shared" si="533"/>
        <v>0P0</v>
      </c>
      <c r="X1810" t="str">
        <f t="shared" si="534"/>
        <v>P0</v>
      </c>
      <c r="Y1810" t="str">
        <f t="shared" si="535"/>
        <v>00</v>
      </c>
      <c r="Z1810" t="str">
        <f t="shared" si="546"/>
        <v>00</v>
      </c>
      <c r="AA1810" t="str">
        <f t="shared" si="536"/>
        <v>00</v>
      </c>
      <c r="AB1810" t="str">
        <f t="shared" si="537"/>
        <v>00</v>
      </c>
      <c r="AC1810" t="str">
        <f t="shared" si="538"/>
        <v>0P0</v>
      </c>
      <c r="AD1810" t="str">
        <f t="shared" si="539"/>
        <v>P00</v>
      </c>
      <c r="AE1810" t="str">
        <f t="shared" si="540"/>
        <v>0P0</v>
      </c>
      <c r="AF1810" t="str">
        <f t="shared" si="541"/>
        <v>P00</v>
      </c>
      <c r="AG1810" t="str">
        <f t="shared" si="547"/>
        <v>0P00</v>
      </c>
      <c r="AH1810" t="str">
        <f t="shared" si="548"/>
        <v>P000</v>
      </c>
      <c r="AI1810" t="str">
        <f t="shared" si="549"/>
        <v>0P00</v>
      </c>
      <c r="AJ1810" t="str">
        <f t="shared" si="550"/>
        <v>P000</v>
      </c>
    </row>
    <row r="1811" spans="1:36" x14ac:dyDescent="0.25">
      <c r="A1811" s="325" t="str">
        <f>CONCATENATE("P",'906MP'!M1511)</f>
        <v>P</v>
      </c>
      <c r="B1811">
        <f>'906MP'!H1511</f>
        <v>0</v>
      </c>
      <c r="C1811">
        <f>'906MP'!J1511</f>
        <v>0</v>
      </c>
      <c r="D1811">
        <f>'906MP'!P1511</f>
        <v>0</v>
      </c>
      <c r="E1811">
        <f>'906MP'!X1511</f>
        <v>0</v>
      </c>
      <c r="F1811" t="str">
        <f t="shared" si="542"/>
        <v>0</v>
      </c>
      <c r="G1811" t="str">
        <f t="shared" si="543"/>
        <v>0</v>
      </c>
      <c r="H1811">
        <f>'906MP'!Y1511</f>
        <v>0</v>
      </c>
      <c r="I1811">
        <f>'906MP'!AK1511</f>
        <v>0</v>
      </c>
      <c r="J1811">
        <f>'906MP'!T1511</f>
        <v>0</v>
      </c>
      <c r="K1811">
        <f>'906MP'!AJ1511</f>
        <v>0</v>
      </c>
      <c r="L1811">
        <f>'906MP'!U1511</f>
        <v>0</v>
      </c>
      <c r="M1811" s="322" t="str">
        <f>IFERROR(VLOOKUP(A1811,PAR!$D$3:$E$53,2,FALSE),"nincs szervezet")</f>
        <v>nincs szervezet</v>
      </c>
      <c r="N1811" s="322" t="str">
        <f>VLOOKUP(F1811,PAR!$R$3:$S$5,2,FALSE)</f>
        <v>3 - egyik sem</v>
      </c>
      <c r="O1811" t="str">
        <f>IFERROR(VLOOKUP(J1811,PAR!$O$3:$P$5,2,FALSE),"nincs feladat")</f>
        <v>nincs feladat</v>
      </c>
      <c r="P1811" t="str">
        <f>IFERROR(VLOOKUP(G1811,PAR!$J$2:$M$19,4),"nincs rovat")</f>
        <v>nincs rovat</v>
      </c>
      <c r="Q1811" t="str">
        <f>IF(H1811&gt;0,VLOOKUP(H1811,PAR!$AA$3:$AC$187,3,FALSE),"nincs főkönyvi számla")</f>
        <v>nincs főkönyvi számla</v>
      </c>
      <c r="R1811" t="str">
        <f>IFERROR(VLOOKUP(K1811,PAR!$V$3:$X$438,3,FALSE),"000000 - Nincs COFOG")</f>
        <v>000000 - Nincs COFOG</v>
      </c>
      <c r="S1811">
        <f t="shared" si="544"/>
        <v>0</v>
      </c>
      <c r="T1811">
        <f t="shared" si="545"/>
        <v>0</v>
      </c>
      <c r="U1811" t="str">
        <f>IF('906MP'!J1511&gt;0,CONCATENATE('906MP'!J1511," - ",'906MP'!P1511,", ",'906MP'!E1511),"nincs megjegyzés")</f>
        <v>nincs megjegyzés</v>
      </c>
      <c r="V1811" t="str">
        <f t="shared" si="532"/>
        <v>0P0</v>
      </c>
      <c r="W1811" t="str">
        <f t="shared" si="533"/>
        <v>0P0</v>
      </c>
      <c r="X1811" t="str">
        <f t="shared" si="534"/>
        <v>P0</v>
      </c>
      <c r="Y1811" t="str">
        <f t="shared" si="535"/>
        <v>00</v>
      </c>
      <c r="Z1811" t="str">
        <f t="shared" si="546"/>
        <v>00</v>
      </c>
      <c r="AA1811" t="str">
        <f t="shared" si="536"/>
        <v>00</v>
      </c>
      <c r="AB1811" t="str">
        <f t="shared" si="537"/>
        <v>00</v>
      </c>
      <c r="AC1811" t="str">
        <f t="shared" si="538"/>
        <v>0P0</v>
      </c>
      <c r="AD1811" t="str">
        <f t="shared" si="539"/>
        <v>P00</v>
      </c>
      <c r="AE1811" t="str">
        <f t="shared" si="540"/>
        <v>0P0</v>
      </c>
      <c r="AF1811" t="str">
        <f t="shared" si="541"/>
        <v>P00</v>
      </c>
      <c r="AG1811" t="str">
        <f t="shared" si="547"/>
        <v>0P00</v>
      </c>
      <c r="AH1811" t="str">
        <f t="shared" si="548"/>
        <v>P000</v>
      </c>
      <c r="AI1811" t="str">
        <f t="shared" si="549"/>
        <v>0P00</v>
      </c>
      <c r="AJ1811" t="str">
        <f t="shared" si="550"/>
        <v>P000</v>
      </c>
    </row>
    <row r="1812" spans="1:36" x14ac:dyDescent="0.25">
      <c r="A1812" s="325" t="str">
        <f>CONCATENATE("P",'906MP'!M1512)</f>
        <v>P</v>
      </c>
      <c r="B1812">
        <f>'906MP'!H1512</f>
        <v>0</v>
      </c>
      <c r="C1812">
        <f>'906MP'!J1512</f>
        <v>0</v>
      </c>
      <c r="D1812">
        <f>'906MP'!P1512</f>
        <v>0</v>
      </c>
      <c r="E1812">
        <f>'906MP'!X1512</f>
        <v>0</v>
      </c>
      <c r="F1812" t="str">
        <f t="shared" si="542"/>
        <v>0</v>
      </c>
      <c r="G1812" t="str">
        <f t="shared" si="543"/>
        <v>0</v>
      </c>
      <c r="H1812">
        <f>'906MP'!Y1512</f>
        <v>0</v>
      </c>
      <c r="I1812">
        <f>'906MP'!AK1512</f>
        <v>0</v>
      </c>
      <c r="J1812">
        <f>'906MP'!T1512</f>
        <v>0</v>
      </c>
      <c r="K1812">
        <f>'906MP'!AJ1512</f>
        <v>0</v>
      </c>
      <c r="L1812">
        <f>'906MP'!U1512</f>
        <v>0</v>
      </c>
      <c r="M1812" s="322" t="str">
        <f>IFERROR(VLOOKUP(A1812,PAR!$D$3:$E$53,2,FALSE),"nincs szervezet")</f>
        <v>nincs szervezet</v>
      </c>
      <c r="N1812" s="322" t="str">
        <f>VLOOKUP(F1812,PAR!$R$3:$S$5,2,FALSE)</f>
        <v>3 - egyik sem</v>
      </c>
      <c r="O1812" t="str">
        <f>IFERROR(VLOOKUP(J1812,PAR!$O$3:$P$5,2,FALSE),"nincs feladat")</f>
        <v>nincs feladat</v>
      </c>
      <c r="P1812" t="str">
        <f>IFERROR(VLOOKUP(G1812,PAR!$J$2:$M$19,4),"nincs rovat")</f>
        <v>nincs rovat</v>
      </c>
      <c r="Q1812" t="str">
        <f>IF(H1812&gt;0,VLOOKUP(H1812,PAR!$AA$3:$AC$187,3,FALSE),"nincs főkönyvi számla")</f>
        <v>nincs főkönyvi számla</v>
      </c>
      <c r="R1812" t="str">
        <f>IFERROR(VLOOKUP(K1812,PAR!$V$3:$X$438,3,FALSE),"000000 - Nincs COFOG")</f>
        <v>000000 - Nincs COFOG</v>
      </c>
      <c r="S1812">
        <f t="shared" si="544"/>
        <v>0</v>
      </c>
      <c r="T1812">
        <f t="shared" si="545"/>
        <v>0</v>
      </c>
      <c r="U1812" t="str">
        <f>IF('906MP'!J1512&gt;0,CONCATENATE('906MP'!J1512," - ",'906MP'!P1512,", ",'906MP'!E1512),"nincs megjegyzés")</f>
        <v>nincs megjegyzés</v>
      </c>
      <c r="V1812" t="str">
        <f t="shared" si="532"/>
        <v>0P0</v>
      </c>
      <c r="W1812" t="str">
        <f t="shared" si="533"/>
        <v>0P0</v>
      </c>
      <c r="X1812" t="str">
        <f t="shared" si="534"/>
        <v>P0</v>
      </c>
      <c r="Y1812" t="str">
        <f t="shared" si="535"/>
        <v>00</v>
      </c>
      <c r="Z1812" t="str">
        <f t="shared" si="546"/>
        <v>00</v>
      </c>
      <c r="AA1812" t="str">
        <f t="shared" si="536"/>
        <v>00</v>
      </c>
      <c r="AB1812" t="str">
        <f t="shared" si="537"/>
        <v>00</v>
      </c>
      <c r="AC1812" t="str">
        <f t="shared" si="538"/>
        <v>0P0</v>
      </c>
      <c r="AD1812" t="str">
        <f t="shared" si="539"/>
        <v>P00</v>
      </c>
      <c r="AE1812" t="str">
        <f t="shared" si="540"/>
        <v>0P0</v>
      </c>
      <c r="AF1812" t="str">
        <f t="shared" si="541"/>
        <v>P00</v>
      </c>
      <c r="AG1812" t="str">
        <f t="shared" si="547"/>
        <v>0P00</v>
      </c>
      <c r="AH1812" t="str">
        <f t="shared" si="548"/>
        <v>P000</v>
      </c>
      <c r="AI1812" t="str">
        <f t="shared" si="549"/>
        <v>0P00</v>
      </c>
      <c r="AJ1812" t="str">
        <f t="shared" si="550"/>
        <v>P000</v>
      </c>
    </row>
    <row r="1813" spans="1:36" x14ac:dyDescent="0.25">
      <c r="A1813" s="325" t="str">
        <f>CONCATENATE("P",'906MP'!M1513)</f>
        <v>P</v>
      </c>
      <c r="B1813">
        <f>'906MP'!H1513</f>
        <v>0</v>
      </c>
      <c r="C1813">
        <f>'906MP'!J1513</f>
        <v>0</v>
      </c>
      <c r="D1813">
        <f>'906MP'!P1513</f>
        <v>0</v>
      </c>
      <c r="E1813">
        <f>'906MP'!X1513</f>
        <v>0</v>
      </c>
      <c r="F1813" t="str">
        <f t="shared" si="542"/>
        <v>0</v>
      </c>
      <c r="G1813" t="str">
        <f t="shared" si="543"/>
        <v>0</v>
      </c>
      <c r="H1813">
        <f>'906MP'!Y1513</f>
        <v>0</v>
      </c>
      <c r="I1813">
        <f>'906MP'!AK1513</f>
        <v>0</v>
      </c>
      <c r="J1813">
        <f>'906MP'!T1513</f>
        <v>0</v>
      </c>
      <c r="K1813">
        <f>'906MP'!AJ1513</f>
        <v>0</v>
      </c>
      <c r="L1813">
        <f>'906MP'!U1513</f>
        <v>0</v>
      </c>
      <c r="M1813" s="322" t="str">
        <f>IFERROR(VLOOKUP(A1813,PAR!$D$3:$E$53,2,FALSE),"nincs szervezet")</f>
        <v>nincs szervezet</v>
      </c>
      <c r="N1813" s="322" t="str">
        <f>VLOOKUP(F1813,PAR!$R$3:$S$5,2,FALSE)</f>
        <v>3 - egyik sem</v>
      </c>
      <c r="O1813" t="str">
        <f>IFERROR(VLOOKUP(J1813,PAR!$O$3:$P$5,2,FALSE),"nincs feladat")</f>
        <v>nincs feladat</v>
      </c>
      <c r="P1813" t="str">
        <f>IFERROR(VLOOKUP(G1813,PAR!$J$2:$M$19,4),"nincs rovat")</f>
        <v>nincs rovat</v>
      </c>
      <c r="Q1813" t="str">
        <f>IF(H1813&gt;0,VLOOKUP(H1813,PAR!$AA$3:$AC$187,3,FALSE),"nincs főkönyvi számla")</f>
        <v>nincs főkönyvi számla</v>
      </c>
      <c r="R1813" t="str">
        <f>IFERROR(VLOOKUP(K1813,PAR!$V$3:$X$438,3,FALSE),"000000 - Nincs COFOG")</f>
        <v>000000 - Nincs COFOG</v>
      </c>
      <c r="S1813">
        <f t="shared" si="544"/>
        <v>0</v>
      </c>
      <c r="T1813">
        <f t="shared" si="545"/>
        <v>0</v>
      </c>
      <c r="U1813" t="str">
        <f>IF('906MP'!J1513&gt;0,CONCATENATE('906MP'!J1513," - ",'906MP'!P1513,", ",'906MP'!E1513),"nincs megjegyzés")</f>
        <v>nincs megjegyzés</v>
      </c>
      <c r="V1813" t="str">
        <f t="shared" si="532"/>
        <v>0P0</v>
      </c>
      <c r="W1813" t="str">
        <f t="shared" si="533"/>
        <v>0P0</v>
      </c>
      <c r="X1813" t="str">
        <f t="shared" si="534"/>
        <v>P0</v>
      </c>
      <c r="Y1813" t="str">
        <f t="shared" si="535"/>
        <v>00</v>
      </c>
      <c r="Z1813" t="str">
        <f t="shared" si="546"/>
        <v>00</v>
      </c>
      <c r="AA1813" t="str">
        <f t="shared" si="536"/>
        <v>00</v>
      </c>
      <c r="AB1813" t="str">
        <f t="shared" si="537"/>
        <v>00</v>
      </c>
      <c r="AC1813" t="str">
        <f t="shared" si="538"/>
        <v>0P0</v>
      </c>
      <c r="AD1813" t="str">
        <f t="shared" si="539"/>
        <v>P00</v>
      </c>
      <c r="AE1813" t="str">
        <f t="shared" si="540"/>
        <v>0P0</v>
      </c>
      <c r="AF1813" t="str">
        <f t="shared" si="541"/>
        <v>P00</v>
      </c>
      <c r="AG1813" t="str">
        <f t="shared" si="547"/>
        <v>0P00</v>
      </c>
      <c r="AH1813" t="str">
        <f t="shared" si="548"/>
        <v>P000</v>
      </c>
      <c r="AI1813" t="str">
        <f t="shared" si="549"/>
        <v>0P00</v>
      </c>
      <c r="AJ1813" t="str">
        <f t="shared" si="550"/>
        <v>P000</v>
      </c>
    </row>
    <row r="1814" spans="1:36" x14ac:dyDescent="0.25">
      <c r="A1814" s="325" t="str">
        <f>CONCATENATE("P",'906MP'!M1514)</f>
        <v>P</v>
      </c>
      <c r="B1814">
        <f>'906MP'!H1514</f>
        <v>0</v>
      </c>
      <c r="C1814">
        <f>'906MP'!J1514</f>
        <v>0</v>
      </c>
      <c r="D1814">
        <f>'906MP'!P1514</f>
        <v>0</v>
      </c>
      <c r="E1814">
        <f>'906MP'!X1514</f>
        <v>0</v>
      </c>
      <c r="F1814" t="str">
        <f t="shared" si="542"/>
        <v>0</v>
      </c>
      <c r="G1814" t="str">
        <f t="shared" si="543"/>
        <v>0</v>
      </c>
      <c r="H1814">
        <f>'906MP'!Y1514</f>
        <v>0</v>
      </c>
      <c r="I1814">
        <f>'906MP'!AK1514</f>
        <v>0</v>
      </c>
      <c r="J1814">
        <f>'906MP'!T1514</f>
        <v>0</v>
      </c>
      <c r="K1814">
        <f>'906MP'!AJ1514</f>
        <v>0</v>
      </c>
      <c r="L1814">
        <f>'906MP'!U1514</f>
        <v>0</v>
      </c>
      <c r="M1814" s="322" t="str">
        <f>IFERROR(VLOOKUP(A1814,PAR!$D$3:$E$53,2,FALSE),"nincs szervezet")</f>
        <v>nincs szervezet</v>
      </c>
      <c r="N1814" s="322" t="str">
        <f>VLOOKUP(F1814,PAR!$R$3:$S$5,2,FALSE)</f>
        <v>3 - egyik sem</v>
      </c>
      <c r="O1814" t="str">
        <f>IFERROR(VLOOKUP(J1814,PAR!$O$3:$P$5,2,FALSE),"nincs feladat")</f>
        <v>nincs feladat</v>
      </c>
      <c r="P1814" t="str">
        <f>IFERROR(VLOOKUP(G1814,PAR!$J$2:$M$19,4),"nincs rovat")</f>
        <v>nincs rovat</v>
      </c>
      <c r="Q1814" t="str">
        <f>IF(H1814&gt;0,VLOOKUP(H1814,PAR!$AA$3:$AC$187,3,FALSE),"nincs főkönyvi számla")</f>
        <v>nincs főkönyvi számla</v>
      </c>
      <c r="R1814" t="str">
        <f>IFERROR(VLOOKUP(K1814,PAR!$V$3:$X$438,3,FALSE),"000000 - Nincs COFOG")</f>
        <v>000000 - Nincs COFOG</v>
      </c>
      <c r="S1814">
        <f t="shared" si="544"/>
        <v>0</v>
      </c>
      <c r="T1814">
        <f t="shared" si="545"/>
        <v>0</v>
      </c>
      <c r="U1814" t="str">
        <f>IF('906MP'!J1514&gt;0,CONCATENATE('906MP'!J1514," - ",'906MP'!P1514,", ",'906MP'!E1514),"nincs megjegyzés")</f>
        <v>nincs megjegyzés</v>
      </c>
      <c r="V1814" t="str">
        <f t="shared" si="532"/>
        <v>0P0</v>
      </c>
      <c r="W1814" t="str">
        <f t="shared" si="533"/>
        <v>0P0</v>
      </c>
      <c r="X1814" t="str">
        <f t="shared" si="534"/>
        <v>P0</v>
      </c>
      <c r="Y1814" t="str">
        <f t="shared" si="535"/>
        <v>00</v>
      </c>
      <c r="Z1814" t="str">
        <f t="shared" si="546"/>
        <v>00</v>
      </c>
      <c r="AA1814" t="str">
        <f t="shared" si="536"/>
        <v>00</v>
      </c>
      <c r="AB1814" t="str">
        <f t="shared" si="537"/>
        <v>00</v>
      </c>
      <c r="AC1814" t="str">
        <f t="shared" si="538"/>
        <v>0P0</v>
      </c>
      <c r="AD1814" t="str">
        <f t="shared" si="539"/>
        <v>P00</v>
      </c>
      <c r="AE1814" t="str">
        <f t="shared" si="540"/>
        <v>0P0</v>
      </c>
      <c r="AF1814" t="str">
        <f t="shared" si="541"/>
        <v>P00</v>
      </c>
      <c r="AG1814" t="str">
        <f t="shared" si="547"/>
        <v>0P00</v>
      </c>
      <c r="AH1814" t="str">
        <f t="shared" si="548"/>
        <v>P000</v>
      </c>
      <c r="AI1814" t="str">
        <f t="shared" si="549"/>
        <v>0P00</v>
      </c>
      <c r="AJ1814" t="str">
        <f t="shared" si="550"/>
        <v>P000</v>
      </c>
    </row>
    <row r="1815" spans="1:36" x14ac:dyDescent="0.25">
      <c r="A1815" s="325" t="str">
        <f>CONCATENATE("P",'906MP'!M1515)</f>
        <v>P</v>
      </c>
      <c r="B1815">
        <f>'906MP'!H1515</f>
        <v>0</v>
      </c>
      <c r="C1815">
        <f>'906MP'!J1515</f>
        <v>0</v>
      </c>
      <c r="D1815">
        <f>'906MP'!P1515</f>
        <v>0</v>
      </c>
      <c r="E1815">
        <f>'906MP'!X1515</f>
        <v>0</v>
      </c>
      <c r="F1815" t="str">
        <f t="shared" si="542"/>
        <v>0</v>
      </c>
      <c r="G1815" t="str">
        <f t="shared" si="543"/>
        <v>0</v>
      </c>
      <c r="H1815">
        <f>'906MP'!Y1515</f>
        <v>0</v>
      </c>
      <c r="I1815">
        <f>'906MP'!AK1515</f>
        <v>0</v>
      </c>
      <c r="J1815">
        <f>'906MP'!T1515</f>
        <v>0</v>
      </c>
      <c r="K1815">
        <f>'906MP'!AJ1515</f>
        <v>0</v>
      </c>
      <c r="L1815">
        <f>'906MP'!U1515</f>
        <v>0</v>
      </c>
      <c r="M1815" s="322" t="str">
        <f>IFERROR(VLOOKUP(A1815,PAR!$D$3:$E$53,2,FALSE),"nincs szervezet")</f>
        <v>nincs szervezet</v>
      </c>
      <c r="N1815" s="322" t="str">
        <f>VLOOKUP(F1815,PAR!$R$3:$S$5,2,FALSE)</f>
        <v>3 - egyik sem</v>
      </c>
      <c r="O1815" t="str">
        <f>IFERROR(VLOOKUP(J1815,PAR!$O$3:$P$5,2,FALSE),"nincs feladat")</f>
        <v>nincs feladat</v>
      </c>
      <c r="P1815" t="str">
        <f>IFERROR(VLOOKUP(G1815,PAR!$J$2:$M$19,4),"nincs rovat")</f>
        <v>nincs rovat</v>
      </c>
      <c r="Q1815" t="str">
        <f>IF(H1815&gt;0,VLOOKUP(H1815,PAR!$AA$3:$AC$187,3,FALSE),"nincs főkönyvi számla")</f>
        <v>nincs főkönyvi számla</v>
      </c>
      <c r="R1815" t="str">
        <f>IFERROR(VLOOKUP(K1815,PAR!$V$3:$X$438,3,FALSE),"000000 - Nincs COFOG")</f>
        <v>000000 - Nincs COFOG</v>
      </c>
      <c r="S1815">
        <f t="shared" si="544"/>
        <v>0</v>
      </c>
      <c r="T1815">
        <f t="shared" si="545"/>
        <v>0</v>
      </c>
      <c r="U1815" t="str">
        <f>IF('906MP'!J1515&gt;0,CONCATENATE('906MP'!J1515," - ",'906MP'!P1515,", ",'906MP'!E1515),"nincs megjegyzés")</f>
        <v>nincs megjegyzés</v>
      </c>
      <c r="V1815" t="str">
        <f t="shared" si="532"/>
        <v>0P0</v>
      </c>
      <c r="W1815" t="str">
        <f t="shared" si="533"/>
        <v>0P0</v>
      </c>
      <c r="X1815" t="str">
        <f t="shared" si="534"/>
        <v>P0</v>
      </c>
      <c r="Y1815" t="str">
        <f t="shared" si="535"/>
        <v>00</v>
      </c>
      <c r="Z1815" t="str">
        <f t="shared" si="546"/>
        <v>00</v>
      </c>
      <c r="AA1815" t="str">
        <f t="shared" si="536"/>
        <v>00</v>
      </c>
      <c r="AB1815" t="str">
        <f t="shared" si="537"/>
        <v>00</v>
      </c>
      <c r="AC1815" t="str">
        <f t="shared" si="538"/>
        <v>0P0</v>
      </c>
      <c r="AD1815" t="str">
        <f t="shared" si="539"/>
        <v>P00</v>
      </c>
      <c r="AE1815" t="str">
        <f t="shared" si="540"/>
        <v>0P0</v>
      </c>
      <c r="AF1815" t="str">
        <f t="shared" si="541"/>
        <v>P00</v>
      </c>
      <c r="AG1815" t="str">
        <f t="shared" si="547"/>
        <v>0P00</v>
      </c>
      <c r="AH1815" t="str">
        <f t="shared" si="548"/>
        <v>P000</v>
      </c>
      <c r="AI1815" t="str">
        <f t="shared" si="549"/>
        <v>0P00</v>
      </c>
      <c r="AJ1815" t="str">
        <f t="shared" si="550"/>
        <v>P000</v>
      </c>
    </row>
    <row r="1816" spans="1:36" x14ac:dyDescent="0.25">
      <c r="A1816" s="325" t="str">
        <f>CONCATENATE("P",'906MP'!M1516)</f>
        <v>P</v>
      </c>
      <c r="B1816">
        <f>'906MP'!H1516</f>
        <v>0</v>
      </c>
      <c r="C1816">
        <f>'906MP'!J1516</f>
        <v>0</v>
      </c>
      <c r="D1816">
        <f>'906MP'!P1516</f>
        <v>0</v>
      </c>
      <c r="E1816">
        <f>'906MP'!X1516</f>
        <v>0</v>
      </c>
      <c r="F1816" t="str">
        <f t="shared" si="542"/>
        <v>0</v>
      </c>
      <c r="G1816" t="str">
        <f t="shared" si="543"/>
        <v>0</v>
      </c>
      <c r="H1816">
        <f>'906MP'!Y1516</f>
        <v>0</v>
      </c>
      <c r="I1816">
        <f>'906MP'!AK1516</f>
        <v>0</v>
      </c>
      <c r="J1816">
        <f>'906MP'!T1516</f>
        <v>0</v>
      </c>
      <c r="K1816">
        <f>'906MP'!AJ1516</f>
        <v>0</v>
      </c>
      <c r="L1816">
        <f>'906MP'!U1516</f>
        <v>0</v>
      </c>
      <c r="M1816" s="322" t="str">
        <f>IFERROR(VLOOKUP(A1816,PAR!$D$3:$E$53,2,FALSE),"nincs szervezet")</f>
        <v>nincs szervezet</v>
      </c>
      <c r="N1816" s="322" t="str">
        <f>VLOOKUP(F1816,PAR!$R$3:$S$5,2,FALSE)</f>
        <v>3 - egyik sem</v>
      </c>
      <c r="O1816" t="str">
        <f>IFERROR(VLOOKUP(J1816,PAR!$O$3:$P$5,2,FALSE),"nincs feladat")</f>
        <v>nincs feladat</v>
      </c>
      <c r="P1816" t="str">
        <f>IFERROR(VLOOKUP(G1816,PAR!$J$2:$M$19,4),"nincs rovat")</f>
        <v>nincs rovat</v>
      </c>
      <c r="Q1816" t="str">
        <f>IF(H1816&gt;0,VLOOKUP(H1816,PAR!$AA$3:$AC$187,3,FALSE),"nincs főkönyvi számla")</f>
        <v>nincs főkönyvi számla</v>
      </c>
      <c r="R1816" t="str">
        <f>IFERROR(VLOOKUP(K1816,PAR!$V$3:$X$438,3,FALSE),"000000 - Nincs COFOG")</f>
        <v>000000 - Nincs COFOG</v>
      </c>
      <c r="S1816">
        <f t="shared" si="544"/>
        <v>0</v>
      </c>
      <c r="T1816">
        <f t="shared" si="545"/>
        <v>0</v>
      </c>
      <c r="U1816" t="str">
        <f>IF('906MP'!J1516&gt;0,CONCATENATE('906MP'!J1516," - ",'906MP'!P1516,", ",'906MP'!E1516),"nincs megjegyzés")</f>
        <v>nincs megjegyzés</v>
      </c>
      <c r="V1816" t="str">
        <f t="shared" si="532"/>
        <v>0P0</v>
      </c>
      <c r="W1816" t="str">
        <f t="shared" si="533"/>
        <v>0P0</v>
      </c>
      <c r="X1816" t="str">
        <f t="shared" si="534"/>
        <v>P0</v>
      </c>
      <c r="Y1816" t="str">
        <f t="shared" si="535"/>
        <v>00</v>
      </c>
      <c r="Z1816" t="str">
        <f t="shared" si="546"/>
        <v>00</v>
      </c>
      <c r="AA1816" t="str">
        <f t="shared" si="536"/>
        <v>00</v>
      </c>
      <c r="AB1816" t="str">
        <f t="shared" si="537"/>
        <v>00</v>
      </c>
      <c r="AC1816" t="str">
        <f t="shared" si="538"/>
        <v>0P0</v>
      </c>
      <c r="AD1816" t="str">
        <f t="shared" si="539"/>
        <v>P00</v>
      </c>
      <c r="AE1816" t="str">
        <f t="shared" si="540"/>
        <v>0P0</v>
      </c>
      <c r="AF1816" t="str">
        <f t="shared" si="541"/>
        <v>P00</v>
      </c>
      <c r="AG1816" t="str">
        <f t="shared" si="547"/>
        <v>0P00</v>
      </c>
      <c r="AH1816" t="str">
        <f t="shared" si="548"/>
        <v>P000</v>
      </c>
      <c r="AI1816" t="str">
        <f t="shared" si="549"/>
        <v>0P00</v>
      </c>
      <c r="AJ1816" t="str">
        <f t="shared" si="550"/>
        <v>P000</v>
      </c>
    </row>
    <row r="1817" spans="1:36" x14ac:dyDescent="0.25">
      <c r="A1817" s="325" t="str">
        <f>CONCATENATE("P",'906MP'!M1517)</f>
        <v>P</v>
      </c>
      <c r="B1817">
        <f>'906MP'!H1517</f>
        <v>0</v>
      </c>
      <c r="C1817">
        <f>'906MP'!J1517</f>
        <v>0</v>
      </c>
      <c r="D1817">
        <f>'906MP'!P1517</f>
        <v>0</v>
      </c>
      <c r="E1817">
        <f>'906MP'!X1517</f>
        <v>0</v>
      </c>
      <c r="F1817" t="str">
        <f t="shared" si="542"/>
        <v>0</v>
      </c>
      <c r="G1817" t="str">
        <f t="shared" si="543"/>
        <v>0</v>
      </c>
      <c r="H1817">
        <f>'906MP'!Y1517</f>
        <v>0</v>
      </c>
      <c r="I1817">
        <f>'906MP'!AK1517</f>
        <v>0</v>
      </c>
      <c r="J1817">
        <f>'906MP'!T1517</f>
        <v>0</v>
      </c>
      <c r="K1817">
        <f>'906MP'!AJ1517</f>
        <v>0</v>
      </c>
      <c r="L1817">
        <f>'906MP'!U1517</f>
        <v>0</v>
      </c>
      <c r="M1817" s="322" t="str">
        <f>IFERROR(VLOOKUP(A1817,PAR!$D$3:$E$53,2,FALSE),"nincs szervezet")</f>
        <v>nincs szervezet</v>
      </c>
      <c r="N1817" s="322" t="str">
        <f>VLOOKUP(F1817,PAR!$R$3:$S$5,2,FALSE)</f>
        <v>3 - egyik sem</v>
      </c>
      <c r="O1817" t="str">
        <f>IFERROR(VLOOKUP(J1817,PAR!$O$3:$P$5,2,FALSE),"nincs feladat")</f>
        <v>nincs feladat</v>
      </c>
      <c r="P1817" t="str">
        <f>IFERROR(VLOOKUP(G1817,PAR!$J$2:$M$19,4),"nincs rovat")</f>
        <v>nincs rovat</v>
      </c>
      <c r="Q1817" t="str">
        <f>IF(H1817&gt;0,VLOOKUP(H1817,PAR!$AA$3:$AC$187,3,FALSE),"nincs főkönyvi számla")</f>
        <v>nincs főkönyvi számla</v>
      </c>
      <c r="R1817" t="str">
        <f>IFERROR(VLOOKUP(K1817,PAR!$V$3:$X$438,3,FALSE),"000000 - Nincs COFOG")</f>
        <v>000000 - Nincs COFOG</v>
      </c>
      <c r="S1817">
        <f t="shared" si="544"/>
        <v>0</v>
      </c>
      <c r="T1817">
        <f t="shared" si="545"/>
        <v>0</v>
      </c>
      <c r="U1817" t="str">
        <f>IF('906MP'!J1517&gt;0,CONCATENATE('906MP'!J1517," - ",'906MP'!P1517,", ",'906MP'!E1517),"nincs megjegyzés")</f>
        <v>nincs megjegyzés</v>
      </c>
      <c r="V1817" t="str">
        <f t="shared" si="532"/>
        <v>0P0</v>
      </c>
      <c r="W1817" t="str">
        <f t="shared" si="533"/>
        <v>0P0</v>
      </c>
      <c r="X1817" t="str">
        <f t="shared" si="534"/>
        <v>P0</v>
      </c>
      <c r="Y1817" t="str">
        <f t="shared" si="535"/>
        <v>00</v>
      </c>
      <c r="Z1817" t="str">
        <f t="shared" si="546"/>
        <v>00</v>
      </c>
      <c r="AA1817" t="str">
        <f t="shared" si="536"/>
        <v>00</v>
      </c>
      <c r="AB1817" t="str">
        <f t="shared" si="537"/>
        <v>00</v>
      </c>
      <c r="AC1817" t="str">
        <f t="shared" si="538"/>
        <v>0P0</v>
      </c>
      <c r="AD1817" t="str">
        <f t="shared" si="539"/>
        <v>P00</v>
      </c>
      <c r="AE1817" t="str">
        <f t="shared" si="540"/>
        <v>0P0</v>
      </c>
      <c r="AF1817" t="str">
        <f t="shared" si="541"/>
        <v>P00</v>
      </c>
      <c r="AG1817" t="str">
        <f t="shared" si="547"/>
        <v>0P00</v>
      </c>
      <c r="AH1817" t="str">
        <f t="shared" si="548"/>
        <v>P000</v>
      </c>
      <c r="AI1817" t="str">
        <f t="shared" si="549"/>
        <v>0P00</v>
      </c>
      <c r="AJ1817" t="str">
        <f t="shared" si="550"/>
        <v>P000</v>
      </c>
    </row>
    <row r="1818" spans="1:36" x14ac:dyDescent="0.25">
      <c r="A1818" s="325" t="str">
        <f>CONCATENATE("P",'906MP'!M1518)</f>
        <v>P</v>
      </c>
      <c r="B1818">
        <f>'906MP'!H1518</f>
        <v>0</v>
      </c>
      <c r="C1818">
        <f>'906MP'!J1518</f>
        <v>0</v>
      </c>
      <c r="D1818">
        <f>'906MP'!P1518</f>
        <v>0</v>
      </c>
      <c r="E1818">
        <f>'906MP'!X1518</f>
        <v>0</v>
      </c>
      <c r="F1818" t="str">
        <f t="shared" si="542"/>
        <v>0</v>
      </c>
      <c r="G1818" t="str">
        <f t="shared" si="543"/>
        <v>0</v>
      </c>
      <c r="H1818">
        <f>'906MP'!Y1518</f>
        <v>0</v>
      </c>
      <c r="I1818">
        <f>'906MP'!AK1518</f>
        <v>0</v>
      </c>
      <c r="J1818">
        <f>'906MP'!T1518</f>
        <v>0</v>
      </c>
      <c r="K1818">
        <f>'906MP'!AJ1518</f>
        <v>0</v>
      </c>
      <c r="L1818">
        <f>'906MP'!U1518</f>
        <v>0</v>
      </c>
      <c r="M1818" s="322" t="str">
        <f>IFERROR(VLOOKUP(A1818,PAR!$D$3:$E$53,2,FALSE),"nincs szervezet")</f>
        <v>nincs szervezet</v>
      </c>
      <c r="N1818" s="322" t="str">
        <f>VLOOKUP(F1818,PAR!$R$3:$S$5,2,FALSE)</f>
        <v>3 - egyik sem</v>
      </c>
      <c r="O1818" t="str">
        <f>IFERROR(VLOOKUP(J1818,PAR!$O$3:$P$5,2,FALSE),"nincs feladat")</f>
        <v>nincs feladat</v>
      </c>
      <c r="P1818" t="str">
        <f>IFERROR(VLOOKUP(G1818,PAR!$J$2:$M$19,4),"nincs rovat")</f>
        <v>nincs rovat</v>
      </c>
      <c r="Q1818" t="str">
        <f>IF(H1818&gt;0,VLOOKUP(H1818,PAR!$AA$3:$AC$187,3,FALSE),"nincs főkönyvi számla")</f>
        <v>nincs főkönyvi számla</v>
      </c>
      <c r="R1818" t="str">
        <f>IFERROR(VLOOKUP(K1818,PAR!$V$3:$X$438,3,FALSE),"000000 - Nincs COFOG")</f>
        <v>000000 - Nincs COFOG</v>
      </c>
      <c r="S1818">
        <f t="shared" si="544"/>
        <v>0</v>
      </c>
      <c r="T1818">
        <f t="shared" si="545"/>
        <v>0</v>
      </c>
      <c r="U1818" t="str">
        <f>IF('906MP'!J1518&gt;0,CONCATENATE('906MP'!J1518," - ",'906MP'!P1518,", ",'906MP'!E1518),"nincs megjegyzés")</f>
        <v>nincs megjegyzés</v>
      </c>
      <c r="V1818" t="str">
        <f t="shared" si="532"/>
        <v>0P0</v>
      </c>
      <c r="W1818" t="str">
        <f t="shared" si="533"/>
        <v>0P0</v>
      </c>
      <c r="X1818" t="str">
        <f t="shared" si="534"/>
        <v>P0</v>
      </c>
      <c r="Y1818" t="str">
        <f t="shared" si="535"/>
        <v>00</v>
      </c>
      <c r="Z1818" t="str">
        <f t="shared" si="546"/>
        <v>00</v>
      </c>
      <c r="AA1818" t="str">
        <f t="shared" si="536"/>
        <v>00</v>
      </c>
      <c r="AB1818" t="str">
        <f t="shared" si="537"/>
        <v>00</v>
      </c>
      <c r="AC1818" t="str">
        <f t="shared" si="538"/>
        <v>0P0</v>
      </c>
      <c r="AD1818" t="str">
        <f t="shared" si="539"/>
        <v>P00</v>
      </c>
      <c r="AE1818" t="str">
        <f t="shared" si="540"/>
        <v>0P0</v>
      </c>
      <c r="AF1818" t="str">
        <f t="shared" si="541"/>
        <v>P00</v>
      </c>
      <c r="AG1818" t="str">
        <f t="shared" si="547"/>
        <v>0P00</v>
      </c>
      <c r="AH1818" t="str">
        <f t="shared" si="548"/>
        <v>P000</v>
      </c>
      <c r="AI1818" t="str">
        <f t="shared" si="549"/>
        <v>0P00</v>
      </c>
      <c r="AJ1818" t="str">
        <f t="shared" si="550"/>
        <v>P000</v>
      </c>
    </row>
    <row r="1819" spans="1:36" x14ac:dyDescent="0.25">
      <c r="A1819" s="325" t="str">
        <f>CONCATENATE("P",'906MP'!M1519)</f>
        <v>P</v>
      </c>
      <c r="B1819">
        <f>'906MP'!H1519</f>
        <v>0</v>
      </c>
      <c r="C1819">
        <f>'906MP'!J1519</f>
        <v>0</v>
      </c>
      <c r="D1819">
        <f>'906MP'!P1519</f>
        <v>0</v>
      </c>
      <c r="E1819">
        <f>'906MP'!X1519</f>
        <v>0</v>
      </c>
      <c r="F1819" t="str">
        <f t="shared" si="542"/>
        <v>0</v>
      </c>
      <c r="G1819" t="str">
        <f t="shared" si="543"/>
        <v>0</v>
      </c>
      <c r="H1819">
        <f>'906MP'!Y1519</f>
        <v>0</v>
      </c>
      <c r="I1819">
        <f>'906MP'!AK1519</f>
        <v>0</v>
      </c>
      <c r="J1819">
        <f>'906MP'!T1519</f>
        <v>0</v>
      </c>
      <c r="K1819">
        <f>'906MP'!AJ1519</f>
        <v>0</v>
      </c>
      <c r="L1819">
        <f>'906MP'!U1519</f>
        <v>0</v>
      </c>
      <c r="M1819" s="322" t="str">
        <f>IFERROR(VLOOKUP(A1819,PAR!$D$3:$E$53,2,FALSE),"nincs szervezet")</f>
        <v>nincs szervezet</v>
      </c>
      <c r="N1819" s="322" t="str">
        <f>VLOOKUP(F1819,PAR!$R$3:$S$5,2,FALSE)</f>
        <v>3 - egyik sem</v>
      </c>
      <c r="O1819" t="str">
        <f>IFERROR(VLOOKUP(J1819,PAR!$O$3:$P$5,2,FALSE),"nincs feladat")</f>
        <v>nincs feladat</v>
      </c>
      <c r="P1819" t="str">
        <f>IFERROR(VLOOKUP(G1819,PAR!$J$2:$M$19,4),"nincs rovat")</f>
        <v>nincs rovat</v>
      </c>
      <c r="Q1819" t="str">
        <f>IF(H1819&gt;0,VLOOKUP(H1819,PAR!$AA$3:$AC$187,3,FALSE),"nincs főkönyvi számla")</f>
        <v>nincs főkönyvi számla</v>
      </c>
      <c r="R1819" t="str">
        <f>IFERROR(VLOOKUP(K1819,PAR!$V$3:$X$438,3,FALSE),"000000 - Nincs COFOG")</f>
        <v>000000 - Nincs COFOG</v>
      </c>
      <c r="S1819">
        <f t="shared" si="544"/>
        <v>0</v>
      </c>
      <c r="T1819">
        <f t="shared" si="545"/>
        <v>0</v>
      </c>
      <c r="U1819" t="str">
        <f>IF('906MP'!J1519&gt;0,CONCATENATE('906MP'!J1519," - ",'906MP'!P1519,", ",'906MP'!E1519),"nincs megjegyzés")</f>
        <v>nincs megjegyzés</v>
      </c>
      <c r="V1819" t="str">
        <f t="shared" si="532"/>
        <v>0P0</v>
      </c>
      <c r="W1819" t="str">
        <f t="shared" si="533"/>
        <v>0P0</v>
      </c>
      <c r="X1819" t="str">
        <f t="shared" si="534"/>
        <v>P0</v>
      </c>
      <c r="Y1819" t="str">
        <f t="shared" si="535"/>
        <v>00</v>
      </c>
      <c r="Z1819" t="str">
        <f t="shared" si="546"/>
        <v>00</v>
      </c>
      <c r="AA1819" t="str">
        <f t="shared" si="536"/>
        <v>00</v>
      </c>
      <c r="AB1819" t="str">
        <f t="shared" si="537"/>
        <v>00</v>
      </c>
      <c r="AC1819" t="str">
        <f t="shared" si="538"/>
        <v>0P0</v>
      </c>
      <c r="AD1819" t="str">
        <f t="shared" si="539"/>
        <v>P00</v>
      </c>
      <c r="AE1819" t="str">
        <f t="shared" si="540"/>
        <v>0P0</v>
      </c>
      <c r="AF1819" t="str">
        <f t="shared" si="541"/>
        <v>P00</v>
      </c>
      <c r="AG1819" t="str">
        <f t="shared" si="547"/>
        <v>0P00</v>
      </c>
      <c r="AH1819" t="str">
        <f t="shared" si="548"/>
        <v>P000</v>
      </c>
      <c r="AI1819" t="str">
        <f t="shared" si="549"/>
        <v>0P00</v>
      </c>
      <c r="AJ1819" t="str">
        <f t="shared" si="550"/>
        <v>P000</v>
      </c>
    </row>
    <row r="1820" spans="1:36" x14ac:dyDescent="0.25">
      <c r="A1820" s="325" t="str">
        <f>CONCATENATE("P",'906MP'!M1520)</f>
        <v>P</v>
      </c>
      <c r="B1820">
        <f>'906MP'!H1520</f>
        <v>0</v>
      </c>
      <c r="C1820">
        <f>'906MP'!J1520</f>
        <v>0</v>
      </c>
      <c r="D1820">
        <f>'906MP'!P1520</f>
        <v>0</v>
      </c>
      <c r="E1820">
        <f>'906MP'!X1520</f>
        <v>0</v>
      </c>
      <c r="F1820" t="str">
        <f t="shared" si="542"/>
        <v>0</v>
      </c>
      <c r="G1820" t="str">
        <f t="shared" si="543"/>
        <v>0</v>
      </c>
      <c r="H1820">
        <f>'906MP'!Y1520</f>
        <v>0</v>
      </c>
      <c r="I1820">
        <f>'906MP'!AK1520</f>
        <v>0</v>
      </c>
      <c r="J1820">
        <f>'906MP'!T1520</f>
        <v>0</v>
      </c>
      <c r="K1820">
        <f>'906MP'!AJ1520</f>
        <v>0</v>
      </c>
      <c r="L1820">
        <f>'906MP'!U1520</f>
        <v>0</v>
      </c>
      <c r="M1820" s="322" t="str">
        <f>IFERROR(VLOOKUP(A1820,PAR!$D$3:$E$53,2,FALSE),"nincs szervezet")</f>
        <v>nincs szervezet</v>
      </c>
      <c r="N1820" s="322" t="str">
        <f>VLOOKUP(F1820,PAR!$R$3:$S$5,2,FALSE)</f>
        <v>3 - egyik sem</v>
      </c>
      <c r="O1820" t="str">
        <f>IFERROR(VLOOKUP(J1820,PAR!$O$3:$P$5,2,FALSE),"nincs feladat")</f>
        <v>nincs feladat</v>
      </c>
      <c r="P1820" t="str">
        <f>IFERROR(VLOOKUP(G1820,PAR!$J$2:$M$19,4),"nincs rovat")</f>
        <v>nincs rovat</v>
      </c>
      <c r="Q1820" t="str">
        <f>IF(H1820&gt;0,VLOOKUP(H1820,PAR!$AA$3:$AC$187,3,FALSE),"nincs főkönyvi számla")</f>
        <v>nincs főkönyvi számla</v>
      </c>
      <c r="R1820" t="str">
        <f>IFERROR(VLOOKUP(K1820,PAR!$V$3:$X$438,3,FALSE),"000000 - Nincs COFOG")</f>
        <v>000000 - Nincs COFOG</v>
      </c>
      <c r="S1820">
        <f t="shared" si="544"/>
        <v>0</v>
      </c>
      <c r="T1820">
        <f t="shared" si="545"/>
        <v>0</v>
      </c>
      <c r="U1820" t="str">
        <f>IF('906MP'!J1520&gt;0,CONCATENATE('906MP'!J1520," - ",'906MP'!P1520,", ",'906MP'!E1520),"nincs megjegyzés")</f>
        <v>nincs megjegyzés</v>
      </c>
      <c r="V1820" t="str">
        <f t="shared" si="532"/>
        <v>0P0</v>
      </c>
      <c r="W1820" t="str">
        <f t="shared" si="533"/>
        <v>0P0</v>
      </c>
      <c r="X1820" t="str">
        <f t="shared" si="534"/>
        <v>P0</v>
      </c>
      <c r="Y1820" t="str">
        <f t="shared" si="535"/>
        <v>00</v>
      </c>
      <c r="Z1820" t="str">
        <f t="shared" si="546"/>
        <v>00</v>
      </c>
      <c r="AA1820" t="str">
        <f t="shared" si="536"/>
        <v>00</v>
      </c>
      <c r="AB1820" t="str">
        <f t="shared" si="537"/>
        <v>00</v>
      </c>
      <c r="AC1820" t="str">
        <f t="shared" si="538"/>
        <v>0P0</v>
      </c>
      <c r="AD1820" t="str">
        <f t="shared" si="539"/>
        <v>P00</v>
      </c>
      <c r="AE1820" t="str">
        <f t="shared" si="540"/>
        <v>0P0</v>
      </c>
      <c r="AF1820" t="str">
        <f t="shared" si="541"/>
        <v>P00</v>
      </c>
      <c r="AG1820" t="str">
        <f t="shared" si="547"/>
        <v>0P00</v>
      </c>
      <c r="AH1820" t="str">
        <f t="shared" si="548"/>
        <v>P000</v>
      </c>
      <c r="AI1820" t="str">
        <f t="shared" si="549"/>
        <v>0P00</v>
      </c>
      <c r="AJ1820" t="str">
        <f t="shared" si="550"/>
        <v>P000</v>
      </c>
    </row>
    <row r="1821" spans="1:36" x14ac:dyDescent="0.25">
      <c r="A1821" s="325" t="str">
        <f>CONCATENATE("P",'906MP'!M1521)</f>
        <v>P</v>
      </c>
      <c r="B1821">
        <f>'906MP'!H1521</f>
        <v>0</v>
      </c>
      <c r="C1821">
        <f>'906MP'!J1521</f>
        <v>0</v>
      </c>
      <c r="D1821">
        <f>'906MP'!P1521</f>
        <v>0</v>
      </c>
      <c r="E1821">
        <f>'906MP'!X1521</f>
        <v>0</v>
      </c>
      <c r="F1821" t="str">
        <f t="shared" si="542"/>
        <v>0</v>
      </c>
      <c r="G1821" t="str">
        <f t="shared" si="543"/>
        <v>0</v>
      </c>
      <c r="H1821">
        <f>'906MP'!Y1521</f>
        <v>0</v>
      </c>
      <c r="I1821">
        <f>'906MP'!AK1521</f>
        <v>0</v>
      </c>
      <c r="J1821">
        <f>'906MP'!T1521</f>
        <v>0</v>
      </c>
      <c r="K1821">
        <f>'906MP'!AJ1521</f>
        <v>0</v>
      </c>
      <c r="L1821">
        <f>'906MP'!U1521</f>
        <v>0</v>
      </c>
      <c r="M1821" s="322" t="str">
        <f>IFERROR(VLOOKUP(A1821,PAR!$D$3:$E$53,2,FALSE),"nincs szervezet")</f>
        <v>nincs szervezet</v>
      </c>
      <c r="N1821" s="322" t="str">
        <f>VLOOKUP(F1821,PAR!$R$3:$S$5,2,FALSE)</f>
        <v>3 - egyik sem</v>
      </c>
      <c r="O1821" t="str">
        <f>IFERROR(VLOOKUP(J1821,PAR!$O$3:$P$5,2,FALSE),"nincs feladat")</f>
        <v>nincs feladat</v>
      </c>
      <c r="P1821" t="str">
        <f>IFERROR(VLOOKUP(G1821,PAR!$J$2:$M$19,4),"nincs rovat")</f>
        <v>nincs rovat</v>
      </c>
      <c r="Q1821" t="str">
        <f>IF(H1821&gt;0,VLOOKUP(H1821,PAR!$AA$3:$AC$187,3,FALSE),"nincs főkönyvi számla")</f>
        <v>nincs főkönyvi számla</v>
      </c>
      <c r="R1821" t="str">
        <f>IFERROR(VLOOKUP(K1821,PAR!$V$3:$X$438,3,FALSE),"000000 - Nincs COFOG")</f>
        <v>000000 - Nincs COFOG</v>
      </c>
      <c r="S1821">
        <f t="shared" si="544"/>
        <v>0</v>
      </c>
      <c r="T1821">
        <f t="shared" si="545"/>
        <v>0</v>
      </c>
      <c r="U1821" t="str">
        <f>IF('906MP'!J1521&gt;0,CONCATENATE('906MP'!J1521," - ",'906MP'!P1521,", ",'906MP'!E1521),"nincs megjegyzés")</f>
        <v>nincs megjegyzés</v>
      </c>
      <c r="V1821" t="str">
        <f t="shared" si="532"/>
        <v>0P0</v>
      </c>
      <c r="W1821" t="str">
        <f t="shared" si="533"/>
        <v>0P0</v>
      </c>
      <c r="X1821" t="str">
        <f t="shared" si="534"/>
        <v>P0</v>
      </c>
      <c r="Y1821" t="str">
        <f t="shared" si="535"/>
        <v>00</v>
      </c>
      <c r="Z1821" t="str">
        <f t="shared" si="546"/>
        <v>00</v>
      </c>
      <c r="AA1821" t="str">
        <f t="shared" si="536"/>
        <v>00</v>
      </c>
      <c r="AB1821" t="str">
        <f t="shared" si="537"/>
        <v>00</v>
      </c>
      <c r="AC1821" t="str">
        <f t="shared" si="538"/>
        <v>0P0</v>
      </c>
      <c r="AD1821" t="str">
        <f t="shared" si="539"/>
        <v>P00</v>
      </c>
      <c r="AE1821" t="str">
        <f t="shared" si="540"/>
        <v>0P0</v>
      </c>
      <c r="AF1821" t="str">
        <f t="shared" si="541"/>
        <v>P00</v>
      </c>
      <c r="AG1821" t="str">
        <f t="shared" si="547"/>
        <v>0P00</v>
      </c>
      <c r="AH1821" t="str">
        <f t="shared" si="548"/>
        <v>P000</v>
      </c>
      <c r="AI1821" t="str">
        <f t="shared" si="549"/>
        <v>0P00</v>
      </c>
      <c r="AJ1821" t="str">
        <f t="shared" si="550"/>
        <v>P000</v>
      </c>
    </row>
    <row r="1822" spans="1:36" x14ac:dyDescent="0.25">
      <c r="A1822" s="325" t="str">
        <f>CONCATENATE("P",'906MP'!M1522)</f>
        <v>P</v>
      </c>
      <c r="B1822">
        <f>'906MP'!H1522</f>
        <v>0</v>
      </c>
      <c r="C1822">
        <f>'906MP'!J1522</f>
        <v>0</v>
      </c>
      <c r="D1822">
        <f>'906MP'!P1522</f>
        <v>0</v>
      </c>
      <c r="E1822">
        <f>'906MP'!X1522</f>
        <v>0</v>
      </c>
      <c r="F1822" t="str">
        <f t="shared" si="542"/>
        <v>0</v>
      </c>
      <c r="G1822" t="str">
        <f t="shared" si="543"/>
        <v>0</v>
      </c>
      <c r="H1822">
        <f>'906MP'!Y1522</f>
        <v>0</v>
      </c>
      <c r="I1822">
        <f>'906MP'!AK1522</f>
        <v>0</v>
      </c>
      <c r="J1822">
        <f>'906MP'!T1522</f>
        <v>0</v>
      </c>
      <c r="K1822">
        <f>'906MP'!AJ1522</f>
        <v>0</v>
      </c>
      <c r="L1822">
        <f>'906MP'!U1522</f>
        <v>0</v>
      </c>
      <c r="M1822" s="322" t="str">
        <f>IFERROR(VLOOKUP(A1822,PAR!$D$3:$E$53,2,FALSE),"nincs szervezet")</f>
        <v>nincs szervezet</v>
      </c>
      <c r="N1822" s="322" t="str">
        <f>VLOOKUP(F1822,PAR!$R$3:$S$5,2,FALSE)</f>
        <v>3 - egyik sem</v>
      </c>
      <c r="O1822" t="str">
        <f>IFERROR(VLOOKUP(J1822,PAR!$O$3:$P$5,2,FALSE),"nincs feladat")</f>
        <v>nincs feladat</v>
      </c>
      <c r="P1822" t="str">
        <f>IFERROR(VLOOKUP(G1822,PAR!$J$2:$M$19,4),"nincs rovat")</f>
        <v>nincs rovat</v>
      </c>
      <c r="Q1822" t="str">
        <f>IF(H1822&gt;0,VLOOKUP(H1822,PAR!$AA$3:$AC$187,3,FALSE),"nincs főkönyvi számla")</f>
        <v>nincs főkönyvi számla</v>
      </c>
      <c r="R1822" t="str">
        <f>IFERROR(VLOOKUP(K1822,PAR!$V$3:$X$438,3,FALSE),"000000 - Nincs COFOG")</f>
        <v>000000 - Nincs COFOG</v>
      </c>
      <c r="S1822">
        <f t="shared" si="544"/>
        <v>0</v>
      </c>
      <c r="T1822">
        <f t="shared" si="545"/>
        <v>0</v>
      </c>
      <c r="U1822" t="str">
        <f>IF('906MP'!J1522&gt;0,CONCATENATE('906MP'!J1522," - ",'906MP'!P1522,", ",'906MP'!E1522),"nincs megjegyzés")</f>
        <v>nincs megjegyzés</v>
      </c>
      <c r="V1822" t="str">
        <f t="shared" si="532"/>
        <v>0P0</v>
      </c>
      <c r="W1822" t="str">
        <f t="shared" si="533"/>
        <v>0P0</v>
      </c>
      <c r="X1822" t="str">
        <f t="shared" si="534"/>
        <v>P0</v>
      </c>
      <c r="Y1822" t="str">
        <f t="shared" si="535"/>
        <v>00</v>
      </c>
      <c r="Z1822" t="str">
        <f t="shared" si="546"/>
        <v>00</v>
      </c>
      <c r="AA1822" t="str">
        <f t="shared" si="536"/>
        <v>00</v>
      </c>
      <c r="AB1822" t="str">
        <f t="shared" si="537"/>
        <v>00</v>
      </c>
      <c r="AC1822" t="str">
        <f t="shared" si="538"/>
        <v>0P0</v>
      </c>
      <c r="AD1822" t="str">
        <f t="shared" si="539"/>
        <v>P00</v>
      </c>
      <c r="AE1822" t="str">
        <f t="shared" si="540"/>
        <v>0P0</v>
      </c>
      <c r="AF1822" t="str">
        <f t="shared" si="541"/>
        <v>P00</v>
      </c>
      <c r="AG1822" t="str">
        <f t="shared" si="547"/>
        <v>0P00</v>
      </c>
      <c r="AH1822" t="str">
        <f t="shared" si="548"/>
        <v>P000</v>
      </c>
      <c r="AI1822" t="str">
        <f t="shared" si="549"/>
        <v>0P00</v>
      </c>
      <c r="AJ1822" t="str">
        <f t="shared" si="550"/>
        <v>P000</v>
      </c>
    </row>
    <row r="1823" spans="1:36" x14ac:dyDescent="0.25">
      <c r="A1823" s="325" t="str">
        <f>CONCATENATE("P",'906MP'!M1523)</f>
        <v>P</v>
      </c>
      <c r="B1823">
        <f>'906MP'!H1523</f>
        <v>0</v>
      </c>
      <c r="C1823">
        <f>'906MP'!J1523</f>
        <v>0</v>
      </c>
      <c r="D1823">
        <f>'906MP'!P1523</f>
        <v>0</v>
      </c>
      <c r="E1823">
        <f>'906MP'!X1523</f>
        <v>0</v>
      </c>
      <c r="F1823" t="str">
        <f t="shared" si="542"/>
        <v>0</v>
      </c>
      <c r="G1823" t="str">
        <f t="shared" si="543"/>
        <v>0</v>
      </c>
      <c r="H1823">
        <f>'906MP'!Y1523</f>
        <v>0</v>
      </c>
      <c r="I1823">
        <f>'906MP'!AK1523</f>
        <v>0</v>
      </c>
      <c r="J1823">
        <f>'906MP'!T1523</f>
        <v>0</v>
      </c>
      <c r="K1823">
        <f>'906MP'!AJ1523</f>
        <v>0</v>
      </c>
      <c r="L1823">
        <f>'906MP'!U1523</f>
        <v>0</v>
      </c>
      <c r="M1823" s="322" t="str">
        <f>IFERROR(VLOOKUP(A1823,PAR!$D$3:$E$53,2,FALSE),"nincs szervezet")</f>
        <v>nincs szervezet</v>
      </c>
      <c r="N1823" s="322" t="str">
        <f>VLOOKUP(F1823,PAR!$R$3:$S$5,2,FALSE)</f>
        <v>3 - egyik sem</v>
      </c>
      <c r="O1823" t="str">
        <f>IFERROR(VLOOKUP(J1823,PAR!$O$3:$P$5,2,FALSE),"nincs feladat")</f>
        <v>nincs feladat</v>
      </c>
      <c r="P1823" t="str">
        <f>IFERROR(VLOOKUP(G1823,PAR!$J$2:$M$19,4),"nincs rovat")</f>
        <v>nincs rovat</v>
      </c>
      <c r="Q1823" t="str">
        <f>IF(H1823&gt;0,VLOOKUP(H1823,PAR!$AA$3:$AC$187,3,FALSE),"nincs főkönyvi számla")</f>
        <v>nincs főkönyvi számla</v>
      </c>
      <c r="R1823" t="str">
        <f>IFERROR(VLOOKUP(K1823,PAR!$V$3:$X$438,3,FALSE),"000000 - Nincs COFOG")</f>
        <v>000000 - Nincs COFOG</v>
      </c>
      <c r="S1823">
        <f t="shared" si="544"/>
        <v>0</v>
      </c>
      <c r="T1823">
        <f t="shared" si="545"/>
        <v>0</v>
      </c>
      <c r="U1823" t="str">
        <f>IF('906MP'!J1523&gt;0,CONCATENATE('906MP'!J1523," - ",'906MP'!P1523,", ",'906MP'!E1523),"nincs megjegyzés")</f>
        <v>nincs megjegyzés</v>
      </c>
      <c r="V1823" t="str">
        <f t="shared" si="532"/>
        <v>0P0</v>
      </c>
      <c r="W1823" t="str">
        <f t="shared" si="533"/>
        <v>0P0</v>
      </c>
      <c r="X1823" t="str">
        <f t="shared" si="534"/>
        <v>P0</v>
      </c>
      <c r="Y1823" t="str">
        <f t="shared" si="535"/>
        <v>00</v>
      </c>
      <c r="Z1823" t="str">
        <f t="shared" si="546"/>
        <v>00</v>
      </c>
      <c r="AA1823" t="str">
        <f t="shared" si="536"/>
        <v>00</v>
      </c>
      <c r="AB1823" t="str">
        <f t="shared" si="537"/>
        <v>00</v>
      </c>
      <c r="AC1823" t="str">
        <f t="shared" si="538"/>
        <v>0P0</v>
      </c>
      <c r="AD1823" t="str">
        <f t="shared" si="539"/>
        <v>P00</v>
      </c>
      <c r="AE1823" t="str">
        <f t="shared" si="540"/>
        <v>0P0</v>
      </c>
      <c r="AF1823" t="str">
        <f t="shared" si="541"/>
        <v>P00</v>
      </c>
      <c r="AG1823" t="str">
        <f t="shared" si="547"/>
        <v>0P00</v>
      </c>
      <c r="AH1823" t="str">
        <f t="shared" si="548"/>
        <v>P000</v>
      </c>
      <c r="AI1823" t="str">
        <f t="shared" si="549"/>
        <v>0P00</v>
      </c>
      <c r="AJ1823" t="str">
        <f t="shared" si="550"/>
        <v>P000</v>
      </c>
    </row>
    <row r="1824" spans="1:36" x14ac:dyDescent="0.25">
      <c r="A1824" s="325" t="str">
        <f>CONCATENATE("P",'906MP'!M1524)</f>
        <v>P</v>
      </c>
      <c r="B1824">
        <f>'906MP'!H1524</f>
        <v>0</v>
      </c>
      <c r="C1824">
        <f>'906MP'!J1524</f>
        <v>0</v>
      </c>
      <c r="D1824">
        <f>'906MP'!P1524</f>
        <v>0</v>
      </c>
      <c r="E1824">
        <f>'906MP'!X1524</f>
        <v>0</v>
      </c>
      <c r="F1824" t="str">
        <f t="shared" si="542"/>
        <v>0</v>
      </c>
      <c r="G1824" t="str">
        <f t="shared" si="543"/>
        <v>0</v>
      </c>
      <c r="H1824">
        <f>'906MP'!Y1524</f>
        <v>0</v>
      </c>
      <c r="I1824">
        <f>'906MP'!AK1524</f>
        <v>0</v>
      </c>
      <c r="J1824">
        <f>'906MP'!T1524</f>
        <v>0</v>
      </c>
      <c r="K1824">
        <f>'906MP'!AJ1524</f>
        <v>0</v>
      </c>
      <c r="L1824">
        <f>'906MP'!U1524</f>
        <v>0</v>
      </c>
      <c r="M1824" s="322" t="str">
        <f>IFERROR(VLOOKUP(A1824,PAR!$D$3:$E$53,2,FALSE),"nincs szervezet")</f>
        <v>nincs szervezet</v>
      </c>
      <c r="N1824" s="322" t="str">
        <f>VLOOKUP(F1824,PAR!$R$3:$S$5,2,FALSE)</f>
        <v>3 - egyik sem</v>
      </c>
      <c r="O1824" t="str">
        <f>IFERROR(VLOOKUP(J1824,PAR!$O$3:$P$5,2,FALSE),"nincs feladat")</f>
        <v>nincs feladat</v>
      </c>
      <c r="P1824" t="str">
        <f>IFERROR(VLOOKUP(G1824,PAR!$J$2:$M$19,4),"nincs rovat")</f>
        <v>nincs rovat</v>
      </c>
      <c r="Q1824" t="str">
        <f>IF(H1824&gt;0,VLOOKUP(H1824,PAR!$AA$3:$AC$187,3,FALSE),"nincs főkönyvi számla")</f>
        <v>nincs főkönyvi számla</v>
      </c>
      <c r="R1824" t="str">
        <f>IFERROR(VLOOKUP(K1824,PAR!$V$3:$X$438,3,FALSE),"000000 - Nincs COFOG")</f>
        <v>000000 - Nincs COFOG</v>
      </c>
      <c r="S1824">
        <f t="shared" si="544"/>
        <v>0</v>
      </c>
      <c r="T1824">
        <f t="shared" si="545"/>
        <v>0</v>
      </c>
      <c r="U1824" t="str">
        <f>IF('906MP'!J1524&gt;0,CONCATENATE('906MP'!J1524," - ",'906MP'!P1524,", ",'906MP'!E1524),"nincs megjegyzés")</f>
        <v>nincs megjegyzés</v>
      </c>
      <c r="V1824" t="str">
        <f t="shared" si="532"/>
        <v>0P0</v>
      </c>
      <c r="W1824" t="str">
        <f t="shared" si="533"/>
        <v>0P0</v>
      </c>
      <c r="X1824" t="str">
        <f t="shared" si="534"/>
        <v>P0</v>
      </c>
      <c r="Y1824" t="str">
        <f t="shared" si="535"/>
        <v>00</v>
      </c>
      <c r="Z1824" t="str">
        <f t="shared" si="546"/>
        <v>00</v>
      </c>
      <c r="AA1824" t="str">
        <f t="shared" si="536"/>
        <v>00</v>
      </c>
      <c r="AB1824" t="str">
        <f t="shared" si="537"/>
        <v>00</v>
      </c>
      <c r="AC1824" t="str">
        <f t="shared" si="538"/>
        <v>0P0</v>
      </c>
      <c r="AD1824" t="str">
        <f t="shared" si="539"/>
        <v>P00</v>
      </c>
      <c r="AE1824" t="str">
        <f t="shared" si="540"/>
        <v>0P0</v>
      </c>
      <c r="AF1824" t="str">
        <f t="shared" si="541"/>
        <v>P00</v>
      </c>
      <c r="AG1824" t="str">
        <f t="shared" si="547"/>
        <v>0P00</v>
      </c>
      <c r="AH1824" t="str">
        <f t="shared" si="548"/>
        <v>P000</v>
      </c>
      <c r="AI1824" t="str">
        <f t="shared" si="549"/>
        <v>0P00</v>
      </c>
      <c r="AJ1824" t="str">
        <f t="shared" si="550"/>
        <v>P000</v>
      </c>
    </row>
    <row r="1825" spans="1:36" x14ac:dyDescent="0.25">
      <c r="A1825" s="325" t="str">
        <f>CONCATENATE("P",'906MP'!M1525)</f>
        <v>P</v>
      </c>
      <c r="B1825">
        <f>'906MP'!H1525</f>
        <v>0</v>
      </c>
      <c r="C1825">
        <f>'906MP'!J1525</f>
        <v>0</v>
      </c>
      <c r="D1825">
        <f>'906MP'!P1525</f>
        <v>0</v>
      </c>
      <c r="E1825">
        <f>'906MP'!X1525</f>
        <v>0</v>
      </c>
      <c r="F1825" t="str">
        <f t="shared" si="542"/>
        <v>0</v>
      </c>
      <c r="G1825" t="str">
        <f t="shared" si="543"/>
        <v>0</v>
      </c>
      <c r="H1825">
        <f>'906MP'!Y1525</f>
        <v>0</v>
      </c>
      <c r="I1825">
        <f>'906MP'!AK1525</f>
        <v>0</v>
      </c>
      <c r="J1825">
        <f>'906MP'!T1525</f>
        <v>0</v>
      </c>
      <c r="K1825">
        <f>'906MP'!AJ1525</f>
        <v>0</v>
      </c>
      <c r="L1825">
        <f>'906MP'!U1525</f>
        <v>0</v>
      </c>
      <c r="M1825" s="322" t="str">
        <f>IFERROR(VLOOKUP(A1825,PAR!$D$3:$E$53,2,FALSE),"nincs szervezet")</f>
        <v>nincs szervezet</v>
      </c>
      <c r="N1825" s="322" t="str">
        <f>VLOOKUP(F1825,PAR!$R$3:$S$5,2,FALSE)</f>
        <v>3 - egyik sem</v>
      </c>
      <c r="O1825" t="str">
        <f>IFERROR(VLOOKUP(J1825,PAR!$O$3:$P$5,2,FALSE),"nincs feladat")</f>
        <v>nincs feladat</v>
      </c>
      <c r="P1825" t="str">
        <f>IFERROR(VLOOKUP(G1825,PAR!$J$2:$M$19,4),"nincs rovat")</f>
        <v>nincs rovat</v>
      </c>
      <c r="Q1825" t="str">
        <f>IF(H1825&gt;0,VLOOKUP(H1825,PAR!$AA$3:$AC$187,3,FALSE),"nincs főkönyvi számla")</f>
        <v>nincs főkönyvi számla</v>
      </c>
      <c r="R1825" t="str">
        <f>IFERROR(VLOOKUP(K1825,PAR!$V$3:$X$438,3,FALSE),"000000 - Nincs COFOG")</f>
        <v>000000 - Nincs COFOG</v>
      </c>
      <c r="S1825">
        <f t="shared" si="544"/>
        <v>0</v>
      </c>
      <c r="T1825">
        <f t="shared" si="545"/>
        <v>0</v>
      </c>
      <c r="U1825" t="str">
        <f>IF('906MP'!J1525&gt;0,CONCATENATE('906MP'!J1525," - ",'906MP'!P1525,", ",'906MP'!E1525),"nincs megjegyzés")</f>
        <v>nincs megjegyzés</v>
      </c>
      <c r="V1825" t="str">
        <f t="shared" si="532"/>
        <v>0P0</v>
      </c>
      <c r="W1825" t="str">
        <f t="shared" si="533"/>
        <v>0P0</v>
      </c>
      <c r="X1825" t="str">
        <f t="shared" si="534"/>
        <v>P0</v>
      </c>
      <c r="Y1825" t="str">
        <f t="shared" si="535"/>
        <v>00</v>
      </c>
      <c r="Z1825" t="str">
        <f t="shared" si="546"/>
        <v>00</v>
      </c>
      <c r="AA1825" t="str">
        <f t="shared" si="536"/>
        <v>00</v>
      </c>
      <c r="AB1825" t="str">
        <f t="shared" si="537"/>
        <v>00</v>
      </c>
      <c r="AC1825" t="str">
        <f t="shared" si="538"/>
        <v>0P0</v>
      </c>
      <c r="AD1825" t="str">
        <f t="shared" si="539"/>
        <v>P00</v>
      </c>
      <c r="AE1825" t="str">
        <f t="shared" si="540"/>
        <v>0P0</v>
      </c>
      <c r="AF1825" t="str">
        <f t="shared" si="541"/>
        <v>P00</v>
      </c>
      <c r="AG1825" t="str">
        <f t="shared" si="547"/>
        <v>0P00</v>
      </c>
      <c r="AH1825" t="str">
        <f t="shared" si="548"/>
        <v>P000</v>
      </c>
      <c r="AI1825" t="str">
        <f t="shared" si="549"/>
        <v>0P00</v>
      </c>
      <c r="AJ1825" t="str">
        <f t="shared" si="550"/>
        <v>P000</v>
      </c>
    </row>
    <row r="1826" spans="1:36" x14ac:dyDescent="0.25">
      <c r="A1826" s="325" t="str">
        <f>CONCATENATE("P",'906MP'!M1526)</f>
        <v>P</v>
      </c>
      <c r="B1826">
        <f>'906MP'!H1526</f>
        <v>0</v>
      </c>
      <c r="C1826">
        <f>'906MP'!J1526</f>
        <v>0</v>
      </c>
      <c r="D1826">
        <f>'906MP'!P1526</f>
        <v>0</v>
      </c>
      <c r="E1826">
        <f>'906MP'!X1526</f>
        <v>0</v>
      </c>
      <c r="F1826" t="str">
        <f t="shared" si="542"/>
        <v>0</v>
      </c>
      <c r="G1826" t="str">
        <f t="shared" si="543"/>
        <v>0</v>
      </c>
      <c r="H1826">
        <f>'906MP'!Y1526</f>
        <v>0</v>
      </c>
      <c r="I1826">
        <f>'906MP'!AK1526</f>
        <v>0</v>
      </c>
      <c r="J1826">
        <f>'906MP'!T1526</f>
        <v>0</v>
      </c>
      <c r="K1826">
        <f>'906MP'!AJ1526</f>
        <v>0</v>
      </c>
      <c r="L1826">
        <f>'906MP'!U1526</f>
        <v>0</v>
      </c>
      <c r="M1826" s="322" t="str">
        <f>IFERROR(VLOOKUP(A1826,PAR!$D$3:$E$53,2,FALSE),"nincs szervezet")</f>
        <v>nincs szervezet</v>
      </c>
      <c r="N1826" s="322" t="str">
        <f>VLOOKUP(F1826,PAR!$R$3:$S$5,2,FALSE)</f>
        <v>3 - egyik sem</v>
      </c>
      <c r="O1826" t="str">
        <f>IFERROR(VLOOKUP(J1826,PAR!$O$3:$P$5,2,FALSE),"nincs feladat")</f>
        <v>nincs feladat</v>
      </c>
      <c r="P1826" t="str">
        <f>IFERROR(VLOOKUP(G1826,PAR!$J$2:$M$19,4),"nincs rovat")</f>
        <v>nincs rovat</v>
      </c>
      <c r="Q1826" t="str">
        <f>IF(H1826&gt;0,VLOOKUP(H1826,PAR!$AA$3:$AC$187,3,FALSE),"nincs főkönyvi számla")</f>
        <v>nincs főkönyvi számla</v>
      </c>
      <c r="R1826" t="str">
        <f>IFERROR(VLOOKUP(K1826,PAR!$V$3:$X$438,3,FALSE),"000000 - Nincs COFOG")</f>
        <v>000000 - Nincs COFOG</v>
      </c>
      <c r="S1826">
        <f t="shared" si="544"/>
        <v>0</v>
      </c>
      <c r="T1826">
        <f t="shared" si="545"/>
        <v>0</v>
      </c>
      <c r="U1826" t="str">
        <f>IF('906MP'!J1526&gt;0,CONCATENATE('906MP'!J1526," - ",'906MP'!P1526,", ",'906MP'!E1526),"nincs megjegyzés")</f>
        <v>nincs megjegyzés</v>
      </c>
      <c r="V1826" t="str">
        <f t="shared" si="532"/>
        <v>0P0</v>
      </c>
      <c r="W1826" t="str">
        <f t="shared" si="533"/>
        <v>0P0</v>
      </c>
      <c r="X1826" t="str">
        <f t="shared" si="534"/>
        <v>P0</v>
      </c>
      <c r="Y1826" t="str">
        <f t="shared" si="535"/>
        <v>00</v>
      </c>
      <c r="Z1826" t="str">
        <f t="shared" si="546"/>
        <v>00</v>
      </c>
      <c r="AA1826" t="str">
        <f t="shared" si="536"/>
        <v>00</v>
      </c>
      <c r="AB1826" t="str">
        <f t="shared" si="537"/>
        <v>00</v>
      </c>
      <c r="AC1826" t="str">
        <f t="shared" si="538"/>
        <v>0P0</v>
      </c>
      <c r="AD1826" t="str">
        <f t="shared" si="539"/>
        <v>P00</v>
      </c>
      <c r="AE1826" t="str">
        <f t="shared" si="540"/>
        <v>0P0</v>
      </c>
      <c r="AF1826" t="str">
        <f t="shared" si="541"/>
        <v>P00</v>
      </c>
      <c r="AG1826" t="str">
        <f t="shared" si="547"/>
        <v>0P00</v>
      </c>
      <c r="AH1826" t="str">
        <f t="shared" si="548"/>
        <v>P000</v>
      </c>
      <c r="AI1826" t="str">
        <f t="shared" si="549"/>
        <v>0P00</v>
      </c>
      <c r="AJ1826" t="str">
        <f t="shared" si="550"/>
        <v>P000</v>
      </c>
    </row>
    <row r="1827" spans="1:36" x14ac:dyDescent="0.25">
      <c r="A1827" s="325" t="str">
        <f>CONCATENATE("P",'906MP'!M1527)</f>
        <v>P</v>
      </c>
      <c r="B1827">
        <f>'906MP'!H1527</f>
        <v>0</v>
      </c>
      <c r="C1827">
        <f>'906MP'!J1527</f>
        <v>0</v>
      </c>
      <c r="D1827">
        <f>'906MP'!P1527</f>
        <v>0</v>
      </c>
      <c r="E1827">
        <f>'906MP'!X1527</f>
        <v>0</v>
      </c>
      <c r="F1827" t="str">
        <f t="shared" si="542"/>
        <v>0</v>
      </c>
      <c r="G1827" t="str">
        <f t="shared" si="543"/>
        <v>0</v>
      </c>
      <c r="H1827">
        <f>'906MP'!Y1527</f>
        <v>0</v>
      </c>
      <c r="I1827">
        <f>'906MP'!AK1527</f>
        <v>0</v>
      </c>
      <c r="J1827">
        <f>'906MP'!T1527</f>
        <v>0</v>
      </c>
      <c r="K1827">
        <f>'906MP'!AJ1527</f>
        <v>0</v>
      </c>
      <c r="L1827">
        <f>'906MP'!U1527</f>
        <v>0</v>
      </c>
      <c r="M1827" s="322" t="str">
        <f>IFERROR(VLOOKUP(A1827,PAR!$D$3:$E$53,2,FALSE),"nincs szervezet")</f>
        <v>nincs szervezet</v>
      </c>
      <c r="N1827" s="322" t="str">
        <f>VLOOKUP(F1827,PAR!$R$3:$S$5,2,FALSE)</f>
        <v>3 - egyik sem</v>
      </c>
      <c r="O1827" t="str">
        <f>IFERROR(VLOOKUP(J1827,PAR!$O$3:$P$5,2,FALSE),"nincs feladat")</f>
        <v>nincs feladat</v>
      </c>
      <c r="P1827" t="str">
        <f>IFERROR(VLOOKUP(G1827,PAR!$J$2:$M$19,4),"nincs rovat")</f>
        <v>nincs rovat</v>
      </c>
      <c r="Q1827" t="str">
        <f>IF(H1827&gt;0,VLOOKUP(H1827,PAR!$AA$3:$AC$187,3,FALSE),"nincs főkönyvi számla")</f>
        <v>nincs főkönyvi számla</v>
      </c>
      <c r="R1827" t="str">
        <f>IFERROR(VLOOKUP(K1827,PAR!$V$3:$X$438,3,FALSE),"000000 - Nincs COFOG")</f>
        <v>000000 - Nincs COFOG</v>
      </c>
      <c r="S1827">
        <f t="shared" si="544"/>
        <v>0</v>
      </c>
      <c r="T1827">
        <f t="shared" si="545"/>
        <v>0</v>
      </c>
      <c r="U1827" t="str">
        <f>IF('906MP'!J1527&gt;0,CONCATENATE('906MP'!J1527," - ",'906MP'!P1527,", ",'906MP'!E1527),"nincs megjegyzés")</f>
        <v>nincs megjegyzés</v>
      </c>
      <c r="V1827" t="str">
        <f t="shared" si="532"/>
        <v>0P0</v>
      </c>
      <c r="W1827" t="str">
        <f t="shared" si="533"/>
        <v>0P0</v>
      </c>
      <c r="X1827" t="str">
        <f t="shared" si="534"/>
        <v>P0</v>
      </c>
      <c r="Y1827" t="str">
        <f t="shared" si="535"/>
        <v>00</v>
      </c>
      <c r="Z1827" t="str">
        <f t="shared" si="546"/>
        <v>00</v>
      </c>
      <c r="AA1827" t="str">
        <f t="shared" si="536"/>
        <v>00</v>
      </c>
      <c r="AB1827" t="str">
        <f t="shared" si="537"/>
        <v>00</v>
      </c>
      <c r="AC1827" t="str">
        <f t="shared" si="538"/>
        <v>0P0</v>
      </c>
      <c r="AD1827" t="str">
        <f t="shared" si="539"/>
        <v>P00</v>
      </c>
      <c r="AE1827" t="str">
        <f t="shared" si="540"/>
        <v>0P0</v>
      </c>
      <c r="AF1827" t="str">
        <f t="shared" si="541"/>
        <v>P00</v>
      </c>
      <c r="AG1827" t="str">
        <f t="shared" si="547"/>
        <v>0P00</v>
      </c>
      <c r="AH1827" t="str">
        <f t="shared" si="548"/>
        <v>P000</v>
      </c>
      <c r="AI1827" t="str">
        <f t="shared" si="549"/>
        <v>0P00</v>
      </c>
      <c r="AJ1827" t="str">
        <f t="shared" si="550"/>
        <v>P000</v>
      </c>
    </row>
    <row r="1828" spans="1:36" x14ac:dyDescent="0.25">
      <c r="A1828" s="325" t="str">
        <f>CONCATENATE("P",'906MP'!M1528)</f>
        <v>P</v>
      </c>
      <c r="B1828">
        <f>'906MP'!H1528</f>
        <v>0</v>
      </c>
      <c r="C1828">
        <f>'906MP'!J1528</f>
        <v>0</v>
      </c>
      <c r="D1828">
        <f>'906MP'!P1528</f>
        <v>0</v>
      </c>
      <c r="E1828">
        <f>'906MP'!X1528</f>
        <v>0</v>
      </c>
      <c r="F1828" t="str">
        <f t="shared" si="542"/>
        <v>0</v>
      </c>
      <c r="G1828" t="str">
        <f t="shared" si="543"/>
        <v>0</v>
      </c>
      <c r="H1828">
        <f>'906MP'!Y1528</f>
        <v>0</v>
      </c>
      <c r="I1828">
        <f>'906MP'!AK1528</f>
        <v>0</v>
      </c>
      <c r="J1828">
        <f>'906MP'!T1528</f>
        <v>0</v>
      </c>
      <c r="K1828">
        <f>'906MP'!AJ1528</f>
        <v>0</v>
      </c>
      <c r="L1828">
        <f>'906MP'!U1528</f>
        <v>0</v>
      </c>
      <c r="M1828" s="322" t="str">
        <f>IFERROR(VLOOKUP(A1828,PAR!$D$3:$E$53,2,FALSE),"nincs szervezet")</f>
        <v>nincs szervezet</v>
      </c>
      <c r="N1828" s="322" t="str">
        <f>VLOOKUP(F1828,PAR!$R$3:$S$5,2,FALSE)</f>
        <v>3 - egyik sem</v>
      </c>
      <c r="O1828" t="str">
        <f>IFERROR(VLOOKUP(J1828,PAR!$O$3:$P$5,2,FALSE),"nincs feladat")</f>
        <v>nincs feladat</v>
      </c>
      <c r="P1828" t="str">
        <f>IFERROR(VLOOKUP(G1828,PAR!$J$2:$M$19,4),"nincs rovat")</f>
        <v>nincs rovat</v>
      </c>
      <c r="Q1828" t="str">
        <f>IF(H1828&gt;0,VLOOKUP(H1828,PAR!$AA$3:$AC$187,3,FALSE),"nincs főkönyvi számla")</f>
        <v>nincs főkönyvi számla</v>
      </c>
      <c r="R1828" t="str">
        <f>IFERROR(VLOOKUP(K1828,PAR!$V$3:$X$438,3,FALSE),"000000 - Nincs COFOG")</f>
        <v>000000 - Nincs COFOG</v>
      </c>
      <c r="S1828">
        <f t="shared" si="544"/>
        <v>0</v>
      </c>
      <c r="T1828">
        <f t="shared" si="545"/>
        <v>0</v>
      </c>
      <c r="U1828" t="str">
        <f>IF('906MP'!J1528&gt;0,CONCATENATE('906MP'!J1528," - ",'906MP'!P1528,", ",'906MP'!E1528),"nincs megjegyzés")</f>
        <v>nincs megjegyzés</v>
      </c>
      <c r="V1828" t="str">
        <f t="shared" si="532"/>
        <v>0P0</v>
      </c>
      <c r="W1828" t="str">
        <f t="shared" si="533"/>
        <v>0P0</v>
      </c>
      <c r="X1828" t="str">
        <f t="shared" si="534"/>
        <v>P0</v>
      </c>
      <c r="Y1828" t="str">
        <f t="shared" si="535"/>
        <v>00</v>
      </c>
      <c r="Z1828" t="str">
        <f t="shared" si="546"/>
        <v>00</v>
      </c>
      <c r="AA1828" t="str">
        <f t="shared" si="536"/>
        <v>00</v>
      </c>
      <c r="AB1828" t="str">
        <f t="shared" si="537"/>
        <v>00</v>
      </c>
      <c r="AC1828" t="str">
        <f t="shared" si="538"/>
        <v>0P0</v>
      </c>
      <c r="AD1828" t="str">
        <f t="shared" si="539"/>
        <v>P00</v>
      </c>
      <c r="AE1828" t="str">
        <f t="shared" si="540"/>
        <v>0P0</v>
      </c>
      <c r="AF1828" t="str">
        <f t="shared" si="541"/>
        <v>P00</v>
      </c>
      <c r="AG1828" t="str">
        <f t="shared" si="547"/>
        <v>0P00</v>
      </c>
      <c r="AH1828" t="str">
        <f t="shared" si="548"/>
        <v>P000</v>
      </c>
      <c r="AI1828" t="str">
        <f t="shared" si="549"/>
        <v>0P00</v>
      </c>
      <c r="AJ1828" t="str">
        <f t="shared" si="550"/>
        <v>P000</v>
      </c>
    </row>
    <row r="1829" spans="1:36" x14ac:dyDescent="0.25">
      <c r="A1829" s="325" t="str">
        <f>CONCATENATE("P",'906MP'!M1529)</f>
        <v>P</v>
      </c>
      <c r="B1829">
        <f>'906MP'!H1529</f>
        <v>0</v>
      </c>
      <c r="C1829">
        <f>'906MP'!J1529</f>
        <v>0</v>
      </c>
      <c r="D1829">
        <f>'906MP'!P1529</f>
        <v>0</v>
      </c>
      <c r="E1829">
        <f>'906MP'!X1529</f>
        <v>0</v>
      </c>
      <c r="F1829" t="str">
        <f t="shared" si="542"/>
        <v>0</v>
      </c>
      <c r="G1829" t="str">
        <f t="shared" si="543"/>
        <v>0</v>
      </c>
      <c r="H1829">
        <f>'906MP'!Y1529</f>
        <v>0</v>
      </c>
      <c r="I1829">
        <f>'906MP'!AK1529</f>
        <v>0</v>
      </c>
      <c r="J1829">
        <f>'906MP'!T1529</f>
        <v>0</v>
      </c>
      <c r="K1829">
        <f>'906MP'!AJ1529</f>
        <v>0</v>
      </c>
      <c r="L1829">
        <f>'906MP'!U1529</f>
        <v>0</v>
      </c>
      <c r="M1829" s="322" t="str">
        <f>IFERROR(VLOOKUP(A1829,PAR!$D$3:$E$53,2,FALSE),"nincs szervezet")</f>
        <v>nincs szervezet</v>
      </c>
      <c r="N1829" s="322" t="str">
        <f>VLOOKUP(F1829,PAR!$R$3:$S$5,2,FALSE)</f>
        <v>3 - egyik sem</v>
      </c>
      <c r="O1829" t="str">
        <f>IFERROR(VLOOKUP(J1829,PAR!$O$3:$P$5,2,FALSE),"nincs feladat")</f>
        <v>nincs feladat</v>
      </c>
      <c r="P1829" t="str">
        <f>IFERROR(VLOOKUP(G1829,PAR!$J$2:$M$19,4),"nincs rovat")</f>
        <v>nincs rovat</v>
      </c>
      <c r="Q1829" t="str">
        <f>IF(H1829&gt;0,VLOOKUP(H1829,PAR!$AA$3:$AC$187,3,FALSE),"nincs főkönyvi számla")</f>
        <v>nincs főkönyvi számla</v>
      </c>
      <c r="R1829" t="str">
        <f>IFERROR(VLOOKUP(K1829,PAR!$V$3:$X$438,3,FALSE),"000000 - Nincs COFOG")</f>
        <v>000000 - Nincs COFOG</v>
      </c>
      <c r="S1829">
        <f t="shared" si="544"/>
        <v>0</v>
      </c>
      <c r="T1829">
        <f t="shared" si="545"/>
        <v>0</v>
      </c>
      <c r="U1829" t="str">
        <f>IF('906MP'!J1529&gt;0,CONCATENATE('906MP'!J1529," - ",'906MP'!P1529,", ",'906MP'!E1529),"nincs megjegyzés")</f>
        <v>nincs megjegyzés</v>
      </c>
      <c r="V1829" t="str">
        <f t="shared" si="532"/>
        <v>0P0</v>
      </c>
      <c r="W1829" t="str">
        <f t="shared" si="533"/>
        <v>0P0</v>
      </c>
      <c r="X1829" t="str">
        <f t="shared" si="534"/>
        <v>P0</v>
      </c>
      <c r="Y1829" t="str">
        <f t="shared" si="535"/>
        <v>00</v>
      </c>
      <c r="Z1829" t="str">
        <f t="shared" si="546"/>
        <v>00</v>
      </c>
      <c r="AA1829" t="str">
        <f t="shared" si="536"/>
        <v>00</v>
      </c>
      <c r="AB1829" t="str">
        <f t="shared" si="537"/>
        <v>00</v>
      </c>
      <c r="AC1829" t="str">
        <f t="shared" si="538"/>
        <v>0P0</v>
      </c>
      <c r="AD1829" t="str">
        <f t="shared" si="539"/>
        <v>P00</v>
      </c>
      <c r="AE1829" t="str">
        <f t="shared" si="540"/>
        <v>0P0</v>
      </c>
      <c r="AF1829" t="str">
        <f t="shared" si="541"/>
        <v>P00</v>
      </c>
      <c r="AG1829" t="str">
        <f t="shared" si="547"/>
        <v>0P00</v>
      </c>
      <c r="AH1829" t="str">
        <f t="shared" si="548"/>
        <v>P000</v>
      </c>
      <c r="AI1829" t="str">
        <f t="shared" si="549"/>
        <v>0P00</v>
      </c>
      <c r="AJ1829" t="str">
        <f t="shared" si="550"/>
        <v>P000</v>
      </c>
    </row>
    <row r="1830" spans="1:36" x14ac:dyDescent="0.25">
      <c r="A1830" s="325" t="str">
        <f>CONCATENATE("P",'906MP'!M1530)</f>
        <v>P</v>
      </c>
      <c r="B1830">
        <f>'906MP'!H1530</f>
        <v>0</v>
      </c>
      <c r="C1830">
        <f>'906MP'!J1530</f>
        <v>0</v>
      </c>
      <c r="D1830">
        <f>'906MP'!P1530</f>
        <v>0</v>
      </c>
      <c r="E1830">
        <f>'906MP'!X1530</f>
        <v>0</v>
      </c>
      <c r="F1830" t="str">
        <f t="shared" si="542"/>
        <v>0</v>
      </c>
      <c r="G1830" t="str">
        <f t="shared" si="543"/>
        <v>0</v>
      </c>
      <c r="H1830">
        <f>'906MP'!Y1530</f>
        <v>0</v>
      </c>
      <c r="I1830">
        <f>'906MP'!AK1530</f>
        <v>0</v>
      </c>
      <c r="J1830">
        <f>'906MP'!T1530</f>
        <v>0</v>
      </c>
      <c r="K1830">
        <f>'906MP'!AJ1530</f>
        <v>0</v>
      </c>
      <c r="L1830">
        <f>'906MP'!U1530</f>
        <v>0</v>
      </c>
      <c r="M1830" s="322" t="str">
        <f>IFERROR(VLOOKUP(A1830,PAR!$D$3:$E$53,2,FALSE),"nincs szervezet")</f>
        <v>nincs szervezet</v>
      </c>
      <c r="N1830" s="322" t="str">
        <f>VLOOKUP(F1830,PAR!$R$3:$S$5,2,FALSE)</f>
        <v>3 - egyik sem</v>
      </c>
      <c r="O1830" t="str">
        <f>IFERROR(VLOOKUP(J1830,PAR!$O$3:$P$5,2,FALSE),"nincs feladat")</f>
        <v>nincs feladat</v>
      </c>
      <c r="P1830" t="str">
        <f>IFERROR(VLOOKUP(G1830,PAR!$J$2:$M$19,4),"nincs rovat")</f>
        <v>nincs rovat</v>
      </c>
      <c r="Q1830" t="str">
        <f>IF(H1830&gt;0,VLOOKUP(H1830,PAR!$AA$3:$AC$187,3,FALSE),"nincs főkönyvi számla")</f>
        <v>nincs főkönyvi számla</v>
      </c>
      <c r="R1830" t="str">
        <f>IFERROR(VLOOKUP(K1830,PAR!$V$3:$X$438,3,FALSE),"000000 - Nincs COFOG")</f>
        <v>000000 - Nincs COFOG</v>
      </c>
      <c r="S1830">
        <f t="shared" si="544"/>
        <v>0</v>
      </c>
      <c r="T1830">
        <f t="shared" si="545"/>
        <v>0</v>
      </c>
      <c r="U1830" t="str">
        <f>IF('906MP'!J1530&gt;0,CONCATENATE('906MP'!J1530," - ",'906MP'!P1530,", ",'906MP'!E1530),"nincs megjegyzés")</f>
        <v>nincs megjegyzés</v>
      </c>
      <c r="V1830" t="str">
        <f t="shared" si="532"/>
        <v>0P0</v>
      </c>
      <c r="W1830" t="str">
        <f t="shared" si="533"/>
        <v>0P0</v>
      </c>
      <c r="X1830" t="str">
        <f t="shared" si="534"/>
        <v>P0</v>
      </c>
      <c r="Y1830" t="str">
        <f t="shared" si="535"/>
        <v>00</v>
      </c>
      <c r="Z1830" t="str">
        <f t="shared" si="546"/>
        <v>00</v>
      </c>
      <c r="AA1830" t="str">
        <f t="shared" si="536"/>
        <v>00</v>
      </c>
      <c r="AB1830" t="str">
        <f t="shared" si="537"/>
        <v>00</v>
      </c>
      <c r="AC1830" t="str">
        <f t="shared" si="538"/>
        <v>0P0</v>
      </c>
      <c r="AD1830" t="str">
        <f t="shared" si="539"/>
        <v>P00</v>
      </c>
      <c r="AE1830" t="str">
        <f t="shared" si="540"/>
        <v>0P0</v>
      </c>
      <c r="AF1830" t="str">
        <f t="shared" si="541"/>
        <v>P00</v>
      </c>
      <c r="AG1830" t="str">
        <f t="shared" si="547"/>
        <v>0P00</v>
      </c>
      <c r="AH1830" t="str">
        <f t="shared" si="548"/>
        <v>P000</v>
      </c>
      <c r="AI1830" t="str">
        <f t="shared" si="549"/>
        <v>0P00</v>
      </c>
      <c r="AJ1830" t="str">
        <f t="shared" si="550"/>
        <v>P000</v>
      </c>
    </row>
    <row r="1831" spans="1:36" x14ac:dyDescent="0.25">
      <c r="A1831" s="325" t="str">
        <f>CONCATENATE("P",'906MP'!M1531)</f>
        <v>P</v>
      </c>
      <c r="B1831">
        <f>'906MP'!H1531</f>
        <v>0</v>
      </c>
      <c r="C1831">
        <f>'906MP'!J1531</f>
        <v>0</v>
      </c>
      <c r="D1831">
        <f>'906MP'!P1531</f>
        <v>0</v>
      </c>
      <c r="E1831">
        <f>'906MP'!X1531</f>
        <v>0</v>
      </c>
      <c r="F1831" t="str">
        <f t="shared" si="542"/>
        <v>0</v>
      </c>
      <c r="G1831" t="str">
        <f t="shared" si="543"/>
        <v>0</v>
      </c>
      <c r="H1831">
        <f>'906MP'!Y1531</f>
        <v>0</v>
      </c>
      <c r="I1831">
        <f>'906MP'!AK1531</f>
        <v>0</v>
      </c>
      <c r="J1831">
        <f>'906MP'!T1531</f>
        <v>0</v>
      </c>
      <c r="K1831">
        <f>'906MP'!AJ1531</f>
        <v>0</v>
      </c>
      <c r="L1831">
        <f>'906MP'!U1531</f>
        <v>0</v>
      </c>
      <c r="M1831" s="322" t="str">
        <f>IFERROR(VLOOKUP(A1831,PAR!$D$3:$E$53,2,FALSE),"nincs szervezet")</f>
        <v>nincs szervezet</v>
      </c>
      <c r="N1831" s="322" t="str">
        <f>VLOOKUP(F1831,PAR!$R$3:$S$5,2,FALSE)</f>
        <v>3 - egyik sem</v>
      </c>
      <c r="O1831" t="str">
        <f>IFERROR(VLOOKUP(J1831,PAR!$O$3:$P$5,2,FALSE),"nincs feladat")</f>
        <v>nincs feladat</v>
      </c>
      <c r="P1831" t="str">
        <f>IFERROR(VLOOKUP(G1831,PAR!$J$2:$M$19,4),"nincs rovat")</f>
        <v>nincs rovat</v>
      </c>
      <c r="Q1831" t="str">
        <f>IF(H1831&gt;0,VLOOKUP(H1831,PAR!$AA$3:$AC$187,3,FALSE),"nincs főkönyvi számla")</f>
        <v>nincs főkönyvi számla</v>
      </c>
      <c r="R1831" t="str">
        <f>IFERROR(VLOOKUP(K1831,PAR!$V$3:$X$438,3,FALSE),"000000 - Nincs COFOG")</f>
        <v>000000 - Nincs COFOG</v>
      </c>
      <c r="S1831">
        <f t="shared" si="544"/>
        <v>0</v>
      </c>
      <c r="T1831">
        <f t="shared" si="545"/>
        <v>0</v>
      </c>
      <c r="U1831" t="str">
        <f>IF('906MP'!J1531&gt;0,CONCATENATE('906MP'!J1531," - ",'906MP'!P1531,", ",'906MP'!E1531),"nincs megjegyzés")</f>
        <v>nincs megjegyzés</v>
      </c>
      <c r="V1831" t="str">
        <f t="shared" si="532"/>
        <v>0P0</v>
      </c>
      <c r="W1831" t="str">
        <f t="shared" si="533"/>
        <v>0P0</v>
      </c>
      <c r="X1831" t="str">
        <f t="shared" si="534"/>
        <v>P0</v>
      </c>
      <c r="Y1831" t="str">
        <f t="shared" si="535"/>
        <v>00</v>
      </c>
      <c r="Z1831" t="str">
        <f t="shared" si="546"/>
        <v>00</v>
      </c>
      <c r="AA1831" t="str">
        <f t="shared" si="536"/>
        <v>00</v>
      </c>
      <c r="AB1831" t="str">
        <f t="shared" si="537"/>
        <v>00</v>
      </c>
      <c r="AC1831" t="str">
        <f t="shared" si="538"/>
        <v>0P0</v>
      </c>
      <c r="AD1831" t="str">
        <f t="shared" si="539"/>
        <v>P00</v>
      </c>
      <c r="AE1831" t="str">
        <f t="shared" si="540"/>
        <v>0P0</v>
      </c>
      <c r="AF1831" t="str">
        <f t="shared" si="541"/>
        <v>P00</v>
      </c>
      <c r="AG1831" t="str">
        <f t="shared" si="547"/>
        <v>0P00</v>
      </c>
      <c r="AH1831" t="str">
        <f t="shared" si="548"/>
        <v>P000</v>
      </c>
      <c r="AI1831" t="str">
        <f t="shared" si="549"/>
        <v>0P00</v>
      </c>
      <c r="AJ1831" t="str">
        <f t="shared" si="550"/>
        <v>P000</v>
      </c>
    </row>
    <row r="1832" spans="1:36" x14ac:dyDescent="0.25">
      <c r="A1832" s="325" t="str">
        <f>CONCATENATE("P",'906MP'!M1532)</f>
        <v>P</v>
      </c>
      <c r="B1832">
        <f>'906MP'!H1532</f>
        <v>0</v>
      </c>
      <c r="C1832">
        <f>'906MP'!J1532</f>
        <v>0</v>
      </c>
      <c r="D1832">
        <f>'906MP'!P1532</f>
        <v>0</v>
      </c>
      <c r="E1832">
        <f>'906MP'!X1532</f>
        <v>0</v>
      </c>
      <c r="F1832" t="str">
        <f t="shared" si="542"/>
        <v>0</v>
      </c>
      <c r="G1832" t="str">
        <f t="shared" si="543"/>
        <v>0</v>
      </c>
      <c r="H1832">
        <f>'906MP'!Y1532</f>
        <v>0</v>
      </c>
      <c r="I1832">
        <f>'906MP'!AK1532</f>
        <v>0</v>
      </c>
      <c r="J1832">
        <f>'906MP'!T1532</f>
        <v>0</v>
      </c>
      <c r="K1832">
        <f>'906MP'!AJ1532</f>
        <v>0</v>
      </c>
      <c r="L1832">
        <f>'906MP'!U1532</f>
        <v>0</v>
      </c>
      <c r="M1832" s="322" t="str">
        <f>IFERROR(VLOOKUP(A1832,PAR!$D$3:$E$53,2,FALSE),"nincs szervezet")</f>
        <v>nincs szervezet</v>
      </c>
      <c r="N1832" s="322" t="str">
        <f>VLOOKUP(F1832,PAR!$R$3:$S$5,2,FALSE)</f>
        <v>3 - egyik sem</v>
      </c>
      <c r="O1832" t="str">
        <f>IFERROR(VLOOKUP(J1832,PAR!$O$3:$P$5,2,FALSE),"nincs feladat")</f>
        <v>nincs feladat</v>
      </c>
      <c r="P1832" t="str">
        <f>IFERROR(VLOOKUP(G1832,PAR!$J$2:$M$19,4),"nincs rovat")</f>
        <v>nincs rovat</v>
      </c>
      <c r="Q1832" t="str">
        <f>IF(H1832&gt;0,VLOOKUP(H1832,PAR!$AA$3:$AC$187,3,FALSE),"nincs főkönyvi számla")</f>
        <v>nincs főkönyvi számla</v>
      </c>
      <c r="R1832" t="str">
        <f>IFERROR(VLOOKUP(K1832,PAR!$V$3:$X$438,3,FALSE),"000000 - Nincs COFOG")</f>
        <v>000000 - Nincs COFOG</v>
      </c>
      <c r="S1832">
        <f t="shared" si="544"/>
        <v>0</v>
      </c>
      <c r="T1832">
        <f t="shared" si="545"/>
        <v>0</v>
      </c>
      <c r="U1832" t="str">
        <f>IF('906MP'!J1532&gt;0,CONCATENATE('906MP'!J1532," - ",'906MP'!P1532,", ",'906MP'!E1532),"nincs megjegyzés")</f>
        <v>nincs megjegyzés</v>
      </c>
      <c r="V1832" t="str">
        <f t="shared" si="532"/>
        <v>0P0</v>
      </c>
      <c r="W1832" t="str">
        <f t="shared" si="533"/>
        <v>0P0</v>
      </c>
      <c r="X1832" t="str">
        <f t="shared" si="534"/>
        <v>P0</v>
      </c>
      <c r="Y1832" t="str">
        <f t="shared" si="535"/>
        <v>00</v>
      </c>
      <c r="Z1832" t="str">
        <f t="shared" si="546"/>
        <v>00</v>
      </c>
      <c r="AA1832" t="str">
        <f t="shared" si="536"/>
        <v>00</v>
      </c>
      <c r="AB1832" t="str">
        <f t="shared" si="537"/>
        <v>00</v>
      </c>
      <c r="AC1832" t="str">
        <f t="shared" si="538"/>
        <v>0P0</v>
      </c>
      <c r="AD1832" t="str">
        <f t="shared" si="539"/>
        <v>P00</v>
      </c>
      <c r="AE1832" t="str">
        <f t="shared" si="540"/>
        <v>0P0</v>
      </c>
      <c r="AF1832" t="str">
        <f t="shared" si="541"/>
        <v>P00</v>
      </c>
      <c r="AG1832" t="str">
        <f t="shared" si="547"/>
        <v>0P00</v>
      </c>
      <c r="AH1832" t="str">
        <f t="shared" si="548"/>
        <v>P000</v>
      </c>
      <c r="AI1832" t="str">
        <f t="shared" si="549"/>
        <v>0P00</v>
      </c>
      <c r="AJ1832" t="str">
        <f t="shared" si="550"/>
        <v>P000</v>
      </c>
    </row>
    <row r="1833" spans="1:36" x14ac:dyDescent="0.25">
      <c r="A1833" s="325" t="str">
        <f>CONCATENATE("P",'906MP'!M1533)</f>
        <v>P</v>
      </c>
      <c r="B1833">
        <f>'906MP'!H1533</f>
        <v>0</v>
      </c>
      <c r="C1833">
        <f>'906MP'!J1533</f>
        <v>0</v>
      </c>
      <c r="D1833">
        <f>'906MP'!P1533</f>
        <v>0</v>
      </c>
      <c r="E1833">
        <f>'906MP'!X1533</f>
        <v>0</v>
      </c>
      <c r="F1833" t="str">
        <f t="shared" si="542"/>
        <v>0</v>
      </c>
      <c r="G1833" t="str">
        <f t="shared" si="543"/>
        <v>0</v>
      </c>
      <c r="H1833">
        <f>'906MP'!Y1533</f>
        <v>0</v>
      </c>
      <c r="I1833">
        <f>'906MP'!AK1533</f>
        <v>0</v>
      </c>
      <c r="J1833">
        <f>'906MP'!T1533</f>
        <v>0</v>
      </c>
      <c r="K1833">
        <f>'906MP'!AJ1533</f>
        <v>0</v>
      </c>
      <c r="L1833">
        <f>'906MP'!U1533</f>
        <v>0</v>
      </c>
      <c r="M1833" s="322" t="str">
        <f>IFERROR(VLOOKUP(A1833,PAR!$D$3:$E$53,2,FALSE),"nincs szervezet")</f>
        <v>nincs szervezet</v>
      </c>
      <c r="N1833" s="322" t="str">
        <f>VLOOKUP(F1833,PAR!$R$3:$S$5,2,FALSE)</f>
        <v>3 - egyik sem</v>
      </c>
      <c r="O1833" t="str">
        <f>IFERROR(VLOOKUP(J1833,PAR!$O$3:$P$5,2,FALSE),"nincs feladat")</f>
        <v>nincs feladat</v>
      </c>
      <c r="P1833" t="str">
        <f>IFERROR(VLOOKUP(G1833,PAR!$J$2:$M$19,4),"nincs rovat")</f>
        <v>nincs rovat</v>
      </c>
      <c r="Q1833" t="str">
        <f>IF(H1833&gt;0,VLOOKUP(H1833,PAR!$AA$3:$AC$187,3,FALSE),"nincs főkönyvi számla")</f>
        <v>nincs főkönyvi számla</v>
      </c>
      <c r="R1833" t="str">
        <f>IFERROR(VLOOKUP(K1833,PAR!$V$3:$X$438,3,FALSE),"000000 - Nincs COFOG")</f>
        <v>000000 - Nincs COFOG</v>
      </c>
      <c r="S1833">
        <f t="shared" si="544"/>
        <v>0</v>
      </c>
      <c r="T1833">
        <f t="shared" si="545"/>
        <v>0</v>
      </c>
      <c r="U1833" t="str">
        <f>IF('906MP'!J1533&gt;0,CONCATENATE('906MP'!J1533," - ",'906MP'!P1533,", ",'906MP'!E1533),"nincs megjegyzés")</f>
        <v>nincs megjegyzés</v>
      </c>
      <c r="V1833" t="str">
        <f t="shared" si="532"/>
        <v>0P0</v>
      </c>
      <c r="W1833" t="str">
        <f t="shared" si="533"/>
        <v>0P0</v>
      </c>
      <c r="X1833" t="str">
        <f t="shared" si="534"/>
        <v>P0</v>
      </c>
      <c r="Y1833" t="str">
        <f t="shared" si="535"/>
        <v>00</v>
      </c>
      <c r="Z1833" t="str">
        <f t="shared" si="546"/>
        <v>00</v>
      </c>
      <c r="AA1833" t="str">
        <f t="shared" si="536"/>
        <v>00</v>
      </c>
      <c r="AB1833" t="str">
        <f t="shared" si="537"/>
        <v>00</v>
      </c>
      <c r="AC1833" t="str">
        <f t="shared" si="538"/>
        <v>0P0</v>
      </c>
      <c r="AD1833" t="str">
        <f t="shared" si="539"/>
        <v>P00</v>
      </c>
      <c r="AE1833" t="str">
        <f t="shared" si="540"/>
        <v>0P0</v>
      </c>
      <c r="AF1833" t="str">
        <f t="shared" si="541"/>
        <v>P00</v>
      </c>
      <c r="AG1833" t="str">
        <f t="shared" si="547"/>
        <v>0P00</v>
      </c>
      <c r="AH1833" t="str">
        <f t="shared" si="548"/>
        <v>P000</v>
      </c>
      <c r="AI1833" t="str">
        <f t="shared" si="549"/>
        <v>0P00</v>
      </c>
      <c r="AJ1833" t="str">
        <f t="shared" si="550"/>
        <v>P000</v>
      </c>
    </row>
    <row r="1834" spans="1:36" x14ac:dyDescent="0.25">
      <c r="A1834" s="325" t="str">
        <f>CONCATENATE("P",'906MP'!M1534)</f>
        <v>P</v>
      </c>
      <c r="B1834">
        <f>'906MP'!H1534</f>
        <v>0</v>
      </c>
      <c r="C1834">
        <f>'906MP'!J1534</f>
        <v>0</v>
      </c>
      <c r="D1834">
        <f>'906MP'!P1534</f>
        <v>0</v>
      </c>
      <c r="E1834">
        <f>'906MP'!X1534</f>
        <v>0</v>
      </c>
      <c r="F1834" t="str">
        <f t="shared" si="542"/>
        <v>0</v>
      </c>
      <c r="G1834" t="str">
        <f t="shared" si="543"/>
        <v>0</v>
      </c>
      <c r="H1834">
        <f>'906MP'!Y1534</f>
        <v>0</v>
      </c>
      <c r="I1834">
        <f>'906MP'!AK1534</f>
        <v>0</v>
      </c>
      <c r="J1834">
        <f>'906MP'!T1534</f>
        <v>0</v>
      </c>
      <c r="K1834">
        <f>'906MP'!AJ1534</f>
        <v>0</v>
      </c>
      <c r="L1834">
        <f>'906MP'!U1534</f>
        <v>0</v>
      </c>
      <c r="M1834" s="322" t="str">
        <f>IFERROR(VLOOKUP(A1834,PAR!$D$3:$E$53,2,FALSE),"nincs szervezet")</f>
        <v>nincs szervezet</v>
      </c>
      <c r="N1834" s="322" t="str">
        <f>VLOOKUP(F1834,PAR!$R$3:$S$5,2,FALSE)</f>
        <v>3 - egyik sem</v>
      </c>
      <c r="O1834" t="str">
        <f>IFERROR(VLOOKUP(J1834,PAR!$O$3:$P$5,2,FALSE),"nincs feladat")</f>
        <v>nincs feladat</v>
      </c>
      <c r="P1834" t="str">
        <f>IFERROR(VLOOKUP(G1834,PAR!$J$2:$M$19,4),"nincs rovat")</f>
        <v>nincs rovat</v>
      </c>
      <c r="Q1834" t="str">
        <f>IF(H1834&gt;0,VLOOKUP(H1834,PAR!$AA$3:$AC$187,3,FALSE),"nincs főkönyvi számla")</f>
        <v>nincs főkönyvi számla</v>
      </c>
      <c r="R1834" t="str">
        <f>IFERROR(VLOOKUP(K1834,PAR!$V$3:$X$438,3,FALSE),"000000 - Nincs COFOG")</f>
        <v>000000 - Nincs COFOG</v>
      </c>
      <c r="S1834">
        <f t="shared" si="544"/>
        <v>0</v>
      </c>
      <c r="T1834">
        <f t="shared" si="545"/>
        <v>0</v>
      </c>
      <c r="U1834" t="str">
        <f>IF('906MP'!J1534&gt;0,CONCATENATE('906MP'!J1534," - ",'906MP'!P1534,", ",'906MP'!E1534),"nincs megjegyzés")</f>
        <v>nincs megjegyzés</v>
      </c>
      <c r="V1834" t="str">
        <f t="shared" si="532"/>
        <v>0P0</v>
      </c>
      <c r="W1834" t="str">
        <f t="shared" si="533"/>
        <v>0P0</v>
      </c>
      <c r="X1834" t="str">
        <f t="shared" si="534"/>
        <v>P0</v>
      </c>
      <c r="Y1834" t="str">
        <f t="shared" si="535"/>
        <v>00</v>
      </c>
      <c r="Z1834" t="str">
        <f t="shared" si="546"/>
        <v>00</v>
      </c>
      <c r="AA1834" t="str">
        <f t="shared" si="536"/>
        <v>00</v>
      </c>
      <c r="AB1834" t="str">
        <f t="shared" si="537"/>
        <v>00</v>
      </c>
      <c r="AC1834" t="str">
        <f t="shared" si="538"/>
        <v>0P0</v>
      </c>
      <c r="AD1834" t="str">
        <f t="shared" si="539"/>
        <v>P00</v>
      </c>
      <c r="AE1834" t="str">
        <f t="shared" si="540"/>
        <v>0P0</v>
      </c>
      <c r="AF1834" t="str">
        <f t="shared" si="541"/>
        <v>P00</v>
      </c>
      <c r="AG1834" t="str">
        <f t="shared" si="547"/>
        <v>0P00</v>
      </c>
      <c r="AH1834" t="str">
        <f t="shared" si="548"/>
        <v>P000</v>
      </c>
      <c r="AI1834" t="str">
        <f t="shared" si="549"/>
        <v>0P00</v>
      </c>
      <c r="AJ1834" t="str">
        <f t="shared" si="550"/>
        <v>P000</v>
      </c>
    </row>
    <row r="1835" spans="1:36" x14ac:dyDescent="0.25">
      <c r="A1835" s="325" t="str">
        <f>CONCATENATE("P",'906MP'!M1535)</f>
        <v>P</v>
      </c>
      <c r="B1835">
        <f>'906MP'!H1535</f>
        <v>0</v>
      </c>
      <c r="C1835">
        <f>'906MP'!J1535</f>
        <v>0</v>
      </c>
      <c r="D1835">
        <f>'906MP'!P1535</f>
        <v>0</v>
      </c>
      <c r="E1835">
        <f>'906MP'!X1535</f>
        <v>0</v>
      </c>
      <c r="F1835" t="str">
        <f t="shared" si="542"/>
        <v>0</v>
      </c>
      <c r="G1835" t="str">
        <f t="shared" si="543"/>
        <v>0</v>
      </c>
      <c r="H1835">
        <f>'906MP'!Y1535</f>
        <v>0</v>
      </c>
      <c r="I1835">
        <f>'906MP'!AK1535</f>
        <v>0</v>
      </c>
      <c r="J1835">
        <f>'906MP'!T1535</f>
        <v>0</v>
      </c>
      <c r="K1835">
        <f>'906MP'!AJ1535</f>
        <v>0</v>
      </c>
      <c r="L1835">
        <f>'906MP'!U1535</f>
        <v>0</v>
      </c>
      <c r="M1835" s="322" t="str">
        <f>IFERROR(VLOOKUP(A1835,PAR!$D$3:$E$53,2,FALSE),"nincs szervezet")</f>
        <v>nincs szervezet</v>
      </c>
      <c r="N1835" s="322" t="str">
        <f>VLOOKUP(F1835,PAR!$R$3:$S$5,2,FALSE)</f>
        <v>3 - egyik sem</v>
      </c>
      <c r="O1835" t="str">
        <f>IFERROR(VLOOKUP(J1835,PAR!$O$3:$P$5,2,FALSE),"nincs feladat")</f>
        <v>nincs feladat</v>
      </c>
      <c r="P1835" t="str">
        <f>IFERROR(VLOOKUP(G1835,PAR!$J$2:$M$19,4),"nincs rovat")</f>
        <v>nincs rovat</v>
      </c>
      <c r="Q1835" t="str">
        <f>IF(H1835&gt;0,VLOOKUP(H1835,PAR!$AA$3:$AC$187,3,FALSE),"nincs főkönyvi számla")</f>
        <v>nincs főkönyvi számla</v>
      </c>
      <c r="R1835" t="str">
        <f>IFERROR(VLOOKUP(K1835,PAR!$V$3:$X$438,3,FALSE),"000000 - Nincs COFOG")</f>
        <v>000000 - Nincs COFOG</v>
      </c>
      <c r="S1835">
        <f t="shared" si="544"/>
        <v>0</v>
      </c>
      <c r="T1835">
        <f t="shared" si="545"/>
        <v>0</v>
      </c>
      <c r="U1835" t="str">
        <f>IF('906MP'!J1535&gt;0,CONCATENATE('906MP'!J1535," - ",'906MP'!P1535,", ",'906MP'!E1535),"nincs megjegyzés")</f>
        <v>nincs megjegyzés</v>
      </c>
      <c r="V1835" t="str">
        <f t="shared" si="532"/>
        <v>0P0</v>
      </c>
      <c r="W1835" t="str">
        <f t="shared" si="533"/>
        <v>0P0</v>
      </c>
      <c r="X1835" t="str">
        <f t="shared" si="534"/>
        <v>P0</v>
      </c>
      <c r="Y1835" t="str">
        <f t="shared" si="535"/>
        <v>00</v>
      </c>
      <c r="Z1835" t="str">
        <f t="shared" si="546"/>
        <v>00</v>
      </c>
      <c r="AA1835" t="str">
        <f t="shared" si="536"/>
        <v>00</v>
      </c>
      <c r="AB1835" t="str">
        <f t="shared" si="537"/>
        <v>00</v>
      </c>
      <c r="AC1835" t="str">
        <f t="shared" si="538"/>
        <v>0P0</v>
      </c>
      <c r="AD1835" t="str">
        <f t="shared" si="539"/>
        <v>P00</v>
      </c>
      <c r="AE1835" t="str">
        <f t="shared" si="540"/>
        <v>0P0</v>
      </c>
      <c r="AF1835" t="str">
        <f t="shared" si="541"/>
        <v>P00</v>
      </c>
      <c r="AG1835" t="str">
        <f t="shared" si="547"/>
        <v>0P00</v>
      </c>
      <c r="AH1835" t="str">
        <f t="shared" si="548"/>
        <v>P000</v>
      </c>
      <c r="AI1835" t="str">
        <f t="shared" si="549"/>
        <v>0P00</v>
      </c>
      <c r="AJ1835" t="str">
        <f t="shared" si="550"/>
        <v>P000</v>
      </c>
    </row>
    <row r="1836" spans="1:36" x14ac:dyDescent="0.25">
      <c r="A1836" s="325" t="str">
        <f>CONCATENATE("P",'906MP'!M1536)</f>
        <v>P</v>
      </c>
      <c r="B1836">
        <f>'906MP'!H1536</f>
        <v>0</v>
      </c>
      <c r="C1836">
        <f>'906MP'!J1536</f>
        <v>0</v>
      </c>
      <c r="D1836">
        <f>'906MP'!P1536</f>
        <v>0</v>
      </c>
      <c r="E1836">
        <f>'906MP'!X1536</f>
        <v>0</v>
      </c>
      <c r="F1836" t="str">
        <f t="shared" si="542"/>
        <v>0</v>
      </c>
      <c r="G1836" t="str">
        <f t="shared" si="543"/>
        <v>0</v>
      </c>
      <c r="H1836">
        <f>'906MP'!Y1536</f>
        <v>0</v>
      </c>
      <c r="I1836">
        <f>'906MP'!AK1536</f>
        <v>0</v>
      </c>
      <c r="J1836">
        <f>'906MP'!T1536</f>
        <v>0</v>
      </c>
      <c r="K1836">
        <f>'906MP'!AJ1536</f>
        <v>0</v>
      </c>
      <c r="L1836">
        <f>'906MP'!U1536</f>
        <v>0</v>
      </c>
      <c r="M1836" s="322" t="str">
        <f>IFERROR(VLOOKUP(A1836,PAR!$D$3:$E$53,2,FALSE),"nincs szervezet")</f>
        <v>nincs szervezet</v>
      </c>
      <c r="N1836" s="322" t="str">
        <f>VLOOKUP(F1836,PAR!$R$3:$S$5,2,FALSE)</f>
        <v>3 - egyik sem</v>
      </c>
      <c r="O1836" t="str">
        <f>IFERROR(VLOOKUP(J1836,PAR!$O$3:$P$5,2,FALSE),"nincs feladat")</f>
        <v>nincs feladat</v>
      </c>
      <c r="P1836" t="str">
        <f>IFERROR(VLOOKUP(G1836,PAR!$J$2:$M$19,4),"nincs rovat")</f>
        <v>nincs rovat</v>
      </c>
      <c r="Q1836" t="str">
        <f>IF(H1836&gt;0,VLOOKUP(H1836,PAR!$AA$3:$AC$187,3,FALSE),"nincs főkönyvi számla")</f>
        <v>nincs főkönyvi számla</v>
      </c>
      <c r="R1836" t="str">
        <f>IFERROR(VLOOKUP(K1836,PAR!$V$3:$X$438,3,FALSE),"000000 - Nincs COFOG")</f>
        <v>000000 - Nincs COFOG</v>
      </c>
      <c r="S1836">
        <f t="shared" si="544"/>
        <v>0</v>
      </c>
      <c r="T1836">
        <f t="shared" si="545"/>
        <v>0</v>
      </c>
      <c r="U1836" t="str">
        <f>IF('906MP'!J1536&gt;0,CONCATENATE('906MP'!J1536," - ",'906MP'!P1536,", ",'906MP'!E1536),"nincs megjegyzés")</f>
        <v>nincs megjegyzés</v>
      </c>
      <c r="V1836" t="str">
        <f t="shared" si="532"/>
        <v>0P0</v>
      </c>
      <c r="W1836" t="str">
        <f t="shared" si="533"/>
        <v>0P0</v>
      </c>
      <c r="X1836" t="str">
        <f t="shared" si="534"/>
        <v>P0</v>
      </c>
      <c r="Y1836" t="str">
        <f t="shared" si="535"/>
        <v>00</v>
      </c>
      <c r="Z1836" t="str">
        <f t="shared" si="546"/>
        <v>00</v>
      </c>
      <c r="AA1836" t="str">
        <f t="shared" si="536"/>
        <v>00</v>
      </c>
      <c r="AB1836" t="str">
        <f t="shared" si="537"/>
        <v>00</v>
      </c>
      <c r="AC1836" t="str">
        <f t="shared" si="538"/>
        <v>0P0</v>
      </c>
      <c r="AD1836" t="str">
        <f t="shared" si="539"/>
        <v>P00</v>
      </c>
      <c r="AE1836" t="str">
        <f t="shared" si="540"/>
        <v>0P0</v>
      </c>
      <c r="AF1836" t="str">
        <f t="shared" si="541"/>
        <v>P00</v>
      </c>
      <c r="AG1836" t="str">
        <f t="shared" si="547"/>
        <v>0P00</v>
      </c>
      <c r="AH1836" t="str">
        <f t="shared" si="548"/>
        <v>P000</v>
      </c>
      <c r="AI1836" t="str">
        <f t="shared" si="549"/>
        <v>0P00</v>
      </c>
      <c r="AJ1836" t="str">
        <f t="shared" si="550"/>
        <v>P000</v>
      </c>
    </row>
    <row r="1837" spans="1:36" x14ac:dyDescent="0.25">
      <c r="A1837" s="325" t="str">
        <f>CONCATENATE("P",'906MP'!M1537)</f>
        <v>P</v>
      </c>
      <c r="B1837">
        <f>'906MP'!H1537</f>
        <v>0</v>
      </c>
      <c r="C1837">
        <f>'906MP'!J1537</f>
        <v>0</v>
      </c>
      <c r="D1837">
        <f>'906MP'!P1537</f>
        <v>0</v>
      </c>
      <c r="E1837">
        <f>'906MP'!X1537</f>
        <v>0</v>
      </c>
      <c r="F1837" t="str">
        <f t="shared" si="542"/>
        <v>0</v>
      </c>
      <c r="G1837" t="str">
        <f t="shared" si="543"/>
        <v>0</v>
      </c>
      <c r="H1837">
        <f>'906MP'!Y1537</f>
        <v>0</v>
      </c>
      <c r="I1837">
        <f>'906MP'!AK1537</f>
        <v>0</v>
      </c>
      <c r="J1837">
        <f>'906MP'!T1537</f>
        <v>0</v>
      </c>
      <c r="K1837">
        <f>'906MP'!AJ1537</f>
        <v>0</v>
      </c>
      <c r="L1837">
        <f>'906MP'!U1537</f>
        <v>0</v>
      </c>
      <c r="M1837" s="322" t="str">
        <f>IFERROR(VLOOKUP(A1837,PAR!$D$3:$E$53,2,FALSE),"nincs szervezet")</f>
        <v>nincs szervezet</v>
      </c>
      <c r="N1837" s="322" t="str">
        <f>VLOOKUP(F1837,PAR!$R$3:$S$5,2,FALSE)</f>
        <v>3 - egyik sem</v>
      </c>
      <c r="O1837" t="str">
        <f>IFERROR(VLOOKUP(J1837,PAR!$O$3:$P$5,2,FALSE),"nincs feladat")</f>
        <v>nincs feladat</v>
      </c>
      <c r="P1837" t="str">
        <f>IFERROR(VLOOKUP(G1837,PAR!$J$2:$M$19,4),"nincs rovat")</f>
        <v>nincs rovat</v>
      </c>
      <c r="Q1837" t="str">
        <f>IF(H1837&gt;0,VLOOKUP(H1837,PAR!$AA$3:$AC$187,3,FALSE),"nincs főkönyvi számla")</f>
        <v>nincs főkönyvi számla</v>
      </c>
      <c r="R1837" t="str">
        <f>IFERROR(VLOOKUP(K1837,PAR!$V$3:$X$438,3,FALSE),"000000 - Nincs COFOG")</f>
        <v>000000 - Nincs COFOG</v>
      </c>
      <c r="S1837">
        <f t="shared" si="544"/>
        <v>0</v>
      </c>
      <c r="T1837">
        <f t="shared" si="545"/>
        <v>0</v>
      </c>
      <c r="U1837" t="str">
        <f>IF('906MP'!J1537&gt;0,CONCATENATE('906MP'!J1537," - ",'906MP'!P1537,", ",'906MP'!E1537),"nincs megjegyzés")</f>
        <v>nincs megjegyzés</v>
      </c>
      <c r="V1837" t="str">
        <f t="shared" si="532"/>
        <v>0P0</v>
      </c>
      <c r="W1837" t="str">
        <f t="shared" si="533"/>
        <v>0P0</v>
      </c>
      <c r="X1837" t="str">
        <f t="shared" si="534"/>
        <v>P0</v>
      </c>
      <c r="Y1837" t="str">
        <f t="shared" si="535"/>
        <v>00</v>
      </c>
      <c r="Z1837" t="str">
        <f t="shared" si="546"/>
        <v>00</v>
      </c>
      <c r="AA1837" t="str">
        <f t="shared" si="536"/>
        <v>00</v>
      </c>
      <c r="AB1837" t="str">
        <f t="shared" si="537"/>
        <v>00</v>
      </c>
      <c r="AC1837" t="str">
        <f t="shared" si="538"/>
        <v>0P0</v>
      </c>
      <c r="AD1837" t="str">
        <f t="shared" si="539"/>
        <v>P00</v>
      </c>
      <c r="AE1837" t="str">
        <f t="shared" si="540"/>
        <v>0P0</v>
      </c>
      <c r="AF1837" t="str">
        <f t="shared" si="541"/>
        <v>P00</v>
      </c>
      <c r="AG1837" t="str">
        <f t="shared" si="547"/>
        <v>0P00</v>
      </c>
      <c r="AH1837" t="str">
        <f t="shared" si="548"/>
        <v>P000</v>
      </c>
      <c r="AI1837" t="str">
        <f t="shared" si="549"/>
        <v>0P00</v>
      </c>
      <c r="AJ1837" t="str">
        <f t="shared" si="550"/>
        <v>P000</v>
      </c>
    </row>
    <row r="1838" spans="1:36" x14ac:dyDescent="0.25">
      <c r="A1838" s="325" t="str">
        <f>CONCATENATE("P",'906MP'!M1538)</f>
        <v>P</v>
      </c>
      <c r="B1838">
        <f>'906MP'!H1538</f>
        <v>0</v>
      </c>
      <c r="C1838">
        <f>'906MP'!J1538</f>
        <v>0</v>
      </c>
      <c r="D1838">
        <f>'906MP'!P1538</f>
        <v>0</v>
      </c>
      <c r="E1838">
        <f>'906MP'!X1538</f>
        <v>0</v>
      </c>
      <c r="F1838" t="str">
        <f t="shared" si="542"/>
        <v>0</v>
      </c>
      <c r="G1838" t="str">
        <f t="shared" si="543"/>
        <v>0</v>
      </c>
      <c r="H1838">
        <f>'906MP'!Y1538</f>
        <v>0</v>
      </c>
      <c r="I1838">
        <f>'906MP'!AK1538</f>
        <v>0</v>
      </c>
      <c r="J1838">
        <f>'906MP'!T1538</f>
        <v>0</v>
      </c>
      <c r="K1838">
        <f>'906MP'!AJ1538</f>
        <v>0</v>
      </c>
      <c r="L1838">
        <f>'906MP'!U1538</f>
        <v>0</v>
      </c>
      <c r="M1838" s="322" t="str">
        <f>IFERROR(VLOOKUP(A1838,PAR!$D$3:$E$53,2,FALSE),"nincs szervezet")</f>
        <v>nincs szervezet</v>
      </c>
      <c r="N1838" s="322" t="str">
        <f>VLOOKUP(F1838,PAR!$R$3:$S$5,2,FALSE)</f>
        <v>3 - egyik sem</v>
      </c>
      <c r="O1838" t="str">
        <f>IFERROR(VLOOKUP(J1838,PAR!$O$3:$P$5,2,FALSE),"nincs feladat")</f>
        <v>nincs feladat</v>
      </c>
      <c r="P1838" t="str">
        <f>IFERROR(VLOOKUP(G1838,PAR!$J$2:$M$19,4),"nincs rovat")</f>
        <v>nincs rovat</v>
      </c>
      <c r="Q1838" t="str">
        <f>IF(H1838&gt;0,VLOOKUP(H1838,PAR!$AA$3:$AC$187,3,FALSE),"nincs főkönyvi számla")</f>
        <v>nincs főkönyvi számla</v>
      </c>
      <c r="R1838" t="str">
        <f>IFERROR(VLOOKUP(K1838,PAR!$V$3:$X$438,3,FALSE),"000000 - Nincs COFOG")</f>
        <v>000000 - Nincs COFOG</v>
      </c>
      <c r="S1838">
        <f t="shared" si="544"/>
        <v>0</v>
      </c>
      <c r="T1838">
        <f t="shared" si="545"/>
        <v>0</v>
      </c>
      <c r="U1838" t="str">
        <f>IF('906MP'!J1538&gt;0,CONCATENATE('906MP'!J1538," - ",'906MP'!P1538,", ",'906MP'!E1538),"nincs megjegyzés")</f>
        <v>nincs megjegyzés</v>
      </c>
      <c r="V1838" t="str">
        <f t="shared" si="532"/>
        <v>0P0</v>
      </c>
      <c r="W1838" t="str">
        <f t="shared" si="533"/>
        <v>0P0</v>
      </c>
      <c r="X1838" t="str">
        <f t="shared" si="534"/>
        <v>P0</v>
      </c>
      <c r="Y1838" t="str">
        <f t="shared" si="535"/>
        <v>00</v>
      </c>
      <c r="Z1838" t="str">
        <f t="shared" si="546"/>
        <v>00</v>
      </c>
      <c r="AA1838" t="str">
        <f t="shared" si="536"/>
        <v>00</v>
      </c>
      <c r="AB1838" t="str">
        <f t="shared" si="537"/>
        <v>00</v>
      </c>
      <c r="AC1838" t="str">
        <f t="shared" si="538"/>
        <v>0P0</v>
      </c>
      <c r="AD1838" t="str">
        <f t="shared" si="539"/>
        <v>P00</v>
      </c>
      <c r="AE1838" t="str">
        <f t="shared" si="540"/>
        <v>0P0</v>
      </c>
      <c r="AF1838" t="str">
        <f t="shared" si="541"/>
        <v>P00</v>
      </c>
      <c r="AG1838" t="str">
        <f t="shared" si="547"/>
        <v>0P00</v>
      </c>
      <c r="AH1838" t="str">
        <f t="shared" si="548"/>
        <v>P000</v>
      </c>
      <c r="AI1838" t="str">
        <f t="shared" si="549"/>
        <v>0P00</v>
      </c>
      <c r="AJ1838" t="str">
        <f t="shared" si="550"/>
        <v>P000</v>
      </c>
    </row>
    <row r="1839" spans="1:36" x14ac:dyDescent="0.25">
      <c r="A1839" s="325" t="str">
        <f>CONCATENATE("P",'906MP'!M1539)</f>
        <v>P</v>
      </c>
      <c r="B1839">
        <f>'906MP'!H1539</f>
        <v>0</v>
      </c>
      <c r="C1839">
        <f>'906MP'!J1539</f>
        <v>0</v>
      </c>
      <c r="D1839">
        <f>'906MP'!P1539</f>
        <v>0</v>
      </c>
      <c r="E1839">
        <f>'906MP'!X1539</f>
        <v>0</v>
      </c>
      <c r="F1839" t="str">
        <f t="shared" si="542"/>
        <v>0</v>
      </c>
      <c r="G1839" t="str">
        <f t="shared" si="543"/>
        <v>0</v>
      </c>
      <c r="H1839">
        <f>'906MP'!Y1539</f>
        <v>0</v>
      </c>
      <c r="I1839">
        <f>'906MP'!AK1539</f>
        <v>0</v>
      </c>
      <c r="J1839">
        <f>'906MP'!T1539</f>
        <v>0</v>
      </c>
      <c r="K1839">
        <f>'906MP'!AJ1539</f>
        <v>0</v>
      </c>
      <c r="L1839">
        <f>'906MP'!U1539</f>
        <v>0</v>
      </c>
      <c r="M1839" s="322" t="str">
        <f>IFERROR(VLOOKUP(A1839,PAR!$D$3:$E$53,2,FALSE),"nincs szervezet")</f>
        <v>nincs szervezet</v>
      </c>
      <c r="N1839" s="322" t="str">
        <f>VLOOKUP(F1839,PAR!$R$3:$S$5,2,FALSE)</f>
        <v>3 - egyik sem</v>
      </c>
      <c r="O1839" t="str">
        <f>IFERROR(VLOOKUP(J1839,PAR!$O$3:$P$5,2,FALSE),"nincs feladat")</f>
        <v>nincs feladat</v>
      </c>
      <c r="P1839" t="str">
        <f>IFERROR(VLOOKUP(G1839,PAR!$J$2:$M$19,4),"nincs rovat")</f>
        <v>nincs rovat</v>
      </c>
      <c r="Q1839" t="str">
        <f>IF(H1839&gt;0,VLOOKUP(H1839,PAR!$AA$3:$AC$187,3,FALSE),"nincs főkönyvi számla")</f>
        <v>nincs főkönyvi számla</v>
      </c>
      <c r="R1839" t="str">
        <f>IFERROR(VLOOKUP(K1839,PAR!$V$3:$X$438,3,FALSE),"000000 - Nincs COFOG")</f>
        <v>000000 - Nincs COFOG</v>
      </c>
      <c r="S1839">
        <f t="shared" si="544"/>
        <v>0</v>
      </c>
      <c r="T1839">
        <f t="shared" si="545"/>
        <v>0</v>
      </c>
      <c r="U1839" t="str">
        <f>IF('906MP'!J1539&gt;0,CONCATENATE('906MP'!J1539," - ",'906MP'!P1539,", ",'906MP'!E1539),"nincs megjegyzés")</f>
        <v>nincs megjegyzés</v>
      </c>
      <c r="V1839" t="str">
        <f t="shared" si="532"/>
        <v>0P0</v>
      </c>
      <c r="W1839" t="str">
        <f t="shared" si="533"/>
        <v>0P0</v>
      </c>
      <c r="X1839" t="str">
        <f t="shared" si="534"/>
        <v>P0</v>
      </c>
      <c r="Y1839" t="str">
        <f t="shared" si="535"/>
        <v>00</v>
      </c>
      <c r="Z1839" t="str">
        <f t="shared" si="546"/>
        <v>00</v>
      </c>
      <c r="AA1839" t="str">
        <f t="shared" si="536"/>
        <v>00</v>
      </c>
      <c r="AB1839" t="str">
        <f t="shared" si="537"/>
        <v>00</v>
      </c>
      <c r="AC1839" t="str">
        <f t="shared" si="538"/>
        <v>0P0</v>
      </c>
      <c r="AD1839" t="str">
        <f t="shared" si="539"/>
        <v>P00</v>
      </c>
      <c r="AE1839" t="str">
        <f t="shared" si="540"/>
        <v>0P0</v>
      </c>
      <c r="AF1839" t="str">
        <f t="shared" si="541"/>
        <v>P00</v>
      </c>
      <c r="AG1839" t="str">
        <f t="shared" si="547"/>
        <v>0P00</v>
      </c>
      <c r="AH1839" t="str">
        <f t="shared" si="548"/>
        <v>P000</v>
      </c>
      <c r="AI1839" t="str">
        <f t="shared" si="549"/>
        <v>0P00</v>
      </c>
      <c r="AJ1839" t="str">
        <f t="shared" si="550"/>
        <v>P000</v>
      </c>
    </row>
    <row r="1840" spans="1:36" x14ac:dyDescent="0.25">
      <c r="A1840" s="325" t="str">
        <f>CONCATENATE("P",'906MP'!M1540)</f>
        <v>P</v>
      </c>
      <c r="B1840">
        <f>'906MP'!H1540</f>
        <v>0</v>
      </c>
      <c r="C1840">
        <f>'906MP'!J1540</f>
        <v>0</v>
      </c>
      <c r="D1840">
        <f>'906MP'!P1540</f>
        <v>0</v>
      </c>
      <c r="E1840">
        <f>'906MP'!X1540</f>
        <v>0</v>
      </c>
      <c r="F1840" t="str">
        <f t="shared" si="542"/>
        <v>0</v>
      </c>
      <c r="G1840" t="str">
        <f t="shared" si="543"/>
        <v>0</v>
      </c>
      <c r="H1840">
        <f>'906MP'!Y1540</f>
        <v>0</v>
      </c>
      <c r="I1840">
        <f>'906MP'!AK1540</f>
        <v>0</v>
      </c>
      <c r="J1840">
        <f>'906MP'!T1540</f>
        <v>0</v>
      </c>
      <c r="K1840">
        <f>'906MP'!AJ1540</f>
        <v>0</v>
      </c>
      <c r="L1840">
        <f>'906MP'!U1540</f>
        <v>0</v>
      </c>
      <c r="M1840" s="322" t="str">
        <f>IFERROR(VLOOKUP(A1840,PAR!$D$3:$E$53,2,FALSE),"nincs szervezet")</f>
        <v>nincs szervezet</v>
      </c>
      <c r="N1840" s="322" t="str">
        <f>VLOOKUP(F1840,PAR!$R$3:$S$5,2,FALSE)</f>
        <v>3 - egyik sem</v>
      </c>
      <c r="O1840" t="str">
        <f>IFERROR(VLOOKUP(J1840,PAR!$O$3:$P$5,2,FALSE),"nincs feladat")</f>
        <v>nincs feladat</v>
      </c>
      <c r="P1840" t="str">
        <f>IFERROR(VLOOKUP(G1840,PAR!$J$2:$M$19,4),"nincs rovat")</f>
        <v>nincs rovat</v>
      </c>
      <c r="Q1840" t="str">
        <f>IF(H1840&gt;0,VLOOKUP(H1840,PAR!$AA$3:$AC$187,3,FALSE),"nincs főkönyvi számla")</f>
        <v>nincs főkönyvi számla</v>
      </c>
      <c r="R1840" t="str">
        <f>IFERROR(VLOOKUP(K1840,PAR!$V$3:$X$438,3,FALSE),"000000 - Nincs COFOG")</f>
        <v>000000 - Nincs COFOG</v>
      </c>
      <c r="S1840">
        <f t="shared" si="544"/>
        <v>0</v>
      </c>
      <c r="T1840">
        <f t="shared" si="545"/>
        <v>0</v>
      </c>
      <c r="U1840" t="str">
        <f>IF('906MP'!J1540&gt;0,CONCATENATE('906MP'!J1540," - ",'906MP'!P1540,", ",'906MP'!E1540),"nincs megjegyzés")</f>
        <v>nincs megjegyzés</v>
      </c>
      <c r="V1840" t="str">
        <f t="shared" si="532"/>
        <v>0P0</v>
      </c>
      <c r="W1840" t="str">
        <f t="shared" si="533"/>
        <v>0P0</v>
      </c>
      <c r="X1840" t="str">
        <f t="shared" si="534"/>
        <v>P0</v>
      </c>
      <c r="Y1840" t="str">
        <f t="shared" si="535"/>
        <v>00</v>
      </c>
      <c r="Z1840" t="str">
        <f t="shared" si="546"/>
        <v>00</v>
      </c>
      <c r="AA1840" t="str">
        <f t="shared" si="536"/>
        <v>00</v>
      </c>
      <c r="AB1840" t="str">
        <f t="shared" si="537"/>
        <v>00</v>
      </c>
      <c r="AC1840" t="str">
        <f t="shared" si="538"/>
        <v>0P0</v>
      </c>
      <c r="AD1840" t="str">
        <f t="shared" si="539"/>
        <v>P00</v>
      </c>
      <c r="AE1840" t="str">
        <f t="shared" si="540"/>
        <v>0P0</v>
      </c>
      <c r="AF1840" t="str">
        <f t="shared" si="541"/>
        <v>P00</v>
      </c>
      <c r="AG1840" t="str">
        <f t="shared" si="547"/>
        <v>0P00</v>
      </c>
      <c r="AH1840" t="str">
        <f t="shared" si="548"/>
        <v>P000</v>
      </c>
      <c r="AI1840" t="str">
        <f t="shared" si="549"/>
        <v>0P00</v>
      </c>
      <c r="AJ1840" t="str">
        <f t="shared" si="550"/>
        <v>P000</v>
      </c>
    </row>
    <row r="1841" spans="1:36" x14ac:dyDescent="0.25">
      <c r="A1841" s="325" t="str">
        <f>CONCATENATE("P",'906MP'!M1541)</f>
        <v>P</v>
      </c>
      <c r="B1841">
        <f>'906MP'!H1541</f>
        <v>0</v>
      </c>
      <c r="C1841">
        <f>'906MP'!J1541</f>
        <v>0</v>
      </c>
      <c r="D1841">
        <f>'906MP'!P1541</f>
        <v>0</v>
      </c>
      <c r="E1841">
        <f>'906MP'!X1541</f>
        <v>0</v>
      </c>
      <c r="F1841" t="str">
        <f t="shared" si="542"/>
        <v>0</v>
      </c>
      <c r="G1841" t="str">
        <f t="shared" si="543"/>
        <v>0</v>
      </c>
      <c r="H1841">
        <f>'906MP'!Y1541</f>
        <v>0</v>
      </c>
      <c r="I1841">
        <f>'906MP'!AK1541</f>
        <v>0</v>
      </c>
      <c r="J1841">
        <f>'906MP'!T1541</f>
        <v>0</v>
      </c>
      <c r="K1841">
        <f>'906MP'!AJ1541</f>
        <v>0</v>
      </c>
      <c r="L1841">
        <f>'906MP'!U1541</f>
        <v>0</v>
      </c>
      <c r="M1841" s="322" t="str">
        <f>IFERROR(VLOOKUP(A1841,PAR!$D$3:$E$53,2,FALSE),"nincs szervezet")</f>
        <v>nincs szervezet</v>
      </c>
      <c r="N1841" s="322" t="str">
        <f>VLOOKUP(F1841,PAR!$R$3:$S$5,2,FALSE)</f>
        <v>3 - egyik sem</v>
      </c>
      <c r="O1841" t="str">
        <f>IFERROR(VLOOKUP(J1841,PAR!$O$3:$P$5,2,FALSE),"nincs feladat")</f>
        <v>nincs feladat</v>
      </c>
      <c r="P1841" t="str">
        <f>IFERROR(VLOOKUP(G1841,PAR!$J$2:$M$19,4),"nincs rovat")</f>
        <v>nincs rovat</v>
      </c>
      <c r="Q1841" t="str">
        <f>IF(H1841&gt;0,VLOOKUP(H1841,PAR!$AA$3:$AC$187,3,FALSE),"nincs főkönyvi számla")</f>
        <v>nincs főkönyvi számla</v>
      </c>
      <c r="R1841" t="str">
        <f>IFERROR(VLOOKUP(K1841,PAR!$V$3:$X$438,3,FALSE),"000000 - Nincs COFOG")</f>
        <v>000000 - Nincs COFOG</v>
      </c>
      <c r="S1841">
        <f t="shared" si="544"/>
        <v>0</v>
      </c>
      <c r="T1841">
        <f t="shared" si="545"/>
        <v>0</v>
      </c>
      <c r="U1841" t="str">
        <f>IF('906MP'!J1541&gt;0,CONCATENATE('906MP'!J1541," - ",'906MP'!P1541,", ",'906MP'!E1541),"nincs megjegyzés")</f>
        <v>nincs megjegyzés</v>
      </c>
      <c r="V1841" t="str">
        <f t="shared" si="532"/>
        <v>0P0</v>
      </c>
      <c r="W1841" t="str">
        <f t="shared" si="533"/>
        <v>0P0</v>
      </c>
      <c r="X1841" t="str">
        <f t="shared" si="534"/>
        <v>P0</v>
      </c>
      <c r="Y1841" t="str">
        <f t="shared" si="535"/>
        <v>00</v>
      </c>
      <c r="Z1841" t="str">
        <f t="shared" si="546"/>
        <v>00</v>
      </c>
      <c r="AA1841" t="str">
        <f t="shared" si="536"/>
        <v>00</v>
      </c>
      <c r="AB1841" t="str">
        <f t="shared" si="537"/>
        <v>00</v>
      </c>
      <c r="AC1841" t="str">
        <f t="shared" si="538"/>
        <v>0P0</v>
      </c>
      <c r="AD1841" t="str">
        <f t="shared" si="539"/>
        <v>P00</v>
      </c>
      <c r="AE1841" t="str">
        <f t="shared" si="540"/>
        <v>0P0</v>
      </c>
      <c r="AF1841" t="str">
        <f t="shared" si="541"/>
        <v>P00</v>
      </c>
      <c r="AG1841" t="str">
        <f t="shared" si="547"/>
        <v>0P00</v>
      </c>
      <c r="AH1841" t="str">
        <f t="shared" si="548"/>
        <v>P000</v>
      </c>
      <c r="AI1841" t="str">
        <f t="shared" si="549"/>
        <v>0P00</v>
      </c>
      <c r="AJ1841" t="str">
        <f t="shared" si="550"/>
        <v>P000</v>
      </c>
    </row>
    <row r="1842" spans="1:36" x14ac:dyDescent="0.25">
      <c r="A1842" s="325" t="str">
        <f>CONCATENATE("P",'906MP'!M1542)</f>
        <v>P</v>
      </c>
      <c r="B1842">
        <f>'906MP'!H1542</f>
        <v>0</v>
      </c>
      <c r="C1842">
        <f>'906MP'!J1542</f>
        <v>0</v>
      </c>
      <c r="D1842">
        <f>'906MP'!P1542</f>
        <v>0</v>
      </c>
      <c r="E1842">
        <f>'906MP'!X1542</f>
        <v>0</v>
      </c>
      <c r="F1842" t="str">
        <f t="shared" si="542"/>
        <v>0</v>
      </c>
      <c r="G1842" t="str">
        <f t="shared" si="543"/>
        <v>0</v>
      </c>
      <c r="H1842">
        <f>'906MP'!Y1542</f>
        <v>0</v>
      </c>
      <c r="I1842">
        <f>'906MP'!AK1542</f>
        <v>0</v>
      </c>
      <c r="J1842">
        <f>'906MP'!T1542</f>
        <v>0</v>
      </c>
      <c r="K1842">
        <f>'906MP'!AJ1542</f>
        <v>0</v>
      </c>
      <c r="L1842">
        <f>'906MP'!U1542</f>
        <v>0</v>
      </c>
      <c r="M1842" s="322" t="str">
        <f>IFERROR(VLOOKUP(A1842,PAR!$D$3:$E$53,2,FALSE),"nincs szervezet")</f>
        <v>nincs szervezet</v>
      </c>
      <c r="N1842" s="322" t="str">
        <f>VLOOKUP(F1842,PAR!$R$3:$S$5,2,FALSE)</f>
        <v>3 - egyik sem</v>
      </c>
      <c r="O1842" t="str">
        <f>IFERROR(VLOOKUP(J1842,PAR!$O$3:$P$5,2,FALSE),"nincs feladat")</f>
        <v>nincs feladat</v>
      </c>
      <c r="P1842" t="str">
        <f>IFERROR(VLOOKUP(G1842,PAR!$J$2:$M$19,4),"nincs rovat")</f>
        <v>nincs rovat</v>
      </c>
      <c r="Q1842" t="str">
        <f>IF(H1842&gt;0,VLOOKUP(H1842,PAR!$AA$3:$AC$187,3,FALSE),"nincs főkönyvi számla")</f>
        <v>nincs főkönyvi számla</v>
      </c>
      <c r="R1842" t="str">
        <f>IFERROR(VLOOKUP(K1842,PAR!$V$3:$X$438,3,FALSE),"000000 - Nincs COFOG")</f>
        <v>000000 - Nincs COFOG</v>
      </c>
      <c r="S1842">
        <f t="shared" si="544"/>
        <v>0</v>
      </c>
      <c r="T1842">
        <f t="shared" si="545"/>
        <v>0</v>
      </c>
      <c r="U1842" t="str">
        <f>IF('906MP'!J1542&gt;0,CONCATENATE('906MP'!J1542," - ",'906MP'!P1542,", ",'906MP'!E1542),"nincs megjegyzés")</f>
        <v>nincs megjegyzés</v>
      </c>
      <c r="V1842" t="str">
        <f t="shared" si="532"/>
        <v>0P0</v>
      </c>
      <c r="W1842" t="str">
        <f t="shared" si="533"/>
        <v>0P0</v>
      </c>
      <c r="X1842" t="str">
        <f t="shared" si="534"/>
        <v>P0</v>
      </c>
      <c r="Y1842" t="str">
        <f t="shared" si="535"/>
        <v>00</v>
      </c>
      <c r="Z1842" t="str">
        <f t="shared" si="546"/>
        <v>00</v>
      </c>
      <c r="AA1842" t="str">
        <f t="shared" si="536"/>
        <v>00</v>
      </c>
      <c r="AB1842" t="str">
        <f t="shared" si="537"/>
        <v>00</v>
      </c>
      <c r="AC1842" t="str">
        <f t="shared" si="538"/>
        <v>0P0</v>
      </c>
      <c r="AD1842" t="str">
        <f t="shared" si="539"/>
        <v>P00</v>
      </c>
      <c r="AE1842" t="str">
        <f t="shared" si="540"/>
        <v>0P0</v>
      </c>
      <c r="AF1842" t="str">
        <f t="shared" si="541"/>
        <v>P00</v>
      </c>
      <c r="AG1842" t="str">
        <f t="shared" si="547"/>
        <v>0P00</v>
      </c>
      <c r="AH1842" t="str">
        <f t="shared" si="548"/>
        <v>P000</v>
      </c>
      <c r="AI1842" t="str">
        <f t="shared" si="549"/>
        <v>0P00</v>
      </c>
      <c r="AJ1842" t="str">
        <f t="shared" si="550"/>
        <v>P000</v>
      </c>
    </row>
    <row r="1843" spans="1:36" x14ac:dyDescent="0.25">
      <c r="A1843" s="325" t="str">
        <f>CONCATENATE("P",'906MP'!M1543)</f>
        <v>P</v>
      </c>
      <c r="B1843">
        <f>'906MP'!H1543</f>
        <v>0</v>
      </c>
      <c r="C1843">
        <f>'906MP'!J1543</f>
        <v>0</v>
      </c>
      <c r="D1843">
        <f>'906MP'!P1543</f>
        <v>0</v>
      </c>
      <c r="E1843">
        <f>'906MP'!X1543</f>
        <v>0</v>
      </c>
      <c r="F1843" t="str">
        <f t="shared" si="542"/>
        <v>0</v>
      </c>
      <c r="G1843" t="str">
        <f t="shared" si="543"/>
        <v>0</v>
      </c>
      <c r="H1843">
        <f>'906MP'!Y1543</f>
        <v>0</v>
      </c>
      <c r="I1843">
        <f>'906MP'!AK1543</f>
        <v>0</v>
      </c>
      <c r="J1843">
        <f>'906MP'!T1543</f>
        <v>0</v>
      </c>
      <c r="K1843">
        <f>'906MP'!AJ1543</f>
        <v>0</v>
      </c>
      <c r="L1843">
        <f>'906MP'!U1543</f>
        <v>0</v>
      </c>
      <c r="M1843" s="322" t="str">
        <f>IFERROR(VLOOKUP(A1843,PAR!$D$3:$E$53,2,FALSE),"nincs szervezet")</f>
        <v>nincs szervezet</v>
      </c>
      <c r="N1843" s="322" t="str">
        <f>VLOOKUP(F1843,PAR!$R$3:$S$5,2,FALSE)</f>
        <v>3 - egyik sem</v>
      </c>
      <c r="O1843" t="str">
        <f>IFERROR(VLOOKUP(J1843,PAR!$O$3:$P$5,2,FALSE),"nincs feladat")</f>
        <v>nincs feladat</v>
      </c>
      <c r="P1843" t="str">
        <f>IFERROR(VLOOKUP(G1843,PAR!$J$2:$M$19,4),"nincs rovat")</f>
        <v>nincs rovat</v>
      </c>
      <c r="Q1843" t="str">
        <f>IF(H1843&gt;0,VLOOKUP(H1843,PAR!$AA$3:$AC$187,3,FALSE),"nincs főkönyvi számla")</f>
        <v>nincs főkönyvi számla</v>
      </c>
      <c r="R1843" t="str">
        <f>IFERROR(VLOOKUP(K1843,PAR!$V$3:$X$438,3,FALSE),"000000 - Nincs COFOG")</f>
        <v>000000 - Nincs COFOG</v>
      </c>
      <c r="S1843">
        <f t="shared" si="544"/>
        <v>0</v>
      </c>
      <c r="T1843">
        <f t="shared" si="545"/>
        <v>0</v>
      </c>
      <c r="U1843" t="str">
        <f>IF('906MP'!J1543&gt;0,CONCATENATE('906MP'!J1543," - ",'906MP'!P1543,", ",'906MP'!E1543),"nincs megjegyzés")</f>
        <v>nincs megjegyzés</v>
      </c>
      <c r="V1843" t="str">
        <f t="shared" si="532"/>
        <v>0P0</v>
      </c>
      <c r="W1843" t="str">
        <f t="shared" si="533"/>
        <v>0P0</v>
      </c>
      <c r="X1843" t="str">
        <f t="shared" si="534"/>
        <v>P0</v>
      </c>
      <c r="Y1843" t="str">
        <f t="shared" si="535"/>
        <v>00</v>
      </c>
      <c r="Z1843" t="str">
        <f t="shared" si="546"/>
        <v>00</v>
      </c>
      <c r="AA1843" t="str">
        <f t="shared" si="536"/>
        <v>00</v>
      </c>
      <c r="AB1843" t="str">
        <f t="shared" si="537"/>
        <v>00</v>
      </c>
      <c r="AC1843" t="str">
        <f t="shared" si="538"/>
        <v>0P0</v>
      </c>
      <c r="AD1843" t="str">
        <f t="shared" si="539"/>
        <v>P00</v>
      </c>
      <c r="AE1843" t="str">
        <f t="shared" si="540"/>
        <v>0P0</v>
      </c>
      <c r="AF1843" t="str">
        <f t="shared" si="541"/>
        <v>P00</v>
      </c>
      <c r="AG1843" t="str">
        <f t="shared" si="547"/>
        <v>0P00</v>
      </c>
      <c r="AH1843" t="str">
        <f t="shared" si="548"/>
        <v>P000</v>
      </c>
      <c r="AI1843" t="str">
        <f t="shared" si="549"/>
        <v>0P00</v>
      </c>
      <c r="AJ1843" t="str">
        <f t="shared" si="550"/>
        <v>P000</v>
      </c>
    </row>
    <row r="1844" spans="1:36" x14ac:dyDescent="0.25">
      <c r="A1844" s="325" t="str">
        <f>CONCATENATE("P",'906MP'!M1544)</f>
        <v>P</v>
      </c>
      <c r="B1844">
        <f>'906MP'!H1544</f>
        <v>0</v>
      </c>
      <c r="C1844">
        <f>'906MP'!J1544</f>
        <v>0</v>
      </c>
      <c r="D1844">
        <f>'906MP'!P1544</f>
        <v>0</v>
      </c>
      <c r="E1844">
        <f>'906MP'!X1544</f>
        <v>0</v>
      </c>
      <c r="F1844" t="str">
        <f t="shared" si="542"/>
        <v>0</v>
      </c>
      <c r="G1844" t="str">
        <f t="shared" si="543"/>
        <v>0</v>
      </c>
      <c r="H1844">
        <f>'906MP'!Y1544</f>
        <v>0</v>
      </c>
      <c r="I1844">
        <f>'906MP'!AK1544</f>
        <v>0</v>
      </c>
      <c r="J1844">
        <f>'906MP'!T1544</f>
        <v>0</v>
      </c>
      <c r="K1844">
        <f>'906MP'!AJ1544</f>
        <v>0</v>
      </c>
      <c r="L1844">
        <f>'906MP'!U1544</f>
        <v>0</v>
      </c>
      <c r="M1844" s="322" t="str">
        <f>IFERROR(VLOOKUP(A1844,PAR!$D$3:$E$53,2,FALSE),"nincs szervezet")</f>
        <v>nincs szervezet</v>
      </c>
      <c r="N1844" s="322" t="str">
        <f>VLOOKUP(F1844,PAR!$R$3:$S$5,2,FALSE)</f>
        <v>3 - egyik sem</v>
      </c>
      <c r="O1844" t="str">
        <f>IFERROR(VLOOKUP(J1844,PAR!$O$3:$P$5,2,FALSE),"nincs feladat")</f>
        <v>nincs feladat</v>
      </c>
      <c r="P1844" t="str">
        <f>IFERROR(VLOOKUP(G1844,PAR!$J$2:$M$19,4),"nincs rovat")</f>
        <v>nincs rovat</v>
      </c>
      <c r="Q1844" t="str">
        <f>IF(H1844&gt;0,VLOOKUP(H1844,PAR!$AA$3:$AC$187,3,FALSE),"nincs főkönyvi számla")</f>
        <v>nincs főkönyvi számla</v>
      </c>
      <c r="R1844" t="str">
        <f>IFERROR(VLOOKUP(K1844,PAR!$V$3:$X$438,3,FALSE),"000000 - Nincs COFOG")</f>
        <v>000000 - Nincs COFOG</v>
      </c>
      <c r="S1844">
        <f t="shared" si="544"/>
        <v>0</v>
      </c>
      <c r="T1844">
        <f t="shared" si="545"/>
        <v>0</v>
      </c>
      <c r="U1844" t="str">
        <f>IF('906MP'!J1544&gt;0,CONCATENATE('906MP'!J1544," - ",'906MP'!P1544,", ",'906MP'!E1544),"nincs megjegyzés")</f>
        <v>nincs megjegyzés</v>
      </c>
      <c r="V1844" t="str">
        <f t="shared" si="532"/>
        <v>0P0</v>
      </c>
      <c r="W1844" t="str">
        <f t="shared" si="533"/>
        <v>0P0</v>
      </c>
      <c r="X1844" t="str">
        <f t="shared" si="534"/>
        <v>P0</v>
      </c>
      <c r="Y1844" t="str">
        <f t="shared" si="535"/>
        <v>00</v>
      </c>
      <c r="Z1844" t="str">
        <f t="shared" si="546"/>
        <v>00</v>
      </c>
      <c r="AA1844" t="str">
        <f t="shared" si="536"/>
        <v>00</v>
      </c>
      <c r="AB1844" t="str">
        <f t="shared" si="537"/>
        <v>00</v>
      </c>
      <c r="AC1844" t="str">
        <f t="shared" si="538"/>
        <v>0P0</v>
      </c>
      <c r="AD1844" t="str">
        <f t="shared" si="539"/>
        <v>P00</v>
      </c>
      <c r="AE1844" t="str">
        <f t="shared" si="540"/>
        <v>0P0</v>
      </c>
      <c r="AF1844" t="str">
        <f t="shared" si="541"/>
        <v>P00</v>
      </c>
      <c r="AG1844" t="str">
        <f t="shared" si="547"/>
        <v>0P00</v>
      </c>
      <c r="AH1844" t="str">
        <f t="shared" si="548"/>
        <v>P000</v>
      </c>
      <c r="AI1844" t="str">
        <f t="shared" si="549"/>
        <v>0P00</v>
      </c>
      <c r="AJ1844" t="str">
        <f t="shared" si="550"/>
        <v>P000</v>
      </c>
    </row>
    <row r="1845" spans="1:36" x14ac:dyDescent="0.25">
      <c r="A1845" s="325" t="str">
        <f>CONCATENATE("P",'906MP'!M1545)</f>
        <v>P</v>
      </c>
      <c r="B1845">
        <f>'906MP'!H1545</f>
        <v>0</v>
      </c>
      <c r="C1845">
        <f>'906MP'!J1545</f>
        <v>0</v>
      </c>
      <c r="D1845">
        <f>'906MP'!P1545</f>
        <v>0</v>
      </c>
      <c r="E1845">
        <f>'906MP'!X1545</f>
        <v>0</v>
      </c>
      <c r="F1845" t="str">
        <f t="shared" si="542"/>
        <v>0</v>
      </c>
      <c r="G1845" t="str">
        <f t="shared" si="543"/>
        <v>0</v>
      </c>
      <c r="H1845">
        <f>'906MP'!Y1545</f>
        <v>0</v>
      </c>
      <c r="I1845">
        <f>'906MP'!AK1545</f>
        <v>0</v>
      </c>
      <c r="J1845">
        <f>'906MP'!T1545</f>
        <v>0</v>
      </c>
      <c r="K1845">
        <f>'906MP'!AJ1545</f>
        <v>0</v>
      </c>
      <c r="L1845">
        <f>'906MP'!U1545</f>
        <v>0</v>
      </c>
      <c r="M1845" s="322" t="str">
        <f>IFERROR(VLOOKUP(A1845,PAR!$D$3:$E$53,2,FALSE),"nincs szervezet")</f>
        <v>nincs szervezet</v>
      </c>
      <c r="N1845" s="322" t="str">
        <f>VLOOKUP(F1845,PAR!$R$3:$S$5,2,FALSE)</f>
        <v>3 - egyik sem</v>
      </c>
      <c r="O1845" t="str">
        <f>IFERROR(VLOOKUP(J1845,PAR!$O$3:$P$5,2,FALSE),"nincs feladat")</f>
        <v>nincs feladat</v>
      </c>
      <c r="P1845" t="str">
        <f>IFERROR(VLOOKUP(G1845,PAR!$J$2:$M$19,4),"nincs rovat")</f>
        <v>nincs rovat</v>
      </c>
      <c r="Q1845" t="str">
        <f>IF(H1845&gt;0,VLOOKUP(H1845,PAR!$AA$3:$AC$187,3,FALSE),"nincs főkönyvi számla")</f>
        <v>nincs főkönyvi számla</v>
      </c>
      <c r="R1845" t="str">
        <f>IFERROR(VLOOKUP(K1845,PAR!$V$3:$X$438,3,FALSE),"000000 - Nincs COFOG")</f>
        <v>000000 - Nincs COFOG</v>
      </c>
      <c r="S1845">
        <f t="shared" si="544"/>
        <v>0</v>
      </c>
      <c r="T1845">
        <f t="shared" si="545"/>
        <v>0</v>
      </c>
      <c r="U1845" t="str">
        <f>IF('906MP'!J1545&gt;0,CONCATENATE('906MP'!J1545," - ",'906MP'!P1545,", ",'906MP'!E1545),"nincs megjegyzés")</f>
        <v>nincs megjegyzés</v>
      </c>
      <c r="V1845" t="str">
        <f t="shared" si="532"/>
        <v>0P0</v>
      </c>
      <c r="W1845" t="str">
        <f t="shared" si="533"/>
        <v>0P0</v>
      </c>
      <c r="X1845" t="str">
        <f t="shared" si="534"/>
        <v>P0</v>
      </c>
      <c r="Y1845" t="str">
        <f t="shared" si="535"/>
        <v>00</v>
      </c>
      <c r="Z1845" t="str">
        <f t="shared" si="546"/>
        <v>00</v>
      </c>
      <c r="AA1845" t="str">
        <f t="shared" si="536"/>
        <v>00</v>
      </c>
      <c r="AB1845" t="str">
        <f t="shared" si="537"/>
        <v>00</v>
      </c>
      <c r="AC1845" t="str">
        <f t="shared" si="538"/>
        <v>0P0</v>
      </c>
      <c r="AD1845" t="str">
        <f t="shared" si="539"/>
        <v>P00</v>
      </c>
      <c r="AE1845" t="str">
        <f t="shared" si="540"/>
        <v>0P0</v>
      </c>
      <c r="AF1845" t="str">
        <f t="shared" si="541"/>
        <v>P00</v>
      </c>
      <c r="AG1845" t="str">
        <f t="shared" si="547"/>
        <v>0P00</v>
      </c>
      <c r="AH1845" t="str">
        <f t="shared" si="548"/>
        <v>P000</v>
      </c>
      <c r="AI1845" t="str">
        <f t="shared" si="549"/>
        <v>0P00</v>
      </c>
      <c r="AJ1845" t="str">
        <f t="shared" si="550"/>
        <v>P000</v>
      </c>
    </row>
    <row r="1846" spans="1:36" x14ac:dyDescent="0.25">
      <c r="A1846" s="325" t="str">
        <f>CONCATENATE("P",'906MP'!M1546)</f>
        <v>P</v>
      </c>
      <c r="B1846">
        <f>'906MP'!H1546</f>
        <v>0</v>
      </c>
      <c r="C1846">
        <f>'906MP'!J1546</f>
        <v>0</v>
      </c>
      <c r="D1846">
        <f>'906MP'!P1546</f>
        <v>0</v>
      </c>
      <c r="E1846">
        <f>'906MP'!X1546</f>
        <v>0</v>
      </c>
      <c r="F1846" t="str">
        <f t="shared" si="542"/>
        <v>0</v>
      </c>
      <c r="G1846" t="str">
        <f t="shared" si="543"/>
        <v>0</v>
      </c>
      <c r="H1846">
        <f>'906MP'!Y1546</f>
        <v>0</v>
      </c>
      <c r="I1846">
        <f>'906MP'!AK1546</f>
        <v>0</v>
      </c>
      <c r="J1846">
        <f>'906MP'!T1546</f>
        <v>0</v>
      </c>
      <c r="K1846">
        <f>'906MP'!AJ1546</f>
        <v>0</v>
      </c>
      <c r="L1846">
        <f>'906MP'!U1546</f>
        <v>0</v>
      </c>
      <c r="M1846" s="322" t="str">
        <f>IFERROR(VLOOKUP(A1846,PAR!$D$3:$E$53,2,FALSE),"nincs szervezet")</f>
        <v>nincs szervezet</v>
      </c>
      <c r="N1846" s="322" t="str">
        <f>VLOOKUP(F1846,PAR!$R$3:$S$5,2,FALSE)</f>
        <v>3 - egyik sem</v>
      </c>
      <c r="O1846" t="str">
        <f>IFERROR(VLOOKUP(J1846,PAR!$O$3:$P$5,2,FALSE),"nincs feladat")</f>
        <v>nincs feladat</v>
      </c>
      <c r="P1846" t="str">
        <f>IFERROR(VLOOKUP(G1846,PAR!$J$2:$M$19,4),"nincs rovat")</f>
        <v>nincs rovat</v>
      </c>
      <c r="Q1846" t="str">
        <f>IF(H1846&gt;0,VLOOKUP(H1846,PAR!$AA$3:$AC$187,3,FALSE),"nincs főkönyvi számla")</f>
        <v>nincs főkönyvi számla</v>
      </c>
      <c r="R1846" t="str">
        <f>IFERROR(VLOOKUP(K1846,PAR!$V$3:$X$438,3,FALSE),"000000 - Nincs COFOG")</f>
        <v>000000 - Nincs COFOG</v>
      </c>
      <c r="S1846">
        <f t="shared" si="544"/>
        <v>0</v>
      </c>
      <c r="T1846">
        <f t="shared" si="545"/>
        <v>0</v>
      </c>
      <c r="U1846" t="str">
        <f>IF('906MP'!J1546&gt;0,CONCATENATE('906MP'!J1546," - ",'906MP'!P1546,", ",'906MP'!E1546),"nincs megjegyzés")</f>
        <v>nincs megjegyzés</v>
      </c>
      <c r="V1846" t="str">
        <f t="shared" si="532"/>
        <v>0P0</v>
      </c>
      <c r="W1846" t="str">
        <f t="shared" si="533"/>
        <v>0P0</v>
      </c>
      <c r="X1846" t="str">
        <f t="shared" si="534"/>
        <v>P0</v>
      </c>
      <c r="Y1846" t="str">
        <f t="shared" si="535"/>
        <v>00</v>
      </c>
      <c r="Z1846" t="str">
        <f t="shared" si="546"/>
        <v>00</v>
      </c>
      <c r="AA1846" t="str">
        <f t="shared" si="536"/>
        <v>00</v>
      </c>
      <c r="AB1846" t="str">
        <f t="shared" si="537"/>
        <v>00</v>
      </c>
      <c r="AC1846" t="str">
        <f t="shared" si="538"/>
        <v>0P0</v>
      </c>
      <c r="AD1846" t="str">
        <f t="shared" si="539"/>
        <v>P00</v>
      </c>
      <c r="AE1846" t="str">
        <f t="shared" si="540"/>
        <v>0P0</v>
      </c>
      <c r="AF1846" t="str">
        <f t="shared" si="541"/>
        <v>P00</v>
      </c>
      <c r="AG1846" t="str">
        <f t="shared" si="547"/>
        <v>0P00</v>
      </c>
      <c r="AH1846" t="str">
        <f t="shared" si="548"/>
        <v>P000</v>
      </c>
      <c r="AI1846" t="str">
        <f t="shared" si="549"/>
        <v>0P00</v>
      </c>
      <c r="AJ1846" t="str">
        <f t="shared" si="550"/>
        <v>P000</v>
      </c>
    </row>
    <row r="1847" spans="1:36" x14ac:dyDescent="0.25">
      <c r="A1847" s="325" t="str">
        <f>CONCATENATE("P",'906MP'!M1547)</f>
        <v>P</v>
      </c>
      <c r="B1847">
        <f>'906MP'!H1547</f>
        <v>0</v>
      </c>
      <c r="C1847">
        <f>'906MP'!J1547</f>
        <v>0</v>
      </c>
      <c r="D1847">
        <f>'906MP'!P1547</f>
        <v>0</v>
      </c>
      <c r="E1847">
        <f>'906MP'!X1547</f>
        <v>0</v>
      </c>
      <c r="F1847" t="str">
        <f t="shared" si="542"/>
        <v>0</v>
      </c>
      <c r="G1847" t="str">
        <f t="shared" si="543"/>
        <v>0</v>
      </c>
      <c r="H1847">
        <f>'906MP'!Y1547</f>
        <v>0</v>
      </c>
      <c r="I1847">
        <f>'906MP'!AK1547</f>
        <v>0</v>
      </c>
      <c r="J1847">
        <f>'906MP'!T1547</f>
        <v>0</v>
      </c>
      <c r="K1847">
        <f>'906MP'!AJ1547</f>
        <v>0</v>
      </c>
      <c r="L1847">
        <f>'906MP'!U1547</f>
        <v>0</v>
      </c>
      <c r="M1847" s="322" t="str">
        <f>IFERROR(VLOOKUP(A1847,PAR!$D$3:$E$53,2,FALSE),"nincs szervezet")</f>
        <v>nincs szervezet</v>
      </c>
      <c r="N1847" s="322" t="str">
        <f>VLOOKUP(F1847,PAR!$R$3:$S$5,2,FALSE)</f>
        <v>3 - egyik sem</v>
      </c>
      <c r="O1847" t="str">
        <f>IFERROR(VLOOKUP(J1847,PAR!$O$3:$P$5,2,FALSE),"nincs feladat")</f>
        <v>nincs feladat</v>
      </c>
      <c r="P1847" t="str">
        <f>IFERROR(VLOOKUP(G1847,PAR!$J$2:$M$19,4),"nincs rovat")</f>
        <v>nincs rovat</v>
      </c>
      <c r="Q1847" t="str">
        <f>IF(H1847&gt;0,VLOOKUP(H1847,PAR!$AA$3:$AC$187,3,FALSE),"nincs főkönyvi számla")</f>
        <v>nincs főkönyvi számla</v>
      </c>
      <c r="R1847" t="str">
        <f>IFERROR(VLOOKUP(K1847,PAR!$V$3:$X$438,3,FALSE),"000000 - Nincs COFOG")</f>
        <v>000000 - Nincs COFOG</v>
      </c>
      <c r="S1847">
        <f t="shared" si="544"/>
        <v>0</v>
      </c>
      <c r="T1847">
        <f t="shared" si="545"/>
        <v>0</v>
      </c>
      <c r="U1847" t="str">
        <f>IF('906MP'!J1547&gt;0,CONCATENATE('906MP'!J1547," - ",'906MP'!P1547,", ",'906MP'!E1547),"nincs megjegyzés")</f>
        <v>nincs megjegyzés</v>
      </c>
      <c r="V1847" t="str">
        <f t="shared" si="532"/>
        <v>0P0</v>
      </c>
      <c r="W1847" t="str">
        <f t="shared" si="533"/>
        <v>0P0</v>
      </c>
      <c r="X1847" t="str">
        <f t="shared" si="534"/>
        <v>P0</v>
      </c>
      <c r="Y1847" t="str">
        <f t="shared" si="535"/>
        <v>00</v>
      </c>
      <c r="Z1847" t="str">
        <f t="shared" si="546"/>
        <v>00</v>
      </c>
      <c r="AA1847" t="str">
        <f t="shared" si="536"/>
        <v>00</v>
      </c>
      <c r="AB1847" t="str">
        <f t="shared" si="537"/>
        <v>00</v>
      </c>
      <c r="AC1847" t="str">
        <f t="shared" si="538"/>
        <v>0P0</v>
      </c>
      <c r="AD1847" t="str">
        <f t="shared" si="539"/>
        <v>P00</v>
      </c>
      <c r="AE1847" t="str">
        <f t="shared" si="540"/>
        <v>0P0</v>
      </c>
      <c r="AF1847" t="str">
        <f t="shared" si="541"/>
        <v>P00</v>
      </c>
      <c r="AG1847" t="str">
        <f t="shared" si="547"/>
        <v>0P00</v>
      </c>
      <c r="AH1847" t="str">
        <f t="shared" si="548"/>
        <v>P000</v>
      </c>
      <c r="AI1847" t="str">
        <f t="shared" si="549"/>
        <v>0P00</v>
      </c>
      <c r="AJ1847" t="str">
        <f t="shared" si="550"/>
        <v>P000</v>
      </c>
    </row>
    <row r="1848" spans="1:36" x14ac:dyDescent="0.25">
      <c r="A1848" s="325" t="str">
        <f>CONCATENATE("P",'906MP'!M1548)</f>
        <v>P</v>
      </c>
      <c r="B1848">
        <f>'906MP'!H1548</f>
        <v>0</v>
      </c>
      <c r="C1848">
        <f>'906MP'!J1548</f>
        <v>0</v>
      </c>
      <c r="D1848">
        <f>'906MP'!P1548</f>
        <v>0</v>
      </c>
      <c r="E1848">
        <f>'906MP'!X1548</f>
        <v>0</v>
      </c>
      <c r="F1848" t="str">
        <f t="shared" si="542"/>
        <v>0</v>
      </c>
      <c r="G1848" t="str">
        <f t="shared" si="543"/>
        <v>0</v>
      </c>
      <c r="H1848">
        <f>'906MP'!Y1548</f>
        <v>0</v>
      </c>
      <c r="I1848">
        <f>'906MP'!AK1548</f>
        <v>0</v>
      </c>
      <c r="J1848">
        <f>'906MP'!T1548</f>
        <v>0</v>
      </c>
      <c r="K1848">
        <f>'906MP'!AJ1548</f>
        <v>0</v>
      </c>
      <c r="L1848">
        <f>'906MP'!U1548</f>
        <v>0</v>
      </c>
      <c r="M1848" s="322" t="str">
        <f>IFERROR(VLOOKUP(A1848,PAR!$D$3:$E$53,2,FALSE),"nincs szervezet")</f>
        <v>nincs szervezet</v>
      </c>
      <c r="N1848" s="322" t="str">
        <f>VLOOKUP(F1848,PAR!$R$3:$S$5,2,FALSE)</f>
        <v>3 - egyik sem</v>
      </c>
      <c r="O1848" t="str">
        <f>IFERROR(VLOOKUP(J1848,PAR!$O$3:$P$5,2,FALSE),"nincs feladat")</f>
        <v>nincs feladat</v>
      </c>
      <c r="P1848" t="str">
        <f>IFERROR(VLOOKUP(G1848,PAR!$J$2:$M$19,4),"nincs rovat")</f>
        <v>nincs rovat</v>
      </c>
      <c r="Q1848" t="str">
        <f>IF(H1848&gt;0,VLOOKUP(H1848,PAR!$AA$3:$AC$187,3,FALSE),"nincs főkönyvi számla")</f>
        <v>nincs főkönyvi számla</v>
      </c>
      <c r="R1848" t="str">
        <f>IFERROR(VLOOKUP(K1848,PAR!$V$3:$X$438,3,FALSE),"000000 - Nincs COFOG")</f>
        <v>000000 - Nincs COFOG</v>
      </c>
      <c r="S1848">
        <f t="shared" si="544"/>
        <v>0</v>
      </c>
      <c r="T1848">
        <f t="shared" si="545"/>
        <v>0</v>
      </c>
      <c r="U1848" t="str">
        <f>IF('906MP'!J1548&gt;0,CONCATENATE('906MP'!J1548," - ",'906MP'!P1548,", ",'906MP'!E1548),"nincs megjegyzés")</f>
        <v>nincs megjegyzés</v>
      </c>
      <c r="V1848" t="str">
        <f t="shared" si="532"/>
        <v>0P0</v>
      </c>
      <c r="W1848" t="str">
        <f t="shared" si="533"/>
        <v>0P0</v>
      </c>
      <c r="X1848" t="str">
        <f t="shared" si="534"/>
        <v>P0</v>
      </c>
      <c r="Y1848" t="str">
        <f t="shared" si="535"/>
        <v>00</v>
      </c>
      <c r="Z1848" t="str">
        <f t="shared" si="546"/>
        <v>00</v>
      </c>
      <c r="AA1848" t="str">
        <f t="shared" si="536"/>
        <v>00</v>
      </c>
      <c r="AB1848" t="str">
        <f t="shared" si="537"/>
        <v>00</v>
      </c>
      <c r="AC1848" t="str">
        <f t="shared" si="538"/>
        <v>0P0</v>
      </c>
      <c r="AD1848" t="str">
        <f t="shared" si="539"/>
        <v>P00</v>
      </c>
      <c r="AE1848" t="str">
        <f t="shared" si="540"/>
        <v>0P0</v>
      </c>
      <c r="AF1848" t="str">
        <f t="shared" si="541"/>
        <v>P00</v>
      </c>
      <c r="AG1848" t="str">
        <f t="shared" si="547"/>
        <v>0P00</v>
      </c>
      <c r="AH1848" t="str">
        <f t="shared" si="548"/>
        <v>P000</v>
      </c>
      <c r="AI1848" t="str">
        <f t="shared" si="549"/>
        <v>0P00</v>
      </c>
      <c r="AJ1848" t="str">
        <f t="shared" si="550"/>
        <v>P000</v>
      </c>
    </row>
    <row r="1849" spans="1:36" x14ac:dyDescent="0.25">
      <c r="A1849" s="325" t="str">
        <f>CONCATENATE("P",'906MP'!M1549)</f>
        <v>P</v>
      </c>
      <c r="B1849">
        <f>'906MP'!H1549</f>
        <v>0</v>
      </c>
      <c r="C1849">
        <f>'906MP'!J1549</f>
        <v>0</v>
      </c>
      <c r="D1849">
        <f>'906MP'!P1549</f>
        <v>0</v>
      </c>
      <c r="E1849">
        <f>'906MP'!X1549</f>
        <v>0</v>
      </c>
      <c r="F1849" t="str">
        <f t="shared" si="542"/>
        <v>0</v>
      </c>
      <c r="G1849" t="str">
        <f t="shared" si="543"/>
        <v>0</v>
      </c>
      <c r="H1849">
        <f>'906MP'!Y1549</f>
        <v>0</v>
      </c>
      <c r="I1849">
        <f>'906MP'!AK1549</f>
        <v>0</v>
      </c>
      <c r="J1849">
        <f>'906MP'!T1549</f>
        <v>0</v>
      </c>
      <c r="K1849">
        <f>'906MP'!AJ1549</f>
        <v>0</v>
      </c>
      <c r="L1849">
        <f>'906MP'!U1549</f>
        <v>0</v>
      </c>
      <c r="M1849" s="322" t="str">
        <f>IFERROR(VLOOKUP(A1849,PAR!$D$3:$E$53,2,FALSE),"nincs szervezet")</f>
        <v>nincs szervezet</v>
      </c>
      <c r="N1849" s="322" t="str">
        <f>VLOOKUP(F1849,PAR!$R$3:$S$5,2,FALSE)</f>
        <v>3 - egyik sem</v>
      </c>
      <c r="O1849" t="str">
        <f>IFERROR(VLOOKUP(J1849,PAR!$O$3:$P$5,2,FALSE),"nincs feladat")</f>
        <v>nincs feladat</v>
      </c>
      <c r="P1849" t="str">
        <f>IFERROR(VLOOKUP(G1849,PAR!$J$2:$M$19,4),"nincs rovat")</f>
        <v>nincs rovat</v>
      </c>
      <c r="Q1849" t="str">
        <f>IF(H1849&gt;0,VLOOKUP(H1849,PAR!$AA$3:$AC$187,3,FALSE),"nincs főkönyvi számla")</f>
        <v>nincs főkönyvi számla</v>
      </c>
      <c r="R1849" t="str">
        <f>IFERROR(VLOOKUP(K1849,PAR!$V$3:$X$438,3,FALSE),"000000 - Nincs COFOG")</f>
        <v>000000 - Nincs COFOG</v>
      </c>
      <c r="S1849">
        <f t="shared" si="544"/>
        <v>0</v>
      </c>
      <c r="T1849">
        <f t="shared" si="545"/>
        <v>0</v>
      </c>
      <c r="U1849" t="str">
        <f>IF('906MP'!J1549&gt;0,CONCATENATE('906MP'!J1549," - ",'906MP'!P1549,", ",'906MP'!E1549),"nincs megjegyzés")</f>
        <v>nincs megjegyzés</v>
      </c>
      <c r="V1849" t="str">
        <f t="shared" si="532"/>
        <v>0P0</v>
      </c>
      <c r="W1849" t="str">
        <f t="shared" si="533"/>
        <v>0P0</v>
      </c>
      <c r="X1849" t="str">
        <f t="shared" si="534"/>
        <v>P0</v>
      </c>
      <c r="Y1849" t="str">
        <f t="shared" si="535"/>
        <v>00</v>
      </c>
      <c r="Z1849" t="str">
        <f t="shared" si="546"/>
        <v>00</v>
      </c>
      <c r="AA1849" t="str">
        <f t="shared" si="536"/>
        <v>00</v>
      </c>
      <c r="AB1849" t="str">
        <f t="shared" si="537"/>
        <v>00</v>
      </c>
      <c r="AC1849" t="str">
        <f t="shared" si="538"/>
        <v>0P0</v>
      </c>
      <c r="AD1849" t="str">
        <f t="shared" si="539"/>
        <v>P00</v>
      </c>
      <c r="AE1849" t="str">
        <f t="shared" si="540"/>
        <v>0P0</v>
      </c>
      <c r="AF1849" t="str">
        <f t="shared" si="541"/>
        <v>P00</v>
      </c>
      <c r="AG1849" t="str">
        <f t="shared" si="547"/>
        <v>0P00</v>
      </c>
      <c r="AH1849" t="str">
        <f t="shared" si="548"/>
        <v>P000</v>
      </c>
      <c r="AI1849" t="str">
        <f t="shared" si="549"/>
        <v>0P00</v>
      </c>
      <c r="AJ1849" t="str">
        <f t="shared" si="550"/>
        <v>P000</v>
      </c>
    </row>
    <row r="1850" spans="1:36" x14ac:dyDescent="0.25">
      <c r="A1850" s="325" t="str">
        <f>CONCATENATE("P",'906MP'!M1550)</f>
        <v>P</v>
      </c>
      <c r="B1850">
        <f>'906MP'!H1550</f>
        <v>0</v>
      </c>
      <c r="C1850">
        <f>'906MP'!J1550</f>
        <v>0</v>
      </c>
      <c r="D1850">
        <f>'906MP'!P1550</f>
        <v>0</v>
      </c>
      <c r="E1850">
        <f>'906MP'!X1550</f>
        <v>0</v>
      </c>
      <c r="F1850" t="str">
        <f t="shared" si="542"/>
        <v>0</v>
      </c>
      <c r="G1850" t="str">
        <f t="shared" si="543"/>
        <v>0</v>
      </c>
      <c r="H1850">
        <f>'906MP'!Y1550</f>
        <v>0</v>
      </c>
      <c r="I1850">
        <f>'906MP'!AK1550</f>
        <v>0</v>
      </c>
      <c r="J1850">
        <f>'906MP'!T1550</f>
        <v>0</v>
      </c>
      <c r="K1850">
        <f>'906MP'!AJ1550</f>
        <v>0</v>
      </c>
      <c r="L1850">
        <f>'906MP'!U1550</f>
        <v>0</v>
      </c>
      <c r="M1850" s="322" t="str">
        <f>IFERROR(VLOOKUP(A1850,PAR!$D$3:$E$53,2,FALSE),"nincs szervezet")</f>
        <v>nincs szervezet</v>
      </c>
      <c r="N1850" s="322" t="str">
        <f>VLOOKUP(F1850,PAR!$R$3:$S$5,2,FALSE)</f>
        <v>3 - egyik sem</v>
      </c>
      <c r="O1850" t="str">
        <f>IFERROR(VLOOKUP(J1850,PAR!$O$3:$P$5,2,FALSE),"nincs feladat")</f>
        <v>nincs feladat</v>
      </c>
      <c r="P1850" t="str">
        <f>IFERROR(VLOOKUP(G1850,PAR!$J$2:$M$19,4),"nincs rovat")</f>
        <v>nincs rovat</v>
      </c>
      <c r="Q1850" t="str">
        <f>IF(H1850&gt;0,VLOOKUP(H1850,PAR!$AA$3:$AC$187,3,FALSE),"nincs főkönyvi számla")</f>
        <v>nincs főkönyvi számla</v>
      </c>
      <c r="R1850" t="str">
        <f>IFERROR(VLOOKUP(K1850,PAR!$V$3:$X$438,3,FALSE),"000000 - Nincs COFOG")</f>
        <v>000000 - Nincs COFOG</v>
      </c>
      <c r="S1850">
        <f t="shared" si="544"/>
        <v>0</v>
      </c>
      <c r="T1850">
        <f t="shared" si="545"/>
        <v>0</v>
      </c>
      <c r="U1850" t="str">
        <f>IF('906MP'!J1550&gt;0,CONCATENATE('906MP'!J1550," - ",'906MP'!P1550,", ",'906MP'!E1550),"nincs megjegyzés")</f>
        <v>nincs megjegyzés</v>
      </c>
      <c r="V1850" t="str">
        <f t="shared" si="532"/>
        <v>0P0</v>
      </c>
      <c r="W1850" t="str">
        <f t="shared" si="533"/>
        <v>0P0</v>
      </c>
      <c r="X1850" t="str">
        <f t="shared" si="534"/>
        <v>P0</v>
      </c>
      <c r="Y1850" t="str">
        <f t="shared" si="535"/>
        <v>00</v>
      </c>
      <c r="Z1850" t="str">
        <f t="shared" si="546"/>
        <v>00</v>
      </c>
      <c r="AA1850" t="str">
        <f t="shared" si="536"/>
        <v>00</v>
      </c>
      <c r="AB1850" t="str">
        <f t="shared" si="537"/>
        <v>00</v>
      </c>
      <c r="AC1850" t="str">
        <f t="shared" si="538"/>
        <v>0P0</v>
      </c>
      <c r="AD1850" t="str">
        <f t="shared" si="539"/>
        <v>P00</v>
      </c>
      <c r="AE1850" t="str">
        <f t="shared" si="540"/>
        <v>0P0</v>
      </c>
      <c r="AF1850" t="str">
        <f t="shared" si="541"/>
        <v>P00</v>
      </c>
      <c r="AG1850" t="str">
        <f t="shared" si="547"/>
        <v>0P00</v>
      </c>
      <c r="AH1850" t="str">
        <f t="shared" si="548"/>
        <v>P000</v>
      </c>
      <c r="AI1850" t="str">
        <f t="shared" si="549"/>
        <v>0P00</v>
      </c>
      <c r="AJ1850" t="str">
        <f t="shared" si="550"/>
        <v>P000</v>
      </c>
    </row>
    <row r="1851" spans="1:36" x14ac:dyDescent="0.25">
      <c r="A1851" s="325" t="str">
        <f>CONCATENATE("P",'906MP'!M1551)</f>
        <v>P</v>
      </c>
      <c r="B1851">
        <f>'906MP'!H1551</f>
        <v>0</v>
      </c>
      <c r="C1851">
        <f>'906MP'!J1551</f>
        <v>0</v>
      </c>
      <c r="D1851">
        <f>'906MP'!P1551</f>
        <v>0</v>
      </c>
      <c r="E1851">
        <f>'906MP'!X1551</f>
        <v>0</v>
      </c>
      <c r="F1851" t="str">
        <f t="shared" si="542"/>
        <v>0</v>
      </c>
      <c r="G1851" t="str">
        <f t="shared" si="543"/>
        <v>0</v>
      </c>
      <c r="H1851">
        <f>'906MP'!Y1551</f>
        <v>0</v>
      </c>
      <c r="I1851">
        <f>'906MP'!AK1551</f>
        <v>0</v>
      </c>
      <c r="J1851">
        <f>'906MP'!T1551</f>
        <v>0</v>
      </c>
      <c r="K1851">
        <f>'906MP'!AJ1551</f>
        <v>0</v>
      </c>
      <c r="L1851">
        <f>'906MP'!U1551</f>
        <v>0</v>
      </c>
      <c r="M1851" s="322" t="str">
        <f>IFERROR(VLOOKUP(A1851,PAR!$D$3:$E$53,2,FALSE),"nincs szervezet")</f>
        <v>nincs szervezet</v>
      </c>
      <c r="N1851" s="322" t="str">
        <f>VLOOKUP(F1851,PAR!$R$3:$S$5,2,FALSE)</f>
        <v>3 - egyik sem</v>
      </c>
      <c r="O1851" t="str">
        <f>IFERROR(VLOOKUP(J1851,PAR!$O$3:$P$5,2,FALSE),"nincs feladat")</f>
        <v>nincs feladat</v>
      </c>
      <c r="P1851" t="str">
        <f>IFERROR(VLOOKUP(G1851,PAR!$J$2:$M$19,4),"nincs rovat")</f>
        <v>nincs rovat</v>
      </c>
      <c r="Q1851" t="str">
        <f>IF(H1851&gt;0,VLOOKUP(H1851,PAR!$AA$3:$AC$187,3,FALSE),"nincs főkönyvi számla")</f>
        <v>nincs főkönyvi számla</v>
      </c>
      <c r="R1851" t="str">
        <f>IFERROR(VLOOKUP(K1851,PAR!$V$3:$X$438,3,FALSE),"000000 - Nincs COFOG")</f>
        <v>000000 - Nincs COFOG</v>
      </c>
      <c r="S1851">
        <f t="shared" si="544"/>
        <v>0</v>
      </c>
      <c r="T1851">
        <f t="shared" si="545"/>
        <v>0</v>
      </c>
      <c r="U1851" t="str">
        <f>IF('906MP'!J1551&gt;0,CONCATENATE('906MP'!J1551," - ",'906MP'!P1551,", ",'906MP'!E1551),"nincs megjegyzés")</f>
        <v>nincs megjegyzés</v>
      </c>
      <c r="V1851" t="str">
        <f t="shared" si="532"/>
        <v>0P0</v>
      </c>
      <c r="W1851" t="str">
        <f t="shared" si="533"/>
        <v>0P0</v>
      </c>
      <c r="X1851" t="str">
        <f t="shared" si="534"/>
        <v>P0</v>
      </c>
      <c r="Y1851" t="str">
        <f t="shared" si="535"/>
        <v>00</v>
      </c>
      <c r="Z1851" t="str">
        <f t="shared" si="546"/>
        <v>00</v>
      </c>
      <c r="AA1851" t="str">
        <f t="shared" si="536"/>
        <v>00</v>
      </c>
      <c r="AB1851" t="str">
        <f t="shared" si="537"/>
        <v>00</v>
      </c>
      <c r="AC1851" t="str">
        <f t="shared" si="538"/>
        <v>0P0</v>
      </c>
      <c r="AD1851" t="str">
        <f t="shared" si="539"/>
        <v>P00</v>
      </c>
      <c r="AE1851" t="str">
        <f t="shared" si="540"/>
        <v>0P0</v>
      </c>
      <c r="AF1851" t="str">
        <f t="shared" si="541"/>
        <v>P00</v>
      </c>
      <c r="AG1851" t="str">
        <f t="shared" si="547"/>
        <v>0P00</v>
      </c>
      <c r="AH1851" t="str">
        <f t="shared" si="548"/>
        <v>P000</v>
      </c>
      <c r="AI1851" t="str">
        <f t="shared" si="549"/>
        <v>0P00</v>
      </c>
      <c r="AJ1851" t="str">
        <f t="shared" si="550"/>
        <v>P000</v>
      </c>
    </row>
    <row r="1852" spans="1:36" x14ac:dyDescent="0.25">
      <c r="A1852" s="325" t="str">
        <f>CONCATENATE("P",'906MP'!M1552)</f>
        <v>P</v>
      </c>
      <c r="B1852">
        <f>'906MP'!H1552</f>
        <v>0</v>
      </c>
      <c r="C1852">
        <f>'906MP'!J1552</f>
        <v>0</v>
      </c>
      <c r="D1852">
        <f>'906MP'!P1552</f>
        <v>0</v>
      </c>
      <c r="E1852">
        <f>'906MP'!X1552</f>
        <v>0</v>
      </c>
      <c r="F1852" t="str">
        <f t="shared" si="542"/>
        <v>0</v>
      </c>
      <c r="G1852" t="str">
        <f t="shared" si="543"/>
        <v>0</v>
      </c>
      <c r="H1852">
        <f>'906MP'!Y1552</f>
        <v>0</v>
      </c>
      <c r="I1852">
        <f>'906MP'!AK1552</f>
        <v>0</v>
      </c>
      <c r="J1852">
        <f>'906MP'!T1552</f>
        <v>0</v>
      </c>
      <c r="K1852">
        <f>'906MP'!AJ1552</f>
        <v>0</v>
      </c>
      <c r="L1852">
        <f>'906MP'!U1552</f>
        <v>0</v>
      </c>
      <c r="M1852" s="322" t="str">
        <f>IFERROR(VLOOKUP(A1852,PAR!$D$3:$E$53,2,FALSE),"nincs szervezet")</f>
        <v>nincs szervezet</v>
      </c>
      <c r="N1852" s="322" t="str">
        <f>VLOOKUP(F1852,PAR!$R$3:$S$5,2,FALSE)</f>
        <v>3 - egyik sem</v>
      </c>
      <c r="O1852" t="str">
        <f>IFERROR(VLOOKUP(J1852,PAR!$O$3:$P$5,2,FALSE),"nincs feladat")</f>
        <v>nincs feladat</v>
      </c>
      <c r="P1852" t="str">
        <f>IFERROR(VLOOKUP(G1852,PAR!$J$2:$M$19,4),"nincs rovat")</f>
        <v>nincs rovat</v>
      </c>
      <c r="Q1852" t="str">
        <f>IF(H1852&gt;0,VLOOKUP(H1852,PAR!$AA$3:$AC$187,3,FALSE),"nincs főkönyvi számla")</f>
        <v>nincs főkönyvi számla</v>
      </c>
      <c r="R1852" t="str">
        <f>IFERROR(VLOOKUP(K1852,PAR!$V$3:$X$438,3,FALSE),"000000 - Nincs COFOG")</f>
        <v>000000 - Nincs COFOG</v>
      </c>
      <c r="S1852">
        <f t="shared" si="544"/>
        <v>0</v>
      </c>
      <c r="T1852">
        <f t="shared" si="545"/>
        <v>0</v>
      </c>
      <c r="U1852" t="str">
        <f>IF('906MP'!J1552&gt;0,CONCATENATE('906MP'!J1552," - ",'906MP'!P1552,", ",'906MP'!E1552),"nincs megjegyzés")</f>
        <v>nincs megjegyzés</v>
      </c>
      <c r="V1852" t="str">
        <f t="shared" si="532"/>
        <v>0P0</v>
      </c>
      <c r="W1852" t="str">
        <f t="shared" si="533"/>
        <v>0P0</v>
      </c>
      <c r="X1852" t="str">
        <f t="shared" si="534"/>
        <v>P0</v>
      </c>
      <c r="Y1852" t="str">
        <f t="shared" si="535"/>
        <v>00</v>
      </c>
      <c r="Z1852" t="str">
        <f t="shared" si="546"/>
        <v>00</v>
      </c>
      <c r="AA1852" t="str">
        <f t="shared" si="536"/>
        <v>00</v>
      </c>
      <c r="AB1852" t="str">
        <f t="shared" si="537"/>
        <v>00</v>
      </c>
      <c r="AC1852" t="str">
        <f t="shared" si="538"/>
        <v>0P0</v>
      </c>
      <c r="AD1852" t="str">
        <f t="shared" si="539"/>
        <v>P00</v>
      </c>
      <c r="AE1852" t="str">
        <f t="shared" si="540"/>
        <v>0P0</v>
      </c>
      <c r="AF1852" t="str">
        <f t="shared" si="541"/>
        <v>P00</v>
      </c>
      <c r="AG1852" t="str">
        <f t="shared" si="547"/>
        <v>0P00</v>
      </c>
      <c r="AH1852" t="str">
        <f t="shared" si="548"/>
        <v>P000</v>
      </c>
      <c r="AI1852" t="str">
        <f t="shared" si="549"/>
        <v>0P00</v>
      </c>
      <c r="AJ1852" t="str">
        <f t="shared" si="550"/>
        <v>P000</v>
      </c>
    </row>
    <row r="1853" spans="1:36" x14ac:dyDescent="0.25">
      <c r="A1853" s="325" t="str">
        <f>CONCATENATE("P",'906MP'!M1553)</f>
        <v>P</v>
      </c>
      <c r="B1853">
        <f>'906MP'!H1553</f>
        <v>0</v>
      </c>
      <c r="C1853">
        <f>'906MP'!J1553</f>
        <v>0</v>
      </c>
      <c r="D1853">
        <f>'906MP'!P1553</f>
        <v>0</v>
      </c>
      <c r="E1853">
        <f>'906MP'!X1553</f>
        <v>0</v>
      </c>
      <c r="F1853" t="str">
        <f t="shared" si="542"/>
        <v>0</v>
      </c>
      <c r="G1853" t="str">
        <f t="shared" si="543"/>
        <v>0</v>
      </c>
      <c r="H1853">
        <f>'906MP'!Y1553</f>
        <v>0</v>
      </c>
      <c r="I1853">
        <f>'906MP'!AK1553</f>
        <v>0</v>
      </c>
      <c r="J1853">
        <f>'906MP'!T1553</f>
        <v>0</v>
      </c>
      <c r="K1853">
        <f>'906MP'!AJ1553</f>
        <v>0</v>
      </c>
      <c r="L1853">
        <f>'906MP'!U1553</f>
        <v>0</v>
      </c>
      <c r="M1853" s="322" t="str">
        <f>IFERROR(VLOOKUP(A1853,PAR!$D$3:$E$53,2,FALSE),"nincs szervezet")</f>
        <v>nincs szervezet</v>
      </c>
      <c r="N1853" s="322" t="str">
        <f>VLOOKUP(F1853,PAR!$R$3:$S$5,2,FALSE)</f>
        <v>3 - egyik sem</v>
      </c>
      <c r="O1853" t="str">
        <f>IFERROR(VLOOKUP(J1853,PAR!$O$3:$P$5,2,FALSE),"nincs feladat")</f>
        <v>nincs feladat</v>
      </c>
      <c r="P1853" t="str">
        <f>IFERROR(VLOOKUP(G1853,PAR!$J$2:$M$19,4),"nincs rovat")</f>
        <v>nincs rovat</v>
      </c>
      <c r="Q1853" t="str">
        <f>IF(H1853&gt;0,VLOOKUP(H1853,PAR!$AA$3:$AC$187,3,FALSE),"nincs főkönyvi számla")</f>
        <v>nincs főkönyvi számla</v>
      </c>
      <c r="R1853" t="str">
        <f>IFERROR(VLOOKUP(K1853,PAR!$V$3:$X$438,3,FALSE),"000000 - Nincs COFOG")</f>
        <v>000000 - Nincs COFOG</v>
      </c>
      <c r="S1853">
        <f t="shared" si="544"/>
        <v>0</v>
      </c>
      <c r="T1853">
        <f t="shared" si="545"/>
        <v>0</v>
      </c>
      <c r="U1853" t="str">
        <f>IF('906MP'!J1553&gt;0,CONCATENATE('906MP'!J1553," - ",'906MP'!P1553,", ",'906MP'!E1553),"nincs megjegyzés")</f>
        <v>nincs megjegyzés</v>
      </c>
      <c r="V1853" t="str">
        <f t="shared" si="532"/>
        <v>0P0</v>
      </c>
      <c r="W1853" t="str">
        <f t="shared" si="533"/>
        <v>0P0</v>
      </c>
      <c r="X1853" t="str">
        <f t="shared" si="534"/>
        <v>P0</v>
      </c>
      <c r="Y1853" t="str">
        <f t="shared" si="535"/>
        <v>00</v>
      </c>
      <c r="Z1853" t="str">
        <f t="shared" si="546"/>
        <v>00</v>
      </c>
      <c r="AA1853" t="str">
        <f t="shared" si="536"/>
        <v>00</v>
      </c>
      <c r="AB1853" t="str">
        <f t="shared" si="537"/>
        <v>00</v>
      </c>
      <c r="AC1853" t="str">
        <f t="shared" si="538"/>
        <v>0P0</v>
      </c>
      <c r="AD1853" t="str">
        <f t="shared" si="539"/>
        <v>P00</v>
      </c>
      <c r="AE1853" t="str">
        <f t="shared" si="540"/>
        <v>0P0</v>
      </c>
      <c r="AF1853" t="str">
        <f t="shared" si="541"/>
        <v>P00</v>
      </c>
      <c r="AG1853" t="str">
        <f t="shared" si="547"/>
        <v>0P00</v>
      </c>
      <c r="AH1853" t="str">
        <f t="shared" si="548"/>
        <v>P000</v>
      </c>
      <c r="AI1853" t="str">
        <f t="shared" si="549"/>
        <v>0P00</v>
      </c>
      <c r="AJ1853" t="str">
        <f t="shared" si="550"/>
        <v>P000</v>
      </c>
    </row>
    <row r="1854" spans="1:36" x14ac:dyDescent="0.25">
      <c r="A1854" s="325" t="str">
        <f>CONCATENATE("P",'906MP'!M1554)</f>
        <v>P</v>
      </c>
      <c r="B1854">
        <f>'906MP'!H1554</f>
        <v>0</v>
      </c>
      <c r="C1854">
        <f>'906MP'!J1554</f>
        <v>0</v>
      </c>
      <c r="D1854">
        <f>'906MP'!P1554</f>
        <v>0</v>
      </c>
      <c r="E1854">
        <f>'906MP'!X1554</f>
        <v>0</v>
      </c>
      <c r="F1854" t="str">
        <f t="shared" si="542"/>
        <v>0</v>
      </c>
      <c r="G1854" t="str">
        <f t="shared" si="543"/>
        <v>0</v>
      </c>
      <c r="H1854">
        <f>'906MP'!Y1554</f>
        <v>0</v>
      </c>
      <c r="I1854">
        <f>'906MP'!AK1554</f>
        <v>0</v>
      </c>
      <c r="J1854">
        <f>'906MP'!T1554</f>
        <v>0</v>
      </c>
      <c r="K1854">
        <f>'906MP'!AJ1554</f>
        <v>0</v>
      </c>
      <c r="L1854">
        <f>'906MP'!U1554</f>
        <v>0</v>
      </c>
      <c r="M1854" s="322" t="str">
        <f>IFERROR(VLOOKUP(A1854,PAR!$D$3:$E$53,2,FALSE),"nincs szervezet")</f>
        <v>nincs szervezet</v>
      </c>
      <c r="N1854" s="322" t="str">
        <f>VLOOKUP(F1854,PAR!$R$3:$S$5,2,FALSE)</f>
        <v>3 - egyik sem</v>
      </c>
      <c r="O1854" t="str">
        <f>IFERROR(VLOOKUP(J1854,PAR!$O$3:$P$5,2,FALSE),"nincs feladat")</f>
        <v>nincs feladat</v>
      </c>
      <c r="P1854" t="str">
        <f>IFERROR(VLOOKUP(G1854,PAR!$J$2:$M$19,4),"nincs rovat")</f>
        <v>nincs rovat</v>
      </c>
      <c r="Q1854" t="str">
        <f>IF(H1854&gt;0,VLOOKUP(H1854,PAR!$AA$3:$AC$187,3,FALSE),"nincs főkönyvi számla")</f>
        <v>nincs főkönyvi számla</v>
      </c>
      <c r="R1854" t="str">
        <f>IFERROR(VLOOKUP(K1854,PAR!$V$3:$X$438,3,FALSE),"000000 - Nincs COFOG")</f>
        <v>000000 - Nincs COFOG</v>
      </c>
      <c r="S1854">
        <f t="shared" si="544"/>
        <v>0</v>
      </c>
      <c r="T1854">
        <f t="shared" si="545"/>
        <v>0</v>
      </c>
      <c r="U1854" t="str">
        <f>IF('906MP'!J1554&gt;0,CONCATENATE('906MP'!J1554," - ",'906MP'!P1554,", ",'906MP'!E1554),"nincs megjegyzés")</f>
        <v>nincs megjegyzés</v>
      </c>
      <c r="V1854" t="str">
        <f t="shared" si="532"/>
        <v>0P0</v>
      </c>
      <c r="W1854" t="str">
        <f t="shared" si="533"/>
        <v>0P0</v>
      </c>
      <c r="X1854" t="str">
        <f t="shared" si="534"/>
        <v>P0</v>
      </c>
      <c r="Y1854" t="str">
        <f t="shared" si="535"/>
        <v>00</v>
      </c>
      <c r="Z1854" t="str">
        <f t="shared" si="546"/>
        <v>00</v>
      </c>
      <c r="AA1854" t="str">
        <f t="shared" si="536"/>
        <v>00</v>
      </c>
      <c r="AB1854" t="str">
        <f t="shared" si="537"/>
        <v>00</v>
      </c>
      <c r="AC1854" t="str">
        <f t="shared" si="538"/>
        <v>0P0</v>
      </c>
      <c r="AD1854" t="str">
        <f t="shared" si="539"/>
        <v>P00</v>
      </c>
      <c r="AE1854" t="str">
        <f t="shared" si="540"/>
        <v>0P0</v>
      </c>
      <c r="AF1854" t="str">
        <f t="shared" si="541"/>
        <v>P00</v>
      </c>
      <c r="AG1854" t="str">
        <f t="shared" si="547"/>
        <v>0P00</v>
      </c>
      <c r="AH1854" t="str">
        <f t="shared" si="548"/>
        <v>P000</v>
      </c>
      <c r="AI1854" t="str">
        <f t="shared" si="549"/>
        <v>0P00</v>
      </c>
      <c r="AJ1854" t="str">
        <f t="shared" si="550"/>
        <v>P000</v>
      </c>
    </row>
    <row r="1855" spans="1:36" x14ac:dyDescent="0.25">
      <c r="A1855" s="325" t="str">
        <f>CONCATENATE("P",'906MP'!M1555)</f>
        <v>P</v>
      </c>
      <c r="B1855">
        <f>'906MP'!H1555</f>
        <v>0</v>
      </c>
      <c r="C1855">
        <f>'906MP'!J1555</f>
        <v>0</v>
      </c>
      <c r="D1855">
        <f>'906MP'!P1555</f>
        <v>0</v>
      </c>
      <c r="E1855">
        <f>'906MP'!X1555</f>
        <v>0</v>
      </c>
      <c r="F1855" t="str">
        <f t="shared" si="542"/>
        <v>0</v>
      </c>
      <c r="G1855" t="str">
        <f t="shared" si="543"/>
        <v>0</v>
      </c>
      <c r="H1855">
        <f>'906MP'!Y1555</f>
        <v>0</v>
      </c>
      <c r="I1855">
        <f>'906MP'!AK1555</f>
        <v>0</v>
      </c>
      <c r="J1855">
        <f>'906MP'!T1555</f>
        <v>0</v>
      </c>
      <c r="K1855">
        <f>'906MP'!AJ1555</f>
        <v>0</v>
      </c>
      <c r="L1855">
        <f>'906MP'!U1555</f>
        <v>0</v>
      </c>
      <c r="M1855" s="322" t="str">
        <f>IFERROR(VLOOKUP(A1855,PAR!$D$3:$E$53,2,FALSE),"nincs szervezet")</f>
        <v>nincs szervezet</v>
      </c>
      <c r="N1855" s="322" t="str">
        <f>VLOOKUP(F1855,PAR!$R$3:$S$5,2,FALSE)</f>
        <v>3 - egyik sem</v>
      </c>
      <c r="O1855" t="str">
        <f>IFERROR(VLOOKUP(J1855,PAR!$O$3:$P$5,2,FALSE),"nincs feladat")</f>
        <v>nincs feladat</v>
      </c>
      <c r="P1855" t="str">
        <f>IFERROR(VLOOKUP(G1855,PAR!$J$2:$M$19,4),"nincs rovat")</f>
        <v>nincs rovat</v>
      </c>
      <c r="Q1855" t="str">
        <f>IF(H1855&gt;0,VLOOKUP(H1855,PAR!$AA$3:$AC$187,3,FALSE),"nincs főkönyvi számla")</f>
        <v>nincs főkönyvi számla</v>
      </c>
      <c r="R1855" t="str">
        <f>IFERROR(VLOOKUP(K1855,PAR!$V$3:$X$438,3,FALSE),"000000 - Nincs COFOG")</f>
        <v>000000 - Nincs COFOG</v>
      </c>
      <c r="S1855">
        <f t="shared" si="544"/>
        <v>0</v>
      </c>
      <c r="T1855">
        <f t="shared" si="545"/>
        <v>0</v>
      </c>
      <c r="U1855" t="str">
        <f>IF('906MP'!J1555&gt;0,CONCATENATE('906MP'!J1555," - ",'906MP'!P1555,", ",'906MP'!E1555),"nincs megjegyzés")</f>
        <v>nincs megjegyzés</v>
      </c>
      <c r="V1855" t="str">
        <f t="shared" si="532"/>
        <v>0P0</v>
      </c>
      <c r="W1855" t="str">
        <f t="shared" si="533"/>
        <v>0P0</v>
      </c>
      <c r="X1855" t="str">
        <f t="shared" si="534"/>
        <v>P0</v>
      </c>
      <c r="Y1855" t="str">
        <f t="shared" si="535"/>
        <v>00</v>
      </c>
      <c r="Z1855" t="str">
        <f t="shared" si="546"/>
        <v>00</v>
      </c>
      <c r="AA1855" t="str">
        <f t="shared" si="536"/>
        <v>00</v>
      </c>
      <c r="AB1855" t="str">
        <f t="shared" si="537"/>
        <v>00</v>
      </c>
      <c r="AC1855" t="str">
        <f t="shared" si="538"/>
        <v>0P0</v>
      </c>
      <c r="AD1855" t="str">
        <f t="shared" si="539"/>
        <v>P00</v>
      </c>
      <c r="AE1855" t="str">
        <f t="shared" si="540"/>
        <v>0P0</v>
      </c>
      <c r="AF1855" t="str">
        <f t="shared" si="541"/>
        <v>P00</v>
      </c>
      <c r="AG1855" t="str">
        <f t="shared" si="547"/>
        <v>0P00</v>
      </c>
      <c r="AH1855" t="str">
        <f t="shared" si="548"/>
        <v>P000</v>
      </c>
      <c r="AI1855" t="str">
        <f t="shared" si="549"/>
        <v>0P00</v>
      </c>
      <c r="AJ1855" t="str">
        <f t="shared" si="550"/>
        <v>P000</v>
      </c>
    </row>
    <row r="1856" spans="1:36" x14ac:dyDescent="0.25">
      <c r="A1856" s="325" t="str">
        <f>CONCATENATE("P",'906MP'!M1556)</f>
        <v>P</v>
      </c>
      <c r="B1856">
        <f>'906MP'!H1556</f>
        <v>0</v>
      </c>
      <c r="C1856">
        <f>'906MP'!J1556</f>
        <v>0</v>
      </c>
      <c r="D1856">
        <f>'906MP'!P1556</f>
        <v>0</v>
      </c>
      <c r="E1856">
        <f>'906MP'!X1556</f>
        <v>0</v>
      </c>
      <c r="F1856" t="str">
        <f t="shared" si="542"/>
        <v>0</v>
      </c>
      <c r="G1856" t="str">
        <f t="shared" si="543"/>
        <v>0</v>
      </c>
      <c r="H1856">
        <f>'906MP'!Y1556</f>
        <v>0</v>
      </c>
      <c r="I1856">
        <f>'906MP'!AK1556</f>
        <v>0</v>
      </c>
      <c r="J1856">
        <f>'906MP'!T1556</f>
        <v>0</v>
      </c>
      <c r="K1856">
        <f>'906MP'!AJ1556</f>
        <v>0</v>
      </c>
      <c r="L1856">
        <f>'906MP'!U1556</f>
        <v>0</v>
      </c>
      <c r="M1856" s="322" t="str">
        <f>IFERROR(VLOOKUP(A1856,PAR!$D$3:$E$53,2,FALSE),"nincs szervezet")</f>
        <v>nincs szervezet</v>
      </c>
      <c r="N1856" s="322" t="str">
        <f>VLOOKUP(F1856,PAR!$R$3:$S$5,2,FALSE)</f>
        <v>3 - egyik sem</v>
      </c>
      <c r="O1856" t="str">
        <f>IFERROR(VLOOKUP(J1856,PAR!$O$3:$P$5,2,FALSE),"nincs feladat")</f>
        <v>nincs feladat</v>
      </c>
      <c r="P1856" t="str">
        <f>IFERROR(VLOOKUP(G1856,PAR!$J$2:$M$19,4),"nincs rovat")</f>
        <v>nincs rovat</v>
      </c>
      <c r="Q1856" t="str">
        <f>IF(H1856&gt;0,VLOOKUP(H1856,PAR!$AA$3:$AC$187,3,FALSE),"nincs főkönyvi számla")</f>
        <v>nincs főkönyvi számla</v>
      </c>
      <c r="R1856" t="str">
        <f>IFERROR(VLOOKUP(K1856,PAR!$V$3:$X$438,3,FALSE),"000000 - Nincs COFOG")</f>
        <v>000000 - Nincs COFOG</v>
      </c>
      <c r="S1856">
        <f t="shared" si="544"/>
        <v>0</v>
      </c>
      <c r="T1856">
        <f t="shared" si="545"/>
        <v>0</v>
      </c>
      <c r="U1856" t="str">
        <f>IF('906MP'!J1556&gt;0,CONCATENATE('906MP'!J1556," - ",'906MP'!P1556,", ",'906MP'!E1556),"nincs megjegyzés")</f>
        <v>nincs megjegyzés</v>
      </c>
      <c r="V1856" t="str">
        <f t="shared" si="532"/>
        <v>0P0</v>
      </c>
      <c r="W1856" t="str">
        <f t="shared" si="533"/>
        <v>0P0</v>
      </c>
      <c r="X1856" t="str">
        <f t="shared" si="534"/>
        <v>P0</v>
      </c>
      <c r="Y1856" t="str">
        <f t="shared" si="535"/>
        <v>00</v>
      </c>
      <c r="Z1856" t="str">
        <f t="shared" si="546"/>
        <v>00</v>
      </c>
      <c r="AA1856" t="str">
        <f t="shared" si="536"/>
        <v>00</v>
      </c>
      <c r="AB1856" t="str">
        <f t="shared" si="537"/>
        <v>00</v>
      </c>
      <c r="AC1856" t="str">
        <f t="shared" si="538"/>
        <v>0P0</v>
      </c>
      <c r="AD1856" t="str">
        <f t="shared" si="539"/>
        <v>P00</v>
      </c>
      <c r="AE1856" t="str">
        <f t="shared" si="540"/>
        <v>0P0</v>
      </c>
      <c r="AF1856" t="str">
        <f t="shared" si="541"/>
        <v>P00</v>
      </c>
      <c r="AG1856" t="str">
        <f t="shared" si="547"/>
        <v>0P00</v>
      </c>
      <c r="AH1856" t="str">
        <f t="shared" si="548"/>
        <v>P000</v>
      </c>
      <c r="AI1856" t="str">
        <f t="shared" si="549"/>
        <v>0P00</v>
      </c>
      <c r="AJ1856" t="str">
        <f t="shared" si="550"/>
        <v>P000</v>
      </c>
    </row>
    <row r="1857" spans="1:36" x14ac:dyDescent="0.25">
      <c r="A1857" s="325" t="str">
        <f>CONCATENATE("P",'906MP'!M1557)</f>
        <v>P</v>
      </c>
      <c r="B1857">
        <f>'906MP'!H1557</f>
        <v>0</v>
      </c>
      <c r="C1857">
        <f>'906MP'!J1557</f>
        <v>0</v>
      </c>
      <c r="D1857">
        <f>'906MP'!P1557</f>
        <v>0</v>
      </c>
      <c r="E1857">
        <f>'906MP'!X1557</f>
        <v>0</v>
      </c>
      <c r="F1857" t="str">
        <f t="shared" si="542"/>
        <v>0</v>
      </c>
      <c r="G1857" t="str">
        <f t="shared" si="543"/>
        <v>0</v>
      </c>
      <c r="H1857">
        <f>'906MP'!Y1557</f>
        <v>0</v>
      </c>
      <c r="I1857">
        <f>'906MP'!AK1557</f>
        <v>0</v>
      </c>
      <c r="J1857">
        <f>'906MP'!T1557</f>
        <v>0</v>
      </c>
      <c r="K1857">
        <f>'906MP'!AJ1557</f>
        <v>0</v>
      </c>
      <c r="L1857">
        <f>'906MP'!U1557</f>
        <v>0</v>
      </c>
      <c r="M1857" s="322" t="str">
        <f>IFERROR(VLOOKUP(A1857,PAR!$D$3:$E$53,2,FALSE),"nincs szervezet")</f>
        <v>nincs szervezet</v>
      </c>
      <c r="N1857" s="322" t="str">
        <f>VLOOKUP(F1857,PAR!$R$3:$S$5,2,FALSE)</f>
        <v>3 - egyik sem</v>
      </c>
      <c r="O1857" t="str">
        <f>IFERROR(VLOOKUP(J1857,PAR!$O$3:$P$5,2,FALSE),"nincs feladat")</f>
        <v>nincs feladat</v>
      </c>
      <c r="P1857" t="str">
        <f>IFERROR(VLOOKUP(G1857,PAR!$J$2:$M$19,4),"nincs rovat")</f>
        <v>nincs rovat</v>
      </c>
      <c r="Q1857" t="str">
        <f>IF(H1857&gt;0,VLOOKUP(H1857,PAR!$AA$3:$AC$187,3,FALSE),"nincs főkönyvi számla")</f>
        <v>nincs főkönyvi számla</v>
      </c>
      <c r="R1857" t="str">
        <f>IFERROR(VLOOKUP(K1857,PAR!$V$3:$X$438,3,FALSE),"000000 - Nincs COFOG")</f>
        <v>000000 - Nincs COFOG</v>
      </c>
      <c r="S1857">
        <f t="shared" si="544"/>
        <v>0</v>
      </c>
      <c r="T1857">
        <f t="shared" si="545"/>
        <v>0</v>
      </c>
      <c r="U1857" t="str">
        <f>IF('906MP'!J1557&gt;0,CONCATENATE('906MP'!J1557," - ",'906MP'!P1557,", ",'906MP'!E1557),"nincs megjegyzés")</f>
        <v>nincs megjegyzés</v>
      </c>
      <c r="V1857" t="str">
        <f t="shared" si="532"/>
        <v>0P0</v>
      </c>
      <c r="W1857" t="str">
        <f t="shared" si="533"/>
        <v>0P0</v>
      </c>
      <c r="X1857" t="str">
        <f t="shared" si="534"/>
        <v>P0</v>
      </c>
      <c r="Y1857" t="str">
        <f t="shared" si="535"/>
        <v>00</v>
      </c>
      <c r="Z1857" t="str">
        <f t="shared" si="546"/>
        <v>00</v>
      </c>
      <c r="AA1857" t="str">
        <f t="shared" si="536"/>
        <v>00</v>
      </c>
      <c r="AB1857" t="str">
        <f t="shared" si="537"/>
        <v>00</v>
      </c>
      <c r="AC1857" t="str">
        <f t="shared" si="538"/>
        <v>0P0</v>
      </c>
      <c r="AD1857" t="str">
        <f t="shared" si="539"/>
        <v>P00</v>
      </c>
      <c r="AE1857" t="str">
        <f t="shared" si="540"/>
        <v>0P0</v>
      </c>
      <c r="AF1857" t="str">
        <f t="shared" si="541"/>
        <v>P00</v>
      </c>
      <c r="AG1857" t="str">
        <f t="shared" si="547"/>
        <v>0P00</v>
      </c>
      <c r="AH1857" t="str">
        <f t="shared" si="548"/>
        <v>P000</v>
      </c>
      <c r="AI1857" t="str">
        <f t="shared" si="549"/>
        <v>0P00</v>
      </c>
      <c r="AJ1857" t="str">
        <f t="shared" si="550"/>
        <v>P000</v>
      </c>
    </row>
    <row r="1858" spans="1:36" x14ac:dyDescent="0.25">
      <c r="A1858" s="325" t="str">
        <f>CONCATENATE("P",'906MP'!M1558)</f>
        <v>P</v>
      </c>
      <c r="B1858">
        <f>'906MP'!H1558</f>
        <v>0</v>
      </c>
      <c r="C1858">
        <f>'906MP'!J1558</f>
        <v>0</v>
      </c>
      <c r="D1858">
        <f>'906MP'!P1558</f>
        <v>0</v>
      </c>
      <c r="E1858">
        <f>'906MP'!X1558</f>
        <v>0</v>
      </c>
      <c r="F1858" t="str">
        <f t="shared" si="542"/>
        <v>0</v>
      </c>
      <c r="G1858" t="str">
        <f t="shared" si="543"/>
        <v>0</v>
      </c>
      <c r="H1858">
        <f>'906MP'!Y1558</f>
        <v>0</v>
      </c>
      <c r="I1858">
        <f>'906MP'!AK1558</f>
        <v>0</v>
      </c>
      <c r="J1858">
        <f>'906MP'!T1558</f>
        <v>0</v>
      </c>
      <c r="K1858">
        <f>'906MP'!AJ1558</f>
        <v>0</v>
      </c>
      <c r="L1858">
        <f>'906MP'!U1558</f>
        <v>0</v>
      </c>
      <c r="M1858" s="322" t="str">
        <f>IFERROR(VLOOKUP(A1858,PAR!$D$3:$E$53,2,FALSE),"nincs szervezet")</f>
        <v>nincs szervezet</v>
      </c>
      <c r="N1858" s="322" t="str">
        <f>VLOOKUP(F1858,PAR!$R$3:$S$5,2,FALSE)</f>
        <v>3 - egyik sem</v>
      </c>
      <c r="O1858" t="str">
        <f>IFERROR(VLOOKUP(J1858,PAR!$O$3:$P$5,2,FALSE),"nincs feladat")</f>
        <v>nincs feladat</v>
      </c>
      <c r="P1858" t="str">
        <f>IFERROR(VLOOKUP(G1858,PAR!$J$2:$M$19,4),"nincs rovat")</f>
        <v>nincs rovat</v>
      </c>
      <c r="Q1858" t="str">
        <f>IF(H1858&gt;0,VLOOKUP(H1858,PAR!$AA$3:$AC$187,3,FALSE),"nincs főkönyvi számla")</f>
        <v>nincs főkönyvi számla</v>
      </c>
      <c r="R1858" t="str">
        <f>IFERROR(VLOOKUP(K1858,PAR!$V$3:$X$438,3,FALSE),"000000 - Nincs COFOG")</f>
        <v>000000 - Nincs COFOG</v>
      </c>
      <c r="S1858">
        <f t="shared" si="544"/>
        <v>0</v>
      </c>
      <c r="T1858">
        <f t="shared" si="545"/>
        <v>0</v>
      </c>
      <c r="U1858" t="str">
        <f>IF('906MP'!J1558&gt;0,CONCATENATE('906MP'!J1558," - ",'906MP'!P1558,", ",'906MP'!E1558),"nincs megjegyzés")</f>
        <v>nincs megjegyzés</v>
      </c>
      <c r="V1858" t="str">
        <f t="shared" ref="V1858:V1921" si="551">CONCATENATE(B1858,A1858,G1858)</f>
        <v>0P0</v>
      </c>
      <c r="W1858" t="str">
        <f t="shared" ref="W1858:W1921" si="552">CONCATENATE(B1858,A1858,F1858)</f>
        <v>0P0</v>
      </c>
      <c r="X1858" t="str">
        <f t="shared" ref="X1858:X1921" si="553">CONCATENATE(A1858,H1858)</f>
        <v>P0</v>
      </c>
      <c r="Y1858" t="str">
        <f t="shared" ref="Y1858:Y1921" si="554">CONCATENATE(B1858,H1858)</f>
        <v>00</v>
      </c>
      <c r="Z1858" t="str">
        <f t="shared" si="546"/>
        <v>00</v>
      </c>
      <c r="AA1858" t="str">
        <f t="shared" ref="AA1858:AA1921" si="555">CONCATENATE(B1858,G1858)</f>
        <v>00</v>
      </c>
      <c r="AB1858" t="str">
        <f t="shared" ref="AB1858:AB1921" si="556">CONCATENATE(J1858,G1858)</f>
        <v>00</v>
      </c>
      <c r="AC1858" t="str">
        <f t="shared" ref="AC1858:AC1921" si="557">CONCATENATE(B1858,A1858,H1858)</f>
        <v>0P0</v>
      </c>
      <c r="AD1858" t="str">
        <f t="shared" ref="AD1858:AD1921" si="558">CONCATENATE(A1858,H1858,J1858)</f>
        <v>P00</v>
      </c>
      <c r="AE1858" t="str">
        <f t="shared" ref="AE1858:AE1921" si="559">CONCATENATE(B1858,A1858,G1858)</f>
        <v>0P0</v>
      </c>
      <c r="AF1858" t="str">
        <f t="shared" ref="AF1858:AF1921" si="560">CONCATENATE(A1858,G1858,J1858)</f>
        <v>P00</v>
      </c>
      <c r="AG1858" t="str">
        <f t="shared" si="547"/>
        <v>0P00</v>
      </c>
      <c r="AH1858" t="str">
        <f t="shared" si="548"/>
        <v>P000</v>
      </c>
      <c r="AI1858" t="str">
        <f t="shared" si="549"/>
        <v>0P00</v>
      </c>
      <c r="AJ1858" t="str">
        <f t="shared" si="550"/>
        <v>P000</v>
      </c>
    </row>
    <row r="1859" spans="1:36" x14ac:dyDescent="0.25">
      <c r="A1859" s="325" t="str">
        <f>CONCATENATE("P",'906MP'!M1559)</f>
        <v>P</v>
      </c>
      <c r="B1859">
        <f>'906MP'!H1559</f>
        <v>0</v>
      </c>
      <c r="C1859">
        <f>'906MP'!J1559</f>
        <v>0</v>
      </c>
      <c r="D1859">
        <f>'906MP'!P1559</f>
        <v>0</v>
      </c>
      <c r="E1859">
        <f>'906MP'!X1559</f>
        <v>0</v>
      </c>
      <c r="F1859" t="str">
        <f t="shared" ref="F1859:F1922" si="561">LEFT(G1859,2)</f>
        <v>0</v>
      </c>
      <c r="G1859" t="str">
        <f t="shared" ref="G1859:G1922" si="562">LEFT(H1859,3)</f>
        <v>0</v>
      </c>
      <c r="H1859">
        <f>'906MP'!Y1559</f>
        <v>0</v>
      </c>
      <c r="I1859">
        <f>'906MP'!AK1559</f>
        <v>0</v>
      </c>
      <c r="J1859">
        <f>'906MP'!T1559</f>
        <v>0</v>
      </c>
      <c r="K1859">
        <f>'906MP'!AJ1559</f>
        <v>0</v>
      </c>
      <c r="L1859">
        <f>'906MP'!U1559</f>
        <v>0</v>
      </c>
      <c r="M1859" s="322" t="str">
        <f>IFERROR(VLOOKUP(A1859,PAR!$D$3:$E$53,2,FALSE),"nincs szervezet")</f>
        <v>nincs szervezet</v>
      </c>
      <c r="N1859" s="322" t="str">
        <f>VLOOKUP(F1859,PAR!$R$3:$S$5,2,FALSE)</f>
        <v>3 - egyik sem</v>
      </c>
      <c r="O1859" t="str">
        <f>IFERROR(VLOOKUP(J1859,PAR!$O$3:$P$5,2,FALSE),"nincs feladat")</f>
        <v>nincs feladat</v>
      </c>
      <c r="P1859" t="str">
        <f>IFERROR(VLOOKUP(G1859,PAR!$J$2:$M$19,4),"nincs rovat")</f>
        <v>nincs rovat</v>
      </c>
      <c r="Q1859" t="str">
        <f>IF(H1859&gt;0,VLOOKUP(H1859,PAR!$AA$3:$AC$187,3,FALSE),"nincs főkönyvi számla")</f>
        <v>nincs főkönyvi számla</v>
      </c>
      <c r="R1859" t="str">
        <f>IFERROR(VLOOKUP(K1859,PAR!$V$3:$X$438,3,FALSE),"000000 - Nincs COFOG")</f>
        <v>000000 - Nincs COFOG</v>
      </c>
      <c r="S1859">
        <f t="shared" ref="S1859:S1922" si="563">E1859</f>
        <v>0</v>
      </c>
      <c r="T1859">
        <f t="shared" ref="T1859:T1922" si="564">IF(F1859="09",E1859*-1,E1859)</f>
        <v>0</v>
      </c>
      <c r="U1859" t="str">
        <f>IF('906MP'!J1559&gt;0,CONCATENATE('906MP'!J1559," - ",'906MP'!P1559,", ",'906MP'!E1559),"nincs megjegyzés")</f>
        <v>nincs megjegyzés</v>
      </c>
      <c r="V1859" t="str">
        <f t="shared" si="551"/>
        <v>0P0</v>
      </c>
      <c r="W1859" t="str">
        <f t="shared" si="552"/>
        <v>0P0</v>
      </c>
      <c r="X1859" t="str">
        <f t="shared" si="553"/>
        <v>P0</v>
      </c>
      <c r="Y1859" t="str">
        <f t="shared" si="554"/>
        <v>00</v>
      </c>
      <c r="Z1859" t="str">
        <f t="shared" ref="Z1859:Z1922" si="565">CONCATENATE(J1859,H1859)</f>
        <v>00</v>
      </c>
      <c r="AA1859" t="str">
        <f t="shared" si="555"/>
        <v>00</v>
      </c>
      <c r="AB1859" t="str">
        <f t="shared" si="556"/>
        <v>00</v>
      </c>
      <c r="AC1859" t="str">
        <f t="shared" si="557"/>
        <v>0P0</v>
      </c>
      <c r="AD1859" t="str">
        <f t="shared" si="558"/>
        <v>P00</v>
      </c>
      <c r="AE1859" t="str">
        <f t="shared" si="559"/>
        <v>0P0</v>
      </c>
      <c r="AF1859" t="str">
        <f t="shared" si="560"/>
        <v>P00</v>
      </c>
      <c r="AG1859" t="str">
        <f t="shared" ref="AG1859:AG1922" si="566">CONCATENATE(B1859,A1859,H1859,L1859)</f>
        <v>0P00</v>
      </c>
      <c r="AH1859" t="str">
        <f t="shared" ref="AH1859:AH1922" si="567">CONCATENATE(A1859,J1859,H1859,L1859)</f>
        <v>P000</v>
      </c>
      <c r="AI1859" t="str">
        <f t="shared" ref="AI1859:AI1922" si="568">CONCATENATE(B1859,A1859,G1859,L1859)</f>
        <v>0P00</v>
      </c>
      <c r="AJ1859" t="str">
        <f t="shared" ref="AJ1859:AJ1922" si="569">CONCATENATE(A1859,G1859,J1859,L1859)</f>
        <v>P000</v>
      </c>
    </row>
    <row r="1860" spans="1:36" x14ac:dyDescent="0.25">
      <c r="A1860" s="325" t="str">
        <f>CONCATENATE("P",'906MP'!M1560)</f>
        <v>P</v>
      </c>
      <c r="B1860">
        <f>'906MP'!H1560</f>
        <v>0</v>
      </c>
      <c r="C1860">
        <f>'906MP'!J1560</f>
        <v>0</v>
      </c>
      <c r="D1860">
        <f>'906MP'!P1560</f>
        <v>0</v>
      </c>
      <c r="E1860">
        <f>'906MP'!X1560</f>
        <v>0</v>
      </c>
      <c r="F1860" t="str">
        <f t="shared" si="561"/>
        <v>0</v>
      </c>
      <c r="G1860" t="str">
        <f t="shared" si="562"/>
        <v>0</v>
      </c>
      <c r="H1860">
        <f>'906MP'!Y1560</f>
        <v>0</v>
      </c>
      <c r="I1860">
        <f>'906MP'!AK1560</f>
        <v>0</v>
      </c>
      <c r="J1860">
        <f>'906MP'!T1560</f>
        <v>0</v>
      </c>
      <c r="K1860">
        <f>'906MP'!AJ1560</f>
        <v>0</v>
      </c>
      <c r="L1860">
        <f>'906MP'!U1560</f>
        <v>0</v>
      </c>
      <c r="M1860" s="322" t="str">
        <f>IFERROR(VLOOKUP(A1860,PAR!$D$3:$E$53,2,FALSE),"nincs szervezet")</f>
        <v>nincs szervezet</v>
      </c>
      <c r="N1860" s="322" t="str">
        <f>VLOOKUP(F1860,PAR!$R$3:$S$5,2,FALSE)</f>
        <v>3 - egyik sem</v>
      </c>
      <c r="O1860" t="str">
        <f>IFERROR(VLOOKUP(J1860,PAR!$O$3:$P$5,2,FALSE),"nincs feladat")</f>
        <v>nincs feladat</v>
      </c>
      <c r="P1860" t="str">
        <f>IFERROR(VLOOKUP(G1860,PAR!$J$2:$M$19,4),"nincs rovat")</f>
        <v>nincs rovat</v>
      </c>
      <c r="Q1860" t="str">
        <f>IF(H1860&gt;0,VLOOKUP(H1860,PAR!$AA$3:$AC$187,3,FALSE),"nincs főkönyvi számla")</f>
        <v>nincs főkönyvi számla</v>
      </c>
      <c r="R1860" t="str">
        <f>IFERROR(VLOOKUP(K1860,PAR!$V$3:$X$438,3,FALSE),"000000 - Nincs COFOG")</f>
        <v>000000 - Nincs COFOG</v>
      </c>
      <c r="S1860">
        <f t="shared" si="563"/>
        <v>0</v>
      </c>
      <c r="T1860">
        <f t="shared" si="564"/>
        <v>0</v>
      </c>
      <c r="U1860" t="str">
        <f>IF('906MP'!J1560&gt;0,CONCATENATE('906MP'!J1560," - ",'906MP'!P1560,", ",'906MP'!E1560),"nincs megjegyzés")</f>
        <v>nincs megjegyzés</v>
      </c>
      <c r="V1860" t="str">
        <f t="shared" si="551"/>
        <v>0P0</v>
      </c>
      <c r="W1860" t="str">
        <f t="shared" si="552"/>
        <v>0P0</v>
      </c>
      <c r="X1860" t="str">
        <f t="shared" si="553"/>
        <v>P0</v>
      </c>
      <c r="Y1860" t="str">
        <f t="shared" si="554"/>
        <v>00</v>
      </c>
      <c r="Z1860" t="str">
        <f t="shared" si="565"/>
        <v>00</v>
      </c>
      <c r="AA1860" t="str">
        <f t="shared" si="555"/>
        <v>00</v>
      </c>
      <c r="AB1860" t="str">
        <f t="shared" si="556"/>
        <v>00</v>
      </c>
      <c r="AC1860" t="str">
        <f t="shared" si="557"/>
        <v>0P0</v>
      </c>
      <c r="AD1860" t="str">
        <f t="shared" si="558"/>
        <v>P00</v>
      </c>
      <c r="AE1860" t="str">
        <f t="shared" si="559"/>
        <v>0P0</v>
      </c>
      <c r="AF1860" t="str">
        <f t="shared" si="560"/>
        <v>P00</v>
      </c>
      <c r="AG1860" t="str">
        <f t="shared" si="566"/>
        <v>0P00</v>
      </c>
      <c r="AH1860" t="str">
        <f t="shared" si="567"/>
        <v>P000</v>
      </c>
      <c r="AI1860" t="str">
        <f t="shared" si="568"/>
        <v>0P00</v>
      </c>
      <c r="AJ1860" t="str">
        <f t="shared" si="569"/>
        <v>P000</v>
      </c>
    </row>
    <row r="1861" spans="1:36" x14ac:dyDescent="0.25">
      <c r="A1861" s="325" t="str">
        <f>CONCATENATE("P",'906MP'!M1561)</f>
        <v>P</v>
      </c>
      <c r="B1861">
        <f>'906MP'!H1561</f>
        <v>0</v>
      </c>
      <c r="C1861">
        <f>'906MP'!J1561</f>
        <v>0</v>
      </c>
      <c r="D1861">
        <f>'906MP'!P1561</f>
        <v>0</v>
      </c>
      <c r="E1861">
        <f>'906MP'!X1561</f>
        <v>0</v>
      </c>
      <c r="F1861" t="str">
        <f t="shared" si="561"/>
        <v>0</v>
      </c>
      <c r="G1861" t="str">
        <f t="shared" si="562"/>
        <v>0</v>
      </c>
      <c r="H1861">
        <f>'906MP'!Y1561</f>
        <v>0</v>
      </c>
      <c r="I1861">
        <f>'906MP'!AK1561</f>
        <v>0</v>
      </c>
      <c r="J1861">
        <f>'906MP'!T1561</f>
        <v>0</v>
      </c>
      <c r="K1861">
        <f>'906MP'!AJ1561</f>
        <v>0</v>
      </c>
      <c r="L1861">
        <f>'906MP'!U1561</f>
        <v>0</v>
      </c>
      <c r="M1861" s="322" t="str">
        <f>IFERROR(VLOOKUP(A1861,PAR!$D$3:$E$53,2,FALSE),"nincs szervezet")</f>
        <v>nincs szervezet</v>
      </c>
      <c r="N1861" s="322" t="str">
        <f>VLOOKUP(F1861,PAR!$R$3:$S$5,2,FALSE)</f>
        <v>3 - egyik sem</v>
      </c>
      <c r="O1861" t="str">
        <f>IFERROR(VLOOKUP(J1861,PAR!$O$3:$P$5,2,FALSE),"nincs feladat")</f>
        <v>nincs feladat</v>
      </c>
      <c r="P1861" t="str">
        <f>IFERROR(VLOOKUP(G1861,PAR!$J$2:$M$19,4),"nincs rovat")</f>
        <v>nincs rovat</v>
      </c>
      <c r="Q1861" t="str">
        <f>IF(H1861&gt;0,VLOOKUP(H1861,PAR!$AA$3:$AC$187,3,FALSE),"nincs főkönyvi számla")</f>
        <v>nincs főkönyvi számla</v>
      </c>
      <c r="R1861" t="str">
        <f>IFERROR(VLOOKUP(K1861,PAR!$V$3:$X$438,3,FALSE),"000000 - Nincs COFOG")</f>
        <v>000000 - Nincs COFOG</v>
      </c>
      <c r="S1861">
        <f t="shared" si="563"/>
        <v>0</v>
      </c>
      <c r="T1861">
        <f t="shared" si="564"/>
        <v>0</v>
      </c>
      <c r="U1861" t="str">
        <f>IF('906MP'!J1561&gt;0,CONCATENATE('906MP'!J1561," - ",'906MP'!P1561,", ",'906MP'!E1561),"nincs megjegyzés")</f>
        <v>nincs megjegyzés</v>
      </c>
      <c r="V1861" t="str">
        <f t="shared" si="551"/>
        <v>0P0</v>
      </c>
      <c r="W1861" t="str">
        <f t="shared" si="552"/>
        <v>0P0</v>
      </c>
      <c r="X1861" t="str">
        <f t="shared" si="553"/>
        <v>P0</v>
      </c>
      <c r="Y1861" t="str">
        <f t="shared" si="554"/>
        <v>00</v>
      </c>
      <c r="Z1861" t="str">
        <f t="shared" si="565"/>
        <v>00</v>
      </c>
      <c r="AA1861" t="str">
        <f t="shared" si="555"/>
        <v>00</v>
      </c>
      <c r="AB1861" t="str">
        <f t="shared" si="556"/>
        <v>00</v>
      </c>
      <c r="AC1861" t="str">
        <f t="shared" si="557"/>
        <v>0P0</v>
      </c>
      <c r="AD1861" t="str">
        <f t="shared" si="558"/>
        <v>P00</v>
      </c>
      <c r="AE1861" t="str">
        <f t="shared" si="559"/>
        <v>0P0</v>
      </c>
      <c r="AF1861" t="str">
        <f t="shared" si="560"/>
        <v>P00</v>
      </c>
      <c r="AG1861" t="str">
        <f t="shared" si="566"/>
        <v>0P00</v>
      </c>
      <c r="AH1861" t="str">
        <f t="shared" si="567"/>
        <v>P000</v>
      </c>
      <c r="AI1861" t="str">
        <f t="shared" si="568"/>
        <v>0P00</v>
      </c>
      <c r="AJ1861" t="str">
        <f t="shared" si="569"/>
        <v>P000</v>
      </c>
    </row>
    <row r="1862" spans="1:36" x14ac:dyDescent="0.25">
      <c r="A1862" s="325" t="str">
        <f>CONCATENATE("P",'906MP'!M1562)</f>
        <v>P</v>
      </c>
      <c r="B1862">
        <f>'906MP'!H1562</f>
        <v>0</v>
      </c>
      <c r="C1862">
        <f>'906MP'!J1562</f>
        <v>0</v>
      </c>
      <c r="D1862">
        <f>'906MP'!P1562</f>
        <v>0</v>
      </c>
      <c r="E1862">
        <f>'906MP'!X1562</f>
        <v>0</v>
      </c>
      <c r="F1862" t="str">
        <f t="shared" si="561"/>
        <v>0</v>
      </c>
      <c r="G1862" t="str">
        <f t="shared" si="562"/>
        <v>0</v>
      </c>
      <c r="H1862">
        <f>'906MP'!Y1562</f>
        <v>0</v>
      </c>
      <c r="I1862">
        <f>'906MP'!AK1562</f>
        <v>0</v>
      </c>
      <c r="J1862">
        <f>'906MP'!T1562</f>
        <v>0</v>
      </c>
      <c r="K1862">
        <f>'906MP'!AJ1562</f>
        <v>0</v>
      </c>
      <c r="L1862">
        <f>'906MP'!U1562</f>
        <v>0</v>
      </c>
      <c r="M1862" s="322" t="str">
        <f>IFERROR(VLOOKUP(A1862,PAR!$D$3:$E$53,2,FALSE),"nincs szervezet")</f>
        <v>nincs szervezet</v>
      </c>
      <c r="N1862" s="322" t="str">
        <f>VLOOKUP(F1862,PAR!$R$3:$S$5,2,FALSE)</f>
        <v>3 - egyik sem</v>
      </c>
      <c r="O1862" t="str">
        <f>IFERROR(VLOOKUP(J1862,PAR!$O$3:$P$5,2,FALSE),"nincs feladat")</f>
        <v>nincs feladat</v>
      </c>
      <c r="P1862" t="str">
        <f>IFERROR(VLOOKUP(G1862,PAR!$J$2:$M$19,4),"nincs rovat")</f>
        <v>nincs rovat</v>
      </c>
      <c r="Q1862" t="str">
        <f>IF(H1862&gt;0,VLOOKUP(H1862,PAR!$AA$3:$AC$187,3,FALSE),"nincs főkönyvi számla")</f>
        <v>nincs főkönyvi számla</v>
      </c>
      <c r="R1862" t="str">
        <f>IFERROR(VLOOKUP(K1862,PAR!$V$3:$X$438,3,FALSE),"000000 - Nincs COFOG")</f>
        <v>000000 - Nincs COFOG</v>
      </c>
      <c r="S1862">
        <f t="shared" si="563"/>
        <v>0</v>
      </c>
      <c r="T1862">
        <f t="shared" si="564"/>
        <v>0</v>
      </c>
      <c r="U1862" t="str">
        <f>IF('906MP'!J1562&gt;0,CONCATENATE('906MP'!J1562," - ",'906MP'!P1562,", ",'906MP'!E1562),"nincs megjegyzés")</f>
        <v>nincs megjegyzés</v>
      </c>
      <c r="V1862" t="str">
        <f t="shared" si="551"/>
        <v>0P0</v>
      </c>
      <c r="W1862" t="str">
        <f t="shared" si="552"/>
        <v>0P0</v>
      </c>
      <c r="X1862" t="str">
        <f t="shared" si="553"/>
        <v>P0</v>
      </c>
      <c r="Y1862" t="str">
        <f t="shared" si="554"/>
        <v>00</v>
      </c>
      <c r="Z1862" t="str">
        <f t="shared" si="565"/>
        <v>00</v>
      </c>
      <c r="AA1862" t="str">
        <f t="shared" si="555"/>
        <v>00</v>
      </c>
      <c r="AB1862" t="str">
        <f t="shared" si="556"/>
        <v>00</v>
      </c>
      <c r="AC1862" t="str">
        <f t="shared" si="557"/>
        <v>0P0</v>
      </c>
      <c r="AD1862" t="str">
        <f t="shared" si="558"/>
        <v>P00</v>
      </c>
      <c r="AE1862" t="str">
        <f t="shared" si="559"/>
        <v>0P0</v>
      </c>
      <c r="AF1862" t="str">
        <f t="shared" si="560"/>
        <v>P00</v>
      </c>
      <c r="AG1862" t="str">
        <f t="shared" si="566"/>
        <v>0P00</v>
      </c>
      <c r="AH1862" t="str">
        <f t="shared" si="567"/>
        <v>P000</v>
      </c>
      <c r="AI1862" t="str">
        <f t="shared" si="568"/>
        <v>0P00</v>
      </c>
      <c r="AJ1862" t="str">
        <f t="shared" si="569"/>
        <v>P000</v>
      </c>
    </row>
    <row r="1863" spans="1:36" x14ac:dyDescent="0.25">
      <c r="A1863" s="325" t="str">
        <f>CONCATENATE("P",'906MP'!M1563)</f>
        <v>P</v>
      </c>
      <c r="B1863">
        <f>'906MP'!H1563</f>
        <v>0</v>
      </c>
      <c r="C1863">
        <f>'906MP'!J1563</f>
        <v>0</v>
      </c>
      <c r="D1863">
        <f>'906MP'!P1563</f>
        <v>0</v>
      </c>
      <c r="E1863">
        <f>'906MP'!X1563</f>
        <v>0</v>
      </c>
      <c r="F1863" t="str">
        <f t="shared" si="561"/>
        <v>0</v>
      </c>
      <c r="G1863" t="str">
        <f t="shared" si="562"/>
        <v>0</v>
      </c>
      <c r="H1863">
        <f>'906MP'!Y1563</f>
        <v>0</v>
      </c>
      <c r="I1863">
        <f>'906MP'!AK1563</f>
        <v>0</v>
      </c>
      <c r="J1863">
        <f>'906MP'!T1563</f>
        <v>0</v>
      </c>
      <c r="K1863">
        <f>'906MP'!AJ1563</f>
        <v>0</v>
      </c>
      <c r="L1863">
        <f>'906MP'!U1563</f>
        <v>0</v>
      </c>
      <c r="M1863" s="322" t="str">
        <f>IFERROR(VLOOKUP(A1863,PAR!$D$3:$E$53,2,FALSE),"nincs szervezet")</f>
        <v>nincs szervezet</v>
      </c>
      <c r="N1863" s="322" t="str">
        <f>VLOOKUP(F1863,PAR!$R$3:$S$5,2,FALSE)</f>
        <v>3 - egyik sem</v>
      </c>
      <c r="O1863" t="str">
        <f>IFERROR(VLOOKUP(J1863,PAR!$O$3:$P$5,2,FALSE),"nincs feladat")</f>
        <v>nincs feladat</v>
      </c>
      <c r="P1863" t="str">
        <f>IFERROR(VLOOKUP(G1863,PAR!$J$2:$M$19,4),"nincs rovat")</f>
        <v>nincs rovat</v>
      </c>
      <c r="Q1863" t="str">
        <f>IF(H1863&gt;0,VLOOKUP(H1863,PAR!$AA$3:$AC$187,3,FALSE),"nincs főkönyvi számla")</f>
        <v>nincs főkönyvi számla</v>
      </c>
      <c r="R1863" t="str">
        <f>IFERROR(VLOOKUP(K1863,PAR!$V$3:$X$438,3,FALSE),"000000 - Nincs COFOG")</f>
        <v>000000 - Nincs COFOG</v>
      </c>
      <c r="S1863">
        <f t="shared" si="563"/>
        <v>0</v>
      </c>
      <c r="T1863">
        <f t="shared" si="564"/>
        <v>0</v>
      </c>
      <c r="U1863" t="str">
        <f>IF('906MP'!J1563&gt;0,CONCATENATE('906MP'!J1563," - ",'906MP'!P1563,", ",'906MP'!E1563),"nincs megjegyzés")</f>
        <v>nincs megjegyzés</v>
      </c>
      <c r="V1863" t="str">
        <f t="shared" si="551"/>
        <v>0P0</v>
      </c>
      <c r="W1863" t="str">
        <f t="shared" si="552"/>
        <v>0P0</v>
      </c>
      <c r="X1863" t="str">
        <f t="shared" si="553"/>
        <v>P0</v>
      </c>
      <c r="Y1863" t="str">
        <f t="shared" si="554"/>
        <v>00</v>
      </c>
      <c r="Z1863" t="str">
        <f t="shared" si="565"/>
        <v>00</v>
      </c>
      <c r="AA1863" t="str">
        <f t="shared" si="555"/>
        <v>00</v>
      </c>
      <c r="AB1863" t="str">
        <f t="shared" si="556"/>
        <v>00</v>
      </c>
      <c r="AC1863" t="str">
        <f t="shared" si="557"/>
        <v>0P0</v>
      </c>
      <c r="AD1863" t="str">
        <f t="shared" si="558"/>
        <v>P00</v>
      </c>
      <c r="AE1863" t="str">
        <f t="shared" si="559"/>
        <v>0P0</v>
      </c>
      <c r="AF1863" t="str">
        <f t="shared" si="560"/>
        <v>P00</v>
      </c>
      <c r="AG1863" t="str">
        <f t="shared" si="566"/>
        <v>0P00</v>
      </c>
      <c r="AH1863" t="str">
        <f t="shared" si="567"/>
        <v>P000</v>
      </c>
      <c r="AI1863" t="str">
        <f t="shared" si="568"/>
        <v>0P00</v>
      </c>
      <c r="AJ1863" t="str">
        <f t="shared" si="569"/>
        <v>P000</v>
      </c>
    </row>
    <row r="1864" spans="1:36" x14ac:dyDescent="0.25">
      <c r="A1864" s="325" t="str">
        <f>CONCATENATE("P",'906MP'!M1564)</f>
        <v>P</v>
      </c>
      <c r="B1864">
        <f>'906MP'!H1564</f>
        <v>0</v>
      </c>
      <c r="C1864">
        <f>'906MP'!J1564</f>
        <v>0</v>
      </c>
      <c r="D1864">
        <f>'906MP'!P1564</f>
        <v>0</v>
      </c>
      <c r="E1864">
        <f>'906MP'!X1564</f>
        <v>0</v>
      </c>
      <c r="F1864" t="str">
        <f t="shared" si="561"/>
        <v>0</v>
      </c>
      <c r="G1864" t="str">
        <f t="shared" si="562"/>
        <v>0</v>
      </c>
      <c r="H1864">
        <f>'906MP'!Y1564</f>
        <v>0</v>
      </c>
      <c r="I1864">
        <f>'906MP'!AK1564</f>
        <v>0</v>
      </c>
      <c r="J1864">
        <f>'906MP'!T1564</f>
        <v>0</v>
      </c>
      <c r="K1864">
        <f>'906MP'!AJ1564</f>
        <v>0</v>
      </c>
      <c r="L1864">
        <f>'906MP'!U1564</f>
        <v>0</v>
      </c>
      <c r="M1864" s="322" t="str">
        <f>IFERROR(VLOOKUP(A1864,PAR!$D$3:$E$53,2,FALSE),"nincs szervezet")</f>
        <v>nincs szervezet</v>
      </c>
      <c r="N1864" s="322" t="str">
        <f>VLOOKUP(F1864,PAR!$R$3:$S$5,2,FALSE)</f>
        <v>3 - egyik sem</v>
      </c>
      <c r="O1864" t="str">
        <f>IFERROR(VLOOKUP(J1864,PAR!$O$3:$P$5,2,FALSE),"nincs feladat")</f>
        <v>nincs feladat</v>
      </c>
      <c r="P1864" t="str">
        <f>IFERROR(VLOOKUP(G1864,PAR!$J$2:$M$19,4),"nincs rovat")</f>
        <v>nincs rovat</v>
      </c>
      <c r="Q1864" t="str">
        <f>IF(H1864&gt;0,VLOOKUP(H1864,PAR!$AA$3:$AC$187,3,FALSE),"nincs főkönyvi számla")</f>
        <v>nincs főkönyvi számla</v>
      </c>
      <c r="R1864" t="str">
        <f>IFERROR(VLOOKUP(K1864,PAR!$V$3:$X$438,3,FALSE),"000000 - Nincs COFOG")</f>
        <v>000000 - Nincs COFOG</v>
      </c>
      <c r="S1864">
        <f t="shared" si="563"/>
        <v>0</v>
      </c>
      <c r="T1864">
        <f t="shared" si="564"/>
        <v>0</v>
      </c>
      <c r="U1864" t="str">
        <f>IF('906MP'!J1564&gt;0,CONCATENATE('906MP'!J1564," - ",'906MP'!P1564,", ",'906MP'!E1564),"nincs megjegyzés")</f>
        <v>nincs megjegyzés</v>
      </c>
      <c r="V1864" t="str">
        <f t="shared" si="551"/>
        <v>0P0</v>
      </c>
      <c r="W1864" t="str">
        <f t="shared" si="552"/>
        <v>0P0</v>
      </c>
      <c r="X1864" t="str">
        <f t="shared" si="553"/>
        <v>P0</v>
      </c>
      <c r="Y1864" t="str">
        <f t="shared" si="554"/>
        <v>00</v>
      </c>
      <c r="Z1864" t="str">
        <f t="shared" si="565"/>
        <v>00</v>
      </c>
      <c r="AA1864" t="str">
        <f t="shared" si="555"/>
        <v>00</v>
      </c>
      <c r="AB1864" t="str">
        <f t="shared" si="556"/>
        <v>00</v>
      </c>
      <c r="AC1864" t="str">
        <f t="shared" si="557"/>
        <v>0P0</v>
      </c>
      <c r="AD1864" t="str">
        <f t="shared" si="558"/>
        <v>P00</v>
      </c>
      <c r="AE1864" t="str">
        <f t="shared" si="559"/>
        <v>0P0</v>
      </c>
      <c r="AF1864" t="str">
        <f t="shared" si="560"/>
        <v>P00</v>
      </c>
      <c r="AG1864" t="str">
        <f t="shared" si="566"/>
        <v>0P00</v>
      </c>
      <c r="AH1864" t="str">
        <f t="shared" si="567"/>
        <v>P000</v>
      </c>
      <c r="AI1864" t="str">
        <f t="shared" si="568"/>
        <v>0P00</v>
      </c>
      <c r="AJ1864" t="str">
        <f t="shared" si="569"/>
        <v>P000</v>
      </c>
    </row>
    <row r="1865" spans="1:36" x14ac:dyDescent="0.25">
      <c r="A1865" s="325" t="str">
        <f>CONCATENATE("P",'906MP'!M1565)</f>
        <v>P</v>
      </c>
      <c r="B1865">
        <f>'906MP'!H1565</f>
        <v>0</v>
      </c>
      <c r="C1865">
        <f>'906MP'!J1565</f>
        <v>0</v>
      </c>
      <c r="D1865">
        <f>'906MP'!P1565</f>
        <v>0</v>
      </c>
      <c r="E1865">
        <f>'906MP'!X1565</f>
        <v>0</v>
      </c>
      <c r="F1865" t="str">
        <f t="shared" si="561"/>
        <v>0</v>
      </c>
      <c r="G1865" t="str">
        <f t="shared" si="562"/>
        <v>0</v>
      </c>
      <c r="H1865">
        <f>'906MP'!Y1565</f>
        <v>0</v>
      </c>
      <c r="I1865">
        <f>'906MP'!AK1565</f>
        <v>0</v>
      </c>
      <c r="J1865">
        <f>'906MP'!T1565</f>
        <v>0</v>
      </c>
      <c r="K1865">
        <f>'906MP'!AJ1565</f>
        <v>0</v>
      </c>
      <c r="L1865">
        <f>'906MP'!U1565</f>
        <v>0</v>
      </c>
      <c r="M1865" s="322" t="str">
        <f>IFERROR(VLOOKUP(A1865,PAR!$D$3:$E$53,2,FALSE),"nincs szervezet")</f>
        <v>nincs szervezet</v>
      </c>
      <c r="N1865" s="322" t="str">
        <f>VLOOKUP(F1865,PAR!$R$3:$S$5,2,FALSE)</f>
        <v>3 - egyik sem</v>
      </c>
      <c r="O1865" t="str">
        <f>IFERROR(VLOOKUP(J1865,PAR!$O$3:$P$5,2,FALSE),"nincs feladat")</f>
        <v>nincs feladat</v>
      </c>
      <c r="P1865" t="str">
        <f>IFERROR(VLOOKUP(G1865,PAR!$J$2:$M$19,4),"nincs rovat")</f>
        <v>nincs rovat</v>
      </c>
      <c r="Q1865" t="str">
        <f>IF(H1865&gt;0,VLOOKUP(H1865,PAR!$AA$3:$AC$187,3,FALSE),"nincs főkönyvi számla")</f>
        <v>nincs főkönyvi számla</v>
      </c>
      <c r="R1865" t="str">
        <f>IFERROR(VLOOKUP(K1865,PAR!$V$3:$X$438,3,FALSE),"000000 - Nincs COFOG")</f>
        <v>000000 - Nincs COFOG</v>
      </c>
      <c r="S1865">
        <f t="shared" si="563"/>
        <v>0</v>
      </c>
      <c r="T1865">
        <f t="shared" si="564"/>
        <v>0</v>
      </c>
      <c r="U1865" t="str">
        <f>IF('906MP'!J1565&gt;0,CONCATENATE('906MP'!J1565," - ",'906MP'!P1565,", ",'906MP'!E1565),"nincs megjegyzés")</f>
        <v>nincs megjegyzés</v>
      </c>
      <c r="V1865" t="str">
        <f t="shared" si="551"/>
        <v>0P0</v>
      </c>
      <c r="W1865" t="str">
        <f t="shared" si="552"/>
        <v>0P0</v>
      </c>
      <c r="X1865" t="str">
        <f t="shared" si="553"/>
        <v>P0</v>
      </c>
      <c r="Y1865" t="str">
        <f t="shared" si="554"/>
        <v>00</v>
      </c>
      <c r="Z1865" t="str">
        <f t="shared" si="565"/>
        <v>00</v>
      </c>
      <c r="AA1865" t="str">
        <f t="shared" si="555"/>
        <v>00</v>
      </c>
      <c r="AB1865" t="str">
        <f t="shared" si="556"/>
        <v>00</v>
      </c>
      <c r="AC1865" t="str">
        <f t="shared" si="557"/>
        <v>0P0</v>
      </c>
      <c r="AD1865" t="str">
        <f t="shared" si="558"/>
        <v>P00</v>
      </c>
      <c r="AE1865" t="str">
        <f t="shared" si="559"/>
        <v>0P0</v>
      </c>
      <c r="AF1865" t="str">
        <f t="shared" si="560"/>
        <v>P00</v>
      </c>
      <c r="AG1865" t="str">
        <f t="shared" si="566"/>
        <v>0P00</v>
      </c>
      <c r="AH1865" t="str">
        <f t="shared" si="567"/>
        <v>P000</v>
      </c>
      <c r="AI1865" t="str">
        <f t="shared" si="568"/>
        <v>0P00</v>
      </c>
      <c r="AJ1865" t="str">
        <f t="shared" si="569"/>
        <v>P000</v>
      </c>
    </row>
    <row r="1866" spans="1:36" x14ac:dyDescent="0.25">
      <c r="A1866" s="325" t="str">
        <f>CONCATENATE("P",'906MP'!M1566)</f>
        <v>P</v>
      </c>
      <c r="B1866">
        <f>'906MP'!H1566</f>
        <v>0</v>
      </c>
      <c r="C1866">
        <f>'906MP'!J1566</f>
        <v>0</v>
      </c>
      <c r="D1866">
        <f>'906MP'!P1566</f>
        <v>0</v>
      </c>
      <c r="E1866">
        <f>'906MP'!X1566</f>
        <v>0</v>
      </c>
      <c r="F1866" t="str">
        <f t="shared" si="561"/>
        <v>0</v>
      </c>
      <c r="G1866" t="str">
        <f t="shared" si="562"/>
        <v>0</v>
      </c>
      <c r="H1866">
        <f>'906MP'!Y1566</f>
        <v>0</v>
      </c>
      <c r="I1866">
        <f>'906MP'!AK1566</f>
        <v>0</v>
      </c>
      <c r="J1866">
        <f>'906MP'!T1566</f>
        <v>0</v>
      </c>
      <c r="K1866">
        <f>'906MP'!AJ1566</f>
        <v>0</v>
      </c>
      <c r="L1866">
        <f>'906MP'!U1566</f>
        <v>0</v>
      </c>
      <c r="M1866" s="322" t="str">
        <f>IFERROR(VLOOKUP(A1866,PAR!$D$3:$E$53,2,FALSE),"nincs szervezet")</f>
        <v>nincs szervezet</v>
      </c>
      <c r="N1866" s="322" t="str">
        <f>VLOOKUP(F1866,PAR!$R$3:$S$5,2,FALSE)</f>
        <v>3 - egyik sem</v>
      </c>
      <c r="O1866" t="str">
        <f>IFERROR(VLOOKUP(J1866,PAR!$O$3:$P$5,2,FALSE),"nincs feladat")</f>
        <v>nincs feladat</v>
      </c>
      <c r="P1866" t="str">
        <f>IFERROR(VLOOKUP(G1866,PAR!$J$2:$M$19,4),"nincs rovat")</f>
        <v>nincs rovat</v>
      </c>
      <c r="Q1866" t="str">
        <f>IF(H1866&gt;0,VLOOKUP(H1866,PAR!$AA$3:$AC$187,3,FALSE),"nincs főkönyvi számla")</f>
        <v>nincs főkönyvi számla</v>
      </c>
      <c r="R1866" t="str">
        <f>IFERROR(VLOOKUP(K1866,PAR!$V$3:$X$438,3,FALSE),"000000 - Nincs COFOG")</f>
        <v>000000 - Nincs COFOG</v>
      </c>
      <c r="S1866">
        <f t="shared" si="563"/>
        <v>0</v>
      </c>
      <c r="T1866">
        <f t="shared" si="564"/>
        <v>0</v>
      </c>
      <c r="U1866" t="str">
        <f>IF('906MP'!J1566&gt;0,CONCATENATE('906MP'!J1566," - ",'906MP'!P1566,", ",'906MP'!E1566),"nincs megjegyzés")</f>
        <v>nincs megjegyzés</v>
      </c>
      <c r="V1866" t="str">
        <f t="shared" si="551"/>
        <v>0P0</v>
      </c>
      <c r="W1866" t="str">
        <f t="shared" si="552"/>
        <v>0P0</v>
      </c>
      <c r="X1866" t="str">
        <f t="shared" si="553"/>
        <v>P0</v>
      </c>
      <c r="Y1866" t="str">
        <f t="shared" si="554"/>
        <v>00</v>
      </c>
      <c r="Z1866" t="str">
        <f t="shared" si="565"/>
        <v>00</v>
      </c>
      <c r="AA1866" t="str">
        <f t="shared" si="555"/>
        <v>00</v>
      </c>
      <c r="AB1866" t="str">
        <f t="shared" si="556"/>
        <v>00</v>
      </c>
      <c r="AC1866" t="str">
        <f t="shared" si="557"/>
        <v>0P0</v>
      </c>
      <c r="AD1866" t="str">
        <f t="shared" si="558"/>
        <v>P00</v>
      </c>
      <c r="AE1866" t="str">
        <f t="shared" si="559"/>
        <v>0P0</v>
      </c>
      <c r="AF1866" t="str">
        <f t="shared" si="560"/>
        <v>P00</v>
      </c>
      <c r="AG1866" t="str">
        <f t="shared" si="566"/>
        <v>0P00</v>
      </c>
      <c r="AH1866" t="str">
        <f t="shared" si="567"/>
        <v>P000</v>
      </c>
      <c r="AI1866" t="str">
        <f t="shared" si="568"/>
        <v>0P00</v>
      </c>
      <c r="AJ1866" t="str">
        <f t="shared" si="569"/>
        <v>P000</v>
      </c>
    </row>
    <row r="1867" spans="1:36" x14ac:dyDescent="0.25">
      <c r="A1867" s="325" t="str">
        <f>CONCATENATE("P",'906MP'!M1567)</f>
        <v>P</v>
      </c>
      <c r="B1867">
        <f>'906MP'!H1567</f>
        <v>0</v>
      </c>
      <c r="C1867">
        <f>'906MP'!J1567</f>
        <v>0</v>
      </c>
      <c r="D1867">
        <f>'906MP'!P1567</f>
        <v>0</v>
      </c>
      <c r="E1867">
        <f>'906MP'!X1567</f>
        <v>0</v>
      </c>
      <c r="F1867" t="str">
        <f t="shared" si="561"/>
        <v>0</v>
      </c>
      <c r="G1867" t="str">
        <f t="shared" si="562"/>
        <v>0</v>
      </c>
      <c r="H1867">
        <f>'906MP'!Y1567</f>
        <v>0</v>
      </c>
      <c r="I1867">
        <f>'906MP'!AK1567</f>
        <v>0</v>
      </c>
      <c r="J1867">
        <f>'906MP'!T1567</f>
        <v>0</v>
      </c>
      <c r="K1867">
        <f>'906MP'!AJ1567</f>
        <v>0</v>
      </c>
      <c r="L1867">
        <f>'906MP'!U1567</f>
        <v>0</v>
      </c>
      <c r="M1867" s="322" t="str">
        <f>IFERROR(VLOOKUP(A1867,PAR!$D$3:$E$53,2,FALSE),"nincs szervezet")</f>
        <v>nincs szervezet</v>
      </c>
      <c r="N1867" s="322" t="str">
        <f>VLOOKUP(F1867,PAR!$R$3:$S$5,2,FALSE)</f>
        <v>3 - egyik sem</v>
      </c>
      <c r="O1867" t="str">
        <f>IFERROR(VLOOKUP(J1867,PAR!$O$3:$P$5,2,FALSE),"nincs feladat")</f>
        <v>nincs feladat</v>
      </c>
      <c r="P1867" t="str">
        <f>IFERROR(VLOOKUP(G1867,PAR!$J$2:$M$19,4),"nincs rovat")</f>
        <v>nincs rovat</v>
      </c>
      <c r="Q1867" t="str">
        <f>IF(H1867&gt;0,VLOOKUP(H1867,PAR!$AA$3:$AC$187,3,FALSE),"nincs főkönyvi számla")</f>
        <v>nincs főkönyvi számla</v>
      </c>
      <c r="R1867" t="str">
        <f>IFERROR(VLOOKUP(K1867,PAR!$V$3:$X$438,3,FALSE),"000000 - Nincs COFOG")</f>
        <v>000000 - Nincs COFOG</v>
      </c>
      <c r="S1867">
        <f t="shared" si="563"/>
        <v>0</v>
      </c>
      <c r="T1867">
        <f t="shared" si="564"/>
        <v>0</v>
      </c>
      <c r="U1867" t="str">
        <f>IF('906MP'!J1567&gt;0,CONCATENATE('906MP'!J1567," - ",'906MP'!P1567,", ",'906MP'!E1567),"nincs megjegyzés")</f>
        <v>nincs megjegyzés</v>
      </c>
      <c r="V1867" t="str">
        <f t="shared" si="551"/>
        <v>0P0</v>
      </c>
      <c r="W1867" t="str">
        <f t="shared" si="552"/>
        <v>0P0</v>
      </c>
      <c r="X1867" t="str">
        <f t="shared" si="553"/>
        <v>P0</v>
      </c>
      <c r="Y1867" t="str">
        <f t="shared" si="554"/>
        <v>00</v>
      </c>
      <c r="Z1867" t="str">
        <f t="shared" si="565"/>
        <v>00</v>
      </c>
      <c r="AA1867" t="str">
        <f t="shared" si="555"/>
        <v>00</v>
      </c>
      <c r="AB1867" t="str">
        <f t="shared" si="556"/>
        <v>00</v>
      </c>
      <c r="AC1867" t="str">
        <f t="shared" si="557"/>
        <v>0P0</v>
      </c>
      <c r="AD1867" t="str">
        <f t="shared" si="558"/>
        <v>P00</v>
      </c>
      <c r="AE1867" t="str">
        <f t="shared" si="559"/>
        <v>0P0</v>
      </c>
      <c r="AF1867" t="str">
        <f t="shared" si="560"/>
        <v>P00</v>
      </c>
      <c r="AG1867" t="str">
        <f t="shared" si="566"/>
        <v>0P00</v>
      </c>
      <c r="AH1867" t="str">
        <f t="shared" si="567"/>
        <v>P000</v>
      </c>
      <c r="AI1867" t="str">
        <f t="shared" si="568"/>
        <v>0P00</v>
      </c>
      <c r="AJ1867" t="str">
        <f t="shared" si="569"/>
        <v>P000</v>
      </c>
    </row>
    <row r="1868" spans="1:36" x14ac:dyDescent="0.25">
      <c r="A1868" s="325" t="str">
        <f>CONCATENATE("P",'906MP'!M1568)</f>
        <v>P</v>
      </c>
      <c r="B1868">
        <f>'906MP'!H1568</f>
        <v>0</v>
      </c>
      <c r="C1868">
        <f>'906MP'!J1568</f>
        <v>0</v>
      </c>
      <c r="D1868">
        <f>'906MP'!P1568</f>
        <v>0</v>
      </c>
      <c r="E1868">
        <f>'906MP'!X1568</f>
        <v>0</v>
      </c>
      <c r="F1868" t="str">
        <f t="shared" si="561"/>
        <v>0</v>
      </c>
      <c r="G1868" t="str">
        <f t="shared" si="562"/>
        <v>0</v>
      </c>
      <c r="H1868">
        <f>'906MP'!Y1568</f>
        <v>0</v>
      </c>
      <c r="I1868">
        <f>'906MP'!AK1568</f>
        <v>0</v>
      </c>
      <c r="J1868">
        <f>'906MP'!T1568</f>
        <v>0</v>
      </c>
      <c r="K1868">
        <f>'906MP'!AJ1568</f>
        <v>0</v>
      </c>
      <c r="L1868">
        <f>'906MP'!U1568</f>
        <v>0</v>
      </c>
      <c r="M1868" s="322" t="str">
        <f>IFERROR(VLOOKUP(A1868,PAR!$D$3:$E$53,2,FALSE),"nincs szervezet")</f>
        <v>nincs szervezet</v>
      </c>
      <c r="N1868" s="322" t="str">
        <f>VLOOKUP(F1868,PAR!$R$3:$S$5,2,FALSE)</f>
        <v>3 - egyik sem</v>
      </c>
      <c r="O1868" t="str">
        <f>IFERROR(VLOOKUP(J1868,PAR!$O$3:$P$5,2,FALSE),"nincs feladat")</f>
        <v>nincs feladat</v>
      </c>
      <c r="P1868" t="str">
        <f>IFERROR(VLOOKUP(G1868,PAR!$J$2:$M$19,4),"nincs rovat")</f>
        <v>nincs rovat</v>
      </c>
      <c r="Q1868" t="str">
        <f>IF(H1868&gt;0,VLOOKUP(H1868,PAR!$AA$3:$AC$187,3,FALSE),"nincs főkönyvi számla")</f>
        <v>nincs főkönyvi számla</v>
      </c>
      <c r="R1868" t="str">
        <f>IFERROR(VLOOKUP(K1868,PAR!$V$3:$X$438,3,FALSE),"000000 - Nincs COFOG")</f>
        <v>000000 - Nincs COFOG</v>
      </c>
      <c r="S1868">
        <f t="shared" si="563"/>
        <v>0</v>
      </c>
      <c r="T1868">
        <f t="shared" si="564"/>
        <v>0</v>
      </c>
      <c r="U1868" t="str">
        <f>IF('906MP'!J1568&gt;0,CONCATENATE('906MP'!J1568," - ",'906MP'!P1568,", ",'906MP'!E1568),"nincs megjegyzés")</f>
        <v>nincs megjegyzés</v>
      </c>
      <c r="V1868" t="str">
        <f t="shared" si="551"/>
        <v>0P0</v>
      </c>
      <c r="W1868" t="str">
        <f t="shared" si="552"/>
        <v>0P0</v>
      </c>
      <c r="X1868" t="str">
        <f t="shared" si="553"/>
        <v>P0</v>
      </c>
      <c r="Y1868" t="str">
        <f t="shared" si="554"/>
        <v>00</v>
      </c>
      <c r="Z1868" t="str">
        <f t="shared" si="565"/>
        <v>00</v>
      </c>
      <c r="AA1868" t="str">
        <f t="shared" si="555"/>
        <v>00</v>
      </c>
      <c r="AB1868" t="str">
        <f t="shared" si="556"/>
        <v>00</v>
      </c>
      <c r="AC1868" t="str">
        <f t="shared" si="557"/>
        <v>0P0</v>
      </c>
      <c r="AD1868" t="str">
        <f t="shared" si="558"/>
        <v>P00</v>
      </c>
      <c r="AE1868" t="str">
        <f t="shared" si="559"/>
        <v>0P0</v>
      </c>
      <c r="AF1868" t="str">
        <f t="shared" si="560"/>
        <v>P00</v>
      </c>
      <c r="AG1868" t="str">
        <f t="shared" si="566"/>
        <v>0P00</v>
      </c>
      <c r="AH1868" t="str">
        <f t="shared" si="567"/>
        <v>P000</v>
      </c>
      <c r="AI1868" t="str">
        <f t="shared" si="568"/>
        <v>0P00</v>
      </c>
      <c r="AJ1868" t="str">
        <f t="shared" si="569"/>
        <v>P000</v>
      </c>
    </row>
    <row r="1869" spans="1:36" x14ac:dyDescent="0.25">
      <c r="A1869" s="325" t="str">
        <f>CONCATENATE("P",'906MP'!M1569)</f>
        <v>P</v>
      </c>
      <c r="B1869">
        <f>'906MP'!H1569</f>
        <v>0</v>
      </c>
      <c r="C1869">
        <f>'906MP'!J1569</f>
        <v>0</v>
      </c>
      <c r="D1869">
        <f>'906MP'!P1569</f>
        <v>0</v>
      </c>
      <c r="E1869">
        <f>'906MP'!X1569</f>
        <v>0</v>
      </c>
      <c r="F1869" t="str">
        <f t="shared" si="561"/>
        <v>0</v>
      </c>
      <c r="G1869" t="str">
        <f t="shared" si="562"/>
        <v>0</v>
      </c>
      <c r="H1869">
        <f>'906MP'!Y1569</f>
        <v>0</v>
      </c>
      <c r="I1869">
        <f>'906MP'!AK1569</f>
        <v>0</v>
      </c>
      <c r="J1869">
        <f>'906MP'!T1569</f>
        <v>0</v>
      </c>
      <c r="K1869">
        <f>'906MP'!AJ1569</f>
        <v>0</v>
      </c>
      <c r="L1869">
        <f>'906MP'!U1569</f>
        <v>0</v>
      </c>
      <c r="M1869" s="322" t="str">
        <f>IFERROR(VLOOKUP(A1869,PAR!$D$3:$E$53,2,FALSE),"nincs szervezet")</f>
        <v>nincs szervezet</v>
      </c>
      <c r="N1869" s="322" t="str">
        <f>VLOOKUP(F1869,PAR!$R$3:$S$5,2,FALSE)</f>
        <v>3 - egyik sem</v>
      </c>
      <c r="O1869" t="str">
        <f>IFERROR(VLOOKUP(J1869,PAR!$O$3:$P$5,2,FALSE),"nincs feladat")</f>
        <v>nincs feladat</v>
      </c>
      <c r="P1869" t="str">
        <f>IFERROR(VLOOKUP(G1869,PAR!$J$2:$M$19,4),"nincs rovat")</f>
        <v>nincs rovat</v>
      </c>
      <c r="Q1869" t="str">
        <f>IF(H1869&gt;0,VLOOKUP(H1869,PAR!$AA$3:$AC$187,3,FALSE),"nincs főkönyvi számla")</f>
        <v>nincs főkönyvi számla</v>
      </c>
      <c r="R1869" t="str">
        <f>IFERROR(VLOOKUP(K1869,PAR!$V$3:$X$438,3,FALSE),"000000 - Nincs COFOG")</f>
        <v>000000 - Nincs COFOG</v>
      </c>
      <c r="S1869">
        <f t="shared" si="563"/>
        <v>0</v>
      </c>
      <c r="T1869">
        <f t="shared" si="564"/>
        <v>0</v>
      </c>
      <c r="U1869" t="str">
        <f>IF('906MP'!J1569&gt;0,CONCATENATE('906MP'!J1569," - ",'906MP'!P1569,", ",'906MP'!E1569),"nincs megjegyzés")</f>
        <v>nincs megjegyzés</v>
      </c>
      <c r="V1869" t="str">
        <f t="shared" si="551"/>
        <v>0P0</v>
      </c>
      <c r="W1869" t="str">
        <f t="shared" si="552"/>
        <v>0P0</v>
      </c>
      <c r="X1869" t="str">
        <f t="shared" si="553"/>
        <v>P0</v>
      </c>
      <c r="Y1869" t="str">
        <f t="shared" si="554"/>
        <v>00</v>
      </c>
      <c r="Z1869" t="str">
        <f t="shared" si="565"/>
        <v>00</v>
      </c>
      <c r="AA1869" t="str">
        <f t="shared" si="555"/>
        <v>00</v>
      </c>
      <c r="AB1869" t="str">
        <f t="shared" si="556"/>
        <v>00</v>
      </c>
      <c r="AC1869" t="str">
        <f t="shared" si="557"/>
        <v>0P0</v>
      </c>
      <c r="AD1869" t="str">
        <f t="shared" si="558"/>
        <v>P00</v>
      </c>
      <c r="AE1869" t="str">
        <f t="shared" si="559"/>
        <v>0P0</v>
      </c>
      <c r="AF1869" t="str">
        <f t="shared" si="560"/>
        <v>P00</v>
      </c>
      <c r="AG1869" t="str">
        <f t="shared" si="566"/>
        <v>0P00</v>
      </c>
      <c r="AH1869" t="str">
        <f t="shared" si="567"/>
        <v>P000</v>
      </c>
      <c r="AI1869" t="str">
        <f t="shared" si="568"/>
        <v>0P00</v>
      </c>
      <c r="AJ1869" t="str">
        <f t="shared" si="569"/>
        <v>P000</v>
      </c>
    </row>
    <row r="1870" spans="1:36" x14ac:dyDescent="0.25">
      <c r="A1870" s="325" t="str">
        <f>CONCATENATE("P",'906MP'!M1570)</f>
        <v>P</v>
      </c>
      <c r="B1870">
        <f>'906MP'!H1570</f>
        <v>0</v>
      </c>
      <c r="C1870">
        <f>'906MP'!J1570</f>
        <v>0</v>
      </c>
      <c r="D1870">
        <f>'906MP'!P1570</f>
        <v>0</v>
      </c>
      <c r="E1870">
        <f>'906MP'!X1570</f>
        <v>0</v>
      </c>
      <c r="F1870" t="str">
        <f t="shared" si="561"/>
        <v>0</v>
      </c>
      <c r="G1870" t="str">
        <f t="shared" si="562"/>
        <v>0</v>
      </c>
      <c r="H1870">
        <f>'906MP'!Y1570</f>
        <v>0</v>
      </c>
      <c r="I1870">
        <f>'906MP'!AK1570</f>
        <v>0</v>
      </c>
      <c r="J1870">
        <f>'906MP'!T1570</f>
        <v>0</v>
      </c>
      <c r="K1870">
        <f>'906MP'!AJ1570</f>
        <v>0</v>
      </c>
      <c r="L1870">
        <f>'906MP'!U1570</f>
        <v>0</v>
      </c>
      <c r="M1870" s="322" t="str">
        <f>IFERROR(VLOOKUP(A1870,PAR!$D$3:$E$53,2,FALSE),"nincs szervezet")</f>
        <v>nincs szervezet</v>
      </c>
      <c r="N1870" s="322" t="str">
        <f>VLOOKUP(F1870,PAR!$R$3:$S$5,2,FALSE)</f>
        <v>3 - egyik sem</v>
      </c>
      <c r="O1870" t="str">
        <f>IFERROR(VLOOKUP(J1870,PAR!$O$3:$P$5,2,FALSE),"nincs feladat")</f>
        <v>nincs feladat</v>
      </c>
      <c r="P1870" t="str">
        <f>IFERROR(VLOOKUP(G1870,PAR!$J$2:$M$19,4),"nincs rovat")</f>
        <v>nincs rovat</v>
      </c>
      <c r="Q1870" t="str">
        <f>IF(H1870&gt;0,VLOOKUP(H1870,PAR!$AA$3:$AC$187,3,FALSE),"nincs főkönyvi számla")</f>
        <v>nincs főkönyvi számla</v>
      </c>
      <c r="R1870" t="str">
        <f>IFERROR(VLOOKUP(K1870,PAR!$V$3:$X$438,3,FALSE),"000000 - Nincs COFOG")</f>
        <v>000000 - Nincs COFOG</v>
      </c>
      <c r="S1870">
        <f t="shared" si="563"/>
        <v>0</v>
      </c>
      <c r="T1870">
        <f t="shared" si="564"/>
        <v>0</v>
      </c>
      <c r="U1870" t="str">
        <f>IF('906MP'!J1570&gt;0,CONCATENATE('906MP'!J1570," - ",'906MP'!P1570,", ",'906MP'!E1570),"nincs megjegyzés")</f>
        <v>nincs megjegyzés</v>
      </c>
      <c r="V1870" t="str">
        <f t="shared" si="551"/>
        <v>0P0</v>
      </c>
      <c r="W1870" t="str">
        <f t="shared" si="552"/>
        <v>0P0</v>
      </c>
      <c r="X1870" t="str">
        <f t="shared" si="553"/>
        <v>P0</v>
      </c>
      <c r="Y1870" t="str">
        <f t="shared" si="554"/>
        <v>00</v>
      </c>
      <c r="Z1870" t="str">
        <f t="shared" si="565"/>
        <v>00</v>
      </c>
      <c r="AA1870" t="str">
        <f t="shared" si="555"/>
        <v>00</v>
      </c>
      <c r="AB1870" t="str">
        <f t="shared" si="556"/>
        <v>00</v>
      </c>
      <c r="AC1870" t="str">
        <f t="shared" si="557"/>
        <v>0P0</v>
      </c>
      <c r="AD1870" t="str">
        <f t="shared" si="558"/>
        <v>P00</v>
      </c>
      <c r="AE1870" t="str">
        <f t="shared" si="559"/>
        <v>0P0</v>
      </c>
      <c r="AF1870" t="str">
        <f t="shared" si="560"/>
        <v>P00</v>
      </c>
      <c r="AG1870" t="str">
        <f t="shared" si="566"/>
        <v>0P00</v>
      </c>
      <c r="AH1870" t="str">
        <f t="shared" si="567"/>
        <v>P000</v>
      </c>
      <c r="AI1870" t="str">
        <f t="shared" si="568"/>
        <v>0P00</v>
      </c>
      <c r="AJ1870" t="str">
        <f t="shared" si="569"/>
        <v>P000</v>
      </c>
    </row>
    <row r="1871" spans="1:36" x14ac:dyDescent="0.25">
      <c r="A1871" s="325" t="str">
        <f>CONCATENATE("P",'906MP'!M1571)</f>
        <v>P</v>
      </c>
      <c r="B1871">
        <f>'906MP'!H1571</f>
        <v>0</v>
      </c>
      <c r="C1871">
        <f>'906MP'!J1571</f>
        <v>0</v>
      </c>
      <c r="D1871">
        <f>'906MP'!P1571</f>
        <v>0</v>
      </c>
      <c r="E1871">
        <f>'906MP'!X1571</f>
        <v>0</v>
      </c>
      <c r="F1871" t="str">
        <f t="shared" si="561"/>
        <v>0</v>
      </c>
      <c r="G1871" t="str">
        <f t="shared" si="562"/>
        <v>0</v>
      </c>
      <c r="H1871">
        <f>'906MP'!Y1571</f>
        <v>0</v>
      </c>
      <c r="I1871">
        <f>'906MP'!AK1571</f>
        <v>0</v>
      </c>
      <c r="J1871">
        <f>'906MP'!T1571</f>
        <v>0</v>
      </c>
      <c r="K1871">
        <f>'906MP'!AJ1571</f>
        <v>0</v>
      </c>
      <c r="L1871">
        <f>'906MP'!U1571</f>
        <v>0</v>
      </c>
      <c r="M1871" s="322" t="str">
        <f>IFERROR(VLOOKUP(A1871,PAR!$D$3:$E$53,2,FALSE),"nincs szervezet")</f>
        <v>nincs szervezet</v>
      </c>
      <c r="N1871" s="322" t="str">
        <f>VLOOKUP(F1871,PAR!$R$3:$S$5,2,FALSE)</f>
        <v>3 - egyik sem</v>
      </c>
      <c r="O1871" t="str">
        <f>IFERROR(VLOOKUP(J1871,PAR!$O$3:$P$5,2,FALSE),"nincs feladat")</f>
        <v>nincs feladat</v>
      </c>
      <c r="P1871" t="str">
        <f>IFERROR(VLOOKUP(G1871,PAR!$J$2:$M$19,4),"nincs rovat")</f>
        <v>nincs rovat</v>
      </c>
      <c r="Q1871" t="str">
        <f>IF(H1871&gt;0,VLOOKUP(H1871,PAR!$AA$3:$AC$187,3,FALSE),"nincs főkönyvi számla")</f>
        <v>nincs főkönyvi számla</v>
      </c>
      <c r="R1871" t="str">
        <f>IFERROR(VLOOKUP(K1871,PAR!$V$3:$X$438,3,FALSE),"000000 - Nincs COFOG")</f>
        <v>000000 - Nincs COFOG</v>
      </c>
      <c r="S1871">
        <f t="shared" si="563"/>
        <v>0</v>
      </c>
      <c r="T1871">
        <f t="shared" si="564"/>
        <v>0</v>
      </c>
      <c r="U1871" t="str">
        <f>IF('906MP'!J1571&gt;0,CONCATENATE('906MP'!J1571," - ",'906MP'!P1571,", ",'906MP'!E1571),"nincs megjegyzés")</f>
        <v>nincs megjegyzés</v>
      </c>
      <c r="V1871" t="str">
        <f t="shared" si="551"/>
        <v>0P0</v>
      </c>
      <c r="W1871" t="str">
        <f t="shared" si="552"/>
        <v>0P0</v>
      </c>
      <c r="X1871" t="str">
        <f t="shared" si="553"/>
        <v>P0</v>
      </c>
      <c r="Y1871" t="str">
        <f t="shared" si="554"/>
        <v>00</v>
      </c>
      <c r="Z1871" t="str">
        <f t="shared" si="565"/>
        <v>00</v>
      </c>
      <c r="AA1871" t="str">
        <f t="shared" si="555"/>
        <v>00</v>
      </c>
      <c r="AB1871" t="str">
        <f t="shared" si="556"/>
        <v>00</v>
      </c>
      <c r="AC1871" t="str">
        <f t="shared" si="557"/>
        <v>0P0</v>
      </c>
      <c r="AD1871" t="str">
        <f t="shared" si="558"/>
        <v>P00</v>
      </c>
      <c r="AE1871" t="str">
        <f t="shared" si="559"/>
        <v>0P0</v>
      </c>
      <c r="AF1871" t="str">
        <f t="shared" si="560"/>
        <v>P00</v>
      </c>
      <c r="AG1871" t="str">
        <f t="shared" si="566"/>
        <v>0P00</v>
      </c>
      <c r="AH1871" t="str">
        <f t="shared" si="567"/>
        <v>P000</v>
      </c>
      <c r="AI1871" t="str">
        <f t="shared" si="568"/>
        <v>0P00</v>
      </c>
      <c r="AJ1871" t="str">
        <f t="shared" si="569"/>
        <v>P000</v>
      </c>
    </row>
    <row r="1872" spans="1:36" x14ac:dyDescent="0.25">
      <c r="A1872" s="325" t="str">
        <f>CONCATENATE("P",'906MP'!M1572)</f>
        <v>P</v>
      </c>
      <c r="B1872">
        <f>'906MP'!H1572</f>
        <v>0</v>
      </c>
      <c r="C1872">
        <f>'906MP'!J1572</f>
        <v>0</v>
      </c>
      <c r="D1872">
        <f>'906MP'!P1572</f>
        <v>0</v>
      </c>
      <c r="E1872">
        <f>'906MP'!X1572</f>
        <v>0</v>
      </c>
      <c r="F1872" t="str">
        <f t="shared" si="561"/>
        <v>0</v>
      </c>
      <c r="G1872" t="str">
        <f t="shared" si="562"/>
        <v>0</v>
      </c>
      <c r="H1872">
        <f>'906MP'!Y1572</f>
        <v>0</v>
      </c>
      <c r="I1872">
        <f>'906MP'!AK1572</f>
        <v>0</v>
      </c>
      <c r="J1872">
        <f>'906MP'!T1572</f>
        <v>0</v>
      </c>
      <c r="K1872">
        <f>'906MP'!AJ1572</f>
        <v>0</v>
      </c>
      <c r="L1872">
        <f>'906MP'!U1572</f>
        <v>0</v>
      </c>
      <c r="M1872" s="322" t="str">
        <f>IFERROR(VLOOKUP(A1872,PAR!$D$3:$E$53,2,FALSE),"nincs szervezet")</f>
        <v>nincs szervezet</v>
      </c>
      <c r="N1872" s="322" t="str">
        <f>VLOOKUP(F1872,PAR!$R$3:$S$5,2,FALSE)</f>
        <v>3 - egyik sem</v>
      </c>
      <c r="O1872" t="str">
        <f>IFERROR(VLOOKUP(J1872,PAR!$O$3:$P$5,2,FALSE),"nincs feladat")</f>
        <v>nincs feladat</v>
      </c>
      <c r="P1872" t="str">
        <f>IFERROR(VLOOKUP(G1872,PAR!$J$2:$M$19,4),"nincs rovat")</f>
        <v>nincs rovat</v>
      </c>
      <c r="Q1872" t="str">
        <f>IF(H1872&gt;0,VLOOKUP(H1872,PAR!$AA$3:$AC$187,3,FALSE),"nincs főkönyvi számla")</f>
        <v>nincs főkönyvi számla</v>
      </c>
      <c r="R1872" t="str">
        <f>IFERROR(VLOOKUP(K1872,PAR!$V$3:$X$438,3,FALSE),"000000 - Nincs COFOG")</f>
        <v>000000 - Nincs COFOG</v>
      </c>
      <c r="S1872">
        <f t="shared" si="563"/>
        <v>0</v>
      </c>
      <c r="T1872">
        <f t="shared" si="564"/>
        <v>0</v>
      </c>
      <c r="U1872" t="str">
        <f>IF('906MP'!J1572&gt;0,CONCATENATE('906MP'!J1572," - ",'906MP'!P1572,", ",'906MP'!E1572),"nincs megjegyzés")</f>
        <v>nincs megjegyzés</v>
      </c>
      <c r="V1872" t="str">
        <f t="shared" si="551"/>
        <v>0P0</v>
      </c>
      <c r="W1872" t="str">
        <f t="shared" si="552"/>
        <v>0P0</v>
      </c>
      <c r="X1872" t="str">
        <f t="shared" si="553"/>
        <v>P0</v>
      </c>
      <c r="Y1872" t="str">
        <f t="shared" si="554"/>
        <v>00</v>
      </c>
      <c r="Z1872" t="str">
        <f t="shared" si="565"/>
        <v>00</v>
      </c>
      <c r="AA1872" t="str">
        <f t="shared" si="555"/>
        <v>00</v>
      </c>
      <c r="AB1872" t="str">
        <f t="shared" si="556"/>
        <v>00</v>
      </c>
      <c r="AC1872" t="str">
        <f t="shared" si="557"/>
        <v>0P0</v>
      </c>
      <c r="AD1872" t="str">
        <f t="shared" si="558"/>
        <v>P00</v>
      </c>
      <c r="AE1872" t="str">
        <f t="shared" si="559"/>
        <v>0P0</v>
      </c>
      <c r="AF1872" t="str">
        <f t="shared" si="560"/>
        <v>P00</v>
      </c>
      <c r="AG1872" t="str">
        <f t="shared" si="566"/>
        <v>0P00</v>
      </c>
      <c r="AH1872" t="str">
        <f t="shared" si="567"/>
        <v>P000</v>
      </c>
      <c r="AI1872" t="str">
        <f t="shared" si="568"/>
        <v>0P00</v>
      </c>
      <c r="AJ1872" t="str">
        <f t="shared" si="569"/>
        <v>P000</v>
      </c>
    </row>
    <row r="1873" spans="1:36" x14ac:dyDescent="0.25">
      <c r="A1873" s="325" t="str">
        <f>CONCATENATE("P",'906MP'!M1573)</f>
        <v>P</v>
      </c>
      <c r="B1873">
        <f>'906MP'!H1573</f>
        <v>0</v>
      </c>
      <c r="C1873">
        <f>'906MP'!J1573</f>
        <v>0</v>
      </c>
      <c r="D1873">
        <f>'906MP'!P1573</f>
        <v>0</v>
      </c>
      <c r="E1873">
        <f>'906MP'!X1573</f>
        <v>0</v>
      </c>
      <c r="F1873" t="str">
        <f t="shared" si="561"/>
        <v>0</v>
      </c>
      <c r="G1873" t="str">
        <f t="shared" si="562"/>
        <v>0</v>
      </c>
      <c r="H1873">
        <f>'906MP'!Y1573</f>
        <v>0</v>
      </c>
      <c r="I1873">
        <f>'906MP'!AK1573</f>
        <v>0</v>
      </c>
      <c r="J1873">
        <f>'906MP'!T1573</f>
        <v>0</v>
      </c>
      <c r="K1873">
        <f>'906MP'!AJ1573</f>
        <v>0</v>
      </c>
      <c r="L1873">
        <f>'906MP'!U1573</f>
        <v>0</v>
      </c>
      <c r="M1873" s="322" t="str">
        <f>IFERROR(VLOOKUP(A1873,PAR!$D$3:$E$53,2,FALSE),"nincs szervezet")</f>
        <v>nincs szervezet</v>
      </c>
      <c r="N1873" s="322" t="str">
        <f>VLOOKUP(F1873,PAR!$R$3:$S$5,2,FALSE)</f>
        <v>3 - egyik sem</v>
      </c>
      <c r="O1873" t="str">
        <f>IFERROR(VLOOKUP(J1873,PAR!$O$3:$P$5,2,FALSE),"nincs feladat")</f>
        <v>nincs feladat</v>
      </c>
      <c r="P1873" t="str">
        <f>IFERROR(VLOOKUP(G1873,PAR!$J$2:$M$19,4),"nincs rovat")</f>
        <v>nincs rovat</v>
      </c>
      <c r="Q1873" t="str">
        <f>IF(H1873&gt;0,VLOOKUP(H1873,PAR!$AA$3:$AC$187,3,FALSE),"nincs főkönyvi számla")</f>
        <v>nincs főkönyvi számla</v>
      </c>
      <c r="R1873" t="str">
        <f>IFERROR(VLOOKUP(K1873,PAR!$V$3:$X$438,3,FALSE),"000000 - Nincs COFOG")</f>
        <v>000000 - Nincs COFOG</v>
      </c>
      <c r="S1873">
        <f t="shared" si="563"/>
        <v>0</v>
      </c>
      <c r="T1873">
        <f t="shared" si="564"/>
        <v>0</v>
      </c>
      <c r="U1873" t="str">
        <f>IF('906MP'!J1573&gt;0,CONCATENATE('906MP'!J1573," - ",'906MP'!P1573,", ",'906MP'!E1573),"nincs megjegyzés")</f>
        <v>nincs megjegyzés</v>
      </c>
      <c r="V1873" t="str">
        <f t="shared" si="551"/>
        <v>0P0</v>
      </c>
      <c r="W1873" t="str">
        <f t="shared" si="552"/>
        <v>0P0</v>
      </c>
      <c r="X1873" t="str">
        <f t="shared" si="553"/>
        <v>P0</v>
      </c>
      <c r="Y1873" t="str">
        <f t="shared" si="554"/>
        <v>00</v>
      </c>
      <c r="Z1873" t="str">
        <f t="shared" si="565"/>
        <v>00</v>
      </c>
      <c r="AA1873" t="str">
        <f t="shared" si="555"/>
        <v>00</v>
      </c>
      <c r="AB1873" t="str">
        <f t="shared" si="556"/>
        <v>00</v>
      </c>
      <c r="AC1873" t="str">
        <f t="shared" si="557"/>
        <v>0P0</v>
      </c>
      <c r="AD1873" t="str">
        <f t="shared" si="558"/>
        <v>P00</v>
      </c>
      <c r="AE1873" t="str">
        <f t="shared" si="559"/>
        <v>0P0</v>
      </c>
      <c r="AF1873" t="str">
        <f t="shared" si="560"/>
        <v>P00</v>
      </c>
      <c r="AG1873" t="str">
        <f t="shared" si="566"/>
        <v>0P00</v>
      </c>
      <c r="AH1873" t="str">
        <f t="shared" si="567"/>
        <v>P000</v>
      </c>
      <c r="AI1873" t="str">
        <f t="shared" si="568"/>
        <v>0P00</v>
      </c>
      <c r="AJ1873" t="str">
        <f t="shared" si="569"/>
        <v>P000</v>
      </c>
    </row>
    <row r="1874" spans="1:36" x14ac:dyDescent="0.25">
      <c r="A1874" s="325" t="str">
        <f>CONCATENATE("P",'906MP'!M1574)</f>
        <v>P</v>
      </c>
      <c r="B1874">
        <f>'906MP'!H1574</f>
        <v>0</v>
      </c>
      <c r="C1874">
        <f>'906MP'!J1574</f>
        <v>0</v>
      </c>
      <c r="D1874">
        <f>'906MP'!P1574</f>
        <v>0</v>
      </c>
      <c r="E1874">
        <f>'906MP'!X1574</f>
        <v>0</v>
      </c>
      <c r="F1874" t="str">
        <f t="shared" si="561"/>
        <v>0</v>
      </c>
      <c r="G1874" t="str">
        <f t="shared" si="562"/>
        <v>0</v>
      </c>
      <c r="H1874">
        <f>'906MP'!Y1574</f>
        <v>0</v>
      </c>
      <c r="I1874">
        <f>'906MP'!AK1574</f>
        <v>0</v>
      </c>
      <c r="J1874">
        <f>'906MP'!T1574</f>
        <v>0</v>
      </c>
      <c r="K1874">
        <f>'906MP'!AJ1574</f>
        <v>0</v>
      </c>
      <c r="L1874">
        <f>'906MP'!U1574</f>
        <v>0</v>
      </c>
      <c r="M1874" s="322" t="str">
        <f>IFERROR(VLOOKUP(A1874,PAR!$D$3:$E$53,2,FALSE),"nincs szervezet")</f>
        <v>nincs szervezet</v>
      </c>
      <c r="N1874" s="322" t="str">
        <f>VLOOKUP(F1874,PAR!$R$3:$S$5,2,FALSE)</f>
        <v>3 - egyik sem</v>
      </c>
      <c r="O1874" t="str">
        <f>IFERROR(VLOOKUP(J1874,PAR!$O$3:$P$5,2,FALSE),"nincs feladat")</f>
        <v>nincs feladat</v>
      </c>
      <c r="P1874" t="str">
        <f>IFERROR(VLOOKUP(G1874,PAR!$J$2:$M$19,4),"nincs rovat")</f>
        <v>nincs rovat</v>
      </c>
      <c r="Q1874" t="str">
        <f>IF(H1874&gt;0,VLOOKUP(H1874,PAR!$AA$3:$AC$187,3,FALSE),"nincs főkönyvi számla")</f>
        <v>nincs főkönyvi számla</v>
      </c>
      <c r="R1874" t="str">
        <f>IFERROR(VLOOKUP(K1874,PAR!$V$3:$X$438,3,FALSE),"000000 - Nincs COFOG")</f>
        <v>000000 - Nincs COFOG</v>
      </c>
      <c r="S1874">
        <f t="shared" si="563"/>
        <v>0</v>
      </c>
      <c r="T1874">
        <f t="shared" si="564"/>
        <v>0</v>
      </c>
      <c r="U1874" t="str">
        <f>IF('906MP'!J1574&gt;0,CONCATENATE('906MP'!J1574," - ",'906MP'!P1574,", ",'906MP'!E1574),"nincs megjegyzés")</f>
        <v>nincs megjegyzés</v>
      </c>
      <c r="V1874" t="str">
        <f t="shared" si="551"/>
        <v>0P0</v>
      </c>
      <c r="W1874" t="str">
        <f t="shared" si="552"/>
        <v>0P0</v>
      </c>
      <c r="X1874" t="str">
        <f t="shared" si="553"/>
        <v>P0</v>
      </c>
      <c r="Y1874" t="str">
        <f t="shared" si="554"/>
        <v>00</v>
      </c>
      <c r="Z1874" t="str">
        <f t="shared" si="565"/>
        <v>00</v>
      </c>
      <c r="AA1874" t="str">
        <f t="shared" si="555"/>
        <v>00</v>
      </c>
      <c r="AB1874" t="str">
        <f t="shared" si="556"/>
        <v>00</v>
      </c>
      <c r="AC1874" t="str">
        <f t="shared" si="557"/>
        <v>0P0</v>
      </c>
      <c r="AD1874" t="str">
        <f t="shared" si="558"/>
        <v>P00</v>
      </c>
      <c r="AE1874" t="str">
        <f t="shared" si="559"/>
        <v>0P0</v>
      </c>
      <c r="AF1874" t="str">
        <f t="shared" si="560"/>
        <v>P00</v>
      </c>
      <c r="AG1874" t="str">
        <f t="shared" si="566"/>
        <v>0P00</v>
      </c>
      <c r="AH1874" t="str">
        <f t="shared" si="567"/>
        <v>P000</v>
      </c>
      <c r="AI1874" t="str">
        <f t="shared" si="568"/>
        <v>0P00</v>
      </c>
      <c r="AJ1874" t="str">
        <f t="shared" si="569"/>
        <v>P000</v>
      </c>
    </row>
    <row r="1875" spans="1:36" x14ac:dyDescent="0.25">
      <c r="A1875" s="325" t="str">
        <f>CONCATENATE("P",'906MP'!M1575)</f>
        <v>P</v>
      </c>
      <c r="B1875">
        <f>'906MP'!H1575</f>
        <v>0</v>
      </c>
      <c r="C1875">
        <f>'906MP'!J1575</f>
        <v>0</v>
      </c>
      <c r="D1875">
        <f>'906MP'!P1575</f>
        <v>0</v>
      </c>
      <c r="E1875">
        <f>'906MP'!X1575</f>
        <v>0</v>
      </c>
      <c r="F1875" t="str">
        <f t="shared" si="561"/>
        <v>0</v>
      </c>
      <c r="G1875" t="str">
        <f t="shared" si="562"/>
        <v>0</v>
      </c>
      <c r="H1875">
        <f>'906MP'!Y1575</f>
        <v>0</v>
      </c>
      <c r="I1875">
        <f>'906MP'!AK1575</f>
        <v>0</v>
      </c>
      <c r="J1875">
        <f>'906MP'!T1575</f>
        <v>0</v>
      </c>
      <c r="K1875">
        <f>'906MP'!AJ1575</f>
        <v>0</v>
      </c>
      <c r="L1875">
        <f>'906MP'!U1575</f>
        <v>0</v>
      </c>
      <c r="M1875" s="322" t="str">
        <f>IFERROR(VLOOKUP(A1875,PAR!$D$3:$E$53,2,FALSE),"nincs szervezet")</f>
        <v>nincs szervezet</v>
      </c>
      <c r="N1875" s="322" t="str">
        <f>VLOOKUP(F1875,PAR!$R$3:$S$5,2,FALSE)</f>
        <v>3 - egyik sem</v>
      </c>
      <c r="O1875" t="str">
        <f>IFERROR(VLOOKUP(J1875,PAR!$O$3:$P$5,2,FALSE),"nincs feladat")</f>
        <v>nincs feladat</v>
      </c>
      <c r="P1875" t="str">
        <f>IFERROR(VLOOKUP(G1875,PAR!$J$2:$M$19,4),"nincs rovat")</f>
        <v>nincs rovat</v>
      </c>
      <c r="Q1875" t="str">
        <f>IF(H1875&gt;0,VLOOKUP(H1875,PAR!$AA$3:$AC$187,3,FALSE),"nincs főkönyvi számla")</f>
        <v>nincs főkönyvi számla</v>
      </c>
      <c r="R1875" t="str">
        <f>IFERROR(VLOOKUP(K1875,PAR!$V$3:$X$438,3,FALSE),"000000 - Nincs COFOG")</f>
        <v>000000 - Nincs COFOG</v>
      </c>
      <c r="S1875">
        <f t="shared" si="563"/>
        <v>0</v>
      </c>
      <c r="T1875">
        <f t="shared" si="564"/>
        <v>0</v>
      </c>
      <c r="U1875" t="str">
        <f>IF('906MP'!J1575&gt;0,CONCATENATE('906MP'!J1575," - ",'906MP'!P1575,", ",'906MP'!E1575),"nincs megjegyzés")</f>
        <v>nincs megjegyzés</v>
      </c>
      <c r="V1875" t="str">
        <f t="shared" si="551"/>
        <v>0P0</v>
      </c>
      <c r="W1875" t="str">
        <f t="shared" si="552"/>
        <v>0P0</v>
      </c>
      <c r="X1875" t="str">
        <f t="shared" si="553"/>
        <v>P0</v>
      </c>
      <c r="Y1875" t="str">
        <f t="shared" si="554"/>
        <v>00</v>
      </c>
      <c r="Z1875" t="str">
        <f t="shared" si="565"/>
        <v>00</v>
      </c>
      <c r="AA1875" t="str">
        <f t="shared" si="555"/>
        <v>00</v>
      </c>
      <c r="AB1875" t="str">
        <f t="shared" si="556"/>
        <v>00</v>
      </c>
      <c r="AC1875" t="str">
        <f t="shared" si="557"/>
        <v>0P0</v>
      </c>
      <c r="AD1875" t="str">
        <f t="shared" si="558"/>
        <v>P00</v>
      </c>
      <c r="AE1875" t="str">
        <f t="shared" si="559"/>
        <v>0P0</v>
      </c>
      <c r="AF1875" t="str">
        <f t="shared" si="560"/>
        <v>P00</v>
      </c>
      <c r="AG1875" t="str">
        <f t="shared" si="566"/>
        <v>0P00</v>
      </c>
      <c r="AH1875" t="str">
        <f t="shared" si="567"/>
        <v>P000</v>
      </c>
      <c r="AI1875" t="str">
        <f t="shared" si="568"/>
        <v>0P00</v>
      </c>
      <c r="AJ1875" t="str">
        <f t="shared" si="569"/>
        <v>P000</v>
      </c>
    </row>
    <row r="1876" spans="1:36" x14ac:dyDescent="0.25">
      <c r="A1876" s="325" t="str">
        <f>CONCATENATE("P",'906MP'!M1576)</f>
        <v>P</v>
      </c>
      <c r="B1876">
        <f>'906MP'!H1576</f>
        <v>0</v>
      </c>
      <c r="C1876">
        <f>'906MP'!J1576</f>
        <v>0</v>
      </c>
      <c r="D1876">
        <f>'906MP'!P1576</f>
        <v>0</v>
      </c>
      <c r="E1876">
        <f>'906MP'!X1576</f>
        <v>0</v>
      </c>
      <c r="F1876" t="str">
        <f t="shared" si="561"/>
        <v>0</v>
      </c>
      <c r="G1876" t="str">
        <f t="shared" si="562"/>
        <v>0</v>
      </c>
      <c r="H1876">
        <f>'906MP'!Y1576</f>
        <v>0</v>
      </c>
      <c r="I1876">
        <f>'906MP'!AK1576</f>
        <v>0</v>
      </c>
      <c r="J1876">
        <f>'906MP'!T1576</f>
        <v>0</v>
      </c>
      <c r="K1876">
        <f>'906MP'!AJ1576</f>
        <v>0</v>
      </c>
      <c r="L1876">
        <f>'906MP'!U1576</f>
        <v>0</v>
      </c>
      <c r="M1876" s="322" t="str">
        <f>IFERROR(VLOOKUP(A1876,PAR!$D$3:$E$53,2,FALSE),"nincs szervezet")</f>
        <v>nincs szervezet</v>
      </c>
      <c r="N1876" s="322" t="str">
        <f>VLOOKUP(F1876,PAR!$R$3:$S$5,2,FALSE)</f>
        <v>3 - egyik sem</v>
      </c>
      <c r="O1876" t="str">
        <f>IFERROR(VLOOKUP(J1876,PAR!$O$3:$P$5,2,FALSE),"nincs feladat")</f>
        <v>nincs feladat</v>
      </c>
      <c r="P1876" t="str">
        <f>IFERROR(VLOOKUP(G1876,PAR!$J$2:$M$19,4),"nincs rovat")</f>
        <v>nincs rovat</v>
      </c>
      <c r="Q1876" t="str">
        <f>IF(H1876&gt;0,VLOOKUP(H1876,PAR!$AA$3:$AC$187,3,FALSE),"nincs főkönyvi számla")</f>
        <v>nincs főkönyvi számla</v>
      </c>
      <c r="R1876" t="str">
        <f>IFERROR(VLOOKUP(K1876,PAR!$V$3:$X$438,3,FALSE),"000000 - Nincs COFOG")</f>
        <v>000000 - Nincs COFOG</v>
      </c>
      <c r="S1876">
        <f t="shared" si="563"/>
        <v>0</v>
      </c>
      <c r="T1876">
        <f t="shared" si="564"/>
        <v>0</v>
      </c>
      <c r="U1876" t="str">
        <f>IF('906MP'!J1576&gt;0,CONCATENATE('906MP'!J1576," - ",'906MP'!P1576,", ",'906MP'!E1576),"nincs megjegyzés")</f>
        <v>nincs megjegyzés</v>
      </c>
      <c r="V1876" t="str">
        <f t="shared" si="551"/>
        <v>0P0</v>
      </c>
      <c r="W1876" t="str">
        <f t="shared" si="552"/>
        <v>0P0</v>
      </c>
      <c r="X1876" t="str">
        <f t="shared" si="553"/>
        <v>P0</v>
      </c>
      <c r="Y1876" t="str">
        <f t="shared" si="554"/>
        <v>00</v>
      </c>
      <c r="Z1876" t="str">
        <f t="shared" si="565"/>
        <v>00</v>
      </c>
      <c r="AA1876" t="str">
        <f t="shared" si="555"/>
        <v>00</v>
      </c>
      <c r="AB1876" t="str">
        <f t="shared" si="556"/>
        <v>00</v>
      </c>
      <c r="AC1876" t="str">
        <f t="shared" si="557"/>
        <v>0P0</v>
      </c>
      <c r="AD1876" t="str">
        <f t="shared" si="558"/>
        <v>P00</v>
      </c>
      <c r="AE1876" t="str">
        <f t="shared" si="559"/>
        <v>0P0</v>
      </c>
      <c r="AF1876" t="str">
        <f t="shared" si="560"/>
        <v>P00</v>
      </c>
      <c r="AG1876" t="str">
        <f t="shared" si="566"/>
        <v>0P00</v>
      </c>
      <c r="AH1876" t="str">
        <f t="shared" si="567"/>
        <v>P000</v>
      </c>
      <c r="AI1876" t="str">
        <f t="shared" si="568"/>
        <v>0P00</v>
      </c>
      <c r="AJ1876" t="str">
        <f t="shared" si="569"/>
        <v>P000</v>
      </c>
    </row>
    <row r="1877" spans="1:36" x14ac:dyDescent="0.25">
      <c r="A1877" s="325" t="str">
        <f>CONCATENATE("P",'906MP'!M1577)</f>
        <v>P</v>
      </c>
      <c r="B1877">
        <f>'906MP'!H1577</f>
        <v>0</v>
      </c>
      <c r="C1877">
        <f>'906MP'!J1577</f>
        <v>0</v>
      </c>
      <c r="D1877">
        <f>'906MP'!P1577</f>
        <v>0</v>
      </c>
      <c r="E1877">
        <f>'906MP'!X1577</f>
        <v>0</v>
      </c>
      <c r="F1877" t="str">
        <f t="shared" si="561"/>
        <v>0</v>
      </c>
      <c r="G1877" t="str">
        <f t="shared" si="562"/>
        <v>0</v>
      </c>
      <c r="H1877">
        <f>'906MP'!Y1577</f>
        <v>0</v>
      </c>
      <c r="I1877">
        <f>'906MP'!AK1577</f>
        <v>0</v>
      </c>
      <c r="J1877">
        <f>'906MP'!T1577</f>
        <v>0</v>
      </c>
      <c r="K1877">
        <f>'906MP'!AJ1577</f>
        <v>0</v>
      </c>
      <c r="L1877">
        <f>'906MP'!U1577</f>
        <v>0</v>
      </c>
      <c r="M1877" s="322" t="str">
        <f>IFERROR(VLOOKUP(A1877,PAR!$D$3:$E$53,2,FALSE),"nincs szervezet")</f>
        <v>nincs szervezet</v>
      </c>
      <c r="N1877" s="322" t="str">
        <f>VLOOKUP(F1877,PAR!$R$3:$S$5,2,FALSE)</f>
        <v>3 - egyik sem</v>
      </c>
      <c r="O1877" t="str">
        <f>IFERROR(VLOOKUP(J1877,PAR!$O$3:$P$5,2,FALSE),"nincs feladat")</f>
        <v>nincs feladat</v>
      </c>
      <c r="P1877" t="str">
        <f>IFERROR(VLOOKUP(G1877,PAR!$J$2:$M$19,4),"nincs rovat")</f>
        <v>nincs rovat</v>
      </c>
      <c r="Q1877" t="str">
        <f>IF(H1877&gt;0,VLOOKUP(H1877,PAR!$AA$3:$AC$187,3,FALSE),"nincs főkönyvi számla")</f>
        <v>nincs főkönyvi számla</v>
      </c>
      <c r="R1877" t="str">
        <f>IFERROR(VLOOKUP(K1877,PAR!$V$3:$X$438,3,FALSE),"000000 - Nincs COFOG")</f>
        <v>000000 - Nincs COFOG</v>
      </c>
      <c r="S1877">
        <f t="shared" si="563"/>
        <v>0</v>
      </c>
      <c r="T1877">
        <f t="shared" si="564"/>
        <v>0</v>
      </c>
      <c r="U1877" t="str">
        <f>IF('906MP'!J1577&gt;0,CONCATENATE('906MP'!J1577," - ",'906MP'!P1577,", ",'906MP'!E1577),"nincs megjegyzés")</f>
        <v>nincs megjegyzés</v>
      </c>
      <c r="V1877" t="str">
        <f t="shared" si="551"/>
        <v>0P0</v>
      </c>
      <c r="W1877" t="str">
        <f t="shared" si="552"/>
        <v>0P0</v>
      </c>
      <c r="X1877" t="str">
        <f t="shared" si="553"/>
        <v>P0</v>
      </c>
      <c r="Y1877" t="str">
        <f t="shared" si="554"/>
        <v>00</v>
      </c>
      <c r="Z1877" t="str">
        <f t="shared" si="565"/>
        <v>00</v>
      </c>
      <c r="AA1877" t="str">
        <f t="shared" si="555"/>
        <v>00</v>
      </c>
      <c r="AB1877" t="str">
        <f t="shared" si="556"/>
        <v>00</v>
      </c>
      <c r="AC1877" t="str">
        <f t="shared" si="557"/>
        <v>0P0</v>
      </c>
      <c r="AD1877" t="str">
        <f t="shared" si="558"/>
        <v>P00</v>
      </c>
      <c r="AE1877" t="str">
        <f t="shared" si="559"/>
        <v>0P0</v>
      </c>
      <c r="AF1877" t="str">
        <f t="shared" si="560"/>
        <v>P00</v>
      </c>
      <c r="AG1877" t="str">
        <f t="shared" si="566"/>
        <v>0P00</v>
      </c>
      <c r="AH1877" t="str">
        <f t="shared" si="567"/>
        <v>P000</v>
      </c>
      <c r="AI1877" t="str">
        <f t="shared" si="568"/>
        <v>0P00</v>
      </c>
      <c r="AJ1877" t="str">
        <f t="shared" si="569"/>
        <v>P000</v>
      </c>
    </row>
    <row r="1878" spans="1:36" x14ac:dyDescent="0.25">
      <c r="A1878" s="325" t="str">
        <f>CONCATENATE("P",'906MP'!M1578)</f>
        <v>P</v>
      </c>
      <c r="B1878">
        <f>'906MP'!H1578</f>
        <v>0</v>
      </c>
      <c r="C1878">
        <f>'906MP'!J1578</f>
        <v>0</v>
      </c>
      <c r="D1878">
        <f>'906MP'!P1578</f>
        <v>0</v>
      </c>
      <c r="E1878">
        <f>'906MP'!X1578</f>
        <v>0</v>
      </c>
      <c r="F1878" t="str">
        <f t="shared" si="561"/>
        <v>0</v>
      </c>
      <c r="G1878" t="str">
        <f t="shared" si="562"/>
        <v>0</v>
      </c>
      <c r="H1878">
        <f>'906MP'!Y1578</f>
        <v>0</v>
      </c>
      <c r="I1878">
        <f>'906MP'!AK1578</f>
        <v>0</v>
      </c>
      <c r="J1878">
        <f>'906MP'!T1578</f>
        <v>0</v>
      </c>
      <c r="K1878">
        <f>'906MP'!AJ1578</f>
        <v>0</v>
      </c>
      <c r="L1878">
        <f>'906MP'!U1578</f>
        <v>0</v>
      </c>
      <c r="M1878" s="322" t="str">
        <f>IFERROR(VLOOKUP(A1878,PAR!$D$3:$E$53,2,FALSE),"nincs szervezet")</f>
        <v>nincs szervezet</v>
      </c>
      <c r="N1878" s="322" t="str">
        <f>VLOOKUP(F1878,PAR!$R$3:$S$5,2,FALSE)</f>
        <v>3 - egyik sem</v>
      </c>
      <c r="O1878" t="str">
        <f>IFERROR(VLOOKUP(J1878,PAR!$O$3:$P$5,2,FALSE),"nincs feladat")</f>
        <v>nincs feladat</v>
      </c>
      <c r="P1878" t="str">
        <f>IFERROR(VLOOKUP(G1878,PAR!$J$2:$M$19,4),"nincs rovat")</f>
        <v>nincs rovat</v>
      </c>
      <c r="Q1878" t="str">
        <f>IF(H1878&gt;0,VLOOKUP(H1878,PAR!$AA$3:$AC$187,3,FALSE),"nincs főkönyvi számla")</f>
        <v>nincs főkönyvi számla</v>
      </c>
      <c r="R1878" t="str">
        <f>IFERROR(VLOOKUP(K1878,PAR!$V$3:$X$438,3,FALSE),"000000 - Nincs COFOG")</f>
        <v>000000 - Nincs COFOG</v>
      </c>
      <c r="S1878">
        <f t="shared" si="563"/>
        <v>0</v>
      </c>
      <c r="T1878">
        <f t="shared" si="564"/>
        <v>0</v>
      </c>
      <c r="U1878" t="str">
        <f>IF('906MP'!J1578&gt;0,CONCATENATE('906MP'!J1578," - ",'906MP'!P1578,", ",'906MP'!E1578),"nincs megjegyzés")</f>
        <v>nincs megjegyzés</v>
      </c>
      <c r="V1878" t="str">
        <f t="shared" si="551"/>
        <v>0P0</v>
      </c>
      <c r="W1878" t="str">
        <f t="shared" si="552"/>
        <v>0P0</v>
      </c>
      <c r="X1878" t="str">
        <f t="shared" si="553"/>
        <v>P0</v>
      </c>
      <c r="Y1878" t="str">
        <f t="shared" si="554"/>
        <v>00</v>
      </c>
      <c r="Z1878" t="str">
        <f t="shared" si="565"/>
        <v>00</v>
      </c>
      <c r="AA1878" t="str">
        <f t="shared" si="555"/>
        <v>00</v>
      </c>
      <c r="AB1878" t="str">
        <f t="shared" si="556"/>
        <v>00</v>
      </c>
      <c r="AC1878" t="str">
        <f t="shared" si="557"/>
        <v>0P0</v>
      </c>
      <c r="AD1878" t="str">
        <f t="shared" si="558"/>
        <v>P00</v>
      </c>
      <c r="AE1878" t="str">
        <f t="shared" si="559"/>
        <v>0P0</v>
      </c>
      <c r="AF1878" t="str">
        <f t="shared" si="560"/>
        <v>P00</v>
      </c>
      <c r="AG1878" t="str">
        <f t="shared" si="566"/>
        <v>0P00</v>
      </c>
      <c r="AH1878" t="str">
        <f t="shared" si="567"/>
        <v>P000</v>
      </c>
      <c r="AI1878" t="str">
        <f t="shared" si="568"/>
        <v>0P00</v>
      </c>
      <c r="AJ1878" t="str">
        <f t="shared" si="569"/>
        <v>P000</v>
      </c>
    </row>
    <row r="1879" spans="1:36" x14ac:dyDescent="0.25">
      <c r="A1879" s="325" t="str">
        <f>CONCATENATE("P",'906MP'!M1579)</f>
        <v>P</v>
      </c>
      <c r="B1879">
        <f>'906MP'!H1579</f>
        <v>0</v>
      </c>
      <c r="C1879">
        <f>'906MP'!J1579</f>
        <v>0</v>
      </c>
      <c r="D1879">
        <f>'906MP'!P1579</f>
        <v>0</v>
      </c>
      <c r="E1879">
        <f>'906MP'!X1579</f>
        <v>0</v>
      </c>
      <c r="F1879" t="str">
        <f t="shared" si="561"/>
        <v>0</v>
      </c>
      <c r="G1879" t="str">
        <f t="shared" si="562"/>
        <v>0</v>
      </c>
      <c r="H1879">
        <f>'906MP'!Y1579</f>
        <v>0</v>
      </c>
      <c r="I1879">
        <f>'906MP'!AK1579</f>
        <v>0</v>
      </c>
      <c r="J1879">
        <f>'906MP'!T1579</f>
        <v>0</v>
      </c>
      <c r="K1879">
        <f>'906MP'!AJ1579</f>
        <v>0</v>
      </c>
      <c r="L1879">
        <f>'906MP'!U1579</f>
        <v>0</v>
      </c>
      <c r="M1879" s="322" t="str">
        <f>IFERROR(VLOOKUP(A1879,PAR!$D$3:$E$53,2,FALSE),"nincs szervezet")</f>
        <v>nincs szervezet</v>
      </c>
      <c r="N1879" s="322" t="str">
        <f>VLOOKUP(F1879,PAR!$R$3:$S$5,2,FALSE)</f>
        <v>3 - egyik sem</v>
      </c>
      <c r="O1879" t="str">
        <f>IFERROR(VLOOKUP(J1879,PAR!$O$3:$P$5,2,FALSE),"nincs feladat")</f>
        <v>nincs feladat</v>
      </c>
      <c r="P1879" t="str">
        <f>IFERROR(VLOOKUP(G1879,PAR!$J$2:$M$19,4),"nincs rovat")</f>
        <v>nincs rovat</v>
      </c>
      <c r="Q1879" t="str">
        <f>IF(H1879&gt;0,VLOOKUP(H1879,PAR!$AA$3:$AC$187,3,FALSE),"nincs főkönyvi számla")</f>
        <v>nincs főkönyvi számla</v>
      </c>
      <c r="R1879" t="str">
        <f>IFERROR(VLOOKUP(K1879,PAR!$V$3:$X$438,3,FALSE),"000000 - Nincs COFOG")</f>
        <v>000000 - Nincs COFOG</v>
      </c>
      <c r="S1879">
        <f t="shared" si="563"/>
        <v>0</v>
      </c>
      <c r="T1879">
        <f t="shared" si="564"/>
        <v>0</v>
      </c>
      <c r="U1879" t="str">
        <f>IF('906MP'!J1579&gt;0,CONCATENATE('906MP'!J1579," - ",'906MP'!P1579,", ",'906MP'!E1579),"nincs megjegyzés")</f>
        <v>nincs megjegyzés</v>
      </c>
      <c r="V1879" t="str">
        <f t="shared" si="551"/>
        <v>0P0</v>
      </c>
      <c r="W1879" t="str">
        <f t="shared" si="552"/>
        <v>0P0</v>
      </c>
      <c r="X1879" t="str">
        <f t="shared" si="553"/>
        <v>P0</v>
      </c>
      <c r="Y1879" t="str">
        <f t="shared" si="554"/>
        <v>00</v>
      </c>
      <c r="Z1879" t="str">
        <f t="shared" si="565"/>
        <v>00</v>
      </c>
      <c r="AA1879" t="str">
        <f t="shared" si="555"/>
        <v>00</v>
      </c>
      <c r="AB1879" t="str">
        <f t="shared" si="556"/>
        <v>00</v>
      </c>
      <c r="AC1879" t="str">
        <f t="shared" si="557"/>
        <v>0P0</v>
      </c>
      <c r="AD1879" t="str">
        <f t="shared" si="558"/>
        <v>P00</v>
      </c>
      <c r="AE1879" t="str">
        <f t="shared" si="559"/>
        <v>0P0</v>
      </c>
      <c r="AF1879" t="str">
        <f t="shared" si="560"/>
        <v>P00</v>
      </c>
      <c r="AG1879" t="str">
        <f t="shared" si="566"/>
        <v>0P00</v>
      </c>
      <c r="AH1879" t="str">
        <f t="shared" si="567"/>
        <v>P000</v>
      </c>
      <c r="AI1879" t="str">
        <f t="shared" si="568"/>
        <v>0P00</v>
      </c>
      <c r="AJ1879" t="str">
        <f t="shared" si="569"/>
        <v>P000</v>
      </c>
    </row>
    <row r="1880" spans="1:36" x14ac:dyDescent="0.25">
      <c r="A1880" s="325" t="str">
        <f>CONCATENATE("P",'906MP'!M1580)</f>
        <v>P</v>
      </c>
      <c r="B1880">
        <f>'906MP'!H1580</f>
        <v>0</v>
      </c>
      <c r="C1880">
        <f>'906MP'!J1580</f>
        <v>0</v>
      </c>
      <c r="D1880">
        <f>'906MP'!P1580</f>
        <v>0</v>
      </c>
      <c r="E1880">
        <f>'906MP'!X1580</f>
        <v>0</v>
      </c>
      <c r="F1880" t="str">
        <f t="shared" si="561"/>
        <v>0</v>
      </c>
      <c r="G1880" t="str">
        <f t="shared" si="562"/>
        <v>0</v>
      </c>
      <c r="H1880">
        <f>'906MP'!Y1580</f>
        <v>0</v>
      </c>
      <c r="I1880">
        <f>'906MP'!AK1580</f>
        <v>0</v>
      </c>
      <c r="J1880">
        <f>'906MP'!T1580</f>
        <v>0</v>
      </c>
      <c r="K1880">
        <f>'906MP'!AJ1580</f>
        <v>0</v>
      </c>
      <c r="L1880">
        <f>'906MP'!U1580</f>
        <v>0</v>
      </c>
      <c r="M1880" s="322" t="str">
        <f>IFERROR(VLOOKUP(A1880,PAR!$D$3:$E$53,2,FALSE),"nincs szervezet")</f>
        <v>nincs szervezet</v>
      </c>
      <c r="N1880" s="322" t="str">
        <f>VLOOKUP(F1880,PAR!$R$3:$S$5,2,FALSE)</f>
        <v>3 - egyik sem</v>
      </c>
      <c r="O1880" t="str">
        <f>IFERROR(VLOOKUP(J1880,PAR!$O$3:$P$5,2,FALSE),"nincs feladat")</f>
        <v>nincs feladat</v>
      </c>
      <c r="P1880" t="str">
        <f>IFERROR(VLOOKUP(G1880,PAR!$J$2:$M$19,4),"nincs rovat")</f>
        <v>nincs rovat</v>
      </c>
      <c r="Q1880" t="str">
        <f>IF(H1880&gt;0,VLOOKUP(H1880,PAR!$AA$3:$AC$187,3,FALSE),"nincs főkönyvi számla")</f>
        <v>nincs főkönyvi számla</v>
      </c>
      <c r="R1880" t="str">
        <f>IFERROR(VLOOKUP(K1880,PAR!$V$3:$X$438,3,FALSE),"000000 - Nincs COFOG")</f>
        <v>000000 - Nincs COFOG</v>
      </c>
      <c r="S1880">
        <f t="shared" si="563"/>
        <v>0</v>
      </c>
      <c r="T1880">
        <f t="shared" si="564"/>
        <v>0</v>
      </c>
      <c r="U1880" t="str">
        <f>IF('906MP'!J1580&gt;0,CONCATENATE('906MP'!J1580," - ",'906MP'!P1580,", ",'906MP'!E1580),"nincs megjegyzés")</f>
        <v>nincs megjegyzés</v>
      </c>
      <c r="V1880" t="str">
        <f t="shared" si="551"/>
        <v>0P0</v>
      </c>
      <c r="W1880" t="str">
        <f t="shared" si="552"/>
        <v>0P0</v>
      </c>
      <c r="X1880" t="str">
        <f t="shared" si="553"/>
        <v>P0</v>
      </c>
      <c r="Y1880" t="str">
        <f t="shared" si="554"/>
        <v>00</v>
      </c>
      <c r="Z1880" t="str">
        <f t="shared" si="565"/>
        <v>00</v>
      </c>
      <c r="AA1880" t="str">
        <f t="shared" si="555"/>
        <v>00</v>
      </c>
      <c r="AB1880" t="str">
        <f t="shared" si="556"/>
        <v>00</v>
      </c>
      <c r="AC1880" t="str">
        <f t="shared" si="557"/>
        <v>0P0</v>
      </c>
      <c r="AD1880" t="str">
        <f t="shared" si="558"/>
        <v>P00</v>
      </c>
      <c r="AE1880" t="str">
        <f t="shared" si="559"/>
        <v>0P0</v>
      </c>
      <c r="AF1880" t="str">
        <f t="shared" si="560"/>
        <v>P00</v>
      </c>
      <c r="AG1880" t="str">
        <f t="shared" si="566"/>
        <v>0P00</v>
      </c>
      <c r="AH1880" t="str">
        <f t="shared" si="567"/>
        <v>P000</v>
      </c>
      <c r="AI1880" t="str">
        <f t="shared" si="568"/>
        <v>0P00</v>
      </c>
      <c r="AJ1880" t="str">
        <f t="shared" si="569"/>
        <v>P000</v>
      </c>
    </row>
    <row r="1881" spans="1:36" x14ac:dyDescent="0.25">
      <c r="A1881" s="325" t="str">
        <f>CONCATENATE("P",'906MP'!M1581)</f>
        <v>P</v>
      </c>
      <c r="B1881">
        <f>'906MP'!H1581</f>
        <v>0</v>
      </c>
      <c r="C1881">
        <f>'906MP'!J1581</f>
        <v>0</v>
      </c>
      <c r="D1881">
        <f>'906MP'!P1581</f>
        <v>0</v>
      </c>
      <c r="E1881">
        <f>'906MP'!X1581</f>
        <v>0</v>
      </c>
      <c r="F1881" t="str">
        <f t="shared" si="561"/>
        <v>0</v>
      </c>
      <c r="G1881" t="str">
        <f t="shared" si="562"/>
        <v>0</v>
      </c>
      <c r="H1881">
        <f>'906MP'!Y1581</f>
        <v>0</v>
      </c>
      <c r="I1881">
        <f>'906MP'!AK1581</f>
        <v>0</v>
      </c>
      <c r="J1881">
        <f>'906MP'!T1581</f>
        <v>0</v>
      </c>
      <c r="K1881">
        <f>'906MP'!AJ1581</f>
        <v>0</v>
      </c>
      <c r="L1881">
        <f>'906MP'!U1581</f>
        <v>0</v>
      </c>
      <c r="M1881" s="322" t="str">
        <f>IFERROR(VLOOKUP(A1881,PAR!$D$3:$E$53,2,FALSE),"nincs szervezet")</f>
        <v>nincs szervezet</v>
      </c>
      <c r="N1881" s="322" t="str">
        <f>VLOOKUP(F1881,PAR!$R$3:$S$5,2,FALSE)</f>
        <v>3 - egyik sem</v>
      </c>
      <c r="O1881" t="str">
        <f>IFERROR(VLOOKUP(J1881,PAR!$O$3:$P$5,2,FALSE),"nincs feladat")</f>
        <v>nincs feladat</v>
      </c>
      <c r="P1881" t="str">
        <f>IFERROR(VLOOKUP(G1881,PAR!$J$2:$M$19,4),"nincs rovat")</f>
        <v>nincs rovat</v>
      </c>
      <c r="Q1881" t="str">
        <f>IF(H1881&gt;0,VLOOKUP(H1881,PAR!$AA$3:$AC$187,3,FALSE),"nincs főkönyvi számla")</f>
        <v>nincs főkönyvi számla</v>
      </c>
      <c r="R1881" t="str">
        <f>IFERROR(VLOOKUP(K1881,PAR!$V$3:$X$438,3,FALSE),"000000 - Nincs COFOG")</f>
        <v>000000 - Nincs COFOG</v>
      </c>
      <c r="S1881">
        <f t="shared" si="563"/>
        <v>0</v>
      </c>
      <c r="T1881">
        <f t="shared" si="564"/>
        <v>0</v>
      </c>
      <c r="U1881" t="str">
        <f>IF('906MP'!J1581&gt;0,CONCATENATE('906MP'!J1581," - ",'906MP'!P1581,", ",'906MP'!E1581),"nincs megjegyzés")</f>
        <v>nincs megjegyzés</v>
      </c>
      <c r="V1881" t="str">
        <f t="shared" si="551"/>
        <v>0P0</v>
      </c>
      <c r="W1881" t="str">
        <f t="shared" si="552"/>
        <v>0P0</v>
      </c>
      <c r="X1881" t="str">
        <f t="shared" si="553"/>
        <v>P0</v>
      </c>
      <c r="Y1881" t="str">
        <f t="shared" si="554"/>
        <v>00</v>
      </c>
      <c r="Z1881" t="str">
        <f t="shared" si="565"/>
        <v>00</v>
      </c>
      <c r="AA1881" t="str">
        <f t="shared" si="555"/>
        <v>00</v>
      </c>
      <c r="AB1881" t="str">
        <f t="shared" si="556"/>
        <v>00</v>
      </c>
      <c r="AC1881" t="str">
        <f t="shared" si="557"/>
        <v>0P0</v>
      </c>
      <c r="AD1881" t="str">
        <f t="shared" si="558"/>
        <v>P00</v>
      </c>
      <c r="AE1881" t="str">
        <f t="shared" si="559"/>
        <v>0P0</v>
      </c>
      <c r="AF1881" t="str">
        <f t="shared" si="560"/>
        <v>P00</v>
      </c>
      <c r="AG1881" t="str">
        <f t="shared" si="566"/>
        <v>0P00</v>
      </c>
      <c r="AH1881" t="str">
        <f t="shared" si="567"/>
        <v>P000</v>
      </c>
      <c r="AI1881" t="str">
        <f t="shared" si="568"/>
        <v>0P00</v>
      </c>
      <c r="AJ1881" t="str">
        <f t="shared" si="569"/>
        <v>P000</v>
      </c>
    </row>
    <row r="1882" spans="1:36" x14ac:dyDescent="0.25">
      <c r="A1882" s="325" t="str">
        <f>CONCATENATE("P",'906MP'!M1582)</f>
        <v>P</v>
      </c>
      <c r="B1882">
        <f>'906MP'!H1582</f>
        <v>0</v>
      </c>
      <c r="C1882">
        <f>'906MP'!J1582</f>
        <v>0</v>
      </c>
      <c r="D1882">
        <f>'906MP'!P1582</f>
        <v>0</v>
      </c>
      <c r="E1882">
        <f>'906MP'!X1582</f>
        <v>0</v>
      </c>
      <c r="F1882" t="str">
        <f t="shared" si="561"/>
        <v>0</v>
      </c>
      <c r="G1882" t="str">
        <f t="shared" si="562"/>
        <v>0</v>
      </c>
      <c r="H1882">
        <f>'906MP'!Y1582</f>
        <v>0</v>
      </c>
      <c r="I1882">
        <f>'906MP'!AK1582</f>
        <v>0</v>
      </c>
      <c r="J1882">
        <f>'906MP'!T1582</f>
        <v>0</v>
      </c>
      <c r="K1882">
        <f>'906MP'!AJ1582</f>
        <v>0</v>
      </c>
      <c r="L1882">
        <f>'906MP'!U1582</f>
        <v>0</v>
      </c>
      <c r="M1882" s="322" t="str">
        <f>IFERROR(VLOOKUP(A1882,PAR!$D$3:$E$53,2,FALSE),"nincs szervezet")</f>
        <v>nincs szervezet</v>
      </c>
      <c r="N1882" s="322" t="str">
        <f>VLOOKUP(F1882,PAR!$R$3:$S$5,2,FALSE)</f>
        <v>3 - egyik sem</v>
      </c>
      <c r="O1882" t="str">
        <f>IFERROR(VLOOKUP(J1882,PAR!$O$3:$P$5,2,FALSE),"nincs feladat")</f>
        <v>nincs feladat</v>
      </c>
      <c r="P1882" t="str">
        <f>IFERROR(VLOOKUP(G1882,PAR!$J$2:$M$19,4),"nincs rovat")</f>
        <v>nincs rovat</v>
      </c>
      <c r="Q1882" t="str">
        <f>IF(H1882&gt;0,VLOOKUP(H1882,PAR!$AA$3:$AC$187,3,FALSE),"nincs főkönyvi számla")</f>
        <v>nincs főkönyvi számla</v>
      </c>
      <c r="R1882" t="str">
        <f>IFERROR(VLOOKUP(K1882,PAR!$V$3:$X$438,3,FALSE),"000000 - Nincs COFOG")</f>
        <v>000000 - Nincs COFOG</v>
      </c>
      <c r="S1882">
        <f t="shared" si="563"/>
        <v>0</v>
      </c>
      <c r="T1882">
        <f t="shared" si="564"/>
        <v>0</v>
      </c>
      <c r="U1882" t="str">
        <f>IF('906MP'!J1582&gt;0,CONCATENATE('906MP'!J1582," - ",'906MP'!P1582,", ",'906MP'!E1582),"nincs megjegyzés")</f>
        <v>nincs megjegyzés</v>
      </c>
      <c r="V1882" t="str">
        <f t="shared" si="551"/>
        <v>0P0</v>
      </c>
      <c r="W1882" t="str">
        <f t="shared" si="552"/>
        <v>0P0</v>
      </c>
      <c r="X1882" t="str">
        <f t="shared" si="553"/>
        <v>P0</v>
      </c>
      <c r="Y1882" t="str">
        <f t="shared" si="554"/>
        <v>00</v>
      </c>
      <c r="Z1882" t="str">
        <f t="shared" si="565"/>
        <v>00</v>
      </c>
      <c r="AA1882" t="str">
        <f t="shared" si="555"/>
        <v>00</v>
      </c>
      <c r="AB1882" t="str">
        <f t="shared" si="556"/>
        <v>00</v>
      </c>
      <c r="AC1882" t="str">
        <f t="shared" si="557"/>
        <v>0P0</v>
      </c>
      <c r="AD1882" t="str">
        <f t="shared" si="558"/>
        <v>P00</v>
      </c>
      <c r="AE1882" t="str">
        <f t="shared" si="559"/>
        <v>0P0</v>
      </c>
      <c r="AF1882" t="str">
        <f t="shared" si="560"/>
        <v>P00</v>
      </c>
      <c r="AG1882" t="str">
        <f t="shared" si="566"/>
        <v>0P00</v>
      </c>
      <c r="AH1882" t="str">
        <f t="shared" si="567"/>
        <v>P000</v>
      </c>
      <c r="AI1882" t="str">
        <f t="shared" si="568"/>
        <v>0P00</v>
      </c>
      <c r="AJ1882" t="str">
        <f t="shared" si="569"/>
        <v>P000</v>
      </c>
    </row>
    <row r="1883" spans="1:36" x14ac:dyDescent="0.25">
      <c r="A1883" s="325" t="str">
        <f>CONCATENATE("P",'906MP'!M1583)</f>
        <v>P</v>
      </c>
      <c r="B1883">
        <f>'906MP'!H1583</f>
        <v>0</v>
      </c>
      <c r="C1883">
        <f>'906MP'!J1583</f>
        <v>0</v>
      </c>
      <c r="D1883">
        <f>'906MP'!P1583</f>
        <v>0</v>
      </c>
      <c r="E1883">
        <f>'906MP'!X1583</f>
        <v>0</v>
      </c>
      <c r="F1883" t="str">
        <f t="shared" si="561"/>
        <v>0</v>
      </c>
      <c r="G1883" t="str">
        <f t="shared" si="562"/>
        <v>0</v>
      </c>
      <c r="H1883">
        <f>'906MP'!Y1583</f>
        <v>0</v>
      </c>
      <c r="I1883">
        <f>'906MP'!AK1583</f>
        <v>0</v>
      </c>
      <c r="J1883">
        <f>'906MP'!T1583</f>
        <v>0</v>
      </c>
      <c r="K1883">
        <f>'906MP'!AJ1583</f>
        <v>0</v>
      </c>
      <c r="L1883">
        <f>'906MP'!U1583</f>
        <v>0</v>
      </c>
      <c r="M1883" s="322" t="str">
        <f>IFERROR(VLOOKUP(A1883,PAR!$D$3:$E$53,2,FALSE),"nincs szervezet")</f>
        <v>nincs szervezet</v>
      </c>
      <c r="N1883" s="322" t="str">
        <f>VLOOKUP(F1883,PAR!$R$3:$S$5,2,FALSE)</f>
        <v>3 - egyik sem</v>
      </c>
      <c r="O1883" t="str">
        <f>IFERROR(VLOOKUP(J1883,PAR!$O$3:$P$5,2,FALSE),"nincs feladat")</f>
        <v>nincs feladat</v>
      </c>
      <c r="P1883" t="str">
        <f>IFERROR(VLOOKUP(G1883,PAR!$J$2:$M$19,4),"nincs rovat")</f>
        <v>nincs rovat</v>
      </c>
      <c r="Q1883" t="str">
        <f>IF(H1883&gt;0,VLOOKUP(H1883,PAR!$AA$3:$AC$187,3,FALSE),"nincs főkönyvi számla")</f>
        <v>nincs főkönyvi számla</v>
      </c>
      <c r="R1883" t="str">
        <f>IFERROR(VLOOKUP(K1883,PAR!$V$3:$X$438,3,FALSE),"000000 - Nincs COFOG")</f>
        <v>000000 - Nincs COFOG</v>
      </c>
      <c r="S1883">
        <f t="shared" si="563"/>
        <v>0</v>
      </c>
      <c r="T1883">
        <f t="shared" si="564"/>
        <v>0</v>
      </c>
      <c r="U1883" t="str">
        <f>IF('906MP'!J1583&gt;0,CONCATENATE('906MP'!J1583," - ",'906MP'!P1583,", ",'906MP'!E1583),"nincs megjegyzés")</f>
        <v>nincs megjegyzés</v>
      </c>
      <c r="V1883" t="str">
        <f t="shared" si="551"/>
        <v>0P0</v>
      </c>
      <c r="W1883" t="str">
        <f t="shared" si="552"/>
        <v>0P0</v>
      </c>
      <c r="X1883" t="str">
        <f t="shared" si="553"/>
        <v>P0</v>
      </c>
      <c r="Y1883" t="str">
        <f t="shared" si="554"/>
        <v>00</v>
      </c>
      <c r="Z1883" t="str">
        <f t="shared" si="565"/>
        <v>00</v>
      </c>
      <c r="AA1883" t="str">
        <f t="shared" si="555"/>
        <v>00</v>
      </c>
      <c r="AB1883" t="str">
        <f t="shared" si="556"/>
        <v>00</v>
      </c>
      <c r="AC1883" t="str">
        <f t="shared" si="557"/>
        <v>0P0</v>
      </c>
      <c r="AD1883" t="str">
        <f t="shared" si="558"/>
        <v>P00</v>
      </c>
      <c r="AE1883" t="str">
        <f t="shared" si="559"/>
        <v>0P0</v>
      </c>
      <c r="AF1883" t="str">
        <f t="shared" si="560"/>
        <v>P00</v>
      </c>
      <c r="AG1883" t="str">
        <f t="shared" si="566"/>
        <v>0P00</v>
      </c>
      <c r="AH1883" t="str">
        <f t="shared" si="567"/>
        <v>P000</v>
      </c>
      <c r="AI1883" t="str">
        <f t="shared" si="568"/>
        <v>0P00</v>
      </c>
      <c r="AJ1883" t="str">
        <f t="shared" si="569"/>
        <v>P000</v>
      </c>
    </row>
    <row r="1884" spans="1:36" x14ac:dyDescent="0.25">
      <c r="A1884" s="325" t="str">
        <f>CONCATENATE("P",'906MP'!M1584)</f>
        <v>P</v>
      </c>
      <c r="B1884">
        <f>'906MP'!H1584</f>
        <v>0</v>
      </c>
      <c r="C1884">
        <f>'906MP'!J1584</f>
        <v>0</v>
      </c>
      <c r="D1884">
        <f>'906MP'!P1584</f>
        <v>0</v>
      </c>
      <c r="E1884">
        <f>'906MP'!X1584</f>
        <v>0</v>
      </c>
      <c r="F1884" t="str">
        <f t="shared" si="561"/>
        <v>0</v>
      </c>
      <c r="G1884" t="str">
        <f t="shared" si="562"/>
        <v>0</v>
      </c>
      <c r="H1884">
        <f>'906MP'!Y1584</f>
        <v>0</v>
      </c>
      <c r="I1884">
        <f>'906MP'!AK1584</f>
        <v>0</v>
      </c>
      <c r="J1884">
        <f>'906MP'!T1584</f>
        <v>0</v>
      </c>
      <c r="K1884">
        <f>'906MP'!AJ1584</f>
        <v>0</v>
      </c>
      <c r="L1884">
        <f>'906MP'!U1584</f>
        <v>0</v>
      </c>
      <c r="M1884" s="322" t="str">
        <f>IFERROR(VLOOKUP(A1884,PAR!$D$3:$E$53,2,FALSE),"nincs szervezet")</f>
        <v>nincs szervezet</v>
      </c>
      <c r="N1884" s="322" t="str">
        <f>VLOOKUP(F1884,PAR!$R$3:$S$5,2,FALSE)</f>
        <v>3 - egyik sem</v>
      </c>
      <c r="O1884" t="str">
        <f>IFERROR(VLOOKUP(J1884,PAR!$O$3:$P$5,2,FALSE),"nincs feladat")</f>
        <v>nincs feladat</v>
      </c>
      <c r="P1884" t="str">
        <f>IFERROR(VLOOKUP(G1884,PAR!$J$2:$M$19,4),"nincs rovat")</f>
        <v>nincs rovat</v>
      </c>
      <c r="Q1884" t="str">
        <f>IF(H1884&gt;0,VLOOKUP(H1884,PAR!$AA$3:$AC$187,3,FALSE),"nincs főkönyvi számla")</f>
        <v>nincs főkönyvi számla</v>
      </c>
      <c r="R1884" t="str">
        <f>IFERROR(VLOOKUP(K1884,PAR!$V$3:$X$438,3,FALSE),"000000 - Nincs COFOG")</f>
        <v>000000 - Nincs COFOG</v>
      </c>
      <c r="S1884">
        <f t="shared" si="563"/>
        <v>0</v>
      </c>
      <c r="T1884">
        <f t="shared" si="564"/>
        <v>0</v>
      </c>
      <c r="U1884" t="str">
        <f>IF('906MP'!J1584&gt;0,CONCATENATE('906MP'!J1584," - ",'906MP'!P1584,", ",'906MP'!E1584),"nincs megjegyzés")</f>
        <v>nincs megjegyzés</v>
      </c>
      <c r="V1884" t="str">
        <f t="shared" si="551"/>
        <v>0P0</v>
      </c>
      <c r="W1884" t="str">
        <f t="shared" si="552"/>
        <v>0P0</v>
      </c>
      <c r="X1884" t="str">
        <f t="shared" si="553"/>
        <v>P0</v>
      </c>
      <c r="Y1884" t="str">
        <f t="shared" si="554"/>
        <v>00</v>
      </c>
      <c r="Z1884" t="str">
        <f t="shared" si="565"/>
        <v>00</v>
      </c>
      <c r="AA1884" t="str">
        <f t="shared" si="555"/>
        <v>00</v>
      </c>
      <c r="AB1884" t="str">
        <f t="shared" si="556"/>
        <v>00</v>
      </c>
      <c r="AC1884" t="str">
        <f t="shared" si="557"/>
        <v>0P0</v>
      </c>
      <c r="AD1884" t="str">
        <f t="shared" si="558"/>
        <v>P00</v>
      </c>
      <c r="AE1884" t="str">
        <f t="shared" si="559"/>
        <v>0P0</v>
      </c>
      <c r="AF1884" t="str">
        <f t="shared" si="560"/>
        <v>P00</v>
      </c>
      <c r="AG1884" t="str">
        <f t="shared" si="566"/>
        <v>0P00</v>
      </c>
      <c r="AH1884" t="str">
        <f t="shared" si="567"/>
        <v>P000</v>
      </c>
      <c r="AI1884" t="str">
        <f t="shared" si="568"/>
        <v>0P00</v>
      </c>
      <c r="AJ1884" t="str">
        <f t="shared" si="569"/>
        <v>P000</v>
      </c>
    </row>
    <row r="1885" spans="1:36" x14ac:dyDescent="0.25">
      <c r="A1885" s="325" t="str">
        <f>CONCATENATE("P",'906MP'!M1585)</f>
        <v>P</v>
      </c>
      <c r="B1885">
        <f>'906MP'!H1585</f>
        <v>0</v>
      </c>
      <c r="C1885">
        <f>'906MP'!J1585</f>
        <v>0</v>
      </c>
      <c r="D1885">
        <f>'906MP'!P1585</f>
        <v>0</v>
      </c>
      <c r="E1885">
        <f>'906MP'!X1585</f>
        <v>0</v>
      </c>
      <c r="F1885" t="str">
        <f t="shared" si="561"/>
        <v>0</v>
      </c>
      <c r="G1885" t="str">
        <f t="shared" si="562"/>
        <v>0</v>
      </c>
      <c r="H1885">
        <f>'906MP'!Y1585</f>
        <v>0</v>
      </c>
      <c r="I1885">
        <f>'906MP'!AK1585</f>
        <v>0</v>
      </c>
      <c r="J1885">
        <f>'906MP'!T1585</f>
        <v>0</v>
      </c>
      <c r="K1885">
        <f>'906MP'!AJ1585</f>
        <v>0</v>
      </c>
      <c r="L1885">
        <f>'906MP'!U1585</f>
        <v>0</v>
      </c>
      <c r="M1885" s="322" t="str">
        <f>IFERROR(VLOOKUP(A1885,PAR!$D$3:$E$53,2,FALSE),"nincs szervezet")</f>
        <v>nincs szervezet</v>
      </c>
      <c r="N1885" s="322" t="str">
        <f>VLOOKUP(F1885,PAR!$R$3:$S$5,2,FALSE)</f>
        <v>3 - egyik sem</v>
      </c>
      <c r="O1885" t="str">
        <f>IFERROR(VLOOKUP(J1885,PAR!$O$3:$P$5,2,FALSE),"nincs feladat")</f>
        <v>nincs feladat</v>
      </c>
      <c r="P1885" t="str">
        <f>IFERROR(VLOOKUP(G1885,PAR!$J$2:$M$19,4),"nincs rovat")</f>
        <v>nincs rovat</v>
      </c>
      <c r="Q1885" t="str">
        <f>IF(H1885&gt;0,VLOOKUP(H1885,PAR!$AA$3:$AC$187,3,FALSE),"nincs főkönyvi számla")</f>
        <v>nincs főkönyvi számla</v>
      </c>
      <c r="R1885" t="str">
        <f>IFERROR(VLOOKUP(K1885,PAR!$V$3:$X$438,3,FALSE),"000000 - Nincs COFOG")</f>
        <v>000000 - Nincs COFOG</v>
      </c>
      <c r="S1885">
        <f t="shared" si="563"/>
        <v>0</v>
      </c>
      <c r="T1885">
        <f t="shared" si="564"/>
        <v>0</v>
      </c>
      <c r="U1885" t="str">
        <f>IF('906MP'!J1585&gt;0,CONCATENATE('906MP'!J1585," - ",'906MP'!P1585,", ",'906MP'!E1585),"nincs megjegyzés")</f>
        <v>nincs megjegyzés</v>
      </c>
      <c r="V1885" t="str">
        <f t="shared" si="551"/>
        <v>0P0</v>
      </c>
      <c r="W1885" t="str">
        <f t="shared" si="552"/>
        <v>0P0</v>
      </c>
      <c r="X1885" t="str">
        <f t="shared" si="553"/>
        <v>P0</v>
      </c>
      <c r="Y1885" t="str">
        <f t="shared" si="554"/>
        <v>00</v>
      </c>
      <c r="Z1885" t="str">
        <f t="shared" si="565"/>
        <v>00</v>
      </c>
      <c r="AA1885" t="str">
        <f t="shared" si="555"/>
        <v>00</v>
      </c>
      <c r="AB1885" t="str">
        <f t="shared" si="556"/>
        <v>00</v>
      </c>
      <c r="AC1885" t="str">
        <f t="shared" si="557"/>
        <v>0P0</v>
      </c>
      <c r="AD1885" t="str">
        <f t="shared" si="558"/>
        <v>P00</v>
      </c>
      <c r="AE1885" t="str">
        <f t="shared" si="559"/>
        <v>0P0</v>
      </c>
      <c r="AF1885" t="str">
        <f t="shared" si="560"/>
        <v>P00</v>
      </c>
      <c r="AG1885" t="str">
        <f t="shared" si="566"/>
        <v>0P00</v>
      </c>
      <c r="AH1885" t="str">
        <f t="shared" si="567"/>
        <v>P000</v>
      </c>
      <c r="AI1885" t="str">
        <f t="shared" si="568"/>
        <v>0P00</v>
      </c>
      <c r="AJ1885" t="str">
        <f t="shared" si="569"/>
        <v>P000</v>
      </c>
    </row>
    <row r="1886" spans="1:36" x14ac:dyDescent="0.25">
      <c r="A1886" s="325" t="str">
        <f>CONCATENATE("P",'906MP'!M1586)</f>
        <v>P</v>
      </c>
      <c r="B1886">
        <f>'906MP'!H1586</f>
        <v>0</v>
      </c>
      <c r="C1886">
        <f>'906MP'!J1586</f>
        <v>0</v>
      </c>
      <c r="D1886">
        <f>'906MP'!P1586</f>
        <v>0</v>
      </c>
      <c r="E1886">
        <f>'906MP'!X1586</f>
        <v>0</v>
      </c>
      <c r="F1886" t="str">
        <f t="shared" si="561"/>
        <v>0</v>
      </c>
      <c r="G1886" t="str">
        <f t="shared" si="562"/>
        <v>0</v>
      </c>
      <c r="H1886">
        <f>'906MP'!Y1586</f>
        <v>0</v>
      </c>
      <c r="I1886">
        <f>'906MP'!AK1586</f>
        <v>0</v>
      </c>
      <c r="J1886">
        <f>'906MP'!T1586</f>
        <v>0</v>
      </c>
      <c r="K1886">
        <f>'906MP'!AJ1586</f>
        <v>0</v>
      </c>
      <c r="L1886">
        <f>'906MP'!U1586</f>
        <v>0</v>
      </c>
      <c r="M1886" s="322" t="str">
        <f>IFERROR(VLOOKUP(A1886,PAR!$D$3:$E$53,2,FALSE),"nincs szervezet")</f>
        <v>nincs szervezet</v>
      </c>
      <c r="N1886" s="322" t="str">
        <f>VLOOKUP(F1886,PAR!$R$3:$S$5,2,FALSE)</f>
        <v>3 - egyik sem</v>
      </c>
      <c r="O1886" t="str">
        <f>IFERROR(VLOOKUP(J1886,PAR!$O$3:$P$5,2,FALSE),"nincs feladat")</f>
        <v>nincs feladat</v>
      </c>
      <c r="P1886" t="str">
        <f>IFERROR(VLOOKUP(G1886,PAR!$J$2:$M$19,4),"nincs rovat")</f>
        <v>nincs rovat</v>
      </c>
      <c r="Q1886" t="str">
        <f>IF(H1886&gt;0,VLOOKUP(H1886,PAR!$AA$3:$AC$187,3,FALSE),"nincs főkönyvi számla")</f>
        <v>nincs főkönyvi számla</v>
      </c>
      <c r="R1886" t="str">
        <f>IFERROR(VLOOKUP(K1886,PAR!$V$3:$X$438,3,FALSE),"000000 - Nincs COFOG")</f>
        <v>000000 - Nincs COFOG</v>
      </c>
      <c r="S1886">
        <f t="shared" si="563"/>
        <v>0</v>
      </c>
      <c r="T1886">
        <f t="shared" si="564"/>
        <v>0</v>
      </c>
      <c r="U1886" t="str">
        <f>IF('906MP'!J1586&gt;0,CONCATENATE('906MP'!J1586," - ",'906MP'!P1586,", ",'906MP'!E1586),"nincs megjegyzés")</f>
        <v>nincs megjegyzés</v>
      </c>
      <c r="V1886" t="str">
        <f t="shared" si="551"/>
        <v>0P0</v>
      </c>
      <c r="W1886" t="str">
        <f t="shared" si="552"/>
        <v>0P0</v>
      </c>
      <c r="X1886" t="str">
        <f t="shared" si="553"/>
        <v>P0</v>
      </c>
      <c r="Y1886" t="str">
        <f t="shared" si="554"/>
        <v>00</v>
      </c>
      <c r="Z1886" t="str">
        <f t="shared" si="565"/>
        <v>00</v>
      </c>
      <c r="AA1886" t="str">
        <f t="shared" si="555"/>
        <v>00</v>
      </c>
      <c r="AB1886" t="str">
        <f t="shared" si="556"/>
        <v>00</v>
      </c>
      <c r="AC1886" t="str">
        <f t="shared" si="557"/>
        <v>0P0</v>
      </c>
      <c r="AD1886" t="str">
        <f t="shared" si="558"/>
        <v>P00</v>
      </c>
      <c r="AE1886" t="str">
        <f t="shared" si="559"/>
        <v>0P0</v>
      </c>
      <c r="AF1886" t="str">
        <f t="shared" si="560"/>
        <v>P00</v>
      </c>
      <c r="AG1886" t="str">
        <f t="shared" si="566"/>
        <v>0P00</v>
      </c>
      <c r="AH1886" t="str">
        <f t="shared" si="567"/>
        <v>P000</v>
      </c>
      <c r="AI1886" t="str">
        <f t="shared" si="568"/>
        <v>0P00</v>
      </c>
      <c r="AJ1886" t="str">
        <f t="shared" si="569"/>
        <v>P000</v>
      </c>
    </row>
    <row r="1887" spans="1:36" x14ac:dyDescent="0.25">
      <c r="A1887" s="325" t="str">
        <f>CONCATENATE("P",'906MP'!M1587)</f>
        <v>P</v>
      </c>
      <c r="B1887">
        <f>'906MP'!H1587</f>
        <v>0</v>
      </c>
      <c r="C1887">
        <f>'906MP'!J1587</f>
        <v>0</v>
      </c>
      <c r="D1887">
        <f>'906MP'!P1587</f>
        <v>0</v>
      </c>
      <c r="E1887">
        <f>'906MP'!X1587</f>
        <v>0</v>
      </c>
      <c r="F1887" t="str">
        <f t="shared" si="561"/>
        <v>0</v>
      </c>
      <c r="G1887" t="str">
        <f t="shared" si="562"/>
        <v>0</v>
      </c>
      <c r="H1887">
        <f>'906MP'!Y1587</f>
        <v>0</v>
      </c>
      <c r="I1887">
        <f>'906MP'!AK1587</f>
        <v>0</v>
      </c>
      <c r="J1887">
        <f>'906MP'!T1587</f>
        <v>0</v>
      </c>
      <c r="K1887">
        <f>'906MP'!AJ1587</f>
        <v>0</v>
      </c>
      <c r="L1887">
        <f>'906MP'!U1587</f>
        <v>0</v>
      </c>
      <c r="M1887" s="322" t="str">
        <f>IFERROR(VLOOKUP(A1887,PAR!$D$3:$E$53,2,FALSE),"nincs szervezet")</f>
        <v>nincs szervezet</v>
      </c>
      <c r="N1887" s="322" t="str">
        <f>VLOOKUP(F1887,PAR!$R$3:$S$5,2,FALSE)</f>
        <v>3 - egyik sem</v>
      </c>
      <c r="O1887" t="str">
        <f>IFERROR(VLOOKUP(J1887,PAR!$O$3:$P$5,2,FALSE),"nincs feladat")</f>
        <v>nincs feladat</v>
      </c>
      <c r="P1887" t="str">
        <f>IFERROR(VLOOKUP(G1887,PAR!$J$2:$M$19,4),"nincs rovat")</f>
        <v>nincs rovat</v>
      </c>
      <c r="Q1887" t="str">
        <f>IF(H1887&gt;0,VLOOKUP(H1887,PAR!$AA$3:$AC$187,3,FALSE),"nincs főkönyvi számla")</f>
        <v>nincs főkönyvi számla</v>
      </c>
      <c r="R1887" t="str">
        <f>IFERROR(VLOOKUP(K1887,PAR!$V$3:$X$438,3,FALSE),"000000 - Nincs COFOG")</f>
        <v>000000 - Nincs COFOG</v>
      </c>
      <c r="S1887">
        <f t="shared" si="563"/>
        <v>0</v>
      </c>
      <c r="T1887">
        <f t="shared" si="564"/>
        <v>0</v>
      </c>
      <c r="U1887" t="str">
        <f>IF('906MP'!J1587&gt;0,CONCATENATE('906MP'!J1587," - ",'906MP'!P1587,", ",'906MP'!E1587),"nincs megjegyzés")</f>
        <v>nincs megjegyzés</v>
      </c>
      <c r="V1887" t="str">
        <f t="shared" si="551"/>
        <v>0P0</v>
      </c>
      <c r="W1887" t="str">
        <f t="shared" si="552"/>
        <v>0P0</v>
      </c>
      <c r="X1887" t="str">
        <f t="shared" si="553"/>
        <v>P0</v>
      </c>
      <c r="Y1887" t="str">
        <f t="shared" si="554"/>
        <v>00</v>
      </c>
      <c r="Z1887" t="str">
        <f t="shared" si="565"/>
        <v>00</v>
      </c>
      <c r="AA1887" t="str">
        <f t="shared" si="555"/>
        <v>00</v>
      </c>
      <c r="AB1887" t="str">
        <f t="shared" si="556"/>
        <v>00</v>
      </c>
      <c r="AC1887" t="str">
        <f t="shared" si="557"/>
        <v>0P0</v>
      </c>
      <c r="AD1887" t="str">
        <f t="shared" si="558"/>
        <v>P00</v>
      </c>
      <c r="AE1887" t="str">
        <f t="shared" si="559"/>
        <v>0P0</v>
      </c>
      <c r="AF1887" t="str">
        <f t="shared" si="560"/>
        <v>P00</v>
      </c>
      <c r="AG1887" t="str">
        <f t="shared" si="566"/>
        <v>0P00</v>
      </c>
      <c r="AH1887" t="str">
        <f t="shared" si="567"/>
        <v>P000</v>
      </c>
      <c r="AI1887" t="str">
        <f t="shared" si="568"/>
        <v>0P00</v>
      </c>
      <c r="AJ1887" t="str">
        <f t="shared" si="569"/>
        <v>P000</v>
      </c>
    </row>
    <row r="1888" spans="1:36" x14ac:dyDescent="0.25">
      <c r="A1888" s="325" t="str">
        <f>CONCATENATE("P",'906MP'!M1588)</f>
        <v>P</v>
      </c>
      <c r="B1888">
        <f>'906MP'!H1588</f>
        <v>0</v>
      </c>
      <c r="C1888">
        <f>'906MP'!J1588</f>
        <v>0</v>
      </c>
      <c r="D1888">
        <f>'906MP'!P1588</f>
        <v>0</v>
      </c>
      <c r="E1888">
        <f>'906MP'!X1588</f>
        <v>0</v>
      </c>
      <c r="F1888" t="str">
        <f t="shared" si="561"/>
        <v>0</v>
      </c>
      <c r="G1888" t="str">
        <f t="shared" si="562"/>
        <v>0</v>
      </c>
      <c r="H1888">
        <f>'906MP'!Y1588</f>
        <v>0</v>
      </c>
      <c r="I1888">
        <f>'906MP'!AK1588</f>
        <v>0</v>
      </c>
      <c r="J1888">
        <f>'906MP'!T1588</f>
        <v>0</v>
      </c>
      <c r="K1888">
        <f>'906MP'!AJ1588</f>
        <v>0</v>
      </c>
      <c r="L1888">
        <f>'906MP'!U1588</f>
        <v>0</v>
      </c>
      <c r="M1888" s="322" t="str">
        <f>IFERROR(VLOOKUP(A1888,PAR!$D$3:$E$53,2,FALSE),"nincs szervezet")</f>
        <v>nincs szervezet</v>
      </c>
      <c r="N1888" s="322" t="str">
        <f>VLOOKUP(F1888,PAR!$R$3:$S$5,2,FALSE)</f>
        <v>3 - egyik sem</v>
      </c>
      <c r="O1888" t="str">
        <f>IFERROR(VLOOKUP(J1888,PAR!$O$3:$P$5,2,FALSE),"nincs feladat")</f>
        <v>nincs feladat</v>
      </c>
      <c r="P1888" t="str">
        <f>IFERROR(VLOOKUP(G1888,PAR!$J$2:$M$19,4),"nincs rovat")</f>
        <v>nincs rovat</v>
      </c>
      <c r="Q1888" t="str">
        <f>IF(H1888&gt;0,VLOOKUP(H1888,PAR!$AA$3:$AC$187,3,FALSE),"nincs főkönyvi számla")</f>
        <v>nincs főkönyvi számla</v>
      </c>
      <c r="R1888" t="str">
        <f>IFERROR(VLOOKUP(K1888,PAR!$V$3:$X$438,3,FALSE),"000000 - Nincs COFOG")</f>
        <v>000000 - Nincs COFOG</v>
      </c>
      <c r="S1888">
        <f t="shared" si="563"/>
        <v>0</v>
      </c>
      <c r="T1888">
        <f t="shared" si="564"/>
        <v>0</v>
      </c>
      <c r="U1888" t="str">
        <f>IF('906MP'!J1588&gt;0,CONCATENATE('906MP'!J1588," - ",'906MP'!P1588,", ",'906MP'!E1588),"nincs megjegyzés")</f>
        <v>nincs megjegyzés</v>
      </c>
      <c r="V1888" t="str">
        <f t="shared" si="551"/>
        <v>0P0</v>
      </c>
      <c r="W1888" t="str">
        <f t="shared" si="552"/>
        <v>0P0</v>
      </c>
      <c r="X1888" t="str">
        <f t="shared" si="553"/>
        <v>P0</v>
      </c>
      <c r="Y1888" t="str">
        <f t="shared" si="554"/>
        <v>00</v>
      </c>
      <c r="Z1888" t="str">
        <f t="shared" si="565"/>
        <v>00</v>
      </c>
      <c r="AA1888" t="str">
        <f t="shared" si="555"/>
        <v>00</v>
      </c>
      <c r="AB1888" t="str">
        <f t="shared" si="556"/>
        <v>00</v>
      </c>
      <c r="AC1888" t="str">
        <f t="shared" si="557"/>
        <v>0P0</v>
      </c>
      <c r="AD1888" t="str">
        <f t="shared" si="558"/>
        <v>P00</v>
      </c>
      <c r="AE1888" t="str">
        <f t="shared" si="559"/>
        <v>0P0</v>
      </c>
      <c r="AF1888" t="str">
        <f t="shared" si="560"/>
        <v>P00</v>
      </c>
      <c r="AG1888" t="str">
        <f t="shared" si="566"/>
        <v>0P00</v>
      </c>
      <c r="AH1888" t="str">
        <f t="shared" si="567"/>
        <v>P000</v>
      </c>
      <c r="AI1888" t="str">
        <f t="shared" si="568"/>
        <v>0P00</v>
      </c>
      <c r="AJ1888" t="str">
        <f t="shared" si="569"/>
        <v>P000</v>
      </c>
    </row>
    <row r="1889" spans="1:36" x14ac:dyDescent="0.25">
      <c r="A1889" s="325" t="str">
        <f>CONCATENATE("P",'906MP'!M1589)</f>
        <v>P</v>
      </c>
      <c r="B1889">
        <f>'906MP'!H1589</f>
        <v>0</v>
      </c>
      <c r="C1889">
        <f>'906MP'!J1589</f>
        <v>0</v>
      </c>
      <c r="D1889">
        <f>'906MP'!P1589</f>
        <v>0</v>
      </c>
      <c r="E1889">
        <f>'906MP'!X1589</f>
        <v>0</v>
      </c>
      <c r="F1889" t="str">
        <f t="shared" si="561"/>
        <v>0</v>
      </c>
      <c r="G1889" t="str">
        <f t="shared" si="562"/>
        <v>0</v>
      </c>
      <c r="H1889">
        <f>'906MP'!Y1589</f>
        <v>0</v>
      </c>
      <c r="I1889">
        <f>'906MP'!AK1589</f>
        <v>0</v>
      </c>
      <c r="J1889">
        <f>'906MP'!T1589</f>
        <v>0</v>
      </c>
      <c r="K1889">
        <f>'906MP'!AJ1589</f>
        <v>0</v>
      </c>
      <c r="L1889">
        <f>'906MP'!U1589</f>
        <v>0</v>
      </c>
      <c r="M1889" s="322" t="str">
        <f>IFERROR(VLOOKUP(A1889,PAR!$D$3:$E$53,2,FALSE),"nincs szervezet")</f>
        <v>nincs szervezet</v>
      </c>
      <c r="N1889" s="322" t="str">
        <f>VLOOKUP(F1889,PAR!$R$3:$S$5,2,FALSE)</f>
        <v>3 - egyik sem</v>
      </c>
      <c r="O1889" t="str">
        <f>IFERROR(VLOOKUP(J1889,PAR!$O$3:$P$5,2,FALSE),"nincs feladat")</f>
        <v>nincs feladat</v>
      </c>
      <c r="P1889" t="str">
        <f>IFERROR(VLOOKUP(G1889,PAR!$J$2:$M$19,4),"nincs rovat")</f>
        <v>nincs rovat</v>
      </c>
      <c r="Q1889" t="str">
        <f>IF(H1889&gt;0,VLOOKUP(H1889,PAR!$AA$3:$AC$187,3,FALSE),"nincs főkönyvi számla")</f>
        <v>nincs főkönyvi számla</v>
      </c>
      <c r="R1889" t="str">
        <f>IFERROR(VLOOKUP(K1889,PAR!$V$3:$X$438,3,FALSE),"000000 - Nincs COFOG")</f>
        <v>000000 - Nincs COFOG</v>
      </c>
      <c r="S1889">
        <f t="shared" si="563"/>
        <v>0</v>
      </c>
      <c r="T1889">
        <f t="shared" si="564"/>
        <v>0</v>
      </c>
      <c r="U1889" t="str">
        <f>IF('906MP'!J1589&gt;0,CONCATENATE('906MP'!J1589," - ",'906MP'!P1589,", ",'906MP'!E1589),"nincs megjegyzés")</f>
        <v>nincs megjegyzés</v>
      </c>
      <c r="V1889" t="str">
        <f t="shared" si="551"/>
        <v>0P0</v>
      </c>
      <c r="W1889" t="str">
        <f t="shared" si="552"/>
        <v>0P0</v>
      </c>
      <c r="X1889" t="str">
        <f t="shared" si="553"/>
        <v>P0</v>
      </c>
      <c r="Y1889" t="str">
        <f t="shared" si="554"/>
        <v>00</v>
      </c>
      <c r="Z1889" t="str">
        <f t="shared" si="565"/>
        <v>00</v>
      </c>
      <c r="AA1889" t="str">
        <f t="shared" si="555"/>
        <v>00</v>
      </c>
      <c r="AB1889" t="str">
        <f t="shared" si="556"/>
        <v>00</v>
      </c>
      <c r="AC1889" t="str">
        <f t="shared" si="557"/>
        <v>0P0</v>
      </c>
      <c r="AD1889" t="str">
        <f t="shared" si="558"/>
        <v>P00</v>
      </c>
      <c r="AE1889" t="str">
        <f t="shared" si="559"/>
        <v>0P0</v>
      </c>
      <c r="AF1889" t="str">
        <f t="shared" si="560"/>
        <v>P00</v>
      </c>
      <c r="AG1889" t="str">
        <f t="shared" si="566"/>
        <v>0P00</v>
      </c>
      <c r="AH1889" t="str">
        <f t="shared" si="567"/>
        <v>P000</v>
      </c>
      <c r="AI1889" t="str">
        <f t="shared" si="568"/>
        <v>0P00</v>
      </c>
      <c r="AJ1889" t="str">
        <f t="shared" si="569"/>
        <v>P000</v>
      </c>
    </row>
    <row r="1890" spans="1:36" x14ac:dyDescent="0.25">
      <c r="A1890" s="325" t="str">
        <f>CONCATENATE("P",'906MP'!M1590)</f>
        <v>P</v>
      </c>
      <c r="B1890">
        <f>'906MP'!H1590</f>
        <v>0</v>
      </c>
      <c r="C1890">
        <f>'906MP'!J1590</f>
        <v>0</v>
      </c>
      <c r="D1890">
        <f>'906MP'!P1590</f>
        <v>0</v>
      </c>
      <c r="E1890">
        <f>'906MP'!X1590</f>
        <v>0</v>
      </c>
      <c r="F1890" t="str">
        <f t="shared" si="561"/>
        <v>0</v>
      </c>
      <c r="G1890" t="str">
        <f t="shared" si="562"/>
        <v>0</v>
      </c>
      <c r="H1890">
        <f>'906MP'!Y1590</f>
        <v>0</v>
      </c>
      <c r="I1890">
        <f>'906MP'!AK1590</f>
        <v>0</v>
      </c>
      <c r="J1890">
        <f>'906MP'!T1590</f>
        <v>0</v>
      </c>
      <c r="K1890">
        <f>'906MP'!AJ1590</f>
        <v>0</v>
      </c>
      <c r="L1890">
        <f>'906MP'!U1590</f>
        <v>0</v>
      </c>
      <c r="M1890" s="322" t="str">
        <f>IFERROR(VLOOKUP(A1890,PAR!$D$3:$E$53,2,FALSE),"nincs szervezet")</f>
        <v>nincs szervezet</v>
      </c>
      <c r="N1890" s="322" t="str">
        <f>VLOOKUP(F1890,PAR!$R$3:$S$5,2,FALSE)</f>
        <v>3 - egyik sem</v>
      </c>
      <c r="O1890" t="str">
        <f>IFERROR(VLOOKUP(J1890,PAR!$O$3:$P$5,2,FALSE),"nincs feladat")</f>
        <v>nincs feladat</v>
      </c>
      <c r="P1890" t="str">
        <f>IFERROR(VLOOKUP(G1890,PAR!$J$2:$M$19,4),"nincs rovat")</f>
        <v>nincs rovat</v>
      </c>
      <c r="Q1890" t="str">
        <f>IF(H1890&gt;0,VLOOKUP(H1890,PAR!$AA$3:$AC$187,3,FALSE),"nincs főkönyvi számla")</f>
        <v>nincs főkönyvi számla</v>
      </c>
      <c r="R1890" t="str">
        <f>IFERROR(VLOOKUP(K1890,PAR!$V$3:$X$438,3,FALSE),"000000 - Nincs COFOG")</f>
        <v>000000 - Nincs COFOG</v>
      </c>
      <c r="S1890">
        <f t="shared" si="563"/>
        <v>0</v>
      </c>
      <c r="T1890">
        <f t="shared" si="564"/>
        <v>0</v>
      </c>
      <c r="U1890" t="str">
        <f>IF('906MP'!J1590&gt;0,CONCATENATE('906MP'!J1590," - ",'906MP'!P1590,", ",'906MP'!E1590),"nincs megjegyzés")</f>
        <v>nincs megjegyzés</v>
      </c>
      <c r="V1890" t="str">
        <f t="shared" si="551"/>
        <v>0P0</v>
      </c>
      <c r="W1890" t="str">
        <f t="shared" si="552"/>
        <v>0P0</v>
      </c>
      <c r="X1890" t="str">
        <f t="shared" si="553"/>
        <v>P0</v>
      </c>
      <c r="Y1890" t="str">
        <f t="shared" si="554"/>
        <v>00</v>
      </c>
      <c r="Z1890" t="str">
        <f t="shared" si="565"/>
        <v>00</v>
      </c>
      <c r="AA1890" t="str">
        <f t="shared" si="555"/>
        <v>00</v>
      </c>
      <c r="AB1890" t="str">
        <f t="shared" si="556"/>
        <v>00</v>
      </c>
      <c r="AC1890" t="str">
        <f t="shared" si="557"/>
        <v>0P0</v>
      </c>
      <c r="AD1890" t="str">
        <f t="shared" si="558"/>
        <v>P00</v>
      </c>
      <c r="AE1890" t="str">
        <f t="shared" si="559"/>
        <v>0P0</v>
      </c>
      <c r="AF1890" t="str">
        <f t="shared" si="560"/>
        <v>P00</v>
      </c>
      <c r="AG1890" t="str">
        <f t="shared" si="566"/>
        <v>0P00</v>
      </c>
      <c r="AH1890" t="str">
        <f t="shared" si="567"/>
        <v>P000</v>
      </c>
      <c r="AI1890" t="str">
        <f t="shared" si="568"/>
        <v>0P00</v>
      </c>
      <c r="AJ1890" t="str">
        <f t="shared" si="569"/>
        <v>P000</v>
      </c>
    </row>
    <row r="1891" spans="1:36" x14ac:dyDescent="0.25">
      <c r="A1891" s="325" t="str">
        <f>CONCATENATE("P",'906MP'!M1591)</f>
        <v>P</v>
      </c>
      <c r="B1891">
        <f>'906MP'!H1591</f>
        <v>0</v>
      </c>
      <c r="C1891">
        <f>'906MP'!J1591</f>
        <v>0</v>
      </c>
      <c r="D1891">
        <f>'906MP'!P1591</f>
        <v>0</v>
      </c>
      <c r="E1891">
        <f>'906MP'!X1591</f>
        <v>0</v>
      </c>
      <c r="F1891" t="str">
        <f t="shared" si="561"/>
        <v>0</v>
      </c>
      <c r="G1891" t="str">
        <f t="shared" si="562"/>
        <v>0</v>
      </c>
      <c r="H1891">
        <f>'906MP'!Y1591</f>
        <v>0</v>
      </c>
      <c r="I1891">
        <f>'906MP'!AK1591</f>
        <v>0</v>
      </c>
      <c r="J1891">
        <f>'906MP'!T1591</f>
        <v>0</v>
      </c>
      <c r="K1891">
        <f>'906MP'!AJ1591</f>
        <v>0</v>
      </c>
      <c r="L1891">
        <f>'906MP'!U1591</f>
        <v>0</v>
      </c>
      <c r="M1891" s="322" t="str">
        <f>IFERROR(VLOOKUP(A1891,PAR!$D$3:$E$53,2,FALSE),"nincs szervezet")</f>
        <v>nincs szervezet</v>
      </c>
      <c r="N1891" s="322" t="str">
        <f>VLOOKUP(F1891,PAR!$R$3:$S$5,2,FALSE)</f>
        <v>3 - egyik sem</v>
      </c>
      <c r="O1891" t="str">
        <f>IFERROR(VLOOKUP(J1891,PAR!$O$3:$P$5,2,FALSE),"nincs feladat")</f>
        <v>nincs feladat</v>
      </c>
      <c r="P1891" t="str">
        <f>IFERROR(VLOOKUP(G1891,PAR!$J$2:$M$19,4),"nincs rovat")</f>
        <v>nincs rovat</v>
      </c>
      <c r="Q1891" t="str">
        <f>IF(H1891&gt;0,VLOOKUP(H1891,PAR!$AA$3:$AC$187,3,FALSE),"nincs főkönyvi számla")</f>
        <v>nincs főkönyvi számla</v>
      </c>
      <c r="R1891" t="str">
        <f>IFERROR(VLOOKUP(K1891,PAR!$V$3:$X$438,3,FALSE),"000000 - Nincs COFOG")</f>
        <v>000000 - Nincs COFOG</v>
      </c>
      <c r="S1891">
        <f t="shared" si="563"/>
        <v>0</v>
      </c>
      <c r="T1891">
        <f t="shared" si="564"/>
        <v>0</v>
      </c>
      <c r="U1891" t="str">
        <f>IF('906MP'!J1591&gt;0,CONCATENATE('906MP'!J1591," - ",'906MP'!P1591,", ",'906MP'!E1591),"nincs megjegyzés")</f>
        <v>nincs megjegyzés</v>
      </c>
      <c r="V1891" t="str">
        <f t="shared" si="551"/>
        <v>0P0</v>
      </c>
      <c r="W1891" t="str">
        <f t="shared" si="552"/>
        <v>0P0</v>
      </c>
      <c r="X1891" t="str">
        <f t="shared" si="553"/>
        <v>P0</v>
      </c>
      <c r="Y1891" t="str">
        <f t="shared" si="554"/>
        <v>00</v>
      </c>
      <c r="Z1891" t="str">
        <f t="shared" si="565"/>
        <v>00</v>
      </c>
      <c r="AA1891" t="str">
        <f t="shared" si="555"/>
        <v>00</v>
      </c>
      <c r="AB1891" t="str">
        <f t="shared" si="556"/>
        <v>00</v>
      </c>
      <c r="AC1891" t="str">
        <f t="shared" si="557"/>
        <v>0P0</v>
      </c>
      <c r="AD1891" t="str">
        <f t="shared" si="558"/>
        <v>P00</v>
      </c>
      <c r="AE1891" t="str">
        <f t="shared" si="559"/>
        <v>0P0</v>
      </c>
      <c r="AF1891" t="str">
        <f t="shared" si="560"/>
        <v>P00</v>
      </c>
      <c r="AG1891" t="str">
        <f t="shared" si="566"/>
        <v>0P00</v>
      </c>
      <c r="AH1891" t="str">
        <f t="shared" si="567"/>
        <v>P000</v>
      </c>
      <c r="AI1891" t="str">
        <f t="shared" si="568"/>
        <v>0P00</v>
      </c>
      <c r="AJ1891" t="str">
        <f t="shared" si="569"/>
        <v>P000</v>
      </c>
    </row>
    <row r="1892" spans="1:36" x14ac:dyDescent="0.25">
      <c r="A1892" s="325" t="str">
        <f>CONCATENATE("P",'906MP'!M1592)</f>
        <v>P</v>
      </c>
      <c r="B1892">
        <f>'906MP'!H1592</f>
        <v>0</v>
      </c>
      <c r="C1892">
        <f>'906MP'!J1592</f>
        <v>0</v>
      </c>
      <c r="D1892">
        <f>'906MP'!P1592</f>
        <v>0</v>
      </c>
      <c r="E1892">
        <f>'906MP'!X1592</f>
        <v>0</v>
      </c>
      <c r="F1892" t="str">
        <f t="shared" si="561"/>
        <v>0</v>
      </c>
      <c r="G1892" t="str">
        <f t="shared" si="562"/>
        <v>0</v>
      </c>
      <c r="H1892">
        <f>'906MP'!Y1592</f>
        <v>0</v>
      </c>
      <c r="I1892">
        <f>'906MP'!AK1592</f>
        <v>0</v>
      </c>
      <c r="J1892">
        <f>'906MP'!T1592</f>
        <v>0</v>
      </c>
      <c r="K1892">
        <f>'906MP'!AJ1592</f>
        <v>0</v>
      </c>
      <c r="L1892">
        <f>'906MP'!U1592</f>
        <v>0</v>
      </c>
      <c r="M1892" s="322" t="str">
        <f>IFERROR(VLOOKUP(A1892,PAR!$D$3:$E$53,2,FALSE),"nincs szervezet")</f>
        <v>nincs szervezet</v>
      </c>
      <c r="N1892" s="322" t="str">
        <f>VLOOKUP(F1892,PAR!$R$3:$S$5,2,FALSE)</f>
        <v>3 - egyik sem</v>
      </c>
      <c r="O1892" t="str">
        <f>IFERROR(VLOOKUP(J1892,PAR!$O$3:$P$5,2,FALSE),"nincs feladat")</f>
        <v>nincs feladat</v>
      </c>
      <c r="P1892" t="str">
        <f>IFERROR(VLOOKUP(G1892,PAR!$J$2:$M$19,4),"nincs rovat")</f>
        <v>nincs rovat</v>
      </c>
      <c r="Q1892" t="str">
        <f>IF(H1892&gt;0,VLOOKUP(H1892,PAR!$AA$3:$AC$187,3,FALSE),"nincs főkönyvi számla")</f>
        <v>nincs főkönyvi számla</v>
      </c>
      <c r="R1892" t="str">
        <f>IFERROR(VLOOKUP(K1892,PAR!$V$3:$X$438,3,FALSE),"000000 - Nincs COFOG")</f>
        <v>000000 - Nincs COFOG</v>
      </c>
      <c r="S1892">
        <f t="shared" si="563"/>
        <v>0</v>
      </c>
      <c r="T1892">
        <f t="shared" si="564"/>
        <v>0</v>
      </c>
      <c r="U1892" t="str">
        <f>IF('906MP'!J1592&gt;0,CONCATENATE('906MP'!J1592," - ",'906MP'!P1592,", ",'906MP'!E1592),"nincs megjegyzés")</f>
        <v>nincs megjegyzés</v>
      </c>
      <c r="V1892" t="str">
        <f t="shared" si="551"/>
        <v>0P0</v>
      </c>
      <c r="W1892" t="str">
        <f t="shared" si="552"/>
        <v>0P0</v>
      </c>
      <c r="X1892" t="str">
        <f t="shared" si="553"/>
        <v>P0</v>
      </c>
      <c r="Y1892" t="str">
        <f t="shared" si="554"/>
        <v>00</v>
      </c>
      <c r="Z1892" t="str">
        <f t="shared" si="565"/>
        <v>00</v>
      </c>
      <c r="AA1892" t="str">
        <f t="shared" si="555"/>
        <v>00</v>
      </c>
      <c r="AB1892" t="str">
        <f t="shared" si="556"/>
        <v>00</v>
      </c>
      <c r="AC1892" t="str">
        <f t="shared" si="557"/>
        <v>0P0</v>
      </c>
      <c r="AD1892" t="str">
        <f t="shared" si="558"/>
        <v>P00</v>
      </c>
      <c r="AE1892" t="str">
        <f t="shared" si="559"/>
        <v>0P0</v>
      </c>
      <c r="AF1892" t="str">
        <f t="shared" si="560"/>
        <v>P00</v>
      </c>
      <c r="AG1892" t="str">
        <f t="shared" si="566"/>
        <v>0P00</v>
      </c>
      <c r="AH1892" t="str">
        <f t="shared" si="567"/>
        <v>P000</v>
      </c>
      <c r="AI1892" t="str">
        <f t="shared" si="568"/>
        <v>0P00</v>
      </c>
      <c r="AJ1892" t="str">
        <f t="shared" si="569"/>
        <v>P000</v>
      </c>
    </row>
    <row r="1893" spans="1:36" x14ac:dyDescent="0.25">
      <c r="A1893" s="325" t="str">
        <f>CONCATENATE("P",'906MP'!M1593)</f>
        <v>P</v>
      </c>
      <c r="B1893">
        <f>'906MP'!H1593</f>
        <v>0</v>
      </c>
      <c r="C1893">
        <f>'906MP'!J1593</f>
        <v>0</v>
      </c>
      <c r="D1893">
        <f>'906MP'!P1593</f>
        <v>0</v>
      </c>
      <c r="E1893">
        <f>'906MP'!X1593</f>
        <v>0</v>
      </c>
      <c r="F1893" t="str">
        <f t="shared" si="561"/>
        <v>0</v>
      </c>
      <c r="G1893" t="str">
        <f t="shared" si="562"/>
        <v>0</v>
      </c>
      <c r="H1893">
        <f>'906MP'!Y1593</f>
        <v>0</v>
      </c>
      <c r="I1893">
        <f>'906MP'!AK1593</f>
        <v>0</v>
      </c>
      <c r="J1893">
        <f>'906MP'!T1593</f>
        <v>0</v>
      </c>
      <c r="K1893">
        <f>'906MP'!AJ1593</f>
        <v>0</v>
      </c>
      <c r="L1893">
        <f>'906MP'!U1593</f>
        <v>0</v>
      </c>
      <c r="M1893" s="322" t="str">
        <f>IFERROR(VLOOKUP(A1893,PAR!$D$3:$E$53,2,FALSE),"nincs szervezet")</f>
        <v>nincs szervezet</v>
      </c>
      <c r="N1893" s="322" t="str">
        <f>VLOOKUP(F1893,PAR!$R$3:$S$5,2,FALSE)</f>
        <v>3 - egyik sem</v>
      </c>
      <c r="O1893" t="str">
        <f>IFERROR(VLOOKUP(J1893,PAR!$O$3:$P$5,2,FALSE),"nincs feladat")</f>
        <v>nincs feladat</v>
      </c>
      <c r="P1893" t="str">
        <f>IFERROR(VLOOKUP(G1893,PAR!$J$2:$M$19,4),"nincs rovat")</f>
        <v>nincs rovat</v>
      </c>
      <c r="Q1893" t="str">
        <f>IF(H1893&gt;0,VLOOKUP(H1893,PAR!$AA$3:$AC$187,3,FALSE),"nincs főkönyvi számla")</f>
        <v>nincs főkönyvi számla</v>
      </c>
      <c r="R1893" t="str">
        <f>IFERROR(VLOOKUP(K1893,PAR!$V$3:$X$438,3,FALSE),"000000 - Nincs COFOG")</f>
        <v>000000 - Nincs COFOG</v>
      </c>
      <c r="S1893">
        <f t="shared" si="563"/>
        <v>0</v>
      </c>
      <c r="T1893">
        <f t="shared" si="564"/>
        <v>0</v>
      </c>
      <c r="U1893" t="str">
        <f>IF('906MP'!J1593&gt;0,CONCATENATE('906MP'!J1593," - ",'906MP'!P1593,", ",'906MP'!E1593),"nincs megjegyzés")</f>
        <v>nincs megjegyzés</v>
      </c>
      <c r="V1893" t="str">
        <f t="shared" si="551"/>
        <v>0P0</v>
      </c>
      <c r="W1893" t="str">
        <f t="shared" si="552"/>
        <v>0P0</v>
      </c>
      <c r="X1893" t="str">
        <f t="shared" si="553"/>
        <v>P0</v>
      </c>
      <c r="Y1893" t="str">
        <f t="shared" si="554"/>
        <v>00</v>
      </c>
      <c r="Z1893" t="str">
        <f t="shared" si="565"/>
        <v>00</v>
      </c>
      <c r="AA1893" t="str">
        <f t="shared" si="555"/>
        <v>00</v>
      </c>
      <c r="AB1893" t="str">
        <f t="shared" si="556"/>
        <v>00</v>
      </c>
      <c r="AC1893" t="str">
        <f t="shared" si="557"/>
        <v>0P0</v>
      </c>
      <c r="AD1893" t="str">
        <f t="shared" si="558"/>
        <v>P00</v>
      </c>
      <c r="AE1893" t="str">
        <f t="shared" si="559"/>
        <v>0P0</v>
      </c>
      <c r="AF1893" t="str">
        <f t="shared" si="560"/>
        <v>P00</v>
      </c>
      <c r="AG1893" t="str">
        <f t="shared" si="566"/>
        <v>0P00</v>
      </c>
      <c r="AH1893" t="str">
        <f t="shared" si="567"/>
        <v>P000</v>
      </c>
      <c r="AI1893" t="str">
        <f t="shared" si="568"/>
        <v>0P00</v>
      </c>
      <c r="AJ1893" t="str">
        <f t="shared" si="569"/>
        <v>P000</v>
      </c>
    </row>
    <row r="1894" spans="1:36" x14ac:dyDescent="0.25">
      <c r="A1894" s="325" t="str">
        <f>CONCATENATE("P",'906MP'!M1594)</f>
        <v>P</v>
      </c>
      <c r="B1894">
        <f>'906MP'!H1594</f>
        <v>0</v>
      </c>
      <c r="C1894">
        <f>'906MP'!J1594</f>
        <v>0</v>
      </c>
      <c r="D1894">
        <f>'906MP'!P1594</f>
        <v>0</v>
      </c>
      <c r="E1894">
        <f>'906MP'!X1594</f>
        <v>0</v>
      </c>
      <c r="F1894" t="str">
        <f t="shared" si="561"/>
        <v>0</v>
      </c>
      <c r="G1894" t="str">
        <f t="shared" si="562"/>
        <v>0</v>
      </c>
      <c r="H1894">
        <f>'906MP'!Y1594</f>
        <v>0</v>
      </c>
      <c r="I1894">
        <f>'906MP'!AK1594</f>
        <v>0</v>
      </c>
      <c r="J1894">
        <f>'906MP'!T1594</f>
        <v>0</v>
      </c>
      <c r="K1894">
        <f>'906MP'!AJ1594</f>
        <v>0</v>
      </c>
      <c r="L1894">
        <f>'906MP'!U1594</f>
        <v>0</v>
      </c>
      <c r="M1894" s="322" t="str">
        <f>IFERROR(VLOOKUP(A1894,PAR!$D$3:$E$53,2,FALSE),"nincs szervezet")</f>
        <v>nincs szervezet</v>
      </c>
      <c r="N1894" s="322" t="str">
        <f>VLOOKUP(F1894,PAR!$R$3:$S$5,2,FALSE)</f>
        <v>3 - egyik sem</v>
      </c>
      <c r="O1894" t="str">
        <f>IFERROR(VLOOKUP(J1894,PAR!$O$3:$P$5,2,FALSE),"nincs feladat")</f>
        <v>nincs feladat</v>
      </c>
      <c r="P1894" t="str">
        <f>IFERROR(VLOOKUP(G1894,PAR!$J$2:$M$19,4),"nincs rovat")</f>
        <v>nincs rovat</v>
      </c>
      <c r="Q1894" t="str">
        <f>IF(H1894&gt;0,VLOOKUP(H1894,PAR!$AA$3:$AC$187,3,FALSE),"nincs főkönyvi számla")</f>
        <v>nincs főkönyvi számla</v>
      </c>
      <c r="R1894" t="str">
        <f>IFERROR(VLOOKUP(K1894,PAR!$V$3:$X$438,3,FALSE),"000000 - Nincs COFOG")</f>
        <v>000000 - Nincs COFOG</v>
      </c>
      <c r="S1894">
        <f t="shared" si="563"/>
        <v>0</v>
      </c>
      <c r="T1894">
        <f t="shared" si="564"/>
        <v>0</v>
      </c>
      <c r="U1894" t="str">
        <f>IF('906MP'!J1594&gt;0,CONCATENATE('906MP'!J1594," - ",'906MP'!P1594,", ",'906MP'!E1594),"nincs megjegyzés")</f>
        <v>nincs megjegyzés</v>
      </c>
      <c r="V1894" t="str">
        <f t="shared" si="551"/>
        <v>0P0</v>
      </c>
      <c r="W1894" t="str">
        <f t="shared" si="552"/>
        <v>0P0</v>
      </c>
      <c r="X1894" t="str">
        <f t="shared" si="553"/>
        <v>P0</v>
      </c>
      <c r="Y1894" t="str">
        <f t="shared" si="554"/>
        <v>00</v>
      </c>
      <c r="Z1894" t="str">
        <f t="shared" si="565"/>
        <v>00</v>
      </c>
      <c r="AA1894" t="str">
        <f t="shared" si="555"/>
        <v>00</v>
      </c>
      <c r="AB1894" t="str">
        <f t="shared" si="556"/>
        <v>00</v>
      </c>
      <c r="AC1894" t="str">
        <f t="shared" si="557"/>
        <v>0P0</v>
      </c>
      <c r="AD1894" t="str">
        <f t="shared" si="558"/>
        <v>P00</v>
      </c>
      <c r="AE1894" t="str">
        <f t="shared" si="559"/>
        <v>0P0</v>
      </c>
      <c r="AF1894" t="str">
        <f t="shared" si="560"/>
        <v>P00</v>
      </c>
      <c r="AG1894" t="str">
        <f t="shared" si="566"/>
        <v>0P00</v>
      </c>
      <c r="AH1894" t="str">
        <f t="shared" si="567"/>
        <v>P000</v>
      </c>
      <c r="AI1894" t="str">
        <f t="shared" si="568"/>
        <v>0P00</v>
      </c>
      <c r="AJ1894" t="str">
        <f t="shared" si="569"/>
        <v>P000</v>
      </c>
    </row>
    <row r="1895" spans="1:36" x14ac:dyDescent="0.25">
      <c r="A1895" s="325" t="str">
        <f>CONCATENATE("P",'906MP'!M1595)</f>
        <v>P</v>
      </c>
      <c r="B1895">
        <f>'906MP'!H1595</f>
        <v>0</v>
      </c>
      <c r="C1895">
        <f>'906MP'!J1595</f>
        <v>0</v>
      </c>
      <c r="D1895">
        <f>'906MP'!P1595</f>
        <v>0</v>
      </c>
      <c r="E1895">
        <f>'906MP'!X1595</f>
        <v>0</v>
      </c>
      <c r="F1895" t="str">
        <f t="shared" si="561"/>
        <v>0</v>
      </c>
      <c r="G1895" t="str">
        <f t="shared" si="562"/>
        <v>0</v>
      </c>
      <c r="H1895">
        <f>'906MP'!Y1595</f>
        <v>0</v>
      </c>
      <c r="I1895">
        <f>'906MP'!AK1595</f>
        <v>0</v>
      </c>
      <c r="J1895">
        <f>'906MP'!T1595</f>
        <v>0</v>
      </c>
      <c r="K1895">
        <f>'906MP'!AJ1595</f>
        <v>0</v>
      </c>
      <c r="L1895">
        <f>'906MP'!U1595</f>
        <v>0</v>
      </c>
      <c r="M1895" s="322" t="str">
        <f>IFERROR(VLOOKUP(A1895,PAR!$D$3:$E$53,2,FALSE),"nincs szervezet")</f>
        <v>nincs szervezet</v>
      </c>
      <c r="N1895" s="322" t="str">
        <f>VLOOKUP(F1895,PAR!$R$3:$S$5,2,FALSE)</f>
        <v>3 - egyik sem</v>
      </c>
      <c r="O1895" t="str">
        <f>IFERROR(VLOOKUP(J1895,PAR!$O$3:$P$5,2,FALSE),"nincs feladat")</f>
        <v>nincs feladat</v>
      </c>
      <c r="P1895" t="str">
        <f>IFERROR(VLOOKUP(G1895,PAR!$J$2:$M$19,4),"nincs rovat")</f>
        <v>nincs rovat</v>
      </c>
      <c r="Q1895" t="str">
        <f>IF(H1895&gt;0,VLOOKUP(H1895,PAR!$AA$3:$AC$187,3,FALSE),"nincs főkönyvi számla")</f>
        <v>nincs főkönyvi számla</v>
      </c>
      <c r="R1895" t="str">
        <f>IFERROR(VLOOKUP(K1895,PAR!$V$3:$X$438,3,FALSE),"000000 - Nincs COFOG")</f>
        <v>000000 - Nincs COFOG</v>
      </c>
      <c r="S1895">
        <f t="shared" si="563"/>
        <v>0</v>
      </c>
      <c r="T1895">
        <f t="shared" si="564"/>
        <v>0</v>
      </c>
      <c r="U1895" t="str">
        <f>IF('906MP'!J1595&gt;0,CONCATENATE('906MP'!J1595," - ",'906MP'!P1595,", ",'906MP'!E1595),"nincs megjegyzés")</f>
        <v>nincs megjegyzés</v>
      </c>
      <c r="V1895" t="str">
        <f t="shared" si="551"/>
        <v>0P0</v>
      </c>
      <c r="W1895" t="str">
        <f t="shared" si="552"/>
        <v>0P0</v>
      </c>
      <c r="X1895" t="str">
        <f t="shared" si="553"/>
        <v>P0</v>
      </c>
      <c r="Y1895" t="str">
        <f t="shared" si="554"/>
        <v>00</v>
      </c>
      <c r="Z1895" t="str">
        <f t="shared" si="565"/>
        <v>00</v>
      </c>
      <c r="AA1895" t="str">
        <f t="shared" si="555"/>
        <v>00</v>
      </c>
      <c r="AB1895" t="str">
        <f t="shared" si="556"/>
        <v>00</v>
      </c>
      <c r="AC1895" t="str">
        <f t="shared" si="557"/>
        <v>0P0</v>
      </c>
      <c r="AD1895" t="str">
        <f t="shared" si="558"/>
        <v>P00</v>
      </c>
      <c r="AE1895" t="str">
        <f t="shared" si="559"/>
        <v>0P0</v>
      </c>
      <c r="AF1895" t="str">
        <f t="shared" si="560"/>
        <v>P00</v>
      </c>
      <c r="AG1895" t="str">
        <f t="shared" si="566"/>
        <v>0P00</v>
      </c>
      <c r="AH1895" t="str">
        <f t="shared" si="567"/>
        <v>P000</v>
      </c>
      <c r="AI1895" t="str">
        <f t="shared" si="568"/>
        <v>0P00</v>
      </c>
      <c r="AJ1895" t="str">
        <f t="shared" si="569"/>
        <v>P000</v>
      </c>
    </row>
    <row r="1896" spans="1:36" x14ac:dyDescent="0.25">
      <c r="A1896" s="325" t="str">
        <f>CONCATENATE("P",'906MP'!M1596)</f>
        <v>P</v>
      </c>
      <c r="B1896">
        <f>'906MP'!H1596</f>
        <v>0</v>
      </c>
      <c r="C1896">
        <f>'906MP'!J1596</f>
        <v>0</v>
      </c>
      <c r="D1896">
        <f>'906MP'!P1596</f>
        <v>0</v>
      </c>
      <c r="E1896">
        <f>'906MP'!X1596</f>
        <v>0</v>
      </c>
      <c r="F1896" t="str">
        <f t="shared" si="561"/>
        <v>0</v>
      </c>
      <c r="G1896" t="str">
        <f t="shared" si="562"/>
        <v>0</v>
      </c>
      <c r="H1896">
        <f>'906MP'!Y1596</f>
        <v>0</v>
      </c>
      <c r="I1896">
        <f>'906MP'!AK1596</f>
        <v>0</v>
      </c>
      <c r="J1896">
        <f>'906MP'!T1596</f>
        <v>0</v>
      </c>
      <c r="K1896">
        <f>'906MP'!AJ1596</f>
        <v>0</v>
      </c>
      <c r="L1896">
        <f>'906MP'!U1596</f>
        <v>0</v>
      </c>
      <c r="M1896" s="322" t="str">
        <f>IFERROR(VLOOKUP(A1896,PAR!$D$3:$E$53,2,FALSE),"nincs szervezet")</f>
        <v>nincs szervezet</v>
      </c>
      <c r="N1896" s="322" t="str">
        <f>VLOOKUP(F1896,PAR!$R$3:$S$5,2,FALSE)</f>
        <v>3 - egyik sem</v>
      </c>
      <c r="O1896" t="str">
        <f>IFERROR(VLOOKUP(J1896,PAR!$O$3:$P$5,2,FALSE),"nincs feladat")</f>
        <v>nincs feladat</v>
      </c>
      <c r="P1896" t="str">
        <f>IFERROR(VLOOKUP(G1896,PAR!$J$2:$M$19,4),"nincs rovat")</f>
        <v>nincs rovat</v>
      </c>
      <c r="Q1896" t="str">
        <f>IF(H1896&gt;0,VLOOKUP(H1896,PAR!$AA$3:$AC$187,3,FALSE),"nincs főkönyvi számla")</f>
        <v>nincs főkönyvi számla</v>
      </c>
      <c r="R1896" t="str">
        <f>IFERROR(VLOOKUP(K1896,PAR!$V$3:$X$438,3,FALSE),"000000 - Nincs COFOG")</f>
        <v>000000 - Nincs COFOG</v>
      </c>
      <c r="S1896">
        <f t="shared" si="563"/>
        <v>0</v>
      </c>
      <c r="T1896">
        <f t="shared" si="564"/>
        <v>0</v>
      </c>
      <c r="U1896" t="str">
        <f>IF('906MP'!J1596&gt;0,CONCATENATE('906MP'!J1596," - ",'906MP'!P1596,", ",'906MP'!E1596),"nincs megjegyzés")</f>
        <v>nincs megjegyzés</v>
      </c>
      <c r="V1896" t="str">
        <f t="shared" si="551"/>
        <v>0P0</v>
      </c>
      <c r="W1896" t="str">
        <f t="shared" si="552"/>
        <v>0P0</v>
      </c>
      <c r="X1896" t="str">
        <f t="shared" si="553"/>
        <v>P0</v>
      </c>
      <c r="Y1896" t="str">
        <f t="shared" si="554"/>
        <v>00</v>
      </c>
      <c r="Z1896" t="str">
        <f t="shared" si="565"/>
        <v>00</v>
      </c>
      <c r="AA1896" t="str">
        <f t="shared" si="555"/>
        <v>00</v>
      </c>
      <c r="AB1896" t="str">
        <f t="shared" si="556"/>
        <v>00</v>
      </c>
      <c r="AC1896" t="str">
        <f t="shared" si="557"/>
        <v>0P0</v>
      </c>
      <c r="AD1896" t="str">
        <f t="shared" si="558"/>
        <v>P00</v>
      </c>
      <c r="AE1896" t="str">
        <f t="shared" si="559"/>
        <v>0P0</v>
      </c>
      <c r="AF1896" t="str">
        <f t="shared" si="560"/>
        <v>P00</v>
      </c>
      <c r="AG1896" t="str">
        <f t="shared" si="566"/>
        <v>0P00</v>
      </c>
      <c r="AH1896" t="str">
        <f t="shared" si="567"/>
        <v>P000</v>
      </c>
      <c r="AI1896" t="str">
        <f t="shared" si="568"/>
        <v>0P00</v>
      </c>
      <c r="AJ1896" t="str">
        <f t="shared" si="569"/>
        <v>P000</v>
      </c>
    </row>
    <row r="1897" spans="1:36" x14ac:dyDescent="0.25">
      <c r="A1897" s="325" t="str">
        <f>CONCATENATE("P",'906MP'!M1597)</f>
        <v>P</v>
      </c>
      <c r="B1897">
        <f>'906MP'!H1597</f>
        <v>0</v>
      </c>
      <c r="C1897">
        <f>'906MP'!J1597</f>
        <v>0</v>
      </c>
      <c r="D1897">
        <f>'906MP'!P1597</f>
        <v>0</v>
      </c>
      <c r="E1897">
        <f>'906MP'!X1597</f>
        <v>0</v>
      </c>
      <c r="F1897" t="str">
        <f t="shared" si="561"/>
        <v>0</v>
      </c>
      <c r="G1897" t="str">
        <f t="shared" si="562"/>
        <v>0</v>
      </c>
      <c r="H1897">
        <f>'906MP'!Y1597</f>
        <v>0</v>
      </c>
      <c r="I1897">
        <f>'906MP'!AK1597</f>
        <v>0</v>
      </c>
      <c r="J1897">
        <f>'906MP'!T1597</f>
        <v>0</v>
      </c>
      <c r="K1897">
        <f>'906MP'!AJ1597</f>
        <v>0</v>
      </c>
      <c r="L1897">
        <f>'906MP'!U1597</f>
        <v>0</v>
      </c>
      <c r="M1897" s="322" t="str">
        <f>IFERROR(VLOOKUP(A1897,PAR!$D$3:$E$53,2,FALSE),"nincs szervezet")</f>
        <v>nincs szervezet</v>
      </c>
      <c r="N1897" s="322" t="str">
        <f>VLOOKUP(F1897,PAR!$R$3:$S$5,2,FALSE)</f>
        <v>3 - egyik sem</v>
      </c>
      <c r="O1897" t="str">
        <f>IFERROR(VLOOKUP(J1897,PAR!$O$3:$P$5,2,FALSE),"nincs feladat")</f>
        <v>nincs feladat</v>
      </c>
      <c r="P1897" t="str">
        <f>IFERROR(VLOOKUP(G1897,PAR!$J$2:$M$19,4),"nincs rovat")</f>
        <v>nincs rovat</v>
      </c>
      <c r="Q1897" t="str">
        <f>IF(H1897&gt;0,VLOOKUP(H1897,PAR!$AA$3:$AC$187,3,FALSE),"nincs főkönyvi számla")</f>
        <v>nincs főkönyvi számla</v>
      </c>
      <c r="R1897" t="str">
        <f>IFERROR(VLOOKUP(K1897,PAR!$V$3:$X$438,3,FALSE),"000000 - Nincs COFOG")</f>
        <v>000000 - Nincs COFOG</v>
      </c>
      <c r="S1897">
        <f t="shared" si="563"/>
        <v>0</v>
      </c>
      <c r="T1897">
        <f t="shared" si="564"/>
        <v>0</v>
      </c>
      <c r="U1897" t="str">
        <f>IF('906MP'!J1597&gt;0,CONCATENATE('906MP'!J1597," - ",'906MP'!P1597,", ",'906MP'!E1597),"nincs megjegyzés")</f>
        <v>nincs megjegyzés</v>
      </c>
      <c r="V1897" t="str">
        <f t="shared" si="551"/>
        <v>0P0</v>
      </c>
      <c r="W1897" t="str">
        <f t="shared" si="552"/>
        <v>0P0</v>
      </c>
      <c r="X1897" t="str">
        <f t="shared" si="553"/>
        <v>P0</v>
      </c>
      <c r="Y1897" t="str">
        <f t="shared" si="554"/>
        <v>00</v>
      </c>
      <c r="Z1897" t="str">
        <f t="shared" si="565"/>
        <v>00</v>
      </c>
      <c r="AA1897" t="str">
        <f t="shared" si="555"/>
        <v>00</v>
      </c>
      <c r="AB1897" t="str">
        <f t="shared" si="556"/>
        <v>00</v>
      </c>
      <c r="AC1897" t="str">
        <f t="shared" si="557"/>
        <v>0P0</v>
      </c>
      <c r="AD1897" t="str">
        <f t="shared" si="558"/>
        <v>P00</v>
      </c>
      <c r="AE1897" t="str">
        <f t="shared" si="559"/>
        <v>0P0</v>
      </c>
      <c r="AF1897" t="str">
        <f t="shared" si="560"/>
        <v>P00</v>
      </c>
      <c r="AG1897" t="str">
        <f t="shared" si="566"/>
        <v>0P00</v>
      </c>
      <c r="AH1897" t="str">
        <f t="shared" si="567"/>
        <v>P000</v>
      </c>
      <c r="AI1897" t="str">
        <f t="shared" si="568"/>
        <v>0P00</v>
      </c>
      <c r="AJ1897" t="str">
        <f t="shared" si="569"/>
        <v>P000</v>
      </c>
    </row>
    <row r="1898" spans="1:36" x14ac:dyDescent="0.25">
      <c r="A1898" s="325" t="str">
        <f>CONCATENATE("P",'906MP'!M1598)</f>
        <v>P</v>
      </c>
      <c r="B1898">
        <f>'906MP'!H1598</f>
        <v>0</v>
      </c>
      <c r="C1898">
        <f>'906MP'!J1598</f>
        <v>0</v>
      </c>
      <c r="D1898">
        <f>'906MP'!P1598</f>
        <v>0</v>
      </c>
      <c r="E1898">
        <f>'906MP'!X1598</f>
        <v>0</v>
      </c>
      <c r="F1898" t="str">
        <f t="shared" si="561"/>
        <v>0</v>
      </c>
      <c r="G1898" t="str">
        <f t="shared" si="562"/>
        <v>0</v>
      </c>
      <c r="H1898">
        <f>'906MP'!Y1598</f>
        <v>0</v>
      </c>
      <c r="I1898">
        <f>'906MP'!AK1598</f>
        <v>0</v>
      </c>
      <c r="J1898">
        <f>'906MP'!T1598</f>
        <v>0</v>
      </c>
      <c r="K1898">
        <f>'906MP'!AJ1598</f>
        <v>0</v>
      </c>
      <c r="L1898">
        <f>'906MP'!U1598</f>
        <v>0</v>
      </c>
      <c r="M1898" s="322" t="str">
        <f>IFERROR(VLOOKUP(A1898,PAR!$D$3:$E$53,2,FALSE),"nincs szervezet")</f>
        <v>nincs szervezet</v>
      </c>
      <c r="N1898" s="322" t="str">
        <f>VLOOKUP(F1898,PAR!$R$3:$S$5,2,FALSE)</f>
        <v>3 - egyik sem</v>
      </c>
      <c r="O1898" t="str">
        <f>IFERROR(VLOOKUP(J1898,PAR!$O$3:$P$5,2,FALSE),"nincs feladat")</f>
        <v>nincs feladat</v>
      </c>
      <c r="P1898" t="str">
        <f>IFERROR(VLOOKUP(G1898,PAR!$J$2:$M$19,4),"nincs rovat")</f>
        <v>nincs rovat</v>
      </c>
      <c r="Q1898" t="str">
        <f>IF(H1898&gt;0,VLOOKUP(H1898,PAR!$AA$3:$AC$187,3,FALSE),"nincs főkönyvi számla")</f>
        <v>nincs főkönyvi számla</v>
      </c>
      <c r="R1898" t="str">
        <f>IFERROR(VLOOKUP(K1898,PAR!$V$3:$X$438,3,FALSE),"000000 - Nincs COFOG")</f>
        <v>000000 - Nincs COFOG</v>
      </c>
      <c r="S1898">
        <f t="shared" si="563"/>
        <v>0</v>
      </c>
      <c r="T1898">
        <f t="shared" si="564"/>
        <v>0</v>
      </c>
      <c r="U1898" t="str">
        <f>IF('906MP'!J1598&gt;0,CONCATENATE('906MP'!J1598," - ",'906MP'!P1598,", ",'906MP'!E1598),"nincs megjegyzés")</f>
        <v>nincs megjegyzés</v>
      </c>
      <c r="V1898" t="str">
        <f t="shared" si="551"/>
        <v>0P0</v>
      </c>
      <c r="W1898" t="str">
        <f t="shared" si="552"/>
        <v>0P0</v>
      </c>
      <c r="X1898" t="str">
        <f t="shared" si="553"/>
        <v>P0</v>
      </c>
      <c r="Y1898" t="str">
        <f t="shared" si="554"/>
        <v>00</v>
      </c>
      <c r="Z1898" t="str">
        <f t="shared" si="565"/>
        <v>00</v>
      </c>
      <c r="AA1898" t="str">
        <f t="shared" si="555"/>
        <v>00</v>
      </c>
      <c r="AB1898" t="str">
        <f t="shared" si="556"/>
        <v>00</v>
      </c>
      <c r="AC1898" t="str">
        <f t="shared" si="557"/>
        <v>0P0</v>
      </c>
      <c r="AD1898" t="str">
        <f t="shared" si="558"/>
        <v>P00</v>
      </c>
      <c r="AE1898" t="str">
        <f t="shared" si="559"/>
        <v>0P0</v>
      </c>
      <c r="AF1898" t="str">
        <f t="shared" si="560"/>
        <v>P00</v>
      </c>
      <c r="AG1898" t="str">
        <f t="shared" si="566"/>
        <v>0P00</v>
      </c>
      <c r="AH1898" t="str">
        <f t="shared" si="567"/>
        <v>P000</v>
      </c>
      <c r="AI1898" t="str">
        <f t="shared" si="568"/>
        <v>0P00</v>
      </c>
      <c r="AJ1898" t="str">
        <f t="shared" si="569"/>
        <v>P000</v>
      </c>
    </row>
    <row r="1899" spans="1:36" x14ac:dyDescent="0.25">
      <c r="A1899" s="325" t="str">
        <f>CONCATENATE("P",'906MP'!M1599)</f>
        <v>P</v>
      </c>
      <c r="B1899">
        <f>'906MP'!H1599</f>
        <v>0</v>
      </c>
      <c r="C1899">
        <f>'906MP'!J1599</f>
        <v>0</v>
      </c>
      <c r="D1899">
        <f>'906MP'!P1599</f>
        <v>0</v>
      </c>
      <c r="E1899">
        <f>'906MP'!X1599</f>
        <v>0</v>
      </c>
      <c r="F1899" t="str">
        <f t="shared" si="561"/>
        <v>0</v>
      </c>
      <c r="G1899" t="str">
        <f t="shared" si="562"/>
        <v>0</v>
      </c>
      <c r="H1899">
        <f>'906MP'!Y1599</f>
        <v>0</v>
      </c>
      <c r="I1899">
        <f>'906MP'!AK1599</f>
        <v>0</v>
      </c>
      <c r="J1899">
        <f>'906MP'!T1599</f>
        <v>0</v>
      </c>
      <c r="K1899">
        <f>'906MP'!AJ1599</f>
        <v>0</v>
      </c>
      <c r="L1899">
        <f>'906MP'!U1599</f>
        <v>0</v>
      </c>
      <c r="M1899" s="322" t="str">
        <f>IFERROR(VLOOKUP(A1899,PAR!$D$3:$E$53,2,FALSE),"nincs szervezet")</f>
        <v>nincs szervezet</v>
      </c>
      <c r="N1899" s="322" t="str">
        <f>VLOOKUP(F1899,PAR!$R$3:$S$5,2,FALSE)</f>
        <v>3 - egyik sem</v>
      </c>
      <c r="O1899" t="str">
        <f>IFERROR(VLOOKUP(J1899,PAR!$O$3:$P$5,2,FALSE),"nincs feladat")</f>
        <v>nincs feladat</v>
      </c>
      <c r="P1899" t="str">
        <f>IFERROR(VLOOKUP(G1899,PAR!$J$2:$M$19,4),"nincs rovat")</f>
        <v>nincs rovat</v>
      </c>
      <c r="Q1899" t="str">
        <f>IF(H1899&gt;0,VLOOKUP(H1899,PAR!$AA$3:$AC$187,3,FALSE),"nincs főkönyvi számla")</f>
        <v>nincs főkönyvi számla</v>
      </c>
      <c r="R1899" t="str">
        <f>IFERROR(VLOOKUP(K1899,PAR!$V$3:$X$438,3,FALSE),"000000 - Nincs COFOG")</f>
        <v>000000 - Nincs COFOG</v>
      </c>
      <c r="S1899">
        <f t="shared" si="563"/>
        <v>0</v>
      </c>
      <c r="T1899">
        <f t="shared" si="564"/>
        <v>0</v>
      </c>
      <c r="U1899" t="str">
        <f>IF('906MP'!J1599&gt;0,CONCATENATE('906MP'!J1599," - ",'906MP'!P1599,", ",'906MP'!E1599),"nincs megjegyzés")</f>
        <v>nincs megjegyzés</v>
      </c>
      <c r="V1899" t="str">
        <f t="shared" si="551"/>
        <v>0P0</v>
      </c>
      <c r="W1899" t="str">
        <f t="shared" si="552"/>
        <v>0P0</v>
      </c>
      <c r="X1899" t="str">
        <f t="shared" si="553"/>
        <v>P0</v>
      </c>
      <c r="Y1899" t="str">
        <f t="shared" si="554"/>
        <v>00</v>
      </c>
      <c r="Z1899" t="str">
        <f t="shared" si="565"/>
        <v>00</v>
      </c>
      <c r="AA1899" t="str">
        <f t="shared" si="555"/>
        <v>00</v>
      </c>
      <c r="AB1899" t="str">
        <f t="shared" si="556"/>
        <v>00</v>
      </c>
      <c r="AC1899" t="str">
        <f t="shared" si="557"/>
        <v>0P0</v>
      </c>
      <c r="AD1899" t="str">
        <f t="shared" si="558"/>
        <v>P00</v>
      </c>
      <c r="AE1899" t="str">
        <f t="shared" si="559"/>
        <v>0P0</v>
      </c>
      <c r="AF1899" t="str">
        <f t="shared" si="560"/>
        <v>P00</v>
      </c>
      <c r="AG1899" t="str">
        <f t="shared" si="566"/>
        <v>0P00</v>
      </c>
      <c r="AH1899" t="str">
        <f t="shared" si="567"/>
        <v>P000</v>
      </c>
      <c r="AI1899" t="str">
        <f t="shared" si="568"/>
        <v>0P00</v>
      </c>
      <c r="AJ1899" t="str">
        <f t="shared" si="569"/>
        <v>P000</v>
      </c>
    </row>
    <row r="1900" spans="1:36" x14ac:dyDescent="0.25">
      <c r="A1900" s="325" t="str">
        <f>CONCATENATE("P",'906MP'!M1600)</f>
        <v>P</v>
      </c>
      <c r="B1900">
        <f>'906MP'!H1600</f>
        <v>0</v>
      </c>
      <c r="C1900">
        <f>'906MP'!J1600</f>
        <v>0</v>
      </c>
      <c r="D1900">
        <f>'906MP'!P1600</f>
        <v>0</v>
      </c>
      <c r="E1900">
        <f>'906MP'!X1600</f>
        <v>0</v>
      </c>
      <c r="F1900" t="str">
        <f t="shared" si="561"/>
        <v>0</v>
      </c>
      <c r="G1900" t="str">
        <f t="shared" si="562"/>
        <v>0</v>
      </c>
      <c r="H1900">
        <f>'906MP'!Y1600</f>
        <v>0</v>
      </c>
      <c r="I1900">
        <f>'906MP'!AK1600</f>
        <v>0</v>
      </c>
      <c r="J1900">
        <f>'906MP'!T1600</f>
        <v>0</v>
      </c>
      <c r="K1900">
        <f>'906MP'!AJ1600</f>
        <v>0</v>
      </c>
      <c r="L1900">
        <f>'906MP'!U1600</f>
        <v>0</v>
      </c>
      <c r="M1900" s="322" t="str">
        <f>IFERROR(VLOOKUP(A1900,PAR!$D$3:$E$53,2,FALSE),"nincs szervezet")</f>
        <v>nincs szervezet</v>
      </c>
      <c r="N1900" s="322" t="str">
        <f>VLOOKUP(F1900,PAR!$R$3:$S$5,2,FALSE)</f>
        <v>3 - egyik sem</v>
      </c>
      <c r="O1900" t="str">
        <f>IFERROR(VLOOKUP(J1900,PAR!$O$3:$P$5,2,FALSE),"nincs feladat")</f>
        <v>nincs feladat</v>
      </c>
      <c r="P1900" t="str">
        <f>IFERROR(VLOOKUP(G1900,PAR!$J$2:$M$19,4),"nincs rovat")</f>
        <v>nincs rovat</v>
      </c>
      <c r="Q1900" t="str">
        <f>IF(H1900&gt;0,VLOOKUP(H1900,PAR!$AA$3:$AC$187,3,FALSE),"nincs főkönyvi számla")</f>
        <v>nincs főkönyvi számla</v>
      </c>
      <c r="R1900" t="str">
        <f>IFERROR(VLOOKUP(K1900,PAR!$V$3:$X$438,3,FALSE),"000000 - Nincs COFOG")</f>
        <v>000000 - Nincs COFOG</v>
      </c>
      <c r="S1900">
        <f t="shared" si="563"/>
        <v>0</v>
      </c>
      <c r="T1900">
        <f t="shared" si="564"/>
        <v>0</v>
      </c>
      <c r="U1900" t="str">
        <f>IF('906MP'!J1600&gt;0,CONCATENATE('906MP'!J1600," - ",'906MP'!P1600,", ",'906MP'!E1600),"nincs megjegyzés")</f>
        <v>nincs megjegyzés</v>
      </c>
      <c r="V1900" t="str">
        <f t="shared" si="551"/>
        <v>0P0</v>
      </c>
      <c r="W1900" t="str">
        <f t="shared" si="552"/>
        <v>0P0</v>
      </c>
      <c r="X1900" t="str">
        <f t="shared" si="553"/>
        <v>P0</v>
      </c>
      <c r="Y1900" t="str">
        <f t="shared" si="554"/>
        <v>00</v>
      </c>
      <c r="Z1900" t="str">
        <f t="shared" si="565"/>
        <v>00</v>
      </c>
      <c r="AA1900" t="str">
        <f t="shared" si="555"/>
        <v>00</v>
      </c>
      <c r="AB1900" t="str">
        <f t="shared" si="556"/>
        <v>00</v>
      </c>
      <c r="AC1900" t="str">
        <f t="shared" si="557"/>
        <v>0P0</v>
      </c>
      <c r="AD1900" t="str">
        <f t="shared" si="558"/>
        <v>P00</v>
      </c>
      <c r="AE1900" t="str">
        <f t="shared" si="559"/>
        <v>0P0</v>
      </c>
      <c r="AF1900" t="str">
        <f t="shared" si="560"/>
        <v>P00</v>
      </c>
      <c r="AG1900" t="str">
        <f t="shared" si="566"/>
        <v>0P00</v>
      </c>
      <c r="AH1900" t="str">
        <f t="shared" si="567"/>
        <v>P000</v>
      </c>
      <c r="AI1900" t="str">
        <f t="shared" si="568"/>
        <v>0P00</v>
      </c>
      <c r="AJ1900" t="str">
        <f t="shared" si="569"/>
        <v>P000</v>
      </c>
    </row>
    <row r="1901" spans="1:36" x14ac:dyDescent="0.25">
      <c r="A1901" s="325" t="str">
        <f>CONCATENATE("P",'906MP'!M1601)</f>
        <v>P</v>
      </c>
      <c r="B1901">
        <f>'906MP'!H1601</f>
        <v>0</v>
      </c>
      <c r="C1901">
        <f>'906MP'!J1601</f>
        <v>0</v>
      </c>
      <c r="D1901">
        <f>'906MP'!P1601</f>
        <v>0</v>
      </c>
      <c r="E1901">
        <f>'906MP'!X1601</f>
        <v>0</v>
      </c>
      <c r="F1901" t="str">
        <f t="shared" si="561"/>
        <v>0</v>
      </c>
      <c r="G1901" t="str">
        <f t="shared" si="562"/>
        <v>0</v>
      </c>
      <c r="H1901">
        <f>'906MP'!Y1601</f>
        <v>0</v>
      </c>
      <c r="I1901">
        <f>'906MP'!AK1601</f>
        <v>0</v>
      </c>
      <c r="J1901">
        <f>'906MP'!T1601</f>
        <v>0</v>
      </c>
      <c r="K1901">
        <f>'906MP'!AJ1601</f>
        <v>0</v>
      </c>
      <c r="L1901">
        <f>'906MP'!U1601</f>
        <v>0</v>
      </c>
      <c r="M1901" s="322" t="str">
        <f>IFERROR(VLOOKUP(A1901,PAR!$D$3:$E$53,2,FALSE),"nincs szervezet")</f>
        <v>nincs szervezet</v>
      </c>
      <c r="N1901" s="322" t="str">
        <f>VLOOKUP(F1901,PAR!$R$3:$S$5,2,FALSE)</f>
        <v>3 - egyik sem</v>
      </c>
      <c r="O1901" t="str">
        <f>IFERROR(VLOOKUP(J1901,PAR!$O$3:$P$5,2,FALSE),"nincs feladat")</f>
        <v>nincs feladat</v>
      </c>
      <c r="P1901" t="str">
        <f>IFERROR(VLOOKUP(G1901,PAR!$J$2:$M$19,4),"nincs rovat")</f>
        <v>nincs rovat</v>
      </c>
      <c r="Q1901" t="str">
        <f>IF(H1901&gt;0,VLOOKUP(H1901,PAR!$AA$3:$AC$187,3,FALSE),"nincs főkönyvi számla")</f>
        <v>nincs főkönyvi számla</v>
      </c>
      <c r="R1901" t="str">
        <f>IFERROR(VLOOKUP(K1901,PAR!$V$3:$X$438,3,FALSE),"000000 - Nincs COFOG")</f>
        <v>000000 - Nincs COFOG</v>
      </c>
      <c r="S1901">
        <f t="shared" si="563"/>
        <v>0</v>
      </c>
      <c r="T1901">
        <f t="shared" si="564"/>
        <v>0</v>
      </c>
      <c r="U1901" t="str">
        <f>IF('906MP'!J1601&gt;0,CONCATENATE('906MP'!J1601," - ",'906MP'!P1601,", ",'906MP'!E1601),"nincs megjegyzés")</f>
        <v>nincs megjegyzés</v>
      </c>
      <c r="V1901" t="str">
        <f t="shared" si="551"/>
        <v>0P0</v>
      </c>
      <c r="W1901" t="str">
        <f t="shared" si="552"/>
        <v>0P0</v>
      </c>
      <c r="X1901" t="str">
        <f t="shared" si="553"/>
        <v>P0</v>
      </c>
      <c r="Y1901" t="str">
        <f t="shared" si="554"/>
        <v>00</v>
      </c>
      <c r="Z1901" t="str">
        <f t="shared" si="565"/>
        <v>00</v>
      </c>
      <c r="AA1901" t="str">
        <f t="shared" si="555"/>
        <v>00</v>
      </c>
      <c r="AB1901" t="str">
        <f t="shared" si="556"/>
        <v>00</v>
      </c>
      <c r="AC1901" t="str">
        <f t="shared" si="557"/>
        <v>0P0</v>
      </c>
      <c r="AD1901" t="str">
        <f t="shared" si="558"/>
        <v>P00</v>
      </c>
      <c r="AE1901" t="str">
        <f t="shared" si="559"/>
        <v>0P0</v>
      </c>
      <c r="AF1901" t="str">
        <f t="shared" si="560"/>
        <v>P00</v>
      </c>
      <c r="AG1901" t="str">
        <f t="shared" si="566"/>
        <v>0P00</v>
      </c>
      <c r="AH1901" t="str">
        <f t="shared" si="567"/>
        <v>P000</v>
      </c>
      <c r="AI1901" t="str">
        <f t="shared" si="568"/>
        <v>0P00</v>
      </c>
      <c r="AJ1901" t="str">
        <f t="shared" si="569"/>
        <v>P000</v>
      </c>
    </row>
    <row r="1902" spans="1:36" x14ac:dyDescent="0.25">
      <c r="A1902" s="325" t="str">
        <f>CONCATENATE("P",'906MP'!M1602)</f>
        <v>P</v>
      </c>
      <c r="B1902">
        <f>'906MP'!H1602</f>
        <v>0</v>
      </c>
      <c r="C1902">
        <f>'906MP'!J1602</f>
        <v>0</v>
      </c>
      <c r="D1902">
        <f>'906MP'!P1602</f>
        <v>0</v>
      </c>
      <c r="E1902">
        <f>'906MP'!X1602</f>
        <v>0</v>
      </c>
      <c r="F1902" t="str">
        <f t="shared" si="561"/>
        <v>0</v>
      </c>
      <c r="G1902" t="str">
        <f t="shared" si="562"/>
        <v>0</v>
      </c>
      <c r="H1902">
        <f>'906MP'!Y1602</f>
        <v>0</v>
      </c>
      <c r="I1902">
        <f>'906MP'!AK1602</f>
        <v>0</v>
      </c>
      <c r="J1902">
        <f>'906MP'!T1602</f>
        <v>0</v>
      </c>
      <c r="K1902">
        <f>'906MP'!AJ1602</f>
        <v>0</v>
      </c>
      <c r="L1902">
        <f>'906MP'!U1602</f>
        <v>0</v>
      </c>
      <c r="M1902" s="322" t="str">
        <f>IFERROR(VLOOKUP(A1902,PAR!$D$3:$E$53,2,FALSE),"nincs szervezet")</f>
        <v>nincs szervezet</v>
      </c>
      <c r="N1902" s="322" t="str">
        <f>VLOOKUP(F1902,PAR!$R$3:$S$5,2,FALSE)</f>
        <v>3 - egyik sem</v>
      </c>
      <c r="O1902" t="str">
        <f>IFERROR(VLOOKUP(J1902,PAR!$O$3:$P$5,2,FALSE),"nincs feladat")</f>
        <v>nincs feladat</v>
      </c>
      <c r="P1902" t="str">
        <f>IFERROR(VLOOKUP(G1902,PAR!$J$2:$M$19,4),"nincs rovat")</f>
        <v>nincs rovat</v>
      </c>
      <c r="Q1902" t="str">
        <f>IF(H1902&gt;0,VLOOKUP(H1902,PAR!$AA$3:$AC$187,3,FALSE),"nincs főkönyvi számla")</f>
        <v>nincs főkönyvi számla</v>
      </c>
      <c r="R1902" t="str">
        <f>IFERROR(VLOOKUP(K1902,PAR!$V$3:$X$438,3,FALSE),"000000 - Nincs COFOG")</f>
        <v>000000 - Nincs COFOG</v>
      </c>
      <c r="S1902">
        <f t="shared" si="563"/>
        <v>0</v>
      </c>
      <c r="T1902">
        <f t="shared" si="564"/>
        <v>0</v>
      </c>
      <c r="U1902" t="str">
        <f>IF('906MP'!J1602&gt;0,CONCATENATE('906MP'!J1602," - ",'906MP'!P1602,", ",'906MP'!E1602),"nincs megjegyzés")</f>
        <v>nincs megjegyzés</v>
      </c>
      <c r="V1902" t="str">
        <f t="shared" si="551"/>
        <v>0P0</v>
      </c>
      <c r="W1902" t="str">
        <f t="shared" si="552"/>
        <v>0P0</v>
      </c>
      <c r="X1902" t="str">
        <f t="shared" si="553"/>
        <v>P0</v>
      </c>
      <c r="Y1902" t="str">
        <f t="shared" si="554"/>
        <v>00</v>
      </c>
      <c r="Z1902" t="str">
        <f t="shared" si="565"/>
        <v>00</v>
      </c>
      <c r="AA1902" t="str">
        <f t="shared" si="555"/>
        <v>00</v>
      </c>
      <c r="AB1902" t="str">
        <f t="shared" si="556"/>
        <v>00</v>
      </c>
      <c r="AC1902" t="str">
        <f t="shared" si="557"/>
        <v>0P0</v>
      </c>
      <c r="AD1902" t="str">
        <f t="shared" si="558"/>
        <v>P00</v>
      </c>
      <c r="AE1902" t="str">
        <f t="shared" si="559"/>
        <v>0P0</v>
      </c>
      <c r="AF1902" t="str">
        <f t="shared" si="560"/>
        <v>P00</v>
      </c>
      <c r="AG1902" t="str">
        <f t="shared" si="566"/>
        <v>0P00</v>
      </c>
      <c r="AH1902" t="str">
        <f t="shared" si="567"/>
        <v>P000</v>
      </c>
      <c r="AI1902" t="str">
        <f t="shared" si="568"/>
        <v>0P00</v>
      </c>
      <c r="AJ1902" t="str">
        <f t="shared" si="569"/>
        <v>P000</v>
      </c>
    </row>
    <row r="1903" spans="1:36" x14ac:dyDescent="0.25">
      <c r="A1903" s="325" t="str">
        <f>CONCATENATE("P",'906MP'!M1603)</f>
        <v>P</v>
      </c>
      <c r="B1903">
        <f>'906MP'!H1603</f>
        <v>0</v>
      </c>
      <c r="C1903">
        <f>'906MP'!J1603</f>
        <v>0</v>
      </c>
      <c r="D1903">
        <f>'906MP'!P1603</f>
        <v>0</v>
      </c>
      <c r="E1903">
        <f>'906MP'!X1603</f>
        <v>0</v>
      </c>
      <c r="F1903" t="str">
        <f t="shared" si="561"/>
        <v>0</v>
      </c>
      <c r="G1903" t="str">
        <f t="shared" si="562"/>
        <v>0</v>
      </c>
      <c r="H1903">
        <f>'906MP'!Y1603</f>
        <v>0</v>
      </c>
      <c r="I1903">
        <f>'906MP'!AK1603</f>
        <v>0</v>
      </c>
      <c r="J1903">
        <f>'906MP'!T1603</f>
        <v>0</v>
      </c>
      <c r="K1903">
        <f>'906MP'!AJ1603</f>
        <v>0</v>
      </c>
      <c r="L1903">
        <f>'906MP'!U1603</f>
        <v>0</v>
      </c>
      <c r="M1903" s="322" t="str">
        <f>IFERROR(VLOOKUP(A1903,PAR!$D$3:$E$53,2,FALSE),"nincs szervezet")</f>
        <v>nincs szervezet</v>
      </c>
      <c r="N1903" s="322" t="str">
        <f>VLOOKUP(F1903,PAR!$R$3:$S$5,2,FALSE)</f>
        <v>3 - egyik sem</v>
      </c>
      <c r="O1903" t="str">
        <f>IFERROR(VLOOKUP(J1903,PAR!$O$3:$P$5,2,FALSE),"nincs feladat")</f>
        <v>nincs feladat</v>
      </c>
      <c r="P1903" t="str">
        <f>IFERROR(VLOOKUP(G1903,PAR!$J$2:$M$19,4),"nincs rovat")</f>
        <v>nincs rovat</v>
      </c>
      <c r="Q1903" t="str">
        <f>IF(H1903&gt;0,VLOOKUP(H1903,PAR!$AA$3:$AC$187,3,FALSE),"nincs főkönyvi számla")</f>
        <v>nincs főkönyvi számla</v>
      </c>
      <c r="R1903" t="str">
        <f>IFERROR(VLOOKUP(K1903,PAR!$V$3:$X$438,3,FALSE),"000000 - Nincs COFOG")</f>
        <v>000000 - Nincs COFOG</v>
      </c>
      <c r="S1903">
        <f t="shared" si="563"/>
        <v>0</v>
      </c>
      <c r="T1903">
        <f t="shared" si="564"/>
        <v>0</v>
      </c>
      <c r="U1903" t="str">
        <f>IF('906MP'!J1603&gt;0,CONCATENATE('906MP'!J1603," - ",'906MP'!P1603,", ",'906MP'!E1603),"nincs megjegyzés")</f>
        <v>nincs megjegyzés</v>
      </c>
      <c r="V1903" t="str">
        <f t="shared" si="551"/>
        <v>0P0</v>
      </c>
      <c r="W1903" t="str">
        <f t="shared" si="552"/>
        <v>0P0</v>
      </c>
      <c r="X1903" t="str">
        <f t="shared" si="553"/>
        <v>P0</v>
      </c>
      <c r="Y1903" t="str">
        <f t="shared" si="554"/>
        <v>00</v>
      </c>
      <c r="Z1903" t="str">
        <f t="shared" si="565"/>
        <v>00</v>
      </c>
      <c r="AA1903" t="str">
        <f t="shared" si="555"/>
        <v>00</v>
      </c>
      <c r="AB1903" t="str">
        <f t="shared" si="556"/>
        <v>00</v>
      </c>
      <c r="AC1903" t="str">
        <f t="shared" si="557"/>
        <v>0P0</v>
      </c>
      <c r="AD1903" t="str">
        <f t="shared" si="558"/>
        <v>P00</v>
      </c>
      <c r="AE1903" t="str">
        <f t="shared" si="559"/>
        <v>0P0</v>
      </c>
      <c r="AF1903" t="str">
        <f t="shared" si="560"/>
        <v>P00</v>
      </c>
      <c r="AG1903" t="str">
        <f t="shared" si="566"/>
        <v>0P00</v>
      </c>
      <c r="AH1903" t="str">
        <f t="shared" si="567"/>
        <v>P000</v>
      </c>
      <c r="AI1903" t="str">
        <f t="shared" si="568"/>
        <v>0P00</v>
      </c>
      <c r="AJ1903" t="str">
        <f t="shared" si="569"/>
        <v>P000</v>
      </c>
    </row>
    <row r="1904" spans="1:36" x14ac:dyDescent="0.25">
      <c r="A1904" s="325" t="str">
        <f>CONCATENATE("P",'906MP'!M1604)</f>
        <v>P</v>
      </c>
      <c r="B1904">
        <f>'906MP'!H1604</f>
        <v>0</v>
      </c>
      <c r="C1904">
        <f>'906MP'!J1604</f>
        <v>0</v>
      </c>
      <c r="D1904">
        <f>'906MP'!P1604</f>
        <v>0</v>
      </c>
      <c r="E1904">
        <f>'906MP'!X1604</f>
        <v>0</v>
      </c>
      <c r="F1904" t="str">
        <f t="shared" si="561"/>
        <v>0</v>
      </c>
      <c r="G1904" t="str">
        <f t="shared" si="562"/>
        <v>0</v>
      </c>
      <c r="H1904">
        <f>'906MP'!Y1604</f>
        <v>0</v>
      </c>
      <c r="I1904">
        <f>'906MP'!AK1604</f>
        <v>0</v>
      </c>
      <c r="J1904">
        <f>'906MP'!T1604</f>
        <v>0</v>
      </c>
      <c r="K1904">
        <f>'906MP'!AJ1604</f>
        <v>0</v>
      </c>
      <c r="L1904">
        <f>'906MP'!U1604</f>
        <v>0</v>
      </c>
      <c r="M1904" s="322" t="str">
        <f>IFERROR(VLOOKUP(A1904,PAR!$D$3:$E$53,2,FALSE),"nincs szervezet")</f>
        <v>nincs szervezet</v>
      </c>
      <c r="N1904" s="322" t="str">
        <f>VLOOKUP(F1904,PAR!$R$3:$S$5,2,FALSE)</f>
        <v>3 - egyik sem</v>
      </c>
      <c r="O1904" t="str">
        <f>IFERROR(VLOOKUP(J1904,PAR!$O$3:$P$5,2,FALSE),"nincs feladat")</f>
        <v>nincs feladat</v>
      </c>
      <c r="P1904" t="str">
        <f>IFERROR(VLOOKUP(G1904,PAR!$J$2:$M$19,4),"nincs rovat")</f>
        <v>nincs rovat</v>
      </c>
      <c r="Q1904" t="str">
        <f>IF(H1904&gt;0,VLOOKUP(H1904,PAR!$AA$3:$AC$187,3,FALSE),"nincs főkönyvi számla")</f>
        <v>nincs főkönyvi számla</v>
      </c>
      <c r="R1904" t="str">
        <f>IFERROR(VLOOKUP(K1904,PAR!$V$3:$X$438,3,FALSE),"000000 - Nincs COFOG")</f>
        <v>000000 - Nincs COFOG</v>
      </c>
      <c r="S1904">
        <f t="shared" si="563"/>
        <v>0</v>
      </c>
      <c r="T1904">
        <f t="shared" si="564"/>
        <v>0</v>
      </c>
      <c r="U1904" t="str">
        <f>IF('906MP'!J1604&gt;0,CONCATENATE('906MP'!J1604," - ",'906MP'!P1604,", ",'906MP'!E1604),"nincs megjegyzés")</f>
        <v>nincs megjegyzés</v>
      </c>
      <c r="V1904" t="str">
        <f t="shared" si="551"/>
        <v>0P0</v>
      </c>
      <c r="W1904" t="str">
        <f t="shared" si="552"/>
        <v>0P0</v>
      </c>
      <c r="X1904" t="str">
        <f t="shared" si="553"/>
        <v>P0</v>
      </c>
      <c r="Y1904" t="str">
        <f t="shared" si="554"/>
        <v>00</v>
      </c>
      <c r="Z1904" t="str">
        <f t="shared" si="565"/>
        <v>00</v>
      </c>
      <c r="AA1904" t="str">
        <f t="shared" si="555"/>
        <v>00</v>
      </c>
      <c r="AB1904" t="str">
        <f t="shared" si="556"/>
        <v>00</v>
      </c>
      <c r="AC1904" t="str">
        <f t="shared" si="557"/>
        <v>0P0</v>
      </c>
      <c r="AD1904" t="str">
        <f t="shared" si="558"/>
        <v>P00</v>
      </c>
      <c r="AE1904" t="str">
        <f t="shared" si="559"/>
        <v>0P0</v>
      </c>
      <c r="AF1904" t="str">
        <f t="shared" si="560"/>
        <v>P00</v>
      </c>
      <c r="AG1904" t="str">
        <f t="shared" si="566"/>
        <v>0P00</v>
      </c>
      <c r="AH1904" t="str">
        <f t="shared" si="567"/>
        <v>P000</v>
      </c>
      <c r="AI1904" t="str">
        <f t="shared" si="568"/>
        <v>0P00</v>
      </c>
      <c r="AJ1904" t="str">
        <f t="shared" si="569"/>
        <v>P000</v>
      </c>
    </row>
    <row r="1905" spans="1:36" x14ac:dyDescent="0.25">
      <c r="A1905" s="325" t="str">
        <f>CONCATENATE("P",'906MP'!M1605)</f>
        <v>P</v>
      </c>
      <c r="B1905">
        <f>'906MP'!H1605</f>
        <v>0</v>
      </c>
      <c r="C1905">
        <f>'906MP'!J1605</f>
        <v>0</v>
      </c>
      <c r="D1905">
        <f>'906MP'!P1605</f>
        <v>0</v>
      </c>
      <c r="E1905">
        <f>'906MP'!X1605</f>
        <v>0</v>
      </c>
      <c r="F1905" t="str">
        <f t="shared" si="561"/>
        <v>0</v>
      </c>
      <c r="G1905" t="str">
        <f t="shared" si="562"/>
        <v>0</v>
      </c>
      <c r="H1905">
        <f>'906MP'!Y1605</f>
        <v>0</v>
      </c>
      <c r="I1905">
        <f>'906MP'!AK1605</f>
        <v>0</v>
      </c>
      <c r="J1905">
        <f>'906MP'!T1605</f>
        <v>0</v>
      </c>
      <c r="K1905">
        <f>'906MP'!AJ1605</f>
        <v>0</v>
      </c>
      <c r="L1905">
        <f>'906MP'!U1605</f>
        <v>0</v>
      </c>
      <c r="M1905" s="322" t="str">
        <f>IFERROR(VLOOKUP(A1905,PAR!$D$3:$E$53,2,FALSE),"nincs szervezet")</f>
        <v>nincs szervezet</v>
      </c>
      <c r="N1905" s="322" t="str">
        <f>VLOOKUP(F1905,PAR!$R$3:$S$5,2,FALSE)</f>
        <v>3 - egyik sem</v>
      </c>
      <c r="O1905" t="str">
        <f>IFERROR(VLOOKUP(J1905,PAR!$O$3:$P$5,2,FALSE),"nincs feladat")</f>
        <v>nincs feladat</v>
      </c>
      <c r="P1905" t="str">
        <f>IFERROR(VLOOKUP(G1905,PAR!$J$2:$M$19,4),"nincs rovat")</f>
        <v>nincs rovat</v>
      </c>
      <c r="Q1905" t="str">
        <f>IF(H1905&gt;0,VLOOKUP(H1905,PAR!$AA$3:$AC$187,3,FALSE),"nincs főkönyvi számla")</f>
        <v>nincs főkönyvi számla</v>
      </c>
      <c r="R1905" t="str">
        <f>IFERROR(VLOOKUP(K1905,PAR!$V$3:$X$438,3,FALSE),"000000 - Nincs COFOG")</f>
        <v>000000 - Nincs COFOG</v>
      </c>
      <c r="S1905">
        <f t="shared" si="563"/>
        <v>0</v>
      </c>
      <c r="T1905">
        <f t="shared" si="564"/>
        <v>0</v>
      </c>
      <c r="U1905" t="str">
        <f>IF('906MP'!J1605&gt;0,CONCATENATE('906MP'!J1605," - ",'906MP'!P1605,", ",'906MP'!E1605),"nincs megjegyzés")</f>
        <v>nincs megjegyzés</v>
      </c>
      <c r="V1905" t="str">
        <f t="shared" si="551"/>
        <v>0P0</v>
      </c>
      <c r="W1905" t="str">
        <f t="shared" si="552"/>
        <v>0P0</v>
      </c>
      <c r="X1905" t="str">
        <f t="shared" si="553"/>
        <v>P0</v>
      </c>
      <c r="Y1905" t="str">
        <f t="shared" si="554"/>
        <v>00</v>
      </c>
      <c r="Z1905" t="str">
        <f t="shared" si="565"/>
        <v>00</v>
      </c>
      <c r="AA1905" t="str">
        <f t="shared" si="555"/>
        <v>00</v>
      </c>
      <c r="AB1905" t="str">
        <f t="shared" si="556"/>
        <v>00</v>
      </c>
      <c r="AC1905" t="str">
        <f t="shared" si="557"/>
        <v>0P0</v>
      </c>
      <c r="AD1905" t="str">
        <f t="shared" si="558"/>
        <v>P00</v>
      </c>
      <c r="AE1905" t="str">
        <f t="shared" si="559"/>
        <v>0P0</v>
      </c>
      <c r="AF1905" t="str">
        <f t="shared" si="560"/>
        <v>P00</v>
      </c>
      <c r="AG1905" t="str">
        <f t="shared" si="566"/>
        <v>0P00</v>
      </c>
      <c r="AH1905" t="str">
        <f t="shared" si="567"/>
        <v>P000</v>
      </c>
      <c r="AI1905" t="str">
        <f t="shared" si="568"/>
        <v>0P00</v>
      </c>
      <c r="AJ1905" t="str">
        <f t="shared" si="569"/>
        <v>P000</v>
      </c>
    </row>
    <row r="1906" spans="1:36" x14ac:dyDescent="0.25">
      <c r="A1906" s="325" t="str">
        <f>CONCATENATE("P",'906MP'!M1606)</f>
        <v>P</v>
      </c>
      <c r="B1906">
        <f>'906MP'!H1606</f>
        <v>0</v>
      </c>
      <c r="C1906">
        <f>'906MP'!J1606</f>
        <v>0</v>
      </c>
      <c r="D1906">
        <f>'906MP'!P1606</f>
        <v>0</v>
      </c>
      <c r="E1906">
        <f>'906MP'!X1606</f>
        <v>0</v>
      </c>
      <c r="F1906" t="str">
        <f t="shared" si="561"/>
        <v>0</v>
      </c>
      <c r="G1906" t="str">
        <f t="shared" si="562"/>
        <v>0</v>
      </c>
      <c r="H1906">
        <f>'906MP'!Y1606</f>
        <v>0</v>
      </c>
      <c r="I1906">
        <f>'906MP'!AK1606</f>
        <v>0</v>
      </c>
      <c r="J1906">
        <f>'906MP'!T1606</f>
        <v>0</v>
      </c>
      <c r="K1906">
        <f>'906MP'!AJ1606</f>
        <v>0</v>
      </c>
      <c r="L1906">
        <f>'906MP'!U1606</f>
        <v>0</v>
      </c>
      <c r="M1906" s="322" t="str">
        <f>IFERROR(VLOOKUP(A1906,PAR!$D$3:$E$53,2,FALSE),"nincs szervezet")</f>
        <v>nincs szervezet</v>
      </c>
      <c r="N1906" s="322" t="str">
        <f>VLOOKUP(F1906,PAR!$R$3:$S$5,2,FALSE)</f>
        <v>3 - egyik sem</v>
      </c>
      <c r="O1906" t="str">
        <f>IFERROR(VLOOKUP(J1906,PAR!$O$3:$P$5,2,FALSE),"nincs feladat")</f>
        <v>nincs feladat</v>
      </c>
      <c r="P1906" t="str">
        <f>IFERROR(VLOOKUP(G1906,PAR!$J$2:$M$19,4),"nincs rovat")</f>
        <v>nincs rovat</v>
      </c>
      <c r="Q1906" t="str">
        <f>IF(H1906&gt;0,VLOOKUP(H1906,PAR!$AA$3:$AC$187,3,FALSE),"nincs főkönyvi számla")</f>
        <v>nincs főkönyvi számla</v>
      </c>
      <c r="R1906" t="str">
        <f>IFERROR(VLOOKUP(K1906,PAR!$V$3:$X$438,3,FALSE),"000000 - Nincs COFOG")</f>
        <v>000000 - Nincs COFOG</v>
      </c>
      <c r="S1906">
        <f t="shared" si="563"/>
        <v>0</v>
      </c>
      <c r="T1906">
        <f t="shared" si="564"/>
        <v>0</v>
      </c>
      <c r="U1906" t="str">
        <f>IF('906MP'!J1606&gt;0,CONCATENATE('906MP'!J1606," - ",'906MP'!P1606,", ",'906MP'!E1606),"nincs megjegyzés")</f>
        <v>nincs megjegyzés</v>
      </c>
      <c r="V1906" t="str">
        <f t="shared" si="551"/>
        <v>0P0</v>
      </c>
      <c r="W1906" t="str">
        <f t="shared" si="552"/>
        <v>0P0</v>
      </c>
      <c r="X1906" t="str">
        <f t="shared" si="553"/>
        <v>P0</v>
      </c>
      <c r="Y1906" t="str">
        <f t="shared" si="554"/>
        <v>00</v>
      </c>
      <c r="Z1906" t="str">
        <f t="shared" si="565"/>
        <v>00</v>
      </c>
      <c r="AA1906" t="str">
        <f t="shared" si="555"/>
        <v>00</v>
      </c>
      <c r="AB1906" t="str">
        <f t="shared" si="556"/>
        <v>00</v>
      </c>
      <c r="AC1906" t="str">
        <f t="shared" si="557"/>
        <v>0P0</v>
      </c>
      <c r="AD1906" t="str">
        <f t="shared" si="558"/>
        <v>P00</v>
      </c>
      <c r="AE1906" t="str">
        <f t="shared" si="559"/>
        <v>0P0</v>
      </c>
      <c r="AF1906" t="str">
        <f t="shared" si="560"/>
        <v>P00</v>
      </c>
      <c r="AG1906" t="str">
        <f t="shared" si="566"/>
        <v>0P00</v>
      </c>
      <c r="AH1906" t="str">
        <f t="shared" si="567"/>
        <v>P000</v>
      </c>
      <c r="AI1906" t="str">
        <f t="shared" si="568"/>
        <v>0P00</v>
      </c>
      <c r="AJ1906" t="str">
        <f t="shared" si="569"/>
        <v>P000</v>
      </c>
    </row>
    <row r="1907" spans="1:36" x14ac:dyDescent="0.25">
      <c r="A1907" s="325" t="str">
        <f>CONCATENATE("P",'906MP'!M1607)</f>
        <v>P</v>
      </c>
      <c r="B1907">
        <f>'906MP'!H1607</f>
        <v>0</v>
      </c>
      <c r="C1907">
        <f>'906MP'!J1607</f>
        <v>0</v>
      </c>
      <c r="D1907">
        <f>'906MP'!P1607</f>
        <v>0</v>
      </c>
      <c r="E1907">
        <f>'906MP'!X1607</f>
        <v>0</v>
      </c>
      <c r="F1907" t="str">
        <f t="shared" si="561"/>
        <v>0</v>
      </c>
      <c r="G1907" t="str">
        <f t="shared" si="562"/>
        <v>0</v>
      </c>
      <c r="H1907">
        <f>'906MP'!Y1607</f>
        <v>0</v>
      </c>
      <c r="I1907">
        <f>'906MP'!AK1607</f>
        <v>0</v>
      </c>
      <c r="J1907">
        <f>'906MP'!T1607</f>
        <v>0</v>
      </c>
      <c r="K1907">
        <f>'906MP'!AJ1607</f>
        <v>0</v>
      </c>
      <c r="L1907">
        <f>'906MP'!U1607</f>
        <v>0</v>
      </c>
      <c r="M1907" s="322" t="str">
        <f>IFERROR(VLOOKUP(A1907,PAR!$D$3:$E$53,2,FALSE),"nincs szervezet")</f>
        <v>nincs szervezet</v>
      </c>
      <c r="N1907" s="322" t="str">
        <f>VLOOKUP(F1907,PAR!$R$3:$S$5,2,FALSE)</f>
        <v>3 - egyik sem</v>
      </c>
      <c r="O1907" t="str">
        <f>IFERROR(VLOOKUP(J1907,PAR!$O$3:$P$5,2,FALSE),"nincs feladat")</f>
        <v>nincs feladat</v>
      </c>
      <c r="P1907" t="str">
        <f>IFERROR(VLOOKUP(G1907,PAR!$J$2:$M$19,4),"nincs rovat")</f>
        <v>nincs rovat</v>
      </c>
      <c r="Q1907" t="str">
        <f>IF(H1907&gt;0,VLOOKUP(H1907,PAR!$AA$3:$AC$187,3,FALSE),"nincs főkönyvi számla")</f>
        <v>nincs főkönyvi számla</v>
      </c>
      <c r="R1907" t="str">
        <f>IFERROR(VLOOKUP(K1907,PAR!$V$3:$X$438,3,FALSE),"000000 - Nincs COFOG")</f>
        <v>000000 - Nincs COFOG</v>
      </c>
      <c r="S1907">
        <f t="shared" si="563"/>
        <v>0</v>
      </c>
      <c r="T1907">
        <f t="shared" si="564"/>
        <v>0</v>
      </c>
      <c r="U1907" t="str">
        <f>IF('906MP'!J1607&gt;0,CONCATENATE('906MP'!J1607," - ",'906MP'!P1607,", ",'906MP'!E1607),"nincs megjegyzés")</f>
        <v>nincs megjegyzés</v>
      </c>
      <c r="V1907" t="str">
        <f t="shared" si="551"/>
        <v>0P0</v>
      </c>
      <c r="W1907" t="str">
        <f t="shared" si="552"/>
        <v>0P0</v>
      </c>
      <c r="X1907" t="str">
        <f t="shared" si="553"/>
        <v>P0</v>
      </c>
      <c r="Y1907" t="str">
        <f t="shared" si="554"/>
        <v>00</v>
      </c>
      <c r="Z1907" t="str">
        <f t="shared" si="565"/>
        <v>00</v>
      </c>
      <c r="AA1907" t="str">
        <f t="shared" si="555"/>
        <v>00</v>
      </c>
      <c r="AB1907" t="str">
        <f t="shared" si="556"/>
        <v>00</v>
      </c>
      <c r="AC1907" t="str">
        <f t="shared" si="557"/>
        <v>0P0</v>
      </c>
      <c r="AD1907" t="str">
        <f t="shared" si="558"/>
        <v>P00</v>
      </c>
      <c r="AE1907" t="str">
        <f t="shared" si="559"/>
        <v>0P0</v>
      </c>
      <c r="AF1907" t="str">
        <f t="shared" si="560"/>
        <v>P00</v>
      </c>
      <c r="AG1907" t="str">
        <f t="shared" si="566"/>
        <v>0P00</v>
      </c>
      <c r="AH1907" t="str">
        <f t="shared" si="567"/>
        <v>P000</v>
      </c>
      <c r="AI1907" t="str">
        <f t="shared" si="568"/>
        <v>0P00</v>
      </c>
      <c r="AJ1907" t="str">
        <f t="shared" si="569"/>
        <v>P000</v>
      </c>
    </row>
    <row r="1908" spans="1:36" x14ac:dyDescent="0.25">
      <c r="A1908" s="325" t="str">
        <f>CONCATENATE("P",'906MP'!M1608)</f>
        <v>P</v>
      </c>
      <c r="B1908">
        <f>'906MP'!H1608</f>
        <v>0</v>
      </c>
      <c r="C1908">
        <f>'906MP'!J1608</f>
        <v>0</v>
      </c>
      <c r="D1908">
        <f>'906MP'!P1608</f>
        <v>0</v>
      </c>
      <c r="E1908">
        <f>'906MP'!X1608</f>
        <v>0</v>
      </c>
      <c r="F1908" t="str">
        <f t="shared" si="561"/>
        <v>0</v>
      </c>
      <c r="G1908" t="str">
        <f t="shared" si="562"/>
        <v>0</v>
      </c>
      <c r="H1908">
        <f>'906MP'!Y1608</f>
        <v>0</v>
      </c>
      <c r="I1908">
        <f>'906MP'!AK1608</f>
        <v>0</v>
      </c>
      <c r="J1908">
        <f>'906MP'!T1608</f>
        <v>0</v>
      </c>
      <c r="K1908">
        <f>'906MP'!AJ1608</f>
        <v>0</v>
      </c>
      <c r="L1908">
        <f>'906MP'!U1608</f>
        <v>0</v>
      </c>
      <c r="M1908" s="322" t="str">
        <f>IFERROR(VLOOKUP(A1908,PAR!$D$3:$E$53,2,FALSE),"nincs szervezet")</f>
        <v>nincs szervezet</v>
      </c>
      <c r="N1908" s="322" t="str">
        <f>VLOOKUP(F1908,PAR!$R$3:$S$5,2,FALSE)</f>
        <v>3 - egyik sem</v>
      </c>
      <c r="O1908" t="str">
        <f>IFERROR(VLOOKUP(J1908,PAR!$O$3:$P$5,2,FALSE),"nincs feladat")</f>
        <v>nincs feladat</v>
      </c>
      <c r="P1908" t="str">
        <f>IFERROR(VLOOKUP(G1908,PAR!$J$2:$M$19,4),"nincs rovat")</f>
        <v>nincs rovat</v>
      </c>
      <c r="Q1908" t="str">
        <f>IF(H1908&gt;0,VLOOKUP(H1908,PAR!$AA$3:$AC$187,3,FALSE),"nincs főkönyvi számla")</f>
        <v>nincs főkönyvi számla</v>
      </c>
      <c r="R1908" t="str">
        <f>IFERROR(VLOOKUP(K1908,PAR!$V$3:$X$438,3,FALSE),"000000 - Nincs COFOG")</f>
        <v>000000 - Nincs COFOG</v>
      </c>
      <c r="S1908">
        <f t="shared" si="563"/>
        <v>0</v>
      </c>
      <c r="T1908">
        <f t="shared" si="564"/>
        <v>0</v>
      </c>
      <c r="U1908" t="str">
        <f>IF('906MP'!J1608&gt;0,CONCATENATE('906MP'!J1608," - ",'906MP'!P1608,", ",'906MP'!E1608),"nincs megjegyzés")</f>
        <v>nincs megjegyzés</v>
      </c>
      <c r="V1908" t="str">
        <f t="shared" si="551"/>
        <v>0P0</v>
      </c>
      <c r="W1908" t="str">
        <f t="shared" si="552"/>
        <v>0P0</v>
      </c>
      <c r="X1908" t="str">
        <f t="shared" si="553"/>
        <v>P0</v>
      </c>
      <c r="Y1908" t="str">
        <f t="shared" si="554"/>
        <v>00</v>
      </c>
      <c r="Z1908" t="str">
        <f t="shared" si="565"/>
        <v>00</v>
      </c>
      <c r="AA1908" t="str">
        <f t="shared" si="555"/>
        <v>00</v>
      </c>
      <c r="AB1908" t="str">
        <f t="shared" si="556"/>
        <v>00</v>
      </c>
      <c r="AC1908" t="str">
        <f t="shared" si="557"/>
        <v>0P0</v>
      </c>
      <c r="AD1908" t="str">
        <f t="shared" si="558"/>
        <v>P00</v>
      </c>
      <c r="AE1908" t="str">
        <f t="shared" si="559"/>
        <v>0P0</v>
      </c>
      <c r="AF1908" t="str">
        <f t="shared" si="560"/>
        <v>P00</v>
      </c>
      <c r="AG1908" t="str">
        <f t="shared" si="566"/>
        <v>0P00</v>
      </c>
      <c r="AH1908" t="str">
        <f t="shared" si="567"/>
        <v>P000</v>
      </c>
      <c r="AI1908" t="str">
        <f t="shared" si="568"/>
        <v>0P00</v>
      </c>
      <c r="AJ1908" t="str">
        <f t="shared" si="569"/>
        <v>P000</v>
      </c>
    </row>
    <row r="1909" spans="1:36" x14ac:dyDescent="0.25">
      <c r="A1909" s="325" t="str">
        <f>CONCATENATE("P",'906MP'!M1609)</f>
        <v>P</v>
      </c>
      <c r="B1909">
        <f>'906MP'!H1609</f>
        <v>0</v>
      </c>
      <c r="C1909">
        <f>'906MP'!J1609</f>
        <v>0</v>
      </c>
      <c r="D1909">
        <f>'906MP'!P1609</f>
        <v>0</v>
      </c>
      <c r="E1909">
        <f>'906MP'!X1609</f>
        <v>0</v>
      </c>
      <c r="F1909" t="str">
        <f t="shared" si="561"/>
        <v>0</v>
      </c>
      <c r="G1909" t="str">
        <f t="shared" si="562"/>
        <v>0</v>
      </c>
      <c r="H1909">
        <f>'906MP'!Y1609</f>
        <v>0</v>
      </c>
      <c r="I1909">
        <f>'906MP'!AK1609</f>
        <v>0</v>
      </c>
      <c r="J1909">
        <f>'906MP'!T1609</f>
        <v>0</v>
      </c>
      <c r="K1909">
        <f>'906MP'!AJ1609</f>
        <v>0</v>
      </c>
      <c r="L1909">
        <f>'906MP'!U1609</f>
        <v>0</v>
      </c>
      <c r="M1909" s="322" t="str">
        <f>IFERROR(VLOOKUP(A1909,PAR!$D$3:$E$53,2,FALSE),"nincs szervezet")</f>
        <v>nincs szervezet</v>
      </c>
      <c r="N1909" s="322" t="str">
        <f>VLOOKUP(F1909,PAR!$R$3:$S$5,2,FALSE)</f>
        <v>3 - egyik sem</v>
      </c>
      <c r="O1909" t="str">
        <f>IFERROR(VLOOKUP(J1909,PAR!$O$3:$P$5,2,FALSE),"nincs feladat")</f>
        <v>nincs feladat</v>
      </c>
      <c r="P1909" t="str">
        <f>IFERROR(VLOOKUP(G1909,PAR!$J$2:$M$19,4),"nincs rovat")</f>
        <v>nincs rovat</v>
      </c>
      <c r="Q1909" t="str">
        <f>IF(H1909&gt;0,VLOOKUP(H1909,PAR!$AA$3:$AC$187,3,FALSE),"nincs főkönyvi számla")</f>
        <v>nincs főkönyvi számla</v>
      </c>
      <c r="R1909" t="str">
        <f>IFERROR(VLOOKUP(K1909,PAR!$V$3:$X$438,3,FALSE),"000000 - Nincs COFOG")</f>
        <v>000000 - Nincs COFOG</v>
      </c>
      <c r="S1909">
        <f t="shared" si="563"/>
        <v>0</v>
      </c>
      <c r="T1909">
        <f t="shared" si="564"/>
        <v>0</v>
      </c>
      <c r="U1909" t="str">
        <f>IF('906MP'!J1609&gt;0,CONCATENATE('906MP'!J1609," - ",'906MP'!P1609,", ",'906MP'!E1609),"nincs megjegyzés")</f>
        <v>nincs megjegyzés</v>
      </c>
      <c r="V1909" t="str">
        <f t="shared" si="551"/>
        <v>0P0</v>
      </c>
      <c r="W1909" t="str">
        <f t="shared" si="552"/>
        <v>0P0</v>
      </c>
      <c r="X1909" t="str">
        <f t="shared" si="553"/>
        <v>P0</v>
      </c>
      <c r="Y1909" t="str">
        <f t="shared" si="554"/>
        <v>00</v>
      </c>
      <c r="Z1909" t="str">
        <f t="shared" si="565"/>
        <v>00</v>
      </c>
      <c r="AA1909" t="str">
        <f t="shared" si="555"/>
        <v>00</v>
      </c>
      <c r="AB1909" t="str">
        <f t="shared" si="556"/>
        <v>00</v>
      </c>
      <c r="AC1909" t="str">
        <f t="shared" si="557"/>
        <v>0P0</v>
      </c>
      <c r="AD1909" t="str">
        <f t="shared" si="558"/>
        <v>P00</v>
      </c>
      <c r="AE1909" t="str">
        <f t="shared" si="559"/>
        <v>0P0</v>
      </c>
      <c r="AF1909" t="str">
        <f t="shared" si="560"/>
        <v>P00</v>
      </c>
      <c r="AG1909" t="str">
        <f t="shared" si="566"/>
        <v>0P00</v>
      </c>
      <c r="AH1909" t="str">
        <f t="shared" si="567"/>
        <v>P000</v>
      </c>
      <c r="AI1909" t="str">
        <f t="shared" si="568"/>
        <v>0P00</v>
      </c>
      <c r="AJ1909" t="str">
        <f t="shared" si="569"/>
        <v>P000</v>
      </c>
    </row>
    <row r="1910" spans="1:36" x14ac:dyDescent="0.25">
      <c r="A1910" s="325" t="str">
        <f>CONCATENATE("P",'906MP'!M1610)</f>
        <v>P</v>
      </c>
      <c r="B1910">
        <f>'906MP'!H1610</f>
        <v>0</v>
      </c>
      <c r="C1910">
        <f>'906MP'!J1610</f>
        <v>0</v>
      </c>
      <c r="D1910">
        <f>'906MP'!P1610</f>
        <v>0</v>
      </c>
      <c r="E1910">
        <f>'906MP'!X1610</f>
        <v>0</v>
      </c>
      <c r="F1910" t="str">
        <f t="shared" si="561"/>
        <v>0</v>
      </c>
      <c r="G1910" t="str">
        <f t="shared" si="562"/>
        <v>0</v>
      </c>
      <c r="H1910">
        <f>'906MP'!Y1610</f>
        <v>0</v>
      </c>
      <c r="I1910">
        <f>'906MP'!AK1610</f>
        <v>0</v>
      </c>
      <c r="J1910">
        <f>'906MP'!T1610</f>
        <v>0</v>
      </c>
      <c r="K1910">
        <f>'906MP'!AJ1610</f>
        <v>0</v>
      </c>
      <c r="L1910">
        <f>'906MP'!U1610</f>
        <v>0</v>
      </c>
      <c r="M1910" s="322" t="str">
        <f>IFERROR(VLOOKUP(A1910,PAR!$D$3:$E$53,2,FALSE),"nincs szervezet")</f>
        <v>nincs szervezet</v>
      </c>
      <c r="N1910" s="322" t="str">
        <f>VLOOKUP(F1910,PAR!$R$3:$S$5,2,FALSE)</f>
        <v>3 - egyik sem</v>
      </c>
      <c r="O1910" t="str">
        <f>IFERROR(VLOOKUP(J1910,PAR!$O$3:$P$5,2,FALSE),"nincs feladat")</f>
        <v>nincs feladat</v>
      </c>
      <c r="P1910" t="str">
        <f>IFERROR(VLOOKUP(G1910,PAR!$J$2:$M$19,4),"nincs rovat")</f>
        <v>nincs rovat</v>
      </c>
      <c r="Q1910" t="str">
        <f>IF(H1910&gt;0,VLOOKUP(H1910,PAR!$AA$3:$AC$187,3,FALSE),"nincs főkönyvi számla")</f>
        <v>nincs főkönyvi számla</v>
      </c>
      <c r="R1910" t="str">
        <f>IFERROR(VLOOKUP(K1910,PAR!$V$3:$X$438,3,FALSE),"000000 - Nincs COFOG")</f>
        <v>000000 - Nincs COFOG</v>
      </c>
      <c r="S1910">
        <f t="shared" si="563"/>
        <v>0</v>
      </c>
      <c r="T1910">
        <f t="shared" si="564"/>
        <v>0</v>
      </c>
      <c r="U1910" t="str">
        <f>IF('906MP'!J1610&gt;0,CONCATENATE('906MP'!J1610," - ",'906MP'!P1610,", ",'906MP'!E1610),"nincs megjegyzés")</f>
        <v>nincs megjegyzés</v>
      </c>
      <c r="V1910" t="str">
        <f t="shared" si="551"/>
        <v>0P0</v>
      </c>
      <c r="W1910" t="str">
        <f t="shared" si="552"/>
        <v>0P0</v>
      </c>
      <c r="X1910" t="str">
        <f t="shared" si="553"/>
        <v>P0</v>
      </c>
      <c r="Y1910" t="str">
        <f t="shared" si="554"/>
        <v>00</v>
      </c>
      <c r="Z1910" t="str">
        <f t="shared" si="565"/>
        <v>00</v>
      </c>
      <c r="AA1910" t="str">
        <f t="shared" si="555"/>
        <v>00</v>
      </c>
      <c r="AB1910" t="str">
        <f t="shared" si="556"/>
        <v>00</v>
      </c>
      <c r="AC1910" t="str">
        <f t="shared" si="557"/>
        <v>0P0</v>
      </c>
      <c r="AD1910" t="str">
        <f t="shared" si="558"/>
        <v>P00</v>
      </c>
      <c r="AE1910" t="str">
        <f t="shared" si="559"/>
        <v>0P0</v>
      </c>
      <c r="AF1910" t="str">
        <f t="shared" si="560"/>
        <v>P00</v>
      </c>
      <c r="AG1910" t="str">
        <f t="shared" si="566"/>
        <v>0P00</v>
      </c>
      <c r="AH1910" t="str">
        <f t="shared" si="567"/>
        <v>P000</v>
      </c>
      <c r="AI1910" t="str">
        <f t="shared" si="568"/>
        <v>0P00</v>
      </c>
      <c r="AJ1910" t="str">
        <f t="shared" si="569"/>
        <v>P000</v>
      </c>
    </row>
    <row r="1911" spans="1:36" x14ac:dyDescent="0.25">
      <c r="A1911" s="325" t="str">
        <f>CONCATENATE("P",'906MP'!M1611)</f>
        <v>P</v>
      </c>
      <c r="B1911">
        <f>'906MP'!H1611</f>
        <v>0</v>
      </c>
      <c r="C1911">
        <f>'906MP'!J1611</f>
        <v>0</v>
      </c>
      <c r="D1911">
        <f>'906MP'!P1611</f>
        <v>0</v>
      </c>
      <c r="E1911">
        <f>'906MP'!X1611</f>
        <v>0</v>
      </c>
      <c r="F1911" t="str">
        <f t="shared" si="561"/>
        <v>0</v>
      </c>
      <c r="G1911" t="str">
        <f t="shared" si="562"/>
        <v>0</v>
      </c>
      <c r="H1911">
        <f>'906MP'!Y1611</f>
        <v>0</v>
      </c>
      <c r="I1911">
        <f>'906MP'!AK1611</f>
        <v>0</v>
      </c>
      <c r="J1911">
        <f>'906MP'!T1611</f>
        <v>0</v>
      </c>
      <c r="K1911">
        <f>'906MP'!AJ1611</f>
        <v>0</v>
      </c>
      <c r="L1911">
        <f>'906MP'!U1611</f>
        <v>0</v>
      </c>
      <c r="M1911" s="322" t="str">
        <f>IFERROR(VLOOKUP(A1911,PAR!$D$3:$E$53,2,FALSE),"nincs szervezet")</f>
        <v>nincs szervezet</v>
      </c>
      <c r="N1911" s="322" t="str">
        <f>VLOOKUP(F1911,PAR!$R$3:$S$5,2,FALSE)</f>
        <v>3 - egyik sem</v>
      </c>
      <c r="O1911" t="str">
        <f>IFERROR(VLOOKUP(J1911,PAR!$O$3:$P$5,2,FALSE),"nincs feladat")</f>
        <v>nincs feladat</v>
      </c>
      <c r="P1911" t="str">
        <f>IFERROR(VLOOKUP(G1911,PAR!$J$2:$M$19,4),"nincs rovat")</f>
        <v>nincs rovat</v>
      </c>
      <c r="Q1911" t="str">
        <f>IF(H1911&gt;0,VLOOKUP(H1911,PAR!$AA$3:$AC$187,3,FALSE),"nincs főkönyvi számla")</f>
        <v>nincs főkönyvi számla</v>
      </c>
      <c r="R1911" t="str">
        <f>IFERROR(VLOOKUP(K1911,PAR!$V$3:$X$438,3,FALSE),"000000 - Nincs COFOG")</f>
        <v>000000 - Nincs COFOG</v>
      </c>
      <c r="S1911">
        <f t="shared" si="563"/>
        <v>0</v>
      </c>
      <c r="T1911">
        <f t="shared" si="564"/>
        <v>0</v>
      </c>
      <c r="U1911" t="str">
        <f>IF('906MP'!J1611&gt;0,CONCATENATE('906MP'!J1611," - ",'906MP'!P1611,", ",'906MP'!E1611),"nincs megjegyzés")</f>
        <v>nincs megjegyzés</v>
      </c>
      <c r="V1911" t="str">
        <f t="shared" si="551"/>
        <v>0P0</v>
      </c>
      <c r="W1911" t="str">
        <f t="shared" si="552"/>
        <v>0P0</v>
      </c>
      <c r="X1911" t="str">
        <f t="shared" si="553"/>
        <v>P0</v>
      </c>
      <c r="Y1911" t="str">
        <f t="shared" si="554"/>
        <v>00</v>
      </c>
      <c r="Z1911" t="str">
        <f t="shared" si="565"/>
        <v>00</v>
      </c>
      <c r="AA1911" t="str">
        <f t="shared" si="555"/>
        <v>00</v>
      </c>
      <c r="AB1911" t="str">
        <f t="shared" si="556"/>
        <v>00</v>
      </c>
      <c r="AC1911" t="str">
        <f t="shared" si="557"/>
        <v>0P0</v>
      </c>
      <c r="AD1911" t="str">
        <f t="shared" si="558"/>
        <v>P00</v>
      </c>
      <c r="AE1911" t="str">
        <f t="shared" si="559"/>
        <v>0P0</v>
      </c>
      <c r="AF1911" t="str">
        <f t="shared" si="560"/>
        <v>P00</v>
      </c>
      <c r="AG1911" t="str">
        <f t="shared" si="566"/>
        <v>0P00</v>
      </c>
      <c r="AH1911" t="str">
        <f t="shared" si="567"/>
        <v>P000</v>
      </c>
      <c r="AI1911" t="str">
        <f t="shared" si="568"/>
        <v>0P00</v>
      </c>
      <c r="AJ1911" t="str">
        <f t="shared" si="569"/>
        <v>P000</v>
      </c>
    </row>
    <row r="1912" spans="1:36" x14ac:dyDescent="0.25">
      <c r="A1912" s="325" t="str">
        <f>CONCATENATE("P",'906MP'!M1612)</f>
        <v>P</v>
      </c>
      <c r="B1912">
        <f>'906MP'!H1612</f>
        <v>0</v>
      </c>
      <c r="C1912">
        <f>'906MP'!J1612</f>
        <v>0</v>
      </c>
      <c r="D1912">
        <f>'906MP'!P1612</f>
        <v>0</v>
      </c>
      <c r="E1912">
        <f>'906MP'!X1612</f>
        <v>0</v>
      </c>
      <c r="F1912" t="str">
        <f t="shared" si="561"/>
        <v>0</v>
      </c>
      <c r="G1912" t="str">
        <f t="shared" si="562"/>
        <v>0</v>
      </c>
      <c r="H1912">
        <f>'906MP'!Y1612</f>
        <v>0</v>
      </c>
      <c r="I1912">
        <f>'906MP'!AK1612</f>
        <v>0</v>
      </c>
      <c r="J1912">
        <f>'906MP'!T1612</f>
        <v>0</v>
      </c>
      <c r="K1912">
        <f>'906MP'!AJ1612</f>
        <v>0</v>
      </c>
      <c r="L1912">
        <f>'906MP'!U1612</f>
        <v>0</v>
      </c>
      <c r="M1912" s="322" t="str">
        <f>IFERROR(VLOOKUP(A1912,PAR!$D$3:$E$53,2,FALSE),"nincs szervezet")</f>
        <v>nincs szervezet</v>
      </c>
      <c r="N1912" s="322" t="str">
        <f>VLOOKUP(F1912,PAR!$R$3:$S$5,2,FALSE)</f>
        <v>3 - egyik sem</v>
      </c>
      <c r="O1912" t="str">
        <f>IFERROR(VLOOKUP(J1912,PAR!$O$3:$P$5,2,FALSE),"nincs feladat")</f>
        <v>nincs feladat</v>
      </c>
      <c r="P1912" t="str">
        <f>IFERROR(VLOOKUP(G1912,PAR!$J$2:$M$19,4),"nincs rovat")</f>
        <v>nincs rovat</v>
      </c>
      <c r="Q1912" t="str">
        <f>IF(H1912&gt;0,VLOOKUP(H1912,PAR!$AA$3:$AC$187,3,FALSE),"nincs főkönyvi számla")</f>
        <v>nincs főkönyvi számla</v>
      </c>
      <c r="R1912" t="str">
        <f>IFERROR(VLOOKUP(K1912,PAR!$V$3:$X$438,3,FALSE),"000000 - Nincs COFOG")</f>
        <v>000000 - Nincs COFOG</v>
      </c>
      <c r="S1912">
        <f t="shared" si="563"/>
        <v>0</v>
      </c>
      <c r="T1912">
        <f t="shared" si="564"/>
        <v>0</v>
      </c>
      <c r="U1912" t="str">
        <f>IF('906MP'!J1612&gt;0,CONCATENATE('906MP'!J1612," - ",'906MP'!P1612,", ",'906MP'!E1612),"nincs megjegyzés")</f>
        <v>nincs megjegyzés</v>
      </c>
      <c r="V1912" t="str">
        <f t="shared" si="551"/>
        <v>0P0</v>
      </c>
      <c r="W1912" t="str">
        <f t="shared" si="552"/>
        <v>0P0</v>
      </c>
      <c r="X1912" t="str">
        <f t="shared" si="553"/>
        <v>P0</v>
      </c>
      <c r="Y1912" t="str">
        <f t="shared" si="554"/>
        <v>00</v>
      </c>
      <c r="Z1912" t="str">
        <f t="shared" si="565"/>
        <v>00</v>
      </c>
      <c r="AA1912" t="str">
        <f t="shared" si="555"/>
        <v>00</v>
      </c>
      <c r="AB1912" t="str">
        <f t="shared" si="556"/>
        <v>00</v>
      </c>
      <c r="AC1912" t="str">
        <f t="shared" si="557"/>
        <v>0P0</v>
      </c>
      <c r="AD1912" t="str">
        <f t="shared" si="558"/>
        <v>P00</v>
      </c>
      <c r="AE1912" t="str">
        <f t="shared" si="559"/>
        <v>0P0</v>
      </c>
      <c r="AF1912" t="str">
        <f t="shared" si="560"/>
        <v>P00</v>
      </c>
      <c r="AG1912" t="str">
        <f t="shared" si="566"/>
        <v>0P00</v>
      </c>
      <c r="AH1912" t="str">
        <f t="shared" si="567"/>
        <v>P000</v>
      </c>
      <c r="AI1912" t="str">
        <f t="shared" si="568"/>
        <v>0P00</v>
      </c>
      <c r="AJ1912" t="str">
        <f t="shared" si="569"/>
        <v>P000</v>
      </c>
    </row>
    <row r="1913" spans="1:36" x14ac:dyDescent="0.25">
      <c r="A1913" s="325" t="str">
        <f>CONCATENATE("P",'906MP'!M1613)</f>
        <v>P</v>
      </c>
      <c r="B1913">
        <f>'906MP'!H1613</f>
        <v>0</v>
      </c>
      <c r="C1913">
        <f>'906MP'!J1613</f>
        <v>0</v>
      </c>
      <c r="D1913">
        <f>'906MP'!P1613</f>
        <v>0</v>
      </c>
      <c r="E1913">
        <f>'906MP'!X1613</f>
        <v>0</v>
      </c>
      <c r="F1913" t="str">
        <f t="shared" si="561"/>
        <v>0</v>
      </c>
      <c r="G1913" t="str">
        <f t="shared" si="562"/>
        <v>0</v>
      </c>
      <c r="H1913">
        <f>'906MP'!Y1613</f>
        <v>0</v>
      </c>
      <c r="I1913">
        <f>'906MP'!AK1613</f>
        <v>0</v>
      </c>
      <c r="J1913">
        <f>'906MP'!T1613</f>
        <v>0</v>
      </c>
      <c r="K1913">
        <f>'906MP'!AJ1613</f>
        <v>0</v>
      </c>
      <c r="L1913">
        <f>'906MP'!U1613</f>
        <v>0</v>
      </c>
      <c r="M1913" s="322" t="str">
        <f>IFERROR(VLOOKUP(A1913,PAR!$D$3:$E$53,2,FALSE),"nincs szervezet")</f>
        <v>nincs szervezet</v>
      </c>
      <c r="N1913" s="322" t="str">
        <f>VLOOKUP(F1913,PAR!$R$3:$S$5,2,FALSE)</f>
        <v>3 - egyik sem</v>
      </c>
      <c r="O1913" t="str">
        <f>IFERROR(VLOOKUP(J1913,PAR!$O$3:$P$5,2,FALSE),"nincs feladat")</f>
        <v>nincs feladat</v>
      </c>
      <c r="P1913" t="str">
        <f>IFERROR(VLOOKUP(G1913,PAR!$J$2:$M$19,4),"nincs rovat")</f>
        <v>nincs rovat</v>
      </c>
      <c r="Q1913" t="str">
        <f>IF(H1913&gt;0,VLOOKUP(H1913,PAR!$AA$3:$AC$187,3,FALSE),"nincs főkönyvi számla")</f>
        <v>nincs főkönyvi számla</v>
      </c>
      <c r="R1913" t="str">
        <f>IFERROR(VLOOKUP(K1913,PAR!$V$3:$X$438,3,FALSE),"000000 - Nincs COFOG")</f>
        <v>000000 - Nincs COFOG</v>
      </c>
      <c r="S1913">
        <f t="shared" si="563"/>
        <v>0</v>
      </c>
      <c r="T1913">
        <f t="shared" si="564"/>
        <v>0</v>
      </c>
      <c r="U1913" t="str">
        <f>IF('906MP'!J1613&gt;0,CONCATENATE('906MP'!J1613," - ",'906MP'!P1613,", ",'906MP'!E1613),"nincs megjegyzés")</f>
        <v>nincs megjegyzés</v>
      </c>
      <c r="V1913" t="str">
        <f t="shared" si="551"/>
        <v>0P0</v>
      </c>
      <c r="W1913" t="str">
        <f t="shared" si="552"/>
        <v>0P0</v>
      </c>
      <c r="X1913" t="str">
        <f t="shared" si="553"/>
        <v>P0</v>
      </c>
      <c r="Y1913" t="str">
        <f t="shared" si="554"/>
        <v>00</v>
      </c>
      <c r="Z1913" t="str">
        <f t="shared" si="565"/>
        <v>00</v>
      </c>
      <c r="AA1913" t="str">
        <f t="shared" si="555"/>
        <v>00</v>
      </c>
      <c r="AB1913" t="str">
        <f t="shared" si="556"/>
        <v>00</v>
      </c>
      <c r="AC1913" t="str">
        <f t="shared" si="557"/>
        <v>0P0</v>
      </c>
      <c r="AD1913" t="str">
        <f t="shared" si="558"/>
        <v>P00</v>
      </c>
      <c r="AE1913" t="str">
        <f t="shared" si="559"/>
        <v>0P0</v>
      </c>
      <c r="AF1913" t="str">
        <f t="shared" si="560"/>
        <v>P00</v>
      </c>
      <c r="AG1913" t="str">
        <f t="shared" si="566"/>
        <v>0P00</v>
      </c>
      <c r="AH1913" t="str">
        <f t="shared" si="567"/>
        <v>P000</v>
      </c>
      <c r="AI1913" t="str">
        <f t="shared" si="568"/>
        <v>0P00</v>
      </c>
      <c r="AJ1913" t="str">
        <f t="shared" si="569"/>
        <v>P000</v>
      </c>
    </row>
    <row r="1914" spans="1:36" x14ac:dyDescent="0.25">
      <c r="A1914" s="325" t="str">
        <f>CONCATENATE("P",'906MP'!M1614)</f>
        <v>P</v>
      </c>
      <c r="B1914">
        <f>'906MP'!H1614</f>
        <v>0</v>
      </c>
      <c r="C1914">
        <f>'906MP'!J1614</f>
        <v>0</v>
      </c>
      <c r="D1914">
        <f>'906MP'!P1614</f>
        <v>0</v>
      </c>
      <c r="E1914">
        <f>'906MP'!X1614</f>
        <v>0</v>
      </c>
      <c r="F1914" t="str">
        <f t="shared" si="561"/>
        <v>0</v>
      </c>
      <c r="G1914" t="str">
        <f t="shared" si="562"/>
        <v>0</v>
      </c>
      <c r="H1914">
        <f>'906MP'!Y1614</f>
        <v>0</v>
      </c>
      <c r="I1914">
        <f>'906MP'!AK1614</f>
        <v>0</v>
      </c>
      <c r="J1914">
        <f>'906MP'!T1614</f>
        <v>0</v>
      </c>
      <c r="K1914">
        <f>'906MP'!AJ1614</f>
        <v>0</v>
      </c>
      <c r="L1914">
        <f>'906MP'!U1614</f>
        <v>0</v>
      </c>
      <c r="M1914" s="322" t="str">
        <f>IFERROR(VLOOKUP(A1914,PAR!$D$3:$E$53,2,FALSE),"nincs szervezet")</f>
        <v>nincs szervezet</v>
      </c>
      <c r="N1914" s="322" t="str">
        <f>VLOOKUP(F1914,PAR!$R$3:$S$5,2,FALSE)</f>
        <v>3 - egyik sem</v>
      </c>
      <c r="O1914" t="str">
        <f>IFERROR(VLOOKUP(J1914,PAR!$O$3:$P$5,2,FALSE),"nincs feladat")</f>
        <v>nincs feladat</v>
      </c>
      <c r="P1914" t="str">
        <f>IFERROR(VLOOKUP(G1914,PAR!$J$2:$M$19,4),"nincs rovat")</f>
        <v>nincs rovat</v>
      </c>
      <c r="Q1914" t="str">
        <f>IF(H1914&gt;0,VLOOKUP(H1914,PAR!$AA$3:$AC$187,3,FALSE),"nincs főkönyvi számla")</f>
        <v>nincs főkönyvi számla</v>
      </c>
      <c r="R1914" t="str">
        <f>IFERROR(VLOOKUP(K1914,PAR!$V$3:$X$438,3,FALSE),"000000 - Nincs COFOG")</f>
        <v>000000 - Nincs COFOG</v>
      </c>
      <c r="S1914">
        <f t="shared" si="563"/>
        <v>0</v>
      </c>
      <c r="T1914">
        <f t="shared" si="564"/>
        <v>0</v>
      </c>
      <c r="U1914" t="str">
        <f>IF('906MP'!J1614&gt;0,CONCATENATE('906MP'!J1614," - ",'906MP'!P1614,", ",'906MP'!E1614),"nincs megjegyzés")</f>
        <v>nincs megjegyzés</v>
      </c>
      <c r="V1914" t="str">
        <f t="shared" si="551"/>
        <v>0P0</v>
      </c>
      <c r="W1914" t="str">
        <f t="shared" si="552"/>
        <v>0P0</v>
      </c>
      <c r="X1914" t="str">
        <f t="shared" si="553"/>
        <v>P0</v>
      </c>
      <c r="Y1914" t="str">
        <f t="shared" si="554"/>
        <v>00</v>
      </c>
      <c r="Z1914" t="str">
        <f t="shared" si="565"/>
        <v>00</v>
      </c>
      <c r="AA1914" t="str">
        <f t="shared" si="555"/>
        <v>00</v>
      </c>
      <c r="AB1914" t="str">
        <f t="shared" si="556"/>
        <v>00</v>
      </c>
      <c r="AC1914" t="str">
        <f t="shared" si="557"/>
        <v>0P0</v>
      </c>
      <c r="AD1914" t="str">
        <f t="shared" si="558"/>
        <v>P00</v>
      </c>
      <c r="AE1914" t="str">
        <f t="shared" si="559"/>
        <v>0P0</v>
      </c>
      <c r="AF1914" t="str">
        <f t="shared" si="560"/>
        <v>P00</v>
      </c>
      <c r="AG1914" t="str">
        <f t="shared" si="566"/>
        <v>0P00</v>
      </c>
      <c r="AH1914" t="str">
        <f t="shared" si="567"/>
        <v>P000</v>
      </c>
      <c r="AI1914" t="str">
        <f t="shared" si="568"/>
        <v>0P00</v>
      </c>
      <c r="AJ1914" t="str">
        <f t="shared" si="569"/>
        <v>P000</v>
      </c>
    </row>
    <row r="1915" spans="1:36" x14ac:dyDescent="0.25">
      <c r="A1915" s="325" t="str">
        <f>CONCATENATE("P",'906MP'!M1615)</f>
        <v>P</v>
      </c>
      <c r="B1915">
        <f>'906MP'!H1615</f>
        <v>0</v>
      </c>
      <c r="C1915">
        <f>'906MP'!J1615</f>
        <v>0</v>
      </c>
      <c r="D1915">
        <f>'906MP'!P1615</f>
        <v>0</v>
      </c>
      <c r="E1915">
        <f>'906MP'!X1615</f>
        <v>0</v>
      </c>
      <c r="F1915" t="str">
        <f t="shared" si="561"/>
        <v>0</v>
      </c>
      <c r="G1915" t="str">
        <f t="shared" si="562"/>
        <v>0</v>
      </c>
      <c r="H1915">
        <f>'906MP'!Y1615</f>
        <v>0</v>
      </c>
      <c r="I1915">
        <f>'906MP'!AK1615</f>
        <v>0</v>
      </c>
      <c r="J1915">
        <f>'906MP'!T1615</f>
        <v>0</v>
      </c>
      <c r="K1915">
        <f>'906MP'!AJ1615</f>
        <v>0</v>
      </c>
      <c r="L1915">
        <f>'906MP'!U1615</f>
        <v>0</v>
      </c>
      <c r="M1915" s="322" t="str">
        <f>IFERROR(VLOOKUP(A1915,PAR!$D$3:$E$53,2,FALSE),"nincs szervezet")</f>
        <v>nincs szervezet</v>
      </c>
      <c r="N1915" s="322" t="str">
        <f>VLOOKUP(F1915,PAR!$R$3:$S$5,2,FALSE)</f>
        <v>3 - egyik sem</v>
      </c>
      <c r="O1915" t="str">
        <f>IFERROR(VLOOKUP(J1915,PAR!$O$3:$P$5,2,FALSE),"nincs feladat")</f>
        <v>nincs feladat</v>
      </c>
      <c r="P1915" t="str">
        <f>IFERROR(VLOOKUP(G1915,PAR!$J$2:$M$19,4),"nincs rovat")</f>
        <v>nincs rovat</v>
      </c>
      <c r="Q1915" t="str">
        <f>IF(H1915&gt;0,VLOOKUP(H1915,PAR!$AA$3:$AC$187,3,FALSE),"nincs főkönyvi számla")</f>
        <v>nincs főkönyvi számla</v>
      </c>
      <c r="R1915" t="str">
        <f>IFERROR(VLOOKUP(K1915,PAR!$V$3:$X$438,3,FALSE),"000000 - Nincs COFOG")</f>
        <v>000000 - Nincs COFOG</v>
      </c>
      <c r="S1915">
        <f t="shared" si="563"/>
        <v>0</v>
      </c>
      <c r="T1915">
        <f t="shared" si="564"/>
        <v>0</v>
      </c>
      <c r="U1915" t="str">
        <f>IF('906MP'!J1615&gt;0,CONCATENATE('906MP'!J1615," - ",'906MP'!P1615,", ",'906MP'!E1615),"nincs megjegyzés")</f>
        <v>nincs megjegyzés</v>
      </c>
      <c r="V1915" t="str">
        <f t="shared" si="551"/>
        <v>0P0</v>
      </c>
      <c r="W1915" t="str">
        <f t="shared" si="552"/>
        <v>0P0</v>
      </c>
      <c r="X1915" t="str">
        <f t="shared" si="553"/>
        <v>P0</v>
      </c>
      <c r="Y1915" t="str">
        <f t="shared" si="554"/>
        <v>00</v>
      </c>
      <c r="Z1915" t="str">
        <f t="shared" si="565"/>
        <v>00</v>
      </c>
      <c r="AA1915" t="str">
        <f t="shared" si="555"/>
        <v>00</v>
      </c>
      <c r="AB1915" t="str">
        <f t="shared" si="556"/>
        <v>00</v>
      </c>
      <c r="AC1915" t="str">
        <f t="shared" si="557"/>
        <v>0P0</v>
      </c>
      <c r="AD1915" t="str">
        <f t="shared" si="558"/>
        <v>P00</v>
      </c>
      <c r="AE1915" t="str">
        <f t="shared" si="559"/>
        <v>0P0</v>
      </c>
      <c r="AF1915" t="str">
        <f t="shared" si="560"/>
        <v>P00</v>
      </c>
      <c r="AG1915" t="str">
        <f t="shared" si="566"/>
        <v>0P00</v>
      </c>
      <c r="AH1915" t="str">
        <f t="shared" si="567"/>
        <v>P000</v>
      </c>
      <c r="AI1915" t="str">
        <f t="shared" si="568"/>
        <v>0P00</v>
      </c>
      <c r="AJ1915" t="str">
        <f t="shared" si="569"/>
        <v>P000</v>
      </c>
    </row>
    <row r="1916" spans="1:36" x14ac:dyDescent="0.25">
      <c r="A1916" s="325" t="str">
        <f>CONCATENATE("P",'906MP'!M1616)</f>
        <v>P</v>
      </c>
      <c r="B1916">
        <f>'906MP'!H1616</f>
        <v>0</v>
      </c>
      <c r="C1916">
        <f>'906MP'!J1616</f>
        <v>0</v>
      </c>
      <c r="D1916">
        <f>'906MP'!P1616</f>
        <v>0</v>
      </c>
      <c r="E1916">
        <f>'906MP'!X1616</f>
        <v>0</v>
      </c>
      <c r="F1916" t="str">
        <f t="shared" si="561"/>
        <v>0</v>
      </c>
      <c r="G1916" t="str">
        <f t="shared" si="562"/>
        <v>0</v>
      </c>
      <c r="H1916">
        <f>'906MP'!Y1616</f>
        <v>0</v>
      </c>
      <c r="I1916">
        <f>'906MP'!AK1616</f>
        <v>0</v>
      </c>
      <c r="J1916">
        <f>'906MP'!T1616</f>
        <v>0</v>
      </c>
      <c r="K1916">
        <f>'906MP'!AJ1616</f>
        <v>0</v>
      </c>
      <c r="L1916">
        <f>'906MP'!U1616</f>
        <v>0</v>
      </c>
      <c r="M1916" s="322" t="str">
        <f>IFERROR(VLOOKUP(A1916,PAR!$D$3:$E$53,2,FALSE),"nincs szervezet")</f>
        <v>nincs szervezet</v>
      </c>
      <c r="N1916" s="322" t="str">
        <f>VLOOKUP(F1916,PAR!$R$3:$S$5,2,FALSE)</f>
        <v>3 - egyik sem</v>
      </c>
      <c r="O1916" t="str">
        <f>IFERROR(VLOOKUP(J1916,PAR!$O$3:$P$5,2,FALSE),"nincs feladat")</f>
        <v>nincs feladat</v>
      </c>
      <c r="P1916" t="str">
        <f>IFERROR(VLOOKUP(G1916,PAR!$J$2:$M$19,4),"nincs rovat")</f>
        <v>nincs rovat</v>
      </c>
      <c r="Q1916" t="str">
        <f>IF(H1916&gt;0,VLOOKUP(H1916,PAR!$AA$3:$AC$187,3,FALSE),"nincs főkönyvi számla")</f>
        <v>nincs főkönyvi számla</v>
      </c>
      <c r="R1916" t="str">
        <f>IFERROR(VLOOKUP(K1916,PAR!$V$3:$X$438,3,FALSE),"000000 - Nincs COFOG")</f>
        <v>000000 - Nincs COFOG</v>
      </c>
      <c r="S1916">
        <f t="shared" si="563"/>
        <v>0</v>
      </c>
      <c r="T1916">
        <f t="shared" si="564"/>
        <v>0</v>
      </c>
      <c r="U1916" t="str">
        <f>IF('906MP'!J1616&gt;0,CONCATENATE('906MP'!J1616," - ",'906MP'!P1616,", ",'906MP'!E1616),"nincs megjegyzés")</f>
        <v>nincs megjegyzés</v>
      </c>
      <c r="V1916" t="str">
        <f t="shared" si="551"/>
        <v>0P0</v>
      </c>
      <c r="W1916" t="str">
        <f t="shared" si="552"/>
        <v>0P0</v>
      </c>
      <c r="X1916" t="str">
        <f t="shared" si="553"/>
        <v>P0</v>
      </c>
      <c r="Y1916" t="str">
        <f t="shared" si="554"/>
        <v>00</v>
      </c>
      <c r="Z1916" t="str">
        <f t="shared" si="565"/>
        <v>00</v>
      </c>
      <c r="AA1916" t="str">
        <f t="shared" si="555"/>
        <v>00</v>
      </c>
      <c r="AB1916" t="str">
        <f t="shared" si="556"/>
        <v>00</v>
      </c>
      <c r="AC1916" t="str">
        <f t="shared" si="557"/>
        <v>0P0</v>
      </c>
      <c r="AD1916" t="str">
        <f t="shared" si="558"/>
        <v>P00</v>
      </c>
      <c r="AE1916" t="str">
        <f t="shared" si="559"/>
        <v>0P0</v>
      </c>
      <c r="AF1916" t="str">
        <f t="shared" si="560"/>
        <v>P00</v>
      </c>
      <c r="AG1916" t="str">
        <f t="shared" si="566"/>
        <v>0P00</v>
      </c>
      <c r="AH1916" t="str">
        <f t="shared" si="567"/>
        <v>P000</v>
      </c>
      <c r="AI1916" t="str">
        <f t="shared" si="568"/>
        <v>0P00</v>
      </c>
      <c r="AJ1916" t="str">
        <f t="shared" si="569"/>
        <v>P000</v>
      </c>
    </row>
    <row r="1917" spans="1:36" x14ac:dyDescent="0.25">
      <c r="A1917" s="325" t="str">
        <f>CONCATENATE("P",'906MP'!M1617)</f>
        <v>P</v>
      </c>
      <c r="B1917">
        <f>'906MP'!H1617</f>
        <v>0</v>
      </c>
      <c r="C1917">
        <f>'906MP'!J1617</f>
        <v>0</v>
      </c>
      <c r="D1917">
        <f>'906MP'!P1617</f>
        <v>0</v>
      </c>
      <c r="E1917">
        <f>'906MP'!X1617</f>
        <v>0</v>
      </c>
      <c r="F1917" t="str">
        <f t="shared" si="561"/>
        <v>0</v>
      </c>
      <c r="G1917" t="str">
        <f t="shared" si="562"/>
        <v>0</v>
      </c>
      <c r="H1917">
        <f>'906MP'!Y1617</f>
        <v>0</v>
      </c>
      <c r="I1917">
        <f>'906MP'!AK1617</f>
        <v>0</v>
      </c>
      <c r="J1917">
        <f>'906MP'!T1617</f>
        <v>0</v>
      </c>
      <c r="K1917">
        <f>'906MP'!AJ1617</f>
        <v>0</v>
      </c>
      <c r="L1917">
        <f>'906MP'!U1617</f>
        <v>0</v>
      </c>
      <c r="M1917" s="322" t="str">
        <f>IFERROR(VLOOKUP(A1917,PAR!$D$3:$E$53,2,FALSE),"nincs szervezet")</f>
        <v>nincs szervezet</v>
      </c>
      <c r="N1917" s="322" t="str">
        <f>VLOOKUP(F1917,PAR!$R$3:$S$5,2,FALSE)</f>
        <v>3 - egyik sem</v>
      </c>
      <c r="O1917" t="str">
        <f>IFERROR(VLOOKUP(J1917,PAR!$O$3:$P$5,2,FALSE),"nincs feladat")</f>
        <v>nincs feladat</v>
      </c>
      <c r="P1917" t="str">
        <f>IFERROR(VLOOKUP(G1917,PAR!$J$2:$M$19,4),"nincs rovat")</f>
        <v>nincs rovat</v>
      </c>
      <c r="Q1917" t="str">
        <f>IF(H1917&gt;0,VLOOKUP(H1917,PAR!$AA$3:$AC$187,3,FALSE),"nincs főkönyvi számla")</f>
        <v>nincs főkönyvi számla</v>
      </c>
      <c r="R1917" t="str">
        <f>IFERROR(VLOOKUP(K1917,PAR!$V$3:$X$438,3,FALSE),"000000 - Nincs COFOG")</f>
        <v>000000 - Nincs COFOG</v>
      </c>
      <c r="S1917">
        <f t="shared" si="563"/>
        <v>0</v>
      </c>
      <c r="T1917">
        <f t="shared" si="564"/>
        <v>0</v>
      </c>
      <c r="U1917" t="str">
        <f>IF('906MP'!J1617&gt;0,CONCATENATE('906MP'!J1617," - ",'906MP'!P1617,", ",'906MP'!E1617),"nincs megjegyzés")</f>
        <v>nincs megjegyzés</v>
      </c>
      <c r="V1917" t="str">
        <f t="shared" si="551"/>
        <v>0P0</v>
      </c>
      <c r="W1917" t="str">
        <f t="shared" si="552"/>
        <v>0P0</v>
      </c>
      <c r="X1917" t="str">
        <f t="shared" si="553"/>
        <v>P0</v>
      </c>
      <c r="Y1917" t="str">
        <f t="shared" si="554"/>
        <v>00</v>
      </c>
      <c r="Z1917" t="str">
        <f t="shared" si="565"/>
        <v>00</v>
      </c>
      <c r="AA1917" t="str">
        <f t="shared" si="555"/>
        <v>00</v>
      </c>
      <c r="AB1917" t="str">
        <f t="shared" si="556"/>
        <v>00</v>
      </c>
      <c r="AC1917" t="str">
        <f t="shared" si="557"/>
        <v>0P0</v>
      </c>
      <c r="AD1917" t="str">
        <f t="shared" si="558"/>
        <v>P00</v>
      </c>
      <c r="AE1917" t="str">
        <f t="shared" si="559"/>
        <v>0P0</v>
      </c>
      <c r="AF1917" t="str">
        <f t="shared" si="560"/>
        <v>P00</v>
      </c>
      <c r="AG1917" t="str">
        <f t="shared" si="566"/>
        <v>0P00</v>
      </c>
      <c r="AH1917" t="str">
        <f t="shared" si="567"/>
        <v>P000</v>
      </c>
      <c r="AI1917" t="str">
        <f t="shared" si="568"/>
        <v>0P00</v>
      </c>
      <c r="AJ1917" t="str">
        <f t="shared" si="569"/>
        <v>P000</v>
      </c>
    </row>
    <row r="1918" spans="1:36" x14ac:dyDescent="0.25">
      <c r="A1918" s="325" t="str">
        <f>CONCATENATE("P",'906MP'!M1618)</f>
        <v>P</v>
      </c>
      <c r="B1918">
        <f>'906MP'!H1618</f>
        <v>0</v>
      </c>
      <c r="C1918">
        <f>'906MP'!J1618</f>
        <v>0</v>
      </c>
      <c r="D1918">
        <f>'906MP'!P1618</f>
        <v>0</v>
      </c>
      <c r="E1918">
        <f>'906MP'!X1618</f>
        <v>0</v>
      </c>
      <c r="F1918" t="str">
        <f t="shared" si="561"/>
        <v>0</v>
      </c>
      <c r="G1918" t="str">
        <f t="shared" si="562"/>
        <v>0</v>
      </c>
      <c r="H1918">
        <f>'906MP'!Y1618</f>
        <v>0</v>
      </c>
      <c r="I1918">
        <f>'906MP'!AK1618</f>
        <v>0</v>
      </c>
      <c r="J1918">
        <f>'906MP'!T1618</f>
        <v>0</v>
      </c>
      <c r="K1918">
        <f>'906MP'!AJ1618</f>
        <v>0</v>
      </c>
      <c r="L1918">
        <f>'906MP'!U1618</f>
        <v>0</v>
      </c>
      <c r="M1918" s="322" t="str">
        <f>IFERROR(VLOOKUP(A1918,PAR!$D$3:$E$53,2,FALSE),"nincs szervezet")</f>
        <v>nincs szervezet</v>
      </c>
      <c r="N1918" s="322" t="str">
        <f>VLOOKUP(F1918,PAR!$R$3:$S$5,2,FALSE)</f>
        <v>3 - egyik sem</v>
      </c>
      <c r="O1918" t="str">
        <f>IFERROR(VLOOKUP(J1918,PAR!$O$3:$P$5,2,FALSE),"nincs feladat")</f>
        <v>nincs feladat</v>
      </c>
      <c r="P1918" t="str">
        <f>IFERROR(VLOOKUP(G1918,PAR!$J$2:$M$19,4),"nincs rovat")</f>
        <v>nincs rovat</v>
      </c>
      <c r="Q1918" t="str">
        <f>IF(H1918&gt;0,VLOOKUP(H1918,PAR!$AA$3:$AC$187,3,FALSE),"nincs főkönyvi számla")</f>
        <v>nincs főkönyvi számla</v>
      </c>
      <c r="R1918" t="str">
        <f>IFERROR(VLOOKUP(K1918,PAR!$V$3:$X$438,3,FALSE),"000000 - Nincs COFOG")</f>
        <v>000000 - Nincs COFOG</v>
      </c>
      <c r="S1918">
        <f t="shared" si="563"/>
        <v>0</v>
      </c>
      <c r="T1918">
        <f t="shared" si="564"/>
        <v>0</v>
      </c>
      <c r="U1918" t="str">
        <f>IF('906MP'!J1618&gt;0,CONCATENATE('906MP'!J1618," - ",'906MP'!P1618,", ",'906MP'!E1618),"nincs megjegyzés")</f>
        <v>nincs megjegyzés</v>
      </c>
      <c r="V1918" t="str">
        <f t="shared" si="551"/>
        <v>0P0</v>
      </c>
      <c r="W1918" t="str">
        <f t="shared" si="552"/>
        <v>0P0</v>
      </c>
      <c r="X1918" t="str">
        <f t="shared" si="553"/>
        <v>P0</v>
      </c>
      <c r="Y1918" t="str">
        <f t="shared" si="554"/>
        <v>00</v>
      </c>
      <c r="Z1918" t="str">
        <f t="shared" si="565"/>
        <v>00</v>
      </c>
      <c r="AA1918" t="str">
        <f t="shared" si="555"/>
        <v>00</v>
      </c>
      <c r="AB1918" t="str">
        <f t="shared" si="556"/>
        <v>00</v>
      </c>
      <c r="AC1918" t="str">
        <f t="shared" si="557"/>
        <v>0P0</v>
      </c>
      <c r="AD1918" t="str">
        <f t="shared" si="558"/>
        <v>P00</v>
      </c>
      <c r="AE1918" t="str">
        <f t="shared" si="559"/>
        <v>0P0</v>
      </c>
      <c r="AF1918" t="str">
        <f t="shared" si="560"/>
        <v>P00</v>
      </c>
      <c r="AG1918" t="str">
        <f t="shared" si="566"/>
        <v>0P00</v>
      </c>
      <c r="AH1918" t="str">
        <f t="shared" si="567"/>
        <v>P000</v>
      </c>
      <c r="AI1918" t="str">
        <f t="shared" si="568"/>
        <v>0P00</v>
      </c>
      <c r="AJ1918" t="str">
        <f t="shared" si="569"/>
        <v>P000</v>
      </c>
    </row>
    <row r="1919" spans="1:36" x14ac:dyDescent="0.25">
      <c r="A1919" s="325" t="str">
        <f>CONCATENATE("P",'906MP'!M1619)</f>
        <v>P</v>
      </c>
      <c r="B1919">
        <f>'906MP'!H1619</f>
        <v>0</v>
      </c>
      <c r="C1919">
        <f>'906MP'!J1619</f>
        <v>0</v>
      </c>
      <c r="D1919">
        <f>'906MP'!P1619</f>
        <v>0</v>
      </c>
      <c r="E1919">
        <f>'906MP'!X1619</f>
        <v>0</v>
      </c>
      <c r="F1919" t="str">
        <f t="shared" si="561"/>
        <v>0</v>
      </c>
      <c r="G1919" t="str">
        <f t="shared" si="562"/>
        <v>0</v>
      </c>
      <c r="H1919">
        <f>'906MP'!Y1619</f>
        <v>0</v>
      </c>
      <c r="I1919">
        <f>'906MP'!AK1619</f>
        <v>0</v>
      </c>
      <c r="J1919">
        <f>'906MP'!T1619</f>
        <v>0</v>
      </c>
      <c r="K1919">
        <f>'906MP'!AJ1619</f>
        <v>0</v>
      </c>
      <c r="L1919">
        <f>'906MP'!U1619</f>
        <v>0</v>
      </c>
      <c r="M1919" s="322" t="str">
        <f>IFERROR(VLOOKUP(A1919,PAR!$D$3:$E$53,2,FALSE),"nincs szervezet")</f>
        <v>nincs szervezet</v>
      </c>
      <c r="N1919" s="322" t="str">
        <f>VLOOKUP(F1919,PAR!$R$3:$S$5,2,FALSE)</f>
        <v>3 - egyik sem</v>
      </c>
      <c r="O1919" t="str">
        <f>IFERROR(VLOOKUP(J1919,PAR!$O$3:$P$5,2,FALSE),"nincs feladat")</f>
        <v>nincs feladat</v>
      </c>
      <c r="P1919" t="str">
        <f>IFERROR(VLOOKUP(G1919,PAR!$J$2:$M$19,4),"nincs rovat")</f>
        <v>nincs rovat</v>
      </c>
      <c r="Q1919" t="str">
        <f>IF(H1919&gt;0,VLOOKUP(H1919,PAR!$AA$3:$AC$187,3,FALSE),"nincs főkönyvi számla")</f>
        <v>nincs főkönyvi számla</v>
      </c>
      <c r="R1919" t="str">
        <f>IFERROR(VLOOKUP(K1919,PAR!$V$3:$X$438,3,FALSE),"000000 - Nincs COFOG")</f>
        <v>000000 - Nincs COFOG</v>
      </c>
      <c r="S1919">
        <f t="shared" si="563"/>
        <v>0</v>
      </c>
      <c r="T1919">
        <f t="shared" si="564"/>
        <v>0</v>
      </c>
      <c r="U1919" t="str">
        <f>IF('906MP'!J1619&gt;0,CONCATENATE('906MP'!J1619," - ",'906MP'!P1619,", ",'906MP'!E1619),"nincs megjegyzés")</f>
        <v>nincs megjegyzés</v>
      </c>
      <c r="V1919" t="str">
        <f t="shared" si="551"/>
        <v>0P0</v>
      </c>
      <c r="W1919" t="str">
        <f t="shared" si="552"/>
        <v>0P0</v>
      </c>
      <c r="X1919" t="str">
        <f t="shared" si="553"/>
        <v>P0</v>
      </c>
      <c r="Y1919" t="str">
        <f t="shared" si="554"/>
        <v>00</v>
      </c>
      <c r="Z1919" t="str">
        <f t="shared" si="565"/>
        <v>00</v>
      </c>
      <c r="AA1919" t="str">
        <f t="shared" si="555"/>
        <v>00</v>
      </c>
      <c r="AB1919" t="str">
        <f t="shared" si="556"/>
        <v>00</v>
      </c>
      <c r="AC1919" t="str">
        <f t="shared" si="557"/>
        <v>0P0</v>
      </c>
      <c r="AD1919" t="str">
        <f t="shared" si="558"/>
        <v>P00</v>
      </c>
      <c r="AE1919" t="str">
        <f t="shared" si="559"/>
        <v>0P0</v>
      </c>
      <c r="AF1919" t="str">
        <f t="shared" si="560"/>
        <v>P00</v>
      </c>
      <c r="AG1919" t="str">
        <f t="shared" si="566"/>
        <v>0P00</v>
      </c>
      <c r="AH1919" t="str">
        <f t="shared" si="567"/>
        <v>P000</v>
      </c>
      <c r="AI1919" t="str">
        <f t="shared" si="568"/>
        <v>0P00</v>
      </c>
      <c r="AJ1919" t="str">
        <f t="shared" si="569"/>
        <v>P000</v>
      </c>
    </row>
    <row r="1920" spans="1:36" x14ac:dyDescent="0.25">
      <c r="A1920" s="325" t="str">
        <f>CONCATENATE("P",'906MP'!M1620)</f>
        <v>P</v>
      </c>
      <c r="B1920">
        <f>'906MP'!H1620</f>
        <v>0</v>
      </c>
      <c r="C1920">
        <f>'906MP'!J1620</f>
        <v>0</v>
      </c>
      <c r="D1920">
        <f>'906MP'!P1620</f>
        <v>0</v>
      </c>
      <c r="E1920">
        <f>'906MP'!X1620</f>
        <v>0</v>
      </c>
      <c r="F1920" t="str">
        <f t="shared" si="561"/>
        <v>0</v>
      </c>
      <c r="G1920" t="str">
        <f t="shared" si="562"/>
        <v>0</v>
      </c>
      <c r="H1920">
        <f>'906MP'!Y1620</f>
        <v>0</v>
      </c>
      <c r="I1920">
        <f>'906MP'!AK1620</f>
        <v>0</v>
      </c>
      <c r="J1920">
        <f>'906MP'!T1620</f>
        <v>0</v>
      </c>
      <c r="K1920">
        <f>'906MP'!AJ1620</f>
        <v>0</v>
      </c>
      <c r="L1920">
        <f>'906MP'!U1620</f>
        <v>0</v>
      </c>
      <c r="M1920" s="322" t="str">
        <f>IFERROR(VLOOKUP(A1920,PAR!$D$3:$E$53,2,FALSE),"nincs szervezet")</f>
        <v>nincs szervezet</v>
      </c>
      <c r="N1920" s="322" t="str">
        <f>VLOOKUP(F1920,PAR!$R$3:$S$5,2,FALSE)</f>
        <v>3 - egyik sem</v>
      </c>
      <c r="O1920" t="str">
        <f>IFERROR(VLOOKUP(J1920,PAR!$O$3:$P$5,2,FALSE),"nincs feladat")</f>
        <v>nincs feladat</v>
      </c>
      <c r="P1920" t="str">
        <f>IFERROR(VLOOKUP(G1920,PAR!$J$2:$M$19,4),"nincs rovat")</f>
        <v>nincs rovat</v>
      </c>
      <c r="Q1920" t="str">
        <f>IF(H1920&gt;0,VLOOKUP(H1920,PAR!$AA$3:$AC$187,3,FALSE),"nincs főkönyvi számla")</f>
        <v>nincs főkönyvi számla</v>
      </c>
      <c r="R1920" t="str">
        <f>IFERROR(VLOOKUP(K1920,PAR!$V$3:$X$438,3,FALSE),"000000 - Nincs COFOG")</f>
        <v>000000 - Nincs COFOG</v>
      </c>
      <c r="S1920">
        <f t="shared" si="563"/>
        <v>0</v>
      </c>
      <c r="T1920">
        <f t="shared" si="564"/>
        <v>0</v>
      </c>
      <c r="U1920" t="str">
        <f>IF('906MP'!J1620&gt;0,CONCATENATE('906MP'!J1620," - ",'906MP'!P1620,", ",'906MP'!E1620),"nincs megjegyzés")</f>
        <v>nincs megjegyzés</v>
      </c>
      <c r="V1920" t="str">
        <f t="shared" si="551"/>
        <v>0P0</v>
      </c>
      <c r="W1920" t="str">
        <f t="shared" si="552"/>
        <v>0P0</v>
      </c>
      <c r="X1920" t="str">
        <f t="shared" si="553"/>
        <v>P0</v>
      </c>
      <c r="Y1920" t="str">
        <f t="shared" si="554"/>
        <v>00</v>
      </c>
      <c r="Z1920" t="str">
        <f t="shared" si="565"/>
        <v>00</v>
      </c>
      <c r="AA1920" t="str">
        <f t="shared" si="555"/>
        <v>00</v>
      </c>
      <c r="AB1920" t="str">
        <f t="shared" si="556"/>
        <v>00</v>
      </c>
      <c r="AC1920" t="str">
        <f t="shared" si="557"/>
        <v>0P0</v>
      </c>
      <c r="AD1920" t="str">
        <f t="shared" si="558"/>
        <v>P00</v>
      </c>
      <c r="AE1920" t="str">
        <f t="shared" si="559"/>
        <v>0P0</v>
      </c>
      <c r="AF1920" t="str">
        <f t="shared" si="560"/>
        <v>P00</v>
      </c>
      <c r="AG1920" t="str">
        <f t="shared" si="566"/>
        <v>0P00</v>
      </c>
      <c r="AH1920" t="str">
        <f t="shared" si="567"/>
        <v>P000</v>
      </c>
      <c r="AI1920" t="str">
        <f t="shared" si="568"/>
        <v>0P00</v>
      </c>
      <c r="AJ1920" t="str">
        <f t="shared" si="569"/>
        <v>P000</v>
      </c>
    </row>
    <row r="1921" spans="1:36" x14ac:dyDescent="0.25">
      <c r="A1921" s="325" t="str">
        <f>CONCATENATE("P",'906MP'!M1621)</f>
        <v>P</v>
      </c>
      <c r="B1921">
        <f>'906MP'!H1621</f>
        <v>0</v>
      </c>
      <c r="C1921">
        <f>'906MP'!J1621</f>
        <v>0</v>
      </c>
      <c r="D1921">
        <f>'906MP'!P1621</f>
        <v>0</v>
      </c>
      <c r="E1921">
        <f>'906MP'!X1621</f>
        <v>0</v>
      </c>
      <c r="F1921" t="str">
        <f t="shared" si="561"/>
        <v>0</v>
      </c>
      <c r="G1921" t="str">
        <f t="shared" si="562"/>
        <v>0</v>
      </c>
      <c r="H1921">
        <f>'906MP'!Y1621</f>
        <v>0</v>
      </c>
      <c r="I1921">
        <f>'906MP'!AK1621</f>
        <v>0</v>
      </c>
      <c r="J1921">
        <f>'906MP'!T1621</f>
        <v>0</v>
      </c>
      <c r="K1921">
        <f>'906MP'!AJ1621</f>
        <v>0</v>
      </c>
      <c r="L1921">
        <f>'906MP'!U1621</f>
        <v>0</v>
      </c>
      <c r="M1921" s="322" t="str">
        <f>IFERROR(VLOOKUP(A1921,PAR!$D$3:$E$53,2,FALSE),"nincs szervezet")</f>
        <v>nincs szervezet</v>
      </c>
      <c r="N1921" s="322" t="str">
        <f>VLOOKUP(F1921,PAR!$R$3:$S$5,2,FALSE)</f>
        <v>3 - egyik sem</v>
      </c>
      <c r="O1921" t="str">
        <f>IFERROR(VLOOKUP(J1921,PAR!$O$3:$P$5,2,FALSE),"nincs feladat")</f>
        <v>nincs feladat</v>
      </c>
      <c r="P1921" t="str">
        <f>IFERROR(VLOOKUP(G1921,PAR!$J$2:$M$19,4),"nincs rovat")</f>
        <v>nincs rovat</v>
      </c>
      <c r="Q1921" t="str">
        <f>IF(H1921&gt;0,VLOOKUP(H1921,PAR!$AA$3:$AC$187,3,FALSE),"nincs főkönyvi számla")</f>
        <v>nincs főkönyvi számla</v>
      </c>
      <c r="R1921" t="str">
        <f>IFERROR(VLOOKUP(K1921,PAR!$V$3:$X$438,3,FALSE),"000000 - Nincs COFOG")</f>
        <v>000000 - Nincs COFOG</v>
      </c>
      <c r="S1921">
        <f t="shared" si="563"/>
        <v>0</v>
      </c>
      <c r="T1921">
        <f t="shared" si="564"/>
        <v>0</v>
      </c>
      <c r="U1921" t="str">
        <f>IF('906MP'!J1621&gt;0,CONCATENATE('906MP'!J1621," - ",'906MP'!P1621,", ",'906MP'!E1621),"nincs megjegyzés")</f>
        <v>nincs megjegyzés</v>
      </c>
      <c r="V1921" t="str">
        <f t="shared" si="551"/>
        <v>0P0</v>
      </c>
      <c r="W1921" t="str">
        <f t="shared" si="552"/>
        <v>0P0</v>
      </c>
      <c r="X1921" t="str">
        <f t="shared" si="553"/>
        <v>P0</v>
      </c>
      <c r="Y1921" t="str">
        <f t="shared" si="554"/>
        <v>00</v>
      </c>
      <c r="Z1921" t="str">
        <f t="shared" si="565"/>
        <v>00</v>
      </c>
      <c r="AA1921" t="str">
        <f t="shared" si="555"/>
        <v>00</v>
      </c>
      <c r="AB1921" t="str">
        <f t="shared" si="556"/>
        <v>00</v>
      </c>
      <c r="AC1921" t="str">
        <f t="shared" si="557"/>
        <v>0P0</v>
      </c>
      <c r="AD1921" t="str">
        <f t="shared" si="558"/>
        <v>P00</v>
      </c>
      <c r="AE1921" t="str">
        <f t="shared" si="559"/>
        <v>0P0</v>
      </c>
      <c r="AF1921" t="str">
        <f t="shared" si="560"/>
        <v>P00</v>
      </c>
      <c r="AG1921" t="str">
        <f t="shared" si="566"/>
        <v>0P00</v>
      </c>
      <c r="AH1921" t="str">
        <f t="shared" si="567"/>
        <v>P000</v>
      </c>
      <c r="AI1921" t="str">
        <f t="shared" si="568"/>
        <v>0P00</v>
      </c>
      <c r="AJ1921" t="str">
        <f t="shared" si="569"/>
        <v>P000</v>
      </c>
    </row>
    <row r="1922" spans="1:36" x14ac:dyDescent="0.25">
      <c r="A1922" s="325" t="str">
        <f>CONCATENATE("P",'906MP'!M1622)</f>
        <v>P</v>
      </c>
      <c r="B1922">
        <f>'906MP'!H1622</f>
        <v>0</v>
      </c>
      <c r="C1922">
        <f>'906MP'!J1622</f>
        <v>0</v>
      </c>
      <c r="D1922">
        <f>'906MP'!P1622</f>
        <v>0</v>
      </c>
      <c r="E1922">
        <f>'906MP'!X1622</f>
        <v>0</v>
      </c>
      <c r="F1922" t="str">
        <f t="shared" si="561"/>
        <v>0</v>
      </c>
      <c r="G1922" t="str">
        <f t="shared" si="562"/>
        <v>0</v>
      </c>
      <c r="H1922">
        <f>'906MP'!Y1622</f>
        <v>0</v>
      </c>
      <c r="I1922">
        <f>'906MP'!AK1622</f>
        <v>0</v>
      </c>
      <c r="J1922">
        <f>'906MP'!T1622</f>
        <v>0</v>
      </c>
      <c r="K1922">
        <f>'906MP'!AJ1622</f>
        <v>0</v>
      </c>
      <c r="L1922">
        <f>'906MP'!U1622</f>
        <v>0</v>
      </c>
      <c r="M1922" s="322" t="str">
        <f>IFERROR(VLOOKUP(A1922,PAR!$D$3:$E$53,2,FALSE),"nincs szervezet")</f>
        <v>nincs szervezet</v>
      </c>
      <c r="N1922" s="322" t="str">
        <f>VLOOKUP(F1922,PAR!$R$3:$S$5,2,FALSE)</f>
        <v>3 - egyik sem</v>
      </c>
      <c r="O1922" t="str">
        <f>IFERROR(VLOOKUP(J1922,PAR!$O$3:$P$5,2,FALSE),"nincs feladat")</f>
        <v>nincs feladat</v>
      </c>
      <c r="P1922" t="str">
        <f>IFERROR(VLOOKUP(G1922,PAR!$J$2:$M$19,4),"nincs rovat")</f>
        <v>nincs rovat</v>
      </c>
      <c r="Q1922" t="str">
        <f>IF(H1922&gt;0,VLOOKUP(H1922,PAR!$AA$3:$AC$187,3,FALSE),"nincs főkönyvi számla")</f>
        <v>nincs főkönyvi számla</v>
      </c>
      <c r="R1922" t="str">
        <f>IFERROR(VLOOKUP(K1922,PAR!$V$3:$X$438,3,FALSE),"000000 - Nincs COFOG")</f>
        <v>000000 - Nincs COFOG</v>
      </c>
      <c r="S1922">
        <f t="shared" si="563"/>
        <v>0</v>
      </c>
      <c r="T1922">
        <f t="shared" si="564"/>
        <v>0</v>
      </c>
      <c r="U1922" t="str">
        <f>IF('906MP'!J1622&gt;0,CONCATENATE('906MP'!J1622," - ",'906MP'!P1622,", ",'906MP'!E1622),"nincs megjegyzés")</f>
        <v>nincs megjegyzés</v>
      </c>
      <c r="V1922" t="str">
        <f t="shared" ref="V1922:V1985" si="570">CONCATENATE(B1922,A1922,G1922)</f>
        <v>0P0</v>
      </c>
      <c r="W1922" t="str">
        <f t="shared" ref="W1922:W1985" si="571">CONCATENATE(B1922,A1922,F1922)</f>
        <v>0P0</v>
      </c>
      <c r="X1922" t="str">
        <f t="shared" ref="X1922:X1985" si="572">CONCATENATE(A1922,H1922)</f>
        <v>P0</v>
      </c>
      <c r="Y1922" t="str">
        <f t="shared" ref="Y1922:Y1985" si="573">CONCATENATE(B1922,H1922)</f>
        <v>00</v>
      </c>
      <c r="Z1922" t="str">
        <f t="shared" si="565"/>
        <v>00</v>
      </c>
      <c r="AA1922" t="str">
        <f t="shared" ref="AA1922:AA1985" si="574">CONCATENATE(B1922,G1922)</f>
        <v>00</v>
      </c>
      <c r="AB1922" t="str">
        <f t="shared" ref="AB1922:AB1985" si="575">CONCATENATE(J1922,G1922)</f>
        <v>00</v>
      </c>
      <c r="AC1922" t="str">
        <f t="shared" ref="AC1922:AC1985" si="576">CONCATENATE(B1922,A1922,H1922)</f>
        <v>0P0</v>
      </c>
      <c r="AD1922" t="str">
        <f t="shared" ref="AD1922:AD1985" si="577">CONCATENATE(A1922,H1922,J1922)</f>
        <v>P00</v>
      </c>
      <c r="AE1922" t="str">
        <f t="shared" ref="AE1922:AE1985" si="578">CONCATENATE(B1922,A1922,G1922)</f>
        <v>0P0</v>
      </c>
      <c r="AF1922" t="str">
        <f t="shared" ref="AF1922:AF1985" si="579">CONCATENATE(A1922,G1922,J1922)</f>
        <v>P00</v>
      </c>
      <c r="AG1922" t="str">
        <f t="shared" si="566"/>
        <v>0P00</v>
      </c>
      <c r="AH1922" t="str">
        <f t="shared" si="567"/>
        <v>P000</v>
      </c>
      <c r="AI1922" t="str">
        <f t="shared" si="568"/>
        <v>0P00</v>
      </c>
      <c r="AJ1922" t="str">
        <f t="shared" si="569"/>
        <v>P000</v>
      </c>
    </row>
    <row r="1923" spans="1:36" x14ac:dyDescent="0.25">
      <c r="A1923" s="325" t="str">
        <f>CONCATENATE("P",'906MP'!M1623)</f>
        <v>P</v>
      </c>
      <c r="B1923">
        <f>'906MP'!H1623</f>
        <v>0</v>
      </c>
      <c r="C1923">
        <f>'906MP'!J1623</f>
        <v>0</v>
      </c>
      <c r="D1923">
        <f>'906MP'!P1623</f>
        <v>0</v>
      </c>
      <c r="E1923">
        <f>'906MP'!X1623</f>
        <v>0</v>
      </c>
      <c r="F1923" t="str">
        <f t="shared" ref="F1923:F1986" si="580">LEFT(G1923,2)</f>
        <v>0</v>
      </c>
      <c r="G1923" t="str">
        <f t="shared" ref="G1923:G1986" si="581">LEFT(H1923,3)</f>
        <v>0</v>
      </c>
      <c r="H1923">
        <f>'906MP'!Y1623</f>
        <v>0</v>
      </c>
      <c r="I1923">
        <f>'906MP'!AK1623</f>
        <v>0</v>
      </c>
      <c r="J1923">
        <f>'906MP'!T1623</f>
        <v>0</v>
      </c>
      <c r="K1923">
        <f>'906MP'!AJ1623</f>
        <v>0</v>
      </c>
      <c r="L1923">
        <f>'906MP'!U1623</f>
        <v>0</v>
      </c>
      <c r="M1923" s="322" t="str">
        <f>IFERROR(VLOOKUP(A1923,PAR!$D$3:$E$53,2,FALSE),"nincs szervezet")</f>
        <v>nincs szervezet</v>
      </c>
      <c r="N1923" s="322" t="str">
        <f>VLOOKUP(F1923,PAR!$R$3:$S$5,2,FALSE)</f>
        <v>3 - egyik sem</v>
      </c>
      <c r="O1923" t="str">
        <f>IFERROR(VLOOKUP(J1923,PAR!$O$3:$P$5,2,FALSE),"nincs feladat")</f>
        <v>nincs feladat</v>
      </c>
      <c r="P1923" t="str">
        <f>IFERROR(VLOOKUP(G1923,PAR!$J$2:$M$19,4),"nincs rovat")</f>
        <v>nincs rovat</v>
      </c>
      <c r="Q1923" t="str">
        <f>IF(H1923&gt;0,VLOOKUP(H1923,PAR!$AA$3:$AC$187,3,FALSE),"nincs főkönyvi számla")</f>
        <v>nincs főkönyvi számla</v>
      </c>
      <c r="R1923" t="str">
        <f>IFERROR(VLOOKUP(K1923,PAR!$V$3:$X$438,3,FALSE),"000000 - Nincs COFOG")</f>
        <v>000000 - Nincs COFOG</v>
      </c>
      <c r="S1923">
        <f t="shared" ref="S1923:S1986" si="582">E1923</f>
        <v>0</v>
      </c>
      <c r="T1923">
        <f t="shared" ref="T1923:T1986" si="583">IF(F1923="09",E1923*-1,E1923)</f>
        <v>0</v>
      </c>
      <c r="U1923" t="str">
        <f>IF('906MP'!J1623&gt;0,CONCATENATE('906MP'!J1623," - ",'906MP'!P1623,", ",'906MP'!E1623),"nincs megjegyzés")</f>
        <v>nincs megjegyzés</v>
      </c>
      <c r="V1923" t="str">
        <f t="shared" si="570"/>
        <v>0P0</v>
      </c>
      <c r="W1923" t="str">
        <f t="shared" si="571"/>
        <v>0P0</v>
      </c>
      <c r="X1923" t="str">
        <f t="shared" si="572"/>
        <v>P0</v>
      </c>
      <c r="Y1923" t="str">
        <f t="shared" si="573"/>
        <v>00</v>
      </c>
      <c r="Z1923" t="str">
        <f t="shared" ref="Z1923:Z1986" si="584">CONCATENATE(J1923,H1923)</f>
        <v>00</v>
      </c>
      <c r="AA1923" t="str">
        <f t="shared" si="574"/>
        <v>00</v>
      </c>
      <c r="AB1923" t="str">
        <f t="shared" si="575"/>
        <v>00</v>
      </c>
      <c r="AC1923" t="str">
        <f t="shared" si="576"/>
        <v>0P0</v>
      </c>
      <c r="AD1923" t="str">
        <f t="shared" si="577"/>
        <v>P00</v>
      </c>
      <c r="AE1923" t="str">
        <f t="shared" si="578"/>
        <v>0P0</v>
      </c>
      <c r="AF1923" t="str">
        <f t="shared" si="579"/>
        <v>P00</v>
      </c>
      <c r="AG1923" t="str">
        <f t="shared" ref="AG1923:AG1986" si="585">CONCATENATE(B1923,A1923,H1923,L1923)</f>
        <v>0P00</v>
      </c>
      <c r="AH1923" t="str">
        <f t="shared" ref="AH1923:AH1986" si="586">CONCATENATE(A1923,J1923,H1923,L1923)</f>
        <v>P000</v>
      </c>
      <c r="AI1923" t="str">
        <f t="shared" ref="AI1923:AI1986" si="587">CONCATENATE(B1923,A1923,G1923,L1923)</f>
        <v>0P00</v>
      </c>
      <c r="AJ1923" t="str">
        <f t="shared" ref="AJ1923:AJ1986" si="588">CONCATENATE(A1923,G1923,J1923,L1923)</f>
        <v>P000</v>
      </c>
    </row>
    <row r="1924" spans="1:36" x14ac:dyDescent="0.25">
      <c r="A1924" s="325" t="str">
        <f>CONCATENATE("P",'906MP'!M1624)</f>
        <v>P</v>
      </c>
      <c r="B1924">
        <f>'906MP'!H1624</f>
        <v>0</v>
      </c>
      <c r="C1924">
        <f>'906MP'!J1624</f>
        <v>0</v>
      </c>
      <c r="D1924">
        <f>'906MP'!P1624</f>
        <v>0</v>
      </c>
      <c r="E1924">
        <f>'906MP'!X1624</f>
        <v>0</v>
      </c>
      <c r="F1924" t="str">
        <f t="shared" si="580"/>
        <v>0</v>
      </c>
      <c r="G1924" t="str">
        <f t="shared" si="581"/>
        <v>0</v>
      </c>
      <c r="H1924">
        <f>'906MP'!Y1624</f>
        <v>0</v>
      </c>
      <c r="I1924">
        <f>'906MP'!AK1624</f>
        <v>0</v>
      </c>
      <c r="J1924">
        <f>'906MP'!T1624</f>
        <v>0</v>
      </c>
      <c r="K1924">
        <f>'906MP'!AJ1624</f>
        <v>0</v>
      </c>
      <c r="L1924">
        <f>'906MP'!U1624</f>
        <v>0</v>
      </c>
      <c r="M1924" s="322" t="str">
        <f>IFERROR(VLOOKUP(A1924,PAR!$D$3:$E$53,2,FALSE),"nincs szervezet")</f>
        <v>nincs szervezet</v>
      </c>
      <c r="N1924" s="322" t="str">
        <f>VLOOKUP(F1924,PAR!$R$3:$S$5,2,FALSE)</f>
        <v>3 - egyik sem</v>
      </c>
      <c r="O1924" t="str">
        <f>IFERROR(VLOOKUP(J1924,PAR!$O$3:$P$5,2,FALSE),"nincs feladat")</f>
        <v>nincs feladat</v>
      </c>
      <c r="P1924" t="str">
        <f>IFERROR(VLOOKUP(G1924,PAR!$J$2:$M$19,4),"nincs rovat")</f>
        <v>nincs rovat</v>
      </c>
      <c r="Q1924" t="str">
        <f>IF(H1924&gt;0,VLOOKUP(H1924,PAR!$AA$3:$AC$187,3,FALSE),"nincs főkönyvi számla")</f>
        <v>nincs főkönyvi számla</v>
      </c>
      <c r="R1924" t="str">
        <f>IFERROR(VLOOKUP(K1924,PAR!$V$3:$X$438,3,FALSE),"000000 - Nincs COFOG")</f>
        <v>000000 - Nincs COFOG</v>
      </c>
      <c r="S1924">
        <f t="shared" si="582"/>
        <v>0</v>
      </c>
      <c r="T1924">
        <f t="shared" si="583"/>
        <v>0</v>
      </c>
      <c r="U1924" t="str">
        <f>IF('906MP'!J1624&gt;0,CONCATENATE('906MP'!J1624," - ",'906MP'!P1624,", ",'906MP'!E1624),"nincs megjegyzés")</f>
        <v>nincs megjegyzés</v>
      </c>
      <c r="V1924" t="str">
        <f t="shared" si="570"/>
        <v>0P0</v>
      </c>
      <c r="W1924" t="str">
        <f t="shared" si="571"/>
        <v>0P0</v>
      </c>
      <c r="X1924" t="str">
        <f t="shared" si="572"/>
        <v>P0</v>
      </c>
      <c r="Y1924" t="str">
        <f t="shared" si="573"/>
        <v>00</v>
      </c>
      <c r="Z1924" t="str">
        <f t="shared" si="584"/>
        <v>00</v>
      </c>
      <c r="AA1924" t="str">
        <f t="shared" si="574"/>
        <v>00</v>
      </c>
      <c r="AB1924" t="str">
        <f t="shared" si="575"/>
        <v>00</v>
      </c>
      <c r="AC1924" t="str">
        <f t="shared" si="576"/>
        <v>0P0</v>
      </c>
      <c r="AD1924" t="str">
        <f t="shared" si="577"/>
        <v>P00</v>
      </c>
      <c r="AE1924" t="str">
        <f t="shared" si="578"/>
        <v>0P0</v>
      </c>
      <c r="AF1924" t="str">
        <f t="shared" si="579"/>
        <v>P00</v>
      </c>
      <c r="AG1924" t="str">
        <f t="shared" si="585"/>
        <v>0P00</v>
      </c>
      <c r="AH1924" t="str">
        <f t="shared" si="586"/>
        <v>P000</v>
      </c>
      <c r="AI1924" t="str">
        <f t="shared" si="587"/>
        <v>0P00</v>
      </c>
      <c r="AJ1924" t="str">
        <f t="shared" si="588"/>
        <v>P000</v>
      </c>
    </row>
    <row r="1925" spans="1:36" x14ac:dyDescent="0.25">
      <c r="A1925" s="325" t="str">
        <f>CONCATENATE("P",'906MP'!M1625)</f>
        <v>P</v>
      </c>
      <c r="B1925">
        <f>'906MP'!H1625</f>
        <v>0</v>
      </c>
      <c r="C1925">
        <f>'906MP'!J1625</f>
        <v>0</v>
      </c>
      <c r="D1925">
        <f>'906MP'!P1625</f>
        <v>0</v>
      </c>
      <c r="E1925">
        <f>'906MP'!X1625</f>
        <v>0</v>
      </c>
      <c r="F1925" t="str">
        <f t="shared" si="580"/>
        <v>0</v>
      </c>
      <c r="G1925" t="str">
        <f t="shared" si="581"/>
        <v>0</v>
      </c>
      <c r="H1925">
        <f>'906MP'!Y1625</f>
        <v>0</v>
      </c>
      <c r="I1925">
        <f>'906MP'!AK1625</f>
        <v>0</v>
      </c>
      <c r="J1925">
        <f>'906MP'!T1625</f>
        <v>0</v>
      </c>
      <c r="K1925">
        <f>'906MP'!AJ1625</f>
        <v>0</v>
      </c>
      <c r="L1925">
        <f>'906MP'!U1625</f>
        <v>0</v>
      </c>
      <c r="M1925" s="322" t="str">
        <f>IFERROR(VLOOKUP(A1925,PAR!$D$3:$E$53,2,FALSE),"nincs szervezet")</f>
        <v>nincs szervezet</v>
      </c>
      <c r="N1925" s="322" t="str">
        <f>VLOOKUP(F1925,PAR!$R$3:$S$5,2,FALSE)</f>
        <v>3 - egyik sem</v>
      </c>
      <c r="O1925" t="str">
        <f>IFERROR(VLOOKUP(J1925,PAR!$O$3:$P$5,2,FALSE),"nincs feladat")</f>
        <v>nincs feladat</v>
      </c>
      <c r="P1925" t="str">
        <f>IFERROR(VLOOKUP(G1925,PAR!$J$2:$M$19,4),"nincs rovat")</f>
        <v>nincs rovat</v>
      </c>
      <c r="Q1925" t="str">
        <f>IF(H1925&gt;0,VLOOKUP(H1925,PAR!$AA$3:$AC$187,3,FALSE),"nincs főkönyvi számla")</f>
        <v>nincs főkönyvi számla</v>
      </c>
      <c r="R1925" t="str">
        <f>IFERROR(VLOOKUP(K1925,PAR!$V$3:$X$438,3,FALSE),"000000 - Nincs COFOG")</f>
        <v>000000 - Nincs COFOG</v>
      </c>
      <c r="S1925">
        <f t="shared" si="582"/>
        <v>0</v>
      </c>
      <c r="T1925">
        <f t="shared" si="583"/>
        <v>0</v>
      </c>
      <c r="U1925" t="str">
        <f>IF('906MP'!J1625&gt;0,CONCATENATE('906MP'!J1625," - ",'906MP'!P1625,", ",'906MP'!E1625),"nincs megjegyzés")</f>
        <v>nincs megjegyzés</v>
      </c>
      <c r="V1925" t="str">
        <f t="shared" si="570"/>
        <v>0P0</v>
      </c>
      <c r="W1925" t="str">
        <f t="shared" si="571"/>
        <v>0P0</v>
      </c>
      <c r="X1925" t="str">
        <f t="shared" si="572"/>
        <v>P0</v>
      </c>
      <c r="Y1925" t="str">
        <f t="shared" si="573"/>
        <v>00</v>
      </c>
      <c r="Z1925" t="str">
        <f t="shared" si="584"/>
        <v>00</v>
      </c>
      <c r="AA1925" t="str">
        <f t="shared" si="574"/>
        <v>00</v>
      </c>
      <c r="AB1925" t="str">
        <f t="shared" si="575"/>
        <v>00</v>
      </c>
      <c r="AC1925" t="str">
        <f t="shared" si="576"/>
        <v>0P0</v>
      </c>
      <c r="AD1925" t="str">
        <f t="shared" si="577"/>
        <v>P00</v>
      </c>
      <c r="AE1925" t="str">
        <f t="shared" si="578"/>
        <v>0P0</v>
      </c>
      <c r="AF1925" t="str">
        <f t="shared" si="579"/>
        <v>P00</v>
      </c>
      <c r="AG1925" t="str">
        <f t="shared" si="585"/>
        <v>0P00</v>
      </c>
      <c r="AH1925" t="str">
        <f t="shared" si="586"/>
        <v>P000</v>
      </c>
      <c r="AI1925" t="str">
        <f t="shared" si="587"/>
        <v>0P00</v>
      </c>
      <c r="AJ1925" t="str">
        <f t="shared" si="588"/>
        <v>P000</v>
      </c>
    </row>
    <row r="1926" spans="1:36" x14ac:dyDescent="0.25">
      <c r="A1926" s="325" t="str">
        <f>CONCATENATE("P",'906MP'!M1626)</f>
        <v>P</v>
      </c>
      <c r="B1926">
        <f>'906MP'!H1626</f>
        <v>0</v>
      </c>
      <c r="C1926">
        <f>'906MP'!J1626</f>
        <v>0</v>
      </c>
      <c r="D1926">
        <f>'906MP'!P1626</f>
        <v>0</v>
      </c>
      <c r="E1926">
        <f>'906MP'!X1626</f>
        <v>0</v>
      </c>
      <c r="F1926" t="str">
        <f t="shared" si="580"/>
        <v>0</v>
      </c>
      <c r="G1926" t="str">
        <f t="shared" si="581"/>
        <v>0</v>
      </c>
      <c r="H1926">
        <f>'906MP'!Y1626</f>
        <v>0</v>
      </c>
      <c r="I1926">
        <f>'906MP'!AK1626</f>
        <v>0</v>
      </c>
      <c r="J1926">
        <f>'906MP'!T1626</f>
        <v>0</v>
      </c>
      <c r="K1926">
        <f>'906MP'!AJ1626</f>
        <v>0</v>
      </c>
      <c r="L1926">
        <f>'906MP'!U1626</f>
        <v>0</v>
      </c>
      <c r="M1926" s="322" t="str">
        <f>IFERROR(VLOOKUP(A1926,PAR!$D$3:$E$53,2,FALSE),"nincs szervezet")</f>
        <v>nincs szervezet</v>
      </c>
      <c r="N1926" s="322" t="str">
        <f>VLOOKUP(F1926,PAR!$R$3:$S$5,2,FALSE)</f>
        <v>3 - egyik sem</v>
      </c>
      <c r="O1926" t="str">
        <f>IFERROR(VLOOKUP(J1926,PAR!$O$3:$P$5,2,FALSE),"nincs feladat")</f>
        <v>nincs feladat</v>
      </c>
      <c r="P1926" t="str">
        <f>IFERROR(VLOOKUP(G1926,PAR!$J$2:$M$19,4),"nincs rovat")</f>
        <v>nincs rovat</v>
      </c>
      <c r="Q1926" t="str">
        <f>IF(H1926&gt;0,VLOOKUP(H1926,PAR!$AA$3:$AC$187,3,FALSE),"nincs főkönyvi számla")</f>
        <v>nincs főkönyvi számla</v>
      </c>
      <c r="R1926" t="str">
        <f>IFERROR(VLOOKUP(K1926,PAR!$V$3:$X$438,3,FALSE),"000000 - Nincs COFOG")</f>
        <v>000000 - Nincs COFOG</v>
      </c>
      <c r="S1926">
        <f t="shared" si="582"/>
        <v>0</v>
      </c>
      <c r="T1926">
        <f t="shared" si="583"/>
        <v>0</v>
      </c>
      <c r="U1926" t="str">
        <f>IF('906MP'!J1626&gt;0,CONCATENATE('906MP'!J1626," - ",'906MP'!P1626,", ",'906MP'!E1626),"nincs megjegyzés")</f>
        <v>nincs megjegyzés</v>
      </c>
      <c r="V1926" t="str">
        <f t="shared" si="570"/>
        <v>0P0</v>
      </c>
      <c r="W1926" t="str">
        <f t="shared" si="571"/>
        <v>0P0</v>
      </c>
      <c r="X1926" t="str">
        <f t="shared" si="572"/>
        <v>P0</v>
      </c>
      <c r="Y1926" t="str">
        <f t="shared" si="573"/>
        <v>00</v>
      </c>
      <c r="Z1926" t="str">
        <f t="shared" si="584"/>
        <v>00</v>
      </c>
      <c r="AA1926" t="str">
        <f t="shared" si="574"/>
        <v>00</v>
      </c>
      <c r="AB1926" t="str">
        <f t="shared" si="575"/>
        <v>00</v>
      </c>
      <c r="AC1926" t="str">
        <f t="shared" si="576"/>
        <v>0P0</v>
      </c>
      <c r="AD1926" t="str">
        <f t="shared" si="577"/>
        <v>P00</v>
      </c>
      <c r="AE1926" t="str">
        <f t="shared" si="578"/>
        <v>0P0</v>
      </c>
      <c r="AF1926" t="str">
        <f t="shared" si="579"/>
        <v>P00</v>
      </c>
      <c r="AG1926" t="str">
        <f t="shared" si="585"/>
        <v>0P00</v>
      </c>
      <c r="AH1926" t="str">
        <f t="shared" si="586"/>
        <v>P000</v>
      </c>
      <c r="AI1926" t="str">
        <f t="shared" si="587"/>
        <v>0P00</v>
      </c>
      <c r="AJ1926" t="str">
        <f t="shared" si="588"/>
        <v>P000</v>
      </c>
    </row>
    <row r="1927" spans="1:36" x14ac:dyDescent="0.25">
      <c r="A1927" s="325" t="str">
        <f>CONCATENATE("P",'906MP'!M1627)</f>
        <v>P</v>
      </c>
      <c r="B1927">
        <f>'906MP'!H1627</f>
        <v>0</v>
      </c>
      <c r="C1927">
        <f>'906MP'!J1627</f>
        <v>0</v>
      </c>
      <c r="D1927">
        <f>'906MP'!P1627</f>
        <v>0</v>
      </c>
      <c r="E1927">
        <f>'906MP'!X1627</f>
        <v>0</v>
      </c>
      <c r="F1927" t="str">
        <f t="shared" si="580"/>
        <v>0</v>
      </c>
      <c r="G1927" t="str">
        <f t="shared" si="581"/>
        <v>0</v>
      </c>
      <c r="H1927">
        <f>'906MP'!Y1627</f>
        <v>0</v>
      </c>
      <c r="I1927">
        <f>'906MP'!AK1627</f>
        <v>0</v>
      </c>
      <c r="J1927">
        <f>'906MP'!T1627</f>
        <v>0</v>
      </c>
      <c r="K1927">
        <f>'906MP'!AJ1627</f>
        <v>0</v>
      </c>
      <c r="L1927">
        <f>'906MP'!U1627</f>
        <v>0</v>
      </c>
      <c r="M1927" s="322" t="str">
        <f>IFERROR(VLOOKUP(A1927,PAR!$D$3:$E$53,2,FALSE),"nincs szervezet")</f>
        <v>nincs szervezet</v>
      </c>
      <c r="N1927" s="322" t="str">
        <f>VLOOKUP(F1927,PAR!$R$3:$S$5,2,FALSE)</f>
        <v>3 - egyik sem</v>
      </c>
      <c r="O1927" t="str">
        <f>IFERROR(VLOOKUP(J1927,PAR!$O$3:$P$5,2,FALSE),"nincs feladat")</f>
        <v>nincs feladat</v>
      </c>
      <c r="P1927" t="str">
        <f>IFERROR(VLOOKUP(G1927,PAR!$J$2:$M$19,4),"nincs rovat")</f>
        <v>nincs rovat</v>
      </c>
      <c r="Q1927" t="str">
        <f>IF(H1927&gt;0,VLOOKUP(H1927,PAR!$AA$3:$AC$187,3,FALSE),"nincs főkönyvi számla")</f>
        <v>nincs főkönyvi számla</v>
      </c>
      <c r="R1927" t="str">
        <f>IFERROR(VLOOKUP(K1927,PAR!$V$3:$X$438,3,FALSE),"000000 - Nincs COFOG")</f>
        <v>000000 - Nincs COFOG</v>
      </c>
      <c r="S1927">
        <f t="shared" si="582"/>
        <v>0</v>
      </c>
      <c r="T1927">
        <f t="shared" si="583"/>
        <v>0</v>
      </c>
      <c r="U1927" t="str">
        <f>IF('906MP'!J1627&gt;0,CONCATENATE('906MP'!J1627," - ",'906MP'!P1627,", ",'906MP'!E1627),"nincs megjegyzés")</f>
        <v>nincs megjegyzés</v>
      </c>
      <c r="V1927" t="str">
        <f t="shared" si="570"/>
        <v>0P0</v>
      </c>
      <c r="W1927" t="str">
        <f t="shared" si="571"/>
        <v>0P0</v>
      </c>
      <c r="X1927" t="str">
        <f t="shared" si="572"/>
        <v>P0</v>
      </c>
      <c r="Y1927" t="str">
        <f t="shared" si="573"/>
        <v>00</v>
      </c>
      <c r="Z1927" t="str">
        <f t="shared" si="584"/>
        <v>00</v>
      </c>
      <c r="AA1927" t="str">
        <f t="shared" si="574"/>
        <v>00</v>
      </c>
      <c r="AB1927" t="str">
        <f t="shared" si="575"/>
        <v>00</v>
      </c>
      <c r="AC1927" t="str">
        <f t="shared" si="576"/>
        <v>0P0</v>
      </c>
      <c r="AD1927" t="str">
        <f t="shared" si="577"/>
        <v>P00</v>
      </c>
      <c r="AE1927" t="str">
        <f t="shared" si="578"/>
        <v>0P0</v>
      </c>
      <c r="AF1927" t="str">
        <f t="shared" si="579"/>
        <v>P00</v>
      </c>
      <c r="AG1927" t="str">
        <f t="shared" si="585"/>
        <v>0P00</v>
      </c>
      <c r="AH1927" t="str">
        <f t="shared" si="586"/>
        <v>P000</v>
      </c>
      <c r="AI1927" t="str">
        <f t="shared" si="587"/>
        <v>0P00</v>
      </c>
      <c r="AJ1927" t="str">
        <f t="shared" si="588"/>
        <v>P000</v>
      </c>
    </row>
    <row r="1928" spans="1:36" x14ac:dyDescent="0.25">
      <c r="A1928" s="325" t="str">
        <f>CONCATENATE("P",'906MP'!M1628)</f>
        <v>P</v>
      </c>
      <c r="B1928">
        <f>'906MP'!H1628</f>
        <v>0</v>
      </c>
      <c r="C1928">
        <f>'906MP'!J1628</f>
        <v>0</v>
      </c>
      <c r="D1928">
        <f>'906MP'!P1628</f>
        <v>0</v>
      </c>
      <c r="E1928">
        <f>'906MP'!X1628</f>
        <v>0</v>
      </c>
      <c r="F1928" t="str">
        <f t="shared" si="580"/>
        <v>0</v>
      </c>
      <c r="G1928" t="str">
        <f t="shared" si="581"/>
        <v>0</v>
      </c>
      <c r="H1928">
        <f>'906MP'!Y1628</f>
        <v>0</v>
      </c>
      <c r="I1928">
        <f>'906MP'!AK1628</f>
        <v>0</v>
      </c>
      <c r="J1928">
        <f>'906MP'!T1628</f>
        <v>0</v>
      </c>
      <c r="K1928">
        <f>'906MP'!AJ1628</f>
        <v>0</v>
      </c>
      <c r="L1928">
        <f>'906MP'!U1628</f>
        <v>0</v>
      </c>
      <c r="M1928" s="322" t="str">
        <f>IFERROR(VLOOKUP(A1928,PAR!$D$3:$E$53,2,FALSE),"nincs szervezet")</f>
        <v>nincs szervezet</v>
      </c>
      <c r="N1928" s="322" t="str">
        <f>VLOOKUP(F1928,PAR!$R$3:$S$5,2,FALSE)</f>
        <v>3 - egyik sem</v>
      </c>
      <c r="O1928" t="str">
        <f>IFERROR(VLOOKUP(J1928,PAR!$O$3:$P$5,2,FALSE),"nincs feladat")</f>
        <v>nincs feladat</v>
      </c>
      <c r="P1928" t="str">
        <f>IFERROR(VLOOKUP(G1928,PAR!$J$2:$M$19,4),"nincs rovat")</f>
        <v>nincs rovat</v>
      </c>
      <c r="Q1928" t="str">
        <f>IF(H1928&gt;0,VLOOKUP(H1928,PAR!$AA$3:$AC$187,3,FALSE),"nincs főkönyvi számla")</f>
        <v>nincs főkönyvi számla</v>
      </c>
      <c r="R1928" t="str">
        <f>IFERROR(VLOOKUP(K1928,PAR!$V$3:$X$438,3,FALSE),"000000 - Nincs COFOG")</f>
        <v>000000 - Nincs COFOG</v>
      </c>
      <c r="S1928">
        <f t="shared" si="582"/>
        <v>0</v>
      </c>
      <c r="T1928">
        <f t="shared" si="583"/>
        <v>0</v>
      </c>
      <c r="U1928" t="str">
        <f>IF('906MP'!J1628&gt;0,CONCATENATE('906MP'!J1628," - ",'906MP'!P1628,", ",'906MP'!E1628),"nincs megjegyzés")</f>
        <v>nincs megjegyzés</v>
      </c>
      <c r="V1928" t="str">
        <f t="shared" si="570"/>
        <v>0P0</v>
      </c>
      <c r="W1928" t="str">
        <f t="shared" si="571"/>
        <v>0P0</v>
      </c>
      <c r="X1928" t="str">
        <f t="shared" si="572"/>
        <v>P0</v>
      </c>
      <c r="Y1928" t="str">
        <f t="shared" si="573"/>
        <v>00</v>
      </c>
      <c r="Z1928" t="str">
        <f t="shared" si="584"/>
        <v>00</v>
      </c>
      <c r="AA1928" t="str">
        <f t="shared" si="574"/>
        <v>00</v>
      </c>
      <c r="AB1928" t="str">
        <f t="shared" si="575"/>
        <v>00</v>
      </c>
      <c r="AC1928" t="str">
        <f t="shared" si="576"/>
        <v>0P0</v>
      </c>
      <c r="AD1928" t="str">
        <f t="shared" si="577"/>
        <v>P00</v>
      </c>
      <c r="AE1928" t="str">
        <f t="shared" si="578"/>
        <v>0P0</v>
      </c>
      <c r="AF1928" t="str">
        <f t="shared" si="579"/>
        <v>P00</v>
      </c>
      <c r="AG1928" t="str">
        <f t="shared" si="585"/>
        <v>0P00</v>
      </c>
      <c r="AH1928" t="str">
        <f t="shared" si="586"/>
        <v>P000</v>
      </c>
      <c r="AI1928" t="str">
        <f t="shared" si="587"/>
        <v>0P00</v>
      </c>
      <c r="AJ1928" t="str">
        <f t="shared" si="588"/>
        <v>P000</v>
      </c>
    </row>
    <row r="1929" spans="1:36" x14ac:dyDescent="0.25">
      <c r="A1929" s="325" t="str">
        <f>CONCATENATE("P",'906MP'!M1629)</f>
        <v>P</v>
      </c>
      <c r="B1929">
        <f>'906MP'!H1629</f>
        <v>0</v>
      </c>
      <c r="C1929">
        <f>'906MP'!J1629</f>
        <v>0</v>
      </c>
      <c r="D1929">
        <f>'906MP'!P1629</f>
        <v>0</v>
      </c>
      <c r="E1929">
        <f>'906MP'!X1629</f>
        <v>0</v>
      </c>
      <c r="F1929" t="str">
        <f t="shared" si="580"/>
        <v>0</v>
      </c>
      <c r="G1929" t="str">
        <f t="shared" si="581"/>
        <v>0</v>
      </c>
      <c r="H1929">
        <f>'906MP'!Y1629</f>
        <v>0</v>
      </c>
      <c r="I1929">
        <f>'906MP'!AK1629</f>
        <v>0</v>
      </c>
      <c r="J1929">
        <f>'906MP'!T1629</f>
        <v>0</v>
      </c>
      <c r="K1929">
        <f>'906MP'!AJ1629</f>
        <v>0</v>
      </c>
      <c r="L1929">
        <f>'906MP'!U1629</f>
        <v>0</v>
      </c>
      <c r="M1929" s="322" t="str">
        <f>IFERROR(VLOOKUP(A1929,PAR!$D$3:$E$53,2,FALSE),"nincs szervezet")</f>
        <v>nincs szervezet</v>
      </c>
      <c r="N1929" s="322" t="str">
        <f>VLOOKUP(F1929,PAR!$R$3:$S$5,2,FALSE)</f>
        <v>3 - egyik sem</v>
      </c>
      <c r="O1929" t="str">
        <f>IFERROR(VLOOKUP(J1929,PAR!$O$3:$P$5,2,FALSE),"nincs feladat")</f>
        <v>nincs feladat</v>
      </c>
      <c r="P1929" t="str">
        <f>IFERROR(VLOOKUP(G1929,PAR!$J$2:$M$19,4),"nincs rovat")</f>
        <v>nincs rovat</v>
      </c>
      <c r="Q1929" t="str">
        <f>IF(H1929&gt;0,VLOOKUP(H1929,PAR!$AA$3:$AC$187,3,FALSE),"nincs főkönyvi számla")</f>
        <v>nincs főkönyvi számla</v>
      </c>
      <c r="R1929" t="str">
        <f>IFERROR(VLOOKUP(K1929,PAR!$V$3:$X$438,3,FALSE),"000000 - Nincs COFOG")</f>
        <v>000000 - Nincs COFOG</v>
      </c>
      <c r="S1929">
        <f t="shared" si="582"/>
        <v>0</v>
      </c>
      <c r="T1929">
        <f t="shared" si="583"/>
        <v>0</v>
      </c>
      <c r="U1929" t="str">
        <f>IF('906MP'!J1629&gt;0,CONCATENATE('906MP'!J1629," - ",'906MP'!P1629,", ",'906MP'!E1629),"nincs megjegyzés")</f>
        <v>nincs megjegyzés</v>
      </c>
      <c r="V1929" t="str">
        <f t="shared" si="570"/>
        <v>0P0</v>
      </c>
      <c r="W1929" t="str">
        <f t="shared" si="571"/>
        <v>0P0</v>
      </c>
      <c r="X1929" t="str">
        <f t="shared" si="572"/>
        <v>P0</v>
      </c>
      <c r="Y1929" t="str">
        <f t="shared" si="573"/>
        <v>00</v>
      </c>
      <c r="Z1929" t="str">
        <f t="shared" si="584"/>
        <v>00</v>
      </c>
      <c r="AA1929" t="str">
        <f t="shared" si="574"/>
        <v>00</v>
      </c>
      <c r="AB1929" t="str">
        <f t="shared" si="575"/>
        <v>00</v>
      </c>
      <c r="AC1929" t="str">
        <f t="shared" si="576"/>
        <v>0P0</v>
      </c>
      <c r="AD1929" t="str">
        <f t="shared" si="577"/>
        <v>P00</v>
      </c>
      <c r="AE1929" t="str">
        <f t="shared" si="578"/>
        <v>0P0</v>
      </c>
      <c r="AF1929" t="str">
        <f t="shared" si="579"/>
        <v>P00</v>
      </c>
      <c r="AG1929" t="str">
        <f t="shared" si="585"/>
        <v>0P00</v>
      </c>
      <c r="AH1929" t="str">
        <f t="shared" si="586"/>
        <v>P000</v>
      </c>
      <c r="AI1929" t="str">
        <f t="shared" si="587"/>
        <v>0P00</v>
      </c>
      <c r="AJ1929" t="str">
        <f t="shared" si="588"/>
        <v>P000</v>
      </c>
    </row>
    <row r="1930" spans="1:36" x14ac:dyDescent="0.25">
      <c r="A1930" s="325" t="str">
        <f>CONCATENATE("P",'906MP'!M1630)</f>
        <v>P</v>
      </c>
      <c r="B1930">
        <f>'906MP'!H1630</f>
        <v>0</v>
      </c>
      <c r="C1930">
        <f>'906MP'!J1630</f>
        <v>0</v>
      </c>
      <c r="D1930">
        <f>'906MP'!P1630</f>
        <v>0</v>
      </c>
      <c r="E1930">
        <f>'906MP'!X1630</f>
        <v>0</v>
      </c>
      <c r="F1930" t="str">
        <f t="shared" si="580"/>
        <v>0</v>
      </c>
      <c r="G1930" t="str">
        <f t="shared" si="581"/>
        <v>0</v>
      </c>
      <c r="H1930">
        <f>'906MP'!Y1630</f>
        <v>0</v>
      </c>
      <c r="I1930">
        <f>'906MP'!AK1630</f>
        <v>0</v>
      </c>
      <c r="J1930">
        <f>'906MP'!T1630</f>
        <v>0</v>
      </c>
      <c r="K1930">
        <f>'906MP'!AJ1630</f>
        <v>0</v>
      </c>
      <c r="L1930">
        <f>'906MP'!U1630</f>
        <v>0</v>
      </c>
      <c r="M1930" s="322" t="str">
        <f>IFERROR(VLOOKUP(A1930,PAR!$D$3:$E$53,2,FALSE),"nincs szervezet")</f>
        <v>nincs szervezet</v>
      </c>
      <c r="N1930" s="322" t="str">
        <f>VLOOKUP(F1930,PAR!$R$3:$S$5,2,FALSE)</f>
        <v>3 - egyik sem</v>
      </c>
      <c r="O1930" t="str">
        <f>IFERROR(VLOOKUP(J1930,PAR!$O$3:$P$5,2,FALSE),"nincs feladat")</f>
        <v>nincs feladat</v>
      </c>
      <c r="P1930" t="str">
        <f>IFERROR(VLOOKUP(G1930,PAR!$J$2:$M$19,4),"nincs rovat")</f>
        <v>nincs rovat</v>
      </c>
      <c r="Q1930" t="str">
        <f>IF(H1930&gt;0,VLOOKUP(H1930,PAR!$AA$3:$AC$187,3,FALSE),"nincs főkönyvi számla")</f>
        <v>nincs főkönyvi számla</v>
      </c>
      <c r="R1930" t="str">
        <f>IFERROR(VLOOKUP(K1930,PAR!$V$3:$X$438,3,FALSE),"000000 - Nincs COFOG")</f>
        <v>000000 - Nincs COFOG</v>
      </c>
      <c r="S1930">
        <f t="shared" si="582"/>
        <v>0</v>
      </c>
      <c r="T1930">
        <f t="shared" si="583"/>
        <v>0</v>
      </c>
      <c r="U1930" t="str">
        <f>IF('906MP'!J1630&gt;0,CONCATENATE('906MP'!J1630," - ",'906MP'!P1630,", ",'906MP'!E1630),"nincs megjegyzés")</f>
        <v>nincs megjegyzés</v>
      </c>
      <c r="V1930" t="str">
        <f t="shared" si="570"/>
        <v>0P0</v>
      </c>
      <c r="W1930" t="str">
        <f t="shared" si="571"/>
        <v>0P0</v>
      </c>
      <c r="X1930" t="str">
        <f t="shared" si="572"/>
        <v>P0</v>
      </c>
      <c r="Y1930" t="str">
        <f t="shared" si="573"/>
        <v>00</v>
      </c>
      <c r="Z1930" t="str">
        <f t="shared" si="584"/>
        <v>00</v>
      </c>
      <c r="AA1930" t="str">
        <f t="shared" si="574"/>
        <v>00</v>
      </c>
      <c r="AB1930" t="str">
        <f t="shared" si="575"/>
        <v>00</v>
      </c>
      <c r="AC1930" t="str">
        <f t="shared" si="576"/>
        <v>0P0</v>
      </c>
      <c r="AD1930" t="str">
        <f t="shared" si="577"/>
        <v>P00</v>
      </c>
      <c r="AE1930" t="str">
        <f t="shared" si="578"/>
        <v>0P0</v>
      </c>
      <c r="AF1930" t="str">
        <f t="shared" si="579"/>
        <v>P00</v>
      </c>
      <c r="AG1930" t="str">
        <f t="shared" si="585"/>
        <v>0P00</v>
      </c>
      <c r="AH1930" t="str">
        <f t="shared" si="586"/>
        <v>P000</v>
      </c>
      <c r="AI1930" t="str">
        <f t="shared" si="587"/>
        <v>0P00</v>
      </c>
      <c r="AJ1930" t="str">
        <f t="shared" si="588"/>
        <v>P000</v>
      </c>
    </row>
    <row r="1931" spans="1:36" x14ac:dyDescent="0.25">
      <c r="A1931" s="325" t="str">
        <f>CONCATENATE("P",'906MP'!M1631)</f>
        <v>P</v>
      </c>
      <c r="B1931">
        <f>'906MP'!H1631</f>
        <v>0</v>
      </c>
      <c r="C1931">
        <f>'906MP'!J1631</f>
        <v>0</v>
      </c>
      <c r="D1931">
        <f>'906MP'!P1631</f>
        <v>0</v>
      </c>
      <c r="E1931">
        <f>'906MP'!X1631</f>
        <v>0</v>
      </c>
      <c r="F1931" t="str">
        <f t="shared" si="580"/>
        <v>0</v>
      </c>
      <c r="G1931" t="str">
        <f t="shared" si="581"/>
        <v>0</v>
      </c>
      <c r="H1931">
        <f>'906MP'!Y1631</f>
        <v>0</v>
      </c>
      <c r="I1931">
        <f>'906MP'!AK1631</f>
        <v>0</v>
      </c>
      <c r="J1931">
        <f>'906MP'!T1631</f>
        <v>0</v>
      </c>
      <c r="K1931">
        <f>'906MP'!AJ1631</f>
        <v>0</v>
      </c>
      <c r="L1931">
        <f>'906MP'!U1631</f>
        <v>0</v>
      </c>
      <c r="M1931" s="322" t="str">
        <f>IFERROR(VLOOKUP(A1931,PAR!$D$3:$E$53,2,FALSE),"nincs szervezet")</f>
        <v>nincs szervezet</v>
      </c>
      <c r="N1931" s="322" t="str">
        <f>VLOOKUP(F1931,PAR!$R$3:$S$5,2,FALSE)</f>
        <v>3 - egyik sem</v>
      </c>
      <c r="O1931" t="str">
        <f>IFERROR(VLOOKUP(J1931,PAR!$O$3:$P$5,2,FALSE),"nincs feladat")</f>
        <v>nincs feladat</v>
      </c>
      <c r="P1931" t="str">
        <f>IFERROR(VLOOKUP(G1931,PAR!$J$2:$M$19,4),"nincs rovat")</f>
        <v>nincs rovat</v>
      </c>
      <c r="Q1931" t="str">
        <f>IF(H1931&gt;0,VLOOKUP(H1931,PAR!$AA$3:$AC$187,3,FALSE),"nincs főkönyvi számla")</f>
        <v>nincs főkönyvi számla</v>
      </c>
      <c r="R1931" t="str">
        <f>IFERROR(VLOOKUP(K1931,PAR!$V$3:$X$438,3,FALSE),"000000 - Nincs COFOG")</f>
        <v>000000 - Nincs COFOG</v>
      </c>
      <c r="S1931">
        <f t="shared" si="582"/>
        <v>0</v>
      </c>
      <c r="T1931">
        <f t="shared" si="583"/>
        <v>0</v>
      </c>
      <c r="U1931" t="str">
        <f>IF('906MP'!J1631&gt;0,CONCATENATE('906MP'!J1631," - ",'906MP'!P1631,", ",'906MP'!E1631),"nincs megjegyzés")</f>
        <v>nincs megjegyzés</v>
      </c>
      <c r="V1931" t="str">
        <f t="shared" si="570"/>
        <v>0P0</v>
      </c>
      <c r="W1931" t="str">
        <f t="shared" si="571"/>
        <v>0P0</v>
      </c>
      <c r="X1931" t="str">
        <f t="shared" si="572"/>
        <v>P0</v>
      </c>
      <c r="Y1931" t="str">
        <f t="shared" si="573"/>
        <v>00</v>
      </c>
      <c r="Z1931" t="str">
        <f t="shared" si="584"/>
        <v>00</v>
      </c>
      <c r="AA1931" t="str">
        <f t="shared" si="574"/>
        <v>00</v>
      </c>
      <c r="AB1931" t="str">
        <f t="shared" si="575"/>
        <v>00</v>
      </c>
      <c r="AC1931" t="str">
        <f t="shared" si="576"/>
        <v>0P0</v>
      </c>
      <c r="AD1931" t="str">
        <f t="shared" si="577"/>
        <v>P00</v>
      </c>
      <c r="AE1931" t="str">
        <f t="shared" si="578"/>
        <v>0P0</v>
      </c>
      <c r="AF1931" t="str">
        <f t="shared" si="579"/>
        <v>P00</v>
      </c>
      <c r="AG1931" t="str">
        <f t="shared" si="585"/>
        <v>0P00</v>
      </c>
      <c r="AH1931" t="str">
        <f t="shared" si="586"/>
        <v>P000</v>
      </c>
      <c r="AI1931" t="str">
        <f t="shared" si="587"/>
        <v>0P00</v>
      </c>
      <c r="AJ1931" t="str">
        <f t="shared" si="588"/>
        <v>P000</v>
      </c>
    </row>
    <row r="1932" spans="1:36" x14ac:dyDescent="0.25">
      <c r="A1932" s="325" t="str">
        <f>CONCATENATE("P",'906MP'!M1632)</f>
        <v>P</v>
      </c>
      <c r="B1932">
        <f>'906MP'!H1632</f>
        <v>0</v>
      </c>
      <c r="C1932">
        <f>'906MP'!J1632</f>
        <v>0</v>
      </c>
      <c r="D1932">
        <f>'906MP'!P1632</f>
        <v>0</v>
      </c>
      <c r="E1932">
        <f>'906MP'!X1632</f>
        <v>0</v>
      </c>
      <c r="F1932" t="str">
        <f t="shared" si="580"/>
        <v>0</v>
      </c>
      <c r="G1932" t="str">
        <f t="shared" si="581"/>
        <v>0</v>
      </c>
      <c r="H1932">
        <f>'906MP'!Y1632</f>
        <v>0</v>
      </c>
      <c r="I1932">
        <f>'906MP'!AK1632</f>
        <v>0</v>
      </c>
      <c r="J1932">
        <f>'906MP'!T1632</f>
        <v>0</v>
      </c>
      <c r="K1932">
        <f>'906MP'!AJ1632</f>
        <v>0</v>
      </c>
      <c r="L1932">
        <f>'906MP'!U1632</f>
        <v>0</v>
      </c>
      <c r="M1932" s="322" t="str">
        <f>IFERROR(VLOOKUP(A1932,PAR!$D$3:$E$53,2,FALSE),"nincs szervezet")</f>
        <v>nincs szervezet</v>
      </c>
      <c r="N1932" s="322" t="str">
        <f>VLOOKUP(F1932,PAR!$R$3:$S$5,2,FALSE)</f>
        <v>3 - egyik sem</v>
      </c>
      <c r="O1932" t="str">
        <f>IFERROR(VLOOKUP(J1932,PAR!$O$3:$P$5,2,FALSE),"nincs feladat")</f>
        <v>nincs feladat</v>
      </c>
      <c r="P1932" t="str">
        <f>IFERROR(VLOOKUP(G1932,PAR!$J$2:$M$19,4),"nincs rovat")</f>
        <v>nincs rovat</v>
      </c>
      <c r="Q1932" t="str">
        <f>IF(H1932&gt;0,VLOOKUP(H1932,PAR!$AA$3:$AC$187,3,FALSE),"nincs főkönyvi számla")</f>
        <v>nincs főkönyvi számla</v>
      </c>
      <c r="R1932" t="str">
        <f>IFERROR(VLOOKUP(K1932,PAR!$V$3:$X$438,3,FALSE),"000000 - Nincs COFOG")</f>
        <v>000000 - Nincs COFOG</v>
      </c>
      <c r="S1932">
        <f t="shared" si="582"/>
        <v>0</v>
      </c>
      <c r="T1932">
        <f t="shared" si="583"/>
        <v>0</v>
      </c>
      <c r="U1932" t="str">
        <f>IF('906MP'!J1632&gt;0,CONCATENATE('906MP'!J1632," - ",'906MP'!P1632,", ",'906MP'!E1632),"nincs megjegyzés")</f>
        <v>nincs megjegyzés</v>
      </c>
      <c r="V1932" t="str">
        <f t="shared" si="570"/>
        <v>0P0</v>
      </c>
      <c r="W1932" t="str">
        <f t="shared" si="571"/>
        <v>0P0</v>
      </c>
      <c r="X1932" t="str">
        <f t="shared" si="572"/>
        <v>P0</v>
      </c>
      <c r="Y1932" t="str">
        <f t="shared" si="573"/>
        <v>00</v>
      </c>
      <c r="Z1932" t="str">
        <f t="shared" si="584"/>
        <v>00</v>
      </c>
      <c r="AA1932" t="str">
        <f t="shared" si="574"/>
        <v>00</v>
      </c>
      <c r="AB1932" t="str">
        <f t="shared" si="575"/>
        <v>00</v>
      </c>
      <c r="AC1932" t="str">
        <f t="shared" si="576"/>
        <v>0P0</v>
      </c>
      <c r="AD1932" t="str">
        <f t="shared" si="577"/>
        <v>P00</v>
      </c>
      <c r="AE1932" t="str">
        <f t="shared" si="578"/>
        <v>0P0</v>
      </c>
      <c r="AF1932" t="str">
        <f t="shared" si="579"/>
        <v>P00</v>
      </c>
      <c r="AG1932" t="str">
        <f t="shared" si="585"/>
        <v>0P00</v>
      </c>
      <c r="AH1932" t="str">
        <f t="shared" si="586"/>
        <v>P000</v>
      </c>
      <c r="AI1932" t="str">
        <f t="shared" si="587"/>
        <v>0P00</v>
      </c>
      <c r="AJ1932" t="str">
        <f t="shared" si="588"/>
        <v>P000</v>
      </c>
    </row>
    <row r="1933" spans="1:36" x14ac:dyDescent="0.25">
      <c r="A1933" s="325" t="str">
        <f>CONCATENATE("P",'906MP'!M1633)</f>
        <v>P</v>
      </c>
      <c r="B1933">
        <f>'906MP'!H1633</f>
        <v>0</v>
      </c>
      <c r="C1933">
        <f>'906MP'!J1633</f>
        <v>0</v>
      </c>
      <c r="D1933">
        <f>'906MP'!P1633</f>
        <v>0</v>
      </c>
      <c r="E1933">
        <f>'906MP'!X1633</f>
        <v>0</v>
      </c>
      <c r="F1933" t="str">
        <f t="shared" si="580"/>
        <v>0</v>
      </c>
      <c r="G1933" t="str">
        <f t="shared" si="581"/>
        <v>0</v>
      </c>
      <c r="H1933">
        <f>'906MP'!Y1633</f>
        <v>0</v>
      </c>
      <c r="I1933">
        <f>'906MP'!AK1633</f>
        <v>0</v>
      </c>
      <c r="J1933">
        <f>'906MP'!T1633</f>
        <v>0</v>
      </c>
      <c r="K1933">
        <f>'906MP'!AJ1633</f>
        <v>0</v>
      </c>
      <c r="L1933">
        <f>'906MP'!U1633</f>
        <v>0</v>
      </c>
      <c r="M1933" s="322" t="str">
        <f>IFERROR(VLOOKUP(A1933,PAR!$D$3:$E$53,2,FALSE),"nincs szervezet")</f>
        <v>nincs szervezet</v>
      </c>
      <c r="N1933" s="322" t="str">
        <f>VLOOKUP(F1933,PAR!$R$3:$S$5,2,FALSE)</f>
        <v>3 - egyik sem</v>
      </c>
      <c r="O1933" t="str">
        <f>IFERROR(VLOOKUP(J1933,PAR!$O$3:$P$5,2,FALSE),"nincs feladat")</f>
        <v>nincs feladat</v>
      </c>
      <c r="P1933" t="str">
        <f>IFERROR(VLOOKUP(G1933,PAR!$J$2:$M$19,4),"nincs rovat")</f>
        <v>nincs rovat</v>
      </c>
      <c r="Q1933" t="str">
        <f>IF(H1933&gt;0,VLOOKUP(H1933,PAR!$AA$3:$AC$187,3,FALSE),"nincs főkönyvi számla")</f>
        <v>nincs főkönyvi számla</v>
      </c>
      <c r="R1933" t="str">
        <f>IFERROR(VLOOKUP(K1933,PAR!$V$3:$X$438,3,FALSE),"000000 - Nincs COFOG")</f>
        <v>000000 - Nincs COFOG</v>
      </c>
      <c r="S1933">
        <f t="shared" si="582"/>
        <v>0</v>
      </c>
      <c r="T1933">
        <f t="shared" si="583"/>
        <v>0</v>
      </c>
      <c r="U1933" t="str">
        <f>IF('906MP'!J1633&gt;0,CONCATENATE('906MP'!J1633," - ",'906MP'!P1633,", ",'906MP'!E1633),"nincs megjegyzés")</f>
        <v>nincs megjegyzés</v>
      </c>
      <c r="V1933" t="str">
        <f t="shared" si="570"/>
        <v>0P0</v>
      </c>
      <c r="W1933" t="str">
        <f t="shared" si="571"/>
        <v>0P0</v>
      </c>
      <c r="X1933" t="str">
        <f t="shared" si="572"/>
        <v>P0</v>
      </c>
      <c r="Y1933" t="str">
        <f t="shared" si="573"/>
        <v>00</v>
      </c>
      <c r="Z1933" t="str">
        <f t="shared" si="584"/>
        <v>00</v>
      </c>
      <c r="AA1933" t="str">
        <f t="shared" si="574"/>
        <v>00</v>
      </c>
      <c r="AB1933" t="str">
        <f t="shared" si="575"/>
        <v>00</v>
      </c>
      <c r="AC1933" t="str">
        <f t="shared" si="576"/>
        <v>0P0</v>
      </c>
      <c r="AD1933" t="str">
        <f t="shared" si="577"/>
        <v>P00</v>
      </c>
      <c r="AE1933" t="str">
        <f t="shared" si="578"/>
        <v>0P0</v>
      </c>
      <c r="AF1933" t="str">
        <f t="shared" si="579"/>
        <v>P00</v>
      </c>
      <c r="AG1933" t="str">
        <f t="shared" si="585"/>
        <v>0P00</v>
      </c>
      <c r="AH1933" t="str">
        <f t="shared" si="586"/>
        <v>P000</v>
      </c>
      <c r="AI1933" t="str">
        <f t="shared" si="587"/>
        <v>0P00</v>
      </c>
      <c r="AJ1933" t="str">
        <f t="shared" si="588"/>
        <v>P000</v>
      </c>
    </row>
    <row r="1934" spans="1:36" x14ac:dyDescent="0.25">
      <c r="A1934" s="325" t="str">
        <f>CONCATENATE("P",'906MP'!M1634)</f>
        <v>P</v>
      </c>
      <c r="B1934">
        <f>'906MP'!H1634</f>
        <v>0</v>
      </c>
      <c r="C1934">
        <f>'906MP'!J1634</f>
        <v>0</v>
      </c>
      <c r="D1934">
        <f>'906MP'!P1634</f>
        <v>0</v>
      </c>
      <c r="E1934">
        <f>'906MP'!X1634</f>
        <v>0</v>
      </c>
      <c r="F1934" t="str">
        <f t="shared" si="580"/>
        <v>0</v>
      </c>
      <c r="G1934" t="str">
        <f t="shared" si="581"/>
        <v>0</v>
      </c>
      <c r="H1934">
        <f>'906MP'!Y1634</f>
        <v>0</v>
      </c>
      <c r="I1934">
        <f>'906MP'!AK1634</f>
        <v>0</v>
      </c>
      <c r="J1934">
        <f>'906MP'!T1634</f>
        <v>0</v>
      </c>
      <c r="K1934">
        <f>'906MP'!AJ1634</f>
        <v>0</v>
      </c>
      <c r="L1934">
        <f>'906MP'!U1634</f>
        <v>0</v>
      </c>
      <c r="M1934" s="322" t="str">
        <f>IFERROR(VLOOKUP(A1934,PAR!$D$3:$E$53,2,FALSE),"nincs szervezet")</f>
        <v>nincs szervezet</v>
      </c>
      <c r="N1934" s="322" t="str">
        <f>VLOOKUP(F1934,PAR!$R$3:$S$5,2,FALSE)</f>
        <v>3 - egyik sem</v>
      </c>
      <c r="O1934" t="str">
        <f>IFERROR(VLOOKUP(J1934,PAR!$O$3:$P$5,2,FALSE),"nincs feladat")</f>
        <v>nincs feladat</v>
      </c>
      <c r="P1934" t="str">
        <f>IFERROR(VLOOKUP(G1934,PAR!$J$2:$M$19,4),"nincs rovat")</f>
        <v>nincs rovat</v>
      </c>
      <c r="Q1934" t="str">
        <f>IF(H1934&gt;0,VLOOKUP(H1934,PAR!$AA$3:$AC$187,3,FALSE),"nincs főkönyvi számla")</f>
        <v>nincs főkönyvi számla</v>
      </c>
      <c r="R1934" t="str">
        <f>IFERROR(VLOOKUP(K1934,PAR!$V$3:$X$438,3,FALSE),"000000 - Nincs COFOG")</f>
        <v>000000 - Nincs COFOG</v>
      </c>
      <c r="S1934">
        <f t="shared" si="582"/>
        <v>0</v>
      </c>
      <c r="T1934">
        <f t="shared" si="583"/>
        <v>0</v>
      </c>
      <c r="U1934" t="str">
        <f>IF('906MP'!J1634&gt;0,CONCATENATE('906MP'!J1634," - ",'906MP'!P1634,", ",'906MP'!E1634),"nincs megjegyzés")</f>
        <v>nincs megjegyzés</v>
      </c>
      <c r="V1934" t="str">
        <f t="shared" si="570"/>
        <v>0P0</v>
      </c>
      <c r="W1934" t="str">
        <f t="shared" si="571"/>
        <v>0P0</v>
      </c>
      <c r="X1934" t="str">
        <f t="shared" si="572"/>
        <v>P0</v>
      </c>
      <c r="Y1934" t="str">
        <f t="shared" si="573"/>
        <v>00</v>
      </c>
      <c r="Z1934" t="str">
        <f t="shared" si="584"/>
        <v>00</v>
      </c>
      <c r="AA1934" t="str">
        <f t="shared" si="574"/>
        <v>00</v>
      </c>
      <c r="AB1934" t="str">
        <f t="shared" si="575"/>
        <v>00</v>
      </c>
      <c r="AC1934" t="str">
        <f t="shared" si="576"/>
        <v>0P0</v>
      </c>
      <c r="AD1934" t="str">
        <f t="shared" si="577"/>
        <v>P00</v>
      </c>
      <c r="AE1934" t="str">
        <f t="shared" si="578"/>
        <v>0P0</v>
      </c>
      <c r="AF1934" t="str">
        <f t="shared" si="579"/>
        <v>P00</v>
      </c>
      <c r="AG1934" t="str">
        <f t="shared" si="585"/>
        <v>0P00</v>
      </c>
      <c r="AH1934" t="str">
        <f t="shared" si="586"/>
        <v>P000</v>
      </c>
      <c r="AI1934" t="str">
        <f t="shared" si="587"/>
        <v>0P00</v>
      </c>
      <c r="AJ1934" t="str">
        <f t="shared" si="588"/>
        <v>P000</v>
      </c>
    </row>
    <row r="1935" spans="1:36" x14ac:dyDescent="0.25">
      <c r="A1935" s="325" t="str">
        <f>CONCATENATE("P",'906MP'!M1635)</f>
        <v>P</v>
      </c>
      <c r="B1935">
        <f>'906MP'!H1635</f>
        <v>0</v>
      </c>
      <c r="C1935">
        <f>'906MP'!J1635</f>
        <v>0</v>
      </c>
      <c r="D1935">
        <f>'906MP'!P1635</f>
        <v>0</v>
      </c>
      <c r="E1935">
        <f>'906MP'!X1635</f>
        <v>0</v>
      </c>
      <c r="F1935" t="str">
        <f t="shared" si="580"/>
        <v>0</v>
      </c>
      <c r="G1935" t="str">
        <f t="shared" si="581"/>
        <v>0</v>
      </c>
      <c r="H1935">
        <f>'906MP'!Y1635</f>
        <v>0</v>
      </c>
      <c r="I1935">
        <f>'906MP'!AK1635</f>
        <v>0</v>
      </c>
      <c r="J1935">
        <f>'906MP'!T1635</f>
        <v>0</v>
      </c>
      <c r="K1935">
        <f>'906MP'!AJ1635</f>
        <v>0</v>
      </c>
      <c r="L1935">
        <f>'906MP'!U1635</f>
        <v>0</v>
      </c>
      <c r="M1935" s="322" t="str">
        <f>IFERROR(VLOOKUP(A1935,PAR!$D$3:$E$53,2,FALSE),"nincs szervezet")</f>
        <v>nincs szervezet</v>
      </c>
      <c r="N1935" s="322" t="str">
        <f>VLOOKUP(F1935,PAR!$R$3:$S$5,2,FALSE)</f>
        <v>3 - egyik sem</v>
      </c>
      <c r="O1935" t="str">
        <f>IFERROR(VLOOKUP(J1935,PAR!$O$3:$P$5,2,FALSE),"nincs feladat")</f>
        <v>nincs feladat</v>
      </c>
      <c r="P1935" t="str">
        <f>IFERROR(VLOOKUP(G1935,PAR!$J$2:$M$19,4),"nincs rovat")</f>
        <v>nincs rovat</v>
      </c>
      <c r="Q1935" t="str">
        <f>IF(H1935&gt;0,VLOOKUP(H1935,PAR!$AA$3:$AC$187,3,FALSE),"nincs főkönyvi számla")</f>
        <v>nincs főkönyvi számla</v>
      </c>
      <c r="R1935" t="str">
        <f>IFERROR(VLOOKUP(K1935,PAR!$V$3:$X$438,3,FALSE),"000000 - Nincs COFOG")</f>
        <v>000000 - Nincs COFOG</v>
      </c>
      <c r="S1935">
        <f t="shared" si="582"/>
        <v>0</v>
      </c>
      <c r="T1935">
        <f t="shared" si="583"/>
        <v>0</v>
      </c>
      <c r="U1935" t="str">
        <f>IF('906MP'!J1635&gt;0,CONCATENATE('906MP'!J1635," - ",'906MP'!P1635,", ",'906MP'!E1635),"nincs megjegyzés")</f>
        <v>nincs megjegyzés</v>
      </c>
      <c r="V1935" t="str">
        <f t="shared" si="570"/>
        <v>0P0</v>
      </c>
      <c r="W1935" t="str">
        <f t="shared" si="571"/>
        <v>0P0</v>
      </c>
      <c r="X1935" t="str">
        <f t="shared" si="572"/>
        <v>P0</v>
      </c>
      <c r="Y1935" t="str">
        <f t="shared" si="573"/>
        <v>00</v>
      </c>
      <c r="Z1935" t="str">
        <f t="shared" si="584"/>
        <v>00</v>
      </c>
      <c r="AA1935" t="str">
        <f t="shared" si="574"/>
        <v>00</v>
      </c>
      <c r="AB1935" t="str">
        <f t="shared" si="575"/>
        <v>00</v>
      </c>
      <c r="AC1935" t="str">
        <f t="shared" si="576"/>
        <v>0P0</v>
      </c>
      <c r="AD1935" t="str">
        <f t="shared" si="577"/>
        <v>P00</v>
      </c>
      <c r="AE1935" t="str">
        <f t="shared" si="578"/>
        <v>0P0</v>
      </c>
      <c r="AF1935" t="str">
        <f t="shared" si="579"/>
        <v>P00</v>
      </c>
      <c r="AG1935" t="str">
        <f t="shared" si="585"/>
        <v>0P00</v>
      </c>
      <c r="AH1935" t="str">
        <f t="shared" si="586"/>
        <v>P000</v>
      </c>
      <c r="AI1935" t="str">
        <f t="shared" si="587"/>
        <v>0P00</v>
      </c>
      <c r="AJ1935" t="str">
        <f t="shared" si="588"/>
        <v>P000</v>
      </c>
    </row>
    <row r="1936" spans="1:36" x14ac:dyDescent="0.25">
      <c r="A1936" s="325" t="str">
        <f>CONCATENATE("P",'906MP'!M1636)</f>
        <v>P</v>
      </c>
      <c r="B1936">
        <f>'906MP'!H1636</f>
        <v>0</v>
      </c>
      <c r="C1936">
        <f>'906MP'!J1636</f>
        <v>0</v>
      </c>
      <c r="D1936">
        <f>'906MP'!P1636</f>
        <v>0</v>
      </c>
      <c r="E1936">
        <f>'906MP'!X1636</f>
        <v>0</v>
      </c>
      <c r="F1936" t="str">
        <f t="shared" si="580"/>
        <v>0</v>
      </c>
      <c r="G1936" t="str">
        <f t="shared" si="581"/>
        <v>0</v>
      </c>
      <c r="H1936">
        <f>'906MP'!Y1636</f>
        <v>0</v>
      </c>
      <c r="I1936">
        <f>'906MP'!AK1636</f>
        <v>0</v>
      </c>
      <c r="J1936">
        <f>'906MP'!T1636</f>
        <v>0</v>
      </c>
      <c r="K1936">
        <f>'906MP'!AJ1636</f>
        <v>0</v>
      </c>
      <c r="L1936">
        <f>'906MP'!U1636</f>
        <v>0</v>
      </c>
      <c r="M1936" s="322" t="str">
        <f>IFERROR(VLOOKUP(A1936,PAR!$D$3:$E$53,2,FALSE),"nincs szervezet")</f>
        <v>nincs szervezet</v>
      </c>
      <c r="N1936" s="322" t="str">
        <f>VLOOKUP(F1936,PAR!$R$3:$S$5,2,FALSE)</f>
        <v>3 - egyik sem</v>
      </c>
      <c r="O1936" t="str">
        <f>IFERROR(VLOOKUP(J1936,PAR!$O$3:$P$5,2,FALSE),"nincs feladat")</f>
        <v>nincs feladat</v>
      </c>
      <c r="P1936" t="str">
        <f>IFERROR(VLOOKUP(G1936,PAR!$J$2:$M$19,4),"nincs rovat")</f>
        <v>nincs rovat</v>
      </c>
      <c r="Q1936" t="str">
        <f>IF(H1936&gt;0,VLOOKUP(H1936,PAR!$AA$3:$AC$187,3,FALSE),"nincs főkönyvi számla")</f>
        <v>nincs főkönyvi számla</v>
      </c>
      <c r="R1936" t="str">
        <f>IFERROR(VLOOKUP(K1936,PAR!$V$3:$X$438,3,FALSE),"000000 - Nincs COFOG")</f>
        <v>000000 - Nincs COFOG</v>
      </c>
      <c r="S1936">
        <f t="shared" si="582"/>
        <v>0</v>
      </c>
      <c r="T1936">
        <f t="shared" si="583"/>
        <v>0</v>
      </c>
      <c r="U1936" t="str">
        <f>IF('906MP'!J1636&gt;0,CONCATENATE('906MP'!J1636," - ",'906MP'!P1636,", ",'906MP'!E1636),"nincs megjegyzés")</f>
        <v>nincs megjegyzés</v>
      </c>
      <c r="V1936" t="str">
        <f t="shared" si="570"/>
        <v>0P0</v>
      </c>
      <c r="W1936" t="str">
        <f t="shared" si="571"/>
        <v>0P0</v>
      </c>
      <c r="X1936" t="str">
        <f t="shared" si="572"/>
        <v>P0</v>
      </c>
      <c r="Y1936" t="str">
        <f t="shared" si="573"/>
        <v>00</v>
      </c>
      <c r="Z1936" t="str">
        <f t="shared" si="584"/>
        <v>00</v>
      </c>
      <c r="AA1936" t="str">
        <f t="shared" si="574"/>
        <v>00</v>
      </c>
      <c r="AB1936" t="str">
        <f t="shared" si="575"/>
        <v>00</v>
      </c>
      <c r="AC1936" t="str">
        <f t="shared" si="576"/>
        <v>0P0</v>
      </c>
      <c r="AD1936" t="str">
        <f t="shared" si="577"/>
        <v>P00</v>
      </c>
      <c r="AE1936" t="str">
        <f t="shared" si="578"/>
        <v>0P0</v>
      </c>
      <c r="AF1936" t="str">
        <f t="shared" si="579"/>
        <v>P00</v>
      </c>
      <c r="AG1936" t="str">
        <f t="shared" si="585"/>
        <v>0P00</v>
      </c>
      <c r="AH1936" t="str">
        <f t="shared" si="586"/>
        <v>P000</v>
      </c>
      <c r="AI1936" t="str">
        <f t="shared" si="587"/>
        <v>0P00</v>
      </c>
      <c r="AJ1936" t="str">
        <f t="shared" si="588"/>
        <v>P000</v>
      </c>
    </row>
    <row r="1937" spans="1:36" x14ac:dyDescent="0.25">
      <c r="A1937" s="325" t="str">
        <f>CONCATENATE("P",'906MP'!M1637)</f>
        <v>P</v>
      </c>
      <c r="B1937">
        <f>'906MP'!H1637</f>
        <v>0</v>
      </c>
      <c r="C1937">
        <f>'906MP'!J1637</f>
        <v>0</v>
      </c>
      <c r="D1937">
        <f>'906MP'!P1637</f>
        <v>0</v>
      </c>
      <c r="E1937">
        <f>'906MP'!X1637</f>
        <v>0</v>
      </c>
      <c r="F1937" t="str">
        <f t="shared" si="580"/>
        <v>0</v>
      </c>
      <c r="G1937" t="str">
        <f t="shared" si="581"/>
        <v>0</v>
      </c>
      <c r="H1937">
        <f>'906MP'!Y1637</f>
        <v>0</v>
      </c>
      <c r="I1937">
        <f>'906MP'!AK1637</f>
        <v>0</v>
      </c>
      <c r="J1937">
        <f>'906MP'!T1637</f>
        <v>0</v>
      </c>
      <c r="K1937">
        <f>'906MP'!AJ1637</f>
        <v>0</v>
      </c>
      <c r="L1937">
        <f>'906MP'!U1637</f>
        <v>0</v>
      </c>
      <c r="M1937" s="322" t="str">
        <f>IFERROR(VLOOKUP(A1937,PAR!$D$3:$E$53,2,FALSE),"nincs szervezet")</f>
        <v>nincs szervezet</v>
      </c>
      <c r="N1937" s="322" t="str">
        <f>VLOOKUP(F1937,PAR!$R$3:$S$5,2,FALSE)</f>
        <v>3 - egyik sem</v>
      </c>
      <c r="O1937" t="str">
        <f>IFERROR(VLOOKUP(J1937,PAR!$O$3:$P$5,2,FALSE),"nincs feladat")</f>
        <v>nincs feladat</v>
      </c>
      <c r="P1937" t="str">
        <f>IFERROR(VLOOKUP(G1937,PAR!$J$2:$M$19,4),"nincs rovat")</f>
        <v>nincs rovat</v>
      </c>
      <c r="Q1937" t="str">
        <f>IF(H1937&gt;0,VLOOKUP(H1937,PAR!$AA$3:$AC$187,3,FALSE),"nincs főkönyvi számla")</f>
        <v>nincs főkönyvi számla</v>
      </c>
      <c r="R1937" t="str">
        <f>IFERROR(VLOOKUP(K1937,PAR!$V$3:$X$438,3,FALSE),"000000 - Nincs COFOG")</f>
        <v>000000 - Nincs COFOG</v>
      </c>
      <c r="S1937">
        <f t="shared" si="582"/>
        <v>0</v>
      </c>
      <c r="T1937">
        <f t="shared" si="583"/>
        <v>0</v>
      </c>
      <c r="U1937" t="str">
        <f>IF('906MP'!J1637&gt;0,CONCATENATE('906MP'!J1637," - ",'906MP'!P1637,", ",'906MP'!E1637),"nincs megjegyzés")</f>
        <v>nincs megjegyzés</v>
      </c>
      <c r="V1937" t="str">
        <f t="shared" si="570"/>
        <v>0P0</v>
      </c>
      <c r="W1937" t="str">
        <f t="shared" si="571"/>
        <v>0P0</v>
      </c>
      <c r="X1937" t="str">
        <f t="shared" si="572"/>
        <v>P0</v>
      </c>
      <c r="Y1937" t="str">
        <f t="shared" si="573"/>
        <v>00</v>
      </c>
      <c r="Z1937" t="str">
        <f t="shared" si="584"/>
        <v>00</v>
      </c>
      <c r="AA1937" t="str">
        <f t="shared" si="574"/>
        <v>00</v>
      </c>
      <c r="AB1937" t="str">
        <f t="shared" si="575"/>
        <v>00</v>
      </c>
      <c r="AC1937" t="str">
        <f t="shared" si="576"/>
        <v>0P0</v>
      </c>
      <c r="AD1937" t="str">
        <f t="shared" si="577"/>
        <v>P00</v>
      </c>
      <c r="AE1937" t="str">
        <f t="shared" si="578"/>
        <v>0P0</v>
      </c>
      <c r="AF1937" t="str">
        <f t="shared" si="579"/>
        <v>P00</v>
      </c>
      <c r="AG1937" t="str">
        <f t="shared" si="585"/>
        <v>0P00</v>
      </c>
      <c r="AH1937" t="str">
        <f t="shared" si="586"/>
        <v>P000</v>
      </c>
      <c r="AI1937" t="str">
        <f t="shared" si="587"/>
        <v>0P00</v>
      </c>
      <c r="AJ1937" t="str">
        <f t="shared" si="588"/>
        <v>P000</v>
      </c>
    </row>
    <row r="1938" spans="1:36" x14ac:dyDescent="0.25">
      <c r="A1938" s="325" t="str">
        <f>CONCATENATE("P",'906MP'!M1638)</f>
        <v>P</v>
      </c>
      <c r="B1938">
        <f>'906MP'!H1638</f>
        <v>0</v>
      </c>
      <c r="C1938">
        <f>'906MP'!J1638</f>
        <v>0</v>
      </c>
      <c r="D1938">
        <f>'906MP'!P1638</f>
        <v>0</v>
      </c>
      <c r="E1938">
        <f>'906MP'!X1638</f>
        <v>0</v>
      </c>
      <c r="F1938" t="str">
        <f t="shared" si="580"/>
        <v>0</v>
      </c>
      <c r="G1938" t="str">
        <f t="shared" si="581"/>
        <v>0</v>
      </c>
      <c r="H1938">
        <f>'906MP'!Y1638</f>
        <v>0</v>
      </c>
      <c r="I1938">
        <f>'906MP'!AK1638</f>
        <v>0</v>
      </c>
      <c r="J1938">
        <f>'906MP'!T1638</f>
        <v>0</v>
      </c>
      <c r="K1938">
        <f>'906MP'!AJ1638</f>
        <v>0</v>
      </c>
      <c r="L1938">
        <f>'906MP'!U1638</f>
        <v>0</v>
      </c>
      <c r="M1938" s="322" t="str">
        <f>IFERROR(VLOOKUP(A1938,PAR!$D$3:$E$53,2,FALSE),"nincs szervezet")</f>
        <v>nincs szervezet</v>
      </c>
      <c r="N1938" s="322" t="str">
        <f>VLOOKUP(F1938,PAR!$R$3:$S$5,2,FALSE)</f>
        <v>3 - egyik sem</v>
      </c>
      <c r="O1938" t="str">
        <f>IFERROR(VLOOKUP(J1938,PAR!$O$3:$P$5,2,FALSE),"nincs feladat")</f>
        <v>nincs feladat</v>
      </c>
      <c r="P1938" t="str">
        <f>IFERROR(VLOOKUP(G1938,PAR!$J$2:$M$19,4),"nincs rovat")</f>
        <v>nincs rovat</v>
      </c>
      <c r="Q1938" t="str">
        <f>IF(H1938&gt;0,VLOOKUP(H1938,PAR!$AA$3:$AC$187,3,FALSE),"nincs főkönyvi számla")</f>
        <v>nincs főkönyvi számla</v>
      </c>
      <c r="R1938" t="str">
        <f>IFERROR(VLOOKUP(K1938,PAR!$V$3:$X$438,3,FALSE),"000000 - Nincs COFOG")</f>
        <v>000000 - Nincs COFOG</v>
      </c>
      <c r="S1938">
        <f t="shared" si="582"/>
        <v>0</v>
      </c>
      <c r="T1938">
        <f t="shared" si="583"/>
        <v>0</v>
      </c>
      <c r="U1938" t="str">
        <f>IF('906MP'!J1638&gt;0,CONCATENATE('906MP'!J1638," - ",'906MP'!P1638,", ",'906MP'!E1638),"nincs megjegyzés")</f>
        <v>nincs megjegyzés</v>
      </c>
      <c r="V1938" t="str">
        <f t="shared" si="570"/>
        <v>0P0</v>
      </c>
      <c r="W1938" t="str">
        <f t="shared" si="571"/>
        <v>0P0</v>
      </c>
      <c r="X1938" t="str">
        <f t="shared" si="572"/>
        <v>P0</v>
      </c>
      <c r="Y1938" t="str">
        <f t="shared" si="573"/>
        <v>00</v>
      </c>
      <c r="Z1938" t="str">
        <f t="shared" si="584"/>
        <v>00</v>
      </c>
      <c r="AA1938" t="str">
        <f t="shared" si="574"/>
        <v>00</v>
      </c>
      <c r="AB1938" t="str">
        <f t="shared" si="575"/>
        <v>00</v>
      </c>
      <c r="AC1938" t="str">
        <f t="shared" si="576"/>
        <v>0P0</v>
      </c>
      <c r="AD1938" t="str">
        <f t="shared" si="577"/>
        <v>P00</v>
      </c>
      <c r="AE1938" t="str">
        <f t="shared" si="578"/>
        <v>0P0</v>
      </c>
      <c r="AF1938" t="str">
        <f t="shared" si="579"/>
        <v>P00</v>
      </c>
      <c r="AG1938" t="str">
        <f t="shared" si="585"/>
        <v>0P00</v>
      </c>
      <c r="AH1938" t="str">
        <f t="shared" si="586"/>
        <v>P000</v>
      </c>
      <c r="AI1938" t="str">
        <f t="shared" si="587"/>
        <v>0P00</v>
      </c>
      <c r="AJ1938" t="str">
        <f t="shared" si="588"/>
        <v>P000</v>
      </c>
    </row>
    <row r="1939" spans="1:36" x14ac:dyDescent="0.25">
      <c r="A1939" s="325" t="str">
        <f>CONCATENATE("P",'906MP'!M1639)</f>
        <v>P</v>
      </c>
      <c r="B1939">
        <f>'906MP'!H1639</f>
        <v>0</v>
      </c>
      <c r="C1939">
        <f>'906MP'!J1639</f>
        <v>0</v>
      </c>
      <c r="D1939">
        <f>'906MP'!P1639</f>
        <v>0</v>
      </c>
      <c r="E1939">
        <f>'906MP'!X1639</f>
        <v>0</v>
      </c>
      <c r="F1939" t="str">
        <f t="shared" si="580"/>
        <v>0</v>
      </c>
      <c r="G1939" t="str">
        <f t="shared" si="581"/>
        <v>0</v>
      </c>
      <c r="H1939">
        <f>'906MP'!Y1639</f>
        <v>0</v>
      </c>
      <c r="I1939">
        <f>'906MP'!AK1639</f>
        <v>0</v>
      </c>
      <c r="J1939">
        <f>'906MP'!T1639</f>
        <v>0</v>
      </c>
      <c r="K1939">
        <f>'906MP'!AJ1639</f>
        <v>0</v>
      </c>
      <c r="L1939">
        <f>'906MP'!U1639</f>
        <v>0</v>
      </c>
      <c r="M1939" s="322" t="str">
        <f>IFERROR(VLOOKUP(A1939,PAR!$D$3:$E$53,2,FALSE),"nincs szervezet")</f>
        <v>nincs szervezet</v>
      </c>
      <c r="N1939" s="322" t="str">
        <f>VLOOKUP(F1939,PAR!$R$3:$S$5,2,FALSE)</f>
        <v>3 - egyik sem</v>
      </c>
      <c r="O1939" t="str">
        <f>IFERROR(VLOOKUP(J1939,PAR!$O$3:$P$5,2,FALSE),"nincs feladat")</f>
        <v>nincs feladat</v>
      </c>
      <c r="P1939" t="str">
        <f>IFERROR(VLOOKUP(G1939,PAR!$J$2:$M$19,4),"nincs rovat")</f>
        <v>nincs rovat</v>
      </c>
      <c r="Q1939" t="str">
        <f>IF(H1939&gt;0,VLOOKUP(H1939,PAR!$AA$3:$AC$187,3,FALSE),"nincs főkönyvi számla")</f>
        <v>nincs főkönyvi számla</v>
      </c>
      <c r="R1939" t="str">
        <f>IFERROR(VLOOKUP(K1939,PAR!$V$3:$X$438,3,FALSE),"000000 - Nincs COFOG")</f>
        <v>000000 - Nincs COFOG</v>
      </c>
      <c r="S1939">
        <f t="shared" si="582"/>
        <v>0</v>
      </c>
      <c r="T1939">
        <f t="shared" si="583"/>
        <v>0</v>
      </c>
      <c r="U1939" t="str">
        <f>IF('906MP'!J1639&gt;0,CONCATENATE('906MP'!J1639," - ",'906MP'!P1639,", ",'906MP'!E1639),"nincs megjegyzés")</f>
        <v>nincs megjegyzés</v>
      </c>
      <c r="V1939" t="str">
        <f t="shared" si="570"/>
        <v>0P0</v>
      </c>
      <c r="W1939" t="str">
        <f t="shared" si="571"/>
        <v>0P0</v>
      </c>
      <c r="X1939" t="str">
        <f t="shared" si="572"/>
        <v>P0</v>
      </c>
      <c r="Y1939" t="str">
        <f t="shared" si="573"/>
        <v>00</v>
      </c>
      <c r="Z1939" t="str">
        <f t="shared" si="584"/>
        <v>00</v>
      </c>
      <c r="AA1939" t="str">
        <f t="shared" si="574"/>
        <v>00</v>
      </c>
      <c r="AB1939" t="str">
        <f t="shared" si="575"/>
        <v>00</v>
      </c>
      <c r="AC1939" t="str">
        <f t="shared" si="576"/>
        <v>0P0</v>
      </c>
      <c r="AD1939" t="str">
        <f t="shared" si="577"/>
        <v>P00</v>
      </c>
      <c r="AE1939" t="str">
        <f t="shared" si="578"/>
        <v>0P0</v>
      </c>
      <c r="AF1939" t="str">
        <f t="shared" si="579"/>
        <v>P00</v>
      </c>
      <c r="AG1939" t="str">
        <f t="shared" si="585"/>
        <v>0P00</v>
      </c>
      <c r="AH1939" t="str">
        <f t="shared" si="586"/>
        <v>P000</v>
      </c>
      <c r="AI1939" t="str">
        <f t="shared" si="587"/>
        <v>0P00</v>
      </c>
      <c r="AJ1939" t="str">
        <f t="shared" si="588"/>
        <v>P000</v>
      </c>
    </row>
    <row r="1940" spans="1:36" x14ac:dyDescent="0.25">
      <c r="A1940" s="325" t="str">
        <f>CONCATENATE("P",'906MP'!M1640)</f>
        <v>P</v>
      </c>
      <c r="B1940">
        <f>'906MP'!H1640</f>
        <v>0</v>
      </c>
      <c r="C1940">
        <f>'906MP'!J1640</f>
        <v>0</v>
      </c>
      <c r="D1940">
        <f>'906MP'!P1640</f>
        <v>0</v>
      </c>
      <c r="E1940">
        <f>'906MP'!X1640</f>
        <v>0</v>
      </c>
      <c r="F1940" t="str">
        <f t="shared" si="580"/>
        <v>0</v>
      </c>
      <c r="G1940" t="str">
        <f t="shared" si="581"/>
        <v>0</v>
      </c>
      <c r="H1940">
        <f>'906MP'!Y1640</f>
        <v>0</v>
      </c>
      <c r="I1940">
        <f>'906MP'!AK1640</f>
        <v>0</v>
      </c>
      <c r="J1940">
        <f>'906MP'!T1640</f>
        <v>0</v>
      </c>
      <c r="K1940">
        <f>'906MP'!AJ1640</f>
        <v>0</v>
      </c>
      <c r="L1940">
        <f>'906MP'!U1640</f>
        <v>0</v>
      </c>
      <c r="M1940" s="322" t="str">
        <f>IFERROR(VLOOKUP(A1940,PAR!$D$3:$E$53,2,FALSE),"nincs szervezet")</f>
        <v>nincs szervezet</v>
      </c>
      <c r="N1940" s="322" t="str">
        <f>VLOOKUP(F1940,PAR!$R$3:$S$5,2,FALSE)</f>
        <v>3 - egyik sem</v>
      </c>
      <c r="O1940" t="str">
        <f>IFERROR(VLOOKUP(J1940,PAR!$O$3:$P$5,2,FALSE),"nincs feladat")</f>
        <v>nincs feladat</v>
      </c>
      <c r="P1940" t="str">
        <f>IFERROR(VLOOKUP(G1940,PAR!$J$2:$M$19,4),"nincs rovat")</f>
        <v>nincs rovat</v>
      </c>
      <c r="Q1940" t="str">
        <f>IF(H1940&gt;0,VLOOKUP(H1940,PAR!$AA$3:$AC$187,3,FALSE),"nincs főkönyvi számla")</f>
        <v>nincs főkönyvi számla</v>
      </c>
      <c r="R1940" t="str">
        <f>IFERROR(VLOOKUP(K1940,PAR!$V$3:$X$438,3,FALSE),"000000 - Nincs COFOG")</f>
        <v>000000 - Nincs COFOG</v>
      </c>
      <c r="S1940">
        <f t="shared" si="582"/>
        <v>0</v>
      </c>
      <c r="T1940">
        <f t="shared" si="583"/>
        <v>0</v>
      </c>
      <c r="U1940" t="str">
        <f>IF('906MP'!J1640&gt;0,CONCATENATE('906MP'!J1640," - ",'906MP'!P1640,", ",'906MP'!E1640),"nincs megjegyzés")</f>
        <v>nincs megjegyzés</v>
      </c>
      <c r="V1940" t="str">
        <f t="shared" si="570"/>
        <v>0P0</v>
      </c>
      <c r="W1940" t="str">
        <f t="shared" si="571"/>
        <v>0P0</v>
      </c>
      <c r="X1940" t="str">
        <f t="shared" si="572"/>
        <v>P0</v>
      </c>
      <c r="Y1940" t="str">
        <f t="shared" si="573"/>
        <v>00</v>
      </c>
      <c r="Z1940" t="str">
        <f t="shared" si="584"/>
        <v>00</v>
      </c>
      <c r="AA1940" t="str">
        <f t="shared" si="574"/>
        <v>00</v>
      </c>
      <c r="AB1940" t="str">
        <f t="shared" si="575"/>
        <v>00</v>
      </c>
      <c r="AC1940" t="str">
        <f t="shared" si="576"/>
        <v>0P0</v>
      </c>
      <c r="AD1940" t="str">
        <f t="shared" si="577"/>
        <v>P00</v>
      </c>
      <c r="AE1940" t="str">
        <f t="shared" si="578"/>
        <v>0P0</v>
      </c>
      <c r="AF1940" t="str">
        <f t="shared" si="579"/>
        <v>P00</v>
      </c>
      <c r="AG1940" t="str">
        <f t="shared" si="585"/>
        <v>0P00</v>
      </c>
      <c r="AH1940" t="str">
        <f t="shared" si="586"/>
        <v>P000</v>
      </c>
      <c r="AI1940" t="str">
        <f t="shared" si="587"/>
        <v>0P00</v>
      </c>
      <c r="AJ1940" t="str">
        <f t="shared" si="588"/>
        <v>P000</v>
      </c>
    </row>
    <row r="1941" spans="1:36" x14ac:dyDescent="0.25">
      <c r="A1941" s="325" t="str">
        <f>CONCATENATE("P",'906MP'!M1641)</f>
        <v>P</v>
      </c>
      <c r="B1941">
        <f>'906MP'!H1641</f>
        <v>0</v>
      </c>
      <c r="C1941">
        <f>'906MP'!J1641</f>
        <v>0</v>
      </c>
      <c r="D1941">
        <f>'906MP'!P1641</f>
        <v>0</v>
      </c>
      <c r="E1941">
        <f>'906MP'!X1641</f>
        <v>0</v>
      </c>
      <c r="F1941" t="str">
        <f t="shared" si="580"/>
        <v>0</v>
      </c>
      <c r="G1941" t="str">
        <f t="shared" si="581"/>
        <v>0</v>
      </c>
      <c r="H1941">
        <f>'906MP'!Y1641</f>
        <v>0</v>
      </c>
      <c r="I1941">
        <f>'906MP'!AK1641</f>
        <v>0</v>
      </c>
      <c r="J1941">
        <f>'906MP'!T1641</f>
        <v>0</v>
      </c>
      <c r="K1941">
        <f>'906MP'!AJ1641</f>
        <v>0</v>
      </c>
      <c r="L1941">
        <f>'906MP'!U1641</f>
        <v>0</v>
      </c>
      <c r="M1941" s="322" t="str">
        <f>IFERROR(VLOOKUP(A1941,PAR!$D$3:$E$53,2,FALSE),"nincs szervezet")</f>
        <v>nincs szervezet</v>
      </c>
      <c r="N1941" s="322" t="str">
        <f>VLOOKUP(F1941,PAR!$R$3:$S$5,2,FALSE)</f>
        <v>3 - egyik sem</v>
      </c>
      <c r="O1941" t="str">
        <f>IFERROR(VLOOKUP(J1941,PAR!$O$3:$P$5,2,FALSE),"nincs feladat")</f>
        <v>nincs feladat</v>
      </c>
      <c r="P1941" t="str">
        <f>IFERROR(VLOOKUP(G1941,PAR!$J$2:$M$19,4),"nincs rovat")</f>
        <v>nincs rovat</v>
      </c>
      <c r="Q1941" t="str">
        <f>IF(H1941&gt;0,VLOOKUP(H1941,PAR!$AA$3:$AC$187,3,FALSE),"nincs főkönyvi számla")</f>
        <v>nincs főkönyvi számla</v>
      </c>
      <c r="R1941" t="str">
        <f>IFERROR(VLOOKUP(K1941,PAR!$V$3:$X$438,3,FALSE),"000000 - Nincs COFOG")</f>
        <v>000000 - Nincs COFOG</v>
      </c>
      <c r="S1941">
        <f t="shared" si="582"/>
        <v>0</v>
      </c>
      <c r="T1941">
        <f t="shared" si="583"/>
        <v>0</v>
      </c>
      <c r="U1941" t="str">
        <f>IF('906MP'!J1641&gt;0,CONCATENATE('906MP'!J1641," - ",'906MP'!P1641,", ",'906MP'!E1641),"nincs megjegyzés")</f>
        <v>nincs megjegyzés</v>
      </c>
      <c r="V1941" t="str">
        <f t="shared" si="570"/>
        <v>0P0</v>
      </c>
      <c r="W1941" t="str">
        <f t="shared" si="571"/>
        <v>0P0</v>
      </c>
      <c r="X1941" t="str">
        <f t="shared" si="572"/>
        <v>P0</v>
      </c>
      <c r="Y1941" t="str">
        <f t="shared" si="573"/>
        <v>00</v>
      </c>
      <c r="Z1941" t="str">
        <f t="shared" si="584"/>
        <v>00</v>
      </c>
      <c r="AA1941" t="str">
        <f t="shared" si="574"/>
        <v>00</v>
      </c>
      <c r="AB1941" t="str">
        <f t="shared" si="575"/>
        <v>00</v>
      </c>
      <c r="AC1941" t="str">
        <f t="shared" si="576"/>
        <v>0P0</v>
      </c>
      <c r="AD1941" t="str">
        <f t="shared" si="577"/>
        <v>P00</v>
      </c>
      <c r="AE1941" t="str">
        <f t="shared" si="578"/>
        <v>0P0</v>
      </c>
      <c r="AF1941" t="str">
        <f t="shared" si="579"/>
        <v>P00</v>
      </c>
      <c r="AG1941" t="str">
        <f t="shared" si="585"/>
        <v>0P00</v>
      </c>
      <c r="AH1941" t="str">
        <f t="shared" si="586"/>
        <v>P000</v>
      </c>
      <c r="AI1941" t="str">
        <f t="shared" si="587"/>
        <v>0P00</v>
      </c>
      <c r="AJ1941" t="str">
        <f t="shared" si="588"/>
        <v>P000</v>
      </c>
    </row>
    <row r="1942" spans="1:36" x14ac:dyDescent="0.25">
      <c r="A1942" s="325" t="str">
        <f>CONCATENATE("P",'906MP'!M1642)</f>
        <v>P</v>
      </c>
      <c r="B1942">
        <f>'906MP'!H1642</f>
        <v>0</v>
      </c>
      <c r="C1942">
        <f>'906MP'!J1642</f>
        <v>0</v>
      </c>
      <c r="D1942">
        <f>'906MP'!P1642</f>
        <v>0</v>
      </c>
      <c r="E1942">
        <f>'906MP'!X1642</f>
        <v>0</v>
      </c>
      <c r="F1942" t="str">
        <f t="shared" si="580"/>
        <v>0</v>
      </c>
      <c r="G1942" t="str">
        <f t="shared" si="581"/>
        <v>0</v>
      </c>
      <c r="H1942">
        <f>'906MP'!Y1642</f>
        <v>0</v>
      </c>
      <c r="I1942">
        <f>'906MP'!AK1642</f>
        <v>0</v>
      </c>
      <c r="J1942">
        <f>'906MP'!T1642</f>
        <v>0</v>
      </c>
      <c r="K1942">
        <f>'906MP'!AJ1642</f>
        <v>0</v>
      </c>
      <c r="L1942">
        <f>'906MP'!U1642</f>
        <v>0</v>
      </c>
      <c r="M1942" s="322" t="str">
        <f>IFERROR(VLOOKUP(A1942,PAR!$D$3:$E$53,2,FALSE),"nincs szervezet")</f>
        <v>nincs szervezet</v>
      </c>
      <c r="N1942" s="322" t="str">
        <f>VLOOKUP(F1942,PAR!$R$3:$S$5,2,FALSE)</f>
        <v>3 - egyik sem</v>
      </c>
      <c r="O1942" t="str">
        <f>IFERROR(VLOOKUP(J1942,PAR!$O$3:$P$5,2,FALSE),"nincs feladat")</f>
        <v>nincs feladat</v>
      </c>
      <c r="P1942" t="str">
        <f>IFERROR(VLOOKUP(G1942,PAR!$J$2:$M$19,4),"nincs rovat")</f>
        <v>nincs rovat</v>
      </c>
      <c r="Q1942" t="str">
        <f>IF(H1942&gt;0,VLOOKUP(H1942,PAR!$AA$3:$AC$187,3,FALSE),"nincs főkönyvi számla")</f>
        <v>nincs főkönyvi számla</v>
      </c>
      <c r="R1942" t="str">
        <f>IFERROR(VLOOKUP(K1942,PAR!$V$3:$X$438,3,FALSE),"000000 - Nincs COFOG")</f>
        <v>000000 - Nincs COFOG</v>
      </c>
      <c r="S1942">
        <f t="shared" si="582"/>
        <v>0</v>
      </c>
      <c r="T1942">
        <f t="shared" si="583"/>
        <v>0</v>
      </c>
      <c r="U1942" t="str">
        <f>IF('906MP'!J1642&gt;0,CONCATENATE('906MP'!J1642," - ",'906MP'!P1642,", ",'906MP'!E1642),"nincs megjegyzés")</f>
        <v>nincs megjegyzés</v>
      </c>
      <c r="V1942" t="str">
        <f t="shared" si="570"/>
        <v>0P0</v>
      </c>
      <c r="W1942" t="str">
        <f t="shared" si="571"/>
        <v>0P0</v>
      </c>
      <c r="X1942" t="str">
        <f t="shared" si="572"/>
        <v>P0</v>
      </c>
      <c r="Y1942" t="str">
        <f t="shared" si="573"/>
        <v>00</v>
      </c>
      <c r="Z1942" t="str">
        <f t="shared" si="584"/>
        <v>00</v>
      </c>
      <c r="AA1942" t="str">
        <f t="shared" si="574"/>
        <v>00</v>
      </c>
      <c r="AB1942" t="str">
        <f t="shared" si="575"/>
        <v>00</v>
      </c>
      <c r="AC1942" t="str">
        <f t="shared" si="576"/>
        <v>0P0</v>
      </c>
      <c r="AD1942" t="str">
        <f t="shared" si="577"/>
        <v>P00</v>
      </c>
      <c r="AE1942" t="str">
        <f t="shared" si="578"/>
        <v>0P0</v>
      </c>
      <c r="AF1942" t="str">
        <f t="shared" si="579"/>
        <v>P00</v>
      </c>
      <c r="AG1942" t="str">
        <f t="shared" si="585"/>
        <v>0P00</v>
      </c>
      <c r="AH1942" t="str">
        <f t="shared" si="586"/>
        <v>P000</v>
      </c>
      <c r="AI1942" t="str">
        <f t="shared" si="587"/>
        <v>0P00</v>
      </c>
      <c r="AJ1942" t="str">
        <f t="shared" si="588"/>
        <v>P000</v>
      </c>
    </row>
    <row r="1943" spans="1:36" x14ac:dyDescent="0.25">
      <c r="A1943" s="325" t="str">
        <f>CONCATENATE("P",'906MP'!M1643)</f>
        <v>P</v>
      </c>
      <c r="B1943">
        <f>'906MP'!H1643</f>
        <v>0</v>
      </c>
      <c r="C1943">
        <f>'906MP'!J1643</f>
        <v>0</v>
      </c>
      <c r="D1943">
        <f>'906MP'!P1643</f>
        <v>0</v>
      </c>
      <c r="E1943">
        <f>'906MP'!X1643</f>
        <v>0</v>
      </c>
      <c r="F1943" t="str">
        <f t="shared" si="580"/>
        <v>0</v>
      </c>
      <c r="G1943" t="str">
        <f t="shared" si="581"/>
        <v>0</v>
      </c>
      <c r="H1943">
        <f>'906MP'!Y1643</f>
        <v>0</v>
      </c>
      <c r="I1943">
        <f>'906MP'!AK1643</f>
        <v>0</v>
      </c>
      <c r="J1943">
        <f>'906MP'!T1643</f>
        <v>0</v>
      </c>
      <c r="K1943">
        <f>'906MP'!AJ1643</f>
        <v>0</v>
      </c>
      <c r="L1943">
        <f>'906MP'!U1643</f>
        <v>0</v>
      </c>
      <c r="M1943" s="322" t="str">
        <f>IFERROR(VLOOKUP(A1943,PAR!$D$3:$E$53,2,FALSE),"nincs szervezet")</f>
        <v>nincs szervezet</v>
      </c>
      <c r="N1943" s="322" t="str">
        <f>VLOOKUP(F1943,PAR!$R$3:$S$5,2,FALSE)</f>
        <v>3 - egyik sem</v>
      </c>
      <c r="O1943" t="str">
        <f>IFERROR(VLOOKUP(J1943,PAR!$O$3:$P$5,2,FALSE),"nincs feladat")</f>
        <v>nincs feladat</v>
      </c>
      <c r="P1943" t="str">
        <f>IFERROR(VLOOKUP(G1943,PAR!$J$2:$M$19,4),"nincs rovat")</f>
        <v>nincs rovat</v>
      </c>
      <c r="Q1943" t="str">
        <f>IF(H1943&gt;0,VLOOKUP(H1943,PAR!$AA$3:$AC$187,3,FALSE),"nincs főkönyvi számla")</f>
        <v>nincs főkönyvi számla</v>
      </c>
      <c r="R1943" t="str">
        <f>IFERROR(VLOOKUP(K1943,PAR!$V$3:$X$438,3,FALSE),"000000 - Nincs COFOG")</f>
        <v>000000 - Nincs COFOG</v>
      </c>
      <c r="S1943">
        <f t="shared" si="582"/>
        <v>0</v>
      </c>
      <c r="T1943">
        <f t="shared" si="583"/>
        <v>0</v>
      </c>
      <c r="U1943" t="str">
        <f>IF('906MP'!J1643&gt;0,CONCATENATE('906MP'!J1643," - ",'906MP'!P1643,", ",'906MP'!E1643),"nincs megjegyzés")</f>
        <v>nincs megjegyzés</v>
      </c>
      <c r="V1943" t="str">
        <f t="shared" si="570"/>
        <v>0P0</v>
      </c>
      <c r="W1943" t="str">
        <f t="shared" si="571"/>
        <v>0P0</v>
      </c>
      <c r="X1943" t="str">
        <f t="shared" si="572"/>
        <v>P0</v>
      </c>
      <c r="Y1943" t="str">
        <f t="shared" si="573"/>
        <v>00</v>
      </c>
      <c r="Z1943" t="str">
        <f t="shared" si="584"/>
        <v>00</v>
      </c>
      <c r="AA1943" t="str">
        <f t="shared" si="574"/>
        <v>00</v>
      </c>
      <c r="AB1943" t="str">
        <f t="shared" si="575"/>
        <v>00</v>
      </c>
      <c r="AC1943" t="str">
        <f t="shared" si="576"/>
        <v>0P0</v>
      </c>
      <c r="AD1943" t="str">
        <f t="shared" si="577"/>
        <v>P00</v>
      </c>
      <c r="AE1943" t="str">
        <f t="shared" si="578"/>
        <v>0P0</v>
      </c>
      <c r="AF1943" t="str">
        <f t="shared" si="579"/>
        <v>P00</v>
      </c>
      <c r="AG1943" t="str">
        <f t="shared" si="585"/>
        <v>0P00</v>
      </c>
      <c r="AH1943" t="str">
        <f t="shared" si="586"/>
        <v>P000</v>
      </c>
      <c r="AI1943" t="str">
        <f t="shared" si="587"/>
        <v>0P00</v>
      </c>
      <c r="AJ1943" t="str">
        <f t="shared" si="588"/>
        <v>P000</v>
      </c>
    </row>
    <row r="1944" spans="1:36" x14ac:dyDescent="0.25">
      <c r="A1944" s="325" t="str">
        <f>CONCATENATE("P",'906MP'!M1644)</f>
        <v>P</v>
      </c>
      <c r="B1944">
        <f>'906MP'!H1644</f>
        <v>0</v>
      </c>
      <c r="C1944">
        <f>'906MP'!J1644</f>
        <v>0</v>
      </c>
      <c r="D1944">
        <f>'906MP'!P1644</f>
        <v>0</v>
      </c>
      <c r="E1944">
        <f>'906MP'!X1644</f>
        <v>0</v>
      </c>
      <c r="F1944" t="str">
        <f t="shared" si="580"/>
        <v>0</v>
      </c>
      <c r="G1944" t="str">
        <f t="shared" si="581"/>
        <v>0</v>
      </c>
      <c r="H1944">
        <f>'906MP'!Y1644</f>
        <v>0</v>
      </c>
      <c r="I1944">
        <f>'906MP'!AK1644</f>
        <v>0</v>
      </c>
      <c r="J1944">
        <f>'906MP'!T1644</f>
        <v>0</v>
      </c>
      <c r="K1944">
        <f>'906MP'!AJ1644</f>
        <v>0</v>
      </c>
      <c r="L1944">
        <f>'906MP'!U1644</f>
        <v>0</v>
      </c>
      <c r="M1944" s="322" t="str">
        <f>IFERROR(VLOOKUP(A1944,PAR!$D$3:$E$53,2,FALSE),"nincs szervezet")</f>
        <v>nincs szervezet</v>
      </c>
      <c r="N1944" s="322" t="str">
        <f>VLOOKUP(F1944,PAR!$R$3:$S$5,2,FALSE)</f>
        <v>3 - egyik sem</v>
      </c>
      <c r="O1944" t="str">
        <f>IFERROR(VLOOKUP(J1944,PAR!$O$3:$P$5,2,FALSE),"nincs feladat")</f>
        <v>nincs feladat</v>
      </c>
      <c r="P1944" t="str">
        <f>IFERROR(VLOOKUP(G1944,PAR!$J$2:$M$19,4),"nincs rovat")</f>
        <v>nincs rovat</v>
      </c>
      <c r="Q1944" t="str">
        <f>IF(H1944&gt;0,VLOOKUP(H1944,PAR!$AA$3:$AC$187,3,FALSE),"nincs főkönyvi számla")</f>
        <v>nincs főkönyvi számla</v>
      </c>
      <c r="R1944" t="str">
        <f>IFERROR(VLOOKUP(K1944,PAR!$V$3:$X$438,3,FALSE),"000000 - Nincs COFOG")</f>
        <v>000000 - Nincs COFOG</v>
      </c>
      <c r="S1944">
        <f t="shared" si="582"/>
        <v>0</v>
      </c>
      <c r="T1944">
        <f t="shared" si="583"/>
        <v>0</v>
      </c>
      <c r="U1944" t="str">
        <f>IF('906MP'!J1644&gt;0,CONCATENATE('906MP'!J1644," - ",'906MP'!P1644,", ",'906MP'!E1644),"nincs megjegyzés")</f>
        <v>nincs megjegyzés</v>
      </c>
      <c r="V1944" t="str">
        <f t="shared" si="570"/>
        <v>0P0</v>
      </c>
      <c r="W1944" t="str">
        <f t="shared" si="571"/>
        <v>0P0</v>
      </c>
      <c r="X1944" t="str">
        <f t="shared" si="572"/>
        <v>P0</v>
      </c>
      <c r="Y1944" t="str">
        <f t="shared" si="573"/>
        <v>00</v>
      </c>
      <c r="Z1944" t="str">
        <f t="shared" si="584"/>
        <v>00</v>
      </c>
      <c r="AA1944" t="str">
        <f t="shared" si="574"/>
        <v>00</v>
      </c>
      <c r="AB1944" t="str">
        <f t="shared" si="575"/>
        <v>00</v>
      </c>
      <c r="AC1944" t="str">
        <f t="shared" si="576"/>
        <v>0P0</v>
      </c>
      <c r="AD1944" t="str">
        <f t="shared" si="577"/>
        <v>P00</v>
      </c>
      <c r="AE1944" t="str">
        <f t="shared" si="578"/>
        <v>0P0</v>
      </c>
      <c r="AF1944" t="str">
        <f t="shared" si="579"/>
        <v>P00</v>
      </c>
      <c r="AG1944" t="str">
        <f t="shared" si="585"/>
        <v>0P00</v>
      </c>
      <c r="AH1944" t="str">
        <f t="shared" si="586"/>
        <v>P000</v>
      </c>
      <c r="AI1944" t="str">
        <f t="shared" si="587"/>
        <v>0P00</v>
      </c>
      <c r="AJ1944" t="str">
        <f t="shared" si="588"/>
        <v>P000</v>
      </c>
    </row>
    <row r="1945" spans="1:36" x14ac:dyDescent="0.25">
      <c r="A1945" s="325" t="str">
        <f>CONCATENATE("P",'906MP'!M1645)</f>
        <v>P</v>
      </c>
      <c r="B1945">
        <f>'906MP'!H1645</f>
        <v>0</v>
      </c>
      <c r="C1945">
        <f>'906MP'!J1645</f>
        <v>0</v>
      </c>
      <c r="D1945">
        <f>'906MP'!P1645</f>
        <v>0</v>
      </c>
      <c r="E1945">
        <f>'906MP'!X1645</f>
        <v>0</v>
      </c>
      <c r="F1945" t="str">
        <f t="shared" si="580"/>
        <v>0</v>
      </c>
      <c r="G1945" t="str">
        <f t="shared" si="581"/>
        <v>0</v>
      </c>
      <c r="H1945">
        <f>'906MP'!Y1645</f>
        <v>0</v>
      </c>
      <c r="I1945">
        <f>'906MP'!AK1645</f>
        <v>0</v>
      </c>
      <c r="J1945">
        <f>'906MP'!T1645</f>
        <v>0</v>
      </c>
      <c r="K1945">
        <f>'906MP'!AJ1645</f>
        <v>0</v>
      </c>
      <c r="L1945">
        <f>'906MP'!U1645</f>
        <v>0</v>
      </c>
      <c r="M1945" s="322" t="str">
        <f>IFERROR(VLOOKUP(A1945,PAR!$D$3:$E$53,2,FALSE),"nincs szervezet")</f>
        <v>nincs szervezet</v>
      </c>
      <c r="N1945" s="322" t="str">
        <f>VLOOKUP(F1945,PAR!$R$3:$S$5,2,FALSE)</f>
        <v>3 - egyik sem</v>
      </c>
      <c r="O1945" t="str">
        <f>IFERROR(VLOOKUP(J1945,PAR!$O$3:$P$5,2,FALSE),"nincs feladat")</f>
        <v>nincs feladat</v>
      </c>
      <c r="P1945" t="str">
        <f>IFERROR(VLOOKUP(G1945,PAR!$J$2:$M$19,4),"nincs rovat")</f>
        <v>nincs rovat</v>
      </c>
      <c r="Q1945" t="str">
        <f>IF(H1945&gt;0,VLOOKUP(H1945,PAR!$AA$3:$AC$187,3,FALSE),"nincs főkönyvi számla")</f>
        <v>nincs főkönyvi számla</v>
      </c>
      <c r="R1945" t="str">
        <f>IFERROR(VLOOKUP(K1945,PAR!$V$3:$X$438,3,FALSE),"000000 - Nincs COFOG")</f>
        <v>000000 - Nincs COFOG</v>
      </c>
      <c r="S1945">
        <f t="shared" si="582"/>
        <v>0</v>
      </c>
      <c r="T1945">
        <f t="shared" si="583"/>
        <v>0</v>
      </c>
      <c r="U1945" t="str">
        <f>IF('906MP'!J1645&gt;0,CONCATENATE('906MP'!J1645," - ",'906MP'!P1645,", ",'906MP'!E1645),"nincs megjegyzés")</f>
        <v>nincs megjegyzés</v>
      </c>
      <c r="V1945" t="str">
        <f t="shared" si="570"/>
        <v>0P0</v>
      </c>
      <c r="W1945" t="str">
        <f t="shared" si="571"/>
        <v>0P0</v>
      </c>
      <c r="X1945" t="str">
        <f t="shared" si="572"/>
        <v>P0</v>
      </c>
      <c r="Y1945" t="str">
        <f t="shared" si="573"/>
        <v>00</v>
      </c>
      <c r="Z1945" t="str">
        <f t="shared" si="584"/>
        <v>00</v>
      </c>
      <c r="AA1945" t="str">
        <f t="shared" si="574"/>
        <v>00</v>
      </c>
      <c r="AB1945" t="str">
        <f t="shared" si="575"/>
        <v>00</v>
      </c>
      <c r="AC1945" t="str">
        <f t="shared" si="576"/>
        <v>0P0</v>
      </c>
      <c r="AD1945" t="str">
        <f t="shared" si="577"/>
        <v>P00</v>
      </c>
      <c r="AE1945" t="str">
        <f t="shared" si="578"/>
        <v>0P0</v>
      </c>
      <c r="AF1945" t="str">
        <f t="shared" si="579"/>
        <v>P00</v>
      </c>
      <c r="AG1945" t="str">
        <f t="shared" si="585"/>
        <v>0P00</v>
      </c>
      <c r="AH1945" t="str">
        <f t="shared" si="586"/>
        <v>P000</v>
      </c>
      <c r="AI1945" t="str">
        <f t="shared" si="587"/>
        <v>0P00</v>
      </c>
      <c r="AJ1945" t="str">
        <f t="shared" si="588"/>
        <v>P000</v>
      </c>
    </row>
    <row r="1946" spans="1:36" x14ac:dyDescent="0.25">
      <c r="A1946" s="325" t="str">
        <f>CONCATENATE("P",'906MP'!M1646)</f>
        <v>P</v>
      </c>
      <c r="B1946">
        <f>'906MP'!H1646</f>
        <v>0</v>
      </c>
      <c r="C1946">
        <f>'906MP'!J1646</f>
        <v>0</v>
      </c>
      <c r="D1946">
        <f>'906MP'!P1646</f>
        <v>0</v>
      </c>
      <c r="E1946">
        <f>'906MP'!X1646</f>
        <v>0</v>
      </c>
      <c r="F1946" t="str">
        <f t="shared" si="580"/>
        <v>0</v>
      </c>
      <c r="G1946" t="str">
        <f t="shared" si="581"/>
        <v>0</v>
      </c>
      <c r="H1946">
        <f>'906MP'!Y1646</f>
        <v>0</v>
      </c>
      <c r="I1946">
        <f>'906MP'!AK1646</f>
        <v>0</v>
      </c>
      <c r="J1946">
        <f>'906MP'!T1646</f>
        <v>0</v>
      </c>
      <c r="K1946">
        <f>'906MP'!AJ1646</f>
        <v>0</v>
      </c>
      <c r="L1946">
        <f>'906MP'!U1646</f>
        <v>0</v>
      </c>
      <c r="M1946" s="322" t="str">
        <f>IFERROR(VLOOKUP(A1946,PAR!$D$3:$E$53,2,FALSE),"nincs szervezet")</f>
        <v>nincs szervezet</v>
      </c>
      <c r="N1946" s="322" t="str">
        <f>VLOOKUP(F1946,PAR!$R$3:$S$5,2,FALSE)</f>
        <v>3 - egyik sem</v>
      </c>
      <c r="O1946" t="str">
        <f>IFERROR(VLOOKUP(J1946,PAR!$O$3:$P$5,2,FALSE),"nincs feladat")</f>
        <v>nincs feladat</v>
      </c>
      <c r="P1946" t="str">
        <f>IFERROR(VLOOKUP(G1946,PAR!$J$2:$M$19,4),"nincs rovat")</f>
        <v>nincs rovat</v>
      </c>
      <c r="Q1946" t="str">
        <f>IF(H1946&gt;0,VLOOKUP(H1946,PAR!$AA$3:$AC$187,3,FALSE),"nincs főkönyvi számla")</f>
        <v>nincs főkönyvi számla</v>
      </c>
      <c r="R1946" t="str">
        <f>IFERROR(VLOOKUP(K1946,PAR!$V$3:$X$438,3,FALSE),"000000 - Nincs COFOG")</f>
        <v>000000 - Nincs COFOG</v>
      </c>
      <c r="S1946">
        <f t="shared" si="582"/>
        <v>0</v>
      </c>
      <c r="T1946">
        <f t="shared" si="583"/>
        <v>0</v>
      </c>
      <c r="U1946" t="str">
        <f>IF('906MP'!J1646&gt;0,CONCATENATE('906MP'!J1646," - ",'906MP'!P1646,", ",'906MP'!E1646),"nincs megjegyzés")</f>
        <v>nincs megjegyzés</v>
      </c>
      <c r="V1946" t="str">
        <f t="shared" si="570"/>
        <v>0P0</v>
      </c>
      <c r="W1946" t="str">
        <f t="shared" si="571"/>
        <v>0P0</v>
      </c>
      <c r="X1946" t="str">
        <f t="shared" si="572"/>
        <v>P0</v>
      </c>
      <c r="Y1946" t="str">
        <f t="shared" si="573"/>
        <v>00</v>
      </c>
      <c r="Z1946" t="str">
        <f t="shared" si="584"/>
        <v>00</v>
      </c>
      <c r="AA1946" t="str">
        <f t="shared" si="574"/>
        <v>00</v>
      </c>
      <c r="AB1946" t="str">
        <f t="shared" si="575"/>
        <v>00</v>
      </c>
      <c r="AC1946" t="str">
        <f t="shared" si="576"/>
        <v>0P0</v>
      </c>
      <c r="AD1946" t="str">
        <f t="shared" si="577"/>
        <v>P00</v>
      </c>
      <c r="AE1946" t="str">
        <f t="shared" si="578"/>
        <v>0P0</v>
      </c>
      <c r="AF1946" t="str">
        <f t="shared" si="579"/>
        <v>P00</v>
      </c>
      <c r="AG1946" t="str">
        <f t="shared" si="585"/>
        <v>0P00</v>
      </c>
      <c r="AH1946" t="str">
        <f t="shared" si="586"/>
        <v>P000</v>
      </c>
      <c r="AI1946" t="str">
        <f t="shared" si="587"/>
        <v>0P00</v>
      </c>
      <c r="AJ1946" t="str">
        <f t="shared" si="588"/>
        <v>P000</v>
      </c>
    </row>
    <row r="1947" spans="1:36" x14ac:dyDescent="0.25">
      <c r="A1947" s="325" t="str">
        <f>CONCATENATE("P",'906MP'!M1647)</f>
        <v>P</v>
      </c>
      <c r="B1947">
        <f>'906MP'!H1647</f>
        <v>0</v>
      </c>
      <c r="C1947">
        <f>'906MP'!J1647</f>
        <v>0</v>
      </c>
      <c r="D1947">
        <f>'906MP'!P1647</f>
        <v>0</v>
      </c>
      <c r="E1947">
        <f>'906MP'!X1647</f>
        <v>0</v>
      </c>
      <c r="F1947" t="str">
        <f t="shared" si="580"/>
        <v>0</v>
      </c>
      <c r="G1947" t="str">
        <f t="shared" si="581"/>
        <v>0</v>
      </c>
      <c r="H1947">
        <f>'906MP'!Y1647</f>
        <v>0</v>
      </c>
      <c r="I1947">
        <f>'906MP'!AK1647</f>
        <v>0</v>
      </c>
      <c r="J1947">
        <f>'906MP'!T1647</f>
        <v>0</v>
      </c>
      <c r="K1947">
        <f>'906MP'!AJ1647</f>
        <v>0</v>
      </c>
      <c r="L1947">
        <f>'906MP'!U1647</f>
        <v>0</v>
      </c>
      <c r="M1947" s="322" t="str">
        <f>IFERROR(VLOOKUP(A1947,PAR!$D$3:$E$53,2,FALSE),"nincs szervezet")</f>
        <v>nincs szervezet</v>
      </c>
      <c r="N1947" s="322" t="str">
        <f>VLOOKUP(F1947,PAR!$R$3:$S$5,2,FALSE)</f>
        <v>3 - egyik sem</v>
      </c>
      <c r="O1947" t="str">
        <f>IFERROR(VLOOKUP(J1947,PAR!$O$3:$P$5,2,FALSE),"nincs feladat")</f>
        <v>nincs feladat</v>
      </c>
      <c r="P1947" t="str">
        <f>IFERROR(VLOOKUP(G1947,PAR!$J$2:$M$19,4),"nincs rovat")</f>
        <v>nincs rovat</v>
      </c>
      <c r="Q1947" t="str">
        <f>IF(H1947&gt;0,VLOOKUP(H1947,PAR!$AA$3:$AC$187,3,FALSE),"nincs főkönyvi számla")</f>
        <v>nincs főkönyvi számla</v>
      </c>
      <c r="R1947" t="str">
        <f>IFERROR(VLOOKUP(K1947,PAR!$V$3:$X$438,3,FALSE),"000000 - Nincs COFOG")</f>
        <v>000000 - Nincs COFOG</v>
      </c>
      <c r="S1947">
        <f t="shared" si="582"/>
        <v>0</v>
      </c>
      <c r="T1947">
        <f t="shared" si="583"/>
        <v>0</v>
      </c>
      <c r="U1947" t="str">
        <f>IF('906MP'!J1647&gt;0,CONCATENATE('906MP'!J1647," - ",'906MP'!P1647,", ",'906MP'!E1647),"nincs megjegyzés")</f>
        <v>nincs megjegyzés</v>
      </c>
      <c r="V1947" t="str">
        <f t="shared" si="570"/>
        <v>0P0</v>
      </c>
      <c r="W1947" t="str">
        <f t="shared" si="571"/>
        <v>0P0</v>
      </c>
      <c r="X1947" t="str">
        <f t="shared" si="572"/>
        <v>P0</v>
      </c>
      <c r="Y1947" t="str">
        <f t="shared" si="573"/>
        <v>00</v>
      </c>
      <c r="Z1947" t="str">
        <f t="shared" si="584"/>
        <v>00</v>
      </c>
      <c r="AA1947" t="str">
        <f t="shared" si="574"/>
        <v>00</v>
      </c>
      <c r="AB1947" t="str">
        <f t="shared" si="575"/>
        <v>00</v>
      </c>
      <c r="AC1947" t="str">
        <f t="shared" si="576"/>
        <v>0P0</v>
      </c>
      <c r="AD1947" t="str">
        <f t="shared" si="577"/>
        <v>P00</v>
      </c>
      <c r="AE1947" t="str">
        <f t="shared" si="578"/>
        <v>0P0</v>
      </c>
      <c r="AF1947" t="str">
        <f t="shared" si="579"/>
        <v>P00</v>
      </c>
      <c r="AG1947" t="str">
        <f t="shared" si="585"/>
        <v>0P00</v>
      </c>
      <c r="AH1947" t="str">
        <f t="shared" si="586"/>
        <v>P000</v>
      </c>
      <c r="AI1947" t="str">
        <f t="shared" si="587"/>
        <v>0P00</v>
      </c>
      <c r="AJ1947" t="str">
        <f t="shared" si="588"/>
        <v>P000</v>
      </c>
    </row>
    <row r="1948" spans="1:36" x14ac:dyDescent="0.25">
      <c r="A1948" s="325" t="str">
        <f>CONCATENATE("P",'906MP'!M1648)</f>
        <v>P</v>
      </c>
      <c r="B1948">
        <f>'906MP'!H1648</f>
        <v>0</v>
      </c>
      <c r="C1948">
        <f>'906MP'!J1648</f>
        <v>0</v>
      </c>
      <c r="D1948">
        <f>'906MP'!P1648</f>
        <v>0</v>
      </c>
      <c r="E1948">
        <f>'906MP'!X1648</f>
        <v>0</v>
      </c>
      <c r="F1948" t="str">
        <f t="shared" si="580"/>
        <v>0</v>
      </c>
      <c r="G1948" t="str">
        <f t="shared" si="581"/>
        <v>0</v>
      </c>
      <c r="H1948">
        <f>'906MP'!Y1648</f>
        <v>0</v>
      </c>
      <c r="I1948">
        <f>'906MP'!AK1648</f>
        <v>0</v>
      </c>
      <c r="J1948">
        <f>'906MP'!T1648</f>
        <v>0</v>
      </c>
      <c r="K1948">
        <f>'906MP'!AJ1648</f>
        <v>0</v>
      </c>
      <c r="L1948">
        <f>'906MP'!U1648</f>
        <v>0</v>
      </c>
      <c r="M1948" s="322" t="str">
        <f>IFERROR(VLOOKUP(A1948,PAR!$D$3:$E$53,2,FALSE),"nincs szervezet")</f>
        <v>nincs szervezet</v>
      </c>
      <c r="N1948" s="322" t="str">
        <f>VLOOKUP(F1948,PAR!$R$3:$S$5,2,FALSE)</f>
        <v>3 - egyik sem</v>
      </c>
      <c r="O1948" t="str">
        <f>IFERROR(VLOOKUP(J1948,PAR!$O$3:$P$5,2,FALSE),"nincs feladat")</f>
        <v>nincs feladat</v>
      </c>
      <c r="P1948" t="str">
        <f>IFERROR(VLOOKUP(G1948,PAR!$J$2:$M$19,4),"nincs rovat")</f>
        <v>nincs rovat</v>
      </c>
      <c r="Q1948" t="str">
        <f>IF(H1948&gt;0,VLOOKUP(H1948,PAR!$AA$3:$AC$187,3,FALSE),"nincs főkönyvi számla")</f>
        <v>nincs főkönyvi számla</v>
      </c>
      <c r="R1948" t="str">
        <f>IFERROR(VLOOKUP(K1948,PAR!$V$3:$X$438,3,FALSE),"000000 - Nincs COFOG")</f>
        <v>000000 - Nincs COFOG</v>
      </c>
      <c r="S1948">
        <f t="shared" si="582"/>
        <v>0</v>
      </c>
      <c r="T1948">
        <f t="shared" si="583"/>
        <v>0</v>
      </c>
      <c r="U1948" t="str">
        <f>IF('906MP'!J1648&gt;0,CONCATENATE('906MP'!J1648," - ",'906MP'!P1648,", ",'906MP'!E1648),"nincs megjegyzés")</f>
        <v>nincs megjegyzés</v>
      </c>
      <c r="V1948" t="str">
        <f t="shared" si="570"/>
        <v>0P0</v>
      </c>
      <c r="W1948" t="str">
        <f t="shared" si="571"/>
        <v>0P0</v>
      </c>
      <c r="X1948" t="str">
        <f t="shared" si="572"/>
        <v>P0</v>
      </c>
      <c r="Y1948" t="str">
        <f t="shared" si="573"/>
        <v>00</v>
      </c>
      <c r="Z1948" t="str">
        <f t="shared" si="584"/>
        <v>00</v>
      </c>
      <c r="AA1948" t="str">
        <f t="shared" si="574"/>
        <v>00</v>
      </c>
      <c r="AB1948" t="str">
        <f t="shared" si="575"/>
        <v>00</v>
      </c>
      <c r="AC1948" t="str">
        <f t="shared" si="576"/>
        <v>0P0</v>
      </c>
      <c r="AD1948" t="str">
        <f t="shared" si="577"/>
        <v>P00</v>
      </c>
      <c r="AE1948" t="str">
        <f t="shared" si="578"/>
        <v>0P0</v>
      </c>
      <c r="AF1948" t="str">
        <f t="shared" si="579"/>
        <v>P00</v>
      </c>
      <c r="AG1948" t="str">
        <f t="shared" si="585"/>
        <v>0P00</v>
      </c>
      <c r="AH1948" t="str">
        <f t="shared" si="586"/>
        <v>P000</v>
      </c>
      <c r="AI1948" t="str">
        <f t="shared" si="587"/>
        <v>0P00</v>
      </c>
      <c r="AJ1948" t="str">
        <f t="shared" si="588"/>
        <v>P000</v>
      </c>
    </row>
    <row r="1949" spans="1:36" x14ac:dyDescent="0.25">
      <c r="A1949" s="325" t="str">
        <f>CONCATENATE("P",'906MP'!M1649)</f>
        <v>P</v>
      </c>
      <c r="B1949">
        <f>'906MP'!H1649</f>
        <v>0</v>
      </c>
      <c r="C1949">
        <f>'906MP'!J1649</f>
        <v>0</v>
      </c>
      <c r="D1949">
        <f>'906MP'!P1649</f>
        <v>0</v>
      </c>
      <c r="E1949">
        <f>'906MP'!X1649</f>
        <v>0</v>
      </c>
      <c r="F1949" t="str">
        <f t="shared" si="580"/>
        <v>0</v>
      </c>
      <c r="G1949" t="str">
        <f t="shared" si="581"/>
        <v>0</v>
      </c>
      <c r="H1949">
        <f>'906MP'!Y1649</f>
        <v>0</v>
      </c>
      <c r="I1949">
        <f>'906MP'!AK1649</f>
        <v>0</v>
      </c>
      <c r="J1949">
        <f>'906MP'!T1649</f>
        <v>0</v>
      </c>
      <c r="K1949">
        <f>'906MP'!AJ1649</f>
        <v>0</v>
      </c>
      <c r="L1949">
        <f>'906MP'!U1649</f>
        <v>0</v>
      </c>
      <c r="M1949" s="322" t="str">
        <f>IFERROR(VLOOKUP(A1949,PAR!$D$3:$E$53,2,FALSE),"nincs szervezet")</f>
        <v>nincs szervezet</v>
      </c>
      <c r="N1949" s="322" t="str">
        <f>VLOOKUP(F1949,PAR!$R$3:$S$5,2,FALSE)</f>
        <v>3 - egyik sem</v>
      </c>
      <c r="O1949" t="str">
        <f>IFERROR(VLOOKUP(J1949,PAR!$O$3:$P$5,2,FALSE),"nincs feladat")</f>
        <v>nincs feladat</v>
      </c>
      <c r="P1949" t="str">
        <f>IFERROR(VLOOKUP(G1949,PAR!$J$2:$M$19,4),"nincs rovat")</f>
        <v>nincs rovat</v>
      </c>
      <c r="Q1949" t="str">
        <f>IF(H1949&gt;0,VLOOKUP(H1949,PAR!$AA$3:$AC$187,3,FALSE),"nincs főkönyvi számla")</f>
        <v>nincs főkönyvi számla</v>
      </c>
      <c r="R1949" t="str">
        <f>IFERROR(VLOOKUP(K1949,PAR!$V$3:$X$438,3,FALSE),"000000 - Nincs COFOG")</f>
        <v>000000 - Nincs COFOG</v>
      </c>
      <c r="S1949">
        <f t="shared" si="582"/>
        <v>0</v>
      </c>
      <c r="T1949">
        <f t="shared" si="583"/>
        <v>0</v>
      </c>
      <c r="U1949" t="str">
        <f>IF('906MP'!J1649&gt;0,CONCATENATE('906MP'!J1649," - ",'906MP'!P1649,", ",'906MP'!E1649),"nincs megjegyzés")</f>
        <v>nincs megjegyzés</v>
      </c>
      <c r="V1949" t="str">
        <f t="shared" si="570"/>
        <v>0P0</v>
      </c>
      <c r="W1949" t="str">
        <f t="shared" si="571"/>
        <v>0P0</v>
      </c>
      <c r="X1949" t="str">
        <f t="shared" si="572"/>
        <v>P0</v>
      </c>
      <c r="Y1949" t="str">
        <f t="shared" si="573"/>
        <v>00</v>
      </c>
      <c r="Z1949" t="str">
        <f t="shared" si="584"/>
        <v>00</v>
      </c>
      <c r="AA1949" t="str">
        <f t="shared" si="574"/>
        <v>00</v>
      </c>
      <c r="AB1949" t="str">
        <f t="shared" si="575"/>
        <v>00</v>
      </c>
      <c r="AC1949" t="str">
        <f t="shared" si="576"/>
        <v>0P0</v>
      </c>
      <c r="AD1949" t="str">
        <f t="shared" si="577"/>
        <v>P00</v>
      </c>
      <c r="AE1949" t="str">
        <f t="shared" si="578"/>
        <v>0P0</v>
      </c>
      <c r="AF1949" t="str">
        <f t="shared" si="579"/>
        <v>P00</v>
      </c>
      <c r="AG1949" t="str">
        <f t="shared" si="585"/>
        <v>0P00</v>
      </c>
      <c r="AH1949" t="str">
        <f t="shared" si="586"/>
        <v>P000</v>
      </c>
      <c r="AI1949" t="str">
        <f t="shared" si="587"/>
        <v>0P00</v>
      </c>
      <c r="AJ1949" t="str">
        <f t="shared" si="588"/>
        <v>P000</v>
      </c>
    </row>
    <row r="1950" spans="1:36" x14ac:dyDescent="0.25">
      <c r="A1950" s="325" t="str">
        <f>CONCATENATE("P",'906MP'!M1650)</f>
        <v>P</v>
      </c>
      <c r="B1950">
        <f>'906MP'!H1650</f>
        <v>0</v>
      </c>
      <c r="C1950">
        <f>'906MP'!J1650</f>
        <v>0</v>
      </c>
      <c r="D1950">
        <f>'906MP'!P1650</f>
        <v>0</v>
      </c>
      <c r="E1950">
        <f>'906MP'!X1650</f>
        <v>0</v>
      </c>
      <c r="F1950" t="str">
        <f t="shared" si="580"/>
        <v>0</v>
      </c>
      <c r="G1950" t="str">
        <f t="shared" si="581"/>
        <v>0</v>
      </c>
      <c r="H1950">
        <f>'906MP'!Y1650</f>
        <v>0</v>
      </c>
      <c r="I1950">
        <f>'906MP'!AK1650</f>
        <v>0</v>
      </c>
      <c r="J1950">
        <f>'906MP'!T1650</f>
        <v>0</v>
      </c>
      <c r="K1950">
        <f>'906MP'!AJ1650</f>
        <v>0</v>
      </c>
      <c r="L1950">
        <f>'906MP'!U1650</f>
        <v>0</v>
      </c>
      <c r="M1950" s="322" t="str">
        <f>IFERROR(VLOOKUP(A1950,PAR!$D$3:$E$53,2,FALSE),"nincs szervezet")</f>
        <v>nincs szervezet</v>
      </c>
      <c r="N1950" s="322" t="str">
        <f>VLOOKUP(F1950,PAR!$R$3:$S$5,2,FALSE)</f>
        <v>3 - egyik sem</v>
      </c>
      <c r="O1950" t="str">
        <f>IFERROR(VLOOKUP(J1950,PAR!$O$3:$P$5,2,FALSE),"nincs feladat")</f>
        <v>nincs feladat</v>
      </c>
      <c r="P1950" t="str">
        <f>IFERROR(VLOOKUP(G1950,PAR!$J$2:$M$19,4),"nincs rovat")</f>
        <v>nincs rovat</v>
      </c>
      <c r="Q1950" t="str">
        <f>IF(H1950&gt;0,VLOOKUP(H1950,PAR!$AA$3:$AC$187,3,FALSE),"nincs főkönyvi számla")</f>
        <v>nincs főkönyvi számla</v>
      </c>
      <c r="R1950" t="str">
        <f>IFERROR(VLOOKUP(K1950,PAR!$V$3:$X$438,3,FALSE),"000000 - Nincs COFOG")</f>
        <v>000000 - Nincs COFOG</v>
      </c>
      <c r="S1950">
        <f t="shared" si="582"/>
        <v>0</v>
      </c>
      <c r="T1950">
        <f t="shared" si="583"/>
        <v>0</v>
      </c>
      <c r="U1950" t="str">
        <f>IF('906MP'!J1650&gt;0,CONCATENATE('906MP'!J1650," - ",'906MP'!P1650,", ",'906MP'!E1650),"nincs megjegyzés")</f>
        <v>nincs megjegyzés</v>
      </c>
      <c r="V1950" t="str">
        <f t="shared" si="570"/>
        <v>0P0</v>
      </c>
      <c r="W1950" t="str">
        <f t="shared" si="571"/>
        <v>0P0</v>
      </c>
      <c r="X1950" t="str">
        <f t="shared" si="572"/>
        <v>P0</v>
      </c>
      <c r="Y1950" t="str">
        <f t="shared" si="573"/>
        <v>00</v>
      </c>
      <c r="Z1950" t="str">
        <f t="shared" si="584"/>
        <v>00</v>
      </c>
      <c r="AA1950" t="str">
        <f t="shared" si="574"/>
        <v>00</v>
      </c>
      <c r="AB1950" t="str">
        <f t="shared" si="575"/>
        <v>00</v>
      </c>
      <c r="AC1950" t="str">
        <f t="shared" si="576"/>
        <v>0P0</v>
      </c>
      <c r="AD1950" t="str">
        <f t="shared" si="577"/>
        <v>P00</v>
      </c>
      <c r="AE1950" t="str">
        <f t="shared" si="578"/>
        <v>0P0</v>
      </c>
      <c r="AF1950" t="str">
        <f t="shared" si="579"/>
        <v>P00</v>
      </c>
      <c r="AG1950" t="str">
        <f t="shared" si="585"/>
        <v>0P00</v>
      </c>
      <c r="AH1950" t="str">
        <f t="shared" si="586"/>
        <v>P000</v>
      </c>
      <c r="AI1950" t="str">
        <f t="shared" si="587"/>
        <v>0P00</v>
      </c>
      <c r="AJ1950" t="str">
        <f t="shared" si="588"/>
        <v>P000</v>
      </c>
    </row>
    <row r="1951" spans="1:36" x14ac:dyDescent="0.25">
      <c r="A1951" s="325" t="str">
        <f>CONCATENATE("P",'906MP'!M1651)</f>
        <v>P</v>
      </c>
      <c r="B1951">
        <f>'906MP'!H1651</f>
        <v>0</v>
      </c>
      <c r="C1951">
        <f>'906MP'!J1651</f>
        <v>0</v>
      </c>
      <c r="D1951">
        <f>'906MP'!P1651</f>
        <v>0</v>
      </c>
      <c r="E1951">
        <f>'906MP'!X1651</f>
        <v>0</v>
      </c>
      <c r="F1951" t="str">
        <f t="shared" si="580"/>
        <v>0</v>
      </c>
      <c r="G1951" t="str">
        <f t="shared" si="581"/>
        <v>0</v>
      </c>
      <c r="H1951">
        <f>'906MP'!Y1651</f>
        <v>0</v>
      </c>
      <c r="I1951">
        <f>'906MP'!AK1651</f>
        <v>0</v>
      </c>
      <c r="J1951">
        <f>'906MP'!T1651</f>
        <v>0</v>
      </c>
      <c r="K1951">
        <f>'906MP'!AJ1651</f>
        <v>0</v>
      </c>
      <c r="L1951">
        <f>'906MP'!U1651</f>
        <v>0</v>
      </c>
      <c r="M1951" s="322" t="str">
        <f>IFERROR(VLOOKUP(A1951,PAR!$D$3:$E$53,2,FALSE),"nincs szervezet")</f>
        <v>nincs szervezet</v>
      </c>
      <c r="N1951" s="322" t="str">
        <f>VLOOKUP(F1951,PAR!$R$3:$S$5,2,FALSE)</f>
        <v>3 - egyik sem</v>
      </c>
      <c r="O1951" t="str">
        <f>IFERROR(VLOOKUP(J1951,PAR!$O$3:$P$5,2,FALSE),"nincs feladat")</f>
        <v>nincs feladat</v>
      </c>
      <c r="P1951" t="str">
        <f>IFERROR(VLOOKUP(G1951,PAR!$J$2:$M$19,4),"nincs rovat")</f>
        <v>nincs rovat</v>
      </c>
      <c r="Q1951" t="str">
        <f>IF(H1951&gt;0,VLOOKUP(H1951,PAR!$AA$3:$AC$187,3,FALSE),"nincs főkönyvi számla")</f>
        <v>nincs főkönyvi számla</v>
      </c>
      <c r="R1951" t="str">
        <f>IFERROR(VLOOKUP(K1951,PAR!$V$3:$X$438,3,FALSE),"000000 - Nincs COFOG")</f>
        <v>000000 - Nincs COFOG</v>
      </c>
      <c r="S1951">
        <f t="shared" si="582"/>
        <v>0</v>
      </c>
      <c r="T1951">
        <f t="shared" si="583"/>
        <v>0</v>
      </c>
      <c r="U1951" t="str">
        <f>IF('906MP'!J1651&gt;0,CONCATENATE('906MP'!J1651," - ",'906MP'!P1651,", ",'906MP'!E1651),"nincs megjegyzés")</f>
        <v>nincs megjegyzés</v>
      </c>
      <c r="V1951" t="str">
        <f t="shared" si="570"/>
        <v>0P0</v>
      </c>
      <c r="W1951" t="str">
        <f t="shared" si="571"/>
        <v>0P0</v>
      </c>
      <c r="X1951" t="str">
        <f t="shared" si="572"/>
        <v>P0</v>
      </c>
      <c r="Y1951" t="str">
        <f t="shared" si="573"/>
        <v>00</v>
      </c>
      <c r="Z1951" t="str">
        <f t="shared" si="584"/>
        <v>00</v>
      </c>
      <c r="AA1951" t="str">
        <f t="shared" si="574"/>
        <v>00</v>
      </c>
      <c r="AB1951" t="str">
        <f t="shared" si="575"/>
        <v>00</v>
      </c>
      <c r="AC1951" t="str">
        <f t="shared" si="576"/>
        <v>0P0</v>
      </c>
      <c r="AD1951" t="str">
        <f t="shared" si="577"/>
        <v>P00</v>
      </c>
      <c r="AE1951" t="str">
        <f t="shared" si="578"/>
        <v>0P0</v>
      </c>
      <c r="AF1951" t="str">
        <f t="shared" si="579"/>
        <v>P00</v>
      </c>
      <c r="AG1951" t="str">
        <f t="shared" si="585"/>
        <v>0P00</v>
      </c>
      <c r="AH1951" t="str">
        <f t="shared" si="586"/>
        <v>P000</v>
      </c>
      <c r="AI1951" t="str">
        <f t="shared" si="587"/>
        <v>0P00</v>
      </c>
      <c r="AJ1951" t="str">
        <f t="shared" si="588"/>
        <v>P000</v>
      </c>
    </row>
    <row r="1952" spans="1:36" x14ac:dyDescent="0.25">
      <c r="A1952" s="325" t="str">
        <f>CONCATENATE("P",'906MP'!M1652)</f>
        <v>P</v>
      </c>
      <c r="B1952">
        <f>'906MP'!H1652</f>
        <v>0</v>
      </c>
      <c r="C1952">
        <f>'906MP'!J1652</f>
        <v>0</v>
      </c>
      <c r="D1952">
        <f>'906MP'!P1652</f>
        <v>0</v>
      </c>
      <c r="E1952">
        <f>'906MP'!X1652</f>
        <v>0</v>
      </c>
      <c r="F1952" t="str">
        <f t="shared" si="580"/>
        <v>0</v>
      </c>
      <c r="G1952" t="str">
        <f t="shared" si="581"/>
        <v>0</v>
      </c>
      <c r="H1952">
        <f>'906MP'!Y1652</f>
        <v>0</v>
      </c>
      <c r="I1952">
        <f>'906MP'!AK1652</f>
        <v>0</v>
      </c>
      <c r="J1952">
        <f>'906MP'!T1652</f>
        <v>0</v>
      </c>
      <c r="K1952">
        <f>'906MP'!AJ1652</f>
        <v>0</v>
      </c>
      <c r="L1952">
        <f>'906MP'!U1652</f>
        <v>0</v>
      </c>
      <c r="M1952" s="322" t="str">
        <f>IFERROR(VLOOKUP(A1952,PAR!$D$3:$E$53,2,FALSE),"nincs szervezet")</f>
        <v>nincs szervezet</v>
      </c>
      <c r="N1952" s="322" t="str">
        <f>VLOOKUP(F1952,PAR!$R$3:$S$5,2,FALSE)</f>
        <v>3 - egyik sem</v>
      </c>
      <c r="O1952" t="str">
        <f>IFERROR(VLOOKUP(J1952,PAR!$O$3:$P$5,2,FALSE),"nincs feladat")</f>
        <v>nincs feladat</v>
      </c>
      <c r="P1952" t="str">
        <f>IFERROR(VLOOKUP(G1952,PAR!$J$2:$M$19,4),"nincs rovat")</f>
        <v>nincs rovat</v>
      </c>
      <c r="Q1952" t="str">
        <f>IF(H1952&gt;0,VLOOKUP(H1952,PAR!$AA$3:$AC$187,3,FALSE),"nincs főkönyvi számla")</f>
        <v>nincs főkönyvi számla</v>
      </c>
      <c r="R1952" t="str">
        <f>IFERROR(VLOOKUP(K1952,PAR!$V$3:$X$438,3,FALSE),"000000 - Nincs COFOG")</f>
        <v>000000 - Nincs COFOG</v>
      </c>
      <c r="S1952">
        <f t="shared" si="582"/>
        <v>0</v>
      </c>
      <c r="T1952">
        <f t="shared" si="583"/>
        <v>0</v>
      </c>
      <c r="U1952" t="str">
        <f>IF('906MP'!J1652&gt;0,CONCATENATE('906MP'!J1652," - ",'906MP'!P1652,", ",'906MP'!E1652),"nincs megjegyzés")</f>
        <v>nincs megjegyzés</v>
      </c>
      <c r="V1952" t="str">
        <f t="shared" si="570"/>
        <v>0P0</v>
      </c>
      <c r="W1952" t="str">
        <f t="shared" si="571"/>
        <v>0P0</v>
      </c>
      <c r="X1952" t="str">
        <f t="shared" si="572"/>
        <v>P0</v>
      </c>
      <c r="Y1952" t="str">
        <f t="shared" si="573"/>
        <v>00</v>
      </c>
      <c r="Z1952" t="str">
        <f t="shared" si="584"/>
        <v>00</v>
      </c>
      <c r="AA1952" t="str">
        <f t="shared" si="574"/>
        <v>00</v>
      </c>
      <c r="AB1952" t="str">
        <f t="shared" si="575"/>
        <v>00</v>
      </c>
      <c r="AC1952" t="str">
        <f t="shared" si="576"/>
        <v>0P0</v>
      </c>
      <c r="AD1952" t="str">
        <f t="shared" si="577"/>
        <v>P00</v>
      </c>
      <c r="AE1952" t="str">
        <f t="shared" si="578"/>
        <v>0P0</v>
      </c>
      <c r="AF1952" t="str">
        <f t="shared" si="579"/>
        <v>P00</v>
      </c>
      <c r="AG1952" t="str">
        <f t="shared" si="585"/>
        <v>0P00</v>
      </c>
      <c r="AH1952" t="str">
        <f t="shared" si="586"/>
        <v>P000</v>
      </c>
      <c r="AI1952" t="str">
        <f t="shared" si="587"/>
        <v>0P00</v>
      </c>
      <c r="AJ1952" t="str">
        <f t="shared" si="588"/>
        <v>P000</v>
      </c>
    </row>
    <row r="1953" spans="1:36" x14ac:dyDescent="0.25">
      <c r="A1953" s="325" t="str">
        <f>CONCATENATE("P",'906MP'!M1653)</f>
        <v>P</v>
      </c>
      <c r="B1953">
        <f>'906MP'!H1653</f>
        <v>0</v>
      </c>
      <c r="C1953">
        <f>'906MP'!J1653</f>
        <v>0</v>
      </c>
      <c r="D1953">
        <f>'906MP'!P1653</f>
        <v>0</v>
      </c>
      <c r="E1953">
        <f>'906MP'!X1653</f>
        <v>0</v>
      </c>
      <c r="F1953" t="str">
        <f t="shared" si="580"/>
        <v>0</v>
      </c>
      <c r="G1953" t="str">
        <f t="shared" si="581"/>
        <v>0</v>
      </c>
      <c r="H1953">
        <f>'906MP'!Y1653</f>
        <v>0</v>
      </c>
      <c r="I1953">
        <f>'906MP'!AK1653</f>
        <v>0</v>
      </c>
      <c r="J1953">
        <f>'906MP'!T1653</f>
        <v>0</v>
      </c>
      <c r="K1953">
        <f>'906MP'!AJ1653</f>
        <v>0</v>
      </c>
      <c r="L1953">
        <f>'906MP'!U1653</f>
        <v>0</v>
      </c>
      <c r="M1953" s="322" t="str">
        <f>IFERROR(VLOOKUP(A1953,PAR!$D$3:$E$53,2,FALSE),"nincs szervezet")</f>
        <v>nincs szervezet</v>
      </c>
      <c r="N1953" s="322" t="str">
        <f>VLOOKUP(F1953,PAR!$R$3:$S$5,2,FALSE)</f>
        <v>3 - egyik sem</v>
      </c>
      <c r="O1953" t="str">
        <f>IFERROR(VLOOKUP(J1953,PAR!$O$3:$P$5,2,FALSE),"nincs feladat")</f>
        <v>nincs feladat</v>
      </c>
      <c r="P1953" t="str">
        <f>IFERROR(VLOOKUP(G1953,PAR!$J$2:$M$19,4),"nincs rovat")</f>
        <v>nincs rovat</v>
      </c>
      <c r="Q1953" t="str">
        <f>IF(H1953&gt;0,VLOOKUP(H1953,PAR!$AA$3:$AC$187,3,FALSE),"nincs főkönyvi számla")</f>
        <v>nincs főkönyvi számla</v>
      </c>
      <c r="R1953" t="str">
        <f>IFERROR(VLOOKUP(K1953,PAR!$V$3:$X$438,3,FALSE),"000000 - Nincs COFOG")</f>
        <v>000000 - Nincs COFOG</v>
      </c>
      <c r="S1953">
        <f t="shared" si="582"/>
        <v>0</v>
      </c>
      <c r="T1953">
        <f t="shared" si="583"/>
        <v>0</v>
      </c>
      <c r="U1953" t="str">
        <f>IF('906MP'!J1653&gt;0,CONCATENATE('906MP'!J1653," - ",'906MP'!P1653,", ",'906MP'!E1653),"nincs megjegyzés")</f>
        <v>nincs megjegyzés</v>
      </c>
      <c r="V1953" t="str">
        <f t="shared" si="570"/>
        <v>0P0</v>
      </c>
      <c r="W1953" t="str">
        <f t="shared" si="571"/>
        <v>0P0</v>
      </c>
      <c r="X1953" t="str">
        <f t="shared" si="572"/>
        <v>P0</v>
      </c>
      <c r="Y1953" t="str">
        <f t="shared" si="573"/>
        <v>00</v>
      </c>
      <c r="Z1953" t="str">
        <f t="shared" si="584"/>
        <v>00</v>
      </c>
      <c r="AA1953" t="str">
        <f t="shared" si="574"/>
        <v>00</v>
      </c>
      <c r="AB1953" t="str">
        <f t="shared" si="575"/>
        <v>00</v>
      </c>
      <c r="AC1953" t="str">
        <f t="shared" si="576"/>
        <v>0P0</v>
      </c>
      <c r="AD1953" t="str">
        <f t="shared" si="577"/>
        <v>P00</v>
      </c>
      <c r="AE1953" t="str">
        <f t="shared" si="578"/>
        <v>0P0</v>
      </c>
      <c r="AF1953" t="str">
        <f t="shared" si="579"/>
        <v>P00</v>
      </c>
      <c r="AG1953" t="str">
        <f t="shared" si="585"/>
        <v>0P00</v>
      </c>
      <c r="AH1953" t="str">
        <f t="shared" si="586"/>
        <v>P000</v>
      </c>
      <c r="AI1953" t="str">
        <f t="shared" si="587"/>
        <v>0P00</v>
      </c>
      <c r="AJ1953" t="str">
        <f t="shared" si="588"/>
        <v>P000</v>
      </c>
    </row>
    <row r="1954" spans="1:36" x14ac:dyDescent="0.25">
      <c r="A1954" s="325" t="str">
        <f>CONCATENATE("P",'906MP'!M1654)</f>
        <v>P</v>
      </c>
      <c r="B1954">
        <f>'906MP'!H1654</f>
        <v>0</v>
      </c>
      <c r="C1954">
        <f>'906MP'!J1654</f>
        <v>0</v>
      </c>
      <c r="D1954">
        <f>'906MP'!P1654</f>
        <v>0</v>
      </c>
      <c r="E1954">
        <f>'906MP'!X1654</f>
        <v>0</v>
      </c>
      <c r="F1954" t="str">
        <f t="shared" si="580"/>
        <v>0</v>
      </c>
      <c r="G1954" t="str">
        <f t="shared" si="581"/>
        <v>0</v>
      </c>
      <c r="H1954">
        <f>'906MP'!Y1654</f>
        <v>0</v>
      </c>
      <c r="I1954">
        <f>'906MP'!AK1654</f>
        <v>0</v>
      </c>
      <c r="J1954">
        <f>'906MP'!T1654</f>
        <v>0</v>
      </c>
      <c r="K1954">
        <f>'906MP'!AJ1654</f>
        <v>0</v>
      </c>
      <c r="L1954">
        <f>'906MP'!U1654</f>
        <v>0</v>
      </c>
      <c r="M1954" s="322" t="str">
        <f>IFERROR(VLOOKUP(A1954,PAR!$D$3:$E$53,2,FALSE),"nincs szervezet")</f>
        <v>nincs szervezet</v>
      </c>
      <c r="N1954" s="322" t="str">
        <f>VLOOKUP(F1954,PAR!$R$3:$S$5,2,FALSE)</f>
        <v>3 - egyik sem</v>
      </c>
      <c r="O1954" t="str">
        <f>IFERROR(VLOOKUP(J1954,PAR!$O$3:$P$5,2,FALSE),"nincs feladat")</f>
        <v>nincs feladat</v>
      </c>
      <c r="P1954" t="str">
        <f>IFERROR(VLOOKUP(G1954,PAR!$J$2:$M$19,4),"nincs rovat")</f>
        <v>nincs rovat</v>
      </c>
      <c r="Q1954" t="str">
        <f>IF(H1954&gt;0,VLOOKUP(H1954,PAR!$AA$3:$AC$187,3,FALSE),"nincs főkönyvi számla")</f>
        <v>nincs főkönyvi számla</v>
      </c>
      <c r="R1954" t="str">
        <f>IFERROR(VLOOKUP(K1954,PAR!$V$3:$X$438,3,FALSE),"000000 - Nincs COFOG")</f>
        <v>000000 - Nincs COFOG</v>
      </c>
      <c r="S1954">
        <f t="shared" si="582"/>
        <v>0</v>
      </c>
      <c r="T1954">
        <f t="shared" si="583"/>
        <v>0</v>
      </c>
      <c r="U1954" t="str">
        <f>IF('906MP'!J1654&gt;0,CONCATENATE('906MP'!J1654," - ",'906MP'!P1654,", ",'906MP'!E1654),"nincs megjegyzés")</f>
        <v>nincs megjegyzés</v>
      </c>
      <c r="V1954" t="str">
        <f t="shared" si="570"/>
        <v>0P0</v>
      </c>
      <c r="W1954" t="str">
        <f t="shared" si="571"/>
        <v>0P0</v>
      </c>
      <c r="X1954" t="str">
        <f t="shared" si="572"/>
        <v>P0</v>
      </c>
      <c r="Y1954" t="str">
        <f t="shared" si="573"/>
        <v>00</v>
      </c>
      <c r="Z1954" t="str">
        <f t="shared" si="584"/>
        <v>00</v>
      </c>
      <c r="AA1954" t="str">
        <f t="shared" si="574"/>
        <v>00</v>
      </c>
      <c r="AB1954" t="str">
        <f t="shared" si="575"/>
        <v>00</v>
      </c>
      <c r="AC1954" t="str">
        <f t="shared" si="576"/>
        <v>0P0</v>
      </c>
      <c r="AD1954" t="str">
        <f t="shared" si="577"/>
        <v>P00</v>
      </c>
      <c r="AE1954" t="str">
        <f t="shared" si="578"/>
        <v>0P0</v>
      </c>
      <c r="AF1954" t="str">
        <f t="shared" si="579"/>
        <v>P00</v>
      </c>
      <c r="AG1954" t="str">
        <f t="shared" si="585"/>
        <v>0P00</v>
      </c>
      <c r="AH1954" t="str">
        <f t="shared" si="586"/>
        <v>P000</v>
      </c>
      <c r="AI1954" t="str">
        <f t="shared" si="587"/>
        <v>0P00</v>
      </c>
      <c r="AJ1954" t="str">
        <f t="shared" si="588"/>
        <v>P000</v>
      </c>
    </row>
    <row r="1955" spans="1:36" x14ac:dyDescent="0.25">
      <c r="A1955" s="325" t="str">
        <f>CONCATENATE("P",'906MP'!M1655)</f>
        <v>P</v>
      </c>
      <c r="B1955">
        <f>'906MP'!H1655</f>
        <v>0</v>
      </c>
      <c r="C1955">
        <f>'906MP'!J1655</f>
        <v>0</v>
      </c>
      <c r="D1955">
        <f>'906MP'!P1655</f>
        <v>0</v>
      </c>
      <c r="E1955">
        <f>'906MP'!X1655</f>
        <v>0</v>
      </c>
      <c r="F1955" t="str">
        <f t="shared" si="580"/>
        <v>0</v>
      </c>
      <c r="G1955" t="str">
        <f t="shared" si="581"/>
        <v>0</v>
      </c>
      <c r="H1955">
        <f>'906MP'!Y1655</f>
        <v>0</v>
      </c>
      <c r="I1955">
        <f>'906MP'!AK1655</f>
        <v>0</v>
      </c>
      <c r="J1955">
        <f>'906MP'!T1655</f>
        <v>0</v>
      </c>
      <c r="K1955">
        <f>'906MP'!AJ1655</f>
        <v>0</v>
      </c>
      <c r="L1955">
        <f>'906MP'!U1655</f>
        <v>0</v>
      </c>
      <c r="M1955" s="322" t="str">
        <f>IFERROR(VLOOKUP(A1955,PAR!$D$3:$E$53,2,FALSE),"nincs szervezet")</f>
        <v>nincs szervezet</v>
      </c>
      <c r="N1955" s="322" t="str">
        <f>VLOOKUP(F1955,PAR!$R$3:$S$5,2,FALSE)</f>
        <v>3 - egyik sem</v>
      </c>
      <c r="O1955" t="str">
        <f>IFERROR(VLOOKUP(J1955,PAR!$O$3:$P$5,2,FALSE),"nincs feladat")</f>
        <v>nincs feladat</v>
      </c>
      <c r="P1955" t="str">
        <f>IFERROR(VLOOKUP(G1955,PAR!$J$2:$M$19,4),"nincs rovat")</f>
        <v>nincs rovat</v>
      </c>
      <c r="Q1955" t="str">
        <f>IF(H1955&gt;0,VLOOKUP(H1955,PAR!$AA$3:$AC$187,3,FALSE),"nincs főkönyvi számla")</f>
        <v>nincs főkönyvi számla</v>
      </c>
      <c r="R1955" t="str">
        <f>IFERROR(VLOOKUP(K1955,PAR!$V$3:$X$438,3,FALSE),"000000 - Nincs COFOG")</f>
        <v>000000 - Nincs COFOG</v>
      </c>
      <c r="S1955">
        <f t="shared" si="582"/>
        <v>0</v>
      </c>
      <c r="T1955">
        <f t="shared" si="583"/>
        <v>0</v>
      </c>
      <c r="U1955" t="str">
        <f>IF('906MP'!J1655&gt;0,CONCATENATE('906MP'!J1655," - ",'906MP'!P1655,", ",'906MP'!E1655),"nincs megjegyzés")</f>
        <v>nincs megjegyzés</v>
      </c>
      <c r="V1955" t="str">
        <f t="shared" si="570"/>
        <v>0P0</v>
      </c>
      <c r="W1955" t="str">
        <f t="shared" si="571"/>
        <v>0P0</v>
      </c>
      <c r="X1955" t="str">
        <f t="shared" si="572"/>
        <v>P0</v>
      </c>
      <c r="Y1955" t="str">
        <f t="shared" si="573"/>
        <v>00</v>
      </c>
      <c r="Z1955" t="str">
        <f t="shared" si="584"/>
        <v>00</v>
      </c>
      <c r="AA1955" t="str">
        <f t="shared" si="574"/>
        <v>00</v>
      </c>
      <c r="AB1955" t="str">
        <f t="shared" si="575"/>
        <v>00</v>
      </c>
      <c r="AC1955" t="str">
        <f t="shared" si="576"/>
        <v>0P0</v>
      </c>
      <c r="AD1955" t="str">
        <f t="shared" si="577"/>
        <v>P00</v>
      </c>
      <c r="AE1955" t="str">
        <f t="shared" si="578"/>
        <v>0P0</v>
      </c>
      <c r="AF1955" t="str">
        <f t="shared" si="579"/>
        <v>P00</v>
      </c>
      <c r="AG1955" t="str">
        <f t="shared" si="585"/>
        <v>0P00</v>
      </c>
      <c r="AH1955" t="str">
        <f t="shared" si="586"/>
        <v>P000</v>
      </c>
      <c r="AI1955" t="str">
        <f t="shared" si="587"/>
        <v>0P00</v>
      </c>
      <c r="AJ1955" t="str">
        <f t="shared" si="588"/>
        <v>P000</v>
      </c>
    </row>
    <row r="1956" spans="1:36" x14ac:dyDescent="0.25">
      <c r="A1956" s="325" t="str">
        <f>CONCATENATE("P",'906MP'!M1656)</f>
        <v>P</v>
      </c>
      <c r="B1956">
        <f>'906MP'!H1656</f>
        <v>0</v>
      </c>
      <c r="C1956">
        <f>'906MP'!J1656</f>
        <v>0</v>
      </c>
      <c r="D1956">
        <f>'906MP'!P1656</f>
        <v>0</v>
      </c>
      <c r="E1956">
        <f>'906MP'!X1656</f>
        <v>0</v>
      </c>
      <c r="F1956" t="str">
        <f t="shared" si="580"/>
        <v>0</v>
      </c>
      <c r="G1956" t="str">
        <f t="shared" si="581"/>
        <v>0</v>
      </c>
      <c r="H1956">
        <f>'906MP'!Y1656</f>
        <v>0</v>
      </c>
      <c r="I1956">
        <f>'906MP'!AK1656</f>
        <v>0</v>
      </c>
      <c r="J1956">
        <f>'906MP'!T1656</f>
        <v>0</v>
      </c>
      <c r="K1956">
        <f>'906MP'!AJ1656</f>
        <v>0</v>
      </c>
      <c r="L1956">
        <f>'906MP'!U1656</f>
        <v>0</v>
      </c>
      <c r="M1956" s="322" t="str">
        <f>IFERROR(VLOOKUP(A1956,PAR!$D$3:$E$53,2,FALSE),"nincs szervezet")</f>
        <v>nincs szervezet</v>
      </c>
      <c r="N1956" s="322" t="str">
        <f>VLOOKUP(F1956,PAR!$R$3:$S$5,2,FALSE)</f>
        <v>3 - egyik sem</v>
      </c>
      <c r="O1956" t="str">
        <f>IFERROR(VLOOKUP(J1956,PAR!$O$3:$P$5,2,FALSE),"nincs feladat")</f>
        <v>nincs feladat</v>
      </c>
      <c r="P1956" t="str">
        <f>IFERROR(VLOOKUP(G1956,PAR!$J$2:$M$19,4),"nincs rovat")</f>
        <v>nincs rovat</v>
      </c>
      <c r="Q1956" t="str">
        <f>IF(H1956&gt;0,VLOOKUP(H1956,PAR!$AA$3:$AC$187,3,FALSE),"nincs főkönyvi számla")</f>
        <v>nincs főkönyvi számla</v>
      </c>
      <c r="R1956" t="str">
        <f>IFERROR(VLOOKUP(K1956,PAR!$V$3:$X$438,3,FALSE),"000000 - Nincs COFOG")</f>
        <v>000000 - Nincs COFOG</v>
      </c>
      <c r="S1956">
        <f t="shared" si="582"/>
        <v>0</v>
      </c>
      <c r="T1956">
        <f t="shared" si="583"/>
        <v>0</v>
      </c>
      <c r="U1956" t="str">
        <f>IF('906MP'!J1656&gt;0,CONCATENATE('906MP'!J1656," - ",'906MP'!P1656,", ",'906MP'!E1656),"nincs megjegyzés")</f>
        <v>nincs megjegyzés</v>
      </c>
      <c r="V1956" t="str">
        <f t="shared" si="570"/>
        <v>0P0</v>
      </c>
      <c r="W1956" t="str">
        <f t="shared" si="571"/>
        <v>0P0</v>
      </c>
      <c r="X1956" t="str">
        <f t="shared" si="572"/>
        <v>P0</v>
      </c>
      <c r="Y1956" t="str">
        <f t="shared" si="573"/>
        <v>00</v>
      </c>
      <c r="Z1956" t="str">
        <f t="shared" si="584"/>
        <v>00</v>
      </c>
      <c r="AA1956" t="str">
        <f t="shared" si="574"/>
        <v>00</v>
      </c>
      <c r="AB1956" t="str">
        <f t="shared" si="575"/>
        <v>00</v>
      </c>
      <c r="AC1956" t="str">
        <f t="shared" si="576"/>
        <v>0P0</v>
      </c>
      <c r="AD1956" t="str">
        <f t="shared" si="577"/>
        <v>P00</v>
      </c>
      <c r="AE1956" t="str">
        <f t="shared" si="578"/>
        <v>0P0</v>
      </c>
      <c r="AF1956" t="str">
        <f t="shared" si="579"/>
        <v>P00</v>
      </c>
      <c r="AG1956" t="str">
        <f t="shared" si="585"/>
        <v>0P00</v>
      </c>
      <c r="AH1956" t="str">
        <f t="shared" si="586"/>
        <v>P000</v>
      </c>
      <c r="AI1956" t="str">
        <f t="shared" si="587"/>
        <v>0P00</v>
      </c>
      <c r="AJ1956" t="str">
        <f t="shared" si="588"/>
        <v>P000</v>
      </c>
    </row>
    <row r="1957" spans="1:36" x14ac:dyDescent="0.25">
      <c r="A1957" s="325" t="str">
        <f>CONCATENATE("P",'906MP'!M1657)</f>
        <v>P</v>
      </c>
      <c r="B1957">
        <f>'906MP'!H1657</f>
        <v>0</v>
      </c>
      <c r="C1957">
        <f>'906MP'!J1657</f>
        <v>0</v>
      </c>
      <c r="D1957">
        <f>'906MP'!P1657</f>
        <v>0</v>
      </c>
      <c r="E1957">
        <f>'906MP'!X1657</f>
        <v>0</v>
      </c>
      <c r="F1957" t="str">
        <f t="shared" si="580"/>
        <v>0</v>
      </c>
      <c r="G1957" t="str">
        <f t="shared" si="581"/>
        <v>0</v>
      </c>
      <c r="H1957">
        <f>'906MP'!Y1657</f>
        <v>0</v>
      </c>
      <c r="I1957">
        <f>'906MP'!AK1657</f>
        <v>0</v>
      </c>
      <c r="J1957">
        <f>'906MP'!T1657</f>
        <v>0</v>
      </c>
      <c r="K1957">
        <f>'906MP'!AJ1657</f>
        <v>0</v>
      </c>
      <c r="L1957">
        <f>'906MP'!U1657</f>
        <v>0</v>
      </c>
      <c r="M1957" s="322" t="str">
        <f>IFERROR(VLOOKUP(A1957,PAR!$D$3:$E$53,2,FALSE),"nincs szervezet")</f>
        <v>nincs szervezet</v>
      </c>
      <c r="N1957" s="322" t="str">
        <f>VLOOKUP(F1957,PAR!$R$3:$S$5,2,FALSE)</f>
        <v>3 - egyik sem</v>
      </c>
      <c r="O1957" t="str">
        <f>IFERROR(VLOOKUP(J1957,PAR!$O$3:$P$5,2,FALSE),"nincs feladat")</f>
        <v>nincs feladat</v>
      </c>
      <c r="P1957" t="str">
        <f>IFERROR(VLOOKUP(G1957,PAR!$J$2:$M$19,4),"nincs rovat")</f>
        <v>nincs rovat</v>
      </c>
      <c r="Q1957" t="str">
        <f>IF(H1957&gt;0,VLOOKUP(H1957,PAR!$AA$3:$AC$187,3,FALSE),"nincs főkönyvi számla")</f>
        <v>nincs főkönyvi számla</v>
      </c>
      <c r="R1957" t="str">
        <f>IFERROR(VLOOKUP(K1957,PAR!$V$3:$X$438,3,FALSE),"000000 - Nincs COFOG")</f>
        <v>000000 - Nincs COFOG</v>
      </c>
      <c r="S1957">
        <f t="shared" si="582"/>
        <v>0</v>
      </c>
      <c r="T1957">
        <f t="shared" si="583"/>
        <v>0</v>
      </c>
      <c r="U1957" t="str">
        <f>IF('906MP'!J1657&gt;0,CONCATENATE('906MP'!J1657," - ",'906MP'!P1657,", ",'906MP'!E1657),"nincs megjegyzés")</f>
        <v>nincs megjegyzés</v>
      </c>
      <c r="V1957" t="str">
        <f t="shared" si="570"/>
        <v>0P0</v>
      </c>
      <c r="W1957" t="str">
        <f t="shared" si="571"/>
        <v>0P0</v>
      </c>
      <c r="X1957" t="str">
        <f t="shared" si="572"/>
        <v>P0</v>
      </c>
      <c r="Y1957" t="str">
        <f t="shared" si="573"/>
        <v>00</v>
      </c>
      <c r="Z1957" t="str">
        <f t="shared" si="584"/>
        <v>00</v>
      </c>
      <c r="AA1957" t="str">
        <f t="shared" si="574"/>
        <v>00</v>
      </c>
      <c r="AB1957" t="str">
        <f t="shared" si="575"/>
        <v>00</v>
      </c>
      <c r="AC1957" t="str">
        <f t="shared" si="576"/>
        <v>0P0</v>
      </c>
      <c r="AD1957" t="str">
        <f t="shared" si="577"/>
        <v>P00</v>
      </c>
      <c r="AE1957" t="str">
        <f t="shared" si="578"/>
        <v>0P0</v>
      </c>
      <c r="AF1957" t="str">
        <f t="shared" si="579"/>
        <v>P00</v>
      </c>
      <c r="AG1957" t="str">
        <f t="shared" si="585"/>
        <v>0P00</v>
      </c>
      <c r="AH1957" t="str">
        <f t="shared" si="586"/>
        <v>P000</v>
      </c>
      <c r="AI1957" t="str">
        <f t="shared" si="587"/>
        <v>0P00</v>
      </c>
      <c r="AJ1957" t="str">
        <f t="shared" si="588"/>
        <v>P000</v>
      </c>
    </row>
    <row r="1958" spans="1:36" x14ac:dyDescent="0.25">
      <c r="A1958" s="325" t="str">
        <f>CONCATENATE("P",'906MP'!M1658)</f>
        <v>P</v>
      </c>
      <c r="B1958">
        <f>'906MP'!H1658</f>
        <v>0</v>
      </c>
      <c r="C1958">
        <f>'906MP'!J1658</f>
        <v>0</v>
      </c>
      <c r="D1958">
        <f>'906MP'!P1658</f>
        <v>0</v>
      </c>
      <c r="E1958">
        <f>'906MP'!X1658</f>
        <v>0</v>
      </c>
      <c r="F1958" t="str">
        <f t="shared" si="580"/>
        <v>0</v>
      </c>
      <c r="G1958" t="str">
        <f t="shared" si="581"/>
        <v>0</v>
      </c>
      <c r="H1958">
        <f>'906MP'!Y1658</f>
        <v>0</v>
      </c>
      <c r="I1958">
        <f>'906MP'!AK1658</f>
        <v>0</v>
      </c>
      <c r="J1958">
        <f>'906MP'!T1658</f>
        <v>0</v>
      </c>
      <c r="K1958">
        <f>'906MP'!AJ1658</f>
        <v>0</v>
      </c>
      <c r="L1958">
        <f>'906MP'!U1658</f>
        <v>0</v>
      </c>
      <c r="M1958" s="322" t="str">
        <f>IFERROR(VLOOKUP(A1958,PAR!$D$3:$E$53,2,FALSE),"nincs szervezet")</f>
        <v>nincs szervezet</v>
      </c>
      <c r="N1958" s="322" t="str">
        <f>VLOOKUP(F1958,PAR!$R$3:$S$5,2,FALSE)</f>
        <v>3 - egyik sem</v>
      </c>
      <c r="O1958" t="str">
        <f>IFERROR(VLOOKUP(J1958,PAR!$O$3:$P$5,2,FALSE),"nincs feladat")</f>
        <v>nincs feladat</v>
      </c>
      <c r="P1958" t="str">
        <f>IFERROR(VLOOKUP(G1958,PAR!$J$2:$M$19,4),"nincs rovat")</f>
        <v>nincs rovat</v>
      </c>
      <c r="Q1958" t="str">
        <f>IF(H1958&gt;0,VLOOKUP(H1958,PAR!$AA$3:$AC$187,3,FALSE),"nincs főkönyvi számla")</f>
        <v>nincs főkönyvi számla</v>
      </c>
      <c r="R1958" t="str">
        <f>IFERROR(VLOOKUP(K1958,PAR!$V$3:$X$438,3,FALSE),"000000 - Nincs COFOG")</f>
        <v>000000 - Nincs COFOG</v>
      </c>
      <c r="S1958">
        <f t="shared" si="582"/>
        <v>0</v>
      </c>
      <c r="T1958">
        <f t="shared" si="583"/>
        <v>0</v>
      </c>
      <c r="U1958" t="str">
        <f>IF('906MP'!J1658&gt;0,CONCATENATE('906MP'!J1658," - ",'906MP'!P1658,", ",'906MP'!E1658),"nincs megjegyzés")</f>
        <v>nincs megjegyzés</v>
      </c>
      <c r="V1958" t="str">
        <f t="shared" si="570"/>
        <v>0P0</v>
      </c>
      <c r="W1958" t="str">
        <f t="shared" si="571"/>
        <v>0P0</v>
      </c>
      <c r="X1958" t="str">
        <f t="shared" si="572"/>
        <v>P0</v>
      </c>
      <c r="Y1958" t="str">
        <f t="shared" si="573"/>
        <v>00</v>
      </c>
      <c r="Z1958" t="str">
        <f t="shared" si="584"/>
        <v>00</v>
      </c>
      <c r="AA1958" t="str">
        <f t="shared" si="574"/>
        <v>00</v>
      </c>
      <c r="AB1958" t="str">
        <f t="shared" si="575"/>
        <v>00</v>
      </c>
      <c r="AC1958" t="str">
        <f t="shared" si="576"/>
        <v>0P0</v>
      </c>
      <c r="AD1958" t="str">
        <f t="shared" si="577"/>
        <v>P00</v>
      </c>
      <c r="AE1958" t="str">
        <f t="shared" si="578"/>
        <v>0P0</v>
      </c>
      <c r="AF1958" t="str">
        <f t="shared" si="579"/>
        <v>P00</v>
      </c>
      <c r="AG1958" t="str">
        <f t="shared" si="585"/>
        <v>0P00</v>
      </c>
      <c r="AH1958" t="str">
        <f t="shared" si="586"/>
        <v>P000</v>
      </c>
      <c r="AI1958" t="str">
        <f t="shared" si="587"/>
        <v>0P00</v>
      </c>
      <c r="AJ1958" t="str">
        <f t="shared" si="588"/>
        <v>P000</v>
      </c>
    </row>
    <row r="1959" spans="1:36" x14ac:dyDescent="0.25">
      <c r="A1959" s="325" t="str">
        <f>CONCATENATE("P",'906MP'!M1659)</f>
        <v>P</v>
      </c>
      <c r="B1959">
        <f>'906MP'!H1659</f>
        <v>0</v>
      </c>
      <c r="C1959">
        <f>'906MP'!J1659</f>
        <v>0</v>
      </c>
      <c r="D1959">
        <f>'906MP'!P1659</f>
        <v>0</v>
      </c>
      <c r="E1959">
        <f>'906MP'!X1659</f>
        <v>0</v>
      </c>
      <c r="F1959" t="str">
        <f t="shared" si="580"/>
        <v>0</v>
      </c>
      <c r="G1959" t="str">
        <f t="shared" si="581"/>
        <v>0</v>
      </c>
      <c r="H1959">
        <f>'906MP'!Y1659</f>
        <v>0</v>
      </c>
      <c r="I1959">
        <f>'906MP'!AK1659</f>
        <v>0</v>
      </c>
      <c r="J1959">
        <f>'906MP'!T1659</f>
        <v>0</v>
      </c>
      <c r="K1959">
        <f>'906MP'!AJ1659</f>
        <v>0</v>
      </c>
      <c r="L1959">
        <f>'906MP'!U1659</f>
        <v>0</v>
      </c>
      <c r="M1959" s="322" t="str">
        <f>IFERROR(VLOOKUP(A1959,PAR!$D$3:$E$53,2,FALSE),"nincs szervezet")</f>
        <v>nincs szervezet</v>
      </c>
      <c r="N1959" s="322" t="str">
        <f>VLOOKUP(F1959,PAR!$R$3:$S$5,2,FALSE)</f>
        <v>3 - egyik sem</v>
      </c>
      <c r="O1959" t="str">
        <f>IFERROR(VLOOKUP(J1959,PAR!$O$3:$P$5,2,FALSE),"nincs feladat")</f>
        <v>nincs feladat</v>
      </c>
      <c r="P1959" t="str">
        <f>IFERROR(VLOOKUP(G1959,PAR!$J$2:$M$19,4),"nincs rovat")</f>
        <v>nincs rovat</v>
      </c>
      <c r="Q1959" t="str">
        <f>IF(H1959&gt;0,VLOOKUP(H1959,PAR!$AA$3:$AC$187,3,FALSE),"nincs főkönyvi számla")</f>
        <v>nincs főkönyvi számla</v>
      </c>
      <c r="R1959" t="str">
        <f>IFERROR(VLOOKUP(K1959,PAR!$V$3:$X$438,3,FALSE),"000000 - Nincs COFOG")</f>
        <v>000000 - Nincs COFOG</v>
      </c>
      <c r="S1959">
        <f t="shared" si="582"/>
        <v>0</v>
      </c>
      <c r="T1959">
        <f t="shared" si="583"/>
        <v>0</v>
      </c>
      <c r="U1959" t="str">
        <f>IF('906MP'!J1659&gt;0,CONCATENATE('906MP'!J1659," - ",'906MP'!P1659,", ",'906MP'!E1659),"nincs megjegyzés")</f>
        <v>nincs megjegyzés</v>
      </c>
      <c r="V1959" t="str">
        <f t="shared" si="570"/>
        <v>0P0</v>
      </c>
      <c r="W1959" t="str">
        <f t="shared" si="571"/>
        <v>0P0</v>
      </c>
      <c r="X1959" t="str">
        <f t="shared" si="572"/>
        <v>P0</v>
      </c>
      <c r="Y1959" t="str">
        <f t="shared" si="573"/>
        <v>00</v>
      </c>
      <c r="Z1959" t="str">
        <f t="shared" si="584"/>
        <v>00</v>
      </c>
      <c r="AA1959" t="str">
        <f t="shared" si="574"/>
        <v>00</v>
      </c>
      <c r="AB1959" t="str">
        <f t="shared" si="575"/>
        <v>00</v>
      </c>
      <c r="AC1959" t="str">
        <f t="shared" si="576"/>
        <v>0P0</v>
      </c>
      <c r="AD1959" t="str">
        <f t="shared" si="577"/>
        <v>P00</v>
      </c>
      <c r="AE1959" t="str">
        <f t="shared" si="578"/>
        <v>0P0</v>
      </c>
      <c r="AF1959" t="str">
        <f t="shared" si="579"/>
        <v>P00</v>
      </c>
      <c r="AG1959" t="str">
        <f t="shared" si="585"/>
        <v>0P00</v>
      </c>
      <c r="AH1959" t="str">
        <f t="shared" si="586"/>
        <v>P000</v>
      </c>
      <c r="AI1959" t="str">
        <f t="shared" si="587"/>
        <v>0P00</v>
      </c>
      <c r="AJ1959" t="str">
        <f t="shared" si="588"/>
        <v>P000</v>
      </c>
    </row>
    <row r="1960" spans="1:36" x14ac:dyDescent="0.25">
      <c r="A1960" s="325" t="str">
        <f>CONCATENATE("P",'906MP'!M1660)</f>
        <v>P</v>
      </c>
      <c r="B1960">
        <f>'906MP'!H1660</f>
        <v>0</v>
      </c>
      <c r="C1960">
        <f>'906MP'!J1660</f>
        <v>0</v>
      </c>
      <c r="D1960">
        <f>'906MP'!P1660</f>
        <v>0</v>
      </c>
      <c r="E1960">
        <f>'906MP'!X1660</f>
        <v>0</v>
      </c>
      <c r="F1960" t="str">
        <f t="shared" si="580"/>
        <v>0</v>
      </c>
      <c r="G1960" t="str">
        <f t="shared" si="581"/>
        <v>0</v>
      </c>
      <c r="H1960">
        <f>'906MP'!Y1660</f>
        <v>0</v>
      </c>
      <c r="I1960">
        <f>'906MP'!AK1660</f>
        <v>0</v>
      </c>
      <c r="J1960">
        <f>'906MP'!T1660</f>
        <v>0</v>
      </c>
      <c r="K1960">
        <f>'906MP'!AJ1660</f>
        <v>0</v>
      </c>
      <c r="L1960">
        <f>'906MP'!U1660</f>
        <v>0</v>
      </c>
      <c r="M1960" s="322" t="str">
        <f>IFERROR(VLOOKUP(A1960,PAR!$D$3:$E$53,2,FALSE),"nincs szervezet")</f>
        <v>nincs szervezet</v>
      </c>
      <c r="N1960" s="322" t="str">
        <f>VLOOKUP(F1960,PAR!$R$3:$S$5,2,FALSE)</f>
        <v>3 - egyik sem</v>
      </c>
      <c r="O1960" t="str">
        <f>IFERROR(VLOOKUP(J1960,PAR!$O$3:$P$5,2,FALSE),"nincs feladat")</f>
        <v>nincs feladat</v>
      </c>
      <c r="P1960" t="str">
        <f>IFERROR(VLOOKUP(G1960,PAR!$J$2:$M$19,4),"nincs rovat")</f>
        <v>nincs rovat</v>
      </c>
      <c r="Q1960" t="str">
        <f>IF(H1960&gt;0,VLOOKUP(H1960,PAR!$AA$3:$AC$187,3,FALSE),"nincs főkönyvi számla")</f>
        <v>nincs főkönyvi számla</v>
      </c>
      <c r="R1960" t="str">
        <f>IFERROR(VLOOKUP(K1960,PAR!$V$3:$X$438,3,FALSE),"000000 - Nincs COFOG")</f>
        <v>000000 - Nincs COFOG</v>
      </c>
      <c r="S1960">
        <f t="shared" si="582"/>
        <v>0</v>
      </c>
      <c r="T1960">
        <f t="shared" si="583"/>
        <v>0</v>
      </c>
      <c r="U1960" t="str">
        <f>IF('906MP'!J1660&gt;0,CONCATENATE('906MP'!J1660," - ",'906MP'!P1660,", ",'906MP'!E1660),"nincs megjegyzés")</f>
        <v>nincs megjegyzés</v>
      </c>
      <c r="V1960" t="str">
        <f t="shared" si="570"/>
        <v>0P0</v>
      </c>
      <c r="W1960" t="str">
        <f t="shared" si="571"/>
        <v>0P0</v>
      </c>
      <c r="X1960" t="str">
        <f t="shared" si="572"/>
        <v>P0</v>
      </c>
      <c r="Y1960" t="str">
        <f t="shared" si="573"/>
        <v>00</v>
      </c>
      <c r="Z1960" t="str">
        <f t="shared" si="584"/>
        <v>00</v>
      </c>
      <c r="AA1960" t="str">
        <f t="shared" si="574"/>
        <v>00</v>
      </c>
      <c r="AB1960" t="str">
        <f t="shared" si="575"/>
        <v>00</v>
      </c>
      <c r="AC1960" t="str">
        <f t="shared" si="576"/>
        <v>0P0</v>
      </c>
      <c r="AD1960" t="str">
        <f t="shared" si="577"/>
        <v>P00</v>
      </c>
      <c r="AE1960" t="str">
        <f t="shared" si="578"/>
        <v>0P0</v>
      </c>
      <c r="AF1960" t="str">
        <f t="shared" si="579"/>
        <v>P00</v>
      </c>
      <c r="AG1960" t="str">
        <f t="shared" si="585"/>
        <v>0P00</v>
      </c>
      <c r="AH1960" t="str">
        <f t="shared" si="586"/>
        <v>P000</v>
      </c>
      <c r="AI1960" t="str">
        <f t="shared" si="587"/>
        <v>0P00</v>
      </c>
      <c r="AJ1960" t="str">
        <f t="shared" si="588"/>
        <v>P000</v>
      </c>
    </row>
    <row r="1961" spans="1:36" x14ac:dyDescent="0.25">
      <c r="A1961" s="325" t="str">
        <f>CONCATENATE("P",'906MP'!M1661)</f>
        <v>P</v>
      </c>
      <c r="B1961">
        <f>'906MP'!H1661</f>
        <v>0</v>
      </c>
      <c r="C1961">
        <f>'906MP'!J1661</f>
        <v>0</v>
      </c>
      <c r="D1961">
        <f>'906MP'!P1661</f>
        <v>0</v>
      </c>
      <c r="E1961">
        <f>'906MP'!X1661</f>
        <v>0</v>
      </c>
      <c r="F1961" t="str">
        <f t="shared" si="580"/>
        <v>0</v>
      </c>
      <c r="G1961" t="str">
        <f t="shared" si="581"/>
        <v>0</v>
      </c>
      <c r="H1961">
        <f>'906MP'!Y1661</f>
        <v>0</v>
      </c>
      <c r="I1961">
        <f>'906MP'!AK1661</f>
        <v>0</v>
      </c>
      <c r="J1961">
        <f>'906MP'!T1661</f>
        <v>0</v>
      </c>
      <c r="K1961">
        <f>'906MP'!AJ1661</f>
        <v>0</v>
      </c>
      <c r="L1961">
        <f>'906MP'!U1661</f>
        <v>0</v>
      </c>
      <c r="M1961" s="322" t="str">
        <f>IFERROR(VLOOKUP(A1961,PAR!$D$3:$E$53,2,FALSE),"nincs szervezet")</f>
        <v>nincs szervezet</v>
      </c>
      <c r="N1961" s="322" t="str">
        <f>VLOOKUP(F1961,PAR!$R$3:$S$5,2,FALSE)</f>
        <v>3 - egyik sem</v>
      </c>
      <c r="O1961" t="str">
        <f>IFERROR(VLOOKUP(J1961,PAR!$O$3:$P$5,2,FALSE),"nincs feladat")</f>
        <v>nincs feladat</v>
      </c>
      <c r="P1961" t="str">
        <f>IFERROR(VLOOKUP(G1961,PAR!$J$2:$M$19,4),"nincs rovat")</f>
        <v>nincs rovat</v>
      </c>
      <c r="Q1961" t="str">
        <f>IF(H1961&gt;0,VLOOKUP(H1961,PAR!$AA$3:$AC$187,3,FALSE),"nincs főkönyvi számla")</f>
        <v>nincs főkönyvi számla</v>
      </c>
      <c r="R1961" t="str">
        <f>IFERROR(VLOOKUP(K1961,PAR!$V$3:$X$438,3,FALSE),"000000 - Nincs COFOG")</f>
        <v>000000 - Nincs COFOG</v>
      </c>
      <c r="S1961">
        <f t="shared" si="582"/>
        <v>0</v>
      </c>
      <c r="T1961">
        <f t="shared" si="583"/>
        <v>0</v>
      </c>
      <c r="U1961" t="str">
        <f>IF('906MP'!J1661&gt;0,CONCATENATE('906MP'!J1661," - ",'906MP'!P1661,", ",'906MP'!E1661),"nincs megjegyzés")</f>
        <v>nincs megjegyzés</v>
      </c>
      <c r="V1961" t="str">
        <f t="shared" si="570"/>
        <v>0P0</v>
      </c>
      <c r="W1961" t="str">
        <f t="shared" si="571"/>
        <v>0P0</v>
      </c>
      <c r="X1961" t="str">
        <f t="shared" si="572"/>
        <v>P0</v>
      </c>
      <c r="Y1961" t="str">
        <f t="shared" si="573"/>
        <v>00</v>
      </c>
      <c r="Z1961" t="str">
        <f t="shared" si="584"/>
        <v>00</v>
      </c>
      <c r="AA1961" t="str">
        <f t="shared" si="574"/>
        <v>00</v>
      </c>
      <c r="AB1961" t="str">
        <f t="shared" si="575"/>
        <v>00</v>
      </c>
      <c r="AC1961" t="str">
        <f t="shared" si="576"/>
        <v>0P0</v>
      </c>
      <c r="AD1961" t="str">
        <f t="shared" si="577"/>
        <v>P00</v>
      </c>
      <c r="AE1961" t="str">
        <f t="shared" si="578"/>
        <v>0P0</v>
      </c>
      <c r="AF1961" t="str">
        <f t="shared" si="579"/>
        <v>P00</v>
      </c>
      <c r="AG1961" t="str">
        <f t="shared" si="585"/>
        <v>0P00</v>
      </c>
      <c r="AH1961" t="str">
        <f t="shared" si="586"/>
        <v>P000</v>
      </c>
      <c r="AI1961" t="str">
        <f t="shared" si="587"/>
        <v>0P00</v>
      </c>
      <c r="AJ1961" t="str">
        <f t="shared" si="588"/>
        <v>P000</v>
      </c>
    </row>
    <row r="1962" spans="1:36" x14ac:dyDescent="0.25">
      <c r="A1962" s="325" t="str">
        <f>CONCATENATE("P",'906MP'!M1662)</f>
        <v>P</v>
      </c>
      <c r="B1962">
        <f>'906MP'!H1662</f>
        <v>0</v>
      </c>
      <c r="C1962">
        <f>'906MP'!J1662</f>
        <v>0</v>
      </c>
      <c r="D1962">
        <f>'906MP'!P1662</f>
        <v>0</v>
      </c>
      <c r="E1962">
        <f>'906MP'!X1662</f>
        <v>0</v>
      </c>
      <c r="F1962" t="str">
        <f t="shared" si="580"/>
        <v>0</v>
      </c>
      <c r="G1962" t="str">
        <f t="shared" si="581"/>
        <v>0</v>
      </c>
      <c r="H1962">
        <f>'906MP'!Y1662</f>
        <v>0</v>
      </c>
      <c r="I1962">
        <f>'906MP'!AK1662</f>
        <v>0</v>
      </c>
      <c r="J1962">
        <f>'906MP'!T1662</f>
        <v>0</v>
      </c>
      <c r="K1962">
        <f>'906MP'!AJ1662</f>
        <v>0</v>
      </c>
      <c r="L1962">
        <f>'906MP'!U1662</f>
        <v>0</v>
      </c>
      <c r="M1962" s="322" t="str">
        <f>IFERROR(VLOOKUP(A1962,PAR!$D$3:$E$53,2,FALSE),"nincs szervezet")</f>
        <v>nincs szervezet</v>
      </c>
      <c r="N1962" s="322" t="str">
        <f>VLOOKUP(F1962,PAR!$R$3:$S$5,2,FALSE)</f>
        <v>3 - egyik sem</v>
      </c>
      <c r="O1962" t="str">
        <f>IFERROR(VLOOKUP(J1962,PAR!$O$3:$P$5,2,FALSE),"nincs feladat")</f>
        <v>nincs feladat</v>
      </c>
      <c r="P1962" t="str">
        <f>IFERROR(VLOOKUP(G1962,PAR!$J$2:$M$19,4),"nincs rovat")</f>
        <v>nincs rovat</v>
      </c>
      <c r="Q1962" t="str">
        <f>IF(H1962&gt;0,VLOOKUP(H1962,PAR!$AA$3:$AC$187,3,FALSE),"nincs főkönyvi számla")</f>
        <v>nincs főkönyvi számla</v>
      </c>
      <c r="R1962" t="str">
        <f>IFERROR(VLOOKUP(K1962,PAR!$V$3:$X$438,3,FALSE),"000000 - Nincs COFOG")</f>
        <v>000000 - Nincs COFOG</v>
      </c>
      <c r="S1962">
        <f t="shared" si="582"/>
        <v>0</v>
      </c>
      <c r="T1962">
        <f t="shared" si="583"/>
        <v>0</v>
      </c>
      <c r="U1962" t="str">
        <f>IF('906MP'!J1662&gt;0,CONCATENATE('906MP'!J1662," - ",'906MP'!P1662,", ",'906MP'!E1662),"nincs megjegyzés")</f>
        <v>nincs megjegyzés</v>
      </c>
      <c r="V1962" t="str">
        <f t="shared" si="570"/>
        <v>0P0</v>
      </c>
      <c r="W1962" t="str">
        <f t="shared" si="571"/>
        <v>0P0</v>
      </c>
      <c r="X1962" t="str">
        <f t="shared" si="572"/>
        <v>P0</v>
      </c>
      <c r="Y1962" t="str">
        <f t="shared" si="573"/>
        <v>00</v>
      </c>
      <c r="Z1962" t="str">
        <f t="shared" si="584"/>
        <v>00</v>
      </c>
      <c r="AA1962" t="str">
        <f t="shared" si="574"/>
        <v>00</v>
      </c>
      <c r="AB1962" t="str">
        <f t="shared" si="575"/>
        <v>00</v>
      </c>
      <c r="AC1962" t="str">
        <f t="shared" si="576"/>
        <v>0P0</v>
      </c>
      <c r="AD1962" t="str">
        <f t="shared" si="577"/>
        <v>P00</v>
      </c>
      <c r="AE1962" t="str">
        <f t="shared" si="578"/>
        <v>0P0</v>
      </c>
      <c r="AF1962" t="str">
        <f t="shared" si="579"/>
        <v>P00</v>
      </c>
      <c r="AG1962" t="str">
        <f t="shared" si="585"/>
        <v>0P00</v>
      </c>
      <c r="AH1962" t="str">
        <f t="shared" si="586"/>
        <v>P000</v>
      </c>
      <c r="AI1962" t="str">
        <f t="shared" si="587"/>
        <v>0P00</v>
      </c>
      <c r="AJ1962" t="str">
        <f t="shared" si="588"/>
        <v>P000</v>
      </c>
    </row>
    <row r="1963" spans="1:36" x14ac:dyDescent="0.25">
      <c r="A1963" s="325" t="str">
        <f>CONCATENATE("P",'906MP'!M1663)</f>
        <v>P</v>
      </c>
      <c r="B1963">
        <f>'906MP'!H1663</f>
        <v>0</v>
      </c>
      <c r="C1963">
        <f>'906MP'!J1663</f>
        <v>0</v>
      </c>
      <c r="D1963">
        <f>'906MP'!P1663</f>
        <v>0</v>
      </c>
      <c r="E1963">
        <f>'906MP'!X1663</f>
        <v>0</v>
      </c>
      <c r="F1963" t="str">
        <f t="shared" si="580"/>
        <v>0</v>
      </c>
      <c r="G1963" t="str">
        <f t="shared" si="581"/>
        <v>0</v>
      </c>
      <c r="H1963">
        <f>'906MP'!Y1663</f>
        <v>0</v>
      </c>
      <c r="I1963">
        <f>'906MP'!AK1663</f>
        <v>0</v>
      </c>
      <c r="J1963">
        <f>'906MP'!T1663</f>
        <v>0</v>
      </c>
      <c r="K1963">
        <f>'906MP'!AJ1663</f>
        <v>0</v>
      </c>
      <c r="L1963">
        <f>'906MP'!U1663</f>
        <v>0</v>
      </c>
      <c r="M1963" s="322" t="str">
        <f>IFERROR(VLOOKUP(A1963,PAR!$D$3:$E$53,2,FALSE),"nincs szervezet")</f>
        <v>nincs szervezet</v>
      </c>
      <c r="N1963" s="322" t="str">
        <f>VLOOKUP(F1963,PAR!$R$3:$S$5,2,FALSE)</f>
        <v>3 - egyik sem</v>
      </c>
      <c r="O1963" t="str">
        <f>IFERROR(VLOOKUP(J1963,PAR!$O$3:$P$5,2,FALSE),"nincs feladat")</f>
        <v>nincs feladat</v>
      </c>
      <c r="P1963" t="str">
        <f>IFERROR(VLOOKUP(G1963,PAR!$J$2:$M$19,4),"nincs rovat")</f>
        <v>nincs rovat</v>
      </c>
      <c r="Q1963" t="str">
        <f>IF(H1963&gt;0,VLOOKUP(H1963,PAR!$AA$3:$AC$187,3,FALSE),"nincs főkönyvi számla")</f>
        <v>nincs főkönyvi számla</v>
      </c>
      <c r="R1963" t="str">
        <f>IFERROR(VLOOKUP(K1963,PAR!$V$3:$X$438,3,FALSE),"000000 - Nincs COFOG")</f>
        <v>000000 - Nincs COFOG</v>
      </c>
      <c r="S1963">
        <f t="shared" si="582"/>
        <v>0</v>
      </c>
      <c r="T1963">
        <f t="shared" si="583"/>
        <v>0</v>
      </c>
      <c r="U1963" t="str">
        <f>IF('906MP'!J1663&gt;0,CONCATENATE('906MP'!J1663," - ",'906MP'!P1663,", ",'906MP'!E1663),"nincs megjegyzés")</f>
        <v>nincs megjegyzés</v>
      </c>
      <c r="V1963" t="str">
        <f t="shared" si="570"/>
        <v>0P0</v>
      </c>
      <c r="W1963" t="str">
        <f t="shared" si="571"/>
        <v>0P0</v>
      </c>
      <c r="X1963" t="str">
        <f t="shared" si="572"/>
        <v>P0</v>
      </c>
      <c r="Y1963" t="str">
        <f t="shared" si="573"/>
        <v>00</v>
      </c>
      <c r="Z1963" t="str">
        <f t="shared" si="584"/>
        <v>00</v>
      </c>
      <c r="AA1963" t="str">
        <f t="shared" si="574"/>
        <v>00</v>
      </c>
      <c r="AB1963" t="str">
        <f t="shared" si="575"/>
        <v>00</v>
      </c>
      <c r="AC1963" t="str">
        <f t="shared" si="576"/>
        <v>0P0</v>
      </c>
      <c r="AD1963" t="str">
        <f t="shared" si="577"/>
        <v>P00</v>
      </c>
      <c r="AE1963" t="str">
        <f t="shared" si="578"/>
        <v>0P0</v>
      </c>
      <c r="AF1963" t="str">
        <f t="shared" si="579"/>
        <v>P00</v>
      </c>
      <c r="AG1963" t="str">
        <f t="shared" si="585"/>
        <v>0P00</v>
      </c>
      <c r="AH1963" t="str">
        <f t="shared" si="586"/>
        <v>P000</v>
      </c>
      <c r="AI1963" t="str">
        <f t="shared" si="587"/>
        <v>0P00</v>
      </c>
      <c r="AJ1963" t="str">
        <f t="shared" si="588"/>
        <v>P000</v>
      </c>
    </row>
    <row r="1964" spans="1:36" x14ac:dyDescent="0.25">
      <c r="A1964" s="325" t="str">
        <f>CONCATENATE("P",'906MP'!M1664)</f>
        <v>P</v>
      </c>
      <c r="B1964">
        <f>'906MP'!H1664</f>
        <v>0</v>
      </c>
      <c r="C1964">
        <f>'906MP'!J1664</f>
        <v>0</v>
      </c>
      <c r="D1964">
        <f>'906MP'!P1664</f>
        <v>0</v>
      </c>
      <c r="E1964">
        <f>'906MP'!X1664</f>
        <v>0</v>
      </c>
      <c r="F1964" t="str">
        <f t="shared" si="580"/>
        <v>0</v>
      </c>
      <c r="G1964" t="str">
        <f t="shared" si="581"/>
        <v>0</v>
      </c>
      <c r="H1964">
        <f>'906MP'!Y1664</f>
        <v>0</v>
      </c>
      <c r="I1964">
        <f>'906MP'!AK1664</f>
        <v>0</v>
      </c>
      <c r="J1964">
        <f>'906MP'!T1664</f>
        <v>0</v>
      </c>
      <c r="K1964">
        <f>'906MP'!AJ1664</f>
        <v>0</v>
      </c>
      <c r="L1964">
        <f>'906MP'!U1664</f>
        <v>0</v>
      </c>
      <c r="M1964" s="322" t="str">
        <f>IFERROR(VLOOKUP(A1964,PAR!$D$3:$E$53,2,FALSE),"nincs szervezet")</f>
        <v>nincs szervezet</v>
      </c>
      <c r="N1964" s="322" t="str">
        <f>VLOOKUP(F1964,PAR!$R$3:$S$5,2,FALSE)</f>
        <v>3 - egyik sem</v>
      </c>
      <c r="O1964" t="str">
        <f>IFERROR(VLOOKUP(J1964,PAR!$O$3:$P$5,2,FALSE),"nincs feladat")</f>
        <v>nincs feladat</v>
      </c>
      <c r="P1964" t="str">
        <f>IFERROR(VLOOKUP(G1964,PAR!$J$2:$M$19,4),"nincs rovat")</f>
        <v>nincs rovat</v>
      </c>
      <c r="Q1964" t="str">
        <f>IF(H1964&gt;0,VLOOKUP(H1964,PAR!$AA$3:$AC$187,3,FALSE),"nincs főkönyvi számla")</f>
        <v>nincs főkönyvi számla</v>
      </c>
      <c r="R1964" t="str">
        <f>IFERROR(VLOOKUP(K1964,PAR!$V$3:$X$438,3,FALSE),"000000 - Nincs COFOG")</f>
        <v>000000 - Nincs COFOG</v>
      </c>
      <c r="S1964">
        <f t="shared" si="582"/>
        <v>0</v>
      </c>
      <c r="T1964">
        <f t="shared" si="583"/>
        <v>0</v>
      </c>
      <c r="U1964" t="str">
        <f>IF('906MP'!J1664&gt;0,CONCATENATE('906MP'!J1664," - ",'906MP'!P1664,", ",'906MP'!E1664),"nincs megjegyzés")</f>
        <v>nincs megjegyzés</v>
      </c>
      <c r="V1964" t="str">
        <f t="shared" si="570"/>
        <v>0P0</v>
      </c>
      <c r="W1964" t="str">
        <f t="shared" si="571"/>
        <v>0P0</v>
      </c>
      <c r="X1964" t="str">
        <f t="shared" si="572"/>
        <v>P0</v>
      </c>
      <c r="Y1964" t="str">
        <f t="shared" si="573"/>
        <v>00</v>
      </c>
      <c r="Z1964" t="str">
        <f t="shared" si="584"/>
        <v>00</v>
      </c>
      <c r="AA1964" t="str">
        <f t="shared" si="574"/>
        <v>00</v>
      </c>
      <c r="AB1964" t="str">
        <f t="shared" si="575"/>
        <v>00</v>
      </c>
      <c r="AC1964" t="str">
        <f t="shared" si="576"/>
        <v>0P0</v>
      </c>
      <c r="AD1964" t="str">
        <f t="shared" si="577"/>
        <v>P00</v>
      </c>
      <c r="AE1964" t="str">
        <f t="shared" si="578"/>
        <v>0P0</v>
      </c>
      <c r="AF1964" t="str">
        <f t="shared" si="579"/>
        <v>P00</v>
      </c>
      <c r="AG1964" t="str">
        <f t="shared" si="585"/>
        <v>0P00</v>
      </c>
      <c r="AH1964" t="str">
        <f t="shared" si="586"/>
        <v>P000</v>
      </c>
      <c r="AI1964" t="str">
        <f t="shared" si="587"/>
        <v>0P00</v>
      </c>
      <c r="AJ1964" t="str">
        <f t="shared" si="588"/>
        <v>P000</v>
      </c>
    </row>
    <row r="1965" spans="1:36" x14ac:dyDescent="0.25">
      <c r="A1965" s="325" t="str">
        <f>CONCATENATE("P",'906MP'!M1665)</f>
        <v>P</v>
      </c>
      <c r="B1965">
        <f>'906MP'!H1665</f>
        <v>0</v>
      </c>
      <c r="C1965">
        <f>'906MP'!J1665</f>
        <v>0</v>
      </c>
      <c r="D1965">
        <f>'906MP'!P1665</f>
        <v>0</v>
      </c>
      <c r="E1965">
        <f>'906MP'!X1665</f>
        <v>0</v>
      </c>
      <c r="F1965" t="str">
        <f t="shared" si="580"/>
        <v>0</v>
      </c>
      <c r="G1965" t="str">
        <f t="shared" si="581"/>
        <v>0</v>
      </c>
      <c r="H1965">
        <f>'906MP'!Y1665</f>
        <v>0</v>
      </c>
      <c r="I1965">
        <f>'906MP'!AK1665</f>
        <v>0</v>
      </c>
      <c r="J1965">
        <f>'906MP'!T1665</f>
        <v>0</v>
      </c>
      <c r="K1965">
        <f>'906MP'!AJ1665</f>
        <v>0</v>
      </c>
      <c r="L1965">
        <f>'906MP'!U1665</f>
        <v>0</v>
      </c>
      <c r="M1965" s="322" t="str">
        <f>IFERROR(VLOOKUP(A1965,PAR!$D$3:$E$53,2,FALSE),"nincs szervezet")</f>
        <v>nincs szervezet</v>
      </c>
      <c r="N1965" s="322" t="str">
        <f>VLOOKUP(F1965,PAR!$R$3:$S$5,2,FALSE)</f>
        <v>3 - egyik sem</v>
      </c>
      <c r="O1965" t="str">
        <f>IFERROR(VLOOKUP(J1965,PAR!$O$3:$P$5,2,FALSE),"nincs feladat")</f>
        <v>nincs feladat</v>
      </c>
      <c r="P1965" t="str">
        <f>IFERROR(VLOOKUP(G1965,PAR!$J$2:$M$19,4),"nincs rovat")</f>
        <v>nincs rovat</v>
      </c>
      <c r="Q1965" t="str">
        <f>IF(H1965&gt;0,VLOOKUP(H1965,PAR!$AA$3:$AC$187,3,FALSE),"nincs főkönyvi számla")</f>
        <v>nincs főkönyvi számla</v>
      </c>
      <c r="R1965" t="str">
        <f>IFERROR(VLOOKUP(K1965,PAR!$V$3:$X$438,3,FALSE),"000000 - Nincs COFOG")</f>
        <v>000000 - Nincs COFOG</v>
      </c>
      <c r="S1965">
        <f t="shared" si="582"/>
        <v>0</v>
      </c>
      <c r="T1965">
        <f t="shared" si="583"/>
        <v>0</v>
      </c>
      <c r="U1965" t="str">
        <f>IF('906MP'!J1665&gt;0,CONCATENATE('906MP'!J1665," - ",'906MP'!P1665,", ",'906MP'!E1665),"nincs megjegyzés")</f>
        <v>nincs megjegyzés</v>
      </c>
      <c r="V1965" t="str">
        <f t="shared" si="570"/>
        <v>0P0</v>
      </c>
      <c r="W1965" t="str">
        <f t="shared" si="571"/>
        <v>0P0</v>
      </c>
      <c r="X1965" t="str">
        <f t="shared" si="572"/>
        <v>P0</v>
      </c>
      <c r="Y1965" t="str">
        <f t="shared" si="573"/>
        <v>00</v>
      </c>
      <c r="Z1965" t="str">
        <f t="shared" si="584"/>
        <v>00</v>
      </c>
      <c r="AA1965" t="str">
        <f t="shared" si="574"/>
        <v>00</v>
      </c>
      <c r="AB1965" t="str">
        <f t="shared" si="575"/>
        <v>00</v>
      </c>
      <c r="AC1965" t="str">
        <f t="shared" si="576"/>
        <v>0P0</v>
      </c>
      <c r="AD1965" t="str">
        <f t="shared" si="577"/>
        <v>P00</v>
      </c>
      <c r="AE1965" t="str">
        <f t="shared" si="578"/>
        <v>0P0</v>
      </c>
      <c r="AF1965" t="str">
        <f t="shared" si="579"/>
        <v>P00</v>
      </c>
      <c r="AG1965" t="str">
        <f t="shared" si="585"/>
        <v>0P00</v>
      </c>
      <c r="AH1965" t="str">
        <f t="shared" si="586"/>
        <v>P000</v>
      </c>
      <c r="AI1965" t="str">
        <f t="shared" si="587"/>
        <v>0P00</v>
      </c>
      <c r="AJ1965" t="str">
        <f t="shared" si="588"/>
        <v>P000</v>
      </c>
    </row>
    <row r="1966" spans="1:36" x14ac:dyDescent="0.25">
      <c r="A1966" s="325" t="str">
        <f>CONCATENATE("P",'906MP'!M1666)</f>
        <v>P</v>
      </c>
      <c r="B1966">
        <f>'906MP'!H1666</f>
        <v>0</v>
      </c>
      <c r="C1966">
        <f>'906MP'!J1666</f>
        <v>0</v>
      </c>
      <c r="D1966">
        <f>'906MP'!P1666</f>
        <v>0</v>
      </c>
      <c r="E1966">
        <f>'906MP'!X1666</f>
        <v>0</v>
      </c>
      <c r="F1966" t="str">
        <f t="shared" si="580"/>
        <v>0</v>
      </c>
      <c r="G1966" t="str">
        <f t="shared" si="581"/>
        <v>0</v>
      </c>
      <c r="H1966">
        <f>'906MP'!Y1666</f>
        <v>0</v>
      </c>
      <c r="I1966">
        <f>'906MP'!AK1666</f>
        <v>0</v>
      </c>
      <c r="J1966">
        <f>'906MP'!T1666</f>
        <v>0</v>
      </c>
      <c r="K1966">
        <f>'906MP'!AJ1666</f>
        <v>0</v>
      </c>
      <c r="L1966">
        <f>'906MP'!U1666</f>
        <v>0</v>
      </c>
      <c r="M1966" s="322" t="str">
        <f>IFERROR(VLOOKUP(A1966,PAR!$D$3:$E$53,2,FALSE),"nincs szervezet")</f>
        <v>nincs szervezet</v>
      </c>
      <c r="N1966" s="322" t="str">
        <f>VLOOKUP(F1966,PAR!$R$3:$S$5,2,FALSE)</f>
        <v>3 - egyik sem</v>
      </c>
      <c r="O1966" t="str">
        <f>IFERROR(VLOOKUP(J1966,PAR!$O$3:$P$5,2,FALSE),"nincs feladat")</f>
        <v>nincs feladat</v>
      </c>
      <c r="P1966" t="str">
        <f>IFERROR(VLOOKUP(G1966,PAR!$J$2:$M$19,4),"nincs rovat")</f>
        <v>nincs rovat</v>
      </c>
      <c r="Q1966" t="str">
        <f>IF(H1966&gt;0,VLOOKUP(H1966,PAR!$AA$3:$AC$187,3,FALSE),"nincs főkönyvi számla")</f>
        <v>nincs főkönyvi számla</v>
      </c>
      <c r="R1966" t="str">
        <f>IFERROR(VLOOKUP(K1966,PAR!$V$3:$X$438,3,FALSE),"000000 - Nincs COFOG")</f>
        <v>000000 - Nincs COFOG</v>
      </c>
      <c r="S1966">
        <f t="shared" si="582"/>
        <v>0</v>
      </c>
      <c r="T1966">
        <f t="shared" si="583"/>
        <v>0</v>
      </c>
      <c r="U1966" t="str">
        <f>IF('906MP'!J1666&gt;0,CONCATENATE('906MP'!J1666," - ",'906MP'!P1666,", ",'906MP'!E1666),"nincs megjegyzés")</f>
        <v>nincs megjegyzés</v>
      </c>
      <c r="V1966" t="str">
        <f t="shared" si="570"/>
        <v>0P0</v>
      </c>
      <c r="W1966" t="str">
        <f t="shared" si="571"/>
        <v>0P0</v>
      </c>
      <c r="X1966" t="str">
        <f t="shared" si="572"/>
        <v>P0</v>
      </c>
      <c r="Y1966" t="str">
        <f t="shared" si="573"/>
        <v>00</v>
      </c>
      <c r="Z1966" t="str">
        <f t="shared" si="584"/>
        <v>00</v>
      </c>
      <c r="AA1966" t="str">
        <f t="shared" si="574"/>
        <v>00</v>
      </c>
      <c r="AB1966" t="str">
        <f t="shared" si="575"/>
        <v>00</v>
      </c>
      <c r="AC1966" t="str">
        <f t="shared" si="576"/>
        <v>0P0</v>
      </c>
      <c r="AD1966" t="str">
        <f t="shared" si="577"/>
        <v>P00</v>
      </c>
      <c r="AE1966" t="str">
        <f t="shared" si="578"/>
        <v>0P0</v>
      </c>
      <c r="AF1966" t="str">
        <f t="shared" si="579"/>
        <v>P00</v>
      </c>
      <c r="AG1966" t="str">
        <f t="shared" si="585"/>
        <v>0P00</v>
      </c>
      <c r="AH1966" t="str">
        <f t="shared" si="586"/>
        <v>P000</v>
      </c>
      <c r="AI1966" t="str">
        <f t="shared" si="587"/>
        <v>0P00</v>
      </c>
      <c r="AJ1966" t="str">
        <f t="shared" si="588"/>
        <v>P000</v>
      </c>
    </row>
    <row r="1967" spans="1:36" x14ac:dyDescent="0.25">
      <c r="A1967" s="325" t="str">
        <f>CONCATENATE("P",'906MP'!M1667)</f>
        <v>P</v>
      </c>
      <c r="B1967">
        <f>'906MP'!H1667</f>
        <v>0</v>
      </c>
      <c r="C1967">
        <f>'906MP'!J1667</f>
        <v>0</v>
      </c>
      <c r="D1967">
        <f>'906MP'!P1667</f>
        <v>0</v>
      </c>
      <c r="E1967">
        <f>'906MP'!X1667</f>
        <v>0</v>
      </c>
      <c r="F1967" t="str">
        <f t="shared" si="580"/>
        <v>0</v>
      </c>
      <c r="G1967" t="str">
        <f t="shared" si="581"/>
        <v>0</v>
      </c>
      <c r="H1967">
        <f>'906MP'!Y1667</f>
        <v>0</v>
      </c>
      <c r="I1967">
        <f>'906MP'!AK1667</f>
        <v>0</v>
      </c>
      <c r="J1967">
        <f>'906MP'!T1667</f>
        <v>0</v>
      </c>
      <c r="K1967">
        <f>'906MP'!AJ1667</f>
        <v>0</v>
      </c>
      <c r="L1967">
        <f>'906MP'!U1667</f>
        <v>0</v>
      </c>
      <c r="M1967" s="322" t="str">
        <f>IFERROR(VLOOKUP(A1967,PAR!$D$3:$E$53,2,FALSE),"nincs szervezet")</f>
        <v>nincs szervezet</v>
      </c>
      <c r="N1967" s="322" t="str">
        <f>VLOOKUP(F1967,PAR!$R$3:$S$5,2,FALSE)</f>
        <v>3 - egyik sem</v>
      </c>
      <c r="O1967" t="str">
        <f>IFERROR(VLOOKUP(J1967,PAR!$O$3:$P$5,2,FALSE),"nincs feladat")</f>
        <v>nincs feladat</v>
      </c>
      <c r="P1967" t="str">
        <f>IFERROR(VLOOKUP(G1967,PAR!$J$2:$M$19,4),"nincs rovat")</f>
        <v>nincs rovat</v>
      </c>
      <c r="Q1967" t="str">
        <f>IF(H1967&gt;0,VLOOKUP(H1967,PAR!$AA$3:$AC$187,3,FALSE),"nincs főkönyvi számla")</f>
        <v>nincs főkönyvi számla</v>
      </c>
      <c r="R1967" t="str">
        <f>IFERROR(VLOOKUP(K1967,PAR!$V$3:$X$438,3,FALSE),"000000 - Nincs COFOG")</f>
        <v>000000 - Nincs COFOG</v>
      </c>
      <c r="S1967">
        <f t="shared" si="582"/>
        <v>0</v>
      </c>
      <c r="T1967">
        <f t="shared" si="583"/>
        <v>0</v>
      </c>
      <c r="U1967" t="str">
        <f>IF('906MP'!J1667&gt;0,CONCATENATE('906MP'!J1667," - ",'906MP'!P1667,", ",'906MP'!E1667),"nincs megjegyzés")</f>
        <v>nincs megjegyzés</v>
      </c>
      <c r="V1967" t="str">
        <f t="shared" si="570"/>
        <v>0P0</v>
      </c>
      <c r="W1967" t="str">
        <f t="shared" si="571"/>
        <v>0P0</v>
      </c>
      <c r="X1967" t="str">
        <f t="shared" si="572"/>
        <v>P0</v>
      </c>
      <c r="Y1967" t="str">
        <f t="shared" si="573"/>
        <v>00</v>
      </c>
      <c r="Z1967" t="str">
        <f t="shared" si="584"/>
        <v>00</v>
      </c>
      <c r="AA1967" t="str">
        <f t="shared" si="574"/>
        <v>00</v>
      </c>
      <c r="AB1967" t="str">
        <f t="shared" si="575"/>
        <v>00</v>
      </c>
      <c r="AC1967" t="str">
        <f t="shared" si="576"/>
        <v>0P0</v>
      </c>
      <c r="AD1967" t="str">
        <f t="shared" si="577"/>
        <v>P00</v>
      </c>
      <c r="AE1967" t="str">
        <f t="shared" si="578"/>
        <v>0P0</v>
      </c>
      <c r="AF1967" t="str">
        <f t="shared" si="579"/>
        <v>P00</v>
      </c>
      <c r="AG1967" t="str">
        <f t="shared" si="585"/>
        <v>0P00</v>
      </c>
      <c r="AH1967" t="str">
        <f t="shared" si="586"/>
        <v>P000</v>
      </c>
      <c r="AI1967" t="str">
        <f t="shared" si="587"/>
        <v>0P00</v>
      </c>
      <c r="AJ1967" t="str">
        <f t="shared" si="588"/>
        <v>P000</v>
      </c>
    </row>
    <row r="1968" spans="1:36" x14ac:dyDescent="0.25">
      <c r="A1968" s="325" t="str">
        <f>CONCATENATE("P",'906MP'!M1668)</f>
        <v>P</v>
      </c>
      <c r="B1968">
        <f>'906MP'!H1668</f>
        <v>0</v>
      </c>
      <c r="C1968">
        <f>'906MP'!J1668</f>
        <v>0</v>
      </c>
      <c r="D1968">
        <f>'906MP'!P1668</f>
        <v>0</v>
      </c>
      <c r="E1968">
        <f>'906MP'!X1668</f>
        <v>0</v>
      </c>
      <c r="F1968" t="str">
        <f t="shared" si="580"/>
        <v>0</v>
      </c>
      <c r="G1968" t="str">
        <f t="shared" si="581"/>
        <v>0</v>
      </c>
      <c r="H1968">
        <f>'906MP'!Y1668</f>
        <v>0</v>
      </c>
      <c r="I1968">
        <f>'906MP'!AK1668</f>
        <v>0</v>
      </c>
      <c r="J1968">
        <f>'906MP'!T1668</f>
        <v>0</v>
      </c>
      <c r="K1968">
        <f>'906MP'!AJ1668</f>
        <v>0</v>
      </c>
      <c r="L1968">
        <f>'906MP'!U1668</f>
        <v>0</v>
      </c>
      <c r="M1968" s="322" t="str">
        <f>IFERROR(VLOOKUP(A1968,PAR!$D$3:$E$53,2,FALSE),"nincs szervezet")</f>
        <v>nincs szervezet</v>
      </c>
      <c r="N1968" s="322" t="str">
        <f>VLOOKUP(F1968,PAR!$R$3:$S$5,2,FALSE)</f>
        <v>3 - egyik sem</v>
      </c>
      <c r="O1968" t="str">
        <f>IFERROR(VLOOKUP(J1968,PAR!$O$3:$P$5,2,FALSE),"nincs feladat")</f>
        <v>nincs feladat</v>
      </c>
      <c r="P1968" t="str">
        <f>IFERROR(VLOOKUP(G1968,PAR!$J$2:$M$19,4),"nincs rovat")</f>
        <v>nincs rovat</v>
      </c>
      <c r="Q1968" t="str">
        <f>IF(H1968&gt;0,VLOOKUP(H1968,PAR!$AA$3:$AC$187,3,FALSE),"nincs főkönyvi számla")</f>
        <v>nincs főkönyvi számla</v>
      </c>
      <c r="R1968" t="str">
        <f>IFERROR(VLOOKUP(K1968,PAR!$V$3:$X$438,3,FALSE),"000000 - Nincs COFOG")</f>
        <v>000000 - Nincs COFOG</v>
      </c>
      <c r="S1968">
        <f t="shared" si="582"/>
        <v>0</v>
      </c>
      <c r="T1968">
        <f t="shared" si="583"/>
        <v>0</v>
      </c>
      <c r="U1968" t="str">
        <f>IF('906MP'!J1668&gt;0,CONCATENATE('906MP'!J1668," - ",'906MP'!P1668,", ",'906MP'!E1668),"nincs megjegyzés")</f>
        <v>nincs megjegyzés</v>
      </c>
      <c r="V1968" t="str">
        <f t="shared" si="570"/>
        <v>0P0</v>
      </c>
      <c r="W1968" t="str">
        <f t="shared" si="571"/>
        <v>0P0</v>
      </c>
      <c r="X1968" t="str">
        <f t="shared" si="572"/>
        <v>P0</v>
      </c>
      <c r="Y1968" t="str">
        <f t="shared" si="573"/>
        <v>00</v>
      </c>
      <c r="Z1968" t="str">
        <f t="shared" si="584"/>
        <v>00</v>
      </c>
      <c r="AA1968" t="str">
        <f t="shared" si="574"/>
        <v>00</v>
      </c>
      <c r="AB1968" t="str">
        <f t="shared" si="575"/>
        <v>00</v>
      </c>
      <c r="AC1968" t="str">
        <f t="shared" si="576"/>
        <v>0P0</v>
      </c>
      <c r="AD1968" t="str">
        <f t="shared" si="577"/>
        <v>P00</v>
      </c>
      <c r="AE1968" t="str">
        <f t="shared" si="578"/>
        <v>0P0</v>
      </c>
      <c r="AF1968" t="str">
        <f t="shared" si="579"/>
        <v>P00</v>
      </c>
      <c r="AG1968" t="str">
        <f t="shared" si="585"/>
        <v>0P00</v>
      </c>
      <c r="AH1968" t="str">
        <f t="shared" si="586"/>
        <v>P000</v>
      </c>
      <c r="AI1968" t="str">
        <f t="shared" si="587"/>
        <v>0P00</v>
      </c>
      <c r="AJ1968" t="str">
        <f t="shared" si="588"/>
        <v>P000</v>
      </c>
    </row>
    <row r="1969" spans="1:36" x14ac:dyDescent="0.25">
      <c r="A1969" s="325" t="str">
        <f>CONCATENATE("P",'906MP'!M1669)</f>
        <v>P</v>
      </c>
      <c r="B1969">
        <f>'906MP'!H1669</f>
        <v>0</v>
      </c>
      <c r="C1969">
        <f>'906MP'!J1669</f>
        <v>0</v>
      </c>
      <c r="D1969">
        <f>'906MP'!P1669</f>
        <v>0</v>
      </c>
      <c r="E1969">
        <f>'906MP'!X1669</f>
        <v>0</v>
      </c>
      <c r="F1969" t="str">
        <f t="shared" si="580"/>
        <v>0</v>
      </c>
      <c r="G1969" t="str">
        <f t="shared" si="581"/>
        <v>0</v>
      </c>
      <c r="H1969">
        <f>'906MP'!Y1669</f>
        <v>0</v>
      </c>
      <c r="I1969">
        <f>'906MP'!AK1669</f>
        <v>0</v>
      </c>
      <c r="J1969">
        <f>'906MP'!T1669</f>
        <v>0</v>
      </c>
      <c r="K1969">
        <f>'906MP'!AJ1669</f>
        <v>0</v>
      </c>
      <c r="L1969">
        <f>'906MP'!U1669</f>
        <v>0</v>
      </c>
      <c r="M1969" s="322" t="str">
        <f>IFERROR(VLOOKUP(A1969,PAR!$D$3:$E$53,2,FALSE),"nincs szervezet")</f>
        <v>nincs szervezet</v>
      </c>
      <c r="N1969" s="322" t="str">
        <f>VLOOKUP(F1969,PAR!$R$3:$S$5,2,FALSE)</f>
        <v>3 - egyik sem</v>
      </c>
      <c r="O1969" t="str">
        <f>IFERROR(VLOOKUP(J1969,PAR!$O$3:$P$5,2,FALSE),"nincs feladat")</f>
        <v>nincs feladat</v>
      </c>
      <c r="P1969" t="str">
        <f>IFERROR(VLOOKUP(G1969,PAR!$J$2:$M$19,4),"nincs rovat")</f>
        <v>nincs rovat</v>
      </c>
      <c r="Q1969" t="str">
        <f>IF(H1969&gt;0,VLOOKUP(H1969,PAR!$AA$3:$AC$187,3,FALSE),"nincs főkönyvi számla")</f>
        <v>nincs főkönyvi számla</v>
      </c>
      <c r="R1969" t="str">
        <f>IFERROR(VLOOKUP(K1969,PAR!$V$3:$X$438,3,FALSE),"000000 - Nincs COFOG")</f>
        <v>000000 - Nincs COFOG</v>
      </c>
      <c r="S1969">
        <f t="shared" si="582"/>
        <v>0</v>
      </c>
      <c r="T1969">
        <f t="shared" si="583"/>
        <v>0</v>
      </c>
      <c r="U1969" t="str">
        <f>IF('906MP'!J1669&gt;0,CONCATENATE('906MP'!J1669," - ",'906MP'!P1669,", ",'906MP'!E1669),"nincs megjegyzés")</f>
        <v>nincs megjegyzés</v>
      </c>
      <c r="V1969" t="str">
        <f t="shared" si="570"/>
        <v>0P0</v>
      </c>
      <c r="W1969" t="str">
        <f t="shared" si="571"/>
        <v>0P0</v>
      </c>
      <c r="X1969" t="str">
        <f t="shared" si="572"/>
        <v>P0</v>
      </c>
      <c r="Y1969" t="str">
        <f t="shared" si="573"/>
        <v>00</v>
      </c>
      <c r="Z1969" t="str">
        <f t="shared" si="584"/>
        <v>00</v>
      </c>
      <c r="AA1969" t="str">
        <f t="shared" si="574"/>
        <v>00</v>
      </c>
      <c r="AB1969" t="str">
        <f t="shared" si="575"/>
        <v>00</v>
      </c>
      <c r="AC1969" t="str">
        <f t="shared" si="576"/>
        <v>0P0</v>
      </c>
      <c r="AD1969" t="str">
        <f t="shared" si="577"/>
        <v>P00</v>
      </c>
      <c r="AE1969" t="str">
        <f t="shared" si="578"/>
        <v>0P0</v>
      </c>
      <c r="AF1969" t="str">
        <f t="shared" si="579"/>
        <v>P00</v>
      </c>
      <c r="AG1969" t="str">
        <f t="shared" si="585"/>
        <v>0P00</v>
      </c>
      <c r="AH1969" t="str">
        <f t="shared" si="586"/>
        <v>P000</v>
      </c>
      <c r="AI1969" t="str">
        <f t="shared" si="587"/>
        <v>0P00</v>
      </c>
      <c r="AJ1969" t="str">
        <f t="shared" si="588"/>
        <v>P000</v>
      </c>
    </row>
    <row r="1970" spans="1:36" x14ac:dyDescent="0.25">
      <c r="A1970" s="325" t="str">
        <f>CONCATENATE("P",'906MP'!M1670)</f>
        <v>P</v>
      </c>
      <c r="B1970">
        <f>'906MP'!H1670</f>
        <v>0</v>
      </c>
      <c r="C1970">
        <f>'906MP'!J1670</f>
        <v>0</v>
      </c>
      <c r="D1970">
        <f>'906MP'!P1670</f>
        <v>0</v>
      </c>
      <c r="E1970">
        <f>'906MP'!X1670</f>
        <v>0</v>
      </c>
      <c r="F1970" t="str">
        <f t="shared" si="580"/>
        <v>0</v>
      </c>
      <c r="G1970" t="str">
        <f t="shared" si="581"/>
        <v>0</v>
      </c>
      <c r="H1970">
        <f>'906MP'!Y1670</f>
        <v>0</v>
      </c>
      <c r="I1970">
        <f>'906MP'!AK1670</f>
        <v>0</v>
      </c>
      <c r="J1970">
        <f>'906MP'!T1670</f>
        <v>0</v>
      </c>
      <c r="K1970">
        <f>'906MP'!AJ1670</f>
        <v>0</v>
      </c>
      <c r="L1970">
        <f>'906MP'!U1670</f>
        <v>0</v>
      </c>
      <c r="M1970" s="322" t="str">
        <f>IFERROR(VLOOKUP(A1970,PAR!$D$3:$E$53,2,FALSE),"nincs szervezet")</f>
        <v>nincs szervezet</v>
      </c>
      <c r="N1970" s="322" t="str">
        <f>VLOOKUP(F1970,PAR!$R$3:$S$5,2,FALSE)</f>
        <v>3 - egyik sem</v>
      </c>
      <c r="O1970" t="str">
        <f>IFERROR(VLOOKUP(J1970,PAR!$O$3:$P$5,2,FALSE),"nincs feladat")</f>
        <v>nincs feladat</v>
      </c>
      <c r="P1970" t="str">
        <f>IFERROR(VLOOKUP(G1970,PAR!$J$2:$M$19,4),"nincs rovat")</f>
        <v>nincs rovat</v>
      </c>
      <c r="Q1970" t="str">
        <f>IF(H1970&gt;0,VLOOKUP(H1970,PAR!$AA$3:$AC$187,3,FALSE),"nincs főkönyvi számla")</f>
        <v>nincs főkönyvi számla</v>
      </c>
      <c r="R1970" t="str">
        <f>IFERROR(VLOOKUP(K1970,PAR!$V$3:$X$438,3,FALSE),"000000 - Nincs COFOG")</f>
        <v>000000 - Nincs COFOG</v>
      </c>
      <c r="S1970">
        <f t="shared" si="582"/>
        <v>0</v>
      </c>
      <c r="T1970">
        <f t="shared" si="583"/>
        <v>0</v>
      </c>
      <c r="U1970" t="str">
        <f>IF('906MP'!J1670&gt;0,CONCATENATE('906MP'!J1670," - ",'906MP'!P1670,", ",'906MP'!E1670),"nincs megjegyzés")</f>
        <v>nincs megjegyzés</v>
      </c>
      <c r="V1970" t="str">
        <f t="shared" si="570"/>
        <v>0P0</v>
      </c>
      <c r="W1970" t="str">
        <f t="shared" si="571"/>
        <v>0P0</v>
      </c>
      <c r="X1970" t="str">
        <f t="shared" si="572"/>
        <v>P0</v>
      </c>
      <c r="Y1970" t="str">
        <f t="shared" si="573"/>
        <v>00</v>
      </c>
      <c r="Z1970" t="str">
        <f t="shared" si="584"/>
        <v>00</v>
      </c>
      <c r="AA1970" t="str">
        <f t="shared" si="574"/>
        <v>00</v>
      </c>
      <c r="AB1970" t="str">
        <f t="shared" si="575"/>
        <v>00</v>
      </c>
      <c r="AC1970" t="str">
        <f t="shared" si="576"/>
        <v>0P0</v>
      </c>
      <c r="AD1970" t="str">
        <f t="shared" si="577"/>
        <v>P00</v>
      </c>
      <c r="AE1970" t="str">
        <f t="shared" si="578"/>
        <v>0P0</v>
      </c>
      <c r="AF1970" t="str">
        <f t="shared" si="579"/>
        <v>P00</v>
      </c>
      <c r="AG1970" t="str">
        <f t="shared" si="585"/>
        <v>0P00</v>
      </c>
      <c r="AH1970" t="str">
        <f t="shared" si="586"/>
        <v>P000</v>
      </c>
      <c r="AI1970" t="str">
        <f t="shared" si="587"/>
        <v>0P00</v>
      </c>
      <c r="AJ1970" t="str">
        <f t="shared" si="588"/>
        <v>P000</v>
      </c>
    </row>
    <row r="1971" spans="1:36" x14ac:dyDescent="0.25">
      <c r="A1971" s="325" t="str">
        <f>CONCATENATE("P",'906MP'!M1671)</f>
        <v>P</v>
      </c>
      <c r="B1971">
        <f>'906MP'!H1671</f>
        <v>0</v>
      </c>
      <c r="C1971">
        <f>'906MP'!J1671</f>
        <v>0</v>
      </c>
      <c r="D1971">
        <f>'906MP'!P1671</f>
        <v>0</v>
      </c>
      <c r="E1971">
        <f>'906MP'!X1671</f>
        <v>0</v>
      </c>
      <c r="F1971" t="str">
        <f t="shared" si="580"/>
        <v>0</v>
      </c>
      <c r="G1971" t="str">
        <f t="shared" si="581"/>
        <v>0</v>
      </c>
      <c r="H1971">
        <f>'906MP'!Y1671</f>
        <v>0</v>
      </c>
      <c r="I1971">
        <f>'906MP'!AK1671</f>
        <v>0</v>
      </c>
      <c r="J1971">
        <f>'906MP'!T1671</f>
        <v>0</v>
      </c>
      <c r="K1971">
        <f>'906MP'!AJ1671</f>
        <v>0</v>
      </c>
      <c r="L1971">
        <f>'906MP'!U1671</f>
        <v>0</v>
      </c>
      <c r="M1971" s="322" t="str">
        <f>IFERROR(VLOOKUP(A1971,PAR!$D$3:$E$53,2,FALSE),"nincs szervezet")</f>
        <v>nincs szervezet</v>
      </c>
      <c r="N1971" s="322" t="str">
        <f>VLOOKUP(F1971,PAR!$R$3:$S$5,2,FALSE)</f>
        <v>3 - egyik sem</v>
      </c>
      <c r="O1971" t="str">
        <f>IFERROR(VLOOKUP(J1971,PAR!$O$3:$P$5,2,FALSE),"nincs feladat")</f>
        <v>nincs feladat</v>
      </c>
      <c r="P1971" t="str">
        <f>IFERROR(VLOOKUP(G1971,PAR!$J$2:$M$19,4),"nincs rovat")</f>
        <v>nincs rovat</v>
      </c>
      <c r="Q1971" t="str">
        <f>IF(H1971&gt;0,VLOOKUP(H1971,PAR!$AA$3:$AC$187,3,FALSE),"nincs főkönyvi számla")</f>
        <v>nincs főkönyvi számla</v>
      </c>
      <c r="R1971" t="str">
        <f>IFERROR(VLOOKUP(K1971,PAR!$V$3:$X$438,3,FALSE),"000000 - Nincs COFOG")</f>
        <v>000000 - Nincs COFOG</v>
      </c>
      <c r="S1971">
        <f t="shared" si="582"/>
        <v>0</v>
      </c>
      <c r="T1971">
        <f t="shared" si="583"/>
        <v>0</v>
      </c>
      <c r="U1971" t="str">
        <f>IF('906MP'!J1671&gt;0,CONCATENATE('906MP'!J1671," - ",'906MP'!P1671,", ",'906MP'!E1671),"nincs megjegyzés")</f>
        <v>nincs megjegyzés</v>
      </c>
      <c r="V1971" t="str">
        <f t="shared" si="570"/>
        <v>0P0</v>
      </c>
      <c r="W1971" t="str">
        <f t="shared" si="571"/>
        <v>0P0</v>
      </c>
      <c r="X1971" t="str">
        <f t="shared" si="572"/>
        <v>P0</v>
      </c>
      <c r="Y1971" t="str">
        <f t="shared" si="573"/>
        <v>00</v>
      </c>
      <c r="Z1971" t="str">
        <f t="shared" si="584"/>
        <v>00</v>
      </c>
      <c r="AA1971" t="str">
        <f t="shared" si="574"/>
        <v>00</v>
      </c>
      <c r="AB1971" t="str">
        <f t="shared" si="575"/>
        <v>00</v>
      </c>
      <c r="AC1971" t="str">
        <f t="shared" si="576"/>
        <v>0P0</v>
      </c>
      <c r="AD1971" t="str">
        <f t="shared" si="577"/>
        <v>P00</v>
      </c>
      <c r="AE1971" t="str">
        <f t="shared" si="578"/>
        <v>0P0</v>
      </c>
      <c r="AF1971" t="str">
        <f t="shared" si="579"/>
        <v>P00</v>
      </c>
      <c r="AG1971" t="str">
        <f t="shared" si="585"/>
        <v>0P00</v>
      </c>
      <c r="AH1971" t="str">
        <f t="shared" si="586"/>
        <v>P000</v>
      </c>
      <c r="AI1971" t="str">
        <f t="shared" si="587"/>
        <v>0P00</v>
      </c>
      <c r="AJ1971" t="str">
        <f t="shared" si="588"/>
        <v>P000</v>
      </c>
    </row>
    <row r="1972" spans="1:36" x14ac:dyDescent="0.25">
      <c r="A1972" s="325" t="str">
        <f>CONCATENATE("P",'906MP'!M1672)</f>
        <v>P</v>
      </c>
      <c r="B1972">
        <f>'906MP'!H1672</f>
        <v>0</v>
      </c>
      <c r="C1972">
        <f>'906MP'!J1672</f>
        <v>0</v>
      </c>
      <c r="D1972">
        <f>'906MP'!P1672</f>
        <v>0</v>
      </c>
      <c r="E1972">
        <f>'906MP'!X1672</f>
        <v>0</v>
      </c>
      <c r="F1972" t="str">
        <f t="shared" si="580"/>
        <v>0</v>
      </c>
      <c r="G1972" t="str">
        <f t="shared" si="581"/>
        <v>0</v>
      </c>
      <c r="H1972">
        <f>'906MP'!Y1672</f>
        <v>0</v>
      </c>
      <c r="I1972">
        <f>'906MP'!AK1672</f>
        <v>0</v>
      </c>
      <c r="J1972">
        <f>'906MP'!T1672</f>
        <v>0</v>
      </c>
      <c r="K1972">
        <f>'906MP'!AJ1672</f>
        <v>0</v>
      </c>
      <c r="L1972">
        <f>'906MP'!U1672</f>
        <v>0</v>
      </c>
      <c r="M1972" s="322" t="str">
        <f>IFERROR(VLOOKUP(A1972,PAR!$D$3:$E$53,2,FALSE),"nincs szervezet")</f>
        <v>nincs szervezet</v>
      </c>
      <c r="N1972" s="322" t="str">
        <f>VLOOKUP(F1972,PAR!$R$3:$S$5,2,FALSE)</f>
        <v>3 - egyik sem</v>
      </c>
      <c r="O1972" t="str">
        <f>IFERROR(VLOOKUP(J1972,PAR!$O$3:$P$5,2,FALSE),"nincs feladat")</f>
        <v>nincs feladat</v>
      </c>
      <c r="P1972" t="str">
        <f>IFERROR(VLOOKUP(G1972,PAR!$J$2:$M$19,4),"nincs rovat")</f>
        <v>nincs rovat</v>
      </c>
      <c r="Q1972" t="str">
        <f>IF(H1972&gt;0,VLOOKUP(H1972,PAR!$AA$3:$AC$187,3,FALSE),"nincs főkönyvi számla")</f>
        <v>nincs főkönyvi számla</v>
      </c>
      <c r="R1972" t="str">
        <f>IFERROR(VLOOKUP(K1972,PAR!$V$3:$X$438,3,FALSE),"000000 - Nincs COFOG")</f>
        <v>000000 - Nincs COFOG</v>
      </c>
      <c r="S1972">
        <f t="shared" si="582"/>
        <v>0</v>
      </c>
      <c r="T1972">
        <f t="shared" si="583"/>
        <v>0</v>
      </c>
      <c r="U1972" t="str">
        <f>IF('906MP'!J1672&gt;0,CONCATENATE('906MP'!J1672," - ",'906MP'!P1672,", ",'906MP'!E1672),"nincs megjegyzés")</f>
        <v>nincs megjegyzés</v>
      </c>
      <c r="V1972" t="str">
        <f t="shared" si="570"/>
        <v>0P0</v>
      </c>
      <c r="W1972" t="str">
        <f t="shared" si="571"/>
        <v>0P0</v>
      </c>
      <c r="X1972" t="str">
        <f t="shared" si="572"/>
        <v>P0</v>
      </c>
      <c r="Y1972" t="str">
        <f t="shared" si="573"/>
        <v>00</v>
      </c>
      <c r="Z1972" t="str">
        <f t="shared" si="584"/>
        <v>00</v>
      </c>
      <c r="AA1972" t="str">
        <f t="shared" si="574"/>
        <v>00</v>
      </c>
      <c r="AB1972" t="str">
        <f t="shared" si="575"/>
        <v>00</v>
      </c>
      <c r="AC1972" t="str">
        <f t="shared" si="576"/>
        <v>0P0</v>
      </c>
      <c r="AD1972" t="str">
        <f t="shared" si="577"/>
        <v>P00</v>
      </c>
      <c r="AE1972" t="str">
        <f t="shared" si="578"/>
        <v>0P0</v>
      </c>
      <c r="AF1972" t="str">
        <f t="shared" si="579"/>
        <v>P00</v>
      </c>
      <c r="AG1972" t="str">
        <f t="shared" si="585"/>
        <v>0P00</v>
      </c>
      <c r="AH1972" t="str">
        <f t="shared" si="586"/>
        <v>P000</v>
      </c>
      <c r="AI1972" t="str">
        <f t="shared" si="587"/>
        <v>0P00</v>
      </c>
      <c r="AJ1972" t="str">
        <f t="shared" si="588"/>
        <v>P000</v>
      </c>
    </row>
    <row r="1973" spans="1:36" x14ac:dyDescent="0.25">
      <c r="A1973" s="325" t="str">
        <f>CONCATENATE("P",'906MP'!M1673)</f>
        <v>P</v>
      </c>
      <c r="B1973">
        <f>'906MP'!H1673</f>
        <v>0</v>
      </c>
      <c r="C1973">
        <f>'906MP'!J1673</f>
        <v>0</v>
      </c>
      <c r="D1973">
        <f>'906MP'!P1673</f>
        <v>0</v>
      </c>
      <c r="E1973">
        <f>'906MP'!X1673</f>
        <v>0</v>
      </c>
      <c r="F1973" t="str">
        <f t="shared" si="580"/>
        <v>0</v>
      </c>
      <c r="G1973" t="str">
        <f t="shared" si="581"/>
        <v>0</v>
      </c>
      <c r="H1973">
        <f>'906MP'!Y1673</f>
        <v>0</v>
      </c>
      <c r="I1973">
        <f>'906MP'!AK1673</f>
        <v>0</v>
      </c>
      <c r="J1973">
        <f>'906MP'!T1673</f>
        <v>0</v>
      </c>
      <c r="K1973">
        <f>'906MP'!AJ1673</f>
        <v>0</v>
      </c>
      <c r="L1973">
        <f>'906MP'!U1673</f>
        <v>0</v>
      </c>
      <c r="M1973" s="322" t="str">
        <f>IFERROR(VLOOKUP(A1973,PAR!$D$3:$E$53,2,FALSE),"nincs szervezet")</f>
        <v>nincs szervezet</v>
      </c>
      <c r="N1973" s="322" t="str">
        <f>VLOOKUP(F1973,PAR!$R$3:$S$5,2,FALSE)</f>
        <v>3 - egyik sem</v>
      </c>
      <c r="O1973" t="str">
        <f>IFERROR(VLOOKUP(J1973,PAR!$O$3:$P$5,2,FALSE),"nincs feladat")</f>
        <v>nincs feladat</v>
      </c>
      <c r="P1973" t="str">
        <f>IFERROR(VLOOKUP(G1973,PAR!$J$2:$M$19,4),"nincs rovat")</f>
        <v>nincs rovat</v>
      </c>
      <c r="Q1973" t="str">
        <f>IF(H1973&gt;0,VLOOKUP(H1973,PAR!$AA$3:$AC$187,3,FALSE),"nincs főkönyvi számla")</f>
        <v>nincs főkönyvi számla</v>
      </c>
      <c r="R1973" t="str">
        <f>IFERROR(VLOOKUP(K1973,PAR!$V$3:$X$438,3,FALSE),"000000 - Nincs COFOG")</f>
        <v>000000 - Nincs COFOG</v>
      </c>
      <c r="S1973">
        <f t="shared" si="582"/>
        <v>0</v>
      </c>
      <c r="T1973">
        <f t="shared" si="583"/>
        <v>0</v>
      </c>
      <c r="U1973" t="str">
        <f>IF('906MP'!J1673&gt;0,CONCATENATE('906MP'!J1673," - ",'906MP'!P1673,", ",'906MP'!E1673),"nincs megjegyzés")</f>
        <v>nincs megjegyzés</v>
      </c>
      <c r="V1973" t="str">
        <f t="shared" si="570"/>
        <v>0P0</v>
      </c>
      <c r="W1973" t="str">
        <f t="shared" si="571"/>
        <v>0P0</v>
      </c>
      <c r="X1973" t="str">
        <f t="shared" si="572"/>
        <v>P0</v>
      </c>
      <c r="Y1973" t="str">
        <f t="shared" si="573"/>
        <v>00</v>
      </c>
      <c r="Z1973" t="str">
        <f t="shared" si="584"/>
        <v>00</v>
      </c>
      <c r="AA1973" t="str">
        <f t="shared" si="574"/>
        <v>00</v>
      </c>
      <c r="AB1973" t="str">
        <f t="shared" si="575"/>
        <v>00</v>
      </c>
      <c r="AC1973" t="str">
        <f t="shared" si="576"/>
        <v>0P0</v>
      </c>
      <c r="AD1973" t="str">
        <f t="shared" si="577"/>
        <v>P00</v>
      </c>
      <c r="AE1973" t="str">
        <f t="shared" si="578"/>
        <v>0P0</v>
      </c>
      <c r="AF1973" t="str">
        <f t="shared" si="579"/>
        <v>P00</v>
      </c>
      <c r="AG1973" t="str">
        <f t="shared" si="585"/>
        <v>0P00</v>
      </c>
      <c r="AH1973" t="str">
        <f t="shared" si="586"/>
        <v>P000</v>
      </c>
      <c r="AI1973" t="str">
        <f t="shared" si="587"/>
        <v>0P00</v>
      </c>
      <c r="AJ1973" t="str">
        <f t="shared" si="588"/>
        <v>P000</v>
      </c>
    </row>
    <row r="1974" spans="1:36" x14ac:dyDescent="0.25">
      <c r="A1974" s="325" t="str">
        <f>CONCATENATE("P",'906MP'!M1674)</f>
        <v>P</v>
      </c>
      <c r="B1974">
        <f>'906MP'!H1674</f>
        <v>0</v>
      </c>
      <c r="C1974">
        <f>'906MP'!J1674</f>
        <v>0</v>
      </c>
      <c r="D1974">
        <f>'906MP'!P1674</f>
        <v>0</v>
      </c>
      <c r="E1974">
        <f>'906MP'!X1674</f>
        <v>0</v>
      </c>
      <c r="F1974" t="str">
        <f t="shared" si="580"/>
        <v>0</v>
      </c>
      <c r="G1974" t="str">
        <f t="shared" si="581"/>
        <v>0</v>
      </c>
      <c r="H1974">
        <f>'906MP'!Y1674</f>
        <v>0</v>
      </c>
      <c r="I1974">
        <f>'906MP'!AK1674</f>
        <v>0</v>
      </c>
      <c r="J1974">
        <f>'906MP'!T1674</f>
        <v>0</v>
      </c>
      <c r="K1974">
        <f>'906MP'!AJ1674</f>
        <v>0</v>
      </c>
      <c r="L1974">
        <f>'906MP'!U1674</f>
        <v>0</v>
      </c>
      <c r="M1974" s="322" t="str">
        <f>IFERROR(VLOOKUP(A1974,PAR!$D$3:$E$53,2,FALSE),"nincs szervezet")</f>
        <v>nincs szervezet</v>
      </c>
      <c r="N1974" s="322" t="str">
        <f>VLOOKUP(F1974,PAR!$R$3:$S$5,2,FALSE)</f>
        <v>3 - egyik sem</v>
      </c>
      <c r="O1974" t="str">
        <f>IFERROR(VLOOKUP(J1974,PAR!$O$3:$P$5,2,FALSE),"nincs feladat")</f>
        <v>nincs feladat</v>
      </c>
      <c r="P1974" t="str">
        <f>IFERROR(VLOOKUP(G1974,PAR!$J$2:$M$19,4),"nincs rovat")</f>
        <v>nincs rovat</v>
      </c>
      <c r="Q1974" t="str">
        <f>IF(H1974&gt;0,VLOOKUP(H1974,PAR!$AA$3:$AC$187,3,FALSE),"nincs főkönyvi számla")</f>
        <v>nincs főkönyvi számla</v>
      </c>
      <c r="R1974" t="str">
        <f>IFERROR(VLOOKUP(K1974,PAR!$V$3:$X$438,3,FALSE),"000000 - Nincs COFOG")</f>
        <v>000000 - Nincs COFOG</v>
      </c>
      <c r="S1974">
        <f t="shared" si="582"/>
        <v>0</v>
      </c>
      <c r="T1974">
        <f t="shared" si="583"/>
        <v>0</v>
      </c>
      <c r="U1974" t="str">
        <f>IF('906MP'!J1674&gt;0,CONCATENATE('906MP'!J1674," - ",'906MP'!P1674,", ",'906MP'!E1674),"nincs megjegyzés")</f>
        <v>nincs megjegyzés</v>
      </c>
      <c r="V1974" t="str">
        <f t="shared" si="570"/>
        <v>0P0</v>
      </c>
      <c r="W1974" t="str">
        <f t="shared" si="571"/>
        <v>0P0</v>
      </c>
      <c r="X1974" t="str">
        <f t="shared" si="572"/>
        <v>P0</v>
      </c>
      <c r="Y1974" t="str">
        <f t="shared" si="573"/>
        <v>00</v>
      </c>
      <c r="Z1974" t="str">
        <f t="shared" si="584"/>
        <v>00</v>
      </c>
      <c r="AA1974" t="str">
        <f t="shared" si="574"/>
        <v>00</v>
      </c>
      <c r="AB1974" t="str">
        <f t="shared" si="575"/>
        <v>00</v>
      </c>
      <c r="AC1974" t="str">
        <f t="shared" si="576"/>
        <v>0P0</v>
      </c>
      <c r="AD1974" t="str">
        <f t="shared" si="577"/>
        <v>P00</v>
      </c>
      <c r="AE1974" t="str">
        <f t="shared" si="578"/>
        <v>0P0</v>
      </c>
      <c r="AF1974" t="str">
        <f t="shared" si="579"/>
        <v>P00</v>
      </c>
      <c r="AG1974" t="str">
        <f t="shared" si="585"/>
        <v>0P00</v>
      </c>
      <c r="AH1974" t="str">
        <f t="shared" si="586"/>
        <v>P000</v>
      </c>
      <c r="AI1974" t="str">
        <f t="shared" si="587"/>
        <v>0P00</v>
      </c>
      <c r="AJ1974" t="str">
        <f t="shared" si="588"/>
        <v>P000</v>
      </c>
    </row>
    <row r="1975" spans="1:36" x14ac:dyDescent="0.25">
      <c r="A1975" s="325" t="str">
        <f>CONCATENATE("P",'906MP'!M1675)</f>
        <v>P</v>
      </c>
      <c r="B1975">
        <f>'906MP'!H1675</f>
        <v>0</v>
      </c>
      <c r="C1975">
        <f>'906MP'!J1675</f>
        <v>0</v>
      </c>
      <c r="D1975">
        <f>'906MP'!P1675</f>
        <v>0</v>
      </c>
      <c r="E1975">
        <f>'906MP'!X1675</f>
        <v>0</v>
      </c>
      <c r="F1975" t="str">
        <f t="shared" si="580"/>
        <v>0</v>
      </c>
      <c r="G1975" t="str">
        <f t="shared" si="581"/>
        <v>0</v>
      </c>
      <c r="H1975">
        <f>'906MP'!Y1675</f>
        <v>0</v>
      </c>
      <c r="I1975">
        <f>'906MP'!AK1675</f>
        <v>0</v>
      </c>
      <c r="J1975">
        <f>'906MP'!T1675</f>
        <v>0</v>
      </c>
      <c r="K1975">
        <f>'906MP'!AJ1675</f>
        <v>0</v>
      </c>
      <c r="L1975">
        <f>'906MP'!U1675</f>
        <v>0</v>
      </c>
      <c r="M1975" s="322" t="str">
        <f>IFERROR(VLOOKUP(A1975,PAR!$D$3:$E$53,2,FALSE),"nincs szervezet")</f>
        <v>nincs szervezet</v>
      </c>
      <c r="N1975" s="322" t="str">
        <f>VLOOKUP(F1975,PAR!$R$3:$S$5,2,FALSE)</f>
        <v>3 - egyik sem</v>
      </c>
      <c r="O1975" t="str">
        <f>IFERROR(VLOOKUP(J1975,PAR!$O$3:$P$5,2,FALSE),"nincs feladat")</f>
        <v>nincs feladat</v>
      </c>
      <c r="P1975" t="str">
        <f>IFERROR(VLOOKUP(G1975,PAR!$J$2:$M$19,4),"nincs rovat")</f>
        <v>nincs rovat</v>
      </c>
      <c r="Q1975" t="str">
        <f>IF(H1975&gt;0,VLOOKUP(H1975,PAR!$AA$3:$AC$187,3,FALSE),"nincs főkönyvi számla")</f>
        <v>nincs főkönyvi számla</v>
      </c>
      <c r="R1975" t="str">
        <f>IFERROR(VLOOKUP(K1975,PAR!$V$3:$X$438,3,FALSE),"000000 - Nincs COFOG")</f>
        <v>000000 - Nincs COFOG</v>
      </c>
      <c r="S1975">
        <f t="shared" si="582"/>
        <v>0</v>
      </c>
      <c r="T1975">
        <f t="shared" si="583"/>
        <v>0</v>
      </c>
      <c r="U1975" t="str">
        <f>IF('906MP'!J1675&gt;0,CONCATENATE('906MP'!J1675," - ",'906MP'!P1675,", ",'906MP'!E1675),"nincs megjegyzés")</f>
        <v>nincs megjegyzés</v>
      </c>
      <c r="V1975" t="str">
        <f t="shared" si="570"/>
        <v>0P0</v>
      </c>
      <c r="W1975" t="str">
        <f t="shared" si="571"/>
        <v>0P0</v>
      </c>
      <c r="X1975" t="str">
        <f t="shared" si="572"/>
        <v>P0</v>
      </c>
      <c r="Y1975" t="str">
        <f t="shared" si="573"/>
        <v>00</v>
      </c>
      <c r="Z1975" t="str">
        <f t="shared" si="584"/>
        <v>00</v>
      </c>
      <c r="AA1975" t="str">
        <f t="shared" si="574"/>
        <v>00</v>
      </c>
      <c r="AB1975" t="str">
        <f t="shared" si="575"/>
        <v>00</v>
      </c>
      <c r="AC1975" t="str">
        <f t="shared" si="576"/>
        <v>0P0</v>
      </c>
      <c r="AD1975" t="str">
        <f t="shared" si="577"/>
        <v>P00</v>
      </c>
      <c r="AE1975" t="str">
        <f t="shared" si="578"/>
        <v>0P0</v>
      </c>
      <c r="AF1975" t="str">
        <f t="shared" si="579"/>
        <v>P00</v>
      </c>
      <c r="AG1975" t="str">
        <f t="shared" si="585"/>
        <v>0P00</v>
      </c>
      <c r="AH1975" t="str">
        <f t="shared" si="586"/>
        <v>P000</v>
      </c>
      <c r="AI1975" t="str">
        <f t="shared" si="587"/>
        <v>0P00</v>
      </c>
      <c r="AJ1975" t="str">
        <f t="shared" si="588"/>
        <v>P000</v>
      </c>
    </row>
    <row r="1976" spans="1:36" x14ac:dyDescent="0.25">
      <c r="A1976" s="325" t="str">
        <f>CONCATENATE("P",'906MP'!M1676)</f>
        <v>P</v>
      </c>
      <c r="B1976">
        <f>'906MP'!H1676</f>
        <v>0</v>
      </c>
      <c r="C1976">
        <f>'906MP'!J1676</f>
        <v>0</v>
      </c>
      <c r="D1976">
        <f>'906MP'!P1676</f>
        <v>0</v>
      </c>
      <c r="E1976">
        <f>'906MP'!X1676</f>
        <v>0</v>
      </c>
      <c r="F1976" t="str">
        <f t="shared" si="580"/>
        <v>0</v>
      </c>
      <c r="G1976" t="str">
        <f t="shared" si="581"/>
        <v>0</v>
      </c>
      <c r="H1976">
        <f>'906MP'!Y1676</f>
        <v>0</v>
      </c>
      <c r="I1976">
        <f>'906MP'!AK1676</f>
        <v>0</v>
      </c>
      <c r="J1976">
        <f>'906MP'!T1676</f>
        <v>0</v>
      </c>
      <c r="K1976">
        <f>'906MP'!AJ1676</f>
        <v>0</v>
      </c>
      <c r="L1976">
        <f>'906MP'!U1676</f>
        <v>0</v>
      </c>
      <c r="M1976" s="322" t="str">
        <f>IFERROR(VLOOKUP(A1976,PAR!$D$3:$E$53,2,FALSE),"nincs szervezet")</f>
        <v>nincs szervezet</v>
      </c>
      <c r="N1976" s="322" t="str">
        <f>VLOOKUP(F1976,PAR!$R$3:$S$5,2,FALSE)</f>
        <v>3 - egyik sem</v>
      </c>
      <c r="O1976" t="str">
        <f>IFERROR(VLOOKUP(J1976,PAR!$O$3:$P$5,2,FALSE),"nincs feladat")</f>
        <v>nincs feladat</v>
      </c>
      <c r="P1976" t="str">
        <f>IFERROR(VLOOKUP(G1976,PAR!$J$2:$M$19,4),"nincs rovat")</f>
        <v>nincs rovat</v>
      </c>
      <c r="Q1976" t="str">
        <f>IF(H1976&gt;0,VLOOKUP(H1976,PAR!$AA$3:$AC$187,3,FALSE),"nincs főkönyvi számla")</f>
        <v>nincs főkönyvi számla</v>
      </c>
      <c r="R1976" t="str">
        <f>IFERROR(VLOOKUP(K1976,PAR!$V$3:$X$438,3,FALSE),"000000 - Nincs COFOG")</f>
        <v>000000 - Nincs COFOG</v>
      </c>
      <c r="S1976">
        <f t="shared" si="582"/>
        <v>0</v>
      </c>
      <c r="T1976">
        <f t="shared" si="583"/>
        <v>0</v>
      </c>
      <c r="U1976" t="str">
        <f>IF('906MP'!J1676&gt;0,CONCATENATE('906MP'!J1676," - ",'906MP'!P1676,", ",'906MP'!E1676),"nincs megjegyzés")</f>
        <v>nincs megjegyzés</v>
      </c>
      <c r="V1976" t="str">
        <f t="shared" si="570"/>
        <v>0P0</v>
      </c>
      <c r="W1976" t="str">
        <f t="shared" si="571"/>
        <v>0P0</v>
      </c>
      <c r="X1976" t="str">
        <f t="shared" si="572"/>
        <v>P0</v>
      </c>
      <c r="Y1976" t="str">
        <f t="shared" si="573"/>
        <v>00</v>
      </c>
      <c r="Z1976" t="str">
        <f t="shared" si="584"/>
        <v>00</v>
      </c>
      <c r="AA1976" t="str">
        <f t="shared" si="574"/>
        <v>00</v>
      </c>
      <c r="AB1976" t="str">
        <f t="shared" si="575"/>
        <v>00</v>
      </c>
      <c r="AC1976" t="str">
        <f t="shared" si="576"/>
        <v>0P0</v>
      </c>
      <c r="AD1976" t="str">
        <f t="shared" si="577"/>
        <v>P00</v>
      </c>
      <c r="AE1976" t="str">
        <f t="shared" si="578"/>
        <v>0P0</v>
      </c>
      <c r="AF1976" t="str">
        <f t="shared" si="579"/>
        <v>P00</v>
      </c>
      <c r="AG1976" t="str">
        <f t="shared" si="585"/>
        <v>0P00</v>
      </c>
      <c r="AH1976" t="str">
        <f t="shared" si="586"/>
        <v>P000</v>
      </c>
      <c r="AI1976" t="str">
        <f t="shared" si="587"/>
        <v>0P00</v>
      </c>
      <c r="AJ1976" t="str">
        <f t="shared" si="588"/>
        <v>P000</v>
      </c>
    </row>
    <row r="1977" spans="1:36" x14ac:dyDescent="0.25">
      <c r="A1977" s="325" t="str">
        <f>CONCATENATE("P",'906MP'!M1677)</f>
        <v>P</v>
      </c>
      <c r="B1977">
        <f>'906MP'!H1677</f>
        <v>0</v>
      </c>
      <c r="C1977">
        <f>'906MP'!J1677</f>
        <v>0</v>
      </c>
      <c r="D1977">
        <f>'906MP'!P1677</f>
        <v>0</v>
      </c>
      <c r="E1977">
        <f>'906MP'!X1677</f>
        <v>0</v>
      </c>
      <c r="F1977" t="str">
        <f t="shared" si="580"/>
        <v>0</v>
      </c>
      <c r="G1977" t="str">
        <f t="shared" si="581"/>
        <v>0</v>
      </c>
      <c r="H1977">
        <f>'906MP'!Y1677</f>
        <v>0</v>
      </c>
      <c r="I1977">
        <f>'906MP'!AK1677</f>
        <v>0</v>
      </c>
      <c r="J1977">
        <f>'906MP'!T1677</f>
        <v>0</v>
      </c>
      <c r="K1977">
        <f>'906MP'!AJ1677</f>
        <v>0</v>
      </c>
      <c r="L1977">
        <f>'906MP'!U1677</f>
        <v>0</v>
      </c>
      <c r="M1977" s="322" t="str">
        <f>IFERROR(VLOOKUP(A1977,PAR!$D$3:$E$53,2,FALSE),"nincs szervezet")</f>
        <v>nincs szervezet</v>
      </c>
      <c r="N1977" s="322" t="str">
        <f>VLOOKUP(F1977,PAR!$R$3:$S$5,2,FALSE)</f>
        <v>3 - egyik sem</v>
      </c>
      <c r="O1977" t="str">
        <f>IFERROR(VLOOKUP(J1977,PAR!$O$3:$P$5,2,FALSE),"nincs feladat")</f>
        <v>nincs feladat</v>
      </c>
      <c r="P1977" t="str">
        <f>IFERROR(VLOOKUP(G1977,PAR!$J$2:$M$19,4),"nincs rovat")</f>
        <v>nincs rovat</v>
      </c>
      <c r="Q1977" t="str">
        <f>IF(H1977&gt;0,VLOOKUP(H1977,PAR!$AA$3:$AC$187,3,FALSE),"nincs főkönyvi számla")</f>
        <v>nincs főkönyvi számla</v>
      </c>
      <c r="R1977" t="str">
        <f>IFERROR(VLOOKUP(K1977,PAR!$V$3:$X$438,3,FALSE),"000000 - Nincs COFOG")</f>
        <v>000000 - Nincs COFOG</v>
      </c>
      <c r="S1977">
        <f t="shared" si="582"/>
        <v>0</v>
      </c>
      <c r="T1977">
        <f t="shared" si="583"/>
        <v>0</v>
      </c>
      <c r="U1977" t="str">
        <f>IF('906MP'!J1677&gt;0,CONCATENATE('906MP'!J1677," - ",'906MP'!P1677,", ",'906MP'!E1677),"nincs megjegyzés")</f>
        <v>nincs megjegyzés</v>
      </c>
      <c r="V1977" t="str">
        <f t="shared" si="570"/>
        <v>0P0</v>
      </c>
      <c r="W1977" t="str">
        <f t="shared" si="571"/>
        <v>0P0</v>
      </c>
      <c r="X1977" t="str">
        <f t="shared" si="572"/>
        <v>P0</v>
      </c>
      <c r="Y1977" t="str">
        <f t="shared" si="573"/>
        <v>00</v>
      </c>
      <c r="Z1977" t="str">
        <f t="shared" si="584"/>
        <v>00</v>
      </c>
      <c r="AA1977" t="str">
        <f t="shared" si="574"/>
        <v>00</v>
      </c>
      <c r="AB1977" t="str">
        <f t="shared" si="575"/>
        <v>00</v>
      </c>
      <c r="AC1977" t="str">
        <f t="shared" si="576"/>
        <v>0P0</v>
      </c>
      <c r="AD1977" t="str">
        <f t="shared" si="577"/>
        <v>P00</v>
      </c>
      <c r="AE1977" t="str">
        <f t="shared" si="578"/>
        <v>0P0</v>
      </c>
      <c r="AF1977" t="str">
        <f t="shared" si="579"/>
        <v>P00</v>
      </c>
      <c r="AG1977" t="str">
        <f t="shared" si="585"/>
        <v>0P00</v>
      </c>
      <c r="AH1977" t="str">
        <f t="shared" si="586"/>
        <v>P000</v>
      </c>
      <c r="AI1977" t="str">
        <f t="shared" si="587"/>
        <v>0P00</v>
      </c>
      <c r="AJ1977" t="str">
        <f t="shared" si="588"/>
        <v>P000</v>
      </c>
    </row>
    <row r="1978" spans="1:36" x14ac:dyDescent="0.25">
      <c r="A1978" s="325" t="str">
        <f>CONCATENATE("P",'906MP'!M1678)</f>
        <v>P</v>
      </c>
      <c r="B1978">
        <f>'906MP'!H1678</f>
        <v>0</v>
      </c>
      <c r="C1978">
        <f>'906MP'!J1678</f>
        <v>0</v>
      </c>
      <c r="D1978">
        <f>'906MP'!P1678</f>
        <v>0</v>
      </c>
      <c r="E1978">
        <f>'906MP'!X1678</f>
        <v>0</v>
      </c>
      <c r="F1978" t="str">
        <f t="shared" si="580"/>
        <v>0</v>
      </c>
      <c r="G1978" t="str">
        <f t="shared" si="581"/>
        <v>0</v>
      </c>
      <c r="H1978">
        <f>'906MP'!Y1678</f>
        <v>0</v>
      </c>
      <c r="I1978">
        <f>'906MP'!AK1678</f>
        <v>0</v>
      </c>
      <c r="J1978">
        <f>'906MP'!T1678</f>
        <v>0</v>
      </c>
      <c r="K1978">
        <f>'906MP'!AJ1678</f>
        <v>0</v>
      </c>
      <c r="L1978">
        <f>'906MP'!U1678</f>
        <v>0</v>
      </c>
      <c r="M1978" s="322" t="str">
        <f>IFERROR(VLOOKUP(A1978,PAR!$D$3:$E$53,2,FALSE),"nincs szervezet")</f>
        <v>nincs szervezet</v>
      </c>
      <c r="N1978" s="322" t="str">
        <f>VLOOKUP(F1978,PAR!$R$3:$S$5,2,FALSE)</f>
        <v>3 - egyik sem</v>
      </c>
      <c r="O1978" t="str">
        <f>IFERROR(VLOOKUP(J1978,PAR!$O$3:$P$5,2,FALSE),"nincs feladat")</f>
        <v>nincs feladat</v>
      </c>
      <c r="P1978" t="str">
        <f>IFERROR(VLOOKUP(G1978,PAR!$J$2:$M$19,4),"nincs rovat")</f>
        <v>nincs rovat</v>
      </c>
      <c r="Q1978" t="str">
        <f>IF(H1978&gt;0,VLOOKUP(H1978,PAR!$AA$3:$AC$187,3,FALSE),"nincs főkönyvi számla")</f>
        <v>nincs főkönyvi számla</v>
      </c>
      <c r="R1978" t="str">
        <f>IFERROR(VLOOKUP(K1978,PAR!$V$3:$X$438,3,FALSE),"000000 - Nincs COFOG")</f>
        <v>000000 - Nincs COFOG</v>
      </c>
      <c r="S1978">
        <f t="shared" si="582"/>
        <v>0</v>
      </c>
      <c r="T1978">
        <f t="shared" si="583"/>
        <v>0</v>
      </c>
      <c r="U1978" t="str">
        <f>IF('906MP'!J1678&gt;0,CONCATENATE('906MP'!J1678," - ",'906MP'!P1678,", ",'906MP'!E1678),"nincs megjegyzés")</f>
        <v>nincs megjegyzés</v>
      </c>
      <c r="V1978" t="str">
        <f t="shared" si="570"/>
        <v>0P0</v>
      </c>
      <c r="W1978" t="str">
        <f t="shared" si="571"/>
        <v>0P0</v>
      </c>
      <c r="X1978" t="str">
        <f t="shared" si="572"/>
        <v>P0</v>
      </c>
      <c r="Y1978" t="str">
        <f t="shared" si="573"/>
        <v>00</v>
      </c>
      <c r="Z1978" t="str">
        <f t="shared" si="584"/>
        <v>00</v>
      </c>
      <c r="AA1978" t="str">
        <f t="shared" si="574"/>
        <v>00</v>
      </c>
      <c r="AB1978" t="str">
        <f t="shared" si="575"/>
        <v>00</v>
      </c>
      <c r="AC1978" t="str">
        <f t="shared" si="576"/>
        <v>0P0</v>
      </c>
      <c r="AD1978" t="str">
        <f t="shared" si="577"/>
        <v>P00</v>
      </c>
      <c r="AE1978" t="str">
        <f t="shared" si="578"/>
        <v>0P0</v>
      </c>
      <c r="AF1978" t="str">
        <f t="shared" si="579"/>
        <v>P00</v>
      </c>
      <c r="AG1978" t="str">
        <f t="shared" si="585"/>
        <v>0P00</v>
      </c>
      <c r="AH1978" t="str">
        <f t="shared" si="586"/>
        <v>P000</v>
      </c>
      <c r="AI1978" t="str">
        <f t="shared" si="587"/>
        <v>0P00</v>
      </c>
      <c r="AJ1978" t="str">
        <f t="shared" si="588"/>
        <v>P000</v>
      </c>
    </row>
    <row r="1979" spans="1:36" x14ac:dyDescent="0.25">
      <c r="A1979" s="325" t="str">
        <f>CONCATENATE("P",'906MP'!M1679)</f>
        <v>P</v>
      </c>
      <c r="B1979">
        <f>'906MP'!H1679</f>
        <v>0</v>
      </c>
      <c r="C1979">
        <f>'906MP'!J1679</f>
        <v>0</v>
      </c>
      <c r="D1979">
        <f>'906MP'!P1679</f>
        <v>0</v>
      </c>
      <c r="E1979">
        <f>'906MP'!X1679</f>
        <v>0</v>
      </c>
      <c r="F1979" t="str">
        <f t="shared" si="580"/>
        <v>0</v>
      </c>
      <c r="G1979" t="str">
        <f t="shared" si="581"/>
        <v>0</v>
      </c>
      <c r="H1979">
        <f>'906MP'!Y1679</f>
        <v>0</v>
      </c>
      <c r="I1979">
        <f>'906MP'!AK1679</f>
        <v>0</v>
      </c>
      <c r="J1979">
        <f>'906MP'!T1679</f>
        <v>0</v>
      </c>
      <c r="K1979">
        <f>'906MP'!AJ1679</f>
        <v>0</v>
      </c>
      <c r="L1979">
        <f>'906MP'!U1679</f>
        <v>0</v>
      </c>
      <c r="M1979" s="322" t="str">
        <f>IFERROR(VLOOKUP(A1979,PAR!$D$3:$E$53,2,FALSE),"nincs szervezet")</f>
        <v>nincs szervezet</v>
      </c>
      <c r="N1979" s="322" t="str">
        <f>VLOOKUP(F1979,PAR!$R$3:$S$5,2,FALSE)</f>
        <v>3 - egyik sem</v>
      </c>
      <c r="O1979" t="str">
        <f>IFERROR(VLOOKUP(J1979,PAR!$O$3:$P$5,2,FALSE),"nincs feladat")</f>
        <v>nincs feladat</v>
      </c>
      <c r="P1979" t="str">
        <f>IFERROR(VLOOKUP(G1979,PAR!$J$2:$M$19,4),"nincs rovat")</f>
        <v>nincs rovat</v>
      </c>
      <c r="Q1979" t="str">
        <f>IF(H1979&gt;0,VLOOKUP(H1979,PAR!$AA$3:$AC$187,3,FALSE),"nincs főkönyvi számla")</f>
        <v>nincs főkönyvi számla</v>
      </c>
      <c r="R1979" t="str">
        <f>IFERROR(VLOOKUP(K1979,PAR!$V$3:$X$438,3,FALSE),"000000 - Nincs COFOG")</f>
        <v>000000 - Nincs COFOG</v>
      </c>
      <c r="S1979">
        <f t="shared" si="582"/>
        <v>0</v>
      </c>
      <c r="T1979">
        <f t="shared" si="583"/>
        <v>0</v>
      </c>
      <c r="U1979" t="str">
        <f>IF('906MP'!J1679&gt;0,CONCATENATE('906MP'!J1679," - ",'906MP'!P1679,", ",'906MP'!E1679),"nincs megjegyzés")</f>
        <v>nincs megjegyzés</v>
      </c>
      <c r="V1979" t="str">
        <f t="shared" si="570"/>
        <v>0P0</v>
      </c>
      <c r="W1979" t="str">
        <f t="shared" si="571"/>
        <v>0P0</v>
      </c>
      <c r="X1979" t="str">
        <f t="shared" si="572"/>
        <v>P0</v>
      </c>
      <c r="Y1979" t="str">
        <f t="shared" si="573"/>
        <v>00</v>
      </c>
      <c r="Z1979" t="str">
        <f t="shared" si="584"/>
        <v>00</v>
      </c>
      <c r="AA1979" t="str">
        <f t="shared" si="574"/>
        <v>00</v>
      </c>
      <c r="AB1979" t="str">
        <f t="shared" si="575"/>
        <v>00</v>
      </c>
      <c r="AC1979" t="str">
        <f t="shared" si="576"/>
        <v>0P0</v>
      </c>
      <c r="AD1979" t="str">
        <f t="shared" si="577"/>
        <v>P00</v>
      </c>
      <c r="AE1979" t="str">
        <f t="shared" si="578"/>
        <v>0P0</v>
      </c>
      <c r="AF1979" t="str">
        <f t="shared" si="579"/>
        <v>P00</v>
      </c>
      <c r="AG1979" t="str">
        <f t="shared" si="585"/>
        <v>0P00</v>
      </c>
      <c r="AH1979" t="str">
        <f t="shared" si="586"/>
        <v>P000</v>
      </c>
      <c r="AI1979" t="str">
        <f t="shared" si="587"/>
        <v>0P00</v>
      </c>
      <c r="AJ1979" t="str">
        <f t="shared" si="588"/>
        <v>P000</v>
      </c>
    </row>
    <row r="1980" spans="1:36" x14ac:dyDescent="0.25">
      <c r="A1980" s="325" t="str">
        <f>CONCATENATE("P",'906MP'!M1680)</f>
        <v>P</v>
      </c>
      <c r="B1980">
        <f>'906MP'!H1680</f>
        <v>0</v>
      </c>
      <c r="C1980">
        <f>'906MP'!J1680</f>
        <v>0</v>
      </c>
      <c r="D1980">
        <f>'906MP'!P1680</f>
        <v>0</v>
      </c>
      <c r="E1980">
        <f>'906MP'!X1680</f>
        <v>0</v>
      </c>
      <c r="F1980" t="str">
        <f t="shared" si="580"/>
        <v>0</v>
      </c>
      <c r="G1980" t="str">
        <f t="shared" si="581"/>
        <v>0</v>
      </c>
      <c r="H1980">
        <f>'906MP'!Y1680</f>
        <v>0</v>
      </c>
      <c r="I1980">
        <f>'906MP'!AK1680</f>
        <v>0</v>
      </c>
      <c r="J1980">
        <f>'906MP'!T1680</f>
        <v>0</v>
      </c>
      <c r="K1980">
        <f>'906MP'!AJ1680</f>
        <v>0</v>
      </c>
      <c r="L1980">
        <f>'906MP'!U1680</f>
        <v>0</v>
      </c>
      <c r="M1980" s="322" t="str">
        <f>IFERROR(VLOOKUP(A1980,PAR!$D$3:$E$53,2,FALSE),"nincs szervezet")</f>
        <v>nincs szervezet</v>
      </c>
      <c r="N1980" s="322" t="str">
        <f>VLOOKUP(F1980,PAR!$R$3:$S$5,2,FALSE)</f>
        <v>3 - egyik sem</v>
      </c>
      <c r="O1980" t="str">
        <f>IFERROR(VLOOKUP(J1980,PAR!$O$3:$P$5,2,FALSE),"nincs feladat")</f>
        <v>nincs feladat</v>
      </c>
      <c r="P1980" t="str">
        <f>IFERROR(VLOOKUP(G1980,PAR!$J$2:$M$19,4),"nincs rovat")</f>
        <v>nincs rovat</v>
      </c>
      <c r="Q1980" t="str">
        <f>IF(H1980&gt;0,VLOOKUP(H1980,PAR!$AA$3:$AC$187,3,FALSE),"nincs főkönyvi számla")</f>
        <v>nincs főkönyvi számla</v>
      </c>
      <c r="R1980" t="str">
        <f>IFERROR(VLOOKUP(K1980,PAR!$V$3:$X$438,3,FALSE),"000000 - Nincs COFOG")</f>
        <v>000000 - Nincs COFOG</v>
      </c>
      <c r="S1980">
        <f t="shared" si="582"/>
        <v>0</v>
      </c>
      <c r="T1980">
        <f t="shared" si="583"/>
        <v>0</v>
      </c>
      <c r="U1980" t="str">
        <f>IF('906MP'!J1680&gt;0,CONCATENATE('906MP'!J1680," - ",'906MP'!P1680,", ",'906MP'!E1680),"nincs megjegyzés")</f>
        <v>nincs megjegyzés</v>
      </c>
      <c r="V1980" t="str">
        <f t="shared" si="570"/>
        <v>0P0</v>
      </c>
      <c r="W1980" t="str">
        <f t="shared" si="571"/>
        <v>0P0</v>
      </c>
      <c r="X1980" t="str">
        <f t="shared" si="572"/>
        <v>P0</v>
      </c>
      <c r="Y1980" t="str">
        <f t="shared" si="573"/>
        <v>00</v>
      </c>
      <c r="Z1980" t="str">
        <f t="shared" si="584"/>
        <v>00</v>
      </c>
      <c r="AA1980" t="str">
        <f t="shared" si="574"/>
        <v>00</v>
      </c>
      <c r="AB1980" t="str">
        <f t="shared" si="575"/>
        <v>00</v>
      </c>
      <c r="AC1980" t="str">
        <f t="shared" si="576"/>
        <v>0P0</v>
      </c>
      <c r="AD1980" t="str">
        <f t="shared" si="577"/>
        <v>P00</v>
      </c>
      <c r="AE1980" t="str">
        <f t="shared" si="578"/>
        <v>0P0</v>
      </c>
      <c r="AF1980" t="str">
        <f t="shared" si="579"/>
        <v>P00</v>
      </c>
      <c r="AG1980" t="str">
        <f t="shared" si="585"/>
        <v>0P00</v>
      </c>
      <c r="AH1980" t="str">
        <f t="shared" si="586"/>
        <v>P000</v>
      </c>
      <c r="AI1980" t="str">
        <f t="shared" si="587"/>
        <v>0P00</v>
      </c>
      <c r="AJ1980" t="str">
        <f t="shared" si="588"/>
        <v>P000</v>
      </c>
    </row>
    <row r="1981" spans="1:36" x14ac:dyDescent="0.25">
      <c r="A1981" s="325" t="str">
        <f>CONCATENATE("P",'906MP'!M1681)</f>
        <v>P</v>
      </c>
      <c r="B1981">
        <f>'906MP'!H1681</f>
        <v>0</v>
      </c>
      <c r="C1981">
        <f>'906MP'!J1681</f>
        <v>0</v>
      </c>
      <c r="D1981">
        <f>'906MP'!P1681</f>
        <v>0</v>
      </c>
      <c r="E1981">
        <f>'906MP'!X1681</f>
        <v>0</v>
      </c>
      <c r="F1981" t="str">
        <f t="shared" si="580"/>
        <v>0</v>
      </c>
      <c r="G1981" t="str">
        <f t="shared" si="581"/>
        <v>0</v>
      </c>
      <c r="H1981">
        <f>'906MP'!Y1681</f>
        <v>0</v>
      </c>
      <c r="I1981">
        <f>'906MP'!AK1681</f>
        <v>0</v>
      </c>
      <c r="J1981">
        <f>'906MP'!T1681</f>
        <v>0</v>
      </c>
      <c r="K1981">
        <f>'906MP'!AJ1681</f>
        <v>0</v>
      </c>
      <c r="L1981">
        <f>'906MP'!U1681</f>
        <v>0</v>
      </c>
      <c r="M1981" s="322" t="str">
        <f>IFERROR(VLOOKUP(A1981,PAR!$D$3:$E$53,2,FALSE),"nincs szervezet")</f>
        <v>nincs szervezet</v>
      </c>
      <c r="N1981" s="322" t="str">
        <f>VLOOKUP(F1981,PAR!$R$3:$S$5,2,FALSE)</f>
        <v>3 - egyik sem</v>
      </c>
      <c r="O1981" t="str">
        <f>IFERROR(VLOOKUP(J1981,PAR!$O$3:$P$5,2,FALSE),"nincs feladat")</f>
        <v>nincs feladat</v>
      </c>
      <c r="P1981" t="str">
        <f>IFERROR(VLOOKUP(G1981,PAR!$J$2:$M$19,4),"nincs rovat")</f>
        <v>nincs rovat</v>
      </c>
      <c r="Q1981" t="str">
        <f>IF(H1981&gt;0,VLOOKUP(H1981,PAR!$AA$3:$AC$187,3,FALSE),"nincs főkönyvi számla")</f>
        <v>nincs főkönyvi számla</v>
      </c>
      <c r="R1981" t="str">
        <f>IFERROR(VLOOKUP(K1981,PAR!$V$3:$X$438,3,FALSE),"000000 - Nincs COFOG")</f>
        <v>000000 - Nincs COFOG</v>
      </c>
      <c r="S1981">
        <f t="shared" si="582"/>
        <v>0</v>
      </c>
      <c r="T1981">
        <f t="shared" si="583"/>
        <v>0</v>
      </c>
      <c r="U1981" t="str">
        <f>IF('906MP'!J1681&gt;0,CONCATENATE('906MP'!J1681," - ",'906MP'!P1681,", ",'906MP'!E1681),"nincs megjegyzés")</f>
        <v>nincs megjegyzés</v>
      </c>
      <c r="V1981" t="str">
        <f t="shared" si="570"/>
        <v>0P0</v>
      </c>
      <c r="W1981" t="str">
        <f t="shared" si="571"/>
        <v>0P0</v>
      </c>
      <c r="X1981" t="str">
        <f t="shared" si="572"/>
        <v>P0</v>
      </c>
      <c r="Y1981" t="str">
        <f t="shared" si="573"/>
        <v>00</v>
      </c>
      <c r="Z1981" t="str">
        <f t="shared" si="584"/>
        <v>00</v>
      </c>
      <c r="AA1981" t="str">
        <f t="shared" si="574"/>
        <v>00</v>
      </c>
      <c r="AB1981" t="str">
        <f t="shared" si="575"/>
        <v>00</v>
      </c>
      <c r="AC1981" t="str">
        <f t="shared" si="576"/>
        <v>0P0</v>
      </c>
      <c r="AD1981" t="str">
        <f t="shared" si="577"/>
        <v>P00</v>
      </c>
      <c r="AE1981" t="str">
        <f t="shared" si="578"/>
        <v>0P0</v>
      </c>
      <c r="AF1981" t="str">
        <f t="shared" si="579"/>
        <v>P00</v>
      </c>
      <c r="AG1981" t="str">
        <f t="shared" si="585"/>
        <v>0P00</v>
      </c>
      <c r="AH1981" t="str">
        <f t="shared" si="586"/>
        <v>P000</v>
      </c>
      <c r="AI1981" t="str">
        <f t="shared" si="587"/>
        <v>0P00</v>
      </c>
      <c r="AJ1981" t="str">
        <f t="shared" si="588"/>
        <v>P000</v>
      </c>
    </row>
    <row r="1982" spans="1:36" x14ac:dyDescent="0.25">
      <c r="A1982" s="325" t="str">
        <f>CONCATENATE("P",'906MP'!M1682)</f>
        <v>P</v>
      </c>
      <c r="B1982">
        <f>'906MP'!H1682</f>
        <v>0</v>
      </c>
      <c r="C1982">
        <f>'906MP'!J1682</f>
        <v>0</v>
      </c>
      <c r="D1982">
        <f>'906MP'!P1682</f>
        <v>0</v>
      </c>
      <c r="E1982">
        <f>'906MP'!X1682</f>
        <v>0</v>
      </c>
      <c r="F1982" t="str">
        <f t="shared" si="580"/>
        <v>0</v>
      </c>
      <c r="G1982" t="str">
        <f t="shared" si="581"/>
        <v>0</v>
      </c>
      <c r="H1982">
        <f>'906MP'!Y1682</f>
        <v>0</v>
      </c>
      <c r="I1982">
        <f>'906MP'!AK1682</f>
        <v>0</v>
      </c>
      <c r="J1982">
        <f>'906MP'!T1682</f>
        <v>0</v>
      </c>
      <c r="K1982">
        <f>'906MP'!AJ1682</f>
        <v>0</v>
      </c>
      <c r="L1982">
        <f>'906MP'!U1682</f>
        <v>0</v>
      </c>
      <c r="M1982" s="322" t="str">
        <f>IFERROR(VLOOKUP(A1982,PAR!$D$3:$E$53,2,FALSE),"nincs szervezet")</f>
        <v>nincs szervezet</v>
      </c>
      <c r="N1982" s="322" t="str">
        <f>VLOOKUP(F1982,PAR!$R$3:$S$5,2,FALSE)</f>
        <v>3 - egyik sem</v>
      </c>
      <c r="O1982" t="str">
        <f>IFERROR(VLOOKUP(J1982,PAR!$O$3:$P$5,2,FALSE),"nincs feladat")</f>
        <v>nincs feladat</v>
      </c>
      <c r="P1982" t="str">
        <f>IFERROR(VLOOKUP(G1982,PAR!$J$2:$M$19,4),"nincs rovat")</f>
        <v>nincs rovat</v>
      </c>
      <c r="Q1982" t="str">
        <f>IF(H1982&gt;0,VLOOKUP(H1982,PAR!$AA$3:$AC$187,3,FALSE),"nincs főkönyvi számla")</f>
        <v>nincs főkönyvi számla</v>
      </c>
      <c r="R1982" t="str">
        <f>IFERROR(VLOOKUP(K1982,PAR!$V$3:$X$438,3,FALSE),"000000 - Nincs COFOG")</f>
        <v>000000 - Nincs COFOG</v>
      </c>
      <c r="S1982">
        <f t="shared" si="582"/>
        <v>0</v>
      </c>
      <c r="T1982">
        <f t="shared" si="583"/>
        <v>0</v>
      </c>
      <c r="U1982" t="str">
        <f>IF('906MP'!J1682&gt;0,CONCATENATE('906MP'!J1682," - ",'906MP'!P1682,", ",'906MP'!E1682),"nincs megjegyzés")</f>
        <v>nincs megjegyzés</v>
      </c>
      <c r="V1982" t="str">
        <f t="shared" si="570"/>
        <v>0P0</v>
      </c>
      <c r="W1982" t="str">
        <f t="shared" si="571"/>
        <v>0P0</v>
      </c>
      <c r="X1982" t="str">
        <f t="shared" si="572"/>
        <v>P0</v>
      </c>
      <c r="Y1982" t="str">
        <f t="shared" si="573"/>
        <v>00</v>
      </c>
      <c r="Z1982" t="str">
        <f t="shared" si="584"/>
        <v>00</v>
      </c>
      <c r="AA1982" t="str">
        <f t="shared" si="574"/>
        <v>00</v>
      </c>
      <c r="AB1982" t="str">
        <f t="shared" si="575"/>
        <v>00</v>
      </c>
      <c r="AC1982" t="str">
        <f t="shared" si="576"/>
        <v>0P0</v>
      </c>
      <c r="AD1982" t="str">
        <f t="shared" si="577"/>
        <v>P00</v>
      </c>
      <c r="AE1982" t="str">
        <f t="shared" si="578"/>
        <v>0P0</v>
      </c>
      <c r="AF1982" t="str">
        <f t="shared" si="579"/>
        <v>P00</v>
      </c>
      <c r="AG1982" t="str">
        <f t="shared" si="585"/>
        <v>0P00</v>
      </c>
      <c r="AH1982" t="str">
        <f t="shared" si="586"/>
        <v>P000</v>
      </c>
      <c r="AI1982" t="str">
        <f t="shared" si="587"/>
        <v>0P00</v>
      </c>
      <c r="AJ1982" t="str">
        <f t="shared" si="588"/>
        <v>P000</v>
      </c>
    </row>
    <row r="1983" spans="1:36" x14ac:dyDescent="0.25">
      <c r="A1983" s="325" t="str">
        <f>CONCATENATE("P",'906MP'!M1683)</f>
        <v>P</v>
      </c>
      <c r="B1983">
        <f>'906MP'!H1683</f>
        <v>0</v>
      </c>
      <c r="C1983">
        <f>'906MP'!J1683</f>
        <v>0</v>
      </c>
      <c r="D1983">
        <f>'906MP'!P1683</f>
        <v>0</v>
      </c>
      <c r="E1983">
        <f>'906MP'!X1683</f>
        <v>0</v>
      </c>
      <c r="F1983" t="str">
        <f t="shared" si="580"/>
        <v>0</v>
      </c>
      <c r="G1983" t="str">
        <f t="shared" si="581"/>
        <v>0</v>
      </c>
      <c r="H1983">
        <f>'906MP'!Y1683</f>
        <v>0</v>
      </c>
      <c r="I1983">
        <f>'906MP'!AK1683</f>
        <v>0</v>
      </c>
      <c r="J1983">
        <f>'906MP'!T1683</f>
        <v>0</v>
      </c>
      <c r="K1983">
        <f>'906MP'!AJ1683</f>
        <v>0</v>
      </c>
      <c r="L1983">
        <f>'906MP'!U1683</f>
        <v>0</v>
      </c>
      <c r="M1983" s="322" t="str">
        <f>IFERROR(VLOOKUP(A1983,PAR!$D$3:$E$53,2,FALSE),"nincs szervezet")</f>
        <v>nincs szervezet</v>
      </c>
      <c r="N1983" s="322" t="str">
        <f>VLOOKUP(F1983,PAR!$R$3:$S$5,2,FALSE)</f>
        <v>3 - egyik sem</v>
      </c>
      <c r="O1983" t="str">
        <f>IFERROR(VLOOKUP(J1983,PAR!$O$3:$P$5,2,FALSE),"nincs feladat")</f>
        <v>nincs feladat</v>
      </c>
      <c r="P1983" t="str">
        <f>IFERROR(VLOOKUP(G1983,PAR!$J$2:$M$19,4),"nincs rovat")</f>
        <v>nincs rovat</v>
      </c>
      <c r="Q1983" t="str">
        <f>IF(H1983&gt;0,VLOOKUP(H1983,PAR!$AA$3:$AC$187,3,FALSE),"nincs főkönyvi számla")</f>
        <v>nincs főkönyvi számla</v>
      </c>
      <c r="R1983" t="str">
        <f>IFERROR(VLOOKUP(K1983,PAR!$V$3:$X$438,3,FALSE),"000000 - Nincs COFOG")</f>
        <v>000000 - Nincs COFOG</v>
      </c>
      <c r="S1983">
        <f t="shared" si="582"/>
        <v>0</v>
      </c>
      <c r="T1983">
        <f t="shared" si="583"/>
        <v>0</v>
      </c>
      <c r="U1983" t="str">
        <f>IF('906MP'!J1683&gt;0,CONCATENATE('906MP'!J1683," - ",'906MP'!P1683,", ",'906MP'!E1683),"nincs megjegyzés")</f>
        <v>nincs megjegyzés</v>
      </c>
      <c r="V1983" t="str">
        <f t="shared" si="570"/>
        <v>0P0</v>
      </c>
      <c r="W1983" t="str">
        <f t="shared" si="571"/>
        <v>0P0</v>
      </c>
      <c r="X1983" t="str">
        <f t="shared" si="572"/>
        <v>P0</v>
      </c>
      <c r="Y1983" t="str">
        <f t="shared" si="573"/>
        <v>00</v>
      </c>
      <c r="Z1983" t="str">
        <f t="shared" si="584"/>
        <v>00</v>
      </c>
      <c r="AA1983" t="str">
        <f t="shared" si="574"/>
        <v>00</v>
      </c>
      <c r="AB1983" t="str">
        <f t="shared" si="575"/>
        <v>00</v>
      </c>
      <c r="AC1983" t="str">
        <f t="shared" si="576"/>
        <v>0P0</v>
      </c>
      <c r="AD1983" t="str">
        <f t="shared" si="577"/>
        <v>P00</v>
      </c>
      <c r="AE1983" t="str">
        <f t="shared" si="578"/>
        <v>0P0</v>
      </c>
      <c r="AF1983" t="str">
        <f t="shared" si="579"/>
        <v>P00</v>
      </c>
      <c r="AG1983" t="str">
        <f t="shared" si="585"/>
        <v>0P00</v>
      </c>
      <c r="AH1983" t="str">
        <f t="shared" si="586"/>
        <v>P000</v>
      </c>
      <c r="AI1983" t="str">
        <f t="shared" si="587"/>
        <v>0P00</v>
      </c>
      <c r="AJ1983" t="str">
        <f t="shared" si="588"/>
        <v>P000</v>
      </c>
    </row>
    <row r="1984" spans="1:36" x14ac:dyDescent="0.25">
      <c r="A1984" s="325" t="str">
        <f>CONCATENATE("P",'906MP'!M1684)</f>
        <v>P</v>
      </c>
      <c r="B1984">
        <f>'906MP'!H1684</f>
        <v>0</v>
      </c>
      <c r="C1984">
        <f>'906MP'!J1684</f>
        <v>0</v>
      </c>
      <c r="D1984">
        <f>'906MP'!P1684</f>
        <v>0</v>
      </c>
      <c r="E1984">
        <f>'906MP'!X1684</f>
        <v>0</v>
      </c>
      <c r="F1984" t="str">
        <f t="shared" si="580"/>
        <v>0</v>
      </c>
      <c r="G1984" t="str">
        <f t="shared" si="581"/>
        <v>0</v>
      </c>
      <c r="H1984">
        <f>'906MP'!Y1684</f>
        <v>0</v>
      </c>
      <c r="I1984">
        <f>'906MP'!AK1684</f>
        <v>0</v>
      </c>
      <c r="J1984">
        <f>'906MP'!T1684</f>
        <v>0</v>
      </c>
      <c r="K1984">
        <f>'906MP'!AJ1684</f>
        <v>0</v>
      </c>
      <c r="L1984">
        <f>'906MP'!U1684</f>
        <v>0</v>
      </c>
      <c r="M1984" s="322" t="str">
        <f>IFERROR(VLOOKUP(A1984,PAR!$D$3:$E$53,2,FALSE),"nincs szervezet")</f>
        <v>nincs szervezet</v>
      </c>
      <c r="N1984" s="322" t="str">
        <f>VLOOKUP(F1984,PAR!$R$3:$S$5,2,FALSE)</f>
        <v>3 - egyik sem</v>
      </c>
      <c r="O1984" t="str">
        <f>IFERROR(VLOOKUP(J1984,PAR!$O$3:$P$5,2,FALSE),"nincs feladat")</f>
        <v>nincs feladat</v>
      </c>
      <c r="P1984" t="str">
        <f>IFERROR(VLOOKUP(G1984,PAR!$J$2:$M$19,4),"nincs rovat")</f>
        <v>nincs rovat</v>
      </c>
      <c r="Q1984" t="str">
        <f>IF(H1984&gt;0,VLOOKUP(H1984,PAR!$AA$3:$AC$187,3,FALSE),"nincs főkönyvi számla")</f>
        <v>nincs főkönyvi számla</v>
      </c>
      <c r="R1984" t="str">
        <f>IFERROR(VLOOKUP(K1984,PAR!$V$3:$X$438,3,FALSE),"000000 - Nincs COFOG")</f>
        <v>000000 - Nincs COFOG</v>
      </c>
      <c r="S1984">
        <f t="shared" si="582"/>
        <v>0</v>
      </c>
      <c r="T1984">
        <f t="shared" si="583"/>
        <v>0</v>
      </c>
      <c r="U1984" t="str">
        <f>IF('906MP'!J1684&gt;0,CONCATENATE('906MP'!J1684," - ",'906MP'!P1684,", ",'906MP'!E1684),"nincs megjegyzés")</f>
        <v>nincs megjegyzés</v>
      </c>
      <c r="V1984" t="str">
        <f t="shared" si="570"/>
        <v>0P0</v>
      </c>
      <c r="W1984" t="str">
        <f t="shared" si="571"/>
        <v>0P0</v>
      </c>
      <c r="X1984" t="str">
        <f t="shared" si="572"/>
        <v>P0</v>
      </c>
      <c r="Y1984" t="str">
        <f t="shared" si="573"/>
        <v>00</v>
      </c>
      <c r="Z1984" t="str">
        <f t="shared" si="584"/>
        <v>00</v>
      </c>
      <c r="AA1984" t="str">
        <f t="shared" si="574"/>
        <v>00</v>
      </c>
      <c r="AB1984" t="str">
        <f t="shared" si="575"/>
        <v>00</v>
      </c>
      <c r="AC1984" t="str">
        <f t="shared" si="576"/>
        <v>0P0</v>
      </c>
      <c r="AD1984" t="str">
        <f t="shared" si="577"/>
        <v>P00</v>
      </c>
      <c r="AE1984" t="str">
        <f t="shared" si="578"/>
        <v>0P0</v>
      </c>
      <c r="AF1984" t="str">
        <f t="shared" si="579"/>
        <v>P00</v>
      </c>
      <c r="AG1984" t="str">
        <f t="shared" si="585"/>
        <v>0P00</v>
      </c>
      <c r="AH1984" t="str">
        <f t="shared" si="586"/>
        <v>P000</v>
      </c>
      <c r="AI1984" t="str">
        <f t="shared" si="587"/>
        <v>0P00</v>
      </c>
      <c r="AJ1984" t="str">
        <f t="shared" si="588"/>
        <v>P000</v>
      </c>
    </row>
    <row r="1985" spans="1:36" x14ac:dyDescent="0.25">
      <c r="A1985" s="325" t="str">
        <f>CONCATENATE("P",'906MP'!M1685)</f>
        <v>P</v>
      </c>
      <c r="B1985">
        <f>'906MP'!H1685</f>
        <v>0</v>
      </c>
      <c r="C1985">
        <f>'906MP'!J1685</f>
        <v>0</v>
      </c>
      <c r="D1985">
        <f>'906MP'!P1685</f>
        <v>0</v>
      </c>
      <c r="E1985">
        <f>'906MP'!X1685</f>
        <v>0</v>
      </c>
      <c r="F1985" t="str">
        <f t="shared" si="580"/>
        <v>0</v>
      </c>
      <c r="G1985" t="str">
        <f t="shared" si="581"/>
        <v>0</v>
      </c>
      <c r="H1985">
        <f>'906MP'!Y1685</f>
        <v>0</v>
      </c>
      <c r="I1985">
        <f>'906MP'!AK1685</f>
        <v>0</v>
      </c>
      <c r="J1985">
        <f>'906MP'!T1685</f>
        <v>0</v>
      </c>
      <c r="K1985">
        <f>'906MP'!AJ1685</f>
        <v>0</v>
      </c>
      <c r="L1985">
        <f>'906MP'!U1685</f>
        <v>0</v>
      </c>
      <c r="M1985" s="322" t="str">
        <f>IFERROR(VLOOKUP(A1985,PAR!$D$3:$E$53,2,FALSE),"nincs szervezet")</f>
        <v>nincs szervezet</v>
      </c>
      <c r="N1985" s="322" t="str">
        <f>VLOOKUP(F1985,PAR!$R$3:$S$5,2,FALSE)</f>
        <v>3 - egyik sem</v>
      </c>
      <c r="O1985" t="str">
        <f>IFERROR(VLOOKUP(J1985,PAR!$O$3:$P$5,2,FALSE),"nincs feladat")</f>
        <v>nincs feladat</v>
      </c>
      <c r="P1985" t="str">
        <f>IFERROR(VLOOKUP(G1985,PAR!$J$2:$M$19,4),"nincs rovat")</f>
        <v>nincs rovat</v>
      </c>
      <c r="Q1985" t="str">
        <f>IF(H1985&gt;0,VLOOKUP(H1985,PAR!$AA$3:$AC$187,3,FALSE),"nincs főkönyvi számla")</f>
        <v>nincs főkönyvi számla</v>
      </c>
      <c r="R1985" t="str">
        <f>IFERROR(VLOOKUP(K1985,PAR!$V$3:$X$438,3,FALSE),"000000 - Nincs COFOG")</f>
        <v>000000 - Nincs COFOG</v>
      </c>
      <c r="S1985">
        <f t="shared" si="582"/>
        <v>0</v>
      </c>
      <c r="T1985">
        <f t="shared" si="583"/>
        <v>0</v>
      </c>
      <c r="U1985" t="str">
        <f>IF('906MP'!J1685&gt;0,CONCATENATE('906MP'!J1685," - ",'906MP'!P1685,", ",'906MP'!E1685),"nincs megjegyzés")</f>
        <v>nincs megjegyzés</v>
      </c>
      <c r="V1985" t="str">
        <f t="shared" si="570"/>
        <v>0P0</v>
      </c>
      <c r="W1985" t="str">
        <f t="shared" si="571"/>
        <v>0P0</v>
      </c>
      <c r="X1985" t="str">
        <f t="shared" si="572"/>
        <v>P0</v>
      </c>
      <c r="Y1985" t="str">
        <f t="shared" si="573"/>
        <v>00</v>
      </c>
      <c r="Z1985" t="str">
        <f t="shared" si="584"/>
        <v>00</v>
      </c>
      <c r="AA1985" t="str">
        <f t="shared" si="574"/>
        <v>00</v>
      </c>
      <c r="AB1985" t="str">
        <f t="shared" si="575"/>
        <v>00</v>
      </c>
      <c r="AC1985" t="str">
        <f t="shared" si="576"/>
        <v>0P0</v>
      </c>
      <c r="AD1985" t="str">
        <f t="shared" si="577"/>
        <v>P00</v>
      </c>
      <c r="AE1985" t="str">
        <f t="shared" si="578"/>
        <v>0P0</v>
      </c>
      <c r="AF1985" t="str">
        <f t="shared" si="579"/>
        <v>P00</v>
      </c>
      <c r="AG1985" t="str">
        <f t="shared" si="585"/>
        <v>0P00</v>
      </c>
      <c r="AH1985" t="str">
        <f t="shared" si="586"/>
        <v>P000</v>
      </c>
      <c r="AI1985" t="str">
        <f t="shared" si="587"/>
        <v>0P00</v>
      </c>
      <c r="AJ1985" t="str">
        <f t="shared" si="588"/>
        <v>P000</v>
      </c>
    </row>
    <row r="1986" spans="1:36" x14ac:dyDescent="0.25">
      <c r="A1986" s="325" t="str">
        <f>CONCATENATE("P",'906MP'!M1686)</f>
        <v>P</v>
      </c>
      <c r="B1986">
        <f>'906MP'!H1686</f>
        <v>0</v>
      </c>
      <c r="C1986">
        <f>'906MP'!J1686</f>
        <v>0</v>
      </c>
      <c r="D1986">
        <f>'906MP'!P1686</f>
        <v>0</v>
      </c>
      <c r="E1986">
        <f>'906MP'!X1686</f>
        <v>0</v>
      </c>
      <c r="F1986" t="str">
        <f t="shared" si="580"/>
        <v>0</v>
      </c>
      <c r="G1986" t="str">
        <f t="shared" si="581"/>
        <v>0</v>
      </c>
      <c r="H1986">
        <f>'906MP'!Y1686</f>
        <v>0</v>
      </c>
      <c r="I1986">
        <f>'906MP'!AK1686</f>
        <v>0</v>
      </c>
      <c r="J1986">
        <f>'906MP'!T1686</f>
        <v>0</v>
      </c>
      <c r="K1986">
        <f>'906MP'!AJ1686</f>
        <v>0</v>
      </c>
      <c r="L1986">
        <f>'906MP'!U1686</f>
        <v>0</v>
      </c>
      <c r="M1986" s="322" t="str">
        <f>IFERROR(VLOOKUP(A1986,PAR!$D$3:$E$53,2,FALSE),"nincs szervezet")</f>
        <v>nincs szervezet</v>
      </c>
      <c r="N1986" s="322" t="str">
        <f>VLOOKUP(F1986,PAR!$R$3:$S$5,2,FALSE)</f>
        <v>3 - egyik sem</v>
      </c>
      <c r="O1986" t="str">
        <f>IFERROR(VLOOKUP(J1986,PAR!$O$3:$P$5,2,FALSE),"nincs feladat")</f>
        <v>nincs feladat</v>
      </c>
      <c r="P1986" t="str">
        <f>IFERROR(VLOOKUP(G1986,PAR!$J$2:$M$19,4),"nincs rovat")</f>
        <v>nincs rovat</v>
      </c>
      <c r="Q1986" t="str">
        <f>IF(H1986&gt;0,VLOOKUP(H1986,PAR!$AA$3:$AC$187,3,FALSE),"nincs főkönyvi számla")</f>
        <v>nincs főkönyvi számla</v>
      </c>
      <c r="R1986" t="str">
        <f>IFERROR(VLOOKUP(K1986,PAR!$V$3:$X$438,3,FALSE),"000000 - Nincs COFOG")</f>
        <v>000000 - Nincs COFOG</v>
      </c>
      <c r="S1986">
        <f t="shared" si="582"/>
        <v>0</v>
      </c>
      <c r="T1986">
        <f t="shared" si="583"/>
        <v>0</v>
      </c>
      <c r="U1986" t="str">
        <f>IF('906MP'!J1686&gt;0,CONCATENATE('906MP'!J1686," - ",'906MP'!P1686,", ",'906MP'!E1686),"nincs megjegyzés")</f>
        <v>nincs megjegyzés</v>
      </c>
      <c r="V1986" t="str">
        <f t="shared" ref="V1986:V2049" si="589">CONCATENATE(B1986,A1986,G1986)</f>
        <v>0P0</v>
      </c>
      <c r="W1986" t="str">
        <f t="shared" ref="W1986:W2049" si="590">CONCATENATE(B1986,A1986,F1986)</f>
        <v>0P0</v>
      </c>
      <c r="X1986" t="str">
        <f t="shared" ref="X1986:X2049" si="591">CONCATENATE(A1986,H1986)</f>
        <v>P0</v>
      </c>
      <c r="Y1986" t="str">
        <f t="shared" ref="Y1986:Y2049" si="592">CONCATENATE(B1986,H1986)</f>
        <v>00</v>
      </c>
      <c r="Z1986" t="str">
        <f t="shared" si="584"/>
        <v>00</v>
      </c>
      <c r="AA1986" t="str">
        <f t="shared" ref="AA1986:AA2049" si="593">CONCATENATE(B1986,G1986)</f>
        <v>00</v>
      </c>
      <c r="AB1986" t="str">
        <f t="shared" ref="AB1986:AB2049" si="594">CONCATENATE(J1986,G1986)</f>
        <v>00</v>
      </c>
      <c r="AC1986" t="str">
        <f t="shared" ref="AC1986:AC2049" si="595">CONCATENATE(B1986,A1986,H1986)</f>
        <v>0P0</v>
      </c>
      <c r="AD1986" t="str">
        <f t="shared" ref="AD1986:AD2049" si="596">CONCATENATE(A1986,H1986,J1986)</f>
        <v>P00</v>
      </c>
      <c r="AE1986" t="str">
        <f t="shared" ref="AE1986:AE2049" si="597">CONCATENATE(B1986,A1986,G1986)</f>
        <v>0P0</v>
      </c>
      <c r="AF1986" t="str">
        <f t="shared" ref="AF1986:AF2049" si="598">CONCATENATE(A1986,G1986,J1986)</f>
        <v>P00</v>
      </c>
      <c r="AG1986" t="str">
        <f t="shared" si="585"/>
        <v>0P00</v>
      </c>
      <c r="AH1986" t="str">
        <f t="shared" si="586"/>
        <v>P000</v>
      </c>
      <c r="AI1986" t="str">
        <f t="shared" si="587"/>
        <v>0P00</v>
      </c>
      <c r="AJ1986" t="str">
        <f t="shared" si="588"/>
        <v>P000</v>
      </c>
    </row>
    <row r="1987" spans="1:36" x14ac:dyDescent="0.25">
      <c r="A1987" s="325" t="str">
        <f>CONCATENATE("P",'906MP'!M1687)</f>
        <v>P</v>
      </c>
      <c r="B1987">
        <f>'906MP'!H1687</f>
        <v>0</v>
      </c>
      <c r="C1987">
        <f>'906MP'!J1687</f>
        <v>0</v>
      </c>
      <c r="D1987">
        <f>'906MP'!P1687</f>
        <v>0</v>
      </c>
      <c r="E1987">
        <f>'906MP'!X1687</f>
        <v>0</v>
      </c>
      <c r="F1987" t="str">
        <f t="shared" ref="F1987:F2050" si="599">LEFT(G1987,2)</f>
        <v>0</v>
      </c>
      <c r="G1987" t="str">
        <f t="shared" ref="G1987:G2050" si="600">LEFT(H1987,3)</f>
        <v>0</v>
      </c>
      <c r="H1987">
        <f>'906MP'!Y1687</f>
        <v>0</v>
      </c>
      <c r="I1987">
        <f>'906MP'!AK1687</f>
        <v>0</v>
      </c>
      <c r="J1987">
        <f>'906MP'!T1687</f>
        <v>0</v>
      </c>
      <c r="K1987">
        <f>'906MP'!AJ1687</f>
        <v>0</v>
      </c>
      <c r="L1987">
        <f>'906MP'!U1687</f>
        <v>0</v>
      </c>
      <c r="M1987" s="322" t="str">
        <f>IFERROR(VLOOKUP(A1987,PAR!$D$3:$E$53,2,FALSE),"nincs szervezet")</f>
        <v>nincs szervezet</v>
      </c>
      <c r="N1987" s="322" t="str">
        <f>VLOOKUP(F1987,PAR!$R$3:$S$5,2,FALSE)</f>
        <v>3 - egyik sem</v>
      </c>
      <c r="O1987" t="str">
        <f>IFERROR(VLOOKUP(J1987,PAR!$O$3:$P$5,2,FALSE),"nincs feladat")</f>
        <v>nincs feladat</v>
      </c>
      <c r="P1987" t="str">
        <f>IFERROR(VLOOKUP(G1987,PAR!$J$2:$M$19,4),"nincs rovat")</f>
        <v>nincs rovat</v>
      </c>
      <c r="Q1987" t="str">
        <f>IF(H1987&gt;0,VLOOKUP(H1987,PAR!$AA$3:$AC$187,3,FALSE),"nincs főkönyvi számla")</f>
        <v>nincs főkönyvi számla</v>
      </c>
      <c r="R1987" t="str">
        <f>IFERROR(VLOOKUP(K1987,PAR!$V$3:$X$438,3,FALSE),"000000 - Nincs COFOG")</f>
        <v>000000 - Nincs COFOG</v>
      </c>
      <c r="S1987">
        <f t="shared" ref="S1987:S2050" si="601">E1987</f>
        <v>0</v>
      </c>
      <c r="T1987">
        <f t="shared" ref="T1987:T2050" si="602">IF(F1987="09",E1987*-1,E1987)</f>
        <v>0</v>
      </c>
      <c r="U1987" t="str">
        <f>IF('906MP'!J1687&gt;0,CONCATENATE('906MP'!J1687," - ",'906MP'!P1687,", ",'906MP'!E1687),"nincs megjegyzés")</f>
        <v>nincs megjegyzés</v>
      </c>
      <c r="V1987" t="str">
        <f t="shared" si="589"/>
        <v>0P0</v>
      </c>
      <c r="W1987" t="str">
        <f t="shared" si="590"/>
        <v>0P0</v>
      </c>
      <c r="X1987" t="str">
        <f t="shared" si="591"/>
        <v>P0</v>
      </c>
      <c r="Y1987" t="str">
        <f t="shared" si="592"/>
        <v>00</v>
      </c>
      <c r="Z1987" t="str">
        <f t="shared" ref="Z1987:Z2050" si="603">CONCATENATE(J1987,H1987)</f>
        <v>00</v>
      </c>
      <c r="AA1987" t="str">
        <f t="shared" si="593"/>
        <v>00</v>
      </c>
      <c r="AB1987" t="str">
        <f t="shared" si="594"/>
        <v>00</v>
      </c>
      <c r="AC1987" t="str">
        <f t="shared" si="595"/>
        <v>0P0</v>
      </c>
      <c r="AD1987" t="str">
        <f t="shared" si="596"/>
        <v>P00</v>
      </c>
      <c r="AE1987" t="str">
        <f t="shared" si="597"/>
        <v>0P0</v>
      </c>
      <c r="AF1987" t="str">
        <f t="shared" si="598"/>
        <v>P00</v>
      </c>
      <c r="AG1987" t="str">
        <f t="shared" ref="AG1987:AG2050" si="604">CONCATENATE(B1987,A1987,H1987,L1987)</f>
        <v>0P00</v>
      </c>
      <c r="AH1987" t="str">
        <f t="shared" ref="AH1987:AH2050" si="605">CONCATENATE(A1987,J1987,H1987,L1987)</f>
        <v>P000</v>
      </c>
      <c r="AI1987" t="str">
        <f t="shared" ref="AI1987:AI2050" si="606">CONCATENATE(B1987,A1987,G1987,L1987)</f>
        <v>0P00</v>
      </c>
      <c r="AJ1987" t="str">
        <f t="shared" ref="AJ1987:AJ2050" si="607">CONCATENATE(A1987,G1987,J1987,L1987)</f>
        <v>P000</v>
      </c>
    </row>
    <row r="1988" spans="1:36" x14ac:dyDescent="0.25">
      <c r="A1988" s="325" t="str">
        <f>CONCATENATE("P",'906MP'!M1688)</f>
        <v>P</v>
      </c>
      <c r="B1988">
        <f>'906MP'!H1688</f>
        <v>0</v>
      </c>
      <c r="C1988">
        <f>'906MP'!J1688</f>
        <v>0</v>
      </c>
      <c r="D1988">
        <f>'906MP'!P1688</f>
        <v>0</v>
      </c>
      <c r="E1988">
        <f>'906MP'!X1688</f>
        <v>0</v>
      </c>
      <c r="F1988" t="str">
        <f t="shared" si="599"/>
        <v>0</v>
      </c>
      <c r="G1988" t="str">
        <f t="shared" si="600"/>
        <v>0</v>
      </c>
      <c r="H1988">
        <f>'906MP'!Y1688</f>
        <v>0</v>
      </c>
      <c r="I1988">
        <f>'906MP'!AK1688</f>
        <v>0</v>
      </c>
      <c r="J1988">
        <f>'906MP'!T1688</f>
        <v>0</v>
      </c>
      <c r="K1988">
        <f>'906MP'!AJ1688</f>
        <v>0</v>
      </c>
      <c r="L1988">
        <f>'906MP'!U1688</f>
        <v>0</v>
      </c>
      <c r="M1988" s="322" t="str">
        <f>IFERROR(VLOOKUP(A1988,PAR!$D$3:$E$53,2,FALSE),"nincs szervezet")</f>
        <v>nincs szervezet</v>
      </c>
      <c r="N1988" s="322" t="str">
        <f>VLOOKUP(F1988,PAR!$R$3:$S$5,2,FALSE)</f>
        <v>3 - egyik sem</v>
      </c>
      <c r="O1988" t="str">
        <f>IFERROR(VLOOKUP(J1988,PAR!$O$3:$P$5,2,FALSE),"nincs feladat")</f>
        <v>nincs feladat</v>
      </c>
      <c r="P1988" t="str">
        <f>IFERROR(VLOOKUP(G1988,PAR!$J$2:$M$19,4),"nincs rovat")</f>
        <v>nincs rovat</v>
      </c>
      <c r="Q1988" t="str">
        <f>IF(H1988&gt;0,VLOOKUP(H1988,PAR!$AA$3:$AC$187,3,FALSE),"nincs főkönyvi számla")</f>
        <v>nincs főkönyvi számla</v>
      </c>
      <c r="R1988" t="str">
        <f>IFERROR(VLOOKUP(K1988,PAR!$V$3:$X$438,3,FALSE),"000000 - Nincs COFOG")</f>
        <v>000000 - Nincs COFOG</v>
      </c>
      <c r="S1988">
        <f t="shared" si="601"/>
        <v>0</v>
      </c>
      <c r="T1988">
        <f t="shared" si="602"/>
        <v>0</v>
      </c>
      <c r="U1988" t="str">
        <f>IF('906MP'!J1688&gt;0,CONCATENATE('906MP'!J1688," - ",'906MP'!P1688,", ",'906MP'!E1688),"nincs megjegyzés")</f>
        <v>nincs megjegyzés</v>
      </c>
      <c r="V1988" t="str">
        <f t="shared" si="589"/>
        <v>0P0</v>
      </c>
      <c r="W1988" t="str">
        <f t="shared" si="590"/>
        <v>0P0</v>
      </c>
      <c r="X1988" t="str">
        <f t="shared" si="591"/>
        <v>P0</v>
      </c>
      <c r="Y1988" t="str">
        <f t="shared" si="592"/>
        <v>00</v>
      </c>
      <c r="Z1988" t="str">
        <f t="shared" si="603"/>
        <v>00</v>
      </c>
      <c r="AA1988" t="str">
        <f t="shared" si="593"/>
        <v>00</v>
      </c>
      <c r="AB1988" t="str">
        <f t="shared" si="594"/>
        <v>00</v>
      </c>
      <c r="AC1988" t="str">
        <f t="shared" si="595"/>
        <v>0P0</v>
      </c>
      <c r="AD1988" t="str">
        <f t="shared" si="596"/>
        <v>P00</v>
      </c>
      <c r="AE1988" t="str">
        <f t="shared" si="597"/>
        <v>0P0</v>
      </c>
      <c r="AF1988" t="str">
        <f t="shared" si="598"/>
        <v>P00</v>
      </c>
      <c r="AG1988" t="str">
        <f t="shared" si="604"/>
        <v>0P00</v>
      </c>
      <c r="AH1988" t="str">
        <f t="shared" si="605"/>
        <v>P000</v>
      </c>
      <c r="AI1988" t="str">
        <f t="shared" si="606"/>
        <v>0P00</v>
      </c>
      <c r="AJ1988" t="str">
        <f t="shared" si="607"/>
        <v>P000</v>
      </c>
    </row>
    <row r="1989" spans="1:36" x14ac:dyDescent="0.25">
      <c r="A1989" s="325" t="str">
        <f>CONCATENATE("P",'906MP'!M1689)</f>
        <v>P</v>
      </c>
      <c r="B1989">
        <f>'906MP'!H1689</f>
        <v>0</v>
      </c>
      <c r="C1989">
        <f>'906MP'!J1689</f>
        <v>0</v>
      </c>
      <c r="D1989">
        <f>'906MP'!P1689</f>
        <v>0</v>
      </c>
      <c r="E1989">
        <f>'906MP'!X1689</f>
        <v>0</v>
      </c>
      <c r="F1989" t="str">
        <f t="shared" si="599"/>
        <v>0</v>
      </c>
      <c r="G1989" t="str">
        <f t="shared" si="600"/>
        <v>0</v>
      </c>
      <c r="H1989">
        <f>'906MP'!Y1689</f>
        <v>0</v>
      </c>
      <c r="I1989">
        <f>'906MP'!AK1689</f>
        <v>0</v>
      </c>
      <c r="J1989">
        <f>'906MP'!T1689</f>
        <v>0</v>
      </c>
      <c r="K1989">
        <f>'906MP'!AJ1689</f>
        <v>0</v>
      </c>
      <c r="L1989">
        <f>'906MP'!U1689</f>
        <v>0</v>
      </c>
      <c r="M1989" s="322" t="str">
        <f>IFERROR(VLOOKUP(A1989,PAR!$D$3:$E$53,2,FALSE),"nincs szervezet")</f>
        <v>nincs szervezet</v>
      </c>
      <c r="N1989" s="322" t="str">
        <f>VLOOKUP(F1989,PAR!$R$3:$S$5,2,FALSE)</f>
        <v>3 - egyik sem</v>
      </c>
      <c r="O1989" t="str">
        <f>IFERROR(VLOOKUP(J1989,PAR!$O$3:$P$5,2,FALSE),"nincs feladat")</f>
        <v>nincs feladat</v>
      </c>
      <c r="P1989" t="str">
        <f>IFERROR(VLOOKUP(G1989,PAR!$J$2:$M$19,4),"nincs rovat")</f>
        <v>nincs rovat</v>
      </c>
      <c r="Q1989" t="str">
        <f>IF(H1989&gt;0,VLOOKUP(H1989,PAR!$AA$3:$AC$187,3,FALSE),"nincs főkönyvi számla")</f>
        <v>nincs főkönyvi számla</v>
      </c>
      <c r="R1989" t="str">
        <f>IFERROR(VLOOKUP(K1989,PAR!$V$3:$X$438,3,FALSE),"000000 - Nincs COFOG")</f>
        <v>000000 - Nincs COFOG</v>
      </c>
      <c r="S1989">
        <f t="shared" si="601"/>
        <v>0</v>
      </c>
      <c r="T1989">
        <f t="shared" si="602"/>
        <v>0</v>
      </c>
      <c r="U1989" t="str">
        <f>IF('906MP'!J1689&gt;0,CONCATENATE('906MP'!J1689," - ",'906MP'!P1689,", ",'906MP'!E1689),"nincs megjegyzés")</f>
        <v>nincs megjegyzés</v>
      </c>
      <c r="V1989" t="str">
        <f t="shared" si="589"/>
        <v>0P0</v>
      </c>
      <c r="W1989" t="str">
        <f t="shared" si="590"/>
        <v>0P0</v>
      </c>
      <c r="X1989" t="str">
        <f t="shared" si="591"/>
        <v>P0</v>
      </c>
      <c r="Y1989" t="str">
        <f t="shared" si="592"/>
        <v>00</v>
      </c>
      <c r="Z1989" t="str">
        <f t="shared" si="603"/>
        <v>00</v>
      </c>
      <c r="AA1989" t="str">
        <f t="shared" si="593"/>
        <v>00</v>
      </c>
      <c r="AB1989" t="str">
        <f t="shared" si="594"/>
        <v>00</v>
      </c>
      <c r="AC1989" t="str">
        <f t="shared" si="595"/>
        <v>0P0</v>
      </c>
      <c r="AD1989" t="str">
        <f t="shared" si="596"/>
        <v>P00</v>
      </c>
      <c r="AE1989" t="str">
        <f t="shared" si="597"/>
        <v>0P0</v>
      </c>
      <c r="AF1989" t="str">
        <f t="shared" si="598"/>
        <v>P00</v>
      </c>
      <c r="AG1989" t="str">
        <f t="shared" si="604"/>
        <v>0P00</v>
      </c>
      <c r="AH1989" t="str">
        <f t="shared" si="605"/>
        <v>P000</v>
      </c>
      <c r="AI1989" t="str">
        <f t="shared" si="606"/>
        <v>0P00</v>
      </c>
      <c r="AJ1989" t="str">
        <f t="shared" si="607"/>
        <v>P000</v>
      </c>
    </row>
    <row r="1990" spans="1:36" x14ac:dyDescent="0.25">
      <c r="A1990" s="325" t="str">
        <f>CONCATENATE("P",'906MP'!M1690)</f>
        <v>P</v>
      </c>
      <c r="B1990">
        <f>'906MP'!H1690</f>
        <v>0</v>
      </c>
      <c r="C1990">
        <f>'906MP'!J1690</f>
        <v>0</v>
      </c>
      <c r="D1990">
        <f>'906MP'!P1690</f>
        <v>0</v>
      </c>
      <c r="E1990">
        <f>'906MP'!X1690</f>
        <v>0</v>
      </c>
      <c r="F1990" t="str">
        <f t="shared" si="599"/>
        <v>0</v>
      </c>
      <c r="G1990" t="str">
        <f t="shared" si="600"/>
        <v>0</v>
      </c>
      <c r="H1990">
        <f>'906MP'!Y1690</f>
        <v>0</v>
      </c>
      <c r="I1990">
        <f>'906MP'!AK1690</f>
        <v>0</v>
      </c>
      <c r="J1990">
        <f>'906MP'!T1690</f>
        <v>0</v>
      </c>
      <c r="K1990">
        <f>'906MP'!AJ1690</f>
        <v>0</v>
      </c>
      <c r="L1990">
        <f>'906MP'!U1690</f>
        <v>0</v>
      </c>
      <c r="M1990" s="322" t="str">
        <f>IFERROR(VLOOKUP(A1990,PAR!$D$3:$E$53,2,FALSE),"nincs szervezet")</f>
        <v>nincs szervezet</v>
      </c>
      <c r="N1990" s="322" t="str">
        <f>VLOOKUP(F1990,PAR!$R$3:$S$5,2,FALSE)</f>
        <v>3 - egyik sem</v>
      </c>
      <c r="O1990" t="str">
        <f>IFERROR(VLOOKUP(J1990,PAR!$O$3:$P$5,2,FALSE),"nincs feladat")</f>
        <v>nincs feladat</v>
      </c>
      <c r="P1990" t="str">
        <f>IFERROR(VLOOKUP(G1990,PAR!$J$2:$M$19,4),"nincs rovat")</f>
        <v>nincs rovat</v>
      </c>
      <c r="Q1990" t="str">
        <f>IF(H1990&gt;0,VLOOKUP(H1990,PAR!$AA$3:$AC$187,3,FALSE),"nincs főkönyvi számla")</f>
        <v>nincs főkönyvi számla</v>
      </c>
      <c r="R1990" t="str">
        <f>IFERROR(VLOOKUP(K1990,PAR!$V$3:$X$438,3,FALSE),"000000 - Nincs COFOG")</f>
        <v>000000 - Nincs COFOG</v>
      </c>
      <c r="S1990">
        <f t="shared" si="601"/>
        <v>0</v>
      </c>
      <c r="T1990">
        <f t="shared" si="602"/>
        <v>0</v>
      </c>
      <c r="U1990" t="str">
        <f>IF('906MP'!J1690&gt;0,CONCATENATE('906MP'!J1690," - ",'906MP'!P1690,", ",'906MP'!E1690),"nincs megjegyzés")</f>
        <v>nincs megjegyzés</v>
      </c>
      <c r="V1990" t="str">
        <f t="shared" si="589"/>
        <v>0P0</v>
      </c>
      <c r="W1990" t="str">
        <f t="shared" si="590"/>
        <v>0P0</v>
      </c>
      <c r="X1990" t="str">
        <f t="shared" si="591"/>
        <v>P0</v>
      </c>
      <c r="Y1990" t="str">
        <f t="shared" si="592"/>
        <v>00</v>
      </c>
      <c r="Z1990" t="str">
        <f t="shared" si="603"/>
        <v>00</v>
      </c>
      <c r="AA1990" t="str">
        <f t="shared" si="593"/>
        <v>00</v>
      </c>
      <c r="AB1990" t="str">
        <f t="shared" si="594"/>
        <v>00</v>
      </c>
      <c r="AC1990" t="str">
        <f t="shared" si="595"/>
        <v>0P0</v>
      </c>
      <c r="AD1990" t="str">
        <f t="shared" si="596"/>
        <v>P00</v>
      </c>
      <c r="AE1990" t="str">
        <f t="shared" si="597"/>
        <v>0P0</v>
      </c>
      <c r="AF1990" t="str">
        <f t="shared" si="598"/>
        <v>P00</v>
      </c>
      <c r="AG1990" t="str">
        <f t="shared" si="604"/>
        <v>0P00</v>
      </c>
      <c r="AH1990" t="str">
        <f t="shared" si="605"/>
        <v>P000</v>
      </c>
      <c r="AI1990" t="str">
        <f t="shared" si="606"/>
        <v>0P00</v>
      </c>
      <c r="AJ1990" t="str">
        <f t="shared" si="607"/>
        <v>P000</v>
      </c>
    </row>
    <row r="1991" spans="1:36" x14ac:dyDescent="0.25">
      <c r="A1991" s="325" t="str">
        <f>CONCATENATE("P",'906MP'!M1691)</f>
        <v>P</v>
      </c>
      <c r="B1991">
        <f>'906MP'!H1691</f>
        <v>0</v>
      </c>
      <c r="C1991">
        <f>'906MP'!J1691</f>
        <v>0</v>
      </c>
      <c r="D1991">
        <f>'906MP'!P1691</f>
        <v>0</v>
      </c>
      <c r="E1991">
        <f>'906MP'!X1691</f>
        <v>0</v>
      </c>
      <c r="F1991" t="str">
        <f t="shared" si="599"/>
        <v>0</v>
      </c>
      <c r="G1991" t="str">
        <f t="shared" si="600"/>
        <v>0</v>
      </c>
      <c r="H1991">
        <f>'906MP'!Y1691</f>
        <v>0</v>
      </c>
      <c r="I1991">
        <f>'906MP'!AK1691</f>
        <v>0</v>
      </c>
      <c r="J1991">
        <f>'906MP'!T1691</f>
        <v>0</v>
      </c>
      <c r="K1991">
        <f>'906MP'!AJ1691</f>
        <v>0</v>
      </c>
      <c r="L1991">
        <f>'906MP'!U1691</f>
        <v>0</v>
      </c>
      <c r="M1991" s="322" t="str">
        <f>IFERROR(VLOOKUP(A1991,PAR!$D$3:$E$53,2,FALSE),"nincs szervezet")</f>
        <v>nincs szervezet</v>
      </c>
      <c r="N1991" s="322" t="str">
        <f>VLOOKUP(F1991,PAR!$R$3:$S$5,2,FALSE)</f>
        <v>3 - egyik sem</v>
      </c>
      <c r="O1991" t="str">
        <f>IFERROR(VLOOKUP(J1991,PAR!$O$3:$P$5,2,FALSE),"nincs feladat")</f>
        <v>nincs feladat</v>
      </c>
      <c r="P1991" t="str">
        <f>IFERROR(VLOOKUP(G1991,PAR!$J$2:$M$19,4),"nincs rovat")</f>
        <v>nincs rovat</v>
      </c>
      <c r="Q1991" t="str">
        <f>IF(H1991&gt;0,VLOOKUP(H1991,PAR!$AA$3:$AC$187,3,FALSE),"nincs főkönyvi számla")</f>
        <v>nincs főkönyvi számla</v>
      </c>
      <c r="R1991" t="str">
        <f>IFERROR(VLOOKUP(K1991,PAR!$V$3:$X$438,3,FALSE),"000000 - Nincs COFOG")</f>
        <v>000000 - Nincs COFOG</v>
      </c>
      <c r="S1991">
        <f t="shared" si="601"/>
        <v>0</v>
      </c>
      <c r="T1991">
        <f t="shared" si="602"/>
        <v>0</v>
      </c>
      <c r="U1991" t="str">
        <f>IF('906MP'!J1691&gt;0,CONCATENATE('906MP'!J1691," - ",'906MP'!P1691,", ",'906MP'!E1691),"nincs megjegyzés")</f>
        <v>nincs megjegyzés</v>
      </c>
      <c r="V1991" t="str">
        <f t="shared" si="589"/>
        <v>0P0</v>
      </c>
      <c r="W1991" t="str">
        <f t="shared" si="590"/>
        <v>0P0</v>
      </c>
      <c r="X1991" t="str">
        <f t="shared" si="591"/>
        <v>P0</v>
      </c>
      <c r="Y1991" t="str">
        <f t="shared" si="592"/>
        <v>00</v>
      </c>
      <c r="Z1991" t="str">
        <f t="shared" si="603"/>
        <v>00</v>
      </c>
      <c r="AA1991" t="str">
        <f t="shared" si="593"/>
        <v>00</v>
      </c>
      <c r="AB1991" t="str">
        <f t="shared" si="594"/>
        <v>00</v>
      </c>
      <c r="AC1991" t="str">
        <f t="shared" si="595"/>
        <v>0P0</v>
      </c>
      <c r="AD1991" t="str">
        <f t="shared" si="596"/>
        <v>P00</v>
      </c>
      <c r="AE1991" t="str">
        <f t="shared" si="597"/>
        <v>0P0</v>
      </c>
      <c r="AF1991" t="str">
        <f t="shared" si="598"/>
        <v>P00</v>
      </c>
      <c r="AG1991" t="str">
        <f t="shared" si="604"/>
        <v>0P00</v>
      </c>
      <c r="AH1991" t="str">
        <f t="shared" si="605"/>
        <v>P000</v>
      </c>
      <c r="AI1991" t="str">
        <f t="shared" si="606"/>
        <v>0P00</v>
      </c>
      <c r="AJ1991" t="str">
        <f t="shared" si="607"/>
        <v>P000</v>
      </c>
    </row>
    <row r="1992" spans="1:36" x14ac:dyDescent="0.25">
      <c r="A1992" s="325" t="str">
        <f>CONCATENATE("P",'906MP'!M1692)</f>
        <v>P</v>
      </c>
      <c r="B1992">
        <f>'906MP'!H1692</f>
        <v>0</v>
      </c>
      <c r="C1992">
        <f>'906MP'!J1692</f>
        <v>0</v>
      </c>
      <c r="D1992">
        <f>'906MP'!P1692</f>
        <v>0</v>
      </c>
      <c r="E1992">
        <f>'906MP'!X1692</f>
        <v>0</v>
      </c>
      <c r="F1992" t="str">
        <f t="shared" si="599"/>
        <v>0</v>
      </c>
      <c r="G1992" t="str">
        <f t="shared" si="600"/>
        <v>0</v>
      </c>
      <c r="H1992">
        <f>'906MP'!Y1692</f>
        <v>0</v>
      </c>
      <c r="I1992">
        <f>'906MP'!AK1692</f>
        <v>0</v>
      </c>
      <c r="J1992">
        <f>'906MP'!T1692</f>
        <v>0</v>
      </c>
      <c r="K1992">
        <f>'906MP'!AJ1692</f>
        <v>0</v>
      </c>
      <c r="L1992">
        <f>'906MP'!U1692</f>
        <v>0</v>
      </c>
      <c r="M1992" s="322" t="str">
        <f>IFERROR(VLOOKUP(A1992,PAR!$D$3:$E$53,2,FALSE),"nincs szervezet")</f>
        <v>nincs szervezet</v>
      </c>
      <c r="N1992" s="322" t="str">
        <f>VLOOKUP(F1992,PAR!$R$3:$S$5,2,FALSE)</f>
        <v>3 - egyik sem</v>
      </c>
      <c r="O1992" t="str">
        <f>IFERROR(VLOOKUP(J1992,PAR!$O$3:$P$5,2,FALSE),"nincs feladat")</f>
        <v>nincs feladat</v>
      </c>
      <c r="P1992" t="str">
        <f>IFERROR(VLOOKUP(G1992,PAR!$J$2:$M$19,4),"nincs rovat")</f>
        <v>nincs rovat</v>
      </c>
      <c r="Q1992" t="str">
        <f>IF(H1992&gt;0,VLOOKUP(H1992,PAR!$AA$3:$AC$187,3,FALSE),"nincs főkönyvi számla")</f>
        <v>nincs főkönyvi számla</v>
      </c>
      <c r="R1992" t="str">
        <f>IFERROR(VLOOKUP(K1992,PAR!$V$3:$X$438,3,FALSE),"000000 - Nincs COFOG")</f>
        <v>000000 - Nincs COFOG</v>
      </c>
      <c r="S1992">
        <f t="shared" si="601"/>
        <v>0</v>
      </c>
      <c r="T1992">
        <f t="shared" si="602"/>
        <v>0</v>
      </c>
      <c r="U1992" t="str">
        <f>IF('906MP'!J1692&gt;0,CONCATENATE('906MP'!J1692," - ",'906MP'!P1692,", ",'906MP'!E1692),"nincs megjegyzés")</f>
        <v>nincs megjegyzés</v>
      </c>
      <c r="V1992" t="str">
        <f t="shared" si="589"/>
        <v>0P0</v>
      </c>
      <c r="W1992" t="str">
        <f t="shared" si="590"/>
        <v>0P0</v>
      </c>
      <c r="X1992" t="str">
        <f t="shared" si="591"/>
        <v>P0</v>
      </c>
      <c r="Y1992" t="str">
        <f t="shared" si="592"/>
        <v>00</v>
      </c>
      <c r="Z1992" t="str">
        <f t="shared" si="603"/>
        <v>00</v>
      </c>
      <c r="AA1992" t="str">
        <f t="shared" si="593"/>
        <v>00</v>
      </c>
      <c r="AB1992" t="str">
        <f t="shared" si="594"/>
        <v>00</v>
      </c>
      <c r="AC1992" t="str">
        <f t="shared" si="595"/>
        <v>0P0</v>
      </c>
      <c r="AD1992" t="str">
        <f t="shared" si="596"/>
        <v>P00</v>
      </c>
      <c r="AE1992" t="str">
        <f t="shared" si="597"/>
        <v>0P0</v>
      </c>
      <c r="AF1992" t="str">
        <f t="shared" si="598"/>
        <v>P00</v>
      </c>
      <c r="AG1992" t="str">
        <f t="shared" si="604"/>
        <v>0P00</v>
      </c>
      <c r="AH1992" t="str">
        <f t="shared" si="605"/>
        <v>P000</v>
      </c>
      <c r="AI1992" t="str">
        <f t="shared" si="606"/>
        <v>0P00</v>
      </c>
      <c r="AJ1992" t="str">
        <f t="shared" si="607"/>
        <v>P000</v>
      </c>
    </row>
    <row r="1993" spans="1:36" x14ac:dyDescent="0.25">
      <c r="A1993" s="325" t="str">
        <f>CONCATENATE("P",'906MP'!M1693)</f>
        <v>P</v>
      </c>
      <c r="B1993">
        <f>'906MP'!H1693</f>
        <v>0</v>
      </c>
      <c r="C1993">
        <f>'906MP'!J1693</f>
        <v>0</v>
      </c>
      <c r="D1993">
        <f>'906MP'!P1693</f>
        <v>0</v>
      </c>
      <c r="E1993">
        <f>'906MP'!X1693</f>
        <v>0</v>
      </c>
      <c r="F1993" t="str">
        <f t="shared" si="599"/>
        <v>0</v>
      </c>
      <c r="G1993" t="str">
        <f t="shared" si="600"/>
        <v>0</v>
      </c>
      <c r="H1993">
        <f>'906MP'!Y1693</f>
        <v>0</v>
      </c>
      <c r="I1993">
        <f>'906MP'!AK1693</f>
        <v>0</v>
      </c>
      <c r="J1993">
        <f>'906MP'!T1693</f>
        <v>0</v>
      </c>
      <c r="K1993">
        <f>'906MP'!AJ1693</f>
        <v>0</v>
      </c>
      <c r="L1993">
        <f>'906MP'!U1693</f>
        <v>0</v>
      </c>
      <c r="M1993" s="322" t="str">
        <f>IFERROR(VLOOKUP(A1993,PAR!$D$3:$E$53,2,FALSE),"nincs szervezet")</f>
        <v>nincs szervezet</v>
      </c>
      <c r="N1993" s="322" t="str">
        <f>VLOOKUP(F1993,PAR!$R$3:$S$5,2,FALSE)</f>
        <v>3 - egyik sem</v>
      </c>
      <c r="O1993" t="str">
        <f>IFERROR(VLOOKUP(J1993,PAR!$O$3:$P$5,2,FALSE),"nincs feladat")</f>
        <v>nincs feladat</v>
      </c>
      <c r="P1993" t="str">
        <f>IFERROR(VLOOKUP(G1993,PAR!$J$2:$M$19,4),"nincs rovat")</f>
        <v>nincs rovat</v>
      </c>
      <c r="Q1993" t="str">
        <f>IF(H1993&gt;0,VLOOKUP(H1993,PAR!$AA$3:$AC$187,3,FALSE),"nincs főkönyvi számla")</f>
        <v>nincs főkönyvi számla</v>
      </c>
      <c r="R1993" t="str">
        <f>IFERROR(VLOOKUP(K1993,PAR!$V$3:$X$438,3,FALSE),"000000 - Nincs COFOG")</f>
        <v>000000 - Nincs COFOG</v>
      </c>
      <c r="S1993">
        <f t="shared" si="601"/>
        <v>0</v>
      </c>
      <c r="T1993">
        <f t="shared" si="602"/>
        <v>0</v>
      </c>
      <c r="U1993" t="str">
        <f>IF('906MP'!J1693&gt;0,CONCATENATE('906MP'!J1693," - ",'906MP'!P1693,", ",'906MP'!E1693),"nincs megjegyzés")</f>
        <v>nincs megjegyzés</v>
      </c>
      <c r="V1993" t="str">
        <f t="shared" si="589"/>
        <v>0P0</v>
      </c>
      <c r="W1993" t="str">
        <f t="shared" si="590"/>
        <v>0P0</v>
      </c>
      <c r="X1993" t="str">
        <f t="shared" si="591"/>
        <v>P0</v>
      </c>
      <c r="Y1993" t="str">
        <f t="shared" si="592"/>
        <v>00</v>
      </c>
      <c r="Z1993" t="str">
        <f t="shared" si="603"/>
        <v>00</v>
      </c>
      <c r="AA1993" t="str">
        <f t="shared" si="593"/>
        <v>00</v>
      </c>
      <c r="AB1993" t="str">
        <f t="shared" si="594"/>
        <v>00</v>
      </c>
      <c r="AC1993" t="str">
        <f t="shared" si="595"/>
        <v>0P0</v>
      </c>
      <c r="AD1993" t="str">
        <f t="shared" si="596"/>
        <v>P00</v>
      </c>
      <c r="AE1993" t="str">
        <f t="shared" si="597"/>
        <v>0P0</v>
      </c>
      <c r="AF1993" t="str">
        <f t="shared" si="598"/>
        <v>P00</v>
      </c>
      <c r="AG1993" t="str">
        <f t="shared" si="604"/>
        <v>0P00</v>
      </c>
      <c r="AH1993" t="str">
        <f t="shared" si="605"/>
        <v>P000</v>
      </c>
      <c r="AI1993" t="str">
        <f t="shared" si="606"/>
        <v>0P00</v>
      </c>
      <c r="AJ1993" t="str">
        <f t="shared" si="607"/>
        <v>P000</v>
      </c>
    </row>
    <row r="1994" spans="1:36" x14ac:dyDescent="0.25">
      <c r="A1994" s="325" t="str">
        <f>CONCATENATE("P",'906MP'!M1694)</f>
        <v>P</v>
      </c>
      <c r="B1994">
        <f>'906MP'!H1694</f>
        <v>0</v>
      </c>
      <c r="C1994">
        <f>'906MP'!J1694</f>
        <v>0</v>
      </c>
      <c r="D1994">
        <f>'906MP'!P1694</f>
        <v>0</v>
      </c>
      <c r="E1994">
        <f>'906MP'!X1694</f>
        <v>0</v>
      </c>
      <c r="F1994" t="str">
        <f t="shared" si="599"/>
        <v>0</v>
      </c>
      <c r="G1994" t="str">
        <f t="shared" si="600"/>
        <v>0</v>
      </c>
      <c r="H1994">
        <f>'906MP'!Y1694</f>
        <v>0</v>
      </c>
      <c r="I1994">
        <f>'906MP'!AK1694</f>
        <v>0</v>
      </c>
      <c r="J1994">
        <f>'906MP'!T1694</f>
        <v>0</v>
      </c>
      <c r="K1994">
        <f>'906MP'!AJ1694</f>
        <v>0</v>
      </c>
      <c r="L1994">
        <f>'906MP'!U1694</f>
        <v>0</v>
      </c>
      <c r="M1994" s="322" t="str">
        <f>IFERROR(VLOOKUP(A1994,PAR!$D$3:$E$53,2,FALSE),"nincs szervezet")</f>
        <v>nincs szervezet</v>
      </c>
      <c r="N1994" s="322" t="str">
        <f>VLOOKUP(F1994,PAR!$R$3:$S$5,2,FALSE)</f>
        <v>3 - egyik sem</v>
      </c>
      <c r="O1994" t="str">
        <f>IFERROR(VLOOKUP(J1994,PAR!$O$3:$P$5,2,FALSE),"nincs feladat")</f>
        <v>nincs feladat</v>
      </c>
      <c r="P1994" t="str">
        <f>IFERROR(VLOOKUP(G1994,PAR!$J$2:$M$19,4),"nincs rovat")</f>
        <v>nincs rovat</v>
      </c>
      <c r="Q1994" t="str">
        <f>IF(H1994&gt;0,VLOOKUP(H1994,PAR!$AA$3:$AC$187,3,FALSE),"nincs főkönyvi számla")</f>
        <v>nincs főkönyvi számla</v>
      </c>
      <c r="R1994" t="str">
        <f>IFERROR(VLOOKUP(K1994,PAR!$V$3:$X$438,3,FALSE),"000000 - Nincs COFOG")</f>
        <v>000000 - Nincs COFOG</v>
      </c>
      <c r="S1994">
        <f t="shared" si="601"/>
        <v>0</v>
      </c>
      <c r="T1994">
        <f t="shared" si="602"/>
        <v>0</v>
      </c>
      <c r="U1994" t="str">
        <f>IF('906MP'!J1694&gt;0,CONCATENATE('906MP'!J1694," - ",'906MP'!P1694,", ",'906MP'!E1694),"nincs megjegyzés")</f>
        <v>nincs megjegyzés</v>
      </c>
      <c r="V1994" t="str">
        <f t="shared" si="589"/>
        <v>0P0</v>
      </c>
      <c r="W1994" t="str">
        <f t="shared" si="590"/>
        <v>0P0</v>
      </c>
      <c r="X1994" t="str">
        <f t="shared" si="591"/>
        <v>P0</v>
      </c>
      <c r="Y1994" t="str">
        <f t="shared" si="592"/>
        <v>00</v>
      </c>
      <c r="Z1994" t="str">
        <f t="shared" si="603"/>
        <v>00</v>
      </c>
      <c r="AA1994" t="str">
        <f t="shared" si="593"/>
        <v>00</v>
      </c>
      <c r="AB1994" t="str">
        <f t="shared" si="594"/>
        <v>00</v>
      </c>
      <c r="AC1994" t="str">
        <f t="shared" si="595"/>
        <v>0P0</v>
      </c>
      <c r="AD1994" t="str">
        <f t="shared" si="596"/>
        <v>P00</v>
      </c>
      <c r="AE1994" t="str">
        <f t="shared" si="597"/>
        <v>0P0</v>
      </c>
      <c r="AF1994" t="str">
        <f t="shared" si="598"/>
        <v>P00</v>
      </c>
      <c r="AG1994" t="str">
        <f t="shared" si="604"/>
        <v>0P00</v>
      </c>
      <c r="AH1994" t="str">
        <f t="shared" si="605"/>
        <v>P000</v>
      </c>
      <c r="AI1994" t="str">
        <f t="shared" si="606"/>
        <v>0P00</v>
      </c>
      <c r="AJ1994" t="str">
        <f t="shared" si="607"/>
        <v>P000</v>
      </c>
    </row>
    <row r="1995" spans="1:36" x14ac:dyDescent="0.25">
      <c r="A1995" s="325" t="str">
        <f>CONCATENATE("P",'906MP'!M1695)</f>
        <v>P</v>
      </c>
      <c r="B1995">
        <f>'906MP'!H1695</f>
        <v>0</v>
      </c>
      <c r="C1995">
        <f>'906MP'!J1695</f>
        <v>0</v>
      </c>
      <c r="D1995">
        <f>'906MP'!P1695</f>
        <v>0</v>
      </c>
      <c r="E1995">
        <f>'906MP'!X1695</f>
        <v>0</v>
      </c>
      <c r="F1995" t="str">
        <f t="shared" si="599"/>
        <v>0</v>
      </c>
      <c r="G1995" t="str">
        <f t="shared" si="600"/>
        <v>0</v>
      </c>
      <c r="H1995">
        <f>'906MP'!Y1695</f>
        <v>0</v>
      </c>
      <c r="I1995">
        <f>'906MP'!AK1695</f>
        <v>0</v>
      </c>
      <c r="J1995">
        <f>'906MP'!T1695</f>
        <v>0</v>
      </c>
      <c r="K1995">
        <f>'906MP'!AJ1695</f>
        <v>0</v>
      </c>
      <c r="L1995">
        <f>'906MP'!U1695</f>
        <v>0</v>
      </c>
      <c r="M1995" s="322" t="str">
        <f>IFERROR(VLOOKUP(A1995,PAR!$D$3:$E$53,2,FALSE),"nincs szervezet")</f>
        <v>nincs szervezet</v>
      </c>
      <c r="N1995" s="322" t="str">
        <f>VLOOKUP(F1995,PAR!$R$3:$S$5,2,FALSE)</f>
        <v>3 - egyik sem</v>
      </c>
      <c r="O1995" t="str">
        <f>IFERROR(VLOOKUP(J1995,PAR!$O$3:$P$5,2,FALSE),"nincs feladat")</f>
        <v>nincs feladat</v>
      </c>
      <c r="P1995" t="str">
        <f>IFERROR(VLOOKUP(G1995,PAR!$J$2:$M$19,4),"nincs rovat")</f>
        <v>nincs rovat</v>
      </c>
      <c r="Q1995" t="str">
        <f>IF(H1995&gt;0,VLOOKUP(H1995,PAR!$AA$3:$AC$187,3,FALSE),"nincs főkönyvi számla")</f>
        <v>nincs főkönyvi számla</v>
      </c>
      <c r="R1995" t="str">
        <f>IFERROR(VLOOKUP(K1995,PAR!$V$3:$X$438,3,FALSE),"000000 - Nincs COFOG")</f>
        <v>000000 - Nincs COFOG</v>
      </c>
      <c r="S1995">
        <f t="shared" si="601"/>
        <v>0</v>
      </c>
      <c r="T1995">
        <f t="shared" si="602"/>
        <v>0</v>
      </c>
      <c r="U1995" t="str">
        <f>IF('906MP'!J1695&gt;0,CONCATENATE('906MP'!J1695," - ",'906MP'!P1695,", ",'906MP'!E1695),"nincs megjegyzés")</f>
        <v>nincs megjegyzés</v>
      </c>
      <c r="V1995" t="str">
        <f t="shared" si="589"/>
        <v>0P0</v>
      </c>
      <c r="W1995" t="str">
        <f t="shared" si="590"/>
        <v>0P0</v>
      </c>
      <c r="X1995" t="str">
        <f t="shared" si="591"/>
        <v>P0</v>
      </c>
      <c r="Y1995" t="str">
        <f t="shared" si="592"/>
        <v>00</v>
      </c>
      <c r="Z1995" t="str">
        <f t="shared" si="603"/>
        <v>00</v>
      </c>
      <c r="AA1995" t="str">
        <f t="shared" si="593"/>
        <v>00</v>
      </c>
      <c r="AB1995" t="str">
        <f t="shared" si="594"/>
        <v>00</v>
      </c>
      <c r="AC1995" t="str">
        <f t="shared" si="595"/>
        <v>0P0</v>
      </c>
      <c r="AD1995" t="str">
        <f t="shared" si="596"/>
        <v>P00</v>
      </c>
      <c r="AE1995" t="str">
        <f t="shared" si="597"/>
        <v>0P0</v>
      </c>
      <c r="AF1995" t="str">
        <f t="shared" si="598"/>
        <v>P00</v>
      </c>
      <c r="AG1995" t="str">
        <f t="shared" si="604"/>
        <v>0P00</v>
      </c>
      <c r="AH1995" t="str">
        <f t="shared" si="605"/>
        <v>P000</v>
      </c>
      <c r="AI1995" t="str">
        <f t="shared" si="606"/>
        <v>0P00</v>
      </c>
      <c r="AJ1995" t="str">
        <f t="shared" si="607"/>
        <v>P000</v>
      </c>
    </row>
    <row r="1996" spans="1:36" x14ac:dyDescent="0.25">
      <c r="A1996" s="325" t="str">
        <f>CONCATENATE("P",'906MP'!M1696)</f>
        <v>P</v>
      </c>
      <c r="B1996">
        <f>'906MP'!H1696</f>
        <v>0</v>
      </c>
      <c r="C1996">
        <f>'906MP'!J1696</f>
        <v>0</v>
      </c>
      <c r="D1996">
        <f>'906MP'!P1696</f>
        <v>0</v>
      </c>
      <c r="E1996">
        <f>'906MP'!X1696</f>
        <v>0</v>
      </c>
      <c r="F1996" t="str">
        <f t="shared" si="599"/>
        <v>0</v>
      </c>
      <c r="G1996" t="str">
        <f t="shared" si="600"/>
        <v>0</v>
      </c>
      <c r="H1996">
        <f>'906MP'!Y1696</f>
        <v>0</v>
      </c>
      <c r="I1996">
        <f>'906MP'!AK1696</f>
        <v>0</v>
      </c>
      <c r="J1996">
        <f>'906MP'!T1696</f>
        <v>0</v>
      </c>
      <c r="K1996">
        <f>'906MP'!AJ1696</f>
        <v>0</v>
      </c>
      <c r="L1996">
        <f>'906MP'!U1696</f>
        <v>0</v>
      </c>
      <c r="M1996" s="322" t="str">
        <f>IFERROR(VLOOKUP(A1996,PAR!$D$3:$E$53,2,FALSE),"nincs szervezet")</f>
        <v>nincs szervezet</v>
      </c>
      <c r="N1996" s="322" t="str">
        <f>VLOOKUP(F1996,PAR!$R$3:$S$5,2,FALSE)</f>
        <v>3 - egyik sem</v>
      </c>
      <c r="O1996" t="str">
        <f>IFERROR(VLOOKUP(J1996,PAR!$O$3:$P$5,2,FALSE),"nincs feladat")</f>
        <v>nincs feladat</v>
      </c>
      <c r="P1996" t="str">
        <f>IFERROR(VLOOKUP(G1996,PAR!$J$2:$M$19,4),"nincs rovat")</f>
        <v>nincs rovat</v>
      </c>
      <c r="Q1996" t="str">
        <f>IF(H1996&gt;0,VLOOKUP(H1996,PAR!$AA$3:$AC$187,3,FALSE),"nincs főkönyvi számla")</f>
        <v>nincs főkönyvi számla</v>
      </c>
      <c r="R1996" t="str">
        <f>IFERROR(VLOOKUP(K1996,PAR!$V$3:$X$438,3,FALSE),"000000 - Nincs COFOG")</f>
        <v>000000 - Nincs COFOG</v>
      </c>
      <c r="S1996">
        <f t="shared" si="601"/>
        <v>0</v>
      </c>
      <c r="T1996">
        <f t="shared" si="602"/>
        <v>0</v>
      </c>
      <c r="U1996" t="str">
        <f>IF('906MP'!J1696&gt;0,CONCATENATE('906MP'!J1696," - ",'906MP'!P1696,", ",'906MP'!E1696),"nincs megjegyzés")</f>
        <v>nincs megjegyzés</v>
      </c>
      <c r="V1996" t="str">
        <f t="shared" si="589"/>
        <v>0P0</v>
      </c>
      <c r="W1996" t="str">
        <f t="shared" si="590"/>
        <v>0P0</v>
      </c>
      <c r="X1996" t="str">
        <f t="shared" si="591"/>
        <v>P0</v>
      </c>
      <c r="Y1996" t="str">
        <f t="shared" si="592"/>
        <v>00</v>
      </c>
      <c r="Z1996" t="str">
        <f t="shared" si="603"/>
        <v>00</v>
      </c>
      <c r="AA1996" t="str">
        <f t="shared" si="593"/>
        <v>00</v>
      </c>
      <c r="AB1996" t="str">
        <f t="shared" si="594"/>
        <v>00</v>
      </c>
      <c r="AC1996" t="str">
        <f t="shared" si="595"/>
        <v>0P0</v>
      </c>
      <c r="AD1996" t="str">
        <f t="shared" si="596"/>
        <v>P00</v>
      </c>
      <c r="AE1996" t="str">
        <f t="shared" si="597"/>
        <v>0P0</v>
      </c>
      <c r="AF1996" t="str">
        <f t="shared" si="598"/>
        <v>P00</v>
      </c>
      <c r="AG1996" t="str">
        <f t="shared" si="604"/>
        <v>0P00</v>
      </c>
      <c r="AH1996" t="str">
        <f t="shared" si="605"/>
        <v>P000</v>
      </c>
      <c r="AI1996" t="str">
        <f t="shared" si="606"/>
        <v>0P00</v>
      </c>
      <c r="AJ1996" t="str">
        <f t="shared" si="607"/>
        <v>P000</v>
      </c>
    </row>
    <row r="1997" spans="1:36" x14ac:dyDescent="0.25">
      <c r="A1997" s="325" t="str">
        <f>CONCATENATE("P",'906MP'!M1697)</f>
        <v>P</v>
      </c>
      <c r="B1997">
        <f>'906MP'!H1697</f>
        <v>0</v>
      </c>
      <c r="C1997">
        <f>'906MP'!J1697</f>
        <v>0</v>
      </c>
      <c r="D1997">
        <f>'906MP'!P1697</f>
        <v>0</v>
      </c>
      <c r="E1997">
        <f>'906MP'!X1697</f>
        <v>0</v>
      </c>
      <c r="F1997" t="str">
        <f t="shared" si="599"/>
        <v>0</v>
      </c>
      <c r="G1997" t="str">
        <f t="shared" si="600"/>
        <v>0</v>
      </c>
      <c r="H1997">
        <f>'906MP'!Y1697</f>
        <v>0</v>
      </c>
      <c r="I1997">
        <f>'906MP'!AK1697</f>
        <v>0</v>
      </c>
      <c r="J1997">
        <f>'906MP'!T1697</f>
        <v>0</v>
      </c>
      <c r="K1997">
        <f>'906MP'!AJ1697</f>
        <v>0</v>
      </c>
      <c r="L1997">
        <f>'906MP'!U1697</f>
        <v>0</v>
      </c>
      <c r="M1997" s="322" t="str">
        <f>IFERROR(VLOOKUP(A1997,PAR!$D$3:$E$53,2,FALSE),"nincs szervezet")</f>
        <v>nincs szervezet</v>
      </c>
      <c r="N1997" s="322" t="str">
        <f>VLOOKUP(F1997,PAR!$R$3:$S$5,2,FALSE)</f>
        <v>3 - egyik sem</v>
      </c>
      <c r="O1997" t="str">
        <f>IFERROR(VLOOKUP(J1997,PAR!$O$3:$P$5,2,FALSE),"nincs feladat")</f>
        <v>nincs feladat</v>
      </c>
      <c r="P1997" t="str">
        <f>IFERROR(VLOOKUP(G1997,PAR!$J$2:$M$19,4),"nincs rovat")</f>
        <v>nincs rovat</v>
      </c>
      <c r="Q1997" t="str">
        <f>IF(H1997&gt;0,VLOOKUP(H1997,PAR!$AA$3:$AC$187,3,FALSE),"nincs főkönyvi számla")</f>
        <v>nincs főkönyvi számla</v>
      </c>
      <c r="R1997" t="str">
        <f>IFERROR(VLOOKUP(K1997,PAR!$V$3:$X$438,3,FALSE),"000000 - Nincs COFOG")</f>
        <v>000000 - Nincs COFOG</v>
      </c>
      <c r="S1997">
        <f t="shared" si="601"/>
        <v>0</v>
      </c>
      <c r="T1997">
        <f t="shared" si="602"/>
        <v>0</v>
      </c>
      <c r="U1997" t="str">
        <f>IF('906MP'!J1697&gt;0,CONCATENATE('906MP'!J1697," - ",'906MP'!P1697,", ",'906MP'!E1697),"nincs megjegyzés")</f>
        <v>nincs megjegyzés</v>
      </c>
      <c r="V1997" t="str">
        <f t="shared" si="589"/>
        <v>0P0</v>
      </c>
      <c r="W1997" t="str">
        <f t="shared" si="590"/>
        <v>0P0</v>
      </c>
      <c r="X1997" t="str">
        <f t="shared" si="591"/>
        <v>P0</v>
      </c>
      <c r="Y1997" t="str">
        <f t="shared" si="592"/>
        <v>00</v>
      </c>
      <c r="Z1997" t="str">
        <f t="shared" si="603"/>
        <v>00</v>
      </c>
      <c r="AA1997" t="str">
        <f t="shared" si="593"/>
        <v>00</v>
      </c>
      <c r="AB1997" t="str">
        <f t="shared" si="594"/>
        <v>00</v>
      </c>
      <c r="AC1997" t="str">
        <f t="shared" si="595"/>
        <v>0P0</v>
      </c>
      <c r="AD1997" t="str">
        <f t="shared" si="596"/>
        <v>P00</v>
      </c>
      <c r="AE1997" t="str">
        <f t="shared" si="597"/>
        <v>0P0</v>
      </c>
      <c r="AF1997" t="str">
        <f t="shared" si="598"/>
        <v>P00</v>
      </c>
      <c r="AG1997" t="str">
        <f t="shared" si="604"/>
        <v>0P00</v>
      </c>
      <c r="AH1997" t="str">
        <f t="shared" si="605"/>
        <v>P000</v>
      </c>
      <c r="AI1997" t="str">
        <f t="shared" si="606"/>
        <v>0P00</v>
      </c>
      <c r="AJ1997" t="str">
        <f t="shared" si="607"/>
        <v>P000</v>
      </c>
    </row>
    <row r="1998" spans="1:36" x14ac:dyDescent="0.25">
      <c r="A1998" s="325" t="str">
        <f>CONCATENATE("P",'906MP'!M1698)</f>
        <v>P</v>
      </c>
      <c r="B1998">
        <f>'906MP'!H1698</f>
        <v>0</v>
      </c>
      <c r="C1998">
        <f>'906MP'!J1698</f>
        <v>0</v>
      </c>
      <c r="D1998">
        <f>'906MP'!P1698</f>
        <v>0</v>
      </c>
      <c r="E1998">
        <f>'906MP'!X1698</f>
        <v>0</v>
      </c>
      <c r="F1998" t="str">
        <f t="shared" si="599"/>
        <v>0</v>
      </c>
      <c r="G1998" t="str">
        <f t="shared" si="600"/>
        <v>0</v>
      </c>
      <c r="H1998">
        <f>'906MP'!Y1698</f>
        <v>0</v>
      </c>
      <c r="I1998">
        <f>'906MP'!AK1698</f>
        <v>0</v>
      </c>
      <c r="J1998">
        <f>'906MP'!T1698</f>
        <v>0</v>
      </c>
      <c r="K1998">
        <f>'906MP'!AJ1698</f>
        <v>0</v>
      </c>
      <c r="L1998">
        <f>'906MP'!U1698</f>
        <v>0</v>
      </c>
      <c r="M1998" s="322" t="str">
        <f>IFERROR(VLOOKUP(A1998,PAR!$D$3:$E$53,2,FALSE),"nincs szervezet")</f>
        <v>nincs szervezet</v>
      </c>
      <c r="N1998" s="322" t="str">
        <f>VLOOKUP(F1998,PAR!$R$3:$S$5,2,FALSE)</f>
        <v>3 - egyik sem</v>
      </c>
      <c r="O1998" t="str">
        <f>IFERROR(VLOOKUP(J1998,PAR!$O$3:$P$5,2,FALSE),"nincs feladat")</f>
        <v>nincs feladat</v>
      </c>
      <c r="P1998" t="str">
        <f>IFERROR(VLOOKUP(G1998,PAR!$J$2:$M$19,4),"nincs rovat")</f>
        <v>nincs rovat</v>
      </c>
      <c r="Q1998" t="str">
        <f>IF(H1998&gt;0,VLOOKUP(H1998,PAR!$AA$3:$AC$187,3,FALSE),"nincs főkönyvi számla")</f>
        <v>nincs főkönyvi számla</v>
      </c>
      <c r="R1998" t="str">
        <f>IFERROR(VLOOKUP(K1998,PAR!$V$3:$X$438,3,FALSE),"000000 - Nincs COFOG")</f>
        <v>000000 - Nincs COFOG</v>
      </c>
      <c r="S1998">
        <f t="shared" si="601"/>
        <v>0</v>
      </c>
      <c r="T1998">
        <f t="shared" si="602"/>
        <v>0</v>
      </c>
      <c r="U1998" t="str">
        <f>IF('906MP'!J1698&gt;0,CONCATENATE('906MP'!J1698," - ",'906MP'!P1698,", ",'906MP'!E1698),"nincs megjegyzés")</f>
        <v>nincs megjegyzés</v>
      </c>
      <c r="V1998" t="str">
        <f t="shared" si="589"/>
        <v>0P0</v>
      </c>
      <c r="W1998" t="str">
        <f t="shared" si="590"/>
        <v>0P0</v>
      </c>
      <c r="X1998" t="str">
        <f t="shared" si="591"/>
        <v>P0</v>
      </c>
      <c r="Y1998" t="str">
        <f t="shared" si="592"/>
        <v>00</v>
      </c>
      <c r="Z1998" t="str">
        <f t="shared" si="603"/>
        <v>00</v>
      </c>
      <c r="AA1998" t="str">
        <f t="shared" si="593"/>
        <v>00</v>
      </c>
      <c r="AB1998" t="str">
        <f t="shared" si="594"/>
        <v>00</v>
      </c>
      <c r="AC1998" t="str">
        <f t="shared" si="595"/>
        <v>0P0</v>
      </c>
      <c r="AD1998" t="str">
        <f t="shared" si="596"/>
        <v>P00</v>
      </c>
      <c r="AE1998" t="str">
        <f t="shared" si="597"/>
        <v>0P0</v>
      </c>
      <c r="AF1998" t="str">
        <f t="shared" si="598"/>
        <v>P00</v>
      </c>
      <c r="AG1998" t="str">
        <f t="shared" si="604"/>
        <v>0P00</v>
      </c>
      <c r="AH1998" t="str">
        <f t="shared" si="605"/>
        <v>P000</v>
      </c>
      <c r="AI1998" t="str">
        <f t="shared" si="606"/>
        <v>0P00</v>
      </c>
      <c r="AJ1998" t="str">
        <f t="shared" si="607"/>
        <v>P000</v>
      </c>
    </row>
    <row r="1999" spans="1:36" x14ac:dyDescent="0.25">
      <c r="A1999" s="325" t="str">
        <f>CONCATENATE("P",'906MP'!M1699)</f>
        <v>P</v>
      </c>
      <c r="B1999">
        <f>'906MP'!H1699</f>
        <v>0</v>
      </c>
      <c r="C1999">
        <f>'906MP'!J1699</f>
        <v>0</v>
      </c>
      <c r="D1999">
        <f>'906MP'!P1699</f>
        <v>0</v>
      </c>
      <c r="E1999">
        <f>'906MP'!X1699</f>
        <v>0</v>
      </c>
      <c r="F1999" t="str">
        <f t="shared" si="599"/>
        <v>0</v>
      </c>
      <c r="G1999" t="str">
        <f t="shared" si="600"/>
        <v>0</v>
      </c>
      <c r="H1999">
        <f>'906MP'!Y1699</f>
        <v>0</v>
      </c>
      <c r="I1999">
        <f>'906MP'!AK1699</f>
        <v>0</v>
      </c>
      <c r="J1999">
        <f>'906MP'!T1699</f>
        <v>0</v>
      </c>
      <c r="K1999">
        <f>'906MP'!AJ1699</f>
        <v>0</v>
      </c>
      <c r="L1999">
        <f>'906MP'!U1699</f>
        <v>0</v>
      </c>
      <c r="M1999" s="322" t="str">
        <f>IFERROR(VLOOKUP(A1999,PAR!$D$3:$E$53,2,FALSE),"nincs szervezet")</f>
        <v>nincs szervezet</v>
      </c>
      <c r="N1999" s="322" t="str">
        <f>VLOOKUP(F1999,PAR!$R$3:$S$5,2,FALSE)</f>
        <v>3 - egyik sem</v>
      </c>
      <c r="O1999" t="str">
        <f>IFERROR(VLOOKUP(J1999,PAR!$O$3:$P$5,2,FALSE),"nincs feladat")</f>
        <v>nincs feladat</v>
      </c>
      <c r="P1999" t="str">
        <f>IFERROR(VLOOKUP(G1999,PAR!$J$2:$M$19,4),"nincs rovat")</f>
        <v>nincs rovat</v>
      </c>
      <c r="Q1999" t="str">
        <f>IF(H1999&gt;0,VLOOKUP(H1999,PAR!$AA$3:$AC$187,3,FALSE),"nincs főkönyvi számla")</f>
        <v>nincs főkönyvi számla</v>
      </c>
      <c r="R1999" t="str">
        <f>IFERROR(VLOOKUP(K1999,PAR!$V$3:$X$438,3,FALSE),"000000 - Nincs COFOG")</f>
        <v>000000 - Nincs COFOG</v>
      </c>
      <c r="S1999">
        <f t="shared" si="601"/>
        <v>0</v>
      </c>
      <c r="T1999">
        <f t="shared" si="602"/>
        <v>0</v>
      </c>
      <c r="U1999" t="str">
        <f>IF('906MP'!J1699&gt;0,CONCATENATE('906MP'!J1699," - ",'906MP'!P1699,", ",'906MP'!E1699),"nincs megjegyzés")</f>
        <v>nincs megjegyzés</v>
      </c>
      <c r="V1999" t="str">
        <f t="shared" si="589"/>
        <v>0P0</v>
      </c>
      <c r="W1999" t="str">
        <f t="shared" si="590"/>
        <v>0P0</v>
      </c>
      <c r="X1999" t="str">
        <f t="shared" si="591"/>
        <v>P0</v>
      </c>
      <c r="Y1999" t="str">
        <f t="shared" si="592"/>
        <v>00</v>
      </c>
      <c r="Z1999" t="str">
        <f t="shared" si="603"/>
        <v>00</v>
      </c>
      <c r="AA1999" t="str">
        <f t="shared" si="593"/>
        <v>00</v>
      </c>
      <c r="AB1999" t="str">
        <f t="shared" si="594"/>
        <v>00</v>
      </c>
      <c r="AC1999" t="str">
        <f t="shared" si="595"/>
        <v>0P0</v>
      </c>
      <c r="AD1999" t="str">
        <f t="shared" si="596"/>
        <v>P00</v>
      </c>
      <c r="AE1999" t="str">
        <f t="shared" si="597"/>
        <v>0P0</v>
      </c>
      <c r="AF1999" t="str">
        <f t="shared" si="598"/>
        <v>P00</v>
      </c>
      <c r="AG1999" t="str">
        <f t="shared" si="604"/>
        <v>0P00</v>
      </c>
      <c r="AH1999" t="str">
        <f t="shared" si="605"/>
        <v>P000</v>
      </c>
      <c r="AI1999" t="str">
        <f t="shared" si="606"/>
        <v>0P00</v>
      </c>
      <c r="AJ1999" t="str">
        <f t="shared" si="607"/>
        <v>P000</v>
      </c>
    </row>
    <row r="2000" spans="1:36" x14ac:dyDescent="0.25">
      <c r="A2000" s="325" t="str">
        <f>CONCATENATE("P",'906MP'!M1700)</f>
        <v>P</v>
      </c>
      <c r="B2000">
        <f>'906MP'!H1700</f>
        <v>0</v>
      </c>
      <c r="C2000">
        <f>'906MP'!J1700</f>
        <v>0</v>
      </c>
      <c r="D2000">
        <f>'906MP'!P1700</f>
        <v>0</v>
      </c>
      <c r="E2000">
        <f>'906MP'!X1700</f>
        <v>0</v>
      </c>
      <c r="F2000" t="str">
        <f t="shared" si="599"/>
        <v>0</v>
      </c>
      <c r="G2000" t="str">
        <f t="shared" si="600"/>
        <v>0</v>
      </c>
      <c r="H2000">
        <f>'906MP'!Y1700</f>
        <v>0</v>
      </c>
      <c r="I2000">
        <f>'906MP'!AK1700</f>
        <v>0</v>
      </c>
      <c r="J2000">
        <f>'906MP'!T1700</f>
        <v>0</v>
      </c>
      <c r="K2000">
        <f>'906MP'!AJ1700</f>
        <v>0</v>
      </c>
      <c r="L2000">
        <f>'906MP'!U1700</f>
        <v>0</v>
      </c>
      <c r="M2000" s="322" t="str">
        <f>IFERROR(VLOOKUP(A2000,PAR!$D$3:$E$53,2,FALSE),"nincs szervezet")</f>
        <v>nincs szervezet</v>
      </c>
      <c r="N2000" s="322" t="str">
        <f>VLOOKUP(F2000,PAR!$R$3:$S$5,2,FALSE)</f>
        <v>3 - egyik sem</v>
      </c>
      <c r="O2000" t="str">
        <f>IFERROR(VLOOKUP(J2000,PAR!$O$3:$P$5,2,FALSE),"nincs feladat")</f>
        <v>nincs feladat</v>
      </c>
      <c r="P2000" t="str">
        <f>IFERROR(VLOOKUP(G2000,PAR!$J$2:$M$19,4),"nincs rovat")</f>
        <v>nincs rovat</v>
      </c>
      <c r="Q2000" t="str">
        <f>IF(H2000&gt;0,VLOOKUP(H2000,PAR!$AA$3:$AC$187,3,FALSE),"nincs főkönyvi számla")</f>
        <v>nincs főkönyvi számla</v>
      </c>
      <c r="R2000" t="str">
        <f>IFERROR(VLOOKUP(K2000,PAR!$V$3:$X$438,3,FALSE),"000000 - Nincs COFOG")</f>
        <v>000000 - Nincs COFOG</v>
      </c>
      <c r="S2000">
        <f t="shared" si="601"/>
        <v>0</v>
      </c>
      <c r="T2000">
        <f t="shared" si="602"/>
        <v>0</v>
      </c>
      <c r="U2000" t="str">
        <f>IF('906MP'!J1700&gt;0,CONCATENATE('906MP'!J1700," - ",'906MP'!P1700,", ",'906MP'!E1700),"nincs megjegyzés")</f>
        <v>nincs megjegyzés</v>
      </c>
      <c r="V2000" t="str">
        <f t="shared" si="589"/>
        <v>0P0</v>
      </c>
      <c r="W2000" t="str">
        <f t="shared" si="590"/>
        <v>0P0</v>
      </c>
      <c r="X2000" t="str">
        <f t="shared" si="591"/>
        <v>P0</v>
      </c>
      <c r="Y2000" t="str">
        <f t="shared" si="592"/>
        <v>00</v>
      </c>
      <c r="Z2000" t="str">
        <f t="shared" si="603"/>
        <v>00</v>
      </c>
      <c r="AA2000" t="str">
        <f t="shared" si="593"/>
        <v>00</v>
      </c>
      <c r="AB2000" t="str">
        <f t="shared" si="594"/>
        <v>00</v>
      </c>
      <c r="AC2000" t="str">
        <f t="shared" si="595"/>
        <v>0P0</v>
      </c>
      <c r="AD2000" t="str">
        <f t="shared" si="596"/>
        <v>P00</v>
      </c>
      <c r="AE2000" t="str">
        <f t="shared" si="597"/>
        <v>0P0</v>
      </c>
      <c r="AF2000" t="str">
        <f t="shared" si="598"/>
        <v>P00</v>
      </c>
      <c r="AG2000" t="str">
        <f t="shared" si="604"/>
        <v>0P00</v>
      </c>
      <c r="AH2000" t="str">
        <f t="shared" si="605"/>
        <v>P000</v>
      </c>
      <c r="AI2000" t="str">
        <f t="shared" si="606"/>
        <v>0P00</v>
      </c>
      <c r="AJ2000" t="str">
        <f t="shared" si="607"/>
        <v>P000</v>
      </c>
    </row>
    <row r="2001" spans="1:36" x14ac:dyDescent="0.25">
      <c r="A2001" s="325" t="str">
        <f>CONCATENATE("P",'906MP'!M1701)</f>
        <v>P</v>
      </c>
      <c r="B2001">
        <f>'906MP'!H1701</f>
        <v>0</v>
      </c>
      <c r="C2001">
        <f>'906MP'!J1701</f>
        <v>0</v>
      </c>
      <c r="D2001">
        <f>'906MP'!P1701</f>
        <v>0</v>
      </c>
      <c r="E2001">
        <f>'906MP'!X1701</f>
        <v>0</v>
      </c>
      <c r="F2001" t="str">
        <f t="shared" si="599"/>
        <v>0</v>
      </c>
      <c r="G2001" t="str">
        <f t="shared" si="600"/>
        <v>0</v>
      </c>
      <c r="H2001">
        <f>'906MP'!Y1701</f>
        <v>0</v>
      </c>
      <c r="I2001">
        <f>'906MP'!AK1701</f>
        <v>0</v>
      </c>
      <c r="J2001">
        <f>'906MP'!T1701</f>
        <v>0</v>
      </c>
      <c r="K2001">
        <f>'906MP'!AJ1701</f>
        <v>0</v>
      </c>
      <c r="L2001">
        <f>'906MP'!U1701</f>
        <v>0</v>
      </c>
      <c r="M2001" s="322" t="str">
        <f>IFERROR(VLOOKUP(A2001,PAR!$D$3:$E$53,2,FALSE),"nincs szervezet")</f>
        <v>nincs szervezet</v>
      </c>
      <c r="N2001" s="322" t="str">
        <f>VLOOKUP(F2001,PAR!$R$3:$S$5,2,FALSE)</f>
        <v>3 - egyik sem</v>
      </c>
      <c r="O2001" t="str">
        <f>IFERROR(VLOOKUP(J2001,PAR!$O$3:$P$5,2,FALSE),"nincs feladat")</f>
        <v>nincs feladat</v>
      </c>
      <c r="P2001" t="str">
        <f>IFERROR(VLOOKUP(G2001,PAR!$J$2:$M$19,4),"nincs rovat")</f>
        <v>nincs rovat</v>
      </c>
      <c r="Q2001" t="str">
        <f>IF(H2001&gt;0,VLOOKUP(H2001,PAR!$AA$3:$AC$187,3,FALSE),"nincs főkönyvi számla")</f>
        <v>nincs főkönyvi számla</v>
      </c>
      <c r="R2001" t="str">
        <f>IFERROR(VLOOKUP(K2001,PAR!$V$3:$X$438,3,FALSE),"000000 - Nincs COFOG")</f>
        <v>000000 - Nincs COFOG</v>
      </c>
      <c r="S2001">
        <f t="shared" si="601"/>
        <v>0</v>
      </c>
      <c r="T2001">
        <f t="shared" si="602"/>
        <v>0</v>
      </c>
      <c r="U2001" t="str">
        <f>IF('906MP'!J1701&gt;0,CONCATENATE('906MP'!J1701," - ",'906MP'!P1701,", ",'906MP'!E1701),"nincs megjegyzés")</f>
        <v>nincs megjegyzés</v>
      </c>
      <c r="V2001" t="str">
        <f t="shared" si="589"/>
        <v>0P0</v>
      </c>
      <c r="W2001" t="str">
        <f t="shared" si="590"/>
        <v>0P0</v>
      </c>
      <c r="X2001" t="str">
        <f t="shared" si="591"/>
        <v>P0</v>
      </c>
      <c r="Y2001" t="str">
        <f t="shared" si="592"/>
        <v>00</v>
      </c>
      <c r="Z2001" t="str">
        <f t="shared" si="603"/>
        <v>00</v>
      </c>
      <c r="AA2001" t="str">
        <f t="shared" si="593"/>
        <v>00</v>
      </c>
      <c r="AB2001" t="str">
        <f t="shared" si="594"/>
        <v>00</v>
      </c>
      <c r="AC2001" t="str">
        <f t="shared" si="595"/>
        <v>0P0</v>
      </c>
      <c r="AD2001" t="str">
        <f t="shared" si="596"/>
        <v>P00</v>
      </c>
      <c r="AE2001" t="str">
        <f t="shared" si="597"/>
        <v>0P0</v>
      </c>
      <c r="AF2001" t="str">
        <f t="shared" si="598"/>
        <v>P00</v>
      </c>
      <c r="AG2001" t="str">
        <f t="shared" si="604"/>
        <v>0P00</v>
      </c>
      <c r="AH2001" t="str">
        <f t="shared" si="605"/>
        <v>P000</v>
      </c>
      <c r="AI2001" t="str">
        <f t="shared" si="606"/>
        <v>0P00</v>
      </c>
      <c r="AJ2001" t="str">
        <f t="shared" si="607"/>
        <v>P000</v>
      </c>
    </row>
    <row r="2002" spans="1:36" x14ac:dyDescent="0.25">
      <c r="A2002" s="325" t="str">
        <f>CONCATENATE("P",'906MP'!M1702)</f>
        <v>P</v>
      </c>
      <c r="B2002">
        <f>'906MP'!H1702</f>
        <v>0</v>
      </c>
      <c r="C2002">
        <f>'906MP'!J1702</f>
        <v>0</v>
      </c>
      <c r="D2002">
        <f>'906MP'!P1702</f>
        <v>0</v>
      </c>
      <c r="E2002">
        <f>'906MP'!X1702</f>
        <v>0</v>
      </c>
      <c r="F2002" t="str">
        <f t="shared" si="599"/>
        <v>0</v>
      </c>
      <c r="G2002" t="str">
        <f t="shared" si="600"/>
        <v>0</v>
      </c>
      <c r="H2002">
        <f>'906MP'!Y1702</f>
        <v>0</v>
      </c>
      <c r="I2002">
        <f>'906MP'!AK1702</f>
        <v>0</v>
      </c>
      <c r="J2002">
        <f>'906MP'!T1702</f>
        <v>0</v>
      </c>
      <c r="K2002">
        <f>'906MP'!AJ1702</f>
        <v>0</v>
      </c>
      <c r="L2002">
        <f>'906MP'!U1702</f>
        <v>0</v>
      </c>
      <c r="M2002" s="322" t="str">
        <f>IFERROR(VLOOKUP(A2002,PAR!$D$3:$E$53,2,FALSE),"nincs szervezet")</f>
        <v>nincs szervezet</v>
      </c>
      <c r="N2002" s="322" t="str">
        <f>VLOOKUP(F2002,PAR!$R$3:$S$5,2,FALSE)</f>
        <v>3 - egyik sem</v>
      </c>
      <c r="O2002" t="str">
        <f>IFERROR(VLOOKUP(J2002,PAR!$O$3:$P$5,2,FALSE),"nincs feladat")</f>
        <v>nincs feladat</v>
      </c>
      <c r="P2002" t="str">
        <f>IFERROR(VLOOKUP(G2002,PAR!$J$2:$M$19,4),"nincs rovat")</f>
        <v>nincs rovat</v>
      </c>
      <c r="Q2002" t="str">
        <f>IF(H2002&gt;0,VLOOKUP(H2002,PAR!$AA$3:$AC$187,3,FALSE),"nincs főkönyvi számla")</f>
        <v>nincs főkönyvi számla</v>
      </c>
      <c r="R2002" t="str">
        <f>IFERROR(VLOOKUP(K2002,PAR!$V$3:$X$438,3,FALSE),"000000 - Nincs COFOG")</f>
        <v>000000 - Nincs COFOG</v>
      </c>
      <c r="S2002">
        <f t="shared" si="601"/>
        <v>0</v>
      </c>
      <c r="T2002">
        <f t="shared" si="602"/>
        <v>0</v>
      </c>
      <c r="U2002" t="str">
        <f>IF('906MP'!J1702&gt;0,CONCATENATE('906MP'!J1702," - ",'906MP'!P1702,", ",'906MP'!E1702),"nincs megjegyzés")</f>
        <v>nincs megjegyzés</v>
      </c>
      <c r="V2002" t="str">
        <f t="shared" si="589"/>
        <v>0P0</v>
      </c>
      <c r="W2002" t="str">
        <f t="shared" si="590"/>
        <v>0P0</v>
      </c>
      <c r="X2002" t="str">
        <f t="shared" si="591"/>
        <v>P0</v>
      </c>
      <c r="Y2002" t="str">
        <f t="shared" si="592"/>
        <v>00</v>
      </c>
      <c r="Z2002" t="str">
        <f t="shared" si="603"/>
        <v>00</v>
      </c>
      <c r="AA2002" t="str">
        <f t="shared" si="593"/>
        <v>00</v>
      </c>
      <c r="AB2002" t="str">
        <f t="shared" si="594"/>
        <v>00</v>
      </c>
      <c r="AC2002" t="str">
        <f t="shared" si="595"/>
        <v>0P0</v>
      </c>
      <c r="AD2002" t="str">
        <f t="shared" si="596"/>
        <v>P00</v>
      </c>
      <c r="AE2002" t="str">
        <f t="shared" si="597"/>
        <v>0P0</v>
      </c>
      <c r="AF2002" t="str">
        <f t="shared" si="598"/>
        <v>P00</v>
      </c>
      <c r="AG2002" t="str">
        <f t="shared" si="604"/>
        <v>0P00</v>
      </c>
      <c r="AH2002" t="str">
        <f t="shared" si="605"/>
        <v>P000</v>
      </c>
      <c r="AI2002" t="str">
        <f t="shared" si="606"/>
        <v>0P00</v>
      </c>
      <c r="AJ2002" t="str">
        <f t="shared" si="607"/>
        <v>P000</v>
      </c>
    </row>
    <row r="2003" spans="1:36" x14ac:dyDescent="0.25">
      <c r="A2003" s="325" t="str">
        <f>CONCATENATE("P",'906MP'!M1703)</f>
        <v>P</v>
      </c>
      <c r="B2003">
        <f>'906MP'!H1703</f>
        <v>0</v>
      </c>
      <c r="C2003">
        <f>'906MP'!J1703</f>
        <v>0</v>
      </c>
      <c r="D2003">
        <f>'906MP'!P1703</f>
        <v>0</v>
      </c>
      <c r="E2003">
        <f>'906MP'!X1703</f>
        <v>0</v>
      </c>
      <c r="F2003" t="str">
        <f t="shared" si="599"/>
        <v>0</v>
      </c>
      <c r="G2003" t="str">
        <f t="shared" si="600"/>
        <v>0</v>
      </c>
      <c r="H2003">
        <f>'906MP'!Y1703</f>
        <v>0</v>
      </c>
      <c r="I2003">
        <f>'906MP'!AK1703</f>
        <v>0</v>
      </c>
      <c r="J2003">
        <f>'906MP'!T1703</f>
        <v>0</v>
      </c>
      <c r="K2003">
        <f>'906MP'!AJ1703</f>
        <v>0</v>
      </c>
      <c r="L2003">
        <f>'906MP'!U1703</f>
        <v>0</v>
      </c>
      <c r="M2003" s="322" t="str">
        <f>IFERROR(VLOOKUP(A2003,PAR!$D$3:$E$53,2,FALSE),"nincs szervezet")</f>
        <v>nincs szervezet</v>
      </c>
      <c r="N2003" s="322" t="str">
        <f>VLOOKUP(F2003,PAR!$R$3:$S$5,2,FALSE)</f>
        <v>3 - egyik sem</v>
      </c>
      <c r="O2003" t="str">
        <f>IFERROR(VLOOKUP(J2003,PAR!$O$3:$P$5,2,FALSE),"nincs feladat")</f>
        <v>nincs feladat</v>
      </c>
      <c r="P2003" t="str">
        <f>IFERROR(VLOOKUP(G2003,PAR!$J$2:$M$19,4),"nincs rovat")</f>
        <v>nincs rovat</v>
      </c>
      <c r="Q2003" t="str">
        <f>IF(H2003&gt;0,VLOOKUP(H2003,PAR!$AA$3:$AC$187,3,FALSE),"nincs főkönyvi számla")</f>
        <v>nincs főkönyvi számla</v>
      </c>
      <c r="R2003" t="str">
        <f>IFERROR(VLOOKUP(K2003,PAR!$V$3:$X$438,3,FALSE),"000000 - Nincs COFOG")</f>
        <v>000000 - Nincs COFOG</v>
      </c>
      <c r="S2003">
        <f t="shared" si="601"/>
        <v>0</v>
      </c>
      <c r="T2003">
        <f t="shared" si="602"/>
        <v>0</v>
      </c>
      <c r="U2003" t="str">
        <f>IF('906MP'!J1703&gt;0,CONCATENATE('906MP'!J1703," - ",'906MP'!P1703,", ",'906MP'!E1703),"nincs megjegyzés")</f>
        <v>nincs megjegyzés</v>
      </c>
      <c r="V2003" t="str">
        <f t="shared" si="589"/>
        <v>0P0</v>
      </c>
      <c r="W2003" t="str">
        <f t="shared" si="590"/>
        <v>0P0</v>
      </c>
      <c r="X2003" t="str">
        <f t="shared" si="591"/>
        <v>P0</v>
      </c>
      <c r="Y2003" t="str">
        <f t="shared" si="592"/>
        <v>00</v>
      </c>
      <c r="Z2003" t="str">
        <f t="shared" si="603"/>
        <v>00</v>
      </c>
      <c r="AA2003" t="str">
        <f t="shared" si="593"/>
        <v>00</v>
      </c>
      <c r="AB2003" t="str">
        <f t="shared" si="594"/>
        <v>00</v>
      </c>
      <c r="AC2003" t="str">
        <f t="shared" si="595"/>
        <v>0P0</v>
      </c>
      <c r="AD2003" t="str">
        <f t="shared" si="596"/>
        <v>P00</v>
      </c>
      <c r="AE2003" t="str">
        <f t="shared" si="597"/>
        <v>0P0</v>
      </c>
      <c r="AF2003" t="str">
        <f t="shared" si="598"/>
        <v>P00</v>
      </c>
      <c r="AG2003" t="str">
        <f t="shared" si="604"/>
        <v>0P00</v>
      </c>
      <c r="AH2003" t="str">
        <f t="shared" si="605"/>
        <v>P000</v>
      </c>
      <c r="AI2003" t="str">
        <f t="shared" si="606"/>
        <v>0P00</v>
      </c>
      <c r="AJ2003" t="str">
        <f t="shared" si="607"/>
        <v>P000</v>
      </c>
    </row>
    <row r="2004" spans="1:36" x14ac:dyDescent="0.25">
      <c r="A2004" s="325" t="str">
        <f>CONCATENATE("P",'906MP'!M1704)</f>
        <v>P</v>
      </c>
      <c r="B2004">
        <f>'906MP'!H1704</f>
        <v>0</v>
      </c>
      <c r="C2004">
        <f>'906MP'!J1704</f>
        <v>0</v>
      </c>
      <c r="D2004">
        <f>'906MP'!P1704</f>
        <v>0</v>
      </c>
      <c r="E2004">
        <f>'906MP'!X1704</f>
        <v>0</v>
      </c>
      <c r="F2004" t="str">
        <f t="shared" si="599"/>
        <v>0</v>
      </c>
      <c r="G2004" t="str">
        <f t="shared" si="600"/>
        <v>0</v>
      </c>
      <c r="H2004">
        <f>'906MP'!Y1704</f>
        <v>0</v>
      </c>
      <c r="I2004">
        <f>'906MP'!AK1704</f>
        <v>0</v>
      </c>
      <c r="J2004">
        <f>'906MP'!T1704</f>
        <v>0</v>
      </c>
      <c r="K2004">
        <f>'906MP'!AJ1704</f>
        <v>0</v>
      </c>
      <c r="L2004">
        <f>'906MP'!U1704</f>
        <v>0</v>
      </c>
      <c r="M2004" s="322" t="str">
        <f>IFERROR(VLOOKUP(A2004,PAR!$D$3:$E$53,2,FALSE),"nincs szervezet")</f>
        <v>nincs szervezet</v>
      </c>
      <c r="N2004" s="322" t="str">
        <f>VLOOKUP(F2004,PAR!$R$3:$S$5,2,FALSE)</f>
        <v>3 - egyik sem</v>
      </c>
      <c r="O2004" t="str">
        <f>IFERROR(VLOOKUP(J2004,PAR!$O$3:$P$5,2,FALSE),"nincs feladat")</f>
        <v>nincs feladat</v>
      </c>
      <c r="P2004" t="str">
        <f>IFERROR(VLOOKUP(G2004,PAR!$J$2:$M$19,4),"nincs rovat")</f>
        <v>nincs rovat</v>
      </c>
      <c r="Q2004" t="str">
        <f>IF(H2004&gt;0,VLOOKUP(H2004,PAR!$AA$3:$AC$187,3,FALSE),"nincs főkönyvi számla")</f>
        <v>nincs főkönyvi számla</v>
      </c>
      <c r="R2004" t="str">
        <f>IFERROR(VLOOKUP(K2004,PAR!$V$3:$X$438,3,FALSE),"000000 - Nincs COFOG")</f>
        <v>000000 - Nincs COFOG</v>
      </c>
      <c r="S2004">
        <f t="shared" si="601"/>
        <v>0</v>
      </c>
      <c r="T2004">
        <f t="shared" si="602"/>
        <v>0</v>
      </c>
      <c r="U2004" t="str">
        <f>IF('906MP'!J1704&gt;0,CONCATENATE('906MP'!J1704," - ",'906MP'!P1704,", ",'906MP'!E1704),"nincs megjegyzés")</f>
        <v>nincs megjegyzés</v>
      </c>
      <c r="V2004" t="str">
        <f t="shared" si="589"/>
        <v>0P0</v>
      </c>
      <c r="W2004" t="str">
        <f t="shared" si="590"/>
        <v>0P0</v>
      </c>
      <c r="X2004" t="str">
        <f t="shared" si="591"/>
        <v>P0</v>
      </c>
      <c r="Y2004" t="str">
        <f t="shared" si="592"/>
        <v>00</v>
      </c>
      <c r="Z2004" t="str">
        <f t="shared" si="603"/>
        <v>00</v>
      </c>
      <c r="AA2004" t="str">
        <f t="shared" si="593"/>
        <v>00</v>
      </c>
      <c r="AB2004" t="str">
        <f t="shared" si="594"/>
        <v>00</v>
      </c>
      <c r="AC2004" t="str">
        <f t="shared" si="595"/>
        <v>0P0</v>
      </c>
      <c r="AD2004" t="str">
        <f t="shared" si="596"/>
        <v>P00</v>
      </c>
      <c r="AE2004" t="str">
        <f t="shared" si="597"/>
        <v>0P0</v>
      </c>
      <c r="AF2004" t="str">
        <f t="shared" si="598"/>
        <v>P00</v>
      </c>
      <c r="AG2004" t="str">
        <f t="shared" si="604"/>
        <v>0P00</v>
      </c>
      <c r="AH2004" t="str">
        <f t="shared" si="605"/>
        <v>P000</v>
      </c>
      <c r="AI2004" t="str">
        <f t="shared" si="606"/>
        <v>0P00</v>
      </c>
      <c r="AJ2004" t="str">
        <f t="shared" si="607"/>
        <v>P000</v>
      </c>
    </row>
    <row r="2005" spans="1:36" x14ac:dyDescent="0.25">
      <c r="A2005" s="325" t="str">
        <f>CONCATENATE("P",'906MP'!M1705)</f>
        <v>P</v>
      </c>
      <c r="B2005">
        <f>'906MP'!H1705</f>
        <v>0</v>
      </c>
      <c r="C2005">
        <f>'906MP'!J1705</f>
        <v>0</v>
      </c>
      <c r="D2005">
        <f>'906MP'!P1705</f>
        <v>0</v>
      </c>
      <c r="E2005">
        <f>'906MP'!X1705</f>
        <v>0</v>
      </c>
      <c r="F2005" t="str">
        <f t="shared" si="599"/>
        <v>0</v>
      </c>
      <c r="G2005" t="str">
        <f t="shared" si="600"/>
        <v>0</v>
      </c>
      <c r="H2005">
        <f>'906MP'!Y1705</f>
        <v>0</v>
      </c>
      <c r="I2005">
        <f>'906MP'!AK1705</f>
        <v>0</v>
      </c>
      <c r="J2005">
        <f>'906MP'!T1705</f>
        <v>0</v>
      </c>
      <c r="K2005">
        <f>'906MP'!AJ1705</f>
        <v>0</v>
      </c>
      <c r="L2005">
        <f>'906MP'!U1705</f>
        <v>0</v>
      </c>
      <c r="M2005" s="322" t="str">
        <f>IFERROR(VLOOKUP(A2005,PAR!$D$3:$E$53,2,FALSE),"nincs szervezet")</f>
        <v>nincs szervezet</v>
      </c>
      <c r="N2005" s="322" t="str">
        <f>VLOOKUP(F2005,PAR!$R$3:$S$5,2,FALSE)</f>
        <v>3 - egyik sem</v>
      </c>
      <c r="O2005" t="str">
        <f>IFERROR(VLOOKUP(J2005,PAR!$O$3:$P$5,2,FALSE),"nincs feladat")</f>
        <v>nincs feladat</v>
      </c>
      <c r="P2005" t="str">
        <f>IFERROR(VLOOKUP(G2005,PAR!$J$2:$M$19,4),"nincs rovat")</f>
        <v>nincs rovat</v>
      </c>
      <c r="Q2005" t="str">
        <f>IF(H2005&gt;0,VLOOKUP(H2005,PAR!$AA$3:$AC$187,3,FALSE),"nincs főkönyvi számla")</f>
        <v>nincs főkönyvi számla</v>
      </c>
      <c r="R2005" t="str">
        <f>IFERROR(VLOOKUP(K2005,PAR!$V$3:$X$438,3,FALSE),"000000 - Nincs COFOG")</f>
        <v>000000 - Nincs COFOG</v>
      </c>
      <c r="S2005">
        <f t="shared" si="601"/>
        <v>0</v>
      </c>
      <c r="T2005">
        <f t="shared" si="602"/>
        <v>0</v>
      </c>
      <c r="U2005" t="str">
        <f>IF('906MP'!J1705&gt;0,CONCATENATE('906MP'!J1705," - ",'906MP'!P1705,", ",'906MP'!E1705),"nincs megjegyzés")</f>
        <v>nincs megjegyzés</v>
      </c>
      <c r="V2005" t="str">
        <f t="shared" si="589"/>
        <v>0P0</v>
      </c>
      <c r="W2005" t="str">
        <f t="shared" si="590"/>
        <v>0P0</v>
      </c>
      <c r="X2005" t="str">
        <f t="shared" si="591"/>
        <v>P0</v>
      </c>
      <c r="Y2005" t="str">
        <f t="shared" si="592"/>
        <v>00</v>
      </c>
      <c r="Z2005" t="str">
        <f t="shared" si="603"/>
        <v>00</v>
      </c>
      <c r="AA2005" t="str">
        <f t="shared" si="593"/>
        <v>00</v>
      </c>
      <c r="AB2005" t="str">
        <f t="shared" si="594"/>
        <v>00</v>
      </c>
      <c r="AC2005" t="str">
        <f t="shared" si="595"/>
        <v>0P0</v>
      </c>
      <c r="AD2005" t="str">
        <f t="shared" si="596"/>
        <v>P00</v>
      </c>
      <c r="AE2005" t="str">
        <f t="shared" si="597"/>
        <v>0P0</v>
      </c>
      <c r="AF2005" t="str">
        <f t="shared" si="598"/>
        <v>P00</v>
      </c>
      <c r="AG2005" t="str">
        <f t="shared" si="604"/>
        <v>0P00</v>
      </c>
      <c r="AH2005" t="str">
        <f t="shared" si="605"/>
        <v>P000</v>
      </c>
      <c r="AI2005" t="str">
        <f t="shared" si="606"/>
        <v>0P00</v>
      </c>
      <c r="AJ2005" t="str">
        <f t="shared" si="607"/>
        <v>P000</v>
      </c>
    </row>
    <row r="2006" spans="1:36" x14ac:dyDescent="0.25">
      <c r="A2006" s="325" t="str">
        <f>CONCATENATE("P",'906MP'!M1706)</f>
        <v>P</v>
      </c>
      <c r="B2006">
        <f>'906MP'!H1706</f>
        <v>0</v>
      </c>
      <c r="C2006">
        <f>'906MP'!J1706</f>
        <v>0</v>
      </c>
      <c r="D2006">
        <f>'906MP'!P1706</f>
        <v>0</v>
      </c>
      <c r="E2006">
        <f>'906MP'!X1706</f>
        <v>0</v>
      </c>
      <c r="F2006" t="str">
        <f t="shared" si="599"/>
        <v>0</v>
      </c>
      <c r="G2006" t="str">
        <f t="shared" si="600"/>
        <v>0</v>
      </c>
      <c r="H2006">
        <f>'906MP'!Y1706</f>
        <v>0</v>
      </c>
      <c r="I2006">
        <f>'906MP'!AK1706</f>
        <v>0</v>
      </c>
      <c r="J2006">
        <f>'906MP'!T1706</f>
        <v>0</v>
      </c>
      <c r="K2006">
        <f>'906MP'!AJ1706</f>
        <v>0</v>
      </c>
      <c r="L2006">
        <f>'906MP'!U1706</f>
        <v>0</v>
      </c>
      <c r="M2006" s="322" t="str">
        <f>IFERROR(VLOOKUP(A2006,PAR!$D$3:$E$53,2,FALSE),"nincs szervezet")</f>
        <v>nincs szervezet</v>
      </c>
      <c r="N2006" s="322" t="str">
        <f>VLOOKUP(F2006,PAR!$R$3:$S$5,2,FALSE)</f>
        <v>3 - egyik sem</v>
      </c>
      <c r="O2006" t="str">
        <f>IFERROR(VLOOKUP(J2006,PAR!$O$3:$P$5,2,FALSE),"nincs feladat")</f>
        <v>nincs feladat</v>
      </c>
      <c r="P2006" t="str">
        <f>IFERROR(VLOOKUP(G2006,PAR!$J$2:$M$19,4),"nincs rovat")</f>
        <v>nincs rovat</v>
      </c>
      <c r="Q2006" t="str">
        <f>IF(H2006&gt;0,VLOOKUP(H2006,PAR!$AA$3:$AC$187,3,FALSE),"nincs főkönyvi számla")</f>
        <v>nincs főkönyvi számla</v>
      </c>
      <c r="R2006" t="str">
        <f>IFERROR(VLOOKUP(K2006,PAR!$V$3:$X$438,3,FALSE),"000000 - Nincs COFOG")</f>
        <v>000000 - Nincs COFOG</v>
      </c>
      <c r="S2006">
        <f t="shared" si="601"/>
        <v>0</v>
      </c>
      <c r="T2006">
        <f t="shared" si="602"/>
        <v>0</v>
      </c>
      <c r="U2006" t="str">
        <f>IF('906MP'!J1706&gt;0,CONCATENATE('906MP'!J1706," - ",'906MP'!P1706,", ",'906MP'!E1706),"nincs megjegyzés")</f>
        <v>nincs megjegyzés</v>
      </c>
      <c r="V2006" t="str">
        <f t="shared" si="589"/>
        <v>0P0</v>
      </c>
      <c r="W2006" t="str">
        <f t="shared" si="590"/>
        <v>0P0</v>
      </c>
      <c r="X2006" t="str">
        <f t="shared" si="591"/>
        <v>P0</v>
      </c>
      <c r="Y2006" t="str">
        <f t="shared" si="592"/>
        <v>00</v>
      </c>
      <c r="Z2006" t="str">
        <f t="shared" si="603"/>
        <v>00</v>
      </c>
      <c r="AA2006" t="str">
        <f t="shared" si="593"/>
        <v>00</v>
      </c>
      <c r="AB2006" t="str">
        <f t="shared" si="594"/>
        <v>00</v>
      </c>
      <c r="AC2006" t="str">
        <f t="shared" si="595"/>
        <v>0P0</v>
      </c>
      <c r="AD2006" t="str">
        <f t="shared" si="596"/>
        <v>P00</v>
      </c>
      <c r="AE2006" t="str">
        <f t="shared" si="597"/>
        <v>0P0</v>
      </c>
      <c r="AF2006" t="str">
        <f t="shared" si="598"/>
        <v>P00</v>
      </c>
      <c r="AG2006" t="str">
        <f t="shared" si="604"/>
        <v>0P00</v>
      </c>
      <c r="AH2006" t="str">
        <f t="shared" si="605"/>
        <v>P000</v>
      </c>
      <c r="AI2006" t="str">
        <f t="shared" si="606"/>
        <v>0P00</v>
      </c>
      <c r="AJ2006" t="str">
        <f t="shared" si="607"/>
        <v>P000</v>
      </c>
    </row>
    <row r="2007" spans="1:36" x14ac:dyDescent="0.25">
      <c r="A2007" s="325" t="str">
        <f>CONCATENATE("P",'906MP'!M1707)</f>
        <v>P</v>
      </c>
      <c r="B2007">
        <f>'906MP'!H1707</f>
        <v>0</v>
      </c>
      <c r="C2007">
        <f>'906MP'!J1707</f>
        <v>0</v>
      </c>
      <c r="D2007">
        <f>'906MP'!P1707</f>
        <v>0</v>
      </c>
      <c r="E2007">
        <f>'906MP'!X1707</f>
        <v>0</v>
      </c>
      <c r="F2007" t="str">
        <f t="shared" si="599"/>
        <v>0</v>
      </c>
      <c r="G2007" t="str">
        <f t="shared" si="600"/>
        <v>0</v>
      </c>
      <c r="H2007">
        <f>'906MP'!Y1707</f>
        <v>0</v>
      </c>
      <c r="I2007">
        <f>'906MP'!AK1707</f>
        <v>0</v>
      </c>
      <c r="J2007">
        <f>'906MP'!T1707</f>
        <v>0</v>
      </c>
      <c r="K2007">
        <f>'906MP'!AJ1707</f>
        <v>0</v>
      </c>
      <c r="L2007">
        <f>'906MP'!U1707</f>
        <v>0</v>
      </c>
      <c r="M2007" s="322" t="str">
        <f>IFERROR(VLOOKUP(A2007,PAR!$D$3:$E$53,2,FALSE),"nincs szervezet")</f>
        <v>nincs szervezet</v>
      </c>
      <c r="N2007" s="322" t="str">
        <f>VLOOKUP(F2007,PAR!$R$3:$S$5,2,FALSE)</f>
        <v>3 - egyik sem</v>
      </c>
      <c r="O2007" t="str">
        <f>IFERROR(VLOOKUP(J2007,PAR!$O$3:$P$5,2,FALSE),"nincs feladat")</f>
        <v>nincs feladat</v>
      </c>
      <c r="P2007" t="str">
        <f>IFERROR(VLOOKUP(G2007,PAR!$J$2:$M$19,4),"nincs rovat")</f>
        <v>nincs rovat</v>
      </c>
      <c r="Q2007" t="str">
        <f>IF(H2007&gt;0,VLOOKUP(H2007,PAR!$AA$3:$AC$187,3,FALSE),"nincs főkönyvi számla")</f>
        <v>nincs főkönyvi számla</v>
      </c>
      <c r="R2007" t="str">
        <f>IFERROR(VLOOKUP(K2007,PAR!$V$3:$X$438,3,FALSE),"000000 - Nincs COFOG")</f>
        <v>000000 - Nincs COFOG</v>
      </c>
      <c r="S2007">
        <f t="shared" si="601"/>
        <v>0</v>
      </c>
      <c r="T2007">
        <f t="shared" si="602"/>
        <v>0</v>
      </c>
      <c r="U2007" t="str">
        <f>IF('906MP'!J1707&gt;0,CONCATENATE('906MP'!J1707," - ",'906MP'!P1707,", ",'906MP'!E1707),"nincs megjegyzés")</f>
        <v>nincs megjegyzés</v>
      </c>
      <c r="V2007" t="str">
        <f t="shared" si="589"/>
        <v>0P0</v>
      </c>
      <c r="W2007" t="str">
        <f t="shared" si="590"/>
        <v>0P0</v>
      </c>
      <c r="X2007" t="str">
        <f t="shared" si="591"/>
        <v>P0</v>
      </c>
      <c r="Y2007" t="str">
        <f t="shared" si="592"/>
        <v>00</v>
      </c>
      <c r="Z2007" t="str">
        <f t="shared" si="603"/>
        <v>00</v>
      </c>
      <c r="AA2007" t="str">
        <f t="shared" si="593"/>
        <v>00</v>
      </c>
      <c r="AB2007" t="str">
        <f t="shared" si="594"/>
        <v>00</v>
      </c>
      <c r="AC2007" t="str">
        <f t="shared" si="595"/>
        <v>0P0</v>
      </c>
      <c r="AD2007" t="str">
        <f t="shared" si="596"/>
        <v>P00</v>
      </c>
      <c r="AE2007" t="str">
        <f t="shared" si="597"/>
        <v>0P0</v>
      </c>
      <c r="AF2007" t="str">
        <f t="shared" si="598"/>
        <v>P00</v>
      </c>
      <c r="AG2007" t="str">
        <f t="shared" si="604"/>
        <v>0P00</v>
      </c>
      <c r="AH2007" t="str">
        <f t="shared" si="605"/>
        <v>P000</v>
      </c>
      <c r="AI2007" t="str">
        <f t="shared" si="606"/>
        <v>0P00</v>
      </c>
      <c r="AJ2007" t="str">
        <f t="shared" si="607"/>
        <v>P000</v>
      </c>
    </row>
    <row r="2008" spans="1:36" x14ac:dyDescent="0.25">
      <c r="A2008" s="325" t="str">
        <f>CONCATENATE("P",'906MP'!M1708)</f>
        <v>P</v>
      </c>
      <c r="B2008">
        <f>'906MP'!H1708</f>
        <v>0</v>
      </c>
      <c r="C2008">
        <f>'906MP'!J1708</f>
        <v>0</v>
      </c>
      <c r="D2008">
        <f>'906MP'!P1708</f>
        <v>0</v>
      </c>
      <c r="E2008">
        <f>'906MP'!X1708</f>
        <v>0</v>
      </c>
      <c r="F2008" t="str">
        <f t="shared" si="599"/>
        <v>0</v>
      </c>
      <c r="G2008" t="str">
        <f t="shared" si="600"/>
        <v>0</v>
      </c>
      <c r="H2008">
        <f>'906MP'!Y1708</f>
        <v>0</v>
      </c>
      <c r="I2008">
        <f>'906MP'!AK1708</f>
        <v>0</v>
      </c>
      <c r="J2008">
        <f>'906MP'!T1708</f>
        <v>0</v>
      </c>
      <c r="K2008">
        <f>'906MP'!AJ1708</f>
        <v>0</v>
      </c>
      <c r="L2008">
        <f>'906MP'!U1708</f>
        <v>0</v>
      </c>
      <c r="M2008" s="322" t="str">
        <f>IFERROR(VLOOKUP(A2008,PAR!$D$3:$E$53,2,FALSE),"nincs szervezet")</f>
        <v>nincs szervezet</v>
      </c>
      <c r="N2008" s="322" t="str">
        <f>VLOOKUP(F2008,PAR!$R$3:$S$5,2,FALSE)</f>
        <v>3 - egyik sem</v>
      </c>
      <c r="O2008" t="str">
        <f>IFERROR(VLOOKUP(J2008,PAR!$O$3:$P$5,2,FALSE),"nincs feladat")</f>
        <v>nincs feladat</v>
      </c>
      <c r="P2008" t="str">
        <f>IFERROR(VLOOKUP(G2008,PAR!$J$2:$M$19,4),"nincs rovat")</f>
        <v>nincs rovat</v>
      </c>
      <c r="Q2008" t="str">
        <f>IF(H2008&gt;0,VLOOKUP(H2008,PAR!$AA$3:$AC$187,3,FALSE),"nincs főkönyvi számla")</f>
        <v>nincs főkönyvi számla</v>
      </c>
      <c r="R2008" t="str">
        <f>IFERROR(VLOOKUP(K2008,PAR!$V$3:$X$438,3,FALSE),"000000 - Nincs COFOG")</f>
        <v>000000 - Nincs COFOG</v>
      </c>
      <c r="S2008">
        <f t="shared" si="601"/>
        <v>0</v>
      </c>
      <c r="T2008">
        <f t="shared" si="602"/>
        <v>0</v>
      </c>
      <c r="U2008" t="str">
        <f>IF('906MP'!J1708&gt;0,CONCATENATE('906MP'!J1708," - ",'906MP'!P1708,", ",'906MP'!E1708),"nincs megjegyzés")</f>
        <v>nincs megjegyzés</v>
      </c>
      <c r="V2008" t="str">
        <f t="shared" si="589"/>
        <v>0P0</v>
      </c>
      <c r="W2008" t="str">
        <f t="shared" si="590"/>
        <v>0P0</v>
      </c>
      <c r="X2008" t="str">
        <f t="shared" si="591"/>
        <v>P0</v>
      </c>
      <c r="Y2008" t="str">
        <f t="shared" si="592"/>
        <v>00</v>
      </c>
      <c r="Z2008" t="str">
        <f t="shared" si="603"/>
        <v>00</v>
      </c>
      <c r="AA2008" t="str">
        <f t="shared" si="593"/>
        <v>00</v>
      </c>
      <c r="AB2008" t="str">
        <f t="shared" si="594"/>
        <v>00</v>
      </c>
      <c r="AC2008" t="str">
        <f t="shared" si="595"/>
        <v>0P0</v>
      </c>
      <c r="AD2008" t="str">
        <f t="shared" si="596"/>
        <v>P00</v>
      </c>
      <c r="AE2008" t="str">
        <f t="shared" si="597"/>
        <v>0P0</v>
      </c>
      <c r="AF2008" t="str">
        <f t="shared" si="598"/>
        <v>P00</v>
      </c>
      <c r="AG2008" t="str">
        <f t="shared" si="604"/>
        <v>0P00</v>
      </c>
      <c r="AH2008" t="str">
        <f t="shared" si="605"/>
        <v>P000</v>
      </c>
      <c r="AI2008" t="str">
        <f t="shared" si="606"/>
        <v>0P00</v>
      </c>
      <c r="AJ2008" t="str">
        <f t="shared" si="607"/>
        <v>P000</v>
      </c>
    </row>
    <row r="2009" spans="1:36" x14ac:dyDescent="0.25">
      <c r="A2009" s="325" t="str">
        <f>CONCATENATE("P",'906MP'!M1709)</f>
        <v>P</v>
      </c>
      <c r="B2009">
        <f>'906MP'!H1709</f>
        <v>0</v>
      </c>
      <c r="C2009">
        <f>'906MP'!J1709</f>
        <v>0</v>
      </c>
      <c r="D2009">
        <f>'906MP'!P1709</f>
        <v>0</v>
      </c>
      <c r="E2009">
        <f>'906MP'!X1709</f>
        <v>0</v>
      </c>
      <c r="F2009" t="str">
        <f t="shared" si="599"/>
        <v>0</v>
      </c>
      <c r="G2009" t="str">
        <f t="shared" si="600"/>
        <v>0</v>
      </c>
      <c r="H2009">
        <f>'906MP'!Y1709</f>
        <v>0</v>
      </c>
      <c r="I2009">
        <f>'906MP'!AK1709</f>
        <v>0</v>
      </c>
      <c r="J2009">
        <f>'906MP'!T1709</f>
        <v>0</v>
      </c>
      <c r="K2009">
        <f>'906MP'!AJ1709</f>
        <v>0</v>
      </c>
      <c r="L2009">
        <f>'906MP'!U1709</f>
        <v>0</v>
      </c>
      <c r="M2009" s="322" t="str">
        <f>IFERROR(VLOOKUP(A2009,PAR!$D$3:$E$53,2,FALSE),"nincs szervezet")</f>
        <v>nincs szervezet</v>
      </c>
      <c r="N2009" s="322" t="str">
        <f>VLOOKUP(F2009,PAR!$R$3:$S$5,2,FALSE)</f>
        <v>3 - egyik sem</v>
      </c>
      <c r="O2009" t="str">
        <f>IFERROR(VLOOKUP(J2009,PAR!$O$3:$P$5,2,FALSE),"nincs feladat")</f>
        <v>nincs feladat</v>
      </c>
      <c r="P2009" t="str">
        <f>IFERROR(VLOOKUP(G2009,PAR!$J$2:$M$19,4),"nincs rovat")</f>
        <v>nincs rovat</v>
      </c>
      <c r="Q2009" t="str">
        <f>IF(H2009&gt;0,VLOOKUP(H2009,PAR!$AA$3:$AC$187,3,FALSE),"nincs főkönyvi számla")</f>
        <v>nincs főkönyvi számla</v>
      </c>
      <c r="R2009" t="str">
        <f>IFERROR(VLOOKUP(K2009,PAR!$V$3:$X$438,3,FALSE),"000000 - Nincs COFOG")</f>
        <v>000000 - Nincs COFOG</v>
      </c>
      <c r="S2009">
        <f t="shared" si="601"/>
        <v>0</v>
      </c>
      <c r="T2009">
        <f t="shared" si="602"/>
        <v>0</v>
      </c>
      <c r="U2009" t="str">
        <f>IF('906MP'!J1709&gt;0,CONCATENATE('906MP'!J1709," - ",'906MP'!P1709,", ",'906MP'!E1709),"nincs megjegyzés")</f>
        <v>nincs megjegyzés</v>
      </c>
      <c r="V2009" t="str">
        <f t="shared" si="589"/>
        <v>0P0</v>
      </c>
      <c r="W2009" t="str">
        <f t="shared" si="590"/>
        <v>0P0</v>
      </c>
      <c r="X2009" t="str">
        <f t="shared" si="591"/>
        <v>P0</v>
      </c>
      <c r="Y2009" t="str">
        <f t="shared" si="592"/>
        <v>00</v>
      </c>
      <c r="Z2009" t="str">
        <f t="shared" si="603"/>
        <v>00</v>
      </c>
      <c r="AA2009" t="str">
        <f t="shared" si="593"/>
        <v>00</v>
      </c>
      <c r="AB2009" t="str">
        <f t="shared" si="594"/>
        <v>00</v>
      </c>
      <c r="AC2009" t="str">
        <f t="shared" si="595"/>
        <v>0P0</v>
      </c>
      <c r="AD2009" t="str">
        <f t="shared" si="596"/>
        <v>P00</v>
      </c>
      <c r="AE2009" t="str">
        <f t="shared" si="597"/>
        <v>0P0</v>
      </c>
      <c r="AF2009" t="str">
        <f t="shared" si="598"/>
        <v>P00</v>
      </c>
      <c r="AG2009" t="str">
        <f t="shared" si="604"/>
        <v>0P00</v>
      </c>
      <c r="AH2009" t="str">
        <f t="shared" si="605"/>
        <v>P000</v>
      </c>
      <c r="AI2009" t="str">
        <f t="shared" si="606"/>
        <v>0P00</v>
      </c>
      <c r="AJ2009" t="str">
        <f t="shared" si="607"/>
        <v>P000</v>
      </c>
    </row>
    <row r="2010" spans="1:36" x14ac:dyDescent="0.25">
      <c r="A2010" s="325" t="str">
        <f>CONCATENATE("P",'906MP'!M1710)</f>
        <v>P</v>
      </c>
      <c r="B2010">
        <f>'906MP'!H1710</f>
        <v>0</v>
      </c>
      <c r="C2010">
        <f>'906MP'!J1710</f>
        <v>0</v>
      </c>
      <c r="D2010">
        <f>'906MP'!P1710</f>
        <v>0</v>
      </c>
      <c r="E2010">
        <f>'906MP'!X1710</f>
        <v>0</v>
      </c>
      <c r="F2010" t="str">
        <f t="shared" si="599"/>
        <v>0</v>
      </c>
      <c r="G2010" t="str">
        <f t="shared" si="600"/>
        <v>0</v>
      </c>
      <c r="H2010">
        <f>'906MP'!Y1710</f>
        <v>0</v>
      </c>
      <c r="I2010">
        <f>'906MP'!AK1710</f>
        <v>0</v>
      </c>
      <c r="J2010">
        <f>'906MP'!T1710</f>
        <v>0</v>
      </c>
      <c r="K2010">
        <f>'906MP'!AJ1710</f>
        <v>0</v>
      </c>
      <c r="L2010">
        <f>'906MP'!U1710</f>
        <v>0</v>
      </c>
      <c r="M2010" s="322" t="str">
        <f>IFERROR(VLOOKUP(A2010,PAR!$D$3:$E$53,2,FALSE),"nincs szervezet")</f>
        <v>nincs szervezet</v>
      </c>
      <c r="N2010" s="322" t="str">
        <f>VLOOKUP(F2010,PAR!$R$3:$S$5,2,FALSE)</f>
        <v>3 - egyik sem</v>
      </c>
      <c r="O2010" t="str">
        <f>IFERROR(VLOOKUP(J2010,PAR!$O$3:$P$5,2,FALSE),"nincs feladat")</f>
        <v>nincs feladat</v>
      </c>
      <c r="P2010" t="str">
        <f>IFERROR(VLOOKUP(G2010,PAR!$J$2:$M$19,4),"nincs rovat")</f>
        <v>nincs rovat</v>
      </c>
      <c r="Q2010" t="str">
        <f>IF(H2010&gt;0,VLOOKUP(H2010,PAR!$AA$3:$AC$187,3,FALSE),"nincs főkönyvi számla")</f>
        <v>nincs főkönyvi számla</v>
      </c>
      <c r="R2010" t="str">
        <f>IFERROR(VLOOKUP(K2010,PAR!$V$3:$X$438,3,FALSE),"000000 - Nincs COFOG")</f>
        <v>000000 - Nincs COFOG</v>
      </c>
      <c r="S2010">
        <f t="shared" si="601"/>
        <v>0</v>
      </c>
      <c r="T2010">
        <f t="shared" si="602"/>
        <v>0</v>
      </c>
      <c r="U2010" t="str">
        <f>IF('906MP'!J1710&gt;0,CONCATENATE('906MP'!J1710," - ",'906MP'!P1710,", ",'906MP'!E1710),"nincs megjegyzés")</f>
        <v>nincs megjegyzés</v>
      </c>
      <c r="V2010" t="str">
        <f t="shared" si="589"/>
        <v>0P0</v>
      </c>
      <c r="W2010" t="str">
        <f t="shared" si="590"/>
        <v>0P0</v>
      </c>
      <c r="X2010" t="str">
        <f t="shared" si="591"/>
        <v>P0</v>
      </c>
      <c r="Y2010" t="str">
        <f t="shared" si="592"/>
        <v>00</v>
      </c>
      <c r="Z2010" t="str">
        <f t="shared" si="603"/>
        <v>00</v>
      </c>
      <c r="AA2010" t="str">
        <f t="shared" si="593"/>
        <v>00</v>
      </c>
      <c r="AB2010" t="str">
        <f t="shared" si="594"/>
        <v>00</v>
      </c>
      <c r="AC2010" t="str">
        <f t="shared" si="595"/>
        <v>0P0</v>
      </c>
      <c r="AD2010" t="str">
        <f t="shared" si="596"/>
        <v>P00</v>
      </c>
      <c r="AE2010" t="str">
        <f t="shared" si="597"/>
        <v>0P0</v>
      </c>
      <c r="AF2010" t="str">
        <f t="shared" si="598"/>
        <v>P00</v>
      </c>
      <c r="AG2010" t="str">
        <f t="shared" si="604"/>
        <v>0P00</v>
      </c>
      <c r="AH2010" t="str">
        <f t="shared" si="605"/>
        <v>P000</v>
      </c>
      <c r="AI2010" t="str">
        <f t="shared" si="606"/>
        <v>0P00</v>
      </c>
      <c r="AJ2010" t="str">
        <f t="shared" si="607"/>
        <v>P000</v>
      </c>
    </row>
    <row r="2011" spans="1:36" x14ac:dyDescent="0.25">
      <c r="A2011" s="325" t="str">
        <f>CONCATENATE("P",'906MP'!M1711)</f>
        <v>P</v>
      </c>
      <c r="B2011">
        <f>'906MP'!H1711</f>
        <v>0</v>
      </c>
      <c r="C2011">
        <f>'906MP'!J1711</f>
        <v>0</v>
      </c>
      <c r="D2011">
        <f>'906MP'!P1711</f>
        <v>0</v>
      </c>
      <c r="E2011">
        <f>'906MP'!X1711</f>
        <v>0</v>
      </c>
      <c r="F2011" t="str">
        <f t="shared" si="599"/>
        <v>0</v>
      </c>
      <c r="G2011" t="str">
        <f t="shared" si="600"/>
        <v>0</v>
      </c>
      <c r="H2011">
        <f>'906MP'!Y1711</f>
        <v>0</v>
      </c>
      <c r="I2011">
        <f>'906MP'!AK1711</f>
        <v>0</v>
      </c>
      <c r="J2011">
        <f>'906MP'!T1711</f>
        <v>0</v>
      </c>
      <c r="K2011">
        <f>'906MP'!AJ1711</f>
        <v>0</v>
      </c>
      <c r="L2011">
        <f>'906MP'!U1711</f>
        <v>0</v>
      </c>
      <c r="M2011" s="322" t="str">
        <f>IFERROR(VLOOKUP(A2011,PAR!$D$3:$E$53,2,FALSE),"nincs szervezet")</f>
        <v>nincs szervezet</v>
      </c>
      <c r="N2011" s="322" t="str">
        <f>VLOOKUP(F2011,PAR!$R$3:$S$5,2,FALSE)</f>
        <v>3 - egyik sem</v>
      </c>
      <c r="O2011" t="str">
        <f>IFERROR(VLOOKUP(J2011,PAR!$O$3:$P$5,2,FALSE),"nincs feladat")</f>
        <v>nincs feladat</v>
      </c>
      <c r="P2011" t="str">
        <f>IFERROR(VLOOKUP(G2011,PAR!$J$2:$M$19,4),"nincs rovat")</f>
        <v>nincs rovat</v>
      </c>
      <c r="Q2011" t="str">
        <f>IF(H2011&gt;0,VLOOKUP(H2011,PAR!$AA$3:$AC$187,3,FALSE),"nincs főkönyvi számla")</f>
        <v>nincs főkönyvi számla</v>
      </c>
      <c r="R2011" t="str">
        <f>IFERROR(VLOOKUP(K2011,PAR!$V$3:$X$438,3,FALSE),"000000 - Nincs COFOG")</f>
        <v>000000 - Nincs COFOG</v>
      </c>
      <c r="S2011">
        <f t="shared" si="601"/>
        <v>0</v>
      </c>
      <c r="T2011">
        <f t="shared" si="602"/>
        <v>0</v>
      </c>
      <c r="U2011" t="str">
        <f>IF('906MP'!J1711&gt;0,CONCATENATE('906MP'!J1711," - ",'906MP'!P1711,", ",'906MP'!E1711),"nincs megjegyzés")</f>
        <v>nincs megjegyzés</v>
      </c>
      <c r="V2011" t="str">
        <f t="shared" si="589"/>
        <v>0P0</v>
      </c>
      <c r="W2011" t="str">
        <f t="shared" si="590"/>
        <v>0P0</v>
      </c>
      <c r="X2011" t="str">
        <f t="shared" si="591"/>
        <v>P0</v>
      </c>
      <c r="Y2011" t="str">
        <f t="shared" si="592"/>
        <v>00</v>
      </c>
      <c r="Z2011" t="str">
        <f t="shared" si="603"/>
        <v>00</v>
      </c>
      <c r="AA2011" t="str">
        <f t="shared" si="593"/>
        <v>00</v>
      </c>
      <c r="AB2011" t="str">
        <f t="shared" si="594"/>
        <v>00</v>
      </c>
      <c r="AC2011" t="str">
        <f t="shared" si="595"/>
        <v>0P0</v>
      </c>
      <c r="AD2011" t="str">
        <f t="shared" si="596"/>
        <v>P00</v>
      </c>
      <c r="AE2011" t="str">
        <f t="shared" si="597"/>
        <v>0P0</v>
      </c>
      <c r="AF2011" t="str">
        <f t="shared" si="598"/>
        <v>P00</v>
      </c>
      <c r="AG2011" t="str">
        <f t="shared" si="604"/>
        <v>0P00</v>
      </c>
      <c r="AH2011" t="str">
        <f t="shared" si="605"/>
        <v>P000</v>
      </c>
      <c r="AI2011" t="str">
        <f t="shared" si="606"/>
        <v>0P00</v>
      </c>
      <c r="AJ2011" t="str">
        <f t="shared" si="607"/>
        <v>P000</v>
      </c>
    </row>
    <row r="2012" spans="1:36" x14ac:dyDescent="0.25">
      <c r="A2012" s="325" t="str">
        <f>CONCATENATE("P",'906MP'!M1712)</f>
        <v>P</v>
      </c>
      <c r="B2012">
        <f>'906MP'!H1712</f>
        <v>0</v>
      </c>
      <c r="C2012">
        <f>'906MP'!J1712</f>
        <v>0</v>
      </c>
      <c r="D2012">
        <f>'906MP'!P1712</f>
        <v>0</v>
      </c>
      <c r="E2012">
        <f>'906MP'!X1712</f>
        <v>0</v>
      </c>
      <c r="F2012" t="str">
        <f t="shared" si="599"/>
        <v>0</v>
      </c>
      <c r="G2012" t="str">
        <f t="shared" si="600"/>
        <v>0</v>
      </c>
      <c r="H2012">
        <f>'906MP'!Y1712</f>
        <v>0</v>
      </c>
      <c r="I2012">
        <f>'906MP'!AK1712</f>
        <v>0</v>
      </c>
      <c r="J2012">
        <f>'906MP'!T1712</f>
        <v>0</v>
      </c>
      <c r="K2012">
        <f>'906MP'!AJ1712</f>
        <v>0</v>
      </c>
      <c r="L2012">
        <f>'906MP'!U1712</f>
        <v>0</v>
      </c>
      <c r="M2012" s="322" t="str">
        <f>IFERROR(VLOOKUP(A2012,PAR!$D$3:$E$53,2,FALSE),"nincs szervezet")</f>
        <v>nincs szervezet</v>
      </c>
      <c r="N2012" s="322" t="str">
        <f>VLOOKUP(F2012,PAR!$R$3:$S$5,2,FALSE)</f>
        <v>3 - egyik sem</v>
      </c>
      <c r="O2012" t="str">
        <f>IFERROR(VLOOKUP(J2012,PAR!$O$3:$P$5,2,FALSE),"nincs feladat")</f>
        <v>nincs feladat</v>
      </c>
      <c r="P2012" t="str">
        <f>IFERROR(VLOOKUP(G2012,PAR!$J$2:$M$19,4),"nincs rovat")</f>
        <v>nincs rovat</v>
      </c>
      <c r="Q2012" t="str">
        <f>IF(H2012&gt;0,VLOOKUP(H2012,PAR!$AA$3:$AC$187,3,FALSE),"nincs főkönyvi számla")</f>
        <v>nincs főkönyvi számla</v>
      </c>
      <c r="R2012" t="str">
        <f>IFERROR(VLOOKUP(K2012,PAR!$V$3:$X$438,3,FALSE),"000000 - Nincs COFOG")</f>
        <v>000000 - Nincs COFOG</v>
      </c>
      <c r="S2012">
        <f t="shared" si="601"/>
        <v>0</v>
      </c>
      <c r="T2012">
        <f t="shared" si="602"/>
        <v>0</v>
      </c>
      <c r="U2012" t="str">
        <f>IF('906MP'!J1712&gt;0,CONCATENATE('906MP'!J1712," - ",'906MP'!P1712,", ",'906MP'!E1712),"nincs megjegyzés")</f>
        <v>nincs megjegyzés</v>
      </c>
      <c r="V2012" t="str">
        <f t="shared" si="589"/>
        <v>0P0</v>
      </c>
      <c r="W2012" t="str">
        <f t="shared" si="590"/>
        <v>0P0</v>
      </c>
      <c r="X2012" t="str">
        <f t="shared" si="591"/>
        <v>P0</v>
      </c>
      <c r="Y2012" t="str">
        <f t="shared" si="592"/>
        <v>00</v>
      </c>
      <c r="Z2012" t="str">
        <f t="shared" si="603"/>
        <v>00</v>
      </c>
      <c r="AA2012" t="str">
        <f t="shared" si="593"/>
        <v>00</v>
      </c>
      <c r="AB2012" t="str">
        <f t="shared" si="594"/>
        <v>00</v>
      </c>
      <c r="AC2012" t="str">
        <f t="shared" si="595"/>
        <v>0P0</v>
      </c>
      <c r="AD2012" t="str">
        <f t="shared" si="596"/>
        <v>P00</v>
      </c>
      <c r="AE2012" t="str">
        <f t="shared" si="597"/>
        <v>0P0</v>
      </c>
      <c r="AF2012" t="str">
        <f t="shared" si="598"/>
        <v>P00</v>
      </c>
      <c r="AG2012" t="str">
        <f t="shared" si="604"/>
        <v>0P00</v>
      </c>
      <c r="AH2012" t="str">
        <f t="shared" si="605"/>
        <v>P000</v>
      </c>
      <c r="AI2012" t="str">
        <f t="shared" si="606"/>
        <v>0P00</v>
      </c>
      <c r="AJ2012" t="str">
        <f t="shared" si="607"/>
        <v>P000</v>
      </c>
    </row>
    <row r="2013" spans="1:36" x14ac:dyDescent="0.25">
      <c r="A2013" s="325" t="str">
        <f>CONCATENATE("P",'906MP'!M1713)</f>
        <v>P</v>
      </c>
      <c r="B2013">
        <f>'906MP'!H1713</f>
        <v>0</v>
      </c>
      <c r="C2013">
        <f>'906MP'!J1713</f>
        <v>0</v>
      </c>
      <c r="D2013">
        <f>'906MP'!P1713</f>
        <v>0</v>
      </c>
      <c r="E2013">
        <f>'906MP'!X1713</f>
        <v>0</v>
      </c>
      <c r="F2013" t="str">
        <f t="shared" si="599"/>
        <v>0</v>
      </c>
      <c r="G2013" t="str">
        <f t="shared" si="600"/>
        <v>0</v>
      </c>
      <c r="H2013">
        <f>'906MP'!Y1713</f>
        <v>0</v>
      </c>
      <c r="I2013">
        <f>'906MP'!AK1713</f>
        <v>0</v>
      </c>
      <c r="J2013">
        <f>'906MP'!T1713</f>
        <v>0</v>
      </c>
      <c r="K2013">
        <f>'906MP'!AJ1713</f>
        <v>0</v>
      </c>
      <c r="L2013">
        <f>'906MP'!U1713</f>
        <v>0</v>
      </c>
      <c r="M2013" s="322" t="str">
        <f>IFERROR(VLOOKUP(A2013,PAR!$D$3:$E$53,2,FALSE),"nincs szervezet")</f>
        <v>nincs szervezet</v>
      </c>
      <c r="N2013" s="322" t="str">
        <f>VLOOKUP(F2013,PAR!$R$3:$S$5,2,FALSE)</f>
        <v>3 - egyik sem</v>
      </c>
      <c r="O2013" t="str">
        <f>IFERROR(VLOOKUP(J2013,PAR!$O$3:$P$5,2,FALSE),"nincs feladat")</f>
        <v>nincs feladat</v>
      </c>
      <c r="P2013" t="str">
        <f>IFERROR(VLOOKUP(G2013,PAR!$J$2:$M$19,4),"nincs rovat")</f>
        <v>nincs rovat</v>
      </c>
      <c r="Q2013" t="str">
        <f>IF(H2013&gt;0,VLOOKUP(H2013,PAR!$AA$3:$AC$187,3,FALSE),"nincs főkönyvi számla")</f>
        <v>nincs főkönyvi számla</v>
      </c>
      <c r="R2013" t="str">
        <f>IFERROR(VLOOKUP(K2013,PAR!$V$3:$X$438,3,FALSE),"000000 - Nincs COFOG")</f>
        <v>000000 - Nincs COFOG</v>
      </c>
      <c r="S2013">
        <f t="shared" si="601"/>
        <v>0</v>
      </c>
      <c r="T2013">
        <f t="shared" si="602"/>
        <v>0</v>
      </c>
      <c r="U2013" t="str">
        <f>IF('906MP'!J1713&gt;0,CONCATENATE('906MP'!J1713," - ",'906MP'!P1713,", ",'906MP'!E1713),"nincs megjegyzés")</f>
        <v>nincs megjegyzés</v>
      </c>
      <c r="V2013" t="str">
        <f t="shared" si="589"/>
        <v>0P0</v>
      </c>
      <c r="W2013" t="str">
        <f t="shared" si="590"/>
        <v>0P0</v>
      </c>
      <c r="X2013" t="str">
        <f t="shared" si="591"/>
        <v>P0</v>
      </c>
      <c r="Y2013" t="str">
        <f t="shared" si="592"/>
        <v>00</v>
      </c>
      <c r="Z2013" t="str">
        <f t="shared" si="603"/>
        <v>00</v>
      </c>
      <c r="AA2013" t="str">
        <f t="shared" si="593"/>
        <v>00</v>
      </c>
      <c r="AB2013" t="str">
        <f t="shared" si="594"/>
        <v>00</v>
      </c>
      <c r="AC2013" t="str">
        <f t="shared" si="595"/>
        <v>0P0</v>
      </c>
      <c r="AD2013" t="str">
        <f t="shared" si="596"/>
        <v>P00</v>
      </c>
      <c r="AE2013" t="str">
        <f t="shared" si="597"/>
        <v>0P0</v>
      </c>
      <c r="AF2013" t="str">
        <f t="shared" si="598"/>
        <v>P00</v>
      </c>
      <c r="AG2013" t="str">
        <f t="shared" si="604"/>
        <v>0P00</v>
      </c>
      <c r="AH2013" t="str">
        <f t="shared" si="605"/>
        <v>P000</v>
      </c>
      <c r="AI2013" t="str">
        <f t="shared" si="606"/>
        <v>0P00</v>
      </c>
      <c r="AJ2013" t="str">
        <f t="shared" si="607"/>
        <v>P000</v>
      </c>
    </row>
    <row r="2014" spans="1:36" x14ac:dyDescent="0.25">
      <c r="A2014" s="325" t="str">
        <f>CONCATENATE("P",'906MP'!M1714)</f>
        <v>P</v>
      </c>
      <c r="B2014">
        <f>'906MP'!H1714</f>
        <v>0</v>
      </c>
      <c r="C2014">
        <f>'906MP'!J1714</f>
        <v>0</v>
      </c>
      <c r="D2014">
        <f>'906MP'!P1714</f>
        <v>0</v>
      </c>
      <c r="E2014">
        <f>'906MP'!X1714</f>
        <v>0</v>
      </c>
      <c r="F2014" t="str">
        <f t="shared" si="599"/>
        <v>0</v>
      </c>
      <c r="G2014" t="str">
        <f t="shared" si="600"/>
        <v>0</v>
      </c>
      <c r="H2014">
        <f>'906MP'!Y1714</f>
        <v>0</v>
      </c>
      <c r="I2014">
        <f>'906MP'!AK1714</f>
        <v>0</v>
      </c>
      <c r="J2014">
        <f>'906MP'!T1714</f>
        <v>0</v>
      </c>
      <c r="K2014">
        <f>'906MP'!AJ1714</f>
        <v>0</v>
      </c>
      <c r="L2014">
        <f>'906MP'!U1714</f>
        <v>0</v>
      </c>
      <c r="M2014" s="322" t="str">
        <f>IFERROR(VLOOKUP(A2014,PAR!$D$3:$E$53,2,FALSE),"nincs szervezet")</f>
        <v>nincs szervezet</v>
      </c>
      <c r="N2014" s="322" t="str">
        <f>VLOOKUP(F2014,PAR!$R$3:$S$5,2,FALSE)</f>
        <v>3 - egyik sem</v>
      </c>
      <c r="O2014" t="str">
        <f>IFERROR(VLOOKUP(J2014,PAR!$O$3:$P$5,2,FALSE),"nincs feladat")</f>
        <v>nincs feladat</v>
      </c>
      <c r="P2014" t="str">
        <f>IFERROR(VLOOKUP(G2014,PAR!$J$2:$M$19,4),"nincs rovat")</f>
        <v>nincs rovat</v>
      </c>
      <c r="Q2014" t="str">
        <f>IF(H2014&gt;0,VLOOKUP(H2014,PAR!$AA$3:$AC$187,3,FALSE),"nincs főkönyvi számla")</f>
        <v>nincs főkönyvi számla</v>
      </c>
      <c r="R2014" t="str">
        <f>IFERROR(VLOOKUP(K2014,PAR!$V$3:$X$438,3,FALSE),"000000 - Nincs COFOG")</f>
        <v>000000 - Nincs COFOG</v>
      </c>
      <c r="S2014">
        <f t="shared" si="601"/>
        <v>0</v>
      </c>
      <c r="T2014">
        <f t="shared" si="602"/>
        <v>0</v>
      </c>
      <c r="U2014" t="str">
        <f>IF('906MP'!J1714&gt;0,CONCATENATE('906MP'!J1714," - ",'906MP'!P1714,", ",'906MP'!E1714),"nincs megjegyzés")</f>
        <v>nincs megjegyzés</v>
      </c>
      <c r="V2014" t="str">
        <f t="shared" si="589"/>
        <v>0P0</v>
      </c>
      <c r="W2014" t="str">
        <f t="shared" si="590"/>
        <v>0P0</v>
      </c>
      <c r="X2014" t="str">
        <f t="shared" si="591"/>
        <v>P0</v>
      </c>
      <c r="Y2014" t="str">
        <f t="shared" si="592"/>
        <v>00</v>
      </c>
      <c r="Z2014" t="str">
        <f t="shared" si="603"/>
        <v>00</v>
      </c>
      <c r="AA2014" t="str">
        <f t="shared" si="593"/>
        <v>00</v>
      </c>
      <c r="AB2014" t="str">
        <f t="shared" si="594"/>
        <v>00</v>
      </c>
      <c r="AC2014" t="str">
        <f t="shared" si="595"/>
        <v>0P0</v>
      </c>
      <c r="AD2014" t="str">
        <f t="shared" si="596"/>
        <v>P00</v>
      </c>
      <c r="AE2014" t="str">
        <f t="shared" si="597"/>
        <v>0P0</v>
      </c>
      <c r="AF2014" t="str">
        <f t="shared" si="598"/>
        <v>P00</v>
      </c>
      <c r="AG2014" t="str">
        <f t="shared" si="604"/>
        <v>0P00</v>
      </c>
      <c r="AH2014" t="str">
        <f t="shared" si="605"/>
        <v>P000</v>
      </c>
      <c r="AI2014" t="str">
        <f t="shared" si="606"/>
        <v>0P00</v>
      </c>
      <c r="AJ2014" t="str">
        <f t="shared" si="607"/>
        <v>P000</v>
      </c>
    </row>
    <row r="2015" spans="1:36" x14ac:dyDescent="0.25">
      <c r="A2015" s="325" t="str">
        <f>CONCATENATE("P",'906MP'!M1715)</f>
        <v>P</v>
      </c>
      <c r="B2015">
        <f>'906MP'!H1715</f>
        <v>0</v>
      </c>
      <c r="C2015">
        <f>'906MP'!J1715</f>
        <v>0</v>
      </c>
      <c r="D2015">
        <f>'906MP'!P1715</f>
        <v>0</v>
      </c>
      <c r="E2015">
        <f>'906MP'!X1715</f>
        <v>0</v>
      </c>
      <c r="F2015" t="str">
        <f t="shared" si="599"/>
        <v>0</v>
      </c>
      <c r="G2015" t="str">
        <f t="shared" si="600"/>
        <v>0</v>
      </c>
      <c r="H2015">
        <f>'906MP'!Y1715</f>
        <v>0</v>
      </c>
      <c r="I2015">
        <f>'906MP'!AK1715</f>
        <v>0</v>
      </c>
      <c r="J2015">
        <f>'906MP'!T1715</f>
        <v>0</v>
      </c>
      <c r="K2015">
        <f>'906MP'!AJ1715</f>
        <v>0</v>
      </c>
      <c r="L2015">
        <f>'906MP'!U1715</f>
        <v>0</v>
      </c>
      <c r="M2015" s="322" t="str">
        <f>IFERROR(VLOOKUP(A2015,PAR!$D$3:$E$53,2,FALSE),"nincs szervezet")</f>
        <v>nincs szervezet</v>
      </c>
      <c r="N2015" s="322" t="str">
        <f>VLOOKUP(F2015,PAR!$R$3:$S$5,2,FALSE)</f>
        <v>3 - egyik sem</v>
      </c>
      <c r="O2015" t="str">
        <f>IFERROR(VLOOKUP(J2015,PAR!$O$3:$P$5,2,FALSE),"nincs feladat")</f>
        <v>nincs feladat</v>
      </c>
      <c r="P2015" t="str">
        <f>IFERROR(VLOOKUP(G2015,PAR!$J$2:$M$19,4),"nincs rovat")</f>
        <v>nincs rovat</v>
      </c>
      <c r="Q2015" t="str">
        <f>IF(H2015&gt;0,VLOOKUP(H2015,PAR!$AA$3:$AC$187,3,FALSE),"nincs főkönyvi számla")</f>
        <v>nincs főkönyvi számla</v>
      </c>
      <c r="R2015" t="str">
        <f>IFERROR(VLOOKUP(K2015,PAR!$V$3:$X$438,3,FALSE),"000000 - Nincs COFOG")</f>
        <v>000000 - Nincs COFOG</v>
      </c>
      <c r="S2015">
        <f t="shared" si="601"/>
        <v>0</v>
      </c>
      <c r="T2015">
        <f t="shared" si="602"/>
        <v>0</v>
      </c>
      <c r="U2015" t="str">
        <f>IF('906MP'!J1715&gt;0,CONCATENATE('906MP'!J1715," - ",'906MP'!P1715,", ",'906MP'!E1715),"nincs megjegyzés")</f>
        <v>nincs megjegyzés</v>
      </c>
      <c r="V2015" t="str">
        <f t="shared" si="589"/>
        <v>0P0</v>
      </c>
      <c r="W2015" t="str">
        <f t="shared" si="590"/>
        <v>0P0</v>
      </c>
      <c r="X2015" t="str">
        <f t="shared" si="591"/>
        <v>P0</v>
      </c>
      <c r="Y2015" t="str">
        <f t="shared" si="592"/>
        <v>00</v>
      </c>
      <c r="Z2015" t="str">
        <f t="shared" si="603"/>
        <v>00</v>
      </c>
      <c r="AA2015" t="str">
        <f t="shared" si="593"/>
        <v>00</v>
      </c>
      <c r="AB2015" t="str">
        <f t="shared" si="594"/>
        <v>00</v>
      </c>
      <c r="AC2015" t="str">
        <f t="shared" si="595"/>
        <v>0P0</v>
      </c>
      <c r="AD2015" t="str">
        <f t="shared" si="596"/>
        <v>P00</v>
      </c>
      <c r="AE2015" t="str">
        <f t="shared" si="597"/>
        <v>0P0</v>
      </c>
      <c r="AF2015" t="str">
        <f t="shared" si="598"/>
        <v>P00</v>
      </c>
      <c r="AG2015" t="str">
        <f t="shared" si="604"/>
        <v>0P00</v>
      </c>
      <c r="AH2015" t="str">
        <f t="shared" si="605"/>
        <v>P000</v>
      </c>
      <c r="AI2015" t="str">
        <f t="shared" si="606"/>
        <v>0P00</v>
      </c>
      <c r="AJ2015" t="str">
        <f t="shared" si="607"/>
        <v>P000</v>
      </c>
    </row>
    <row r="2016" spans="1:36" x14ac:dyDescent="0.25">
      <c r="A2016" s="325" t="str">
        <f>CONCATENATE("P",'906MP'!M1716)</f>
        <v>P</v>
      </c>
      <c r="B2016">
        <f>'906MP'!H1716</f>
        <v>0</v>
      </c>
      <c r="C2016">
        <f>'906MP'!J1716</f>
        <v>0</v>
      </c>
      <c r="D2016">
        <f>'906MP'!P1716</f>
        <v>0</v>
      </c>
      <c r="E2016">
        <f>'906MP'!X1716</f>
        <v>0</v>
      </c>
      <c r="F2016" t="str">
        <f t="shared" si="599"/>
        <v>0</v>
      </c>
      <c r="G2016" t="str">
        <f t="shared" si="600"/>
        <v>0</v>
      </c>
      <c r="H2016">
        <f>'906MP'!Y1716</f>
        <v>0</v>
      </c>
      <c r="I2016">
        <f>'906MP'!AK1716</f>
        <v>0</v>
      </c>
      <c r="J2016">
        <f>'906MP'!T1716</f>
        <v>0</v>
      </c>
      <c r="K2016">
        <f>'906MP'!AJ1716</f>
        <v>0</v>
      </c>
      <c r="L2016">
        <f>'906MP'!U1716</f>
        <v>0</v>
      </c>
      <c r="M2016" s="322" t="str">
        <f>IFERROR(VLOOKUP(A2016,PAR!$D$3:$E$53,2,FALSE),"nincs szervezet")</f>
        <v>nincs szervezet</v>
      </c>
      <c r="N2016" s="322" t="str">
        <f>VLOOKUP(F2016,PAR!$R$3:$S$5,2,FALSE)</f>
        <v>3 - egyik sem</v>
      </c>
      <c r="O2016" t="str">
        <f>IFERROR(VLOOKUP(J2016,PAR!$O$3:$P$5,2,FALSE),"nincs feladat")</f>
        <v>nincs feladat</v>
      </c>
      <c r="P2016" t="str">
        <f>IFERROR(VLOOKUP(G2016,PAR!$J$2:$M$19,4),"nincs rovat")</f>
        <v>nincs rovat</v>
      </c>
      <c r="Q2016" t="str">
        <f>IF(H2016&gt;0,VLOOKUP(H2016,PAR!$AA$3:$AC$187,3,FALSE),"nincs főkönyvi számla")</f>
        <v>nincs főkönyvi számla</v>
      </c>
      <c r="R2016" t="str">
        <f>IFERROR(VLOOKUP(K2016,PAR!$V$3:$X$438,3,FALSE),"000000 - Nincs COFOG")</f>
        <v>000000 - Nincs COFOG</v>
      </c>
      <c r="S2016">
        <f t="shared" si="601"/>
        <v>0</v>
      </c>
      <c r="T2016">
        <f t="shared" si="602"/>
        <v>0</v>
      </c>
      <c r="U2016" t="str">
        <f>IF('906MP'!J1716&gt;0,CONCATENATE('906MP'!J1716," - ",'906MP'!P1716,", ",'906MP'!E1716),"nincs megjegyzés")</f>
        <v>nincs megjegyzés</v>
      </c>
      <c r="V2016" t="str">
        <f t="shared" si="589"/>
        <v>0P0</v>
      </c>
      <c r="W2016" t="str">
        <f t="shared" si="590"/>
        <v>0P0</v>
      </c>
      <c r="X2016" t="str">
        <f t="shared" si="591"/>
        <v>P0</v>
      </c>
      <c r="Y2016" t="str">
        <f t="shared" si="592"/>
        <v>00</v>
      </c>
      <c r="Z2016" t="str">
        <f t="shared" si="603"/>
        <v>00</v>
      </c>
      <c r="AA2016" t="str">
        <f t="shared" si="593"/>
        <v>00</v>
      </c>
      <c r="AB2016" t="str">
        <f t="shared" si="594"/>
        <v>00</v>
      </c>
      <c r="AC2016" t="str">
        <f t="shared" si="595"/>
        <v>0P0</v>
      </c>
      <c r="AD2016" t="str">
        <f t="shared" si="596"/>
        <v>P00</v>
      </c>
      <c r="AE2016" t="str">
        <f t="shared" si="597"/>
        <v>0P0</v>
      </c>
      <c r="AF2016" t="str">
        <f t="shared" si="598"/>
        <v>P00</v>
      </c>
      <c r="AG2016" t="str">
        <f t="shared" si="604"/>
        <v>0P00</v>
      </c>
      <c r="AH2016" t="str">
        <f t="shared" si="605"/>
        <v>P000</v>
      </c>
      <c r="AI2016" t="str">
        <f t="shared" si="606"/>
        <v>0P00</v>
      </c>
      <c r="AJ2016" t="str">
        <f t="shared" si="607"/>
        <v>P000</v>
      </c>
    </row>
    <row r="2017" spans="1:36" x14ac:dyDescent="0.25">
      <c r="A2017" s="325" t="str">
        <f>CONCATENATE("P",'906MP'!M1717)</f>
        <v>P</v>
      </c>
      <c r="B2017">
        <f>'906MP'!H1717</f>
        <v>0</v>
      </c>
      <c r="C2017">
        <f>'906MP'!J1717</f>
        <v>0</v>
      </c>
      <c r="D2017">
        <f>'906MP'!P1717</f>
        <v>0</v>
      </c>
      <c r="E2017">
        <f>'906MP'!X1717</f>
        <v>0</v>
      </c>
      <c r="F2017" t="str">
        <f t="shared" si="599"/>
        <v>0</v>
      </c>
      <c r="G2017" t="str">
        <f t="shared" si="600"/>
        <v>0</v>
      </c>
      <c r="H2017">
        <f>'906MP'!Y1717</f>
        <v>0</v>
      </c>
      <c r="I2017">
        <f>'906MP'!AK1717</f>
        <v>0</v>
      </c>
      <c r="J2017">
        <f>'906MP'!T1717</f>
        <v>0</v>
      </c>
      <c r="K2017">
        <f>'906MP'!AJ1717</f>
        <v>0</v>
      </c>
      <c r="L2017">
        <f>'906MP'!U1717</f>
        <v>0</v>
      </c>
      <c r="M2017" s="322" t="str">
        <f>IFERROR(VLOOKUP(A2017,PAR!$D$3:$E$53,2,FALSE),"nincs szervezet")</f>
        <v>nincs szervezet</v>
      </c>
      <c r="N2017" s="322" t="str">
        <f>VLOOKUP(F2017,PAR!$R$3:$S$5,2,FALSE)</f>
        <v>3 - egyik sem</v>
      </c>
      <c r="O2017" t="str">
        <f>IFERROR(VLOOKUP(J2017,PAR!$O$3:$P$5,2,FALSE),"nincs feladat")</f>
        <v>nincs feladat</v>
      </c>
      <c r="P2017" t="str">
        <f>IFERROR(VLOOKUP(G2017,PAR!$J$2:$M$19,4),"nincs rovat")</f>
        <v>nincs rovat</v>
      </c>
      <c r="Q2017" t="str">
        <f>IF(H2017&gt;0,VLOOKUP(H2017,PAR!$AA$3:$AC$187,3,FALSE),"nincs főkönyvi számla")</f>
        <v>nincs főkönyvi számla</v>
      </c>
      <c r="R2017" t="str">
        <f>IFERROR(VLOOKUP(K2017,PAR!$V$3:$X$438,3,FALSE),"000000 - Nincs COFOG")</f>
        <v>000000 - Nincs COFOG</v>
      </c>
      <c r="S2017">
        <f t="shared" si="601"/>
        <v>0</v>
      </c>
      <c r="T2017">
        <f t="shared" si="602"/>
        <v>0</v>
      </c>
      <c r="U2017" t="str">
        <f>IF('906MP'!J1717&gt;0,CONCATENATE('906MP'!J1717," - ",'906MP'!P1717,", ",'906MP'!E1717),"nincs megjegyzés")</f>
        <v>nincs megjegyzés</v>
      </c>
      <c r="V2017" t="str">
        <f t="shared" si="589"/>
        <v>0P0</v>
      </c>
      <c r="W2017" t="str">
        <f t="shared" si="590"/>
        <v>0P0</v>
      </c>
      <c r="X2017" t="str">
        <f t="shared" si="591"/>
        <v>P0</v>
      </c>
      <c r="Y2017" t="str">
        <f t="shared" si="592"/>
        <v>00</v>
      </c>
      <c r="Z2017" t="str">
        <f t="shared" si="603"/>
        <v>00</v>
      </c>
      <c r="AA2017" t="str">
        <f t="shared" si="593"/>
        <v>00</v>
      </c>
      <c r="AB2017" t="str">
        <f t="shared" si="594"/>
        <v>00</v>
      </c>
      <c r="AC2017" t="str">
        <f t="shared" si="595"/>
        <v>0P0</v>
      </c>
      <c r="AD2017" t="str">
        <f t="shared" si="596"/>
        <v>P00</v>
      </c>
      <c r="AE2017" t="str">
        <f t="shared" si="597"/>
        <v>0P0</v>
      </c>
      <c r="AF2017" t="str">
        <f t="shared" si="598"/>
        <v>P00</v>
      </c>
      <c r="AG2017" t="str">
        <f t="shared" si="604"/>
        <v>0P00</v>
      </c>
      <c r="AH2017" t="str">
        <f t="shared" si="605"/>
        <v>P000</v>
      </c>
      <c r="AI2017" t="str">
        <f t="shared" si="606"/>
        <v>0P00</v>
      </c>
      <c r="AJ2017" t="str">
        <f t="shared" si="607"/>
        <v>P000</v>
      </c>
    </row>
    <row r="2018" spans="1:36" x14ac:dyDescent="0.25">
      <c r="A2018" s="325" t="str">
        <f>CONCATENATE("P",'906MP'!M1718)</f>
        <v>P</v>
      </c>
      <c r="B2018">
        <f>'906MP'!H1718</f>
        <v>0</v>
      </c>
      <c r="C2018">
        <f>'906MP'!J1718</f>
        <v>0</v>
      </c>
      <c r="D2018">
        <f>'906MP'!P1718</f>
        <v>0</v>
      </c>
      <c r="E2018">
        <f>'906MP'!X1718</f>
        <v>0</v>
      </c>
      <c r="F2018" t="str">
        <f t="shared" si="599"/>
        <v>0</v>
      </c>
      <c r="G2018" t="str">
        <f t="shared" si="600"/>
        <v>0</v>
      </c>
      <c r="H2018">
        <f>'906MP'!Y1718</f>
        <v>0</v>
      </c>
      <c r="I2018">
        <f>'906MP'!AK1718</f>
        <v>0</v>
      </c>
      <c r="J2018">
        <f>'906MP'!T1718</f>
        <v>0</v>
      </c>
      <c r="K2018">
        <f>'906MP'!AJ1718</f>
        <v>0</v>
      </c>
      <c r="L2018">
        <f>'906MP'!U1718</f>
        <v>0</v>
      </c>
      <c r="M2018" s="322" t="str">
        <f>IFERROR(VLOOKUP(A2018,PAR!$D$3:$E$53,2,FALSE),"nincs szervezet")</f>
        <v>nincs szervezet</v>
      </c>
      <c r="N2018" s="322" t="str">
        <f>VLOOKUP(F2018,PAR!$R$3:$S$5,2,FALSE)</f>
        <v>3 - egyik sem</v>
      </c>
      <c r="O2018" t="str">
        <f>IFERROR(VLOOKUP(J2018,PAR!$O$3:$P$5,2,FALSE),"nincs feladat")</f>
        <v>nincs feladat</v>
      </c>
      <c r="P2018" t="str">
        <f>IFERROR(VLOOKUP(G2018,PAR!$J$2:$M$19,4),"nincs rovat")</f>
        <v>nincs rovat</v>
      </c>
      <c r="Q2018" t="str">
        <f>IF(H2018&gt;0,VLOOKUP(H2018,PAR!$AA$3:$AC$187,3,FALSE),"nincs főkönyvi számla")</f>
        <v>nincs főkönyvi számla</v>
      </c>
      <c r="R2018" t="str">
        <f>IFERROR(VLOOKUP(K2018,PAR!$V$3:$X$438,3,FALSE),"000000 - Nincs COFOG")</f>
        <v>000000 - Nincs COFOG</v>
      </c>
      <c r="S2018">
        <f t="shared" si="601"/>
        <v>0</v>
      </c>
      <c r="T2018">
        <f t="shared" si="602"/>
        <v>0</v>
      </c>
      <c r="U2018" t="str">
        <f>IF('906MP'!J1718&gt;0,CONCATENATE('906MP'!J1718," - ",'906MP'!P1718,", ",'906MP'!E1718),"nincs megjegyzés")</f>
        <v>nincs megjegyzés</v>
      </c>
      <c r="V2018" t="str">
        <f t="shared" si="589"/>
        <v>0P0</v>
      </c>
      <c r="W2018" t="str">
        <f t="shared" si="590"/>
        <v>0P0</v>
      </c>
      <c r="X2018" t="str">
        <f t="shared" si="591"/>
        <v>P0</v>
      </c>
      <c r="Y2018" t="str">
        <f t="shared" si="592"/>
        <v>00</v>
      </c>
      <c r="Z2018" t="str">
        <f t="shared" si="603"/>
        <v>00</v>
      </c>
      <c r="AA2018" t="str">
        <f t="shared" si="593"/>
        <v>00</v>
      </c>
      <c r="AB2018" t="str">
        <f t="shared" si="594"/>
        <v>00</v>
      </c>
      <c r="AC2018" t="str">
        <f t="shared" si="595"/>
        <v>0P0</v>
      </c>
      <c r="AD2018" t="str">
        <f t="shared" si="596"/>
        <v>P00</v>
      </c>
      <c r="AE2018" t="str">
        <f t="shared" si="597"/>
        <v>0P0</v>
      </c>
      <c r="AF2018" t="str">
        <f t="shared" si="598"/>
        <v>P00</v>
      </c>
      <c r="AG2018" t="str">
        <f t="shared" si="604"/>
        <v>0P00</v>
      </c>
      <c r="AH2018" t="str">
        <f t="shared" si="605"/>
        <v>P000</v>
      </c>
      <c r="AI2018" t="str">
        <f t="shared" si="606"/>
        <v>0P00</v>
      </c>
      <c r="AJ2018" t="str">
        <f t="shared" si="607"/>
        <v>P000</v>
      </c>
    </row>
    <row r="2019" spans="1:36" x14ac:dyDescent="0.25">
      <c r="A2019" s="325" t="str">
        <f>CONCATENATE("P",'906MP'!M1719)</f>
        <v>P</v>
      </c>
      <c r="B2019">
        <f>'906MP'!H1719</f>
        <v>0</v>
      </c>
      <c r="C2019">
        <f>'906MP'!J1719</f>
        <v>0</v>
      </c>
      <c r="D2019">
        <f>'906MP'!P1719</f>
        <v>0</v>
      </c>
      <c r="E2019">
        <f>'906MP'!X1719</f>
        <v>0</v>
      </c>
      <c r="F2019" t="str">
        <f t="shared" si="599"/>
        <v>0</v>
      </c>
      <c r="G2019" t="str">
        <f t="shared" si="600"/>
        <v>0</v>
      </c>
      <c r="H2019">
        <f>'906MP'!Y1719</f>
        <v>0</v>
      </c>
      <c r="I2019">
        <f>'906MP'!AK1719</f>
        <v>0</v>
      </c>
      <c r="J2019">
        <f>'906MP'!T1719</f>
        <v>0</v>
      </c>
      <c r="K2019">
        <f>'906MP'!AJ1719</f>
        <v>0</v>
      </c>
      <c r="L2019">
        <f>'906MP'!U1719</f>
        <v>0</v>
      </c>
      <c r="M2019" s="322" t="str">
        <f>IFERROR(VLOOKUP(A2019,PAR!$D$3:$E$53,2,FALSE),"nincs szervezet")</f>
        <v>nincs szervezet</v>
      </c>
      <c r="N2019" s="322" t="str">
        <f>VLOOKUP(F2019,PAR!$R$3:$S$5,2,FALSE)</f>
        <v>3 - egyik sem</v>
      </c>
      <c r="O2019" t="str">
        <f>IFERROR(VLOOKUP(J2019,PAR!$O$3:$P$5,2,FALSE),"nincs feladat")</f>
        <v>nincs feladat</v>
      </c>
      <c r="P2019" t="str">
        <f>IFERROR(VLOOKUP(G2019,PAR!$J$2:$M$19,4),"nincs rovat")</f>
        <v>nincs rovat</v>
      </c>
      <c r="Q2019" t="str">
        <f>IF(H2019&gt;0,VLOOKUP(H2019,PAR!$AA$3:$AC$187,3,FALSE),"nincs főkönyvi számla")</f>
        <v>nincs főkönyvi számla</v>
      </c>
      <c r="R2019" t="str">
        <f>IFERROR(VLOOKUP(K2019,PAR!$V$3:$X$438,3,FALSE),"000000 - Nincs COFOG")</f>
        <v>000000 - Nincs COFOG</v>
      </c>
      <c r="S2019">
        <f t="shared" si="601"/>
        <v>0</v>
      </c>
      <c r="T2019">
        <f t="shared" si="602"/>
        <v>0</v>
      </c>
      <c r="U2019" t="str">
        <f>IF('906MP'!J1719&gt;0,CONCATENATE('906MP'!J1719," - ",'906MP'!P1719,", ",'906MP'!E1719),"nincs megjegyzés")</f>
        <v>nincs megjegyzés</v>
      </c>
      <c r="V2019" t="str">
        <f t="shared" si="589"/>
        <v>0P0</v>
      </c>
      <c r="W2019" t="str">
        <f t="shared" si="590"/>
        <v>0P0</v>
      </c>
      <c r="X2019" t="str">
        <f t="shared" si="591"/>
        <v>P0</v>
      </c>
      <c r="Y2019" t="str">
        <f t="shared" si="592"/>
        <v>00</v>
      </c>
      <c r="Z2019" t="str">
        <f t="shared" si="603"/>
        <v>00</v>
      </c>
      <c r="AA2019" t="str">
        <f t="shared" si="593"/>
        <v>00</v>
      </c>
      <c r="AB2019" t="str">
        <f t="shared" si="594"/>
        <v>00</v>
      </c>
      <c r="AC2019" t="str">
        <f t="shared" si="595"/>
        <v>0P0</v>
      </c>
      <c r="AD2019" t="str">
        <f t="shared" si="596"/>
        <v>P00</v>
      </c>
      <c r="AE2019" t="str">
        <f t="shared" si="597"/>
        <v>0P0</v>
      </c>
      <c r="AF2019" t="str">
        <f t="shared" si="598"/>
        <v>P00</v>
      </c>
      <c r="AG2019" t="str">
        <f t="shared" si="604"/>
        <v>0P00</v>
      </c>
      <c r="AH2019" t="str">
        <f t="shared" si="605"/>
        <v>P000</v>
      </c>
      <c r="AI2019" t="str">
        <f t="shared" si="606"/>
        <v>0P00</v>
      </c>
      <c r="AJ2019" t="str">
        <f t="shared" si="607"/>
        <v>P000</v>
      </c>
    </row>
    <row r="2020" spans="1:36" x14ac:dyDescent="0.25">
      <c r="A2020" s="325" t="str">
        <f>CONCATENATE("P",'906MP'!M1720)</f>
        <v>P</v>
      </c>
      <c r="B2020">
        <f>'906MP'!H1720</f>
        <v>0</v>
      </c>
      <c r="C2020">
        <f>'906MP'!J1720</f>
        <v>0</v>
      </c>
      <c r="D2020">
        <f>'906MP'!P1720</f>
        <v>0</v>
      </c>
      <c r="E2020">
        <f>'906MP'!X1720</f>
        <v>0</v>
      </c>
      <c r="F2020" t="str">
        <f t="shared" si="599"/>
        <v>0</v>
      </c>
      <c r="G2020" t="str">
        <f t="shared" si="600"/>
        <v>0</v>
      </c>
      <c r="H2020">
        <f>'906MP'!Y1720</f>
        <v>0</v>
      </c>
      <c r="I2020">
        <f>'906MP'!AK1720</f>
        <v>0</v>
      </c>
      <c r="J2020">
        <f>'906MP'!T1720</f>
        <v>0</v>
      </c>
      <c r="K2020">
        <f>'906MP'!AJ1720</f>
        <v>0</v>
      </c>
      <c r="L2020">
        <f>'906MP'!U1720</f>
        <v>0</v>
      </c>
      <c r="M2020" s="322" t="str">
        <f>IFERROR(VLOOKUP(A2020,PAR!$D$3:$E$53,2,FALSE),"nincs szervezet")</f>
        <v>nincs szervezet</v>
      </c>
      <c r="N2020" s="322" t="str">
        <f>VLOOKUP(F2020,PAR!$R$3:$S$5,2,FALSE)</f>
        <v>3 - egyik sem</v>
      </c>
      <c r="O2020" t="str">
        <f>IFERROR(VLOOKUP(J2020,PAR!$O$3:$P$5,2,FALSE),"nincs feladat")</f>
        <v>nincs feladat</v>
      </c>
      <c r="P2020" t="str">
        <f>IFERROR(VLOOKUP(G2020,PAR!$J$2:$M$19,4),"nincs rovat")</f>
        <v>nincs rovat</v>
      </c>
      <c r="Q2020" t="str">
        <f>IF(H2020&gt;0,VLOOKUP(H2020,PAR!$AA$3:$AC$187,3,FALSE),"nincs főkönyvi számla")</f>
        <v>nincs főkönyvi számla</v>
      </c>
      <c r="R2020" t="str">
        <f>IFERROR(VLOOKUP(K2020,PAR!$V$3:$X$438,3,FALSE),"000000 - Nincs COFOG")</f>
        <v>000000 - Nincs COFOG</v>
      </c>
      <c r="S2020">
        <f t="shared" si="601"/>
        <v>0</v>
      </c>
      <c r="T2020">
        <f t="shared" si="602"/>
        <v>0</v>
      </c>
      <c r="U2020" t="str">
        <f>IF('906MP'!J1720&gt;0,CONCATENATE('906MP'!J1720," - ",'906MP'!P1720,", ",'906MP'!E1720),"nincs megjegyzés")</f>
        <v>nincs megjegyzés</v>
      </c>
      <c r="V2020" t="str">
        <f t="shared" si="589"/>
        <v>0P0</v>
      </c>
      <c r="W2020" t="str">
        <f t="shared" si="590"/>
        <v>0P0</v>
      </c>
      <c r="X2020" t="str">
        <f t="shared" si="591"/>
        <v>P0</v>
      </c>
      <c r="Y2020" t="str">
        <f t="shared" si="592"/>
        <v>00</v>
      </c>
      <c r="Z2020" t="str">
        <f t="shared" si="603"/>
        <v>00</v>
      </c>
      <c r="AA2020" t="str">
        <f t="shared" si="593"/>
        <v>00</v>
      </c>
      <c r="AB2020" t="str">
        <f t="shared" si="594"/>
        <v>00</v>
      </c>
      <c r="AC2020" t="str">
        <f t="shared" si="595"/>
        <v>0P0</v>
      </c>
      <c r="AD2020" t="str">
        <f t="shared" si="596"/>
        <v>P00</v>
      </c>
      <c r="AE2020" t="str">
        <f t="shared" si="597"/>
        <v>0P0</v>
      </c>
      <c r="AF2020" t="str">
        <f t="shared" si="598"/>
        <v>P00</v>
      </c>
      <c r="AG2020" t="str">
        <f t="shared" si="604"/>
        <v>0P00</v>
      </c>
      <c r="AH2020" t="str">
        <f t="shared" si="605"/>
        <v>P000</v>
      </c>
      <c r="AI2020" t="str">
        <f t="shared" si="606"/>
        <v>0P00</v>
      </c>
      <c r="AJ2020" t="str">
        <f t="shared" si="607"/>
        <v>P000</v>
      </c>
    </row>
    <row r="2021" spans="1:36" x14ac:dyDescent="0.25">
      <c r="A2021" s="325" t="str">
        <f>CONCATENATE("P",'906MP'!M1721)</f>
        <v>P</v>
      </c>
      <c r="B2021">
        <f>'906MP'!H1721</f>
        <v>0</v>
      </c>
      <c r="C2021">
        <f>'906MP'!J1721</f>
        <v>0</v>
      </c>
      <c r="D2021">
        <f>'906MP'!P1721</f>
        <v>0</v>
      </c>
      <c r="E2021">
        <f>'906MP'!X1721</f>
        <v>0</v>
      </c>
      <c r="F2021" t="str">
        <f t="shared" si="599"/>
        <v>0</v>
      </c>
      <c r="G2021" t="str">
        <f t="shared" si="600"/>
        <v>0</v>
      </c>
      <c r="H2021">
        <f>'906MP'!Y1721</f>
        <v>0</v>
      </c>
      <c r="I2021">
        <f>'906MP'!AK1721</f>
        <v>0</v>
      </c>
      <c r="J2021">
        <f>'906MP'!T1721</f>
        <v>0</v>
      </c>
      <c r="K2021">
        <f>'906MP'!AJ1721</f>
        <v>0</v>
      </c>
      <c r="L2021">
        <f>'906MP'!U1721</f>
        <v>0</v>
      </c>
      <c r="M2021" s="322" t="str">
        <f>IFERROR(VLOOKUP(A2021,PAR!$D$3:$E$53,2,FALSE),"nincs szervezet")</f>
        <v>nincs szervezet</v>
      </c>
      <c r="N2021" s="322" t="str">
        <f>VLOOKUP(F2021,PAR!$R$3:$S$5,2,FALSE)</f>
        <v>3 - egyik sem</v>
      </c>
      <c r="O2021" t="str">
        <f>IFERROR(VLOOKUP(J2021,PAR!$O$3:$P$5,2,FALSE),"nincs feladat")</f>
        <v>nincs feladat</v>
      </c>
      <c r="P2021" t="str">
        <f>IFERROR(VLOOKUP(G2021,PAR!$J$2:$M$19,4),"nincs rovat")</f>
        <v>nincs rovat</v>
      </c>
      <c r="Q2021" t="str">
        <f>IF(H2021&gt;0,VLOOKUP(H2021,PAR!$AA$3:$AC$187,3,FALSE),"nincs főkönyvi számla")</f>
        <v>nincs főkönyvi számla</v>
      </c>
      <c r="R2021" t="str">
        <f>IFERROR(VLOOKUP(K2021,PAR!$V$3:$X$438,3,FALSE),"000000 - Nincs COFOG")</f>
        <v>000000 - Nincs COFOG</v>
      </c>
      <c r="S2021">
        <f t="shared" si="601"/>
        <v>0</v>
      </c>
      <c r="T2021">
        <f t="shared" si="602"/>
        <v>0</v>
      </c>
      <c r="U2021" t="str">
        <f>IF('906MP'!J1721&gt;0,CONCATENATE('906MP'!J1721," - ",'906MP'!P1721,", ",'906MP'!E1721),"nincs megjegyzés")</f>
        <v>nincs megjegyzés</v>
      </c>
      <c r="V2021" t="str">
        <f t="shared" si="589"/>
        <v>0P0</v>
      </c>
      <c r="W2021" t="str">
        <f t="shared" si="590"/>
        <v>0P0</v>
      </c>
      <c r="X2021" t="str">
        <f t="shared" si="591"/>
        <v>P0</v>
      </c>
      <c r="Y2021" t="str">
        <f t="shared" si="592"/>
        <v>00</v>
      </c>
      <c r="Z2021" t="str">
        <f t="shared" si="603"/>
        <v>00</v>
      </c>
      <c r="AA2021" t="str">
        <f t="shared" si="593"/>
        <v>00</v>
      </c>
      <c r="AB2021" t="str">
        <f t="shared" si="594"/>
        <v>00</v>
      </c>
      <c r="AC2021" t="str">
        <f t="shared" si="595"/>
        <v>0P0</v>
      </c>
      <c r="AD2021" t="str">
        <f t="shared" si="596"/>
        <v>P00</v>
      </c>
      <c r="AE2021" t="str">
        <f t="shared" si="597"/>
        <v>0P0</v>
      </c>
      <c r="AF2021" t="str">
        <f t="shared" si="598"/>
        <v>P00</v>
      </c>
      <c r="AG2021" t="str">
        <f t="shared" si="604"/>
        <v>0P00</v>
      </c>
      <c r="AH2021" t="str">
        <f t="shared" si="605"/>
        <v>P000</v>
      </c>
      <c r="AI2021" t="str">
        <f t="shared" si="606"/>
        <v>0P00</v>
      </c>
      <c r="AJ2021" t="str">
        <f t="shared" si="607"/>
        <v>P000</v>
      </c>
    </row>
    <row r="2022" spans="1:36" x14ac:dyDescent="0.25">
      <c r="A2022" s="325" t="str">
        <f>CONCATENATE("P",'906MP'!M1722)</f>
        <v>P</v>
      </c>
      <c r="B2022">
        <f>'906MP'!H1722</f>
        <v>0</v>
      </c>
      <c r="C2022">
        <f>'906MP'!J1722</f>
        <v>0</v>
      </c>
      <c r="D2022">
        <f>'906MP'!P1722</f>
        <v>0</v>
      </c>
      <c r="E2022">
        <f>'906MP'!X1722</f>
        <v>0</v>
      </c>
      <c r="F2022" t="str">
        <f t="shared" si="599"/>
        <v>0</v>
      </c>
      <c r="G2022" t="str">
        <f t="shared" si="600"/>
        <v>0</v>
      </c>
      <c r="H2022">
        <f>'906MP'!Y1722</f>
        <v>0</v>
      </c>
      <c r="I2022">
        <f>'906MP'!AK1722</f>
        <v>0</v>
      </c>
      <c r="J2022">
        <f>'906MP'!T1722</f>
        <v>0</v>
      </c>
      <c r="K2022">
        <f>'906MP'!AJ1722</f>
        <v>0</v>
      </c>
      <c r="L2022">
        <f>'906MP'!U1722</f>
        <v>0</v>
      </c>
      <c r="M2022" s="322" t="str">
        <f>IFERROR(VLOOKUP(A2022,PAR!$D$3:$E$53,2,FALSE),"nincs szervezet")</f>
        <v>nincs szervezet</v>
      </c>
      <c r="N2022" s="322" t="str">
        <f>VLOOKUP(F2022,PAR!$R$3:$S$5,2,FALSE)</f>
        <v>3 - egyik sem</v>
      </c>
      <c r="O2022" t="str">
        <f>IFERROR(VLOOKUP(J2022,PAR!$O$3:$P$5,2,FALSE),"nincs feladat")</f>
        <v>nincs feladat</v>
      </c>
      <c r="P2022" t="str">
        <f>IFERROR(VLOOKUP(G2022,PAR!$J$2:$M$19,4),"nincs rovat")</f>
        <v>nincs rovat</v>
      </c>
      <c r="Q2022" t="str">
        <f>IF(H2022&gt;0,VLOOKUP(H2022,PAR!$AA$3:$AC$187,3,FALSE),"nincs főkönyvi számla")</f>
        <v>nincs főkönyvi számla</v>
      </c>
      <c r="R2022" t="str">
        <f>IFERROR(VLOOKUP(K2022,PAR!$V$3:$X$438,3,FALSE),"000000 - Nincs COFOG")</f>
        <v>000000 - Nincs COFOG</v>
      </c>
      <c r="S2022">
        <f t="shared" si="601"/>
        <v>0</v>
      </c>
      <c r="T2022">
        <f t="shared" si="602"/>
        <v>0</v>
      </c>
      <c r="U2022" t="str">
        <f>IF('906MP'!J1722&gt;0,CONCATENATE('906MP'!J1722," - ",'906MP'!P1722,", ",'906MP'!E1722),"nincs megjegyzés")</f>
        <v>nincs megjegyzés</v>
      </c>
      <c r="V2022" t="str">
        <f t="shared" si="589"/>
        <v>0P0</v>
      </c>
      <c r="W2022" t="str">
        <f t="shared" si="590"/>
        <v>0P0</v>
      </c>
      <c r="X2022" t="str">
        <f t="shared" si="591"/>
        <v>P0</v>
      </c>
      <c r="Y2022" t="str">
        <f t="shared" si="592"/>
        <v>00</v>
      </c>
      <c r="Z2022" t="str">
        <f t="shared" si="603"/>
        <v>00</v>
      </c>
      <c r="AA2022" t="str">
        <f t="shared" si="593"/>
        <v>00</v>
      </c>
      <c r="AB2022" t="str">
        <f t="shared" si="594"/>
        <v>00</v>
      </c>
      <c r="AC2022" t="str">
        <f t="shared" si="595"/>
        <v>0P0</v>
      </c>
      <c r="AD2022" t="str">
        <f t="shared" si="596"/>
        <v>P00</v>
      </c>
      <c r="AE2022" t="str">
        <f t="shared" si="597"/>
        <v>0P0</v>
      </c>
      <c r="AF2022" t="str">
        <f t="shared" si="598"/>
        <v>P00</v>
      </c>
      <c r="AG2022" t="str">
        <f t="shared" si="604"/>
        <v>0P00</v>
      </c>
      <c r="AH2022" t="str">
        <f t="shared" si="605"/>
        <v>P000</v>
      </c>
      <c r="AI2022" t="str">
        <f t="shared" si="606"/>
        <v>0P00</v>
      </c>
      <c r="AJ2022" t="str">
        <f t="shared" si="607"/>
        <v>P000</v>
      </c>
    </row>
    <row r="2023" spans="1:36" x14ac:dyDescent="0.25">
      <c r="A2023" s="325" t="str">
        <f>CONCATENATE("P",'906MP'!M1723)</f>
        <v>P</v>
      </c>
      <c r="B2023">
        <f>'906MP'!H1723</f>
        <v>0</v>
      </c>
      <c r="C2023">
        <f>'906MP'!J1723</f>
        <v>0</v>
      </c>
      <c r="D2023">
        <f>'906MP'!P1723</f>
        <v>0</v>
      </c>
      <c r="E2023">
        <f>'906MP'!X1723</f>
        <v>0</v>
      </c>
      <c r="F2023" t="str">
        <f t="shared" si="599"/>
        <v>0</v>
      </c>
      <c r="G2023" t="str">
        <f t="shared" si="600"/>
        <v>0</v>
      </c>
      <c r="H2023">
        <f>'906MP'!Y1723</f>
        <v>0</v>
      </c>
      <c r="I2023">
        <f>'906MP'!AK1723</f>
        <v>0</v>
      </c>
      <c r="J2023">
        <f>'906MP'!T1723</f>
        <v>0</v>
      </c>
      <c r="K2023">
        <f>'906MP'!AJ1723</f>
        <v>0</v>
      </c>
      <c r="L2023">
        <f>'906MP'!U1723</f>
        <v>0</v>
      </c>
      <c r="M2023" s="322" t="str">
        <f>IFERROR(VLOOKUP(A2023,PAR!$D$3:$E$53,2,FALSE),"nincs szervezet")</f>
        <v>nincs szervezet</v>
      </c>
      <c r="N2023" s="322" t="str">
        <f>VLOOKUP(F2023,PAR!$R$3:$S$5,2,FALSE)</f>
        <v>3 - egyik sem</v>
      </c>
      <c r="O2023" t="str">
        <f>IFERROR(VLOOKUP(J2023,PAR!$O$3:$P$5,2,FALSE),"nincs feladat")</f>
        <v>nincs feladat</v>
      </c>
      <c r="P2023" t="str">
        <f>IFERROR(VLOOKUP(G2023,PAR!$J$2:$M$19,4),"nincs rovat")</f>
        <v>nincs rovat</v>
      </c>
      <c r="Q2023" t="str">
        <f>IF(H2023&gt;0,VLOOKUP(H2023,PAR!$AA$3:$AC$187,3,FALSE),"nincs főkönyvi számla")</f>
        <v>nincs főkönyvi számla</v>
      </c>
      <c r="R2023" t="str">
        <f>IFERROR(VLOOKUP(K2023,PAR!$V$3:$X$438,3,FALSE),"000000 - Nincs COFOG")</f>
        <v>000000 - Nincs COFOG</v>
      </c>
      <c r="S2023">
        <f t="shared" si="601"/>
        <v>0</v>
      </c>
      <c r="T2023">
        <f t="shared" si="602"/>
        <v>0</v>
      </c>
      <c r="U2023" t="str">
        <f>IF('906MP'!J1723&gt;0,CONCATENATE('906MP'!J1723," - ",'906MP'!P1723,", ",'906MP'!E1723),"nincs megjegyzés")</f>
        <v>nincs megjegyzés</v>
      </c>
      <c r="V2023" t="str">
        <f t="shared" si="589"/>
        <v>0P0</v>
      </c>
      <c r="W2023" t="str">
        <f t="shared" si="590"/>
        <v>0P0</v>
      </c>
      <c r="X2023" t="str">
        <f t="shared" si="591"/>
        <v>P0</v>
      </c>
      <c r="Y2023" t="str">
        <f t="shared" si="592"/>
        <v>00</v>
      </c>
      <c r="Z2023" t="str">
        <f t="shared" si="603"/>
        <v>00</v>
      </c>
      <c r="AA2023" t="str">
        <f t="shared" si="593"/>
        <v>00</v>
      </c>
      <c r="AB2023" t="str">
        <f t="shared" si="594"/>
        <v>00</v>
      </c>
      <c r="AC2023" t="str">
        <f t="shared" si="595"/>
        <v>0P0</v>
      </c>
      <c r="AD2023" t="str">
        <f t="shared" si="596"/>
        <v>P00</v>
      </c>
      <c r="AE2023" t="str">
        <f t="shared" si="597"/>
        <v>0P0</v>
      </c>
      <c r="AF2023" t="str">
        <f t="shared" si="598"/>
        <v>P00</v>
      </c>
      <c r="AG2023" t="str">
        <f t="shared" si="604"/>
        <v>0P00</v>
      </c>
      <c r="AH2023" t="str">
        <f t="shared" si="605"/>
        <v>P000</v>
      </c>
      <c r="AI2023" t="str">
        <f t="shared" si="606"/>
        <v>0P00</v>
      </c>
      <c r="AJ2023" t="str">
        <f t="shared" si="607"/>
        <v>P000</v>
      </c>
    </row>
    <row r="2024" spans="1:36" x14ac:dyDescent="0.25">
      <c r="A2024" s="325" t="str">
        <f>CONCATENATE("P",'906MP'!M1724)</f>
        <v>P</v>
      </c>
      <c r="B2024">
        <f>'906MP'!H1724</f>
        <v>0</v>
      </c>
      <c r="C2024">
        <f>'906MP'!J1724</f>
        <v>0</v>
      </c>
      <c r="D2024">
        <f>'906MP'!P1724</f>
        <v>0</v>
      </c>
      <c r="E2024">
        <f>'906MP'!X1724</f>
        <v>0</v>
      </c>
      <c r="F2024" t="str">
        <f t="shared" si="599"/>
        <v>0</v>
      </c>
      <c r="G2024" t="str">
        <f t="shared" si="600"/>
        <v>0</v>
      </c>
      <c r="H2024">
        <f>'906MP'!Y1724</f>
        <v>0</v>
      </c>
      <c r="I2024">
        <f>'906MP'!AK1724</f>
        <v>0</v>
      </c>
      <c r="J2024">
        <f>'906MP'!T1724</f>
        <v>0</v>
      </c>
      <c r="K2024">
        <f>'906MP'!AJ1724</f>
        <v>0</v>
      </c>
      <c r="L2024">
        <f>'906MP'!U1724</f>
        <v>0</v>
      </c>
      <c r="M2024" s="322" t="str">
        <f>IFERROR(VLOOKUP(A2024,PAR!$D$3:$E$53,2,FALSE),"nincs szervezet")</f>
        <v>nincs szervezet</v>
      </c>
      <c r="N2024" s="322" t="str">
        <f>VLOOKUP(F2024,PAR!$R$3:$S$5,2,FALSE)</f>
        <v>3 - egyik sem</v>
      </c>
      <c r="O2024" t="str">
        <f>IFERROR(VLOOKUP(J2024,PAR!$O$3:$P$5,2,FALSE),"nincs feladat")</f>
        <v>nincs feladat</v>
      </c>
      <c r="P2024" t="str">
        <f>IFERROR(VLOOKUP(G2024,PAR!$J$2:$M$19,4),"nincs rovat")</f>
        <v>nincs rovat</v>
      </c>
      <c r="Q2024" t="str">
        <f>IF(H2024&gt;0,VLOOKUP(H2024,PAR!$AA$3:$AC$187,3,FALSE),"nincs főkönyvi számla")</f>
        <v>nincs főkönyvi számla</v>
      </c>
      <c r="R2024" t="str">
        <f>IFERROR(VLOOKUP(K2024,PAR!$V$3:$X$438,3,FALSE),"000000 - Nincs COFOG")</f>
        <v>000000 - Nincs COFOG</v>
      </c>
      <c r="S2024">
        <f t="shared" si="601"/>
        <v>0</v>
      </c>
      <c r="T2024">
        <f t="shared" si="602"/>
        <v>0</v>
      </c>
      <c r="U2024" t="str">
        <f>IF('906MP'!J1724&gt;0,CONCATENATE('906MP'!J1724," - ",'906MP'!P1724,", ",'906MP'!E1724),"nincs megjegyzés")</f>
        <v>nincs megjegyzés</v>
      </c>
      <c r="V2024" t="str">
        <f t="shared" si="589"/>
        <v>0P0</v>
      </c>
      <c r="W2024" t="str">
        <f t="shared" si="590"/>
        <v>0P0</v>
      </c>
      <c r="X2024" t="str">
        <f t="shared" si="591"/>
        <v>P0</v>
      </c>
      <c r="Y2024" t="str">
        <f t="shared" si="592"/>
        <v>00</v>
      </c>
      <c r="Z2024" t="str">
        <f t="shared" si="603"/>
        <v>00</v>
      </c>
      <c r="AA2024" t="str">
        <f t="shared" si="593"/>
        <v>00</v>
      </c>
      <c r="AB2024" t="str">
        <f t="shared" si="594"/>
        <v>00</v>
      </c>
      <c r="AC2024" t="str">
        <f t="shared" si="595"/>
        <v>0P0</v>
      </c>
      <c r="AD2024" t="str">
        <f t="shared" si="596"/>
        <v>P00</v>
      </c>
      <c r="AE2024" t="str">
        <f t="shared" si="597"/>
        <v>0P0</v>
      </c>
      <c r="AF2024" t="str">
        <f t="shared" si="598"/>
        <v>P00</v>
      </c>
      <c r="AG2024" t="str">
        <f t="shared" si="604"/>
        <v>0P00</v>
      </c>
      <c r="AH2024" t="str">
        <f t="shared" si="605"/>
        <v>P000</v>
      </c>
      <c r="AI2024" t="str">
        <f t="shared" si="606"/>
        <v>0P00</v>
      </c>
      <c r="AJ2024" t="str">
        <f t="shared" si="607"/>
        <v>P000</v>
      </c>
    </row>
    <row r="2025" spans="1:36" x14ac:dyDescent="0.25">
      <c r="A2025" s="325" t="str">
        <f>CONCATENATE("P",'906MP'!M1725)</f>
        <v>P</v>
      </c>
      <c r="B2025">
        <f>'906MP'!H1725</f>
        <v>0</v>
      </c>
      <c r="C2025">
        <f>'906MP'!J1725</f>
        <v>0</v>
      </c>
      <c r="D2025">
        <f>'906MP'!P1725</f>
        <v>0</v>
      </c>
      <c r="E2025">
        <f>'906MP'!X1725</f>
        <v>0</v>
      </c>
      <c r="F2025" t="str">
        <f t="shared" si="599"/>
        <v>0</v>
      </c>
      <c r="G2025" t="str">
        <f t="shared" si="600"/>
        <v>0</v>
      </c>
      <c r="H2025">
        <f>'906MP'!Y1725</f>
        <v>0</v>
      </c>
      <c r="I2025">
        <f>'906MP'!AK1725</f>
        <v>0</v>
      </c>
      <c r="J2025">
        <f>'906MP'!T1725</f>
        <v>0</v>
      </c>
      <c r="K2025">
        <f>'906MP'!AJ1725</f>
        <v>0</v>
      </c>
      <c r="L2025">
        <f>'906MP'!U1725</f>
        <v>0</v>
      </c>
      <c r="M2025" s="322" t="str">
        <f>IFERROR(VLOOKUP(A2025,PAR!$D$3:$E$53,2,FALSE),"nincs szervezet")</f>
        <v>nincs szervezet</v>
      </c>
      <c r="N2025" s="322" t="str">
        <f>VLOOKUP(F2025,PAR!$R$3:$S$5,2,FALSE)</f>
        <v>3 - egyik sem</v>
      </c>
      <c r="O2025" t="str">
        <f>IFERROR(VLOOKUP(J2025,PAR!$O$3:$P$5,2,FALSE),"nincs feladat")</f>
        <v>nincs feladat</v>
      </c>
      <c r="P2025" t="str">
        <f>IFERROR(VLOOKUP(G2025,PAR!$J$2:$M$19,4),"nincs rovat")</f>
        <v>nincs rovat</v>
      </c>
      <c r="Q2025" t="str">
        <f>IF(H2025&gt;0,VLOOKUP(H2025,PAR!$AA$3:$AC$187,3,FALSE),"nincs főkönyvi számla")</f>
        <v>nincs főkönyvi számla</v>
      </c>
      <c r="R2025" t="str">
        <f>IFERROR(VLOOKUP(K2025,PAR!$V$3:$X$438,3,FALSE),"000000 - Nincs COFOG")</f>
        <v>000000 - Nincs COFOG</v>
      </c>
      <c r="S2025">
        <f t="shared" si="601"/>
        <v>0</v>
      </c>
      <c r="T2025">
        <f t="shared" si="602"/>
        <v>0</v>
      </c>
      <c r="U2025" t="str">
        <f>IF('906MP'!J1725&gt;0,CONCATENATE('906MP'!J1725," - ",'906MP'!P1725,", ",'906MP'!E1725),"nincs megjegyzés")</f>
        <v>nincs megjegyzés</v>
      </c>
      <c r="V2025" t="str">
        <f t="shared" si="589"/>
        <v>0P0</v>
      </c>
      <c r="W2025" t="str">
        <f t="shared" si="590"/>
        <v>0P0</v>
      </c>
      <c r="X2025" t="str">
        <f t="shared" si="591"/>
        <v>P0</v>
      </c>
      <c r="Y2025" t="str">
        <f t="shared" si="592"/>
        <v>00</v>
      </c>
      <c r="Z2025" t="str">
        <f t="shared" si="603"/>
        <v>00</v>
      </c>
      <c r="AA2025" t="str">
        <f t="shared" si="593"/>
        <v>00</v>
      </c>
      <c r="AB2025" t="str">
        <f t="shared" si="594"/>
        <v>00</v>
      </c>
      <c r="AC2025" t="str">
        <f t="shared" si="595"/>
        <v>0P0</v>
      </c>
      <c r="AD2025" t="str">
        <f t="shared" si="596"/>
        <v>P00</v>
      </c>
      <c r="AE2025" t="str">
        <f t="shared" si="597"/>
        <v>0P0</v>
      </c>
      <c r="AF2025" t="str">
        <f t="shared" si="598"/>
        <v>P00</v>
      </c>
      <c r="AG2025" t="str">
        <f t="shared" si="604"/>
        <v>0P00</v>
      </c>
      <c r="AH2025" t="str">
        <f t="shared" si="605"/>
        <v>P000</v>
      </c>
      <c r="AI2025" t="str">
        <f t="shared" si="606"/>
        <v>0P00</v>
      </c>
      <c r="AJ2025" t="str">
        <f t="shared" si="607"/>
        <v>P000</v>
      </c>
    </row>
    <row r="2026" spans="1:36" x14ac:dyDescent="0.25">
      <c r="A2026" s="325" t="str">
        <f>CONCATENATE("P",'906MP'!M1726)</f>
        <v>P</v>
      </c>
      <c r="B2026">
        <f>'906MP'!H1726</f>
        <v>0</v>
      </c>
      <c r="C2026">
        <f>'906MP'!J1726</f>
        <v>0</v>
      </c>
      <c r="D2026">
        <f>'906MP'!P1726</f>
        <v>0</v>
      </c>
      <c r="E2026">
        <f>'906MP'!X1726</f>
        <v>0</v>
      </c>
      <c r="F2026" t="str">
        <f t="shared" si="599"/>
        <v>0</v>
      </c>
      <c r="G2026" t="str">
        <f t="shared" si="600"/>
        <v>0</v>
      </c>
      <c r="H2026">
        <f>'906MP'!Y1726</f>
        <v>0</v>
      </c>
      <c r="I2026">
        <f>'906MP'!AK1726</f>
        <v>0</v>
      </c>
      <c r="J2026">
        <f>'906MP'!T1726</f>
        <v>0</v>
      </c>
      <c r="K2026">
        <f>'906MP'!AJ1726</f>
        <v>0</v>
      </c>
      <c r="L2026">
        <f>'906MP'!U1726</f>
        <v>0</v>
      </c>
      <c r="M2026" s="322" t="str">
        <f>IFERROR(VLOOKUP(A2026,PAR!$D$3:$E$53,2,FALSE),"nincs szervezet")</f>
        <v>nincs szervezet</v>
      </c>
      <c r="N2026" s="322" t="str">
        <f>VLOOKUP(F2026,PAR!$R$3:$S$5,2,FALSE)</f>
        <v>3 - egyik sem</v>
      </c>
      <c r="O2026" t="str">
        <f>IFERROR(VLOOKUP(J2026,PAR!$O$3:$P$5,2,FALSE),"nincs feladat")</f>
        <v>nincs feladat</v>
      </c>
      <c r="P2026" t="str">
        <f>IFERROR(VLOOKUP(G2026,PAR!$J$2:$M$19,4),"nincs rovat")</f>
        <v>nincs rovat</v>
      </c>
      <c r="Q2026" t="str">
        <f>IF(H2026&gt;0,VLOOKUP(H2026,PAR!$AA$3:$AC$187,3,FALSE),"nincs főkönyvi számla")</f>
        <v>nincs főkönyvi számla</v>
      </c>
      <c r="R2026" t="str">
        <f>IFERROR(VLOOKUP(K2026,PAR!$V$3:$X$438,3,FALSE),"000000 - Nincs COFOG")</f>
        <v>000000 - Nincs COFOG</v>
      </c>
      <c r="S2026">
        <f t="shared" si="601"/>
        <v>0</v>
      </c>
      <c r="T2026">
        <f t="shared" si="602"/>
        <v>0</v>
      </c>
      <c r="U2026" t="str">
        <f>IF('906MP'!J1726&gt;0,CONCATENATE('906MP'!J1726," - ",'906MP'!P1726,", ",'906MP'!E1726),"nincs megjegyzés")</f>
        <v>nincs megjegyzés</v>
      </c>
      <c r="V2026" t="str">
        <f t="shared" si="589"/>
        <v>0P0</v>
      </c>
      <c r="W2026" t="str">
        <f t="shared" si="590"/>
        <v>0P0</v>
      </c>
      <c r="X2026" t="str">
        <f t="shared" si="591"/>
        <v>P0</v>
      </c>
      <c r="Y2026" t="str">
        <f t="shared" si="592"/>
        <v>00</v>
      </c>
      <c r="Z2026" t="str">
        <f t="shared" si="603"/>
        <v>00</v>
      </c>
      <c r="AA2026" t="str">
        <f t="shared" si="593"/>
        <v>00</v>
      </c>
      <c r="AB2026" t="str">
        <f t="shared" si="594"/>
        <v>00</v>
      </c>
      <c r="AC2026" t="str">
        <f t="shared" si="595"/>
        <v>0P0</v>
      </c>
      <c r="AD2026" t="str">
        <f t="shared" si="596"/>
        <v>P00</v>
      </c>
      <c r="AE2026" t="str">
        <f t="shared" si="597"/>
        <v>0P0</v>
      </c>
      <c r="AF2026" t="str">
        <f t="shared" si="598"/>
        <v>P00</v>
      </c>
      <c r="AG2026" t="str">
        <f t="shared" si="604"/>
        <v>0P00</v>
      </c>
      <c r="AH2026" t="str">
        <f t="shared" si="605"/>
        <v>P000</v>
      </c>
      <c r="AI2026" t="str">
        <f t="shared" si="606"/>
        <v>0P00</v>
      </c>
      <c r="AJ2026" t="str">
        <f t="shared" si="607"/>
        <v>P000</v>
      </c>
    </row>
    <row r="2027" spans="1:36" x14ac:dyDescent="0.25">
      <c r="A2027" s="325" t="str">
        <f>CONCATENATE("P",'906MP'!M1727)</f>
        <v>P</v>
      </c>
      <c r="B2027">
        <f>'906MP'!H1727</f>
        <v>0</v>
      </c>
      <c r="C2027">
        <f>'906MP'!J1727</f>
        <v>0</v>
      </c>
      <c r="D2027">
        <f>'906MP'!P1727</f>
        <v>0</v>
      </c>
      <c r="E2027">
        <f>'906MP'!X1727</f>
        <v>0</v>
      </c>
      <c r="F2027" t="str">
        <f t="shared" si="599"/>
        <v>0</v>
      </c>
      <c r="G2027" t="str">
        <f t="shared" si="600"/>
        <v>0</v>
      </c>
      <c r="H2027">
        <f>'906MP'!Y1727</f>
        <v>0</v>
      </c>
      <c r="I2027">
        <f>'906MP'!AK1727</f>
        <v>0</v>
      </c>
      <c r="J2027">
        <f>'906MP'!T1727</f>
        <v>0</v>
      </c>
      <c r="K2027">
        <f>'906MP'!AJ1727</f>
        <v>0</v>
      </c>
      <c r="L2027">
        <f>'906MP'!U1727</f>
        <v>0</v>
      </c>
      <c r="M2027" s="322" t="str">
        <f>IFERROR(VLOOKUP(A2027,PAR!$D$3:$E$53,2,FALSE),"nincs szervezet")</f>
        <v>nincs szervezet</v>
      </c>
      <c r="N2027" s="322" t="str">
        <f>VLOOKUP(F2027,PAR!$R$3:$S$5,2,FALSE)</f>
        <v>3 - egyik sem</v>
      </c>
      <c r="O2027" t="str">
        <f>IFERROR(VLOOKUP(J2027,PAR!$O$3:$P$5,2,FALSE),"nincs feladat")</f>
        <v>nincs feladat</v>
      </c>
      <c r="P2027" t="str">
        <f>IFERROR(VLOOKUP(G2027,PAR!$J$2:$M$19,4),"nincs rovat")</f>
        <v>nincs rovat</v>
      </c>
      <c r="Q2027" t="str">
        <f>IF(H2027&gt;0,VLOOKUP(H2027,PAR!$AA$3:$AC$187,3,FALSE),"nincs főkönyvi számla")</f>
        <v>nincs főkönyvi számla</v>
      </c>
      <c r="R2027" t="str">
        <f>IFERROR(VLOOKUP(K2027,PAR!$V$3:$X$438,3,FALSE),"000000 - Nincs COFOG")</f>
        <v>000000 - Nincs COFOG</v>
      </c>
      <c r="S2027">
        <f t="shared" si="601"/>
        <v>0</v>
      </c>
      <c r="T2027">
        <f t="shared" si="602"/>
        <v>0</v>
      </c>
      <c r="U2027" t="str">
        <f>IF('906MP'!J1727&gt;0,CONCATENATE('906MP'!J1727," - ",'906MP'!P1727,", ",'906MP'!E1727),"nincs megjegyzés")</f>
        <v>nincs megjegyzés</v>
      </c>
      <c r="V2027" t="str">
        <f t="shared" si="589"/>
        <v>0P0</v>
      </c>
      <c r="W2027" t="str">
        <f t="shared" si="590"/>
        <v>0P0</v>
      </c>
      <c r="X2027" t="str">
        <f t="shared" si="591"/>
        <v>P0</v>
      </c>
      <c r="Y2027" t="str">
        <f t="shared" si="592"/>
        <v>00</v>
      </c>
      <c r="Z2027" t="str">
        <f t="shared" si="603"/>
        <v>00</v>
      </c>
      <c r="AA2027" t="str">
        <f t="shared" si="593"/>
        <v>00</v>
      </c>
      <c r="AB2027" t="str">
        <f t="shared" si="594"/>
        <v>00</v>
      </c>
      <c r="AC2027" t="str">
        <f t="shared" si="595"/>
        <v>0P0</v>
      </c>
      <c r="AD2027" t="str">
        <f t="shared" si="596"/>
        <v>P00</v>
      </c>
      <c r="AE2027" t="str">
        <f t="shared" si="597"/>
        <v>0P0</v>
      </c>
      <c r="AF2027" t="str">
        <f t="shared" si="598"/>
        <v>P00</v>
      </c>
      <c r="AG2027" t="str">
        <f t="shared" si="604"/>
        <v>0P00</v>
      </c>
      <c r="AH2027" t="str">
        <f t="shared" si="605"/>
        <v>P000</v>
      </c>
      <c r="AI2027" t="str">
        <f t="shared" si="606"/>
        <v>0P00</v>
      </c>
      <c r="AJ2027" t="str">
        <f t="shared" si="607"/>
        <v>P000</v>
      </c>
    </row>
    <row r="2028" spans="1:36" x14ac:dyDescent="0.25">
      <c r="A2028" s="325" t="str">
        <f>CONCATENATE("P",'906MP'!M1728)</f>
        <v>P</v>
      </c>
      <c r="B2028">
        <f>'906MP'!H1728</f>
        <v>0</v>
      </c>
      <c r="C2028">
        <f>'906MP'!J1728</f>
        <v>0</v>
      </c>
      <c r="D2028">
        <f>'906MP'!P1728</f>
        <v>0</v>
      </c>
      <c r="E2028">
        <f>'906MP'!X1728</f>
        <v>0</v>
      </c>
      <c r="F2028" t="str">
        <f t="shared" si="599"/>
        <v>0</v>
      </c>
      <c r="G2028" t="str">
        <f t="shared" si="600"/>
        <v>0</v>
      </c>
      <c r="H2028">
        <f>'906MP'!Y1728</f>
        <v>0</v>
      </c>
      <c r="I2028">
        <f>'906MP'!AK1728</f>
        <v>0</v>
      </c>
      <c r="J2028">
        <f>'906MP'!T1728</f>
        <v>0</v>
      </c>
      <c r="K2028">
        <f>'906MP'!AJ1728</f>
        <v>0</v>
      </c>
      <c r="L2028">
        <f>'906MP'!U1728</f>
        <v>0</v>
      </c>
      <c r="M2028" s="322" t="str">
        <f>IFERROR(VLOOKUP(A2028,PAR!$D$3:$E$53,2,FALSE),"nincs szervezet")</f>
        <v>nincs szervezet</v>
      </c>
      <c r="N2028" s="322" t="str">
        <f>VLOOKUP(F2028,PAR!$R$3:$S$5,2,FALSE)</f>
        <v>3 - egyik sem</v>
      </c>
      <c r="O2028" t="str">
        <f>IFERROR(VLOOKUP(J2028,PAR!$O$3:$P$5,2,FALSE),"nincs feladat")</f>
        <v>nincs feladat</v>
      </c>
      <c r="P2028" t="str">
        <f>IFERROR(VLOOKUP(G2028,PAR!$J$2:$M$19,4),"nincs rovat")</f>
        <v>nincs rovat</v>
      </c>
      <c r="Q2028" t="str">
        <f>IF(H2028&gt;0,VLOOKUP(H2028,PAR!$AA$3:$AC$187,3,FALSE),"nincs főkönyvi számla")</f>
        <v>nincs főkönyvi számla</v>
      </c>
      <c r="R2028" t="str">
        <f>IFERROR(VLOOKUP(K2028,PAR!$V$3:$X$438,3,FALSE),"000000 - Nincs COFOG")</f>
        <v>000000 - Nincs COFOG</v>
      </c>
      <c r="S2028">
        <f t="shared" si="601"/>
        <v>0</v>
      </c>
      <c r="T2028">
        <f t="shared" si="602"/>
        <v>0</v>
      </c>
      <c r="U2028" t="str">
        <f>IF('906MP'!J1728&gt;0,CONCATENATE('906MP'!J1728," - ",'906MP'!P1728,", ",'906MP'!E1728),"nincs megjegyzés")</f>
        <v>nincs megjegyzés</v>
      </c>
      <c r="V2028" t="str">
        <f t="shared" si="589"/>
        <v>0P0</v>
      </c>
      <c r="W2028" t="str">
        <f t="shared" si="590"/>
        <v>0P0</v>
      </c>
      <c r="X2028" t="str">
        <f t="shared" si="591"/>
        <v>P0</v>
      </c>
      <c r="Y2028" t="str">
        <f t="shared" si="592"/>
        <v>00</v>
      </c>
      <c r="Z2028" t="str">
        <f t="shared" si="603"/>
        <v>00</v>
      </c>
      <c r="AA2028" t="str">
        <f t="shared" si="593"/>
        <v>00</v>
      </c>
      <c r="AB2028" t="str">
        <f t="shared" si="594"/>
        <v>00</v>
      </c>
      <c r="AC2028" t="str">
        <f t="shared" si="595"/>
        <v>0P0</v>
      </c>
      <c r="AD2028" t="str">
        <f t="shared" si="596"/>
        <v>P00</v>
      </c>
      <c r="AE2028" t="str">
        <f t="shared" si="597"/>
        <v>0P0</v>
      </c>
      <c r="AF2028" t="str">
        <f t="shared" si="598"/>
        <v>P00</v>
      </c>
      <c r="AG2028" t="str">
        <f t="shared" si="604"/>
        <v>0P00</v>
      </c>
      <c r="AH2028" t="str">
        <f t="shared" si="605"/>
        <v>P000</v>
      </c>
      <c r="AI2028" t="str">
        <f t="shared" si="606"/>
        <v>0P00</v>
      </c>
      <c r="AJ2028" t="str">
        <f t="shared" si="607"/>
        <v>P000</v>
      </c>
    </row>
    <row r="2029" spans="1:36" x14ac:dyDescent="0.25">
      <c r="A2029" s="325" t="str">
        <f>CONCATENATE("P",'906MP'!M1729)</f>
        <v>P</v>
      </c>
      <c r="B2029">
        <f>'906MP'!H1729</f>
        <v>0</v>
      </c>
      <c r="C2029">
        <f>'906MP'!J1729</f>
        <v>0</v>
      </c>
      <c r="D2029">
        <f>'906MP'!P1729</f>
        <v>0</v>
      </c>
      <c r="E2029">
        <f>'906MP'!X1729</f>
        <v>0</v>
      </c>
      <c r="F2029" t="str">
        <f t="shared" si="599"/>
        <v>0</v>
      </c>
      <c r="G2029" t="str">
        <f t="shared" si="600"/>
        <v>0</v>
      </c>
      <c r="H2029">
        <f>'906MP'!Y1729</f>
        <v>0</v>
      </c>
      <c r="I2029">
        <f>'906MP'!AK1729</f>
        <v>0</v>
      </c>
      <c r="J2029">
        <f>'906MP'!T1729</f>
        <v>0</v>
      </c>
      <c r="K2029">
        <f>'906MP'!AJ1729</f>
        <v>0</v>
      </c>
      <c r="L2029">
        <f>'906MP'!U1729</f>
        <v>0</v>
      </c>
      <c r="M2029" s="322" t="str">
        <f>IFERROR(VLOOKUP(A2029,PAR!$D$3:$E$53,2,FALSE),"nincs szervezet")</f>
        <v>nincs szervezet</v>
      </c>
      <c r="N2029" s="322" t="str">
        <f>VLOOKUP(F2029,PAR!$R$3:$S$5,2,FALSE)</f>
        <v>3 - egyik sem</v>
      </c>
      <c r="O2029" t="str">
        <f>IFERROR(VLOOKUP(J2029,PAR!$O$3:$P$5,2,FALSE),"nincs feladat")</f>
        <v>nincs feladat</v>
      </c>
      <c r="P2029" t="str">
        <f>IFERROR(VLOOKUP(G2029,PAR!$J$2:$M$19,4),"nincs rovat")</f>
        <v>nincs rovat</v>
      </c>
      <c r="Q2029" t="str">
        <f>IF(H2029&gt;0,VLOOKUP(H2029,PAR!$AA$3:$AC$187,3,FALSE),"nincs főkönyvi számla")</f>
        <v>nincs főkönyvi számla</v>
      </c>
      <c r="R2029" t="str">
        <f>IFERROR(VLOOKUP(K2029,PAR!$V$3:$X$438,3,FALSE),"000000 - Nincs COFOG")</f>
        <v>000000 - Nincs COFOG</v>
      </c>
      <c r="S2029">
        <f t="shared" si="601"/>
        <v>0</v>
      </c>
      <c r="T2029">
        <f t="shared" si="602"/>
        <v>0</v>
      </c>
      <c r="U2029" t="str">
        <f>IF('906MP'!J1729&gt;0,CONCATENATE('906MP'!J1729," - ",'906MP'!P1729,", ",'906MP'!E1729),"nincs megjegyzés")</f>
        <v>nincs megjegyzés</v>
      </c>
      <c r="V2029" t="str">
        <f t="shared" si="589"/>
        <v>0P0</v>
      </c>
      <c r="W2029" t="str">
        <f t="shared" si="590"/>
        <v>0P0</v>
      </c>
      <c r="X2029" t="str">
        <f t="shared" si="591"/>
        <v>P0</v>
      </c>
      <c r="Y2029" t="str">
        <f t="shared" si="592"/>
        <v>00</v>
      </c>
      <c r="Z2029" t="str">
        <f t="shared" si="603"/>
        <v>00</v>
      </c>
      <c r="AA2029" t="str">
        <f t="shared" si="593"/>
        <v>00</v>
      </c>
      <c r="AB2029" t="str">
        <f t="shared" si="594"/>
        <v>00</v>
      </c>
      <c r="AC2029" t="str">
        <f t="shared" si="595"/>
        <v>0P0</v>
      </c>
      <c r="AD2029" t="str">
        <f t="shared" si="596"/>
        <v>P00</v>
      </c>
      <c r="AE2029" t="str">
        <f t="shared" si="597"/>
        <v>0P0</v>
      </c>
      <c r="AF2029" t="str">
        <f t="shared" si="598"/>
        <v>P00</v>
      </c>
      <c r="AG2029" t="str">
        <f t="shared" si="604"/>
        <v>0P00</v>
      </c>
      <c r="AH2029" t="str">
        <f t="shared" si="605"/>
        <v>P000</v>
      </c>
      <c r="AI2029" t="str">
        <f t="shared" si="606"/>
        <v>0P00</v>
      </c>
      <c r="AJ2029" t="str">
        <f t="shared" si="607"/>
        <v>P000</v>
      </c>
    </row>
    <row r="2030" spans="1:36" x14ac:dyDescent="0.25">
      <c r="A2030" s="325" t="str">
        <f>CONCATENATE("P",'906MP'!M1730)</f>
        <v>P</v>
      </c>
      <c r="B2030">
        <f>'906MP'!H1730</f>
        <v>0</v>
      </c>
      <c r="C2030">
        <f>'906MP'!J1730</f>
        <v>0</v>
      </c>
      <c r="D2030">
        <f>'906MP'!P1730</f>
        <v>0</v>
      </c>
      <c r="E2030">
        <f>'906MP'!X1730</f>
        <v>0</v>
      </c>
      <c r="F2030" t="str">
        <f t="shared" si="599"/>
        <v>0</v>
      </c>
      <c r="G2030" t="str">
        <f t="shared" si="600"/>
        <v>0</v>
      </c>
      <c r="H2030">
        <f>'906MP'!Y1730</f>
        <v>0</v>
      </c>
      <c r="I2030">
        <f>'906MP'!AK1730</f>
        <v>0</v>
      </c>
      <c r="J2030">
        <f>'906MP'!T1730</f>
        <v>0</v>
      </c>
      <c r="K2030">
        <f>'906MP'!AJ1730</f>
        <v>0</v>
      </c>
      <c r="L2030">
        <f>'906MP'!U1730</f>
        <v>0</v>
      </c>
      <c r="M2030" s="322" t="str">
        <f>IFERROR(VLOOKUP(A2030,PAR!$D$3:$E$53,2,FALSE),"nincs szervezet")</f>
        <v>nincs szervezet</v>
      </c>
      <c r="N2030" s="322" t="str">
        <f>VLOOKUP(F2030,PAR!$R$3:$S$5,2,FALSE)</f>
        <v>3 - egyik sem</v>
      </c>
      <c r="O2030" t="str">
        <f>IFERROR(VLOOKUP(J2030,PAR!$O$3:$P$5,2,FALSE),"nincs feladat")</f>
        <v>nincs feladat</v>
      </c>
      <c r="P2030" t="str">
        <f>IFERROR(VLOOKUP(G2030,PAR!$J$2:$M$19,4),"nincs rovat")</f>
        <v>nincs rovat</v>
      </c>
      <c r="Q2030" t="str">
        <f>IF(H2030&gt;0,VLOOKUP(H2030,PAR!$AA$3:$AC$187,3,FALSE),"nincs főkönyvi számla")</f>
        <v>nincs főkönyvi számla</v>
      </c>
      <c r="R2030" t="str">
        <f>IFERROR(VLOOKUP(K2030,PAR!$V$3:$X$438,3,FALSE),"000000 - Nincs COFOG")</f>
        <v>000000 - Nincs COFOG</v>
      </c>
      <c r="S2030">
        <f t="shared" si="601"/>
        <v>0</v>
      </c>
      <c r="T2030">
        <f t="shared" si="602"/>
        <v>0</v>
      </c>
      <c r="U2030" t="str">
        <f>IF('906MP'!J1730&gt;0,CONCATENATE('906MP'!J1730," - ",'906MP'!P1730,", ",'906MP'!E1730),"nincs megjegyzés")</f>
        <v>nincs megjegyzés</v>
      </c>
      <c r="V2030" t="str">
        <f t="shared" si="589"/>
        <v>0P0</v>
      </c>
      <c r="W2030" t="str">
        <f t="shared" si="590"/>
        <v>0P0</v>
      </c>
      <c r="X2030" t="str">
        <f t="shared" si="591"/>
        <v>P0</v>
      </c>
      <c r="Y2030" t="str">
        <f t="shared" si="592"/>
        <v>00</v>
      </c>
      <c r="Z2030" t="str">
        <f t="shared" si="603"/>
        <v>00</v>
      </c>
      <c r="AA2030" t="str">
        <f t="shared" si="593"/>
        <v>00</v>
      </c>
      <c r="AB2030" t="str">
        <f t="shared" si="594"/>
        <v>00</v>
      </c>
      <c r="AC2030" t="str">
        <f t="shared" si="595"/>
        <v>0P0</v>
      </c>
      <c r="AD2030" t="str">
        <f t="shared" si="596"/>
        <v>P00</v>
      </c>
      <c r="AE2030" t="str">
        <f t="shared" si="597"/>
        <v>0P0</v>
      </c>
      <c r="AF2030" t="str">
        <f t="shared" si="598"/>
        <v>P00</v>
      </c>
      <c r="AG2030" t="str">
        <f t="shared" si="604"/>
        <v>0P00</v>
      </c>
      <c r="AH2030" t="str">
        <f t="shared" si="605"/>
        <v>P000</v>
      </c>
      <c r="AI2030" t="str">
        <f t="shared" si="606"/>
        <v>0P00</v>
      </c>
      <c r="AJ2030" t="str">
        <f t="shared" si="607"/>
        <v>P000</v>
      </c>
    </row>
    <row r="2031" spans="1:36" x14ac:dyDescent="0.25">
      <c r="A2031" s="325" t="str">
        <f>CONCATENATE("P",'906MP'!M1731)</f>
        <v>P</v>
      </c>
      <c r="B2031">
        <f>'906MP'!H1731</f>
        <v>0</v>
      </c>
      <c r="C2031">
        <f>'906MP'!J1731</f>
        <v>0</v>
      </c>
      <c r="D2031">
        <f>'906MP'!P1731</f>
        <v>0</v>
      </c>
      <c r="E2031">
        <f>'906MP'!X1731</f>
        <v>0</v>
      </c>
      <c r="F2031" t="str">
        <f t="shared" si="599"/>
        <v>0</v>
      </c>
      <c r="G2031" t="str">
        <f t="shared" si="600"/>
        <v>0</v>
      </c>
      <c r="H2031">
        <f>'906MP'!Y1731</f>
        <v>0</v>
      </c>
      <c r="I2031">
        <f>'906MP'!AK1731</f>
        <v>0</v>
      </c>
      <c r="J2031">
        <f>'906MP'!T1731</f>
        <v>0</v>
      </c>
      <c r="K2031">
        <f>'906MP'!AJ1731</f>
        <v>0</v>
      </c>
      <c r="L2031">
        <f>'906MP'!U1731</f>
        <v>0</v>
      </c>
      <c r="M2031" s="322" t="str">
        <f>IFERROR(VLOOKUP(A2031,PAR!$D$3:$E$53,2,FALSE),"nincs szervezet")</f>
        <v>nincs szervezet</v>
      </c>
      <c r="N2031" s="322" t="str">
        <f>VLOOKUP(F2031,PAR!$R$3:$S$5,2,FALSE)</f>
        <v>3 - egyik sem</v>
      </c>
      <c r="O2031" t="str">
        <f>IFERROR(VLOOKUP(J2031,PAR!$O$3:$P$5,2,FALSE),"nincs feladat")</f>
        <v>nincs feladat</v>
      </c>
      <c r="P2031" t="str">
        <f>IFERROR(VLOOKUP(G2031,PAR!$J$2:$M$19,4),"nincs rovat")</f>
        <v>nincs rovat</v>
      </c>
      <c r="Q2031" t="str">
        <f>IF(H2031&gt;0,VLOOKUP(H2031,PAR!$AA$3:$AC$187,3,FALSE),"nincs főkönyvi számla")</f>
        <v>nincs főkönyvi számla</v>
      </c>
      <c r="R2031" t="str">
        <f>IFERROR(VLOOKUP(K2031,PAR!$V$3:$X$438,3,FALSE),"000000 - Nincs COFOG")</f>
        <v>000000 - Nincs COFOG</v>
      </c>
      <c r="S2031">
        <f t="shared" si="601"/>
        <v>0</v>
      </c>
      <c r="T2031">
        <f t="shared" si="602"/>
        <v>0</v>
      </c>
      <c r="U2031" t="str">
        <f>IF('906MP'!J1731&gt;0,CONCATENATE('906MP'!J1731," - ",'906MP'!P1731,", ",'906MP'!E1731),"nincs megjegyzés")</f>
        <v>nincs megjegyzés</v>
      </c>
      <c r="V2031" t="str">
        <f t="shared" si="589"/>
        <v>0P0</v>
      </c>
      <c r="W2031" t="str">
        <f t="shared" si="590"/>
        <v>0P0</v>
      </c>
      <c r="X2031" t="str">
        <f t="shared" si="591"/>
        <v>P0</v>
      </c>
      <c r="Y2031" t="str">
        <f t="shared" si="592"/>
        <v>00</v>
      </c>
      <c r="Z2031" t="str">
        <f t="shared" si="603"/>
        <v>00</v>
      </c>
      <c r="AA2031" t="str">
        <f t="shared" si="593"/>
        <v>00</v>
      </c>
      <c r="AB2031" t="str">
        <f t="shared" si="594"/>
        <v>00</v>
      </c>
      <c r="AC2031" t="str">
        <f t="shared" si="595"/>
        <v>0P0</v>
      </c>
      <c r="AD2031" t="str">
        <f t="shared" si="596"/>
        <v>P00</v>
      </c>
      <c r="AE2031" t="str">
        <f t="shared" si="597"/>
        <v>0P0</v>
      </c>
      <c r="AF2031" t="str">
        <f t="shared" si="598"/>
        <v>P00</v>
      </c>
      <c r="AG2031" t="str">
        <f t="shared" si="604"/>
        <v>0P00</v>
      </c>
      <c r="AH2031" t="str">
        <f t="shared" si="605"/>
        <v>P000</v>
      </c>
      <c r="AI2031" t="str">
        <f t="shared" si="606"/>
        <v>0P00</v>
      </c>
      <c r="AJ2031" t="str">
        <f t="shared" si="607"/>
        <v>P000</v>
      </c>
    </row>
    <row r="2032" spans="1:36" x14ac:dyDescent="0.25">
      <c r="A2032" s="325" t="str">
        <f>CONCATENATE("P",'906MP'!M1732)</f>
        <v>P</v>
      </c>
      <c r="B2032">
        <f>'906MP'!H1732</f>
        <v>0</v>
      </c>
      <c r="C2032">
        <f>'906MP'!J1732</f>
        <v>0</v>
      </c>
      <c r="D2032">
        <f>'906MP'!P1732</f>
        <v>0</v>
      </c>
      <c r="E2032">
        <f>'906MP'!X1732</f>
        <v>0</v>
      </c>
      <c r="F2032" t="str">
        <f t="shared" si="599"/>
        <v>0</v>
      </c>
      <c r="G2032" t="str">
        <f t="shared" si="600"/>
        <v>0</v>
      </c>
      <c r="H2032">
        <f>'906MP'!Y1732</f>
        <v>0</v>
      </c>
      <c r="I2032">
        <f>'906MP'!AK1732</f>
        <v>0</v>
      </c>
      <c r="J2032">
        <f>'906MP'!T1732</f>
        <v>0</v>
      </c>
      <c r="K2032">
        <f>'906MP'!AJ1732</f>
        <v>0</v>
      </c>
      <c r="L2032">
        <f>'906MP'!U1732</f>
        <v>0</v>
      </c>
      <c r="M2032" s="322" t="str">
        <f>IFERROR(VLOOKUP(A2032,PAR!$D$3:$E$53,2,FALSE),"nincs szervezet")</f>
        <v>nincs szervezet</v>
      </c>
      <c r="N2032" s="322" t="str">
        <f>VLOOKUP(F2032,PAR!$R$3:$S$5,2,FALSE)</f>
        <v>3 - egyik sem</v>
      </c>
      <c r="O2032" t="str">
        <f>IFERROR(VLOOKUP(J2032,PAR!$O$3:$P$5,2,FALSE),"nincs feladat")</f>
        <v>nincs feladat</v>
      </c>
      <c r="P2032" t="str">
        <f>IFERROR(VLOOKUP(G2032,PAR!$J$2:$M$19,4),"nincs rovat")</f>
        <v>nincs rovat</v>
      </c>
      <c r="Q2032" t="str">
        <f>IF(H2032&gt;0,VLOOKUP(H2032,PAR!$AA$3:$AC$187,3,FALSE),"nincs főkönyvi számla")</f>
        <v>nincs főkönyvi számla</v>
      </c>
      <c r="R2032" t="str">
        <f>IFERROR(VLOOKUP(K2032,PAR!$V$3:$X$438,3,FALSE),"000000 - Nincs COFOG")</f>
        <v>000000 - Nincs COFOG</v>
      </c>
      <c r="S2032">
        <f t="shared" si="601"/>
        <v>0</v>
      </c>
      <c r="T2032">
        <f t="shared" si="602"/>
        <v>0</v>
      </c>
      <c r="U2032" t="str">
        <f>IF('906MP'!J1732&gt;0,CONCATENATE('906MP'!J1732," - ",'906MP'!P1732,", ",'906MP'!E1732),"nincs megjegyzés")</f>
        <v>nincs megjegyzés</v>
      </c>
      <c r="V2032" t="str">
        <f t="shared" si="589"/>
        <v>0P0</v>
      </c>
      <c r="W2032" t="str">
        <f t="shared" si="590"/>
        <v>0P0</v>
      </c>
      <c r="X2032" t="str">
        <f t="shared" si="591"/>
        <v>P0</v>
      </c>
      <c r="Y2032" t="str">
        <f t="shared" si="592"/>
        <v>00</v>
      </c>
      <c r="Z2032" t="str">
        <f t="shared" si="603"/>
        <v>00</v>
      </c>
      <c r="AA2032" t="str">
        <f t="shared" si="593"/>
        <v>00</v>
      </c>
      <c r="AB2032" t="str">
        <f t="shared" si="594"/>
        <v>00</v>
      </c>
      <c r="AC2032" t="str">
        <f t="shared" si="595"/>
        <v>0P0</v>
      </c>
      <c r="AD2032" t="str">
        <f t="shared" si="596"/>
        <v>P00</v>
      </c>
      <c r="AE2032" t="str">
        <f t="shared" si="597"/>
        <v>0P0</v>
      </c>
      <c r="AF2032" t="str">
        <f t="shared" si="598"/>
        <v>P00</v>
      </c>
      <c r="AG2032" t="str">
        <f t="shared" si="604"/>
        <v>0P00</v>
      </c>
      <c r="AH2032" t="str">
        <f t="shared" si="605"/>
        <v>P000</v>
      </c>
      <c r="AI2032" t="str">
        <f t="shared" si="606"/>
        <v>0P00</v>
      </c>
      <c r="AJ2032" t="str">
        <f t="shared" si="607"/>
        <v>P000</v>
      </c>
    </row>
    <row r="2033" spans="1:36" x14ac:dyDescent="0.25">
      <c r="A2033" s="325" t="str">
        <f>CONCATENATE("P",'906MP'!M1733)</f>
        <v>P</v>
      </c>
      <c r="B2033">
        <f>'906MP'!H1733</f>
        <v>0</v>
      </c>
      <c r="C2033">
        <f>'906MP'!J1733</f>
        <v>0</v>
      </c>
      <c r="D2033">
        <f>'906MP'!P1733</f>
        <v>0</v>
      </c>
      <c r="E2033">
        <f>'906MP'!X1733</f>
        <v>0</v>
      </c>
      <c r="F2033" t="str">
        <f t="shared" si="599"/>
        <v>0</v>
      </c>
      <c r="G2033" t="str">
        <f t="shared" si="600"/>
        <v>0</v>
      </c>
      <c r="H2033">
        <f>'906MP'!Y1733</f>
        <v>0</v>
      </c>
      <c r="I2033">
        <f>'906MP'!AK1733</f>
        <v>0</v>
      </c>
      <c r="J2033">
        <f>'906MP'!T1733</f>
        <v>0</v>
      </c>
      <c r="K2033">
        <f>'906MP'!AJ1733</f>
        <v>0</v>
      </c>
      <c r="L2033">
        <f>'906MP'!U1733</f>
        <v>0</v>
      </c>
      <c r="M2033" s="322" t="str">
        <f>IFERROR(VLOOKUP(A2033,PAR!$D$3:$E$53,2,FALSE),"nincs szervezet")</f>
        <v>nincs szervezet</v>
      </c>
      <c r="N2033" s="322" t="str">
        <f>VLOOKUP(F2033,PAR!$R$3:$S$5,2,FALSE)</f>
        <v>3 - egyik sem</v>
      </c>
      <c r="O2033" t="str">
        <f>IFERROR(VLOOKUP(J2033,PAR!$O$3:$P$5,2,FALSE),"nincs feladat")</f>
        <v>nincs feladat</v>
      </c>
      <c r="P2033" t="str">
        <f>IFERROR(VLOOKUP(G2033,PAR!$J$2:$M$19,4),"nincs rovat")</f>
        <v>nincs rovat</v>
      </c>
      <c r="Q2033" t="str">
        <f>IF(H2033&gt;0,VLOOKUP(H2033,PAR!$AA$3:$AC$187,3,FALSE),"nincs főkönyvi számla")</f>
        <v>nincs főkönyvi számla</v>
      </c>
      <c r="R2033" t="str">
        <f>IFERROR(VLOOKUP(K2033,PAR!$V$3:$X$438,3,FALSE),"000000 - Nincs COFOG")</f>
        <v>000000 - Nincs COFOG</v>
      </c>
      <c r="S2033">
        <f t="shared" si="601"/>
        <v>0</v>
      </c>
      <c r="T2033">
        <f t="shared" si="602"/>
        <v>0</v>
      </c>
      <c r="U2033" t="str">
        <f>IF('906MP'!J1733&gt;0,CONCATENATE('906MP'!J1733," - ",'906MP'!P1733,", ",'906MP'!E1733),"nincs megjegyzés")</f>
        <v>nincs megjegyzés</v>
      </c>
      <c r="V2033" t="str">
        <f t="shared" si="589"/>
        <v>0P0</v>
      </c>
      <c r="W2033" t="str">
        <f t="shared" si="590"/>
        <v>0P0</v>
      </c>
      <c r="X2033" t="str">
        <f t="shared" si="591"/>
        <v>P0</v>
      </c>
      <c r="Y2033" t="str">
        <f t="shared" si="592"/>
        <v>00</v>
      </c>
      <c r="Z2033" t="str">
        <f t="shared" si="603"/>
        <v>00</v>
      </c>
      <c r="AA2033" t="str">
        <f t="shared" si="593"/>
        <v>00</v>
      </c>
      <c r="AB2033" t="str">
        <f t="shared" si="594"/>
        <v>00</v>
      </c>
      <c r="AC2033" t="str">
        <f t="shared" si="595"/>
        <v>0P0</v>
      </c>
      <c r="AD2033" t="str">
        <f t="shared" si="596"/>
        <v>P00</v>
      </c>
      <c r="AE2033" t="str">
        <f t="shared" si="597"/>
        <v>0P0</v>
      </c>
      <c r="AF2033" t="str">
        <f t="shared" si="598"/>
        <v>P00</v>
      </c>
      <c r="AG2033" t="str">
        <f t="shared" si="604"/>
        <v>0P00</v>
      </c>
      <c r="AH2033" t="str">
        <f t="shared" si="605"/>
        <v>P000</v>
      </c>
      <c r="AI2033" t="str">
        <f t="shared" si="606"/>
        <v>0P00</v>
      </c>
      <c r="AJ2033" t="str">
        <f t="shared" si="607"/>
        <v>P000</v>
      </c>
    </row>
    <row r="2034" spans="1:36" x14ac:dyDescent="0.25">
      <c r="A2034" s="325" t="str">
        <f>CONCATENATE("P",'906MP'!M1734)</f>
        <v>P</v>
      </c>
      <c r="B2034">
        <f>'906MP'!H1734</f>
        <v>0</v>
      </c>
      <c r="C2034">
        <f>'906MP'!J1734</f>
        <v>0</v>
      </c>
      <c r="D2034">
        <f>'906MP'!P1734</f>
        <v>0</v>
      </c>
      <c r="E2034">
        <f>'906MP'!X1734</f>
        <v>0</v>
      </c>
      <c r="F2034" t="str">
        <f t="shared" si="599"/>
        <v>0</v>
      </c>
      <c r="G2034" t="str">
        <f t="shared" si="600"/>
        <v>0</v>
      </c>
      <c r="H2034">
        <f>'906MP'!Y1734</f>
        <v>0</v>
      </c>
      <c r="I2034">
        <f>'906MP'!AK1734</f>
        <v>0</v>
      </c>
      <c r="J2034">
        <f>'906MP'!T1734</f>
        <v>0</v>
      </c>
      <c r="K2034">
        <f>'906MP'!AJ1734</f>
        <v>0</v>
      </c>
      <c r="L2034">
        <f>'906MP'!U1734</f>
        <v>0</v>
      </c>
      <c r="M2034" s="322" t="str">
        <f>IFERROR(VLOOKUP(A2034,PAR!$D$3:$E$53,2,FALSE),"nincs szervezet")</f>
        <v>nincs szervezet</v>
      </c>
      <c r="N2034" s="322" t="str">
        <f>VLOOKUP(F2034,PAR!$R$3:$S$5,2,FALSE)</f>
        <v>3 - egyik sem</v>
      </c>
      <c r="O2034" t="str">
        <f>IFERROR(VLOOKUP(J2034,PAR!$O$3:$P$5,2,FALSE),"nincs feladat")</f>
        <v>nincs feladat</v>
      </c>
      <c r="P2034" t="str">
        <f>IFERROR(VLOOKUP(G2034,PAR!$J$2:$M$19,4),"nincs rovat")</f>
        <v>nincs rovat</v>
      </c>
      <c r="Q2034" t="str">
        <f>IF(H2034&gt;0,VLOOKUP(H2034,PAR!$AA$3:$AC$187,3,FALSE),"nincs főkönyvi számla")</f>
        <v>nincs főkönyvi számla</v>
      </c>
      <c r="R2034" t="str">
        <f>IFERROR(VLOOKUP(K2034,PAR!$V$3:$X$438,3,FALSE),"000000 - Nincs COFOG")</f>
        <v>000000 - Nincs COFOG</v>
      </c>
      <c r="S2034">
        <f t="shared" si="601"/>
        <v>0</v>
      </c>
      <c r="T2034">
        <f t="shared" si="602"/>
        <v>0</v>
      </c>
      <c r="U2034" t="str">
        <f>IF('906MP'!J1734&gt;0,CONCATENATE('906MP'!J1734," - ",'906MP'!P1734,", ",'906MP'!E1734),"nincs megjegyzés")</f>
        <v>nincs megjegyzés</v>
      </c>
      <c r="V2034" t="str">
        <f t="shared" si="589"/>
        <v>0P0</v>
      </c>
      <c r="W2034" t="str">
        <f t="shared" si="590"/>
        <v>0P0</v>
      </c>
      <c r="X2034" t="str">
        <f t="shared" si="591"/>
        <v>P0</v>
      </c>
      <c r="Y2034" t="str">
        <f t="shared" si="592"/>
        <v>00</v>
      </c>
      <c r="Z2034" t="str">
        <f t="shared" si="603"/>
        <v>00</v>
      </c>
      <c r="AA2034" t="str">
        <f t="shared" si="593"/>
        <v>00</v>
      </c>
      <c r="AB2034" t="str">
        <f t="shared" si="594"/>
        <v>00</v>
      </c>
      <c r="AC2034" t="str">
        <f t="shared" si="595"/>
        <v>0P0</v>
      </c>
      <c r="AD2034" t="str">
        <f t="shared" si="596"/>
        <v>P00</v>
      </c>
      <c r="AE2034" t="str">
        <f t="shared" si="597"/>
        <v>0P0</v>
      </c>
      <c r="AF2034" t="str">
        <f t="shared" si="598"/>
        <v>P00</v>
      </c>
      <c r="AG2034" t="str">
        <f t="shared" si="604"/>
        <v>0P00</v>
      </c>
      <c r="AH2034" t="str">
        <f t="shared" si="605"/>
        <v>P000</v>
      </c>
      <c r="AI2034" t="str">
        <f t="shared" si="606"/>
        <v>0P00</v>
      </c>
      <c r="AJ2034" t="str">
        <f t="shared" si="607"/>
        <v>P000</v>
      </c>
    </row>
    <row r="2035" spans="1:36" x14ac:dyDescent="0.25">
      <c r="A2035" s="325" t="str">
        <f>CONCATENATE("P",'906MP'!M1735)</f>
        <v>P</v>
      </c>
      <c r="B2035">
        <f>'906MP'!H1735</f>
        <v>0</v>
      </c>
      <c r="C2035">
        <f>'906MP'!J1735</f>
        <v>0</v>
      </c>
      <c r="D2035">
        <f>'906MP'!P1735</f>
        <v>0</v>
      </c>
      <c r="E2035">
        <f>'906MP'!X1735</f>
        <v>0</v>
      </c>
      <c r="F2035" t="str">
        <f t="shared" si="599"/>
        <v>0</v>
      </c>
      <c r="G2035" t="str">
        <f t="shared" si="600"/>
        <v>0</v>
      </c>
      <c r="H2035">
        <f>'906MP'!Y1735</f>
        <v>0</v>
      </c>
      <c r="I2035">
        <f>'906MP'!AK1735</f>
        <v>0</v>
      </c>
      <c r="J2035">
        <f>'906MP'!T1735</f>
        <v>0</v>
      </c>
      <c r="K2035">
        <f>'906MP'!AJ1735</f>
        <v>0</v>
      </c>
      <c r="L2035">
        <f>'906MP'!U1735</f>
        <v>0</v>
      </c>
      <c r="M2035" s="322" t="str">
        <f>IFERROR(VLOOKUP(A2035,PAR!$D$3:$E$53,2,FALSE),"nincs szervezet")</f>
        <v>nincs szervezet</v>
      </c>
      <c r="N2035" s="322" t="str">
        <f>VLOOKUP(F2035,PAR!$R$3:$S$5,2,FALSE)</f>
        <v>3 - egyik sem</v>
      </c>
      <c r="O2035" t="str">
        <f>IFERROR(VLOOKUP(J2035,PAR!$O$3:$P$5,2,FALSE),"nincs feladat")</f>
        <v>nincs feladat</v>
      </c>
      <c r="P2035" t="str">
        <f>IFERROR(VLOOKUP(G2035,PAR!$J$2:$M$19,4),"nincs rovat")</f>
        <v>nincs rovat</v>
      </c>
      <c r="Q2035" t="str">
        <f>IF(H2035&gt;0,VLOOKUP(H2035,PAR!$AA$3:$AC$187,3,FALSE),"nincs főkönyvi számla")</f>
        <v>nincs főkönyvi számla</v>
      </c>
      <c r="R2035" t="str">
        <f>IFERROR(VLOOKUP(K2035,PAR!$V$3:$X$438,3,FALSE),"000000 - Nincs COFOG")</f>
        <v>000000 - Nincs COFOG</v>
      </c>
      <c r="S2035">
        <f t="shared" si="601"/>
        <v>0</v>
      </c>
      <c r="T2035">
        <f t="shared" si="602"/>
        <v>0</v>
      </c>
      <c r="U2035" t="str">
        <f>IF('906MP'!J1735&gt;0,CONCATENATE('906MP'!J1735," - ",'906MP'!P1735,", ",'906MP'!E1735),"nincs megjegyzés")</f>
        <v>nincs megjegyzés</v>
      </c>
      <c r="V2035" t="str">
        <f t="shared" si="589"/>
        <v>0P0</v>
      </c>
      <c r="W2035" t="str">
        <f t="shared" si="590"/>
        <v>0P0</v>
      </c>
      <c r="X2035" t="str">
        <f t="shared" si="591"/>
        <v>P0</v>
      </c>
      <c r="Y2035" t="str">
        <f t="shared" si="592"/>
        <v>00</v>
      </c>
      <c r="Z2035" t="str">
        <f t="shared" si="603"/>
        <v>00</v>
      </c>
      <c r="AA2035" t="str">
        <f t="shared" si="593"/>
        <v>00</v>
      </c>
      <c r="AB2035" t="str">
        <f t="shared" si="594"/>
        <v>00</v>
      </c>
      <c r="AC2035" t="str">
        <f t="shared" si="595"/>
        <v>0P0</v>
      </c>
      <c r="AD2035" t="str">
        <f t="shared" si="596"/>
        <v>P00</v>
      </c>
      <c r="AE2035" t="str">
        <f t="shared" si="597"/>
        <v>0P0</v>
      </c>
      <c r="AF2035" t="str">
        <f t="shared" si="598"/>
        <v>P00</v>
      </c>
      <c r="AG2035" t="str">
        <f t="shared" si="604"/>
        <v>0P00</v>
      </c>
      <c r="AH2035" t="str">
        <f t="shared" si="605"/>
        <v>P000</v>
      </c>
      <c r="AI2035" t="str">
        <f t="shared" si="606"/>
        <v>0P00</v>
      </c>
      <c r="AJ2035" t="str">
        <f t="shared" si="607"/>
        <v>P000</v>
      </c>
    </row>
    <row r="2036" spans="1:36" x14ac:dyDescent="0.25">
      <c r="A2036" s="325" t="str">
        <f>CONCATENATE("P",'906MP'!M1736)</f>
        <v>P</v>
      </c>
      <c r="B2036">
        <f>'906MP'!H1736</f>
        <v>0</v>
      </c>
      <c r="C2036">
        <f>'906MP'!J1736</f>
        <v>0</v>
      </c>
      <c r="D2036">
        <f>'906MP'!P1736</f>
        <v>0</v>
      </c>
      <c r="E2036">
        <f>'906MP'!X1736</f>
        <v>0</v>
      </c>
      <c r="F2036" t="str">
        <f t="shared" si="599"/>
        <v>0</v>
      </c>
      <c r="G2036" t="str">
        <f t="shared" si="600"/>
        <v>0</v>
      </c>
      <c r="H2036">
        <f>'906MP'!Y1736</f>
        <v>0</v>
      </c>
      <c r="I2036">
        <f>'906MP'!AK1736</f>
        <v>0</v>
      </c>
      <c r="J2036">
        <f>'906MP'!T1736</f>
        <v>0</v>
      </c>
      <c r="K2036">
        <f>'906MP'!AJ1736</f>
        <v>0</v>
      </c>
      <c r="L2036">
        <f>'906MP'!U1736</f>
        <v>0</v>
      </c>
      <c r="M2036" s="322" t="str">
        <f>IFERROR(VLOOKUP(A2036,PAR!$D$3:$E$53,2,FALSE),"nincs szervezet")</f>
        <v>nincs szervezet</v>
      </c>
      <c r="N2036" s="322" t="str">
        <f>VLOOKUP(F2036,PAR!$R$3:$S$5,2,FALSE)</f>
        <v>3 - egyik sem</v>
      </c>
      <c r="O2036" t="str">
        <f>IFERROR(VLOOKUP(J2036,PAR!$O$3:$P$5,2,FALSE),"nincs feladat")</f>
        <v>nincs feladat</v>
      </c>
      <c r="P2036" t="str">
        <f>IFERROR(VLOOKUP(G2036,PAR!$J$2:$M$19,4),"nincs rovat")</f>
        <v>nincs rovat</v>
      </c>
      <c r="Q2036" t="str">
        <f>IF(H2036&gt;0,VLOOKUP(H2036,PAR!$AA$3:$AC$187,3,FALSE),"nincs főkönyvi számla")</f>
        <v>nincs főkönyvi számla</v>
      </c>
      <c r="R2036" t="str">
        <f>IFERROR(VLOOKUP(K2036,PAR!$V$3:$X$438,3,FALSE),"000000 - Nincs COFOG")</f>
        <v>000000 - Nincs COFOG</v>
      </c>
      <c r="S2036">
        <f t="shared" si="601"/>
        <v>0</v>
      </c>
      <c r="T2036">
        <f t="shared" si="602"/>
        <v>0</v>
      </c>
      <c r="U2036" t="str">
        <f>IF('906MP'!J1736&gt;0,CONCATENATE('906MP'!J1736," - ",'906MP'!P1736,", ",'906MP'!E1736),"nincs megjegyzés")</f>
        <v>nincs megjegyzés</v>
      </c>
      <c r="V2036" t="str">
        <f t="shared" si="589"/>
        <v>0P0</v>
      </c>
      <c r="W2036" t="str">
        <f t="shared" si="590"/>
        <v>0P0</v>
      </c>
      <c r="X2036" t="str">
        <f t="shared" si="591"/>
        <v>P0</v>
      </c>
      <c r="Y2036" t="str">
        <f t="shared" si="592"/>
        <v>00</v>
      </c>
      <c r="Z2036" t="str">
        <f t="shared" si="603"/>
        <v>00</v>
      </c>
      <c r="AA2036" t="str">
        <f t="shared" si="593"/>
        <v>00</v>
      </c>
      <c r="AB2036" t="str">
        <f t="shared" si="594"/>
        <v>00</v>
      </c>
      <c r="AC2036" t="str">
        <f t="shared" si="595"/>
        <v>0P0</v>
      </c>
      <c r="AD2036" t="str">
        <f t="shared" si="596"/>
        <v>P00</v>
      </c>
      <c r="AE2036" t="str">
        <f t="shared" si="597"/>
        <v>0P0</v>
      </c>
      <c r="AF2036" t="str">
        <f t="shared" si="598"/>
        <v>P00</v>
      </c>
      <c r="AG2036" t="str">
        <f t="shared" si="604"/>
        <v>0P00</v>
      </c>
      <c r="AH2036" t="str">
        <f t="shared" si="605"/>
        <v>P000</v>
      </c>
      <c r="AI2036" t="str">
        <f t="shared" si="606"/>
        <v>0P00</v>
      </c>
      <c r="AJ2036" t="str">
        <f t="shared" si="607"/>
        <v>P000</v>
      </c>
    </row>
    <row r="2037" spans="1:36" x14ac:dyDescent="0.25">
      <c r="A2037" s="325" t="str">
        <f>CONCATENATE("P",'906MP'!M1737)</f>
        <v>P</v>
      </c>
      <c r="B2037">
        <f>'906MP'!H1737</f>
        <v>0</v>
      </c>
      <c r="C2037">
        <f>'906MP'!J1737</f>
        <v>0</v>
      </c>
      <c r="D2037">
        <f>'906MP'!P1737</f>
        <v>0</v>
      </c>
      <c r="E2037">
        <f>'906MP'!X1737</f>
        <v>0</v>
      </c>
      <c r="F2037" t="str">
        <f t="shared" si="599"/>
        <v>0</v>
      </c>
      <c r="G2037" t="str">
        <f t="shared" si="600"/>
        <v>0</v>
      </c>
      <c r="H2037">
        <f>'906MP'!Y1737</f>
        <v>0</v>
      </c>
      <c r="I2037">
        <f>'906MP'!AK1737</f>
        <v>0</v>
      </c>
      <c r="J2037">
        <f>'906MP'!T1737</f>
        <v>0</v>
      </c>
      <c r="K2037">
        <f>'906MP'!AJ1737</f>
        <v>0</v>
      </c>
      <c r="L2037">
        <f>'906MP'!U1737</f>
        <v>0</v>
      </c>
      <c r="M2037" s="322" t="str">
        <f>IFERROR(VLOOKUP(A2037,PAR!$D$3:$E$53,2,FALSE),"nincs szervezet")</f>
        <v>nincs szervezet</v>
      </c>
      <c r="N2037" s="322" t="str">
        <f>VLOOKUP(F2037,PAR!$R$3:$S$5,2,FALSE)</f>
        <v>3 - egyik sem</v>
      </c>
      <c r="O2037" t="str">
        <f>IFERROR(VLOOKUP(J2037,PAR!$O$3:$P$5,2,FALSE),"nincs feladat")</f>
        <v>nincs feladat</v>
      </c>
      <c r="P2037" t="str">
        <f>IFERROR(VLOOKUP(G2037,PAR!$J$2:$M$19,4),"nincs rovat")</f>
        <v>nincs rovat</v>
      </c>
      <c r="Q2037" t="str">
        <f>IF(H2037&gt;0,VLOOKUP(H2037,PAR!$AA$3:$AC$187,3,FALSE),"nincs főkönyvi számla")</f>
        <v>nincs főkönyvi számla</v>
      </c>
      <c r="R2037" t="str">
        <f>IFERROR(VLOOKUP(K2037,PAR!$V$3:$X$438,3,FALSE),"000000 - Nincs COFOG")</f>
        <v>000000 - Nincs COFOG</v>
      </c>
      <c r="S2037">
        <f t="shared" si="601"/>
        <v>0</v>
      </c>
      <c r="T2037">
        <f t="shared" si="602"/>
        <v>0</v>
      </c>
      <c r="U2037" t="str">
        <f>IF('906MP'!J1737&gt;0,CONCATENATE('906MP'!J1737," - ",'906MP'!P1737,", ",'906MP'!E1737),"nincs megjegyzés")</f>
        <v>nincs megjegyzés</v>
      </c>
      <c r="V2037" t="str">
        <f t="shared" si="589"/>
        <v>0P0</v>
      </c>
      <c r="W2037" t="str">
        <f t="shared" si="590"/>
        <v>0P0</v>
      </c>
      <c r="X2037" t="str">
        <f t="shared" si="591"/>
        <v>P0</v>
      </c>
      <c r="Y2037" t="str">
        <f t="shared" si="592"/>
        <v>00</v>
      </c>
      <c r="Z2037" t="str">
        <f t="shared" si="603"/>
        <v>00</v>
      </c>
      <c r="AA2037" t="str">
        <f t="shared" si="593"/>
        <v>00</v>
      </c>
      <c r="AB2037" t="str">
        <f t="shared" si="594"/>
        <v>00</v>
      </c>
      <c r="AC2037" t="str">
        <f t="shared" si="595"/>
        <v>0P0</v>
      </c>
      <c r="AD2037" t="str">
        <f t="shared" si="596"/>
        <v>P00</v>
      </c>
      <c r="AE2037" t="str">
        <f t="shared" si="597"/>
        <v>0P0</v>
      </c>
      <c r="AF2037" t="str">
        <f t="shared" si="598"/>
        <v>P00</v>
      </c>
      <c r="AG2037" t="str">
        <f t="shared" si="604"/>
        <v>0P00</v>
      </c>
      <c r="AH2037" t="str">
        <f t="shared" si="605"/>
        <v>P000</v>
      </c>
      <c r="AI2037" t="str">
        <f t="shared" si="606"/>
        <v>0P00</v>
      </c>
      <c r="AJ2037" t="str">
        <f t="shared" si="607"/>
        <v>P000</v>
      </c>
    </row>
    <row r="2038" spans="1:36" x14ac:dyDescent="0.25">
      <c r="A2038" s="325" t="str">
        <f>CONCATENATE("P",'906MP'!M1738)</f>
        <v>P</v>
      </c>
      <c r="B2038">
        <f>'906MP'!H1738</f>
        <v>0</v>
      </c>
      <c r="C2038">
        <f>'906MP'!J1738</f>
        <v>0</v>
      </c>
      <c r="D2038">
        <f>'906MP'!P1738</f>
        <v>0</v>
      </c>
      <c r="E2038">
        <f>'906MP'!X1738</f>
        <v>0</v>
      </c>
      <c r="F2038" t="str">
        <f t="shared" si="599"/>
        <v>0</v>
      </c>
      <c r="G2038" t="str">
        <f t="shared" si="600"/>
        <v>0</v>
      </c>
      <c r="H2038">
        <f>'906MP'!Y1738</f>
        <v>0</v>
      </c>
      <c r="I2038">
        <f>'906MP'!AK1738</f>
        <v>0</v>
      </c>
      <c r="J2038">
        <f>'906MP'!T1738</f>
        <v>0</v>
      </c>
      <c r="K2038">
        <f>'906MP'!AJ1738</f>
        <v>0</v>
      </c>
      <c r="L2038">
        <f>'906MP'!U1738</f>
        <v>0</v>
      </c>
      <c r="M2038" s="322" t="str">
        <f>IFERROR(VLOOKUP(A2038,PAR!$D$3:$E$53,2,FALSE),"nincs szervezet")</f>
        <v>nincs szervezet</v>
      </c>
      <c r="N2038" s="322" t="str">
        <f>VLOOKUP(F2038,PAR!$R$3:$S$5,2,FALSE)</f>
        <v>3 - egyik sem</v>
      </c>
      <c r="O2038" t="str">
        <f>IFERROR(VLOOKUP(J2038,PAR!$O$3:$P$5,2,FALSE),"nincs feladat")</f>
        <v>nincs feladat</v>
      </c>
      <c r="P2038" t="str">
        <f>IFERROR(VLOOKUP(G2038,PAR!$J$2:$M$19,4),"nincs rovat")</f>
        <v>nincs rovat</v>
      </c>
      <c r="Q2038" t="str">
        <f>IF(H2038&gt;0,VLOOKUP(H2038,PAR!$AA$3:$AC$187,3,FALSE),"nincs főkönyvi számla")</f>
        <v>nincs főkönyvi számla</v>
      </c>
      <c r="R2038" t="str">
        <f>IFERROR(VLOOKUP(K2038,PAR!$V$3:$X$438,3,FALSE),"000000 - Nincs COFOG")</f>
        <v>000000 - Nincs COFOG</v>
      </c>
      <c r="S2038">
        <f t="shared" si="601"/>
        <v>0</v>
      </c>
      <c r="T2038">
        <f t="shared" si="602"/>
        <v>0</v>
      </c>
      <c r="U2038" t="str">
        <f>IF('906MP'!J1738&gt;0,CONCATENATE('906MP'!J1738," - ",'906MP'!P1738,", ",'906MP'!E1738),"nincs megjegyzés")</f>
        <v>nincs megjegyzés</v>
      </c>
      <c r="V2038" t="str">
        <f t="shared" si="589"/>
        <v>0P0</v>
      </c>
      <c r="W2038" t="str">
        <f t="shared" si="590"/>
        <v>0P0</v>
      </c>
      <c r="X2038" t="str">
        <f t="shared" si="591"/>
        <v>P0</v>
      </c>
      <c r="Y2038" t="str">
        <f t="shared" si="592"/>
        <v>00</v>
      </c>
      <c r="Z2038" t="str">
        <f t="shared" si="603"/>
        <v>00</v>
      </c>
      <c r="AA2038" t="str">
        <f t="shared" si="593"/>
        <v>00</v>
      </c>
      <c r="AB2038" t="str">
        <f t="shared" si="594"/>
        <v>00</v>
      </c>
      <c r="AC2038" t="str">
        <f t="shared" si="595"/>
        <v>0P0</v>
      </c>
      <c r="AD2038" t="str">
        <f t="shared" si="596"/>
        <v>P00</v>
      </c>
      <c r="AE2038" t="str">
        <f t="shared" si="597"/>
        <v>0P0</v>
      </c>
      <c r="AF2038" t="str">
        <f t="shared" si="598"/>
        <v>P00</v>
      </c>
      <c r="AG2038" t="str">
        <f t="shared" si="604"/>
        <v>0P00</v>
      </c>
      <c r="AH2038" t="str">
        <f t="shared" si="605"/>
        <v>P000</v>
      </c>
      <c r="AI2038" t="str">
        <f t="shared" si="606"/>
        <v>0P00</v>
      </c>
      <c r="AJ2038" t="str">
        <f t="shared" si="607"/>
        <v>P000</v>
      </c>
    </row>
    <row r="2039" spans="1:36" x14ac:dyDescent="0.25">
      <c r="A2039" s="325" t="str">
        <f>CONCATENATE("P",'906MP'!M1739)</f>
        <v>P</v>
      </c>
      <c r="B2039">
        <f>'906MP'!H1739</f>
        <v>0</v>
      </c>
      <c r="C2039">
        <f>'906MP'!J1739</f>
        <v>0</v>
      </c>
      <c r="D2039">
        <f>'906MP'!P1739</f>
        <v>0</v>
      </c>
      <c r="E2039">
        <f>'906MP'!X1739</f>
        <v>0</v>
      </c>
      <c r="F2039" t="str">
        <f t="shared" si="599"/>
        <v>0</v>
      </c>
      <c r="G2039" t="str">
        <f t="shared" si="600"/>
        <v>0</v>
      </c>
      <c r="H2039">
        <f>'906MP'!Y1739</f>
        <v>0</v>
      </c>
      <c r="I2039">
        <f>'906MP'!AK1739</f>
        <v>0</v>
      </c>
      <c r="J2039">
        <f>'906MP'!T1739</f>
        <v>0</v>
      </c>
      <c r="K2039">
        <f>'906MP'!AJ1739</f>
        <v>0</v>
      </c>
      <c r="L2039">
        <f>'906MP'!U1739</f>
        <v>0</v>
      </c>
      <c r="M2039" s="322" t="str">
        <f>IFERROR(VLOOKUP(A2039,PAR!$D$3:$E$53,2,FALSE),"nincs szervezet")</f>
        <v>nincs szervezet</v>
      </c>
      <c r="N2039" s="322" t="str">
        <f>VLOOKUP(F2039,PAR!$R$3:$S$5,2,FALSE)</f>
        <v>3 - egyik sem</v>
      </c>
      <c r="O2039" t="str">
        <f>IFERROR(VLOOKUP(J2039,PAR!$O$3:$P$5,2,FALSE),"nincs feladat")</f>
        <v>nincs feladat</v>
      </c>
      <c r="P2039" t="str">
        <f>IFERROR(VLOOKUP(G2039,PAR!$J$2:$M$19,4),"nincs rovat")</f>
        <v>nincs rovat</v>
      </c>
      <c r="Q2039" t="str">
        <f>IF(H2039&gt;0,VLOOKUP(H2039,PAR!$AA$3:$AC$187,3,FALSE),"nincs főkönyvi számla")</f>
        <v>nincs főkönyvi számla</v>
      </c>
      <c r="R2039" t="str">
        <f>IFERROR(VLOOKUP(K2039,PAR!$V$3:$X$438,3,FALSE),"000000 - Nincs COFOG")</f>
        <v>000000 - Nincs COFOG</v>
      </c>
      <c r="S2039">
        <f t="shared" si="601"/>
        <v>0</v>
      </c>
      <c r="T2039">
        <f t="shared" si="602"/>
        <v>0</v>
      </c>
      <c r="U2039" t="str">
        <f>IF('906MP'!J1739&gt;0,CONCATENATE('906MP'!J1739," - ",'906MP'!P1739,", ",'906MP'!E1739),"nincs megjegyzés")</f>
        <v>nincs megjegyzés</v>
      </c>
      <c r="V2039" t="str">
        <f t="shared" si="589"/>
        <v>0P0</v>
      </c>
      <c r="W2039" t="str">
        <f t="shared" si="590"/>
        <v>0P0</v>
      </c>
      <c r="X2039" t="str">
        <f t="shared" si="591"/>
        <v>P0</v>
      </c>
      <c r="Y2039" t="str">
        <f t="shared" si="592"/>
        <v>00</v>
      </c>
      <c r="Z2039" t="str">
        <f t="shared" si="603"/>
        <v>00</v>
      </c>
      <c r="AA2039" t="str">
        <f t="shared" si="593"/>
        <v>00</v>
      </c>
      <c r="AB2039" t="str">
        <f t="shared" si="594"/>
        <v>00</v>
      </c>
      <c r="AC2039" t="str">
        <f t="shared" si="595"/>
        <v>0P0</v>
      </c>
      <c r="AD2039" t="str">
        <f t="shared" si="596"/>
        <v>P00</v>
      </c>
      <c r="AE2039" t="str">
        <f t="shared" si="597"/>
        <v>0P0</v>
      </c>
      <c r="AF2039" t="str">
        <f t="shared" si="598"/>
        <v>P00</v>
      </c>
      <c r="AG2039" t="str">
        <f t="shared" si="604"/>
        <v>0P00</v>
      </c>
      <c r="AH2039" t="str">
        <f t="shared" si="605"/>
        <v>P000</v>
      </c>
      <c r="AI2039" t="str">
        <f t="shared" si="606"/>
        <v>0P00</v>
      </c>
      <c r="AJ2039" t="str">
        <f t="shared" si="607"/>
        <v>P000</v>
      </c>
    </row>
    <row r="2040" spans="1:36" x14ac:dyDescent="0.25">
      <c r="A2040" s="325" t="str">
        <f>CONCATENATE("P",'906MP'!M1740)</f>
        <v>P</v>
      </c>
      <c r="B2040">
        <f>'906MP'!H1740</f>
        <v>0</v>
      </c>
      <c r="C2040">
        <f>'906MP'!J1740</f>
        <v>0</v>
      </c>
      <c r="D2040">
        <f>'906MP'!P1740</f>
        <v>0</v>
      </c>
      <c r="E2040">
        <f>'906MP'!X1740</f>
        <v>0</v>
      </c>
      <c r="F2040" t="str">
        <f t="shared" si="599"/>
        <v>0</v>
      </c>
      <c r="G2040" t="str">
        <f t="shared" si="600"/>
        <v>0</v>
      </c>
      <c r="H2040">
        <f>'906MP'!Y1740</f>
        <v>0</v>
      </c>
      <c r="I2040">
        <f>'906MP'!AK1740</f>
        <v>0</v>
      </c>
      <c r="J2040">
        <f>'906MP'!T1740</f>
        <v>0</v>
      </c>
      <c r="K2040">
        <f>'906MP'!AJ1740</f>
        <v>0</v>
      </c>
      <c r="L2040">
        <f>'906MP'!U1740</f>
        <v>0</v>
      </c>
      <c r="M2040" s="322" t="str">
        <f>IFERROR(VLOOKUP(A2040,PAR!$D$3:$E$53,2,FALSE),"nincs szervezet")</f>
        <v>nincs szervezet</v>
      </c>
      <c r="N2040" s="322" t="str">
        <f>VLOOKUP(F2040,PAR!$R$3:$S$5,2,FALSE)</f>
        <v>3 - egyik sem</v>
      </c>
      <c r="O2040" t="str">
        <f>IFERROR(VLOOKUP(J2040,PAR!$O$3:$P$5,2,FALSE),"nincs feladat")</f>
        <v>nincs feladat</v>
      </c>
      <c r="P2040" t="str">
        <f>IFERROR(VLOOKUP(G2040,PAR!$J$2:$M$19,4),"nincs rovat")</f>
        <v>nincs rovat</v>
      </c>
      <c r="Q2040" t="str">
        <f>IF(H2040&gt;0,VLOOKUP(H2040,PAR!$AA$3:$AC$187,3,FALSE),"nincs főkönyvi számla")</f>
        <v>nincs főkönyvi számla</v>
      </c>
      <c r="R2040" t="str">
        <f>IFERROR(VLOOKUP(K2040,PAR!$V$3:$X$438,3,FALSE),"000000 - Nincs COFOG")</f>
        <v>000000 - Nincs COFOG</v>
      </c>
      <c r="S2040">
        <f t="shared" si="601"/>
        <v>0</v>
      </c>
      <c r="T2040">
        <f t="shared" si="602"/>
        <v>0</v>
      </c>
      <c r="U2040" t="str">
        <f>IF('906MP'!J1740&gt;0,CONCATENATE('906MP'!J1740," - ",'906MP'!P1740,", ",'906MP'!E1740),"nincs megjegyzés")</f>
        <v>nincs megjegyzés</v>
      </c>
      <c r="V2040" t="str">
        <f t="shared" si="589"/>
        <v>0P0</v>
      </c>
      <c r="W2040" t="str">
        <f t="shared" si="590"/>
        <v>0P0</v>
      </c>
      <c r="X2040" t="str">
        <f t="shared" si="591"/>
        <v>P0</v>
      </c>
      <c r="Y2040" t="str">
        <f t="shared" si="592"/>
        <v>00</v>
      </c>
      <c r="Z2040" t="str">
        <f t="shared" si="603"/>
        <v>00</v>
      </c>
      <c r="AA2040" t="str">
        <f t="shared" si="593"/>
        <v>00</v>
      </c>
      <c r="AB2040" t="str">
        <f t="shared" si="594"/>
        <v>00</v>
      </c>
      <c r="AC2040" t="str">
        <f t="shared" si="595"/>
        <v>0P0</v>
      </c>
      <c r="AD2040" t="str">
        <f t="shared" si="596"/>
        <v>P00</v>
      </c>
      <c r="AE2040" t="str">
        <f t="shared" si="597"/>
        <v>0P0</v>
      </c>
      <c r="AF2040" t="str">
        <f t="shared" si="598"/>
        <v>P00</v>
      </c>
      <c r="AG2040" t="str">
        <f t="shared" si="604"/>
        <v>0P00</v>
      </c>
      <c r="AH2040" t="str">
        <f t="shared" si="605"/>
        <v>P000</v>
      </c>
      <c r="AI2040" t="str">
        <f t="shared" si="606"/>
        <v>0P00</v>
      </c>
      <c r="AJ2040" t="str">
        <f t="shared" si="607"/>
        <v>P000</v>
      </c>
    </row>
    <row r="2041" spans="1:36" x14ac:dyDescent="0.25">
      <c r="A2041" s="325" t="str">
        <f>CONCATENATE("P",'906MP'!M1741)</f>
        <v>P</v>
      </c>
      <c r="B2041">
        <f>'906MP'!H1741</f>
        <v>0</v>
      </c>
      <c r="C2041">
        <f>'906MP'!J1741</f>
        <v>0</v>
      </c>
      <c r="D2041">
        <f>'906MP'!P1741</f>
        <v>0</v>
      </c>
      <c r="E2041">
        <f>'906MP'!X1741</f>
        <v>0</v>
      </c>
      <c r="F2041" t="str">
        <f t="shared" si="599"/>
        <v>0</v>
      </c>
      <c r="G2041" t="str">
        <f t="shared" si="600"/>
        <v>0</v>
      </c>
      <c r="H2041">
        <f>'906MP'!Y1741</f>
        <v>0</v>
      </c>
      <c r="I2041">
        <f>'906MP'!AK1741</f>
        <v>0</v>
      </c>
      <c r="J2041">
        <f>'906MP'!T1741</f>
        <v>0</v>
      </c>
      <c r="K2041">
        <f>'906MP'!AJ1741</f>
        <v>0</v>
      </c>
      <c r="L2041">
        <f>'906MP'!U1741</f>
        <v>0</v>
      </c>
      <c r="M2041" s="322" t="str">
        <f>IFERROR(VLOOKUP(A2041,PAR!$D$3:$E$53,2,FALSE),"nincs szervezet")</f>
        <v>nincs szervezet</v>
      </c>
      <c r="N2041" s="322" t="str">
        <f>VLOOKUP(F2041,PAR!$R$3:$S$5,2,FALSE)</f>
        <v>3 - egyik sem</v>
      </c>
      <c r="O2041" t="str">
        <f>IFERROR(VLOOKUP(J2041,PAR!$O$3:$P$5,2,FALSE),"nincs feladat")</f>
        <v>nincs feladat</v>
      </c>
      <c r="P2041" t="str">
        <f>IFERROR(VLOOKUP(G2041,PAR!$J$2:$M$19,4),"nincs rovat")</f>
        <v>nincs rovat</v>
      </c>
      <c r="Q2041" t="str">
        <f>IF(H2041&gt;0,VLOOKUP(H2041,PAR!$AA$3:$AC$187,3,FALSE),"nincs főkönyvi számla")</f>
        <v>nincs főkönyvi számla</v>
      </c>
      <c r="R2041" t="str">
        <f>IFERROR(VLOOKUP(K2041,PAR!$V$3:$X$438,3,FALSE),"000000 - Nincs COFOG")</f>
        <v>000000 - Nincs COFOG</v>
      </c>
      <c r="S2041">
        <f t="shared" si="601"/>
        <v>0</v>
      </c>
      <c r="T2041">
        <f t="shared" si="602"/>
        <v>0</v>
      </c>
      <c r="U2041" t="str">
        <f>IF('906MP'!J1741&gt;0,CONCATENATE('906MP'!J1741," - ",'906MP'!P1741,", ",'906MP'!E1741),"nincs megjegyzés")</f>
        <v>nincs megjegyzés</v>
      </c>
      <c r="V2041" t="str">
        <f t="shared" si="589"/>
        <v>0P0</v>
      </c>
      <c r="W2041" t="str">
        <f t="shared" si="590"/>
        <v>0P0</v>
      </c>
      <c r="X2041" t="str">
        <f t="shared" si="591"/>
        <v>P0</v>
      </c>
      <c r="Y2041" t="str">
        <f t="shared" si="592"/>
        <v>00</v>
      </c>
      <c r="Z2041" t="str">
        <f t="shared" si="603"/>
        <v>00</v>
      </c>
      <c r="AA2041" t="str">
        <f t="shared" si="593"/>
        <v>00</v>
      </c>
      <c r="AB2041" t="str">
        <f t="shared" si="594"/>
        <v>00</v>
      </c>
      <c r="AC2041" t="str">
        <f t="shared" si="595"/>
        <v>0P0</v>
      </c>
      <c r="AD2041" t="str">
        <f t="shared" si="596"/>
        <v>P00</v>
      </c>
      <c r="AE2041" t="str">
        <f t="shared" si="597"/>
        <v>0P0</v>
      </c>
      <c r="AF2041" t="str">
        <f t="shared" si="598"/>
        <v>P00</v>
      </c>
      <c r="AG2041" t="str">
        <f t="shared" si="604"/>
        <v>0P00</v>
      </c>
      <c r="AH2041" t="str">
        <f t="shared" si="605"/>
        <v>P000</v>
      </c>
      <c r="AI2041" t="str">
        <f t="shared" si="606"/>
        <v>0P00</v>
      </c>
      <c r="AJ2041" t="str">
        <f t="shared" si="607"/>
        <v>P000</v>
      </c>
    </row>
    <row r="2042" spans="1:36" x14ac:dyDescent="0.25">
      <c r="A2042" s="325" t="str">
        <f>CONCATENATE("P",'906MP'!M1742)</f>
        <v>P</v>
      </c>
      <c r="B2042">
        <f>'906MP'!H1742</f>
        <v>0</v>
      </c>
      <c r="C2042">
        <f>'906MP'!J1742</f>
        <v>0</v>
      </c>
      <c r="D2042">
        <f>'906MP'!P1742</f>
        <v>0</v>
      </c>
      <c r="E2042">
        <f>'906MP'!X1742</f>
        <v>0</v>
      </c>
      <c r="F2042" t="str">
        <f t="shared" si="599"/>
        <v>0</v>
      </c>
      <c r="G2042" t="str">
        <f t="shared" si="600"/>
        <v>0</v>
      </c>
      <c r="H2042">
        <f>'906MP'!Y1742</f>
        <v>0</v>
      </c>
      <c r="I2042">
        <f>'906MP'!AK1742</f>
        <v>0</v>
      </c>
      <c r="J2042">
        <f>'906MP'!T1742</f>
        <v>0</v>
      </c>
      <c r="K2042">
        <f>'906MP'!AJ1742</f>
        <v>0</v>
      </c>
      <c r="L2042">
        <f>'906MP'!U1742</f>
        <v>0</v>
      </c>
      <c r="M2042" s="322" t="str">
        <f>IFERROR(VLOOKUP(A2042,PAR!$D$3:$E$53,2,FALSE),"nincs szervezet")</f>
        <v>nincs szervezet</v>
      </c>
      <c r="N2042" s="322" t="str">
        <f>VLOOKUP(F2042,PAR!$R$3:$S$5,2,FALSE)</f>
        <v>3 - egyik sem</v>
      </c>
      <c r="O2042" t="str">
        <f>IFERROR(VLOOKUP(J2042,PAR!$O$3:$P$5,2,FALSE),"nincs feladat")</f>
        <v>nincs feladat</v>
      </c>
      <c r="P2042" t="str">
        <f>IFERROR(VLOOKUP(G2042,PAR!$J$2:$M$19,4),"nincs rovat")</f>
        <v>nincs rovat</v>
      </c>
      <c r="Q2042" t="str">
        <f>IF(H2042&gt;0,VLOOKUP(H2042,PAR!$AA$3:$AC$187,3,FALSE),"nincs főkönyvi számla")</f>
        <v>nincs főkönyvi számla</v>
      </c>
      <c r="R2042" t="str">
        <f>IFERROR(VLOOKUP(K2042,PAR!$V$3:$X$438,3,FALSE),"000000 - Nincs COFOG")</f>
        <v>000000 - Nincs COFOG</v>
      </c>
      <c r="S2042">
        <f t="shared" si="601"/>
        <v>0</v>
      </c>
      <c r="T2042">
        <f t="shared" si="602"/>
        <v>0</v>
      </c>
      <c r="U2042" t="str">
        <f>IF('906MP'!J1742&gt;0,CONCATENATE('906MP'!J1742," - ",'906MP'!P1742,", ",'906MP'!E1742),"nincs megjegyzés")</f>
        <v>nincs megjegyzés</v>
      </c>
      <c r="V2042" t="str">
        <f t="shared" si="589"/>
        <v>0P0</v>
      </c>
      <c r="W2042" t="str">
        <f t="shared" si="590"/>
        <v>0P0</v>
      </c>
      <c r="X2042" t="str">
        <f t="shared" si="591"/>
        <v>P0</v>
      </c>
      <c r="Y2042" t="str">
        <f t="shared" si="592"/>
        <v>00</v>
      </c>
      <c r="Z2042" t="str">
        <f t="shared" si="603"/>
        <v>00</v>
      </c>
      <c r="AA2042" t="str">
        <f t="shared" si="593"/>
        <v>00</v>
      </c>
      <c r="AB2042" t="str">
        <f t="shared" si="594"/>
        <v>00</v>
      </c>
      <c r="AC2042" t="str">
        <f t="shared" si="595"/>
        <v>0P0</v>
      </c>
      <c r="AD2042" t="str">
        <f t="shared" si="596"/>
        <v>P00</v>
      </c>
      <c r="AE2042" t="str">
        <f t="shared" si="597"/>
        <v>0P0</v>
      </c>
      <c r="AF2042" t="str">
        <f t="shared" si="598"/>
        <v>P00</v>
      </c>
      <c r="AG2042" t="str">
        <f t="shared" si="604"/>
        <v>0P00</v>
      </c>
      <c r="AH2042" t="str">
        <f t="shared" si="605"/>
        <v>P000</v>
      </c>
      <c r="AI2042" t="str">
        <f t="shared" si="606"/>
        <v>0P00</v>
      </c>
      <c r="AJ2042" t="str">
        <f t="shared" si="607"/>
        <v>P000</v>
      </c>
    </row>
    <row r="2043" spans="1:36" x14ac:dyDescent="0.25">
      <c r="A2043" s="325" t="str">
        <f>CONCATENATE("P",'906MP'!M1743)</f>
        <v>P</v>
      </c>
      <c r="B2043">
        <f>'906MP'!H1743</f>
        <v>0</v>
      </c>
      <c r="C2043">
        <f>'906MP'!J1743</f>
        <v>0</v>
      </c>
      <c r="D2043">
        <f>'906MP'!P1743</f>
        <v>0</v>
      </c>
      <c r="E2043">
        <f>'906MP'!X1743</f>
        <v>0</v>
      </c>
      <c r="F2043" t="str">
        <f t="shared" si="599"/>
        <v>0</v>
      </c>
      <c r="G2043" t="str">
        <f t="shared" si="600"/>
        <v>0</v>
      </c>
      <c r="H2043">
        <f>'906MP'!Y1743</f>
        <v>0</v>
      </c>
      <c r="I2043">
        <f>'906MP'!AK1743</f>
        <v>0</v>
      </c>
      <c r="J2043">
        <f>'906MP'!T1743</f>
        <v>0</v>
      </c>
      <c r="K2043">
        <f>'906MP'!AJ1743</f>
        <v>0</v>
      </c>
      <c r="L2043">
        <f>'906MP'!U1743</f>
        <v>0</v>
      </c>
      <c r="M2043" s="322" t="str">
        <f>IFERROR(VLOOKUP(A2043,PAR!$D$3:$E$53,2,FALSE),"nincs szervezet")</f>
        <v>nincs szervezet</v>
      </c>
      <c r="N2043" s="322" t="str">
        <f>VLOOKUP(F2043,PAR!$R$3:$S$5,2,FALSE)</f>
        <v>3 - egyik sem</v>
      </c>
      <c r="O2043" t="str">
        <f>IFERROR(VLOOKUP(J2043,PAR!$O$3:$P$5,2,FALSE),"nincs feladat")</f>
        <v>nincs feladat</v>
      </c>
      <c r="P2043" t="str">
        <f>IFERROR(VLOOKUP(G2043,PAR!$J$2:$M$19,4),"nincs rovat")</f>
        <v>nincs rovat</v>
      </c>
      <c r="Q2043" t="str">
        <f>IF(H2043&gt;0,VLOOKUP(H2043,PAR!$AA$3:$AC$187,3,FALSE),"nincs főkönyvi számla")</f>
        <v>nincs főkönyvi számla</v>
      </c>
      <c r="R2043" t="str">
        <f>IFERROR(VLOOKUP(K2043,PAR!$V$3:$X$438,3,FALSE),"000000 - Nincs COFOG")</f>
        <v>000000 - Nincs COFOG</v>
      </c>
      <c r="S2043">
        <f t="shared" si="601"/>
        <v>0</v>
      </c>
      <c r="T2043">
        <f t="shared" si="602"/>
        <v>0</v>
      </c>
      <c r="U2043" t="str">
        <f>IF('906MP'!J1743&gt;0,CONCATENATE('906MP'!J1743," - ",'906MP'!P1743,", ",'906MP'!E1743),"nincs megjegyzés")</f>
        <v>nincs megjegyzés</v>
      </c>
      <c r="V2043" t="str">
        <f t="shared" si="589"/>
        <v>0P0</v>
      </c>
      <c r="W2043" t="str">
        <f t="shared" si="590"/>
        <v>0P0</v>
      </c>
      <c r="X2043" t="str">
        <f t="shared" si="591"/>
        <v>P0</v>
      </c>
      <c r="Y2043" t="str">
        <f t="shared" si="592"/>
        <v>00</v>
      </c>
      <c r="Z2043" t="str">
        <f t="shared" si="603"/>
        <v>00</v>
      </c>
      <c r="AA2043" t="str">
        <f t="shared" si="593"/>
        <v>00</v>
      </c>
      <c r="AB2043" t="str">
        <f t="shared" si="594"/>
        <v>00</v>
      </c>
      <c r="AC2043" t="str">
        <f t="shared" si="595"/>
        <v>0P0</v>
      </c>
      <c r="AD2043" t="str">
        <f t="shared" si="596"/>
        <v>P00</v>
      </c>
      <c r="AE2043" t="str">
        <f t="shared" si="597"/>
        <v>0P0</v>
      </c>
      <c r="AF2043" t="str">
        <f t="shared" si="598"/>
        <v>P00</v>
      </c>
      <c r="AG2043" t="str">
        <f t="shared" si="604"/>
        <v>0P00</v>
      </c>
      <c r="AH2043" t="str">
        <f t="shared" si="605"/>
        <v>P000</v>
      </c>
      <c r="AI2043" t="str">
        <f t="shared" si="606"/>
        <v>0P00</v>
      </c>
      <c r="AJ2043" t="str">
        <f t="shared" si="607"/>
        <v>P000</v>
      </c>
    </row>
    <row r="2044" spans="1:36" x14ac:dyDescent="0.25">
      <c r="A2044" s="325" t="str">
        <f>CONCATENATE("P",'906MP'!M1744)</f>
        <v>P</v>
      </c>
      <c r="B2044">
        <f>'906MP'!H1744</f>
        <v>0</v>
      </c>
      <c r="C2044">
        <f>'906MP'!J1744</f>
        <v>0</v>
      </c>
      <c r="D2044">
        <f>'906MP'!P1744</f>
        <v>0</v>
      </c>
      <c r="E2044">
        <f>'906MP'!X1744</f>
        <v>0</v>
      </c>
      <c r="F2044" t="str">
        <f t="shared" si="599"/>
        <v>0</v>
      </c>
      <c r="G2044" t="str">
        <f t="shared" si="600"/>
        <v>0</v>
      </c>
      <c r="H2044">
        <f>'906MP'!Y1744</f>
        <v>0</v>
      </c>
      <c r="I2044">
        <f>'906MP'!AK1744</f>
        <v>0</v>
      </c>
      <c r="J2044">
        <f>'906MP'!T1744</f>
        <v>0</v>
      </c>
      <c r="K2044">
        <f>'906MP'!AJ1744</f>
        <v>0</v>
      </c>
      <c r="L2044">
        <f>'906MP'!U1744</f>
        <v>0</v>
      </c>
      <c r="M2044" s="322" t="str">
        <f>IFERROR(VLOOKUP(A2044,PAR!$D$3:$E$53,2,FALSE),"nincs szervezet")</f>
        <v>nincs szervezet</v>
      </c>
      <c r="N2044" s="322" t="str">
        <f>VLOOKUP(F2044,PAR!$R$3:$S$5,2,FALSE)</f>
        <v>3 - egyik sem</v>
      </c>
      <c r="O2044" t="str">
        <f>IFERROR(VLOOKUP(J2044,PAR!$O$3:$P$5,2,FALSE),"nincs feladat")</f>
        <v>nincs feladat</v>
      </c>
      <c r="P2044" t="str">
        <f>IFERROR(VLOOKUP(G2044,PAR!$J$2:$M$19,4),"nincs rovat")</f>
        <v>nincs rovat</v>
      </c>
      <c r="Q2044" t="str">
        <f>IF(H2044&gt;0,VLOOKUP(H2044,PAR!$AA$3:$AC$187,3,FALSE),"nincs főkönyvi számla")</f>
        <v>nincs főkönyvi számla</v>
      </c>
      <c r="R2044" t="str">
        <f>IFERROR(VLOOKUP(K2044,PAR!$V$3:$X$438,3,FALSE),"000000 - Nincs COFOG")</f>
        <v>000000 - Nincs COFOG</v>
      </c>
      <c r="S2044">
        <f t="shared" si="601"/>
        <v>0</v>
      </c>
      <c r="T2044">
        <f t="shared" si="602"/>
        <v>0</v>
      </c>
      <c r="U2044" t="str">
        <f>IF('906MP'!J1744&gt;0,CONCATENATE('906MP'!J1744," - ",'906MP'!P1744,", ",'906MP'!E1744),"nincs megjegyzés")</f>
        <v>nincs megjegyzés</v>
      </c>
      <c r="V2044" t="str">
        <f t="shared" si="589"/>
        <v>0P0</v>
      </c>
      <c r="W2044" t="str">
        <f t="shared" si="590"/>
        <v>0P0</v>
      </c>
      <c r="X2044" t="str">
        <f t="shared" si="591"/>
        <v>P0</v>
      </c>
      <c r="Y2044" t="str">
        <f t="shared" si="592"/>
        <v>00</v>
      </c>
      <c r="Z2044" t="str">
        <f t="shared" si="603"/>
        <v>00</v>
      </c>
      <c r="AA2044" t="str">
        <f t="shared" si="593"/>
        <v>00</v>
      </c>
      <c r="AB2044" t="str">
        <f t="shared" si="594"/>
        <v>00</v>
      </c>
      <c r="AC2044" t="str">
        <f t="shared" si="595"/>
        <v>0P0</v>
      </c>
      <c r="AD2044" t="str">
        <f t="shared" si="596"/>
        <v>P00</v>
      </c>
      <c r="AE2044" t="str">
        <f t="shared" si="597"/>
        <v>0P0</v>
      </c>
      <c r="AF2044" t="str">
        <f t="shared" si="598"/>
        <v>P00</v>
      </c>
      <c r="AG2044" t="str">
        <f t="shared" si="604"/>
        <v>0P00</v>
      </c>
      <c r="AH2044" t="str">
        <f t="shared" si="605"/>
        <v>P000</v>
      </c>
      <c r="AI2044" t="str">
        <f t="shared" si="606"/>
        <v>0P00</v>
      </c>
      <c r="AJ2044" t="str">
        <f t="shared" si="607"/>
        <v>P000</v>
      </c>
    </row>
    <row r="2045" spans="1:36" x14ac:dyDescent="0.25">
      <c r="A2045" s="325" t="str">
        <f>CONCATENATE("P",'906MP'!M1745)</f>
        <v>P</v>
      </c>
      <c r="B2045">
        <f>'906MP'!H1745</f>
        <v>0</v>
      </c>
      <c r="C2045">
        <f>'906MP'!J1745</f>
        <v>0</v>
      </c>
      <c r="D2045">
        <f>'906MP'!P1745</f>
        <v>0</v>
      </c>
      <c r="E2045">
        <f>'906MP'!X1745</f>
        <v>0</v>
      </c>
      <c r="F2045" t="str">
        <f t="shared" si="599"/>
        <v>0</v>
      </c>
      <c r="G2045" t="str">
        <f t="shared" si="600"/>
        <v>0</v>
      </c>
      <c r="H2045">
        <f>'906MP'!Y1745</f>
        <v>0</v>
      </c>
      <c r="I2045">
        <f>'906MP'!AK1745</f>
        <v>0</v>
      </c>
      <c r="J2045">
        <f>'906MP'!T1745</f>
        <v>0</v>
      </c>
      <c r="K2045">
        <f>'906MP'!AJ1745</f>
        <v>0</v>
      </c>
      <c r="L2045">
        <f>'906MP'!U1745</f>
        <v>0</v>
      </c>
      <c r="M2045" s="322" t="str">
        <f>IFERROR(VLOOKUP(A2045,PAR!$D$3:$E$53,2,FALSE),"nincs szervezet")</f>
        <v>nincs szervezet</v>
      </c>
      <c r="N2045" s="322" t="str">
        <f>VLOOKUP(F2045,PAR!$R$3:$S$5,2,FALSE)</f>
        <v>3 - egyik sem</v>
      </c>
      <c r="O2045" t="str">
        <f>IFERROR(VLOOKUP(J2045,PAR!$O$3:$P$5,2,FALSE),"nincs feladat")</f>
        <v>nincs feladat</v>
      </c>
      <c r="P2045" t="str">
        <f>IFERROR(VLOOKUP(G2045,PAR!$J$2:$M$19,4),"nincs rovat")</f>
        <v>nincs rovat</v>
      </c>
      <c r="Q2045" t="str">
        <f>IF(H2045&gt;0,VLOOKUP(H2045,PAR!$AA$3:$AC$187,3,FALSE),"nincs főkönyvi számla")</f>
        <v>nincs főkönyvi számla</v>
      </c>
      <c r="R2045" t="str">
        <f>IFERROR(VLOOKUP(K2045,PAR!$V$3:$X$438,3,FALSE),"000000 - Nincs COFOG")</f>
        <v>000000 - Nincs COFOG</v>
      </c>
      <c r="S2045">
        <f t="shared" si="601"/>
        <v>0</v>
      </c>
      <c r="T2045">
        <f t="shared" si="602"/>
        <v>0</v>
      </c>
      <c r="U2045" t="str">
        <f>IF('906MP'!J1745&gt;0,CONCATENATE('906MP'!J1745," - ",'906MP'!P1745,", ",'906MP'!E1745),"nincs megjegyzés")</f>
        <v>nincs megjegyzés</v>
      </c>
      <c r="V2045" t="str">
        <f t="shared" si="589"/>
        <v>0P0</v>
      </c>
      <c r="W2045" t="str">
        <f t="shared" si="590"/>
        <v>0P0</v>
      </c>
      <c r="X2045" t="str">
        <f t="shared" si="591"/>
        <v>P0</v>
      </c>
      <c r="Y2045" t="str">
        <f t="shared" si="592"/>
        <v>00</v>
      </c>
      <c r="Z2045" t="str">
        <f t="shared" si="603"/>
        <v>00</v>
      </c>
      <c r="AA2045" t="str">
        <f t="shared" si="593"/>
        <v>00</v>
      </c>
      <c r="AB2045" t="str">
        <f t="shared" si="594"/>
        <v>00</v>
      </c>
      <c r="AC2045" t="str">
        <f t="shared" si="595"/>
        <v>0P0</v>
      </c>
      <c r="AD2045" t="str">
        <f t="shared" si="596"/>
        <v>P00</v>
      </c>
      <c r="AE2045" t="str">
        <f t="shared" si="597"/>
        <v>0P0</v>
      </c>
      <c r="AF2045" t="str">
        <f t="shared" si="598"/>
        <v>P00</v>
      </c>
      <c r="AG2045" t="str">
        <f t="shared" si="604"/>
        <v>0P00</v>
      </c>
      <c r="AH2045" t="str">
        <f t="shared" si="605"/>
        <v>P000</v>
      </c>
      <c r="AI2045" t="str">
        <f t="shared" si="606"/>
        <v>0P00</v>
      </c>
      <c r="AJ2045" t="str">
        <f t="shared" si="607"/>
        <v>P000</v>
      </c>
    </row>
    <row r="2046" spans="1:36" x14ac:dyDescent="0.25">
      <c r="A2046" s="325" t="str">
        <f>CONCATENATE("P",'906MP'!M1746)</f>
        <v>P</v>
      </c>
      <c r="B2046">
        <f>'906MP'!H1746</f>
        <v>0</v>
      </c>
      <c r="C2046">
        <f>'906MP'!J1746</f>
        <v>0</v>
      </c>
      <c r="D2046">
        <f>'906MP'!P1746</f>
        <v>0</v>
      </c>
      <c r="E2046">
        <f>'906MP'!X1746</f>
        <v>0</v>
      </c>
      <c r="F2046" t="str">
        <f t="shared" si="599"/>
        <v>0</v>
      </c>
      <c r="G2046" t="str">
        <f t="shared" si="600"/>
        <v>0</v>
      </c>
      <c r="H2046">
        <f>'906MP'!Y1746</f>
        <v>0</v>
      </c>
      <c r="I2046">
        <f>'906MP'!AK1746</f>
        <v>0</v>
      </c>
      <c r="J2046">
        <f>'906MP'!T1746</f>
        <v>0</v>
      </c>
      <c r="K2046">
        <f>'906MP'!AJ1746</f>
        <v>0</v>
      </c>
      <c r="L2046">
        <f>'906MP'!U1746</f>
        <v>0</v>
      </c>
      <c r="M2046" s="322" t="str">
        <f>IFERROR(VLOOKUP(A2046,PAR!$D$3:$E$53,2,FALSE),"nincs szervezet")</f>
        <v>nincs szervezet</v>
      </c>
      <c r="N2046" s="322" t="str">
        <f>VLOOKUP(F2046,PAR!$R$3:$S$5,2,FALSE)</f>
        <v>3 - egyik sem</v>
      </c>
      <c r="O2046" t="str">
        <f>IFERROR(VLOOKUP(J2046,PAR!$O$3:$P$5,2,FALSE),"nincs feladat")</f>
        <v>nincs feladat</v>
      </c>
      <c r="P2046" t="str">
        <f>IFERROR(VLOOKUP(G2046,PAR!$J$2:$M$19,4),"nincs rovat")</f>
        <v>nincs rovat</v>
      </c>
      <c r="Q2046" t="str">
        <f>IF(H2046&gt;0,VLOOKUP(H2046,PAR!$AA$3:$AC$187,3,FALSE),"nincs főkönyvi számla")</f>
        <v>nincs főkönyvi számla</v>
      </c>
      <c r="R2046" t="str">
        <f>IFERROR(VLOOKUP(K2046,PAR!$V$3:$X$438,3,FALSE),"000000 - Nincs COFOG")</f>
        <v>000000 - Nincs COFOG</v>
      </c>
      <c r="S2046">
        <f t="shared" si="601"/>
        <v>0</v>
      </c>
      <c r="T2046">
        <f t="shared" si="602"/>
        <v>0</v>
      </c>
      <c r="U2046" t="str">
        <f>IF('906MP'!J1746&gt;0,CONCATENATE('906MP'!J1746," - ",'906MP'!P1746,", ",'906MP'!E1746),"nincs megjegyzés")</f>
        <v>nincs megjegyzés</v>
      </c>
      <c r="V2046" t="str">
        <f t="shared" si="589"/>
        <v>0P0</v>
      </c>
      <c r="W2046" t="str">
        <f t="shared" si="590"/>
        <v>0P0</v>
      </c>
      <c r="X2046" t="str">
        <f t="shared" si="591"/>
        <v>P0</v>
      </c>
      <c r="Y2046" t="str">
        <f t="shared" si="592"/>
        <v>00</v>
      </c>
      <c r="Z2046" t="str">
        <f t="shared" si="603"/>
        <v>00</v>
      </c>
      <c r="AA2046" t="str">
        <f t="shared" si="593"/>
        <v>00</v>
      </c>
      <c r="AB2046" t="str">
        <f t="shared" si="594"/>
        <v>00</v>
      </c>
      <c r="AC2046" t="str">
        <f t="shared" si="595"/>
        <v>0P0</v>
      </c>
      <c r="AD2046" t="str">
        <f t="shared" si="596"/>
        <v>P00</v>
      </c>
      <c r="AE2046" t="str">
        <f t="shared" si="597"/>
        <v>0P0</v>
      </c>
      <c r="AF2046" t="str">
        <f t="shared" si="598"/>
        <v>P00</v>
      </c>
      <c r="AG2046" t="str">
        <f t="shared" si="604"/>
        <v>0P00</v>
      </c>
      <c r="AH2046" t="str">
        <f t="shared" si="605"/>
        <v>P000</v>
      </c>
      <c r="AI2046" t="str">
        <f t="shared" si="606"/>
        <v>0P00</v>
      </c>
      <c r="AJ2046" t="str">
        <f t="shared" si="607"/>
        <v>P000</v>
      </c>
    </row>
    <row r="2047" spans="1:36" x14ac:dyDescent="0.25">
      <c r="A2047" s="325" t="str">
        <f>CONCATENATE("P",'906MP'!M1747)</f>
        <v>P</v>
      </c>
      <c r="B2047">
        <f>'906MP'!H1747</f>
        <v>0</v>
      </c>
      <c r="C2047">
        <f>'906MP'!J1747</f>
        <v>0</v>
      </c>
      <c r="D2047">
        <f>'906MP'!P1747</f>
        <v>0</v>
      </c>
      <c r="E2047">
        <f>'906MP'!X1747</f>
        <v>0</v>
      </c>
      <c r="F2047" t="str">
        <f t="shared" si="599"/>
        <v>0</v>
      </c>
      <c r="G2047" t="str">
        <f t="shared" si="600"/>
        <v>0</v>
      </c>
      <c r="H2047">
        <f>'906MP'!Y1747</f>
        <v>0</v>
      </c>
      <c r="I2047">
        <f>'906MP'!AK1747</f>
        <v>0</v>
      </c>
      <c r="J2047">
        <f>'906MP'!T1747</f>
        <v>0</v>
      </c>
      <c r="K2047">
        <f>'906MP'!AJ1747</f>
        <v>0</v>
      </c>
      <c r="L2047">
        <f>'906MP'!U1747</f>
        <v>0</v>
      </c>
      <c r="M2047" s="322" t="str">
        <f>IFERROR(VLOOKUP(A2047,PAR!$D$3:$E$53,2,FALSE),"nincs szervezet")</f>
        <v>nincs szervezet</v>
      </c>
      <c r="N2047" s="322" t="str">
        <f>VLOOKUP(F2047,PAR!$R$3:$S$5,2,FALSE)</f>
        <v>3 - egyik sem</v>
      </c>
      <c r="O2047" t="str">
        <f>IFERROR(VLOOKUP(J2047,PAR!$O$3:$P$5,2,FALSE),"nincs feladat")</f>
        <v>nincs feladat</v>
      </c>
      <c r="P2047" t="str">
        <f>IFERROR(VLOOKUP(G2047,PAR!$J$2:$M$19,4),"nincs rovat")</f>
        <v>nincs rovat</v>
      </c>
      <c r="Q2047" t="str">
        <f>IF(H2047&gt;0,VLOOKUP(H2047,PAR!$AA$3:$AC$187,3,FALSE),"nincs főkönyvi számla")</f>
        <v>nincs főkönyvi számla</v>
      </c>
      <c r="R2047" t="str">
        <f>IFERROR(VLOOKUP(K2047,PAR!$V$3:$X$438,3,FALSE),"000000 - Nincs COFOG")</f>
        <v>000000 - Nincs COFOG</v>
      </c>
      <c r="S2047">
        <f t="shared" si="601"/>
        <v>0</v>
      </c>
      <c r="T2047">
        <f t="shared" si="602"/>
        <v>0</v>
      </c>
      <c r="U2047" t="str">
        <f>IF('906MP'!J1747&gt;0,CONCATENATE('906MP'!J1747," - ",'906MP'!P1747,", ",'906MP'!E1747),"nincs megjegyzés")</f>
        <v>nincs megjegyzés</v>
      </c>
      <c r="V2047" t="str">
        <f t="shared" si="589"/>
        <v>0P0</v>
      </c>
      <c r="W2047" t="str">
        <f t="shared" si="590"/>
        <v>0P0</v>
      </c>
      <c r="X2047" t="str">
        <f t="shared" si="591"/>
        <v>P0</v>
      </c>
      <c r="Y2047" t="str">
        <f t="shared" si="592"/>
        <v>00</v>
      </c>
      <c r="Z2047" t="str">
        <f t="shared" si="603"/>
        <v>00</v>
      </c>
      <c r="AA2047" t="str">
        <f t="shared" si="593"/>
        <v>00</v>
      </c>
      <c r="AB2047" t="str">
        <f t="shared" si="594"/>
        <v>00</v>
      </c>
      <c r="AC2047" t="str">
        <f t="shared" si="595"/>
        <v>0P0</v>
      </c>
      <c r="AD2047" t="str">
        <f t="shared" si="596"/>
        <v>P00</v>
      </c>
      <c r="AE2047" t="str">
        <f t="shared" si="597"/>
        <v>0P0</v>
      </c>
      <c r="AF2047" t="str">
        <f t="shared" si="598"/>
        <v>P00</v>
      </c>
      <c r="AG2047" t="str">
        <f t="shared" si="604"/>
        <v>0P00</v>
      </c>
      <c r="AH2047" t="str">
        <f t="shared" si="605"/>
        <v>P000</v>
      </c>
      <c r="AI2047" t="str">
        <f t="shared" si="606"/>
        <v>0P00</v>
      </c>
      <c r="AJ2047" t="str">
        <f t="shared" si="607"/>
        <v>P000</v>
      </c>
    </row>
    <row r="2048" spans="1:36" x14ac:dyDescent="0.25">
      <c r="A2048" s="325" t="str">
        <f>CONCATENATE("P",'906MP'!M1748)</f>
        <v>P</v>
      </c>
      <c r="B2048">
        <f>'906MP'!H1748</f>
        <v>0</v>
      </c>
      <c r="C2048">
        <f>'906MP'!J1748</f>
        <v>0</v>
      </c>
      <c r="D2048">
        <f>'906MP'!P1748</f>
        <v>0</v>
      </c>
      <c r="E2048">
        <f>'906MP'!X1748</f>
        <v>0</v>
      </c>
      <c r="F2048" t="str">
        <f t="shared" si="599"/>
        <v>0</v>
      </c>
      <c r="G2048" t="str">
        <f t="shared" si="600"/>
        <v>0</v>
      </c>
      <c r="H2048">
        <f>'906MP'!Y1748</f>
        <v>0</v>
      </c>
      <c r="I2048">
        <f>'906MP'!AK1748</f>
        <v>0</v>
      </c>
      <c r="J2048">
        <f>'906MP'!T1748</f>
        <v>0</v>
      </c>
      <c r="K2048">
        <f>'906MP'!AJ1748</f>
        <v>0</v>
      </c>
      <c r="L2048">
        <f>'906MP'!U1748</f>
        <v>0</v>
      </c>
      <c r="M2048" s="322" t="str">
        <f>IFERROR(VLOOKUP(A2048,PAR!$D$3:$E$53,2,FALSE),"nincs szervezet")</f>
        <v>nincs szervezet</v>
      </c>
      <c r="N2048" s="322" t="str">
        <f>VLOOKUP(F2048,PAR!$R$3:$S$5,2,FALSE)</f>
        <v>3 - egyik sem</v>
      </c>
      <c r="O2048" t="str">
        <f>IFERROR(VLOOKUP(J2048,PAR!$O$3:$P$5,2,FALSE),"nincs feladat")</f>
        <v>nincs feladat</v>
      </c>
      <c r="P2048" t="str">
        <f>IFERROR(VLOOKUP(G2048,PAR!$J$2:$M$19,4),"nincs rovat")</f>
        <v>nincs rovat</v>
      </c>
      <c r="Q2048" t="str">
        <f>IF(H2048&gt;0,VLOOKUP(H2048,PAR!$AA$3:$AC$187,3,FALSE),"nincs főkönyvi számla")</f>
        <v>nincs főkönyvi számla</v>
      </c>
      <c r="R2048" t="str">
        <f>IFERROR(VLOOKUP(K2048,PAR!$V$3:$X$438,3,FALSE),"000000 - Nincs COFOG")</f>
        <v>000000 - Nincs COFOG</v>
      </c>
      <c r="S2048">
        <f t="shared" si="601"/>
        <v>0</v>
      </c>
      <c r="T2048">
        <f t="shared" si="602"/>
        <v>0</v>
      </c>
      <c r="U2048" t="str">
        <f>IF('906MP'!J1748&gt;0,CONCATENATE('906MP'!J1748," - ",'906MP'!P1748,", ",'906MP'!E1748),"nincs megjegyzés")</f>
        <v>nincs megjegyzés</v>
      </c>
      <c r="V2048" t="str">
        <f t="shared" si="589"/>
        <v>0P0</v>
      </c>
      <c r="W2048" t="str">
        <f t="shared" si="590"/>
        <v>0P0</v>
      </c>
      <c r="X2048" t="str">
        <f t="shared" si="591"/>
        <v>P0</v>
      </c>
      <c r="Y2048" t="str">
        <f t="shared" si="592"/>
        <v>00</v>
      </c>
      <c r="Z2048" t="str">
        <f t="shared" si="603"/>
        <v>00</v>
      </c>
      <c r="AA2048" t="str">
        <f t="shared" si="593"/>
        <v>00</v>
      </c>
      <c r="AB2048" t="str">
        <f t="shared" si="594"/>
        <v>00</v>
      </c>
      <c r="AC2048" t="str">
        <f t="shared" si="595"/>
        <v>0P0</v>
      </c>
      <c r="AD2048" t="str">
        <f t="shared" si="596"/>
        <v>P00</v>
      </c>
      <c r="AE2048" t="str">
        <f t="shared" si="597"/>
        <v>0P0</v>
      </c>
      <c r="AF2048" t="str">
        <f t="shared" si="598"/>
        <v>P00</v>
      </c>
      <c r="AG2048" t="str">
        <f t="shared" si="604"/>
        <v>0P00</v>
      </c>
      <c r="AH2048" t="str">
        <f t="shared" si="605"/>
        <v>P000</v>
      </c>
      <c r="AI2048" t="str">
        <f t="shared" si="606"/>
        <v>0P00</v>
      </c>
      <c r="AJ2048" t="str">
        <f t="shared" si="607"/>
        <v>P000</v>
      </c>
    </row>
    <row r="2049" spans="1:36" x14ac:dyDescent="0.25">
      <c r="A2049" s="325" t="str">
        <f>CONCATENATE("P",'906MP'!M1749)</f>
        <v>P</v>
      </c>
      <c r="B2049">
        <f>'906MP'!H1749</f>
        <v>0</v>
      </c>
      <c r="C2049">
        <f>'906MP'!J1749</f>
        <v>0</v>
      </c>
      <c r="D2049">
        <f>'906MP'!P1749</f>
        <v>0</v>
      </c>
      <c r="E2049">
        <f>'906MP'!X1749</f>
        <v>0</v>
      </c>
      <c r="F2049" t="str">
        <f t="shared" si="599"/>
        <v>0</v>
      </c>
      <c r="G2049" t="str">
        <f t="shared" si="600"/>
        <v>0</v>
      </c>
      <c r="H2049">
        <f>'906MP'!Y1749</f>
        <v>0</v>
      </c>
      <c r="I2049">
        <f>'906MP'!AK1749</f>
        <v>0</v>
      </c>
      <c r="J2049">
        <f>'906MP'!T1749</f>
        <v>0</v>
      </c>
      <c r="K2049">
        <f>'906MP'!AJ1749</f>
        <v>0</v>
      </c>
      <c r="L2049">
        <f>'906MP'!U1749</f>
        <v>0</v>
      </c>
      <c r="M2049" s="322" t="str">
        <f>IFERROR(VLOOKUP(A2049,PAR!$D$3:$E$53,2,FALSE),"nincs szervezet")</f>
        <v>nincs szervezet</v>
      </c>
      <c r="N2049" s="322" t="str">
        <f>VLOOKUP(F2049,PAR!$R$3:$S$5,2,FALSE)</f>
        <v>3 - egyik sem</v>
      </c>
      <c r="O2049" t="str">
        <f>IFERROR(VLOOKUP(J2049,PAR!$O$3:$P$5,2,FALSE),"nincs feladat")</f>
        <v>nincs feladat</v>
      </c>
      <c r="P2049" t="str">
        <f>IFERROR(VLOOKUP(G2049,PAR!$J$2:$M$19,4),"nincs rovat")</f>
        <v>nincs rovat</v>
      </c>
      <c r="Q2049" t="str">
        <f>IF(H2049&gt;0,VLOOKUP(H2049,PAR!$AA$3:$AC$187,3,FALSE),"nincs főkönyvi számla")</f>
        <v>nincs főkönyvi számla</v>
      </c>
      <c r="R2049" t="str">
        <f>IFERROR(VLOOKUP(K2049,PAR!$V$3:$X$438,3,FALSE),"000000 - Nincs COFOG")</f>
        <v>000000 - Nincs COFOG</v>
      </c>
      <c r="S2049">
        <f t="shared" si="601"/>
        <v>0</v>
      </c>
      <c r="T2049">
        <f t="shared" si="602"/>
        <v>0</v>
      </c>
      <c r="U2049" t="str">
        <f>IF('906MP'!J1749&gt;0,CONCATENATE('906MP'!J1749," - ",'906MP'!P1749,", ",'906MP'!E1749),"nincs megjegyzés")</f>
        <v>nincs megjegyzés</v>
      </c>
      <c r="V2049" t="str">
        <f t="shared" si="589"/>
        <v>0P0</v>
      </c>
      <c r="W2049" t="str">
        <f t="shared" si="590"/>
        <v>0P0</v>
      </c>
      <c r="X2049" t="str">
        <f t="shared" si="591"/>
        <v>P0</v>
      </c>
      <c r="Y2049" t="str">
        <f t="shared" si="592"/>
        <v>00</v>
      </c>
      <c r="Z2049" t="str">
        <f t="shared" si="603"/>
        <v>00</v>
      </c>
      <c r="AA2049" t="str">
        <f t="shared" si="593"/>
        <v>00</v>
      </c>
      <c r="AB2049" t="str">
        <f t="shared" si="594"/>
        <v>00</v>
      </c>
      <c r="AC2049" t="str">
        <f t="shared" si="595"/>
        <v>0P0</v>
      </c>
      <c r="AD2049" t="str">
        <f t="shared" si="596"/>
        <v>P00</v>
      </c>
      <c r="AE2049" t="str">
        <f t="shared" si="597"/>
        <v>0P0</v>
      </c>
      <c r="AF2049" t="str">
        <f t="shared" si="598"/>
        <v>P00</v>
      </c>
      <c r="AG2049" t="str">
        <f t="shared" si="604"/>
        <v>0P00</v>
      </c>
      <c r="AH2049" t="str">
        <f t="shared" si="605"/>
        <v>P000</v>
      </c>
      <c r="AI2049" t="str">
        <f t="shared" si="606"/>
        <v>0P00</v>
      </c>
      <c r="AJ2049" t="str">
        <f t="shared" si="607"/>
        <v>P000</v>
      </c>
    </row>
    <row r="2050" spans="1:36" x14ac:dyDescent="0.25">
      <c r="A2050" s="325" t="str">
        <f>CONCATENATE("P",'906MP'!M1750)</f>
        <v>P</v>
      </c>
      <c r="B2050">
        <f>'906MP'!H1750</f>
        <v>0</v>
      </c>
      <c r="C2050">
        <f>'906MP'!J1750</f>
        <v>0</v>
      </c>
      <c r="D2050">
        <f>'906MP'!P1750</f>
        <v>0</v>
      </c>
      <c r="E2050">
        <f>'906MP'!X1750</f>
        <v>0</v>
      </c>
      <c r="F2050" t="str">
        <f t="shared" si="599"/>
        <v>0</v>
      </c>
      <c r="G2050" t="str">
        <f t="shared" si="600"/>
        <v>0</v>
      </c>
      <c r="H2050">
        <f>'906MP'!Y1750</f>
        <v>0</v>
      </c>
      <c r="I2050">
        <f>'906MP'!AK1750</f>
        <v>0</v>
      </c>
      <c r="J2050">
        <f>'906MP'!T1750</f>
        <v>0</v>
      </c>
      <c r="K2050">
        <f>'906MP'!AJ1750</f>
        <v>0</v>
      </c>
      <c r="L2050">
        <f>'906MP'!U1750</f>
        <v>0</v>
      </c>
      <c r="M2050" s="322" t="str">
        <f>IFERROR(VLOOKUP(A2050,PAR!$D$3:$E$53,2,FALSE),"nincs szervezet")</f>
        <v>nincs szervezet</v>
      </c>
      <c r="N2050" s="322" t="str">
        <f>VLOOKUP(F2050,PAR!$R$3:$S$5,2,FALSE)</f>
        <v>3 - egyik sem</v>
      </c>
      <c r="O2050" t="str">
        <f>IFERROR(VLOOKUP(J2050,PAR!$O$3:$P$5,2,FALSE),"nincs feladat")</f>
        <v>nincs feladat</v>
      </c>
      <c r="P2050" t="str">
        <f>IFERROR(VLOOKUP(G2050,PAR!$J$2:$M$19,4),"nincs rovat")</f>
        <v>nincs rovat</v>
      </c>
      <c r="Q2050" t="str">
        <f>IF(H2050&gt;0,VLOOKUP(H2050,PAR!$AA$3:$AC$187,3,FALSE),"nincs főkönyvi számla")</f>
        <v>nincs főkönyvi számla</v>
      </c>
      <c r="R2050" t="str">
        <f>IFERROR(VLOOKUP(K2050,PAR!$V$3:$X$438,3,FALSE),"000000 - Nincs COFOG")</f>
        <v>000000 - Nincs COFOG</v>
      </c>
      <c r="S2050">
        <f t="shared" si="601"/>
        <v>0</v>
      </c>
      <c r="T2050">
        <f t="shared" si="602"/>
        <v>0</v>
      </c>
      <c r="U2050" t="str">
        <f>IF('906MP'!J1750&gt;0,CONCATENATE('906MP'!J1750," - ",'906MP'!P1750,", ",'906MP'!E1750),"nincs megjegyzés")</f>
        <v>nincs megjegyzés</v>
      </c>
      <c r="V2050" t="str">
        <f t="shared" ref="V2050:V2113" si="608">CONCATENATE(B2050,A2050,G2050)</f>
        <v>0P0</v>
      </c>
      <c r="W2050" t="str">
        <f t="shared" ref="W2050:W2113" si="609">CONCATENATE(B2050,A2050,F2050)</f>
        <v>0P0</v>
      </c>
      <c r="X2050" t="str">
        <f t="shared" ref="X2050:X2113" si="610">CONCATENATE(A2050,H2050)</f>
        <v>P0</v>
      </c>
      <c r="Y2050" t="str">
        <f t="shared" ref="Y2050:Y2113" si="611">CONCATENATE(B2050,H2050)</f>
        <v>00</v>
      </c>
      <c r="Z2050" t="str">
        <f t="shared" si="603"/>
        <v>00</v>
      </c>
      <c r="AA2050" t="str">
        <f t="shared" ref="AA2050:AA2113" si="612">CONCATENATE(B2050,G2050)</f>
        <v>00</v>
      </c>
      <c r="AB2050" t="str">
        <f t="shared" ref="AB2050:AB2113" si="613">CONCATENATE(J2050,G2050)</f>
        <v>00</v>
      </c>
      <c r="AC2050" t="str">
        <f t="shared" ref="AC2050:AC2113" si="614">CONCATENATE(B2050,A2050,H2050)</f>
        <v>0P0</v>
      </c>
      <c r="AD2050" t="str">
        <f t="shared" ref="AD2050:AD2113" si="615">CONCATENATE(A2050,H2050,J2050)</f>
        <v>P00</v>
      </c>
      <c r="AE2050" t="str">
        <f t="shared" ref="AE2050:AE2113" si="616">CONCATENATE(B2050,A2050,G2050)</f>
        <v>0P0</v>
      </c>
      <c r="AF2050" t="str">
        <f t="shared" ref="AF2050:AF2113" si="617">CONCATENATE(A2050,G2050,J2050)</f>
        <v>P00</v>
      </c>
      <c r="AG2050" t="str">
        <f t="shared" si="604"/>
        <v>0P00</v>
      </c>
      <c r="AH2050" t="str">
        <f t="shared" si="605"/>
        <v>P000</v>
      </c>
      <c r="AI2050" t="str">
        <f t="shared" si="606"/>
        <v>0P00</v>
      </c>
      <c r="AJ2050" t="str">
        <f t="shared" si="607"/>
        <v>P000</v>
      </c>
    </row>
    <row r="2051" spans="1:36" x14ac:dyDescent="0.25">
      <c r="A2051" s="325" t="str">
        <f>CONCATENATE("P",'906MP'!M1751)</f>
        <v>P</v>
      </c>
      <c r="B2051">
        <f>'906MP'!H1751</f>
        <v>0</v>
      </c>
      <c r="C2051">
        <f>'906MP'!J1751</f>
        <v>0</v>
      </c>
      <c r="D2051">
        <f>'906MP'!P1751</f>
        <v>0</v>
      </c>
      <c r="E2051">
        <f>'906MP'!X1751</f>
        <v>0</v>
      </c>
      <c r="F2051" t="str">
        <f t="shared" ref="F2051:F2114" si="618">LEFT(G2051,2)</f>
        <v>0</v>
      </c>
      <c r="G2051" t="str">
        <f t="shared" ref="G2051:G2114" si="619">LEFT(H2051,3)</f>
        <v>0</v>
      </c>
      <c r="H2051">
        <f>'906MP'!Y1751</f>
        <v>0</v>
      </c>
      <c r="I2051">
        <f>'906MP'!AK1751</f>
        <v>0</v>
      </c>
      <c r="J2051">
        <f>'906MP'!T1751</f>
        <v>0</v>
      </c>
      <c r="K2051">
        <f>'906MP'!AJ1751</f>
        <v>0</v>
      </c>
      <c r="L2051">
        <f>'906MP'!U1751</f>
        <v>0</v>
      </c>
      <c r="M2051" s="322" t="str">
        <f>IFERROR(VLOOKUP(A2051,PAR!$D$3:$E$53,2,FALSE),"nincs szervezet")</f>
        <v>nincs szervezet</v>
      </c>
      <c r="N2051" s="322" t="str">
        <f>VLOOKUP(F2051,PAR!$R$3:$S$5,2,FALSE)</f>
        <v>3 - egyik sem</v>
      </c>
      <c r="O2051" t="str">
        <f>IFERROR(VLOOKUP(J2051,PAR!$O$3:$P$5,2,FALSE),"nincs feladat")</f>
        <v>nincs feladat</v>
      </c>
      <c r="P2051" t="str">
        <f>IFERROR(VLOOKUP(G2051,PAR!$J$2:$M$19,4),"nincs rovat")</f>
        <v>nincs rovat</v>
      </c>
      <c r="Q2051" t="str">
        <f>IF(H2051&gt;0,VLOOKUP(H2051,PAR!$AA$3:$AC$187,3,FALSE),"nincs főkönyvi számla")</f>
        <v>nincs főkönyvi számla</v>
      </c>
      <c r="R2051" t="str">
        <f>IFERROR(VLOOKUP(K2051,PAR!$V$3:$X$438,3,FALSE),"000000 - Nincs COFOG")</f>
        <v>000000 - Nincs COFOG</v>
      </c>
      <c r="S2051">
        <f t="shared" ref="S2051:S2114" si="620">E2051</f>
        <v>0</v>
      </c>
      <c r="T2051">
        <f t="shared" ref="T2051:T2114" si="621">IF(F2051="09",E2051*-1,E2051)</f>
        <v>0</v>
      </c>
      <c r="U2051" t="str">
        <f>IF('906MP'!J1751&gt;0,CONCATENATE('906MP'!J1751," - ",'906MP'!P1751,", ",'906MP'!E1751),"nincs megjegyzés")</f>
        <v>nincs megjegyzés</v>
      </c>
      <c r="V2051" t="str">
        <f t="shared" si="608"/>
        <v>0P0</v>
      </c>
      <c r="W2051" t="str">
        <f t="shared" si="609"/>
        <v>0P0</v>
      </c>
      <c r="X2051" t="str">
        <f t="shared" si="610"/>
        <v>P0</v>
      </c>
      <c r="Y2051" t="str">
        <f t="shared" si="611"/>
        <v>00</v>
      </c>
      <c r="Z2051" t="str">
        <f t="shared" ref="Z2051:Z2114" si="622">CONCATENATE(J2051,H2051)</f>
        <v>00</v>
      </c>
      <c r="AA2051" t="str">
        <f t="shared" si="612"/>
        <v>00</v>
      </c>
      <c r="AB2051" t="str">
        <f t="shared" si="613"/>
        <v>00</v>
      </c>
      <c r="AC2051" t="str">
        <f t="shared" si="614"/>
        <v>0P0</v>
      </c>
      <c r="AD2051" t="str">
        <f t="shared" si="615"/>
        <v>P00</v>
      </c>
      <c r="AE2051" t="str">
        <f t="shared" si="616"/>
        <v>0P0</v>
      </c>
      <c r="AF2051" t="str">
        <f t="shared" si="617"/>
        <v>P00</v>
      </c>
      <c r="AG2051" t="str">
        <f t="shared" ref="AG2051:AG2114" si="623">CONCATENATE(B2051,A2051,H2051,L2051)</f>
        <v>0P00</v>
      </c>
      <c r="AH2051" t="str">
        <f t="shared" ref="AH2051:AH2114" si="624">CONCATENATE(A2051,J2051,H2051,L2051)</f>
        <v>P000</v>
      </c>
      <c r="AI2051" t="str">
        <f t="shared" ref="AI2051:AI2114" si="625">CONCATENATE(B2051,A2051,G2051,L2051)</f>
        <v>0P00</v>
      </c>
      <c r="AJ2051" t="str">
        <f t="shared" ref="AJ2051:AJ2114" si="626">CONCATENATE(A2051,G2051,J2051,L2051)</f>
        <v>P000</v>
      </c>
    </row>
    <row r="2052" spans="1:36" x14ac:dyDescent="0.25">
      <c r="A2052" s="325" t="str">
        <f>CONCATENATE("P",'906MP'!M1752)</f>
        <v>P</v>
      </c>
      <c r="B2052">
        <f>'906MP'!H1752</f>
        <v>0</v>
      </c>
      <c r="C2052">
        <f>'906MP'!J1752</f>
        <v>0</v>
      </c>
      <c r="D2052">
        <f>'906MP'!P1752</f>
        <v>0</v>
      </c>
      <c r="E2052">
        <f>'906MP'!X1752</f>
        <v>0</v>
      </c>
      <c r="F2052" t="str">
        <f t="shared" si="618"/>
        <v>0</v>
      </c>
      <c r="G2052" t="str">
        <f t="shared" si="619"/>
        <v>0</v>
      </c>
      <c r="H2052">
        <f>'906MP'!Y1752</f>
        <v>0</v>
      </c>
      <c r="I2052">
        <f>'906MP'!AK1752</f>
        <v>0</v>
      </c>
      <c r="J2052">
        <f>'906MP'!T1752</f>
        <v>0</v>
      </c>
      <c r="K2052">
        <f>'906MP'!AJ1752</f>
        <v>0</v>
      </c>
      <c r="L2052">
        <f>'906MP'!U1752</f>
        <v>0</v>
      </c>
      <c r="M2052" s="322" t="str">
        <f>IFERROR(VLOOKUP(A2052,PAR!$D$3:$E$53,2,FALSE),"nincs szervezet")</f>
        <v>nincs szervezet</v>
      </c>
      <c r="N2052" s="322" t="str">
        <f>VLOOKUP(F2052,PAR!$R$3:$S$5,2,FALSE)</f>
        <v>3 - egyik sem</v>
      </c>
      <c r="O2052" t="str">
        <f>IFERROR(VLOOKUP(J2052,PAR!$O$3:$P$5,2,FALSE),"nincs feladat")</f>
        <v>nincs feladat</v>
      </c>
      <c r="P2052" t="str">
        <f>IFERROR(VLOOKUP(G2052,PAR!$J$2:$M$19,4),"nincs rovat")</f>
        <v>nincs rovat</v>
      </c>
      <c r="Q2052" t="str">
        <f>IF(H2052&gt;0,VLOOKUP(H2052,PAR!$AA$3:$AC$187,3,FALSE),"nincs főkönyvi számla")</f>
        <v>nincs főkönyvi számla</v>
      </c>
      <c r="R2052" t="str">
        <f>IFERROR(VLOOKUP(K2052,PAR!$V$3:$X$438,3,FALSE),"000000 - Nincs COFOG")</f>
        <v>000000 - Nincs COFOG</v>
      </c>
      <c r="S2052">
        <f t="shared" si="620"/>
        <v>0</v>
      </c>
      <c r="T2052">
        <f t="shared" si="621"/>
        <v>0</v>
      </c>
      <c r="U2052" t="str">
        <f>IF('906MP'!J1752&gt;0,CONCATENATE('906MP'!J1752," - ",'906MP'!P1752,", ",'906MP'!E1752),"nincs megjegyzés")</f>
        <v>nincs megjegyzés</v>
      </c>
      <c r="V2052" t="str">
        <f t="shared" si="608"/>
        <v>0P0</v>
      </c>
      <c r="W2052" t="str">
        <f t="shared" si="609"/>
        <v>0P0</v>
      </c>
      <c r="X2052" t="str">
        <f t="shared" si="610"/>
        <v>P0</v>
      </c>
      <c r="Y2052" t="str">
        <f t="shared" si="611"/>
        <v>00</v>
      </c>
      <c r="Z2052" t="str">
        <f t="shared" si="622"/>
        <v>00</v>
      </c>
      <c r="AA2052" t="str">
        <f t="shared" si="612"/>
        <v>00</v>
      </c>
      <c r="AB2052" t="str">
        <f t="shared" si="613"/>
        <v>00</v>
      </c>
      <c r="AC2052" t="str">
        <f t="shared" si="614"/>
        <v>0P0</v>
      </c>
      <c r="AD2052" t="str">
        <f t="shared" si="615"/>
        <v>P00</v>
      </c>
      <c r="AE2052" t="str">
        <f t="shared" si="616"/>
        <v>0P0</v>
      </c>
      <c r="AF2052" t="str">
        <f t="shared" si="617"/>
        <v>P00</v>
      </c>
      <c r="AG2052" t="str">
        <f t="shared" si="623"/>
        <v>0P00</v>
      </c>
      <c r="AH2052" t="str">
        <f t="shared" si="624"/>
        <v>P000</v>
      </c>
      <c r="AI2052" t="str">
        <f t="shared" si="625"/>
        <v>0P00</v>
      </c>
      <c r="AJ2052" t="str">
        <f t="shared" si="626"/>
        <v>P000</v>
      </c>
    </row>
    <row r="2053" spans="1:36" x14ac:dyDescent="0.25">
      <c r="A2053" s="325" t="str">
        <f>CONCATENATE("P",'906MP'!M1753)</f>
        <v>P</v>
      </c>
      <c r="B2053">
        <f>'906MP'!H1753</f>
        <v>0</v>
      </c>
      <c r="C2053">
        <f>'906MP'!J1753</f>
        <v>0</v>
      </c>
      <c r="D2053">
        <f>'906MP'!P1753</f>
        <v>0</v>
      </c>
      <c r="E2053">
        <f>'906MP'!X1753</f>
        <v>0</v>
      </c>
      <c r="F2053" t="str">
        <f t="shared" si="618"/>
        <v>0</v>
      </c>
      <c r="G2053" t="str">
        <f t="shared" si="619"/>
        <v>0</v>
      </c>
      <c r="H2053">
        <f>'906MP'!Y1753</f>
        <v>0</v>
      </c>
      <c r="I2053">
        <f>'906MP'!AK1753</f>
        <v>0</v>
      </c>
      <c r="J2053">
        <f>'906MP'!T1753</f>
        <v>0</v>
      </c>
      <c r="K2053">
        <f>'906MP'!AJ1753</f>
        <v>0</v>
      </c>
      <c r="L2053">
        <f>'906MP'!U1753</f>
        <v>0</v>
      </c>
      <c r="M2053" s="322" t="str">
        <f>IFERROR(VLOOKUP(A2053,PAR!$D$3:$E$53,2,FALSE),"nincs szervezet")</f>
        <v>nincs szervezet</v>
      </c>
      <c r="N2053" s="322" t="str">
        <f>VLOOKUP(F2053,PAR!$R$3:$S$5,2,FALSE)</f>
        <v>3 - egyik sem</v>
      </c>
      <c r="O2053" t="str">
        <f>IFERROR(VLOOKUP(J2053,PAR!$O$3:$P$5,2,FALSE),"nincs feladat")</f>
        <v>nincs feladat</v>
      </c>
      <c r="P2053" t="str">
        <f>IFERROR(VLOOKUP(G2053,PAR!$J$2:$M$19,4),"nincs rovat")</f>
        <v>nincs rovat</v>
      </c>
      <c r="Q2053" t="str">
        <f>IF(H2053&gt;0,VLOOKUP(H2053,PAR!$AA$3:$AC$187,3,FALSE),"nincs főkönyvi számla")</f>
        <v>nincs főkönyvi számla</v>
      </c>
      <c r="R2053" t="str">
        <f>IFERROR(VLOOKUP(K2053,PAR!$V$3:$X$438,3,FALSE),"000000 - Nincs COFOG")</f>
        <v>000000 - Nincs COFOG</v>
      </c>
      <c r="S2053">
        <f t="shared" si="620"/>
        <v>0</v>
      </c>
      <c r="T2053">
        <f t="shared" si="621"/>
        <v>0</v>
      </c>
      <c r="U2053" t="str">
        <f>IF('906MP'!J1753&gt;0,CONCATENATE('906MP'!J1753," - ",'906MP'!P1753,", ",'906MP'!E1753),"nincs megjegyzés")</f>
        <v>nincs megjegyzés</v>
      </c>
      <c r="V2053" t="str">
        <f t="shared" si="608"/>
        <v>0P0</v>
      </c>
      <c r="W2053" t="str">
        <f t="shared" si="609"/>
        <v>0P0</v>
      </c>
      <c r="X2053" t="str">
        <f t="shared" si="610"/>
        <v>P0</v>
      </c>
      <c r="Y2053" t="str">
        <f t="shared" si="611"/>
        <v>00</v>
      </c>
      <c r="Z2053" t="str">
        <f t="shared" si="622"/>
        <v>00</v>
      </c>
      <c r="AA2053" t="str">
        <f t="shared" si="612"/>
        <v>00</v>
      </c>
      <c r="AB2053" t="str">
        <f t="shared" si="613"/>
        <v>00</v>
      </c>
      <c r="AC2053" t="str">
        <f t="shared" si="614"/>
        <v>0P0</v>
      </c>
      <c r="AD2053" t="str">
        <f t="shared" si="615"/>
        <v>P00</v>
      </c>
      <c r="AE2053" t="str">
        <f t="shared" si="616"/>
        <v>0P0</v>
      </c>
      <c r="AF2053" t="str">
        <f t="shared" si="617"/>
        <v>P00</v>
      </c>
      <c r="AG2053" t="str">
        <f t="shared" si="623"/>
        <v>0P00</v>
      </c>
      <c r="AH2053" t="str">
        <f t="shared" si="624"/>
        <v>P000</v>
      </c>
      <c r="AI2053" t="str">
        <f t="shared" si="625"/>
        <v>0P00</v>
      </c>
      <c r="AJ2053" t="str">
        <f t="shared" si="626"/>
        <v>P000</v>
      </c>
    </row>
    <row r="2054" spans="1:36" x14ac:dyDescent="0.25">
      <c r="A2054" s="325" t="str">
        <f>CONCATENATE("P",'906MP'!M1754)</f>
        <v>P</v>
      </c>
      <c r="B2054">
        <f>'906MP'!H1754</f>
        <v>0</v>
      </c>
      <c r="C2054">
        <f>'906MP'!J1754</f>
        <v>0</v>
      </c>
      <c r="D2054">
        <f>'906MP'!P1754</f>
        <v>0</v>
      </c>
      <c r="E2054">
        <f>'906MP'!X1754</f>
        <v>0</v>
      </c>
      <c r="F2054" t="str">
        <f t="shared" si="618"/>
        <v>0</v>
      </c>
      <c r="G2054" t="str">
        <f t="shared" si="619"/>
        <v>0</v>
      </c>
      <c r="H2054">
        <f>'906MP'!Y1754</f>
        <v>0</v>
      </c>
      <c r="I2054">
        <f>'906MP'!AK1754</f>
        <v>0</v>
      </c>
      <c r="J2054">
        <f>'906MP'!T1754</f>
        <v>0</v>
      </c>
      <c r="K2054">
        <f>'906MP'!AJ1754</f>
        <v>0</v>
      </c>
      <c r="L2054">
        <f>'906MP'!U1754</f>
        <v>0</v>
      </c>
      <c r="M2054" s="322" t="str">
        <f>IFERROR(VLOOKUP(A2054,PAR!$D$3:$E$53,2,FALSE),"nincs szervezet")</f>
        <v>nincs szervezet</v>
      </c>
      <c r="N2054" s="322" t="str">
        <f>VLOOKUP(F2054,PAR!$R$3:$S$5,2,FALSE)</f>
        <v>3 - egyik sem</v>
      </c>
      <c r="O2054" t="str">
        <f>IFERROR(VLOOKUP(J2054,PAR!$O$3:$P$5,2,FALSE),"nincs feladat")</f>
        <v>nincs feladat</v>
      </c>
      <c r="P2054" t="str">
        <f>IFERROR(VLOOKUP(G2054,PAR!$J$2:$M$19,4),"nincs rovat")</f>
        <v>nincs rovat</v>
      </c>
      <c r="Q2054" t="str">
        <f>IF(H2054&gt;0,VLOOKUP(H2054,PAR!$AA$3:$AC$187,3,FALSE),"nincs főkönyvi számla")</f>
        <v>nincs főkönyvi számla</v>
      </c>
      <c r="R2054" t="str">
        <f>IFERROR(VLOOKUP(K2054,PAR!$V$3:$X$438,3,FALSE),"000000 - Nincs COFOG")</f>
        <v>000000 - Nincs COFOG</v>
      </c>
      <c r="S2054">
        <f t="shared" si="620"/>
        <v>0</v>
      </c>
      <c r="T2054">
        <f t="shared" si="621"/>
        <v>0</v>
      </c>
      <c r="U2054" t="str">
        <f>IF('906MP'!J1754&gt;0,CONCATENATE('906MP'!J1754," - ",'906MP'!P1754,", ",'906MP'!E1754),"nincs megjegyzés")</f>
        <v>nincs megjegyzés</v>
      </c>
      <c r="V2054" t="str">
        <f t="shared" si="608"/>
        <v>0P0</v>
      </c>
      <c r="W2054" t="str">
        <f t="shared" si="609"/>
        <v>0P0</v>
      </c>
      <c r="X2054" t="str">
        <f t="shared" si="610"/>
        <v>P0</v>
      </c>
      <c r="Y2054" t="str">
        <f t="shared" si="611"/>
        <v>00</v>
      </c>
      <c r="Z2054" t="str">
        <f t="shared" si="622"/>
        <v>00</v>
      </c>
      <c r="AA2054" t="str">
        <f t="shared" si="612"/>
        <v>00</v>
      </c>
      <c r="AB2054" t="str">
        <f t="shared" si="613"/>
        <v>00</v>
      </c>
      <c r="AC2054" t="str">
        <f t="shared" si="614"/>
        <v>0P0</v>
      </c>
      <c r="AD2054" t="str">
        <f t="shared" si="615"/>
        <v>P00</v>
      </c>
      <c r="AE2054" t="str">
        <f t="shared" si="616"/>
        <v>0P0</v>
      </c>
      <c r="AF2054" t="str">
        <f t="shared" si="617"/>
        <v>P00</v>
      </c>
      <c r="AG2054" t="str">
        <f t="shared" si="623"/>
        <v>0P00</v>
      </c>
      <c r="AH2054" t="str">
        <f t="shared" si="624"/>
        <v>P000</v>
      </c>
      <c r="AI2054" t="str">
        <f t="shared" si="625"/>
        <v>0P00</v>
      </c>
      <c r="AJ2054" t="str">
        <f t="shared" si="626"/>
        <v>P000</v>
      </c>
    </row>
    <row r="2055" spans="1:36" x14ac:dyDescent="0.25">
      <c r="A2055" s="325" t="str">
        <f>CONCATENATE("P",'906MP'!M1755)</f>
        <v>P</v>
      </c>
      <c r="B2055">
        <f>'906MP'!H1755</f>
        <v>0</v>
      </c>
      <c r="C2055">
        <f>'906MP'!J1755</f>
        <v>0</v>
      </c>
      <c r="D2055">
        <f>'906MP'!P1755</f>
        <v>0</v>
      </c>
      <c r="E2055">
        <f>'906MP'!X1755</f>
        <v>0</v>
      </c>
      <c r="F2055" t="str">
        <f t="shared" si="618"/>
        <v>0</v>
      </c>
      <c r="G2055" t="str">
        <f t="shared" si="619"/>
        <v>0</v>
      </c>
      <c r="H2055">
        <f>'906MP'!Y1755</f>
        <v>0</v>
      </c>
      <c r="I2055">
        <f>'906MP'!AK1755</f>
        <v>0</v>
      </c>
      <c r="J2055">
        <f>'906MP'!T1755</f>
        <v>0</v>
      </c>
      <c r="K2055">
        <f>'906MP'!AJ1755</f>
        <v>0</v>
      </c>
      <c r="L2055">
        <f>'906MP'!U1755</f>
        <v>0</v>
      </c>
      <c r="M2055" s="322" t="str">
        <f>IFERROR(VLOOKUP(A2055,PAR!$D$3:$E$53,2,FALSE),"nincs szervezet")</f>
        <v>nincs szervezet</v>
      </c>
      <c r="N2055" s="322" t="str">
        <f>VLOOKUP(F2055,PAR!$R$3:$S$5,2,FALSE)</f>
        <v>3 - egyik sem</v>
      </c>
      <c r="O2055" t="str">
        <f>IFERROR(VLOOKUP(J2055,PAR!$O$3:$P$5,2,FALSE),"nincs feladat")</f>
        <v>nincs feladat</v>
      </c>
      <c r="P2055" t="str">
        <f>IFERROR(VLOOKUP(G2055,PAR!$J$2:$M$19,4),"nincs rovat")</f>
        <v>nincs rovat</v>
      </c>
      <c r="Q2055" t="str">
        <f>IF(H2055&gt;0,VLOOKUP(H2055,PAR!$AA$3:$AC$187,3,FALSE),"nincs főkönyvi számla")</f>
        <v>nincs főkönyvi számla</v>
      </c>
      <c r="R2055" t="str">
        <f>IFERROR(VLOOKUP(K2055,PAR!$V$3:$X$438,3,FALSE),"000000 - Nincs COFOG")</f>
        <v>000000 - Nincs COFOG</v>
      </c>
      <c r="S2055">
        <f t="shared" si="620"/>
        <v>0</v>
      </c>
      <c r="T2055">
        <f t="shared" si="621"/>
        <v>0</v>
      </c>
      <c r="U2055" t="str">
        <f>IF('906MP'!J1755&gt;0,CONCATENATE('906MP'!J1755," - ",'906MP'!P1755,", ",'906MP'!E1755),"nincs megjegyzés")</f>
        <v>nincs megjegyzés</v>
      </c>
      <c r="V2055" t="str">
        <f t="shared" si="608"/>
        <v>0P0</v>
      </c>
      <c r="W2055" t="str">
        <f t="shared" si="609"/>
        <v>0P0</v>
      </c>
      <c r="X2055" t="str">
        <f t="shared" si="610"/>
        <v>P0</v>
      </c>
      <c r="Y2055" t="str">
        <f t="shared" si="611"/>
        <v>00</v>
      </c>
      <c r="Z2055" t="str">
        <f t="shared" si="622"/>
        <v>00</v>
      </c>
      <c r="AA2055" t="str">
        <f t="shared" si="612"/>
        <v>00</v>
      </c>
      <c r="AB2055" t="str">
        <f t="shared" si="613"/>
        <v>00</v>
      </c>
      <c r="AC2055" t="str">
        <f t="shared" si="614"/>
        <v>0P0</v>
      </c>
      <c r="AD2055" t="str">
        <f t="shared" si="615"/>
        <v>P00</v>
      </c>
      <c r="AE2055" t="str">
        <f t="shared" si="616"/>
        <v>0P0</v>
      </c>
      <c r="AF2055" t="str">
        <f t="shared" si="617"/>
        <v>P00</v>
      </c>
      <c r="AG2055" t="str">
        <f t="shared" si="623"/>
        <v>0P00</v>
      </c>
      <c r="AH2055" t="str">
        <f t="shared" si="624"/>
        <v>P000</v>
      </c>
      <c r="AI2055" t="str">
        <f t="shared" si="625"/>
        <v>0P00</v>
      </c>
      <c r="AJ2055" t="str">
        <f t="shared" si="626"/>
        <v>P000</v>
      </c>
    </row>
    <row r="2056" spans="1:36" x14ac:dyDescent="0.25">
      <c r="A2056" s="325" t="str">
        <f>CONCATENATE("P",'906MP'!M1756)</f>
        <v>P</v>
      </c>
      <c r="B2056">
        <f>'906MP'!H1756</f>
        <v>0</v>
      </c>
      <c r="C2056">
        <f>'906MP'!J1756</f>
        <v>0</v>
      </c>
      <c r="D2056">
        <f>'906MP'!P1756</f>
        <v>0</v>
      </c>
      <c r="E2056">
        <f>'906MP'!X1756</f>
        <v>0</v>
      </c>
      <c r="F2056" t="str">
        <f t="shared" si="618"/>
        <v>0</v>
      </c>
      <c r="G2056" t="str">
        <f t="shared" si="619"/>
        <v>0</v>
      </c>
      <c r="H2056">
        <f>'906MP'!Y1756</f>
        <v>0</v>
      </c>
      <c r="I2056">
        <f>'906MP'!AK1756</f>
        <v>0</v>
      </c>
      <c r="J2056">
        <f>'906MP'!T1756</f>
        <v>0</v>
      </c>
      <c r="K2056">
        <f>'906MP'!AJ1756</f>
        <v>0</v>
      </c>
      <c r="L2056">
        <f>'906MP'!U1756</f>
        <v>0</v>
      </c>
      <c r="M2056" s="322" t="str">
        <f>IFERROR(VLOOKUP(A2056,PAR!$D$3:$E$53,2,FALSE),"nincs szervezet")</f>
        <v>nincs szervezet</v>
      </c>
      <c r="N2056" s="322" t="str">
        <f>VLOOKUP(F2056,PAR!$R$3:$S$5,2,FALSE)</f>
        <v>3 - egyik sem</v>
      </c>
      <c r="O2056" t="str">
        <f>IFERROR(VLOOKUP(J2056,PAR!$O$3:$P$5,2,FALSE),"nincs feladat")</f>
        <v>nincs feladat</v>
      </c>
      <c r="P2056" t="str">
        <f>IFERROR(VLOOKUP(G2056,PAR!$J$2:$M$19,4),"nincs rovat")</f>
        <v>nincs rovat</v>
      </c>
      <c r="Q2056" t="str">
        <f>IF(H2056&gt;0,VLOOKUP(H2056,PAR!$AA$3:$AC$187,3,FALSE),"nincs főkönyvi számla")</f>
        <v>nincs főkönyvi számla</v>
      </c>
      <c r="R2056" t="str">
        <f>IFERROR(VLOOKUP(K2056,PAR!$V$3:$X$438,3,FALSE),"000000 - Nincs COFOG")</f>
        <v>000000 - Nincs COFOG</v>
      </c>
      <c r="S2056">
        <f t="shared" si="620"/>
        <v>0</v>
      </c>
      <c r="T2056">
        <f t="shared" si="621"/>
        <v>0</v>
      </c>
      <c r="U2056" t="str">
        <f>IF('906MP'!J1756&gt;0,CONCATENATE('906MP'!J1756," - ",'906MP'!P1756,", ",'906MP'!E1756),"nincs megjegyzés")</f>
        <v>nincs megjegyzés</v>
      </c>
      <c r="V2056" t="str">
        <f t="shared" si="608"/>
        <v>0P0</v>
      </c>
      <c r="W2056" t="str">
        <f t="shared" si="609"/>
        <v>0P0</v>
      </c>
      <c r="X2056" t="str">
        <f t="shared" si="610"/>
        <v>P0</v>
      </c>
      <c r="Y2056" t="str">
        <f t="shared" si="611"/>
        <v>00</v>
      </c>
      <c r="Z2056" t="str">
        <f t="shared" si="622"/>
        <v>00</v>
      </c>
      <c r="AA2056" t="str">
        <f t="shared" si="612"/>
        <v>00</v>
      </c>
      <c r="AB2056" t="str">
        <f t="shared" si="613"/>
        <v>00</v>
      </c>
      <c r="AC2056" t="str">
        <f t="shared" si="614"/>
        <v>0P0</v>
      </c>
      <c r="AD2056" t="str">
        <f t="shared" si="615"/>
        <v>P00</v>
      </c>
      <c r="AE2056" t="str">
        <f t="shared" si="616"/>
        <v>0P0</v>
      </c>
      <c r="AF2056" t="str">
        <f t="shared" si="617"/>
        <v>P00</v>
      </c>
      <c r="AG2056" t="str">
        <f t="shared" si="623"/>
        <v>0P00</v>
      </c>
      <c r="AH2056" t="str">
        <f t="shared" si="624"/>
        <v>P000</v>
      </c>
      <c r="AI2056" t="str">
        <f t="shared" si="625"/>
        <v>0P00</v>
      </c>
      <c r="AJ2056" t="str">
        <f t="shared" si="626"/>
        <v>P000</v>
      </c>
    </row>
    <row r="2057" spans="1:36" x14ac:dyDescent="0.25">
      <c r="A2057" s="325" t="str">
        <f>CONCATENATE("P",'906MP'!M1757)</f>
        <v>P</v>
      </c>
      <c r="B2057">
        <f>'906MP'!H1757</f>
        <v>0</v>
      </c>
      <c r="C2057">
        <f>'906MP'!J1757</f>
        <v>0</v>
      </c>
      <c r="D2057">
        <f>'906MP'!P1757</f>
        <v>0</v>
      </c>
      <c r="E2057">
        <f>'906MP'!X1757</f>
        <v>0</v>
      </c>
      <c r="F2057" t="str">
        <f t="shared" si="618"/>
        <v>0</v>
      </c>
      <c r="G2057" t="str">
        <f t="shared" si="619"/>
        <v>0</v>
      </c>
      <c r="H2057">
        <f>'906MP'!Y1757</f>
        <v>0</v>
      </c>
      <c r="I2057">
        <f>'906MP'!AK1757</f>
        <v>0</v>
      </c>
      <c r="J2057">
        <f>'906MP'!T1757</f>
        <v>0</v>
      </c>
      <c r="K2057">
        <f>'906MP'!AJ1757</f>
        <v>0</v>
      </c>
      <c r="L2057">
        <f>'906MP'!U1757</f>
        <v>0</v>
      </c>
      <c r="M2057" s="322" t="str">
        <f>IFERROR(VLOOKUP(A2057,PAR!$D$3:$E$53,2,FALSE),"nincs szervezet")</f>
        <v>nincs szervezet</v>
      </c>
      <c r="N2057" s="322" t="str">
        <f>VLOOKUP(F2057,PAR!$R$3:$S$5,2,FALSE)</f>
        <v>3 - egyik sem</v>
      </c>
      <c r="O2057" t="str">
        <f>IFERROR(VLOOKUP(J2057,PAR!$O$3:$P$5,2,FALSE),"nincs feladat")</f>
        <v>nincs feladat</v>
      </c>
      <c r="P2057" t="str">
        <f>IFERROR(VLOOKUP(G2057,PAR!$J$2:$M$19,4),"nincs rovat")</f>
        <v>nincs rovat</v>
      </c>
      <c r="Q2057" t="str">
        <f>IF(H2057&gt;0,VLOOKUP(H2057,PAR!$AA$3:$AC$187,3,FALSE),"nincs főkönyvi számla")</f>
        <v>nincs főkönyvi számla</v>
      </c>
      <c r="R2057" t="str">
        <f>IFERROR(VLOOKUP(K2057,PAR!$V$3:$X$438,3,FALSE),"000000 - Nincs COFOG")</f>
        <v>000000 - Nincs COFOG</v>
      </c>
      <c r="S2057">
        <f t="shared" si="620"/>
        <v>0</v>
      </c>
      <c r="T2057">
        <f t="shared" si="621"/>
        <v>0</v>
      </c>
      <c r="U2057" t="str">
        <f>IF('906MP'!J1757&gt;0,CONCATENATE('906MP'!J1757," - ",'906MP'!P1757,", ",'906MP'!E1757),"nincs megjegyzés")</f>
        <v>nincs megjegyzés</v>
      </c>
      <c r="V2057" t="str">
        <f t="shared" si="608"/>
        <v>0P0</v>
      </c>
      <c r="W2057" t="str">
        <f t="shared" si="609"/>
        <v>0P0</v>
      </c>
      <c r="X2057" t="str">
        <f t="shared" si="610"/>
        <v>P0</v>
      </c>
      <c r="Y2057" t="str">
        <f t="shared" si="611"/>
        <v>00</v>
      </c>
      <c r="Z2057" t="str">
        <f t="shared" si="622"/>
        <v>00</v>
      </c>
      <c r="AA2057" t="str">
        <f t="shared" si="612"/>
        <v>00</v>
      </c>
      <c r="AB2057" t="str">
        <f t="shared" si="613"/>
        <v>00</v>
      </c>
      <c r="AC2057" t="str">
        <f t="shared" si="614"/>
        <v>0P0</v>
      </c>
      <c r="AD2057" t="str">
        <f t="shared" si="615"/>
        <v>P00</v>
      </c>
      <c r="AE2057" t="str">
        <f t="shared" si="616"/>
        <v>0P0</v>
      </c>
      <c r="AF2057" t="str">
        <f t="shared" si="617"/>
        <v>P00</v>
      </c>
      <c r="AG2057" t="str">
        <f t="shared" si="623"/>
        <v>0P00</v>
      </c>
      <c r="AH2057" t="str">
        <f t="shared" si="624"/>
        <v>P000</v>
      </c>
      <c r="AI2057" t="str">
        <f t="shared" si="625"/>
        <v>0P00</v>
      </c>
      <c r="AJ2057" t="str">
        <f t="shared" si="626"/>
        <v>P000</v>
      </c>
    </row>
    <row r="2058" spans="1:36" x14ac:dyDescent="0.25">
      <c r="A2058" s="325" t="str">
        <f>CONCATENATE("P",'906MP'!M1758)</f>
        <v>P</v>
      </c>
      <c r="B2058">
        <f>'906MP'!H1758</f>
        <v>0</v>
      </c>
      <c r="C2058">
        <f>'906MP'!J1758</f>
        <v>0</v>
      </c>
      <c r="D2058">
        <f>'906MP'!P1758</f>
        <v>0</v>
      </c>
      <c r="E2058">
        <f>'906MP'!X1758</f>
        <v>0</v>
      </c>
      <c r="F2058" t="str">
        <f t="shared" si="618"/>
        <v>0</v>
      </c>
      <c r="G2058" t="str">
        <f t="shared" si="619"/>
        <v>0</v>
      </c>
      <c r="H2058">
        <f>'906MP'!Y1758</f>
        <v>0</v>
      </c>
      <c r="I2058">
        <f>'906MP'!AK1758</f>
        <v>0</v>
      </c>
      <c r="J2058">
        <f>'906MP'!T1758</f>
        <v>0</v>
      </c>
      <c r="K2058">
        <f>'906MP'!AJ1758</f>
        <v>0</v>
      </c>
      <c r="L2058">
        <f>'906MP'!U1758</f>
        <v>0</v>
      </c>
      <c r="M2058" s="322" t="str">
        <f>IFERROR(VLOOKUP(A2058,PAR!$D$3:$E$53,2,FALSE),"nincs szervezet")</f>
        <v>nincs szervezet</v>
      </c>
      <c r="N2058" s="322" t="str">
        <f>VLOOKUP(F2058,PAR!$R$3:$S$5,2,FALSE)</f>
        <v>3 - egyik sem</v>
      </c>
      <c r="O2058" t="str">
        <f>IFERROR(VLOOKUP(J2058,PAR!$O$3:$P$5,2,FALSE),"nincs feladat")</f>
        <v>nincs feladat</v>
      </c>
      <c r="P2058" t="str">
        <f>IFERROR(VLOOKUP(G2058,PAR!$J$2:$M$19,4),"nincs rovat")</f>
        <v>nincs rovat</v>
      </c>
      <c r="Q2058" t="str">
        <f>IF(H2058&gt;0,VLOOKUP(H2058,PAR!$AA$3:$AC$187,3,FALSE),"nincs főkönyvi számla")</f>
        <v>nincs főkönyvi számla</v>
      </c>
      <c r="R2058" t="str">
        <f>IFERROR(VLOOKUP(K2058,PAR!$V$3:$X$438,3,FALSE),"000000 - Nincs COFOG")</f>
        <v>000000 - Nincs COFOG</v>
      </c>
      <c r="S2058">
        <f t="shared" si="620"/>
        <v>0</v>
      </c>
      <c r="T2058">
        <f t="shared" si="621"/>
        <v>0</v>
      </c>
      <c r="U2058" t="str">
        <f>IF('906MP'!J1758&gt;0,CONCATENATE('906MP'!J1758," - ",'906MP'!P1758,", ",'906MP'!E1758),"nincs megjegyzés")</f>
        <v>nincs megjegyzés</v>
      </c>
      <c r="V2058" t="str">
        <f t="shared" si="608"/>
        <v>0P0</v>
      </c>
      <c r="W2058" t="str">
        <f t="shared" si="609"/>
        <v>0P0</v>
      </c>
      <c r="X2058" t="str">
        <f t="shared" si="610"/>
        <v>P0</v>
      </c>
      <c r="Y2058" t="str">
        <f t="shared" si="611"/>
        <v>00</v>
      </c>
      <c r="Z2058" t="str">
        <f t="shared" si="622"/>
        <v>00</v>
      </c>
      <c r="AA2058" t="str">
        <f t="shared" si="612"/>
        <v>00</v>
      </c>
      <c r="AB2058" t="str">
        <f t="shared" si="613"/>
        <v>00</v>
      </c>
      <c r="AC2058" t="str">
        <f t="shared" si="614"/>
        <v>0P0</v>
      </c>
      <c r="AD2058" t="str">
        <f t="shared" si="615"/>
        <v>P00</v>
      </c>
      <c r="AE2058" t="str">
        <f t="shared" si="616"/>
        <v>0P0</v>
      </c>
      <c r="AF2058" t="str">
        <f t="shared" si="617"/>
        <v>P00</v>
      </c>
      <c r="AG2058" t="str">
        <f t="shared" si="623"/>
        <v>0P00</v>
      </c>
      <c r="AH2058" t="str">
        <f t="shared" si="624"/>
        <v>P000</v>
      </c>
      <c r="AI2058" t="str">
        <f t="shared" si="625"/>
        <v>0P00</v>
      </c>
      <c r="AJ2058" t="str">
        <f t="shared" si="626"/>
        <v>P000</v>
      </c>
    </row>
    <row r="2059" spans="1:36" x14ac:dyDescent="0.25">
      <c r="A2059" s="325" t="str">
        <f>CONCATENATE("P",'906MP'!M1759)</f>
        <v>P</v>
      </c>
      <c r="B2059">
        <f>'906MP'!H1759</f>
        <v>0</v>
      </c>
      <c r="C2059">
        <f>'906MP'!J1759</f>
        <v>0</v>
      </c>
      <c r="D2059">
        <f>'906MP'!P1759</f>
        <v>0</v>
      </c>
      <c r="E2059">
        <f>'906MP'!X1759</f>
        <v>0</v>
      </c>
      <c r="F2059" t="str">
        <f t="shared" si="618"/>
        <v>0</v>
      </c>
      <c r="G2059" t="str">
        <f t="shared" si="619"/>
        <v>0</v>
      </c>
      <c r="H2059">
        <f>'906MP'!Y1759</f>
        <v>0</v>
      </c>
      <c r="I2059">
        <f>'906MP'!AK1759</f>
        <v>0</v>
      </c>
      <c r="J2059">
        <f>'906MP'!T1759</f>
        <v>0</v>
      </c>
      <c r="K2059">
        <f>'906MP'!AJ1759</f>
        <v>0</v>
      </c>
      <c r="L2059">
        <f>'906MP'!U1759</f>
        <v>0</v>
      </c>
      <c r="M2059" s="322" t="str">
        <f>IFERROR(VLOOKUP(A2059,PAR!$D$3:$E$53,2,FALSE),"nincs szervezet")</f>
        <v>nincs szervezet</v>
      </c>
      <c r="N2059" s="322" t="str">
        <f>VLOOKUP(F2059,PAR!$R$3:$S$5,2,FALSE)</f>
        <v>3 - egyik sem</v>
      </c>
      <c r="O2059" t="str">
        <f>IFERROR(VLOOKUP(J2059,PAR!$O$3:$P$5,2,FALSE),"nincs feladat")</f>
        <v>nincs feladat</v>
      </c>
      <c r="P2059" t="str">
        <f>IFERROR(VLOOKUP(G2059,PAR!$J$2:$M$19,4),"nincs rovat")</f>
        <v>nincs rovat</v>
      </c>
      <c r="Q2059" t="str">
        <f>IF(H2059&gt;0,VLOOKUP(H2059,PAR!$AA$3:$AC$187,3,FALSE),"nincs főkönyvi számla")</f>
        <v>nincs főkönyvi számla</v>
      </c>
      <c r="R2059" t="str">
        <f>IFERROR(VLOOKUP(K2059,PAR!$V$3:$X$438,3,FALSE),"000000 - Nincs COFOG")</f>
        <v>000000 - Nincs COFOG</v>
      </c>
      <c r="S2059">
        <f t="shared" si="620"/>
        <v>0</v>
      </c>
      <c r="T2059">
        <f t="shared" si="621"/>
        <v>0</v>
      </c>
      <c r="U2059" t="str">
        <f>IF('906MP'!J1759&gt;0,CONCATENATE('906MP'!J1759," - ",'906MP'!P1759,", ",'906MP'!E1759),"nincs megjegyzés")</f>
        <v>nincs megjegyzés</v>
      </c>
      <c r="V2059" t="str">
        <f t="shared" si="608"/>
        <v>0P0</v>
      </c>
      <c r="W2059" t="str">
        <f t="shared" si="609"/>
        <v>0P0</v>
      </c>
      <c r="X2059" t="str">
        <f t="shared" si="610"/>
        <v>P0</v>
      </c>
      <c r="Y2059" t="str">
        <f t="shared" si="611"/>
        <v>00</v>
      </c>
      <c r="Z2059" t="str">
        <f t="shared" si="622"/>
        <v>00</v>
      </c>
      <c r="AA2059" t="str">
        <f t="shared" si="612"/>
        <v>00</v>
      </c>
      <c r="AB2059" t="str">
        <f t="shared" si="613"/>
        <v>00</v>
      </c>
      <c r="AC2059" t="str">
        <f t="shared" si="614"/>
        <v>0P0</v>
      </c>
      <c r="AD2059" t="str">
        <f t="shared" si="615"/>
        <v>P00</v>
      </c>
      <c r="AE2059" t="str">
        <f t="shared" si="616"/>
        <v>0P0</v>
      </c>
      <c r="AF2059" t="str">
        <f t="shared" si="617"/>
        <v>P00</v>
      </c>
      <c r="AG2059" t="str">
        <f t="shared" si="623"/>
        <v>0P00</v>
      </c>
      <c r="AH2059" t="str">
        <f t="shared" si="624"/>
        <v>P000</v>
      </c>
      <c r="AI2059" t="str">
        <f t="shared" si="625"/>
        <v>0P00</v>
      </c>
      <c r="AJ2059" t="str">
        <f t="shared" si="626"/>
        <v>P000</v>
      </c>
    </row>
    <row r="2060" spans="1:36" x14ac:dyDescent="0.25">
      <c r="A2060" s="325" t="str">
        <f>CONCATENATE("P",'906MP'!M1760)</f>
        <v>P</v>
      </c>
      <c r="B2060">
        <f>'906MP'!H1760</f>
        <v>0</v>
      </c>
      <c r="C2060">
        <f>'906MP'!J1760</f>
        <v>0</v>
      </c>
      <c r="D2060">
        <f>'906MP'!P1760</f>
        <v>0</v>
      </c>
      <c r="E2060">
        <f>'906MP'!X1760</f>
        <v>0</v>
      </c>
      <c r="F2060" t="str">
        <f t="shared" si="618"/>
        <v>0</v>
      </c>
      <c r="G2060" t="str">
        <f t="shared" si="619"/>
        <v>0</v>
      </c>
      <c r="H2060">
        <f>'906MP'!Y1760</f>
        <v>0</v>
      </c>
      <c r="I2060">
        <f>'906MP'!AK1760</f>
        <v>0</v>
      </c>
      <c r="J2060">
        <f>'906MP'!T1760</f>
        <v>0</v>
      </c>
      <c r="K2060">
        <f>'906MP'!AJ1760</f>
        <v>0</v>
      </c>
      <c r="L2060">
        <f>'906MP'!U1760</f>
        <v>0</v>
      </c>
      <c r="M2060" s="322" t="str">
        <f>IFERROR(VLOOKUP(A2060,PAR!$D$3:$E$53,2,FALSE),"nincs szervezet")</f>
        <v>nincs szervezet</v>
      </c>
      <c r="N2060" s="322" t="str">
        <f>VLOOKUP(F2060,PAR!$R$3:$S$5,2,FALSE)</f>
        <v>3 - egyik sem</v>
      </c>
      <c r="O2060" t="str">
        <f>IFERROR(VLOOKUP(J2060,PAR!$O$3:$P$5,2,FALSE),"nincs feladat")</f>
        <v>nincs feladat</v>
      </c>
      <c r="P2060" t="str">
        <f>IFERROR(VLOOKUP(G2060,PAR!$J$2:$M$19,4),"nincs rovat")</f>
        <v>nincs rovat</v>
      </c>
      <c r="Q2060" t="str">
        <f>IF(H2060&gt;0,VLOOKUP(H2060,PAR!$AA$3:$AC$187,3,FALSE),"nincs főkönyvi számla")</f>
        <v>nincs főkönyvi számla</v>
      </c>
      <c r="R2060" t="str">
        <f>IFERROR(VLOOKUP(K2060,PAR!$V$3:$X$438,3,FALSE),"000000 - Nincs COFOG")</f>
        <v>000000 - Nincs COFOG</v>
      </c>
      <c r="S2060">
        <f t="shared" si="620"/>
        <v>0</v>
      </c>
      <c r="T2060">
        <f t="shared" si="621"/>
        <v>0</v>
      </c>
      <c r="U2060" t="str">
        <f>IF('906MP'!J1760&gt;0,CONCATENATE('906MP'!J1760," - ",'906MP'!P1760,", ",'906MP'!E1760),"nincs megjegyzés")</f>
        <v>nincs megjegyzés</v>
      </c>
      <c r="V2060" t="str">
        <f t="shared" si="608"/>
        <v>0P0</v>
      </c>
      <c r="W2060" t="str">
        <f t="shared" si="609"/>
        <v>0P0</v>
      </c>
      <c r="X2060" t="str">
        <f t="shared" si="610"/>
        <v>P0</v>
      </c>
      <c r="Y2060" t="str">
        <f t="shared" si="611"/>
        <v>00</v>
      </c>
      <c r="Z2060" t="str">
        <f t="shared" si="622"/>
        <v>00</v>
      </c>
      <c r="AA2060" t="str">
        <f t="shared" si="612"/>
        <v>00</v>
      </c>
      <c r="AB2060" t="str">
        <f t="shared" si="613"/>
        <v>00</v>
      </c>
      <c r="AC2060" t="str">
        <f t="shared" si="614"/>
        <v>0P0</v>
      </c>
      <c r="AD2060" t="str">
        <f t="shared" si="615"/>
        <v>P00</v>
      </c>
      <c r="AE2060" t="str">
        <f t="shared" si="616"/>
        <v>0P0</v>
      </c>
      <c r="AF2060" t="str">
        <f t="shared" si="617"/>
        <v>P00</v>
      </c>
      <c r="AG2060" t="str">
        <f t="shared" si="623"/>
        <v>0P00</v>
      </c>
      <c r="AH2060" t="str">
        <f t="shared" si="624"/>
        <v>P000</v>
      </c>
      <c r="AI2060" t="str">
        <f t="shared" si="625"/>
        <v>0P00</v>
      </c>
      <c r="AJ2060" t="str">
        <f t="shared" si="626"/>
        <v>P000</v>
      </c>
    </row>
    <row r="2061" spans="1:36" x14ac:dyDescent="0.25">
      <c r="A2061" s="325" t="str">
        <f>CONCATENATE("P",'906MP'!M1761)</f>
        <v>P</v>
      </c>
      <c r="B2061">
        <f>'906MP'!H1761</f>
        <v>0</v>
      </c>
      <c r="C2061">
        <f>'906MP'!J1761</f>
        <v>0</v>
      </c>
      <c r="D2061">
        <f>'906MP'!P1761</f>
        <v>0</v>
      </c>
      <c r="E2061">
        <f>'906MP'!X1761</f>
        <v>0</v>
      </c>
      <c r="F2061" t="str">
        <f t="shared" si="618"/>
        <v>0</v>
      </c>
      <c r="G2061" t="str">
        <f t="shared" si="619"/>
        <v>0</v>
      </c>
      <c r="H2061">
        <f>'906MP'!Y1761</f>
        <v>0</v>
      </c>
      <c r="I2061">
        <f>'906MP'!AK1761</f>
        <v>0</v>
      </c>
      <c r="J2061">
        <f>'906MP'!T1761</f>
        <v>0</v>
      </c>
      <c r="K2061">
        <f>'906MP'!AJ1761</f>
        <v>0</v>
      </c>
      <c r="L2061">
        <f>'906MP'!U1761</f>
        <v>0</v>
      </c>
      <c r="M2061" s="322" t="str">
        <f>IFERROR(VLOOKUP(A2061,PAR!$D$3:$E$53,2,FALSE),"nincs szervezet")</f>
        <v>nincs szervezet</v>
      </c>
      <c r="N2061" s="322" t="str">
        <f>VLOOKUP(F2061,PAR!$R$3:$S$5,2,FALSE)</f>
        <v>3 - egyik sem</v>
      </c>
      <c r="O2061" t="str">
        <f>IFERROR(VLOOKUP(J2061,PAR!$O$3:$P$5,2,FALSE),"nincs feladat")</f>
        <v>nincs feladat</v>
      </c>
      <c r="P2061" t="str">
        <f>IFERROR(VLOOKUP(G2061,PAR!$J$2:$M$19,4),"nincs rovat")</f>
        <v>nincs rovat</v>
      </c>
      <c r="Q2061" t="str">
        <f>IF(H2061&gt;0,VLOOKUP(H2061,PAR!$AA$3:$AC$187,3,FALSE),"nincs főkönyvi számla")</f>
        <v>nincs főkönyvi számla</v>
      </c>
      <c r="R2061" t="str">
        <f>IFERROR(VLOOKUP(K2061,PAR!$V$3:$X$438,3,FALSE),"000000 - Nincs COFOG")</f>
        <v>000000 - Nincs COFOG</v>
      </c>
      <c r="S2061">
        <f t="shared" si="620"/>
        <v>0</v>
      </c>
      <c r="T2061">
        <f t="shared" si="621"/>
        <v>0</v>
      </c>
      <c r="U2061" t="str">
        <f>IF('906MP'!J1761&gt;0,CONCATENATE('906MP'!J1761," - ",'906MP'!P1761,", ",'906MP'!E1761),"nincs megjegyzés")</f>
        <v>nincs megjegyzés</v>
      </c>
      <c r="V2061" t="str">
        <f t="shared" si="608"/>
        <v>0P0</v>
      </c>
      <c r="W2061" t="str">
        <f t="shared" si="609"/>
        <v>0P0</v>
      </c>
      <c r="X2061" t="str">
        <f t="shared" si="610"/>
        <v>P0</v>
      </c>
      <c r="Y2061" t="str">
        <f t="shared" si="611"/>
        <v>00</v>
      </c>
      <c r="Z2061" t="str">
        <f t="shared" si="622"/>
        <v>00</v>
      </c>
      <c r="AA2061" t="str">
        <f t="shared" si="612"/>
        <v>00</v>
      </c>
      <c r="AB2061" t="str">
        <f t="shared" si="613"/>
        <v>00</v>
      </c>
      <c r="AC2061" t="str">
        <f t="shared" si="614"/>
        <v>0P0</v>
      </c>
      <c r="AD2061" t="str">
        <f t="shared" si="615"/>
        <v>P00</v>
      </c>
      <c r="AE2061" t="str">
        <f t="shared" si="616"/>
        <v>0P0</v>
      </c>
      <c r="AF2061" t="str">
        <f t="shared" si="617"/>
        <v>P00</v>
      </c>
      <c r="AG2061" t="str">
        <f t="shared" si="623"/>
        <v>0P00</v>
      </c>
      <c r="AH2061" t="str">
        <f t="shared" si="624"/>
        <v>P000</v>
      </c>
      <c r="AI2061" t="str">
        <f t="shared" si="625"/>
        <v>0P00</v>
      </c>
      <c r="AJ2061" t="str">
        <f t="shared" si="626"/>
        <v>P000</v>
      </c>
    </row>
    <row r="2062" spans="1:36" x14ac:dyDescent="0.25">
      <c r="A2062" s="325" t="str">
        <f>CONCATENATE("P",'906MP'!M1762)</f>
        <v>P</v>
      </c>
      <c r="B2062">
        <f>'906MP'!H1762</f>
        <v>0</v>
      </c>
      <c r="C2062">
        <f>'906MP'!J1762</f>
        <v>0</v>
      </c>
      <c r="D2062">
        <f>'906MP'!P1762</f>
        <v>0</v>
      </c>
      <c r="E2062">
        <f>'906MP'!X1762</f>
        <v>0</v>
      </c>
      <c r="F2062" t="str">
        <f t="shared" si="618"/>
        <v>0</v>
      </c>
      <c r="G2062" t="str">
        <f t="shared" si="619"/>
        <v>0</v>
      </c>
      <c r="H2062">
        <f>'906MP'!Y1762</f>
        <v>0</v>
      </c>
      <c r="I2062">
        <f>'906MP'!AK1762</f>
        <v>0</v>
      </c>
      <c r="J2062">
        <f>'906MP'!T1762</f>
        <v>0</v>
      </c>
      <c r="K2062">
        <f>'906MP'!AJ1762</f>
        <v>0</v>
      </c>
      <c r="L2062">
        <f>'906MP'!U1762</f>
        <v>0</v>
      </c>
      <c r="M2062" s="322" t="str">
        <f>IFERROR(VLOOKUP(A2062,PAR!$D$3:$E$53,2,FALSE),"nincs szervezet")</f>
        <v>nincs szervezet</v>
      </c>
      <c r="N2062" s="322" t="str">
        <f>VLOOKUP(F2062,PAR!$R$3:$S$5,2,FALSE)</f>
        <v>3 - egyik sem</v>
      </c>
      <c r="O2062" t="str">
        <f>IFERROR(VLOOKUP(J2062,PAR!$O$3:$P$5,2,FALSE),"nincs feladat")</f>
        <v>nincs feladat</v>
      </c>
      <c r="P2062" t="str">
        <f>IFERROR(VLOOKUP(G2062,PAR!$J$2:$M$19,4),"nincs rovat")</f>
        <v>nincs rovat</v>
      </c>
      <c r="Q2062" t="str">
        <f>IF(H2062&gt;0,VLOOKUP(H2062,PAR!$AA$3:$AC$187,3,FALSE),"nincs főkönyvi számla")</f>
        <v>nincs főkönyvi számla</v>
      </c>
      <c r="R2062" t="str">
        <f>IFERROR(VLOOKUP(K2062,PAR!$V$3:$X$438,3,FALSE),"000000 - Nincs COFOG")</f>
        <v>000000 - Nincs COFOG</v>
      </c>
      <c r="S2062">
        <f t="shared" si="620"/>
        <v>0</v>
      </c>
      <c r="T2062">
        <f t="shared" si="621"/>
        <v>0</v>
      </c>
      <c r="U2062" t="str">
        <f>IF('906MP'!J1762&gt;0,CONCATENATE('906MP'!J1762," - ",'906MP'!P1762,", ",'906MP'!E1762),"nincs megjegyzés")</f>
        <v>nincs megjegyzés</v>
      </c>
      <c r="V2062" t="str">
        <f t="shared" si="608"/>
        <v>0P0</v>
      </c>
      <c r="W2062" t="str">
        <f t="shared" si="609"/>
        <v>0P0</v>
      </c>
      <c r="X2062" t="str">
        <f t="shared" si="610"/>
        <v>P0</v>
      </c>
      <c r="Y2062" t="str">
        <f t="shared" si="611"/>
        <v>00</v>
      </c>
      <c r="Z2062" t="str">
        <f t="shared" si="622"/>
        <v>00</v>
      </c>
      <c r="AA2062" t="str">
        <f t="shared" si="612"/>
        <v>00</v>
      </c>
      <c r="AB2062" t="str">
        <f t="shared" si="613"/>
        <v>00</v>
      </c>
      <c r="AC2062" t="str">
        <f t="shared" si="614"/>
        <v>0P0</v>
      </c>
      <c r="AD2062" t="str">
        <f t="shared" si="615"/>
        <v>P00</v>
      </c>
      <c r="AE2062" t="str">
        <f t="shared" si="616"/>
        <v>0P0</v>
      </c>
      <c r="AF2062" t="str">
        <f t="shared" si="617"/>
        <v>P00</v>
      </c>
      <c r="AG2062" t="str">
        <f t="shared" si="623"/>
        <v>0P00</v>
      </c>
      <c r="AH2062" t="str">
        <f t="shared" si="624"/>
        <v>P000</v>
      </c>
      <c r="AI2062" t="str">
        <f t="shared" si="625"/>
        <v>0P00</v>
      </c>
      <c r="AJ2062" t="str">
        <f t="shared" si="626"/>
        <v>P000</v>
      </c>
    </row>
    <row r="2063" spans="1:36" x14ac:dyDescent="0.25">
      <c r="A2063" s="325" t="str">
        <f>CONCATENATE("P",'906MP'!M1763)</f>
        <v>P</v>
      </c>
      <c r="B2063">
        <f>'906MP'!H1763</f>
        <v>0</v>
      </c>
      <c r="C2063">
        <f>'906MP'!J1763</f>
        <v>0</v>
      </c>
      <c r="D2063">
        <f>'906MP'!P1763</f>
        <v>0</v>
      </c>
      <c r="E2063">
        <f>'906MP'!X1763</f>
        <v>0</v>
      </c>
      <c r="F2063" t="str">
        <f t="shared" si="618"/>
        <v>0</v>
      </c>
      <c r="G2063" t="str">
        <f t="shared" si="619"/>
        <v>0</v>
      </c>
      <c r="H2063">
        <f>'906MP'!Y1763</f>
        <v>0</v>
      </c>
      <c r="I2063">
        <f>'906MP'!AK1763</f>
        <v>0</v>
      </c>
      <c r="J2063">
        <f>'906MP'!T1763</f>
        <v>0</v>
      </c>
      <c r="K2063">
        <f>'906MP'!AJ1763</f>
        <v>0</v>
      </c>
      <c r="L2063">
        <f>'906MP'!U1763</f>
        <v>0</v>
      </c>
      <c r="M2063" s="322" t="str">
        <f>IFERROR(VLOOKUP(A2063,PAR!$D$3:$E$53,2,FALSE),"nincs szervezet")</f>
        <v>nincs szervezet</v>
      </c>
      <c r="N2063" s="322" t="str">
        <f>VLOOKUP(F2063,PAR!$R$3:$S$5,2,FALSE)</f>
        <v>3 - egyik sem</v>
      </c>
      <c r="O2063" t="str">
        <f>IFERROR(VLOOKUP(J2063,PAR!$O$3:$P$5,2,FALSE),"nincs feladat")</f>
        <v>nincs feladat</v>
      </c>
      <c r="P2063" t="str">
        <f>IFERROR(VLOOKUP(G2063,PAR!$J$2:$M$19,4),"nincs rovat")</f>
        <v>nincs rovat</v>
      </c>
      <c r="Q2063" t="str">
        <f>IF(H2063&gt;0,VLOOKUP(H2063,PAR!$AA$3:$AC$187,3,FALSE),"nincs főkönyvi számla")</f>
        <v>nincs főkönyvi számla</v>
      </c>
      <c r="R2063" t="str">
        <f>IFERROR(VLOOKUP(K2063,PAR!$V$3:$X$438,3,FALSE),"000000 - Nincs COFOG")</f>
        <v>000000 - Nincs COFOG</v>
      </c>
      <c r="S2063">
        <f t="shared" si="620"/>
        <v>0</v>
      </c>
      <c r="T2063">
        <f t="shared" si="621"/>
        <v>0</v>
      </c>
      <c r="U2063" t="str">
        <f>IF('906MP'!J1763&gt;0,CONCATENATE('906MP'!J1763," - ",'906MP'!P1763,", ",'906MP'!E1763),"nincs megjegyzés")</f>
        <v>nincs megjegyzés</v>
      </c>
      <c r="V2063" t="str">
        <f t="shared" si="608"/>
        <v>0P0</v>
      </c>
      <c r="W2063" t="str">
        <f t="shared" si="609"/>
        <v>0P0</v>
      </c>
      <c r="X2063" t="str">
        <f t="shared" si="610"/>
        <v>P0</v>
      </c>
      <c r="Y2063" t="str">
        <f t="shared" si="611"/>
        <v>00</v>
      </c>
      <c r="Z2063" t="str">
        <f t="shared" si="622"/>
        <v>00</v>
      </c>
      <c r="AA2063" t="str">
        <f t="shared" si="612"/>
        <v>00</v>
      </c>
      <c r="AB2063" t="str">
        <f t="shared" si="613"/>
        <v>00</v>
      </c>
      <c r="AC2063" t="str">
        <f t="shared" si="614"/>
        <v>0P0</v>
      </c>
      <c r="AD2063" t="str">
        <f t="shared" si="615"/>
        <v>P00</v>
      </c>
      <c r="AE2063" t="str">
        <f t="shared" si="616"/>
        <v>0P0</v>
      </c>
      <c r="AF2063" t="str">
        <f t="shared" si="617"/>
        <v>P00</v>
      </c>
      <c r="AG2063" t="str">
        <f t="shared" si="623"/>
        <v>0P00</v>
      </c>
      <c r="AH2063" t="str">
        <f t="shared" si="624"/>
        <v>P000</v>
      </c>
      <c r="AI2063" t="str">
        <f t="shared" si="625"/>
        <v>0P00</v>
      </c>
      <c r="AJ2063" t="str">
        <f t="shared" si="626"/>
        <v>P000</v>
      </c>
    </row>
    <row r="2064" spans="1:36" x14ac:dyDescent="0.25">
      <c r="A2064" s="325" t="str">
        <f>CONCATENATE("P",'906MP'!M1764)</f>
        <v>P</v>
      </c>
      <c r="B2064">
        <f>'906MP'!H1764</f>
        <v>0</v>
      </c>
      <c r="C2064">
        <f>'906MP'!J1764</f>
        <v>0</v>
      </c>
      <c r="D2064">
        <f>'906MP'!P1764</f>
        <v>0</v>
      </c>
      <c r="E2064">
        <f>'906MP'!X1764</f>
        <v>0</v>
      </c>
      <c r="F2064" t="str">
        <f t="shared" si="618"/>
        <v>0</v>
      </c>
      <c r="G2064" t="str">
        <f t="shared" si="619"/>
        <v>0</v>
      </c>
      <c r="H2064">
        <f>'906MP'!Y1764</f>
        <v>0</v>
      </c>
      <c r="I2064">
        <f>'906MP'!AK1764</f>
        <v>0</v>
      </c>
      <c r="J2064">
        <f>'906MP'!T1764</f>
        <v>0</v>
      </c>
      <c r="K2064">
        <f>'906MP'!AJ1764</f>
        <v>0</v>
      </c>
      <c r="L2064">
        <f>'906MP'!U1764</f>
        <v>0</v>
      </c>
      <c r="M2064" s="322" t="str">
        <f>IFERROR(VLOOKUP(A2064,PAR!$D$3:$E$53,2,FALSE),"nincs szervezet")</f>
        <v>nincs szervezet</v>
      </c>
      <c r="N2064" s="322" t="str">
        <f>VLOOKUP(F2064,PAR!$R$3:$S$5,2,FALSE)</f>
        <v>3 - egyik sem</v>
      </c>
      <c r="O2064" t="str">
        <f>IFERROR(VLOOKUP(J2064,PAR!$O$3:$P$5,2,FALSE),"nincs feladat")</f>
        <v>nincs feladat</v>
      </c>
      <c r="P2064" t="str">
        <f>IFERROR(VLOOKUP(G2064,PAR!$J$2:$M$19,4),"nincs rovat")</f>
        <v>nincs rovat</v>
      </c>
      <c r="Q2064" t="str">
        <f>IF(H2064&gt;0,VLOOKUP(H2064,PAR!$AA$3:$AC$187,3,FALSE),"nincs főkönyvi számla")</f>
        <v>nincs főkönyvi számla</v>
      </c>
      <c r="R2064" t="str">
        <f>IFERROR(VLOOKUP(K2064,PAR!$V$3:$X$438,3,FALSE),"000000 - Nincs COFOG")</f>
        <v>000000 - Nincs COFOG</v>
      </c>
      <c r="S2064">
        <f t="shared" si="620"/>
        <v>0</v>
      </c>
      <c r="T2064">
        <f t="shared" si="621"/>
        <v>0</v>
      </c>
      <c r="U2064" t="str">
        <f>IF('906MP'!J1764&gt;0,CONCATENATE('906MP'!J1764," - ",'906MP'!P1764,", ",'906MP'!E1764),"nincs megjegyzés")</f>
        <v>nincs megjegyzés</v>
      </c>
      <c r="V2064" t="str">
        <f t="shared" si="608"/>
        <v>0P0</v>
      </c>
      <c r="W2064" t="str">
        <f t="shared" si="609"/>
        <v>0P0</v>
      </c>
      <c r="X2064" t="str">
        <f t="shared" si="610"/>
        <v>P0</v>
      </c>
      <c r="Y2064" t="str">
        <f t="shared" si="611"/>
        <v>00</v>
      </c>
      <c r="Z2064" t="str">
        <f t="shared" si="622"/>
        <v>00</v>
      </c>
      <c r="AA2064" t="str">
        <f t="shared" si="612"/>
        <v>00</v>
      </c>
      <c r="AB2064" t="str">
        <f t="shared" si="613"/>
        <v>00</v>
      </c>
      <c r="AC2064" t="str">
        <f t="shared" si="614"/>
        <v>0P0</v>
      </c>
      <c r="AD2064" t="str">
        <f t="shared" si="615"/>
        <v>P00</v>
      </c>
      <c r="AE2064" t="str">
        <f t="shared" si="616"/>
        <v>0P0</v>
      </c>
      <c r="AF2064" t="str">
        <f t="shared" si="617"/>
        <v>P00</v>
      </c>
      <c r="AG2064" t="str">
        <f t="shared" si="623"/>
        <v>0P00</v>
      </c>
      <c r="AH2064" t="str">
        <f t="shared" si="624"/>
        <v>P000</v>
      </c>
      <c r="AI2064" t="str">
        <f t="shared" si="625"/>
        <v>0P00</v>
      </c>
      <c r="AJ2064" t="str">
        <f t="shared" si="626"/>
        <v>P000</v>
      </c>
    </row>
    <row r="2065" spans="1:36" x14ac:dyDescent="0.25">
      <c r="A2065" s="325" t="str">
        <f>CONCATENATE("P",'906MP'!M1765)</f>
        <v>P</v>
      </c>
      <c r="B2065">
        <f>'906MP'!H1765</f>
        <v>0</v>
      </c>
      <c r="C2065">
        <f>'906MP'!J1765</f>
        <v>0</v>
      </c>
      <c r="D2065">
        <f>'906MP'!P1765</f>
        <v>0</v>
      </c>
      <c r="E2065">
        <f>'906MP'!X1765</f>
        <v>0</v>
      </c>
      <c r="F2065" t="str">
        <f t="shared" si="618"/>
        <v>0</v>
      </c>
      <c r="G2065" t="str">
        <f t="shared" si="619"/>
        <v>0</v>
      </c>
      <c r="H2065">
        <f>'906MP'!Y1765</f>
        <v>0</v>
      </c>
      <c r="I2065">
        <f>'906MP'!AK1765</f>
        <v>0</v>
      </c>
      <c r="J2065">
        <f>'906MP'!T1765</f>
        <v>0</v>
      </c>
      <c r="K2065">
        <f>'906MP'!AJ1765</f>
        <v>0</v>
      </c>
      <c r="L2065">
        <f>'906MP'!U1765</f>
        <v>0</v>
      </c>
      <c r="M2065" s="322" t="str">
        <f>IFERROR(VLOOKUP(A2065,PAR!$D$3:$E$53,2,FALSE),"nincs szervezet")</f>
        <v>nincs szervezet</v>
      </c>
      <c r="N2065" s="322" t="str">
        <f>VLOOKUP(F2065,PAR!$R$3:$S$5,2,FALSE)</f>
        <v>3 - egyik sem</v>
      </c>
      <c r="O2065" t="str">
        <f>IFERROR(VLOOKUP(J2065,PAR!$O$3:$P$5,2,FALSE),"nincs feladat")</f>
        <v>nincs feladat</v>
      </c>
      <c r="P2065" t="str">
        <f>IFERROR(VLOOKUP(G2065,PAR!$J$2:$M$19,4),"nincs rovat")</f>
        <v>nincs rovat</v>
      </c>
      <c r="Q2065" t="str">
        <f>IF(H2065&gt;0,VLOOKUP(H2065,PAR!$AA$3:$AC$187,3,FALSE),"nincs főkönyvi számla")</f>
        <v>nincs főkönyvi számla</v>
      </c>
      <c r="R2065" t="str">
        <f>IFERROR(VLOOKUP(K2065,PAR!$V$3:$X$438,3,FALSE),"000000 - Nincs COFOG")</f>
        <v>000000 - Nincs COFOG</v>
      </c>
      <c r="S2065">
        <f t="shared" si="620"/>
        <v>0</v>
      </c>
      <c r="T2065">
        <f t="shared" si="621"/>
        <v>0</v>
      </c>
      <c r="U2065" t="str">
        <f>IF('906MP'!J1765&gt;0,CONCATENATE('906MP'!J1765," - ",'906MP'!P1765,", ",'906MP'!E1765),"nincs megjegyzés")</f>
        <v>nincs megjegyzés</v>
      </c>
      <c r="V2065" t="str">
        <f t="shared" si="608"/>
        <v>0P0</v>
      </c>
      <c r="W2065" t="str">
        <f t="shared" si="609"/>
        <v>0P0</v>
      </c>
      <c r="X2065" t="str">
        <f t="shared" si="610"/>
        <v>P0</v>
      </c>
      <c r="Y2065" t="str">
        <f t="shared" si="611"/>
        <v>00</v>
      </c>
      <c r="Z2065" t="str">
        <f t="shared" si="622"/>
        <v>00</v>
      </c>
      <c r="AA2065" t="str">
        <f t="shared" si="612"/>
        <v>00</v>
      </c>
      <c r="AB2065" t="str">
        <f t="shared" si="613"/>
        <v>00</v>
      </c>
      <c r="AC2065" t="str">
        <f t="shared" si="614"/>
        <v>0P0</v>
      </c>
      <c r="AD2065" t="str">
        <f t="shared" si="615"/>
        <v>P00</v>
      </c>
      <c r="AE2065" t="str">
        <f t="shared" si="616"/>
        <v>0P0</v>
      </c>
      <c r="AF2065" t="str">
        <f t="shared" si="617"/>
        <v>P00</v>
      </c>
      <c r="AG2065" t="str">
        <f t="shared" si="623"/>
        <v>0P00</v>
      </c>
      <c r="AH2065" t="str">
        <f t="shared" si="624"/>
        <v>P000</v>
      </c>
      <c r="AI2065" t="str">
        <f t="shared" si="625"/>
        <v>0P00</v>
      </c>
      <c r="AJ2065" t="str">
        <f t="shared" si="626"/>
        <v>P000</v>
      </c>
    </row>
    <row r="2066" spans="1:36" x14ac:dyDescent="0.25">
      <c r="A2066" s="325" t="str">
        <f>CONCATENATE("P",'906MP'!M1766)</f>
        <v>P</v>
      </c>
      <c r="B2066">
        <f>'906MP'!H1766</f>
        <v>0</v>
      </c>
      <c r="C2066">
        <f>'906MP'!J1766</f>
        <v>0</v>
      </c>
      <c r="D2066">
        <f>'906MP'!P1766</f>
        <v>0</v>
      </c>
      <c r="E2066">
        <f>'906MP'!X1766</f>
        <v>0</v>
      </c>
      <c r="F2066" t="str">
        <f t="shared" si="618"/>
        <v>0</v>
      </c>
      <c r="G2066" t="str">
        <f t="shared" si="619"/>
        <v>0</v>
      </c>
      <c r="H2066">
        <f>'906MP'!Y1766</f>
        <v>0</v>
      </c>
      <c r="I2066">
        <f>'906MP'!AK1766</f>
        <v>0</v>
      </c>
      <c r="J2066">
        <f>'906MP'!T1766</f>
        <v>0</v>
      </c>
      <c r="K2066">
        <f>'906MP'!AJ1766</f>
        <v>0</v>
      </c>
      <c r="L2066">
        <f>'906MP'!U1766</f>
        <v>0</v>
      </c>
      <c r="M2066" s="322" t="str">
        <f>IFERROR(VLOOKUP(A2066,PAR!$D$3:$E$53,2,FALSE),"nincs szervezet")</f>
        <v>nincs szervezet</v>
      </c>
      <c r="N2066" s="322" t="str">
        <f>VLOOKUP(F2066,PAR!$R$3:$S$5,2,FALSE)</f>
        <v>3 - egyik sem</v>
      </c>
      <c r="O2066" t="str">
        <f>IFERROR(VLOOKUP(J2066,PAR!$O$3:$P$5,2,FALSE),"nincs feladat")</f>
        <v>nincs feladat</v>
      </c>
      <c r="P2066" t="str">
        <f>IFERROR(VLOOKUP(G2066,PAR!$J$2:$M$19,4),"nincs rovat")</f>
        <v>nincs rovat</v>
      </c>
      <c r="Q2066" t="str">
        <f>IF(H2066&gt;0,VLOOKUP(H2066,PAR!$AA$3:$AC$187,3,FALSE),"nincs főkönyvi számla")</f>
        <v>nincs főkönyvi számla</v>
      </c>
      <c r="R2066" t="str">
        <f>IFERROR(VLOOKUP(K2066,PAR!$V$3:$X$438,3,FALSE),"000000 - Nincs COFOG")</f>
        <v>000000 - Nincs COFOG</v>
      </c>
      <c r="S2066">
        <f t="shared" si="620"/>
        <v>0</v>
      </c>
      <c r="T2066">
        <f t="shared" si="621"/>
        <v>0</v>
      </c>
      <c r="U2066" t="str">
        <f>IF('906MP'!J1766&gt;0,CONCATENATE('906MP'!J1766," - ",'906MP'!P1766,", ",'906MP'!E1766),"nincs megjegyzés")</f>
        <v>nincs megjegyzés</v>
      </c>
      <c r="V2066" t="str">
        <f t="shared" si="608"/>
        <v>0P0</v>
      </c>
      <c r="W2066" t="str">
        <f t="shared" si="609"/>
        <v>0P0</v>
      </c>
      <c r="X2066" t="str">
        <f t="shared" si="610"/>
        <v>P0</v>
      </c>
      <c r="Y2066" t="str">
        <f t="shared" si="611"/>
        <v>00</v>
      </c>
      <c r="Z2066" t="str">
        <f t="shared" si="622"/>
        <v>00</v>
      </c>
      <c r="AA2066" t="str">
        <f t="shared" si="612"/>
        <v>00</v>
      </c>
      <c r="AB2066" t="str">
        <f t="shared" si="613"/>
        <v>00</v>
      </c>
      <c r="AC2066" t="str">
        <f t="shared" si="614"/>
        <v>0P0</v>
      </c>
      <c r="AD2066" t="str">
        <f t="shared" si="615"/>
        <v>P00</v>
      </c>
      <c r="AE2066" t="str">
        <f t="shared" si="616"/>
        <v>0P0</v>
      </c>
      <c r="AF2066" t="str">
        <f t="shared" si="617"/>
        <v>P00</v>
      </c>
      <c r="AG2066" t="str">
        <f t="shared" si="623"/>
        <v>0P00</v>
      </c>
      <c r="AH2066" t="str">
        <f t="shared" si="624"/>
        <v>P000</v>
      </c>
      <c r="AI2066" t="str">
        <f t="shared" si="625"/>
        <v>0P00</v>
      </c>
      <c r="AJ2066" t="str">
        <f t="shared" si="626"/>
        <v>P000</v>
      </c>
    </row>
    <row r="2067" spans="1:36" x14ac:dyDescent="0.25">
      <c r="A2067" s="325" t="str">
        <f>CONCATENATE("P",'906MP'!M1767)</f>
        <v>P</v>
      </c>
      <c r="B2067">
        <f>'906MP'!H1767</f>
        <v>0</v>
      </c>
      <c r="C2067">
        <f>'906MP'!J1767</f>
        <v>0</v>
      </c>
      <c r="D2067">
        <f>'906MP'!P1767</f>
        <v>0</v>
      </c>
      <c r="E2067">
        <f>'906MP'!X1767</f>
        <v>0</v>
      </c>
      <c r="F2067" t="str">
        <f t="shared" si="618"/>
        <v>0</v>
      </c>
      <c r="G2067" t="str">
        <f t="shared" si="619"/>
        <v>0</v>
      </c>
      <c r="H2067">
        <f>'906MP'!Y1767</f>
        <v>0</v>
      </c>
      <c r="I2067">
        <f>'906MP'!AK1767</f>
        <v>0</v>
      </c>
      <c r="J2067">
        <f>'906MP'!T1767</f>
        <v>0</v>
      </c>
      <c r="K2067">
        <f>'906MP'!AJ1767</f>
        <v>0</v>
      </c>
      <c r="L2067">
        <f>'906MP'!U1767</f>
        <v>0</v>
      </c>
      <c r="M2067" s="322" t="str">
        <f>IFERROR(VLOOKUP(A2067,PAR!$D$3:$E$53,2,FALSE),"nincs szervezet")</f>
        <v>nincs szervezet</v>
      </c>
      <c r="N2067" s="322" t="str">
        <f>VLOOKUP(F2067,PAR!$R$3:$S$5,2,FALSE)</f>
        <v>3 - egyik sem</v>
      </c>
      <c r="O2067" t="str">
        <f>IFERROR(VLOOKUP(J2067,PAR!$O$3:$P$5,2,FALSE),"nincs feladat")</f>
        <v>nincs feladat</v>
      </c>
      <c r="P2067" t="str">
        <f>IFERROR(VLOOKUP(G2067,PAR!$J$2:$M$19,4),"nincs rovat")</f>
        <v>nincs rovat</v>
      </c>
      <c r="Q2067" t="str">
        <f>IF(H2067&gt;0,VLOOKUP(H2067,PAR!$AA$3:$AC$187,3,FALSE),"nincs főkönyvi számla")</f>
        <v>nincs főkönyvi számla</v>
      </c>
      <c r="R2067" t="str">
        <f>IFERROR(VLOOKUP(K2067,PAR!$V$3:$X$438,3,FALSE),"000000 - Nincs COFOG")</f>
        <v>000000 - Nincs COFOG</v>
      </c>
      <c r="S2067">
        <f t="shared" si="620"/>
        <v>0</v>
      </c>
      <c r="T2067">
        <f t="shared" si="621"/>
        <v>0</v>
      </c>
      <c r="U2067" t="str">
        <f>IF('906MP'!J1767&gt;0,CONCATENATE('906MP'!J1767," - ",'906MP'!P1767,", ",'906MP'!E1767),"nincs megjegyzés")</f>
        <v>nincs megjegyzés</v>
      </c>
      <c r="V2067" t="str">
        <f t="shared" si="608"/>
        <v>0P0</v>
      </c>
      <c r="W2067" t="str">
        <f t="shared" si="609"/>
        <v>0P0</v>
      </c>
      <c r="X2067" t="str">
        <f t="shared" si="610"/>
        <v>P0</v>
      </c>
      <c r="Y2067" t="str">
        <f t="shared" si="611"/>
        <v>00</v>
      </c>
      <c r="Z2067" t="str">
        <f t="shared" si="622"/>
        <v>00</v>
      </c>
      <c r="AA2067" t="str">
        <f t="shared" si="612"/>
        <v>00</v>
      </c>
      <c r="AB2067" t="str">
        <f t="shared" si="613"/>
        <v>00</v>
      </c>
      <c r="AC2067" t="str">
        <f t="shared" si="614"/>
        <v>0P0</v>
      </c>
      <c r="AD2067" t="str">
        <f t="shared" si="615"/>
        <v>P00</v>
      </c>
      <c r="AE2067" t="str">
        <f t="shared" si="616"/>
        <v>0P0</v>
      </c>
      <c r="AF2067" t="str">
        <f t="shared" si="617"/>
        <v>P00</v>
      </c>
      <c r="AG2067" t="str">
        <f t="shared" si="623"/>
        <v>0P00</v>
      </c>
      <c r="AH2067" t="str">
        <f t="shared" si="624"/>
        <v>P000</v>
      </c>
      <c r="AI2067" t="str">
        <f t="shared" si="625"/>
        <v>0P00</v>
      </c>
      <c r="AJ2067" t="str">
        <f t="shared" si="626"/>
        <v>P000</v>
      </c>
    </row>
    <row r="2068" spans="1:36" x14ac:dyDescent="0.25">
      <c r="A2068" s="325" t="str">
        <f>CONCATENATE("P",'906MP'!M1768)</f>
        <v>P</v>
      </c>
      <c r="B2068">
        <f>'906MP'!H1768</f>
        <v>0</v>
      </c>
      <c r="C2068">
        <f>'906MP'!J1768</f>
        <v>0</v>
      </c>
      <c r="D2068">
        <f>'906MP'!P1768</f>
        <v>0</v>
      </c>
      <c r="E2068">
        <f>'906MP'!X1768</f>
        <v>0</v>
      </c>
      <c r="F2068" t="str">
        <f t="shared" si="618"/>
        <v>0</v>
      </c>
      <c r="G2068" t="str">
        <f t="shared" si="619"/>
        <v>0</v>
      </c>
      <c r="H2068">
        <f>'906MP'!Y1768</f>
        <v>0</v>
      </c>
      <c r="I2068">
        <f>'906MP'!AK1768</f>
        <v>0</v>
      </c>
      <c r="J2068">
        <f>'906MP'!T1768</f>
        <v>0</v>
      </c>
      <c r="K2068">
        <f>'906MP'!AJ1768</f>
        <v>0</v>
      </c>
      <c r="L2068">
        <f>'906MP'!U1768</f>
        <v>0</v>
      </c>
      <c r="M2068" s="322" t="str">
        <f>IFERROR(VLOOKUP(A2068,PAR!$D$3:$E$53,2,FALSE),"nincs szervezet")</f>
        <v>nincs szervezet</v>
      </c>
      <c r="N2068" s="322" t="str">
        <f>VLOOKUP(F2068,PAR!$R$3:$S$5,2,FALSE)</f>
        <v>3 - egyik sem</v>
      </c>
      <c r="O2068" t="str">
        <f>IFERROR(VLOOKUP(J2068,PAR!$O$3:$P$5,2,FALSE),"nincs feladat")</f>
        <v>nincs feladat</v>
      </c>
      <c r="P2068" t="str">
        <f>IFERROR(VLOOKUP(G2068,PAR!$J$2:$M$19,4),"nincs rovat")</f>
        <v>nincs rovat</v>
      </c>
      <c r="Q2068" t="str">
        <f>IF(H2068&gt;0,VLOOKUP(H2068,PAR!$AA$3:$AC$187,3,FALSE),"nincs főkönyvi számla")</f>
        <v>nincs főkönyvi számla</v>
      </c>
      <c r="R2068" t="str">
        <f>IFERROR(VLOOKUP(K2068,PAR!$V$3:$X$438,3,FALSE),"000000 - Nincs COFOG")</f>
        <v>000000 - Nincs COFOG</v>
      </c>
      <c r="S2068">
        <f t="shared" si="620"/>
        <v>0</v>
      </c>
      <c r="T2068">
        <f t="shared" si="621"/>
        <v>0</v>
      </c>
      <c r="U2068" t="str">
        <f>IF('906MP'!J1768&gt;0,CONCATENATE('906MP'!J1768," - ",'906MP'!P1768,", ",'906MP'!E1768),"nincs megjegyzés")</f>
        <v>nincs megjegyzés</v>
      </c>
      <c r="V2068" t="str">
        <f t="shared" si="608"/>
        <v>0P0</v>
      </c>
      <c r="W2068" t="str">
        <f t="shared" si="609"/>
        <v>0P0</v>
      </c>
      <c r="X2068" t="str">
        <f t="shared" si="610"/>
        <v>P0</v>
      </c>
      <c r="Y2068" t="str">
        <f t="shared" si="611"/>
        <v>00</v>
      </c>
      <c r="Z2068" t="str">
        <f t="shared" si="622"/>
        <v>00</v>
      </c>
      <c r="AA2068" t="str">
        <f t="shared" si="612"/>
        <v>00</v>
      </c>
      <c r="AB2068" t="str">
        <f t="shared" si="613"/>
        <v>00</v>
      </c>
      <c r="AC2068" t="str">
        <f t="shared" si="614"/>
        <v>0P0</v>
      </c>
      <c r="AD2068" t="str">
        <f t="shared" si="615"/>
        <v>P00</v>
      </c>
      <c r="AE2068" t="str">
        <f t="shared" si="616"/>
        <v>0P0</v>
      </c>
      <c r="AF2068" t="str">
        <f t="shared" si="617"/>
        <v>P00</v>
      </c>
      <c r="AG2068" t="str">
        <f t="shared" si="623"/>
        <v>0P00</v>
      </c>
      <c r="AH2068" t="str">
        <f t="shared" si="624"/>
        <v>P000</v>
      </c>
      <c r="AI2068" t="str">
        <f t="shared" si="625"/>
        <v>0P00</v>
      </c>
      <c r="AJ2068" t="str">
        <f t="shared" si="626"/>
        <v>P000</v>
      </c>
    </row>
    <row r="2069" spans="1:36" x14ac:dyDescent="0.25">
      <c r="A2069" s="325" t="str">
        <f>CONCATENATE("P",'906MP'!M1769)</f>
        <v>P</v>
      </c>
      <c r="B2069">
        <f>'906MP'!H1769</f>
        <v>0</v>
      </c>
      <c r="C2069">
        <f>'906MP'!J1769</f>
        <v>0</v>
      </c>
      <c r="D2069">
        <f>'906MP'!P1769</f>
        <v>0</v>
      </c>
      <c r="E2069">
        <f>'906MP'!X1769</f>
        <v>0</v>
      </c>
      <c r="F2069" t="str">
        <f t="shared" si="618"/>
        <v>0</v>
      </c>
      <c r="G2069" t="str">
        <f t="shared" si="619"/>
        <v>0</v>
      </c>
      <c r="H2069">
        <f>'906MP'!Y1769</f>
        <v>0</v>
      </c>
      <c r="I2069">
        <f>'906MP'!AK1769</f>
        <v>0</v>
      </c>
      <c r="J2069">
        <f>'906MP'!T1769</f>
        <v>0</v>
      </c>
      <c r="K2069">
        <f>'906MP'!AJ1769</f>
        <v>0</v>
      </c>
      <c r="L2069">
        <f>'906MP'!U1769</f>
        <v>0</v>
      </c>
      <c r="M2069" s="322" t="str">
        <f>IFERROR(VLOOKUP(A2069,PAR!$D$3:$E$53,2,FALSE),"nincs szervezet")</f>
        <v>nincs szervezet</v>
      </c>
      <c r="N2069" s="322" t="str">
        <f>VLOOKUP(F2069,PAR!$R$3:$S$5,2,FALSE)</f>
        <v>3 - egyik sem</v>
      </c>
      <c r="O2069" t="str">
        <f>IFERROR(VLOOKUP(J2069,PAR!$O$3:$P$5,2,FALSE),"nincs feladat")</f>
        <v>nincs feladat</v>
      </c>
      <c r="P2069" t="str">
        <f>IFERROR(VLOOKUP(G2069,PAR!$J$2:$M$19,4),"nincs rovat")</f>
        <v>nincs rovat</v>
      </c>
      <c r="Q2069" t="str">
        <f>IF(H2069&gt;0,VLOOKUP(H2069,PAR!$AA$3:$AC$187,3,FALSE),"nincs főkönyvi számla")</f>
        <v>nincs főkönyvi számla</v>
      </c>
      <c r="R2069" t="str">
        <f>IFERROR(VLOOKUP(K2069,PAR!$V$3:$X$438,3,FALSE),"000000 - Nincs COFOG")</f>
        <v>000000 - Nincs COFOG</v>
      </c>
      <c r="S2069">
        <f t="shared" si="620"/>
        <v>0</v>
      </c>
      <c r="T2069">
        <f t="shared" si="621"/>
        <v>0</v>
      </c>
      <c r="U2069" t="str">
        <f>IF('906MP'!J1769&gt;0,CONCATENATE('906MP'!J1769," - ",'906MP'!P1769,", ",'906MP'!E1769),"nincs megjegyzés")</f>
        <v>nincs megjegyzés</v>
      </c>
      <c r="V2069" t="str">
        <f t="shared" si="608"/>
        <v>0P0</v>
      </c>
      <c r="W2069" t="str">
        <f t="shared" si="609"/>
        <v>0P0</v>
      </c>
      <c r="X2069" t="str">
        <f t="shared" si="610"/>
        <v>P0</v>
      </c>
      <c r="Y2069" t="str">
        <f t="shared" si="611"/>
        <v>00</v>
      </c>
      <c r="Z2069" t="str">
        <f t="shared" si="622"/>
        <v>00</v>
      </c>
      <c r="AA2069" t="str">
        <f t="shared" si="612"/>
        <v>00</v>
      </c>
      <c r="AB2069" t="str">
        <f t="shared" si="613"/>
        <v>00</v>
      </c>
      <c r="AC2069" t="str">
        <f t="shared" si="614"/>
        <v>0P0</v>
      </c>
      <c r="AD2069" t="str">
        <f t="shared" si="615"/>
        <v>P00</v>
      </c>
      <c r="AE2069" t="str">
        <f t="shared" si="616"/>
        <v>0P0</v>
      </c>
      <c r="AF2069" t="str">
        <f t="shared" si="617"/>
        <v>P00</v>
      </c>
      <c r="AG2069" t="str">
        <f t="shared" si="623"/>
        <v>0P00</v>
      </c>
      <c r="AH2069" t="str">
        <f t="shared" si="624"/>
        <v>P000</v>
      </c>
      <c r="AI2069" t="str">
        <f t="shared" si="625"/>
        <v>0P00</v>
      </c>
      <c r="AJ2069" t="str">
        <f t="shared" si="626"/>
        <v>P000</v>
      </c>
    </row>
    <row r="2070" spans="1:36" x14ac:dyDescent="0.25">
      <c r="A2070" s="325" t="str">
        <f>CONCATENATE("P",'906MP'!M1770)</f>
        <v>P</v>
      </c>
      <c r="B2070">
        <f>'906MP'!H1770</f>
        <v>0</v>
      </c>
      <c r="C2070">
        <f>'906MP'!J1770</f>
        <v>0</v>
      </c>
      <c r="D2070">
        <f>'906MP'!P1770</f>
        <v>0</v>
      </c>
      <c r="E2070">
        <f>'906MP'!X1770</f>
        <v>0</v>
      </c>
      <c r="F2070" t="str">
        <f t="shared" si="618"/>
        <v>0</v>
      </c>
      <c r="G2070" t="str">
        <f t="shared" si="619"/>
        <v>0</v>
      </c>
      <c r="H2070">
        <f>'906MP'!Y1770</f>
        <v>0</v>
      </c>
      <c r="I2070">
        <f>'906MP'!AK1770</f>
        <v>0</v>
      </c>
      <c r="J2070">
        <f>'906MP'!T1770</f>
        <v>0</v>
      </c>
      <c r="K2070">
        <f>'906MP'!AJ1770</f>
        <v>0</v>
      </c>
      <c r="L2070">
        <f>'906MP'!U1770</f>
        <v>0</v>
      </c>
      <c r="M2070" s="322" t="str">
        <f>IFERROR(VLOOKUP(A2070,PAR!$D$3:$E$53,2,FALSE),"nincs szervezet")</f>
        <v>nincs szervezet</v>
      </c>
      <c r="N2070" s="322" t="str">
        <f>VLOOKUP(F2070,PAR!$R$3:$S$5,2,FALSE)</f>
        <v>3 - egyik sem</v>
      </c>
      <c r="O2070" t="str">
        <f>IFERROR(VLOOKUP(J2070,PAR!$O$3:$P$5,2,FALSE),"nincs feladat")</f>
        <v>nincs feladat</v>
      </c>
      <c r="P2070" t="str">
        <f>IFERROR(VLOOKUP(G2070,PAR!$J$2:$M$19,4),"nincs rovat")</f>
        <v>nincs rovat</v>
      </c>
      <c r="Q2070" t="str">
        <f>IF(H2070&gt;0,VLOOKUP(H2070,PAR!$AA$3:$AC$187,3,FALSE),"nincs főkönyvi számla")</f>
        <v>nincs főkönyvi számla</v>
      </c>
      <c r="R2070" t="str">
        <f>IFERROR(VLOOKUP(K2070,PAR!$V$3:$X$438,3,FALSE),"000000 - Nincs COFOG")</f>
        <v>000000 - Nincs COFOG</v>
      </c>
      <c r="S2070">
        <f t="shared" si="620"/>
        <v>0</v>
      </c>
      <c r="T2070">
        <f t="shared" si="621"/>
        <v>0</v>
      </c>
      <c r="U2070" t="str">
        <f>IF('906MP'!J1770&gt;0,CONCATENATE('906MP'!J1770," - ",'906MP'!P1770,", ",'906MP'!E1770),"nincs megjegyzés")</f>
        <v>nincs megjegyzés</v>
      </c>
      <c r="V2070" t="str">
        <f t="shared" si="608"/>
        <v>0P0</v>
      </c>
      <c r="W2070" t="str">
        <f t="shared" si="609"/>
        <v>0P0</v>
      </c>
      <c r="X2070" t="str">
        <f t="shared" si="610"/>
        <v>P0</v>
      </c>
      <c r="Y2070" t="str">
        <f t="shared" si="611"/>
        <v>00</v>
      </c>
      <c r="Z2070" t="str">
        <f t="shared" si="622"/>
        <v>00</v>
      </c>
      <c r="AA2070" t="str">
        <f t="shared" si="612"/>
        <v>00</v>
      </c>
      <c r="AB2070" t="str">
        <f t="shared" si="613"/>
        <v>00</v>
      </c>
      <c r="AC2070" t="str">
        <f t="shared" si="614"/>
        <v>0P0</v>
      </c>
      <c r="AD2070" t="str">
        <f t="shared" si="615"/>
        <v>P00</v>
      </c>
      <c r="AE2070" t="str">
        <f t="shared" si="616"/>
        <v>0P0</v>
      </c>
      <c r="AF2070" t="str">
        <f t="shared" si="617"/>
        <v>P00</v>
      </c>
      <c r="AG2070" t="str">
        <f t="shared" si="623"/>
        <v>0P00</v>
      </c>
      <c r="AH2070" t="str">
        <f t="shared" si="624"/>
        <v>P000</v>
      </c>
      <c r="AI2070" t="str">
        <f t="shared" si="625"/>
        <v>0P00</v>
      </c>
      <c r="AJ2070" t="str">
        <f t="shared" si="626"/>
        <v>P000</v>
      </c>
    </row>
    <row r="2071" spans="1:36" x14ac:dyDescent="0.25">
      <c r="A2071" s="325" t="str">
        <f>CONCATENATE("P",'906MP'!M1771)</f>
        <v>P</v>
      </c>
      <c r="B2071">
        <f>'906MP'!H1771</f>
        <v>0</v>
      </c>
      <c r="C2071">
        <f>'906MP'!J1771</f>
        <v>0</v>
      </c>
      <c r="D2071">
        <f>'906MP'!P1771</f>
        <v>0</v>
      </c>
      <c r="E2071">
        <f>'906MP'!X1771</f>
        <v>0</v>
      </c>
      <c r="F2071" t="str">
        <f t="shared" si="618"/>
        <v>0</v>
      </c>
      <c r="G2071" t="str">
        <f t="shared" si="619"/>
        <v>0</v>
      </c>
      <c r="H2071">
        <f>'906MP'!Y1771</f>
        <v>0</v>
      </c>
      <c r="I2071">
        <f>'906MP'!AK1771</f>
        <v>0</v>
      </c>
      <c r="J2071">
        <f>'906MP'!T1771</f>
        <v>0</v>
      </c>
      <c r="K2071">
        <f>'906MP'!AJ1771</f>
        <v>0</v>
      </c>
      <c r="L2071">
        <f>'906MP'!U1771</f>
        <v>0</v>
      </c>
      <c r="M2071" s="322" t="str">
        <f>IFERROR(VLOOKUP(A2071,PAR!$D$3:$E$53,2,FALSE),"nincs szervezet")</f>
        <v>nincs szervezet</v>
      </c>
      <c r="N2071" s="322" t="str">
        <f>VLOOKUP(F2071,PAR!$R$3:$S$5,2,FALSE)</f>
        <v>3 - egyik sem</v>
      </c>
      <c r="O2071" t="str">
        <f>IFERROR(VLOOKUP(J2071,PAR!$O$3:$P$5,2,FALSE),"nincs feladat")</f>
        <v>nincs feladat</v>
      </c>
      <c r="P2071" t="str">
        <f>IFERROR(VLOOKUP(G2071,PAR!$J$2:$M$19,4),"nincs rovat")</f>
        <v>nincs rovat</v>
      </c>
      <c r="Q2071" t="str">
        <f>IF(H2071&gt;0,VLOOKUP(H2071,PAR!$AA$3:$AC$187,3,FALSE),"nincs főkönyvi számla")</f>
        <v>nincs főkönyvi számla</v>
      </c>
      <c r="R2071" t="str">
        <f>IFERROR(VLOOKUP(K2071,PAR!$V$3:$X$438,3,FALSE),"000000 - Nincs COFOG")</f>
        <v>000000 - Nincs COFOG</v>
      </c>
      <c r="S2071">
        <f t="shared" si="620"/>
        <v>0</v>
      </c>
      <c r="T2071">
        <f t="shared" si="621"/>
        <v>0</v>
      </c>
      <c r="U2071" t="str">
        <f>IF('906MP'!J1771&gt;0,CONCATENATE('906MP'!J1771," - ",'906MP'!P1771,", ",'906MP'!E1771),"nincs megjegyzés")</f>
        <v>nincs megjegyzés</v>
      </c>
      <c r="V2071" t="str">
        <f t="shared" si="608"/>
        <v>0P0</v>
      </c>
      <c r="W2071" t="str">
        <f t="shared" si="609"/>
        <v>0P0</v>
      </c>
      <c r="X2071" t="str">
        <f t="shared" si="610"/>
        <v>P0</v>
      </c>
      <c r="Y2071" t="str">
        <f t="shared" si="611"/>
        <v>00</v>
      </c>
      <c r="Z2071" t="str">
        <f t="shared" si="622"/>
        <v>00</v>
      </c>
      <c r="AA2071" t="str">
        <f t="shared" si="612"/>
        <v>00</v>
      </c>
      <c r="AB2071" t="str">
        <f t="shared" si="613"/>
        <v>00</v>
      </c>
      <c r="AC2071" t="str">
        <f t="shared" si="614"/>
        <v>0P0</v>
      </c>
      <c r="AD2071" t="str">
        <f t="shared" si="615"/>
        <v>P00</v>
      </c>
      <c r="AE2071" t="str">
        <f t="shared" si="616"/>
        <v>0P0</v>
      </c>
      <c r="AF2071" t="str">
        <f t="shared" si="617"/>
        <v>P00</v>
      </c>
      <c r="AG2071" t="str">
        <f t="shared" si="623"/>
        <v>0P00</v>
      </c>
      <c r="AH2071" t="str">
        <f t="shared" si="624"/>
        <v>P000</v>
      </c>
      <c r="AI2071" t="str">
        <f t="shared" si="625"/>
        <v>0P00</v>
      </c>
      <c r="AJ2071" t="str">
        <f t="shared" si="626"/>
        <v>P000</v>
      </c>
    </row>
    <row r="2072" spans="1:36" x14ac:dyDescent="0.25">
      <c r="A2072" s="325" t="str">
        <f>CONCATENATE("P",'906MP'!M1772)</f>
        <v>P</v>
      </c>
      <c r="B2072">
        <f>'906MP'!H1772</f>
        <v>0</v>
      </c>
      <c r="C2072">
        <f>'906MP'!J1772</f>
        <v>0</v>
      </c>
      <c r="D2072">
        <f>'906MP'!P1772</f>
        <v>0</v>
      </c>
      <c r="E2072">
        <f>'906MP'!X1772</f>
        <v>0</v>
      </c>
      <c r="F2072" t="str">
        <f t="shared" si="618"/>
        <v>0</v>
      </c>
      <c r="G2072" t="str">
        <f t="shared" si="619"/>
        <v>0</v>
      </c>
      <c r="H2072">
        <f>'906MP'!Y1772</f>
        <v>0</v>
      </c>
      <c r="I2072">
        <f>'906MP'!AK1772</f>
        <v>0</v>
      </c>
      <c r="J2072">
        <f>'906MP'!T1772</f>
        <v>0</v>
      </c>
      <c r="K2072">
        <f>'906MP'!AJ1772</f>
        <v>0</v>
      </c>
      <c r="L2072">
        <f>'906MP'!U1772</f>
        <v>0</v>
      </c>
      <c r="M2072" s="322" t="str">
        <f>IFERROR(VLOOKUP(A2072,PAR!$D$3:$E$53,2,FALSE),"nincs szervezet")</f>
        <v>nincs szervezet</v>
      </c>
      <c r="N2072" s="322" t="str">
        <f>VLOOKUP(F2072,PAR!$R$3:$S$5,2,FALSE)</f>
        <v>3 - egyik sem</v>
      </c>
      <c r="O2072" t="str">
        <f>IFERROR(VLOOKUP(J2072,PAR!$O$3:$P$5,2,FALSE),"nincs feladat")</f>
        <v>nincs feladat</v>
      </c>
      <c r="P2072" t="str">
        <f>IFERROR(VLOOKUP(G2072,PAR!$J$2:$M$19,4),"nincs rovat")</f>
        <v>nincs rovat</v>
      </c>
      <c r="Q2072" t="str">
        <f>IF(H2072&gt;0,VLOOKUP(H2072,PAR!$AA$3:$AC$187,3,FALSE),"nincs főkönyvi számla")</f>
        <v>nincs főkönyvi számla</v>
      </c>
      <c r="R2072" t="str">
        <f>IFERROR(VLOOKUP(K2072,PAR!$V$3:$X$438,3,FALSE),"000000 - Nincs COFOG")</f>
        <v>000000 - Nincs COFOG</v>
      </c>
      <c r="S2072">
        <f t="shared" si="620"/>
        <v>0</v>
      </c>
      <c r="T2072">
        <f t="shared" si="621"/>
        <v>0</v>
      </c>
      <c r="U2072" t="str">
        <f>IF('906MP'!J1772&gt;0,CONCATENATE('906MP'!J1772," - ",'906MP'!P1772,", ",'906MP'!E1772),"nincs megjegyzés")</f>
        <v>nincs megjegyzés</v>
      </c>
      <c r="V2072" t="str">
        <f t="shared" si="608"/>
        <v>0P0</v>
      </c>
      <c r="W2072" t="str">
        <f t="shared" si="609"/>
        <v>0P0</v>
      </c>
      <c r="X2072" t="str">
        <f t="shared" si="610"/>
        <v>P0</v>
      </c>
      <c r="Y2072" t="str">
        <f t="shared" si="611"/>
        <v>00</v>
      </c>
      <c r="Z2072" t="str">
        <f t="shared" si="622"/>
        <v>00</v>
      </c>
      <c r="AA2072" t="str">
        <f t="shared" si="612"/>
        <v>00</v>
      </c>
      <c r="AB2072" t="str">
        <f t="shared" si="613"/>
        <v>00</v>
      </c>
      <c r="AC2072" t="str">
        <f t="shared" si="614"/>
        <v>0P0</v>
      </c>
      <c r="AD2072" t="str">
        <f t="shared" si="615"/>
        <v>P00</v>
      </c>
      <c r="AE2072" t="str">
        <f t="shared" si="616"/>
        <v>0P0</v>
      </c>
      <c r="AF2072" t="str">
        <f t="shared" si="617"/>
        <v>P00</v>
      </c>
      <c r="AG2072" t="str">
        <f t="shared" si="623"/>
        <v>0P00</v>
      </c>
      <c r="AH2072" t="str">
        <f t="shared" si="624"/>
        <v>P000</v>
      </c>
      <c r="AI2072" t="str">
        <f t="shared" si="625"/>
        <v>0P00</v>
      </c>
      <c r="AJ2072" t="str">
        <f t="shared" si="626"/>
        <v>P000</v>
      </c>
    </row>
    <row r="2073" spans="1:36" x14ac:dyDescent="0.25">
      <c r="A2073" s="325" t="str">
        <f>CONCATENATE("P",'906MP'!M1773)</f>
        <v>P</v>
      </c>
      <c r="B2073">
        <f>'906MP'!H1773</f>
        <v>0</v>
      </c>
      <c r="C2073">
        <f>'906MP'!J1773</f>
        <v>0</v>
      </c>
      <c r="D2073">
        <f>'906MP'!P1773</f>
        <v>0</v>
      </c>
      <c r="E2073">
        <f>'906MP'!X1773</f>
        <v>0</v>
      </c>
      <c r="F2073" t="str">
        <f t="shared" si="618"/>
        <v>0</v>
      </c>
      <c r="G2073" t="str">
        <f t="shared" si="619"/>
        <v>0</v>
      </c>
      <c r="H2073">
        <f>'906MP'!Y1773</f>
        <v>0</v>
      </c>
      <c r="I2073">
        <f>'906MP'!AK1773</f>
        <v>0</v>
      </c>
      <c r="J2073">
        <f>'906MP'!T1773</f>
        <v>0</v>
      </c>
      <c r="K2073">
        <f>'906MP'!AJ1773</f>
        <v>0</v>
      </c>
      <c r="L2073">
        <f>'906MP'!U1773</f>
        <v>0</v>
      </c>
      <c r="M2073" s="322" t="str">
        <f>IFERROR(VLOOKUP(A2073,PAR!$D$3:$E$53,2,FALSE),"nincs szervezet")</f>
        <v>nincs szervezet</v>
      </c>
      <c r="N2073" s="322" t="str">
        <f>VLOOKUP(F2073,PAR!$R$3:$S$5,2,FALSE)</f>
        <v>3 - egyik sem</v>
      </c>
      <c r="O2073" t="str">
        <f>IFERROR(VLOOKUP(J2073,PAR!$O$3:$P$5,2,FALSE),"nincs feladat")</f>
        <v>nincs feladat</v>
      </c>
      <c r="P2073" t="str">
        <f>IFERROR(VLOOKUP(G2073,PAR!$J$2:$M$19,4),"nincs rovat")</f>
        <v>nincs rovat</v>
      </c>
      <c r="Q2073" t="str">
        <f>IF(H2073&gt;0,VLOOKUP(H2073,PAR!$AA$3:$AC$187,3,FALSE),"nincs főkönyvi számla")</f>
        <v>nincs főkönyvi számla</v>
      </c>
      <c r="R2073" t="str">
        <f>IFERROR(VLOOKUP(K2073,PAR!$V$3:$X$438,3,FALSE),"000000 - Nincs COFOG")</f>
        <v>000000 - Nincs COFOG</v>
      </c>
      <c r="S2073">
        <f t="shared" si="620"/>
        <v>0</v>
      </c>
      <c r="T2073">
        <f t="shared" si="621"/>
        <v>0</v>
      </c>
      <c r="U2073" t="str">
        <f>IF('906MP'!J1773&gt;0,CONCATENATE('906MP'!J1773," - ",'906MP'!P1773,", ",'906MP'!E1773),"nincs megjegyzés")</f>
        <v>nincs megjegyzés</v>
      </c>
      <c r="V2073" t="str">
        <f t="shared" si="608"/>
        <v>0P0</v>
      </c>
      <c r="W2073" t="str">
        <f t="shared" si="609"/>
        <v>0P0</v>
      </c>
      <c r="X2073" t="str">
        <f t="shared" si="610"/>
        <v>P0</v>
      </c>
      <c r="Y2073" t="str">
        <f t="shared" si="611"/>
        <v>00</v>
      </c>
      <c r="Z2073" t="str">
        <f t="shared" si="622"/>
        <v>00</v>
      </c>
      <c r="AA2073" t="str">
        <f t="shared" si="612"/>
        <v>00</v>
      </c>
      <c r="AB2073" t="str">
        <f t="shared" si="613"/>
        <v>00</v>
      </c>
      <c r="AC2073" t="str">
        <f t="shared" si="614"/>
        <v>0P0</v>
      </c>
      <c r="AD2073" t="str">
        <f t="shared" si="615"/>
        <v>P00</v>
      </c>
      <c r="AE2073" t="str">
        <f t="shared" si="616"/>
        <v>0P0</v>
      </c>
      <c r="AF2073" t="str">
        <f t="shared" si="617"/>
        <v>P00</v>
      </c>
      <c r="AG2073" t="str">
        <f t="shared" si="623"/>
        <v>0P00</v>
      </c>
      <c r="AH2073" t="str">
        <f t="shared" si="624"/>
        <v>P000</v>
      </c>
      <c r="AI2073" t="str">
        <f t="shared" si="625"/>
        <v>0P00</v>
      </c>
      <c r="AJ2073" t="str">
        <f t="shared" si="626"/>
        <v>P000</v>
      </c>
    </row>
    <row r="2074" spans="1:36" x14ac:dyDescent="0.25">
      <c r="A2074" s="325" t="str">
        <f>CONCATENATE("P",'906MP'!M1774)</f>
        <v>P</v>
      </c>
      <c r="B2074">
        <f>'906MP'!H1774</f>
        <v>0</v>
      </c>
      <c r="C2074">
        <f>'906MP'!J1774</f>
        <v>0</v>
      </c>
      <c r="D2074">
        <f>'906MP'!P1774</f>
        <v>0</v>
      </c>
      <c r="E2074">
        <f>'906MP'!X1774</f>
        <v>0</v>
      </c>
      <c r="F2074" t="str">
        <f t="shared" si="618"/>
        <v>0</v>
      </c>
      <c r="G2074" t="str">
        <f t="shared" si="619"/>
        <v>0</v>
      </c>
      <c r="H2074">
        <f>'906MP'!Y1774</f>
        <v>0</v>
      </c>
      <c r="I2074">
        <f>'906MP'!AK1774</f>
        <v>0</v>
      </c>
      <c r="J2074">
        <f>'906MP'!T1774</f>
        <v>0</v>
      </c>
      <c r="K2074">
        <f>'906MP'!AJ1774</f>
        <v>0</v>
      </c>
      <c r="L2074">
        <f>'906MP'!U1774</f>
        <v>0</v>
      </c>
      <c r="M2074" s="322" t="str">
        <f>IFERROR(VLOOKUP(A2074,PAR!$D$3:$E$53,2,FALSE),"nincs szervezet")</f>
        <v>nincs szervezet</v>
      </c>
      <c r="N2074" s="322" t="str">
        <f>VLOOKUP(F2074,PAR!$R$3:$S$5,2,FALSE)</f>
        <v>3 - egyik sem</v>
      </c>
      <c r="O2074" t="str">
        <f>IFERROR(VLOOKUP(J2074,PAR!$O$3:$P$5,2,FALSE),"nincs feladat")</f>
        <v>nincs feladat</v>
      </c>
      <c r="P2074" t="str">
        <f>IFERROR(VLOOKUP(G2074,PAR!$J$2:$M$19,4),"nincs rovat")</f>
        <v>nincs rovat</v>
      </c>
      <c r="Q2074" t="str">
        <f>IF(H2074&gt;0,VLOOKUP(H2074,PAR!$AA$3:$AC$187,3,FALSE),"nincs főkönyvi számla")</f>
        <v>nincs főkönyvi számla</v>
      </c>
      <c r="R2074" t="str">
        <f>IFERROR(VLOOKUP(K2074,PAR!$V$3:$X$438,3,FALSE),"000000 - Nincs COFOG")</f>
        <v>000000 - Nincs COFOG</v>
      </c>
      <c r="S2074">
        <f t="shared" si="620"/>
        <v>0</v>
      </c>
      <c r="T2074">
        <f t="shared" si="621"/>
        <v>0</v>
      </c>
      <c r="U2074" t="str">
        <f>IF('906MP'!J1774&gt;0,CONCATENATE('906MP'!J1774," - ",'906MP'!P1774,", ",'906MP'!E1774),"nincs megjegyzés")</f>
        <v>nincs megjegyzés</v>
      </c>
      <c r="V2074" t="str">
        <f t="shared" si="608"/>
        <v>0P0</v>
      </c>
      <c r="W2074" t="str">
        <f t="shared" si="609"/>
        <v>0P0</v>
      </c>
      <c r="X2074" t="str">
        <f t="shared" si="610"/>
        <v>P0</v>
      </c>
      <c r="Y2074" t="str">
        <f t="shared" si="611"/>
        <v>00</v>
      </c>
      <c r="Z2074" t="str">
        <f t="shared" si="622"/>
        <v>00</v>
      </c>
      <c r="AA2074" t="str">
        <f t="shared" si="612"/>
        <v>00</v>
      </c>
      <c r="AB2074" t="str">
        <f t="shared" si="613"/>
        <v>00</v>
      </c>
      <c r="AC2074" t="str">
        <f t="shared" si="614"/>
        <v>0P0</v>
      </c>
      <c r="AD2074" t="str">
        <f t="shared" si="615"/>
        <v>P00</v>
      </c>
      <c r="AE2074" t="str">
        <f t="shared" si="616"/>
        <v>0P0</v>
      </c>
      <c r="AF2074" t="str">
        <f t="shared" si="617"/>
        <v>P00</v>
      </c>
      <c r="AG2074" t="str">
        <f t="shared" si="623"/>
        <v>0P00</v>
      </c>
      <c r="AH2074" t="str">
        <f t="shared" si="624"/>
        <v>P000</v>
      </c>
      <c r="AI2074" t="str">
        <f t="shared" si="625"/>
        <v>0P00</v>
      </c>
      <c r="AJ2074" t="str">
        <f t="shared" si="626"/>
        <v>P000</v>
      </c>
    </row>
    <row r="2075" spans="1:36" x14ac:dyDescent="0.25">
      <c r="A2075" s="325" t="str">
        <f>CONCATENATE("P",'906MP'!M1775)</f>
        <v>P</v>
      </c>
      <c r="B2075">
        <f>'906MP'!H1775</f>
        <v>0</v>
      </c>
      <c r="C2075">
        <f>'906MP'!J1775</f>
        <v>0</v>
      </c>
      <c r="D2075">
        <f>'906MP'!P1775</f>
        <v>0</v>
      </c>
      <c r="E2075">
        <f>'906MP'!X1775</f>
        <v>0</v>
      </c>
      <c r="F2075" t="str">
        <f t="shared" si="618"/>
        <v>0</v>
      </c>
      <c r="G2075" t="str">
        <f t="shared" si="619"/>
        <v>0</v>
      </c>
      <c r="H2075">
        <f>'906MP'!Y1775</f>
        <v>0</v>
      </c>
      <c r="I2075">
        <f>'906MP'!AK1775</f>
        <v>0</v>
      </c>
      <c r="J2075">
        <f>'906MP'!T1775</f>
        <v>0</v>
      </c>
      <c r="K2075">
        <f>'906MP'!AJ1775</f>
        <v>0</v>
      </c>
      <c r="L2075">
        <f>'906MP'!U1775</f>
        <v>0</v>
      </c>
      <c r="M2075" s="322" t="str">
        <f>IFERROR(VLOOKUP(A2075,PAR!$D$3:$E$53,2,FALSE),"nincs szervezet")</f>
        <v>nincs szervezet</v>
      </c>
      <c r="N2075" s="322" t="str">
        <f>VLOOKUP(F2075,PAR!$R$3:$S$5,2,FALSE)</f>
        <v>3 - egyik sem</v>
      </c>
      <c r="O2075" t="str">
        <f>IFERROR(VLOOKUP(J2075,PAR!$O$3:$P$5,2,FALSE),"nincs feladat")</f>
        <v>nincs feladat</v>
      </c>
      <c r="P2075" t="str">
        <f>IFERROR(VLOOKUP(G2075,PAR!$J$2:$M$19,4),"nincs rovat")</f>
        <v>nincs rovat</v>
      </c>
      <c r="Q2075" t="str">
        <f>IF(H2075&gt;0,VLOOKUP(H2075,PAR!$AA$3:$AC$187,3,FALSE),"nincs főkönyvi számla")</f>
        <v>nincs főkönyvi számla</v>
      </c>
      <c r="R2075" t="str">
        <f>IFERROR(VLOOKUP(K2075,PAR!$V$3:$X$438,3,FALSE),"000000 - Nincs COFOG")</f>
        <v>000000 - Nincs COFOG</v>
      </c>
      <c r="S2075">
        <f t="shared" si="620"/>
        <v>0</v>
      </c>
      <c r="T2075">
        <f t="shared" si="621"/>
        <v>0</v>
      </c>
      <c r="U2075" t="str">
        <f>IF('906MP'!J1775&gt;0,CONCATENATE('906MP'!J1775," - ",'906MP'!P1775,", ",'906MP'!E1775),"nincs megjegyzés")</f>
        <v>nincs megjegyzés</v>
      </c>
      <c r="V2075" t="str">
        <f t="shared" si="608"/>
        <v>0P0</v>
      </c>
      <c r="W2075" t="str">
        <f t="shared" si="609"/>
        <v>0P0</v>
      </c>
      <c r="X2075" t="str">
        <f t="shared" si="610"/>
        <v>P0</v>
      </c>
      <c r="Y2075" t="str">
        <f t="shared" si="611"/>
        <v>00</v>
      </c>
      <c r="Z2075" t="str">
        <f t="shared" si="622"/>
        <v>00</v>
      </c>
      <c r="AA2075" t="str">
        <f t="shared" si="612"/>
        <v>00</v>
      </c>
      <c r="AB2075" t="str">
        <f t="shared" si="613"/>
        <v>00</v>
      </c>
      <c r="AC2075" t="str">
        <f t="shared" si="614"/>
        <v>0P0</v>
      </c>
      <c r="AD2075" t="str">
        <f t="shared" si="615"/>
        <v>P00</v>
      </c>
      <c r="AE2075" t="str">
        <f t="shared" si="616"/>
        <v>0P0</v>
      </c>
      <c r="AF2075" t="str">
        <f t="shared" si="617"/>
        <v>P00</v>
      </c>
      <c r="AG2075" t="str">
        <f t="shared" si="623"/>
        <v>0P00</v>
      </c>
      <c r="AH2075" t="str">
        <f t="shared" si="624"/>
        <v>P000</v>
      </c>
      <c r="AI2075" t="str">
        <f t="shared" si="625"/>
        <v>0P00</v>
      </c>
      <c r="AJ2075" t="str">
        <f t="shared" si="626"/>
        <v>P000</v>
      </c>
    </row>
    <row r="2076" spans="1:36" x14ac:dyDescent="0.25">
      <c r="A2076" s="325" t="str">
        <f>CONCATENATE("P",'906MP'!M1776)</f>
        <v>P</v>
      </c>
      <c r="B2076">
        <f>'906MP'!H1776</f>
        <v>0</v>
      </c>
      <c r="C2076">
        <f>'906MP'!J1776</f>
        <v>0</v>
      </c>
      <c r="D2076">
        <f>'906MP'!P1776</f>
        <v>0</v>
      </c>
      <c r="E2076">
        <f>'906MP'!X1776</f>
        <v>0</v>
      </c>
      <c r="F2076" t="str">
        <f t="shared" si="618"/>
        <v>0</v>
      </c>
      <c r="G2076" t="str">
        <f t="shared" si="619"/>
        <v>0</v>
      </c>
      <c r="H2076">
        <f>'906MP'!Y1776</f>
        <v>0</v>
      </c>
      <c r="I2076">
        <f>'906MP'!AK1776</f>
        <v>0</v>
      </c>
      <c r="J2076">
        <f>'906MP'!T1776</f>
        <v>0</v>
      </c>
      <c r="K2076">
        <f>'906MP'!AJ1776</f>
        <v>0</v>
      </c>
      <c r="L2076">
        <f>'906MP'!U1776</f>
        <v>0</v>
      </c>
      <c r="M2076" s="322" t="str">
        <f>IFERROR(VLOOKUP(A2076,PAR!$D$3:$E$53,2,FALSE),"nincs szervezet")</f>
        <v>nincs szervezet</v>
      </c>
      <c r="N2076" s="322" t="str">
        <f>VLOOKUP(F2076,PAR!$R$3:$S$5,2,FALSE)</f>
        <v>3 - egyik sem</v>
      </c>
      <c r="O2076" t="str">
        <f>IFERROR(VLOOKUP(J2076,PAR!$O$3:$P$5,2,FALSE),"nincs feladat")</f>
        <v>nincs feladat</v>
      </c>
      <c r="P2076" t="str">
        <f>IFERROR(VLOOKUP(G2076,PAR!$J$2:$M$19,4),"nincs rovat")</f>
        <v>nincs rovat</v>
      </c>
      <c r="Q2076" t="str">
        <f>IF(H2076&gt;0,VLOOKUP(H2076,PAR!$AA$3:$AC$187,3,FALSE),"nincs főkönyvi számla")</f>
        <v>nincs főkönyvi számla</v>
      </c>
      <c r="R2076" t="str">
        <f>IFERROR(VLOOKUP(K2076,PAR!$V$3:$X$438,3,FALSE),"000000 - Nincs COFOG")</f>
        <v>000000 - Nincs COFOG</v>
      </c>
      <c r="S2076">
        <f t="shared" si="620"/>
        <v>0</v>
      </c>
      <c r="T2076">
        <f t="shared" si="621"/>
        <v>0</v>
      </c>
      <c r="U2076" t="str">
        <f>IF('906MP'!J1776&gt;0,CONCATENATE('906MP'!J1776," - ",'906MP'!P1776,", ",'906MP'!E1776),"nincs megjegyzés")</f>
        <v>nincs megjegyzés</v>
      </c>
      <c r="V2076" t="str">
        <f t="shared" si="608"/>
        <v>0P0</v>
      </c>
      <c r="W2076" t="str">
        <f t="shared" si="609"/>
        <v>0P0</v>
      </c>
      <c r="X2076" t="str">
        <f t="shared" si="610"/>
        <v>P0</v>
      </c>
      <c r="Y2076" t="str">
        <f t="shared" si="611"/>
        <v>00</v>
      </c>
      <c r="Z2076" t="str">
        <f t="shared" si="622"/>
        <v>00</v>
      </c>
      <c r="AA2076" t="str">
        <f t="shared" si="612"/>
        <v>00</v>
      </c>
      <c r="AB2076" t="str">
        <f t="shared" si="613"/>
        <v>00</v>
      </c>
      <c r="AC2076" t="str">
        <f t="shared" si="614"/>
        <v>0P0</v>
      </c>
      <c r="AD2076" t="str">
        <f t="shared" si="615"/>
        <v>P00</v>
      </c>
      <c r="AE2076" t="str">
        <f t="shared" si="616"/>
        <v>0P0</v>
      </c>
      <c r="AF2076" t="str">
        <f t="shared" si="617"/>
        <v>P00</v>
      </c>
      <c r="AG2076" t="str">
        <f t="shared" si="623"/>
        <v>0P00</v>
      </c>
      <c r="AH2076" t="str">
        <f t="shared" si="624"/>
        <v>P000</v>
      </c>
      <c r="AI2076" t="str">
        <f t="shared" si="625"/>
        <v>0P00</v>
      </c>
      <c r="AJ2076" t="str">
        <f t="shared" si="626"/>
        <v>P000</v>
      </c>
    </row>
    <row r="2077" spans="1:36" x14ac:dyDescent="0.25">
      <c r="A2077" s="325" t="str">
        <f>CONCATENATE("P",'906MP'!M1777)</f>
        <v>P</v>
      </c>
      <c r="B2077">
        <f>'906MP'!H1777</f>
        <v>0</v>
      </c>
      <c r="C2077">
        <f>'906MP'!J1777</f>
        <v>0</v>
      </c>
      <c r="D2077">
        <f>'906MP'!P1777</f>
        <v>0</v>
      </c>
      <c r="E2077">
        <f>'906MP'!X1777</f>
        <v>0</v>
      </c>
      <c r="F2077" t="str">
        <f t="shared" si="618"/>
        <v>0</v>
      </c>
      <c r="G2077" t="str">
        <f t="shared" si="619"/>
        <v>0</v>
      </c>
      <c r="H2077">
        <f>'906MP'!Y1777</f>
        <v>0</v>
      </c>
      <c r="I2077">
        <f>'906MP'!AK1777</f>
        <v>0</v>
      </c>
      <c r="J2077">
        <f>'906MP'!T1777</f>
        <v>0</v>
      </c>
      <c r="K2077">
        <f>'906MP'!AJ1777</f>
        <v>0</v>
      </c>
      <c r="L2077">
        <f>'906MP'!U1777</f>
        <v>0</v>
      </c>
      <c r="M2077" s="322" t="str">
        <f>IFERROR(VLOOKUP(A2077,PAR!$D$3:$E$53,2,FALSE),"nincs szervezet")</f>
        <v>nincs szervezet</v>
      </c>
      <c r="N2077" s="322" t="str">
        <f>VLOOKUP(F2077,PAR!$R$3:$S$5,2,FALSE)</f>
        <v>3 - egyik sem</v>
      </c>
      <c r="O2077" t="str">
        <f>IFERROR(VLOOKUP(J2077,PAR!$O$3:$P$5,2,FALSE),"nincs feladat")</f>
        <v>nincs feladat</v>
      </c>
      <c r="P2077" t="str">
        <f>IFERROR(VLOOKUP(G2077,PAR!$J$2:$M$19,4),"nincs rovat")</f>
        <v>nincs rovat</v>
      </c>
      <c r="Q2077" t="str">
        <f>IF(H2077&gt;0,VLOOKUP(H2077,PAR!$AA$3:$AC$187,3,FALSE),"nincs főkönyvi számla")</f>
        <v>nincs főkönyvi számla</v>
      </c>
      <c r="R2077" t="str">
        <f>IFERROR(VLOOKUP(K2077,PAR!$V$3:$X$438,3,FALSE),"000000 - Nincs COFOG")</f>
        <v>000000 - Nincs COFOG</v>
      </c>
      <c r="S2077">
        <f t="shared" si="620"/>
        <v>0</v>
      </c>
      <c r="T2077">
        <f t="shared" si="621"/>
        <v>0</v>
      </c>
      <c r="U2077" t="str">
        <f>IF('906MP'!J1777&gt;0,CONCATENATE('906MP'!J1777," - ",'906MP'!P1777,", ",'906MP'!E1777),"nincs megjegyzés")</f>
        <v>nincs megjegyzés</v>
      </c>
      <c r="V2077" t="str">
        <f t="shared" si="608"/>
        <v>0P0</v>
      </c>
      <c r="W2077" t="str">
        <f t="shared" si="609"/>
        <v>0P0</v>
      </c>
      <c r="X2077" t="str">
        <f t="shared" si="610"/>
        <v>P0</v>
      </c>
      <c r="Y2077" t="str">
        <f t="shared" si="611"/>
        <v>00</v>
      </c>
      <c r="Z2077" t="str">
        <f t="shared" si="622"/>
        <v>00</v>
      </c>
      <c r="AA2077" t="str">
        <f t="shared" si="612"/>
        <v>00</v>
      </c>
      <c r="AB2077" t="str">
        <f t="shared" si="613"/>
        <v>00</v>
      </c>
      <c r="AC2077" t="str">
        <f t="shared" si="614"/>
        <v>0P0</v>
      </c>
      <c r="AD2077" t="str">
        <f t="shared" si="615"/>
        <v>P00</v>
      </c>
      <c r="AE2077" t="str">
        <f t="shared" si="616"/>
        <v>0P0</v>
      </c>
      <c r="AF2077" t="str">
        <f t="shared" si="617"/>
        <v>P00</v>
      </c>
      <c r="AG2077" t="str">
        <f t="shared" si="623"/>
        <v>0P00</v>
      </c>
      <c r="AH2077" t="str">
        <f t="shared" si="624"/>
        <v>P000</v>
      </c>
      <c r="AI2077" t="str">
        <f t="shared" si="625"/>
        <v>0P00</v>
      </c>
      <c r="AJ2077" t="str">
        <f t="shared" si="626"/>
        <v>P000</v>
      </c>
    </row>
    <row r="2078" spans="1:36" x14ac:dyDescent="0.25">
      <c r="A2078" s="325" t="str">
        <f>CONCATENATE("P",'906MP'!M1778)</f>
        <v>P</v>
      </c>
      <c r="B2078">
        <f>'906MP'!H1778</f>
        <v>0</v>
      </c>
      <c r="C2078">
        <f>'906MP'!J1778</f>
        <v>0</v>
      </c>
      <c r="D2078">
        <f>'906MP'!P1778</f>
        <v>0</v>
      </c>
      <c r="E2078">
        <f>'906MP'!X1778</f>
        <v>0</v>
      </c>
      <c r="F2078" t="str">
        <f t="shared" si="618"/>
        <v>0</v>
      </c>
      <c r="G2078" t="str">
        <f t="shared" si="619"/>
        <v>0</v>
      </c>
      <c r="H2078">
        <f>'906MP'!Y1778</f>
        <v>0</v>
      </c>
      <c r="I2078">
        <f>'906MP'!AK1778</f>
        <v>0</v>
      </c>
      <c r="J2078">
        <f>'906MP'!T1778</f>
        <v>0</v>
      </c>
      <c r="K2078">
        <f>'906MP'!AJ1778</f>
        <v>0</v>
      </c>
      <c r="L2078">
        <f>'906MP'!U1778</f>
        <v>0</v>
      </c>
      <c r="M2078" s="322" t="str">
        <f>IFERROR(VLOOKUP(A2078,PAR!$D$3:$E$53,2,FALSE),"nincs szervezet")</f>
        <v>nincs szervezet</v>
      </c>
      <c r="N2078" s="322" t="str">
        <f>VLOOKUP(F2078,PAR!$R$3:$S$5,2,FALSE)</f>
        <v>3 - egyik sem</v>
      </c>
      <c r="O2078" t="str">
        <f>IFERROR(VLOOKUP(J2078,PAR!$O$3:$P$5,2,FALSE),"nincs feladat")</f>
        <v>nincs feladat</v>
      </c>
      <c r="P2078" t="str">
        <f>IFERROR(VLOOKUP(G2078,PAR!$J$2:$M$19,4),"nincs rovat")</f>
        <v>nincs rovat</v>
      </c>
      <c r="Q2078" t="str">
        <f>IF(H2078&gt;0,VLOOKUP(H2078,PAR!$AA$3:$AC$187,3,FALSE),"nincs főkönyvi számla")</f>
        <v>nincs főkönyvi számla</v>
      </c>
      <c r="R2078" t="str">
        <f>IFERROR(VLOOKUP(K2078,PAR!$V$3:$X$438,3,FALSE),"000000 - Nincs COFOG")</f>
        <v>000000 - Nincs COFOG</v>
      </c>
      <c r="S2078">
        <f t="shared" si="620"/>
        <v>0</v>
      </c>
      <c r="T2078">
        <f t="shared" si="621"/>
        <v>0</v>
      </c>
      <c r="U2078" t="str">
        <f>IF('906MP'!J1778&gt;0,CONCATENATE('906MP'!J1778," - ",'906MP'!P1778,", ",'906MP'!E1778),"nincs megjegyzés")</f>
        <v>nincs megjegyzés</v>
      </c>
      <c r="V2078" t="str">
        <f t="shared" si="608"/>
        <v>0P0</v>
      </c>
      <c r="W2078" t="str">
        <f t="shared" si="609"/>
        <v>0P0</v>
      </c>
      <c r="X2078" t="str">
        <f t="shared" si="610"/>
        <v>P0</v>
      </c>
      <c r="Y2078" t="str">
        <f t="shared" si="611"/>
        <v>00</v>
      </c>
      <c r="Z2078" t="str">
        <f t="shared" si="622"/>
        <v>00</v>
      </c>
      <c r="AA2078" t="str">
        <f t="shared" si="612"/>
        <v>00</v>
      </c>
      <c r="AB2078" t="str">
        <f t="shared" si="613"/>
        <v>00</v>
      </c>
      <c r="AC2078" t="str">
        <f t="shared" si="614"/>
        <v>0P0</v>
      </c>
      <c r="AD2078" t="str">
        <f t="shared" si="615"/>
        <v>P00</v>
      </c>
      <c r="AE2078" t="str">
        <f t="shared" si="616"/>
        <v>0P0</v>
      </c>
      <c r="AF2078" t="str">
        <f t="shared" si="617"/>
        <v>P00</v>
      </c>
      <c r="AG2078" t="str">
        <f t="shared" si="623"/>
        <v>0P00</v>
      </c>
      <c r="AH2078" t="str">
        <f t="shared" si="624"/>
        <v>P000</v>
      </c>
      <c r="AI2078" t="str">
        <f t="shared" si="625"/>
        <v>0P00</v>
      </c>
      <c r="AJ2078" t="str">
        <f t="shared" si="626"/>
        <v>P000</v>
      </c>
    </row>
    <row r="2079" spans="1:36" x14ac:dyDescent="0.25">
      <c r="A2079" s="325" t="str">
        <f>CONCATENATE("P",'906MP'!M1779)</f>
        <v>P</v>
      </c>
      <c r="B2079">
        <f>'906MP'!H1779</f>
        <v>0</v>
      </c>
      <c r="C2079">
        <f>'906MP'!J1779</f>
        <v>0</v>
      </c>
      <c r="D2079">
        <f>'906MP'!P1779</f>
        <v>0</v>
      </c>
      <c r="E2079">
        <f>'906MP'!X1779</f>
        <v>0</v>
      </c>
      <c r="F2079" t="str">
        <f t="shared" si="618"/>
        <v>0</v>
      </c>
      <c r="G2079" t="str">
        <f t="shared" si="619"/>
        <v>0</v>
      </c>
      <c r="H2079">
        <f>'906MP'!Y1779</f>
        <v>0</v>
      </c>
      <c r="I2079">
        <f>'906MP'!AK1779</f>
        <v>0</v>
      </c>
      <c r="J2079">
        <f>'906MP'!T1779</f>
        <v>0</v>
      </c>
      <c r="K2079">
        <f>'906MP'!AJ1779</f>
        <v>0</v>
      </c>
      <c r="L2079">
        <f>'906MP'!U1779</f>
        <v>0</v>
      </c>
      <c r="M2079" s="322" t="str">
        <f>IFERROR(VLOOKUP(A2079,PAR!$D$3:$E$53,2,FALSE),"nincs szervezet")</f>
        <v>nincs szervezet</v>
      </c>
      <c r="N2079" s="322" t="str">
        <f>VLOOKUP(F2079,PAR!$R$3:$S$5,2,FALSE)</f>
        <v>3 - egyik sem</v>
      </c>
      <c r="O2079" t="str">
        <f>IFERROR(VLOOKUP(J2079,PAR!$O$3:$P$5,2,FALSE),"nincs feladat")</f>
        <v>nincs feladat</v>
      </c>
      <c r="P2079" t="str">
        <f>IFERROR(VLOOKUP(G2079,PAR!$J$2:$M$19,4),"nincs rovat")</f>
        <v>nincs rovat</v>
      </c>
      <c r="Q2079" t="str">
        <f>IF(H2079&gt;0,VLOOKUP(H2079,PAR!$AA$3:$AC$187,3,FALSE),"nincs főkönyvi számla")</f>
        <v>nincs főkönyvi számla</v>
      </c>
      <c r="R2079" t="str">
        <f>IFERROR(VLOOKUP(K2079,PAR!$V$3:$X$438,3,FALSE),"000000 - Nincs COFOG")</f>
        <v>000000 - Nincs COFOG</v>
      </c>
      <c r="S2079">
        <f t="shared" si="620"/>
        <v>0</v>
      </c>
      <c r="T2079">
        <f t="shared" si="621"/>
        <v>0</v>
      </c>
      <c r="U2079" t="str">
        <f>IF('906MP'!J1779&gt;0,CONCATENATE('906MP'!J1779," - ",'906MP'!P1779,", ",'906MP'!E1779),"nincs megjegyzés")</f>
        <v>nincs megjegyzés</v>
      </c>
      <c r="V2079" t="str">
        <f t="shared" si="608"/>
        <v>0P0</v>
      </c>
      <c r="W2079" t="str">
        <f t="shared" si="609"/>
        <v>0P0</v>
      </c>
      <c r="X2079" t="str">
        <f t="shared" si="610"/>
        <v>P0</v>
      </c>
      <c r="Y2079" t="str">
        <f t="shared" si="611"/>
        <v>00</v>
      </c>
      <c r="Z2079" t="str">
        <f t="shared" si="622"/>
        <v>00</v>
      </c>
      <c r="AA2079" t="str">
        <f t="shared" si="612"/>
        <v>00</v>
      </c>
      <c r="AB2079" t="str">
        <f t="shared" si="613"/>
        <v>00</v>
      </c>
      <c r="AC2079" t="str">
        <f t="shared" si="614"/>
        <v>0P0</v>
      </c>
      <c r="AD2079" t="str">
        <f t="shared" si="615"/>
        <v>P00</v>
      </c>
      <c r="AE2079" t="str">
        <f t="shared" si="616"/>
        <v>0P0</v>
      </c>
      <c r="AF2079" t="str">
        <f t="shared" si="617"/>
        <v>P00</v>
      </c>
      <c r="AG2079" t="str">
        <f t="shared" si="623"/>
        <v>0P00</v>
      </c>
      <c r="AH2079" t="str">
        <f t="shared" si="624"/>
        <v>P000</v>
      </c>
      <c r="AI2079" t="str">
        <f t="shared" si="625"/>
        <v>0P00</v>
      </c>
      <c r="AJ2079" t="str">
        <f t="shared" si="626"/>
        <v>P000</v>
      </c>
    </row>
    <row r="2080" spans="1:36" x14ac:dyDescent="0.25">
      <c r="A2080" s="325" t="str">
        <f>CONCATENATE("P",'906MP'!M1780)</f>
        <v>P</v>
      </c>
      <c r="B2080">
        <f>'906MP'!H1780</f>
        <v>0</v>
      </c>
      <c r="C2080">
        <f>'906MP'!J1780</f>
        <v>0</v>
      </c>
      <c r="D2080">
        <f>'906MP'!P1780</f>
        <v>0</v>
      </c>
      <c r="E2080">
        <f>'906MP'!X1780</f>
        <v>0</v>
      </c>
      <c r="F2080" t="str">
        <f t="shared" si="618"/>
        <v>0</v>
      </c>
      <c r="G2080" t="str">
        <f t="shared" si="619"/>
        <v>0</v>
      </c>
      <c r="H2080">
        <f>'906MP'!Y1780</f>
        <v>0</v>
      </c>
      <c r="I2080">
        <f>'906MP'!AK1780</f>
        <v>0</v>
      </c>
      <c r="J2080">
        <f>'906MP'!T1780</f>
        <v>0</v>
      </c>
      <c r="K2080">
        <f>'906MP'!AJ1780</f>
        <v>0</v>
      </c>
      <c r="L2080">
        <f>'906MP'!U1780</f>
        <v>0</v>
      </c>
      <c r="M2080" s="322" t="str">
        <f>IFERROR(VLOOKUP(A2080,PAR!$D$3:$E$53,2,FALSE),"nincs szervezet")</f>
        <v>nincs szervezet</v>
      </c>
      <c r="N2080" s="322" t="str">
        <f>VLOOKUP(F2080,PAR!$R$3:$S$5,2,FALSE)</f>
        <v>3 - egyik sem</v>
      </c>
      <c r="O2080" t="str">
        <f>IFERROR(VLOOKUP(J2080,PAR!$O$3:$P$5,2,FALSE),"nincs feladat")</f>
        <v>nincs feladat</v>
      </c>
      <c r="P2080" t="str">
        <f>IFERROR(VLOOKUP(G2080,PAR!$J$2:$M$19,4),"nincs rovat")</f>
        <v>nincs rovat</v>
      </c>
      <c r="Q2080" t="str">
        <f>IF(H2080&gt;0,VLOOKUP(H2080,PAR!$AA$3:$AC$187,3,FALSE),"nincs főkönyvi számla")</f>
        <v>nincs főkönyvi számla</v>
      </c>
      <c r="R2080" t="str">
        <f>IFERROR(VLOOKUP(K2080,PAR!$V$3:$X$438,3,FALSE),"000000 - Nincs COFOG")</f>
        <v>000000 - Nincs COFOG</v>
      </c>
      <c r="S2080">
        <f t="shared" si="620"/>
        <v>0</v>
      </c>
      <c r="T2080">
        <f t="shared" si="621"/>
        <v>0</v>
      </c>
      <c r="U2080" t="str">
        <f>IF('906MP'!J1780&gt;0,CONCATENATE('906MP'!J1780," - ",'906MP'!P1780,", ",'906MP'!E1780),"nincs megjegyzés")</f>
        <v>nincs megjegyzés</v>
      </c>
      <c r="V2080" t="str">
        <f t="shared" si="608"/>
        <v>0P0</v>
      </c>
      <c r="W2080" t="str">
        <f t="shared" si="609"/>
        <v>0P0</v>
      </c>
      <c r="X2080" t="str">
        <f t="shared" si="610"/>
        <v>P0</v>
      </c>
      <c r="Y2080" t="str">
        <f t="shared" si="611"/>
        <v>00</v>
      </c>
      <c r="Z2080" t="str">
        <f t="shared" si="622"/>
        <v>00</v>
      </c>
      <c r="AA2080" t="str">
        <f t="shared" si="612"/>
        <v>00</v>
      </c>
      <c r="AB2080" t="str">
        <f t="shared" si="613"/>
        <v>00</v>
      </c>
      <c r="AC2080" t="str">
        <f t="shared" si="614"/>
        <v>0P0</v>
      </c>
      <c r="AD2080" t="str">
        <f t="shared" si="615"/>
        <v>P00</v>
      </c>
      <c r="AE2080" t="str">
        <f t="shared" si="616"/>
        <v>0P0</v>
      </c>
      <c r="AF2080" t="str">
        <f t="shared" si="617"/>
        <v>P00</v>
      </c>
      <c r="AG2080" t="str">
        <f t="shared" si="623"/>
        <v>0P00</v>
      </c>
      <c r="AH2080" t="str">
        <f t="shared" si="624"/>
        <v>P000</v>
      </c>
      <c r="AI2080" t="str">
        <f t="shared" si="625"/>
        <v>0P00</v>
      </c>
      <c r="AJ2080" t="str">
        <f t="shared" si="626"/>
        <v>P000</v>
      </c>
    </row>
    <row r="2081" spans="1:36" x14ac:dyDescent="0.25">
      <c r="A2081" s="325" t="str">
        <f>CONCATENATE("P",'906MP'!M1781)</f>
        <v>P</v>
      </c>
      <c r="B2081">
        <f>'906MP'!H1781</f>
        <v>0</v>
      </c>
      <c r="C2081">
        <f>'906MP'!J1781</f>
        <v>0</v>
      </c>
      <c r="D2081">
        <f>'906MP'!P1781</f>
        <v>0</v>
      </c>
      <c r="E2081">
        <f>'906MP'!X1781</f>
        <v>0</v>
      </c>
      <c r="F2081" t="str">
        <f t="shared" si="618"/>
        <v>0</v>
      </c>
      <c r="G2081" t="str">
        <f t="shared" si="619"/>
        <v>0</v>
      </c>
      <c r="H2081">
        <f>'906MP'!Y1781</f>
        <v>0</v>
      </c>
      <c r="I2081">
        <f>'906MP'!AK1781</f>
        <v>0</v>
      </c>
      <c r="J2081">
        <f>'906MP'!T1781</f>
        <v>0</v>
      </c>
      <c r="K2081">
        <f>'906MP'!AJ1781</f>
        <v>0</v>
      </c>
      <c r="L2081">
        <f>'906MP'!U1781</f>
        <v>0</v>
      </c>
      <c r="M2081" s="322" t="str">
        <f>IFERROR(VLOOKUP(A2081,PAR!$D$3:$E$53,2,FALSE),"nincs szervezet")</f>
        <v>nincs szervezet</v>
      </c>
      <c r="N2081" s="322" t="str">
        <f>VLOOKUP(F2081,PAR!$R$3:$S$5,2,FALSE)</f>
        <v>3 - egyik sem</v>
      </c>
      <c r="O2081" t="str">
        <f>IFERROR(VLOOKUP(J2081,PAR!$O$3:$P$5,2,FALSE),"nincs feladat")</f>
        <v>nincs feladat</v>
      </c>
      <c r="P2081" t="str">
        <f>IFERROR(VLOOKUP(G2081,PAR!$J$2:$M$19,4),"nincs rovat")</f>
        <v>nincs rovat</v>
      </c>
      <c r="Q2081" t="str">
        <f>IF(H2081&gt;0,VLOOKUP(H2081,PAR!$AA$3:$AC$187,3,FALSE),"nincs főkönyvi számla")</f>
        <v>nincs főkönyvi számla</v>
      </c>
      <c r="R2081" t="str">
        <f>IFERROR(VLOOKUP(K2081,PAR!$V$3:$X$438,3,FALSE),"000000 - Nincs COFOG")</f>
        <v>000000 - Nincs COFOG</v>
      </c>
      <c r="S2081">
        <f t="shared" si="620"/>
        <v>0</v>
      </c>
      <c r="T2081">
        <f t="shared" si="621"/>
        <v>0</v>
      </c>
      <c r="U2081" t="str">
        <f>IF('906MP'!J1781&gt;0,CONCATENATE('906MP'!J1781," - ",'906MP'!P1781,", ",'906MP'!E1781),"nincs megjegyzés")</f>
        <v>nincs megjegyzés</v>
      </c>
      <c r="V2081" t="str">
        <f t="shared" si="608"/>
        <v>0P0</v>
      </c>
      <c r="W2081" t="str">
        <f t="shared" si="609"/>
        <v>0P0</v>
      </c>
      <c r="X2081" t="str">
        <f t="shared" si="610"/>
        <v>P0</v>
      </c>
      <c r="Y2081" t="str">
        <f t="shared" si="611"/>
        <v>00</v>
      </c>
      <c r="Z2081" t="str">
        <f t="shared" si="622"/>
        <v>00</v>
      </c>
      <c r="AA2081" t="str">
        <f t="shared" si="612"/>
        <v>00</v>
      </c>
      <c r="AB2081" t="str">
        <f t="shared" si="613"/>
        <v>00</v>
      </c>
      <c r="AC2081" t="str">
        <f t="shared" si="614"/>
        <v>0P0</v>
      </c>
      <c r="AD2081" t="str">
        <f t="shared" si="615"/>
        <v>P00</v>
      </c>
      <c r="AE2081" t="str">
        <f t="shared" si="616"/>
        <v>0P0</v>
      </c>
      <c r="AF2081" t="str">
        <f t="shared" si="617"/>
        <v>P00</v>
      </c>
      <c r="AG2081" t="str">
        <f t="shared" si="623"/>
        <v>0P00</v>
      </c>
      <c r="AH2081" t="str">
        <f t="shared" si="624"/>
        <v>P000</v>
      </c>
      <c r="AI2081" t="str">
        <f t="shared" si="625"/>
        <v>0P00</v>
      </c>
      <c r="AJ2081" t="str">
        <f t="shared" si="626"/>
        <v>P000</v>
      </c>
    </row>
    <row r="2082" spans="1:36" x14ac:dyDescent="0.25">
      <c r="A2082" s="325" t="str">
        <f>CONCATENATE("P",'906MP'!M1782)</f>
        <v>P</v>
      </c>
      <c r="B2082">
        <f>'906MP'!H1782</f>
        <v>0</v>
      </c>
      <c r="C2082">
        <f>'906MP'!J1782</f>
        <v>0</v>
      </c>
      <c r="D2082">
        <f>'906MP'!P1782</f>
        <v>0</v>
      </c>
      <c r="E2082">
        <f>'906MP'!X1782</f>
        <v>0</v>
      </c>
      <c r="F2082" t="str">
        <f t="shared" si="618"/>
        <v>0</v>
      </c>
      <c r="G2082" t="str">
        <f t="shared" si="619"/>
        <v>0</v>
      </c>
      <c r="H2082">
        <f>'906MP'!Y1782</f>
        <v>0</v>
      </c>
      <c r="I2082">
        <f>'906MP'!AK1782</f>
        <v>0</v>
      </c>
      <c r="J2082">
        <f>'906MP'!T1782</f>
        <v>0</v>
      </c>
      <c r="K2082">
        <f>'906MP'!AJ1782</f>
        <v>0</v>
      </c>
      <c r="L2082">
        <f>'906MP'!U1782</f>
        <v>0</v>
      </c>
      <c r="M2082" s="322" t="str">
        <f>IFERROR(VLOOKUP(A2082,PAR!$D$3:$E$53,2,FALSE),"nincs szervezet")</f>
        <v>nincs szervezet</v>
      </c>
      <c r="N2082" s="322" t="str">
        <f>VLOOKUP(F2082,PAR!$R$3:$S$5,2,FALSE)</f>
        <v>3 - egyik sem</v>
      </c>
      <c r="O2082" t="str">
        <f>IFERROR(VLOOKUP(J2082,PAR!$O$3:$P$5,2,FALSE),"nincs feladat")</f>
        <v>nincs feladat</v>
      </c>
      <c r="P2082" t="str">
        <f>IFERROR(VLOOKUP(G2082,PAR!$J$2:$M$19,4),"nincs rovat")</f>
        <v>nincs rovat</v>
      </c>
      <c r="Q2082" t="str">
        <f>IF(H2082&gt;0,VLOOKUP(H2082,PAR!$AA$3:$AC$187,3,FALSE),"nincs főkönyvi számla")</f>
        <v>nincs főkönyvi számla</v>
      </c>
      <c r="R2082" t="str">
        <f>IFERROR(VLOOKUP(K2082,PAR!$V$3:$X$438,3,FALSE),"000000 - Nincs COFOG")</f>
        <v>000000 - Nincs COFOG</v>
      </c>
      <c r="S2082">
        <f t="shared" si="620"/>
        <v>0</v>
      </c>
      <c r="T2082">
        <f t="shared" si="621"/>
        <v>0</v>
      </c>
      <c r="U2082" t="str">
        <f>IF('906MP'!J1782&gt;0,CONCATENATE('906MP'!J1782," - ",'906MP'!P1782,", ",'906MP'!E1782),"nincs megjegyzés")</f>
        <v>nincs megjegyzés</v>
      </c>
      <c r="V2082" t="str">
        <f t="shared" si="608"/>
        <v>0P0</v>
      </c>
      <c r="W2082" t="str">
        <f t="shared" si="609"/>
        <v>0P0</v>
      </c>
      <c r="X2082" t="str">
        <f t="shared" si="610"/>
        <v>P0</v>
      </c>
      <c r="Y2082" t="str">
        <f t="shared" si="611"/>
        <v>00</v>
      </c>
      <c r="Z2082" t="str">
        <f t="shared" si="622"/>
        <v>00</v>
      </c>
      <c r="AA2082" t="str">
        <f t="shared" si="612"/>
        <v>00</v>
      </c>
      <c r="AB2082" t="str">
        <f t="shared" si="613"/>
        <v>00</v>
      </c>
      <c r="AC2082" t="str">
        <f t="shared" si="614"/>
        <v>0P0</v>
      </c>
      <c r="AD2082" t="str">
        <f t="shared" si="615"/>
        <v>P00</v>
      </c>
      <c r="AE2082" t="str">
        <f t="shared" si="616"/>
        <v>0P0</v>
      </c>
      <c r="AF2082" t="str">
        <f t="shared" si="617"/>
        <v>P00</v>
      </c>
      <c r="AG2082" t="str">
        <f t="shared" si="623"/>
        <v>0P00</v>
      </c>
      <c r="AH2082" t="str">
        <f t="shared" si="624"/>
        <v>P000</v>
      </c>
      <c r="AI2082" t="str">
        <f t="shared" si="625"/>
        <v>0P00</v>
      </c>
      <c r="AJ2082" t="str">
        <f t="shared" si="626"/>
        <v>P000</v>
      </c>
    </row>
    <row r="2083" spans="1:36" x14ac:dyDescent="0.25">
      <c r="A2083" s="325" t="str">
        <f>CONCATENATE("P",'906MP'!M1783)</f>
        <v>P</v>
      </c>
      <c r="B2083">
        <f>'906MP'!H1783</f>
        <v>0</v>
      </c>
      <c r="C2083">
        <f>'906MP'!J1783</f>
        <v>0</v>
      </c>
      <c r="D2083">
        <f>'906MP'!P1783</f>
        <v>0</v>
      </c>
      <c r="E2083">
        <f>'906MP'!X1783</f>
        <v>0</v>
      </c>
      <c r="F2083" t="str">
        <f t="shared" si="618"/>
        <v>0</v>
      </c>
      <c r="G2083" t="str">
        <f t="shared" si="619"/>
        <v>0</v>
      </c>
      <c r="H2083">
        <f>'906MP'!Y1783</f>
        <v>0</v>
      </c>
      <c r="I2083">
        <f>'906MP'!AK1783</f>
        <v>0</v>
      </c>
      <c r="J2083">
        <f>'906MP'!T1783</f>
        <v>0</v>
      </c>
      <c r="K2083">
        <f>'906MP'!AJ1783</f>
        <v>0</v>
      </c>
      <c r="L2083">
        <f>'906MP'!U1783</f>
        <v>0</v>
      </c>
      <c r="M2083" s="322" t="str">
        <f>IFERROR(VLOOKUP(A2083,PAR!$D$3:$E$53,2,FALSE),"nincs szervezet")</f>
        <v>nincs szervezet</v>
      </c>
      <c r="N2083" s="322" t="str">
        <f>VLOOKUP(F2083,PAR!$R$3:$S$5,2,FALSE)</f>
        <v>3 - egyik sem</v>
      </c>
      <c r="O2083" t="str">
        <f>IFERROR(VLOOKUP(J2083,PAR!$O$3:$P$5,2,FALSE),"nincs feladat")</f>
        <v>nincs feladat</v>
      </c>
      <c r="P2083" t="str">
        <f>IFERROR(VLOOKUP(G2083,PAR!$J$2:$M$19,4),"nincs rovat")</f>
        <v>nincs rovat</v>
      </c>
      <c r="Q2083" t="str">
        <f>IF(H2083&gt;0,VLOOKUP(H2083,PAR!$AA$3:$AC$187,3,FALSE),"nincs főkönyvi számla")</f>
        <v>nincs főkönyvi számla</v>
      </c>
      <c r="R2083" t="str">
        <f>IFERROR(VLOOKUP(K2083,PAR!$V$3:$X$438,3,FALSE),"000000 - Nincs COFOG")</f>
        <v>000000 - Nincs COFOG</v>
      </c>
      <c r="S2083">
        <f t="shared" si="620"/>
        <v>0</v>
      </c>
      <c r="T2083">
        <f t="shared" si="621"/>
        <v>0</v>
      </c>
      <c r="U2083" t="str">
        <f>IF('906MP'!J1783&gt;0,CONCATENATE('906MP'!J1783," - ",'906MP'!P1783,", ",'906MP'!E1783),"nincs megjegyzés")</f>
        <v>nincs megjegyzés</v>
      </c>
      <c r="V2083" t="str">
        <f t="shared" si="608"/>
        <v>0P0</v>
      </c>
      <c r="W2083" t="str">
        <f t="shared" si="609"/>
        <v>0P0</v>
      </c>
      <c r="X2083" t="str">
        <f t="shared" si="610"/>
        <v>P0</v>
      </c>
      <c r="Y2083" t="str">
        <f t="shared" si="611"/>
        <v>00</v>
      </c>
      <c r="Z2083" t="str">
        <f t="shared" si="622"/>
        <v>00</v>
      </c>
      <c r="AA2083" t="str">
        <f t="shared" si="612"/>
        <v>00</v>
      </c>
      <c r="AB2083" t="str">
        <f t="shared" si="613"/>
        <v>00</v>
      </c>
      <c r="AC2083" t="str">
        <f t="shared" si="614"/>
        <v>0P0</v>
      </c>
      <c r="AD2083" t="str">
        <f t="shared" si="615"/>
        <v>P00</v>
      </c>
      <c r="AE2083" t="str">
        <f t="shared" si="616"/>
        <v>0P0</v>
      </c>
      <c r="AF2083" t="str">
        <f t="shared" si="617"/>
        <v>P00</v>
      </c>
      <c r="AG2083" t="str">
        <f t="shared" si="623"/>
        <v>0P00</v>
      </c>
      <c r="AH2083" t="str">
        <f t="shared" si="624"/>
        <v>P000</v>
      </c>
      <c r="AI2083" t="str">
        <f t="shared" si="625"/>
        <v>0P00</v>
      </c>
      <c r="AJ2083" t="str">
        <f t="shared" si="626"/>
        <v>P000</v>
      </c>
    </row>
    <row r="2084" spans="1:36" x14ac:dyDescent="0.25">
      <c r="A2084" s="325" t="str">
        <f>CONCATENATE("P",'906MP'!M1784)</f>
        <v>P</v>
      </c>
      <c r="B2084">
        <f>'906MP'!H1784</f>
        <v>0</v>
      </c>
      <c r="C2084">
        <f>'906MP'!J1784</f>
        <v>0</v>
      </c>
      <c r="D2084">
        <f>'906MP'!P1784</f>
        <v>0</v>
      </c>
      <c r="E2084">
        <f>'906MP'!X1784</f>
        <v>0</v>
      </c>
      <c r="F2084" t="str">
        <f t="shared" si="618"/>
        <v>0</v>
      </c>
      <c r="G2084" t="str">
        <f t="shared" si="619"/>
        <v>0</v>
      </c>
      <c r="H2084">
        <f>'906MP'!Y1784</f>
        <v>0</v>
      </c>
      <c r="I2084">
        <f>'906MP'!AK1784</f>
        <v>0</v>
      </c>
      <c r="J2084">
        <f>'906MP'!T1784</f>
        <v>0</v>
      </c>
      <c r="K2084">
        <f>'906MP'!AJ1784</f>
        <v>0</v>
      </c>
      <c r="L2084">
        <f>'906MP'!U1784</f>
        <v>0</v>
      </c>
      <c r="M2084" s="322" t="str">
        <f>IFERROR(VLOOKUP(A2084,PAR!$D$3:$E$53,2,FALSE),"nincs szervezet")</f>
        <v>nincs szervezet</v>
      </c>
      <c r="N2084" s="322" t="str">
        <f>VLOOKUP(F2084,PAR!$R$3:$S$5,2,FALSE)</f>
        <v>3 - egyik sem</v>
      </c>
      <c r="O2084" t="str">
        <f>IFERROR(VLOOKUP(J2084,PAR!$O$3:$P$5,2,FALSE),"nincs feladat")</f>
        <v>nincs feladat</v>
      </c>
      <c r="P2084" t="str">
        <f>IFERROR(VLOOKUP(G2084,PAR!$J$2:$M$19,4),"nincs rovat")</f>
        <v>nincs rovat</v>
      </c>
      <c r="Q2084" t="str">
        <f>IF(H2084&gt;0,VLOOKUP(H2084,PAR!$AA$3:$AC$187,3,FALSE),"nincs főkönyvi számla")</f>
        <v>nincs főkönyvi számla</v>
      </c>
      <c r="R2084" t="str">
        <f>IFERROR(VLOOKUP(K2084,PAR!$V$3:$X$438,3,FALSE),"000000 - Nincs COFOG")</f>
        <v>000000 - Nincs COFOG</v>
      </c>
      <c r="S2084">
        <f t="shared" si="620"/>
        <v>0</v>
      </c>
      <c r="T2084">
        <f t="shared" si="621"/>
        <v>0</v>
      </c>
      <c r="U2084" t="str">
        <f>IF('906MP'!J1784&gt;0,CONCATENATE('906MP'!J1784," - ",'906MP'!P1784,", ",'906MP'!E1784),"nincs megjegyzés")</f>
        <v>nincs megjegyzés</v>
      </c>
      <c r="V2084" t="str">
        <f t="shared" si="608"/>
        <v>0P0</v>
      </c>
      <c r="W2084" t="str">
        <f t="shared" si="609"/>
        <v>0P0</v>
      </c>
      <c r="X2084" t="str">
        <f t="shared" si="610"/>
        <v>P0</v>
      </c>
      <c r="Y2084" t="str">
        <f t="shared" si="611"/>
        <v>00</v>
      </c>
      <c r="Z2084" t="str">
        <f t="shared" si="622"/>
        <v>00</v>
      </c>
      <c r="AA2084" t="str">
        <f t="shared" si="612"/>
        <v>00</v>
      </c>
      <c r="AB2084" t="str">
        <f t="shared" si="613"/>
        <v>00</v>
      </c>
      <c r="AC2084" t="str">
        <f t="shared" si="614"/>
        <v>0P0</v>
      </c>
      <c r="AD2084" t="str">
        <f t="shared" si="615"/>
        <v>P00</v>
      </c>
      <c r="AE2084" t="str">
        <f t="shared" si="616"/>
        <v>0P0</v>
      </c>
      <c r="AF2084" t="str">
        <f t="shared" si="617"/>
        <v>P00</v>
      </c>
      <c r="AG2084" t="str">
        <f t="shared" si="623"/>
        <v>0P00</v>
      </c>
      <c r="AH2084" t="str">
        <f t="shared" si="624"/>
        <v>P000</v>
      </c>
      <c r="AI2084" t="str">
        <f t="shared" si="625"/>
        <v>0P00</v>
      </c>
      <c r="AJ2084" t="str">
        <f t="shared" si="626"/>
        <v>P000</v>
      </c>
    </row>
    <row r="2085" spans="1:36" x14ac:dyDescent="0.25">
      <c r="A2085" s="325" t="str">
        <f>CONCATENATE("P",'906MP'!M1785)</f>
        <v>P</v>
      </c>
      <c r="B2085">
        <f>'906MP'!H1785</f>
        <v>0</v>
      </c>
      <c r="C2085">
        <f>'906MP'!J1785</f>
        <v>0</v>
      </c>
      <c r="D2085">
        <f>'906MP'!P1785</f>
        <v>0</v>
      </c>
      <c r="E2085">
        <f>'906MP'!X1785</f>
        <v>0</v>
      </c>
      <c r="F2085" t="str">
        <f t="shared" si="618"/>
        <v>0</v>
      </c>
      <c r="G2085" t="str">
        <f t="shared" si="619"/>
        <v>0</v>
      </c>
      <c r="H2085">
        <f>'906MP'!Y1785</f>
        <v>0</v>
      </c>
      <c r="I2085">
        <f>'906MP'!AK1785</f>
        <v>0</v>
      </c>
      <c r="J2085">
        <f>'906MP'!T1785</f>
        <v>0</v>
      </c>
      <c r="K2085">
        <f>'906MP'!AJ1785</f>
        <v>0</v>
      </c>
      <c r="L2085">
        <f>'906MP'!U1785</f>
        <v>0</v>
      </c>
      <c r="M2085" s="322" t="str">
        <f>IFERROR(VLOOKUP(A2085,PAR!$D$3:$E$53,2,FALSE),"nincs szervezet")</f>
        <v>nincs szervezet</v>
      </c>
      <c r="N2085" s="322" t="str">
        <f>VLOOKUP(F2085,PAR!$R$3:$S$5,2,FALSE)</f>
        <v>3 - egyik sem</v>
      </c>
      <c r="O2085" t="str">
        <f>IFERROR(VLOOKUP(J2085,PAR!$O$3:$P$5,2,FALSE),"nincs feladat")</f>
        <v>nincs feladat</v>
      </c>
      <c r="P2085" t="str">
        <f>IFERROR(VLOOKUP(G2085,PAR!$J$2:$M$19,4),"nincs rovat")</f>
        <v>nincs rovat</v>
      </c>
      <c r="Q2085" t="str">
        <f>IF(H2085&gt;0,VLOOKUP(H2085,PAR!$AA$3:$AC$187,3,FALSE),"nincs főkönyvi számla")</f>
        <v>nincs főkönyvi számla</v>
      </c>
      <c r="R2085" t="str">
        <f>IFERROR(VLOOKUP(K2085,PAR!$V$3:$X$438,3,FALSE),"000000 - Nincs COFOG")</f>
        <v>000000 - Nincs COFOG</v>
      </c>
      <c r="S2085">
        <f t="shared" si="620"/>
        <v>0</v>
      </c>
      <c r="T2085">
        <f t="shared" si="621"/>
        <v>0</v>
      </c>
      <c r="U2085" t="str">
        <f>IF('906MP'!J1785&gt;0,CONCATENATE('906MP'!J1785," - ",'906MP'!P1785,", ",'906MP'!E1785),"nincs megjegyzés")</f>
        <v>nincs megjegyzés</v>
      </c>
      <c r="V2085" t="str">
        <f t="shared" si="608"/>
        <v>0P0</v>
      </c>
      <c r="W2085" t="str">
        <f t="shared" si="609"/>
        <v>0P0</v>
      </c>
      <c r="X2085" t="str">
        <f t="shared" si="610"/>
        <v>P0</v>
      </c>
      <c r="Y2085" t="str">
        <f t="shared" si="611"/>
        <v>00</v>
      </c>
      <c r="Z2085" t="str">
        <f t="shared" si="622"/>
        <v>00</v>
      </c>
      <c r="AA2085" t="str">
        <f t="shared" si="612"/>
        <v>00</v>
      </c>
      <c r="AB2085" t="str">
        <f t="shared" si="613"/>
        <v>00</v>
      </c>
      <c r="AC2085" t="str">
        <f t="shared" si="614"/>
        <v>0P0</v>
      </c>
      <c r="AD2085" t="str">
        <f t="shared" si="615"/>
        <v>P00</v>
      </c>
      <c r="AE2085" t="str">
        <f t="shared" si="616"/>
        <v>0P0</v>
      </c>
      <c r="AF2085" t="str">
        <f t="shared" si="617"/>
        <v>P00</v>
      </c>
      <c r="AG2085" t="str">
        <f t="shared" si="623"/>
        <v>0P00</v>
      </c>
      <c r="AH2085" t="str">
        <f t="shared" si="624"/>
        <v>P000</v>
      </c>
      <c r="AI2085" t="str">
        <f t="shared" si="625"/>
        <v>0P00</v>
      </c>
      <c r="AJ2085" t="str">
        <f t="shared" si="626"/>
        <v>P000</v>
      </c>
    </row>
    <row r="2086" spans="1:36" x14ac:dyDescent="0.25">
      <c r="A2086" s="325" t="str">
        <f>CONCATENATE("P",'906MP'!M1786)</f>
        <v>P</v>
      </c>
      <c r="B2086">
        <f>'906MP'!H1786</f>
        <v>0</v>
      </c>
      <c r="C2086">
        <f>'906MP'!J1786</f>
        <v>0</v>
      </c>
      <c r="D2086">
        <f>'906MP'!P1786</f>
        <v>0</v>
      </c>
      <c r="E2086">
        <f>'906MP'!X1786</f>
        <v>0</v>
      </c>
      <c r="F2086" t="str">
        <f t="shared" si="618"/>
        <v>0</v>
      </c>
      <c r="G2086" t="str">
        <f t="shared" si="619"/>
        <v>0</v>
      </c>
      <c r="H2086">
        <f>'906MP'!Y1786</f>
        <v>0</v>
      </c>
      <c r="I2086">
        <f>'906MP'!AK1786</f>
        <v>0</v>
      </c>
      <c r="J2086">
        <f>'906MP'!T1786</f>
        <v>0</v>
      </c>
      <c r="K2086">
        <f>'906MP'!AJ1786</f>
        <v>0</v>
      </c>
      <c r="L2086">
        <f>'906MP'!U1786</f>
        <v>0</v>
      </c>
      <c r="M2086" s="322" t="str">
        <f>IFERROR(VLOOKUP(A2086,PAR!$D$3:$E$53,2,FALSE),"nincs szervezet")</f>
        <v>nincs szervezet</v>
      </c>
      <c r="N2086" s="322" t="str">
        <f>VLOOKUP(F2086,PAR!$R$3:$S$5,2,FALSE)</f>
        <v>3 - egyik sem</v>
      </c>
      <c r="O2086" t="str">
        <f>IFERROR(VLOOKUP(J2086,PAR!$O$3:$P$5,2,FALSE),"nincs feladat")</f>
        <v>nincs feladat</v>
      </c>
      <c r="P2086" t="str">
        <f>IFERROR(VLOOKUP(G2086,PAR!$J$2:$M$19,4),"nincs rovat")</f>
        <v>nincs rovat</v>
      </c>
      <c r="Q2086" t="str">
        <f>IF(H2086&gt;0,VLOOKUP(H2086,PAR!$AA$3:$AC$187,3,FALSE),"nincs főkönyvi számla")</f>
        <v>nincs főkönyvi számla</v>
      </c>
      <c r="R2086" t="str">
        <f>IFERROR(VLOOKUP(K2086,PAR!$V$3:$X$438,3,FALSE),"000000 - Nincs COFOG")</f>
        <v>000000 - Nincs COFOG</v>
      </c>
      <c r="S2086">
        <f t="shared" si="620"/>
        <v>0</v>
      </c>
      <c r="T2086">
        <f t="shared" si="621"/>
        <v>0</v>
      </c>
      <c r="U2086" t="str">
        <f>IF('906MP'!J1786&gt;0,CONCATENATE('906MP'!J1786," - ",'906MP'!P1786,", ",'906MP'!E1786),"nincs megjegyzés")</f>
        <v>nincs megjegyzés</v>
      </c>
      <c r="V2086" t="str">
        <f t="shared" si="608"/>
        <v>0P0</v>
      </c>
      <c r="W2086" t="str">
        <f t="shared" si="609"/>
        <v>0P0</v>
      </c>
      <c r="X2086" t="str">
        <f t="shared" si="610"/>
        <v>P0</v>
      </c>
      <c r="Y2086" t="str">
        <f t="shared" si="611"/>
        <v>00</v>
      </c>
      <c r="Z2086" t="str">
        <f t="shared" si="622"/>
        <v>00</v>
      </c>
      <c r="AA2086" t="str">
        <f t="shared" si="612"/>
        <v>00</v>
      </c>
      <c r="AB2086" t="str">
        <f t="shared" si="613"/>
        <v>00</v>
      </c>
      <c r="AC2086" t="str">
        <f t="shared" si="614"/>
        <v>0P0</v>
      </c>
      <c r="AD2086" t="str">
        <f t="shared" si="615"/>
        <v>P00</v>
      </c>
      <c r="AE2086" t="str">
        <f t="shared" si="616"/>
        <v>0P0</v>
      </c>
      <c r="AF2086" t="str">
        <f t="shared" si="617"/>
        <v>P00</v>
      </c>
      <c r="AG2086" t="str">
        <f t="shared" si="623"/>
        <v>0P00</v>
      </c>
      <c r="AH2086" t="str">
        <f t="shared" si="624"/>
        <v>P000</v>
      </c>
      <c r="AI2086" t="str">
        <f t="shared" si="625"/>
        <v>0P00</v>
      </c>
      <c r="AJ2086" t="str">
        <f t="shared" si="626"/>
        <v>P000</v>
      </c>
    </row>
    <row r="2087" spans="1:36" x14ac:dyDescent="0.25">
      <c r="A2087" s="325" t="str">
        <f>CONCATENATE("P",'906MP'!M1787)</f>
        <v>P</v>
      </c>
      <c r="B2087">
        <f>'906MP'!H1787</f>
        <v>0</v>
      </c>
      <c r="C2087">
        <f>'906MP'!J1787</f>
        <v>0</v>
      </c>
      <c r="D2087">
        <f>'906MP'!P1787</f>
        <v>0</v>
      </c>
      <c r="E2087">
        <f>'906MP'!X1787</f>
        <v>0</v>
      </c>
      <c r="F2087" t="str">
        <f t="shared" si="618"/>
        <v>0</v>
      </c>
      <c r="G2087" t="str">
        <f t="shared" si="619"/>
        <v>0</v>
      </c>
      <c r="H2087">
        <f>'906MP'!Y1787</f>
        <v>0</v>
      </c>
      <c r="I2087">
        <f>'906MP'!AK1787</f>
        <v>0</v>
      </c>
      <c r="J2087">
        <f>'906MP'!T1787</f>
        <v>0</v>
      </c>
      <c r="K2087">
        <f>'906MP'!AJ1787</f>
        <v>0</v>
      </c>
      <c r="L2087">
        <f>'906MP'!U1787</f>
        <v>0</v>
      </c>
      <c r="M2087" s="322" t="str">
        <f>IFERROR(VLOOKUP(A2087,PAR!$D$3:$E$53,2,FALSE),"nincs szervezet")</f>
        <v>nincs szervezet</v>
      </c>
      <c r="N2087" s="322" t="str">
        <f>VLOOKUP(F2087,PAR!$R$3:$S$5,2,FALSE)</f>
        <v>3 - egyik sem</v>
      </c>
      <c r="O2087" t="str">
        <f>IFERROR(VLOOKUP(J2087,PAR!$O$3:$P$5,2,FALSE),"nincs feladat")</f>
        <v>nincs feladat</v>
      </c>
      <c r="P2087" t="str">
        <f>IFERROR(VLOOKUP(G2087,PAR!$J$2:$M$19,4),"nincs rovat")</f>
        <v>nincs rovat</v>
      </c>
      <c r="Q2087" t="str">
        <f>IF(H2087&gt;0,VLOOKUP(H2087,PAR!$AA$3:$AC$187,3,FALSE),"nincs főkönyvi számla")</f>
        <v>nincs főkönyvi számla</v>
      </c>
      <c r="R2087" t="str">
        <f>IFERROR(VLOOKUP(K2087,PAR!$V$3:$X$438,3,FALSE),"000000 - Nincs COFOG")</f>
        <v>000000 - Nincs COFOG</v>
      </c>
      <c r="S2087">
        <f t="shared" si="620"/>
        <v>0</v>
      </c>
      <c r="T2087">
        <f t="shared" si="621"/>
        <v>0</v>
      </c>
      <c r="U2087" t="str">
        <f>IF('906MP'!J1787&gt;0,CONCATENATE('906MP'!J1787," - ",'906MP'!P1787,", ",'906MP'!E1787),"nincs megjegyzés")</f>
        <v>nincs megjegyzés</v>
      </c>
      <c r="V2087" t="str">
        <f t="shared" si="608"/>
        <v>0P0</v>
      </c>
      <c r="W2087" t="str">
        <f t="shared" si="609"/>
        <v>0P0</v>
      </c>
      <c r="X2087" t="str">
        <f t="shared" si="610"/>
        <v>P0</v>
      </c>
      <c r="Y2087" t="str">
        <f t="shared" si="611"/>
        <v>00</v>
      </c>
      <c r="Z2087" t="str">
        <f t="shared" si="622"/>
        <v>00</v>
      </c>
      <c r="AA2087" t="str">
        <f t="shared" si="612"/>
        <v>00</v>
      </c>
      <c r="AB2087" t="str">
        <f t="shared" si="613"/>
        <v>00</v>
      </c>
      <c r="AC2087" t="str">
        <f t="shared" si="614"/>
        <v>0P0</v>
      </c>
      <c r="AD2087" t="str">
        <f t="shared" si="615"/>
        <v>P00</v>
      </c>
      <c r="AE2087" t="str">
        <f t="shared" si="616"/>
        <v>0P0</v>
      </c>
      <c r="AF2087" t="str">
        <f t="shared" si="617"/>
        <v>P00</v>
      </c>
      <c r="AG2087" t="str">
        <f t="shared" si="623"/>
        <v>0P00</v>
      </c>
      <c r="AH2087" t="str">
        <f t="shared" si="624"/>
        <v>P000</v>
      </c>
      <c r="AI2087" t="str">
        <f t="shared" si="625"/>
        <v>0P00</v>
      </c>
      <c r="AJ2087" t="str">
        <f t="shared" si="626"/>
        <v>P000</v>
      </c>
    </row>
    <row r="2088" spans="1:36" x14ac:dyDescent="0.25">
      <c r="A2088" s="325" t="str">
        <f>CONCATENATE("P",'906MP'!M1788)</f>
        <v>P</v>
      </c>
      <c r="B2088">
        <f>'906MP'!H1788</f>
        <v>0</v>
      </c>
      <c r="C2088">
        <f>'906MP'!J1788</f>
        <v>0</v>
      </c>
      <c r="D2088">
        <f>'906MP'!P1788</f>
        <v>0</v>
      </c>
      <c r="E2088">
        <f>'906MP'!X1788</f>
        <v>0</v>
      </c>
      <c r="F2088" t="str">
        <f t="shared" si="618"/>
        <v>0</v>
      </c>
      <c r="G2088" t="str">
        <f t="shared" si="619"/>
        <v>0</v>
      </c>
      <c r="H2088">
        <f>'906MP'!Y1788</f>
        <v>0</v>
      </c>
      <c r="I2088">
        <f>'906MP'!AK1788</f>
        <v>0</v>
      </c>
      <c r="J2088">
        <f>'906MP'!T1788</f>
        <v>0</v>
      </c>
      <c r="K2088">
        <f>'906MP'!AJ1788</f>
        <v>0</v>
      </c>
      <c r="L2088">
        <f>'906MP'!U1788</f>
        <v>0</v>
      </c>
      <c r="M2088" s="322" t="str">
        <f>IFERROR(VLOOKUP(A2088,PAR!$D$3:$E$53,2,FALSE),"nincs szervezet")</f>
        <v>nincs szervezet</v>
      </c>
      <c r="N2088" s="322" t="str">
        <f>VLOOKUP(F2088,PAR!$R$3:$S$5,2,FALSE)</f>
        <v>3 - egyik sem</v>
      </c>
      <c r="O2088" t="str">
        <f>IFERROR(VLOOKUP(J2088,PAR!$O$3:$P$5,2,FALSE),"nincs feladat")</f>
        <v>nincs feladat</v>
      </c>
      <c r="P2088" t="str">
        <f>IFERROR(VLOOKUP(G2088,PAR!$J$2:$M$19,4),"nincs rovat")</f>
        <v>nincs rovat</v>
      </c>
      <c r="Q2088" t="str">
        <f>IF(H2088&gt;0,VLOOKUP(H2088,PAR!$AA$3:$AC$187,3,FALSE),"nincs főkönyvi számla")</f>
        <v>nincs főkönyvi számla</v>
      </c>
      <c r="R2088" t="str">
        <f>IFERROR(VLOOKUP(K2088,PAR!$V$3:$X$438,3,FALSE),"000000 - Nincs COFOG")</f>
        <v>000000 - Nincs COFOG</v>
      </c>
      <c r="S2088">
        <f t="shared" si="620"/>
        <v>0</v>
      </c>
      <c r="T2088">
        <f t="shared" si="621"/>
        <v>0</v>
      </c>
      <c r="U2088" t="str">
        <f>IF('906MP'!J1788&gt;0,CONCATENATE('906MP'!J1788," - ",'906MP'!P1788,", ",'906MP'!E1788),"nincs megjegyzés")</f>
        <v>nincs megjegyzés</v>
      </c>
      <c r="V2088" t="str">
        <f t="shared" si="608"/>
        <v>0P0</v>
      </c>
      <c r="W2088" t="str">
        <f t="shared" si="609"/>
        <v>0P0</v>
      </c>
      <c r="X2088" t="str">
        <f t="shared" si="610"/>
        <v>P0</v>
      </c>
      <c r="Y2088" t="str">
        <f t="shared" si="611"/>
        <v>00</v>
      </c>
      <c r="Z2088" t="str">
        <f t="shared" si="622"/>
        <v>00</v>
      </c>
      <c r="AA2088" t="str">
        <f t="shared" si="612"/>
        <v>00</v>
      </c>
      <c r="AB2088" t="str">
        <f t="shared" si="613"/>
        <v>00</v>
      </c>
      <c r="AC2088" t="str">
        <f t="shared" si="614"/>
        <v>0P0</v>
      </c>
      <c r="AD2088" t="str">
        <f t="shared" si="615"/>
        <v>P00</v>
      </c>
      <c r="AE2088" t="str">
        <f t="shared" si="616"/>
        <v>0P0</v>
      </c>
      <c r="AF2088" t="str">
        <f t="shared" si="617"/>
        <v>P00</v>
      </c>
      <c r="AG2088" t="str">
        <f t="shared" si="623"/>
        <v>0P00</v>
      </c>
      <c r="AH2088" t="str">
        <f t="shared" si="624"/>
        <v>P000</v>
      </c>
      <c r="AI2088" t="str">
        <f t="shared" si="625"/>
        <v>0P00</v>
      </c>
      <c r="AJ2088" t="str">
        <f t="shared" si="626"/>
        <v>P000</v>
      </c>
    </row>
    <row r="2089" spans="1:36" x14ac:dyDescent="0.25">
      <c r="A2089" s="325" t="str">
        <f>CONCATENATE("P",'906MP'!M1789)</f>
        <v>P</v>
      </c>
      <c r="B2089">
        <f>'906MP'!H1789</f>
        <v>0</v>
      </c>
      <c r="C2089">
        <f>'906MP'!J1789</f>
        <v>0</v>
      </c>
      <c r="D2089">
        <f>'906MP'!P1789</f>
        <v>0</v>
      </c>
      <c r="E2089">
        <f>'906MP'!X1789</f>
        <v>0</v>
      </c>
      <c r="F2089" t="str">
        <f t="shared" si="618"/>
        <v>0</v>
      </c>
      <c r="G2089" t="str">
        <f t="shared" si="619"/>
        <v>0</v>
      </c>
      <c r="H2089">
        <f>'906MP'!Y1789</f>
        <v>0</v>
      </c>
      <c r="I2089">
        <f>'906MP'!AK1789</f>
        <v>0</v>
      </c>
      <c r="J2089">
        <f>'906MP'!T1789</f>
        <v>0</v>
      </c>
      <c r="K2089">
        <f>'906MP'!AJ1789</f>
        <v>0</v>
      </c>
      <c r="L2089">
        <f>'906MP'!U1789</f>
        <v>0</v>
      </c>
      <c r="M2089" s="322" t="str">
        <f>IFERROR(VLOOKUP(A2089,PAR!$D$3:$E$53,2,FALSE),"nincs szervezet")</f>
        <v>nincs szervezet</v>
      </c>
      <c r="N2089" s="322" t="str">
        <f>VLOOKUP(F2089,PAR!$R$3:$S$5,2,FALSE)</f>
        <v>3 - egyik sem</v>
      </c>
      <c r="O2089" t="str">
        <f>IFERROR(VLOOKUP(J2089,PAR!$O$3:$P$5,2,FALSE),"nincs feladat")</f>
        <v>nincs feladat</v>
      </c>
      <c r="P2089" t="str">
        <f>IFERROR(VLOOKUP(G2089,PAR!$J$2:$M$19,4),"nincs rovat")</f>
        <v>nincs rovat</v>
      </c>
      <c r="Q2089" t="str">
        <f>IF(H2089&gt;0,VLOOKUP(H2089,PAR!$AA$3:$AC$187,3,FALSE),"nincs főkönyvi számla")</f>
        <v>nincs főkönyvi számla</v>
      </c>
      <c r="R2089" t="str">
        <f>IFERROR(VLOOKUP(K2089,PAR!$V$3:$X$438,3,FALSE),"000000 - Nincs COFOG")</f>
        <v>000000 - Nincs COFOG</v>
      </c>
      <c r="S2089">
        <f t="shared" si="620"/>
        <v>0</v>
      </c>
      <c r="T2089">
        <f t="shared" si="621"/>
        <v>0</v>
      </c>
      <c r="U2089" t="str">
        <f>IF('906MP'!J1789&gt;0,CONCATENATE('906MP'!J1789," - ",'906MP'!P1789,", ",'906MP'!E1789),"nincs megjegyzés")</f>
        <v>nincs megjegyzés</v>
      </c>
      <c r="V2089" t="str">
        <f t="shared" si="608"/>
        <v>0P0</v>
      </c>
      <c r="W2089" t="str">
        <f t="shared" si="609"/>
        <v>0P0</v>
      </c>
      <c r="X2089" t="str">
        <f t="shared" si="610"/>
        <v>P0</v>
      </c>
      <c r="Y2089" t="str">
        <f t="shared" si="611"/>
        <v>00</v>
      </c>
      <c r="Z2089" t="str">
        <f t="shared" si="622"/>
        <v>00</v>
      </c>
      <c r="AA2089" t="str">
        <f t="shared" si="612"/>
        <v>00</v>
      </c>
      <c r="AB2089" t="str">
        <f t="shared" si="613"/>
        <v>00</v>
      </c>
      <c r="AC2089" t="str">
        <f t="shared" si="614"/>
        <v>0P0</v>
      </c>
      <c r="AD2089" t="str">
        <f t="shared" si="615"/>
        <v>P00</v>
      </c>
      <c r="AE2089" t="str">
        <f t="shared" si="616"/>
        <v>0P0</v>
      </c>
      <c r="AF2089" t="str">
        <f t="shared" si="617"/>
        <v>P00</v>
      </c>
      <c r="AG2089" t="str">
        <f t="shared" si="623"/>
        <v>0P00</v>
      </c>
      <c r="AH2089" t="str">
        <f t="shared" si="624"/>
        <v>P000</v>
      </c>
      <c r="AI2089" t="str">
        <f t="shared" si="625"/>
        <v>0P00</v>
      </c>
      <c r="AJ2089" t="str">
        <f t="shared" si="626"/>
        <v>P000</v>
      </c>
    </row>
    <row r="2090" spans="1:36" x14ac:dyDescent="0.25">
      <c r="A2090" s="325" t="str">
        <f>CONCATENATE("P",'906MP'!M1790)</f>
        <v>P</v>
      </c>
      <c r="B2090">
        <f>'906MP'!H1790</f>
        <v>0</v>
      </c>
      <c r="C2090">
        <f>'906MP'!J1790</f>
        <v>0</v>
      </c>
      <c r="D2090">
        <f>'906MP'!P1790</f>
        <v>0</v>
      </c>
      <c r="E2090">
        <f>'906MP'!X1790</f>
        <v>0</v>
      </c>
      <c r="F2090" t="str">
        <f t="shared" si="618"/>
        <v>0</v>
      </c>
      <c r="G2090" t="str">
        <f t="shared" si="619"/>
        <v>0</v>
      </c>
      <c r="H2090">
        <f>'906MP'!Y1790</f>
        <v>0</v>
      </c>
      <c r="I2090">
        <f>'906MP'!AK1790</f>
        <v>0</v>
      </c>
      <c r="J2090">
        <f>'906MP'!T1790</f>
        <v>0</v>
      </c>
      <c r="K2090">
        <f>'906MP'!AJ1790</f>
        <v>0</v>
      </c>
      <c r="L2090">
        <f>'906MP'!U1790</f>
        <v>0</v>
      </c>
      <c r="M2090" s="322" t="str">
        <f>IFERROR(VLOOKUP(A2090,PAR!$D$3:$E$53,2,FALSE),"nincs szervezet")</f>
        <v>nincs szervezet</v>
      </c>
      <c r="N2090" s="322" t="str">
        <f>VLOOKUP(F2090,PAR!$R$3:$S$5,2,FALSE)</f>
        <v>3 - egyik sem</v>
      </c>
      <c r="O2090" t="str">
        <f>IFERROR(VLOOKUP(J2090,PAR!$O$3:$P$5,2,FALSE),"nincs feladat")</f>
        <v>nincs feladat</v>
      </c>
      <c r="P2090" t="str">
        <f>IFERROR(VLOOKUP(G2090,PAR!$J$2:$M$19,4),"nincs rovat")</f>
        <v>nincs rovat</v>
      </c>
      <c r="Q2090" t="str">
        <f>IF(H2090&gt;0,VLOOKUP(H2090,PAR!$AA$3:$AC$187,3,FALSE),"nincs főkönyvi számla")</f>
        <v>nincs főkönyvi számla</v>
      </c>
      <c r="R2090" t="str">
        <f>IFERROR(VLOOKUP(K2090,PAR!$V$3:$X$438,3,FALSE),"000000 - Nincs COFOG")</f>
        <v>000000 - Nincs COFOG</v>
      </c>
      <c r="S2090">
        <f t="shared" si="620"/>
        <v>0</v>
      </c>
      <c r="T2090">
        <f t="shared" si="621"/>
        <v>0</v>
      </c>
      <c r="U2090" t="str">
        <f>IF('906MP'!J1790&gt;0,CONCATENATE('906MP'!J1790," - ",'906MP'!P1790,", ",'906MP'!E1790),"nincs megjegyzés")</f>
        <v>nincs megjegyzés</v>
      </c>
      <c r="V2090" t="str">
        <f t="shared" si="608"/>
        <v>0P0</v>
      </c>
      <c r="W2090" t="str">
        <f t="shared" si="609"/>
        <v>0P0</v>
      </c>
      <c r="X2090" t="str">
        <f t="shared" si="610"/>
        <v>P0</v>
      </c>
      <c r="Y2090" t="str">
        <f t="shared" si="611"/>
        <v>00</v>
      </c>
      <c r="Z2090" t="str">
        <f t="shared" si="622"/>
        <v>00</v>
      </c>
      <c r="AA2090" t="str">
        <f t="shared" si="612"/>
        <v>00</v>
      </c>
      <c r="AB2090" t="str">
        <f t="shared" si="613"/>
        <v>00</v>
      </c>
      <c r="AC2090" t="str">
        <f t="shared" si="614"/>
        <v>0P0</v>
      </c>
      <c r="AD2090" t="str">
        <f t="shared" si="615"/>
        <v>P00</v>
      </c>
      <c r="AE2090" t="str">
        <f t="shared" si="616"/>
        <v>0P0</v>
      </c>
      <c r="AF2090" t="str">
        <f t="shared" si="617"/>
        <v>P00</v>
      </c>
      <c r="AG2090" t="str">
        <f t="shared" si="623"/>
        <v>0P00</v>
      </c>
      <c r="AH2090" t="str">
        <f t="shared" si="624"/>
        <v>P000</v>
      </c>
      <c r="AI2090" t="str">
        <f t="shared" si="625"/>
        <v>0P00</v>
      </c>
      <c r="AJ2090" t="str">
        <f t="shared" si="626"/>
        <v>P000</v>
      </c>
    </row>
    <row r="2091" spans="1:36" x14ac:dyDescent="0.25">
      <c r="A2091" s="325" t="str">
        <f>CONCATENATE("P",'906MP'!M1791)</f>
        <v>P</v>
      </c>
      <c r="B2091">
        <f>'906MP'!H1791</f>
        <v>0</v>
      </c>
      <c r="C2091">
        <f>'906MP'!J1791</f>
        <v>0</v>
      </c>
      <c r="D2091">
        <f>'906MP'!P1791</f>
        <v>0</v>
      </c>
      <c r="E2091">
        <f>'906MP'!X1791</f>
        <v>0</v>
      </c>
      <c r="F2091" t="str">
        <f t="shared" si="618"/>
        <v>0</v>
      </c>
      <c r="G2091" t="str">
        <f t="shared" si="619"/>
        <v>0</v>
      </c>
      <c r="H2091">
        <f>'906MP'!Y1791</f>
        <v>0</v>
      </c>
      <c r="I2091">
        <f>'906MP'!AK1791</f>
        <v>0</v>
      </c>
      <c r="J2091">
        <f>'906MP'!T1791</f>
        <v>0</v>
      </c>
      <c r="K2091">
        <f>'906MP'!AJ1791</f>
        <v>0</v>
      </c>
      <c r="L2091">
        <f>'906MP'!U1791</f>
        <v>0</v>
      </c>
      <c r="M2091" s="322" t="str">
        <f>IFERROR(VLOOKUP(A2091,PAR!$D$3:$E$53,2,FALSE),"nincs szervezet")</f>
        <v>nincs szervezet</v>
      </c>
      <c r="N2091" s="322" t="str">
        <f>VLOOKUP(F2091,PAR!$R$3:$S$5,2,FALSE)</f>
        <v>3 - egyik sem</v>
      </c>
      <c r="O2091" t="str">
        <f>IFERROR(VLOOKUP(J2091,PAR!$O$3:$P$5,2,FALSE),"nincs feladat")</f>
        <v>nincs feladat</v>
      </c>
      <c r="P2091" t="str">
        <f>IFERROR(VLOOKUP(G2091,PAR!$J$2:$M$19,4),"nincs rovat")</f>
        <v>nincs rovat</v>
      </c>
      <c r="Q2091" t="str">
        <f>IF(H2091&gt;0,VLOOKUP(H2091,PAR!$AA$3:$AC$187,3,FALSE),"nincs főkönyvi számla")</f>
        <v>nincs főkönyvi számla</v>
      </c>
      <c r="R2091" t="str">
        <f>IFERROR(VLOOKUP(K2091,PAR!$V$3:$X$438,3,FALSE),"000000 - Nincs COFOG")</f>
        <v>000000 - Nincs COFOG</v>
      </c>
      <c r="S2091">
        <f t="shared" si="620"/>
        <v>0</v>
      </c>
      <c r="T2091">
        <f t="shared" si="621"/>
        <v>0</v>
      </c>
      <c r="U2091" t="str">
        <f>IF('906MP'!J1791&gt;0,CONCATENATE('906MP'!J1791," - ",'906MP'!P1791,", ",'906MP'!E1791),"nincs megjegyzés")</f>
        <v>nincs megjegyzés</v>
      </c>
      <c r="V2091" t="str">
        <f t="shared" si="608"/>
        <v>0P0</v>
      </c>
      <c r="W2091" t="str">
        <f t="shared" si="609"/>
        <v>0P0</v>
      </c>
      <c r="X2091" t="str">
        <f t="shared" si="610"/>
        <v>P0</v>
      </c>
      <c r="Y2091" t="str">
        <f t="shared" si="611"/>
        <v>00</v>
      </c>
      <c r="Z2091" t="str">
        <f t="shared" si="622"/>
        <v>00</v>
      </c>
      <c r="AA2091" t="str">
        <f t="shared" si="612"/>
        <v>00</v>
      </c>
      <c r="AB2091" t="str">
        <f t="shared" si="613"/>
        <v>00</v>
      </c>
      <c r="AC2091" t="str">
        <f t="shared" si="614"/>
        <v>0P0</v>
      </c>
      <c r="AD2091" t="str">
        <f t="shared" si="615"/>
        <v>P00</v>
      </c>
      <c r="AE2091" t="str">
        <f t="shared" si="616"/>
        <v>0P0</v>
      </c>
      <c r="AF2091" t="str">
        <f t="shared" si="617"/>
        <v>P00</v>
      </c>
      <c r="AG2091" t="str">
        <f t="shared" si="623"/>
        <v>0P00</v>
      </c>
      <c r="AH2091" t="str">
        <f t="shared" si="624"/>
        <v>P000</v>
      </c>
      <c r="AI2091" t="str">
        <f t="shared" si="625"/>
        <v>0P00</v>
      </c>
      <c r="AJ2091" t="str">
        <f t="shared" si="626"/>
        <v>P000</v>
      </c>
    </row>
    <row r="2092" spans="1:36" x14ac:dyDescent="0.25">
      <c r="A2092" s="325" t="str">
        <f>CONCATENATE("P",'906MP'!M1792)</f>
        <v>P</v>
      </c>
      <c r="B2092">
        <f>'906MP'!H1792</f>
        <v>0</v>
      </c>
      <c r="C2092">
        <f>'906MP'!J1792</f>
        <v>0</v>
      </c>
      <c r="D2092">
        <f>'906MP'!P1792</f>
        <v>0</v>
      </c>
      <c r="E2092">
        <f>'906MP'!X1792</f>
        <v>0</v>
      </c>
      <c r="F2092" t="str">
        <f t="shared" si="618"/>
        <v>0</v>
      </c>
      <c r="G2092" t="str">
        <f t="shared" si="619"/>
        <v>0</v>
      </c>
      <c r="H2092">
        <f>'906MP'!Y1792</f>
        <v>0</v>
      </c>
      <c r="I2092">
        <f>'906MP'!AK1792</f>
        <v>0</v>
      </c>
      <c r="J2092">
        <f>'906MP'!T1792</f>
        <v>0</v>
      </c>
      <c r="K2092">
        <f>'906MP'!AJ1792</f>
        <v>0</v>
      </c>
      <c r="L2092">
        <f>'906MP'!U1792</f>
        <v>0</v>
      </c>
      <c r="M2092" s="322" t="str">
        <f>IFERROR(VLOOKUP(A2092,PAR!$D$3:$E$53,2,FALSE),"nincs szervezet")</f>
        <v>nincs szervezet</v>
      </c>
      <c r="N2092" s="322" t="str">
        <f>VLOOKUP(F2092,PAR!$R$3:$S$5,2,FALSE)</f>
        <v>3 - egyik sem</v>
      </c>
      <c r="O2092" t="str">
        <f>IFERROR(VLOOKUP(J2092,PAR!$O$3:$P$5,2,FALSE),"nincs feladat")</f>
        <v>nincs feladat</v>
      </c>
      <c r="P2092" t="str">
        <f>IFERROR(VLOOKUP(G2092,PAR!$J$2:$M$19,4),"nincs rovat")</f>
        <v>nincs rovat</v>
      </c>
      <c r="Q2092" t="str">
        <f>IF(H2092&gt;0,VLOOKUP(H2092,PAR!$AA$3:$AC$187,3,FALSE),"nincs főkönyvi számla")</f>
        <v>nincs főkönyvi számla</v>
      </c>
      <c r="R2092" t="str">
        <f>IFERROR(VLOOKUP(K2092,PAR!$V$3:$X$438,3,FALSE),"000000 - Nincs COFOG")</f>
        <v>000000 - Nincs COFOG</v>
      </c>
      <c r="S2092">
        <f t="shared" si="620"/>
        <v>0</v>
      </c>
      <c r="T2092">
        <f t="shared" si="621"/>
        <v>0</v>
      </c>
      <c r="U2092" t="str">
        <f>IF('906MP'!J1792&gt;0,CONCATENATE('906MP'!J1792," - ",'906MP'!P1792,", ",'906MP'!E1792),"nincs megjegyzés")</f>
        <v>nincs megjegyzés</v>
      </c>
      <c r="V2092" t="str">
        <f t="shared" si="608"/>
        <v>0P0</v>
      </c>
      <c r="W2092" t="str">
        <f t="shared" si="609"/>
        <v>0P0</v>
      </c>
      <c r="X2092" t="str">
        <f t="shared" si="610"/>
        <v>P0</v>
      </c>
      <c r="Y2092" t="str">
        <f t="shared" si="611"/>
        <v>00</v>
      </c>
      <c r="Z2092" t="str">
        <f t="shared" si="622"/>
        <v>00</v>
      </c>
      <c r="AA2092" t="str">
        <f t="shared" si="612"/>
        <v>00</v>
      </c>
      <c r="AB2092" t="str">
        <f t="shared" si="613"/>
        <v>00</v>
      </c>
      <c r="AC2092" t="str">
        <f t="shared" si="614"/>
        <v>0P0</v>
      </c>
      <c r="AD2092" t="str">
        <f t="shared" si="615"/>
        <v>P00</v>
      </c>
      <c r="AE2092" t="str">
        <f t="shared" si="616"/>
        <v>0P0</v>
      </c>
      <c r="AF2092" t="str">
        <f t="shared" si="617"/>
        <v>P00</v>
      </c>
      <c r="AG2092" t="str">
        <f t="shared" si="623"/>
        <v>0P00</v>
      </c>
      <c r="AH2092" t="str">
        <f t="shared" si="624"/>
        <v>P000</v>
      </c>
      <c r="AI2092" t="str">
        <f t="shared" si="625"/>
        <v>0P00</v>
      </c>
      <c r="AJ2092" t="str">
        <f t="shared" si="626"/>
        <v>P000</v>
      </c>
    </row>
    <row r="2093" spans="1:36" x14ac:dyDescent="0.25">
      <c r="A2093" s="325" t="str">
        <f>CONCATENATE("P",'906MP'!M1793)</f>
        <v>P</v>
      </c>
      <c r="B2093">
        <f>'906MP'!H1793</f>
        <v>0</v>
      </c>
      <c r="C2093">
        <f>'906MP'!J1793</f>
        <v>0</v>
      </c>
      <c r="D2093">
        <f>'906MP'!P1793</f>
        <v>0</v>
      </c>
      <c r="E2093">
        <f>'906MP'!X1793</f>
        <v>0</v>
      </c>
      <c r="F2093" t="str">
        <f t="shared" si="618"/>
        <v>0</v>
      </c>
      <c r="G2093" t="str">
        <f t="shared" si="619"/>
        <v>0</v>
      </c>
      <c r="H2093">
        <f>'906MP'!Y1793</f>
        <v>0</v>
      </c>
      <c r="I2093">
        <f>'906MP'!AK1793</f>
        <v>0</v>
      </c>
      <c r="J2093">
        <f>'906MP'!T1793</f>
        <v>0</v>
      </c>
      <c r="K2093">
        <f>'906MP'!AJ1793</f>
        <v>0</v>
      </c>
      <c r="L2093">
        <f>'906MP'!U1793</f>
        <v>0</v>
      </c>
      <c r="M2093" s="322" t="str">
        <f>IFERROR(VLOOKUP(A2093,PAR!$D$3:$E$53,2,FALSE),"nincs szervezet")</f>
        <v>nincs szervezet</v>
      </c>
      <c r="N2093" s="322" t="str">
        <f>VLOOKUP(F2093,PAR!$R$3:$S$5,2,FALSE)</f>
        <v>3 - egyik sem</v>
      </c>
      <c r="O2093" t="str">
        <f>IFERROR(VLOOKUP(J2093,PAR!$O$3:$P$5,2,FALSE),"nincs feladat")</f>
        <v>nincs feladat</v>
      </c>
      <c r="P2093" t="str">
        <f>IFERROR(VLOOKUP(G2093,PAR!$J$2:$M$19,4),"nincs rovat")</f>
        <v>nincs rovat</v>
      </c>
      <c r="Q2093" t="str">
        <f>IF(H2093&gt;0,VLOOKUP(H2093,PAR!$AA$3:$AC$187,3,FALSE),"nincs főkönyvi számla")</f>
        <v>nincs főkönyvi számla</v>
      </c>
      <c r="R2093" t="str">
        <f>IFERROR(VLOOKUP(K2093,PAR!$V$3:$X$438,3,FALSE),"000000 - Nincs COFOG")</f>
        <v>000000 - Nincs COFOG</v>
      </c>
      <c r="S2093">
        <f t="shared" si="620"/>
        <v>0</v>
      </c>
      <c r="T2093">
        <f t="shared" si="621"/>
        <v>0</v>
      </c>
      <c r="U2093" t="str">
        <f>IF('906MP'!J1793&gt;0,CONCATENATE('906MP'!J1793," - ",'906MP'!P1793,", ",'906MP'!E1793),"nincs megjegyzés")</f>
        <v>nincs megjegyzés</v>
      </c>
      <c r="V2093" t="str">
        <f t="shared" si="608"/>
        <v>0P0</v>
      </c>
      <c r="W2093" t="str">
        <f t="shared" si="609"/>
        <v>0P0</v>
      </c>
      <c r="X2093" t="str">
        <f t="shared" si="610"/>
        <v>P0</v>
      </c>
      <c r="Y2093" t="str">
        <f t="shared" si="611"/>
        <v>00</v>
      </c>
      <c r="Z2093" t="str">
        <f t="shared" si="622"/>
        <v>00</v>
      </c>
      <c r="AA2093" t="str">
        <f t="shared" si="612"/>
        <v>00</v>
      </c>
      <c r="AB2093" t="str">
        <f t="shared" si="613"/>
        <v>00</v>
      </c>
      <c r="AC2093" t="str">
        <f t="shared" si="614"/>
        <v>0P0</v>
      </c>
      <c r="AD2093" t="str">
        <f t="shared" si="615"/>
        <v>P00</v>
      </c>
      <c r="AE2093" t="str">
        <f t="shared" si="616"/>
        <v>0P0</v>
      </c>
      <c r="AF2093" t="str">
        <f t="shared" si="617"/>
        <v>P00</v>
      </c>
      <c r="AG2093" t="str">
        <f t="shared" si="623"/>
        <v>0P00</v>
      </c>
      <c r="AH2093" t="str">
        <f t="shared" si="624"/>
        <v>P000</v>
      </c>
      <c r="AI2093" t="str">
        <f t="shared" si="625"/>
        <v>0P00</v>
      </c>
      <c r="AJ2093" t="str">
        <f t="shared" si="626"/>
        <v>P000</v>
      </c>
    </row>
    <row r="2094" spans="1:36" x14ac:dyDescent="0.25">
      <c r="A2094" s="325" t="str">
        <f>CONCATENATE("P",'906MP'!M1794)</f>
        <v>P</v>
      </c>
      <c r="B2094">
        <f>'906MP'!H1794</f>
        <v>0</v>
      </c>
      <c r="C2094">
        <f>'906MP'!J1794</f>
        <v>0</v>
      </c>
      <c r="D2094">
        <f>'906MP'!P1794</f>
        <v>0</v>
      </c>
      <c r="E2094">
        <f>'906MP'!X1794</f>
        <v>0</v>
      </c>
      <c r="F2094" t="str">
        <f t="shared" si="618"/>
        <v>0</v>
      </c>
      <c r="G2094" t="str">
        <f t="shared" si="619"/>
        <v>0</v>
      </c>
      <c r="H2094">
        <f>'906MP'!Y1794</f>
        <v>0</v>
      </c>
      <c r="I2094">
        <f>'906MP'!AK1794</f>
        <v>0</v>
      </c>
      <c r="J2094">
        <f>'906MP'!T1794</f>
        <v>0</v>
      </c>
      <c r="K2094">
        <f>'906MP'!AJ1794</f>
        <v>0</v>
      </c>
      <c r="L2094">
        <f>'906MP'!U1794</f>
        <v>0</v>
      </c>
      <c r="M2094" s="322" t="str">
        <f>IFERROR(VLOOKUP(A2094,PAR!$D$3:$E$53,2,FALSE),"nincs szervezet")</f>
        <v>nincs szervezet</v>
      </c>
      <c r="N2094" s="322" t="str">
        <f>VLOOKUP(F2094,PAR!$R$3:$S$5,2,FALSE)</f>
        <v>3 - egyik sem</v>
      </c>
      <c r="O2094" t="str">
        <f>IFERROR(VLOOKUP(J2094,PAR!$O$3:$P$5,2,FALSE),"nincs feladat")</f>
        <v>nincs feladat</v>
      </c>
      <c r="P2094" t="str">
        <f>IFERROR(VLOOKUP(G2094,PAR!$J$2:$M$19,4),"nincs rovat")</f>
        <v>nincs rovat</v>
      </c>
      <c r="Q2094" t="str">
        <f>IF(H2094&gt;0,VLOOKUP(H2094,PAR!$AA$3:$AC$187,3,FALSE),"nincs főkönyvi számla")</f>
        <v>nincs főkönyvi számla</v>
      </c>
      <c r="R2094" t="str">
        <f>IFERROR(VLOOKUP(K2094,PAR!$V$3:$X$438,3,FALSE),"000000 - Nincs COFOG")</f>
        <v>000000 - Nincs COFOG</v>
      </c>
      <c r="S2094">
        <f t="shared" si="620"/>
        <v>0</v>
      </c>
      <c r="T2094">
        <f t="shared" si="621"/>
        <v>0</v>
      </c>
      <c r="U2094" t="str">
        <f>IF('906MP'!J1794&gt;0,CONCATENATE('906MP'!J1794," - ",'906MP'!P1794,", ",'906MP'!E1794),"nincs megjegyzés")</f>
        <v>nincs megjegyzés</v>
      </c>
      <c r="V2094" t="str">
        <f t="shared" si="608"/>
        <v>0P0</v>
      </c>
      <c r="W2094" t="str">
        <f t="shared" si="609"/>
        <v>0P0</v>
      </c>
      <c r="X2094" t="str">
        <f t="shared" si="610"/>
        <v>P0</v>
      </c>
      <c r="Y2094" t="str">
        <f t="shared" si="611"/>
        <v>00</v>
      </c>
      <c r="Z2094" t="str">
        <f t="shared" si="622"/>
        <v>00</v>
      </c>
      <c r="AA2094" t="str">
        <f t="shared" si="612"/>
        <v>00</v>
      </c>
      <c r="AB2094" t="str">
        <f t="shared" si="613"/>
        <v>00</v>
      </c>
      <c r="AC2094" t="str">
        <f t="shared" si="614"/>
        <v>0P0</v>
      </c>
      <c r="AD2094" t="str">
        <f t="shared" si="615"/>
        <v>P00</v>
      </c>
      <c r="AE2094" t="str">
        <f t="shared" si="616"/>
        <v>0P0</v>
      </c>
      <c r="AF2094" t="str">
        <f t="shared" si="617"/>
        <v>P00</v>
      </c>
      <c r="AG2094" t="str">
        <f t="shared" si="623"/>
        <v>0P00</v>
      </c>
      <c r="AH2094" t="str">
        <f t="shared" si="624"/>
        <v>P000</v>
      </c>
      <c r="AI2094" t="str">
        <f t="shared" si="625"/>
        <v>0P00</v>
      </c>
      <c r="AJ2094" t="str">
        <f t="shared" si="626"/>
        <v>P000</v>
      </c>
    </row>
    <row r="2095" spans="1:36" x14ac:dyDescent="0.25">
      <c r="A2095" s="325" t="str">
        <f>CONCATENATE("P",'906MP'!M1795)</f>
        <v>P</v>
      </c>
      <c r="B2095">
        <f>'906MP'!H1795</f>
        <v>0</v>
      </c>
      <c r="C2095">
        <f>'906MP'!J1795</f>
        <v>0</v>
      </c>
      <c r="D2095">
        <f>'906MP'!P1795</f>
        <v>0</v>
      </c>
      <c r="E2095">
        <f>'906MP'!X1795</f>
        <v>0</v>
      </c>
      <c r="F2095" t="str">
        <f t="shared" si="618"/>
        <v>0</v>
      </c>
      <c r="G2095" t="str">
        <f t="shared" si="619"/>
        <v>0</v>
      </c>
      <c r="H2095">
        <f>'906MP'!Y1795</f>
        <v>0</v>
      </c>
      <c r="I2095">
        <f>'906MP'!AK1795</f>
        <v>0</v>
      </c>
      <c r="J2095">
        <f>'906MP'!T1795</f>
        <v>0</v>
      </c>
      <c r="K2095">
        <f>'906MP'!AJ1795</f>
        <v>0</v>
      </c>
      <c r="L2095">
        <f>'906MP'!U1795</f>
        <v>0</v>
      </c>
      <c r="M2095" s="322" t="str">
        <f>IFERROR(VLOOKUP(A2095,PAR!$D$3:$E$53,2,FALSE),"nincs szervezet")</f>
        <v>nincs szervezet</v>
      </c>
      <c r="N2095" s="322" t="str">
        <f>VLOOKUP(F2095,PAR!$R$3:$S$5,2,FALSE)</f>
        <v>3 - egyik sem</v>
      </c>
      <c r="O2095" t="str">
        <f>IFERROR(VLOOKUP(J2095,PAR!$O$3:$P$5,2,FALSE),"nincs feladat")</f>
        <v>nincs feladat</v>
      </c>
      <c r="P2095" t="str">
        <f>IFERROR(VLOOKUP(G2095,PAR!$J$2:$M$19,4),"nincs rovat")</f>
        <v>nincs rovat</v>
      </c>
      <c r="Q2095" t="str">
        <f>IF(H2095&gt;0,VLOOKUP(H2095,PAR!$AA$3:$AC$187,3,FALSE),"nincs főkönyvi számla")</f>
        <v>nincs főkönyvi számla</v>
      </c>
      <c r="R2095" t="str">
        <f>IFERROR(VLOOKUP(K2095,PAR!$V$3:$X$438,3,FALSE),"000000 - Nincs COFOG")</f>
        <v>000000 - Nincs COFOG</v>
      </c>
      <c r="S2095">
        <f t="shared" si="620"/>
        <v>0</v>
      </c>
      <c r="T2095">
        <f t="shared" si="621"/>
        <v>0</v>
      </c>
      <c r="U2095" t="str">
        <f>IF('906MP'!J1795&gt;0,CONCATENATE('906MP'!J1795," - ",'906MP'!P1795,", ",'906MP'!E1795),"nincs megjegyzés")</f>
        <v>nincs megjegyzés</v>
      </c>
      <c r="V2095" t="str">
        <f t="shared" si="608"/>
        <v>0P0</v>
      </c>
      <c r="W2095" t="str">
        <f t="shared" si="609"/>
        <v>0P0</v>
      </c>
      <c r="X2095" t="str">
        <f t="shared" si="610"/>
        <v>P0</v>
      </c>
      <c r="Y2095" t="str">
        <f t="shared" si="611"/>
        <v>00</v>
      </c>
      <c r="Z2095" t="str">
        <f t="shared" si="622"/>
        <v>00</v>
      </c>
      <c r="AA2095" t="str">
        <f t="shared" si="612"/>
        <v>00</v>
      </c>
      <c r="AB2095" t="str">
        <f t="shared" si="613"/>
        <v>00</v>
      </c>
      <c r="AC2095" t="str">
        <f t="shared" si="614"/>
        <v>0P0</v>
      </c>
      <c r="AD2095" t="str">
        <f t="shared" si="615"/>
        <v>P00</v>
      </c>
      <c r="AE2095" t="str">
        <f t="shared" si="616"/>
        <v>0P0</v>
      </c>
      <c r="AF2095" t="str">
        <f t="shared" si="617"/>
        <v>P00</v>
      </c>
      <c r="AG2095" t="str">
        <f t="shared" si="623"/>
        <v>0P00</v>
      </c>
      <c r="AH2095" t="str">
        <f t="shared" si="624"/>
        <v>P000</v>
      </c>
      <c r="AI2095" t="str">
        <f t="shared" si="625"/>
        <v>0P00</v>
      </c>
      <c r="AJ2095" t="str">
        <f t="shared" si="626"/>
        <v>P000</v>
      </c>
    </row>
    <row r="2096" spans="1:36" x14ac:dyDescent="0.25">
      <c r="A2096" s="325" t="str">
        <f>CONCATENATE("P",'906MP'!M1796)</f>
        <v>P</v>
      </c>
      <c r="B2096">
        <f>'906MP'!H1796</f>
        <v>0</v>
      </c>
      <c r="C2096">
        <f>'906MP'!J1796</f>
        <v>0</v>
      </c>
      <c r="D2096">
        <f>'906MP'!P1796</f>
        <v>0</v>
      </c>
      <c r="E2096">
        <f>'906MP'!X1796</f>
        <v>0</v>
      </c>
      <c r="F2096" t="str">
        <f t="shared" si="618"/>
        <v>0</v>
      </c>
      <c r="G2096" t="str">
        <f t="shared" si="619"/>
        <v>0</v>
      </c>
      <c r="H2096">
        <f>'906MP'!Y1796</f>
        <v>0</v>
      </c>
      <c r="I2096">
        <f>'906MP'!AK1796</f>
        <v>0</v>
      </c>
      <c r="J2096">
        <f>'906MP'!T1796</f>
        <v>0</v>
      </c>
      <c r="K2096">
        <f>'906MP'!AJ1796</f>
        <v>0</v>
      </c>
      <c r="L2096">
        <f>'906MP'!U1796</f>
        <v>0</v>
      </c>
      <c r="M2096" s="322" t="str">
        <f>IFERROR(VLOOKUP(A2096,PAR!$D$3:$E$53,2,FALSE),"nincs szervezet")</f>
        <v>nincs szervezet</v>
      </c>
      <c r="N2096" s="322" t="str">
        <f>VLOOKUP(F2096,PAR!$R$3:$S$5,2,FALSE)</f>
        <v>3 - egyik sem</v>
      </c>
      <c r="O2096" t="str">
        <f>IFERROR(VLOOKUP(J2096,PAR!$O$3:$P$5,2,FALSE),"nincs feladat")</f>
        <v>nincs feladat</v>
      </c>
      <c r="P2096" t="str">
        <f>IFERROR(VLOOKUP(G2096,PAR!$J$2:$M$19,4),"nincs rovat")</f>
        <v>nincs rovat</v>
      </c>
      <c r="Q2096" t="str">
        <f>IF(H2096&gt;0,VLOOKUP(H2096,PAR!$AA$3:$AC$187,3,FALSE),"nincs főkönyvi számla")</f>
        <v>nincs főkönyvi számla</v>
      </c>
      <c r="R2096" t="str">
        <f>IFERROR(VLOOKUP(K2096,PAR!$V$3:$X$438,3,FALSE),"000000 - Nincs COFOG")</f>
        <v>000000 - Nincs COFOG</v>
      </c>
      <c r="S2096">
        <f t="shared" si="620"/>
        <v>0</v>
      </c>
      <c r="T2096">
        <f t="shared" si="621"/>
        <v>0</v>
      </c>
      <c r="U2096" t="str">
        <f>IF('906MP'!J1796&gt;0,CONCATENATE('906MP'!J1796," - ",'906MP'!P1796,", ",'906MP'!E1796),"nincs megjegyzés")</f>
        <v>nincs megjegyzés</v>
      </c>
      <c r="V2096" t="str">
        <f t="shared" si="608"/>
        <v>0P0</v>
      </c>
      <c r="W2096" t="str">
        <f t="shared" si="609"/>
        <v>0P0</v>
      </c>
      <c r="X2096" t="str">
        <f t="shared" si="610"/>
        <v>P0</v>
      </c>
      <c r="Y2096" t="str">
        <f t="shared" si="611"/>
        <v>00</v>
      </c>
      <c r="Z2096" t="str">
        <f t="shared" si="622"/>
        <v>00</v>
      </c>
      <c r="AA2096" t="str">
        <f t="shared" si="612"/>
        <v>00</v>
      </c>
      <c r="AB2096" t="str">
        <f t="shared" si="613"/>
        <v>00</v>
      </c>
      <c r="AC2096" t="str">
        <f t="shared" si="614"/>
        <v>0P0</v>
      </c>
      <c r="AD2096" t="str">
        <f t="shared" si="615"/>
        <v>P00</v>
      </c>
      <c r="AE2096" t="str">
        <f t="shared" si="616"/>
        <v>0P0</v>
      </c>
      <c r="AF2096" t="str">
        <f t="shared" si="617"/>
        <v>P00</v>
      </c>
      <c r="AG2096" t="str">
        <f t="shared" si="623"/>
        <v>0P00</v>
      </c>
      <c r="AH2096" t="str">
        <f t="shared" si="624"/>
        <v>P000</v>
      </c>
      <c r="AI2096" t="str">
        <f t="shared" si="625"/>
        <v>0P00</v>
      </c>
      <c r="AJ2096" t="str">
        <f t="shared" si="626"/>
        <v>P000</v>
      </c>
    </row>
    <row r="2097" spans="1:36" x14ac:dyDescent="0.25">
      <c r="A2097" s="325" t="str">
        <f>CONCATENATE("P",'906MP'!M1797)</f>
        <v>P</v>
      </c>
      <c r="B2097">
        <f>'906MP'!H1797</f>
        <v>0</v>
      </c>
      <c r="C2097">
        <f>'906MP'!J1797</f>
        <v>0</v>
      </c>
      <c r="D2097">
        <f>'906MP'!P1797</f>
        <v>0</v>
      </c>
      <c r="E2097">
        <f>'906MP'!X1797</f>
        <v>0</v>
      </c>
      <c r="F2097" t="str">
        <f t="shared" si="618"/>
        <v>0</v>
      </c>
      <c r="G2097" t="str">
        <f t="shared" si="619"/>
        <v>0</v>
      </c>
      <c r="H2097">
        <f>'906MP'!Y1797</f>
        <v>0</v>
      </c>
      <c r="I2097">
        <f>'906MP'!AK1797</f>
        <v>0</v>
      </c>
      <c r="J2097">
        <f>'906MP'!T1797</f>
        <v>0</v>
      </c>
      <c r="K2097">
        <f>'906MP'!AJ1797</f>
        <v>0</v>
      </c>
      <c r="L2097">
        <f>'906MP'!U1797</f>
        <v>0</v>
      </c>
      <c r="M2097" s="322" t="str">
        <f>IFERROR(VLOOKUP(A2097,PAR!$D$3:$E$53,2,FALSE),"nincs szervezet")</f>
        <v>nincs szervezet</v>
      </c>
      <c r="N2097" s="322" t="str">
        <f>VLOOKUP(F2097,PAR!$R$3:$S$5,2,FALSE)</f>
        <v>3 - egyik sem</v>
      </c>
      <c r="O2097" t="str">
        <f>IFERROR(VLOOKUP(J2097,PAR!$O$3:$P$5,2,FALSE),"nincs feladat")</f>
        <v>nincs feladat</v>
      </c>
      <c r="P2097" t="str">
        <f>IFERROR(VLOOKUP(G2097,PAR!$J$2:$M$19,4),"nincs rovat")</f>
        <v>nincs rovat</v>
      </c>
      <c r="Q2097" t="str">
        <f>IF(H2097&gt;0,VLOOKUP(H2097,PAR!$AA$3:$AC$187,3,FALSE),"nincs főkönyvi számla")</f>
        <v>nincs főkönyvi számla</v>
      </c>
      <c r="R2097" t="str">
        <f>IFERROR(VLOOKUP(K2097,PAR!$V$3:$X$438,3,FALSE),"000000 - Nincs COFOG")</f>
        <v>000000 - Nincs COFOG</v>
      </c>
      <c r="S2097">
        <f t="shared" si="620"/>
        <v>0</v>
      </c>
      <c r="T2097">
        <f t="shared" si="621"/>
        <v>0</v>
      </c>
      <c r="U2097" t="str">
        <f>IF('906MP'!J1797&gt;0,CONCATENATE('906MP'!J1797," - ",'906MP'!P1797,", ",'906MP'!E1797),"nincs megjegyzés")</f>
        <v>nincs megjegyzés</v>
      </c>
      <c r="V2097" t="str">
        <f t="shared" si="608"/>
        <v>0P0</v>
      </c>
      <c r="W2097" t="str">
        <f t="shared" si="609"/>
        <v>0P0</v>
      </c>
      <c r="X2097" t="str">
        <f t="shared" si="610"/>
        <v>P0</v>
      </c>
      <c r="Y2097" t="str">
        <f t="shared" si="611"/>
        <v>00</v>
      </c>
      <c r="Z2097" t="str">
        <f t="shared" si="622"/>
        <v>00</v>
      </c>
      <c r="AA2097" t="str">
        <f t="shared" si="612"/>
        <v>00</v>
      </c>
      <c r="AB2097" t="str">
        <f t="shared" si="613"/>
        <v>00</v>
      </c>
      <c r="AC2097" t="str">
        <f t="shared" si="614"/>
        <v>0P0</v>
      </c>
      <c r="AD2097" t="str">
        <f t="shared" si="615"/>
        <v>P00</v>
      </c>
      <c r="AE2097" t="str">
        <f t="shared" si="616"/>
        <v>0P0</v>
      </c>
      <c r="AF2097" t="str">
        <f t="shared" si="617"/>
        <v>P00</v>
      </c>
      <c r="AG2097" t="str">
        <f t="shared" si="623"/>
        <v>0P00</v>
      </c>
      <c r="AH2097" t="str">
        <f t="shared" si="624"/>
        <v>P000</v>
      </c>
      <c r="AI2097" t="str">
        <f t="shared" si="625"/>
        <v>0P00</v>
      </c>
      <c r="AJ2097" t="str">
        <f t="shared" si="626"/>
        <v>P000</v>
      </c>
    </row>
    <row r="2098" spans="1:36" x14ac:dyDescent="0.25">
      <c r="A2098" s="325" t="str">
        <f>CONCATENATE("P",'906MP'!M1798)</f>
        <v>P</v>
      </c>
      <c r="B2098">
        <f>'906MP'!H1798</f>
        <v>0</v>
      </c>
      <c r="C2098">
        <f>'906MP'!J1798</f>
        <v>0</v>
      </c>
      <c r="D2098">
        <f>'906MP'!P1798</f>
        <v>0</v>
      </c>
      <c r="E2098">
        <f>'906MP'!X1798</f>
        <v>0</v>
      </c>
      <c r="F2098" t="str">
        <f t="shared" si="618"/>
        <v>0</v>
      </c>
      <c r="G2098" t="str">
        <f t="shared" si="619"/>
        <v>0</v>
      </c>
      <c r="H2098">
        <f>'906MP'!Y1798</f>
        <v>0</v>
      </c>
      <c r="I2098">
        <f>'906MP'!AK1798</f>
        <v>0</v>
      </c>
      <c r="J2098">
        <f>'906MP'!T1798</f>
        <v>0</v>
      </c>
      <c r="K2098">
        <f>'906MP'!AJ1798</f>
        <v>0</v>
      </c>
      <c r="L2098">
        <f>'906MP'!U1798</f>
        <v>0</v>
      </c>
      <c r="M2098" s="322" t="str">
        <f>IFERROR(VLOOKUP(A2098,PAR!$D$3:$E$53,2,FALSE),"nincs szervezet")</f>
        <v>nincs szervezet</v>
      </c>
      <c r="N2098" s="322" t="str">
        <f>VLOOKUP(F2098,PAR!$R$3:$S$5,2,FALSE)</f>
        <v>3 - egyik sem</v>
      </c>
      <c r="O2098" t="str">
        <f>IFERROR(VLOOKUP(J2098,PAR!$O$3:$P$5,2,FALSE),"nincs feladat")</f>
        <v>nincs feladat</v>
      </c>
      <c r="P2098" t="str">
        <f>IFERROR(VLOOKUP(G2098,PAR!$J$2:$M$19,4),"nincs rovat")</f>
        <v>nincs rovat</v>
      </c>
      <c r="Q2098" t="str">
        <f>IF(H2098&gt;0,VLOOKUP(H2098,PAR!$AA$3:$AC$187,3,FALSE),"nincs főkönyvi számla")</f>
        <v>nincs főkönyvi számla</v>
      </c>
      <c r="R2098" t="str">
        <f>IFERROR(VLOOKUP(K2098,PAR!$V$3:$X$438,3,FALSE),"000000 - Nincs COFOG")</f>
        <v>000000 - Nincs COFOG</v>
      </c>
      <c r="S2098">
        <f t="shared" si="620"/>
        <v>0</v>
      </c>
      <c r="T2098">
        <f t="shared" si="621"/>
        <v>0</v>
      </c>
      <c r="U2098" t="str">
        <f>IF('906MP'!J1798&gt;0,CONCATENATE('906MP'!J1798," - ",'906MP'!P1798,", ",'906MP'!E1798),"nincs megjegyzés")</f>
        <v>nincs megjegyzés</v>
      </c>
      <c r="V2098" t="str">
        <f t="shared" si="608"/>
        <v>0P0</v>
      </c>
      <c r="W2098" t="str">
        <f t="shared" si="609"/>
        <v>0P0</v>
      </c>
      <c r="X2098" t="str">
        <f t="shared" si="610"/>
        <v>P0</v>
      </c>
      <c r="Y2098" t="str">
        <f t="shared" si="611"/>
        <v>00</v>
      </c>
      <c r="Z2098" t="str">
        <f t="shared" si="622"/>
        <v>00</v>
      </c>
      <c r="AA2098" t="str">
        <f t="shared" si="612"/>
        <v>00</v>
      </c>
      <c r="AB2098" t="str">
        <f t="shared" si="613"/>
        <v>00</v>
      </c>
      <c r="AC2098" t="str">
        <f t="shared" si="614"/>
        <v>0P0</v>
      </c>
      <c r="AD2098" t="str">
        <f t="shared" si="615"/>
        <v>P00</v>
      </c>
      <c r="AE2098" t="str">
        <f t="shared" si="616"/>
        <v>0P0</v>
      </c>
      <c r="AF2098" t="str">
        <f t="shared" si="617"/>
        <v>P00</v>
      </c>
      <c r="AG2098" t="str">
        <f t="shared" si="623"/>
        <v>0P00</v>
      </c>
      <c r="AH2098" t="str">
        <f t="shared" si="624"/>
        <v>P000</v>
      </c>
      <c r="AI2098" t="str">
        <f t="shared" si="625"/>
        <v>0P00</v>
      </c>
      <c r="AJ2098" t="str">
        <f t="shared" si="626"/>
        <v>P000</v>
      </c>
    </row>
    <row r="2099" spans="1:36" x14ac:dyDescent="0.25">
      <c r="A2099" s="325" t="str">
        <f>CONCATENATE("P",'906MP'!M1799)</f>
        <v>P</v>
      </c>
      <c r="B2099">
        <f>'906MP'!H1799</f>
        <v>0</v>
      </c>
      <c r="C2099">
        <f>'906MP'!J1799</f>
        <v>0</v>
      </c>
      <c r="D2099">
        <f>'906MP'!P1799</f>
        <v>0</v>
      </c>
      <c r="E2099">
        <f>'906MP'!X1799</f>
        <v>0</v>
      </c>
      <c r="F2099" t="str">
        <f t="shared" si="618"/>
        <v>0</v>
      </c>
      <c r="G2099" t="str">
        <f t="shared" si="619"/>
        <v>0</v>
      </c>
      <c r="H2099">
        <f>'906MP'!Y1799</f>
        <v>0</v>
      </c>
      <c r="I2099">
        <f>'906MP'!AK1799</f>
        <v>0</v>
      </c>
      <c r="J2099">
        <f>'906MP'!T1799</f>
        <v>0</v>
      </c>
      <c r="K2099">
        <f>'906MP'!AJ1799</f>
        <v>0</v>
      </c>
      <c r="L2099">
        <f>'906MP'!U1799</f>
        <v>0</v>
      </c>
      <c r="M2099" s="322" t="str">
        <f>IFERROR(VLOOKUP(A2099,PAR!$D$3:$E$53,2,FALSE),"nincs szervezet")</f>
        <v>nincs szervezet</v>
      </c>
      <c r="N2099" s="322" t="str">
        <f>VLOOKUP(F2099,PAR!$R$3:$S$5,2,FALSE)</f>
        <v>3 - egyik sem</v>
      </c>
      <c r="O2099" t="str">
        <f>IFERROR(VLOOKUP(J2099,PAR!$O$3:$P$5,2,FALSE),"nincs feladat")</f>
        <v>nincs feladat</v>
      </c>
      <c r="P2099" t="str">
        <f>IFERROR(VLOOKUP(G2099,PAR!$J$2:$M$19,4),"nincs rovat")</f>
        <v>nincs rovat</v>
      </c>
      <c r="Q2099" t="str">
        <f>IF(H2099&gt;0,VLOOKUP(H2099,PAR!$AA$3:$AC$187,3,FALSE),"nincs főkönyvi számla")</f>
        <v>nincs főkönyvi számla</v>
      </c>
      <c r="R2099" t="str">
        <f>IFERROR(VLOOKUP(K2099,PAR!$V$3:$X$438,3,FALSE),"000000 - Nincs COFOG")</f>
        <v>000000 - Nincs COFOG</v>
      </c>
      <c r="S2099">
        <f t="shared" si="620"/>
        <v>0</v>
      </c>
      <c r="T2099">
        <f t="shared" si="621"/>
        <v>0</v>
      </c>
      <c r="U2099" t="str">
        <f>IF('906MP'!J1799&gt;0,CONCATENATE('906MP'!J1799," - ",'906MP'!P1799,", ",'906MP'!E1799),"nincs megjegyzés")</f>
        <v>nincs megjegyzés</v>
      </c>
      <c r="V2099" t="str">
        <f t="shared" si="608"/>
        <v>0P0</v>
      </c>
      <c r="W2099" t="str">
        <f t="shared" si="609"/>
        <v>0P0</v>
      </c>
      <c r="X2099" t="str">
        <f t="shared" si="610"/>
        <v>P0</v>
      </c>
      <c r="Y2099" t="str">
        <f t="shared" si="611"/>
        <v>00</v>
      </c>
      <c r="Z2099" t="str">
        <f t="shared" si="622"/>
        <v>00</v>
      </c>
      <c r="AA2099" t="str">
        <f t="shared" si="612"/>
        <v>00</v>
      </c>
      <c r="AB2099" t="str">
        <f t="shared" si="613"/>
        <v>00</v>
      </c>
      <c r="AC2099" t="str">
        <f t="shared" si="614"/>
        <v>0P0</v>
      </c>
      <c r="AD2099" t="str">
        <f t="shared" si="615"/>
        <v>P00</v>
      </c>
      <c r="AE2099" t="str">
        <f t="shared" si="616"/>
        <v>0P0</v>
      </c>
      <c r="AF2099" t="str">
        <f t="shared" si="617"/>
        <v>P00</v>
      </c>
      <c r="AG2099" t="str">
        <f t="shared" si="623"/>
        <v>0P00</v>
      </c>
      <c r="AH2099" t="str">
        <f t="shared" si="624"/>
        <v>P000</v>
      </c>
      <c r="AI2099" t="str">
        <f t="shared" si="625"/>
        <v>0P00</v>
      </c>
      <c r="AJ2099" t="str">
        <f t="shared" si="626"/>
        <v>P000</v>
      </c>
    </row>
    <row r="2100" spans="1:36" x14ac:dyDescent="0.25">
      <c r="A2100" s="325" t="str">
        <f>CONCATENATE("P",'906MP'!M1800)</f>
        <v>P</v>
      </c>
      <c r="B2100">
        <f>'906MP'!H1800</f>
        <v>0</v>
      </c>
      <c r="C2100">
        <f>'906MP'!J1800</f>
        <v>0</v>
      </c>
      <c r="D2100">
        <f>'906MP'!P1800</f>
        <v>0</v>
      </c>
      <c r="E2100">
        <f>'906MP'!X1800</f>
        <v>0</v>
      </c>
      <c r="F2100" t="str">
        <f t="shared" si="618"/>
        <v>0</v>
      </c>
      <c r="G2100" t="str">
        <f t="shared" si="619"/>
        <v>0</v>
      </c>
      <c r="H2100">
        <f>'906MP'!Y1800</f>
        <v>0</v>
      </c>
      <c r="I2100">
        <f>'906MP'!AK1800</f>
        <v>0</v>
      </c>
      <c r="J2100">
        <f>'906MP'!T1800</f>
        <v>0</v>
      </c>
      <c r="K2100">
        <f>'906MP'!AJ1800</f>
        <v>0</v>
      </c>
      <c r="L2100">
        <f>'906MP'!U1800</f>
        <v>0</v>
      </c>
      <c r="M2100" s="322" t="str">
        <f>IFERROR(VLOOKUP(A2100,PAR!$D$3:$E$53,2,FALSE),"nincs szervezet")</f>
        <v>nincs szervezet</v>
      </c>
      <c r="N2100" s="322" t="str">
        <f>VLOOKUP(F2100,PAR!$R$3:$S$5,2,FALSE)</f>
        <v>3 - egyik sem</v>
      </c>
      <c r="O2100" t="str">
        <f>IFERROR(VLOOKUP(J2100,PAR!$O$3:$P$5,2,FALSE),"nincs feladat")</f>
        <v>nincs feladat</v>
      </c>
      <c r="P2100" t="str">
        <f>IFERROR(VLOOKUP(G2100,PAR!$J$2:$M$19,4),"nincs rovat")</f>
        <v>nincs rovat</v>
      </c>
      <c r="Q2100" t="str">
        <f>IF(H2100&gt;0,VLOOKUP(H2100,PAR!$AA$3:$AC$187,3,FALSE),"nincs főkönyvi számla")</f>
        <v>nincs főkönyvi számla</v>
      </c>
      <c r="R2100" t="str">
        <f>IFERROR(VLOOKUP(K2100,PAR!$V$3:$X$438,3,FALSE),"000000 - Nincs COFOG")</f>
        <v>000000 - Nincs COFOG</v>
      </c>
      <c r="S2100">
        <f t="shared" si="620"/>
        <v>0</v>
      </c>
      <c r="T2100">
        <f t="shared" si="621"/>
        <v>0</v>
      </c>
      <c r="U2100" t="str">
        <f>IF('906MP'!J1800&gt;0,CONCATENATE('906MP'!J1800," - ",'906MP'!P1800,", ",'906MP'!E1800),"nincs megjegyzés")</f>
        <v>nincs megjegyzés</v>
      </c>
      <c r="V2100" t="str">
        <f t="shared" si="608"/>
        <v>0P0</v>
      </c>
      <c r="W2100" t="str">
        <f t="shared" si="609"/>
        <v>0P0</v>
      </c>
      <c r="X2100" t="str">
        <f t="shared" si="610"/>
        <v>P0</v>
      </c>
      <c r="Y2100" t="str">
        <f t="shared" si="611"/>
        <v>00</v>
      </c>
      <c r="Z2100" t="str">
        <f t="shared" si="622"/>
        <v>00</v>
      </c>
      <c r="AA2100" t="str">
        <f t="shared" si="612"/>
        <v>00</v>
      </c>
      <c r="AB2100" t="str">
        <f t="shared" si="613"/>
        <v>00</v>
      </c>
      <c r="AC2100" t="str">
        <f t="shared" si="614"/>
        <v>0P0</v>
      </c>
      <c r="AD2100" t="str">
        <f t="shared" si="615"/>
        <v>P00</v>
      </c>
      <c r="AE2100" t="str">
        <f t="shared" si="616"/>
        <v>0P0</v>
      </c>
      <c r="AF2100" t="str">
        <f t="shared" si="617"/>
        <v>P00</v>
      </c>
      <c r="AG2100" t="str">
        <f t="shared" si="623"/>
        <v>0P00</v>
      </c>
      <c r="AH2100" t="str">
        <f t="shared" si="624"/>
        <v>P000</v>
      </c>
      <c r="AI2100" t="str">
        <f t="shared" si="625"/>
        <v>0P00</v>
      </c>
      <c r="AJ2100" t="str">
        <f t="shared" si="626"/>
        <v>P000</v>
      </c>
    </row>
    <row r="2101" spans="1:36" x14ac:dyDescent="0.25">
      <c r="A2101" s="325" t="str">
        <f>CONCATENATE("P",'906MP'!M1801)</f>
        <v>P</v>
      </c>
      <c r="B2101">
        <f>'906MP'!H1801</f>
        <v>0</v>
      </c>
      <c r="C2101">
        <f>'906MP'!J1801</f>
        <v>0</v>
      </c>
      <c r="D2101">
        <f>'906MP'!P1801</f>
        <v>0</v>
      </c>
      <c r="E2101">
        <f>'906MP'!X1801</f>
        <v>0</v>
      </c>
      <c r="F2101" t="str">
        <f t="shared" si="618"/>
        <v>0</v>
      </c>
      <c r="G2101" t="str">
        <f t="shared" si="619"/>
        <v>0</v>
      </c>
      <c r="H2101">
        <f>'906MP'!Y1801</f>
        <v>0</v>
      </c>
      <c r="I2101">
        <f>'906MP'!AK1801</f>
        <v>0</v>
      </c>
      <c r="J2101">
        <f>'906MP'!T1801</f>
        <v>0</v>
      </c>
      <c r="K2101">
        <f>'906MP'!AJ1801</f>
        <v>0</v>
      </c>
      <c r="L2101">
        <f>'906MP'!U1801</f>
        <v>0</v>
      </c>
      <c r="M2101" s="322" t="str">
        <f>IFERROR(VLOOKUP(A2101,PAR!$D$3:$E$53,2,FALSE),"nincs szervezet")</f>
        <v>nincs szervezet</v>
      </c>
      <c r="N2101" s="322" t="str">
        <f>VLOOKUP(F2101,PAR!$R$3:$S$5,2,FALSE)</f>
        <v>3 - egyik sem</v>
      </c>
      <c r="O2101" t="str">
        <f>IFERROR(VLOOKUP(J2101,PAR!$O$3:$P$5,2,FALSE),"nincs feladat")</f>
        <v>nincs feladat</v>
      </c>
      <c r="P2101" t="str">
        <f>IFERROR(VLOOKUP(G2101,PAR!$J$2:$M$19,4),"nincs rovat")</f>
        <v>nincs rovat</v>
      </c>
      <c r="Q2101" t="str">
        <f>IF(H2101&gt;0,VLOOKUP(H2101,PAR!$AA$3:$AC$187,3,FALSE),"nincs főkönyvi számla")</f>
        <v>nincs főkönyvi számla</v>
      </c>
      <c r="R2101" t="str">
        <f>IFERROR(VLOOKUP(K2101,PAR!$V$3:$X$438,3,FALSE),"000000 - Nincs COFOG")</f>
        <v>000000 - Nincs COFOG</v>
      </c>
      <c r="S2101">
        <f t="shared" si="620"/>
        <v>0</v>
      </c>
      <c r="T2101">
        <f t="shared" si="621"/>
        <v>0</v>
      </c>
      <c r="U2101" t="str">
        <f>IF('906MP'!J1801&gt;0,CONCATENATE('906MP'!J1801," - ",'906MP'!P1801,", ",'906MP'!E1801),"nincs megjegyzés")</f>
        <v>nincs megjegyzés</v>
      </c>
      <c r="V2101" t="str">
        <f t="shared" si="608"/>
        <v>0P0</v>
      </c>
      <c r="W2101" t="str">
        <f t="shared" si="609"/>
        <v>0P0</v>
      </c>
      <c r="X2101" t="str">
        <f t="shared" si="610"/>
        <v>P0</v>
      </c>
      <c r="Y2101" t="str">
        <f t="shared" si="611"/>
        <v>00</v>
      </c>
      <c r="Z2101" t="str">
        <f t="shared" si="622"/>
        <v>00</v>
      </c>
      <c r="AA2101" t="str">
        <f t="shared" si="612"/>
        <v>00</v>
      </c>
      <c r="AB2101" t="str">
        <f t="shared" si="613"/>
        <v>00</v>
      </c>
      <c r="AC2101" t="str">
        <f t="shared" si="614"/>
        <v>0P0</v>
      </c>
      <c r="AD2101" t="str">
        <f t="shared" si="615"/>
        <v>P00</v>
      </c>
      <c r="AE2101" t="str">
        <f t="shared" si="616"/>
        <v>0P0</v>
      </c>
      <c r="AF2101" t="str">
        <f t="shared" si="617"/>
        <v>P00</v>
      </c>
      <c r="AG2101" t="str">
        <f t="shared" si="623"/>
        <v>0P00</v>
      </c>
      <c r="AH2101" t="str">
        <f t="shared" si="624"/>
        <v>P000</v>
      </c>
      <c r="AI2101" t="str">
        <f t="shared" si="625"/>
        <v>0P00</v>
      </c>
      <c r="AJ2101" t="str">
        <f t="shared" si="626"/>
        <v>P000</v>
      </c>
    </row>
    <row r="2102" spans="1:36" x14ac:dyDescent="0.25">
      <c r="A2102" s="325" t="str">
        <f>CONCATENATE("P",'906MP'!M1802)</f>
        <v>P</v>
      </c>
      <c r="B2102">
        <f>'906MP'!H1802</f>
        <v>0</v>
      </c>
      <c r="C2102">
        <f>'906MP'!J1802</f>
        <v>0</v>
      </c>
      <c r="D2102">
        <f>'906MP'!P1802</f>
        <v>0</v>
      </c>
      <c r="E2102">
        <f>'906MP'!X1802</f>
        <v>0</v>
      </c>
      <c r="F2102" t="str">
        <f t="shared" si="618"/>
        <v>0</v>
      </c>
      <c r="G2102" t="str">
        <f t="shared" si="619"/>
        <v>0</v>
      </c>
      <c r="H2102">
        <f>'906MP'!Y1802</f>
        <v>0</v>
      </c>
      <c r="I2102">
        <f>'906MP'!AK1802</f>
        <v>0</v>
      </c>
      <c r="J2102">
        <f>'906MP'!T1802</f>
        <v>0</v>
      </c>
      <c r="K2102">
        <f>'906MP'!AJ1802</f>
        <v>0</v>
      </c>
      <c r="L2102">
        <f>'906MP'!U1802</f>
        <v>0</v>
      </c>
      <c r="M2102" s="322" t="str">
        <f>IFERROR(VLOOKUP(A2102,PAR!$D$3:$E$53,2,FALSE),"nincs szervezet")</f>
        <v>nincs szervezet</v>
      </c>
      <c r="N2102" s="322" t="str">
        <f>VLOOKUP(F2102,PAR!$R$3:$S$5,2,FALSE)</f>
        <v>3 - egyik sem</v>
      </c>
      <c r="O2102" t="str">
        <f>IFERROR(VLOOKUP(J2102,PAR!$O$3:$P$5,2,FALSE),"nincs feladat")</f>
        <v>nincs feladat</v>
      </c>
      <c r="P2102" t="str">
        <f>IFERROR(VLOOKUP(G2102,PAR!$J$2:$M$19,4),"nincs rovat")</f>
        <v>nincs rovat</v>
      </c>
      <c r="Q2102" t="str">
        <f>IF(H2102&gt;0,VLOOKUP(H2102,PAR!$AA$3:$AC$187,3,FALSE),"nincs főkönyvi számla")</f>
        <v>nincs főkönyvi számla</v>
      </c>
      <c r="R2102" t="str">
        <f>IFERROR(VLOOKUP(K2102,PAR!$V$3:$X$438,3,FALSE),"000000 - Nincs COFOG")</f>
        <v>000000 - Nincs COFOG</v>
      </c>
      <c r="S2102">
        <f t="shared" si="620"/>
        <v>0</v>
      </c>
      <c r="T2102">
        <f t="shared" si="621"/>
        <v>0</v>
      </c>
      <c r="U2102" t="str">
        <f>IF('906MP'!J1802&gt;0,CONCATENATE('906MP'!J1802," - ",'906MP'!P1802,", ",'906MP'!E1802),"nincs megjegyzés")</f>
        <v>nincs megjegyzés</v>
      </c>
      <c r="V2102" t="str">
        <f t="shared" si="608"/>
        <v>0P0</v>
      </c>
      <c r="W2102" t="str">
        <f t="shared" si="609"/>
        <v>0P0</v>
      </c>
      <c r="X2102" t="str">
        <f t="shared" si="610"/>
        <v>P0</v>
      </c>
      <c r="Y2102" t="str">
        <f t="shared" si="611"/>
        <v>00</v>
      </c>
      <c r="Z2102" t="str">
        <f t="shared" si="622"/>
        <v>00</v>
      </c>
      <c r="AA2102" t="str">
        <f t="shared" si="612"/>
        <v>00</v>
      </c>
      <c r="AB2102" t="str">
        <f t="shared" si="613"/>
        <v>00</v>
      </c>
      <c r="AC2102" t="str">
        <f t="shared" si="614"/>
        <v>0P0</v>
      </c>
      <c r="AD2102" t="str">
        <f t="shared" si="615"/>
        <v>P00</v>
      </c>
      <c r="AE2102" t="str">
        <f t="shared" si="616"/>
        <v>0P0</v>
      </c>
      <c r="AF2102" t="str">
        <f t="shared" si="617"/>
        <v>P00</v>
      </c>
      <c r="AG2102" t="str">
        <f t="shared" si="623"/>
        <v>0P00</v>
      </c>
      <c r="AH2102" t="str">
        <f t="shared" si="624"/>
        <v>P000</v>
      </c>
      <c r="AI2102" t="str">
        <f t="shared" si="625"/>
        <v>0P00</v>
      </c>
      <c r="AJ2102" t="str">
        <f t="shared" si="626"/>
        <v>P000</v>
      </c>
    </row>
    <row r="2103" spans="1:36" x14ac:dyDescent="0.25">
      <c r="A2103" s="325" t="str">
        <f>CONCATENATE("P",'906MP'!M1803)</f>
        <v>P</v>
      </c>
      <c r="B2103">
        <f>'906MP'!H1803</f>
        <v>0</v>
      </c>
      <c r="C2103">
        <f>'906MP'!J1803</f>
        <v>0</v>
      </c>
      <c r="D2103">
        <f>'906MP'!P1803</f>
        <v>0</v>
      </c>
      <c r="E2103">
        <f>'906MP'!X1803</f>
        <v>0</v>
      </c>
      <c r="F2103" t="str">
        <f t="shared" si="618"/>
        <v>0</v>
      </c>
      <c r="G2103" t="str">
        <f t="shared" si="619"/>
        <v>0</v>
      </c>
      <c r="H2103">
        <f>'906MP'!Y1803</f>
        <v>0</v>
      </c>
      <c r="I2103">
        <f>'906MP'!AK1803</f>
        <v>0</v>
      </c>
      <c r="J2103">
        <f>'906MP'!T1803</f>
        <v>0</v>
      </c>
      <c r="K2103">
        <f>'906MP'!AJ1803</f>
        <v>0</v>
      </c>
      <c r="L2103">
        <f>'906MP'!U1803</f>
        <v>0</v>
      </c>
      <c r="M2103" s="322" t="str">
        <f>IFERROR(VLOOKUP(A2103,PAR!$D$3:$E$53,2,FALSE),"nincs szervezet")</f>
        <v>nincs szervezet</v>
      </c>
      <c r="N2103" s="322" t="str">
        <f>VLOOKUP(F2103,PAR!$R$3:$S$5,2,FALSE)</f>
        <v>3 - egyik sem</v>
      </c>
      <c r="O2103" t="str">
        <f>IFERROR(VLOOKUP(J2103,PAR!$O$3:$P$5,2,FALSE),"nincs feladat")</f>
        <v>nincs feladat</v>
      </c>
      <c r="P2103" t="str">
        <f>IFERROR(VLOOKUP(G2103,PAR!$J$2:$M$19,4),"nincs rovat")</f>
        <v>nincs rovat</v>
      </c>
      <c r="Q2103" t="str">
        <f>IF(H2103&gt;0,VLOOKUP(H2103,PAR!$AA$3:$AC$187,3,FALSE),"nincs főkönyvi számla")</f>
        <v>nincs főkönyvi számla</v>
      </c>
      <c r="R2103" t="str">
        <f>IFERROR(VLOOKUP(K2103,PAR!$V$3:$X$438,3,FALSE),"000000 - Nincs COFOG")</f>
        <v>000000 - Nincs COFOG</v>
      </c>
      <c r="S2103">
        <f t="shared" si="620"/>
        <v>0</v>
      </c>
      <c r="T2103">
        <f t="shared" si="621"/>
        <v>0</v>
      </c>
      <c r="U2103" t="str">
        <f>IF('906MP'!J1803&gt;0,CONCATENATE('906MP'!J1803," - ",'906MP'!P1803,", ",'906MP'!E1803),"nincs megjegyzés")</f>
        <v>nincs megjegyzés</v>
      </c>
      <c r="V2103" t="str">
        <f t="shared" si="608"/>
        <v>0P0</v>
      </c>
      <c r="W2103" t="str">
        <f t="shared" si="609"/>
        <v>0P0</v>
      </c>
      <c r="X2103" t="str">
        <f t="shared" si="610"/>
        <v>P0</v>
      </c>
      <c r="Y2103" t="str">
        <f t="shared" si="611"/>
        <v>00</v>
      </c>
      <c r="Z2103" t="str">
        <f t="shared" si="622"/>
        <v>00</v>
      </c>
      <c r="AA2103" t="str">
        <f t="shared" si="612"/>
        <v>00</v>
      </c>
      <c r="AB2103" t="str">
        <f t="shared" si="613"/>
        <v>00</v>
      </c>
      <c r="AC2103" t="str">
        <f t="shared" si="614"/>
        <v>0P0</v>
      </c>
      <c r="AD2103" t="str">
        <f t="shared" si="615"/>
        <v>P00</v>
      </c>
      <c r="AE2103" t="str">
        <f t="shared" si="616"/>
        <v>0P0</v>
      </c>
      <c r="AF2103" t="str">
        <f t="shared" si="617"/>
        <v>P00</v>
      </c>
      <c r="AG2103" t="str">
        <f t="shared" si="623"/>
        <v>0P00</v>
      </c>
      <c r="AH2103" t="str">
        <f t="shared" si="624"/>
        <v>P000</v>
      </c>
      <c r="AI2103" t="str">
        <f t="shared" si="625"/>
        <v>0P00</v>
      </c>
      <c r="AJ2103" t="str">
        <f t="shared" si="626"/>
        <v>P000</v>
      </c>
    </row>
    <row r="2104" spans="1:36" x14ac:dyDescent="0.25">
      <c r="A2104" s="325" t="str">
        <f>CONCATENATE("P",'906MP'!M1804)</f>
        <v>P</v>
      </c>
      <c r="B2104">
        <f>'906MP'!H1804</f>
        <v>0</v>
      </c>
      <c r="C2104">
        <f>'906MP'!J1804</f>
        <v>0</v>
      </c>
      <c r="D2104">
        <f>'906MP'!P1804</f>
        <v>0</v>
      </c>
      <c r="E2104">
        <f>'906MP'!X1804</f>
        <v>0</v>
      </c>
      <c r="F2104" t="str">
        <f t="shared" si="618"/>
        <v>0</v>
      </c>
      <c r="G2104" t="str">
        <f t="shared" si="619"/>
        <v>0</v>
      </c>
      <c r="H2104">
        <f>'906MP'!Y1804</f>
        <v>0</v>
      </c>
      <c r="I2104">
        <f>'906MP'!AK1804</f>
        <v>0</v>
      </c>
      <c r="J2104">
        <f>'906MP'!T1804</f>
        <v>0</v>
      </c>
      <c r="K2104">
        <f>'906MP'!AJ1804</f>
        <v>0</v>
      </c>
      <c r="L2104">
        <f>'906MP'!U1804</f>
        <v>0</v>
      </c>
      <c r="M2104" s="322" t="str">
        <f>IFERROR(VLOOKUP(A2104,PAR!$D$3:$E$53,2,FALSE),"nincs szervezet")</f>
        <v>nincs szervezet</v>
      </c>
      <c r="N2104" s="322" t="str">
        <f>VLOOKUP(F2104,PAR!$R$3:$S$5,2,FALSE)</f>
        <v>3 - egyik sem</v>
      </c>
      <c r="O2104" t="str">
        <f>IFERROR(VLOOKUP(J2104,PAR!$O$3:$P$5,2,FALSE),"nincs feladat")</f>
        <v>nincs feladat</v>
      </c>
      <c r="P2104" t="str">
        <f>IFERROR(VLOOKUP(G2104,PAR!$J$2:$M$19,4),"nincs rovat")</f>
        <v>nincs rovat</v>
      </c>
      <c r="Q2104" t="str">
        <f>IF(H2104&gt;0,VLOOKUP(H2104,PAR!$AA$3:$AC$187,3,FALSE),"nincs főkönyvi számla")</f>
        <v>nincs főkönyvi számla</v>
      </c>
      <c r="R2104" t="str">
        <f>IFERROR(VLOOKUP(K2104,PAR!$V$3:$X$438,3,FALSE),"000000 - Nincs COFOG")</f>
        <v>000000 - Nincs COFOG</v>
      </c>
      <c r="S2104">
        <f t="shared" si="620"/>
        <v>0</v>
      </c>
      <c r="T2104">
        <f t="shared" si="621"/>
        <v>0</v>
      </c>
      <c r="U2104" t="str">
        <f>IF('906MP'!J1804&gt;0,CONCATENATE('906MP'!J1804," - ",'906MP'!P1804,", ",'906MP'!E1804),"nincs megjegyzés")</f>
        <v>nincs megjegyzés</v>
      </c>
      <c r="V2104" t="str">
        <f t="shared" si="608"/>
        <v>0P0</v>
      </c>
      <c r="W2104" t="str">
        <f t="shared" si="609"/>
        <v>0P0</v>
      </c>
      <c r="X2104" t="str">
        <f t="shared" si="610"/>
        <v>P0</v>
      </c>
      <c r="Y2104" t="str">
        <f t="shared" si="611"/>
        <v>00</v>
      </c>
      <c r="Z2104" t="str">
        <f t="shared" si="622"/>
        <v>00</v>
      </c>
      <c r="AA2104" t="str">
        <f t="shared" si="612"/>
        <v>00</v>
      </c>
      <c r="AB2104" t="str">
        <f t="shared" si="613"/>
        <v>00</v>
      </c>
      <c r="AC2104" t="str">
        <f t="shared" si="614"/>
        <v>0P0</v>
      </c>
      <c r="AD2104" t="str">
        <f t="shared" si="615"/>
        <v>P00</v>
      </c>
      <c r="AE2104" t="str">
        <f t="shared" si="616"/>
        <v>0P0</v>
      </c>
      <c r="AF2104" t="str">
        <f t="shared" si="617"/>
        <v>P00</v>
      </c>
      <c r="AG2104" t="str">
        <f t="shared" si="623"/>
        <v>0P00</v>
      </c>
      <c r="AH2104" t="str">
        <f t="shared" si="624"/>
        <v>P000</v>
      </c>
      <c r="AI2104" t="str">
        <f t="shared" si="625"/>
        <v>0P00</v>
      </c>
      <c r="AJ2104" t="str">
        <f t="shared" si="626"/>
        <v>P000</v>
      </c>
    </row>
    <row r="2105" spans="1:36" x14ac:dyDescent="0.25">
      <c r="A2105" s="325" t="str">
        <f>CONCATENATE("P",'906MP'!M1805)</f>
        <v>P</v>
      </c>
      <c r="B2105">
        <f>'906MP'!H1805</f>
        <v>0</v>
      </c>
      <c r="C2105">
        <f>'906MP'!J1805</f>
        <v>0</v>
      </c>
      <c r="D2105">
        <f>'906MP'!P1805</f>
        <v>0</v>
      </c>
      <c r="E2105">
        <f>'906MP'!X1805</f>
        <v>0</v>
      </c>
      <c r="F2105" t="str">
        <f t="shared" si="618"/>
        <v>0</v>
      </c>
      <c r="G2105" t="str">
        <f t="shared" si="619"/>
        <v>0</v>
      </c>
      <c r="H2105">
        <f>'906MP'!Y1805</f>
        <v>0</v>
      </c>
      <c r="I2105">
        <f>'906MP'!AK1805</f>
        <v>0</v>
      </c>
      <c r="J2105">
        <f>'906MP'!T1805</f>
        <v>0</v>
      </c>
      <c r="K2105">
        <f>'906MP'!AJ1805</f>
        <v>0</v>
      </c>
      <c r="L2105">
        <f>'906MP'!U1805</f>
        <v>0</v>
      </c>
      <c r="M2105" s="322" t="str">
        <f>IFERROR(VLOOKUP(A2105,PAR!$D$3:$E$53,2,FALSE),"nincs szervezet")</f>
        <v>nincs szervezet</v>
      </c>
      <c r="N2105" s="322" t="str">
        <f>VLOOKUP(F2105,PAR!$R$3:$S$5,2,FALSE)</f>
        <v>3 - egyik sem</v>
      </c>
      <c r="O2105" t="str">
        <f>IFERROR(VLOOKUP(J2105,PAR!$O$3:$P$5,2,FALSE),"nincs feladat")</f>
        <v>nincs feladat</v>
      </c>
      <c r="P2105" t="str">
        <f>IFERROR(VLOOKUP(G2105,PAR!$J$2:$M$19,4),"nincs rovat")</f>
        <v>nincs rovat</v>
      </c>
      <c r="Q2105" t="str">
        <f>IF(H2105&gt;0,VLOOKUP(H2105,PAR!$AA$3:$AC$187,3,FALSE),"nincs főkönyvi számla")</f>
        <v>nincs főkönyvi számla</v>
      </c>
      <c r="R2105" t="str">
        <f>IFERROR(VLOOKUP(K2105,PAR!$V$3:$X$438,3,FALSE),"000000 - Nincs COFOG")</f>
        <v>000000 - Nincs COFOG</v>
      </c>
      <c r="S2105">
        <f t="shared" si="620"/>
        <v>0</v>
      </c>
      <c r="T2105">
        <f t="shared" si="621"/>
        <v>0</v>
      </c>
      <c r="U2105" t="str">
        <f>IF('906MP'!J1805&gt;0,CONCATENATE('906MP'!J1805," - ",'906MP'!P1805,", ",'906MP'!E1805),"nincs megjegyzés")</f>
        <v>nincs megjegyzés</v>
      </c>
      <c r="V2105" t="str">
        <f t="shared" si="608"/>
        <v>0P0</v>
      </c>
      <c r="W2105" t="str">
        <f t="shared" si="609"/>
        <v>0P0</v>
      </c>
      <c r="X2105" t="str">
        <f t="shared" si="610"/>
        <v>P0</v>
      </c>
      <c r="Y2105" t="str">
        <f t="shared" si="611"/>
        <v>00</v>
      </c>
      <c r="Z2105" t="str">
        <f t="shared" si="622"/>
        <v>00</v>
      </c>
      <c r="AA2105" t="str">
        <f t="shared" si="612"/>
        <v>00</v>
      </c>
      <c r="AB2105" t="str">
        <f t="shared" si="613"/>
        <v>00</v>
      </c>
      <c r="AC2105" t="str">
        <f t="shared" si="614"/>
        <v>0P0</v>
      </c>
      <c r="AD2105" t="str">
        <f t="shared" si="615"/>
        <v>P00</v>
      </c>
      <c r="AE2105" t="str">
        <f t="shared" si="616"/>
        <v>0P0</v>
      </c>
      <c r="AF2105" t="str">
        <f t="shared" si="617"/>
        <v>P00</v>
      </c>
      <c r="AG2105" t="str">
        <f t="shared" si="623"/>
        <v>0P00</v>
      </c>
      <c r="AH2105" t="str">
        <f t="shared" si="624"/>
        <v>P000</v>
      </c>
      <c r="AI2105" t="str">
        <f t="shared" si="625"/>
        <v>0P00</v>
      </c>
      <c r="AJ2105" t="str">
        <f t="shared" si="626"/>
        <v>P000</v>
      </c>
    </row>
    <row r="2106" spans="1:36" x14ac:dyDescent="0.25">
      <c r="A2106" s="325" t="str">
        <f>CONCATENATE("P",'906MP'!M1806)</f>
        <v>P</v>
      </c>
      <c r="B2106">
        <f>'906MP'!H1806</f>
        <v>0</v>
      </c>
      <c r="C2106">
        <f>'906MP'!J1806</f>
        <v>0</v>
      </c>
      <c r="D2106">
        <f>'906MP'!P1806</f>
        <v>0</v>
      </c>
      <c r="E2106">
        <f>'906MP'!X1806</f>
        <v>0</v>
      </c>
      <c r="F2106" t="str">
        <f t="shared" si="618"/>
        <v>0</v>
      </c>
      <c r="G2106" t="str">
        <f t="shared" si="619"/>
        <v>0</v>
      </c>
      <c r="H2106">
        <f>'906MP'!Y1806</f>
        <v>0</v>
      </c>
      <c r="I2106">
        <f>'906MP'!AK1806</f>
        <v>0</v>
      </c>
      <c r="J2106">
        <f>'906MP'!T1806</f>
        <v>0</v>
      </c>
      <c r="K2106">
        <f>'906MP'!AJ1806</f>
        <v>0</v>
      </c>
      <c r="L2106">
        <f>'906MP'!U1806</f>
        <v>0</v>
      </c>
      <c r="M2106" s="322" t="str">
        <f>IFERROR(VLOOKUP(A2106,PAR!$D$3:$E$53,2,FALSE),"nincs szervezet")</f>
        <v>nincs szervezet</v>
      </c>
      <c r="N2106" s="322" t="str">
        <f>VLOOKUP(F2106,PAR!$R$3:$S$5,2,FALSE)</f>
        <v>3 - egyik sem</v>
      </c>
      <c r="O2106" t="str">
        <f>IFERROR(VLOOKUP(J2106,PAR!$O$3:$P$5,2,FALSE),"nincs feladat")</f>
        <v>nincs feladat</v>
      </c>
      <c r="P2106" t="str">
        <f>IFERROR(VLOOKUP(G2106,PAR!$J$2:$M$19,4),"nincs rovat")</f>
        <v>nincs rovat</v>
      </c>
      <c r="Q2106" t="str">
        <f>IF(H2106&gt;0,VLOOKUP(H2106,PAR!$AA$3:$AC$187,3,FALSE),"nincs főkönyvi számla")</f>
        <v>nincs főkönyvi számla</v>
      </c>
      <c r="R2106" t="str">
        <f>IFERROR(VLOOKUP(K2106,PAR!$V$3:$X$438,3,FALSE),"000000 - Nincs COFOG")</f>
        <v>000000 - Nincs COFOG</v>
      </c>
      <c r="S2106">
        <f t="shared" si="620"/>
        <v>0</v>
      </c>
      <c r="T2106">
        <f t="shared" si="621"/>
        <v>0</v>
      </c>
      <c r="U2106" t="str">
        <f>IF('906MP'!J1806&gt;0,CONCATENATE('906MP'!J1806," - ",'906MP'!P1806,", ",'906MP'!E1806),"nincs megjegyzés")</f>
        <v>nincs megjegyzés</v>
      </c>
      <c r="V2106" t="str">
        <f t="shared" si="608"/>
        <v>0P0</v>
      </c>
      <c r="W2106" t="str">
        <f t="shared" si="609"/>
        <v>0P0</v>
      </c>
      <c r="X2106" t="str">
        <f t="shared" si="610"/>
        <v>P0</v>
      </c>
      <c r="Y2106" t="str">
        <f t="shared" si="611"/>
        <v>00</v>
      </c>
      <c r="Z2106" t="str">
        <f t="shared" si="622"/>
        <v>00</v>
      </c>
      <c r="AA2106" t="str">
        <f t="shared" si="612"/>
        <v>00</v>
      </c>
      <c r="AB2106" t="str">
        <f t="shared" si="613"/>
        <v>00</v>
      </c>
      <c r="AC2106" t="str">
        <f t="shared" si="614"/>
        <v>0P0</v>
      </c>
      <c r="AD2106" t="str">
        <f t="shared" si="615"/>
        <v>P00</v>
      </c>
      <c r="AE2106" t="str">
        <f t="shared" si="616"/>
        <v>0P0</v>
      </c>
      <c r="AF2106" t="str">
        <f t="shared" si="617"/>
        <v>P00</v>
      </c>
      <c r="AG2106" t="str">
        <f t="shared" si="623"/>
        <v>0P00</v>
      </c>
      <c r="AH2106" t="str">
        <f t="shared" si="624"/>
        <v>P000</v>
      </c>
      <c r="AI2106" t="str">
        <f t="shared" si="625"/>
        <v>0P00</v>
      </c>
      <c r="AJ2106" t="str">
        <f t="shared" si="626"/>
        <v>P000</v>
      </c>
    </row>
    <row r="2107" spans="1:36" x14ac:dyDescent="0.25">
      <c r="A2107" s="325" t="str">
        <f>CONCATENATE("P",'906MP'!M1807)</f>
        <v>P</v>
      </c>
      <c r="B2107">
        <f>'906MP'!H1807</f>
        <v>0</v>
      </c>
      <c r="C2107">
        <f>'906MP'!J1807</f>
        <v>0</v>
      </c>
      <c r="D2107">
        <f>'906MP'!P1807</f>
        <v>0</v>
      </c>
      <c r="E2107">
        <f>'906MP'!X1807</f>
        <v>0</v>
      </c>
      <c r="F2107" t="str">
        <f t="shared" si="618"/>
        <v>0</v>
      </c>
      <c r="G2107" t="str">
        <f t="shared" si="619"/>
        <v>0</v>
      </c>
      <c r="H2107">
        <f>'906MP'!Y1807</f>
        <v>0</v>
      </c>
      <c r="I2107">
        <f>'906MP'!AK1807</f>
        <v>0</v>
      </c>
      <c r="J2107">
        <f>'906MP'!T1807</f>
        <v>0</v>
      </c>
      <c r="K2107">
        <f>'906MP'!AJ1807</f>
        <v>0</v>
      </c>
      <c r="L2107">
        <f>'906MP'!U1807</f>
        <v>0</v>
      </c>
      <c r="M2107" s="322" t="str">
        <f>IFERROR(VLOOKUP(A2107,PAR!$D$3:$E$53,2,FALSE),"nincs szervezet")</f>
        <v>nincs szervezet</v>
      </c>
      <c r="N2107" s="322" t="str">
        <f>VLOOKUP(F2107,PAR!$R$3:$S$5,2,FALSE)</f>
        <v>3 - egyik sem</v>
      </c>
      <c r="O2107" t="str">
        <f>IFERROR(VLOOKUP(J2107,PAR!$O$3:$P$5,2,FALSE),"nincs feladat")</f>
        <v>nincs feladat</v>
      </c>
      <c r="P2107" t="str">
        <f>IFERROR(VLOOKUP(G2107,PAR!$J$2:$M$19,4),"nincs rovat")</f>
        <v>nincs rovat</v>
      </c>
      <c r="Q2107" t="str">
        <f>IF(H2107&gt;0,VLOOKUP(H2107,PAR!$AA$3:$AC$187,3,FALSE),"nincs főkönyvi számla")</f>
        <v>nincs főkönyvi számla</v>
      </c>
      <c r="R2107" t="str">
        <f>IFERROR(VLOOKUP(K2107,PAR!$V$3:$X$438,3,FALSE),"000000 - Nincs COFOG")</f>
        <v>000000 - Nincs COFOG</v>
      </c>
      <c r="S2107">
        <f t="shared" si="620"/>
        <v>0</v>
      </c>
      <c r="T2107">
        <f t="shared" si="621"/>
        <v>0</v>
      </c>
      <c r="U2107" t="str">
        <f>IF('906MP'!J1807&gt;0,CONCATENATE('906MP'!J1807," - ",'906MP'!P1807,", ",'906MP'!E1807),"nincs megjegyzés")</f>
        <v>nincs megjegyzés</v>
      </c>
      <c r="V2107" t="str">
        <f t="shared" si="608"/>
        <v>0P0</v>
      </c>
      <c r="W2107" t="str">
        <f t="shared" si="609"/>
        <v>0P0</v>
      </c>
      <c r="X2107" t="str">
        <f t="shared" si="610"/>
        <v>P0</v>
      </c>
      <c r="Y2107" t="str">
        <f t="shared" si="611"/>
        <v>00</v>
      </c>
      <c r="Z2107" t="str">
        <f t="shared" si="622"/>
        <v>00</v>
      </c>
      <c r="AA2107" t="str">
        <f t="shared" si="612"/>
        <v>00</v>
      </c>
      <c r="AB2107" t="str">
        <f t="shared" si="613"/>
        <v>00</v>
      </c>
      <c r="AC2107" t="str">
        <f t="shared" si="614"/>
        <v>0P0</v>
      </c>
      <c r="AD2107" t="str">
        <f t="shared" si="615"/>
        <v>P00</v>
      </c>
      <c r="AE2107" t="str">
        <f t="shared" si="616"/>
        <v>0P0</v>
      </c>
      <c r="AF2107" t="str">
        <f t="shared" si="617"/>
        <v>P00</v>
      </c>
      <c r="AG2107" t="str">
        <f t="shared" si="623"/>
        <v>0P00</v>
      </c>
      <c r="AH2107" t="str">
        <f t="shared" si="624"/>
        <v>P000</v>
      </c>
      <c r="AI2107" t="str">
        <f t="shared" si="625"/>
        <v>0P00</v>
      </c>
      <c r="AJ2107" t="str">
        <f t="shared" si="626"/>
        <v>P000</v>
      </c>
    </row>
    <row r="2108" spans="1:36" x14ac:dyDescent="0.25">
      <c r="A2108" s="325" t="str">
        <f>CONCATENATE("P",'906MP'!M1808)</f>
        <v>P</v>
      </c>
      <c r="B2108">
        <f>'906MP'!H1808</f>
        <v>0</v>
      </c>
      <c r="C2108">
        <f>'906MP'!J1808</f>
        <v>0</v>
      </c>
      <c r="D2108">
        <f>'906MP'!P1808</f>
        <v>0</v>
      </c>
      <c r="E2108">
        <f>'906MP'!X1808</f>
        <v>0</v>
      </c>
      <c r="F2108" t="str">
        <f t="shared" si="618"/>
        <v>0</v>
      </c>
      <c r="G2108" t="str">
        <f t="shared" si="619"/>
        <v>0</v>
      </c>
      <c r="H2108">
        <f>'906MP'!Y1808</f>
        <v>0</v>
      </c>
      <c r="I2108">
        <f>'906MP'!AK1808</f>
        <v>0</v>
      </c>
      <c r="J2108">
        <f>'906MP'!T1808</f>
        <v>0</v>
      </c>
      <c r="K2108">
        <f>'906MP'!AJ1808</f>
        <v>0</v>
      </c>
      <c r="L2108">
        <f>'906MP'!U1808</f>
        <v>0</v>
      </c>
      <c r="M2108" s="322" t="str">
        <f>IFERROR(VLOOKUP(A2108,PAR!$D$3:$E$53,2,FALSE),"nincs szervezet")</f>
        <v>nincs szervezet</v>
      </c>
      <c r="N2108" s="322" t="str">
        <f>VLOOKUP(F2108,PAR!$R$3:$S$5,2,FALSE)</f>
        <v>3 - egyik sem</v>
      </c>
      <c r="O2108" t="str">
        <f>IFERROR(VLOOKUP(J2108,PAR!$O$3:$P$5,2,FALSE),"nincs feladat")</f>
        <v>nincs feladat</v>
      </c>
      <c r="P2108" t="str">
        <f>IFERROR(VLOOKUP(G2108,PAR!$J$2:$M$19,4),"nincs rovat")</f>
        <v>nincs rovat</v>
      </c>
      <c r="Q2108" t="str">
        <f>IF(H2108&gt;0,VLOOKUP(H2108,PAR!$AA$3:$AC$187,3,FALSE),"nincs főkönyvi számla")</f>
        <v>nincs főkönyvi számla</v>
      </c>
      <c r="R2108" t="str">
        <f>IFERROR(VLOOKUP(K2108,PAR!$V$3:$X$438,3,FALSE),"000000 - Nincs COFOG")</f>
        <v>000000 - Nincs COFOG</v>
      </c>
      <c r="S2108">
        <f t="shared" si="620"/>
        <v>0</v>
      </c>
      <c r="T2108">
        <f t="shared" si="621"/>
        <v>0</v>
      </c>
      <c r="U2108" t="str">
        <f>IF('906MP'!J1808&gt;0,CONCATENATE('906MP'!J1808," - ",'906MP'!P1808,", ",'906MP'!E1808),"nincs megjegyzés")</f>
        <v>nincs megjegyzés</v>
      </c>
      <c r="V2108" t="str">
        <f t="shared" si="608"/>
        <v>0P0</v>
      </c>
      <c r="W2108" t="str">
        <f t="shared" si="609"/>
        <v>0P0</v>
      </c>
      <c r="X2108" t="str">
        <f t="shared" si="610"/>
        <v>P0</v>
      </c>
      <c r="Y2108" t="str">
        <f t="shared" si="611"/>
        <v>00</v>
      </c>
      <c r="Z2108" t="str">
        <f t="shared" si="622"/>
        <v>00</v>
      </c>
      <c r="AA2108" t="str">
        <f t="shared" si="612"/>
        <v>00</v>
      </c>
      <c r="AB2108" t="str">
        <f t="shared" si="613"/>
        <v>00</v>
      </c>
      <c r="AC2108" t="str">
        <f t="shared" si="614"/>
        <v>0P0</v>
      </c>
      <c r="AD2108" t="str">
        <f t="shared" si="615"/>
        <v>P00</v>
      </c>
      <c r="AE2108" t="str">
        <f t="shared" si="616"/>
        <v>0P0</v>
      </c>
      <c r="AF2108" t="str">
        <f t="shared" si="617"/>
        <v>P00</v>
      </c>
      <c r="AG2108" t="str">
        <f t="shared" si="623"/>
        <v>0P00</v>
      </c>
      <c r="AH2108" t="str">
        <f t="shared" si="624"/>
        <v>P000</v>
      </c>
      <c r="AI2108" t="str">
        <f t="shared" si="625"/>
        <v>0P00</v>
      </c>
      <c r="AJ2108" t="str">
        <f t="shared" si="626"/>
        <v>P000</v>
      </c>
    </row>
    <row r="2109" spans="1:36" x14ac:dyDescent="0.25">
      <c r="A2109" s="325" t="str">
        <f>CONCATENATE("P",'906MP'!M1809)</f>
        <v>P</v>
      </c>
      <c r="B2109">
        <f>'906MP'!H1809</f>
        <v>0</v>
      </c>
      <c r="C2109">
        <f>'906MP'!J1809</f>
        <v>0</v>
      </c>
      <c r="D2109">
        <f>'906MP'!P1809</f>
        <v>0</v>
      </c>
      <c r="E2109">
        <f>'906MP'!X1809</f>
        <v>0</v>
      </c>
      <c r="F2109" t="str">
        <f t="shared" si="618"/>
        <v>0</v>
      </c>
      <c r="G2109" t="str">
        <f t="shared" si="619"/>
        <v>0</v>
      </c>
      <c r="H2109">
        <f>'906MP'!Y1809</f>
        <v>0</v>
      </c>
      <c r="I2109">
        <f>'906MP'!AK1809</f>
        <v>0</v>
      </c>
      <c r="J2109">
        <f>'906MP'!T1809</f>
        <v>0</v>
      </c>
      <c r="K2109">
        <f>'906MP'!AJ1809</f>
        <v>0</v>
      </c>
      <c r="L2109">
        <f>'906MP'!U1809</f>
        <v>0</v>
      </c>
      <c r="M2109" s="322" t="str">
        <f>IFERROR(VLOOKUP(A2109,PAR!$D$3:$E$53,2,FALSE),"nincs szervezet")</f>
        <v>nincs szervezet</v>
      </c>
      <c r="N2109" s="322" t="str">
        <f>VLOOKUP(F2109,PAR!$R$3:$S$5,2,FALSE)</f>
        <v>3 - egyik sem</v>
      </c>
      <c r="O2109" t="str">
        <f>IFERROR(VLOOKUP(J2109,PAR!$O$3:$P$5,2,FALSE),"nincs feladat")</f>
        <v>nincs feladat</v>
      </c>
      <c r="P2109" t="str">
        <f>IFERROR(VLOOKUP(G2109,PAR!$J$2:$M$19,4),"nincs rovat")</f>
        <v>nincs rovat</v>
      </c>
      <c r="Q2109" t="str">
        <f>IF(H2109&gt;0,VLOOKUP(H2109,PAR!$AA$3:$AC$187,3,FALSE),"nincs főkönyvi számla")</f>
        <v>nincs főkönyvi számla</v>
      </c>
      <c r="R2109" t="str">
        <f>IFERROR(VLOOKUP(K2109,PAR!$V$3:$X$438,3,FALSE),"000000 - Nincs COFOG")</f>
        <v>000000 - Nincs COFOG</v>
      </c>
      <c r="S2109">
        <f t="shared" si="620"/>
        <v>0</v>
      </c>
      <c r="T2109">
        <f t="shared" si="621"/>
        <v>0</v>
      </c>
      <c r="U2109" t="str">
        <f>IF('906MP'!J1809&gt;0,CONCATENATE('906MP'!J1809," - ",'906MP'!P1809,", ",'906MP'!E1809),"nincs megjegyzés")</f>
        <v>nincs megjegyzés</v>
      </c>
      <c r="V2109" t="str">
        <f t="shared" si="608"/>
        <v>0P0</v>
      </c>
      <c r="W2109" t="str">
        <f t="shared" si="609"/>
        <v>0P0</v>
      </c>
      <c r="X2109" t="str">
        <f t="shared" si="610"/>
        <v>P0</v>
      </c>
      <c r="Y2109" t="str">
        <f t="shared" si="611"/>
        <v>00</v>
      </c>
      <c r="Z2109" t="str">
        <f t="shared" si="622"/>
        <v>00</v>
      </c>
      <c r="AA2109" t="str">
        <f t="shared" si="612"/>
        <v>00</v>
      </c>
      <c r="AB2109" t="str">
        <f t="shared" si="613"/>
        <v>00</v>
      </c>
      <c r="AC2109" t="str">
        <f t="shared" si="614"/>
        <v>0P0</v>
      </c>
      <c r="AD2109" t="str">
        <f t="shared" si="615"/>
        <v>P00</v>
      </c>
      <c r="AE2109" t="str">
        <f t="shared" si="616"/>
        <v>0P0</v>
      </c>
      <c r="AF2109" t="str">
        <f t="shared" si="617"/>
        <v>P00</v>
      </c>
      <c r="AG2109" t="str">
        <f t="shared" si="623"/>
        <v>0P00</v>
      </c>
      <c r="AH2109" t="str">
        <f t="shared" si="624"/>
        <v>P000</v>
      </c>
      <c r="AI2109" t="str">
        <f t="shared" si="625"/>
        <v>0P00</v>
      </c>
      <c r="AJ2109" t="str">
        <f t="shared" si="626"/>
        <v>P000</v>
      </c>
    </row>
    <row r="2110" spans="1:36" x14ac:dyDescent="0.25">
      <c r="A2110" s="325" t="str">
        <f>CONCATENATE("P",'906MP'!M1810)</f>
        <v>P</v>
      </c>
      <c r="B2110">
        <f>'906MP'!H1810</f>
        <v>0</v>
      </c>
      <c r="C2110">
        <f>'906MP'!J1810</f>
        <v>0</v>
      </c>
      <c r="D2110">
        <f>'906MP'!P1810</f>
        <v>0</v>
      </c>
      <c r="E2110">
        <f>'906MP'!X1810</f>
        <v>0</v>
      </c>
      <c r="F2110" t="str">
        <f t="shared" si="618"/>
        <v>0</v>
      </c>
      <c r="G2110" t="str">
        <f t="shared" si="619"/>
        <v>0</v>
      </c>
      <c r="H2110">
        <f>'906MP'!Y1810</f>
        <v>0</v>
      </c>
      <c r="I2110">
        <f>'906MP'!AK1810</f>
        <v>0</v>
      </c>
      <c r="J2110">
        <f>'906MP'!T1810</f>
        <v>0</v>
      </c>
      <c r="K2110">
        <f>'906MP'!AJ1810</f>
        <v>0</v>
      </c>
      <c r="L2110">
        <f>'906MP'!U1810</f>
        <v>0</v>
      </c>
      <c r="M2110" s="322" t="str">
        <f>IFERROR(VLOOKUP(A2110,PAR!$D$3:$E$53,2,FALSE),"nincs szervezet")</f>
        <v>nincs szervezet</v>
      </c>
      <c r="N2110" s="322" t="str">
        <f>VLOOKUP(F2110,PAR!$R$3:$S$5,2,FALSE)</f>
        <v>3 - egyik sem</v>
      </c>
      <c r="O2110" t="str">
        <f>IFERROR(VLOOKUP(J2110,PAR!$O$3:$P$5,2,FALSE),"nincs feladat")</f>
        <v>nincs feladat</v>
      </c>
      <c r="P2110" t="str">
        <f>IFERROR(VLOOKUP(G2110,PAR!$J$2:$M$19,4),"nincs rovat")</f>
        <v>nincs rovat</v>
      </c>
      <c r="Q2110" t="str">
        <f>IF(H2110&gt;0,VLOOKUP(H2110,PAR!$AA$3:$AC$187,3,FALSE),"nincs főkönyvi számla")</f>
        <v>nincs főkönyvi számla</v>
      </c>
      <c r="R2110" t="str">
        <f>IFERROR(VLOOKUP(K2110,PAR!$V$3:$X$438,3,FALSE),"000000 - Nincs COFOG")</f>
        <v>000000 - Nincs COFOG</v>
      </c>
      <c r="S2110">
        <f t="shared" si="620"/>
        <v>0</v>
      </c>
      <c r="T2110">
        <f t="shared" si="621"/>
        <v>0</v>
      </c>
      <c r="U2110" t="str">
        <f>IF('906MP'!J1810&gt;0,CONCATENATE('906MP'!J1810," - ",'906MP'!P1810,", ",'906MP'!E1810),"nincs megjegyzés")</f>
        <v>nincs megjegyzés</v>
      </c>
      <c r="V2110" t="str">
        <f t="shared" si="608"/>
        <v>0P0</v>
      </c>
      <c r="W2110" t="str">
        <f t="shared" si="609"/>
        <v>0P0</v>
      </c>
      <c r="X2110" t="str">
        <f t="shared" si="610"/>
        <v>P0</v>
      </c>
      <c r="Y2110" t="str">
        <f t="shared" si="611"/>
        <v>00</v>
      </c>
      <c r="Z2110" t="str">
        <f t="shared" si="622"/>
        <v>00</v>
      </c>
      <c r="AA2110" t="str">
        <f t="shared" si="612"/>
        <v>00</v>
      </c>
      <c r="AB2110" t="str">
        <f t="shared" si="613"/>
        <v>00</v>
      </c>
      <c r="AC2110" t="str">
        <f t="shared" si="614"/>
        <v>0P0</v>
      </c>
      <c r="AD2110" t="str">
        <f t="shared" si="615"/>
        <v>P00</v>
      </c>
      <c r="AE2110" t="str">
        <f t="shared" si="616"/>
        <v>0P0</v>
      </c>
      <c r="AF2110" t="str">
        <f t="shared" si="617"/>
        <v>P00</v>
      </c>
      <c r="AG2110" t="str">
        <f t="shared" si="623"/>
        <v>0P00</v>
      </c>
      <c r="AH2110" t="str">
        <f t="shared" si="624"/>
        <v>P000</v>
      </c>
      <c r="AI2110" t="str">
        <f t="shared" si="625"/>
        <v>0P00</v>
      </c>
      <c r="AJ2110" t="str">
        <f t="shared" si="626"/>
        <v>P000</v>
      </c>
    </row>
    <row r="2111" spans="1:36" x14ac:dyDescent="0.25">
      <c r="A2111" s="325" t="str">
        <f>CONCATENATE("P",'906MP'!M1811)</f>
        <v>P</v>
      </c>
      <c r="B2111">
        <f>'906MP'!H1811</f>
        <v>0</v>
      </c>
      <c r="C2111">
        <f>'906MP'!J1811</f>
        <v>0</v>
      </c>
      <c r="D2111">
        <f>'906MP'!P1811</f>
        <v>0</v>
      </c>
      <c r="E2111">
        <f>'906MP'!X1811</f>
        <v>0</v>
      </c>
      <c r="F2111" t="str">
        <f t="shared" si="618"/>
        <v>0</v>
      </c>
      <c r="G2111" t="str">
        <f t="shared" si="619"/>
        <v>0</v>
      </c>
      <c r="H2111">
        <f>'906MP'!Y1811</f>
        <v>0</v>
      </c>
      <c r="I2111">
        <f>'906MP'!AK1811</f>
        <v>0</v>
      </c>
      <c r="J2111">
        <f>'906MP'!T1811</f>
        <v>0</v>
      </c>
      <c r="K2111">
        <f>'906MP'!AJ1811</f>
        <v>0</v>
      </c>
      <c r="L2111">
        <f>'906MP'!U1811</f>
        <v>0</v>
      </c>
      <c r="M2111" s="322" t="str">
        <f>IFERROR(VLOOKUP(A2111,PAR!$D$3:$E$53,2,FALSE),"nincs szervezet")</f>
        <v>nincs szervezet</v>
      </c>
      <c r="N2111" s="322" t="str">
        <f>VLOOKUP(F2111,PAR!$R$3:$S$5,2,FALSE)</f>
        <v>3 - egyik sem</v>
      </c>
      <c r="O2111" t="str">
        <f>IFERROR(VLOOKUP(J2111,PAR!$O$3:$P$5,2,FALSE),"nincs feladat")</f>
        <v>nincs feladat</v>
      </c>
      <c r="P2111" t="str">
        <f>IFERROR(VLOOKUP(G2111,PAR!$J$2:$M$19,4),"nincs rovat")</f>
        <v>nincs rovat</v>
      </c>
      <c r="Q2111" t="str">
        <f>IF(H2111&gt;0,VLOOKUP(H2111,PAR!$AA$3:$AC$187,3,FALSE),"nincs főkönyvi számla")</f>
        <v>nincs főkönyvi számla</v>
      </c>
      <c r="R2111" t="str">
        <f>IFERROR(VLOOKUP(K2111,PAR!$V$3:$X$438,3,FALSE),"000000 - Nincs COFOG")</f>
        <v>000000 - Nincs COFOG</v>
      </c>
      <c r="S2111">
        <f t="shared" si="620"/>
        <v>0</v>
      </c>
      <c r="T2111">
        <f t="shared" si="621"/>
        <v>0</v>
      </c>
      <c r="U2111" t="str">
        <f>IF('906MP'!J1811&gt;0,CONCATENATE('906MP'!J1811," - ",'906MP'!P1811,", ",'906MP'!E1811),"nincs megjegyzés")</f>
        <v>nincs megjegyzés</v>
      </c>
      <c r="V2111" t="str">
        <f t="shared" si="608"/>
        <v>0P0</v>
      </c>
      <c r="W2111" t="str">
        <f t="shared" si="609"/>
        <v>0P0</v>
      </c>
      <c r="X2111" t="str">
        <f t="shared" si="610"/>
        <v>P0</v>
      </c>
      <c r="Y2111" t="str">
        <f t="shared" si="611"/>
        <v>00</v>
      </c>
      <c r="Z2111" t="str">
        <f t="shared" si="622"/>
        <v>00</v>
      </c>
      <c r="AA2111" t="str">
        <f t="shared" si="612"/>
        <v>00</v>
      </c>
      <c r="AB2111" t="str">
        <f t="shared" si="613"/>
        <v>00</v>
      </c>
      <c r="AC2111" t="str">
        <f t="shared" si="614"/>
        <v>0P0</v>
      </c>
      <c r="AD2111" t="str">
        <f t="shared" si="615"/>
        <v>P00</v>
      </c>
      <c r="AE2111" t="str">
        <f t="shared" si="616"/>
        <v>0P0</v>
      </c>
      <c r="AF2111" t="str">
        <f t="shared" si="617"/>
        <v>P00</v>
      </c>
      <c r="AG2111" t="str">
        <f t="shared" si="623"/>
        <v>0P00</v>
      </c>
      <c r="AH2111" t="str">
        <f t="shared" si="624"/>
        <v>P000</v>
      </c>
      <c r="AI2111" t="str">
        <f t="shared" si="625"/>
        <v>0P00</v>
      </c>
      <c r="AJ2111" t="str">
        <f t="shared" si="626"/>
        <v>P000</v>
      </c>
    </row>
    <row r="2112" spans="1:36" x14ac:dyDescent="0.25">
      <c r="A2112" s="325" t="str">
        <f>CONCATENATE("P",'906MP'!M1812)</f>
        <v>P</v>
      </c>
      <c r="B2112">
        <f>'906MP'!H1812</f>
        <v>0</v>
      </c>
      <c r="C2112">
        <f>'906MP'!J1812</f>
        <v>0</v>
      </c>
      <c r="D2112">
        <f>'906MP'!P1812</f>
        <v>0</v>
      </c>
      <c r="E2112">
        <f>'906MP'!X1812</f>
        <v>0</v>
      </c>
      <c r="F2112" t="str">
        <f t="shared" si="618"/>
        <v>0</v>
      </c>
      <c r="G2112" t="str">
        <f t="shared" si="619"/>
        <v>0</v>
      </c>
      <c r="H2112">
        <f>'906MP'!Y1812</f>
        <v>0</v>
      </c>
      <c r="I2112">
        <f>'906MP'!AK1812</f>
        <v>0</v>
      </c>
      <c r="J2112">
        <f>'906MP'!T1812</f>
        <v>0</v>
      </c>
      <c r="K2112">
        <f>'906MP'!AJ1812</f>
        <v>0</v>
      </c>
      <c r="L2112">
        <f>'906MP'!U1812</f>
        <v>0</v>
      </c>
      <c r="M2112" s="322" t="str">
        <f>IFERROR(VLOOKUP(A2112,PAR!$D$3:$E$53,2,FALSE),"nincs szervezet")</f>
        <v>nincs szervezet</v>
      </c>
      <c r="N2112" s="322" t="str">
        <f>VLOOKUP(F2112,PAR!$R$3:$S$5,2,FALSE)</f>
        <v>3 - egyik sem</v>
      </c>
      <c r="O2112" t="str">
        <f>IFERROR(VLOOKUP(J2112,PAR!$O$3:$P$5,2,FALSE),"nincs feladat")</f>
        <v>nincs feladat</v>
      </c>
      <c r="P2112" t="str">
        <f>IFERROR(VLOOKUP(G2112,PAR!$J$2:$M$19,4),"nincs rovat")</f>
        <v>nincs rovat</v>
      </c>
      <c r="Q2112" t="str">
        <f>IF(H2112&gt;0,VLOOKUP(H2112,PAR!$AA$3:$AC$187,3,FALSE),"nincs főkönyvi számla")</f>
        <v>nincs főkönyvi számla</v>
      </c>
      <c r="R2112" t="str">
        <f>IFERROR(VLOOKUP(K2112,PAR!$V$3:$X$438,3,FALSE),"000000 - Nincs COFOG")</f>
        <v>000000 - Nincs COFOG</v>
      </c>
      <c r="S2112">
        <f t="shared" si="620"/>
        <v>0</v>
      </c>
      <c r="T2112">
        <f t="shared" si="621"/>
        <v>0</v>
      </c>
      <c r="U2112" t="str">
        <f>IF('906MP'!J1812&gt;0,CONCATENATE('906MP'!J1812," - ",'906MP'!P1812,", ",'906MP'!E1812),"nincs megjegyzés")</f>
        <v>nincs megjegyzés</v>
      </c>
      <c r="V2112" t="str">
        <f t="shared" si="608"/>
        <v>0P0</v>
      </c>
      <c r="W2112" t="str">
        <f t="shared" si="609"/>
        <v>0P0</v>
      </c>
      <c r="X2112" t="str">
        <f t="shared" si="610"/>
        <v>P0</v>
      </c>
      <c r="Y2112" t="str">
        <f t="shared" si="611"/>
        <v>00</v>
      </c>
      <c r="Z2112" t="str">
        <f t="shared" si="622"/>
        <v>00</v>
      </c>
      <c r="AA2112" t="str">
        <f t="shared" si="612"/>
        <v>00</v>
      </c>
      <c r="AB2112" t="str">
        <f t="shared" si="613"/>
        <v>00</v>
      </c>
      <c r="AC2112" t="str">
        <f t="shared" si="614"/>
        <v>0P0</v>
      </c>
      <c r="AD2112" t="str">
        <f t="shared" si="615"/>
        <v>P00</v>
      </c>
      <c r="AE2112" t="str">
        <f t="shared" si="616"/>
        <v>0P0</v>
      </c>
      <c r="AF2112" t="str">
        <f t="shared" si="617"/>
        <v>P00</v>
      </c>
      <c r="AG2112" t="str">
        <f t="shared" si="623"/>
        <v>0P00</v>
      </c>
      <c r="AH2112" t="str">
        <f t="shared" si="624"/>
        <v>P000</v>
      </c>
      <c r="AI2112" t="str">
        <f t="shared" si="625"/>
        <v>0P00</v>
      </c>
      <c r="AJ2112" t="str">
        <f t="shared" si="626"/>
        <v>P000</v>
      </c>
    </row>
    <row r="2113" spans="1:36" x14ac:dyDescent="0.25">
      <c r="A2113" s="325" t="str">
        <f>CONCATENATE("P",'906MP'!M1813)</f>
        <v>P</v>
      </c>
      <c r="B2113">
        <f>'906MP'!H1813</f>
        <v>0</v>
      </c>
      <c r="C2113">
        <f>'906MP'!J1813</f>
        <v>0</v>
      </c>
      <c r="D2113">
        <f>'906MP'!P1813</f>
        <v>0</v>
      </c>
      <c r="E2113">
        <f>'906MP'!X1813</f>
        <v>0</v>
      </c>
      <c r="F2113" t="str">
        <f t="shared" si="618"/>
        <v>0</v>
      </c>
      <c r="G2113" t="str">
        <f t="shared" si="619"/>
        <v>0</v>
      </c>
      <c r="H2113">
        <f>'906MP'!Y1813</f>
        <v>0</v>
      </c>
      <c r="I2113">
        <f>'906MP'!AK1813</f>
        <v>0</v>
      </c>
      <c r="J2113">
        <f>'906MP'!T1813</f>
        <v>0</v>
      </c>
      <c r="K2113">
        <f>'906MP'!AJ1813</f>
        <v>0</v>
      </c>
      <c r="L2113">
        <f>'906MP'!U1813</f>
        <v>0</v>
      </c>
      <c r="M2113" s="322" t="str">
        <f>IFERROR(VLOOKUP(A2113,PAR!$D$3:$E$53,2,FALSE),"nincs szervezet")</f>
        <v>nincs szervezet</v>
      </c>
      <c r="N2113" s="322" t="str">
        <f>VLOOKUP(F2113,PAR!$R$3:$S$5,2,FALSE)</f>
        <v>3 - egyik sem</v>
      </c>
      <c r="O2113" t="str">
        <f>IFERROR(VLOOKUP(J2113,PAR!$O$3:$P$5,2,FALSE),"nincs feladat")</f>
        <v>nincs feladat</v>
      </c>
      <c r="P2113" t="str">
        <f>IFERROR(VLOOKUP(G2113,PAR!$J$2:$M$19,4),"nincs rovat")</f>
        <v>nincs rovat</v>
      </c>
      <c r="Q2113" t="str">
        <f>IF(H2113&gt;0,VLOOKUP(H2113,PAR!$AA$3:$AC$187,3,FALSE),"nincs főkönyvi számla")</f>
        <v>nincs főkönyvi számla</v>
      </c>
      <c r="R2113" t="str">
        <f>IFERROR(VLOOKUP(K2113,PAR!$V$3:$X$438,3,FALSE),"000000 - Nincs COFOG")</f>
        <v>000000 - Nincs COFOG</v>
      </c>
      <c r="S2113">
        <f t="shared" si="620"/>
        <v>0</v>
      </c>
      <c r="T2113">
        <f t="shared" si="621"/>
        <v>0</v>
      </c>
      <c r="U2113" t="str">
        <f>IF('906MP'!J1813&gt;0,CONCATENATE('906MP'!J1813," - ",'906MP'!P1813,", ",'906MP'!E1813),"nincs megjegyzés")</f>
        <v>nincs megjegyzés</v>
      </c>
      <c r="V2113" t="str">
        <f t="shared" si="608"/>
        <v>0P0</v>
      </c>
      <c r="W2113" t="str">
        <f t="shared" si="609"/>
        <v>0P0</v>
      </c>
      <c r="X2113" t="str">
        <f t="shared" si="610"/>
        <v>P0</v>
      </c>
      <c r="Y2113" t="str">
        <f t="shared" si="611"/>
        <v>00</v>
      </c>
      <c r="Z2113" t="str">
        <f t="shared" si="622"/>
        <v>00</v>
      </c>
      <c r="AA2113" t="str">
        <f t="shared" si="612"/>
        <v>00</v>
      </c>
      <c r="AB2113" t="str">
        <f t="shared" si="613"/>
        <v>00</v>
      </c>
      <c r="AC2113" t="str">
        <f t="shared" si="614"/>
        <v>0P0</v>
      </c>
      <c r="AD2113" t="str">
        <f t="shared" si="615"/>
        <v>P00</v>
      </c>
      <c r="AE2113" t="str">
        <f t="shared" si="616"/>
        <v>0P0</v>
      </c>
      <c r="AF2113" t="str">
        <f t="shared" si="617"/>
        <v>P00</v>
      </c>
      <c r="AG2113" t="str">
        <f t="shared" si="623"/>
        <v>0P00</v>
      </c>
      <c r="AH2113" t="str">
        <f t="shared" si="624"/>
        <v>P000</v>
      </c>
      <c r="AI2113" t="str">
        <f t="shared" si="625"/>
        <v>0P00</v>
      </c>
      <c r="AJ2113" t="str">
        <f t="shared" si="626"/>
        <v>P000</v>
      </c>
    </row>
    <row r="2114" spans="1:36" x14ac:dyDescent="0.25">
      <c r="A2114" s="325" t="str">
        <f>CONCATENATE("P",'906MP'!M1814)</f>
        <v>P</v>
      </c>
      <c r="B2114">
        <f>'906MP'!H1814</f>
        <v>0</v>
      </c>
      <c r="C2114">
        <f>'906MP'!J1814</f>
        <v>0</v>
      </c>
      <c r="D2114">
        <f>'906MP'!P1814</f>
        <v>0</v>
      </c>
      <c r="E2114">
        <f>'906MP'!X1814</f>
        <v>0</v>
      </c>
      <c r="F2114" t="str">
        <f t="shared" si="618"/>
        <v>0</v>
      </c>
      <c r="G2114" t="str">
        <f t="shared" si="619"/>
        <v>0</v>
      </c>
      <c r="H2114">
        <f>'906MP'!Y1814</f>
        <v>0</v>
      </c>
      <c r="I2114">
        <f>'906MP'!AK1814</f>
        <v>0</v>
      </c>
      <c r="J2114">
        <f>'906MP'!T1814</f>
        <v>0</v>
      </c>
      <c r="K2114">
        <f>'906MP'!AJ1814</f>
        <v>0</v>
      </c>
      <c r="L2114">
        <f>'906MP'!U1814</f>
        <v>0</v>
      </c>
      <c r="M2114" s="322" t="str">
        <f>IFERROR(VLOOKUP(A2114,PAR!$D$3:$E$53,2,FALSE),"nincs szervezet")</f>
        <v>nincs szervezet</v>
      </c>
      <c r="N2114" s="322" t="str">
        <f>VLOOKUP(F2114,PAR!$R$3:$S$5,2,FALSE)</f>
        <v>3 - egyik sem</v>
      </c>
      <c r="O2114" t="str">
        <f>IFERROR(VLOOKUP(J2114,PAR!$O$3:$P$5,2,FALSE),"nincs feladat")</f>
        <v>nincs feladat</v>
      </c>
      <c r="P2114" t="str">
        <f>IFERROR(VLOOKUP(G2114,PAR!$J$2:$M$19,4),"nincs rovat")</f>
        <v>nincs rovat</v>
      </c>
      <c r="Q2114" t="str">
        <f>IF(H2114&gt;0,VLOOKUP(H2114,PAR!$AA$3:$AC$187,3,FALSE),"nincs főkönyvi számla")</f>
        <v>nincs főkönyvi számla</v>
      </c>
      <c r="R2114" t="str">
        <f>IFERROR(VLOOKUP(K2114,PAR!$V$3:$X$438,3,FALSE),"000000 - Nincs COFOG")</f>
        <v>000000 - Nincs COFOG</v>
      </c>
      <c r="S2114">
        <f t="shared" si="620"/>
        <v>0</v>
      </c>
      <c r="T2114">
        <f t="shared" si="621"/>
        <v>0</v>
      </c>
      <c r="U2114" t="str">
        <f>IF('906MP'!J1814&gt;0,CONCATENATE('906MP'!J1814," - ",'906MP'!P1814,", ",'906MP'!E1814),"nincs megjegyzés")</f>
        <v>nincs megjegyzés</v>
      </c>
      <c r="V2114" t="str">
        <f t="shared" ref="V2114:V2177" si="627">CONCATENATE(B2114,A2114,G2114)</f>
        <v>0P0</v>
      </c>
      <c r="W2114" t="str">
        <f t="shared" ref="W2114:W2177" si="628">CONCATENATE(B2114,A2114,F2114)</f>
        <v>0P0</v>
      </c>
      <c r="X2114" t="str">
        <f t="shared" ref="X2114:X2177" si="629">CONCATENATE(A2114,H2114)</f>
        <v>P0</v>
      </c>
      <c r="Y2114" t="str">
        <f t="shared" ref="Y2114:Y2177" si="630">CONCATENATE(B2114,H2114)</f>
        <v>00</v>
      </c>
      <c r="Z2114" t="str">
        <f t="shared" si="622"/>
        <v>00</v>
      </c>
      <c r="AA2114" t="str">
        <f t="shared" ref="AA2114:AA2177" si="631">CONCATENATE(B2114,G2114)</f>
        <v>00</v>
      </c>
      <c r="AB2114" t="str">
        <f t="shared" ref="AB2114:AB2177" si="632">CONCATENATE(J2114,G2114)</f>
        <v>00</v>
      </c>
      <c r="AC2114" t="str">
        <f t="shared" ref="AC2114:AC2177" si="633">CONCATENATE(B2114,A2114,H2114)</f>
        <v>0P0</v>
      </c>
      <c r="AD2114" t="str">
        <f t="shared" ref="AD2114:AD2177" si="634">CONCATENATE(A2114,H2114,J2114)</f>
        <v>P00</v>
      </c>
      <c r="AE2114" t="str">
        <f t="shared" ref="AE2114:AE2177" si="635">CONCATENATE(B2114,A2114,G2114)</f>
        <v>0P0</v>
      </c>
      <c r="AF2114" t="str">
        <f t="shared" ref="AF2114:AF2177" si="636">CONCATENATE(A2114,G2114,J2114)</f>
        <v>P00</v>
      </c>
      <c r="AG2114" t="str">
        <f t="shared" si="623"/>
        <v>0P00</v>
      </c>
      <c r="AH2114" t="str">
        <f t="shared" si="624"/>
        <v>P000</v>
      </c>
      <c r="AI2114" t="str">
        <f t="shared" si="625"/>
        <v>0P00</v>
      </c>
      <c r="AJ2114" t="str">
        <f t="shared" si="626"/>
        <v>P000</v>
      </c>
    </row>
    <row r="2115" spans="1:36" x14ac:dyDescent="0.25">
      <c r="A2115" s="325" t="str">
        <f>CONCATENATE("P",'906MP'!M1815)</f>
        <v>P</v>
      </c>
      <c r="B2115">
        <f>'906MP'!H1815</f>
        <v>0</v>
      </c>
      <c r="C2115">
        <f>'906MP'!J1815</f>
        <v>0</v>
      </c>
      <c r="D2115">
        <f>'906MP'!P1815</f>
        <v>0</v>
      </c>
      <c r="E2115">
        <f>'906MP'!X1815</f>
        <v>0</v>
      </c>
      <c r="F2115" t="str">
        <f t="shared" ref="F2115:F2178" si="637">LEFT(G2115,2)</f>
        <v>0</v>
      </c>
      <c r="G2115" t="str">
        <f t="shared" ref="G2115:G2178" si="638">LEFT(H2115,3)</f>
        <v>0</v>
      </c>
      <c r="H2115">
        <f>'906MP'!Y1815</f>
        <v>0</v>
      </c>
      <c r="I2115">
        <f>'906MP'!AK1815</f>
        <v>0</v>
      </c>
      <c r="J2115">
        <f>'906MP'!T1815</f>
        <v>0</v>
      </c>
      <c r="K2115">
        <f>'906MP'!AJ1815</f>
        <v>0</v>
      </c>
      <c r="L2115">
        <f>'906MP'!U1815</f>
        <v>0</v>
      </c>
      <c r="M2115" s="322" t="str">
        <f>IFERROR(VLOOKUP(A2115,PAR!$D$3:$E$53,2,FALSE),"nincs szervezet")</f>
        <v>nincs szervezet</v>
      </c>
      <c r="N2115" s="322" t="str">
        <f>VLOOKUP(F2115,PAR!$R$3:$S$5,2,FALSE)</f>
        <v>3 - egyik sem</v>
      </c>
      <c r="O2115" t="str">
        <f>IFERROR(VLOOKUP(J2115,PAR!$O$3:$P$5,2,FALSE),"nincs feladat")</f>
        <v>nincs feladat</v>
      </c>
      <c r="P2115" t="str">
        <f>IFERROR(VLOOKUP(G2115,PAR!$J$2:$M$19,4),"nincs rovat")</f>
        <v>nincs rovat</v>
      </c>
      <c r="Q2115" t="str">
        <f>IF(H2115&gt;0,VLOOKUP(H2115,PAR!$AA$3:$AC$187,3,FALSE),"nincs főkönyvi számla")</f>
        <v>nincs főkönyvi számla</v>
      </c>
      <c r="R2115" t="str">
        <f>IFERROR(VLOOKUP(K2115,PAR!$V$3:$X$438,3,FALSE),"000000 - Nincs COFOG")</f>
        <v>000000 - Nincs COFOG</v>
      </c>
      <c r="S2115">
        <f t="shared" ref="S2115:S2178" si="639">E2115</f>
        <v>0</v>
      </c>
      <c r="T2115">
        <f t="shared" ref="T2115:T2178" si="640">IF(F2115="09",E2115*-1,E2115)</f>
        <v>0</v>
      </c>
      <c r="U2115" t="str">
        <f>IF('906MP'!J1815&gt;0,CONCATENATE('906MP'!J1815," - ",'906MP'!P1815,", ",'906MP'!E1815),"nincs megjegyzés")</f>
        <v>nincs megjegyzés</v>
      </c>
      <c r="V2115" t="str">
        <f t="shared" si="627"/>
        <v>0P0</v>
      </c>
      <c r="W2115" t="str">
        <f t="shared" si="628"/>
        <v>0P0</v>
      </c>
      <c r="X2115" t="str">
        <f t="shared" si="629"/>
        <v>P0</v>
      </c>
      <c r="Y2115" t="str">
        <f t="shared" si="630"/>
        <v>00</v>
      </c>
      <c r="Z2115" t="str">
        <f t="shared" ref="Z2115:Z2178" si="641">CONCATENATE(J2115,H2115)</f>
        <v>00</v>
      </c>
      <c r="AA2115" t="str">
        <f t="shared" si="631"/>
        <v>00</v>
      </c>
      <c r="AB2115" t="str">
        <f t="shared" si="632"/>
        <v>00</v>
      </c>
      <c r="AC2115" t="str">
        <f t="shared" si="633"/>
        <v>0P0</v>
      </c>
      <c r="AD2115" t="str">
        <f t="shared" si="634"/>
        <v>P00</v>
      </c>
      <c r="AE2115" t="str">
        <f t="shared" si="635"/>
        <v>0P0</v>
      </c>
      <c r="AF2115" t="str">
        <f t="shared" si="636"/>
        <v>P00</v>
      </c>
      <c r="AG2115" t="str">
        <f t="shared" ref="AG2115:AG2178" si="642">CONCATENATE(B2115,A2115,H2115,L2115)</f>
        <v>0P00</v>
      </c>
      <c r="AH2115" t="str">
        <f t="shared" ref="AH2115:AH2178" si="643">CONCATENATE(A2115,J2115,H2115,L2115)</f>
        <v>P000</v>
      </c>
      <c r="AI2115" t="str">
        <f t="shared" ref="AI2115:AI2178" si="644">CONCATENATE(B2115,A2115,G2115,L2115)</f>
        <v>0P00</v>
      </c>
      <c r="AJ2115" t="str">
        <f t="shared" ref="AJ2115:AJ2178" si="645">CONCATENATE(A2115,G2115,J2115,L2115)</f>
        <v>P000</v>
      </c>
    </row>
    <row r="2116" spans="1:36" x14ac:dyDescent="0.25">
      <c r="A2116" s="325" t="str">
        <f>CONCATENATE("P",'906MP'!M1816)</f>
        <v>P</v>
      </c>
      <c r="B2116">
        <f>'906MP'!H1816</f>
        <v>0</v>
      </c>
      <c r="C2116">
        <f>'906MP'!J1816</f>
        <v>0</v>
      </c>
      <c r="D2116">
        <f>'906MP'!P1816</f>
        <v>0</v>
      </c>
      <c r="E2116">
        <f>'906MP'!X1816</f>
        <v>0</v>
      </c>
      <c r="F2116" t="str">
        <f t="shared" si="637"/>
        <v>0</v>
      </c>
      <c r="G2116" t="str">
        <f t="shared" si="638"/>
        <v>0</v>
      </c>
      <c r="H2116">
        <f>'906MP'!Y1816</f>
        <v>0</v>
      </c>
      <c r="I2116">
        <f>'906MP'!AK1816</f>
        <v>0</v>
      </c>
      <c r="J2116">
        <f>'906MP'!T1816</f>
        <v>0</v>
      </c>
      <c r="K2116">
        <f>'906MP'!AJ1816</f>
        <v>0</v>
      </c>
      <c r="L2116">
        <f>'906MP'!U1816</f>
        <v>0</v>
      </c>
      <c r="M2116" s="322" t="str">
        <f>IFERROR(VLOOKUP(A2116,PAR!$D$3:$E$53,2,FALSE),"nincs szervezet")</f>
        <v>nincs szervezet</v>
      </c>
      <c r="N2116" s="322" t="str">
        <f>VLOOKUP(F2116,PAR!$R$3:$S$5,2,FALSE)</f>
        <v>3 - egyik sem</v>
      </c>
      <c r="O2116" t="str">
        <f>IFERROR(VLOOKUP(J2116,PAR!$O$3:$P$5,2,FALSE),"nincs feladat")</f>
        <v>nincs feladat</v>
      </c>
      <c r="P2116" t="str">
        <f>IFERROR(VLOOKUP(G2116,PAR!$J$2:$M$19,4),"nincs rovat")</f>
        <v>nincs rovat</v>
      </c>
      <c r="Q2116" t="str">
        <f>IF(H2116&gt;0,VLOOKUP(H2116,PAR!$AA$3:$AC$187,3,FALSE),"nincs főkönyvi számla")</f>
        <v>nincs főkönyvi számla</v>
      </c>
      <c r="R2116" t="str">
        <f>IFERROR(VLOOKUP(K2116,PAR!$V$3:$X$438,3,FALSE),"000000 - Nincs COFOG")</f>
        <v>000000 - Nincs COFOG</v>
      </c>
      <c r="S2116">
        <f t="shared" si="639"/>
        <v>0</v>
      </c>
      <c r="T2116">
        <f t="shared" si="640"/>
        <v>0</v>
      </c>
      <c r="U2116" t="str">
        <f>IF('906MP'!J1816&gt;0,CONCATENATE('906MP'!J1816," - ",'906MP'!P1816,", ",'906MP'!E1816),"nincs megjegyzés")</f>
        <v>nincs megjegyzés</v>
      </c>
      <c r="V2116" t="str">
        <f t="shared" si="627"/>
        <v>0P0</v>
      </c>
      <c r="W2116" t="str">
        <f t="shared" si="628"/>
        <v>0P0</v>
      </c>
      <c r="X2116" t="str">
        <f t="shared" si="629"/>
        <v>P0</v>
      </c>
      <c r="Y2116" t="str">
        <f t="shared" si="630"/>
        <v>00</v>
      </c>
      <c r="Z2116" t="str">
        <f t="shared" si="641"/>
        <v>00</v>
      </c>
      <c r="AA2116" t="str">
        <f t="shared" si="631"/>
        <v>00</v>
      </c>
      <c r="AB2116" t="str">
        <f t="shared" si="632"/>
        <v>00</v>
      </c>
      <c r="AC2116" t="str">
        <f t="shared" si="633"/>
        <v>0P0</v>
      </c>
      <c r="AD2116" t="str">
        <f t="shared" si="634"/>
        <v>P00</v>
      </c>
      <c r="AE2116" t="str">
        <f t="shared" si="635"/>
        <v>0P0</v>
      </c>
      <c r="AF2116" t="str">
        <f t="shared" si="636"/>
        <v>P00</v>
      </c>
      <c r="AG2116" t="str">
        <f t="shared" si="642"/>
        <v>0P00</v>
      </c>
      <c r="AH2116" t="str">
        <f t="shared" si="643"/>
        <v>P000</v>
      </c>
      <c r="AI2116" t="str">
        <f t="shared" si="644"/>
        <v>0P00</v>
      </c>
      <c r="AJ2116" t="str">
        <f t="shared" si="645"/>
        <v>P000</v>
      </c>
    </row>
    <row r="2117" spans="1:36" x14ac:dyDescent="0.25">
      <c r="A2117" s="325" t="str">
        <f>CONCATENATE("P",'906MP'!M1817)</f>
        <v>P</v>
      </c>
      <c r="B2117">
        <f>'906MP'!H1817</f>
        <v>0</v>
      </c>
      <c r="C2117">
        <f>'906MP'!J1817</f>
        <v>0</v>
      </c>
      <c r="D2117">
        <f>'906MP'!P1817</f>
        <v>0</v>
      </c>
      <c r="E2117">
        <f>'906MP'!X1817</f>
        <v>0</v>
      </c>
      <c r="F2117" t="str">
        <f t="shared" si="637"/>
        <v>0</v>
      </c>
      <c r="G2117" t="str">
        <f t="shared" si="638"/>
        <v>0</v>
      </c>
      <c r="H2117">
        <f>'906MP'!Y1817</f>
        <v>0</v>
      </c>
      <c r="I2117">
        <f>'906MP'!AK1817</f>
        <v>0</v>
      </c>
      <c r="J2117">
        <f>'906MP'!T1817</f>
        <v>0</v>
      </c>
      <c r="K2117">
        <f>'906MP'!AJ1817</f>
        <v>0</v>
      </c>
      <c r="L2117">
        <f>'906MP'!U1817</f>
        <v>0</v>
      </c>
      <c r="M2117" s="322" t="str">
        <f>IFERROR(VLOOKUP(A2117,PAR!$D$3:$E$53,2,FALSE),"nincs szervezet")</f>
        <v>nincs szervezet</v>
      </c>
      <c r="N2117" s="322" t="str">
        <f>VLOOKUP(F2117,PAR!$R$3:$S$5,2,FALSE)</f>
        <v>3 - egyik sem</v>
      </c>
      <c r="O2117" t="str">
        <f>IFERROR(VLOOKUP(J2117,PAR!$O$3:$P$5,2,FALSE),"nincs feladat")</f>
        <v>nincs feladat</v>
      </c>
      <c r="P2117" t="str">
        <f>IFERROR(VLOOKUP(G2117,PAR!$J$2:$M$19,4),"nincs rovat")</f>
        <v>nincs rovat</v>
      </c>
      <c r="Q2117" t="str">
        <f>IF(H2117&gt;0,VLOOKUP(H2117,PAR!$AA$3:$AC$187,3,FALSE),"nincs főkönyvi számla")</f>
        <v>nincs főkönyvi számla</v>
      </c>
      <c r="R2117" t="str">
        <f>IFERROR(VLOOKUP(K2117,PAR!$V$3:$X$438,3,FALSE),"000000 - Nincs COFOG")</f>
        <v>000000 - Nincs COFOG</v>
      </c>
      <c r="S2117">
        <f t="shared" si="639"/>
        <v>0</v>
      </c>
      <c r="T2117">
        <f t="shared" si="640"/>
        <v>0</v>
      </c>
      <c r="U2117" t="str">
        <f>IF('906MP'!J1817&gt;0,CONCATENATE('906MP'!J1817," - ",'906MP'!P1817,", ",'906MP'!E1817),"nincs megjegyzés")</f>
        <v>nincs megjegyzés</v>
      </c>
      <c r="V2117" t="str">
        <f t="shared" si="627"/>
        <v>0P0</v>
      </c>
      <c r="W2117" t="str">
        <f t="shared" si="628"/>
        <v>0P0</v>
      </c>
      <c r="X2117" t="str">
        <f t="shared" si="629"/>
        <v>P0</v>
      </c>
      <c r="Y2117" t="str">
        <f t="shared" si="630"/>
        <v>00</v>
      </c>
      <c r="Z2117" t="str">
        <f t="shared" si="641"/>
        <v>00</v>
      </c>
      <c r="AA2117" t="str">
        <f t="shared" si="631"/>
        <v>00</v>
      </c>
      <c r="AB2117" t="str">
        <f t="shared" si="632"/>
        <v>00</v>
      </c>
      <c r="AC2117" t="str">
        <f t="shared" si="633"/>
        <v>0P0</v>
      </c>
      <c r="AD2117" t="str">
        <f t="shared" si="634"/>
        <v>P00</v>
      </c>
      <c r="AE2117" t="str">
        <f t="shared" si="635"/>
        <v>0P0</v>
      </c>
      <c r="AF2117" t="str">
        <f t="shared" si="636"/>
        <v>P00</v>
      </c>
      <c r="AG2117" t="str">
        <f t="shared" si="642"/>
        <v>0P00</v>
      </c>
      <c r="AH2117" t="str">
        <f t="shared" si="643"/>
        <v>P000</v>
      </c>
      <c r="AI2117" t="str">
        <f t="shared" si="644"/>
        <v>0P00</v>
      </c>
      <c r="AJ2117" t="str">
        <f t="shared" si="645"/>
        <v>P000</v>
      </c>
    </row>
    <row r="2118" spans="1:36" x14ac:dyDescent="0.25">
      <c r="A2118" s="325" t="str">
        <f>CONCATENATE("P",'906MP'!M1818)</f>
        <v>P</v>
      </c>
      <c r="B2118">
        <f>'906MP'!H1818</f>
        <v>0</v>
      </c>
      <c r="C2118">
        <f>'906MP'!J1818</f>
        <v>0</v>
      </c>
      <c r="D2118">
        <f>'906MP'!P1818</f>
        <v>0</v>
      </c>
      <c r="E2118">
        <f>'906MP'!X1818</f>
        <v>0</v>
      </c>
      <c r="F2118" t="str">
        <f t="shared" si="637"/>
        <v>0</v>
      </c>
      <c r="G2118" t="str">
        <f t="shared" si="638"/>
        <v>0</v>
      </c>
      <c r="H2118">
        <f>'906MP'!Y1818</f>
        <v>0</v>
      </c>
      <c r="I2118">
        <f>'906MP'!AK1818</f>
        <v>0</v>
      </c>
      <c r="J2118">
        <f>'906MP'!T1818</f>
        <v>0</v>
      </c>
      <c r="K2118">
        <f>'906MP'!AJ1818</f>
        <v>0</v>
      </c>
      <c r="L2118">
        <f>'906MP'!U1818</f>
        <v>0</v>
      </c>
      <c r="M2118" s="322" t="str">
        <f>IFERROR(VLOOKUP(A2118,PAR!$D$3:$E$53,2,FALSE),"nincs szervezet")</f>
        <v>nincs szervezet</v>
      </c>
      <c r="N2118" s="322" t="str">
        <f>VLOOKUP(F2118,PAR!$R$3:$S$5,2,FALSE)</f>
        <v>3 - egyik sem</v>
      </c>
      <c r="O2118" t="str">
        <f>IFERROR(VLOOKUP(J2118,PAR!$O$3:$P$5,2,FALSE),"nincs feladat")</f>
        <v>nincs feladat</v>
      </c>
      <c r="P2118" t="str">
        <f>IFERROR(VLOOKUP(G2118,PAR!$J$2:$M$19,4),"nincs rovat")</f>
        <v>nincs rovat</v>
      </c>
      <c r="Q2118" t="str">
        <f>IF(H2118&gt;0,VLOOKUP(H2118,PAR!$AA$3:$AC$187,3,FALSE),"nincs főkönyvi számla")</f>
        <v>nincs főkönyvi számla</v>
      </c>
      <c r="R2118" t="str">
        <f>IFERROR(VLOOKUP(K2118,PAR!$V$3:$X$438,3,FALSE),"000000 - Nincs COFOG")</f>
        <v>000000 - Nincs COFOG</v>
      </c>
      <c r="S2118">
        <f t="shared" si="639"/>
        <v>0</v>
      </c>
      <c r="T2118">
        <f t="shared" si="640"/>
        <v>0</v>
      </c>
      <c r="U2118" t="str">
        <f>IF('906MP'!J1818&gt;0,CONCATENATE('906MP'!J1818," - ",'906MP'!P1818,", ",'906MP'!E1818),"nincs megjegyzés")</f>
        <v>nincs megjegyzés</v>
      </c>
      <c r="V2118" t="str">
        <f t="shared" si="627"/>
        <v>0P0</v>
      </c>
      <c r="W2118" t="str">
        <f t="shared" si="628"/>
        <v>0P0</v>
      </c>
      <c r="X2118" t="str">
        <f t="shared" si="629"/>
        <v>P0</v>
      </c>
      <c r="Y2118" t="str">
        <f t="shared" si="630"/>
        <v>00</v>
      </c>
      <c r="Z2118" t="str">
        <f t="shared" si="641"/>
        <v>00</v>
      </c>
      <c r="AA2118" t="str">
        <f t="shared" si="631"/>
        <v>00</v>
      </c>
      <c r="AB2118" t="str">
        <f t="shared" si="632"/>
        <v>00</v>
      </c>
      <c r="AC2118" t="str">
        <f t="shared" si="633"/>
        <v>0P0</v>
      </c>
      <c r="AD2118" t="str">
        <f t="shared" si="634"/>
        <v>P00</v>
      </c>
      <c r="AE2118" t="str">
        <f t="shared" si="635"/>
        <v>0P0</v>
      </c>
      <c r="AF2118" t="str">
        <f t="shared" si="636"/>
        <v>P00</v>
      </c>
      <c r="AG2118" t="str">
        <f t="shared" si="642"/>
        <v>0P00</v>
      </c>
      <c r="AH2118" t="str">
        <f t="shared" si="643"/>
        <v>P000</v>
      </c>
      <c r="AI2118" t="str">
        <f t="shared" si="644"/>
        <v>0P00</v>
      </c>
      <c r="AJ2118" t="str">
        <f t="shared" si="645"/>
        <v>P000</v>
      </c>
    </row>
    <row r="2119" spans="1:36" x14ac:dyDescent="0.25">
      <c r="A2119" s="325" t="str">
        <f>CONCATENATE("P",'906MP'!M1819)</f>
        <v>P</v>
      </c>
      <c r="B2119">
        <f>'906MP'!H1819</f>
        <v>0</v>
      </c>
      <c r="C2119">
        <f>'906MP'!J1819</f>
        <v>0</v>
      </c>
      <c r="D2119">
        <f>'906MP'!P1819</f>
        <v>0</v>
      </c>
      <c r="E2119">
        <f>'906MP'!X1819</f>
        <v>0</v>
      </c>
      <c r="F2119" t="str">
        <f t="shared" si="637"/>
        <v>0</v>
      </c>
      <c r="G2119" t="str">
        <f t="shared" si="638"/>
        <v>0</v>
      </c>
      <c r="H2119">
        <f>'906MP'!Y1819</f>
        <v>0</v>
      </c>
      <c r="I2119">
        <f>'906MP'!AK1819</f>
        <v>0</v>
      </c>
      <c r="J2119">
        <f>'906MP'!T1819</f>
        <v>0</v>
      </c>
      <c r="K2119">
        <f>'906MP'!AJ1819</f>
        <v>0</v>
      </c>
      <c r="L2119">
        <f>'906MP'!U1819</f>
        <v>0</v>
      </c>
      <c r="M2119" s="322" t="str">
        <f>IFERROR(VLOOKUP(A2119,PAR!$D$3:$E$53,2,FALSE),"nincs szervezet")</f>
        <v>nincs szervezet</v>
      </c>
      <c r="N2119" s="322" t="str">
        <f>VLOOKUP(F2119,PAR!$R$3:$S$5,2,FALSE)</f>
        <v>3 - egyik sem</v>
      </c>
      <c r="O2119" t="str">
        <f>IFERROR(VLOOKUP(J2119,PAR!$O$3:$P$5,2,FALSE),"nincs feladat")</f>
        <v>nincs feladat</v>
      </c>
      <c r="P2119" t="str">
        <f>IFERROR(VLOOKUP(G2119,PAR!$J$2:$M$19,4),"nincs rovat")</f>
        <v>nincs rovat</v>
      </c>
      <c r="Q2119" t="str">
        <f>IF(H2119&gt;0,VLOOKUP(H2119,PAR!$AA$3:$AC$187,3,FALSE),"nincs főkönyvi számla")</f>
        <v>nincs főkönyvi számla</v>
      </c>
      <c r="R2119" t="str">
        <f>IFERROR(VLOOKUP(K2119,PAR!$V$3:$X$438,3,FALSE),"000000 - Nincs COFOG")</f>
        <v>000000 - Nincs COFOG</v>
      </c>
      <c r="S2119">
        <f t="shared" si="639"/>
        <v>0</v>
      </c>
      <c r="T2119">
        <f t="shared" si="640"/>
        <v>0</v>
      </c>
      <c r="U2119" t="str">
        <f>IF('906MP'!J1819&gt;0,CONCATENATE('906MP'!J1819," - ",'906MP'!P1819,", ",'906MP'!E1819),"nincs megjegyzés")</f>
        <v>nincs megjegyzés</v>
      </c>
      <c r="V2119" t="str">
        <f t="shared" si="627"/>
        <v>0P0</v>
      </c>
      <c r="W2119" t="str">
        <f t="shared" si="628"/>
        <v>0P0</v>
      </c>
      <c r="X2119" t="str">
        <f t="shared" si="629"/>
        <v>P0</v>
      </c>
      <c r="Y2119" t="str">
        <f t="shared" si="630"/>
        <v>00</v>
      </c>
      <c r="Z2119" t="str">
        <f t="shared" si="641"/>
        <v>00</v>
      </c>
      <c r="AA2119" t="str">
        <f t="shared" si="631"/>
        <v>00</v>
      </c>
      <c r="AB2119" t="str">
        <f t="shared" si="632"/>
        <v>00</v>
      </c>
      <c r="AC2119" t="str">
        <f t="shared" si="633"/>
        <v>0P0</v>
      </c>
      <c r="AD2119" t="str">
        <f t="shared" si="634"/>
        <v>P00</v>
      </c>
      <c r="AE2119" t="str">
        <f t="shared" si="635"/>
        <v>0P0</v>
      </c>
      <c r="AF2119" t="str">
        <f t="shared" si="636"/>
        <v>P00</v>
      </c>
      <c r="AG2119" t="str">
        <f t="shared" si="642"/>
        <v>0P00</v>
      </c>
      <c r="AH2119" t="str">
        <f t="shared" si="643"/>
        <v>P000</v>
      </c>
      <c r="AI2119" t="str">
        <f t="shared" si="644"/>
        <v>0P00</v>
      </c>
      <c r="AJ2119" t="str">
        <f t="shared" si="645"/>
        <v>P000</v>
      </c>
    </row>
    <row r="2120" spans="1:36" x14ac:dyDescent="0.25">
      <c r="A2120" s="325" t="str">
        <f>CONCATENATE("P",'906MP'!M1820)</f>
        <v>P</v>
      </c>
      <c r="B2120">
        <f>'906MP'!H1820</f>
        <v>0</v>
      </c>
      <c r="C2120">
        <f>'906MP'!J1820</f>
        <v>0</v>
      </c>
      <c r="D2120">
        <f>'906MP'!P1820</f>
        <v>0</v>
      </c>
      <c r="E2120">
        <f>'906MP'!X1820</f>
        <v>0</v>
      </c>
      <c r="F2120" t="str">
        <f t="shared" si="637"/>
        <v>0</v>
      </c>
      <c r="G2120" t="str">
        <f t="shared" si="638"/>
        <v>0</v>
      </c>
      <c r="H2120">
        <f>'906MP'!Y1820</f>
        <v>0</v>
      </c>
      <c r="I2120">
        <f>'906MP'!AK1820</f>
        <v>0</v>
      </c>
      <c r="J2120">
        <f>'906MP'!T1820</f>
        <v>0</v>
      </c>
      <c r="K2120">
        <f>'906MP'!AJ1820</f>
        <v>0</v>
      </c>
      <c r="L2120">
        <f>'906MP'!U1820</f>
        <v>0</v>
      </c>
      <c r="M2120" s="322" t="str">
        <f>IFERROR(VLOOKUP(A2120,PAR!$D$3:$E$53,2,FALSE),"nincs szervezet")</f>
        <v>nincs szervezet</v>
      </c>
      <c r="N2120" s="322" t="str">
        <f>VLOOKUP(F2120,PAR!$R$3:$S$5,2,FALSE)</f>
        <v>3 - egyik sem</v>
      </c>
      <c r="O2120" t="str">
        <f>IFERROR(VLOOKUP(J2120,PAR!$O$3:$P$5,2,FALSE),"nincs feladat")</f>
        <v>nincs feladat</v>
      </c>
      <c r="P2120" t="str">
        <f>IFERROR(VLOOKUP(G2120,PAR!$J$2:$M$19,4),"nincs rovat")</f>
        <v>nincs rovat</v>
      </c>
      <c r="Q2120" t="str">
        <f>IF(H2120&gt;0,VLOOKUP(H2120,PAR!$AA$3:$AC$187,3,FALSE),"nincs főkönyvi számla")</f>
        <v>nincs főkönyvi számla</v>
      </c>
      <c r="R2120" t="str">
        <f>IFERROR(VLOOKUP(K2120,PAR!$V$3:$X$438,3,FALSE),"000000 - Nincs COFOG")</f>
        <v>000000 - Nincs COFOG</v>
      </c>
      <c r="S2120">
        <f t="shared" si="639"/>
        <v>0</v>
      </c>
      <c r="T2120">
        <f t="shared" si="640"/>
        <v>0</v>
      </c>
      <c r="U2120" t="str">
        <f>IF('906MP'!J1820&gt;0,CONCATENATE('906MP'!J1820," - ",'906MP'!P1820,", ",'906MP'!E1820),"nincs megjegyzés")</f>
        <v>nincs megjegyzés</v>
      </c>
      <c r="V2120" t="str">
        <f t="shared" si="627"/>
        <v>0P0</v>
      </c>
      <c r="W2120" t="str">
        <f t="shared" si="628"/>
        <v>0P0</v>
      </c>
      <c r="X2120" t="str">
        <f t="shared" si="629"/>
        <v>P0</v>
      </c>
      <c r="Y2120" t="str">
        <f t="shared" si="630"/>
        <v>00</v>
      </c>
      <c r="Z2120" t="str">
        <f t="shared" si="641"/>
        <v>00</v>
      </c>
      <c r="AA2120" t="str">
        <f t="shared" si="631"/>
        <v>00</v>
      </c>
      <c r="AB2120" t="str">
        <f t="shared" si="632"/>
        <v>00</v>
      </c>
      <c r="AC2120" t="str">
        <f t="shared" si="633"/>
        <v>0P0</v>
      </c>
      <c r="AD2120" t="str">
        <f t="shared" si="634"/>
        <v>P00</v>
      </c>
      <c r="AE2120" t="str">
        <f t="shared" si="635"/>
        <v>0P0</v>
      </c>
      <c r="AF2120" t="str">
        <f t="shared" si="636"/>
        <v>P00</v>
      </c>
      <c r="AG2120" t="str">
        <f t="shared" si="642"/>
        <v>0P00</v>
      </c>
      <c r="AH2120" t="str">
        <f t="shared" si="643"/>
        <v>P000</v>
      </c>
      <c r="AI2120" t="str">
        <f t="shared" si="644"/>
        <v>0P00</v>
      </c>
      <c r="AJ2120" t="str">
        <f t="shared" si="645"/>
        <v>P000</v>
      </c>
    </row>
    <row r="2121" spans="1:36" x14ac:dyDescent="0.25">
      <c r="A2121" s="325" t="str">
        <f>CONCATENATE("P",'906MP'!M1821)</f>
        <v>P</v>
      </c>
      <c r="B2121">
        <f>'906MP'!H1821</f>
        <v>0</v>
      </c>
      <c r="C2121">
        <f>'906MP'!J1821</f>
        <v>0</v>
      </c>
      <c r="D2121">
        <f>'906MP'!P1821</f>
        <v>0</v>
      </c>
      <c r="E2121">
        <f>'906MP'!X1821</f>
        <v>0</v>
      </c>
      <c r="F2121" t="str">
        <f t="shared" si="637"/>
        <v>0</v>
      </c>
      <c r="G2121" t="str">
        <f t="shared" si="638"/>
        <v>0</v>
      </c>
      <c r="H2121">
        <f>'906MP'!Y1821</f>
        <v>0</v>
      </c>
      <c r="I2121">
        <f>'906MP'!AK1821</f>
        <v>0</v>
      </c>
      <c r="J2121">
        <f>'906MP'!T1821</f>
        <v>0</v>
      </c>
      <c r="K2121">
        <f>'906MP'!AJ1821</f>
        <v>0</v>
      </c>
      <c r="L2121">
        <f>'906MP'!U1821</f>
        <v>0</v>
      </c>
      <c r="M2121" s="322" t="str">
        <f>IFERROR(VLOOKUP(A2121,PAR!$D$3:$E$53,2,FALSE),"nincs szervezet")</f>
        <v>nincs szervezet</v>
      </c>
      <c r="N2121" s="322" t="str">
        <f>VLOOKUP(F2121,PAR!$R$3:$S$5,2,FALSE)</f>
        <v>3 - egyik sem</v>
      </c>
      <c r="O2121" t="str">
        <f>IFERROR(VLOOKUP(J2121,PAR!$O$3:$P$5,2,FALSE),"nincs feladat")</f>
        <v>nincs feladat</v>
      </c>
      <c r="P2121" t="str">
        <f>IFERROR(VLOOKUP(G2121,PAR!$J$2:$M$19,4),"nincs rovat")</f>
        <v>nincs rovat</v>
      </c>
      <c r="Q2121" t="str">
        <f>IF(H2121&gt;0,VLOOKUP(H2121,PAR!$AA$3:$AC$187,3,FALSE),"nincs főkönyvi számla")</f>
        <v>nincs főkönyvi számla</v>
      </c>
      <c r="R2121" t="str">
        <f>IFERROR(VLOOKUP(K2121,PAR!$V$3:$X$438,3,FALSE),"000000 - Nincs COFOG")</f>
        <v>000000 - Nincs COFOG</v>
      </c>
      <c r="S2121">
        <f t="shared" si="639"/>
        <v>0</v>
      </c>
      <c r="T2121">
        <f t="shared" si="640"/>
        <v>0</v>
      </c>
      <c r="U2121" t="str">
        <f>IF('906MP'!J1821&gt;0,CONCATENATE('906MP'!J1821," - ",'906MP'!P1821,", ",'906MP'!E1821),"nincs megjegyzés")</f>
        <v>nincs megjegyzés</v>
      </c>
      <c r="V2121" t="str">
        <f t="shared" si="627"/>
        <v>0P0</v>
      </c>
      <c r="W2121" t="str">
        <f t="shared" si="628"/>
        <v>0P0</v>
      </c>
      <c r="X2121" t="str">
        <f t="shared" si="629"/>
        <v>P0</v>
      </c>
      <c r="Y2121" t="str">
        <f t="shared" si="630"/>
        <v>00</v>
      </c>
      <c r="Z2121" t="str">
        <f t="shared" si="641"/>
        <v>00</v>
      </c>
      <c r="AA2121" t="str">
        <f t="shared" si="631"/>
        <v>00</v>
      </c>
      <c r="AB2121" t="str">
        <f t="shared" si="632"/>
        <v>00</v>
      </c>
      <c r="AC2121" t="str">
        <f t="shared" si="633"/>
        <v>0P0</v>
      </c>
      <c r="AD2121" t="str">
        <f t="shared" si="634"/>
        <v>P00</v>
      </c>
      <c r="AE2121" t="str">
        <f t="shared" si="635"/>
        <v>0P0</v>
      </c>
      <c r="AF2121" t="str">
        <f t="shared" si="636"/>
        <v>P00</v>
      </c>
      <c r="AG2121" t="str">
        <f t="shared" si="642"/>
        <v>0P00</v>
      </c>
      <c r="AH2121" t="str">
        <f t="shared" si="643"/>
        <v>P000</v>
      </c>
      <c r="AI2121" t="str">
        <f t="shared" si="644"/>
        <v>0P00</v>
      </c>
      <c r="AJ2121" t="str">
        <f t="shared" si="645"/>
        <v>P000</v>
      </c>
    </row>
    <row r="2122" spans="1:36" x14ac:dyDescent="0.25">
      <c r="A2122" s="325" t="str">
        <f>CONCATENATE("P",'906MP'!M1822)</f>
        <v>P</v>
      </c>
      <c r="B2122">
        <f>'906MP'!H1822</f>
        <v>0</v>
      </c>
      <c r="C2122">
        <f>'906MP'!J1822</f>
        <v>0</v>
      </c>
      <c r="D2122">
        <f>'906MP'!P1822</f>
        <v>0</v>
      </c>
      <c r="E2122">
        <f>'906MP'!X1822</f>
        <v>0</v>
      </c>
      <c r="F2122" t="str">
        <f t="shared" si="637"/>
        <v>0</v>
      </c>
      <c r="G2122" t="str">
        <f t="shared" si="638"/>
        <v>0</v>
      </c>
      <c r="H2122">
        <f>'906MP'!Y1822</f>
        <v>0</v>
      </c>
      <c r="I2122">
        <f>'906MP'!AK1822</f>
        <v>0</v>
      </c>
      <c r="J2122">
        <f>'906MP'!T1822</f>
        <v>0</v>
      </c>
      <c r="K2122">
        <f>'906MP'!AJ1822</f>
        <v>0</v>
      </c>
      <c r="L2122">
        <f>'906MP'!U1822</f>
        <v>0</v>
      </c>
      <c r="M2122" s="322" t="str">
        <f>IFERROR(VLOOKUP(A2122,PAR!$D$3:$E$53,2,FALSE),"nincs szervezet")</f>
        <v>nincs szervezet</v>
      </c>
      <c r="N2122" s="322" t="str">
        <f>VLOOKUP(F2122,PAR!$R$3:$S$5,2,FALSE)</f>
        <v>3 - egyik sem</v>
      </c>
      <c r="O2122" t="str">
        <f>IFERROR(VLOOKUP(J2122,PAR!$O$3:$P$5,2,FALSE),"nincs feladat")</f>
        <v>nincs feladat</v>
      </c>
      <c r="P2122" t="str">
        <f>IFERROR(VLOOKUP(G2122,PAR!$J$2:$M$19,4),"nincs rovat")</f>
        <v>nincs rovat</v>
      </c>
      <c r="Q2122" t="str">
        <f>IF(H2122&gt;0,VLOOKUP(H2122,PAR!$AA$3:$AC$187,3,FALSE),"nincs főkönyvi számla")</f>
        <v>nincs főkönyvi számla</v>
      </c>
      <c r="R2122" t="str">
        <f>IFERROR(VLOOKUP(K2122,PAR!$V$3:$X$438,3,FALSE),"000000 - Nincs COFOG")</f>
        <v>000000 - Nincs COFOG</v>
      </c>
      <c r="S2122">
        <f t="shared" si="639"/>
        <v>0</v>
      </c>
      <c r="T2122">
        <f t="shared" si="640"/>
        <v>0</v>
      </c>
      <c r="U2122" t="str">
        <f>IF('906MP'!J1822&gt;0,CONCATENATE('906MP'!J1822," - ",'906MP'!P1822,", ",'906MP'!E1822),"nincs megjegyzés")</f>
        <v>nincs megjegyzés</v>
      </c>
      <c r="V2122" t="str">
        <f t="shared" si="627"/>
        <v>0P0</v>
      </c>
      <c r="W2122" t="str">
        <f t="shared" si="628"/>
        <v>0P0</v>
      </c>
      <c r="X2122" t="str">
        <f t="shared" si="629"/>
        <v>P0</v>
      </c>
      <c r="Y2122" t="str">
        <f t="shared" si="630"/>
        <v>00</v>
      </c>
      <c r="Z2122" t="str">
        <f t="shared" si="641"/>
        <v>00</v>
      </c>
      <c r="AA2122" t="str">
        <f t="shared" si="631"/>
        <v>00</v>
      </c>
      <c r="AB2122" t="str">
        <f t="shared" si="632"/>
        <v>00</v>
      </c>
      <c r="AC2122" t="str">
        <f t="shared" si="633"/>
        <v>0P0</v>
      </c>
      <c r="AD2122" t="str">
        <f t="shared" si="634"/>
        <v>P00</v>
      </c>
      <c r="AE2122" t="str">
        <f t="shared" si="635"/>
        <v>0P0</v>
      </c>
      <c r="AF2122" t="str">
        <f t="shared" si="636"/>
        <v>P00</v>
      </c>
      <c r="AG2122" t="str">
        <f t="shared" si="642"/>
        <v>0P00</v>
      </c>
      <c r="AH2122" t="str">
        <f t="shared" si="643"/>
        <v>P000</v>
      </c>
      <c r="AI2122" t="str">
        <f t="shared" si="644"/>
        <v>0P00</v>
      </c>
      <c r="AJ2122" t="str">
        <f t="shared" si="645"/>
        <v>P000</v>
      </c>
    </row>
    <row r="2123" spans="1:36" x14ac:dyDescent="0.25">
      <c r="A2123" s="325" t="str">
        <f>CONCATENATE("P",'906MP'!M1823)</f>
        <v>P</v>
      </c>
      <c r="B2123">
        <f>'906MP'!H1823</f>
        <v>0</v>
      </c>
      <c r="C2123">
        <f>'906MP'!J1823</f>
        <v>0</v>
      </c>
      <c r="D2123">
        <f>'906MP'!P1823</f>
        <v>0</v>
      </c>
      <c r="E2123">
        <f>'906MP'!X1823</f>
        <v>0</v>
      </c>
      <c r="F2123" t="str">
        <f t="shared" si="637"/>
        <v>0</v>
      </c>
      <c r="G2123" t="str">
        <f t="shared" si="638"/>
        <v>0</v>
      </c>
      <c r="H2123">
        <f>'906MP'!Y1823</f>
        <v>0</v>
      </c>
      <c r="I2123">
        <f>'906MP'!AK1823</f>
        <v>0</v>
      </c>
      <c r="J2123">
        <f>'906MP'!T1823</f>
        <v>0</v>
      </c>
      <c r="K2123">
        <f>'906MP'!AJ1823</f>
        <v>0</v>
      </c>
      <c r="L2123">
        <f>'906MP'!U1823</f>
        <v>0</v>
      </c>
      <c r="M2123" s="322" t="str">
        <f>IFERROR(VLOOKUP(A2123,PAR!$D$3:$E$53,2,FALSE),"nincs szervezet")</f>
        <v>nincs szervezet</v>
      </c>
      <c r="N2123" s="322" t="str">
        <f>VLOOKUP(F2123,PAR!$R$3:$S$5,2,FALSE)</f>
        <v>3 - egyik sem</v>
      </c>
      <c r="O2123" t="str">
        <f>IFERROR(VLOOKUP(J2123,PAR!$O$3:$P$5,2,FALSE),"nincs feladat")</f>
        <v>nincs feladat</v>
      </c>
      <c r="P2123" t="str">
        <f>IFERROR(VLOOKUP(G2123,PAR!$J$2:$M$19,4),"nincs rovat")</f>
        <v>nincs rovat</v>
      </c>
      <c r="Q2123" t="str">
        <f>IF(H2123&gt;0,VLOOKUP(H2123,PAR!$AA$3:$AC$187,3,FALSE),"nincs főkönyvi számla")</f>
        <v>nincs főkönyvi számla</v>
      </c>
      <c r="R2123" t="str">
        <f>IFERROR(VLOOKUP(K2123,PAR!$V$3:$X$438,3,FALSE),"000000 - Nincs COFOG")</f>
        <v>000000 - Nincs COFOG</v>
      </c>
      <c r="S2123">
        <f t="shared" si="639"/>
        <v>0</v>
      </c>
      <c r="T2123">
        <f t="shared" si="640"/>
        <v>0</v>
      </c>
      <c r="U2123" t="str">
        <f>IF('906MP'!J1823&gt;0,CONCATENATE('906MP'!J1823," - ",'906MP'!P1823,", ",'906MP'!E1823),"nincs megjegyzés")</f>
        <v>nincs megjegyzés</v>
      </c>
      <c r="V2123" t="str">
        <f t="shared" si="627"/>
        <v>0P0</v>
      </c>
      <c r="W2123" t="str">
        <f t="shared" si="628"/>
        <v>0P0</v>
      </c>
      <c r="X2123" t="str">
        <f t="shared" si="629"/>
        <v>P0</v>
      </c>
      <c r="Y2123" t="str">
        <f t="shared" si="630"/>
        <v>00</v>
      </c>
      <c r="Z2123" t="str">
        <f t="shared" si="641"/>
        <v>00</v>
      </c>
      <c r="AA2123" t="str">
        <f t="shared" si="631"/>
        <v>00</v>
      </c>
      <c r="AB2123" t="str">
        <f t="shared" si="632"/>
        <v>00</v>
      </c>
      <c r="AC2123" t="str">
        <f t="shared" si="633"/>
        <v>0P0</v>
      </c>
      <c r="AD2123" t="str">
        <f t="shared" si="634"/>
        <v>P00</v>
      </c>
      <c r="AE2123" t="str">
        <f t="shared" si="635"/>
        <v>0P0</v>
      </c>
      <c r="AF2123" t="str">
        <f t="shared" si="636"/>
        <v>P00</v>
      </c>
      <c r="AG2123" t="str">
        <f t="shared" si="642"/>
        <v>0P00</v>
      </c>
      <c r="AH2123" t="str">
        <f t="shared" si="643"/>
        <v>P000</v>
      </c>
      <c r="AI2123" t="str">
        <f t="shared" si="644"/>
        <v>0P00</v>
      </c>
      <c r="AJ2123" t="str">
        <f t="shared" si="645"/>
        <v>P000</v>
      </c>
    </row>
    <row r="2124" spans="1:36" x14ac:dyDescent="0.25">
      <c r="A2124" s="325" t="str">
        <f>CONCATENATE("P",'906MP'!M1824)</f>
        <v>P</v>
      </c>
      <c r="B2124">
        <f>'906MP'!H1824</f>
        <v>0</v>
      </c>
      <c r="C2124">
        <f>'906MP'!J1824</f>
        <v>0</v>
      </c>
      <c r="D2124">
        <f>'906MP'!P1824</f>
        <v>0</v>
      </c>
      <c r="E2124">
        <f>'906MP'!X1824</f>
        <v>0</v>
      </c>
      <c r="F2124" t="str">
        <f t="shared" si="637"/>
        <v>0</v>
      </c>
      <c r="G2124" t="str">
        <f t="shared" si="638"/>
        <v>0</v>
      </c>
      <c r="H2124">
        <f>'906MP'!Y1824</f>
        <v>0</v>
      </c>
      <c r="I2124">
        <f>'906MP'!AK1824</f>
        <v>0</v>
      </c>
      <c r="J2124">
        <f>'906MP'!T1824</f>
        <v>0</v>
      </c>
      <c r="K2124">
        <f>'906MP'!AJ1824</f>
        <v>0</v>
      </c>
      <c r="L2124">
        <f>'906MP'!U1824</f>
        <v>0</v>
      </c>
      <c r="M2124" s="322" t="str">
        <f>IFERROR(VLOOKUP(A2124,PAR!$D$3:$E$53,2,FALSE),"nincs szervezet")</f>
        <v>nincs szervezet</v>
      </c>
      <c r="N2124" s="322" t="str">
        <f>VLOOKUP(F2124,PAR!$R$3:$S$5,2,FALSE)</f>
        <v>3 - egyik sem</v>
      </c>
      <c r="O2124" t="str">
        <f>IFERROR(VLOOKUP(J2124,PAR!$O$3:$P$5,2,FALSE),"nincs feladat")</f>
        <v>nincs feladat</v>
      </c>
      <c r="P2124" t="str">
        <f>IFERROR(VLOOKUP(G2124,PAR!$J$2:$M$19,4),"nincs rovat")</f>
        <v>nincs rovat</v>
      </c>
      <c r="Q2124" t="str">
        <f>IF(H2124&gt;0,VLOOKUP(H2124,PAR!$AA$3:$AC$187,3,FALSE),"nincs főkönyvi számla")</f>
        <v>nincs főkönyvi számla</v>
      </c>
      <c r="R2124" t="str">
        <f>IFERROR(VLOOKUP(K2124,PAR!$V$3:$X$438,3,FALSE),"000000 - Nincs COFOG")</f>
        <v>000000 - Nincs COFOG</v>
      </c>
      <c r="S2124">
        <f t="shared" si="639"/>
        <v>0</v>
      </c>
      <c r="T2124">
        <f t="shared" si="640"/>
        <v>0</v>
      </c>
      <c r="U2124" t="str">
        <f>IF('906MP'!J1824&gt;0,CONCATENATE('906MP'!J1824," - ",'906MP'!P1824,", ",'906MP'!E1824),"nincs megjegyzés")</f>
        <v>nincs megjegyzés</v>
      </c>
      <c r="V2124" t="str">
        <f t="shared" si="627"/>
        <v>0P0</v>
      </c>
      <c r="W2124" t="str">
        <f t="shared" si="628"/>
        <v>0P0</v>
      </c>
      <c r="X2124" t="str">
        <f t="shared" si="629"/>
        <v>P0</v>
      </c>
      <c r="Y2124" t="str">
        <f t="shared" si="630"/>
        <v>00</v>
      </c>
      <c r="Z2124" t="str">
        <f t="shared" si="641"/>
        <v>00</v>
      </c>
      <c r="AA2124" t="str">
        <f t="shared" si="631"/>
        <v>00</v>
      </c>
      <c r="AB2124" t="str">
        <f t="shared" si="632"/>
        <v>00</v>
      </c>
      <c r="AC2124" t="str">
        <f t="shared" si="633"/>
        <v>0P0</v>
      </c>
      <c r="AD2124" t="str">
        <f t="shared" si="634"/>
        <v>P00</v>
      </c>
      <c r="AE2124" t="str">
        <f t="shared" si="635"/>
        <v>0P0</v>
      </c>
      <c r="AF2124" t="str">
        <f t="shared" si="636"/>
        <v>P00</v>
      </c>
      <c r="AG2124" t="str">
        <f t="shared" si="642"/>
        <v>0P00</v>
      </c>
      <c r="AH2124" t="str">
        <f t="shared" si="643"/>
        <v>P000</v>
      </c>
      <c r="AI2124" t="str">
        <f t="shared" si="644"/>
        <v>0P00</v>
      </c>
      <c r="AJ2124" t="str">
        <f t="shared" si="645"/>
        <v>P000</v>
      </c>
    </row>
    <row r="2125" spans="1:36" x14ac:dyDescent="0.25">
      <c r="A2125" s="325" t="str">
        <f>CONCATENATE("P",'906MP'!M1825)</f>
        <v>P</v>
      </c>
      <c r="B2125">
        <f>'906MP'!H1825</f>
        <v>0</v>
      </c>
      <c r="C2125">
        <f>'906MP'!J1825</f>
        <v>0</v>
      </c>
      <c r="D2125">
        <f>'906MP'!P1825</f>
        <v>0</v>
      </c>
      <c r="E2125">
        <f>'906MP'!X1825</f>
        <v>0</v>
      </c>
      <c r="F2125" t="str">
        <f t="shared" si="637"/>
        <v>0</v>
      </c>
      <c r="G2125" t="str">
        <f t="shared" si="638"/>
        <v>0</v>
      </c>
      <c r="H2125">
        <f>'906MP'!Y1825</f>
        <v>0</v>
      </c>
      <c r="I2125">
        <f>'906MP'!AK1825</f>
        <v>0</v>
      </c>
      <c r="J2125">
        <f>'906MP'!T1825</f>
        <v>0</v>
      </c>
      <c r="K2125">
        <f>'906MP'!AJ1825</f>
        <v>0</v>
      </c>
      <c r="L2125">
        <f>'906MP'!U1825</f>
        <v>0</v>
      </c>
      <c r="M2125" s="322" t="str">
        <f>IFERROR(VLOOKUP(A2125,PAR!$D$3:$E$53,2,FALSE),"nincs szervezet")</f>
        <v>nincs szervezet</v>
      </c>
      <c r="N2125" s="322" t="str">
        <f>VLOOKUP(F2125,PAR!$R$3:$S$5,2,FALSE)</f>
        <v>3 - egyik sem</v>
      </c>
      <c r="O2125" t="str">
        <f>IFERROR(VLOOKUP(J2125,PAR!$O$3:$P$5,2,FALSE),"nincs feladat")</f>
        <v>nincs feladat</v>
      </c>
      <c r="P2125" t="str">
        <f>IFERROR(VLOOKUP(G2125,PAR!$J$2:$M$19,4),"nincs rovat")</f>
        <v>nincs rovat</v>
      </c>
      <c r="Q2125" t="str">
        <f>IF(H2125&gt;0,VLOOKUP(H2125,PAR!$AA$3:$AC$187,3,FALSE),"nincs főkönyvi számla")</f>
        <v>nincs főkönyvi számla</v>
      </c>
      <c r="R2125" t="str">
        <f>IFERROR(VLOOKUP(K2125,PAR!$V$3:$X$438,3,FALSE),"000000 - Nincs COFOG")</f>
        <v>000000 - Nincs COFOG</v>
      </c>
      <c r="S2125">
        <f t="shared" si="639"/>
        <v>0</v>
      </c>
      <c r="T2125">
        <f t="shared" si="640"/>
        <v>0</v>
      </c>
      <c r="U2125" t="str">
        <f>IF('906MP'!J1825&gt;0,CONCATENATE('906MP'!J1825," - ",'906MP'!P1825,", ",'906MP'!E1825),"nincs megjegyzés")</f>
        <v>nincs megjegyzés</v>
      </c>
      <c r="V2125" t="str">
        <f t="shared" si="627"/>
        <v>0P0</v>
      </c>
      <c r="W2125" t="str">
        <f t="shared" si="628"/>
        <v>0P0</v>
      </c>
      <c r="X2125" t="str">
        <f t="shared" si="629"/>
        <v>P0</v>
      </c>
      <c r="Y2125" t="str">
        <f t="shared" si="630"/>
        <v>00</v>
      </c>
      <c r="Z2125" t="str">
        <f t="shared" si="641"/>
        <v>00</v>
      </c>
      <c r="AA2125" t="str">
        <f t="shared" si="631"/>
        <v>00</v>
      </c>
      <c r="AB2125" t="str">
        <f t="shared" si="632"/>
        <v>00</v>
      </c>
      <c r="AC2125" t="str">
        <f t="shared" si="633"/>
        <v>0P0</v>
      </c>
      <c r="AD2125" t="str">
        <f t="shared" si="634"/>
        <v>P00</v>
      </c>
      <c r="AE2125" t="str">
        <f t="shared" si="635"/>
        <v>0P0</v>
      </c>
      <c r="AF2125" t="str">
        <f t="shared" si="636"/>
        <v>P00</v>
      </c>
      <c r="AG2125" t="str">
        <f t="shared" si="642"/>
        <v>0P00</v>
      </c>
      <c r="AH2125" t="str">
        <f t="shared" si="643"/>
        <v>P000</v>
      </c>
      <c r="AI2125" t="str">
        <f t="shared" si="644"/>
        <v>0P00</v>
      </c>
      <c r="AJ2125" t="str">
        <f t="shared" si="645"/>
        <v>P000</v>
      </c>
    </row>
    <row r="2126" spans="1:36" x14ac:dyDescent="0.25">
      <c r="A2126" s="325" t="str">
        <f>CONCATENATE("P",'906MP'!M1826)</f>
        <v>P</v>
      </c>
      <c r="B2126">
        <f>'906MP'!H1826</f>
        <v>0</v>
      </c>
      <c r="C2126">
        <f>'906MP'!J1826</f>
        <v>0</v>
      </c>
      <c r="D2126">
        <f>'906MP'!P1826</f>
        <v>0</v>
      </c>
      <c r="E2126">
        <f>'906MP'!X1826</f>
        <v>0</v>
      </c>
      <c r="F2126" t="str">
        <f t="shared" si="637"/>
        <v>0</v>
      </c>
      <c r="G2126" t="str">
        <f t="shared" si="638"/>
        <v>0</v>
      </c>
      <c r="H2126">
        <f>'906MP'!Y1826</f>
        <v>0</v>
      </c>
      <c r="I2126">
        <f>'906MP'!AK1826</f>
        <v>0</v>
      </c>
      <c r="J2126">
        <f>'906MP'!T1826</f>
        <v>0</v>
      </c>
      <c r="K2126">
        <f>'906MP'!AJ1826</f>
        <v>0</v>
      </c>
      <c r="L2126">
        <f>'906MP'!U1826</f>
        <v>0</v>
      </c>
      <c r="M2126" s="322" t="str">
        <f>IFERROR(VLOOKUP(A2126,PAR!$D$3:$E$53,2,FALSE),"nincs szervezet")</f>
        <v>nincs szervezet</v>
      </c>
      <c r="N2126" s="322" t="str">
        <f>VLOOKUP(F2126,PAR!$R$3:$S$5,2,FALSE)</f>
        <v>3 - egyik sem</v>
      </c>
      <c r="O2126" t="str">
        <f>IFERROR(VLOOKUP(J2126,PAR!$O$3:$P$5,2,FALSE),"nincs feladat")</f>
        <v>nincs feladat</v>
      </c>
      <c r="P2126" t="str">
        <f>IFERROR(VLOOKUP(G2126,PAR!$J$2:$M$19,4),"nincs rovat")</f>
        <v>nincs rovat</v>
      </c>
      <c r="Q2126" t="str">
        <f>IF(H2126&gt;0,VLOOKUP(H2126,PAR!$AA$3:$AC$187,3,FALSE),"nincs főkönyvi számla")</f>
        <v>nincs főkönyvi számla</v>
      </c>
      <c r="R2126" t="str">
        <f>IFERROR(VLOOKUP(K2126,PAR!$V$3:$X$438,3,FALSE),"000000 - Nincs COFOG")</f>
        <v>000000 - Nincs COFOG</v>
      </c>
      <c r="S2126">
        <f t="shared" si="639"/>
        <v>0</v>
      </c>
      <c r="T2126">
        <f t="shared" si="640"/>
        <v>0</v>
      </c>
      <c r="U2126" t="str">
        <f>IF('906MP'!J1826&gt;0,CONCATENATE('906MP'!J1826," - ",'906MP'!P1826,", ",'906MP'!E1826),"nincs megjegyzés")</f>
        <v>nincs megjegyzés</v>
      </c>
      <c r="V2126" t="str">
        <f t="shared" si="627"/>
        <v>0P0</v>
      </c>
      <c r="W2126" t="str">
        <f t="shared" si="628"/>
        <v>0P0</v>
      </c>
      <c r="X2126" t="str">
        <f t="shared" si="629"/>
        <v>P0</v>
      </c>
      <c r="Y2126" t="str">
        <f t="shared" si="630"/>
        <v>00</v>
      </c>
      <c r="Z2126" t="str">
        <f t="shared" si="641"/>
        <v>00</v>
      </c>
      <c r="AA2126" t="str">
        <f t="shared" si="631"/>
        <v>00</v>
      </c>
      <c r="AB2126" t="str">
        <f t="shared" si="632"/>
        <v>00</v>
      </c>
      <c r="AC2126" t="str">
        <f t="shared" si="633"/>
        <v>0P0</v>
      </c>
      <c r="AD2126" t="str">
        <f t="shared" si="634"/>
        <v>P00</v>
      </c>
      <c r="AE2126" t="str">
        <f t="shared" si="635"/>
        <v>0P0</v>
      </c>
      <c r="AF2126" t="str">
        <f t="shared" si="636"/>
        <v>P00</v>
      </c>
      <c r="AG2126" t="str">
        <f t="shared" si="642"/>
        <v>0P00</v>
      </c>
      <c r="AH2126" t="str">
        <f t="shared" si="643"/>
        <v>P000</v>
      </c>
      <c r="AI2126" t="str">
        <f t="shared" si="644"/>
        <v>0P00</v>
      </c>
      <c r="AJ2126" t="str">
        <f t="shared" si="645"/>
        <v>P000</v>
      </c>
    </row>
    <row r="2127" spans="1:36" x14ac:dyDescent="0.25">
      <c r="A2127" s="325" t="str">
        <f>CONCATENATE("P",'906MP'!M1827)</f>
        <v>P</v>
      </c>
      <c r="B2127">
        <f>'906MP'!H1827</f>
        <v>0</v>
      </c>
      <c r="C2127">
        <f>'906MP'!J1827</f>
        <v>0</v>
      </c>
      <c r="D2127">
        <f>'906MP'!P1827</f>
        <v>0</v>
      </c>
      <c r="E2127">
        <f>'906MP'!X1827</f>
        <v>0</v>
      </c>
      <c r="F2127" t="str">
        <f t="shared" si="637"/>
        <v>0</v>
      </c>
      <c r="G2127" t="str">
        <f t="shared" si="638"/>
        <v>0</v>
      </c>
      <c r="H2127">
        <f>'906MP'!Y1827</f>
        <v>0</v>
      </c>
      <c r="I2127">
        <f>'906MP'!AK1827</f>
        <v>0</v>
      </c>
      <c r="J2127">
        <f>'906MP'!T1827</f>
        <v>0</v>
      </c>
      <c r="K2127">
        <f>'906MP'!AJ1827</f>
        <v>0</v>
      </c>
      <c r="L2127">
        <f>'906MP'!U1827</f>
        <v>0</v>
      </c>
      <c r="M2127" s="322" t="str">
        <f>IFERROR(VLOOKUP(A2127,PAR!$D$3:$E$53,2,FALSE),"nincs szervezet")</f>
        <v>nincs szervezet</v>
      </c>
      <c r="N2127" s="322" t="str">
        <f>VLOOKUP(F2127,PAR!$R$3:$S$5,2,FALSE)</f>
        <v>3 - egyik sem</v>
      </c>
      <c r="O2127" t="str">
        <f>IFERROR(VLOOKUP(J2127,PAR!$O$3:$P$5,2,FALSE),"nincs feladat")</f>
        <v>nincs feladat</v>
      </c>
      <c r="P2127" t="str">
        <f>IFERROR(VLOOKUP(G2127,PAR!$J$2:$M$19,4),"nincs rovat")</f>
        <v>nincs rovat</v>
      </c>
      <c r="Q2127" t="str">
        <f>IF(H2127&gt;0,VLOOKUP(H2127,PAR!$AA$3:$AC$187,3,FALSE),"nincs főkönyvi számla")</f>
        <v>nincs főkönyvi számla</v>
      </c>
      <c r="R2127" t="str">
        <f>IFERROR(VLOOKUP(K2127,PAR!$V$3:$X$438,3,FALSE),"000000 - Nincs COFOG")</f>
        <v>000000 - Nincs COFOG</v>
      </c>
      <c r="S2127">
        <f t="shared" si="639"/>
        <v>0</v>
      </c>
      <c r="T2127">
        <f t="shared" si="640"/>
        <v>0</v>
      </c>
      <c r="U2127" t="str">
        <f>IF('906MP'!J1827&gt;0,CONCATENATE('906MP'!J1827," - ",'906MP'!P1827,", ",'906MP'!E1827),"nincs megjegyzés")</f>
        <v>nincs megjegyzés</v>
      </c>
      <c r="V2127" t="str">
        <f t="shared" si="627"/>
        <v>0P0</v>
      </c>
      <c r="W2127" t="str">
        <f t="shared" si="628"/>
        <v>0P0</v>
      </c>
      <c r="X2127" t="str">
        <f t="shared" si="629"/>
        <v>P0</v>
      </c>
      <c r="Y2127" t="str">
        <f t="shared" si="630"/>
        <v>00</v>
      </c>
      <c r="Z2127" t="str">
        <f t="shared" si="641"/>
        <v>00</v>
      </c>
      <c r="AA2127" t="str">
        <f t="shared" si="631"/>
        <v>00</v>
      </c>
      <c r="AB2127" t="str">
        <f t="shared" si="632"/>
        <v>00</v>
      </c>
      <c r="AC2127" t="str">
        <f t="shared" si="633"/>
        <v>0P0</v>
      </c>
      <c r="AD2127" t="str">
        <f t="shared" si="634"/>
        <v>P00</v>
      </c>
      <c r="AE2127" t="str">
        <f t="shared" si="635"/>
        <v>0P0</v>
      </c>
      <c r="AF2127" t="str">
        <f t="shared" si="636"/>
        <v>P00</v>
      </c>
      <c r="AG2127" t="str">
        <f t="shared" si="642"/>
        <v>0P00</v>
      </c>
      <c r="AH2127" t="str">
        <f t="shared" si="643"/>
        <v>P000</v>
      </c>
      <c r="AI2127" t="str">
        <f t="shared" si="644"/>
        <v>0P00</v>
      </c>
      <c r="AJ2127" t="str">
        <f t="shared" si="645"/>
        <v>P000</v>
      </c>
    </row>
    <row r="2128" spans="1:36" x14ac:dyDescent="0.25">
      <c r="A2128" s="325" t="str">
        <f>CONCATENATE("P",'906MP'!M1828)</f>
        <v>P</v>
      </c>
      <c r="B2128">
        <f>'906MP'!H1828</f>
        <v>0</v>
      </c>
      <c r="C2128">
        <f>'906MP'!J1828</f>
        <v>0</v>
      </c>
      <c r="D2128">
        <f>'906MP'!P1828</f>
        <v>0</v>
      </c>
      <c r="E2128">
        <f>'906MP'!X1828</f>
        <v>0</v>
      </c>
      <c r="F2128" t="str">
        <f t="shared" si="637"/>
        <v>0</v>
      </c>
      <c r="G2128" t="str">
        <f t="shared" si="638"/>
        <v>0</v>
      </c>
      <c r="H2128">
        <f>'906MP'!Y1828</f>
        <v>0</v>
      </c>
      <c r="I2128">
        <f>'906MP'!AK1828</f>
        <v>0</v>
      </c>
      <c r="J2128">
        <f>'906MP'!T1828</f>
        <v>0</v>
      </c>
      <c r="K2128">
        <f>'906MP'!AJ1828</f>
        <v>0</v>
      </c>
      <c r="L2128">
        <f>'906MP'!U1828</f>
        <v>0</v>
      </c>
      <c r="M2128" s="322" t="str">
        <f>IFERROR(VLOOKUP(A2128,PAR!$D$3:$E$53,2,FALSE),"nincs szervezet")</f>
        <v>nincs szervezet</v>
      </c>
      <c r="N2128" s="322" t="str">
        <f>VLOOKUP(F2128,PAR!$R$3:$S$5,2,FALSE)</f>
        <v>3 - egyik sem</v>
      </c>
      <c r="O2128" t="str">
        <f>IFERROR(VLOOKUP(J2128,PAR!$O$3:$P$5,2,FALSE),"nincs feladat")</f>
        <v>nincs feladat</v>
      </c>
      <c r="P2128" t="str">
        <f>IFERROR(VLOOKUP(G2128,PAR!$J$2:$M$19,4),"nincs rovat")</f>
        <v>nincs rovat</v>
      </c>
      <c r="Q2128" t="str">
        <f>IF(H2128&gt;0,VLOOKUP(H2128,PAR!$AA$3:$AC$187,3,FALSE),"nincs főkönyvi számla")</f>
        <v>nincs főkönyvi számla</v>
      </c>
      <c r="R2128" t="str">
        <f>IFERROR(VLOOKUP(K2128,PAR!$V$3:$X$438,3,FALSE),"000000 - Nincs COFOG")</f>
        <v>000000 - Nincs COFOG</v>
      </c>
      <c r="S2128">
        <f t="shared" si="639"/>
        <v>0</v>
      </c>
      <c r="T2128">
        <f t="shared" si="640"/>
        <v>0</v>
      </c>
      <c r="U2128" t="str">
        <f>IF('906MP'!J1828&gt;0,CONCATENATE('906MP'!J1828," - ",'906MP'!P1828,", ",'906MP'!E1828),"nincs megjegyzés")</f>
        <v>nincs megjegyzés</v>
      </c>
      <c r="V2128" t="str">
        <f t="shared" si="627"/>
        <v>0P0</v>
      </c>
      <c r="W2128" t="str">
        <f t="shared" si="628"/>
        <v>0P0</v>
      </c>
      <c r="X2128" t="str">
        <f t="shared" si="629"/>
        <v>P0</v>
      </c>
      <c r="Y2128" t="str">
        <f t="shared" si="630"/>
        <v>00</v>
      </c>
      <c r="Z2128" t="str">
        <f t="shared" si="641"/>
        <v>00</v>
      </c>
      <c r="AA2128" t="str">
        <f t="shared" si="631"/>
        <v>00</v>
      </c>
      <c r="AB2128" t="str">
        <f t="shared" si="632"/>
        <v>00</v>
      </c>
      <c r="AC2128" t="str">
        <f t="shared" si="633"/>
        <v>0P0</v>
      </c>
      <c r="AD2128" t="str">
        <f t="shared" si="634"/>
        <v>P00</v>
      </c>
      <c r="AE2128" t="str">
        <f t="shared" si="635"/>
        <v>0P0</v>
      </c>
      <c r="AF2128" t="str">
        <f t="shared" si="636"/>
        <v>P00</v>
      </c>
      <c r="AG2128" t="str">
        <f t="shared" si="642"/>
        <v>0P00</v>
      </c>
      <c r="AH2128" t="str">
        <f t="shared" si="643"/>
        <v>P000</v>
      </c>
      <c r="AI2128" t="str">
        <f t="shared" si="644"/>
        <v>0P00</v>
      </c>
      <c r="AJ2128" t="str">
        <f t="shared" si="645"/>
        <v>P000</v>
      </c>
    </row>
    <row r="2129" spans="1:36" x14ac:dyDescent="0.25">
      <c r="A2129" s="325" t="str">
        <f>CONCATENATE("P",'906MP'!M1829)</f>
        <v>P</v>
      </c>
      <c r="B2129">
        <f>'906MP'!H1829</f>
        <v>0</v>
      </c>
      <c r="C2129">
        <f>'906MP'!J1829</f>
        <v>0</v>
      </c>
      <c r="D2129">
        <f>'906MP'!P1829</f>
        <v>0</v>
      </c>
      <c r="E2129">
        <f>'906MP'!X1829</f>
        <v>0</v>
      </c>
      <c r="F2129" t="str">
        <f t="shared" si="637"/>
        <v>0</v>
      </c>
      <c r="G2129" t="str">
        <f t="shared" si="638"/>
        <v>0</v>
      </c>
      <c r="H2129">
        <f>'906MP'!Y1829</f>
        <v>0</v>
      </c>
      <c r="I2129">
        <f>'906MP'!AK1829</f>
        <v>0</v>
      </c>
      <c r="J2129">
        <f>'906MP'!T1829</f>
        <v>0</v>
      </c>
      <c r="K2129">
        <f>'906MP'!AJ1829</f>
        <v>0</v>
      </c>
      <c r="L2129">
        <f>'906MP'!U1829</f>
        <v>0</v>
      </c>
      <c r="M2129" s="322" t="str">
        <f>IFERROR(VLOOKUP(A2129,PAR!$D$3:$E$53,2,FALSE),"nincs szervezet")</f>
        <v>nincs szervezet</v>
      </c>
      <c r="N2129" s="322" t="str">
        <f>VLOOKUP(F2129,PAR!$R$3:$S$5,2,FALSE)</f>
        <v>3 - egyik sem</v>
      </c>
      <c r="O2129" t="str">
        <f>IFERROR(VLOOKUP(J2129,PAR!$O$3:$P$5,2,FALSE),"nincs feladat")</f>
        <v>nincs feladat</v>
      </c>
      <c r="P2129" t="str">
        <f>IFERROR(VLOOKUP(G2129,PAR!$J$2:$M$19,4),"nincs rovat")</f>
        <v>nincs rovat</v>
      </c>
      <c r="Q2129" t="str">
        <f>IF(H2129&gt;0,VLOOKUP(H2129,PAR!$AA$3:$AC$187,3,FALSE),"nincs főkönyvi számla")</f>
        <v>nincs főkönyvi számla</v>
      </c>
      <c r="R2129" t="str">
        <f>IFERROR(VLOOKUP(K2129,PAR!$V$3:$X$438,3,FALSE),"000000 - Nincs COFOG")</f>
        <v>000000 - Nincs COFOG</v>
      </c>
      <c r="S2129">
        <f t="shared" si="639"/>
        <v>0</v>
      </c>
      <c r="T2129">
        <f t="shared" si="640"/>
        <v>0</v>
      </c>
      <c r="U2129" t="str">
        <f>IF('906MP'!J1829&gt;0,CONCATENATE('906MP'!J1829," - ",'906MP'!P1829,", ",'906MP'!E1829),"nincs megjegyzés")</f>
        <v>nincs megjegyzés</v>
      </c>
      <c r="V2129" t="str">
        <f t="shared" si="627"/>
        <v>0P0</v>
      </c>
      <c r="W2129" t="str">
        <f t="shared" si="628"/>
        <v>0P0</v>
      </c>
      <c r="X2129" t="str">
        <f t="shared" si="629"/>
        <v>P0</v>
      </c>
      <c r="Y2129" t="str">
        <f t="shared" si="630"/>
        <v>00</v>
      </c>
      <c r="Z2129" t="str">
        <f t="shared" si="641"/>
        <v>00</v>
      </c>
      <c r="AA2129" t="str">
        <f t="shared" si="631"/>
        <v>00</v>
      </c>
      <c r="AB2129" t="str">
        <f t="shared" si="632"/>
        <v>00</v>
      </c>
      <c r="AC2129" t="str">
        <f t="shared" si="633"/>
        <v>0P0</v>
      </c>
      <c r="AD2129" t="str">
        <f t="shared" si="634"/>
        <v>P00</v>
      </c>
      <c r="AE2129" t="str">
        <f t="shared" si="635"/>
        <v>0P0</v>
      </c>
      <c r="AF2129" t="str">
        <f t="shared" si="636"/>
        <v>P00</v>
      </c>
      <c r="AG2129" t="str">
        <f t="shared" si="642"/>
        <v>0P00</v>
      </c>
      <c r="AH2129" t="str">
        <f t="shared" si="643"/>
        <v>P000</v>
      </c>
      <c r="AI2129" t="str">
        <f t="shared" si="644"/>
        <v>0P00</v>
      </c>
      <c r="AJ2129" t="str">
        <f t="shared" si="645"/>
        <v>P000</v>
      </c>
    </row>
    <row r="2130" spans="1:36" x14ac:dyDescent="0.25">
      <c r="A2130" s="325" t="str">
        <f>CONCATENATE("P",'906MP'!M1830)</f>
        <v>P</v>
      </c>
      <c r="B2130">
        <f>'906MP'!H1830</f>
        <v>0</v>
      </c>
      <c r="C2130">
        <f>'906MP'!J1830</f>
        <v>0</v>
      </c>
      <c r="D2130">
        <f>'906MP'!P1830</f>
        <v>0</v>
      </c>
      <c r="E2130">
        <f>'906MP'!X1830</f>
        <v>0</v>
      </c>
      <c r="F2130" t="str">
        <f t="shared" si="637"/>
        <v>0</v>
      </c>
      <c r="G2130" t="str">
        <f t="shared" si="638"/>
        <v>0</v>
      </c>
      <c r="H2130">
        <f>'906MP'!Y1830</f>
        <v>0</v>
      </c>
      <c r="I2130">
        <f>'906MP'!AK1830</f>
        <v>0</v>
      </c>
      <c r="J2130">
        <f>'906MP'!T1830</f>
        <v>0</v>
      </c>
      <c r="K2130">
        <f>'906MP'!AJ1830</f>
        <v>0</v>
      </c>
      <c r="L2130">
        <f>'906MP'!U1830</f>
        <v>0</v>
      </c>
      <c r="M2130" s="322" t="str">
        <f>IFERROR(VLOOKUP(A2130,PAR!$D$3:$E$53,2,FALSE),"nincs szervezet")</f>
        <v>nincs szervezet</v>
      </c>
      <c r="N2130" s="322" t="str">
        <f>VLOOKUP(F2130,PAR!$R$3:$S$5,2,FALSE)</f>
        <v>3 - egyik sem</v>
      </c>
      <c r="O2130" t="str">
        <f>IFERROR(VLOOKUP(J2130,PAR!$O$3:$P$5,2,FALSE),"nincs feladat")</f>
        <v>nincs feladat</v>
      </c>
      <c r="P2130" t="str">
        <f>IFERROR(VLOOKUP(G2130,PAR!$J$2:$M$19,4),"nincs rovat")</f>
        <v>nincs rovat</v>
      </c>
      <c r="Q2130" t="str">
        <f>IF(H2130&gt;0,VLOOKUP(H2130,PAR!$AA$3:$AC$187,3,FALSE),"nincs főkönyvi számla")</f>
        <v>nincs főkönyvi számla</v>
      </c>
      <c r="R2130" t="str">
        <f>IFERROR(VLOOKUP(K2130,PAR!$V$3:$X$438,3,FALSE),"000000 - Nincs COFOG")</f>
        <v>000000 - Nincs COFOG</v>
      </c>
      <c r="S2130">
        <f t="shared" si="639"/>
        <v>0</v>
      </c>
      <c r="T2130">
        <f t="shared" si="640"/>
        <v>0</v>
      </c>
      <c r="U2130" t="str">
        <f>IF('906MP'!J1830&gt;0,CONCATENATE('906MP'!J1830," - ",'906MP'!P1830,", ",'906MP'!E1830),"nincs megjegyzés")</f>
        <v>nincs megjegyzés</v>
      </c>
      <c r="V2130" t="str">
        <f t="shared" si="627"/>
        <v>0P0</v>
      </c>
      <c r="W2130" t="str">
        <f t="shared" si="628"/>
        <v>0P0</v>
      </c>
      <c r="X2130" t="str">
        <f t="shared" si="629"/>
        <v>P0</v>
      </c>
      <c r="Y2130" t="str">
        <f t="shared" si="630"/>
        <v>00</v>
      </c>
      <c r="Z2130" t="str">
        <f t="shared" si="641"/>
        <v>00</v>
      </c>
      <c r="AA2130" t="str">
        <f t="shared" si="631"/>
        <v>00</v>
      </c>
      <c r="AB2130" t="str">
        <f t="shared" si="632"/>
        <v>00</v>
      </c>
      <c r="AC2130" t="str">
        <f t="shared" si="633"/>
        <v>0P0</v>
      </c>
      <c r="AD2130" t="str">
        <f t="shared" si="634"/>
        <v>P00</v>
      </c>
      <c r="AE2130" t="str">
        <f t="shared" si="635"/>
        <v>0P0</v>
      </c>
      <c r="AF2130" t="str">
        <f t="shared" si="636"/>
        <v>P00</v>
      </c>
      <c r="AG2130" t="str">
        <f t="shared" si="642"/>
        <v>0P00</v>
      </c>
      <c r="AH2130" t="str">
        <f t="shared" si="643"/>
        <v>P000</v>
      </c>
      <c r="AI2130" t="str">
        <f t="shared" si="644"/>
        <v>0P00</v>
      </c>
      <c r="AJ2130" t="str">
        <f t="shared" si="645"/>
        <v>P000</v>
      </c>
    </row>
    <row r="2131" spans="1:36" x14ac:dyDescent="0.25">
      <c r="A2131" s="325" t="str">
        <f>CONCATENATE("P",'906MP'!M1831)</f>
        <v>P</v>
      </c>
      <c r="B2131">
        <f>'906MP'!H1831</f>
        <v>0</v>
      </c>
      <c r="C2131">
        <f>'906MP'!J1831</f>
        <v>0</v>
      </c>
      <c r="D2131">
        <f>'906MP'!P1831</f>
        <v>0</v>
      </c>
      <c r="E2131">
        <f>'906MP'!X1831</f>
        <v>0</v>
      </c>
      <c r="F2131" t="str">
        <f t="shared" si="637"/>
        <v>0</v>
      </c>
      <c r="G2131" t="str">
        <f t="shared" si="638"/>
        <v>0</v>
      </c>
      <c r="H2131">
        <f>'906MP'!Y1831</f>
        <v>0</v>
      </c>
      <c r="I2131">
        <f>'906MP'!AK1831</f>
        <v>0</v>
      </c>
      <c r="J2131">
        <f>'906MP'!T1831</f>
        <v>0</v>
      </c>
      <c r="K2131">
        <f>'906MP'!AJ1831</f>
        <v>0</v>
      </c>
      <c r="L2131">
        <f>'906MP'!U1831</f>
        <v>0</v>
      </c>
      <c r="M2131" s="322" t="str">
        <f>IFERROR(VLOOKUP(A2131,PAR!$D$3:$E$53,2,FALSE),"nincs szervezet")</f>
        <v>nincs szervezet</v>
      </c>
      <c r="N2131" s="322" t="str">
        <f>VLOOKUP(F2131,PAR!$R$3:$S$5,2,FALSE)</f>
        <v>3 - egyik sem</v>
      </c>
      <c r="O2131" t="str">
        <f>IFERROR(VLOOKUP(J2131,PAR!$O$3:$P$5,2,FALSE),"nincs feladat")</f>
        <v>nincs feladat</v>
      </c>
      <c r="P2131" t="str">
        <f>IFERROR(VLOOKUP(G2131,PAR!$J$2:$M$19,4),"nincs rovat")</f>
        <v>nincs rovat</v>
      </c>
      <c r="Q2131" t="str">
        <f>IF(H2131&gt;0,VLOOKUP(H2131,PAR!$AA$3:$AC$187,3,FALSE),"nincs főkönyvi számla")</f>
        <v>nincs főkönyvi számla</v>
      </c>
      <c r="R2131" t="str">
        <f>IFERROR(VLOOKUP(K2131,PAR!$V$3:$X$438,3,FALSE),"000000 - Nincs COFOG")</f>
        <v>000000 - Nincs COFOG</v>
      </c>
      <c r="S2131">
        <f t="shared" si="639"/>
        <v>0</v>
      </c>
      <c r="T2131">
        <f t="shared" si="640"/>
        <v>0</v>
      </c>
      <c r="U2131" t="str">
        <f>IF('906MP'!J1831&gt;0,CONCATENATE('906MP'!J1831," - ",'906MP'!P1831,", ",'906MP'!E1831),"nincs megjegyzés")</f>
        <v>nincs megjegyzés</v>
      </c>
      <c r="V2131" t="str">
        <f t="shared" si="627"/>
        <v>0P0</v>
      </c>
      <c r="W2131" t="str">
        <f t="shared" si="628"/>
        <v>0P0</v>
      </c>
      <c r="X2131" t="str">
        <f t="shared" si="629"/>
        <v>P0</v>
      </c>
      <c r="Y2131" t="str">
        <f t="shared" si="630"/>
        <v>00</v>
      </c>
      <c r="Z2131" t="str">
        <f t="shared" si="641"/>
        <v>00</v>
      </c>
      <c r="AA2131" t="str">
        <f t="shared" si="631"/>
        <v>00</v>
      </c>
      <c r="AB2131" t="str">
        <f t="shared" si="632"/>
        <v>00</v>
      </c>
      <c r="AC2131" t="str">
        <f t="shared" si="633"/>
        <v>0P0</v>
      </c>
      <c r="AD2131" t="str">
        <f t="shared" si="634"/>
        <v>P00</v>
      </c>
      <c r="AE2131" t="str">
        <f t="shared" si="635"/>
        <v>0P0</v>
      </c>
      <c r="AF2131" t="str">
        <f t="shared" si="636"/>
        <v>P00</v>
      </c>
      <c r="AG2131" t="str">
        <f t="shared" si="642"/>
        <v>0P00</v>
      </c>
      <c r="AH2131" t="str">
        <f t="shared" si="643"/>
        <v>P000</v>
      </c>
      <c r="AI2131" t="str">
        <f t="shared" si="644"/>
        <v>0P00</v>
      </c>
      <c r="AJ2131" t="str">
        <f t="shared" si="645"/>
        <v>P000</v>
      </c>
    </row>
    <row r="2132" spans="1:36" x14ac:dyDescent="0.25">
      <c r="A2132" s="325" t="str">
        <f>CONCATENATE("P",'906MP'!M1832)</f>
        <v>P</v>
      </c>
      <c r="B2132">
        <f>'906MP'!H1832</f>
        <v>0</v>
      </c>
      <c r="C2132">
        <f>'906MP'!J1832</f>
        <v>0</v>
      </c>
      <c r="D2132">
        <f>'906MP'!P1832</f>
        <v>0</v>
      </c>
      <c r="E2132">
        <f>'906MP'!X1832</f>
        <v>0</v>
      </c>
      <c r="F2132" t="str">
        <f t="shared" si="637"/>
        <v>0</v>
      </c>
      <c r="G2132" t="str">
        <f t="shared" si="638"/>
        <v>0</v>
      </c>
      <c r="H2132">
        <f>'906MP'!Y1832</f>
        <v>0</v>
      </c>
      <c r="I2132">
        <f>'906MP'!AK1832</f>
        <v>0</v>
      </c>
      <c r="J2132">
        <f>'906MP'!T1832</f>
        <v>0</v>
      </c>
      <c r="K2132">
        <f>'906MP'!AJ1832</f>
        <v>0</v>
      </c>
      <c r="L2132">
        <f>'906MP'!U1832</f>
        <v>0</v>
      </c>
      <c r="M2132" s="322" t="str">
        <f>IFERROR(VLOOKUP(A2132,PAR!$D$3:$E$53,2,FALSE),"nincs szervezet")</f>
        <v>nincs szervezet</v>
      </c>
      <c r="N2132" s="322" t="str">
        <f>VLOOKUP(F2132,PAR!$R$3:$S$5,2,FALSE)</f>
        <v>3 - egyik sem</v>
      </c>
      <c r="O2132" t="str">
        <f>IFERROR(VLOOKUP(J2132,PAR!$O$3:$P$5,2,FALSE),"nincs feladat")</f>
        <v>nincs feladat</v>
      </c>
      <c r="P2132" t="str">
        <f>IFERROR(VLOOKUP(G2132,PAR!$J$2:$M$19,4),"nincs rovat")</f>
        <v>nincs rovat</v>
      </c>
      <c r="Q2132" t="str">
        <f>IF(H2132&gt;0,VLOOKUP(H2132,PAR!$AA$3:$AC$187,3,FALSE),"nincs főkönyvi számla")</f>
        <v>nincs főkönyvi számla</v>
      </c>
      <c r="R2132" t="str">
        <f>IFERROR(VLOOKUP(K2132,PAR!$V$3:$X$438,3,FALSE),"000000 - Nincs COFOG")</f>
        <v>000000 - Nincs COFOG</v>
      </c>
      <c r="S2132">
        <f t="shared" si="639"/>
        <v>0</v>
      </c>
      <c r="T2132">
        <f t="shared" si="640"/>
        <v>0</v>
      </c>
      <c r="U2132" t="str">
        <f>IF('906MP'!J1832&gt;0,CONCATENATE('906MP'!J1832," - ",'906MP'!P1832,", ",'906MP'!E1832),"nincs megjegyzés")</f>
        <v>nincs megjegyzés</v>
      </c>
      <c r="V2132" t="str">
        <f t="shared" si="627"/>
        <v>0P0</v>
      </c>
      <c r="W2132" t="str">
        <f t="shared" si="628"/>
        <v>0P0</v>
      </c>
      <c r="X2132" t="str">
        <f t="shared" si="629"/>
        <v>P0</v>
      </c>
      <c r="Y2132" t="str">
        <f t="shared" si="630"/>
        <v>00</v>
      </c>
      <c r="Z2132" t="str">
        <f t="shared" si="641"/>
        <v>00</v>
      </c>
      <c r="AA2132" t="str">
        <f t="shared" si="631"/>
        <v>00</v>
      </c>
      <c r="AB2132" t="str">
        <f t="shared" si="632"/>
        <v>00</v>
      </c>
      <c r="AC2132" t="str">
        <f t="shared" si="633"/>
        <v>0P0</v>
      </c>
      <c r="AD2132" t="str">
        <f t="shared" si="634"/>
        <v>P00</v>
      </c>
      <c r="AE2132" t="str">
        <f t="shared" si="635"/>
        <v>0P0</v>
      </c>
      <c r="AF2132" t="str">
        <f t="shared" si="636"/>
        <v>P00</v>
      </c>
      <c r="AG2132" t="str">
        <f t="shared" si="642"/>
        <v>0P00</v>
      </c>
      <c r="AH2132" t="str">
        <f t="shared" si="643"/>
        <v>P000</v>
      </c>
      <c r="AI2132" t="str">
        <f t="shared" si="644"/>
        <v>0P00</v>
      </c>
      <c r="AJ2132" t="str">
        <f t="shared" si="645"/>
        <v>P000</v>
      </c>
    </row>
    <row r="2133" spans="1:36" x14ac:dyDescent="0.25">
      <c r="A2133" s="325" t="str">
        <f>CONCATENATE("P",'906MP'!M1833)</f>
        <v>P</v>
      </c>
      <c r="B2133">
        <f>'906MP'!H1833</f>
        <v>0</v>
      </c>
      <c r="C2133">
        <f>'906MP'!J1833</f>
        <v>0</v>
      </c>
      <c r="D2133">
        <f>'906MP'!P1833</f>
        <v>0</v>
      </c>
      <c r="E2133">
        <f>'906MP'!X1833</f>
        <v>0</v>
      </c>
      <c r="F2133" t="str">
        <f t="shared" si="637"/>
        <v>0</v>
      </c>
      <c r="G2133" t="str">
        <f t="shared" si="638"/>
        <v>0</v>
      </c>
      <c r="H2133">
        <f>'906MP'!Y1833</f>
        <v>0</v>
      </c>
      <c r="I2133">
        <f>'906MP'!AK1833</f>
        <v>0</v>
      </c>
      <c r="J2133">
        <f>'906MP'!T1833</f>
        <v>0</v>
      </c>
      <c r="K2133">
        <f>'906MP'!AJ1833</f>
        <v>0</v>
      </c>
      <c r="L2133">
        <f>'906MP'!U1833</f>
        <v>0</v>
      </c>
      <c r="M2133" s="322" t="str">
        <f>IFERROR(VLOOKUP(A2133,PAR!$D$3:$E$53,2,FALSE),"nincs szervezet")</f>
        <v>nincs szervezet</v>
      </c>
      <c r="N2133" s="322" t="str">
        <f>VLOOKUP(F2133,PAR!$R$3:$S$5,2,FALSE)</f>
        <v>3 - egyik sem</v>
      </c>
      <c r="O2133" t="str">
        <f>IFERROR(VLOOKUP(J2133,PAR!$O$3:$P$5,2,FALSE),"nincs feladat")</f>
        <v>nincs feladat</v>
      </c>
      <c r="P2133" t="str">
        <f>IFERROR(VLOOKUP(G2133,PAR!$J$2:$M$19,4),"nincs rovat")</f>
        <v>nincs rovat</v>
      </c>
      <c r="Q2133" t="str">
        <f>IF(H2133&gt;0,VLOOKUP(H2133,PAR!$AA$3:$AC$187,3,FALSE),"nincs főkönyvi számla")</f>
        <v>nincs főkönyvi számla</v>
      </c>
      <c r="R2133" t="str">
        <f>IFERROR(VLOOKUP(K2133,PAR!$V$3:$X$438,3,FALSE),"000000 - Nincs COFOG")</f>
        <v>000000 - Nincs COFOG</v>
      </c>
      <c r="S2133">
        <f t="shared" si="639"/>
        <v>0</v>
      </c>
      <c r="T2133">
        <f t="shared" si="640"/>
        <v>0</v>
      </c>
      <c r="U2133" t="str">
        <f>IF('906MP'!J1833&gt;0,CONCATENATE('906MP'!J1833," - ",'906MP'!P1833,", ",'906MP'!E1833),"nincs megjegyzés")</f>
        <v>nincs megjegyzés</v>
      </c>
      <c r="V2133" t="str">
        <f t="shared" si="627"/>
        <v>0P0</v>
      </c>
      <c r="W2133" t="str">
        <f t="shared" si="628"/>
        <v>0P0</v>
      </c>
      <c r="X2133" t="str">
        <f t="shared" si="629"/>
        <v>P0</v>
      </c>
      <c r="Y2133" t="str">
        <f t="shared" si="630"/>
        <v>00</v>
      </c>
      <c r="Z2133" t="str">
        <f t="shared" si="641"/>
        <v>00</v>
      </c>
      <c r="AA2133" t="str">
        <f t="shared" si="631"/>
        <v>00</v>
      </c>
      <c r="AB2133" t="str">
        <f t="shared" si="632"/>
        <v>00</v>
      </c>
      <c r="AC2133" t="str">
        <f t="shared" si="633"/>
        <v>0P0</v>
      </c>
      <c r="AD2133" t="str">
        <f t="shared" si="634"/>
        <v>P00</v>
      </c>
      <c r="AE2133" t="str">
        <f t="shared" si="635"/>
        <v>0P0</v>
      </c>
      <c r="AF2133" t="str">
        <f t="shared" si="636"/>
        <v>P00</v>
      </c>
      <c r="AG2133" t="str">
        <f t="shared" si="642"/>
        <v>0P00</v>
      </c>
      <c r="AH2133" t="str">
        <f t="shared" si="643"/>
        <v>P000</v>
      </c>
      <c r="AI2133" t="str">
        <f t="shared" si="644"/>
        <v>0P00</v>
      </c>
      <c r="AJ2133" t="str">
        <f t="shared" si="645"/>
        <v>P000</v>
      </c>
    </row>
    <row r="2134" spans="1:36" x14ac:dyDescent="0.25">
      <c r="A2134" s="325" t="str">
        <f>CONCATENATE("P",'906MP'!M1834)</f>
        <v>P</v>
      </c>
      <c r="B2134">
        <f>'906MP'!H1834</f>
        <v>0</v>
      </c>
      <c r="C2134">
        <f>'906MP'!J1834</f>
        <v>0</v>
      </c>
      <c r="D2134">
        <f>'906MP'!P1834</f>
        <v>0</v>
      </c>
      <c r="E2134">
        <f>'906MP'!X1834</f>
        <v>0</v>
      </c>
      <c r="F2134" t="str">
        <f t="shared" si="637"/>
        <v>0</v>
      </c>
      <c r="G2134" t="str">
        <f t="shared" si="638"/>
        <v>0</v>
      </c>
      <c r="H2134">
        <f>'906MP'!Y1834</f>
        <v>0</v>
      </c>
      <c r="I2134">
        <f>'906MP'!AK1834</f>
        <v>0</v>
      </c>
      <c r="J2134">
        <f>'906MP'!T1834</f>
        <v>0</v>
      </c>
      <c r="K2134">
        <f>'906MP'!AJ1834</f>
        <v>0</v>
      </c>
      <c r="L2134">
        <f>'906MP'!U1834</f>
        <v>0</v>
      </c>
      <c r="M2134" s="322" t="str">
        <f>IFERROR(VLOOKUP(A2134,PAR!$D$3:$E$53,2,FALSE),"nincs szervezet")</f>
        <v>nincs szervezet</v>
      </c>
      <c r="N2134" s="322" t="str">
        <f>VLOOKUP(F2134,PAR!$R$3:$S$5,2,FALSE)</f>
        <v>3 - egyik sem</v>
      </c>
      <c r="O2134" t="str">
        <f>IFERROR(VLOOKUP(J2134,PAR!$O$3:$P$5,2,FALSE),"nincs feladat")</f>
        <v>nincs feladat</v>
      </c>
      <c r="P2134" t="str">
        <f>IFERROR(VLOOKUP(G2134,PAR!$J$2:$M$19,4),"nincs rovat")</f>
        <v>nincs rovat</v>
      </c>
      <c r="Q2134" t="str">
        <f>IF(H2134&gt;0,VLOOKUP(H2134,PAR!$AA$3:$AC$187,3,FALSE),"nincs főkönyvi számla")</f>
        <v>nincs főkönyvi számla</v>
      </c>
      <c r="R2134" t="str">
        <f>IFERROR(VLOOKUP(K2134,PAR!$V$3:$X$438,3,FALSE),"000000 - Nincs COFOG")</f>
        <v>000000 - Nincs COFOG</v>
      </c>
      <c r="S2134">
        <f t="shared" si="639"/>
        <v>0</v>
      </c>
      <c r="T2134">
        <f t="shared" si="640"/>
        <v>0</v>
      </c>
      <c r="U2134" t="str">
        <f>IF('906MP'!J1834&gt;0,CONCATENATE('906MP'!J1834," - ",'906MP'!P1834,", ",'906MP'!E1834),"nincs megjegyzés")</f>
        <v>nincs megjegyzés</v>
      </c>
      <c r="V2134" t="str">
        <f t="shared" si="627"/>
        <v>0P0</v>
      </c>
      <c r="W2134" t="str">
        <f t="shared" si="628"/>
        <v>0P0</v>
      </c>
      <c r="X2134" t="str">
        <f t="shared" si="629"/>
        <v>P0</v>
      </c>
      <c r="Y2134" t="str">
        <f t="shared" si="630"/>
        <v>00</v>
      </c>
      <c r="Z2134" t="str">
        <f t="shared" si="641"/>
        <v>00</v>
      </c>
      <c r="AA2134" t="str">
        <f t="shared" si="631"/>
        <v>00</v>
      </c>
      <c r="AB2134" t="str">
        <f t="shared" si="632"/>
        <v>00</v>
      </c>
      <c r="AC2134" t="str">
        <f t="shared" si="633"/>
        <v>0P0</v>
      </c>
      <c r="AD2134" t="str">
        <f t="shared" si="634"/>
        <v>P00</v>
      </c>
      <c r="AE2134" t="str">
        <f t="shared" si="635"/>
        <v>0P0</v>
      </c>
      <c r="AF2134" t="str">
        <f t="shared" si="636"/>
        <v>P00</v>
      </c>
      <c r="AG2134" t="str">
        <f t="shared" si="642"/>
        <v>0P00</v>
      </c>
      <c r="AH2134" t="str">
        <f t="shared" si="643"/>
        <v>P000</v>
      </c>
      <c r="AI2134" t="str">
        <f t="shared" si="644"/>
        <v>0P00</v>
      </c>
      <c r="AJ2134" t="str">
        <f t="shared" si="645"/>
        <v>P000</v>
      </c>
    </row>
    <row r="2135" spans="1:36" x14ac:dyDescent="0.25">
      <c r="A2135" s="325" t="str">
        <f>CONCATENATE("P",'906MP'!M1835)</f>
        <v>P</v>
      </c>
      <c r="B2135">
        <f>'906MP'!H1835</f>
        <v>0</v>
      </c>
      <c r="C2135">
        <f>'906MP'!J1835</f>
        <v>0</v>
      </c>
      <c r="D2135">
        <f>'906MP'!P1835</f>
        <v>0</v>
      </c>
      <c r="E2135">
        <f>'906MP'!X1835</f>
        <v>0</v>
      </c>
      <c r="F2135" t="str">
        <f t="shared" si="637"/>
        <v>0</v>
      </c>
      <c r="G2135" t="str">
        <f t="shared" si="638"/>
        <v>0</v>
      </c>
      <c r="H2135">
        <f>'906MP'!Y1835</f>
        <v>0</v>
      </c>
      <c r="I2135">
        <f>'906MP'!AK1835</f>
        <v>0</v>
      </c>
      <c r="J2135">
        <f>'906MP'!T1835</f>
        <v>0</v>
      </c>
      <c r="K2135">
        <f>'906MP'!AJ1835</f>
        <v>0</v>
      </c>
      <c r="L2135">
        <f>'906MP'!U1835</f>
        <v>0</v>
      </c>
      <c r="M2135" s="322" t="str">
        <f>IFERROR(VLOOKUP(A2135,PAR!$D$3:$E$53,2,FALSE),"nincs szervezet")</f>
        <v>nincs szervezet</v>
      </c>
      <c r="N2135" s="322" t="str">
        <f>VLOOKUP(F2135,PAR!$R$3:$S$5,2,FALSE)</f>
        <v>3 - egyik sem</v>
      </c>
      <c r="O2135" t="str">
        <f>IFERROR(VLOOKUP(J2135,PAR!$O$3:$P$5,2,FALSE),"nincs feladat")</f>
        <v>nincs feladat</v>
      </c>
      <c r="P2135" t="str">
        <f>IFERROR(VLOOKUP(G2135,PAR!$J$2:$M$19,4),"nincs rovat")</f>
        <v>nincs rovat</v>
      </c>
      <c r="Q2135" t="str">
        <f>IF(H2135&gt;0,VLOOKUP(H2135,PAR!$AA$3:$AC$187,3,FALSE),"nincs főkönyvi számla")</f>
        <v>nincs főkönyvi számla</v>
      </c>
      <c r="R2135" t="str">
        <f>IFERROR(VLOOKUP(K2135,PAR!$V$3:$X$438,3,FALSE),"000000 - Nincs COFOG")</f>
        <v>000000 - Nincs COFOG</v>
      </c>
      <c r="S2135">
        <f t="shared" si="639"/>
        <v>0</v>
      </c>
      <c r="T2135">
        <f t="shared" si="640"/>
        <v>0</v>
      </c>
      <c r="U2135" t="str">
        <f>IF('906MP'!J1835&gt;0,CONCATENATE('906MP'!J1835," - ",'906MP'!P1835,", ",'906MP'!E1835),"nincs megjegyzés")</f>
        <v>nincs megjegyzés</v>
      </c>
      <c r="V2135" t="str">
        <f t="shared" si="627"/>
        <v>0P0</v>
      </c>
      <c r="W2135" t="str">
        <f t="shared" si="628"/>
        <v>0P0</v>
      </c>
      <c r="X2135" t="str">
        <f t="shared" si="629"/>
        <v>P0</v>
      </c>
      <c r="Y2135" t="str">
        <f t="shared" si="630"/>
        <v>00</v>
      </c>
      <c r="Z2135" t="str">
        <f t="shared" si="641"/>
        <v>00</v>
      </c>
      <c r="AA2135" t="str">
        <f t="shared" si="631"/>
        <v>00</v>
      </c>
      <c r="AB2135" t="str">
        <f t="shared" si="632"/>
        <v>00</v>
      </c>
      <c r="AC2135" t="str">
        <f t="shared" si="633"/>
        <v>0P0</v>
      </c>
      <c r="AD2135" t="str">
        <f t="shared" si="634"/>
        <v>P00</v>
      </c>
      <c r="AE2135" t="str">
        <f t="shared" si="635"/>
        <v>0P0</v>
      </c>
      <c r="AF2135" t="str">
        <f t="shared" si="636"/>
        <v>P00</v>
      </c>
      <c r="AG2135" t="str">
        <f t="shared" si="642"/>
        <v>0P00</v>
      </c>
      <c r="AH2135" t="str">
        <f t="shared" si="643"/>
        <v>P000</v>
      </c>
      <c r="AI2135" t="str">
        <f t="shared" si="644"/>
        <v>0P00</v>
      </c>
      <c r="AJ2135" t="str">
        <f t="shared" si="645"/>
        <v>P000</v>
      </c>
    </row>
    <row r="2136" spans="1:36" x14ac:dyDescent="0.25">
      <c r="A2136" s="325" t="str">
        <f>CONCATENATE("P",'906MP'!M1836)</f>
        <v>P</v>
      </c>
      <c r="B2136">
        <f>'906MP'!H1836</f>
        <v>0</v>
      </c>
      <c r="C2136">
        <f>'906MP'!J1836</f>
        <v>0</v>
      </c>
      <c r="D2136">
        <f>'906MP'!P1836</f>
        <v>0</v>
      </c>
      <c r="E2136">
        <f>'906MP'!X1836</f>
        <v>0</v>
      </c>
      <c r="F2136" t="str">
        <f t="shared" si="637"/>
        <v>0</v>
      </c>
      <c r="G2136" t="str">
        <f t="shared" si="638"/>
        <v>0</v>
      </c>
      <c r="H2136">
        <f>'906MP'!Y1836</f>
        <v>0</v>
      </c>
      <c r="I2136">
        <f>'906MP'!AK1836</f>
        <v>0</v>
      </c>
      <c r="J2136">
        <f>'906MP'!T1836</f>
        <v>0</v>
      </c>
      <c r="K2136">
        <f>'906MP'!AJ1836</f>
        <v>0</v>
      </c>
      <c r="L2136">
        <f>'906MP'!U1836</f>
        <v>0</v>
      </c>
      <c r="M2136" s="322" t="str">
        <f>IFERROR(VLOOKUP(A2136,PAR!$D$3:$E$53,2,FALSE),"nincs szervezet")</f>
        <v>nincs szervezet</v>
      </c>
      <c r="N2136" s="322" t="str">
        <f>VLOOKUP(F2136,PAR!$R$3:$S$5,2,FALSE)</f>
        <v>3 - egyik sem</v>
      </c>
      <c r="O2136" t="str">
        <f>IFERROR(VLOOKUP(J2136,PAR!$O$3:$P$5,2,FALSE),"nincs feladat")</f>
        <v>nincs feladat</v>
      </c>
      <c r="P2136" t="str">
        <f>IFERROR(VLOOKUP(G2136,PAR!$J$2:$M$19,4),"nincs rovat")</f>
        <v>nincs rovat</v>
      </c>
      <c r="Q2136" t="str">
        <f>IF(H2136&gt;0,VLOOKUP(H2136,PAR!$AA$3:$AC$187,3,FALSE),"nincs főkönyvi számla")</f>
        <v>nincs főkönyvi számla</v>
      </c>
      <c r="R2136" t="str">
        <f>IFERROR(VLOOKUP(K2136,PAR!$V$3:$X$438,3,FALSE),"000000 - Nincs COFOG")</f>
        <v>000000 - Nincs COFOG</v>
      </c>
      <c r="S2136">
        <f t="shared" si="639"/>
        <v>0</v>
      </c>
      <c r="T2136">
        <f t="shared" si="640"/>
        <v>0</v>
      </c>
      <c r="U2136" t="str">
        <f>IF('906MP'!J1836&gt;0,CONCATENATE('906MP'!J1836," - ",'906MP'!P1836,", ",'906MP'!E1836),"nincs megjegyzés")</f>
        <v>nincs megjegyzés</v>
      </c>
      <c r="V2136" t="str">
        <f t="shared" si="627"/>
        <v>0P0</v>
      </c>
      <c r="W2136" t="str">
        <f t="shared" si="628"/>
        <v>0P0</v>
      </c>
      <c r="X2136" t="str">
        <f t="shared" si="629"/>
        <v>P0</v>
      </c>
      <c r="Y2136" t="str">
        <f t="shared" si="630"/>
        <v>00</v>
      </c>
      <c r="Z2136" t="str">
        <f t="shared" si="641"/>
        <v>00</v>
      </c>
      <c r="AA2136" t="str">
        <f t="shared" si="631"/>
        <v>00</v>
      </c>
      <c r="AB2136" t="str">
        <f t="shared" si="632"/>
        <v>00</v>
      </c>
      <c r="AC2136" t="str">
        <f t="shared" si="633"/>
        <v>0P0</v>
      </c>
      <c r="AD2136" t="str">
        <f t="shared" si="634"/>
        <v>P00</v>
      </c>
      <c r="AE2136" t="str">
        <f t="shared" si="635"/>
        <v>0P0</v>
      </c>
      <c r="AF2136" t="str">
        <f t="shared" si="636"/>
        <v>P00</v>
      </c>
      <c r="AG2136" t="str">
        <f t="shared" si="642"/>
        <v>0P00</v>
      </c>
      <c r="AH2136" t="str">
        <f t="shared" si="643"/>
        <v>P000</v>
      </c>
      <c r="AI2136" t="str">
        <f t="shared" si="644"/>
        <v>0P00</v>
      </c>
      <c r="AJ2136" t="str">
        <f t="shared" si="645"/>
        <v>P000</v>
      </c>
    </row>
    <row r="2137" spans="1:36" x14ac:dyDescent="0.25">
      <c r="A2137" s="325" t="str">
        <f>CONCATENATE("P",'906MP'!M1837)</f>
        <v>P</v>
      </c>
      <c r="B2137">
        <f>'906MP'!H1837</f>
        <v>0</v>
      </c>
      <c r="C2137">
        <f>'906MP'!J1837</f>
        <v>0</v>
      </c>
      <c r="D2137">
        <f>'906MP'!P1837</f>
        <v>0</v>
      </c>
      <c r="E2137">
        <f>'906MP'!X1837</f>
        <v>0</v>
      </c>
      <c r="F2137" t="str">
        <f t="shared" si="637"/>
        <v>0</v>
      </c>
      <c r="G2137" t="str">
        <f t="shared" si="638"/>
        <v>0</v>
      </c>
      <c r="H2137">
        <f>'906MP'!Y1837</f>
        <v>0</v>
      </c>
      <c r="I2137">
        <f>'906MP'!AK1837</f>
        <v>0</v>
      </c>
      <c r="J2137">
        <f>'906MP'!T1837</f>
        <v>0</v>
      </c>
      <c r="K2137">
        <f>'906MP'!AJ1837</f>
        <v>0</v>
      </c>
      <c r="L2137">
        <f>'906MP'!U1837</f>
        <v>0</v>
      </c>
      <c r="M2137" s="322" t="str">
        <f>IFERROR(VLOOKUP(A2137,PAR!$D$3:$E$53,2,FALSE),"nincs szervezet")</f>
        <v>nincs szervezet</v>
      </c>
      <c r="N2137" s="322" t="str">
        <f>VLOOKUP(F2137,PAR!$R$3:$S$5,2,FALSE)</f>
        <v>3 - egyik sem</v>
      </c>
      <c r="O2137" t="str">
        <f>IFERROR(VLOOKUP(J2137,PAR!$O$3:$P$5,2,FALSE),"nincs feladat")</f>
        <v>nincs feladat</v>
      </c>
      <c r="P2137" t="str">
        <f>IFERROR(VLOOKUP(G2137,PAR!$J$2:$M$19,4),"nincs rovat")</f>
        <v>nincs rovat</v>
      </c>
      <c r="Q2137" t="str">
        <f>IF(H2137&gt;0,VLOOKUP(H2137,PAR!$AA$3:$AC$187,3,FALSE),"nincs főkönyvi számla")</f>
        <v>nincs főkönyvi számla</v>
      </c>
      <c r="R2137" t="str">
        <f>IFERROR(VLOOKUP(K2137,PAR!$V$3:$X$438,3,FALSE),"000000 - Nincs COFOG")</f>
        <v>000000 - Nincs COFOG</v>
      </c>
      <c r="S2137">
        <f t="shared" si="639"/>
        <v>0</v>
      </c>
      <c r="T2137">
        <f t="shared" si="640"/>
        <v>0</v>
      </c>
      <c r="U2137" t="str">
        <f>IF('906MP'!J1837&gt;0,CONCATENATE('906MP'!J1837," - ",'906MP'!P1837,", ",'906MP'!E1837),"nincs megjegyzés")</f>
        <v>nincs megjegyzés</v>
      </c>
      <c r="V2137" t="str">
        <f t="shared" si="627"/>
        <v>0P0</v>
      </c>
      <c r="W2137" t="str">
        <f t="shared" si="628"/>
        <v>0P0</v>
      </c>
      <c r="X2137" t="str">
        <f t="shared" si="629"/>
        <v>P0</v>
      </c>
      <c r="Y2137" t="str">
        <f t="shared" si="630"/>
        <v>00</v>
      </c>
      <c r="Z2137" t="str">
        <f t="shared" si="641"/>
        <v>00</v>
      </c>
      <c r="AA2137" t="str">
        <f t="shared" si="631"/>
        <v>00</v>
      </c>
      <c r="AB2137" t="str">
        <f t="shared" si="632"/>
        <v>00</v>
      </c>
      <c r="AC2137" t="str">
        <f t="shared" si="633"/>
        <v>0P0</v>
      </c>
      <c r="AD2137" t="str">
        <f t="shared" si="634"/>
        <v>P00</v>
      </c>
      <c r="AE2137" t="str">
        <f t="shared" si="635"/>
        <v>0P0</v>
      </c>
      <c r="AF2137" t="str">
        <f t="shared" si="636"/>
        <v>P00</v>
      </c>
      <c r="AG2137" t="str">
        <f t="shared" si="642"/>
        <v>0P00</v>
      </c>
      <c r="AH2137" t="str">
        <f t="shared" si="643"/>
        <v>P000</v>
      </c>
      <c r="AI2137" t="str">
        <f t="shared" si="644"/>
        <v>0P00</v>
      </c>
      <c r="AJ2137" t="str">
        <f t="shared" si="645"/>
        <v>P000</v>
      </c>
    </row>
    <row r="2138" spans="1:36" x14ac:dyDescent="0.25">
      <c r="A2138" s="325" t="str">
        <f>CONCATENATE("P",'906MP'!M1838)</f>
        <v>P</v>
      </c>
      <c r="B2138">
        <f>'906MP'!H1838</f>
        <v>0</v>
      </c>
      <c r="C2138">
        <f>'906MP'!J1838</f>
        <v>0</v>
      </c>
      <c r="D2138">
        <f>'906MP'!P1838</f>
        <v>0</v>
      </c>
      <c r="E2138">
        <f>'906MP'!X1838</f>
        <v>0</v>
      </c>
      <c r="F2138" t="str">
        <f t="shared" si="637"/>
        <v>0</v>
      </c>
      <c r="G2138" t="str">
        <f t="shared" si="638"/>
        <v>0</v>
      </c>
      <c r="H2138">
        <f>'906MP'!Y1838</f>
        <v>0</v>
      </c>
      <c r="I2138">
        <f>'906MP'!AK1838</f>
        <v>0</v>
      </c>
      <c r="J2138">
        <f>'906MP'!T1838</f>
        <v>0</v>
      </c>
      <c r="K2138">
        <f>'906MP'!AJ1838</f>
        <v>0</v>
      </c>
      <c r="L2138">
        <f>'906MP'!U1838</f>
        <v>0</v>
      </c>
      <c r="M2138" s="322" t="str">
        <f>IFERROR(VLOOKUP(A2138,PAR!$D$3:$E$53,2,FALSE),"nincs szervezet")</f>
        <v>nincs szervezet</v>
      </c>
      <c r="N2138" s="322" t="str">
        <f>VLOOKUP(F2138,PAR!$R$3:$S$5,2,FALSE)</f>
        <v>3 - egyik sem</v>
      </c>
      <c r="O2138" t="str">
        <f>IFERROR(VLOOKUP(J2138,PAR!$O$3:$P$5,2,FALSE),"nincs feladat")</f>
        <v>nincs feladat</v>
      </c>
      <c r="P2138" t="str">
        <f>IFERROR(VLOOKUP(G2138,PAR!$J$2:$M$19,4),"nincs rovat")</f>
        <v>nincs rovat</v>
      </c>
      <c r="Q2138" t="str">
        <f>IF(H2138&gt;0,VLOOKUP(H2138,PAR!$AA$3:$AC$187,3,FALSE),"nincs főkönyvi számla")</f>
        <v>nincs főkönyvi számla</v>
      </c>
      <c r="R2138" t="str">
        <f>IFERROR(VLOOKUP(K2138,PAR!$V$3:$X$438,3,FALSE),"000000 - Nincs COFOG")</f>
        <v>000000 - Nincs COFOG</v>
      </c>
      <c r="S2138">
        <f t="shared" si="639"/>
        <v>0</v>
      </c>
      <c r="T2138">
        <f t="shared" si="640"/>
        <v>0</v>
      </c>
      <c r="U2138" t="str">
        <f>IF('906MP'!J1838&gt;0,CONCATENATE('906MP'!J1838," - ",'906MP'!P1838,", ",'906MP'!E1838),"nincs megjegyzés")</f>
        <v>nincs megjegyzés</v>
      </c>
      <c r="V2138" t="str">
        <f t="shared" si="627"/>
        <v>0P0</v>
      </c>
      <c r="W2138" t="str">
        <f t="shared" si="628"/>
        <v>0P0</v>
      </c>
      <c r="X2138" t="str">
        <f t="shared" si="629"/>
        <v>P0</v>
      </c>
      <c r="Y2138" t="str">
        <f t="shared" si="630"/>
        <v>00</v>
      </c>
      <c r="Z2138" t="str">
        <f t="shared" si="641"/>
        <v>00</v>
      </c>
      <c r="AA2138" t="str">
        <f t="shared" si="631"/>
        <v>00</v>
      </c>
      <c r="AB2138" t="str">
        <f t="shared" si="632"/>
        <v>00</v>
      </c>
      <c r="AC2138" t="str">
        <f t="shared" si="633"/>
        <v>0P0</v>
      </c>
      <c r="AD2138" t="str">
        <f t="shared" si="634"/>
        <v>P00</v>
      </c>
      <c r="AE2138" t="str">
        <f t="shared" si="635"/>
        <v>0P0</v>
      </c>
      <c r="AF2138" t="str">
        <f t="shared" si="636"/>
        <v>P00</v>
      </c>
      <c r="AG2138" t="str">
        <f t="shared" si="642"/>
        <v>0P00</v>
      </c>
      <c r="AH2138" t="str">
        <f t="shared" si="643"/>
        <v>P000</v>
      </c>
      <c r="AI2138" t="str">
        <f t="shared" si="644"/>
        <v>0P00</v>
      </c>
      <c r="AJ2138" t="str">
        <f t="shared" si="645"/>
        <v>P000</v>
      </c>
    </row>
    <row r="2139" spans="1:36" x14ac:dyDescent="0.25">
      <c r="A2139" s="325" t="str">
        <f>CONCATENATE("P",'906MP'!M1839)</f>
        <v>P</v>
      </c>
      <c r="B2139">
        <f>'906MP'!H1839</f>
        <v>0</v>
      </c>
      <c r="C2139">
        <f>'906MP'!J1839</f>
        <v>0</v>
      </c>
      <c r="D2139">
        <f>'906MP'!P1839</f>
        <v>0</v>
      </c>
      <c r="E2139">
        <f>'906MP'!X1839</f>
        <v>0</v>
      </c>
      <c r="F2139" t="str">
        <f t="shared" si="637"/>
        <v>0</v>
      </c>
      <c r="G2139" t="str">
        <f t="shared" si="638"/>
        <v>0</v>
      </c>
      <c r="H2139">
        <f>'906MP'!Y1839</f>
        <v>0</v>
      </c>
      <c r="I2139">
        <f>'906MP'!AK1839</f>
        <v>0</v>
      </c>
      <c r="J2139">
        <f>'906MP'!T1839</f>
        <v>0</v>
      </c>
      <c r="K2139">
        <f>'906MP'!AJ1839</f>
        <v>0</v>
      </c>
      <c r="L2139">
        <f>'906MP'!U1839</f>
        <v>0</v>
      </c>
      <c r="M2139" s="322" t="str">
        <f>IFERROR(VLOOKUP(A2139,PAR!$D$3:$E$53,2,FALSE),"nincs szervezet")</f>
        <v>nincs szervezet</v>
      </c>
      <c r="N2139" s="322" t="str">
        <f>VLOOKUP(F2139,PAR!$R$3:$S$5,2,FALSE)</f>
        <v>3 - egyik sem</v>
      </c>
      <c r="O2139" t="str">
        <f>IFERROR(VLOOKUP(J2139,PAR!$O$3:$P$5,2,FALSE),"nincs feladat")</f>
        <v>nincs feladat</v>
      </c>
      <c r="P2139" t="str">
        <f>IFERROR(VLOOKUP(G2139,PAR!$J$2:$M$19,4),"nincs rovat")</f>
        <v>nincs rovat</v>
      </c>
      <c r="Q2139" t="str">
        <f>IF(H2139&gt;0,VLOOKUP(H2139,PAR!$AA$3:$AC$187,3,FALSE),"nincs főkönyvi számla")</f>
        <v>nincs főkönyvi számla</v>
      </c>
      <c r="R2139" t="str">
        <f>IFERROR(VLOOKUP(K2139,PAR!$V$3:$X$438,3,FALSE),"000000 - Nincs COFOG")</f>
        <v>000000 - Nincs COFOG</v>
      </c>
      <c r="S2139">
        <f t="shared" si="639"/>
        <v>0</v>
      </c>
      <c r="T2139">
        <f t="shared" si="640"/>
        <v>0</v>
      </c>
      <c r="U2139" t="str">
        <f>IF('906MP'!J1839&gt;0,CONCATENATE('906MP'!J1839," - ",'906MP'!P1839,", ",'906MP'!E1839),"nincs megjegyzés")</f>
        <v>nincs megjegyzés</v>
      </c>
      <c r="V2139" t="str">
        <f t="shared" si="627"/>
        <v>0P0</v>
      </c>
      <c r="W2139" t="str">
        <f t="shared" si="628"/>
        <v>0P0</v>
      </c>
      <c r="X2139" t="str">
        <f t="shared" si="629"/>
        <v>P0</v>
      </c>
      <c r="Y2139" t="str">
        <f t="shared" si="630"/>
        <v>00</v>
      </c>
      <c r="Z2139" t="str">
        <f t="shared" si="641"/>
        <v>00</v>
      </c>
      <c r="AA2139" t="str">
        <f t="shared" si="631"/>
        <v>00</v>
      </c>
      <c r="AB2139" t="str">
        <f t="shared" si="632"/>
        <v>00</v>
      </c>
      <c r="AC2139" t="str">
        <f t="shared" si="633"/>
        <v>0P0</v>
      </c>
      <c r="AD2139" t="str">
        <f t="shared" si="634"/>
        <v>P00</v>
      </c>
      <c r="AE2139" t="str">
        <f t="shared" si="635"/>
        <v>0P0</v>
      </c>
      <c r="AF2139" t="str">
        <f t="shared" si="636"/>
        <v>P00</v>
      </c>
      <c r="AG2139" t="str">
        <f t="shared" si="642"/>
        <v>0P00</v>
      </c>
      <c r="AH2139" t="str">
        <f t="shared" si="643"/>
        <v>P000</v>
      </c>
      <c r="AI2139" t="str">
        <f t="shared" si="644"/>
        <v>0P00</v>
      </c>
      <c r="AJ2139" t="str">
        <f t="shared" si="645"/>
        <v>P000</v>
      </c>
    </row>
    <row r="2140" spans="1:36" x14ac:dyDescent="0.25">
      <c r="A2140" s="325" t="str">
        <f>CONCATENATE("P",'906MP'!M1840)</f>
        <v>P</v>
      </c>
      <c r="B2140">
        <f>'906MP'!H1840</f>
        <v>0</v>
      </c>
      <c r="C2140">
        <f>'906MP'!J1840</f>
        <v>0</v>
      </c>
      <c r="D2140">
        <f>'906MP'!P1840</f>
        <v>0</v>
      </c>
      <c r="E2140">
        <f>'906MP'!X1840</f>
        <v>0</v>
      </c>
      <c r="F2140" t="str">
        <f t="shared" si="637"/>
        <v>0</v>
      </c>
      <c r="G2140" t="str">
        <f t="shared" si="638"/>
        <v>0</v>
      </c>
      <c r="H2140">
        <f>'906MP'!Y1840</f>
        <v>0</v>
      </c>
      <c r="I2140">
        <f>'906MP'!AK1840</f>
        <v>0</v>
      </c>
      <c r="J2140">
        <f>'906MP'!T1840</f>
        <v>0</v>
      </c>
      <c r="K2140">
        <f>'906MP'!AJ1840</f>
        <v>0</v>
      </c>
      <c r="L2140">
        <f>'906MP'!U1840</f>
        <v>0</v>
      </c>
      <c r="M2140" s="322" t="str">
        <f>IFERROR(VLOOKUP(A2140,PAR!$D$3:$E$53,2,FALSE),"nincs szervezet")</f>
        <v>nincs szervezet</v>
      </c>
      <c r="N2140" s="322" t="str">
        <f>VLOOKUP(F2140,PAR!$R$3:$S$5,2,FALSE)</f>
        <v>3 - egyik sem</v>
      </c>
      <c r="O2140" t="str">
        <f>IFERROR(VLOOKUP(J2140,PAR!$O$3:$P$5,2,FALSE),"nincs feladat")</f>
        <v>nincs feladat</v>
      </c>
      <c r="P2140" t="str">
        <f>IFERROR(VLOOKUP(G2140,PAR!$J$2:$M$19,4),"nincs rovat")</f>
        <v>nincs rovat</v>
      </c>
      <c r="Q2140" t="str">
        <f>IF(H2140&gt;0,VLOOKUP(H2140,PAR!$AA$3:$AC$187,3,FALSE),"nincs főkönyvi számla")</f>
        <v>nincs főkönyvi számla</v>
      </c>
      <c r="R2140" t="str">
        <f>IFERROR(VLOOKUP(K2140,PAR!$V$3:$X$438,3,FALSE),"000000 - Nincs COFOG")</f>
        <v>000000 - Nincs COFOG</v>
      </c>
      <c r="S2140">
        <f t="shared" si="639"/>
        <v>0</v>
      </c>
      <c r="T2140">
        <f t="shared" si="640"/>
        <v>0</v>
      </c>
      <c r="U2140" t="str">
        <f>IF('906MP'!J1840&gt;0,CONCATENATE('906MP'!J1840," - ",'906MP'!P1840,", ",'906MP'!E1840),"nincs megjegyzés")</f>
        <v>nincs megjegyzés</v>
      </c>
      <c r="V2140" t="str">
        <f t="shared" si="627"/>
        <v>0P0</v>
      </c>
      <c r="W2140" t="str">
        <f t="shared" si="628"/>
        <v>0P0</v>
      </c>
      <c r="X2140" t="str">
        <f t="shared" si="629"/>
        <v>P0</v>
      </c>
      <c r="Y2140" t="str">
        <f t="shared" si="630"/>
        <v>00</v>
      </c>
      <c r="Z2140" t="str">
        <f t="shared" si="641"/>
        <v>00</v>
      </c>
      <c r="AA2140" t="str">
        <f t="shared" si="631"/>
        <v>00</v>
      </c>
      <c r="AB2140" t="str">
        <f t="shared" si="632"/>
        <v>00</v>
      </c>
      <c r="AC2140" t="str">
        <f t="shared" si="633"/>
        <v>0P0</v>
      </c>
      <c r="AD2140" t="str">
        <f t="shared" si="634"/>
        <v>P00</v>
      </c>
      <c r="AE2140" t="str">
        <f t="shared" si="635"/>
        <v>0P0</v>
      </c>
      <c r="AF2140" t="str">
        <f t="shared" si="636"/>
        <v>P00</v>
      </c>
      <c r="AG2140" t="str">
        <f t="shared" si="642"/>
        <v>0P00</v>
      </c>
      <c r="AH2140" t="str">
        <f t="shared" si="643"/>
        <v>P000</v>
      </c>
      <c r="AI2140" t="str">
        <f t="shared" si="644"/>
        <v>0P00</v>
      </c>
      <c r="AJ2140" t="str">
        <f t="shared" si="645"/>
        <v>P000</v>
      </c>
    </row>
    <row r="2141" spans="1:36" x14ac:dyDescent="0.25">
      <c r="A2141" s="325" t="str">
        <f>CONCATENATE("P",'906MP'!M1841)</f>
        <v>P</v>
      </c>
      <c r="B2141">
        <f>'906MP'!H1841</f>
        <v>0</v>
      </c>
      <c r="C2141">
        <f>'906MP'!J1841</f>
        <v>0</v>
      </c>
      <c r="D2141">
        <f>'906MP'!P1841</f>
        <v>0</v>
      </c>
      <c r="E2141">
        <f>'906MP'!X1841</f>
        <v>0</v>
      </c>
      <c r="F2141" t="str">
        <f t="shared" si="637"/>
        <v>0</v>
      </c>
      <c r="G2141" t="str">
        <f t="shared" si="638"/>
        <v>0</v>
      </c>
      <c r="H2141">
        <f>'906MP'!Y1841</f>
        <v>0</v>
      </c>
      <c r="I2141">
        <f>'906MP'!AK1841</f>
        <v>0</v>
      </c>
      <c r="J2141">
        <f>'906MP'!T1841</f>
        <v>0</v>
      </c>
      <c r="K2141">
        <f>'906MP'!AJ1841</f>
        <v>0</v>
      </c>
      <c r="L2141">
        <f>'906MP'!U1841</f>
        <v>0</v>
      </c>
      <c r="M2141" s="322" t="str">
        <f>IFERROR(VLOOKUP(A2141,PAR!$D$3:$E$53,2,FALSE),"nincs szervezet")</f>
        <v>nincs szervezet</v>
      </c>
      <c r="N2141" s="322" t="str">
        <f>VLOOKUP(F2141,PAR!$R$3:$S$5,2,FALSE)</f>
        <v>3 - egyik sem</v>
      </c>
      <c r="O2141" t="str">
        <f>IFERROR(VLOOKUP(J2141,PAR!$O$3:$P$5,2,FALSE),"nincs feladat")</f>
        <v>nincs feladat</v>
      </c>
      <c r="P2141" t="str">
        <f>IFERROR(VLOOKUP(G2141,PAR!$J$2:$M$19,4),"nincs rovat")</f>
        <v>nincs rovat</v>
      </c>
      <c r="Q2141" t="str">
        <f>IF(H2141&gt;0,VLOOKUP(H2141,PAR!$AA$3:$AC$187,3,FALSE),"nincs főkönyvi számla")</f>
        <v>nincs főkönyvi számla</v>
      </c>
      <c r="R2141" t="str">
        <f>IFERROR(VLOOKUP(K2141,PAR!$V$3:$X$438,3,FALSE),"000000 - Nincs COFOG")</f>
        <v>000000 - Nincs COFOG</v>
      </c>
      <c r="S2141">
        <f t="shared" si="639"/>
        <v>0</v>
      </c>
      <c r="T2141">
        <f t="shared" si="640"/>
        <v>0</v>
      </c>
      <c r="U2141" t="str">
        <f>IF('906MP'!J1841&gt;0,CONCATENATE('906MP'!J1841," - ",'906MP'!P1841,", ",'906MP'!E1841),"nincs megjegyzés")</f>
        <v>nincs megjegyzés</v>
      </c>
      <c r="V2141" t="str">
        <f t="shared" si="627"/>
        <v>0P0</v>
      </c>
      <c r="W2141" t="str">
        <f t="shared" si="628"/>
        <v>0P0</v>
      </c>
      <c r="X2141" t="str">
        <f t="shared" si="629"/>
        <v>P0</v>
      </c>
      <c r="Y2141" t="str">
        <f t="shared" si="630"/>
        <v>00</v>
      </c>
      <c r="Z2141" t="str">
        <f t="shared" si="641"/>
        <v>00</v>
      </c>
      <c r="AA2141" t="str">
        <f t="shared" si="631"/>
        <v>00</v>
      </c>
      <c r="AB2141" t="str">
        <f t="shared" si="632"/>
        <v>00</v>
      </c>
      <c r="AC2141" t="str">
        <f t="shared" si="633"/>
        <v>0P0</v>
      </c>
      <c r="AD2141" t="str">
        <f t="shared" si="634"/>
        <v>P00</v>
      </c>
      <c r="AE2141" t="str">
        <f t="shared" si="635"/>
        <v>0P0</v>
      </c>
      <c r="AF2141" t="str">
        <f t="shared" si="636"/>
        <v>P00</v>
      </c>
      <c r="AG2141" t="str">
        <f t="shared" si="642"/>
        <v>0P00</v>
      </c>
      <c r="AH2141" t="str">
        <f t="shared" si="643"/>
        <v>P000</v>
      </c>
      <c r="AI2141" t="str">
        <f t="shared" si="644"/>
        <v>0P00</v>
      </c>
      <c r="AJ2141" t="str">
        <f t="shared" si="645"/>
        <v>P000</v>
      </c>
    </row>
    <row r="2142" spans="1:36" x14ac:dyDescent="0.25">
      <c r="A2142" s="325" t="str">
        <f>CONCATENATE("P",'906MP'!M1842)</f>
        <v>P</v>
      </c>
      <c r="B2142">
        <f>'906MP'!H1842</f>
        <v>0</v>
      </c>
      <c r="C2142">
        <f>'906MP'!J1842</f>
        <v>0</v>
      </c>
      <c r="D2142">
        <f>'906MP'!P1842</f>
        <v>0</v>
      </c>
      <c r="E2142">
        <f>'906MP'!X1842</f>
        <v>0</v>
      </c>
      <c r="F2142" t="str">
        <f t="shared" si="637"/>
        <v>0</v>
      </c>
      <c r="G2142" t="str">
        <f t="shared" si="638"/>
        <v>0</v>
      </c>
      <c r="H2142">
        <f>'906MP'!Y1842</f>
        <v>0</v>
      </c>
      <c r="I2142">
        <f>'906MP'!AK1842</f>
        <v>0</v>
      </c>
      <c r="J2142">
        <f>'906MP'!T1842</f>
        <v>0</v>
      </c>
      <c r="K2142">
        <f>'906MP'!AJ1842</f>
        <v>0</v>
      </c>
      <c r="L2142">
        <f>'906MP'!U1842</f>
        <v>0</v>
      </c>
      <c r="M2142" s="322" t="str">
        <f>IFERROR(VLOOKUP(A2142,PAR!$D$3:$E$53,2,FALSE),"nincs szervezet")</f>
        <v>nincs szervezet</v>
      </c>
      <c r="N2142" s="322" t="str">
        <f>VLOOKUP(F2142,PAR!$R$3:$S$5,2,FALSE)</f>
        <v>3 - egyik sem</v>
      </c>
      <c r="O2142" t="str">
        <f>IFERROR(VLOOKUP(J2142,PAR!$O$3:$P$5,2,FALSE),"nincs feladat")</f>
        <v>nincs feladat</v>
      </c>
      <c r="P2142" t="str">
        <f>IFERROR(VLOOKUP(G2142,PAR!$J$2:$M$19,4),"nincs rovat")</f>
        <v>nincs rovat</v>
      </c>
      <c r="Q2142" t="str">
        <f>IF(H2142&gt;0,VLOOKUP(H2142,PAR!$AA$3:$AC$187,3,FALSE),"nincs főkönyvi számla")</f>
        <v>nincs főkönyvi számla</v>
      </c>
      <c r="R2142" t="str">
        <f>IFERROR(VLOOKUP(K2142,PAR!$V$3:$X$438,3,FALSE),"000000 - Nincs COFOG")</f>
        <v>000000 - Nincs COFOG</v>
      </c>
      <c r="S2142">
        <f t="shared" si="639"/>
        <v>0</v>
      </c>
      <c r="T2142">
        <f t="shared" si="640"/>
        <v>0</v>
      </c>
      <c r="U2142" t="str">
        <f>IF('906MP'!J1842&gt;0,CONCATENATE('906MP'!J1842," - ",'906MP'!P1842,", ",'906MP'!E1842),"nincs megjegyzés")</f>
        <v>nincs megjegyzés</v>
      </c>
      <c r="V2142" t="str">
        <f t="shared" si="627"/>
        <v>0P0</v>
      </c>
      <c r="W2142" t="str">
        <f t="shared" si="628"/>
        <v>0P0</v>
      </c>
      <c r="X2142" t="str">
        <f t="shared" si="629"/>
        <v>P0</v>
      </c>
      <c r="Y2142" t="str">
        <f t="shared" si="630"/>
        <v>00</v>
      </c>
      <c r="Z2142" t="str">
        <f t="shared" si="641"/>
        <v>00</v>
      </c>
      <c r="AA2142" t="str">
        <f t="shared" si="631"/>
        <v>00</v>
      </c>
      <c r="AB2142" t="str">
        <f t="shared" si="632"/>
        <v>00</v>
      </c>
      <c r="AC2142" t="str">
        <f t="shared" si="633"/>
        <v>0P0</v>
      </c>
      <c r="AD2142" t="str">
        <f t="shared" si="634"/>
        <v>P00</v>
      </c>
      <c r="AE2142" t="str">
        <f t="shared" si="635"/>
        <v>0P0</v>
      </c>
      <c r="AF2142" t="str">
        <f t="shared" si="636"/>
        <v>P00</v>
      </c>
      <c r="AG2142" t="str">
        <f t="shared" si="642"/>
        <v>0P00</v>
      </c>
      <c r="AH2142" t="str">
        <f t="shared" si="643"/>
        <v>P000</v>
      </c>
      <c r="AI2142" t="str">
        <f t="shared" si="644"/>
        <v>0P00</v>
      </c>
      <c r="AJ2142" t="str">
        <f t="shared" si="645"/>
        <v>P000</v>
      </c>
    </row>
    <row r="2143" spans="1:36" x14ac:dyDescent="0.25">
      <c r="A2143" s="325" t="str">
        <f>CONCATENATE("P",'906MP'!M1843)</f>
        <v>P</v>
      </c>
      <c r="B2143">
        <f>'906MP'!H1843</f>
        <v>0</v>
      </c>
      <c r="C2143">
        <f>'906MP'!J1843</f>
        <v>0</v>
      </c>
      <c r="D2143">
        <f>'906MP'!P1843</f>
        <v>0</v>
      </c>
      <c r="E2143">
        <f>'906MP'!X1843</f>
        <v>0</v>
      </c>
      <c r="F2143" t="str">
        <f t="shared" si="637"/>
        <v>0</v>
      </c>
      <c r="G2143" t="str">
        <f t="shared" si="638"/>
        <v>0</v>
      </c>
      <c r="H2143">
        <f>'906MP'!Y1843</f>
        <v>0</v>
      </c>
      <c r="I2143">
        <f>'906MP'!AK1843</f>
        <v>0</v>
      </c>
      <c r="J2143">
        <f>'906MP'!T1843</f>
        <v>0</v>
      </c>
      <c r="K2143">
        <f>'906MP'!AJ1843</f>
        <v>0</v>
      </c>
      <c r="L2143">
        <f>'906MP'!U1843</f>
        <v>0</v>
      </c>
      <c r="M2143" s="322" t="str">
        <f>IFERROR(VLOOKUP(A2143,PAR!$D$3:$E$53,2,FALSE),"nincs szervezet")</f>
        <v>nincs szervezet</v>
      </c>
      <c r="N2143" s="322" t="str">
        <f>VLOOKUP(F2143,PAR!$R$3:$S$5,2,FALSE)</f>
        <v>3 - egyik sem</v>
      </c>
      <c r="O2143" t="str">
        <f>IFERROR(VLOOKUP(J2143,PAR!$O$3:$P$5,2,FALSE),"nincs feladat")</f>
        <v>nincs feladat</v>
      </c>
      <c r="P2143" t="str">
        <f>IFERROR(VLOOKUP(G2143,PAR!$J$2:$M$19,4),"nincs rovat")</f>
        <v>nincs rovat</v>
      </c>
      <c r="Q2143" t="str">
        <f>IF(H2143&gt;0,VLOOKUP(H2143,PAR!$AA$3:$AC$187,3,FALSE),"nincs főkönyvi számla")</f>
        <v>nincs főkönyvi számla</v>
      </c>
      <c r="R2143" t="str">
        <f>IFERROR(VLOOKUP(K2143,PAR!$V$3:$X$438,3,FALSE),"000000 - Nincs COFOG")</f>
        <v>000000 - Nincs COFOG</v>
      </c>
      <c r="S2143">
        <f t="shared" si="639"/>
        <v>0</v>
      </c>
      <c r="T2143">
        <f t="shared" si="640"/>
        <v>0</v>
      </c>
      <c r="U2143" t="str">
        <f>IF('906MP'!J1843&gt;0,CONCATENATE('906MP'!J1843," - ",'906MP'!P1843,", ",'906MP'!E1843),"nincs megjegyzés")</f>
        <v>nincs megjegyzés</v>
      </c>
      <c r="V2143" t="str">
        <f t="shared" si="627"/>
        <v>0P0</v>
      </c>
      <c r="W2143" t="str">
        <f t="shared" si="628"/>
        <v>0P0</v>
      </c>
      <c r="X2143" t="str">
        <f t="shared" si="629"/>
        <v>P0</v>
      </c>
      <c r="Y2143" t="str">
        <f t="shared" si="630"/>
        <v>00</v>
      </c>
      <c r="Z2143" t="str">
        <f t="shared" si="641"/>
        <v>00</v>
      </c>
      <c r="AA2143" t="str">
        <f t="shared" si="631"/>
        <v>00</v>
      </c>
      <c r="AB2143" t="str">
        <f t="shared" si="632"/>
        <v>00</v>
      </c>
      <c r="AC2143" t="str">
        <f t="shared" si="633"/>
        <v>0P0</v>
      </c>
      <c r="AD2143" t="str">
        <f t="shared" si="634"/>
        <v>P00</v>
      </c>
      <c r="AE2143" t="str">
        <f t="shared" si="635"/>
        <v>0P0</v>
      </c>
      <c r="AF2143" t="str">
        <f t="shared" si="636"/>
        <v>P00</v>
      </c>
      <c r="AG2143" t="str">
        <f t="shared" si="642"/>
        <v>0P00</v>
      </c>
      <c r="AH2143" t="str">
        <f t="shared" si="643"/>
        <v>P000</v>
      </c>
      <c r="AI2143" t="str">
        <f t="shared" si="644"/>
        <v>0P00</v>
      </c>
      <c r="AJ2143" t="str">
        <f t="shared" si="645"/>
        <v>P000</v>
      </c>
    </row>
    <row r="2144" spans="1:36" x14ac:dyDescent="0.25">
      <c r="A2144" s="325" t="str">
        <f>CONCATENATE("P",'906MP'!M1844)</f>
        <v>P</v>
      </c>
      <c r="B2144">
        <f>'906MP'!H1844</f>
        <v>0</v>
      </c>
      <c r="C2144">
        <f>'906MP'!J1844</f>
        <v>0</v>
      </c>
      <c r="D2144">
        <f>'906MP'!P1844</f>
        <v>0</v>
      </c>
      <c r="E2144">
        <f>'906MP'!X1844</f>
        <v>0</v>
      </c>
      <c r="F2144" t="str">
        <f t="shared" si="637"/>
        <v>0</v>
      </c>
      <c r="G2144" t="str">
        <f t="shared" si="638"/>
        <v>0</v>
      </c>
      <c r="H2144">
        <f>'906MP'!Y1844</f>
        <v>0</v>
      </c>
      <c r="I2144">
        <f>'906MP'!AK1844</f>
        <v>0</v>
      </c>
      <c r="J2144">
        <f>'906MP'!T1844</f>
        <v>0</v>
      </c>
      <c r="K2144">
        <f>'906MP'!AJ1844</f>
        <v>0</v>
      </c>
      <c r="L2144">
        <f>'906MP'!U1844</f>
        <v>0</v>
      </c>
      <c r="M2144" s="322" t="str">
        <f>IFERROR(VLOOKUP(A2144,PAR!$D$3:$E$53,2,FALSE),"nincs szervezet")</f>
        <v>nincs szervezet</v>
      </c>
      <c r="N2144" s="322" t="str">
        <f>VLOOKUP(F2144,PAR!$R$3:$S$5,2,FALSE)</f>
        <v>3 - egyik sem</v>
      </c>
      <c r="O2144" t="str">
        <f>IFERROR(VLOOKUP(J2144,PAR!$O$3:$P$5,2,FALSE),"nincs feladat")</f>
        <v>nincs feladat</v>
      </c>
      <c r="P2144" t="str">
        <f>IFERROR(VLOOKUP(G2144,PAR!$J$2:$M$19,4),"nincs rovat")</f>
        <v>nincs rovat</v>
      </c>
      <c r="Q2144" t="str">
        <f>IF(H2144&gt;0,VLOOKUP(H2144,PAR!$AA$3:$AC$187,3,FALSE),"nincs főkönyvi számla")</f>
        <v>nincs főkönyvi számla</v>
      </c>
      <c r="R2144" t="str">
        <f>IFERROR(VLOOKUP(K2144,PAR!$V$3:$X$438,3,FALSE),"000000 - Nincs COFOG")</f>
        <v>000000 - Nincs COFOG</v>
      </c>
      <c r="S2144">
        <f t="shared" si="639"/>
        <v>0</v>
      </c>
      <c r="T2144">
        <f t="shared" si="640"/>
        <v>0</v>
      </c>
      <c r="U2144" t="str">
        <f>IF('906MP'!J1844&gt;0,CONCATENATE('906MP'!J1844," - ",'906MP'!P1844,", ",'906MP'!E1844),"nincs megjegyzés")</f>
        <v>nincs megjegyzés</v>
      </c>
      <c r="V2144" t="str">
        <f t="shared" si="627"/>
        <v>0P0</v>
      </c>
      <c r="W2144" t="str">
        <f t="shared" si="628"/>
        <v>0P0</v>
      </c>
      <c r="X2144" t="str">
        <f t="shared" si="629"/>
        <v>P0</v>
      </c>
      <c r="Y2144" t="str">
        <f t="shared" si="630"/>
        <v>00</v>
      </c>
      <c r="Z2144" t="str">
        <f t="shared" si="641"/>
        <v>00</v>
      </c>
      <c r="AA2144" t="str">
        <f t="shared" si="631"/>
        <v>00</v>
      </c>
      <c r="AB2144" t="str">
        <f t="shared" si="632"/>
        <v>00</v>
      </c>
      <c r="AC2144" t="str">
        <f t="shared" si="633"/>
        <v>0P0</v>
      </c>
      <c r="AD2144" t="str">
        <f t="shared" si="634"/>
        <v>P00</v>
      </c>
      <c r="AE2144" t="str">
        <f t="shared" si="635"/>
        <v>0P0</v>
      </c>
      <c r="AF2144" t="str">
        <f t="shared" si="636"/>
        <v>P00</v>
      </c>
      <c r="AG2144" t="str">
        <f t="shared" si="642"/>
        <v>0P00</v>
      </c>
      <c r="AH2144" t="str">
        <f t="shared" si="643"/>
        <v>P000</v>
      </c>
      <c r="AI2144" t="str">
        <f t="shared" si="644"/>
        <v>0P00</v>
      </c>
      <c r="AJ2144" t="str">
        <f t="shared" si="645"/>
        <v>P000</v>
      </c>
    </row>
    <row r="2145" spans="1:36" x14ac:dyDescent="0.25">
      <c r="A2145" s="325" t="str">
        <f>CONCATENATE("P",'906MP'!M1845)</f>
        <v>P</v>
      </c>
      <c r="B2145">
        <f>'906MP'!H1845</f>
        <v>0</v>
      </c>
      <c r="C2145">
        <f>'906MP'!J1845</f>
        <v>0</v>
      </c>
      <c r="D2145">
        <f>'906MP'!P1845</f>
        <v>0</v>
      </c>
      <c r="E2145">
        <f>'906MP'!X1845</f>
        <v>0</v>
      </c>
      <c r="F2145" t="str">
        <f t="shared" si="637"/>
        <v>0</v>
      </c>
      <c r="G2145" t="str">
        <f t="shared" si="638"/>
        <v>0</v>
      </c>
      <c r="H2145">
        <f>'906MP'!Y1845</f>
        <v>0</v>
      </c>
      <c r="I2145">
        <f>'906MP'!AK1845</f>
        <v>0</v>
      </c>
      <c r="J2145">
        <f>'906MP'!T1845</f>
        <v>0</v>
      </c>
      <c r="K2145">
        <f>'906MP'!AJ1845</f>
        <v>0</v>
      </c>
      <c r="L2145">
        <f>'906MP'!U1845</f>
        <v>0</v>
      </c>
      <c r="M2145" s="322" t="str">
        <f>IFERROR(VLOOKUP(A2145,PAR!$D$3:$E$53,2,FALSE),"nincs szervezet")</f>
        <v>nincs szervezet</v>
      </c>
      <c r="N2145" s="322" t="str">
        <f>VLOOKUP(F2145,PAR!$R$3:$S$5,2,FALSE)</f>
        <v>3 - egyik sem</v>
      </c>
      <c r="O2145" t="str">
        <f>IFERROR(VLOOKUP(J2145,PAR!$O$3:$P$5,2,FALSE),"nincs feladat")</f>
        <v>nincs feladat</v>
      </c>
      <c r="P2145" t="str">
        <f>IFERROR(VLOOKUP(G2145,PAR!$J$2:$M$19,4),"nincs rovat")</f>
        <v>nincs rovat</v>
      </c>
      <c r="Q2145" t="str">
        <f>IF(H2145&gt;0,VLOOKUP(H2145,PAR!$AA$3:$AC$187,3,FALSE),"nincs főkönyvi számla")</f>
        <v>nincs főkönyvi számla</v>
      </c>
      <c r="R2145" t="str">
        <f>IFERROR(VLOOKUP(K2145,PAR!$V$3:$X$438,3,FALSE),"000000 - Nincs COFOG")</f>
        <v>000000 - Nincs COFOG</v>
      </c>
      <c r="S2145">
        <f t="shared" si="639"/>
        <v>0</v>
      </c>
      <c r="T2145">
        <f t="shared" si="640"/>
        <v>0</v>
      </c>
      <c r="U2145" t="str">
        <f>IF('906MP'!J1845&gt;0,CONCATENATE('906MP'!J1845," - ",'906MP'!P1845,", ",'906MP'!E1845),"nincs megjegyzés")</f>
        <v>nincs megjegyzés</v>
      </c>
      <c r="V2145" t="str">
        <f t="shared" si="627"/>
        <v>0P0</v>
      </c>
      <c r="W2145" t="str">
        <f t="shared" si="628"/>
        <v>0P0</v>
      </c>
      <c r="X2145" t="str">
        <f t="shared" si="629"/>
        <v>P0</v>
      </c>
      <c r="Y2145" t="str">
        <f t="shared" si="630"/>
        <v>00</v>
      </c>
      <c r="Z2145" t="str">
        <f t="shared" si="641"/>
        <v>00</v>
      </c>
      <c r="AA2145" t="str">
        <f t="shared" si="631"/>
        <v>00</v>
      </c>
      <c r="AB2145" t="str">
        <f t="shared" si="632"/>
        <v>00</v>
      </c>
      <c r="AC2145" t="str">
        <f t="shared" si="633"/>
        <v>0P0</v>
      </c>
      <c r="AD2145" t="str">
        <f t="shared" si="634"/>
        <v>P00</v>
      </c>
      <c r="AE2145" t="str">
        <f t="shared" si="635"/>
        <v>0P0</v>
      </c>
      <c r="AF2145" t="str">
        <f t="shared" si="636"/>
        <v>P00</v>
      </c>
      <c r="AG2145" t="str">
        <f t="shared" si="642"/>
        <v>0P00</v>
      </c>
      <c r="AH2145" t="str">
        <f t="shared" si="643"/>
        <v>P000</v>
      </c>
      <c r="AI2145" t="str">
        <f t="shared" si="644"/>
        <v>0P00</v>
      </c>
      <c r="AJ2145" t="str">
        <f t="shared" si="645"/>
        <v>P000</v>
      </c>
    </row>
    <row r="2146" spans="1:36" x14ac:dyDescent="0.25">
      <c r="A2146" s="325" t="str">
        <f>CONCATENATE("P",'906MP'!M1846)</f>
        <v>P</v>
      </c>
      <c r="B2146">
        <f>'906MP'!H1846</f>
        <v>0</v>
      </c>
      <c r="C2146">
        <f>'906MP'!J1846</f>
        <v>0</v>
      </c>
      <c r="D2146">
        <f>'906MP'!P1846</f>
        <v>0</v>
      </c>
      <c r="E2146">
        <f>'906MP'!X1846</f>
        <v>0</v>
      </c>
      <c r="F2146" t="str">
        <f t="shared" si="637"/>
        <v>0</v>
      </c>
      <c r="G2146" t="str">
        <f t="shared" si="638"/>
        <v>0</v>
      </c>
      <c r="H2146">
        <f>'906MP'!Y1846</f>
        <v>0</v>
      </c>
      <c r="I2146">
        <f>'906MP'!AK1846</f>
        <v>0</v>
      </c>
      <c r="J2146">
        <f>'906MP'!T1846</f>
        <v>0</v>
      </c>
      <c r="K2146">
        <f>'906MP'!AJ1846</f>
        <v>0</v>
      </c>
      <c r="L2146">
        <f>'906MP'!U1846</f>
        <v>0</v>
      </c>
      <c r="M2146" s="322" t="str">
        <f>IFERROR(VLOOKUP(A2146,PAR!$D$3:$E$53,2,FALSE),"nincs szervezet")</f>
        <v>nincs szervezet</v>
      </c>
      <c r="N2146" s="322" t="str">
        <f>VLOOKUP(F2146,PAR!$R$3:$S$5,2,FALSE)</f>
        <v>3 - egyik sem</v>
      </c>
      <c r="O2146" t="str">
        <f>IFERROR(VLOOKUP(J2146,PAR!$O$3:$P$5,2,FALSE),"nincs feladat")</f>
        <v>nincs feladat</v>
      </c>
      <c r="P2146" t="str">
        <f>IFERROR(VLOOKUP(G2146,PAR!$J$2:$M$19,4),"nincs rovat")</f>
        <v>nincs rovat</v>
      </c>
      <c r="Q2146" t="str">
        <f>IF(H2146&gt;0,VLOOKUP(H2146,PAR!$AA$3:$AC$187,3,FALSE),"nincs főkönyvi számla")</f>
        <v>nincs főkönyvi számla</v>
      </c>
      <c r="R2146" t="str">
        <f>IFERROR(VLOOKUP(K2146,PAR!$V$3:$X$438,3,FALSE),"000000 - Nincs COFOG")</f>
        <v>000000 - Nincs COFOG</v>
      </c>
      <c r="S2146">
        <f t="shared" si="639"/>
        <v>0</v>
      </c>
      <c r="T2146">
        <f t="shared" si="640"/>
        <v>0</v>
      </c>
      <c r="U2146" t="str">
        <f>IF('906MP'!J1846&gt;0,CONCATENATE('906MP'!J1846," - ",'906MP'!P1846,", ",'906MP'!E1846),"nincs megjegyzés")</f>
        <v>nincs megjegyzés</v>
      </c>
      <c r="V2146" t="str">
        <f t="shared" si="627"/>
        <v>0P0</v>
      </c>
      <c r="W2146" t="str">
        <f t="shared" si="628"/>
        <v>0P0</v>
      </c>
      <c r="X2146" t="str">
        <f t="shared" si="629"/>
        <v>P0</v>
      </c>
      <c r="Y2146" t="str">
        <f t="shared" si="630"/>
        <v>00</v>
      </c>
      <c r="Z2146" t="str">
        <f t="shared" si="641"/>
        <v>00</v>
      </c>
      <c r="AA2146" t="str">
        <f t="shared" si="631"/>
        <v>00</v>
      </c>
      <c r="AB2146" t="str">
        <f t="shared" si="632"/>
        <v>00</v>
      </c>
      <c r="AC2146" t="str">
        <f t="shared" si="633"/>
        <v>0P0</v>
      </c>
      <c r="AD2146" t="str">
        <f t="shared" si="634"/>
        <v>P00</v>
      </c>
      <c r="AE2146" t="str">
        <f t="shared" si="635"/>
        <v>0P0</v>
      </c>
      <c r="AF2146" t="str">
        <f t="shared" si="636"/>
        <v>P00</v>
      </c>
      <c r="AG2146" t="str">
        <f t="shared" si="642"/>
        <v>0P00</v>
      </c>
      <c r="AH2146" t="str">
        <f t="shared" si="643"/>
        <v>P000</v>
      </c>
      <c r="AI2146" t="str">
        <f t="shared" si="644"/>
        <v>0P00</v>
      </c>
      <c r="AJ2146" t="str">
        <f t="shared" si="645"/>
        <v>P000</v>
      </c>
    </row>
    <row r="2147" spans="1:36" x14ac:dyDescent="0.25">
      <c r="A2147" s="325" t="str">
        <f>CONCATENATE("P",'906MP'!M1847)</f>
        <v>P</v>
      </c>
      <c r="B2147">
        <f>'906MP'!H1847</f>
        <v>0</v>
      </c>
      <c r="C2147">
        <f>'906MP'!J1847</f>
        <v>0</v>
      </c>
      <c r="D2147">
        <f>'906MP'!P1847</f>
        <v>0</v>
      </c>
      <c r="E2147">
        <f>'906MP'!X1847</f>
        <v>0</v>
      </c>
      <c r="F2147" t="str">
        <f t="shared" si="637"/>
        <v>0</v>
      </c>
      <c r="G2147" t="str">
        <f t="shared" si="638"/>
        <v>0</v>
      </c>
      <c r="H2147">
        <f>'906MP'!Y1847</f>
        <v>0</v>
      </c>
      <c r="I2147">
        <f>'906MP'!AK1847</f>
        <v>0</v>
      </c>
      <c r="J2147">
        <f>'906MP'!T1847</f>
        <v>0</v>
      </c>
      <c r="K2147">
        <f>'906MP'!AJ1847</f>
        <v>0</v>
      </c>
      <c r="L2147">
        <f>'906MP'!U1847</f>
        <v>0</v>
      </c>
      <c r="M2147" s="322" t="str">
        <f>IFERROR(VLOOKUP(A2147,PAR!$D$3:$E$53,2,FALSE),"nincs szervezet")</f>
        <v>nincs szervezet</v>
      </c>
      <c r="N2147" s="322" t="str">
        <f>VLOOKUP(F2147,PAR!$R$3:$S$5,2,FALSE)</f>
        <v>3 - egyik sem</v>
      </c>
      <c r="O2147" t="str">
        <f>IFERROR(VLOOKUP(J2147,PAR!$O$3:$P$5,2,FALSE),"nincs feladat")</f>
        <v>nincs feladat</v>
      </c>
      <c r="P2147" t="str">
        <f>IFERROR(VLOOKUP(G2147,PAR!$J$2:$M$19,4),"nincs rovat")</f>
        <v>nincs rovat</v>
      </c>
      <c r="Q2147" t="str">
        <f>IF(H2147&gt;0,VLOOKUP(H2147,PAR!$AA$3:$AC$187,3,FALSE),"nincs főkönyvi számla")</f>
        <v>nincs főkönyvi számla</v>
      </c>
      <c r="R2147" t="str">
        <f>IFERROR(VLOOKUP(K2147,PAR!$V$3:$X$438,3,FALSE),"000000 - Nincs COFOG")</f>
        <v>000000 - Nincs COFOG</v>
      </c>
      <c r="S2147">
        <f t="shared" si="639"/>
        <v>0</v>
      </c>
      <c r="T2147">
        <f t="shared" si="640"/>
        <v>0</v>
      </c>
      <c r="U2147" t="str">
        <f>IF('906MP'!J1847&gt;0,CONCATENATE('906MP'!J1847," - ",'906MP'!P1847,", ",'906MP'!E1847),"nincs megjegyzés")</f>
        <v>nincs megjegyzés</v>
      </c>
      <c r="V2147" t="str">
        <f t="shared" si="627"/>
        <v>0P0</v>
      </c>
      <c r="W2147" t="str">
        <f t="shared" si="628"/>
        <v>0P0</v>
      </c>
      <c r="X2147" t="str">
        <f t="shared" si="629"/>
        <v>P0</v>
      </c>
      <c r="Y2147" t="str">
        <f t="shared" si="630"/>
        <v>00</v>
      </c>
      <c r="Z2147" t="str">
        <f t="shared" si="641"/>
        <v>00</v>
      </c>
      <c r="AA2147" t="str">
        <f t="shared" si="631"/>
        <v>00</v>
      </c>
      <c r="AB2147" t="str">
        <f t="shared" si="632"/>
        <v>00</v>
      </c>
      <c r="AC2147" t="str">
        <f t="shared" si="633"/>
        <v>0P0</v>
      </c>
      <c r="AD2147" t="str">
        <f t="shared" si="634"/>
        <v>P00</v>
      </c>
      <c r="AE2147" t="str">
        <f t="shared" si="635"/>
        <v>0P0</v>
      </c>
      <c r="AF2147" t="str">
        <f t="shared" si="636"/>
        <v>P00</v>
      </c>
      <c r="AG2147" t="str">
        <f t="shared" si="642"/>
        <v>0P00</v>
      </c>
      <c r="AH2147" t="str">
        <f t="shared" si="643"/>
        <v>P000</v>
      </c>
      <c r="AI2147" t="str">
        <f t="shared" si="644"/>
        <v>0P00</v>
      </c>
      <c r="AJ2147" t="str">
        <f t="shared" si="645"/>
        <v>P000</v>
      </c>
    </row>
    <row r="2148" spans="1:36" x14ac:dyDescent="0.25">
      <c r="A2148" s="325" t="str">
        <f>CONCATENATE("P",'906MP'!M1848)</f>
        <v>P</v>
      </c>
      <c r="B2148">
        <f>'906MP'!H1848</f>
        <v>0</v>
      </c>
      <c r="C2148">
        <f>'906MP'!J1848</f>
        <v>0</v>
      </c>
      <c r="D2148">
        <f>'906MP'!P1848</f>
        <v>0</v>
      </c>
      <c r="E2148">
        <f>'906MP'!X1848</f>
        <v>0</v>
      </c>
      <c r="F2148" t="str">
        <f t="shared" si="637"/>
        <v>0</v>
      </c>
      <c r="G2148" t="str">
        <f t="shared" si="638"/>
        <v>0</v>
      </c>
      <c r="H2148">
        <f>'906MP'!Y1848</f>
        <v>0</v>
      </c>
      <c r="I2148">
        <f>'906MP'!AK1848</f>
        <v>0</v>
      </c>
      <c r="J2148">
        <f>'906MP'!T1848</f>
        <v>0</v>
      </c>
      <c r="K2148">
        <f>'906MP'!AJ1848</f>
        <v>0</v>
      </c>
      <c r="L2148">
        <f>'906MP'!U1848</f>
        <v>0</v>
      </c>
      <c r="M2148" s="322" t="str">
        <f>IFERROR(VLOOKUP(A2148,PAR!$D$3:$E$53,2,FALSE),"nincs szervezet")</f>
        <v>nincs szervezet</v>
      </c>
      <c r="N2148" s="322" t="str">
        <f>VLOOKUP(F2148,PAR!$R$3:$S$5,2,FALSE)</f>
        <v>3 - egyik sem</v>
      </c>
      <c r="O2148" t="str">
        <f>IFERROR(VLOOKUP(J2148,PAR!$O$3:$P$5,2,FALSE),"nincs feladat")</f>
        <v>nincs feladat</v>
      </c>
      <c r="P2148" t="str">
        <f>IFERROR(VLOOKUP(G2148,PAR!$J$2:$M$19,4),"nincs rovat")</f>
        <v>nincs rovat</v>
      </c>
      <c r="Q2148" t="str">
        <f>IF(H2148&gt;0,VLOOKUP(H2148,PAR!$AA$3:$AC$187,3,FALSE),"nincs főkönyvi számla")</f>
        <v>nincs főkönyvi számla</v>
      </c>
      <c r="R2148" t="str">
        <f>IFERROR(VLOOKUP(K2148,PAR!$V$3:$X$438,3,FALSE),"000000 - Nincs COFOG")</f>
        <v>000000 - Nincs COFOG</v>
      </c>
      <c r="S2148">
        <f t="shared" si="639"/>
        <v>0</v>
      </c>
      <c r="T2148">
        <f t="shared" si="640"/>
        <v>0</v>
      </c>
      <c r="U2148" t="str">
        <f>IF('906MP'!J1848&gt;0,CONCATENATE('906MP'!J1848," - ",'906MP'!P1848,", ",'906MP'!E1848),"nincs megjegyzés")</f>
        <v>nincs megjegyzés</v>
      </c>
      <c r="V2148" t="str">
        <f t="shared" si="627"/>
        <v>0P0</v>
      </c>
      <c r="W2148" t="str">
        <f t="shared" si="628"/>
        <v>0P0</v>
      </c>
      <c r="X2148" t="str">
        <f t="shared" si="629"/>
        <v>P0</v>
      </c>
      <c r="Y2148" t="str">
        <f t="shared" si="630"/>
        <v>00</v>
      </c>
      <c r="Z2148" t="str">
        <f t="shared" si="641"/>
        <v>00</v>
      </c>
      <c r="AA2148" t="str">
        <f t="shared" si="631"/>
        <v>00</v>
      </c>
      <c r="AB2148" t="str">
        <f t="shared" si="632"/>
        <v>00</v>
      </c>
      <c r="AC2148" t="str">
        <f t="shared" si="633"/>
        <v>0P0</v>
      </c>
      <c r="AD2148" t="str">
        <f t="shared" si="634"/>
        <v>P00</v>
      </c>
      <c r="AE2148" t="str">
        <f t="shared" si="635"/>
        <v>0P0</v>
      </c>
      <c r="AF2148" t="str">
        <f t="shared" si="636"/>
        <v>P00</v>
      </c>
      <c r="AG2148" t="str">
        <f t="shared" si="642"/>
        <v>0P00</v>
      </c>
      <c r="AH2148" t="str">
        <f t="shared" si="643"/>
        <v>P000</v>
      </c>
      <c r="AI2148" t="str">
        <f t="shared" si="644"/>
        <v>0P00</v>
      </c>
      <c r="AJ2148" t="str">
        <f t="shared" si="645"/>
        <v>P000</v>
      </c>
    </row>
    <row r="2149" spans="1:36" x14ac:dyDescent="0.25">
      <c r="A2149" s="325" t="str">
        <f>CONCATENATE("P",'906MP'!M1849)</f>
        <v>P</v>
      </c>
      <c r="B2149">
        <f>'906MP'!H1849</f>
        <v>0</v>
      </c>
      <c r="C2149">
        <f>'906MP'!J1849</f>
        <v>0</v>
      </c>
      <c r="D2149">
        <f>'906MP'!P1849</f>
        <v>0</v>
      </c>
      <c r="E2149">
        <f>'906MP'!X1849</f>
        <v>0</v>
      </c>
      <c r="F2149" t="str">
        <f t="shared" si="637"/>
        <v>0</v>
      </c>
      <c r="G2149" t="str">
        <f t="shared" si="638"/>
        <v>0</v>
      </c>
      <c r="H2149">
        <f>'906MP'!Y1849</f>
        <v>0</v>
      </c>
      <c r="I2149">
        <f>'906MP'!AK1849</f>
        <v>0</v>
      </c>
      <c r="J2149">
        <f>'906MP'!T1849</f>
        <v>0</v>
      </c>
      <c r="K2149">
        <f>'906MP'!AJ1849</f>
        <v>0</v>
      </c>
      <c r="L2149">
        <f>'906MP'!U1849</f>
        <v>0</v>
      </c>
      <c r="M2149" s="322" t="str">
        <f>IFERROR(VLOOKUP(A2149,PAR!$D$3:$E$53,2,FALSE),"nincs szervezet")</f>
        <v>nincs szervezet</v>
      </c>
      <c r="N2149" s="322" t="str">
        <f>VLOOKUP(F2149,PAR!$R$3:$S$5,2,FALSE)</f>
        <v>3 - egyik sem</v>
      </c>
      <c r="O2149" t="str">
        <f>IFERROR(VLOOKUP(J2149,PAR!$O$3:$P$5,2,FALSE),"nincs feladat")</f>
        <v>nincs feladat</v>
      </c>
      <c r="P2149" t="str">
        <f>IFERROR(VLOOKUP(G2149,PAR!$J$2:$M$19,4),"nincs rovat")</f>
        <v>nincs rovat</v>
      </c>
      <c r="Q2149" t="str">
        <f>IF(H2149&gt;0,VLOOKUP(H2149,PAR!$AA$3:$AC$187,3,FALSE),"nincs főkönyvi számla")</f>
        <v>nincs főkönyvi számla</v>
      </c>
      <c r="R2149" t="str">
        <f>IFERROR(VLOOKUP(K2149,PAR!$V$3:$X$438,3,FALSE),"000000 - Nincs COFOG")</f>
        <v>000000 - Nincs COFOG</v>
      </c>
      <c r="S2149">
        <f t="shared" si="639"/>
        <v>0</v>
      </c>
      <c r="T2149">
        <f t="shared" si="640"/>
        <v>0</v>
      </c>
      <c r="U2149" t="str">
        <f>IF('906MP'!J1849&gt;0,CONCATENATE('906MP'!J1849," - ",'906MP'!P1849,", ",'906MP'!E1849),"nincs megjegyzés")</f>
        <v>nincs megjegyzés</v>
      </c>
      <c r="V2149" t="str">
        <f t="shared" si="627"/>
        <v>0P0</v>
      </c>
      <c r="W2149" t="str">
        <f t="shared" si="628"/>
        <v>0P0</v>
      </c>
      <c r="X2149" t="str">
        <f t="shared" si="629"/>
        <v>P0</v>
      </c>
      <c r="Y2149" t="str">
        <f t="shared" si="630"/>
        <v>00</v>
      </c>
      <c r="Z2149" t="str">
        <f t="shared" si="641"/>
        <v>00</v>
      </c>
      <c r="AA2149" t="str">
        <f t="shared" si="631"/>
        <v>00</v>
      </c>
      <c r="AB2149" t="str">
        <f t="shared" si="632"/>
        <v>00</v>
      </c>
      <c r="AC2149" t="str">
        <f t="shared" si="633"/>
        <v>0P0</v>
      </c>
      <c r="AD2149" t="str">
        <f t="shared" si="634"/>
        <v>P00</v>
      </c>
      <c r="AE2149" t="str">
        <f t="shared" si="635"/>
        <v>0P0</v>
      </c>
      <c r="AF2149" t="str">
        <f t="shared" si="636"/>
        <v>P00</v>
      </c>
      <c r="AG2149" t="str">
        <f t="shared" si="642"/>
        <v>0P00</v>
      </c>
      <c r="AH2149" t="str">
        <f t="shared" si="643"/>
        <v>P000</v>
      </c>
      <c r="AI2149" t="str">
        <f t="shared" si="644"/>
        <v>0P00</v>
      </c>
      <c r="AJ2149" t="str">
        <f t="shared" si="645"/>
        <v>P000</v>
      </c>
    </row>
    <row r="2150" spans="1:36" x14ac:dyDescent="0.25">
      <c r="A2150" s="325" t="str">
        <f>CONCATENATE("P",'906MP'!M1850)</f>
        <v>P</v>
      </c>
      <c r="B2150">
        <f>'906MP'!H1850</f>
        <v>0</v>
      </c>
      <c r="C2150">
        <f>'906MP'!J1850</f>
        <v>0</v>
      </c>
      <c r="D2150">
        <f>'906MP'!P1850</f>
        <v>0</v>
      </c>
      <c r="E2150">
        <f>'906MP'!X1850</f>
        <v>0</v>
      </c>
      <c r="F2150" t="str">
        <f t="shared" si="637"/>
        <v>0</v>
      </c>
      <c r="G2150" t="str">
        <f t="shared" si="638"/>
        <v>0</v>
      </c>
      <c r="H2150">
        <f>'906MP'!Y1850</f>
        <v>0</v>
      </c>
      <c r="I2150">
        <f>'906MP'!AK1850</f>
        <v>0</v>
      </c>
      <c r="J2150">
        <f>'906MP'!T1850</f>
        <v>0</v>
      </c>
      <c r="K2150">
        <f>'906MP'!AJ1850</f>
        <v>0</v>
      </c>
      <c r="L2150">
        <f>'906MP'!U1850</f>
        <v>0</v>
      </c>
      <c r="M2150" s="322" t="str">
        <f>IFERROR(VLOOKUP(A2150,PAR!$D$3:$E$53,2,FALSE),"nincs szervezet")</f>
        <v>nincs szervezet</v>
      </c>
      <c r="N2150" s="322" t="str">
        <f>VLOOKUP(F2150,PAR!$R$3:$S$5,2,FALSE)</f>
        <v>3 - egyik sem</v>
      </c>
      <c r="O2150" t="str">
        <f>IFERROR(VLOOKUP(J2150,PAR!$O$3:$P$5,2,FALSE),"nincs feladat")</f>
        <v>nincs feladat</v>
      </c>
      <c r="P2150" t="str">
        <f>IFERROR(VLOOKUP(G2150,PAR!$J$2:$M$19,4),"nincs rovat")</f>
        <v>nincs rovat</v>
      </c>
      <c r="Q2150" t="str">
        <f>IF(H2150&gt;0,VLOOKUP(H2150,PAR!$AA$3:$AC$187,3,FALSE),"nincs főkönyvi számla")</f>
        <v>nincs főkönyvi számla</v>
      </c>
      <c r="R2150" t="str">
        <f>IFERROR(VLOOKUP(K2150,PAR!$V$3:$X$438,3,FALSE),"000000 - Nincs COFOG")</f>
        <v>000000 - Nincs COFOG</v>
      </c>
      <c r="S2150">
        <f t="shared" si="639"/>
        <v>0</v>
      </c>
      <c r="T2150">
        <f t="shared" si="640"/>
        <v>0</v>
      </c>
      <c r="U2150" t="str">
        <f>IF('906MP'!J1850&gt;0,CONCATENATE('906MP'!J1850," - ",'906MP'!P1850,", ",'906MP'!E1850),"nincs megjegyzés")</f>
        <v>nincs megjegyzés</v>
      </c>
      <c r="V2150" t="str">
        <f t="shared" si="627"/>
        <v>0P0</v>
      </c>
      <c r="W2150" t="str">
        <f t="shared" si="628"/>
        <v>0P0</v>
      </c>
      <c r="X2150" t="str">
        <f t="shared" si="629"/>
        <v>P0</v>
      </c>
      <c r="Y2150" t="str">
        <f t="shared" si="630"/>
        <v>00</v>
      </c>
      <c r="Z2150" t="str">
        <f t="shared" si="641"/>
        <v>00</v>
      </c>
      <c r="AA2150" t="str">
        <f t="shared" si="631"/>
        <v>00</v>
      </c>
      <c r="AB2150" t="str">
        <f t="shared" si="632"/>
        <v>00</v>
      </c>
      <c r="AC2150" t="str">
        <f t="shared" si="633"/>
        <v>0P0</v>
      </c>
      <c r="AD2150" t="str">
        <f t="shared" si="634"/>
        <v>P00</v>
      </c>
      <c r="AE2150" t="str">
        <f t="shared" si="635"/>
        <v>0P0</v>
      </c>
      <c r="AF2150" t="str">
        <f t="shared" si="636"/>
        <v>P00</v>
      </c>
      <c r="AG2150" t="str">
        <f t="shared" si="642"/>
        <v>0P00</v>
      </c>
      <c r="AH2150" t="str">
        <f t="shared" si="643"/>
        <v>P000</v>
      </c>
      <c r="AI2150" t="str">
        <f t="shared" si="644"/>
        <v>0P00</v>
      </c>
      <c r="AJ2150" t="str">
        <f t="shared" si="645"/>
        <v>P000</v>
      </c>
    </row>
    <row r="2151" spans="1:36" x14ac:dyDescent="0.25">
      <c r="A2151" s="325" t="str">
        <f>CONCATENATE("P",'906MP'!M1851)</f>
        <v>P</v>
      </c>
      <c r="B2151">
        <f>'906MP'!H1851</f>
        <v>0</v>
      </c>
      <c r="C2151">
        <f>'906MP'!J1851</f>
        <v>0</v>
      </c>
      <c r="D2151">
        <f>'906MP'!P1851</f>
        <v>0</v>
      </c>
      <c r="E2151">
        <f>'906MP'!X1851</f>
        <v>0</v>
      </c>
      <c r="F2151" t="str">
        <f t="shared" si="637"/>
        <v>0</v>
      </c>
      <c r="G2151" t="str">
        <f t="shared" si="638"/>
        <v>0</v>
      </c>
      <c r="H2151">
        <f>'906MP'!Y1851</f>
        <v>0</v>
      </c>
      <c r="I2151">
        <f>'906MP'!AK1851</f>
        <v>0</v>
      </c>
      <c r="J2151">
        <f>'906MP'!T1851</f>
        <v>0</v>
      </c>
      <c r="K2151">
        <f>'906MP'!AJ1851</f>
        <v>0</v>
      </c>
      <c r="L2151">
        <f>'906MP'!U1851</f>
        <v>0</v>
      </c>
      <c r="M2151" s="322" t="str">
        <f>IFERROR(VLOOKUP(A2151,PAR!$D$3:$E$53,2,FALSE),"nincs szervezet")</f>
        <v>nincs szervezet</v>
      </c>
      <c r="N2151" s="322" t="str">
        <f>VLOOKUP(F2151,PAR!$R$3:$S$5,2,FALSE)</f>
        <v>3 - egyik sem</v>
      </c>
      <c r="O2151" t="str">
        <f>IFERROR(VLOOKUP(J2151,PAR!$O$3:$P$5,2,FALSE),"nincs feladat")</f>
        <v>nincs feladat</v>
      </c>
      <c r="P2151" t="str">
        <f>IFERROR(VLOOKUP(G2151,PAR!$J$2:$M$19,4),"nincs rovat")</f>
        <v>nincs rovat</v>
      </c>
      <c r="Q2151" t="str">
        <f>IF(H2151&gt;0,VLOOKUP(H2151,PAR!$AA$3:$AC$187,3,FALSE),"nincs főkönyvi számla")</f>
        <v>nincs főkönyvi számla</v>
      </c>
      <c r="R2151" t="str">
        <f>IFERROR(VLOOKUP(K2151,PAR!$V$3:$X$438,3,FALSE),"000000 - Nincs COFOG")</f>
        <v>000000 - Nincs COFOG</v>
      </c>
      <c r="S2151">
        <f t="shared" si="639"/>
        <v>0</v>
      </c>
      <c r="T2151">
        <f t="shared" si="640"/>
        <v>0</v>
      </c>
      <c r="U2151" t="str">
        <f>IF('906MP'!J1851&gt;0,CONCATENATE('906MP'!J1851," - ",'906MP'!P1851,", ",'906MP'!E1851),"nincs megjegyzés")</f>
        <v>nincs megjegyzés</v>
      </c>
      <c r="V2151" t="str">
        <f t="shared" si="627"/>
        <v>0P0</v>
      </c>
      <c r="W2151" t="str">
        <f t="shared" si="628"/>
        <v>0P0</v>
      </c>
      <c r="X2151" t="str">
        <f t="shared" si="629"/>
        <v>P0</v>
      </c>
      <c r="Y2151" t="str">
        <f t="shared" si="630"/>
        <v>00</v>
      </c>
      <c r="Z2151" t="str">
        <f t="shared" si="641"/>
        <v>00</v>
      </c>
      <c r="AA2151" t="str">
        <f t="shared" si="631"/>
        <v>00</v>
      </c>
      <c r="AB2151" t="str">
        <f t="shared" si="632"/>
        <v>00</v>
      </c>
      <c r="AC2151" t="str">
        <f t="shared" si="633"/>
        <v>0P0</v>
      </c>
      <c r="AD2151" t="str">
        <f t="shared" si="634"/>
        <v>P00</v>
      </c>
      <c r="AE2151" t="str">
        <f t="shared" si="635"/>
        <v>0P0</v>
      </c>
      <c r="AF2151" t="str">
        <f t="shared" si="636"/>
        <v>P00</v>
      </c>
      <c r="AG2151" t="str">
        <f t="shared" si="642"/>
        <v>0P00</v>
      </c>
      <c r="AH2151" t="str">
        <f t="shared" si="643"/>
        <v>P000</v>
      </c>
      <c r="AI2151" t="str">
        <f t="shared" si="644"/>
        <v>0P00</v>
      </c>
      <c r="AJ2151" t="str">
        <f t="shared" si="645"/>
        <v>P000</v>
      </c>
    </row>
    <row r="2152" spans="1:36" x14ac:dyDescent="0.25">
      <c r="A2152" s="325" t="str">
        <f>CONCATENATE("P",'906MP'!M1852)</f>
        <v>P</v>
      </c>
      <c r="B2152">
        <f>'906MP'!H1852</f>
        <v>0</v>
      </c>
      <c r="C2152">
        <f>'906MP'!J1852</f>
        <v>0</v>
      </c>
      <c r="D2152">
        <f>'906MP'!P1852</f>
        <v>0</v>
      </c>
      <c r="E2152">
        <f>'906MP'!X1852</f>
        <v>0</v>
      </c>
      <c r="F2152" t="str">
        <f t="shared" si="637"/>
        <v>0</v>
      </c>
      <c r="G2152" t="str">
        <f t="shared" si="638"/>
        <v>0</v>
      </c>
      <c r="H2152">
        <f>'906MP'!Y1852</f>
        <v>0</v>
      </c>
      <c r="I2152">
        <f>'906MP'!AK1852</f>
        <v>0</v>
      </c>
      <c r="J2152">
        <f>'906MP'!T1852</f>
        <v>0</v>
      </c>
      <c r="K2152">
        <f>'906MP'!AJ1852</f>
        <v>0</v>
      </c>
      <c r="L2152">
        <f>'906MP'!U1852</f>
        <v>0</v>
      </c>
      <c r="M2152" s="322" t="str">
        <f>IFERROR(VLOOKUP(A2152,PAR!$D$3:$E$53,2,FALSE),"nincs szervezet")</f>
        <v>nincs szervezet</v>
      </c>
      <c r="N2152" s="322" t="str">
        <f>VLOOKUP(F2152,PAR!$R$3:$S$5,2,FALSE)</f>
        <v>3 - egyik sem</v>
      </c>
      <c r="O2152" t="str">
        <f>IFERROR(VLOOKUP(J2152,PAR!$O$3:$P$5,2,FALSE),"nincs feladat")</f>
        <v>nincs feladat</v>
      </c>
      <c r="P2152" t="str">
        <f>IFERROR(VLOOKUP(G2152,PAR!$J$2:$M$19,4),"nincs rovat")</f>
        <v>nincs rovat</v>
      </c>
      <c r="Q2152" t="str">
        <f>IF(H2152&gt;0,VLOOKUP(H2152,PAR!$AA$3:$AC$187,3,FALSE),"nincs főkönyvi számla")</f>
        <v>nincs főkönyvi számla</v>
      </c>
      <c r="R2152" t="str">
        <f>IFERROR(VLOOKUP(K2152,PAR!$V$3:$X$438,3,FALSE),"000000 - Nincs COFOG")</f>
        <v>000000 - Nincs COFOG</v>
      </c>
      <c r="S2152">
        <f t="shared" si="639"/>
        <v>0</v>
      </c>
      <c r="T2152">
        <f t="shared" si="640"/>
        <v>0</v>
      </c>
      <c r="U2152" t="str">
        <f>IF('906MP'!J1852&gt;0,CONCATENATE('906MP'!J1852," - ",'906MP'!P1852,", ",'906MP'!E1852),"nincs megjegyzés")</f>
        <v>nincs megjegyzés</v>
      </c>
      <c r="V2152" t="str">
        <f t="shared" si="627"/>
        <v>0P0</v>
      </c>
      <c r="W2152" t="str">
        <f t="shared" si="628"/>
        <v>0P0</v>
      </c>
      <c r="X2152" t="str">
        <f t="shared" si="629"/>
        <v>P0</v>
      </c>
      <c r="Y2152" t="str">
        <f t="shared" si="630"/>
        <v>00</v>
      </c>
      <c r="Z2152" t="str">
        <f t="shared" si="641"/>
        <v>00</v>
      </c>
      <c r="AA2152" t="str">
        <f t="shared" si="631"/>
        <v>00</v>
      </c>
      <c r="AB2152" t="str">
        <f t="shared" si="632"/>
        <v>00</v>
      </c>
      <c r="AC2152" t="str">
        <f t="shared" si="633"/>
        <v>0P0</v>
      </c>
      <c r="AD2152" t="str">
        <f t="shared" si="634"/>
        <v>P00</v>
      </c>
      <c r="AE2152" t="str">
        <f t="shared" si="635"/>
        <v>0P0</v>
      </c>
      <c r="AF2152" t="str">
        <f t="shared" si="636"/>
        <v>P00</v>
      </c>
      <c r="AG2152" t="str">
        <f t="shared" si="642"/>
        <v>0P00</v>
      </c>
      <c r="AH2152" t="str">
        <f t="shared" si="643"/>
        <v>P000</v>
      </c>
      <c r="AI2152" t="str">
        <f t="shared" si="644"/>
        <v>0P00</v>
      </c>
      <c r="AJ2152" t="str">
        <f t="shared" si="645"/>
        <v>P000</v>
      </c>
    </row>
    <row r="2153" spans="1:36" x14ac:dyDescent="0.25">
      <c r="A2153" s="325" t="str">
        <f>CONCATENATE("P",'906MP'!M1853)</f>
        <v>P</v>
      </c>
      <c r="B2153">
        <f>'906MP'!H1853</f>
        <v>0</v>
      </c>
      <c r="C2153">
        <f>'906MP'!J1853</f>
        <v>0</v>
      </c>
      <c r="D2153">
        <f>'906MP'!P1853</f>
        <v>0</v>
      </c>
      <c r="E2153">
        <f>'906MP'!X1853</f>
        <v>0</v>
      </c>
      <c r="F2153" t="str">
        <f t="shared" si="637"/>
        <v>0</v>
      </c>
      <c r="G2153" t="str">
        <f t="shared" si="638"/>
        <v>0</v>
      </c>
      <c r="H2153">
        <f>'906MP'!Y1853</f>
        <v>0</v>
      </c>
      <c r="I2153">
        <f>'906MP'!AK1853</f>
        <v>0</v>
      </c>
      <c r="J2153">
        <f>'906MP'!T1853</f>
        <v>0</v>
      </c>
      <c r="K2153">
        <f>'906MP'!AJ1853</f>
        <v>0</v>
      </c>
      <c r="L2153">
        <f>'906MP'!U1853</f>
        <v>0</v>
      </c>
      <c r="M2153" s="322" t="str">
        <f>IFERROR(VLOOKUP(A2153,PAR!$D$3:$E$53,2,FALSE),"nincs szervezet")</f>
        <v>nincs szervezet</v>
      </c>
      <c r="N2153" s="322" t="str">
        <f>VLOOKUP(F2153,PAR!$R$3:$S$5,2,FALSE)</f>
        <v>3 - egyik sem</v>
      </c>
      <c r="O2153" t="str">
        <f>IFERROR(VLOOKUP(J2153,PAR!$O$3:$P$5,2,FALSE),"nincs feladat")</f>
        <v>nincs feladat</v>
      </c>
      <c r="P2153" t="str">
        <f>IFERROR(VLOOKUP(G2153,PAR!$J$2:$M$19,4),"nincs rovat")</f>
        <v>nincs rovat</v>
      </c>
      <c r="Q2153" t="str">
        <f>IF(H2153&gt;0,VLOOKUP(H2153,PAR!$AA$3:$AC$187,3,FALSE),"nincs főkönyvi számla")</f>
        <v>nincs főkönyvi számla</v>
      </c>
      <c r="R2153" t="str">
        <f>IFERROR(VLOOKUP(K2153,PAR!$V$3:$X$438,3,FALSE),"000000 - Nincs COFOG")</f>
        <v>000000 - Nincs COFOG</v>
      </c>
      <c r="S2153">
        <f t="shared" si="639"/>
        <v>0</v>
      </c>
      <c r="T2153">
        <f t="shared" si="640"/>
        <v>0</v>
      </c>
      <c r="U2153" t="str">
        <f>IF('906MP'!J1853&gt;0,CONCATENATE('906MP'!J1853," - ",'906MP'!P1853,", ",'906MP'!E1853),"nincs megjegyzés")</f>
        <v>nincs megjegyzés</v>
      </c>
      <c r="V2153" t="str">
        <f t="shared" si="627"/>
        <v>0P0</v>
      </c>
      <c r="W2153" t="str">
        <f t="shared" si="628"/>
        <v>0P0</v>
      </c>
      <c r="X2153" t="str">
        <f t="shared" si="629"/>
        <v>P0</v>
      </c>
      <c r="Y2153" t="str">
        <f t="shared" si="630"/>
        <v>00</v>
      </c>
      <c r="Z2153" t="str">
        <f t="shared" si="641"/>
        <v>00</v>
      </c>
      <c r="AA2153" t="str">
        <f t="shared" si="631"/>
        <v>00</v>
      </c>
      <c r="AB2153" t="str">
        <f t="shared" si="632"/>
        <v>00</v>
      </c>
      <c r="AC2153" t="str">
        <f t="shared" si="633"/>
        <v>0P0</v>
      </c>
      <c r="AD2153" t="str">
        <f t="shared" si="634"/>
        <v>P00</v>
      </c>
      <c r="AE2153" t="str">
        <f t="shared" si="635"/>
        <v>0P0</v>
      </c>
      <c r="AF2153" t="str">
        <f t="shared" si="636"/>
        <v>P00</v>
      </c>
      <c r="AG2153" t="str">
        <f t="shared" si="642"/>
        <v>0P00</v>
      </c>
      <c r="AH2153" t="str">
        <f t="shared" si="643"/>
        <v>P000</v>
      </c>
      <c r="AI2153" t="str">
        <f t="shared" si="644"/>
        <v>0P00</v>
      </c>
      <c r="AJ2153" t="str">
        <f t="shared" si="645"/>
        <v>P000</v>
      </c>
    </row>
    <row r="2154" spans="1:36" x14ac:dyDescent="0.25">
      <c r="A2154" s="325" t="str">
        <f>CONCATENATE("P",'906MP'!M1854)</f>
        <v>P</v>
      </c>
      <c r="B2154">
        <f>'906MP'!H1854</f>
        <v>0</v>
      </c>
      <c r="C2154">
        <f>'906MP'!J1854</f>
        <v>0</v>
      </c>
      <c r="D2154">
        <f>'906MP'!P1854</f>
        <v>0</v>
      </c>
      <c r="E2154">
        <f>'906MP'!X1854</f>
        <v>0</v>
      </c>
      <c r="F2154" t="str">
        <f t="shared" si="637"/>
        <v>0</v>
      </c>
      <c r="G2154" t="str">
        <f t="shared" si="638"/>
        <v>0</v>
      </c>
      <c r="H2154">
        <f>'906MP'!Y1854</f>
        <v>0</v>
      </c>
      <c r="I2154">
        <f>'906MP'!AK1854</f>
        <v>0</v>
      </c>
      <c r="J2154">
        <f>'906MP'!T1854</f>
        <v>0</v>
      </c>
      <c r="K2154">
        <f>'906MP'!AJ1854</f>
        <v>0</v>
      </c>
      <c r="L2154">
        <f>'906MP'!U1854</f>
        <v>0</v>
      </c>
      <c r="M2154" s="322" t="str">
        <f>IFERROR(VLOOKUP(A2154,PAR!$D$3:$E$53,2,FALSE),"nincs szervezet")</f>
        <v>nincs szervezet</v>
      </c>
      <c r="N2154" s="322" t="str">
        <f>VLOOKUP(F2154,PAR!$R$3:$S$5,2,FALSE)</f>
        <v>3 - egyik sem</v>
      </c>
      <c r="O2154" t="str">
        <f>IFERROR(VLOOKUP(J2154,PAR!$O$3:$P$5,2,FALSE),"nincs feladat")</f>
        <v>nincs feladat</v>
      </c>
      <c r="P2154" t="str">
        <f>IFERROR(VLOOKUP(G2154,PAR!$J$2:$M$19,4),"nincs rovat")</f>
        <v>nincs rovat</v>
      </c>
      <c r="Q2154" t="str">
        <f>IF(H2154&gt;0,VLOOKUP(H2154,PAR!$AA$3:$AC$187,3,FALSE),"nincs főkönyvi számla")</f>
        <v>nincs főkönyvi számla</v>
      </c>
      <c r="R2154" t="str">
        <f>IFERROR(VLOOKUP(K2154,PAR!$V$3:$X$438,3,FALSE),"000000 - Nincs COFOG")</f>
        <v>000000 - Nincs COFOG</v>
      </c>
      <c r="S2154">
        <f t="shared" si="639"/>
        <v>0</v>
      </c>
      <c r="T2154">
        <f t="shared" si="640"/>
        <v>0</v>
      </c>
      <c r="U2154" t="str">
        <f>IF('906MP'!J1854&gt;0,CONCATENATE('906MP'!J1854," - ",'906MP'!P1854,", ",'906MP'!E1854),"nincs megjegyzés")</f>
        <v>nincs megjegyzés</v>
      </c>
      <c r="V2154" t="str">
        <f t="shared" si="627"/>
        <v>0P0</v>
      </c>
      <c r="W2154" t="str">
        <f t="shared" si="628"/>
        <v>0P0</v>
      </c>
      <c r="X2154" t="str">
        <f t="shared" si="629"/>
        <v>P0</v>
      </c>
      <c r="Y2154" t="str">
        <f t="shared" si="630"/>
        <v>00</v>
      </c>
      <c r="Z2154" t="str">
        <f t="shared" si="641"/>
        <v>00</v>
      </c>
      <c r="AA2154" t="str">
        <f t="shared" si="631"/>
        <v>00</v>
      </c>
      <c r="AB2154" t="str">
        <f t="shared" si="632"/>
        <v>00</v>
      </c>
      <c r="AC2154" t="str">
        <f t="shared" si="633"/>
        <v>0P0</v>
      </c>
      <c r="AD2154" t="str">
        <f t="shared" si="634"/>
        <v>P00</v>
      </c>
      <c r="AE2154" t="str">
        <f t="shared" si="635"/>
        <v>0P0</v>
      </c>
      <c r="AF2154" t="str">
        <f t="shared" si="636"/>
        <v>P00</v>
      </c>
      <c r="AG2154" t="str">
        <f t="shared" si="642"/>
        <v>0P00</v>
      </c>
      <c r="AH2154" t="str">
        <f t="shared" si="643"/>
        <v>P000</v>
      </c>
      <c r="AI2154" t="str">
        <f t="shared" si="644"/>
        <v>0P00</v>
      </c>
      <c r="AJ2154" t="str">
        <f t="shared" si="645"/>
        <v>P000</v>
      </c>
    </row>
    <row r="2155" spans="1:36" x14ac:dyDescent="0.25">
      <c r="A2155" s="325" t="str">
        <f>CONCATENATE("P",'906MP'!M1855)</f>
        <v>P</v>
      </c>
      <c r="B2155">
        <f>'906MP'!H1855</f>
        <v>0</v>
      </c>
      <c r="C2155">
        <f>'906MP'!J1855</f>
        <v>0</v>
      </c>
      <c r="D2155">
        <f>'906MP'!P1855</f>
        <v>0</v>
      </c>
      <c r="E2155">
        <f>'906MP'!X1855</f>
        <v>0</v>
      </c>
      <c r="F2155" t="str">
        <f t="shared" si="637"/>
        <v>0</v>
      </c>
      <c r="G2155" t="str">
        <f t="shared" si="638"/>
        <v>0</v>
      </c>
      <c r="H2155">
        <f>'906MP'!Y1855</f>
        <v>0</v>
      </c>
      <c r="I2155">
        <f>'906MP'!AK1855</f>
        <v>0</v>
      </c>
      <c r="J2155">
        <f>'906MP'!T1855</f>
        <v>0</v>
      </c>
      <c r="K2155">
        <f>'906MP'!AJ1855</f>
        <v>0</v>
      </c>
      <c r="L2155">
        <f>'906MP'!U1855</f>
        <v>0</v>
      </c>
      <c r="M2155" s="322" t="str">
        <f>IFERROR(VLOOKUP(A2155,PAR!$D$3:$E$53,2,FALSE),"nincs szervezet")</f>
        <v>nincs szervezet</v>
      </c>
      <c r="N2155" s="322" t="str">
        <f>VLOOKUP(F2155,PAR!$R$3:$S$5,2,FALSE)</f>
        <v>3 - egyik sem</v>
      </c>
      <c r="O2155" t="str">
        <f>IFERROR(VLOOKUP(J2155,PAR!$O$3:$P$5,2,FALSE),"nincs feladat")</f>
        <v>nincs feladat</v>
      </c>
      <c r="P2155" t="str">
        <f>IFERROR(VLOOKUP(G2155,PAR!$J$2:$M$19,4),"nincs rovat")</f>
        <v>nincs rovat</v>
      </c>
      <c r="Q2155" t="str">
        <f>IF(H2155&gt;0,VLOOKUP(H2155,PAR!$AA$3:$AC$187,3,FALSE),"nincs főkönyvi számla")</f>
        <v>nincs főkönyvi számla</v>
      </c>
      <c r="R2155" t="str">
        <f>IFERROR(VLOOKUP(K2155,PAR!$V$3:$X$438,3,FALSE),"000000 - Nincs COFOG")</f>
        <v>000000 - Nincs COFOG</v>
      </c>
      <c r="S2155">
        <f t="shared" si="639"/>
        <v>0</v>
      </c>
      <c r="T2155">
        <f t="shared" si="640"/>
        <v>0</v>
      </c>
      <c r="U2155" t="str">
        <f>IF('906MP'!J1855&gt;0,CONCATENATE('906MP'!J1855," - ",'906MP'!P1855,", ",'906MP'!E1855),"nincs megjegyzés")</f>
        <v>nincs megjegyzés</v>
      </c>
      <c r="V2155" t="str">
        <f t="shared" si="627"/>
        <v>0P0</v>
      </c>
      <c r="W2155" t="str">
        <f t="shared" si="628"/>
        <v>0P0</v>
      </c>
      <c r="X2155" t="str">
        <f t="shared" si="629"/>
        <v>P0</v>
      </c>
      <c r="Y2155" t="str">
        <f t="shared" si="630"/>
        <v>00</v>
      </c>
      <c r="Z2155" t="str">
        <f t="shared" si="641"/>
        <v>00</v>
      </c>
      <c r="AA2155" t="str">
        <f t="shared" si="631"/>
        <v>00</v>
      </c>
      <c r="AB2155" t="str">
        <f t="shared" si="632"/>
        <v>00</v>
      </c>
      <c r="AC2155" t="str">
        <f t="shared" si="633"/>
        <v>0P0</v>
      </c>
      <c r="AD2155" t="str">
        <f t="shared" si="634"/>
        <v>P00</v>
      </c>
      <c r="AE2155" t="str">
        <f t="shared" si="635"/>
        <v>0P0</v>
      </c>
      <c r="AF2155" t="str">
        <f t="shared" si="636"/>
        <v>P00</v>
      </c>
      <c r="AG2155" t="str">
        <f t="shared" si="642"/>
        <v>0P00</v>
      </c>
      <c r="AH2155" t="str">
        <f t="shared" si="643"/>
        <v>P000</v>
      </c>
      <c r="AI2155" t="str">
        <f t="shared" si="644"/>
        <v>0P00</v>
      </c>
      <c r="AJ2155" t="str">
        <f t="shared" si="645"/>
        <v>P000</v>
      </c>
    </row>
    <row r="2156" spans="1:36" x14ac:dyDescent="0.25">
      <c r="A2156" s="325" t="str">
        <f>CONCATENATE("P",'906MP'!M1856)</f>
        <v>P</v>
      </c>
      <c r="B2156">
        <f>'906MP'!H1856</f>
        <v>0</v>
      </c>
      <c r="C2156">
        <f>'906MP'!J1856</f>
        <v>0</v>
      </c>
      <c r="D2156">
        <f>'906MP'!P1856</f>
        <v>0</v>
      </c>
      <c r="E2156">
        <f>'906MP'!X1856</f>
        <v>0</v>
      </c>
      <c r="F2156" t="str">
        <f t="shared" si="637"/>
        <v>0</v>
      </c>
      <c r="G2156" t="str">
        <f t="shared" si="638"/>
        <v>0</v>
      </c>
      <c r="H2156">
        <f>'906MP'!Y1856</f>
        <v>0</v>
      </c>
      <c r="I2156">
        <f>'906MP'!AK1856</f>
        <v>0</v>
      </c>
      <c r="J2156">
        <f>'906MP'!T1856</f>
        <v>0</v>
      </c>
      <c r="K2156">
        <f>'906MP'!AJ1856</f>
        <v>0</v>
      </c>
      <c r="L2156">
        <f>'906MP'!U1856</f>
        <v>0</v>
      </c>
      <c r="M2156" s="322" t="str">
        <f>IFERROR(VLOOKUP(A2156,PAR!$D$3:$E$53,2,FALSE),"nincs szervezet")</f>
        <v>nincs szervezet</v>
      </c>
      <c r="N2156" s="322" t="str">
        <f>VLOOKUP(F2156,PAR!$R$3:$S$5,2,FALSE)</f>
        <v>3 - egyik sem</v>
      </c>
      <c r="O2156" t="str">
        <f>IFERROR(VLOOKUP(J2156,PAR!$O$3:$P$5,2,FALSE),"nincs feladat")</f>
        <v>nincs feladat</v>
      </c>
      <c r="P2156" t="str">
        <f>IFERROR(VLOOKUP(G2156,PAR!$J$2:$M$19,4),"nincs rovat")</f>
        <v>nincs rovat</v>
      </c>
      <c r="Q2156" t="str">
        <f>IF(H2156&gt;0,VLOOKUP(H2156,PAR!$AA$3:$AC$187,3,FALSE),"nincs főkönyvi számla")</f>
        <v>nincs főkönyvi számla</v>
      </c>
      <c r="R2156" t="str">
        <f>IFERROR(VLOOKUP(K2156,PAR!$V$3:$X$438,3,FALSE),"000000 - Nincs COFOG")</f>
        <v>000000 - Nincs COFOG</v>
      </c>
      <c r="S2156">
        <f t="shared" si="639"/>
        <v>0</v>
      </c>
      <c r="T2156">
        <f t="shared" si="640"/>
        <v>0</v>
      </c>
      <c r="U2156" t="str">
        <f>IF('906MP'!J1856&gt;0,CONCATENATE('906MP'!J1856," - ",'906MP'!P1856,", ",'906MP'!E1856),"nincs megjegyzés")</f>
        <v>nincs megjegyzés</v>
      </c>
      <c r="V2156" t="str">
        <f t="shared" si="627"/>
        <v>0P0</v>
      </c>
      <c r="W2156" t="str">
        <f t="shared" si="628"/>
        <v>0P0</v>
      </c>
      <c r="X2156" t="str">
        <f t="shared" si="629"/>
        <v>P0</v>
      </c>
      <c r="Y2156" t="str">
        <f t="shared" si="630"/>
        <v>00</v>
      </c>
      <c r="Z2156" t="str">
        <f t="shared" si="641"/>
        <v>00</v>
      </c>
      <c r="AA2156" t="str">
        <f t="shared" si="631"/>
        <v>00</v>
      </c>
      <c r="AB2156" t="str">
        <f t="shared" si="632"/>
        <v>00</v>
      </c>
      <c r="AC2156" t="str">
        <f t="shared" si="633"/>
        <v>0P0</v>
      </c>
      <c r="AD2156" t="str">
        <f t="shared" si="634"/>
        <v>P00</v>
      </c>
      <c r="AE2156" t="str">
        <f t="shared" si="635"/>
        <v>0P0</v>
      </c>
      <c r="AF2156" t="str">
        <f t="shared" si="636"/>
        <v>P00</v>
      </c>
      <c r="AG2156" t="str">
        <f t="shared" si="642"/>
        <v>0P00</v>
      </c>
      <c r="AH2156" t="str">
        <f t="shared" si="643"/>
        <v>P000</v>
      </c>
      <c r="AI2156" t="str">
        <f t="shared" si="644"/>
        <v>0P00</v>
      </c>
      <c r="AJ2156" t="str">
        <f t="shared" si="645"/>
        <v>P000</v>
      </c>
    </row>
    <row r="2157" spans="1:36" x14ac:dyDescent="0.25">
      <c r="A2157" s="325" t="str">
        <f>CONCATENATE("P",'906MP'!M1857)</f>
        <v>P</v>
      </c>
      <c r="B2157">
        <f>'906MP'!H1857</f>
        <v>0</v>
      </c>
      <c r="C2157">
        <f>'906MP'!J1857</f>
        <v>0</v>
      </c>
      <c r="D2157">
        <f>'906MP'!P1857</f>
        <v>0</v>
      </c>
      <c r="E2157">
        <f>'906MP'!X1857</f>
        <v>0</v>
      </c>
      <c r="F2157" t="str">
        <f t="shared" si="637"/>
        <v>0</v>
      </c>
      <c r="G2157" t="str">
        <f t="shared" si="638"/>
        <v>0</v>
      </c>
      <c r="H2157">
        <f>'906MP'!Y1857</f>
        <v>0</v>
      </c>
      <c r="I2157">
        <f>'906MP'!AK1857</f>
        <v>0</v>
      </c>
      <c r="J2157">
        <f>'906MP'!T1857</f>
        <v>0</v>
      </c>
      <c r="K2157">
        <f>'906MP'!AJ1857</f>
        <v>0</v>
      </c>
      <c r="L2157">
        <f>'906MP'!U1857</f>
        <v>0</v>
      </c>
      <c r="M2157" s="322" t="str">
        <f>IFERROR(VLOOKUP(A2157,PAR!$D$3:$E$53,2,FALSE),"nincs szervezet")</f>
        <v>nincs szervezet</v>
      </c>
      <c r="N2157" s="322" t="str">
        <f>VLOOKUP(F2157,PAR!$R$3:$S$5,2,FALSE)</f>
        <v>3 - egyik sem</v>
      </c>
      <c r="O2157" t="str">
        <f>IFERROR(VLOOKUP(J2157,PAR!$O$3:$P$5,2,FALSE),"nincs feladat")</f>
        <v>nincs feladat</v>
      </c>
      <c r="P2157" t="str">
        <f>IFERROR(VLOOKUP(G2157,PAR!$J$2:$M$19,4),"nincs rovat")</f>
        <v>nincs rovat</v>
      </c>
      <c r="Q2157" t="str">
        <f>IF(H2157&gt;0,VLOOKUP(H2157,PAR!$AA$3:$AC$187,3,FALSE),"nincs főkönyvi számla")</f>
        <v>nincs főkönyvi számla</v>
      </c>
      <c r="R2157" t="str">
        <f>IFERROR(VLOOKUP(K2157,PAR!$V$3:$X$438,3,FALSE),"000000 - Nincs COFOG")</f>
        <v>000000 - Nincs COFOG</v>
      </c>
      <c r="S2157">
        <f t="shared" si="639"/>
        <v>0</v>
      </c>
      <c r="T2157">
        <f t="shared" si="640"/>
        <v>0</v>
      </c>
      <c r="U2157" t="str">
        <f>IF('906MP'!J1857&gt;0,CONCATENATE('906MP'!J1857," - ",'906MP'!P1857,", ",'906MP'!E1857),"nincs megjegyzés")</f>
        <v>nincs megjegyzés</v>
      </c>
      <c r="V2157" t="str">
        <f t="shared" si="627"/>
        <v>0P0</v>
      </c>
      <c r="W2157" t="str">
        <f t="shared" si="628"/>
        <v>0P0</v>
      </c>
      <c r="X2157" t="str">
        <f t="shared" si="629"/>
        <v>P0</v>
      </c>
      <c r="Y2157" t="str">
        <f t="shared" si="630"/>
        <v>00</v>
      </c>
      <c r="Z2157" t="str">
        <f t="shared" si="641"/>
        <v>00</v>
      </c>
      <c r="AA2157" t="str">
        <f t="shared" si="631"/>
        <v>00</v>
      </c>
      <c r="AB2157" t="str">
        <f t="shared" si="632"/>
        <v>00</v>
      </c>
      <c r="AC2157" t="str">
        <f t="shared" si="633"/>
        <v>0P0</v>
      </c>
      <c r="AD2157" t="str">
        <f t="shared" si="634"/>
        <v>P00</v>
      </c>
      <c r="AE2157" t="str">
        <f t="shared" si="635"/>
        <v>0P0</v>
      </c>
      <c r="AF2157" t="str">
        <f t="shared" si="636"/>
        <v>P00</v>
      </c>
      <c r="AG2157" t="str">
        <f t="shared" si="642"/>
        <v>0P00</v>
      </c>
      <c r="AH2157" t="str">
        <f t="shared" si="643"/>
        <v>P000</v>
      </c>
      <c r="AI2157" t="str">
        <f t="shared" si="644"/>
        <v>0P00</v>
      </c>
      <c r="AJ2157" t="str">
        <f t="shared" si="645"/>
        <v>P000</v>
      </c>
    </row>
    <row r="2158" spans="1:36" x14ac:dyDescent="0.25">
      <c r="A2158" s="325" t="str">
        <f>CONCATENATE("P",'906MP'!M1858)</f>
        <v>P</v>
      </c>
      <c r="B2158">
        <f>'906MP'!H1858</f>
        <v>0</v>
      </c>
      <c r="C2158">
        <f>'906MP'!J1858</f>
        <v>0</v>
      </c>
      <c r="D2158">
        <f>'906MP'!P1858</f>
        <v>0</v>
      </c>
      <c r="E2158">
        <f>'906MP'!X1858</f>
        <v>0</v>
      </c>
      <c r="F2158" t="str">
        <f t="shared" si="637"/>
        <v>0</v>
      </c>
      <c r="G2158" t="str">
        <f t="shared" si="638"/>
        <v>0</v>
      </c>
      <c r="H2158">
        <f>'906MP'!Y1858</f>
        <v>0</v>
      </c>
      <c r="I2158">
        <f>'906MP'!AK1858</f>
        <v>0</v>
      </c>
      <c r="J2158">
        <f>'906MP'!T1858</f>
        <v>0</v>
      </c>
      <c r="K2158">
        <f>'906MP'!AJ1858</f>
        <v>0</v>
      </c>
      <c r="L2158">
        <f>'906MP'!U1858</f>
        <v>0</v>
      </c>
      <c r="M2158" s="322" t="str">
        <f>IFERROR(VLOOKUP(A2158,PAR!$D$3:$E$53,2,FALSE),"nincs szervezet")</f>
        <v>nincs szervezet</v>
      </c>
      <c r="N2158" s="322" t="str">
        <f>VLOOKUP(F2158,PAR!$R$3:$S$5,2,FALSE)</f>
        <v>3 - egyik sem</v>
      </c>
      <c r="O2158" t="str">
        <f>IFERROR(VLOOKUP(J2158,PAR!$O$3:$P$5,2,FALSE),"nincs feladat")</f>
        <v>nincs feladat</v>
      </c>
      <c r="P2158" t="str">
        <f>IFERROR(VLOOKUP(G2158,PAR!$J$2:$M$19,4),"nincs rovat")</f>
        <v>nincs rovat</v>
      </c>
      <c r="Q2158" t="str">
        <f>IF(H2158&gt;0,VLOOKUP(H2158,PAR!$AA$3:$AC$187,3,FALSE),"nincs főkönyvi számla")</f>
        <v>nincs főkönyvi számla</v>
      </c>
      <c r="R2158" t="str">
        <f>IFERROR(VLOOKUP(K2158,PAR!$V$3:$X$438,3,FALSE),"000000 - Nincs COFOG")</f>
        <v>000000 - Nincs COFOG</v>
      </c>
      <c r="S2158">
        <f t="shared" si="639"/>
        <v>0</v>
      </c>
      <c r="T2158">
        <f t="shared" si="640"/>
        <v>0</v>
      </c>
      <c r="U2158" t="str">
        <f>IF('906MP'!J1858&gt;0,CONCATENATE('906MP'!J1858," - ",'906MP'!P1858,", ",'906MP'!E1858),"nincs megjegyzés")</f>
        <v>nincs megjegyzés</v>
      </c>
      <c r="V2158" t="str">
        <f t="shared" si="627"/>
        <v>0P0</v>
      </c>
      <c r="W2158" t="str">
        <f t="shared" si="628"/>
        <v>0P0</v>
      </c>
      <c r="X2158" t="str">
        <f t="shared" si="629"/>
        <v>P0</v>
      </c>
      <c r="Y2158" t="str">
        <f t="shared" si="630"/>
        <v>00</v>
      </c>
      <c r="Z2158" t="str">
        <f t="shared" si="641"/>
        <v>00</v>
      </c>
      <c r="AA2158" t="str">
        <f t="shared" si="631"/>
        <v>00</v>
      </c>
      <c r="AB2158" t="str">
        <f t="shared" si="632"/>
        <v>00</v>
      </c>
      <c r="AC2158" t="str">
        <f t="shared" si="633"/>
        <v>0P0</v>
      </c>
      <c r="AD2158" t="str">
        <f t="shared" si="634"/>
        <v>P00</v>
      </c>
      <c r="AE2158" t="str">
        <f t="shared" si="635"/>
        <v>0P0</v>
      </c>
      <c r="AF2158" t="str">
        <f t="shared" si="636"/>
        <v>P00</v>
      </c>
      <c r="AG2158" t="str">
        <f t="shared" si="642"/>
        <v>0P00</v>
      </c>
      <c r="AH2158" t="str">
        <f t="shared" si="643"/>
        <v>P000</v>
      </c>
      <c r="AI2158" t="str">
        <f t="shared" si="644"/>
        <v>0P00</v>
      </c>
      <c r="AJ2158" t="str">
        <f t="shared" si="645"/>
        <v>P000</v>
      </c>
    </row>
    <row r="2159" spans="1:36" x14ac:dyDescent="0.25">
      <c r="A2159" s="325" t="str">
        <f>CONCATENATE("P",'906MP'!M1859)</f>
        <v>P</v>
      </c>
      <c r="B2159">
        <f>'906MP'!H1859</f>
        <v>0</v>
      </c>
      <c r="C2159">
        <f>'906MP'!J1859</f>
        <v>0</v>
      </c>
      <c r="D2159">
        <f>'906MP'!P1859</f>
        <v>0</v>
      </c>
      <c r="E2159">
        <f>'906MP'!X1859</f>
        <v>0</v>
      </c>
      <c r="F2159" t="str">
        <f t="shared" si="637"/>
        <v>0</v>
      </c>
      <c r="G2159" t="str">
        <f t="shared" si="638"/>
        <v>0</v>
      </c>
      <c r="H2159">
        <f>'906MP'!Y1859</f>
        <v>0</v>
      </c>
      <c r="I2159">
        <f>'906MP'!AK1859</f>
        <v>0</v>
      </c>
      <c r="J2159">
        <f>'906MP'!T1859</f>
        <v>0</v>
      </c>
      <c r="K2159">
        <f>'906MP'!AJ1859</f>
        <v>0</v>
      </c>
      <c r="L2159">
        <f>'906MP'!U1859</f>
        <v>0</v>
      </c>
      <c r="M2159" s="322" t="str">
        <f>IFERROR(VLOOKUP(A2159,PAR!$D$3:$E$53,2,FALSE),"nincs szervezet")</f>
        <v>nincs szervezet</v>
      </c>
      <c r="N2159" s="322" t="str">
        <f>VLOOKUP(F2159,PAR!$R$3:$S$5,2,FALSE)</f>
        <v>3 - egyik sem</v>
      </c>
      <c r="O2159" t="str">
        <f>IFERROR(VLOOKUP(J2159,PAR!$O$3:$P$5,2,FALSE),"nincs feladat")</f>
        <v>nincs feladat</v>
      </c>
      <c r="P2159" t="str">
        <f>IFERROR(VLOOKUP(G2159,PAR!$J$2:$M$19,4),"nincs rovat")</f>
        <v>nincs rovat</v>
      </c>
      <c r="Q2159" t="str">
        <f>IF(H2159&gt;0,VLOOKUP(H2159,PAR!$AA$3:$AC$187,3,FALSE),"nincs főkönyvi számla")</f>
        <v>nincs főkönyvi számla</v>
      </c>
      <c r="R2159" t="str">
        <f>IFERROR(VLOOKUP(K2159,PAR!$V$3:$X$438,3,FALSE),"000000 - Nincs COFOG")</f>
        <v>000000 - Nincs COFOG</v>
      </c>
      <c r="S2159">
        <f t="shared" si="639"/>
        <v>0</v>
      </c>
      <c r="T2159">
        <f t="shared" si="640"/>
        <v>0</v>
      </c>
      <c r="U2159" t="str">
        <f>IF('906MP'!J1859&gt;0,CONCATENATE('906MP'!J1859," - ",'906MP'!P1859,", ",'906MP'!E1859),"nincs megjegyzés")</f>
        <v>nincs megjegyzés</v>
      </c>
      <c r="V2159" t="str">
        <f t="shared" si="627"/>
        <v>0P0</v>
      </c>
      <c r="W2159" t="str">
        <f t="shared" si="628"/>
        <v>0P0</v>
      </c>
      <c r="X2159" t="str">
        <f t="shared" si="629"/>
        <v>P0</v>
      </c>
      <c r="Y2159" t="str">
        <f t="shared" si="630"/>
        <v>00</v>
      </c>
      <c r="Z2159" t="str">
        <f t="shared" si="641"/>
        <v>00</v>
      </c>
      <c r="AA2159" t="str">
        <f t="shared" si="631"/>
        <v>00</v>
      </c>
      <c r="AB2159" t="str">
        <f t="shared" si="632"/>
        <v>00</v>
      </c>
      <c r="AC2159" t="str">
        <f t="shared" si="633"/>
        <v>0P0</v>
      </c>
      <c r="AD2159" t="str">
        <f t="shared" si="634"/>
        <v>P00</v>
      </c>
      <c r="AE2159" t="str">
        <f t="shared" si="635"/>
        <v>0P0</v>
      </c>
      <c r="AF2159" t="str">
        <f t="shared" si="636"/>
        <v>P00</v>
      </c>
      <c r="AG2159" t="str">
        <f t="shared" si="642"/>
        <v>0P00</v>
      </c>
      <c r="AH2159" t="str">
        <f t="shared" si="643"/>
        <v>P000</v>
      </c>
      <c r="AI2159" t="str">
        <f t="shared" si="644"/>
        <v>0P00</v>
      </c>
      <c r="AJ2159" t="str">
        <f t="shared" si="645"/>
        <v>P000</v>
      </c>
    </row>
    <row r="2160" spans="1:36" x14ac:dyDescent="0.25">
      <c r="A2160" s="325" t="str">
        <f>CONCATENATE("P",'906MP'!M1860)</f>
        <v>P</v>
      </c>
      <c r="B2160">
        <f>'906MP'!H1860</f>
        <v>0</v>
      </c>
      <c r="C2160">
        <f>'906MP'!J1860</f>
        <v>0</v>
      </c>
      <c r="D2160">
        <f>'906MP'!P1860</f>
        <v>0</v>
      </c>
      <c r="E2160">
        <f>'906MP'!X1860</f>
        <v>0</v>
      </c>
      <c r="F2160" t="str">
        <f t="shared" si="637"/>
        <v>0</v>
      </c>
      <c r="G2160" t="str">
        <f t="shared" si="638"/>
        <v>0</v>
      </c>
      <c r="H2160">
        <f>'906MP'!Y1860</f>
        <v>0</v>
      </c>
      <c r="I2160">
        <f>'906MP'!AK1860</f>
        <v>0</v>
      </c>
      <c r="J2160">
        <f>'906MP'!T1860</f>
        <v>0</v>
      </c>
      <c r="K2160">
        <f>'906MP'!AJ1860</f>
        <v>0</v>
      </c>
      <c r="L2160">
        <f>'906MP'!U1860</f>
        <v>0</v>
      </c>
      <c r="M2160" s="322" t="str">
        <f>IFERROR(VLOOKUP(A2160,PAR!$D$3:$E$53,2,FALSE),"nincs szervezet")</f>
        <v>nincs szervezet</v>
      </c>
      <c r="N2160" s="322" t="str">
        <f>VLOOKUP(F2160,PAR!$R$3:$S$5,2,FALSE)</f>
        <v>3 - egyik sem</v>
      </c>
      <c r="O2160" t="str">
        <f>IFERROR(VLOOKUP(J2160,PAR!$O$3:$P$5,2,FALSE),"nincs feladat")</f>
        <v>nincs feladat</v>
      </c>
      <c r="P2160" t="str">
        <f>IFERROR(VLOOKUP(G2160,PAR!$J$2:$M$19,4),"nincs rovat")</f>
        <v>nincs rovat</v>
      </c>
      <c r="Q2160" t="str">
        <f>IF(H2160&gt;0,VLOOKUP(H2160,PAR!$AA$3:$AC$187,3,FALSE),"nincs főkönyvi számla")</f>
        <v>nincs főkönyvi számla</v>
      </c>
      <c r="R2160" t="str">
        <f>IFERROR(VLOOKUP(K2160,PAR!$V$3:$X$438,3,FALSE),"000000 - Nincs COFOG")</f>
        <v>000000 - Nincs COFOG</v>
      </c>
      <c r="S2160">
        <f t="shared" si="639"/>
        <v>0</v>
      </c>
      <c r="T2160">
        <f t="shared" si="640"/>
        <v>0</v>
      </c>
      <c r="U2160" t="str">
        <f>IF('906MP'!J1860&gt;0,CONCATENATE('906MP'!J1860," - ",'906MP'!P1860,", ",'906MP'!E1860),"nincs megjegyzés")</f>
        <v>nincs megjegyzés</v>
      </c>
      <c r="V2160" t="str">
        <f t="shared" si="627"/>
        <v>0P0</v>
      </c>
      <c r="W2160" t="str">
        <f t="shared" si="628"/>
        <v>0P0</v>
      </c>
      <c r="X2160" t="str">
        <f t="shared" si="629"/>
        <v>P0</v>
      </c>
      <c r="Y2160" t="str">
        <f t="shared" si="630"/>
        <v>00</v>
      </c>
      <c r="Z2160" t="str">
        <f t="shared" si="641"/>
        <v>00</v>
      </c>
      <c r="AA2160" t="str">
        <f t="shared" si="631"/>
        <v>00</v>
      </c>
      <c r="AB2160" t="str">
        <f t="shared" si="632"/>
        <v>00</v>
      </c>
      <c r="AC2160" t="str">
        <f t="shared" si="633"/>
        <v>0P0</v>
      </c>
      <c r="AD2160" t="str">
        <f t="shared" si="634"/>
        <v>P00</v>
      </c>
      <c r="AE2160" t="str">
        <f t="shared" si="635"/>
        <v>0P0</v>
      </c>
      <c r="AF2160" t="str">
        <f t="shared" si="636"/>
        <v>P00</v>
      </c>
      <c r="AG2160" t="str">
        <f t="shared" si="642"/>
        <v>0P00</v>
      </c>
      <c r="AH2160" t="str">
        <f t="shared" si="643"/>
        <v>P000</v>
      </c>
      <c r="AI2160" t="str">
        <f t="shared" si="644"/>
        <v>0P00</v>
      </c>
      <c r="AJ2160" t="str">
        <f t="shared" si="645"/>
        <v>P000</v>
      </c>
    </row>
    <row r="2161" spans="1:36" x14ac:dyDescent="0.25">
      <c r="A2161" s="325" t="str">
        <f>CONCATENATE("P",'906MP'!M1861)</f>
        <v>P</v>
      </c>
      <c r="B2161">
        <f>'906MP'!H1861</f>
        <v>0</v>
      </c>
      <c r="C2161">
        <f>'906MP'!J1861</f>
        <v>0</v>
      </c>
      <c r="D2161">
        <f>'906MP'!P1861</f>
        <v>0</v>
      </c>
      <c r="E2161">
        <f>'906MP'!X1861</f>
        <v>0</v>
      </c>
      <c r="F2161" t="str">
        <f t="shared" si="637"/>
        <v>0</v>
      </c>
      <c r="G2161" t="str">
        <f t="shared" si="638"/>
        <v>0</v>
      </c>
      <c r="H2161">
        <f>'906MP'!Y1861</f>
        <v>0</v>
      </c>
      <c r="I2161">
        <f>'906MP'!AK1861</f>
        <v>0</v>
      </c>
      <c r="J2161">
        <f>'906MP'!T1861</f>
        <v>0</v>
      </c>
      <c r="K2161">
        <f>'906MP'!AJ1861</f>
        <v>0</v>
      </c>
      <c r="L2161">
        <f>'906MP'!U1861</f>
        <v>0</v>
      </c>
      <c r="M2161" s="322" t="str">
        <f>IFERROR(VLOOKUP(A2161,PAR!$D$3:$E$53,2,FALSE),"nincs szervezet")</f>
        <v>nincs szervezet</v>
      </c>
      <c r="N2161" s="322" t="str">
        <f>VLOOKUP(F2161,PAR!$R$3:$S$5,2,FALSE)</f>
        <v>3 - egyik sem</v>
      </c>
      <c r="O2161" t="str">
        <f>IFERROR(VLOOKUP(J2161,PAR!$O$3:$P$5,2,FALSE),"nincs feladat")</f>
        <v>nincs feladat</v>
      </c>
      <c r="P2161" t="str">
        <f>IFERROR(VLOOKUP(G2161,PAR!$J$2:$M$19,4),"nincs rovat")</f>
        <v>nincs rovat</v>
      </c>
      <c r="Q2161" t="str">
        <f>IF(H2161&gt;0,VLOOKUP(H2161,PAR!$AA$3:$AC$187,3,FALSE),"nincs főkönyvi számla")</f>
        <v>nincs főkönyvi számla</v>
      </c>
      <c r="R2161" t="str">
        <f>IFERROR(VLOOKUP(K2161,PAR!$V$3:$X$438,3,FALSE),"000000 - Nincs COFOG")</f>
        <v>000000 - Nincs COFOG</v>
      </c>
      <c r="S2161">
        <f t="shared" si="639"/>
        <v>0</v>
      </c>
      <c r="T2161">
        <f t="shared" si="640"/>
        <v>0</v>
      </c>
      <c r="U2161" t="str">
        <f>IF('906MP'!J1861&gt;0,CONCATENATE('906MP'!J1861," - ",'906MP'!P1861,", ",'906MP'!E1861),"nincs megjegyzés")</f>
        <v>nincs megjegyzés</v>
      </c>
      <c r="V2161" t="str">
        <f t="shared" si="627"/>
        <v>0P0</v>
      </c>
      <c r="W2161" t="str">
        <f t="shared" si="628"/>
        <v>0P0</v>
      </c>
      <c r="X2161" t="str">
        <f t="shared" si="629"/>
        <v>P0</v>
      </c>
      <c r="Y2161" t="str">
        <f t="shared" si="630"/>
        <v>00</v>
      </c>
      <c r="Z2161" t="str">
        <f t="shared" si="641"/>
        <v>00</v>
      </c>
      <c r="AA2161" t="str">
        <f t="shared" si="631"/>
        <v>00</v>
      </c>
      <c r="AB2161" t="str">
        <f t="shared" si="632"/>
        <v>00</v>
      </c>
      <c r="AC2161" t="str">
        <f t="shared" si="633"/>
        <v>0P0</v>
      </c>
      <c r="AD2161" t="str">
        <f t="shared" si="634"/>
        <v>P00</v>
      </c>
      <c r="AE2161" t="str">
        <f t="shared" si="635"/>
        <v>0P0</v>
      </c>
      <c r="AF2161" t="str">
        <f t="shared" si="636"/>
        <v>P00</v>
      </c>
      <c r="AG2161" t="str">
        <f t="shared" si="642"/>
        <v>0P00</v>
      </c>
      <c r="AH2161" t="str">
        <f t="shared" si="643"/>
        <v>P000</v>
      </c>
      <c r="AI2161" t="str">
        <f t="shared" si="644"/>
        <v>0P00</v>
      </c>
      <c r="AJ2161" t="str">
        <f t="shared" si="645"/>
        <v>P000</v>
      </c>
    </row>
    <row r="2162" spans="1:36" x14ac:dyDescent="0.25">
      <c r="A2162" s="325" t="str">
        <f>CONCATENATE("P",'906MP'!M1862)</f>
        <v>P</v>
      </c>
      <c r="B2162">
        <f>'906MP'!H1862</f>
        <v>0</v>
      </c>
      <c r="C2162">
        <f>'906MP'!J1862</f>
        <v>0</v>
      </c>
      <c r="D2162">
        <f>'906MP'!P1862</f>
        <v>0</v>
      </c>
      <c r="E2162">
        <f>'906MP'!X1862</f>
        <v>0</v>
      </c>
      <c r="F2162" t="str">
        <f t="shared" si="637"/>
        <v>0</v>
      </c>
      <c r="G2162" t="str">
        <f t="shared" si="638"/>
        <v>0</v>
      </c>
      <c r="H2162">
        <f>'906MP'!Y1862</f>
        <v>0</v>
      </c>
      <c r="I2162">
        <f>'906MP'!AK1862</f>
        <v>0</v>
      </c>
      <c r="J2162">
        <f>'906MP'!T1862</f>
        <v>0</v>
      </c>
      <c r="K2162">
        <f>'906MP'!AJ1862</f>
        <v>0</v>
      </c>
      <c r="L2162">
        <f>'906MP'!U1862</f>
        <v>0</v>
      </c>
      <c r="M2162" s="322" t="str">
        <f>IFERROR(VLOOKUP(A2162,PAR!$D$3:$E$53,2,FALSE),"nincs szervezet")</f>
        <v>nincs szervezet</v>
      </c>
      <c r="N2162" s="322" t="str">
        <f>VLOOKUP(F2162,PAR!$R$3:$S$5,2,FALSE)</f>
        <v>3 - egyik sem</v>
      </c>
      <c r="O2162" t="str">
        <f>IFERROR(VLOOKUP(J2162,PAR!$O$3:$P$5,2,FALSE),"nincs feladat")</f>
        <v>nincs feladat</v>
      </c>
      <c r="P2162" t="str">
        <f>IFERROR(VLOOKUP(G2162,PAR!$J$2:$M$19,4),"nincs rovat")</f>
        <v>nincs rovat</v>
      </c>
      <c r="Q2162" t="str">
        <f>IF(H2162&gt;0,VLOOKUP(H2162,PAR!$AA$3:$AC$187,3,FALSE),"nincs főkönyvi számla")</f>
        <v>nincs főkönyvi számla</v>
      </c>
      <c r="R2162" t="str">
        <f>IFERROR(VLOOKUP(K2162,PAR!$V$3:$X$438,3,FALSE),"000000 - Nincs COFOG")</f>
        <v>000000 - Nincs COFOG</v>
      </c>
      <c r="S2162">
        <f t="shared" si="639"/>
        <v>0</v>
      </c>
      <c r="T2162">
        <f t="shared" si="640"/>
        <v>0</v>
      </c>
      <c r="U2162" t="str">
        <f>IF('906MP'!J1862&gt;0,CONCATENATE('906MP'!J1862," - ",'906MP'!P1862,", ",'906MP'!E1862),"nincs megjegyzés")</f>
        <v>nincs megjegyzés</v>
      </c>
      <c r="V2162" t="str">
        <f t="shared" si="627"/>
        <v>0P0</v>
      </c>
      <c r="W2162" t="str">
        <f t="shared" si="628"/>
        <v>0P0</v>
      </c>
      <c r="X2162" t="str">
        <f t="shared" si="629"/>
        <v>P0</v>
      </c>
      <c r="Y2162" t="str">
        <f t="shared" si="630"/>
        <v>00</v>
      </c>
      <c r="Z2162" t="str">
        <f t="shared" si="641"/>
        <v>00</v>
      </c>
      <c r="AA2162" t="str">
        <f t="shared" si="631"/>
        <v>00</v>
      </c>
      <c r="AB2162" t="str">
        <f t="shared" si="632"/>
        <v>00</v>
      </c>
      <c r="AC2162" t="str">
        <f t="shared" si="633"/>
        <v>0P0</v>
      </c>
      <c r="AD2162" t="str">
        <f t="shared" si="634"/>
        <v>P00</v>
      </c>
      <c r="AE2162" t="str">
        <f t="shared" si="635"/>
        <v>0P0</v>
      </c>
      <c r="AF2162" t="str">
        <f t="shared" si="636"/>
        <v>P00</v>
      </c>
      <c r="AG2162" t="str">
        <f t="shared" si="642"/>
        <v>0P00</v>
      </c>
      <c r="AH2162" t="str">
        <f t="shared" si="643"/>
        <v>P000</v>
      </c>
      <c r="AI2162" t="str">
        <f t="shared" si="644"/>
        <v>0P00</v>
      </c>
      <c r="AJ2162" t="str">
        <f t="shared" si="645"/>
        <v>P000</v>
      </c>
    </row>
    <row r="2163" spans="1:36" x14ac:dyDescent="0.25">
      <c r="A2163" s="325" t="str">
        <f>CONCATENATE("P",'906MP'!M1863)</f>
        <v>P</v>
      </c>
      <c r="B2163">
        <f>'906MP'!H1863</f>
        <v>0</v>
      </c>
      <c r="C2163">
        <f>'906MP'!J1863</f>
        <v>0</v>
      </c>
      <c r="D2163">
        <f>'906MP'!P1863</f>
        <v>0</v>
      </c>
      <c r="E2163">
        <f>'906MP'!X1863</f>
        <v>0</v>
      </c>
      <c r="F2163" t="str">
        <f t="shared" si="637"/>
        <v>0</v>
      </c>
      <c r="G2163" t="str">
        <f t="shared" si="638"/>
        <v>0</v>
      </c>
      <c r="H2163">
        <f>'906MP'!Y1863</f>
        <v>0</v>
      </c>
      <c r="I2163">
        <f>'906MP'!AK1863</f>
        <v>0</v>
      </c>
      <c r="J2163">
        <f>'906MP'!T1863</f>
        <v>0</v>
      </c>
      <c r="K2163">
        <f>'906MP'!AJ1863</f>
        <v>0</v>
      </c>
      <c r="L2163">
        <f>'906MP'!U1863</f>
        <v>0</v>
      </c>
      <c r="M2163" s="322" t="str">
        <f>IFERROR(VLOOKUP(A2163,PAR!$D$3:$E$53,2,FALSE),"nincs szervezet")</f>
        <v>nincs szervezet</v>
      </c>
      <c r="N2163" s="322" t="str">
        <f>VLOOKUP(F2163,PAR!$R$3:$S$5,2,FALSE)</f>
        <v>3 - egyik sem</v>
      </c>
      <c r="O2163" t="str">
        <f>IFERROR(VLOOKUP(J2163,PAR!$O$3:$P$5,2,FALSE),"nincs feladat")</f>
        <v>nincs feladat</v>
      </c>
      <c r="P2163" t="str">
        <f>IFERROR(VLOOKUP(G2163,PAR!$J$2:$M$19,4),"nincs rovat")</f>
        <v>nincs rovat</v>
      </c>
      <c r="Q2163" t="str">
        <f>IF(H2163&gt;0,VLOOKUP(H2163,PAR!$AA$3:$AC$187,3,FALSE),"nincs főkönyvi számla")</f>
        <v>nincs főkönyvi számla</v>
      </c>
      <c r="R2163" t="str">
        <f>IFERROR(VLOOKUP(K2163,PAR!$V$3:$X$438,3,FALSE),"000000 - Nincs COFOG")</f>
        <v>000000 - Nincs COFOG</v>
      </c>
      <c r="S2163">
        <f t="shared" si="639"/>
        <v>0</v>
      </c>
      <c r="T2163">
        <f t="shared" si="640"/>
        <v>0</v>
      </c>
      <c r="U2163" t="str">
        <f>IF('906MP'!J1863&gt;0,CONCATENATE('906MP'!J1863," - ",'906MP'!P1863,", ",'906MP'!E1863),"nincs megjegyzés")</f>
        <v>nincs megjegyzés</v>
      </c>
      <c r="V2163" t="str">
        <f t="shared" si="627"/>
        <v>0P0</v>
      </c>
      <c r="W2163" t="str">
        <f t="shared" si="628"/>
        <v>0P0</v>
      </c>
      <c r="X2163" t="str">
        <f t="shared" si="629"/>
        <v>P0</v>
      </c>
      <c r="Y2163" t="str">
        <f t="shared" si="630"/>
        <v>00</v>
      </c>
      <c r="Z2163" t="str">
        <f t="shared" si="641"/>
        <v>00</v>
      </c>
      <c r="AA2163" t="str">
        <f t="shared" si="631"/>
        <v>00</v>
      </c>
      <c r="AB2163" t="str">
        <f t="shared" si="632"/>
        <v>00</v>
      </c>
      <c r="AC2163" t="str">
        <f t="shared" si="633"/>
        <v>0P0</v>
      </c>
      <c r="AD2163" t="str">
        <f t="shared" si="634"/>
        <v>P00</v>
      </c>
      <c r="AE2163" t="str">
        <f t="shared" si="635"/>
        <v>0P0</v>
      </c>
      <c r="AF2163" t="str">
        <f t="shared" si="636"/>
        <v>P00</v>
      </c>
      <c r="AG2163" t="str">
        <f t="shared" si="642"/>
        <v>0P00</v>
      </c>
      <c r="AH2163" t="str">
        <f t="shared" si="643"/>
        <v>P000</v>
      </c>
      <c r="AI2163" t="str">
        <f t="shared" si="644"/>
        <v>0P00</v>
      </c>
      <c r="AJ2163" t="str">
        <f t="shared" si="645"/>
        <v>P000</v>
      </c>
    </row>
    <row r="2164" spans="1:36" x14ac:dyDescent="0.25">
      <c r="A2164" s="325" t="str">
        <f>CONCATENATE("P",'906MP'!M1864)</f>
        <v>P</v>
      </c>
      <c r="B2164">
        <f>'906MP'!H1864</f>
        <v>0</v>
      </c>
      <c r="C2164">
        <f>'906MP'!J1864</f>
        <v>0</v>
      </c>
      <c r="D2164">
        <f>'906MP'!P1864</f>
        <v>0</v>
      </c>
      <c r="E2164">
        <f>'906MP'!X1864</f>
        <v>0</v>
      </c>
      <c r="F2164" t="str">
        <f t="shared" si="637"/>
        <v>0</v>
      </c>
      <c r="G2164" t="str">
        <f t="shared" si="638"/>
        <v>0</v>
      </c>
      <c r="H2164">
        <f>'906MP'!Y1864</f>
        <v>0</v>
      </c>
      <c r="I2164">
        <f>'906MP'!AK1864</f>
        <v>0</v>
      </c>
      <c r="J2164">
        <f>'906MP'!T1864</f>
        <v>0</v>
      </c>
      <c r="K2164">
        <f>'906MP'!AJ1864</f>
        <v>0</v>
      </c>
      <c r="L2164">
        <f>'906MP'!U1864</f>
        <v>0</v>
      </c>
      <c r="M2164" s="322" t="str">
        <f>IFERROR(VLOOKUP(A2164,PAR!$D$3:$E$53,2,FALSE),"nincs szervezet")</f>
        <v>nincs szervezet</v>
      </c>
      <c r="N2164" s="322" t="str">
        <f>VLOOKUP(F2164,PAR!$R$3:$S$5,2,FALSE)</f>
        <v>3 - egyik sem</v>
      </c>
      <c r="O2164" t="str">
        <f>IFERROR(VLOOKUP(J2164,PAR!$O$3:$P$5,2,FALSE),"nincs feladat")</f>
        <v>nincs feladat</v>
      </c>
      <c r="P2164" t="str">
        <f>IFERROR(VLOOKUP(G2164,PAR!$J$2:$M$19,4),"nincs rovat")</f>
        <v>nincs rovat</v>
      </c>
      <c r="Q2164" t="str">
        <f>IF(H2164&gt;0,VLOOKUP(H2164,PAR!$AA$3:$AC$187,3,FALSE),"nincs főkönyvi számla")</f>
        <v>nincs főkönyvi számla</v>
      </c>
      <c r="R2164" t="str">
        <f>IFERROR(VLOOKUP(K2164,PAR!$V$3:$X$438,3,FALSE),"000000 - Nincs COFOG")</f>
        <v>000000 - Nincs COFOG</v>
      </c>
      <c r="S2164">
        <f t="shared" si="639"/>
        <v>0</v>
      </c>
      <c r="T2164">
        <f t="shared" si="640"/>
        <v>0</v>
      </c>
      <c r="U2164" t="str">
        <f>IF('906MP'!J1864&gt;0,CONCATENATE('906MP'!J1864," - ",'906MP'!P1864,", ",'906MP'!E1864),"nincs megjegyzés")</f>
        <v>nincs megjegyzés</v>
      </c>
      <c r="V2164" t="str">
        <f t="shared" si="627"/>
        <v>0P0</v>
      </c>
      <c r="W2164" t="str">
        <f t="shared" si="628"/>
        <v>0P0</v>
      </c>
      <c r="X2164" t="str">
        <f t="shared" si="629"/>
        <v>P0</v>
      </c>
      <c r="Y2164" t="str">
        <f t="shared" si="630"/>
        <v>00</v>
      </c>
      <c r="Z2164" t="str">
        <f t="shared" si="641"/>
        <v>00</v>
      </c>
      <c r="AA2164" t="str">
        <f t="shared" si="631"/>
        <v>00</v>
      </c>
      <c r="AB2164" t="str">
        <f t="shared" si="632"/>
        <v>00</v>
      </c>
      <c r="AC2164" t="str">
        <f t="shared" si="633"/>
        <v>0P0</v>
      </c>
      <c r="AD2164" t="str">
        <f t="shared" si="634"/>
        <v>P00</v>
      </c>
      <c r="AE2164" t="str">
        <f t="shared" si="635"/>
        <v>0P0</v>
      </c>
      <c r="AF2164" t="str">
        <f t="shared" si="636"/>
        <v>P00</v>
      </c>
      <c r="AG2164" t="str">
        <f t="shared" si="642"/>
        <v>0P00</v>
      </c>
      <c r="AH2164" t="str">
        <f t="shared" si="643"/>
        <v>P000</v>
      </c>
      <c r="AI2164" t="str">
        <f t="shared" si="644"/>
        <v>0P00</v>
      </c>
      <c r="AJ2164" t="str">
        <f t="shared" si="645"/>
        <v>P000</v>
      </c>
    </row>
    <row r="2165" spans="1:36" x14ac:dyDescent="0.25">
      <c r="A2165" s="325" t="str">
        <f>CONCATENATE("P",'906MP'!M1865)</f>
        <v>P</v>
      </c>
      <c r="B2165">
        <f>'906MP'!H1865</f>
        <v>0</v>
      </c>
      <c r="C2165">
        <f>'906MP'!J1865</f>
        <v>0</v>
      </c>
      <c r="D2165">
        <f>'906MP'!P1865</f>
        <v>0</v>
      </c>
      <c r="E2165">
        <f>'906MP'!X1865</f>
        <v>0</v>
      </c>
      <c r="F2165" t="str">
        <f t="shared" si="637"/>
        <v>0</v>
      </c>
      <c r="G2165" t="str">
        <f t="shared" si="638"/>
        <v>0</v>
      </c>
      <c r="H2165">
        <f>'906MP'!Y1865</f>
        <v>0</v>
      </c>
      <c r="I2165">
        <f>'906MP'!AK1865</f>
        <v>0</v>
      </c>
      <c r="J2165">
        <f>'906MP'!T1865</f>
        <v>0</v>
      </c>
      <c r="K2165">
        <f>'906MP'!AJ1865</f>
        <v>0</v>
      </c>
      <c r="L2165">
        <f>'906MP'!U1865</f>
        <v>0</v>
      </c>
      <c r="M2165" s="322" t="str">
        <f>IFERROR(VLOOKUP(A2165,PAR!$D$3:$E$53,2,FALSE),"nincs szervezet")</f>
        <v>nincs szervezet</v>
      </c>
      <c r="N2165" s="322" t="str">
        <f>VLOOKUP(F2165,PAR!$R$3:$S$5,2,FALSE)</f>
        <v>3 - egyik sem</v>
      </c>
      <c r="O2165" t="str">
        <f>IFERROR(VLOOKUP(J2165,PAR!$O$3:$P$5,2,FALSE),"nincs feladat")</f>
        <v>nincs feladat</v>
      </c>
      <c r="P2165" t="str">
        <f>IFERROR(VLOOKUP(G2165,PAR!$J$2:$M$19,4),"nincs rovat")</f>
        <v>nincs rovat</v>
      </c>
      <c r="Q2165" t="str">
        <f>IF(H2165&gt;0,VLOOKUP(H2165,PAR!$AA$3:$AC$187,3,FALSE),"nincs főkönyvi számla")</f>
        <v>nincs főkönyvi számla</v>
      </c>
      <c r="R2165" t="str">
        <f>IFERROR(VLOOKUP(K2165,PAR!$V$3:$X$438,3,FALSE),"000000 - Nincs COFOG")</f>
        <v>000000 - Nincs COFOG</v>
      </c>
      <c r="S2165">
        <f t="shared" si="639"/>
        <v>0</v>
      </c>
      <c r="T2165">
        <f t="shared" si="640"/>
        <v>0</v>
      </c>
      <c r="U2165" t="str">
        <f>IF('906MP'!J1865&gt;0,CONCATENATE('906MP'!J1865," - ",'906MP'!P1865,", ",'906MP'!E1865),"nincs megjegyzés")</f>
        <v>nincs megjegyzés</v>
      </c>
      <c r="V2165" t="str">
        <f t="shared" si="627"/>
        <v>0P0</v>
      </c>
      <c r="W2165" t="str">
        <f t="shared" si="628"/>
        <v>0P0</v>
      </c>
      <c r="X2165" t="str">
        <f t="shared" si="629"/>
        <v>P0</v>
      </c>
      <c r="Y2165" t="str">
        <f t="shared" si="630"/>
        <v>00</v>
      </c>
      <c r="Z2165" t="str">
        <f t="shared" si="641"/>
        <v>00</v>
      </c>
      <c r="AA2165" t="str">
        <f t="shared" si="631"/>
        <v>00</v>
      </c>
      <c r="AB2165" t="str">
        <f t="shared" si="632"/>
        <v>00</v>
      </c>
      <c r="AC2165" t="str">
        <f t="shared" si="633"/>
        <v>0P0</v>
      </c>
      <c r="AD2165" t="str">
        <f t="shared" si="634"/>
        <v>P00</v>
      </c>
      <c r="AE2165" t="str">
        <f t="shared" si="635"/>
        <v>0P0</v>
      </c>
      <c r="AF2165" t="str">
        <f t="shared" si="636"/>
        <v>P00</v>
      </c>
      <c r="AG2165" t="str">
        <f t="shared" si="642"/>
        <v>0P00</v>
      </c>
      <c r="AH2165" t="str">
        <f t="shared" si="643"/>
        <v>P000</v>
      </c>
      <c r="AI2165" t="str">
        <f t="shared" si="644"/>
        <v>0P00</v>
      </c>
      <c r="AJ2165" t="str">
        <f t="shared" si="645"/>
        <v>P000</v>
      </c>
    </row>
    <row r="2166" spans="1:36" x14ac:dyDescent="0.25">
      <c r="A2166" s="325" t="str">
        <f>CONCATENATE("P",'906MP'!M1866)</f>
        <v>P</v>
      </c>
      <c r="B2166">
        <f>'906MP'!H1866</f>
        <v>0</v>
      </c>
      <c r="C2166">
        <f>'906MP'!J1866</f>
        <v>0</v>
      </c>
      <c r="D2166">
        <f>'906MP'!P1866</f>
        <v>0</v>
      </c>
      <c r="E2166">
        <f>'906MP'!X1866</f>
        <v>0</v>
      </c>
      <c r="F2166" t="str">
        <f t="shared" si="637"/>
        <v>0</v>
      </c>
      <c r="G2166" t="str">
        <f t="shared" si="638"/>
        <v>0</v>
      </c>
      <c r="H2166">
        <f>'906MP'!Y1866</f>
        <v>0</v>
      </c>
      <c r="I2166">
        <f>'906MP'!AK1866</f>
        <v>0</v>
      </c>
      <c r="J2166">
        <f>'906MP'!T1866</f>
        <v>0</v>
      </c>
      <c r="K2166">
        <f>'906MP'!AJ1866</f>
        <v>0</v>
      </c>
      <c r="L2166">
        <f>'906MP'!U1866</f>
        <v>0</v>
      </c>
      <c r="M2166" s="322" t="str">
        <f>IFERROR(VLOOKUP(A2166,PAR!$D$3:$E$53,2,FALSE),"nincs szervezet")</f>
        <v>nincs szervezet</v>
      </c>
      <c r="N2166" s="322" t="str">
        <f>VLOOKUP(F2166,PAR!$R$3:$S$5,2,FALSE)</f>
        <v>3 - egyik sem</v>
      </c>
      <c r="O2166" t="str">
        <f>IFERROR(VLOOKUP(J2166,PAR!$O$3:$P$5,2,FALSE),"nincs feladat")</f>
        <v>nincs feladat</v>
      </c>
      <c r="P2166" t="str">
        <f>IFERROR(VLOOKUP(G2166,PAR!$J$2:$M$19,4),"nincs rovat")</f>
        <v>nincs rovat</v>
      </c>
      <c r="Q2166" t="str">
        <f>IF(H2166&gt;0,VLOOKUP(H2166,PAR!$AA$3:$AC$187,3,FALSE),"nincs főkönyvi számla")</f>
        <v>nincs főkönyvi számla</v>
      </c>
      <c r="R2166" t="str">
        <f>IFERROR(VLOOKUP(K2166,PAR!$V$3:$X$438,3,FALSE),"000000 - Nincs COFOG")</f>
        <v>000000 - Nincs COFOG</v>
      </c>
      <c r="S2166">
        <f t="shared" si="639"/>
        <v>0</v>
      </c>
      <c r="T2166">
        <f t="shared" si="640"/>
        <v>0</v>
      </c>
      <c r="U2166" t="str">
        <f>IF('906MP'!J1866&gt;0,CONCATENATE('906MP'!J1866," - ",'906MP'!P1866,", ",'906MP'!E1866),"nincs megjegyzés")</f>
        <v>nincs megjegyzés</v>
      </c>
      <c r="V2166" t="str">
        <f t="shared" si="627"/>
        <v>0P0</v>
      </c>
      <c r="W2166" t="str">
        <f t="shared" si="628"/>
        <v>0P0</v>
      </c>
      <c r="X2166" t="str">
        <f t="shared" si="629"/>
        <v>P0</v>
      </c>
      <c r="Y2166" t="str">
        <f t="shared" si="630"/>
        <v>00</v>
      </c>
      <c r="Z2166" t="str">
        <f t="shared" si="641"/>
        <v>00</v>
      </c>
      <c r="AA2166" t="str">
        <f t="shared" si="631"/>
        <v>00</v>
      </c>
      <c r="AB2166" t="str">
        <f t="shared" si="632"/>
        <v>00</v>
      </c>
      <c r="AC2166" t="str">
        <f t="shared" si="633"/>
        <v>0P0</v>
      </c>
      <c r="AD2166" t="str">
        <f t="shared" si="634"/>
        <v>P00</v>
      </c>
      <c r="AE2166" t="str">
        <f t="shared" si="635"/>
        <v>0P0</v>
      </c>
      <c r="AF2166" t="str">
        <f t="shared" si="636"/>
        <v>P00</v>
      </c>
      <c r="AG2166" t="str">
        <f t="shared" si="642"/>
        <v>0P00</v>
      </c>
      <c r="AH2166" t="str">
        <f t="shared" si="643"/>
        <v>P000</v>
      </c>
      <c r="AI2166" t="str">
        <f t="shared" si="644"/>
        <v>0P00</v>
      </c>
      <c r="AJ2166" t="str">
        <f t="shared" si="645"/>
        <v>P000</v>
      </c>
    </row>
    <row r="2167" spans="1:36" x14ac:dyDescent="0.25">
      <c r="A2167" s="325" t="str">
        <f>CONCATENATE("P",'906MP'!M1867)</f>
        <v>P</v>
      </c>
      <c r="B2167">
        <f>'906MP'!H1867</f>
        <v>0</v>
      </c>
      <c r="C2167">
        <f>'906MP'!J1867</f>
        <v>0</v>
      </c>
      <c r="D2167">
        <f>'906MP'!P1867</f>
        <v>0</v>
      </c>
      <c r="E2167">
        <f>'906MP'!X1867</f>
        <v>0</v>
      </c>
      <c r="F2167" t="str">
        <f t="shared" si="637"/>
        <v>0</v>
      </c>
      <c r="G2167" t="str">
        <f t="shared" si="638"/>
        <v>0</v>
      </c>
      <c r="H2167">
        <f>'906MP'!Y1867</f>
        <v>0</v>
      </c>
      <c r="I2167">
        <f>'906MP'!AK1867</f>
        <v>0</v>
      </c>
      <c r="J2167">
        <f>'906MP'!T1867</f>
        <v>0</v>
      </c>
      <c r="K2167">
        <f>'906MP'!AJ1867</f>
        <v>0</v>
      </c>
      <c r="L2167">
        <f>'906MP'!U1867</f>
        <v>0</v>
      </c>
      <c r="M2167" s="322" t="str">
        <f>IFERROR(VLOOKUP(A2167,PAR!$D$3:$E$53,2,FALSE),"nincs szervezet")</f>
        <v>nincs szervezet</v>
      </c>
      <c r="N2167" s="322" t="str">
        <f>VLOOKUP(F2167,PAR!$R$3:$S$5,2,FALSE)</f>
        <v>3 - egyik sem</v>
      </c>
      <c r="O2167" t="str">
        <f>IFERROR(VLOOKUP(J2167,PAR!$O$3:$P$5,2,FALSE),"nincs feladat")</f>
        <v>nincs feladat</v>
      </c>
      <c r="P2167" t="str">
        <f>IFERROR(VLOOKUP(G2167,PAR!$J$2:$M$19,4),"nincs rovat")</f>
        <v>nincs rovat</v>
      </c>
      <c r="Q2167" t="str">
        <f>IF(H2167&gt;0,VLOOKUP(H2167,PAR!$AA$3:$AC$187,3,FALSE),"nincs főkönyvi számla")</f>
        <v>nincs főkönyvi számla</v>
      </c>
      <c r="R2167" t="str">
        <f>IFERROR(VLOOKUP(K2167,PAR!$V$3:$X$438,3,FALSE),"000000 - Nincs COFOG")</f>
        <v>000000 - Nincs COFOG</v>
      </c>
      <c r="S2167">
        <f t="shared" si="639"/>
        <v>0</v>
      </c>
      <c r="T2167">
        <f t="shared" si="640"/>
        <v>0</v>
      </c>
      <c r="U2167" t="str">
        <f>IF('906MP'!J1867&gt;0,CONCATENATE('906MP'!J1867," - ",'906MP'!P1867,", ",'906MP'!E1867),"nincs megjegyzés")</f>
        <v>nincs megjegyzés</v>
      </c>
      <c r="V2167" t="str">
        <f t="shared" si="627"/>
        <v>0P0</v>
      </c>
      <c r="W2167" t="str">
        <f t="shared" si="628"/>
        <v>0P0</v>
      </c>
      <c r="X2167" t="str">
        <f t="shared" si="629"/>
        <v>P0</v>
      </c>
      <c r="Y2167" t="str">
        <f t="shared" si="630"/>
        <v>00</v>
      </c>
      <c r="Z2167" t="str">
        <f t="shared" si="641"/>
        <v>00</v>
      </c>
      <c r="AA2167" t="str">
        <f t="shared" si="631"/>
        <v>00</v>
      </c>
      <c r="AB2167" t="str">
        <f t="shared" si="632"/>
        <v>00</v>
      </c>
      <c r="AC2167" t="str">
        <f t="shared" si="633"/>
        <v>0P0</v>
      </c>
      <c r="AD2167" t="str">
        <f t="shared" si="634"/>
        <v>P00</v>
      </c>
      <c r="AE2167" t="str">
        <f t="shared" si="635"/>
        <v>0P0</v>
      </c>
      <c r="AF2167" t="str">
        <f t="shared" si="636"/>
        <v>P00</v>
      </c>
      <c r="AG2167" t="str">
        <f t="shared" si="642"/>
        <v>0P00</v>
      </c>
      <c r="AH2167" t="str">
        <f t="shared" si="643"/>
        <v>P000</v>
      </c>
      <c r="AI2167" t="str">
        <f t="shared" si="644"/>
        <v>0P00</v>
      </c>
      <c r="AJ2167" t="str">
        <f t="shared" si="645"/>
        <v>P000</v>
      </c>
    </row>
    <row r="2168" spans="1:36" x14ac:dyDescent="0.25">
      <c r="A2168" s="325" t="str">
        <f>CONCATENATE("P",'906MP'!M1868)</f>
        <v>P</v>
      </c>
      <c r="B2168">
        <f>'906MP'!H1868</f>
        <v>0</v>
      </c>
      <c r="C2168">
        <f>'906MP'!J1868</f>
        <v>0</v>
      </c>
      <c r="D2168">
        <f>'906MP'!P1868</f>
        <v>0</v>
      </c>
      <c r="E2168">
        <f>'906MP'!X1868</f>
        <v>0</v>
      </c>
      <c r="F2168" t="str">
        <f t="shared" si="637"/>
        <v>0</v>
      </c>
      <c r="G2168" t="str">
        <f t="shared" si="638"/>
        <v>0</v>
      </c>
      <c r="H2168">
        <f>'906MP'!Y1868</f>
        <v>0</v>
      </c>
      <c r="I2168">
        <f>'906MP'!AK1868</f>
        <v>0</v>
      </c>
      <c r="J2168">
        <f>'906MP'!T1868</f>
        <v>0</v>
      </c>
      <c r="K2168">
        <f>'906MP'!AJ1868</f>
        <v>0</v>
      </c>
      <c r="L2168">
        <f>'906MP'!U1868</f>
        <v>0</v>
      </c>
      <c r="M2168" s="322" t="str">
        <f>IFERROR(VLOOKUP(A2168,PAR!$D$3:$E$53,2,FALSE),"nincs szervezet")</f>
        <v>nincs szervezet</v>
      </c>
      <c r="N2168" s="322" t="str">
        <f>VLOOKUP(F2168,PAR!$R$3:$S$5,2,FALSE)</f>
        <v>3 - egyik sem</v>
      </c>
      <c r="O2168" t="str">
        <f>IFERROR(VLOOKUP(J2168,PAR!$O$3:$P$5,2,FALSE),"nincs feladat")</f>
        <v>nincs feladat</v>
      </c>
      <c r="P2168" t="str">
        <f>IFERROR(VLOOKUP(G2168,PAR!$J$2:$M$19,4),"nincs rovat")</f>
        <v>nincs rovat</v>
      </c>
      <c r="Q2168" t="str">
        <f>IF(H2168&gt;0,VLOOKUP(H2168,PAR!$AA$3:$AC$187,3,FALSE),"nincs főkönyvi számla")</f>
        <v>nincs főkönyvi számla</v>
      </c>
      <c r="R2168" t="str">
        <f>IFERROR(VLOOKUP(K2168,PAR!$V$3:$X$438,3,FALSE),"000000 - Nincs COFOG")</f>
        <v>000000 - Nincs COFOG</v>
      </c>
      <c r="S2168">
        <f t="shared" si="639"/>
        <v>0</v>
      </c>
      <c r="T2168">
        <f t="shared" si="640"/>
        <v>0</v>
      </c>
      <c r="U2168" t="str">
        <f>IF('906MP'!J1868&gt;0,CONCATENATE('906MP'!J1868," - ",'906MP'!P1868,", ",'906MP'!E1868),"nincs megjegyzés")</f>
        <v>nincs megjegyzés</v>
      </c>
      <c r="V2168" t="str">
        <f t="shared" si="627"/>
        <v>0P0</v>
      </c>
      <c r="W2168" t="str">
        <f t="shared" si="628"/>
        <v>0P0</v>
      </c>
      <c r="X2168" t="str">
        <f t="shared" si="629"/>
        <v>P0</v>
      </c>
      <c r="Y2168" t="str">
        <f t="shared" si="630"/>
        <v>00</v>
      </c>
      <c r="Z2168" t="str">
        <f t="shared" si="641"/>
        <v>00</v>
      </c>
      <c r="AA2168" t="str">
        <f t="shared" si="631"/>
        <v>00</v>
      </c>
      <c r="AB2168" t="str">
        <f t="shared" si="632"/>
        <v>00</v>
      </c>
      <c r="AC2168" t="str">
        <f t="shared" si="633"/>
        <v>0P0</v>
      </c>
      <c r="AD2168" t="str">
        <f t="shared" si="634"/>
        <v>P00</v>
      </c>
      <c r="AE2168" t="str">
        <f t="shared" si="635"/>
        <v>0P0</v>
      </c>
      <c r="AF2168" t="str">
        <f t="shared" si="636"/>
        <v>P00</v>
      </c>
      <c r="AG2168" t="str">
        <f t="shared" si="642"/>
        <v>0P00</v>
      </c>
      <c r="AH2168" t="str">
        <f t="shared" si="643"/>
        <v>P000</v>
      </c>
      <c r="AI2168" t="str">
        <f t="shared" si="644"/>
        <v>0P00</v>
      </c>
      <c r="AJ2168" t="str">
        <f t="shared" si="645"/>
        <v>P000</v>
      </c>
    </row>
    <row r="2169" spans="1:36" x14ac:dyDescent="0.25">
      <c r="A2169" s="325" t="str">
        <f>CONCATENATE("P",'906MP'!M1869)</f>
        <v>P</v>
      </c>
      <c r="B2169">
        <f>'906MP'!H1869</f>
        <v>0</v>
      </c>
      <c r="C2169">
        <f>'906MP'!J1869</f>
        <v>0</v>
      </c>
      <c r="D2169">
        <f>'906MP'!P1869</f>
        <v>0</v>
      </c>
      <c r="E2169">
        <f>'906MP'!X1869</f>
        <v>0</v>
      </c>
      <c r="F2169" t="str">
        <f t="shared" si="637"/>
        <v>0</v>
      </c>
      <c r="G2169" t="str">
        <f t="shared" si="638"/>
        <v>0</v>
      </c>
      <c r="H2169">
        <f>'906MP'!Y1869</f>
        <v>0</v>
      </c>
      <c r="I2169">
        <f>'906MP'!AK1869</f>
        <v>0</v>
      </c>
      <c r="J2169">
        <f>'906MP'!T1869</f>
        <v>0</v>
      </c>
      <c r="K2169">
        <f>'906MP'!AJ1869</f>
        <v>0</v>
      </c>
      <c r="L2169">
        <f>'906MP'!U1869</f>
        <v>0</v>
      </c>
      <c r="M2169" s="322" t="str">
        <f>IFERROR(VLOOKUP(A2169,PAR!$D$3:$E$53,2,FALSE),"nincs szervezet")</f>
        <v>nincs szervezet</v>
      </c>
      <c r="N2169" s="322" t="str">
        <f>VLOOKUP(F2169,PAR!$R$3:$S$5,2,FALSE)</f>
        <v>3 - egyik sem</v>
      </c>
      <c r="O2169" t="str">
        <f>IFERROR(VLOOKUP(J2169,PAR!$O$3:$P$5,2,FALSE),"nincs feladat")</f>
        <v>nincs feladat</v>
      </c>
      <c r="P2169" t="str">
        <f>IFERROR(VLOOKUP(G2169,PAR!$J$2:$M$19,4),"nincs rovat")</f>
        <v>nincs rovat</v>
      </c>
      <c r="Q2169" t="str">
        <f>IF(H2169&gt;0,VLOOKUP(H2169,PAR!$AA$3:$AC$187,3,FALSE),"nincs főkönyvi számla")</f>
        <v>nincs főkönyvi számla</v>
      </c>
      <c r="R2169" t="str">
        <f>IFERROR(VLOOKUP(K2169,PAR!$V$3:$X$438,3,FALSE),"000000 - Nincs COFOG")</f>
        <v>000000 - Nincs COFOG</v>
      </c>
      <c r="S2169">
        <f t="shared" si="639"/>
        <v>0</v>
      </c>
      <c r="T2169">
        <f t="shared" si="640"/>
        <v>0</v>
      </c>
      <c r="U2169" t="str">
        <f>IF('906MP'!J1869&gt;0,CONCATENATE('906MP'!J1869," - ",'906MP'!P1869,", ",'906MP'!E1869),"nincs megjegyzés")</f>
        <v>nincs megjegyzés</v>
      </c>
      <c r="V2169" t="str">
        <f t="shared" si="627"/>
        <v>0P0</v>
      </c>
      <c r="W2169" t="str">
        <f t="shared" si="628"/>
        <v>0P0</v>
      </c>
      <c r="X2169" t="str">
        <f t="shared" si="629"/>
        <v>P0</v>
      </c>
      <c r="Y2169" t="str">
        <f t="shared" si="630"/>
        <v>00</v>
      </c>
      <c r="Z2169" t="str">
        <f t="shared" si="641"/>
        <v>00</v>
      </c>
      <c r="AA2169" t="str">
        <f t="shared" si="631"/>
        <v>00</v>
      </c>
      <c r="AB2169" t="str">
        <f t="shared" si="632"/>
        <v>00</v>
      </c>
      <c r="AC2169" t="str">
        <f t="shared" si="633"/>
        <v>0P0</v>
      </c>
      <c r="AD2169" t="str">
        <f t="shared" si="634"/>
        <v>P00</v>
      </c>
      <c r="AE2169" t="str">
        <f t="shared" si="635"/>
        <v>0P0</v>
      </c>
      <c r="AF2169" t="str">
        <f t="shared" si="636"/>
        <v>P00</v>
      </c>
      <c r="AG2169" t="str">
        <f t="shared" si="642"/>
        <v>0P00</v>
      </c>
      <c r="AH2169" t="str">
        <f t="shared" si="643"/>
        <v>P000</v>
      </c>
      <c r="AI2169" t="str">
        <f t="shared" si="644"/>
        <v>0P00</v>
      </c>
      <c r="AJ2169" t="str">
        <f t="shared" si="645"/>
        <v>P000</v>
      </c>
    </row>
    <row r="2170" spans="1:36" x14ac:dyDescent="0.25">
      <c r="A2170" s="325" t="str">
        <f>CONCATENATE("P",'906MP'!M1870)</f>
        <v>P</v>
      </c>
      <c r="B2170">
        <f>'906MP'!H1870</f>
        <v>0</v>
      </c>
      <c r="C2170">
        <f>'906MP'!J1870</f>
        <v>0</v>
      </c>
      <c r="D2170">
        <f>'906MP'!P1870</f>
        <v>0</v>
      </c>
      <c r="E2170">
        <f>'906MP'!X1870</f>
        <v>0</v>
      </c>
      <c r="F2170" t="str">
        <f t="shared" si="637"/>
        <v>0</v>
      </c>
      <c r="G2170" t="str">
        <f t="shared" si="638"/>
        <v>0</v>
      </c>
      <c r="H2170">
        <f>'906MP'!Y1870</f>
        <v>0</v>
      </c>
      <c r="I2170">
        <f>'906MP'!AK1870</f>
        <v>0</v>
      </c>
      <c r="J2170">
        <f>'906MP'!T1870</f>
        <v>0</v>
      </c>
      <c r="K2170">
        <f>'906MP'!AJ1870</f>
        <v>0</v>
      </c>
      <c r="L2170">
        <f>'906MP'!U1870</f>
        <v>0</v>
      </c>
      <c r="M2170" s="322" t="str">
        <f>IFERROR(VLOOKUP(A2170,PAR!$D$3:$E$53,2,FALSE),"nincs szervezet")</f>
        <v>nincs szervezet</v>
      </c>
      <c r="N2170" s="322" t="str">
        <f>VLOOKUP(F2170,PAR!$R$3:$S$5,2,FALSE)</f>
        <v>3 - egyik sem</v>
      </c>
      <c r="O2170" t="str">
        <f>IFERROR(VLOOKUP(J2170,PAR!$O$3:$P$5,2,FALSE),"nincs feladat")</f>
        <v>nincs feladat</v>
      </c>
      <c r="P2170" t="str">
        <f>IFERROR(VLOOKUP(G2170,PAR!$J$2:$M$19,4),"nincs rovat")</f>
        <v>nincs rovat</v>
      </c>
      <c r="Q2170" t="str">
        <f>IF(H2170&gt;0,VLOOKUP(H2170,PAR!$AA$3:$AC$187,3,FALSE),"nincs főkönyvi számla")</f>
        <v>nincs főkönyvi számla</v>
      </c>
      <c r="R2170" t="str">
        <f>IFERROR(VLOOKUP(K2170,PAR!$V$3:$X$438,3,FALSE),"000000 - Nincs COFOG")</f>
        <v>000000 - Nincs COFOG</v>
      </c>
      <c r="S2170">
        <f t="shared" si="639"/>
        <v>0</v>
      </c>
      <c r="T2170">
        <f t="shared" si="640"/>
        <v>0</v>
      </c>
      <c r="U2170" t="str">
        <f>IF('906MP'!J1870&gt;0,CONCATENATE('906MP'!J1870," - ",'906MP'!P1870,", ",'906MP'!E1870),"nincs megjegyzés")</f>
        <v>nincs megjegyzés</v>
      </c>
      <c r="V2170" t="str">
        <f t="shared" si="627"/>
        <v>0P0</v>
      </c>
      <c r="W2170" t="str">
        <f t="shared" si="628"/>
        <v>0P0</v>
      </c>
      <c r="X2170" t="str">
        <f t="shared" si="629"/>
        <v>P0</v>
      </c>
      <c r="Y2170" t="str">
        <f t="shared" si="630"/>
        <v>00</v>
      </c>
      <c r="Z2170" t="str">
        <f t="shared" si="641"/>
        <v>00</v>
      </c>
      <c r="AA2170" t="str">
        <f t="shared" si="631"/>
        <v>00</v>
      </c>
      <c r="AB2170" t="str">
        <f t="shared" si="632"/>
        <v>00</v>
      </c>
      <c r="AC2170" t="str">
        <f t="shared" si="633"/>
        <v>0P0</v>
      </c>
      <c r="AD2170" t="str">
        <f t="shared" si="634"/>
        <v>P00</v>
      </c>
      <c r="AE2170" t="str">
        <f t="shared" si="635"/>
        <v>0P0</v>
      </c>
      <c r="AF2170" t="str">
        <f t="shared" si="636"/>
        <v>P00</v>
      </c>
      <c r="AG2170" t="str">
        <f t="shared" si="642"/>
        <v>0P00</v>
      </c>
      <c r="AH2170" t="str">
        <f t="shared" si="643"/>
        <v>P000</v>
      </c>
      <c r="AI2170" t="str">
        <f t="shared" si="644"/>
        <v>0P00</v>
      </c>
      <c r="AJ2170" t="str">
        <f t="shared" si="645"/>
        <v>P000</v>
      </c>
    </row>
    <row r="2171" spans="1:36" x14ac:dyDescent="0.25">
      <c r="A2171" s="325" t="str">
        <f>CONCATENATE("P",'906MP'!M1871)</f>
        <v>P</v>
      </c>
      <c r="B2171">
        <f>'906MP'!H1871</f>
        <v>0</v>
      </c>
      <c r="C2171">
        <f>'906MP'!J1871</f>
        <v>0</v>
      </c>
      <c r="D2171">
        <f>'906MP'!P1871</f>
        <v>0</v>
      </c>
      <c r="E2171">
        <f>'906MP'!X1871</f>
        <v>0</v>
      </c>
      <c r="F2171" t="str">
        <f t="shared" si="637"/>
        <v>0</v>
      </c>
      <c r="G2171" t="str">
        <f t="shared" si="638"/>
        <v>0</v>
      </c>
      <c r="H2171">
        <f>'906MP'!Y1871</f>
        <v>0</v>
      </c>
      <c r="I2171">
        <f>'906MP'!AK1871</f>
        <v>0</v>
      </c>
      <c r="J2171">
        <f>'906MP'!T1871</f>
        <v>0</v>
      </c>
      <c r="K2171">
        <f>'906MP'!AJ1871</f>
        <v>0</v>
      </c>
      <c r="L2171">
        <f>'906MP'!U1871</f>
        <v>0</v>
      </c>
      <c r="M2171" s="322" t="str">
        <f>IFERROR(VLOOKUP(A2171,PAR!$D$3:$E$53,2,FALSE),"nincs szervezet")</f>
        <v>nincs szervezet</v>
      </c>
      <c r="N2171" s="322" t="str">
        <f>VLOOKUP(F2171,PAR!$R$3:$S$5,2,FALSE)</f>
        <v>3 - egyik sem</v>
      </c>
      <c r="O2171" t="str">
        <f>IFERROR(VLOOKUP(J2171,PAR!$O$3:$P$5,2,FALSE),"nincs feladat")</f>
        <v>nincs feladat</v>
      </c>
      <c r="P2171" t="str">
        <f>IFERROR(VLOOKUP(G2171,PAR!$J$2:$M$19,4),"nincs rovat")</f>
        <v>nincs rovat</v>
      </c>
      <c r="Q2171" t="str">
        <f>IF(H2171&gt;0,VLOOKUP(H2171,PAR!$AA$3:$AC$187,3,FALSE),"nincs főkönyvi számla")</f>
        <v>nincs főkönyvi számla</v>
      </c>
      <c r="R2171" t="str">
        <f>IFERROR(VLOOKUP(K2171,PAR!$V$3:$X$438,3,FALSE),"000000 - Nincs COFOG")</f>
        <v>000000 - Nincs COFOG</v>
      </c>
      <c r="S2171">
        <f t="shared" si="639"/>
        <v>0</v>
      </c>
      <c r="T2171">
        <f t="shared" si="640"/>
        <v>0</v>
      </c>
      <c r="U2171" t="str">
        <f>IF('906MP'!J1871&gt;0,CONCATENATE('906MP'!J1871," - ",'906MP'!P1871,", ",'906MP'!E1871),"nincs megjegyzés")</f>
        <v>nincs megjegyzés</v>
      </c>
      <c r="V2171" t="str">
        <f t="shared" si="627"/>
        <v>0P0</v>
      </c>
      <c r="W2171" t="str">
        <f t="shared" si="628"/>
        <v>0P0</v>
      </c>
      <c r="X2171" t="str">
        <f t="shared" si="629"/>
        <v>P0</v>
      </c>
      <c r="Y2171" t="str">
        <f t="shared" si="630"/>
        <v>00</v>
      </c>
      <c r="Z2171" t="str">
        <f t="shared" si="641"/>
        <v>00</v>
      </c>
      <c r="AA2171" t="str">
        <f t="shared" si="631"/>
        <v>00</v>
      </c>
      <c r="AB2171" t="str">
        <f t="shared" si="632"/>
        <v>00</v>
      </c>
      <c r="AC2171" t="str">
        <f t="shared" si="633"/>
        <v>0P0</v>
      </c>
      <c r="AD2171" t="str">
        <f t="shared" si="634"/>
        <v>P00</v>
      </c>
      <c r="AE2171" t="str">
        <f t="shared" si="635"/>
        <v>0P0</v>
      </c>
      <c r="AF2171" t="str">
        <f t="shared" si="636"/>
        <v>P00</v>
      </c>
      <c r="AG2171" t="str">
        <f t="shared" si="642"/>
        <v>0P00</v>
      </c>
      <c r="AH2171" t="str">
        <f t="shared" si="643"/>
        <v>P000</v>
      </c>
      <c r="AI2171" t="str">
        <f t="shared" si="644"/>
        <v>0P00</v>
      </c>
      <c r="AJ2171" t="str">
        <f t="shared" si="645"/>
        <v>P000</v>
      </c>
    </row>
    <row r="2172" spans="1:36" x14ac:dyDescent="0.25">
      <c r="A2172" s="325" t="str">
        <f>CONCATENATE("P",'906MP'!M1872)</f>
        <v>P</v>
      </c>
      <c r="B2172">
        <f>'906MP'!H1872</f>
        <v>0</v>
      </c>
      <c r="C2172">
        <f>'906MP'!J1872</f>
        <v>0</v>
      </c>
      <c r="D2172">
        <f>'906MP'!P1872</f>
        <v>0</v>
      </c>
      <c r="E2172">
        <f>'906MP'!X1872</f>
        <v>0</v>
      </c>
      <c r="F2172" t="str">
        <f t="shared" si="637"/>
        <v>0</v>
      </c>
      <c r="G2172" t="str">
        <f t="shared" si="638"/>
        <v>0</v>
      </c>
      <c r="H2172">
        <f>'906MP'!Y1872</f>
        <v>0</v>
      </c>
      <c r="I2172">
        <f>'906MP'!AK1872</f>
        <v>0</v>
      </c>
      <c r="J2172">
        <f>'906MP'!T1872</f>
        <v>0</v>
      </c>
      <c r="K2172">
        <f>'906MP'!AJ1872</f>
        <v>0</v>
      </c>
      <c r="L2172">
        <f>'906MP'!U1872</f>
        <v>0</v>
      </c>
      <c r="M2172" s="322" t="str">
        <f>IFERROR(VLOOKUP(A2172,PAR!$D$3:$E$53,2,FALSE),"nincs szervezet")</f>
        <v>nincs szervezet</v>
      </c>
      <c r="N2172" s="322" t="str">
        <f>VLOOKUP(F2172,PAR!$R$3:$S$5,2,FALSE)</f>
        <v>3 - egyik sem</v>
      </c>
      <c r="O2172" t="str">
        <f>IFERROR(VLOOKUP(J2172,PAR!$O$3:$P$5,2,FALSE),"nincs feladat")</f>
        <v>nincs feladat</v>
      </c>
      <c r="P2172" t="str">
        <f>IFERROR(VLOOKUP(G2172,PAR!$J$2:$M$19,4),"nincs rovat")</f>
        <v>nincs rovat</v>
      </c>
      <c r="Q2172" t="str">
        <f>IF(H2172&gt;0,VLOOKUP(H2172,PAR!$AA$3:$AC$187,3,FALSE),"nincs főkönyvi számla")</f>
        <v>nincs főkönyvi számla</v>
      </c>
      <c r="R2172" t="str">
        <f>IFERROR(VLOOKUP(K2172,PAR!$V$3:$X$438,3,FALSE),"000000 - Nincs COFOG")</f>
        <v>000000 - Nincs COFOG</v>
      </c>
      <c r="S2172">
        <f t="shared" si="639"/>
        <v>0</v>
      </c>
      <c r="T2172">
        <f t="shared" si="640"/>
        <v>0</v>
      </c>
      <c r="U2172" t="str">
        <f>IF('906MP'!J1872&gt;0,CONCATENATE('906MP'!J1872," - ",'906MP'!P1872,", ",'906MP'!E1872),"nincs megjegyzés")</f>
        <v>nincs megjegyzés</v>
      </c>
      <c r="V2172" t="str">
        <f t="shared" si="627"/>
        <v>0P0</v>
      </c>
      <c r="W2172" t="str">
        <f t="shared" si="628"/>
        <v>0P0</v>
      </c>
      <c r="X2172" t="str">
        <f t="shared" si="629"/>
        <v>P0</v>
      </c>
      <c r="Y2172" t="str">
        <f t="shared" si="630"/>
        <v>00</v>
      </c>
      <c r="Z2172" t="str">
        <f t="shared" si="641"/>
        <v>00</v>
      </c>
      <c r="AA2172" t="str">
        <f t="shared" si="631"/>
        <v>00</v>
      </c>
      <c r="AB2172" t="str">
        <f t="shared" si="632"/>
        <v>00</v>
      </c>
      <c r="AC2172" t="str">
        <f t="shared" si="633"/>
        <v>0P0</v>
      </c>
      <c r="AD2172" t="str">
        <f t="shared" si="634"/>
        <v>P00</v>
      </c>
      <c r="AE2172" t="str">
        <f t="shared" si="635"/>
        <v>0P0</v>
      </c>
      <c r="AF2172" t="str">
        <f t="shared" si="636"/>
        <v>P00</v>
      </c>
      <c r="AG2172" t="str">
        <f t="shared" si="642"/>
        <v>0P00</v>
      </c>
      <c r="AH2172" t="str">
        <f t="shared" si="643"/>
        <v>P000</v>
      </c>
      <c r="AI2172" t="str">
        <f t="shared" si="644"/>
        <v>0P00</v>
      </c>
      <c r="AJ2172" t="str">
        <f t="shared" si="645"/>
        <v>P000</v>
      </c>
    </row>
    <row r="2173" spans="1:36" x14ac:dyDescent="0.25">
      <c r="A2173" s="325" t="str">
        <f>CONCATENATE("P",'906MP'!M1873)</f>
        <v>P</v>
      </c>
      <c r="B2173">
        <f>'906MP'!H1873</f>
        <v>0</v>
      </c>
      <c r="C2173">
        <f>'906MP'!J1873</f>
        <v>0</v>
      </c>
      <c r="D2173">
        <f>'906MP'!P1873</f>
        <v>0</v>
      </c>
      <c r="E2173">
        <f>'906MP'!X1873</f>
        <v>0</v>
      </c>
      <c r="F2173" t="str">
        <f t="shared" si="637"/>
        <v>0</v>
      </c>
      <c r="G2173" t="str">
        <f t="shared" si="638"/>
        <v>0</v>
      </c>
      <c r="H2173">
        <f>'906MP'!Y1873</f>
        <v>0</v>
      </c>
      <c r="I2173">
        <f>'906MP'!AK1873</f>
        <v>0</v>
      </c>
      <c r="J2173">
        <f>'906MP'!T1873</f>
        <v>0</v>
      </c>
      <c r="K2173">
        <f>'906MP'!AJ1873</f>
        <v>0</v>
      </c>
      <c r="L2173">
        <f>'906MP'!U1873</f>
        <v>0</v>
      </c>
      <c r="M2173" s="322" t="str">
        <f>IFERROR(VLOOKUP(A2173,PAR!$D$3:$E$53,2,FALSE),"nincs szervezet")</f>
        <v>nincs szervezet</v>
      </c>
      <c r="N2173" s="322" t="str">
        <f>VLOOKUP(F2173,PAR!$R$3:$S$5,2,FALSE)</f>
        <v>3 - egyik sem</v>
      </c>
      <c r="O2173" t="str">
        <f>IFERROR(VLOOKUP(J2173,PAR!$O$3:$P$5,2,FALSE),"nincs feladat")</f>
        <v>nincs feladat</v>
      </c>
      <c r="P2173" t="str">
        <f>IFERROR(VLOOKUP(G2173,PAR!$J$2:$M$19,4),"nincs rovat")</f>
        <v>nincs rovat</v>
      </c>
      <c r="Q2173" t="str">
        <f>IF(H2173&gt;0,VLOOKUP(H2173,PAR!$AA$3:$AC$187,3,FALSE),"nincs főkönyvi számla")</f>
        <v>nincs főkönyvi számla</v>
      </c>
      <c r="R2173" t="str">
        <f>IFERROR(VLOOKUP(K2173,PAR!$V$3:$X$438,3,FALSE),"000000 - Nincs COFOG")</f>
        <v>000000 - Nincs COFOG</v>
      </c>
      <c r="S2173">
        <f t="shared" si="639"/>
        <v>0</v>
      </c>
      <c r="T2173">
        <f t="shared" si="640"/>
        <v>0</v>
      </c>
      <c r="U2173" t="str">
        <f>IF('906MP'!J1873&gt;0,CONCATENATE('906MP'!J1873," - ",'906MP'!P1873,", ",'906MP'!E1873),"nincs megjegyzés")</f>
        <v>nincs megjegyzés</v>
      </c>
      <c r="V2173" t="str">
        <f t="shared" si="627"/>
        <v>0P0</v>
      </c>
      <c r="W2173" t="str">
        <f t="shared" si="628"/>
        <v>0P0</v>
      </c>
      <c r="X2173" t="str">
        <f t="shared" si="629"/>
        <v>P0</v>
      </c>
      <c r="Y2173" t="str">
        <f t="shared" si="630"/>
        <v>00</v>
      </c>
      <c r="Z2173" t="str">
        <f t="shared" si="641"/>
        <v>00</v>
      </c>
      <c r="AA2173" t="str">
        <f t="shared" si="631"/>
        <v>00</v>
      </c>
      <c r="AB2173" t="str">
        <f t="shared" si="632"/>
        <v>00</v>
      </c>
      <c r="AC2173" t="str">
        <f t="shared" si="633"/>
        <v>0P0</v>
      </c>
      <c r="AD2173" t="str">
        <f t="shared" si="634"/>
        <v>P00</v>
      </c>
      <c r="AE2173" t="str">
        <f t="shared" si="635"/>
        <v>0P0</v>
      </c>
      <c r="AF2173" t="str">
        <f t="shared" si="636"/>
        <v>P00</v>
      </c>
      <c r="AG2173" t="str">
        <f t="shared" si="642"/>
        <v>0P00</v>
      </c>
      <c r="AH2173" t="str">
        <f t="shared" si="643"/>
        <v>P000</v>
      </c>
      <c r="AI2173" t="str">
        <f t="shared" si="644"/>
        <v>0P00</v>
      </c>
      <c r="AJ2173" t="str">
        <f t="shared" si="645"/>
        <v>P000</v>
      </c>
    </row>
    <row r="2174" spans="1:36" x14ac:dyDescent="0.25">
      <c r="A2174" s="325" t="str">
        <f>CONCATENATE("P",'906MP'!M1874)</f>
        <v>P</v>
      </c>
      <c r="B2174">
        <f>'906MP'!H1874</f>
        <v>0</v>
      </c>
      <c r="C2174">
        <f>'906MP'!J1874</f>
        <v>0</v>
      </c>
      <c r="D2174">
        <f>'906MP'!P1874</f>
        <v>0</v>
      </c>
      <c r="E2174">
        <f>'906MP'!X1874</f>
        <v>0</v>
      </c>
      <c r="F2174" t="str">
        <f t="shared" si="637"/>
        <v>0</v>
      </c>
      <c r="G2174" t="str">
        <f t="shared" si="638"/>
        <v>0</v>
      </c>
      <c r="H2174">
        <f>'906MP'!Y1874</f>
        <v>0</v>
      </c>
      <c r="I2174">
        <f>'906MP'!AK1874</f>
        <v>0</v>
      </c>
      <c r="J2174">
        <f>'906MP'!T1874</f>
        <v>0</v>
      </c>
      <c r="K2174">
        <f>'906MP'!AJ1874</f>
        <v>0</v>
      </c>
      <c r="L2174">
        <f>'906MP'!U1874</f>
        <v>0</v>
      </c>
      <c r="M2174" s="322" t="str">
        <f>IFERROR(VLOOKUP(A2174,PAR!$D$3:$E$53,2,FALSE),"nincs szervezet")</f>
        <v>nincs szervezet</v>
      </c>
      <c r="N2174" s="322" t="str">
        <f>VLOOKUP(F2174,PAR!$R$3:$S$5,2,FALSE)</f>
        <v>3 - egyik sem</v>
      </c>
      <c r="O2174" t="str">
        <f>IFERROR(VLOOKUP(J2174,PAR!$O$3:$P$5,2,FALSE),"nincs feladat")</f>
        <v>nincs feladat</v>
      </c>
      <c r="P2174" t="str">
        <f>IFERROR(VLOOKUP(G2174,PAR!$J$2:$M$19,4),"nincs rovat")</f>
        <v>nincs rovat</v>
      </c>
      <c r="Q2174" t="str">
        <f>IF(H2174&gt;0,VLOOKUP(H2174,PAR!$AA$3:$AC$187,3,FALSE),"nincs főkönyvi számla")</f>
        <v>nincs főkönyvi számla</v>
      </c>
      <c r="R2174" t="str">
        <f>IFERROR(VLOOKUP(K2174,PAR!$V$3:$X$438,3,FALSE),"000000 - Nincs COFOG")</f>
        <v>000000 - Nincs COFOG</v>
      </c>
      <c r="S2174">
        <f t="shared" si="639"/>
        <v>0</v>
      </c>
      <c r="T2174">
        <f t="shared" si="640"/>
        <v>0</v>
      </c>
      <c r="U2174" t="str">
        <f>IF('906MP'!J1874&gt;0,CONCATENATE('906MP'!J1874," - ",'906MP'!P1874,", ",'906MP'!E1874),"nincs megjegyzés")</f>
        <v>nincs megjegyzés</v>
      </c>
      <c r="V2174" t="str">
        <f t="shared" si="627"/>
        <v>0P0</v>
      </c>
      <c r="W2174" t="str">
        <f t="shared" si="628"/>
        <v>0P0</v>
      </c>
      <c r="X2174" t="str">
        <f t="shared" si="629"/>
        <v>P0</v>
      </c>
      <c r="Y2174" t="str">
        <f t="shared" si="630"/>
        <v>00</v>
      </c>
      <c r="Z2174" t="str">
        <f t="shared" si="641"/>
        <v>00</v>
      </c>
      <c r="AA2174" t="str">
        <f t="shared" si="631"/>
        <v>00</v>
      </c>
      <c r="AB2174" t="str">
        <f t="shared" si="632"/>
        <v>00</v>
      </c>
      <c r="AC2174" t="str">
        <f t="shared" si="633"/>
        <v>0P0</v>
      </c>
      <c r="AD2174" t="str">
        <f t="shared" si="634"/>
        <v>P00</v>
      </c>
      <c r="AE2174" t="str">
        <f t="shared" si="635"/>
        <v>0P0</v>
      </c>
      <c r="AF2174" t="str">
        <f t="shared" si="636"/>
        <v>P00</v>
      </c>
      <c r="AG2174" t="str">
        <f t="shared" si="642"/>
        <v>0P00</v>
      </c>
      <c r="AH2174" t="str">
        <f t="shared" si="643"/>
        <v>P000</v>
      </c>
      <c r="AI2174" t="str">
        <f t="shared" si="644"/>
        <v>0P00</v>
      </c>
      <c r="AJ2174" t="str">
        <f t="shared" si="645"/>
        <v>P000</v>
      </c>
    </row>
    <row r="2175" spans="1:36" x14ac:dyDescent="0.25">
      <c r="A2175" s="325" t="str">
        <f>CONCATENATE("P",'906MP'!M1875)</f>
        <v>P</v>
      </c>
      <c r="B2175">
        <f>'906MP'!H1875</f>
        <v>0</v>
      </c>
      <c r="C2175">
        <f>'906MP'!J1875</f>
        <v>0</v>
      </c>
      <c r="D2175">
        <f>'906MP'!P1875</f>
        <v>0</v>
      </c>
      <c r="E2175">
        <f>'906MP'!X1875</f>
        <v>0</v>
      </c>
      <c r="F2175" t="str">
        <f t="shared" si="637"/>
        <v>0</v>
      </c>
      <c r="G2175" t="str">
        <f t="shared" si="638"/>
        <v>0</v>
      </c>
      <c r="H2175">
        <f>'906MP'!Y1875</f>
        <v>0</v>
      </c>
      <c r="I2175">
        <f>'906MP'!AK1875</f>
        <v>0</v>
      </c>
      <c r="J2175">
        <f>'906MP'!T1875</f>
        <v>0</v>
      </c>
      <c r="K2175">
        <f>'906MP'!AJ1875</f>
        <v>0</v>
      </c>
      <c r="L2175">
        <f>'906MP'!U1875</f>
        <v>0</v>
      </c>
      <c r="M2175" s="322" t="str">
        <f>IFERROR(VLOOKUP(A2175,PAR!$D$3:$E$53,2,FALSE),"nincs szervezet")</f>
        <v>nincs szervezet</v>
      </c>
      <c r="N2175" s="322" t="str">
        <f>VLOOKUP(F2175,PAR!$R$3:$S$5,2,FALSE)</f>
        <v>3 - egyik sem</v>
      </c>
      <c r="O2175" t="str">
        <f>IFERROR(VLOOKUP(J2175,PAR!$O$3:$P$5,2,FALSE),"nincs feladat")</f>
        <v>nincs feladat</v>
      </c>
      <c r="P2175" t="str">
        <f>IFERROR(VLOOKUP(G2175,PAR!$J$2:$M$19,4),"nincs rovat")</f>
        <v>nincs rovat</v>
      </c>
      <c r="Q2175" t="str">
        <f>IF(H2175&gt;0,VLOOKUP(H2175,PAR!$AA$3:$AC$187,3,FALSE),"nincs főkönyvi számla")</f>
        <v>nincs főkönyvi számla</v>
      </c>
      <c r="R2175" t="str">
        <f>IFERROR(VLOOKUP(K2175,PAR!$V$3:$X$438,3,FALSE),"000000 - Nincs COFOG")</f>
        <v>000000 - Nincs COFOG</v>
      </c>
      <c r="S2175">
        <f t="shared" si="639"/>
        <v>0</v>
      </c>
      <c r="T2175">
        <f t="shared" si="640"/>
        <v>0</v>
      </c>
      <c r="U2175" t="str">
        <f>IF('906MP'!J1875&gt;0,CONCATENATE('906MP'!J1875," - ",'906MP'!P1875,", ",'906MP'!E1875),"nincs megjegyzés")</f>
        <v>nincs megjegyzés</v>
      </c>
      <c r="V2175" t="str">
        <f t="shared" si="627"/>
        <v>0P0</v>
      </c>
      <c r="W2175" t="str">
        <f t="shared" si="628"/>
        <v>0P0</v>
      </c>
      <c r="X2175" t="str">
        <f t="shared" si="629"/>
        <v>P0</v>
      </c>
      <c r="Y2175" t="str">
        <f t="shared" si="630"/>
        <v>00</v>
      </c>
      <c r="Z2175" t="str">
        <f t="shared" si="641"/>
        <v>00</v>
      </c>
      <c r="AA2175" t="str">
        <f t="shared" si="631"/>
        <v>00</v>
      </c>
      <c r="AB2175" t="str">
        <f t="shared" si="632"/>
        <v>00</v>
      </c>
      <c r="AC2175" t="str">
        <f t="shared" si="633"/>
        <v>0P0</v>
      </c>
      <c r="AD2175" t="str">
        <f t="shared" si="634"/>
        <v>P00</v>
      </c>
      <c r="AE2175" t="str">
        <f t="shared" si="635"/>
        <v>0P0</v>
      </c>
      <c r="AF2175" t="str">
        <f t="shared" si="636"/>
        <v>P00</v>
      </c>
      <c r="AG2175" t="str">
        <f t="shared" si="642"/>
        <v>0P00</v>
      </c>
      <c r="AH2175" t="str">
        <f t="shared" si="643"/>
        <v>P000</v>
      </c>
      <c r="AI2175" t="str">
        <f t="shared" si="644"/>
        <v>0P00</v>
      </c>
      <c r="AJ2175" t="str">
        <f t="shared" si="645"/>
        <v>P000</v>
      </c>
    </row>
    <row r="2176" spans="1:36" x14ac:dyDescent="0.25">
      <c r="A2176" s="325" t="str">
        <f>CONCATENATE("P",'906MP'!M1876)</f>
        <v>P</v>
      </c>
      <c r="B2176">
        <f>'906MP'!H1876</f>
        <v>0</v>
      </c>
      <c r="C2176">
        <f>'906MP'!J1876</f>
        <v>0</v>
      </c>
      <c r="D2176">
        <f>'906MP'!P1876</f>
        <v>0</v>
      </c>
      <c r="E2176">
        <f>'906MP'!X1876</f>
        <v>0</v>
      </c>
      <c r="F2176" t="str">
        <f t="shared" si="637"/>
        <v>0</v>
      </c>
      <c r="G2176" t="str">
        <f t="shared" si="638"/>
        <v>0</v>
      </c>
      <c r="H2176">
        <f>'906MP'!Y1876</f>
        <v>0</v>
      </c>
      <c r="I2176">
        <f>'906MP'!AK1876</f>
        <v>0</v>
      </c>
      <c r="J2176">
        <f>'906MP'!T1876</f>
        <v>0</v>
      </c>
      <c r="K2176">
        <f>'906MP'!AJ1876</f>
        <v>0</v>
      </c>
      <c r="L2176">
        <f>'906MP'!U1876</f>
        <v>0</v>
      </c>
      <c r="M2176" s="322" t="str">
        <f>IFERROR(VLOOKUP(A2176,PAR!$D$3:$E$53,2,FALSE),"nincs szervezet")</f>
        <v>nincs szervezet</v>
      </c>
      <c r="N2176" s="322" t="str">
        <f>VLOOKUP(F2176,PAR!$R$3:$S$5,2,FALSE)</f>
        <v>3 - egyik sem</v>
      </c>
      <c r="O2176" t="str">
        <f>IFERROR(VLOOKUP(J2176,PAR!$O$3:$P$5,2,FALSE),"nincs feladat")</f>
        <v>nincs feladat</v>
      </c>
      <c r="P2176" t="str">
        <f>IFERROR(VLOOKUP(G2176,PAR!$J$2:$M$19,4),"nincs rovat")</f>
        <v>nincs rovat</v>
      </c>
      <c r="Q2176" t="str">
        <f>IF(H2176&gt;0,VLOOKUP(H2176,PAR!$AA$3:$AC$187,3,FALSE),"nincs főkönyvi számla")</f>
        <v>nincs főkönyvi számla</v>
      </c>
      <c r="R2176" t="str">
        <f>IFERROR(VLOOKUP(K2176,PAR!$V$3:$X$438,3,FALSE),"000000 - Nincs COFOG")</f>
        <v>000000 - Nincs COFOG</v>
      </c>
      <c r="S2176">
        <f t="shared" si="639"/>
        <v>0</v>
      </c>
      <c r="T2176">
        <f t="shared" si="640"/>
        <v>0</v>
      </c>
      <c r="U2176" t="str">
        <f>IF('906MP'!J1876&gt;0,CONCATENATE('906MP'!J1876," - ",'906MP'!P1876,", ",'906MP'!E1876),"nincs megjegyzés")</f>
        <v>nincs megjegyzés</v>
      </c>
      <c r="V2176" t="str">
        <f t="shared" si="627"/>
        <v>0P0</v>
      </c>
      <c r="W2176" t="str">
        <f t="shared" si="628"/>
        <v>0P0</v>
      </c>
      <c r="X2176" t="str">
        <f t="shared" si="629"/>
        <v>P0</v>
      </c>
      <c r="Y2176" t="str">
        <f t="shared" si="630"/>
        <v>00</v>
      </c>
      <c r="Z2176" t="str">
        <f t="shared" si="641"/>
        <v>00</v>
      </c>
      <c r="AA2176" t="str">
        <f t="shared" si="631"/>
        <v>00</v>
      </c>
      <c r="AB2176" t="str">
        <f t="shared" si="632"/>
        <v>00</v>
      </c>
      <c r="AC2176" t="str">
        <f t="shared" si="633"/>
        <v>0P0</v>
      </c>
      <c r="AD2176" t="str">
        <f t="shared" si="634"/>
        <v>P00</v>
      </c>
      <c r="AE2176" t="str">
        <f t="shared" si="635"/>
        <v>0P0</v>
      </c>
      <c r="AF2176" t="str">
        <f t="shared" si="636"/>
        <v>P00</v>
      </c>
      <c r="AG2176" t="str">
        <f t="shared" si="642"/>
        <v>0P00</v>
      </c>
      <c r="AH2176" t="str">
        <f t="shared" si="643"/>
        <v>P000</v>
      </c>
      <c r="AI2176" t="str">
        <f t="shared" si="644"/>
        <v>0P00</v>
      </c>
      <c r="AJ2176" t="str">
        <f t="shared" si="645"/>
        <v>P000</v>
      </c>
    </row>
    <row r="2177" spans="1:36" x14ac:dyDescent="0.25">
      <c r="A2177" s="325" t="str">
        <f>CONCATENATE("P",'906MP'!M1877)</f>
        <v>P</v>
      </c>
      <c r="B2177">
        <f>'906MP'!H1877</f>
        <v>0</v>
      </c>
      <c r="C2177">
        <f>'906MP'!J1877</f>
        <v>0</v>
      </c>
      <c r="D2177">
        <f>'906MP'!P1877</f>
        <v>0</v>
      </c>
      <c r="E2177">
        <f>'906MP'!X1877</f>
        <v>0</v>
      </c>
      <c r="F2177" t="str">
        <f t="shared" si="637"/>
        <v>0</v>
      </c>
      <c r="G2177" t="str">
        <f t="shared" si="638"/>
        <v>0</v>
      </c>
      <c r="H2177">
        <f>'906MP'!Y1877</f>
        <v>0</v>
      </c>
      <c r="I2177">
        <f>'906MP'!AK1877</f>
        <v>0</v>
      </c>
      <c r="J2177">
        <f>'906MP'!T1877</f>
        <v>0</v>
      </c>
      <c r="K2177">
        <f>'906MP'!AJ1877</f>
        <v>0</v>
      </c>
      <c r="L2177">
        <f>'906MP'!U1877</f>
        <v>0</v>
      </c>
      <c r="M2177" s="322" t="str">
        <f>IFERROR(VLOOKUP(A2177,PAR!$D$3:$E$53,2,FALSE),"nincs szervezet")</f>
        <v>nincs szervezet</v>
      </c>
      <c r="N2177" s="322" t="str">
        <f>VLOOKUP(F2177,PAR!$R$3:$S$5,2,FALSE)</f>
        <v>3 - egyik sem</v>
      </c>
      <c r="O2177" t="str">
        <f>IFERROR(VLOOKUP(J2177,PAR!$O$3:$P$5,2,FALSE),"nincs feladat")</f>
        <v>nincs feladat</v>
      </c>
      <c r="P2177" t="str">
        <f>IFERROR(VLOOKUP(G2177,PAR!$J$2:$M$19,4),"nincs rovat")</f>
        <v>nincs rovat</v>
      </c>
      <c r="Q2177" t="str">
        <f>IF(H2177&gt;0,VLOOKUP(H2177,PAR!$AA$3:$AC$187,3,FALSE),"nincs főkönyvi számla")</f>
        <v>nincs főkönyvi számla</v>
      </c>
      <c r="R2177" t="str">
        <f>IFERROR(VLOOKUP(K2177,PAR!$V$3:$X$438,3,FALSE),"000000 - Nincs COFOG")</f>
        <v>000000 - Nincs COFOG</v>
      </c>
      <c r="S2177">
        <f t="shared" si="639"/>
        <v>0</v>
      </c>
      <c r="T2177">
        <f t="shared" si="640"/>
        <v>0</v>
      </c>
      <c r="U2177" t="str">
        <f>IF('906MP'!J1877&gt;0,CONCATENATE('906MP'!J1877," - ",'906MP'!P1877,", ",'906MP'!E1877),"nincs megjegyzés")</f>
        <v>nincs megjegyzés</v>
      </c>
      <c r="V2177" t="str">
        <f t="shared" si="627"/>
        <v>0P0</v>
      </c>
      <c r="W2177" t="str">
        <f t="shared" si="628"/>
        <v>0P0</v>
      </c>
      <c r="X2177" t="str">
        <f t="shared" si="629"/>
        <v>P0</v>
      </c>
      <c r="Y2177" t="str">
        <f t="shared" si="630"/>
        <v>00</v>
      </c>
      <c r="Z2177" t="str">
        <f t="shared" si="641"/>
        <v>00</v>
      </c>
      <c r="AA2177" t="str">
        <f t="shared" si="631"/>
        <v>00</v>
      </c>
      <c r="AB2177" t="str">
        <f t="shared" si="632"/>
        <v>00</v>
      </c>
      <c r="AC2177" t="str">
        <f t="shared" si="633"/>
        <v>0P0</v>
      </c>
      <c r="AD2177" t="str">
        <f t="shared" si="634"/>
        <v>P00</v>
      </c>
      <c r="AE2177" t="str">
        <f t="shared" si="635"/>
        <v>0P0</v>
      </c>
      <c r="AF2177" t="str">
        <f t="shared" si="636"/>
        <v>P00</v>
      </c>
      <c r="AG2177" t="str">
        <f t="shared" si="642"/>
        <v>0P00</v>
      </c>
      <c r="AH2177" t="str">
        <f t="shared" si="643"/>
        <v>P000</v>
      </c>
      <c r="AI2177" t="str">
        <f t="shared" si="644"/>
        <v>0P00</v>
      </c>
      <c r="AJ2177" t="str">
        <f t="shared" si="645"/>
        <v>P000</v>
      </c>
    </row>
    <row r="2178" spans="1:36" x14ac:dyDescent="0.25">
      <c r="A2178" s="325" t="str">
        <f>CONCATENATE("P",'906MP'!M1878)</f>
        <v>P</v>
      </c>
      <c r="B2178">
        <f>'906MP'!H1878</f>
        <v>0</v>
      </c>
      <c r="C2178">
        <f>'906MP'!J1878</f>
        <v>0</v>
      </c>
      <c r="D2178">
        <f>'906MP'!P1878</f>
        <v>0</v>
      </c>
      <c r="E2178">
        <f>'906MP'!X1878</f>
        <v>0</v>
      </c>
      <c r="F2178" t="str">
        <f t="shared" si="637"/>
        <v>0</v>
      </c>
      <c r="G2178" t="str">
        <f t="shared" si="638"/>
        <v>0</v>
      </c>
      <c r="H2178">
        <f>'906MP'!Y1878</f>
        <v>0</v>
      </c>
      <c r="I2178">
        <f>'906MP'!AK1878</f>
        <v>0</v>
      </c>
      <c r="J2178">
        <f>'906MP'!T1878</f>
        <v>0</v>
      </c>
      <c r="K2178">
        <f>'906MP'!AJ1878</f>
        <v>0</v>
      </c>
      <c r="L2178">
        <f>'906MP'!U1878</f>
        <v>0</v>
      </c>
      <c r="M2178" s="322" t="str">
        <f>IFERROR(VLOOKUP(A2178,PAR!$D$3:$E$53,2,FALSE),"nincs szervezet")</f>
        <v>nincs szervezet</v>
      </c>
      <c r="N2178" s="322" t="str">
        <f>VLOOKUP(F2178,PAR!$R$3:$S$5,2,FALSE)</f>
        <v>3 - egyik sem</v>
      </c>
      <c r="O2178" t="str">
        <f>IFERROR(VLOOKUP(J2178,PAR!$O$3:$P$5,2,FALSE),"nincs feladat")</f>
        <v>nincs feladat</v>
      </c>
      <c r="P2178" t="str">
        <f>IFERROR(VLOOKUP(G2178,PAR!$J$2:$M$19,4),"nincs rovat")</f>
        <v>nincs rovat</v>
      </c>
      <c r="Q2178" t="str">
        <f>IF(H2178&gt;0,VLOOKUP(H2178,PAR!$AA$3:$AC$187,3,FALSE),"nincs főkönyvi számla")</f>
        <v>nincs főkönyvi számla</v>
      </c>
      <c r="R2178" t="str">
        <f>IFERROR(VLOOKUP(K2178,PAR!$V$3:$X$438,3,FALSE),"000000 - Nincs COFOG")</f>
        <v>000000 - Nincs COFOG</v>
      </c>
      <c r="S2178">
        <f t="shared" si="639"/>
        <v>0</v>
      </c>
      <c r="T2178">
        <f t="shared" si="640"/>
        <v>0</v>
      </c>
      <c r="U2178" t="str">
        <f>IF('906MP'!J1878&gt;0,CONCATENATE('906MP'!J1878," - ",'906MP'!P1878,", ",'906MP'!E1878),"nincs megjegyzés")</f>
        <v>nincs megjegyzés</v>
      </c>
      <c r="V2178" t="str">
        <f t="shared" ref="V2178:V2241" si="646">CONCATENATE(B2178,A2178,G2178)</f>
        <v>0P0</v>
      </c>
      <c r="W2178" t="str">
        <f t="shared" ref="W2178:W2241" si="647">CONCATENATE(B2178,A2178,F2178)</f>
        <v>0P0</v>
      </c>
      <c r="X2178" t="str">
        <f t="shared" ref="X2178:X2241" si="648">CONCATENATE(A2178,H2178)</f>
        <v>P0</v>
      </c>
      <c r="Y2178" t="str">
        <f t="shared" ref="Y2178:Y2241" si="649">CONCATENATE(B2178,H2178)</f>
        <v>00</v>
      </c>
      <c r="Z2178" t="str">
        <f t="shared" si="641"/>
        <v>00</v>
      </c>
      <c r="AA2178" t="str">
        <f t="shared" ref="AA2178:AA2241" si="650">CONCATENATE(B2178,G2178)</f>
        <v>00</v>
      </c>
      <c r="AB2178" t="str">
        <f t="shared" ref="AB2178:AB2241" si="651">CONCATENATE(J2178,G2178)</f>
        <v>00</v>
      </c>
      <c r="AC2178" t="str">
        <f t="shared" ref="AC2178:AC2241" si="652">CONCATENATE(B2178,A2178,H2178)</f>
        <v>0P0</v>
      </c>
      <c r="AD2178" t="str">
        <f t="shared" ref="AD2178:AD2241" si="653">CONCATENATE(A2178,H2178,J2178)</f>
        <v>P00</v>
      </c>
      <c r="AE2178" t="str">
        <f t="shared" ref="AE2178:AE2241" si="654">CONCATENATE(B2178,A2178,G2178)</f>
        <v>0P0</v>
      </c>
      <c r="AF2178" t="str">
        <f t="shared" ref="AF2178:AF2241" si="655">CONCATENATE(A2178,G2178,J2178)</f>
        <v>P00</v>
      </c>
      <c r="AG2178" t="str">
        <f t="shared" si="642"/>
        <v>0P00</v>
      </c>
      <c r="AH2178" t="str">
        <f t="shared" si="643"/>
        <v>P000</v>
      </c>
      <c r="AI2178" t="str">
        <f t="shared" si="644"/>
        <v>0P00</v>
      </c>
      <c r="AJ2178" t="str">
        <f t="shared" si="645"/>
        <v>P000</v>
      </c>
    </row>
    <row r="2179" spans="1:36" x14ac:dyDescent="0.25">
      <c r="A2179" s="325" t="str">
        <f>CONCATENATE("P",'906MP'!M1879)</f>
        <v>P</v>
      </c>
      <c r="B2179">
        <f>'906MP'!H1879</f>
        <v>0</v>
      </c>
      <c r="C2179">
        <f>'906MP'!J1879</f>
        <v>0</v>
      </c>
      <c r="D2179">
        <f>'906MP'!P1879</f>
        <v>0</v>
      </c>
      <c r="E2179">
        <f>'906MP'!X1879</f>
        <v>0</v>
      </c>
      <c r="F2179" t="str">
        <f t="shared" ref="F2179:F2242" si="656">LEFT(G2179,2)</f>
        <v>0</v>
      </c>
      <c r="G2179" t="str">
        <f t="shared" ref="G2179:G2242" si="657">LEFT(H2179,3)</f>
        <v>0</v>
      </c>
      <c r="H2179">
        <f>'906MP'!Y1879</f>
        <v>0</v>
      </c>
      <c r="I2179">
        <f>'906MP'!AK1879</f>
        <v>0</v>
      </c>
      <c r="J2179">
        <f>'906MP'!T1879</f>
        <v>0</v>
      </c>
      <c r="K2179">
        <f>'906MP'!AJ1879</f>
        <v>0</v>
      </c>
      <c r="L2179">
        <f>'906MP'!U1879</f>
        <v>0</v>
      </c>
      <c r="M2179" s="322" t="str">
        <f>IFERROR(VLOOKUP(A2179,PAR!$D$3:$E$53,2,FALSE),"nincs szervezet")</f>
        <v>nincs szervezet</v>
      </c>
      <c r="N2179" s="322" t="str">
        <f>VLOOKUP(F2179,PAR!$R$3:$S$5,2,FALSE)</f>
        <v>3 - egyik sem</v>
      </c>
      <c r="O2179" t="str">
        <f>IFERROR(VLOOKUP(J2179,PAR!$O$3:$P$5,2,FALSE),"nincs feladat")</f>
        <v>nincs feladat</v>
      </c>
      <c r="P2179" t="str">
        <f>IFERROR(VLOOKUP(G2179,PAR!$J$2:$M$19,4),"nincs rovat")</f>
        <v>nincs rovat</v>
      </c>
      <c r="Q2179" t="str">
        <f>IF(H2179&gt;0,VLOOKUP(H2179,PAR!$AA$3:$AC$187,3,FALSE),"nincs főkönyvi számla")</f>
        <v>nincs főkönyvi számla</v>
      </c>
      <c r="R2179" t="str">
        <f>IFERROR(VLOOKUP(K2179,PAR!$V$3:$X$438,3,FALSE),"000000 - Nincs COFOG")</f>
        <v>000000 - Nincs COFOG</v>
      </c>
      <c r="S2179">
        <f t="shared" ref="S2179:S2242" si="658">E2179</f>
        <v>0</v>
      </c>
      <c r="T2179">
        <f t="shared" ref="T2179:T2242" si="659">IF(F2179="09",E2179*-1,E2179)</f>
        <v>0</v>
      </c>
      <c r="U2179" t="str">
        <f>IF('906MP'!J1879&gt;0,CONCATENATE('906MP'!J1879," - ",'906MP'!P1879,", ",'906MP'!E1879),"nincs megjegyzés")</f>
        <v>nincs megjegyzés</v>
      </c>
      <c r="V2179" t="str">
        <f t="shared" si="646"/>
        <v>0P0</v>
      </c>
      <c r="W2179" t="str">
        <f t="shared" si="647"/>
        <v>0P0</v>
      </c>
      <c r="X2179" t="str">
        <f t="shared" si="648"/>
        <v>P0</v>
      </c>
      <c r="Y2179" t="str">
        <f t="shared" si="649"/>
        <v>00</v>
      </c>
      <c r="Z2179" t="str">
        <f t="shared" ref="Z2179:Z2242" si="660">CONCATENATE(J2179,H2179)</f>
        <v>00</v>
      </c>
      <c r="AA2179" t="str">
        <f t="shared" si="650"/>
        <v>00</v>
      </c>
      <c r="AB2179" t="str">
        <f t="shared" si="651"/>
        <v>00</v>
      </c>
      <c r="AC2179" t="str">
        <f t="shared" si="652"/>
        <v>0P0</v>
      </c>
      <c r="AD2179" t="str">
        <f t="shared" si="653"/>
        <v>P00</v>
      </c>
      <c r="AE2179" t="str">
        <f t="shared" si="654"/>
        <v>0P0</v>
      </c>
      <c r="AF2179" t="str">
        <f t="shared" si="655"/>
        <v>P00</v>
      </c>
      <c r="AG2179" t="str">
        <f t="shared" ref="AG2179:AG2242" si="661">CONCATENATE(B2179,A2179,H2179,L2179)</f>
        <v>0P00</v>
      </c>
      <c r="AH2179" t="str">
        <f t="shared" ref="AH2179:AH2242" si="662">CONCATENATE(A2179,J2179,H2179,L2179)</f>
        <v>P000</v>
      </c>
      <c r="AI2179" t="str">
        <f t="shared" ref="AI2179:AI2242" si="663">CONCATENATE(B2179,A2179,G2179,L2179)</f>
        <v>0P00</v>
      </c>
      <c r="AJ2179" t="str">
        <f t="shared" ref="AJ2179:AJ2242" si="664">CONCATENATE(A2179,G2179,J2179,L2179)</f>
        <v>P000</v>
      </c>
    </row>
    <row r="2180" spans="1:36" x14ac:dyDescent="0.25">
      <c r="A2180" s="325" t="str">
        <f>CONCATENATE("P",'906MP'!M1880)</f>
        <v>P</v>
      </c>
      <c r="B2180">
        <f>'906MP'!H1880</f>
        <v>0</v>
      </c>
      <c r="C2180">
        <f>'906MP'!J1880</f>
        <v>0</v>
      </c>
      <c r="D2180">
        <f>'906MP'!P1880</f>
        <v>0</v>
      </c>
      <c r="E2180">
        <f>'906MP'!X1880</f>
        <v>0</v>
      </c>
      <c r="F2180" t="str">
        <f t="shared" si="656"/>
        <v>0</v>
      </c>
      <c r="G2180" t="str">
        <f t="shared" si="657"/>
        <v>0</v>
      </c>
      <c r="H2180">
        <f>'906MP'!Y1880</f>
        <v>0</v>
      </c>
      <c r="I2180">
        <f>'906MP'!AK1880</f>
        <v>0</v>
      </c>
      <c r="J2180">
        <f>'906MP'!T1880</f>
        <v>0</v>
      </c>
      <c r="K2180">
        <f>'906MP'!AJ1880</f>
        <v>0</v>
      </c>
      <c r="L2180">
        <f>'906MP'!U1880</f>
        <v>0</v>
      </c>
      <c r="M2180" s="322" t="str">
        <f>IFERROR(VLOOKUP(A2180,PAR!$D$3:$E$53,2,FALSE),"nincs szervezet")</f>
        <v>nincs szervezet</v>
      </c>
      <c r="N2180" s="322" t="str">
        <f>VLOOKUP(F2180,PAR!$R$3:$S$5,2,FALSE)</f>
        <v>3 - egyik sem</v>
      </c>
      <c r="O2180" t="str">
        <f>IFERROR(VLOOKUP(J2180,PAR!$O$3:$P$5,2,FALSE),"nincs feladat")</f>
        <v>nincs feladat</v>
      </c>
      <c r="P2180" t="str">
        <f>IFERROR(VLOOKUP(G2180,PAR!$J$2:$M$19,4),"nincs rovat")</f>
        <v>nincs rovat</v>
      </c>
      <c r="Q2180" t="str">
        <f>IF(H2180&gt;0,VLOOKUP(H2180,PAR!$AA$3:$AC$187,3,FALSE),"nincs főkönyvi számla")</f>
        <v>nincs főkönyvi számla</v>
      </c>
      <c r="R2180" t="str">
        <f>IFERROR(VLOOKUP(K2180,PAR!$V$3:$X$438,3,FALSE),"000000 - Nincs COFOG")</f>
        <v>000000 - Nincs COFOG</v>
      </c>
      <c r="S2180">
        <f t="shared" si="658"/>
        <v>0</v>
      </c>
      <c r="T2180">
        <f t="shared" si="659"/>
        <v>0</v>
      </c>
      <c r="U2180" t="str">
        <f>IF('906MP'!J1880&gt;0,CONCATENATE('906MP'!J1880," - ",'906MP'!P1880,", ",'906MP'!E1880),"nincs megjegyzés")</f>
        <v>nincs megjegyzés</v>
      </c>
      <c r="V2180" t="str">
        <f t="shared" si="646"/>
        <v>0P0</v>
      </c>
      <c r="W2180" t="str">
        <f t="shared" si="647"/>
        <v>0P0</v>
      </c>
      <c r="X2180" t="str">
        <f t="shared" si="648"/>
        <v>P0</v>
      </c>
      <c r="Y2180" t="str">
        <f t="shared" si="649"/>
        <v>00</v>
      </c>
      <c r="Z2180" t="str">
        <f t="shared" si="660"/>
        <v>00</v>
      </c>
      <c r="AA2180" t="str">
        <f t="shared" si="650"/>
        <v>00</v>
      </c>
      <c r="AB2180" t="str">
        <f t="shared" si="651"/>
        <v>00</v>
      </c>
      <c r="AC2180" t="str">
        <f t="shared" si="652"/>
        <v>0P0</v>
      </c>
      <c r="AD2180" t="str">
        <f t="shared" si="653"/>
        <v>P00</v>
      </c>
      <c r="AE2180" t="str">
        <f t="shared" si="654"/>
        <v>0P0</v>
      </c>
      <c r="AF2180" t="str">
        <f t="shared" si="655"/>
        <v>P00</v>
      </c>
      <c r="AG2180" t="str">
        <f t="shared" si="661"/>
        <v>0P00</v>
      </c>
      <c r="AH2180" t="str">
        <f t="shared" si="662"/>
        <v>P000</v>
      </c>
      <c r="AI2180" t="str">
        <f t="shared" si="663"/>
        <v>0P00</v>
      </c>
      <c r="AJ2180" t="str">
        <f t="shared" si="664"/>
        <v>P000</v>
      </c>
    </row>
    <row r="2181" spans="1:36" x14ac:dyDescent="0.25">
      <c r="A2181" s="325" t="str">
        <f>CONCATENATE("P",'906MP'!M1881)</f>
        <v>P</v>
      </c>
      <c r="B2181">
        <f>'906MP'!H1881</f>
        <v>0</v>
      </c>
      <c r="C2181">
        <f>'906MP'!J1881</f>
        <v>0</v>
      </c>
      <c r="D2181">
        <f>'906MP'!P1881</f>
        <v>0</v>
      </c>
      <c r="E2181">
        <f>'906MP'!X1881</f>
        <v>0</v>
      </c>
      <c r="F2181" t="str">
        <f t="shared" si="656"/>
        <v>0</v>
      </c>
      <c r="G2181" t="str">
        <f t="shared" si="657"/>
        <v>0</v>
      </c>
      <c r="H2181">
        <f>'906MP'!Y1881</f>
        <v>0</v>
      </c>
      <c r="I2181">
        <f>'906MP'!AK1881</f>
        <v>0</v>
      </c>
      <c r="J2181">
        <f>'906MP'!T1881</f>
        <v>0</v>
      </c>
      <c r="K2181">
        <f>'906MP'!AJ1881</f>
        <v>0</v>
      </c>
      <c r="L2181">
        <f>'906MP'!U1881</f>
        <v>0</v>
      </c>
      <c r="M2181" s="322" t="str">
        <f>IFERROR(VLOOKUP(A2181,PAR!$D$3:$E$53,2,FALSE),"nincs szervezet")</f>
        <v>nincs szervezet</v>
      </c>
      <c r="N2181" s="322" t="str">
        <f>VLOOKUP(F2181,PAR!$R$3:$S$5,2,FALSE)</f>
        <v>3 - egyik sem</v>
      </c>
      <c r="O2181" t="str">
        <f>IFERROR(VLOOKUP(J2181,PAR!$O$3:$P$5,2,FALSE),"nincs feladat")</f>
        <v>nincs feladat</v>
      </c>
      <c r="P2181" t="str">
        <f>IFERROR(VLOOKUP(G2181,PAR!$J$2:$M$19,4),"nincs rovat")</f>
        <v>nincs rovat</v>
      </c>
      <c r="Q2181" t="str">
        <f>IF(H2181&gt;0,VLOOKUP(H2181,PAR!$AA$3:$AC$187,3,FALSE),"nincs főkönyvi számla")</f>
        <v>nincs főkönyvi számla</v>
      </c>
      <c r="R2181" t="str">
        <f>IFERROR(VLOOKUP(K2181,PAR!$V$3:$X$438,3,FALSE),"000000 - Nincs COFOG")</f>
        <v>000000 - Nincs COFOG</v>
      </c>
      <c r="S2181">
        <f t="shared" si="658"/>
        <v>0</v>
      </c>
      <c r="T2181">
        <f t="shared" si="659"/>
        <v>0</v>
      </c>
      <c r="U2181" t="str">
        <f>IF('906MP'!J1881&gt;0,CONCATENATE('906MP'!J1881," - ",'906MP'!P1881,", ",'906MP'!E1881),"nincs megjegyzés")</f>
        <v>nincs megjegyzés</v>
      </c>
      <c r="V2181" t="str">
        <f t="shared" si="646"/>
        <v>0P0</v>
      </c>
      <c r="W2181" t="str">
        <f t="shared" si="647"/>
        <v>0P0</v>
      </c>
      <c r="X2181" t="str">
        <f t="shared" si="648"/>
        <v>P0</v>
      </c>
      <c r="Y2181" t="str">
        <f t="shared" si="649"/>
        <v>00</v>
      </c>
      <c r="Z2181" t="str">
        <f t="shared" si="660"/>
        <v>00</v>
      </c>
      <c r="AA2181" t="str">
        <f t="shared" si="650"/>
        <v>00</v>
      </c>
      <c r="AB2181" t="str">
        <f t="shared" si="651"/>
        <v>00</v>
      </c>
      <c r="AC2181" t="str">
        <f t="shared" si="652"/>
        <v>0P0</v>
      </c>
      <c r="AD2181" t="str">
        <f t="shared" si="653"/>
        <v>P00</v>
      </c>
      <c r="AE2181" t="str">
        <f t="shared" si="654"/>
        <v>0P0</v>
      </c>
      <c r="AF2181" t="str">
        <f t="shared" si="655"/>
        <v>P00</v>
      </c>
      <c r="AG2181" t="str">
        <f t="shared" si="661"/>
        <v>0P00</v>
      </c>
      <c r="AH2181" t="str">
        <f t="shared" si="662"/>
        <v>P000</v>
      </c>
      <c r="AI2181" t="str">
        <f t="shared" si="663"/>
        <v>0P00</v>
      </c>
      <c r="AJ2181" t="str">
        <f t="shared" si="664"/>
        <v>P000</v>
      </c>
    </row>
    <row r="2182" spans="1:36" x14ac:dyDescent="0.25">
      <c r="A2182" s="325" t="str">
        <f>CONCATENATE("P",'906MP'!M1882)</f>
        <v>P</v>
      </c>
      <c r="B2182">
        <f>'906MP'!H1882</f>
        <v>0</v>
      </c>
      <c r="C2182">
        <f>'906MP'!J1882</f>
        <v>0</v>
      </c>
      <c r="D2182">
        <f>'906MP'!P1882</f>
        <v>0</v>
      </c>
      <c r="E2182">
        <f>'906MP'!X1882</f>
        <v>0</v>
      </c>
      <c r="F2182" t="str">
        <f t="shared" si="656"/>
        <v>0</v>
      </c>
      <c r="G2182" t="str">
        <f t="shared" si="657"/>
        <v>0</v>
      </c>
      <c r="H2182">
        <f>'906MP'!Y1882</f>
        <v>0</v>
      </c>
      <c r="I2182">
        <f>'906MP'!AK1882</f>
        <v>0</v>
      </c>
      <c r="J2182">
        <f>'906MP'!T1882</f>
        <v>0</v>
      </c>
      <c r="K2182">
        <f>'906MP'!AJ1882</f>
        <v>0</v>
      </c>
      <c r="L2182">
        <f>'906MP'!U1882</f>
        <v>0</v>
      </c>
      <c r="M2182" s="322" t="str">
        <f>IFERROR(VLOOKUP(A2182,PAR!$D$3:$E$53,2,FALSE),"nincs szervezet")</f>
        <v>nincs szervezet</v>
      </c>
      <c r="N2182" s="322" t="str">
        <f>VLOOKUP(F2182,PAR!$R$3:$S$5,2,FALSE)</f>
        <v>3 - egyik sem</v>
      </c>
      <c r="O2182" t="str">
        <f>IFERROR(VLOOKUP(J2182,PAR!$O$3:$P$5,2,FALSE),"nincs feladat")</f>
        <v>nincs feladat</v>
      </c>
      <c r="P2182" t="str">
        <f>IFERROR(VLOOKUP(G2182,PAR!$J$2:$M$19,4),"nincs rovat")</f>
        <v>nincs rovat</v>
      </c>
      <c r="Q2182" t="str">
        <f>IF(H2182&gt;0,VLOOKUP(H2182,PAR!$AA$3:$AC$187,3,FALSE),"nincs főkönyvi számla")</f>
        <v>nincs főkönyvi számla</v>
      </c>
      <c r="R2182" t="str">
        <f>IFERROR(VLOOKUP(K2182,PAR!$V$3:$X$438,3,FALSE),"000000 - Nincs COFOG")</f>
        <v>000000 - Nincs COFOG</v>
      </c>
      <c r="S2182">
        <f t="shared" si="658"/>
        <v>0</v>
      </c>
      <c r="T2182">
        <f t="shared" si="659"/>
        <v>0</v>
      </c>
      <c r="U2182" t="str">
        <f>IF('906MP'!J1882&gt;0,CONCATENATE('906MP'!J1882," - ",'906MP'!P1882,", ",'906MP'!E1882),"nincs megjegyzés")</f>
        <v>nincs megjegyzés</v>
      </c>
      <c r="V2182" t="str">
        <f t="shared" si="646"/>
        <v>0P0</v>
      </c>
      <c r="W2182" t="str">
        <f t="shared" si="647"/>
        <v>0P0</v>
      </c>
      <c r="X2182" t="str">
        <f t="shared" si="648"/>
        <v>P0</v>
      </c>
      <c r="Y2182" t="str">
        <f t="shared" si="649"/>
        <v>00</v>
      </c>
      <c r="Z2182" t="str">
        <f t="shared" si="660"/>
        <v>00</v>
      </c>
      <c r="AA2182" t="str">
        <f t="shared" si="650"/>
        <v>00</v>
      </c>
      <c r="AB2182" t="str">
        <f t="shared" si="651"/>
        <v>00</v>
      </c>
      <c r="AC2182" t="str">
        <f t="shared" si="652"/>
        <v>0P0</v>
      </c>
      <c r="AD2182" t="str">
        <f t="shared" si="653"/>
        <v>P00</v>
      </c>
      <c r="AE2182" t="str">
        <f t="shared" si="654"/>
        <v>0P0</v>
      </c>
      <c r="AF2182" t="str">
        <f t="shared" si="655"/>
        <v>P00</v>
      </c>
      <c r="AG2182" t="str">
        <f t="shared" si="661"/>
        <v>0P00</v>
      </c>
      <c r="AH2182" t="str">
        <f t="shared" si="662"/>
        <v>P000</v>
      </c>
      <c r="AI2182" t="str">
        <f t="shared" si="663"/>
        <v>0P00</v>
      </c>
      <c r="AJ2182" t="str">
        <f t="shared" si="664"/>
        <v>P000</v>
      </c>
    </row>
    <row r="2183" spans="1:36" x14ac:dyDescent="0.25">
      <c r="A2183" s="325" t="str">
        <f>CONCATENATE("P",'906MP'!M1883)</f>
        <v>P</v>
      </c>
      <c r="B2183">
        <f>'906MP'!H1883</f>
        <v>0</v>
      </c>
      <c r="C2183">
        <f>'906MP'!J1883</f>
        <v>0</v>
      </c>
      <c r="D2183">
        <f>'906MP'!P1883</f>
        <v>0</v>
      </c>
      <c r="E2183">
        <f>'906MP'!X1883</f>
        <v>0</v>
      </c>
      <c r="F2183" t="str">
        <f t="shared" si="656"/>
        <v>0</v>
      </c>
      <c r="G2183" t="str">
        <f t="shared" si="657"/>
        <v>0</v>
      </c>
      <c r="H2183">
        <f>'906MP'!Y1883</f>
        <v>0</v>
      </c>
      <c r="I2183">
        <f>'906MP'!AK1883</f>
        <v>0</v>
      </c>
      <c r="J2183">
        <f>'906MP'!T1883</f>
        <v>0</v>
      </c>
      <c r="K2183">
        <f>'906MP'!AJ1883</f>
        <v>0</v>
      </c>
      <c r="L2183">
        <f>'906MP'!U1883</f>
        <v>0</v>
      </c>
      <c r="M2183" s="322" t="str">
        <f>IFERROR(VLOOKUP(A2183,PAR!$D$3:$E$53,2,FALSE),"nincs szervezet")</f>
        <v>nincs szervezet</v>
      </c>
      <c r="N2183" s="322" t="str">
        <f>VLOOKUP(F2183,PAR!$R$3:$S$5,2,FALSE)</f>
        <v>3 - egyik sem</v>
      </c>
      <c r="O2183" t="str">
        <f>IFERROR(VLOOKUP(J2183,PAR!$O$3:$P$5,2,FALSE),"nincs feladat")</f>
        <v>nincs feladat</v>
      </c>
      <c r="P2183" t="str">
        <f>IFERROR(VLOOKUP(G2183,PAR!$J$2:$M$19,4),"nincs rovat")</f>
        <v>nincs rovat</v>
      </c>
      <c r="Q2183" t="str">
        <f>IF(H2183&gt;0,VLOOKUP(H2183,PAR!$AA$3:$AC$187,3,FALSE),"nincs főkönyvi számla")</f>
        <v>nincs főkönyvi számla</v>
      </c>
      <c r="R2183" t="str">
        <f>IFERROR(VLOOKUP(K2183,PAR!$V$3:$X$438,3,FALSE),"000000 - Nincs COFOG")</f>
        <v>000000 - Nincs COFOG</v>
      </c>
      <c r="S2183">
        <f t="shared" si="658"/>
        <v>0</v>
      </c>
      <c r="T2183">
        <f t="shared" si="659"/>
        <v>0</v>
      </c>
      <c r="U2183" t="str">
        <f>IF('906MP'!J1883&gt;0,CONCATENATE('906MP'!J1883," - ",'906MP'!P1883,", ",'906MP'!E1883),"nincs megjegyzés")</f>
        <v>nincs megjegyzés</v>
      </c>
      <c r="V2183" t="str">
        <f t="shared" si="646"/>
        <v>0P0</v>
      </c>
      <c r="W2183" t="str">
        <f t="shared" si="647"/>
        <v>0P0</v>
      </c>
      <c r="X2183" t="str">
        <f t="shared" si="648"/>
        <v>P0</v>
      </c>
      <c r="Y2183" t="str">
        <f t="shared" si="649"/>
        <v>00</v>
      </c>
      <c r="Z2183" t="str">
        <f t="shared" si="660"/>
        <v>00</v>
      </c>
      <c r="AA2183" t="str">
        <f t="shared" si="650"/>
        <v>00</v>
      </c>
      <c r="AB2183" t="str">
        <f t="shared" si="651"/>
        <v>00</v>
      </c>
      <c r="AC2183" t="str">
        <f t="shared" si="652"/>
        <v>0P0</v>
      </c>
      <c r="AD2183" t="str">
        <f t="shared" si="653"/>
        <v>P00</v>
      </c>
      <c r="AE2183" t="str">
        <f t="shared" si="654"/>
        <v>0P0</v>
      </c>
      <c r="AF2183" t="str">
        <f t="shared" si="655"/>
        <v>P00</v>
      </c>
      <c r="AG2183" t="str">
        <f t="shared" si="661"/>
        <v>0P00</v>
      </c>
      <c r="AH2183" t="str">
        <f t="shared" si="662"/>
        <v>P000</v>
      </c>
      <c r="AI2183" t="str">
        <f t="shared" si="663"/>
        <v>0P00</v>
      </c>
      <c r="AJ2183" t="str">
        <f t="shared" si="664"/>
        <v>P000</v>
      </c>
    </row>
    <row r="2184" spans="1:36" x14ac:dyDescent="0.25">
      <c r="A2184" s="325" t="str">
        <f>CONCATENATE("P",'906MP'!M1884)</f>
        <v>P</v>
      </c>
      <c r="B2184">
        <f>'906MP'!H1884</f>
        <v>0</v>
      </c>
      <c r="C2184">
        <f>'906MP'!J1884</f>
        <v>0</v>
      </c>
      <c r="D2184">
        <f>'906MP'!P1884</f>
        <v>0</v>
      </c>
      <c r="E2184">
        <f>'906MP'!X1884</f>
        <v>0</v>
      </c>
      <c r="F2184" t="str">
        <f t="shared" si="656"/>
        <v>0</v>
      </c>
      <c r="G2184" t="str">
        <f t="shared" si="657"/>
        <v>0</v>
      </c>
      <c r="H2184">
        <f>'906MP'!Y1884</f>
        <v>0</v>
      </c>
      <c r="I2184">
        <f>'906MP'!AK1884</f>
        <v>0</v>
      </c>
      <c r="J2184">
        <f>'906MP'!T1884</f>
        <v>0</v>
      </c>
      <c r="K2184">
        <f>'906MP'!AJ1884</f>
        <v>0</v>
      </c>
      <c r="L2184">
        <f>'906MP'!U1884</f>
        <v>0</v>
      </c>
      <c r="M2184" s="322" t="str">
        <f>IFERROR(VLOOKUP(A2184,PAR!$D$3:$E$53,2,FALSE),"nincs szervezet")</f>
        <v>nincs szervezet</v>
      </c>
      <c r="N2184" s="322" t="str">
        <f>VLOOKUP(F2184,PAR!$R$3:$S$5,2,FALSE)</f>
        <v>3 - egyik sem</v>
      </c>
      <c r="O2184" t="str">
        <f>IFERROR(VLOOKUP(J2184,PAR!$O$3:$P$5,2,FALSE),"nincs feladat")</f>
        <v>nincs feladat</v>
      </c>
      <c r="P2184" t="str">
        <f>IFERROR(VLOOKUP(G2184,PAR!$J$2:$M$19,4),"nincs rovat")</f>
        <v>nincs rovat</v>
      </c>
      <c r="Q2184" t="str">
        <f>IF(H2184&gt;0,VLOOKUP(H2184,PAR!$AA$3:$AC$187,3,FALSE),"nincs főkönyvi számla")</f>
        <v>nincs főkönyvi számla</v>
      </c>
      <c r="R2184" t="str">
        <f>IFERROR(VLOOKUP(K2184,PAR!$V$3:$X$438,3,FALSE),"000000 - Nincs COFOG")</f>
        <v>000000 - Nincs COFOG</v>
      </c>
      <c r="S2184">
        <f t="shared" si="658"/>
        <v>0</v>
      </c>
      <c r="T2184">
        <f t="shared" si="659"/>
        <v>0</v>
      </c>
      <c r="U2184" t="str">
        <f>IF('906MP'!J1884&gt;0,CONCATENATE('906MP'!J1884," - ",'906MP'!P1884,", ",'906MP'!E1884),"nincs megjegyzés")</f>
        <v>nincs megjegyzés</v>
      </c>
      <c r="V2184" t="str">
        <f t="shared" si="646"/>
        <v>0P0</v>
      </c>
      <c r="W2184" t="str">
        <f t="shared" si="647"/>
        <v>0P0</v>
      </c>
      <c r="X2184" t="str">
        <f t="shared" si="648"/>
        <v>P0</v>
      </c>
      <c r="Y2184" t="str">
        <f t="shared" si="649"/>
        <v>00</v>
      </c>
      <c r="Z2184" t="str">
        <f t="shared" si="660"/>
        <v>00</v>
      </c>
      <c r="AA2184" t="str">
        <f t="shared" si="650"/>
        <v>00</v>
      </c>
      <c r="AB2184" t="str">
        <f t="shared" si="651"/>
        <v>00</v>
      </c>
      <c r="AC2184" t="str">
        <f t="shared" si="652"/>
        <v>0P0</v>
      </c>
      <c r="AD2184" t="str">
        <f t="shared" si="653"/>
        <v>P00</v>
      </c>
      <c r="AE2184" t="str">
        <f t="shared" si="654"/>
        <v>0P0</v>
      </c>
      <c r="AF2184" t="str">
        <f t="shared" si="655"/>
        <v>P00</v>
      </c>
      <c r="AG2184" t="str">
        <f t="shared" si="661"/>
        <v>0P00</v>
      </c>
      <c r="AH2184" t="str">
        <f t="shared" si="662"/>
        <v>P000</v>
      </c>
      <c r="AI2184" t="str">
        <f t="shared" si="663"/>
        <v>0P00</v>
      </c>
      <c r="AJ2184" t="str">
        <f t="shared" si="664"/>
        <v>P000</v>
      </c>
    </row>
    <row r="2185" spans="1:36" x14ac:dyDescent="0.25">
      <c r="A2185" s="325" t="str">
        <f>CONCATENATE("P",'906MP'!M1885)</f>
        <v>P</v>
      </c>
      <c r="B2185">
        <f>'906MP'!H1885</f>
        <v>0</v>
      </c>
      <c r="C2185">
        <f>'906MP'!J1885</f>
        <v>0</v>
      </c>
      <c r="D2185">
        <f>'906MP'!P1885</f>
        <v>0</v>
      </c>
      <c r="E2185">
        <f>'906MP'!X1885</f>
        <v>0</v>
      </c>
      <c r="F2185" t="str">
        <f t="shared" si="656"/>
        <v>0</v>
      </c>
      <c r="G2185" t="str">
        <f t="shared" si="657"/>
        <v>0</v>
      </c>
      <c r="H2185">
        <f>'906MP'!Y1885</f>
        <v>0</v>
      </c>
      <c r="I2185">
        <f>'906MP'!AK1885</f>
        <v>0</v>
      </c>
      <c r="J2185">
        <f>'906MP'!T1885</f>
        <v>0</v>
      </c>
      <c r="K2185">
        <f>'906MP'!AJ1885</f>
        <v>0</v>
      </c>
      <c r="L2185">
        <f>'906MP'!U1885</f>
        <v>0</v>
      </c>
      <c r="M2185" s="322" t="str">
        <f>IFERROR(VLOOKUP(A2185,PAR!$D$3:$E$53,2,FALSE),"nincs szervezet")</f>
        <v>nincs szervezet</v>
      </c>
      <c r="N2185" s="322" t="str">
        <f>VLOOKUP(F2185,PAR!$R$3:$S$5,2,FALSE)</f>
        <v>3 - egyik sem</v>
      </c>
      <c r="O2185" t="str">
        <f>IFERROR(VLOOKUP(J2185,PAR!$O$3:$P$5,2,FALSE),"nincs feladat")</f>
        <v>nincs feladat</v>
      </c>
      <c r="P2185" t="str">
        <f>IFERROR(VLOOKUP(G2185,PAR!$J$2:$M$19,4),"nincs rovat")</f>
        <v>nincs rovat</v>
      </c>
      <c r="Q2185" t="str">
        <f>IF(H2185&gt;0,VLOOKUP(H2185,PAR!$AA$3:$AC$187,3,FALSE),"nincs főkönyvi számla")</f>
        <v>nincs főkönyvi számla</v>
      </c>
      <c r="R2185" t="str">
        <f>IFERROR(VLOOKUP(K2185,PAR!$V$3:$X$438,3,FALSE),"000000 - Nincs COFOG")</f>
        <v>000000 - Nincs COFOG</v>
      </c>
      <c r="S2185">
        <f t="shared" si="658"/>
        <v>0</v>
      </c>
      <c r="T2185">
        <f t="shared" si="659"/>
        <v>0</v>
      </c>
      <c r="U2185" t="str">
        <f>IF('906MP'!J1885&gt;0,CONCATENATE('906MP'!J1885," - ",'906MP'!P1885,", ",'906MP'!E1885),"nincs megjegyzés")</f>
        <v>nincs megjegyzés</v>
      </c>
      <c r="V2185" t="str">
        <f t="shared" si="646"/>
        <v>0P0</v>
      </c>
      <c r="W2185" t="str">
        <f t="shared" si="647"/>
        <v>0P0</v>
      </c>
      <c r="X2185" t="str">
        <f t="shared" si="648"/>
        <v>P0</v>
      </c>
      <c r="Y2185" t="str">
        <f t="shared" si="649"/>
        <v>00</v>
      </c>
      <c r="Z2185" t="str">
        <f t="shared" si="660"/>
        <v>00</v>
      </c>
      <c r="AA2185" t="str">
        <f t="shared" si="650"/>
        <v>00</v>
      </c>
      <c r="AB2185" t="str">
        <f t="shared" si="651"/>
        <v>00</v>
      </c>
      <c r="AC2185" t="str">
        <f t="shared" si="652"/>
        <v>0P0</v>
      </c>
      <c r="AD2185" t="str">
        <f t="shared" si="653"/>
        <v>P00</v>
      </c>
      <c r="AE2185" t="str">
        <f t="shared" si="654"/>
        <v>0P0</v>
      </c>
      <c r="AF2185" t="str">
        <f t="shared" si="655"/>
        <v>P00</v>
      </c>
      <c r="AG2185" t="str">
        <f t="shared" si="661"/>
        <v>0P00</v>
      </c>
      <c r="AH2185" t="str">
        <f t="shared" si="662"/>
        <v>P000</v>
      </c>
      <c r="AI2185" t="str">
        <f t="shared" si="663"/>
        <v>0P00</v>
      </c>
      <c r="AJ2185" t="str">
        <f t="shared" si="664"/>
        <v>P000</v>
      </c>
    </row>
    <row r="2186" spans="1:36" x14ac:dyDescent="0.25">
      <c r="A2186" s="325" t="str">
        <f>CONCATENATE("P",'906MP'!M1886)</f>
        <v>P</v>
      </c>
      <c r="B2186">
        <f>'906MP'!H1886</f>
        <v>0</v>
      </c>
      <c r="C2186">
        <f>'906MP'!J1886</f>
        <v>0</v>
      </c>
      <c r="D2186">
        <f>'906MP'!P1886</f>
        <v>0</v>
      </c>
      <c r="E2186">
        <f>'906MP'!X1886</f>
        <v>0</v>
      </c>
      <c r="F2186" t="str">
        <f t="shared" si="656"/>
        <v>0</v>
      </c>
      <c r="G2186" t="str">
        <f t="shared" si="657"/>
        <v>0</v>
      </c>
      <c r="H2186">
        <f>'906MP'!Y1886</f>
        <v>0</v>
      </c>
      <c r="I2186">
        <f>'906MP'!AK1886</f>
        <v>0</v>
      </c>
      <c r="J2186">
        <f>'906MP'!T1886</f>
        <v>0</v>
      </c>
      <c r="K2186">
        <f>'906MP'!AJ1886</f>
        <v>0</v>
      </c>
      <c r="L2186">
        <f>'906MP'!U1886</f>
        <v>0</v>
      </c>
      <c r="M2186" s="322" t="str">
        <f>IFERROR(VLOOKUP(A2186,PAR!$D$3:$E$53,2,FALSE),"nincs szervezet")</f>
        <v>nincs szervezet</v>
      </c>
      <c r="N2186" s="322" t="str">
        <f>VLOOKUP(F2186,PAR!$R$3:$S$5,2,FALSE)</f>
        <v>3 - egyik sem</v>
      </c>
      <c r="O2186" t="str">
        <f>IFERROR(VLOOKUP(J2186,PAR!$O$3:$P$5,2,FALSE),"nincs feladat")</f>
        <v>nincs feladat</v>
      </c>
      <c r="P2186" t="str">
        <f>IFERROR(VLOOKUP(G2186,PAR!$J$2:$M$19,4),"nincs rovat")</f>
        <v>nincs rovat</v>
      </c>
      <c r="Q2186" t="str">
        <f>IF(H2186&gt;0,VLOOKUP(H2186,PAR!$AA$3:$AC$187,3,FALSE),"nincs főkönyvi számla")</f>
        <v>nincs főkönyvi számla</v>
      </c>
      <c r="R2186" t="str">
        <f>IFERROR(VLOOKUP(K2186,PAR!$V$3:$X$438,3,FALSE),"000000 - Nincs COFOG")</f>
        <v>000000 - Nincs COFOG</v>
      </c>
      <c r="S2186">
        <f t="shared" si="658"/>
        <v>0</v>
      </c>
      <c r="T2186">
        <f t="shared" si="659"/>
        <v>0</v>
      </c>
      <c r="U2186" t="str">
        <f>IF('906MP'!J1886&gt;0,CONCATENATE('906MP'!J1886," - ",'906MP'!P1886,", ",'906MP'!E1886),"nincs megjegyzés")</f>
        <v>nincs megjegyzés</v>
      </c>
      <c r="V2186" t="str">
        <f t="shared" si="646"/>
        <v>0P0</v>
      </c>
      <c r="W2186" t="str">
        <f t="shared" si="647"/>
        <v>0P0</v>
      </c>
      <c r="X2186" t="str">
        <f t="shared" si="648"/>
        <v>P0</v>
      </c>
      <c r="Y2186" t="str">
        <f t="shared" si="649"/>
        <v>00</v>
      </c>
      <c r="Z2186" t="str">
        <f t="shared" si="660"/>
        <v>00</v>
      </c>
      <c r="AA2186" t="str">
        <f t="shared" si="650"/>
        <v>00</v>
      </c>
      <c r="AB2186" t="str">
        <f t="shared" si="651"/>
        <v>00</v>
      </c>
      <c r="AC2186" t="str">
        <f t="shared" si="652"/>
        <v>0P0</v>
      </c>
      <c r="AD2186" t="str">
        <f t="shared" si="653"/>
        <v>P00</v>
      </c>
      <c r="AE2186" t="str">
        <f t="shared" si="654"/>
        <v>0P0</v>
      </c>
      <c r="AF2186" t="str">
        <f t="shared" si="655"/>
        <v>P00</v>
      </c>
      <c r="AG2186" t="str">
        <f t="shared" si="661"/>
        <v>0P00</v>
      </c>
      <c r="AH2186" t="str">
        <f t="shared" si="662"/>
        <v>P000</v>
      </c>
      <c r="AI2186" t="str">
        <f t="shared" si="663"/>
        <v>0P00</v>
      </c>
      <c r="AJ2186" t="str">
        <f t="shared" si="664"/>
        <v>P000</v>
      </c>
    </row>
    <row r="2187" spans="1:36" x14ac:dyDescent="0.25">
      <c r="A2187" s="325" t="str">
        <f>CONCATENATE("P",'906MP'!M1887)</f>
        <v>P</v>
      </c>
      <c r="B2187">
        <f>'906MP'!H1887</f>
        <v>0</v>
      </c>
      <c r="C2187">
        <f>'906MP'!J1887</f>
        <v>0</v>
      </c>
      <c r="D2187">
        <f>'906MP'!P1887</f>
        <v>0</v>
      </c>
      <c r="E2187">
        <f>'906MP'!X1887</f>
        <v>0</v>
      </c>
      <c r="F2187" t="str">
        <f t="shared" si="656"/>
        <v>0</v>
      </c>
      <c r="G2187" t="str">
        <f t="shared" si="657"/>
        <v>0</v>
      </c>
      <c r="H2187">
        <f>'906MP'!Y1887</f>
        <v>0</v>
      </c>
      <c r="I2187">
        <f>'906MP'!AK1887</f>
        <v>0</v>
      </c>
      <c r="J2187">
        <f>'906MP'!T1887</f>
        <v>0</v>
      </c>
      <c r="K2187">
        <f>'906MP'!AJ1887</f>
        <v>0</v>
      </c>
      <c r="L2187">
        <f>'906MP'!U1887</f>
        <v>0</v>
      </c>
      <c r="M2187" s="322" t="str">
        <f>IFERROR(VLOOKUP(A2187,PAR!$D$3:$E$53,2,FALSE),"nincs szervezet")</f>
        <v>nincs szervezet</v>
      </c>
      <c r="N2187" s="322" t="str">
        <f>VLOOKUP(F2187,PAR!$R$3:$S$5,2,FALSE)</f>
        <v>3 - egyik sem</v>
      </c>
      <c r="O2187" t="str">
        <f>IFERROR(VLOOKUP(J2187,PAR!$O$3:$P$5,2,FALSE),"nincs feladat")</f>
        <v>nincs feladat</v>
      </c>
      <c r="P2187" t="str">
        <f>IFERROR(VLOOKUP(G2187,PAR!$J$2:$M$19,4),"nincs rovat")</f>
        <v>nincs rovat</v>
      </c>
      <c r="Q2187" t="str">
        <f>IF(H2187&gt;0,VLOOKUP(H2187,PAR!$AA$3:$AC$187,3,FALSE),"nincs főkönyvi számla")</f>
        <v>nincs főkönyvi számla</v>
      </c>
      <c r="R2187" t="str">
        <f>IFERROR(VLOOKUP(K2187,PAR!$V$3:$X$438,3,FALSE),"000000 - Nincs COFOG")</f>
        <v>000000 - Nincs COFOG</v>
      </c>
      <c r="S2187">
        <f t="shared" si="658"/>
        <v>0</v>
      </c>
      <c r="T2187">
        <f t="shared" si="659"/>
        <v>0</v>
      </c>
      <c r="U2187" t="str">
        <f>IF('906MP'!J1887&gt;0,CONCATENATE('906MP'!J1887," - ",'906MP'!P1887,", ",'906MP'!E1887),"nincs megjegyzés")</f>
        <v>nincs megjegyzés</v>
      </c>
      <c r="V2187" t="str">
        <f t="shared" si="646"/>
        <v>0P0</v>
      </c>
      <c r="W2187" t="str">
        <f t="shared" si="647"/>
        <v>0P0</v>
      </c>
      <c r="X2187" t="str">
        <f t="shared" si="648"/>
        <v>P0</v>
      </c>
      <c r="Y2187" t="str">
        <f t="shared" si="649"/>
        <v>00</v>
      </c>
      <c r="Z2187" t="str">
        <f t="shared" si="660"/>
        <v>00</v>
      </c>
      <c r="AA2187" t="str">
        <f t="shared" si="650"/>
        <v>00</v>
      </c>
      <c r="AB2187" t="str">
        <f t="shared" si="651"/>
        <v>00</v>
      </c>
      <c r="AC2187" t="str">
        <f t="shared" si="652"/>
        <v>0P0</v>
      </c>
      <c r="AD2187" t="str">
        <f t="shared" si="653"/>
        <v>P00</v>
      </c>
      <c r="AE2187" t="str">
        <f t="shared" si="654"/>
        <v>0P0</v>
      </c>
      <c r="AF2187" t="str">
        <f t="shared" si="655"/>
        <v>P00</v>
      </c>
      <c r="AG2187" t="str">
        <f t="shared" si="661"/>
        <v>0P00</v>
      </c>
      <c r="AH2187" t="str">
        <f t="shared" si="662"/>
        <v>P000</v>
      </c>
      <c r="AI2187" t="str">
        <f t="shared" si="663"/>
        <v>0P00</v>
      </c>
      <c r="AJ2187" t="str">
        <f t="shared" si="664"/>
        <v>P000</v>
      </c>
    </row>
    <row r="2188" spans="1:36" x14ac:dyDescent="0.25">
      <c r="A2188" s="325" t="str">
        <f>CONCATENATE("P",'906MP'!M1888)</f>
        <v>P</v>
      </c>
      <c r="B2188">
        <f>'906MP'!H1888</f>
        <v>0</v>
      </c>
      <c r="C2188">
        <f>'906MP'!J1888</f>
        <v>0</v>
      </c>
      <c r="D2188">
        <f>'906MP'!P1888</f>
        <v>0</v>
      </c>
      <c r="E2188">
        <f>'906MP'!X1888</f>
        <v>0</v>
      </c>
      <c r="F2188" t="str">
        <f t="shared" si="656"/>
        <v>0</v>
      </c>
      <c r="G2188" t="str">
        <f t="shared" si="657"/>
        <v>0</v>
      </c>
      <c r="H2188">
        <f>'906MP'!Y1888</f>
        <v>0</v>
      </c>
      <c r="I2188">
        <f>'906MP'!AK1888</f>
        <v>0</v>
      </c>
      <c r="J2188">
        <f>'906MP'!T1888</f>
        <v>0</v>
      </c>
      <c r="K2188">
        <f>'906MP'!AJ1888</f>
        <v>0</v>
      </c>
      <c r="L2188">
        <f>'906MP'!U1888</f>
        <v>0</v>
      </c>
      <c r="M2188" s="322" t="str">
        <f>IFERROR(VLOOKUP(A2188,PAR!$D$3:$E$53,2,FALSE),"nincs szervezet")</f>
        <v>nincs szervezet</v>
      </c>
      <c r="N2188" s="322" t="str">
        <f>VLOOKUP(F2188,PAR!$R$3:$S$5,2,FALSE)</f>
        <v>3 - egyik sem</v>
      </c>
      <c r="O2188" t="str">
        <f>IFERROR(VLOOKUP(J2188,PAR!$O$3:$P$5,2,FALSE),"nincs feladat")</f>
        <v>nincs feladat</v>
      </c>
      <c r="P2188" t="str">
        <f>IFERROR(VLOOKUP(G2188,PAR!$J$2:$M$19,4),"nincs rovat")</f>
        <v>nincs rovat</v>
      </c>
      <c r="Q2188" t="str">
        <f>IF(H2188&gt;0,VLOOKUP(H2188,PAR!$AA$3:$AC$187,3,FALSE),"nincs főkönyvi számla")</f>
        <v>nincs főkönyvi számla</v>
      </c>
      <c r="R2188" t="str">
        <f>IFERROR(VLOOKUP(K2188,PAR!$V$3:$X$438,3,FALSE),"000000 - Nincs COFOG")</f>
        <v>000000 - Nincs COFOG</v>
      </c>
      <c r="S2188">
        <f t="shared" si="658"/>
        <v>0</v>
      </c>
      <c r="T2188">
        <f t="shared" si="659"/>
        <v>0</v>
      </c>
      <c r="U2188" t="str">
        <f>IF('906MP'!J1888&gt;0,CONCATENATE('906MP'!J1888," - ",'906MP'!P1888,", ",'906MP'!E1888),"nincs megjegyzés")</f>
        <v>nincs megjegyzés</v>
      </c>
      <c r="V2188" t="str">
        <f t="shared" si="646"/>
        <v>0P0</v>
      </c>
      <c r="W2188" t="str">
        <f t="shared" si="647"/>
        <v>0P0</v>
      </c>
      <c r="X2188" t="str">
        <f t="shared" si="648"/>
        <v>P0</v>
      </c>
      <c r="Y2188" t="str">
        <f t="shared" si="649"/>
        <v>00</v>
      </c>
      <c r="Z2188" t="str">
        <f t="shared" si="660"/>
        <v>00</v>
      </c>
      <c r="AA2188" t="str">
        <f t="shared" si="650"/>
        <v>00</v>
      </c>
      <c r="AB2188" t="str">
        <f t="shared" si="651"/>
        <v>00</v>
      </c>
      <c r="AC2188" t="str">
        <f t="shared" si="652"/>
        <v>0P0</v>
      </c>
      <c r="AD2188" t="str">
        <f t="shared" si="653"/>
        <v>P00</v>
      </c>
      <c r="AE2188" t="str">
        <f t="shared" si="654"/>
        <v>0P0</v>
      </c>
      <c r="AF2188" t="str">
        <f t="shared" si="655"/>
        <v>P00</v>
      </c>
      <c r="AG2188" t="str">
        <f t="shared" si="661"/>
        <v>0P00</v>
      </c>
      <c r="AH2188" t="str">
        <f t="shared" si="662"/>
        <v>P000</v>
      </c>
      <c r="AI2188" t="str">
        <f t="shared" si="663"/>
        <v>0P00</v>
      </c>
      <c r="AJ2188" t="str">
        <f t="shared" si="664"/>
        <v>P000</v>
      </c>
    </row>
    <row r="2189" spans="1:36" x14ac:dyDescent="0.25">
      <c r="A2189" s="325" t="str">
        <f>CONCATENATE("P",'906MP'!M1889)</f>
        <v>P</v>
      </c>
      <c r="B2189">
        <f>'906MP'!H1889</f>
        <v>0</v>
      </c>
      <c r="C2189">
        <f>'906MP'!J1889</f>
        <v>0</v>
      </c>
      <c r="D2189">
        <f>'906MP'!P1889</f>
        <v>0</v>
      </c>
      <c r="E2189">
        <f>'906MP'!X1889</f>
        <v>0</v>
      </c>
      <c r="F2189" t="str">
        <f t="shared" si="656"/>
        <v>0</v>
      </c>
      <c r="G2189" t="str">
        <f t="shared" si="657"/>
        <v>0</v>
      </c>
      <c r="H2189">
        <f>'906MP'!Y1889</f>
        <v>0</v>
      </c>
      <c r="I2189">
        <f>'906MP'!AK1889</f>
        <v>0</v>
      </c>
      <c r="J2189">
        <f>'906MP'!T1889</f>
        <v>0</v>
      </c>
      <c r="K2189">
        <f>'906MP'!AJ1889</f>
        <v>0</v>
      </c>
      <c r="L2189">
        <f>'906MP'!U1889</f>
        <v>0</v>
      </c>
      <c r="M2189" s="322" t="str">
        <f>IFERROR(VLOOKUP(A2189,PAR!$D$3:$E$53,2,FALSE),"nincs szervezet")</f>
        <v>nincs szervezet</v>
      </c>
      <c r="N2189" s="322" t="str">
        <f>VLOOKUP(F2189,PAR!$R$3:$S$5,2,FALSE)</f>
        <v>3 - egyik sem</v>
      </c>
      <c r="O2189" t="str">
        <f>IFERROR(VLOOKUP(J2189,PAR!$O$3:$P$5,2,FALSE),"nincs feladat")</f>
        <v>nincs feladat</v>
      </c>
      <c r="P2189" t="str">
        <f>IFERROR(VLOOKUP(G2189,PAR!$J$2:$M$19,4),"nincs rovat")</f>
        <v>nincs rovat</v>
      </c>
      <c r="Q2189" t="str">
        <f>IF(H2189&gt;0,VLOOKUP(H2189,PAR!$AA$3:$AC$187,3,FALSE),"nincs főkönyvi számla")</f>
        <v>nincs főkönyvi számla</v>
      </c>
      <c r="R2189" t="str">
        <f>IFERROR(VLOOKUP(K2189,PAR!$V$3:$X$438,3,FALSE),"000000 - Nincs COFOG")</f>
        <v>000000 - Nincs COFOG</v>
      </c>
      <c r="S2189">
        <f t="shared" si="658"/>
        <v>0</v>
      </c>
      <c r="T2189">
        <f t="shared" si="659"/>
        <v>0</v>
      </c>
      <c r="U2189" t="str">
        <f>IF('906MP'!J1889&gt;0,CONCATENATE('906MP'!J1889," - ",'906MP'!P1889,", ",'906MP'!E1889),"nincs megjegyzés")</f>
        <v>nincs megjegyzés</v>
      </c>
      <c r="V2189" t="str">
        <f t="shared" si="646"/>
        <v>0P0</v>
      </c>
      <c r="W2189" t="str">
        <f t="shared" si="647"/>
        <v>0P0</v>
      </c>
      <c r="X2189" t="str">
        <f t="shared" si="648"/>
        <v>P0</v>
      </c>
      <c r="Y2189" t="str">
        <f t="shared" si="649"/>
        <v>00</v>
      </c>
      <c r="Z2189" t="str">
        <f t="shared" si="660"/>
        <v>00</v>
      </c>
      <c r="AA2189" t="str">
        <f t="shared" si="650"/>
        <v>00</v>
      </c>
      <c r="AB2189" t="str">
        <f t="shared" si="651"/>
        <v>00</v>
      </c>
      <c r="AC2189" t="str">
        <f t="shared" si="652"/>
        <v>0P0</v>
      </c>
      <c r="AD2189" t="str">
        <f t="shared" si="653"/>
        <v>P00</v>
      </c>
      <c r="AE2189" t="str">
        <f t="shared" si="654"/>
        <v>0P0</v>
      </c>
      <c r="AF2189" t="str">
        <f t="shared" si="655"/>
        <v>P00</v>
      </c>
      <c r="AG2189" t="str">
        <f t="shared" si="661"/>
        <v>0P00</v>
      </c>
      <c r="AH2189" t="str">
        <f t="shared" si="662"/>
        <v>P000</v>
      </c>
      <c r="AI2189" t="str">
        <f t="shared" si="663"/>
        <v>0P00</v>
      </c>
      <c r="AJ2189" t="str">
        <f t="shared" si="664"/>
        <v>P000</v>
      </c>
    </row>
    <row r="2190" spans="1:36" x14ac:dyDescent="0.25">
      <c r="A2190" s="325" t="str">
        <f>CONCATENATE("P",'906MP'!M1890)</f>
        <v>P</v>
      </c>
      <c r="B2190">
        <f>'906MP'!H1890</f>
        <v>0</v>
      </c>
      <c r="C2190">
        <f>'906MP'!J1890</f>
        <v>0</v>
      </c>
      <c r="D2190">
        <f>'906MP'!P1890</f>
        <v>0</v>
      </c>
      <c r="E2190">
        <f>'906MP'!X1890</f>
        <v>0</v>
      </c>
      <c r="F2190" t="str">
        <f t="shared" si="656"/>
        <v>0</v>
      </c>
      <c r="G2190" t="str">
        <f t="shared" si="657"/>
        <v>0</v>
      </c>
      <c r="H2190">
        <f>'906MP'!Y1890</f>
        <v>0</v>
      </c>
      <c r="I2190">
        <f>'906MP'!AK1890</f>
        <v>0</v>
      </c>
      <c r="J2190">
        <f>'906MP'!T1890</f>
        <v>0</v>
      </c>
      <c r="K2190">
        <f>'906MP'!AJ1890</f>
        <v>0</v>
      </c>
      <c r="L2190">
        <f>'906MP'!U1890</f>
        <v>0</v>
      </c>
      <c r="M2190" s="322" t="str">
        <f>IFERROR(VLOOKUP(A2190,PAR!$D$3:$E$53,2,FALSE),"nincs szervezet")</f>
        <v>nincs szervezet</v>
      </c>
      <c r="N2190" s="322" t="str">
        <f>VLOOKUP(F2190,PAR!$R$3:$S$5,2,FALSE)</f>
        <v>3 - egyik sem</v>
      </c>
      <c r="O2190" t="str">
        <f>IFERROR(VLOOKUP(J2190,PAR!$O$3:$P$5,2,FALSE),"nincs feladat")</f>
        <v>nincs feladat</v>
      </c>
      <c r="P2190" t="str">
        <f>IFERROR(VLOOKUP(G2190,PAR!$J$2:$M$19,4),"nincs rovat")</f>
        <v>nincs rovat</v>
      </c>
      <c r="Q2190" t="str">
        <f>IF(H2190&gt;0,VLOOKUP(H2190,PAR!$AA$3:$AC$187,3,FALSE),"nincs főkönyvi számla")</f>
        <v>nincs főkönyvi számla</v>
      </c>
      <c r="R2190" t="str">
        <f>IFERROR(VLOOKUP(K2190,PAR!$V$3:$X$438,3,FALSE),"000000 - Nincs COFOG")</f>
        <v>000000 - Nincs COFOG</v>
      </c>
      <c r="S2190">
        <f t="shared" si="658"/>
        <v>0</v>
      </c>
      <c r="T2190">
        <f t="shared" si="659"/>
        <v>0</v>
      </c>
      <c r="U2190" t="str">
        <f>IF('906MP'!J1890&gt;0,CONCATENATE('906MP'!J1890," - ",'906MP'!P1890,", ",'906MP'!E1890),"nincs megjegyzés")</f>
        <v>nincs megjegyzés</v>
      </c>
      <c r="V2190" t="str">
        <f t="shared" si="646"/>
        <v>0P0</v>
      </c>
      <c r="W2190" t="str">
        <f t="shared" si="647"/>
        <v>0P0</v>
      </c>
      <c r="X2190" t="str">
        <f t="shared" si="648"/>
        <v>P0</v>
      </c>
      <c r="Y2190" t="str">
        <f t="shared" si="649"/>
        <v>00</v>
      </c>
      <c r="Z2190" t="str">
        <f t="shared" si="660"/>
        <v>00</v>
      </c>
      <c r="AA2190" t="str">
        <f t="shared" si="650"/>
        <v>00</v>
      </c>
      <c r="AB2190" t="str">
        <f t="shared" si="651"/>
        <v>00</v>
      </c>
      <c r="AC2190" t="str">
        <f t="shared" si="652"/>
        <v>0P0</v>
      </c>
      <c r="AD2190" t="str">
        <f t="shared" si="653"/>
        <v>P00</v>
      </c>
      <c r="AE2190" t="str">
        <f t="shared" si="654"/>
        <v>0P0</v>
      </c>
      <c r="AF2190" t="str">
        <f t="shared" si="655"/>
        <v>P00</v>
      </c>
      <c r="AG2190" t="str">
        <f t="shared" si="661"/>
        <v>0P00</v>
      </c>
      <c r="AH2190" t="str">
        <f t="shared" si="662"/>
        <v>P000</v>
      </c>
      <c r="AI2190" t="str">
        <f t="shared" si="663"/>
        <v>0P00</v>
      </c>
      <c r="AJ2190" t="str">
        <f t="shared" si="664"/>
        <v>P000</v>
      </c>
    </row>
    <row r="2191" spans="1:36" x14ac:dyDescent="0.25">
      <c r="A2191" s="325" t="str">
        <f>CONCATENATE("P",'906MP'!M1891)</f>
        <v>P</v>
      </c>
      <c r="B2191">
        <f>'906MP'!H1891</f>
        <v>0</v>
      </c>
      <c r="C2191">
        <f>'906MP'!J1891</f>
        <v>0</v>
      </c>
      <c r="D2191">
        <f>'906MP'!P1891</f>
        <v>0</v>
      </c>
      <c r="E2191">
        <f>'906MP'!X1891</f>
        <v>0</v>
      </c>
      <c r="F2191" t="str">
        <f t="shared" si="656"/>
        <v>0</v>
      </c>
      <c r="G2191" t="str">
        <f t="shared" si="657"/>
        <v>0</v>
      </c>
      <c r="H2191">
        <f>'906MP'!Y1891</f>
        <v>0</v>
      </c>
      <c r="I2191">
        <f>'906MP'!AK1891</f>
        <v>0</v>
      </c>
      <c r="J2191">
        <f>'906MP'!T1891</f>
        <v>0</v>
      </c>
      <c r="K2191">
        <f>'906MP'!AJ1891</f>
        <v>0</v>
      </c>
      <c r="L2191">
        <f>'906MP'!U1891</f>
        <v>0</v>
      </c>
      <c r="M2191" s="322" t="str">
        <f>IFERROR(VLOOKUP(A2191,PAR!$D$3:$E$53,2,FALSE),"nincs szervezet")</f>
        <v>nincs szervezet</v>
      </c>
      <c r="N2191" s="322" t="str">
        <f>VLOOKUP(F2191,PAR!$R$3:$S$5,2,FALSE)</f>
        <v>3 - egyik sem</v>
      </c>
      <c r="O2191" t="str">
        <f>IFERROR(VLOOKUP(J2191,PAR!$O$3:$P$5,2,FALSE),"nincs feladat")</f>
        <v>nincs feladat</v>
      </c>
      <c r="P2191" t="str">
        <f>IFERROR(VLOOKUP(G2191,PAR!$J$2:$M$19,4),"nincs rovat")</f>
        <v>nincs rovat</v>
      </c>
      <c r="Q2191" t="str">
        <f>IF(H2191&gt;0,VLOOKUP(H2191,PAR!$AA$3:$AC$187,3,FALSE),"nincs főkönyvi számla")</f>
        <v>nincs főkönyvi számla</v>
      </c>
      <c r="R2191" t="str">
        <f>IFERROR(VLOOKUP(K2191,PAR!$V$3:$X$438,3,FALSE),"000000 - Nincs COFOG")</f>
        <v>000000 - Nincs COFOG</v>
      </c>
      <c r="S2191">
        <f t="shared" si="658"/>
        <v>0</v>
      </c>
      <c r="T2191">
        <f t="shared" si="659"/>
        <v>0</v>
      </c>
      <c r="U2191" t="str">
        <f>IF('906MP'!J1891&gt;0,CONCATENATE('906MP'!J1891," - ",'906MP'!P1891,", ",'906MP'!E1891),"nincs megjegyzés")</f>
        <v>nincs megjegyzés</v>
      </c>
      <c r="V2191" t="str">
        <f t="shared" si="646"/>
        <v>0P0</v>
      </c>
      <c r="W2191" t="str">
        <f t="shared" si="647"/>
        <v>0P0</v>
      </c>
      <c r="X2191" t="str">
        <f t="shared" si="648"/>
        <v>P0</v>
      </c>
      <c r="Y2191" t="str">
        <f t="shared" si="649"/>
        <v>00</v>
      </c>
      <c r="Z2191" t="str">
        <f t="shared" si="660"/>
        <v>00</v>
      </c>
      <c r="AA2191" t="str">
        <f t="shared" si="650"/>
        <v>00</v>
      </c>
      <c r="AB2191" t="str">
        <f t="shared" si="651"/>
        <v>00</v>
      </c>
      <c r="AC2191" t="str">
        <f t="shared" si="652"/>
        <v>0P0</v>
      </c>
      <c r="AD2191" t="str">
        <f t="shared" si="653"/>
        <v>P00</v>
      </c>
      <c r="AE2191" t="str">
        <f t="shared" si="654"/>
        <v>0P0</v>
      </c>
      <c r="AF2191" t="str">
        <f t="shared" si="655"/>
        <v>P00</v>
      </c>
      <c r="AG2191" t="str">
        <f t="shared" si="661"/>
        <v>0P00</v>
      </c>
      <c r="AH2191" t="str">
        <f t="shared" si="662"/>
        <v>P000</v>
      </c>
      <c r="AI2191" t="str">
        <f t="shared" si="663"/>
        <v>0P00</v>
      </c>
      <c r="AJ2191" t="str">
        <f t="shared" si="664"/>
        <v>P000</v>
      </c>
    </row>
    <row r="2192" spans="1:36" x14ac:dyDescent="0.25">
      <c r="A2192" s="325" t="str">
        <f>CONCATENATE("P",'906MP'!M1892)</f>
        <v>P</v>
      </c>
      <c r="B2192">
        <f>'906MP'!H1892</f>
        <v>0</v>
      </c>
      <c r="C2192">
        <f>'906MP'!J1892</f>
        <v>0</v>
      </c>
      <c r="D2192">
        <f>'906MP'!P1892</f>
        <v>0</v>
      </c>
      <c r="E2192">
        <f>'906MP'!X1892</f>
        <v>0</v>
      </c>
      <c r="F2192" t="str">
        <f t="shared" si="656"/>
        <v>0</v>
      </c>
      <c r="G2192" t="str">
        <f t="shared" si="657"/>
        <v>0</v>
      </c>
      <c r="H2192">
        <f>'906MP'!Y1892</f>
        <v>0</v>
      </c>
      <c r="I2192">
        <f>'906MP'!AK1892</f>
        <v>0</v>
      </c>
      <c r="J2192">
        <f>'906MP'!T1892</f>
        <v>0</v>
      </c>
      <c r="K2192">
        <f>'906MP'!AJ1892</f>
        <v>0</v>
      </c>
      <c r="L2192">
        <f>'906MP'!U1892</f>
        <v>0</v>
      </c>
      <c r="M2192" s="322" t="str">
        <f>IFERROR(VLOOKUP(A2192,PAR!$D$3:$E$53,2,FALSE),"nincs szervezet")</f>
        <v>nincs szervezet</v>
      </c>
      <c r="N2192" s="322" t="str">
        <f>VLOOKUP(F2192,PAR!$R$3:$S$5,2,FALSE)</f>
        <v>3 - egyik sem</v>
      </c>
      <c r="O2192" t="str">
        <f>IFERROR(VLOOKUP(J2192,PAR!$O$3:$P$5,2,FALSE),"nincs feladat")</f>
        <v>nincs feladat</v>
      </c>
      <c r="P2192" t="str">
        <f>IFERROR(VLOOKUP(G2192,PAR!$J$2:$M$19,4),"nincs rovat")</f>
        <v>nincs rovat</v>
      </c>
      <c r="Q2192" t="str">
        <f>IF(H2192&gt;0,VLOOKUP(H2192,PAR!$AA$3:$AC$187,3,FALSE),"nincs főkönyvi számla")</f>
        <v>nincs főkönyvi számla</v>
      </c>
      <c r="R2192" t="str">
        <f>IFERROR(VLOOKUP(K2192,PAR!$V$3:$X$438,3,FALSE),"000000 - Nincs COFOG")</f>
        <v>000000 - Nincs COFOG</v>
      </c>
      <c r="S2192">
        <f t="shared" si="658"/>
        <v>0</v>
      </c>
      <c r="T2192">
        <f t="shared" si="659"/>
        <v>0</v>
      </c>
      <c r="U2192" t="str">
        <f>IF('906MP'!J1892&gt;0,CONCATENATE('906MP'!J1892," - ",'906MP'!P1892,", ",'906MP'!E1892),"nincs megjegyzés")</f>
        <v>nincs megjegyzés</v>
      </c>
      <c r="V2192" t="str">
        <f t="shared" si="646"/>
        <v>0P0</v>
      </c>
      <c r="W2192" t="str">
        <f t="shared" si="647"/>
        <v>0P0</v>
      </c>
      <c r="X2192" t="str">
        <f t="shared" si="648"/>
        <v>P0</v>
      </c>
      <c r="Y2192" t="str">
        <f t="shared" si="649"/>
        <v>00</v>
      </c>
      <c r="Z2192" t="str">
        <f t="shared" si="660"/>
        <v>00</v>
      </c>
      <c r="AA2192" t="str">
        <f t="shared" si="650"/>
        <v>00</v>
      </c>
      <c r="AB2192" t="str">
        <f t="shared" si="651"/>
        <v>00</v>
      </c>
      <c r="AC2192" t="str">
        <f t="shared" si="652"/>
        <v>0P0</v>
      </c>
      <c r="AD2192" t="str">
        <f t="shared" si="653"/>
        <v>P00</v>
      </c>
      <c r="AE2192" t="str">
        <f t="shared" si="654"/>
        <v>0P0</v>
      </c>
      <c r="AF2192" t="str">
        <f t="shared" si="655"/>
        <v>P00</v>
      </c>
      <c r="AG2192" t="str">
        <f t="shared" si="661"/>
        <v>0P00</v>
      </c>
      <c r="AH2192" t="str">
        <f t="shared" si="662"/>
        <v>P000</v>
      </c>
      <c r="AI2192" t="str">
        <f t="shared" si="663"/>
        <v>0P00</v>
      </c>
      <c r="AJ2192" t="str">
        <f t="shared" si="664"/>
        <v>P000</v>
      </c>
    </row>
    <row r="2193" spans="1:36" x14ac:dyDescent="0.25">
      <c r="A2193" s="325" t="str">
        <f>CONCATENATE("P",'906MP'!M1893)</f>
        <v>P</v>
      </c>
      <c r="B2193">
        <f>'906MP'!H1893</f>
        <v>0</v>
      </c>
      <c r="C2193">
        <f>'906MP'!J1893</f>
        <v>0</v>
      </c>
      <c r="D2193">
        <f>'906MP'!P1893</f>
        <v>0</v>
      </c>
      <c r="E2193">
        <f>'906MP'!X1893</f>
        <v>0</v>
      </c>
      <c r="F2193" t="str">
        <f t="shared" si="656"/>
        <v>0</v>
      </c>
      <c r="G2193" t="str">
        <f t="shared" si="657"/>
        <v>0</v>
      </c>
      <c r="H2193">
        <f>'906MP'!Y1893</f>
        <v>0</v>
      </c>
      <c r="I2193">
        <f>'906MP'!AK1893</f>
        <v>0</v>
      </c>
      <c r="J2193">
        <f>'906MP'!T1893</f>
        <v>0</v>
      </c>
      <c r="K2193">
        <f>'906MP'!AJ1893</f>
        <v>0</v>
      </c>
      <c r="L2193">
        <f>'906MP'!U1893</f>
        <v>0</v>
      </c>
      <c r="M2193" s="322" t="str">
        <f>IFERROR(VLOOKUP(A2193,PAR!$D$3:$E$53,2,FALSE),"nincs szervezet")</f>
        <v>nincs szervezet</v>
      </c>
      <c r="N2193" s="322" t="str">
        <f>VLOOKUP(F2193,PAR!$R$3:$S$5,2,FALSE)</f>
        <v>3 - egyik sem</v>
      </c>
      <c r="O2193" t="str">
        <f>IFERROR(VLOOKUP(J2193,PAR!$O$3:$P$5,2,FALSE),"nincs feladat")</f>
        <v>nincs feladat</v>
      </c>
      <c r="P2193" t="str">
        <f>IFERROR(VLOOKUP(G2193,PAR!$J$2:$M$19,4),"nincs rovat")</f>
        <v>nincs rovat</v>
      </c>
      <c r="Q2193" t="str">
        <f>IF(H2193&gt;0,VLOOKUP(H2193,PAR!$AA$3:$AC$187,3,FALSE),"nincs főkönyvi számla")</f>
        <v>nincs főkönyvi számla</v>
      </c>
      <c r="R2193" t="str">
        <f>IFERROR(VLOOKUP(K2193,PAR!$V$3:$X$438,3,FALSE),"000000 - Nincs COFOG")</f>
        <v>000000 - Nincs COFOG</v>
      </c>
      <c r="S2193">
        <f t="shared" si="658"/>
        <v>0</v>
      </c>
      <c r="T2193">
        <f t="shared" si="659"/>
        <v>0</v>
      </c>
      <c r="U2193" t="str">
        <f>IF('906MP'!J1893&gt;0,CONCATENATE('906MP'!J1893," - ",'906MP'!P1893,", ",'906MP'!E1893),"nincs megjegyzés")</f>
        <v>nincs megjegyzés</v>
      </c>
      <c r="V2193" t="str">
        <f t="shared" si="646"/>
        <v>0P0</v>
      </c>
      <c r="W2193" t="str">
        <f t="shared" si="647"/>
        <v>0P0</v>
      </c>
      <c r="X2193" t="str">
        <f t="shared" si="648"/>
        <v>P0</v>
      </c>
      <c r="Y2193" t="str">
        <f t="shared" si="649"/>
        <v>00</v>
      </c>
      <c r="Z2193" t="str">
        <f t="shared" si="660"/>
        <v>00</v>
      </c>
      <c r="AA2193" t="str">
        <f t="shared" si="650"/>
        <v>00</v>
      </c>
      <c r="AB2193" t="str">
        <f t="shared" si="651"/>
        <v>00</v>
      </c>
      <c r="AC2193" t="str">
        <f t="shared" si="652"/>
        <v>0P0</v>
      </c>
      <c r="AD2193" t="str">
        <f t="shared" si="653"/>
        <v>P00</v>
      </c>
      <c r="AE2193" t="str">
        <f t="shared" si="654"/>
        <v>0P0</v>
      </c>
      <c r="AF2193" t="str">
        <f t="shared" si="655"/>
        <v>P00</v>
      </c>
      <c r="AG2193" t="str">
        <f t="shared" si="661"/>
        <v>0P00</v>
      </c>
      <c r="AH2193" t="str">
        <f t="shared" si="662"/>
        <v>P000</v>
      </c>
      <c r="AI2193" t="str">
        <f t="shared" si="663"/>
        <v>0P00</v>
      </c>
      <c r="AJ2193" t="str">
        <f t="shared" si="664"/>
        <v>P000</v>
      </c>
    </row>
    <row r="2194" spans="1:36" x14ac:dyDescent="0.25">
      <c r="A2194" s="325" t="str">
        <f>CONCATENATE("P",'906MP'!M1894)</f>
        <v>P</v>
      </c>
      <c r="B2194">
        <f>'906MP'!H1894</f>
        <v>0</v>
      </c>
      <c r="C2194">
        <f>'906MP'!J1894</f>
        <v>0</v>
      </c>
      <c r="D2194">
        <f>'906MP'!P1894</f>
        <v>0</v>
      </c>
      <c r="E2194">
        <f>'906MP'!X1894</f>
        <v>0</v>
      </c>
      <c r="F2194" t="str">
        <f t="shared" si="656"/>
        <v>0</v>
      </c>
      <c r="G2194" t="str">
        <f t="shared" si="657"/>
        <v>0</v>
      </c>
      <c r="H2194">
        <f>'906MP'!Y1894</f>
        <v>0</v>
      </c>
      <c r="I2194">
        <f>'906MP'!AK1894</f>
        <v>0</v>
      </c>
      <c r="J2194">
        <f>'906MP'!T1894</f>
        <v>0</v>
      </c>
      <c r="K2194">
        <f>'906MP'!AJ1894</f>
        <v>0</v>
      </c>
      <c r="L2194">
        <f>'906MP'!U1894</f>
        <v>0</v>
      </c>
      <c r="M2194" s="322" t="str">
        <f>IFERROR(VLOOKUP(A2194,PAR!$D$3:$E$53,2,FALSE),"nincs szervezet")</f>
        <v>nincs szervezet</v>
      </c>
      <c r="N2194" s="322" t="str">
        <f>VLOOKUP(F2194,PAR!$R$3:$S$5,2,FALSE)</f>
        <v>3 - egyik sem</v>
      </c>
      <c r="O2194" t="str">
        <f>IFERROR(VLOOKUP(J2194,PAR!$O$3:$P$5,2,FALSE),"nincs feladat")</f>
        <v>nincs feladat</v>
      </c>
      <c r="P2194" t="str">
        <f>IFERROR(VLOOKUP(G2194,PAR!$J$2:$M$19,4),"nincs rovat")</f>
        <v>nincs rovat</v>
      </c>
      <c r="Q2194" t="str">
        <f>IF(H2194&gt;0,VLOOKUP(H2194,PAR!$AA$3:$AC$187,3,FALSE),"nincs főkönyvi számla")</f>
        <v>nincs főkönyvi számla</v>
      </c>
      <c r="R2194" t="str">
        <f>IFERROR(VLOOKUP(K2194,PAR!$V$3:$X$438,3,FALSE),"000000 - Nincs COFOG")</f>
        <v>000000 - Nincs COFOG</v>
      </c>
      <c r="S2194">
        <f t="shared" si="658"/>
        <v>0</v>
      </c>
      <c r="T2194">
        <f t="shared" si="659"/>
        <v>0</v>
      </c>
      <c r="U2194" t="str">
        <f>IF('906MP'!J1894&gt;0,CONCATENATE('906MP'!J1894," - ",'906MP'!P1894,", ",'906MP'!E1894),"nincs megjegyzés")</f>
        <v>nincs megjegyzés</v>
      </c>
      <c r="V2194" t="str">
        <f t="shared" si="646"/>
        <v>0P0</v>
      </c>
      <c r="W2194" t="str">
        <f t="shared" si="647"/>
        <v>0P0</v>
      </c>
      <c r="X2194" t="str">
        <f t="shared" si="648"/>
        <v>P0</v>
      </c>
      <c r="Y2194" t="str">
        <f t="shared" si="649"/>
        <v>00</v>
      </c>
      <c r="Z2194" t="str">
        <f t="shared" si="660"/>
        <v>00</v>
      </c>
      <c r="AA2194" t="str">
        <f t="shared" si="650"/>
        <v>00</v>
      </c>
      <c r="AB2194" t="str">
        <f t="shared" si="651"/>
        <v>00</v>
      </c>
      <c r="AC2194" t="str">
        <f t="shared" si="652"/>
        <v>0P0</v>
      </c>
      <c r="AD2194" t="str">
        <f t="shared" si="653"/>
        <v>P00</v>
      </c>
      <c r="AE2194" t="str">
        <f t="shared" si="654"/>
        <v>0P0</v>
      </c>
      <c r="AF2194" t="str">
        <f t="shared" si="655"/>
        <v>P00</v>
      </c>
      <c r="AG2194" t="str">
        <f t="shared" si="661"/>
        <v>0P00</v>
      </c>
      <c r="AH2194" t="str">
        <f t="shared" si="662"/>
        <v>P000</v>
      </c>
      <c r="AI2194" t="str">
        <f t="shared" si="663"/>
        <v>0P00</v>
      </c>
      <c r="AJ2194" t="str">
        <f t="shared" si="664"/>
        <v>P000</v>
      </c>
    </row>
    <row r="2195" spans="1:36" x14ac:dyDescent="0.25">
      <c r="A2195" s="325" t="str">
        <f>CONCATENATE("P",'906MP'!M1895)</f>
        <v>P</v>
      </c>
      <c r="B2195">
        <f>'906MP'!H1895</f>
        <v>0</v>
      </c>
      <c r="C2195">
        <f>'906MP'!J1895</f>
        <v>0</v>
      </c>
      <c r="D2195">
        <f>'906MP'!P1895</f>
        <v>0</v>
      </c>
      <c r="E2195">
        <f>'906MP'!X1895</f>
        <v>0</v>
      </c>
      <c r="F2195" t="str">
        <f t="shared" si="656"/>
        <v>0</v>
      </c>
      <c r="G2195" t="str">
        <f t="shared" si="657"/>
        <v>0</v>
      </c>
      <c r="H2195">
        <f>'906MP'!Y1895</f>
        <v>0</v>
      </c>
      <c r="I2195">
        <f>'906MP'!AK1895</f>
        <v>0</v>
      </c>
      <c r="J2195">
        <f>'906MP'!T1895</f>
        <v>0</v>
      </c>
      <c r="K2195">
        <f>'906MP'!AJ1895</f>
        <v>0</v>
      </c>
      <c r="L2195">
        <f>'906MP'!U1895</f>
        <v>0</v>
      </c>
      <c r="M2195" s="322" t="str">
        <f>IFERROR(VLOOKUP(A2195,PAR!$D$3:$E$53,2,FALSE),"nincs szervezet")</f>
        <v>nincs szervezet</v>
      </c>
      <c r="N2195" s="322" t="str">
        <f>VLOOKUP(F2195,PAR!$R$3:$S$5,2,FALSE)</f>
        <v>3 - egyik sem</v>
      </c>
      <c r="O2195" t="str">
        <f>IFERROR(VLOOKUP(J2195,PAR!$O$3:$P$5,2,FALSE),"nincs feladat")</f>
        <v>nincs feladat</v>
      </c>
      <c r="P2195" t="str">
        <f>IFERROR(VLOOKUP(G2195,PAR!$J$2:$M$19,4),"nincs rovat")</f>
        <v>nincs rovat</v>
      </c>
      <c r="Q2195" t="str">
        <f>IF(H2195&gt;0,VLOOKUP(H2195,PAR!$AA$3:$AC$187,3,FALSE),"nincs főkönyvi számla")</f>
        <v>nincs főkönyvi számla</v>
      </c>
      <c r="R2195" t="str">
        <f>IFERROR(VLOOKUP(K2195,PAR!$V$3:$X$438,3,FALSE),"000000 - Nincs COFOG")</f>
        <v>000000 - Nincs COFOG</v>
      </c>
      <c r="S2195">
        <f t="shared" si="658"/>
        <v>0</v>
      </c>
      <c r="T2195">
        <f t="shared" si="659"/>
        <v>0</v>
      </c>
      <c r="U2195" t="str">
        <f>IF('906MP'!J1895&gt;0,CONCATENATE('906MP'!J1895," - ",'906MP'!P1895,", ",'906MP'!E1895),"nincs megjegyzés")</f>
        <v>nincs megjegyzés</v>
      </c>
      <c r="V2195" t="str">
        <f t="shared" si="646"/>
        <v>0P0</v>
      </c>
      <c r="W2195" t="str">
        <f t="shared" si="647"/>
        <v>0P0</v>
      </c>
      <c r="X2195" t="str">
        <f t="shared" si="648"/>
        <v>P0</v>
      </c>
      <c r="Y2195" t="str">
        <f t="shared" si="649"/>
        <v>00</v>
      </c>
      <c r="Z2195" t="str">
        <f t="shared" si="660"/>
        <v>00</v>
      </c>
      <c r="AA2195" t="str">
        <f t="shared" si="650"/>
        <v>00</v>
      </c>
      <c r="AB2195" t="str">
        <f t="shared" si="651"/>
        <v>00</v>
      </c>
      <c r="AC2195" t="str">
        <f t="shared" si="652"/>
        <v>0P0</v>
      </c>
      <c r="AD2195" t="str">
        <f t="shared" si="653"/>
        <v>P00</v>
      </c>
      <c r="AE2195" t="str">
        <f t="shared" si="654"/>
        <v>0P0</v>
      </c>
      <c r="AF2195" t="str">
        <f t="shared" si="655"/>
        <v>P00</v>
      </c>
      <c r="AG2195" t="str">
        <f t="shared" si="661"/>
        <v>0P00</v>
      </c>
      <c r="AH2195" t="str">
        <f t="shared" si="662"/>
        <v>P000</v>
      </c>
      <c r="AI2195" t="str">
        <f t="shared" si="663"/>
        <v>0P00</v>
      </c>
      <c r="AJ2195" t="str">
        <f t="shared" si="664"/>
        <v>P000</v>
      </c>
    </row>
    <row r="2196" spans="1:36" x14ac:dyDescent="0.25">
      <c r="A2196" s="325" t="str">
        <f>CONCATENATE("P",'906MP'!M1896)</f>
        <v>P</v>
      </c>
      <c r="B2196">
        <f>'906MP'!H1896</f>
        <v>0</v>
      </c>
      <c r="C2196">
        <f>'906MP'!J1896</f>
        <v>0</v>
      </c>
      <c r="D2196">
        <f>'906MP'!P1896</f>
        <v>0</v>
      </c>
      <c r="E2196">
        <f>'906MP'!X1896</f>
        <v>0</v>
      </c>
      <c r="F2196" t="str">
        <f t="shared" si="656"/>
        <v>0</v>
      </c>
      <c r="G2196" t="str">
        <f t="shared" si="657"/>
        <v>0</v>
      </c>
      <c r="H2196">
        <f>'906MP'!Y1896</f>
        <v>0</v>
      </c>
      <c r="I2196">
        <f>'906MP'!AK1896</f>
        <v>0</v>
      </c>
      <c r="J2196">
        <f>'906MP'!T1896</f>
        <v>0</v>
      </c>
      <c r="K2196">
        <f>'906MP'!AJ1896</f>
        <v>0</v>
      </c>
      <c r="L2196">
        <f>'906MP'!U1896</f>
        <v>0</v>
      </c>
      <c r="M2196" s="322" t="str">
        <f>IFERROR(VLOOKUP(A2196,PAR!$D$3:$E$53,2,FALSE),"nincs szervezet")</f>
        <v>nincs szervezet</v>
      </c>
      <c r="N2196" s="322" t="str">
        <f>VLOOKUP(F2196,PAR!$R$3:$S$5,2,FALSE)</f>
        <v>3 - egyik sem</v>
      </c>
      <c r="O2196" t="str">
        <f>IFERROR(VLOOKUP(J2196,PAR!$O$3:$P$5,2,FALSE),"nincs feladat")</f>
        <v>nincs feladat</v>
      </c>
      <c r="P2196" t="str">
        <f>IFERROR(VLOOKUP(G2196,PAR!$J$2:$M$19,4),"nincs rovat")</f>
        <v>nincs rovat</v>
      </c>
      <c r="Q2196" t="str">
        <f>IF(H2196&gt;0,VLOOKUP(H2196,PAR!$AA$3:$AC$187,3,FALSE),"nincs főkönyvi számla")</f>
        <v>nincs főkönyvi számla</v>
      </c>
      <c r="R2196" t="str">
        <f>IFERROR(VLOOKUP(K2196,PAR!$V$3:$X$438,3,FALSE),"000000 - Nincs COFOG")</f>
        <v>000000 - Nincs COFOG</v>
      </c>
      <c r="S2196">
        <f t="shared" si="658"/>
        <v>0</v>
      </c>
      <c r="T2196">
        <f t="shared" si="659"/>
        <v>0</v>
      </c>
      <c r="U2196" t="str">
        <f>IF('906MP'!J1896&gt;0,CONCATENATE('906MP'!J1896," - ",'906MP'!P1896,", ",'906MP'!E1896),"nincs megjegyzés")</f>
        <v>nincs megjegyzés</v>
      </c>
      <c r="V2196" t="str">
        <f t="shared" si="646"/>
        <v>0P0</v>
      </c>
      <c r="W2196" t="str">
        <f t="shared" si="647"/>
        <v>0P0</v>
      </c>
      <c r="X2196" t="str">
        <f t="shared" si="648"/>
        <v>P0</v>
      </c>
      <c r="Y2196" t="str">
        <f t="shared" si="649"/>
        <v>00</v>
      </c>
      <c r="Z2196" t="str">
        <f t="shared" si="660"/>
        <v>00</v>
      </c>
      <c r="AA2196" t="str">
        <f t="shared" si="650"/>
        <v>00</v>
      </c>
      <c r="AB2196" t="str">
        <f t="shared" si="651"/>
        <v>00</v>
      </c>
      <c r="AC2196" t="str">
        <f t="shared" si="652"/>
        <v>0P0</v>
      </c>
      <c r="AD2196" t="str">
        <f t="shared" si="653"/>
        <v>P00</v>
      </c>
      <c r="AE2196" t="str">
        <f t="shared" si="654"/>
        <v>0P0</v>
      </c>
      <c r="AF2196" t="str">
        <f t="shared" si="655"/>
        <v>P00</v>
      </c>
      <c r="AG2196" t="str">
        <f t="shared" si="661"/>
        <v>0P00</v>
      </c>
      <c r="AH2196" t="str">
        <f t="shared" si="662"/>
        <v>P000</v>
      </c>
      <c r="AI2196" t="str">
        <f t="shared" si="663"/>
        <v>0P00</v>
      </c>
      <c r="AJ2196" t="str">
        <f t="shared" si="664"/>
        <v>P000</v>
      </c>
    </row>
    <row r="2197" spans="1:36" x14ac:dyDescent="0.25">
      <c r="A2197" s="325" t="str">
        <f>CONCATENATE("P",'906MP'!M1897)</f>
        <v>P</v>
      </c>
      <c r="B2197">
        <f>'906MP'!H1897</f>
        <v>0</v>
      </c>
      <c r="C2197">
        <f>'906MP'!J1897</f>
        <v>0</v>
      </c>
      <c r="D2197">
        <f>'906MP'!P1897</f>
        <v>0</v>
      </c>
      <c r="E2197">
        <f>'906MP'!X1897</f>
        <v>0</v>
      </c>
      <c r="F2197" t="str">
        <f t="shared" si="656"/>
        <v>0</v>
      </c>
      <c r="G2197" t="str">
        <f t="shared" si="657"/>
        <v>0</v>
      </c>
      <c r="H2197">
        <f>'906MP'!Y1897</f>
        <v>0</v>
      </c>
      <c r="I2197">
        <f>'906MP'!AK1897</f>
        <v>0</v>
      </c>
      <c r="J2197">
        <f>'906MP'!T1897</f>
        <v>0</v>
      </c>
      <c r="K2197">
        <f>'906MP'!AJ1897</f>
        <v>0</v>
      </c>
      <c r="L2197">
        <f>'906MP'!U1897</f>
        <v>0</v>
      </c>
      <c r="M2197" s="322" t="str">
        <f>IFERROR(VLOOKUP(A2197,PAR!$D$3:$E$53,2,FALSE),"nincs szervezet")</f>
        <v>nincs szervezet</v>
      </c>
      <c r="N2197" s="322" t="str">
        <f>VLOOKUP(F2197,PAR!$R$3:$S$5,2,FALSE)</f>
        <v>3 - egyik sem</v>
      </c>
      <c r="O2197" t="str">
        <f>IFERROR(VLOOKUP(J2197,PAR!$O$3:$P$5,2,FALSE),"nincs feladat")</f>
        <v>nincs feladat</v>
      </c>
      <c r="P2197" t="str">
        <f>IFERROR(VLOOKUP(G2197,PAR!$J$2:$M$19,4),"nincs rovat")</f>
        <v>nincs rovat</v>
      </c>
      <c r="Q2197" t="str">
        <f>IF(H2197&gt;0,VLOOKUP(H2197,PAR!$AA$3:$AC$187,3,FALSE),"nincs főkönyvi számla")</f>
        <v>nincs főkönyvi számla</v>
      </c>
      <c r="R2197" t="str">
        <f>IFERROR(VLOOKUP(K2197,PAR!$V$3:$X$438,3,FALSE),"000000 - Nincs COFOG")</f>
        <v>000000 - Nincs COFOG</v>
      </c>
      <c r="S2197">
        <f t="shared" si="658"/>
        <v>0</v>
      </c>
      <c r="T2197">
        <f t="shared" si="659"/>
        <v>0</v>
      </c>
      <c r="U2197" t="str">
        <f>IF('906MP'!J1897&gt;0,CONCATENATE('906MP'!J1897," - ",'906MP'!P1897,", ",'906MP'!E1897),"nincs megjegyzés")</f>
        <v>nincs megjegyzés</v>
      </c>
      <c r="V2197" t="str">
        <f t="shared" si="646"/>
        <v>0P0</v>
      </c>
      <c r="W2197" t="str">
        <f t="shared" si="647"/>
        <v>0P0</v>
      </c>
      <c r="X2197" t="str">
        <f t="shared" si="648"/>
        <v>P0</v>
      </c>
      <c r="Y2197" t="str">
        <f t="shared" si="649"/>
        <v>00</v>
      </c>
      <c r="Z2197" t="str">
        <f t="shared" si="660"/>
        <v>00</v>
      </c>
      <c r="AA2197" t="str">
        <f t="shared" si="650"/>
        <v>00</v>
      </c>
      <c r="AB2197" t="str">
        <f t="shared" si="651"/>
        <v>00</v>
      </c>
      <c r="AC2197" t="str">
        <f t="shared" si="652"/>
        <v>0P0</v>
      </c>
      <c r="AD2197" t="str">
        <f t="shared" si="653"/>
        <v>P00</v>
      </c>
      <c r="AE2197" t="str">
        <f t="shared" si="654"/>
        <v>0P0</v>
      </c>
      <c r="AF2197" t="str">
        <f t="shared" si="655"/>
        <v>P00</v>
      </c>
      <c r="AG2197" t="str">
        <f t="shared" si="661"/>
        <v>0P00</v>
      </c>
      <c r="AH2197" t="str">
        <f t="shared" si="662"/>
        <v>P000</v>
      </c>
      <c r="AI2197" t="str">
        <f t="shared" si="663"/>
        <v>0P00</v>
      </c>
      <c r="AJ2197" t="str">
        <f t="shared" si="664"/>
        <v>P000</v>
      </c>
    </row>
    <row r="2198" spans="1:36" x14ac:dyDescent="0.25">
      <c r="A2198" s="325" t="str">
        <f>CONCATENATE("P",'906MP'!M1898)</f>
        <v>P</v>
      </c>
      <c r="B2198">
        <f>'906MP'!H1898</f>
        <v>0</v>
      </c>
      <c r="C2198">
        <f>'906MP'!J1898</f>
        <v>0</v>
      </c>
      <c r="D2198">
        <f>'906MP'!P1898</f>
        <v>0</v>
      </c>
      <c r="E2198">
        <f>'906MP'!X1898</f>
        <v>0</v>
      </c>
      <c r="F2198" t="str">
        <f t="shared" si="656"/>
        <v>0</v>
      </c>
      <c r="G2198" t="str">
        <f t="shared" si="657"/>
        <v>0</v>
      </c>
      <c r="H2198">
        <f>'906MP'!Y1898</f>
        <v>0</v>
      </c>
      <c r="I2198">
        <f>'906MP'!AK1898</f>
        <v>0</v>
      </c>
      <c r="J2198">
        <f>'906MP'!T1898</f>
        <v>0</v>
      </c>
      <c r="K2198">
        <f>'906MP'!AJ1898</f>
        <v>0</v>
      </c>
      <c r="L2198">
        <f>'906MP'!U1898</f>
        <v>0</v>
      </c>
      <c r="M2198" s="322" t="str">
        <f>IFERROR(VLOOKUP(A2198,PAR!$D$3:$E$53,2,FALSE),"nincs szervezet")</f>
        <v>nincs szervezet</v>
      </c>
      <c r="N2198" s="322" t="str">
        <f>VLOOKUP(F2198,PAR!$R$3:$S$5,2,FALSE)</f>
        <v>3 - egyik sem</v>
      </c>
      <c r="O2198" t="str">
        <f>IFERROR(VLOOKUP(J2198,PAR!$O$3:$P$5,2,FALSE),"nincs feladat")</f>
        <v>nincs feladat</v>
      </c>
      <c r="P2198" t="str">
        <f>IFERROR(VLOOKUP(G2198,PAR!$J$2:$M$19,4),"nincs rovat")</f>
        <v>nincs rovat</v>
      </c>
      <c r="Q2198" t="str">
        <f>IF(H2198&gt;0,VLOOKUP(H2198,PAR!$AA$3:$AC$187,3,FALSE),"nincs főkönyvi számla")</f>
        <v>nincs főkönyvi számla</v>
      </c>
      <c r="R2198" t="str">
        <f>IFERROR(VLOOKUP(K2198,PAR!$V$3:$X$438,3,FALSE),"000000 - Nincs COFOG")</f>
        <v>000000 - Nincs COFOG</v>
      </c>
      <c r="S2198">
        <f t="shared" si="658"/>
        <v>0</v>
      </c>
      <c r="T2198">
        <f t="shared" si="659"/>
        <v>0</v>
      </c>
      <c r="U2198" t="str">
        <f>IF('906MP'!J1898&gt;0,CONCATENATE('906MP'!J1898," - ",'906MP'!P1898,", ",'906MP'!E1898),"nincs megjegyzés")</f>
        <v>nincs megjegyzés</v>
      </c>
      <c r="V2198" t="str">
        <f t="shared" si="646"/>
        <v>0P0</v>
      </c>
      <c r="W2198" t="str">
        <f t="shared" si="647"/>
        <v>0P0</v>
      </c>
      <c r="X2198" t="str">
        <f t="shared" si="648"/>
        <v>P0</v>
      </c>
      <c r="Y2198" t="str">
        <f t="shared" si="649"/>
        <v>00</v>
      </c>
      <c r="Z2198" t="str">
        <f t="shared" si="660"/>
        <v>00</v>
      </c>
      <c r="AA2198" t="str">
        <f t="shared" si="650"/>
        <v>00</v>
      </c>
      <c r="AB2198" t="str">
        <f t="shared" si="651"/>
        <v>00</v>
      </c>
      <c r="AC2198" t="str">
        <f t="shared" si="652"/>
        <v>0P0</v>
      </c>
      <c r="AD2198" t="str">
        <f t="shared" si="653"/>
        <v>P00</v>
      </c>
      <c r="AE2198" t="str">
        <f t="shared" si="654"/>
        <v>0P0</v>
      </c>
      <c r="AF2198" t="str">
        <f t="shared" si="655"/>
        <v>P00</v>
      </c>
      <c r="AG2198" t="str">
        <f t="shared" si="661"/>
        <v>0P00</v>
      </c>
      <c r="AH2198" t="str">
        <f t="shared" si="662"/>
        <v>P000</v>
      </c>
      <c r="AI2198" t="str">
        <f t="shared" si="663"/>
        <v>0P00</v>
      </c>
      <c r="AJ2198" t="str">
        <f t="shared" si="664"/>
        <v>P000</v>
      </c>
    </row>
    <row r="2199" spans="1:36" x14ac:dyDescent="0.25">
      <c r="A2199" s="325" t="str">
        <f>CONCATENATE("P",'906MP'!M1899)</f>
        <v>P</v>
      </c>
      <c r="B2199">
        <f>'906MP'!H1899</f>
        <v>0</v>
      </c>
      <c r="C2199">
        <f>'906MP'!J1899</f>
        <v>0</v>
      </c>
      <c r="D2199">
        <f>'906MP'!P1899</f>
        <v>0</v>
      </c>
      <c r="E2199">
        <f>'906MP'!X1899</f>
        <v>0</v>
      </c>
      <c r="F2199" t="str">
        <f t="shared" si="656"/>
        <v>0</v>
      </c>
      <c r="G2199" t="str">
        <f t="shared" si="657"/>
        <v>0</v>
      </c>
      <c r="H2199">
        <f>'906MP'!Y1899</f>
        <v>0</v>
      </c>
      <c r="I2199">
        <f>'906MP'!AK1899</f>
        <v>0</v>
      </c>
      <c r="J2199">
        <f>'906MP'!T1899</f>
        <v>0</v>
      </c>
      <c r="K2199">
        <f>'906MP'!AJ1899</f>
        <v>0</v>
      </c>
      <c r="L2199">
        <f>'906MP'!U1899</f>
        <v>0</v>
      </c>
      <c r="M2199" s="322" t="str">
        <f>IFERROR(VLOOKUP(A2199,PAR!$D$3:$E$53,2,FALSE),"nincs szervezet")</f>
        <v>nincs szervezet</v>
      </c>
      <c r="N2199" s="322" t="str">
        <f>VLOOKUP(F2199,PAR!$R$3:$S$5,2,FALSE)</f>
        <v>3 - egyik sem</v>
      </c>
      <c r="O2199" t="str">
        <f>IFERROR(VLOOKUP(J2199,PAR!$O$3:$P$5,2,FALSE),"nincs feladat")</f>
        <v>nincs feladat</v>
      </c>
      <c r="P2199" t="str">
        <f>IFERROR(VLOOKUP(G2199,PAR!$J$2:$M$19,4),"nincs rovat")</f>
        <v>nincs rovat</v>
      </c>
      <c r="Q2199" t="str">
        <f>IF(H2199&gt;0,VLOOKUP(H2199,PAR!$AA$3:$AC$187,3,FALSE),"nincs főkönyvi számla")</f>
        <v>nincs főkönyvi számla</v>
      </c>
      <c r="R2199" t="str">
        <f>IFERROR(VLOOKUP(K2199,PAR!$V$3:$X$438,3,FALSE),"000000 - Nincs COFOG")</f>
        <v>000000 - Nincs COFOG</v>
      </c>
      <c r="S2199">
        <f t="shared" si="658"/>
        <v>0</v>
      </c>
      <c r="T2199">
        <f t="shared" si="659"/>
        <v>0</v>
      </c>
      <c r="U2199" t="str">
        <f>IF('906MP'!J1899&gt;0,CONCATENATE('906MP'!J1899," - ",'906MP'!P1899,", ",'906MP'!E1899),"nincs megjegyzés")</f>
        <v>nincs megjegyzés</v>
      </c>
      <c r="V2199" t="str">
        <f t="shared" si="646"/>
        <v>0P0</v>
      </c>
      <c r="W2199" t="str">
        <f t="shared" si="647"/>
        <v>0P0</v>
      </c>
      <c r="X2199" t="str">
        <f t="shared" si="648"/>
        <v>P0</v>
      </c>
      <c r="Y2199" t="str">
        <f t="shared" si="649"/>
        <v>00</v>
      </c>
      <c r="Z2199" t="str">
        <f t="shared" si="660"/>
        <v>00</v>
      </c>
      <c r="AA2199" t="str">
        <f t="shared" si="650"/>
        <v>00</v>
      </c>
      <c r="AB2199" t="str">
        <f t="shared" si="651"/>
        <v>00</v>
      </c>
      <c r="AC2199" t="str">
        <f t="shared" si="652"/>
        <v>0P0</v>
      </c>
      <c r="AD2199" t="str">
        <f t="shared" si="653"/>
        <v>P00</v>
      </c>
      <c r="AE2199" t="str">
        <f t="shared" si="654"/>
        <v>0P0</v>
      </c>
      <c r="AF2199" t="str">
        <f t="shared" si="655"/>
        <v>P00</v>
      </c>
      <c r="AG2199" t="str">
        <f t="shared" si="661"/>
        <v>0P00</v>
      </c>
      <c r="AH2199" t="str">
        <f t="shared" si="662"/>
        <v>P000</v>
      </c>
      <c r="AI2199" t="str">
        <f t="shared" si="663"/>
        <v>0P00</v>
      </c>
      <c r="AJ2199" t="str">
        <f t="shared" si="664"/>
        <v>P000</v>
      </c>
    </row>
    <row r="2200" spans="1:36" x14ac:dyDescent="0.25">
      <c r="A2200" s="325" t="str">
        <f>CONCATENATE("P",'906MP'!M1900)</f>
        <v>P</v>
      </c>
      <c r="B2200">
        <f>'906MP'!H1900</f>
        <v>0</v>
      </c>
      <c r="C2200">
        <f>'906MP'!J1900</f>
        <v>0</v>
      </c>
      <c r="D2200">
        <f>'906MP'!P1900</f>
        <v>0</v>
      </c>
      <c r="E2200">
        <f>'906MP'!X1900</f>
        <v>0</v>
      </c>
      <c r="F2200" t="str">
        <f t="shared" si="656"/>
        <v>0</v>
      </c>
      <c r="G2200" t="str">
        <f t="shared" si="657"/>
        <v>0</v>
      </c>
      <c r="H2200">
        <f>'906MP'!Y1900</f>
        <v>0</v>
      </c>
      <c r="I2200">
        <f>'906MP'!AK1900</f>
        <v>0</v>
      </c>
      <c r="J2200">
        <f>'906MP'!T1900</f>
        <v>0</v>
      </c>
      <c r="K2200">
        <f>'906MP'!AJ1900</f>
        <v>0</v>
      </c>
      <c r="L2200">
        <f>'906MP'!U1900</f>
        <v>0</v>
      </c>
      <c r="M2200" s="322" t="str">
        <f>IFERROR(VLOOKUP(A2200,PAR!$D$3:$E$53,2,FALSE),"nincs szervezet")</f>
        <v>nincs szervezet</v>
      </c>
      <c r="N2200" s="322" t="str">
        <f>VLOOKUP(F2200,PAR!$R$3:$S$5,2,FALSE)</f>
        <v>3 - egyik sem</v>
      </c>
      <c r="O2200" t="str">
        <f>IFERROR(VLOOKUP(J2200,PAR!$O$3:$P$5,2,FALSE),"nincs feladat")</f>
        <v>nincs feladat</v>
      </c>
      <c r="P2200" t="str">
        <f>IFERROR(VLOOKUP(G2200,PAR!$J$2:$M$19,4),"nincs rovat")</f>
        <v>nincs rovat</v>
      </c>
      <c r="Q2200" t="str">
        <f>IF(H2200&gt;0,VLOOKUP(H2200,PAR!$AA$3:$AC$187,3,FALSE),"nincs főkönyvi számla")</f>
        <v>nincs főkönyvi számla</v>
      </c>
      <c r="R2200" t="str">
        <f>IFERROR(VLOOKUP(K2200,PAR!$V$3:$X$438,3,FALSE),"000000 - Nincs COFOG")</f>
        <v>000000 - Nincs COFOG</v>
      </c>
      <c r="S2200">
        <f t="shared" si="658"/>
        <v>0</v>
      </c>
      <c r="T2200">
        <f t="shared" si="659"/>
        <v>0</v>
      </c>
      <c r="U2200" t="str">
        <f>IF('906MP'!J1900&gt;0,CONCATENATE('906MP'!J1900," - ",'906MP'!P1900,", ",'906MP'!E1900),"nincs megjegyzés")</f>
        <v>nincs megjegyzés</v>
      </c>
      <c r="V2200" t="str">
        <f t="shared" si="646"/>
        <v>0P0</v>
      </c>
      <c r="W2200" t="str">
        <f t="shared" si="647"/>
        <v>0P0</v>
      </c>
      <c r="X2200" t="str">
        <f t="shared" si="648"/>
        <v>P0</v>
      </c>
      <c r="Y2200" t="str">
        <f t="shared" si="649"/>
        <v>00</v>
      </c>
      <c r="Z2200" t="str">
        <f t="shared" si="660"/>
        <v>00</v>
      </c>
      <c r="AA2200" t="str">
        <f t="shared" si="650"/>
        <v>00</v>
      </c>
      <c r="AB2200" t="str">
        <f t="shared" si="651"/>
        <v>00</v>
      </c>
      <c r="AC2200" t="str">
        <f t="shared" si="652"/>
        <v>0P0</v>
      </c>
      <c r="AD2200" t="str">
        <f t="shared" si="653"/>
        <v>P00</v>
      </c>
      <c r="AE2200" t="str">
        <f t="shared" si="654"/>
        <v>0P0</v>
      </c>
      <c r="AF2200" t="str">
        <f t="shared" si="655"/>
        <v>P00</v>
      </c>
      <c r="AG2200" t="str">
        <f t="shared" si="661"/>
        <v>0P00</v>
      </c>
      <c r="AH2200" t="str">
        <f t="shared" si="662"/>
        <v>P000</v>
      </c>
      <c r="AI2200" t="str">
        <f t="shared" si="663"/>
        <v>0P00</v>
      </c>
      <c r="AJ2200" t="str">
        <f t="shared" si="664"/>
        <v>P000</v>
      </c>
    </row>
    <row r="2201" spans="1:36" x14ac:dyDescent="0.25">
      <c r="A2201" s="325" t="str">
        <f>CONCATENATE("P",'906MP'!M1901)</f>
        <v>P</v>
      </c>
      <c r="B2201">
        <f>'906MP'!H1901</f>
        <v>0</v>
      </c>
      <c r="C2201">
        <f>'906MP'!J1901</f>
        <v>0</v>
      </c>
      <c r="D2201">
        <f>'906MP'!P1901</f>
        <v>0</v>
      </c>
      <c r="E2201">
        <f>'906MP'!X1901</f>
        <v>0</v>
      </c>
      <c r="F2201" t="str">
        <f t="shared" si="656"/>
        <v>0</v>
      </c>
      <c r="G2201" t="str">
        <f t="shared" si="657"/>
        <v>0</v>
      </c>
      <c r="H2201">
        <f>'906MP'!Y1901</f>
        <v>0</v>
      </c>
      <c r="I2201">
        <f>'906MP'!AK1901</f>
        <v>0</v>
      </c>
      <c r="J2201">
        <f>'906MP'!T1901</f>
        <v>0</v>
      </c>
      <c r="K2201">
        <f>'906MP'!AJ1901</f>
        <v>0</v>
      </c>
      <c r="L2201">
        <f>'906MP'!U1901</f>
        <v>0</v>
      </c>
      <c r="M2201" s="322" t="str">
        <f>IFERROR(VLOOKUP(A2201,PAR!$D$3:$E$53,2,FALSE),"nincs szervezet")</f>
        <v>nincs szervezet</v>
      </c>
      <c r="N2201" s="322" t="str">
        <f>VLOOKUP(F2201,PAR!$R$3:$S$5,2,FALSE)</f>
        <v>3 - egyik sem</v>
      </c>
      <c r="O2201" t="str">
        <f>IFERROR(VLOOKUP(J2201,PAR!$O$3:$P$5,2,FALSE),"nincs feladat")</f>
        <v>nincs feladat</v>
      </c>
      <c r="P2201" t="str">
        <f>IFERROR(VLOOKUP(G2201,PAR!$J$2:$M$19,4),"nincs rovat")</f>
        <v>nincs rovat</v>
      </c>
      <c r="Q2201" t="str">
        <f>IF(H2201&gt;0,VLOOKUP(H2201,PAR!$AA$3:$AC$187,3,FALSE),"nincs főkönyvi számla")</f>
        <v>nincs főkönyvi számla</v>
      </c>
      <c r="R2201" t="str">
        <f>IFERROR(VLOOKUP(K2201,PAR!$V$3:$X$438,3,FALSE),"000000 - Nincs COFOG")</f>
        <v>000000 - Nincs COFOG</v>
      </c>
      <c r="S2201">
        <f t="shared" si="658"/>
        <v>0</v>
      </c>
      <c r="T2201">
        <f t="shared" si="659"/>
        <v>0</v>
      </c>
      <c r="U2201" t="str">
        <f>IF('906MP'!J1901&gt;0,CONCATENATE('906MP'!J1901," - ",'906MP'!P1901,", ",'906MP'!E1901),"nincs megjegyzés")</f>
        <v>nincs megjegyzés</v>
      </c>
      <c r="V2201" t="str">
        <f t="shared" si="646"/>
        <v>0P0</v>
      </c>
      <c r="W2201" t="str">
        <f t="shared" si="647"/>
        <v>0P0</v>
      </c>
      <c r="X2201" t="str">
        <f t="shared" si="648"/>
        <v>P0</v>
      </c>
      <c r="Y2201" t="str">
        <f t="shared" si="649"/>
        <v>00</v>
      </c>
      <c r="Z2201" t="str">
        <f t="shared" si="660"/>
        <v>00</v>
      </c>
      <c r="AA2201" t="str">
        <f t="shared" si="650"/>
        <v>00</v>
      </c>
      <c r="AB2201" t="str">
        <f t="shared" si="651"/>
        <v>00</v>
      </c>
      <c r="AC2201" t="str">
        <f t="shared" si="652"/>
        <v>0P0</v>
      </c>
      <c r="AD2201" t="str">
        <f t="shared" si="653"/>
        <v>P00</v>
      </c>
      <c r="AE2201" t="str">
        <f t="shared" si="654"/>
        <v>0P0</v>
      </c>
      <c r="AF2201" t="str">
        <f t="shared" si="655"/>
        <v>P00</v>
      </c>
      <c r="AG2201" t="str">
        <f t="shared" si="661"/>
        <v>0P00</v>
      </c>
      <c r="AH2201" t="str">
        <f t="shared" si="662"/>
        <v>P000</v>
      </c>
      <c r="AI2201" t="str">
        <f t="shared" si="663"/>
        <v>0P00</v>
      </c>
      <c r="AJ2201" t="str">
        <f t="shared" si="664"/>
        <v>P000</v>
      </c>
    </row>
    <row r="2202" spans="1:36" x14ac:dyDescent="0.25">
      <c r="A2202" s="325" t="str">
        <f>CONCATENATE("P",'906MP'!M1902)</f>
        <v>P</v>
      </c>
      <c r="B2202">
        <f>'906MP'!H1902</f>
        <v>0</v>
      </c>
      <c r="C2202">
        <f>'906MP'!J1902</f>
        <v>0</v>
      </c>
      <c r="D2202">
        <f>'906MP'!P1902</f>
        <v>0</v>
      </c>
      <c r="E2202">
        <f>'906MP'!X1902</f>
        <v>0</v>
      </c>
      <c r="F2202" t="str">
        <f t="shared" si="656"/>
        <v>0</v>
      </c>
      <c r="G2202" t="str">
        <f t="shared" si="657"/>
        <v>0</v>
      </c>
      <c r="H2202">
        <f>'906MP'!Y1902</f>
        <v>0</v>
      </c>
      <c r="I2202">
        <f>'906MP'!AK1902</f>
        <v>0</v>
      </c>
      <c r="J2202">
        <f>'906MP'!T1902</f>
        <v>0</v>
      </c>
      <c r="K2202">
        <f>'906MP'!AJ1902</f>
        <v>0</v>
      </c>
      <c r="L2202">
        <f>'906MP'!U1902</f>
        <v>0</v>
      </c>
      <c r="M2202" s="322" t="str">
        <f>IFERROR(VLOOKUP(A2202,PAR!$D$3:$E$53,2,FALSE),"nincs szervezet")</f>
        <v>nincs szervezet</v>
      </c>
      <c r="N2202" s="322" t="str">
        <f>VLOOKUP(F2202,PAR!$R$3:$S$5,2,FALSE)</f>
        <v>3 - egyik sem</v>
      </c>
      <c r="O2202" t="str">
        <f>IFERROR(VLOOKUP(J2202,PAR!$O$3:$P$5,2,FALSE),"nincs feladat")</f>
        <v>nincs feladat</v>
      </c>
      <c r="P2202" t="str">
        <f>IFERROR(VLOOKUP(G2202,PAR!$J$2:$M$19,4),"nincs rovat")</f>
        <v>nincs rovat</v>
      </c>
      <c r="Q2202" t="str">
        <f>IF(H2202&gt;0,VLOOKUP(H2202,PAR!$AA$3:$AC$187,3,FALSE),"nincs főkönyvi számla")</f>
        <v>nincs főkönyvi számla</v>
      </c>
      <c r="R2202" t="str">
        <f>IFERROR(VLOOKUP(K2202,PAR!$V$3:$X$438,3,FALSE),"000000 - Nincs COFOG")</f>
        <v>000000 - Nincs COFOG</v>
      </c>
      <c r="S2202">
        <f t="shared" si="658"/>
        <v>0</v>
      </c>
      <c r="T2202">
        <f t="shared" si="659"/>
        <v>0</v>
      </c>
      <c r="U2202" t="str">
        <f>IF('906MP'!J1902&gt;0,CONCATENATE('906MP'!J1902," - ",'906MP'!P1902,", ",'906MP'!E1902),"nincs megjegyzés")</f>
        <v>nincs megjegyzés</v>
      </c>
      <c r="V2202" t="str">
        <f t="shared" si="646"/>
        <v>0P0</v>
      </c>
      <c r="W2202" t="str">
        <f t="shared" si="647"/>
        <v>0P0</v>
      </c>
      <c r="X2202" t="str">
        <f t="shared" si="648"/>
        <v>P0</v>
      </c>
      <c r="Y2202" t="str">
        <f t="shared" si="649"/>
        <v>00</v>
      </c>
      <c r="Z2202" t="str">
        <f t="shared" si="660"/>
        <v>00</v>
      </c>
      <c r="AA2202" t="str">
        <f t="shared" si="650"/>
        <v>00</v>
      </c>
      <c r="AB2202" t="str">
        <f t="shared" si="651"/>
        <v>00</v>
      </c>
      <c r="AC2202" t="str">
        <f t="shared" si="652"/>
        <v>0P0</v>
      </c>
      <c r="AD2202" t="str">
        <f t="shared" si="653"/>
        <v>P00</v>
      </c>
      <c r="AE2202" t="str">
        <f t="shared" si="654"/>
        <v>0P0</v>
      </c>
      <c r="AF2202" t="str">
        <f t="shared" si="655"/>
        <v>P00</v>
      </c>
      <c r="AG2202" t="str">
        <f t="shared" si="661"/>
        <v>0P00</v>
      </c>
      <c r="AH2202" t="str">
        <f t="shared" si="662"/>
        <v>P000</v>
      </c>
      <c r="AI2202" t="str">
        <f t="shared" si="663"/>
        <v>0P00</v>
      </c>
      <c r="AJ2202" t="str">
        <f t="shared" si="664"/>
        <v>P000</v>
      </c>
    </row>
    <row r="2203" spans="1:36" x14ac:dyDescent="0.25">
      <c r="A2203" s="325" t="str">
        <f>CONCATENATE("P",'906MP'!M1903)</f>
        <v>P</v>
      </c>
      <c r="B2203">
        <f>'906MP'!H1903</f>
        <v>0</v>
      </c>
      <c r="C2203">
        <f>'906MP'!J1903</f>
        <v>0</v>
      </c>
      <c r="D2203">
        <f>'906MP'!P1903</f>
        <v>0</v>
      </c>
      <c r="E2203">
        <f>'906MP'!X1903</f>
        <v>0</v>
      </c>
      <c r="F2203" t="str">
        <f t="shared" si="656"/>
        <v>0</v>
      </c>
      <c r="G2203" t="str">
        <f t="shared" si="657"/>
        <v>0</v>
      </c>
      <c r="H2203">
        <f>'906MP'!Y1903</f>
        <v>0</v>
      </c>
      <c r="I2203">
        <f>'906MP'!AK1903</f>
        <v>0</v>
      </c>
      <c r="J2203">
        <f>'906MP'!T1903</f>
        <v>0</v>
      </c>
      <c r="K2203">
        <f>'906MP'!AJ1903</f>
        <v>0</v>
      </c>
      <c r="L2203">
        <f>'906MP'!U1903</f>
        <v>0</v>
      </c>
      <c r="M2203" s="322" t="str">
        <f>IFERROR(VLOOKUP(A2203,PAR!$D$3:$E$53,2,FALSE),"nincs szervezet")</f>
        <v>nincs szervezet</v>
      </c>
      <c r="N2203" s="322" t="str">
        <f>VLOOKUP(F2203,PAR!$R$3:$S$5,2,FALSE)</f>
        <v>3 - egyik sem</v>
      </c>
      <c r="O2203" t="str">
        <f>IFERROR(VLOOKUP(J2203,PAR!$O$3:$P$5,2,FALSE),"nincs feladat")</f>
        <v>nincs feladat</v>
      </c>
      <c r="P2203" t="str">
        <f>IFERROR(VLOOKUP(G2203,PAR!$J$2:$M$19,4),"nincs rovat")</f>
        <v>nincs rovat</v>
      </c>
      <c r="Q2203" t="str">
        <f>IF(H2203&gt;0,VLOOKUP(H2203,PAR!$AA$3:$AC$187,3,FALSE),"nincs főkönyvi számla")</f>
        <v>nincs főkönyvi számla</v>
      </c>
      <c r="R2203" t="str">
        <f>IFERROR(VLOOKUP(K2203,PAR!$V$3:$X$438,3,FALSE),"000000 - Nincs COFOG")</f>
        <v>000000 - Nincs COFOG</v>
      </c>
      <c r="S2203">
        <f t="shared" si="658"/>
        <v>0</v>
      </c>
      <c r="T2203">
        <f t="shared" si="659"/>
        <v>0</v>
      </c>
      <c r="U2203" t="str">
        <f>IF('906MP'!J1903&gt;0,CONCATENATE('906MP'!J1903," - ",'906MP'!P1903,", ",'906MP'!E1903),"nincs megjegyzés")</f>
        <v>nincs megjegyzés</v>
      </c>
      <c r="V2203" t="str">
        <f t="shared" si="646"/>
        <v>0P0</v>
      </c>
      <c r="W2203" t="str">
        <f t="shared" si="647"/>
        <v>0P0</v>
      </c>
      <c r="X2203" t="str">
        <f t="shared" si="648"/>
        <v>P0</v>
      </c>
      <c r="Y2203" t="str">
        <f t="shared" si="649"/>
        <v>00</v>
      </c>
      <c r="Z2203" t="str">
        <f t="shared" si="660"/>
        <v>00</v>
      </c>
      <c r="AA2203" t="str">
        <f t="shared" si="650"/>
        <v>00</v>
      </c>
      <c r="AB2203" t="str">
        <f t="shared" si="651"/>
        <v>00</v>
      </c>
      <c r="AC2203" t="str">
        <f t="shared" si="652"/>
        <v>0P0</v>
      </c>
      <c r="AD2203" t="str">
        <f t="shared" si="653"/>
        <v>P00</v>
      </c>
      <c r="AE2203" t="str">
        <f t="shared" si="654"/>
        <v>0P0</v>
      </c>
      <c r="AF2203" t="str">
        <f t="shared" si="655"/>
        <v>P00</v>
      </c>
      <c r="AG2203" t="str">
        <f t="shared" si="661"/>
        <v>0P00</v>
      </c>
      <c r="AH2203" t="str">
        <f t="shared" si="662"/>
        <v>P000</v>
      </c>
      <c r="AI2203" t="str">
        <f t="shared" si="663"/>
        <v>0P00</v>
      </c>
      <c r="AJ2203" t="str">
        <f t="shared" si="664"/>
        <v>P000</v>
      </c>
    </row>
    <row r="2204" spans="1:36" x14ac:dyDescent="0.25">
      <c r="A2204" s="325" t="str">
        <f>CONCATENATE("P",'906MP'!M1904)</f>
        <v>P</v>
      </c>
      <c r="B2204">
        <f>'906MP'!H1904</f>
        <v>0</v>
      </c>
      <c r="C2204">
        <f>'906MP'!J1904</f>
        <v>0</v>
      </c>
      <c r="D2204">
        <f>'906MP'!P1904</f>
        <v>0</v>
      </c>
      <c r="E2204">
        <f>'906MP'!X1904</f>
        <v>0</v>
      </c>
      <c r="F2204" t="str">
        <f t="shared" si="656"/>
        <v>0</v>
      </c>
      <c r="G2204" t="str">
        <f t="shared" si="657"/>
        <v>0</v>
      </c>
      <c r="H2204">
        <f>'906MP'!Y1904</f>
        <v>0</v>
      </c>
      <c r="I2204">
        <f>'906MP'!AK1904</f>
        <v>0</v>
      </c>
      <c r="J2204">
        <f>'906MP'!T1904</f>
        <v>0</v>
      </c>
      <c r="K2204">
        <f>'906MP'!AJ1904</f>
        <v>0</v>
      </c>
      <c r="L2204">
        <f>'906MP'!U1904</f>
        <v>0</v>
      </c>
      <c r="M2204" s="322" t="str">
        <f>IFERROR(VLOOKUP(A2204,PAR!$D$3:$E$53,2,FALSE),"nincs szervezet")</f>
        <v>nincs szervezet</v>
      </c>
      <c r="N2204" s="322" t="str">
        <f>VLOOKUP(F2204,PAR!$R$3:$S$5,2,FALSE)</f>
        <v>3 - egyik sem</v>
      </c>
      <c r="O2204" t="str">
        <f>IFERROR(VLOOKUP(J2204,PAR!$O$3:$P$5,2,FALSE),"nincs feladat")</f>
        <v>nincs feladat</v>
      </c>
      <c r="P2204" t="str">
        <f>IFERROR(VLOOKUP(G2204,PAR!$J$2:$M$19,4),"nincs rovat")</f>
        <v>nincs rovat</v>
      </c>
      <c r="Q2204" t="str">
        <f>IF(H2204&gt;0,VLOOKUP(H2204,PAR!$AA$3:$AC$187,3,FALSE),"nincs főkönyvi számla")</f>
        <v>nincs főkönyvi számla</v>
      </c>
      <c r="R2204" t="str">
        <f>IFERROR(VLOOKUP(K2204,PAR!$V$3:$X$438,3,FALSE),"000000 - Nincs COFOG")</f>
        <v>000000 - Nincs COFOG</v>
      </c>
      <c r="S2204">
        <f t="shared" si="658"/>
        <v>0</v>
      </c>
      <c r="T2204">
        <f t="shared" si="659"/>
        <v>0</v>
      </c>
      <c r="U2204" t="str">
        <f>IF('906MP'!J1904&gt;0,CONCATENATE('906MP'!J1904," - ",'906MP'!P1904,", ",'906MP'!E1904),"nincs megjegyzés")</f>
        <v>nincs megjegyzés</v>
      </c>
      <c r="V2204" t="str">
        <f t="shared" si="646"/>
        <v>0P0</v>
      </c>
      <c r="W2204" t="str">
        <f t="shared" si="647"/>
        <v>0P0</v>
      </c>
      <c r="X2204" t="str">
        <f t="shared" si="648"/>
        <v>P0</v>
      </c>
      <c r="Y2204" t="str">
        <f t="shared" si="649"/>
        <v>00</v>
      </c>
      <c r="Z2204" t="str">
        <f t="shared" si="660"/>
        <v>00</v>
      </c>
      <c r="AA2204" t="str">
        <f t="shared" si="650"/>
        <v>00</v>
      </c>
      <c r="AB2204" t="str">
        <f t="shared" si="651"/>
        <v>00</v>
      </c>
      <c r="AC2204" t="str">
        <f t="shared" si="652"/>
        <v>0P0</v>
      </c>
      <c r="AD2204" t="str">
        <f t="shared" si="653"/>
        <v>P00</v>
      </c>
      <c r="AE2204" t="str">
        <f t="shared" si="654"/>
        <v>0P0</v>
      </c>
      <c r="AF2204" t="str">
        <f t="shared" si="655"/>
        <v>P00</v>
      </c>
      <c r="AG2204" t="str">
        <f t="shared" si="661"/>
        <v>0P00</v>
      </c>
      <c r="AH2204" t="str">
        <f t="shared" si="662"/>
        <v>P000</v>
      </c>
      <c r="AI2204" t="str">
        <f t="shared" si="663"/>
        <v>0P00</v>
      </c>
      <c r="AJ2204" t="str">
        <f t="shared" si="664"/>
        <v>P000</v>
      </c>
    </row>
    <row r="2205" spans="1:36" x14ac:dyDescent="0.25">
      <c r="A2205" s="325" t="str">
        <f>CONCATENATE("P",'906MP'!M1905)</f>
        <v>P</v>
      </c>
      <c r="B2205">
        <f>'906MP'!H1905</f>
        <v>0</v>
      </c>
      <c r="C2205">
        <f>'906MP'!J1905</f>
        <v>0</v>
      </c>
      <c r="D2205">
        <f>'906MP'!P1905</f>
        <v>0</v>
      </c>
      <c r="E2205">
        <f>'906MP'!X1905</f>
        <v>0</v>
      </c>
      <c r="F2205" t="str">
        <f t="shared" si="656"/>
        <v>0</v>
      </c>
      <c r="G2205" t="str">
        <f t="shared" si="657"/>
        <v>0</v>
      </c>
      <c r="H2205">
        <f>'906MP'!Y1905</f>
        <v>0</v>
      </c>
      <c r="I2205">
        <f>'906MP'!AK1905</f>
        <v>0</v>
      </c>
      <c r="J2205">
        <f>'906MP'!T1905</f>
        <v>0</v>
      </c>
      <c r="K2205">
        <f>'906MP'!AJ1905</f>
        <v>0</v>
      </c>
      <c r="L2205">
        <f>'906MP'!U1905</f>
        <v>0</v>
      </c>
      <c r="M2205" s="322" t="str">
        <f>IFERROR(VLOOKUP(A2205,PAR!$D$3:$E$53,2,FALSE),"nincs szervezet")</f>
        <v>nincs szervezet</v>
      </c>
      <c r="N2205" s="322" t="str">
        <f>VLOOKUP(F2205,PAR!$R$3:$S$5,2,FALSE)</f>
        <v>3 - egyik sem</v>
      </c>
      <c r="O2205" t="str">
        <f>IFERROR(VLOOKUP(J2205,PAR!$O$3:$P$5,2,FALSE),"nincs feladat")</f>
        <v>nincs feladat</v>
      </c>
      <c r="P2205" t="str">
        <f>IFERROR(VLOOKUP(G2205,PAR!$J$2:$M$19,4),"nincs rovat")</f>
        <v>nincs rovat</v>
      </c>
      <c r="Q2205" t="str">
        <f>IF(H2205&gt;0,VLOOKUP(H2205,PAR!$AA$3:$AC$187,3,FALSE),"nincs főkönyvi számla")</f>
        <v>nincs főkönyvi számla</v>
      </c>
      <c r="R2205" t="str">
        <f>IFERROR(VLOOKUP(K2205,PAR!$V$3:$X$438,3,FALSE),"000000 - Nincs COFOG")</f>
        <v>000000 - Nincs COFOG</v>
      </c>
      <c r="S2205">
        <f t="shared" si="658"/>
        <v>0</v>
      </c>
      <c r="T2205">
        <f t="shared" si="659"/>
        <v>0</v>
      </c>
      <c r="U2205" t="str">
        <f>IF('906MP'!J1905&gt;0,CONCATENATE('906MP'!J1905," - ",'906MP'!P1905,", ",'906MP'!E1905),"nincs megjegyzés")</f>
        <v>nincs megjegyzés</v>
      </c>
      <c r="V2205" t="str">
        <f t="shared" si="646"/>
        <v>0P0</v>
      </c>
      <c r="W2205" t="str">
        <f t="shared" si="647"/>
        <v>0P0</v>
      </c>
      <c r="X2205" t="str">
        <f t="shared" si="648"/>
        <v>P0</v>
      </c>
      <c r="Y2205" t="str">
        <f t="shared" si="649"/>
        <v>00</v>
      </c>
      <c r="Z2205" t="str">
        <f t="shared" si="660"/>
        <v>00</v>
      </c>
      <c r="AA2205" t="str">
        <f t="shared" si="650"/>
        <v>00</v>
      </c>
      <c r="AB2205" t="str">
        <f t="shared" si="651"/>
        <v>00</v>
      </c>
      <c r="AC2205" t="str">
        <f t="shared" si="652"/>
        <v>0P0</v>
      </c>
      <c r="AD2205" t="str">
        <f t="shared" si="653"/>
        <v>P00</v>
      </c>
      <c r="AE2205" t="str">
        <f t="shared" si="654"/>
        <v>0P0</v>
      </c>
      <c r="AF2205" t="str">
        <f t="shared" si="655"/>
        <v>P00</v>
      </c>
      <c r="AG2205" t="str">
        <f t="shared" si="661"/>
        <v>0P00</v>
      </c>
      <c r="AH2205" t="str">
        <f t="shared" si="662"/>
        <v>P000</v>
      </c>
      <c r="AI2205" t="str">
        <f t="shared" si="663"/>
        <v>0P00</v>
      </c>
      <c r="AJ2205" t="str">
        <f t="shared" si="664"/>
        <v>P000</v>
      </c>
    </row>
    <row r="2206" spans="1:36" x14ac:dyDescent="0.25">
      <c r="A2206" s="325" t="str">
        <f>CONCATENATE("P",'906MP'!M1906)</f>
        <v>P</v>
      </c>
      <c r="B2206">
        <f>'906MP'!H1906</f>
        <v>0</v>
      </c>
      <c r="C2206">
        <f>'906MP'!J1906</f>
        <v>0</v>
      </c>
      <c r="D2206">
        <f>'906MP'!P1906</f>
        <v>0</v>
      </c>
      <c r="E2206">
        <f>'906MP'!X1906</f>
        <v>0</v>
      </c>
      <c r="F2206" t="str">
        <f t="shared" si="656"/>
        <v>0</v>
      </c>
      <c r="G2206" t="str">
        <f t="shared" si="657"/>
        <v>0</v>
      </c>
      <c r="H2206">
        <f>'906MP'!Y1906</f>
        <v>0</v>
      </c>
      <c r="I2206">
        <f>'906MP'!AK1906</f>
        <v>0</v>
      </c>
      <c r="J2206">
        <f>'906MP'!T1906</f>
        <v>0</v>
      </c>
      <c r="K2206">
        <f>'906MP'!AJ1906</f>
        <v>0</v>
      </c>
      <c r="L2206">
        <f>'906MP'!U1906</f>
        <v>0</v>
      </c>
      <c r="M2206" s="322" t="str">
        <f>IFERROR(VLOOKUP(A2206,PAR!$D$3:$E$53,2,FALSE),"nincs szervezet")</f>
        <v>nincs szervezet</v>
      </c>
      <c r="N2206" s="322" t="str">
        <f>VLOOKUP(F2206,PAR!$R$3:$S$5,2,FALSE)</f>
        <v>3 - egyik sem</v>
      </c>
      <c r="O2206" t="str">
        <f>IFERROR(VLOOKUP(J2206,PAR!$O$3:$P$5,2,FALSE),"nincs feladat")</f>
        <v>nincs feladat</v>
      </c>
      <c r="P2206" t="str">
        <f>IFERROR(VLOOKUP(G2206,PAR!$J$2:$M$19,4),"nincs rovat")</f>
        <v>nincs rovat</v>
      </c>
      <c r="Q2206" t="str">
        <f>IF(H2206&gt;0,VLOOKUP(H2206,PAR!$AA$3:$AC$187,3,FALSE),"nincs főkönyvi számla")</f>
        <v>nincs főkönyvi számla</v>
      </c>
      <c r="R2206" t="str">
        <f>IFERROR(VLOOKUP(K2206,PAR!$V$3:$X$438,3,FALSE),"000000 - Nincs COFOG")</f>
        <v>000000 - Nincs COFOG</v>
      </c>
      <c r="S2206">
        <f t="shared" si="658"/>
        <v>0</v>
      </c>
      <c r="T2206">
        <f t="shared" si="659"/>
        <v>0</v>
      </c>
      <c r="U2206" t="str">
        <f>IF('906MP'!J1906&gt;0,CONCATENATE('906MP'!J1906," - ",'906MP'!P1906,", ",'906MP'!E1906),"nincs megjegyzés")</f>
        <v>nincs megjegyzés</v>
      </c>
      <c r="V2206" t="str">
        <f t="shared" si="646"/>
        <v>0P0</v>
      </c>
      <c r="W2206" t="str">
        <f t="shared" si="647"/>
        <v>0P0</v>
      </c>
      <c r="X2206" t="str">
        <f t="shared" si="648"/>
        <v>P0</v>
      </c>
      <c r="Y2206" t="str">
        <f t="shared" si="649"/>
        <v>00</v>
      </c>
      <c r="Z2206" t="str">
        <f t="shared" si="660"/>
        <v>00</v>
      </c>
      <c r="AA2206" t="str">
        <f t="shared" si="650"/>
        <v>00</v>
      </c>
      <c r="AB2206" t="str">
        <f t="shared" si="651"/>
        <v>00</v>
      </c>
      <c r="AC2206" t="str">
        <f t="shared" si="652"/>
        <v>0P0</v>
      </c>
      <c r="AD2206" t="str">
        <f t="shared" si="653"/>
        <v>P00</v>
      </c>
      <c r="AE2206" t="str">
        <f t="shared" si="654"/>
        <v>0P0</v>
      </c>
      <c r="AF2206" t="str">
        <f t="shared" si="655"/>
        <v>P00</v>
      </c>
      <c r="AG2206" t="str">
        <f t="shared" si="661"/>
        <v>0P00</v>
      </c>
      <c r="AH2206" t="str">
        <f t="shared" si="662"/>
        <v>P000</v>
      </c>
      <c r="AI2206" t="str">
        <f t="shared" si="663"/>
        <v>0P00</v>
      </c>
      <c r="AJ2206" t="str">
        <f t="shared" si="664"/>
        <v>P000</v>
      </c>
    </row>
    <row r="2207" spans="1:36" x14ac:dyDescent="0.25">
      <c r="A2207" s="325" t="str">
        <f>CONCATENATE("P",'906MP'!M1907)</f>
        <v>P</v>
      </c>
      <c r="B2207">
        <f>'906MP'!H1907</f>
        <v>0</v>
      </c>
      <c r="C2207">
        <f>'906MP'!J1907</f>
        <v>0</v>
      </c>
      <c r="D2207">
        <f>'906MP'!P1907</f>
        <v>0</v>
      </c>
      <c r="E2207">
        <f>'906MP'!X1907</f>
        <v>0</v>
      </c>
      <c r="F2207" t="str">
        <f t="shared" si="656"/>
        <v>0</v>
      </c>
      <c r="G2207" t="str">
        <f t="shared" si="657"/>
        <v>0</v>
      </c>
      <c r="H2207">
        <f>'906MP'!Y1907</f>
        <v>0</v>
      </c>
      <c r="I2207">
        <f>'906MP'!AK1907</f>
        <v>0</v>
      </c>
      <c r="J2207">
        <f>'906MP'!T1907</f>
        <v>0</v>
      </c>
      <c r="K2207">
        <f>'906MP'!AJ1907</f>
        <v>0</v>
      </c>
      <c r="L2207">
        <f>'906MP'!U1907</f>
        <v>0</v>
      </c>
      <c r="M2207" s="322" t="str">
        <f>IFERROR(VLOOKUP(A2207,PAR!$D$3:$E$53,2,FALSE),"nincs szervezet")</f>
        <v>nincs szervezet</v>
      </c>
      <c r="N2207" s="322" t="str">
        <f>VLOOKUP(F2207,PAR!$R$3:$S$5,2,FALSE)</f>
        <v>3 - egyik sem</v>
      </c>
      <c r="O2207" t="str">
        <f>IFERROR(VLOOKUP(J2207,PAR!$O$3:$P$5,2,FALSE),"nincs feladat")</f>
        <v>nincs feladat</v>
      </c>
      <c r="P2207" t="str">
        <f>IFERROR(VLOOKUP(G2207,PAR!$J$2:$M$19,4),"nincs rovat")</f>
        <v>nincs rovat</v>
      </c>
      <c r="Q2207" t="str">
        <f>IF(H2207&gt;0,VLOOKUP(H2207,PAR!$AA$3:$AC$187,3,FALSE),"nincs főkönyvi számla")</f>
        <v>nincs főkönyvi számla</v>
      </c>
      <c r="R2207" t="str">
        <f>IFERROR(VLOOKUP(K2207,PAR!$V$3:$X$438,3,FALSE),"000000 - Nincs COFOG")</f>
        <v>000000 - Nincs COFOG</v>
      </c>
      <c r="S2207">
        <f t="shared" si="658"/>
        <v>0</v>
      </c>
      <c r="T2207">
        <f t="shared" si="659"/>
        <v>0</v>
      </c>
      <c r="U2207" t="str">
        <f>IF('906MP'!J1907&gt;0,CONCATENATE('906MP'!J1907," - ",'906MP'!P1907,", ",'906MP'!E1907),"nincs megjegyzés")</f>
        <v>nincs megjegyzés</v>
      </c>
      <c r="V2207" t="str">
        <f t="shared" si="646"/>
        <v>0P0</v>
      </c>
      <c r="W2207" t="str">
        <f t="shared" si="647"/>
        <v>0P0</v>
      </c>
      <c r="X2207" t="str">
        <f t="shared" si="648"/>
        <v>P0</v>
      </c>
      <c r="Y2207" t="str">
        <f t="shared" si="649"/>
        <v>00</v>
      </c>
      <c r="Z2207" t="str">
        <f t="shared" si="660"/>
        <v>00</v>
      </c>
      <c r="AA2207" t="str">
        <f t="shared" si="650"/>
        <v>00</v>
      </c>
      <c r="AB2207" t="str">
        <f t="shared" si="651"/>
        <v>00</v>
      </c>
      <c r="AC2207" t="str">
        <f t="shared" si="652"/>
        <v>0P0</v>
      </c>
      <c r="AD2207" t="str">
        <f t="shared" si="653"/>
        <v>P00</v>
      </c>
      <c r="AE2207" t="str">
        <f t="shared" si="654"/>
        <v>0P0</v>
      </c>
      <c r="AF2207" t="str">
        <f t="shared" si="655"/>
        <v>P00</v>
      </c>
      <c r="AG2207" t="str">
        <f t="shared" si="661"/>
        <v>0P00</v>
      </c>
      <c r="AH2207" t="str">
        <f t="shared" si="662"/>
        <v>P000</v>
      </c>
      <c r="AI2207" t="str">
        <f t="shared" si="663"/>
        <v>0P00</v>
      </c>
      <c r="AJ2207" t="str">
        <f t="shared" si="664"/>
        <v>P000</v>
      </c>
    </row>
    <row r="2208" spans="1:36" x14ac:dyDescent="0.25">
      <c r="A2208" s="325" t="str">
        <f>CONCATENATE("P",'906MP'!M1908)</f>
        <v>P</v>
      </c>
      <c r="B2208">
        <f>'906MP'!H1908</f>
        <v>0</v>
      </c>
      <c r="C2208">
        <f>'906MP'!J1908</f>
        <v>0</v>
      </c>
      <c r="D2208">
        <f>'906MP'!P1908</f>
        <v>0</v>
      </c>
      <c r="E2208">
        <f>'906MP'!X1908</f>
        <v>0</v>
      </c>
      <c r="F2208" t="str">
        <f t="shared" si="656"/>
        <v>0</v>
      </c>
      <c r="G2208" t="str">
        <f t="shared" si="657"/>
        <v>0</v>
      </c>
      <c r="H2208">
        <f>'906MP'!Y1908</f>
        <v>0</v>
      </c>
      <c r="I2208">
        <f>'906MP'!AK1908</f>
        <v>0</v>
      </c>
      <c r="J2208">
        <f>'906MP'!T1908</f>
        <v>0</v>
      </c>
      <c r="K2208">
        <f>'906MP'!AJ1908</f>
        <v>0</v>
      </c>
      <c r="L2208">
        <f>'906MP'!U1908</f>
        <v>0</v>
      </c>
      <c r="M2208" s="322" t="str">
        <f>IFERROR(VLOOKUP(A2208,PAR!$D$3:$E$53,2,FALSE),"nincs szervezet")</f>
        <v>nincs szervezet</v>
      </c>
      <c r="N2208" s="322" t="str">
        <f>VLOOKUP(F2208,PAR!$R$3:$S$5,2,FALSE)</f>
        <v>3 - egyik sem</v>
      </c>
      <c r="O2208" t="str">
        <f>IFERROR(VLOOKUP(J2208,PAR!$O$3:$P$5,2,FALSE),"nincs feladat")</f>
        <v>nincs feladat</v>
      </c>
      <c r="P2208" t="str">
        <f>IFERROR(VLOOKUP(G2208,PAR!$J$2:$M$19,4),"nincs rovat")</f>
        <v>nincs rovat</v>
      </c>
      <c r="Q2208" t="str">
        <f>IF(H2208&gt;0,VLOOKUP(H2208,PAR!$AA$3:$AC$187,3,FALSE),"nincs főkönyvi számla")</f>
        <v>nincs főkönyvi számla</v>
      </c>
      <c r="R2208" t="str">
        <f>IFERROR(VLOOKUP(K2208,PAR!$V$3:$X$438,3,FALSE),"000000 - Nincs COFOG")</f>
        <v>000000 - Nincs COFOG</v>
      </c>
      <c r="S2208">
        <f t="shared" si="658"/>
        <v>0</v>
      </c>
      <c r="T2208">
        <f t="shared" si="659"/>
        <v>0</v>
      </c>
      <c r="U2208" t="str">
        <f>IF('906MP'!J1908&gt;0,CONCATENATE('906MP'!J1908," - ",'906MP'!P1908,", ",'906MP'!E1908),"nincs megjegyzés")</f>
        <v>nincs megjegyzés</v>
      </c>
      <c r="V2208" t="str">
        <f t="shared" si="646"/>
        <v>0P0</v>
      </c>
      <c r="W2208" t="str">
        <f t="shared" si="647"/>
        <v>0P0</v>
      </c>
      <c r="X2208" t="str">
        <f t="shared" si="648"/>
        <v>P0</v>
      </c>
      <c r="Y2208" t="str">
        <f t="shared" si="649"/>
        <v>00</v>
      </c>
      <c r="Z2208" t="str">
        <f t="shared" si="660"/>
        <v>00</v>
      </c>
      <c r="AA2208" t="str">
        <f t="shared" si="650"/>
        <v>00</v>
      </c>
      <c r="AB2208" t="str">
        <f t="shared" si="651"/>
        <v>00</v>
      </c>
      <c r="AC2208" t="str">
        <f t="shared" si="652"/>
        <v>0P0</v>
      </c>
      <c r="AD2208" t="str">
        <f t="shared" si="653"/>
        <v>P00</v>
      </c>
      <c r="AE2208" t="str">
        <f t="shared" si="654"/>
        <v>0P0</v>
      </c>
      <c r="AF2208" t="str">
        <f t="shared" si="655"/>
        <v>P00</v>
      </c>
      <c r="AG2208" t="str">
        <f t="shared" si="661"/>
        <v>0P00</v>
      </c>
      <c r="AH2208" t="str">
        <f t="shared" si="662"/>
        <v>P000</v>
      </c>
      <c r="AI2208" t="str">
        <f t="shared" si="663"/>
        <v>0P00</v>
      </c>
      <c r="AJ2208" t="str">
        <f t="shared" si="664"/>
        <v>P000</v>
      </c>
    </row>
    <row r="2209" spans="1:36" x14ac:dyDescent="0.25">
      <c r="A2209" s="325" t="str">
        <f>CONCATENATE("P",'906MP'!M1909)</f>
        <v>P</v>
      </c>
      <c r="B2209">
        <f>'906MP'!H1909</f>
        <v>0</v>
      </c>
      <c r="C2209">
        <f>'906MP'!J1909</f>
        <v>0</v>
      </c>
      <c r="D2209">
        <f>'906MP'!P1909</f>
        <v>0</v>
      </c>
      <c r="E2209">
        <f>'906MP'!X1909</f>
        <v>0</v>
      </c>
      <c r="F2209" t="str">
        <f t="shared" si="656"/>
        <v>0</v>
      </c>
      <c r="G2209" t="str">
        <f t="shared" si="657"/>
        <v>0</v>
      </c>
      <c r="H2209">
        <f>'906MP'!Y1909</f>
        <v>0</v>
      </c>
      <c r="I2209">
        <f>'906MP'!AK1909</f>
        <v>0</v>
      </c>
      <c r="J2209">
        <f>'906MP'!T1909</f>
        <v>0</v>
      </c>
      <c r="K2209">
        <f>'906MP'!AJ1909</f>
        <v>0</v>
      </c>
      <c r="L2209">
        <f>'906MP'!U1909</f>
        <v>0</v>
      </c>
      <c r="M2209" s="322" t="str">
        <f>IFERROR(VLOOKUP(A2209,PAR!$D$3:$E$53,2,FALSE),"nincs szervezet")</f>
        <v>nincs szervezet</v>
      </c>
      <c r="N2209" s="322" t="str">
        <f>VLOOKUP(F2209,PAR!$R$3:$S$5,2,FALSE)</f>
        <v>3 - egyik sem</v>
      </c>
      <c r="O2209" t="str">
        <f>IFERROR(VLOOKUP(J2209,PAR!$O$3:$P$5,2,FALSE),"nincs feladat")</f>
        <v>nincs feladat</v>
      </c>
      <c r="P2209" t="str">
        <f>IFERROR(VLOOKUP(G2209,PAR!$J$2:$M$19,4),"nincs rovat")</f>
        <v>nincs rovat</v>
      </c>
      <c r="Q2209" t="str">
        <f>IF(H2209&gt;0,VLOOKUP(H2209,PAR!$AA$3:$AC$187,3,FALSE),"nincs főkönyvi számla")</f>
        <v>nincs főkönyvi számla</v>
      </c>
      <c r="R2209" t="str">
        <f>IFERROR(VLOOKUP(K2209,PAR!$V$3:$X$438,3,FALSE),"000000 - Nincs COFOG")</f>
        <v>000000 - Nincs COFOG</v>
      </c>
      <c r="S2209">
        <f t="shared" si="658"/>
        <v>0</v>
      </c>
      <c r="T2209">
        <f t="shared" si="659"/>
        <v>0</v>
      </c>
      <c r="U2209" t="str">
        <f>IF('906MP'!J1909&gt;0,CONCATENATE('906MP'!J1909," - ",'906MP'!P1909,", ",'906MP'!E1909),"nincs megjegyzés")</f>
        <v>nincs megjegyzés</v>
      </c>
      <c r="V2209" t="str">
        <f t="shared" si="646"/>
        <v>0P0</v>
      </c>
      <c r="W2209" t="str">
        <f t="shared" si="647"/>
        <v>0P0</v>
      </c>
      <c r="X2209" t="str">
        <f t="shared" si="648"/>
        <v>P0</v>
      </c>
      <c r="Y2209" t="str">
        <f t="shared" si="649"/>
        <v>00</v>
      </c>
      <c r="Z2209" t="str">
        <f t="shared" si="660"/>
        <v>00</v>
      </c>
      <c r="AA2209" t="str">
        <f t="shared" si="650"/>
        <v>00</v>
      </c>
      <c r="AB2209" t="str">
        <f t="shared" si="651"/>
        <v>00</v>
      </c>
      <c r="AC2209" t="str">
        <f t="shared" si="652"/>
        <v>0P0</v>
      </c>
      <c r="AD2209" t="str">
        <f t="shared" si="653"/>
        <v>P00</v>
      </c>
      <c r="AE2209" t="str">
        <f t="shared" si="654"/>
        <v>0P0</v>
      </c>
      <c r="AF2209" t="str">
        <f t="shared" si="655"/>
        <v>P00</v>
      </c>
      <c r="AG2209" t="str">
        <f t="shared" si="661"/>
        <v>0P00</v>
      </c>
      <c r="AH2209" t="str">
        <f t="shared" si="662"/>
        <v>P000</v>
      </c>
      <c r="AI2209" t="str">
        <f t="shared" si="663"/>
        <v>0P00</v>
      </c>
      <c r="AJ2209" t="str">
        <f t="shared" si="664"/>
        <v>P000</v>
      </c>
    </row>
    <row r="2210" spans="1:36" x14ac:dyDescent="0.25">
      <c r="A2210" s="325" t="str">
        <f>CONCATENATE("P",'906MP'!M1910)</f>
        <v>P</v>
      </c>
      <c r="B2210">
        <f>'906MP'!H1910</f>
        <v>0</v>
      </c>
      <c r="C2210">
        <f>'906MP'!J1910</f>
        <v>0</v>
      </c>
      <c r="D2210">
        <f>'906MP'!P1910</f>
        <v>0</v>
      </c>
      <c r="E2210">
        <f>'906MP'!X1910</f>
        <v>0</v>
      </c>
      <c r="F2210" t="str">
        <f t="shared" si="656"/>
        <v>0</v>
      </c>
      <c r="G2210" t="str">
        <f t="shared" si="657"/>
        <v>0</v>
      </c>
      <c r="H2210">
        <f>'906MP'!Y1910</f>
        <v>0</v>
      </c>
      <c r="I2210">
        <f>'906MP'!AK1910</f>
        <v>0</v>
      </c>
      <c r="J2210">
        <f>'906MP'!T1910</f>
        <v>0</v>
      </c>
      <c r="K2210">
        <f>'906MP'!AJ1910</f>
        <v>0</v>
      </c>
      <c r="L2210">
        <f>'906MP'!U1910</f>
        <v>0</v>
      </c>
      <c r="M2210" s="322" t="str">
        <f>IFERROR(VLOOKUP(A2210,PAR!$D$3:$E$53,2,FALSE),"nincs szervezet")</f>
        <v>nincs szervezet</v>
      </c>
      <c r="N2210" s="322" t="str">
        <f>VLOOKUP(F2210,PAR!$R$3:$S$5,2,FALSE)</f>
        <v>3 - egyik sem</v>
      </c>
      <c r="O2210" t="str">
        <f>IFERROR(VLOOKUP(J2210,PAR!$O$3:$P$5,2,FALSE),"nincs feladat")</f>
        <v>nincs feladat</v>
      </c>
      <c r="P2210" t="str">
        <f>IFERROR(VLOOKUP(G2210,PAR!$J$2:$M$19,4),"nincs rovat")</f>
        <v>nincs rovat</v>
      </c>
      <c r="Q2210" t="str">
        <f>IF(H2210&gt;0,VLOOKUP(H2210,PAR!$AA$3:$AC$187,3,FALSE),"nincs főkönyvi számla")</f>
        <v>nincs főkönyvi számla</v>
      </c>
      <c r="R2210" t="str">
        <f>IFERROR(VLOOKUP(K2210,PAR!$V$3:$X$438,3,FALSE),"000000 - Nincs COFOG")</f>
        <v>000000 - Nincs COFOG</v>
      </c>
      <c r="S2210">
        <f t="shared" si="658"/>
        <v>0</v>
      </c>
      <c r="T2210">
        <f t="shared" si="659"/>
        <v>0</v>
      </c>
      <c r="U2210" t="str">
        <f>IF('906MP'!J1910&gt;0,CONCATENATE('906MP'!J1910," - ",'906MP'!P1910,", ",'906MP'!E1910),"nincs megjegyzés")</f>
        <v>nincs megjegyzés</v>
      </c>
      <c r="V2210" t="str">
        <f t="shared" si="646"/>
        <v>0P0</v>
      </c>
      <c r="W2210" t="str">
        <f t="shared" si="647"/>
        <v>0P0</v>
      </c>
      <c r="X2210" t="str">
        <f t="shared" si="648"/>
        <v>P0</v>
      </c>
      <c r="Y2210" t="str">
        <f t="shared" si="649"/>
        <v>00</v>
      </c>
      <c r="Z2210" t="str">
        <f t="shared" si="660"/>
        <v>00</v>
      </c>
      <c r="AA2210" t="str">
        <f t="shared" si="650"/>
        <v>00</v>
      </c>
      <c r="AB2210" t="str">
        <f t="shared" si="651"/>
        <v>00</v>
      </c>
      <c r="AC2210" t="str">
        <f t="shared" si="652"/>
        <v>0P0</v>
      </c>
      <c r="AD2210" t="str">
        <f t="shared" si="653"/>
        <v>P00</v>
      </c>
      <c r="AE2210" t="str">
        <f t="shared" si="654"/>
        <v>0P0</v>
      </c>
      <c r="AF2210" t="str">
        <f t="shared" si="655"/>
        <v>P00</v>
      </c>
      <c r="AG2210" t="str">
        <f t="shared" si="661"/>
        <v>0P00</v>
      </c>
      <c r="AH2210" t="str">
        <f t="shared" si="662"/>
        <v>P000</v>
      </c>
      <c r="AI2210" t="str">
        <f t="shared" si="663"/>
        <v>0P00</v>
      </c>
      <c r="AJ2210" t="str">
        <f t="shared" si="664"/>
        <v>P000</v>
      </c>
    </row>
    <row r="2211" spans="1:36" x14ac:dyDescent="0.25">
      <c r="A2211" s="325" t="str">
        <f>CONCATENATE("P",'906MP'!M1911)</f>
        <v>P</v>
      </c>
      <c r="B2211">
        <f>'906MP'!H1911</f>
        <v>0</v>
      </c>
      <c r="C2211">
        <f>'906MP'!J1911</f>
        <v>0</v>
      </c>
      <c r="D2211">
        <f>'906MP'!P1911</f>
        <v>0</v>
      </c>
      <c r="E2211">
        <f>'906MP'!X1911</f>
        <v>0</v>
      </c>
      <c r="F2211" t="str">
        <f t="shared" si="656"/>
        <v>0</v>
      </c>
      <c r="G2211" t="str">
        <f t="shared" si="657"/>
        <v>0</v>
      </c>
      <c r="H2211">
        <f>'906MP'!Y1911</f>
        <v>0</v>
      </c>
      <c r="I2211">
        <f>'906MP'!AK1911</f>
        <v>0</v>
      </c>
      <c r="J2211">
        <f>'906MP'!T1911</f>
        <v>0</v>
      </c>
      <c r="K2211">
        <f>'906MP'!AJ1911</f>
        <v>0</v>
      </c>
      <c r="L2211">
        <f>'906MP'!U1911</f>
        <v>0</v>
      </c>
      <c r="M2211" s="322" t="str">
        <f>IFERROR(VLOOKUP(A2211,PAR!$D$3:$E$53,2,FALSE),"nincs szervezet")</f>
        <v>nincs szervezet</v>
      </c>
      <c r="N2211" s="322" t="str">
        <f>VLOOKUP(F2211,PAR!$R$3:$S$5,2,FALSE)</f>
        <v>3 - egyik sem</v>
      </c>
      <c r="O2211" t="str">
        <f>IFERROR(VLOOKUP(J2211,PAR!$O$3:$P$5,2,FALSE),"nincs feladat")</f>
        <v>nincs feladat</v>
      </c>
      <c r="P2211" t="str">
        <f>IFERROR(VLOOKUP(G2211,PAR!$J$2:$M$19,4),"nincs rovat")</f>
        <v>nincs rovat</v>
      </c>
      <c r="Q2211" t="str">
        <f>IF(H2211&gt;0,VLOOKUP(H2211,PAR!$AA$3:$AC$187,3,FALSE),"nincs főkönyvi számla")</f>
        <v>nincs főkönyvi számla</v>
      </c>
      <c r="R2211" t="str">
        <f>IFERROR(VLOOKUP(K2211,PAR!$V$3:$X$438,3,FALSE),"000000 - Nincs COFOG")</f>
        <v>000000 - Nincs COFOG</v>
      </c>
      <c r="S2211">
        <f t="shared" si="658"/>
        <v>0</v>
      </c>
      <c r="T2211">
        <f t="shared" si="659"/>
        <v>0</v>
      </c>
      <c r="U2211" t="str">
        <f>IF('906MP'!J1911&gt;0,CONCATENATE('906MP'!J1911," - ",'906MP'!P1911,", ",'906MP'!E1911),"nincs megjegyzés")</f>
        <v>nincs megjegyzés</v>
      </c>
      <c r="V2211" t="str">
        <f t="shared" si="646"/>
        <v>0P0</v>
      </c>
      <c r="W2211" t="str">
        <f t="shared" si="647"/>
        <v>0P0</v>
      </c>
      <c r="X2211" t="str">
        <f t="shared" si="648"/>
        <v>P0</v>
      </c>
      <c r="Y2211" t="str">
        <f t="shared" si="649"/>
        <v>00</v>
      </c>
      <c r="Z2211" t="str">
        <f t="shared" si="660"/>
        <v>00</v>
      </c>
      <c r="AA2211" t="str">
        <f t="shared" si="650"/>
        <v>00</v>
      </c>
      <c r="AB2211" t="str">
        <f t="shared" si="651"/>
        <v>00</v>
      </c>
      <c r="AC2211" t="str">
        <f t="shared" si="652"/>
        <v>0P0</v>
      </c>
      <c r="AD2211" t="str">
        <f t="shared" si="653"/>
        <v>P00</v>
      </c>
      <c r="AE2211" t="str">
        <f t="shared" si="654"/>
        <v>0P0</v>
      </c>
      <c r="AF2211" t="str">
        <f t="shared" si="655"/>
        <v>P00</v>
      </c>
      <c r="AG2211" t="str">
        <f t="shared" si="661"/>
        <v>0P00</v>
      </c>
      <c r="AH2211" t="str">
        <f t="shared" si="662"/>
        <v>P000</v>
      </c>
      <c r="AI2211" t="str">
        <f t="shared" si="663"/>
        <v>0P00</v>
      </c>
      <c r="AJ2211" t="str">
        <f t="shared" si="664"/>
        <v>P000</v>
      </c>
    </row>
    <row r="2212" spans="1:36" x14ac:dyDescent="0.25">
      <c r="A2212" s="325" t="str">
        <f>CONCATENATE("P",'906MP'!M1912)</f>
        <v>P</v>
      </c>
      <c r="B2212">
        <f>'906MP'!H1912</f>
        <v>0</v>
      </c>
      <c r="C2212">
        <f>'906MP'!J1912</f>
        <v>0</v>
      </c>
      <c r="D2212">
        <f>'906MP'!P1912</f>
        <v>0</v>
      </c>
      <c r="E2212">
        <f>'906MP'!X1912</f>
        <v>0</v>
      </c>
      <c r="F2212" t="str">
        <f t="shared" si="656"/>
        <v>0</v>
      </c>
      <c r="G2212" t="str">
        <f t="shared" si="657"/>
        <v>0</v>
      </c>
      <c r="H2212">
        <f>'906MP'!Y1912</f>
        <v>0</v>
      </c>
      <c r="I2212">
        <f>'906MP'!AK1912</f>
        <v>0</v>
      </c>
      <c r="J2212">
        <f>'906MP'!T1912</f>
        <v>0</v>
      </c>
      <c r="K2212">
        <f>'906MP'!AJ1912</f>
        <v>0</v>
      </c>
      <c r="L2212">
        <f>'906MP'!U1912</f>
        <v>0</v>
      </c>
      <c r="M2212" s="322" t="str">
        <f>IFERROR(VLOOKUP(A2212,PAR!$D$3:$E$53,2,FALSE),"nincs szervezet")</f>
        <v>nincs szervezet</v>
      </c>
      <c r="N2212" s="322" t="str">
        <f>VLOOKUP(F2212,PAR!$R$3:$S$5,2,FALSE)</f>
        <v>3 - egyik sem</v>
      </c>
      <c r="O2212" t="str">
        <f>IFERROR(VLOOKUP(J2212,PAR!$O$3:$P$5,2,FALSE),"nincs feladat")</f>
        <v>nincs feladat</v>
      </c>
      <c r="P2212" t="str">
        <f>IFERROR(VLOOKUP(G2212,PAR!$J$2:$M$19,4),"nincs rovat")</f>
        <v>nincs rovat</v>
      </c>
      <c r="Q2212" t="str">
        <f>IF(H2212&gt;0,VLOOKUP(H2212,PAR!$AA$3:$AC$187,3,FALSE),"nincs főkönyvi számla")</f>
        <v>nincs főkönyvi számla</v>
      </c>
      <c r="R2212" t="str">
        <f>IFERROR(VLOOKUP(K2212,PAR!$V$3:$X$438,3,FALSE),"000000 - Nincs COFOG")</f>
        <v>000000 - Nincs COFOG</v>
      </c>
      <c r="S2212">
        <f t="shared" si="658"/>
        <v>0</v>
      </c>
      <c r="T2212">
        <f t="shared" si="659"/>
        <v>0</v>
      </c>
      <c r="U2212" t="str">
        <f>IF('906MP'!J1912&gt;0,CONCATENATE('906MP'!J1912," - ",'906MP'!P1912,", ",'906MP'!E1912),"nincs megjegyzés")</f>
        <v>nincs megjegyzés</v>
      </c>
      <c r="V2212" t="str">
        <f t="shared" si="646"/>
        <v>0P0</v>
      </c>
      <c r="W2212" t="str">
        <f t="shared" si="647"/>
        <v>0P0</v>
      </c>
      <c r="X2212" t="str">
        <f t="shared" si="648"/>
        <v>P0</v>
      </c>
      <c r="Y2212" t="str">
        <f t="shared" si="649"/>
        <v>00</v>
      </c>
      <c r="Z2212" t="str">
        <f t="shared" si="660"/>
        <v>00</v>
      </c>
      <c r="AA2212" t="str">
        <f t="shared" si="650"/>
        <v>00</v>
      </c>
      <c r="AB2212" t="str">
        <f t="shared" si="651"/>
        <v>00</v>
      </c>
      <c r="AC2212" t="str">
        <f t="shared" si="652"/>
        <v>0P0</v>
      </c>
      <c r="AD2212" t="str">
        <f t="shared" si="653"/>
        <v>P00</v>
      </c>
      <c r="AE2212" t="str">
        <f t="shared" si="654"/>
        <v>0P0</v>
      </c>
      <c r="AF2212" t="str">
        <f t="shared" si="655"/>
        <v>P00</v>
      </c>
      <c r="AG2212" t="str">
        <f t="shared" si="661"/>
        <v>0P00</v>
      </c>
      <c r="AH2212" t="str">
        <f t="shared" si="662"/>
        <v>P000</v>
      </c>
      <c r="AI2212" t="str">
        <f t="shared" si="663"/>
        <v>0P00</v>
      </c>
      <c r="AJ2212" t="str">
        <f t="shared" si="664"/>
        <v>P000</v>
      </c>
    </row>
    <row r="2213" spans="1:36" x14ac:dyDescent="0.25">
      <c r="A2213" s="325" t="str">
        <f>CONCATENATE("P",'906MP'!M1913)</f>
        <v>P</v>
      </c>
      <c r="B2213">
        <f>'906MP'!H1913</f>
        <v>0</v>
      </c>
      <c r="C2213">
        <f>'906MP'!J1913</f>
        <v>0</v>
      </c>
      <c r="D2213">
        <f>'906MP'!P1913</f>
        <v>0</v>
      </c>
      <c r="E2213">
        <f>'906MP'!X1913</f>
        <v>0</v>
      </c>
      <c r="F2213" t="str">
        <f t="shared" si="656"/>
        <v>0</v>
      </c>
      <c r="G2213" t="str">
        <f t="shared" si="657"/>
        <v>0</v>
      </c>
      <c r="H2213">
        <f>'906MP'!Y1913</f>
        <v>0</v>
      </c>
      <c r="I2213">
        <f>'906MP'!AK1913</f>
        <v>0</v>
      </c>
      <c r="J2213">
        <f>'906MP'!T1913</f>
        <v>0</v>
      </c>
      <c r="K2213">
        <f>'906MP'!AJ1913</f>
        <v>0</v>
      </c>
      <c r="L2213">
        <f>'906MP'!U1913</f>
        <v>0</v>
      </c>
      <c r="M2213" s="322" t="str">
        <f>IFERROR(VLOOKUP(A2213,PAR!$D$3:$E$53,2,FALSE),"nincs szervezet")</f>
        <v>nincs szervezet</v>
      </c>
      <c r="N2213" s="322" t="str">
        <f>VLOOKUP(F2213,PAR!$R$3:$S$5,2,FALSE)</f>
        <v>3 - egyik sem</v>
      </c>
      <c r="O2213" t="str">
        <f>IFERROR(VLOOKUP(J2213,PAR!$O$3:$P$5,2,FALSE),"nincs feladat")</f>
        <v>nincs feladat</v>
      </c>
      <c r="P2213" t="str">
        <f>IFERROR(VLOOKUP(G2213,PAR!$J$2:$M$19,4),"nincs rovat")</f>
        <v>nincs rovat</v>
      </c>
      <c r="Q2213" t="str">
        <f>IF(H2213&gt;0,VLOOKUP(H2213,PAR!$AA$3:$AC$187,3,FALSE),"nincs főkönyvi számla")</f>
        <v>nincs főkönyvi számla</v>
      </c>
      <c r="R2213" t="str">
        <f>IFERROR(VLOOKUP(K2213,PAR!$V$3:$X$438,3,FALSE),"000000 - Nincs COFOG")</f>
        <v>000000 - Nincs COFOG</v>
      </c>
      <c r="S2213">
        <f t="shared" si="658"/>
        <v>0</v>
      </c>
      <c r="T2213">
        <f t="shared" si="659"/>
        <v>0</v>
      </c>
      <c r="U2213" t="str">
        <f>IF('906MP'!J1913&gt;0,CONCATENATE('906MP'!J1913," - ",'906MP'!P1913,", ",'906MP'!E1913),"nincs megjegyzés")</f>
        <v>nincs megjegyzés</v>
      </c>
      <c r="V2213" t="str">
        <f t="shared" si="646"/>
        <v>0P0</v>
      </c>
      <c r="W2213" t="str">
        <f t="shared" si="647"/>
        <v>0P0</v>
      </c>
      <c r="X2213" t="str">
        <f t="shared" si="648"/>
        <v>P0</v>
      </c>
      <c r="Y2213" t="str">
        <f t="shared" si="649"/>
        <v>00</v>
      </c>
      <c r="Z2213" t="str">
        <f t="shared" si="660"/>
        <v>00</v>
      </c>
      <c r="AA2213" t="str">
        <f t="shared" si="650"/>
        <v>00</v>
      </c>
      <c r="AB2213" t="str">
        <f t="shared" si="651"/>
        <v>00</v>
      </c>
      <c r="AC2213" t="str">
        <f t="shared" si="652"/>
        <v>0P0</v>
      </c>
      <c r="AD2213" t="str">
        <f t="shared" si="653"/>
        <v>P00</v>
      </c>
      <c r="AE2213" t="str">
        <f t="shared" si="654"/>
        <v>0P0</v>
      </c>
      <c r="AF2213" t="str">
        <f t="shared" si="655"/>
        <v>P00</v>
      </c>
      <c r="AG2213" t="str">
        <f t="shared" si="661"/>
        <v>0P00</v>
      </c>
      <c r="AH2213" t="str">
        <f t="shared" si="662"/>
        <v>P000</v>
      </c>
      <c r="AI2213" t="str">
        <f t="shared" si="663"/>
        <v>0P00</v>
      </c>
      <c r="AJ2213" t="str">
        <f t="shared" si="664"/>
        <v>P000</v>
      </c>
    </row>
    <row r="2214" spans="1:36" x14ac:dyDescent="0.25">
      <c r="A2214" s="325" t="str">
        <f>CONCATENATE("P",'906MP'!M1914)</f>
        <v>P</v>
      </c>
      <c r="B2214">
        <f>'906MP'!H1914</f>
        <v>0</v>
      </c>
      <c r="C2214">
        <f>'906MP'!J1914</f>
        <v>0</v>
      </c>
      <c r="D2214">
        <f>'906MP'!P1914</f>
        <v>0</v>
      </c>
      <c r="E2214">
        <f>'906MP'!X1914</f>
        <v>0</v>
      </c>
      <c r="F2214" t="str">
        <f t="shared" si="656"/>
        <v>0</v>
      </c>
      <c r="G2214" t="str">
        <f t="shared" si="657"/>
        <v>0</v>
      </c>
      <c r="H2214">
        <f>'906MP'!Y1914</f>
        <v>0</v>
      </c>
      <c r="I2214">
        <f>'906MP'!AK1914</f>
        <v>0</v>
      </c>
      <c r="J2214">
        <f>'906MP'!T1914</f>
        <v>0</v>
      </c>
      <c r="K2214">
        <f>'906MP'!AJ1914</f>
        <v>0</v>
      </c>
      <c r="L2214">
        <f>'906MP'!U1914</f>
        <v>0</v>
      </c>
      <c r="M2214" s="322" t="str">
        <f>IFERROR(VLOOKUP(A2214,PAR!$D$3:$E$53,2,FALSE),"nincs szervezet")</f>
        <v>nincs szervezet</v>
      </c>
      <c r="N2214" s="322" t="str">
        <f>VLOOKUP(F2214,PAR!$R$3:$S$5,2,FALSE)</f>
        <v>3 - egyik sem</v>
      </c>
      <c r="O2214" t="str">
        <f>IFERROR(VLOOKUP(J2214,PAR!$O$3:$P$5,2,FALSE),"nincs feladat")</f>
        <v>nincs feladat</v>
      </c>
      <c r="P2214" t="str">
        <f>IFERROR(VLOOKUP(G2214,PAR!$J$2:$M$19,4),"nincs rovat")</f>
        <v>nincs rovat</v>
      </c>
      <c r="Q2214" t="str">
        <f>IF(H2214&gt;0,VLOOKUP(H2214,PAR!$AA$3:$AC$187,3,FALSE),"nincs főkönyvi számla")</f>
        <v>nincs főkönyvi számla</v>
      </c>
      <c r="R2214" t="str">
        <f>IFERROR(VLOOKUP(K2214,PAR!$V$3:$X$438,3,FALSE),"000000 - Nincs COFOG")</f>
        <v>000000 - Nincs COFOG</v>
      </c>
      <c r="S2214">
        <f t="shared" si="658"/>
        <v>0</v>
      </c>
      <c r="T2214">
        <f t="shared" si="659"/>
        <v>0</v>
      </c>
      <c r="U2214" t="str">
        <f>IF('906MP'!J1914&gt;0,CONCATENATE('906MP'!J1914," - ",'906MP'!P1914,", ",'906MP'!E1914),"nincs megjegyzés")</f>
        <v>nincs megjegyzés</v>
      </c>
      <c r="V2214" t="str">
        <f t="shared" si="646"/>
        <v>0P0</v>
      </c>
      <c r="W2214" t="str">
        <f t="shared" si="647"/>
        <v>0P0</v>
      </c>
      <c r="X2214" t="str">
        <f t="shared" si="648"/>
        <v>P0</v>
      </c>
      <c r="Y2214" t="str">
        <f t="shared" si="649"/>
        <v>00</v>
      </c>
      <c r="Z2214" t="str">
        <f t="shared" si="660"/>
        <v>00</v>
      </c>
      <c r="AA2214" t="str">
        <f t="shared" si="650"/>
        <v>00</v>
      </c>
      <c r="AB2214" t="str">
        <f t="shared" si="651"/>
        <v>00</v>
      </c>
      <c r="AC2214" t="str">
        <f t="shared" si="652"/>
        <v>0P0</v>
      </c>
      <c r="AD2214" t="str">
        <f t="shared" si="653"/>
        <v>P00</v>
      </c>
      <c r="AE2214" t="str">
        <f t="shared" si="654"/>
        <v>0P0</v>
      </c>
      <c r="AF2214" t="str">
        <f t="shared" si="655"/>
        <v>P00</v>
      </c>
      <c r="AG2214" t="str">
        <f t="shared" si="661"/>
        <v>0P00</v>
      </c>
      <c r="AH2214" t="str">
        <f t="shared" si="662"/>
        <v>P000</v>
      </c>
      <c r="AI2214" t="str">
        <f t="shared" si="663"/>
        <v>0P00</v>
      </c>
      <c r="AJ2214" t="str">
        <f t="shared" si="664"/>
        <v>P000</v>
      </c>
    </row>
    <row r="2215" spans="1:36" x14ac:dyDescent="0.25">
      <c r="A2215" s="325" t="str">
        <f>CONCATENATE("P",'906MP'!M1915)</f>
        <v>P</v>
      </c>
      <c r="B2215">
        <f>'906MP'!H1915</f>
        <v>0</v>
      </c>
      <c r="C2215">
        <f>'906MP'!J1915</f>
        <v>0</v>
      </c>
      <c r="D2215">
        <f>'906MP'!P1915</f>
        <v>0</v>
      </c>
      <c r="E2215">
        <f>'906MP'!X1915</f>
        <v>0</v>
      </c>
      <c r="F2215" t="str">
        <f t="shared" si="656"/>
        <v>0</v>
      </c>
      <c r="G2215" t="str">
        <f t="shared" si="657"/>
        <v>0</v>
      </c>
      <c r="H2215">
        <f>'906MP'!Y1915</f>
        <v>0</v>
      </c>
      <c r="I2215">
        <f>'906MP'!AK1915</f>
        <v>0</v>
      </c>
      <c r="J2215">
        <f>'906MP'!T1915</f>
        <v>0</v>
      </c>
      <c r="K2215">
        <f>'906MP'!AJ1915</f>
        <v>0</v>
      </c>
      <c r="L2215">
        <f>'906MP'!U1915</f>
        <v>0</v>
      </c>
      <c r="M2215" s="322" t="str">
        <f>IFERROR(VLOOKUP(A2215,PAR!$D$3:$E$53,2,FALSE),"nincs szervezet")</f>
        <v>nincs szervezet</v>
      </c>
      <c r="N2215" s="322" t="str">
        <f>VLOOKUP(F2215,PAR!$R$3:$S$5,2,FALSE)</f>
        <v>3 - egyik sem</v>
      </c>
      <c r="O2215" t="str">
        <f>IFERROR(VLOOKUP(J2215,PAR!$O$3:$P$5,2,FALSE),"nincs feladat")</f>
        <v>nincs feladat</v>
      </c>
      <c r="P2215" t="str">
        <f>IFERROR(VLOOKUP(G2215,PAR!$J$2:$M$19,4),"nincs rovat")</f>
        <v>nincs rovat</v>
      </c>
      <c r="Q2215" t="str">
        <f>IF(H2215&gt;0,VLOOKUP(H2215,PAR!$AA$3:$AC$187,3,FALSE),"nincs főkönyvi számla")</f>
        <v>nincs főkönyvi számla</v>
      </c>
      <c r="R2215" t="str">
        <f>IFERROR(VLOOKUP(K2215,PAR!$V$3:$X$438,3,FALSE),"000000 - Nincs COFOG")</f>
        <v>000000 - Nincs COFOG</v>
      </c>
      <c r="S2215">
        <f t="shared" si="658"/>
        <v>0</v>
      </c>
      <c r="T2215">
        <f t="shared" si="659"/>
        <v>0</v>
      </c>
      <c r="U2215" t="str">
        <f>IF('906MP'!J1915&gt;0,CONCATENATE('906MP'!J1915," - ",'906MP'!P1915,", ",'906MP'!E1915),"nincs megjegyzés")</f>
        <v>nincs megjegyzés</v>
      </c>
      <c r="V2215" t="str">
        <f t="shared" si="646"/>
        <v>0P0</v>
      </c>
      <c r="W2215" t="str">
        <f t="shared" si="647"/>
        <v>0P0</v>
      </c>
      <c r="X2215" t="str">
        <f t="shared" si="648"/>
        <v>P0</v>
      </c>
      <c r="Y2215" t="str">
        <f t="shared" si="649"/>
        <v>00</v>
      </c>
      <c r="Z2215" t="str">
        <f t="shared" si="660"/>
        <v>00</v>
      </c>
      <c r="AA2215" t="str">
        <f t="shared" si="650"/>
        <v>00</v>
      </c>
      <c r="AB2215" t="str">
        <f t="shared" si="651"/>
        <v>00</v>
      </c>
      <c r="AC2215" t="str">
        <f t="shared" si="652"/>
        <v>0P0</v>
      </c>
      <c r="AD2215" t="str">
        <f t="shared" si="653"/>
        <v>P00</v>
      </c>
      <c r="AE2215" t="str">
        <f t="shared" si="654"/>
        <v>0P0</v>
      </c>
      <c r="AF2215" t="str">
        <f t="shared" si="655"/>
        <v>P00</v>
      </c>
      <c r="AG2215" t="str">
        <f t="shared" si="661"/>
        <v>0P00</v>
      </c>
      <c r="AH2215" t="str">
        <f t="shared" si="662"/>
        <v>P000</v>
      </c>
      <c r="AI2215" t="str">
        <f t="shared" si="663"/>
        <v>0P00</v>
      </c>
      <c r="AJ2215" t="str">
        <f t="shared" si="664"/>
        <v>P000</v>
      </c>
    </row>
    <row r="2216" spans="1:36" x14ac:dyDescent="0.25">
      <c r="A2216" s="325" t="str">
        <f>CONCATENATE("P",'906MP'!M1916)</f>
        <v>P</v>
      </c>
      <c r="B2216">
        <f>'906MP'!H1916</f>
        <v>0</v>
      </c>
      <c r="C2216">
        <f>'906MP'!J1916</f>
        <v>0</v>
      </c>
      <c r="D2216">
        <f>'906MP'!P1916</f>
        <v>0</v>
      </c>
      <c r="E2216">
        <f>'906MP'!X1916</f>
        <v>0</v>
      </c>
      <c r="F2216" t="str">
        <f t="shared" si="656"/>
        <v>0</v>
      </c>
      <c r="G2216" t="str">
        <f t="shared" si="657"/>
        <v>0</v>
      </c>
      <c r="H2216">
        <f>'906MP'!Y1916</f>
        <v>0</v>
      </c>
      <c r="I2216">
        <f>'906MP'!AK1916</f>
        <v>0</v>
      </c>
      <c r="J2216">
        <f>'906MP'!T1916</f>
        <v>0</v>
      </c>
      <c r="K2216">
        <f>'906MP'!AJ1916</f>
        <v>0</v>
      </c>
      <c r="L2216">
        <f>'906MP'!U1916</f>
        <v>0</v>
      </c>
      <c r="M2216" s="322" t="str">
        <f>IFERROR(VLOOKUP(A2216,PAR!$D$3:$E$53,2,FALSE),"nincs szervezet")</f>
        <v>nincs szervezet</v>
      </c>
      <c r="N2216" s="322" t="str">
        <f>VLOOKUP(F2216,PAR!$R$3:$S$5,2,FALSE)</f>
        <v>3 - egyik sem</v>
      </c>
      <c r="O2216" t="str">
        <f>IFERROR(VLOOKUP(J2216,PAR!$O$3:$P$5,2,FALSE),"nincs feladat")</f>
        <v>nincs feladat</v>
      </c>
      <c r="P2216" t="str">
        <f>IFERROR(VLOOKUP(G2216,PAR!$J$2:$M$19,4),"nincs rovat")</f>
        <v>nincs rovat</v>
      </c>
      <c r="Q2216" t="str">
        <f>IF(H2216&gt;0,VLOOKUP(H2216,PAR!$AA$3:$AC$187,3,FALSE),"nincs főkönyvi számla")</f>
        <v>nincs főkönyvi számla</v>
      </c>
      <c r="R2216" t="str">
        <f>IFERROR(VLOOKUP(K2216,PAR!$V$3:$X$438,3,FALSE),"000000 - Nincs COFOG")</f>
        <v>000000 - Nincs COFOG</v>
      </c>
      <c r="S2216">
        <f t="shared" si="658"/>
        <v>0</v>
      </c>
      <c r="T2216">
        <f t="shared" si="659"/>
        <v>0</v>
      </c>
      <c r="U2216" t="str">
        <f>IF('906MP'!J1916&gt;0,CONCATENATE('906MP'!J1916," - ",'906MP'!P1916,", ",'906MP'!E1916),"nincs megjegyzés")</f>
        <v>nincs megjegyzés</v>
      </c>
      <c r="V2216" t="str">
        <f t="shared" si="646"/>
        <v>0P0</v>
      </c>
      <c r="W2216" t="str">
        <f t="shared" si="647"/>
        <v>0P0</v>
      </c>
      <c r="X2216" t="str">
        <f t="shared" si="648"/>
        <v>P0</v>
      </c>
      <c r="Y2216" t="str">
        <f t="shared" si="649"/>
        <v>00</v>
      </c>
      <c r="Z2216" t="str">
        <f t="shared" si="660"/>
        <v>00</v>
      </c>
      <c r="AA2216" t="str">
        <f t="shared" si="650"/>
        <v>00</v>
      </c>
      <c r="AB2216" t="str">
        <f t="shared" si="651"/>
        <v>00</v>
      </c>
      <c r="AC2216" t="str">
        <f t="shared" si="652"/>
        <v>0P0</v>
      </c>
      <c r="AD2216" t="str">
        <f t="shared" si="653"/>
        <v>P00</v>
      </c>
      <c r="AE2216" t="str">
        <f t="shared" si="654"/>
        <v>0P0</v>
      </c>
      <c r="AF2216" t="str">
        <f t="shared" si="655"/>
        <v>P00</v>
      </c>
      <c r="AG2216" t="str">
        <f t="shared" si="661"/>
        <v>0P00</v>
      </c>
      <c r="AH2216" t="str">
        <f t="shared" si="662"/>
        <v>P000</v>
      </c>
      <c r="AI2216" t="str">
        <f t="shared" si="663"/>
        <v>0P00</v>
      </c>
      <c r="AJ2216" t="str">
        <f t="shared" si="664"/>
        <v>P000</v>
      </c>
    </row>
    <row r="2217" spans="1:36" x14ac:dyDescent="0.25">
      <c r="A2217" s="325" t="str">
        <f>CONCATENATE("P",'906MP'!M1917)</f>
        <v>P</v>
      </c>
      <c r="B2217">
        <f>'906MP'!H1917</f>
        <v>0</v>
      </c>
      <c r="C2217">
        <f>'906MP'!J1917</f>
        <v>0</v>
      </c>
      <c r="D2217">
        <f>'906MP'!P1917</f>
        <v>0</v>
      </c>
      <c r="E2217">
        <f>'906MP'!X1917</f>
        <v>0</v>
      </c>
      <c r="F2217" t="str">
        <f t="shared" si="656"/>
        <v>0</v>
      </c>
      <c r="G2217" t="str">
        <f t="shared" si="657"/>
        <v>0</v>
      </c>
      <c r="H2217">
        <f>'906MP'!Y1917</f>
        <v>0</v>
      </c>
      <c r="I2217">
        <f>'906MP'!AK1917</f>
        <v>0</v>
      </c>
      <c r="J2217">
        <f>'906MP'!T1917</f>
        <v>0</v>
      </c>
      <c r="K2217">
        <f>'906MP'!AJ1917</f>
        <v>0</v>
      </c>
      <c r="L2217">
        <f>'906MP'!U1917</f>
        <v>0</v>
      </c>
      <c r="M2217" s="322" t="str">
        <f>IFERROR(VLOOKUP(A2217,PAR!$D$3:$E$53,2,FALSE),"nincs szervezet")</f>
        <v>nincs szervezet</v>
      </c>
      <c r="N2217" s="322" t="str">
        <f>VLOOKUP(F2217,PAR!$R$3:$S$5,2,FALSE)</f>
        <v>3 - egyik sem</v>
      </c>
      <c r="O2217" t="str">
        <f>IFERROR(VLOOKUP(J2217,PAR!$O$3:$P$5,2,FALSE),"nincs feladat")</f>
        <v>nincs feladat</v>
      </c>
      <c r="P2217" t="str">
        <f>IFERROR(VLOOKUP(G2217,PAR!$J$2:$M$19,4),"nincs rovat")</f>
        <v>nincs rovat</v>
      </c>
      <c r="Q2217" t="str">
        <f>IF(H2217&gt;0,VLOOKUP(H2217,PAR!$AA$3:$AC$187,3,FALSE),"nincs főkönyvi számla")</f>
        <v>nincs főkönyvi számla</v>
      </c>
      <c r="R2217" t="str">
        <f>IFERROR(VLOOKUP(K2217,PAR!$V$3:$X$438,3,FALSE),"000000 - Nincs COFOG")</f>
        <v>000000 - Nincs COFOG</v>
      </c>
      <c r="S2217">
        <f t="shared" si="658"/>
        <v>0</v>
      </c>
      <c r="T2217">
        <f t="shared" si="659"/>
        <v>0</v>
      </c>
      <c r="U2217" t="str">
        <f>IF('906MP'!J1917&gt;0,CONCATENATE('906MP'!J1917," - ",'906MP'!P1917,", ",'906MP'!E1917),"nincs megjegyzés")</f>
        <v>nincs megjegyzés</v>
      </c>
      <c r="V2217" t="str">
        <f t="shared" si="646"/>
        <v>0P0</v>
      </c>
      <c r="W2217" t="str">
        <f t="shared" si="647"/>
        <v>0P0</v>
      </c>
      <c r="X2217" t="str">
        <f t="shared" si="648"/>
        <v>P0</v>
      </c>
      <c r="Y2217" t="str">
        <f t="shared" si="649"/>
        <v>00</v>
      </c>
      <c r="Z2217" t="str">
        <f t="shared" si="660"/>
        <v>00</v>
      </c>
      <c r="AA2217" t="str">
        <f t="shared" si="650"/>
        <v>00</v>
      </c>
      <c r="AB2217" t="str">
        <f t="shared" si="651"/>
        <v>00</v>
      </c>
      <c r="AC2217" t="str">
        <f t="shared" si="652"/>
        <v>0P0</v>
      </c>
      <c r="AD2217" t="str">
        <f t="shared" si="653"/>
        <v>P00</v>
      </c>
      <c r="AE2217" t="str">
        <f t="shared" si="654"/>
        <v>0P0</v>
      </c>
      <c r="AF2217" t="str">
        <f t="shared" si="655"/>
        <v>P00</v>
      </c>
      <c r="AG2217" t="str">
        <f t="shared" si="661"/>
        <v>0P00</v>
      </c>
      <c r="AH2217" t="str">
        <f t="shared" si="662"/>
        <v>P000</v>
      </c>
      <c r="AI2217" t="str">
        <f t="shared" si="663"/>
        <v>0P00</v>
      </c>
      <c r="AJ2217" t="str">
        <f t="shared" si="664"/>
        <v>P000</v>
      </c>
    </row>
    <row r="2218" spans="1:36" x14ac:dyDescent="0.25">
      <c r="A2218" s="325" t="str">
        <f>CONCATENATE("P",'906MP'!M1918)</f>
        <v>P</v>
      </c>
      <c r="B2218">
        <f>'906MP'!H1918</f>
        <v>0</v>
      </c>
      <c r="C2218">
        <f>'906MP'!J1918</f>
        <v>0</v>
      </c>
      <c r="D2218">
        <f>'906MP'!P1918</f>
        <v>0</v>
      </c>
      <c r="E2218">
        <f>'906MP'!X1918</f>
        <v>0</v>
      </c>
      <c r="F2218" t="str">
        <f t="shared" si="656"/>
        <v>0</v>
      </c>
      <c r="G2218" t="str">
        <f t="shared" si="657"/>
        <v>0</v>
      </c>
      <c r="H2218">
        <f>'906MP'!Y1918</f>
        <v>0</v>
      </c>
      <c r="I2218">
        <f>'906MP'!AK1918</f>
        <v>0</v>
      </c>
      <c r="J2218">
        <f>'906MP'!T1918</f>
        <v>0</v>
      </c>
      <c r="K2218">
        <f>'906MP'!AJ1918</f>
        <v>0</v>
      </c>
      <c r="L2218">
        <f>'906MP'!U1918</f>
        <v>0</v>
      </c>
      <c r="M2218" s="322" t="str">
        <f>IFERROR(VLOOKUP(A2218,PAR!$D$3:$E$53,2,FALSE),"nincs szervezet")</f>
        <v>nincs szervezet</v>
      </c>
      <c r="N2218" s="322" t="str">
        <f>VLOOKUP(F2218,PAR!$R$3:$S$5,2,FALSE)</f>
        <v>3 - egyik sem</v>
      </c>
      <c r="O2218" t="str">
        <f>IFERROR(VLOOKUP(J2218,PAR!$O$3:$P$5,2,FALSE),"nincs feladat")</f>
        <v>nincs feladat</v>
      </c>
      <c r="P2218" t="str">
        <f>IFERROR(VLOOKUP(G2218,PAR!$J$2:$M$19,4),"nincs rovat")</f>
        <v>nincs rovat</v>
      </c>
      <c r="Q2218" t="str">
        <f>IF(H2218&gt;0,VLOOKUP(H2218,PAR!$AA$3:$AC$187,3,FALSE),"nincs főkönyvi számla")</f>
        <v>nincs főkönyvi számla</v>
      </c>
      <c r="R2218" t="str">
        <f>IFERROR(VLOOKUP(K2218,PAR!$V$3:$X$438,3,FALSE),"000000 - Nincs COFOG")</f>
        <v>000000 - Nincs COFOG</v>
      </c>
      <c r="S2218">
        <f t="shared" si="658"/>
        <v>0</v>
      </c>
      <c r="T2218">
        <f t="shared" si="659"/>
        <v>0</v>
      </c>
      <c r="U2218" t="str">
        <f>IF('906MP'!J1918&gt;0,CONCATENATE('906MP'!J1918," - ",'906MP'!P1918,", ",'906MP'!E1918),"nincs megjegyzés")</f>
        <v>nincs megjegyzés</v>
      </c>
      <c r="V2218" t="str">
        <f t="shared" si="646"/>
        <v>0P0</v>
      </c>
      <c r="W2218" t="str">
        <f t="shared" si="647"/>
        <v>0P0</v>
      </c>
      <c r="X2218" t="str">
        <f t="shared" si="648"/>
        <v>P0</v>
      </c>
      <c r="Y2218" t="str">
        <f t="shared" si="649"/>
        <v>00</v>
      </c>
      <c r="Z2218" t="str">
        <f t="shared" si="660"/>
        <v>00</v>
      </c>
      <c r="AA2218" t="str">
        <f t="shared" si="650"/>
        <v>00</v>
      </c>
      <c r="AB2218" t="str">
        <f t="shared" si="651"/>
        <v>00</v>
      </c>
      <c r="AC2218" t="str">
        <f t="shared" si="652"/>
        <v>0P0</v>
      </c>
      <c r="AD2218" t="str">
        <f t="shared" si="653"/>
        <v>P00</v>
      </c>
      <c r="AE2218" t="str">
        <f t="shared" si="654"/>
        <v>0P0</v>
      </c>
      <c r="AF2218" t="str">
        <f t="shared" si="655"/>
        <v>P00</v>
      </c>
      <c r="AG2218" t="str">
        <f t="shared" si="661"/>
        <v>0P00</v>
      </c>
      <c r="AH2218" t="str">
        <f t="shared" si="662"/>
        <v>P000</v>
      </c>
      <c r="AI2218" t="str">
        <f t="shared" si="663"/>
        <v>0P00</v>
      </c>
      <c r="AJ2218" t="str">
        <f t="shared" si="664"/>
        <v>P000</v>
      </c>
    </row>
    <row r="2219" spans="1:36" x14ac:dyDescent="0.25">
      <c r="A2219" s="325" t="str">
        <f>CONCATENATE("P",'906MP'!M1919)</f>
        <v>P</v>
      </c>
      <c r="B2219">
        <f>'906MP'!H1919</f>
        <v>0</v>
      </c>
      <c r="C2219">
        <f>'906MP'!J1919</f>
        <v>0</v>
      </c>
      <c r="D2219">
        <f>'906MP'!P1919</f>
        <v>0</v>
      </c>
      <c r="E2219">
        <f>'906MP'!X1919</f>
        <v>0</v>
      </c>
      <c r="F2219" t="str">
        <f t="shared" si="656"/>
        <v>0</v>
      </c>
      <c r="G2219" t="str">
        <f t="shared" si="657"/>
        <v>0</v>
      </c>
      <c r="H2219">
        <f>'906MP'!Y1919</f>
        <v>0</v>
      </c>
      <c r="I2219">
        <f>'906MP'!AK1919</f>
        <v>0</v>
      </c>
      <c r="J2219">
        <f>'906MP'!T1919</f>
        <v>0</v>
      </c>
      <c r="K2219">
        <f>'906MP'!AJ1919</f>
        <v>0</v>
      </c>
      <c r="L2219">
        <f>'906MP'!U1919</f>
        <v>0</v>
      </c>
      <c r="M2219" s="322" t="str">
        <f>IFERROR(VLOOKUP(A2219,PAR!$D$3:$E$53,2,FALSE),"nincs szervezet")</f>
        <v>nincs szervezet</v>
      </c>
      <c r="N2219" s="322" t="str">
        <f>VLOOKUP(F2219,PAR!$R$3:$S$5,2,FALSE)</f>
        <v>3 - egyik sem</v>
      </c>
      <c r="O2219" t="str">
        <f>IFERROR(VLOOKUP(J2219,PAR!$O$3:$P$5,2,FALSE),"nincs feladat")</f>
        <v>nincs feladat</v>
      </c>
      <c r="P2219" t="str">
        <f>IFERROR(VLOOKUP(G2219,PAR!$J$2:$M$19,4),"nincs rovat")</f>
        <v>nincs rovat</v>
      </c>
      <c r="Q2219" t="str">
        <f>IF(H2219&gt;0,VLOOKUP(H2219,PAR!$AA$3:$AC$187,3,FALSE),"nincs főkönyvi számla")</f>
        <v>nincs főkönyvi számla</v>
      </c>
      <c r="R2219" t="str">
        <f>IFERROR(VLOOKUP(K2219,PAR!$V$3:$X$438,3,FALSE),"000000 - Nincs COFOG")</f>
        <v>000000 - Nincs COFOG</v>
      </c>
      <c r="S2219">
        <f t="shared" si="658"/>
        <v>0</v>
      </c>
      <c r="T2219">
        <f t="shared" si="659"/>
        <v>0</v>
      </c>
      <c r="U2219" t="str">
        <f>IF('906MP'!J1919&gt;0,CONCATENATE('906MP'!J1919," - ",'906MP'!P1919,", ",'906MP'!E1919),"nincs megjegyzés")</f>
        <v>nincs megjegyzés</v>
      </c>
      <c r="V2219" t="str">
        <f t="shared" si="646"/>
        <v>0P0</v>
      </c>
      <c r="W2219" t="str">
        <f t="shared" si="647"/>
        <v>0P0</v>
      </c>
      <c r="X2219" t="str">
        <f t="shared" si="648"/>
        <v>P0</v>
      </c>
      <c r="Y2219" t="str">
        <f t="shared" si="649"/>
        <v>00</v>
      </c>
      <c r="Z2219" t="str">
        <f t="shared" si="660"/>
        <v>00</v>
      </c>
      <c r="AA2219" t="str">
        <f t="shared" si="650"/>
        <v>00</v>
      </c>
      <c r="AB2219" t="str">
        <f t="shared" si="651"/>
        <v>00</v>
      </c>
      <c r="AC2219" t="str">
        <f t="shared" si="652"/>
        <v>0P0</v>
      </c>
      <c r="AD2219" t="str">
        <f t="shared" si="653"/>
        <v>P00</v>
      </c>
      <c r="AE2219" t="str">
        <f t="shared" si="654"/>
        <v>0P0</v>
      </c>
      <c r="AF2219" t="str">
        <f t="shared" si="655"/>
        <v>P00</v>
      </c>
      <c r="AG2219" t="str">
        <f t="shared" si="661"/>
        <v>0P00</v>
      </c>
      <c r="AH2219" t="str">
        <f t="shared" si="662"/>
        <v>P000</v>
      </c>
      <c r="AI2219" t="str">
        <f t="shared" si="663"/>
        <v>0P00</v>
      </c>
      <c r="AJ2219" t="str">
        <f t="shared" si="664"/>
        <v>P000</v>
      </c>
    </row>
    <row r="2220" spans="1:36" x14ac:dyDescent="0.25">
      <c r="A2220" s="325" t="str">
        <f>CONCATENATE("P",'906MP'!M1920)</f>
        <v>P</v>
      </c>
      <c r="B2220">
        <f>'906MP'!H1920</f>
        <v>0</v>
      </c>
      <c r="C2220">
        <f>'906MP'!J1920</f>
        <v>0</v>
      </c>
      <c r="D2220">
        <f>'906MP'!P1920</f>
        <v>0</v>
      </c>
      <c r="E2220">
        <f>'906MP'!X1920</f>
        <v>0</v>
      </c>
      <c r="F2220" t="str">
        <f t="shared" si="656"/>
        <v>0</v>
      </c>
      <c r="G2220" t="str">
        <f t="shared" si="657"/>
        <v>0</v>
      </c>
      <c r="H2220">
        <f>'906MP'!Y1920</f>
        <v>0</v>
      </c>
      <c r="I2220">
        <f>'906MP'!AK1920</f>
        <v>0</v>
      </c>
      <c r="J2220">
        <f>'906MP'!T1920</f>
        <v>0</v>
      </c>
      <c r="K2220">
        <f>'906MP'!AJ1920</f>
        <v>0</v>
      </c>
      <c r="L2220">
        <f>'906MP'!U1920</f>
        <v>0</v>
      </c>
      <c r="M2220" s="322" t="str">
        <f>IFERROR(VLOOKUP(A2220,PAR!$D$3:$E$53,2,FALSE),"nincs szervezet")</f>
        <v>nincs szervezet</v>
      </c>
      <c r="N2220" s="322" t="str">
        <f>VLOOKUP(F2220,PAR!$R$3:$S$5,2,FALSE)</f>
        <v>3 - egyik sem</v>
      </c>
      <c r="O2220" t="str">
        <f>IFERROR(VLOOKUP(J2220,PAR!$O$3:$P$5,2,FALSE),"nincs feladat")</f>
        <v>nincs feladat</v>
      </c>
      <c r="P2220" t="str">
        <f>IFERROR(VLOOKUP(G2220,PAR!$J$2:$M$19,4),"nincs rovat")</f>
        <v>nincs rovat</v>
      </c>
      <c r="Q2220" t="str">
        <f>IF(H2220&gt;0,VLOOKUP(H2220,PAR!$AA$3:$AC$187,3,FALSE),"nincs főkönyvi számla")</f>
        <v>nincs főkönyvi számla</v>
      </c>
      <c r="R2220" t="str">
        <f>IFERROR(VLOOKUP(K2220,PAR!$V$3:$X$438,3,FALSE),"000000 - Nincs COFOG")</f>
        <v>000000 - Nincs COFOG</v>
      </c>
      <c r="S2220">
        <f t="shared" si="658"/>
        <v>0</v>
      </c>
      <c r="T2220">
        <f t="shared" si="659"/>
        <v>0</v>
      </c>
      <c r="U2220" t="str">
        <f>IF('906MP'!J1920&gt;0,CONCATENATE('906MP'!J1920," - ",'906MP'!P1920,", ",'906MP'!E1920),"nincs megjegyzés")</f>
        <v>nincs megjegyzés</v>
      </c>
      <c r="V2220" t="str">
        <f t="shared" si="646"/>
        <v>0P0</v>
      </c>
      <c r="W2220" t="str">
        <f t="shared" si="647"/>
        <v>0P0</v>
      </c>
      <c r="X2220" t="str">
        <f t="shared" si="648"/>
        <v>P0</v>
      </c>
      <c r="Y2220" t="str">
        <f t="shared" si="649"/>
        <v>00</v>
      </c>
      <c r="Z2220" t="str">
        <f t="shared" si="660"/>
        <v>00</v>
      </c>
      <c r="AA2220" t="str">
        <f t="shared" si="650"/>
        <v>00</v>
      </c>
      <c r="AB2220" t="str">
        <f t="shared" si="651"/>
        <v>00</v>
      </c>
      <c r="AC2220" t="str">
        <f t="shared" si="652"/>
        <v>0P0</v>
      </c>
      <c r="AD2220" t="str">
        <f t="shared" si="653"/>
        <v>P00</v>
      </c>
      <c r="AE2220" t="str">
        <f t="shared" si="654"/>
        <v>0P0</v>
      </c>
      <c r="AF2220" t="str">
        <f t="shared" si="655"/>
        <v>P00</v>
      </c>
      <c r="AG2220" t="str">
        <f t="shared" si="661"/>
        <v>0P00</v>
      </c>
      <c r="AH2220" t="str">
        <f t="shared" si="662"/>
        <v>P000</v>
      </c>
      <c r="AI2220" t="str">
        <f t="shared" si="663"/>
        <v>0P00</v>
      </c>
      <c r="AJ2220" t="str">
        <f t="shared" si="664"/>
        <v>P000</v>
      </c>
    </row>
    <row r="2221" spans="1:36" x14ac:dyDescent="0.25">
      <c r="A2221" s="325" t="str">
        <f>CONCATENATE("P",'906MP'!M1921)</f>
        <v>P</v>
      </c>
      <c r="B2221">
        <f>'906MP'!H1921</f>
        <v>0</v>
      </c>
      <c r="C2221">
        <f>'906MP'!J1921</f>
        <v>0</v>
      </c>
      <c r="D2221">
        <f>'906MP'!P1921</f>
        <v>0</v>
      </c>
      <c r="E2221">
        <f>'906MP'!X1921</f>
        <v>0</v>
      </c>
      <c r="F2221" t="str">
        <f t="shared" si="656"/>
        <v>0</v>
      </c>
      <c r="G2221" t="str">
        <f t="shared" si="657"/>
        <v>0</v>
      </c>
      <c r="H2221">
        <f>'906MP'!Y1921</f>
        <v>0</v>
      </c>
      <c r="I2221">
        <f>'906MP'!AK1921</f>
        <v>0</v>
      </c>
      <c r="J2221">
        <f>'906MP'!T1921</f>
        <v>0</v>
      </c>
      <c r="K2221">
        <f>'906MP'!AJ1921</f>
        <v>0</v>
      </c>
      <c r="L2221">
        <f>'906MP'!U1921</f>
        <v>0</v>
      </c>
      <c r="M2221" s="322" t="str">
        <f>IFERROR(VLOOKUP(A2221,PAR!$D$3:$E$53,2,FALSE),"nincs szervezet")</f>
        <v>nincs szervezet</v>
      </c>
      <c r="N2221" s="322" t="str">
        <f>VLOOKUP(F2221,PAR!$R$3:$S$5,2,FALSE)</f>
        <v>3 - egyik sem</v>
      </c>
      <c r="O2221" t="str">
        <f>IFERROR(VLOOKUP(J2221,PAR!$O$3:$P$5,2,FALSE),"nincs feladat")</f>
        <v>nincs feladat</v>
      </c>
      <c r="P2221" t="str">
        <f>IFERROR(VLOOKUP(G2221,PAR!$J$2:$M$19,4),"nincs rovat")</f>
        <v>nincs rovat</v>
      </c>
      <c r="Q2221" t="str">
        <f>IF(H2221&gt;0,VLOOKUP(H2221,PAR!$AA$3:$AC$187,3,FALSE),"nincs főkönyvi számla")</f>
        <v>nincs főkönyvi számla</v>
      </c>
      <c r="R2221" t="str">
        <f>IFERROR(VLOOKUP(K2221,PAR!$V$3:$X$438,3,FALSE),"000000 - Nincs COFOG")</f>
        <v>000000 - Nincs COFOG</v>
      </c>
      <c r="S2221">
        <f t="shared" si="658"/>
        <v>0</v>
      </c>
      <c r="T2221">
        <f t="shared" si="659"/>
        <v>0</v>
      </c>
      <c r="U2221" t="str">
        <f>IF('906MP'!J1921&gt;0,CONCATENATE('906MP'!J1921," - ",'906MP'!P1921,", ",'906MP'!E1921),"nincs megjegyzés")</f>
        <v>nincs megjegyzés</v>
      </c>
      <c r="V2221" t="str">
        <f t="shared" si="646"/>
        <v>0P0</v>
      </c>
      <c r="W2221" t="str">
        <f t="shared" si="647"/>
        <v>0P0</v>
      </c>
      <c r="X2221" t="str">
        <f t="shared" si="648"/>
        <v>P0</v>
      </c>
      <c r="Y2221" t="str">
        <f t="shared" si="649"/>
        <v>00</v>
      </c>
      <c r="Z2221" t="str">
        <f t="shared" si="660"/>
        <v>00</v>
      </c>
      <c r="AA2221" t="str">
        <f t="shared" si="650"/>
        <v>00</v>
      </c>
      <c r="AB2221" t="str">
        <f t="shared" si="651"/>
        <v>00</v>
      </c>
      <c r="AC2221" t="str">
        <f t="shared" si="652"/>
        <v>0P0</v>
      </c>
      <c r="AD2221" t="str">
        <f t="shared" si="653"/>
        <v>P00</v>
      </c>
      <c r="AE2221" t="str">
        <f t="shared" si="654"/>
        <v>0P0</v>
      </c>
      <c r="AF2221" t="str">
        <f t="shared" si="655"/>
        <v>P00</v>
      </c>
      <c r="AG2221" t="str">
        <f t="shared" si="661"/>
        <v>0P00</v>
      </c>
      <c r="AH2221" t="str">
        <f t="shared" si="662"/>
        <v>P000</v>
      </c>
      <c r="AI2221" t="str">
        <f t="shared" si="663"/>
        <v>0P00</v>
      </c>
      <c r="AJ2221" t="str">
        <f t="shared" si="664"/>
        <v>P000</v>
      </c>
    </row>
    <row r="2222" spans="1:36" x14ac:dyDescent="0.25">
      <c r="A2222" s="325" t="str">
        <f>CONCATENATE("P",'906MP'!M1922)</f>
        <v>P</v>
      </c>
      <c r="B2222">
        <f>'906MP'!H1922</f>
        <v>0</v>
      </c>
      <c r="C2222">
        <f>'906MP'!J1922</f>
        <v>0</v>
      </c>
      <c r="D2222">
        <f>'906MP'!P1922</f>
        <v>0</v>
      </c>
      <c r="E2222">
        <f>'906MP'!X1922</f>
        <v>0</v>
      </c>
      <c r="F2222" t="str">
        <f t="shared" si="656"/>
        <v>0</v>
      </c>
      <c r="G2222" t="str">
        <f t="shared" si="657"/>
        <v>0</v>
      </c>
      <c r="H2222">
        <f>'906MP'!Y1922</f>
        <v>0</v>
      </c>
      <c r="I2222">
        <f>'906MP'!AK1922</f>
        <v>0</v>
      </c>
      <c r="J2222">
        <f>'906MP'!T1922</f>
        <v>0</v>
      </c>
      <c r="K2222">
        <f>'906MP'!AJ1922</f>
        <v>0</v>
      </c>
      <c r="L2222">
        <f>'906MP'!U1922</f>
        <v>0</v>
      </c>
      <c r="M2222" s="322" t="str">
        <f>IFERROR(VLOOKUP(A2222,PAR!$D$3:$E$53,2,FALSE),"nincs szervezet")</f>
        <v>nincs szervezet</v>
      </c>
      <c r="N2222" s="322" t="str">
        <f>VLOOKUP(F2222,PAR!$R$3:$S$5,2,FALSE)</f>
        <v>3 - egyik sem</v>
      </c>
      <c r="O2222" t="str">
        <f>IFERROR(VLOOKUP(J2222,PAR!$O$3:$P$5,2,FALSE),"nincs feladat")</f>
        <v>nincs feladat</v>
      </c>
      <c r="P2222" t="str">
        <f>IFERROR(VLOOKUP(G2222,PAR!$J$2:$M$19,4),"nincs rovat")</f>
        <v>nincs rovat</v>
      </c>
      <c r="Q2222" t="str">
        <f>IF(H2222&gt;0,VLOOKUP(H2222,PAR!$AA$3:$AC$187,3,FALSE),"nincs főkönyvi számla")</f>
        <v>nincs főkönyvi számla</v>
      </c>
      <c r="R2222" t="str">
        <f>IFERROR(VLOOKUP(K2222,PAR!$V$3:$X$438,3,FALSE),"000000 - Nincs COFOG")</f>
        <v>000000 - Nincs COFOG</v>
      </c>
      <c r="S2222">
        <f t="shared" si="658"/>
        <v>0</v>
      </c>
      <c r="T2222">
        <f t="shared" si="659"/>
        <v>0</v>
      </c>
      <c r="U2222" t="str">
        <f>IF('906MP'!J1922&gt;0,CONCATENATE('906MP'!J1922," - ",'906MP'!P1922,", ",'906MP'!E1922),"nincs megjegyzés")</f>
        <v>nincs megjegyzés</v>
      </c>
      <c r="V2222" t="str">
        <f t="shared" si="646"/>
        <v>0P0</v>
      </c>
      <c r="W2222" t="str">
        <f t="shared" si="647"/>
        <v>0P0</v>
      </c>
      <c r="X2222" t="str">
        <f t="shared" si="648"/>
        <v>P0</v>
      </c>
      <c r="Y2222" t="str">
        <f t="shared" si="649"/>
        <v>00</v>
      </c>
      <c r="Z2222" t="str">
        <f t="shared" si="660"/>
        <v>00</v>
      </c>
      <c r="AA2222" t="str">
        <f t="shared" si="650"/>
        <v>00</v>
      </c>
      <c r="AB2222" t="str">
        <f t="shared" si="651"/>
        <v>00</v>
      </c>
      <c r="AC2222" t="str">
        <f t="shared" si="652"/>
        <v>0P0</v>
      </c>
      <c r="AD2222" t="str">
        <f t="shared" si="653"/>
        <v>P00</v>
      </c>
      <c r="AE2222" t="str">
        <f t="shared" si="654"/>
        <v>0P0</v>
      </c>
      <c r="AF2222" t="str">
        <f t="shared" si="655"/>
        <v>P00</v>
      </c>
      <c r="AG2222" t="str">
        <f t="shared" si="661"/>
        <v>0P00</v>
      </c>
      <c r="AH2222" t="str">
        <f t="shared" si="662"/>
        <v>P000</v>
      </c>
      <c r="AI2222" t="str">
        <f t="shared" si="663"/>
        <v>0P00</v>
      </c>
      <c r="AJ2222" t="str">
        <f t="shared" si="664"/>
        <v>P000</v>
      </c>
    </row>
    <row r="2223" spans="1:36" x14ac:dyDescent="0.25">
      <c r="A2223" s="325" t="str">
        <f>CONCATENATE("P",'906MP'!M1923)</f>
        <v>P</v>
      </c>
      <c r="B2223">
        <f>'906MP'!H1923</f>
        <v>0</v>
      </c>
      <c r="C2223">
        <f>'906MP'!J1923</f>
        <v>0</v>
      </c>
      <c r="D2223">
        <f>'906MP'!P1923</f>
        <v>0</v>
      </c>
      <c r="E2223">
        <f>'906MP'!X1923</f>
        <v>0</v>
      </c>
      <c r="F2223" t="str">
        <f t="shared" si="656"/>
        <v>0</v>
      </c>
      <c r="G2223" t="str">
        <f t="shared" si="657"/>
        <v>0</v>
      </c>
      <c r="H2223">
        <f>'906MP'!Y1923</f>
        <v>0</v>
      </c>
      <c r="I2223">
        <f>'906MP'!AK1923</f>
        <v>0</v>
      </c>
      <c r="J2223">
        <f>'906MP'!T1923</f>
        <v>0</v>
      </c>
      <c r="K2223">
        <f>'906MP'!AJ1923</f>
        <v>0</v>
      </c>
      <c r="L2223">
        <f>'906MP'!U1923</f>
        <v>0</v>
      </c>
      <c r="M2223" s="322" t="str">
        <f>IFERROR(VLOOKUP(A2223,PAR!$D$3:$E$53,2,FALSE),"nincs szervezet")</f>
        <v>nincs szervezet</v>
      </c>
      <c r="N2223" s="322" t="str">
        <f>VLOOKUP(F2223,PAR!$R$3:$S$5,2,FALSE)</f>
        <v>3 - egyik sem</v>
      </c>
      <c r="O2223" t="str">
        <f>IFERROR(VLOOKUP(J2223,PAR!$O$3:$P$5,2,FALSE),"nincs feladat")</f>
        <v>nincs feladat</v>
      </c>
      <c r="P2223" t="str">
        <f>IFERROR(VLOOKUP(G2223,PAR!$J$2:$M$19,4),"nincs rovat")</f>
        <v>nincs rovat</v>
      </c>
      <c r="Q2223" t="str">
        <f>IF(H2223&gt;0,VLOOKUP(H2223,PAR!$AA$3:$AC$187,3,FALSE),"nincs főkönyvi számla")</f>
        <v>nincs főkönyvi számla</v>
      </c>
      <c r="R2223" t="str">
        <f>IFERROR(VLOOKUP(K2223,PAR!$V$3:$X$438,3,FALSE),"000000 - Nincs COFOG")</f>
        <v>000000 - Nincs COFOG</v>
      </c>
      <c r="S2223">
        <f t="shared" si="658"/>
        <v>0</v>
      </c>
      <c r="T2223">
        <f t="shared" si="659"/>
        <v>0</v>
      </c>
      <c r="U2223" t="str">
        <f>IF('906MP'!J1923&gt;0,CONCATENATE('906MP'!J1923," - ",'906MP'!P1923,", ",'906MP'!E1923),"nincs megjegyzés")</f>
        <v>nincs megjegyzés</v>
      </c>
      <c r="V2223" t="str">
        <f t="shared" si="646"/>
        <v>0P0</v>
      </c>
      <c r="W2223" t="str">
        <f t="shared" si="647"/>
        <v>0P0</v>
      </c>
      <c r="X2223" t="str">
        <f t="shared" si="648"/>
        <v>P0</v>
      </c>
      <c r="Y2223" t="str">
        <f t="shared" si="649"/>
        <v>00</v>
      </c>
      <c r="Z2223" t="str">
        <f t="shared" si="660"/>
        <v>00</v>
      </c>
      <c r="AA2223" t="str">
        <f t="shared" si="650"/>
        <v>00</v>
      </c>
      <c r="AB2223" t="str">
        <f t="shared" si="651"/>
        <v>00</v>
      </c>
      <c r="AC2223" t="str">
        <f t="shared" si="652"/>
        <v>0P0</v>
      </c>
      <c r="AD2223" t="str">
        <f t="shared" si="653"/>
        <v>P00</v>
      </c>
      <c r="AE2223" t="str">
        <f t="shared" si="654"/>
        <v>0P0</v>
      </c>
      <c r="AF2223" t="str">
        <f t="shared" si="655"/>
        <v>P00</v>
      </c>
      <c r="AG2223" t="str">
        <f t="shared" si="661"/>
        <v>0P00</v>
      </c>
      <c r="AH2223" t="str">
        <f t="shared" si="662"/>
        <v>P000</v>
      </c>
      <c r="AI2223" t="str">
        <f t="shared" si="663"/>
        <v>0P00</v>
      </c>
      <c r="AJ2223" t="str">
        <f t="shared" si="664"/>
        <v>P000</v>
      </c>
    </row>
    <row r="2224" spans="1:36" x14ac:dyDescent="0.25">
      <c r="A2224" s="325" t="str">
        <f>CONCATENATE("P",'906MP'!M1924)</f>
        <v>P</v>
      </c>
      <c r="B2224">
        <f>'906MP'!H1924</f>
        <v>0</v>
      </c>
      <c r="C2224">
        <f>'906MP'!J1924</f>
        <v>0</v>
      </c>
      <c r="D2224">
        <f>'906MP'!P1924</f>
        <v>0</v>
      </c>
      <c r="E2224">
        <f>'906MP'!X1924</f>
        <v>0</v>
      </c>
      <c r="F2224" t="str">
        <f t="shared" si="656"/>
        <v>0</v>
      </c>
      <c r="G2224" t="str">
        <f t="shared" si="657"/>
        <v>0</v>
      </c>
      <c r="H2224">
        <f>'906MP'!Y1924</f>
        <v>0</v>
      </c>
      <c r="I2224">
        <f>'906MP'!AK1924</f>
        <v>0</v>
      </c>
      <c r="J2224">
        <f>'906MP'!T1924</f>
        <v>0</v>
      </c>
      <c r="K2224">
        <f>'906MP'!AJ1924</f>
        <v>0</v>
      </c>
      <c r="L2224">
        <f>'906MP'!U1924</f>
        <v>0</v>
      </c>
      <c r="M2224" s="322" t="str">
        <f>IFERROR(VLOOKUP(A2224,PAR!$D$3:$E$53,2,FALSE),"nincs szervezet")</f>
        <v>nincs szervezet</v>
      </c>
      <c r="N2224" s="322" t="str">
        <f>VLOOKUP(F2224,PAR!$R$3:$S$5,2,FALSE)</f>
        <v>3 - egyik sem</v>
      </c>
      <c r="O2224" t="str">
        <f>IFERROR(VLOOKUP(J2224,PAR!$O$3:$P$5,2,FALSE),"nincs feladat")</f>
        <v>nincs feladat</v>
      </c>
      <c r="P2224" t="str">
        <f>IFERROR(VLOOKUP(G2224,PAR!$J$2:$M$19,4),"nincs rovat")</f>
        <v>nincs rovat</v>
      </c>
      <c r="Q2224" t="str">
        <f>IF(H2224&gt;0,VLOOKUP(H2224,PAR!$AA$3:$AC$187,3,FALSE),"nincs főkönyvi számla")</f>
        <v>nincs főkönyvi számla</v>
      </c>
      <c r="R2224" t="str">
        <f>IFERROR(VLOOKUP(K2224,PAR!$V$3:$X$438,3,FALSE),"000000 - Nincs COFOG")</f>
        <v>000000 - Nincs COFOG</v>
      </c>
      <c r="S2224">
        <f t="shared" si="658"/>
        <v>0</v>
      </c>
      <c r="T2224">
        <f t="shared" si="659"/>
        <v>0</v>
      </c>
      <c r="U2224" t="str">
        <f>IF('906MP'!J1924&gt;0,CONCATENATE('906MP'!J1924," - ",'906MP'!P1924,", ",'906MP'!E1924),"nincs megjegyzés")</f>
        <v>nincs megjegyzés</v>
      </c>
      <c r="V2224" t="str">
        <f t="shared" si="646"/>
        <v>0P0</v>
      </c>
      <c r="W2224" t="str">
        <f t="shared" si="647"/>
        <v>0P0</v>
      </c>
      <c r="X2224" t="str">
        <f t="shared" si="648"/>
        <v>P0</v>
      </c>
      <c r="Y2224" t="str">
        <f t="shared" si="649"/>
        <v>00</v>
      </c>
      <c r="Z2224" t="str">
        <f t="shared" si="660"/>
        <v>00</v>
      </c>
      <c r="AA2224" t="str">
        <f t="shared" si="650"/>
        <v>00</v>
      </c>
      <c r="AB2224" t="str">
        <f t="shared" si="651"/>
        <v>00</v>
      </c>
      <c r="AC2224" t="str">
        <f t="shared" si="652"/>
        <v>0P0</v>
      </c>
      <c r="AD2224" t="str">
        <f t="shared" si="653"/>
        <v>P00</v>
      </c>
      <c r="AE2224" t="str">
        <f t="shared" si="654"/>
        <v>0P0</v>
      </c>
      <c r="AF2224" t="str">
        <f t="shared" si="655"/>
        <v>P00</v>
      </c>
      <c r="AG2224" t="str">
        <f t="shared" si="661"/>
        <v>0P00</v>
      </c>
      <c r="AH2224" t="str">
        <f t="shared" si="662"/>
        <v>P000</v>
      </c>
      <c r="AI2224" t="str">
        <f t="shared" si="663"/>
        <v>0P00</v>
      </c>
      <c r="AJ2224" t="str">
        <f t="shared" si="664"/>
        <v>P000</v>
      </c>
    </row>
    <row r="2225" spans="1:36" x14ac:dyDescent="0.25">
      <c r="A2225" s="325" t="str">
        <f>CONCATENATE("P",'906MP'!M1925)</f>
        <v>P</v>
      </c>
      <c r="B2225">
        <f>'906MP'!H1925</f>
        <v>0</v>
      </c>
      <c r="C2225">
        <f>'906MP'!J1925</f>
        <v>0</v>
      </c>
      <c r="D2225">
        <f>'906MP'!P1925</f>
        <v>0</v>
      </c>
      <c r="E2225">
        <f>'906MP'!X1925</f>
        <v>0</v>
      </c>
      <c r="F2225" t="str">
        <f t="shared" si="656"/>
        <v>0</v>
      </c>
      <c r="G2225" t="str">
        <f t="shared" si="657"/>
        <v>0</v>
      </c>
      <c r="H2225">
        <f>'906MP'!Y1925</f>
        <v>0</v>
      </c>
      <c r="I2225">
        <f>'906MP'!AK1925</f>
        <v>0</v>
      </c>
      <c r="J2225">
        <f>'906MP'!T1925</f>
        <v>0</v>
      </c>
      <c r="K2225">
        <f>'906MP'!AJ1925</f>
        <v>0</v>
      </c>
      <c r="L2225">
        <f>'906MP'!U1925</f>
        <v>0</v>
      </c>
      <c r="M2225" s="322" t="str">
        <f>IFERROR(VLOOKUP(A2225,PAR!$D$3:$E$53,2,FALSE),"nincs szervezet")</f>
        <v>nincs szervezet</v>
      </c>
      <c r="N2225" s="322" t="str">
        <f>VLOOKUP(F2225,PAR!$R$3:$S$5,2,FALSE)</f>
        <v>3 - egyik sem</v>
      </c>
      <c r="O2225" t="str">
        <f>IFERROR(VLOOKUP(J2225,PAR!$O$3:$P$5,2,FALSE),"nincs feladat")</f>
        <v>nincs feladat</v>
      </c>
      <c r="P2225" t="str">
        <f>IFERROR(VLOOKUP(G2225,PAR!$J$2:$M$19,4),"nincs rovat")</f>
        <v>nincs rovat</v>
      </c>
      <c r="Q2225" t="str">
        <f>IF(H2225&gt;0,VLOOKUP(H2225,PAR!$AA$3:$AC$187,3,FALSE),"nincs főkönyvi számla")</f>
        <v>nincs főkönyvi számla</v>
      </c>
      <c r="R2225" t="str">
        <f>IFERROR(VLOOKUP(K2225,PAR!$V$3:$X$438,3,FALSE),"000000 - Nincs COFOG")</f>
        <v>000000 - Nincs COFOG</v>
      </c>
      <c r="S2225">
        <f t="shared" si="658"/>
        <v>0</v>
      </c>
      <c r="T2225">
        <f t="shared" si="659"/>
        <v>0</v>
      </c>
      <c r="U2225" t="str">
        <f>IF('906MP'!J1925&gt;0,CONCATENATE('906MP'!J1925," - ",'906MP'!P1925,", ",'906MP'!E1925),"nincs megjegyzés")</f>
        <v>nincs megjegyzés</v>
      </c>
      <c r="V2225" t="str">
        <f t="shared" si="646"/>
        <v>0P0</v>
      </c>
      <c r="W2225" t="str">
        <f t="shared" si="647"/>
        <v>0P0</v>
      </c>
      <c r="X2225" t="str">
        <f t="shared" si="648"/>
        <v>P0</v>
      </c>
      <c r="Y2225" t="str">
        <f t="shared" si="649"/>
        <v>00</v>
      </c>
      <c r="Z2225" t="str">
        <f t="shared" si="660"/>
        <v>00</v>
      </c>
      <c r="AA2225" t="str">
        <f t="shared" si="650"/>
        <v>00</v>
      </c>
      <c r="AB2225" t="str">
        <f t="shared" si="651"/>
        <v>00</v>
      </c>
      <c r="AC2225" t="str">
        <f t="shared" si="652"/>
        <v>0P0</v>
      </c>
      <c r="AD2225" t="str">
        <f t="shared" si="653"/>
        <v>P00</v>
      </c>
      <c r="AE2225" t="str">
        <f t="shared" si="654"/>
        <v>0P0</v>
      </c>
      <c r="AF2225" t="str">
        <f t="shared" si="655"/>
        <v>P00</v>
      </c>
      <c r="AG2225" t="str">
        <f t="shared" si="661"/>
        <v>0P00</v>
      </c>
      <c r="AH2225" t="str">
        <f t="shared" si="662"/>
        <v>P000</v>
      </c>
      <c r="AI2225" t="str">
        <f t="shared" si="663"/>
        <v>0P00</v>
      </c>
      <c r="AJ2225" t="str">
        <f t="shared" si="664"/>
        <v>P000</v>
      </c>
    </row>
    <row r="2226" spans="1:36" x14ac:dyDescent="0.25">
      <c r="A2226" s="325" t="str">
        <f>CONCATENATE("P",'906MP'!M1926)</f>
        <v>P</v>
      </c>
      <c r="B2226">
        <f>'906MP'!H1926</f>
        <v>0</v>
      </c>
      <c r="C2226">
        <f>'906MP'!J1926</f>
        <v>0</v>
      </c>
      <c r="D2226">
        <f>'906MP'!P1926</f>
        <v>0</v>
      </c>
      <c r="E2226">
        <f>'906MP'!X1926</f>
        <v>0</v>
      </c>
      <c r="F2226" t="str">
        <f t="shared" si="656"/>
        <v>0</v>
      </c>
      <c r="G2226" t="str">
        <f t="shared" si="657"/>
        <v>0</v>
      </c>
      <c r="H2226">
        <f>'906MP'!Y1926</f>
        <v>0</v>
      </c>
      <c r="I2226">
        <f>'906MP'!AK1926</f>
        <v>0</v>
      </c>
      <c r="J2226">
        <f>'906MP'!T1926</f>
        <v>0</v>
      </c>
      <c r="K2226">
        <f>'906MP'!AJ1926</f>
        <v>0</v>
      </c>
      <c r="L2226">
        <f>'906MP'!U1926</f>
        <v>0</v>
      </c>
      <c r="M2226" s="322" t="str">
        <f>IFERROR(VLOOKUP(A2226,PAR!$D$3:$E$53,2,FALSE),"nincs szervezet")</f>
        <v>nincs szervezet</v>
      </c>
      <c r="N2226" s="322" t="str">
        <f>VLOOKUP(F2226,PAR!$R$3:$S$5,2,FALSE)</f>
        <v>3 - egyik sem</v>
      </c>
      <c r="O2226" t="str">
        <f>IFERROR(VLOOKUP(J2226,PAR!$O$3:$P$5,2,FALSE),"nincs feladat")</f>
        <v>nincs feladat</v>
      </c>
      <c r="P2226" t="str">
        <f>IFERROR(VLOOKUP(G2226,PAR!$J$2:$M$19,4),"nincs rovat")</f>
        <v>nincs rovat</v>
      </c>
      <c r="Q2226" t="str">
        <f>IF(H2226&gt;0,VLOOKUP(H2226,PAR!$AA$3:$AC$187,3,FALSE),"nincs főkönyvi számla")</f>
        <v>nincs főkönyvi számla</v>
      </c>
      <c r="R2226" t="str">
        <f>IFERROR(VLOOKUP(K2226,PAR!$V$3:$X$438,3,FALSE),"000000 - Nincs COFOG")</f>
        <v>000000 - Nincs COFOG</v>
      </c>
      <c r="S2226">
        <f t="shared" si="658"/>
        <v>0</v>
      </c>
      <c r="T2226">
        <f t="shared" si="659"/>
        <v>0</v>
      </c>
      <c r="U2226" t="str">
        <f>IF('906MP'!J1926&gt;0,CONCATENATE('906MP'!J1926," - ",'906MP'!P1926,", ",'906MP'!E1926),"nincs megjegyzés")</f>
        <v>nincs megjegyzés</v>
      </c>
      <c r="V2226" t="str">
        <f t="shared" si="646"/>
        <v>0P0</v>
      </c>
      <c r="W2226" t="str">
        <f t="shared" si="647"/>
        <v>0P0</v>
      </c>
      <c r="X2226" t="str">
        <f t="shared" si="648"/>
        <v>P0</v>
      </c>
      <c r="Y2226" t="str">
        <f t="shared" si="649"/>
        <v>00</v>
      </c>
      <c r="Z2226" t="str">
        <f t="shared" si="660"/>
        <v>00</v>
      </c>
      <c r="AA2226" t="str">
        <f t="shared" si="650"/>
        <v>00</v>
      </c>
      <c r="AB2226" t="str">
        <f t="shared" si="651"/>
        <v>00</v>
      </c>
      <c r="AC2226" t="str">
        <f t="shared" si="652"/>
        <v>0P0</v>
      </c>
      <c r="AD2226" t="str">
        <f t="shared" si="653"/>
        <v>P00</v>
      </c>
      <c r="AE2226" t="str">
        <f t="shared" si="654"/>
        <v>0P0</v>
      </c>
      <c r="AF2226" t="str">
        <f t="shared" si="655"/>
        <v>P00</v>
      </c>
      <c r="AG2226" t="str">
        <f t="shared" si="661"/>
        <v>0P00</v>
      </c>
      <c r="AH2226" t="str">
        <f t="shared" si="662"/>
        <v>P000</v>
      </c>
      <c r="AI2226" t="str">
        <f t="shared" si="663"/>
        <v>0P00</v>
      </c>
      <c r="AJ2226" t="str">
        <f t="shared" si="664"/>
        <v>P000</v>
      </c>
    </row>
    <row r="2227" spans="1:36" x14ac:dyDescent="0.25">
      <c r="A2227" s="325" t="str">
        <f>CONCATENATE("P",'906MP'!M1927)</f>
        <v>P</v>
      </c>
      <c r="B2227">
        <f>'906MP'!H1927</f>
        <v>0</v>
      </c>
      <c r="C2227">
        <f>'906MP'!J1927</f>
        <v>0</v>
      </c>
      <c r="D2227">
        <f>'906MP'!P1927</f>
        <v>0</v>
      </c>
      <c r="E2227">
        <f>'906MP'!X1927</f>
        <v>0</v>
      </c>
      <c r="F2227" t="str">
        <f t="shared" si="656"/>
        <v>0</v>
      </c>
      <c r="G2227" t="str">
        <f t="shared" si="657"/>
        <v>0</v>
      </c>
      <c r="H2227">
        <f>'906MP'!Y1927</f>
        <v>0</v>
      </c>
      <c r="I2227">
        <f>'906MP'!AK1927</f>
        <v>0</v>
      </c>
      <c r="J2227">
        <f>'906MP'!T1927</f>
        <v>0</v>
      </c>
      <c r="K2227">
        <f>'906MP'!AJ1927</f>
        <v>0</v>
      </c>
      <c r="L2227">
        <f>'906MP'!U1927</f>
        <v>0</v>
      </c>
      <c r="M2227" s="322" t="str">
        <f>IFERROR(VLOOKUP(A2227,PAR!$D$3:$E$53,2,FALSE),"nincs szervezet")</f>
        <v>nincs szervezet</v>
      </c>
      <c r="N2227" s="322" t="str">
        <f>VLOOKUP(F2227,PAR!$R$3:$S$5,2,FALSE)</f>
        <v>3 - egyik sem</v>
      </c>
      <c r="O2227" t="str">
        <f>IFERROR(VLOOKUP(J2227,PAR!$O$3:$P$5,2,FALSE),"nincs feladat")</f>
        <v>nincs feladat</v>
      </c>
      <c r="P2227" t="str">
        <f>IFERROR(VLOOKUP(G2227,PAR!$J$2:$M$19,4),"nincs rovat")</f>
        <v>nincs rovat</v>
      </c>
      <c r="Q2227" t="str">
        <f>IF(H2227&gt;0,VLOOKUP(H2227,PAR!$AA$3:$AC$187,3,FALSE),"nincs főkönyvi számla")</f>
        <v>nincs főkönyvi számla</v>
      </c>
      <c r="R2227" t="str">
        <f>IFERROR(VLOOKUP(K2227,PAR!$V$3:$X$438,3,FALSE),"000000 - Nincs COFOG")</f>
        <v>000000 - Nincs COFOG</v>
      </c>
      <c r="S2227">
        <f t="shared" si="658"/>
        <v>0</v>
      </c>
      <c r="T2227">
        <f t="shared" si="659"/>
        <v>0</v>
      </c>
      <c r="U2227" t="str">
        <f>IF('906MP'!J1927&gt;0,CONCATENATE('906MP'!J1927," - ",'906MP'!P1927,", ",'906MP'!E1927),"nincs megjegyzés")</f>
        <v>nincs megjegyzés</v>
      </c>
      <c r="V2227" t="str">
        <f t="shared" si="646"/>
        <v>0P0</v>
      </c>
      <c r="W2227" t="str">
        <f t="shared" si="647"/>
        <v>0P0</v>
      </c>
      <c r="X2227" t="str">
        <f t="shared" si="648"/>
        <v>P0</v>
      </c>
      <c r="Y2227" t="str">
        <f t="shared" si="649"/>
        <v>00</v>
      </c>
      <c r="Z2227" t="str">
        <f t="shared" si="660"/>
        <v>00</v>
      </c>
      <c r="AA2227" t="str">
        <f t="shared" si="650"/>
        <v>00</v>
      </c>
      <c r="AB2227" t="str">
        <f t="shared" si="651"/>
        <v>00</v>
      </c>
      <c r="AC2227" t="str">
        <f t="shared" si="652"/>
        <v>0P0</v>
      </c>
      <c r="AD2227" t="str">
        <f t="shared" si="653"/>
        <v>P00</v>
      </c>
      <c r="AE2227" t="str">
        <f t="shared" si="654"/>
        <v>0P0</v>
      </c>
      <c r="AF2227" t="str">
        <f t="shared" si="655"/>
        <v>P00</v>
      </c>
      <c r="AG2227" t="str">
        <f t="shared" si="661"/>
        <v>0P00</v>
      </c>
      <c r="AH2227" t="str">
        <f t="shared" si="662"/>
        <v>P000</v>
      </c>
      <c r="AI2227" t="str">
        <f t="shared" si="663"/>
        <v>0P00</v>
      </c>
      <c r="AJ2227" t="str">
        <f t="shared" si="664"/>
        <v>P000</v>
      </c>
    </row>
    <row r="2228" spans="1:36" x14ac:dyDescent="0.25">
      <c r="A2228" s="325" t="str">
        <f>CONCATENATE("P",'906MP'!M1928)</f>
        <v>P</v>
      </c>
      <c r="B2228">
        <f>'906MP'!H1928</f>
        <v>0</v>
      </c>
      <c r="C2228">
        <f>'906MP'!J1928</f>
        <v>0</v>
      </c>
      <c r="D2228">
        <f>'906MP'!P1928</f>
        <v>0</v>
      </c>
      <c r="E2228">
        <f>'906MP'!X1928</f>
        <v>0</v>
      </c>
      <c r="F2228" t="str">
        <f t="shared" si="656"/>
        <v>0</v>
      </c>
      <c r="G2228" t="str">
        <f t="shared" si="657"/>
        <v>0</v>
      </c>
      <c r="H2228">
        <f>'906MP'!Y1928</f>
        <v>0</v>
      </c>
      <c r="I2228">
        <f>'906MP'!AK1928</f>
        <v>0</v>
      </c>
      <c r="J2228">
        <f>'906MP'!T1928</f>
        <v>0</v>
      </c>
      <c r="K2228">
        <f>'906MP'!AJ1928</f>
        <v>0</v>
      </c>
      <c r="L2228">
        <f>'906MP'!U1928</f>
        <v>0</v>
      </c>
      <c r="M2228" s="322" t="str">
        <f>IFERROR(VLOOKUP(A2228,PAR!$D$3:$E$53,2,FALSE),"nincs szervezet")</f>
        <v>nincs szervezet</v>
      </c>
      <c r="N2228" s="322" t="str">
        <f>VLOOKUP(F2228,PAR!$R$3:$S$5,2,FALSE)</f>
        <v>3 - egyik sem</v>
      </c>
      <c r="O2228" t="str">
        <f>IFERROR(VLOOKUP(J2228,PAR!$O$3:$P$5,2,FALSE),"nincs feladat")</f>
        <v>nincs feladat</v>
      </c>
      <c r="P2228" t="str">
        <f>IFERROR(VLOOKUP(G2228,PAR!$J$2:$M$19,4),"nincs rovat")</f>
        <v>nincs rovat</v>
      </c>
      <c r="Q2228" t="str">
        <f>IF(H2228&gt;0,VLOOKUP(H2228,PAR!$AA$3:$AC$187,3,FALSE),"nincs főkönyvi számla")</f>
        <v>nincs főkönyvi számla</v>
      </c>
      <c r="R2228" t="str">
        <f>IFERROR(VLOOKUP(K2228,PAR!$V$3:$X$438,3,FALSE),"000000 - Nincs COFOG")</f>
        <v>000000 - Nincs COFOG</v>
      </c>
      <c r="S2228">
        <f t="shared" si="658"/>
        <v>0</v>
      </c>
      <c r="T2228">
        <f t="shared" si="659"/>
        <v>0</v>
      </c>
      <c r="U2228" t="str">
        <f>IF('906MP'!J1928&gt;0,CONCATENATE('906MP'!J1928," - ",'906MP'!P1928,", ",'906MP'!E1928),"nincs megjegyzés")</f>
        <v>nincs megjegyzés</v>
      </c>
      <c r="V2228" t="str">
        <f t="shared" si="646"/>
        <v>0P0</v>
      </c>
      <c r="W2228" t="str">
        <f t="shared" si="647"/>
        <v>0P0</v>
      </c>
      <c r="X2228" t="str">
        <f t="shared" si="648"/>
        <v>P0</v>
      </c>
      <c r="Y2228" t="str">
        <f t="shared" si="649"/>
        <v>00</v>
      </c>
      <c r="Z2228" t="str">
        <f t="shared" si="660"/>
        <v>00</v>
      </c>
      <c r="AA2228" t="str">
        <f t="shared" si="650"/>
        <v>00</v>
      </c>
      <c r="AB2228" t="str">
        <f t="shared" si="651"/>
        <v>00</v>
      </c>
      <c r="AC2228" t="str">
        <f t="shared" si="652"/>
        <v>0P0</v>
      </c>
      <c r="AD2228" t="str">
        <f t="shared" si="653"/>
        <v>P00</v>
      </c>
      <c r="AE2228" t="str">
        <f t="shared" si="654"/>
        <v>0P0</v>
      </c>
      <c r="AF2228" t="str">
        <f t="shared" si="655"/>
        <v>P00</v>
      </c>
      <c r="AG2228" t="str">
        <f t="shared" si="661"/>
        <v>0P00</v>
      </c>
      <c r="AH2228" t="str">
        <f t="shared" si="662"/>
        <v>P000</v>
      </c>
      <c r="AI2228" t="str">
        <f t="shared" si="663"/>
        <v>0P00</v>
      </c>
      <c r="AJ2228" t="str">
        <f t="shared" si="664"/>
        <v>P000</v>
      </c>
    </row>
    <row r="2229" spans="1:36" x14ac:dyDescent="0.25">
      <c r="A2229" s="325" t="str">
        <f>CONCATENATE("P",'906MP'!M1929)</f>
        <v>P</v>
      </c>
      <c r="B2229">
        <f>'906MP'!H1929</f>
        <v>0</v>
      </c>
      <c r="C2229">
        <f>'906MP'!J1929</f>
        <v>0</v>
      </c>
      <c r="D2229">
        <f>'906MP'!P1929</f>
        <v>0</v>
      </c>
      <c r="E2229">
        <f>'906MP'!X1929</f>
        <v>0</v>
      </c>
      <c r="F2229" t="str">
        <f t="shared" si="656"/>
        <v>0</v>
      </c>
      <c r="G2229" t="str">
        <f t="shared" si="657"/>
        <v>0</v>
      </c>
      <c r="H2229">
        <f>'906MP'!Y1929</f>
        <v>0</v>
      </c>
      <c r="I2229">
        <f>'906MP'!AK1929</f>
        <v>0</v>
      </c>
      <c r="J2229">
        <f>'906MP'!T1929</f>
        <v>0</v>
      </c>
      <c r="K2229">
        <f>'906MP'!AJ1929</f>
        <v>0</v>
      </c>
      <c r="L2229">
        <f>'906MP'!U1929</f>
        <v>0</v>
      </c>
      <c r="M2229" s="322" t="str">
        <f>IFERROR(VLOOKUP(A2229,PAR!$D$3:$E$53,2,FALSE),"nincs szervezet")</f>
        <v>nincs szervezet</v>
      </c>
      <c r="N2229" s="322" t="str">
        <f>VLOOKUP(F2229,PAR!$R$3:$S$5,2,FALSE)</f>
        <v>3 - egyik sem</v>
      </c>
      <c r="O2229" t="str">
        <f>IFERROR(VLOOKUP(J2229,PAR!$O$3:$P$5,2,FALSE),"nincs feladat")</f>
        <v>nincs feladat</v>
      </c>
      <c r="P2229" t="str">
        <f>IFERROR(VLOOKUP(G2229,PAR!$J$2:$M$19,4),"nincs rovat")</f>
        <v>nincs rovat</v>
      </c>
      <c r="Q2229" t="str">
        <f>IF(H2229&gt;0,VLOOKUP(H2229,PAR!$AA$3:$AC$187,3,FALSE),"nincs főkönyvi számla")</f>
        <v>nincs főkönyvi számla</v>
      </c>
      <c r="R2229" t="str">
        <f>IFERROR(VLOOKUP(K2229,PAR!$V$3:$X$438,3,FALSE),"000000 - Nincs COFOG")</f>
        <v>000000 - Nincs COFOG</v>
      </c>
      <c r="S2229">
        <f t="shared" si="658"/>
        <v>0</v>
      </c>
      <c r="T2229">
        <f t="shared" si="659"/>
        <v>0</v>
      </c>
      <c r="U2229" t="str">
        <f>IF('906MP'!J1929&gt;0,CONCATENATE('906MP'!J1929," - ",'906MP'!P1929,", ",'906MP'!E1929),"nincs megjegyzés")</f>
        <v>nincs megjegyzés</v>
      </c>
      <c r="V2229" t="str">
        <f t="shared" si="646"/>
        <v>0P0</v>
      </c>
      <c r="W2229" t="str">
        <f t="shared" si="647"/>
        <v>0P0</v>
      </c>
      <c r="X2229" t="str">
        <f t="shared" si="648"/>
        <v>P0</v>
      </c>
      <c r="Y2229" t="str">
        <f t="shared" si="649"/>
        <v>00</v>
      </c>
      <c r="Z2229" t="str">
        <f t="shared" si="660"/>
        <v>00</v>
      </c>
      <c r="AA2229" t="str">
        <f t="shared" si="650"/>
        <v>00</v>
      </c>
      <c r="AB2229" t="str">
        <f t="shared" si="651"/>
        <v>00</v>
      </c>
      <c r="AC2229" t="str">
        <f t="shared" si="652"/>
        <v>0P0</v>
      </c>
      <c r="AD2229" t="str">
        <f t="shared" si="653"/>
        <v>P00</v>
      </c>
      <c r="AE2229" t="str">
        <f t="shared" si="654"/>
        <v>0P0</v>
      </c>
      <c r="AF2229" t="str">
        <f t="shared" si="655"/>
        <v>P00</v>
      </c>
      <c r="AG2229" t="str">
        <f t="shared" si="661"/>
        <v>0P00</v>
      </c>
      <c r="AH2229" t="str">
        <f t="shared" si="662"/>
        <v>P000</v>
      </c>
      <c r="AI2229" t="str">
        <f t="shared" si="663"/>
        <v>0P00</v>
      </c>
      <c r="AJ2229" t="str">
        <f t="shared" si="664"/>
        <v>P000</v>
      </c>
    </row>
    <row r="2230" spans="1:36" x14ac:dyDescent="0.25">
      <c r="A2230" s="325" t="str">
        <f>CONCATENATE("P",'906MP'!M1930)</f>
        <v>P</v>
      </c>
      <c r="B2230">
        <f>'906MP'!H1930</f>
        <v>0</v>
      </c>
      <c r="C2230">
        <f>'906MP'!J1930</f>
        <v>0</v>
      </c>
      <c r="D2230">
        <f>'906MP'!P1930</f>
        <v>0</v>
      </c>
      <c r="E2230">
        <f>'906MP'!X1930</f>
        <v>0</v>
      </c>
      <c r="F2230" t="str">
        <f t="shared" si="656"/>
        <v>0</v>
      </c>
      <c r="G2230" t="str">
        <f t="shared" si="657"/>
        <v>0</v>
      </c>
      <c r="H2230">
        <f>'906MP'!Y1930</f>
        <v>0</v>
      </c>
      <c r="I2230">
        <f>'906MP'!AK1930</f>
        <v>0</v>
      </c>
      <c r="J2230">
        <f>'906MP'!T1930</f>
        <v>0</v>
      </c>
      <c r="K2230">
        <f>'906MP'!AJ1930</f>
        <v>0</v>
      </c>
      <c r="L2230">
        <f>'906MP'!U1930</f>
        <v>0</v>
      </c>
      <c r="M2230" s="322" t="str">
        <f>IFERROR(VLOOKUP(A2230,PAR!$D$3:$E$53,2,FALSE),"nincs szervezet")</f>
        <v>nincs szervezet</v>
      </c>
      <c r="N2230" s="322" t="str">
        <f>VLOOKUP(F2230,PAR!$R$3:$S$5,2,FALSE)</f>
        <v>3 - egyik sem</v>
      </c>
      <c r="O2230" t="str">
        <f>IFERROR(VLOOKUP(J2230,PAR!$O$3:$P$5,2,FALSE),"nincs feladat")</f>
        <v>nincs feladat</v>
      </c>
      <c r="P2230" t="str">
        <f>IFERROR(VLOOKUP(G2230,PAR!$J$2:$M$19,4),"nincs rovat")</f>
        <v>nincs rovat</v>
      </c>
      <c r="Q2230" t="str">
        <f>IF(H2230&gt;0,VLOOKUP(H2230,PAR!$AA$3:$AC$187,3,FALSE),"nincs főkönyvi számla")</f>
        <v>nincs főkönyvi számla</v>
      </c>
      <c r="R2230" t="str">
        <f>IFERROR(VLOOKUP(K2230,PAR!$V$3:$X$438,3,FALSE),"000000 - Nincs COFOG")</f>
        <v>000000 - Nincs COFOG</v>
      </c>
      <c r="S2230">
        <f t="shared" si="658"/>
        <v>0</v>
      </c>
      <c r="T2230">
        <f t="shared" si="659"/>
        <v>0</v>
      </c>
      <c r="U2230" t="str">
        <f>IF('906MP'!J1930&gt;0,CONCATENATE('906MP'!J1930," - ",'906MP'!P1930,", ",'906MP'!E1930),"nincs megjegyzés")</f>
        <v>nincs megjegyzés</v>
      </c>
      <c r="V2230" t="str">
        <f t="shared" si="646"/>
        <v>0P0</v>
      </c>
      <c r="W2230" t="str">
        <f t="shared" si="647"/>
        <v>0P0</v>
      </c>
      <c r="X2230" t="str">
        <f t="shared" si="648"/>
        <v>P0</v>
      </c>
      <c r="Y2230" t="str">
        <f t="shared" si="649"/>
        <v>00</v>
      </c>
      <c r="Z2230" t="str">
        <f t="shared" si="660"/>
        <v>00</v>
      </c>
      <c r="AA2230" t="str">
        <f t="shared" si="650"/>
        <v>00</v>
      </c>
      <c r="AB2230" t="str">
        <f t="shared" si="651"/>
        <v>00</v>
      </c>
      <c r="AC2230" t="str">
        <f t="shared" si="652"/>
        <v>0P0</v>
      </c>
      <c r="AD2230" t="str">
        <f t="shared" si="653"/>
        <v>P00</v>
      </c>
      <c r="AE2230" t="str">
        <f t="shared" si="654"/>
        <v>0P0</v>
      </c>
      <c r="AF2230" t="str">
        <f t="shared" si="655"/>
        <v>P00</v>
      </c>
      <c r="AG2230" t="str">
        <f t="shared" si="661"/>
        <v>0P00</v>
      </c>
      <c r="AH2230" t="str">
        <f t="shared" si="662"/>
        <v>P000</v>
      </c>
      <c r="AI2230" t="str">
        <f t="shared" si="663"/>
        <v>0P00</v>
      </c>
      <c r="AJ2230" t="str">
        <f t="shared" si="664"/>
        <v>P000</v>
      </c>
    </row>
    <row r="2231" spans="1:36" x14ac:dyDescent="0.25">
      <c r="A2231" s="325" t="str">
        <f>CONCATENATE("P",'906MP'!M1931)</f>
        <v>P</v>
      </c>
      <c r="B2231">
        <f>'906MP'!H1931</f>
        <v>0</v>
      </c>
      <c r="C2231">
        <f>'906MP'!J1931</f>
        <v>0</v>
      </c>
      <c r="D2231">
        <f>'906MP'!P1931</f>
        <v>0</v>
      </c>
      <c r="E2231">
        <f>'906MP'!X1931</f>
        <v>0</v>
      </c>
      <c r="F2231" t="str">
        <f t="shared" si="656"/>
        <v>0</v>
      </c>
      <c r="G2231" t="str">
        <f t="shared" si="657"/>
        <v>0</v>
      </c>
      <c r="H2231">
        <f>'906MP'!Y1931</f>
        <v>0</v>
      </c>
      <c r="I2231">
        <f>'906MP'!AK1931</f>
        <v>0</v>
      </c>
      <c r="J2231">
        <f>'906MP'!T1931</f>
        <v>0</v>
      </c>
      <c r="K2231">
        <f>'906MP'!AJ1931</f>
        <v>0</v>
      </c>
      <c r="L2231">
        <f>'906MP'!U1931</f>
        <v>0</v>
      </c>
      <c r="M2231" s="322" t="str">
        <f>IFERROR(VLOOKUP(A2231,PAR!$D$3:$E$53,2,FALSE),"nincs szervezet")</f>
        <v>nincs szervezet</v>
      </c>
      <c r="N2231" s="322" t="str">
        <f>VLOOKUP(F2231,PAR!$R$3:$S$5,2,FALSE)</f>
        <v>3 - egyik sem</v>
      </c>
      <c r="O2231" t="str">
        <f>IFERROR(VLOOKUP(J2231,PAR!$O$3:$P$5,2,FALSE),"nincs feladat")</f>
        <v>nincs feladat</v>
      </c>
      <c r="P2231" t="str">
        <f>IFERROR(VLOOKUP(G2231,PAR!$J$2:$M$19,4),"nincs rovat")</f>
        <v>nincs rovat</v>
      </c>
      <c r="Q2231" t="str">
        <f>IF(H2231&gt;0,VLOOKUP(H2231,PAR!$AA$3:$AC$187,3,FALSE),"nincs főkönyvi számla")</f>
        <v>nincs főkönyvi számla</v>
      </c>
      <c r="R2231" t="str">
        <f>IFERROR(VLOOKUP(K2231,PAR!$V$3:$X$438,3,FALSE),"000000 - Nincs COFOG")</f>
        <v>000000 - Nincs COFOG</v>
      </c>
      <c r="S2231">
        <f t="shared" si="658"/>
        <v>0</v>
      </c>
      <c r="T2231">
        <f t="shared" si="659"/>
        <v>0</v>
      </c>
      <c r="U2231" t="str">
        <f>IF('906MP'!J1931&gt;0,CONCATENATE('906MP'!J1931," - ",'906MP'!P1931,", ",'906MP'!E1931),"nincs megjegyzés")</f>
        <v>nincs megjegyzés</v>
      </c>
      <c r="V2231" t="str">
        <f t="shared" si="646"/>
        <v>0P0</v>
      </c>
      <c r="W2231" t="str">
        <f t="shared" si="647"/>
        <v>0P0</v>
      </c>
      <c r="X2231" t="str">
        <f t="shared" si="648"/>
        <v>P0</v>
      </c>
      <c r="Y2231" t="str">
        <f t="shared" si="649"/>
        <v>00</v>
      </c>
      <c r="Z2231" t="str">
        <f t="shared" si="660"/>
        <v>00</v>
      </c>
      <c r="AA2231" t="str">
        <f t="shared" si="650"/>
        <v>00</v>
      </c>
      <c r="AB2231" t="str">
        <f t="shared" si="651"/>
        <v>00</v>
      </c>
      <c r="AC2231" t="str">
        <f t="shared" si="652"/>
        <v>0P0</v>
      </c>
      <c r="AD2231" t="str">
        <f t="shared" si="653"/>
        <v>P00</v>
      </c>
      <c r="AE2231" t="str">
        <f t="shared" si="654"/>
        <v>0P0</v>
      </c>
      <c r="AF2231" t="str">
        <f t="shared" si="655"/>
        <v>P00</v>
      </c>
      <c r="AG2231" t="str">
        <f t="shared" si="661"/>
        <v>0P00</v>
      </c>
      <c r="AH2231" t="str">
        <f t="shared" si="662"/>
        <v>P000</v>
      </c>
      <c r="AI2231" t="str">
        <f t="shared" si="663"/>
        <v>0P00</v>
      </c>
      <c r="AJ2231" t="str">
        <f t="shared" si="664"/>
        <v>P000</v>
      </c>
    </row>
    <row r="2232" spans="1:36" x14ac:dyDescent="0.25">
      <c r="A2232" s="325" t="str">
        <f>CONCATENATE("P",'906MP'!M1932)</f>
        <v>P</v>
      </c>
      <c r="B2232">
        <f>'906MP'!H1932</f>
        <v>0</v>
      </c>
      <c r="C2232">
        <f>'906MP'!J1932</f>
        <v>0</v>
      </c>
      <c r="D2232">
        <f>'906MP'!P1932</f>
        <v>0</v>
      </c>
      <c r="E2232">
        <f>'906MP'!X1932</f>
        <v>0</v>
      </c>
      <c r="F2232" t="str">
        <f t="shared" si="656"/>
        <v>0</v>
      </c>
      <c r="G2232" t="str">
        <f t="shared" si="657"/>
        <v>0</v>
      </c>
      <c r="H2232">
        <f>'906MP'!Y1932</f>
        <v>0</v>
      </c>
      <c r="I2232">
        <f>'906MP'!AK1932</f>
        <v>0</v>
      </c>
      <c r="J2232">
        <f>'906MP'!T1932</f>
        <v>0</v>
      </c>
      <c r="K2232">
        <f>'906MP'!AJ1932</f>
        <v>0</v>
      </c>
      <c r="L2232">
        <f>'906MP'!U1932</f>
        <v>0</v>
      </c>
      <c r="M2232" s="322" t="str">
        <f>IFERROR(VLOOKUP(A2232,PAR!$D$3:$E$53,2,FALSE),"nincs szervezet")</f>
        <v>nincs szervezet</v>
      </c>
      <c r="N2232" s="322" t="str">
        <f>VLOOKUP(F2232,PAR!$R$3:$S$5,2,FALSE)</f>
        <v>3 - egyik sem</v>
      </c>
      <c r="O2232" t="str">
        <f>IFERROR(VLOOKUP(J2232,PAR!$O$3:$P$5,2,FALSE),"nincs feladat")</f>
        <v>nincs feladat</v>
      </c>
      <c r="P2232" t="str">
        <f>IFERROR(VLOOKUP(G2232,PAR!$J$2:$M$19,4),"nincs rovat")</f>
        <v>nincs rovat</v>
      </c>
      <c r="Q2232" t="str">
        <f>IF(H2232&gt;0,VLOOKUP(H2232,PAR!$AA$3:$AC$187,3,FALSE),"nincs főkönyvi számla")</f>
        <v>nincs főkönyvi számla</v>
      </c>
      <c r="R2232" t="str">
        <f>IFERROR(VLOOKUP(K2232,PAR!$V$3:$X$438,3,FALSE),"000000 - Nincs COFOG")</f>
        <v>000000 - Nincs COFOG</v>
      </c>
      <c r="S2232">
        <f t="shared" si="658"/>
        <v>0</v>
      </c>
      <c r="T2232">
        <f t="shared" si="659"/>
        <v>0</v>
      </c>
      <c r="U2232" t="str">
        <f>IF('906MP'!J1932&gt;0,CONCATENATE('906MP'!J1932," - ",'906MP'!P1932,", ",'906MP'!E1932),"nincs megjegyzés")</f>
        <v>nincs megjegyzés</v>
      </c>
      <c r="V2232" t="str">
        <f t="shared" si="646"/>
        <v>0P0</v>
      </c>
      <c r="W2232" t="str">
        <f t="shared" si="647"/>
        <v>0P0</v>
      </c>
      <c r="X2232" t="str">
        <f t="shared" si="648"/>
        <v>P0</v>
      </c>
      <c r="Y2232" t="str">
        <f t="shared" si="649"/>
        <v>00</v>
      </c>
      <c r="Z2232" t="str">
        <f t="shared" si="660"/>
        <v>00</v>
      </c>
      <c r="AA2232" t="str">
        <f t="shared" si="650"/>
        <v>00</v>
      </c>
      <c r="AB2232" t="str">
        <f t="shared" si="651"/>
        <v>00</v>
      </c>
      <c r="AC2232" t="str">
        <f t="shared" si="652"/>
        <v>0P0</v>
      </c>
      <c r="AD2232" t="str">
        <f t="shared" si="653"/>
        <v>P00</v>
      </c>
      <c r="AE2232" t="str">
        <f t="shared" si="654"/>
        <v>0P0</v>
      </c>
      <c r="AF2232" t="str">
        <f t="shared" si="655"/>
        <v>P00</v>
      </c>
      <c r="AG2232" t="str">
        <f t="shared" si="661"/>
        <v>0P00</v>
      </c>
      <c r="AH2232" t="str">
        <f t="shared" si="662"/>
        <v>P000</v>
      </c>
      <c r="AI2232" t="str">
        <f t="shared" si="663"/>
        <v>0P00</v>
      </c>
      <c r="AJ2232" t="str">
        <f t="shared" si="664"/>
        <v>P000</v>
      </c>
    </row>
    <row r="2233" spans="1:36" x14ac:dyDescent="0.25">
      <c r="A2233" s="325" t="str">
        <f>CONCATENATE("P",'906MP'!M1933)</f>
        <v>P</v>
      </c>
      <c r="B2233">
        <f>'906MP'!H1933</f>
        <v>0</v>
      </c>
      <c r="C2233">
        <f>'906MP'!J1933</f>
        <v>0</v>
      </c>
      <c r="D2233">
        <f>'906MP'!P1933</f>
        <v>0</v>
      </c>
      <c r="E2233">
        <f>'906MP'!X1933</f>
        <v>0</v>
      </c>
      <c r="F2233" t="str">
        <f t="shared" si="656"/>
        <v>0</v>
      </c>
      <c r="G2233" t="str">
        <f t="shared" si="657"/>
        <v>0</v>
      </c>
      <c r="H2233">
        <f>'906MP'!Y1933</f>
        <v>0</v>
      </c>
      <c r="I2233">
        <f>'906MP'!AK1933</f>
        <v>0</v>
      </c>
      <c r="J2233">
        <f>'906MP'!T1933</f>
        <v>0</v>
      </c>
      <c r="K2233">
        <f>'906MP'!AJ1933</f>
        <v>0</v>
      </c>
      <c r="L2233">
        <f>'906MP'!U1933</f>
        <v>0</v>
      </c>
      <c r="M2233" s="322" t="str">
        <f>IFERROR(VLOOKUP(A2233,PAR!$D$3:$E$53,2,FALSE),"nincs szervezet")</f>
        <v>nincs szervezet</v>
      </c>
      <c r="N2233" s="322" t="str">
        <f>VLOOKUP(F2233,PAR!$R$3:$S$5,2,FALSE)</f>
        <v>3 - egyik sem</v>
      </c>
      <c r="O2233" t="str">
        <f>IFERROR(VLOOKUP(J2233,PAR!$O$3:$P$5,2,FALSE),"nincs feladat")</f>
        <v>nincs feladat</v>
      </c>
      <c r="P2233" t="str">
        <f>IFERROR(VLOOKUP(G2233,PAR!$J$2:$M$19,4),"nincs rovat")</f>
        <v>nincs rovat</v>
      </c>
      <c r="Q2233" t="str">
        <f>IF(H2233&gt;0,VLOOKUP(H2233,PAR!$AA$3:$AC$187,3,FALSE),"nincs főkönyvi számla")</f>
        <v>nincs főkönyvi számla</v>
      </c>
      <c r="R2233" t="str">
        <f>IFERROR(VLOOKUP(K2233,PAR!$V$3:$X$438,3,FALSE),"000000 - Nincs COFOG")</f>
        <v>000000 - Nincs COFOG</v>
      </c>
      <c r="S2233">
        <f t="shared" si="658"/>
        <v>0</v>
      </c>
      <c r="T2233">
        <f t="shared" si="659"/>
        <v>0</v>
      </c>
      <c r="U2233" t="str">
        <f>IF('906MP'!J1933&gt;0,CONCATENATE('906MP'!J1933," - ",'906MP'!P1933,", ",'906MP'!E1933),"nincs megjegyzés")</f>
        <v>nincs megjegyzés</v>
      </c>
      <c r="V2233" t="str">
        <f t="shared" si="646"/>
        <v>0P0</v>
      </c>
      <c r="W2233" t="str">
        <f t="shared" si="647"/>
        <v>0P0</v>
      </c>
      <c r="X2233" t="str">
        <f t="shared" si="648"/>
        <v>P0</v>
      </c>
      <c r="Y2233" t="str">
        <f t="shared" si="649"/>
        <v>00</v>
      </c>
      <c r="Z2233" t="str">
        <f t="shared" si="660"/>
        <v>00</v>
      </c>
      <c r="AA2233" t="str">
        <f t="shared" si="650"/>
        <v>00</v>
      </c>
      <c r="AB2233" t="str">
        <f t="shared" si="651"/>
        <v>00</v>
      </c>
      <c r="AC2233" t="str">
        <f t="shared" si="652"/>
        <v>0P0</v>
      </c>
      <c r="AD2233" t="str">
        <f t="shared" si="653"/>
        <v>P00</v>
      </c>
      <c r="AE2233" t="str">
        <f t="shared" si="654"/>
        <v>0P0</v>
      </c>
      <c r="AF2233" t="str">
        <f t="shared" si="655"/>
        <v>P00</v>
      </c>
      <c r="AG2233" t="str">
        <f t="shared" si="661"/>
        <v>0P00</v>
      </c>
      <c r="AH2233" t="str">
        <f t="shared" si="662"/>
        <v>P000</v>
      </c>
      <c r="AI2233" t="str">
        <f t="shared" si="663"/>
        <v>0P00</v>
      </c>
      <c r="AJ2233" t="str">
        <f t="shared" si="664"/>
        <v>P000</v>
      </c>
    </row>
    <row r="2234" spans="1:36" x14ac:dyDescent="0.25">
      <c r="A2234" s="325" t="str">
        <f>CONCATENATE("P",'906MP'!M1934)</f>
        <v>P</v>
      </c>
      <c r="B2234">
        <f>'906MP'!H1934</f>
        <v>0</v>
      </c>
      <c r="C2234">
        <f>'906MP'!J1934</f>
        <v>0</v>
      </c>
      <c r="D2234">
        <f>'906MP'!P1934</f>
        <v>0</v>
      </c>
      <c r="E2234">
        <f>'906MP'!X1934</f>
        <v>0</v>
      </c>
      <c r="F2234" t="str">
        <f t="shared" si="656"/>
        <v>0</v>
      </c>
      <c r="G2234" t="str">
        <f t="shared" si="657"/>
        <v>0</v>
      </c>
      <c r="H2234">
        <f>'906MP'!Y1934</f>
        <v>0</v>
      </c>
      <c r="I2234">
        <f>'906MP'!AK1934</f>
        <v>0</v>
      </c>
      <c r="J2234">
        <f>'906MP'!T1934</f>
        <v>0</v>
      </c>
      <c r="K2234">
        <f>'906MP'!AJ1934</f>
        <v>0</v>
      </c>
      <c r="L2234">
        <f>'906MP'!U1934</f>
        <v>0</v>
      </c>
      <c r="M2234" s="322" t="str">
        <f>IFERROR(VLOOKUP(A2234,PAR!$D$3:$E$53,2,FALSE),"nincs szervezet")</f>
        <v>nincs szervezet</v>
      </c>
      <c r="N2234" s="322" t="str">
        <f>VLOOKUP(F2234,PAR!$R$3:$S$5,2,FALSE)</f>
        <v>3 - egyik sem</v>
      </c>
      <c r="O2234" t="str">
        <f>IFERROR(VLOOKUP(J2234,PAR!$O$3:$P$5,2,FALSE),"nincs feladat")</f>
        <v>nincs feladat</v>
      </c>
      <c r="P2234" t="str">
        <f>IFERROR(VLOOKUP(G2234,PAR!$J$2:$M$19,4),"nincs rovat")</f>
        <v>nincs rovat</v>
      </c>
      <c r="Q2234" t="str">
        <f>IF(H2234&gt;0,VLOOKUP(H2234,PAR!$AA$3:$AC$187,3,FALSE),"nincs főkönyvi számla")</f>
        <v>nincs főkönyvi számla</v>
      </c>
      <c r="R2234" t="str">
        <f>IFERROR(VLOOKUP(K2234,PAR!$V$3:$X$438,3,FALSE),"000000 - Nincs COFOG")</f>
        <v>000000 - Nincs COFOG</v>
      </c>
      <c r="S2234">
        <f t="shared" si="658"/>
        <v>0</v>
      </c>
      <c r="T2234">
        <f t="shared" si="659"/>
        <v>0</v>
      </c>
      <c r="U2234" t="str">
        <f>IF('906MP'!J1934&gt;0,CONCATENATE('906MP'!J1934," - ",'906MP'!P1934,", ",'906MP'!E1934),"nincs megjegyzés")</f>
        <v>nincs megjegyzés</v>
      </c>
      <c r="V2234" t="str">
        <f t="shared" si="646"/>
        <v>0P0</v>
      </c>
      <c r="W2234" t="str">
        <f t="shared" si="647"/>
        <v>0P0</v>
      </c>
      <c r="X2234" t="str">
        <f t="shared" si="648"/>
        <v>P0</v>
      </c>
      <c r="Y2234" t="str">
        <f t="shared" si="649"/>
        <v>00</v>
      </c>
      <c r="Z2234" t="str">
        <f t="shared" si="660"/>
        <v>00</v>
      </c>
      <c r="AA2234" t="str">
        <f t="shared" si="650"/>
        <v>00</v>
      </c>
      <c r="AB2234" t="str">
        <f t="shared" si="651"/>
        <v>00</v>
      </c>
      <c r="AC2234" t="str">
        <f t="shared" si="652"/>
        <v>0P0</v>
      </c>
      <c r="AD2234" t="str">
        <f t="shared" si="653"/>
        <v>P00</v>
      </c>
      <c r="AE2234" t="str">
        <f t="shared" si="654"/>
        <v>0P0</v>
      </c>
      <c r="AF2234" t="str">
        <f t="shared" si="655"/>
        <v>P00</v>
      </c>
      <c r="AG2234" t="str">
        <f t="shared" si="661"/>
        <v>0P00</v>
      </c>
      <c r="AH2234" t="str">
        <f t="shared" si="662"/>
        <v>P000</v>
      </c>
      <c r="AI2234" t="str">
        <f t="shared" si="663"/>
        <v>0P00</v>
      </c>
      <c r="AJ2234" t="str">
        <f t="shared" si="664"/>
        <v>P000</v>
      </c>
    </row>
    <row r="2235" spans="1:36" x14ac:dyDescent="0.25">
      <c r="A2235" s="325" t="str">
        <f>CONCATENATE("P",'906MP'!M1935)</f>
        <v>P</v>
      </c>
      <c r="B2235">
        <f>'906MP'!H1935</f>
        <v>0</v>
      </c>
      <c r="C2235">
        <f>'906MP'!J1935</f>
        <v>0</v>
      </c>
      <c r="D2235">
        <f>'906MP'!P1935</f>
        <v>0</v>
      </c>
      <c r="E2235">
        <f>'906MP'!X1935</f>
        <v>0</v>
      </c>
      <c r="F2235" t="str">
        <f t="shared" si="656"/>
        <v>0</v>
      </c>
      <c r="G2235" t="str">
        <f t="shared" si="657"/>
        <v>0</v>
      </c>
      <c r="H2235">
        <f>'906MP'!Y1935</f>
        <v>0</v>
      </c>
      <c r="I2235">
        <f>'906MP'!AK1935</f>
        <v>0</v>
      </c>
      <c r="J2235">
        <f>'906MP'!T1935</f>
        <v>0</v>
      </c>
      <c r="K2235">
        <f>'906MP'!AJ1935</f>
        <v>0</v>
      </c>
      <c r="L2235">
        <f>'906MP'!U1935</f>
        <v>0</v>
      </c>
      <c r="M2235" s="322" t="str">
        <f>IFERROR(VLOOKUP(A2235,PAR!$D$3:$E$53,2,FALSE),"nincs szervezet")</f>
        <v>nincs szervezet</v>
      </c>
      <c r="N2235" s="322" t="str">
        <f>VLOOKUP(F2235,PAR!$R$3:$S$5,2,FALSE)</f>
        <v>3 - egyik sem</v>
      </c>
      <c r="O2235" t="str">
        <f>IFERROR(VLOOKUP(J2235,PAR!$O$3:$P$5,2,FALSE),"nincs feladat")</f>
        <v>nincs feladat</v>
      </c>
      <c r="P2235" t="str">
        <f>IFERROR(VLOOKUP(G2235,PAR!$J$2:$M$19,4),"nincs rovat")</f>
        <v>nincs rovat</v>
      </c>
      <c r="Q2235" t="str">
        <f>IF(H2235&gt;0,VLOOKUP(H2235,PAR!$AA$3:$AC$187,3,FALSE),"nincs főkönyvi számla")</f>
        <v>nincs főkönyvi számla</v>
      </c>
      <c r="R2235" t="str">
        <f>IFERROR(VLOOKUP(K2235,PAR!$V$3:$X$438,3,FALSE),"000000 - Nincs COFOG")</f>
        <v>000000 - Nincs COFOG</v>
      </c>
      <c r="S2235">
        <f t="shared" si="658"/>
        <v>0</v>
      </c>
      <c r="T2235">
        <f t="shared" si="659"/>
        <v>0</v>
      </c>
      <c r="U2235" t="str">
        <f>IF('906MP'!J1935&gt;0,CONCATENATE('906MP'!J1935," - ",'906MP'!P1935,", ",'906MP'!E1935),"nincs megjegyzés")</f>
        <v>nincs megjegyzés</v>
      </c>
      <c r="V2235" t="str">
        <f t="shared" si="646"/>
        <v>0P0</v>
      </c>
      <c r="W2235" t="str">
        <f t="shared" si="647"/>
        <v>0P0</v>
      </c>
      <c r="X2235" t="str">
        <f t="shared" si="648"/>
        <v>P0</v>
      </c>
      <c r="Y2235" t="str">
        <f t="shared" si="649"/>
        <v>00</v>
      </c>
      <c r="Z2235" t="str">
        <f t="shared" si="660"/>
        <v>00</v>
      </c>
      <c r="AA2235" t="str">
        <f t="shared" si="650"/>
        <v>00</v>
      </c>
      <c r="AB2235" t="str">
        <f t="shared" si="651"/>
        <v>00</v>
      </c>
      <c r="AC2235" t="str">
        <f t="shared" si="652"/>
        <v>0P0</v>
      </c>
      <c r="AD2235" t="str">
        <f t="shared" si="653"/>
        <v>P00</v>
      </c>
      <c r="AE2235" t="str">
        <f t="shared" si="654"/>
        <v>0P0</v>
      </c>
      <c r="AF2235" t="str">
        <f t="shared" si="655"/>
        <v>P00</v>
      </c>
      <c r="AG2235" t="str">
        <f t="shared" si="661"/>
        <v>0P00</v>
      </c>
      <c r="AH2235" t="str">
        <f t="shared" si="662"/>
        <v>P000</v>
      </c>
      <c r="AI2235" t="str">
        <f t="shared" si="663"/>
        <v>0P00</v>
      </c>
      <c r="AJ2235" t="str">
        <f t="shared" si="664"/>
        <v>P000</v>
      </c>
    </row>
    <row r="2236" spans="1:36" x14ac:dyDescent="0.25">
      <c r="A2236" s="325" t="str">
        <f>CONCATENATE("P",'906MP'!M1936)</f>
        <v>P</v>
      </c>
      <c r="B2236">
        <f>'906MP'!H1936</f>
        <v>0</v>
      </c>
      <c r="C2236">
        <f>'906MP'!J1936</f>
        <v>0</v>
      </c>
      <c r="D2236">
        <f>'906MP'!P1936</f>
        <v>0</v>
      </c>
      <c r="E2236">
        <f>'906MP'!X1936</f>
        <v>0</v>
      </c>
      <c r="F2236" t="str">
        <f t="shared" si="656"/>
        <v>0</v>
      </c>
      <c r="G2236" t="str">
        <f t="shared" si="657"/>
        <v>0</v>
      </c>
      <c r="H2236">
        <f>'906MP'!Y1936</f>
        <v>0</v>
      </c>
      <c r="I2236">
        <f>'906MP'!AK1936</f>
        <v>0</v>
      </c>
      <c r="J2236">
        <f>'906MP'!T1936</f>
        <v>0</v>
      </c>
      <c r="K2236">
        <f>'906MP'!AJ1936</f>
        <v>0</v>
      </c>
      <c r="L2236">
        <f>'906MP'!U1936</f>
        <v>0</v>
      </c>
      <c r="M2236" s="322" t="str">
        <f>IFERROR(VLOOKUP(A2236,PAR!$D$3:$E$53,2,FALSE),"nincs szervezet")</f>
        <v>nincs szervezet</v>
      </c>
      <c r="N2236" s="322" t="str">
        <f>VLOOKUP(F2236,PAR!$R$3:$S$5,2,FALSE)</f>
        <v>3 - egyik sem</v>
      </c>
      <c r="O2236" t="str">
        <f>IFERROR(VLOOKUP(J2236,PAR!$O$3:$P$5,2,FALSE),"nincs feladat")</f>
        <v>nincs feladat</v>
      </c>
      <c r="P2236" t="str">
        <f>IFERROR(VLOOKUP(G2236,PAR!$J$2:$M$19,4),"nincs rovat")</f>
        <v>nincs rovat</v>
      </c>
      <c r="Q2236" t="str">
        <f>IF(H2236&gt;0,VLOOKUP(H2236,PAR!$AA$3:$AC$187,3,FALSE),"nincs főkönyvi számla")</f>
        <v>nincs főkönyvi számla</v>
      </c>
      <c r="R2236" t="str">
        <f>IFERROR(VLOOKUP(K2236,PAR!$V$3:$X$438,3,FALSE),"000000 - Nincs COFOG")</f>
        <v>000000 - Nincs COFOG</v>
      </c>
      <c r="S2236">
        <f t="shared" si="658"/>
        <v>0</v>
      </c>
      <c r="T2236">
        <f t="shared" si="659"/>
        <v>0</v>
      </c>
      <c r="U2236" t="str">
        <f>IF('906MP'!J1936&gt;0,CONCATENATE('906MP'!J1936," - ",'906MP'!P1936,", ",'906MP'!E1936),"nincs megjegyzés")</f>
        <v>nincs megjegyzés</v>
      </c>
      <c r="V2236" t="str">
        <f t="shared" si="646"/>
        <v>0P0</v>
      </c>
      <c r="W2236" t="str">
        <f t="shared" si="647"/>
        <v>0P0</v>
      </c>
      <c r="X2236" t="str">
        <f t="shared" si="648"/>
        <v>P0</v>
      </c>
      <c r="Y2236" t="str">
        <f t="shared" si="649"/>
        <v>00</v>
      </c>
      <c r="Z2236" t="str">
        <f t="shared" si="660"/>
        <v>00</v>
      </c>
      <c r="AA2236" t="str">
        <f t="shared" si="650"/>
        <v>00</v>
      </c>
      <c r="AB2236" t="str">
        <f t="shared" si="651"/>
        <v>00</v>
      </c>
      <c r="AC2236" t="str">
        <f t="shared" si="652"/>
        <v>0P0</v>
      </c>
      <c r="AD2236" t="str">
        <f t="shared" si="653"/>
        <v>P00</v>
      </c>
      <c r="AE2236" t="str">
        <f t="shared" si="654"/>
        <v>0P0</v>
      </c>
      <c r="AF2236" t="str">
        <f t="shared" si="655"/>
        <v>P00</v>
      </c>
      <c r="AG2236" t="str">
        <f t="shared" si="661"/>
        <v>0P00</v>
      </c>
      <c r="AH2236" t="str">
        <f t="shared" si="662"/>
        <v>P000</v>
      </c>
      <c r="AI2236" t="str">
        <f t="shared" si="663"/>
        <v>0P00</v>
      </c>
      <c r="AJ2236" t="str">
        <f t="shared" si="664"/>
        <v>P000</v>
      </c>
    </row>
    <row r="2237" spans="1:36" x14ac:dyDescent="0.25">
      <c r="A2237" s="325" t="str">
        <f>CONCATENATE("P",'906MP'!M1937)</f>
        <v>P</v>
      </c>
      <c r="B2237">
        <f>'906MP'!H1937</f>
        <v>0</v>
      </c>
      <c r="C2237">
        <f>'906MP'!J1937</f>
        <v>0</v>
      </c>
      <c r="D2237">
        <f>'906MP'!P1937</f>
        <v>0</v>
      </c>
      <c r="E2237">
        <f>'906MP'!X1937</f>
        <v>0</v>
      </c>
      <c r="F2237" t="str">
        <f t="shared" si="656"/>
        <v>0</v>
      </c>
      <c r="G2237" t="str">
        <f t="shared" si="657"/>
        <v>0</v>
      </c>
      <c r="H2237">
        <f>'906MP'!Y1937</f>
        <v>0</v>
      </c>
      <c r="I2237">
        <f>'906MP'!AK1937</f>
        <v>0</v>
      </c>
      <c r="J2237">
        <f>'906MP'!T1937</f>
        <v>0</v>
      </c>
      <c r="K2237">
        <f>'906MP'!AJ1937</f>
        <v>0</v>
      </c>
      <c r="L2237">
        <f>'906MP'!U1937</f>
        <v>0</v>
      </c>
      <c r="M2237" s="322" t="str">
        <f>IFERROR(VLOOKUP(A2237,PAR!$D$3:$E$53,2,FALSE),"nincs szervezet")</f>
        <v>nincs szervezet</v>
      </c>
      <c r="N2237" s="322" t="str">
        <f>VLOOKUP(F2237,PAR!$R$3:$S$5,2,FALSE)</f>
        <v>3 - egyik sem</v>
      </c>
      <c r="O2237" t="str">
        <f>IFERROR(VLOOKUP(J2237,PAR!$O$3:$P$5,2,FALSE),"nincs feladat")</f>
        <v>nincs feladat</v>
      </c>
      <c r="P2237" t="str">
        <f>IFERROR(VLOOKUP(G2237,PAR!$J$2:$M$19,4),"nincs rovat")</f>
        <v>nincs rovat</v>
      </c>
      <c r="Q2237" t="str">
        <f>IF(H2237&gt;0,VLOOKUP(H2237,PAR!$AA$3:$AC$187,3,FALSE),"nincs főkönyvi számla")</f>
        <v>nincs főkönyvi számla</v>
      </c>
      <c r="R2237" t="str">
        <f>IFERROR(VLOOKUP(K2237,PAR!$V$3:$X$438,3,FALSE),"000000 - Nincs COFOG")</f>
        <v>000000 - Nincs COFOG</v>
      </c>
      <c r="S2237">
        <f t="shared" si="658"/>
        <v>0</v>
      </c>
      <c r="T2237">
        <f t="shared" si="659"/>
        <v>0</v>
      </c>
      <c r="U2237" t="str">
        <f>IF('906MP'!J1937&gt;0,CONCATENATE('906MP'!J1937," - ",'906MP'!P1937,", ",'906MP'!E1937),"nincs megjegyzés")</f>
        <v>nincs megjegyzés</v>
      </c>
      <c r="V2237" t="str">
        <f t="shared" si="646"/>
        <v>0P0</v>
      </c>
      <c r="W2237" t="str">
        <f t="shared" si="647"/>
        <v>0P0</v>
      </c>
      <c r="X2237" t="str">
        <f t="shared" si="648"/>
        <v>P0</v>
      </c>
      <c r="Y2237" t="str">
        <f t="shared" si="649"/>
        <v>00</v>
      </c>
      <c r="Z2237" t="str">
        <f t="shared" si="660"/>
        <v>00</v>
      </c>
      <c r="AA2237" t="str">
        <f t="shared" si="650"/>
        <v>00</v>
      </c>
      <c r="AB2237" t="str">
        <f t="shared" si="651"/>
        <v>00</v>
      </c>
      <c r="AC2237" t="str">
        <f t="shared" si="652"/>
        <v>0P0</v>
      </c>
      <c r="AD2237" t="str">
        <f t="shared" si="653"/>
        <v>P00</v>
      </c>
      <c r="AE2237" t="str">
        <f t="shared" si="654"/>
        <v>0P0</v>
      </c>
      <c r="AF2237" t="str">
        <f t="shared" si="655"/>
        <v>P00</v>
      </c>
      <c r="AG2237" t="str">
        <f t="shared" si="661"/>
        <v>0P00</v>
      </c>
      <c r="AH2237" t="str">
        <f t="shared" si="662"/>
        <v>P000</v>
      </c>
      <c r="AI2237" t="str">
        <f t="shared" si="663"/>
        <v>0P00</v>
      </c>
      <c r="AJ2237" t="str">
        <f t="shared" si="664"/>
        <v>P000</v>
      </c>
    </row>
    <row r="2238" spans="1:36" x14ac:dyDescent="0.25">
      <c r="A2238" s="325" t="str">
        <f>CONCATENATE("P",'906MP'!M1938)</f>
        <v>P</v>
      </c>
      <c r="B2238">
        <f>'906MP'!H1938</f>
        <v>0</v>
      </c>
      <c r="C2238">
        <f>'906MP'!J1938</f>
        <v>0</v>
      </c>
      <c r="D2238">
        <f>'906MP'!P1938</f>
        <v>0</v>
      </c>
      <c r="E2238">
        <f>'906MP'!X1938</f>
        <v>0</v>
      </c>
      <c r="F2238" t="str">
        <f t="shared" si="656"/>
        <v>0</v>
      </c>
      <c r="G2238" t="str">
        <f t="shared" si="657"/>
        <v>0</v>
      </c>
      <c r="H2238">
        <f>'906MP'!Y1938</f>
        <v>0</v>
      </c>
      <c r="I2238">
        <f>'906MP'!AK1938</f>
        <v>0</v>
      </c>
      <c r="J2238">
        <f>'906MP'!T1938</f>
        <v>0</v>
      </c>
      <c r="K2238">
        <f>'906MP'!AJ1938</f>
        <v>0</v>
      </c>
      <c r="L2238">
        <f>'906MP'!U1938</f>
        <v>0</v>
      </c>
      <c r="M2238" s="322" t="str">
        <f>IFERROR(VLOOKUP(A2238,PAR!$D$3:$E$53,2,FALSE),"nincs szervezet")</f>
        <v>nincs szervezet</v>
      </c>
      <c r="N2238" s="322" t="str">
        <f>VLOOKUP(F2238,PAR!$R$3:$S$5,2,FALSE)</f>
        <v>3 - egyik sem</v>
      </c>
      <c r="O2238" t="str">
        <f>IFERROR(VLOOKUP(J2238,PAR!$O$3:$P$5,2,FALSE),"nincs feladat")</f>
        <v>nincs feladat</v>
      </c>
      <c r="P2238" t="str">
        <f>IFERROR(VLOOKUP(G2238,PAR!$J$2:$M$19,4),"nincs rovat")</f>
        <v>nincs rovat</v>
      </c>
      <c r="Q2238" t="str">
        <f>IF(H2238&gt;0,VLOOKUP(H2238,PAR!$AA$3:$AC$187,3,FALSE),"nincs főkönyvi számla")</f>
        <v>nincs főkönyvi számla</v>
      </c>
      <c r="R2238" t="str">
        <f>IFERROR(VLOOKUP(K2238,PAR!$V$3:$X$438,3,FALSE),"000000 - Nincs COFOG")</f>
        <v>000000 - Nincs COFOG</v>
      </c>
      <c r="S2238">
        <f t="shared" si="658"/>
        <v>0</v>
      </c>
      <c r="T2238">
        <f t="shared" si="659"/>
        <v>0</v>
      </c>
      <c r="U2238" t="str">
        <f>IF('906MP'!J1938&gt;0,CONCATENATE('906MP'!J1938," - ",'906MP'!P1938,", ",'906MP'!E1938),"nincs megjegyzés")</f>
        <v>nincs megjegyzés</v>
      </c>
      <c r="V2238" t="str">
        <f t="shared" si="646"/>
        <v>0P0</v>
      </c>
      <c r="W2238" t="str">
        <f t="shared" si="647"/>
        <v>0P0</v>
      </c>
      <c r="X2238" t="str">
        <f t="shared" si="648"/>
        <v>P0</v>
      </c>
      <c r="Y2238" t="str">
        <f t="shared" si="649"/>
        <v>00</v>
      </c>
      <c r="Z2238" t="str">
        <f t="shared" si="660"/>
        <v>00</v>
      </c>
      <c r="AA2238" t="str">
        <f t="shared" si="650"/>
        <v>00</v>
      </c>
      <c r="AB2238" t="str">
        <f t="shared" si="651"/>
        <v>00</v>
      </c>
      <c r="AC2238" t="str">
        <f t="shared" si="652"/>
        <v>0P0</v>
      </c>
      <c r="AD2238" t="str">
        <f t="shared" si="653"/>
        <v>P00</v>
      </c>
      <c r="AE2238" t="str">
        <f t="shared" si="654"/>
        <v>0P0</v>
      </c>
      <c r="AF2238" t="str">
        <f t="shared" si="655"/>
        <v>P00</v>
      </c>
      <c r="AG2238" t="str">
        <f t="shared" si="661"/>
        <v>0P00</v>
      </c>
      <c r="AH2238" t="str">
        <f t="shared" si="662"/>
        <v>P000</v>
      </c>
      <c r="AI2238" t="str">
        <f t="shared" si="663"/>
        <v>0P00</v>
      </c>
      <c r="AJ2238" t="str">
        <f t="shared" si="664"/>
        <v>P000</v>
      </c>
    </row>
    <row r="2239" spans="1:36" x14ac:dyDescent="0.25">
      <c r="A2239" s="325" t="str">
        <f>CONCATENATE("P",'906MP'!M1939)</f>
        <v>P</v>
      </c>
      <c r="B2239">
        <f>'906MP'!H1939</f>
        <v>0</v>
      </c>
      <c r="C2239">
        <f>'906MP'!J1939</f>
        <v>0</v>
      </c>
      <c r="D2239">
        <f>'906MP'!P1939</f>
        <v>0</v>
      </c>
      <c r="E2239">
        <f>'906MP'!X1939</f>
        <v>0</v>
      </c>
      <c r="F2239" t="str">
        <f t="shared" si="656"/>
        <v>0</v>
      </c>
      <c r="G2239" t="str">
        <f t="shared" si="657"/>
        <v>0</v>
      </c>
      <c r="H2239">
        <f>'906MP'!Y1939</f>
        <v>0</v>
      </c>
      <c r="I2239">
        <f>'906MP'!AK1939</f>
        <v>0</v>
      </c>
      <c r="J2239">
        <f>'906MP'!T1939</f>
        <v>0</v>
      </c>
      <c r="K2239">
        <f>'906MP'!AJ1939</f>
        <v>0</v>
      </c>
      <c r="L2239">
        <f>'906MP'!U1939</f>
        <v>0</v>
      </c>
      <c r="M2239" s="322" t="str">
        <f>IFERROR(VLOOKUP(A2239,PAR!$D$3:$E$53,2,FALSE),"nincs szervezet")</f>
        <v>nincs szervezet</v>
      </c>
      <c r="N2239" s="322" t="str">
        <f>VLOOKUP(F2239,PAR!$R$3:$S$5,2,FALSE)</f>
        <v>3 - egyik sem</v>
      </c>
      <c r="O2239" t="str">
        <f>IFERROR(VLOOKUP(J2239,PAR!$O$3:$P$5,2,FALSE),"nincs feladat")</f>
        <v>nincs feladat</v>
      </c>
      <c r="P2239" t="str">
        <f>IFERROR(VLOOKUP(G2239,PAR!$J$2:$M$19,4),"nincs rovat")</f>
        <v>nincs rovat</v>
      </c>
      <c r="Q2239" t="str">
        <f>IF(H2239&gt;0,VLOOKUP(H2239,PAR!$AA$3:$AC$187,3,FALSE),"nincs főkönyvi számla")</f>
        <v>nincs főkönyvi számla</v>
      </c>
      <c r="R2239" t="str">
        <f>IFERROR(VLOOKUP(K2239,PAR!$V$3:$X$438,3,FALSE),"000000 - Nincs COFOG")</f>
        <v>000000 - Nincs COFOG</v>
      </c>
      <c r="S2239">
        <f t="shared" si="658"/>
        <v>0</v>
      </c>
      <c r="T2239">
        <f t="shared" si="659"/>
        <v>0</v>
      </c>
      <c r="U2239" t="str">
        <f>IF('906MP'!J1939&gt;0,CONCATENATE('906MP'!J1939," - ",'906MP'!P1939,", ",'906MP'!E1939),"nincs megjegyzés")</f>
        <v>nincs megjegyzés</v>
      </c>
      <c r="V2239" t="str">
        <f t="shared" si="646"/>
        <v>0P0</v>
      </c>
      <c r="W2239" t="str">
        <f t="shared" si="647"/>
        <v>0P0</v>
      </c>
      <c r="X2239" t="str">
        <f t="shared" si="648"/>
        <v>P0</v>
      </c>
      <c r="Y2239" t="str">
        <f t="shared" si="649"/>
        <v>00</v>
      </c>
      <c r="Z2239" t="str">
        <f t="shared" si="660"/>
        <v>00</v>
      </c>
      <c r="AA2239" t="str">
        <f t="shared" si="650"/>
        <v>00</v>
      </c>
      <c r="AB2239" t="str">
        <f t="shared" si="651"/>
        <v>00</v>
      </c>
      <c r="AC2239" t="str">
        <f t="shared" si="652"/>
        <v>0P0</v>
      </c>
      <c r="AD2239" t="str">
        <f t="shared" si="653"/>
        <v>P00</v>
      </c>
      <c r="AE2239" t="str">
        <f t="shared" si="654"/>
        <v>0P0</v>
      </c>
      <c r="AF2239" t="str">
        <f t="shared" si="655"/>
        <v>P00</v>
      </c>
      <c r="AG2239" t="str">
        <f t="shared" si="661"/>
        <v>0P00</v>
      </c>
      <c r="AH2239" t="str">
        <f t="shared" si="662"/>
        <v>P000</v>
      </c>
      <c r="AI2239" t="str">
        <f t="shared" si="663"/>
        <v>0P00</v>
      </c>
      <c r="AJ2239" t="str">
        <f t="shared" si="664"/>
        <v>P000</v>
      </c>
    </row>
    <row r="2240" spans="1:36" x14ac:dyDescent="0.25">
      <c r="A2240" s="325" t="str">
        <f>CONCATENATE("P",'906MP'!M1940)</f>
        <v>P</v>
      </c>
      <c r="B2240">
        <f>'906MP'!H1940</f>
        <v>0</v>
      </c>
      <c r="C2240">
        <f>'906MP'!J1940</f>
        <v>0</v>
      </c>
      <c r="D2240">
        <f>'906MP'!P1940</f>
        <v>0</v>
      </c>
      <c r="E2240">
        <f>'906MP'!X1940</f>
        <v>0</v>
      </c>
      <c r="F2240" t="str">
        <f t="shared" si="656"/>
        <v>0</v>
      </c>
      <c r="G2240" t="str">
        <f t="shared" si="657"/>
        <v>0</v>
      </c>
      <c r="H2240">
        <f>'906MP'!Y1940</f>
        <v>0</v>
      </c>
      <c r="I2240">
        <f>'906MP'!AK1940</f>
        <v>0</v>
      </c>
      <c r="J2240">
        <f>'906MP'!T1940</f>
        <v>0</v>
      </c>
      <c r="K2240">
        <f>'906MP'!AJ1940</f>
        <v>0</v>
      </c>
      <c r="L2240">
        <f>'906MP'!U1940</f>
        <v>0</v>
      </c>
      <c r="M2240" s="322" t="str">
        <f>IFERROR(VLOOKUP(A2240,PAR!$D$3:$E$53,2,FALSE),"nincs szervezet")</f>
        <v>nincs szervezet</v>
      </c>
      <c r="N2240" s="322" t="str">
        <f>VLOOKUP(F2240,PAR!$R$3:$S$5,2,FALSE)</f>
        <v>3 - egyik sem</v>
      </c>
      <c r="O2240" t="str">
        <f>IFERROR(VLOOKUP(J2240,PAR!$O$3:$P$5,2,FALSE),"nincs feladat")</f>
        <v>nincs feladat</v>
      </c>
      <c r="P2240" t="str">
        <f>IFERROR(VLOOKUP(G2240,PAR!$J$2:$M$19,4),"nincs rovat")</f>
        <v>nincs rovat</v>
      </c>
      <c r="Q2240" t="str">
        <f>IF(H2240&gt;0,VLOOKUP(H2240,PAR!$AA$3:$AC$187,3,FALSE),"nincs főkönyvi számla")</f>
        <v>nincs főkönyvi számla</v>
      </c>
      <c r="R2240" t="str">
        <f>IFERROR(VLOOKUP(K2240,PAR!$V$3:$X$438,3,FALSE),"000000 - Nincs COFOG")</f>
        <v>000000 - Nincs COFOG</v>
      </c>
      <c r="S2240">
        <f t="shared" si="658"/>
        <v>0</v>
      </c>
      <c r="T2240">
        <f t="shared" si="659"/>
        <v>0</v>
      </c>
      <c r="U2240" t="str">
        <f>IF('906MP'!J1940&gt;0,CONCATENATE('906MP'!J1940," - ",'906MP'!P1940,", ",'906MP'!E1940),"nincs megjegyzés")</f>
        <v>nincs megjegyzés</v>
      </c>
      <c r="V2240" t="str">
        <f t="shared" si="646"/>
        <v>0P0</v>
      </c>
      <c r="W2240" t="str">
        <f t="shared" si="647"/>
        <v>0P0</v>
      </c>
      <c r="X2240" t="str">
        <f t="shared" si="648"/>
        <v>P0</v>
      </c>
      <c r="Y2240" t="str">
        <f t="shared" si="649"/>
        <v>00</v>
      </c>
      <c r="Z2240" t="str">
        <f t="shared" si="660"/>
        <v>00</v>
      </c>
      <c r="AA2240" t="str">
        <f t="shared" si="650"/>
        <v>00</v>
      </c>
      <c r="AB2240" t="str">
        <f t="shared" si="651"/>
        <v>00</v>
      </c>
      <c r="AC2240" t="str">
        <f t="shared" si="652"/>
        <v>0P0</v>
      </c>
      <c r="AD2240" t="str">
        <f t="shared" si="653"/>
        <v>P00</v>
      </c>
      <c r="AE2240" t="str">
        <f t="shared" si="654"/>
        <v>0P0</v>
      </c>
      <c r="AF2240" t="str">
        <f t="shared" si="655"/>
        <v>P00</v>
      </c>
      <c r="AG2240" t="str">
        <f t="shared" si="661"/>
        <v>0P00</v>
      </c>
      <c r="AH2240" t="str">
        <f t="shared" si="662"/>
        <v>P000</v>
      </c>
      <c r="AI2240" t="str">
        <f t="shared" si="663"/>
        <v>0P00</v>
      </c>
      <c r="AJ2240" t="str">
        <f t="shared" si="664"/>
        <v>P000</v>
      </c>
    </row>
    <row r="2241" spans="1:36" x14ac:dyDescent="0.25">
      <c r="A2241" s="325" t="str">
        <f>CONCATENATE("P",'906MP'!M1941)</f>
        <v>P</v>
      </c>
      <c r="B2241">
        <f>'906MP'!H1941</f>
        <v>0</v>
      </c>
      <c r="C2241">
        <f>'906MP'!J1941</f>
        <v>0</v>
      </c>
      <c r="D2241">
        <f>'906MP'!P1941</f>
        <v>0</v>
      </c>
      <c r="E2241">
        <f>'906MP'!X1941</f>
        <v>0</v>
      </c>
      <c r="F2241" t="str">
        <f t="shared" si="656"/>
        <v>0</v>
      </c>
      <c r="G2241" t="str">
        <f t="shared" si="657"/>
        <v>0</v>
      </c>
      <c r="H2241">
        <f>'906MP'!Y1941</f>
        <v>0</v>
      </c>
      <c r="I2241">
        <f>'906MP'!AK1941</f>
        <v>0</v>
      </c>
      <c r="J2241">
        <f>'906MP'!T1941</f>
        <v>0</v>
      </c>
      <c r="K2241">
        <f>'906MP'!AJ1941</f>
        <v>0</v>
      </c>
      <c r="L2241">
        <f>'906MP'!U1941</f>
        <v>0</v>
      </c>
      <c r="M2241" s="322" t="str">
        <f>IFERROR(VLOOKUP(A2241,PAR!$D$3:$E$53,2,FALSE),"nincs szervezet")</f>
        <v>nincs szervezet</v>
      </c>
      <c r="N2241" s="322" t="str">
        <f>VLOOKUP(F2241,PAR!$R$3:$S$5,2,FALSE)</f>
        <v>3 - egyik sem</v>
      </c>
      <c r="O2241" t="str">
        <f>IFERROR(VLOOKUP(J2241,PAR!$O$3:$P$5,2,FALSE),"nincs feladat")</f>
        <v>nincs feladat</v>
      </c>
      <c r="P2241" t="str">
        <f>IFERROR(VLOOKUP(G2241,PAR!$J$2:$M$19,4),"nincs rovat")</f>
        <v>nincs rovat</v>
      </c>
      <c r="Q2241" t="str">
        <f>IF(H2241&gt;0,VLOOKUP(H2241,PAR!$AA$3:$AC$187,3,FALSE),"nincs főkönyvi számla")</f>
        <v>nincs főkönyvi számla</v>
      </c>
      <c r="R2241" t="str">
        <f>IFERROR(VLOOKUP(K2241,PAR!$V$3:$X$438,3,FALSE),"000000 - Nincs COFOG")</f>
        <v>000000 - Nincs COFOG</v>
      </c>
      <c r="S2241">
        <f t="shared" si="658"/>
        <v>0</v>
      </c>
      <c r="T2241">
        <f t="shared" si="659"/>
        <v>0</v>
      </c>
      <c r="U2241" t="str">
        <f>IF('906MP'!J1941&gt;0,CONCATENATE('906MP'!J1941," - ",'906MP'!P1941,", ",'906MP'!E1941),"nincs megjegyzés")</f>
        <v>nincs megjegyzés</v>
      </c>
      <c r="V2241" t="str">
        <f t="shared" si="646"/>
        <v>0P0</v>
      </c>
      <c r="W2241" t="str">
        <f t="shared" si="647"/>
        <v>0P0</v>
      </c>
      <c r="X2241" t="str">
        <f t="shared" si="648"/>
        <v>P0</v>
      </c>
      <c r="Y2241" t="str">
        <f t="shared" si="649"/>
        <v>00</v>
      </c>
      <c r="Z2241" t="str">
        <f t="shared" si="660"/>
        <v>00</v>
      </c>
      <c r="AA2241" t="str">
        <f t="shared" si="650"/>
        <v>00</v>
      </c>
      <c r="AB2241" t="str">
        <f t="shared" si="651"/>
        <v>00</v>
      </c>
      <c r="AC2241" t="str">
        <f t="shared" si="652"/>
        <v>0P0</v>
      </c>
      <c r="AD2241" t="str">
        <f t="shared" si="653"/>
        <v>P00</v>
      </c>
      <c r="AE2241" t="str">
        <f t="shared" si="654"/>
        <v>0P0</v>
      </c>
      <c r="AF2241" t="str">
        <f t="shared" si="655"/>
        <v>P00</v>
      </c>
      <c r="AG2241" t="str">
        <f t="shared" si="661"/>
        <v>0P00</v>
      </c>
      <c r="AH2241" t="str">
        <f t="shared" si="662"/>
        <v>P000</v>
      </c>
      <c r="AI2241" t="str">
        <f t="shared" si="663"/>
        <v>0P00</v>
      </c>
      <c r="AJ2241" t="str">
        <f t="shared" si="664"/>
        <v>P000</v>
      </c>
    </row>
    <row r="2242" spans="1:36" x14ac:dyDescent="0.25">
      <c r="A2242" s="325" t="str">
        <f>CONCATENATE("P",'906MP'!M1942)</f>
        <v>P</v>
      </c>
      <c r="B2242">
        <f>'906MP'!H1942</f>
        <v>0</v>
      </c>
      <c r="C2242">
        <f>'906MP'!J1942</f>
        <v>0</v>
      </c>
      <c r="D2242">
        <f>'906MP'!P1942</f>
        <v>0</v>
      </c>
      <c r="E2242">
        <f>'906MP'!X1942</f>
        <v>0</v>
      </c>
      <c r="F2242" t="str">
        <f t="shared" si="656"/>
        <v>0</v>
      </c>
      <c r="G2242" t="str">
        <f t="shared" si="657"/>
        <v>0</v>
      </c>
      <c r="H2242">
        <f>'906MP'!Y1942</f>
        <v>0</v>
      </c>
      <c r="I2242">
        <f>'906MP'!AK1942</f>
        <v>0</v>
      </c>
      <c r="J2242">
        <f>'906MP'!T1942</f>
        <v>0</v>
      </c>
      <c r="K2242">
        <f>'906MP'!AJ1942</f>
        <v>0</v>
      </c>
      <c r="L2242">
        <f>'906MP'!U1942</f>
        <v>0</v>
      </c>
      <c r="M2242" s="322" t="str">
        <f>IFERROR(VLOOKUP(A2242,PAR!$D$3:$E$53,2,FALSE),"nincs szervezet")</f>
        <v>nincs szervezet</v>
      </c>
      <c r="N2242" s="322" t="str">
        <f>VLOOKUP(F2242,PAR!$R$3:$S$5,2,FALSE)</f>
        <v>3 - egyik sem</v>
      </c>
      <c r="O2242" t="str">
        <f>IFERROR(VLOOKUP(J2242,PAR!$O$3:$P$5,2,FALSE),"nincs feladat")</f>
        <v>nincs feladat</v>
      </c>
      <c r="P2242" t="str">
        <f>IFERROR(VLOOKUP(G2242,PAR!$J$2:$M$19,4),"nincs rovat")</f>
        <v>nincs rovat</v>
      </c>
      <c r="Q2242" t="str">
        <f>IF(H2242&gt;0,VLOOKUP(H2242,PAR!$AA$3:$AC$187,3,FALSE),"nincs főkönyvi számla")</f>
        <v>nincs főkönyvi számla</v>
      </c>
      <c r="R2242" t="str">
        <f>IFERROR(VLOOKUP(K2242,PAR!$V$3:$X$438,3,FALSE),"000000 - Nincs COFOG")</f>
        <v>000000 - Nincs COFOG</v>
      </c>
      <c r="S2242">
        <f t="shared" si="658"/>
        <v>0</v>
      </c>
      <c r="T2242">
        <f t="shared" si="659"/>
        <v>0</v>
      </c>
      <c r="U2242" t="str">
        <f>IF('906MP'!J1942&gt;0,CONCATENATE('906MP'!J1942," - ",'906MP'!P1942,", ",'906MP'!E1942),"nincs megjegyzés")</f>
        <v>nincs megjegyzés</v>
      </c>
      <c r="V2242" t="str">
        <f t="shared" ref="V2242:V2305" si="665">CONCATENATE(B2242,A2242,G2242)</f>
        <v>0P0</v>
      </c>
      <c r="W2242" t="str">
        <f t="shared" ref="W2242:W2305" si="666">CONCATENATE(B2242,A2242,F2242)</f>
        <v>0P0</v>
      </c>
      <c r="X2242" t="str">
        <f t="shared" ref="X2242:X2305" si="667">CONCATENATE(A2242,H2242)</f>
        <v>P0</v>
      </c>
      <c r="Y2242" t="str">
        <f t="shared" ref="Y2242:Y2305" si="668">CONCATENATE(B2242,H2242)</f>
        <v>00</v>
      </c>
      <c r="Z2242" t="str">
        <f t="shared" si="660"/>
        <v>00</v>
      </c>
      <c r="AA2242" t="str">
        <f t="shared" ref="AA2242:AA2305" si="669">CONCATENATE(B2242,G2242)</f>
        <v>00</v>
      </c>
      <c r="AB2242" t="str">
        <f t="shared" ref="AB2242:AB2305" si="670">CONCATENATE(J2242,G2242)</f>
        <v>00</v>
      </c>
      <c r="AC2242" t="str">
        <f t="shared" ref="AC2242:AC2305" si="671">CONCATENATE(B2242,A2242,H2242)</f>
        <v>0P0</v>
      </c>
      <c r="AD2242" t="str">
        <f t="shared" ref="AD2242:AD2305" si="672">CONCATENATE(A2242,H2242,J2242)</f>
        <v>P00</v>
      </c>
      <c r="AE2242" t="str">
        <f t="shared" ref="AE2242:AE2305" si="673">CONCATENATE(B2242,A2242,G2242)</f>
        <v>0P0</v>
      </c>
      <c r="AF2242" t="str">
        <f t="shared" ref="AF2242:AF2305" si="674">CONCATENATE(A2242,G2242,J2242)</f>
        <v>P00</v>
      </c>
      <c r="AG2242" t="str">
        <f t="shared" si="661"/>
        <v>0P00</v>
      </c>
      <c r="AH2242" t="str">
        <f t="shared" si="662"/>
        <v>P000</v>
      </c>
      <c r="AI2242" t="str">
        <f t="shared" si="663"/>
        <v>0P00</v>
      </c>
      <c r="AJ2242" t="str">
        <f t="shared" si="664"/>
        <v>P000</v>
      </c>
    </row>
    <row r="2243" spans="1:36" x14ac:dyDescent="0.25">
      <c r="A2243" s="325" t="str">
        <f>CONCATENATE("P",'906MP'!M1943)</f>
        <v>P</v>
      </c>
      <c r="B2243">
        <f>'906MP'!H1943</f>
        <v>0</v>
      </c>
      <c r="C2243">
        <f>'906MP'!J1943</f>
        <v>0</v>
      </c>
      <c r="D2243">
        <f>'906MP'!P1943</f>
        <v>0</v>
      </c>
      <c r="E2243">
        <f>'906MP'!X1943</f>
        <v>0</v>
      </c>
      <c r="F2243" t="str">
        <f t="shared" ref="F2243:F2306" si="675">LEFT(G2243,2)</f>
        <v>0</v>
      </c>
      <c r="G2243" t="str">
        <f t="shared" ref="G2243:G2306" si="676">LEFT(H2243,3)</f>
        <v>0</v>
      </c>
      <c r="H2243">
        <f>'906MP'!Y1943</f>
        <v>0</v>
      </c>
      <c r="I2243">
        <f>'906MP'!AK1943</f>
        <v>0</v>
      </c>
      <c r="J2243">
        <f>'906MP'!T1943</f>
        <v>0</v>
      </c>
      <c r="K2243">
        <f>'906MP'!AJ1943</f>
        <v>0</v>
      </c>
      <c r="L2243">
        <f>'906MP'!U1943</f>
        <v>0</v>
      </c>
      <c r="M2243" s="322" t="str">
        <f>IFERROR(VLOOKUP(A2243,PAR!$D$3:$E$53,2,FALSE),"nincs szervezet")</f>
        <v>nincs szervezet</v>
      </c>
      <c r="N2243" s="322" t="str">
        <f>VLOOKUP(F2243,PAR!$R$3:$S$5,2,FALSE)</f>
        <v>3 - egyik sem</v>
      </c>
      <c r="O2243" t="str">
        <f>IFERROR(VLOOKUP(J2243,PAR!$O$3:$P$5,2,FALSE),"nincs feladat")</f>
        <v>nincs feladat</v>
      </c>
      <c r="P2243" t="str">
        <f>IFERROR(VLOOKUP(G2243,PAR!$J$2:$M$19,4),"nincs rovat")</f>
        <v>nincs rovat</v>
      </c>
      <c r="Q2243" t="str">
        <f>IF(H2243&gt;0,VLOOKUP(H2243,PAR!$AA$3:$AC$187,3,FALSE),"nincs főkönyvi számla")</f>
        <v>nincs főkönyvi számla</v>
      </c>
      <c r="R2243" t="str">
        <f>IFERROR(VLOOKUP(K2243,PAR!$V$3:$X$438,3,FALSE),"000000 - Nincs COFOG")</f>
        <v>000000 - Nincs COFOG</v>
      </c>
      <c r="S2243">
        <f t="shared" ref="S2243:S2306" si="677">E2243</f>
        <v>0</v>
      </c>
      <c r="T2243">
        <f t="shared" ref="T2243:T2306" si="678">IF(F2243="09",E2243*-1,E2243)</f>
        <v>0</v>
      </c>
      <c r="U2243" t="str">
        <f>IF('906MP'!J1943&gt;0,CONCATENATE('906MP'!J1943," - ",'906MP'!P1943,", ",'906MP'!E1943),"nincs megjegyzés")</f>
        <v>nincs megjegyzés</v>
      </c>
      <c r="V2243" t="str">
        <f t="shared" si="665"/>
        <v>0P0</v>
      </c>
      <c r="W2243" t="str">
        <f t="shared" si="666"/>
        <v>0P0</v>
      </c>
      <c r="X2243" t="str">
        <f t="shared" si="667"/>
        <v>P0</v>
      </c>
      <c r="Y2243" t="str">
        <f t="shared" si="668"/>
        <v>00</v>
      </c>
      <c r="Z2243" t="str">
        <f t="shared" ref="Z2243:Z2306" si="679">CONCATENATE(J2243,H2243)</f>
        <v>00</v>
      </c>
      <c r="AA2243" t="str">
        <f t="shared" si="669"/>
        <v>00</v>
      </c>
      <c r="AB2243" t="str">
        <f t="shared" si="670"/>
        <v>00</v>
      </c>
      <c r="AC2243" t="str">
        <f t="shared" si="671"/>
        <v>0P0</v>
      </c>
      <c r="AD2243" t="str">
        <f t="shared" si="672"/>
        <v>P00</v>
      </c>
      <c r="AE2243" t="str">
        <f t="shared" si="673"/>
        <v>0P0</v>
      </c>
      <c r="AF2243" t="str">
        <f t="shared" si="674"/>
        <v>P00</v>
      </c>
      <c r="AG2243" t="str">
        <f t="shared" ref="AG2243:AG2306" si="680">CONCATENATE(B2243,A2243,H2243,L2243)</f>
        <v>0P00</v>
      </c>
      <c r="AH2243" t="str">
        <f t="shared" ref="AH2243:AH2306" si="681">CONCATENATE(A2243,J2243,H2243,L2243)</f>
        <v>P000</v>
      </c>
      <c r="AI2243" t="str">
        <f t="shared" ref="AI2243:AI2306" si="682">CONCATENATE(B2243,A2243,G2243,L2243)</f>
        <v>0P00</v>
      </c>
      <c r="AJ2243" t="str">
        <f t="shared" ref="AJ2243:AJ2306" si="683">CONCATENATE(A2243,G2243,J2243,L2243)</f>
        <v>P000</v>
      </c>
    </row>
    <row r="2244" spans="1:36" x14ac:dyDescent="0.25">
      <c r="A2244" s="325" t="str">
        <f>CONCATENATE("P",'906MP'!M1944)</f>
        <v>P</v>
      </c>
      <c r="B2244">
        <f>'906MP'!H1944</f>
        <v>0</v>
      </c>
      <c r="C2244">
        <f>'906MP'!J1944</f>
        <v>0</v>
      </c>
      <c r="D2244">
        <f>'906MP'!P1944</f>
        <v>0</v>
      </c>
      <c r="E2244">
        <f>'906MP'!X1944</f>
        <v>0</v>
      </c>
      <c r="F2244" t="str">
        <f t="shared" si="675"/>
        <v>0</v>
      </c>
      <c r="G2244" t="str">
        <f t="shared" si="676"/>
        <v>0</v>
      </c>
      <c r="H2244">
        <f>'906MP'!Y1944</f>
        <v>0</v>
      </c>
      <c r="I2244">
        <f>'906MP'!AK1944</f>
        <v>0</v>
      </c>
      <c r="J2244">
        <f>'906MP'!T1944</f>
        <v>0</v>
      </c>
      <c r="K2244">
        <f>'906MP'!AJ1944</f>
        <v>0</v>
      </c>
      <c r="L2244">
        <f>'906MP'!U1944</f>
        <v>0</v>
      </c>
      <c r="M2244" s="322" t="str">
        <f>IFERROR(VLOOKUP(A2244,PAR!$D$3:$E$53,2,FALSE),"nincs szervezet")</f>
        <v>nincs szervezet</v>
      </c>
      <c r="N2244" s="322" t="str">
        <f>VLOOKUP(F2244,PAR!$R$3:$S$5,2,FALSE)</f>
        <v>3 - egyik sem</v>
      </c>
      <c r="O2244" t="str">
        <f>IFERROR(VLOOKUP(J2244,PAR!$O$3:$P$5,2,FALSE),"nincs feladat")</f>
        <v>nincs feladat</v>
      </c>
      <c r="P2244" t="str">
        <f>IFERROR(VLOOKUP(G2244,PAR!$J$2:$M$19,4),"nincs rovat")</f>
        <v>nincs rovat</v>
      </c>
      <c r="Q2244" t="str">
        <f>IF(H2244&gt;0,VLOOKUP(H2244,PAR!$AA$3:$AC$187,3,FALSE),"nincs főkönyvi számla")</f>
        <v>nincs főkönyvi számla</v>
      </c>
      <c r="R2244" t="str">
        <f>IFERROR(VLOOKUP(K2244,PAR!$V$3:$X$438,3,FALSE),"000000 - Nincs COFOG")</f>
        <v>000000 - Nincs COFOG</v>
      </c>
      <c r="S2244">
        <f t="shared" si="677"/>
        <v>0</v>
      </c>
      <c r="T2244">
        <f t="shared" si="678"/>
        <v>0</v>
      </c>
      <c r="U2244" t="str">
        <f>IF('906MP'!J1944&gt;0,CONCATENATE('906MP'!J1944," - ",'906MP'!P1944,", ",'906MP'!E1944),"nincs megjegyzés")</f>
        <v>nincs megjegyzés</v>
      </c>
      <c r="V2244" t="str">
        <f t="shared" si="665"/>
        <v>0P0</v>
      </c>
      <c r="W2244" t="str">
        <f t="shared" si="666"/>
        <v>0P0</v>
      </c>
      <c r="X2244" t="str">
        <f t="shared" si="667"/>
        <v>P0</v>
      </c>
      <c r="Y2244" t="str">
        <f t="shared" si="668"/>
        <v>00</v>
      </c>
      <c r="Z2244" t="str">
        <f t="shared" si="679"/>
        <v>00</v>
      </c>
      <c r="AA2244" t="str">
        <f t="shared" si="669"/>
        <v>00</v>
      </c>
      <c r="AB2244" t="str">
        <f t="shared" si="670"/>
        <v>00</v>
      </c>
      <c r="AC2244" t="str">
        <f t="shared" si="671"/>
        <v>0P0</v>
      </c>
      <c r="AD2244" t="str">
        <f t="shared" si="672"/>
        <v>P00</v>
      </c>
      <c r="AE2244" t="str">
        <f t="shared" si="673"/>
        <v>0P0</v>
      </c>
      <c r="AF2244" t="str">
        <f t="shared" si="674"/>
        <v>P00</v>
      </c>
      <c r="AG2244" t="str">
        <f t="shared" si="680"/>
        <v>0P00</v>
      </c>
      <c r="AH2244" t="str">
        <f t="shared" si="681"/>
        <v>P000</v>
      </c>
      <c r="AI2244" t="str">
        <f t="shared" si="682"/>
        <v>0P00</v>
      </c>
      <c r="AJ2244" t="str">
        <f t="shared" si="683"/>
        <v>P000</v>
      </c>
    </row>
    <row r="2245" spans="1:36" x14ac:dyDescent="0.25">
      <c r="A2245" s="325" t="str">
        <f>CONCATENATE("P",'906MP'!M1945)</f>
        <v>P</v>
      </c>
      <c r="B2245">
        <f>'906MP'!H1945</f>
        <v>0</v>
      </c>
      <c r="C2245">
        <f>'906MP'!J1945</f>
        <v>0</v>
      </c>
      <c r="D2245">
        <f>'906MP'!P1945</f>
        <v>0</v>
      </c>
      <c r="E2245">
        <f>'906MP'!X1945</f>
        <v>0</v>
      </c>
      <c r="F2245" t="str">
        <f t="shared" si="675"/>
        <v>0</v>
      </c>
      <c r="G2245" t="str">
        <f t="shared" si="676"/>
        <v>0</v>
      </c>
      <c r="H2245">
        <f>'906MP'!Y1945</f>
        <v>0</v>
      </c>
      <c r="I2245">
        <f>'906MP'!AK1945</f>
        <v>0</v>
      </c>
      <c r="J2245">
        <f>'906MP'!T1945</f>
        <v>0</v>
      </c>
      <c r="K2245">
        <f>'906MP'!AJ1945</f>
        <v>0</v>
      </c>
      <c r="L2245">
        <f>'906MP'!U1945</f>
        <v>0</v>
      </c>
      <c r="M2245" s="322" t="str">
        <f>IFERROR(VLOOKUP(A2245,PAR!$D$3:$E$53,2,FALSE),"nincs szervezet")</f>
        <v>nincs szervezet</v>
      </c>
      <c r="N2245" s="322" t="str">
        <f>VLOOKUP(F2245,PAR!$R$3:$S$5,2,FALSE)</f>
        <v>3 - egyik sem</v>
      </c>
      <c r="O2245" t="str">
        <f>IFERROR(VLOOKUP(J2245,PAR!$O$3:$P$5,2,FALSE),"nincs feladat")</f>
        <v>nincs feladat</v>
      </c>
      <c r="P2245" t="str">
        <f>IFERROR(VLOOKUP(G2245,PAR!$J$2:$M$19,4),"nincs rovat")</f>
        <v>nincs rovat</v>
      </c>
      <c r="Q2245" t="str">
        <f>IF(H2245&gt;0,VLOOKUP(H2245,PAR!$AA$3:$AC$187,3,FALSE),"nincs főkönyvi számla")</f>
        <v>nincs főkönyvi számla</v>
      </c>
      <c r="R2245" t="str">
        <f>IFERROR(VLOOKUP(K2245,PAR!$V$3:$X$438,3,FALSE),"000000 - Nincs COFOG")</f>
        <v>000000 - Nincs COFOG</v>
      </c>
      <c r="S2245">
        <f t="shared" si="677"/>
        <v>0</v>
      </c>
      <c r="T2245">
        <f t="shared" si="678"/>
        <v>0</v>
      </c>
      <c r="U2245" t="str">
        <f>IF('906MP'!J1945&gt;0,CONCATENATE('906MP'!J1945," - ",'906MP'!P1945,", ",'906MP'!E1945),"nincs megjegyzés")</f>
        <v>nincs megjegyzés</v>
      </c>
      <c r="V2245" t="str">
        <f t="shared" si="665"/>
        <v>0P0</v>
      </c>
      <c r="W2245" t="str">
        <f t="shared" si="666"/>
        <v>0P0</v>
      </c>
      <c r="X2245" t="str">
        <f t="shared" si="667"/>
        <v>P0</v>
      </c>
      <c r="Y2245" t="str">
        <f t="shared" si="668"/>
        <v>00</v>
      </c>
      <c r="Z2245" t="str">
        <f t="shared" si="679"/>
        <v>00</v>
      </c>
      <c r="AA2245" t="str">
        <f t="shared" si="669"/>
        <v>00</v>
      </c>
      <c r="AB2245" t="str">
        <f t="shared" si="670"/>
        <v>00</v>
      </c>
      <c r="AC2245" t="str">
        <f t="shared" si="671"/>
        <v>0P0</v>
      </c>
      <c r="AD2245" t="str">
        <f t="shared" si="672"/>
        <v>P00</v>
      </c>
      <c r="AE2245" t="str">
        <f t="shared" si="673"/>
        <v>0P0</v>
      </c>
      <c r="AF2245" t="str">
        <f t="shared" si="674"/>
        <v>P00</v>
      </c>
      <c r="AG2245" t="str">
        <f t="shared" si="680"/>
        <v>0P00</v>
      </c>
      <c r="AH2245" t="str">
        <f t="shared" si="681"/>
        <v>P000</v>
      </c>
      <c r="AI2245" t="str">
        <f t="shared" si="682"/>
        <v>0P00</v>
      </c>
      <c r="AJ2245" t="str">
        <f t="shared" si="683"/>
        <v>P000</v>
      </c>
    </row>
    <row r="2246" spans="1:36" x14ac:dyDescent="0.25">
      <c r="A2246" s="325" t="str">
        <f>CONCATENATE("P",'906MP'!M1946)</f>
        <v>P</v>
      </c>
      <c r="B2246">
        <f>'906MP'!H1946</f>
        <v>0</v>
      </c>
      <c r="C2246">
        <f>'906MP'!J1946</f>
        <v>0</v>
      </c>
      <c r="D2246">
        <f>'906MP'!P1946</f>
        <v>0</v>
      </c>
      <c r="E2246">
        <f>'906MP'!X1946</f>
        <v>0</v>
      </c>
      <c r="F2246" t="str">
        <f t="shared" si="675"/>
        <v>0</v>
      </c>
      <c r="G2246" t="str">
        <f t="shared" si="676"/>
        <v>0</v>
      </c>
      <c r="H2246">
        <f>'906MP'!Y1946</f>
        <v>0</v>
      </c>
      <c r="I2246">
        <f>'906MP'!AK1946</f>
        <v>0</v>
      </c>
      <c r="J2246">
        <f>'906MP'!T1946</f>
        <v>0</v>
      </c>
      <c r="K2246">
        <f>'906MP'!AJ1946</f>
        <v>0</v>
      </c>
      <c r="L2246">
        <f>'906MP'!U1946</f>
        <v>0</v>
      </c>
      <c r="M2246" s="322" t="str">
        <f>IFERROR(VLOOKUP(A2246,PAR!$D$3:$E$53,2,FALSE),"nincs szervezet")</f>
        <v>nincs szervezet</v>
      </c>
      <c r="N2246" s="322" t="str">
        <f>VLOOKUP(F2246,PAR!$R$3:$S$5,2,FALSE)</f>
        <v>3 - egyik sem</v>
      </c>
      <c r="O2246" t="str">
        <f>IFERROR(VLOOKUP(J2246,PAR!$O$3:$P$5,2,FALSE),"nincs feladat")</f>
        <v>nincs feladat</v>
      </c>
      <c r="P2246" t="str">
        <f>IFERROR(VLOOKUP(G2246,PAR!$J$2:$M$19,4),"nincs rovat")</f>
        <v>nincs rovat</v>
      </c>
      <c r="Q2246" t="str">
        <f>IF(H2246&gt;0,VLOOKUP(H2246,PAR!$AA$3:$AC$187,3,FALSE),"nincs főkönyvi számla")</f>
        <v>nincs főkönyvi számla</v>
      </c>
      <c r="R2246" t="str">
        <f>IFERROR(VLOOKUP(K2246,PAR!$V$3:$X$438,3,FALSE),"000000 - Nincs COFOG")</f>
        <v>000000 - Nincs COFOG</v>
      </c>
      <c r="S2246">
        <f t="shared" si="677"/>
        <v>0</v>
      </c>
      <c r="T2246">
        <f t="shared" si="678"/>
        <v>0</v>
      </c>
      <c r="U2246" t="str">
        <f>IF('906MP'!J1946&gt;0,CONCATENATE('906MP'!J1946," - ",'906MP'!P1946,", ",'906MP'!E1946),"nincs megjegyzés")</f>
        <v>nincs megjegyzés</v>
      </c>
      <c r="V2246" t="str">
        <f t="shared" si="665"/>
        <v>0P0</v>
      </c>
      <c r="W2246" t="str">
        <f t="shared" si="666"/>
        <v>0P0</v>
      </c>
      <c r="X2246" t="str">
        <f t="shared" si="667"/>
        <v>P0</v>
      </c>
      <c r="Y2246" t="str">
        <f t="shared" si="668"/>
        <v>00</v>
      </c>
      <c r="Z2246" t="str">
        <f t="shared" si="679"/>
        <v>00</v>
      </c>
      <c r="AA2246" t="str">
        <f t="shared" si="669"/>
        <v>00</v>
      </c>
      <c r="AB2246" t="str">
        <f t="shared" si="670"/>
        <v>00</v>
      </c>
      <c r="AC2246" t="str">
        <f t="shared" si="671"/>
        <v>0P0</v>
      </c>
      <c r="AD2246" t="str">
        <f t="shared" si="672"/>
        <v>P00</v>
      </c>
      <c r="AE2246" t="str">
        <f t="shared" si="673"/>
        <v>0P0</v>
      </c>
      <c r="AF2246" t="str">
        <f t="shared" si="674"/>
        <v>P00</v>
      </c>
      <c r="AG2246" t="str">
        <f t="shared" si="680"/>
        <v>0P00</v>
      </c>
      <c r="AH2246" t="str">
        <f t="shared" si="681"/>
        <v>P000</v>
      </c>
      <c r="AI2246" t="str">
        <f t="shared" si="682"/>
        <v>0P00</v>
      </c>
      <c r="AJ2246" t="str">
        <f t="shared" si="683"/>
        <v>P000</v>
      </c>
    </row>
    <row r="2247" spans="1:36" x14ac:dyDescent="0.25">
      <c r="A2247" s="325" t="str">
        <f>CONCATENATE("P",'906MP'!M1947)</f>
        <v>P</v>
      </c>
      <c r="B2247">
        <f>'906MP'!H1947</f>
        <v>0</v>
      </c>
      <c r="C2247">
        <f>'906MP'!J1947</f>
        <v>0</v>
      </c>
      <c r="D2247">
        <f>'906MP'!P1947</f>
        <v>0</v>
      </c>
      <c r="E2247">
        <f>'906MP'!X1947</f>
        <v>0</v>
      </c>
      <c r="F2247" t="str">
        <f t="shared" si="675"/>
        <v>0</v>
      </c>
      <c r="G2247" t="str">
        <f t="shared" si="676"/>
        <v>0</v>
      </c>
      <c r="H2247">
        <f>'906MP'!Y1947</f>
        <v>0</v>
      </c>
      <c r="I2247">
        <f>'906MP'!AK1947</f>
        <v>0</v>
      </c>
      <c r="J2247">
        <f>'906MP'!T1947</f>
        <v>0</v>
      </c>
      <c r="K2247">
        <f>'906MP'!AJ1947</f>
        <v>0</v>
      </c>
      <c r="L2247">
        <f>'906MP'!U1947</f>
        <v>0</v>
      </c>
      <c r="M2247" s="322" t="str">
        <f>IFERROR(VLOOKUP(A2247,PAR!$D$3:$E$53,2,FALSE),"nincs szervezet")</f>
        <v>nincs szervezet</v>
      </c>
      <c r="N2247" s="322" t="str">
        <f>VLOOKUP(F2247,PAR!$R$3:$S$5,2,FALSE)</f>
        <v>3 - egyik sem</v>
      </c>
      <c r="O2247" t="str">
        <f>IFERROR(VLOOKUP(J2247,PAR!$O$3:$P$5,2,FALSE),"nincs feladat")</f>
        <v>nincs feladat</v>
      </c>
      <c r="P2247" t="str">
        <f>IFERROR(VLOOKUP(G2247,PAR!$J$2:$M$19,4),"nincs rovat")</f>
        <v>nincs rovat</v>
      </c>
      <c r="Q2247" t="str">
        <f>IF(H2247&gt;0,VLOOKUP(H2247,PAR!$AA$3:$AC$187,3,FALSE),"nincs főkönyvi számla")</f>
        <v>nincs főkönyvi számla</v>
      </c>
      <c r="R2247" t="str">
        <f>IFERROR(VLOOKUP(K2247,PAR!$V$3:$X$438,3,FALSE),"000000 - Nincs COFOG")</f>
        <v>000000 - Nincs COFOG</v>
      </c>
      <c r="S2247">
        <f t="shared" si="677"/>
        <v>0</v>
      </c>
      <c r="T2247">
        <f t="shared" si="678"/>
        <v>0</v>
      </c>
      <c r="U2247" t="str">
        <f>IF('906MP'!J1947&gt;0,CONCATENATE('906MP'!J1947," - ",'906MP'!P1947,", ",'906MP'!E1947),"nincs megjegyzés")</f>
        <v>nincs megjegyzés</v>
      </c>
      <c r="V2247" t="str">
        <f t="shared" si="665"/>
        <v>0P0</v>
      </c>
      <c r="W2247" t="str">
        <f t="shared" si="666"/>
        <v>0P0</v>
      </c>
      <c r="X2247" t="str">
        <f t="shared" si="667"/>
        <v>P0</v>
      </c>
      <c r="Y2247" t="str">
        <f t="shared" si="668"/>
        <v>00</v>
      </c>
      <c r="Z2247" t="str">
        <f t="shared" si="679"/>
        <v>00</v>
      </c>
      <c r="AA2247" t="str">
        <f t="shared" si="669"/>
        <v>00</v>
      </c>
      <c r="AB2247" t="str">
        <f t="shared" si="670"/>
        <v>00</v>
      </c>
      <c r="AC2247" t="str">
        <f t="shared" si="671"/>
        <v>0P0</v>
      </c>
      <c r="AD2247" t="str">
        <f t="shared" si="672"/>
        <v>P00</v>
      </c>
      <c r="AE2247" t="str">
        <f t="shared" si="673"/>
        <v>0P0</v>
      </c>
      <c r="AF2247" t="str">
        <f t="shared" si="674"/>
        <v>P00</v>
      </c>
      <c r="AG2247" t="str">
        <f t="shared" si="680"/>
        <v>0P00</v>
      </c>
      <c r="AH2247" t="str">
        <f t="shared" si="681"/>
        <v>P000</v>
      </c>
      <c r="AI2247" t="str">
        <f t="shared" si="682"/>
        <v>0P00</v>
      </c>
      <c r="AJ2247" t="str">
        <f t="shared" si="683"/>
        <v>P000</v>
      </c>
    </row>
    <row r="2248" spans="1:36" x14ac:dyDescent="0.25">
      <c r="A2248" s="325" t="str">
        <f>CONCATENATE("P",'906MP'!M1948)</f>
        <v>P</v>
      </c>
      <c r="B2248">
        <f>'906MP'!H1948</f>
        <v>0</v>
      </c>
      <c r="C2248">
        <f>'906MP'!J1948</f>
        <v>0</v>
      </c>
      <c r="D2248">
        <f>'906MP'!P1948</f>
        <v>0</v>
      </c>
      <c r="E2248">
        <f>'906MP'!X1948</f>
        <v>0</v>
      </c>
      <c r="F2248" t="str">
        <f t="shared" si="675"/>
        <v>0</v>
      </c>
      <c r="G2248" t="str">
        <f t="shared" si="676"/>
        <v>0</v>
      </c>
      <c r="H2248">
        <f>'906MP'!Y1948</f>
        <v>0</v>
      </c>
      <c r="I2248">
        <f>'906MP'!AK1948</f>
        <v>0</v>
      </c>
      <c r="J2248">
        <f>'906MP'!T1948</f>
        <v>0</v>
      </c>
      <c r="K2248">
        <f>'906MP'!AJ1948</f>
        <v>0</v>
      </c>
      <c r="L2248">
        <f>'906MP'!U1948</f>
        <v>0</v>
      </c>
      <c r="M2248" s="322" t="str">
        <f>IFERROR(VLOOKUP(A2248,PAR!$D$3:$E$53,2,FALSE),"nincs szervezet")</f>
        <v>nincs szervezet</v>
      </c>
      <c r="N2248" s="322" t="str">
        <f>VLOOKUP(F2248,PAR!$R$3:$S$5,2,FALSE)</f>
        <v>3 - egyik sem</v>
      </c>
      <c r="O2248" t="str">
        <f>IFERROR(VLOOKUP(J2248,PAR!$O$3:$P$5,2,FALSE),"nincs feladat")</f>
        <v>nincs feladat</v>
      </c>
      <c r="P2248" t="str">
        <f>IFERROR(VLOOKUP(G2248,PAR!$J$2:$M$19,4),"nincs rovat")</f>
        <v>nincs rovat</v>
      </c>
      <c r="Q2248" t="str">
        <f>IF(H2248&gt;0,VLOOKUP(H2248,PAR!$AA$3:$AC$187,3,FALSE),"nincs főkönyvi számla")</f>
        <v>nincs főkönyvi számla</v>
      </c>
      <c r="R2248" t="str">
        <f>IFERROR(VLOOKUP(K2248,PAR!$V$3:$X$438,3,FALSE),"000000 - Nincs COFOG")</f>
        <v>000000 - Nincs COFOG</v>
      </c>
      <c r="S2248">
        <f t="shared" si="677"/>
        <v>0</v>
      </c>
      <c r="T2248">
        <f t="shared" si="678"/>
        <v>0</v>
      </c>
      <c r="U2248" t="str">
        <f>IF('906MP'!J1948&gt;0,CONCATENATE('906MP'!J1948," - ",'906MP'!P1948,", ",'906MP'!E1948),"nincs megjegyzés")</f>
        <v>nincs megjegyzés</v>
      </c>
      <c r="V2248" t="str">
        <f t="shared" si="665"/>
        <v>0P0</v>
      </c>
      <c r="W2248" t="str">
        <f t="shared" si="666"/>
        <v>0P0</v>
      </c>
      <c r="X2248" t="str">
        <f t="shared" si="667"/>
        <v>P0</v>
      </c>
      <c r="Y2248" t="str">
        <f t="shared" si="668"/>
        <v>00</v>
      </c>
      <c r="Z2248" t="str">
        <f t="shared" si="679"/>
        <v>00</v>
      </c>
      <c r="AA2248" t="str">
        <f t="shared" si="669"/>
        <v>00</v>
      </c>
      <c r="AB2248" t="str">
        <f t="shared" si="670"/>
        <v>00</v>
      </c>
      <c r="AC2248" t="str">
        <f t="shared" si="671"/>
        <v>0P0</v>
      </c>
      <c r="AD2248" t="str">
        <f t="shared" si="672"/>
        <v>P00</v>
      </c>
      <c r="AE2248" t="str">
        <f t="shared" si="673"/>
        <v>0P0</v>
      </c>
      <c r="AF2248" t="str">
        <f t="shared" si="674"/>
        <v>P00</v>
      </c>
      <c r="AG2248" t="str">
        <f t="shared" si="680"/>
        <v>0P00</v>
      </c>
      <c r="AH2248" t="str">
        <f t="shared" si="681"/>
        <v>P000</v>
      </c>
      <c r="AI2248" t="str">
        <f t="shared" si="682"/>
        <v>0P00</v>
      </c>
      <c r="AJ2248" t="str">
        <f t="shared" si="683"/>
        <v>P000</v>
      </c>
    </row>
    <row r="2249" spans="1:36" x14ac:dyDescent="0.25">
      <c r="A2249" s="325" t="str">
        <f>CONCATENATE("P",'906MP'!M1949)</f>
        <v>P</v>
      </c>
      <c r="B2249">
        <f>'906MP'!H1949</f>
        <v>0</v>
      </c>
      <c r="C2249">
        <f>'906MP'!J1949</f>
        <v>0</v>
      </c>
      <c r="D2249">
        <f>'906MP'!P1949</f>
        <v>0</v>
      </c>
      <c r="E2249">
        <f>'906MP'!X1949</f>
        <v>0</v>
      </c>
      <c r="F2249" t="str">
        <f t="shared" si="675"/>
        <v>0</v>
      </c>
      <c r="G2249" t="str">
        <f t="shared" si="676"/>
        <v>0</v>
      </c>
      <c r="H2249">
        <f>'906MP'!Y1949</f>
        <v>0</v>
      </c>
      <c r="I2249">
        <f>'906MP'!AK1949</f>
        <v>0</v>
      </c>
      <c r="J2249">
        <f>'906MP'!T1949</f>
        <v>0</v>
      </c>
      <c r="K2249">
        <f>'906MP'!AJ1949</f>
        <v>0</v>
      </c>
      <c r="L2249">
        <f>'906MP'!U1949</f>
        <v>0</v>
      </c>
      <c r="M2249" s="322" t="str">
        <f>IFERROR(VLOOKUP(A2249,PAR!$D$3:$E$53,2,FALSE),"nincs szervezet")</f>
        <v>nincs szervezet</v>
      </c>
      <c r="N2249" s="322" t="str">
        <f>VLOOKUP(F2249,PAR!$R$3:$S$5,2,FALSE)</f>
        <v>3 - egyik sem</v>
      </c>
      <c r="O2249" t="str">
        <f>IFERROR(VLOOKUP(J2249,PAR!$O$3:$P$5,2,FALSE),"nincs feladat")</f>
        <v>nincs feladat</v>
      </c>
      <c r="P2249" t="str">
        <f>IFERROR(VLOOKUP(G2249,PAR!$J$2:$M$19,4),"nincs rovat")</f>
        <v>nincs rovat</v>
      </c>
      <c r="Q2249" t="str">
        <f>IF(H2249&gt;0,VLOOKUP(H2249,PAR!$AA$3:$AC$187,3,FALSE),"nincs főkönyvi számla")</f>
        <v>nincs főkönyvi számla</v>
      </c>
      <c r="R2249" t="str">
        <f>IFERROR(VLOOKUP(K2249,PAR!$V$3:$X$438,3,FALSE),"000000 - Nincs COFOG")</f>
        <v>000000 - Nincs COFOG</v>
      </c>
      <c r="S2249">
        <f t="shared" si="677"/>
        <v>0</v>
      </c>
      <c r="T2249">
        <f t="shared" si="678"/>
        <v>0</v>
      </c>
      <c r="U2249" t="str">
        <f>IF('906MP'!J1949&gt;0,CONCATENATE('906MP'!J1949," - ",'906MP'!P1949,", ",'906MP'!E1949),"nincs megjegyzés")</f>
        <v>nincs megjegyzés</v>
      </c>
      <c r="V2249" t="str">
        <f t="shared" si="665"/>
        <v>0P0</v>
      </c>
      <c r="W2249" t="str">
        <f t="shared" si="666"/>
        <v>0P0</v>
      </c>
      <c r="X2249" t="str">
        <f t="shared" si="667"/>
        <v>P0</v>
      </c>
      <c r="Y2249" t="str">
        <f t="shared" si="668"/>
        <v>00</v>
      </c>
      <c r="Z2249" t="str">
        <f t="shared" si="679"/>
        <v>00</v>
      </c>
      <c r="AA2249" t="str">
        <f t="shared" si="669"/>
        <v>00</v>
      </c>
      <c r="AB2249" t="str">
        <f t="shared" si="670"/>
        <v>00</v>
      </c>
      <c r="AC2249" t="str">
        <f t="shared" si="671"/>
        <v>0P0</v>
      </c>
      <c r="AD2249" t="str">
        <f t="shared" si="672"/>
        <v>P00</v>
      </c>
      <c r="AE2249" t="str">
        <f t="shared" si="673"/>
        <v>0P0</v>
      </c>
      <c r="AF2249" t="str">
        <f t="shared" si="674"/>
        <v>P00</v>
      </c>
      <c r="AG2249" t="str">
        <f t="shared" si="680"/>
        <v>0P00</v>
      </c>
      <c r="AH2249" t="str">
        <f t="shared" si="681"/>
        <v>P000</v>
      </c>
      <c r="AI2249" t="str">
        <f t="shared" si="682"/>
        <v>0P00</v>
      </c>
      <c r="AJ2249" t="str">
        <f t="shared" si="683"/>
        <v>P000</v>
      </c>
    </row>
    <row r="2250" spans="1:36" x14ac:dyDescent="0.25">
      <c r="A2250" s="325" t="str">
        <f>CONCATENATE("P",'906MP'!M1950)</f>
        <v>P</v>
      </c>
      <c r="B2250">
        <f>'906MP'!H1950</f>
        <v>0</v>
      </c>
      <c r="C2250">
        <f>'906MP'!J1950</f>
        <v>0</v>
      </c>
      <c r="D2250">
        <f>'906MP'!P1950</f>
        <v>0</v>
      </c>
      <c r="E2250">
        <f>'906MP'!X1950</f>
        <v>0</v>
      </c>
      <c r="F2250" t="str">
        <f t="shared" si="675"/>
        <v>0</v>
      </c>
      <c r="G2250" t="str">
        <f t="shared" si="676"/>
        <v>0</v>
      </c>
      <c r="H2250">
        <f>'906MP'!Y1950</f>
        <v>0</v>
      </c>
      <c r="I2250">
        <f>'906MP'!AK1950</f>
        <v>0</v>
      </c>
      <c r="J2250">
        <f>'906MP'!T1950</f>
        <v>0</v>
      </c>
      <c r="K2250">
        <f>'906MP'!AJ1950</f>
        <v>0</v>
      </c>
      <c r="L2250">
        <f>'906MP'!U1950</f>
        <v>0</v>
      </c>
      <c r="M2250" s="322" t="str">
        <f>IFERROR(VLOOKUP(A2250,PAR!$D$3:$E$53,2,FALSE),"nincs szervezet")</f>
        <v>nincs szervezet</v>
      </c>
      <c r="N2250" s="322" t="str">
        <f>VLOOKUP(F2250,PAR!$R$3:$S$5,2,FALSE)</f>
        <v>3 - egyik sem</v>
      </c>
      <c r="O2250" t="str">
        <f>IFERROR(VLOOKUP(J2250,PAR!$O$3:$P$5,2,FALSE),"nincs feladat")</f>
        <v>nincs feladat</v>
      </c>
      <c r="P2250" t="str">
        <f>IFERROR(VLOOKUP(G2250,PAR!$J$2:$M$19,4),"nincs rovat")</f>
        <v>nincs rovat</v>
      </c>
      <c r="Q2250" t="str">
        <f>IF(H2250&gt;0,VLOOKUP(H2250,PAR!$AA$3:$AC$187,3,FALSE),"nincs főkönyvi számla")</f>
        <v>nincs főkönyvi számla</v>
      </c>
      <c r="R2250" t="str">
        <f>IFERROR(VLOOKUP(K2250,PAR!$V$3:$X$438,3,FALSE),"000000 - Nincs COFOG")</f>
        <v>000000 - Nincs COFOG</v>
      </c>
      <c r="S2250">
        <f t="shared" si="677"/>
        <v>0</v>
      </c>
      <c r="T2250">
        <f t="shared" si="678"/>
        <v>0</v>
      </c>
      <c r="U2250" t="str">
        <f>IF('906MP'!J1950&gt;0,CONCATENATE('906MP'!J1950," - ",'906MP'!P1950,", ",'906MP'!E1950),"nincs megjegyzés")</f>
        <v>nincs megjegyzés</v>
      </c>
      <c r="V2250" t="str">
        <f t="shared" si="665"/>
        <v>0P0</v>
      </c>
      <c r="W2250" t="str">
        <f t="shared" si="666"/>
        <v>0P0</v>
      </c>
      <c r="X2250" t="str">
        <f t="shared" si="667"/>
        <v>P0</v>
      </c>
      <c r="Y2250" t="str">
        <f t="shared" si="668"/>
        <v>00</v>
      </c>
      <c r="Z2250" t="str">
        <f t="shared" si="679"/>
        <v>00</v>
      </c>
      <c r="AA2250" t="str">
        <f t="shared" si="669"/>
        <v>00</v>
      </c>
      <c r="AB2250" t="str">
        <f t="shared" si="670"/>
        <v>00</v>
      </c>
      <c r="AC2250" t="str">
        <f t="shared" si="671"/>
        <v>0P0</v>
      </c>
      <c r="AD2250" t="str">
        <f t="shared" si="672"/>
        <v>P00</v>
      </c>
      <c r="AE2250" t="str">
        <f t="shared" si="673"/>
        <v>0P0</v>
      </c>
      <c r="AF2250" t="str">
        <f t="shared" si="674"/>
        <v>P00</v>
      </c>
      <c r="AG2250" t="str">
        <f t="shared" si="680"/>
        <v>0P00</v>
      </c>
      <c r="AH2250" t="str">
        <f t="shared" si="681"/>
        <v>P000</v>
      </c>
      <c r="AI2250" t="str">
        <f t="shared" si="682"/>
        <v>0P00</v>
      </c>
      <c r="AJ2250" t="str">
        <f t="shared" si="683"/>
        <v>P000</v>
      </c>
    </row>
    <row r="2251" spans="1:36" x14ac:dyDescent="0.25">
      <c r="A2251" s="325" t="str">
        <f>CONCATENATE("P",'906MP'!M1951)</f>
        <v>P</v>
      </c>
      <c r="B2251">
        <f>'906MP'!H1951</f>
        <v>0</v>
      </c>
      <c r="C2251">
        <f>'906MP'!J1951</f>
        <v>0</v>
      </c>
      <c r="D2251">
        <f>'906MP'!P1951</f>
        <v>0</v>
      </c>
      <c r="E2251">
        <f>'906MP'!X1951</f>
        <v>0</v>
      </c>
      <c r="F2251" t="str">
        <f t="shared" si="675"/>
        <v>0</v>
      </c>
      <c r="G2251" t="str">
        <f t="shared" si="676"/>
        <v>0</v>
      </c>
      <c r="H2251">
        <f>'906MP'!Y1951</f>
        <v>0</v>
      </c>
      <c r="I2251">
        <f>'906MP'!AK1951</f>
        <v>0</v>
      </c>
      <c r="J2251">
        <f>'906MP'!T1951</f>
        <v>0</v>
      </c>
      <c r="K2251">
        <f>'906MP'!AJ1951</f>
        <v>0</v>
      </c>
      <c r="L2251">
        <f>'906MP'!U1951</f>
        <v>0</v>
      </c>
      <c r="M2251" s="322" t="str">
        <f>IFERROR(VLOOKUP(A2251,PAR!$D$3:$E$53,2,FALSE),"nincs szervezet")</f>
        <v>nincs szervezet</v>
      </c>
      <c r="N2251" s="322" t="str">
        <f>VLOOKUP(F2251,PAR!$R$3:$S$5,2,FALSE)</f>
        <v>3 - egyik sem</v>
      </c>
      <c r="O2251" t="str">
        <f>IFERROR(VLOOKUP(J2251,PAR!$O$3:$P$5,2,FALSE),"nincs feladat")</f>
        <v>nincs feladat</v>
      </c>
      <c r="P2251" t="str">
        <f>IFERROR(VLOOKUP(G2251,PAR!$J$2:$M$19,4),"nincs rovat")</f>
        <v>nincs rovat</v>
      </c>
      <c r="Q2251" t="str">
        <f>IF(H2251&gt;0,VLOOKUP(H2251,PAR!$AA$3:$AC$187,3,FALSE),"nincs főkönyvi számla")</f>
        <v>nincs főkönyvi számla</v>
      </c>
      <c r="R2251" t="str">
        <f>IFERROR(VLOOKUP(K2251,PAR!$V$3:$X$438,3,FALSE),"000000 - Nincs COFOG")</f>
        <v>000000 - Nincs COFOG</v>
      </c>
      <c r="S2251">
        <f t="shared" si="677"/>
        <v>0</v>
      </c>
      <c r="T2251">
        <f t="shared" si="678"/>
        <v>0</v>
      </c>
      <c r="U2251" t="str">
        <f>IF('906MP'!J1951&gt;0,CONCATENATE('906MP'!J1951," - ",'906MP'!P1951,", ",'906MP'!E1951),"nincs megjegyzés")</f>
        <v>nincs megjegyzés</v>
      </c>
      <c r="V2251" t="str">
        <f t="shared" si="665"/>
        <v>0P0</v>
      </c>
      <c r="W2251" t="str">
        <f t="shared" si="666"/>
        <v>0P0</v>
      </c>
      <c r="X2251" t="str">
        <f t="shared" si="667"/>
        <v>P0</v>
      </c>
      <c r="Y2251" t="str">
        <f t="shared" si="668"/>
        <v>00</v>
      </c>
      <c r="Z2251" t="str">
        <f t="shared" si="679"/>
        <v>00</v>
      </c>
      <c r="AA2251" t="str">
        <f t="shared" si="669"/>
        <v>00</v>
      </c>
      <c r="AB2251" t="str">
        <f t="shared" si="670"/>
        <v>00</v>
      </c>
      <c r="AC2251" t="str">
        <f t="shared" si="671"/>
        <v>0P0</v>
      </c>
      <c r="AD2251" t="str">
        <f t="shared" si="672"/>
        <v>P00</v>
      </c>
      <c r="AE2251" t="str">
        <f t="shared" si="673"/>
        <v>0P0</v>
      </c>
      <c r="AF2251" t="str">
        <f t="shared" si="674"/>
        <v>P00</v>
      </c>
      <c r="AG2251" t="str">
        <f t="shared" si="680"/>
        <v>0P00</v>
      </c>
      <c r="AH2251" t="str">
        <f t="shared" si="681"/>
        <v>P000</v>
      </c>
      <c r="AI2251" t="str">
        <f t="shared" si="682"/>
        <v>0P00</v>
      </c>
      <c r="AJ2251" t="str">
        <f t="shared" si="683"/>
        <v>P000</v>
      </c>
    </row>
    <row r="2252" spans="1:36" x14ac:dyDescent="0.25">
      <c r="A2252" s="325" t="str">
        <f>CONCATENATE("P",'906MP'!M1952)</f>
        <v>P</v>
      </c>
      <c r="B2252">
        <f>'906MP'!H1952</f>
        <v>0</v>
      </c>
      <c r="C2252">
        <f>'906MP'!J1952</f>
        <v>0</v>
      </c>
      <c r="D2252">
        <f>'906MP'!P1952</f>
        <v>0</v>
      </c>
      <c r="E2252">
        <f>'906MP'!X1952</f>
        <v>0</v>
      </c>
      <c r="F2252" t="str">
        <f t="shared" si="675"/>
        <v>0</v>
      </c>
      <c r="G2252" t="str">
        <f t="shared" si="676"/>
        <v>0</v>
      </c>
      <c r="H2252">
        <f>'906MP'!Y1952</f>
        <v>0</v>
      </c>
      <c r="I2252">
        <f>'906MP'!AK1952</f>
        <v>0</v>
      </c>
      <c r="J2252">
        <f>'906MP'!T1952</f>
        <v>0</v>
      </c>
      <c r="K2252">
        <f>'906MP'!AJ1952</f>
        <v>0</v>
      </c>
      <c r="L2252">
        <f>'906MP'!U1952</f>
        <v>0</v>
      </c>
      <c r="M2252" s="322" t="str">
        <f>IFERROR(VLOOKUP(A2252,PAR!$D$3:$E$53,2,FALSE),"nincs szervezet")</f>
        <v>nincs szervezet</v>
      </c>
      <c r="N2252" s="322" t="str">
        <f>VLOOKUP(F2252,PAR!$R$3:$S$5,2,FALSE)</f>
        <v>3 - egyik sem</v>
      </c>
      <c r="O2252" t="str">
        <f>IFERROR(VLOOKUP(J2252,PAR!$O$3:$P$5,2,FALSE),"nincs feladat")</f>
        <v>nincs feladat</v>
      </c>
      <c r="P2252" t="str">
        <f>IFERROR(VLOOKUP(G2252,PAR!$J$2:$M$19,4),"nincs rovat")</f>
        <v>nincs rovat</v>
      </c>
      <c r="Q2252" t="str">
        <f>IF(H2252&gt;0,VLOOKUP(H2252,PAR!$AA$3:$AC$187,3,FALSE),"nincs főkönyvi számla")</f>
        <v>nincs főkönyvi számla</v>
      </c>
      <c r="R2252" t="str">
        <f>IFERROR(VLOOKUP(K2252,PAR!$V$3:$X$438,3,FALSE),"000000 - Nincs COFOG")</f>
        <v>000000 - Nincs COFOG</v>
      </c>
      <c r="S2252">
        <f t="shared" si="677"/>
        <v>0</v>
      </c>
      <c r="T2252">
        <f t="shared" si="678"/>
        <v>0</v>
      </c>
      <c r="U2252" t="str">
        <f>IF('906MP'!J1952&gt;0,CONCATENATE('906MP'!J1952," - ",'906MP'!P1952,", ",'906MP'!E1952),"nincs megjegyzés")</f>
        <v>nincs megjegyzés</v>
      </c>
      <c r="V2252" t="str">
        <f t="shared" si="665"/>
        <v>0P0</v>
      </c>
      <c r="W2252" t="str">
        <f t="shared" si="666"/>
        <v>0P0</v>
      </c>
      <c r="X2252" t="str">
        <f t="shared" si="667"/>
        <v>P0</v>
      </c>
      <c r="Y2252" t="str">
        <f t="shared" si="668"/>
        <v>00</v>
      </c>
      <c r="Z2252" t="str">
        <f t="shared" si="679"/>
        <v>00</v>
      </c>
      <c r="AA2252" t="str">
        <f t="shared" si="669"/>
        <v>00</v>
      </c>
      <c r="AB2252" t="str">
        <f t="shared" si="670"/>
        <v>00</v>
      </c>
      <c r="AC2252" t="str">
        <f t="shared" si="671"/>
        <v>0P0</v>
      </c>
      <c r="AD2252" t="str">
        <f t="shared" si="672"/>
        <v>P00</v>
      </c>
      <c r="AE2252" t="str">
        <f t="shared" si="673"/>
        <v>0P0</v>
      </c>
      <c r="AF2252" t="str">
        <f t="shared" si="674"/>
        <v>P00</v>
      </c>
      <c r="AG2252" t="str">
        <f t="shared" si="680"/>
        <v>0P00</v>
      </c>
      <c r="AH2252" t="str">
        <f t="shared" si="681"/>
        <v>P000</v>
      </c>
      <c r="AI2252" t="str">
        <f t="shared" si="682"/>
        <v>0P00</v>
      </c>
      <c r="AJ2252" t="str">
        <f t="shared" si="683"/>
        <v>P000</v>
      </c>
    </row>
    <row r="2253" spans="1:36" x14ac:dyDescent="0.25">
      <c r="A2253" s="325" t="str">
        <f>CONCATENATE("P",'906MP'!M1953)</f>
        <v>P</v>
      </c>
      <c r="B2253">
        <f>'906MP'!H1953</f>
        <v>0</v>
      </c>
      <c r="C2253">
        <f>'906MP'!J1953</f>
        <v>0</v>
      </c>
      <c r="D2253">
        <f>'906MP'!P1953</f>
        <v>0</v>
      </c>
      <c r="E2253">
        <f>'906MP'!X1953</f>
        <v>0</v>
      </c>
      <c r="F2253" t="str">
        <f t="shared" si="675"/>
        <v>0</v>
      </c>
      <c r="G2253" t="str">
        <f t="shared" si="676"/>
        <v>0</v>
      </c>
      <c r="H2253">
        <f>'906MP'!Y1953</f>
        <v>0</v>
      </c>
      <c r="I2253">
        <f>'906MP'!AK1953</f>
        <v>0</v>
      </c>
      <c r="J2253">
        <f>'906MP'!T1953</f>
        <v>0</v>
      </c>
      <c r="K2253">
        <f>'906MP'!AJ1953</f>
        <v>0</v>
      </c>
      <c r="L2253">
        <f>'906MP'!U1953</f>
        <v>0</v>
      </c>
      <c r="M2253" s="322" t="str">
        <f>IFERROR(VLOOKUP(A2253,PAR!$D$3:$E$53,2,FALSE),"nincs szervezet")</f>
        <v>nincs szervezet</v>
      </c>
      <c r="N2253" s="322" t="str">
        <f>VLOOKUP(F2253,PAR!$R$3:$S$5,2,FALSE)</f>
        <v>3 - egyik sem</v>
      </c>
      <c r="O2253" t="str">
        <f>IFERROR(VLOOKUP(J2253,PAR!$O$3:$P$5,2,FALSE),"nincs feladat")</f>
        <v>nincs feladat</v>
      </c>
      <c r="P2253" t="str">
        <f>IFERROR(VLOOKUP(G2253,PAR!$J$2:$M$19,4),"nincs rovat")</f>
        <v>nincs rovat</v>
      </c>
      <c r="Q2253" t="str">
        <f>IF(H2253&gt;0,VLOOKUP(H2253,PAR!$AA$3:$AC$187,3,FALSE),"nincs főkönyvi számla")</f>
        <v>nincs főkönyvi számla</v>
      </c>
      <c r="R2253" t="str">
        <f>IFERROR(VLOOKUP(K2253,PAR!$V$3:$X$438,3,FALSE),"000000 - Nincs COFOG")</f>
        <v>000000 - Nincs COFOG</v>
      </c>
      <c r="S2253">
        <f t="shared" si="677"/>
        <v>0</v>
      </c>
      <c r="T2253">
        <f t="shared" si="678"/>
        <v>0</v>
      </c>
      <c r="U2253" t="str">
        <f>IF('906MP'!J1953&gt;0,CONCATENATE('906MP'!J1953," - ",'906MP'!P1953,", ",'906MP'!E1953),"nincs megjegyzés")</f>
        <v>nincs megjegyzés</v>
      </c>
      <c r="V2253" t="str">
        <f t="shared" si="665"/>
        <v>0P0</v>
      </c>
      <c r="W2253" t="str">
        <f t="shared" si="666"/>
        <v>0P0</v>
      </c>
      <c r="X2253" t="str">
        <f t="shared" si="667"/>
        <v>P0</v>
      </c>
      <c r="Y2253" t="str">
        <f t="shared" si="668"/>
        <v>00</v>
      </c>
      <c r="Z2253" t="str">
        <f t="shared" si="679"/>
        <v>00</v>
      </c>
      <c r="AA2253" t="str">
        <f t="shared" si="669"/>
        <v>00</v>
      </c>
      <c r="AB2253" t="str">
        <f t="shared" si="670"/>
        <v>00</v>
      </c>
      <c r="AC2253" t="str">
        <f t="shared" si="671"/>
        <v>0P0</v>
      </c>
      <c r="AD2253" t="str">
        <f t="shared" si="672"/>
        <v>P00</v>
      </c>
      <c r="AE2253" t="str">
        <f t="shared" si="673"/>
        <v>0P0</v>
      </c>
      <c r="AF2253" t="str">
        <f t="shared" si="674"/>
        <v>P00</v>
      </c>
      <c r="AG2253" t="str">
        <f t="shared" si="680"/>
        <v>0P00</v>
      </c>
      <c r="AH2253" t="str">
        <f t="shared" si="681"/>
        <v>P000</v>
      </c>
      <c r="AI2253" t="str">
        <f t="shared" si="682"/>
        <v>0P00</v>
      </c>
      <c r="AJ2253" t="str">
        <f t="shared" si="683"/>
        <v>P000</v>
      </c>
    </row>
    <row r="2254" spans="1:36" x14ac:dyDescent="0.25">
      <c r="A2254" s="325" t="str">
        <f>CONCATENATE("P",'906MP'!M1954)</f>
        <v>P</v>
      </c>
      <c r="B2254">
        <f>'906MP'!H1954</f>
        <v>0</v>
      </c>
      <c r="C2254">
        <f>'906MP'!J1954</f>
        <v>0</v>
      </c>
      <c r="D2254">
        <f>'906MP'!P1954</f>
        <v>0</v>
      </c>
      <c r="E2254">
        <f>'906MP'!X1954</f>
        <v>0</v>
      </c>
      <c r="F2254" t="str">
        <f t="shared" si="675"/>
        <v>0</v>
      </c>
      <c r="G2254" t="str">
        <f t="shared" si="676"/>
        <v>0</v>
      </c>
      <c r="H2254">
        <f>'906MP'!Y1954</f>
        <v>0</v>
      </c>
      <c r="I2254">
        <f>'906MP'!AK1954</f>
        <v>0</v>
      </c>
      <c r="J2254">
        <f>'906MP'!T1954</f>
        <v>0</v>
      </c>
      <c r="K2254">
        <f>'906MP'!AJ1954</f>
        <v>0</v>
      </c>
      <c r="L2254">
        <f>'906MP'!U1954</f>
        <v>0</v>
      </c>
      <c r="M2254" s="322" t="str">
        <f>IFERROR(VLOOKUP(A2254,PAR!$D$3:$E$53,2,FALSE),"nincs szervezet")</f>
        <v>nincs szervezet</v>
      </c>
      <c r="N2254" s="322" t="str">
        <f>VLOOKUP(F2254,PAR!$R$3:$S$5,2,FALSE)</f>
        <v>3 - egyik sem</v>
      </c>
      <c r="O2254" t="str">
        <f>IFERROR(VLOOKUP(J2254,PAR!$O$3:$P$5,2,FALSE),"nincs feladat")</f>
        <v>nincs feladat</v>
      </c>
      <c r="P2254" t="str">
        <f>IFERROR(VLOOKUP(G2254,PAR!$J$2:$M$19,4),"nincs rovat")</f>
        <v>nincs rovat</v>
      </c>
      <c r="Q2254" t="str">
        <f>IF(H2254&gt;0,VLOOKUP(H2254,PAR!$AA$3:$AC$187,3,FALSE),"nincs főkönyvi számla")</f>
        <v>nincs főkönyvi számla</v>
      </c>
      <c r="R2254" t="str">
        <f>IFERROR(VLOOKUP(K2254,PAR!$V$3:$X$438,3,FALSE),"000000 - Nincs COFOG")</f>
        <v>000000 - Nincs COFOG</v>
      </c>
      <c r="S2254">
        <f t="shared" si="677"/>
        <v>0</v>
      </c>
      <c r="T2254">
        <f t="shared" si="678"/>
        <v>0</v>
      </c>
      <c r="U2254" t="str">
        <f>IF('906MP'!J1954&gt;0,CONCATENATE('906MP'!J1954," - ",'906MP'!P1954,", ",'906MP'!E1954),"nincs megjegyzés")</f>
        <v>nincs megjegyzés</v>
      </c>
      <c r="V2254" t="str">
        <f t="shared" si="665"/>
        <v>0P0</v>
      </c>
      <c r="W2254" t="str">
        <f t="shared" si="666"/>
        <v>0P0</v>
      </c>
      <c r="X2254" t="str">
        <f t="shared" si="667"/>
        <v>P0</v>
      </c>
      <c r="Y2254" t="str">
        <f t="shared" si="668"/>
        <v>00</v>
      </c>
      <c r="Z2254" t="str">
        <f t="shared" si="679"/>
        <v>00</v>
      </c>
      <c r="AA2254" t="str">
        <f t="shared" si="669"/>
        <v>00</v>
      </c>
      <c r="AB2254" t="str">
        <f t="shared" si="670"/>
        <v>00</v>
      </c>
      <c r="AC2254" t="str">
        <f t="shared" si="671"/>
        <v>0P0</v>
      </c>
      <c r="AD2254" t="str">
        <f t="shared" si="672"/>
        <v>P00</v>
      </c>
      <c r="AE2254" t="str">
        <f t="shared" si="673"/>
        <v>0P0</v>
      </c>
      <c r="AF2254" t="str">
        <f t="shared" si="674"/>
        <v>P00</v>
      </c>
      <c r="AG2254" t="str">
        <f t="shared" si="680"/>
        <v>0P00</v>
      </c>
      <c r="AH2254" t="str">
        <f t="shared" si="681"/>
        <v>P000</v>
      </c>
      <c r="AI2254" t="str">
        <f t="shared" si="682"/>
        <v>0P00</v>
      </c>
      <c r="AJ2254" t="str">
        <f t="shared" si="683"/>
        <v>P000</v>
      </c>
    </row>
    <row r="2255" spans="1:36" x14ac:dyDescent="0.25">
      <c r="A2255" s="325" t="str">
        <f>CONCATENATE("P",'906MP'!M1955)</f>
        <v>P</v>
      </c>
      <c r="B2255">
        <f>'906MP'!H1955</f>
        <v>0</v>
      </c>
      <c r="C2255">
        <f>'906MP'!J1955</f>
        <v>0</v>
      </c>
      <c r="D2255">
        <f>'906MP'!P1955</f>
        <v>0</v>
      </c>
      <c r="E2255">
        <f>'906MP'!X1955</f>
        <v>0</v>
      </c>
      <c r="F2255" t="str">
        <f t="shared" si="675"/>
        <v>0</v>
      </c>
      <c r="G2255" t="str">
        <f t="shared" si="676"/>
        <v>0</v>
      </c>
      <c r="H2255">
        <f>'906MP'!Y1955</f>
        <v>0</v>
      </c>
      <c r="I2255">
        <f>'906MP'!AK1955</f>
        <v>0</v>
      </c>
      <c r="J2255">
        <f>'906MP'!T1955</f>
        <v>0</v>
      </c>
      <c r="K2255">
        <f>'906MP'!AJ1955</f>
        <v>0</v>
      </c>
      <c r="L2255">
        <f>'906MP'!U1955</f>
        <v>0</v>
      </c>
      <c r="M2255" s="322" t="str">
        <f>IFERROR(VLOOKUP(A2255,PAR!$D$3:$E$53,2,FALSE),"nincs szervezet")</f>
        <v>nincs szervezet</v>
      </c>
      <c r="N2255" s="322" t="str">
        <f>VLOOKUP(F2255,PAR!$R$3:$S$5,2,FALSE)</f>
        <v>3 - egyik sem</v>
      </c>
      <c r="O2255" t="str">
        <f>IFERROR(VLOOKUP(J2255,PAR!$O$3:$P$5,2,FALSE),"nincs feladat")</f>
        <v>nincs feladat</v>
      </c>
      <c r="P2255" t="str">
        <f>IFERROR(VLOOKUP(G2255,PAR!$J$2:$M$19,4),"nincs rovat")</f>
        <v>nincs rovat</v>
      </c>
      <c r="Q2255" t="str">
        <f>IF(H2255&gt;0,VLOOKUP(H2255,PAR!$AA$3:$AC$187,3,FALSE),"nincs főkönyvi számla")</f>
        <v>nincs főkönyvi számla</v>
      </c>
      <c r="R2255" t="str">
        <f>IFERROR(VLOOKUP(K2255,PAR!$V$3:$X$438,3,FALSE),"000000 - Nincs COFOG")</f>
        <v>000000 - Nincs COFOG</v>
      </c>
      <c r="S2255">
        <f t="shared" si="677"/>
        <v>0</v>
      </c>
      <c r="T2255">
        <f t="shared" si="678"/>
        <v>0</v>
      </c>
      <c r="U2255" t="str">
        <f>IF('906MP'!J1955&gt;0,CONCATENATE('906MP'!J1955," - ",'906MP'!P1955,", ",'906MP'!E1955),"nincs megjegyzés")</f>
        <v>nincs megjegyzés</v>
      </c>
      <c r="V2255" t="str">
        <f t="shared" si="665"/>
        <v>0P0</v>
      </c>
      <c r="W2255" t="str">
        <f t="shared" si="666"/>
        <v>0P0</v>
      </c>
      <c r="X2255" t="str">
        <f t="shared" si="667"/>
        <v>P0</v>
      </c>
      <c r="Y2255" t="str">
        <f t="shared" si="668"/>
        <v>00</v>
      </c>
      <c r="Z2255" t="str">
        <f t="shared" si="679"/>
        <v>00</v>
      </c>
      <c r="AA2255" t="str">
        <f t="shared" si="669"/>
        <v>00</v>
      </c>
      <c r="AB2255" t="str">
        <f t="shared" si="670"/>
        <v>00</v>
      </c>
      <c r="AC2255" t="str">
        <f t="shared" si="671"/>
        <v>0P0</v>
      </c>
      <c r="AD2255" t="str">
        <f t="shared" si="672"/>
        <v>P00</v>
      </c>
      <c r="AE2255" t="str">
        <f t="shared" si="673"/>
        <v>0P0</v>
      </c>
      <c r="AF2255" t="str">
        <f t="shared" si="674"/>
        <v>P00</v>
      </c>
      <c r="AG2255" t="str">
        <f t="shared" si="680"/>
        <v>0P00</v>
      </c>
      <c r="AH2255" t="str">
        <f t="shared" si="681"/>
        <v>P000</v>
      </c>
      <c r="AI2255" t="str">
        <f t="shared" si="682"/>
        <v>0P00</v>
      </c>
      <c r="AJ2255" t="str">
        <f t="shared" si="683"/>
        <v>P000</v>
      </c>
    </row>
    <row r="2256" spans="1:36" x14ac:dyDescent="0.25">
      <c r="A2256" s="325" t="str">
        <f>CONCATENATE("P",'906MP'!M1956)</f>
        <v>P</v>
      </c>
      <c r="B2256">
        <f>'906MP'!H1956</f>
        <v>0</v>
      </c>
      <c r="C2256">
        <f>'906MP'!J1956</f>
        <v>0</v>
      </c>
      <c r="D2256">
        <f>'906MP'!P1956</f>
        <v>0</v>
      </c>
      <c r="E2256">
        <f>'906MP'!X1956</f>
        <v>0</v>
      </c>
      <c r="F2256" t="str">
        <f t="shared" si="675"/>
        <v>0</v>
      </c>
      <c r="G2256" t="str">
        <f t="shared" si="676"/>
        <v>0</v>
      </c>
      <c r="H2256">
        <f>'906MP'!Y1956</f>
        <v>0</v>
      </c>
      <c r="I2256">
        <f>'906MP'!AK1956</f>
        <v>0</v>
      </c>
      <c r="J2256">
        <f>'906MP'!T1956</f>
        <v>0</v>
      </c>
      <c r="K2256">
        <f>'906MP'!AJ1956</f>
        <v>0</v>
      </c>
      <c r="L2256">
        <f>'906MP'!U1956</f>
        <v>0</v>
      </c>
      <c r="M2256" s="322" t="str">
        <f>IFERROR(VLOOKUP(A2256,PAR!$D$3:$E$53,2,FALSE),"nincs szervezet")</f>
        <v>nincs szervezet</v>
      </c>
      <c r="N2256" s="322" t="str">
        <f>VLOOKUP(F2256,PAR!$R$3:$S$5,2,FALSE)</f>
        <v>3 - egyik sem</v>
      </c>
      <c r="O2256" t="str">
        <f>IFERROR(VLOOKUP(J2256,PAR!$O$3:$P$5,2,FALSE),"nincs feladat")</f>
        <v>nincs feladat</v>
      </c>
      <c r="P2256" t="str">
        <f>IFERROR(VLOOKUP(G2256,PAR!$J$2:$M$19,4),"nincs rovat")</f>
        <v>nincs rovat</v>
      </c>
      <c r="Q2256" t="str">
        <f>IF(H2256&gt;0,VLOOKUP(H2256,PAR!$AA$3:$AC$187,3,FALSE),"nincs főkönyvi számla")</f>
        <v>nincs főkönyvi számla</v>
      </c>
      <c r="R2256" t="str">
        <f>IFERROR(VLOOKUP(K2256,PAR!$V$3:$X$438,3,FALSE),"000000 - Nincs COFOG")</f>
        <v>000000 - Nincs COFOG</v>
      </c>
      <c r="S2256">
        <f t="shared" si="677"/>
        <v>0</v>
      </c>
      <c r="T2256">
        <f t="shared" si="678"/>
        <v>0</v>
      </c>
      <c r="U2256" t="str">
        <f>IF('906MP'!J1956&gt;0,CONCATENATE('906MP'!J1956," - ",'906MP'!P1956,", ",'906MP'!E1956),"nincs megjegyzés")</f>
        <v>nincs megjegyzés</v>
      </c>
      <c r="V2256" t="str">
        <f t="shared" si="665"/>
        <v>0P0</v>
      </c>
      <c r="W2256" t="str">
        <f t="shared" si="666"/>
        <v>0P0</v>
      </c>
      <c r="X2256" t="str">
        <f t="shared" si="667"/>
        <v>P0</v>
      </c>
      <c r="Y2256" t="str">
        <f t="shared" si="668"/>
        <v>00</v>
      </c>
      <c r="Z2256" t="str">
        <f t="shared" si="679"/>
        <v>00</v>
      </c>
      <c r="AA2256" t="str">
        <f t="shared" si="669"/>
        <v>00</v>
      </c>
      <c r="AB2256" t="str">
        <f t="shared" si="670"/>
        <v>00</v>
      </c>
      <c r="AC2256" t="str">
        <f t="shared" si="671"/>
        <v>0P0</v>
      </c>
      <c r="AD2256" t="str">
        <f t="shared" si="672"/>
        <v>P00</v>
      </c>
      <c r="AE2256" t="str">
        <f t="shared" si="673"/>
        <v>0P0</v>
      </c>
      <c r="AF2256" t="str">
        <f t="shared" si="674"/>
        <v>P00</v>
      </c>
      <c r="AG2256" t="str">
        <f t="shared" si="680"/>
        <v>0P00</v>
      </c>
      <c r="AH2256" t="str">
        <f t="shared" si="681"/>
        <v>P000</v>
      </c>
      <c r="AI2256" t="str">
        <f t="shared" si="682"/>
        <v>0P00</v>
      </c>
      <c r="AJ2256" t="str">
        <f t="shared" si="683"/>
        <v>P000</v>
      </c>
    </row>
    <row r="2257" spans="1:36" x14ac:dyDescent="0.25">
      <c r="A2257" s="325" t="str">
        <f>CONCATENATE("P",'906MP'!M1957)</f>
        <v>P</v>
      </c>
      <c r="B2257">
        <f>'906MP'!H1957</f>
        <v>0</v>
      </c>
      <c r="C2257">
        <f>'906MP'!J1957</f>
        <v>0</v>
      </c>
      <c r="D2257">
        <f>'906MP'!P1957</f>
        <v>0</v>
      </c>
      <c r="E2257">
        <f>'906MP'!X1957</f>
        <v>0</v>
      </c>
      <c r="F2257" t="str">
        <f t="shared" si="675"/>
        <v>0</v>
      </c>
      <c r="G2257" t="str">
        <f t="shared" si="676"/>
        <v>0</v>
      </c>
      <c r="H2257">
        <f>'906MP'!Y1957</f>
        <v>0</v>
      </c>
      <c r="I2257">
        <f>'906MP'!AK1957</f>
        <v>0</v>
      </c>
      <c r="J2257">
        <f>'906MP'!T1957</f>
        <v>0</v>
      </c>
      <c r="K2257">
        <f>'906MP'!AJ1957</f>
        <v>0</v>
      </c>
      <c r="L2257">
        <f>'906MP'!U1957</f>
        <v>0</v>
      </c>
      <c r="M2257" s="322" t="str">
        <f>IFERROR(VLOOKUP(A2257,PAR!$D$3:$E$53,2,FALSE),"nincs szervezet")</f>
        <v>nincs szervezet</v>
      </c>
      <c r="N2257" s="322" t="str">
        <f>VLOOKUP(F2257,PAR!$R$3:$S$5,2,FALSE)</f>
        <v>3 - egyik sem</v>
      </c>
      <c r="O2257" t="str">
        <f>IFERROR(VLOOKUP(J2257,PAR!$O$3:$P$5,2,FALSE),"nincs feladat")</f>
        <v>nincs feladat</v>
      </c>
      <c r="P2257" t="str">
        <f>IFERROR(VLOOKUP(G2257,PAR!$J$2:$M$19,4),"nincs rovat")</f>
        <v>nincs rovat</v>
      </c>
      <c r="Q2257" t="str">
        <f>IF(H2257&gt;0,VLOOKUP(H2257,PAR!$AA$3:$AC$187,3,FALSE),"nincs főkönyvi számla")</f>
        <v>nincs főkönyvi számla</v>
      </c>
      <c r="R2257" t="str">
        <f>IFERROR(VLOOKUP(K2257,PAR!$V$3:$X$438,3,FALSE),"000000 - Nincs COFOG")</f>
        <v>000000 - Nincs COFOG</v>
      </c>
      <c r="S2257">
        <f t="shared" si="677"/>
        <v>0</v>
      </c>
      <c r="T2257">
        <f t="shared" si="678"/>
        <v>0</v>
      </c>
      <c r="U2257" t="str">
        <f>IF('906MP'!J1957&gt;0,CONCATENATE('906MP'!J1957," - ",'906MP'!P1957,", ",'906MP'!E1957),"nincs megjegyzés")</f>
        <v>nincs megjegyzés</v>
      </c>
      <c r="V2257" t="str">
        <f t="shared" si="665"/>
        <v>0P0</v>
      </c>
      <c r="W2257" t="str">
        <f t="shared" si="666"/>
        <v>0P0</v>
      </c>
      <c r="X2257" t="str">
        <f t="shared" si="667"/>
        <v>P0</v>
      </c>
      <c r="Y2257" t="str">
        <f t="shared" si="668"/>
        <v>00</v>
      </c>
      <c r="Z2257" t="str">
        <f t="shared" si="679"/>
        <v>00</v>
      </c>
      <c r="AA2257" t="str">
        <f t="shared" si="669"/>
        <v>00</v>
      </c>
      <c r="AB2257" t="str">
        <f t="shared" si="670"/>
        <v>00</v>
      </c>
      <c r="AC2257" t="str">
        <f t="shared" si="671"/>
        <v>0P0</v>
      </c>
      <c r="AD2257" t="str">
        <f t="shared" si="672"/>
        <v>P00</v>
      </c>
      <c r="AE2257" t="str">
        <f t="shared" si="673"/>
        <v>0P0</v>
      </c>
      <c r="AF2257" t="str">
        <f t="shared" si="674"/>
        <v>P00</v>
      </c>
      <c r="AG2257" t="str">
        <f t="shared" si="680"/>
        <v>0P00</v>
      </c>
      <c r="AH2257" t="str">
        <f t="shared" si="681"/>
        <v>P000</v>
      </c>
      <c r="AI2257" t="str">
        <f t="shared" si="682"/>
        <v>0P00</v>
      </c>
      <c r="AJ2257" t="str">
        <f t="shared" si="683"/>
        <v>P000</v>
      </c>
    </row>
    <row r="2258" spans="1:36" x14ac:dyDescent="0.25">
      <c r="A2258" s="325" t="str">
        <f>CONCATENATE("P",'906MP'!M1958)</f>
        <v>P</v>
      </c>
      <c r="B2258">
        <f>'906MP'!H1958</f>
        <v>0</v>
      </c>
      <c r="C2258">
        <f>'906MP'!J1958</f>
        <v>0</v>
      </c>
      <c r="D2258">
        <f>'906MP'!P1958</f>
        <v>0</v>
      </c>
      <c r="E2258">
        <f>'906MP'!X1958</f>
        <v>0</v>
      </c>
      <c r="F2258" t="str">
        <f t="shared" si="675"/>
        <v>0</v>
      </c>
      <c r="G2258" t="str">
        <f t="shared" si="676"/>
        <v>0</v>
      </c>
      <c r="H2258">
        <f>'906MP'!Y1958</f>
        <v>0</v>
      </c>
      <c r="I2258">
        <f>'906MP'!AK1958</f>
        <v>0</v>
      </c>
      <c r="J2258">
        <f>'906MP'!T1958</f>
        <v>0</v>
      </c>
      <c r="K2258">
        <f>'906MP'!AJ1958</f>
        <v>0</v>
      </c>
      <c r="L2258">
        <f>'906MP'!U1958</f>
        <v>0</v>
      </c>
      <c r="M2258" s="322" t="str">
        <f>IFERROR(VLOOKUP(A2258,PAR!$D$3:$E$53,2,FALSE),"nincs szervezet")</f>
        <v>nincs szervezet</v>
      </c>
      <c r="N2258" s="322" t="str">
        <f>VLOOKUP(F2258,PAR!$R$3:$S$5,2,FALSE)</f>
        <v>3 - egyik sem</v>
      </c>
      <c r="O2258" t="str">
        <f>IFERROR(VLOOKUP(J2258,PAR!$O$3:$P$5,2,FALSE),"nincs feladat")</f>
        <v>nincs feladat</v>
      </c>
      <c r="P2258" t="str">
        <f>IFERROR(VLOOKUP(G2258,PAR!$J$2:$M$19,4),"nincs rovat")</f>
        <v>nincs rovat</v>
      </c>
      <c r="Q2258" t="str">
        <f>IF(H2258&gt;0,VLOOKUP(H2258,PAR!$AA$3:$AC$187,3,FALSE),"nincs főkönyvi számla")</f>
        <v>nincs főkönyvi számla</v>
      </c>
      <c r="R2258" t="str">
        <f>IFERROR(VLOOKUP(K2258,PAR!$V$3:$X$438,3,FALSE),"000000 - Nincs COFOG")</f>
        <v>000000 - Nincs COFOG</v>
      </c>
      <c r="S2258">
        <f t="shared" si="677"/>
        <v>0</v>
      </c>
      <c r="T2258">
        <f t="shared" si="678"/>
        <v>0</v>
      </c>
      <c r="U2258" t="str">
        <f>IF('906MP'!J1958&gt;0,CONCATENATE('906MP'!J1958," - ",'906MP'!P1958,", ",'906MP'!E1958),"nincs megjegyzés")</f>
        <v>nincs megjegyzés</v>
      </c>
      <c r="V2258" t="str">
        <f t="shared" si="665"/>
        <v>0P0</v>
      </c>
      <c r="W2258" t="str">
        <f t="shared" si="666"/>
        <v>0P0</v>
      </c>
      <c r="X2258" t="str">
        <f t="shared" si="667"/>
        <v>P0</v>
      </c>
      <c r="Y2258" t="str">
        <f t="shared" si="668"/>
        <v>00</v>
      </c>
      <c r="Z2258" t="str">
        <f t="shared" si="679"/>
        <v>00</v>
      </c>
      <c r="AA2258" t="str">
        <f t="shared" si="669"/>
        <v>00</v>
      </c>
      <c r="AB2258" t="str">
        <f t="shared" si="670"/>
        <v>00</v>
      </c>
      <c r="AC2258" t="str">
        <f t="shared" si="671"/>
        <v>0P0</v>
      </c>
      <c r="AD2258" t="str">
        <f t="shared" si="672"/>
        <v>P00</v>
      </c>
      <c r="AE2258" t="str">
        <f t="shared" si="673"/>
        <v>0P0</v>
      </c>
      <c r="AF2258" t="str">
        <f t="shared" si="674"/>
        <v>P00</v>
      </c>
      <c r="AG2258" t="str">
        <f t="shared" si="680"/>
        <v>0P00</v>
      </c>
      <c r="AH2258" t="str">
        <f t="shared" si="681"/>
        <v>P000</v>
      </c>
      <c r="AI2258" t="str">
        <f t="shared" si="682"/>
        <v>0P00</v>
      </c>
      <c r="AJ2258" t="str">
        <f t="shared" si="683"/>
        <v>P000</v>
      </c>
    </row>
    <row r="2259" spans="1:36" x14ac:dyDescent="0.25">
      <c r="A2259" s="325" t="str">
        <f>CONCATENATE("P",'906MP'!M1959)</f>
        <v>P</v>
      </c>
      <c r="B2259">
        <f>'906MP'!H1959</f>
        <v>0</v>
      </c>
      <c r="C2259">
        <f>'906MP'!J1959</f>
        <v>0</v>
      </c>
      <c r="D2259">
        <f>'906MP'!P1959</f>
        <v>0</v>
      </c>
      <c r="E2259">
        <f>'906MP'!X1959</f>
        <v>0</v>
      </c>
      <c r="F2259" t="str">
        <f t="shared" si="675"/>
        <v>0</v>
      </c>
      <c r="G2259" t="str">
        <f t="shared" si="676"/>
        <v>0</v>
      </c>
      <c r="H2259">
        <f>'906MP'!Y1959</f>
        <v>0</v>
      </c>
      <c r="I2259">
        <f>'906MP'!AK1959</f>
        <v>0</v>
      </c>
      <c r="J2259">
        <f>'906MP'!T1959</f>
        <v>0</v>
      </c>
      <c r="K2259">
        <f>'906MP'!AJ1959</f>
        <v>0</v>
      </c>
      <c r="L2259">
        <f>'906MP'!U1959</f>
        <v>0</v>
      </c>
      <c r="M2259" s="322" t="str">
        <f>IFERROR(VLOOKUP(A2259,PAR!$D$3:$E$53,2,FALSE),"nincs szervezet")</f>
        <v>nincs szervezet</v>
      </c>
      <c r="N2259" s="322" t="str">
        <f>VLOOKUP(F2259,PAR!$R$3:$S$5,2,FALSE)</f>
        <v>3 - egyik sem</v>
      </c>
      <c r="O2259" t="str">
        <f>IFERROR(VLOOKUP(J2259,PAR!$O$3:$P$5,2,FALSE),"nincs feladat")</f>
        <v>nincs feladat</v>
      </c>
      <c r="P2259" t="str">
        <f>IFERROR(VLOOKUP(G2259,PAR!$J$2:$M$19,4),"nincs rovat")</f>
        <v>nincs rovat</v>
      </c>
      <c r="Q2259" t="str">
        <f>IF(H2259&gt;0,VLOOKUP(H2259,PAR!$AA$3:$AC$187,3,FALSE),"nincs főkönyvi számla")</f>
        <v>nincs főkönyvi számla</v>
      </c>
      <c r="R2259" t="str">
        <f>IFERROR(VLOOKUP(K2259,PAR!$V$3:$X$438,3,FALSE),"000000 - Nincs COFOG")</f>
        <v>000000 - Nincs COFOG</v>
      </c>
      <c r="S2259">
        <f t="shared" si="677"/>
        <v>0</v>
      </c>
      <c r="T2259">
        <f t="shared" si="678"/>
        <v>0</v>
      </c>
      <c r="U2259" t="str">
        <f>IF('906MP'!J1959&gt;0,CONCATENATE('906MP'!J1959," - ",'906MP'!P1959,", ",'906MP'!E1959),"nincs megjegyzés")</f>
        <v>nincs megjegyzés</v>
      </c>
      <c r="V2259" t="str">
        <f t="shared" si="665"/>
        <v>0P0</v>
      </c>
      <c r="W2259" t="str">
        <f t="shared" si="666"/>
        <v>0P0</v>
      </c>
      <c r="X2259" t="str">
        <f t="shared" si="667"/>
        <v>P0</v>
      </c>
      <c r="Y2259" t="str">
        <f t="shared" si="668"/>
        <v>00</v>
      </c>
      <c r="Z2259" t="str">
        <f t="shared" si="679"/>
        <v>00</v>
      </c>
      <c r="AA2259" t="str">
        <f t="shared" si="669"/>
        <v>00</v>
      </c>
      <c r="AB2259" t="str">
        <f t="shared" si="670"/>
        <v>00</v>
      </c>
      <c r="AC2259" t="str">
        <f t="shared" si="671"/>
        <v>0P0</v>
      </c>
      <c r="AD2259" t="str">
        <f t="shared" si="672"/>
        <v>P00</v>
      </c>
      <c r="AE2259" t="str">
        <f t="shared" si="673"/>
        <v>0P0</v>
      </c>
      <c r="AF2259" t="str">
        <f t="shared" si="674"/>
        <v>P00</v>
      </c>
      <c r="AG2259" t="str">
        <f t="shared" si="680"/>
        <v>0P00</v>
      </c>
      <c r="AH2259" t="str">
        <f t="shared" si="681"/>
        <v>P000</v>
      </c>
      <c r="AI2259" t="str">
        <f t="shared" si="682"/>
        <v>0P00</v>
      </c>
      <c r="AJ2259" t="str">
        <f t="shared" si="683"/>
        <v>P000</v>
      </c>
    </row>
    <row r="2260" spans="1:36" x14ac:dyDescent="0.25">
      <c r="A2260" s="325" t="str">
        <f>CONCATENATE("P",'906MP'!M1960)</f>
        <v>P</v>
      </c>
      <c r="B2260">
        <f>'906MP'!H1960</f>
        <v>0</v>
      </c>
      <c r="C2260">
        <f>'906MP'!J1960</f>
        <v>0</v>
      </c>
      <c r="D2260">
        <f>'906MP'!P1960</f>
        <v>0</v>
      </c>
      <c r="E2260">
        <f>'906MP'!X1960</f>
        <v>0</v>
      </c>
      <c r="F2260" t="str">
        <f t="shared" si="675"/>
        <v>0</v>
      </c>
      <c r="G2260" t="str">
        <f t="shared" si="676"/>
        <v>0</v>
      </c>
      <c r="H2260">
        <f>'906MP'!Y1960</f>
        <v>0</v>
      </c>
      <c r="I2260">
        <f>'906MP'!AK1960</f>
        <v>0</v>
      </c>
      <c r="J2260">
        <f>'906MP'!T1960</f>
        <v>0</v>
      </c>
      <c r="K2260">
        <f>'906MP'!AJ1960</f>
        <v>0</v>
      </c>
      <c r="L2260">
        <f>'906MP'!U1960</f>
        <v>0</v>
      </c>
      <c r="M2260" s="322" t="str">
        <f>IFERROR(VLOOKUP(A2260,PAR!$D$3:$E$53,2,FALSE),"nincs szervezet")</f>
        <v>nincs szervezet</v>
      </c>
      <c r="N2260" s="322" t="str">
        <f>VLOOKUP(F2260,PAR!$R$3:$S$5,2,FALSE)</f>
        <v>3 - egyik sem</v>
      </c>
      <c r="O2260" t="str">
        <f>IFERROR(VLOOKUP(J2260,PAR!$O$3:$P$5,2,FALSE),"nincs feladat")</f>
        <v>nincs feladat</v>
      </c>
      <c r="P2260" t="str">
        <f>IFERROR(VLOOKUP(G2260,PAR!$J$2:$M$19,4),"nincs rovat")</f>
        <v>nincs rovat</v>
      </c>
      <c r="Q2260" t="str">
        <f>IF(H2260&gt;0,VLOOKUP(H2260,PAR!$AA$3:$AC$187,3,FALSE),"nincs főkönyvi számla")</f>
        <v>nincs főkönyvi számla</v>
      </c>
      <c r="R2260" t="str">
        <f>IFERROR(VLOOKUP(K2260,PAR!$V$3:$X$438,3,FALSE),"000000 - Nincs COFOG")</f>
        <v>000000 - Nincs COFOG</v>
      </c>
      <c r="S2260">
        <f t="shared" si="677"/>
        <v>0</v>
      </c>
      <c r="T2260">
        <f t="shared" si="678"/>
        <v>0</v>
      </c>
      <c r="U2260" t="str">
        <f>IF('906MP'!J1960&gt;0,CONCATENATE('906MP'!J1960," - ",'906MP'!P1960,", ",'906MP'!E1960),"nincs megjegyzés")</f>
        <v>nincs megjegyzés</v>
      </c>
      <c r="V2260" t="str">
        <f t="shared" si="665"/>
        <v>0P0</v>
      </c>
      <c r="W2260" t="str">
        <f t="shared" si="666"/>
        <v>0P0</v>
      </c>
      <c r="X2260" t="str">
        <f t="shared" si="667"/>
        <v>P0</v>
      </c>
      <c r="Y2260" t="str">
        <f t="shared" si="668"/>
        <v>00</v>
      </c>
      <c r="Z2260" t="str">
        <f t="shared" si="679"/>
        <v>00</v>
      </c>
      <c r="AA2260" t="str">
        <f t="shared" si="669"/>
        <v>00</v>
      </c>
      <c r="AB2260" t="str">
        <f t="shared" si="670"/>
        <v>00</v>
      </c>
      <c r="AC2260" t="str">
        <f t="shared" si="671"/>
        <v>0P0</v>
      </c>
      <c r="AD2260" t="str">
        <f t="shared" si="672"/>
        <v>P00</v>
      </c>
      <c r="AE2260" t="str">
        <f t="shared" si="673"/>
        <v>0P0</v>
      </c>
      <c r="AF2260" t="str">
        <f t="shared" si="674"/>
        <v>P00</v>
      </c>
      <c r="AG2260" t="str">
        <f t="shared" si="680"/>
        <v>0P00</v>
      </c>
      <c r="AH2260" t="str">
        <f t="shared" si="681"/>
        <v>P000</v>
      </c>
      <c r="AI2260" t="str">
        <f t="shared" si="682"/>
        <v>0P00</v>
      </c>
      <c r="AJ2260" t="str">
        <f t="shared" si="683"/>
        <v>P000</v>
      </c>
    </row>
    <row r="2261" spans="1:36" x14ac:dyDescent="0.25">
      <c r="A2261" s="325" t="str">
        <f>CONCATENATE("P",'906MP'!M1961)</f>
        <v>P</v>
      </c>
      <c r="B2261">
        <f>'906MP'!H1961</f>
        <v>0</v>
      </c>
      <c r="C2261">
        <f>'906MP'!J1961</f>
        <v>0</v>
      </c>
      <c r="D2261">
        <f>'906MP'!P1961</f>
        <v>0</v>
      </c>
      <c r="E2261">
        <f>'906MP'!X1961</f>
        <v>0</v>
      </c>
      <c r="F2261" t="str">
        <f t="shared" si="675"/>
        <v>0</v>
      </c>
      <c r="G2261" t="str">
        <f t="shared" si="676"/>
        <v>0</v>
      </c>
      <c r="H2261">
        <f>'906MP'!Y1961</f>
        <v>0</v>
      </c>
      <c r="I2261">
        <f>'906MP'!AK1961</f>
        <v>0</v>
      </c>
      <c r="J2261">
        <f>'906MP'!T1961</f>
        <v>0</v>
      </c>
      <c r="K2261">
        <f>'906MP'!AJ1961</f>
        <v>0</v>
      </c>
      <c r="L2261">
        <f>'906MP'!U1961</f>
        <v>0</v>
      </c>
      <c r="M2261" s="322" t="str">
        <f>IFERROR(VLOOKUP(A2261,PAR!$D$3:$E$53,2,FALSE),"nincs szervezet")</f>
        <v>nincs szervezet</v>
      </c>
      <c r="N2261" s="322" t="str">
        <f>VLOOKUP(F2261,PAR!$R$3:$S$5,2,FALSE)</f>
        <v>3 - egyik sem</v>
      </c>
      <c r="O2261" t="str">
        <f>IFERROR(VLOOKUP(J2261,PAR!$O$3:$P$5,2,FALSE),"nincs feladat")</f>
        <v>nincs feladat</v>
      </c>
      <c r="P2261" t="str">
        <f>IFERROR(VLOOKUP(G2261,PAR!$J$2:$M$19,4),"nincs rovat")</f>
        <v>nincs rovat</v>
      </c>
      <c r="Q2261" t="str">
        <f>IF(H2261&gt;0,VLOOKUP(H2261,PAR!$AA$3:$AC$187,3,FALSE),"nincs főkönyvi számla")</f>
        <v>nincs főkönyvi számla</v>
      </c>
      <c r="R2261" t="str">
        <f>IFERROR(VLOOKUP(K2261,PAR!$V$3:$X$438,3,FALSE),"000000 - Nincs COFOG")</f>
        <v>000000 - Nincs COFOG</v>
      </c>
      <c r="S2261">
        <f t="shared" si="677"/>
        <v>0</v>
      </c>
      <c r="T2261">
        <f t="shared" si="678"/>
        <v>0</v>
      </c>
      <c r="U2261" t="str">
        <f>IF('906MP'!J1961&gt;0,CONCATENATE('906MP'!J1961," - ",'906MP'!P1961,", ",'906MP'!E1961),"nincs megjegyzés")</f>
        <v>nincs megjegyzés</v>
      </c>
      <c r="V2261" t="str">
        <f t="shared" si="665"/>
        <v>0P0</v>
      </c>
      <c r="W2261" t="str">
        <f t="shared" si="666"/>
        <v>0P0</v>
      </c>
      <c r="X2261" t="str">
        <f t="shared" si="667"/>
        <v>P0</v>
      </c>
      <c r="Y2261" t="str">
        <f t="shared" si="668"/>
        <v>00</v>
      </c>
      <c r="Z2261" t="str">
        <f t="shared" si="679"/>
        <v>00</v>
      </c>
      <c r="AA2261" t="str">
        <f t="shared" si="669"/>
        <v>00</v>
      </c>
      <c r="AB2261" t="str">
        <f t="shared" si="670"/>
        <v>00</v>
      </c>
      <c r="AC2261" t="str">
        <f t="shared" si="671"/>
        <v>0P0</v>
      </c>
      <c r="AD2261" t="str">
        <f t="shared" si="672"/>
        <v>P00</v>
      </c>
      <c r="AE2261" t="str">
        <f t="shared" si="673"/>
        <v>0P0</v>
      </c>
      <c r="AF2261" t="str">
        <f t="shared" si="674"/>
        <v>P00</v>
      </c>
      <c r="AG2261" t="str">
        <f t="shared" si="680"/>
        <v>0P00</v>
      </c>
      <c r="AH2261" t="str">
        <f t="shared" si="681"/>
        <v>P000</v>
      </c>
      <c r="AI2261" t="str">
        <f t="shared" si="682"/>
        <v>0P00</v>
      </c>
      <c r="AJ2261" t="str">
        <f t="shared" si="683"/>
        <v>P000</v>
      </c>
    </row>
    <row r="2262" spans="1:36" x14ac:dyDescent="0.25">
      <c r="A2262" s="325" t="str">
        <f>CONCATENATE("P",'906MP'!M1962)</f>
        <v>P</v>
      </c>
      <c r="B2262">
        <f>'906MP'!H1962</f>
        <v>0</v>
      </c>
      <c r="C2262">
        <f>'906MP'!J1962</f>
        <v>0</v>
      </c>
      <c r="D2262">
        <f>'906MP'!P1962</f>
        <v>0</v>
      </c>
      <c r="E2262">
        <f>'906MP'!X1962</f>
        <v>0</v>
      </c>
      <c r="F2262" t="str">
        <f t="shared" si="675"/>
        <v>0</v>
      </c>
      <c r="G2262" t="str">
        <f t="shared" si="676"/>
        <v>0</v>
      </c>
      <c r="H2262">
        <f>'906MP'!Y1962</f>
        <v>0</v>
      </c>
      <c r="I2262">
        <f>'906MP'!AK1962</f>
        <v>0</v>
      </c>
      <c r="J2262">
        <f>'906MP'!T1962</f>
        <v>0</v>
      </c>
      <c r="K2262">
        <f>'906MP'!AJ1962</f>
        <v>0</v>
      </c>
      <c r="L2262">
        <f>'906MP'!U1962</f>
        <v>0</v>
      </c>
      <c r="M2262" s="322" t="str">
        <f>IFERROR(VLOOKUP(A2262,PAR!$D$3:$E$53,2,FALSE),"nincs szervezet")</f>
        <v>nincs szervezet</v>
      </c>
      <c r="N2262" s="322" t="str">
        <f>VLOOKUP(F2262,PAR!$R$3:$S$5,2,FALSE)</f>
        <v>3 - egyik sem</v>
      </c>
      <c r="O2262" t="str">
        <f>IFERROR(VLOOKUP(J2262,PAR!$O$3:$P$5,2,FALSE),"nincs feladat")</f>
        <v>nincs feladat</v>
      </c>
      <c r="P2262" t="str">
        <f>IFERROR(VLOOKUP(G2262,PAR!$J$2:$M$19,4),"nincs rovat")</f>
        <v>nincs rovat</v>
      </c>
      <c r="Q2262" t="str">
        <f>IF(H2262&gt;0,VLOOKUP(H2262,PAR!$AA$3:$AC$187,3,FALSE),"nincs főkönyvi számla")</f>
        <v>nincs főkönyvi számla</v>
      </c>
      <c r="R2262" t="str">
        <f>IFERROR(VLOOKUP(K2262,PAR!$V$3:$X$438,3,FALSE),"000000 - Nincs COFOG")</f>
        <v>000000 - Nincs COFOG</v>
      </c>
      <c r="S2262">
        <f t="shared" si="677"/>
        <v>0</v>
      </c>
      <c r="T2262">
        <f t="shared" si="678"/>
        <v>0</v>
      </c>
      <c r="U2262" t="str">
        <f>IF('906MP'!J1962&gt;0,CONCATENATE('906MP'!J1962," - ",'906MP'!P1962,", ",'906MP'!E1962),"nincs megjegyzés")</f>
        <v>nincs megjegyzés</v>
      </c>
      <c r="V2262" t="str">
        <f t="shared" si="665"/>
        <v>0P0</v>
      </c>
      <c r="W2262" t="str">
        <f t="shared" si="666"/>
        <v>0P0</v>
      </c>
      <c r="X2262" t="str">
        <f t="shared" si="667"/>
        <v>P0</v>
      </c>
      <c r="Y2262" t="str">
        <f t="shared" si="668"/>
        <v>00</v>
      </c>
      <c r="Z2262" t="str">
        <f t="shared" si="679"/>
        <v>00</v>
      </c>
      <c r="AA2262" t="str">
        <f t="shared" si="669"/>
        <v>00</v>
      </c>
      <c r="AB2262" t="str">
        <f t="shared" si="670"/>
        <v>00</v>
      </c>
      <c r="AC2262" t="str">
        <f t="shared" si="671"/>
        <v>0P0</v>
      </c>
      <c r="AD2262" t="str">
        <f t="shared" si="672"/>
        <v>P00</v>
      </c>
      <c r="AE2262" t="str">
        <f t="shared" si="673"/>
        <v>0P0</v>
      </c>
      <c r="AF2262" t="str">
        <f t="shared" si="674"/>
        <v>P00</v>
      </c>
      <c r="AG2262" t="str">
        <f t="shared" si="680"/>
        <v>0P00</v>
      </c>
      <c r="AH2262" t="str">
        <f t="shared" si="681"/>
        <v>P000</v>
      </c>
      <c r="AI2262" t="str">
        <f t="shared" si="682"/>
        <v>0P00</v>
      </c>
      <c r="AJ2262" t="str">
        <f t="shared" si="683"/>
        <v>P000</v>
      </c>
    </row>
    <row r="2263" spans="1:36" x14ac:dyDescent="0.25">
      <c r="A2263" s="325" t="str">
        <f>CONCATENATE("P",'906MP'!M1963)</f>
        <v>P</v>
      </c>
      <c r="B2263">
        <f>'906MP'!H1963</f>
        <v>0</v>
      </c>
      <c r="C2263">
        <f>'906MP'!J1963</f>
        <v>0</v>
      </c>
      <c r="D2263">
        <f>'906MP'!P1963</f>
        <v>0</v>
      </c>
      <c r="E2263">
        <f>'906MP'!X1963</f>
        <v>0</v>
      </c>
      <c r="F2263" t="str">
        <f t="shared" si="675"/>
        <v>0</v>
      </c>
      <c r="G2263" t="str">
        <f t="shared" si="676"/>
        <v>0</v>
      </c>
      <c r="H2263">
        <f>'906MP'!Y1963</f>
        <v>0</v>
      </c>
      <c r="I2263">
        <f>'906MP'!AK1963</f>
        <v>0</v>
      </c>
      <c r="J2263">
        <f>'906MP'!T1963</f>
        <v>0</v>
      </c>
      <c r="K2263">
        <f>'906MP'!AJ1963</f>
        <v>0</v>
      </c>
      <c r="L2263">
        <f>'906MP'!U1963</f>
        <v>0</v>
      </c>
      <c r="M2263" s="322" t="str">
        <f>IFERROR(VLOOKUP(A2263,PAR!$D$3:$E$53,2,FALSE),"nincs szervezet")</f>
        <v>nincs szervezet</v>
      </c>
      <c r="N2263" s="322" t="str">
        <f>VLOOKUP(F2263,PAR!$R$3:$S$5,2,FALSE)</f>
        <v>3 - egyik sem</v>
      </c>
      <c r="O2263" t="str">
        <f>IFERROR(VLOOKUP(J2263,PAR!$O$3:$P$5,2,FALSE),"nincs feladat")</f>
        <v>nincs feladat</v>
      </c>
      <c r="P2263" t="str">
        <f>IFERROR(VLOOKUP(G2263,PAR!$J$2:$M$19,4),"nincs rovat")</f>
        <v>nincs rovat</v>
      </c>
      <c r="Q2263" t="str">
        <f>IF(H2263&gt;0,VLOOKUP(H2263,PAR!$AA$3:$AC$187,3,FALSE),"nincs főkönyvi számla")</f>
        <v>nincs főkönyvi számla</v>
      </c>
      <c r="R2263" t="str">
        <f>IFERROR(VLOOKUP(K2263,PAR!$V$3:$X$438,3,FALSE),"000000 - Nincs COFOG")</f>
        <v>000000 - Nincs COFOG</v>
      </c>
      <c r="S2263">
        <f t="shared" si="677"/>
        <v>0</v>
      </c>
      <c r="T2263">
        <f t="shared" si="678"/>
        <v>0</v>
      </c>
      <c r="U2263" t="str">
        <f>IF('906MP'!J1963&gt;0,CONCATENATE('906MP'!J1963," - ",'906MP'!P1963,", ",'906MP'!E1963),"nincs megjegyzés")</f>
        <v>nincs megjegyzés</v>
      </c>
      <c r="V2263" t="str">
        <f t="shared" si="665"/>
        <v>0P0</v>
      </c>
      <c r="W2263" t="str">
        <f t="shared" si="666"/>
        <v>0P0</v>
      </c>
      <c r="X2263" t="str">
        <f t="shared" si="667"/>
        <v>P0</v>
      </c>
      <c r="Y2263" t="str">
        <f t="shared" si="668"/>
        <v>00</v>
      </c>
      <c r="Z2263" t="str">
        <f t="shared" si="679"/>
        <v>00</v>
      </c>
      <c r="AA2263" t="str">
        <f t="shared" si="669"/>
        <v>00</v>
      </c>
      <c r="AB2263" t="str">
        <f t="shared" si="670"/>
        <v>00</v>
      </c>
      <c r="AC2263" t="str">
        <f t="shared" si="671"/>
        <v>0P0</v>
      </c>
      <c r="AD2263" t="str">
        <f t="shared" si="672"/>
        <v>P00</v>
      </c>
      <c r="AE2263" t="str">
        <f t="shared" si="673"/>
        <v>0P0</v>
      </c>
      <c r="AF2263" t="str">
        <f t="shared" si="674"/>
        <v>P00</v>
      </c>
      <c r="AG2263" t="str">
        <f t="shared" si="680"/>
        <v>0P00</v>
      </c>
      <c r="AH2263" t="str">
        <f t="shared" si="681"/>
        <v>P000</v>
      </c>
      <c r="AI2263" t="str">
        <f t="shared" si="682"/>
        <v>0P00</v>
      </c>
      <c r="AJ2263" t="str">
        <f t="shared" si="683"/>
        <v>P000</v>
      </c>
    </row>
    <row r="2264" spans="1:36" x14ac:dyDescent="0.25">
      <c r="A2264" s="325" t="str">
        <f>CONCATENATE("P",'906MP'!M1964)</f>
        <v>P</v>
      </c>
      <c r="B2264">
        <f>'906MP'!H1964</f>
        <v>0</v>
      </c>
      <c r="C2264">
        <f>'906MP'!J1964</f>
        <v>0</v>
      </c>
      <c r="D2264">
        <f>'906MP'!P1964</f>
        <v>0</v>
      </c>
      <c r="E2264">
        <f>'906MP'!X1964</f>
        <v>0</v>
      </c>
      <c r="F2264" t="str">
        <f t="shared" si="675"/>
        <v>0</v>
      </c>
      <c r="G2264" t="str">
        <f t="shared" si="676"/>
        <v>0</v>
      </c>
      <c r="H2264">
        <f>'906MP'!Y1964</f>
        <v>0</v>
      </c>
      <c r="I2264">
        <f>'906MP'!AK1964</f>
        <v>0</v>
      </c>
      <c r="J2264">
        <f>'906MP'!T1964</f>
        <v>0</v>
      </c>
      <c r="K2264">
        <f>'906MP'!AJ1964</f>
        <v>0</v>
      </c>
      <c r="L2264">
        <f>'906MP'!U1964</f>
        <v>0</v>
      </c>
      <c r="M2264" s="322" t="str">
        <f>IFERROR(VLOOKUP(A2264,PAR!$D$3:$E$53,2,FALSE),"nincs szervezet")</f>
        <v>nincs szervezet</v>
      </c>
      <c r="N2264" s="322" t="str">
        <f>VLOOKUP(F2264,PAR!$R$3:$S$5,2,FALSE)</f>
        <v>3 - egyik sem</v>
      </c>
      <c r="O2264" t="str">
        <f>IFERROR(VLOOKUP(J2264,PAR!$O$3:$P$5,2,FALSE),"nincs feladat")</f>
        <v>nincs feladat</v>
      </c>
      <c r="P2264" t="str">
        <f>IFERROR(VLOOKUP(G2264,PAR!$J$2:$M$19,4),"nincs rovat")</f>
        <v>nincs rovat</v>
      </c>
      <c r="Q2264" t="str">
        <f>IF(H2264&gt;0,VLOOKUP(H2264,PAR!$AA$3:$AC$187,3,FALSE),"nincs főkönyvi számla")</f>
        <v>nincs főkönyvi számla</v>
      </c>
      <c r="R2264" t="str">
        <f>IFERROR(VLOOKUP(K2264,PAR!$V$3:$X$438,3,FALSE),"000000 - Nincs COFOG")</f>
        <v>000000 - Nincs COFOG</v>
      </c>
      <c r="S2264">
        <f t="shared" si="677"/>
        <v>0</v>
      </c>
      <c r="T2264">
        <f t="shared" si="678"/>
        <v>0</v>
      </c>
      <c r="U2264" t="str">
        <f>IF('906MP'!J1964&gt;0,CONCATENATE('906MP'!J1964," - ",'906MP'!P1964,", ",'906MP'!E1964),"nincs megjegyzés")</f>
        <v>nincs megjegyzés</v>
      </c>
      <c r="V2264" t="str">
        <f t="shared" si="665"/>
        <v>0P0</v>
      </c>
      <c r="W2264" t="str">
        <f t="shared" si="666"/>
        <v>0P0</v>
      </c>
      <c r="X2264" t="str">
        <f t="shared" si="667"/>
        <v>P0</v>
      </c>
      <c r="Y2264" t="str">
        <f t="shared" si="668"/>
        <v>00</v>
      </c>
      <c r="Z2264" t="str">
        <f t="shared" si="679"/>
        <v>00</v>
      </c>
      <c r="AA2264" t="str">
        <f t="shared" si="669"/>
        <v>00</v>
      </c>
      <c r="AB2264" t="str">
        <f t="shared" si="670"/>
        <v>00</v>
      </c>
      <c r="AC2264" t="str">
        <f t="shared" si="671"/>
        <v>0P0</v>
      </c>
      <c r="AD2264" t="str">
        <f t="shared" si="672"/>
        <v>P00</v>
      </c>
      <c r="AE2264" t="str">
        <f t="shared" si="673"/>
        <v>0P0</v>
      </c>
      <c r="AF2264" t="str">
        <f t="shared" si="674"/>
        <v>P00</v>
      </c>
      <c r="AG2264" t="str">
        <f t="shared" si="680"/>
        <v>0P00</v>
      </c>
      <c r="AH2264" t="str">
        <f t="shared" si="681"/>
        <v>P000</v>
      </c>
      <c r="AI2264" t="str">
        <f t="shared" si="682"/>
        <v>0P00</v>
      </c>
      <c r="AJ2264" t="str">
        <f t="shared" si="683"/>
        <v>P000</v>
      </c>
    </row>
    <row r="2265" spans="1:36" x14ac:dyDescent="0.25">
      <c r="A2265" s="325" t="str">
        <f>CONCATENATE("P",'906MP'!M1965)</f>
        <v>P</v>
      </c>
      <c r="B2265">
        <f>'906MP'!H1965</f>
        <v>0</v>
      </c>
      <c r="C2265">
        <f>'906MP'!J1965</f>
        <v>0</v>
      </c>
      <c r="D2265">
        <f>'906MP'!P1965</f>
        <v>0</v>
      </c>
      <c r="E2265">
        <f>'906MP'!X1965</f>
        <v>0</v>
      </c>
      <c r="F2265" t="str">
        <f t="shared" si="675"/>
        <v>0</v>
      </c>
      <c r="G2265" t="str">
        <f t="shared" si="676"/>
        <v>0</v>
      </c>
      <c r="H2265">
        <f>'906MP'!Y1965</f>
        <v>0</v>
      </c>
      <c r="I2265">
        <f>'906MP'!AK1965</f>
        <v>0</v>
      </c>
      <c r="J2265">
        <f>'906MP'!T1965</f>
        <v>0</v>
      </c>
      <c r="K2265">
        <f>'906MP'!AJ1965</f>
        <v>0</v>
      </c>
      <c r="L2265">
        <f>'906MP'!U1965</f>
        <v>0</v>
      </c>
      <c r="M2265" s="322" t="str">
        <f>IFERROR(VLOOKUP(A2265,PAR!$D$3:$E$53,2,FALSE),"nincs szervezet")</f>
        <v>nincs szervezet</v>
      </c>
      <c r="N2265" s="322" t="str">
        <f>VLOOKUP(F2265,PAR!$R$3:$S$5,2,FALSE)</f>
        <v>3 - egyik sem</v>
      </c>
      <c r="O2265" t="str">
        <f>IFERROR(VLOOKUP(J2265,PAR!$O$3:$P$5,2,FALSE),"nincs feladat")</f>
        <v>nincs feladat</v>
      </c>
      <c r="P2265" t="str">
        <f>IFERROR(VLOOKUP(G2265,PAR!$J$2:$M$19,4),"nincs rovat")</f>
        <v>nincs rovat</v>
      </c>
      <c r="Q2265" t="str">
        <f>IF(H2265&gt;0,VLOOKUP(H2265,PAR!$AA$3:$AC$187,3,FALSE),"nincs főkönyvi számla")</f>
        <v>nincs főkönyvi számla</v>
      </c>
      <c r="R2265" t="str">
        <f>IFERROR(VLOOKUP(K2265,PAR!$V$3:$X$438,3,FALSE),"000000 - Nincs COFOG")</f>
        <v>000000 - Nincs COFOG</v>
      </c>
      <c r="S2265">
        <f t="shared" si="677"/>
        <v>0</v>
      </c>
      <c r="T2265">
        <f t="shared" si="678"/>
        <v>0</v>
      </c>
      <c r="U2265" t="str">
        <f>IF('906MP'!J1965&gt;0,CONCATENATE('906MP'!J1965," - ",'906MP'!P1965,", ",'906MP'!E1965),"nincs megjegyzés")</f>
        <v>nincs megjegyzés</v>
      </c>
      <c r="V2265" t="str">
        <f t="shared" si="665"/>
        <v>0P0</v>
      </c>
      <c r="W2265" t="str">
        <f t="shared" si="666"/>
        <v>0P0</v>
      </c>
      <c r="X2265" t="str">
        <f t="shared" si="667"/>
        <v>P0</v>
      </c>
      <c r="Y2265" t="str">
        <f t="shared" si="668"/>
        <v>00</v>
      </c>
      <c r="Z2265" t="str">
        <f t="shared" si="679"/>
        <v>00</v>
      </c>
      <c r="AA2265" t="str">
        <f t="shared" si="669"/>
        <v>00</v>
      </c>
      <c r="AB2265" t="str">
        <f t="shared" si="670"/>
        <v>00</v>
      </c>
      <c r="AC2265" t="str">
        <f t="shared" si="671"/>
        <v>0P0</v>
      </c>
      <c r="AD2265" t="str">
        <f t="shared" si="672"/>
        <v>P00</v>
      </c>
      <c r="AE2265" t="str">
        <f t="shared" si="673"/>
        <v>0P0</v>
      </c>
      <c r="AF2265" t="str">
        <f t="shared" si="674"/>
        <v>P00</v>
      </c>
      <c r="AG2265" t="str">
        <f t="shared" si="680"/>
        <v>0P00</v>
      </c>
      <c r="AH2265" t="str">
        <f t="shared" si="681"/>
        <v>P000</v>
      </c>
      <c r="AI2265" t="str">
        <f t="shared" si="682"/>
        <v>0P00</v>
      </c>
      <c r="AJ2265" t="str">
        <f t="shared" si="683"/>
        <v>P000</v>
      </c>
    </row>
    <row r="2266" spans="1:36" x14ac:dyDescent="0.25">
      <c r="A2266" s="325" t="str">
        <f>CONCATENATE("P",'906MP'!M1966)</f>
        <v>P</v>
      </c>
      <c r="B2266">
        <f>'906MP'!H1966</f>
        <v>0</v>
      </c>
      <c r="C2266">
        <f>'906MP'!J1966</f>
        <v>0</v>
      </c>
      <c r="D2266">
        <f>'906MP'!P1966</f>
        <v>0</v>
      </c>
      <c r="E2266">
        <f>'906MP'!X1966</f>
        <v>0</v>
      </c>
      <c r="F2266" t="str">
        <f t="shared" si="675"/>
        <v>0</v>
      </c>
      <c r="G2266" t="str">
        <f t="shared" si="676"/>
        <v>0</v>
      </c>
      <c r="H2266">
        <f>'906MP'!Y1966</f>
        <v>0</v>
      </c>
      <c r="I2266">
        <f>'906MP'!AK1966</f>
        <v>0</v>
      </c>
      <c r="J2266">
        <f>'906MP'!T1966</f>
        <v>0</v>
      </c>
      <c r="K2266">
        <f>'906MP'!AJ1966</f>
        <v>0</v>
      </c>
      <c r="L2266">
        <f>'906MP'!U1966</f>
        <v>0</v>
      </c>
      <c r="M2266" s="322" t="str">
        <f>IFERROR(VLOOKUP(A2266,PAR!$D$3:$E$53,2,FALSE),"nincs szervezet")</f>
        <v>nincs szervezet</v>
      </c>
      <c r="N2266" s="322" t="str">
        <f>VLOOKUP(F2266,PAR!$R$3:$S$5,2,FALSE)</f>
        <v>3 - egyik sem</v>
      </c>
      <c r="O2266" t="str">
        <f>IFERROR(VLOOKUP(J2266,PAR!$O$3:$P$5,2,FALSE),"nincs feladat")</f>
        <v>nincs feladat</v>
      </c>
      <c r="P2266" t="str">
        <f>IFERROR(VLOOKUP(G2266,PAR!$J$2:$M$19,4),"nincs rovat")</f>
        <v>nincs rovat</v>
      </c>
      <c r="Q2266" t="str">
        <f>IF(H2266&gt;0,VLOOKUP(H2266,PAR!$AA$3:$AC$187,3,FALSE),"nincs főkönyvi számla")</f>
        <v>nincs főkönyvi számla</v>
      </c>
      <c r="R2266" t="str">
        <f>IFERROR(VLOOKUP(K2266,PAR!$V$3:$X$438,3,FALSE),"000000 - Nincs COFOG")</f>
        <v>000000 - Nincs COFOG</v>
      </c>
      <c r="S2266">
        <f t="shared" si="677"/>
        <v>0</v>
      </c>
      <c r="T2266">
        <f t="shared" si="678"/>
        <v>0</v>
      </c>
      <c r="U2266" t="str">
        <f>IF('906MP'!J1966&gt;0,CONCATENATE('906MP'!J1966," - ",'906MP'!P1966,", ",'906MP'!E1966),"nincs megjegyzés")</f>
        <v>nincs megjegyzés</v>
      </c>
      <c r="V2266" t="str">
        <f t="shared" si="665"/>
        <v>0P0</v>
      </c>
      <c r="W2266" t="str">
        <f t="shared" si="666"/>
        <v>0P0</v>
      </c>
      <c r="X2266" t="str">
        <f t="shared" si="667"/>
        <v>P0</v>
      </c>
      <c r="Y2266" t="str">
        <f t="shared" si="668"/>
        <v>00</v>
      </c>
      <c r="Z2266" t="str">
        <f t="shared" si="679"/>
        <v>00</v>
      </c>
      <c r="AA2266" t="str">
        <f t="shared" si="669"/>
        <v>00</v>
      </c>
      <c r="AB2266" t="str">
        <f t="shared" si="670"/>
        <v>00</v>
      </c>
      <c r="AC2266" t="str">
        <f t="shared" si="671"/>
        <v>0P0</v>
      </c>
      <c r="AD2266" t="str">
        <f t="shared" si="672"/>
        <v>P00</v>
      </c>
      <c r="AE2266" t="str">
        <f t="shared" si="673"/>
        <v>0P0</v>
      </c>
      <c r="AF2266" t="str">
        <f t="shared" si="674"/>
        <v>P00</v>
      </c>
      <c r="AG2266" t="str">
        <f t="shared" si="680"/>
        <v>0P00</v>
      </c>
      <c r="AH2266" t="str">
        <f t="shared" si="681"/>
        <v>P000</v>
      </c>
      <c r="AI2266" t="str">
        <f t="shared" si="682"/>
        <v>0P00</v>
      </c>
      <c r="AJ2266" t="str">
        <f t="shared" si="683"/>
        <v>P000</v>
      </c>
    </row>
    <row r="2267" spans="1:36" x14ac:dyDescent="0.25">
      <c r="A2267" s="325" t="str">
        <f>CONCATENATE("P",'906MP'!M1967)</f>
        <v>P</v>
      </c>
      <c r="B2267">
        <f>'906MP'!H1967</f>
        <v>0</v>
      </c>
      <c r="C2267">
        <f>'906MP'!J1967</f>
        <v>0</v>
      </c>
      <c r="D2267">
        <f>'906MP'!P1967</f>
        <v>0</v>
      </c>
      <c r="E2267">
        <f>'906MP'!X1967</f>
        <v>0</v>
      </c>
      <c r="F2267" t="str">
        <f t="shared" si="675"/>
        <v>0</v>
      </c>
      <c r="G2267" t="str">
        <f t="shared" si="676"/>
        <v>0</v>
      </c>
      <c r="H2267">
        <f>'906MP'!Y1967</f>
        <v>0</v>
      </c>
      <c r="I2267">
        <f>'906MP'!AK1967</f>
        <v>0</v>
      </c>
      <c r="J2267">
        <f>'906MP'!T1967</f>
        <v>0</v>
      </c>
      <c r="K2267">
        <f>'906MP'!AJ1967</f>
        <v>0</v>
      </c>
      <c r="L2267">
        <f>'906MP'!U1967</f>
        <v>0</v>
      </c>
      <c r="M2267" s="322" t="str">
        <f>IFERROR(VLOOKUP(A2267,PAR!$D$3:$E$53,2,FALSE),"nincs szervezet")</f>
        <v>nincs szervezet</v>
      </c>
      <c r="N2267" s="322" t="str">
        <f>VLOOKUP(F2267,PAR!$R$3:$S$5,2,FALSE)</f>
        <v>3 - egyik sem</v>
      </c>
      <c r="O2267" t="str">
        <f>IFERROR(VLOOKUP(J2267,PAR!$O$3:$P$5,2,FALSE),"nincs feladat")</f>
        <v>nincs feladat</v>
      </c>
      <c r="P2267" t="str">
        <f>IFERROR(VLOOKUP(G2267,PAR!$J$2:$M$19,4),"nincs rovat")</f>
        <v>nincs rovat</v>
      </c>
      <c r="Q2267" t="str">
        <f>IF(H2267&gt;0,VLOOKUP(H2267,PAR!$AA$3:$AC$187,3,FALSE),"nincs főkönyvi számla")</f>
        <v>nincs főkönyvi számla</v>
      </c>
      <c r="R2267" t="str">
        <f>IFERROR(VLOOKUP(K2267,PAR!$V$3:$X$438,3,FALSE),"000000 - Nincs COFOG")</f>
        <v>000000 - Nincs COFOG</v>
      </c>
      <c r="S2267">
        <f t="shared" si="677"/>
        <v>0</v>
      </c>
      <c r="T2267">
        <f t="shared" si="678"/>
        <v>0</v>
      </c>
      <c r="U2267" t="str">
        <f>IF('906MP'!J1967&gt;0,CONCATENATE('906MP'!J1967," - ",'906MP'!P1967,", ",'906MP'!E1967),"nincs megjegyzés")</f>
        <v>nincs megjegyzés</v>
      </c>
      <c r="V2267" t="str">
        <f t="shared" si="665"/>
        <v>0P0</v>
      </c>
      <c r="W2267" t="str">
        <f t="shared" si="666"/>
        <v>0P0</v>
      </c>
      <c r="X2267" t="str">
        <f t="shared" si="667"/>
        <v>P0</v>
      </c>
      <c r="Y2267" t="str">
        <f t="shared" si="668"/>
        <v>00</v>
      </c>
      <c r="Z2267" t="str">
        <f t="shared" si="679"/>
        <v>00</v>
      </c>
      <c r="AA2267" t="str">
        <f t="shared" si="669"/>
        <v>00</v>
      </c>
      <c r="AB2267" t="str">
        <f t="shared" si="670"/>
        <v>00</v>
      </c>
      <c r="AC2267" t="str">
        <f t="shared" si="671"/>
        <v>0P0</v>
      </c>
      <c r="AD2267" t="str">
        <f t="shared" si="672"/>
        <v>P00</v>
      </c>
      <c r="AE2267" t="str">
        <f t="shared" si="673"/>
        <v>0P0</v>
      </c>
      <c r="AF2267" t="str">
        <f t="shared" si="674"/>
        <v>P00</v>
      </c>
      <c r="AG2267" t="str">
        <f t="shared" si="680"/>
        <v>0P00</v>
      </c>
      <c r="AH2267" t="str">
        <f t="shared" si="681"/>
        <v>P000</v>
      </c>
      <c r="AI2267" t="str">
        <f t="shared" si="682"/>
        <v>0P00</v>
      </c>
      <c r="AJ2267" t="str">
        <f t="shared" si="683"/>
        <v>P000</v>
      </c>
    </row>
    <row r="2268" spans="1:36" x14ac:dyDescent="0.25">
      <c r="A2268" s="325" t="str">
        <f>CONCATENATE("P",'906MP'!M1968)</f>
        <v>P</v>
      </c>
      <c r="B2268">
        <f>'906MP'!H1968</f>
        <v>0</v>
      </c>
      <c r="C2268">
        <f>'906MP'!J1968</f>
        <v>0</v>
      </c>
      <c r="D2268">
        <f>'906MP'!P1968</f>
        <v>0</v>
      </c>
      <c r="E2268">
        <f>'906MP'!X1968</f>
        <v>0</v>
      </c>
      <c r="F2268" t="str">
        <f t="shared" si="675"/>
        <v>0</v>
      </c>
      <c r="G2268" t="str">
        <f t="shared" si="676"/>
        <v>0</v>
      </c>
      <c r="H2268">
        <f>'906MP'!Y1968</f>
        <v>0</v>
      </c>
      <c r="I2268">
        <f>'906MP'!AK1968</f>
        <v>0</v>
      </c>
      <c r="J2268">
        <f>'906MP'!T1968</f>
        <v>0</v>
      </c>
      <c r="K2268">
        <f>'906MP'!AJ1968</f>
        <v>0</v>
      </c>
      <c r="L2268">
        <f>'906MP'!U1968</f>
        <v>0</v>
      </c>
      <c r="M2268" s="322" t="str">
        <f>IFERROR(VLOOKUP(A2268,PAR!$D$3:$E$53,2,FALSE),"nincs szervezet")</f>
        <v>nincs szervezet</v>
      </c>
      <c r="N2268" s="322" t="str">
        <f>VLOOKUP(F2268,PAR!$R$3:$S$5,2,FALSE)</f>
        <v>3 - egyik sem</v>
      </c>
      <c r="O2268" t="str">
        <f>IFERROR(VLOOKUP(J2268,PAR!$O$3:$P$5,2,FALSE),"nincs feladat")</f>
        <v>nincs feladat</v>
      </c>
      <c r="P2268" t="str">
        <f>IFERROR(VLOOKUP(G2268,PAR!$J$2:$M$19,4),"nincs rovat")</f>
        <v>nincs rovat</v>
      </c>
      <c r="Q2268" t="str">
        <f>IF(H2268&gt;0,VLOOKUP(H2268,PAR!$AA$3:$AC$187,3,FALSE),"nincs főkönyvi számla")</f>
        <v>nincs főkönyvi számla</v>
      </c>
      <c r="R2268" t="str">
        <f>IFERROR(VLOOKUP(K2268,PAR!$V$3:$X$438,3,FALSE),"000000 - Nincs COFOG")</f>
        <v>000000 - Nincs COFOG</v>
      </c>
      <c r="S2268">
        <f t="shared" si="677"/>
        <v>0</v>
      </c>
      <c r="T2268">
        <f t="shared" si="678"/>
        <v>0</v>
      </c>
      <c r="U2268" t="str">
        <f>IF('906MP'!J1968&gt;0,CONCATENATE('906MP'!J1968," - ",'906MP'!P1968,", ",'906MP'!E1968),"nincs megjegyzés")</f>
        <v>nincs megjegyzés</v>
      </c>
      <c r="V2268" t="str">
        <f t="shared" si="665"/>
        <v>0P0</v>
      </c>
      <c r="W2268" t="str">
        <f t="shared" si="666"/>
        <v>0P0</v>
      </c>
      <c r="X2268" t="str">
        <f t="shared" si="667"/>
        <v>P0</v>
      </c>
      <c r="Y2268" t="str">
        <f t="shared" si="668"/>
        <v>00</v>
      </c>
      <c r="Z2268" t="str">
        <f t="shared" si="679"/>
        <v>00</v>
      </c>
      <c r="AA2268" t="str">
        <f t="shared" si="669"/>
        <v>00</v>
      </c>
      <c r="AB2268" t="str">
        <f t="shared" si="670"/>
        <v>00</v>
      </c>
      <c r="AC2268" t="str">
        <f t="shared" si="671"/>
        <v>0P0</v>
      </c>
      <c r="AD2268" t="str">
        <f t="shared" si="672"/>
        <v>P00</v>
      </c>
      <c r="AE2268" t="str">
        <f t="shared" si="673"/>
        <v>0P0</v>
      </c>
      <c r="AF2268" t="str">
        <f t="shared" si="674"/>
        <v>P00</v>
      </c>
      <c r="AG2268" t="str">
        <f t="shared" si="680"/>
        <v>0P00</v>
      </c>
      <c r="AH2268" t="str">
        <f t="shared" si="681"/>
        <v>P000</v>
      </c>
      <c r="AI2268" t="str">
        <f t="shared" si="682"/>
        <v>0P00</v>
      </c>
      <c r="AJ2268" t="str">
        <f t="shared" si="683"/>
        <v>P000</v>
      </c>
    </row>
    <row r="2269" spans="1:36" x14ac:dyDescent="0.25">
      <c r="A2269" s="325" t="str">
        <f>CONCATENATE("P",'906MP'!M1969)</f>
        <v>P</v>
      </c>
      <c r="B2269">
        <f>'906MP'!H1969</f>
        <v>0</v>
      </c>
      <c r="C2269">
        <f>'906MP'!J1969</f>
        <v>0</v>
      </c>
      <c r="D2269">
        <f>'906MP'!P1969</f>
        <v>0</v>
      </c>
      <c r="E2269">
        <f>'906MP'!X1969</f>
        <v>0</v>
      </c>
      <c r="F2269" t="str">
        <f t="shared" si="675"/>
        <v>0</v>
      </c>
      <c r="G2269" t="str">
        <f t="shared" si="676"/>
        <v>0</v>
      </c>
      <c r="H2269">
        <f>'906MP'!Y1969</f>
        <v>0</v>
      </c>
      <c r="I2269">
        <f>'906MP'!AK1969</f>
        <v>0</v>
      </c>
      <c r="J2269">
        <f>'906MP'!T1969</f>
        <v>0</v>
      </c>
      <c r="K2269">
        <f>'906MP'!AJ1969</f>
        <v>0</v>
      </c>
      <c r="L2269">
        <f>'906MP'!U1969</f>
        <v>0</v>
      </c>
      <c r="M2269" s="322" t="str">
        <f>IFERROR(VLOOKUP(A2269,PAR!$D$3:$E$53,2,FALSE),"nincs szervezet")</f>
        <v>nincs szervezet</v>
      </c>
      <c r="N2269" s="322" t="str">
        <f>VLOOKUP(F2269,PAR!$R$3:$S$5,2,FALSE)</f>
        <v>3 - egyik sem</v>
      </c>
      <c r="O2269" t="str">
        <f>IFERROR(VLOOKUP(J2269,PAR!$O$3:$P$5,2,FALSE),"nincs feladat")</f>
        <v>nincs feladat</v>
      </c>
      <c r="P2269" t="str">
        <f>IFERROR(VLOOKUP(G2269,PAR!$J$2:$M$19,4),"nincs rovat")</f>
        <v>nincs rovat</v>
      </c>
      <c r="Q2269" t="str">
        <f>IF(H2269&gt;0,VLOOKUP(H2269,PAR!$AA$3:$AC$187,3,FALSE),"nincs főkönyvi számla")</f>
        <v>nincs főkönyvi számla</v>
      </c>
      <c r="R2269" t="str">
        <f>IFERROR(VLOOKUP(K2269,PAR!$V$3:$X$438,3,FALSE),"000000 - Nincs COFOG")</f>
        <v>000000 - Nincs COFOG</v>
      </c>
      <c r="S2269">
        <f t="shared" si="677"/>
        <v>0</v>
      </c>
      <c r="T2269">
        <f t="shared" si="678"/>
        <v>0</v>
      </c>
      <c r="U2269" t="str">
        <f>IF('906MP'!J1969&gt;0,CONCATENATE('906MP'!J1969," - ",'906MP'!P1969,", ",'906MP'!E1969),"nincs megjegyzés")</f>
        <v>nincs megjegyzés</v>
      </c>
      <c r="V2269" t="str">
        <f t="shared" si="665"/>
        <v>0P0</v>
      </c>
      <c r="W2269" t="str">
        <f t="shared" si="666"/>
        <v>0P0</v>
      </c>
      <c r="X2269" t="str">
        <f t="shared" si="667"/>
        <v>P0</v>
      </c>
      <c r="Y2269" t="str">
        <f t="shared" si="668"/>
        <v>00</v>
      </c>
      <c r="Z2269" t="str">
        <f t="shared" si="679"/>
        <v>00</v>
      </c>
      <c r="AA2269" t="str">
        <f t="shared" si="669"/>
        <v>00</v>
      </c>
      <c r="AB2269" t="str">
        <f t="shared" si="670"/>
        <v>00</v>
      </c>
      <c r="AC2269" t="str">
        <f t="shared" si="671"/>
        <v>0P0</v>
      </c>
      <c r="AD2269" t="str">
        <f t="shared" si="672"/>
        <v>P00</v>
      </c>
      <c r="AE2269" t="str">
        <f t="shared" si="673"/>
        <v>0P0</v>
      </c>
      <c r="AF2269" t="str">
        <f t="shared" si="674"/>
        <v>P00</v>
      </c>
      <c r="AG2269" t="str">
        <f t="shared" si="680"/>
        <v>0P00</v>
      </c>
      <c r="AH2269" t="str">
        <f t="shared" si="681"/>
        <v>P000</v>
      </c>
      <c r="AI2269" t="str">
        <f t="shared" si="682"/>
        <v>0P00</v>
      </c>
      <c r="AJ2269" t="str">
        <f t="shared" si="683"/>
        <v>P000</v>
      </c>
    </row>
    <row r="2270" spans="1:36" x14ac:dyDescent="0.25">
      <c r="A2270" s="325" t="str">
        <f>CONCATENATE("P",'906MP'!M1970)</f>
        <v>P</v>
      </c>
      <c r="B2270">
        <f>'906MP'!H1970</f>
        <v>0</v>
      </c>
      <c r="C2270">
        <f>'906MP'!J1970</f>
        <v>0</v>
      </c>
      <c r="D2270">
        <f>'906MP'!P1970</f>
        <v>0</v>
      </c>
      <c r="E2270">
        <f>'906MP'!X1970</f>
        <v>0</v>
      </c>
      <c r="F2270" t="str">
        <f t="shared" si="675"/>
        <v>0</v>
      </c>
      <c r="G2270" t="str">
        <f t="shared" si="676"/>
        <v>0</v>
      </c>
      <c r="H2270">
        <f>'906MP'!Y1970</f>
        <v>0</v>
      </c>
      <c r="I2270">
        <f>'906MP'!AK1970</f>
        <v>0</v>
      </c>
      <c r="J2270">
        <f>'906MP'!T1970</f>
        <v>0</v>
      </c>
      <c r="K2270">
        <f>'906MP'!AJ1970</f>
        <v>0</v>
      </c>
      <c r="L2270">
        <f>'906MP'!U1970</f>
        <v>0</v>
      </c>
      <c r="M2270" s="322" t="str">
        <f>IFERROR(VLOOKUP(A2270,PAR!$D$3:$E$53,2,FALSE),"nincs szervezet")</f>
        <v>nincs szervezet</v>
      </c>
      <c r="N2270" s="322" t="str">
        <f>VLOOKUP(F2270,PAR!$R$3:$S$5,2,FALSE)</f>
        <v>3 - egyik sem</v>
      </c>
      <c r="O2270" t="str">
        <f>IFERROR(VLOOKUP(J2270,PAR!$O$3:$P$5,2,FALSE),"nincs feladat")</f>
        <v>nincs feladat</v>
      </c>
      <c r="P2270" t="str">
        <f>IFERROR(VLOOKUP(G2270,PAR!$J$2:$M$19,4),"nincs rovat")</f>
        <v>nincs rovat</v>
      </c>
      <c r="Q2270" t="str">
        <f>IF(H2270&gt;0,VLOOKUP(H2270,PAR!$AA$3:$AC$187,3,FALSE),"nincs főkönyvi számla")</f>
        <v>nincs főkönyvi számla</v>
      </c>
      <c r="R2270" t="str">
        <f>IFERROR(VLOOKUP(K2270,PAR!$V$3:$X$438,3,FALSE),"000000 - Nincs COFOG")</f>
        <v>000000 - Nincs COFOG</v>
      </c>
      <c r="S2270">
        <f t="shared" si="677"/>
        <v>0</v>
      </c>
      <c r="T2270">
        <f t="shared" si="678"/>
        <v>0</v>
      </c>
      <c r="U2270" t="str">
        <f>IF('906MP'!J1970&gt;0,CONCATENATE('906MP'!J1970," - ",'906MP'!P1970,", ",'906MP'!E1970),"nincs megjegyzés")</f>
        <v>nincs megjegyzés</v>
      </c>
      <c r="V2270" t="str">
        <f t="shared" si="665"/>
        <v>0P0</v>
      </c>
      <c r="W2270" t="str">
        <f t="shared" si="666"/>
        <v>0P0</v>
      </c>
      <c r="X2270" t="str">
        <f t="shared" si="667"/>
        <v>P0</v>
      </c>
      <c r="Y2270" t="str">
        <f t="shared" si="668"/>
        <v>00</v>
      </c>
      <c r="Z2270" t="str">
        <f t="shared" si="679"/>
        <v>00</v>
      </c>
      <c r="AA2270" t="str">
        <f t="shared" si="669"/>
        <v>00</v>
      </c>
      <c r="AB2270" t="str">
        <f t="shared" si="670"/>
        <v>00</v>
      </c>
      <c r="AC2270" t="str">
        <f t="shared" si="671"/>
        <v>0P0</v>
      </c>
      <c r="AD2270" t="str">
        <f t="shared" si="672"/>
        <v>P00</v>
      </c>
      <c r="AE2270" t="str">
        <f t="shared" si="673"/>
        <v>0P0</v>
      </c>
      <c r="AF2270" t="str">
        <f t="shared" si="674"/>
        <v>P00</v>
      </c>
      <c r="AG2270" t="str">
        <f t="shared" si="680"/>
        <v>0P00</v>
      </c>
      <c r="AH2270" t="str">
        <f t="shared" si="681"/>
        <v>P000</v>
      </c>
      <c r="AI2270" t="str">
        <f t="shared" si="682"/>
        <v>0P00</v>
      </c>
      <c r="AJ2270" t="str">
        <f t="shared" si="683"/>
        <v>P000</v>
      </c>
    </row>
    <row r="2271" spans="1:36" x14ac:dyDescent="0.25">
      <c r="A2271" s="325" t="str">
        <f>CONCATENATE("P",'906MP'!M1971)</f>
        <v>P</v>
      </c>
      <c r="B2271">
        <f>'906MP'!H1971</f>
        <v>0</v>
      </c>
      <c r="C2271">
        <f>'906MP'!J1971</f>
        <v>0</v>
      </c>
      <c r="D2271">
        <f>'906MP'!P1971</f>
        <v>0</v>
      </c>
      <c r="E2271">
        <f>'906MP'!X1971</f>
        <v>0</v>
      </c>
      <c r="F2271" t="str">
        <f t="shared" si="675"/>
        <v>0</v>
      </c>
      <c r="G2271" t="str">
        <f t="shared" si="676"/>
        <v>0</v>
      </c>
      <c r="H2271">
        <f>'906MP'!Y1971</f>
        <v>0</v>
      </c>
      <c r="I2271">
        <f>'906MP'!AK1971</f>
        <v>0</v>
      </c>
      <c r="J2271">
        <f>'906MP'!T1971</f>
        <v>0</v>
      </c>
      <c r="K2271">
        <f>'906MP'!AJ1971</f>
        <v>0</v>
      </c>
      <c r="L2271">
        <f>'906MP'!U1971</f>
        <v>0</v>
      </c>
      <c r="M2271" s="322" t="str">
        <f>IFERROR(VLOOKUP(A2271,PAR!$D$3:$E$53,2,FALSE),"nincs szervezet")</f>
        <v>nincs szervezet</v>
      </c>
      <c r="N2271" s="322" t="str">
        <f>VLOOKUP(F2271,PAR!$R$3:$S$5,2,FALSE)</f>
        <v>3 - egyik sem</v>
      </c>
      <c r="O2271" t="str">
        <f>IFERROR(VLOOKUP(J2271,PAR!$O$3:$P$5,2,FALSE),"nincs feladat")</f>
        <v>nincs feladat</v>
      </c>
      <c r="P2271" t="str">
        <f>IFERROR(VLOOKUP(G2271,PAR!$J$2:$M$19,4),"nincs rovat")</f>
        <v>nincs rovat</v>
      </c>
      <c r="Q2271" t="str">
        <f>IF(H2271&gt;0,VLOOKUP(H2271,PAR!$AA$3:$AC$187,3,FALSE),"nincs főkönyvi számla")</f>
        <v>nincs főkönyvi számla</v>
      </c>
      <c r="R2271" t="str">
        <f>IFERROR(VLOOKUP(K2271,PAR!$V$3:$X$438,3,FALSE),"000000 - Nincs COFOG")</f>
        <v>000000 - Nincs COFOG</v>
      </c>
      <c r="S2271">
        <f t="shared" si="677"/>
        <v>0</v>
      </c>
      <c r="T2271">
        <f t="shared" si="678"/>
        <v>0</v>
      </c>
      <c r="U2271" t="str">
        <f>IF('906MP'!J1971&gt;0,CONCATENATE('906MP'!J1971," - ",'906MP'!P1971,", ",'906MP'!E1971),"nincs megjegyzés")</f>
        <v>nincs megjegyzés</v>
      </c>
      <c r="V2271" t="str">
        <f t="shared" si="665"/>
        <v>0P0</v>
      </c>
      <c r="W2271" t="str">
        <f t="shared" si="666"/>
        <v>0P0</v>
      </c>
      <c r="X2271" t="str">
        <f t="shared" si="667"/>
        <v>P0</v>
      </c>
      <c r="Y2271" t="str">
        <f t="shared" si="668"/>
        <v>00</v>
      </c>
      <c r="Z2271" t="str">
        <f t="shared" si="679"/>
        <v>00</v>
      </c>
      <c r="AA2271" t="str">
        <f t="shared" si="669"/>
        <v>00</v>
      </c>
      <c r="AB2271" t="str">
        <f t="shared" si="670"/>
        <v>00</v>
      </c>
      <c r="AC2271" t="str">
        <f t="shared" si="671"/>
        <v>0P0</v>
      </c>
      <c r="AD2271" t="str">
        <f t="shared" si="672"/>
        <v>P00</v>
      </c>
      <c r="AE2271" t="str">
        <f t="shared" si="673"/>
        <v>0P0</v>
      </c>
      <c r="AF2271" t="str">
        <f t="shared" si="674"/>
        <v>P00</v>
      </c>
      <c r="AG2271" t="str">
        <f t="shared" si="680"/>
        <v>0P00</v>
      </c>
      <c r="AH2271" t="str">
        <f t="shared" si="681"/>
        <v>P000</v>
      </c>
      <c r="AI2271" t="str">
        <f t="shared" si="682"/>
        <v>0P00</v>
      </c>
      <c r="AJ2271" t="str">
        <f t="shared" si="683"/>
        <v>P000</v>
      </c>
    </row>
    <row r="2272" spans="1:36" x14ac:dyDescent="0.25">
      <c r="A2272" s="325" t="str">
        <f>CONCATENATE("P",'906MP'!M1972)</f>
        <v>P</v>
      </c>
      <c r="B2272">
        <f>'906MP'!H1972</f>
        <v>0</v>
      </c>
      <c r="C2272">
        <f>'906MP'!J1972</f>
        <v>0</v>
      </c>
      <c r="D2272">
        <f>'906MP'!P1972</f>
        <v>0</v>
      </c>
      <c r="E2272">
        <f>'906MP'!X1972</f>
        <v>0</v>
      </c>
      <c r="F2272" t="str">
        <f t="shared" si="675"/>
        <v>0</v>
      </c>
      <c r="G2272" t="str">
        <f t="shared" si="676"/>
        <v>0</v>
      </c>
      <c r="H2272">
        <f>'906MP'!Y1972</f>
        <v>0</v>
      </c>
      <c r="I2272">
        <f>'906MP'!AK1972</f>
        <v>0</v>
      </c>
      <c r="J2272">
        <f>'906MP'!T1972</f>
        <v>0</v>
      </c>
      <c r="K2272">
        <f>'906MP'!AJ1972</f>
        <v>0</v>
      </c>
      <c r="L2272">
        <f>'906MP'!U1972</f>
        <v>0</v>
      </c>
      <c r="M2272" s="322" t="str">
        <f>IFERROR(VLOOKUP(A2272,PAR!$D$3:$E$53,2,FALSE),"nincs szervezet")</f>
        <v>nincs szervezet</v>
      </c>
      <c r="N2272" s="322" t="str">
        <f>VLOOKUP(F2272,PAR!$R$3:$S$5,2,FALSE)</f>
        <v>3 - egyik sem</v>
      </c>
      <c r="O2272" t="str">
        <f>IFERROR(VLOOKUP(J2272,PAR!$O$3:$P$5,2,FALSE),"nincs feladat")</f>
        <v>nincs feladat</v>
      </c>
      <c r="P2272" t="str">
        <f>IFERROR(VLOOKUP(G2272,PAR!$J$2:$M$19,4),"nincs rovat")</f>
        <v>nincs rovat</v>
      </c>
      <c r="Q2272" t="str">
        <f>IF(H2272&gt;0,VLOOKUP(H2272,PAR!$AA$3:$AC$187,3,FALSE),"nincs főkönyvi számla")</f>
        <v>nincs főkönyvi számla</v>
      </c>
      <c r="R2272" t="str">
        <f>IFERROR(VLOOKUP(K2272,PAR!$V$3:$X$438,3,FALSE),"000000 - Nincs COFOG")</f>
        <v>000000 - Nincs COFOG</v>
      </c>
      <c r="S2272">
        <f t="shared" si="677"/>
        <v>0</v>
      </c>
      <c r="T2272">
        <f t="shared" si="678"/>
        <v>0</v>
      </c>
      <c r="U2272" t="str">
        <f>IF('906MP'!J1972&gt;0,CONCATENATE('906MP'!J1972," - ",'906MP'!P1972,", ",'906MP'!E1972),"nincs megjegyzés")</f>
        <v>nincs megjegyzés</v>
      </c>
      <c r="V2272" t="str">
        <f t="shared" si="665"/>
        <v>0P0</v>
      </c>
      <c r="W2272" t="str">
        <f t="shared" si="666"/>
        <v>0P0</v>
      </c>
      <c r="X2272" t="str">
        <f t="shared" si="667"/>
        <v>P0</v>
      </c>
      <c r="Y2272" t="str">
        <f t="shared" si="668"/>
        <v>00</v>
      </c>
      <c r="Z2272" t="str">
        <f t="shared" si="679"/>
        <v>00</v>
      </c>
      <c r="AA2272" t="str">
        <f t="shared" si="669"/>
        <v>00</v>
      </c>
      <c r="AB2272" t="str">
        <f t="shared" si="670"/>
        <v>00</v>
      </c>
      <c r="AC2272" t="str">
        <f t="shared" si="671"/>
        <v>0P0</v>
      </c>
      <c r="AD2272" t="str">
        <f t="shared" si="672"/>
        <v>P00</v>
      </c>
      <c r="AE2272" t="str">
        <f t="shared" si="673"/>
        <v>0P0</v>
      </c>
      <c r="AF2272" t="str">
        <f t="shared" si="674"/>
        <v>P00</v>
      </c>
      <c r="AG2272" t="str">
        <f t="shared" si="680"/>
        <v>0P00</v>
      </c>
      <c r="AH2272" t="str">
        <f t="shared" si="681"/>
        <v>P000</v>
      </c>
      <c r="AI2272" t="str">
        <f t="shared" si="682"/>
        <v>0P00</v>
      </c>
      <c r="AJ2272" t="str">
        <f t="shared" si="683"/>
        <v>P000</v>
      </c>
    </row>
    <row r="2273" spans="1:36" x14ac:dyDescent="0.25">
      <c r="A2273" s="325" t="str">
        <f>CONCATENATE("P",'906MP'!M1973)</f>
        <v>P</v>
      </c>
      <c r="B2273">
        <f>'906MP'!H1973</f>
        <v>0</v>
      </c>
      <c r="C2273">
        <f>'906MP'!J1973</f>
        <v>0</v>
      </c>
      <c r="D2273">
        <f>'906MP'!P1973</f>
        <v>0</v>
      </c>
      <c r="E2273">
        <f>'906MP'!X1973</f>
        <v>0</v>
      </c>
      <c r="F2273" t="str">
        <f t="shared" si="675"/>
        <v>0</v>
      </c>
      <c r="G2273" t="str">
        <f t="shared" si="676"/>
        <v>0</v>
      </c>
      <c r="H2273">
        <f>'906MP'!Y1973</f>
        <v>0</v>
      </c>
      <c r="I2273">
        <f>'906MP'!AK1973</f>
        <v>0</v>
      </c>
      <c r="J2273">
        <f>'906MP'!T1973</f>
        <v>0</v>
      </c>
      <c r="K2273">
        <f>'906MP'!AJ1973</f>
        <v>0</v>
      </c>
      <c r="L2273">
        <f>'906MP'!U1973</f>
        <v>0</v>
      </c>
      <c r="M2273" s="322" t="str">
        <f>IFERROR(VLOOKUP(A2273,PAR!$D$3:$E$53,2,FALSE),"nincs szervezet")</f>
        <v>nincs szervezet</v>
      </c>
      <c r="N2273" s="322" t="str">
        <f>VLOOKUP(F2273,PAR!$R$3:$S$5,2,FALSE)</f>
        <v>3 - egyik sem</v>
      </c>
      <c r="O2273" t="str">
        <f>IFERROR(VLOOKUP(J2273,PAR!$O$3:$P$5,2,FALSE),"nincs feladat")</f>
        <v>nincs feladat</v>
      </c>
      <c r="P2273" t="str">
        <f>IFERROR(VLOOKUP(G2273,PAR!$J$2:$M$19,4),"nincs rovat")</f>
        <v>nincs rovat</v>
      </c>
      <c r="Q2273" t="str">
        <f>IF(H2273&gt;0,VLOOKUP(H2273,PAR!$AA$3:$AC$187,3,FALSE),"nincs főkönyvi számla")</f>
        <v>nincs főkönyvi számla</v>
      </c>
      <c r="R2273" t="str">
        <f>IFERROR(VLOOKUP(K2273,PAR!$V$3:$X$438,3,FALSE),"000000 - Nincs COFOG")</f>
        <v>000000 - Nincs COFOG</v>
      </c>
      <c r="S2273">
        <f t="shared" si="677"/>
        <v>0</v>
      </c>
      <c r="T2273">
        <f t="shared" si="678"/>
        <v>0</v>
      </c>
      <c r="U2273" t="str">
        <f>IF('906MP'!J1973&gt;0,CONCATENATE('906MP'!J1973," - ",'906MP'!P1973,", ",'906MP'!E1973),"nincs megjegyzés")</f>
        <v>nincs megjegyzés</v>
      </c>
      <c r="V2273" t="str">
        <f t="shared" si="665"/>
        <v>0P0</v>
      </c>
      <c r="W2273" t="str">
        <f t="shared" si="666"/>
        <v>0P0</v>
      </c>
      <c r="X2273" t="str">
        <f t="shared" si="667"/>
        <v>P0</v>
      </c>
      <c r="Y2273" t="str">
        <f t="shared" si="668"/>
        <v>00</v>
      </c>
      <c r="Z2273" t="str">
        <f t="shared" si="679"/>
        <v>00</v>
      </c>
      <c r="AA2273" t="str">
        <f t="shared" si="669"/>
        <v>00</v>
      </c>
      <c r="AB2273" t="str">
        <f t="shared" si="670"/>
        <v>00</v>
      </c>
      <c r="AC2273" t="str">
        <f t="shared" si="671"/>
        <v>0P0</v>
      </c>
      <c r="AD2273" t="str">
        <f t="shared" si="672"/>
        <v>P00</v>
      </c>
      <c r="AE2273" t="str">
        <f t="shared" si="673"/>
        <v>0P0</v>
      </c>
      <c r="AF2273" t="str">
        <f t="shared" si="674"/>
        <v>P00</v>
      </c>
      <c r="AG2273" t="str">
        <f t="shared" si="680"/>
        <v>0P00</v>
      </c>
      <c r="AH2273" t="str">
        <f t="shared" si="681"/>
        <v>P000</v>
      </c>
      <c r="AI2273" t="str">
        <f t="shared" si="682"/>
        <v>0P00</v>
      </c>
      <c r="AJ2273" t="str">
        <f t="shared" si="683"/>
        <v>P000</v>
      </c>
    </row>
    <row r="2274" spans="1:36" x14ac:dyDescent="0.25">
      <c r="A2274" s="325" t="str">
        <f>CONCATENATE("P",'906MP'!M1974)</f>
        <v>P</v>
      </c>
      <c r="B2274">
        <f>'906MP'!H1974</f>
        <v>0</v>
      </c>
      <c r="C2274">
        <f>'906MP'!J1974</f>
        <v>0</v>
      </c>
      <c r="D2274">
        <f>'906MP'!P1974</f>
        <v>0</v>
      </c>
      <c r="E2274">
        <f>'906MP'!X1974</f>
        <v>0</v>
      </c>
      <c r="F2274" t="str">
        <f t="shared" si="675"/>
        <v>0</v>
      </c>
      <c r="G2274" t="str">
        <f t="shared" si="676"/>
        <v>0</v>
      </c>
      <c r="H2274">
        <f>'906MP'!Y1974</f>
        <v>0</v>
      </c>
      <c r="I2274">
        <f>'906MP'!AK1974</f>
        <v>0</v>
      </c>
      <c r="J2274">
        <f>'906MP'!T1974</f>
        <v>0</v>
      </c>
      <c r="K2274">
        <f>'906MP'!AJ1974</f>
        <v>0</v>
      </c>
      <c r="L2274">
        <f>'906MP'!U1974</f>
        <v>0</v>
      </c>
      <c r="M2274" s="322" t="str">
        <f>IFERROR(VLOOKUP(A2274,PAR!$D$3:$E$53,2,FALSE),"nincs szervezet")</f>
        <v>nincs szervezet</v>
      </c>
      <c r="N2274" s="322" t="str">
        <f>VLOOKUP(F2274,PAR!$R$3:$S$5,2,FALSE)</f>
        <v>3 - egyik sem</v>
      </c>
      <c r="O2274" t="str">
        <f>IFERROR(VLOOKUP(J2274,PAR!$O$3:$P$5,2,FALSE),"nincs feladat")</f>
        <v>nincs feladat</v>
      </c>
      <c r="P2274" t="str">
        <f>IFERROR(VLOOKUP(G2274,PAR!$J$2:$M$19,4),"nincs rovat")</f>
        <v>nincs rovat</v>
      </c>
      <c r="Q2274" t="str">
        <f>IF(H2274&gt;0,VLOOKUP(H2274,PAR!$AA$3:$AC$187,3,FALSE),"nincs főkönyvi számla")</f>
        <v>nincs főkönyvi számla</v>
      </c>
      <c r="R2274" t="str">
        <f>IFERROR(VLOOKUP(K2274,PAR!$V$3:$X$438,3,FALSE),"000000 - Nincs COFOG")</f>
        <v>000000 - Nincs COFOG</v>
      </c>
      <c r="S2274">
        <f t="shared" si="677"/>
        <v>0</v>
      </c>
      <c r="T2274">
        <f t="shared" si="678"/>
        <v>0</v>
      </c>
      <c r="U2274" t="str">
        <f>IF('906MP'!J1974&gt;0,CONCATENATE('906MP'!J1974," - ",'906MP'!P1974,", ",'906MP'!E1974),"nincs megjegyzés")</f>
        <v>nincs megjegyzés</v>
      </c>
      <c r="V2274" t="str">
        <f t="shared" si="665"/>
        <v>0P0</v>
      </c>
      <c r="W2274" t="str">
        <f t="shared" si="666"/>
        <v>0P0</v>
      </c>
      <c r="X2274" t="str">
        <f t="shared" si="667"/>
        <v>P0</v>
      </c>
      <c r="Y2274" t="str">
        <f t="shared" si="668"/>
        <v>00</v>
      </c>
      <c r="Z2274" t="str">
        <f t="shared" si="679"/>
        <v>00</v>
      </c>
      <c r="AA2274" t="str">
        <f t="shared" si="669"/>
        <v>00</v>
      </c>
      <c r="AB2274" t="str">
        <f t="shared" si="670"/>
        <v>00</v>
      </c>
      <c r="AC2274" t="str">
        <f t="shared" si="671"/>
        <v>0P0</v>
      </c>
      <c r="AD2274" t="str">
        <f t="shared" si="672"/>
        <v>P00</v>
      </c>
      <c r="AE2274" t="str">
        <f t="shared" si="673"/>
        <v>0P0</v>
      </c>
      <c r="AF2274" t="str">
        <f t="shared" si="674"/>
        <v>P00</v>
      </c>
      <c r="AG2274" t="str">
        <f t="shared" si="680"/>
        <v>0P00</v>
      </c>
      <c r="AH2274" t="str">
        <f t="shared" si="681"/>
        <v>P000</v>
      </c>
      <c r="AI2274" t="str">
        <f t="shared" si="682"/>
        <v>0P00</v>
      </c>
      <c r="AJ2274" t="str">
        <f t="shared" si="683"/>
        <v>P000</v>
      </c>
    </row>
    <row r="2275" spans="1:36" x14ac:dyDescent="0.25">
      <c r="A2275" s="325" t="str">
        <f>CONCATENATE("P",'906MP'!M1975)</f>
        <v>P</v>
      </c>
      <c r="B2275">
        <f>'906MP'!H1975</f>
        <v>0</v>
      </c>
      <c r="C2275">
        <f>'906MP'!J1975</f>
        <v>0</v>
      </c>
      <c r="D2275">
        <f>'906MP'!P1975</f>
        <v>0</v>
      </c>
      <c r="E2275">
        <f>'906MP'!X1975</f>
        <v>0</v>
      </c>
      <c r="F2275" t="str">
        <f t="shared" si="675"/>
        <v>0</v>
      </c>
      <c r="G2275" t="str">
        <f t="shared" si="676"/>
        <v>0</v>
      </c>
      <c r="H2275">
        <f>'906MP'!Y1975</f>
        <v>0</v>
      </c>
      <c r="I2275">
        <f>'906MP'!AK1975</f>
        <v>0</v>
      </c>
      <c r="J2275">
        <f>'906MP'!T1975</f>
        <v>0</v>
      </c>
      <c r="K2275">
        <f>'906MP'!AJ1975</f>
        <v>0</v>
      </c>
      <c r="L2275">
        <f>'906MP'!U1975</f>
        <v>0</v>
      </c>
      <c r="M2275" s="322" t="str">
        <f>IFERROR(VLOOKUP(A2275,PAR!$D$3:$E$53,2,FALSE),"nincs szervezet")</f>
        <v>nincs szervezet</v>
      </c>
      <c r="N2275" s="322" t="str">
        <f>VLOOKUP(F2275,PAR!$R$3:$S$5,2,FALSE)</f>
        <v>3 - egyik sem</v>
      </c>
      <c r="O2275" t="str">
        <f>IFERROR(VLOOKUP(J2275,PAR!$O$3:$P$5,2,FALSE),"nincs feladat")</f>
        <v>nincs feladat</v>
      </c>
      <c r="P2275" t="str">
        <f>IFERROR(VLOOKUP(G2275,PAR!$J$2:$M$19,4),"nincs rovat")</f>
        <v>nincs rovat</v>
      </c>
      <c r="Q2275" t="str">
        <f>IF(H2275&gt;0,VLOOKUP(H2275,PAR!$AA$3:$AC$187,3,FALSE),"nincs főkönyvi számla")</f>
        <v>nincs főkönyvi számla</v>
      </c>
      <c r="R2275" t="str">
        <f>IFERROR(VLOOKUP(K2275,PAR!$V$3:$X$438,3,FALSE),"000000 - Nincs COFOG")</f>
        <v>000000 - Nincs COFOG</v>
      </c>
      <c r="S2275">
        <f t="shared" si="677"/>
        <v>0</v>
      </c>
      <c r="T2275">
        <f t="shared" si="678"/>
        <v>0</v>
      </c>
      <c r="U2275" t="str">
        <f>IF('906MP'!J1975&gt;0,CONCATENATE('906MP'!J1975," - ",'906MP'!P1975,", ",'906MP'!E1975),"nincs megjegyzés")</f>
        <v>nincs megjegyzés</v>
      </c>
      <c r="V2275" t="str">
        <f t="shared" si="665"/>
        <v>0P0</v>
      </c>
      <c r="W2275" t="str">
        <f t="shared" si="666"/>
        <v>0P0</v>
      </c>
      <c r="X2275" t="str">
        <f t="shared" si="667"/>
        <v>P0</v>
      </c>
      <c r="Y2275" t="str">
        <f t="shared" si="668"/>
        <v>00</v>
      </c>
      <c r="Z2275" t="str">
        <f t="shared" si="679"/>
        <v>00</v>
      </c>
      <c r="AA2275" t="str">
        <f t="shared" si="669"/>
        <v>00</v>
      </c>
      <c r="AB2275" t="str">
        <f t="shared" si="670"/>
        <v>00</v>
      </c>
      <c r="AC2275" t="str">
        <f t="shared" si="671"/>
        <v>0P0</v>
      </c>
      <c r="AD2275" t="str">
        <f t="shared" si="672"/>
        <v>P00</v>
      </c>
      <c r="AE2275" t="str">
        <f t="shared" si="673"/>
        <v>0P0</v>
      </c>
      <c r="AF2275" t="str">
        <f t="shared" si="674"/>
        <v>P00</v>
      </c>
      <c r="AG2275" t="str">
        <f t="shared" si="680"/>
        <v>0P00</v>
      </c>
      <c r="AH2275" t="str">
        <f t="shared" si="681"/>
        <v>P000</v>
      </c>
      <c r="AI2275" t="str">
        <f t="shared" si="682"/>
        <v>0P00</v>
      </c>
      <c r="AJ2275" t="str">
        <f t="shared" si="683"/>
        <v>P000</v>
      </c>
    </row>
    <row r="2276" spans="1:36" x14ac:dyDescent="0.25">
      <c r="A2276" s="325" t="str">
        <f>CONCATENATE("P",'906MP'!M1976)</f>
        <v>P</v>
      </c>
      <c r="B2276">
        <f>'906MP'!H1976</f>
        <v>0</v>
      </c>
      <c r="C2276">
        <f>'906MP'!J1976</f>
        <v>0</v>
      </c>
      <c r="D2276">
        <f>'906MP'!P1976</f>
        <v>0</v>
      </c>
      <c r="E2276">
        <f>'906MP'!X1976</f>
        <v>0</v>
      </c>
      <c r="F2276" t="str">
        <f t="shared" si="675"/>
        <v>0</v>
      </c>
      <c r="G2276" t="str">
        <f t="shared" si="676"/>
        <v>0</v>
      </c>
      <c r="H2276">
        <f>'906MP'!Y1976</f>
        <v>0</v>
      </c>
      <c r="I2276">
        <f>'906MP'!AK1976</f>
        <v>0</v>
      </c>
      <c r="J2276">
        <f>'906MP'!T1976</f>
        <v>0</v>
      </c>
      <c r="K2276">
        <f>'906MP'!AJ1976</f>
        <v>0</v>
      </c>
      <c r="L2276">
        <f>'906MP'!U1976</f>
        <v>0</v>
      </c>
      <c r="M2276" s="322" t="str">
        <f>IFERROR(VLOOKUP(A2276,PAR!$D$3:$E$53,2,FALSE),"nincs szervezet")</f>
        <v>nincs szervezet</v>
      </c>
      <c r="N2276" s="322" t="str">
        <f>VLOOKUP(F2276,PAR!$R$3:$S$5,2,FALSE)</f>
        <v>3 - egyik sem</v>
      </c>
      <c r="O2276" t="str">
        <f>IFERROR(VLOOKUP(J2276,PAR!$O$3:$P$5,2,FALSE),"nincs feladat")</f>
        <v>nincs feladat</v>
      </c>
      <c r="P2276" t="str">
        <f>IFERROR(VLOOKUP(G2276,PAR!$J$2:$M$19,4),"nincs rovat")</f>
        <v>nincs rovat</v>
      </c>
      <c r="Q2276" t="str">
        <f>IF(H2276&gt;0,VLOOKUP(H2276,PAR!$AA$3:$AC$187,3,FALSE),"nincs főkönyvi számla")</f>
        <v>nincs főkönyvi számla</v>
      </c>
      <c r="R2276" t="str">
        <f>IFERROR(VLOOKUP(K2276,PAR!$V$3:$X$438,3,FALSE),"000000 - Nincs COFOG")</f>
        <v>000000 - Nincs COFOG</v>
      </c>
      <c r="S2276">
        <f t="shared" si="677"/>
        <v>0</v>
      </c>
      <c r="T2276">
        <f t="shared" si="678"/>
        <v>0</v>
      </c>
      <c r="U2276" t="str">
        <f>IF('906MP'!J1976&gt;0,CONCATENATE('906MP'!J1976," - ",'906MP'!P1976,", ",'906MP'!E1976),"nincs megjegyzés")</f>
        <v>nincs megjegyzés</v>
      </c>
      <c r="V2276" t="str">
        <f t="shared" si="665"/>
        <v>0P0</v>
      </c>
      <c r="W2276" t="str">
        <f t="shared" si="666"/>
        <v>0P0</v>
      </c>
      <c r="X2276" t="str">
        <f t="shared" si="667"/>
        <v>P0</v>
      </c>
      <c r="Y2276" t="str">
        <f t="shared" si="668"/>
        <v>00</v>
      </c>
      <c r="Z2276" t="str">
        <f t="shared" si="679"/>
        <v>00</v>
      </c>
      <c r="AA2276" t="str">
        <f t="shared" si="669"/>
        <v>00</v>
      </c>
      <c r="AB2276" t="str">
        <f t="shared" si="670"/>
        <v>00</v>
      </c>
      <c r="AC2276" t="str">
        <f t="shared" si="671"/>
        <v>0P0</v>
      </c>
      <c r="AD2276" t="str">
        <f t="shared" si="672"/>
        <v>P00</v>
      </c>
      <c r="AE2276" t="str">
        <f t="shared" si="673"/>
        <v>0P0</v>
      </c>
      <c r="AF2276" t="str">
        <f t="shared" si="674"/>
        <v>P00</v>
      </c>
      <c r="AG2276" t="str">
        <f t="shared" si="680"/>
        <v>0P00</v>
      </c>
      <c r="AH2276" t="str">
        <f t="shared" si="681"/>
        <v>P000</v>
      </c>
      <c r="AI2276" t="str">
        <f t="shared" si="682"/>
        <v>0P00</v>
      </c>
      <c r="AJ2276" t="str">
        <f t="shared" si="683"/>
        <v>P000</v>
      </c>
    </row>
    <row r="2277" spans="1:36" x14ac:dyDescent="0.25">
      <c r="A2277" s="325" t="str">
        <f>CONCATENATE("P",'906MP'!M1977)</f>
        <v>P</v>
      </c>
      <c r="B2277">
        <f>'906MP'!H1977</f>
        <v>0</v>
      </c>
      <c r="C2277">
        <f>'906MP'!J1977</f>
        <v>0</v>
      </c>
      <c r="D2277">
        <f>'906MP'!P1977</f>
        <v>0</v>
      </c>
      <c r="E2277">
        <f>'906MP'!X1977</f>
        <v>0</v>
      </c>
      <c r="F2277" t="str">
        <f t="shared" si="675"/>
        <v>0</v>
      </c>
      <c r="G2277" t="str">
        <f t="shared" si="676"/>
        <v>0</v>
      </c>
      <c r="H2277">
        <f>'906MP'!Y1977</f>
        <v>0</v>
      </c>
      <c r="I2277">
        <f>'906MP'!AK1977</f>
        <v>0</v>
      </c>
      <c r="J2277">
        <f>'906MP'!T1977</f>
        <v>0</v>
      </c>
      <c r="K2277">
        <f>'906MP'!AJ1977</f>
        <v>0</v>
      </c>
      <c r="L2277">
        <f>'906MP'!U1977</f>
        <v>0</v>
      </c>
      <c r="M2277" s="322" t="str">
        <f>IFERROR(VLOOKUP(A2277,PAR!$D$3:$E$53,2,FALSE),"nincs szervezet")</f>
        <v>nincs szervezet</v>
      </c>
      <c r="N2277" s="322" t="str">
        <f>VLOOKUP(F2277,PAR!$R$3:$S$5,2,FALSE)</f>
        <v>3 - egyik sem</v>
      </c>
      <c r="O2277" t="str">
        <f>IFERROR(VLOOKUP(J2277,PAR!$O$3:$P$5,2,FALSE),"nincs feladat")</f>
        <v>nincs feladat</v>
      </c>
      <c r="P2277" t="str">
        <f>IFERROR(VLOOKUP(G2277,PAR!$J$2:$M$19,4),"nincs rovat")</f>
        <v>nincs rovat</v>
      </c>
      <c r="Q2277" t="str">
        <f>IF(H2277&gt;0,VLOOKUP(H2277,PAR!$AA$3:$AC$187,3,FALSE),"nincs főkönyvi számla")</f>
        <v>nincs főkönyvi számla</v>
      </c>
      <c r="R2277" t="str">
        <f>IFERROR(VLOOKUP(K2277,PAR!$V$3:$X$438,3,FALSE),"000000 - Nincs COFOG")</f>
        <v>000000 - Nincs COFOG</v>
      </c>
      <c r="S2277">
        <f t="shared" si="677"/>
        <v>0</v>
      </c>
      <c r="T2277">
        <f t="shared" si="678"/>
        <v>0</v>
      </c>
      <c r="U2277" t="str">
        <f>IF('906MP'!J1977&gt;0,CONCATENATE('906MP'!J1977," - ",'906MP'!P1977,", ",'906MP'!E1977),"nincs megjegyzés")</f>
        <v>nincs megjegyzés</v>
      </c>
      <c r="V2277" t="str">
        <f t="shared" si="665"/>
        <v>0P0</v>
      </c>
      <c r="W2277" t="str">
        <f t="shared" si="666"/>
        <v>0P0</v>
      </c>
      <c r="X2277" t="str">
        <f t="shared" si="667"/>
        <v>P0</v>
      </c>
      <c r="Y2277" t="str">
        <f t="shared" si="668"/>
        <v>00</v>
      </c>
      <c r="Z2277" t="str">
        <f t="shared" si="679"/>
        <v>00</v>
      </c>
      <c r="AA2277" t="str">
        <f t="shared" si="669"/>
        <v>00</v>
      </c>
      <c r="AB2277" t="str">
        <f t="shared" si="670"/>
        <v>00</v>
      </c>
      <c r="AC2277" t="str">
        <f t="shared" si="671"/>
        <v>0P0</v>
      </c>
      <c r="AD2277" t="str">
        <f t="shared" si="672"/>
        <v>P00</v>
      </c>
      <c r="AE2277" t="str">
        <f t="shared" si="673"/>
        <v>0P0</v>
      </c>
      <c r="AF2277" t="str">
        <f t="shared" si="674"/>
        <v>P00</v>
      </c>
      <c r="AG2277" t="str">
        <f t="shared" si="680"/>
        <v>0P00</v>
      </c>
      <c r="AH2277" t="str">
        <f t="shared" si="681"/>
        <v>P000</v>
      </c>
      <c r="AI2277" t="str">
        <f t="shared" si="682"/>
        <v>0P00</v>
      </c>
      <c r="AJ2277" t="str">
        <f t="shared" si="683"/>
        <v>P000</v>
      </c>
    </row>
    <row r="2278" spans="1:36" x14ac:dyDescent="0.25">
      <c r="A2278" s="325" t="str">
        <f>CONCATENATE("P",'906MP'!M1978)</f>
        <v>P</v>
      </c>
      <c r="B2278">
        <f>'906MP'!H1978</f>
        <v>0</v>
      </c>
      <c r="C2278">
        <f>'906MP'!J1978</f>
        <v>0</v>
      </c>
      <c r="D2278">
        <f>'906MP'!P1978</f>
        <v>0</v>
      </c>
      <c r="E2278">
        <f>'906MP'!X1978</f>
        <v>0</v>
      </c>
      <c r="F2278" t="str">
        <f t="shared" si="675"/>
        <v>0</v>
      </c>
      <c r="G2278" t="str">
        <f t="shared" si="676"/>
        <v>0</v>
      </c>
      <c r="H2278">
        <f>'906MP'!Y1978</f>
        <v>0</v>
      </c>
      <c r="I2278">
        <f>'906MP'!AK1978</f>
        <v>0</v>
      </c>
      <c r="J2278">
        <f>'906MP'!T1978</f>
        <v>0</v>
      </c>
      <c r="K2278">
        <f>'906MP'!AJ1978</f>
        <v>0</v>
      </c>
      <c r="L2278">
        <f>'906MP'!U1978</f>
        <v>0</v>
      </c>
      <c r="M2278" s="322" t="str">
        <f>IFERROR(VLOOKUP(A2278,PAR!$D$3:$E$53,2,FALSE),"nincs szervezet")</f>
        <v>nincs szervezet</v>
      </c>
      <c r="N2278" s="322" t="str">
        <f>VLOOKUP(F2278,PAR!$R$3:$S$5,2,FALSE)</f>
        <v>3 - egyik sem</v>
      </c>
      <c r="O2278" t="str">
        <f>IFERROR(VLOOKUP(J2278,PAR!$O$3:$P$5,2,FALSE),"nincs feladat")</f>
        <v>nincs feladat</v>
      </c>
      <c r="P2278" t="str">
        <f>IFERROR(VLOOKUP(G2278,PAR!$J$2:$M$19,4),"nincs rovat")</f>
        <v>nincs rovat</v>
      </c>
      <c r="Q2278" t="str">
        <f>IF(H2278&gt;0,VLOOKUP(H2278,PAR!$AA$3:$AC$187,3,FALSE),"nincs főkönyvi számla")</f>
        <v>nincs főkönyvi számla</v>
      </c>
      <c r="R2278" t="str">
        <f>IFERROR(VLOOKUP(K2278,PAR!$V$3:$X$438,3,FALSE),"000000 - Nincs COFOG")</f>
        <v>000000 - Nincs COFOG</v>
      </c>
      <c r="S2278">
        <f t="shared" si="677"/>
        <v>0</v>
      </c>
      <c r="T2278">
        <f t="shared" si="678"/>
        <v>0</v>
      </c>
      <c r="U2278" t="str">
        <f>IF('906MP'!J1978&gt;0,CONCATENATE('906MP'!J1978," - ",'906MP'!P1978,", ",'906MP'!E1978),"nincs megjegyzés")</f>
        <v>nincs megjegyzés</v>
      </c>
      <c r="V2278" t="str">
        <f t="shared" si="665"/>
        <v>0P0</v>
      </c>
      <c r="W2278" t="str">
        <f t="shared" si="666"/>
        <v>0P0</v>
      </c>
      <c r="X2278" t="str">
        <f t="shared" si="667"/>
        <v>P0</v>
      </c>
      <c r="Y2278" t="str">
        <f t="shared" si="668"/>
        <v>00</v>
      </c>
      <c r="Z2278" t="str">
        <f t="shared" si="679"/>
        <v>00</v>
      </c>
      <c r="AA2278" t="str">
        <f t="shared" si="669"/>
        <v>00</v>
      </c>
      <c r="AB2278" t="str">
        <f t="shared" si="670"/>
        <v>00</v>
      </c>
      <c r="AC2278" t="str">
        <f t="shared" si="671"/>
        <v>0P0</v>
      </c>
      <c r="AD2278" t="str">
        <f t="shared" si="672"/>
        <v>P00</v>
      </c>
      <c r="AE2278" t="str">
        <f t="shared" si="673"/>
        <v>0P0</v>
      </c>
      <c r="AF2278" t="str">
        <f t="shared" si="674"/>
        <v>P00</v>
      </c>
      <c r="AG2278" t="str">
        <f t="shared" si="680"/>
        <v>0P00</v>
      </c>
      <c r="AH2278" t="str">
        <f t="shared" si="681"/>
        <v>P000</v>
      </c>
      <c r="AI2278" t="str">
        <f t="shared" si="682"/>
        <v>0P00</v>
      </c>
      <c r="AJ2278" t="str">
        <f t="shared" si="683"/>
        <v>P000</v>
      </c>
    </row>
    <row r="2279" spans="1:36" x14ac:dyDescent="0.25">
      <c r="A2279" s="325" t="str">
        <f>CONCATENATE("P",'906MP'!M1979)</f>
        <v>P</v>
      </c>
      <c r="B2279">
        <f>'906MP'!H1979</f>
        <v>0</v>
      </c>
      <c r="C2279">
        <f>'906MP'!J1979</f>
        <v>0</v>
      </c>
      <c r="D2279">
        <f>'906MP'!P1979</f>
        <v>0</v>
      </c>
      <c r="E2279">
        <f>'906MP'!X1979</f>
        <v>0</v>
      </c>
      <c r="F2279" t="str">
        <f t="shared" si="675"/>
        <v>0</v>
      </c>
      <c r="G2279" t="str">
        <f t="shared" si="676"/>
        <v>0</v>
      </c>
      <c r="H2279">
        <f>'906MP'!Y1979</f>
        <v>0</v>
      </c>
      <c r="I2279">
        <f>'906MP'!AK1979</f>
        <v>0</v>
      </c>
      <c r="J2279">
        <f>'906MP'!T1979</f>
        <v>0</v>
      </c>
      <c r="K2279">
        <f>'906MP'!AJ1979</f>
        <v>0</v>
      </c>
      <c r="L2279">
        <f>'906MP'!U1979</f>
        <v>0</v>
      </c>
      <c r="M2279" s="322" t="str">
        <f>IFERROR(VLOOKUP(A2279,PAR!$D$3:$E$53,2,FALSE),"nincs szervezet")</f>
        <v>nincs szervezet</v>
      </c>
      <c r="N2279" s="322" t="str">
        <f>VLOOKUP(F2279,PAR!$R$3:$S$5,2,FALSE)</f>
        <v>3 - egyik sem</v>
      </c>
      <c r="O2279" t="str">
        <f>IFERROR(VLOOKUP(J2279,PAR!$O$3:$P$5,2,FALSE),"nincs feladat")</f>
        <v>nincs feladat</v>
      </c>
      <c r="P2279" t="str">
        <f>IFERROR(VLOOKUP(G2279,PAR!$J$2:$M$19,4),"nincs rovat")</f>
        <v>nincs rovat</v>
      </c>
      <c r="Q2279" t="str">
        <f>IF(H2279&gt;0,VLOOKUP(H2279,PAR!$AA$3:$AC$187,3,FALSE),"nincs főkönyvi számla")</f>
        <v>nincs főkönyvi számla</v>
      </c>
      <c r="R2279" t="str">
        <f>IFERROR(VLOOKUP(K2279,PAR!$V$3:$X$438,3,FALSE),"000000 - Nincs COFOG")</f>
        <v>000000 - Nincs COFOG</v>
      </c>
      <c r="S2279">
        <f t="shared" si="677"/>
        <v>0</v>
      </c>
      <c r="T2279">
        <f t="shared" si="678"/>
        <v>0</v>
      </c>
      <c r="U2279" t="str">
        <f>IF('906MP'!J1979&gt;0,CONCATENATE('906MP'!J1979," - ",'906MP'!P1979,", ",'906MP'!E1979),"nincs megjegyzés")</f>
        <v>nincs megjegyzés</v>
      </c>
      <c r="V2279" t="str">
        <f t="shared" si="665"/>
        <v>0P0</v>
      </c>
      <c r="W2279" t="str">
        <f t="shared" si="666"/>
        <v>0P0</v>
      </c>
      <c r="X2279" t="str">
        <f t="shared" si="667"/>
        <v>P0</v>
      </c>
      <c r="Y2279" t="str">
        <f t="shared" si="668"/>
        <v>00</v>
      </c>
      <c r="Z2279" t="str">
        <f t="shared" si="679"/>
        <v>00</v>
      </c>
      <c r="AA2279" t="str">
        <f t="shared" si="669"/>
        <v>00</v>
      </c>
      <c r="AB2279" t="str">
        <f t="shared" si="670"/>
        <v>00</v>
      </c>
      <c r="AC2279" t="str">
        <f t="shared" si="671"/>
        <v>0P0</v>
      </c>
      <c r="AD2279" t="str">
        <f t="shared" si="672"/>
        <v>P00</v>
      </c>
      <c r="AE2279" t="str">
        <f t="shared" si="673"/>
        <v>0P0</v>
      </c>
      <c r="AF2279" t="str">
        <f t="shared" si="674"/>
        <v>P00</v>
      </c>
      <c r="AG2279" t="str">
        <f t="shared" si="680"/>
        <v>0P00</v>
      </c>
      <c r="AH2279" t="str">
        <f t="shared" si="681"/>
        <v>P000</v>
      </c>
      <c r="AI2279" t="str">
        <f t="shared" si="682"/>
        <v>0P00</v>
      </c>
      <c r="AJ2279" t="str">
        <f t="shared" si="683"/>
        <v>P000</v>
      </c>
    </row>
    <row r="2280" spans="1:36" x14ac:dyDescent="0.25">
      <c r="A2280" s="325" t="str">
        <f>CONCATENATE("P",'906MP'!M1980)</f>
        <v>P</v>
      </c>
      <c r="B2280">
        <f>'906MP'!H1980</f>
        <v>0</v>
      </c>
      <c r="C2280">
        <f>'906MP'!J1980</f>
        <v>0</v>
      </c>
      <c r="D2280">
        <f>'906MP'!P1980</f>
        <v>0</v>
      </c>
      <c r="E2280">
        <f>'906MP'!X1980</f>
        <v>0</v>
      </c>
      <c r="F2280" t="str">
        <f t="shared" si="675"/>
        <v>0</v>
      </c>
      <c r="G2280" t="str">
        <f t="shared" si="676"/>
        <v>0</v>
      </c>
      <c r="H2280">
        <f>'906MP'!Y1980</f>
        <v>0</v>
      </c>
      <c r="I2280">
        <f>'906MP'!AK1980</f>
        <v>0</v>
      </c>
      <c r="J2280">
        <f>'906MP'!T1980</f>
        <v>0</v>
      </c>
      <c r="K2280">
        <f>'906MP'!AJ1980</f>
        <v>0</v>
      </c>
      <c r="L2280">
        <f>'906MP'!U1980</f>
        <v>0</v>
      </c>
      <c r="M2280" s="322" t="str">
        <f>IFERROR(VLOOKUP(A2280,PAR!$D$3:$E$53,2,FALSE),"nincs szervezet")</f>
        <v>nincs szervezet</v>
      </c>
      <c r="N2280" s="322" t="str">
        <f>VLOOKUP(F2280,PAR!$R$3:$S$5,2,FALSE)</f>
        <v>3 - egyik sem</v>
      </c>
      <c r="O2280" t="str">
        <f>IFERROR(VLOOKUP(J2280,PAR!$O$3:$P$5,2,FALSE),"nincs feladat")</f>
        <v>nincs feladat</v>
      </c>
      <c r="P2280" t="str">
        <f>IFERROR(VLOOKUP(G2280,PAR!$J$2:$M$19,4),"nincs rovat")</f>
        <v>nincs rovat</v>
      </c>
      <c r="Q2280" t="str">
        <f>IF(H2280&gt;0,VLOOKUP(H2280,PAR!$AA$3:$AC$187,3,FALSE),"nincs főkönyvi számla")</f>
        <v>nincs főkönyvi számla</v>
      </c>
      <c r="R2280" t="str">
        <f>IFERROR(VLOOKUP(K2280,PAR!$V$3:$X$438,3,FALSE),"000000 - Nincs COFOG")</f>
        <v>000000 - Nincs COFOG</v>
      </c>
      <c r="S2280">
        <f t="shared" si="677"/>
        <v>0</v>
      </c>
      <c r="T2280">
        <f t="shared" si="678"/>
        <v>0</v>
      </c>
      <c r="U2280" t="str">
        <f>IF('906MP'!J1980&gt;0,CONCATENATE('906MP'!J1980," - ",'906MP'!P1980,", ",'906MP'!E1980),"nincs megjegyzés")</f>
        <v>nincs megjegyzés</v>
      </c>
      <c r="V2280" t="str">
        <f t="shared" si="665"/>
        <v>0P0</v>
      </c>
      <c r="W2280" t="str">
        <f t="shared" si="666"/>
        <v>0P0</v>
      </c>
      <c r="X2280" t="str">
        <f t="shared" si="667"/>
        <v>P0</v>
      </c>
      <c r="Y2280" t="str">
        <f t="shared" si="668"/>
        <v>00</v>
      </c>
      <c r="Z2280" t="str">
        <f t="shared" si="679"/>
        <v>00</v>
      </c>
      <c r="AA2280" t="str">
        <f t="shared" si="669"/>
        <v>00</v>
      </c>
      <c r="AB2280" t="str">
        <f t="shared" si="670"/>
        <v>00</v>
      </c>
      <c r="AC2280" t="str">
        <f t="shared" si="671"/>
        <v>0P0</v>
      </c>
      <c r="AD2280" t="str">
        <f t="shared" si="672"/>
        <v>P00</v>
      </c>
      <c r="AE2280" t="str">
        <f t="shared" si="673"/>
        <v>0P0</v>
      </c>
      <c r="AF2280" t="str">
        <f t="shared" si="674"/>
        <v>P00</v>
      </c>
      <c r="AG2280" t="str">
        <f t="shared" si="680"/>
        <v>0P00</v>
      </c>
      <c r="AH2280" t="str">
        <f t="shared" si="681"/>
        <v>P000</v>
      </c>
      <c r="AI2280" t="str">
        <f t="shared" si="682"/>
        <v>0P00</v>
      </c>
      <c r="AJ2280" t="str">
        <f t="shared" si="683"/>
        <v>P000</v>
      </c>
    </row>
    <row r="2281" spans="1:36" x14ac:dyDescent="0.25">
      <c r="A2281" s="325" t="str">
        <f>CONCATENATE("P",'906MP'!M1981)</f>
        <v>P</v>
      </c>
      <c r="B2281">
        <f>'906MP'!H1981</f>
        <v>0</v>
      </c>
      <c r="C2281">
        <f>'906MP'!J1981</f>
        <v>0</v>
      </c>
      <c r="D2281">
        <f>'906MP'!P1981</f>
        <v>0</v>
      </c>
      <c r="E2281">
        <f>'906MP'!X1981</f>
        <v>0</v>
      </c>
      <c r="F2281" t="str">
        <f t="shared" si="675"/>
        <v>0</v>
      </c>
      <c r="G2281" t="str">
        <f t="shared" si="676"/>
        <v>0</v>
      </c>
      <c r="H2281">
        <f>'906MP'!Y1981</f>
        <v>0</v>
      </c>
      <c r="I2281">
        <f>'906MP'!AK1981</f>
        <v>0</v>
      </c>
      <c r="J2281">
        <f>'906MP'!T1981</f>
        <v>0</v>
      </c>
      <c r="K2281">
        <f>'906MP'!AJ1981</f>
        <v>0</v>
      </c>
      <c r="L2281">
        <f>'906MP'!U1981</f>
        <v>0</v>
      </c>
      <c r="M2281" s="322" t="str">
        <f>IFERROR(VLOOKUP(A2281,PAR!$D$3:$E$53,2,FALSE),"nincs szervezet")</f>
        <v>nincs szervezet</v>
      </c>
      <c r="N2281" s="322" t="str">
        <f>VLOOKUP(F2281,PAR!$R$3:$S$5,2,FALSE)</f>
        <v>3 - egyik sem</v>
      </c>
      <c r="O2281" t="str">
        <f>IFERROR(VLOOKUP(J2281,PAR!$O$3:$P$5,2,FALSE),"nincs feladat")</f>
        <v>nincs feladat</v>
      </c>
      <c r="P2281" t="str">
        <f>IFERROR(VLOOKUP(G2281,PAR!$J$2:$M$19,4),"nincs rovat")</f>
        <v>nincs rovat</v>
      </c>
      <c r="Q2281" t="str">
        <f>IF(H2281&gt;0,VLOOKUP(H2281,PAR!$AA$3:$AC$187,3,FALSE),"nincs főkönyvi számla")</f>
        <v>nincs főkönyvi számla</v>
      </c>
      <c r="R2281" t="str">
        <f>IFERROR(VLOOKUP(K2281,PAR!$V$3:$X$438,3,FALSE),"000000 - Nincs COFOG")</f>
        <v>000000 - Nincs COFOG</v>
      </c>
      <c r="S2281">
        <f t="shared" si="677"/>
        <v>0</v>
      </c>
      <c r="T2281">
        <f t="shared" si="678"/>
        <v>0</v>
      </c>
      <c r="U2281" t="str">
        <f>IF('906MP'!J1981&gt;0,CONCATENATE('906MP'!J1981," - ",'906MP'!P1981,", ",'906MP'!E1981),"nincs megjegyzés")</f>
        <v>nincs megjegyzés</v>
      </c>
      <c r="V2281" t="str">
        <f t="shared" si="665"/>
        <v>0P0</v>
      </c>
      <c r="W2281" t="str">
        <f t="shared" si="666"/>
        <v>0P0</v>
      </c>
      <c r="X2281" t="str">
        <f t="shared" si="667"/>
        <v>P0</v>
      </c>
      <c r="Y2281" t="str">
        <f t="shared" si="668"/>
        <v>00</v>
      </c>
      <c r="Z2281" t="str">
        <f t="shared" si="679"/>
        <v>00</v>
      </c>
      <c r="AA2281" t="str">
        <f t="shared" si="669"/>
        <v>00</v>
      </c>
      <c r="AB2281" t="str">
        <f t="shared" si="670"/>
        <v>00</v>
      </c>
      <c r="AC2281" t="str">
        <f t="shared" si="671"/>
        <v>0P0</v>
      </c>
      <c r="AD2281" t="str">
        <f t="shared" si="672"/>
        <v>P00</v>
      </c>
      <c r="AE2281" t="str">
        <f t="shared" si="673"/>
        <v>0P0</v>
      </c>
      <c r="AF2281" t="str">
        <f t="shared" si="674"/>
        <v>P00</v>
      </c>
      <c r="AG2281" t="str">
        <f t="shared" si="680"/>
        <v>0P00</v>
      </c>
      <c r="AH2281" t="str">
        <f t="shared" si="681"/>
        <v>P000</v>
      </c>
      <c r="AI2281" t="str">
        <f t="shared" si="682"/>
        <v>0P00</v>
      </c>
      <c r="AJ2281" t="str">
        <f t="shared" si="683"/>
        <v>P000</v>
      </c>
    </row>
    <row r="2282" spans="1:36" x14ac:dyDescent="0.25">
      <c r="A2282" s="325" t="str">
        <f>CONCATENATE("P",'906MP'!M1982)</f>
        <v>P</v>
      </c>
      <c r="B2282">
        <f>'906MP'!H1982</f>
        <v>0</v>
      </c>
      <c r="C2282">
        <f>'906MP'!J1982</f>
        <v>0</v>
      </c>
      <c r="D2282">
        <f>'906MP'!P1982</f>
        <v>0</v>
      </c>
      <c r="E2282">
        <f>'906MP'!X1982</f>
        <v>0</v>
      </c>
      <c r="F2282" t="str">
        <f t="shared" si="675"/>
        <v>0</v>
      </c>
      <c r="G2282" t="str">
        <f t="shared" si="676"/>
        <v>0</v>
      </c>
      <c r="H2282">
        <f>'906MP'!Y1982</f>
        <v>0</v>
      </c>
      <c r="I2282">
        <f>'906MP'!AK1982</f>
        <v>0</v>
      </c>
      <c r="J2282">
        <f>'906MP'!T1982</f>
        <v>0</v>
      </c>
      <c r="K2282">
        <f>'906MP'!AJ1982</f>
        <v>0</v>
      </c>
      <c r="L2282">
        <f>'906MP'!U1982</f>
        <v>0</v>
      </c>
      <c r="M2282" s="322" t="str">
        <f>IFERROR(VLOOKUP(A2282,PAR!$D$3:$E$53,2,FALSE),"nincs szervezet")</f>
        <v>nincs szervezet</v>
      </c>
      <c r="N2282" s="322" t="str">
        <f>VLOOKUP(F2282,PAR!$R$3:$S$5,2,FALSE)</f>
        <v>3 - egyik sem</v>
      </c>
      <c r="O2282" t="str">
        <f>IFERROR(VLOOKUP(J2282,PAR!$O$3:$P$5,2,FALSE),"nincs feladat")</f>
        <v>nincs feladat</v>
      </c>
      <c r="P2282" t="str">
        <f>IFERROR(VLOOKUP(G2282,PAR!$J$2:$M$19,4),"nincs rovat")</f>
        <v>nincs rovat</v>
      </c>
      <c r="Q2282" t="str">
        <f>IF(H2282&gt;0,VLOOKUP(H2282,PAR!$AA$3:$AC$187,3,FALSE),"nincs főkönyvi számla")</f>
        <v>nincs főkönyvi számla</v>
      </c>
      <c r="R2282" t="str">
        <f>IFERROR(VLOOKUP(K2282,PAR!$V$3:$X$438,3,FALSE),"000000 - Nincs COFOG")</f>
        <v>000000 - Nincs COFOG</v>
      </c>
      <c r="S2282">
        <f t="shared" si="677"/>
        <v>0</v>
      </c>
      <c r="T2282">
        <f t="shared" si="678"/>
        <v>0</v>
      </c>
      <c r="U2282" t="str">
        <f>IF('906MP'!J1982&gt;0,CONCATENATE('906MP'!J1982," - ",'906MP'!P1982,", ",'906MP'!E1982),"nincs megjegyzés")</f>
        <v>nincs megjegyzés</v>
      </c>
      <c r="V2282" t="str">
        <f t="shared" si="665"/>
        <v>0P0</v>
      </c>
      <c r="W2282" t="str">
        <f t="shared" si="666"/>
        <v>0P0</v>
      </c>
      <c r="X2282" t="str">
        <f t="shared" si="667"/>
        <v>P0</v>
      </c>
      <c r="Y2282" t="str">
        <f t="shared" si="668"/>
        <v>00</v>
      </c>
      <c r="Z2282" t="str">
        <f t="shared" si="679"/>
        <v>00</v>
      </c>
      <c r="AA2282" t="str">
        <f t="shared" si="669"/>
        <v>00</v>
      </c>
      <c r="AB2282" t="str">
        <f t="shared" si="670"/>
        <v>00</v>
      </c>
      <c r="AC2282" t="str">
        <f t="shared" si="671"/>
        <v>0P0</v>
      </c>
      <c r="AD2282" t="str">
        <f t="shared" si="672"/>
        <v>P00</v>
      </c>
      <c r="AE2282" t="str">
        <f t="shared" si="673"/>
        <v>0P0</v>
      </c>
      <c r="AF2282" t="str">
        <f t="shared" si="674"/>
        <v>P00</v>
      </c>
      <c r="AG2282" t="str">
        <f t="shared" si="680"/>
        <v>0P00</v>
      </c>
      <c r="AH2282" t="str">
        <f t="shared" si="681"/>
        <v>P000</v>
      </c>
      <c r="AI2282" t="str">
        <f t="shared" si="682"/>
        <v>0P00</v>
      </c>
      <c r="AJ2282" t="str">
        <f t="shared" si="683"/>
        <v>P000</v>
      </c>
    </row>
    <row r="2283" spans="1:36" x14ac:dyDescent="0.25">
      <c r="A2283" s="325" t="str">
        <f>CONCATENATE("P",'906MP'!M1983)</f>
        <v>P</v>
      </c>
      <c r="B2283">
        <f>'906MP'!H1983</f>
        <v>0</v>
      </c>
      <c r="C2283">
        <f>'906MP'!J1983</f>
        <v>0</v>
      </c>
      <c r="D2283">
        <f>'906MP'!P1983</f>
        <v>0</v>
      </c>
      <c r="E2283">
        <f>'906MP'!X1983</f>
        <v>0</v>
      </c>
      <c r="F2283" t="str">
        <f t="shared" si="675"/>
        <v>0</v>
      </c>
      <c r="G2283" t="str">
        <f t="shared" si="676"/>
        <v>0</v>
      </c>
      <c r="H2283">
        <f>'906MP'!Y1983</f>
        <v>0</v>
      </c>
      <c r="I2283">
        <f>'906MP'!AK1983</f>
        <v>0</v>
      </c>
      <c r="J2283">
        <f>'906MP'!T1983</f>
        <v>0</v>
      </c>
      <c r="K2283">
        <f>'906MP'!AJ1983</f>
        <v>0</v>
      </c>
      <c r="L2283">
        <f>'906MP'!U1983</f>
        <v>0</v>
      </c>
      <c r="M2283" s="322" t="str">
        <f>IFERROR(VLOOKUP(A2283,PAR!$D$3:$E$53,2,FALSE),"nincs szervezet")</f>
        <v>nincs szervezet</v>
      </c>
      <c r="N2283" s="322" t="str">
        <f>VLOOKUP(F2283,PAR!$R$3:$S$5,2,FALSE)</f>
        <v>3 - egyik sem</v>
      </c>
      <c r="O2283" t="str">
        <f>IFERROR(VLOOKUP(J2283,PAR!$O$3:$P$5,2,FALSE),"nincs feladat")</f>
        <v>nincs feladat</v>
      </c>
      <c r="P2283" t="str">
        <f>IFERROR(VLOOKUP(G2283,PAR!$J$2:$M$19,4),"nincs rovat")</f>
        <v>nincs rovat</v>
      </c>
      <c r="Q2283" t="str">
        <f>IF(H2283&gt;0,VLOOKUP(H2283,PAR!$AA$3:$AC$187,3,FALSE),"nincs főkönyvi számla")</f>
        <v>nincs főkönyvi számla</v>
      </c>
      <c r="R2283" t="str">
        <f>IFERROR(VLOOKUP(K2283,PAR!$V$3:$X$438,3,FALSE),"000000 - Nincs COFOG")</f>
        <v>000000 - Nincs COFOG</v>
      </c>
      <c r="S2283">
        <f t="shared" si="677"/>
        <v>0</v>
      </c>
      <c r="T2283">
        <f t="shared" si="678"/>
        <v>0</v>
      </c>
      <c r="U2283" t="str">
        <f>IF('906MP'!J1983&gt;0,CONCATENATE('906MP'!J1983," - ",'906MP'!P1983,", ",'906MP'!E1983),"nincs megjegyzés")</f>
        <v>nincs megjegyzés</v>
      </c>
      <c r="V2283" t="str">
        <f t="shared" si="665"/>
        <v>0P0</v>
      </c>
      <c r="W2283" t="str">
        <f t="shared" si="666"/>
        <v>0P0</v>
      </c>
      <c r="X2283" t="str">
        <f t="shared" si="667"/>
        <v>P0</v>
      </c>
      <c r="Y2283" t="str">
        <f t="shared" si="668"/>
        <v>00</v>
      </c>
      <c r="Z2283" t="str">
        <f t="shared" si="679"/>
        <v>00</v>
      </c>
      <c r="AA2283" t="str">
        <f t="shared" si="669"/>
        <v>00</v>
      </c>
      <c r="AB2283" t="str">
        <f t="shared" si="670"/>
        <v>00</v>
      </c>
      <c r="AC2283" t="str">
        <f t="shared" si="671"/>
        <v>0P0</v>
      </c>
      <c r="AD2283" t="str">
        <f t="shared" si="672"/>
        <v>P00</v>
      </c>
      <c r="AE2283" t="str">
        <f t="shared" si="673"/>
        <v>0P0</v>
      </c>
      <c r="AF2283" t="str">
        <f t="shared" si="674"/>
        <v>P00</v>
      </c>
      <c r="AG2283" t="str">
        <f t="shared" si="680"/>
        <v>0P00</v>
      </c>
      <c r="AH2283" t="str">
        <f t="shared" si="681"/>
        <v>P000</v>
      </c>
      <c r="AI2283" t="str">
        <f t="shared" si="682"/>
        <v>0P00</v>
      </c>
      <c r="AJ2283" t="str">
        <f t="shared" si="683"/>
        <v>P000</v>
      </c>
    </row>
    <row r="2284" spans="1:36" x14ac:dyDescent="0.25">
      <c r="A2284" s="325" t="str">
        <f>CONCATENATE("P",'906MP'!M1984)</f>
        <v>P</v>
      </c>
      <c r="B2284">
        <f>'906MP'!H1984</f>
        <v>0</v>
      </c>
      <c r="C2284">
        <f>'906MP'!J1984</f>
        <v>0</v>
      </c>
      <c r="D2284">
        <f>'906MP'!P1984</f>
        <v>0</v>
      </c>
      <c r="E2284">
        <f>'906MP'!X1984</f>
        <v>0</v>
      </c>
      <c r="F2284" t="str">
        <f t="shared" si="675"/>
        <v>0</v>
      </c>
      <c r="G2284" t="str">
        <f t="shared" si="676"/>
        <v>0</v>
      </c>
      <c r="H2284">
        <f>'906MP'!Y1984</f>
        <v>0</v>
      </c>
      <c r="I2284">
        <f>'906MP'!AK1984</f>
        <v>0</v>
      </c>
      <c r="J2284">
        <f>'906MP'!T1984</f>
        <v>0</v>
      </c>
      <c r="K2284">
        <f>'906MP'!AJ1984</f>
        <v>0</v>
      </c>
      <c r="L2284">
        <f>'906MP'!U1984</f>
        <v>0</v>
      </c>
      <c r="M2284" s="322" t="str">
        <f>IFERROR(VLOOKUP(A2284,PAR!$D$3:$E$53,2,FALSE),"nincs szervezet")</f>
        <v>nincs szervezet</v>
      </c>
      <c r="N2284" s="322" t="str">
        <f>VLOOKUP(F2284,PAR!$R$3:$S$5,2,FALSE)</f>
        <v>3 - egyik sem</v>
      </c>
      <c r="O2284" t="str">
        <f>IFERROR(VLOOKUP(J2284,PAR!$O$3:$P$5,2,FALSE),"nincs feladat")</f>
        <v>nincs feladat</v>
      </c>
      <c r="P2284" t="str">
        <f>IFERROR(VLOOKUP(G2284,PAR!$J$2:$M$19,4),"nincs rovat")</f>
        <v>nincs rovat</v>
      </c>
      <c r="Q2284" t="str">
        <f>IF(H2284&gt;0,VLOOKUP(H2284,PAR!$AA$3:$AC$187,3,FALSE),"nincs főkönyvi számla")</f>
        <v>nincs főkönyvi számla</v>
      </c>
      <c r="R2284" t="str">
        <f>IFERROR(VLOOKUP(K2284,PAR!$V$3:$X$438,3,FALSE),"000000 - Nincs COFOG")</f>
        <v>000000 - Nincs COFOG</v>
      </c>
      <c r="S2284">
        <f t="shared" si="677"/>
        <v>0</v>
      </c>
      <c r="T2284">
        <f t="shared" si="678"/>
        <v>0</v>
      </c>
      <c r="U2284" t="str">
        <f>IF('906MP'!J1984&gt;0,CONCATENATE('906MP'!J1984," - ",'906MP'!P1984,", ",'906MP'!E1984),"nincs megjegyzés")</f>
        <v>nincs megjegyzés</v>
      </c>
      <c r="V2284" t="str">
        <f t="shared" si="665"/>
        <v>0P0</v>
      </c>
      <c r="W2284" t="str">
        <f t="shared" si="666"/>
        <v>0P0</v>
      </c>
      <c r="X2284" t="str">
        <f t="shared" si="667"/>
        <v>P0</v>
      </c>
      <c r="Y2284" t="str">
        <f t="shared" si="668"/>
        <v>00</v>
      </c>
      <c r="Z2284" t="str">
        <f t="shared" si="679"/>
        <v>00</v>
      </c>
      <c r="AA2284" t="str">
        <f t="shared" si="669"/>
        <v>00</v>
      </c>
      <c r="AB2284" t="str">
        <f t="shared" si="670"/>
        <v>00</v>
      </c>
      <c r="AC2284" t="str">
        <f t="shared" si="671"/>
        <v>0P0</v>
      </c>
      <c r="AD2284" t="str">
        <f t="shared" si="672"/>
        <v>P00</v>
      </c>
      <c r="AE2284" t="str">
        <f t="shared" si="673"/>
        <v>0P0</v>
      </c>
      <c r="AF2284" t="str">
        <f t="shared" si="674"/>
        <v>P00</v>
      </c>
      <c r="AG2284" t="str">
        <f t="shared" si="680"/>
        <v>0P00</v>
      </c>
      <c r="AH2284" t="str">
        <f t="shared" si="681"/>
        <v>P000</v>
      </c>
      <c r="AI2284" t="str">
        <f t="shared" si="682"/>
        <v>0P00</v>
      </c>
      <c r="AJ2284" t="str">
        <f t="shared" si="683"/>
        <v>P000</v>
      </c>
    </row>
    <row r="2285" spans="1:36" x14ac:dyDescent="0.25">
      <c r="A2285" s="325" t="str">
        <f>CONCATENATE("P",'906MP'!M1985)</f>
        <v>P</v>
      </c>
      <c r="B2285">
        <f>'906MP'!H1985</f>
        <v>0</v>
      </c>
      <c r="C2285">
        <f>'906MP'!J1985</f>
        <v>0</v>
      </c>
      <c r="D2285">
        <f>'906MP'!P1985</f>
        <v>0</v>
      </c>
      <c r="E2285">
        <f>'906MP'!X1985</f>
        <v>0</v>
      </c>
      <c r="F2285" t="str">
        <f t="shared" si="675"/>
        <v>0</v>
      </c>
      <c r="G2285" t="str">
        <f t="shared" si="676"/>
        <v>0</v>
      </c>
      <c r="H2285">
        <f>'906MP'!Y1985</f>
        <v>0</v>
      </c>
      <c r="I2285">
        <f>'906MP'!AK1985</f>
        <v>0</v>
      </c>
      <c r="J2285">
        <f>'906MP'!T1985</f>
        <v>0</v>
      </c>
      <c r="K2285">
        <f>'906MP'!AJ1985</f>
        <v>0</v>
      </c>
      <c r="L2285">
        <f>'906MP'!U1985</f>
        <v>0</v>
      </c>
      <c r="M2285" s="322" t="str">
        <f>IFERROR(VLOOKUP(A2285,PAR!$D$3:$E$53,2,FALSE),"nincs szervezet")</f>
        <v>nincs szervezet</v>
      </c>
      <c r="N2285" s="322" t="str">
        <f>VLOOKUP(F2285,PAR!$R$3:$S$5,2,FALSE)</f>
        <v>3 - egyik sem</v>
      </c>
      <c r="O2285" t="str">
        <f>IFERROR(VLOOKUP(J2285,PAR!$O$3:$P$5,2,FALSE),"nincs feladat")</f>
        <v>nincs feladat</v>
      </c>
      <c r="P2285" t="str">
        <f>IFERROR(VLOOKUP(G2285,PAR!$J$2:$M$19,4),"nincs rovat")</f>
        <v>nincs rovat</v>
      </c>
      <c r="Q2285" t="str">
        <f>IF(H2285&gt;0,VLOOKUP(H2285,PAR!$AA$3:$AC$187,3,FALSE),"nincs főkönyvi számla")</f>
        <v>nincs főkönyvi számla</v>
      </c>
      <c r="R2285" t="str">
        <f>IFERROR(VLOOKUP(K2285,PAR!$V$3:$X$438,3,FALSE),"000000 - Nincs COFOG")</f>
        <v>000000 - Nincs COFOG</v>
      </c>
      <c r="S2285">
        <f t="shared" si="677"/>
        <v>0</v>
      </c>
      <c r="T2285">
        <f t="shared" si="678"/>
        <v>0</v>
      </c>
      <c r="U2285" t="str">
        <f>IF('906MP'!J1985&gt;0,CONCATENATE('906MP'!J1985," - ",'906MP'!P1985,", ",'906MP'!E1985),"nincs megjegyzés")</f>
        <v>nincs megjegyzés</v>
      </c>
      <c r="V2285" t="str">
        <f t="shared" si="665"/>
        <v>0P0</v>
      </c>
      <c r="W2285" t="str">
        <f t="shared" si="666"/>
        <v>0P0</v>
      </c>
      <c r="X2285" t="str">
        <f t="shared" si="667"/>
        <v>P0</v>
      </c>
      <c r="Y2285" t="str">
        <f t="shared" si="668"/>
        <v>00</v>
      </c>
      <c r="Z2285" t="str">
        <f t="shared" si="679"/>
        <v>00</v>
      </c>
      <c r="AA2285" t="str">
        <f t="shared" si="669"/>
        <v>00</v>
      </c>
      <c r="AB2285" t="str">
        <f t="shared" si="670"/>
        <v>00</v>
      </c>
      <c r="AC2285" t="str">
        <f t="shared" si="671"/>
        <v>0P0</v>
      </c>
      <c r="AD2285" t="str">
        <f t="shared" si="672"/>
        <v>P00</v>
      </c>
      <c r="AE2285" t="str">
        <f t="shared" si="673"/>
        <v>0P0</v>
      </c>
      <c r="AF2285" t="str">
        <f t="shared" si="674"/>
        <v>P00</v>
      </c>
      <c r="AG2285" t="str">
        <f t="shared" si="680"/>
        <v>0P00</v>
      </c>
      <c r="AH2285" t="str">
        <f t="shared" si="681"/>
        <v>P000</v>
      </c>
      <c r="AI2285" t="str">
        <f t="shared" si="682"/>
        <v>0P00</v>
      </c>
      <c r="AJ2285" t="str">
        <f t="shared" si="683"/>
        <v>P000</v>
      </c>
    </row>
    <row r="2286" spans="1:36" x14ac:dyDescent="0.25">
      <c r="A2286" s="325" t="str">
        <f>CONCATENATE("P",'906MP'!M1986)</f>
        <v>P</v>
      </c>
      <c r="B2286">
        <f>'906MP'!H1986</f>
        <v>0</v>
      </c>
      <c r="C2286">
        <f>'906MP'!J1986</f>
        <v>0</v>
      </c>
      <c r="D2286">
        <f>'906MP'!P1986</f>
        <v>0</v>
      </c>
      <c r="E2286">
        <f>'906MP'!X1986</f>
        <v>0</v>
      </c>
      <c r="F2286" t="str">
        <f t="shared" si="675"/>
        <v>0</v>
      </c>
      <c r="G2286" t="str">
        <f t="shared" si="676"/>
        <v>0</v>
      </c>
      <c r="H2286">
        <f>'906MP'!Y1986</f>
        <v>0</v>
      </c>
      <c r="I2286">
        <f>'906MP'!AK1986</f>
        <v>0</v>
      </c>
      <c r="J2286">
        <f>'906MP'!T1986</f>
        <v>0</v>
      </c>
      <c r="K2286">
        <f>'906MP'!AJ1986</f>
        <v>0</v>
      </c>
      <c r="L2286">
        <f>'906MP'!U1986</f>
        <v>0</v>
      </c>
      <c r="M2286" s="322" t="str">
        <f>IFERROR(VLOOKUP(A2286,PAR!$D$3:$E$53,2,FALSE),"nincs szervezet")</f>
        <v>nincs szervezet</v>
      </c>
      <c r="N2286" s="322" t="str">
        <f>VLOOKUP(F2286,PAR!$R$3:$S$5,2,FALSE)</f>
        <v>3 - egyik sem</v>
      </c>
      <c r="O2286" t="str">
        <f>IFERROR(VLOOKUP(J2286,PAR!$O$3:$P$5,2,FALSE),"nincs feladat")</f>
        <v>nincs feladat</v>
      </c>
      <c r="P2286" t="str">
        <f>IFERROR(VLOOKUP(G2286,PAR!$J$2:$M$19,4),"nincs rovat")</f>
        <v>nincs rovat</v>
      </c>
      <c r="Q2286" t="str">
        <f>IF(H2286&gt;0,VLOOKUP(H2286,PAR!$AA$3:$AC$187,3,FALSE),"nincs főkönyvi számla")</f>
        <v>nincs főkönyvi számla</v>
      </c>
      <c r="R2286" t="str">
        <f>IFERROR(VLOOKUP(K2286,PAR!$V$3:$X$438,3,FALSE),"000000 - Nincs COFOG")</f>
        <v>000000 - Nincs COFOG</v>
      </c>
      <c r="S2286">
        <f t="shared" si="677"/>
        <v>0</v>
      </c>
      <c r="T2286">
        <f t="shared" si="678"/>
        <v>0</v>
      </c>
      <c r="U2286" t="str">
        <f>IF('906MP'!J1986&gt;0,CONCATENATE('906MP'!J1986," - ",'906MP'!P1986,", ",'906MP'!E1986),"nincs megjegyzés")</f>
        <v>nincs megjegyzés</v>
      </c>
      <c r="V2286" t="str">
        <f t="shared" si="665"/>
        <v>0P0</v>
      </c>
      <c r="W2286" t="str">
        <f t="shared" si="666"/>
        <v>0P0</v>
      </c>
      <c r="X2286" t="str">
        <f t="shared" si="667"/>
        <v>P0</v>
      </c>
      <c r="Y2286" t="str">
        <f t="shared" si="668"/>
        <v>00</v>
      </c>
      <c r="Z2286" t="str">
        <f t="shared" si="679"/>
        <v>00</v>
      </c>
      <c r="AA2286" t="str">
        <f t="shared" si="669"/>
        <v>00</v>
      </c>
      <c r="AB2286" t="str">
        <f t="shared" si="670"/>
        <v>00</v>
      </c>
      <c r="AC2286" t="str">
        <f t="shared" si="671"/>
        <v>0P0</v>
      </c>
      <c r="AD2286" t="str">
        <f t="shared" si="672"/>
        <v>P00</v>
      </c>
      <c r="AE2286" t="str">
        <f t="shared" si="673"/>
        <v>0P0</v>
      </c>
      <c r="AF2286" t="str">
        <f t="shared" si="674"/>
        <v>P00</v>
      </c>
      <c r="AG2286" t="str">
        <f t="shared" si="680"/>
        <v>0P00</v>
      </c>
      <c r="AH2286" t="str">
        <f t="shared" si="681"/>
        <v>P000</v>
      </c>
      <c r="AI2286" t="str">
        <f t="shared" si="682"/>
        <v>0P00</v>
      </c>
      <c r="AJ2286" t="str">
        <f t="shared" si="683"/>
        <v>P000</v>
      </c>
    </row>
    <row r="2287" spans="1:36" x14ac:dyDescent="0.25">
      <c r="A2287" s="325" t="str">
        <f>CONCATENATE("P",'906MP'!M1987)</f>
        <v>P</v>
      </c>
      <c r="B2287">
        <f>'906MP'!H1987</f>
        <v>0</v>
      </c>
      <c r="C2287">
        <f>'906MP'!J1987</f>
        <v>0</v>
      </c>
      <c r="D2287">
        <f>'906MP'!P1987</f>
        <v>0</v>
      </c>
      <c r="E2287">
        <f>'906MP'!X1987</f>
        <v>0</v>
      </c>
      <c r="F2287" t="str">
        <f t="shared" si="675"/>
        <v>0</v>
      </c>
      <c r="G2287" t="str">
        <f t="shared" si="676"/>
        <v>0</v>
      </c>
      <c r="H2287">
        <f>'906MP'!Y1987</f>
        <v>0</v>
      </c>
      <c r="I2287">
        <f>'906MP'!AK1987</f>
        <v>0</v>
      </c>
      <c r="J2287">
        <f>'906MP'!T1987</f>
        <v>0</v>
      </c>
      <c r="K2287">
        <f>'906MP'!AJ1987</f>
        <v>0</v>
      </c>
      <c r="L2287">
        <f>'906MP'!U1987</f>
        <v>0</v>
      </c>
      <c r="M2287" s="322" t="str">
        <f>IFERROR(VLOOKUP(A2287,PAR!$D$3:$E$53,2,FALSE),"nincs szervezet")</f>
        <v>nincs szervezet</v>
      </c>
      <c r="N2287" s="322" t="str">
        <f>VLOOKUP(F2287,PAR!$R$3:$S$5,2,FALSE)</f>
        <v>3 - egyik sem</v>
      </c>
      <c r="O2287" t="str">
        <f>IFERROR(VLOOKUP(J2287,PAR!$O$3:$P$5,2,FALSE),"nincs feladat")</f>
        <v>nincs feladat</v>
      </c>
      <c r="P2287" t="str">
        <f>IFERROR(VLOOKUP(G2287,PAR!$J$2:$M$19,4),"nincs rovat")</f>
        <v>nincs rovat</v>
      </c>
      <c r="Q2287" t="str">
        <f>IF(H2287&gt;0,VLOOKUP(H2287,PAR!$AA$3:$AC$187,3,FALSE),"nincs főkönyvi számla")</f>
        <v>nincs főkönyvi számla</v>
      </c>
      <c r="R2287" t="str">
        <f>IFERROR(VLOOKUP(K2287,PAR!$V$3:$X$438,3,FALSE),"000000 - Nincs COFOG")</f>
        <v>000000 - Nincs COFOG</v>
      </c>
      <c r="S2287">
        <f t="shared" si="677"/>
        <v>0</v>
      </c>
      <c r="T2287">
        <f t="shared" si="678"/>
        <v>0</v>
      </c>
      <c r="U2287" t="str">
        <f>IF('906MP'!J1987&gt;0,CONCATENATE('906MP'!J1987," - ",'906MP'!P1987,", ",'906MP'!E1987),"nincs megjegyzés")</f>
        <v>nincs megjegyzés</v>
      </c>
      <c r="V2287" t="str">
        <f t="shared" si="665"/>
        <v>0P0</v>
      </c>
      <c r="W2287" t="str">
        <f t="shared" si="666"/>
        <v>0P0</v>
      </c>
      <c r="X2287" t="str">
        <f t="shared" si="667"/>
        <v>P0</v>
      </c>
      <c r="Y2287" t="str">
        <f t="shared" si="668"/>
        <v>00</v>
      </c>
      <c r="Z2287" t="str">
        <f t="shared" si="679"/>
        <v>00</v>
      </c>
      <c r="AA2287" t="str">
        <f t="shared" si="669"/>
        <v>00</v>
      </c>
      <c r="AB2287" t="str">
        <f t="shared" si="670"/>
        <v>00</v>
      </c>
      <c r="AC2287" t="str">
        <f t="shared" si="671"/>
        <v>0P0</v>
      </c>
      <c r="AD2287" t="str">
        <f t="shared" si="672"/>
        <v>P00</v>
      </c>
      <c r="AE2287" t="str">
        <f t="shared" si="673"/>
        <v>0P0</v>
      </c>
      <c r="AF2287" t="str">
        <f t="shared" si="674"/>
        <v>P00</v>
      </c>
      <c r="AG2287" t="str">
        <f t="shared" si="680"/>
        <v>0P00</v>
      </c>
      <c r="AH2287" t="str">
        <f t="shared" si="681"/>
        <v>P000</v>
      </c>
      <c r="AI2287" t="str">
        <f t="shared" si="682"/>
        <v>0P00</v>
      </c>
      <c r="AJ2287" t="str">
        <f t="shared" si="683"/>
        <v>P000</v>
      </c>
    </row>
    <row r="2288" spans="1:36" x14ac:dyDescent="0.25">
      <c r="A2288" s="325" t="str">
        <f>CONCATENATE("P",'906MP'!M1988)</f>
        <v>P</v>
      </c>
      <c r="B2288">
        <f>'906MP'!H1988</f>
        <v>0</v>
      </c>
      <c r="C2288">
        <f>'906MP'!J1988</f>
        <v>0</v>
      </c>
      <c r="D2288">
        <f>'906MP'!P1988</f>
        <v>0</v>
      </c>
      <c r="E2288">
        <f>'906MP'!X1988</f>
        <v>0</v>
      </c>
      <c r="F2288" t="str">
        <f t="shared" si="675"/>
        <v>0</v>
      </c>
      <c r="G2288" t="str">
        <f t="shared" si="676"/>
        <v>0</v>
      </c>
      <c r="H2288">
        <f>'906MP'!Y1988</f>
        <v>0</v>
      </c>
      <c r="I2288">
        <f>'906MP'!AK1988</f>
        <v>0</v>
      </c>
      <c r="J2288">
        <f>'906MP'!T1988</f>
        <v>0</v>
      </c>
      <c r="K2288">
        <f>'906MP'!AJ1988</f>
        <v>0</v>
      </c>
      <c r="L2288">
        <f>'906MP'!U1988</f>
        <v>0</v>
      </c>
      <c r="M2288" s="322" t="str">
        <f>IFERROR(VLOOKUP(A2288,PAR!$D$3:$E$53,2,FALSE),"nincs szervezet")</f>
        <v>nincs szervezet</v>
      </c>
      <c r="N2288" s="322" t="str">
        <f>VLOOKUP(F2288,PAR!$R$3:$S$5,2,FALSE)</f>
        <v>3 - egyik sem</v>
      </c>
      <c r="O2288" t="str">
        <f>IFERROR(VLOOKUP(J2288,PAR!$O$3:$P$5,2,FALSE),"nincs feladat")</f>
        <v>nincs feladat</v>
      </c>
      <c r="P2288" t="str">
        <f>IFERROR(VLOOKUP(G2288,PAR!$J$2:$M$19,4),"nincs rovat")</f>
        <v>nincs rovat</v>
      </c>
      <c r="Q2288" t="str">
        <f>IF(H2288&gt;0,VLOOKUP(H2288,PAR!$AA$3:$AC$187,3,FALSE),"nincs főkönyvi számla")</f>
        <v>nincs főkönyvi számla</v>
      </c>
      <c r="R2288" t="str">
        <f>IFERROR(VLOOKUP(K2288,PAR!$V$3:$X$438,3,FALSE),"000000 - Nincs COFOG")</f>
        <v>000000 - Nincs COFOG</v>
      </c>
      <c r="S2288">
        <f t="shared" si="677"/>
        <v>0</v>
      </c>
      <c r="T2288">
        <f t="shared" si="678"/>
        <v>0</v>
      </c>
      <c r="U2288" t="str">
        <f>IF('906MP'!J1988&gt;0,CONCATENATE('906MP'!J1988," - ",'906MP'!P1988,", ",'906MP'!E1988),"nincs megjegyzés")</f>
        <v>nincs megjegyzés</v>
      </c>
      <c r="V2288" t="str">
        <f t="shared" si="665"/>
        <v>0P0</v>
      </c>
      <c r="W2288" t="str">
        <f t="shared" si="666"/>
        <v>0P0</v>
      </c>
      <c r="X2288" t="str">
        <f t="shared" si="667"/>
        <v>P0</v>
      </c>
      <c r="Y2288" t="str">
        <f t="shared" si="668"/>
        <v>00</v>
      </c>
      <c r="Z2288" t="str">
        <f t="shared" si="679"/>
        <v>00</v>
      </c>
      <c r="AA2288" t="str">
        <f t="shared" si="669"/>
        <v>00</v>
      </c>
      <c r="AB2288" t="str">
        <f t="shared" si="670"/>
        <v>00</v>
      </c>
      <c r="AC2288" t="str">
        <f t="shared" si="671"/>
        <v>0P0</v>
      </c>
      <c r="AD2288" t="str">
        <f t="shared" si="672"/>
        <v>P00</v>
      </c>
      <c r="AE2288" t="str">
        <f t="shared" si="673"/>
        <v>0P0</v>
      </c>
      <c r="AF2288" t="str">
        <f t="shared" si="674"/>
        <v>P00</v>
      </c>
      <c r="AG2288" t="str">
        <f t="shared" si="680"/>
        <v>0P00</v>
      </c>
      <c r="AH2288" t="str">
        <f t="shared" si="681"/>
        <v>P000</v>
      </c>
      <c r="AI2288" t="str">
        <f t="shared" si="682"/>
        <v>0P00</v>
      </c>
      <c r="AJ2288" t="str">
        <f t="shared" si="683"/>
        <v>P000</v>
      </c>
    </row>
    <row r="2289" spans="1:36" x14ac:dyDescent="0.25">
      <c r="A2289" s="325" t="str">
        <f>CONCATENATE("P",'906MP'!M1989)</f>
        <v>P</v>
      </c>
      <c r="B2289">
        <f>'906MP'!H1989</f>
        <v>0</v>
      </c>
      <c r="C2289">
        <f>'906MP'!J1989</f>
        <v>0</v>
      </c>
      <c r="D2289">
        <f>'906MP'!P1989</f>
        <v>0</v>
      </c>
      <c r="E2289">
        <f>'906MP'!X1989</f>
        <v>0</v>
      </c>
      <c r="F2289" t="str">
        <f t="shared" si="675"/>
        <v>0</v>
      </c>
      <c r="G2289" t="str">
        <f t="shared" si="676"/>
        <v>0</v>
      </c>
      <c r="H2289">
        <f>'906MP'!Y1989</f>
        <v>0</v>
      </c>
      <c r="I2289">
        <f>'906MP'!AK1989</f>
        <v>0</v>
      </c>
      <c r="J2289">
        <f>'906MP'!T1989</f>
        <v>0</v>
      </c>
      <c r="K2289">
        <f>'906MP'!AJ1989</f>
        <v>0</v>
      </c>
      <c r="L2289">
        <f>'906MP'!U1989</f>
        <v>0</v>
      </c>
      <c r="M2289" s="322" t="str">
        <f>IFERROR(VLOOKUP(A2289,PAR!$D$3:$E$53,2,FALSE),"nincs szervezet")</f>
        <v>nincs szervezet</v>
      </c>
      <c r="N2289" s="322" t="str">
        <f>VLOOKUP(F2289,PAR!$R$3:$S$5,2,FALSE)</f>
        <v>3 - egyik sem</v>
      </c>
      <c r="O2289" t="str">
        <f>IFERROR(VLOOKUP(J2289,PAR!$O$3:$P$5,2,FALSE),"nincs feladat")</f>
        <v>nincs feladat</v>
      </c>
      <c r="P2289" t="str">
        <f>IFERROR(VLOOKUP(G2289,PAR!$J$2:$M$19,4),"nincs rovat")</f>
        <v>nincs rovat</v>
      </c>
      <c r="Q2289" t="str">
        <f>IF(H2289&gt;0,VLOOKUP(H2289,PAR!$AA$3:$AC$187,3,FALSE),"nincs főkönyvi számla")</f>
        <v>nincs főkönyvi számla</v>
      </c>
      <c r="R2289" t="str">
        <f>IFERROR(VLOOKUP(K2289,PAR!$V$3:$X$438,3,FALSE),"000000 - Nincs COFOG")</f>
        <v>000000 - Nincs COFOG</v>
      </c>
      <c r="S2289">
        <f t="shared" si="677"/>
        <v>0</v>
      </c>
      <c r="T2289">
        <f t="shared" si="678"/>
        <v>0</v>
      </c>
      <c r="U2289" t="str">
        <f>IF('906MP'!J1989&gt;0,CONCATENATE('906MP'!J1989," - ",'906MP'!P1989,", ",'906MP'!E1989),"nincs megjegyzés")</f>
        <v>nincs megjegyzés</v>
      </c>
      <c r="V2289" t="str">
        <f t="shared" si="665"/>
        <v>0P0</v>
      </c>
      <c r="W2289" t="str">
        <f t="shared" si="666"/>
        <v>0P0</v>
      </c>
      <c r="X2289" t="str">
        <f t="shared" si="667"/>
        <v>P0</v>
      </c>
      <c r="Y2289" t="str">
        <f t="shared" si="668"/>
        <v>00</v>
      </c>
      <c r="Z2289" t="str">
        <f t="shared" si="679"/>
        <v>00</v>
      </c>
      <c r="AA2289" t="str">
        <f t="shared" si="669"/>
        <v>00</v>
      </c>
      <c r="AB2289" t="str">
        <f t="shared" si="670"/>
        <v>00</v>
      </c>
      <c r="AC2289" t="str">
        <f t="shared" si="671"/>
        <v>0P0</v>
      </c>
      <c r="AD2289" t="str">
        <f t="shared" si="672"/>
        <v>P00</v>
      </c>
      <c r="AE2289" t="str">
        <f t="shared" si="673"/>
        <v>0P0</v>
      </c>
      <c r="AF2289" t="str">
        <f t="shared" si="674"/>
        <v>P00</v>
      </c>
      <c r="AG2289" t="str">
        <f t="shared" si="680"/>
        <v>0P00</v>
      </c>
      <c r="AH2289" t="str">
        <f t="shared" si="681"/>
        <v>P000</v>
      </c>
      <c r="AI2289" t="str">
        <f t="shared" si="682"/>
        <v>0P00</v>
      </c>
      <c r="AJ2289" t="str">
        <f t="shared" si="683"/>
        <v>P000</v>
      </c>
    </row>
    <row r="2290" spans="1:36" x14ac:dyDescent="0.25">
      <c r="A2290" s="325" t="str">
        <f>CONCATENATE("P",'906MP'!M1990)</f>
        <v>P</v>
      </c>
      <c r="B2290">
        <f>'906MP'!H1990</f>
        <v>0</v>
      </c>
      <c r="C2290">
        <f>'906MP'!J1990</f>
        <v>0</v>
      </c>
      <c r="D2290">
        <f>'906MP'!P1990</f>
        <v>0</v>
      </c>
      <c r="E2290">
        <f>'906MP'!X1990</f>
        <v>0</v>
      </c>
      <c r="F2290" t="str">
        <f t="shared" si="675"/>
        <v>0</v>
      </c>
      <c r="G2290" t="str">
        <f t="shared" si="676"/>
        <v>0</v>
      </c>
      <c r="H2290">
        <f>'906MP'!Y1990</f>
        <v>0</v>
      </c>
      <c r="I2290">
        <f>'906MP'!AK1990</f>
        <v>0</v>
      </c>
      <c r="J2290">
        <f>'906MP'!T1990</f>
        <v>0</v>
      </c>
      <c r="K2290">
        <f>'906MP'!AJ1990</f>
        <v>0</v>
      </c>
      <c r="L2290">
        <f>'906MP'!U1990</f>
        <v>0</v>
      </c>
      <c r="M2290" s="322" t="str">
        <f>IFERROR(VLOOKUP(A2290,PAR!$D$3:$E$53,2,FALSE),"nincs szervezet")</f>
        <v>nincs szervezet</v>
      </c>
      <c r="N2290" s="322" t="str">
        <f>VLOOKUP(F2290,PAR!$R$3:$S$5,2,FALSE)</f>
        <v>3 - egyik sem</v>
      </c>
      <c r="O2290" t="str">
        <f>IFERROR(VLOOKUP(J2290,PAR!$O$3:$P$5,2,FALSE),"nincs feladat")</f>
        <v>nincs feladat</v>
      </c>
      <c r="P2290" t="str">
        <f>IFERROR(VLOOKUP(G2290,PAR!$J$2:$M$19,4),"nincs rovat")</f>
        <v>nincs rovat</v>
      </c>
      <c r="Q2290" t="str">
        <f>IF(H2290&gt;0,VLOOKUP(H2290,PAR!$AA$3:$AC$187,3,FALSE),"nincs főkönyvi számla")</f>
        <v>nincs főkönyvi számla</v>
      </c>
      <c r="R2290" t="str">
        <f>IFERROR(VLOOKUP(K2290,PAR!$V$3:$X$438,3,FALSE),"000000 - Nincs COFOG")</f>
        <v>000000 - Nincs COFOG</v>
      </c>
      <c r="S2290">
        <f t="shared" si="677"/>
        <v>0</v>
      </c>
      <c r="T2290">
        <f t="shared" si="678"/>
        <v>0</v>
      </c>
      <c r="U2290" t="str">
        <f>IF('906MP'!J1990&gt;0,CONCATENATE('906MP'!J1990," - ",'906MP'!P1990,", ",'906MP'!E1990),"nincs megjegyzés")</f>
        <v>nincs megjegyzés</v>
      </c>
      <c r="V2290" t="str">
        <f t="shared" si="665"/>
        <v>0P0</v>
      </c>
      <c r="W2290" t="str">
        <f t="shared" si="666"/>
        <v>0P0</v>
      </c>
      <c r="X2290" t="str">
        <f t="shared" si="667"/>
        <v>P0</v>
      </c>
      <c r="Y2290" t="str">
        <f t="shared" si="668"/>
        <v>00</v>
      </c>
      <c r="Z2290" t="str">
        <f t="shared" si="679"/>
        <v>00</v>
      </c>
      <c r="AA2290" t="str">
        <f t="shared" si="669"/>
        <v>00</v>
      </c>
      <c r="AB2290" t="str">
        <f t="shared" si="670"/>
        <v>00</v>
      </c>
      <c r="AC2290" t="str">
        <f t="shared" si="671"/>
        <v>0P0</v>
      </c>
      <c r="AD2290" t="str">
        <f t="shared" si="672"/>
        <v>P00</v>
      </c>
      <c r="AE2290" t="str">
        <f t="shared" si="673"/>
        <v>0P0</v>
      </c>
      <c r="AF2290" t="str">
        <f t="shared" si="674"/>
        <v>P00</v>
      </c>
      <c r="AG2290" t="str">
        <f t="shared" si="680"/>
        <v>0P00</v>
      </c>
      <c r="AH2290" t="str">
        <f t="shared" si="681"/>
        <v>P000</v>
      </c>
      <c r="AI2290" t="str">
        <f t="shared" si="682"/>
        <v>0P00</v>
      </c>
      <c r="AJ2290" t="str">
        <f t="shared" si="683"/>
        <v>P000</v>
      </c>
    </row>
    <row r="2291" spans="1:36" x14ac:dyDescent="0.25">
      <c r="A2291" s="325" t="str">
        <f>CONCATENATE("P",'906MP'!M1991)</f>
        <v>P</v>
      </c>
      <c r="B2291">
        <f>'906MP'!H1991</f>
        <v>0</v>
      </c>
      <c r="C2291">
        <f>'906MP'!J1991</f>
        <v>0</v>
      </c>
      <c r="D2291">
        <f>'906MP'!P1991</f>
        <v>0</v>
      </c>
      <c r="E2291">
        <f>'906MP'!X1991</f>
        <v>0</v>
      </c>
      <c r="F2291" t="str">
        <f t="shared" si="675"/>
        <v>0</v>
      </c>
      <c r="G2291" t="str">
        <f t="shared" si="676"/>
        <v>0</v>
      </c>
      <c r="H2291">
        <f>'906MP'!Y1991</f>
        <v>0</v>
      </c>
      <c r="I2291">
        <f>'906MP'!AK1991</f>
        <v>0</v>
      </c>
      <c r="J2291">
        <f>'906MP'!T1991</f>
        <v>0</v>
      </c>
      <c r="K2291">
        <f>'906MP'!AJ1991</f>
        <v>0</v>
      </c>
      <c r="L2291">
        <f>'906MP'!U1991</f>
        <v>0</v>
      </c>
      <c r="M2291" s="322" t="str">
        <f>IFERROR(VLOOKUP(A2291,PAR!$D$3:$E$53,2,FALSE),"nincs szervezet")</f>
        <v>nincs szervezet</v>
      </c>
      <c r="N2291" s="322" t="str">
        <f>VLOOKUP(F2291,PAR!$R$3:$S$5,2,FALSE)</f>
        <v>3 - egyik sem</v>
      </c>
      <c r="O2291" t="str">
        <f>IFERROR(VLOOKUP(J2291,PAR!$O$3:$P$5,2,FALSE),"nincs feladat")</f>
        <v>nincs feladat</v>
      </c>
      <c r="P2291" t="str">
        <f>IFERROR(VLOOKUP(G2291,PAR!$J$2:$M$19,4),"nincs rovat")</f>
        <v>nincs rovat</v>
      </c>
      <c r="Q2291" t="str">
        <f>IF(H2291&gt;0,VLOOKUP(H2291,PAR!$AA$3:$AC$187,3,FALSE),"nincs főkönyvi számla")</f>
        <v>nincs főkönyvi számla</v>
      </c>
      <c r="R2291" t="str">
        <f>IFERROR(VLOOKUP(K2291,PAR!$V$3:$X$438,3,FALSE),"000000 - Nincs COFOG")</f>
        <v>000000 - Nincs COFOG</v>
      </c>
      <c r="S2291">
        <f t="shared" si="677"/>
        <v>0</v>
      </c>
      <c r="T2291">
        <f t="shared" si="678"/>
        <v>0</v>
      </c>
      <c r="U2291" t="str">
        <f>IF('906MP'!J1991&gt;0,CONCATENATE('906MP'!J1991," - ",'906MP'!P1991,", ",'906MP'!E1991),"nincs megjegyzés")</f>
        <v>nincs megjegyzés</v>
      </c>
      <c r="V2291" t="str">
        <f t="shared" si="665"/>
        <v>0P0</v>
      </c>
      <c r="W2291" t="str">
        <f t="shared" si="666"/>
        <v>0P0</v>
      </c>
      <c r="X2291" t="str">
        <f t="shared" si="667"/>
        <v>P0</v>
      </c>
      <c r="Y2291" t="str">
        <f t="shared" si="668"/>
        <v>00</v>
      </c>
      <c r="Z2291" t="str">
        <f t="shared" si="679"/>
        <v>00</v>
      </c>
      <c r="AA2291" t="str">
        <f t="shared" si="669"/>
        <v>00</v>
      </c>
      <c r="AB2291" t="str">
        <f t="shared" si="670"/>
        <v>00</v>
      </c>
      <c r="AC2291" t="str">
        <f t="shared" si="671"/>
        <v>0P0</v>
      </c>
      <c r="AD2291" t="str">
        <f t="shared" si="672"/>
        <v>P00</v>
      </c>
      <c r="AE2291" t="str">
        <f t="shared" si="673"/>
        <v>0P0</v>
      </c>
      <c r="AF2291" t="str">
        <f t="shared" si="674"/>
        <v>P00</v>
      </c>
      <c r="AG2291" t="str">
        <f t="shared" si="680"/>
        <v>0P00</v>
      </c>
      <c r="AH2291" t="str">
        <f t="shared" si="681"/>
        <v>P000</v>
      </c>
      <c r="AI2291" t="str">
        <f t="shared" si="682"/>
        <v>0P00</v>
      </c>
      <c r="AJ2291" t="str">
        <f t="shared" si="683"/>
        <v>P000</v>
      </c>
    </row>
    <row r="2292" spans="1:36" x14ac:dyDescent="0.25">
      <c r="A2292" s="325" t="str">
        <f>CONCATENATE("P",'906MP'!M1992)</f>
        <v>P</v>
      </c>
      <c r="B2292">
        <f>'906MP'!H1992</f>
        <v>0</v>
      </c>
      <c r="C2292">
        <f>'906MP'!J1992</f>
        <v>0</v>
      </c>
      <c r="D2292">
        <f>'906MP'!P1992</f>
        <v>0</v>
      </c>
      <c r="E2292">
        <f>'906MP'!X1992</f>
        <v>0</v>
      </c>
      <c r="F2292" t="str">
        <f t="shared" si="675"/>
        <v>0</v>
      </c>
      <c r="G2292" t="str">
        <f t="shared" si="676"/>
        <v>0</v>
      </c>
      <c r="H2292">
        <f>'906MP'!Y1992</f>
        <v>0</v>
      </c>
      <c r="I2292">
        <f>'906MP'!AK1992</f>
        <v>0</v>
      </c>
      <c r="J2292">
        <f>'906MP'!T1992</f>
        <v>0</v>
      </c>
      <c r="K2292">
        <f>'906MP'!AJ1992</f>
        <v>0</v>
      </c>
      <c r="L2292">
        <f>'906MP'!U1992</f>
        <v>0</v>
      </c>
      <c r="M2292" s="322" t="str">
        <f>IFERROR(VLOOKUP(A2292,PAR!$D$3:$E$53,2,FALSE),"nincs szervezet")</f>
        <v>nincs szervezet</v>
      </c>
      <c r="N2292" s="322" t="str">
        <f>VLOOKUP(F2292,PAR!$R$3:$S$5,2,FALSE)</f>
        <v>3 - egyik sem</v>
      </c>
      <c r="O2292" t="str">
        <f>IFERROR(VLOOKUP(J2292,PAR!$O$3:$P$5,2,FALSE),"nincs feladat")</f>
        <v>nincs feladat</v>
      </c>
      <c r="P2292" t="str">
        <f>IFERROR(VLOOKUP(G2292,PAR!$J$2:$M$19,4),"nincs rovat")</f>
        <v>nincs rovat</v>
      </c>
      <c r="Q2292" t="str">
        <f>IF(H2292&gt;0,VLOOKUP(H2292,PAR!$AA$3:$AC$187,3,FALSE),"nincs főkönyvi számla")</f>
        <v>nincs főkönyvi számla</v>
      </c>
      <c r="R2292" t="str">
        <f>IFERROR(VLOOKUP(K2292,PAR!$V$3:$X$438,3,FALSE),"000000 - Nincs COFOG")</f>
        <v>000000 - Nincs COFOG</v>
      </c>
      <c r="S2292">
        <f t="shared" si="677"/>
        <v>0</v>
      </c>
      <c r="T2292">
        <f t="shared" si="678"/>
        <v>0</v>
      </c>
      <c r="U2292" t="str">
        <f>IF('906MP'!J1992&gt;0,CONCATENATE('906MP'!J1992," - ",'906MP'!P1992,", ",'906MP'!E1992),"nincs megjegyzés")</f>
        <v>nincs megjegyzés</v>
      </c>
      <c r="V2292" t="str">
        <f t="shared" si="665"/>
        <v>0P0</v>
      </c>
      <c r="W2292" t="str">
        <f t="shared" si="666"/>
        <v>0P0</v>
      </c>
      <c r="X2292" t="str">
        <f t="shared" si="667"/>
        <v>P0</v>
      </c>
      <c r="Y2292" t="str">
        <f t="shared" si="668"/>
        <v>00</v>
      </c>
      <c r="Z2292" t="str">
        <f t="shared" si="679"/>
        <v>00</v>
      </c>
      <c r="AA2292" t="str">
        <f t="shared" si="669"/>
        <v>00</v>
      </c>
      <c r="AB2292" t="str">
        <f t="shared" si="670"/>
        <v>00</v>
      </c>
      <c r="AC2292" t="str">
        <f t="shared" si="671"/>
        <v>0P0</v>
      </c>
      <c r="AD2292" t="str">
        <f t="shared" si="672"/>
        <v>P00</v>
      </c>
      <c r="AE2292" t="str">
        <f t="shared" si="673"/>
        <v>0P0</v>
      </c>
      <c r="AF2292" t="str">
        <f t="shared" si="674"/>
        <v>P00</v>
      </c>
      <c r="AG2292" t="str">
        <f t="shared" si="680"/>
        <v>0P00</v>
      </c>
      <c r="AH2292" t="str">
        <f t="shared" si="681"/>
        <v>P000</v>
      </c>
      <c r="AI2292" t="str">
        <f t="shared" si="682"/>
        <v>0P00</v>
      </c>
      <c r="AJ2292" t="str">
        <f t="shared" si="683"/>
        <v>P000</v>
      </c>
    </row>
    <row r="2293" spans="1:36" x14ac:dyDescent="0.25">
      <c r="A2293" s="325" t="str">
        <f>CONCATENATE("P",'906MP'!M1993)</f>
        <v>P</v>
      </c>
      <c r="B2293">
        <f>'906MP'!H1993</f>
        <v>0</v>
      </c>
      <c r="C2293">
        <f>'906MP'!J1993</f>
        <v>0</v>
      </c>
      <c r="D2293">
        <f>'906MP'!P1993</f>
        <v>0</v>
      </c>
      <c r="E2293">
        <f>'906MP'!X1993</f>
        <v>0</v>
      </c>
      <c r="F2293" t="str">
        <f t="shared" si="675"/>
        <v>0</v>
      </c>
      <c r="G2293" t="str">
        <f t="shared" si="676"/>
        <v>0</v>
      </c>
      <c r="H2293">
        <f>'906MP'!Y1993</f>
        <v>0</v>
      </c>
      <c r="I2293">
        <f>'906MP'!AK1993</f>
        <v>0</v>
      </c>
      <c r="J2293">
        <f>'906MP'!T1993</f>
        <v>0</v>
      </c>
      <c r="K2293">
        <f>'906MP'!AJ1993</f>
        <v>0</v>
      </c>
      <c r="L2293">
        <f>'906MP'!U1993</f>
        <v>0</v>
      </c>
      <c r="M2293" s="322" t="str">
        <f>IFERROR(VLOOKUP(A2293,PAR!$D$3:$E$53,2,FALSE),"nincs szervezet")</f>
        <v>nincs szervezet</v>
      </c>
      <c r="N2293" s="322" t="str">
        <f>VLOOKUP(F2293,PAR!$R$3:$S$5,2,FALSE)</f>
        <v>3 - egyik sem</v>
      </c>
      <c r="O2293" t="str">
        <f>IFERROR(VLOOKUP(J2293,PAR!$O$3:$P$5,2,FALSE),"nincs feladat")</f>
        <v>nincs feladat</v>
      </c>
      <c r="P2293" t="str">
        <f>IFERROR(VLOOKUP(G2293,PAR!$J$2:$M$19,4),"nincs rovat")</f>
        <v>nincs rovat</v>
      </c>
      <c r="Q2293" t="str">
        <f>IF(H2293&gt;0,VLOOKUP(H2293,PAR!$AA$3:$AC$187,3,FALSE),"nincs főkönyvi számla")</f>
        <v>nincs főkönyvi számla</v>
      </c>
      <c r="R2293" t="str">
        <f>IFERROR(VLOOKUP(K2293,PAR!$V$3:$X$438,3,FALSE),"000000 - Nincs COFOG")</f>
        <v>000000 - Nincs COFOG</v>
      </c>
      <c r="S2293">
        <f t="shared" si="677"/>
        <v>0</v>
      </c>
      <c r="T2293">
        <f t="shared" si="678"/>
        <v>0</v>
      </c>
      <c r="U2293" t="str">
        <f>IF('906MP'!J1993&gt;0,CONCATENATE('906MP'!J1993," - ",'906MP'!P1993,", ",'906MP'!E1993),"nincs megjegyzés")</f>
        <v>nincs megjegyzés</v>
      </c>
      <c r="V2293" t="str">
        <f t="shared" si="665"/>
        <v>0P0</v>
      </c>
      <c r="W2293" t="str">
        <f t="shared" si="666"/>
        <v>0P0</v>
      </c>
      <c r="X2293" t="str">
        <f t="shared" si="667"/>
        <v>P0</v>
      </c>
      <c r="Y2293" t="str">
        <f t="shared" si="668"/>
        <v>00</v>
      </c>
      <c r="Z2293" t="str">
        <f t="shared" si="679"/>
        <v>00</v>
      </c>
      <c r="AA2293" t="str">
        <f t="shared" si="669"/>
        <v>00</v>
      </c>
      <c r="AB2293" t="str">
        <f t="shared" si="670"/>
        <v>00</v>
      </c>
      <c r="AC2293" t="str">
        <f t="shared" si="671"/>
        <v>0P0</v>
      </c>
      <c r="AD2293" t="str">
        <f t="shared" si="672"/>
        <v>P00</v>
      </c>
      <c r="AE2293" t="str">
        <f t="shared" si="673"/>
        <v>0P0</v>
      </c>
      <c r="AF2293" t="str">
        <f t="shared" si="674"/>
        <v>P00</v>
      </c>
      <c r="AG2293" t="str">
        <f t="shared" si="680"/>
        <v>0P00</v>
      </c>
      <c r="AH2293" t="str">
        <f t="shared" si="681"/>
        <v>P000</v>
      </c>
      <c r="AI2293" t="str">
        <f t="shared" si="682"/>
        <v>0P00</v>
      </c>
      <c r="AJ2293" t="str">
        <f t="shared" si="683"/>
        <v>P000</v>
      </c>
    </row>
    <row r="2294" spans="1:36" x14ac:dyDescent="0.25">
      <c r="A2294" s="325" t="str">
        <f>CONCATENATE("P",'906MP'!M1994)</f>
        <v>P</v>
      </c>
      <c r="B2294">
        <f>'906MP'!H1994</f>
        <v>0</v>
      </c>
      <c r="C2294">
        <f>'906MP'!J1994</f>
        <v>0</v>
      </c>
      <c r="D2294">
        <f>'906MP'!P1994</f>
        <v>0</v>
      </c>
      <c r="E2294">
        <f>'906MP'!X1994</f>
        <v>0</v>
      </c>
      <c r="F2294" t="str">
        <f t="shared" si="675"/>
        <v>0</v>
      </c>
      <c r="G2294" t="str">
        <f t="shared" si="676"/>
        <v>0</v>
      </c>
      <c r="H2294">
        <f>'906MP'!Y1994</f>
        <v>0</v>
      </c>
      <c r="I2294">
        <f>'906MP'!AK1994</f>
        <v>0</v>
      </c>
      <c r="J2294">
        <f>'906MP'!T1994</f>
        <v>0</v>
      </c>
      <c r="K2294">
        <f>'906MP'!AJ1994</f>
        <v>0</v>
      </c>
      <c r="L2294">
        <f>'906MP'!U1994</f>
        <v>0</v>
      </c>
      <c r="M2294" s="322" t="str">
        <f>IFERROR(VLOOKUP(A2294,PAR!$D$3:$E$53,2,FALSE),"nincs szervezet")</f>
        <v>nincs szervezet</v>
      </c>
      <c r="N2294" s="322" t="str">
        <f>VLOOKUP(F2294,PAR!$R$3:$S$5,2,FALSE)</f>
        <v>3 - egyik sem</v>
      </c>
      <c r="O2294" t="str">
        <f>IFERROR(VLOOKUP(J2294,PAR!$O$3:$P$5,2,FALSE),"nincs feladat")</f>
        <v>nincs feladat</v>
      </c>
      <c r="P2294" t="str">
        <f>IFERROR(VLOOKUP(G2294,PAR!$J$2:$M$19,4),"nincs rovat")</f>
        <v>nincs rovat</v>
      </c>
      <c r="Q2294" t="str">
        <f>IF(H2294&gt;0,VLOOKUP(H2294,PAR!$AA$3:$AC$187,3,FALSE),"nincs főkönyvi számla")</f>
        <v>nincs főkönyvi számla</v>
      </c>
      <c r="R2294" t="str">
        <f>IFERROR(VLOOKUP(K2294,PAR!$V$3:$X$438,3,FALSE),"000000 - Nincs COFOG")</f>
        <v>000000 - Nincs COFOG</v>
      </c>
      <c r="S2294">
        <f t="shared" si="677"/>
        <v>0</v>
      </c>
      <c r="T2294">
        <f t="shared" si="678"/>
        <v>0</v>
      </c>
      <c r="U2294" t="str">
        <f>IF('906MP'!J1994&gt;0,CONCATENATE('906MP'!J1994," - ",'906MP'!P1994,", ",'906MP'!E1994),"nincs megjegyzés")</f>
        <v>nincs megjegyzés</v>
      </c>
      <c r="V2294" t="str">
        <f t="shared" si="665"/>
        <v>0P0</v>
      </c>
      <c r="W2294" t="str">
        <f t="shared" si="666"/>
        <v>0P0</v>
      </c>
      <c r="X2294" t="str">
        <f t="shared" si="667"/>
        <v>P0</v>
      </c>
      <c r="Y2294" t="str">
        <f t="shared" si="668"/>
        <v>00</v>
      </c>
      <c r="Z2294" t="str">
        <f t="shared" si="679"/>
        <v>00</v>
      </c>
      <c r="AA2294" t="str">
        <f t="shared" si="669"/>
        <v>00</v>
      </c>
      <c r="AB2294" t="str">
        <f t="shared" si="670"/>
        <v>00</v>
      </c>
      <c r="AC2294" t="str">
        <f t="shared" si="671"/>
        <v>0P0</v>
      </c>
      <c r="AD2294" t="str">
        <f t="shared" si="672"/>
        <v>P00</v>
      </c>
      <c r="AE2294" t="str">
        <f t="shared" si="673"/>
        <v>0P0</v>
      </c>
      <c r="AF2294" t="str">
        <f t="shared" si="674"/>
        <v>P00</v>
      </c>
      <c r="AG2294" t="str">
        <f t="shared" si="680"/>
        <v>0P00</v>
      </c>
      <c r="AH2294" t="str">
        <f t="shared" si="681"/>
        <v>P000</v>
      </c>
      <c r="AI2294" t="str">
        <f t="shared" si="682"/>
        <v>0P00</v>
      </c>
      <c r="AJ2294" t="str">
        <f t="shared" si="683"/>
        <v>P000</v>
      </c>
    </row>
    <row r="2295" spans="1:36" x14ac:dyDescent="0.25">
      <c r="A2295" s="325" t="str">
        <f>CONCATENATE("P",'906MP'!M1995)</f>
        <v>P</v>
      </c>
      <c r="B2295">
        <f>'906MP'!H1995</f>
        <v>0</v>
      </c>
      <c r="C2295">
        <f>'906MP'!J1995</f>
        <v>0</v>
      </c>
      <c r="D2295">
        <f>'906MP'!P1995</f>
        <v>0</v>
      </c>
      <c r="E2295">
        <f>'906MP'!X1995</f>
        <v>0</v>
      </c>
      <c r="F2295" t="str">
        <f t="shared" si="675"/>
        <v>0</v>
      </c>
      <c r="G2295" t="str">
        <f t="shared" si="676"/>
        <v>0</v>
      </c>
      <c r="H2295">
        <f>'906MP'!Y1995</f>
        <v>0</v>
      </c>
      <c r="I2295">
        <f>'906MP'!AK1995</f>
        <v>0</v>
      </c>
      <c r="J2295">
        <f>'906MP'!T1995</f>
        <v>0</v>
      </c>
      <c r="K2295">
        <f>'906MP'!AJ1995</f>
        <v>0</v>
      </c>
      <c r="L2295">
        <f>'906MP'!U1995</f>
        <v>0</v>
      </c>
      <c r="M2295" s="322" t="str">
        <f>IFERROR(VLOOKUP(A2295,PAR!$D$3:$E$53,2,FALSE),"nincs szervezet")</f>
        <v>nincs szervezet</v>
      </c>
      <c r="N2295" s="322" t="str">
        <f>VLOOKUP(F2295,PAR!$R$3:$S$5,2,FALSE)</f>
        <v>3 - egyik sem</v>
      </c>
      <c r="O2295" t="str">
        <f>IFERROR(VLOOKUP(J2295,PAR!$O$3:$P$5,2,FALSE),"nincs feladat")</f>
        <v>nincs feladat</v>
      </c>
      <c r="P2295" t="str">
        <f>IFERROR(VLOOKUP(G2295,PAR!$J$2:$M$19,4),"nincs rovat")</f>
        <v>nincs rovat</v>
      </c>
      <c r="Q2295" t="str">
        <f>IF(H2295&gt;0,VLOOKUP(H2295,PAR!$AA$3:$AC$187,3,FALSE),"nincs főkönyvi számla")</f>
        <v>nincs főkönyvi számla</v>
      </c>
      <c r="R2295" t="str">
        <f>IFERROR(VLOOKUP(K2295,PAR!$V$3:$X$438,3,FALSE),"000000 - Nincs COFOG")</f>
        <v>000000 - Nincs COFOG</v>
      </c>
      <c r="S2295">
        <f t="shared" si="677"/>
        <v>0</v>
      </c>
      <c r="T2295">
        <f t="shared" si="678"/>
        <v>0</v>
      </c>
      <c r="U2295" t="str">
        <f>IF('906MP'!J1995&gt;0,CONCATENATE('906MP'!J1995," - ",'906MP'!P1995,", ",'906MP'!E1995),"nincs megjegyzés")</f>
        <v>nincs megjegyzés</v>
      </c>
      <c r="V2295" t="str">
        <f t="shared" si="665"/>
        <v>0P0</v>
      </c>
      <c r="W2295" t="str">
        <f t="shared" si="666"/>
        <v>0P0</v>
      </c>
      <c r="X2295" t="str">
        <f t="shared" si="667"/>
        <v>P0</v>
      </c>
      <c r="Y2295" t="str">
        <f t="shared" si="668"/>
        <v>00</v>
      </c>
      <c r="Z2295" t="str">
        <f t="shared" si="679"/>
        <v>00</v>
      </c>
      <c r="AA2295" t="str">
        <f t="shared" si="669"/>
        <v>00</v>
      </c>
      <c r="AB2295" t="str">
        <f t="shared" si="670"/>
        <v>00</v>
      </c>
      <c r="AC2295" t="str">
        <f t="shared" si="671"/>
        <v>0P0</v>
      </c>
      <c r="AD2295" t="str">
        <f t="shared" si="672"/>
        <v>P00</v>
      </c>
      <c r="AE2295" t="str">
        <f t="shared" si="673"/>
        <v>0P0</v>
      </c>
      <c r="AF2295" t="str">
        <f t="shared" si="674"/>
        <v>P00</v>
      </c>
      <c r="AG2295" t="str">
        <f t="shared" si="680"/>
        <v>0P00</v>
      </c>
      <c r="AH2295" t="str">
        <f t="shared" si="681"/>
        <v>P000</v>
      </c>
      <c r="AI2295" t="str">
        <f t="shared" si="682"/>
        <v>0P00</v>
      </c>
      <c r="AJ2295" t="str">
        <f t="shared" si="683"/>
        <v>P000</v>
      </c>
    </row>
    <row r="2296" spans="1:36" x14ac:dyDescent="0.25">
      <c r="A2296" s="325" t="str">
        <f>CONCATENATE("P",'906MP'!M1996)</f>
        <v>P</v>
      </c>
      <c r="B2296">
        <f>'906MP'!H1996</f>
        <v>0</v>
      </c>
      <c r="C2296">
        <f>'906MP'!J1996</f>
        <v>0</v>
      </c>
      <c r="D2296">
        <f>'906MP'!P1996</f>
        <v>0</v>
      </c>
      <c r="E2296">
        <f>'906MP'!X1996</f>
        <v>0</v>
      </c>
      <c r="F2296" t="str">
        <f t="shared" si="675"/>
        <v>0</v>
      </c>
      <c r="G2296" t="str">
        <f t="shared" si="676"/>
        <v>0</v>
      </c>
      <c r="H2296">
        <f>'906MP'!Y1996</f>
        <v>0</v>
      </c>
      <c r="I2296">
        <f>'906MP'!AK1996</f>
        <v>0</v>
      </c>
      <c r="J2296">
        <f>'906MP'!T1996</f>
        <v>0</v>
      </c>
      <c r="K2296">
        <f>'906MP'!AJ1996</f>
        <v>0</v>
      </c>
      <c r="L2296">
        <f>'906MP'!U1996</f>
        <v>0</v>
      </c>
      <c r="M2296" s="322" t="str">
        <f>IFERROR(VLOOKUP(A2296,PAR!$D$3:$E$53,2,FALSE),"nincs szervezet")</f>
        <v>nincs szervezet</v>
      </c>
      <c r="N2296" s="322" t="str">
        <f>VLOOKUP(F2296,PAR!$R$3:$S$5,2,FALSE)</f>
        <v>3 - egyik sem</v>
      </c>
      <c r="O2296" t="str">
        <f>IFERROR(VLOOKUP(J2296,PAR!$O$3:$P$5,2,FALSE),"nincs feladat")</f>
        <v>nincs feladat</v>
      </c>
      <c r="P2296" t="str">
        <f>IFERROR(VLOOKUP(G2296,PAR!$J$2:$M$19,4),"nincs rovat")</f>
        <v>nincs rovat</v>
      </c>
      <c r="Q2296" t="str">
        <f>IF(H2296&gt;0,VLOOKUP(H2296,PAR!$AA$3:$AC$187,3,FALSE),"nincs főkönyvi számla")</f>
        <v>nincs főkönyvi számla</v>
      </c>
      <c r="R2296" t="str">
        <f>IFERROR(VLOOKUP(K2296,PAR!$V$3:$X$438,3,FALSE),"000000 - Nincs COFOG")</f>
        <v>000000 - Nincs COFOG</v>
      </c>
      <c r="S2296">
        <f t="shared" si="677"/>
        <v>0</v>
      </c>
      <c r="T2296">
        <f t="shared" si="678"/>
        <v>0</v>
      </c>
      <c r="U2296" t="str">
        <f>IF('906MP'!J1996&gt;0,CONCATENATE('906MP'!J1996," - ",'906MP'!P1996,", ",'906MP'!E1996),"nincs megjegyzés")</f>
        <v>nincs megjegyzés</v>
      </c>
      <c r="V2296" t="str">
        <f t="shared" si="665"/>
        <v>0P0</v>
      </c>
      <c r="W2296" t="str">
        <f t="shared" si="666"/>
        <v>0P0</v>
      </c>
      <c r="X2296" t="str">
        <f t="shared" si="667"/>
        <v>P0</v>
      </c>
      <c r="Y2296" t="str">
        <f t="shared" si="668"/>
        <v>00</v>
      </c>
      <c r="Z2296" t="str">
        <f t="shared" si="679"/>
        <v>00</v>
      </c>
      <c r="AA2296" t="str">
        <f t="shared" si="669"/>
        <v>00</v>
      </c>
      <c r="AB2296" t="str">
        <f t="shared" si="670"/>
        <v>00</v>
      </c>
      <c r="AC2296" t="str">
        <f t="shared" si="671"/>
        <v>0P0</v>
      </c>
      <c r="AD2296" t="str">
        <f t="shared" si="672"/>
        <v>P00</v>
      </c>
      <c r="AE2296" t="str">
        <f t="shared" si="673"/>
        <v>0P0</v>
      </c>
      <c r="AF2296" t="str">
        <f t="shared" si="674"/>
        <v>P00</v>
      </c>
      <c r="AG2296" t="str">
        <f t="shared" si="680"/>
        <v>0P00</v>
      </c>
      <c r="AH2296" t="str">
        <f t="shared" si="681"/>
        <v>P000</v>
      </c>
      <c r="AI2296" t="str">
        <f t="shared" si="682"/>
        <v>0P00</v>
      </c>
      <c r="AJ2296" t="str">
        <f t="shared" si="683"/>
        <v>P000</v>
      </c>
    </row>
    <row r="2297" spans="1:36" x14ac:dyDescent="0.25">
      <c r="A2297" s="325" t="str">
        <f>CONCATENATE("P",'906MP'!M1997)</f>
        <v>P</v>
      </c>
      <c r="B2297">
        <f>'906MP'!H1997</f>
        <v>0</v>
      </c>
      <c r="C2297">
        <f>'906MP'!J1997</f>
        <v>0</v>
      </c>
      <c r="D2297">
        <f>'906MP'!P1997</f>
        <v>0</v>
      </c>
      <c r="E2297">
        <f>'906MP'!X1997</f>
        <v>0</v>
      </c>
      <c r="F2297" t="str">
        <f t="shared" si="675"/>
        <v>0</v>
      </c>
      <c r="G2297" t="str">
        <f t="shared" si="676"/>
        <v>0</v>
      </c>
      <c r="H2297">
        <f>'906MP'!Y1997</f>
        <v>0</v>
      </c>
      <c r="I2297">
        <f>'906MP'!AK1997</f>
        <v>0</v>
      </c>
      <c r="J2297">
        <f>'906MP'!T1997</f>
        <v>0</v>
      </c>
      <c r="K2297">
        <f>'906MP'!AJ1997</f>
        <v>0</v>
      </c>
      <c r="L2297">
        <f>'906MP'!U1997</f>
        <v>0</v>
      </c>
      <c r="M2297" s="322" t="str">
        <f>IFERROR(VLOOKUP(A2297,PAR!$D$3:$E$53,2,FALSE),"nincs szervezet")</f>
        <v>nincs szervezet</v>
      </c>
      <c r="N2297" s="322" t="str">
        <f>VLOOKUP(F2297,PAR!$R$3:$S$5,2,FALSE)</f>
        <v>3 - egyik sem</v>
      </c>
      <c r="O2297" t="str">
        <f>IFERROR(VLOOKUP(J2297,PAR!$O$3:$P$5,2,FALSE),"nincs feladat")</f>
        <v>nincs feladat</v>
      </c>
      <c r="P2297" t="str">
        <f>IFERROR(VLOOKUP(G2297,PAR!$J$2:$M$19,4),"nincs rovat")</f>
        <v>nincs rovat</v>
      </c>
      <c r="Q2297" t="str">
        <f>IF(H2297&gt;0,VLOOKUP(H2297,PAR!$AA$3:$AC$187,3,FALSE),"nincs főkönyvi számla")</f>
        <v>nincs főkönyvi számla</v>
      </c>
      <c r="R2297" t="str">
        <f>IFERROR(VLOOKUP(K2297,PAR!$V$3:$X$438,3,FALSE),"000000 - Nincs COFOG")</f>
        <v>000000 - Nincs COFOG</v>
      </c>
      <c r="S2297">
        <f t="shared" si="677"/>
        <v>0</v>
      </c>
      <c r="T2297">
        <f t="shared" si="678"/>
        <v>0</v>
      </c>
      <c r="U2297" t="str">
        <f>IF('906MP'!J1997&gt;0,CONCATENATE('906MP'!J1997," - ",'906MP'!P1997,", ",'906MP'!E1997),"nincs megjegyzés")</f>
        <v>nincs megjegyzés</v>
      </c>
      <c r="V2297" t="str">
        <f t="shared" si="665"/>
        <v>0P0</v>
      </c>
      <c r="W2297" t="str">
        <f t="shared" si="666"/>
        <v>0P0</v>
      </c>
      <c r="X2297" t="str">
        <f t="shared" si="667"/>
        <v>P0</v>
      </c>
      <c r="Y2297" t="str">
        <f t="shared" si="668"/>
        <v>00</v>
      </c>
      <c r="Z2297" t="str">
        <f t="shared" si="679"/>
        <v>00</v>
      </c>
      <c r="AA2297" t="str">
        <f t="shared" si="669"/>
        <v>00</v>
      </c>
      <c r="AB2297" t="str">
        <f t="shared" si="670"/>
        <v>00</v>
      </c>
      <c r="AC2297" t="str">
        <f t="shared" si="671"/>
        <v>0P0</v>
      </c>
      <c r="AD2297" t="str">
        <f t="shared" si="672"/>
        <v>P00</v>
      </c>
      <c r="AE2297" t="str">
        <f t="shared" si="673"/>
        <v>0P0</v>
      </c>
      <c r="AF2297" t="str">
        <f t="shared" si="674"/>
        <v>P00</v>
      </c>
      <c r="AG2297" t="str">
        <f t="shared" si="680"/>
        <v>0P00</v>
      </c>
      <c r="AH2297" t="str">
        <f t="shared" si="681"/>
        <v>P000</v>
      </c>
      <c r="AI2297" t="str">
        <f t="shared" si="682"/>
        <v>0P00</v>
      </c>
      <c r="AJ2297" t="str">
        <f t="shared" si="683"/>
        <v>P000</v>
      </c>
    </row>
    <row r="2298" spans="1:36" x14ac:dyDescent="0.25">
      <c r="A2298" s="325" t="str">
        <f>CONCATENATE("P",'906MP'!M1998)</f>
        <v>P</v>
      </c>
      <c r="B2298">
        <f>'906MP'!H1998</f>
        <v>0</v>
      </c>
      <c r="C2298">
        <f>'906MP'!J1998</f>
        <v>0</v>
      </c>
      <c r="D2298">
        <f>'906MP'!P1998</f>
        <v>0</v>
      </c>
      <c r="E2298">
        <f>'906MP'!X1998</f>
        <v>0</v>
      </c>
      <c r="F2298" t="str">
        <f t="shared" si="675"/>
        <v>0</v>
      </c>
      <c r="G2298" t="str">
        <f t="shared" si="676"/>
        <v>0</v>
      </c>
      <c r="H2298">
        <f>'906MP'!Y1998</f>
        <v>0</v>
      </c>
      <c r="I2298">
        <f>'906MP'!AK1998</f>
        <v>0</v>
      </c>
      <c r="J2298">
        <f>'906MP'!T1998</f>
        <v>0</v>
      </c>
      <c r="K2298">
        <f>'906MP'!AJ1998</f>
        <v>0</v>
      </c>
      <c r="L2298">
        <f>'906MP'!U1998</f>
        <v>0</v>
      </c>
      <c r="M2298" s="322" t="str">
        <f>IFERROR(VLOOKUP(A2298,PAR!$D$3:$E$53,2,FALSE),"nincs szervezet")</f>
        <v>nincs szervezet</v>
      </c>
      <c r="N2298" s="322" t="str">
        <f>VLOOKUP(F2298,PAR!$R$3:$S$5,2,FALSE)</f>
        <v>3 - egyik sem</v>
      </c>
      <c r="O2298" t="str">
        <f>IFERROR(VLOOKUP(J2298,PAR!$O$3:$P$5,2,FALSE),"nincs feladat")</f>
        <v>nincs feladat</v>
      </c>
      <c r="P2298" t="str">
        <f>IFERROR(VLOOKUP(G2298,PAR!$J$2:$M$19,4),"nincs rovat")</f>
        <v>nincs rovat</v>
      </c>
      <c r="Q2298" t="str">
        <f>IF(H2298&gt;0,VLOOKUP(H2298,PAR!$AA$3:$AC$187,3,FALSE),"nincs főkönyvi számla")</f>
        <v>nincs főkönyvi számla</v>
      </c>
      <c r="R2298" t="str">
        <f>IFERROR(VLOOKUP(K2298,PAR!$V$3:$X$438,3,FALSE),"000000 - Nincs COFOG")</f>
        <v>000000 - Nincs COFOG</v>
      </c>
      <c r="S2298">
        <f t="shared" si="677"/>
        <v>0</v>
      </c>
      <c r="T2298">
        <f t="shared" si="678"/>
        <v>0</v>
      </c>
      <c r="U2298" t="str">
        <f>IF('906MP'!J1998&gt;0,CONCATENATE('906MP'!J1998," - ",'906MP'!P1998,", ",'906MP'!E1998),"nincs megjegyzés")</f>
        <v>nincs megjegyzés</v>
      </c>
      <c r="V2298" t="str">
        <f t="shared" si="665"/>
        <v>0P0</v>
      </c>
      <c r="W2298" t="str">
        <f t="shared" si="666"/>
        <v>0P0</v>
      </c>
      <c r="X2298" t="str">
        <f t="shared" si="667"/>
        <v>P0</v>
      </c>
      <c r="Y2298" t="str">
        <f t="shared" si="668"/>
        <v>00</v>
      </c>
      <c r="Z2298" t="str">
        <f t="shared" si="679"/>
        <v>00</v>
      </c>
      <c r="AA2298" t="str">
        <f t="shared" si="669"/>
        <v>00</v>
      </c>
      <c r="AB2298" t="str">
        <f t="shared" si="670"/>
        <v>00</v>
      </c>
      <c r="AC2298" t="str">
        <f t="shared" si="671"/>
        <v>0P0</v>
      </c>
      <c r="AD2298" t="str">
        <f t="shared" si="672"/>
        <v>P00</v>
      </c>
      <c r="AE2298" t="str">
        <f t="shared" si="673"/>
        <v>0P0</v>
      </c>
      <c r="AF2298" t="str">
        <f t="shared" si="674"/>
        <v>P00</v>
      </c>
      <c r="AG2298" t="str">
        <f t="shared" si="680"/>
        <v>0P00</v>
      </c>
      <c r="AH2298" t="str">
        <f t="shared" si="681"/>
        <v>P000</v>
      </c>
      <c r="AI2298" t="str">
        <f t="shared" si="682"/>
        <v>0P00</v>
      </c>
      <c r="AJ2298" t="str">
        <f t="shared" si="683"/>
        <v>P000</v>
      </c>
    </row>
    <row r="2299" spans="1:36" x14ac:dyDescent="0.25">
      <c r="A2299" s="325" t="str">
        <f>CONCATENATE("P",'906MP'!M1999)</f>
        <v>P</v>
      </c>
      <c r="B2299">
        <f>'906MP'!H1999</f>
        <v>0</v>
      </c>
      <c r="C2299">
        <f>'906MP'!J1999</f>
        <v>0</v>
      </c>
      <c r="D2299">
        <f>'906MP'!P1999</f>
        <v>0</v>
      </c>
      <c r="E2299">
        <f>'906MP'!X1999</f>
        <v>0</v>
      </c>
      <c r="F2299" t="str">
        <f t="shared" si="675"/>
        <v>0</v>
      </c>
      <c r="G2299" t="str">
        <f t="shared" si="676"/>
        <v>0</v>
      </c>
      <c r="H2299">
        <f>'906MP'!Y1999</f>
        <v>0</v>
      </c>
      <c r="I2299">
        <f>'906MP'!AK1999</f>
        <v>0</v>
      </c>
      <c r="J2299">
        <f>'906MP'!T1999</f>
        <v>0</v>
      </c>
      <c r="K2299">
        <f>'906MP'!AJ1999</f>
        <v>0</v>
      </c>
      <c r="L2299">
        <f>'906MP'!U1999</f>
        <v>0</v>
      </c>
      <c r="M2299" s="322" t="str">
        <f>IFERROR(VLOOKUP(A2299,PAR!$D$3:$E$53,2,FALSE),"nincs szervezet")</f>
        <v>nincs szervezet</v>
      </c>
      <c r="N2299" s="322" t="str">
        <f>VLOOKUP(F2299,PAR!$R$3:$S$5,2,FALSE)</f>
        <v>3 - egyik sem</v>
      </c>
      <c r="O2299" t="str">
        <f>IFERROR(VLOOKUP(J2299,PAR!$O$3:$P$5,2,FALSE),"nincs feladat")</f>
        <v>nincs feladat</v>
      </c>
      <c r="P2299" t="str">
        <f>IFERROR(VLOOKUP(G2299,PAR!$J$2:$M$19,4),"nincs rovat")</f>
        <v>nincs rovat</v>
      </c>
      <c r="Q2299" t="str">
        <f>IF(H2299&gt;0,VLOOKUP(H2299,PAR!$AA$3:$AC$187,3,FALSE),"nincs főkönyvi számla")</f>
        <v>nincs főkönyvi számla</v>
      </c>
      <c r="R2299" t="str">
        <f>IFERROR(VLOOKUP(K2299,PAR!$V$3:$X$438,3,FALSE),"000000 - Nincs COFOG")</f>
        <v>000000 - Nincs COFOG</v>
      </c>
      <c r="S2299">
        <f t="shared" si="677"/>
        <v>0</v>
      </c>
      <c r="T2299">
        <f t="shared" si="678"/>
        <v>0</v>
      </c>
      <c r="U2299" t="str">
        <f>IF('906MP'!J1999&gt;0,CONCATENATE('906MP'!J1999," - ",'906MP'!P1999,", ",'906MP'!E1999),"nincs megjegyzés")</f>
        <v>nincs megjegyzés</v>
      </c>
      <c r="V2299" t="str">
        <f t="shared" si="665"/>
        <v>0P0</v>
      </c>
      <c r="W2299" t="str">
        <f t="shared" si="666"/>
        <v>0P0</v>
      </c>
      <c r="X2299" t="str">
        <f t="shared" si="667"/>
        <v>P0</v>
      </c>
      <c r="Y2299" t="str">
        <f t="shared" si="668"/>
        <v>00</v>
      </c>
      <c r="Z2299" t="str">
        <f t="shared" si="679"/>
        <v>00</v>
      </c>
      <c r="AA2299" t="str">
        <f t="shared" si="669"/>
        <v>00</v>
      </c>
      <c r="AB2299" t="str">
        <f t="shared" si="670"/>
        <v>00</v>
      </c>
      <c r="AC2299" t="str">
        <f t="shared" si="671"/>
        <v>0P0</v>
      </c>
      <c r="AD2299" t="str">
        <f t="shared" si="672"/>
        <v>P00</v>
      </c>
      <c r="AE2299" t="str">
        <f t="shared" si="673"/>
        <v>0P0</v>
      </c>
      <c r="AF2299" t="str">
        <f t="shared" si="674"/>
        <v>P00</v>
      </c>
      <c r="AG2299" t="str">
        <f t="shared" si="680"/>
        <v>0P00</v>
      </c>
      <c r="AH2299" t="str">
        <f t="shared" si="681"/>
        <v>P000</v>
      </c>
      <c r="AI2299" t="str">
        <f t="shared" si="682"/>
        <v>0P00</v>
      </c>
      <c r="AJ2299" t="str">
        <f t="shared" si="683"/>
        <v>P000</v>
      </c>
    </row>
    <row r="2300" spans="1:36" x14ac:dyDescent="0.25">
      <c r="A2300" s="325" t="str">
        <f>CONCATENATE("P",'906MP'!M2000)</f>
        <v>P</v>
      </c>
      <c r="B2300">
        <f>'906MP'!H2000</f>
        <v>0</v>
      </c>
      <c r="C2300">
        <f>'906MP'!J2000</f>
        <v>0</v>
      </c>
      <c r="D2300">
        <f>'906MP'!P2000</f>
        <v>0</v>
      </c>
      <c r="E2300">
        <f>'906MP'!X2000</f>
        <v>0</v>
      </c>
      <c r="F2300" t="str">
        <f t="shared" si="675"/>
        <v>0</v>
      </c>
      <c r="G2300" t="str">
        <f t="shared" si="676"/>
        <v>0</v>
      </c>
      <c r="H2300">
        <f>'906MP'!Y2000</f>
        <v>0</v>
      </c>
      <c r="I2300">
        <f>'906MP'!AK2000</f>
        <v>0</v>
      </c>
      <c r="J2300">
        <f>'906MP'!T2000</f>
        <v>0</v>
      </c>
      <c r="K2300">
        <f>'906MP'!AJ2000</f>
        <v>0</v>
      </c>
      <c r="L2300">
        <f>'906MP'!U2000</f>
        <v>0</v>
      </c>
      <c r="M2300" s="322" t="str">
        <f>IFERROR(VLOOKUP(A2300,PAR!$D$3:$E$53,2,FALSE),"nincs szervezet")</f>
        <v>nincs szervezet</v>
      </c>
      <c r="N2300" s="322" t="str">
        <f>VLOOKUP(F2300,PAR!$R$3:$S$5,2,FALSE)</f>
        <v>3 - egyik sem</v>
      </c>
      <c r="O2300" t="str">
        <f>IFERROR(VLOOKUP(J2300,PAR!$O$3:$P$5,2,FALSE),"nincs feladat")</f>
        <v>nincs feladat</v>
      </c>
      <c r="P2300" t="str">
        <f>IFERROR(VLOOKUP(G2300,PAR!$J$2:$M$19,4),"nincs rovat")</f>
        <v>nincs rovat</v>
      </c>
      <c r="Q2300" t="str">
        <f>IF(H2300&gt;0,VLOOKUP(H2300,PAR!$AA$3:$AC$187,3,FALSE),"nincs főkönyvi számla")</f>
        <v>nincs főkönyvi számla</v>
      </c>
      <c r="R2300" t="str">
        <f>IFERROR(VLOOKUP(K2300,PAR!$V$3:$X$438,3,FALSE),"000000 - Nincs COFOG")</f>
        <v>000000 - Nincs COFOG</v>
      </c>
      <c r="S2300">
        <f t="shared" si="677"/>
        <v>0</v>
      </c>
      <c r="T2300">
        <f t="shared" si="678"/>
        <v>0</v>
      </c>
      <c r="U2300" t="str">
        <f>IF('906MP'!J2000&gt;0,CONCATENATE('906MP'!J2000," - ",'906MP'!P2000,", ",'906MP'!E2000),"nincs megjegyzés")</f>
        <v>nincs megjegyzés</v>
      </c>
      <c r="V2300" t="str">
        <f t="shared" si="665"/>
        <v>0P0</v>
      </c>
      <c r="W2300" t="str">
        <f t="shared" si="666"/>
        <v>0P0</v>
      </c>
      <c r="X2300" t="str">
        <f t="shared" si="667"/>
        <v>P0</v>
      </c>
      <c r="Y2300" t="str">
        <f t="shared" si="668"/>
        <v>00</v>
      </c>
      <c r="Z2300" t="str">
        <f t="shared" si="679"/>
        <v>00</v>
      </c>
      <c r="AA2300" t="str">
        <f t="shared" si="669"/>
        <v>00</v>
      </c>
      <c r="AB2300" t="str">
        <f t="shared" si="670"/>
        <v>00</v>
      </c>
      <c r="AC2300" t="str">
        <f t="shared" si="671"/>
        <v>0P0</v>
      </c>
      <c r="AD2300" t="str">
        <f t="shared" si="672"/>
        <v>P00</v>
      </c>
      <c r="AE2300" t="str">
        <f t="shared" si="673"/>
        <v>0P0</v>
      </c>
      <c r="AF2300" t="str">
        <f t="shared" si="674"/>
        <v>P00</v>
      </c>
      <c r="AG2300" t="str">
        <f t="shared" si="680"/>
        <v>0P00</v>
      </c>
      <c r="AH2300" t="str">
        <f t="shared" si="681"/>
        <v>P000</v>
      </c>
      <c r="AI2300" t="str">
        <f t="shared" si="682"/>
        <v>0P00</v>
      </c>
      <c r="AJ2300" t="str">
        <f t="shared" si="683"/>
        <v>P000</v>
      </c>
    </row>
    <row r="2301" spans="1:36" x14ac:dyDescent="0.25">
      <c r="A2301" s="325" t="str">
        <f>CONCATENATE("P",'906MP'!M2001)</f>
        <v>P</v>
      </c>
      <c r="B2301">
        <f>'906MP'!H2001</f>
        <v>0</v>
      </c>
      <c r="C2301">
        <f>'906MP'!J2001</f>
        <v>0</v>
      </c>
      <c r="D2301">
        <f>'906MP'!P2001</f>
        <v>0</v>
      </c>
      <c r="E2301">
        <f>'906MP'!X2001</f>
        <v>0</v>
      </c>
      <c r="F2301" t="str">
        <f t="shared" si="675"/>
        <v>0</v>
      </c>
      <c r="G2301" t="str">
        <f t="shared" si="676"/>
        <v>0</v>
      </c>
      <c r="H2301">
        <f>'906MP'!Y2001</f>
        <v>0</v>
      </c>
      <c r="I2301">
        <f>'906MP'!AK2001</f>
        <v>0</v>
      </c>
      <c r="J2301">
        <f>'906MP'!T2001</f>
        <v>0</v>
      </c>
      <c r="K2301">
        <f>'906MP'!AJ2001</f>
        <v>0</v>
      </c>
      <c r="L2301">
        <f>'906MP'!U2001</f>
        <v>0</v>
      </c>
      <c r="M2301" s="322" t="str">
        <f>IFERROR(VLOOKUP(A2301,PAR!$D$3:$E$53,2,FALSE),"nincs szervezet")</f>
        <v>nincs szervezet</v>
      </c>
      <c r="N2301" s="322" t="str">
        <f>VLOOKUP(F2301,PAR!$R$3:$S$5,2,FALSE)</f>
        <v>3 - egyik sem</v>
      </c>
      <c r="O2301" t="str">
        <f>IFERROR(VLOOKUP(J2301,PAR!$O$3:$P$5,2,FALSE),"nincs feladat")</f>
        <v>nincs feladat</v>
      </c>
      <c r="P2301" t="str">
        <f>IFERROR(VLOOKUP(G2301,PAR!$J$2:$M$19,4),"nincs rovat")</f>
        <v>nincs rovat</v>
      </c>
      <c r="Q2301" t="str">
        <f>IF(H2301&gt;0,VLOOKUP(H2301,PAR!$AA$3:$AC$187,3,FALSE),"nincs főkönyvi számla")</f>
        <v>nincs főkönyvi számla</v>
      </c>
      <c r="R2301" t="str">
        <f>IFERROR(VLOOKUP(K2301,PAR!$V$3:$X$438,3,FALSE),"000000 - Nincs COFOG")</f>
        <v>000000 - Nincs COFOG</v>
      </c>
      <c r="S2301">
        <f t="shared" si="677"/>
        <v>0</v>
      </c>
      <c r="T2301">
        <f t="shared" si="678"/>
        <v>0</v>
      </c>
      <c r="U2301" t="str">
        <f>IF('906MP'!J2001&gt;0,CONCATENATE('906MP'!J2001," - ",'906MP'!P2001,", ",'906MP'!E2001),"nincs megjegyzés")</f>
        <v>nincs megjegyzés</v>
      </c>
      <c r="V2301" t="str">
        <f t="shared" si="665"/>
        <v>0P0</v>
      </c>
      <c r="W2301" t="str">
        <f t="shared" si="666"/>
        <v>0P0</v>
      </c>
      <c r="X2301" t="str">
        <f t="shared" si="667"/>
        <v>P0</v>
      </c>
      <c r="Y2301" t="str">
        <f t="shared" si="668"/>
        <v>00</v>
      </c>
      <c r="Z2301" t="str">
        <f t="shared" si="679"/>
        <v>00</v>
      </c>
      <c r="AA2301" t="str">
        <f t="shared" si="669"/>
        <v>00</v>
      </c>
      <c r="AB2301" t="str">
        <f t="shared" si="670"/>
        <v>00</v>
      </c>
      <c r="AC2301" t="str">
        <f t="shared" si="671"/>
        <v>0P0</v>
      </c>
      <c r="AD2301" t="str">
        <f t="shared" si="672"/>
        <v>P00</v>
      </c>
      <c r="AE2301" t="str">
        <f t="shared" si="673"/>
        <v>0P0</v>
      </c>
      <c r="AF2301" t="str">
        <f t="shared" si="674"/>
        <v>P00</v>
      </c>
      <c r="AG2301" t="str">
        <f t="shared" si="680"/>
        <v>0P00</v>
      </c>
      <c r="AH2301" t="str">
        <f t="shared" si="681"/>
        <v>P000</v>
      </c>
      <c r="AI2301" t="str">
        <f t="shared" si="682"/>
        <v>0P00</v>
      </c>
      <c r="AJ2301" t="str">
        <f t="shared" si="683"/>
        <v>P000</v>
      </c>
    </row>
    <row r="2302" spans="1:36" x14ac:dyDescent="0.25">
      <c r="A2302" s="325" t="str">
        <f>CONCATENATE("P",'906MP'!M2002)</f>
        <v>P</v>
      </c>
      <c r="B2302">
        <f>'906MP'!H2002</f>
        <v>0</v>
      </c>
      <c r="C2302">
        <f>'906MP'!J2002</f>
        <v>0</v>
      </c>
      <c r="D2302">
        <f>'906MP'!P2002</f>
        <v>0</v>
      </c>
      <c r="E2302">
        <f>'906MP'!X2002</f>
        <v>0</v>
      </c>
      <c r="F2302" t="str">
        <f t="shared" si="675"/>
        <v>0</v>
      </c>
      <c r="G2302" t="str">
        <f t="shared" si="676"/>
        <v>0</v>
      </c>
      <c r="H2302">
        <f>'906MP'!Y2002</f>
        <v>0</v>
      </c>
      <c r="I2302">
        <f>'906MP'!AK2002</f>
        <v>0</v>
      </c>
      <c r="J2302">
        <f>'906MP'!T2002</f>
        <v>0</v>
      </c>
      <c r="K2302">
        <f>'906MP'!AJ2002</f>
        <v>0</v>
      </c>
      <c r="L2302">
        <f>'906MP'!U2002</f>
        <v>0</v>
      </c>
      <c r="M2302" s="322" t="str">
        <f>IFERROR(VLOOKUP(A2302,PAR!$D$3:$E$53,2,FALSE),"nincs szervezet")</f>
        <v>nincs szervezet</v>
      </c>
      <c r="N2302" s="322" t="str">
        <f>VLOOKUP(F2302,PAR!$R$3:$S$5,2,FALSE)</f>
        <v>3 - egyik sem</v>
      </c>
      <c r="O2302" t="str">
        <f>IFERROR(VLOOKUP(J2302,PAR!$O$3:$P$5,2,FALSE),"nincs feladat")</f>
        <v>nincs feladat</v>
      </c>
      <c r="P2302" t="str">
        <f>IFERROR(VLOOKUP(G2302,PAR!$J$2:$M$19,4),"nincs rovat")</f>
        <v>nincs rovat</v>
      </c>
      <c r="Q2302" t="str">
        <f>IF(H2302&gt;0,VLOOKUP(H2302,PAR!$AA$3:$AC$187,3,FALSE),"nincs főkönyvi számla")</f>
        <v>nincs főkönyvi számla</v>
      </c>
      <c r="R2302" t="str">
        <f>IFERROR(VLOOKUP(K2302,PAR!$V$3:$X$438,3,FALSE),"000000 - Nincs COFOG")</f>
        <v>000000 - Nincs COFOG</v>
      </c>
      <c r="S2302">
        <f t="shared" si="677"/>
        <v>0</v>
      </c>
      <c r="T2302">
        <f t="shared" si="678"/>
        <v>0</v>
      </c>
      <c r="U2302" t="str">
        <f>IF('906MP'!J2002&gt;0,CONCATENATE('906MP'!J2002," - ",'906MP'!P2002,", ",'906MP'!E2002),"nincs megjegyzés")</f>
        <v>nincs megjegyzés</v>
      </c>
      <c r="V2302" t="str">
        <f t="shared" si="665"/>
        <v>0P0</v>
      </c>
      <c r="W2302" t="str">
        <f t="shared" si="666"/>
        <v>0P0</v>
      </c>
      <c r="X2302" t="str">
        <f t="shared" si="667"/>
        <v>P0</v>
      </c>
      <c r="Y2302" t="str">
        <f t="shared" si="668"/>
        <v>00</v>
      </c>
      <c r="Z2302" t="str">
        <f t="shared" si="679"/>
        <v>00</v>
      </c>
      <c r="AA2302" t="str">
        <f t="shared" si="669"/>
        <v>00</v>
      </c>
      <c r="AB2302" t="str">
        <f t="shared" si="670"/>
        <v>00</v>
      </c>
      <c r="AC2302" t="str">
        <f t="shared" si="671"/>
        <v>0P0</v>
      </c>
      <c r="AD2302" t="str">
        <f t="shared" si="672"/>
        <v>P00</v>
      </c>
      <c r="AE2302" t="str">
        <f t="shared" si="673"/>
        <v>0P0</v>
      </c>
      <c r="AF2302" t="str">
        <f t="shared" si="674"/>
        <v>P00</v>
      </c>
      <c r="AG2302" t="str">
        <f t="shared" si="680"/>
        <v>0P00</v>
      </c>
      <c r="AH2302" t="str">
        <f t="shared" si="681"/>
        <v>P000</v>
      </c>
      <c r="AI2302" t="str">
        <f t="shared" si="682"/>
        <v>0P00</v>
      </c>
      <c r="AJ2302" t="str">
        <f t="shared" si="683"/>
        <v>P000</v>
      </c>
    </row>
    <row r="2303" spans="1:36" x14ac:dyDescent="0.25">
      <c r="A2303" s="325" t="str">
        <f>CONCATENATE("P",'906MP'!M2003)</f>
        <v>P</v>
      </c>
      <c r="B2303">
        <f>'906MP'!H2003</f>
        <v>0</v>
      </c>
      <c r="C2303">
        <f>'906MP'!J2003</f>
        <v>0</v>
      </c>
      <c r="D2303">
        <f>'906MP'!P2003</f>
        <v>0</v>
      </c>
      <c r="E2303">
        <f>'906MP'!X2003</f>
        <v>0</v>
      </c>
      <c r="F2303" t="str">
        <f t="shared" si="675"/>
        <v>0</v>
      </c>
      <c r="G2303" t="str">
        <f t="shared" si="676"/>
        <v>0</v>
      </c>
      <c r="H2303">
        <f>'906MP'!Y2003</f>
        <v>0</v>
      </c>
      <c r="I2303">
        <f>'906MP'!AK2003</f>
        <v>0</v>
      </c>
      <c r="J2303">
        <f>'906MP'!T2003</f>
        <v>0</v>
      </c>
      <c r="K2303">
        <f>'906MP'!AJ2003</f>
        <v>0</v>
      </c>
      <c r="L2303">
        <f>'906MP'!U2003</f>
        <v>0</v>
      </c>
      <c r="M2303" s="322" t="str">
        <f>IFERROR(VLOOKUP(A2303,PAR!$D$3:$E$53,2,FALSE),"nincs szervezet")</f>
        <v>nincs szervezet</v>
      </c>
      <c r="N2303" s="322" t="str">
        <f>VLOOKUP(F2303,PAR!$R$3:$S$5,2,FALSE)</f>
        <v>3 - egyik sem</v>
      </c>
      <c r="O2303" t="str">
        <f>IFERROR(VLOOKUP(J2303,PAR!$O$3:$P$5,2,FALSE),"nincs feladat")</f>
        <v>nincs feladat</v>
      </c>
      <c r="P2303" t="str">
        <f>IFERROR(VLOOKUP(G2303,PAR!$J$2:$M$19,4),"nincs rovat")</f>
        <v>nincs rovat</v>
      </c>
      <c r="Q2303" t="str">
        <f>IF(H2303&gt;0,VLOOKUP(H2303,PAR!$AA$3:$AC$187,3,FALSE),"nincs főkönyvi számla")</f>
        <v>nincs főkönyvi számla</v>
      </c>
      <c r="R2303" t="str">
        <f>IFERROR(VLOOKUP(K2303,PAR!$V$3:$X$438,3,FALSE),"000000 - Nincs COFOG")</f>
        <v>000000 - Nincs COFOG</v>
      </c>
      <c r="S2303">
        <f t="shared" si="677"/>
        <v>0</v>
      </c>
      <c r="T2303">
        <f t="shared" si="678"/>
        <v>0</v>
      </c>
      <c r="U2303" t="str">
        <f>IF('906MP'!J2003&gt;0,CONCATENATE('906MP'!J2003," - ",'906MP'!P2003,", ",'906MP'!E2003),"nincs megjegyzés")</f>
        <v>nincs megjegyzés</v>
      </c>
      <c r="V2303" t="str">
        <f t="shared" si="665"/>
        <v>0P0</v>
      </c>
      <c r="W2303" t="str">
        <f t="shared" si="666"/>
        <v>0P0</v>
      </c>
      <c r="X2303" t="str">
        <f t="shared" si="667"/>
        <v>P0</v>
      </c>
      <c r="Y2303" t="str">
        <f t="shared" si="668"/>
        <v>00</v>
      </c>
      <c r="Z2303" t="str">
        <f t="shared" si="679"/>
        <v>00</v>
      </c>
      <c r="AA2303" t="str">
        <f t="shared" si="669"/>
        <v>00</v>
      </c>
      <c r="AB2303" t="str">
        <f t="shared" si="670"/>
        <v>00</v>
      </c>
      <c r="AC2303" t="str">
        <f t="shared" si="671"/>
        <v>0P0</v>
      </c>
      <c r="AD2303" t="str">
        <f t="shared" si="672"/>
        <v>P00</v>
      </c>
      <c r="AE2303" t="str">
        <f t="shared" si="673"/>
        <v>0P0</v>
      </c>
      <c r="AF2303" t="str">
        <f t="shared" si="674"/>
        <v>P00</v>
      </c>
      <c r="AG2303" t="str">
        <f t="shared" si="680"/>
        <v>0P00</v>
      </c>
      <c r="AH2303" t="str">
        <f t="shared" si="681"/>
        <v>P000</v>
      </c>
      <c r="AI2303" t="str">
        <f t="shared" si="682"/>
        <v>0P00</v>
      </c>
      <c r="AJ2303" t="str">
        <f t="shared" si="683"/>
        <v>P000</v>
      </c>
    </row>
    <row r="2304" spans="1:36" x14ac:dyDescent="0.25">
      <c r="A2304" s="325" t="str">
        <f>CONCATENATE("P",'906MP'!M2004)</f>
        <v>P</v>
      </c>
      <c r="B2304">
        <f>'906MP'!H2004</f>
        <v>0</v>
      </c>
      <c r="C2304">
        <f>'906MP'!J2004</f>
        <v>0</v>
      </c>
      <c r="D2304">
        <f>'906MP'!P2004</f>
        <v>0</v>
      </c>
      <c r="E2304">
        <f>'906MP'!X2004</f>
        <v>0</v>
      </c>
      <c r="F2304" t="str">
        <f t="shared" si="675"/>
        <v>0</v>
      </c>
      <c r="G2304" t="str">
        <f t="shared" si="676"/>
        <v>0</v>
      </c>
      <c r="H2304">
        <f>'906MP'!Y2004</f>
        <v>0</v>
      </c>
      <c r="I2304">
        <f>'906MP'!AK2004</f>
        <v>0</v>
      </c>
      <c r="J2304">
        <f>'906MP'!T2004</f>
        <v>0</v>
      </c>
      <c r="K2304">
        <f>'906MP'!AJ2004</f>
        <v>0</v>
      </c>
      <c r="L2304">
        <f>'906MP'!U2004</f>
        <v>0</v>
      </c>
      <c r="M2304" s="322" t="str">
        <f>IFERROR(VLOOKUP(A2304,PAR!$D$3:$E$53,2,FALSE),"nincs szervezet")</f>
        <v>nincs szervezet</v>
      </c>
      <c r="N2304" s="322" t="str">
        <f>VLOOKUP(F2304,PAR!$R$3:$S$5,2,FALSE)</f>
        <v>3 - egyik sem</v>
      </c>
      <c r="O2304" t="str">
        <f>IFERROR(VLOOKUP(J2304,PAR!$O$3:$P$5,2,FALSE),"nincs feladat")</f>
        <v>nincs feladat</v>
      </c>
      <c r="P2304" t="str">
        <f>IFERROR(VLOOKUP(G2304,PAR!$J$2:$M$19,4),"nincs rovat")</f>
        <v>nincs rovat</v>
      </c>
      <c r="Q2304" t="str">
        <f>IF(H2304&gt;0,VLOOKUP(H2304,PAR!$AA$3:$AC$187,3,FALSE),"nincs főkönyvi számla")</f>
        <v>nincs főkönyvi számla</v>
      </c>
      <c r="R2304" t="str">
        <f>IFERROR(VLOOKUP(K2304,PAR!$V$3:$X$438,3,FALSE),"000000 - Nincs COFOG")</f>
        <v>000000 - Nincs COFOG</v>
      </c>
      <c r="S2304">
        <f t="shared" si="677"/>
        <v>0</v>
      </c>
      <c r="T2304">
        <f t="shared" si="678"/>
        <v>0</v>
      </c>
      <c r="U2304" t="str">
        <f>IF('906MP'!J2004&gt;0,CONCATENATE('906MP'!J2004," - ",'906MP'!P2004,", ",'906MP'!E2004),"nincs megjegyzés")</f>
        <v>nincs megjegyzés</v>
      </c>
      <c r="V2304" t="str">
        <f t="shared" si="665"/>
        <v>0P0</v>
      </c>
      <c r="W2304" t="str">
        <f t="shared" si="666"/>
        <v>0P0</v>
      </c>
      <c r="X2304" t="str">
        <f t="shared" si="667"/>
        <v>P0</v>
      </c>
      <c r="Y2304" t="str">
        <f t="shared" si="668"/>
        <v>00</v>
      </c>
      <c r="Z2304" t="str">
        <f t="shared" si="679"/>
        <v>00</v>
      </c>
      <c r="AA2304" t="str">
        <f t="shared" si="669"/>
        <v>00</v>
      </c>
      <c r="AB2304" t="str">
        <f t="shared" si="670"/>
        <v>00</v>
      </c>
      <c r="AC2304" t="str">
        <f t="shared" si="671"/>
        <v>0P0</v>
      </c>
      <c r="AD2304" t="str">
        <f t="shared" si="672"/>
        <v>P00</v>
      </c>
      <c r="AE2304" t="str">
        <f t="shared" si="673"/>
        <v>0P0</v>
      </c>
      <c r="AF2304" t="str">
        <f t="shared" si="674"/>
        <v>P00</v>
      </c>
      <c r="AG2304" t="str">
        <f t="shared" si="680"/>
        <v>0P00</v>
      </c>
      <c r="AH2304" t="str">
        <f t="shared" si="681"/>
        <v>P000</v>
      </c>
      <c r="AI2304" t="str">
        <f t="shared" si="682"/>
        <v>0P00</v>
      </c>
      <c r="AJ2304" t="str">
        <f t="shared" si="683"/>
        <v>P000</v>
      </c>
    </row>
    <row r="2305" spans="1:36" x14ac:dyDescent="0.25">
      <c r="A2305" s="325" t="str">
        <f>CONCATENATE("P",'906MP'!M2005)</f>
        <v>P</v>
      </c>
      <c r="B2305">
        <f>'906MP'!H2005</f>
        <v>0</v>
      </c>
      <c r="C2305">
        <f>'906MP'!J2005</f>
        <v>0</v>
      </c>
      <c r="D2305">
        <f>'906MP'!P2005</f>
        <v>0</v>
      </c>
      <c r="E2305">
        <f>'906MP'!X2005</f>
        <v>0</v>
      </c>
      <c r="F2305" t="str">
        <f t="shared" si="675"/>
        <v>0</v>
      </c>
      <c r="G2305" t="str">
        <f t="shared" si="676"/>
        <v>0</v>
      </c>
      <c r="H2305">
        <f>'906MP'!Y2005</f>
        <v>0</v>
      </c>
      <c r="I2305">
        <f>'906MP'!AK2005</f>
        <v>0</v>
      </c>
      <c r="J2305">
        <f>'906MP'!T2005</f>
        <v>0</v>
      </c>
      <c r="K2305">
        <f>'906MP'!AJ2005</f>
        <v>0</v>
      </c>
      <c r="L2305">
        <f>'906MP'!U2005</f>
        <v>0</v>
      </c>
      <c r="M2305" s="322" t="str">
        <f>IFERROR(VLOOKUP(A2305,PAR!$D$3:$E$53,2,FALSE),"nincs szervezet")</f>
        <v>nincs szervezet</v>
      </c>
      <c r="N2305" s="322" t="str">
        <f>VLOOKUP(F2305,PAR!$R$3:$S$5,2,FALSE)</f>
        <v>3 - egyik sem</v>
      </c>
      <c r="O2305" t="str">
        <f>IFERROR(VLOOKUP(J2305,PAR!$O$3:$P$5,2,FALSE),"nincs feladat")</f>
        <v>nincs feladat</v>
      </c>
      <c r="P2305" t="str">
        <f>IFERROR(VLOOKUP(G2305,PAR!$J$2:$M$19,4),"nincs rovat")</f>
        <v>nincs rovat</v>
      </c>
      <c r="Q2305" t="str">
        <f>IF(H2305&gt;0,VLOOKUP(H2305,PAR!$AA$3:$AC$187,3,FALSE),"nincs főkönyvi számla")</f>
        <v>nincs főkönyvi számla</v>
      </c>
      <c r="R2305" t="str">
        <f>IFERROR(VLOOKUP(K2305,PAR!$V$3:$X$438,3,FALSE),"000000 - Nincs COFOG")</f>
        <v>000000 - Nincs COFOG</v>
      </c>
      <c r="S2305">
        <f t="shared" si="677"/>
        <v>0</v>
      </c>
      <c r="T2305">
        <f t="shared" si="678"/>
        <v>0</v>
      </c>
      <c r="U2305" t="str">
        <f>IF('906MP'!J2005&gt;0,CONCATENATE('906MP'!J2005," - ",'906MP'!P2005,", ",'906MP'!E2005),"nincs megjegyzés")</f>
        <v>nincs megjegyzés</v>
      </c>
      <c r="V2305" t="str">
        <f t="shared" si="665"/>
        <v>0P0</v>
      </c>
      <c r="W2305" t="str">
        <f t="shared" si="666"/>
        <v>0P0</v>
      </c>
      <c r="X2305" t="str">
        <f t="shared" si="667"/>
        <v>P0</v>
      </c>
      <c r="Y2305" t="str">
        <f t="shared" si="668"/>
        <v>00</v>
      </c>
      <c r="Z2305" t="str">
        <f t="shared" si="679"/>
        <v>00</v>
      </c>
      <c r="AA2305" t="str">
        <f t="shared" si="669"/>
        <v>00</v>
      </c>
      <c r="AB2305" t="str">
        <f t="shared" si="670"/>
        <v>00</v>
      </c>
      <c r="AC2305" t="str">
        <f t="shared" si="671"/>
        <v>0P0</v>
      </c>
      <c r="AD2305" t="str">
        <f t="shared" si="672"/>
        <v>P00</v>
      </c>
      <c r="AE2305" t="str">
        <f t="shared" si="673"/>
        <v>0P0</v>
      </c>
      <c r="AF2305" t="str">
        <f t="shared" si="674"/>
        <v>P00</v>
      </c>
      <c r="AG2305" t="str">
        <f t="shared" si="680"/>
        <v>0P00</v>
      </c>
      <c r="AH2305" t="str">
        <f t="shared" si="681"/>
        <v>P000</v>
      </c>
      <c r="AI2305" t="str">
        <f t="shared" si="682"/>
        <v>0P00</v>
      </c>
      <c r="AJ2305" t="str">
        <f t="shared" si="683"/>
        <v>P000</v>
      </c>
    </row>
    <row r="2306" spans="1:36" x14ac:dyDescent="0.25">
      <c r="A2306" s="325" t="str">
        <f>CONCATENATE("P",'906MP'!M2006)</f>
        <v>P</v>
      </c>
      <c r="B2306">
        <f>'906MP'!H2006</f>
        <v>0</v>
      </c>
      <c r="C2306">
        <f>'906MP'!J2006</f>
        <v>0</v>
      </c>
      <c r="D2306">
        <f>'906MP'!P2006</f>
        <v>0</v>
      </c>
      <c r="E2306">
        <f>'906MP'!X2006</f>
        <v>0</v>
      </c>
      <c r="F2306" t="str">
        <f t="shared" si="675"/>
        <v>0</v>
      </c>
      <c r="G2306" t="str">
        <f t="shared" si="676"/>
        <v>0</v>
      </c>
      <c r="H2306">
        <f>'906MP'!Y2006</f>
        <v>0</v>
      </c>
      <c r="I2306">
        <f>'906MP'!AK2006</f>
        <v>0</v>
      </c>
      <c r="J2306">
        <f>'906MP'!T2006</f>
        <v>0</v>
      </c>
      <c r="K2306">
        <f>'906MP'!AJ2006</f>
        <v>0</v>
      </c>
      <c r="L2306">
        <f>'906MP'!U2006</f>
        <v>0</v>
      </c>
      <c r="M2306" s="322" t="str">
        <f>IFERROR(VLOOKUP(A2306,PAR!$D$3:$E$53,2,FALSE),"nincs szervezet")</f>
        <v>nincs szervezet</v>
      </c>
      <c r="N2306" s="322" t="str">
        <f>VLOOKUP(F2306,PAR!$R$3:$S$5,2,FALSE)</f>
        <v>3 - egyik sem</v>
      </c>
      <c r="O2306" t="str">
        <f>IFERROR(VLOOKUP(J2306,PAR!$O$3:$P$5,2,FALSE),"nincs feladat")</f>
        <v>nincs feladat</v>
      </c>
      <c r="P2306" t="str">
        <f>IFERROR(VLOOKUP(G2306,PAR!$J$2:$M$19,4),"nincs rovat")</f>
        <v>nincs rovat</v>
      </c>
      <c r="Q2306" t="str">
        <f>IF(H2306&gt;0,VLOOKUP(H2306,PAR!$AA$3:$AC$187,3,FALSE),"nincs főkönyvi számla")</f>
        <v>nincs főkönyvi számla</v>
      </c>
      <c r="R2306" t="str">
        <f>IFERROR(VLOOKUP(K2306,PAR!$V$3:$X$438,3,FALSE),"000000 - Nincs COFOG")</f>
        <v>000000 - Nincs COFOG</v>
      </c>
      <c r="S2306">
        <f t="shared" si="677"/>
        <v>0</v>
      </c>
      <c r="T2306">
        <f t="shared" si="678"/>
        <v>0</v>
      </c>
      <c r="U2306" t="str">
        <f>IF('906MP'!J2006&gt;0,CONCATENATE('906MP'!J2006," - ",'906MP'!P2006,", ",'906MP'!E2006),"nincs megjegyzés")</f>
        <v>nincs megjegyzés</v>
      </c>
      <c r="V2306" t="str">
        <f t="shared" ref="V2306:V2369" si="684">CONCATENATE(B2306,A2306,G2306)</f>
        <v>0P0</v>
      </c>
      <c r="W2306" t="str">
        <f t="shared" ref="W2306:W2369" si="685">CONCATENATE(B2306,A2306,F2306)</f>
        <v>0P0</v>
      </c>
      <c r="X2306" t="str">
        <f t="shared" ref="X2306:X2369" si="686">CONCATENATE(A2306,H2306)</f>
        <v>P0</v>
      </c>
      <c r="Y2306" t="str">
        <f t="shared" ref="Y2306:Y2369" si="687">CONCATENATE(B2306,H2306)</f>
        <v>00</v>
      </c>
      <c r="Z2306" t="str">
        <f t="shared" si="679"/>
        <v>00</v>
      </c>
      <c r="AA2306" t="str">
        <f t="shared" ref="AA2306:AA2369" si="688">CONCATENATE(B2306,G2306)</f>
        <v>00</v>
      </c>
      <c r="AB2306" t="str">
        <f t="shared" ref="AB2306:AB2369" si="689">CONCATENATE(J2306,G2306)</f>
        <v>00</v>
      </c>
      <c r="AC2306" t="str">
        <f t="shared" ref="AC2306:AC2369" si="690">CONCATENATE(B2306,A2306,H2306)</f>
        <v>0P0</v>
      </c>
      <c r="AD2306" t="str">
        <f t="shared" ref="AD2306:AD2369" si="691">CONCATENATE(A2306,H2306,J2306)</f>
        <v>P00</v>
      </c>
      <c r="AE2306" t="str">
        <f t="shared" ref="AE2306:AE2369" si="692">CONCATENATE(B2306,A2306,G2306)</f>
        <v>0P0</v>
      </c>
      <c r="AF2306" t="str">
        <f t="shared" ref="AF2306:AF2369" si="693">CONCATENATE(A2306,G2306,J2306)</f>
        <v>P00</v>
      </c>
      <c r="AG2306" t="str">
        <f t="shared" si="680"/>
        <v>0P00</v>
      </c>
      <c r="AH2306" t="str">
        <f t="shared" si="681"/>
        <v>P000</v>
      </c>
      <c r="AI2306" t="str">
        <f t="shared" si="682"/>
        <v>0P00</v>
      </c>
      <c r="AJ2306" t="str">
        <f t="shared" si="683"/>
        <v>P000</v>
      </c>
    </row>
    <row r="2307" spans="1:36" x14ac:dyDescent="0.25">
      <c r="A2307" s="325" t="str">
        <f>CONCATENATE("P",'906MP'!M2007)</f>
        <v>P</v>
      </c>
      <c r="B2307">
        <f>'906MP'!H2007</f>
        <v>0</v>
      </c>
      <c r="C2307">
        <f>'906MP'!J2007</f>
        <v>0</v>
      </c>
      <c r="D2307">
        <f>'906MP'!P2007</f>
        <v>0</v>
      </c>
      <c r="E2307">
        <f>'906MP'!X2007</f>
        <v>0</v>
      </c>
      <c r="F2307" t="str">
        <f t="shared" ref="F2307:F2370" si="694">LEFT(G2307,2)</f>
        <v>0</v>
      </c>
      <c r="G2307" t="str">
        <f t="shared" ref="G2307:G2370" si="695">LEFT(H2307,3)</f>
        <v>0</v>
      </c>
      <c r="H2307">
        <f>'906MP'!Y2007</f>
        <v>0</v>
      </c>
      <c r="I2307">
        <f>'906MP'!AK2007</f>
        <v>0</v>
      </c>
      <c r="J2307">
        <f>'906MP'!T2007</f>
        <v>0</v>
      </c>
      <c r="K2307">
        <f>'906MP'!AJ2007</f>
        <v>0</v>
      </c>
      <c r="L2307">
        <f>'906MP'!U2007</f>
        <v>0</v>
      </c>
      <c r="M2307" s="322" t="str">
        <f>IFERROR(VLOOKUP(A2307,PAR!$D$3:$E$53,2,FALSE),"nincs szervezet")</f>
        <v>nincs szervezet</v>
      </c>
      <c r="N2307" s="322" t="str">
        <f>VLOOKUP(F2307,PAR!$R$3:$S$5,2,FALSE)</f>
        <v>3 - egyik sem</v>
      </c>
      <c r="O2307" t="str">
        <f>IFERROR(VLOOKUP(J2307,PAR!$O$3:$P$5,2,FALSE),"nincs feladat")</f>
        <v>nincs feladat</v>
      </c>
      <c r="P2307" t="str">
        <f>IFERROR(VLOOKUP(G2307,PAR!$J$2:$M$19,4),"nincs rovat")</f>
        <v>nincs rovat</v>
      </c>
      <c r="Q2307" t="str">
        <f>IF(H2307&gt;0,VLOOKUP(H2307,PAR!$AA$3:$AC$187,3,FALSE),"nincs főkönyvi számla")</f>
        <v>nincs főkönyvi számla</v>
      </c>
      <c r="R2307" t="str">
        <f>IFERROR(VLOOKUP(K2307,PAR!$V$3:$X$438,3,FALSE),"000000 - Nincs COFOG")</f>
        <v>000000 - Nincs COFOG</v>
      </c>
      <c r="S2307">
        <f t="shared" ref="S2307:S2370" si="696">E2307</f>
        <v>0</v>
      </c>
      <c r="T2307">
        <f t="shared" ref="T2307:T2370" si="697">IF(F2307="09",E2307*-1,E2307)</f>
        <v>0</v>
      </c>
      <c r="U2307" t="str">
        <f>IF('906MP'!J2007&gt;0,CONCATENATE('906MP'!J2007," - ",'906MP'!P2007,", ",'906MP'!E2007),"nincs megjegyzés")</f>
        <v>nincs megjegyzés</v>
      </c>
      <c r="V2307" t="str">
        <f t="shared" si="684"/>
        <v>0P0</v>
      </c>
      <c r="W2307" t="str">
        <f t="shared" si="685"/>
        <v>0P0</v>
      </c>
      <c r="X2307" t="str">
        <f t="shared" si="686"/>
        <v>P0</v>
      </c>
      <c r="Y2307" t="str">
        <f t="shared" si="687"/>
        <v>00</v>
      </c>
      <c r="Z2307" t="str">
        <f t="shared" ref="Z2307:Z2370" si="698">CONCATENATE(J2307,H2307)</f>
        <v>00</v>
      </c>
      <c r="AA2307" t="str">
        <f t="shared" si="688"/>
        <v>00</v>
      </c>
      <c r="AB2307" t="str">
        <f t="shared" si="689"/>
        <v>00</v>
      </c>
      <c r="AC2307" t="str">
        <f t="shared" si="690"/>
        <v>0P0</v>
      </c>
      <c r="AD2307" t="str">
        <f t="shared" si="691"/>
        <v>P00</v>
      </c>
      <c r="AE2307" t="str">
        <f t="shared" si="692"/>
        <v>0P0</v>
      </c>
      <c r="AF2307" t="str">
        <f t="shared" si="693"/>
        <v>P00</v>
      </c>
      <c r="AG2307" t="str">
        <f t="shared" ref="AG2307:AG2370" si="699">CONCATENATE(B2307,A2307,H2307,L2307)</f>
        <v>0P00</v>
      </c>
      <c r="AH2307" t="str">
        <f t="shared" ref="AH2307:AH2370" si="700">CONCATENATE(A2307,J2307,H2307,L2307)</f>
        <v>P000</v>
      </c>
      <c r="AI2307" t="str">
        <f t="shared" ref="AI2307:AI2370" si="701">CONCATENATE(B2307,A2307,G2307,L2307)</f>
        <v>0P00</v>
      </c>
      <c r="AJ2307" t="str">
        <f t="shared" ref="AJ2307:AJ2370" si="702">CONCATENATE(A2307,G2307,J2307,L2307)</f>
        <v>P000</v>
      </c>
    </row>
    <row r="2308" spans="1:36" x14ac:dyDescent="0.25">
      <c r="A2308" s="325" t="str">
        <f>CONCATENATE("P",'906MP'!M2008)</f>
        <v>P</v>
      </c>
      <c r="B2308">
        <f>'906MP'!H2008</f>
        <v>0</v>
      </c>
      <c r="C2308">
        <f>'906MP'!J2008</f>
        <v>0</v>
      </c>
      <c r="D2308">
        <f>'906MP'!P2008</f>
        <v>0</v>
      </c>
      <c r="E2308">
        <f>'906MP'!X2008</f>
        <v>0</v>
      </c>
      <c r="F2308" t="str">
        <f t="shared" si="694"/>
        <v>0</v>
      </c>
      <c r="G2308" t="str">
        <f t="shared" si="695"/>
        <v>0</v>
      </c>
      <c r="H2308">
        <f>'906MP'!Y2008</f>
        <v>0</v>
      </c>
      <c r="I2308">
        <f>'906MP'!AK2008</f>
        <v>0</v>
      </c>
      <c r="J2308">
        <f>'906MP'!T2008</f>
        <v>0</v>
      </c>
      <c r="K2308">
        <f>'906MP'!AJ2008</f>
        <v>0</v>
      </c>
      <c r="L2308">
        <f>'906MP'!U2008</f>
        <v>0</v>
      </c>
      <c r="M2308" s="322" t="str">
        <f>IFERROR(VLOOKUP(A2308,PAR!$D$3:$E$53,2,FALSE),"nincs szervezet")</f>
        <v>nincs szervezet</v>
      </c>
      <c r="N2308" s="322" t="str">
        <f>VLOOKUP(F2308,PAR!$R$3:$S$5,2,FALSE)</f>
        <v>3 - egyik sem</v>
      </c>
      <c r="O2308" t="str">
        <f>IFERROR(VLOOKUP(J2308,PAR!$O$3:$P$5,2,FALSE),"nincs feladat")</f>
        <v>nincs feladat</v>
      </c>
      <c r="P2308" t="str">
        <f>IFERROR(VLOOKUP(G2308,PAR!$J$2:$M$19,4),"nincs rovat")</f>
        <v>nincs rovat</v>
      </c>
      <c r="Q2308" t="str">
        <f>IF(H2308&gt;0,VLOOKUP(H2308,PAR!$AA$3:$AC$187,3,FALSE),"nincs főkönyvi számla")</f>
        <v>nincs főkönyvi számla</v>
      </c>
      <c r="R2308" t="str">
        <f>IFERROR(VLOOKUP(K2308,PAR!$V$3:$X$438,3,FALSE),"000000 - Nincs COFOG")</f>
        <v>000000 - Nincs COFOG</v>
      </c>
      <c r="S2308">
        <f t="shared" si="696"/>
        <v>0</v>
      </c>
      <c r="T2308">
        <f t="shared" si="697"/>
        <v>0</v>
      </c>
      <c r="U2308" t="str">
        <f>IF('906MP'!J2008&gt;0,CONCATENATE('906MP'!J2008," - ",'906MP'!P2008,", ",'906MP'!E2008),"nincs megjegyzés")</f>
        <v>nincs megjegyzés</v>
      </c>
      <c r="V2308" t="str">
        <f t="shared" si="684"/>
        <v>0P0</v>
      </c>
      <c r="W2308" t="str">
        <f t="shared" si="685"/>
        <v>0P0</v>
      </c>
      <c r="X2308" t="str">
        <f t="shared" si="686"/>
        <v>P0</v>
      </c>
      <c r="Y2308" t="str">
        <f t="shared" si="687"/>
        <v>00</v>
      </c>
      <c r="Z2308" t="str">
        <f t="shared" si="698"/>
        <v>00</v>
      </c>
      <c r="AA2308" t="str">
        <f t="shared" si="688"/>
        <v>00</v>
      </c>
      <c r="AB2308" t="str">
        <f t="shared" si="689"/>
        <v>00</v>
      </c>
      <c r="AC2308" t="str">
        <f t="shared" si="690"/>
        <v>0P0</v>
      </c>
      <c r="AD2308" t="str">
        <f t="shared" si="691"/>
        <v>P00</v>
      </c>
      <c r="AE2308" t="str">
        <f t="shared" si="692"/>
        <v>0P0</v>
      </c>
      <c r="AF2308" t="str">
        <f t="shared" si="693"/>
        <v>P00</v>
      </c>
      <c r="AG2308" t="str">
        <f t="shared" si="699"/>
        <v>0P00</v>
      </c>
      <c r="AH2308" t="str">
        <f t="shared" si="700"/>
        <v>P000</v>
      </c>
      <c r="AI2308" t="str">
        <f t="shared" si="701"/>
        <v>0P00</v>
      </c>
      <c r="AJ2308" t="str">
        <f t="shared" si="702"/>
        <v>P000</v>
      </c>
    </row>
    <row r="2309" spans="1:36" x14ac:dyDescent="0.25">
      <c r="A2309" s="325" t="str">
        <f>CONCATENATE("P",'906MP'!M2009)</f>
        <v>P</v>
      </c>
      <c r="B2309">
        <f>'906MP'!H2009</f>
        <v>0</v>
      </c>
      <c r="C2309">
        <f>'906MP'!J2009</f>
        <v>0</v>
      </c>
      <c r="D2309">
        <f>'906MP'!P2009</f>
        <v>0</v>
      </c>
      <c r="E2309">
        <f>'906MP'!X2009</f>
        <v>0</v>
      </c>
      <c r="F2309" t="str">
        <f t="shared" si="694"/>
        <v>0</v>
      </c>
      <c r="G2309" t="str">
        <f t="shared" si="695"/>
        <v>0</v>
      </c>
      <c r="H2309">
        <f>'906MP'!Y2009</f>
        <v>0</v>
      </c>
      <c r="I2309">
        <f>'906MP'!AK2009</f>
        <v>0</v>
      </c>
      <c r="J2309">
        <f>'906MP'!T2009</f>
        <v>0</v>
      </c>
      <c r="K2309">
        <f>'906MP'!AJ2009</f>
        <v>0</v>
      </c>
      <c r="L2309">
        <f>'906MP'!U2009</f>
        <v>0</v>
      </c>
      <c r="M2309" s="322" t="str">
        <f>IFERROR(VLOOKUP(A2309,PAR!$D$3:$E$53,2,FALSE),"nincs szervezet")</f>
        <v>nincs szervezet</v>
      </c>
      <c r="N2309" s="322" t="str">
        <f>VLOOKUP(F2309,PAR!$R$3:$S$5,2,FALSE)</f>
        <v>3 - egyik sem</v>
      </c>
      <c r="O2309" t="str">
        <f>IFERROR(VLOOKUP(J2309,PAR!$O$3:$P$5,2,FALSE),"nincs feladat")</f>
        <v>nincs feladat</v>
      </c>
      <c r="P2309" t="str">
        <f>IFERROR(VLOOKUP(G2309,PAR!$J$2:$M$19,4),"nincs rovat")</f>
        <v>nincs rovat</v>
      </c>
      <c r="Q2309" t="str">
        <f>IF(H2309&gt;0,VLOOKUP(H2309,PAR!$AA$3:$AC$187,3,FALSE),"nincs főkönyvi számla")</f>
        <v>nincs főkönyvi számla</v>
      </c>
      <c r="R2309" t="str">
        <f>IFERROR(VLOOKUP(K2309,PAR!$V$3:$X$438,3,FALSE),"000000 - Nincs COFOG")</f>
        <v>000000 - Nincs COFOG</v>
      </c>
      <c r="S2309">
        <f t="shared" si="696"/>
        <v>0</v>
      </c>
      <c r="T2309">
        <f t="shared" si="697"/>
        <v>0</v>
      </c>
      <c r="U2309" t="str">
        <f>IF('906MP'!J2009&gt;0,CONCATENATE('906MP'!J2009," - ",'906MP'!P2009,", ",'906MP'!E2009),"nincs megjegyzés")</f>
        <v>nincs megjegyzés</v>
      </c>
      <c r="V2309" t="str">
        <f t="shared" si="684"/>
        <v>0P0</v>
      </c>
      <c r="W2309" t="str">
        <f t="shared" si="685"/>
        <v>0P0</v>
      </c>
      <c r="X2309" t="str">
        <f t="shared" si="686"/>
        <v>P0</v>
      </c>
      <c r="Y2309" t="str">
        <f t="shared" si="687"/>
        <v>00</v>
      </c>
      <c r="Z2309" t="str">
        <f t="shared" si="698"/>
        <v>00</v>
      </c>
      <c r="AA2309" t="str">
        <f t="shared" si="688"/>
        <v>00</v>
      </c>
      <c r="AB2309" t="str">
        <f t="shared" si="689"/>
        <v>00</v>
      </c>
      <c r="AC2309" t="str">
        <f t="shared" si="690"/>
        <v>0P0</v>
      </c>
      <c r="AD2309" t="str">
        <f t="shared" si="691"/>
        <v>P00</v>
      </c>
      <c r="AE2309" t="str">
        <f t="shared" si="692"/>
        <v>0P0</v>
      </c>
      <c r="AF2309" t="str">
        <f t="shared" si="693"/>
        <v>P00</v>
      </c>
      <c r="AG2309" t="str">
        <f t="shared" si="699"/>
        <v>0P00</v>
      </c>
      <c r="AH2309" t="str">
        <f t="shared" si="700"/>
        <v>P000</v>
      </c>
      <c r="AI2309" t="str">
        <f t="shared" si="701"/>
        <v>0P00</v>
      </c>
      <c r="AJ2309" t="str">
        <f t="shared" si="702"/>
        <v>P000</v>
      </c>
    </row>
    <row r="2310" spans="1:36" x14ac:dyDescent="0.25">
      <c r="A2310" s="325" t="str">
        <f>CONCATENATE("P",'906MP'!M2010)</f>
        <v>P</v>
      </c>
      <c r="B2310">
        <f>'906MP'!H2010</f>
        <v>0</v>
      </c>
      <c r="C2310">
        <f>'906MP'!J2010</f>
        <v>0</v>
      </c>
      <c r="D2310">
        <f>'906MP'!P2010</f>
        <v>0</v>
      </c>
      <c r="E2310">
        <f>'906MP'!X2010</f>
        <v>0</v>
      </c>
      <c r="F2310" t="str">
        <f t="shared" si="694"/>
        <v>0</v>
      </c>
      <c r="G2310" t="str">
        <f t="shared" si="695"/>
        <v>0</v>
      </c>
      <c r="H2310">
        <f>'906MP'!Y2010</f>
        <v>0</v>
      </c>
      <c r="I2310">
        <f>'906MP'!AK2010</f>
        <v>0</v>
      </c>
      <c r="J2310">
        <f>'906MP'!T2010</f>
        <v>0</v>
      </c>
      <c r="K2310">
        <f>'906MP'!AJ2010</f>
        <v>0</v>
      </c>
      <c r="L2310">
        <f>'906MP'!U2010</f>
        <v>0</v>
      </c>
      <c r="M2310" s="322" t="str">
        <f>IFERROR(VLOOKUP(A2310,PAR!$D$3:$E$53,2,FALSE),"nincs szervezet")</f>
        <v>nincs szervezet</v>
      </c>
      <c r="N2310" s="322" t="str">
        <f>VLOOKUP(F2310,PAR!$R$3:$S$5,2,FALSE)</f>
        <v>3 - egyik sem</v>
      </c>
      <c r="O2310" t="str">
        <f>IFERROR(VLOOKUP(J2310,PAR!$O$3:$P$5,2,FALSE),"nincs feladat")</f>
        <v>nincs feladat</v>
      </c>
      <c r="P2310" t="str">
        <f>IFERROR(VLOOKUP(G2310,PAR!$J$2:$M$19,4),"nincs rovat")</f>
        <v>nincs rovat</v>
      </c>
      <c r="Q2310" t="str">
        <f>IF(H2310&gt;0,VLOOKUP(H2310,PAR!$AA$3:$AC$187,3,FALSE),"nincs főkönyvi számla")</f>
        <v>nincs főkönyvi számla</v>
      </c>
      <c r="R2310" t="str">
        <f>IFERROR(VLOOKUP(K2310,PAR!$V$3:$X$438,3,FALSE),"000000 - Nincs COFOG")</f>
        <v>000000 - Nincs COFOG</v>
      </c>
      <c r="S2310">
        <f t="shared" si="696"/>
        <v>0</v>
      </c>
      <c r="T2310">
        <f t="shared" si="697"/>
        <v>0</v>
      </c>
      <c r="U2310" t="str">
        <f>IF('906MP'!J2010&gt;0,CONCATENATE('906MP'!J2010," - ",'906MP'!P2010,", ",'906MP'!E2010),"nincs megjegyzés")</f>
        <v>nincs megjegyzés</v>
      </c>
      <c r="V2310" t="str">
        <f t="shared" si="684"/>
        <v>0P0</v>
      </c>
      <c r="W2310" t="str">
        <f t="shared" si="685"/>
        <v>0P0</v>
      </c>
      <c r="X2310" t="str">
        <f t="shared" si="686"/>
        <v>P0</v>
      </c>
      <c r="Y2310" t="str">
        <f t="shared" si="687"/>
        <v>00</v>
      </c>
      <c r="Z2310" t="str">
        <f t="shared" si="698"/>
        <v>00</v>
      </c>
      <c r="AA2310" t="str">
        <f t="shared" si="688"/>
        <v>00</v>
      </c>
      <c r="AB2310" t="str">
        <f t="shared" si="689"/>
        <v>00</v>
      </c>
      <c r="AC2310" t="str">
        <f t="shared" si="690"/>
        <v>0P0</v>
      </c>
      <c r="AD2310" t="str">
        <f t="shared" si="691"/>
        <v>P00</v>
      </c>
      <c r="AE2310" t="str">
        <f t="shared" si="692"/>
        <v>0P0</v>
      </c>
      <c r="AF2310" t="str">
        <f t="shared" si="693"/>
        <v>P00</v>
      </c>
      <c r="AG2310" t="str">
        <f t="shared" si="699"/>
        <v>0P00</v>
      </c>
      <c r="AH2310" t="str">
        <f t="shared" si="700"/>
        <v>P000</v>
      </c>
      <c r="AI2310" t="str">
        <f t="shared" si="701"/>
        <v>0P00</v>
      </c>
      <c r="AJ2310" t="str">
        <f t="shared" si="702"/>
        <v>P000</v>
      </c>
    </row>
    <row r="2311" spans="1:36" x14ac:dyDescent="0.25">
      <c r="A2311" s="325" t="str">
        <f>CONCATENATE("P",'906MP'!M2011)</f>
        <v>P</v>
      </c>
      <c r="B2311">
        <f>'906MP'!H2011</f>
        <v>0</v>
      </c>
      <c r="C2311">
        <f>'906MP'!J2011</f>
        <v>0</v>
      </c>
      <c r="D2311">
        <f>'906MP'!P2011</f>
        <v>0</v>
      </c>
      <c r="E2311">
        <f>'906MP'!X2011</f>
        <v>0</v>
      </c>
      <c r="F2311" t="str">
        <f t="shared" si="694"/>
        <v>0</v>
      </c>
      <c r="G2311" t="str">
        <f t="shared" si="695"/>
        <v>0</v>
      </c>
      <c r="H2311">
        <f>'906MP'!Y2011</f>
        <v>0</v>
      </c>
      <c r="I2311">
        <f>'906MP'!AK2011</f>
        <v>0</v>
      </c>
      <c r="J2311">
        <f>'906MP'!T2011</f>
        <v>0</v>
      </c>
      <c r="K2311">
        <f>'906MP'!AJ2011</f>
        <v>0</v>
      </c>
      <c r="L2311">
        <f>'906MP'!U2011</f>
        <v>0</v>
      </c>
      <c r="M2311" s="322" t="str">
        <f>IFERROR(VLOOKUP(A2311,PAR!$D$3:$E$53,2,FALSE),"nincs szervezet")</f>
        <v>nincs szervezet</v>
      </c>
      <c r="N2311" s="322" t="str">
        <f>VLOOKUP(F2311,PAR!$R$3:$S$5,2,FALSE)</f>
        <v>3 - egyik sem</v>
      </c>
      <c r="O2311" t="str">
        <f>IFERROR(VLOOKUP(J2311,PAR!$O$3:$P$5,2,FALSE),"nincs feladat")</f>
        <v>nincs feladat</v>
      </c>
      <c r="P2311" t="str">
        <f>IFERROR(VLOOKUP(G2311,PAR!$J$2:$M$19,4),"nincs rovat")</f>
        <v>nincs rovat</v>
      </c>
      <c r="Q2311" t="str">
        <f>IF(H2311&gt;0,VLOOKUP(H2311,PAR!$AA$3:$AC$187,3,FALSE),"nincs főkönyvi számla")</f>
        <v>nincs főkönyvi számla</v>
      </c>
      <c r="R2311" t="str">
        <f>IFERROR(VLOOKUP(K2311,PAR!$V$3:$X$438,3,FALSE),"000000 - Nincs COFOG")</f>
        <v>000000 - Nincs COFOG</v>
      </c>
      <c r="S2311">
        <f t="shared" si="696"/>
        <v>0</v>
      </c>
      <c r="T2311">
        <f t="shared" si="697"/>
        <v>0</v>
      </c>
      <c r="U2311" t="str">
        <f>IF('906MP'!J2011&gt;0,CONCATENATE('906MP'!J2011," - ",'906MP'!P2011,", ",'906MP'!E2011),"nincs megjegyzés")</f>
        <v>nincs megjegyzés</v>
      </c>
      <c r="V2311" t="str">
        <f t="shared" si="684"/>
        <v>0P0</v>
      </c>
      <c r="W2311" t="str">
        <f t="shared" si="685"/>
        <v>0P0</v>
      </c>
      <c r="X2311" t="str">
        <f t="shared" si="686"/>
        <v>P0</v>
      </c>
      <c r="Y2311" t="str">
        <f t="shared" si="687"/>
        <v>00</v>
      </c>
      <c r="Z2311" t="str">
        <f t="shared" si="698"/>
        <v>00</v>
      </c>
      <c r="AA2311" t="str">
        <f t="shared" si="688"/>
        <v>00</v>
      </c>
      <c r="AB2311" t="str">
        <f t="shared" si="689"/>
        <v>00</v>
      </c>
      <c r="AC2311" t="str">
        <f t="shared" si="690"/>
        <v>0P0</v>
      </c>
      <c r="AD2311" t="str">
        <f t="shared" si="691"/>
        <v>P00</v>
      </c>
      <c r="AE2311" t="str">
        <f t="shared" si="692"/>
        <v>0P0</v>
      </c>
      <c r="AF2311" t="str">
        <f t="shared" si="693"/>
        <v>P00</v>
      </c>
      <c r="AG2311" t="str">
        <f t="shared" si="699"/>
        <v>0P00</v>
      </c>
      <c r="AH2311" t="str">
        <f t="shared" si="700"/>
        <v>P000</v>
      </c>
      <c r="AI2311" t="str">
        <f t="shared" si="701"/>
        <v>0P00</v>
      </c>
      <c r="AJ2311" t="str">
        <f t="shared" si="702"/>
        <v>P000</v>
      </c>
    </row>
    <row r="2312" spans="1:36" x14ac:dyDescent="0.25">
      <c r="A2312" s="325" t="str">
        <f>CONCATENATE("P",'906MP'!M2012)</f>
        <v>P</v>
      </c>
      <c r="B2312">
        <f>'906MP'!H2012</f>
        <v>0</v>
      </c>
      <c r="C2312">
        <f>'906MP'!J2012</f>
        <v>0</v>
      </c>
      <c r="D2312">
        <f>'906MP'!P2012</f>
        <v>0</v>
      </c>
      <c r="E2312">
        <f>'906MP'!X2012</f>
        <v>0</v>
      </c>
      <c r="F2312" t="str">
        <f t="shared" si="694"/>
        <v>0</v>
      </c>
      <c r="G2312" t="str">
        <f t="shared" si="695"/>
        <v>0</v>
      </c>
      <c r="H2312">
        <f>'906MP'!Y2012</f>
        <v>0</v>
      </c>
      <c r="I2312">
        <f>'906MP'!AK2012</f>
        <v>0</v>
      </c>
      <c r="J2312">
        <f>'906MP'!T2012</f>
        <v>0</v>
      </c>
      <c r="K2312">
        <f>'906MP'!AJ2012</f>
        <v>0</v>
      </c>
      <c r="L2312">
        <f>'906MP'!U2012</f>
        <v>0</v>
      </c>
      <c r="M2312" s="322" t="str">
        <f>IFERROR(VLOOKUP(A2312,PAR!$D$3:$E$53,2,FALSE),"nincs szervezet")</f>
        <v>nincs szervezet</v>
      </c>
      <c r="N2312" s="322" t="str">
        <f>VLOOKUP(F2312,PAR!$R$3:$S$5,2,FALSE)</f>
        <v>3 - egyik sem</v>
      </c>
      <c r="O2312" t="str">
        <f>IFERROR(VLOOKUP(J2312,PAR!$O$3:$P$5,2,FALSE),"nincs feladat")</f>
        <v>nincs feladat</v>
      </c>
      <c r="P2312" t="str">
        <f>IFERROR(VLOOKUP(G2312,PAR!$J$2:$M$19,4),"nincs rovat")</f>
        <v>nincs rovat</v>
      </c>
      <c r="Q2312" t="str">
        <f>IF(H2312&gt;0,VLOOKUP(H2312,PAR!$AA$3:$AC$187,3,FALSE),"nincs főkönyvi számla")</f>
        <v>nincs főkönyvi számla</v>
      </c>
      <c r="R2312" t="str">
        <f>IFERROR(VLOOKUP(K2312,PAR!$V$3:$X$438,3,FALSE),"000000 - Nincs COFOG")</f>
        <v>000000 - Nincs COFOG</v>
      </c>
      <c r="S2312">
        <f t="shared" si="696"/>
        <v>0</v>
      </c>
      <c r="T2312">
        <f t="shared" si="697"/>
        <v>0</v>
      </c>
      <c r="U2312" t="str">
        <f>IF('906MP'!J2012&gt;0,CONCATENATE('906MP'!J2012," - ",'906MP'!P2012,", ",'906MP'!E2012),"nincs megjegyzés")</f>
        <v>nincs megjegyzés</v>
      </c>
      <c r="V2312" t="str">
        <f t="shared" si="684"/>
        <v>0P0</v>
      </c>
      <c r="W2312" t="str">
        <f t="shared" si="685"/>
        <v>0P0</v>
      </c>
      <c r="X2312" t="str">
        <f t="shared" si="686"/>
        <v>P0</v>
      </c>
      <c r="Y2312" t="str">
        <f t="shared" si="687"/>
        <v>00</v>
      </c>
      <c r="Z2312" t="str">
        <f t="shared" si="698"/>
        <v>00</v>
      </c>
      <c r="AA2312" t="str">
        <f t="shared" si="688"/>
        <v>00</v>
      </c>
      <c r="AB2312" t="str">
        <f t="shared" si="689"/>
        <v>00</v>
      </c>
      <c r="AC2312" t="str">
        <f t="shared" si="690"/>
        <v>0P0</v>
      </c>
      <c r="AD2312" t="str">
        <f t="shared" si="691"/>
        <v>P00</v>
      </c>
      <c r="AE2312" t="str">
        <f t="shared" si="692"/>
        <v>0P0</v>
      </c>
      <c r="AF2312" t="str">
        <f t="shared" si="693"/>
        <v>P00</v>
      </c>
      <c r="AG2312" t="str">
        <f t="shared" si="699"/>
        <v>0P00</v>
      </c>
      <c r="AH2312" t="str">
        <f t="shared" si="700"/>
        <v>P000</v>
      </c>
      <c r="AI2312" t="str">
        <f t="shared" si="701"/>
        <v>0P00</v>
      </c>
      <c r="AJ2312" t="str">
        <f t="shared" si="702"/>
        <v>P000</v>
      </c>
    </row>
    <row r="2313" spans="1:36" x14ac:dyDescent="0.25">
      <c r="A2313" s="325" t="str">
        <f>CONCATENATE("P",'906MP'!M2013)</f>
        <v>P</v>
      </c>
      <c r="B2313">
        <f>'906MP'!H2013</f>
        <v>0</v>
      </c>
      <c r="C2313">
        <f>'906MP'!J2013</f>
        <v>0</v>
      </c>
      <c r="D2313">
        <f>'906MP'!P2013</f>
        <v>0</v>
      </c>
      <c r="E2313">
        <f>'906MP'!X2013</f>
        <v>0</v>
      </c>
      <c r="F2313" t="str">
        <f t="shared" si="694"/>
        <v>0</v>
      </c>
      <c r="G2313" t="str">
        <f t="shared" si="695"/>
        <v>0</v>
      </c>
      <c r="H2313">
        <f>'906MP'!Y2013</f>
        <v>0</v>
      </c>
      <c r="I2313">
        <f>'906MP'!AK2013</f>
        <v>0</v>
      </c>
      <c r="J2313">
        <f>'906MP'!T2013</f>
        <v>0</v>
      </c>
      <c r="K2313">
        <f>'906MP'!AJ2013</f>
        <v>0</v>
      </c>
      <c r="L2313">
        <f>'906MP'!U2013</f>
        <v>0</v>
      </c>
      <c r="M2313" s="322" t="str">
        <f>IFERROR(VLOOKUP(A2313,PAR!$D$3:$E$53,2,FALSE),"nincs szervezet")</f>
        <v>nincs szervezet</v>
      </c>
      <c r="N2313" s="322" t="str">
        <f>VLOOKUP(F2313,PAR!$R$3:$S$5,2,FALSE)</f>
        <v>3 - egyik sem</v>
      </c>
      <c r="O2313" t="str">
        <f>IFERROR(VLOOKUP(J2313,PAR!$O$3:$P$5,2,FALSE),"nincs feladat")</f>
        <v>nincs feladat</v>
      </c>
      <c r="P2313" t="str">
        <f>IFERROR(VLOOKUP(G2313,PAR!$J$2:$M$19,4),"nincs rovat")</f>
        <v>nincs rovat</v>
      </c>
      <c r="Q2313" t="str">
        <f>IF(H2313&gt;0,VLOOKUP(H2313,PAR!$AA$3:$AC$187,3,FALSE),"nincs főkönyvi számla")</f>
        <v>nincs főkönyvi számla</v>
      </c>
      <c r="R2313" t="str">
        <f>IFERROR(VLOOKUP(K2313,PAR!$V$3:$X$438,3,FALSE),"000000 - Nincs COFOG")</f>
        <v>000000 - Nincs COFOG</v>
      </c>
      <c r="S2313">
        <f t="shared" si="696"/>
        <v>0</v>
      </c>
      <c r="T2313">
        <f t="shared" si="697"/>
        <v>0</v>
      </c>
      <c r="U2313" t="str">
        <f>IF('906MP'!J2013&gt;0,CONCATENATE('906MP'!J2013," - ",'906MP'!P2013,", ",'906MP'!E2013),"nincs megjegyzés")</f>
        <v>nincs megjegyzés</v>
      </c>
      <c r="V2313" t="str">
        <f t="shared" si="684"/>
        <v>0P0</v>
      </c>
      <c r="W2313" t="str">
        <f t="shared" si="685"/>
        <v>0P0</v>
      </c>
      <c r="X2313" t="str">
        <f t="shared" si="686"/>
        <v>P0</v>
      </c>
      <c r="Y2313" t="str">
        <f t="shared" si="687"/>
        <v>00</v>
      </c>
      <c r="Z2313" t="str">
        <f t="shared" si="698"/>
        <v>00</v>
      </c>
      <c r="AA2313" t="str">
        <f t="shared" si="688"/>
        <v>00</v>
      </c>
      <c r="AB2313" t="str">
        <f t="shared" si="689"/>
        <v>00</v>
      </c>
      <c r="AC2313" t="str">
        <f t="shared" si="690"/>
        <v>0P0</v>
      </c>
      <c r="AD2313" t="str">
        <f t="shared" si="691"/>
        <v>P00</v>
      </c>
      <c r="AE2313" t="str">
        <f t="shared" si="692"/>
        <v>0P0</v>
      </c>
      <c r="AF2313" t="str">
        <f t="shared" si="693"/>
        <v>P00</v>
      </c>
      <c r="AG2313" t="str">
        <f t="shared" si="699"/>
        <v>0P00</v>
      </c>
      <c r="AH2313" t="str">
        <f t="shared" si="700"/>
        <v>P000</v>
      </c>
      <c r="AI2313" t="str">
        <f t="shared" si="701"/>
        <v>0P00</v>
      </c>
      <c r="AJ2313" t="str">
        <f t="shared" si="702"/>
        <v>P000</v>
      </c>
    </row>
    <row r="2314" spans="1:36" x14ac:dyDescent="0.25">
      <c r="A2314" s="325" t="str">
        <f>CONCATENATE("P",'906MP'!M2014)</f>
        <v>P</v>
      </c>
      <c r="B2314">
        <f>'906MP'!H2014</f>
        <v>0</v>
      </c>
      <c r="C2314">
        <f>'906MP'!J2014</f>
        <v>0</v>
      </c>
      <c r="D2314">
        <f>'906MP'!P2014</f>
        <v>0</v>
      </c>
      <c r="E2314">
        <f>'906MP'!X2014</f>
        <v>0</v>
      </c>
      <c r="F2314" t="str">
        <f t="shared" si="694"/>
        <v>0</v>
      </c>
      <c r="G2314" t="str">
        <f t="shared" si="695"/>
        <v>0</v>
      </c>
      <c r="H2314">
        <f>'906MP'!Y2014</f>
        <v>0</v>
      </c>
      <c r="I2314">
        <f>'906MP'!AK2014</f>
        <v>0</v>
      </c>
      <c r="J2314">
        <f>'906MP'!T2014</f>
        <v>0</v>
      </c>
      <c r="K2314">
        <f>'906MP'!AJ2014</f>
        <v>0</v>
      </c>
      <c r="L2314">
        <f>'906MP'!U2014</f>
        <v>0</v>
      </c>
      <c r="M2314" s="322" t="str">
        <f>IFERROR(VLOOKUP(A2314,PAR!$D$3:$E$53,2,FALSE),"nincs szervezet")</f>
        <v>nincs szervezet</v>
      </c>
      <c r="N2314" s="322" t="str">
        <f>VLOOKUP(F2314,PAR!$R$3:$S$5,2,FALSE)</f>
        <v>3 - egyik sem</v>
      </c>
      <c r="O2314" t="str">
        <f>IFERROR(VLOOKUP(J2314,PAR!$O$3:$P$5,2,FALSE),"nincs feladat")</f>
        <v>nincs feladat</v>
      </c>
      <c r="P2314" t="str">
        <f>IFERROR(VLOOKUP(G2314,PAR!$J$2:$M$19,4),"nincs rovat")</f>
        <v>nincs rovat</v>
      </c>
      <c r="Q2314" t="str">
        <f>IF(H2314&gt;0,VLOOKUP(H2314,PAR!$AA$3:$AC$187,3,FALSE),"nincs főkönyvi számla")</f>
        <v>nincs főkönyvi számla</v>
      </c>
      <c r="R2314" t="str">
        <f>IFERROR(VLOOKUP(K2314,PAR!$V$3:$X$438,3,FALSE),"000000 - Nincs COFOG")</f>
        <v>000000 - Nincs COFOG</v>
      </c>
      <c r="S2314">
        <f t="shared" si="696"/>
        <v>0</v>
      </c>
      <c r="T2314">
        <f t="shared" si="697"/>
        <v>0</v>
      </c>
      <c r="U2314" t="str">
        <f>IF('906MP'!J2014&gt;0,CONCATENATE('906MP'!J2014," - ",'906MP'!P2014,", ",'906MP'!E2014),"nincs megjegyzés")</f>
        <v>nincs megjegyzés</v>
      </c>
      <c r="V2314" t="str">
        <f t="shared" si="684"/>
        <v>0P0</v>
      </c>
      <c r="W2314" t="str">
        <f t="shared" si="685"/>
        <v>0P0</v>
      </c>
      <c r="X2314" t="str">
        <f t="shared" si="686"/>
        <v>P0</v>
      </c>
      <c r="Y2314" t="str">
        <f t="shared" si="687"/>
        <v>00</v>
      </c>
      <c r="Z2314" t="str">
        <f t="shared" si="698"/>
        <v>00</v>
      </c>
      <c r="AA2314" t="str">
        <f t="shared" si="688"/>
        <v>00</v>
      </c>
      <c r="AB2314" t="str">
        <f t="shared" si="689"/>
        <v>00</v>
      </c>
      <c r="AC2314" t="str">
        <f t="shared" si="690"/>
        <v>0P0</v>
      </c>
      <c r="AD2314" t="str">
        <f t="shared" si="691"/>
        <v>P00</v>
      </c>
      <c r="AE2314" t="str">
        <f t="shared" si="692"/>
        <v>0P0</v>
      </c>
      <c r="AF2314" t="str">
        <f t="shared" si="693"/>
        <v>P00</v>
      </c>
      <c r="AG2314" t="str">
        <f t="shared" si="699"/>
        <v>0P00</v>
      </c>
      <c r="AH2314" t="str">
        <f t="shared" si="700"/>
        <v>P000</v>
      </c>
      <c r="AI2314" t="str">
        <f t="shared" si="701"/>
        <v>0P00</v>
      </c>
      <c r="AJ2314" t="str">
        <f t="shared" si="702"/>
        <v>P000</v>
      </c>
    </row>
    <row r="2315" spans="1:36" x14ac:dyDescent="0.25">
      <c r="A2315" s="325" t="str">
        <f>CONCATENATE("P",'906MP'!M2015)</f>
        <v>P</v>
      </c>
      <c r="B2315">
        <f>'906MP'!H2015</f>
        <v>0</v>
      </c>
      <c r="C2315">
        <f>'906MP'!J2015</f>
        <v>0</v>
      </c>
      <c r="D2315">
        <f>'906MP'!P2015</f>
        <v>0</v>
      </c>
      <c r="E2315">
        <f>'906MP'!X2015</f>
        <v>0</v>
      </c>
      <c r="F2315" t="str">
        <f t="shared" si="694"/>
        <v>0</v>
      </c>
      <c r="G2315" t="str">
        <f t="shared" si="695"/>
        <v>0</v>
      </c>
      <c r="H2315">
        <f>'906MP'!Y2015</f>
        <v>0</v>
      </c>
      <c r="I2315">
        <f>'906MP'!AK2015</f>
        <v>0</v>
      </c>
      <c r="J2315">
        <f>'906MP'!T2015</f>
        <v>0</v>
      </c>
      <c r="K2315">
        <f>'906MP'!AJ2015</f>
        <v>0</v>
      </c>
      <c r="L2315">
        <f>'906MP'!U2015</f>
        <v>0</v>
      </c>
      <c r="M2315" s="322" t="str">
        <f>IFERROR(VLOOKUP(A2315,PAR!$D$3:$E$53,2,FALSE),"nincs szervezet")</f>
        <v>nincs szervezet</v>
      </c>
      <c r="N2315" s="322" t="str">
        <f>VLOOKUP(F2315,PAR!$R$3:$S$5,2,FALSE)</f>
        <v>3 - egyik sem</v>
      </c>
      <c r="O2315" t="str">
        <f>IFERROR(VLOOKUP(J2315,PAR!$O$3:$P$5,2,FALSE),"nincs feladat")</f>
        <v>nincs feladat</v>
      </c>
      <c r="P2315" t="str">
        <f>IFERROR(VLOOKUP(G2315,PAR!$J$2:$M$19,4),"nincs rovat")</f>
        <v>nincs rovat</v>
      </c>
      <c r="Q2315" t="str">
        <f>IF(H2315&gt;0,VLOOKUP(H2315,PAR!$AA$3:$AC$187,3,FALSE),"nincs főkönyvi számla")</f>
        <v>nincs főkönyvi számla</v>
      </c>
      <c r="R2315" t="str">
        <f>IFERROR(VLOOKUP(K2315,PAR!$V$3:$X$438,3,FALSE),"000000 - Nincs COFOG")</f>
        <v>000000 - Nincs COFOG</v>
      </c>
      <c r="S2315">
        <f t="shared" si="696"/>
        <v>0</v>
      </c>
      <c r="T2315">
        <f t="shared" si="697"/>
        <v>0</v>
      </c>
      <c r="U2315" t="str">
        <f>IF('906MP'!J2015&gt;0,CONCATENATE('906MP'!J2015," - ",'906MP'!P2015,", ",'906MP'!E2015),"nincs megjegyzés")</f>
        <v>nincs megjegyzés</v>
      </c>
      <c r="V2315" t="str">
        <f t="shared" si="684"/>
        <v>0P0</v>
      </c>
      <c r="W2315" t="str">
        <f t="shared" si="685"/>
        <v>0P0</v>
      </c>
      <c r="X2315" t="str">
        <f t="shared" si="686"/>
        <v>P0</v>
      </c>
      <c r="Y2315" t="str">
        <f t="shared" si="687"/>
        <v>00</v>
      </c>
      <c r="Z2315" t="str">
        <f t="shared" si="698"/>
        <v>00</v>
      </c>
      <c r="AA2315" t="str">
        <f t="shared" si="688"/>
        <v>00</v>
      </c>
      <c r="AB2315" t="str">
        <f t="shared" si="689"/>
        <v>00</v>
      </c>
      <c r="AC2315" t="str">
        <f t="shared" si="690"/>
        <v>0P0</v>
      </c>
      <c r="AD2315" t="str">
        <f t="shared" si="691"/>
        <v>P00</v>
      </c>
      <c r="AE2315" t="str">
        <f t="shared" si="692"/>
        <v>0P0</v>
      </c>
      <c r="AF2315" t="str">
        <f t="shared" si="693"/>
        <v>P00</v>
      </c>
      <c r="AG2315" t="str">
        <f t="shared" si="699"/>
        <v>0P00</v>
      </c>
      <c r="AH2315" t="str">
        <f t="shared" si="700"/>
        <v>P000</v>
      </c>
      <c r="AI2315" t="str">
        <f t="shared" si="701"/>
        <v>0P00</v>
      </c>
      <c r="AJ2315" t="str">
        <f t="shared" si="702"/>
        <v>P000</v>
      </c>
    </row>
    <row r="2316" spans="1:36" x14ac:dyDescent="0.25">
      <c r="A2316" s="325" t="str">
        <f>CONCATENATE("P",'906MP'!M2016)</f>
        <v>P</v>
      </c>
      <c r="B2316">
        <f>'906MP'!H2016</f>
        <v>0</v>
      </c>
      <c r="C2316">
        <f>'906MP'!J2016</f>
        <v>0</v>
      </c>
      <c r="D2316">
        <f>'906MP'!P2016</f>
        <v>0</v>
      </c>
      <c r="E2316">
        <f>'906MP'!X2016</f>
        <v>0</v>
      </c>
      <c r="F2316" t="str">
        <f t="shared" si="694"/>
        <v>0</v>
      </c>
      <c r="G2316" t="str">
        <f t="shared" si="695"/>
        <v>0</v>
      </c>
      <c r="H2316">
        <f>'906MP'!Y2016</f>
        <v>0</v>
      </c>
      <c r="I2316">
        <f>'906MP'!AK2016</f>
        <v>0</v>
      </c>
      <c r="J2316">
        <f>'906MP'!T2016</f>
        <v>0</v>
      </c>
      <c r="K2316">
        <f>'906MP'!AJ2016</f>
        <v>0</v>
      </c>
      <c r="L2316">
        <f>'906MP'!U2016</f>
        <v>0</v>
      </c>
      <c r="M2316" s="322" t="str">
        <f>IFERROR(VLOOKUP(A2316,PAR!$D$3:$E$53,2,FALSE),"nincs szervezet")</f>
        <v>nincs szervezet</v>
      </c>
      <c r="N2316" s="322" t="str">
        <f>VLOOKUP(F2316,PAR!$R$3:$S$5,2,FALSE)</f>
        <v>3 - egyik sem</v>
      </c>
      <c r="O2316" t="str">
        <f>IFERROR(VLOOKUP(J2316,PAR!$O$3:$P$5,2,FALSE),"nincs feladat")</f>
        <v>nincs feladat</v>
      </c>
      <c r="P2316" t="str">
        <f>IFERROR(VLOOKUP(G2316,PAR!$J$2:$M$19,4),"nincs rovat")</f>
        <v>nincs rovat</v>
      </c>
      <c r="Q2316" t="str">
        <f>IF(H2316&gt;0,VLOOKUP(H2316,PAR!$AA$3:$AC$187,3,FALSE),"nincs főkönyvi számla")</f>
        <v>nincs főkönyvi számla</v>
      </c>
      <c r="R2316" t="str">
        <f>IFERROR(VLOOKUP(K2316,PAR!$V$3:$X$438,3,FALSE),"000000 - Nincs COFOG")</f>
        <v>000000 - Nincs COFOG</v>
      </c>
      <c r="S2316">
        <f t="shared" si="696"/>
        <v>0</v>
      </c>
      <c r="T2316">
        <f t="shared" si="697"/>
        <v>0</v>
      </c>
      <c r="U2316" t="str">
        <f>IF('906MP'!J2016&gt;0,CONCATENATE('906MP'!J2016," - ",'906MP'!P2016,", ",'906MP'!E2016),"nincs megjegyzés")</f>
        <v>nincs megjegyzés</v>
      </c>
      <c r="V2316" t="str">
        <f t="shared" si="684"/>
        <v>0P0</v>
      </c>
      <c r="W2316" t="str">
        <f t="shared" si="685"/>
        <v>0P0</v>
      </c>
      <c r="X2316" t="str">
        <f t="shared" si="686"/>
        <v>P0</v>
      </c>
      <c r="Y2316" t="str">
        <f t="shared" si="687"/>
        <v>00</v>
      </c>
      <c r="Z2316" t="str">
        <f t="shared" si="698"/>
        <v>00</v>
      </c>
      <c r="AA2316" t="str">
        <f t="shared" si="688"/>
        <v>00</v>
      </c>
      <c r="AB2316" t="str">
        <f t="shared" si="689"/>
        <v>00</v>
      </c>
      <c r="AC2316" t="str">
        <f t="shared" si="690"/>
        <v>0P0</v>
      </c>
      <c r="AD2316" t="str">
        <f t="shared" si="691"/>
        <v>P00</v>
      </c>
      <c r="AE2316" t="str">
        <f t="shared" si="692"/>
        <v>0P0</v>
      </c>
      <c r="AF2316" t="str">
        <f t="shared" si="693"/>
        <v>P00</v>
      </c>
      <c r="AG2316" t="str">
        <f t="shared" si="699"/>
        <v>0P00</v>
      </c>
      <c r="AH2316" t="str">
        <f t="shared" si="700"/>
        <v>P000</v>
      </c>
      <c r="AI2316" t="str">
        <f t="shared" si="701"/>
        <v>0P00</v>
      </c>
      <c r="AJ2316" t="str">
        <f t="shared" si="702"/>
        <v>P000</v>
      </c>
    </row>
    <row r="2317" spans="1:36" x14ac:dyDescent="0.25">
      <c r="A2317" s="325" t="str">
        <f>CONCATENATE("P",'906MP'!M2017)</f>
        <v>P</v>
      </c>
      <c r="B2317">
        <f>'906MP'!H2017</f>
        <v>0</v>
      </c>
      <c r="C2317">
        <f>'906MP'!J2017</f>
        <v>0</v>
      </c>
      <c r="D2317">
        <f>'906MP'!P2017</f>
        <v>0</v>
      </c>
      <c r="E2317">
        <f>'906MP'!X2017</f>
        <v>0</v>
      </c>
      <c r="F2317" t="str">
        <f t="shared" si="694"/>
        <v>0</v>
      </c>
      <c r="G2317" t="str">
        <f t="shared" si="695"/>
        <v>0</v>
      </c>
      <c r="H2317">
        <f>'906MP'!Y2017</f>
        <v>0</v>
      </c>
      <c r="I2317">
        <f>'906MP'!AK2017</f>
        <v>0</v>
      </c>
      <c r="J2317">
        <f>'906MP'!T2017</f>
        <v>0</v>
      </c>
      <c r="K2317">
        <f>'906MP'!AJ2017</f>
        <v>0</v>
      </c>
      <c r="L2317">
        <f>'906MP'!U2017</f>
        <v>0</v>
      </c>
      <c r="M2317" s="322" t="str">
        <f>IFERROR(VLOOKUP(A2317,PAR!$D$3:$E$53,2,FALSE),"nincs szervezet")</f>
        <v>nincs szervezet</v>
      </c>
      <c r="N2317" s="322" t="str">
        <f>VLOOKUP(F2317,PAR!$R$3:$S$5,2,FALSE)</f>
        <v>3 - egyik sem</v>
      </c>
      <c r="O2317" t="str">
        <f>IFERROR(VLOOKUP(J2317,PAR!$O$3:$P$5,2,FALSE),"nincs feladat")</f>
        <v>nincs feladat</v>
      </c>
      <c r="P2317" t="str">
        <f>IFERROR(VLOOKUP(G2317,PAR!$J$2:$M$19,4),"nincs rovat")</f>
        <v>nincs rovat</v>
      </c>
      <c r="Q2317" t="str">
        <f>IF(H2317&gt;0,VLOOKUP(H2317,PAR!$AA$3:$AC$187,3,FALSE),"nincs főkönyvi számla")</f>
        <v>nincs főkönyvi számla</v>
      </c>
      <c r="R2317" t="str">
        <f>IFERROR(VLOOKUP(K2317,PAR!$V$3:$X$438,3,FALSE),"000000 - Nincs COFOG")</f>
        <v>000000 - Nincs COFOG</v>
      </c>
      <c r="S2317">
        <f t="shared" si="696"/>
        <v>0</v>
      </c>
      <c r="T2317">
        <f t="shared" si="697"/>
        <v>0</v>
      </c>
      <c r="U2317" t="str">
        <f>IF('906MP'!J2017&gt;0,CONCATENATE('906MP'!J2017," - ",'906MP'!P2017,", ",'906MP'!E2017),"nincs megjegyzés")</f>
        <v>nincs megjegyzés</v>
      </c>
      <c r="V2317" t="str">
        <f t="shared" si="684"/>
        <v>0P0</v>
      </c>
      <c r="W2317" t="str">
        <f t="shared" si="685"/>
        <v>0P0</v>
      </c>
      <c r="X2317" t="str">
        <f t="shared" si="686"/>
        <v>P0</v>
      </c>
      <c r="Y2317" t="str">
        <f t="shared" si="687"/>
        <v>00</v>
      </c>
      <c r="Z2317" t="str">
        <f t="shared" si="698"/>
        <v>00</v>
      </c>
      <c r="AA2317" t="str">
        <f t="shared" si="688"/>
        <v>00</v>
      </c>
      <c r="AB2317" t="str">
        <f t="shared" si="689"/>
        <v>00</v>
      </c>
      <c r="AC2317" t="str">
        <f t="shared" si="690"/>
        <v>0P0</v>
      </c>
      <c r="AD2317" t="str">
        <f t="shared" si="691"/>
        <v>P00</v>
      </c>
      <c r="AE2317" t="str">
        <f t="shared" si="692"/>
        <v>0P0</v>
      </c>
      <c r="AF2317" t="str">
        <f t="shared" si="693"/>
        <v>P00</v>
      </c>
      <c r="AG2317" t="str">
        <f t="shared" si="699"/>
        <v>0P00</v>
      </c>
      <c r="AH2317" t="str">
        <f t="shared" si="700"/>
        <v>P000</v>
      </c>
      <c r="AI2317" t="str">
        <f t="shared" si="701"/>
        <v>0P00</v>
      </c>
      <c r="AJ2317" t="str">
        <f t="shared" si="702"/>
        <v>P000</v>
      </c>
    </row>
    <row r="2318" spans="1:36" x14ac:dyDescent="0.25">
      <c r="A2318" s="325" t="str">
        <f>CONCATENATE("P",'906MP'!M2018)</f>
        <v>P</v>
      </c>
      <c r="B2318">
        <f>'906MP'!H2018</f>
        <v>0</v>
      </c>
      <c r="C2318">
        <f>'906MP'!J2018</f>
        <v>0</v>
      </c>
      <c r="D2318">
        <f>'906MP'!P2018</f>
        <v>0</v>
      </c>
      <c r="E2318">
        <f>'906MP'!X2018</f>
        <v>0</v>
      </c>
      <c r="F2318" t="str">
        <f t="shared" si="694"/>
        <v>0</v>
      </c>
      <c r="G2318" t="str">
        <f t="shared" si="695"/>
        <v>0</v>
      </c>
      <c r="H2318">
        <f>'906MP'!Y2018</f>
        <v>0</v>
      </c>
      <c r="I2318">
        <f>'906MP'!AK2018</f>
        <v>0</v>
      </c>
      <c r="J2318">
        <f>'906MP'!T2018</f>
        <v>0</v>
      </c>
      <c r="K2318">
        <f>'906MP'!AJ2018</f>
        <v>0</v>
      </c>
      <c r="L2318">
        <f>'906MP'!U2018</f>
        <v>0</v>
      </c>
      <c r="M2318" s="322" t="str">
        <f>IFERROR(VLOOKUP(A2318,PAR!$D$3:$E$53,2,FALSE),"nincs szervezet")</f>
        <v>nincs szervezet</v>
      </c>
      <c r="N2318" s="322" t="str">
        <f>VLOOKUP(F2318,PAR!$R$3:$S$5,2,FALSE)</f>
        <v>3 - egyik sem</v>
      </c>
      <c r="O2318" t="str">
        <f>IFERROR(VLOOKUP(J2318,PAR!$O$3:$P$5,2,FALSE),"nincs feladat")</f>
        <v>nincs feladat</v>
      </c>
      <c r="P2318" t="str">
        <f>IFERROR(VLOOKUP(G2318,PAR!$J$2:$M$19,4),"nincs rovat")</f>
        <v>nincs rovat</v>
      </c>
      <c r="Q2318" t="str">
        <f>IF(H2318&gt;0,VLOOKUP(H2318,PAR!$AA$3:$AC$187,3,FALSE),"nincs főkönyvi számla")</f>
        <v>nincs főkönyvi számla</v>
      </c>
      <c r="R2318" t="str">
        <f>IFERROR(VLOOKUP(K2318,PAR!$V$3:$X$438,3,FALSE),"000000 - Nincs COFOG")</f>
        <v>000000 - Nincs COFOG</v>
      </c>
      <c r="S2318">
        <f t="shared" si="696"/>
        <v>0</v>
      </c>
      <c r="T2318">
        <f t="shared" si="697"/>
        <v>0</v>
      </c>
      <c r="U2318" t="str">
        <f>IF('906MP'!J2018&gt;0,CONCATENATE('906MP'!J2018," - ",'906MP'!P2018,", ",'906MP'!E2018),"nincs megjegyzés")</f>
        <v>nincs megjegyzés</v>
      </c>
      <c r="V2318" t="str">
        <f t="shared" si="684"/>
        <v>0P0</v>
      </c>
      <c r="W2318" t="str">
        <f t="shared" si="685"/>
        <v>0P0</v>
      </c>
      <c r="X2318" t="str">
        <f t="shared" si="686"/>
        <v>P0</v>
      </c>
      <c r="Y2318" t="str">
        <f t="shared" si="687"/>
        <v>00</v>
      </c>
      <c r="Z2318" t="str">
        <f t="shared" si="698"/>
        <v>00</v>
      </c>
      <c r="AA2318" t="str">
        <f t="shared" si="688"/>
        <v>00</v>
      </c>
      <c r="AB2318" t="str">
        <f t="shared" si="689"/>
        <v>00</v>
      </c>
      <c r="AC2318" t="str">
        <f t="shared" si="690"/>
        <v>0P0</v>
      </c>
      <c r="AD2318" t="str">
        <f t="shared" si="691"/>
        <v>P00</v>
      </c>
      <c r="AE2318" t="str">
        <f t="shared" si="692"/>
        <v>0P0</v>
      </c>
      <c r="AF2318" t="str">
        <f t="shared" si="693"/>
        <v>P00</v>
      </c>
      <c r="AG2318" t="str">
        <f t="shared" si="699"/>
        <v>0P00</v>
      </c>
      <c r="AH2318" t="str">
        <f t="shared" si="700"/>
        <v>P000</v>
      </c>
      <c r="AI2318" t="str">
        <f t="shared" si="701"/>
        <v>0P00</v>
      </c>
      <c r="AJ2318" t="str">
        <f t="shared" si="702"/>
        <v>P000</v>
      </c>
    </row>
    <row r="2319" spans="1:36" x14ac:dyDescent="0.25">
      <c r="A2319" s="325" t="str">
        <f>CONCATENATE("P",'906MP'!M2019)</f>
        <v>P</v>
      </c>
      <c r="B2319">
        <f>'906MP'!H2019</f>
        <v>0</v>
      </c>
      <c r="C2319">
        <f>'906MP'!J2019</f>
        <v>0</v>
      </c>
      <c r="D2319">
        <f>'906MP'!P2019</f>
        <v>0</v>
      </c>
      <c r="E2319">
        <f>'906MP'!X2019</f>
        <v>0</v>
      </c>
      <c r="F2319" t="str">
        <f t="shared" si="694"/>
        <v>0</v>
      </c>
      <c r="G2319" t="str">
        <f t="shared" si="695"/>
        <v>0</v>
      </c>
      <c r="H2319">
        <f>'906MP'!Y2019</f>
        <v>0</v>
      </c>
      <c r="I2319">
        <f>'906MP'!AK2019</f>
        <v>0</v>
      </c>
      <c r="J2319">
        <f>'906MP'!T2019</f>
        <v>0</v>
      </c>
      <c r="K2319">
        <f>'906MP'!AJ2019</f>
        <v>0</v>
      </c>
      <c r="L2319">
        <f>'906MP'!U2019</f>
        <v>0</v>
      </c>
      <c r="M2319" s="322" t="str">
        <f>IFERROR(VLOOKUP(A2319,PAR!$D$3:$E$53,2,FALSE),"nincs szervezet")</f>
        <v>nincs szervezet</v>
      </c>
      <c r="N2319" s="322" t="str">
        <f>VLOOKUP(F2319,PAR!$R$3:$S$5,2,FALSE)</f>
        <v>3 - egyik sem</v>
      </c>
      <c r="O2319" t="str">
        <f>IFERROR(VLOOKUP(J2319,PAR!$O$3:$P$5,2,FALSE),"nincs feladat")</f>
        <v>nincs feladat</v>
      </c>
      <c r="P2319" t="str">
        <f>IFERROR(VLOOKUP(G2319,PAR!$J$2:$M$19,4),"nincs rovat")</f>
        <v>nincs rovat</v>
      </c>
      <c r="Q2319" t="str">
        <f>IF(H2319&gt;0,VLOOKUP(H2319,PAR!$AA$3:$AC$187,3,FALSE),"nincs főkönyvi számla")</f>
        <v>nincs főkönyvi számla</v>
      </c>
      <c r="R2319" t="str">
        <f>IFERROR(VLOOKUP(K2319,PAR!$V$3:$X$438,3,FALSE),"000000 - Nincs COFOG")</f>
        <v>000000 - Nincs COFOG</v>
      </c>
      <c r="S2319">
        <f t="shared" si="696"/>
        <v>0</v>
      </c>
      <c r="T2319">
        <f t="shared" si="697"/>
        <v>0</v>
      </c>
      <c r="U2319" t="str">
        <f>IF('906MP'!J2019&gt;0,CONCATENATE('906MP'!J2019," - ",'906MP'!P2019,", ",'906MP'!E2019),"nincs megjegyzés")</f>
        <v>nincs megjegyzés</v>
      </c>
      <c r="V2319" t="str">
        <f t="shared" si="684"/>
        <v>0P0</v>
      </c>
      <c r="W2319" t="str">
        <f t="shared" si="685"/>
        <v>0P0</v>
      </c>
      <c r="X2319" t="str">
        <f t="shared" si="686"/>
        <v>P0</v>
      </c>
      <c r="Y2319" t="str">
        <f t="shared" si="687"/>
        <v>00</v>
      </c>
      <c r="Z2319" t="str">
        <f t="shared" si="698"/>
        <v>00</v>
      </c>
      <c r="AA2319" t="str">
        <f t="shared" si="688"/>
        <v>00</v>
      </c>
      <c r="AB2319" t="str">
        <f t="shared" si="689"/>
        <v>00</v>
      </c>
      <c r="AC2319" t="str">
        <f t="shared" si="690"/>
        <v>0P0</v>
      </c>
      <c r="AD2319" t="str">
        <f t="shared" si="691"/>
        <v>P00</v>
      </c>
      <c r="AE2319" t="str">
        <f t="shared" si="692"/>
        <v>0P0</v>
      </c>
      <c r="AF2319" t="str">
        <f t="shared" si="693"/>
        <v>P00</v>
      </c>
      <c r="AG2319" t="str">
        <f t="shared" si="699"/>
        <v>0P00</v>
      </c>
      <c r="AH2319" t="str">
        <f t="shared" si="700"/>
        <v>P000</v>
      </c>
      <c r="AI2319" t="str">
        <f t="shared" si="701"/>
        <v>0P00</v>
      </c>
      <c r="AJ2319" t="str">
        <f t="shared" si="702"/>
        <v>P000</v>
      </c>
    </row>
    <row r="2320" spans="1:36" x14ac:dyDescent="0.25">
      <c r="A2320" s="325" t="str">
        <f>CONCATENATE("P",'906MP'!M2020)</f>
        <v>P</v>
      </c>
      <c r="B2320">
        <f>'906MP'!H2020</f>
        <v>0</v>
      </c>
      <c r="C2320">
        <f>'906MP'!J2020</f>
        <v>0</v>
      </c>
      <c r="D2320">
        <f>'906MP'!P2020</f>
        <v>0</v>
      </c>
      <c r="E2320">
        <f>'906MP'!X2020</f>
        <v>0</v>
      </c>
      <c r="F2320" t="str">
        <f t="shared" si="694"/>
        <v>0</v>
      </c>
      <c r="G2320" t="str">
        <f t="shared" si="695"/>
        <v>0</v>
      </c>
      <c r="H2320">
        <f>'906MP'!Y2020</f>
        <v>0</v>
      </c>
      <c r="I2320">
        <f>'906MP'!AK2020</f>
        <v>0</v>
      </c>
      <c r="J2320">
        <f>'906MP'!T2020</f>
        <v>0</v>
      </c>
      <c r="K2320">
        <f>'906MP'!AJ2020</f>
        <v>0</v>
      </c>
      <c r="L2320">
        <f>'906MP'!U2020</f>
        <v>0</v>
      </c>
      <c r="M2320" s="322" t="str">
        <f>IFERROR(VLOOKUP(A2320,PAR!$D$3:$E$53,2,FALSE),"nincs szervezet")</f>
        <v>nincs szervezet</v>
      </c>
      <c r="N2320" s="322" t="str">
        <f>VLOOKUP(F2320,PAR!$R$3:$S$5,2,FALSE)</f>
        <v>3 - egyik sem</v>
      </c>
      <c r="O2320" t="str">
        <f>IFERROR(VLOOKUP(J2320,PAR!$O$3:$P$5,2,FALSE),"nincs feladat")</f>
        <v>nincs feladat</v>
      </c>
      <c r="P2320" t="str">
        <f>IFERROR(VLOOKUP(G2320,PAR!$J$2:$M$19,4),"nincs rovat")</f>
        <v>nincs rovat</v>
      </c>
      <c r="Q2320" t="str">
        <f>IF(H2320&gt;0,VLOOKUP(H2320,PAR!$AA$3:$AC$187,3,FALSE),"nincs főkönyvi számla")</f>
        <v>nincs főkönyvi számla</v>
      </c>
      <c r="R2320" t="str">
        <f>IFERROR(VLOOKUP(K2320,PAR!$V$3:$X$438,3,FALSE),"000000 - Nincs COFOG")</f>
        <v>000000 - Nincs COFOG</v>
      </c>
      <c r="S2320">
        <f t="shared" si="696"/>
        <v>0</v>
      </c>
      <c r="T2320">
        <f t="shared" si="697"/>
        <v>0</v>
      </c>
      <c r="U2320" t="str">
        <f>IF('906MP'!J2020&gt;0,CONCATENATE('906MP'!J2020," - ",'906MP'!P2020,", ",'906MP'!E2020),"nincs megjegyzés")</f>
        <v>nincs megjegyzés</v>
      </c>
      <c r="V2320" t="str">
        <f t="shared" si="684"/>
        <v>0P0</v>
      </c>
      <c r="W2320" t="str">
        <f t="shared" si="685"/>
        <v>0P0</v>
      </c>
      <c r="X2320" t="str">
        <f t="shared" si="686"/>
        <v>P0</v>
      </c>
      <c r="Y2320" t="str">
        <f t="shared" si="687"/>
        <v>00</v>
      </c>
      <c r="Z2320" t="str">
        <f t="shared" si="698"/>
        <v>00</v>
      </c>
      <c r="AA2320" t="str">
        <f t="shared" si="688"/>
        <v>00</v>
      </c>
      <c r="AB2320" t="str">
        <f t="shared" si="689"/>
        <v>00</v>
      </c>
      <c r="AC2320" t="str">
        <f t="shared" si="690"/>
        <v>0P0</v>
      </c>
      <c r="AD2320" t="str">
        <f t="shared" si="691"/>
        <v>P00</v>
      </c>
      <c r="AE2320" t="str">
        <f t="shared" si="692"/>
        <v>0P0</v>
      </c>
      <c r="AF2320" t="str">
        <f t="shared" si="693"/>
        <v>P00</v>
      </c>
      <c r="AG2320" t="str">
        <f t="shared" si="699"/>
        <v>0P00</v>
      </c>
      <c r="AH2320" t="str">
        <f t="shared" si="700"/>
        <v>P000</v>
      </c>
      <c r="AI2320" t="str">
        <f t="shared" si="701"/>
        <v>0P00</v>
      </c>
      <c r="AJ2320" t="str">
        <f t="shared" si="702"/>
        <v>P000</v>
      </c>
    </row>
    <row r="2321" spans="1:36" x14ac:dyDescent="0.25">
      <c r="A2321" s="325" t="str">
        <f>CONCATENATE("P",'906MP'!M2021)</f>
        <v>P</v>
      </c>
      <c r="B2321">
        <f>'906MP'!H2021</f>
        <v>0</v>
      </c>
      <c r="C2321">
        <f>'906MP'!J2021</f>
        <v>0</v>
      </c>
      <c r="D2321">
        <f>'906MP'!P2021</f>
        <v>0</v>
      </c>
      <c r="E2321">
        <f>'906MP'!X2021</f>
        <v>0</v>
      </c>
      <c r="F2321" t="str">
        <f t="shared" si="694"/>
        <v>0</v>
      </c>
      <c r="G2321" t="str">
        <f t="shared" si="695"/>
        <v>0</v>
      </c>
      <c r="H2321">
        <f>'906MP'!Y2021</f>
        <v>0</v>
      </c>
      <c r="I2321">
        <f>'906MP'!AK2021</f>
        <v>0</v>
      </c>
      <c r="J2321">
        <f>'906MP'!T2021</f>
        <v>0</v>
      </c>
      <c r="K2321">
        <f>'906MP'!AJ2021</f>
        <v>0</v>
      </c>
      <c r="L2321">
        <f>'906MP'!U2021</f>
        <v>0</v>
      </c>
      <c r="M2321" s="322" t="str">
        <f>IFERROR(VLOOKUP(A2321,PAR!$D$3:$E$53,2,FALSE),"nincs szervezet")</f>
        <v>nincs szervezet</v>
      </c>
      <c r="N2321" s="322" t="str">
        <f>VLOOKUP(F2321,PAR!$R$3:$S$5,2,FALSE)</f>
        <v>3 - egyik sem</v>
      </c>
      <c r="O2321" t="str">
        <f>IFERROR(VLOOKUP(J2321,PAR!$O$3:$P$5,2,FALSE),"nincs feladat")</f>
        <v>nincs feladat</v>
      </c>
      <c r="P2321" t="str">
        <f>IFERROR(VLOOKUP(G2321,PAR!$J$2:$M$19,4),"nincs rovat")</f>
        <v>nincs rovat</v>
      </c>
      <c r="Q2321" t="str">
        <f>IF(H2321&gt;0,VLOOKUP(H2321,PAR!$AA$3:$AC$187,3,FALSE),"nincs főkönyvi számla")</f>
        <v>nincs főkönyvi számla</v>
      </c>
      <c r="R2321" t="str">
        <f>IFERROR(VLOOKUP(K2321,PAR!$V$3:$X$438,3,FALSE),"000000 - Nincs COFOG")</f>
        <v>000000 - Nincs COFOG</v>
      </c>
      <c r="S2321">
        <f t="shared" si="696"/>
        <v>0</v>
      </c>
      <c r="T2321">
        <f t="shared" si="697"/>
        <v>0</v>
      </c>
      <c r="U2321" t="str">
        <f>IF('906MP'!J2021&gt;0,CONCATENATE('906MP'!J2021," - ",'906MP'!P2021,", ",'906MP'!E2021),"nincs megjegyzés")</f>
        <v>nincs megjegyzés</v>
      </c>
      <c r="V2321" t="str">
        <f t="shared" si="684"/>
        <v>0P0</v>
      </c>
      <c r="W2321" t="str">
        <f t="shared" si="685"/>
        <v>0P0</v>
      </c>
      <c r="X2321" t="str">
        <f t="shared" si="686"/>
        <v>P0</v>
      </c>
      <c r="Y2321" t="str">
        <f t="shared" si="687"/>
        <v>00</v>
      </c>
      <c r="Z2321" t="str">
        <f t="shared" si="698"/>
        <v>00</v>
      </c>
      <c r="AA2321" t="str">
        <f t="shared" si="688"/>
        <v>00</v>
      </c>
      <c r="AB2321" t="str">
        <f t="shared" si="689"/>
        <v>00</v>
      </c>
      <c r="AC2321" t="str">
        <f t="shared" si="690"/>
        <v>0P0</v>
      </c>
      <c r="AD2321" t="str">
        <f t="shared" si="691"/>
        <v>P00</v>
      </c>
      <c r="AE2321" t="str">
        <f t="shared" si="692"/>
        <v>0P0</v>
      </c>
      <c r="AF2321" t="str">
        <f t="shared" si="693"/>
        <v>P00</v>
      </c>
      <c r="AG2321" t="str">
        <f t="shared" si="699"/>
        <v>0P00</v>
      </c>
      <c r="AH2321" t="str">
        <f t="shared" si="700"/>
        <v>P000</v>
      </c>
      <c r="AI2321" t="str">
        <f t="shared" si="701"/>
        <v>0P00</v>
      </c>
      <c r="AJ2321" t="str">
        <f t="shared" si="702"/>
        <v>P000</v>
      </c>
    </row>
    <row r="2322" spans="1:36" x14ac:dyDescent="0.25">
      <c r="A2322" s="325" t="str">
        <f>CONCATENATE("P",'906MP'!M2022)</f>
        <v>P</v>
      </c>
      <c r="B2322">
        <f>'906MP'!H2022</f>
        <v>0</v>
      </c>
      <c r="C2322">
        <f>'906MP'!J2022</f>
        <v>0</v>
      </c>
      <c r="D2322">
        <f>'906MP'!P2022</f>
        <v>0</v>
      </c>
      <c r="E2322">
        <f>'906MP'!X2022</f>
        <v>0</v>
      </c>
      <c r="F2322" t="str">
        <f t="shared" si="694"/>
        <v>0</v>
      </c>
      <c r="G2322" t="str">
        <f t="shared" si="695"/>
        <v>0</v>
      </c>
      <c r="H2322">
        <f>'906MP'!Y2022</f>
        <v>0</v>
      </c>
      <c r="I2322">
        <f>'906MP'!AK2022</f>
        <v>0</v>
      </c>
      <c r="J2322">
        <f>'906MP'!T2022</f>
        <v>0</v>
      </c>
      <c r="K2322">
        <f>'906MP'!AJ2022</f>
        <v>0</v>
      </c>
      <c r="L2322">
        <f>'906MP'!U2022</f>
        <v>0</v>
      </c>
      <c r="M2322" s="322" t="str">
        <f>IFERROR(VLOOKUP(A2322,PAR!$D$3:$E$53,2,FALSE),"nincs szervezet")</f>
        <v>nincs szervezet</v>
      </c>
      <c r="N2322" s="322" t="str">
        <f>VLOOKUP(F2322,PAR!$R$3:$S$5,2,FALSE)</f>
        <v>3 - egyik sem</v>
      </c>
      <c r="O2322" t="str">
        <f>IFERROR(VLOOKUP(J2322,PAR!$O$3:$P$5,2,FALSE),"nincs feladat")</f>
        <v>nincs feladat</v>
      </c>
      <c r="P2322" t="str">
        <f>IFERROR(VLOOKUP(G2322,PAR!$J$2:$M$19,4),"nincs rovat")</f>
        <v>nincs rovat</v>
      </c>
      <c r="Q2322" t="str">
        <f>IF(H2322&gt;0,VLOOKUP(H2322,PAR!$AA$3:$AC$187,3,FALSE),"nincs főkönyvi számla")</f>
        <v>nincs főkönyvi számla</v>
      </c>
      <c r="R2322" t="str">
        <f>IFERROR(VLOOKUP(K2322,PAR!$V$3:$X$438,3,FALSE),"000000 - Nincs COFOG")</f>
        <v>000000 - Nincs COFOG</v>
      </c>
      <c r="S2322">
        <f t="shared" si="696"/>
        <v>0</v>
      </c>
      <c r="T2322">
        <f t="shared" si="697"/>
        <v>0</v>
      </c>
      <c r="U2322" t="str">
        <f>IF('906MP'!J2022&gt;0,CONCATENATE('906MP'!J2022," - ",'906MP'!P2022,", ",'906MP'!E2022),"nincs megjegyzés")</f>
        <v>nincs megjegyzés</v>
      </c>
      <c r="V2322" t="str">
        <f t="shared" si="684"/>
        <v>0P0</v>
      </c>
      <c r="W2322" t="str">
        <f t="shared" si="685"/>
        <v>0P0</v>
      </c>
      <c r="X2322" t="str">
        <f t="shared" si="686"/>
        <v>P0</v>
      </c>
      <c r="Y2322" t="str">
        <f t="shared" si="687"/>
        <v>00</v>
      </c>
      <c r="Z2322" t="str">
        <f t="shared" si="698"/>
        <v>00</v>
      </c>
      <c r="AA2322" t="str">
        <f t="shared" si="688"/>
        <v>00</v>
      </c>
      <c r="AB2322" t="str">
        <f t="shared" si="689"/>
        <v>00</v>
      </c>
      <c r="AC2322" t="str">
        <f t="shared" si="690"/>
        <v>0P0</v>
      </c>
      <c r="AD2322" t="str">
        <f t="shared" si="691"/>
        <v>P00</v>
      </c>
      <c r="AE2322" t="str">
        <f t="shared" si="692"/>
        <v>0P0</v>
      </c>
      <c r="AF2322" t="str">
        <f t="shared" si="693"/>
        <v>P00</v>
      </c>
      <c r="AG2322" t="str">
        <f t="shared" si="699"/>
        <v>0P00</v>
      </c>
      <c r="AH2322" t="str">
        <f t="shared" si="700"/>
        <v>P000</v>
      </c>
      <c r="AI2322" t="str">
        <f t="shared" si="701"/>
        <v>0P00</v>
      </c>
      <c r="AJ2322" t="str">
        <f t="shared" si="702"/>
        <v>P000</v>
      </c>
    </row>
    <row r="2323" spans="1:36" x14ac:dyDescent="0.25">
      <c r="A2323" s="325" t="str">
        <f>CONCATENATE("P",'906MP'!M2023)</f>
        <v>P</v>
      </c>
      <c r="B2323">
        <f>'906MP'!H2023</f>
        <v>0</v>
      </c>
      <c r="C2323">
        <f>'906MP'!J2023</f>
        <v>0</v>
      </c>
      <c r="D2323">
        <f>'906MP'!P2023</f>
        <v>0</v>
      </c>
      <c r="E2323">
        <f>'906MP'!X2023</f>
        <v>0</v>
      </c>
      <c r="F2323" t="str">
        <f t="shared" si="694"/>
        <v>0</v>
      </c>
      <c r="G2323" t="str">
        <f t="shared" si="695"/>
        <v>0</v>
      </c>
      <c r="H2323">
        <f>'906MP'!Y2023</f>
        <v>0</v>
      </c>
      <c r="I2323">
        <f>'906MP'!AK2023</f>
        <v>0</v>
      </c>
      <c r="J2323">
        <f>'906MP'!T2023</f>
        <v>0</v>
      </c>
      <c r="K2323">
        <f>'906MP'!AJ2023</f>
        <v>0</v>
      </c>
      <c r="L2323">
        <f>'906MP'!U2023</f>
        <v>0</v>
      </c>
      <c r="M2323" s="322" t="str">
        <f>IFERROR(VLOOKUP(A2323,PAR!$D$3:$E$53,2,FALSE),"nincs szervezet")</f>
        <v>nincs szervezet</v>
      </c>
      <c r="N2323" s="322" t="str">
        <f>VLOOKUP(F2323,PAR!$R$3:$S$5,2,FALSE)</f>
        <v>3 - egyik sem</v>
      </c>
      <c r="O2323" t="str">
        <f>IFERROR(VLOOKUP(J2323,PAR!$O$3:$P$5,2,FALSE),"nincs feladat")</f>
        <v>nincs feladat</v>
      </c>
      <c r="P2323" t="str">
        <f>IFERROR(VLOOKUP(G2323,PAR!$J$2:$M$19,4),"nincs rovat")</f>
        <v>nincs rovat</v>
      </c>
      <c r="Q2323" t="str">
        <f>IF(H2323&gt;0,VLOOKUP(H2323,PAR!$AA$3:$AC$187,3,FALSE),"nincs főkönyvi számla")</f>
        <v>nincs főkönyvi számla</v>
      </c>
      <c r="R2323" t="str">
        <f>IFERROR(VLOOKUP(K2323,PAR!$V$3:$X$438,3,FALSE),"000000 - Nincs COFOG")</f>
        <v>000000 - Nincs COFOG</v>
      </c>
      <c r="S2323">
        <f t="shared" si="696"/>
        <v>0</v>
      </c>
      <c r="T2323">
        <f t="shared" si="697"/>
        <v>0</v>
      </c>
      <c r="U2323" t="str">
        <f>IF('906MP'!J2023&gt;0,CONCATENATE('906MP'!J2023," - ",'906MP'!P2023,", ",'906MP'!E2023),"nincs megjegyzés")</f>
        <v>nincs megjegyzés</v>
      </c>
      <c r="V2323" t="str">
        <f t="shared" si="684"/>
        <v>0P0</v>
      </c>
      <c r="W2323" t="str">
        <f t="shared" si="685"/>
        <v>0P0</v>
      </c>
      <c r="X2323" t="str">
        <f t="shared" si="686"/>
        <v>P0</v>
      </c>
      <c r="Y2323" t="str">
        <f t="shared" si="687"/>
        <v>00</v>
      </c>
      <c r="Z2323" t="str">
        <f t="shared" si="698"/>
        <v>00</v>
      </c>
      <c r="AA2323" t="str">
        <f t="shared" si="688"/>
        <v>00</v>
      </c>
      <c r="AB2323" t="str">
        <f t="shared" si="689"/>
        <v>00</v>
      </c>
      <c r="AC2323" t="str">
        <f t="shared" si="690"/>
        <v>0P0</v>
      </c>
      <c r="AD2323" t="str">
        <f t="shared" si="691"/>
        <v>P00</v>
      </c>
      <c r="AE2323" t="str">
        <f t="shared" si="692"/>
        <v>0P0</v>
      </c>
      <c r="AF2323" t="str">
        <f t="shared" si="693"/>
        <v>P00</v>
      </c>
      <c r="AG2323" t="str">
        <f t="shared" si="699"/>
        <v>0P00</v>
      </c>
      <c r="AH2323" t="str">
        <f t="shared" si="700"/>
        <v>P000</v>
      </c>
      <c r="AI2323" t="str">
        <f t="shared" si="701"/>
        <v>0P00</v>
      </c>
      <c r="AJ2323" t="str">
        <f t="shared" si="702"/>
        <v>P000</v>
      </c>
    </row>
    <row r="2324" spans="1:36" x14ac:dyDescent="0.25">
      <c r="A2324" s="325" t="str">
        <f>CONCATENATE("P",'906MP'!M2024)</f>
        <v>P</v>
      </c>
      <c r="B2324">
        <f>'906MP'!H2024</f>
        <v>0</v>
      </c>
      <c r="C2324">
        <f>'906MP'!J2024</f>
        <v>0</v>
      </c>
      <c r="D2324">
        <f>'906MP'!P2024</f>
        <v>0</v>
      </c>
      <c r="E2324">
        <f>'906MP'!X2024</f>
        <v>0</v>
      </c>
      <c r="F2324" t="str">
        <f t="shared" si="694"/>
        <v>0</v>
      </c>
      <c r="G2324" t="str">
        <f t="shared" si="695"/>
        <v>0</v>
      </c>
      <c r="H2324">
        <f>'906MP'!Y2024</f>
        <v>0</v>
      </c>
      <c r="I2324">
        <f>'906MP'!AK2024</f>
        <v>0</v>
      </c>
      <c r="J2324">
        <f>'906MP'!T2024</f>
        <v>0</v>
      </c>
      <c r="K2324">
        <f>'906MP'!AJ2024</f>
        <v>0</v>
      </c>
      <c r="L2324">
        <f>'906MP'!U2024</f>
        <v>0</v>
      </c>
      <c r="M2324" s="322" t="str">
        <f>IFERROR(VLOOKUP(A2324,PAR!$D$3:$E$53,2,FALSE),"nincs szervezet")</f>
        <v>nincs szervezet</v>
      </c>
      <c r="N2324" s="322" t="str">
        <f>VLOOKUP(F2324,PAR!$R$3:$S$5,2,FALSE)</f>
        <v>3 - egyik sem</v>
      </c>
      <c r="O2324" t="str">
        <f>IFERROR(VLOOKUP(J2324,PAR!$O$3:$P$5,2,FALSE),"nincs feladat")</f>
        <v>nincs feladat</v>
      </c>
      <c r="P2324" t="str">
        <f>IFERROR(VLOOKUP(G2324,PAR!$J$2:$M$19,4),"nincs rovat")</f>
        <v>nincs rovat</v>
      </c>
      <c r="Q2324" t="str">
        <f>IF(H2324&gt;0,VLOOKUP(H2324,PAR!$AA$3:$AC$187,3,FALSE),"nincs főkönyvi számla")</f>
        <v>nincs főkönyvi számla</v>
      </c>
      <c r="R2324" t="str">
        <f>IFERROR(VLOOKUP(K2324,PAR!$V$3:$X$438,3,FALSE),"000000 - Nincs COFOG")</f>
        <v>000000 - Nincs COFOG</v>
      </c>
      <c r="S2324">
        <f t="shared" si="696"/>
        <v>0</v>
      </c>
      <c r="T2324">
        <f t="shared" si="697"/>
        <v>0</v>
      </c>
      <c r="U2324" t="str">
        <f>IF('906MP'!J2024&gt;0,CONCATENATE('906MP'!J2024," - ",'906MP'!P2024,", ",'906MP'!E2024),"nincs megjegyzés")</f>
        <v>nincs megjegyzés</v>
      </c>
      <c r="V2324" t="str">
        <f t="shared" si="684"/>
        <v>0P0</v>
      </c>
      <c r="W2324" t="str">
        <f t="shared" si="685"/>
        <v>0P0</v>
      </c>
      <c r="X2324" t="str">
        <f t="shared" si="686"/>
        <v>P0</v>
      </c>
      <c r="Y2324" t="str">
        <f t="shared" si="687"/>
        <v>00</v>
      </c>
      <c r="Z2324" t="str">
        <f t="shared" si="698"/>
        <v>00</v>
      </c>
      <c r="AA2324" t="str">
        <f t="shared" si="688"/>
        <v>00</v>
      </c>
      <c r="AB2324" t="str">
        <f t="shared" si="689"/>
        <v>00</v>
      </c>
      <c r="AC2324" t="str">
        <f t="shared" si="690"/>
        <v>0P0</v>
      </c>
      <c r="AD2324" t="str">
        <f t="shared" si="691"/>
        <v>P00</v>
      </c>
      <c r="AE2324" t="str">
        <f t="shared" si="692"/>
        <v>0P0</v>
      </c>
      <c r="AF2324" t="str">
        <f t="shared" si="693"/>
        <v>P00</v>
      </c>
      <c r="AG2324" t="str">
        <f t="shared" si="699"/>
        <v>0P00</v>
      </c>
      <c r="AH2324" t="str">
        <f t="shared" si="700"/>
        <v>P000</v>
      </c>
      <c r="AI2324" t="str">
        <f t="shared" si="701"/>
        <v>0P00</v>
      </c>
      <c r="AJ2324" t="str">
        <f t="shared" si="702"/>
        <v>P000</v>
      </c>
    </row>
    <row r="2325" spans="1:36" x14ac:dyDescent="0.25">
      <c r="A2325" s="325" t="str">
        <f>CONCATENATE("P",'906MP'!M2025)</f>
        <v>P</v>
      </c>
      <c r="B2325">
        <f>'906MP'!H2025</f>
        <v>0</v>
      </c>
      <c r="C2325">
        <f>'906MP'!J2025</f>
        <v>0</v>
      </c>
      <c r="D2325">
        <f>'906MP'!P2025</f>
        <v>0</v>
      </c>
      <c r="E2325">
        <f>'906MP'!X2025</f>
        <v>0</v>
      </c>
      <c r="F2325" t="str">
        <f t="shared" si="694"/>
        <v>0</v>
      </c>
      <c r="G2325" t="str">
        <f t="shared" si="695"/>
        <v>0</v>
      </c>
      <c r="H2325">
        <f>'906MP'!Y2025</f>
        <v>0</v>
      </c>
      <c r="I2325">
        <f>'906MP'!AK2025</f>
        <v>0</v>
      </c>
      <c r="J2325">
        <f>'906MP'!T2025</f>
        <v>0</v>
      </c>
      <c r="K2325">
        <f>'906MP'!AJ2025</f>
        <v>0</v>
      </c>
      <c r="L2325">
        <f>'906MP'!U2025</f>
        <v>0</v>
      </c>
      <c r="M2325" s="322" t="str">
        <f>IFERROR(VLOOKUP(A2325,PAR!$D$3:$E$53,2,FALSE),"nincs szervezet")</f>
        <v>nincs szervezet</v>
      </c>
      <c r="N2325" s="322" t="str">
        <f>VLOOKUP(F2325,PAR!$R$3:$S$5,2,FALSE)</f>
        <v>3 - egyik sem</v>
      </c>
      <c r="O2325" t="str">
        <f>IFERROR(VLOOKUP(J2325,PAR!$O$3:$P$5,2,FALSE),"nincs feladat")</f>
        <v>nincs feladat</v>
      </c>
      <c r="P2325" t="str">
        <f>IFERROR(VLOOKUP(G2325,PAR!$J$2:$M$19,4),"nincs rovat")</f>
        <v>nincs rovat</v>
      </c>
      <c r="Q2325" t="str">
        <f>IF(H2325&gt;0,VLOOKUP(H2325,PAR!$AA$3:$AC$187,3,FALSE),"nincs főkönyvi számla")</f>
        <v>nincs főkönyvi számla</v>
      </c>
      <c r="R2325" t="str">
        <f>IFERROR(VLOOKUP(K2325,PAR!$V$3:$X$438,3,FALSE),"000000 - Nincs COFOG")</f>
        <v>000000 - Nincs COFOG</v>
      </c>
      <c r="S2325">
        <f t="shared" si="696"/>
        <v>0</v>
      </c>
      <c r="T2325">
        <f t="shared" si="697"/>
        <v>0</v>
      </c>
      <c r="U2325" t="str">
        <f>IF('906MP'!J2025&gt;0,CONCATENATE('906MP'!J2025," - ",'906MP'!P2025,", ",'906MP'!E2025),"nincs megjegyzés")</f>
        <v>nincs megjegyzés</v>
      </c>
      <c r="V2325" t="str">
        <f t="shared" si="684"/>
        <v>0P0</v>
      </c>
      <c r="W2325" t="str">
        <f t="shared" si="685"/>
        <v>0P0</v>
      </c>
      <c r="X2325" t="str">
        <f t="shared" si="686"/>
        <v>P0</v>
      </c>
      <c r="Y2325" t="str">
        <f t="shared" si="687"/>
        <v>00</v>
      </c>
      <c r="Z2325" t="str">
        <f t="shared" si="698"/>
        <v>00</v>
      </c>
      <c r="AA2325" t="str">
        <f t="shared" si="688"/>
        <v>00</v>
      </c>
      <c r="AB2325" t="str">
        <f t="shared" si="689"/>
        <v>00</v>
      </c>
      <c r="AC2325" t="str">
        <f t="shared" si="690"/>
        <v>0P0</v>
      </c>
      <c r="AD2325" t="str">
        <f t="shared" si="691"/>
        <v>P00</v>
      </c>
      <c r="AE2325" t="str">
        <f t="shared" si="692"/>
        <v>0P0</v>
      </c>
      <c r="AF2325" t="str">
        <f t="shared" si="693"/>
        <v>P00</v>
      </c>
      <c r="AG2325" t="str">
        <f t="shared" si="699"/>
        <v>0P00</v>
      </c>
      <c r="AH2325" t="str">
        <f t="shared" si="700"/>
        <v>P000</v>
      </c>
      <c r="AI2325" t="str">
        <f t="shared" si="701"/>
        <v>0P00</v>
      </c>
      <c r="AJ2325" t="str">
        <f t="shared" si="702"/>
        <v>P000</v>
      </c>
    </row>
    <row r="2326" spans="1:36" x14ac:dyDescent="0.25">
      <c r="A2326" s="325" t="str">
        <f>CONCATENATE("P",'906MP'!M2026)</f>
        <v>P</v>
      </c>
      <c r="B2326">
        <f>'906MP'!H2026</f>
        <v>0</v>
      </c>
      <c r="C2326">
        <f>'906MP'!J2026</f>
        <v>0</v>
      </c>
      <c r="D2326">
        <f>'906MP'!P2026</f>
        <v>0</v>
      </c>
      <c r="E2326">
        <f>'906MP'!X2026</f>
        <v>0</v>
      </c>
      <c r="F2326" t="str">
        <f t="shared" si="694"/>
        <v>0</v>
      </c>
      <c r="G2326" t="str">
        <f t="shared" si="695"/>
        <v>0</v>
      </c>
      <c r="H2326">
        <f>'906MP'!Y2026</f>
        <v>0</v>
      </c>
      <c r="I2326">
        <f>'906MP'!AK2026</f>
        <v>0</v>
      </c>
      <c r="J2326">
        <f>'906MP'!T2026</f>
        <v>0</v>
      </c>
      <c r="K2326">
        <f>'906MP'!AJ2026</f>
        <v>0</v>
      </c>
      <c r="L2326">
        <f>'906MP'!U2026</f>
        <v>0</v>
      </c>
      <c r="M2326" s="322" t="str">
        <f>IFERROR(VLOOKUP(A2326,PAR!$D$3:$E$53,2,FALSE),"nincs szervezet")</f>
        <v>nincs szervezet</v>
      </c>
      <c r="N2326" s="322" t="str">
        <f>VLOOKUP(F2326,PAR!$R$3:$S$5,2,FALSE)</f>
        <v>3 - egyik sem</v>
      </c>
      <c r="O2326" t="str">
        <f>IFERROR(VLOOKUP(J2326,PAR!$O$3:$P$5,2,FALSE),"nincs feladat")</f>
        <v>nincs feladat</v>
      </c>
      <c r="P2326" t="str">
        <f>IFERROR(VLOOKUP(G2326,PAR!$J$2:$M$19,4),"nincs rovat")</f>
        <v>nincs rovat</v>
      </c>
      <c r="Q2326" t="str">
        <f>IF(H2326&gt;0,VLOOKUP(H2326,PAR!$AA$3:$AC$187,3,FALSE),"nincs főkönyvi számla")</f>
        <v>nincs főkönyvi számla</v>
      </c>
      <c r="R2326" t="str">
        <f>IFERROR(VLOOKUP(K2326,PAR!$V$3:$X$438,3,FALSE),"000000 - Nincs COFOG")</f>
        <v>000000 - Nincs COFOG</v>
      </c>
      <c r="S2326">
        <f t="shared" si="696"/>
        <v>0</v>
      </c>
      <c r="T2326">
        <f t="shared" si="697"/>
        <v>0</v>
      </c>
      <c r="U2326" t="str">
        <f>IF('906MP'!J2026&gt;0,CONCATENATE('906MP'!J2026," - ",'906MP'!P2026,", ",'906MP'!E2026),"nincs megjegyzés")</f>
        <v>nincs megjegyzés</v>
      </c>
      <c r="V2326" t="str">
        <f t="shared" si="684"/>
        <v>0P0</v>
      </c>
      <c r="W2326" t="str">
        <f t="shared" si="685"/>
        <v>0P0</v>
      </c>
      <c r="X2326" t="str">
        <f t="shared" si="686"/>
        <v>P0</v>
      </c>
      <c r="Y2326" t="str">
        <f t="shared" si="687"/>
        <v>00</v>
      </c>
      <c r="Z2326" t="str">
        <f t="shared" si="698"/>
        <v>00</v>
      </c>
      <c r="AA2326" t="str">
        <f t="shared" si="688"/>
        <v>00</v>
      </c>
      <c r="AB2326" t="str">
        <f t="shared" si="689"/>
        <v>00</v>
      </c>
      <c r="AC2326" t="str">
        <f t="shared" si="690"/>
        <v>0P0</v>
      </c>
      <c r="AD2326" t="str">
        <f t="shared" si="691"/>
        <v>P00</v>
      </c>
      <c r="AE2326" t="str">
        <f t="shared" si="692"/>
        <v>0P0</v>
      </c>
      <c r="AF2326" t="str">
        <f t="shared" si="693"/>
        <v>P00</v>
      </c>
      <c r="AG2326" t="str">
        <f t="shared" si="699"/>
        <v>0P00</v>
      </c>
      <c r="AH2326" t="str">
        <f t="shared" si="700"/>
        <v>P000</v>
      </c>
      <c r="AI2326" t="str">
        <f t="shared" si="701"/>
        <v>0P00</v>
      </c>
      <c r="AJ2326" t="str">
        <f t="shared" si="702"/>
        <v>P000</v>
      </c>
    </row>
    <row r="2327" spans="1:36" x14ac:dyDescent="0.25">
      <c r="A2327" s="325" t="str">
        <f>CONCATENATE("P",'906MP'!M2027)</f>
        <v>P</v>
      </c>
      <c r="B2327">
        <f>'906MP'!H2027</f>
        <v>0</v>
      </c>
      <c r="C2327">
        <f>'906MP'!J2027</f>
        <v>0</v>
      </c>
      <c r="D2327">
        <f>'906MP'!P2027</f>
        <v>0</v>
      </c>
      <c r="E2327">
        <f>'906MP'!X2027</f>
        <v>0</v>
      </c>
      <c r="F2327" t="str">
        <f t="shared" si="694"/>
        <v>0</v>
      </c>
      <c r="G2327" t="str">
        <f t="shared" si="695"/>
        <v>0</v>
      </c>
      <c r="H2327">
        <f>'906MP'!Y2027</f>
        <v>0</v>
      </c>
      <c r="I2327">
        <f>'906MP'!AK2027</f>
        <v>0</v>
      </c>
      <c r="J2327">
        <f>'906MP'!T2027</f>
        <v>0</v>
      </c>
      <c r="K2327">
        <f>'906MP'!AJ2027</f>
        <v>0</v>
      </c>
      <c r="L2327">
        <f>'906MP'!U2027</f>
        <v>0</v>
      </c>
      <c r="M2327" s="322" t="str">
        <f>IFERROR(VLOOKUP(A2327,PAR!$D$3:$E$53,2,FALSE),"nincs szervezet")</f>
        <v>nincs szervezet</v>
      </c>
      <c r="N2327" s="322" t="str">
        <f>VLOOKUP(F2327,PAR!$R$3:$S$5,2,FALSE)</f>
        <v>3 - egyik sem</v>
      </c>
      <c r="O2327" t="str">
        <f>IFERROR(VLOOKUP(J2327,PAR!$O$3:$P$5,2,FALSE),"nincs feladat")</f>
        <v>nincs feladat</v>
      </c>
      <c r="P2327" t="str">
        <f>IFERROR(VLOOKUP(G2327,PAR!$J$2:$M$19,4),"nincs rovat")</f>
        <v>nincs rovat</v>
      </c>
      <c r="Q2327" t="str">
        <f>IF(H2327&gt;0,VLOOKUP(H2327,PAR!$AA$3:$AC$187,3,FALSE),"nincs főkönyvi számla")</f>
        <v>nincs főkönyvi számla</v>
      </c>
      <c r="R2327" t="str">
        <f>IFERROR(VLOOKUP(K2327,PAR!$V$3:$X$438,3,FALSE),"000000 - Nincs COFOG")</f>
        <v>000000 - Nincs COFOG</v>
      </c>
      <c r="S2327">
        <f t="shared" si="696"/>
        <v>0</v>
      </c>
      <c r="T2327">
        <f t="shared" si="697"/>
        <v>0</v>
      </c>
      <c r="U2327" t="str">
        <f>IF('906MP'!J2027&gt;0,CONCATENATE('906MP'!J2027," - ",'906MP'!P2027,", ",'906MP'!E2027),"nincs megjegyzés")</f>
        <v>nincs megjegyzés</v>
      </c>
      <c r="V2327" t="str">
        <f t="shared" si="684"/>
        <v>0P0</v>
      </c>
      <c r="W2327" t="str">
        <f t="shared" si="685"/>
        <v>0P0</v>
      </c>
      <c r="X2327" t="str">
        <f t="shared" si="686"/>
        <v>P0</v>
      </c>
      <c r="Y2327" t="str">
        <f t="shared" si="687"/>
        <v>00</v>
      </c>
      <c r="Z2327" t="str">
        <f t="shared" si="698"/>
        <v>00</v>
      </c>
      <c r="AA2327" t="str">
        <f t="shared" si="688"/>
        <v>00</v>
      </c>
      <c r="AB2327" t="str">
        <f t="shared" si="689"/>
        <v>00</v>
      </c>
      <c r="AC2327" t="str">
        <f t="shared" si="690"/>
        <v>0P0</v>
      </c>
      <c r="AD2327" t="str">
        <f t="shared" si="691"/>
        <v>P00</v>
      </c>
      <c r="AE2327" t="str">
        <f t="shared" si="692"/>
        <v>0P0</v>
      </c>
      <c r="AF2327" t="str">
        <f t="shared" si="693"/>
        <v>P00</v>
      </c>
      <c r="AG2327" t="str">
        <f t="shared" si="699"/>
        <v>0P00</v>
      </c>
      <c r="AH2327" t="str">
        <f t="shared" si="700"/>
        <v>P000</v>
      </c>
      <c r="AI2327" t="str">
        <f t="shared" si="701"/>
        <v>0P00</v>
      </c>
      <c r="AJ2327" t="str">
        <f t="shared" si="702"/>
        <v>P000</v>
      </c>
    </row>
    <row r="2328" spans="1:36" x14ac:dyDescent="0.25">
      <c r="A2328" s="325" t="str">
        <f>CONCATENATE("P",'906MP'!M2028)</f>
        <v>P</v>
      </c>
      <c r="B2328">
        <f>'906MP'!H2028</f>
        <v>0</v>
      </c>
      <c r="C2328">
        <f>'906MP'!J2028</f>
        <v>0</v>
      </c>
      <c r="D2328">
        <f>'906MP'!P2028</f>
        <v>0</v>
      </c>
      <c r="E2328">
        <f>'906MP'!X2028</f>
        <v>0</v>
      </c>
      <c r="F2328" t="str">
        <f t="shared" si="694"/>
        <v>0</v>
      </c>
      <c r="G2328" t="str">
        <f t="shared" si="695"/>
        <v>0</v>
      </c>
      <c r="H2328">
        <f>'906MP'!Y2028</f>
        <v>0</v>
      </c>
      <c r="I2328">
        <f>'906MP'!AK2028</f>
        <v>0</v>
      </c>
      <c r="J2328">
        <f>'906MP'!T2028</f>
        <v>0</v>
      </c>
      <c r="K2328">
        <f>'906MP'!AJ2028</f>
        <v>0</v>
      </c>
      <c r="L2328">
        <f>'906MP'!U2028</f>
        <v>0</v>
      </c>
      <c r="M2328" s="322" t="str">
        <f>IFERROR(VLOOKUP(A2328,PAR!$D$3:$E$53,2,FALSE),"nincs szervezet")</f>
        <v>nincs szervezet</v>
      </c>
      <c r="N2328" s="322" t="str">
        <f>VLOOKUP(F2328,PAR!$R$3:$S$5,2,FALSE)</f>
        <v>3 - egyik sem</v>
      </c>
      <c r="O2328" t="str">
        <f>IFERROR(VLOOKUP(J2328,PAR!$O$3:$P$5,2,FALSE),"nincs feladat")</f>
        <v>nincs feladat</v>
      </c>
      <c r="P2328" t="str">
        <f>IFERROR(VLOOKUP(G2328,PAR!$J$2:$M$19,4),"nincs rovat")</f>
        <v>nincs rovat</v>
      </c>
      <c r="Q2328" t="str">
        <f>IF(H2328&gt;0,VLOOKUP(H2328,PAR!$AA$3:$AC$187,3,FALSE),"nincs főkönyvi számla")</f>
        <v>nincs főkönyvi számla</v>
      </c>
      <c r="R2328" t="str">
        <f>IFERROR(VLOOKUP(K2328,PAR!$V$3:$X$438,3,FALSE),"000000 - Nincs COFOG")</f>
        <v>000000 - Nincs COFOG</v>
      </c>
      <c r="S2328">
        <f t="shared" si="696"/>
        <v>0</v>
      </c>
      <c r="T2328">
        <f t="shared" si="697"/>
        <v>0</v>
      </c>
      <c r="U2328" t="str">
        <f>IF('906MP'!J2028&gt;0,CONCATENATE('906MP'!J2028," - ",'906MP'!P2028,", ",'906MP'!E2028),"nincs megjegyzés")</f>
        <v>nincs megjegyzés</v>
      </c>
      <c r="V2328" t="str">
        <f t="shared" si="684"/>
        <v>0P0</v>
      </c>
      <c r="W2328" t="str">
        <f t="shared" si="685"/>
        <v>0P0</v>
      </c>
      <c r="X2328" t="str">
        <f t="shared" si="686"/>
        <v>P0</v>
      </c>
      <c r="Y2328" t="str">
        <f t="shared" si="687"/>
        <v>00</v>
      </c>
      <c r="Z2328" t="str">
        <f t="shared" si="698"/>
        <v>00</v>
      </c>
      <c r="AA2328" t="str">
        <f t="shared" si="688"/>
        <v>00</v>
      </c>
      <c r="AB2328" t="str">
        <f t="shared" si="689"/>
        <v>00</v>
      </c>
      <c r="AC2328" t="str">
        <f t="shared" si="690"/>
        <v>0P0</v>
      </c>
      <c r="AD2328" t="str">
        <f t="shared" si="691"/>
        <v>P00</v>
      </c>
      <c r="AE2328" t="str">
        <f t="shared" si="692"/>
        <v>0P0</v>
      </c>
      <c r="AF2328" t="str">
        <f t="shared" si="693"/>
        <v>P00</v>
      </c>
      <c r="AG2328" t="str">
        <f t="shared" si="699"/>
        <v>0P00</v>
      </c>
      <c r="AH2328" t="str">
        <f t="shared" si="700"/>
        <v>P000</v>
      </c>
      <c r="AI2328" t="str">
        <f t="shared" si="701"/>
        <v>0P00</v>
      </c>
      <c r="AJ2328" t="str">
        <f t="shared" si="702"/>
        <v>P000</v>
      </c>
    </row>
    <row r="2329" spans="1:36" x14ac:dyDescent="0.25">
      <c r="A2329" s="325" t="str">
        <f>CONCATENATE("P",'906MP'!M2029)</f>
        <v>P</v>
      </c>
      <c r="B2329">
        <f>'906MP'!H2029</f>
        <v>0</v>
      </c>
      <c r="C2329">
        <f>'906MP'!J2029</f>
        <v>0</v>
      </c>
      <c r="D2329">
        <f>'906MP'!P2029</f>
        <v>0</v>
      </c>
      <c r="E2329">
        <f>'906MP'!X2029</f>
        <v>0</v>
      </c>
      <c r="F2329" t="str">
        <f t="shared" si="694"/>
        <v>0</v>
      </c>
      <c r="G2329" t="str">
        <f t="shared" si="695"/>
        <v>0</v>
      </c>
      <c r="H2329">
        <f>'906MP'!Y2029</f>
        <v>0</v>
      </c>
      <c r="I2329">
        <f>'906MP'!AK2029</f>
        <v>0</v>
      </c>
      <c r="J2329">
        <f>'906MP'!T2029</f>
        <v>0</v>
      </c>
      <c r="K2329">
        <f>'906MP'!AJ2029</f>
        <v>0</v>
      </c>
      <c r="L2329">
        <f>'906MP'!U2029</f>
        <v>0</v>
      </c>
      <c r="M2329" s="322" t="str">
        <f>IFERROR(VLOOKUP(A2329,PAR!$D$3:$E$53,2,FALSE),"nincs szervezet")</f>
        <v>nincs szervezet</v>
      </c>
      <c r="N2329" s="322" t="str">
        <f>VLOOKUP(F2329,PAR!$R$3:$S$5,2,FALSE)</f>
        <v>3 - egyik sem</v>
      </c>
      <c r="O2329" t="str">
        <f>IFERROR(VLOOKUP(J2329,PAR!$O$3:$P$5,2,FALSE),"nincs feladat")</f>
        <v>nincs feladat</v>
      </c>
      <c r="P2329" t="str">
        <f>IFERROR(VLOOKUP(G2329,PAR!$J$2:$M$19,4),"nincs rovat")</f>
        <v>nincs rovat</v>
      </c>
      <c r="Q2329" t="str">
        <f>IF(H2329&gt;0,VLOOKUP(H2329,PAR!$AA$3:$AC$187,3,FALSE),"nincs főkönyvi számla")</f>
        <v>nincs főkönyvi számla</v>
      </c>
      <c r="R2329" t="str">
        <f>IFERROR(VLOOKUP(K2329,PAR!$V$3:$X$438,3,FALSE),"000000 - Nincs COFOG")</f>
        <v>000000 - Nincs COFOG</v>
      </c>
      <c r="S2329">
        <f t="shared" si="696"/>
        <v>0</v>
      </c>
      <c r="T2329">
        <f t="shared" si="697"/>
        <v>0</v>
      </c>
      <c r="U2329" t="str">
        <f>IF('906MP'!J2029&gt;0,CONCATENATE('906MP'!J2029," - ",'906MP'!P2029,", ",'906MP'!E2029),"nincs megjegyzés")</f>
        <v>nincs megjegyzés</v>
      </c>
      <c r="V2329" t="str">
        <f t="shared" si="684"/>
        <v>0P0</v>
      </c>
      <c r="W2329" t="str">
        <f t="shared" si="685"/>
        <v>0P0</v>
      </c>
      <c r="X2329" t="str">
        <f t="shared" si="686"/>
        <v>P0</v>
      </c>
      <c r="Y2329" t="str">
        <f t="shared" si="687"/>
        <v>00</v>
      </c>
      <c r="Z2329" t="str">
        <f t="shared" si="698"/>
        <v>00</v>
      </c>
      <c r="AA2329" t="str">
        <f t="shared" si="688"/>
        <v>00</v>
      </c>
      <c r="AB2329" t="str">
        <f t="shared" si="689"/>
        <v>00</v>
      </c>
      <c r="AC2329" t="str">
        <f t="shared" si="690"/>
        <v>0P0</v>
      </c>
      <c r="AD2329" t="str">
        <f t="shared" si="691"/>
        <v>P00</v>
      </c>
      <c r="AE2329" t="str">
        <f t="shared" si="692"/>
        <v>0P0</v>
      </c>
      <c r="AF2329" t="str">
        <f t="shared" si="693"/>
        <v>P00</v>
      </c>
      <c r="AG2329" t="str">
        <f t="shared" si="699"/>
        <v>0P00</v>
      </c>
      <c r="AH2329" t="str">
        <f t="shared" si="700"/>
        <v>P000</v>
      </c>
      <c r="AI2329" t="str">
        <f t="shared" si="701"/>
        <v>0P00</v>
      </c>
      <c r="AJ2329" t="str">
        <f t="shared" si="702"/>
        <v>P000</v>
      </c>
    </row>
    <row r="2330" spans="1:36" x14ac:dyDescent="0.25">
      <c r="A2330" s="325" t="str">
        <f>CONCATENATE("P",'906MP'!M2030)</f>
        <v>P</v>
      </c>
      <c r="B2330">
        <f>'906MP'!H2030</f>
        <v>0</v>
      </c>
      <c r="C2330">
        <f>'906MP'!J2030</f>
        <v>0</v>
      </c>
      <c r="D2330">
        <f>'906MP'!P2030</f>
        <v>0</v>
      </c>
      <c r="E2330">
        <f>'906MP'!X2030</f>
        <v>0</v>
      </c>
      <c r="F2330" t="str">
        <f t="shared" si="694"/>
        <v>0</v>
      </c>
      <c r="G2330" t="str">
        <f t="shared" si="695"/>
        <v>0</v>
      </c>
      <c r="H2330">
        <f>'906MP'!Y2030</f>
        <v>0</v>
      </c>
      <c r="I2330">
        <f>'906MP'!AK2030</f>
        <v>0</v>
      </c>
      <c r="J2330">
        <f>'906MP'!T2030</f>
        <v>0</v>
      </c>
      <c r="K2330">
        <f>'906MP'!AJ2030</f>
        <v>0</v>
      </c>
      <c r="L2330">
        <f>'906MP'!U2030</f>
        <v>0</v>
      </c>
      <c r="M2330" s="322" t="str">
        <f>IFERROR(VLOOKUP(A2330,PAR!$D$3:$E$53,2,FALSE),"nincs szervezet")</f>
        <v>nincs szervezet</v>
      </c>
      <c r="N2330" s="322" t="str">
        <f>VLOOKUP(F2330,PAR!$R$3:$S$5,2,FALSE)</f>
        <v>3 - egyik sem</v>
      </c>
      <c r="O2330" t="str">
        <f>IFERROR(VLOOKUP(J2330,PAR!$O$3:$P$5,2,FALSE),"nincs feladat")</f>
        <v>nincs feladat</v>
      </c>
      <c r="P2330" t="str">
        <f>IFERROR(VLOOKUP(G2330,PAR!$J$2:$M$19,4),"nincs rovat")</f>
        <v>nincs rovat</v>
      </c>
      <c r="Q2330" t="str">
        <f>IF(H2330&gt;0,VLOOKUP(H2330,PAR!$AA$3:$AC$187,3,FALSE),"nincs főkönyvi számla")</f>
        <v>nincs főkönyvi számla</v>
      </c>
      <c r="R2330" t="str">
        <f>IFERROR(VLOOKUP(K2330,PAR!$V$3:$X$438,3,FALSE),"000000 - Nincs COFOG")</f>
        <v>000000 - Nincs COFOG</v>
      </c>
      <c r="S2330">
        <f t="shared" si="696"/>
        <v>0</v>
      </c>
      <c r="T2330">
        <f t="shared" si="697"/>
        <v>0</v>
      </c>
      <c r="U2330" t="str">
        <f>IF('906MP'!J2030&gt;0,CONCATENATE('906MP'!J2030," - ",'906MP'!P2030,", ",'906MP'!E2030),"nincs megjegyzés")</f>
        <v>nincs megjegyzés</v>
      </c>
      <c r="V2330" t="str">
        <f t="shared" si="684"/>
        <v>0P0</v>
      </c>
      <c r="W2330" t="str">
        <f t="shared" si="685"/>
        <v>0P0</v>
      </c>
      <c r="X2330" t="str">
        <f t="shared" si="686"/>
        <v>P0</v>
      </c>
      <c r="Y2330" t="str">
        <f t="shared" si="687"/>
        <v>00</v>
      </c>
      <c r="Z2330" t="str">
        <f t="shared" si="698"/>
        <v>00</v>
      </c>
      <c r="AA2330" t="str">
        <f t="shared" si="688"/>
        <v>00</v>
      </c>
      <c r="AB2330" t="str">
        <f t="shared" si="689"/>
        <v>00</v>
      </c>
      <c r="AC2330" t="str">
        <f t="shared" si="690"/>
        <v>0P0</v>
      </c>
      <c r="AD2330" t="str">
        <f t="shared" si="691"/>
        <v>P00</v>
      </c>
      <c r="AE2330" t="str">
        <f t="shared" si="692"/>
        <v>0P0</v>
      </c>
      <c r="AF2330" t="str">
        <f t="shared" si="693"/>
        <v>P00</v>
      </c>
      <c r="AG2330" t="str">
        <f t="shared" si="699"/>
        <v>0P00</v>
      </c>
      <c r="AH2330" t="str">
        <f t="shared" si="700"/>
        <v>P000</v>
      </c>
      <c r="AI2330" t="str">
        <f t="shared" si="701"/>
        <v>0P00</v>
      </c>
      <c r="AJ2330" t="str">
        <f t="shared" si="702"/>
        <v>P000</v>
      </c>
    </row>
    <row r="2331" spans="1:36" x14ac:dyDescent="0.25">
      <c r="A2331" s="325" t="str">
        <f>CONCATENATE("P",'906MP'!M2031)</f>
        <v>P</v>
      </c>
      <c r="B2331">
        <f>'906MP'!H2031</f>
        <v>0</v>
      </c>
      <c r="C2331">
        <f>'906MP'!J2031</f>
        <v>0</v>
      </c>
      <c r="D2331">
        <f>'906MP'!P2031</f>
        <v>0</v>
      </c>
      <c r="E2331">
        <f>'906MP'!X2031</f>
        <v>0</v>
      </c>
      <c r="F2331" t="str">
        <f t="shared" si="694"/>
        <v>0</v>
      </c>
      <c r="G2331" t="str">
        <f t="shared" si="695"/>
        <v>0</v>
      </c>
      <c r="H2331">
        <f>'906MP'!Y2031</f>
        <v>0</v>
      </c>
      <c r="I2331">
        <f>'906MP'!AK2031</f>
        <v>0</v>
      </c>
      <c r="J2331">
        <f>'906MP'!T2031</f>
        <v>0</v>
      </c>
      <c r="K2331">
        <f>'906MP'!AJ2031</f>
        <v>0</v>
      </c>
      <c r="L2331">
        <f>'906MP'!U2031</f>
        <v>0</v>
      </c>
      <c r="M2331" s="322" t="str">
        <f>IFERROR(VLOOKUP(A2331,PAR!$D$3:$E$53,2,FALSE),"nincs szervezet")</f>
        <v>nincs szervezet</v>
      </c>
      <c r="N2331" s="322" t="str">
        <f>VLOOKUP(F2331,PAR!$R$3:$S$5,2,FALSE)</f>
        <v>3 - egyik sem</v>
      </c>
      <c r="O2331" t="str">
        <f>IFERROR(VLOOKUP(J2331,PAR!$O$3:$P$5,2,FALSE),"nincs feladat")</f>
        <v>nincs feladat</v>
      </c>
      <c r="P2331" t="str">
        <f>IFERROR(VLOOKUP(G2331,PAR!$J$2:$M$19,4),"nincs rovat")</f>
        <v>nincs rovat</v>
      </c>
      <c r="Q2331" t="str">
        <f>IF(H2331&gt;0,VLOOKUP(H2331,PAR!$AA$3:$AC$187,3,FALSE),"nincs főkönyvi számla")</f>
        <v>nincs főkönyvi számla</v>
      </c>
      <c r="R2331" t="str">
        <f>IFERROR(VLOOKUP(K2331,PAR!$V$3:$X$438,3,FALSE),"000000 - Nincs COFOG")</f>
        <v>000000 - Nincs COFOG</v>
      </c>
      <c r="S2331">
        <f t="shared" si="696"/>
        <v>0</v>
      </c>
      <c r="T2331">
        <f t="shared" si="697"/>
        <v>0</v>
      </c>
      <c r="U2331" t="str">
        <f>IF('906MP'!J2031&gt;0,CONCATENATE('906MP'!J2031," - ",'906MP'!P2031,", ",'906MP'!E2031),"nincs megjegyzés")</f>
        <v>nincs megjegyzés</v>
      </c>
      <c r="V2331" t="str">
        <f t="shared" si="684"/>
        <v>0P0</v>
      </c>
      <c r="W2331" t="str">
        <f t="shared" si="685"/>
        <v>0P0</v>
      </c>
      <c r="X2331" t="str">
        <f t="shared" si="686"/>
        <v>P0</v>
      </c>
      <c r="Y2331" t="str">
        <f t="shared" si="687"/>
        <v>00</v>
      </c>
      <c r="Z2331" t="str">
        <f t="shared" si="698"/>
        <v>00</v>
      </c>
      <c r="AA2331" t="str">
        <f t="shared" si="688"/>
        <v>00</v>
      </c>
      <c r="AB2331" t="str">
        <f t="shared" si="689"/>
        <v>00</v>
      </c>
      <c r="AC2331" t="str">
        <f t="shared" si="690"/>
        <v>0P0</v>
      </c>
      <c r="AD2331" t="str">
        <f t="shared" si="691"/>
        <v>P00</v>
      </c>
      <c r="AE2331" t="str">
        <f t="shared" si="692"/>
        <v>0P0</v>
      </c>
      <c r="AF2331" t="str">
        <f t="shared" si="693"/>
        <v>P00</v>
      </c>
      <c r="AG2331" t="str">
        <f t="shared" si="699"/>
        <v>0P00</v>
      </c>
      <c r="AH2331" t="str">
        <f t="shared" si="700"/>
        <v>P000</v>
      </c>
      <c r="AI2331" t="str">
        <f t="shared" si="701"/>
        <v>0P00</v>
      </c>
      <c r="AJ2331" t="str">
        <f t="shared" si="702"/>
        <v>P000</v>
      </c>
    </row>
    <row r="2332" spans="1:36" x14ac:dyDescent="0.25">
      <c r="A2332" s="325" t="str">
        <f>CONCATENATE("P",'906MP'!M2032)</f>
        <v>P</v>
      </c>
      <c r="B2332">
        <f>'906MP'!H2032</f>
        <v>0</v>
      </c>
      <c r="C2332">
        <f>'906MP'!J2032</f>
        <v>0</v>
      </c>
      <c r="D2332">
        <f>'906MP'!P2032</f>
        <v>0</v>
      </c>
      <c r="E2332">
        <f>'906MP'!X2032</f>
        <v>0</v>
      </c>
      <c r="F2332" t="str">
        <f t="shared" si="694"/>
        <v>0</v>
      </c>
      <c r="G2332" t="str">
        <f t="shared" si="695"/>
        <v>0</v>
      </c>
      <c r="H2332">
        <f>'906MP'!Y2032</f>
        <v>0</v>
      </c>
      <c r="I2332">
        <f>'906MP'!AK2032</f>
        <v>0</v>
      </c>
      <c r="J2332">
        <f>'906MP'!T2032</f>
        <v>0</v>
      </c>
      <c r="K2332">
        <f>'906MP'!AJ2032</f>
        <v>0</v>
      </c>
      <c r="L2332">
        <f>'906MP'!U2032</f>
        <v>0</v>
      </c>
      <c r="M2332" s="322" t="str">
        <f>IFERROR(VLOOKUP(A2332,PAR!$D$3:$E$53,2,FALSE),"nincs szervezet")</f>
        <v>nincs szervezet</v>
      </c>
      <c r="N2332" s="322" t="str">
        <f>VLOOKUP(F2332,PAR!$R$3:$S$5,2,FALSE)</f>
        <v>3 - egyik sem</v>
      </c>
      <c r="O2332" t="str">
        <f>IFERROR(VLOOKUP(J2332,PAR!$O$3:$P$5,2,FALSE),"nincs feladat")</f>
        <v>nincs feladat</v>
      </c>
      <c r="P2332" t="str">
        <f>IFERROR(VLOOKUP(G2332,PAR!$J$2:$M$19,4),"nincs rovat")</f>
        <v>nincs rovat</v>
      </c>
      <c r="Q2332" t="str">
        <f>IF(H2332&gt;0,VLOOKUP(H2332,PAR!$AA$3:$AC$187,3,FALSE),"nincs főkönyvi számla")</f>
        <v>nincs főkönyvi számla</v>
      </c>
      <c r="R2332" t="str">
        <f>IFERROR(VLOOKUP(K2332,PAR!$V$3:$X$438,3,FALSE),"000000 - Nincs COFOG")</f>
        <v>000000 - Nincs COFOG</v>
      </c>
      <c r="S2332">
        <f t="shared" si="696"/>
        <v>0</v>
      </c>
      <c r="T2332">
        <f t="shared" si="697"/>
        <v>0</v>
      </c>
      <c r="U2332" t="str">
        <f>IF('906MP'!J2032&gt;0,CONCATENATE('906MP'!J2032," - ",'906MP'!P2032,", ",'906MP'!E2032),"nincs megjegyzés")</f>
        <v>nincs megjegyzés</v>
      </c>
      <c r="V2332" t="str">
        <f t="shared" si="684"/>
        <v>0P0</v>
      </c>
      <c r="W2332" t="str">
        <f t="shared" si="685"/>
        <v>0P0</v>
      </c>
      <c r="X2332" t="str">
        <f t="shared" si="686"/>
        <v>P0</v>
      </c>
      <c r="Y2332" t="str">
        <f t="shared" si="687"/>
        <v>00</v>
      </c>
      <c r="Z2332" t="str">
        <f t="shared" si="698"/>
        <v>00</v>
      </c>
      <c r="AA2332" t="str">
        <f t="shared" si="688"/>
        <v>00</v>
      </c>
      <c r="AB2332" t="str">
        <f t="shared" si="689"/>
        <v>00</v>
      </c>
      <c r="AC2332" t="str">
        <f t="shared" si="690"/>
        <v>0P0</v>
      </c>
      <c r="AD2332" t="str">
        <f t="shared" si="691"/>
        <v>P00</v>
      </c>
      <c r="AE2332" t="str">
        <f t="shared" si="692"/>
        <v>0P0</v>
      </c>
      <c r="AF2332" t="str">
        <f t="shared" si="693"/>
        <v>P00</v>
      </c>
      <c r="AG2332" t="str">
        <f t="shared" si="699"/>
        <v>0P00</v>
      </c>
      <c r="AH2332" t="str">
        <f t="shared" si="700"/>
        <v>P000</v>
      </c>
      <c r="AI2332" t="str">
        <f t="shared" si="701"/>
        <v>0P00</v>
      </c>
      <c r="AJ2332" t="str">
        <f t="shared" si="702"/>
        <v>P000</v>
      </c>
    </row>
    <row r="2333" spans="1:36" x14ac:dyDescent="0.25">
      <c r="A2333" s="325" t="str">
        <f>CONCATENATE("P",'906MP'!M2033)</f>
        <v>P</v>
      </c>
      <c r="B2333">
        <f>'906MP'!H2033</f>
        <v>0</v>
      </c>
      <c r="C2333">
        <f>'906MP'!J2033</f>
        <v>0</v>
      </c>
      <c r="D2333">
        <f>'906MP'!P2033</f>
        <v>0</v>
      </c>
      <c r="E2333">
        <f>'906MP'!X2033</f>
        <v>0</v>
      </c>
      <c r="F2333" t="str">
        <f t="shared" si="694"/>
        <v>0</v>
      </c>
      <c r="G2333" t="str">
        <f t="shared" si="695"/>
        <v>0</v>
      </c>
      <c r="H2333">
        <f>'906MP'!Y2033</f>
        <v>0</v>
      </c>
      <c r="I2333">
        <f>'906MP'!AK2033</f>
        <v>0</v>
      </c>
      <c r="J2333">
        <f>'906MP'!T2033</f>
        <v>0</v>
      </c>
      <c r="K2333">
        <f>'906MP'!AJ2033</f>
        <v>0</v>
      </c>
      <c r="L2333">
        <f>'906MP'!U2033</f>
        <v>0</v>
      </c>
      <c r="M2333" s="322" t="str">
        <f>IFERROR(VLOOKUP(A2333,PAR!$D$3:$E$53,2,FALSE),"nincs szervezet")</f>
        <v>nincs szervezet</v>
      </c>
      <c r="N2333" s="322" t="str">
        <f>VLOOKUP(F2333,PAR!$R$3:$S$5,2,FALSE)</f>
        <v>3 - egyik sem</v>
      </c>
      <c r="O2333" t="str">
        <f>IFERROR(VLOOKUP(J2333,PAR!$O$3:$P$5,2,FALSE),"nincs feladat")</f>
        <v>nincs feladat</v>
      </c>
      <c r="P2333" t="str">
        <f>IFERROR(VLOOKUP(G2333,PAR!$J$2:$M$19,4),"nincs rovat")</f>
        <v>nincs rovat</v>
      </c>
      <c r="Q2333" t="str">
        <f>IF(H2333&gt;0,VLOOKUP(H2333,PAR!$AA$3:$AC$187,3,FALSE),"nincs főkönyvi számla")</f>
        <v>nincs főkönyvi számla</v>
      </c>
      <c r="R2333" t="str">
        <f>IFERROR(VLOOKUP(K2333,PAR!$V$3:$X$438,3,FALSE),"000000 - Nincs COFOG")</f>
        <v>000000 - Nincs COFOG</v>
      </c>
      <c r="S2333">
        <f t="shared" si="696"/>
        <v>0</v>
      </c>
      <c r="T2333">
        <f t="shared" si="697"/>
        <v>0</v>
      </c>
      <c r="U2333" t="str">
        <f>IF('906MP'!J2033&gt;0,CONCATENATE('906MP'!J2033," - ",'906MP'!P2033,", ",'906MP'!E2033),"nincs megjegyzés")</f>
        <v>nincs megjegyzés</v>
      </c>
      <c r="V2333" t="str">
        <f t="shared" si="684"/>
        <v>0P0</v>
      </c>
      <c r="W2333" t="str">
        <f t="shared" si="685"/>
        <v>0P0</v>
      </c>
      <c r="X2333" t="str">
        <f t="shared" si="686"/>
        <v>P0</v>
      </c>
      <c r="Y2333" t="str">
        <f t="shared" si="687"/>
        <v>00</v>
      </c>
      <c r="Z2333" t="str">
        <f t="shared" si="698"/>
        <v>00</v>
      </c>
      <c r="AA2333" t="str">
        <f t="shared" si="688"/>
        <v>00</v>
      </c>
      <c r="AB2333" t="str">
        <f t="shared" si="689"/>
        <v>00</v>
      </c>
      <c r="AC2333" t="str">
        <f t="shared" si="690"/>
        <v>0P0</v>
      </c>
      <c r="AD2333" t="str">
        <f t="shared" si="691"/>
        <v>P00</v>
      </c>
      <c r="AE2333" t="str">
        <f t="shared" si="692"/>
        <v>0P0</v>
      </c>
      <c r="AF2333" t="str">
        <f t="shared" si="693"/>
        <v>P00</v>
      </c>
      <c r="AG2333" t="str">
        <f t="shared" si="699"/>
        <v>0P00</v>
      </c>
      <c r="AH2333" t="str">
        <f t="shared" si="700"/>
        <v>P000</v>
      </c>
      <c r="AI2333" t="str">
        <f t="shared" si="701"/>
        <v>0P00</v>
      </c>
      <c r="AJ2333" t="str">
        <f t="shared" si="702"/>
        <v>P000</v>
      </c>
    </row>
    <row r="2334" spans="1:36" x14ac:dyDescent="0.25">
      <c r="A2334" s="325" t="str">
        <f>CONCATENATE("P",'906MP'!M2034)</f>
        <v>P</v>
      </c>
      <c r="B2334">
        <f>'906MP'!H2034</f>
        <v>0</v>
      </c>
      <c r="C2334">
        <f>'906MP'!J2034</f>
        <v>0</v>
      </c>
      <c r="D2334">
        <f>'906MP'!P2034</f>
        <v>0</v>
      </c>
      <c r="E2334">
        <f>'906MP'!X2034</f>
        <v>0</v>
      </c>
      <c r="F2334" t="str">
        <f t="shared" si="694"/>
        <v>0</v>
      </c>
      <c r="G2334" t="str">
        <f t="shared" si="695"/>
        <v>0</v>
      </c>
      <c r="H2334">
        <f>'906MP'!Y2034</f>
        <v>0</v>
      </c>
      <c r="I2334">
        <f>'906MP'!AK2034</f>
        <v>0</v>
      </c>
      <c r="J2334">
        <f>'906MP'!T2034</f>
        <v>0</v>
      </c>
      <c r="K2334">
        <f>'906MP'!AJ2034</f>
        <v>0</v>
      </c>
      <c r="L2334">
        <f>'906MP'!U2034</f>
        <v>0</v>
      </c>
      <c r="M2334" s="322" t="str">
        <f>IFERROR(VLOOKUP(A2334,PAR!$D$3:$E$53,2,FALSE),"nincs szervezet")</f>
        <v>nincs szervezet</v>
      </c>
      <c r="N2334" s="322" t="str">
        <f>VLOOKUP(F2334,PAR!$R$3:$S$5,2,FALSE)</f>
        <v>3 - egyik sem</v>
      </c>
      <c r="O2334" t="str">
        <f>IFERROR(VLOOKUP(J2334,PAR!$O$3:$P$5,2,FALSE),"nincs feladat")</f>
        <v>nincs feladat</v>
      </c>
      <c r="P2334" t="str">
        <f>IFERROR(VLOOKUP(G2334,PAR!$J$2:$M$19,4),"nincs rovat")</f>
        <v>nincs rovat</v>
      </c>
      <c r="Q2334" t="str">
        <f>IF(H2334&gt;0,VLOOKUP(H2334,PAR!$AA$3:$AC$187,3,FALSE),"nincs főkönyvi számla")</f>
        <v>nincs főkönyvi számla</v>
      </c>
      <c r="R2334" t="str">
        <f>IFERROR(VLOOKUP(K2334,PAR!$V$3:$X$438,3,FALSE),"000000 - Nincs COFOG")</f>
        <v>000000 - Nincs COFOG</v>
      </c>
      <c r="S2334">
        <f t="shared" si="696"/>
        <v>0</v>
      </c>
      <c r="T2334">
        <f t="shared" si="697"/>
        <v>0</v>
      </c>
      <c r="U2334" t="str">
        <f>IF('906MP'!J2034&gt;0,CONCATENATE('906MP'!J2034," - ",'906MP'!P2034,", ",'906MP'!E2034),"nincs megjegyzés")</f>
        <v>nincs megjegyzés</v>
      </c>
      <c r="V2334" t="str">
        <f t="shared" si="684"/>
        <v>0P0</v>
      </c>
      <c r="W2334" t="str">
        <f t="shared" si="685"/>
        <v>0P0</v>
      </c>
      <c r="X2334" t="str">
        <f t="shared" si="686"/>
        <v>P0</v>
      </c>
      <c r="Y2334" t="str">
        <f t="shared" si="687"/>
        <v>00</v>
      </c>
      <c r="Z2334" t="str">
        <f t="shared" si="698"/>
        <v>00</v>
      </c>
      <c r="AA2334" t="str">
        <f t="shared" si="688"/>
        <v>00</v>
      </c>
      <c r="AB2334" t="str">
        <f t="shared" si="689"/>
        <v>00</v>
      </c>
      <c r="AC2334" t="str">
        <f t="shared" si="690"/>
        <v>0P0</v>
      </c>
      <c r="AD2334" t="str">
        <f t="shared" si="691"/>
        <v>P00</v>
      </c>
      <c r="AE2334" t="str">
        <f t="shared" si="692"/>
        <v>0P0</v>
      </c>
      <c r="AF2334" t="str">
        <f t="shared" si="693"/>
        <v>P00</v>
      </c>
      <c r="AG2334" t="str">
        <f t="shared" si="699"/>
        <v>0P00</v>
      </c>
      <c r="AH2334" t="str">
        <f t="shared" si="700"/>
        <v>P000</v>
      </c>
      <c r="AI2334" t="str">
        <f t="shared" si="701"/>
        <v>0P00</v>
      </c>
      <c r="AJ2334" t="str">
        <f t="shared" si="702"/>
        <v>P000</v>
      </c>
    </row>
    <row r="2335" spans="1:36" x14ac:dyDescent="0.25">
      <c r="A2335" s="325" t="str">
        <f>CONCATENATE("P",'906MP'!M2035)</f>
        <v>P</v>
      </c>
      <c r="B2335">
        <f>'906MP'!H2035</f>
        <v>0</v>
      </c>
      <c r="C2335">
        <f>'906MP'!J2035</f>
        <v>0</v>
      </c>
      <c r="D2335">
        <f>'906MP'!P2035</f>
        <v>0</v>
      </c>
      <c r="E2335">
        <f>'906MP'!X2035</f>
        <v>0</v>
      </c>
      <c r="F2335" t="str">
        <f t="shared" si="694"/>
        <v>0</v>
      </c>
      <c r="G2335" t="str">
        <f t="shared" si="695"/>
        <v>0</v>
      </c>
      <c r="H2335">
        <f>'906MP'!Y2035</f>
        <v>0</v>
      </c>
      <c r="I2335">
        <f>'906MP'!AK2035</f>
        <v>0</v>
      </c>
      <c r="J2335">
        <f>'906MP'!T2035</f>
        <v>0</v>
      </c>
      <c r="K2335">
        <f>'906MP'!AJ2035</f>
        <v>0</v>
      </c>
      <c r="L2335">
        <f>'906MP'!U2035</f>
        <v>0</v>
      </c>
      <c r="M2335" s="322" t="str">
        <f>IFERROR(VLOOKUP(A2335,PAR!$D$3:$E$53,2,FALSE),"nincs szervezet")</f>
        <v>nincs szervezet</v>
      </c>
      <c r="N2335" s="322" t="str">
        <f>VLOOKUP(F2335,PAR!$R$3:$S$5,2,FALSE)</f>
        <v>3 - egyik sem</v>
      </c>
      <c r="O2335" t="str">
        <f>IFERROR(VLOOKUP(J2335,PAR!$O$3:$P$5,2,FALSE),"nincs feladat")</f>
        <v>nincs feladat</v>
      </c>
      <c r="P2335" t="str">
        <f>IFERROR(VLOOKUP(G2335,PAR!$J$2:$M$19,4),"nincs rovat")</f>
        <v>nincs rovat</v>
      </c>
      <c r="Q2335" t="str">
        <f>IF(H2335&gt;0,VLOOKUP(H2335,PAR!$AA$3:$AC$187,3,FALSE),"nincs főkönyvi számla")</f>
        <v>nincs főkönyvi számla</v>
      </c>
      <c r="R2335" t="str">
        <f>IFERROR(VLOOKUP(K2335,PAR!$V$3:$X$438,3,FALSE),"000000 - Nincs COFOG")</f>
        <v>000000 - Nincs COFOG</v>
      </c>
      <c r="S2335">
        <f t="shared" si="696"/>
        <v>0</v>
      </c>
      <c r="T2335">
        <f t="shared" si="697"/>
        <v>0</v>
      </c>
      <c r="U2335" t="str">
        <f>IF('906MP'!J2035&gt;0,CONCATENATE('906MP'!J2035," - ",'906MP'!P2035,", ",'906MP'!E2035),"nincs megjegyzés")</f>
        <v>nincs megjegyzés</v>
      </c>
      <c r="V2335" t="str">
        <f t="shared" si="684"/>
        <v>0P0</v>
      </c>
      <c r="W2335" t="str">
        <f t="shared" si="685"/>
        <v>0P0</v>
      </c>
      <c r="X2335" t="str">
        <f t="shared" si="686"/>
        <v>P0</v>
      </c>
      <c r="Y2335" t="str">
        <f t="shared" si="687"/>
        <v>00</v>
      </c>
      <c r="Z2335" t="str">
        <f t="shared" si="698"/>
        <v>00</v>
      </c>
      <c r="AA2335" t="str">
        <f t="shared" si="688"/>
        <v>00</v>
      </c>
      <c r="AB2335" t="str">
        <f t="shared" si="689"/>
        <v>00</v>
      </c>
      <c r="AC2335" t="str">
        <f t="shared" si="690"/>
        <v>0P0</v>
      </c>
      <c r="AD2335" t="str">
        <f t="shared" si="691"/>
        <v>P00</v>
      </c>
      <c r="AE2335" t="str">
        <f t="shared" si="692"/>
        <v>0P0</v>
      </c>
      <c r="AF2335" t="str">
        <f t="shared" si="693"/>
        <v>P00</v>
      </c>
      <c r="AG2335" t="str">
        <f t="shared" si="699"/>
        <v>0P00</v>
      </c>
      <c r="AH2335" t="str">
        <f t="shared" si="700"/>
        <v>P000</v>
      </c>
      <c r="AI2335" t="str">
        <f t="shared" si="701"/>
        <v>0P00</v>
      </c>
      <c r="AJ2335" t="str">
        <f t="shared" si="702"/>
        <v>P000</v>
      </c>
    </row>
    <row r="2336" spans="1:36" x14ac:dyDescent="0.25">
      <c r="A2336" s="325" t="str">
        <f>CONCATENATE("P",'906MP'!M2036)</f>
        <v>P</v>
      </c>
      <c r="B2336">
        <f>'906MP'!H2036</f>
        <v>0</v>
      </c>
      <c r="C2336">
        <f>'906MP'!J2036</f>
        <v>0</v>
      </c>
      <c r="D2336">
        <f>'906MP'!P2036</f>
        <v>0</v>
      </c>
      <c r="E2336">
        <f>'906MP'!X2036</f>
        <v>0</v>
      </c>
      <c r="F2336" t="str">
        <f t="shared" si="694"/>
        <v>0</v>
      </c>
      <c r="G2336" t="str">
        <f t="shared" si="695"/>
        <v>0</v>
      </c>
      <c r="H2336">
        <f>'906MP'!Y2036</f>
        <v>0</v>
      </c>
      <c r="I2336">
        <f>'906MP'!AK2036</f>
        <v>0</v>
      </c>
      <c r="J2336">
        <f>'906MP'!T2036</f>
        <v>0</v>
      </c>
      <c r="K2336">
        <f>'906MP'!AJ2036</f>
        <v>0</v>
      </c>
      <c r="L2336">
        <f>'906MP'!U2036</f>
        <v>0</v>
      </c>
      <c r="M2336" s="322" t="str">
        <f>IFERROR(VLOOKUP(A2336,PAR!$D$3:$E$53,2,FALSE),"nincs szervezet")</f>
        <v>nincs szervezet</v>
      </c>
      <c r="N2336" s="322" t="str">
        <f>VLOOKUP(F2336,PAR!$R$3:$S$5,2,FALSE)</f>
        <v>3 - egyik sem</v>
      </c>
      <c r="O2336" t="str">
        <f>IFERROR(VLOOKUP(J2336,PAR!$O$3:$P$5,2,FALSE),"nincs feladat")</f>
        <v>nincs feladat</v>
      </c>
      <c r="P2336" t="str">
        <f>IFERROR(VLOOKUP(G2336,PAR!$J$2:$M$19,4),"nincs rovat")</f>
        <v>nincs rovat</v>
      </c>
      <c r="Q2336" t="str">
        <f>IF(H2336&gt;0,VLOOKUP(H2336,PAR!$AA$3:$AC$187,3,FALSE),"nincs főkönyvi számla")</f>
        <v>nincs főkönyvi számla</v>
      </c>
      <c r="R2336" t="str">
        <f>IFERROR(VLOOKUP(K2336,PAR!$V$3:$X$438,3,FALSE),"000000 - Nincs COFOG")</f>
        <v>000000 - Nincs COFOG</v>
      </c>
      <c r="S2336">
        <f t="shared" si="696"/>
        <v>0</v>
      </c>
      <c r="T2336">
        <f t="shared" si="697"/>
        <v>0</v>
      </c>
      <c r="U2336" t="str">
        <f>IF('906MP'!J2036&gt;0,CONCATENATE('906MP'!J2036," - ",'906MP'!P2036,", ",'906MP'!E2036),"nincs megjegyzés")</f>
        <v>nincs megjegyzés</v>
      </c>
      <c r="V2336" t="str">
        <f t="shared" si="684"/>
        <v>0P0</v>
      </c>
      <c r="W2336" t="str">
        <f t="shared" si="685"/>
        <v>0P0</v>
      </c>
      <c r="X2336" t="str">
        <f t="shared" si="686"/>
        <v>P0</v>
      </c>
      <c r="Y2336" t="str">
        <f t="shared" si="687"/>
        <v>00</v>
      </c>
      <c r="Z2336" t="str">
        <f t="shared" si="698"/>
        <v>00</v>
      </c>
      <c r="AA2336" t="str">
        <f t="shared" si="688"/>
        <v>00</v>
      </c>
      <c r="AB2336" t="str">
        <f t="shared" si="689"/>
        <v>00</v>
      </c>
      <c r="AC2336" t="str">
        <f t="shared" si="690"/>
        <v>0P0</v>
      </c>
      <c r="AD2336" t="str">
        <f t="shared" si="691"/>
        <v>P00</v>
      </c>
      <c r="AE2336" t="str">
        <f t="shared" si="692"/>
        <v>0P0</v>
      </c>
      <c r="AF2336" t="str">
        <f t="shared" si="693"/>
        <v>P00</v>
      </c>
      <c r="AG2336" t="str">
        <f t="shared" si="699"/>
        <v>0P00</v>
      </c>
      <c r="AH2336" t="str">
        <f t="shared" si="700"/>
        <v>P000</v>
      </c>
      <c r="AI2336" t="str">
        <f t="shared" si="701"/>
        <v>0P00</v>
      </c>
      <c r="AJ2336" t="str">
        <f t="shared" si="702"/>
        <v>P000</v>
      </c>
    </row>
    <row r="2337" spans="1:36" x14ac:dyDescent="0.25">
      <c r="A2337" s="325" t="str">
        <f>CONCATENATE("P",'906MP'!M2037)</f>
        <v>P</v>
      </c>
      <c r="B2337">
        <f>'906MP'!H2037</f>
        <v>0</v>
      </c>
      <c r="C2337">
        <f>'906MP'!J2037</f>
        <v>0</v>
      </c>
      <c r="D2337">
        <f>'906MP'!P2037</f>
        <v>0</v>
      </c>
      <c r="E2337">
        <f>'906MP'!X2037</f>
        <v>0</v>
      </c>
      <c r="F2337" t="str">
        <f t="shared" si="694"/>
        <v>0</v>
      </c>
      <c r="G2337" t="str">
        <f t="shared" si="695"/>
        <v>0</v>
      </c>
      <c r="H2337">
        <f>'906MP'!Y2037</f>
        <v>0</v>
      </c>
      <c r="I2337">
        <f>'906MP'!AK2037</f>
        <v>0</v>
      </c>
      <c r="J2337">
        <f>'906MP'!T2037</f>
        <v>0</v>
      </c>
      <c r="K2337">
        <f>'906MP'!AJ2037</f>
        <v>0</v>
      </c>
      <c r="L2337">
        <f>'906MP'!U2037</f>
        <v>0</v>
      </c>
      <c r="M2337" s="322" t="str">
        <f>IFERROR(VLOOKUP(A2337,PAR!$D$3:$E$53,2,FALSE),"nincs szervezet")</f>
        <v>nincs szervezet</v>
      </c>
      <c r="N2337" s="322" t="str">
        <f>VLOOKUP(F2337,PAR!$R$3:$S$5,2,FALSE)</f>
        <v>3 - egyik sem</v>
      </c>
      <c r="O2337" t="str">
        <f>IFERROR(VLOOKUP(J2337,PAR!$O$3:$P$5,2,FALSE),"nincs feladat")</f>
        <v>nincs feladat</v>
      </c>
      <c r="P2337" t="str">
        <f>IFERROR(VLOOKUP(G2337,PAR!$J$2:$M$19,4),"nincs rovat")</f>
        <v>nincs rovat</v>
      </c>
      <c r="Q2337" t="str">
        <f>IF(H2337&gt;0,VLOOKUP(H2337,PAR!$AA$3:$AC$187,3,FALSE),"nincs főkönyvi számla")</f>
        <v>nincs főkönyvi számla</v>
      </c>
      <c r="R2337" t="str">
        <f>IFERROR(VLOOKUP(K2337,PAR!$V$3:$X$438,3,FALSE),"000000 - Nincs COFOG")</f>
        <v>000000 - Nincs COFOG</v>
      </c>
      <c r="S2337">
        <f t="shared" si="696"/>
        <v>0</v>
      </c>
      <c r="T2337">
        <f t="shared" si="697"/>
        <v>0</v>
      </c>
      <c r="U2337" t="str">
        <f>IF('906MP'!J2037&gt;0,CONCATENATE('906MP'!J2037," - ",'906MP'!P2037,", ",'906MP'!E2037),"nincs megjegyzés")</f>
        <v>nincs megjegyzés</v>
      </c>
      <c r="V2337" t="str">
        <f t="shared" si="684"/>
        <v>0P0</v>
      </c>
      <c r="W2337" t="str">
        <f t="shared" si="685"/>
        <v>0P0</v>
      </c>
      <c r="X2337" t="str">
        <f t="shared" si="686"/>
        <v>P0</v>
      </c>
      <c r="Y2337" t="str">
        <f t="shared" si="687"/>
        <v>00</v>
      </c>
      <c r="Z2337" t="str">
        <f t="shared" si="698"/>
        <v>00</v>
      </c>
      <c r="AA2337" t="str">
        <f t="shared" si="688"/>
        <v>00</v>
      </c>
      <c r="AB2337" t="str">
        <f t="shared" si="689"/>
        <v>00</v>
      </c>
      <c r="AC2337" t="str">
        <f t="shared" si="690"/>
        <v>0P0</v>
      </c>
      <c r="AD2337" t="str">
        <f t="shared" si="691"/>
        <v>P00</v>
      </c>
      <c r="AE2337" t="str">
        <f t="shared" si="692"/>
        <v>0P0</v>
      </c>
      <c r="AF2337" t="str">
        <f t="shared" si="693"/>
        <v>P00</v>
      </c>
      <c r="AG2337" t="str">
        <f t="shared" si="699"/>
        <v>0P00</v>
      </c>
      <c r="AH2337" t="str">
        <f t="shared" si="700"/>
        <v>P000</v>
      </c>
      <c r="AI2337" t="str">
        <f t="shared" si="701"/>
        <v>0P00</v>
      </c>
      <c r="AJ2337" t="str">
        <f t="shared" si="702"/>
        <v>P000</v>
      </c>
    </row>
    <row r="2338" spans="1:36" x14ac:dyDescent="0.25">
      <c r="A2338" s="325" t="str">
        <f>CONCATENATE("P",'906MP'!M2038)</f>
        <v>P</v>
      </c>
      <c r="B2338">
        <f>'906MP'!H2038</f>
        <v>0</v>
      </c>
      <c r="C2338">
        <f>'906MP'!J2038</f>
        <v>0</v>
      </c>
      <c r="D2338">
        <f>'906MP'!P2038</f>
        <v>0</v>
      </c>
      <c r="E2338">
        <f>'906MP'!X2038</f>
        <v>0</v>
      </c>
      <c r="F2338" t="str">
        <f t="shared" si="694"/>
        <v>0</v>
      </c>
      <c r="G2338" t="str">
        <f t="shared" si="695"/>
        <v>0</v>
      </c>
      <c r="H2338">
        <f>'906MP'!Y2038</f>
        <v>0</v>
      </c>
      <c r="I2338">
        <f>'906MP'!AK2038</f>
        <v>0</v>
      </c>
      <c r="J2338">
        <f>'906MP'!T2038</f>
        <v>0</v>
      </c>
      <c r="K2338">
        <f>'906MP'!AJ2038</f>
        <v>0</v>
      </c>
      <c r="L2338">
        <f>'906MP'!U2038</f>
        <v>0</v>
      </c>
      <c r="M2338" s="322" t="str">
        <f>IFERROR(VLOOKUP(A2338,PAR!$D$3:$E$53,2,FALSE),"nincs szervezet")</f>
        <v>nincs szervezet</v>
      </c>
      <c r="N2338" s="322" t="str">
        <f>VLOOKUP(F2338,PAR!$R$3:$S$5,2,FALSE)</f>
        <v>3 - egyik sem</v>
      </c>
      <c r="O2338" t="str">
        <f>IFERROR(VLOOKUP(J2338,PAR!$O$3:$P$5,2,FALSE),"nincs feladat")</f>
        <v>nincs feladat</v>
      </c>
      <c r="P2338" t="str">
        <f>IFERROR(VLOOKUP(G2338,PAR!$J$2:$M$19,4),"nincs rovat")</f>
        <v>nincs rovat</v>
      </c>
      <c r="Q2338" t="str">
        <f>IF(H2338&gt;0,VLOOKUP(H2338,PAR!$AA$3:$AC$187,3,FALSE),"nincs főkönyvi számla")</f>
        <v>nincs főkönyvi számla</v>
      </c>
      <c r="R2338" t="str">
        <f>IFERROR(VLOOKUP(K2338,PAR!$V$3:$X$438,3,FALSE),"000000 - Nincs COFOG")</f>
        <v>000000 - Nincs COFOG</v>
      </c>
      <c r="S2338">
        <f t="shared" si="696"/>
        <v>0</v>
      </c>
      <c r="T2338">
        <f t="shared" si="697"/>
        <v>0</v>
      </c>
      <c r="U2338" t="str">
        <f>IF('906MP'!J2038&gt;0,CONCATENATE('906MP'!J2038," - ",'906MP'!P2038,", ",'906MP'!E2038),"nincs megjegyzés")</f>
        <v>nincs megjegyzés</v>
      </c>
      <c r="V2338" t="str">
        <f t="shared" si="684"/>
        <v>0P0</v>
      </c>
      <c r="W2338" t="str">
        <f t="shared" si="685"/>
        <v>0P0</v>
      </c>
      <c r="X2338" t="str">
        <f t="shared" si="686"/>
        <v>P0</v>
      </c>
      <c r="Y2338" t="str">
        <f t="shared" si="687"/>
        <v>00</v>
      </c>
      <c r="Z2338" t="str">
        <f t="shared" si="698"/>
        <v>00</v>
      </c>
      <c r="AA2338" t="str">
        <f t="shared" si="688"/>
        <v>00</v>
      </c>
      <c r="AB2338" t="str">
        <f t="shared" si="689"/>
        <v>00</v>
      </c>
      <c r="AC2338" t="str">
        <f t="shared" si="690"/>
        <v>0P0</v>
      </c>
      <c r="AD2338" t="str">
        <f t="shared" si="691"/>
        <v>P00</v>
      </c>
      <c r="AE2338" t="str">
        <f t="shared" si="692"/>
        <v>0P0</v>
      </c>
      <c r="AF2338" t="str">
        <f t="shared" si="693"/>
        <v>P00</v>
      </c>
      <c r="AG2338" t="str">
        <f t="shared" si="699"/>
        <v>0P00</v>
      </c>
      <c r="AH2338" t="str">
        <f t="shared" si="700"/>
        <v>P000</v>
      </c>
      <c r="AI2338" t="str">
        <f t="shared" si="701"/>
        <v>0P00</v>
      </c>
      <c r="AJ2338" t="str">
        <f t="shared" si="702"/>
        <v>P000</v>
      </c>
    </row>
    <row r="2339" spans="1:36" x14ac:dyDescent="0.25">
      <c r="A2339" s="325" t="str">
        <f>CONCATENATE("P",'906MP'!M2039)</f>
        <v>P</v>
      </c>
      <c r="B2339">
        <f>'906MP'!H2039</f>
        <v>0</v>
      </c>
      <c r="C2339">
        <f>'906MP'!J2039</f>
        <v>0</v>
      </c>
      <c r="D2339">
        <f>'906MP'!P2039</f>
        <v>0</v>
      </c>
      <c r="E2339">
        <f>'906MP'!X2039</f>
        <v>0</v>
      </c>
      <c r="F2339" t="str">
        <f t="shared" si="694"/>
        <v>0</v>
      </c>
      <c r="G2339" t="str">
        <f t="shared" si="695"/>
        <v>0</v>
      </c>
      <c r="H2339">
        <f>'906MP'!Y2039</f>
        <v>0</v>
      </c>
      <c r="I2339">
        <f>'906MP'!AK2039</f>
        <v>0</v>
      </c>
      <c r="J2339">
        <f>'906MP'!T2039</f>
        <v>0</v>
      </c>
      <c r="K2339">
        <f>'906MP'!AJ2039</f>
        <v>0</v>
      </c>
      <c r="L2339">
        <f>'906MP'!U2039</f>
        <v>0</v>
      </c>
      <c r="M2339" s="322" t="str">
        <f>IFERROR(VLOOKUP(A2339,PAR!$D$3:$E$53,2,FALSE),"nincs szervezet")</f>
        <v>nincs szervezet</v>
      </c>
      <c r="N2339" s="322" t="str">
        <f>VLOOKUP(F2339,PAR!$R$3:$S$5,2,FALSE)</f>
        <v>3 - egyik sem</v>
      </c>
      <c r="O2339" t="str">
        <f>IFERROR(VLOOKUP(J2339,PAR!$O$3:$P$5,2,FALSE),"nincs feladat")</f>
        <v>nincs feladat</v>
      </c>
      <c r="P2339" t="str">
        <f>IFERROR(VLOOKUP(G2339,PAR!$J$2:$M$19,4),"nincs rovat")</f>
        <v>nincs rovat</v>
      </c>
      <c r="Q2339" t="str">
        <f>IF(H2339&gt;0,VLOOKUP(H2339,PAR!$AA$3:$AC$187,3,FALSE),"nincs főkönyvi számla")</f>
        <v>nincs főkönyvi számla</v>
      </c>
      <c r="R2339" t="str">
        <f>IFERROR(VLOOKUP(K2339,PAR!$V$3:$X$438,3,FALSE),"000000 - Nincs COFOG")</f>
        <v>000000 - Nincs COFOG</v>
      </c>
      <c r="S2339">
        <f t="shared" si="696"/>
        <v>0</v>
      </c>
      <c r="T2339">
        <f t="shared" si="697"/>
        <v>0</v>
      </c>
      <c r="U2339" t="str">
        <f>IF('906MP'!J2039&gt;0,CONCATENATE('906MP'!J2039," - ",'906MP'!P2039,", ",'906MP'!E2039),"nincs megjegyzés")</f>
        <v>nincs megjegyzés</v>
      </c>
      <c r="V2339" t="str">
        <f t="shared" si="684"/>
        <v>0P0</v>
      </c>
      <c r="W2339" t="str">
        <f t="shared" si="685"/>
        <v>0P0</v>
      </c>
      <c r="X2339" t="str">
        <f t="shared" si="686"/>
        <v>P0</v>
      </c>
      <c r="Y2339" t="str">
        <f t="shared" si="687"/>
        <v>00</v>
      </c>
      <c r="Z2339" t="str">
        <f t="shared" si="698"/>
        <v>00</v>
      </c>
      <c r="AA2339" t="str">
        <f t="shared" si="688"/>
        <v>00</v>
      </c>
      <c r="AB2339" t="str">
        <f t="shared" si="689"/>
        <v>00</v>
      </c>
      <c r="AC2339" t="str">
        <f t="shared" si="690"/>
        <v>0P0</v>
      </c>
      <c r="AD2339" t="str">
        <f t="shared" si="691"/>
        <v>P00</v>
      </c>
      <c r="AE2339" t="str">
        <f t="shared" si="692"/>
        <v>0P0</v>
      </c>
      <c r="AF2339" t="str">
        <f t="shared" si="693"/>
        <v>P00</v>
      </c>
      <c r="AG2339" t="str">
        <f t="shared" si="699"/>
        <v>0P00</v>
      </c>
      <c r="AH2339" t="str">
        <f t="shared" si="700"/>
        <v>P000</v>
      </c>
      <c r="AI2339" t="str">
        <f t="shared" si="701"/>
        <v>0P00</v>
      </c>
      <c r="AJ2339" t="str">
        <f t="shared" si="702"/>
        <v>P000</v>
      </c>
    </row>
    <row r="2340" spans="1:36" x14ac:dyDescent="0.25">
      <c r="A2340" s="325" t="str">
        <f>CONCATENATE("P",'906MP'!M2040)</f>
        <v>P</v>
      </c>
      <c r="B2340">
        <f>'906MP'!H2040</f>
        <v>0</v>
      </c>
      <c r="C2340">
        <f>'906MP'!J2040</f>
        <v>0</v>
      </c>
      <c r="D2340">
        <f>'906MP'!P2040</f>
        <v>0</v>
      </c>
      <c r="E2340">
        <f>'906MP'!X2040</f>
        <v>0</v>
      </c>
      <c r="F2340" t="str">
        <f t="shared" si="694"/>
        <v>0</v>
      </c>
      <c r="G2340" t="str">
        <f t="shared" si="695"/>
        <v>0</v>
      </c>
      <c r="H2340">
        <f>'906MP'!Y2040</f>
        <v>0</v>
      </c>
      <c r="I2340">
        <f>'906MP'!AK2040</f>
        <v>0</v>
      </c>
      <c r="J2340">
        <f>'906MP'!T2040</f>
        <v>0</v>
      </c>
      <c r="K2340">
        <f>'906MP'!AJ2040</f>
        <v>0</v>
      </c>
      <c r="L2340">
        <f>'906MP'!U2040</f>
        <v>0</v>
      </c>
      <c r="M2340" s="322" t="str">
        <f>IFERROR(VLOOKUP(A2340,PAR!$D$3:$E$53,2,FALSE),"nincs szervezet")</f>
        <v>nincs szervezet</v>
      </c>
      <c r="N2340" s="322" t="str">
        <f>VLOOKUP(F2340,PAR!$R$3:$S$5,2,FALSE)</f>
        <v>3 - egyik sem</v>
      </c>
      <c r="O2340" t="str">
        <f>IFERROR(VLOOKUP(J2340,PAR!$O$3:$P$5,2,FALSE),"nincs feladat")</f>
        <v>nincs feladat</v>
      </c>
      <c r="P2340" t="str">
        <f>IFERROR(VLOOKUP(G2340,PAR!$J$2:$M$19,4),"nincs rovat")</f>
        <v>nincs rovat</v>
      </c>
      <c r="Q2340" t="str">
        <f>IF(H2340&gt;0,VLOOKUP(H2340,PAR!$AA$3:$AC$187,3,FALSE),"nincs főkönyvi számla")</f>
        <v>nincs főkönyvi számla</v>
      </c>
      <c r="R2340" t="str">
        <f>IFERROR(VLOOKUP(K2340,PAR!$V$3:$X$438,3,FALSE),"000000 - Nincs COFOG")</f>
        <v>000000 - Nincs COFOG</v>
      </c>
      <c r="S2340">
        <f t="shared" si="696"/>
        <v>0</v>
      </c>
      <c r="T2340">
        <f t="shared" si="697"/>
        <v>0</v>
      </c>
      <c r="U2340" t="str">
        <f>IF('906MP'!J2040&gt;0,CONCATENATE('906MP'!J2040," - ",'906MP'!P2040,", ",'906MP'!E2040),"nincs megjegyzés")</f>
        <v>nincs megjegyzés</v>
      </c>
      <c r="V2340" t="str">
        <f t="shared" si="684"/>
        <v>0P0</v>
      </c>
      <c r="W2340" t="str">
        <f t="shared" si="685"/>
        <v>0P0</v>
      </c>
      <c r="X2340" t="str">
        <f t="shared" si="686"/>
        <v>P0</v>
      </c>
      <c r="Y2340" t="str">
        <f t="shared" si="687"/>
        <v>00</v>
      </c>
      <c r="Z2340" t="str">
        <f t="shared" si="698"/>
        <v>00</v>
      </c>
      <c r="AA2340" t="str">
        <f t="shared" si="688"/>
        <v>00</v>
      </c>
      <c r="AB2340" t="str">
        <f t="shared" si="689"/>
        <v>00</v>
      </c>
      <c r="AC2340" t="str">
        <f t="shared" si="690"/>
        <v>0P0</v>
      </c>
      <c r="AD2340" t="str">
        <f t="shared" si="691"/>
        <v>P00</v>
      </c>
      <c r="AE2340" t="str">
        <f t="shared" si="692"/>
        <v>0P0</v>
      </c>
      <c r="AF2340" t="str">
        <f t="shared" si="693"/>
        <v>P00</v>
      </c>
      <c r="AG2340" t="str">
        <f t="shared" si="699"/>
        <v>0P00</v>
      </c>
      <c r="AH2340" t="str">
        <f t="shared" si="700"/>
        <v>P000</v>
      </c>
      <c r="AI2340" t="str">
        <f t="shared" si="701"/>
        <v>0P00</v>
      </c>
      <c r="AJ2340" t="str">
        <f t="shared" si="702"/>
        <v>P000</v>
      </c>
    </row>
    <row r="2341" spans="1:36" x14ac:dyDescent="0.25">
      <c r="A2341" s="325" t="str">
        <f>CONCATENATE("P",'906MP'!M2041)</f>
        <v>P</v>
      </c>
      <c r="B2341">
        <f>'906MP'!H2041</f>
        <v>0</v>
      </c>
      <c r="C2341">
        <f>'906MP'!J2041</f>
        <v>0</v>
      </c>
      <c r="D2341">
        <f>'906MP'!P2041</f>
        <v>0</v>
      </c>
      <c r="E2341">
        <f>'906MP'!X2041</f>
        <v>0</v>
      </c>
      <c r="F2341" t="str">
        <f t="shared" si="694"/>
        <v>0</v>
      </c>
      <c r="G2341" t="str">
        <f t="shared" si="695"/>
        <v>0</v>
      </c>
      <c r="H2341">
        <f>'906MP'!Y2041</f>
        <v>0</v>
      </c>
      <c r="I2341">
        <f>'906MP'!AK2041</f>
        <v>0</v>
      </c>
      <c r="J2341">
        <f>'906MP'!T2041</f>
        <v>0</v>
      </c>
      <c r="K2341">
        <f>'906MP'!AJ2041</f>
        <v>0</v>
      </c>
      <c r="L2341">
        <f>'906MP'!U2041</f>
        <v>0</v>
      </c>
      <c r="M2341" s="322" t="str">
        <f>IFERROR(VLOOKUP(A2341,PAR!$D$3:$E$53,2,FALSE),"nincs szervezet")</f>
        <v>nincs szervezet</v>
      </c>
      <c r="N2341" s="322" t="str">
        <f>VLOOKUP(F2341,PAR!$R$3:$S$5,2,FALSE)</f>
        <v>3 - egyik sem</v>
      </c>
      <c r="O2341" t="str">
        <f>IFERROR(VLOOKUP(J2341,PAR!$O$3:$P$5,2,FALSE),"nincs feladat")</f>
        <v>nincs feladat</v>
      </c>
      <c r="P2341" t="str">
        <f>IFERROR(VLOOKUP(G2341,PAR!$J$2:$M$19,4),"nincs rovat")</f>
        <v>nincs rovat</v>
      </c>
      <c r="Q2341" t="str">
        <f>IF(H2341&gt;0,VLOOKUP(H2341,PAR!$AA$3:$AC$187,3,FALSE),"nincs főkönyvi számla")</f>
        <v>nincs főkönyvi számla</v>
      </c>
      <c r="R2341" t="str">
        <f>IFERROR(VLOOKUP(K2341,PAR!$V$3:$X$438,3,FALSE),"000000 - Nincs COFOG")</f>
        <v>000000 - Nincs COFOG</v>
      </c>
      <c r="S2341">
        <f t="shared" si="696"/>
        <v>0</v>
      </c>
      <c r="T2341">
        <f t="shared" si="697"/>
        <v>0</v>
      </c>
      <c r="U2341" t="str">
        <f>IF('906MP'!J2041&gt;0,CONCATENATE('906MP'!J2041," - ",'906MP'!P2041,", ",'906MP'!E2041),"nincs megjegyzés")</f>
        <v>nincs megjegyzés</v>
      </c>
      <c r="V2341" t="str">
        <f t="shared" si="684"/>
        <v>0P0</v>
      </c>
      <c r="W2341" t="str">
        <f t="shared" si="685"/>
        <v>0P0</v>
      </c>
      <c r="X2341" t="str">
        <f t="shared" si="686"/>
        <v>P0</v>
      </c>
      <c r="Y2341" t="str">
        <f t="shared" si="687"/>
        <v>00</v>
      </c>
      <c r="Z2341" t="str">
        <f t="shared" si="698"/>
        <v>00</v>
      </c>
      <c r="AA2341" t="str">
        <f t="shared" si="688"/>
        <v>00</v>
      </c>
      <c r="AB2341" t="str">
        <f t="shared" si="689"/>
        <v>00</v>
      </c>
      <c r="AC2341" t="str">
        <f t="shared" si="690"/>
        <v>0P0</v>
      </c>
      <c r="AD2341" t="str">
        <f t="shared" si="691"/>
        <v>P00</v>
      </c>
      <c r="AE2341" t="str">
        <f t="shared" si="692"/>
        <v>0P0</v>
      </c>
      <c r="AF2341" t="str">
        <f t="shared" si="693"/>
        <v>P00</v>
      </c>
      <c r="AG2341" t="str">
        <f t="shared" si="699"/>
        <v>0P00</v>
      </c>
      <c r="AH2341" t="str">
        <f t="shared" si="700"/>
        <v>P000</v>
      </c>
      <c r="AI2341" t="str">
        <f t="shared" si="701"/>
        <v>0P00</v>
      </c>
      <c r="AJ2341" t="str">
        <f t="shared" si="702"/>
        <v>P000</v>
      </c>
    </row>
    <row r="2342" spans="1:36" x14ac:dyDescent="0.25">
      <c r="A2342" s="325" t="str">
        <f>CONCATENATE("P",'906MP'!M2042)</f>
        <v>P</v>
      </c>
      <c r="B2342">
        <f>'906MP'!H2042</f>
        <v>0</v>
      </c>
      <c r="C2342">
        <f>'906MP'!J2042</f>
        <v>0</v>
      </c>
      <c r="D2342">
        <f>'906MP'!P2042</f>
        <v>0</v>
      </c>
      <c r="E2342">
        <f>'906MP'!X2042</f>
        <v>0</v>
      </c>
      <c r="F2342" t="str">
        <f t="shared" si="694"/>
        <v>0</v>
      </c>
      <c r="G2342" t="str">
        <f t="shared" si="695"/>
        <v>0</v>
      </c>
      <c r="H2342">
        <f>'906MP'!Y2042</f>
        <v>0</v>
      </c>
      <c r="I2342">
        <f>'906MP'!AK2042</f>
        <v>0</v>
      </c>
      <c r="J2342">
        <f>'906MP'!T2042</f>
        <v>0</v>
      </c>
      <c r="K2342">
        <f>'906MP'!AJ2042</f>
        <v>0</v>
      </c>
      <c r="L2342">
        <f>'906MP'!U2042</f>
        <v>0</v>
      </c>
      <c r="M2342" s="322" t="str">
        <f>IFERROR(VLOOKUP(A2342,PAR!$D$3:$E$53,2,FALSE),"nincs szervezet")</f>
        <v>nincs szervezet</v>
      </c>
      <c r="N2342" s="322" t="str">
        <f>VLOOKUP(F2342,PAR!$R$3:$S$5,2,FALSE)</f>
        <v>3 - egyik sem</v>
      </c>
      <c r="O2342" t="str">
        <f>IFERROR(VLOOKUP(J2342,PAR!$O$3:$P$5,2,FALSE),"nincs feladat")</f>
        <v>nincs feladat</v>
      </c>
      <c r="P2342" t="str">
        <f>IFERROR(VLOOKUP(G2342,PAR!$J$2:$M$19,4),"nincs rovat")</f>
        <v>nincs rovat</v>
      </c>
      <c r="Q2342" t="str">
        <f>IF(H2342&gt;0,VLOOKUP(H2342,PAR!$AA$3:$AC$187,3,FALSE),"nincs főkönyvi számla")</f>
        <v>nincs főkönyvi számla</v>
      </c>
      <c r="R2342" t="str">
        <f>IFERROR(VLOOKUP(K2342,PAR!$V$3:$X$438,3,FALSE),"000000 - Nincs COFOG")</f>
        <v>000000 - Nincs COFOG</v>
      </c>
      <c r="S2342">
        <f t="shared" si="696"/>
        <v>0</v>
      </c>
      <c r="T2342">
        <f t="shared" si="697"/>
        <v>0</v>
      </c>
      <c r="U2342" t="str">
        <f>IF('906MP'!J2042&gt;0,CONCATENATE('906MP'!J2042," - ",'906MP'!P2042,", ",'906MP'!E2042),"nincs megjegyzés")</f>
        <v>nincs megjegyzés</v>
      </c>
      <c r="V2342" t="str">
        <f t="shared" si="684"/>
        <v>0P0</v>
      </c>
      <c r="W2342" t="str">
        <f t="shared" si="685"/>
        <v>0P0</v>
      </c>
      <c r="X2342" t="str">
        <f t="shared" si="686"/>
        <v>P0</v>
      </c>
      <c r="Y2342" t="str">
        <f t="shared" si="687"/>
        <v>00</v>
      </c>
      <c r="Z2342" t="str">
        <f t="shared" si="698"/>
        <v>00</v>
      </c>
      <c r="AA2342" t="str">
        <f t="shared" si="688"/>
        <v>00</v>
      </c>
      <c r="AB2342" t="str">
        <f t="shared" si="689"/>
        <v>00</v>
      </c>
      <c r="AC2342" t="str">
        <f t="shared" si="690"/>
        <v>0P0</v>
      </c>
      <c r="AD2342" t="str">
        <f t="shared" si="691"/>
        <v>P00</v>
      </c>
      <c r="AE2342" t="str">
        <f t="shared" si="692"/>
        <v>0P0</v>
      </c>
      <c r="AF2342" t="str">
        <f t="shared" si="693"/>
        <v>P00</v>
      </c>
      <c r="AG2342" t="str">
        <f t="shared" si="699"/>
        <v>0P00</v>
      </c>
      <c r="AH2342" t="str">
        <f t="shared" si="700"/>
        <v>P000</v>
      </c>
      <c r="AI2342" t="str">
        <f t="shared" si="701"/>
        <v>0P00</v>
      </c>
      <c r="AJ2342" t="str">
        <f t="shared" si="702"/>
        <v>P000</v>
      </c>
    </row>
    <row r="2343" spans="1:36" x14ac:dyDescent="0.25">
      <c r="A2343" s="325" t="str">
        <f>CONCATENATE("P",'906MP'!M2043)</f>
        <v>P</v>
      </c>
      <c r="B2343">
        <f>'906MP'!H2043</f>
        <v>0</v>
      </c>
      <c r="C2343">
        <f>'906MP'!J2043</f>
        <v>0</v>
      </c>
      <c r="D2343">
        <f>'906MP'!P2043</f>
        <v>0</v>
      </c>
      <c r="E2343">
        <f>'906MP'!X2043</f>
        <v>0</v>
      </c>
      <c r="F2343" t="str">
        <f t="shared" si="694"/>
        <v>0</v>
      </c>
      <c r="G2343" t="str">
        <f t="shared" si="695"/>
        <v>0</v>
      </c>
      <c r="H2343">
        <f>'906MP'!Y2043</f>
        <v>0</v>
      </c>
      <c r="I2343">
        <f>'906MP'!AK2043</f>
        <v>0</v>
      </c>
      <c r="J2343">
        <f>'906MP'!T2043</f>
        <v>0</v>
      </c>
      <c r="K2343">
        <f>'906MP'!AJ2043</f>
        <v>0</v>
      </c>
      <c r="L2343">
        <f>'906MP'!U2043</f>
        <v>0</v>
      </c>
      <c r="M2343" s="322" t="str">
        <f>IFERROR(VLOOKUP(A2343,PAR!$D$3:$E$53,2,FALSE),"nincs szervezet")</f>
        <v>nincs szervezet</v>
      </c>
      <c r="N2343" s="322" t="str">
        <f>VLOOKUP(F2343,PAR!$R$3:$S$5,2,FALSE)</f>
        <v>3 - egyik sem</v>
      </c>
      <c r="O2343" t="str">
        <f>IFERROR(VLOOKUP(J2343,PAR!$O$3:$P$5,2,FALSE),"nincs feladat")</f>
        <v>nincs feladat</v>
      </c>
      <c r="P2343" t="str">
        <f>IFERROR(VLOOKUP(G2343,PAR!$J$2:$M$19,4),"nincs rovat")</f>
        <v>nincs rovat</v>
      </c>
      <c r="Q2343" t="str">
        <f>IF(H2343&gt;0,VLOOKUP(H2343,PAR!$AA$3:$AC$187,3,FALSE),"nincs főkönyvi számla")</f>
        <v>nincs főkönyvi számla</v>
      </c>
      <c r="R2343" t="str">
        <f>IFERROR(VLOOKUP(K2343,PAR!$V$3:$X$438,3,FALSE),"000000 - Nincs COFOG")</f>
        <v>000000 - Nincs COFOG</v>
      </c>
      <c r="S2343">
        <f t="shared" si="696"/>
        <v>0</v>
      </c>
      <c r="T2343">
        <f t="shared" si="697"/>
        <v>0</v>
      </c>
      <c r="U2343" t="str">
        <f>IF('906MP'!J2043&gt;0,CONCATENATE('906MP'!J2043," - ",'906MP'!P2043,", ",'906MP'!E2043),"nincs megjegyzés")</f>
        <v>nincs megjegyzés</v>
      </c>
      <c r="V2343" t="str">
        <f t="shared" si="684"/>
        <v>0P0</v>
      </c>
      <c r="W2343" t="str">
        <f t="shared" si="685"/>
        <v>0P0</v>
      </c>
      <c r="X2343" t="str">
        <f t="shared" si="686"/>
        <v>P0</v>
      </c>
      <c r="Y2343" t="str">
        <f t="shared" si="687"/>
        <v>00</v>
      </c>
      <c r="Z2343" t="str">
        <f t="shared" si="698"/>
        <v>00</v>
      </c>
      <c r="AA2343" t="str">
        <f t="shared" si="688"/>
        <v>00</v>
      </c>
      <c r="AB2343" t="str">
        <f t="shared" si="689"/>
        <v>00</v>
      </c>
      <c r="AC2343" t="str">
        <f t="shared" si="690"/>
        <v>0P0</v>
      </c>
      <c r="AD2343" t="str">
        <f t="shared" si="691"/>
        <v>P00</v>
      </c>
      <c r="AE2343" t="str">
        <f t="shared" si="692"/>
        <v>0P0</v>
      </c>
      <c r="AF2343" t="str">
        <f t="shared" si="693"/>
        <v>P00</v>
      </c>
      <c r="AG2343" t="str">
        <f t="shared" si="699"/>
        <v>0P00</v>
      </c>
      <c r="AH2343" t="str">
        <f t="shared" si="700"/>
        <v>P000</v>
      </c>
      <c r="AI2343" t="str">
        <f t="shared" si="701"/>
        <v>0P00</v>
      </c>
      <c r="AJ2343" t="str">
        <f t="shared" si="702"/>
        <v>P000</v>
      </c>
    </row>
    <row r="2344" spans="1:36" x14ac:dyDescent="0.25">
      <c r="A2344" s="325" t="str">
        <f>CONCATENATE("P",'906MP'!M2044)</f>
        <v>P</v>
      </c>
      <c r="B2344">
        <f>'906MP'!H2044</f>
        <v>0</v>
      </c>
      <c r="C2344">
        <f>'906MP'!J2044</f>
        <v>0</v>
      </c>
      <c r="D2344">
        <f>'906MP'!P2044</f>
        <v>0</v>
      </c>
      <c r="E2344">
        <f>'906MP'!X2044</f>
        <v>0</v>
      </c>
      <c r="F2344" t="str">
        <f t="shared" si="694"/>
        <v>0</v>
      </c>
      <c r="G2344" t="str">
        <f t="shared" si="695"/>
        <v>0</v>
      </c>
      <c r="H2344">
        <f>'906MP'!Y2044</f>
        <v>0</v>
      </c>
      <c r="I2344">
        <f>'906MP'!AK2044</f>
        <v>0</v>
      </c>
      <c r="J2344">
        <f>'906MP'!T2044</f>
        <v>0</v>
      </c>
      <c r="K2344">
        <f>'906MP'!AJ2044</f>
        <v>0</v>
      </c>
      <c r="L2344">
        <f>'906MP'!U2044</f>
        <v>0</v>
      </c>
      <c r="M2344" s="322" t="str">
        <f>IFERROR(VLOOKUP(A2344,PAR!$D$3:$E$53,2,FALSE),"nincs szervezet")</f>
        <v>nincs szervezet</v>
      </c>
      <c r="N2344" s="322" t="str">
        <f>VLOOKUP(F2344,PAR!$R$3:$S$5,2,FALSE)</f>
        <v>3 - egyik sem</v>
      </c>
      <c r="O2344" t="str">
        <f>IFERROR(VLOOKUP(J2344,PAR!$O$3:$P$5,2,FALSE),"nincs feladat")</f>
        <v>nincs feladat</v>
      </c>
      <c r="P2344" t="str">
        <f>IFERROR(VLOOKUP(G2344,PAR!$J$2:$M$19,4),"nincs rovat")</f>
        <v>nincs rovat</v>
      </c>
      <c r="Q2344" t="str">
        <f>IF(H2344&gt;0,VLOOKUP(H2344,PAR!$AA$3:$AC$187,3,FALSE),"nincs főkönyvi számla")</f>
        <v>nincs főkönyvi számla</v>
      </c>
      <c r="R2344" t="str">
        <f>IFERROR(VLOOKUP(K2344,PAR!$V$3:$X$438,3,FALSE),"000000 - Nincs COFOG")</f>
        <v>000000 - Nincs COFOG</v>
      </c>
      <c r="S2344">
        <f t="shared" si="696"/>
        <v>0</v>
      </c>
      <c r="T2344">
        <f t="shared" si="697"/>
        <v>0</v>
      </c>
      <c r="U2344" t="str">
        <f>IF('906MP'!J2044&gt;0,CONCATENATE('906MP'!J2044," - ",'906MP'!P2044,", ",'906MP'!E2044),"nincs megjegyzés")</f>
        <v>nincs megjegyzés</v>
      </c>
      <c r="V2344" t="str">
        <f t="shared" si="684"/>
        <v>0P0</v>
      </c>
      <c r="W2344" t="str">
        <f t="shared" si="685"/>
        <v>0P0</v>
      </c>
      <c r="X2344" t="str">
        <f t="shared" si="686"/>
        <v>P0</v>
      </c>
      <c r="Y2344" t="str">
        <f t="shared" si="687"/>
        <v>00</v>
      </c>
      <c r="Z2344" t="str">
        <f t="shared" si="698"/>
        <v>00</v>
      </c>
      <c r="AA2344" t="str">
        <f t="shared" si="688"/>
        <v>00</v>
      </c>
      <c r="AB2344" t="str">
        <f t="shared" si="689"/>
        <v>00</v>
      </c>
      <c r="AC2344" t="str">
        <f t="shared" si="690"/>
        <v>0P0</v>
      </c>
      <c r="AD2344" t="str">
        <f t="shared" si="691"/>
        <v>P00</v>
      </c>
      <c r="AE2344" t="str">
        <f t="shared" si="692"/>
        <v>0P0</v>
      </c>
      <c r="AF2344" t="str">
        <f t="shared" si="693"/>
        <v>P00</v>
      </c>
      <c r="AG2344" t="str">
        <f t="shared" si="699"/>
        <v>0P00</v>
      </c>
      <c r="AH2344" t="str">
        <f t="shared" si="700"/>
        <v>P000</v>
      </c>
      <c r="AI2344" t="str">
        <f t="shared" si="701"/>
        <v>0P00</v>
      </c>
      <c r="AJ2344" t="str">
        <f t="shared" si="702"/>
        <v>P000</v>
      </c>
    </row>
    <row r="2345" spans="1:36" x14ac:dyDescent="0.25">
      <c r="A2345" s="325" t="str">
        <f>CONCATENATE("P",'906MP'!M2045)</f>
        <v>P</v>
      </c>
      <c r="B2345">
        <f>'906MP'!H2045</f>
        <v>0</v>
      </c>
      <c r="C2345">
        <f>'906MP'!J2045</f>
        <v>0</v>
      </c>
      <c r="D2345">
        <f>'906MP'!P2045</f>
        <v>0</v>
      </c>
      <c r="E2345">
        <f>'906MP'!X2045</f>
        <v>0</v>
      </c>
      <c r="F2345" t="str">
        <f t="shared" si="694"/>
        <v>0</v>
      </c>
      <c r="G2345" t="str">
        <f t="shared" si="695"/>
        <v>0</v>
      </c>
      <c r="H2345">
        <f>'906MP'!Y2045</f>
        <v>0</v>
      </c>
      <c r="I2345">
        <f>'906MP'!AK2045</f>
        <v>0</v>
      </c>
      <c r="J2345">
        <f>'906MP'!T2045</f>
        <v>0</v>
      </c>
      <c r="K2345">
        <f>'906MP'!AJ2045</f>
        <v>0</v>
      </c>
      <c r="L2345">
        <f>'906MP'!U2045</f>
        <v>0</v>
      </c>
      <c r="M2345" s="322" t="str">
        <f>IFERROR(VLOOKUP(A2345,PAR!$D$3:$E$53,2,FALSE),"nincs szervezet")</f>
        <v>nincs szervezet</v>
      </c>
      <c r="N2345" s="322" t="str">
        <f>VLOOKUP(F2345,PAR!$R$3:$S$5,2,FALSE)</f>
        <v>3 - egyik sem</v>
      </c>
      <c r="O2345" t="str">
        <f>IFERROR(VLOOKUP(J2345,PAR!$O$3:$P$5,2,FALSE),"nincs feladat")</f>
        <v>nincs feladat</v>
      </c>
      <c r="P2345" t="str">
        <f>IFERROR(VLOOKUP(G2345,PAR!$J$2:$M$19,4),"nincs rovat")</f>
        <v>nincs rovat</v>
      </c>
      <c r="Q2345" t="str">
        <f>IF(H2345&gt;0,VLOOKUP(H2345,PAR!$AA$3:$AC$187,3,FALSE),"nincs főkönyvi számla")</f>
        <v>nincs főkönyvi számla</v>
      </c>
      <c r="R2345" t="str">
        <f>IFERROR(VLOOKUP(K2345,PAR!$V$3:$X$438,3,FALSE),"000000 - Nincs COFOG")</f>
        <v>000000 - Nincs COFOG</v>
      </c>
      <c r="S2345">
        <f t="shared" si="696"/>
        <v>0</v>
      </c>
      <c r="T2345">
        <f t="shared" si="697"/>
        <v>0</v>
      </c>
      <c r="U2345" t="str">
        <f>IF('906MP'!J2045&gt;0,CONCATENATE('906MP'!J2045," - ",'906MP'!P2045,", ",'906MP'!E2045),"nincs megjegyzés")</f>
        <v>nincs megjegyzés</v>
      </c>
      <c r="V2345" t="str">
        <f t="shared" si="684"/>
        <v>0P0</v>
      </c>
      <c r="W2345" t="str">
        <f t="shared" si="685"/>
        <v>0P0</v>
      </c>
      <c r="X2345" t="str">
        <f t="shared" si="686"/>
        <v>P0</v>
      </c>
      <c r="Y2345" t="str">
        <f t="shared" si="687"/>
        <v>00</v>
      </c>
      <c r="Z2345" t="str">
        <f t="shared" si="698"/>
        <v>00</v>
      </c>
      <c r="AA2345" t="str">
        <f t="shared" si="688"/>
        <v>00</v>
      </c>
      <c r="AB2345" t="str">
        <f t="shared" si="689"/>
        <v>00</v>
      </c>
      <c r="AC2345" t="str">
        <f t="shared" si="690"/>
        <v>0P0</v>
      </c>
      <c r="AD2345" t="str">
        <f t="shared" si="691"/>
        <v>P00</v>
      </c>
      <c r="AE2345" t="str">
        <f t="shared" si="692"/>
        <v>0P0</v>
      </c>
      <c r="AF2345" t="str">
        <f t="shared" si="693"/>
        <v>P00</v>
      </c>
      <c r="AG2345" t="str">
        <f t="shared" si="699"/>
        <v>0P00</v>
      </c>
      <c r="AH2345" t="str">
        <f t="shared" si="700"/>
        <v>P000</v>
      </c>
      <c r="AI2345" t="str">
        <f t="shared" si="701"/>
        <v>0P00</v>
      </c>
      <c r="AJ2345" t="str">
        <f t="shared" si="702"/>
        <v>P000</v>
      </c>
    </row>
    <row r="2346" spans="1:36" x14ac:dyDescent="0.25">
      <c r="A2346" s="325" t="str">
        <f>CONCATENATE("P",'906MP'!M2046)</f>
        <v>P</v>
      </c>
      <c r="B2346">
        <f>'906MP'!H2046</f>
        <v>0</v>
      </c>
      <c r="C2346">
        <f>'906MP'!J2046</f>
        <v>0</v>
      </c>
      <c r="D2346">
        <f>'906MP'!P2046</f>
        <v>0</v>
      </c>
      <c r="E2346">
        <f>'906MP'!X2046</f>
        <v>0</v>
      </c>
      <c r="F2346" t="str">
        <f t="shared" si="694"/>
        <v>0</v>
      </c>
      <c r="G2346" t="str">
        <f t="shared" si="695"/>
        <v>0</v>
      </c>
      <c r="H2346">
        <f>'906MP'!Y2046</f>
        <v>0</v>
      </c>
      <c r="I2346">
        <f>'906MP'!AK2046</f>
        <v>0</v>
      </c>
      <c r="J2346">
        <f>'906MP'!T2046</f>
        <v>0</v>
      </c>
      <c r="K2346">
        <f>'906MP'!AJ2046</f>
        <v>0</v>
      </c>
      <c r="L2346">
        <f>'906MP'!U2046</f>
        <v>0</v>
      </c>
      <c r="M2346" s="322" t="str">
        <f>IFERROR(VLOOKUP(A2346,PAR!$D$3:$E$53,2,FALSE),"nincs szervezet")</f>
        <v>nincs szervezet</v>
      </c>
      <c r="N2346" s="322" t="str">
        <f>VLOOKUP(F2346,PAR!$R$3:$S$5,2,FALSE)</f>
        <v>3 - egyik sem</v>
      </c>
      <c r="O2346" t="str">
        <f>IFERROR(VLOOKUP(J2346,PAR!$O$3:$P$5,2,FALSE),"nincs feladat")</f>
        <v>nincs feladat</v>
      </c>
      <c r="P2346" t="str">
        <f>IFERROR(VLOOKUP(G2346,PAR!$J$2:$M$19,4),"nincs rovat")</f>
        <v>nincs rovat</v>
      </c>
      <c r="Q2346" t="str">
        <f>IF(H2346&gt;0,VLOOKUP(H2346,PAR!$AA$3:$AC$187,3,FALSE),"nincs főkönyvi számla")</f>
        <v>nincs főkönyvi számla</v>
      </c>
      <c r="R2346" t="str">
        <f>IFERROR(VLOOKUP(K2346,PAR!$V$3:$X$438,3,FALSE),"000000 - Nincs COFOG")</f>
        <v>000000 - Nincs COFOG</v>
      </c>
      <c r="S2346">
        <f t="shared" si="696"/>
        <v>0</v>
      </c>
      <c r="T2346">
        <f t="shared" si="697"/>
        <v>0</v>
      </c>
      <c r="U2346" t="str">
        <f>IF('906MP'!J2046&gt;0,CONCATENATE('906MP'!J2046," - ",'906MP'!P2046,", ",'906MP'!E2046),"nincs megjegyzés")</f>
        <v>nincs megjegyzés</v>
      </c>
      <c r="V2346" t="str">
        <f t="shared" si="684"/>
        <v>0P0</v>
      </c>
      <c r="W2346" t="str">
        <f t="shared" si="685"/>
        <v>0P0</v>
      </c>
      <c r="X2346" t="str">
        <f t="shared" si="686"/>
        <v>P0</v>
      </c>
      <c r="Y2346" t="str">
        <f t="shared" si="687"/>
        <v>00</v>
      </c>
      <c r="Z2346" t="str">
        <f t="shared" si="698"/>
        <v>00</v>
      </c>
      <c r="AA2346" t="str">
        <f t="shared" si="688"/>
        <v>00</v>
      </c>
      <c r="AB2346" t="str">
        <f t="shared" si="689"/>
        <v>00</v>
      </c>
      <c r="AC2346" t="str">
        <f t="shared" si="690"/>
        <v>0P0</v>
      </c>
      <c r="AD2346" t="str">
        <f t="shared" si="691"/>
        <v>P00</v>
      </c>
      <c r="AE2346" t="str">
        <f t="shared" si="692"/>
        <v>0P0</v>
      </c>
      <c r="AF2346" t="str">
        <f t="shared" si="693"/>
        <v>P00</v>
      </c>
      <c r="AG2346" t="str">
        <f t="shared" si="699"/>
        <v>0P00</v>
      </c>
      <c r="AH2346" t="str">
        <f t="shared" si="700"/>
        <v>P000</v>
      </c>
      <c r="AI2346" t="str">
        <f t="shared" si="701"/>
        <v>0P00</v>
      </c>
      <c r="AJ2346" t="str">
        <f t="shared" si="702"/>
        <v>P000</v>
      </c>
    </row>
    <row r="2347" spans="1:36" x14ac:dyDescent="0.25">
      <c r="A2347" s="325" t="str">
        <f>CONCATENATE("P",'906MP'!M2047)</f>
        <v>P</v>
      </c>
      <c r="B2347">
        <f>'906MP'!H2047</f>
        <v>0</v>
      </c>
      <c r="C2347">
        <f>'906MP'!J2047</f>
        <v>0</v>
      </c>
      <c r="D2347">
        <f>'906MP'!P2047</f>
        <v>0</v>
      </c>
      <c r="E2347">
        <f>'906MP'!X2047</f>
        <v>0</v>
      </c>
      <c r="F2347" t="str">
        <f t="shared" si="694"/>
        <v>0</v>
      </c>
      <c r="G2347" t="str">
        <f t="shared" si="695"/>
        <v>0</v>
      </c>
      <c r="H2347">
        <f>'906MP'!Y2047</f>
        <v>0</v>
      </c>
      <c r="I2347">
        <f>'906MP'!AK2047</f>
        <v>0</v>
      </c>
      <c r="J2347">
        <f>'906MP'!T2047</f>
        <v>0</v>
      </c>
      <c r="K2347">
        <f>'906MP'!AJ2047</f>
        <v>0</v>
      </c>
      <c r="L2347">
        <f>'906MP'!U2047</f>
        <v>0</v>
      </c>
      <c r="M2347" s="322" t="str">
        <f>IFERROR(VLOOKUP(A2347,PAR!$D$3:$E$53,2,FALSE),"nincs szervezet")</f>
        <v>nincs szervezet</v>
      </c>
      <c r="N2347" s="322" t="str">
        <f>VLOOKUP(F2347,PAR!$R$3:$S$5,2,FALSE)</f>
        <v>3 - egyik sem</v>
      </c>
      <c r="O2347" t="str">
        <f>IFERROR(VLOOKUP(J2347,PAR!$O$3:$P$5,2,FALSE),"nincs feladat")</f>
        <v>nincs feladat</v>
      </c>
      <c r="P2347" t="str">
        <f>IFERROR(VLOOKUP(G2347,PAR!$J$2:$M$19,4),"nincs rovat")</f>
        <v>nincs rovat</v>
      </c>
      <c r="Q2347" t="str">
        <f>IF(H2347&gt;0,VLOOKUP(H2347,PAR!$AA$3:$AC$187,3,FALSE),"nincs főkönyvi számla")</f>
        <v>nincs főkönyvi számla</v>
      </c>
      <c r="R2347" t="str">
        <f>IFERROR(VLOOKUP(K2347,PAR!$V$3:$X$438,3,FALSE),"000000 - Nincs COFOG")</f>
        <v>000000 - Nincs COFOG</v>
      </c>
      <c r="S2347">
        <f t="shared" si="696"/>
        <v>0</v>
      </c>
      <c r="T2347">
        <f t="shared" si="697"/>
        <v>0</v>
      </c>
      <c r="U2347" t="str">
        <f>IF('906MP'!J2047&gt;0,CONCATENATE('906MP'!J2047," - ",'906MP'!P2047,", ",'906MP'!E2047),"nincs megjegyzés")</f>
        <v>nincs megjegyzés</v>
      </c>
      <c r="V2347" t="str">
        <f t="shared" si="684"/>
        <v>0P0</v>
      </c>
      <c r="W2347" t="str">
        <f t="shared" si="685"/>
        <v>0P0</v>
      </c>
      <c r="X2347" t="str">
        <f t="shared" si="686"/>
        <v>P0</v>
      </c>
      <c r="Y2347" t="str">
        <f t="shared" si="687"/>
        <v>00</v>
      </c>
      <c r="Z2347" t="str">
        <f t="shared" si="698"/>
        <v>00</v>
      </c>
      <c r="AA2347" t="str">
        <f t="shared" si="688"/>
        <v>00</v>
      </c>
      <c r="AB2347" t="str">
        <f t="shared" si="689"/>
        <v>00</v>
      </c>
      <c r="AC2347" t="str">
        <f t="shared" si="690"/>
        <v>0P0</v>
      </c>
      <c r="AD2347" t="str">
        <f t="shared" si="691"/>
        <v>P00</v>
      </c>
      <c r="AE2347" t="str">
        <f t="shared" si="692"/>
        <v>0P0</v>
      </c>
      <c r="AF2347" t="str">
        <f t="shared" si="693"/>
        <v>P00</v>
      </c>
      <c r="AG2347" t="str">
        <f t="shared" si="699"/>
        <v>0P00</v>
      </c>
      <c r="AH2347" t="str">
        <f t="shared" si="700"/>
        <v>P000</v>
      </c>
      <c r="AI2347" t="str">
        <f t="shared" si="701"/>
        <v>0P00</v>
      </c>
      <c r="AJ2347" t="str">
        <f t="shared" si="702"/>
        <v>P000</v>
      </c>
    </row>
    <row r="2348" spans="1:36" x14ac:dyDescent="0.25">
      <c r="A2348" s="325" t="str">
        <f>CONCATENATE("P",'906MP'!M2048)</f>
        <v>P</v>
      </c>
      <c r="B2348">
        <f>'906MP'!H2048</f>
        <v>0</v>
      </c>
      <c r="C2348">
        <f>'906MP'!J2048</f>
        <v>0</v>
      </c>
      <c r="D2348">
        <f>'906MP'!P2048</f>
        <v>0</v>
      </c>
      <c r="E2348">
        <f>'906MP'!X2048</f>
        <v>0</v>
      </c>
      <c r="F2348" t="str">
        <f t="shared" si="694"/>
        <v>0</v>
      </c>
      <c r="G2348" t="str">
        <f t="shared" si="695"/>
        <v>0</v>
      </c>
      <c r="H2348">
        <f>'906MP'!Y2048</f>
        <v>0</v>
      </c>
      <c r="I2348">
        <f>'906MP'!AK2048</f>
        <v>0</v>
      </c>
      <c r="J2348">
        <f>'906MP'!T2048</f>
        <v>0</v>
      </c>
      <c r="K2348">
        <f>'906MP'!AJ2048</f>
        <v>0</v>
      </c>
      <c r="L2348">
        <f>'906MP'!U2048</f>
        <v>0</v>
      </c>
      <c r="M2348" s="322" t="str">
        <f>IFERROR(VLOOKUP(A2348,PAR!$D$3:$E$53,2,FALSE),"nincs szervezet")</f>
        <v>nincs szervezet</v>
      </c>
      <c r="N2348" s="322" t="str">
        <f>VLOOKUP(F2348,PAR!$R$3:$S$5,2,FALSE)</f>
        <v>3 - egyik sem</v>
      </c>
      <c r="O2348" t="str">
        <f>IFERROR(VLOOKUP(J2348,PAR!$O$3:$P$5,2,FALSE),"nincs feladat")</f>
        <v>nincs feladat</v>
      </c>
      <c r="P2348" t="str">
        <f>IFERROR(VLOOKUP(G2348,PAR!$J$2:$M$19,4),"nincs rovat")</f>
        <v>nincs rovat</v>
      </c>
      <c r="Q2348" t="str">
        <f>IF(H2348&gt;0,VLOOKUP(H2348,PAR!$AA$3:$AC$187,3,FALSE),"nincs főkönyvi számla")</f>
        <v>nincs főkönyvi számla</v>
      </c>
      <c r="R2348" t="str">
        <f>IFERROR(VLOOKUP(K2348,PAR!$V$3:$X$438,3,FALSE),"000000 - Nincs COFOG")</f>
        <v>000000 - Nincs COFOG</v>
      </c>
      <c r="S2348">
        <f t="shared" si="696"/>
        <v>0</v>
      </c>
      <c r="T2348">
        <f t="shared" si="697"/>
        <v>0</v>
      </c>
      <c r="U2348" t="str">
        <f>IF('906MP'!J2048&gt;0,CONCATENATE('906MP'!J2048," - ",'906MP'!P2048,", ",'906MP'!E2048),"nincs megjegyzés")</f>
        <v>nincs megjegyzés</v>
      </c>
      <c r="V2348" t="str">
        <f t="shared" si="684"/>
        <v>0P0</v>
      </c>
      <c r="W2348" t="str">
        <f t="shared" si="685"/>
        <v>0P0</v>
      </c>
      <c r="X2348" t="str">
        <f t="shared" si="686"/>
        <v>P0</v>
      </c>
      <c r="Y2348" t="str">
        <f t="shared" si="687"/>
        <v>00</v>
      </c>
      <c r="Z2348" t="str">
        <f t="shared" si="698"/>
        <v>00</v>
      </c>
      <c r="AA2348" t="str">
        <f t="shared" si="688"/>
        <v>00</v>
      </c>
      <c r="AB2348" t="str">
        <f t="shared" si="689"/>
        <v>00</v>
      </c>
      <c r="AC2348" t="str">
        <f t="shared" si="690"/>
        <v>0P0</v>
      </c>
      <c r="AD2348" t="str">
        <f t="shared" si="691"/>
        <v>P00</v>
      </c>
      <c r="AE2348" t="str">
        <f t="shared" si="692"/>
        <v>0P0</v>
      </c>
      <c r="AF2348" t="str">
        <f t="shared" si="693"/>
        <v>P00</v>
      </c>
      <c r="AG2348" t="str">
        <f t="shared" si="699"/>
        <v>0P00</v>
      </c>
      <c r="AH2348" t="str">
        <f t="shared" si="700"/>
        <v>P000</v>
      </c>
      <c r="AI2348" t="str">
        <f t="shared" si="701"/>
        <v>0P00</v>
      </c>
      <c r="AJ2348" t="str">
        <f t="shared" si="702"/>
        <v>P000</v>
      </c>
    </row>
    <row r="2349" spans="1:36" x14ac:dyDescent="0.25">
      <c r="A2349" s="325" t="str">
        <f>CONCATENATE("P",'906MP'!M2049)</f>
        <v>P</v>
      </c>
      <c r="B2349">
        <f>'906MP'!H2049</f>
        <v>0</v>
      </c>
      <c r="C2349">
        <f>'906MP'!J2049</f>
        <v>0</v>
      </c>
      <c r="D2349">
        <f>'906MP'!P2049</f>
        <v>0</v>
      </c>
      <c r="E2349">
        <f>'906MP'!X2049</f>
        <v>0</v>
      </c>
      <c r="F2349" t="str">
        <f t="shared" si="694"/>
        <v>0</v>
      </c>
      <c r="G2349" t="str">
        <f t="shared" si="695"/>
        <v>0</v>
      </c>
      <c r="H2349">
        <f>'906MP'!Y2049</f>
        <v>0</v>
      </c>
      <c r="I2349">
        <f>'906MP'!AK2049</f>
        <v>0</v>
      </c>
      <c r="J2349">
        <f>'906MP'!T2049</f>
        <v>0</v>
      </c>
      <c r="K2349">
        <f>'906MP'!AJ2049</f>
        <v>0</v>
      </c>
      <c r="L2349">
        <f>'906MP'!U2049</f>
        <v>0</v>
      </c>
      <c r="M2349" s="322" t="str">
        <f>IFERROR(VLOOKUP(A2349,PAR!$D$3:$E$53,2,FALSE),"nincs szervezet")</f>
        <v>nincs szervezet</v>
      </c>
      <c r="N2349" s="322" t="str">
        <f>VLOOKUP(F2349,PAR!$R$3:$S$5,2,FALSE)</f>
        <v>3 - egyik sem</v>
      </c>
      <c r="O2349" t="str">
        <f>IFERROR(VLOOKUP(J2349,PAR!$O$3:$P$5,2,FALSE),"nincs feladat")</f>
        <v>nincs feladat</v>
      </c>
      <c r="P2349" t="str">
        <f>IFERROR(VLOOKUP(G2349,PAR!$J$2:$M$19,4),"nincs rovat")</f>
        <v>nincs rovat</v>
      </c>
      <c r="Q2349" t="str">
        <f>IF(H2349&gt;0,VLOOKUP(H2349,PAR!$AA$3:$AC$187,3,FALSE),"nincs főkönyvi számla")</f>
        <v>nincs főkönyvi számla</v>
      </c>
      <c r="R2349" t="str">
        <f>IFERROR(VLOOKUP(K2349,PAR!$V$3:$X$438,3,FALSE),"000000 - Nincs COFOG")</f>
        <v>000000 - Nincs COFOG</v>
      </c>
      <c r="S2349">
        <f t="shared" si="696"/>
        <v>0</v>
      </c>
      <c r="T2349">
        <f t="shared" si="697"/>
        <v>0</v>
      </c>
      <c r="U2349" t="str">
        <f>IF('906MP'!J2049&gt;0,CONCATENATE('906MP'!J2049," - ",'906MP'!P2049,", ",'906MP'!E2049),"nincs megjegyzés")</f>
        <v>nincs megjegyzés</v>
      </c>
      <c r="V2349" t="str">
        <f t="shared" si="684"/>
        <v>0P0</v>
      </c>
      <c r="W2349" t="str">
        <f t="shared" si="685"/>
        <v>0P0</v>
      </c>
      <c r="X2349" t="str">
        <f t="shared" si="686"/>
        <v>P0</v>
      </c>
      <c r="Y2349" t="str">
        <f t="shared" si="687"/>
        <v>00</v>
      </c>
      <c r="Z2349" t="str">
        <f t="shared" si="698"/>
        <v>00</v>
      </c>
      <c r="AA2349" t="str">
        <f t="shared" si="688"/>
        <v>00</v>
      </c>
      <c r="AB2349" t="str">
        <f t="shared" si="689"/>
        <v>00</v>
      </c>
      <c r="AC2349" t="str">
        <f t="shared" si="690"/>
        <v>0P0</v>
      </c>
      <c r="AD2349" t="str">
        <f t="shared" si="691"/>
        <v>P00</v>
      </c>
      <c r="AE2349" t="str">
        <f t="shared" si="692"/>
        <v>0P0</v>
      </c>
      <c r="AF2349" t="str">
        <f t="shared" si="693"/>
        <v>P00</v>
      </c>
      <c r="AG2349" t="str">
        <f t="shared" si="699"/>
        <v>0P00</v>
      </c>
      <c r="AH2349" t="str">
        <f t="shared" si="700"/>
        <v>P000</v>
      </c>
      <c r="AI2349" t="str">
        <f t="shared" si="701"/>
        <v>0P00</v>
      </c>
      <c r="AJ2349" t="str">
        <f t="shared" si="702"/>
        <v>P000</v>
      </c>
    </row>
    <row r="2350" spans="1:36" x14ac:dyDescent="0.25">
      <c r="A2350" s="325" t="str">
        <f>CONCATENATE("P",'906MP'!M2050)</f>
        <v>P</v>
      </c>
      <c r="B2350">
        <f>'906MP'!H2050</f>
        <v>0</v>
      </c>
      <c r="C2350">
        <f>'906MP'!J2050</f>
        <v>0</v>
      </c>
      <c r="D2350">
        <f>'906MP'!P2050</f>
        <v>0</v>
      </c>
      <c r="E2350">
        <f>'906MP'!X2050</f>
        <v>0</v>
      </c>
      <c r="F2350" t="str">
        <f t="shared" si="694"/>
        <v>0</v>
      </c>
      <c r="G2350" t="str">
        <f t="shared" si="695"/>
        <v>0</v>
      </c>
      <c r="H2350">
        <f>'906MP'!Y2050</f>
        <v>0</v>
      </c>
      <c r="I2350">
        <f>'906MP'!AK2050</f>
        <v>0</v>
      </c>
      <c r="J2350">
        <f>'906MP'!T2050</f>
        <v>0</v>
      </c>
      <c r="K2350">
        <f>'906MP'!AJ2050</f>
        <v>0</v>
      </c>
      <c r="L2350">
        <f>'906MP'!U2050</f>
        <v>0</v>
      </c>
      <c r="M2350" s="322" t="str">
        <f>IFERROR(VLOOKUP(A2350,PAR!$D$3:$E$53,2,FALSE),"nincs szervezet")</f>
        <v>nincs szervezet</v>
      </c>
      <c r="N2350" s="322" t="str">
        <f>VLOOKUP(F2350,PAR!$R$3:$S$5,2,FALSE)</f>
        <v>3 - egyik sem</v>
      </c>
      <c r="O2350" t="str">
        <f>IFERROR(VLOOKUP(J2350,PAR!$O$3:$P$5,2,FALSE),"nincs feladat")</f>
        <v>nincs feladat</v>
      </c>
      <c r="P2350" t="str">
        <f>IFERROR(VLOOKUP(G2350,PAR!$J$2:$M$19,4),"nincs rovat")</f>
        <v>nincs rovat</v>
      </c>
      <c r="Q2350" t="str">
        <f>IF(H2350&gt;0,VLOOKUP(H2350,PAR!$AA$3:$AC$187,3,FALSE),"nincs főkönyvi számla")</f>
        <v>nincs főkönyvi számla</v>
      </c>
      <c r="R2350" t="str">
        <f>IFERROR(VLOOKUP(K2350,PAR!$V$3:$X$438,3,FALSE),"000000 - Nincs COFOG")</f>
        <v>000000 - Nincs COFOG</v>
      </c>
      <c r="S2350">
        <f t="shared" si="696"/>
        <v>0</v>
      </c>
      <c r="T2350">
        <f t="shared" si="697"/>
        <v>0</v>
      </c>
      <c r="U2350" t="str">
        <f>IF('906MP'!J2050&gt;0,CONCATENATE('906MP'!J2050," - ",'906MP'!P2050,", ",'906MP'!E2050),"nincs megjegyzés")</f>
        <v>nincs megjegyzés</v>
      </c>
      <c r="V2350" t="str">
        <f t="shared" si="684"/>
        <v>0P0</v>
      </c>
      <c r="W2350" t="str">
        <f t="shared" si="685"/>
        <v>0P0</v>
      </c>
      <c r="X2350" t="str">
        <f t="shared" si="686"/>
        <v>P0</v>
      </c>
      <c r="Y2350" t="str">
        <f t="shared" si="687"/>
        <v>00</v>
      </c>
      <c r="Z2350" t="str">
        <f t="shared" si="698"/>
        <v>00</v>
      </c>
      <c r="AA2350" t="str">
        <f t="shared" si="688"/>
        <v>00</v>
      </c>
      <c r="AB2350" t="str">
        <f t="shared" si="689"/>
        <v>00</v>
      </c>
      <c r="AC2350" t="str">
        <f t="shared" si="690"/>
        <v>0P0</v>
      </c>
      <c r="AD2350" t="str">
        <f t="shared" si="691"/>
        <v>P00</v>
      </c>
      <c r="AE2350" t="str">
        <f t="shared" si="692"/>
        <v>0P0</v>
      </c>
      <c r="AF2350" t="str">
        <f t="shared" si="693"/>
        <v>P00</v>
      </c>
      <c r="AG2350" t="str">
        <f t="shared" si="699"/>
        <v>0P00</v>
      </c>
      <c r="AH2350" t="str">
        <f t="shared" si="700"/>
        <v>P000</v>
      </c>
      <c r="AI2350" t="str">
        <f t="shared" si="701"/>
        <v>0P00</v>
      </c>
      <c r="AJ2350" t="str">
        <f t="shared" si="702"/>
        <v>P000</v>
      </c>
    </row>
    <row r="2351" spans="1:36" x14ac:dyDescent="0.25">
      <c r="A2351" s="325" t="str">
        <f>CONCATENATE("P",'906MP'!M2051)</f>
        <v>P</v>
      </c>
      <c r="B2351">
        <f>'906MP'!H2051</f>
        <v>0</v>
      </c>
      <c r="C2351">
        <f>'906MP'!J2051</f>
        <v>0</v>
      </c>
      <c r="D2351">
        <f>'906MP'!P2051</f>
        <v>0</v>
      </c>
      <c r="E2351">
        <f>'906MP'!X2051</f>
        <v>0</v>
      </c>
      <c r="F2351" t="str">
        <f t="shared" si="694"/>
        <v>0</v>
      </c>
      <c r="G2351" t="str">
        <f t="shared" si="695"/>
        <v>0</v>
      </c>
      <c r="H2351">
        <f>'906MP'!Y2051</f>
        <v>0</v>
      </c>
      <c r="I2351">
        <f>'906MP'!AK2051</f>
        <v>0</v>
      </c>
      <c r="J2351">
        <f>'906MP'!T2051</f>
        <v>0</v>
      </c>
      <c r="K2351">
        <f>'906MP'!AJ2051</f>
        <v>0</v>
      </c>
      <c r="L2351">
        <f>'906MP'!U2051</f>
        <v>0</v>
      </c>
      <c r="M2351" s="322" t="str">
        <f>IFERROR(VLOOKUP(A2351,PAR!$D$3:$E$53,2,FALSE),"nincs szervezet")</f>
        <v>nincs szervezet</v>
      </c>
      <c r="N2351" s="322" t="str">
        <f>VLOOKUP(F2351,PAR!$R$3:$S$5,2,FALSE)</f>
        <v>3 - egyik sem</v>
      </c>
      <c r="O2351" t="str">
        <f>IFERROR(VLOOKUP(J2351,PAR!$O$3:$P$5,2,FALSE),"nincs feladat")</f>
        <v>nincs feladat</v>
      </c>
      <c r="P2351" t="str">
        <f>IFERROR(VLOOKUP(G2351,PAR!$J$2:$M$19,4),"nincs rovat")</f>
        <v>nincs rovat</v>
      </c>
      <c r="Q2351" t="str">
        <f>IF(H2351&gt;0,VLOOKUP(H2351,PAR!$AA$3:$AC$187,3,FALSE),"nincs főkönyvi számla")</f>
        <v>nincs főkönyvi számla</v>
      </c>
      <c r="R2351" t="str">
        <f>IFERROR(VLOOKUP(K2351,PAR!$V$3:$X$438,3,FALSE),"000000 - Nincs COFOG")</f>
        <v>000000 - Nincs COFOG</v>
      </c>
      <c r="S2351">
        <f t="shared" si="696"/>
        <v>0</v>
      </c>
      <c r="T2351">
        <f t="shared" si="697"/>
        <v>0</v>
      </c>
      <c r="U2351" t="str">
        <f>IF('906MP'!J2051&gt;0,CONCATENATE('906MP'!J2051," - ",'906MP'!P2051,", ",'906MP'!E2051),"nincs megjegyzés")</f>
        <v>nincs megjegyzés</v>
      </c>
      <c r="V2351" t="str">
        <f t="shared" si="684"/>
        <v>0P0</v>
      </c>
      <c r="W2351" t="str">
        <f t="shared" si="685"/>
        <v>0P0</v>
      </c>
      <c r="X2351" t="str">
        <f t="shared" si="686"/>
        <v>P0</v>
      </c>
      <c r="Y2351" t="str">
        <f t="shared" si="687"/>
        <v>00</v>
      </c>
      <c r="Z2351" t="str">
        <f t="shared" si="698"/>
        <v>00</v>
      </c>
      <c r="AA2351" t="str">
        <f t="shared" si="688"/>
        <v>00</v>
      </c>
      <c r="AB2351" t="str">
        <f t="shared" si="689"/>
        <v>00</v>
      </c>
      <c r="AC2351" t="str">
        <f t="shared" si="690"/>
        <v>0P0</v>
      </c>
      <c r="AD2351" t="str">
        <f t="shared" si="691"/>
        <v>P00</v>
      </c>
      <c r="AE2351" t="str">
        <f t="shared" si="692"/>
        <v>0P0</v>
      </c>
      <c r="AF2351" t="str">
        <f t="shared" si="693"/>
        <v>P00</v>
      </c>
      <c r="AG2351" t="str">
        <f t="shared" si="699"/>
        <v>0P00</v>
      </c>
      <c r="AH2351" t="str">
        <f t="shared" si="700"/>
        <v>P000</v>
      </c>
      <c r="AI2351" t="str">
        <f t="shared" si="701"/>
        <v>0P00</v>
      </c>
      <c r="AJ2351" t="str">
        <f t="shared" si="702"/>
        <v>P000</v>
      </c>
    </row>
    <row r="2352" spans="1:36" x14ac:dyDescent="0.25">
      <c r="A2352" s="325" t="str">
        <f>CONCATENATE("P",'906MP'!M2052)</f>
        <v>P</v>
      </c>
      <c r="B2352">
        <f>'906MP'!H2052</f>
        <v>0</v>
      </c>
      <c r="C2352">
        <f>'906MP'!J2052</f>
        <v>0</v>
      </c>
      <c r="D2352">
        <f>'906MP'!P2052</f>
        <v>0</v>
      </c>
      <c r="E2352">
        <f>'906MP'!X2052</f>
        <v>0</v>
      </c>
      <c r="F2352" t="str">
        <f t="shared" si="694"/>
        <v>0</v>
      </c>
      <c r="G2352" t="str">
        <f t="shared" si="695"/>
        <v>0</v>
      </c>
      <c r="H2352">
        <f>'906MP'!Y2052</f>
        <v>0</v>
      </c>
      <c r="I2352">
        <f>'906MP'!AK2052</f>
        <v>0</v>
      </c>
      <c r="J2352">
        <f>'906MP'!T2052</f>
        <v>0</v>
      </c>
      <c r="K2352">
        <f>'906MP'!AJ2052</f>
        <v>0</v>
      </c>
      <c r="L2352">
        <f>'906MP'!U2052</f>
        <v>0</v>
      </c>
      <c r="M2352" s="322" t="str">
        <f>IFERROR(VLOOKUP(A2352,PAR!$D$3:$E$53,2,FALSE),"nincs szervezet")</f>
        <v>nincs szervezet</v>
      </c>
      <c r="N2352" s="322" t="str">
        <f>VLOOKUP(F2352,PAR!$R$3:$S$5,2,FALSE)</f>
        <v>3 - egyik sem</v>
      </c>
      <c r="O2352" t="str">
        <f>IFERROR(VLOOKUP(J2352,PAR!$O$3:$P$5,2,FALSE),"nincs feladat")</f>
        <v>nincs feladat</v>
      </c>
      <c r="P2352" t="str">
        <f>IFERROR(VLOOKUP(G2352,PAR!$J$2:$M$19,4),"nincs rovat")</f>
        <v>nincs rovat</v>
      </c>
      <c r="Q2352" t="str">
        <f>IF(H2352&gt;0,VLOOKUP(H2352,PAR!$AA$3:$AC$187,3,FALSE),"nincs főkönyvi számla")</f>
        <v>nincs főkönyvi számla</v>
      </c>
      <c r="R2352" t="str">
        <f>IFERROR(VLOOKUP(K2352,PAR!$V$3:$X$438,3,FALSE),"000000 - Nincs COFOG")</f>
        <v>000000 - Nincs COFOG</v>
      </c>
      <c r="S2352">
        <f t="shared" si="696"/>
        <v>0</v>
      </c>
      <c r="T2352">
        <f t="shared" si="697"/>
        <v>0</v>
      </c>
      <c r="U2352" t="str">
        <f>IF('906MP'!J2052&gt;0,CONCATENATE('906MP'!J2052," - ",'906MP'!P2052,", ",'906MP'!E2052),"nincs megjegyzés")</f>
        <v>nincs megjegyzés</v>
      </c>
      <c r="V2352" t="str">
        <f t="shared" si="684"/>
        <v>0P0</v>
      </c>
      <c r="W2352" t="str">
        <f t="shared" si="685"/>
        <v>0P0</v>
      </c>
      <c r="X2352" t="str">
        <f t="shared" si="686"/>
        <v>P0</v>
      </c>
      <c r="Y2352" t="str">
        <f t="shared" si="687"/>
        <v>00</v>
      </c>
      <c r="Z2352" t="str">
        <f t="shared" si="698"/>
        <v>00</v>
      </c>
      <c r="AA2352" t="str">
        <f t="shared" si="688"/>
        <v>00</v>
      </c>
      <c r="AB2352" t="str">
        <f t="shared" si="689"/>
        <v>00</v>
      </c>
      <c r="AC2352" t="str">
        <f t="shared" si="690"/>
        <v>0P0</v>
      </c>
      <c r="AD2352" t="str">
        <f t="shared" si="691"/>
        <v>P00</v>
      </c>
      <c r="AE2352" t="str">
        <f t="shared" si="692"/>
        <v>0P0</v>
      </c>
      <c r="AF2352" t="str">
        <f t="shared" si="693"/>
        <v>P00</v>
      </c>
      <c r="AG2352" t="str">
        <f t="shared" si="699"/>
        <v>0P00</v>
      </c>
      <c r="AH2352" t="str">
        <f t="shared" si="700"/>
        <v>P000</v>
      </c>
      <c r="AI2352" t="str">
        <f t="shared" si="701"/>
        <v>0P00</v>
      </c>
      <c r="AJ2352" t="str">
        <f t="shared" si="702"/>
        <v>P000</v>
      </c>
    </row>
    <row r="2353" spans="1:36" x14ac:dyDescent="0.25">
      <c r="A2353" s="325" t="str">
        <f>CONCATENATE("P",'906MP'!M2053)</f>
        <v>P</v>
      </c>
      <c r="B2353">
        <f>'906MP'!H2053</f>
        <v>0</v>
      </c>
      <c r="C2353">
        <f>'906MP'!J2053</f>
        <v>0</v>
      </c>
      <c r="D2353">
        <f>'906MP'!P2053</f>
        <v>0</v>
      </c>
      <c r="E2353">
        <f>'906MP'!X2053</f>
        <v>0</v>
      </c>
      <c r="F2353" t="str">
        <f t="shared" si="694"/>
        <v>0</v>
      </c>
      <c r="G2353" t="str">
        <f t="shared" si="695"/>
        <v>0</v>
      </c>
      <c r="H2353">
        <f>'906MP'!Y2053</f>
        <v>0</v>
      </c>
      <c r="I2353">
        <f>'906MP'!AK2053</f>
        <v>0</v>
      </c>
      <c r="J2353">
        <f>'906MP'!T2053</f>
        <v>0</v>
      </c>
      <c r="K2353">
        <f>'906MP'!AJ2053</f>
        <v>0</v>
      </c>
      <c r="L2353">
        <f>'906MP'!U2053</f>
        <v>0</v>
      </c>
      <c r="M2353" s="322" t="str">
        <f>IFERROR(VLOOKUP(A2353,PAR!$D$3:$E$53,2,FALSE),"nincs szervezet")</f>
        <v>nincs szervezet</v>
      </c>
      <c r="N2353" s="322" t="str">
        <f>VLOOKUP(F2353,PAR!$R$3:$S$5,2,FALSE)</f>
        <v>3 - egyik sem</v>
      </c>
      <c r="O2353" t="str">
        <f>IFERROR(VLOOKUP(J2353,PAR!$O$3:$P$5,2,FALSE),"nincs feladat")</f>
        <v>nincs feladat</v>
      </c>
      <c r="P2353" t="str">
        <f>IFERROR(VLOOKUP(G2353,PAR!$J$2:$M$19,4),"nincs rovat")</f>
        <v>nincs rovat</v>
      </c>
      <c r="Q2353" t="str">
        <f>IF(H2353&gt;0,VLOOKUP(H2353,PAR!$AA$3:$AC$187,3,FALSE),"nincs főkönyvi számla")</f>
        <v>nincs főkönyvi számla</v>
      </c>
      <c r="R2353" t="str">
        <f>IFERROR(VLOOKUP(K2353,PAR!$V$3:$X$438,3,FALSE),"000000 - Nincs COFOG")</f>
        <v>000000 - Nincs COFOG</v>
      </c>
      <c r="S2353">
        <f t="shared" si="696"/>
        <v>0</v>
      </c>
      <c r="T2353">
        <f t="shared" si="697"/>
        <v>0</v>
      </c>
      <c r="U2353" t="str">
        <f>IF('906MP'!J2053&gt;0,CONCATENATE('906MP'!J2053," - ",'906MP'!P2053,", ",'906MP'!E2053),"nincs megjegyzés")</f>
        <v>nincs megjegyzés</v>
      </c>
      <c r="V2353" t="str">
        <f t="shared" si="684"/>
        <v>0P0</v>
      </c>
      <c r="W2353" t="str">
        <f t="shared" si="685"/>
        <v>0P0</v>
      </c>
      <c r="X2353" t="str">
        <f t="shared" si="686"/>
        <v>P0</v>
      </c>
      <c r="Y2353" t="str">
        <f t="shared" si="687"/>
        <v>00</v>
      </c>
      <c r="Z2353" t="str">
        <f t="shared" si="698"/>
        <v>00</v>
      </c>
      <c r="AA2353" t="str">
        <f t="shared" si="688"/>
        <v>00</v>
      </c>
      <c r="AB2353" t="str">
        <f t="shared" si="689"/>
        <v>00</v>
      </c>
      <c r="AC2353" t="str">
        <f t="shared" si="690"/>
        <v>0P0</v>
      </c>
      <c r="AD2353" t="str">
        <f t="shared" si="691"/>
        <v>P00</v>
      </c>
      <c r="AE2353" t="str">
        <f t="shared" si="692"/>
        <v>0P0</v>
      </c>
      <c r="AF2353" t="str">
        <f t="shared" si="693"/>
        <v>P00</v>
      </c>
      <c r="AG2353" t="str">
        <f t="shared" si="699"/>
        <v>0P00</v>
      </c>
      <c r="AH2353" t="str">
        <f t="shared" si="700"/>
        <v>P000</v>
      </c>
      <c r="AI2353" t="str">
        <f t="shared" si="701"/>
        <v>0P00</v>
      </c>
      <c r="AJ2353" t="str">
        <f t="shared" si="702"/>
        <v>P000</v>
      </c>
    </row>
    <row r="2354" spans="1:36" x14ac:dyDescent="0.25">
      <c r="A2354" s="325" t="str">
        <f>CONCATENATE("P",'906MP'!M2054)</f>
        <v>P</v>
      </c>
      <c r="B2354">
        <f>'906MP'!H2054</f>
        <v>0</v>
      </c>
      <c r="C2354">
        <f>'906MP'!J2054</f>
        <v>0</v>
      </c>
      <c r="D2354">
        <f>'906MP'!P2054</f>
        <v>0</v>
      </c>
      <c r="E2354">
        <f>'906MP'!X2054</f>
        <v>0</v>
      </c>
      <c r="F2354" t="str">
        <f t="shared" si="694"/>
        <v>0</v>
      </c>
      <c r="G2354" t="str">
        <f t="shared" si="695"/>
        <v>0</v>
      </c>
      <c r="H2354">
        <f>'906MP'!Y2054</f>
        <v>0</v>
      </c>
      <c r="I2354">
        <f>'906MP'!AK2054</f>
        <v>0</v>
      </c>
      <c r="J2354">
        <f>'906MP'!T2054</f>
        <v>0</v>
      </c>
      <c r="K2354">
        <f>'906MP'!AJ2054</f>
        <v>0</v>
      </c>
      <c r="L2354">
        <f>'906MP'!U2054</f>
        <v>0</v>
      </c>
      <c r="M2354" s="322" t="str">
        <f>IFERROR(VLOOKUP(A2354,PAR!$D$3:$E$53,2,FALSE),"nincs szervezet")</f>
        <v>nincs szervezet</v>
      </c>
      <c r="N2354" s="322" t="str">
        <f>VLOOKUP(F2354,PAR!$R$3:$S$5,2,FALSE)</f>
        <v>3 - egyik sem</v>
      </c>
      <c r="O2354" t="str">
        <f>IFERROR(VLOOKUP(J2354,PAR!$O$3:$P$5,2,FALSE),"nincs feladat")</f>
        <v>nincs feladat</v>
      </c>
      <c r="P2354" t="str">
        <f>IFERROR(VLOOKUP(G2354,PAR!$J$2:$M$19,4),"nincs rovat")</f>
        <v>nincs rovat</v>
      </c>
      <c r="Q2354" t="str">
        <f>IF(H2354&gt;0,VLOOKUP(H2354,PAR!$AA$3:$AC$187,3,FALSE),"nincs főkönyvi számla")</f>
        <v>nincs főkönyvi számla</v>
      </c>
      <c r="R2354" t="str">
        <f>IFERROR(VLOOKUP(K2354,PAR!$V$3:$X$438,3,FALSE),"000000 - Nincs COFOG")</f>
        <v>000000 - Nincs COFOG</v>
      </c>
      <c r="S2354">
        <f t="shared" si="696"/>
        <v>0</v>
      </c>
      <c r="T2354">
        <f t="shared" si="697"/>
        <v>0</v>
      </c>
      <c r="U2354" t="str">
        <f>IF('906MP'!J2054&gt;0,CONCATENATE('906MP'!J2054," - ",'906MP'!P2054,", ",'906MP'!E2054),"nincs megjegyzés")</f>
        <v>nincs megjegyzés</v>
      </c>
      <c r="V2354" t="str">
        <f t="shared" si="684"/>
        <v>0P0</v>
      </c>
      <c r="W2354" t="str">
        <f t="shared" si="685"/>
        <v>0P0</v>
      </c>
      <c r="X2354" t="str">
        <f t="shared" si="686"/>
        <v>P0</v>
      </c>
      <c r="Y2354" t="str">
        <f t="shared" si="687"/>
        <v>00</v>
      </c>
      <c r="Z2354" t="str">
        <f t="shared" si="698"/>
        <v>00</v>
      </c>
      <c r="AA2354" t="str">
        <f t="shared" si="688"/>
        <v>00</v>
      </c>
      <c r="AB2354" t="str">
        <f t="shared" si="689"/>
        <v>00</v>
      </c>
      <c r="AC2354" t="str">
        <f t="shared" si="690"/>
        <v>0P0</v>
      </c>
      <c r="AD2354" t="str">
        <f t="shared" si="691"/>
        <v>P00</v>
      </c>
      <c r="AE2354" t="str">
        <f t="shared" si="692"/>
        <v>0P0</v>
      </c>
      <c r="AF2354" t="str">
        <f t="shared" si="693"/>
        <v>P00</v>
      </c>
      <c r="AG2354" t="str">
        <f t="shared" si="699"/>
        <v>0P00</v>
      </c>
      <c r="AH2354" t="str">
        <f t="shared" si="700"/>
        <v>P000</v>
      </c>
      <c r="AI2354" t="str">
        <f t="shared" si="701"/>
        <v>0P00</v>
      </c>
      <c r="AJ2354" t="str">
        <f t="shared" si="702"/>
        <v>P000</v>
      </c>
    </row>
    <row r="2355" spans="1:36" x14ac:dyDescent="0.25">
      <c r="A2355" s="325" t="str">
        <f>CONCATENATE("P",'906MP'!M2055)</f>
        <v>P</v>
      </c>
      <c r="B2355">
        <f>'906MP'!H2055</f>
        <v>0</v>
      </c>
      <c r="C2355">
        <f>'906MP'!J2055</f>
        <v>0</v>
      </c>
      <c r="D2355">
        <f>'906MP'!P2055</f>
        <v>0</v>
      </c>
      <c r="E2355">
        <f>'906MP'!X2055</f>
        <v>0</v>
      </c>
      <c r="F2355" t="str">
        <f t="shared" si="694"/>
        <v>0</v>
      </c>
      <c r="G2355" t="str">
        <f t="shared" si="695"/>
        <v>0</v>
      </c>
      <c r="H2355">
        <f>'906MP'!Y2055</f>
        <v>0</v>
      </c>
      <c r="I2355">
        <f>'906MP'!AK2055</f>
        <v>0</v>
      </c>
      <c r="J2355">
        <f>'906MP'!T2055</f>
        <v>0</v>
      </c>
      <c r="K2355">
        <f>'906MP'!AJ2055</f>
        <v>0</v>
      </c>
      <c r="L2355">
        <f>'906MP'!U2055</f>
        <v>0</v>
      </c>
      <c r="M2355" s="322" t="str">
        <f>IFERROR(VLOOKUP(A2355,PAR!$D$3:$E$53,2,FALSE),"nincs szervezet")</f>
        <v>nincs szervezet</v>
      </c>
      <c r="N2355" s="322" t="str">
        <f>VLOOKUP(F2355,PAR!$R$3:$S$5,2,FALSE)</f>
        <v>3 - egyik sem</v>
      </c>
      <c r="O2355" t="str">
        <f>IFERROR(VLOOKUP(J2355,PAR!$O$3:$P$5,2,FALSE),"nincs feladat")</f>
        <v>nincs feladat</v>
      </c>
      <c r="P2355" t="str">
        <f>IFERROR(VLOOKUP(G2355,PAR!$J$2:$M$19,4),"nincs rovat")</f>
        <v>nincs rovat</v>
      </c>
      <c r="Q2355" t="str">
        <f>IF(H2355&gt;0,VLOOKUP(H2355,PAR!$AA$3:$AC$187,3,FALSE),"nincs főkönyvi számla")</f>
        <v>nincs főkönyvi számla</v>
      </c>
      <c r="R2355" t="str">
        <f>IFERROR(VLOOKUP(K2355,PAR!$V$3:$X$438,3,FALSE),"000000 - Nincs COFOG")</f>
        <v>000000 - Nincs COFOG</v>
      </c>
      <c r="S2355">
        <f t="shared" si="696"/>
        <v>0</v>
      </c>
      <c r="T2355">
        <f t="shared" si="697"/>
        <v>0</v>
      </c>
      <c r="U2355" t="str">
        <f>IF('906MP'!J2055&gt;0,CONCATENATE('906MP'!J2055," - ",'906MP'!P2055,", ",'906MP'!E2055),"nincs megjegyzés")</f>
        <v>nincs megjegyzés</v>
      </c>
      <c r="V2355" t="str">
        <f t="shared" si="684"/>
        <v>0P0</v>
      </c>
      <c r="W2355" t="str">
        <f t="shared" si="685"/>
        <v>0P0</v>
      </c>
      <c r="X2355" t="str">
        <f t="shared" si="686"/>
        <v>P0</v>
      </c>
      <c r="Y2355" t="str">
        <f t="shared" si="687"/>
        <v>00</v>
      </c>
      <c r="Z2355" t="str">
        <f t="shared" si="698"/>
        <v>00</v>
      </c>
      <c r="AA2355" t="str">
        <f t="shared" si="688"/>
        <v>00</v>
      </c>
      <c r="AB2355" t="str">
        <f t="shared" si="689"/>
        <v>00</v>
      </c>
      <c r="AC2355" t="str">
        <f t="shared" si="690"/>
        <v>0P0</v>
      </c>
      <c r="AD2355" t="str">
        <f t="shared" si="691"/>
        <v>P00</v>
      </c>
      <c r="AE2355" t="str">
        <f t="shared" si="692"/>
        <v>0P0</v>
      </c>
      <c r="AF2355" t="str">
        <f t="shared" si="693"/>
        <v>P00</v>
      </c>
      <c r="AG2355" t="str">
        <f t="shared" si="699"/>
        <v>0P00</v>
      </c>
      <c r="AH2355" t="str">
        <f t="shared" si="700"/>
        <v>P000</v>
      </c>
      <c r="AI2355" t="str">
        <f t="shared" si="701"/>
        <v>0P00</v>
      </c>
      <c r="AJ2355" t="str">
        <f t="shared" si="702"/>
        <v>P000</v>
      </c>
    </row>
    <row r="2356" spans="1:36" x14ac:dyDescent="0.25">
      <c r="A2356" s="325" t="str">
        <f>CONCATENATE("P",'906MP'!M2056)</f>
        <v>P</v>
      </c>
      <c r="B2356">
        <f>'906MP'!H2056</f>
        <v>0</v>
      </c>
      <c r="C2356">
        <f>'906MP'!J2056</f>
        <v>0</v>
      </c>
      <c r="D2356">
        <f>'906MP'!P2056</f>
        <v>0</v>
      </c>
      <c r="E2356">
        <f>'906MP'!X2056</f>
        <v>0</v>
      </c>
      <c r="F2356" t="str">
        <f t="shared" si="694"/>
        <v>0</v>
      </c>
      <c r="G2356" t="str">
        <f t="shared" si="695"/>
        <v>0</v>
      </c>
      <c r="H2356">
        <f>'906MP'!Y2056</f>
        <v>0</v>
      </c>
      <c r="I2356">
        <f>'906MP'!AK2056</f>
        <v>0</v>
      </c>
      <c r="J2356">
        <f>'906MP'!T2056</f>
        <v>0</v>
      </c>
      <c r="K2356">
        <f>'906MP'!AJ2056</f>
        <v>0</v>
      </c>
      <c r="L2356">
        <f>'906MP'!U2056</f>
        <v>0</v>
      </c>
      <c r="M2356" s="322" t="str">
        <f>IFERROR(VLOOKUP(A2356,PAR!$D$3:$E$53,2,FALSE),"nincs szervezet")</f>
        <v>nincs szervezet</v>
      </c>
      <c r="N2356" s="322" t="str">
        <f>VLOOKUP(F2356,PAR!$R$3:$S$5,2,FALSE)</f>
        <v>3 - egyik sem</v>
      </c>
      <c r="O2356" t="str">
        <f>IFERROR(VLOOKUP(J2356,PAR!$O$3:$P$5,2,FALSE),"nincs feladat")</f>
        <v>nincs feladat</v>
      </c>
      <c r="P2356" t="str">
        <f>IFERROR(VLOOKUP(G2356,PAR!$J$2:$M$19,4),"nincs rovat")</f>
        <v>nincs rovat</v>
      </c>
      <c r="Q2356" t="str">
        <f>IF(H2356&gt;0,VLOOKUP(H2356,PAR!$AA$3:$AC$187,3,FALSE),"nincs főkönyvi számla")</f>
        <v>nincs főkönyvi számla</v>
      </c>
      <c r="R2356" t="str">
        <f>IFERROR(VLOOKUP(K2356,PAR!$V$3:$X$438,3,FALSE),"000000 - Nincs COFOG")</f>
        <v>000000 - Nincs COFOG</v>
      </c>
      <c r="S2356">
        <f t="shared" si="696"/>
        <v>0</v>
      </c>
      <c r="T2356">
        <f t="shared" si="697"/>
        <v>0</v>
      </c>
      <c r="U2356" t="str">
        <f>IF('906MP'!J2056&gt;0,CONCATENATE('906MP'!J2056," - ",'906MP'!P2056,", ",'906MP'!E2056),"nincs megjegyzés")</f>
        <v>nincs megjegyzés</v>
      </c>
      <c r="V2356" t="str">
        <f t="shared" si="684"/>
        <v>0P0</v>
      </c>
      <c r="W2356" t="str">
        <f t="shared" si="685"/>
        <v>0P0</v>
      </c>
      <c r="X2356" t="str">
        <f t="shared" si="686"/>
        <v>P0</v>
      </c>
      <c r="Y2356" t="str">
        <f t="shared" si="687"/>
        <v>00</v>
      </c>
      <c r="Z2356" t="str">
        <f t="shared" si="698"/>
        <v>00</v>
      </c>
      <c r="AA2356" t="str">
        <f t="shared" si="688"/>
        <v>00</v>
      </c>
      <c r="AB2356" t="str">
        <f t="shared" si="689"/>
        <v>00</v>
      </c>
      <c r="AC2356" t="str">
        <f t="shared" si="690"/>
        <v>0P0</v>
      </c>
      <c r="AD2356" t="str">
        <f t="shared" si="691"/>
        <v>P00</v>
      </c>
      <c r="AE2356" t="str">
        <f t="shared" si="692"/>
        <v>0P0</v>
      </c>
      <c r="AF2356" t="str">
        <f t="shared" si="693"/>
        <v>P00</v>
      </c>
      <c r="AG2356" t="str">
        <f t="shared" si="699"/>
        <v>0P00</v>
      </c>
      <c r="AH2356" t="str">
        <f t="shared" si="700"/>
        <v>P000</v>
      </c>
      <c r="AI2356" t="str">
        <f t="shared" si="701"/>
        <v>0P00</v>
      </c>
      <c r="AJ2356" t="str">
        <f t="shared" si="702"/>
        <v>P000</v>
      </c>
    </row>
    <row r="2357" spans="1:36" x14ac:dyDescent="0.25">
      <c r="A2357" s="325" t="str">
        <f>CONCATENATE("P",'906MP'!M2057)</f>
        <v>P</v>
      </c>
      <c r="B2357">
        <f>'906MP'!H2057</f>
        <v>0</v>
      </c>
      <c r="C2357">
        <f>'906MP'!J2057</f>
        <v>0</v>
      </c>
      <c r="D2357">
        <f>'906MP'!P2057</f>
        <v>0</v>
      </c>
      <c r="E2357">
        <f>'906MP'!X2057</f>
        <v>0</v>
      </c>
      <c r="F2357" t="str">
        <f t="shared" si="694"/>
        <v>0</v>
      </c>
      <c r="G2357" t="str">
        <f t="shared" si="695"/>
        <v>0</v>
      </c>
      <c r="H2357">
        <f>'906MP'!Y2057</f>
        <v>0</v>
      </c>
      <c r="I2357">
        <f>'906MP'!AK2057</f>
        <v>0</v>
      </c>
      <c r="J2357">
        <f>'906MP'!T2057</f>
        <v>0</v>
      </c>
      <c r="K2357">
        <f>'906MP'!AJ2057</f>
        <v>0</v>
      </c>
      <c r="L2357">
        <f>'906MP'!U2057</f>
        <v>0</v>
      </c>
      <c r="M2357" s="322" t="str">
        <f>IFERROR(VLOOKUP(A2357,PAR!$D$3:$E$53,2,FALSE),"nincs szervezet")</f>
        <v>nincs szervezet</v>
      </c>
      <c r="N2357" s="322" t="str">
        <f>VLOOKUP(F2357,PAR!$R$3:$S$5,2,FALSE)</f>
        <v>3 - egyik sem</v>
      </c>
      <c r="O2357" t="str">
        <f>IFERROR(VLOOKUP(J2357,PAR!$O$3:$P$5,2,FALSE),"nincs feladat")</f>
        <v>nincs feladat</v>
      </c>
      <c r="P2357" t="str">
        <f>IFERROR(VLOOKUP(G2357,PAR!$J$2:$M$19,4),"nincs rovat")</f>
        <v>nincs rovat</v>
      </c>
      <c r="Q2357" t="str">
        <f>IF(H2357&gt;0,VLOOKUP(H2357,PAR!$AA$3:$AC$187,3,FALSE),"nincs főkönyvi számla")</f>
        <v>nincs főkönyvi számla</v>
      </c>
      <c r="R2357" t="str">
        <f>IFERROR(VLOOKUP(K2357,PAR!$V$3:$X$438,3,FALSE),"000000 - Nincs COFOG")</f>
        <v>000000 - Nincs COFOG</v>
      </c>
      <c r="S2357">
        <f t="shared" si="696"/>
        <v>0</v>
      </c>
      <c r="T2357">
        <f t="shared" si="697"/>
        <v>0</v>
      </c>
      <c r="U2357" t="str">
        <f>IF('906MP'!J2057&gt;0,CONCATENATE('906MP'!J2057," - ",'906MP'!P2057,", ",'906MP'!E2057),"nincs megjegyzés")</f>
        <v>nincs megjegyzés</v>
      </c>
      <c r="V2357" t="str">
        <f t="shared" si="684"/>
        <v>0P0</v>
      </c>
      <c r="W2357" t="str">
        <f t="shared" si="685"/>
        <v>0P0</v>
      </c>
      <c r="X2357" t="str">
        <f t="shared" si="686"/>
        <v>P0</v>
      </c>
      <c r="Y2357" t="str">
        <f t="shared" si="687"/>
        <v>00</v>
      </c>
      <c r="Z2357" t="str">
        <f t="shared" si="698"/>
        <v>00</v>
      </c>
      <c r="AA2357" t="str">
        <f t="shared" si="688"/>
        <v>00</v>
      </c>
      <c r="AB2357" t="str">
        <f t="shared" si="689"/>
        <v>00</v>
      </c>
      <c r="AC2357" t="str">
        <f t="shared" si="690"/>
        <v>0P0</v>
      </c>
      <c r="AD2357" t="str">
        <f t="shared" si="691"/>
        <v>P00</v>
      </c>
      <c r="AE2357" t="str">
        <f t="shared" si="692"/>
        <v>0P0</v>
      </c>
      <c r="AF2357" t="str">
        <f t="shared" si="693"/>
        <v>P00</v>
      </c>
      <c r="AG2357" t="str">
        <f t="shared" si="699"/>
        <v>0P00</v>
      </c>
      <c r="AH2357" t="str">
        <f t="shared" si="700"/>
        <v>P000</v>
      </c>
      <c r="AI2357" t="str">
        <f t="shared" si="701"/>
        <v>0P00</v>
      </c>
      <c r="AJ2357" t="str">
        <f t="shared" si="702"/>
        <v>P000</v>
      </c>
    </row>
    <row r="2358" spans="1:36" x14ac:dyDescent="0.25">
      <c r="A2358" s="325" t="str">
        <f>CONCATENATE("P",'906MP'!M2058)</f>
        <v>P</v>
      </c>
      <c r="B2358">
        <f>'906MP'!H2058</f>
        <v>0</v>
      </c>
      <c r="C2358">
        <f>'906MP'!J2058</f>
        <v>0</v>
      </c>
      <c r="D2358">
        <f>'906MP'!P2058</f>
        <v>0</v>
      </c>
      <c r="E2358">
        <f>'906MP'!X2058</f>
        <v>0</v>
      </c>
      <c r="F2358" t="str">
        <f t="shared" si="694"/>
        <v>0</v>
      </c>
      <c r="G2358" t="str">
        <f t="shared" si="695"/>
        <v>0</v>
      </c>
      <c r="H2358">
        <f>'906MP'!Y2058</f>
        <v>0</v>
      </c>
      <c r="I2358">
        <f>'906MP'!AK2058</f>
        <v>0</v>
      </c>
      <c r="J2358">
        <f>'906MP'!T2058</f>
        <v>0</v>
      </c>
      <c r="K2358">
        <f>'906MP'!AJ2058</f>
        <v>0</v>
      </c>
      <c r="L2358">
        <f>'906MP'!U2058</f>
        <v>0</v>
      </c>
      <c r="M2358" s="322" t="str">
        <f>IFERROR(VLOOKUP(A2358,PAR!$D$3:$E$53,2,FALSE),"nincs szervezet")</f>
        <v>nincs szervezet</v>
      </c>
      <c r="N2358" s="322" t="str">
        <f>VLOOKUP(F2358,PAR!$R$3:$S$5,2,FALSE)</f>
        <v>3 - egyik sem</v>
      </c>
      <c r="O2358" t="str">
        <f>IFERROR(VLOOKUP(J2358,PAR!$O$3:$P$5,2,FALSE),"nincs feladat")</f>
        <v>nincs feladat</v>
      </c>
      <c r="P2358" t="str">
        <f>IFERROR(VLOOKUP(G2358,PAR!$J$2:$M$19,4),"nincs rovat")</f>
        <v>nincs rovat</v>
      </c>
      <c r="Q2358" t="str">
        <f>IF(H2358&gt;0,VLOOKUP(H2358,PAR!$AA$3:$AC$187,3,FALSE),"nincs főkönyvi számla")</f>
        <v>nincs főkönyvi számla</v>
      </c>
      <c r="R2358" t="str">
        <f>IFERROR(VLOOKUP(K2358,PAR!$V$3:$X$438,3,FALSE),"000000 - Nincs COFOG")</f>
        <v>000000 - Nincs COFOG</v>
      </c>
      <c r="S2358">
        <f t="shared" si="696"/>
        <v>0</v>
      </c>
      <c r="T2358">
        <f t="shared" si="697"/>
        <v>0</v>
      </c>
      <c r="U2358" t="str">
        <f>IF('906MP'!J2058&gt;0,CONCATENATE('906MP'!J2058," - ",'906MP'!P2058,", ",'906MP'!E2058),"nincs megjegyzés")</f>
        <v>nincs megjegyzés</v>
      </c>
      <c r="V2358" t="str">
        <f t="shared" si="684"/>
        <v>0P0</v>
      </c>
      <c r="W2358" t="str">
        <f t="shared" si="685"/>
        <v>0P0</v>
      </c>
      <c r="X2358" t="str">
        <f t="shared" si="686"/>
        <v>P0</v>
      </c>
      <c r="Y2358" t="str">
        <f t="shared" si="687"/>
        <v>00</v>
      </c>
      <c r="Z2358" t="str">
        <f t="shared" si="698"/>
        <v>00</v>
      </c>
      <c r="AA2358" t="str">
        <f t="shared" si="688"/>
        <v>00</v>
      </c>
      <c r="AB2358" t="str">
        <f t="shared" si="689"/>
        <v>00</v>
      </c>
      <c r="AC2358" t="str">
        <f t="shared" si="690"/>
        <v>0P0</v>
      </c>
      <c r="AD2358" t="str">
        <f t="shared" si="691"/>
        <v>P00</v>
      </c>
      <c r="AE2358" t="str">
        <f t="shared" si="692"/>
        <v>0P0</v>
      </c>
      <c r="AF2358" t="str">
        <f t="shared" si="693"/>
        <v>P00</v>
      </c>
      <c r="AG2358" t="str">
        <f t="shared" si="699"/>
        <v>0P00</v>
      </c>
      <c r="AH2358" t="str">
        <f t="shared" si="700"/>
        <v>P000</v>
      </c>
      <c r="AI2358" t="str">
        <f t="shared" si="701"/>
        <v>0P00</v>
      </c>
      <c r="AJ2358" t="str">
        <f t="shared" si="702"/>
        <v>P000</v>
      </c>
    </row>
    <row r="2359" spans="1:36" x14ac:dyDescent="0.25">
      <c r="A2359" s="325" t="str">
        <f>CONCATENATE("P",'906MP'!M2059)</f>
        <v>P</v>
      </c>
      <c r="B2359">
        <f>'906MP'!H2059</f>
        <v>0</v>
      </c>
      <c r="C2359">
        <f>'906MP'!J2059</f>
        <v>0</v>
      </c>
      <c r="D2359">
        <f>'906MP'!P2059</f>
        <v>0</v>
      </c>
      <c r="E2359">
        <f>'906MP'!X2059</f>
        <v>0</v>
      </c>
      <c r="F2359" t="str">
        <f t="shared" si="694"/>
        <v>0</v>
      </c>
      <c r="G2359" t="str">
        <f t="shared" si="695"/>
        <v>0</v>
      </c>
      <c r="H2359">
        <f>'906MP'!Y2059</f>
        <v>0</v>
      </c>
      <c r="I2359">
        <f>'906MP'!AK2059</f>
        <v>0</v>
      </c>
      <c r="J2359">
        <f>'906MP'!T2059</f>
        <v>0</v>
      </c>
      <c r="K2359">
        <f>'906MP'!AJ2059</f>
        <v>0</v>
      </c>
      <c r="L2359">
        <f>'906MP'!U2059</f>
        <v>0</v>
      </c>
      <c r="M2359" s="322" t="str">
        <f>IFERROR(VLOOKUP(A2359,PAR!$D$3:$E$53,2,FALSE),"nincs szervezet")</f>
        <v>nincs szervezet</v>
      </c>
      <c r="N2359" s="322" t="str">
        <f>VLOOKUP(F2359,PAR!$R$3:$S$5,2,FALSE)</f>
        <v>3 - egyik sem</v>
      </c>
      <c r="O2359" t="str">
        <f>IFERROR(VLOOKUP(J2359,PAR!$O$3:$P$5,2,FALSE),"nincs feladat")</f>
        <v>nincs feladat</v>
      </c>
      <c r="P2359" t="str">
        <f>IFERROR(VLOOKUP(G2359,PAR!$J$2:$M$19,4),"nincs rovat")</f>
        <v>nincs rovat</v>
      </c>
      <c r="Q2359" t="str">
        <f>IF(H2359&gt;0,VLOOKUP(H2359,PAR!$AA$3:$AC$187,3,FALSE),"nincs főkönyvi számla")</f>
        <v>nincs főkönyvi számla</v>
      </c>
      <c r="R2359" t="str">
        <f>IFERROR(VLOOKUP(K2359,PAR!$V$3:$X$438,3,FALSE),"000000 - Nincs COFOG")</f>
        <v>000000 - Nincs COFOG</v>
      </c>
      <c r="S2359">
        <f t="shared" si="696"/>
        <v>0</v>
      </c>
      <c r="T2359">
        <f t="shared" si="697"/>
        <v>0</v>
      </c>
      <c r="U2359" t="str">
        <f>IF('906MP'!J2059&gt;0,CONCATENATE('906MP'!J2059," - ",'906MP'!P2059,", ",'906MP'!E2059),"nincs megjegyzés")</f>
        <v>nincs megjegyzés</v>
      </c>
      <c r="V2359" t="str">
        <f t="shared" si="684"/>
        <v>0P0</v>
      </c>
      <c r="W2359" t="str">
        <f t="shared" si="685"/>
        <v>0P0</v>
      </c>
      <c r="X2359" t="str">
        <f t="shared" si="686"/>
        <v>P0</v>
      </c>
      <c r="Y2359" t="str">
        <f t="shared" si="687"/>
        <v>00</v>
      </c>
      <c r="Z2359" t="str">
        <f t="shared" si="698"/>
        <v>00</v>
      </c>
      <c r="AA2359" t="str">
        <f t="shared" si="688"/>
        <v>00</v>
      </c>
      <c r="AB2359" t="str">
        <f t="shared" si="689"/>
        <v>00</v>
      </c>
      <c r="AC2359" t="str">
        <f t="shared" si="690"/>
        <v>0P0</v>
      </c>
      <c r="AD2359" t="str">
        <f t="shared" si="691"/>
        <v>P00</v>
      </c>
      <c r="AE2359" t="str">
        <f t="shared" si="692"/>
        <v>0P0</v>
      </c>
      <c r="AF2359" t="str">
        <f t="shared" si="693"/>
        <v>P00</v>
      </c>
      <c r="AG2359" t="str">
        <f t="shared" si="699"/>
        <v>0P00</v>
      </c>
      <c r="AH2359" t="str">
        <f t="shared" si="700"/>
        <v>P000</v>
      </c>
      <c r="AI2359" t="str">
        <f t="shared" si="701"/>
        <v>0P00</v>
      </c>
      <c r="AJ2359" t="str">
        <f t="shared" si="702"/>
        <v>P000</v>
      </c>
    </row>
    <row r="2360" spans="1:36" x14ac:dyDescent="0.25">
      <c r="A2360" s="325" t="str">
        <f>CONCATENATE("P",'906MP'!M2060)</f>
        <v>P</v>
      </c>
      <c r="B2360">
        <f>'906MP'!H2060</f>
        <v>0</v>
      </c>
      <c r="C2360">
        <f>'906MP'!J2060</f>
        <v>0</v>
      </c>
      <c r="D2360">
        <f>'906MP'!P2060</f>
        <v>0</v>
      </c>
      <c r="E2360">
        <f>'906MP'!X2060</f>
        <v>0</v>
      </c>
      <c r="F2360" t="str">
        <f t="shared" si="694"/>
        <v>0</v>
      </c>
      <c r="G2360" t="str">
        <f t="shared" si="695"/>
        <v>0</v>
      </c>
      <c r="H2360">
        <f>'906MP'!Y2060</f>
        <v>0</v>
      </c>
      <c r="I2360">
        <f>'906MP'!AK2060</f>
        <v>0</v>
      </c>
      <c r="J2360">
        <f>'906MP'!T2060</f>
        <v>0</v>
      </c>
      <c r="K2360">
        <f>'906MP'!AJ2060</f>
        <v>0</v>
      </c>
      <c r="L2360">
        <f>'906MP'!U2060</f>
        <v>0</v>
      </c>
      <c r="M2360" s="322" t="str">
        <f>IFERROR(VLOOKUP(A2360,PAR!$D$3:$E$53,2,FALSE),"nincs szervezet")</f>
        <v>nincs szervezet</v>
      </c>
      <c r="N2360" s="322" t="str">
        <f>VLOOKUP(F2360,PAR!$R$3:$S$5,2,FALSE)</f>
        <v>3 - egyik sem</v>
      </c>
      <c r="O2360" t="str">
        <f>IFERROR(VLOOKUP(J2360,PAR!$O$3:$P$5,2,FALSE),"nincs feladat")</f>
        <v>nincs feladat</v>
      </c>
      <c r="P2360" t="str">
        <f>IFERROR(VLOOKUP(G2360,PAR!$J$2:$M$19,4),"nincs rovat")</f>
        <v>nincs rovat</v>
      </c>
      <c r="Q2360" t="str">
        <f>IF(H2360&gt;0,VLOOKUP(H2360,PAR!$AA$3:$AC$187,3,FALSE),"nincs főkönyvi számla")</f>
        <v>nincs főkönyvi számla</v>
      </c>
      <c r="R2360" t="str">
        <f>IFERROR(VLOOKUP(K2360,PAR!$V$3:$X$438,3,FALSE),"000000 - Nincs COFOG")</f>
        <v>000000 - Nincs COFOG</v>
      </c>
      <c r="S2360">
        <f t="shared" si="696"/>
        <v>0</v>
      </c>
      <c r="T2360">
        <f t="shared" si="697"/>
        <v>0</v>
      </c>
      <c r="U2360" t="str">
        <f>IF('906MP'!J2060&gt;0,CONCATENATE('906MP'!J2060," - ",'906MP'!P2060,", ",'906MP'!E2060),"nincs megjegyzés")</f>
        <v>nincs megjegyzés</v>
      </c>
      <c r="V2360" t="str">
        <f t="shared" si="684"/>
        <v>0P0</v>
      </c>
      <c r="W2360" t="str">
        <f t="shared" si="685"/>
        <v>0P0</v>
      </c>
      <c r="X2360" t="str">
        <f t="shared" si="686"/>
        <v>P0</v>
      </c>
      <c r="Y2360" t="str">
        <f t="shared" si="687"/>
        <v>00</v>
      </c>
      <c r="Z2360" t="str">
        <f t="shared" si="698"/>
        <v>00</v>
      </c>
      <c r="AA2360" t="str">
        <f t="shared" si="688"/>
        <v>00</v>
      </c>
      <c r="AB2360" t="str">
        <f t="shared" si="689"/>
        <v>00</v>
      </c>
      <c r="AC2360" t="str">
        <f t="shared" si="690"/>
        <v>0P0</v>
      </c>
      <c r="AD2360" t="str">
        <f t="shared" si="691"/>
        <v>P00</v>
      </c>
      <c r="AE2360" t="str">
        <f t="shared" si="692"/>
        <v>0P0</v>
      </c>
      <c r="AF2360" t="str">
        <f t="shared" si="693"/>
        <v>P00</v>
      </c>
      <c r="AG2360" t="str">
        <f t="shared" si="699"/>
        <v>0P00</v>
      </c>
      <c r="AH2360" t="str">
        <f t="shared" si="700"/>
        <v>P000</v>
      </c>
      <c r="AI2360" t="str">
        <f t="shared" si="701"/>
        <v>0P00</v>
      </c>
      <c r="AJ2360" t="str">
        <f t="shared" si="702"/>
        <v>P000</v>
      </c>
    </row>
    <row r="2361" spans="1:36" x14ac:dyDescent="0.25">
      <c r="A2361" s="325" t="str">
        <f>CONCATENATE("P",'906MP'!M2061)</f>
        <v>P</v>
      </c>
      <c r="B2361">
        <f>'906MP'!H2061</f>
        <v>0</v>
      </c>
      <c r="C2361">
        <f>'906MP'!J2061</f>
        <v>0</v>
      </c>
      <c r="D2361">
        <f>'906MP'!P2061</f>
        <v>0</v>
      </c>
      <c r="E2361">
        <f>'906MP'!X2061</f>
        <v>0</v>
      </c>
      <c r="F2361" t="str">
        <f t="shared" si="694"/>
        <v>0</v>
      </c>
      <c r="G2361" t="str">
        <f t="shared" si="695"/>
        <v>0</v>
      </c>
      <c r="H2361">
        <f>'906MP'!Y2061</f>
        <v>0</v>
      </c>
      <c r="I2361">
        <f>'906MP'!AK2061</f>
        <v>0</v>
      </c>
      <c r="J2361">
        <f>'906MP'!T2061</f>
        <v>0</v>
      </c>
      <c r="K2361">
        <f>'906MP'!AJ2061</f>
        <v>0</v>
      </c>
      <c r="L2361">
        <f>'906MP'!U2061</f>
        <v>0</v>
      </c>
      <c r="M2361" s="322" t="str">
        <f>IFERROR(VLOOKUP(A2361,PAR!$D$3:$E$53,2,FALSE),"nincs szervezet")</f>
        <v>nincs szervezet</v>
      </c>
      <c r="N2361" s="322" t="str">
        <f>VLOOKUP(F2361,PAR!$R$3:$S$5,2,FALSE)</f>
        <v>3 - egyik sem</v>
      </c>
      <c r="O2361" t="str">
        <f>IFERROR(VLOOKUP(J2361,PAR!$O$3:$P$5,2,FALSE),"nincs feladat")</f>
        <v>nincs feladat</v>
      </c>
      <c r="P2361" t="str">
        <f>IFERROR(VLOOKUP(G2361,PAR!$J$2:$M$19,4),"nincs rovat")</f>
        <v>nincs rovat</v>
      </c>
      <c r="Q2361" t="str">
        <f>IF(H2361&gt;0,VLOOKUP(H2361,PAR!$AA$3:$AC$187,3,FALSE),"nincs főkönyvi számla")</f>
        <v>nincs főkönyvi számla</v>
      </c>
      <c r="R2361" t="str">
        <f>IFERROR(VLOOKUP(K2361,PAR!$V$3:$X$438,3,FALSE),"000000 - Nincs COFOG")</f>
        <v>000000 - Nincs COFOG</v>
      </c>
      <c r="S2361">
        <f t="shared" si="696"/>
        <v>0</v>
      </c>
      <c r="T2361">
        <f t="shared" si="697"/>
        <v>0</v>
      </c>
      <c r="U2361" t="str">
        <f>IF('906MP'!J2061&gt;0,CONCATENATE('906MP'!J2061," - ",'906MP'!P2061,", ",'906MP'!E2061),"nincs megjegyzés")</f>
        <v>nincs megjegyzés</v>
      </c>
      <c r="V2361" t="str">
        <f t="shared" si="684"/>
        <v>0P0</v>
      </c>
      <c r="W2361" t="str">
        <f t="shared" si="685"/>
        <v>0P0</v>
      </c>
      <c r="X2361" t="str">
        <f t="shared" si="686"/>
        <v>P0</v>
      </c>
      <c r="Y2361" t="str">
        <f t="shared" si="687"/>
        <v>00</v>
      </c>
      <c r="Z2361" t="str">
        <f t="shared" si="698"/>
        <v>00</v>
      </c>
      <c r="AA2361" t="str">
        <f t="shared" si="688"/>
        <v>00</v>
      </c>
      <c r="AB2361" t="str">
        <f t="shared" si="689"/>
        <v>00</v>
      </c>
      <c r="AC2361" t="str">
        <f t="shared" si="690"/>
        <v>0P0</v>
      </c>
      <c r="AD2361" t="str">
        <f t="shared" si="691"/>
        <v>P00</v>
      </c>
      <c r="AE2361" t="str">
        <f t="shared" si="692"/>
        <v>0P0</v>
      </c>
      <c r="AF2361" t="str">
        <f t="shared" si="693"/>
        <v>P00</v>
      </c>
      <c r="AG2361" t="str">
        <f t="shared" si="699"/>
        <v>0P00</v>
      </c>
      <c r="AH2361" t="str">
        <f t="shared" si="700"/>
        <v>P000</v>
      </c>
      <c r="AI2361" t="str">
        <f t="shared" si="701"/>
        <v>0P00</v>
      </c>
      <c r="AJ2361" t="str">
        <f t="shared" si="702"/>
        <v>P000</v>
      </c>
    </row>
    <row r="2362" spans="1:36" x14ac:dyDescent="0.25">
      <c r="A2362" s="325" t="str">
        <f>CONCATENATE("P",'906MP'!M2062)</f>
        <v>P</v>
      </c>
      <c r="B2362">
        <f>'906MP'!H2062</f>
        <v>0</v>
      </c>
      <c r="C2362">
        <f>'906MP'!J2062</f>
        <v>0</v>
      </c>
      <c r="D2362">
        <f>'906MP'!P2062</f>
        <v>0</v>
      </c>
      <c r="E2362">
        <f>'906MP'!X2062</f>
        <v>0</v>
      </c>
      <c r="F2362" t="str">
        <f t="shared" si="694"/>
        <v>0</v>
      </c>
      <c r="G2362" t="str">
        <f t="shared" si="695"/>
        <v>0</v>
      </c>
      <c r="H2362">
        <f>'906MP'!Y2062</f>
        <v>0</v>
      </c>
      <c r="I2362">
        <f>'906MP'!AK2062</f>
        <v>0</v>
      </c>
      <c r="J2362">
        <f>'906MP'!T2062</f>
        <v>0</v>
      </c>
      <c r="K2362">
        <f>'906MP'!AJ2062</f>
        <v>0</v>
      </c>
      <c r="L2362">
        <f>'906MP'!U2062</f>
        <v>0</v>
      </c>
      <c r="M2362" s="322" t="str">
        <f>IFERROR(VLOOKUP(A2362,PAR!$D$3:$E$53,2,FALSE),"nincs szervezet")</f>
        <v>nincs szervezet</v>
      </c>
      <c r="N2362" s="322" t="str">
        <f>VLOOKUP(F2362,PAR!$R$3:$S$5,2,FALSE)</f>
        <v>3 - egyik sem</v>
      </c>
      <c r="O2362" t="str">
        <f>IFERROR(VLOOKUP(J2362,PAR!$O$3:$P$5,2,FALSE),"nincs feladat")</f>
        <v>nincs feladat</v>
      </c>
      <c r="P2362" t="str">
        <f>IFERROR(VLOOKUP(G2362,PAR!$J$2:$M$19,4),"nincs rovat")</f>
        <v>nincs rovat</v>
      </c>
      <c r="Q2362" t="str">
        <f>IF(H2362&gt;0,VLOOKUP(H2362,PAR!$AA$3:$AC$187,3,FALSE),"nincs főkönyvi számla")</f>
        <v>nincs főkönyvi számla</v>
      </c>
      <c r="R2362" t="str">
        <f>IFERROR(VLOOKUP(K2362,PAR!$V$3:$X$438,3,FALSE),"000000 - Nincs COFOG")</f>
        <v>000000 - Nincs COFOG</v>
      </c>
      <c r="S2362">
        <f t="shared" si="696"/>
        <v>0</v>
      </c>
      <c r="T2362">
        <f t="shared" si="697"/>
        <v>0</v>
      </c>
      <c r="U2362" t="str">
        <f>IF('906MP'!J2062&gt;0,CONCATENATE('906MP'!J2062," - ",'906MP'!P2062,", ",'906MP'!E2062),"nincs megjegyzés")</f>
        <v>nincs megjegyzés</v>
      </c>
      <c r="V2362" t="str">
        <f t="shared" si="684"/>
        <v>0P0</v>
      </c>
      <c r="W2362" t="str">
        <f t="shared" si="685"/>
        <v>0P0</v>
      </c>
      <c r="X2362" t="str">
        <f t="shared" si="686"/>
        <v>P0</v>
      </c>
      <c r="Y2362" t="str">
        <f t="shared" si="687"/>
        <v>00</v>
      </c>
      <c r="Z2362" t="str">
        <f t="shared" si="698"/>
        <v>00</v>
      </c>
      <c r="AA2362" t="str">
        <f t="shared" si="688"/>
        <v>00</v>
      </c>
      <c r="AB2362" t="str">
        <f t="shared" si="689"/>
        <v>00</v>
      </c>
      <c r="AC2362" t="str">
        <f t="shared" si="690"/>
        <v>0P0</v>
      </c>
      <c r="AD2362" t="str">
        <f t="shared" si="691"/>
        <v>P00</v>
      </c>
      <c r="AE2362" t="str">
        <f t="shared" si="692"/>
        <v>0P0</v>
      </c>
      <c r="AF2362" t="str">
        <f t="shared" si="693"/>
        <v>P00</v>
      </c>
      <c r="AG2362" t="str">
        <f t="shared" si="699"/>
        <v>0P00</v>
      </c>
      <c r="AH2362" t="str">
        <f t="shared" si="700"/>
        <v>P000</v>
      </c>
      <c r="AI2362" t="str">
        <f t="shared" si="701"/>
        <v>0P00</v>
      </c>
      <c r="AJ2362" t="str">
        <f t="shared" si="702"/>
        <v>P000</v>
      </c>
    </row>
    <row r="2363" spans="1:36" x14ac:dyDescent="0.25">
      <c r="A2363" s="325" t="str">
        <f>CONCATENATE("P",'906MP'!M2063)</f>
        <v>P</v>
      </c>
      <c r="B2363">
        <f>'906MP'!H2063</f>
        <v>0</v>
      </c>
      <c r="C2363">
        <f>'906MP'!J2063</f>
        <v>0</v>
      </c>
      <c r="D2363">
        <f>'906MP'!P2063</f>
        <v>0</v>
      </c>
      <c r="E2363">
        <f>'906MP'!X2063</f>
        <v>0</v>
      </c>
      <c r="F2363" t="str">
        <f t="shared" si="694"/>
        <v>0</v>
      </c>
      <c r="G2363" t="str">
        <f t="shared" si="695"/>
        <v>0</v>
      </c>
      <c r="H2363">
        <f>'906MP'!Y2063</f>
        <v>0</v>
      </c>
      <c r="I2363">
        <f>'906MP'!AK2063</f>
        <v>0</v>
      </c>
      <c r="J2363">
        <f>'906MP'!T2063</f>
        <v>0</v>
      </c>
      <c r="K2363">
        <f>'906MP'!AJ2063</f>
        <v>0</v>
      </c>
      <c r="L2363">
        <f>'906MP'!U2063</f>
        <v>0</v>
      </c>
      <c r="M2363" s="322" t="str">
        <f>IFERROR(VLOOKUP(A2363,PAR!$D$3:$E$53,2,FALSE),"nincs szervezet")</f>
        <v>nincs szervezet</v>
      </c>
      <c r="N2363" s="322" t="str">
        <f>VLOOKUP(F2363,PAR!$R$3:$S$5,2,FALSE)</f>
        <v>3 - egyik sem</v>
      </c>
      <c r="O2363" t="str">
        <f>IFERROR(VLOOKUP(J2363,PAR!$O$3:$P$5,2,FALSE),"nincs feladat")</f>
        <v>nincs feladat</v>
      </c>
      <c r="P2363" t="str">
        <f>IFERROR(VLOOKUP(G2363,PAR!$J$2:$M$19,4),"nincs rovat")</f>
        <v>nincs rovat</v>
      </c>
      <c r="Q2363" t="str">
        <f>IF(H2363&gt;0,VLOOKUP(H2363,PAR!$AA$3:$AC$187,3,FALSE),"nincs főkönyvi számla")</f>
        <v>nincs főkönyvi számla</v>
      </c>
      <c r="R2363" t="str">
        <f>IFERROR(VLOOKUP(K2363,PAR!$V$3:$X$438,3,FALSE),"000000 - Nincs COFOG")</f>
        <v>000000 - Nincs COFOG</v>
      </c>
      <c r="S2363">
        <f t="shared" si="696"/>
        <v>0</v>
      </c>
      <c r="T2363">
        <f t="shared" si="697"/>
        <v>0</v>
      </c>
      <c r="U2363" t="str">
        <f>IF('906MP'!J2063&gt;0,CONCATENATE('906MP'!J2063," - ",'906MP'!P2063,", ",'906MP'!E2063),"nincs megjegyzés")</f>
        <v>nincs megjegyzés</v>
      </c>
      <c r="V2363" t="str">
        <f t="shared" si="684"/>
        <v>0P0</v>
      </c>
      <c r="W2363" t="str">
        <f t="shared" si="685"/>
        <v>0P0</v>
      </c>
      <c r="X2363" t="str">
        <f t="shared" si="686"/>
        <v>P0</v>
      </c>
      <c r="Y2363" t="str">
        <f t="shared" si="687"/>
        <v>00</v>
      </c>
      <c r="Z2363" t="str">
        <f t="shared" si="698"/>
        <v>00</v>
      </c>
      <c r="AA2363" t="str">
        <f t="shared" si="688"/>
        <v>00</v>
      </c>
      <c r="AB2363" t="str">
        <f t="shared" si="689"/>
        <v>00</v>
      </c>
      <c r="AC2363" t="str">
        <f t="shared" si="690"/>
        <v>0P0</v>
      </c>
      <c r="AD2363" t="str">
        <f t="shared" si="691"/>
        <v>P00</v>
      </c>
      <c r="AE2363" t="str">
        <f t="shared" si="692"/>
        <v>0P0</v>
      </c>
      <c r="AF2363" t="str">
        <f t="shared" si="693"/>
        <v>P00</v>
      </c>
      <c r="AG2363" t="str">
        <f t="shared" si="699"/>
        <v>0P00</v>
      </c>
      <c r="AH2363" t="str">
        <f t="shared" si="700"/>
        <v>P000</v>
      </c>
      <c r="AI2363" t="str">
        <f t="shared" si="701"/>
        <v>0P00</v>
      </c>
      <c r="AJ2363" t="str">
        <f t="shared" si="702"/>
        <v>P000</v>
      </c>
    </row>
    <row r="2364" spans="1:36" x14ac:dyDescent="0.25">
      <c r="A2364" s="325" t="str">
        <f>CONCATENATE("P",'906MP'!M2064)</f>
        <v>P</v>
      </c>
      <c r="B2364">
        <f>'906MP'!H2064</f>
        <v>0</v>
      </c>
      <c r="C2364">
        <f>'906MP'!J2064</f>
        <v>0</v>
      </c>
      <c r="D2364">
        <f>'906MP'!P2064</f>
        <v>0</v>
      </c>
      <c r="E2364">
        <f>'906MP'!X2064</f>
        <v>0</v>
      </c>
      <c r="F2364" t="str">
        <f t="shared" si="694"/>
        <v>0</v>
      </c>
      <c r="G2364" t="str">
        <f t="shared" si="695"/>
        <v>0</v>
      </c>
      <c r="H2364">
        <f>'906MP'!Y2064</f>
        <v>0</v>
      </c>
      <c r="I2364">
        <f>'906MP'!AK2064</f>
        <v>0</v>
      </c>
      <c r="J2364">
        <f>'906MP'!T2064</f>
        <v>0</v>
      </c>
      <c r="K2364">
        <f>'906MP'!AJ2064</f>
        <v>0</v>
      </c>
      <c r="L2364">
        <f>'906MP'!U2064</f>
        <v>0</v>
      </c>
      <c r="M2364" s="322" t="str">
        <f>IFERROR(VLOOKUP(A2364,PAR!$D$3:$E$53,2,FALSE),"nincs szervezet")</f>
        <v>nincs szervezet</v>
      </c>
      <c r="N2364" s="322" t="str">
        <f>VLOOKUP(F2364,PAR!$R$3:$S$5,2,FALSE)</f>
        <v>3 - egyik sem</v>
      </c>
      <c r="O2364" t="str">
        <f>IFERROR(VLOOKUP(J2364,PAR!$O$3:$P$5,2,FALSE),"nincs feladat")</f>
        <v>nincs feladat</v>
      </c>
      <c r="P2364" t="str">
        <f>IFERROR(VLOOKUP(G2364,PAR!$J$2:$M$19,4),"nincs rovat")</f>
        <v>nincs rovat</v>
      </c>
      <c r="Q2364" t="str">
        <f>IF(H2364&gt;0,VLOOKUP(H2364,PAR!$AA$3:$AC$187,3,FALSE),"nincs főkönyvi számla")</f>
        <v>nincs főkönyvi számla</v>
      </c>
      <c r="R2364" t="str">
        <f>IFERROR(VLOOKUP(K2364,PAR!$V$3:$X$438,3,FALSE),"000000 - Nincs COFOG")</f>
        <v>000000 - Nincs COFOG</v>
      </c>
      <c r="S2364">
        <f t="shared" si="696"/>
        <v>0</v>
      </c>
      <c r="T2364">
        <f t="shared" si="697"/>
        <v>0</v>
      </c>
      <c r="U2364" t="str">
        <f>IF('906MP'!J2064&gt;0,CONCATENATE('906MP'!J2064," - ",'906MP'!P2064,", ",'906MP'!E2064),"nincs megjegyzés")</f>
        <v>nincs megjegyzés</v>
      </c>
      <c r="V2364" t="str">
        <f t="shared" si="684"/>
        <v>0P0</v>
      </c>
      <c r="W2364" t="str">
        <f t="shared" si="685"/>
        <v>0P0</v>
      </c>
      <c r="X2364" t="str">
        <f t="shared" si="686"/>
        <v>P0</v>
      </c>
      <c r="Y2364" t="str">
        <f t="shared" si="687"/>
        <v>00</v>
      </c>
      <c r="Z2364" t="str">
        <f t="shared" si="698"/>
        <v>00</v>
      </c>
      <c r="AA2364" t="str">
        <f t="shared" si="688"/>
        <v>00</v>
      </c>
      <c r="AB2364" t="str">
        <f t="shared" si="689"/>
        <v>00</v>
      </c>
      <c r="AC2364" t="str">
        <f t="shared" si="690"/>
        <v>0P0</v>
      </c>
      <c r="AD2364" t="str">
        <f t="shared" si="691"/>
        <v>P00</v>
      </c>
      <c r="AE2364" t="str">
        <f t="shared" si="692"/>
        <v>0P0</v>
      </c>
      <c r="AF2364" t="str">
        <f t="shared" si="693"/>
        <v>P00</v>
      </c>
      <c r="AG2364" t="str">
        <f t="shared" si="699"/>
        <v>0P00</v>
      </c>
      <c r="AH2364" t="str">
        <f t="shared" si="700"/>
        <v>P000</v>
      </c>
      <c r="AI2364" t="str">
        <f t="shared" si="701"/>
        <v>0P00</v>
      </c>
      <c r="AJ2364" t="str">
        <f t="shared" si="702"/>
        <v>P000</v>
      </c>
    </row>
    <row r="2365" spans="1:36" x14ac:dyDescent="0.25">
      <c r="A2365" s="325" t="str">
        <f>CONCATENATE("P",'906MP'!M2065)</f>
        <v>P</v>
      </c>
      <c r="B2365">
        <f>'906MP'!H2065</f>
        <v>0</v>
      </c>
      <c r="C2365">
        <f>'906MP'!J2065</f>
        <v>0</v>
      </c>
      <c r="D2365">
        <f>'906MP'!P2065</f>
        <v>0</v>
      </c>
      <c r="E2365">
        <f>'906MP'!X2065</f>
        <v>0</v>
      </c>
      <c r="F2365" t="str">
        <f t="shared" si="694"/>
        <v>0</v>
      </c>
      <c r="G2365" t="str">
        <f t="shared" si="695"/>
        <v>0</v>
      </c>
      <c r="H2365">
        <f>'906MP'!Y2065</f>
        <v>0</v>
      </c>
      <c r="I2365">
        <f>'906MP'!AK2065</f>
        <v>0</v>
      </c>
      <c r="J2365">
        <f>'906MP'!T2065</f>
        <v>0</v>
      </c>
      <c r="K2365">
        <f>'906MP'!AJ2065</f>
        <v>0</v>
      </c>
      <c r="L2365">
        <f>'906MP'!U2065</f>
        <v>0</v>
      </c>
      <c r="M2365" s="322" t="str">
        <f>IFERROR(VLOOKUP(A2365,PAR!$D$3:$E$53,2,FALSE),"nincs szervezet")</f>
        <v>nincs szervezet</v>
      </c>
      <c r="N2365" s="322" t="str">
        <f>VLOOKUP(F2365,PAR!$R$3:$S$5,2,FALSE)</f>
        <v>3 - egyik sem</v>
      </c>
      <c r="O2365" t="str">
        <f>IFERROR(VLOOKUP(J2365,PAR!$O$3:$P$5,2,FALSE),"nincs feladat")</f>
        <v>nincs feladat</v>
      </c>
      <c r="P2365" t="str">
        <f>IFERROR(VLOOKUP(G2365,PAR!$J$2:$M$19,4),"nincs rovat")</f>
        <v>nincs rovat</v>
      </c>
      <c r="Q2365" t="str">
        <f>IF(H2365&gt;0,VLOOKUP(H2365,PAR!$AA$3:$AC$187,3,FALSE),"nincs főkönyvi számla")</f>
        <v>nincs főkönyvi számla</v>
      </c>
      <c r="R2365" t="str">
        <f>IFERROR(VLOOKUP(K2365,PAR!$V$3:$X$438,3,FALSE),"000000 - Nincs COFOG")</f>
        <v>000000 - Nincs COFOG</v>
      </c>
      <c r="S2365">
        <f t="shared" si="696"/>
        <v>0</v>
      </c>
      <c r="T2365">
        <f t="shared" si="697"/>
        <v>0</v>
      </c>
      <c r="U2365" t="str">
        <f>IF('906MP'!J2065&gt;0,CONCATENATE('906MP'!J2065," - ",'906MP'!P2065,", ",'906MP'!E2065),"nincs megjegyzés")</f>
        <v>nincs megjegyzés</v>
      </c>
      <c r="V2365" t="str">
        <f t="shared" si="684"/>
        <v>0P0</v>
      </c>
      <c r="W2365" t="str">
        <f t="shared" si="685"/>
        <v>0P0</v>
      </c>
      <c r="X2365" t="str">
        <f t="shared" si="686"/>
        <v>P0</v>
      </c>
      <c r="Y2365" t="str">
        <f t="shared" si="687"/>
        <v>00</v>
      </c>
      <c r="Z2365" t="str">
        <f t="shared" si="698"/>
        <v>00</v>
      </c>
      <c r="AA2365" t="str">
        <f t="shared" si="688"/>
        <v>00</v>
      </c>
      <c r="AB2365" t="str">
        <f t="shared" si="689"/>
        <v>00</v>
      </c>
      <c r="AC2365" t="str">
        <f t="shared" si="690"/>
        <v>0P0</v>
      </c>
      <c r="AD2365" t="str">
        <f t="shared" si="691"/>
        <v>P00</v>
      </c>
      <c r="AE2365" t="str">
        <f t="shared" si="692"/>
        <v>0P0</v>
      </c>
      <c r="AF2365" t="str">
        <f t="shared" si="693"/>
        <v>P00</v>
      </c>
      <c r="AG2365" t="str">
        <f t="shared" si="699"/>
        <v>0P00</v>
      </c>
      <c r="AH2365" t="str">
        <f t="shared" si="700"/>
        <v>P000</v>
      </c>
      <c r="AI2365" t="str">
        <f t="shared" si="701"/>
        <v>0P00</v>
      </c>
      <c r="AJ2365" t="str">
        <f t="shared" si="702"/>
        <v>P000</v>
      </c>
    </row>
    <row r="2366" spans="1:36" x14ac:dyDescent="0.25">
      <c r="A2366" s="325" t="str">
        <f>CONCATENATE("P",'906MP'!M2066)</f>
        <v>P</v>
      </c>
      <c r="B2366">
        <f>'906MP'!H2066</f>
        <v>0</v>
      </c>
      <c r="C2366">
        <f>'906MP'!J2066</f>
        <v>0</v>
      </c>
      <c r="D2366">
        <f>'906MP'!P2066</f>
        <v>0</v>
      </c>
      <c r="E2366">
        <f>'906MP'!X2066</f>
        <v>0</v>
      </c>
      <c r="F2366" t="str">
        <f t="shared" si="694"/>
        <v>0</v>
      </c>
      <c r="G2366" t="str">
        <f t="shared" si="695"/>
        <v>0</v>
      </c>
      <c r="H2366">
        <f>'906MP'!Y2066</f>
        <v>0</v>
      </c>
      <c r="I2366">
        <f>'906MP'!AK2066</f>
        <v>0</v>
      </c>
      <c r="J2366">
        <f>'906MP'!T2066</f>
        <v>0</v>
      </c>
      <c r="K2366">
        <f>'906MP'!AJ2066</f>
        <v>0</v>
      </c>
      <c r="L2366">
        <f>'906MP'!U2066</f>
        <v>0</v>
      </c>
      <c r="M2366" s="322" t="str">
        <f>IFERROR(VLOOKUP(A2366,PAR!$D$3:$E$53,2,FALSE),"nincs szervezet")</f>
        <v>nincs szervezet</v>
      </c>
      <c r="N2366" s="322" t="str">
        <f>VLOOKUP(F2366,PAR!$R$3:$S$5,2,FALSE)</f>
        <v>3 - egyik sem</v>
      </c>
      <c r="O2366" t="str">
        <f>IFERROR(VLOOKUP(J2366,PAR!$O$3:$P$5,2,FALSE),"nincs feladat")</f>
        <v>nincs feladat</v>
      </c>
      <c r="P2366" t="str">
        <f>IFERROR(VLOOKUP(G2366,PAR!$J$2:$M$19,4),"nincs rovat")</f>
        <v>nincs rovat</v>
      </c>
      <c r="Q2366" t="str">
        <f>IF(H2366&gt;0,VLOOKUP(H2366,PAR!$AA$3:$AC$187,3,FALSE),"nincs főkönyvi számla")</f>
        <v>nincs főkönyvi számla</v>
      </c>
      <c r="R2366" t="str">
        <f>IFERROR(VLOOKUP(K2366,PAR!$V$3:$X$438,3,FALSE),"000000 - Nincs COFOG")</f>
        <v>000000 - Nincs COFOG</v>
      </c>
      <c r="S2366">
        <f t="shared" si="696"/>
        <v>0</v>
      </c>
      <c r="T2366">
        <f t="shared" si="697"/>
        <v>0</v>
      </c>
      <c r="U2366" t="str">
        <f>IF('906MP'!J2066&gt;0,CONCATENATE('906MP'!J2066," - ",'906MP'!P2066,", ",'906MP'!E2066),"nincs megjegyzés")</f>
        <v>nincs megjegyzés</v>
      </c>
      <c r="V2366" t="str">
        <f t="shared" si="684"/>
        <v>0P0</v>
      </c>
      <c r="W2366" t="str">
        <f t="shared" si="685"/>
        <v>0P0</v>
      </c>
      <c r="X2366" t="str">
        <f t="shared" si="686"/>
        <v>P0</v>
      </c>
      <c r="Y2366" t="str">
        <f t="shared" si="687"/>
        <v>00</v>
      </c>
      <c r="Z2366" t="str">
        <f t="shared" si="698"/>
        <v>00</v>
      </c>
      <c r="AA2366" t="str">
        <f t="shared" si="688"/>
        <v>00</v>
      </c>
      <c r="AB2366" t="str">
        <f t="shared" si="689"/>
        <v>00</v>
      </c>
      <c r="AC2366" t="str">
        <f t="shared" si="690"/>
        <v>0P0</v>
      </c>
      <c r="AD2366" t="str">
        <f t="shared" si="691"/>
        <v>P00</v>
      </c>
      <c r="AE2366" t="str">
        <f t="shared" si="692"/>
        <v>0P0</v>
      </c>
      <c r="AF2366" t="str">
        <f t="shared" si="693"/>
        <v>P00</v>
      </c>
      <c r="AG2366" t="str">
        <f t="shared" si="699"/>
        <v>0P00</v>
      </c>
      <c r="AH2366" t="str">
        <f t="shared" si="700"/>
        <v>P000</v>
      </c>
      <c r="AI2366" t="str">
        <f t="shared" si="701"/>
        <v>0P00</v>
      </c>
      <c r="AJ2366" t="str">
        <f t="shared" si="702"/>
        <v>P000</v>
      </c>
    </row>
    <row r="2367" spans="1:36" x14ac:dyDescent="0.25">
      <c r="A2367" s="325" t="str">
        <f>CONCATENATE("P",'906MP'!M2067)</f>
        <v>P</v>
      </c>
      <c r="B2367">
        <f>'906MP'!H2067</f>
        <v>0</v>
      </c>
      <c r="C2367">
        <f>'906MP'!J2067</f>
        <v>0</v>
      </c>
      <c r="D2367">
        <f>'906MP'!P2067</f>
        <v>0</v>
      </c>
      <c r="E2367">
        <f>'906MP'!X2067</f>
        <v>0</v>
      </c>
      <c r="F2367" t="str">
        <f t="shared" si="694"/>
        <v>0</v>
      </c>
      <c r="G2367" t="str">
        <f t="shared" si="695"/>
        <v>0</v>
      </c>
      <c r="H2367">
        <f>'906MP'!Y2067</f>
        <v>0</v>
      </c>
      <c r="I2367">
        <f>'906MP'!AK2067</f>
        <v>0</v>
      </c>
      <c r="J2367">
        <f>'906MP'!T2067</f>
        <v>0</v>
      </c>
      <c r="K2367">
        <f>'906MP'!AJ2067</f>
        <v>0</v>
      </c>
      <c r="L2367">
        <f>'906MP'!U2067</f>
        <v>0</v>
      </c>
      <c r="M2367" s="322" t="str">
        <f>IFERROR(VLOOKUP(A2367,PAR!$D$3:$E$53,2,FALSE),"nincs szervezet")</f>
        <v>nincs szervezet</v>
      </c>
      <c r="N2367" s="322" t="str">
        <f>VLOOKUP(F2367,PAR!$R$3:$S$5,2,FALSE)</f>
        <v>3 - egyik sem</v>
      </c>
      <c r="O2367" t="str">
        <f>IFERROR(VLOOKUP(J2367,PAR!$O$3:$P$5,2,FALSE),"nincs feladat")</f>
        <v>nincs feladat</v>
      </c>
      <c r="P2367" t="str">
        <f>IFERROR(VLOOKUP(G2367,PAR!$J$2:$M$19,4),"nincs rovat")</f>
        <v>nincs rovat</v>
      </c>
      <c r="Q2367" t="str">
        <f>IF(H2367&gt;0,VLOOKUP(H2367,PAR!$AA$3:$AC$187,3,FALSE),"nincs főkönyvi számla")</f>
        <v>nincs főkönyvi számla</v>
      </c>
      <c r="R2367" t="str">
        <f>IFERROR(VLOOKUP(K2367,PAR!$V$3:$X$438,3,FALSE),"000000 - Nincs COFOG")</f>
        <v>000000 - Nincs COFOG</v>
      </c>
      <c r="S2367">
        <f t="shared" si="696"/>
        <v>0</v>
      </c>
      <c r="T2367">
        <f t="shared" si="697"/>
        <v>0</v>
      </c>
      <c r="U2367" t="str">
        <f>IF('906MP'!J2067&gt;0,CONCATENATE('906MP'!J2067," - ",'906MP'!P2067,", ",'906MP'!E2067),"nincs megjegyzés")</f>
        <v>nincs megjegyzés</v>
      </c>
      <c r="V2367" t="str">
        <f t="shared" si="684"/>
        <v>0P0</v>
      </c>
      <c r="W2367" t="str">
        <f t="shared" si="685"/>
        <v>0P0</v>
      </c>
      <c r="X2367" t="str">
        <f t="shared" si="686"/>
        <v>P0</v>
      </c>
      <c r="Y2367" t="str">
        <f t="shared" si="687"/>
        <v>00</v>
      </c>
      <c r="Z2367" t="str">
        <f t="shared" si="698"/>
        <v>00</v>
      </c>
      <c r="AA2367" t="str">
        <f t="shared" si="688"/>
        <v>00</v>
      </c>
      <c r="AB2367" t="str">
        <f t="shared" si="689"/>
        <v>00</v>
      </c>
      <c r="AC2367" t="str">
        <f t="shared" si="690"/>
        <v>0P0</v>
      </c>
      <c r="AD2367" t="str">
        <f t="shared" si="691"/>
        <v>P00</v>
      </c>
      <c r="AE2367" t="str">
        <f t="shared" si="692"/>
        <v>0P0</v>
      </c>
      <c r="AF2367" t="str">
        <f t="shared" si="693"/>
        <v>P00</v>
      </c>
      <c r="AG2367" t="str">
        <f t="shared" si="699"/>
        <v>0P00</v>
      </c>
      <c r="AH2367" t="str">
        <f t="shared" si="700"/>
        <v>P000</v>
      </c>
      <c r="AI2367" t="str">
        <f t="shared" si="701"/>
        <v>0P00</v>
      </c>
      <c r="AJ2367" t="str">
        <f t="shared" si="702"/>
        <v>P000</v>
      </c>
    </row>
    <row r="2368" spans="1:36" x14ac:dyDescent="0.25">
      <c r="A2368" s="325" t="str">
        <f>CONCATENATE("P",'906MP'!M2068)</f>
        <v>P</v>
      </c>
      <c r="B2368">
        <f>'906MP'!H2068</f>
        <v>0</v>
      </c>
      <c r="C2368">
        <f>'906MP'!J2068</f>
        <v>0</v>
      </c>
      <c r="D2368">
        <f>'906MP'!P2068</f>
        <v>0</v>
      </c>
      <c r="E2368">
        <f>'906MP'!X2068</f>
        <v>0</v>
      </c>
      <c r="F2368" t="str">
        <f t="shared" si="694"/>
        <v>0</v>
      </c>
      <c r="G2368" t="str">
        <f t="shared" si="695"/>
        <v>0</v>
      </c>
      <c r="H2368">
        <f>'906MP'!Y2068</f>
        <v>0</v>
      </c>
      <c r="I2368">
        <f>'906MP'!AK2068</f>
        <v>0</v>
      </c>
      <c r="J2368">
        <f>'906MP'!T2068</f>
        <v>0</v>
      </c>
      <c r="K2368">
        <f>'906MP'!AJ2068</f>
        <v>0</v>
      </c>
      <c r="L2368">
        <f>'906MP'!U2068</f>
        <v>0</v>
      </c>
      <c r="M2368" s="322" t="str">
        <f>IFERROR(VLOOKUP(A2368,PAR!$D$3:$E$53,2,FALSE),"nincs szervezet")</f>
        <v>nincs szervezet</v>
      </c>
      <c r="N2368" s="322" t="str">
        <f>VLOOKUP(F2368,PAR!$R$3:$S$5,2,FALSE)</f>
        <v>3 - egyik sem</v>
      </c>
      <c r="O2368" t="str">
        <f>IFERROR(VLOOKUP(J2368,PAR!$O$3:$P$5,2,FALSE),"nincs feladat")</f>
        <v>nincs feladat</v>
      </c>
      <c r="P2368" t="str">
        <f>IFERROR(VLOOKUP(G2368,PAR!$J$2:$M$19,4),"nincs rovat")</f>
        <v>nincs rovat</v>
      </c>
      <c r="Q2368" t="str">
        <f>IF(H2368&gt;0,VLOOKUP(H2368,PAR!$AA$3:$AC$187,3,FALSE),"nincs főkönyvi számla")</f>
        <v>nincs főkönyvi számla</v>
      </c>
      <c r="R2368" t="str">
        <f>IFERROR(VLOOKUP(K2368,PAR!$V$3:$X$438,3,FALSE),"000000 - Nincs COFOG")</f>
        <v>000000 - Nincs COFOG</v>
      </c>
      <c r="S2368">
        <f t="shared" si="696"/>
        <v>0</v>
      </c>
      <c r="T2368">
        <f t="shared" si="697"/>
        <v>0</v>
      </c>
      <c r="U2368" t="str">
        <f>IF('906MP'!J2068&gt;0,CONCATENATE('906MP'!J2068," - ",'906MP'!P2068,", ",'906MP'!E2068),"nincs megjegyzés")</f>
        <v>nincs megjegyzés</v>
      </c>
      <c r="V2368" t="str">
        <f t="shared" si="684"/>
        <v>0P0</v>
      </c>
      <c r="W2368" t="str">
        <f t="shared" si="685"/>
        <v>0P0</v>
      </c>
      <c r="X2368" t="str">
        <f t="shared" si="686"/>
        <v>P0</v>
      </c>
      <c r="Y2368" t="str">
        <f t="shared" si="687"/>
        <v>00</v>
      </c>
      <c r="Z2368" t="str">
        <f t="shared" si="698"/>
        <v>00</v>
      </c>
      <c r="AA2368" t="str">
        <f t="shared" si="688"/>
        <v>00</v>
      </c>
      <c r="AB2368" t="str">
        <f t="shared" si="689"/>
        <v>00</v>
      </c>
      <c r="AC2368" t="str">
        <f t="shared" si="690"/>
        <v>0P0</v>
      </c>
      <c r="AD2368" t="str">
        <f t="shared" si="691"/>
        <v>P00</v>
      </c>
      <c r="AE2368" t="str">
        <f t="shared" si="692"/>
        <v>0P0</v>
      </c>
      <c r="AF2368" t="str">
        <f t="shared" si="693"/>
        <v>P00</v>
      </c>
      <c r="AG2368" t="str">
        <f t="shared" si="699"/>
        <v>0P00</v>
      </c>
      <c r="AH2368" t="str">
        <f t="shared" si="700"/>
        <v>P000</v>
      </c>
      <c r="AI2368" t="str">
        <f t="shared" si="701"/>
        <v>0P00</v>
      </c>
      <c r="AJ2368" t="str">
        <f t="shared" si="702"/>
        <v>P000</v>
      </c>
    </row>
    <row r="2369" spans="1:36" x14ac:dyDescent="0.25">
      <c r="A2369" s="325" t="str">
        <f>CONCATENATE("P",'906MP'!M2069)</f>
        <v>P</v>
      </c>
      <c r="B2369">
        <f>'906MP'!H2069</f>
        <v>0</v>
      </c>
      <c r="C2369">
        <f>'906MP'!J2069</f>
        <v>0</v>
      </c>
      <c r="D2369">
        <f>'906MP'!P2069</f>
        <v>0</v>
      </c>
      <c r="E2369">
        <f>'906MP'!X2069</f>
        <v>0</v>
      </c>
      <c r="F2369" t="str">
        <f t="shared" si="694"/>
        <v>0</v>
      </c>
      <c r="G2369" t="str">
        <f t="shared" si="695"/>
        <v>0</v>
      </c>
      <c r="H2369">
        <f>'906MP'!Y2069</f>
        <v>0</v>
      </c>
      <c r="I2369">
        <f>'906MP'!AK2069</f>
        <v>0</v>
      </c>
      <c r="J2369">
        <f>'906MP'!T2069</f>
        <v>0</v>
      </c>
      <c r="K2369">
        <f>'906MP'!AJ2069</f>
        <v>0</v>
      </c>
      <c r="L2369">
        <f>'906MP'!U2069</f>
        <v>0</v>
      </c>
      <c r="M2369" s="322" t="str">
        <f>IFERROR(VLOOKUP(A2369,PAR!$D$3:$E$53,2,FALSE),"nincs szervezet")</f>
        <v>nincs szervezet</v>
      </c>
      <c r="N2369" s="322" t="str">
        <f>VLOOKUP(F2369,PAR!$R$3:$S$5,2,FALSE)</f>
        <v>3 - egyik sem</v>
      </c>
      <c r="O2369" t="str">
        <f>IFERROR(VLOOKUP(J2369,PAR!$O$3:$P$5,2,FALSE),"nincs feladat")</f>
        <v>nincs feladat</v>
      </c>
      <c r="P2369" t="str">
        <f>IFERROR(VLOOKUP(G2369,PAR!$J$2:$M$19,4),"nincs rovat")</f>
        <v>nincs rovat</v>
      </c>
      <c r="Q2369" t="str">
        <f>IF(H2369&gt;0,VLOOKUP(H2369,PAR!$AA$3:$AC$187,3,FALSE),"nincs főkönyvi számla")</f>
        <v>nincs főkönyvi számla</v>
      </c>
      <c r="R2369" t="str">
        <f>IFERROR(VLOOKUP(K2369,PAR!$V$3:$X$438,3,FALSE),"000000 - Nincs COFOG")</f>
        <v>000000 - Nincs COFOG</v>
      </c>
      <c r="S2369">
        <f t="shared" si="696"/>
        <v>0</v>
      </c>
      <c r="T2369">
        <f t="shared" si="697"/>
        <v>0</v>
      </c>
      <c r="U2369" t="str">
        <f>IF('906MP'!J2069&gt;0,CONCATENATE('906MP'!J2069," - ",'906MP'!P2069,", ",'906MP'!E2069),"nincs megjegyzés")</f>
        <v>nincs megjegyzés</v>
      </c>
      <c r="V2369" t="str">
        <f t="shared" si="684"/>
        <v>0P0</v>
      </c>
      <c r="W2369" t="str">
        <f t="shared" si="685"/>
        <v>0P0</v>
      </c>
      <c r="X2369" t="str">
        <f t="shared" si="686"/>
        <v>P0</v>
      </c>
      <c r="Y2369" t="str">
        <f t="shared" si="687"/>
        <v>00</v>
      </c>
      <c r="Z2369" t="str">
        <f t="shared" si="698"/>
        <v>00</v>
      </c>
      <c r="AA2369" t="str">
        <f t="shared" si="688"/>
        <v>00</v>
      </c>
      <c r="AB2369" t="str">
        <f t="shared" si="689"/>
        <v>00</v>
      </c>
      <c r="AC2369" t="str">
        <f t="shared" si="690"/>
        <v>0P0</v>
      </c>
      <c r="AD2369" t="str">
        <f t="shared" si="691"/>
        <v>P00</v>
      </c>
      <c r="AE2369" t="str">
        <f t="shared" si="692"/>
        <v>0P0</v>
      </c>
      <c r="AF2369" t="str">
        <f t="shared" si="693"/>
        <v>P00</v>
      </c>
      <c r="AG2369" t="str">
        <f t="shared" si="699"/>
        <v>0P00</v>
      </c>
      <c r="AH2369" t="str">
        <f t="shared" si="700"/>
        <v>P000</v>
      </c>
      <c r="AI2369" t="str">
        <f t="shared" si="701"/>
        <v>0P00</v>
      </c>
      <c r="AJ2369" t="str">
        <f t="shared" si="702"/>
        <v>P000</v>
      </c>
    </row>
    <row r="2370" spans="1:36" x14ac:dyDescent="0.25">
      <c r="A2370" s="325" t="str">
        <f>CONCATENATE("P",'906MP'!M2070)</f>
        <v>P</v>
      </c>
      <c r="B2370">
        <f>'906MP'!H2070</f>
        <v>0</v>
      </c>
      <c r="C2370">
        <f>'906MP'!J2070</f>
        <v>0</v>
      </c>
      <c r="D2370">
        <f>'906MP'!P2070</f>
        <v>0</v>
      </c>
      <c r="E2370">
        <f>'906MP'!X2070</f>
        <v>0</v>
      </c>
      <c r="F2370" t="str">
        <f t="shared" si="694"/>
        <v>0</v>
      </c>
      <c r="G2370" t="str">
        <f t="shared" si="695"/>
        <v>0</v>
      </c>
      <c r="H2370">
        <f>'906MP'!Y2070</f>
        <v>0</v>
      </c>
      <c r="I2370">
        <f>'906MP'!AK2070</f>
        <v>0</v>
      </c>
      <c r="J2370">
        <f>'906MP'!T2070</f>
        <v>0</v>
      </c>
      <c r="K2370">
        <f>'906MP'!AJ2070</f>
        <v>0</v>
      </c>
      <c r="L2370">
        <f>'906MP'!U2070</f>
        <v>0</v>
      </c>
      <c r="M2370" s="322" t="str">
        <f>IFERROR(VLOOKUP(A2370,PAR!$D$3:$E$53,2,FALSE),"nincs szervezet")</f>
        <v>nincs szervezet</v>
      </c>
      <c r="N2370" s="322" t="str">
        <f>VLOOKUP(F2370,PAR!$R$3:$S$5,2,FALSE)</f>
        <v>3 - egyik sem</v>
      </c>
      <c r="O2370" t="str">
        <f>IFERROR(VLOOKUP(J2370,PAR!$O$3:$P$5,2,FALSE),"nincs feladat")</f>
        <v>nincs feladat</v>
      </c>
      <c r="P2370" t="str">
        <f>IFERROR(VLOOKUP(G2370,PAR!$J$2:$M$19,4),"nincs rovat")</f>
        <v>nincs rovat</v>
      </c>
      <c r="Q2370" t="str">
        <f>IF(H2370&gt;0,VLOOKUP(H2370,PAR!$AA$3:$AC$187,3,FALSE),"nincs főkönyvi számla")</f>
        <v>nincs főkönyvi számla</v>
      </c>
      <c r="R2370" t="str">
        <f>IFERROR(VLOOKUP(K2370,PAR!$V$3:$X$438,3,FALSE),"000000 - Nincs COFOG")</f>
        <v>000000 - Nincs COFOG</v>
      </c>
      <c r="S2370">
        <f t="shared" si="696"/>
        <v>0</v>
      </c>
      <c r="T2370">
        <f t="shared" si="697"/>
        <v>0</v>
      </c>
      <c r="U2370" t="str">
        <f>IF('906MP'!J2070&gt;0,CONCATENATE('906MP'!J2070," - ",'906MP'!P2070,", ",'906MP'!E2070),"nincs megjegyzés")</f>
        <v>nincs megjegyzés</v>
      </c>
      <c r="V2370" t="str">
        <f t="shared" ref="V2370:V2433" si="703">CONCATENATE(B2370,A2370,G2370)</f>
        <v>0P0</v>
      </c>
      <c r="W2370" t="str">
        <f t="shared" ref="W2370:W2433" si="704">CONCATENATE(B2370,A2370,F2370)</f>
        <v>0P0</v>
      </c>
      <c r="X2370" t="str">
        <f t="shared" ref="X2370:X2433" si="705">CONCATENATE(A2370,H2370)</f>
        <v>P0</v>
      </c>
      <c r="Y2370" t="str">
        <f t="shared" ref="Y2370:Y2433" si="706">CONCATENATE(B2370,H2370)</f>
        <v>00</v>
      </c>
      <c r="Z2370" t="str">
        <f t="shared" si="698"/>
        <v>00</v>
      </c>
      <c r="AA2370" t="str">
        <f t="shared" ref="AA2370:AA2433" si="707">CONCATENATE(B2370,G2370)</f>
        <v>00</v>
      </c>
      <c r="AB2370" t="str">
        <f t="shared" ref="AB2370:AB2433" si="708">CONCATENATE(J2370,G2370)</f>
        <v>00</v>
      </c>
      <c r="AC2370" t="str">
        <f t="shared" ref="AC2370:AC2433" si="709">CONCATENATE(B2370,A2370,H2370)</f>
        <v>0P0</v>
      </c>
      <c r="AD2370" t="str">
        <f t="shared" ref="AD2370:AD2433" si="710">CONCATENATE(A2370,H2370,J2370)</f>
        <v>P00</v>
      </c>
      <c r="AE2370" t="str">
        <f t="shared" ref="AE2370:AE2433" si="711">CONCATENATE(B2370,A2370,G2370)</f>
        <v>0P0</v>
      </c>
      <c r="AF2370" t="str">
        <f t="shared" ref="AF2370:AF2433" si="712">CONCATENATE(A2370,G2370,J2370)</f>
        <v>P00</v>
      </c>
      <c r="AG2370" t="str">
        <f t="shared" si="699"/>
        <v>0P00</v>
      </c>
      <c r="AH2370" t="str">
        <f t="shared" si="700"/>
        <v>P000</v>
      </c>
      <c r="AI2370" t="str">
        <f t="shared" si="701"/>
        <v>0P00</v>
      </c>
      <c r="AJ2370" t="str">
        <f t="shared" si="702"/>
        <v>P000</v>
      </c>
    </row>
    <row r="2371" spans="1:36" x14ac:dyDescent="0.25">
      <c r="A2371" s="325" t="str">
        <f>CONCATENATE("P",'906MP'!M2071)</f>
        <v>P</v>
      </c>
      <c r="B2371">
        <f>'906MP'!H2071</f>
        <v>0</v>
      </c>
      <c r="C2371">
        <f>'906MP'!J2071</f>
        <v>0</v>
      </c>
      <c r="D2371">
        <f>'906MP'!P2071</f>
        <v>0</v>
      </c>
      <c r="E2371">
        <f>'906MP'!X2071</f>
        <v>0</v>
      </c>
      <c r="F2371" t="str">
        <f t="shared" ref="F2371:F2434" si="713">LEFT(G2371,2)</f>
        <v>0</v>
      </c>
      <c r="G2371" t="str">
        <f t="shared" ref="G2371:G2434" si="714">LEFT(H2371,3)</f>
        <v>0</v>
      </c>
      <c r="H2371">
        <f>'906MP'!Y2071</f>
        <v>0</v>
      </c>
      <c r="I2371">
        <f>'906MP'!AK2071</f>
        <v>0</v>
      </c>
      <c r="J2371">
        <f>'906MP'!T2071</f>
        <v>0</v>
      </c>
      <c r="K2371">
        <f>'906MP'!AJ2071</f>
        <v>0</v>
      </c>
      <c r="L2371">
        <f>'906MP'!U2071</f>
        <v>0</v>
      </c>
      <c r="M2371" s="322" t="str">
        <f>IFERROR(VLOOKUP(A2371,PAR!$D$3:$E$53,2,FALSE),"nincs szervezet")</f>
        <v>nincs szervezet</v>
      </c>
      <c r="N2371" s="322" t="str">
        <f>VLOOKUP(F2371,PAR!$R$3:$S$5,2,FALSE)</f>
        <v>3 - egyik sem</v>
      </c>
      <c r="O2371" t="str">
        <f>IFERROR(VLOOKUP(J2371,PAR!$O$3:$P$5,2,FALSE),"nincs feladat")</f>
        <v>nincs feladat</v>
      </c>
      <c r="P2371" t="str">
        <f>IFERROR(VLOOKUP(G2371,PAR!$J$2:$M$19,4),"nincs rovat")</f>
        <v>nincs rovat</v>
      </c>
      <c r="Q2371" t="str">
        <f>IF(H2371&gt;0,VLOOKUP(H2371,PAR!$AA$3:$AC$187,3,FALSE),"nincs főkönyvi számla")</f>
        <v>nincs főkönyvi számla</v>
      </c>
      <c r="R2371" t="str">
        <f>IFERROR(VLOOKUP(K2371,PAR!$V$3:$X$438,3,FALSE),"000000 - Nincs COFOG")</f>
        <v>000000 - Nincs COFOG</v>
      </c>
      <c r="S2371">
        <f t="shared" ref="S2371:S2434" si="715">E2371</f>
        <v>0</v>
      </c>
      <c r="T2371">
        <f t="shared" ref="T2371:T2434" si="716">IF(F2371="09",E2371*-1,E2371)</f>
        <v>0</v>
      </c>
      <c r="U2371" t="str">
        <f>IF('906MP'!J2071&gt;0,CONCATENATE('906MP'!J2071," - ",'906MP'!P2071,", ",'906MP'!E2071),"nincs megjegyzés")</f>
        <v>nincs megjegyzés</v>
      </c>
      <c r="V2371" t="str">
        <f t="shared" si="703"/>
        <v>0P0</v>
      </c>
      <c r="W2371" t="str">
        <f t="shared" si="704"/>
        <v>0P0</v>
      </c>
      <c r="X2371" t="str">
        <f t="shared" si="705"/>
        <v>P0</v>
      </c>
      <c r="Y2371" t="str">
        <f t="shared" si="706"/>
        <v>00</v>
      </c>
      <c r="Z2371" t="str">
        <f t="shared" ref="Z2371:Z2434" si="717">CONCATENATE(J2371,H2371)</f>
        <v>00</v>
      </c>
      <c r="AA2371" t="str">
        <f t="shared" si="707"/>
        <v>00</v>
      </c>
      <c r="AB2371" t="str">
        <f t="shared" si="708"/>
        <v>00</v>
      </c>
      <c r="AC2371" t="str">
        <f t="shared" si="709"/>
        <v>0P0</v>
      </c>
      <c r="AD2371" t="str">
        <f t="shared" si="710"/>
        <v>P00</v>
      </c>
      <c r="AE2371" t="str">
        <f t="shared" si="711"/>
        <v>0P0</v>
      </c>
      <c r="AF2371" t="str">
        <f t="shared" si="712"/>
        <v>P00</v>
      </c>
      <c r="AG2371" t="str">
        <f t="shared" ref="AG2371:AG2434" si="718">CONCATENATE(B2371,A2371,H2371,L2371)</f>
        <v>0P00</v>
      </c>
      <c r="AH2371" t="str">
        <f t="shared" ref="AH2371:AH2434" si="719">CONCATENATE(A2371,J2371,H2371,L2371)</f>
        <v>P000</v>
      </c>
      <c r="AI2371" t="str">
        <f t="shared" ref="AI2371:AI2434" si="720">CONCATENATE(B2371,A2371,G2371,L2371)</f>
        <v>0P00</v>
      </c>
      <c r="AJ2371" t="str">
        <f t="shared" ref="AJ2371:AJ2434" si="721">CONCATENATE(A2371,G2371,J2371,L2371)</f>
        <v>P000</v>
      </c>
    </row>
    <row r="2372" spans="1:36" x14ac:dyDescent="0.25">
      <c r="A2372" s="325" t="str">
        <f>CONCATENATE("P",'906MP'!M2072)</f>
        <v>P</v>
      </c>
      <c r="B2372">
        <f>'906MP'!H2072</f>
        <v>0</v>
      </c>
      <c r="C2372">
        <f>'906MP'!J2072</f>
        <v>0</v>
      </c>
      <c r="D2372">
        <f>'906MP'!P2072</f>
        <v>0</v>
      </c>
      <c r="E2372">
        <f>'906MP'!X2072</f>
        <v>0</v>
      </c>
      <c r="F2372" t="str">
        <f t="shared" si="713"/>
        <v>0</v>
      </c>
      <c r="G2372" t="str">
        <f t="shared" si="714"/>
        <v>0</v>
      </c>
      <c r="H2372">
        <f>'906MP'!Y2072</f>
        <v>0</v>
      </c>
      <c r="I2372">
        <f>'906MP'!AK2072</f>
        <v>0</v>
      </c>
      <c r="J2372">
        <f>'906MP'!T2072</f>
        <v>0</v>
      </c>
      <c r="K2372">
        <f>'906MP'!AJ2072</f>
        <v>0</v>
      </c>
      <c r="L2372">
        <f>'906MP'!U2072</f>
        <v>0</v>
      </c>
      <c r="M2372" s="322" t="str">
        <f>IFERROR(VLOOKUP(A2372,PAR!$D$3:$E$53,2,FALSE),"nincs szervezet")</f>
        <v>nincs szervezet</v>
      </c>
      <c r="N2372" s="322" t="str">
        <f>VLOOKUP(F2372,PAR!$R$3:$S$5,2,FALSE)</f>
        <v>3 - egyik sem</v>
      </c>
      <c r="O2372" t="str">
        <f>IFERROR(VLOOKUP(J2372,PAR!$O$3:$P$5,2,FALSE),"nincs feladat")</f>
        <v>nincs feladat</v>
      </c>
      <c r="P2372" t="str">
        <f>IFERROR(VLOOKUP(G2372,PAR!$J$2:$M$19,4),"nincs rovat")</f>
        <v>nincs rovat</v>
      </c>
      <c r="Q2372" t="str">
        <f>IF(H2372&gt;0,VLOOKUP(H2372,PAR!$AA$3:$AC$187,3,FALSE),"nincs főkönyvi számla")</f>
        <v>nincs főkönyvi számla</v>
      </c>
      <c r="R2372" t="str">
        <f>IFERROR(VLOOKUP(K2372,PAR!$V$3:$X$438,3,FALSE),"000000 - Nincs COFOG")</f>
        <v>000000 - Nincs COFOG</v>
      </c>
      <c r="S2372">
        <f t="shared" si="715"/>
        <v>0</v>
      </c>
      <c r="T2372">
        <f t="shared" si="716"/>
        <v>0</v>
      </c>
      <c r="U2372" t="str">
        <f>IF('906MP'!J2072&gt;0,CONCATENATE('906MP'!J2072," - ",'906MP'!P2072,", ",'906MP'!E2072),"nincs megjegyzés")</f>
        <v>nincs megjegyzés</v>
      </c>
      <c r="V2372" t="str">
        <f t="shared" si="703"/>
        <v>0P0</v>
      </c>
      <c r="W2372" t="str">
        <f t="shared" si="704"/>
        <v>0P0</v>
      </c>
      <c r="X2372" t="str">
        <f t="shared" si="705"/>
        <v>P0</v>
      </c>
      <c r="Y2372" t="str">
        <f t="shared" si="706"/>
        <v>00</v>
      </c>
      <c r="Z2372" t="str">
        <f t="shared" si="717"/>
        <v>00</v>
      </c>
      <c r="AA2372" t="str">
        <f t="shared" si="707"/>
        <v>00</v>
      </c>
      <c r="AB2372" t="str">
        <f t="shared" si="708"/>
        <v>00</v>
      </c>
      <c r="AC2372" t="str">
        <f t="shared" si="709"/>
        <v>0P0</v>
      </c>
      <c r="AD2372" t="str">
        <f t="shared" si="710"/>
        <v>P00</v>
      </c>
      <c r="AE2372" t="str">
        <f t="shared" si="711"/>
        <v>0P0</v>
      </c>
      <c r="AF2372" t="str">
        <f t="shared" si="712"/>
        <v>P00</v>
      </c>
      <c r="AG2372" t="str">
        <f t="shared" si="718"/>
        <v>0P00</v>
      </c>
      <c r="AH2372" t="str">
        <f t="shared" si="719"/>
        <v>P000</v>
      </c>
      <c r="AI2372" t="str">
        <f t="shared" si="720"/>
        <v>0P00</v>
      </c>
      <c r="AJ2372" t="str">
        <f t="shared" si="721"/>
        <v>P000</v>
      </c>
    </row>
    <row r="2373" spans="1:36" x14ac:dyDescent="0.25">
      <c r="A2373" s="325" t="str">
        <f>CONCATENATE("P",'906MP'!M2073)</f>
        <v>P</v>
      </c>
      <c r="B2373">
        <f>'906MP'!H2073</f>
        <v>0</v>
      </c>
      <c r="C2373">
        <f>'906MP'!J2073</f>
        <v>0</v>
      </c>
      <c r="D2373">
        <f>'906MP'!P2073</f>
        <v>0</v>
      </c>
      <c r="E2373">
        <f>'906MP'!X2073</f>
        <v>0</v>
      </c>
      <c r="F2373" t="str">
        <f t="shared" si="713"/>
        <v>0</v>
      </c>
      <c r="G2373" t="str">
        <f t="shared" si="714"/>
        <v>0</v>
      </c>
      <c r="H2373">
        <f>'906MP'!Y2073</f>
        <v>0</v>
      </c>
      <c r="I2373">
        <f>'906MP'!AK2073</f>
        <v>0</v>
      </c>
      <c r="J2373">
        <f>'906MP'!T2073</f>
        <v>0</v>
      </c>
      <c r="K2373">
        <f>'906MP'!AJ2073</f>
        <v>0</v>
      </c>
      <c r="L2373">
        <f>'906MP'!U2073</f>
        <v>0</v>
      </c>
      <c r="M2373" s="322" t="str">
        <f>IFERROR(VLOOKUP(A2373,PAR!$D$3:$E$53,2,FALSE),"nincs szervezet")</f>
        <v>nincs szervezet</v>
      </c>
      <c r="N2373" s="322" t="str">
        <f>VLOOKUP(F2373,PAR!$R$3:$S$5,2,FALSE)</f>
        <v>3 - egyik sem</v>
      </c>
      <c r="O2373" t="str">
        <f>IFERROR(VLOOKUP(J2373,PAR!$O$3:$P$5,2,FALSE),"nincs feladat")</f>
        <v>nincs feladat</v>
      </c>
      <c r="P2373" t="str">
        <f>IFERROR(VLOOKUP(G2373,PAR!$J$2:$M$19,4),"nincs rovat")</f>
        <v>nincs rovat</v>
      </c>
      <c r="Q2373" t="str">
        <f>IF(H2373&gt;0,VLOOKUP(H2373,PAR!$AA$3:$AC$187,3,FALSE),"nincs főkönyvi számla")</f>
        <v>nincs főkönyvi számla</v>
      </c>
      <c r="R2373" t="str">
        <f>IFERROR(VLOOKUP(K2373,PAR!$V$3:$X$438,3,FALSE),"000000 - Nincs COFOG")</f>
        <v>000000 - Nincs COFOG</v>
      </c>
      <c r="S2373">
        <f t="shared" si="715"/>
        <v>0</v>
      </c>
      <c r="T2373">
        <f t="shared" si="716"/>
        <v>0</v>
      </c>
      <c r="U2373" t="str">
        <f>IF('906MP'!J2073&gt;0,CONCATENATE('906MP'!J2073," - ",'906MP'!P2073,", ",'906MP'!E2073),"nincs megjegyzés")</f>
        <v>nincs megjegyzés</v>
      </c>
      <c r="V2373" t="str">
        <f t="shared" si="703"/>
        <v>0P0</v>
      </c>
      <c r="W2373" t="str">
        <f t="shared" si="704"/>
        <v>0P0</v>
      </c>
      <c r="X2373" t="str">
        <f t="shared" si="705"/>
        <v>P0</v>
      </c>
      <c r="Y2373" t="str">
        <f t="shared" si="706"/>
        <v>00</v>
      </c>
      <c r="Z2373" t="str">
        <f t="shared" si="717"/>
        <v>00</v>
      </c>
      <c r="AA2373" t="str">
        <f t="shared" si="707"/>
        <v>00</v>
      </c>
      <c r="AB2373" t="str">
        <f t="shared" si="708"/>
        <v>00</v>
      </c>
      <c r="AC2373" t="str">
        <f t="shared" si="709"/>
        <v>0P0</v>
      </c>
      <c r="AD2373" t="str">
        <f t="shared" si="710"/>
        <v>P00</v>
      </c>
      <c r="AE2373" t="str">
        <f t="shared" si="711"/>
        <v>0P0</v>
      </c>
      <c r="AF2373" t="str">
        <f t="shared" si="712"/>
        <v>P00</v>
      </c>
      <c r="AG2373" t="str">
        <f t="shared" si="718"/>
        <v>0P00</v>
      </c>
      <c r="AH2373" t="str">
        <f t="shared" si="719"/>
        <v>P000</v>
      </c>
      <c r="AI2373" t="str">
        <f t="shared" si="720"/>
        <v>0P00</v>
      </c>
      <c r="AJ2373" t="str">
        <f t="shared" si="721"/>
        <v>P000</v>
      </c>
    </row>
    <row r="2374" spans="1:36" x14ac:dyDescent="0.25">
      <c r="A2374" s="325" t="str">
        <f>CONCATENATE("P",'906MP'!M2074)</f>
        <v>P</v>
      </c>
      <c r="B2374">
        <f>'906MP'!H2074</f>
        <v>0</v>
      </c>
      <c r="C2374">
        <f>'906MP'!J2074</f>
        <v>0</v>
      </c>
      <c r="D2374">
        <f>'906MP'!P2074</f>
        <v>0</v>
      </c>
      <c r="E2374">
        <f>'906MP'!X2074</f>
        <v>0</v>
      </c>
      <c r="F2374" t="str">
        <f t="shared" si="713"/>
        <v>0</v>
      </c>
      <c r="G2374" t="str">
        <f t="shared" si="714"/>
        <v>0</v>
      </c>
      <c r="H2374">
        <f>'906MP'!Y2074</f>
        <v>0</v>
      </c>
      <c r="I2374">
        <f>'906MP'!AK2074</f>
        <v>0</v>
      </c>
      <c r="J2374">
        <f>'906MP'!T2074</f>
        <v>0</v>
      </c>
      <c r="K2374">
        <f>'906MP'!AJ2074</f>
        <v>0</v>
      </c>
      <c r="L2374">
        <f>'906MP'!U2074</f>
        <v>0</v>
      </c>
      <c r="M2374" s="322" t="str">
        <f>IFERROR(VLOOKUP(A2374,PAR!$D$3:$E$53,2,FALSE),"nincs szervezet")</f>
        <v>nincs szervezet</v>
      </c>
      <c r="N2374" s="322" t="str">
        <f>VLOOKUP(F2374,PAR!$R$3:$S$5,2,FALSE)</f>
        <v>3 - egyik sem</v>
      </c>
      <c r="O2374" t="str">
        <f>IFERROR(VLOOKUP(J2374,PAR!$O$3:$P$5,2,FALSE),"nincs feladat")</f>
        <v>nincs feladat</v>
      </c>
      <c r="P2374" t="str">
        <f>IFERROR(VLOOKUP(G2374,PAR!$J$2:$M$19,4),"nincs rovat")</f>
        <v>nincs rovat</v>
      </c>
      <c r="Q2374" t="str">
        <f>IF(H2374&gt;0,VLOOKUP(H2374,PAR!$AA$3:$AC$187,3,FALSE),"nincs főkönyvi számla")</f>
        <v>nincs főkönyvi számla</v>
      </c>
      <c r="R2374" t="str">
        <f>IFERROR(VLOOKUP(K2374,PAR!$V$3:$X$438,3,FALSE),"000000 - Nincs COFOG")</f>
        <v>000000 - Nincs COFOG</v>
      </c>
      <c r="S2374">
        <f t="shared" si="715"/>
        <v>0</v>
      </c>
      <c r="T2374">
        <f t="shared" si="716"/>
        <v>0</v>
      </c>
      <c r="U2374" t="str">
        <f>IF('906MP'!J2074&gt;0,CONCATENATE('906MP'!J2074," - ",'906MP'!P2074,", ",'906MP'!E2074),"nincs megjegyzés")</f>
        <v>nincs megjegyzés</v>
      </c>
      <c r="V2374" t="str">
        <f t="shared" si="703"/>
        <v>0P0</v>
      </c>
      <c r="W2374" t="str">
        <f t="shared" si="704"/>
        <v>0P0</v>
      </c>
      <c r="X2374" t="str">
        <f t="shared" si="705"/>
        <v>P0</v>
      </c>
      <c r="Y2374" t="str">
        <f t="shared" si="706"/>
        <v>00</v>
      </c>
      <c r="Z2374" t="str">
        <f t="shared" si="717"/>
        <v>00</v>
      </c>
      <c r="AA2374" t="str">
        <f t="shared" si="707"/>
        <v>00</v>
      </c>
      <c r="AB2374" t="str">
        <f t="shared" si="708"/>
        <v>00</v>
      </c>
      <c r="AC2374" t="str">
        <f t="shared" si="709"/>
        <v>0P0</v>
      </c>
      <c r="AD2374" t="str">
        <f t="shared" si="710"/>
        <v>P00</v>
      </c>
      <c r="AE2374" t="str">
        <f t="shared" si="711"/>
        <v>0P0</v>
      </c>
      <c r="AF2374" t="str">
        <f t="shared" si="712"/>
        <v>P00</v>
      </c>
      <c r="AG2374" t="str">
        <f t="shared" si="718"/>
        <v>0P00</v>
      </c>
      <c r="AH2374" t="str">
        <f t="shared" si="719"/>
        <v>P000</v>
      </c>
      <c r="AI2374" t="str">
        <f t="shared" si="720"/>
        <v>0P00</v>
      </c>
      <c r="AJ2374" t="str">
        <f t="shared" si="721"/>
        <v>P000</v>
      </c>
    </row>
    <row r="2375" spans="1:36" x14ac:dyDescent="0.25">
      <c r="A2375" s="325" t="str">
        <f>CONCATENATE("P",'906MP'!M2075)</f>
        <v>P</v>
      </c>
      <c r="B2375">
        <f>'906MP'!H2075</f>
        <v>0</v>
      </c>
      <c r="C2375">
        <f>'906MP'!J2075</f>
        <v>0</v>
      </c>
      <c r="D2375">
        <f>'906MP'!P2075</f>
        <v>0</v>
      </c>
      <c r="E2375">
        <f>'906MP'!X2075</f>
        <v>0</v>
      </c>
      <c r="F2375" t="str">
        <f t="shared" si="713"/>
        <v>0</v>
      </c>
      <c r="G2375" t="str">
        <f t="shared" si="714"/>
        <v>0</v>
      </c>
      <c r="H2375">
        <f>'906MP'!Y2075</f>
        <v>0</v>
      </c>
      <c r="I2375">
        <f>'906MP'!AK2075</f>
        <v>0</v>
      </c>
      <c r="J2375">
        <f>'906MP'!T2075</f>
        <v>0</v>
      </c>
      <c r="K2375">
        <f>'906MP'!AJ2075</f>
        <v>0</v>
      </c>
      <c r="L2375">
        <f>'906MP'!U2075</f>
        <v>0</v>
      </c>
      <c r="M2375" s="322" t="str">
        <f>IFERROR(VLOOKUP(A2375,PAR!$D$3:$E$53,2,FALSE),"nincs szervezet")</f>
        <v>nincs szervezet</v>
      </c>
      <c r="N2375" s="322" t="str">
        <f>VLOOKUP(F2375,PAR!$R$3:$S$5,2,FALSE)</f>
        <v>3 - egyik sem</v>
      </c>
      <c r="O2375" t="str">
        <f>IFERROR(VLOOKUP(J2375,PAR!$O$3:$P$5,2,FALSE),"nincs feladat")</f>
        <v>nincs feladat</v>
      </c>
      <c r="P2375" t="str">
        <f>IFERROR(VLOOKUP(G2375,PAR!$J$2:$M$19,4),"nincs rovat")</f>
        <v>nincs rovat</v>
      </c>
      <c r="Q2375" t="str">
        <f>IF(H2375&gt;0,VLOOKUP(H2375,PAR!$AA$3:$AC$187,3,FALSE),"nincs főkönyvi számla")</f>
        <v>nincs főkönyvi számla</v>
      </c>
      <c r="R2375" t="str">
        <f>IFERROR(VLOOKUP(K2375,PAR!$V$3:$X$438,3,FALSE),"000000 - Nincs COFOG")</f>
        <v>000000 - Nincs COFOG</v>
      </c>
      <c r="S2375">
        <f t="shared" si="715"/>
        <v>0</v>
      </c>
      <c r="T2375">
        <f t="shared" si="716"/>
        <v>0</v>
      </c>
      <c r="U2375" t="str">
        <f>IF('906MP'!J2075&gt;0,CONCATENATE('906MP'!J2075," - ",'906MP'!P2075,", ",'906MP'!E2075),"nincs megjegyzés")</f>
        <v>nincs megjegyzés</v>
      </c>
      <c r="V2375" t="str">
        <f t="shared" si="703"/>
        <v>0P0</v>
      </c>
      <c r="W2375" t="str">
        <f t="shared" si="704"/>
        <v>0P0</v>
      </c>
      <c r="X2375" t="str">
        <f t="shared" si="705"/>
        <v>P0</v>
      </c>
      <c r="Y2375" t="str">
        <f t="shared" si="706"/>
        <v>00</v>
      </c>
      <c r="Z2375" t="str">
        <f t="shared" si="717"/>
        <v>00</v>
      </c>
      <c r="AA2375" t="str">
        <f t="shared" si="707"/>
        <v>00</v>
      </c>
      <c r="AB2375" t="str">
        <f t="shared" si="708"/>
        <v>00</v>
      </c>
      <c r="AC2375" t="str">
        <f t="shared" si="709"/>
        <v>0P0</v>
      </c>
      <c r="AD2375" t="str">
        <f t="shared" si="710"/>
        <v>P00</v>
      </c>
      <c r="AE2375" t="str">
        <f t="shared" si="711"/>
        <v>0P0</v>
      </c>
      <c r="AF2375" t="str">
        <f t="shared" si="712"/>
        <v>P00</v>
      </c>
      <c r="AG2375" t="str">
        <f t="shared" si="718"/>
        <v>0P00</v>
      </c>
      <c r="AH2375" t="str">
        <f t="shared" si="719"/>
        <v>P000</v>
      </c>
      <c r="AI2375" t="str">
        <f t="shared" si="720"/>
        <v>0P00</v>
      </c>
      <c r="AJ2375" t="str">
        <f t="shared" si="721"/>
        <v>P000</v>
      </c>
    </row>
    <row r="2376" spans="1:36" x14ac:dyDescent="0.25">
      <c r="A2376" s="325" t="str">
        <f>CONCATENATE("P",'906MP'!M2076)</f>
        <v>P</v>
      </c>
      <c r="B2376">
        <f>'906MP'!H2076</f>
        <v>0</v>
      </c>
      <c r="C2376">
        <f>'906MP'!J2076</f>
        <v>0</v>
      </c>
      <c r="D2376">
        <f>'906MP'!P2076</f>
        <v>0</v>
      </c>
      <c r="E2376">
        <f>'906MP'!X2076</f>
        <v>0</v>
      </c>
      <c r="F2376" t="str">
        <f t="shared" si="713"/>
        <v>0</v>
      </c>
      <c r="G2376" t="str">
        <f t="shared" si="714"/>
        <v>0</v>
      </c>
      <c r="H2376">
        <f>'906MP'!Y2076</f>
        <v>0</v>
      </c>
      <c r="I2376">
        <f>'906MP'!AK2076</f>
        <v>0</v>
      </c>
      <c r="J2376">
        <f>'906MP'!T2076</f>
        <v>0</v>
      </c>
      <c r="K2376">
        <f>'906MP'!AJ2076</f>
        <v>0</v>
      </c>
      <c r="L2376">
        <f>'906MP'!U2076</f>
        <v>0</v>
      </c>
      <c r="M2376" s="322" t="str">
        <f>IFERROR(VLOOKUP(A2376,PAR!$D$3:$E$53,2,FALSE),"nincs szervezet")</f>
        <v>nincs szervezet</v>
      </c>
      <c r="N2376" s="322" t="str">
        <f>VLOOKUP(F2376,PAR!$R$3:$S$5,2,FALSE)</f>
        <v>3 - egyik sem</v>
      </c>
      <c r="O2376" t="str">
        <f>IFERROR(VLOOKUP(J2376,PAR!$O$3:$P$5,2,FALSE),"nincs feladat")</f>
        <v>nincs feladat</v>
      </c>
      <c r="P2376" t="str">
        <f>IFERROR(VLOOKUP(G2376,PAR!$J$2:$M$19,4),"nincs rovat")</f>
        <v>nincs rovat</v>
      </c>
      <c r="Q2376" t="str">
        <f>IF(H2376&gt;0,VLOOKUP(H2376,PAR!$AA$3:$AC$187,3,FALSE),"nincs főkönyvi számla")</f>
        <v>nincs főkönyvi számla</v>
      </c>
      <c r="R2376" t="str">
        <f>IFERROR(VLOOKUP(K2376,PAR!$V$3:$X$438,3,FALSE),"000000 - Nincs COFOG")</f>
        <v>000000 - Nincs COFOG</v>
      </c>
      <c r="S2376">
        <f t="shared" si="715"/>
        <v>0</v>
      </c>
      <c r="T2376">
        <f t="shared" si="716"/>
        <v>0</v>
      </c>
      <c r="U2376" t="str">
        <f>IF('906MP'!J2076&gt;0,CONCATENATE('906MP'!J2076," - ",'906MP'!P2076,", ",'906MP'!E2076),"nincs megjegyzés")</f>
        <v>nincs megjegyzés</v>
      </c>
      <c r="V2376" t="str">
        <f t="shared" si="703"/>
        <v>0P0</v>
      </c>
      <c r="W2376" t="str">
        <f t="shared" si="704"/>
        <v>0P0</v>
      </c>
      <c r="X2376" t="str">
        <f t="shared" si="705"/>
        <v>P0</v>
      </c>
      <c r="Y2376" t="str">
        <f t="shared" si="706"/>
        <v>00</v>
      </c>
      <c r="Z2376" t="str">
        <f t="shared" si="717"/>
        <v>00</v>
      </c>
      <c r="AA2376" t="str">
        <f t="shared" si="707"/>
        <v>00</v>
      </c>
      <c r="AB2376" t="str">
        <f t="shared" si="708"/>
        <v>00</v>
      </c>
      <c r="AC2376" t="str">
        <f t="shared" si="709"/>
        <v>0P0</v>
      </c>
      <c r="AD2376" t="str">
        <f t="shared" si="710"/>
        <v>P00</v>
      </c>
      <c r="AE2376" t="str">
        <f t="shared" si="711"/>
        <v>0P0</v>
      </c>
      <c r="AF2376" t="str">
        <f t="shared" si="712"/>
        <v>P00</v>
      </c>
      <c r="AG2376" t="str">
        <f t="shared" si="718"/>
        <v>0P00</v>
      </c>
      <c r="AH2376" t="str">
        <f t="shared" si="719"/>
        <v>P000</v>
      </c>
      <c r="AI2376" t="str">
        <f t="shared" si="720"/>
        <v>0P00</v>
      </c>
      <c r="AJ2376" t="str">
        <f t="shared" si="721"/>
        <v>P000</v>
      </c>
    </row>
    <row r="2377" spans="1:36" x14ac:dyDescent="0.25">
      <c r="A2377" s="325" t="str">
        <f>CONCATENATE("P",'906MP'!M2077)</f>
        <v>P</v>
      </c>
      <c r="B2377">
        <f>'906MP'!H2077</f>
        <v>0</v>
      </c>
      <c r="C2377">
        <f>'906MP'!J2077</f>
        <v>0</v>
      </c>
      <c r="D2377">
        <f>'906MP'!P2077</f>
        <v>0</v>
      </c>
      <c r="E2377">
        <f>'906MP'!X2077</f>
        <v>0</v>
      </c>
      <c r="F2377" t="str">
        <f t="shared" si="713"/>
        <v>0</v>
      </c>
      <c r="G2377" t="str">
        <f t="shared" si="714"/>
        <v>0</v>
      </c>
      <c r="H2377">
        <f>'906MP'!Y2077</f>
        <v>0</v>
      </c>
      <c r="I2377">
        <f>'906MP'!AK2077</f>
        <v>0</v>
      </c>
      <c r="J2377">
        <f>'906MP'!T2077</f>
        <v>0</v>
      </c>
      <c r="K2377">
        <f>'906MP'!AJ2077</f>
        <v>0</v>
      </c>
      <c r="L2377">
        <f>'906MP'!U2077</f>
        <v>0</v>
      </c>
      <c r="M2377" s="322" t="str">
        <f>IFERROR(VLOOKUP(A2377,PAR!$D$3:$E$53,2,FALSE),"nincs szervezet")</f>
        <v>nincs szervezet</v>
      </c>
      <c r="N2377" s="322" t="str">
        <f>VLOOKUP(F2377,PAR!$R$3:$S$5,2,FALSE)</f>
        <v>3 - egyik sem</v>
      </c>
      <c r="O2377" t="str">
        <f>IFERROR(VLOOKUP(J2377,PAR!$O$3:$P$5,2,FALSE),"nincs feladat")</f>
        <v>nincs feladat</v>
      </c>
      <c r="P2377" t="str">
        <f>IFERROR(VLOOKUP(G2377,PAR!$J$2:$M$19,4),"nincs rovat")</f>
        <v>nincs rovat</v>
      </c>
      <c r="Q2377" t="str">
        <f>IF(H2377&gt;0,VLOOKUP(H2377,PAR!$AA$3:$AC$187,3,FALSE),"nincs főkönyvi számla")</f>
        <v>nincs főkönyvi számla</v>
      </c>
      <c r="R2377" t="str">
        <f>IFERROR(VLOOKUP(K2377,PAR!$V$3:$X$438,3,FALSE),"000000 - Nincs COFOG")</f>
        <v>000000 - Nincs COFOG</v>
      </c>
      <c r="S2377">
        <f t="shared" si="715"/>
        <v>0</v>
      </c>
      <c r="T2377">
        <f t="shared" si="716"/>
        <v>0</v>
      </c>
      <c r="U2377" t="str">
        <f>IF('906MP'!J2077&gt;0,CONCATENATE('906MP'!J2077," - ",'906MP'!P2077,", ",'906MP'!E2077),"nincs megjegyzés")</f>
        <v>nincs megjegyzés</v>
      </c>
      <c r="V2377" t="str">
        <f t="shared" si="703"/>
        <v>0P0</v>
      </c>
      <c r="W2377" t="str">
        <f t="shared" si="704"/>
        <v>0P0</v>
      </c>
      <c r="X2377" t="str">
        <f t="shared" si="705"/>
        <v>P0</v>
      </c>
      <c r="Y2377" t="str">
        <f t="shared" si="706"/>
        <v>00</v>
      </c>
      <c r="Z2377" t="str">
        <f t="shared" si="717"/>
        <v>00</v>
      </c>
      <c r="AA2377" t="str">
        <f t="shared" si="707"/>
        <v>00</v>
      </c>
      <c r="AB2377" t="str">
        <f t="shared" si="708"/>
        <v>00</v>
      </c>
      <c r="AC2377" t="str">
        <f t="shared" si="709"/>
        <v>0P0</v>
      </c>
      <c r="AD2377" t="str">
        <f t="shared" si="710"/>
        <v>P00</v>
      </c>
      <c r="AE2377" t="str">
        <f t="shared" si="711"/>
        <v>0P0</v>
      </c>
      <c r="AF2377" t="str">
        <f t="shared" si="712"/>
        <v>P00</v>
      </c>
      <c r="AG2377" t="str">
        <f t="shared" si="718"/>
        <v>0P00</v>
      </c>
      <c r="AH2377" t="str">
        <f t="shared" si="719"/>
        <v>P000</v>
      </c>
      <c r="AI2377" t="str">
        <f t="shared" si="720"/>
        <v>0P00</v>
      </c>
      <c r="AJ2377" t="str">
        <f t="shared" si="721"/>
        <v>P000</v>
      </c>
    </row>
    <row r="2378" spans="1:36" x14ac:dyDescent="0.25">
      <c r="A2378" s="325" t="str">
        <f>CONCATENATE("P",'906MP'!M2078)</f>
        <v>P</v>
      </c>
      <c r="B2378">
        <f>'906MP'!H2078</f>
        <v>0</v>
      </c>
      <c r="C2378">
        <f>'906MP'!J2078</f>
        <v>0</v>
      </c>
      <c r="D2378">
        <f>'906MP'!P2078</f>
        <v>0</v>
      </c>
      <c r="E2378">
        <f>'906MP'!X2078</f>
        <v>0</v>
      </c>
      <c r="F2378" t="str">
        <f t="shared" si="713"/>
        <v>0</v>
      </c>
      <c r="G2378" t="str">
        <f t="shared" si="714"/>
        <v>0</v>
      </c>
      <c r="H2378">
        <f>'906MP'!Y2078</f>
        <v>0</v>
      </c>
      <c r="I2378">
        <f>'906MP'!AK2078</f>
        <v>0</v>
      </c>
      <c r="J2378">
        <f>'906MP'!T2078</f>
        <v>0</v>
      </c>
      <c r="K2378">
        <f>'906MP'!AJ2078</f>
        <v>0</v>
      </c>
      <c r="L2378">
        <f>'906MP'!U2078</f>
        <v>0</v>
      </c>
      <c r="M2378" s="322" t="str">
        <f>IFERROR(VLOOKUP(A2378,PAR!$D$3:$E$53,2,FALSE),"nincs szervezet")</f>
        <v>nincs szervezet</v>
      </c>
      <c r="N2378" s="322" t="str">
        <f>VLOOKUP(F2378,PAR!$R$3:$S$5,2,FALSE)</f>
        <v>3 - egyik sem</v>
      </c>
      <c r="O2378" t="str">
        <f>IFERROR(VLOOKUP(J2378,PAR!$O$3:$P$5,2,FALSE),"nincs feladat")</f>
        <v>nincs feladat</v>
      </c>
      <c r="P2378" t="str">
        <f>IFERROR(VLOOKUP(G2378,PAR!$J$2:$M$19,4),"nincs rovat")</f>
        <v>nincs rovat</v>
      </c>
      <c r="Q2378" t="str">
        <f>IF(H2378&gt;0,VLOOKUP(H2378,PAR!$AA$3:$AC$187,3,FALSE),"nincs főkönyvi számla")</f>
        <v>nincs főkönyvi számla</v>
      </c>
      <c r="R2378" t="str">
        <f>IFERROR(VLOOKUP(K2378,PAR!$V$3:$X$438,3,FALSE),"000000 - Nincs COFOG")</f>
        <v>000000 - Nincs COFOG</v>
      </c>
      <c r="S2378">
        <f t="shared" si="715"/>
        <v>0</v>
      </c>
      <c r="T2378">
        <f t="shared" si="716"/>
        <v>0</v>
      </c>
      <c r="U2378" t="str">
        <f>IF('906MP'!J2078&gt;0,CONCATENATE('906MP'!J2078," - ",'906MP'!P2078,", ",'906MP'!E2078),"nincs megjegyzés")</f>
        <v>nincs megjegyzés</v>
      </c>
      <c r="V2378" t="str">
        <f t="shared" si="703"/>
        <v>0P0</v>
      </c>
      <c r="W2378" t="str">
        <f t="shared" si="704"/>
        <v>0P0</v>
      </c>
      <c r="X2378" t="str">
        <f t="shared" si="705"/>
        <v>P0</v>
      </c>
      <c r="Y2378" t="str">
        <f t="shared" si="706"/>
        <v>00</v>
      </c>
      <c r="Z2378" t="str">
        <f t="shared" si="717"/>
        <v>00</v>
      </c>
      <c r="AA2378" t="str">
        <f t="shared" si="707"/>
        <v>00</v>
      </c>
      <c r="AB2378" t="str">
        <f t="shared" si="708"/>
        <v>00</v>
      </c>
      <c r="AC2378" t="str">
        <f t="shared" si="709"/>
        <v>0P0</v>
      </c>
      <c r="AD2378" t="str">
        <f t="shared" si="710"/>
        <v>P00</v>
      </c>
      <c r="AE2378" t="str">
        <f t="shared" si="711"/>
        <v>0P0</v>
      </c>
      <c r="AF2378" t="str">
        <f t="shared" si="712"/>
        <v>P00</v>
      </c>
      <c r="AG2378" t="str">
        <f t="shared" si="718"/>
        <v>0P00</v>
      </c>
      <c r="AH2378" t="str">
        <f t="shared" si="719"/>
        <v>P000</v>
      </c>
      <c r="AI2378" t="str">
        <f t="shared" si="720"/>
        <v>0P00</v>
      </c>
      <c r="AJ2378" t="str">
        <f t="shared" si="721"/>
        <v>P000</v>
      </c>
    </row>
    <row r="2379" spans="1:36" x14ac:dyDescent="0.25">
      <c r="A2379" s="325" t="str">
        <f>CONCATENATE("P",'906MP'!M2079)</f>
        <v>P</v>
      </c>
      <c r="B2379">
        <f>'906MP'!H2079</f>
        <v>0</v>
      </c>
      <c r="C2379">
        <f>'906MP'!J2079</f>
        <v>0</v>
      </c>
      <c r="D2379">
        <f>'906MP'!P2079</f>
        <v>0</v>
      </c>
      <c r="E2379">
        <f>'906MP'!X2079</f>
        <v>0</v>
      </c>
      <c r="F2379" t="str">
        <f t="shared" si="713"/>
        <v>0</v>
      </c>
      <c r="G2379" t="str">
        <f t="shared" si="714"/>
        <v>0</v>
      </c>
      <c r="H2379">
        <f>'906MP'!Y2079</f>
        <v>0</v>
      </c>
      <c r="I2379">
        <f>'906MP'!AK2079</f>
        <v>0</v>
      </c>
      <c r="J2379">
        <f>'906MP'!T2079</f>
        <v>0</v>
      </c>
      <c r="K2379">
        <f>'906MP'!AJ2079</f>
        <v>0</v>
      </c>
      <c r="L2379">
        <f>'906MP'!U2079</f>
        <v>0</v>
      </c>
      <c r="M2379" s="322" t="str">
        <f>IFERROR(VLOOKUP(A2379,PAR!$D$3:$E$53,2,FALSE),"nincs szervezet")</f>
        <v>nincs szervezet</v>
      </c>
      <c r="N2379" s="322" t="str">
        <f>VLOOKUP(F2379,PAR!$R$3:$S$5,2,FALSE)</f>
        <v>3 - egyik sem</v>
      </c>
      <c r="O2379" t="str">
        <f>IFERROR(VLOOKUP(J2379,PAR!$O$3:$P$5,2,FALSE),"nincs feladat")</f>
        <v>nincs feladat</v>
      </c>
      <c r="P2379" t="str">
        <f>IFERROR(VLOOKUP(G2379,PAR!$J$2:$M$19,4),"nincs rovat")</f>
        <v>nincs rovat</v>
      </c>
      <c r="Q2379" t="str">
        <f>IF(H2379&gt;0,VLOOKUP(H2379,PAR!$AA$3:$AC$187,3,FALSE),"nincs főkönyvi számla")</f>
        <v>nincs főkönyvi számla</v>
      </c>
      <c r="R2379" t="str">
        <f>IFERROR(VLOOKUP(K2379,PAR!$V$3:$X$438,3,FALSE),"000000 - Nincs COFOG")</f>
        <v>000000 - Nincs COFOG</v>
      </c>
      <c r="S2379">
        <f t="shared" si="715"/>
        <v>0</v>
      </c>
      <c r="T2379">
        <f t="shared" si="716"/>
        <v>0</v>
      </c>
      <c r="U2379" t="str">
        <f>IF('906MP'!J2079&gt;0,CONCATENATE('906MP'!J2079," - ",'906MP'!P2079,", ",'906MP'!E2079),"nincs megjegyzés")</f>
        <v>nincs megjegyzés</v>
      </c>
      <c r="V2379" t="str">
        <f t="shared" si="703"/>
        <v>0P0</v>
      </c>
      <c r="W2379" t="str">
        <f t="shared" si="704"/>
        <v>0P0</v>
      </c>
      <c r="X2379" t="str">
        <f t="shared" si="705"/>
        <v>P0</v>
      </c>
      <c r="Y2379" t="str">
        <f t="shared" si="706"/>
        <v>00</v>
      </c>
      <c r="Z2379" t="str">
        <f t="shared" si="717"/>
        <v>00</v>
      </c>
      <c r="AA2379" t="str">
        <f t="shared" si="707"/>
        <v>00</v>
      </c>
      <c r="AB2379" t="str">
        <f t="shared" si="708"/>
        <v>00</v>
      </c>
      <c r="AC2379" t="str">
        <f t="shared" si="709"/>
        <v>0P0</v>
      </c>
      <c r="AD2379" t="str">
        <f t="shared" si="710"/>
        <v>P00</v>
      </c>
      <c r="AE2379" t="str">
        <f t="shared" si="711"/>
        <v>0P0</v>
      </c>
      <c r="AF2379" t="str">
        <f t="shared" si="712"/>
        <v>P00</v>
      </c>
      <c r="AG2379" t="str">
        <f t="shared" si="718"/>
        <v>0P00</v>
      </c>
      <c r="AH2379" t="str">
        <f t="shared" si="719"/>
        <v>P000</v>
      </c>
      <c r="AI2379" t="str">
        <f t="shared" si="720"/>
        <v>0P00</v>
      </c>
      <c r="AJ2379" t="str">
        <f t="shared" si="721"/>
        <v>P000</v>
      </c>
    </row>
    <row r="2380" spans="1:36" x14ac:dyDescent="0.25">
      <c r="A2380" s="325" t="str">
        <f>CONCATENATE("P",'906MP'!M2080)</f>
        <v>P</v>
      </c>
      <c r="B2380">
        <f>'906MP'!H2080</f>
        <v>0</v>
      </c>
      <c r="C2380">
        <f>'906MP'!J2080</f>
        <v>0</v>
      </c>
      <c r="D2380">
        <f>'906MP'!P2080</f>
        <v>0</v>
      </c>
      <c r="E2380">
        <f>'906MP'!X2080</f>
        <v>0</v>
      </c>
      <c r="F2380" t="str">
        <f t="shared" si="713"/>
        <v>0</v>
      </c>
      <c r="G2380" t="str">
        <f t="shared" si="714"/>
        <v>0</v>
      </c>
      <c r="H2380">
        <f>'906MP'!Y2080</f>
        <v>0</v>
      </c>
      <c r="I2380">
        <f>'906MP'!AK2080</f>
        <v>0</v>
      </c>
      <c r="J2380">
        <f>'906MP'!T2080</f>
        <v>0</v>
      </c>
      <c r="K2380">
        <f>'906MP'!AJ2080</f>
        <v>0</v>
      </c>
      <c r="L2380">
        <f>'906MP'!U2080</f>
        <v>0</v>
      </c>
      <c r="M2380" s="322" t="str">
        <f>IFERROR(VLOOKUP(A2380,PAR!$D$3:$E$53,2,FALSE),"nincs szervezet")</f>
        <v>nincs szervezet</v>
      </c>
      <c r="N2380" s="322" t="str">
        <f>VLOOKUP(F2380,PAR!$R$3:$S$5,2,FALSE)</f>
        <v>3 - egyik sem</v>
      </c>
      <c r="O2380" t="str">
        <f>IFERROR(VLOOKUP(J2380,PAR!$O$3:$P$5,2,FALSE),"nincs feladat")</f>
        <v>nincs feladat</v>
      </c>
      <c r="P2380" t="str">
        <f>IFERROR(VLOOKUP(G2380,PAR!$J$2:$M$19,4),"nincs rovat")</f>
        <v>nincs rovat</v>
      </c>
      <c r="Q2380" t="str">
        <f>IF(H2380&gt;0,VLOOKUP(H2380,PAR!$AA$3:$AC$187,3,FALSE),"nincs főkönyvi számla")</f>
        <v>nincs főkönyvi számla</v>
      </c>
      <c r="R2380" t="str">
        <f>IFERROR(VLOOKUP(K2380,PAR!$V$3:$X$438,3,FALSE),"000000 - Nincs COFOG")</f>
        <v>000000 - Nincs COFOG</v>
      </c>
      <c r="S2380">
        <f t="shared" si="715"/>
        <v>0</v>
      </c>
      <c r="T2380">
        <f t="shared" si="716"/>
        <v>0</v>
      </c>
      <c r="U2380" t="str">
        <f>IF('906MP'!J2080&gt;0,CONCATENATE('906MP'!J2080," - ",'906MP'!P2080,", ",'906MP'!E2080),"nincs megjegyzés")</f>
        <v>nincs megjegyzés</v>
      </c>
      <c r="V2380" t="str">
        <f t="shared" si="703"/>
        <v>0P0</v>
      </c>
      <c r="W2380" t="str">
        <f t="shared" si="704"/>
        <v>0P0</v>
      </c>
      <c r="X2380" t="str">
        <f t="shared" si="705"/>
        <v>P0</v>
      </c>
      <c r="Y2380" t="str">
        <f t="shared" si="706"/>
        <v>00</v>
      </c>
      <c r="Z2380" t="str">
        <f t="shared" si="717"/>
        <v>00</v>
      </c>
      <c r="AA2380" t="str">
        <f t="shared" si="707"/>
        <v>00</v>
      </c>
      <c r="AB2380" t="str">
        <f t="shared" si="708"/>
        <v>00</v>
      </c>
      <c r="AC2380" t="str">
        <f t="shared" si="709"/>
        <v>0P0</v>
      </c>
      <c r="AD2380" t="str">
        <f t="shared" si="710"/>
        <v>P00</v>
      </c>
      <c r="AE2380" t="str">
        <f t="shared" si="711"/>
        <v>0P0</v>
      </c>
      <c r="AF2380" t="str">
        <f t="shared" si="712"/>
        <v>P00</v>
      </c>
      <c r="AG2380" t="str">
        <f t="shared" si="718"/>
        <v>0P00</v>
      </c>
      <c r="AH2380" t="str">
        <f t="shared" si="719"/>
        <v>P000</v>
      </c>
      <c r="AI2380" t="str">
        <f t="shared" si="720"/>
        <v>0P00</v>
      </c>
      <c r="AJ2380" t="str">
        <f t="shared" si="721"/>
        <v>P000</v>
      </c>
    </row>
    <row r="2381" spans="1:36" x14ac:dyDescent="0.25">
      <c r="A2381" s="325" t="str">
        <f>CONCATENATE("P",'906MP'!M2081)</f>
        <v>P</v>
      </c>
      <c r="B2381">
        <f>'906MP'!H2081</f>
        <v>0</v>
      </c>
      <c r="C2381">
        <f>'906MP'!J2081</f>
        <v>0</v>
      </c>
      <c r="D2381">
        <f>'906MP'!P2081</f>
        <v>0</v>
      </c>
      <c r="E2381">
        <f>'906MP'!X2081</f>
        <v>0</v>
      </c>
      <c r="F2381" t="str">
        <f t="shared" si="713"/>
        <v>0</v>
      </c>
      <c r="G2381" t="str">
        <f t="shared" si="714"/>
        <v>0</v>
      </c>
      <c r="H2381">
        <f>'906MP'!Y2081</f>
        <v>0</v>
      </c>
      <c r="I2381">
        <f>'906MP'!AK2081</f>
        <v>0</v>
      </c>
      <c r="J2381">
        <f>'906MP'!T2081</f>
        <v>0</v>
      </c>
      <c r="K2381">
        <f>'906MP'!AJ2081</f>
        <v>0</v>
      </c>
      <c r="L2381">
        <f>'906MP'!U2081</f>
        <v>0</v>
      </c>
      <c r="M2381" s="322" t="str">
        <f>IFERROR(VLOOKUP(A2381,PAR!$D$3:$E$53,2,FALSE),"nincs szervezet")</f>
        <v>nincs szervezet</v>
      </c>
      <c r="N2381" s="322" t="str">
        <f>VLOOKUP(F2381,PAR!$R$3:$S$5,2,FALSE)</f>
        <v>3 - egyik sem</v>
      </c>
      <c r="O2381" t="str">
        <f>IFERROR(VLOOKUP(J2381,PAR!$O$3:$P$5,2,FALSE),"nincs feladat")</f>
        <v>nincs feladat</v>
      </c>
      <c r="P2381" t="str">
        <f>IFERROR(VLOOKUP(G2381,PAR!$J$2:$M$19,4),"nincs rovat")</f>
        <v>nincs rovat</v>
      </c>
      <c r="Q2381" t="str">
        <f>IF(H2381&gt;0,VLOOKUP(H2381,PAR!$AA$3:$AC$187,3,FALSE),"nincs főkönyvi számla")</f>
        <v>nincs főkönyvi számla</v>
      </c>
      <c r="R2381" t="str">
        <f>IFERROR(VLOOKUP(K2381,PAR!$V$3:$X$438,3,FALSE),"000000 - Nincs COFOG")</f>
        <v>000000 - Nincs COFOG</v>
      </c>
      <c r="S2381">
        <f t="shared" si="715"/>
        <v>0</v>
      </c>
      <c r="T2381">
        <f t="shared" si="716"/>
        <v>0</v>
      </c>
      <c r="U2381" t="str">
        <f>IF('906MP'!J2081&gt;0,CONCATENATE('906MP'!J2081," - ",'906MP'!P2081,", ",'906MP'!E2081),"nincs megjegyzés")</f>
        <v>nincs megjegyzés</v>
      </c>
      <c r="V2381" t="str">
        <f t="shared" si="703"/>
        <v>0P0</v>
      </c>
      <c r="W2381" t="str">
        <f t="shared" si="704"/>
        <v>0P0</v>
      </c>
      <c r="X2381" t="str">
        <f t="shared" si="705"/>
        <v>P0</v>
      </c>
      <c r="Y2381" t="str">
        <f t="shared" si="706"/>
        <v>00</v>
      </c>
      <c r="Z2381" t="str">
        <f t="shared" si="717"/>
        <v>00</v>
      </c>
      <c r="AA2381" t="str">
        <f t="shared" si="707"/>
        <v>00</v>
      </c>
      <c r="AB2381" t="str">
        <f t="shared" si="708"/>
        <v>00</v>
      </c>
      <c r="AC2381" t="str">
        <f t="shared" si="709"/>
        <v>0P0</v>
      </c>
      <c r="AD2381" t="str">
        <f t="shared" si="710"/>
        <v>P00</v>
      </c>
      <c r="AE2381" t="str">
        <f t="shared" si="711"/>
        <v>0P0</v>
      </c>
      <c r="AF2381" t="str">
        <f t="shared" si="712"/>
        <v>P00</v>
      </c>
      <c r="AG2381" t="str">
        <f t="shared" si="718"/>
        <v>0P00</v>
      </c>
      <c r="AH2381" t="str">
        <f t="shared" si="719"/>
        <v>P000</v>
      </c>
      <c r="AI2381" t="str">
        <f t="shared" si="720"/>
        <v>0P00</v>
      </c>
      <c r="AJ2381" t="str">
        <f t="shared" si="721"/>
        <v>P000</v>
      </c>
    </row>
    <row r="2382" spans="1:36" x14ac:dyDescent="0.25">
      <c r="A2382" s="325" t="str">
        <f>CONCATENATE("P",'906MP'!M2082)</f>
        <v>P</v>
      </c>
      <c r="B2382">
        <f>'906MP'!H2082</f>
        <v>0</v>
      </c>
      <c r="C2382">
        <f>'906MP'!J2082</f>
        <v>0</v>
      </c>
      <c r="D2382">
        <f>'906MP'!P2082</f>
        <v>0</v>
      </c>
      <c r="E2382">
        <f>'906MP'!X2082</f>
        <v>0</v>
      </c>
      <c r="F2382" t="str">
        <f t="shared" si="713"/>
        <v>0</v>
      </c>
      <c r="G2382" t="str">
        <f t="shared" si="714"/>
        <v>0</v>
      </c>
      <c r="H2382">
        <f>'906MP'!Y2082</f>
        <v>0</v>
      </c>
      <c r="I2382">
        <f>'906MP'!AK2082</f>
        <v>0</v>
      </c>
      <c r="J2382">
        <f>'906MP'!T2082</f>
        <v>0</v>
      </c>
      <c r="K2382">
        <f>'906MP'!AJ2082</f>
        <v>0</v>
      </c>
      <c r="L2382">
        <f>'906MP'!U2082</f>
        <v>0</v>
      </c>
      <c r="M2382" s="322" t="str">
        <f>IFERROR(VLOOKUP(A2382,PAR!$D$3:$E$53,2,FALSE),"nincs szervezet")</f>
        <v>nincs szervezet</v>
      </c>
      <c r="N2382" s="322" t="str">
        <f>VLOOKUP(F2382,PAR!$R$3:$S$5,2,FALSE)</f>
        <v>3 - egyik sem</v>
      </c>
      <c r="O2382" t="str">
        <f>IFERROR(VLOOKUP(J2382,PAR!$O$3:$P$5,2,FALSE),"nincs feladat")</f>
        <v>nincs feladat</v>
      </c>
      <c r="P2382" t="str">
        <f>IFERROR(VLOOKUP(G2382,PAR!$J$2:$M$19,4),"nincs rovat")</f>
        <v>nincs rovat</v>
      </c>
      <c r="Q2382" t="str">
        <f>IF(H2382&gt;0,VLOOKUP(H2382,PAR!$AA$3:$AC$187,3,FALSE),"nincs főkönyvi számla")</f>
        <v>nincs főkönyvi számla</v>
      </c>
      <c r="R2382" t="str">
        <f>IFERROR(VLOOKUP(K2382,PAR!$V$3:$X$438,3,FALSE),"000000 - Nincs COFOG")</f>
        <v>000000 - Nincs COFOG</v>
      </c>
      <c r="S2382">
        <f t="shared" si="715"/>
        <v>0</v>
      </c>
      <c r="T2382">
        <f t="shared" si="716"/>
        <v>0</v>
      </c>
      <c r="U2382" t="str">
        <f>IF('906MP'!J2082&gt;0,CONCATENATE('906MP'!J2082," - ",'906MP'!P2082,", ",'906MP'!E2082),"nincs megjegyzés")</f>
        <v>nincs megjegyzés</v>
      </c>
      <c r="V2382" t="str">
        <f t="shared" si="703"/>
        <v>0P0</v>
      </c>
      <c r="W2382" t="str">
        <f t="shared" si="704"/>
        <v>0P0</v>
      </c>
      <c r="X2382" t="str">
        <f t="shared" si="705"/>
        <v>P0</v>
      </c>
      <c r="Y2382" t="str">
        <f t="shared" si="706"/>
        <v>00</v>
      </c>
      <c r="Z2382" t="str">
        <f t="shared" si="717"/>
        <v>00</v>
      </c>
      <c r="AA2382" t="str">
        <f t="shared" si="707"/>
        <v>00</v>
      </c>
      <c r="AB2382" t="str">
        <f t="shared" si="708"/>
        <v>00</v>
      </c>
      <c r="AC2382" t="str">
        <f t="shared" si="709"/>
        <v>0P0</v>
      </c>
      <c r="AD2382" t="str">
        <f t="shared" si="710"/>
        <v>P00</v>
      </c>
      <c r="AE2382" t="str">
        <f t="shared" si="711"/>
        <v>0P0</v>
      </c>
      <c r="AF2382" t="str">
        <f t="shared" si="712"/>
        <v>P00</v>
      </c>
      <c r="AG2382" t="str">
        <f t="shared" si="718"/>
        <v>0P00</v>
      </c>
      <c r="AH2382" t="str">
        <f t="shared" si="719"/>
        <v>P000</v>
      </c>
      <c r="AI2382" t="str">
        <f t="shared" si="720"/>
        <v>0P00</v>
      </c>
      <c r="AJ2382" t="str">
        <f t="shared" si="721"/>
        <v>P000</v>
      </c>
    </row>
    <row r="2383" spans="1:36" x14ac:dyDescent="0.25">
      <c r="A2383" s="325" t="str">
        <f>CONCATENATE("P",'906MP'!M2083)</f>
        <v>P</v>
      </c>
      <c r="B2383">
        <f>'906MP'!H2083</f>
        <v>0</v>
      </c>
      <c r="C2383">
        <f>'906MP'!J2083</f>
        <v>0</v>
      </c>
      <c r="D2383">
        <f>'906MP'!P2083</f>
        <v>0</v>
      </c>
      <c r="E2383">
        <f>'906MP'!X2083</f>
        <v>0</v>
      </c>
      <c r="F2383" t="str">
        <f t="shared" si="713"/>
        <v>0</v>
      </c>
      <c r="G2383" t="str">
        <f t="shared" si="714"/>
        <v>0</v>
      </c>
      <c r="H2383">
        <f>'906MP'!Y2083</f>
        <v>0</v>
      </c>
      <c r="I2383">
        <f>'906MP'!AK2083</f>
        <v>0</v>
      </c>
      <c r="J2383">
        <f>'906MP'!T2083</f>
        <v>0</v>
      </c>
      <c r="K2383">
        <f>'906MP'!AJ2083</f>
        <v>0</v>
      </c>
      <c r="L2383">
        <f>'906MP'!U2083</f>
        <v>0</v>
      </c>
      <c r="M2383" s="322" t="str">
        <f>IFERROR(VLOOKUP(A2383,PAR!$D$3:$E$53,2,FALSE),"nincs szervezet")</f>
        <v>nincs szervezet</v>
      </c>
      <c r="N2383" s="322" t="str">
        <f>VLOOKUP(F2383,PAR!$R$3:$S$5,2,FALSE)</f>
        <v>3 - egyik sem</v>
      </c>
      <c r="O2383" t="str">
        <f>IFERROR(VLOOKUP(J2383,PAR!$O$3:$P$5,2,FALSE),"nincs feladat")</f>
        <v>nincs feladat</v>
      </c>
      <c r="P2383" t="str">
        <f>IFERROR(VLOOKUP(G2383,PAR!$J$2:$M$19,4),"nincs rovat")</f>
        <v>nincs rovat</v>
      </c>
      <c r="Q2383" t="str">
        <f>IF(H2383&gt;0,VLOOKUP(H2383,PAR!$AA$3:$AC$187,3,FALSE),"nincs főkönyvi számla")</f>
        <v>nincs főkönyvi számla</v>
      </c>
      <c r="R2383" t="str">
        <f>IFERROR(VLOOKUP(K2383,PAR!$V$3:$X$438,3,FALSE),"000000 - Nincs COFOG")</f>
        <v>000000 - Nincs COFOG</v>
      </c>
      <c r="S2383">
        <f t="shared" si="715"/>
        <v>0</v>
      </c>
      <c r="T2383">
        <f t="shared" si="716"/>
        <v>0</v>
      </c>
      <c r="U2383" t="str">
        <f>IF('906MP'!J2083&gt;0,CONCATENATE('906MP'!J2083," - ",'906MP'!P2083,", ",'906MP'!E2083),"nincs megjegyzés")</f>
        <v>nincs megjegyzés</v>
      </c>
      <c r="V2383" t="str">
        <f t="shared" si="703"/>
        <v>0P0</v>
      </c>
      <c r="W2383" t="str">
        <f t="shared" si="704"/>
        <v>0P0</v>
      </c>
      <c r="X2383" t="str">
        <f t="shared" si="705"/>
        <v>P0</v>
      </c>
      <c r="Y2383" t="str">
        <f t="shared" si="706"/>
        <v>00</v>
      </c>
      <c r="Z2383" t="str">
        <f t="shared" si="717"/>
        <v>00</v>
      </c>
      <c r="AA2383" t="str">
        <f t="shared" si="707"/>
        <v>00</v>
      </c>
      <c r="AB2383" t="str">
        <f t="shared" si="708"/>
        <v>00</v>
      </c>
      <c r="AC2383" t="str">
        <f t="shared" si="709"/>
        <v>0P0</v>
      </c>
      <c r="AD2383" t="str">
        <f t="shared" si="710"/>
        <v>P00</v>
      </c>
      <c r="AE2383" t="str">
        <f t="shared" si="711"/>
        <v>0P0</v>
      </c>
      <c r="AF2383" t="str">
        <f t="shared" si="712"/>
        <v>P00</v>
      </c>
      <c r="AG2383" t="str">
        <f t="shared" si="718"/>
        <v>0P00</v>
      </c>
      <c r="AH2383" t="str">
        <f t="shared" si="719"/>
        <v>P000</v>
      </c>
      <c r="AI2383" t="str">
        <f t="shared" si="720"/>
        <v>0P00</v>
      </c>
      <c r="AJ2383" t="str">
        <f t="shared" si="721"/>
        <v>P000</v>
      </c>
    </row>
    <row r="2384" spans="1:36" x14ac:dyDescent="0.25">
      <c r="A2384" s="325" t="str">
        <f>CONCATENATE("P",'906MP'!M2084)</f>
        <v>P</v>
      </c>
      <c r="B2384">
        <f>'906MP'!H2084</f>
        <v>0</v>
      </c>
      <c r="C2384">
        <f>'906MP'!J2084</f>
        <v>0</v>
      </c>
      <c r="D2384">
        <f>'906MP'!P2084</f>
        <v>0</v>
      </c>
      <c r="E2384">
        <f>'906MP'!X2084</f>
        <v>0</v>
      </c>
      <c r="F2384" t="str">
        <f t="shared" si="713"/>
        <v>0</v>
      </c>
      <c r="G2384" t="str">
        <f t="shared" si="714"/>
        <v>0</v>
      </c>
      <c r="H2384">
        <f>'906MP'!Y2084</f>
        <v>0</v>
      </c>
      <c r="I2384">
        <f>'906MP'!AK2084</f>
        <v>0</v>
      </c>
      <c r="J2384">
        <f>'906MP'!T2084</f>
        <v>0</v>
      </c>
      <c r="K2384">
        <f>'906MP'!AJ2084</f>
        <v>0</v>
      </c>
      <c r="L2384">
        <f>'906MP'!U2084</f>
        <v>0</v>
      </c>
      <c r="M2384" s="322" t="str">
        <f>IFERROR(VLOOKUP(A2384,PAR!$D$3:$E$53,2,FALSE),"nincs szervezet")</f>
        <v>nincs szervezet</v>
      </c>
      <c r="N2384" s="322" t="str">
        <f>VLOOKUP(F2384,PAR!$R$3:$S$5,2,FALSE)</f>
        <v>3 - egyik sem</v>
      </c>
      <c r="O2384" t="str">
        <f>IFERROR(VLOOKUP(J2384,PAR!$O$3:$P$5,2,FALSE),"nincs feladat")</f>
        <v>nincs feladat</v>
      </c>
      <c r="P2384" t="str">
        <f>IFERROR(VLOOKUP(G2384,PAR!$J$2:$M$19,4),"nincs rovat")</f>
        <v>nincs rovat</v>
      </c>
      <c r="Q2384" t="str">
        <f>IF(H2384&gt;0,VLOOKUP(H2384,PAR!$AA$3:$AC$187,3,FALSE),"nincs főkönyvi számla")</f>
        <v>nincs főkönyvi számla</v>
      </c>
      <c r="R2384" t="str">
        <f>IFERROR(VLOOKUP(K2384,PAR!$V$3:$X$438,3,FALSE),"000000 - Nincs COFOG")</f>
        <v>000000 - Nincs COFOG</v>
      </c>
      <c r="S2384">
        <f t="shared" si="715"/>
        <v>0</v>
      </c>
      <c r="T2384">
        <f t="shared" si="716"/>
        <v>0</v>
      </c>
      <c r="U2384" t="str">
        <f>IF('906MP'!J2084&gt;0,CONCATENATE('906MP'!J2084," - ",'906MP'!P2084,", ",'906MP'!E2084),"nincs megjegyzés")</f>
        <v>nincs megjegyzés</v>
      </c>
      <c r="V2384" t="str">
        <f t="shared" si="703"/>
        <v>0P0</v>
      </c>
      <c r="W2384" t="str">
        <f t="shared" si="704"/>
        <v>0P0</v>
      </c>
      <c r="X2384" t="str">
        <f t="shared" si="705"/>
        <v>P0</v>
      </c>
      <c r="Y2384" t="str">
        <f t="shared" si="706"/>
        <v>00</v>
      </c>
      <c r="Z2384" t="str">
        <f t="shared" si="717"/>
        <v>00</v>
      </c>
      <c r="AA2384" t="str">
        <f t="shared" si="707"/>
        <v>00</v>
      </c>
      <c r="AB2384" t="str">
        <f t="shared" si="708"/>
        <v>00</v>
      </c>
      <c r="AC2384" t="str">
        <f t="shared" si="709"/>
        <v>0P0</v>
      </c>
      <c r="AD2384" t="str">
        <f t="shared" si="710"/>
        <v>P00</v>
      </c>
      <c r="AE2384" t="str">
        <f t="shared" si="711"/>
        <v>0P0</v>
      </c>
      <c r="AF2384" t="str">
        <f t="shared" si="712"/>
        <v>P00</v>
      </c>
      <c r="AG2384" t="str">
        <f t="shared" si="718"/>
        <v>0P00</v>
      </c>
      <c r="AH2384" t="str">
        <f t="shared" si="719"/>
        <v>P000</v>
      </c>
      <c r="AI2384" t="str">
        <f t="shared" si="720"/>
        <v>0P00</v>
      </c>
      <c r="AJ2384" t="str">
        <f t="shared" si="721"/>
        <v>P000</v>
      </c>
    </row>
    <row r="2385" spans="1:36" x14ac:dyDescent="0.25">
      <c r="A2385" s="325" t="str">
        <f>CONCATENATE("P",'906MP'!M2085)</f>
        <v>P</v>
      </c>
      <c r="B2385">
        <f>'906MP'!H2085</f>
        <v>0</v>
      </c>
      <c r="C2385">
        <f>'906MP'!J2085</f>
        <v>0</v>
      </c>
      <c r="D2385">
        <f>'906MP'!P2085</f>
        <v>0</v>
      </c>
      <c r="E2385">
        <f>'906MP'!X2085</f>
        <v>0</v>
      </c>
      <c r="F2385" t="str">
        <f t="shared" si="713"/>
        <v>0</v>
      </c>
      <c r="G2385" t="str">
        <f t="shared" si="714"/>
        <v>0</v>
      </c>
      <c r="H2385">
        <f>'906MP'!Y2085</f>
        <v>0</v>
      </c>
      <c r="I2385">
        <f>'906MP'!AK2085</f>
        <v>0</v>
      </c>
      <c r="J2385">
        <f>'906MP'!T2085</f>
        <v>0</v>
      </c>
      <c r="K2385">
        <f>'906MP'!AJ2085</f>
        <v>0</v>
      </c>
      <c r="L2385">
        <f>'906MP'!U2085</f>
        <v>0</v>
      </c>
      <c r="M2385" s="322" t="str">
        <f>IFERROR(VLOOKUP(A2385,PAR!$D$3:$E$53,2,FALSE),"nincs szervezet")</f>
        <v>nincs szervezet</v>
      </c>
      <c r="N2385" s="322" t="str">
        <f>VLOOKUP(F2385,PAR!$R$3:$S$5,2,FALSE)</f>
        <v>3 - egyik sem</v>
      </c>
      <c r="O2385" t="str">
        <f>IFERROR(VLOOKUP(J2385,PAR!$O$3:$P$5,2,FALSE),"nincs feladat")</f>
        <v>nincs feladat</v>
      </c>
      <c r="P2385" t="str">
        <f>IFERROR(VLOOKUP(G2385,PAR!$J$2:$M$19,4),"nincs rovat")</f>
        <v>nincs rovat</v>
      </c>
      <c r="Q2385" t="str">
        <f>IF(H2385&gt;0,VLOOKUP(H2385,PAR!$AA$3:$AC$187,3,FALSE),"nincs főkönyvi számla")</f>
        <v>nincs főkönyvi számla</v>
      </c>
      <c r="R2385" t="str">
        <f>IFERROR(VLOOKUP(K2385,PAR!$V$3:$X$438,3,FALSE),"000000 - Nincs COFOG")</f>
        <v>000000 - Nincs COFOG</v>
      </c>
      <c r="S2385">
        <f t="shared" si="715"/>
        <v>0</v>
      </c>
      <c r="T2385">
        <f t="shared" si="716"/>
        <v>0</v>
      </c>
      <c r="U2385" t="str">
        <f>IF('906MP'!J2085&gt;0,CONCATENATE('906MP'!J2085," - ",'906MP'!P2085,", ",'906MP'!E2085),"nincs megjegyzés")</f>
        <v>nincs megjegyzés</v>
      </c>
      <c r="V2385" t="str">
        <f t="shared" si="703"/>
        <v>0P0</v>
      </c>
      <c r="W2385" t="str">
        <f t="shared" si="704"/>
        <v>0P0</v>
      </c>
      <c r="X2385" t="str">
        <f t="shared" si="705"/>
        <v>P0</v>
      </c>
      <c r="Y2385" t="str">
        <f t="shared" si="706"/>
        <v>00</v>
      </c>
      <c r="Z2385" t="str">
        <f t="shared" si="717"/>
        <v>00</v>
      </c>
      <c r="AA2385" t="str">
        <f t="shared" si="707"/>
        <v>00</v>
      </c>
      <c r="AB2385" t="str">
        <f t="shared" si="708"/>
        <v>00</v>
      </c>
      <c r="AC2385" t="str">
        <f t="shared" si="709"/>
        <v>0P0</v>
      </c>
      <c r="AD2385" t="str">
        <f t="shared" si="710"/>
        <v>P00</v>
      </c>
      <c r="AE2385" t="str">
        <f t="shared" si="711"/>
        <v>0P0</v>
      </c>
      <c r="AF2385" t="str">
        <f t="shared" si="712"/>
        <v>P00</v>
      </c>
      <c r="AG2385" t="str">
        <f t="shared" si="718"/>
        <v>0P00</v>
      </c>
      <c r="AH2385" t="str">
        <f t="shared" si="719"/>
        <v>P000</v>
      </c>
      <c r="AI2385" t="str">
        <f t="shared" si="720"/>
        <v>0P00</v>
      </c>
      <c r="AJ2385" t="str">
        <f t="shared" si="721"/>
        <v>P000</v>
      </c>
    </row>
    <row r="2386" spans="1:36" x14ac:dyDescent="0.25">
      <c r="A2386" s="325" t="str">
        <f>CONCATENATE("P",'906MP'!M2086)</f>
        <v>P</v>
      </c>
      <c r="B2386">
        <f>'906MP'!H2086</f>
        <v>0</v>
      </c>
      <c r="C2386">
        <f>'906MP'!J2086</f>
        <v>0</v>
      </c>
      <c r="D2386">
        <f>'906MP'!P2086</f>
        <v>0</v>
      </c>
      <c r="E2386">
        <f>'906MP'!X2086</f>
        <v>0</v>
      </c>
      <c r="F2386" t="str">
        <f t="shared" si="713"/>
        <v>0</v>
      </c>
      <c r="G2386" t="str">
        <f t="shared" si="714"/>
        <v>0</v>
      </c>
      <c r="H2386">
        <f>'906MP'!Y2086</f>
        <v>0</v>
      </c>
      <c r="I2386">
        <f>'906MP'!AK2086</f>
        <v>0</v>
      </c>
      <c r="J2386">
        <f>'906MP'!T2086</f>
        <v>0</v>
      </c>
      <c r="K2386">
        <f>'906MP'!AJ2086</f>
        <v>0</v>
      </c>
      <c r="L2386">
        <f>'906MP'!U2086</f>
        <v>0</v>
      </c>
      <c r="M2386" s="322" t="str">
        <f>IFERROR(VLOOKUP(A2386,PAR!$D$3:$E$53,2,FALSE),"nincs szervezet")</f>
        <v>nincs szervezet</v>
      </c>
      <c r="N2386" s="322" t="str">
        <f>VLOOKUP(F2386,PAR!$R$3:$S$5,2,FALSE)</f>
        <v>3 - egyik sem</v>
      </c>
      <c r="O2386" t="str">
        <f>IFERROR(VLOOKUP(J2386,PAR!$O$3:$P$5,2,FALSE),"nincs feladat")</f>
        <v>nincs feladat</v>
      </c>
      <c r="P2386" t="str">
        <f>IFERROR(VLOOKUP(G2386,PAR!$J$2:$M$19,4),"nincs rovat")</f>
        <v>nincs rovat</v>
      </c>
      <c r="Q2386" t="str">
        <f>IF(H2386&gt;0,VLOOKUP(H2386,PAR!$AA$3:$AC$187,3,FALSE),"nincs főkönyvi számla")</f>
        <v>nincs főkönyvi számla</v>
      </c>
      <c r="R2386" t="str">
        <f>IFERROR(VLOOKUP(K2386,PAR!$V$3:$X$438,3,FALSE),"000000 - Nincs COFOG")</f>
        <v>000000 - Nincs COFOG</v>
      </c>
      <c r="S2386">
        <f t="shared" si="715"/>
        <v>0</v>
      </c>
      <c r="T2386">
        <f t="shared" si="716"/>
        <v>0</v>
      </c>
      <c r="U2386" t="str">
        <f>IF('906MP'!J2086&gt;0,CONCATENATE('906MP'!J2086," - ",'906MP'!P2086,", ",'906MP'!E2086),"nincs megjegyzés")</f>
        <v>nincs megjegyzés</v>
      </c>
      <c r="V2386" t="str">
        <f t="shared" si="703"/>
        <v>0P0</v>
      </c>
      <c r="W2386" t="str">
        <f t="shared" si="704"/>
        <v>0P0</v>
      </c>
      <c r="X2386" t="str">
        <f t="shared" si="705"/>
        <v>P0</v>
      </c>
      <c r="Y2386" t="str">
        <f t="shared" si="706"/>
        <v>00</v>
      </c>
      <c r="Z2386" t="str">
        <f t="shared" si="717"/>
        <v>00</v>
      </c>
      <c r="AA2386" t="str">
        <f t="shared" si="707"/>
        <v>00</v>
      </c>
      <c r="AB2386" t="str">
        <f t="shared" si="708"/>
        <v>00</v>
      </c>
      <c r="AC2386" t="str">
        <f t="shared" si="709"/>
        <v>0P0</v>
      </c>
      <c r="AD2386" t="str">
        <f t="shared" si="710"/>
        <v>P00</v>
      </c>
      <c r="AE2386" t="str">
        <f t="shared" si="711"/>
        <v>0P0</v>
      </c>
      <c r="AF2386" t="str">
        <f t="shared" si="712"/>
        <v>P00</v>
      </c>
      <c r="AG2386" t="str">
        <f t="shared" si="718"/>
        <v>0P00</v>
      </c>
      <c r="AH2386" t="str">
        <f t="shared" si="719"/>
        <v>P000</v>
      </c>
      <c r="AI2386" t="str">
        <f t="shared" si="720"/>
        <v>0P00</v>
      </c>
      <c r="AJ2386" t="str">
        <f t="shared" si="721"/>
        <v>P000</v>
      </c>
    </row>
    <row r="2387" spans="1:36" x14ac:dyDescent="0.25">
      <c r="A2387" s="325" t="str">
        <f>CONCATENATE("P",'906MP'!M2087)</f>
        <v>P</v>
      </c>
      <c r="B2387">
        <f>'906MP'!H2087</f>
        <v>0</v>
      </c>
      <c r="C2387">
        <f>'906MP'!J2087</f>
        <v>0</v>
      </c>
      <c r="D2387">
        <f>'906MP'!P2087</f>
        <v>0</v>
      </c>
      <c r="E2387">
        <f>'906MP'!X2087</f>
        <v>0</v>
      </c>
      <c r="F2387" t="str">
        <f t="shared" si="713"/>
        <v>0</v>
      </c>
      <c r="G2387" t="str">
        <f t="shared" si="714"/>
        <v>0</v>
      </c>
      <c r="H2387">
        <f>'906MP'!Y2087</f>
        <v>0</v>
      </c>
      <c r="I2387">
        <f>'906MP'!AK2087</f>
        <v>0</v>
      </c>
      <c r="J2387">
        <f>'906MP'!T2087</f>
        <v>0</v>
      </c>
      <c r="K2387">
        <f>'906MP'!AJ2087</f>
        <v>0</v>
      </c>
      <c r="L2387">
        <f>'906MP'!U2087</f>
        <v>0</v>
      </c>
      <c r="M2387" s="322" t="str">
        <f>IFERROR(VLOOKUP(A2387,PAR!$D$3:$E$53,2,FALSE),"nincs szervezet")</f>
        <v>nincs szervezet</v>
      </c>
      <c r="N2387" s="322" t="str">
        <f>VLOOKUP(F2387,PAR!$R$3:$S$5,2,FALSE)</f>
        <v>3 - egyik sem</v>
      </c>
      <c r="O2387" t="str">
        <f>IFERROR(VLOOKUP(J2387,PAR!$O$3:$P$5,2,FALSE),"nincs feladat")</f>
        <v>nincs feladat</v>
      </c>
      <c r="P2387" t="str">
        <f>IFERROR(VLOOKUP(G2387,PAR!$J$2:$M$19,4),"nincs rovat")</f>
        <v>nincs rovat</v>
      </c>
      <c r="Q2387" t="str">
        <f>IF(H2387&gt;0,VLOOKUP(H2387,PAR!$AA$3:$AC$187,3,FALSE),"nincs főkönyvi számla")</f>
        <v>nincs főkönyvi számla</v>
      </c>
      <c r="R2387" t="str">
        <f>IFERROR(VLOOKUP(K2387,PAR!$V$3:$X$438,3,FALSE),"000000 - Nincs COFOG")</f>
        <v>000000 - Nincs COFOG</v>
      </c>
      <c r="S2387">
        <f t="shared" si="715"/>
        <v>0</v>
      </c>
      <c r="T2387">
        <f t="shared" si="716"/>
        <v>0</v>
      </c>
      <c r="U2387" t="str">
        <f>IF('906MP'!J2087&gt;0,CONCATENATE('906MP'!J2087," - ",'906MP'!P2087,", ",'906MP'!E2087),"nincs megjegyzés")</f>
        <v>nincs megjegyzés</v>
      </c>
      <c r="V2387" t="str">
        <f t="shared" si="703"/>
        <v>0P0</v>
      </c>
      <c r="W2387" t="str">
        <f t="shared" si="704"/>
        <v>0P0</v>
      </c>
      <c r="X2387" t="str">
        <f t="shared" si="705"/>
        <v>P0</v>
      </c>
      <c r="Y2387" t="str">
        <f t="shared" si="706"/>
        <v>00</v>
      </c>
      <c r="Z2387" t="str">
        <f t="shared" si="717"/>
        <v>00</v>
      </c>
      <c r="AA2387" t="str">
        <f t="shared" si="707"/>
        <v>00</v>
      </c>
      <c r="AB2387" t="str">
        <f t="shared" si="708"/>
        <v>00</v>
      </c>
      <c r="AC2387" t="str">
        <f t="shared" si="709"/>
        <v>0P0</v>
      </c>
      <c r="AD2387" t="str">
        <f t="shared" si="710"/>
        <v>P00</v>
      </c>
      <c r="AE2387" t="str">
        <f t="shared" si="711"/>
        <v>0P0</v>
      </c>
      <c r="AF2387" t="str">
        <f t="shared" si="712"/>
        <v>P00</v>
      </c>
      <c r="AG2387" t="str">
        <f t="shared" si="718"/>
        <v>0P00</v>
      </c>
      <c r="AH2387" t="str">
        <f t="shared" si="719"/>
        <v>P000</v>
      </c>
      <c r="AI2387" t="str">
        <f t="shared" si="720"/>
        <v>0P00</v>
      </c>
      <c r="AJ2387" t="str">
        <f t="shared" si="721"/>
        <v>P000</v>
      </c>
    </row>
    <row r="2388" spans="1:36" x14ac:dyDescent="0.25">
      <c r="A2388" s="325" t="str">
        <f>CONCATENATE("P",'906MP'!M2088)</f>
        <v>P</v>
      </c>
      <c r="B2388">
        <f>'906MP'!H2088</f>
        <v>0</v>
      </c>
      <c r="C2388">
        <f>'906MP'!J2088</f>
        <v>0</v>
      </c>
      <c r="D2388">
        <f>'906MP'!P2088</f>
        <v>0</v>
      </c>
      <c r="E2388">
        <f>'906MP'!X2088</f>
        <v>0</v>
      </c>
      <c r="F2388" t="str">
        <f t="shared" si="713"/>
        <v>0</v>
      </c>
      <c r="G2388" t="str">
        <f t="shared" si="714"/>
        <v>0</v>
      </c>
      <c r="H2388">
        <f>'906MP'!Y2088</f>
        <v>0</v>
      </c>
      <c r="I2388">
        <f>'906MP'!AK2088</f>
        <v>0</v>
      </c>
      <c r="J2388">
        <f>'906MP'!T2088</f>
        <v>0</v>
      </c>
      <c r="K2388">
        <f>'906MP'!AJ2088</f>
        <v>0</v>
      </c>
      <c r="L2388">
        <f>'906MP'!U2088</f>
        <v>0</v>
      </c>
      <c r="M2388" s="322" t="str">
        <f>IFERROR(VLOOKUP(A2388,PAR!$D$3:$E$53,2,FALSE),"nincs szervezet")</f>
        <v>nincs szervezet</v>
      </c>
      <c r="N2388" s="322" t="str">
        <f>VLOOKUP(F2388,PAR!$R$3:$S$5,2,FALSE)</f>
        <v>3 - egyik sem</v>
      </c>
      <c r="O2388" t="str">
        <f>IFERROR(VLOOKUP(J2388,PAR!$O$3:$P$5,2,FALSE),"nincs feladat")</f>
        <v>nincs feladat</v>
      </c>
      <c r="P2388" t="str">
        <f>IFERROR(VLOOKUP(G2388,PAR!$J$2:$M$19,4),"nincs rovat")</f>
        <v>nincs rovat</v>
      </c>
      <c r="Q2388" t="str">
        <f>IF(H2388&gt;0,VLOOKUP(H2388,PAR!$AA$3:$AC$187,3,FALSE),"nincs főkönyvi számla")</f>
        <v>nincs főkönyvi számla</v>
      </c>
      <c r="R2388" t="str">
        <f>IFERROR(VLOOKUP(K2388,PAR!$V$3:$X$438,3,FALSE),"000000 - Nincs COFOG")</f>
        <v>000000 - Nincs COFOG</v>
      </c>
      <c r="S2388">
        <f t="shared" si="715"/>
        <v>0</v>
      </c>
      <c r="T2388">
        <f t="shared" si="716"/>
        <v>0</v>
      </c>
      <c r="U2388" t="str">
        <f>IF('906MP'!J2088&gt;0,CONCATENATE('906MP'!J2088," - ",'906MP'!P2088,", ",'906MP'!E2088),"nincs megjegyzés")</f>
        <v>nincs megjegyzés</v>
      </c>
      <c r="V2388" t="str">
        <f t="shared" si="703"/>
        <v>0P0</v>
      </c>
      <c r="W2388" t="str">
        <f t="shared" si="704"/>
        <v>0P0</v>
      </c>
      <c r="X2388" t="str">
        <f t="shared" si="705"/>
        <v>P0</v>
      </c>
      <c r="Y2388" t="str">
        <f t="shared" si="706"/>
        <v>00</v>
      </c>
      <c r="Z2388" t="str">
        <f t="shared" si="717"/>
        <v>00</v>
      </c>
      <c r="AA2388" t="str">
        <f t="shared" si="707"/>
        <v>00</v>
      </c>
      <c r="AB2388" t="str">
        <f t="shared" si="708"/>
        <v>00</v>
      </c>
      <c r="AC2388" t="str">
        <f t="shared" si="709"/>
        <v>0P0</v>
      </c>
      <c r="AD2388" t="str">
        <f t="shared" si="710"/>
        <v>P00</v>
      </c>
      <c r="AE2388" t="str">
        <f t="shared" si="711"/>
        <v>0P0</v>
      </c>
      <c r="AF2388" t="str">
        <f t="shared" si="712"/>
        <v>P00</v>
      </c>
      <c r="AG2388" t="str">
        <f t="shared" si="718"/>
        <v>0P00</v>
      </c>
      <c r="AH2388" t="str">
        <f t="shared" si="719"/>
        <v>P000</v>
      </c>
      <c r="AI2388" t="str">
        <f t="shared" si="720"/>
        <v>0P00</v>
      </c>
      <c r="AJ2388" t="str">
        <f t="shared" si="721"/>
        <v>P000</v>
      </c>
    </row>
    <row r="2389" spans="1:36" x14ac:dyDescent="0.25">
      <c r="A2389" s="325" t="str">
        <f>CONCATENATE("P",'906MP'!M2089)</f>
        <v>P</v>
      </c>
      <c r="B2389">
        <f>'906MP'!H2089</f>
        <v>0</v>
      </c>
      <c r="C2389">
        <f>'906MP'!J2089</f>
        <v>0</v>
      </c>
      <c r="D2389">
        <f>'906MP'!P2089</f>
        <v>0</v>
      </c>
      <c r="E2389">
        <f>'906MP'!X2089</f>
        <v>0</v>
      </c>
      <c r="F2389" t="str">
        <f t="shared" si="713"/>
        <v>0</v>
      </c>
      <c r="G2389" t="str">
        <f t="shared" si="714"/>
        <v>0</v>
      </c>
      <c r="H2389">
        <f>'906MP'!Y2089</f>
        <v>0</v>
      </c>
      <c r="I2389">
        <f>'906MP'!AK2089</f>
        <v>0</v>
      </c>
      <c r="J2389">
        <f>'906MP'!T2089</f>
        <v>0</v>
      </c>
      <c r="K2389">
        <f>'906MP'!AJ2089</f>
        <v>0</v>
      </c>
      <c r="L2389">
        <f>'906MP'!U2089</f>
        <v>0</v>
      </c>
      <c r="M2389" s="322" t="str">
        <f>IFERROR(VLOOKUP(A2389,PAR!$D$3:$E$53,2,FALSE),"nincs szervezet")</f>
        <v>nincs szervezet</v>
      </c>
      <c r="N2389" s="322" t="str">
        <f>VLOOKUP(F2389,PAR!$R$3:$S$5,2,FALSE)</f>
        <v>3 - egyik sem</v>
      </c>
      <c r="O2389" t="str">
        <f>IFERROR(VLOOKUP(J2389,PAR!$O$3:$P$5,2,FALSE),"nincs feladat")</f>
        <v>nincs feladat</v>
      </c>
      <c r="P2389" t="str">
        <f>IFERROR(VLOOKUP(G2389,PAR!$J$2:$M$19,4),"nincs rovat")</f>
        <v>nincs rovat</v>
      </c>
      <c r="Q2389" t="str">
        <f>IF(H2389&gt;0,VLOOKUP(H2389,PAR!$AA$3:$AC$187,3,FALSE),"nincs főkönyvi számla")</f>
        <v>nincs főkönyvi számla</v>
      </c>
      <c r="R2389" t="str">
        <f>IFERROR(VLOOKUP(K2389,PAR!$V$3:$X$438,3,FALSE),"000000 - Nincs COFOG")</f>
        <v>000000 - Nincs COFOG</v>
      </c>
      <c r="S2389">
        <f t="shared" si="715"/>
        <v>0</v>
      </c>
      <c r="T2389">
        <f t="shared" si="716"/>
        <v>0</v>
      </c>
      <c r="U2389" t="str">
        <f>IF('906MP'!J2089&gt;0,CONCATENATE('906MP'!J2089," - ",'906MP'!P2089,", ",'906MP'!E2089),"nincs megjegyzés")</f>
        <v>nincs megjegyzés</v>
      </c>
      <c r="V2389" t="str">
        <f t="shared" si="703"/>
        <v>0P0</v>
      </c>
      <c r="W2389" t="str">
        <f t="shared" si="704"/>
        <v>0P0</v>
      </c>
      <c r="X2389" t="str">
        <f t="shared" si="705"/>
        <v>P0</v>
      </c>
      <c r="Y2389" t="str">
        <f t="shared" si="706"/>
        <v>00</v>
      </c>
      <c r="Z2389" t="str">
        <f t="shared" si="717"/>
        <v>00</v>
      </c>
      <c r="AA2389" t="str">
        <f t="shared" si="707"/>
        <v>00</v>
      </c>
      <c r="AB2389" t="str">
        <f t="shared" si="708"/>
        <v>00</v>
      </c>
      <c r="AC2389" t="str">
        <f t="shared" si="709"/>
        <v>0P0</v>
      </c>
      <c r="AD2389" t="str">
        <f t="shared" si="710"/>
        <v>P00</v>
      </c>
      <c r="AE2389" t="str">
        <f t="shared" si="711"/>
        <v>0P0</v>
      </c>
      <c r="AF2389" t="str">
        <f t="shared" si="712"/>
        <v>P00</v>
      </c>
      <c r="AG2389" t="str">
        <f t="shared" si="718"/>
        <v>0P00</v>
      </c>
      <c r="AH2389" t="str">
        <f t="shared" si="719"/>
        <v>P000</v>
      </c>
      <c r="AI2389" t="str">
        <f t="shared" si="720"/>
        <v>0P00</v>
      </c>
      <c r="AJ2389" t="str">
        <f t="shared" si="721"/>
        <v>P000</v>
      </c>
    </row>
    <row r="2390" spans="1:36" x14ac:dyDescent="0.25">
      <c r="A2390" s="325" t="str">
        <f>CONCATENATE("P",'906MP'!M2090)</f>
        <v>P</v>
      </c>
      <c r="B2390">
        <f>'906MP'!H2090</f>
        <v>0</v>
      </c>
      <c r="C2390">
        <f>'906MP'!J2090</f>
        <v>0</v>
      </c>
      <c r="D2390">
        <f>'906MP'!P2090</f>
        <v>0</v>
      </c>
      <c r="E2390">
        <f>'906MP'!X2090</f>
        <v>0</v>
      </c>
      <c r="F2390" t="str">
        <f t="shared" si="713"/>
        <v>0</v>
      </c>
      <c r="G2390" t="str">
        <f t="shared" si="714"/>
        <v>0</v>
      </c>
      <c r="H2390">
        <f>'906MP'!Y2090</f>
        <v>0</v>
      </c>
      <c r="I2390">
        <f>'906MP'!AK2090</f>
        <v>0</v>
      </c>
      <c r="J2390">
        <f>'906MP'!T2090</f>
        <v>0</v>
      </c>
      <c r="K2390">
        <f>'906MP'!AJ2090</f>
        <v>0</v>
      </c>
      <c r="L2390">
        <f>'906MP'!U2090</f>
        <v>0</v>
      </c>
      <c r="M2390" s="322" t="str">
        <f>IFERROR(VLOOKUP(A2390,PAR!$D$3:$E$53,2,FALSE),"nincs szervezet")</f>
        <v>nincs szervezet</v>
      </c>
      <c r="N2390" s="322" t="str">
        <f>VLOOKUP(F2390,PAR!$R$3:$S$5,2,FALSE)</f>
        <v>3 - egyik sem</v>
      </c>
      <c r="O2390" t="str">
        <f>IFERROR(VLOOKUP(J2390,PAR!$O$3:$P$5,2,FALSE),"nincs feladat")</f>
        <v>nincs feladat</v>
      </c>
      <c r="P2390" t="str">
        <f>IFERROR(VLOOKUP(G2390,PAR!$J$2:$M$19,4),"nincs rovat")</f>
        <v>nincs rovat</v>
      </c>
      <c r="Q2390" t="str">
        <f>IF(H2390&gt;0,VLOOKUP(H2390,PAR!$AA$3:$AC$187,3,FALSE),"nincs főkönyvi számla")</f>
        <v>nincs főkönyvi számla</v>
      </c>
      <c r="R2390" t="str">
        <f>IFERROR(VLOOKUP(K2390,PAR!$V$3:$X$438,3,FALSE),"000000 - Nincs COFOG")</f>
        <v>000000 - Nincs COFOG</v>
      </c>
      <c r="S2390">
        <f t="shared" si="715"/>
        <v>0</v>
      </c>
      <c r="T2390">
        <f t="shared" si="716"/>
        <v>0</v>
      </c>
      <c r="U2390" t="str">
        <f>IF('906MP'!J2090&gt;0,CONCATENATE('906MP'!J2090," - ",'906MP'!P2090,", ",'906MP'!E2090),"nincs megjegyzés")</f>
        <v>nincs megjegyzés</v>
      </c>
      <c r="V2390" t="str">
        <f t="shared" si="703"/>
        <v>0P0</v>
      </c>
      <c r="W2390" t="str">
        <f t="shared" si="704"/>
        <v>0P0</v>
      </c>
      <c r="X2390" t="str">
        <f t="shared" si="705"/>
        <v>P0</v>
      </c>
      <c r="Y2390" t="str">
        <f t="shared" si="706"/>
        <v>00</v>
      </c>
      <c r="Z2390" t="str">
        <f t="shared" si="717"/>
        <v>00</v>
      </c>
      <c r="AA2390" t="str">
        <f t="shared" si="707"/>
        <v>00</v>
      </c>
      <c r="AB2390" t="str">
        <f t="shared" si="708"/>
        <v>00</v>
      </c>
      <c r="AC2390" t="str">
        <f t="shared" si="709"/>
        <v>0P0</v>
      </c>
      <c r="AD2390" t="str">
        <f t="shared" si="710"/>
        <v>P00</v>
      </c>
      <c r="AE2390" t="str">
        <f t="shared" si="711"/>
        <v>0P0</v>
      </c>
      <c r="AF2390" t="str">
        <f t="shared" si="712"/>
        <v>P00</v>
      </c>
      <c r="AG2390" t="str">
        <f t="shared" si="718"/>
        <v>0P00</v>
      </c>
      <c r="AH2390" t="str">
        <f t="shared" si="719"/>
        <v>P000</v>
      </c>
      <c r="AI2390" t="str">
        <f t="shared" si="720"/>
        <v>0P00</v>
      </c>
      <c r="AJ2390" t="str">
        <f t="shared" si="721"/>
        <v>P000</v>
      </c>
    </row>
    <row r="2391" spans="1:36" x14ac:dyDescent="0.25">
      <c r="A2391" s="325" t="str">
        <f>CONCATENATE("P",'906MP'!M2091)</f>
        <v>P</v>
      </c>
      <c r="B2391">
        <f>'906MP'!H2091</f>
        <v>0</v>
      </c>
      <c r="C2391">
        <f>'906MP'!J2091</f>
        <v>0</v>
      </c>
      <c r="D2391">
        <f>'906MP'!P2091</f>
        <v>0</v>
      </c>
      <c r="E2391">
        <f>'906MP'!X2091</f>
        <v>0</v>
      </c>
      <c r="F2391" t="str">
        <f t="shared" si="713"/>
        <v>0</v>
      </c>
      <c r="G2391" t="str">
        <f t="shared" si="714"/>
        <v>0</v>
      </c>
      <c r="H2391">
        <f>'906MP'!Y2091</f>
        <v>0</v>
      </c>
      <c r="I2391">
        <f>'906MP'!AK2091</f>
        <v>0</v>
      </c>
      <c r="J2391">
        <f>'906MP'!T2091</f>
        <v>0</v>
      </c>
      <c r="K2391">
        <f>'906MP'!AJ2091</f>
        <v>0</v>
      </c>
      <c r="L2391">
        <f>'906MP'!U2091</f>
        <v>0</v>
      </c>
      <c r="M2391" s="322" t="str">
        <f>IFERROR(VLOOKUP(A2391,PAR!$D$3:$E$53,2,FALSE),"nincs szervezet")</f>
        <v>nincs szervezet</v>
      </c>
      <c r="N2391" s="322" t="str">
        <f>VLOOKUP(F2391,PAR!$R$3:$S$5,2,FALSE)</f>
        <v>3 - egyik sem</v>
      </c>
      <c r="O2391" t="str">
        <f>IFERROR(VLOOKUP(J2391,PAR!$O$3:$P$5,2,FALSE),"nincs feladat")</f>
        <v>nincs feladat</v>
      </c>
      <c r="P2391" t="str">
        <f>IFERROR(VLOOKUP(G2391,PAR!$J$2:$M$19,4),"nincs rovat")</f>
        <v>nincs rovat</v>
      </c>
      <c r="Q2391" t="str">
        <f>IF(H2391&gt;0,VLOOKUP(H2391,PAR!$AA$3:$AC$187,3,FALSE),"nincs főkönyvi számla")</f>
        <v>nincs főkönyvi számla</v>
      </c>
      <c r="R2391" t="str">
        <f>IFERROR(VLOOKUP(K2391,PAR!$V$3:$X$438,3,FALSE),"000000 - Nincs COFOG")</f>
        <v>000000 - Nincs COFOG</v>
      </c>
      <c r="S2391">
        <f t="shared" si="715"/>
        <v>0</v>
      </c>
      <c r="T2391">
        <f t="shared" si="716"/>
        <v>0</v>
      </c>
      <c r="U2391" t="str">
        <f>IF('906MP'!J2091&gt;0,CONCATENATE('906MP'!J2091," - ",'906MP'!P2091,", ",'906MP'!E2091),"nincs megjegyzés")</f>
        <v>nincs megjegyzés</v>
      </c>
      <c r="V2391" t="str">
        <f t="shared" si="703"/>
        <v>0P0</v>
      </c>
      <c r="W2391" t="str">
        <f t="shared" si="704"/>
        <v>0P0</v>
      </c>
      <c r="X2391" t="str">
        <f t="shared" si="705"/>
        <v>P0</v>
      </c>
      <c r="Y2391" t="str">
        <f t="shared" si="706"/>
        <v>00</v>
      </c>
      <c r="Z2391" t="str">
        <f t="shared" si="717"/>
        <v>00</v>
      </c>
      <c r="AA2391" t="str">
        <f t="shared" si="707"/>
        <v>00</v>
      </c>
      <c r="AB2391" t="str">
        <f t="shared" si="708"/>
        <v>00</v>
      </c>
      <c r="AC2391" t="str">
        <f t="shared" si="709"/>
        <v>0P0</v>
      </c>
      <c r="AD2391" t="str">
        <f t="shared" si="710"/>
        <v>P00</v>
      </c>
      <c r="AE2391" t="str">
        <f t="shared" si="711"/>
        <v>0P0</v>
      </c>
      <c r="AF2391" t="str">
        <f t="shared" si="712"/>
        <v>P00</v>
      </c>
      <c r="AG2391" t="str">
        <f t="shared" si="718"/>
        <v>0P00</v>
      </c>
      <c r="AH2391" t="str">
        <f t="shared" si="719"/>
        <v>P000</v>
      </c>
      <c r="AI2391" t="str">
        <f t="shared" si="720"/>
        <v>0P00</v>
      </c>
      <c r="AJ2391" t="str">
        <f t="shared" si="721"/>
        <v>P000</v>
      </c>
    </row>
    <row r="2392" spans="1:36" x14ac:dyDescent="0.25">
      <c r="A2392" s="325" t="str">
        <f>CONCATENATE("P",'906MP'!M2092)</f>
        <v>P</v>
      </c>
      <c r="B2392">
        <f>'906MP'!H2092</f>
        <v>0</v>
      </c>
      <c r="C2392">
        <f>'906MP'!J2092</f>
        <v>0</v>
      </c>
      <c r="D2392">
        <f>'906MP'!P2092</f>
        <v>0</v>
      </c>
      <c r="E2392">
        <f>'906MP'!X2092</f>
        <v>0</v>
      </c>
      <c r="F2392" t="str">
        <f t="shared" si="713"/>
        <v>0</v>
      </c>
      <c r="G2392" t="str">
        <f t="shared" si="714"/>
        <v>0</v>
      </c>
      <c r="H2392">
        <f>'906MP'!Y2092</f>
        <v>0</v>
      </c>
      <c r="I2392">
        <f>'906MP'!AK2092</f>
        <v>0</v>
      </c>
      <c r="J2392">
        <f>'906MP'!T2092</f>
        <v>0</v>
      </c>
      <c r="K2392">
        <f>'906MP'!AJ2092</f>
        <v>0</v>
      </c>
      <c r="L2392">
        <f>'906MP'!U2092</f>
        <v>0</v>
      </c>
      <c r="M2392" s="322" t="str">
        <f>IFERROR(VLOOKUP(A2392,PAR!$D$3:$E$53,2,FALSE),"nincs szervezet")</f>
        <v>nincs szervezet</v>
      </c>
      <c r="N2392" s="322" t="str">
        <f>VLOOKUP(F2392,PAR!$R$3:$S$5,2,FALSE)</f>
        <v>3 - egyik sem</v>
      </c>
      <c r="O2392" t="str">
        <f>IFERROR(VLOOKUP(J2392,PAR!$O$3:$P$5,2,FALSE),"nincs feladat")</f>
        <v>nincs feladat</v>
      </c>
      <c r="P2392" t="str">
        <f>IFERROR(VLOOKUP(G2392,PAR!$J$2:$M$19,4),"nincs rovat")</f>
        <v>nincs rovat</v>
      </c>
      <c r="Q2392" t="str">
        <f>IF(H2392&gt;0,VLOOKUP(H2392,PAR!$AA$3:$AC$187,3,FALSE),"nincs főkönyvi számla")</f>
        <v>nincs főkönyvi számla</v>
      </c>
      <c r="R2392" t="str">
        <f>IFERROR(VLOOKUP(K2392,PAR!$V$3:$X$438,3,FALSE),"000000 - Nincs COFOG")</f>
        <v>000000 - Nincs COFOG</v>
      </c>
      <c r="S2392">
        <f t="shared" si="715"/>
        <v>0</v>
      </c>
      <c r="T2392">
        <f t="shared" si="716"/>
        <v>0</v>
      </c>
      <c r="U2392" t="str">
        <f>IF('906MP'!J2092&gt;0,CONCATENATE('906MP'!J2092," - ",'906MP'!P2092,", ",'906MP'!E2092),"nincs megjegyzés")</f>
        <v>nincs megjegyzés</v>
      </c>
      <c r="V2392" t="str">
        <f t="shared" si="703"/>
        <v>0P0</v>
      </c>
      <c r="W2392" t="str">
        <f t="shared" si="704"/>
        <v>0P0</v>
      </c>
      <c r="X2392" t="str">
        <f t="shared" si="705"/>
        <v>P0</v>
      </c>
      <c r="Y2392" t="str">
        <f t="shared" si="706"/>
        <v>00</v>
      </c>
      <c r="Z2392" t="str">
        <f t="shared" si="717"/>
        <v>00</v>
      </c>
      <c r="AA2392" t="str">
        <f t="shared" si="707"/>
        <v>00</v>
      </c>
      <c r="AB2392" t="str">
        <f t="shared" si="708"/>
        <v>00</v>
      </c>
      <c r="AC2392" t="str">
        <f t="shared" si="709"/>
        <v>0P0</v>
      </c>
      <c r="AD2392" t="str">
        <f t="shared" si="710"/>
        <v>P00</v>
      </c>
      <c r="AE2392" t="str">
        <f t="shared" si="711"/>
        <v>0P0</v>
      </c>
      <c r="AF2392" t="str">
        <f t="shared" si="712"/>
        <v>P00</v>
      </c>
      <c r="AG2392" t="str">
        <f t="shared" si="718"/>
        <v>0P00</v>
      </c>
      <c r="AH2392" t="str">
        <f t="shared" si="719"/>
        <v>P000</v>
      </c>
      <c r="AI2392" t="str">
        <f t="shared" si="720"/>
        <v>0P00</v>
      </c>
      <c r="AJ2392" t="str">
        <f t="shared" si="721"/>
        <v>P000</v>
      </c>
    </row>
    <row r="2393" spans="1:36" x14ac:dyDescent="0.25">
      <c r="A2393" s="325" t="str">
        <f>CONCATENATE("P",'906MP'!M2093)</f>
        <v>P</v>
      </c>
      <c r="B2393">
        <f>'906MP'!H2093</f>
        <v>0</v>
      </c>
      <c r="C2393">
        <f>'906MP'!J2093</f>
        <v>0</v>
      </c>
      <c r="D2393">
        <f>'906MP'!P2093</f>
        <v>0</v>
      </c>
      <c r="E2393">
        <f>'906MP'!X2093</f>
        <v>0</v>
      </c>
      <c r="F2393" t="str">
        <f t="shared" si="713"/>
        <v>0</v>
      </c>
      <c r="G2393" t="str">
        <f t="shared" si="714"/>
        <v>0</v>
      </c>
      <c r="H2393">
        <f>'906MP'!Y2093</f>
        <v>0</v>
      </c>
      <c r="I2393">
        <f>'906MP'!AK2093</f>
        <v>0</v>
      </c>
      <c r="J2393">
        <f>'906MP'!T2093</f>
        <v>0</v>
      </c>
      <c r="K2393">
        <f>'906MP'!AJ2093</f>
        <v>0</v>
      </c>
      <c r="L2393">
        <f>'906MP'!U2093</f>
        <v>0</v>
      </c>
      <c r="M2393" s="322" t="str">
        <f>IFERROR(VLOOKUP(A2393,PAR!$D$3:$E$53,2,FALSE),"nincs szervezet")</f>
        <v>nincs szervezet</v>
      </c>
      <c r="N2393" s="322" t="str">
        <f>VLOOKUP(F2393,PAR!$R$3:$S$5,2,FALSE)</f>
        <v>3 - egyik sem</v>
      </c>
      <c r="O2393" t="str">
        <f>IFERROR(VLOOKUP(J2393,PAR!$O$3:$P$5,2,FALSE),"nincs feladat")</f>
        <v>nincs feladat</v>
      </c>
      <c r="P2393" t="str">
        <f>IFERROR(VLOOKUP(G2393,PAR!$J$2:$M$19,4),"nincs rovat")</f>
        <v>nincs rovat</v>
      </c>
      <c r="Q2393" t="str">
        <f>IF(H2393&gt;0,VLOOKUP(H2393,PAR!$AA$3:$AC$187,3,FALSE),"nincs főkönyvi számla")</f>
        <v>nincs főkönyvi számla</v>
      </c>
      <c r="R2393" t="str">
        <f>IFERROR(VLOOKUP(K2393,PAR!$V$3:$X$438,3,FALSE),"000000 - Nincs COFOG")</f>
        <v>000000 - Nincs COFOG</v>
      </c>
      <c r="S2393">
        <f t="shared" si="715"/>
        <v>0</v>
      </c>
      <c r="T2393">
        <f t="shared" si="716"/>
        <v>0</v>
      </c>
      <c r="U2393" t="str">
        <f>IF('906MP'!J2093&gt;0,CONCATENATE('906MP'!J2093," - ",'906MP'!P2093,", ",'906MP'!E2093),"nincs megjegyzés")</f>
        <v>nincs megjegyzés</v>
      </c>
      <c r="V2393" t="str">
        <f t="shared" si="703"/>
        <v>0P0</v>
      </c>
      <c r="W2393" t="str">
        <f t="shared" si="704"/>
        <v>0P0</v>
      </c>
      <c r="X2393" t="str">
        <f t="shared" si="705"/>
        <v>P0</v>
      </c>
      <c r="Y2393" t="str">
        <f t="shared" si="706"/>
        <v>00</v>
      </c>
      <c r="Z2393" t="str">
        <f t="shared" si="717"/>
        <v>00</v>
      </c>
      <c r="AA2393" t="str">
        <f t="shared" si="707"/>
        <v>00</v>
      </c>
      <c r="AB2393" t="str">
        <f t="shared" si="708"/>
        <v>00</v>
      </c>
      <c r="AC2393" t="str">
        <f t="shared" si="709"/>
        <v>0P0</v>
      </c>
      <c r="AD2393" t="str">
        <f t="shared" si="710"/>
        <v>P00</v>
      </c>
      <c r="AE2393" t="str">
        <f t="shared" si="711"/>
        <v>0P0</v>
      </c>
      <c r="AF2393" t="str">
        <f t="shared" si="712"/>
        <v>P00</v>
      </c>
      <c r="AG2393" t="str">
        <f t="shared" si="718"/>
        <v>0P00</v>
      </c>
      <c r="AH2393" t="str">
        <f t="shared" si="719"/>
        <v>P000</v>
      </c>
      <c r="AI2393" t="str">
        <f t="shared" si="720"/>
        <v>0P00</v>
      </c>
      <c r="AJ2393" t="str">
        <f t="shared" si="721"/>
        <v>P000</v>
      </c>
    </row>
    <row r="2394" spans="1:36" x14ac:dyDescent="0.25">
      <c r="A2394" s="325" t="str">
        <f>CONCATENATE("P",'906MP'!M2094)</f>
        <v>P</v>
      </c>
      <c r="B2394">
        <f>'906MP'!H2094</f>
        <v>0</v>
      </c>
      <c r="C2394">
        <f>'906MP'!J2094</f>
        <v>0</v>
      </c>
      <c r="D2394">
        <f>'906MP'!P2094</f>
        <v>0</v>
      </c>
      <c r="E2394">
        <f>'906MP'!X2094</f>
        <v>0</v>
      </c>
      <c r="F2394" t="str">
        <f t="shared" si="713"/>
        <v>0</v>
      </c>
      <c r="G2394" t="str">
        <f t="shared" si="714"/>
        <v>0</v>
      </c>
      <c r="H2394">
        <f>'906MP'!Y2094</f>
        <v>0</v>
      </c>
      <c r="I2394">
        <f>'906MP'!AK2094</f>
        <v>0</v>
      </c>
      <c r="J2394">
        <f>'906MP'!T2094</f>
        <v>0</v>
      </c>
      <c r="K2394">
        <f>'906MP'!AJ2094</f>
        <v>0</v>
      </c>
      <c r="L2394">
        <f>'906MP'!U2094</f>
        <v>0</v>
      </c>
      <c r="M2394" s="322" t="str">
        <f>IFERROR(VLOOKUP(A2394,PAR!$D$3:$E$53,2,FALSE),"nincs szervezet")</f>
        <v>nincs szervezet</v>
      </c>
      <c r="N2394" s="322" t="str">
        <f>VLOOKUP(F2394,PAR!$R$3:$S$5,2,FALSE)</f>
        <v>3 - egyik sem</v>
      </c>
      <c r="O2394" t="str">
        <f>IFERROR(VLOOKUP(J2394,PAR!$O$3:$P$5,2,FALSE),"nincs feladat")</f>
        <v>nincs feladat</v>
      </c>
      <c r="P2394" t="str">
        <f>IFERROR(VLOOKUP(G2394,PAR!$J$2:$M$19,4),"nincs rovat")</f>
        <v>nincs rovat</v>
      </c>
      <c r="Q2394" t="str">
        <f>IF(H2394&gt;0,VLOOKUP(H2394,PAR!$AA$3:$AC$187,3,FALSE),"nincs főkönyvi számla")</f>
        <v>nincs főkönyvi számla</v>
      </c>
      <c r="R2394" t="str">
        <f>IFERROR(VLOOKUP(K2394,PAR!$V$3:$X$438,3,FALSE),"000000 - Nincs COFOG")</f>
        <v>000000 - Nincs COFOG</v>
      </c>
      <c r="S2394">
        <f t="shared" si="715"/>
        <v>0</v>
      </c>
      <c r="T2394">
        <f t="shared" si="716"/>
        <v>0</v>
      </c>
      <c r="U2394" t="str">
        <f>IF('906MP'!J2094&gt;0,CONCATENATE('906MP'!J2094," - ",'906MP'!P2094,", ",'906MP'!E2094),"nincs megjegyzés")</f>
        <v>nincs megjegyzés</v>
      </c>
      <c r="V2394" t="str">
        <f t="shared" si="703"/>
        <v>0P0</v>
      </c>
      <c r="W2394" t="str">
        <f t="shared" si="704"/>
        <v>0P0</v>
      </c>
      <c r="X2394" t="str">
        <f t="shared" si="705"/>
        <v>P0</v>
      </c>
      <c r="Y2394" t="str">
        <f t="shared" si="706"/>
        <v>00</v>
      </c>
      <c r="Z2394" t="str">
        <f t="shared" si="717"/>
        <v>00</v>
      </c>
      <c r="AA2394" t="str">
        <f t="shared" si="707"/>
        <v>00</v>
      </c>
      <c r="AB2394" t="str">
        <f t="shared" si="708"/>
        <v>00</v>
      </c>
      <c r="AC2394" t="str">
        <f t="shared" si="709"/>
        <v>0P0</v>
      </c>
      <c r="AD2394" t="str">
        <f t="shared" si="710"/>
        <v>P00</v>
      </c>
      <c r="AE2394" t="str">
        <f t="shared" si="711"/>
        <v>0P0</v>
      </c>
      <c r="AF2394" t="str">
        <f t="shared" si="712"/>
        <v>P00</v>
      </c>
      <c r="AG2394" t="str">
        <f t="shared" si="718"/>
        <v>0P00</v>
      </c>
      <c r="AH2394" t="str">
        <f t="shared" si="719"/>
        <v>P000</v>
      </c>
      <c r="AI2394" t="str">
        <f t="shared" si="720"/>
        <v>0P00</v>
      </c>
      <c r="AJ2394" t="str">
        <f t="shared" si="721"/>
        <v>P000</v>
      </c>
    </row>
    <row r="2395" spans="1:36" x14ac:dyDescent="0.25">
      <c r="A2395" s="325" t="str">
        <f>CONCATENATE("P",'906MP'!M2095)</f>
        <v>P</v>
      </c>
      <c r="B2395">
        <f>'906MP'!H2095</f>
        <v>0</v>
      </c>
      <c r="C2395">
        <f>'906MP'!J2095</f>
        <v>0</v>
      </c>
      <c r="D2395">
        <f>'906MP'!P2095</f>
        <v>0</v>
      </c>
      <c r="E2395">
        <f>'906MP'!X2095</f>
        <v>0</v>
      </c>
      <c r="F2395" t="str">
        <f t="shared" si="713"/>
        <v>0</v>
      </c>
      <c r="G2395" t="str">
        <f t="shared" si="714"/>
        <v>0</v>
      </c>
      <c r="H2395">
        <f>'906MP'!Y2095</f>
        <v>0</v>
      </c>
      <c r="I2395">
        <f>'906MP'!AK2095</f>
        <v>0</v>
      </c>
      <c r="J2395">
        <f>'906MP'!T2095</f>
        <v>0</v>
      </c>
      <c r="K2395">
        <f>'906MP'!AJ2095</f>
        <v>0</v>
      </c>
      <c r="L2395">
        <f>'906MP'!U2095</f>
        <v>0</v>
      </c>
      <c r="M2395" s="322" t="str">
        <f>IFERROR(VLOOKUP(A2395,PAR!$D$3:$E$53,2,FALSE),"nincs szervezet")</f>
        <v>nincs szervezet</v>
      </c>
      <c r="N2395" s="322" t="str">
        <f>VLOOKUP(F2395,PAR!$R$3:$S$5,2,FALSE)</f>
        <v>3 - egyik sem</v>
      </c>
      <c r="O2395" t="str">
        <f>IFERROR(VLOOKUP(J2395,PAR!$O$3:$P$5,2,FALSE),"nincs feladat")</f>
        <v>nincs feladat</v>
      </c>
      <c r="P2395" t="str">
        <f>IFERROR(VLOOKUP(G2395,PAR!$J$2:$M$19,4),"nincs rovat")</f>
        <v>nincs rovat</v>
      </c>
      <c r="Q2395" t="str">
        <f>IF(H2395&gt;0,VLOOKUP(H2395,PAR!$AA$3:$AC$187,3,FALSE),"nincs főkönyvi számla")</f>
        <v>nincs főkönyvi számla</v>
      </c>
      <c r="R2395" t="str">
        <f>IFERROR(VLOOKUP(K2395,PAR!$V$3:$X$438,3,FALSE),"000000 - Nincs COFOG")</f>
        <v>000000 - Nincs COFOG</v>
      </c>
      <c r="S2395">
        <f t="shared" si="715"/>
        <v>0</v>
      </c>
      <c r="T2395">
        <f t="shared" si="716"/>
        <v>0</v>
      </c>
      <c r="U2395" t="str">
        <f>IF('906MP'!J2095&gt;0,CONCATENATE('906MP'!J2095," - ",'906MP'!P2095,", ",'906MP'!E2095),"nincs megjegyzés")</f>
        <v>nincs megjegyzés</v>
      </c>
      <c r="V2395" t="str">
        <f t="shared" si="703"/>
        <v>0P0</v>
      </c>
      <c r="W2395" t="str">
        <f t="shared" si="704"/>
        <v>0P0</v>
      </c>
      <c r="X2395" t="str">
        <f t="shared" si="705"/>
        <v>P0</v>
      </c>
      <c r="Y2395" t="str">
        <f t="shared" si="706"/>
        <v>00</v>
      </c>
      <c r="Z2395" t="str">
        <f t="shared" si="717"/>
        <v>00</v>
      </c>
      <c r="AA2395" t="str">
        <f t="shared" si="707"/>
        <v>00</v>
      </c>
      <c r="AB2395" t="str">
        <f t="shared" si="708"/>
        <v>00</v>
      </c>
      <c r="AC2395" t="str">
        <f t="shared" si="709"/>
        <v>0P0</v>
      </c>
      <c r="AD2395" t="str">
        <f t="shared" si="710"/>
        <v>P00</v>
      </c>
      <c r="AE2395" t="str">
        <f t="shared" si="711"/>
        <v>0P0</v>
      </c>
      <c r="AF2395" t="str">
        <f t="shared" si="712"/>
        <v>P00</v>
      </c>
      <c r="AG2395" t="str">
        <f t="shared" si="718"/>
        <v>0P00</v>
      </c>
      <c r="AH2395" t="str">
        <f t="shared" si="719"/>
        <v>P000</v>
      </c>
      <c r="AI2395" t="str">
        <f t="shared" si="720"/>
        <v>0P00</v>
      </c>
      <c r="AJ2395" t="str">
        <f t="shared" si="721"/>
        <v>P000</v>
      </c>
    </row>
    <row r="2396" spans="1:36" x14ac:dyDescent="0.25">
      <c r="A2396" s="325" t="str">
        <f>CONCATENATE("P",'906MP'!M2096)</f>
        <v>P</v>
      </c>
      <c r="B2396">
        <f>'906MP'!H2096</f>
        <v>0</v>
      </c>
      <c r="C2396">
        <f>'906MP'!J2096</f>
        <v>0</v>
      </c>
      <c r="D2396">
        <f>'906MP'!P2096</f>
        <v>0</v>
      </c>
      <c r="E2396">
        <f>'906MP'!X2096</f>
        <v>0</v>
      </c>
      <c r="F2396" t="str">
        <f t="shared" si="713"/>
        <v>0</v>
      </c>
      <c r="G2396" t="str">
        <f t="shared" si="714"/>
        <v>0</v>
      </c>
      <c r="H2396">
        <f>'906MP'!Y2096</f>
        <v>0</v>
      </c>
      <c r="I2396">
        <f>'906MP'!AK2096</f>
        <v>0</v>
      </c>
      <c r="J2396">
        <f>'906MP'!T2096</f>
        <v>0</v>
      </c>
      <c r="K2396">
        <f>'906MP'!AJ2096</f>
        <v>0</v>
      </c>
      <c r="L2396">
        <f>'906MP'!U2096</f>
        <v>0</v>
      </c>
      <c r="M2396" s="322" t="str">
        <f>IFERROR(VLOOKUP(A2396,PAR!$D$3:$E$53,2,FALSE),"nincs szervezet")</f>
        <v>nincs szervezet</v>
      </c>
      <c r="N2396" s="322" t="str">
        <f>VLOOKUP(F2396,PAR!$R$3:$S$5,2,FALSE)</f>
        <v>3 - egyik sem</v>
      </c>
      <c r="O2396" t="str">
        <f>IFERROR(VLOOKUP(J2396,PAR!$O$3:$P$5,2,FALSE),"nincs feladat")</f>
        <v>nincs feladat</v>
      </c>
      <c r="P2396" t="str">
        <f>IFERROR(VLOOKUP(G2396,PAR!$J$2:$M$19,4),"nincs rovat")</f>
        <v>nincs rovat</v>
      </c>
      <c r="Q2396" t="str">
        <f>IF(H2396&gt;0,VLOOKUP(H2396,PAR!$AA$3:$AC$187,3,FALSE),"nincs főkönyvi számla")</f>
        <v>nincs főkönyvi számla</v>
      </c>
      <c r="R2396" t="str">
        <f>IFERROR(VLOOKUP(K2396,PAR!$V$3:$X$438,3,FALSE),"000000 - Nincs COFOG")</f>
        <v>000000 - Nincs COFOG</v>
      </c>
      <c r="S2396">
        <f t="shared" si="715"/>
        <v>0</v>
      </c>
      <c r="T2396">
        <f t="shared" si="716"/>
        <v>0</v>
      </c>
      <c r="U2396" t="str">
        <f>IF('906MP'!J2096&gt;0,CONCATENATE('906MP'!J2096," - ",'906MP'!P2096,", ",'906MP'!E2096),"nincs megjegyzés")</f>
        <v>nincs megjegyzés</v>
      </c>
      <c r="V2396" t="str">
        <f t="shared" si="703"/>
        <v>0P0</v>
      </c>
      <c r="W2396" t="str">
        <f t="shared" si="704"/>
        <v>0P0</v>
      </c>
      <c r="X2396" t="str">
        <f t="shared" si="705"/>
        <v>P0</v>
      </c>
      <c r="Y2396" t="str">
        <f t="shared" si="706"/>
        <v>00</v>
      </c>
      <c r="Z2396" t="str">
        <f t="shared" si="717"/>
        <v>00</v>
      </c>
      <c r="AA2396" t="str">
        <f t="shared" si="707"/>
        <v>00</v>
      </c>
      <c r="AB2396" t="str">
        <f t="shared" si="708"/>
        <v>00</v>
      </c>
      <c r="AC2396" t="str">
        <f t="shared" si="709"/>
        <v>0P0</v>
      </c>
      <c r="AD2396" t="str">
        <f t="shared" si="710"/>
        <v>P00</v>
      </c>
      <c r="AE2396" t="str">
        <f t="shared" si="711"/>
        <v>0P0</v>
      </c>
      <c r="AF2396" t="str">
        <f t="shared" si="712"/>
        <v>P00</v>
      </c>
      <c r="AG2396" t="str">
        <f t="shared" si="718"/>
        <v>0P00</v>
      </c>
      <c r="AH2396" t="str">
        <f t="shared" si="719"/>
        <v>P000</v>
      </c>
      <c r="AI2396" t="str">
        <f t="shared" si="720"/>
        <v>0P00</v>
      </c>
      <c r="AJ2396" t="str">
        <f t="shared" si="721"/>
        <v>P000</v>
      </c>
    </row>
    <row r="2397" spans="1:36" x14ac:dyDescent="0.25">
      <c r="A2397" s="325" t="str">
        <f>CONCATENATE("P",'906MP'!M2097)</f>
        <v>P</v>
      </c>
      <c r="B2397">
        <f>'906MP'!H2097</f>
        <v>0</v>
      </c>
      <c r="C2397">
        <f>'906MP'!J2097</f>
        <v>0</v>
      </c>
      <c r="D2397">
        <f>'906MP'!P2097</f>
        <v>0</v>
      </c>
      <c r="E2397">
        <f>'906MP'!X2097</f>
        <v>0</v>
      </c>
      <c r="F2397" t="str">
        <f t="shared" si="713"/>
        <v>0</v>
      </c>
      <c r="G2397" t="str">
        <f t="shared" si="714"/>
        <v>0</v>
      </c>
      <c r="H2397">
        <f>'906MP'!Y2097</f>
        <v>0</v>
      </c>
      <c r="I2397">
        <f>'906MP'!AK2097</f>
        <v>0</v>
      </c>
      <c r="J2397">
        <f>'906MP'!T2097</f>
        <v>0</v>
      </c>
      <c r="K2397">
        <f>'906MP'!AJ2097</f>
        <v>0</v>
      </c>
      <c r="L2397">
        <f>'906MP'!U2097</f>
        <v>0</v>
      </c>
      <c r="M2397" s="322" t="str">
        <f>IFERROR(VLOOKUP(A2397,PAR!$D$3:$E$53,2,FALSE),"nincs szervezet")</f>
        <v>nincs szervezet</v>
      </c>
      <c r="N2397" s="322" t="str">
        <f>VLOOKUP(F2397,PAR!$R$3:$S$5,2,FALSE)</f>
        <v>3 - egyik sem</v>
      </c>
      <c r="O2397" t="str">
        <f>IFERROR(VLOOKUP(J2397,PAR!$O$3:$P$5,2,FALSE),"nincs feladat")</f>
        <v>nincs feladat</v>
      </c>
      <c r="P2397" t="str">
        <f>IFERROR(VLOOKUP(G2397,PAR!$J$2:$M$19,4),"nincs rovat")</f>
        <v>nincs rovat</v>
      </c>
      <c r="Q2397" t="str">
        <f>IF(H2397&gt;0,VLOOKUP(H2397,PAR!$AA$3:$AC$187,3,FALSE),"nincs főkönyvi számla")</f>
        <v>nincs főkönyvi számla</v>
      </c>
      <c r="R2397" t="str">
        <f>IFERROR(VLOOKUP(K2397,PAR!$V$3:$X$438,3,FALSE),"000000 - Nincs COFOG")</f>
        <v>000000 - Nincs COFOG</v>
      </c>
      <c r="S2397">
        <f t="shared" si="715"/>
        <v>0</v>
      </c>
      <c r="T2397">
        <f t="shared" si="716"/>
        <v>0</v>
      </c>
      <c r="U2397" t="str">
        <f>IF('906MP'!J2097&gt;0,CONCATENATE('906MP'!J2097," - ",'906MP'!P2097,", ",'906MP'!E2097),"nincs megjegyzés")</f>
        <v>nincs megjegyzés</v>
      </c>
      <c r="V2397" t="str">
        <f t="shared" si="703"/>
        <v>0P0</v>
      </c>
      <c r="W2397" t="str">
        <f t="shared" si="704"/>
        <v>0P0</v>
      </c>
      <c r="X2397" t="str">
        <f t="shared" si="705"/>
        <v>P0</v>
      </c>
      <c r="Y2397" t="str">
        <f t="shared" si="706"/>
        <v>00</v>
      </c>
      <c r="Z2397" t="str">
        <f t="shared" si="717"/>
        <v>00</v>
      </c>
      <c r="AA2397" t="str">
        <f t="shared" si="707"/>
        <v>00</v>
      </c>
      <c r="AB2397" t="str">
        <f t="shared" si="708"/>
        <v>00</v>
      </c>
      <c r="AC2397" t="str">
        <f t="shared" si="709"/>
        <v>0P0</v>
      </c>
      <c r="AD2397" t="str">
        <f t="shared" si="710"/>
        <v>P00</v>
      </c>
      <c r="AE2397" t="str">
        <f t="shared" si="711"/>
        <v>0P0</v>
      </c>
      <c r="AF2397" t="str">
        <f t="shared" si="712"/>
        <v>P00</v>
      </c>
      <c r="AG2397" t="str">
        <f t="shared" si="718"/>
        <v>0P00</v>
      </c>
      <c r="AH2397" t="str">
        <f t="shared" si="719"/>
        <v>P000</v>
      </c>
      <c r="AI2397" t="str">
        <f t="shared" si="720"/>
        <v>0P00</v>
      </c>
      <c r="AJ2397" t="str">
        <f t="shared" si="721"/>
        <v>P000</v>
      </c>
    </row>
    <row r="2398" spans="1:36" x14ac:dyDescent="0.25">
      <c r="A2398" s="325" t="str">
        <f>CONCATENATE("P",'906MP'!M2098)</f>
        <v>P</v>
      </c>
      <c r="B2398">
        <f>'906MP'!H2098</f>
        <v>0</v>
      </c>
      <c r="C2398">
        <f>'906MP'!J2098</f>
        <v>0</v>
      </c>
      <c r="D2398">
        <f>'906MP'!P2098</f>
        <v>0</v>
      </c>
      <c r="E2398">
        <f>'906MP'!X2098</f>
        <v>0</v>
      </c>
      <c r="F2398" t="str">
        <f t="shared" si="713"/>
        <v>0</v>
      </c>
      <c r="G2398" t="str">
        <f t="shared" si="714"/>
        <v>0</v>
      </c>
      <c r="H2398">
        <f>'906MP'!Y2098</f>
        <v>0</v>
      </c>
      <c r="I2398">
        <f>'906MP'!AK2098</f>
        <v>0</v>
      </c>
      <c r="J2398">
        <f>'906MP'!T2098</f>
        <v>0</v>
      </c>
      <c r="K2398">
        <f>'906MP'!AJ2098</f>
        <v>0</v>
      </c>
      <c r="L2398">
        <f>'906MP'!U2098</f>
        <v>0</v>
      </c>
      <c r="M2398" s="322" t="str">
        <f>IFERROR(VLOOKUP(A2398,PAR!$D$3:$E$53,2,FALSE),"nincs szervezet")</f>
        <v>nincs szervezet</v>
      </c>
      <c r="N2398" s="322" t="str">
        <f>VLOOKUP(F2398,PAR!$R$3:$S$5,2,FALSE)</f>
        <v>3 - egyik sem</v>
      </c>
      <c r="O2398" t="str">
        <f>IFERROR(VLOOKUP(J2398,PAR!$O$3:$P$5,2,FALSE),"nincs feladat")</f>
        <v>nincs feladat</v>
      </c>
      <c r="P2398" t="str">
        <f>IFERROR(VLOOKUP(G2398,PAR!$J$2:$M$19,4),"nincs rovat")</f>
        <v>nincs rovat</v>
      </c>
      <c r="Q2398" t="str">
        <f>IF(H2398&gt;0,VLOOKUP(H2398,PAR!$AA$3:$AC$187,3,FALSE),"nincs főkönyvi számla")</f>
        <v>nincs főkönyvi számla</v>
      </c>
      <c r="R2398" t="str">
        <f>IFERROR(VLOOKUP(K2398,PAR!$V$3:$X$438,3,FALSE),"000000 - Nincs COFOG")</f>
        <v>000000 - Nincs COFOG</v>
      </c>
      <c r="S2398">
        <f t="shared" si="715"/>
        <v>0</v>
      </c>
      <c r="T2398">
        <f t="shared" si="716"/>
        <v>0</v>
      </c>
      <c r="U2398" t="str">
        <f>IF('906MP'!J2098&gt;0,CONCATENATE('906MP'!J2098," - ",'906MP'!P2098,", ",'906MP'!E2098),"nincs megjegyzés")</f>
        <v>nincs megjegyzés</v>
      </c>
      <c r="V2398" t="str">
        <f t="shared" si="703"/>
        <v>0P0</v>
      </c>
      <c r="W2398" t="str">
        <f t="shared" si="704"/>
        <v>0P0</v>
      </c>
      <c r="X2398" t="str">
        <f t="shared" si="705"/>
        <v>P0</v>
      </c>
      <c r="Y2398" t="str">
        <f t="shared" si="706"/>
        <v>00</v>
      </c>
      <c r="Z2398" t="str">
        <f t="shared" si="717"/>
        <v>00</v>
      </c>
      <c r="AA2398" t="str">
        <f t="shared" si="707"/>
        <v>00</v>
      </c>
      <c r="AB2398" t="str">
        <f t="shared" si="708"/>
        <v>00</v>
      </c>
      <c r="AC2398" t="str">
        <f t="shared" si="709"/>
        <v>0P0</v>
      </c>
      <c r="AD2398" t="str">
        <f t="shared" si="710"/>
        <v>P00</v>
      </c>
      <c r="AE2398" t="str">
        <f t="shared" si="711"/>
        <v>0P0</v>
      </c>
      <c r="AF2398" t="str">
        <f t="shared" si="712"/>
        <v>P00</v>
      </c>
      <c r="AG2398" t="str">
        <f t="shared" si="718"/>
        <v>0P00</v>
      </c>
      <c r="AH2398" t="str">
        <f t="shared" si="719"/>
        <v>P000</v>
      </c>
      <c r="AI2398" t="str">
        <f t="shared" si="720"/>
        <v>0P00</v>
      </c>
      <c r="AJ2398" t="str">
        <f t="shared" si="721"/>
        <v>P000</v>
      </c>
    </row>
    <row r="2399" spans="1:36" x14ac:dyDescent="0.25">
      <c r="A2399" s="325" t="str">
        <f>CONCATENATE("P",'906MP'!M2099)</f>
        <v>P</v>
      </c>
      <c r="B2399">
        <f>'906MP'!H2099</f>
        <v>0</v>
      </c>
      <c r="C2399">
        <f>'906MP'!J2099</f>
        <v>0</v>
      </c>
      <c r="D2399">
        <f>'906MP'!P2099</f>
        <v>0</v>
      </c>
      <c r="E2399">
        <f>'906MP'!X2099</f>
        <v>0</v>
      </c>
      <c r="F2399" t="str">
        <f t="shared" si="713"/>
        <v>0</v>
      </c>
      <c r="G2399" t="str">
        <f t="shared" si="714"/>
        <v>0</v>
      </c>
      <c r="H2399">
        <f>'906MP'!Y2099</f>
        <v>0</v>
      </c>
      <c r="I2399">
        <f>'906MP'!AK2099</f>
        <v>0</v>
      </c>
      <c r="J2399">
        <f>'906MP'!T2099</f>
        <v>0</v>
      </c>
      <c r="K2399">
        <f>'906MP'!AJ2099</f>
        <v>0</v>
      </c>
      <c r="L2399">
        <f>'906MP'!U2099</f>
        <v>0</v>
      </c>
      <c r="M2399" s="322" t="str">
        <f>IFERROR(VLOOKUP(A2399,PAR!$D$3:$E$53,2,FALSE),"nincs szervezet")</f>
        <v>nincs szervezet</v>
      </c>
      <c r="N2399" s="322" t="str">
        <f>VLOOKUP(F2399,PAR!$R$3:$S$5,2,FALSE)</f>
        <v>3 - egyik sem</v>
      </c>
      <c r="O2399" t="str">
        <f>IFERROR(VLOOKUP(J2399,PAR!$O$3:$P$5,2,FALSE),"nincs feladat")</f>
        <v>nincs feladat</v>
      </c>
      <c r="P2399" t="str">
        <f>IFERROR(VLOOKUP(G2399,PAR!$J$2:$M$19,4),"nincs rovat")</f>
        <v>nincs rovat</v>
      </c>
      <c r="Q2399" t="str">
        <f>IF(H2399&gt;0,VLOOKUP(H2399,PAR!$AA$3:$AC$187,3,FALSE),"nincs főkönyvi számla")</f>
        <v>nincs főkönyvi számla</v>
      </c>
      <c r="R2399" t="str">
        <f>IFERROR(VLOOKUP(K2399,PAR!$V$3:$X$438,3,FALSE),"000000 - Nincs COFOG")</f>
        <v>000000 - Nincs COFOG</v>
      </c>
      <c r="S2399">
        <f t="shared" si="715"/>
        <v>0</v>
      </c>
      <c r="T2399">
        <f t="shared" si="716"/>
        <v>0</v>
      </c>
      <c r="U2399" t="str">
        <f>IF('906MP'!J2099&gt;0,CONCATENATE('906MP'!J2099," - ",'906MP'!P2099,", ",'906MP'!E2099),"nincs megjegyzés")</f>
        <v>nincs megjegyzés</v>
      </c>
      <c r="V2399" t="str">
        <f t="shared" si="703"/>
        <v>0P0</v>
      </c>
      <c r="W2399" t="str">
        <f t="shared" si="704"/>
        <v>0P0</v>
      </c>
      <c r="X2399" t="str">
        <f t="shared" si="705"/>
        <v>P0</v>
      </c>
      <c r="Y2399" t="str">
        <f t="shared" si="706"/>
        <v>00</v>
      </c>
      <c r="Z2399" t="str">
        <f t="shared" si="717"/>
        <v>00</v>
      </c>
      <c r="AA2399" t="str">
        <f t="shared" si="707"/>
        <v>00</v>
      </c>
      <c r="AB2399" t="str">
        <f t="shared" si="708"/>
        <v>00</v>
      </c>
      <c r="AC2399" t="str">
        <f t="shared" si="709"/>
        <v>0P0</v>
      </c>
      <c r="AD2399" t="str">
        <f t="shared" si="710"/>
        <v>P00</v>
      </c>
      <c r="AE2399" t="str">
        <f t="shared" si="711"/>
        <v>0P0</v>
      </c>
      <c r="AF2399" t="str">
        <f t="shared" si="712"/>
        <v>P00</v>
      </c>
      <c r="AG2399" t="str">
        <f t="shared" si="718"/>
        <v>0P00</v>
      </c>
      <c r="AH2399" t="str">
        <f t="shared" si="719"/>
        <v>P000</v>
      </c>
      <c r="AI2399" t="str">
        <f t="shared" si="720"/>
        <v>0P00</v>
      </c>
      <c r="AJ2399" t="str">
        <f t="shared" si="721"/>
        <v>P000</v>
      </c>
    </row>
    <row r="2400" spans="1:36" x14ac:dyDescent="0.25">
      <c r="A2400" s="325" t="str">
        <f>CONCATENATE("P",'906MP'!M2100)</f>
        <v>P</v>
      </c>
      <c r="B2400">
        <f>'906MP'!H2100</f>
        <v>0</v>
      </c>
      <c r="C2400">
        <f>'906MP'!J2100</f>
        <v>0</v>
      </c>
      <c r="D2400">
        <f>'906MP'!P2100</f>
        <v>0</v>
      </c>
      <c r="E2400">
        <f>'906MP'!X2100</f>
        <v>0</v>
      </c>
      <c r="F2400" t="str">
        <f t="shared" si="713"/>
        <v>0</v>
      </c>
      <c r="G2400" t="str">
        <f t="shared" si="714"/>
        <v>0</v>
      </c>
      <c r="H2400">
        <f>'906MP'!Y2100</f>
        <v>0</v>
      </c>
      <c r="I2400">
        <f>'906MP'!AK2100</f>
        <v>0</v>
      </c>
      <c r="J2400">
        <f>'906MP'!T2100</f>
        <v>0</v>
      </c>
      <c r="K2400">
        <f>'906MP'!AJ2100</f>
        <v>0</v>
      </c>
      <c r="L2400">
        <f>'906MP'!U2100</f>
        <v>0</v>
      </c>
      <c r="M2400" s="322" t="str">
        <f>IFERROR(VLOOKUP(A2400,PAR!$D$3:$E$53,2,FALSE),"nincs szervezet")</f>
        <v>nincs szervezet</v>
      </c>
      <c r="N2400" s="322" t="str">
        <f>VLOOKUP(F2400,PAR!$R$3:$S$5,2,FALSE)</f>
        <v>3 - egyik sem</v>
      </c>
      <c r="O2400" t="str">
        <f>IFERROR(VLOOKUP(J2400,PAR!$O$3:$P$5,2,FALSE),"nincs feladat")</f>
        <v>nincs feladat</v>
      </c>
      <c r="P2400" t="str">
        <f>IFERROR(VLOOKUP(G2400,PAR!$J$2:$M$19,4),"nincs rovat")</f>
        <v>nincs rovat</v>
      </c>
      <c r="Q2400" t="str">
        <f>IF(H2400&gt;0,VLOOKUP(H2400,PAR!$AA$3:$AC$187,3,FALSE),"nincs főkönyvi számla")</f>
        <v>nincs főkönyvi számla</v>
      </c>
      <c r="R2400" t="str">
        <f>IFERROR(VLOOKUP(K2400,PAR!$V$3:$X$438,3,FALSE),"000000 - Nincs COFOG")</f>
        <v>000000 - Nincs COFOG</v>
      </c>
      <c r="S2400">
        <f t="shared" si="715"/>
        <v>0</v>
      </c>
      <c r="T2400">
        <f t="shared" si="716"/>
        <v>0</v>
      </c>
      <c r="U2400" t="str">
        <f>IF('906MP'!J2100&gt;0,CONCATENATE('906MP'!J2100," - ",'906MP'!P2100,", ",'906MP'!E2100),"nincs megjegyzés")</f>
        <v>nincs megjegyzés</v>
      </c>
      <c r="V2400" t="str">
        <f t="shared" si="703"/>
        <v>0P0</v>
      </c>
      <c r="W2400" t="str">
        <f t="shared" si="704"/>
        <v>0P0</v>
      </c>
      <c r="X2400" t="str">
        <f t="shared" si="705"/>
        <v>P0</v>
      </c>
      <c r="Y2400" t="str">
        <f t="shared" si="706"/>
        <v>00</v>
      </c>
      <c r="Z2400" t="str">
        <f t="shared" si="717"/>
        <v>00</v>
      </c>
      <c r="AA2400" t="str">
        <f t="shared" si="707"/>
        <v>00</v>
      </c>
      <c r="AB2400" t="str">
        <f t="shared" si="708"/>
        <v>00</v>
      </c>
      <c r="AC2400" t="str">
        <f t="shared" si="709"/>
        <v>0P0</v>
      </c>
      <c r="AD2400" t="str">
        <f t="shared" si="710"/>
        <v>P00</v>
      </c>
      <c r="AE2400" t="str">
        <f t="shared" si="711"/>
        <v>0P0</v>
      </c>
      <c r="AF2400" t="str">
        <f t="shared" si="712"/>
        <v>P00</v>
      </c>
      <c r="AG2400" t="str">
        <f t="shared" si="718"/>
        <v>0P00</v>
      </c>
      <c r="AH2400" t="str">
        <f t="shared" si="719"/>
        <v>P000</v>
      </c>
      <c r="AI2400" t="str">
        <f t="shared" si="720"/>
        <v>0P00</v>
      </c>
      <c r="AJ2400" t="str">
        <f t="shared" si="721"/>
        <v>P000</v>
      </c>
    </row>
    <row r="2401" spans="1:36" x14ac:dyDescent="0.25">
      <c r="A2401" s="325" t="str">
        <f>CONCATENATE("P",'906MP'!M2101)</f>
        <v>P</v>
      </c>
      <c r="B2401">
        <f>'906MP'!H2101</f>
        <v>0</v>
      </c>
      <c r="C2401">
        <f>'906MP'!J2101</f>
        <v>0</v>
      </c>
      <c r="D2401">
        <f>'906MP'!P2101</f>
        <v>0</v>
      </c>
      <c r="E2401">
        <f>'906MP'!X2101</f>
        <v>0</v>
      </c>
      <c r="F2401" t="str">
        <f t="shared" si="713"/>
        <v>0</v>
      </c>
      <c r="G2401" t="str">
        <f t="shared" si="714"/>
        <v>0</v>
      </c>
      <c r="H2401">
        <f>'906MP'!Y2101</f>
        <v>0</v>
      </c>
      <c r="I2401">
        <f>'906MP'!AK2101</f>
        <v>0</v>
      </c>
      <c r="J2401">
        <f>'906MP'!T2101</f>
        <v>0</v>
      </c>
      <c r="K2401">
        <f>'906MP'!AJ2101</f>
        <v>0</v>
      </c>
      <c r="L2401">
        <f>'906MP'!U2101</f>
        <v>0</v>
      </c>
      <c r="M2401" s="322" t="str">
        <f>IFERROR(VLOOKUP(A2401,PAR!$D$3:$E$53,2,FALSE),"nincs szervezet")</f>
        <v>nincs szervezet</v>
      </c>
      <c r="N2401" s="322" t="str">
        <f>VLOOKUP(F2401,PAR!$R$3:$S$5,2,FALSE)</f>
        <v>3 - egyik sem</v>
      </c>
      <c r="O2401" t="str">
        <f>IFERROR(VLOOKUP(J2401,PAR!$O$3:$P$5,2,FALSE),"nincs feladat")</f>
        <v>nincs feladat</v>
      </c>
      <c r="P2401" t="str">
        <f>IFERROR(VLOOKUP(G2401,PAR!$J$2:$M$19,4),"nincs rovat")</f>
        <v>nincs rovat</v>
      </c>
      <c r="Q2401" t="str">
        <f>IF(H2401&gt;0,VLOOKUP(H2401,PAR!$AA$3:$AC$187,3,FALSE),"nincs főkönyvi számla")</f>
        <v>nincs főkönyvi számla</v>
      </c>
      <c r="R2401" t="str">
        <f>IFERROR(VLOOKUP(K2401,PAR!$V$3:$X$438,3,FALSE),"000000 - Nincs COFOG")</f>
        <v>000000 - Nincs COFOG</v>
      </c>
      <c r="S2401">
        <f t="shared" si="715"/>
        <v>0</v>
      </c>
      <c r="T2401">
        <f t="shared" si="716"/>
        <v>0</v>
      </c>
      <c r="U2401" t="str">
        <f>IF('906MP'!J2101&gt;0,CONCATENATE('906MP'!J2101," - ",'906MP'!P2101,", ",'906MP'!E2101),"nincs megjegyzés")</f>
        <v>nincs megjegyzés</v>
      </c>
      <c r="V2401" t="str">
        <f t="shared" si="703"/>
        <v>0P0</v>
      </c>
      <c r="W2401" t="str">
        <f t="shared" si="704"/>
        <v>0P0</v>
      </c>
      <c r="X2401" t="str">
        <f t="shared" si="705"/>
        <v>P0</v>
      </c>
      <c r="Y2401" t="str">
        <f t="shared" si="706"/>
        <v>00</v>
      </c>
      <c r="Z2401" t="str">
        <f t="shared" si="717"/>
        <v>00</v>
      </c>
      <c r="AA2401" t="str">
        <f t="shared" si="707"/>
        <v>00</v>
      </c>
      <c r="AB2401" t="str">
        <f t="shared" si="708"/>
        <v>00</v>
      </c>
      <c r="AC2401" t="str">
        <f t="shared" si="709"/>
        <v>0P0</v>
      </c>
      <c r="AD2401" t="str">
        <f t="shared" si="710"/>
        <v>P00</v>
      </c>
      <c r="AE2401" t="str">
        <f t="shared" si="711"/>
        <v>0P0</v>
      </c>
      <c r="AF2401" t="str">
        <f t="shared" si="712"/>
        <v>P00</v>
      </c>
      <c r="AG2401" t="str">
        <f t="shared" si="718"/>
        <v>0P00</v>
      </c>
      <c r="AH2401" t="str">
        <f t="shared" si="719"/>
        <v>P000</v>
      </c>
      <c r="AI2401" t="str">
        <f t="shared" si="720"/>
        <v>0P00</v>
      </c>
      <c r="AJ2401" t="str">
        <f t="shared" si="721"/>
        <v>P000</v>
      </c>
    </row>
    <row r="2402" spans="1:36" x14ac:dyDescent="0.25">
      <c r="A2402" s="325" t="str">
        <f>CONCATENATE("P",'906MP'!M2102)</f>
        <v>P</v>
      </c>
      <c r="B2402">
        <f>'906MP'!H2102</f>
        <v>0</v>
      </c>
      <c r="C2402">
        <f>'906MP'!J2102</f>
        <v>0</v>
      </c>
      <c r="D2402">
        <f>'906MP'!P2102</f>
        <v>0</v>
      </c>
      <c r="E2402">
        <f>'906MP'!X2102</f>
        <v>0</v>
      </c>
      <c r="F2402" t="str">
        <f t="shared" si="713"/>
        <v>0</v>
      </c>
      <c r="G2402" t="str">
        <f t="shared" si="714"/>
        <v>0</v>
      </c>
      <c r="H2402">
        <f>'906MP'!Y2102</f>
        <v>0</v>
      </c>
      <c r="I2402">
        <f>'906MP'!AK2102</f>
        <v>0</v>
      </c>
      <c r="J2402">
        <f>'906MP'!T2102</f>
        <v>0</v>
      </c>
      <c r="K2402">
        <f>'906MP'!AJ2102</f>
        <v>0</v>
      </c>
      <c r="L2402">
        <f>'906MP'!U2102</f>
        <v>0</v>
      </c>
      <c r="M2402" s="322" t="str">
        <f>IFERROR(VLOOKUP(A2402,PAR!$D$3:$E$53,2,FALSE),"nincs szervezet")</f>
        <v>nincs szervezet</v>
      </c>
      <c r="N2402" s="322" t="str">
        <f>VLOOKUP(F2402,PAR!$R$3:$S$5,2,FALSE)</f>
        <v>3 - egyik sem</v>
      </c>
      <c r="O2402" t="str">
        <f>IFERROR(VLOOKUP(J2402,PAR!$O$3:$P$5,2,FALSE),"nincs feladat")</f>
        <v>nincs feladat</v>
      </c>
      <c r="P2402" t="str">
        <f>IFERROR(VLOOKUP(G2402,PAR!$J$2:$M$19,4),"nincs rovat")</f>
        <v>nincs rovat</v>
      </c>
      <c r="Q2402" t="str">
        <f>IF(H2402&gt;0,VLOOKUP(H2402,PAR!$AA$3:$AC$187,3,FALSE),"nincs főkönyvi számla")</f>
        <v>nincs főkönyvi számla</v>
      </c>
      <c r="R2402" t="str">
        <f>IFERROR(VLOOKUP(K2402,PAR!$V$3:$X$438,3,FALSE),"000000 - Nincs COFOG")</f>
        <v>000000 - Nincs COFOG</v>
      </c>
      <c r="S2402">
        <f t="shared" si="715"/>
        <v>0</v>
      </c>
      <c r="T2402">
        <f t="shared" si="716"/>
        <v>0</v>
      </c>
      <c r="U2402" t="str">
        <f>IF('906MP'!J2102&gt;0,CONCATENATE('906MP'!J2102," - ",'906MP'!P2102,", ",'906MP'!E2102),"nincs megjegyzés")</f>
        <v>nincs megjegyzés</v>
      </c>
      <c r="V2402" t="str">
        <f t="shared" si="703"/>
        <v>0P0</v>
      </c>
      <c r="W2402" t="str">
        <f t="shared" si="704"/>
        <v>0P0</v>
      </c>
      <c r="X2402" t="str">
        <f t="shared" si="705"/>
        <v>P0</v>
      </c>
      <c r="Y2402" t="str">
        <f t="shared" si="706"/>
        <v>00</v>
      </c>
      <c r="Z2402" t="str">
        <f t="shared" si="717"/>
        <v>00</v>
      </c>
      <c r="AA2402" t="str">
        <f t="shared" si="707"/>
        <v>00</v>
      </c>
      <c r="AB2402" t="str">
        <f t="shared" si="708"/>
        <v>00</v>
      </c>
      <c r="AC2402" t="str">
        <f t="shared" si="709"/>
        <v>0P0</v>
      </c>
      <c r="AD2402" t="str">
        <f t="shared" si="710"/>
        <v>P00</v>
      </c>
      <c r="AE2402" t="str">
        <f t="shared" si="711"/>
        <v>0P0</v>
      </c>
      <c r="AF2402" t="str">
        <f t="shared" si="712"/>
        <v>P00</v>
      </c>
      <c r="AG2402" t="str">
        <f t="shared" si="718"/>
        <v>0P00</v>
      </c>
      <c r="AH2402" t="str">
        <f t="shared" si="719"/>
        <v>P000</v>
      </c>
      <c r="AI2402" t="str">
        <f t="shared" si="720"/>
        <v>0P00</v>
      </c>
      <c r="AJ2402" t="str">
        <f t="shared" si="721"/>
        <v>P000</v>
      </c>
    </row>
    <row r="2403" spans="1:36" x14ac:dyDescent="0.25">
      <c r="A2403" s="325" t="str">
        <f>CONCATENATE("P",'906MP'!M2103)</f>
        <v>P</v>
      </c>
      <c r="B2403">
        <f>'906MP'!H2103</f>
        <v>0</v>
      </c>
      <c r="C2403">
        <f>'906MP'!J2103</f>
        <v>0</v>
      </c>
      <c r="D2403">
        <f>'906MP'!P2103</f>
        <v>0</v>
      </c>
      <c r="E2403">
        <f>'906MP'!X2103</f>
        <v>0</v>
      </c>
      <c r="F2403" t="str">
        <f t="shared" si="713"/>
        <v>0</v>
      </c>
      <c r="G2403" t="str">
        <f t="shared" si="714"/>
        <v>0</v>
      </c>
      <c r="H2403">
        <f>'906MP'!Y2103</f>
        <v>0</v>
      </c>
      <c r="I2403">
        <f>'906MP'!AK2103</f>
        <v>0</v>
      </c>
      <c r="J2403">
        <f>'906MP'!T2103</f>
        <v>0</v>
      </c>
      <c r="K2403">
        <f>'906MP'!AJ2103</f>
        <v>0</v>
      </c>
      <c r="L2403">
        <f>'906MP'!U2103</f>
        <v>0</v>
      </c>
      <c r="M2403" s="322" t="str">
        <f>IFERROR(VLOOKUP(A2403,PAR!$D$3:$E$53,2,FALSE),"nincs szervezet")</f>
        <v>nincs szervezet</v>
      </c>
      <c r="N2403" s="322" t="str">
        <f>VLOOKUP(F2403,PAR!$R$3:$S$5,2,FALSE)</f>
        <v>3 - egyik sem</v>
      </c>
      <c r="O2403" t="str">
        <f>IFERROR(VLOOKUP(J2403,PAR!$O$3:$P$5,2,FALSE),"nincs feladat")</f>
        <v>nincs feladat</v>
      </c>
      <c r="P2403" t="str">
        <f>IFERROR(VLOOKUP(G2403,PAR!$J$2:$M$19,4),"nincs rovat")</f>
        <v>nincs rovat</v>
      </c>
      <c r="Q2403" t="str">
        <f>IF(H2403&gt;0,VLOOKUP(H2403,PAR!$AA$3:$AC$187,3,FALSE),"nincs főkönyvi számla")</f>
        <v>nincs főkönyvi számla</v>
      </c>
      <c r="R2403" t="str">
        <f>IFERROR(VLOOKUP(K2403,PAR!$V$3:$X$438,3,FALSE),"000000 - Nincs COFOG")</f>
        <v>000000 - Nincs COFOG</v>
      </c>
      <c r="S2403">
        <f t="shared" si="715"/>
        <v>0</v>
      </c>
      <c r="T2403">
        <f t="shared" si="716"/>
        <v>0</v>
      </c>
      <c r="U2403" t="str">
        <f>IF('906MP'!J2103&gt;0,CONCATENATE('906MP'!J2103," - ",'906MP'!P2103,", ",'906MP'!E2103),"nincs megjegyzés")</f>
        <v>nincs megjegyzés</v>
      </c>
      <c r="V2403" t="str">
        <f t="shared" si="703"/>
        <v>0P0</v>
      </c>
      <c r="W2403" t="str">
        <f t="shared" si="704"/>
        <v>0P0</v>
      </c>
      <c r="X2403" t="str">
        <f t="shared" si="705"/>
        <v>P0</v>
      </c>
      <c r="Y2403" t="str">
        <f t="shared" si="706"/>
        <v>00</v>
      </c>
      <c r="Z2403" t="str">
        <f t="shared" si="717"/>
        <v>00</v>
      </c>
      <c r="AA2403" t="str">
        <f t="shared" si="707"/>
        <v>00</v>
      </c>
      <c r="AB2403" t="str">
        <f t="shared" si="708"/>
        <v>00</v>
      </c>
      <c r="AC2403" t="str">
        <f t="shared" si="709"/>
        <v>0P0</v>
      </c>
      <c r="AD2403" t="str">
        <f t="shared" si="710"/>
        <v>P00</v>
      </c>
      <c r="AE2403" t="str">
        <f t="shared" si="711"/>
        <v>0P0</v>
      </c>
      <c r="AF2403" t="str">
        <f t="shared" si="712"/>
        <v>P00</v>
      </c>
      <c r="AG2403" t="str">
        <f t="shared" si="718"/>
        <v>0P00</v>
      </c>
      <c r="AH2403" t="str">
        <f t="shared" si="719"/>
        <v>P000</v>
      </c>
      <c r="AI2403" t="str">
        <f t="shared" si="720"/>
        <v>0P00</v>
      </c>
      <c r="AJ2403" t="str">
        <f t="shared" si="721"/>
        <v>P000</v>
      </c>
    </row>
    <row r="2404" spans="1:36" x14ac:dyDescent="0.25">
      <c r="A2404" s="325" t="str">
        <f>CONCATENATE("P",'906MP'!M2104)</f>
        <v>P</v>
      </c>
      <c r="B2404">
        <f>'906MP'!H2104</f>
        <v>0</v>
      </c>
      <c r="C2404">
        <f>'906MP'!J2104</f>
        <v>0</v>
      </c>
      <c r="D2404">
        <f>'906MP'!P2104</f>
        <v>0</v>
      </c>
      <c r="E2404">
        <f>'906MP'!X2104</f>
        <v>0</v>
      </c>
      <c r="F2404" t="str">
        <f t="shared" si="713"/>
        <v>0</v>
      </c>
      <c r="G2404" t="str">
        <f t="shared" si="714"/>
        <v>0</v>
      </c>
      <c r="H2404">
        <f>'906MP'!Y2104</f>
        <v>0</v>
      </c>
      <c r="I2404">
        <f>'906MP'!AK2104</f>
        <v>0</v>
      </c>
      <c r="J2404">
        <f>'906MP'!T2104</f>
        <v>0</v>
      </c>
      <c r="K2404">
        <f>'906MP'!AJ2104</f>
        <v>0</v>
      </c>
      <c r="L2404">
        <f>'906MP'!U2104</f>
        <v>0</v>
      </c>
      <c r="M2404" s="322" t="str">
        <f>IFERROR(VLOOKUP(A2404,PAR!$D$3:$E$53,2,FALSE),"nincs szervezet")</f>
        <v>nincs szervezet</v>
      </c>
      <c r="N2404" s="322" t="str">
        <f>VLOOKUP(F2404,PAR!$R$3:$S$5,2,FALSE)</f>
        <v>3 - egyik sem</v>
      </c>
      <c r="O2404" t="str">
        <f>IFERROR(VLOOKUP(J2404,PAR!$O$3:$P$5,2,FALSE),"nincs feladat")</f>
        <v>nincs feladat</v>
      </c>
      <c r="P2404" t="str">
        <f>IFERROR(VLOOKUP(G2404,PAR!$J$2:$M$19,4),"nincs rovat")</f>
        <v>nincs rovat</v>
      </c>
      <c r="Q2404" t="str">
        <f>IF(H2404&gt;0,VLOOKUP(H2404,PAR!$AA$3:$AC$187,3,FALSE),"nincs főkönyvi számla")</f>
        <v>nincs főkönyvi számla</v>
      </c>
      <c r="R2404" t="str">
        <f>IFERROR(VLOOKUP(K2404,PAR!$V$3:$X$438,3,FALSE),"000000 - Nincs COFOG")</f>
        <v>000000 - Nincs COFOG</v>
      </c>
      <c r="S2404">
        <f t="shared" si="715"/>
        <v>0</v>
      </c>
      <c r="T2404">
        <f t="shared" si="716"/>
        <v>0</v>
      </c>
      <c r="U2404" t="str">
        <f>IF('906MP'!J2104&gt;0,CONCATENATE('906MP'!J2104," - ",'906MP'!P2104,", ",'906MP'!E2104),"nincs megjegyzés")</f>
        <v>nincs megjegyzés</v>
      </c>
      <c r="V2404" t="str">
        <f t="shared" si="703"/>
        <v>0P0</v>
      </c>
      <c r="W2404" t="str">
        <f t="shared" si="704"/>
        <v>0P0</v>
      </c>
      <c r="X2404" t="str">
        <f t="shared" si="705"/>
        <v>P0</v>
      </c>
      <c r="Y2404" t="str">
        <f t="shared" si="706"/>
        <v>00</v>
      </c>
      <c r="Z2404" t="str">
        <f t="shared" si="717"/>
        <v>00</v>
      </c>
      <c r="AA2404" t="str">
        <f t="shared" si="707"/>
        <v>00</v>
      </c>
      <c r="AB2404" t="str">
        <f t="shared" si="708"/>
        <v>00</v>
      </c>
      <c r="AC2404" t="str">
        <f t="shared" si="709"/>
        <v>0P0</v>
      </c>
      <c r="AD2404" t="str">
        <f t="shared" si="710"/>
        <v>P00</v>
      </c>
      <c r="AE2404" t="str">
        <f t="shared" si="711"/>
        <v>0P0</v>
      </c>
      <c r="AF2404" t="str">
        <f t="shared" si="712"/>
        <v>P00</v>
      </c>
      <c r="AG2404" t="str">
        <f t="shared" si="718"/>
        <v>0P00</v>
      </c>
      <c r="AH2404" t="str">
        <f t="shared" si="719"/>
        <v>P000</v>
      </c>
      <c r="AI2404" t="str">
        <f t="shared" si="720"/>
        <v>0P00</v>
      </c>
      <c r="AJ2404" t="str">
        <f t="shared" si="721"/>
        <v>P000</v>
      </c>
    </row>
    <row r="2405" spans="1:36" x14ac:dyDescent="0.25">
      <c r="A2405" s="325" t="str">
        <f>CONCATENATE("P",'906MP'!M2105)</f>
        <v>P</v>
      </c>
      <c r="B2405">
        <f>'906MP'!H2105</f>
        <v>0</v>
      </c>
      <c r="C2405">
        <f>'906MP'!J2105</f>
        <v>0</v>
      </c>
      <c r="D2405">
        <f>'906MP'!P2105</f>
        <v>0</v>
      </c>
      <c r="E2405">
        <f>'906MP'!X2105</f>
        <v>0</v>
      </c>
      <c r="F2405" t="str">
        <f t="shared" si="713"/>
        <v>0</v>
      </c>
      <c r="G2405" t="str">
        <f t="shared" si="714"/>
        <v>0</v>
      </c>
      <c r="H2405">
        <f>'906MP'!Y2105</f>
        <v>0</v>
      </c>
      <c r="I2405">
        <f>'906MP'!AK2105</f>
        <v>0</v>
      </c>
      <c r="J2405">
        <f>'906MP'!T2105</f>
        <v>0</v>
      </c>
      <c r="K2405">
        <f>'906MP'!AJ2105</f>
        <v>0</v>
      </c>
      <c r="L2405">
        <f>'906MP'!U2105</f>
        <v>0</v>
      </c>
      <c r="M2405" s="322" t="str">
        <f>IFERROR(VLOOKUP(A2405,PAR!$D$3:$E$53,2,FALSE),"nincs szervezet")</f>
        <v>nincs szervezet</v>
      </c>
      <c r="N2405" s="322" t="str">
        <f>VLOOKUP(F2405,PAR!$R$3:$S$5,2,FALSE)</f>
        <v>3 - egyik sem</v>
      </c>
      <c r="O2405" t="str">
        <f>IFERROR(VLOOKUP(J2405,PAR!$O$3:$P$5,2,FALSE),"nincs feladat")</f>
        <v>nincs feladat</v>
      </c>
      <c r="P2405" t="str">
        <f>IFERROR(VLOOKUP(G2405,PAR!$J$2:$M$19,4),"nincs rovat")</f>
        <v>nincs rovat</v>
      </c>
      <c r="Q2405" t="str">
        <f>IF(H2405&gt;0,VLOOKUP(H2405,PAR!$AA$3:$AC$187,3,FALSE),"nincs főkönyvi számla")</f>
        <v>nincs főkönyvi számla</v>
      </c>
      <c r="R2405" t="str">
        <f>IFERROR(VLOOKUP(K2405,PAR!$V$3:$X$438,3,FALSE),"000000 - Nincs COFOG")</f>
        <v>000000 - Nincs COFOG</v>
      </c>
      <c r="S2405">
        <f t="shared" si="715"/>
        <v>0</v>
      </c>
      <c r="T2405">
        <f t="shared" si="716"/>
        <v>0</v>
      </c>
      <c r="U2405" t="str">
        <f>IF('906MP'!J2105&gt;0,CONCATENATE('906MP'!J2105," - ",'906MP'!P2105,", ",'906MP'!E2105),"nincs megjegyzés")</f>
        <v>nincs megjegyzés</v>
      </c>
      <c r="V2405" t="str">
        <f t="shared" si="703"/>
        <v>0P0</v>
      </c>
      <c r="W2405" t="str">
        <f t="shared" si="704"/>
        <v>0P0</v>
      </c>
      <c r="X2405" t="str">
        <f t="shared" si="705"/>
        <v>P0</v>
      </c>
      <c r="Y2405" t="str">
        <f t="shared" si="706"/>
        <v>00</v>
      </c>
      <c r="Z2405" t="str">
        <f t="shared" si="717"/>
        <v>00</v>
      </c>
      <c r="AA2405" t="str">
        <f t="shared" si="707"/>
        <v>00</v>
      </c>
      <c r="AB2405" t="str">
        <f t="shared" si="708"/>
        <v>00</v>
      </c>
      <c r="AC2405" t="str">
        <f t="shared" si="709"/>
        <v>0P0</v>
      </c>
      <c r="AD2405" t="str">
        <f t="shared" si="710"/>
        <v>P00</v>
      </c>
      <c r="AE2405" t="str">
        <f t="shared" si="711"/>
        <v>0P0</v>
      </c>
      <c r="AF2405" t="str">
        <f t="shared" si="712"/>
        <v>P00</v>
      </c>
      <c r="AG2405" t="str">
        <f t="shared" si="718"/>
        <v>0P00</v>
      </c>
      <c r="AH2405" t="str">
        <f t="shared" si="719"/>
        <v>P000</v>
      </c>
      <c r="AI2405" t="str">
        <f t="shared" si="720"/>
        <v>0P00</v>
      </c>
      <c r="AJ2405" t="str">
        <f t="shared" si="721"/>
        <v>P000</v>
      </c>
    </row>
    <row r="2406" spans="1:36" x14ac:dyDescent="0.25">
      <c r="A2406" s="325" t="str">
        <f>CONCATENATE("P",'906MP'!M2106)</f>
        <v>P</v>
      </c>
      <c r="B2406">
        <f>'906MP'!H2106</f>
        <v>0</v>
      </c>
      <c r="C2406">
        <f>'906MP'!J2106</f>
        <v>0</v>
      </c>
      <c r="D2406">
        <f>'906MP'!P2106</f>
        <v>0</v>
      </c>
      <c r="E2406">
        <f>'906MP'!X2106</f>
        <v>0</v>
      </c>
      <c r="F2406" t="str">
        <f t="shared" si="713"/>
        <v>0</v>
      </c>
      <c r="G2406" t="str">
        <f t="shared" si="714"/>
        <v>0</v>
      </c>
      <c r="H2406">
        <f>'906MP'!Y2106</f>
        <v>0</v>
      </c>
      <c r="I2406">
        <f>'906MP'!AK2106</f>
        <v>0</v>
      </c>
      <c r="J2406">
        <f>'906MP'!T2106</f>
        <v>0</v>
      </c>
      <c r="K2406">
        <f>'906MP'!AJ2106</f>
        <v>0</v>
      </c>
      <c r="L2406">
        <f>'906MP'!U2106</f>
        <v>0</v>
      </c>
      <c r="M2406" s="322" t="str">
        <f>IFERROR(VLOOKUP(A2406,PAR!$D$3:$E$53,2,FALSE),"nincs szervezet")</f>
        <v>nincs szervezet</v>
      </c>
      <c r="N2406" s="322" t="str">
        <f>VLOOKUP(F2406,PAR!$R$3:$S$5,2,FALSE)</f>
        <v>3 - egyik sem</v>
      </c>
      <c r="O2406" t="str">
        <f>IFERROR(VLOOKUP(J2406,PAR!$O$3:$P$5,2,FALSE),"nincs feladat")</f>
        <v>nincs feladat</v>
      </c>
      <c r="P2406" t="str">
        <f>IFERROR(VLOOKUP(G2406,PAR!$J$2:$M$19,4),"nincs rovat")</f>
        <v>nincs rovat</v>
      </c>
      <c r="Q2406" t="str">
        <f>IF(H2406&gt;0,VLOOKUP(H2406,PAR!$AA$3:$AC$187,3,FALSE),"nincs főkönyvi számla")</f>
        <v>nincs főkönyvi számla</v>
      </c>
      <c r="R2406" t="str">
        <f>IFERROR(VLOOKUP(K2406,PAR!$V$3:$X$438,3,FALSE),"000000 - Nincs COFOG")</f>
        <v>000000 - Nincs COFOG</v>
      </c>
      <c r="S2406">
        <f t="shared" si="715"/>
        <v>0</v>
      </c>
      <c r="T2406">
        <f t="shared" si="716"/>
        <v>0</v>
      </c>
      <c r="U2406" t="str">
        <f>IF('906MP'!J2106&gt;0,CONCATENATE('906MP'!J2106," - ",'906MP'!P2106,", ",'906MP'!E2106),"nincs megjegyzés")</f>
        <v>nincs megjegyzés</v>
      </c>
      <c r="V2406" t="str">
        <f t="shared" si="703"/>
        <v>0P0</v>
      </c>
      <c r="W2406" t="str">
        <f t="shared" si="704"/>
        <v>0P0</v>
      </c>
      <c r="X2406" t="str">
        <f t="shared" si="705"/>
        <v>P0</v>
      </c>
      <c r="Y2406" t="str">
        <f t="shared" si="706"/>
        <v>00</v>
      </c>
      <c r="Z2406" t="str">
        <f t="shared" si="717"/>
        <v>00</v>
      </c>
      <c r="AA2406" t="str">
        <f t="shared" si="707"/>
        <v>00</v>
      </c>
      <c r="AB2406" t="str">
        <f t="shared" si="708"/>
        <v>00</v>
      </c>
      <c r="AC2406" t="str">
        <f t="shared" si="709"/>
        <v>0P0</v>
      </c>
      <c r="AD2406" t="str">
        <f t="shared" si="710"/>
        <v>P00</v>
      </c>
      <c r="AE2406" t="str">
        <f t="shared" si="711"/>
        <v>0P0</v>
      </c>
      <c r="AF2406" t="str">
        <f t="shared" si="712"/>
        <v>P00</v>
      </c>
      <c r="AG2406" t="str">
        <f t="shared" si="718"/>
        <v>0P00</v>
      </c>
      <c r="AH2406" t="str">
        <f t="shared" si="719"/>
        <v>P000</v>
      </c>
      <c r="AI2406" t="str">
        <f t="shared" si="720"/>
        <v>0P00</v>
      </c>
      <c r="AJ2406" t="str">
        <f t="shared" si="721"/>
        <v>P000</v>
      </c>
    </row>
    <row r="2407" spans="1:36" x14ac:dyDescent="0.25">
      <c r="A2407" s="325" t="str">
        <f>CONCATENATE("P",'906MP'!M2107)</f>
        <v>P</v>
      </c>
      <c r="B2407">
        <f>'906MP'!H2107</f>
        <v>0</v>
      </c>
      <c r="C2407">
        <f>'906MP'!J2107</f>
        <v>0</v>
      </c>
      <c r="D2407">
        <f>'906MP'!P2107</f>
        <v>0</v>
      </c>
      <c r="E2407">
        <f>'906MP'!X2107</f>
        <v>0</v>
      </c>
      <c r="F2407" t="str">
        <f t="shared" si="713"/>
        <v>0</v>
      </c>
      <c r="G2407" t="str">
        <f t="shared" si="714"/>
        <v>0</v>
      </c>
      <c r="H2407">
        <f>'906MP'!Y2107</f>
        <v>0</v>
      </c>
      <c r="I2407">
        <f>'906MP'!AK2107</f>
        <v>0</v>
      </c>
      <c r="J2407">
        <f>'906MP'!T2107</f>
        <v>0</v>
      </c>
      <c r="K2407">
        <f>'906MP'!AJ2107</f>
        <v>0</v>
      </c>
      <c r="L2407">
        <f>'906MP'!U2107</f>
        <v>0</v>
      </c>
      <c r="M2407" s="322" t="str">
        <f>IFERROR(VLOOKUP(A2407,PAR!$D$3:$E$53,2,FALSE),"nincs szervezet")</f>
        <v>nincs szervezet</v>
      </c>
      <c r="N2407" s="322" t="str">
        <f>VLOOKUP(F2407,PAR!$R$3:$S$5,2,FALSE)</f>
        <v>3 - egyik sem</v>
      </c>
      <c r="O2407" t="str">
        <f>IFERROR(VLOOKUP(J2407,PAR!$O$3:$P$5,2,FALSE),"nincs feladat")</f>
        <v>nincs feladat</v>
      </c>
      <c r="P2407" t="str">
        <f>IFERROR(VLOOKUP(G2407,PAR!$J$2:$M$19,4),"nincs rovat")</f>
        <v>nincs rovat</v>
      </c>
      <c r="Q2407" t="str">
        <f>IF(H2407&gt;0,VLOOKUP(H2407,PAR!$AA$3:$AC$187,3,FALSE),"nincs főkönyvi számla")</f>
        <v>nincs főkönyvi számla</v>
      </c>
      <c r="R2407" t="str">
        <f>IFERROR(VLOOKUP(K2407,PAR!$V$3:$X$438,3,FALSE),"000000 - Nincs COFOG")</f>
        <v>000000 - Nincs COFOG</v>
      </c>
      <c r="S2407">
        <f t="shared" si="715"/>
        <v>0</v>
      </c>
      <c r="T2407">
        <f t="shared" si="716"/>
        <v>0</v>
      </c>
      <c r="U2407" t="str">
        <f>IF('906MP'!J2107&gt;0,CONCATENATE('906MP'!J2107," - ",'906MP'!P2107,", ",'906MP'!E2107),"nincs megjegyzés")</f>
        <v>nincs megjegyzés</v>
      </c>
      <c r="V2407" t="str">
        <f t="shared" si="703"/>
        <v>0P0</v>
      </c>
      <c r="W2407" t="str">
        <f t="shared" si="704"/>
        <v>0P0</v>
      </c>
      <c r="X2407" t="str">
        <f t="shared" si="705"/>
        <v>P0</v>
      </c>
      <c r="Y2407" t="str">
        <f t="shared" si="706"/>
        <v>00</v>
      </c>
      <c r="Z2407" t="str">
        <f t="shared" si="717"/>
        <v>00</v>
      </c>
      <c r="AA2407" t="str">
        <f t="shared" si="707"/>
        <v>00</v>
      </c>
      <c r="AB2407" t="str">
        <f t="shared" si="708"/>
        <v>00</v>
      </c>
      <c r="AC2407" t="str">
        <f t="shared" si="709"/>
        <v>0P0</v>
      </c>
      <c r="AD2407" t="str">
        <f t="shared" si="710"/>
        <v>P00</v>
      </c>
      <c r="AE2407" t="str">
        <f t="shared" si="711"/>
        <v>0P0</v>
      </c>
      <c r="AF2407" t="str">
        <f t="shared" si="712"/>
        <v>P00</v>
      </c>
      <c r="AG2407" t="str">
        <f t="shared" si="718"/>
        <v>0P00</v>
      </c>
      <c r="AH2407" t="str">
        <f t="shared" si="719"/>
        <v>P000</v>
      </c>
      <c r="AI2407" t="str">
        <f t="shared" si="720"/>
        <v>0P00</v>
      </c>
      <c r="AJ2407" t="str">
        <f t="shared" si="721"/>
        <v>P000</v>
      </c>
    </row>
    <row r="2408" spans="1:36" x14ac:dyDescent="0.25">
      <c r="A2408" s="325" t="str">
        <f>CONCATENATE("P",'906MP'!M2108)</f>
        <v>P</v>
      </c>
      <c r="B2408">
        <f>'906MP'!H2108</f>
        <v>0</v>
      </c>
      <c r="C2408">
        <f>'906MP'!J2108</f>
        <v>0</v>
      </c>
      <c r="D2408">
        <f>'906MP'!P2108</f>
        <v>0</v>
      </c>
      <c r="E2408">
        <f>'906MP'!X2108</f>
        <v>0</v>
      </c>
      <c r="F2408" t="str">
        <f t="shared" si="713"/>
        <v>0</v>
      </c>
      <c r="G2408" t="str">
        <f t="shared" si="714"/>
        <v>0</v>
      </c>
      <c r="H2408">
        <f>'906MP'!Y2108</f>
        <v>0</v>
      </c>
      <c r="I2408">
        <f>'906MP'!AK2108</f>
        <v>0</v>
      </c>
      <c r="J2408">
        <f>'906MP'!T2108</f>
        <v>0</v>
      </c>
      <c r="K2408">
        <f>'906MP'!AJ2108</f>
        <v>0</v>
      </c>
      <c r="L2408">
        <f>'906MP'!U2108</f>
        <v>0</v>
      </c>
      <c r="M2408" s="322" t="str">
        <f>IFERROR(VLOOKUP(A2408,PAR!$D$3:$E$53,2,FALSE),"nincs szervezet")</f>
        <v>nincs szervezet</v>
      </c>
      <c r="N2408" s="322" t="str">
        <f>VLOOKUP(F2408,PAR!$R$3:$S$5,2,FALSE)</f>
        <v>3 - egyik sem</v>
      </c>
      <c r="O2408" t="str">
        <f>IFERROR(VLOOKUP(J2408,PAR!$O$3:$P$5,2,FALSE),"nincs feladat")</f>
        <v>nincs feladat</v>
      </c>
      <c r="P2408" t="str">
        <f>IFERROR(VLOOKUP(G2408,PAR!$J$2:$M$19,4),"nincs rovat")</f>
        <v>nincs rovat</v>
      </c>
      <c r="Q2408" t="str">
        <f>IF(H2408&gt;0,VLOOKUP(H2408,PAR!$AA$3:$AC$187,3,FALSE),"nincs főkönyvi számla")</f>
        <v>nincs főkönyvi számla</v>
      </c>
      <c r="R2408" t="str">
        <f>IFERROR(VLOOKUP(K2408,PAR!$V$3:$X$438,3,FALSE),"000000 - Nincs COFOG")</f>
        <v>000000 - Nincs COFOG</v>
      </c>
      <c r="S2408">
        <f t="shared" si="715"/>
        <v>0</v>
      </c>
      <c r="T2408">
        <f t="shared" si="716"/>
        <v>0</v>
      </c>
      <c r="U2408" t="str">
        <f>IF('906MP'!J2108&gt;0,CONCATENATE('906MP'!J2108," - ",'906MP'!P2108,", ",'906MP'!E2108),"nincs megjegyzés")</f>
        <v>nincs megjegyzés</v>
      </c>
      <c r="V2408" t="str">
        <f t="shared" si="703"/>
        <v>0P0</v>
      </c>
      <c r="W2408" t="str">
        <f t="shared" si="704"/>
        <v>0P0</v>
      </c>
      <c r="X2408" t="str">
        <f t="shared" si="705"/>
        <v>P0</v>
      </c>
      <c r="Y2408" t="str">
        <f t="shared" si="706"/>
        <v>00</v>
      </c>
      <c r="Z2408" t="str">
        <f t="shared" si="717"/>
        <v>00</v>
      </c>
      <c r="AA2408" t="str">
        <f t="shared" si="707"/>
        <v>00</v>
      </c>
      <c r="AB2408" t="str">
        <f t="shared" si="708"/>
        <v>00</v>
      </c>
      <c r="AC2408" t="str">
        <f t="shared" si="709"/>
        <v>0P0</v>
      </c>
      <c r="AD2408" t="str">
        <f t="shared" si="710"/>
        <v>P00</v>
      </c>
      <c r="AE2408" t="str">
        <f t="shared" si="711"/>
        <v>0P0</v>
      </c>
      <c r="AF2408" t="str">
        <f t="shared" si="712"/>
        <v>P00</v>
      </c>
      <c r="AG2408" t="str">
        <f t="shared" si="718"/>
        <v>0P00</v>
      </c>
      <c r="AH2408" t="str">
        <f t="shared" si="719"/>
        <v>P000</v>
      </c>
      <c r="AI2408" t="str">
        <f t="shared" si="720"/>
        <v>0P00</v>
      </c>
      <c r="AJ2408" t="str">
        <f t="shared" si="721"/>
        <v>P000</v>
      </c>
    </row>
    <row r="2409" spans="1:36" x14ac:dyDescent="0.25">
      <c r="A2409" s="325" t="str">
        <f>CONCATENATE("P",'906MP'!M2109)</f>
        <v>P</v>
      </c>
      <c r="B2409">
        <f>'906MP'!H2109</f>
        <v>0</v>
      </c>
      <c r="C2409">
        <f>'906MP'!J2109</f>
        <v>0</v>
      </c>
      <c r="D2409">
        <f>'906MP'!P2109</f>
        <v>0</v>
      </c>
      <c r="E2409">
        <f>'906MP'!X2109</f>
        <v>0</v>
      </c>
      <c r="F2409" t="str">
        <f t="shared" si="713"/>
        <v>0</v>
      </c>
      <c r="G2409" t="str">
        <f t="shared" si="714"/>
        <v>0</v>
      </c>
      <c r="H2409">
        <f>'906MP'!Y2109</f>
        <v>0</v>
      </c>
      <c r="I2409">
        <f>'906MP'!AK2109</f>
        <v>0</v>
      </c>
      <c r="J2409">
        <f>'906MP'!T2109</f>
        <v>0</v>
      </c>
      <c r="K2409">
        <f>'906MP'!AJ2109</f>
        <v>0</v>
      </c>
      <c r="L2409">
        <f>'906MP'!U2109</f>
        <v>0</v>
      </c>
      <c r="M2409" s="322" t="str">
        <f>IFERROR(VLOOKUP(A2409,PAR!$D$3:$E$53,2,FALSE),"nincs szervezet")</f>
        <v>nincs szervezet</v>
      </c>
      <c r="N2409" s="322" t="str">
        <f>VLOOKUP(F2409,PAR!$R$3:$S$5,2,FALSE)</f>
        <v>3 - egyik sem</v>
      </c>
      <c r="O2409" t="str">
        <f>IFERROR(VLOOKUP(J2409,PAR!$O$3:$P$5,2,FALSE),"nincs feladat")</f>
        <v>nincs feladat</v>
      </c>
      <c r="P2409" t="str">
        <f>IFERROR(VLOOKUP(G2409,PAR!$J$2:$M$19,4),"nincs rovat")</f>
        <v>nincs rovat</v>
      </c>
      <c r="Q2409" t="str">
        <f>IF(H2409&gt;0,VLOOKUP(H2409,PAR!$AA$3:$AC$187,3,FALSE),"nincs főkönyvi számla")</f>
        <v>nincs főkönyvi számla</v>
      </c>
      <c r="R2409" t="str">
        <f>IFERROR(VLOOKUP(K2409,PAR!$V$3:$X$438,3,FALSE),"000000 - Nincs COFOG")</f>
        <v>000000 - Nincs COFOG</v>
      </c>
      <c r="S2409">
        <f t="shared" si="715"/>
        <v>0</v>
      </c>
      <c r="T2409">
        <f t="shared" si="716"/>
        <v>0</v>
      </c>
      <c r="U2409" t="str">
        <f>IF('906MP'!J2109&gt;0,CONCATENATE('906MP'!J2109," - ",'906MP'!P2109,", ",'906MP'!E2109),"nincs megjegyzés")</f>
        <v>nincs megjegyzés</v>
      </c>
      <c r="V2409" t="str">
        <f t="shared" si="703"/>
        <v>0P0</v>
      </c>
      <c r="W2409" t="str">
        <f t="shared" si="704"/>
        <v>0P0</v>
      </c>
      <c r="X2409" t="str">
        <f t="shared" si="705"/>
        <v>P0</v>
      </c>
      <c r="Y2409" t="str">
        <f t="shared" si="706"/>
        <v>00</v>
      </c>
      <c r="Z2409" t="str">
        <f t="shared" si="717"/>
        <v>00</v>
      </c>
      <c r="AA2409" t="str">
        <f t="shared" si="707"/>
        <v>00</v>
      </c>
      <c r="AB2409" t="str">
        <f t="shared" si="708"/>
        <v>00</v>
      </c>
      <c r="AC2409" t="str">
        <f t="shared" si="709"/>
        <v>0P0</v>
      </c>
      <c r="AD2409" t="str">
        <f t="shared" si="710"/>
        <v>P00</v>
      </c>
      <c r="AE2409" t="str">
        <f t="shared" si="711"/>
        <v>0P0</v>
      </c>
      <c r="AF2409" t="str">
        <f t="shared" si="712"/>
        <v>P00</v>
      </c>
      <c r="AG2409" t="str">
        <f t="shared" si="718"/>
        <v>0P00</v>
      </c>
      <c r="AH2409" t="str">
        <f t="shared" si="719"/>
        <v>P000</v>
      </c>
      <c r="AI2409" t="str">
        <f t="shared" si="720"/>
        <v>0P00</v>
      </c>
      <c r="AJ2409" t="str">
        <f t="shared" si="721"/>
        <v>P000</v>
      </c>
    </row>
    <row r="2410" spans="1:36" x14ac:dyDescent="0.25">
      <c r="A2410" s="325" t="str">
        <f>CONCATENATE("P",'906MP'!M2110)</f>
        <v>P</v>
      </c>
      <c r="B2410">
        <f>'906MP'!H2110</f>
        <v>0</v>
      </c>
      <c r="C2410">
        <f>'906MP'!J2110</f>
        <v>0</v>
      </c>
      <c r="D2410">
        <f>'906MP'!P2110</f>
        <v>0</v>
      </c>
      <c r="E2410">
        <f>'906MP'!X2110</f>
        <v>0</v>
      </c>
      <c r="F2410" t="str">
        <f t="shared" si="713"/>
        <v>0</v>
      </c>
      <c r="G2410" t="str">
        <f t="shared" si="714"/>
        <v>0</v>
      </c>
      <c r="H2410">
        <f>'906MP'!Y2110</f>
        <v>0</v>
      </c>
      <c r="I2410">
        <f>'906MP'!AK2110</f>
        <v>0</v>
      </c>
      <c r="J2410">
        <f>'906MP'!T2110</f>
        <v>0</v>
      </c>
      <c r="K2410">
        <f>'906MP'!AJ2110</f>
        <v>0</v>
      </c>
      <c r="L2410">
        <f>'906MP'!U2110</f>
        <v>0</v>
      </c>
      <c r="M2410" s="322" t="str">
        <f>IFERROR(VLOOKUP(A2410,PAR!$D$3:$E$53,2,FALSE),"nincs szervezet")</f>
        <v>nincs szervezet</v>
      </c>
      <c r="N2410" s="322" t="str">
        <f>VLOOKUP(F2410,PAR!$R$3:$S$5,2,FALSE)</f>
        <v>3 - egyik sem</v>
      </c>
      <c r="O2410" t="str">
        <f>IFERROR(VLOOKUP(J2410,PAR!$O$3:$P$5,2,FALSE),"nincs feladat")</f>
        <v>nincs feladat</v>
      </c>
      <c r="P2410" t="str">
        <f>IFERROR(VLOOKUP(G2410,PAR!$J$2:$M$19,4),"nincs rovat")</f>
        <v>nincs rovat</v>
      </c>
      <c r="Q2410" t="str">
        <f>IF(H2410&gt;0,VLOOKUP(H2410,PAR!$AA$3:$AC$187,3,FALSE),"nincs főkönyvi számla")</f>
        <v>nincs főkönyvi számla</v>
      </c>
      <c r="R2410" t="str">
        <f>IFERROR(VLOOKUP(K2410,PAR!$V$3:$X$438,3,FALSE),"000000 - Nincs COFOG")</f>
        <v>000000 - Nincs COFOG</v>
      </c>
      <c r="S2410">
        <f t="shared" si="715"/>
        <v>0</v>
      </c>
      <c r="T2410">
        <f t="shared" si="716"/>
        <v>0</v>
      </c>
      <c r="U2410" t="str">
        <f>IF('906MP'!J2110&gt;0,CONCATENATE('906MP'!J2110," - ",'906MP'!P2110,", ",'906MP'!E2110),"nincs megjegyzés")</f>
        <v>nincs megjegyzés</v>
      </c>
      <c r="V2410" t="str">
        <f t="shared" si="703"/>
        <v>0P0</v>
      </c>
      <c r="W2410" t="str">
        <f t="shared" si="704"/>
        <v>0P0</v>
      </c>
      <c r="X2410" t="str">
        <f t="shared" si="705"/>
        <v>P0</v>
      </c>
      <c r="Y2410" t="str">
        <f t="shared" si="706"/>
        <v>00</v>
      </c>
      <c r="Z2410" t="str">
        <f t="shared" si="717"/>
        <v>00</v>
      </c>
      <c r="AA2410" t="str">
        <f t="shared" si="707"/>
        <v>00</v>
      </c>
      <c r="AB2410" t="str">
        <f t="shared" si="708"/>
        <v>00</v>
      </c>
      <c r="AC2410" t="str">
        <f t="shared" si="709"/>
        <v>0P0</v>
      </c>
      <c r="AD2410" t="str">
        <f t="shared" si="710"/>
        <v>P00</v>
      </c>
      <c r="AE2410" t="str">
        <f t="shared" si="711"/>
        <v>0P0</v>
      </c>
      <c r="AF2410" t="str">
        <f t="shared" si="712"/>
        <v>P00</v>
      </c>
      <c r="AG2410" t="str">
        <f t="shared" si="718"/>
        <v>0P00</v>
      </c>
      <c r="AH2410" t="str">
        <f t="shared" si="719"/>
        <v>P000</v>
      </c>
      <c r="AI2410" t="str">
        <f t="shared" si="720"/>
        <v>0P00</v>
      </c>
      <c r="AJ2410" t="str">
        <f t="shared" si="721"/>
        <v>P000</v>
      </c>
    </row>
    <row r="2411" spans="1:36" x14ac:dyDescent="0.25">
      <c r="A2411" s="325" t="str">
        <f>CONCATENATE("P",'906MP'!M2111)</f>
        <v>P</v>
      </c>
      <c r="B2411">
        <f>'906MP'!H2111</f>
        <v>0</v>
      </c>
      <c r="C2411">
        <f>'906MP'!J2111</f>
        <v>0</v>
      </c>
      <c r="D2411">
        <f>'906MP'!P2111</f>
        <v>0</v>
      </c>
      <c r="E2411">
        <f>'906MP'!X2111</f>
        <v>0</v>
      </c>
      <c r="F2411" t="str">
        <f t="shared" si="713"/>
        <v>0</v>
      </c>
      <c r="G2411" t="str">
        <f t="shared" si="714"/>
        <v>0</v>
      </c>
      <c r="H2411">
        <f>'906MP'!Y2111</f>
        <v>0</v>
      </c>
      <c r="I2411">
        <f>'906MP'!AK2111</f>
        <v>0</v>
      </c>
      <c r="J2411">
        <f>'906MP'!T2111</f>
        <v>0</v>
      </c>
      <c r="K2411">
        <f>'906MP'!AJ2111</f>
        <v>0</v>
      </c>
      <c r="L2411">
        <f>'906MP'!U2111</f>
        <v>0</v>
      </c>
      <c r="M2411" s="322" t="str">
        <f>IFERROR(VLOOKUP(A2411,PAR!$D$3:$E$53,2,FALSE),"nincs szervezet")</f>
        <v>nincs szervezet</v>
      </c>
      <c r="N2411" s="322" t="str">
        <f>VLOOKUP(F2411,PAR!$R$3:$S$5,2,FALSE)</f>
        <v>3 - egyik sem</v>
      </c>
      <c r="O2411" t="str">
        <f>IFERROR(VLOOKUP(J2411,PAR!$O$3:$P$5,2,FALSE),"nincs feladat")</f>
        <v>nincs feladat</v>
      </c>
      <c r="P2411" t="str">
        <f>IFERROR(VLOOKUP(G2411,PAR!$J$2:$M$19,4),"nincs rovat")</f>
        <v>nincs rovat</v>
      </c>
      <c r="Q2411" t="str">
        <f>IF(H2411&gt;0,VLOOKUP(H2411,PAR!$AA$3:$AC$187,3,FALSE),"nincs főkönyvi számla")</f>
        <v>nincs főkönyvi számla</v>
      </c>
      <c r="R2411" t="str">
        <f>IFERROR(VLOOKUP(K2411,PAR!$V$3:$X$438,3,FALSE),"000000 - Nincs COFOG")</f>
        <v>000000 - Nincs COFOG</v>
      </c>
      <c r="S2411">
        <f t="shared" si="715"/>
        <v>0</v>
      </c>
      <c r="T2411">
        <f t="shared" si="716"/>
        <v>0</v>
      </c>
      <c r="U2411" t="str">
        <f>IF('906MP'!J2111&gt;0,CONCATENATE('906MP'!J2111," - ",'906MP'!P2111,", ",'906MP'!E2111),"nincs megjegyzés")</f>
        <v>nincs megjegyzés</v>
      </c>
      <c r="V2411" t="str">
        <f t="shared" si="703"/>
        <v>0P0</v>
      </c>
      <c r="W2411" t="str">
        <f t="shared" si="704"/>
        <v>0P0</v>
      </c>
      <c r="X2411" t="str">
        <f t="shared" si="705"/>
        <v>P0</v>
      </c>
      <c r="Y2411" t="str">
        <f t="shared" si="706"/>
        <v>00</v>
      </c>
      <c r="Z2411" t="str">
        <f t="shared" si="717"/>
        <v>00</v>
      </c>
      <c r="AA2411" t="str">
        <f t="shared" si="707"/>
        <v>00</v>
      </c>
      <c r="AB2411" t="str">
        <f t="shared" si="708"/>
        <v>00</v>
      </c>
      <c r="AC2411" t="str">
        <f t="shared" si="709"/>
        <v>0P0</v>
      </c>
      <c r="AD2411" t="str">
        <f t="shared" si="710"/>
        <v>P00</v>
      </c>
      <c r="AE2411" t="str">
        <f t="shared" si="711"/>
        <v>0P0</v>
      </c>
      <c r="AF2411" t="str">
        <f t="shared" si="712"/>
        <v>P00</v>
      </c>
      <c r="AG2411" t="str">
        <f t="shared" si="718"/>
        <v>0P00</v>
      </c>
      <c r="AH2411" t="str">
        <f t="shared" si="719"/>
        <v>P000</v>
      </c>
      <c r="AI2411" t="str">
        <f t="shared" si="720"/>
        <v>0P00</v>
      </c>
      <c r="AJ2411" t="str">
        <f t="shared" si="721"/>
        <v>P000</v>
      </c>
    </row>
    <row r="2412" spans="1:36" x14ac:dyDescent="0.25">
      <c r="A2412" s="325" t="str">
        <f>CONCATENATE("P",'906MP'!M2112)</f>
        <v>P</v>
      </c>
      <c r="B2412">
        <f>'906MP'!H2112</f>
        <v>0</v>
      </c>
      <c r="C2412">
        <f>'906MP'!J2112</f>
        <v>0</v>
      </c>
      <c r="D2412">
        <f>'906MP'!P2112</f>
        <v>0</v>
      </c>
      <c r="E2412">
        <f>'906MP'!X2112</f>
        <v>0</v>
      </c>
      <c r="F2412" t="str">
        <f t="shared" si="713"/>
        <v>0</v>
      </c>
      <c r="G2412" t="str">
        <f t="shared" si="714"/>
        <v>0</v>
      </c>
      <c r="H2412">
        <f>'906MP'!Y2112</f>
        <v>0</v>
      </c>
      <c r="I2412">
        <f>'906MP'!AK2112</f>
        <v>0</v>
      </c>
      <c r="J2412">
        <f>'906MP'!T2112</f>
        <v>0</v>
      </c>
      <c r="K2412">
        <f>'906MP'!AJ2112</f>
        <v>0</v>
      </c>
      <c r="L2412">
        <f>'906MP'!U2112</f>
        <v>0</v>
      </c>
      <c r="M2412" s="322" t="str">
        <f>IFERROR(VLOOKUP(A2412,PAR!$D$3:$E$53,2,FALSE),"nincs szervezet")</f>
        <v>nincs szervezet</v>
      </c>
      <c r="N2412" s="322" t="str">
        <f>VLOOKUP(F2412,PAR!$R$3:$S$5,2,FALSE)</f>
        <v>3 - egyik sem</v>
      </c>
      <c r="O2412" t="str">
        <f>IFERROR(VLOOKUP(J2412,PAR!$O$3:$P$5,2,FALSE),"nincs feladat")</f>
        <v>nincs feladat</v>
      </c>
      <c r="P2412" t="str">
        <f>IFERROR(VLOOKUP(G2412,PAR!$J$2:$M$19,4),"nincs rovat")</f>
        <v>nincs rovat</v>
      </c>
      <c r="Q2412" t="str">
        <f>IF(H2412&gt;0,VLOOKUP(H2412,PAR!$AA$3:$AC$187,3,FALSE),"nincs főkönyvi számla")</f>
        <v>nincs főkönyvi számla</v>
      </c>
      <c r="R2412" t="str">
        <f>IFERROR(VLOOKUP(K2412,PAR!$V$3:$X$438,3,FALSE),"000000 - Nincs COFOG")</f>
        <v>000000 - Nincs COFOG</v>
      </c>
      <c r="S2412">
        <f t="shared" si="715"/>
        <v>0</v>
      </c>
      <c r="T2412">
        <f t="shared" si="716"/>
        <v>0</v>
      </c>
      <c r="U2412" t="str">
        <f>IF('906MP'!J2112&gt;0,CONCATENATE('906MP'!J2112," - ",'906MP'!P2112,", ",'906MP'!E2112),"nincs megjegyzés")</f>
        <v>nincs megjegyzés</v>
      </c>
      <c r="V2412" t="str">
        <f t="shared" si="703"/>
        <v>0P0</v>
      </c>
      <c r="W2412" t="str">
        <f t="shared" si="704"/>
        <v>0P0</v>
      </c>
      <c r="X2412" t="str">
        <f t="shared" si="705"/>
        <v>P0</v>
      </c>
      <c r="Y2412" t="str">
        <f t="shared" si="706"/>
        <v>00</v>
      </c>
      <c r="Z2412" t="str">
        <f t="shared" si="717"/>
        <v>00</v>
      </c>
      <c r="AA2412" t="str">
        <f t="shared" si="707"/>
        <v>00</v>
      </c>
      <c r="AB2412" t="str">
        <f t="shared" si="708"/>
        <v>00</v>
      </c>
      <c r="AC2412" t="str">
        <f t="shared" si="709"/>
        <v>0P0</v>
      </c>
      <c r="AD2412" t="str">
        <f t="shared" si="710"/>
        <v>P00</v>
      </c>
      <c r="AE2412" t="str">
        <f t="shared" si="711"/>
        <v>0P0</v>
      </c>
      <c r="AF2412" t="str">
        <f t="shared" si="712"/>
        <v>P00</v>
      </c>
      <c r="AG2412" t="str">
        <f t="shared" si="718"/>
        <v>0P00</v>
      </c>
      <c r="AH2412" t="str">
        <f t="shared" si="719"/>
        <v>P000</v>
      </c>
      <c r="AI2412" t="str">
        <f t="shared" si="720"/>
        <v>0P00</v>
      </c>
      <c r="AJ2412" t="str">
        <f t="shared" si="721"/>
        <v>P000</v>
      </c>
    </row>
    <row r="2413" spans="1:36" x14ac:dyDescent="0.25">
      <c r="A2413" s="325" t="str">
        <f>CONCATENATE("P",'906MP'!M2113)</f>
        <v>P</v>
      </c>
      <c r="B2413">
        <f>'906MP'!H2113</f>
        <v>0</v>
      </c>
      <c r="C2413">
        <f>'906MP'!J2113</f>
        <v>0</v>
      </c>
      <c r="D2413">
        <f>'906MP'!P2113</f>
        <v>0</v>
      </c>
      <c r="E2413">
        <f>'906MP'!X2113</f>
        <v>0</v>
      </c>
      <c r="F2413" t="str">
        <f t="shared" si="713"/>
        <v>0</v>
      </c>
      <c r="G2413" t="str">
        <f t="shared" si="714"/>
        <v>0</v>
      </c>
      <c r="H2413">
        <f>'906MP'!Y2113</f>
        <v>0</v>
      </c>
      <c r="I2413">
        <f>'906MP'!AK2113</f>
        <v>0</v>
      </c>
      <c r="J2413">
        <f>'906MP'!T2113</f>
        <v>0</v>
      </c>
      <c r="K2413">
        <f>'906MP'!AJ2113</f>
        <v>0</v>
      </c>
      <c r="L2413">
        <f>'906MP'!U2113</f>
        <v>0</v>
      </c>
      <c r="M2413" s="322" t="str">
        <f>IFERROR(VLOOKUP(A2413,PAR!$D$3:$E$53,2,FALSE),"nincs szervezet")</f>
        <v>nincs szervezet</v>
      </c>
      <c r="N2413" s="322" t="str">
        <f>VLOOKUP(F2413,PAR!$R$3:$S$5,2,FALSE)</f>
        <v>3 - egyik sem</v>
      </c>
      <c r="O2413" t="str">
        <f>IFERROR(VLOOKUP(J2413,PAR!$O$3:$P$5,2,FALSE),"nincs feladat")</f>
        <v>nincs feladat</v>
      </c>
      <c r="P2413" t="str">
        <f>IFERROR(VLOOKUP(G2413,PAR!$J$2:$M$19,4),"nincs rovat")</f>
        <v>nincs rovat</v>
      </c>
      <c r="Q2413" t="str">
        <f>IF(H2413&gt;0,VLOOKUP(H2413,PAR!$AA$3:$AC$187,3,FALSE),"nincs főkönyvi számla")</f>
        <v>nincs főkönyvi számla</v>
      </c>
      <c r="R2413" t="str">
        <f>IFERROR(VLOOKUP(K2413,PAR!$V$3:$X$438,3,FALSE),"000000 - Nincs COFOG")</f>
        <v>000000 - Nincs COFOG</v>
      </c>
      <c r="S2413">
        <f t="shared" si="715"/>
        <v>0</v>
      </c>
      <c r="T2413">
        <f t="shared" si="716"/>
        <v>0</v>
      </c>
      <c r="U2413" t="str">
        <f>IF('906MP'!J2113&gt;0,CONCATENATE('906MP'!J2113," - ",'906MP'!P2113,", ",'906MP'!E2113),"nincs megjegyzés")</f>
        <v>nincs megjegyzés</v>
      </c>
      <c r="V2413" t="str">
        <f t="shared" si="703"/>
        <v>0P0</v>
      </c>
      <c r="W2413" t="str">
        <f t="shared" si="704"/>
        <v>0P0</v>
      </c>
      <c r="X2413" t="str">
        <f t="shared" si="705"/>
        <v>P0</v>
      </c>
      <c r="Y2413" t="str">
        <f t="shared" si="706"/>
        <v>00</v>
      </c>
      <c r="Z2413" t="str">
        <f t="shared" si="717"/>
        <v>00</v>
      </c>
      <c r="AA2413" t="str">
        <f t="shared" si="707"/>
        <v>00</v>
      </c>
      <c r="AB2413" t="str">
        <f t="shared" si="708"/>
        <v>00</v>
      </c>
      <c r="AC2413" t="str">
        <f t="shared" si="709"/>
        <v>0P0</v>
      </c>
      <c r="AD2413" t="str">
        <f t="shared" si="710"/>
        <v>P00</v>
      </c>
      <c r="AE2413" t="str">
        <f t="shared" si="711"/>
        <v>0P0</v>
      </c>
      <c r="AF2413" t="str">
        <f t="shared" si="712"/>
        <v>P00</v>
      </c>
      <c r="AG2413" t="str">
        <f t="shared" si="718"/>
        <v>0P00</v>
      </c>
      <c r="AH2413" t="str">
        <f t="shared" si="719"/>
        <v>P000</v>
      </c>
      <c r="AI2413" t="str">
        <f t="shared" si="720"/>
        <v>0P00</v>
      </c>
      <c r="AJ2413" t="str">
        <f t="shared" si="721"/>
        <v>P000</v>
      </c>
    </row>
    <row r="2414" spans="1:36" x14ac:dyDescent="0.25">
      <c r="A2414" s="325" t="str">
        <f>CONCATENATE("P",'906MP'!M2114)</f>
        <v>P</v>
      </c>
      <c r="B2414">
        <f>'906MP'!H2114</f>
        <v>0</v>
      </c>
      <c r="C2414">
        <f>'906MP'!J2114</f>
        <v>0</v>
      </c>
      <c r="D2414">
        <f>'906MP'!P2114</f>
        <v>0</v>
      </c>
      <c r="E2414">
        <f>'906MP'!X2114</f>
        <v>0</v>
      </c>
      <c r="F2414" t="str">
        <f t="shared" si="713"/>
        <v>0</v>
      </c>
      <c r="G2414" t="str">
        <f t="shared" si="714"/>
        <v>0</v>
      </c>
      <c r="H2414">
        <f>'906MP'!Y2114</f>
        <v>0</v>
      </c>
      <c r="I2414">
        <f>'906MP'!AK2114</f>
        <v>0</v>
      </c>
      <c r="J2414">
        <f>'906MP'!T2114</f>
        <v>0</v>
      </c>
      <c r="K2414">
        <f>'906MP'!AJ2114</f>
        <v>0</v>
      </c>
      <c r="L2414">
        <f>'906MP'!U2114</f>
        <v>0</v>
      </c>
      <c r="M2414" s="322" t="str">
        <f>IFERROR(VLOOKUP(A2414,PAR!$D$3:$E$53,2,FALSE),"nincs szervezet")</f>
        <v>nincs szervezet</v>
      </c>
      <c r="N2414" s="322" t="str">
        <f>VLOOKUP(F2414,PAR!$R$3:$S$5,2,FALSE)</f>
        <v>3 - egyik sem</v>
      </c>
      <c r="O2414" t="str">
        <f>IFERROR(VLOOKUP(J2414,PAR!$O$3:$P$5,2,FALSE),"nincs feladat")</f>
        <v>nincs feladat</v>
      </c>
      <c r="P2414" t="str">
        <f>IFERROR(VLOOKUP(G2414,PAR!$J$2:$M$19,4),"nincs rovat")</f>
        <v>nincs rovat</v>
      </c>
      <c r="Q2414" t="str">
        <f>IF(H2414&gt;0,VLOOKUP(H2414,PAR!$AA$3:$AC$187,3,FALSE),"nincs főkönyvi számla")</f>
        <v>nincs főkönyvi számla</v>
      </c>
      <c r="R2414" t="str">
        <f>IFERROR(VLOOKUP(K2414,PAR!$V$3:$X$438,3,FALSE),"000000 - Nincs COFOG")</f>
        <v>000000 - Nincs COFOG</v>
      </c>
      <c r="S2414">
        <f t="shared" si="715"/>
        <v>0</v>
      </c>
      <c r="T2414">
        <f t="shared" si="716"/>
        <v>0</v>
      </c>
      <c r="U2414" t="str">
        <f>IF('906MP'!J2114&gt;0,CONCATENATE('906MP'!J2114," - ",'906MP'!P2114,", ",'906MP'!E2114),"nincs megjegyzés")</f>
        <v>nincs megjegyzés</v>
      </c>
      <c r="V2414" t="str">
        <f t="shared" si="703"/>
        <v>0P0</v>
      </c>
      <c r="W2414" t="str">
        <f t="shared" si="704"/>
        <v>0P0</v>
      </c>
      <c r="X2414" t="str">
        <f t="shared" si="705"/>
        <v>P0</v>
      </c>
      <c r="Y2414" t="str">
        <f t="shared" si="706"/>
        <v>00</v>
      </c>
      <c r="Z2414" t="str">
        <f t="shared" si="717"/>
        <v>00</v>
      </c>
      <c r="AA2414" t="str">
        <f t="shared" si="707"/>
        <v>00</v>
      </c>
      <c r="AB2414" t="str">
        <f t="shared" si="708"/>
        <v>00</v>
      </c>
      <c r="AC2414" t="str">
        <f t="shared" si="709"/>
        <v>0P0</v>
      </c>
      <c r="AD2414" t="str">
        <f t="shared" si="710"/>
        <v>P00</v>
      </c>
      <c r="AE2414" t="str">
        <f t="shared" si="711"/>
        <v>0P0</v>
      </c>
      <c r="AF2414" t="str">
        <f t="shared" si="712"/>
        <v>P00</v>
      </c>
      <c r="AG2414" t="str">
        <f t="shared" si="718"/>
        <v>0P00</v>
      </c>
      <c r="AH2414" t="str">
        <f t="shared" si="719"/>
        <v>P000</v>
      </c>
      <c r="AI2414" t="str">
        <f t="shared" si="720"/>
        <v>0P00</v>
      </c>
      <c r="AJ2414" t="str">
        <f t="shared" si="721"/>
        <v>P000</v>
      </c>
    </row>
    <row r="2415" spans="1:36" x14ac:dyDescent="0.25">
      <c r="A2415" s="325" t="str">
        <f>CONCATENATE("P",'906MP'!M2115)</f>
        <v>P</v>
      </c>
      <c r="B2415">
        <f>'906MP'!H2115</f>
        <v>0</v>
      </c>
      <c r="C2415">
        <f>'906MP'!J2115</f>
        <v>0</v>
      </c>
      <c r="D2415">
        <f>'906MP'!P2115</f>
        <v>0</v>
      </c>
      <c r="E2415">
        <f>'906MP'!X2115</f>
        <v>0</v>
      </c>
      <c r="F2415" t="str">
        <f t="shared" si="713"/>
        <v>0</v>
      </c>
      <c r="G2415" t="str">
        <f t="shared" si="714"/>
        <v>0</v>
      </c>
      <c r="H2415">
        <f>'906MP'!Y2115</f>
        <v>0</v>
      </c>
      <c r="I2415">
        <f>'906MP'!AK2115</f>
        <v>0</v>
      </c>
      <c r="J2415">
        <f>'906MP'!T2115</f>
        <v>0</v>
      </c>
      <c r="K2415">
        <f>'906MP'!AJ2115</f>
        <v>0</v>
      </c>
      <c r="L2415">
        <f>'906MP'!U2115</f>
        <v>0</v>
      </c>
      <c r="M2415" s="322" t="str">
        <f>IFERROR(VLOOKUP(A2415,PAR!$D$3:$E$53,2,FALSE),"nincs szervezet")</f>
        <v>nincs szervezet</v>
      </c>
      <c r="N2415" s="322" t="str">
        <f>VLOOKUP(F2415,PAR!$R$3:$S$5,2,FALSE)</f>
        <v>3 - egyik sem</v>
      </c>
      <c r="O2415" t="str">
        <f>IFERROR(VLOOKUP(J2415,PAR!$O$3:$P$5,2,FALSE),"nincs feladat")</f>
        <v>nincs feladat</v>
      </c>
      <c r="P2415" t="str">
        <f>IFERROR(VLOOKUP(G2415,PAR!$J$2:$M$19,4),"nincs rovat")</f>
        <v>nincs rovat</v>
      </c>
      <c r="Q2415" t="str">
        <f>IF(H2415&gt;0,VLOOKUP(H2415,PAR!$AA$3:$AC$187,3,FALSE),"nincs főkönyvi számla")</f>
        <v>nincs főkönyvi számla</v>
      </c>
      <c r="R2415" t="str">
        <f>IFERROR(VLOOKUP(K2415,PAR!$V$3:$X$438,3,FALSE),"000000 - Nincs COFOG")</f>
        <v>000000 - Nincs COFOG</v>
      </c>
      <c r="S2415">
        <f t="shared" si="715"/>
        <v>0</v>
      </c>
      <c r="T2415">
        <f t="shared" si="716"/>
        <v>0</v>
      </c>
      <c r="U2415" t="str">
        <f>IF('906MP'!J2115&gt;0,CONCATENATE('906MP'!J2115," - ",'906MP'!P2115,", ",'906MP'!E2115),"nincs megjegyzés")</f>
        <v>nincs megjegyzés</v>
      </c>
      <c r="V2415" t="str">
        <f t="shared" si="703"/>
        <v>0P0</v>
      </c>
      <c r="W2415" t="str">
        <f t="shared" si="704"/>
        <v>0P0</v>
      </c>
      <c r="X2415" t="str">
        <f t="shared" si="705"/>
        <v>P0</v>
      </c>
      <c r="Y2415" t="str">
        <f t="shared" si="706"/>
        <v>00</v>
      </c>
      <c r="Z2415" t="str">
        <f t="shared" si="717"/>
        <v>00</v>
      </c>
      <c r="AA2415" t="str">
        <f t="shared" si="707"/>
        <v>00</v>
      </c>
      <c r="AB2415" t="str">
        <f t="shared" si="708"/>
        <v>00</v>
      </c>
      <c r="AC2415" t="str">
        <f t="shared" si="709"/>
        <v>0P0</v>
      </c>
      <c r="AD2415" t="str">
        <f t="shared" si="710"/>
        <v>P00</v>
      </c>
      <c r="AE2415" t="str">
        <f t="shared" si="711"/>
        <v>0P0</v>
      </c>
      <c r="AF2415" t="str">
        <f t="shared" si="712"/>
        <v>P00</v>
      </c>
      <c r="AG2415" t="str">
        <f t="shared" si="718"/>
        <v>0P00</v>
      </c>
      <c r="AH2415" t="str">
        <f t="shared" si="719"/>
        <v>P000</v>
      </c>
      <c r="AI2415" t="str">
        <f t="shared" si="720"/>
        <v>0P00</v>
      </c>
      <c r="AJ2415" t="str">
        <f t="shared" si="721"/>
        <v>P000</v>
      </c>
    </row>
    <row r="2416" spans="1:36" x14ac:dyDescent="0.25">
      <c r="A2416" s="325" t="str">
        <f>CONCATENATE("P",'906MP'!M2116)</f>
        <v>P</v>
      </c>
      <c r="B2416">
        <f>'906MP'!H2116</f>
        <v>0</v>
      </c>
      <c r="C2416">
        <f>'906MP'!J2116</f>
        <v>0</v>
      </c>
      <c r="D2416">
        <f>'906MP'!P2116</f>
        <v>0</v>
      </c>
      <c r="E2416">
        <f>'906MP'!X2116</f>
        <v>0</v>
      </c>
      <c r="F2416" t="str">
        <f t="shared" si="713"/>
        <v>0</v>
      </c>
      <c r="G2416" t="str">
        <f t="shared" si="714"/>
        <v>0</v>
      </c>
      <c r="H2416">
        <f>'906MP'!Y2116</f>
        <v>0</v>
      </c>
      <c r="I2416">
        <f>'906MP'!AK2116</f>
        <v>0</v>
      </c>
      <c r="J2416">
        <f>'906MP'!T2116</f>
        <v>0</v>
      </c>
      <c r="K2416">
        <f>'906MP'!AJ2116</f>
        <v>0</v>
      </c>
      <c r="L2416">
        <f>'906MP'!U2116</f>
        <v>0</v>
      </c>
      <c r="M2416" s="322" t="str">
        <f>IFERROR(VLOOKUP(A2416,PAR!$D$3:$E$53,2,FALSE),"nincs szervezet")</f>
        <v>nincs szervezet</v>
      </c>
      <c r="N2416" s="322" t="str">
        <f>VLOOKUP(F2416,PAR!$R$3:$S$5,2,FALSE)</f>
        <v>3 - egyik sem</v>
      </c>
      <c r="O2416" t="str">
        <f>IFERROR(VLOOKUP(J2416,PAR!$O$3:$P$5,2,FALSE),"nincs feladat")</f>
        <v>nincs feladat</v>
      </c>
      <c r="P2416" t="str">
        <f>IFERROR(VLOOKUP(G2416,PAR!$J$2:$M$19,4),"nincs rovat")</f>
        <v>nincs rovat</v>
      </c>
      <c r="Q2416" t="str">
        <f>IF(H2416&gt;0,VLOOKUP(H2416,PAR!$AA$3:$AC$187,3,FALSE),"nincs főkönyvi számla")</f>
        <v>nincs főkönyvi számla</v>
      </c>
      <c r="R2416" t="str">
        <f>IFERROR(VLOOKUP(K2416,PAR!$V$3:$X$438,3,FALSE),"000000 - Nincs COFOG")</f>
        <v>000000 - Nincs COFOG</v>
      </c>
      <c r="S2416">
        <f t="shared" si="715"/>
        <v>0</v>
      </c>
      <c r="T2416">
        <f t="shared" si="716"/>
        <v>0</v>
      </c>
      <c r="U2416" t="str">
        <f>IF('906MP'!J2116&gt;0,CONCATENATE('906MP'!J2116," - ",'906MP'!P2116,", ",'906MP'!E2116),"nincs megjegyzés")</f>
        <v>nincs megjegyzés</v>
      </c>
      <c r="V2416" t="str">
        <f t="shared" si="703"/>
        <v>0P0</v>
      </c>
      <c r="W2416" t="str">
        <f t="shared" si="704"/>
        <v>0P0</v>
      </c>
      <c r="X2416" t="str">
        <f t="shared" si="705"/>
        <v>P0</v>
      </c>
      <c r="Y2416" t="str">
        <f t="shared" si="706"/>
        <v>00</v>
      </c>
      <c r="Z2416" t="str">
        <f t="shared" si="717"/>
        <v>00</v>
      </c>
      <c r="AA2416" t="str">
        <f t="shared" si="707"/>
        <v>00</v>
      </c>
      <c r="AB2416" t="str">
        <f t="shared" si="708"/>
        <v>00</v>
      </c>
      <c r="AC2416" t="str">
        <f t="shared" si="709"/>
        <v>0P0</v>
      </c>
      <c r="AD2416" t="str">
        <f t="shared" si="710"/>
        <v>P00</v>
      </c>
      <c r="AE2416" t="str">
        <f t="shared" si="711"/>
        <v>0P0</v>
      </c>
      <c r="AF2416" t="str">
        <f t="shared" si="712"/>
        <v>P00</v>
      </c>
      <c r="AG2416" t="str">
        <f t="shared" si="718"/>
        <v>0P00</v>
      </c>
      <c r="AH2416" t="str">
        <f t="shared" si="719"/>
        <v>P000</v>
      </c>
      <c r="AI2416" t="str">
        <f t="shared" si="720"/>
        <v>0P00</v>
      </c>
      <c r="AJ2416" t="str">
        <f t="shared" si="721"/>
        <v>P000</v>
      </c>
    </row>
    <row r="2417" spans="1:36" x14ac:dyDescent="0.25">
      <c r="A2417" s="325" t="str">
        <f>CONCATENATE("P",'906MP'!M2117)</f>
        <v>P</v>
      </c>
      <c r="B2417">
        <f>'906MP'!H2117</f>
        <v>0</v>
      </c>
      <c r="C2417">
        <f>'906MP'!J2117</f>
        <v>0</v>
      </c>
      <c r="D2417">
        <f>'906MP'!P2117</f>
        <v>0</v>
      </c>
      <c r="E2417">
        <f>'906MP'!X2117</f>
        <v>0</v>
      </c>
      <c r="F2417" t="str">
        <f t="shared" si="713"/>
        <v>0</v>
      </c>
      <c r="G2417" t="str">
        <f t="shared" si="714"/>
        <v>0</v>
      </c>
      <c r="H2417">
        <f>'906MP'!Y2117</f>
        <v>0</v>
      </c>
      <c r="I2417">
        <f>'906MP'!AK2117</f>
        <v>0</v>
      </c>
      <c r="J2417">
        <f>'906MP'!T2117</f>
        <v>0</v>
      </c>
      <c r="K2417">
        <f>'906MP'!AJ2117</f>
        <v>0</v>
      </c>
      <c r="L2417">
        <f>'906MP'!U2117</f>
        <v>0</v>
      </c>
      <c r="M2417" s="322" t="str">
        <f>IFERROR(VLOOKUP(A2417,PAR!$D$3:$E$53,2,FALSE),"nincs szervezet")</f>
        <v>nincs szervezet</v>
      </c>
      <c r="N2417" s="322" t="str">
        <f>VLOOKUP(F2417,PAR!$R$3:$S$5,2,FALSE)</f>
        <v>3 - egyik sem</v>
      </c>
      <c r="O2417" t="str">
        <f>IFERROR(VLOOKUP(J2417,PAR!$O$3:$P$5,2,FALSE),"nincs feladat")</f>
        <v>nincs feladat</v>
      </c>
      <c r="P2417" t="str">
        <f>IFERROR(VLOOKUP(G2417,PAR!$J$2:$M$19,4),"nincs rovat")</f>
        <v>nincs rovat</v>
      </c>
      <c r="Q2417" t="str">
        <f>IF(H2417&gt;0,VLOOKUP(H2417,PAR!$AA$3:$AC$187,3,FALSE),"nincs főkönyvi számla")</f>
        <v>nincs főkönyvi számla</v>
      </c>
      <c r="R2417" t="str">
        <f>IFERROR(VLOOKUP(K2417,PAR!$V$3:$X$438,3,FALSE),"000000 - Nincs COFOG")</f>
        <v>000000 - Nincs COFOG</v>
      </c>
      <c r="S2417">
        <f t="shared" si="715"/>
        <v>0</v>
      </c>
      <c r="T2417">
        <f t="shared" si="716"/>
        <v>0</v>
      </c>
      <c r="U2417" t="str">
        <f>IF('906MP'!J2117&gt;0,CONCATENATE('906MP'!J2117," - ",'906MP'!P2117,", ",'906MP'!E2117),"nincs megjegyzés")</f>
        <v>nincs megjegyzés</v>
      </c>
      <c r="V2417" t="str">
        <f t="shared" si="703"/>
        <v>0P0</v>
      </c>
      <c r="W2417" t="str">
        <f t="shared" si="704"/>
        <v>0P0</v>
      </c>
      <c r="X2417" t="str">
        <f t="shared" si="705"/>
        <v>P0</v>
      </c>
      <c r="Y2417" t="str">
        <f t="shared" si="706"/>
        <v>00</v>
      </c>
      <c r="Z2417" t="str">
        <f t="shared" si="717"/>
        <v>00</v>
      </c>
      <c r="AA2417" t="str">
        <f t="shared" si="707"/>
        <v>00</v>
      </c>
      <c r="AB2417" t="str">
        <f t="shared" si="708"/>
        <v>00</v>
      </c>
      <c r="AC2417" t="str">
        <f t="shared" si="709"/>
        <v>0P0</v>
      </c>
      <c r="AD2417" t="str">
        <f t="shared" si="710"/>
        <v>P00</v>
      </c>
      <c r="AE2417" t="str">
        <f t="shared" si="711"/>
        <v>0P0</v>
      </c>
      <c r="AF2417" t="str">
        <f t="shared" si="712"/>
        <v>P00</v>
      </c>
      <c r="AG2417" t="str">
        <f t="shared" si="718"/>
        <v>0P00</v>
      </c>
      <c r="AH2417" t="str">
        <f t="shared" si="719"/>
        <v>P000</v>
      </c>
      <c r="AI2417" t="str">
        <f t="shared" si="720"/>
        <v>0P00</v>
      </c>
      <c r="AJ2417" t="str">
        <f t="shared" si="721"/>
        <v>P000</v>
      </c>
    </row>
    <row r="2418" spans="1:36" x14ac:dyDescent="0.25">
      <c r="A2418" s="325" t="str">
        <f>CONCATENATE("P",'906MP'!M2118)</f>
        <v>P</v>
      </c>
      <c r="B2418">
        <f>'906MP'!H2118</f>
        <v>0</v>
      </c>
      <c r="C2418">
        <f>'906MP'!J2118</f>
        <v>0</v>
      </c>
      <c r="D2418">
        <f>'906MP'!P2118</f>
        <v>0</v>
      </c>
      <c r="E2418">
        <f>'906MP'!X2118</f>
        <v>0</v>
      </c>
      <c r="F2418" t="str">
        <f t="shared" si="713"/>
        <v>0</v>
      </c>
      <c r="G2418" t="str">
        <f t="shared" si="714"/>
        <v>0</v>
      </c>
      <c r="H2418">
        <f>'906MP'!Y2118</f>
        <v>0</v>
      </c>
      <c r="I2418">
        <f>'906MP'!AK2118</f>
        <v>0</v>
      </c>
      <c r="J2418">
        <f>'906MP'!T2118</f>
        <v>0</v>
      </c>
      <c r="K2418">
        <f>'906MP'!AJ2118</f>
        <v>0</v>
      </c>
      <c r="L2418">
        <f>'906MP'!U2118</f>
        <v>0</v>
      </c>
      <c r="M2418" s="322" t="str">
        <f>IFERROR(VLOOKUP(A2418,PAR!$D$3:$E$53,2,FALSE),"nincs szervezet")</f>
        <v>nincs szervezet</v>
      </c>
      <c r="N2418" s="322" t="str">
        <f>VLOOKUP(F2418,PAR!$R$3:$S$5,2,FALSE)</f>
        <v>3 - egyik sem</v>
      </c>
      <c r="O2418" t="str">
        <f>IFERROR(VLOOKUP(J2418,PAR!$O$3:$P$5,2,FALSE),"nincs feladat")</f>
        <v>nincs feladat</v>
      </c>
      <c r="P2418" t="str">
        <f>IFERROR(VLOOKUP(G2418,PAR!$J$2:$M$19,4),"nincs rovat")</f>
        <v>nincs rovat</v>
      </c>
      <c r="Q2418" t="str">
        <f>IF(H2418&gt;0,VLOOKUP(H2418,PAR!$AA$3:$AC$187,3,FALSE),"nincs főkönyvi számla")</f>
        <v>nincs főkönyvi számla</v>
      </c>
      <c r="R2418" t="str">
        <f>IFERROR(VLOOKUP(K2418,PAR!$V$3:$X$438,3,FALSE),"000000 - Nincs COFOG")</f>
        <v>000000 - Nincs COFOG</v>
      </c>
      <c r="S2418">
        <f t="shared" si="715"/>
        <v>0</v>
      </c>
      <c r="T2418">
        <f t="shared" si="716"/>
        <v>0</v>
      </c>
      <c r="U2418" t="str">
        <f>IF('906MP'!J2118&gt;0,CONCATENATE('906MP'!J2118," - ",'906MP'!P2118,", ",'906MP'!E2118),"nincs megjegyzés")</f>
        <v>nincs megjegyzés</v>
      </c>
      <c r="V2418" t="str">
        <f t="shared" si="703"/>
        <v>0P0</v>
      </c>
      <c r="W2418" t="str">
        <f t="shared" si="704"/>
        <v>0P0</v>
      </c>
      <c r="X2418" t="str">
        <f t="shared" si="705"/>
        <v>P0</v>
      </c>
      <c r="Y2418" t="str">
        <f t="shared" si="706"/>
        <v>00</v>
      </c>
      <c r="Z2418" t="str">
        <f t="shared" si="717"/>
        <v>00</v>
      </c>
      <c r="AA2418" t="str">
        <f t="shared" si="707"/>
        <v>00</v>
      </c>
      <c r="AB2418" t="str">
        <f t="shared" si="708"/>
        <v>00</v>
      </c>
      <c r="AC2418" t="str">
        <f t="shared" si="709"/>
        <v>0P0</v>
      </c>
      <c r="AD2418" t="str">
        <f t="shared" si="710"/>
        <v>P00</v>
      </c>
      <c r="AE2418" t="str">
        <f t="shared" si="711"/>
        <v>0P0</v>
      </c>
      <c r="AF2418" t="str">
        <f t="shared" si="712"/>
        <v>P00</v>
      </c>
      <c r="AG2418" t="str">
        <f t="shared" si="718"/>
        <v>0P00</v>
      </c>
      <c r="AH2418" t="str">
        <f t="shared" si="719"/>
        <v>P000</v>
      </c>
      <c r="AI2418" t="str">
        <f t="shared" si="720"/>
        <v>0P00</v>
      </c>
      <c r="AJ2418" t="str">
        <f t="shared" si="721"/>
        <v>P000</v>
      </c>
    </row>
    <row r="2419" spans="1:36" x14ac:dyDescent="0.25">
      <c r="A2419" s="325" t="str">
        <f>CONCATENATE("P",'906MP'!M2119)</f>
        <v>P</v>
      </c>
      <c r="B2419">
        <f>'906MP'!H2119</f>
        <v>0</v>
      </c>
      <c r="C2419">
        <f>'906MP'!J2119</f>
        <v>0</v>
      </c>
      <c r="D2419">
        <f>'906MP'!P2119</f>
        <v>0</v>
      </c>
      <c r="E2419">
        <f>'906MP'!X2119</f>
        <v>0</v>
      </c>
      <c r="F2419" t="str">
        <f t="shared" si="713"/>
        <v>0</v>
      </c>
      <c r="G2419" t="str">
        <f t="shared" si="714"/>
        <v>0</v>
      </c>
      <c r="H2419">
        <f>'906MP'!Y2119</f>
        <v>0</v>
      </c>
      <c r="I2419">
        <f>'906MP'!AK2119</f>
        <v>0</v>
      </c>
      <c r="J2419">
        <f>'906MP'!T2119</f>
        <v>0</v>
      </c>
      <c r="K2419">
        <f>'906MP'!AJ2119</f>
        <v>0</v>
      </c>
      <c r="L2419">
        <f>'906MP'!U2119</f>
        <v>0</v>
      </c>
      <c r="M2419" s="322" t="str">
        <f>IFERROR(VLOOKUP(A2419,PAR!$D$3:$E$53,2,FALSE),"nincs szervezet")</f>
        <v>nincs szervezet</v>
      </c>
      <c r="N2419" s="322" t="str">
        <f>VLOOKUP(F2419,PAR!$R$3:$S$5,2,FALSE)</f>
        <v>3 - egyik sem</v>
      </c>
      <c r="O2419" t="str">
        <f>IFERROR(VLOOKUP(J2419,PAR!$O$3:$P$5,2,FALSE),"nincs feladat")</f>
        <v>nincs feladat</v>
      </c>
      <c r="P2419" t="str">
        <f>IFERROR(VLOOKUP(G2419,PAR!$J$2:$M$19,4),"nincs rovat")</f>
        <v>nincs rovat</v>
      </c>
      <c r="Q2419" t="str">
        <f>IF(H2419&gt;0,VLOOKUP(H2419,PAR!$AA$3:$AC$187,3,FALSE),"nincs főkönyvi számla")</f>
        <v>nincs főkönyvi számla</v>
      </c>
      <c r="R2419" t="str">
        <f>IFERROR(VLOOKUP(K2419,PAR!$V$3:$X$438,3,FALSE),"000000 - Nincs COFOG")</f>
        <v>000000 - Nincs COFOG</v>
      </c>
      <c r="S2419">
        <f t="shared" si="715"/>
        <v>0</v>
      </c>
      <c r="T2419">
        <f t="shared" si="716"/>
        <v>0</v>
      </c>
      <c r="U2419" t="str">
        <f>IF('906MP'!J2119&gt;0,CONCATENATE('906MP'!J2119," - ",'906MP'!P2119,", ",'906MP'!E2119),"nincs megjegyzés")</f>
        <v>nincs megjegyzés</v>
      </c>
      <c r="V2419" t="str">
        <f t="shared" si="703"/>
        <v>0P0</v>
      </c>
      <c r="W2419" t="str">
        <f t="shared" si="704"/>
        <v>0P0</v>
      </c>
      <c r="X2419" t="str">
        <f t="shared" si="705"/>
        <v>P0</v>
      </c>
      <c r="Y2419" t="str">
        <f t="shared" si="706"/>
        <v>00</v>
      </c>
      <c r="Z2419" t="str">
        <f t="shared" si="717"/>
        <v>00</v>
      </c>
      <c r="AA2419" t="str">
        <f t="shared" si="707"/>
        <v>00</v>
      </c>
      <c r="AB2419" t="str">
        <f t="shared" si="708"/>
        <v>00</v>
      </c>
      <c r="AC2419" t="str">
        <f t="shared" si="709"/>
        <v>0P0</v>
      </c>
      <c r="AD2419" t="str">
        <f t="shared" si="710"/>
        <v>P00</v>
      </c>
      <c r="AE2419" t="str">
        <f t="shared" si="711"/>
        <v>0P0</v>
      </c>
      <c r="AF2419" t="str">
        <f t="shared" si="712"/>
        <v>P00</v>
      </c>
      <c r="AG2419" t="str">
        <f t="shared" si="718"/>
        <v>0P00</v>
      </c>
      <c r="AH2419" t="str">
        <f t="shared" si="719"/>
        <v>P000</v>
      </c>
      <c r="AI2419" t="str">
        <f t="shared" si="720"/>
        <v>0P00</v>
      </c>
      <c r="AJ2419" t="str">
        <f t="shared" si="721"/>
        <v>P000</v>
      </c>
    </row>
    <row r="2420" spans="1:36" x14ac:dyDescent="0.25">
      <c r="A2420" s="325" t="str">
        <f>CONCATENATE("P",'906MP'!M2120)</f>
        <v>P</v>
      </c>
      <c r="B2420">
        <f>'906MP'!H2120</f>
        <v>0</v>
      </c>
      <c r="C2420">
        <f>'906MP'!J2120</f>
        <v>0</v>
      </c>
      <c r="D2420">
        <f>'906MP'!P2120</f>
        <v>0</v>
      </c>
      <c r="E2420">
        <f>'906MP'!X2120</f>
        <v>0</v>
      </c>
      <c r="F2420" t="str">
        <f t="shared" si="713"/>
        <v>0</v>
      </c>
      <c r="G2420" t="str">
        <f t="shared" si="714"/>
        <v>0</v>
      </c>
      <c r="H2420">
        <f>'906MP'!Y2120</f>
        <v>0</v>
      </c>
      <c r="I2420">
        <f>'906MP'!AK2120</f>
        <v>0</v>
      </c>
      <c r="J2420">
        <f>'906MP'!T2120</f>
        <v>0</v>
      </c>
      <c r="K2420">
        <f>'906MP'!AJ2120</f>
        <v>0</v>
      </c>
      <c r="L2420">
        <f>'906MP'!U2120</f>
        <v>0</v>
      </c>
      <c r="M2420" s="322" t="str">
        <f>IFERROR(VLOOKUP(A2420,PAR!$D$3:$E$53,2,FALSE),"nincs szervezet")</f>
        <v>nincs szervezet</v>
      </c>
      <c r="N2420" s="322" t="str">
        <f>VLOOKUP(F2420,PAR!$R$3:$S$5,2,FALSE)</f>
        <v>3 - egyik sem</v>
      </c>
      <c r="O2420" t="str">
        <f>IFERROR(VLOOKUP(J2420,PAR!$O$3:$P$5,2,FALSE),"nincs feladat")</f>
        <v>nincs feladat</v>
      </c>
      <c r="P2420" t="str">
        <f>IFERROR(VLOOKUP(G2420,PAR!$J$2:$M$19,4),"nincs rovat")</f>
        <v>nincs rovat</v>
      </c>
      <c r="Q2420" t="str">
        <f>IF(H2420&gt;0,VLOOKUP(H2420,PAR!$AA$3:$AC$187,3,FALSE),"nincs főkönyvi számla")</f>
        <v>nincs főkönyvi számla</v>
      </c>
      <c r="R2420" t="str">
        <f>IFERROR(VLOOKUP(K2420,PAR!$V$3:$X$438,3,FALSE),"000000 - Nincs COFOG")</f>
        <v>000000 - Nincs COFOG</v>
      </c>
      <c r="S2420">
        <f t="shared" si="715"/>
        <v>0</v>
      </c>
      <c r="T2420">
        <f t="shared" si="716"/>
        <v>0</v>
      </c>
      <c r="U2420" t="str">
        <f>IF('906MP'!J2120&gt;0,CONCATENATE('906MP'!J2120," - ",'906MP'!P2120,", ",'906MP'!E2120),"nincs megjegyzés")</f>
        <v>nincs megjegyzés</v>
      </c>
      <c r="V2420" t="str">
        <f t="shared" si="703"/>
        <v>0P0</v>
      </c>
      <c r="W2420" t="str">
        <f t="shared" si="704"/>
        <v>0P0</v>
      </c>
      <c r="X2420" t="str">
        <f t="shared" si="705"/>
        <v>P0</v>
      </c>
      <c r="Y2420" t="str">
        <f t="shared" si="706"/>
        <v>00</v>
      </c>
      <c r="Z2420" t="str">
        <f t="shared" si="717"/>
        <v>00</v>
      </c>
      <c r="AA2420" t="str">
        <f t="shared" si="707"/>
        <v>00</v>
      </c>
      <c r="AB2420" t="str">
        <f t="shared" si="708"/>
        <v>00</v>
      </c>
      <c r="AC2420" t="str">
        <f t="shared" si="709"/>
        <v>0P0</v>
      </c>
      <c r="AD2420" t="str">
        <f t="shared" si="710"/>
        <v>P00</v>
      </c>
      <c r="AE2420" t="str">
        <f t="shared" si="711"/>
        <v>0P0</v>
      </c>
      <c r="AF2420" t="str">
        <f t="shared" si="712"/>
        <v>P00</v>
      </c>
      <c r="AG2420" t="str">
        <f t="shared" si="718"/>
        <v>0P00</v>
      </c>
      <c r="AH2420" t="str">
        <f t="shared" si="719"/>
        <v>P000</v>
      </c>
      <c r="AI2420" t="str">
        <f t="shared" si="720"/>
        <v>0P00</v>
      </c>
      <c r="AJ2420" t="str">
        <f t="shared" si="721"/>
        <v>P000</v>
      </c>
    </row>
    <row r="2421" spans="1:36" x14ac:dyDescent="0.25">
      <c r="A2421" s="325" t="str">
        <f>CONCATENATE("P",'906MP'!M2121)</f>
        <v>P</v>
      </c>
      <c r="B2421">
        <f>'906MP'!H2121</f>
        <v>0</v>
      </c>
      <c r="C2421">
        <f>'906MP'!J2121</f>
        <v>0</v>
      </c>
      <c r="D2421">
        <f>'906MP'!P2121</f>
        <v>0</v>
      </c>
      <c r="E2421">
        <f>'906MP'!X2121</f>
        <v>0</v>
      </c>
      <c r="F2421" t="str">
        <f t="shared" si="713"/>
        <v>0</v>
      </c>
      <c r="G2421" t="str">
        <f t="shared" si="714"/>
        <v>0</v>
      </c>
      <c r="H2421">
        <f>'906MP'!Y2121</f>
        <v>0</v>
      </c>
      <c r="I2421">
        <f>'906MP'!AK2121</f>
        <v>0</v>
      </c>
      <c r="J2421">
        <f>'906MP'!T2121</f>
        <v>0</v>
      </c>
      <c r="K2421">
        <f>'906MP'!AJ2121</f>
        <v>0</v>
      </c>
      <c r="L2421">
        <f>'906MP'!U2121</f>
        <v>0</v>
      </c>
      <c r="M2421" s="322" t="str">
        <f>IFERROR(VLOOKUP(A2421,PAR!$D$3:$E$53,2,FALSE),"nincs szervezet")</f>
        <v>nincs szervezet</v>
      </c>
      <c r="N2421" s="322" t="str">
        <f>VLOOKUP(F2421,PAR!$R$3:$S$5,2,FALSE)</f>
        <v>3 - egyik sem</v>
      </c>
      <c r="O2421" t="str">
        <f>IFERROR(VLOOKUP(J2421,PAR!$O$3:$P$5,2,FALSE),"nincs feladat")</f>
        <v>nincs feladat</v>
      </c>
      <c r="P2421" t="str">
        <f>IFERROR(VLOOKUP(G2421,PAR!$J$2:$M$19,4),"nincs rovat")</f>
        <v>nincs rovat</v>
      </c>
      <c r="Q2421" t="str">
        <f>IF(H2421&gt;0,VLOOKUP(H2421,PAR!$AA$3:$AC$187,3,FALSE),"nincs főkönyvi számla")</f>
        <v>nincs főkönyvi számla</v>
      </c>
      <c r="R2421" t="str">
        <f>IFERROR(VLOOKUP(K2421,PAR!$V$3:$X$438,3,FALSE),"000000 - Nincs COFOG")</f>
        <v>000000 - Nincs COFOG</v>
      </c>
      <c r="S2421">
        <f t="shared" si="715"/>
        <v>0</v>
      </c>
      <c r="T2421">
        <f t="shared" si="716"/>
        <v>0</v>
      </c>
      <c r="U2421" t="str">
        <f>IF('906MP'!J2121&gt;0,CONCATENATE('906MP'!J2121," - ",'906MP'!P2121,", ",'906MP'!E2121),"nincs megjegyzés")</f>
        <v>nincs megjegyzés</v>
      </c>
      <c r="V2421" t="str">
        <f t="shared" si="703"/>
        <v>0P0</v>
      </c>
      <c r="W2421" t="str">
        <f t="shared" si="704"/>
        <v>0P0</v>
      </c>
      <c r="X2421" t="str">
        <f t="shared" si="705"/>
        <v>P0</v>
      </c>
      <c r="Y2421" t="str">
        <f t="shared" si="706"/>
        <v>00</v>
      </c>
      <c r="Z2421" t="str">
        <f t="shared" si="717"/>
        <v>00</v>
      </c>
      <c r="AA2421" t="str">
        <f t="shared" si="707"/>
        <v>00</v>
      </c>
      <c r="AB2421" t="str">
        <f t="shared" si="708"/>
        <v>00</v>
      </c>
      <c r="AC2421" t="str">
        <f t="shared" si="709"/>
        <v>0P0</v>
      </c>
      <c r="AD2421" t="str">
        <f t="shared" si="710"/>
        <v>P00</v>
      </c>
      <c r="AE2421" t="str">
        <f t="shared" si="711"/>
        <v>0P0</v>
      </c>
      <c r="AF2421" t="str">
        <f t="shared" si="712"/>
        <v>P00</v>
      </c>
      <c r="AG2421" t="str">
        <f t="shared" si="718"/>
        <v>0P00</v>
      </c>
      <c r="AH2421" t="str">
        <f t="shared" si="719"/>
        <v>P000</v>
      </c>
      <c r="AI2421" t="str">
        <f t="shared" si="720"/>
        <v>0P00</v>
      </c>
      <c r="AJ2421" t="str">
        <f t="shared" si="721"/>
        <v>P000</v>
      </c>
    </row>
    <row r="2422" spans="1:36" x14ac:dyDescent="0.25">
      <c r="A2422" s="325" t="str">
        <f>CONCATENATE("P",'906MP'!M2122)</f>
        <v>P</v>
      </c>
      <c r="B2422">
        <f>'906MP'!H2122</f>
        <v>0</v>
      </c>
      <c r="C2422">
        <f>'906MP'!J2122</f>
        <v>0</v>
      </c>
      <c r="D2422">
        <f>'906MP'!P2122</f>
        <v>0</v>
      </c>
      <c r="E2422">
        <f>'906MP'!X2122</f>
        <v>0</v>
      </c>
      <c r="F2422" t="str">
        <f t="shared" si="713"/>
        <v>0</v>
      </c>
      <c r="G2422" t="str">
        <f t="shared" si="714"/>
        <v>0</v>
      </c>
      <c r="H2422">
        <f>'906MP'!Y2122</f>
        <v>0</v>
      </c>
      <c r="I2422">
        <f>'906MP'!AK2122</f>
        <v>0</v>
      </c>
      <c r="J2422">
        <f>'906MP'!T2122</f>
        <v>0</v>
      </c>
      <c r="K2422">
        <f>'906MP'!AJ2122</f>
        <v>0</v>
      </c>
      <c r="L2422">
        <f>'906MP'!U2122</f>
        <v>0</v>
      </c>
      <c r="M2422" s="322" t="str">
        <f>IFERROR(VLOOKUP(A2422,PAR!$D$3:$E$53,2,FALSE),"nincs szervezet")</f>
        <v>nincs szervezet</v>
      </c>
      <c r="N2422" s="322" t="str">
        <f>VLOOKUP(F2422,PAR!$R$3:$S$5,2,FALSE)</f>
        <v>3 - egyik sem</v>
      </c>
      <c r="O2422" t="str">
        <f>IFERROR(VLOOKUP(J2422,PAR!$O$3:$P$5,2,FALSE),"nincs feladat")</f>
        <v>nincs feladat</v>
      </c>
      <c r="P2422" t="str">
        <f>IFERROR(VLOOKUP(G2422,PAR!$J$2:$M$19,4),"nincs rovat")</f>
        <v>nincs rovat</v>
      </c>
      <c r="Q2422" t="str">
        <f>IF(H2422&gt;0,VLOOKUP(H2422,PAR!$AA$3:$AC$187,3,FALSE),"nincs főkönyvi számla")</f>
        <v>nincs főkönyvi számla</v>
      </c>
      <c r="R2422" t="str">
        <f>IFERROR(VLOOKUP(K2422,PAR!$V$3:$X$438,3,FALSE),"000000 - Nincs COFOG")</f>
        <v>000000 - Nincs COFOG</v>
      </c>
      <c r="S2422">
        <f t="shared" si="715"/>
        <v>0</v>
      </c>
      <c r="T2422">
        <f t="shared" si="716"/>
        <v>0</v>
      </c>
      <c r="U2422" t="str">
        <f>IF('906MP'!J2122&gt;0,CONCATENATE('906MP'!J2122," - ",'906MP'!P2122,", ",'906MP'!E2122),"nincs megjegyzés")</f>
        <v>nincs megjegyzés</v>
      </c>
      <c r="V2422" t="str">
        <f t="shared" si="703"/>
        <v>0P0</v>
      </c>
      <c r="W2422" t="str">
        <f t="shared" si="704"/>
        <v>0P0</v>
      </c>
      <c r="X2422" t="str">
        <f t="shared" si="705"/>
        <v>P0</v>
      </c>
      <c r="Y2422" t="str">
        <f t="shared" si="706"/>
        <v>00</v>
      </c>
      <c r="Z2422" t="str">
        <f t="shared" si="717"/>
        <v>00</v>
      </c>
      <c r="AA2422" t="str">
        <f t="shared" si="707"/>
        <v>00</v>
      </c>
      <c r="AB2422" t="str">
        <f t="shared" si="708"/>
        <v>00</v>
      </c>
      <c r="AC2422" t="str">
        <f t="shared" si="709"/>
        <v>0P0</v>
      </c>
      <c r="AD2422" t="str">
        <f t="shared" si="710"/>
        <v>P00</v>
      </c>
      <c r="AE2422" t="str">
        <f t="shared" si="711"/>
        <v>0P0</v>
      </c>
      <c r="AF2422" t="str">
        <f t="shared" si="712"/>
        <v>P00</v>
      </c>
      <c r="AG2422" t="str">
        <f t="shared" si="718"/>
        <v>0P00</v>
      </c>
      <c r="AH2422" t="str">
        <f t="shared" si="719"/>
        <v>P000</v>
      </c>
      <c r="AI2422" t="str">
        <f t="shared" si="720"/>
        <v>0P00</v>
      </c>
      <c r="AJ2422" t="str">
        <f t="shared" si="721"/>
        <v>P000</v>
      </c>
    </row>
    <row r="2423" spans="1:36" x14ac:dyDescent="0.25">
      <c r="A2423" s="325" t="str">
        <f>CONCATENATE("P",'906MP'!M2123)</f>
        <v>P</v>
      </c>
      <c r="B2423">
        <f>'906MP'!H2123</f>
        <v>0</v>
      </c>
      <c r="C2423">
        <f>'906MP'!J2123</f>
        <v>0</v>
      </c>
      <c r="D2423">
        <f>'906MP'!P2123</f>
        <v>0</v>
      </c>
      <c r="E2423">
        <f>'906MP'!X2123</f>
        <v>0</v>
      </c>
      <c r="F2423" t="str">
        <f t="shared" si="713"/>
        <v>0</v>
      </c>
      <c r="G2423" t="str">
        <f t="shared" si="714"/>
        <v>0</v>
      </c>
      <c r="H2423">
        <f>'906MP'!Y2123</f>
        <v>0</v>
      </c>
      <c r="I2423">
        <f>'906MP'!AK2123</f>
        <v>0</v>
      </c>
      <c r="J2423">
        <f>'906MP'!T2123</f>
        <v>0</v>
      </c>
      <c r="K2423">
        <f>'906MP'!AJ2123</f>
        <v>0</v>
      </c>
      <c r="L2423">
        <f>'906MP'!U2123</f>
        <v>0</v>
      </c>
      <c r="M2423" s="322" t="str">
        <f>IFERROR(VLOOKUP(A2423,PAR!$D$3:$E$53,2,FALSE),"nincs szervezet")</f>
        <v>nincs szervezet</v>
      </c>
      <c r="N2423" s="322" t="str">
        <f>VLOOKUP(F2423,PAR!$R$3:$S$5,2,FALSE)</f>
        <v>3 - egyik sem</v>
      </c>
      <c r="O2423" t="str">
        <f>IFERROR(VLOOKUP(J2423,PAR!$O$3:$P$5,2,FALSE),"nincs feladat")</f>
        <v>nincs feladat</v>
      </c>
      <c r="P2423" t="str">
        <f>IFERROR(VLOOKUP(G2423,PAR!$J$2:$M$19,4),"nincs rovat")</f>
        <v>nincs rovat</v>
      </c>
      <c r="Q2423" t="str">
        <f>IF(H2423&gt;0,VLOOKUP(H2423,PAR!$AA$3:$AC$187,3,FALSE),"nincs főkönyvi számla")</f>
        <v>nincs főkönyvi számla</v>
      </c>
      <c r="R2423" t="str">
        <f>IFERROR(VLOOKUP(K2423,PAR!$V$3:$X$438,3,FALSE),"000000 - Nincs COFOG")</f>
        <v>000000 - Nincs COFOG</v>
      </c>
      <c r="S2423">
        <f t="shared" si="715"/>
        <v>0</v>
      </c>
      <c r="T2423">
        <f t="shared" si="716"/>
        <v>0</v>
      </c>
      <c r="U2423" t="str">
        <f>IF('906MP'!J2123&gt;0,CONCATENATE('906MP'!J2123," - ",'906MP'!P2123,", ",'906MP'!E2123),"nincs megjegyzés")</f>
        <v>nincs megjegyzés</v>
      </c>
      <c r="V2423" t="str">
        <f t="shared" si="703"/>
        <v>0P0</v>
      </c>
      <c r="W2423" t="str">
        <f t="shared" si="704"/>
        <v>0P0</v>
      </c>
      <c r="X2423" t="str">
        <f t="shared" si="705"/>
        <v>P0</v>
      </c>
      <c r="Y2423" t="str">
        <f t="shared" si="706"/>
        <v>00</v>
      </c>
      <c r="Z2423" t="str">
        <f t="shared" si="717"/>
        <v>00</v>
      </c>
      <c r="AA2423" t="str">
        <f t="shared" si="707"/>
        <v>00</v>
      </c>
      <c r="AB2423" t="str">
        <f t="shared" si="708"/>
        <v>00</v>
      </c>
      <c r="AC2423" t="str">
        <f t="shared" si="709"/>
        <v>0P0</v>
      </c>
      <c r="AD2423" t="str">
        <f t="shared" si="710"/>
        <v>P00</v>
      </c>
      <c r="AE2423" t="str">
        <f t="shared" si="711"/>
        <v>0P0</v>
      </c>
      <c r="AF2423" t="str">
        <f t="shared" si="712"/>
        <v>P00</v>
      </c>
      <c r="AG2423" t="str">
        <f t="shared" si="718"/>
        <v>0P00</v>
      </c>
      <c r="AH2423" t="str">
        <f t="shared" si="719"/>
        <v>P000</v>
      </c>
      <c r="AI2423" t="str">
        <f t="shared" si="720"/>
        <v>0P00</v>
      </c>
      <c r="AJ2423" t="str">
        <f t="shared" si="721"/>
        <v>P000</v>
      </c>
    </row>
    <row r="2424" spans="1:36" x14ac:dyDescent="0.25">
      <c r="A2424" s="325" t="str">
        <f>CONCATENATE("P",'906MP'!M2124)</f>
        <v>P</v>
      </c>
      <c r="B2424">
        <f>'906MP'!H2124</f>
        <v>0</v>
      </c>
      <c r="C2424">
        <f>'906MP'!J2124</f>
        <v>0</v>
      </c>
      <c r="D2424">
        <f>'906MP'!P2124</f>
        <v>0</v>
      </c>
      <c r="E2424">
        <f>'906MP'!X2124</f>
        <v>0</v>
      </c>
      <c r="F2424" t="str">
        <f t="shared" si="713"/>
        <v>0</v>
      </c>
      <c r="G2424" t="str">
        <f t="shared" si="714"/>
        <v>0</v>
      </c>
      <c r="H2424">
        <f>'906MP'!Y2124</f>
        <v>0</v>
      </c>
      <c r="I2424">
        <f>'906MP'!AK2124</f>
        <v>0</v>
      </c>
      <c r="J2424">
        <f>'906MP'!T2124</f>
        <v>0</v>
      </c>
      <c r="K2424">
        <f>'906MP'!AJ2124</f>
        <v>0</v>
      </c>
      <c r="L2424">
        <f>'906MP'!U2124</f>
        <v>0</v>
      </c>
      <c r="M2424" s="322" t="str">
        <f>IFERROR(VLOOKUP(A2424,PAR!$D$3:$E$53,2,FALSE),"nincs szervezet")</f>
        <v>nincs szervezet</v>
      </c>
      <c r="N2424" s="322" t="str">
        <f>VLOOKUP(F2424,PAR!$R$3:$S$5,2,FALSE)</f>
        <v>3 - egyik sem</v>
      </c>
      <c r="O2424" t="str">
        <f>IFERROR(VLOOKUP(J2424,PAR!$O$3:$P$5,2,FALSE),"nincs feladat")</f>
        <v>nincs feladat</v>
      </c>
      <c r="P2424" t="str">
        <f>IFERROR(VLOOKUP(G2424,PAR!$J$2:$M$19,4),"nincs rovat")</f>
        <v>nincs rovat</v>
      </c>
      <c r="Q2424" t="str">
        <f>IF(H2424&gt;0,VLOOKUP(H2424,PAR!$AA$3:$AC$187,3,FALSE),"nincs főkönyvi számla")</f>
        <v>nincs főkönyvi számla</v>
      </c>
      <c r="R2424" t="str">
        <f>IFERROR(VLOOKUP(K2424,PAR!$V$3:$X$438,3,FALSE),"000000 - Nincs COFOG")</f>
        <v>000000 - Nincs COFOG</v>
      </c>
      <c r="S2424">
        <f t="shared" si="715"/>
        <v>0</v>
      </c>
      <c r="T2424">
        <f t="shared" si="716"/>
        <v>0</v>
      </c>
      <c r="U2424" t="str">
        <f>IF('906MP'!J2124&gt;0,CONCATENATE('906MP'!J2124," - ",'906MP'!P2124,", ",'906MP'!E2124),"nincs megjegyzés")</f>
        <v>nincs megjegyzés</v>
      </c>
      <c r="V2424" t="str">
        <f t="shared" si="703"/>
        <v>0P0</v>
      </c>
      <c r="W2424" t="str">
        <f t="shared" si="704"/>
        <v>0P0</v>
      </c>
      <c r="X2424" t="str">
        <f t="shared" si="705"/>
        <v>P0</v>
      </c>
      <c r="Y2424" t="str">
        <f t="shared" si="706"/>
        <v>00</v>
      </c>
      <c r="Z2424" t="str">
        <f t="shared" si="717"/>
        <v>00</v>
      </c>
      <c r="AA2424" t="str">
        <f t="shared" si="707"/>
        <v>00</v>
      </c>
      <c r="AB2424" t="str">
        <f t="shared" si="708"/>
        <v>00</v>
      </c>
      <c r="AC2424" t="str">
        <f t="shared" si="709"/>
        <v>0P0</v>
      </c>
      <c r="AD2424" t="str">
        <f t="shared" si="710"/>
        <v>P00</v>
      </c>
      <c r="AE2424" t="str">
        <f t="shared" si="711"/>
        <v>0P0</v>
      </c>
      <c r="AF2424" t="str">
        <f t="shared" si="712"/>
        <v>P00</v>
      </c>
      <c r="AG2424" t="str">
        <f t="shared" si="718"/>
        <v>0P00</v>
      </c>
      <c r="AH2424" t="str">
        <f t="shared" si="719"/>
        <v>P000</v>
      </c>
      <c r="AI2424" t="str">
        <f t="shared" si="720"/>
        <v>0P00</v>
      </c>
      <c r="AJ2424" t="str">
        <f t="shared" si="721"/>
        <v>P000</v>
      </c>
    </row>
    <row r="2425" spans="1:36" x14ac:dyDescent="0.25">
      <c r="A2425" s="325" t="str">
        <f>CONCATENATE("P",'906MP'!M2125)</f>
        <v>P</v>
      </c>
      <c r="B2425">
        <f>'906MP'!H2125</f>
        <v>0</v>
      </c>
      <c r="C2425">
        <f>'906MP'!J2125</f>
        <v>0</v>
      </c>
      <c r="D2425">
        <f>'906MP'!P2125</f>
        <v>0</v>
      </c>
      <c r="E2425">
        <f>'906MP'!X2125</f>
        <v>0</v>
      </c>
      <c r="F2425" t="str">
        <f t="shared" si="713"/>
        <v>0</v>
      </c>
      <c r="G2425" t="str">
        <f t="shared" si="714"/>
        <v>0</v>
      </c>
      <c r="H2425">
        <f>'906MP'!Y2125</f>
        <v>0</v>
      </c>
      <c r="I2425">
        <f>'906MP'!AK2125</f>
        <v>0</v>
      </c>
      <c r="J2425">
        <f>'906MP'!T2125</f>
        <v>0</v>
      </c>
      <c r="K2425">
        <f>'906MP'!AJ2125</f>
        <v>0</v>
      </c>
      <c r="L2425">
        <f>'906MP'!U2125</f>
        <v>0</v>
      </c>
      <c r="M2425" s="322" t="str">
        <f>IFERROR(VLOOKUP(A2425,PAR!$D$3:$E$53,2,FALSE),"nincs szervezet")</f>
        <v>nincs szervezet</v>
      </c>
      <c r="N2425" s="322" t="str">
        <f>VLOOKUP(F2425,PAR!$R$3:$S$5,2,FALSE)</f>
        <v>3 - egyik sem</v>
      </c>
      <c r="O2425" t="str">
        <f>IFERROR(VLOOKUP(J2425,PAR!$O$3:$P$5,2,FALSE),"nincs feladat")</f>
        <v>nincs feladat</v>
      </c>
      <c r="P2425" t="str">
        <f>IFERROR(VLOOKUP(G2425,PAR!$J$2:$M$19,4),"nincs rovat")</f>
        <v>nincs rovat</v>
      </c>
      <c r="Q2425" t="str">
        <f>IF(H2425&gt;0,VLOOKUP(H2425,PAR!$AA$3:$AC$187,3,FALSE),"nincs főkönyvi számla")</f>
        <v>nincs főkönyvi számla</v>
      </c>
      <c r="R2425" t="str">
        <f>IFERROR(VLOOKUP(K2425,PAR!$V$3:$X$438,3,FALSE),"000000 - Nincs COFOG")</f>
        <v>000000 - Nincs COFOG</v>
      </c>
      <c r="S2425">
        <f t="shared" si="715"/>
        <v>0</v>
      </c>
      <c r="T2425">
        <f t="shared" si="716"/>
        <v>0</v>
      </c>
      <c r="U2425" t="str">
        <f>IF('906MP'!J2125&gt;0,CONCATENATE('906MP'!J2125," - ",'906MP'!P2125,", ",'906MP'!E2125),"nincs megjegyzés")</f>
        <v>nincs megjegyzés</v>
      </c>
      <c r="V2425" t="str">
        <f t="shared" si="703"/>
        <v>0P0</v>
      </c>
      <c r="W2425" t="str">
        <f t="shared" si="704"/>
        <v>0P0</v>
      </c>
      <c r="X2425" t="str">
        <f t="shared" si="705"/>
        <v>P0</v>
      </c>
      <c r="Y2425" t="str">
        <f t="shared" si="706"/>
        <v>00</v>
      </c>
      <c r="Z2425" t="str">
        <f t="shared" si="717"/>
        <v>00</v>
      </c>
      <c r="AA2425" t="str">
        <f t="shared" si="707"/>
        <v>00</v>
      </c>
      <c r="AB2425" t="str">
        <f t="shared" si="708"/>
        <v>00</v>
      </c>
      <c r="AC2425" t="str">
        <f t="shared" si="709"/>
        <v>0P0</v>
      </c>
      <c r="AD2425" t="str">
        <f t="shared" si="710"/>
        <v>P00</v>
      </c>
      <c r="AE2425" t="str">
        <f t="shared" si="711"/>
        <v>0P0</v>
      </c>
      <c r="AF2425" t="str">
        <f t="shared" si="712"/>
        <v>P00</v>
      </c>
      <c r="AG2425" t="str">
        <f t="shared" si="718"/>
        <v>0P00</v>
      </c>
      <c r="AH2425" t="str">
        <f t="shared" si="719"/>
        <v>P000</v>
      </c>
      <c r="AI2425" t="str">
        <f t="shared" si="720"/>
        <v>0P00</v>
      </c>
      <c r="AJ2425" t="str">
        <f t="shared" si="721"/>
        <v>P000</v>
      </c>
    </row>
    <row r="2426" spans="1:36" x14ac:dyDescent="0.25">
      <c r="A2426" s="325" t="str">
        <f>CONCATENATE("P",'906MP'!M2126)</f>
        <v>P</v>
      </c>
      <c r="B2426">
        <f>'906MP'!H2126</f>
        <v>0</v>
      </c>
      <c r="C2426">
        <f>'906MP'!J2126</f>
        <v>0</v>
      </c>
      <c r="D2426">
        <f>'906MP'!P2126</f>
        <v>0</v>
      </c>
      <c r="E2426">
        <f>'906MP'!X2126</f>
        <v>0</v>
      </c>
      <c r="F2426" t="str">
        <f t="shared" si="713"/>
        <v>0</v>
      </c>
      <c r="G2426" t="str">
        <f t="shared" si="714"/>
        <v>0</v>
      </c>
      <c r="H2426">
        <f>'906MP'!Y2126</f>
        <v>0</v>
      </c>
      <c r="I2426">
        <f>'906MP'!AK2126</f>
        <v>0</v>
      </c>
      <c r="J2426">
        <f>'906MP'!T2126</f>
        <v>0</v>
      </c>
      <c r="K2426">
        <f>'906MP'!AJ2126</f>
        <v>0</v>
      </c>
      <c r="L2426">
        <f>'906MP'!U2126</f>
        <v>0</v>
      </c>
      <c r="M2426" s="322" t="str">
        <f>IFERROR(VLOOKUP(A2426,PAR!$D$3:$E$53,2,FALSE),"nincs szervezet")</f>
        <v>nincs szervezet</v>
      </c>
      <c r="N2426" s="322" t="str">
        <f>VLOOKUP(F2426,PAR!$R$3:$S$5,2,FALSE)</f>
        <v>3 - egyik sem</v>
      </c>
      <c r="O2426" t="str">
        <f>IFERROR(VLOOKUP(J2426,PAR!$O$3:$P$5,2,FALSE),"nincs feladat")</f>
        <v>nincs feladat</v>
      </c>
      <c r="P2426" t="str">
        <f>IFERROR(VLOOKUP(G2426,PAR!$J$2:$M$19,4),"nincs rovat")</f>
        <v>nincs rovat</v>
      </c>
      <c r="Q2426" t="str">
        <f>IF(H2426&gt;0,VLOOKUP(H2426,PAR!$AA$3:$AC$187,3,FALSE),"nincs főkönyvi számla")</f>
        <v>nincs főkönyvi számla</v>
      </c>
      <c r="R2426" t="str">
        <f>IFERROR(VLOOKUP(K2426,PAR!$V$3:$X$438,3,FALSE),"000000 - Nincs COFOG")</f>
        <v>000000 - Nincs COFOG</v>
      </c>
      <c r="S2426">
        <f t="shared" si="715"/>
        <v>0</v>
      </c>
      <c r="T2426">
        <f t="shared" si="716"/>
        <v>0</v>
      </c>
      <c r="U2426" t="str">
        <f>IF('906MP'!J2126&gt;0,CONCATENATE('906MP'!J2126," - ",'906MP'!P2126,", ",'906MP'!E2126),"nincs megjegyzés")</f>
        <v>nincs megjegyzés</v>
      </c>
      <c r="V2426" t="str">
        <f t="shared" si="703"/>
        <v>0P0</v>
      </c>
      <c r="W2426" t="str">
        <f t="shared" si="704"/>
        <v>0P0</v>
      </c>
      <c r="X2426" t="str">
        <f t="shared" si="705"/>
        <v>P0</v>
      </c>
      <c r="Y2426" t="str">
        <f t="shared" si="706"/>
        <v>00</v>
      </c>
      <c r="Z2426" t="str">
        <f t="shared" si="717"/>
        <v>00</v>
      </c>
      <c r="AA2426" t="str">
        <f t="shared" si="707"/>
        <v>00</v>
      </c>
      <c r="AB2426" t="str">
        <f t="shared" si="708"/>
        <v>00</v>
      </c>
      <c r="AC2426" t="str">
        <f t="shared" si="709"/>
        <v>0P0</v>
      </c>
      <c r="AD2426" t="str">
        <f t="shared" si="710"/>
        <v>P00</v>
      </c>
      <c r="AE2426" t="str">
        <f t="shared" si="711"/>
        <v>0P0</v>
      </c>
      <c r="AF2426" t="str">
        <f t="shared" si="712"/>
        <v>P00</v>
      </c>
      <c r="AG2426" t="str">
        <f t="shared" si="718"/>
        <v>0P00</v>
      </c>
      <c r="AH2426" t="str">
        <f t="shared" si="719"/>
        <v>P000</v>
      </c>
      <c r="AI2426" t="str">
        <f t="shared" si="720"/>
        <v>0P00</v>
      </c>
      <c r="AJ2426" t="str">
        <f t="shared" si="721"/>
        <v>P000</v>
      </c>
    </row>
    <row r="2427" spans="1:36" x14ac:dyDescent="0.25">
      <c r="A2427" s="325" t="str">
        <f>CONCATENATE("P",'906MP'!M2127)</f>
        <v>P</v>
      </c>
      <c r="B2427">
        <f>'906MP'!H2127</f>
        <v>0</v>
      </c>
      <c r="C2427">
        <f>'906MP'!J2127</f>
        <v>0</v>
      </c>
      <c r="D2427">
        <f>'906MP'!P2127</f>
        <v>0</v>
      </c>
      <c r="E2427">
        <f>'906MP'!X2127</f>
        <v>0</v>
      </c>
      <c r="F2427" t="str">
        <f t="shared" si="713"/>
        <v>0</v>
      </c>
      <c r="G2427" t="str">
        <f t="shared" si="714"/>
        <v>0</v>
      </c>
      <c r="H2427">
        <f>'906MP'!Y2127</f>
        <v>0</v>
      </c>
      <c r="I2427">
        <f>'906MP'!AK2127</f>
        <v>0</v>
      </c>
      <c r="J2427">
        <f>'906MP'!T2127</f>
        <v>0</v>
      </c>
      <c r="K2427">
        <f>'906MP'!AJ2127</f>
        <v>0</v>
      </c>
      <c r="L2427">
        <f>'906MP'!U2127</f>
        <v>0</v>
      </c>
      <c r="M2427" s="322" t="str">
        <f>IFERROR(VLOOKUP(A2427,PAR!$D$3:$E$53,2,FALSE),"nincs szervezet")</f>
        <v>nincs szervezet</v>
      </c>
      <c r="N2427" s="322" t="str">
        <f>VLOOKUP(F2427,PAR!$R$3:$S$5,2,FALSE)</f>
        <v>3 - egyik sem</v>
      </c>
      <c r="O2427" t="str">
        <f>IFERROR(VLOOKUP(J2427,PAR!$O$3:$P$5,2,FALSE),"nincs feladat")</f>
        <v>nincs feladat</v>
      </c>
      <c r="P2427" t="str">
        <f>IFERROR(VLOOKUP(G2427,PAR!$J$2:$M$19,4),"nincs rovat")</f>
        <v>nincs rovat</v>
      </c>
      <c r="Q2427" t="str">
        <f>IF(H2427&gt;0,VLOOKUP(H2427,PAR!$AA$3:$AC$187,3,FALSE),"nincs főkönyvi számla")</f>
        <v>nincs főkönyvi számla</v>
      </c>
      <c r="R2427" t="str">
        <f>IFERROR(VLOOKUP(K2427,PAR!$V$3:$X$438,3,FALSE),"000000 - Nincs COFOG")</f>
        <v>000000 - Nincs COFOG</v>
      </c>
      <c r="S2427">
        <f t="shared" si="715"/>
        <v>0</v>
      </c>
      <c r="T2427">
        <f t="shared" si="716"/>
        <v>0</v>
      </c>
      <c r="U2427" t="str">
        <f>IF('906MP'!J2127&gt;0,CONCATENATE('906MP'!J2127," - ",'906MP'!P2127,", ",'906MP'!E2127),"nincs megjegyzés")</f>
        <v>nincs megjegyzés</v>
      </c>
      <c r="V2427" t="str">
        <f t="shared" si="703"/>
        <v>0P0</v>
      </c>
      <c r="W2427" t="str">
        <f t="shared" si="704"/>
        <v>0P0</v>
      </c>
      <c r="X2427" t="str">
        <f t="shared" si="705"/>
        <v>P0</v>
      </c>
      <c r="Y2427" t="str">
        <f t="shared" si="706"/>
        <v>00</v>
      </c>
      <c r="Z2427" t="str">
        <f t="shared" si="717"/>
        <v>00</v>
      </c>
      <c r="AA2427" t="str">
        <f t="shared" si="707"/>
        <v>00</v>
      </c>
      <c r="AB2427" t="str">
        <f t="shared" si="708"/>
        <v>00</v>
      </c>
      <c r="AC2427" t="str">
        <f t="shared" si="709"/>
        <v>0P0</v>
      </c>
      <c r="AD2427" t="str">
        <f t="shared" si="710"/>
        <v>P00</v>
      </c>
      <c r="AE2427" t="str">
        <f t="shared" si="711"/>
        <v>0P0</v>
      </c>
      <c r="AF2427" t="str">
        <f t="shared" si="712"/>
        <v>P00</v>
      </c>
      <c r="AG2427" t="str">
        <f t="shared" si="718"/>
        <v>0P00</v>
      </c>
      <c r="AH2427" t="str">
        <f t="shared" si="719"/>
        <v>P000</v>
      </c>
      <c r="AI2427" t="str">
        <f t="shared" si="720"/>
        <v>0P00</v>
      </c>
      <c r="AJ2427" t="str">
        <f t="shared" si="721"/>
        <v>P000</v>
      </c>
    </row>
    <row r="2428" spans="1:36" x14ac:dyDescent="0.25">
      <c r="A2428" s="325" t="str">
        <f>CONCATENATE("P",'906MP'!M2128)</f>
        <v>P</v>
      </c>
      <c r="B2428">
        <f>'906MP'!H2128</f>
        <v>0</v>
      </c>
      <c r="C2428">
        <f>'906MP'!J2128</f>
        <v>0</v>
      </c>
      <c r="D2428">
        <f>'906MP'!P2128</f>
        <v>0</v>
      </c>
      <c r="E2428">
        <f>'906MP'!X2128</f>
        <v>0</v>
      </c>
      <c r="F2428" t="str">
        <f t="shared" si="713"/>
        <v>0</v>
      </c>
      <c r="G2428" t="str">
        <f t="shared" si="714"/>
        <v>0</v>
      </c>
      <c r="H2428">
        <f>'906MP'!Y2128</f>
        <v>0</v>
      </c>
      <c r="I2428">
        <f>'906MP'!AK2128</f>
        <v>0</v>
      </c>
      <c r="J2428">
        <f>'906MP'!T2128</f>
        <v>0</v>
      </c>
      <c r="K2428">
        <f>'906MP'!AJ2128</f>
        <v>0</v>
      </c>
      <c r="L2428">
        <f>'906MP'!U2128</f>
        <v>0</v>
      </c>
      <c r="M2428" s="322" t="str">
        <f>IFERROR(VLOOKUP(A2428,PAR!$D$3:$E$53,2,FALSE),"nincs szervezet")</f>
        <v>nincs szervezet</v>
      </c>
      <c r="N2428" s="322" t="str">
        <f>VLOOKUP(F2428,PAR!$R$3:$S$5,2,FALSE)</f>
        <v>3 - egyik sem</v>
      </c>
      <c r="O2428" t="str">
        <f>IFERROR(VLOOKUP(J2428,PAR!$O$3:$P$5,2,FALSE),"nincs feladat")</f>
        <v>nincs feladat</v>
      </c>
      <c r="P2428" t="str">
        <f>IFERROR(VLOOKUP(G2428,PAR!$J$2:$M$19,4),"nincs rovat")</f>
        <v>nincs rovat</v>
      </c>
      <c r="Q2428" t="str">
        <f>IF(H2428&gt;0,VLOOKUP(H2428,PAR!$AA$3:$AC$187,3,FALSE),"nincs főkönyvi számla")</f>
        <v>nincs főkönyvi számla</v>
      </c>
      <c r="R2428" t="str">
        <f>IFERROR(VLOOKUP(K2428,PAR!$V$3:$X$438,3,FALSE),"000000 - Nincs COFOG")</f>
        <v>000000 - Nincs COFOG</v>
      </c>
      <c r="S2428">
        <f t="shared" si="715"/>
        <v>0</v>
      </c>
      <c r="T2428">
        <f t="shared" si="716"/>
        <v>0</v>
      </c>
      <c r="U2428" t="str">
        <f>IF('906MP'!J2128&gt;0,CONCATENATE('906MP'!J2128," - ",'906MP'!P2128,", ",'906MP'!E2128),"nincs megjegyzés")</f>
        <v>nincs megjegyzés</v>
      </c>
      <c r="V2428" t="str">
        <f t="shared" si="703"/>
        <v>0P0</v>
      </c>
      <c r="W2428" t="str">
        <f t="shared" si="704"/>
        <v>0P0</v>
      </c>
      <c r="X2428" t="str">
        <f t="shared" si="705"/>
        <v>P0</v>
      </c>
      <c r="Y2428" t="str">
        <f t="shared" si="706"/>
        <v>00</v>
      </c>
      <c r="Z2428" t="str">
        <f t="shared" si="717"/>
        <v>00</v>
      </c>
      <c r="AA2428" t="str">
        <f t="shared" si="707"/>
        <v>00</v>
      </c>
      <c r="AB2428" t="str">
        <f t="shared" si="708"/>
        <v>00</v>
      </c>
      <c r="AC2428" t="str">
        <f t="shared" si="709"/>
        <v>0P0</v>
      </c>
      <c r="AD2428" t="str">
        <f t="shared" si="710"/>
        <v>P00</v>
      </c>
      <c r="AE2428" t="str">
        <f t="shared" si="711"/>
        <v>0P0</v>
      </c>
      <c r="AF2428" t="str">
        <f t="shared" si="712"/>
        <v>P00</v>
      </c>
      <c r="AG2428" t="str">
        <f t="shared" si="718"/>
        <v>0P00</v>
      </c>
      <c r="AH2428" t="str">
        <f t="shared" si="719"/>
        <v>P000</v>
      </c>
      <c r="AI2428" t="str">
        <f t="shared" si="720"/>
        <v>0P00</v>
      </c>
      <c r="AJ2428" t="str">
        <f t="shared" si="721"/>
        <v>P000</v>
      </c>
    </row>
    <row r="2429" spans="1:36" x14ac:dyDescent="0.25">
      <c r="A2429" s="325" t="str">
        <f>CONCATENATE("P",'906MP'!M2129)</f>
        <v>P</v>
      </c>
      <c r="B2429">
        <f>'906MP'!H2129</f>
        <v>0</v>
      </c>
      <c r="C2429">
        <f>'906MP'!J2129</f>
        <v>0</v>
      </c>
      <c r="D2429">
        <f>'906MP'!P2129</f>
        <v>0</v>
      </c>
      <c r="E2429">
        <f>'906MP'!X2129</f>
        <v>0</v>
      </c>
      <c r="F2429" t="str">
        <f t="shared" si="713"/>
        <v>0</v>
      </c>
      <c r="G2429" t="str">
        <f t="shared" si="714"/>
        <v>0</v>
      </c>
      <c r="H2429">
        <f>'906MP'!Y2129</f>
        <v>0</v>
      </c>
      <c r="I2429">
        <f>'906MP'!AK2129</f>
        <v>0</v>
      </c>
      <c r="J2429">
        <f>'906MP'!T2129</f>
        <v>0</v>
      </c>
      <c r="K2429">
        <f>'906MP'!AJ2129</f>
        <v>0</v>
      </c>
      <c r="L2429">
        <f>'906MP'!U2129</f>
        <v>0</v>
      </c>
      <c r="M2429" s="322" t="str">
        <f>IFERROR(VLOOKUP(A2429,PAR!$D$3:$E$53,2,FALSE),"nincs szervezet")</f>
        <v>nincs szervezet</v>
      </c>
      <c r="N2429" s="322" t="str">
        <f>VLOOKUP(F2429,PAR!$R$3:$S$5,2,FALSE)</f>
        <v>3 - egyik sem</v>
      </c>
      <c r="O2429" t="str">
        <f>IFERROR(VLOOKUP(J2429,PAR!$O$3:$P$5,2,FALSE),"nincs feladat")</f>
        <v>nincs feladat</v>
      </c>
      <c r="P2429" t="str">
        <f>IFERROR(VLOOKUP(G2429,PAR!$J$2:$M$19,4),"nincs rovat")</f>
        <v>nincs rovat</v>
      </c>
      <c r="Q2429" t="str">
        <f>IF(H2429&gt;0,VLOOKUP(H2429,PAR!$AA$3:$AC$187,3,FALSE),"nincs főkönyvi számla")</f>
        <v>nincs főkönyvi számla</v>
      </c>
      <c r="R2429" t="str">
        <f>IFERROR(VLOOKUP(K2429,PAR!$V$3:$X$438,3,FALSE),"000000 - Nincs COFOG")</f>
        <v>000000 - Nincs COFOG</v>
      </c>
      <c r="S2429">
        <f t="shared" si="715"/>
        <v>0</v>
      </c>
      <c r="T2429">
        <f t="shared" si="716"/>
        <v>0</v>
      </c>
      <c r="U2429" t="str">
        <f>IF('906MP'!J2129&gt;0,CONCATENATE('906MP'!J2129," - ",'906MP'!P2129,", ",'906MP'!E2129),"nincs megjegyzés")</f>
        <v>nincs megjegyzés</v>
      </c>
      <c r="V2429" t="str">
        <f t="shared" si="703"/>
        <v>0P0</v>
      </c>
      <c r="W2429" t="str">
        <f t="shared" si="704"/>
        <v>0P0</v>
      </c>
      <c r="X2429" t="str">
        <f t="shared" si="705"/>
        <v>P0</v>
      </c>
      <c r="Y2429" t="str">
        <f t="shared" si="706"/>
        <v>00</v>
      </c>
      <c r="Z2429" t="str">
        <f t="shared" si="717"/>
        <v>00</v>
      </c>
      <c r="AA2429" t="str">
        <f t="shared" si="707"/>
        <v>00</v>
      </c>
      <c r="AB2429" t="str">
        <f t="shared" si="708"/>
        <v>00</v>
      </c>
      <c r="AC2429" t="str">
        <f t="shared" si="709"/>
        <v>0P0</v>
      </c>
      <c r="AD2429" t="str">
        <f t="shared" si="710"/>
        <v>P00</v>
      </c>
      <c r="AE2429" t="str">
        <f t="shared" si="711"/>
        <v>0P0</v>
      </c>
      <c r="AF2429" t="str">
        <f t="shared" si="712"/>
        <v>P00</v>
      </c>
      <c r="AG2429" t="str">
        <f t="shared" si="718"/>
        <v>0P00</v>
      </c>
      <c r="AH2429" t="str">
        <f t="shared" si="719"/>
        <v>P000</v>
      </c>
      <c r="AI2429" t="str">
        <f t="shared" si="720"/>
        <v>0P00</v>
      </c>
      <c r="AJ2429" t="str">
        <f t="shared" si="721"/>
        <v>P000</v>
      </c>
    </row>
    <row r="2430" spans="1:36" x14ac:dyDescent="0.25">
      <c r="A2430" s="325" t="str">
        <f>CONCATENATE("P",'906MP'!M2130)</f>
        <v>P</v>
      </c>
      <c r="B2430">
        <f>'906MP'!H2130</f>
        <v>0</v>
      </c>
      <c r="C2430">
        <f>'906MP'!J2130</f>
        <v>0</v>
      </c>
      <c r="D2430">
        <f>'906MP'!P2130</f>
        <v>0</v>
      </c>
      <c r="E2430">
        <f>'906MP'!X2130</f>
        <v>0</v>
      </c>
      <c r="F2430" t="str">
        <f t="shared" si="713"/>
        <v>0</v>
      </c>
      <c r="G2430" t="str">
        <f t="shared" si="714"/>
        <v>0</v>
      </c>
      <c r="H2430">
        <f>'906MP'!Y2130</f>
        <v>0</v>
      </c>
      <c r="I2430">
        <f>'906MP'!AK2130</f>
        <v>0</v>
      </c>
      <c r="J2430">
        <f>'906MP'!T2130</f>
        <v>0</v>
      </c>
      <c r="K2430">
        <f>'906MP'!AJ2130</f>
        <v>0</v>
      </c>
      <c r="L2430">
        <f>'906MP'!U2130</f>
        <v>0</v>
      </c>
      <c r="M2430" s="322" t="str">
        <f>IFERROR(VLOOKUP(A2430,PAR!$D$3:$E$53,2,FALSE),"nincs szervezet")</f>
        <v>nincs szervezet</v>
      </c>
      <c r="N2430" s="322" t="str">
        <f>VLOOKUP(F2430,PAR!$R$3:$S$5,2,FALSE)</f>
        <v>3 - egyik sem</v>
      </c>
      <c r="O2430" t="str">
        <f>IFERROR(VLOOKUP(J2430,PAR!$O$3:$P$5,2,FALSE),"nincs feladat")</f>
        <v>nincs feladat</v>
      </c>
      <c r="P2430" t="str">
        <f>IFERROR(VLOOKUP(G2430,PAR!$J$2:$M$19,4),"nincs rovat")</f>
        <v>nincs rovat</v>
      </c>
      <c r="Q2430" t="str">
        <f>IF(H2430&gt;0,VLOOKUP(H2430,PAR!$AA$3:$AC$187,3,FALSE),"nincs főkönyvi számla")</f>
        <v>nincs főkönyvi számla</v>
      </c>
      <c r="R2430" t="str">
        <f>IFERROR(VLOOKUP(K2430,PAR!$V$3:$X$438,3,FALSE),"000000 - Nincs COFOG")</f>
        <v>000000 - Nincs COFOG</v>
      </c>
      <c r="S2430">
        <f t="shared" si="715"/>
        <v>0</v>
      </c>
      <c r="T2430">
        <f t="shared" si="716"/>
        <v>0</v>
      </c>
      <c r="U2430" t="str">
        <f>IF('906MP'!J2130&gt;0,CONCATENATE('906MP'!J2130," - ",'906MP'!P2130,", ",'906MP'!E2130),"nincs megjegyzés")</f>
        <v>nincs megjegyzés</v>
      </c>
      <c r="V2430" t="str">
        <f t="shared" si="703"/>
        <v>0P0</v>
      </c>
      <c r="W2430" t="str">
        <f t="shared" si="704"/>
        <v>0P0</v>
      </c>
      <c r="X2430" t="str">
        <f t="shared" si="705"/>
        <v>P0</v>
      </c>
      <c r="Y2430" t="str">
        <f t="shared" si="706"/>
        <v>00</v>
      </c>
      <c r="Z2430" t="str">
        <f t="shared" si="717"/>
        <v>00</v>
      </c>
      <c r="AA2430" t="str">
        <f t="shared" si="707"/>
        <v>00</v>
      </c>
      <c r="AB2430" t="str">
        <f t="shared" si="708"/>
        <v>00</v>
      </c>
      <c r="AC2430" t="str">
        <f t="shared" si="709"/>
        <v>0P0</v>
      </c>
      <c r="AD2430" t="str">
        <f t="shared" si="710"/>
        <v>P00</v>
      </c>
      <c r="AE2430" t="str">
        <f t="shared" si="711"/>
        <v>0P0</v>
      </c>
      <c r="AF2430" t="str">
        <f t="shared" si="712"/>
        <v>P00</v>
      </c>
      <c r="AG2430" t="str">
        <f t="shared" si="718"/>
        <v>0P00</v>
      </c>
      <c r="AH2430" t="str">
        <f t="shared" si="719"/>
        <v>P000</v>
      </c>
      <c r="AI2430" t="str">
        <f t="shared" si="720"/>
        <v>0P00</v>
      </c>
      <c r="AJ2430" t="str">
        <f t="shared" si="721"/>
        <v>P000</v>
      </c>
    </row>
    <row r="2431" spans="1:36" x14ac:dyDescent="0.25">
      <c r="A2431" s="325" t="str">
        <f>CONCATENATE("P",'906MP'!M2131)</f>
        <v>P</v>
      </c>
      <c r="B2431">
        <f>'906MP'!H2131</f>
        <v>0</v>
      </c>
      <c r="C2431">
        <f>'906MP'!J2131</f>
        <v>0</v>
      </c>
      <c r="D2431">
        <f>'906MP'!P2131</f>
        <v>0</v>
      </c>
      <c r="E2431">
        <f>'906MP'!X2131</f>
        <v>0</v>
      </c>
      <c r="F2431" t="str">
        <f t="shared" si="713"/>
        <v>0</v>
      </c>
      <c r="G2431" t="str">
        <f t="shared" si="714"/>
        <v>0</v>
      </c>
      <c r="H2431">
        <f>'906MP'!Y2131</f>
        <v>0</v>
      </c>
      <c r="I2431">
        <f>'906MP'!AK2131</f>
        <v>0</v>
      </c>
      <c r="J2431">
        <f>'906MP'!T2131</f>
        <v>0</v>
      </c>
      <c r="K2431">
        <f>'906MP'!AJ2131</f>
        <v>0</v>
      </c>
      <c r="L2431">
        <f>'906MP'!U2131</f>
        <v>0</v>
      </c>
      <c r="M2431" s="322" t="str">
        <f>IFERROR(VLOOKUP(A2431,PAR!$D$3:$E$53,2,FALSE),"nincs szervezet")</f>
        <v>nincs szervezet</v>
      </c>
      <c r="N2431" s="322" t="str">
        <f>VLOOKUP(F2431,PAR!$R$3:$S$5,2,FALSE)</f>
        <v>3 - egyik sem</v>
      </c>
      <c r="O2431" t="str">
        <f>IFERROR(VLOOKUP(J2431,PAR!$O$3:$P$5,2,FALSE),"nincs feladat")</f>
        <v>nincs feladat</v>
      </c>
      <c r="P2431" t="str">
        <f>IFERROR(VLOOKUP(G2431,PAR!$J$2:$M$19,4),"nincs rovat")</f>
        <v>nincs rovat</v>
      </c>
      <c r="Q2431" t="str">
        <f>IF(H2431&gt;0,VLOOKUP(H2431,PAR!$AA$3:$AC$187,3,FALSE),"nincs főkönyvi számla")</f>
        <v>nincs főkönyvi számla</v>
      </c>
      <c r="R2431" t="str">
        <f>IFERROR(VLOOKUP(K2431,PAR!$V$3:$X$438,3,FALSE),"000000 - Nincs COFOG")</f>
        <v>000000 - Nincs COFOG</v>
      </c>
      <c r="S2431">
        <f t="shared" si="715"/>
        <v>0</v>
      </c>
      <c r="T2431">
        <f t="shared" si="716"/>
        <v>0</v>
      </c>
      <c r="U2431" t="str">
        <f>IF('906MP'!J2131&gt;0,CONCATENATE('906MP'!J2131," - ",'906MP'!P2131,", ",'906MP'!E2131),"nincs megjegyzés")</f>
        <v>nincs megjegyzés</v>
      </c>
      <c r="V2431" t="str">
        <f t="shared" si="703"/>
        <v>0P0</v>
      </c>
      <c r="W2431" t="str">
        <f t="shared" si="704"/>
        <v>0P0</v>
      </c>
      <c r="X2431" t="str">
        <f t="shared" si="705"/>
        <v>P0</v>
      </c>
      <c r="Y2431" t="str">
        <f t="shared" si="706"/>
        <v>00</v>
      </c>
      <c r="Z2431" t="str">
        <f t="shared" si="717"/>
        <v>00</v>
      </c>
      <c r="AA2431" t="str">
        <f t="shared" si="707"/>
        <v>00</v>
      </c>
      <c r="AB2431" t="str">
        <f t="shared" si="708"/>
        <v>00</v>
      </c>
      <c r="AC2431" t="str">
        <f t="shared" si="709"/>
        <v>0P0</v>
      </c>
      <c r="AD2431" t="str">
        <f t="shared" si="710"/>
        <v>P00</v>
      </c>
      <c r="AE2431" t="str">
        <f t="shared" si="711"/>
        <v>0P0</v>
      </c>
      <c r="AF2431" t="str">
        <f t="shared" si="712"/>
        <v>P00</v>
      </c>
      <c r="AG2431" t="str">
        <f t="shared" si="718"/>
        <v>0P00</v>
      </c>
      <c r="AH2431" t="str">
        <f t="shared" si="719"/>
        <v>P000</v>
      </c>
      <c r="AI2431" t="str">
        <f t="shared" si="720"/>
        <v>0P00</v>
      </c>
      <c r="AJ2431" t="str">
        <f t="shared" si="721"/>
        <v>P000</v>
      </c>
    </row>
    <row r="2432" spans="1:36" x14ac:dyDescent="0.25">
      <c r="A2432" s="325" t="str">
        <f>CONCATENATE("P",'906MP'!M2132)</f>
        <v>P</v>
      </c>
      <c r="B2432">
        <f>'906MP'!H2132</f>
        <v>0</v>
      </c>
      <c r="C2432">
        <f>'906MP'!J2132</f>
        <v>0</v>
      </c>
      <c r="D2432">
        <f>'906MP'!P2132</f>
        <v>0</v>
      </c>
      <c r="E2432">
        <f>'906MP'!X2132</f>
        <v>0</v>
      </c>
      <c r="F2432" t="str">
        <f t="shared" si="713"/>
        <v>0</v>
      </c>
      <c r="G2432" t="str">
        <f t="shared" si="714"/>
        <v>0</v>
      </c>
      <c r="H2432">
        <f>'906MP'!Y2132</f>
        <v>0</v>
      </c>
      <c r="I2432">
        <f>'906MP'!AK2132</f>
        <v>0</v>
      </c>
      <c r="J2432">
        <f>'906MP'!T2132</f>
        <v>0</v>
      </c>
      <c r="K2432">
        <f>'906MP'!AJ2132</f>
        <v>0</v>
      </c>
      <c r="L2432">
        <f>'906MP'!U2132</f>
        <v>0</v>
      </c>
      <c r="M2432" s="322" t="str">
        <f>IFERROR(VLOOKUP(A2432,PAR!$D$3:$E$53,2,FALSE),"nincs szervezet")</f>
        <v>nincs szervezet</v>
      </c>
      <c r="N2432" s="322" t="str">
        <f>VLOOKUP(F2432,PAR!$R$3:$S$5,2,FALSE)</f>
        <v>3 - egyik sem</v>
      </c>
      <c r="O2432" t="str">
        <f>IFERROR(VLOOKUP(J2432,PAR!$O$3:$P$5,2,FALSE),"nincs feladat")</f>
        <v>nincs feladat</v>
      </c>
      <c r="P2432" t="str">
        <f>IFERROR(VLOOKUP(G2432,PAR!$J$2:$M$19,4),"nincs rovat")</f>
        <v>nincs rovat</v>
      </c>
      <c r="Q2432" t="str">
        <f>IF(H2432&gt;0,VLOOKUP(H2432,PAR!$AA$3:$AC$187,3,FALSE),"nincs főkönyvi számla")</f>
        <v>nincs főkönyvi számla</v>
      </c>
      <c r="R2432" t="str">
        <f>IFERROR(VLOOKUP(K2432,PAR!$V$3:$X$438,3,FALSE),"000000 - Nincs COFOG")</f>
        <v>000000 - Nincs COFOG</v>
      </c>
      <c r="S2432">
        <f t="shared" si="715"/>
        <v>0</v>
      </c>
      <c r="T2432">
        <f t="shared" si="716"/>
        <v>0</v>
      </c>
      <c r="U2432" t="str">
        <f>IF('906MP'!J2132&gt;0,CONCATENATE('906MP'!J2132," - ",'906MP'!P2132,", ",'906MP'!E2132),"nincs megjegyzés")</f>
        <v>nincs megjegyzés</v>
      </c>
      <c r="V2432" t="str">
        <f t="shared" si="703"/>
        <v>0P0</v>
      </c>
      <c r="W2432" t="str">
        <f t="shared" si="704"/>
        <v>0P0</v>
      </c>
      <c r="X2432" t="str">
        <f t="shared" si="705"/>
        <v>P0</v>
      </c>
      <c r="Y2432" t="str">
        <f t="shared" si="706"/>
        <v>00</v>
      </c>
      <c r="Z2432" t="str">
        <f t="shared" si="717"/>
        <v>00</v>
      </c>
      <c r="AA2432" t="str">
        <f t="shared" si="707"/>
        <v>00</v>
      </c>
      <c r="AB2432" t="str">
        <f t="shared" si="708"/>
        <v>00</v>
      </c>
      <c r="AC2432" t="str">
        <f t="shared" si="709"/>
        <v>0P0</v>
      </c>
      <c r="AD2432" t="str">
        <f t="shared" si="710"/>
        <v>P00</v>
      </c>
      <c r="AE2432" t="str">
        <f t="shared" si="711"/>
        <v>0P0</v>
      </c>
      <c r="AF2432" t="str">
        <f t="shared" si="712"/>
        <v>P00</v>
      </c>
      <c r="AG2432" t="str">
        <f t="shared" si="718"/>
        <v>0P00</v>
      </c>
      <c r="AH2432" t="str">
        <f t="shared" si="719"/>
        <v>P000</v>
      </c>
      <c r="AI2432" t="str">
        <f t="shared" si="720"/>
        <v>0P00</v>
      </c>
      <c r="AJ2432" t="str">
        <f t="shared" si="721"/>
        <v>P000</v>
      </c>
    </row>
    <row r="2433" spans="1:36" x14ac:dyDescent="0.25">
      <c r="A2433" s="325" t="str">
        <f>CONCATENATE("P",'906MP'!M2133)</f>
        <v>P</v>
      </c>
      <c r="B2433">
        <f>'906MP'!H2133</f>
        <v>0</v>
      </c>
      <c r="C2433">
        <f>'906MP'!J2133</f>
        <v>0</v>
      </c>
      <c r="D2433">
        <f>'906MP'!P2133</f>
        <v>0</v>
      </c>
      <c r="E2433">
        <f>'906MP'!X2133</f>
        <v>0</v>
      </c>
      <c r="F2433" t="str">
        <f t="shared" si="713"/>
        <v>0</v>
      </c>
      <c r="G2433" t="str">
        <f t="shared" si="714"/>
        <v>0</v>
      </c>
      <c r="H2433">
        <f>'906MP'!Y2133</f>
        <v>0</v>
      </c>
      <c r="I2433">
        <f>'906MP'!AK2133</f>
        <v>0</v>
      </c>
      <c r="J2433">
        <f>'906MP'!T2133</f>
        <v>0</v>
      </c>
      <c r="K2433">
        <f>'906MP'!AJ2133</f>
        <v>0</v>
      </c>
      <c r="L2433">
        <f>'906MP'!U2133</f>
        <v>0</v>
      </c>
      <c r="M2433" s="322" t="str">
        <f>IFERROR(VLOOKUP(A2433,PAR!$D$3:$E$53,2,FALSE),"nincs szervezet")</f>
        <v>nincs szervezet</v>
      </c>
      <c r="N2433" s="322" t="str">
        <f>VLOOKUP(F2433,PAR!$R$3:$S$5,2,FALSE)</f>
        <v>3 - egyik sem</v>
      </c>
      <c r="O2433" t="str">
        <f>IFERROR(VLOOKUP(J2433,PAR!$O$3:$P$5,2,FALSE),"nincs feladat")</f>
        <v>nincs feladat</v>
      </c>
      <c r="P2433" t="str">
        <f>IFERROR(VLOOKUP(G2433,PAR!$J$2:$M$19,4),"nincs rovat")</f>
        <v>nincs rovat</v>
      </c>
      <c r="Q2433" t="str">
        <f>IF(H2433&gt;0,VLOOKUP(H2433,PAR!$AA$3:$AC$187,3,FALSE),"nincs főkönyvi számla")</f>
        <v>nincs főkönyvi számla</v>
      </c>
      <c r="R2433" t="str">
        <f>IFERROR(VLOOKUP(K2433,PAR!$V$3:$X$438,3,FALSE),"000000 - Nincs COFOG")</f>
        <v>000000 - Nincs COFOG</v>
      </c>
      <c r="S2433">
        <f t="shared" si="715"/>
        <v>0</v>
      </c>
      <c r="T2433">
        <f t="shared" si="716"/>
        <v>0</v>
      </c>
      <c r="U2433" t="str">
        <f>IF('906MP'!J2133&gt;0,CONCATENATE('906MP'!J2133," - ",'906MP'!P2133,", ",'906MP'!E2133),"nincs megjegyzés")</f>
        <v>nincs megjegyzés</v>
      </c>
      <c r="V2433" t="str">
        <f t="shared" si="703"/>
        <v>0P0</v>
      </c>
      <c r="W2433" t="str">
        <f t="shared" si="704"/>
        <v>0P0</v>
      </c>
      <c r="X2433" t="str">
        <f t="shared" si="705"/>
        <v>P0</v>
      </c>
      <c r="Y2433" t="str">
        <f t="shared" si="706"/>
        <v>00</v>
      </c>
      <c r="Z2433" t="str">
        <f t="shared" si="717"/>
        <v>00</v>
      </c>
      <c r="AA2433" t="str">
        <f t="shared" si="707"/>
        <v>00</v>
      </c>
      <c r="AB2433" t="str">
        <f t="shared" si="708"/>
        <v>00</v>
      </c>
      <c r="AC2433" t="str">
        <f t="shared" si="709"/>
        <v>0P0</v>
      </c>
      <c r="AD2433" t="str">
        <f t="shared" si="710"/>
        <v>P00</v>
      </c>
      <c r="AE2433" t="str">
        <f t="shared" si="711"/>
        <v>0P0</v>
      </c>
      <c r="AF2433" t="str">
        <f t="shared" si="712"/>
        <v>P00</v>
      </c>
      <c r="AG2433" t="str">
        <f t="shared" si="718"/>
        <v>0P00</v>
      </c>
      <c r="AH2433" t="str">
        <f t="shared" si="719"/>
        <v>P000</v>
      </c>
      <c r="AI2433" t="str">
        <f t="shared" si="720"/>
        <v>0P00</v>
      </c>
      <c r="AJ2433" t="str">
        <f t="shared" si="721"/>
        <v>P000</v>
      </c>
    </row>
    <row r="2434" spans="1:36" x14ac:dyDescent="0.25">
      <c r="A2434" s="325" t="str">
        <f>CONCATENATE("P",'906MP'!M2134)</f>
        <v>P</v>
      </c>
      <c r="B2434">
        <f>'906MP'!H2134</f>
        <v>0</v>
      </c>
      <c r="C2434">
        <f>'906MP'!J2134</f>
        <v>0</v>
      </c>
      <c r="D2434">
        <f>'906MP'!P2134</f>
        <v>0</v>
      </c>
      <c r="E2434">
        <f>'906MP'!X2134</f>
        <v>0</v>
      </c>
      <c r="F2434" t="str">
        <f t="shared" si="713"/>
        <v>0</v>
      </c>
      <c r="G2434" t="str">
        <f t="shared" si="714"/>
        <v>0</v>
      </c>
      <c r="H2434">
        <f>'906MP'!Y2134</f>
        <v>0</v>
      </c>
      <c r="I2434">
        <f>'906MP'!AK2134</f>
        <v>0</v>
      </c>
      <c r="J2434">
        <f>'906MP'!T2134</f>
        <v>0</v>
      </c>
      <c r="K2434">
        <f>'906MP'!AJ2134</f>
        <v>0</v>
      </c>
      <c r="L2434">
        <f>'906MP'!U2134</f>
        <v>0</v>
      </c>
      <c r="M2434" s="322" t="str">
        <f>IFERROR(VLOOKUP(A2434,PAR!$D$3:$E$53,2,FALSE),"nincs szervezet")</f>
        <v>nincs szervezet</v>
      </c>
      <c r="N2434" s="322" t="str">
        <f>VLOOKUP(F2434,PAR!$R$3:$S$5,2,FALSE)</f>
        <v>3 - egyik sem</v>
      </c>
      <c r="O2434" t="str">
        <f>IFERROR(VLOOKUP(J2434,PAR!$O$3:$P$5,2,FALSE),"nincs feladat")</f>
        <v>nincs feladat</v>
      </c>
      <c r="P2434" t="str">
        <f>IFERROR(VLOOKUP(G2434,PAR!$J$2:$M$19,4),"nincs rovat")</f>
        <v>nincs rovat</v>
      </c>
      <c r="Q2434" t="str">
        <f>IF(H2434&gt;0,VLOOKUP(H2434,PAR!$AA$3:$AC$187,3,FALSE),"nincs főkönyvi számla")</f>
        <v>nincs főkönyvi számla</v>
      </c>
      <c r="R2434" t="str">
        <f>IFERROR(VLOOKUP(K2434,PAR!$V$3:$X$438,3,FALSE),"000000 - Nincs COFOG")</f>
        <v>000000 - Nincs COFOG</v>
      </c>
      <c r="S2434">
        <f t="shared" si="715"/>
        <v>0</v>
      </c>
      <c r="T2434">
        <f t="shared" si="716"/>
        <v>0</v>
      </c>
      <c r="U2434" t="str">
        <f>IF('906MP'!J2134&gt;0,CONCATENATE('906MP'!J2134," - ",'906MP'!P2134,", ",'906MP'!E2134),"nincs megjegyzés")</f>
        <v>nincs megjegyzés</v>
      </c>
      <c r="V2434" t="str">
        <f t="shared" ref="V2434:V2497" si="722">CONCATENATE(B2434,A2434,G2434)</f>
        <v>0P0</v>
      </c>
      <c r="W2434" t="str">
        <f t="shared" ref="W2434:W2497" si="723">CONCATENATE(B2434,A2434,F2434)</f>
        <v>0P0</v>
      </c>
      <c r="X2434" t="str">
        <f t="shared" ref="X2434:X2497" si="724">CONCATENATE(A2434,H2434)</f>
        <v>P0</v>
      </c>
      <c r="Y2434" t="str">
        <f t="shared" ref="Y2434:Y2497" si="725">CONCATENATE(B2434,H2434)</f>
        <v>00</v>
      </c>
      <c r="Z2434" t="str">
        <f t="shared" si="717"/>
        <v>00</v>
      </c>
      <c r="AA2434" t="str">
        <f t="shared" ref="AA2434:AA2497" si="726">CONCATENATE(B2434,G2434)</f>
        <v>00</v>
      </c>
      <c r="AB2434" t="str">
        <f t="shared" ref="AB2434:AB2497" si="727">CONCATENATE(J2434,G2434)</f>
        <v>00</v>
      </c>
      <c r="AC2434" t="str">
        <f t="shared" ref="AC2434:AC2497" si="728">CONCATENATE(B2434,A2434,H2434)</f>
        <v>0P0</v>
      </c>
      <c r="AD2434" t="str">
        <f t="shared" ref="AD2434:AD2497" si="729">CONCATENATE(A2434,H2434,J2434)</f>
        <v>P00</v>
      </c>
      <c r="AE2434" t="str">
        <f t="shared" ref="AE2434:AE2497" si="730">CONCATENATE(B2434,A2434,G2434)</f>
        <v>0P0</v>
      </c>
      <c r="AF2434" t="str">
        <f t="shared" ref="AF2434:AF2497" si="731">CONCATENATE(A2434,G2434,J2434)</f>
        <v>P00</v>
      </c>
      <c r="AG2434" t="str">
        <f t="shared" si="718"/>
        <v>0P00</v>
      </c>
      <c r="AH2434" t="str">
        <f t="shared" si="719"/>
        <v>P000</v>
      </c>
      <c r="AI2434" t="str">
        <f t="shared" si="720"/>
        <v>0P00</v>
      </c>
      <c r="AJ2434" t="str">
        <f t="shared" si="721"/>
        <v>P000</v>
      </c>
    </row>
    <row r="2435" spans="1:36" x14ac:dyDescent="0.25">
      <c r="A2435" s="325" t="str">
        <f>CONCATENATE("P",'906MP'!M2135)</f>
        <v>P</v>
      </c>
      <c r="B2435">
        <f>'906MP'!H2135</f>
        <v>0</v>
      </c>
      <c r="C2435">
        <f>'906MP'!J2135</f>
        <v>0</v>
      </c>
      <c r="D2435">
        <f>'906MP'!P2135</f>
        <v>0</v>
      </c>
      <c r="E2435">
        <f>'906MP'!X2135</f>
        <v>0</v>
      </c>
      <c r="F2435" t="str">
        <f t="shared" ref="F2435:F2498" si="732">LEFT(G2435,2)</f>
        <v>0</v>
      </c>
      <c r="G2435" t="str">
        <f t="shared" ref="G2435:G2498" si="733">LEFT(H2435,3)</f>
        <v>0</v>
      </c>
      <c r="H2435">
        <f>'906MP'!Y2135</f>
        <v>0</v>
      </c>
      <c r="I2435">
        <f>'906MP'!AK2135</f>
        <v>0</v>
      </c>
      <c r="J2435">
        <f>'906MP'!T2135</f>
        <v>0</v>
      </c>
      <c r="K2435">
        <f>'906MP'!AJ2135</f>
        <v>0</v>
      </c>
      <c r="L2435">
        <f>'906MP'!U2135</f>
        <v>0</v>
      </c>
      <c r="M2435" s="322" t="str">
        <f>IFERROR(VLOOKUP(A2435,PAR!$D$3:$E$53,2,FALSE),"nincs szervezet")</f>
        <v>nincs szervezet</v>
      </c>
      <c r="N2435" s="322" t="str">
        <f>VLOOKUP(F2435,PAR!$R$3:$S$5,2,FALSE)</f>
        <v>3 - egyik sem</v>
      </c>
      <c r="O2435" t="str">
        <f>IFERROR(VLOOKUP(J2435,PAR!$O$3:$P$5,2,FALSE),"nincs feladat")</f>
        <v>nincs feladat</v>
      </c>
      <c r="P2435" t="str">
        <f>IFERROR(VLOOKUP(G2435,PAR!$J$2:$M$19,4),"nincs rovat")</f>
        <v>nincs rovat</v>
      </c>
      <c r="Q2435" t="str">
        <f>IF(H2435&gt;0,VLOOKUP(H2435,PAR!$AA$3:$AC$187,3,FALSE),"nincs főkönyvi számla")</f>
        <v>nincs főkönyvi számla</v>
      </c>
      <c r="R2435" t="str">
        <f>IFERROR(VLOOKUP(K2435,PAR!$V$3:$X$438,3,FALSE),"000000 - Nincs COFOG")</f>
        <v>000000 - Nincs COFOG</v>
      </c>
      <c r="S2435">
        <f t="shared" ref="S2435:S2498" si="734">E2435</f>
        <v>0</v>
      </c>
      <c r="T2435">
        <f t="shared" ref="T2435:T2498" si="735">IF(F2435="09",E2435*-1,E2435)</f>
        <v>0</v>
      </c>
      <c r="U2435" t="str">
        <f>IF('906MP'!J2135&gt;0,CONCATENATE('906MP'!J2135," - ",'906MP'!P2135,", ",'906MP'!E2135),"nincs megjegyzés")</f>
        <v>nincs megjegyzés</v>
      </c>
      <c r="V2435" t="str">
        <f t="shared" si="722"/>
        <v>0P0</v>
      </c>
      <c r="W2435" t="str">
        <f t="shared" si="723"/>
        <v>0P0</v>
      </c>
      <c r="X2435" t="str">
        <f t="shared" si="724"/>
        <v>P0</v>
      </c>
      <c r="Y2435" t="str">
        <f t="shared" si="725"/>
        <v>00</v>
      </c>
      <c r="Z2435" t="str">
        <f t="shared" ref="Z2435:Z2498" si="736">CONCATENATE(J2435,H2435)</f>
        <v>00</v>
      </c>
      <c r="AA2435" t="str">
        <f t="shared" si="726"/>
        <v>00</v>
      </c>
      <c r="AB2435" t="str">
        <f t="shared" si="727"/>
        <v>00</v>
      </c>
      <c r="AC2435" t="str">
        <f t="shared" si="728"/>
        <v>0P0</v>
      </c>
      <c r="AD2435" t="str">
        <f t="shared" si="729"/>
        <v>P00</v>
      </c>
      <c r="AE2435" t="str">
        <f t="shared" si="730"/>
        <v>0P0</v>
      </c>
      <c r="AF2435" t="str">
        <f t="shared" si="731"/>
        <v>P00</v>
      </c>
      <c r="AG2435" t="str">
        <f t="shared" ref="AG2435:AG2498" si="737">CONCATENATE(B2435,A2435,H2435,L2435)</f>
        <v>0P00</v>
      </c>
      <c r="AH2435" t="str">
        <f t="shared" ref="AH2435:AH2498" si="738">CONCATENATE(A2435,J2435,H2435,L2435)</f>
        <v>P000</v>
      </c>
      <c r="AI2435" t="str">
        <f t="shared" ref="AI2435:AI2498" si="739">CONCATENATE(B2435,A2435,G2435,L2435)</f>
        <v>0P00</v>
      </c>
      <c r="AJ2435" t="str">
        <f t="shared" ref="AJ2435:AJ2498" si="740">CONCATENATE(A2435,G2435,J2435,L2435)</f>
        <v>P000</v>
      </c>
    </row>
    <row r="2436" spans="1:36" x14ac:dyDescent="0.25">
      <c r="A2436" s="325" t="str">
        <f>CONCATENATE("P",'906MP'!M2136)</f>
        <v>P</v>
      </c>
      <c r="B2436">
        <f>'906MP'!H2136</f>
        <v>0</v>
      </c>
      <c r="C2436">
        <f>'906MP'!J2136</f>
        <v>0</v>
      </c>
      <c r="D2436">
        <f>'906MP'!P2136</f>
        <v>0</v>
      </c>
      <c r="E2436">
        <f>'906MP'!X2136</f>
        <v>0</v>
      </c>
      <c r="F2436" t="str">
        <f t="shared" si="732"/>
        <v>0</v>
      </c>
      <c r="G2436" t="str">
        <f t="shared" si="733"/>
        <v>0</v>
      </c>
      <c r="H2436">
        <f>'906MP'!Y2136</f>
        <v>0</v>
      </c>
      <c r="I2436">
        <f>'906MP'!AK2136</f>
        <v>0</v>
      </c>
      <c r="J2436">
        <f>'906MP'!T2136</f>
        <v>0</v>
      </c>
      <c r="K2436">
        <f>'906MP'!AJ2136</f>
        <v>0</v>
      </c>
      <c r="L2436">
        <f>'906MP'!U2136</f>
        <v>0</v>
      </c>
      <c r="M2436" s="322" t="str">
        <f>IFERROR(VLOOKUP(A2436,PAR!$D$3:$E$53,2,FALSE),"nincs szervezet")</f>
        <v>nincs szervezet</v>
      </c>
      <c r="N2436" s="322" t="str">
        <f>VLOOKUP(F2436,PAR!$R$3:$S$5,2,FALSE)</f>
        <v>3 - egyik sem</v>
      </c>
      <c r="O2436" t="str">
        <f>IFERROR(VLOOKUP(J2436,PAR!$O$3:$P$5,2,FALSE),"nincs feladat")</f>
        <v>nincs feladat</v>
      </c>
      <c r="P2436" t="str">
        <f>IFERROR(VLOOKUP(G2436,PAR!$J$2:$M$19,4),"nincs rovat")</f>
        <v>nincs rovat</v>
      </c>
      <c r="Q2436" t="str">
        <f>IF(H2436&gt;0,VLOOKUP(H2436,PAR!$AA$3:$AC$187,3,FALSE),"nincs főkönyvi számla")</f>
        <v>nincs főkönyvi számla</v>
      </c>
      <c r="R2436" t="str">
        <f>IFERROR(VLOOKUP(K2436,PAR!$V$3:$X$438,3,FALSE),"000000 - Nincs COFOG")</f>
        <v>000000 - Nincs COFOG</v>
      </c>
      <c r="S2436">
        <f t="shared" si="734"/>
        <v>0</v>
      </c>
      <c r="T2436">
        <f t="shared" si="735"/>
        <v>0</v>
      </c>
      <c r="U2436" t="str">
        <f>IF('906MP'!J2136&gt;0,CONCATENATE('906MP'!J2136," - ",'906MP'!P2136,", ",'906MP'!E2136),"nincs megjegyzés")</f>
        <v>nincs megjegyzés</v>
      </c>
      <c r="V2436" t="str">
        <f t="shared" si="722"/>
        <v>0P0</v>
      </c>
      <c r="W2436" t="str">
        <f t="shared" si="723"/>
        <v>0P0</v>
      </c>
      <c r="X2436" t="str">
        <f t="shared" si="724"/>
        <v>P0</v>
      </c>
      <c r="Y2436" t="str">
        <f t="shared" si="725"/>
        <v>00</v>
      </c>
      <c r="Z2436" t="str">
        <f t="shared" si="736"/>
        <v>00</v>
      </c>
      <c r="AA2436" t="str">
        <f t="shared" si="726"/>
        <v>00</v>
      </c>
      <c r="AB2436" t="str">
        <f t="shared" si="727"/>
        <v>00</v>
      </c>
      <c r="AC2436" t="str">
        <f t="shared" si="728"/>
        <v>0P0</v>
      </c>
      <c r="AD2436" t="str">
        <f t="shared" si="729"/>
        <v>P00</v>
      </c>
      <c r="AE2436" t="str">
        <f t="shared" si="730"/>
        <v>0P0</v>
      </c>
      <c r="AF2436" t="str">
        <f t="shared" si="731"/>
        <v>P00</v>
      </c>
      <c r="AG2436" t="str">
        <f t="shared" si="737"/>
        <v>0P00</v>
      </c>
      <c r="AH2436" t="str">
        <f t="shared" si="738"/>
        <v>P000</v>
      </c>
      <c r="AI2436" t="str">
        <f t="shared" si="739"/>
        <v>0P00</v>
      </c>
      <c r="AJ2436" t="str">
        <f t="shared" si="740"/>
        <v>P000</v>
      </c>
    </row>
    <row r="2437" spans="1:36" x14ac:dyDescent="0.25">
      <c r="A2437" s="325" t="str">
        <f>CONCATENATE("P",'906MP'!M2137)</f>
        <v>P</v>
      </c>
      <c r="B2437">
        <f>'906MP'!H2137</f>
        <v>0</v>
      </c>
      <c r="C2437">
        <f>'906MP'!J2137</f>
        <v>0</v>
      </c>
      <c r="D2437">
        <f>'906MP'!P2137</f>
        <v>0</v>
      </c>
      <c r="E2437">
        <f>'906MP'!X2137</f>
        <v>0</v>
      </c>
      <c r="F2437" t="str">
        <f t="shared" si="732"/>
        <v>0</v>
      </c>
      <c r="G2437" t="str">
        <f t="shared" si="733"/>
        <v>0</v>
      </c>
      <c r="H2437">
        <f>'906MP'!Y2137</f>
        <v>0</v>
      </c>
      <c r="I2437">
        <f>'906MP'!AK2137</f>
        <v>0</v>
      </c>
      <c r="J2437">
        <f>'906MP'!T2137</f>
        <v>0</v>
      </c>
      <c r="K2437">
        <f>'906MP'!AJ2137</f>
        <v>0</v>
      </c>
      <c r="L2437">
        <f>'906MP'!U2137</f>
        <v>0</v>
      </c>
      <c r="M2437" s="322" t="str">
        <f>IFERROR(VLOOKUP(A2437,PAR!$D$3:$E$53,2,FALSE),"nincs szervezet")</f>
        <v>nincs szervezet</v>
      </c>
      <c r="N2437" s="322" t="str">
        <f>VLOOKUP(F2437,PAR!$R$3:$S$5,2,FALSE)</f>
        <v>3 - egyik sem</v>
      </c>
      <c r="O2437" t="str">
        <f>IFERROR(VLOOKUP(J2437,PAR!$O$3:$P$5,2,FALSE),"nincs feladat")</f>
        <v>nincs feladat</v>
      </c>
      <c r="P2437" t="str">
        <f>IFERROR(VLOOKUP(G2437,PAR!$J$2:$M$19,4),"nincs rovat")</f>
        <v>nincs rovat</v>
      </c>
      <c r="Q2437" t="str">
        <f>IF(H2437&gt;0,VLOOKUP(H2437,PAR!$AA$3:$AC$187,3,FALSE),"nincs főkönyvi számla")</f>
        <v>nincs főkönyvi számla</v>
      </c>
      <c r="R2437" t="str">
        <f>IFERROR(VLOOKUP(K2437,PAR!$V$3:$X$438,3,FALSE),"000000 - Nincs COFOG")</f>
        <v>000000 - Nincs COFOG</v>
      </c>
      <c r="S2437">
        <f t="shared" si="734"/>
        <v>0</v>
      </c>
      <c r="T2437">
        <f t="shared" si="735"/>
        <v>0</v>
      </c>
      <c r="U2437" t="str">
        <f>IF('906MP'!J2137&gt;0,CONCATENATE('906MP'!J2137," - ",'906MP'!P2137,", ",'906MP'!E2137),"nincs megjegyzés")</f>
        <v>nincs megjegyzés</v>
      </c>
      <c r="V2437" t="str">
        <f t="shared" si="722"/>
        <v>0P0</v>
      </c>
      <c r="W2437" t="str">
        <f t="shared" si="723"/>
        <v>0P0</v>
      </c>
      <c r="X2437" t="str">
        <f t="shared" si="724"/>
        <v>P0</v>
      </c>
      <c r="Y2437" t="str">
        <f t="shared" si="725"/>
        <v>00</v>
      </c>
      <c r="Z2437" t="str">
        <f t="shared" si="736"/>
        <v>00</v>
      </c>
      <c r="AA2437" t="str">
        <f t="shared" si="726"/>
        <v>00</v>
      </c>
      <c r="AB2437" t="str">
        <f t="shared" si="727"/>
        <v>00</v>
      </c>
      <c r="AC2437" t="str">
        <f t="shared" si="728"/>
        <v>0P0</v>
      </c>
      <c r="AD2437" t="str">
        <f t="shared" si="729"/>
        <v>P00</v>
      </c>
      <c r="AE2437" t="str">
        <f t="shared" si="730"/>
        <v>0P0</v>
      </c>
      <c r="AF2437" t="str">
        <f t="shared" si="731"/>
        <v>P00</v>
      </c>
      <c r="AG2437" t="str">
        <f t="shared" si="737"/>
        <v>0P00</v>
      </c>
      <c r="AH2437" t="str">
        <f t="shared" si="738"/>
        <v>P000</v>
      </c>
      <c r="AI2437" t="str">
        <f t="shared" si="739"/>
        <v>0P00</v>
      </c>
      <c r="AJ2437" t="str">
        <f t="shared" si="740"/>
        <v>P000</v>
      </c>
    </row>
    <row r="2438" spans="1:36" x14ac:dyDescent="0.25">
      <c r="A2438" s="325" t="str">
        <f>CONCATENATE("P",'906MP'!M2138)</f>
        <v>P</v>
      </c>
      <c r="B2438">
        <f>'906MP'!H2138</f>
        <v>0</v>
      </c>
      <c r="C2438">
        <f>'906MP'!J2138</f>
        <v>0</v>
      </c>
      <c r="D2438">
        <f>'906MP'!P2138</f>
        <v>0</v>
      </c>
      <c r="E2438">
        <f>'906MP'!X2138</f>
        <v>0</v>
      </c>
      <c r="F2438" t="str">
        <f t="shared" si="732"/>
        <v>0</v>
      </c>
      <c r="G2438" t="str">
        <f t="shared" si="733"/>
        <v>0</v>
      </c>
      <c r="H2438">
        <f>'906MP'!Y2138</f>
        <v>0</v>
      </c>
      <c r="I2438">
        <f>'906MP'!AK2138</f>
        <v>0</v>
      </c>
      <c r="J2438">
        <f>'906MP'!T2138</f>
        <v>0</v>
      </c>
      <c r="K2438">
        <f>'906MP'!AJ2138</f>
        <v>0</v>
      </c>
      <c r="L2438">
        <f>'906MP'!U2138</f>
        <v>0</v>
      </c>
      <c r="M2438" s="322" t="str">
        <f>IFERROR(VLOOKUP(A2438,PAR!$D$3:$E$53,2,FALSE),"nincs szervezet")</f>
        <v>nincs szervezet</v>
      </c>
      <c r="N2438" s="322" t="str">
        <f>VLOOKUP(F2438,PAR!$R$3:$S$5,2,FALSE)</f>
        <v>3 - egyik sem</v>
      </c>
      <c r="O2438" t="str">
        <f>IFERROR(VLOOKUP(J2438,PAR!$O$3:$P$5,2,FALSE),"nincs feladat")</f>
        <v>nincs feladat</v>
      </c>
      <c r="P2438" t="str">
        <f>IFERROR(VLOOKUP(G2438,PAR!$J$2:$M$19,4),"nincs rovat")</f>
        <v>nincs rovat</v>
      </c>
      <c r="Q2438" t="str">
        <f>IF(H2438&gt;0,VLOOKUP(H2438,PAR!$AA$3:$AC$187,3,FALSE),"nincs főkönyvi számla")</f>
        <v>nincs főkönyvi számla</v>
      </c>
      <c r="R2438" t="str">
        <f>IFERROR(VLOOKUP(K2438,PAR!$V$3:$X$438,3,FALSE),"000000 - Nincs COFOG")</f>
        <v>000000 - Nincs COFOG</v>
      </c>
      <c r="S2438">
        <f t="shared" si="734"/>
        <v>0</v>
      </c>
      <c r="T2438">
        <f t="shared" si="735"/>
        <v>0</v>
      </c>
      <c r="U2438" t="str">
        <f>IF('906MP'!J2138&gt;0,CONCATENATE('906MP'!J2138," - ",'906MP'!P2138,", ",'906MP'!E2138),"nincs megjegyzés")</f>
        <v>nincs megjegyzés</v>
      </c>
      <c r="V2438" t="str">
        <f t="shared" si="722"/>
        <v>0P0</v>
      </c>
      <c r="W2438" t="str">
        <f t="shared" si="723"/>
        <v>0P0</v>
      </c>
      <c r="X2438" t="str">
        <f t="shared" si="724"/>
        <v>P0</v>
      </c>
      <c r="Y2438" t="str">
        <f t="shared" si="725"/>
        <v>00</v>
      </c>
      <c r="Z2438" t="str">
        <f t="shared" si="736"/>
        <v>00</v>
      </c>
      <c r="AA2438" t="str">
        <f t="shared" si="726"/>
        <v>00</v>
      </c>
      <c r="AB2438" t="str">
        <f t="shared" si="727"/>
        <v>00</v>
      </c>
      <c r="AC2438" t="str">
        <f t="shared" si="728"/>
        <v>0P0</v>
      </c>
      <c r="AD2438" t="str">
        <f t="shared" si="729"/>
        <v>P00</v>
      </c>
      <c r="AE2438" t="str">
        <f t="shared" si="730"/>
        <v>0P0</v>
      </c>
      <c r="AF2438" t="str">
        <f t="shared" si="731"/>
        <v>P00</v>
      </c>
      <c r="AG2438" t="str">
        <f t="shared" si="737"/>
        <v>0P00</v>
      </c>
      <c r="AH2438" t="str">
        <f t="shared" si="738"/>
        <v>P000</v>
      </c>
      <c r="AI2438" t="str">
        <f t="shared" si="739"/>
        <v>0P00</v>
      </c>
      <c r="AJ2438" t="str">
        <f t="shared" si="740"/>
        <v>P000</v>
      </c>
    </row>
    <row r="2439" spans="1:36" x14ac:dyDescent="0.25">
      <c r="A2439" s="325" t="str">
        <f>CONCATENATE("P",'906MP'!M2139)</f>
        <v>P</v>
      </c>
      <c r="B2439">
        <f>'906MP'!H2139</f>
        <v>0</v>
      </c>
      <c r="C2439">
        <f>'906MP'!J2139</f>
        <v>0</v>
      </c>
      <c r="D2439">
        <f>'906MP'!P2139</f>
        <v>0</v>
      </c>
      <c r="E2439">
        <f>'906MP'!X2139</f>
        <v>0</v>
      </c>
      <c r="F2439" t="str">
        <f t="shared" si="732"/>
        <v>0</v>
      </c>
      <c r="G2439" t="str">
        <f t="shared" si="733"/>
        <v>0</v>
      </c>
      <c r="H2439">
        <f>'906MP'!Y2139</f>
        <v>0</v>
      </c>
      <c r="I2439">
        <f>'906MP'!AK2139</f>
        <v>0</v>
      </c>
      <c r="J2439">
        <f>'906MP'!T2139</f>
        <v>0</v>
      </c>
      <c r="K2439">
        <f>'906MP'!AJ2139</f>
        <v>0</v>
      </c>
      <c r="L2439">
        <f>'906MP'!U2139</f>
        <v>0</v>
      </c>
      <c r="M2439" s="322" t="str">
        <f>IFERROR(VLOOKUP(A2439,PAR!$D$3:$E$53,2,FALSE),"nincs szervezet")</f>
        <v>nincs szervezet</v>
      </c>
      <c r="N2439" s="322" t="str">
        <f>VLOOKUP(F2439,PAR!$R$3:$S$5,2,FALSE)</f>
        <v>3 - egyik sem</v>
      </c>
      <c r="O2439" t="str">
        <f>IFERROR(VLOOKUP(J2439,PAR!$O$3:$P$5,2,FALSE),"nincs feladat")</f>
        <v>nincs feladat</v>
      </c>
      <c r="P2439" t="str">
        <f>IFERROR(VLOOKUP(G2439,PAR!$J$2:$M$19,4),"nincs rovat")</f>
        <v>nincs rovat</v>
      </c>
      <c r="Q2439" t="str">
        <f>IF(H2439&gt;0,VLOOKUP(H2439,PAR!$AA$3:$AC$187,3,FALSE),"nincs főkönyvi számla")</f>
        <v>nincs főkönyvi számla</v>
      </c>
      <c r="R2439" t="str">
        <f>IFERROR(VLOOKUP(K2439,PAR!$V$3:$X$438,3,FALSE),"000000 - Nincs COFOG")</f>
        <v>000000 - Nincs COFOG</v>
      </c>
      <c r="S2439">
        <f t="shared" si="734"/>
        <v>0</v>
      </c>
      <c r="T2439">
        <f t="shared" si="735"/>
        <v>0</v>
      </c>
      <c r="U2439" t="str">
        <f>IF('906MP'!J2139&gt;0,CONCATENATE('906MP'!J2139," - ",'906MP'!P2139,", ",'906MP'!E2139),"nincs megjegyzés")</f>
        <v>nincs megjegyzés</v>
      </c>
      <c r="V2439" t="str">
        <f t="shared" si="722"/>
        <v>0P0</v>
      </c>
      <c r="W2439" t="str">
        <f t="shared" si="723"/>
        <v>0P0</v>
      </c>
      <c r="X2439" t="str">
        <f t="shared" si="724"/>
        <v>P0</v>
      </c>
      <c r="Y2439" t="str">
        <f t="shared" si="725"/>
        <v>00</v>
      </c>
      <c r="Z2439" t="str">
        <f t="shared" si="736"/>
        <v>00</v>
      </c>
      <c r="AA2439" t="str">
        <f t="shared" si="726"/>
        <v>00</v>
      </c>
      <c r="AB2439" t="str">
        <f t="shared" si="727"/>
        <v>00</v>
      </c>
      <c r="AC2439" t="str">
        <f t="shared" si="728"/>
        <v>0P0</v>
      </c>
      <c r="AD2439" t="str">
        <f t="shared" si="729"/>
        <v>P00</v>
      </c>
      <c r="AE2439" t="str">
        <f t="shared" si="730"/>
        <v>0P0</v>
      </c>
      <c r="AF2439" t="str">
        <f t="shared" si="731"/>
        <v>P00</v>
      </c>
      <c r="AG2439" t="str">
        <f t="shared" si="737"/>
        <v>0P00</v>
      </c>
      <c r="AH2439" t="str">
        <f t="shared" si="738"/>
        <v>P000</v>
      </c>
      <c r="AI2439" t="str">
        <f t="shared" si="739"/>
        <v>0P00</v>
      </c>
      <c r="AJ2439" t="str">
        <f t="shared" si="740"/>
        <v>P000</v>
      </c>
    </row>
    <row r="2440" spans="1:36" x14ac:dyDescent="0.25">
      <c r="A2440" s="325" t="str">
        <f>CONCATENATE("P",'906MP'!M2140)</f>
        <v>P</v>
      </c>
      <c r="B2440">
        <f>'906MP'!H2140</f>
        <v>0</v>
      </c>
      <c r="C2440">
        <f>'906MP'!J2140</f>
        <v>0</v>
      </c>
      <c r="D2440">
        <f>'906MP'!P2140</f>
        <v>0</v>
      </c>
      <c r="E2440">
        <f>'906MP'!X2140</f>
        <v>0</v>
      </c>
      <c r="F2440" t="str">
        <f t="shared" si="732"/>
        <v>0</v>
      </c>
      <c r="G2440" t="str">
        <f t="shared" si="733"/>
        <v>0</v>
      </c>
      <c r="H2440">
        <f>'906MP'!Y2140</f>
        <v>0</v>
      </c>
      <c r="I2440">
        <f>'906MP'!AK2140</f>
        <v>0</v>
      </c>
      <c r="J2440">
        <f>'906MP'!T2140</f>
        <v>0</v>
      </c>
      <c r="K2440">
        <f>'906MP'!AJ2140</f>
        <v>0</v>
      </c>
      <c r="L2440">
        <f>'906MP'!U2140</f>
        <v>0</v>
      </c>
      <c r="M2440" s="322" t="str">
        <f>IFERROR(VLOOKUP(A2440,PAR!$D$3:$E$53,2,FALSE),"nincs szervezet")</f>
        <v>nincs szervezet</v>
      </c>
      <c r="N2440" s="322" t="str">
        <f>VLOOKUP(F2440,PAR!$R$3:$S$5,2,FALSE)</f>
        <v>3 - egyik sem</v>
      </c>
      <c r="O2440" t="str">
        <f>IFERROR(VLOOKUP(J2440,PAR!$O$3:$P$5,2,FALSE),"nincs feladat")</f>
        <v>nincs feladat</v>
      </c>
      <c r="P2440" t="str">
        <f>IFERROR(VLOOKUP(G2440,PAR!$J$2:$M$19,4),"nincs rovat")</f>
        <v>nincs rovat</v>
      </c>
      <c r="Q2440" t="str">
        <f>IF(H2440&gt;0,VLOOKUP(H2440,PAR!$AA$3:$AC$187,3,FALSE),"nincs főkönyvi számla")</f>
        <v>nincs főkönyvi számla</v>
      </c>
      <c r="R2440" t="str">
        <f>IFERROR(VLOOKUP(K2440,PAR!$V$3:$X$438,3,FALSE),"000000 - Nincs COFOG")</f>
        <v>000000 - Nincs COFOG</v>
      </c>
      <c r="S2440">
        <f t="shared" si="734"/>
        <v>0</v>
      </c>
      <c r="T2440">
        <f t="shared" si="735"/>
        <v>0</v>
      </c>
      <c r="U2440" t="str">
        <f>IF('906MP'!J2140&gt;0,CONCATENATE('906MP'!J2140," - ",'906MP'!P2140,", ",'906MP'!E2140),"nincs megjegyzés")</f>
        <v>nincs megjegyzés</v>
      </c>
      <c r="V2440" t="str">
        <f t="shared" si="722"/>
        <v>0P0</v>
      </c>
      <c r="W2440" t="str">
        <f t="shared" si="723"/>
        <v>0P0</v>
      </c>
      <c r="X2440" t="str">
        <f t="shared" si="724"/>
        <v>P0</v>
      </c>
      <c r="Y2440" t="str">
        <f t="shared" si="725"/>
        <v>00</v>
      </c>
      <c r="Z2440" t="str">
        <f t="shared" si="736"/>
        <v>00</v>
      </c>
      <c r="AA2440" t="str">
        <f t="shared" si="726"/>
        <v>00</v>
      </c>
      <c r="AB2440" t="str">
        <f t="shared" si="727"/>
        <v>00</v>
      </c>
      <c r="AC2440" t="str">
        <f t="shared" si="728"/>
        <v>0P0</v>
      </c>
      <c r="AD2440" t="str">
        <f t="shared" si="729"/>
        <v>P00</v>
      </c>
      <c r="AE2440" t="str">
        <f t="shared" si="730"/>
        <v>0P0</v>
      </c>
      <c r="AF2440" t="str">
        <f t="shared" si="731"/>
        <v>P00</v>
      </c>
      <c r="AG2440" t="str">
        <f t="shared" si="737"/>
        <v>0P00</v>
      </c>
      <c r="AH2440" t="str">
        <f t="shared" si="738"/>
        <v>P000</v>
      </c>
      <c r="AI2440" t="str">
        <f t="shared" si="739"/>
        <v>0P00</v>
      </c>
      <c r="AJ2440" t="str">
        <f t="shared" si="740"/>
        <v>P000</v>
      </c>
    </row>
    <row r="2441" spans="1:36" x14ac:dyDescent="0.25">
      <c r="A2441" s="325" t="str">
        <f>CONCATENATE("P",'906MP'!M2141)</f>
        <v>P</v>
      </c>
      <c r="B2441">
        <f>'906MP'!H2141</f>
        <v>0</v>
      </c>
      <c r="C2441">
        <f>'906MP'!J2141</f>
        <v>0</v>
      </c>
      <c r="D2441">
        <f>'906MP'!P2141</f>
        <v>0</v>
      </c>
      <c r="E2441">
        <f>'906MP'!X2141</f>
        <v>0</v>
      </c>
      <c r="F2441" t="str">
        <f t="shared" si="732"/>
        <v>0</v>
      </c>
      <c r="G2441" t="str">
        <f t="shared" si="733"/>
        <v>0</v>
      </c>
      <c r="H2441">
        <f>'906MP'!Y2141</f>
        <v>0</v>
      </c>
      <c r="I2441">
        <f>'906MP'!AK2141</f>
        <v>0</v>
      </c>
      <c r="J2441">
        <f>'906MP'!T2141</f>
        <v>0</v>
      </c>
      <c r="K2441">
        <f>'906MP'!AJ2141</f>
        <v>0</v>
      </c>
      <c r="L2441">
        <f>'906MP'!U2141</f>
        <v>0</v>
      </c>
      <c r="M2441" s="322" t="str">
        <f>IFERROR(VLOOKUP(A2441,PAR!$D$3:$E$53,2,FALSE),"nincs szervezet")</f>
        <v>nincs szervezet</v>
      </c>
      <c r="N2441" s="322" t="str">
        <f>VLOOKUP(F2441,PAR!$R$3:$S$5,2,FALSE)</f>
        <v>3 - egyik sem</v>
      </c>
      <c r="O2441" t="str">
        <f>IFERROR(VLOOKUP(J2441,PAR!$O$3:$P$5,2,FALSE),"nincs feladat")</f>
        <v>nincs feladat</v>
      </c>
      <c r="P2441" t="str">
        <f>IFERROR(VLOOKUP(G2441,PAR!$J$2:$M$19,4),"nincs rovat")</f>
        <v>nincs rovat</v>
      </c>
      <c r="Q2441" t="str">
        <f>IF(H2441&gt;0,VLOOKUP(H2441,PAR!$AA$3:$AC$187,3,FALSE),"nincs főkönyvi számla")</f>
        <v>nincs főkönyvi számla</v>
      </c>
      <c r="R2441" t="str">
        <f>IFERROR(VLOOKUP(K2441,PAR!$V$3:$X$438,3,FALSE),"000000 - Nincs COFOG")</f>
        <v>000000 - Nincs COFOG</v>
      </c>
      <c r="S2441">
        <f t="shared" si="734"/>
        <v>0</v>
      </c>
      <c r="T2441">
        <f t="shared" si="735"/>
        <v>0</v>
      </c>
      <c r="U2441" t="str">
        <f>IF('906MP'!J2141&gt;0,CONCATENATE('906MP'!J2141," - ",'906MP'!P2141,", ",'906MP'!E2141),"nincs megjegyzés")</f>
        <v>nincs megjegyzés</v>
      </c>
      <c r="V2441" t="str">
        <f t="shared" si="722"/>
        <v>0P0</v>
      </c>
      <c r="W2441" t="str">
        <f t="shared" si="723"/>
        <v>0P0</v>
      </c>
      <c r="X2441" t="str">
        <f t="shared" si="724"/>
        <v>P0</v>
      </c>
      <c r="Y2441" t="str">
        <f t="shared" si="725"/>
        <v>00</v>
      </c>
      <c r="Z2441" t="str">
        <f t="shared" si="736"/>
        <v>00</v>
      </c>
      <c r="AA2441" t="str">
        <f t="shared" si="726"/>
        <v>00</v>
      </c>
      <c r="AB2441" t="str">
        <f t="shared" si="727"/>
        <v>00</v>
      </c>
      <c r="AC2441" t="str">
        <f t="shared" si="728"/>
        <v>0P0</v>
      </c>
      <c r="AD2441" t="str">
        <f t="shared" si="729"/>
        <v>P00</v>
      </c>
      <c r="AE2441" t="str">
        <f t="shared" si="730"/>
        <v>0P0</v>
      </c>
      <c r="AF2441" t="str">
        <f t="shared" si="731"/>
        <v>P00</v>
      </c>
      <c r="AG2441" t="str">
        <f t="shared" si="737"/>
        <v>0P00</v>
      </c>
      <c r="AH2441" t="str">
        <f t="shared" si="738"/>
        <v>P000</v>
      </c>
      <c r="AI2441" t="str">
        <f t="shared" si="739"/>
        <v>0P00</v>
      </c>
      <c r="AJ2441" t="str">
        <f t="shared" si="740"/>
        <v>P000</v>
      </c>
    </row>
    <row r="2442" spans="1:36" x14ac:dyDescent="0.25">
      <c r="A2442" s="325" t="str">
        <f>CONCATENATE("P",'906MP'!M2142)</f>
        <v>P</v>
      </c>
      <c r="B2442">
        <f>'906MP'!H2142</f>
        <v>0</v>
      </c>
      <c r="C2442">
        <f>'906MP'!J2142</f>
        <v>0</v>
      </c>
      <c r="D2442">
        <f>'906MP'!P2142</f>
        <v>0</v>
      </c>
      <c r="E2442">
        <f>'906MP'!X2142</f>
        <v>0</v>
      </c>
      <c r="F2442" t="str">
        <f t="shared" si="732"/>
        <v>0</v>
      </c>
      <c r="G2442" t="str">
        <f t="shared" si="733"/>
        <v>0</v>
      </c>
      <c r="H2442">
        <f>'906MP'!Y2142</f>
        <v>0</v>
      </c>
      <c r="I2442">
        <f>'906MP'!AK2142</f>
        <v>0</v>
      </c>
      <c r="J2442">
        <f>'906MP'!T2142</f>
        <v>0</v>
      </c>
      <c r="K2442">
        <f>'906MP'!AJ2142</f>
        <v>0</v>
      </c>
      <c r="L2442">
        <f>'906MP'!U2142</f>
        <v>0</v>
      </c>
      <c r="M2442" s="322" t="str">
        <f>IFERROR(VLOOKUP(A2442,PAR!$D$3:$E$53,2,FALSE),"nincs szervezet")</f>
        <v>nincs szervezet</v>
      </c>
      <c r="N2442" s="322" t="str">
        <f>VLOOKUP(F2442,PAR!$R$3:$S$5,2,FALSE)</f>
        <v>3 - egyik sem</v>
      </c>
      <c r="O2442" t="str">
        <f>IFERROR(VLOOKUP(J2442,PAR!$O$3:$P$5,2,FALSE),"nincs feladat")</f>
        <v>nincs feladat</v>
      </c>
      <c r="P2442" t="str">
        <f>IFERROR(VLOOKUP(G2442,PAR!$J$2:$M$19,4),"nincs rovat")</f>
        <v>nincs rovat</v>
      </c>
      <c r="Q2442" t="str">
        <f>IF(H2442&gt;0,VLOOKUP(H2442,PAR!$AA$3:$AC$187,3,FALSE),"nincs főkönyvi számla")</f>
        <v>nincs főkönyvi számla</v>
      </c>
      <c r="R2442" t="str">
        <f>IFERROR(VLOOKUP(K2442,PAR!$V$3:$X$438,3,FALSE),"000000 - Nincs COFOG")</f>
        <v>000000 - Nincs COFOG</v>
      </c>
      <c r="S2442">
        <f t="shared" si="734"/>
        <v>0</v>
      </c>
      <c r="T2442">
        <f t="shared" si="735"/>
        <v>0</v>
      </c>
      <c r="U2442" t="str">
        <f>IF('906MP'!J2142&gt;0,CONCATENATE('906MP'!J2142," - ",'906MP'!P2142,", ",'906MP'!E2142),"nincs megjegyzés")</f>
        <v>nincs megjegyzés</v>
      </c>
      <c r="V2442" t="str">
        <f t="shared" si="722"/>
        <v>0P0</v>
      </c>
      <c r="W2442" t="str">
        <f t="shared" si="723"/>
        <v>0P0</v>
      </c>
      <c r="X2442" t="str">
        <f t="shared" si="724"/>
        <v>P0</v>
      </c>
      <c r="Y2442" t="str">
        <f t="shared" si="725"/>
        <v>00</v>
      </c>
      <c r="Z2442" t="str">
        <f t="shared" si="736"/>
        <v>00</v>
      </c>
      <c r="AA2442" t="str">
        <f t="shared" si="726"/>
        <v>00</v>
      </c>
      <c r="AB2442" t="str">
        <f t="shared" si="727"/>
        <v>00</v>
      </c>
      <c r="AC2442" t="str">
        <f t="shared" si="728"/>
        <v>0P0</v>
      </c>
      <c r="AD2442" t="str">
        <f t="shared" si="729"/>
        <v>P00</v>
      </c>
      <c r="AE2442" t="str">
        <f t="shared" si="730"/>
        <v>0P0</v>
      </c>
      <c r="AF2442" t="str">
        <f t="shared" si="731"/>
        <v>P00</v>
      </c>
      <c r="AG2442" t="str">
        <f t="shared" si="737"/>
        <v>0P00</v>
      </c>
      <c r="AH2442" t="str">
        <f t="shared" si="738"/>
        <v>P000</v>
      </c>
      <c r="AI2442" t="str">
        <f t="shared" si="739"/>
        <v>0P00</v>
      </c>
      <c r="AJ2442" t="str">
        <f t="shared" si="740"/>
        <v>P000</v>
      </c>
    </row>
    <row r="2443" spans="1:36" x14ac:dyDescent="0.25">
      <c r="A2443" s="325" t="str">
        <f>CONCATENATE("P",'906MP'!M2143)</f>
        <v>P</v>
      </c>
      <c r="B2443">
        <f>'906MP'!H2143</f>
        <v>0</v>
      </c>
      <c r="C2443">
        <f>'906MP'!J2143</f>
        <v>0</v>
      </c>
      <c r="D2443">
        <f>'906MP'!P2143</f>
        <v>0</v>
      </c>
      <c r="E2443">
        <f>'906MP'!X2143</f>
        <v>0</v>
      </c>
      <c r="F2443" t="str">
        <f t="shared" si="732"/>
        <v>0</v>
      </c>
      <c r="G2443" t="str">
        <f t="shared" si="733"/>
        <v>0</v>
      </c>
      <c r="H2443">
        <f>'906MP'!Y2143</f>
        <v>0</v>
      </c>
      <c r="I2443">
        <f>'906MP'!AK2143</f>
        <v>0</v>
      </c>
      <c r="J2443">
        <f>'906MP'!T2143</f>
        <v>0</v>
      </c>
      <c r="K2443">
        <f>'906MP'!AJ2143</f>
        <v>0</v>
      </c>
      <c r="L2443">
        <f>'906MP'!U2143</f>
        <v>0</v>
      </c>
      <c r="M2443" s="322" t="str">
        <f>IFERROR(VLOOKUP(A2443,PAR!$D$3:$E$53,2,FALSE),"nincs szervezet")</f>
        <v>nincs szervezet</v>
      </c>
      <c r="N2443" s="322" t="str">
        <f>VLOOKUP(F2443,PAR!$R$3:$S$5,2,FALSE)</f>
        <v>3 - egyik sem</v>
      </c>
      <c r="O2443" t="str">
        <f>IFERROR(VLOOKUP(J2443,PAR!$O$3:$P$5,2,FALSE),"nincs feladat")</f>
        <v>nincs feladat</v>
      </c>
      <c r="P2443" t="str">
        <f>IFERROR(VLOOKUP(G2443,PAR!$J$2:$M$19,4),"nincs rovat")</f>
        <v>nincs rovat</v>
      </c>
      <c r="Q2443" t="str">
        <f>IF(H2443&gt;0,VLOOKUP(H2443,PAR!$AA$3:$AC$187,3,FALSE),"nincs főkönyvi számla")</f>
        <v>nincs főkönyvi számla</v>
      </c>
      <c r="R2443" t="str">
        <f>IFERROR(VLOOKUP(K2443,PAR!$V$3:$X$438,3,FALSE),"000000 - Nincs COFOG")</f>
        <v>000000 - Nincs COFOG</v>
      </c>
      <c r="S2443">
        <f t="shared" si="734"/>
        <v>0</v>
      </c>
      <c r="T2443">
        <f t="shared" si="735"/>
        <v>0</v>
      </c>
      <c r="U2443" t="str">
        <f>IF('906MP'!J2143&gt;0,CONCATENATE('906MP'!J2143," - ",'906MP'!P2143,", ",'906MP'!E2143),"nincs megjegyzés")</f>
        <v>nincs megjegyzés</v>
      </c>
      <c r="V2443" t="str">
        <f t="shared" si="722"/>
        <v>0P0</v>
      </c>
      <c r="W2443" t="str">
        <f t="shared" si="723"/>
        <v>0P0</v>
      </c>
      <c r="X2443" t="str">
        <f t="shared" si="724"/>
        <v>P0</v>
      </c>
      <c r="Y2443" t="str">
        <f t="shared" si="725"/>
        <v>00</v>
      </c>
      <c r="Z2443" t="str">
        <f t="shared" si="736"/>
        <v>00</v>
      </c>
      <c r="AA2443" t="str">
        <f t="shared" si="726"/>
        <v>00</v>
      </c>
      <c r="AB2443" t="str">
        <f t="shared" si="727"/>
        <v>00</v>
      </c>
      <c r="AC2443" t="str">
        <f t="shared" si="728"/>
        <v>0P0</v>
      </c>
      <c r="AD2443" t="str">
        <f t="shared" si="729"/>
        <v>P00</v>
      </c>
      <c r="AE2443" t="str">
        <f t="shared" si="730"/>
        <v>0P0</v>
      </c>
      <c r="AF2443" t="str">
        <f t="shared" si="731"/>
        <v>P00</v>
      </c>
      <c r="AG2443" t="str">
        <f t="shared" si="737"/>
        <v>0P00</v>
      </c>
      <c r="AH2443" t="str">
        <f t="shared" si="738"/>
        <v>P000</v>
      </c>
      <c r="AI2443" t="str">
        <f t="shared" si="739"/>
        <v>0P00</v>
      </c>
      <c r="AJ2443" t="str">
        <f t="shared" si="740"/>
        <v>P000</v>
      </c>
    </row>
    <row r="2444" spans="1:36" x14ac:dyDescent="0.25">
      <c r="A2444" s="325" t="str">
        <f>CONCATENATE("P",'906MP'!M2144)</f>
        <v>P</v>
      </c>
      <c r="B2444">
        <f>'906MP'!H2144</f>
        <v>0</v>
      </c>
      <c r="C2444">
        <f>'906MP'!J2144</f>
        <v>0</v>
      </c>
      <c r="D2444">
        <f>'906MP'!P2144</f>
        <v>0</v>
      </c>
      <c r="E2444">
        <f>'906MP'!X2144</f>
        <v>0</v>
      </c>
      <c r="F2444" t="str">
        <f t="shared" si="732"/>
        <v>0</v>
      </c>
      <c r="G2444" t="str">
        <f t="shared" si="733"/>
        <v>0</v>
      </c>
      <c r="H2444">
        <f>'906MP'!Y2144</f>
        <v>0</v>
      </c>
      <c r="I2444">
        <f>'906MP'!AK2144</f>
        <v>0</v>
      </c>
      <c r="J2444">
        <f>'906MP'!T2144</f>
        <v>0</v>
      </c>
      <c r="K2444">
        <f>'906MP'!AJ2144</f>
        <v>0</v>
      </c>
      <c r="L2444">
        <f>'906MP'!U2144</f>
        <v>0</v>
      </c>
      <c r="M2444" s="322" t="str">
        <f>IFERROR(VLOOKUP(A2444,PAR!$D$3:$E$53,2,FALSE),"nincs szervezet")</f>
        <v>nincs szervezet</v>
      </c>
      <c r="N2444" s="322" t="str">
        <f>VLOOKUP(F2444,PAR!$R$3:$S$5,2,FALSE)</f>
        <v>3 - egyik sem</v>
      </c>
      <c r="O2444" t="str">
        <f>IFERROR(VLOOKUP(J2444,PAR!$O$3:$P$5,2,FALSE),"nincs feladat")</f>
        <v>nincs feladat</v>
      </c>
      <c r="P2444" t="str">
        <f>IFERROR(VLOOKUP(G2444,PAR!$J$2:$M$19,4),"nincs rovat")</f>
        <v>nincs rovat</v>
      </c>
      <c r="Q2444" t="str">
        <f>IF(H2444&gt;0,VLOOKUP(H2444,PAR!$AA$3:$AC$187,3,FALSE),"nincs főkönyvi számla")</f>
        <v>nincs főkönyvi számla</v>
      </c>
      <c r="R2444" t="str">
        <f>IFERROR(VLOOKUP(K2444,PAR!$V$3:$X$438,3,FALSE),"000000 - Nincs COFOG")</f>
        <v>000000 - Nincs COFOG</v>
      </c>
      <c r="S2444">
        <f t="shared" si="734"/>
        <v>0</v>
      </c>
      <c r="T2444">
        <f t="shared" si="735"/>
        <v>0</v>
      </c>
      <c r="U2444" t="str">
        <f>IF('906MP'!J2144&gt;0,CONCATENATE('906MP'!J2144," - ",'906MP'!P2144,", ",'906MP'!E2144),"nincs megjegyzés")</f>
        <v>nincs megjegyzés</v>
      </c>
      <c r="V2444" t="str">
        <f t="shared" si="722"/>
        <v>0P0</v>
      </c>
      <c r="W2444" t="str">
        <f t="shared" si="723"/>
        <v>0P0</v>
      </c>
      <c r="X2444" t="str">
        <f t="shared" si="724"/>
        <v>P0</v>
      </c>
      <c r="Y2444" t="str">
        <f t="shared" si="725"/>
        <v>00</v>
      </c>
      <c r="Z2444" t="str">
        <f t="shared" si="736"/>
        <v>00</v>
      </c>
      <c r="AA2444" t="str">
        <f t="shared" si="726"/>
        <v>00</v>
      </c>
      <c r="AB2444" t="str">
        <f t="shared" si="727"/>
        <v>00</v>
      </c>
      <c r="AC2444" t="str">
        <f t="shared" si="728"/>
        <v>0P0</v>
      </c>
      <c r="AD2444" t="str">
        <f t="shared" si="729"/>
        <v>P00</v>
      </c>
      <c r="AE2444" t="str">
        <f t="shared" si="730"/>
        <v>0P0</v>
      </c>
      <c r="AF2444" t="str">
        <f t="shared" si="731"/>
        <v>P00</v>
      </c>
      <c r="AG2444" t="str">
        <f t="shared" si="737"/>
        <v>0P00</v>
      </c>
      <c r="AH2444" t="str">
        <f t="shared" si="738"/>
        <v>P000</v>
      </c>
      <c r="AI2444" t="str">
        <f t="shared" si="739"/>
        <v>0P00</v>
      </c>
      <c r="AJ2444" t="str">
        <f t="shared" si="740"/>
        <v>P000</v>
      </c>
    </row>
    <row r="2445" spans="1:36" x14ac:dyDescent="0.25">
      <c r="A2445" s="325" t="str">
        <f>CONCATENATE("P",'906MP'!M2145)</f>
        <v>P</v>
      </c>
      <c r="B2445">
        <f>'906MP'!H2145</f>
        <v>0</v>
      </c>
      <c r="C2445">
        <f>'906MP'!J2145</f>
        <v>0</v>
      </c>
      <c r="D2445">
        <f>'906MP'!P2145</f>
        <v>0</v>
      </c>
      <c r="E2445">
        <f>'906MP'!X2145</f>
        <v>0</v>
      </c>
      <c r="F2445" t="str">
        <f t="shared" si="732"/>
        <v>0</v>
      </c>
      <c r="G2445" t="str">
        <f t="shared" si="733"/>
        <v>0</v>
      </c>
      <c r="H2445">
        <f>'906MP'!Y2145</f>
        <v>0</v>
      </c>
      <c r="I2445">
        <f>'906MP'!AK2145</f>
        <v>0</v>
      </c>
      <c r="J2445">
        <f>'906MP'!T2145</f>
        <v>0</v>
      </c>
      <c r="K2445">
        <f>'906MP'!AJ2145</f>
        <v>0</v>
      </c>
      <c r="L2445">
        <f>'906MP'!U2145</f>
        <v>0</v>
      </c>
      <c r="M2445" s="322" t="str">
        <f>IFERROR(VLOOKUP(A2445,PAR!$D$3:$E$53,2,FALSE),"nincs szervezet")</f>
        <v>nincs szervezet</v>
      </c>
      <c r="N2445" s="322" t="str">
        <f>VLOOKUP(F2445,PAR!$R$3:$S$5,2,FALSE)</f>
        <v>3 - egyik sem</v>
      </c>
      <c r="O2445" t="str">
        <f>IFERROR(VLOOKUP(J2445,PAR!$O$3:$P$5,2,FALSE),"nincs feladat")</f>
        <v>nincs feladat</v>
      </c>
      <c r="P2445" t="str">
        <f>IFERROR(VLOOKUP(G2445,PAR!$J$2:$M$19,4),"nincs rovat")</f>
        <v>nincs rovat</v>
      </c>
      <c r="Q2445" t="str">
        <f>IF(H2445&gt;0,VLOOKUP(H2445,PAR!$AA$3:$AC$187,3,FALSE),"nincs főkönyvi számla")</f>
        <v>nincs főkönyvi számla</v>
      </c>
      <c r="R2445" t="str">
        <f>IFERROR(VLOOKUP(K2445,PAR!$V$3:$X$438,3,FALSE),"000000 - Nincs COFOG")</f>
        <v>000000 - Nincs COFOG</v>
      </c>
      <c r="S2445">
        <f t="shared" si="734"/>
        <v>0</v>
      </c>
      <c r="T2445">
        <f t="shared" si="735"/>
        <v>0</v>
      </c>
      <c r="U2445" t="str">
        <f>IF('906MP'!J2145&gt;0,CONCATENATE('906MP'!J2145," - ",'906MP'!P2145,", ",'906MP'!E2145),"nincs megjegyzés")</f>
        <v>nincs megjegyzés</v>
      </c>
      <c r="V2445" t="str">
        <f t="shared" si="722"/>
        <v>0P0</v>
      </c>
      <c r="W2445" t="str">
        <f t="shared" si="723"/>
        <v>0P0</v>
      </c>
      <c r="X2445" t="str">
        <f t="shared" si="724"/>
        <v>P0</v>
      </c>
      <c r="Y2445" t="str">
        <f t="shared" si="725"/>
        <v>00</v>
      </c>
      <c r="Z2445" t="str">
        <f t="shared" si="736"/>
        <v>00</v>
      </c>
      <c r="AA2445" t="str">
        <f t="shared" si="726"/>
        <v>00</v>
      </c>
      <c r="AB2445" t="str">
        <f t="shared" si="727"/>
        <v>00</v>
      </c>
      <c r="AC2445" t="str">
        <f t="shared" si="728"/>
        <v>0P0</v>
      </c>
      <c r="AD2445" t="str">
        <f t="shared" si="729"/>
        <v>P00</v>
      </c>
      <c r="AE2445" t="str">
        <f t="shared" si="730"/>
        <v>0P0</v>
      </c>
      <c r="AF2445" t="str">
        <f t="shared" si="731"/>
        <v>P00</v>
      </c>
      <c r="AG2445" t="str">
        <f t="shared" si="737"/>
        <v>0P00</v>
      </c>
      <c r="AH2445" t="str">
        <f t="shared" si="738"/>
        <v>P000</v>
      </c>
      <c r="AI2445" t="str">
        <f t="shared" si="739"/>
        <v>0P00</v>
      </c>
      <c r="AJ2445" t="str">
        <f t="shared" si="740"/>
        <v>P000</v>
      </c>
    </row>
    <row r="2446" spans="1:36" x14ac:dyDescent="0.25">
      <c r="A2446" s="325" t="str">
        <f>CONCATENATE("P",'906MP'!M2146)</f>
        <v>P</v>
      </c>
      <c r="B2446">
        <f>'906MP'!H2146</f>
        <v>0</v>
      </c>
      <c r="C2446">
        <f>'906MP'!J2146</f>
        <v>0</v>
      </c>
      <c r="D2446">
        <f>'906MP'!P2146</f>
        <v>0</v>
      </c>
      <c r="E2446">
        <f>'906MP'!X2146</f>
        <v>0</v>
      </c>
      <c r="F2446" t="str">
        <f t="shared" si="732"/>
        <v>0</v>
      </c>
      <c r="G2446" t="str">
        <f t="shared" si="733"/>
        <v>0</v>
      </c>
      <c r="H2446">
        <f>'906MP'!Y2146</f>
        <v>0</v>
      </c>
      <c r="I2446">
        <f>'906MP'!AK2146</f>
        <v>0</v>
      </c>
      <c r="J2446">
        <f>'906MP'!T2146</f>
        <v>0</v>
      </c>
      <c r="K2446">
        <f>'906MP'!AJ2146</f>
        <v>0</v>
      </c>
      <c r="L2446">
        <f>'906MP'!U2146</f>
        <v>0</v>
      </c>
      <c r="M2446" s="322" t="str">
        <f>IFERROR(VLOOKUP(A2446,PAR!$D$3:$E$53,2,FALSE),"nincs szervezet")</f>
        <v>nincs szervezet</v>
      </c>
      <c r="N2446" s="322" t="str">
        <f>VLOOKUP(F2446,PAR!$R$3:$S$5,2,FALSE)</f>
        <v>3 - egyik sem</v>
      </c>
      <c r="O2446" t="str">
        <f>IFERROR(VLOOKUP(J2446,PAR!$O$3:$P$5,2,FALSE),"nincs feladat")</f>
        <v>nincs feladat</v>
      </c>
      <c r="P2446" t="str">
        <f>IFERROR(VLOOKUP(G2446,PAR!$J$2:$M$19,4),"nincs rovat")</f>
        <v>nincs rovat</v>
      </c>
      <c r="Q2446" t="str">
        <f>IF(H2446&gt;0,VLOOKUP(H2446,PAR!$AA$3:$AC$187,3,FALSE),"nincs főkönyvi számla")</f>
        <v>nincs főkönyvi számla</v>
      </c>
      <c r="R2446" t="str">
        <f>IFERROR(VLOOKUP(K2446,PAR!$V$3:$X$438,3,FALSE),"000000 - Nincs COFOG")</f>
        <v>000000 - Nincs COFOG</v>
      </c>
      <c r="S2446">
        <f t="shared" si="734"/>
        <v>0</v>
      </c>
      <c r="T2446">
        <f t="shared" si="735"/>
        <v>0</v>
      </c>
      <c r="U2446" t="str">
        <f>IF('906MP'!J2146&gt;0,CONCATENATE('906MP'!J2146," - ",'906MP'!P2146,", ",'906MP'!E2146),"nincs megjegyzés")</f>
        <v>nincs megjegyzés</v>
      </c>
      <c r="V2446" t="str">
        <f t="shared" si="722"/>
        <v>0P0</v>
      </c>
      <c r="W2446" t="str">
        <f t="shared" si="723"/>
        <v>0P0</v>
      </c>
      <c r="X2446" t="str">
        <f t="shared" si="724"/>
        <v>P0</v>
      </c>
      <c r="Y2446" t="str">
        <f t="shared" si="725"/>
        <v>00</v>
      </c>
      <c r="Z2446" t="str">
        <f t="shared" si="736"/>
        <v>00</v>
      </c>
      <c r="AA2446" t="str">
        <f t="shared" si="726"/>
        <v>00</v>
      </c>
      <c r="AB2446" t="str">
        <f t="shared" si="727"/>
        <v>00</v>
      </c>
      <c r="AC2446" t="str">
        <f t="shared" si="728"/>
        <v>0P0</v>
      </c>
      <c r="AD2446" t="str">
        <f t="shared" si="729"/>
        <v>P00</v>
      </c>
      <c r="AE2446" t="str">
        <f t="shared" si="730"/>
        <v>0P0</v>
      </c>
      <c r="AF2446" t="str">
        <f t="shared" si="731"/>
        <v>P00</v>
      </c>
      <c r="AG2446" t="str">
        <f t="shared" si="737"/>
        <v>0P00</v>
      </c>
      <c r="AH2446" t="str">
        <f t="shared" si="738"/>
        <v>P000</v>
      </c>
      <c r="AI2446" t="str">
        <f t="shared" si="739"/>
        <v>0P00</v>
      </c>
      <c r="AJ2446" t="str">
        <f t="shared" si="740"/>
        <v>P000</v>
      </c>
    </row>
    <row r="2447" spans="1:36" x14ac:dyDescent="0.25">
      <c r="A2447" s="325" t="str">
        <f>CONCATENATE("P",'906MP'!M2147)</f>
        <v>P</v>
      </c>
      <c r="B2447">
        <f>'906MP'!H2147</f>
        <v>0</v>
      </c>
      <c r="C2447">
        <f>'906MP'!J2147</f>
        <v>0</v>
      </c>
      <c r="D2447">
        <f>'906MP'!P2147</f>
        <v>0</v>
      </c>
      <c r="E2447">
        <f>'906MP'!X2147</f>
        <v>0</v>
      </c>
      <c r="F2447" t="str">
        <f t="shared" si="732"/>
        <v>0</v>
      </c>
      <c r="G2447" t="str">
        <f t="shared" si="733"/>
        <v>0</v>
      </c>
      <c r="H2447">
        <f>'906MP'!Y2147</f>
        <v>0</v>
      </c>
      <c r="I2447">
        <f>'906MP'!AK2147</f>
        <v>0</v>
      </c>
      <c r="J2447">
        <f>'906MP'!T2147</f>
        <v>0</v>
      </c>
      <c r="K2447">
        <f>'906MP'!AJ2147</f>
        <v>0</v>
      </c>
      <c r="L2447">
        <f>'906MP'!U2147</f>
        <v>0</v>
      </c>
      <c r="M2447" s="322" t="str">
        <f>IFERROR(VLOOKUP(A2447,PAR!$D$3:$E$53,2,FALSE),"nincs szervezet")</f>
        <v>nincs szervezet</v>
      </c>
      <c r="N2447" s="322" t="str">
        <f>VLOOKUP(F2447,PAR!$R$3:$S$5,2,FALSE)</f>
        <v>3 - egyik sem</v>
      </c>
      <c r="O2447" t="str">
        <f>IFERROR(VLOOKUP(J2447,PAR!$O$3:$P$5,2,FALSE),"nincs feladat")</f>
        <v>nincs feladat</v>
      </c>
      <c r="P2447" t="str">
        <f>IFERROR(VLOOKUP(G2447,PAR!$J$2:$M$19,4),"nincs rovat")</f>
        <v>nincs rovat</v>
      </c>
      <c r="Q2447" t="str">
        <f>IF(H2447&gt;0,VLOOKUP(H2447,PAR!$AA$3:$AC$187,3,FALSE),"nincs főkönyvi számla")</f>
        <v>nincs főkönyvi számla</v>
      </c>
      <c r="R2447" t="str">
        <f>IFERROR(VLOOKUP(K2447,PAR!$V$3:$X$438,3,FALSE),"000000 - Nincs COFOG")</f>
        <v>000000 - Nincs COFOG</v>
      </c>
      <c r="S2447">
        <f t="shared" si="734"/>
        <v>0</v>
      </c>
      <c r="T2447">
        <f t="shared" si="735"/>
        <v>0</v>
      </c>
      <c r="U2447" t="str">
        <f>IF('906MP'!J2147&gt;0,CONCATENATE('906MP'!J2147," - ",'906MP'!P2147,", ",'906MP'!E2147),"nincs megjegyzés")</f>
        <v>nincs megjegyzés</v>
      </c>
      <c r="V2447" t="str">
        <f t="shared" si="722"/>
        <v>0P0</v>
      </c>
      <c r="W2447" t="str">
        <f t="shared" si="723"/>
        <v>0P0</v>
      </c>
      <c r="X2447" t="str">
        <f t="shared" si="724"/>
        <v>P0</v>
      </c>
      <c r="Y2447" t="str">
        <f t="shared" si="725"/>
        <v>00</v>
      </c>
      <c r="Z2447" t="str">
        <f t="shared" si="736"/>
        <v>00</v>
      </c>
      <c r="AA2447" t="str">
        <f t="shared" si="726"/>
        <v>00</v>
      </c>
      <c r="AB2447" t="str">
        <f t="shared" si="727"/>
        <v>00</v>
      </c>
      <c r="AC2447" t="str">
        <f t="shared" si="728"/>
        <v>0P0</v>
      </c>
      <c r="AD2447" t="str">
        <f t="shared" si="729"/>
        <v>P00</v>
      </c>
      <c r="AE2447" t="str">
        <f t="shared" si="730"/>
        <v>0P0</v>
      </c>
      <c r="AF2447" t="str">
        <f t="shared" si="731"/>
        <v>P00</v>
      </c>
      <c r="AG2447" t="str">
        <f t="shared" si="737"/>
        <v>0P00</v>
      </c>
      <c r="AH2447" t="str">
        <f t="shared" si="738"/>
        <v>P000</v>
      </c>
      <c r="AI2447" t="str">
        <f t="shared" si="739"/>
        <v>0P00</v>
      </c>
      <c r="AJ2447" t="str">
        <f t="shared" si="740"/>
        <v>P000</v>
      </c>
    </row>
    <row r="2448" spans="1:36" x14ac:dyDescent="0.25">
      <c r="A2448" s="325" t="str">
        <f>CONCATENATE("P",'906MP'!M2148)</f>
        <v>P</v>
      </c>
      <c r="B2448">
        <f>'906MP'!H2148</f>
        <v>0</v>
      </c>
      <c r="C2448">
        <f>'906MP'!J2148</f>
        <v>0</v>
      </c>
      <c r="D2448">
        <f>'906MP'!P2148</f>
        <v>0</v>
      </c>
      <c r="E2448">
        <f>'906MP'!X2148</f>
        <v>0</v>
      </c>
      <c r="F2448" t="str">
        <f t="shared" si="732"/>
        <v>0</v>
      </c>
      <c r="G2448" t="str">
        <f t="shared" si="733"/>
        <v>0</v>
      </c>
      <c r="H2448">
        <f>'906MP'!Y2148</f>
        <v>0</v>
      </c>
      <c r="I2448">
        <f>'906MP'!AK2148</f>
        <v>0</v>
      </c>
      <c r="J2448">
        <f>'906MP'!T2148</f>
        <v>0</v>
      </c>
      <c r="K2448">
        <f>'906MP'!AJ2148</f>
        <v>0</v>
      </c>
      <c r="L2448">
        <f>'906MP'!U2148</f>
        <v>0</v>
      </c>
      <c r="M2448" s="322" t="str">
        <f>IFERROR(VLOOKUP(A2448,PAR!$D$3:$E$53,2,FALSE),"nincs szervezet")</f>
        <v>nincs szervezet</v>
      </c>
      <c r="N2448" s="322" t="str">
        <f>VLOOKUP(F2448,PAR!$R$3:$S$5,2,FALSE)</f>
        <v>3 - egyik sem</v>
      </c>
      <c r="O2448" t="str">
        <f>IFERROR(VLOOKUP(J2448,PAR!$O$3:$P$5,2,FALSE),"nincs feladat")</f>
        <v>nincs feladat</v>
      </c>
      <c r="P2448" t="str">
        <f>IFERROR(VLOOKUP(G2448,PAR!$J$2:$M$19,4),"nincs rovat")</f>
        <v>nincs rovat</v>
      </c>
      <c r="Q2448" t="str">
        <f>IF(H2448&gt;0,VLOOKUP(H2448,PAR!$AA$3:$AC$187,3,FALSE),"nincs főkönyvi számla")</f>
        <v>nincs főkönyvi számla</v>
      </c>
      <c r="R2448" t="str">
        <f>IFERROR(VLOOKUP(K2448,PAR!$V$3:$X$438,3,FALSE),"000000 - Nincs COFOG")</f>
        <v>000000 - Nincs COFOG</v>
      </c>
      <c r="S2448">
        <f t="shared" si="734"/>
        <v>0</v>
      </c>
      <c r="T2448">
        <f t="shared" si="735"/>
        <v>0</v>
      </c>
      <c r="U2448" t="str">
        <f>IF('906MP'!J2148&gt;0,CONCATENATE('906MP'!J2148," - ",'906MP'!P2148,", ",'906MP'!E2148),"nincs megjegyzés")</f>
        <v>nincs megjegyzés</v>
      </c>
      <c r="V2448" t="str">
        <f t="shared" si="722"/>
        <v>0P0</v>
      </c>
      <c r="W2448" t="str">
        <f t="shared" si="723"/>
        <v>0P0</v>
      </c>
      <c r="X2448" t="str">
        <f t="shared" si="724"/>
        <v>P0</v>
      </c>
      <c r="Y2448" t="str">
        <f t="shared" si="725"/>
        <v>00</v>
      </c>
      <c r="Z2448" t="str">
        <f t="shared" si="736"/>
        <v>00</v>
      </c>
      <c r="AA2448" t="str">
        <f t="shared" si="726"/>
        <v>00</v>
      </c>
      <c r="AB2448" t="str">
        <f t="shared" si="727"/>
        <v>00</v>
      </c>
      <c r="AC2448" t="str">
        <f t="shared" si="728"/>
        <v>0P0</v>
      </c>
      <c r="AD2448" t="str">
        <f t="shared" si="729"/>
        <v>P00</v>
      </c>
      <c r="AE2448" t="str">
        <f t="shared" si="730"/>
        <v>0P0</v>
      </c>
      <c r="AF2448" t="str">
        <f t="shared" si="731"/>
        <v>P00</v>
      </c>
      <c r="AG2448" t="str">
        <f t="shared" si="737"/>
        <v>0P00</v>
      </c>
      <c r="AH2448" t="str">
        <f t="shared" si="738"/>
        <v>P000</v>
      </c>
      <c r="AI2448" t="str">
        <f t="shared" si="739"/>
        <v>0P00</v>
      </c>
      <c r="AJ2448" t="str">
        <f t="shared" si="740"/>
        <v>P000</v>
      </c>
    </row>
    <row r="2449" spans="1:36" x14ac:dyDescent="0.25">
      <c r="A2449" s="325" t="str">
        <f>CONCATENATE("P",'906MP'!M2149)</f>
        <v>P</v>
      </c>
      <c r="B2449">
        <f>'906MP'!H2149</f>
        <v>0</v>
      </c>
      <c r="C2449">
        <f>'906MP'!J2149</f>
        <v>0</v>
      </c>
      <c r="D2449">
        <f>'906MP'!P2149</f>
        <v>0</v>
      </c>
      <c r="E2449">
        <f>'906MP'!X2149</f>
        <v>0</v>
      </c>
      <c r="F2449" t="str">
        <f t="shared" si="732"/>
        <v>0</v>
      </c>
      <c r="G2449" t="str">
        <f t="shared" si="733"/>
        <v>0</v>
      </c>
      <c r="H2449">
        <f>'906MP'!Y2149</f>
        <v>0</v>
      </c>
      <c r="I2449">
        <f>'906MP'!AK2149</f>
        <v>0</v>
      </c>
      <c r="J2449">
        <f>'906MP'!T2149</f>
        <v>0</v>
      </c>
      <c r="K2449">
        <f>'906MP'!AJ2149</f>
        <v>0</v>
      </c>
      <c r="L2449">
        <f>'906MP'!U2149</f>
        <v>0</v>
      </c>
      <c r="M2449" s="322" t="str">
        <f>IFERROR(VLOOKUP(A2449,PAR!$D$3:$E$53,2,FALSE),"nincs szervezet")</f>
        <v>nincs szervezet</v>
      </c>
      <c r="N2449" s="322" t="str">
        <f>VLOOKUP(F2449,PAR!$R$3:$S$5,2,FALSE)</f>
        <v>3 - egyik sem</v>
      </c>
      <c r="O2449" t="str">
        <f>IFERROR(VLOOKUP(J2449,PAR!$O$3:$P$5,2,FALSE),"nincs feladat")</f>
        <v>nincs feladat</v>
      </c>
      <c r="P2449" t="str">
        <f>IFERROR(VLOOKUP(G2449,PAR!$J$2:$M$19,4),"nincs rovat")</f>
        <v>nincs rovat</v>
      </c>
      <c r="Q2449" t="str">
        <f>IF(H2449&gt;0,VLOOKUP(H2449,PAR!$AA$3:$AC$187,3,FALSE),"nincs főkönyvi számla")</f>
        <v>nincs főkönyvi számla</v>
      </c>
      <c r="R2449" t="str">
        <f>IFERROR(VLOOKUP(K2449,PAR!$V$3:$X$438,3,FALSE),"000000 - Nincs COFOG")</f>
        <v>000000 - Nincs COFOG</v>
      </c>
      <c r="S2449">
        <f t="shared" si="734"/>
        <v>0</v>
      </c>
      <c r="T2449">
        <f t="shared" si="735"/>
        <v>0</v>
      </c>
      <c r="U2449" t="str">
        <f>IF('906MP'!J2149&gt;0,CONCATENATE('906MP'!J2149," - ",'906MP'!P2149,", ",'906MP'!E2149),"nincs megjegyzés")</f>
        <v>nincs megjegyzés</v>
      </c>
      <c r="V2449" t="str">
        <f t="shared" si="722"/>
        <v>0P0</v>
      </c>
      <c r="W2449" t="str">
        <f t="shared" si="723"/>
        <v>0P0</v>
      </c>
      <c r="X2449" t="str">
        <f t="shared" si="724"/>
        <v>P0</v>
      </c>
      <c r="Y2449" t="str">
        <f t="shared" si="725"/>
        <v>00</v>
      </c>
      <c r="Z2449" t="str">
        <f t="shared" si="736"/>
        <v>00</v>
      </c>
      <c r="AA2449" t="str">
        <f t="shared" si="726"/>
        <v>00</v>
      </c>
      <c r="AB2449" t="str">
        <f t="shared" si="727"/>
        <v>00</v>
      </c>
      <c r="AC2449" t="str">
        <f t="shared" si="728"/>
        <v>0P0</v>
      </c>
      <c r="AD2449" t="str">
        <f t="shared" si="729"/>
        <v>P00</v>
      </c>
      <c r="AE2449" t="str">
        <f t="shared" si="730"/>
        <v>0P0</v>
      </c>
      <c r="AF2449" t="str">
        <f t="shared" si="731"/>
        <v>P00</v>
      </c>
      <c r="AG2449" t="str">
        <f t="shared" si="737"/>
        <v>0P00</v>
      </c>
      <c r="AH2449" t="str">
        <f t="shared" si="738"/>
        <v>P000</v>
      </c>
      <c r="AI2449" t="str">
        <f t="shared" si="739"/>
        <v>0P00</v>
      </c>
      <c r="AJ2449" t="str">
        <f t="shared" si="740"/>
        <v>P000</v>
      </c>
    </row>
    <row r="2450" spans="1:36" x14ac:dyDescent="0.25">
      <c r="A2450" s="325" t="str">
        <f>CONCATENATE("P",'906MP'!M2150)</f>
        <v>P</v>
      </c>
      <c r="B2450">
        <f>'906MP'!H2150</f>
        <v>0</v>
      </c>
      <c r="C2450">
        <f>'906MP'!J2150</f>
        <v>0</v>
      </c>
      <c r="D2450">
        <f>'906MP'!P2150</f>
        <v>0</v>
      </c>
      <c r="E2450">
        <f>'906MP'!X2150</f>
        <v>0</v>
      </c>
      <c r="F2450" t="str">
        <f t="shared" si="732"/>
        <v>0</v>
      </c>
      <c r="G2450" t="str">
        <f t="shared" si="733"/>
        <v>0</v>
      </c>
      <c r="H2450">
        <f>'906MP'!Y2150</f>
        <v>0</v>
      </c>
      <c r="I2450">
        <f>'906MP'!AK2150</f>
        <v>0</v>
      </c>
      <c r="J2450">
        <f>'906MP'!T2150</f>
        <v>0</v>
      </c>
      <c r="K2450">
        <f>'906MP'!AJ2150</f>
        <v>0</v>
      </c>
      <c r="L2450">
        <f>'906MP'!U2150</f>
        <v>0</v>
      </c>
      <c r="M2450" s="322" t="str">
        <f>IFERROR(VLOOKUP(A2450,PAR!$D$3:$E$53,2,FALSE),"nincs szervezet")</f>
        <v>nincs szervezet</v>
      </c>
      <c r="N2450" s="322" t="str">
        <f>VLOOKUP(F2450,PAR!$R$3:$S$5,2,FALSE)</f>
        <v>3 - egyik sem</v>
      </c>
      <c r="O2450" t="str">
        <f>IFERROR(VLOOKUP(J2450,PAR!$O$3:$P$5,2,FALSE),"nincs feladat")</f>
        <v>nincs feladat</v>
      </c>
      <c r="P2450" t="str">
        <f>IFERROR(VLOOKUP(G2450,PAR!$J$2:$M$19,4),"nincs rovat")</f>
        <v>nincs rovat</v>
      </c>
      <c r="Q2450" t="str">
        <f>IF(H2450&gt;0,VLOOKUP(H2450,PAR!$AA$3:$AC$187,3,FALSE),"nincs főkönyvi számla")</f>
        <v>nincs főkönyvi számla</v>
      </c>
      <c r="R2450" t="str">
        <f>IFERROR(VLOOKUP(K2450,PAR!$V$3:$X$438,3,FALSE),"000000 - Nincs COFOG")</f>
        <v>000000 - Nincs COFOG</v>
      </c>
      <c r="S2450">
        <f t="shared" si="734"/>
        <v>0</v>
      </c>
      <c r="T2450">
        <f t="shared" si="735"/>
        <v>0</v>
      </c>
      <c r="U2450" t="str">
        <f>IF('906MP'!J2150&gt;0,CONCATENATE('906MP'!J2150," - ",'906MP'!P2150,", ",'906MP'!E2150),"nincs megjegyzés")</f>
        <v>nincs megjegyzés</v>
      </c>
      <c r="V2450" t="str">
        <f t="shared" si="722"/>
        <v>0P0</v>
      </c>
      <c r="W2450" t="str">
        <f t="shared" si="723"/>
        <v>0P0</v>
      </c>
      <c r="X2450" t="str">
        <f t="shared" si="724"/>
        <v>P0</v>
      </c>
      <c r="Y2450" t="str">
        <f t="shared" si="725"/>
        <v>00</v>
      </c>
      <c r="Z2450" t="str">
        <f t="shared" si="736"/>
        <v>00</v>
      </c>
      <c r="AA2450" t="str">
        <f t="shared" si="726"/>
        <v>00</v>
      </c>
      <c r="AB2450" t="str">
        <f t="shared" si="727"/>
        <v>00</v>
      </c>
      <c r="AC2450" t="str">
        <f t="shared" si="728"/>
        <v>0P0</v>
      </c>
      <c r="AD2450" t="str">
        <f t="shared" si="729"/>
        <v>P00</v>
      </c>
      <c r="AE2450" t="str">
        <f t="shared" si="730"/>
        <v>0P0</v>
      </c>
      <c r="AF2450" t="str">
        <f t="shared" si="731"/>
        <v>P00</v>
      </c>
      <c r="AG2450" t="str">
        <f t="shared" si="737"/>
        <v>0P00</v>
      </c>
      <c r="AH2450" t="str">
        <f t="shared" si="738"/>
        <v>P000</v>
      </c>
      <c r="AI2450" t="str">
        <f t="shared" si="739"/>
        <v>0P00</v>
      </c>
      <c r="AJ2450" t="str">
        <f t="shared" si="740"/>
        <v>P000</v>
      </c>
    </row>
    <row r="2451" spans="1:36" x14ac:dyDescent="0.25">
      <c r="A2451" s="325" t="str">
        <f>CONCATENATE("P",'906MP'!M2151)</f>
        <v>P</v>
      </c>
      <c r="B2451">
        <f>'906MP'!H2151</f>
        <v>0</v>
      </c>
      <c r="C2451">
        <f>'906MP'!J2151</f>
        <v>0</v>
      </c>
      <c r="D2451">
        <f>'906MP'!P2151</f>
        <v>0</v>
      </c>
      <c r="E2451">
        <f>'906MP'!X2151</f>
        <v>0</v>
      </c>
      <c r="F2451" t="str">
        <f t="shared" si="732"/>
        <v>0</v>
      </c>
      <c r="G2451" t="str">
        <f t="shared" si="733"/>
        <v>0</v>
      </c>
      <c r="H2451">
        <f>'906MP'!Y2151</f>
        <v>0</v>
      </c>
      <c r="I2451">
        <f>'906MP'!AK2151</f>
        <v>0</v>
      </c>
      <c r="J2451">
        <f>'906MP'!T2151</f>
        <v>0</v>
      </c>
      <c r="K2451">
        <f>'906MP'!AJ2151</f>
        <v>0</v>
      </c>
      <c r="L2451">
        <f>'906MP'!U2151</f>
        <v>0</v>
      </c>
      <c r="M2451" s="322" t="str">
        <f>IFERROR(VLOOKUP(A2451,PAR!$D$3:$E$53,2,FALSE),"nincs szervezet")</f>
        <v>nincs szervezet</v>
      </c>
      <c r="N2451" s="322" t="str">
        <f>VLOOKUP(F2451,PAR!$R$3:$S$5,2,FALSE)</f>
        <v>3 - egyik sem</v>
      </c>
      <c r="O2451" t="str">
        <f>IFERROR(VLOOKUP(J2451,PAR!$O$3:$P$5,2,FALSE),"nincs feladat")</f>
        <v>nincs feladat</v>
      </c>
      <c r="P2451" t="str">
        <f>IFERROR(VLOOKUP(G2451,PAR!$J$2:$M$19,4),"nincs rovat")</f>
        <v>nincs rovat</v>
      </c>
      <c r="Q2451" t="str">
        <f>IF(H2451&gt;0,VLOOKUP(H2451,PAR!$AA$3:$AC$187,3,FALSE),"nincs főkönyvi számla")</f>
        <v>nincs főkönyvi számla</v>
      </c>
      <c r="R2451" t="str">
        <f>IFERROR(VLOOKUP(K2451,PAR!$V$3:$X$438,3,FALSE),"000000 - Nincs COFOG")</f>
        <v>000000 - Nincs COFOG</v>
      </c>
      <c r="S2451">
        <f t="shared" si="734"/>
        <v>0</v>
      </c>
      <c r="T2451">
        <f t="shared" si="735"/>
        <v>0</v>
      </c>
      <c r="U2451" t="str">
        <f>IF('906MP'!J2151&gt;0,CONCATENATE('906MP'!J2151," - ",'906MP'!P2151,", ",'906MP'!E2151),"nincs megjegyzés")</f>
        <v>nincs megjegyzés</v>
      </c>
      <c r="V2451" t="str">
        <f t="shared" si="722"/>
        <v>0P0</v>
      </c>
      <c r="W2451" t="str">
        <f t="shared" si="723"/>
        <v>0P0</v>
      </c>
      <c r="X2451" t="str">
        <f t="shared" si="724"/>
        <v>P0</v>
      </c>
      <c r="Y2451" t="str">
        <f t="shared" si="725"/>
        <v>00</v>
      </c>
      <c r="Z2451" t="str">
        <f t="shared" si="736"/>
        <v>00</v>
      </c>
      <c r="AA2451" t="str">
        <f t="shared" si="726"/>
        <v>00</v>
      </c>
      <c r="AB2451" t="str">
        <f t="shared" si="727"/>
        <v>00</v>
      </c>
      <c r="AC2451" t="str">
        <f t="shared" si="728"/>
        <v>0P0</v>
      </c>
      <c r="AD2451" t="str">
        <f t="shared" si="729"/>
        <v>P00</v>
      </c>
      <c r="AE2451" t="str">
        <f t="shared" si="730"/>
        <v>0P0</v>
      </c>
      <c r="AF2451" t="str">
        <f t="shared" si="731"/>
        <v>P00</v>
      </c>
      <c r="AG2451" t="str">
        <f t="shared" si="737"/>
        <v>0P00</v>
      </c>
      <c r="AH2451" t="str">
        <f t="shared" si="738"/>
        <v>P000</v>
      </c>
      <c r="AI2451" t="str">
        <f t="shared" si="739"/>
        <v>0P00</v>
      </c>
      <c r="AJ2451" t="str">
        <f t="shared" si="740"/>
        <v>P000</v>
      </c>
    </row>
    <row r="2452" spans="1:36" x14ac:dyDescent="0.25">
      <c r="A2452" s="325" t="str">
        <f>CONCATENATE("P",'906MP'!M2152)</f>
        <v>P</v>
      </c>
      <c r="B2452">
        <f>'906MP'!H2152</f>
        <v>0</v>
      </c>
      <c r="C2452">
        <f>'906MP'!J2152</f>
        <v>0</v>
      </c>
      <c r="D2452">
        <f>'906MP'!P2152</f>
        <v>0</v>
      </c>
      <c r="E2452">
        <f>'906MP'!X2152</f>
        <v>0</v>
      </c>
      <c r="F2452" t="str">
        <f t="shared" si="732"/>
        <v>0</v>
      </c>
      <c r="G2452" t="str">
        <f t="shared" si="733"/>
        <v>0</v>
      </c>
      <c r="H2452">
        <f>'906MP'!Y2152</f>
        <v>0</v>
      </c>
      <c r="I2452">
        <f>'906MP'!AK2152</f>
        <v>0</v>
      </c>
      <c r="J2452">
        <f>'906MP'!T2152</f>
        <v>0</v>
      </c>
      <c r="K2452">
        <f>'906MP'!AJ2152</f>
        <v>0</v>
      </c>
      <c r="L2452">
        <f>'906MP'!U2152</f>
        <v>0</v>
      </c>
      <c r="M2452" s="322" t="str">
        <f>IFERROR(VLOOKUP(A2452,PAR!$D$3:$E$53,2,FALSE),"nincs szervezet")</f>
        <v>nincs szervezet</v>
      </c>
      <c r="N2452" s="322" t="str">
        <f>VLOOKUP(F2452,PAR!$R$3:$S$5,2,FALSE)</f>
        <v>3 - egyik sem</v>
      </c>
      <c r="O2452" t="str">
        <f>IFERROR(VLOOKUP(J2452,PAR!$O$3:$P$5,2,FALSE),"nincs feladat")</f>
        <v>nincs feladat</v>
      </c>
      <c r="P2452" t="str">
        <f>IFERROR(VLOOKUP(G2452,PAR!$J$2:$M$19,4),"nincs rovat")</f>
        <v>nincs rovat</v>
      </c>
      <c r="Q2452" t="str">
        <f>IF(H2452&gt;0,VLOOKUP(H2452,PAR!$AA$3:$AC$187,3,FALSE),"nincs főkönyvi számla")</f>
        <v>nincs főkönyvi számla</v>
      </c>
      <c r="R2452" t="str">
        <f>IFERROR(VLOOKUP(K2452,PAR!$V$3:$X$438,3,FALSE),"000000 - Nincs COFOG")</f>
        <v>000000 - Nincs COFOG</v>
      </c>
      <c r="S2452">
        <f t="shared" si="734"/>
        <v>0</v>
      </c>
      <c r="T2452">
        <f t="shared" si="735"/>
        <v>0</v>
      </c>
      <c r="U2452" t="str">
        <f>IF('906MP'!J2152&gt;0,CONCATENATE('906MP'!J2152," - ",'906MP'!P2152,", ",'906MP'!E2152),"nincs megjegyzés")</f>
        <v>nincs megjegyzés</v>
      </c>
      <c r="V2452" t="str">
        <f t="shared" si="722"/>
        <v>0P0</v>
      </c>
      <c r="W2452" t="str">
        <f t="shared" si="723"/>
        <v>0P0</v>
      </c>
      <c r="X2452" t="str">
        <f t="shared" si="724"/>
        <v>P0</v>
      </c>
      <c r="Y2452" t="str">
        <f t="shared" si="725"/>
        <v>00</v>
      </c>
      <c r="Z2452" t="str">
        <f t="shared" si="736"/>
        <v>00</v>
      </c>
      <c r="AA2452" t="str">
        <f t="shared" si="726"/>
        <v>00</v>
      </c>
      <c r="AB2452" t="str">
        <f t="shared" si="727"/>
        <v>00</v>
      </c>
      <c r="AC2452" t="str">
        <f t="shared" si="728"/>
        <v>0P0</v>
      </c>
      <c r="AD2452" t="str">
        <f t="shared" si="729"/>
        <v>P00</v>
      </c>
      <c r="AE2452" t="str">
        <f t="shared" si="730"/>
        <v>0P0</v>
      </c>
      <c r="AF2452" t="str">
        <f t="shared" si="731"/>
        <v>P00</v>
      </c>
      <c r="AG2452" t="str">
        <f t="shared" si="737"/>
        <v>0P00</v>
      </c>
      <c r="AH2452" t="str">
        <f t="shared" si="738"/>
        <v>P000</v>
      </c>
      <c r="AI2452" t="str">
        <f t="shared" si="739"/>
        <v>0P00</v>
      </c>
      <c r="AJ2452" t="str">
        <f t="shared" si="740"/>
        <v>P000</v>
      </c>
    </row>
    <row r="2453" spans="1:36" x14ac:dyDescent="0.25">
      <c r="A2453" s="325" t="str">
        <f>CONCATENATE("P",'906MP'!M2153)</f>
        <v>P</v>
      </c>
      <c r="B2453">
        <f>'906MP'!H2153</f>
        <v>0</v>
      </c>
      <c r="C2453">
        <f>'906MP'!J2153</f>
        <v>0</v>
      </c>
      <c r="D2453">
        <f>'906MP'!P2153</f>
        <v>0</v>
      </c>
      <c r="E2453">
        <f>'906MP'!X2153</f>
        <v>0</v>
      </c>
      <c r="F2453" t="str">
        <f t="shared" si="732"/>
        <v>0</v>
      </c>
      <c r="G2453" t="str">
        <f t="shared" si="733"/>
        <v>0</v>
      </c>
      <c r="H2453">
        <f>'906MP'!Y2153</f>
        <v>0</v>
      </c>
      <c r="I2453">
        <f>'906MP'!AK2153</f>
        <v>0</v>
      </c>
      <c r="J2453">
        <f>'906MP'!T2153</f>
        <v>0</v>
      </c>
      <c r="K2453">
        <f>'906MP'!AJ2153</f>
        <v>0</v>
      </c>
      <c r="L2453">
        <f>'906MP'!U2153</f>
        <v>0</v>
      </c>
      <c r="M2453" s="322" t="str">
        <f>IFERROR(VLOOKUP(A2453,PAR!$D$3:$E$53,2,FALSE),"nincs szervezet")</f>
        <v>nincs szervezet</v>
      </c>
      <c r="N2453" s="322" t="str">
        <f>VLOOKUP(F2453,PAR!$R$3:$S$5,2,FALSE)</f>
        <v>3 - egyik sem</v>
      </c>
      <c r="O2453" t="str">
        <f>IFERROR(VLOOKUP(J2453,PAR!$O$3:$P$5,2,FALSE),"nincs feladat")</f>
        <v>nincs feladat</v>
      </c>
      <c r="P2453" t="str">
        <f>IFERROR(VLOOKUP(G2453,PAR!$J$2:$M$19,4),"nincs rovat")</f>
        <v>nincs rovat</v>
      </c>
      <c r="Q2453" t="str">
        <f>IF(H2453&gt;0,VLOOKUP(H2453,PAR!$AA$3:$AC$187,3,FALSE),"nincs főkönyvi számla")</f>
        <v>nincs főkönyvi számla</v>
      </c>
      <c r="R2453" t="str">
        <f>IFERROR(VLOOKUP(K2453,PAR!$V$3:$X$438,3,FALSE),"000000 - Nincs COFOG")</f>
        <v>000000 - Nincs COFOG</v>
      </c>
      <c r="S2453">
        <f t="shared" si="734"/>
        <v>0</v>
      </c>
      <c r="T2453">
        <f t="shared" si="735"/>
        <v>0</v>
      </c>
      <c r="U2453" t="str">
        <f>IF('906MP'!J2153&gt;0,CONCATENATE('906MP'!J2153," - ",'906MP'!P2153,", ",'906MP'!E2153),"nincs megjegyzés")</f>
        <v>nincs megjegyzés</v>
      </c>
      <c r="V2453" t="str">
        <f t="shared" si="722"/>
        <v>0P0</v>
      </c>
      <c r="W2453" t="str">
        <f t="shared" si="723"/>
        <v>0P0</v>
      </c>
      <c r="X2453" t="str">
        <f t="shared" si="724"/>
        <v>P0</v>
      </c>
      <c r="Y2453" t="str">
        <f t="shared" si="725"/>
        <v>00</v>
      </c>
      <c r="Z2453" t="str">
        <f t="shared" si="736"/>
        <v>00</v>
      </c>
      <c r="AA2453" t="str">
        <f t="shared" si="726"/>
        <v>00</v>
      </c>
      <c r="AB2453" t="str">
        <f t="shared" si="727"/>
        <v>00</v>
      </c>
      <c r="AC2453" t="str">
        <f t="shared" si="728"/>
        <v>0P0</v>
      </c>
      <c r="AD2453" t="str">
        <f t="shared" si="729"/>
        <v>P00</v>
      </c>
      <c r="AE2453" t="str">
        <f t="shared" si="730"/>
        <v>0P0</v>
      </c>
      <c r="AF2453" t="str">
        <f t="shared" si="731"/>
        <v>P00</v>
      </c>
      <c r="AG2453" t="str">
        <f t="shared" si="737"/>
        <v>0P00</v>
      </c>
      <c r="AH2453" t="str">
        <f t="shared" si="738"/>
        <v>P000</v>
      </c>
      <c r="AI2453" t="str">
        <f t="shared" si="739"/>
        <v>0P00</v>
      </c>
      <c r="AJ2453" t="str">
        <f t="shared" si="740"/>
        <v>P000</v>
      </c>
    </row>
    <row r="2454" spans="1:36" x14ac:dyDescent="0.25">
      <c r="A2454" s="325" t="str">
        <f>CONCATENATE("P",'906MP'!M2154)</f>
        <v>P</v>
      </c>
      <c r="B2454">
        <f>'906MP'!H2154</f>
        <v>0</v>
      </c>
      <c r="C2454">
        <f>'906MP'!J2154</f>
        <v>0</v>
      </c>
      <c r="D2454">
        <f>'906MP'!P2154</f>
        <v>0</v>
      </c>
      <c r="E2454">
        <f>'906MP'!X2154</f>
        <v>0</v>
      </c>
      <c r="F2454" t="str">
        <f t="shared" si="732"/>
        <v>0</v>
      </c>
      <c r="G2454" t="str">
        <f t="shared" si="733"/>
        <v>0</v>
      </c>
      <c r="H2454">
        <f>'906MP'!Y2154</f>
        <v>0</v>
      </c>
      <c r="I2454">
        <f>'906MP'!AK2154</f>
        <v>0</v>
      </c>
      <c r="J2454">
        <f>'906MP'!T2154</f>
        <v>0</v>
      </c>
      <c r="K2454">
        <f>'906MP'!AJ2154</f>
        <v>0</v>
      </c>
      <c r="L2454">
        <f>'906MP'!U2154</f>
        <v>0</v>
      </c>
      <c r="M2454" s="322" t="str">
        <f>IFERROR(VLOOKUP(A2454,PAR!$D$3:$E$53,2,FALSE),"nincs szervezet")</f>
        <v>nincs szervezet</v>
      </c>
      <c r="N2454" s="322" t="str">
        <f>VLOOKUP(F2454,PAR!$R$3:$S$5,2,FALSE)</f>
        <v>3 - egyik sem</v>
      </c>
      <c r="O2454" t="str">
        <f>IFERROR(VLOOKUP(J2454,PAR!$O$3:$P$5,2,FALSE),"nincs feladat")</f>
        <v>nincs feladat</v>
      </c>
      <c r="P2454" t="str">
        <f>IFERROR(VLOOKUP(G2454,PAR!$J$2:$M$19,4),"nincs rovat")</f>
        <v>nincs rovat</v>
      </c>
      <c r="Q2454" t="str">
        <f>IF(H2454&gt;0,VLOOKUP(H2454,PAR!$AA$3:$AC$187,3,FALSE),"nincs főkönyvi számla")</f>
        <v>nincs főkönyvi számla</v>
      </c>
      <c r="R2454" t="str">
        <f>IFERROR(VLOOKUP(K2454,PAR!$V$3:$X$438,3,FALSE),"000000 - Nincs COFOG")</f>
        <v>000000 - Nincs COFOG</v>
      </c>
      <c r="S2454">
        <f t="shared" si="734"/>
        <v>0</v>
      </c>
      <c r="T2454">
        <f t="shared" si="735"/>
        <v>0</v>
      </c>
      <c r="U2454" t="str">
        <f>IF('906MP'!J2154&gt;0,CONCATENATE('906MP'!J2154," - ",'906MP'!P2154,", ",'906MP'!E2154),"nincs megjegyzés")</f>
        <v>nincs megjegyzés</v>
      </c>
      <c r="V2454" t="str">
        <f t="shared" si="722"/>
        <v>0P0</v>
      </c>
      <c r="W2454" t="str">
        <f t="shared" si="723"/>
        <v>0P0</v>
      </c>
      <c r="X2454" t="str">
        <f t="shared" si="724"/>
        <v>P0</v>
      </c>
      <c r="Y2454" t="str">
        <f t="shared" si="725"/>
        <v>00</v>
      </c>
      <c r="Z2454" t="str">
        <f t="shared" si="736"/>
        <v>00</v>
      </c>
      <c r="AA2454" t="str">
        <f t="shared" si="726"/>
        <v>00</v>
      </c>
      <c r="AB2454" t="str">
        <f t="shared" si="727"/>
        <v>00</v>
      </c>
      <c r="AC2454" t="str">
        <f t="shared" si="728"/>
        <v>0P0</v>
      </c>
      <c r="AD2454" t="str">
        <f t="shared" si="729"/>
        <v>P00</v>
      </c>
      <c r="AE2454" t="str">
        <f t="shared" si="730"/>
        <v>0P0</v>
      </c>
      <c r="AF2454" t="str">
        <f t="shared" si="731"/>
        <v>P00</v>
      </c>
      <c r="AG2454" t="str">
        <f t="shared" si="737"/>
        <v>0P00</v>
      </c>
      <c r="AH2454" t="str">
        <f t="shared" si="738"/>
        <v>P000</v>
      </c>
      <c r="AI2454" t="str">
        <f t="shared" si="739"/>
        <v>0P00</v>
      </c>
      <c r="AJ2454" t="str">
        <f t="shared" si="740"/>
        <v>P000</v>
      </c>
    </row>
    <row r="2455" spans="1:36" x14ac:dyDescent="0.25">
      <c r="A2455" s="325" t="str">
        <f>CONCATENATE("P",'906MP'!M2155)</f>
        <v>P</v>
      </c>
      <c r="B2455">
        <f>'906MP'!H2155</f>
        <v>0</v>
      </c>
      <c r="C2455">
        <f>'906MP'!J2155</f>
        <v>0</v>
      </c>
      <c r="D2455">
        <f>'906MP'!P2155</f>
        <v>0</v>
      </c>
      <c r="E2455">
        <f>'906MP'!X2155</f>
        <v>0</v>
      </c>
      <c r="F2455" t="str">
        <f t="shared" si="732"/>
        <v>0</v>
      </c>
      <c r="G2455" t="str">
        <f t="shared" si="733"/>
        <v>0</v>
      </c>
      <c r="H2455">
        <f>'906MP'!Y2155</f>
        <v>0</v>
      </c>
      <c r="I2455">
        <f>'906MP'!AK2155</f>
        <v>0</v>
      </c>
      <c r="J2455">
        <f>'906MP'!T2155</f>
        <v>0</v>
      </c>
      <c r="K2455">
        <f>'906MP'!AJ2155</f>
        <v>0</v>
      </c>
      <c r="L2455">
        <f>'906MP'!U2155</f>
        <v>0</v>
      </c>
      <c r="M2455" s="322" t="str">
        <f>IFERROR(VLOOKUP(A2455,PAR!$D$3:$E$53,2,FALSE),"nincs szervezet")</f>
        <v>nincs szervezet</v>
      </c>
      <c r="N2455" s="322" t="str">
        <f>VLOOKUP(F2455,PAR!$R$3:$S$5,2,FALSE)</f>
        <v>3 - egyik sem</v>
      </c>
      <c r="O2455" t="str">
        <f>IFERROR(VLOOKUP(J2455,PAR!$O$3:$P$5,2,FALSE),"nincs feladat")</f>
        <v>nincs feladat</v>
      </c>
      <c r="P2455" t="str">
        <f>IFERROR(VLOOKUP(G2455,PAR!$J$2:$M$19,4),"nincs rovat")</f>
        <v>nincs rovat</v>
      </c>
      <c r="Q2455" t="str">
        <f>IF(H2455&gt;0,VLOOKUP(H2455,PAR!$AA$3:$AC$187,3,FALSE),"nincs főkönyvi számla")</f>
        <v>nincs főkönyvi számla</v>
      </c>
      <c r="R2455" t="str">
        <f>IFERROR(VLOOKUP(K2455,PAR!$V$3:$X$438,3,FALSE),"000000 - Nincs COFOG")</f>
        <v>000000 - Nincs COFOG</v>
      </c>
      <c r="S2455">
        <f t="shared" si="734"/>
        <v>0</v>
      </c>
      <c r="T2455">
        <f t="shared" si="735"/>
        <v>0</v>
      </c>
      <c r="U2455" t="str">
        <f>IF('906MP'!J2155&gt;0,CONCATENATE('906MP'!J2155," - ",'906MP'!P2155,", ",'906MP'!E2155),"nincs megjegyzés")</f>
        <v>nincs megjegyzés</v>
      </c>
      <c r="V2455" t="str">
        <f t="shared" si="722"/>
        <v>0P0</v>
      </c>
      <c r="W2455" t="str">
        <f t="shared" si="723"/>
        <v>0P0</v>
      </c>
      <c r="X2455" t="str">
        <f t="shared" si="724"/>
        <v>P0</v>
      </c>
      <c r="Y2455" t="str">
        <f t="shared" si="725"/>
        <v>00</v>
      </c>
      <c r="Z2455" t="str">
        <f t="shared" si="736"/>
        <v>00</v>
      </c>
      <c r="AA2455" t="str">
        <f t="shared" si="726"/>
        <v>00</v>
      </c>
      <c r="AB2455" t="str">
        <f t="shared" si="727"/>
        <v>00</v>
      </c>
      <c r="AC2455" t="str">
        <f t="shared" si="728"/>
        <v>0P0</v>
      </c>
      <c r="AD2455" t="str">
        <f t="shared" si="729"/>
        <v>P00</v>
      </c>
      <c r="AE2455" t="str">
        <f t="shared" si="730"/>
        <v>0P0</v>
      </c>
      <c r="AF2455" t="str">
        <f t="shared" si="731"/>
        <v>P00</v>
      </c>
      <c r="AG2455" t="str">
        <f t="shared" si="737"/>
        <v>0P00</v>
      </c>
      <c r="AH2455" t="str">
        <f t="shared" si="738"/>
        <v>P000</v>
      </c>
      <c r="AI2455" t="str">
        <f t="shared" si="739"/>
        <v>0P00</v>
      </c>
      <c r="AJ2455" t="str">
        <f t="shared" si="740"/>
        <v>P000</v>
      </c>
    </row>
    <row r="2456" spans="1:36" x14ac:dyDescent="0.25">
      <c r="A2456" s="325" t="str">
        <f>CONCATENATE("P",'906MP'!M2156)</f>
        <v>P</v>
      </c>
      <c r="B2456">
        <f>'906MP'!H2156</f>
        <v>0</v>
      </c>
      <c r="C2456">
        <f>'906MP'!J2156</f>
        <v>0</v>
      </c>
      <c r="D2456">
        <f>'906MP'!P2156</f>
        <v>0</v>
      </c>
      <c r="E2456">
        <f>'906MP'!X2156</f>
        <v>0</v>
      </c>
      <c r="F2456" t="str">
        <f t="shared" si="732"/>
        <v>0</v>
      </c>
      <c r="G2456" t="str">
        <f t="shared" si="733"/>
        <v>0</v>
      </c>
      <c r="H2456">
        <f>'906MP'!Y2156</f>
        <v>0</v>
      </c>
      <c r="I2456">
        <f>'906MP'!AK2156</f>
        <v>0</v>
      </c>
      <c r="J2456">
        <f>'906MP'!T2156</f>
        <v>0</v>
      </c>
      <c r="K2456">
        <f>'906MP'!AJ2156</f>
        <v>0</v>
      </c>
      <c r="L2456">
        <f>'906MP'!U2156</f>
        <v>0</v>
      </c>
      <c r="M2456" s="322" t="str">
        <f>IFERROR(VLOOKUP(A2456,PAR!$D$3:$E$53,2,FALSE),"nincs szervezet")</f>
        <v>nincs szervezet</v>
      </c>
      <c r="N2456" s="322" t="str">
        <f>VLOOKUP(F2456,PAR!$R$3:$S$5,2,FALSE)</f>
        <v>3 - egyik sem</v>
      </c>
      <c r="O2456" t="str">
        <f>IFERROR(VLOOKUP(J2456,PAR!$O$3:$P$5,2,FALSE),"nincs feladat")</f>
        <v>nincs feladat</v>
      </c>
      <c r="P2456" t="str">
        <f>IFERROR(VLOOKUP(G2456,PAR!$J$2:$M$19,4),"nincs rovat")</f>
        <v>nincs rovat</v>
      </c>
      <c r="Q2456" t="str">
        <f>IF(H2456&gt;0,VLOOKUP(H2456,PAR!$AA$3:$AC$187,3,FALSE),"nincs főkönyvi számla")</f>
        <v>nincs főkönyvi számla</v>
      </c>
      <c r="R2456" t="str">
        <f>IFERROR(VLOOKUP(K2456,PAR!$V$3:$X$438,3,FALSE),"000000 - Nincs COFOG")</f>
        <v>000000 - Nincs COFOG</v>
      </c>
      <c r="S2456">
        <f t="shared" si="734"/>
        <v>0</v>
      </c>
      <c r="T2456">
        <f t="shared" si="735"/>
        <v>0</v>
      </c>
      <c r="U2456" t="str">
        <f>IF('906MP'!J2156&gt;0,CONCATENATE('906MP'!J2156," - ",'906MP'!P2156,", ",'906MP'!E2156),"nincs megjegyzés")</f>
        <v>nincs megjegyzés</v>
      </c>
      <c r="V2456" t="str">
        <f t="shared" si="722"/>
        <v>0P0</v>
      </c>
      <c r="W2456" t="str">
        <f t="shared" si="723"/>
        <v>0P0</v>
      </c>
      <c r="X2456" t="str">
        <f t="shared" si="724"/>
        <v>P0</v>
      </c>
      <c r="Y2456" t="str">
        <f t="shared" si="725"/>
        <v>00</v>
      </c>
      <c r="Z2456" t="str">
        <f t="shared" si="736"/>
        <v>00</v>
      </c>
      <c r="AA2456" t="str">
        <f t="shared" si="726"/>
        <v>00</v>
      </c>
      <c r="AB2456" t="str">
        <f t="shared" si="727"/>
        <v>00</v>
      </c>
      <c r="AC2456" t="str">
        <f t="shared" si="728"/>
        <v>0P0</v>
      </c>
      <c r="AD2456" t="str">
        <f t="shared" si="729"/>
        <v>P00</v>
      </c>
      <c r="AE2456" t="str">
        <f t="shared" si="730"/>
        <v>0P0</v>
      </c>
      <c r="AF2456" t="str">
        <f t="shared" si="731"/>
        <v>P00</v>
      </c>
      <c r="AG2456" t="str">
        <f t="shared" si="737"/>
        <v>0P00</v>
      </c>
      <c r="AH2456" t="str">
        <f t="shared" si="738"/>
        <v>P000</v>
      </c>
      <c r="AI2456" t="str">
        <f t="shared" si="739"/>
        <v>0P00</v>
      </c>
      <c r="AJ2456" t="str">
        <f t="shared" si="740"/>
        <v>P000</v>
      </c>
    </row>
    <row r="2457" spans="1:36" x14ac:dyDescent="0.25">
      <c r="A2457" s="325" t="str">
        <f>CONCATENATE("P",'906MP'!M2157)</f>
        <v>P</v>
      </c>
      <c r="B2457">
        <f>'906MP'!H2157</f>
        <v>0</v>
      </c>
      <c r="C2457">
        <f>'906MP'!J2157</f>
        <v>0</v>
      </c>
      <c r="D2457">
        <f>'906MP'!P2157</f>
        <v>0</v>
      </c>
      <c r="E2457">
        <f>'906MP'!X2157</f>
        <v>0</v>
      </c>
      <c r="F2457" t="str">
        <f t="shared" si="732"/>
        <v>0</v>
      </c>
      <c r="G2457" t="str">
        <f t="shared" si="733"/>
        <v>0</v>
      </c>
      <c r="H2457">
        <f>'906MP'!Y2157</f>
        <v>0</v>
      </c>
      <c r="I2457">
        <f>'906MP'!AK2157</f>
        <v>0</v>
      </c>
      <c r="J2457">
        <f>'906MP'!T2157</f>
        <v>0</v>
      </c>
      <c r="K2457">
        <f>'906MP'!AJ2157</f>
        <v>0</v>
      </c>
      <c r="L2457">
        <f>'906MP'!U2157</f>
        <v>0</v>
      </c>
      <c r="M2457" s="322" t="str">
        <f>IFERROR(VLOOKUP(A2457,PAR!$D$3:$E$53,2,FALSE),"nincs szervezet")</f>
        <v>nincs szervezet</v>
      </c>
      <c r="N2457" s="322" t="str">
        <f>VLOOKUP(F2457,PAR!$R$3:$S$5,2,FALSE)</f>
        <v>3 - egyik sem</v>
      </c>
      <c r="O2457" t="str">
        <f>IFERROR(VLOOKUP(J2457,PAR!$O$3:$P$5,2,FALSE),"nincs feladat")</f>
        <v>nincs feladat</v>
      </c>
      <c r="P2457" t="str">
        <f>IFERROR(VLOOKUP(G2457,PAR!$J$2:$M$19,4),"nincs rovat")</f>
        <v>nincs rovat</v>
      </c>
      <c r="Q2457" t="str">
        <f>IF(H2457&gt;0,VLOOKUP(H2457,PAR!$AA$3:$AC$187,3,FALSE),"nincs főkönyvi számla")</f>
        <v>nincs főkönyvi számla</v>
      </c>
      <c r="R2457" t="str">
        <f>IFERROR(VLOOKUP(K2457,PAR!$V$3:$X$438,3,FALSE),"000000 - Nincs COFOG")</f>
        <v>000000 - Nincs COFOG</v>
      </c>
      <c r="S2457">
        <f t="shared" si="734"/>
        <v>0</v>
      </c>
      <c r="T2457">
        <f t="shared" si="735"/>
        <v>0</v>
      </c>
      <c r="U2457" t="str">
        <f>IF('906MP'!J2157&gt;0,CONCATENATE('906MP'!J2157," - ",'906MP'!P2157,", ",'906MP'!E2157),"nincs megjegyzés")</f>
        <v>nincs megjegyzés</v>
      </c>
      <c r="V2457" t="str">
        <f t="shared" si="722"/>
        <v>0P0</v>
      </c>
      <c r="W2457" t="str">
        <f t="shared" si="723"/>
        <v>0P0</v>
      </c>
      <c r="X2457" t="str">
        <f t="shared" si="724"/>
        <v>P0</v>
      </c>
      <c r="Y2457" t="str">
        <f t="shared" si="725"/>
        <v>00</v>
      </c>
      <c r="Z2457" t="str">
        <f t="shared" si="736"/>
        <v>00</v>
      </c>
      <c r="AA2457" t="str">
        <f t="shared" si="726"/>
        <v>00</v>
      </c>
      <c r="AB2457" t="str">
        <f t="shared" si="727"/>
        <v>00</v>
      </c>
      <c r="AC2457" t="str">
        <f t="shared" si="728"/>
        <v>0P0</v>
      </c>
      <c r="AD2457" t="str">
        <f t="shared" si="729"/>
        <v>P00</v>
      </c>
      <c r="AE2457" t="str">
        <f t="shared" si="730"/>
        <v>0P0</v>
      </c>
      <c r="AF2457" t="str">
        <f t="shared" si="731"/>
        <v>P00</v>
      </c>
      <c r="AG2457" t="str">
        <f t="shared" si="737"/>
        <v>0P00</v>
      </c>
      <c r="AH2457" t="str">
        <f t="shared" si="738"/>
        <v>P000</v>
      </c>
      <c r="AI2457" t="str">
        <f t="shared" si="739"/>
        <v>0P00</v>
      </c>
      <c r="AJ2457" t="str">
        <f t="shared" si="740"/>
        <v>P000</v>
      </c>
    </row>
    <row r="2458" spans="1:36" x14ac:dyDescent="0.25">
      <c r="A2458" s="325" t="str">
        <f>CONCATENATE("P",'906MP'!M2158)</f>
        <v>P</v>
      </c>
      <c r="B2458">
        <f>'906MP'!H2158</f>
        <v>0</v>
      </c>
      <c r="C2458">
        <f>'906MP'!J2158</f>
        <v>0</v>
      </c>
      <c r="D2458">
        <f>'906MP'!P2158</f>
        <v>0</v>
      </c>
      <c r="E2458">
        <f>'906MP'!X2158</f>
        <v>0</v>
      </c>
      <c r="F2458" t="str">
        <f t="shared" si="732"/>
        <v>0</v>
      </c>
      <c r="G2458" t="str">
        <f t="shared" si="733"/>
        <v>0</v>
      </c>
      <c r="H2458">
        <f>'906MP'!Y2158</f>
        <v>0</v>
      </c>
      <c r="I2458">
        <f>'906MP'!AK2158</f>
        <v>0</v>
      </c>
      <c r="J2458">
        <f>'906MP'!T2158</f>
        <v>0</v>
      </c>
      <c r="K2458">
        <f>'906MP'!AJ2158</f>
        <v>0</v>
      </c>
      <c r="L2458">
        <f>'906MP'!U2158</f>
        <v>0</v>
      </c>
      <c r="M2458" s="322" t="str">
        <f>IFERROR(VLOOKUP(A2458,PAR!$D$3:$E$53,2,FALSE),"nincs szervezet")</f>
        <v>nincs szervezet</v>
      </c>
      <c r="N2458" s="322" t="str">
        <f>VLOOKUP(F2458,PAR!$R$3:$S$5,2,FALSE)</f>
        <v>3 - egyik sem</v>
      </c>
      <c r="O2458" t="str">
        <f>IFERROR(VLOOKUP(J2458,PAR!$O$3:$P$5,2,FALSE),"nincs feladat")</f>
        <v>nincs feladat</v>
      </c>
      <c r="P2458" t="str">
        <f>IFERROR(VLOOKUP(G2458,PAR!$J$2:$M$19,4),"nincs rovat")</f>
        <v>nincs rovat</v>
      </c>
      <c r="Q2458" t="str">
        <f>IF(H2458&gt;0,VLOOKUP(H2458,PAR!$AA$3:$AC$187,3,FALSE),"nincs főkönyvi számla")</f>
        <v>nincs főkönyvi számla</v>
      </c>
      <c r="R2458" t="str">
        <f>IFERROR(VLOOKUP(K2458,PAR!$V$3:$X$438,3,FALSE),"000000 - Nincs COFOG")</f>
        <v>000000 - Nincs COFOG</v>
      </c>
      <c r="S2458">
        <f t="shared" si="734"/>
        <v>0</v>
      </c>
      <c r="T2458">
        <f t="shared" si="735"/>
        <v>0</v>
      </c>
      <c r="U2458" t="str">
        <f>IF('906MP'!J2158&gt;0,CONCATENATE('906MP'!J2158," - ",'906MP'!P2158,", ",'906MP'!E2158),"nincs megjegyzés")</f>
        <v>nincs megjegyzés</v>
      </c>
      <c r="V2458" t="str">
        <f t="shared" si="722"/>
        <v>0P0</v>
      </c>
      <c r="W2458" t="str">
        <f t="shared" si="723"/>
        <v>0P0</v>
      </c>
      <c r="X2458" t="str">
        <f t="shared" si="724"/>
        <v>P0</v>
      </c>
      <c r="Y2458" t="str">
        <f t="shared" si="725"/>
        <v>00</v>
      </c>
      <c r="Z2458" t="str">
        <f t="shared" si="736"/>
        <v>00</v>
      </c>
      <c r="AA2458" t="str">
        <f t="shared" si="726"/>
        <v>00</v>
      </c>
      <c r="AB2458" t="str">
        <f t="shared" si="727"/>
        <v>00</v>
      </c>
      <c r="AC2458" t="str">
        <f t="shared" si="728"/>
        <v>0P0</v>
      </c>
      <c r="AD2458" t="str">
        <f t="shared" si="729"/>
        <v>P00</v>
      </c>
      <c r="AE2458" t="str">
        <f t="shared" si="730"/>
        <v>0P0</v>
      </c>
      <c r="AF2458" t="str">
        <f t="shared" si="731"/>
        <v>P00</v>
      </c>
      <c r="AG2458" t="str">
        <f t="shared" si="737"/>
        <v>0P00</v>
      </c>
      <c r="AH2458" t="str">
        <f t="shared" si="738"/>
        <v>P000</v>
      </c>
      <c r="AI2458" t="str">
        <f t="shared" si="739"/>
        <v>0P00</v>
      </c>
      <c r="AJ2458" t="str">
        <f t="shared" si="740"/>
        <v>P000</v>
      </c>
    </row>
    <row r="2459" spans="1:36" x14ac:dyDescent="0.25">
      <c r="A2459" s="325" t="str">
        <f>CONCATENATE("P",'906MP'!M2159)</f>
        <v>P</v>
      </c>
      <c r="B2459">
        <f>'906MP'!H2159</f>
        <v>0</v>
      </c>
      <c r="C2459">
        <f>'906MP'!J2159</f>
        <v>0</v>
      </c>
      <c r="D2459">
        <f>'906MP'!P2159</f>
        <v>0</v>
      </c>
      <c r="E2459">
        <f>'906MP'!X2159</f>
        <v>0</v>
      </c>
      <c r="F2459" t="str">
        <f t="shared" si="732"/>
        <v>0</v>
      </c>
      <c r="G2459" t="str">
        <f t="shared" si="733"/>
        <v>0</v>
      </c>
      <c r="H2459">
        <f>'906MP'!Y2159</f>
        <v>0</v>
      </c>
      <c r="I2459">
        <f>'906MP'!AK2159</f>
        <v>0</v>
      </c>
      <c r="J2459">
        <f>'906MP'!T2159</f>
        <v>0</v>
      </c>
      <c r="K2459">
        <f>'906MP'!AJ2159</f>
        <v>0</v>
      </c>
      <c r="L2459">
        <f>'906MP'!U2159</f>
        <v>0</v>
      </c>
      <c r="M2459" s="322" t="str">
        <f>IFERROR(VLOOKUP(A2459,PAR!$D$3:$E$53,2,FALSE),"nincs szervezet")</f>
        <v>nincs szervezet</v>
      </c>
      <c r="N2459" s="322" t="str">
        <f>VLOOKUP(F2459,PAR!$R$3:$S$5,2,FALSE)</f>
        <v>3 - egyik sem</v>
      </c>
      <c r="O2459" t="str">
        <f>IFERROR(VLOOKUP(J2459,PAR!$O$3:$P$5,2,FALSE),"nincs feladat")</f>
        <v>nincs feladat</v>
      </c>
      <c r="P2459" t="str">
        <f>IFERROR(VLOOKUP(G2459,PAR!$J$2:$M$19,4),"nincs rovat")</f>
        <v>nincs rovat</v>
      </c>
      <c r="Q2459" t="str">
        <f>IF(H2459&gt;0,VLOOKUP(H2459,PAR!$AA$3:$AC$187,3,FALSE),"nincs főkönyvi számla")</f>
        <v>nincs főkönyvi számla</v>
      </c>
      <c r="R2459" t="str">
        <f>IFERROR(VLOOKUP(K2459,PAR!$V$3:$X$438,3,FALSE),"000000 - Nincs COFOG")</f>
        <v>000000 - Nincs COFOG</v>
      </c>
      <c r="S2459">
        <f t="shared" si="734"/>
        <v>0</v>
      </c>
      <c r="T2459">
        <f t="shared" si="735"/>
        <v>0</v>
      </c>
      <c r="U2459" t="str">
        <f>IF('906MP'!J2159&gt;0,CONCATENATE('906MP'!J2159," - ",'906MP'!P2159,", ",'906MP'!E2159),"nincs megjegyzés")</f>
        <v>nincs megjegyzés</v>
      </c>
      <c r="V2459" t="str">
        <f t="shared" si="722"/>
        <v>0P0</v>
      </c>
      <c r="W2459" t="str">
        <f t="shared" si="723"/>
        <v>0P0</v>
      </c>
      <c r="X2459" t="str">
        <f t="shared" si="724"/>
        <v>P0</v>
      </c>
      <c r="Y2459" t="str">
        <f t="shared" si="725"/>
        <v>00</v>
      </c>
      <c r="Z2459" t="str">
        <f t="shared" si="736"/>
        <v>00</v>
      </c>
      <c r="AA2459" t="str">
        <f t="shared" si="726"/>
        <v>00</v>
      </c>
      <c r="AB2459" t="str">
        <f t="shared" si="727"/>
        <v>00</v>
      </c>
      <c r="AC2459" t="str">
        <f t="shared" si="728"/>
        <v>0P0</v>
      </c>
      <c r="AD2459" t="str">
        <f t="shared" si="729"/>
        <v>P00</v>
      </c>
      <c r="AE2459" t="str">
        <f t="shared" si="730"/>
        <v>0P0</v>
      </c>
      <c r="AF2459" t="str">
        <f t="shared" si="731"/>
        <v>P00</v>
      </c>
      <c r="AG2459" t="str">
        <f t="shared" si="737"/>
        <v>0P00</v>
      </c>
      <c r="AH2459" t="str">
        <f t="shared" si="738"/>
        <v>P000</v>
      </c>
      <c r="AI2459" t="str">
        <f t="shared" si="739"/>
        <v>0P00</v>
      </c>
      <c r="AJ2459" t="str">
        <f t="shared" si="740"/>
        <v>P000</v>
      </c>
    </row>
    <row r="2460" spans="1:36" x14ac:dyDescent="0.25">
      <c r="A2460" s="325" t="str">
        <f>CONCATENATE("P",'906MP'!M2160)</f>
        <v>P</v>
      </c>
      <c r="B2460">
        <f>'906MP'!H2160</f>
        <v>0</v>
      </c>
      <c r="C2460">
        <f>'906MP'!J2160</f>
        <v>0</v>
      </c>
      <c r="D2460">
        <f>'906MP'!P2160</f>
        <v>0</v>
      </c>
      <c r="E2460">
        <f>'906MP'!X2160</f>
        <v>0</v>
      </c>
      <c r="F2460" t="str">
        <f t="shared" si="732"/>
        <v>0</v>
      </c>
      <c r="G2460" t="str">
        <f t="shared" si="733"/>
        <v>0</v>
      </c>
      <c r="H2460">
        <f>'906MP'!Y2160</f>
        <v>0</v>
      </c>
      <c r="I2460">
        <f>'906MP'!AK2160</f>
        <v>0</v>
      </c>
      <c r="J2460">
        <f>'906MP'!T2160</f>
        <v>0</v>
      </c>
      <c r="K2460">
        <f>'906MP'!AJ2160</f>
        <v>0</v>
      </c>
      <c r="L2460">
        <f>'906MP'!U2160</f>
        <v>0</v>
      </c>
      <c r="M2460" s="322" t="str">
        <f>IFERROR(VLOOKUP(A2460,PAR!$D$3:$E$53,2,FALSE),"nincs szervezet")</f>
        <v>nincs szervezet</v>
      </c>
      <c r="N2460" s="322" t="str">
        <f>VLOOKUP(F2460,PAR!$R$3:$S$5,2,FALSE)</f>
        <v>3 - egyik sem</v>
      </c>
      <c r="O2460" t="str">
        <f>IFERROR(VLOOKUP(J2460,PAR!$O$3:$P$5,2,FALSE),"nincs feladat")</f>
        <v>nincs feladat</v>
      </c>
      <c r="P2460" t="str">
        <f>IFERROR(VLOOKUP(G2460,PAR!$J$2:$M$19,4),"nincs rovat")</f>
        <v>nincs rovat</v>
      </c>
      <c r="Q2460" t="str">
        <f>IF(H2460&gt;0,VLOOKUP(H2460,PAR!$AA$3:$AC$187,3,FALSE),"nincs főkönyvi számla")</f>
        <v>nincs főkönyvi számla</v>
      </c>
      <c r="R2460" t="str">
        <f>IFERROR(VLOOKUP(K2460,PAR!$V$3:$X$438,3,FALSE),"000000 - Nincs COFOG")</f>
        <v>000000 - Nincs COFOG</v>
      </c>
      <c r="S2460">
        <f t="shared" si="734"/>
        <v>0</v>
      </c>
      <c r="T2460">
        <f t="shared" si="735"/>
        <v>0</v>
      </c>
      <c r="U2460" t="str">
        <f>IF('906MP'!J2160&gt;0,CONCATENATE('906MP'!J2160," - ",'906MP'!P2160,", ",'906MP'!E2160),"nincs megjegyzés")</f>
        <v>nincs megjegyzés</v>
      </c>
      <c r="V2460" t="str">
        <f t="shared" si="722"/>
        <v>0P0</v>
      </c>
      <c r="W2460" t="str">
        <f t="shared" si="723"/>
        <v>0P0</v>
      </c>
      <c r="X2460" t="str">
        <f t="shared" si="724"/>
        <v>P0</v>
      </c>
      <c r="Y2460" t="str">
        <f t="shared" si="725"/>
        <v>00</v>
      </c>
      <c r="Z2460" t="str">
        <f t="shared" si="736"/>
        <v>00</v>
      </c>
      <c r="AA2460" t="str">
        <f t="shared" si="726"/>
        <v>00</v>
      </c>
      <c r="AB2460" t="str">
        <f t="shared" si="727"/>
        <v>00</v>
      </c>
      <c r="AC2460" t="str">
        <f t="shared" si="728"/>
        <v>0P0</v>
      </c>
      <c r="AD2460" t="str">
        <f t="shared" si="729"/>
        <v>P00</v>
      </c>
      <c r="AE2460" t="str">
        <f t="shared" si="730"/>
        <v>0P0</v>
      </c>
      <c r="AF2460" t="str">
        <f t="shared" si="731"/>
        <v>P00</v>
      </c>
      <c r="AG2460" t="str">
        <f t="shared" si="737"/>
        <v>0P00</v>
      </c>
      <c r="AH2460" t="str">
        <f t="shared" si="738"/>
        <v>P000</v>
      </c>
      <c r="AI2460" t="str">
        <f t="shared" si="739"/>
        <v>0P00</v>
      </c>
      <c r="AJ2460" t="str">
        <f t="shared" si="740"/>
        <v>P000</v>
      </c>
    </row>
    <row r="2461" spans="1:36" x14ac:dyDescent="0.25">
      <c r="A2461" s="325" t="str">
        <f>CONCATENATE("P",'906MP'!M2161)</f>
        <v>P</v>
      </c>
      <c r="B2461">
        <f>'906MP'!H2161</f>
        <v>0</v>
      </c>
      <c r="C2461">
        <f>'906MP'!J2161</f>
        <v>0</v>
      </c>
      <c r="D2461">
        <f>'906MP'!P2161</f>
        <v>0</v>
      </c>
      <c r="E2461">
        <f>'906MP'!X2161</f>
        <v>0</v>
      </c>
      <c r="F2461" t="str">
        <f t="shared" si="732"/>
        <v>0</v>
      </c>
      <c r="G2461" t="str">
        <f t="shared" si="733"/>
        <v>0</v>
      </c>
      <c r="H2461">
        <f>'906MP'!Y2161</f>
        <v>0</v>
      </c>
      <c r="I2461">
        <f>'906MP'!AK2161</f>
        <v>0</v>
      </c>
      <c r="J2461">
        <f>'906MP'!T2161</f>
        <v>0</v>
      </c>
      <c r="K2461">
        <f>'906MP'!AJ2161</f>
        <v>0</v>
      </c>
      <c r="L2461">
        <f>'906MP'!U2161</f>
        <v>0</v>
      </c>
      <c r="M2461" s="322" t="str">
        <f>IFERROR(VLOOKUP(A2461,PAR!$D$3:$E$53,2,FALSE),"nincs szervezet")</f>
        <v>nincs szervezet</v>
      </c>
      <c r="N2461" s="322" t="str">
        <f>VLOOKUP(F2461,PAR!$R$3:$S$5,2,FALSE)</f>
        <v>3 - egyik sem</v>
      </c>
      <c r="O2461" t="str">
        <f>IFERROR(VLOOKUP(J2461,PAR!$O$3:$P$5,2,FALSE),"nincs feladat")</f>
        <v>nincs feladat</v>
      </c>
      <c r="P2461" t="str">
        <f>IFERROR(VLOOKUP(G2461,PAR!$J$2:$M$19,4),"nincs rovat")</f>
        <v>nincs rovat</v>
      </c>
      <c r="Q2461" t="str">
        <f>IF(H2461&gt;0,VLOOKUP(H2461,PAR!$AA$3:$AC$187,3,FALSE),"nincs főkönyvi számla")</f>
        <v>nincs főkönyvi számla</v>
      </c>
      <c r="R2461" t="str">
        <f>IFERROR(VLOOKUP(K2461,PAR!$V$3:$X$438,3,FALSE),"000000 - Nincs COFOG")</f>
        <v>000000 - Nincs COFOG</v>
      </c>
      <c r="S2461">
        <f t="shared" si="734"/>
        <v>0</v>
      </c>
      <c r="T2461">
        <f t="shared" si="735"/>
        <v>0</v>
      </c>
      <c r="U2461" t="str">
        <f>IF('906MP'!J2161&gt;0,CONCATENATE('906MP'!J2161," - ",'906MP'!P2161,", ",'906MP'!E2161),"nincs megjegyzés")</f>
        <v>nincs megjegyzés</v>
      </c>
      <c r="V2461" t="str">
        <f t="shared" si="722"/>
        <v>0P0</v>
      </c>
      <c r="W2461" t="str">
        <f t="shared" si="723"/>
        <v>0P0</v>
      </c>
      <c r="X2461" t="str">
        <f t="shared" si="724"/>
        <v>P0</v>
      </c>
      <c r="Y2461" t="str">
        <f t="shared" si="725"/>
        <v>00</v>
      </c>
      <c r="Z2461" t="str">
        <f t="shared" si="736"/>
        <v>00</v>
      </c>
      <c r="AA2461" t="str">
        <f t="shared" si="726"/>
        <v>00</v>
      </c>
      <c r="AB2461" t="str">
        <f t="shared" si="727"/>
        <v>00</v>
      </c>
      <c r="AC2461" t="str">
        <f t="shared" si="728"/>
        <v>0P0</v>
      </c>
      <c r="AD2461" t="str">
        <f t="shared" si="729"/>
        <v>P00</v>
      </c>
      <c r="AE2461" t="str">
        <f t="shared" si="730"/>
        <v>0P0</v>
      </c>
      <c r="AF2461" t="str">
        <f t="shared" si="731"/>
        <v>P00</v>
      </c>
      <c r="AG2461" t="str">
        <f t="shared" si="737"/>
        <v>0P00</v>
      </c>
      <c r="AH2461" t="str">
        <f t="shared" si="738"/>
        <v>P000</v>
      </c>
      <c r="AI2461" t="str">
        <f t="shared" si="739"/>
        <v>0P00</v>
      </c>
      <c r="AJ2461" t="str">
        <f t="shared" si="740"/>
        <v>P000</v>
      </c>
    </row>
    <row r="2462" spans="1:36" x14ac:dyDescent="0.25">
      <c r="A2462" s="325" t="str">
        <f>CONCATENATE("P",'906MP'!M2162)</f>
        <v>P</v>
      </c>
      <c r="B2462">
        <f>'906MP'!H2162</f>
        <v>0</v>
      </c>
      <c r="C2462">
        <f>'906MP'!J2162</f>
        <v>0</v>
      </c>
      <c r="D2462">
        <f>'906MP'!P2162</f>
        <v>0</v>
      </c>
      <c r="E2462">
        <f>'906MP'!X2162</f>
        <v>0</v>
      </c>
      <c r="F2462" t="str">
        <f t="shared" si="732"/>
        <v>0</v>
      </c>
      <c r="G2462" t="str">
        <f t="shared" si="733"/>
        <v>0</v>
      </c>
      <c r="H2462">
        <f>'906MP'!Y2162</f>
        <v>0</v>
      </c>
      <c r="I2462">
        <f>'906MP'!AK2162</f>
        <v>0</v>
      </c>
      <c r="J2462">
        <f>'906MP'!T2162</f>
        <v>0</v>
      </c>
      <c r="K2462">
        <f>'906MP'!AJ2162</f>
        <v>0</v>
      </c>
      <c r="L2462">
        <f>'906MP'!U2162</f>
        <v>0</v>
      </c>
      <c r="M2462" s="322" t="str">
        <f>IFERROR(VLOOKUP(A2462,PAR!$D$3:$E$53,2,FALSE),"nincs szervezet")</f>
        <v>nincs szervezet</v>
      </c>
      <c r="N2462" s="322" t="str">
        <f>VLOOKUP(F2462,PAR!$R$3:$S$5,2,FALSE)</f>
        <v>3 - egyik sem</v>
      </c>
      <c r="O2462" t="str">
        <f>IFERROR(VLOOKUP(J2462,PAR!$O$3:$P$5,2,FALSE),"nincs feladat")</f>
        <v>nincs feladat</v>
      </c>
      <c r="P2462" t="str">
        <f>IFERROR(VLOOKUP(G2462,PAR!$J$2:$M$19,4),"nincs rovat")</f>
        <v>nincs rovat</v>
      </c>
      <c r="Q2462" t="str">
        <f>IF(H2462&gt;0,VLOOKUP(H2462,PAR!$AA$3:$AC$187,3,FALSE),"nincs főkönyvi számla")</f>
        <v>nincs főkönyvi számla</v>
      </c>
      <c r="R2462" t="str">
        <f>IFERROR(VLOOKUP(K2462,PAR!$V$3:$X$438,3,FALSE),"000000 - Nincs COFOG")</f>
        <v>000000 - Nincs COFOG</v>
      </c>
      <c r="S2462">
        <f t="shared" si="734"/>
        <v>0</v>
      </c>
      <c r="T2462">
        <f t="shared" si="735"/>
        <v>0</v>
      </c>
      <c r="U2462" t="str">
        <f>IF('906MP'!J2162&gt;0,CONCATENATE('906MP'!J2162," - ",'906MP'!P2162,", ",'906MP'!E2162),"nincs megjegyzés")</f>
        <v>nincs megjegyzés</v>
      </c>
      <c r="V2462" t="str">
        <f t="shared" si="722"/>
        <v>0P0</v>
      </c>
      <c r="W2462" t="str">
        <f t="shared" si="723"/>
        <v>0P0</v>
      </c>
      <c r="X2462" t="str">
        <f t="shared" si="724"/>
        <v>P0</v>
      </c>
      <c r="Y2462" t="str">
        <f t="shared" si="725"/>
        <v>00</v>
      </c>
      <c r="Z2462" t="str">
        <f t="shared" si="736"/>
        <v>00</v>
      </c>
      <c r="AA2462" t="str">
        <f t="shared" si="726"/>
        <v>00</v>
      </c>
      <c r="AB2462" t="str">
        <f t="shared" si="727"/>
        <v>00</v>
      </c>
      <c r="AC2462" t="str">
        <f t="shared" si="728"/>
        <v>0P0</v>
      </c>
      <c r="AD2462" t="str">
        <f t="shared" si="729"/>
        <v>P00</v>
      </c>
      <c r="AE2462" t="str">
        <f t="shared" si="730"/>
        <v>0P0</v>
      </c>
      <c r="AF2462" t="str">
        <f t="shared" si="731"/>
        <v>P00</v>
      </c>
      <c r="AG2462" t="str">
        <f t="shared" si="737"/>
        <v>0P00</v>
      </c>
      <c r="AH2462" t="str">
        <f t="shared" si="738"/>
        <v>P000</v>
      </c>
      <c r="AI2462" t="str">
        <f t="shared" si="739"/>
        <v>0P00</v>
      </c>
      <c r="AJ2462" t="str">
        <f t="shared" si="740"/>
        <v>P000</v>
      </c>
    </row>
    <row r="2463" spans="1:36" x14ac:dyDescent="0.25">
      <c r="A2463" s="325" t="str">
        <f>CONCATENATE("P",'906MP'!M2163)</f>
        <v>P</v>
      </c>
      <c r="B2463">
        <f>'906MP'!H2163</f>
        <v>0</v>
      </c>
      <c r="C2463">
        <f>'906MP'!J2163</f>
        <v>0</v>
      </c>
      <c r="D2463">
        <f>'906MP'!P2163</f>
        <v>0</v>
      </c>
      <c r="E2463">
        <f>'906MP'!X2163</f>
        <v>0</v>
      </c>
      <c r="F2463" t="str">
        <f t="shared" si="732"/>
        <v>0</v>
      </c>
      <c r="G2463" t="str">
        <f t="shared" si="733"/>
        <v>0</v>
      </c>
      <c r="H2463">
        <f>'906MP'!Y2163</f>
        <v>0</v>
      </c>
      <c r="I2463">
        <f>'906MP'!AK2163</f>
        <v>0</v>
      </c>
      <c r="J2463">
        <f>'906MP'!T2163</f>
        <v>0</v>
      </c>
      <c r="K2463">
        <f>'906MP'!AJ2163</f>
        <v>0</v>
      </c>
      <c r="L2463">
        <f>'906MP'!U2163</f>
        <v>0</v>
      </c>
      <c r="M2463" s="322" t="str">
        <f>IFERROR(VLOOKUP(A2463,PAR!$D$3:$E$53,2,FALSE),"nincs szervezet")</f>
        <v>nincs szervezet</v>
      </c>
      <c r="N2463" s="322" t="str">
        <f>VLOOKUP(F2463,PAR!$R$3:$S$5,2,FALSE)</f>
        <v>3 - egyik sem</v>
      </c>
      <c r="O2463" t="str">
        <f>IFERROR(VLOOKUP(J2463,PAR!$O$3:$P$5,2,FALSE),"nincs feladat")</f>
        <v>nincs feladat</v>
      </c>
      <c r="P2463" t="str">
        <f>IFERROR(VLOOKUP(G2463,PAR!$J$2:$M$19,4),"nincs rovat")</f>
        <v>nincs rovat</v>
      </c>
      <c r="Q2463" t="str">
        <f>IF(H2463&gt;0,VLOOKUP(H2463,PAR!$AA$3:$AC$187,3,FALSE),"nincs főkönyvi számla")</f>
        <v>nincs főkönyvi számla</v>
      </c>
      <c r="R2463" t="str">
        <f>IFERROR(VLOOKUP(K2463,PAR!$V$3:$X$438,3,FALSE),"000000 - Nincs COFOG")</f>
        <v>000000 - Nincs COFOG</v>
      </c>
      <c r="S2463">
        <f t="shared" si="734"/>
        <v>0</v>
      </c>
      <c r="T2463">
        <f t="shared" si="735"/>
        <v>0</v>
      </c>
      <c r="U2463" t="str">
        <f>IF('906MP'!J2163&gt;0,CONCATENATE('906MP'!J2163," - ",'906MP'!P2163,", ",'906MP'!E2163),"nincs megjegyzés")</f>
        <v>nincs megjegyzés</v>
      </c>
      <c r="V2463" t="str">
        <f t="shared" si="722"/>
        <v>0P0</v>
      </c>
      <c r="W2463" t="str">
        <f t="shared" si="723"/>
        <v>0P0</v>
      </c>
      <c r="X2463" t="str">
        <f t="shared" si="724"/>
        <v>P0</v>
      </c>
      <c r="Y2463" t="str">
        <f t="shared" si="725"/>
        <v>00</v>
      </c>
      <c r="Z2463" t="str">
        <f t="shared" si="736"/>
        <v>00</v>
      </c>
      <c r="AA2463" t="str">
        <f t="shared" si="726"/>
        <v>00</v>
      </c>
      <c r="AB2463" t="str">
        <f t="shared" si="727"/>
        <v>00</v>
      </c>
      <c r="AC2463" t="str">
        <f t="shared" si="728"/>
        <v>0P0</v>
      </c>
      <c r="AD2463" t="str">
        <f t="shared" si="729"/>
        <v>P00</v>
      </c>
      <c r="AE2463" t="str">
        <f t="shared" si="730"/>
        <v>0P0</v>
      </c>
      <c r="AF2463" t="str">
        <f t="shared" si="731"/>
        <v>P00</v>
      </c>
      <c r="AG2463" t="str">
        <f t="shared" si="737"/>
        <v>0P00</v>
      </c>
      <c r="AH2463" t="str">
        <f t="shared" si="738"/>
        <v>P000</v>
      </c>
      <c r="AI2463" t="str">
        <f t="shared" si="739"/>
        <v>0P00</v>
      </c>
      <c r="AJ2463" t="str">
        <f t="shared" si="740"/>
        <v>P000</v>
      </c>
    </row>
    <row r="2464" spans="1:36" x14ac:dyDescent="0.25">
      <c r="A2464" s="325" t="str">
        <f>CONCATENATE("P",'906MP'!M2164)</f>
        <v>P</v>
      </c>
      <c r="B2464">
        <f>'906MP'!H2164</f>
        <v>0</v>
      </c>
      <c r="C2464">
        <f>'906MP'!J2164</f>
        <v>0</v>
      </c>
      <c r="D2464">
        <f>'906MP'!P2164</f>
        <v>0</v>
      </c>
      <c r="E2464">
        <f>'906MP'!X2164</f>
        <v>0</v>
      </c>
      <c r="F2464" t="str">
        <f t="shared" si="732"/>
        <v>0</v>
      </c>
      <c r="G2464" t="str">
        <f t="shared" si="733"/>
        <v>0</v>
      </c>
      <c r="H2464">
        <f>'906MP'!Y2164</f>
        <v>0</v>
      </c>
      <c r="I2464">
        <f>'906MP'!AK2164</f>
        <v>0</v>
      </c>
      <c r="J2464">
        <f>'906MP'!T2164</f>
        <v>0</v>
      </c>
      <c r="K2464">
        <f>'906MP'!AJ2164</f>
        <v>0</v>
      </c>
      <c r="L2464">
        <f>'906MP'!U2164</f>
        <v>0</v>
      </c>
      <c r="M2464" s="322" t="str">
        <f>IFERROR(VLOOKUP(A2464,PAR!$D$3:$E$53,2,FALSE),"nincs szervezet")</f>
        <v>nincs szervezet</v>
      </c>
      <c r="N2464" s="322" t="str">
        <f>VLOOKUP(F2464,PAR!$R$3:$S$5,2,FALSE)</f>
        <v>3 - egyik sem</v>
      </c>
      <c r="O2464" t="str">
        <f>IFERROR(VLOOKUP(J2464,PAR!$O$3:$P$5,2,FALSE),"nincs feladat")</f>
        <v>nincs feladat</v>
      </c>
      <c r="P2464" t="str">
        <f>IFERROR(VLOOKUP(G2464,PAR!$J$2:$M$19,4),"nincs rovat")</f>
        <v>nincs rovat</v>
      </c>
      <c r="Q2464" t="str">
        <f>IF(H2464&gt;0,VLOOKUP(H2464,PAR!$AA$3:$AC$187,3,FALSE),"nincs főkönyvi számla")</f>
        <v>nincs főkönyvi számla</v>
      </c>
      <c r="R2464" t="str">
        <f>IFERROR(VLOOKUP(K2464,PAR!$V$3:$X$438,3,FALSE),"000000 - Nincs COFOG")</f>
        <v>000000 - Nincs COFOG</v>
      </c>
      <c r="S2464">
        <f t="shared" si="734"/>
        <v>0</v>
      </c>
      <c r="T2464">
        <f t="shared" si="735"/>
        <v>0</v>
      </c>
      <c r="U2464" t="str">
        <f>IF('906MP'!J2164&gt;0,CONCATENATE('906MP'!J2164," - ",'906MP'!P2164,", ",'906MP'!E2164),"nincs megjegyzés")</f>
        <v>nincs megjegyzés</v>
      </c>
      <c r="V2464" t="str">
        <f t="shared" si="722"/>
        <v>0P0</v>
      </c>
      <c r="W2464" t="str">
        <f t="shared" si="723"/>
        <v>0P0</v>
      </c>
      <c r="X2464" t="str">
        <f t="shared" si="724"/>
        <v>P0</v>
      </c>
      <c r="Y2464" t="str">
        <f t="shared" si="725"/>
        <v>00</v>
      </c>
      <c r="Z2464" t="str">
        <f t="shared" si="736"/>
        <v>00</v>
      </c>
      <c r="AA2464" t="str">
        <f t="shared" si="726"/>
        <v>00</v>
      </c>
      <c r="AB2464" t="str">
        <f t="shared" si="727"/>
        <v>00</v>
      </c>
      <c r="AC2464" t="str">
        <f t="shared" si="728"/>
        <v>0P0</v>
      </c>
      <c r="AD2464" t="str">
        <f t="shared" si="729"/>
        <v>P00</v>
      </c>
      <c r="AE2464" t="str">
        <f t="shared" si="730"/>
        <v>0P0</v>
      </c>
      <c r="AF2464" t="str">
        <f t="shared" si="731"/>
        <v>P00</v>
      </c>
      <c r="AG2464" t="str">
        <f t="shared" si="737"/>
        <v>0P00</v>
      </c>
      <c r="AH2464" t="str">
        <f t="shared" si="738"/>
        <v>P000</v>
      </c>
      <c r="AI2464" t="str">
        <f t="shared" si="739"/>
        <v>0P00</v>
      </c>
      <c r="AJ2464" t="str">
        <f t="shared" si="740"/>
        <v>P000</v>
      </c>
    </row>
    <row r="2465" spans="1:36" x14ac:dyDescent="0.25">
      <c r="A2465" s="325" t="str">
        <f>CONCATENATE("P",'906MP'!M2165)</f>
        <v>P</v>
      </c>
      <c r="B2465">
        <f>'906MP'!H2165</f>
        <v>0</v>
      </c>
      <c r="C2465">
        <f>'906MP'!J2165</f>
        <v>0</v>
      </c>
      <c r="D2465">
        <f>'906MP'!P2165</f>
        <v>0</v>
      </c>
      <c r="E2465">
        <f>'906MP'!X2165</f>
        <v>0</v>
      </c>
      <c r="F2465" t="str">
        <f t="shared" si="732"/>
        <v>0</v>
      </c>
      <c r="G2465" t="str">
        <f t="shared" si="733"/>
        <v>0</v>
      </c>
      <c r="H2465">
        <f>'906MP'!Y2165</f>
        <v>0</v>
      </c>
      <c r="I2465">
        <f>'906MP'!AK2165</f>
        <v>0</v>
      </c>
      <c r="J2465">
        <f>'906MP'!T2165</f>
        <v>0</v>
      </c>
      <c r="K2465">
        <f>'906MP'!AJ2165</f>
        <v>0</v>
      </c>
      <c r="L2465">
        <f>'906MP'!U2165</f>
        <v>0</v>
      </c>
      <c r="M2465" s="322" t="str">
        <f>IFERROR(VLOOKUP(A2465,PAR!$D$3:$E$53,2,FALSE),"nincs szervezet")</f>
        <v>nincs szervezet</v>
      </c>
      <c r="N2465" s="322" t="str">
        <f>VLOOKUP(F2465,PAR!$R$3:$S$5,2,FALSE)</f>
        <v>3 - egyik sem</v>
      </c>
      <c r="O2465" t="str">
        <f>IFERROR(VLOOKUP(J2465,PAR!$O$3:$P$5,2,FALSE),"nincs feladat")</f>
        <v>nincs feladat</v>
      </c>
      <c r="P2465" t="str">
        <f>IFERROR(VLOOKUP(G2465,PAR!$J$2:$M$19,4),"nincs rovat")</f>
        <v>nincs rovat</v>
      </c>
      <c r="Q2465" t="str">
        <f>IF(H2465&gt;0,VLOOKUP(H2465,PAR!$AA$3:$AC$187,3,FALSE),"nincs főkönyvi számla")</f>
        <v>nincs főkönyvi számla</v>
      </c>
      <c r="R2465" t="str">
        <f>IFERROR(VLOOKUP(K2465,PAR!$V$3:$X$438,3,FALSE),"000000 - Nincs COFOG")</f>
        <v>000000 - Nincs COFOG</v>
      </c>
      <c r="S2465">
        <f t="shared" si="734"/>
        <v>0</v>
      </c>
      <c r="T2465">
        <f t="shared" si="735"/>
        <v>0</v>
      </c>
      <c r="U2465" t="str">
        <f>IF('906MP'!J2165&gt;0,CONCATENATE('906MP'!J2165," - ",'906MP'!P2165,", ",'906MP'!E2165),"nincs megjegyzés")</f>
        <v>nincs megjegyzés</v>
      </c>
      <c r="V2465" t="str">
        <f t="shared" si="722"/>
        <v>0P0</v>
      </c>
      <c r="W2465" t="str">
        <f t="shared" si="723"/>
        <v>0P0</v>
      </c>
      <c r="X2465" t="str">
        <f t="shared" si="724"/>
        <v>P0</v>
      </c>
      <c r="Y2465" t="str">
        <f t="shared" si="725"/>
        <v>00</v>
      </c>
      <c r="Z2465" t="str">
        <f t="shared" si="736"/>
        <v>00</v>
      </c>
      <c r="AA2465" t="str">
        <f t="shared" si="726"/>
        <v>00</v>
      </c>
      <c r="AB2465" t="str">
        <f t="shared" si="727"/>
        <v>00</v>
      </c>
      <c r="AC2465" t="str">
        <f t="shared" si="728"/>
        <v>0P0</v>
      </c>
      <c r="AD2465" t="str">
        <f t="shared" si="729"/>
        <v>P00</v>
      </c>
      <c r="AE2465" t="str">
        <f t="shared" si="730"/>
        <v>0P0</v>
      </c>
      <c r="AF2465" t="str">
        <f t="shared" si="731"/>
        <v>P00</v>
      </c>
      <c r="AG2465" t="str">
        <f t="shared" si="737"/>
        <v>0P00</v>
      </c>
      <c r="AH2465" t="str">
        <f t="shared" si="738"/>
        <v>P000</v>
      </c>
      <c r="AI2465" t="str">
        <f t="shared" si="739"/>
        <v>0P00</v>
      </c>
      <c r="AJ2465" t="str">
        <f t="shared" si="740"/>
        <v>P000</v>
      </c>
    </row>
    <row r="2466" spans="1:36" x14ac:dyDescent="0.25">
      <c r="A2466" s="325" t="str">
        <f>CONCATENATE("P",'906MP'!M2166)</f>
        <v>P</v>
      </c>
      <c r="B2466">
        <f>'906MP'!H2166</f>
        <v>0</v>
      </c>
      <c r="C2466">
        <f>'906MP'!J2166</f>
        <v>0</v>
      </c>
      <c r="D2466">
        <f>'906MP'!P2166</f>
        <v>0</v>
      </c>
      <c r="E2466">
        <f>'906MP'!X2166</f>
        <v>0</v>
      </c>
      <c r="F2466" t="str">
        <f t="shared" si="732"/>
        <v>0</v>
      </c>
      <c r="G2466" t="str">
        <f t="shared" si="733"/>
        <v>0</v>
      </c>
      <c r="H2466">
        <f>'906MP'!Y2166</f>
        <v>0</v>
      </c>
      <c r="I2466">
        <f>'906MP'!AK2166</f>
        <v>0</v>
      </c>
      <c r="J2466">
        <f>'906MP'!T2166</f>
        <v>0</v>
      </c>
      <c r="K2466">
        <f>'906MP'!AJ2166</f>
        <v>0</v>
      </c>
      <c r="L2466">
        <f>'906MP'!U2166</f>
        <v>0</v>
      </c>
      <c r="M2466" s="322" t="str">
        <f>IFERROR(VLOOKUP(A2466,PAR!$D$3:$E$53,2,FALSE),"nincs szervezet")</f>
        <v>nincs szervezet</v>
      </c>
      <c r="N2466" s="322" t="str">
        <f>VLOOKUP(F2466,PAR!$R$3:$S$5,2,FALSE)</f>
        <v>3 - egyik sem</v>
      </c>
      <c r="O2466" t="str">
        <f>IFERROR(VLOOKUP(J2466,PAR!$O$3:$P$5,2,FALSE),"nincs feladat")</f>
        <v>nincs feladat</v>
      </c>
      <c r="P2466" t="str">
        <f>IFERROR(VLOOKUP(G2466,PAR!$J$2:$M$19,4),"nincs rovat")</f>
        <v>nincs rovat</v>
      </c>
      <c r="Q2466" t="str">
        <f>IF(H2466&gt;0,VLOOKUP(H2466,PAR!$AA$3:$AC$187,3,FALSE),"nincs főkönyvi számla")</f>
        <v>nincs főkönyvi számla</v>
      </c>
      <c r="R2466" t="str">
        <f>IFERROR(VLOOKUP(K2466,PAR!$V$3:$X$438,3,FALSE),"000000 - Nincs COFOG")</f>
        <v>000000 - Nincs COFOG</v>
      </c>
      <c r="S2466">
        <f t="shared" si="734"/>
        <v>0</v>
      </c>
      <c r="T2466">
        <f t="shared" si="735"/>
        <v>0</v>
      </c>
      <c r="U2466" t="str">
        <f>IF('906MP'!J2166&gt;0,CONCATENATE('906MP'!J2166," - ",'906MP'!P2166,", ",'906MP'!E2166),"nincs megjegyzés")</f>
        <v>nincs megjegyzés</v>
      </c>
      <c r="V2466" t="str">
        <f t="shared" si="722"/>
        <v>0P0</v>
      </c>
      <c r="W2466" t="str">
        <f t="shared" si="723"/>
        <v>0P0</v>
      </c>
      <c r="X2466" t="str">
        <f t="shared" si="724"/>
        <v>P0</v>
      </c>
      <c r="Y2466" t="str">
        <f t="shared" si="725"/>
        <v>00</v>
      </c>
      <c r="Z2466" t="str">
        <f t="shared" si="736"/>
        <v>00</v>
      </c>
      <c r="AA2466" t="str">
        <f t="shared" si="726"/>
        <v>00</v>
      </c>
      <c r="AB2466" t="str">
        <f t="shared" si="727"/>
        <v>00</v>
      </c>
      <c r="AC2466" t="str">
        <f t="shared" si="728"/>
        <v>0P0</v>
      </c>
      <c r="AD2466" t="str">
        <f t="shared" si="729"/>
        <v>P00</v>
      </c>
      <c r="AE2466" t="str">
        <f t="shared" si="730"/>
        <v>0P0</v>
      </c>
      <c r="AF2466" t="str">
        <f t="shared" si="731"/>
        <v>P00</v>
      </c>
      <c r="AG2466" t="str">
        <f t="shared" si="737"/>
        <v>0P00</v>
      </c>
      <c r="AH2466" t="str">
        <f t="shared" si="738"/>
        <v>P000</v>
      </c>
      <c r="AI2466" t="str">
        <f t="shared" si="739"/>
        <v>0P00</v>
      </c>
      <c r="AJ2466" t="str">
        <f t="shared" si="740"/>
        <v>P000</v>
      </c>
    </row>
    <row r="2467" spans="1:36" x14ac:dyDescent="0.25">
      <c r="A2467" s="325" t="str">
        <f>CONCATENATE("P",'906MP'!M2167)</f>
        <v>P</v>
      </c>
      <c r="B2467">
        <f>'906MP'!H2167</f>
        <v>0</v>
      </c>
      <c r="C2467">
        <f>'906MP'!J2167</f>
        <v>0</v>
      </c>
      <c r="D2467">
        <f>'906MP'!P2167</f>
        <v>0</v>
      </c>
      <c r="E2467">
        <f>'906MP'!X2167</f>
        <v>0</v>
      </c>
      <c r="F2467" t="str">
        <f t="shared" si="732"/>
        <v>0</v>
      </c>
      <c r="G2467" t="str">
        <f t="shared" si="733"/>
        <v>0</v>
      </c>
      <c r="H2467">
        <f>'906MP'!Y2167</f>
        <v>0</v>
      </c>
      <c r="I2467">
        <f>'906MP'!AK2167</f>
        <v>0</v>
      </c>
      <c r="J2467">
        <f>'906MP'!T2167</f>
        <v>0</v>
      </c>
      <c r="K2467">
        <f>'906MP'!AJ2167</f>
        <v>0</v>
      </c>
      <c r="L2467">
        <f>'906MP'!U2167</f>
        <v>0</v>
      </c>
      <c r="M2467" s="322" t="str">
        <f>IFERROR(VLOOKUP(A2467,PAR!$D$3:$E$53,2,FALSE),"nincs szervezet")</f>
        <v>nincs szervezet</v>
      </c>
      <c r="N2467" s="322" t="str">
        <f>VLOOKUP(F2467,PAR!$R$3:$S$5,2,FALSE)</f>
        <v>3 - egyik sem</v>
      </c>
      <c r="O2467" t="str">
        <f>IFERROR(VLOOKUP(J2467,PAR!$O$3:$P$5,2,FALSE),"nincs feladat")</f>
        <v>nincs feladat</v>
      </c>
      <c r="P2467" t="str">
        <f>IFERROR(VLOOKUP(G2467,PAR!$J$2:$M$19,4),"nincs rovat")</f>
        <v>nincs rovat</v>
      </c>
      <c r="Q2467" t="str">
        <f>IF(H2467&gt;0,VLOOKUP(H2467,PAR!$AA$3:$AC$187,3,FALSE),"nincs főkönyvi számla")</f>
        <v>nincs főkönyvi számla</v>
      </c>
      <c r="R2467" t="str">
        <f>IFERROR(VLOOKUP(K2467,PAR!$V$3:$X$438,3,FALSE),"000000 - Nincs COFOG")</f>
        <v>000000 - Nincs COFOG</v>
      </c>
      <c r="S2467">
        <f t="shared" si="734"/>
        <v>0</v>
      </c>
      <c r="T2467">
        <f t="shared" si="735"/>
        <v>0</v>
      </c>
      <c r="U2467" t="str">
        <f>IF('906MP'!J2167&gt;0,CONCATENATE('906MP'!J2167," - ",'906MP'!P2167,", ",'906MP'!E2167),"nincs megjegyzés")</f>
        <v>nincs megjegyzés</v>
      </c>
      <c r="V2467" t="str">
        <f t="shared" si="722"/>
        <v>0P0</v>
      </c>
      <c r="W2467" t="str">
        <f t="shared" si="723"/>
        <v>0P0</v>
      </c>
      <c r="X2467" t="str">
        <f t="shared" si="724"/>
        <v>P0</v>
      </c>
      <c r="Y2467" t="str">
        <f t="shared" si="725"/>
        <v>00</v>
      </c>
      <c r="Z2467" t="str">
        <f t="shared" si="736"/>
        <v>00</v>
      </c>
      <c r="AA2467" t="str">
        <f t="shared" si="726"/>
        <v>00</v>
      </c>
      <c r="AB2467" t="str">
        <f t="shared" si="727"/>
        <v>00</v>
      </c>
      <c r="AC2467" t="str">
        <f t="shared" si="728"/>
        <v>0P0</v>
      </c>
      <c r="AD2467" t="str">
        <f t="shared" si="729"/>
        <v>P00</v>
      </c>
      <c r="AE2467" t="str">
        <f t="shared" si="730"/>
        <v>0P0</v>
      </c>
      <c r="AF2467" t="str">
        <f t="shared" si="731"/>
        <v>P00</v>
      </c>
      <c r="AG2467" t="str">
        <f t="shared" si="737"/>
        <v>0P00</v>
      </c>
      <c r="AH2467" t="str">
        <f t="shared" si="738"/>
        <v>P000</v>
      </c>
      <c r="AI2467" t="str">
        <f t="shared" si="739"/>
        <v>0P00</v>
      </c>
      <c r="AJ2467" t="str">
        <f t="shared" si="740"/>
        <v>P000</v>
      </c>
    </row>
    <row r="2468" spans="1:36" x14ac:dyDescent="0.25">
      <c r="A2468" s="325" t="str">
        <f>CONCATENATE("P",'906MP'!M2168)</f>
        <v>P</v>
      </c>
      <c r="B2468">
        <f>'906MP'!H2168</f>
        <v>0</v>
      </c>
      <c r="C2468">
        <f>'906MP'!J2168</f>
        <v>0</v>
      </c>
      <c r="D2468">
        <f>'906MP'!P2168</f>
        <v>0</v>
      </c>
      <c r="E2468">
        <f>'906MP'!X2168</f>
        <v>0</v>
      </c>
      <c r="F2468" t="str">
        <f t="shared" si="732"/>
        <v>0</v>
      </c>
      <c r="G2468" t="str">
        <f t="shared" si="733"/>
        <v>0</v>
      </c>
      <c r="H2468">
        <f>'906MP'!Y2168</f>
        <v>0</v>
      </c>
      <c r="I2468">
        <f>'906MP'!AK2168</f>
        <v>0</v>
      </c>
      <c r="J2468">
        <f>'906MP'!T2168</f>
        <v>0</v>
      </c>
      <c r="K2468">
        <f>'906MP'!AJ2168</f>
        <v>0</v>
      </c>
      <c r="L2468">
        <f>'906MP'!U2168</f>
        <v>0</v>
      </c>
      <c r="M2468" s="322" t="str">
        <f>IFERROR(VLOOKUP(A2468,PAR!$D$3:$E$53,2,FALSE),"nincs szervezet")</f>
        <v>nincs szervezet</v>
      </c>
      <c r="N2468" s="322" t="str">
        <f>VLOOKUP(F2468,PAR!$R$3:$S$5,2,FALSE)</f>
        <v>3 - egyik sem</v>
      </c>
      <c r="O2468" t="str">
        <f>IFERROR(VLOOKUP(J2468,PAR!$O$3:$P$5,2,FALSE),"nincs feladat")</f>
        <v>nincs feladat</v>
      </c>
      <c r="P2468" t="str">
        <f>IFERROR(VLOOKUP(G2468,PAR!$J$2:$M$19,4),"nincs rovat")</f>
        <v>nincs rovat</v>
      </c>
      <c r="Q2468" t="str">
        <f>IF(H2468&gt;0,VLOOKUP(H2468,PAR!$AA$3:$AC$187,3,FALSE),"nincs főkönyvi számla")</f>
        <v>nincs főkönyvi számla</v>
      </c>
      <c r="R2468" t="str">
        <f>IFERROR(VLOOKUP(K2468,PAR!$V$3:$X$438,3,FALSE),"000000 - Nincs COFOG")</f>
        <v>000000 - Nincs COFOG</v>
      </c>
      <c r="S2468">
        <f t="shared" si="734"/>
        <v>0</v>
      </c>
      <c r="T2468">
        <f t="shared" si="735"/>
        <v>0</v>
      </c>
      <c r="U2468" t="str">
        <f>IF('906MP'!J2168&gt;0,CONCATENATE('906MP'!J2168," - ",'906MP'!P2168,", ",'906MP'!E2168),"nincs megjegyzés")</f>
        <v>nincs megjegyzés</v>
      </c>
      <c r="V2468" t="str">
        <f t="shared" si="722"/>
        <v>0P0</v>
      </c>
      <c r="W2468" t="str">
        <f t="shared" si="723"/>
        <v>0P0</v>
      </c>
      <c r="X2468" t="str">
        <f t="shared" si="724"/>
        <v>P0</v>
      </c>
      <c r="Y2468" t="str">
        <f t="shared" si="725"/>
        <v>00</v>
      </c>
      <c r="Z2468" t="str">
        <f t="shared" si="736"/>
        <v>00</v>
      </c>
      <c r="AA2468" t="str">
        <f t="shared" si="726"/>
        <v>00</v>
      </c>
      <c r="AB2468" t="str">
        <f t="shared" si="727"/>
        <v>00</v>
      </c>
      <c r="AC2468" t="str">
        <f t="shared" si="728"/>
        <v>0P0</v>
      </c>
      <c r="AD2468" t="str">
        <f t="shared" si="729"/>
        <v>P00</v>
      </c>
      <c r="AE2468" t="str">
        <f t="shared" si="730"/>
        <v>0P0</v>
      </c>
      <c r="AF2468" t="str">
        <f t="shared" si="731"/>
        <v>P00</v>
      </c>
      <c r="AG2468" t="str">
        <f t="shared" si="737"/>
        <v>0P00</v>
      </c>
      <c r="AH2468" t="str">
        <f t="shared" si="738"/>
        <v>P000</v>
      </c>
      <c r="AI2468" t="str">
        <f t="shared" si="739"/>
        <v>0P00</v>
      </c>
      <c r="AJ2468" t="str">
        <f t="shared" si="740"/>
        <v>P000</v>
      </c>
    </row>
    <row r="2469" spans="1:36" x14ac:dyDescent="0.25">
      <c r="A2469" s="325" t="str">
        <f>CONCATENATE("P",'906MP'!M2169)</f>
        <v>P</v>
      </c>
      <c r="B2469">
        <f>'906MP'!H2169</f>
        <v>0</v>
      </c>
      <c r="C2469">
        <f>'906MP'!J2169</f>
        <v>0</v>
      </c>
      <c r="D2469">
        <f>'906MP'!P2169</f>
        <v>0</v>
      </c>
      <c r="E2469">
        <f>'906MP'!X2169</f>
        <v>0</v>
      </c>
      <c r="F2469" t="str">
        <f t="shared" si="732"/>
        <v>0</v>
      </c>
      <c r="G2469" t="str">
        <f t="shared" si="733"/>
        <v>0</v>
      </c>
      <c r="H2469">
        <f>'906MP'!Y2169</f>
        <v>0</v>
      </c>
      <c r="I2469">
        <f>'906MP'!AK2169</f>
        <v>0</v>
      </c>
      <c r="J2469">
        <f>'906MP'!T2169</f>
        <v>0</v>
      </c>
      <c r="K2469">
        <f>'906MP'!AJ2169</f>
        <v>0</v>
      </c>
      <c r="L2469">
        <f>'906MP'!U2169</f>
        <v>0</v>
      </c>
      <c r="M2469" s="322" t="str">
        <f>IFERROR(VLOOKUP(A2469,PAR!$D$3:$E$53,2,FALSE),"nincs szervezet")</f>
        <v>nincs szervezet</v>
      </c>
      <c r="N2469" s="322" t="str">
        <f>VLOOKUP(F2469,PAR!$R$3:$S$5,2,FALSE)</f>
        <v>3 - egyik sem</v>
      </c>
      <c r="O2469" t="str">
        <f>IFERROR(VLOOKUP(J2469,PAR!$O$3:$P$5,2,FALSE),"nincs feladat")</f>
        <v>nincs feladat</v>
      </c>
      <c r="P2469" t="str">
        <f>IFERROR(VLOOKUP(G2469,PAR!$J$2:$M$19,4),"nincs rovat")</f>
        <v>nincs rovat</v>
      </c>
      <c r="Q2469" t="str">
        <f>IF(H2469&gt;0,VLOOKUP(H2469,PAR!$AA$3:$AC$187,3,FALSE),"nincs főkönyvi számla")</f>
        <v>nincs főkönyvi számla</v>
      </c>
      <c r="R2469" t="str">
        <f>IFERROR(VLOOKUP(K2469,PAR!$V$3:$X$438,3,FALSE),"000000 - Nincs COFOG")</f>
        <v>000000 - Nincs COFOG</v>
      </c>
      <c r="S2469">
        <f t="shared" si="734"/>
        <v>0</v>
      </c>
      <c r="T2469">
        <f t="shared" si="735"/>
        <v>0</v>
      </c>
      <c r="U2469" t="str">
        <f>IF('906MP'!J2169&gt;0,CONCATENATE('906MP'!J2169," - ",'906MP'!P2169,", ",'906MP'!E2169),"nincs megjegyzés")</f>
        <v>nincs megjegyzés</v>
      </c>
      <c r="V2469" t="str">
        <f t="shared" si="722"/>
        <v>0P0</v>
      </c>
      <c r="W2469" t="str">
        <f t="shared" si="723"/>
        <v>0P0</v>
      </c>
      <c r="X2469" t="str">
        <f t="shared" si="724"/>
        <v>P0</v>
      </c>
      <c r="Y2469" t="str">
        <f t="shared" si="725"/>
        <v>00</v>
      </c>
      <c r="Z2469" t="str">
        <f t="shared" si="736"/>
        <v>00</v>
      </c>
      <c r="AA2469" t="str">
        <f t="shared" si="726"/>
        <v>00</v>
      </c>
      <c r="AB2469" t="str">
        <f t="shared" si="727"/>
        <v>00</v>
      </c>
      <c r="AC2469" t="str">
        <f t="shared" si="728"/>
        <v>0P0</v>
      </c>
      <c r="AD2469" t="str">
        <f t="shared" si="729"/>
        <v>P00</v>
      </c>
      <c r="AE2469" t="str">
        <f t="shared" si="730"/>
        <v>0P0</v>
      </c>
      <c r="AF2469" t="str">
        <f t="shared" si="731"/>
        <v>P00</v>
      </c>
      <c r="AG2469" t="str">
        <f t="shared" si="737"/>
        <v>0P00</v>
      </c>
      <c r="AH2469" t="str">
        <f t="shared" si="738"/>
        <v>P000</v>
      </c>
      <c r="AI2469" t="str">
        <f t="shared" si="739"/>
        <v>0P00</v>
      </c>
      <c r="AJ2469" t="str">
        <f t="shared" si="740"/>
        <v>P000</v>
      </c>
    </row>
    <row r="2470" spans="1:36" x14ac:dyDescent="0.25">
      <c r="A2470" s="325" t="str">
        <f>CONCATENATE("P",'906MP'!M2170)</f>
        <v>P</v>
      </c>
      <c r="B2470">
        <f>'906MP'!H2170</f>
        <v>0</v>
      </c>
      <c r="C2470">
        <f>'906MP'!J2170</f>
        <v>0</v>
      </c>
      <c r="D2470">
        <f>'906MP'!P2170</f>
        <v>0</v>
      </c>
      <c r="E2470">
        <f>'906MP'!X2170</f>
        <v>0</v>
      </c>
      <c r="F2470" t="str">
        <f t="shared" si="732"/>
        <v>0</v>
      </c>
      <c r="G2470" t="str">
        <f t="shared" si="733"/>
        <v>0</v>
      </c>
      <c r="H2470">
        <f>'906MP'!Y2170</f>
        <v>0</v>
      </c>
      <c r="I2470">
        <f>'906MP'!AK2170</f>
        <v>0</v>
      </c>
      <c r="J2470">
        <f>'906MP'!T2170</f>
        <v>0</v>
      </c>
      <c r="K2470">
        <f>'906MP'!AJ2170</f>
        <v>0</v>
      </c>
      <c r="L2470">
        <f>'906MP'!U2170</f>
        <v>0</v>
      </c>
      <c r="M2470" s="322" t="str">
        <f>IFERROR(VLOOKUP(A2470,PAR!$D$3:$E$53,2,FALSE),"nincs szervezet")</f>
        <v>nincs szervezet</v>
      </c>
      <c r="N2470" s="322" t="str">
        <f>VLOOKUP(F2470,PAR!$R$3:$S$5,2,FALSE)</f>
        <v>3 - egyik sem</v>
      </c>
      <c r="O2470" t="str">
        <f>IFERROR(VLOOKUP(J2470,PAR!$O$3:$P$5,2,FALSE),"nincs feladat")</f>
        <v>nincs feladat</v>
      </c>
      <c r="P2470" t="str">
        <f>IFERROR(VLOOKUP(G2470,PAR!$J$2:$M$19,4),"nincs rovat")</f>
        <v>nincs rovat</v>
      </c>
      <c r="Q2470" t="str">
        <f>IF(H2470&gt;0,VLOOKUP(H2470,PAR!$AA$3:$AC$187,3,FALSE),"nincs főkönyvi számla")</f>
        <v>nincs főkönyvi számla</v>
      </c>
      <c r="R2470" t="str">
        <f>IFERROR(VLOOKUP(K2470,PAR!$V$3:$X$438,3,FALSE),"000000 - Nincs COFOG")</f>
        <v>000000 - Nincs COFOG</v>
      </c>
      <c r="S2470">
        <f t="shared" si="734"/>
        <v>0</v>
      </c>
      <c r="T2470">
        <f t="shared" si="735"/>
        <v>0</v>
      </c>
      <c r="U2470" t="str">
        <f>IF('906MP'!J2170&gt;0,CONCATENATE('906MP'!J2170," - ",'906MP'!P2170,", ",'906MP'!E2170),"nincs megjegyzés")</f>
        <v>nincs megjegyzés</v>
      </c>
      <c r="V2470" t="str">
        <f t="shared" si="722"/>
        <v>0P0</v>
      </c>
      <c r="W2470" t="str">
        <f t="shared" si="723"/>
        <v>0P0</v>
      </c>
      <c r="X2470" t="str">
        <f t="shared" si="724"/>
        <v>P0</v>
      </c>
      <c r="Y2470" t="str">
        <f t="shared" si="725"/>
        <v>00</v>
      </c>
      <c r="Z2470" t="str">
        <f t="shared" si="736"/>
        <v>00</v>
      </c>
      <c r="AA2470" t="str">
        <f t="shared" si="726"/>
        <v>00</v>
      </c>
      <c r="AB2470" t="str">
        <f t="shared" si="727"/>
        <v>00</v>
      </c>
      <c r="AC2470" t="str">
        <f t="shared" si="728"/>
        <v>0P0</v>
      </c>
      <c r="AD2470" t="str">
        <f t="shared" si="729"/>
        <v>P00</v>
      </c>
      <c r="AE2470" t="str">
        <f t="shared" si="730"/>
        <v>0P0</v>
      </c>
      <c r="AF2470" t="str">
        <f t="shared" si="731"/>
        <v>P00</v>
      </c>
      <c r="AG2470" t="str">
        <f t="shared" si="737"/>
        <v>0P00</v>
      </c>
      <c r="AH2470" t="str">
        <f t="shared" si="738"/>
        <v>P000</v>
      </c>
      <c r="AI2470" t="str">
        <f t="shared" si="739"/>
        <v>0P00</v>
      </c>
      <c r="AJ2470" t="str">
        <f t="shared" si="740"/>
        <v>P000</v>
      </c>
    </row>
    <row r="2471" spans="1:36" x14ac:dyDescent="0.25">
      <c r="A2471" s="325" t="str">
        <f>CONCATENATE("P",'906MP'!M2171)</f>
        <v>P</v>
      </c>
      <c r="B2471">
        <f>'906MP'!H2171</f>
        <v>0</v>
      </c>
      <c r="C2471">
        <f>'906MP'!J2171</f>
        <v>0</v>
      </c>
      <c r="D2471">
        <f>'906MP'!P2171</f>
        <v>0</v>
      </c>
      <c r="E2471">
        <f>'906MP'!X2171</f>
        <v>0</v>
      </c>
      <c r="F2471" t="str">
        <f t="shared" si="732"/>
        <v>0</v>
      </c>
      <c r="G2471" t="str">
        <f t="shared" si="733"/>
        <v>0</v>
      </c>
      <c r="H2471">
        <f>'906MP'!Y2171</f>
        <v>0</v>
      </c>
      <c r="I2471">
        <f>'906MP'!AK2171</f>
        <v>0</v>
      </c>
      <c r="J2471">
        <f>'906MP'!T2171</f>
        <v>0</v>
      </c>
      <c r="K2471">
        <f>'906MP'!AJ2171</f>
        <v>0</v>
      </c>
      <c r="L2471">
        <f>'906MP'!U2171</f>
        <v>0</v>
      </c>
      <c r="M2471" s="322" t="str">
        <f>IFERROR(VLOOKUP(A2471,PAR!$D$3:$E$53,2,FALSE),"nincs szervezet")</f>
        <v>nincs szervezet</v>
      </c>
      <c r="N2471" s="322" t="str">
        <f>VLOOKUP(F2471,PAR!$R$3:$S$5,2,FALSE)</f>
        <v>3 - egyik sem</v>
      </c>
      <c r="O2471" t="str">
        <f>IFERROR(VLOOKUP(J2471,PAR!$O$3:$P$5,2,FALSE),"nincs feladat")</f>
        <v>nincs feladat</v>
      </c>
      <c r="P2471" t="str">
        <f>IFERROR(VLOOKUP(G2471,PAR!$J$2:$M$19,4),"nincs rovat")</f>
        <v>nincs rovat</v>
      </c>
      <c r="Q2471" t="str">
        <f>IF(H2471&gt;0,VLOOKUP(H2471,PAR!$AA$3:$AC$187,3,FALSE),"nincs főkönyvi számla")</f>
        <v>nincs főkönyvi számla</v>
      </c>
      <c r="R2471" t="str">
        <f>IFERROR(VLOOKUP(K2471,PAR!$V$3:$X$438,3,FALSE),"000000 - Nincs COFOG")</f>
        <v>000000 - Nincs COFOG</v>
      </c>
      <c r="S2471">
        <f t="shared" si="734"/>
        <v>0</v>
      </c>
      <c r="T2471">
        <f t="shared" si="735"/>
        <v>0</v>
      </c>
      <c r="U2471" t="str">
        <f>IF('906MP'!J2171&gt;0,CONCATENATE('906MP'!J2171," - ",'906MP'!P2171,", ",'906MP'!E2171),"nincs megjegyzés")</f>
        <v>nincs megjegyzés</v>
      </c>
      <c r="V2471" t="str">
        <f t="shared" si="722"/>
        <v>0P0</v>
      </c>
      <c r="W2471" t="str">
        <f t="shared" si="723"/>
        <v>0P0</v>
      </c>
      <c r="X2471" t="str">
        <f t="shared" si="724"/>
        <v>P0</v>
      </c>
      <c r="Y2471" t="str">
        <f t="shared" si="725"/>
        <v>00</v>
      </c>
      <c r="Z2471" t="str">
        <f t="shared" si="736"/>
        <v>00</v>
      </c>
      <c r="AA2471" t="str">
        <f t="shared" si="726"/>
        <v>00</v>
      </c>
      <c r="AB2471" t="str">
        <f t="shared" si="727"/>
        <v>00</v>
      </c>
      <c r="AC2471" t="str">
        <f t="shared" si="728"/>
        <v>0P0</v>
      </c>
      <c r="AD2471" t="str">
        <f t="shared" si="729"/>
        <v>P00</v>
      </c>
      <c r="AE2471" t="str">
        <f t="shared" si="730"/>
        <v>0P0</v>
      </c>
      <c r="AF2471" t="str">
        <f t="shared" si="731"/>
        <v>P00</v>
      </c>
      <c r="AG2471" t="str">
        <f t="shared" si="737"/>
        <v>0P00</v>
      </c>
      <c r="AH2471" t="str">
        <f t="shared" si="738"/>
        <v>P000</v>
      </c>
      <c r="AI2471" t="str">
        <f t="shared" si="739"/>
        <v>0P00</v>
      </c>
      <c r="AJ2471" t="str">
        <f t="shared" si="740"/>
        <v>P000</v>
      </c>
    </row>
    <row r="2472" spans="1:36" x14ac:dyDescent="0.25">
      <c r="A2472" s="325" t="str">
        <f>CONCATENATE("P",'906MP'!M2172)</f>
        <v>P</v>
      </c>
      <c r="B2472">
        <f>'906MP'!H2172</f>
        <v>0</v>
      </c>
      <c r="C2472">
        <f>'906MP'!J2172</f>
        <v>0</v>
      </c>
      <c r="D2472">
        <f>'906MP'!P2172</f>
        <v>0</v>
      </c>
      <c r="E2472">
        <f>'906MP'!X2172</f>
        <v>0</v>
      </c>
      <c r="F2472" t="str">
        <f t="shared" si="732"/>
        <v>0</v>
      </c>
      <c r="G2472" t="str">
        <f t="shared" si="733"/>
        <v>0</v>
      </c>
      <c r="H2472">
        <f>'906MP'!Y2172</f>
        <v>0</v>
      </c>
      <c r="I2472">
        <f>'906MP'!AK2172</f>
        <v>0</v>
      </c>
      <c r="J2472">
        <f>'906MP'!T2172</f>
        <v>0</v>
      </c>
      <c r="K2472">
        <f>'906MP'!AJ2172</f>
        <v>0</v>
      </c>
      <c r="L2472">
        <f>'906MP'!U2172</f>
        <v>0</v>
      </c>
      <c r="M2472" s="322" t="str">
        <f>IFERROR(VLOOKUP(A2472,PAR!$D$3:$E$53,2,FALSE),"nincs szervezet")</f>
        <v>nincs szervezet</v>
      </c>
      <c r="N2472" s="322" t="str">
        <f>VLOOKUP(F2472,PAR!$R$3:$S$5,2,FALSE)</f>
        <v>3 - egyik sem</v>
      </c>
      <c r="O2472" t="str">
        <f>IFERROR(VLOOKUP(J2472,PAR!$O$3:$P$5,2,FALSE),"nincs feladat")</f>
        <v>nincs feladat</v>
      </c>
      <c r="P2472" t="str">
        <f>IFERROR(VLOOKUP(G2472,PAR!$J$2:$M$19,4),"nincs rovat")</f>
        <v>nincs rovat</v>
      </c>
      <c r="Q2472" t="str">
        <f>IF(H2472&gt;0,VLOOKUP(H2472,PAR!$AA$3:$AC$187,3,FALSE),"nincs főkönyvi számla")</f>
        <v>nincs főkönyvi számla</v>
      </c>
      <c r="R2472" t="str">
        <f>IFERROR(VLOOKUP(K2472,PAR!$V$3:$X$438,3,FALSE),"000000 - Nincs COFOG")</f>
        <v>000000 - Nincs COFOG</v>
      </c>
      <c r="S2472">
        <f t="shared" si="734"/>
        <v>0</v>
      </c>
      <c r="T2472">
        <f t="shared" si="735"/>
        <v>0</v>
      </c>
      <c r="U2472" t="str">
        <f>IF('906MP'!J2172&gt;0,CONCATENATE('906MP'!J2172," - ",'906MP'!P2172,", ",'906MP'!E2172),"nincs megjegyzés")</f>
        <v>nincs megjegyzés</v>
      </c>
      <c r="V2472" t="str">
        <f t="shared" si="722"/>
        <v>0P0</v>
      </c>
      <c r="W2472" t="str">
        <f t="shared" si="723"/>
        <v>0P0</v>
      </c>
      <c r="X2472" t="str">
        <f t="shared" si="724"/>
        <v>P0</v>
      </c>
      <c r="Y2472" t="str">
        <f t="shared" si="725"/>
        <v>00</v>
      </c>
      <c r="Z2472" t="str">
        <f t="shared" si="736"/>
        <v>00</v>
      </c>
      <c r="AA2472" t="str">
        <f t="shared" si="726"/>
        <v>00</v>
      </c>
      <c r="AB2472" t="str">
        <f t="shared" si="727"/>
        <v>00</v>
      </c>
      <c r="AC2472" t="str">
        <f t="shared" si="728"/>
        <v>0P0</v>
      </c>
      <c r="AD2472" t="str">
        <f t="shared" si="729"/>
        <v>P00</v>
      </c>
      <c r="AE2472" t="str">
        <f t="shared" si="730"/>
        <v>0P0</v>
      </c>
      <c r="AF2472" t="str">
        <f t="shared" si="731"/>
        <v>P00</v>
      </c>
      <c r="AG2472" t="str">
        <f t="shared" si="737"/>
        <v>0P00</v>
      </c>
      <c r="AH2472" t="str">
        <f t="shared" si="738"/>
        <v>P000</v>
      </c>
      <c r="AI2472" t="str">
        <f t="shared" si="739"/>
        <v>0P00</v>
      </c>
      <c r="AJ2472" t="str">
        <f t="shared" si="740"/>
        <v>P000</v>
      </c>
    </row>
    <row r="2473" spans="1:36" x14ac:dyDescent="0.25">
      <c r="A2473" s="325" t="str">
        <f>CONCATENATE("P",'906MP'!M2173)</f>
        <v>P</v>
      </c>
      <c r="B2473">
        <f>'906MP'!H2173</f>
        <v>0</v>
      </c>
      <c r="C2473">
        <f>'906MP'!J2173</f>
        <v>0</v>
      </c>
      <c r="D2473">
        <f>'906MP'!P2173</f>
        <v>0</v>
      </c>
      <c r="E2473">
        <f>'906MP'!X2173</f>
        <v>0</v>
      </c>
      <c r="F2473" t="str">
        <f t="shared" si="732"/>
        <v>0</v>
      </c>
      <c r="G2473" t="str">
        <f t="shared" si="733"/>
        <v>0</v>
      </c>
      <c r="H2473">
        <f>'906MP'!Y2173</f>
        <v>0</v>
      </c>
      <c r="I2473">
        <f>'906MP'!AK2173</f>
        <v>0</v>
      </c>
      <c r="J2473">
        <f>'906MP'!T2173</f>
        <v>0</v>
      </c>
      <c r="K2473">
        <f>'906MP'!AJ2173</f>
        <v>0</v>
      </c>
      <c r="L2473">
        <f>'906MP'!U2173</f>
        <v>0</v>
      </c>
      <c r="M2473" s="322" t="str">
        <f>IFERROR(VLOOKUP(A2473,PAR!$D$3:$E$53,2,FALSE),"nincs szervezet")</f>
        <v>nincs szervezet</v>
      </c>
      <c r="N2473" s="322" t="str">
        <f>VLOOKUP(F2473,PAR!$R$3:$S$5,2,FALSE)</f>
        <v>3 - egyik sem</v>
      </c>
      <c r="O2473" t="str">
        <f>IFERROR(VLOOKUP(J2473,PAR!$O$3:$P$5,2,FALSE),"nincs feladat")</f>
        <v>nincs feladat</v>
      </c>
      <c r="P2473" t="str">
        <f>IFERROR(VLOOKUP(G2473,PAR!$J$2:$M$19,4),"nincs rovat")</f>
        <v>nincs rovat</v>
      </c>
      <c r="Q2473" t="str">
        <f>IF(H2473&gt;0,VLOOKUP(H2473,PAR!$AA$3:$AC$187,3,FALSE),"nincs főkönyvi számla")</f>
        <v>nincs főkönyvi számla</v>
      </c>
      <c r="R2473" t="str">
        <f>IFERROR(VLOOKUP(K2473,PAR!$V$3:$X$438,3,FALSE),"000000 - Nincs COFOG")</f>
        <v>000000 - Nincs COFOG</v>
      </c>
      <c r="S2473">
        <f t="shared" si="734"/>
        <v>0</v>
      </c>
      <c r="T2473">
        <f t="shared" si="735"/>
        <v>0</v>
      </c>
      <c r="U2473" t="str">
        <f>IF('906MP'!J2173&gt;0,CONCATENATE('906MP'!J2173," - ",'906MP'!P2173,", ",'906MP'!E2173),"nincs megjegyzés")</f>
        <v>nincs megjegyzés</v>
      </c>
      <c r="V2473" t="str">
        <f t="shared" si="722"/>
        <v>0P0</v>
      </c>
      <c r="W2473" t="str">
        <f t="shared" si="723"/>
        <v>0P0</v>
      </c>
      <c r="X2473" t="str">
        <f t="shared" si="724"/>
        <v>P0</v>
      </c>
      <c r="Y2473" t="str">
        <f t="shared" si="725"/>
        <v>00</v>
      </c>
      <c r="Z2473" t="str">
        <f t="shared" si="736"/>
        <v>00</v>
      </c>
      <c r="AA2473" t="str">
        <f t="shared" si="726"/>
        <v>00</v>
      </c>
      <c r="AB2473" t="str">
        <f t="shared" si="727"/>
        <v>00</v>
      </c>
      <c r="AC2473" t="str">
        <f t="shared" si="728"/>
        <v>0P0</v>
      </c>
      <c r="AD2473" t="str">
        <f t="shared" si="729"/>
        <v>P00</v>
      </c>
      <c r="AE2473" t="str">
        <f t="shared" si="730"/>
        <v>0P0</v>
      </c>
      <c r="AF2473" t="str">
        <f t="shared" si="731"/>
        <v>P00</v>
      </c>
      <c r="AG2473" t="str">
        <f t="shared" si="737"/>
        <v>0P00</v>
      </c>
      <c r="AH2473" t="str">
        <f t="shared" si="738"/>
        <v>P000</v>
      </c>
      <c r="AI2473" t="str">
        <f t="shared" si="739"/>
        <v>0P00</v>
      </c>
      <c r="AJ2473" t="str">
        <f t="shared" si="740"/>
        <v>P000</v>
      </c>
    </row>
    <row r="2474" spans="1:36" x14ac:dyDescent="0.25">
      <c r="A2474" s="325" t="str">
        <f>CONCATENATE("P",'906MP'!M2174)</f>
        <v>P</v>
      </c>
      <c r="B2474">
        <f>'906MP'!H2174</f>
        <v>0</v>
      </c>
      <c r="C2474">
        <f>'906MP'!J2174</f>
        <v>0</v>
      </c>
      <c r="D2474">
        <f>'906MP'!P2174</f>
        <v>0</v>
      </c>
      <c r="E2474">
        <f>'906MP'!X2174</f>
        <v>0</v>
      </c>
      <c r="F2474" t="str">
        <f t="shared" si="732"/>
        <v>0</v>
      </c>
      <c r="G2474" t="str">
        <f t="shared" si="733"/>
        <v>0</v>
      </c>
      <c r="H2474">
        <f>'906MP'!Y2174</f>
        <v>0</v>
      </c>
      <c r="I2474">
        <f>'906MP'!AK2174</f>
        <v>0</v>
      </c>
      <c r="J2474">
        <f>'906MP'!T2174</f>
        <v>0</v>
      </c>
      <c r="K2474">
        <f>'906MP'!AJ2174</f>
        <v>0</v>
      </c>
      <c r="L2474">
        <f>'906MP'!U2174</f>
        <v>0</v>
      </c>
      <c r="M2474" s="322" t="str">
        <f>IFERROR(VLOOKUP(A2474,PAR!$D$3:$E$53,2,FALSE),"nincs szervezet")</f>
        <v>nincs szervezet</v>
      </c>
      <c r="N2474" s="322" t="str">
        <f>VLOOKUP(F2474,PAR!$R$3:$S$5,2,FALSE)</f>
        <v>3 - egyik sem</v>
      </c>
      <c r="O2474" t="str">
        <f>IFERROR(VLOOKUP(J2474,PAR!$O$3:$P$5,2,FALSE),"nincs feladat")</f>
        <v>nincs feladat</v>
      </c>
      <c r="P2474" t="str">
        <f>IFERROR(VLOOKUP(G2474,PAR!$J$2:$M$19,4),"nincs rovat")</f>
        <v>nincs rovat</v>
      </c>
      <c r="Q2474" t="str">
        <f>IF(H2474&gt;0,VLOOKUP(H2474,PAR!$AA$3:$AC$187,3,FALSE),"nincs főkönyvi számla")</f>
        <v>nincs főkönyvi számla</v>
      </c>
      <c r="R2474" t="str">
        <f>IFERROR(VLOOKUP(K2474,PAR!$V$3:$X$438,3,FALSE),"000000 - Nincs COFOG")</f>
        <v>000000 - Nincs COFOG</v>
      </c>
      <c r="S2474">
        <f t="shared" si="734"/>
        <v>0</v>
      </c>
      <c r="T2474">
        <f t="shared" si="735"/>
        <v>0</v>
      </c>
      <c r="U2474" t="str">
        <f>IF('906MP'!J2174&gt;0,CONCATENATE('906MP'!J2174," - ",'906MP'!P2174,", ",'906MP'!E2174),"nincs megjegyzés")</f>
        <v>nincs megjegyzés</v>
      </c>
      <c r="V2474" t="str">
        <f t="shared" si="722"/>
        <v>0P0</v>
      </c>
      <c r="W2474" t="str">
        <f t="shared" si="723"/>
        <v>0P0</v>
      </c>
      <c r="X2474" t="str">
        <f t="shared" si="724"/>
        <v>P0</v>
      </c>
      <c r="Y2474" t="str">
        <f t="shared" si="725"/>
        <v>00</v>
      </c>
      <c r="Z2474" t="str">
        <f t="shared" si="736"/>
        <v>00</v>
      </c>
      <c r="AA2474" t="str">
        <f t="shared" si="726"/>
        <v>00</v>
      </c>
      <c r="AB2474" t="str">
        <f t="shared" si="727"/>
        <v>00</v>
      </c>
      <c r="AC2474" t="str">
        <f t="shared" si="728"/>
        <v>0P0</v>
      </c>
      <c r="AD2474" t="str">
        <f t="shared" si="729"/>
        <v>P00</v>
      </c>
      <c r="AE2474" t="str">
        <f t="shared" si="730"/>
        <v>0P0</v>
      </c>
      <c r="AF2474" t="str">
        <f t="shared" si="731"/>
        <v>P00</v>
      </c>
      <c r="AG2474" t="str">
        <f t="shared" si="737"/>
        <v>0P00</v>
      </c>
      <c r="AH2474" t="str">
        <f t="shared" si="738"/>
        <v>P000</v>
      </c>
      <c r="AI2474" t="str">
        <f t="shared" si="739"/>
        <v>0P00</v>
      </c>
      <c r="AJ2474" t="str">
        <f t="shared" si="740"/>
        <v>P000</v>
      </c>
    </row>
    <row r="2475" spans="1:36" x14ac:dyDescent="0.25">
      <c r="A2475" s="325" t="str">
        <f>CONCATENATE("P",'906MP'!M2175)</f>
        <v>P</v>
      </c>
      <c r="B2475">
        <f>'906MP'!H2175</f>
        <v>0</v>
      </c>
      <c r="C2475">
        <f>'906MP'!J2175</f>
        <v>0</v>
      </c>
      <c r="D2475">
        <f>'906MP'!P2175</f>
        <v>0</v>
      </c>
      <c r="E2475">
        <f>'906MP'!X2175</f>
        <v>0</v>
      </c>
      <c r="F2475" t="str">
        <f t="shared" si="732"/>
        <v>0</v>
      </c>
      <c r="G2475" t="str">
        <f t="shared" si="733"/>
        <v>0</v>
      </c>
      <c r="H2475">
        <f>'906MP'!Y2175</f>
        <v>0</v>
      </c>
      <c r="I2475">
        <f>'906MP'!AK2175</f>
        <v>0</v>
      </c>
      <c r="J2475">
        <f>'906MP'!T2175</f>
        <v>0</v>
      </c>
      <c r="K2475">
        <f>'906MP'!AJ2175</f>
        <v>0</v>
      </c>
      <c r="L2475">
        <f>'906MP'!U2175</f>
        <v>0</v>
      </c>
      <c r="M2475" s="322" t="str">
        <f>IFERROR(VLOOKUP(A2475,PAR!$D$3:$E$53,2,FALSE),"nincs szervezet")</f>
        <v>nincs szervezet</v>
      </c>
      <c r="N2475" s="322" t="str">
        <f>VLOOKUP(F2475,PAR!$R$3:$S$5,2,FALSE)</f>
        <v>3 - egyik sem</v>
      </c>
      <c r="O2475" t="str">
        <f>IFERROR(VLOOKUP(J2475,PAR!$O$3:$P$5,2,FALSE),"nincs feladat")</f>
        <v>nincs feladat</v>
      </c>
      <c r="P2475" t="str">
        <f>IFERROR(VLOOKUP(G2475,PAR!$J$2:$M$19,4),"nincs rovat")</f>
        <v>nincs rovat</v>
      </c>
      <c r="Q2475" t="str">
        <f>IF(H2475&gt;0,VLOOKUP(H2475,PAR!$AA$3:$AC$187,3,FALSE),"nincs főkönyvi számla")</f>
        <v>nincs főkönyvi számla</v>
      </c>
      <c r="R2475" t="str">
        <f>IFERROR(VLOOKUP(K2475,PAR!$V$3:$X$438,3,FALSE),"000000 - Nincs COFOG")</f>
        <v>000000 - Nincs COFOG</v>
      </c>
      <c r="S2475">
        <f t="shared" si="734"/>
        <v>0</v>
      </c>
      <c r="T2475">
        <f t="shared" si="735"/>
        <v>0</v>
      </c>
      <c r="U2475" t="str">
        <f>IF('906MP'!J2175&gt;0,CONCATENATE('906MP'!J2175," - ",'906MP'!P2175,", ",'906MP'!E2175),"nincs megjegyzés")</f>
        <v>nincs megjegyzés</v>
      </c>
      <c r="V2475" t="str">
        <f t="shared" si="722"/>
        <v>0P0</v>
      </c>
      <c r="W2475" t="str">
        <f t="shared" si="723"/>
        <v>0P0</v>
      </c>
      <c r="X2475" t="str">
        <f t="shared" si="724"/>
        <v>P0</v>
      </c>
      <c r="Y2475" t="str">
        <f t="shared" si="725"/>
        <v>00</v>
      </c>
      <c r="Z2475" t="str">
        <f t="shared" si="736"/>
        <v>00</v>
      </c>
      <c r="AA2475" t="str">
        <f t="shared" si="726"/>
        <v>00</v>
      </c>
      <c r="AB2475" t="str">
        <f t="shared" si="727"/>
        <v>00</v>
      </c>
      <c r="AC2475" t="str">
        <f t="shared" si="728"/>
        <v>0P0</v>
      </c>
      <c r="AD2475" t="str">
        <f t="shared" si="729"/>
        <v>P00</v>
      </c>
      <c r="AE2475" t="str">
        <f t="shared" si="730"/>
        <v>0P0</v>
      </c>
      <c r="AF2475" t="str">
        <f t="shared" si="731"/>
        <v>P00</v>
      </c>
      <c r="AG2475" t="str">
        <f t="shared" si="737"/>
        <v>0P00</v>
      </c>
      <c r="AH2475" t="str">
        <f t="shared" si="738"/>
        <v>P000</v>
      </c>
      <c r="AI2475" t="str">
        <f t="shared" si="739"/>
        <v>0P00</v>
      </c>
      <c r="AJ2475" t="str">
        <f t="shared" si="740"/>
        <v>P000</v>
      </c>
    </row>
    <row r="2476" spans="1:36" x14ac:dyDescent="0.25">
      <c r="A2476" s="325" t="str">
        <f>CONCATENATE("P",'906MP'!M2176)</f>
        <v>P</v>
      </c>
      <c r="B2476">
        <f>'906MP'!H2176</f>
        <v>0</v>
      </c>
      <c r="C2476">
        <f>'906MP'!J2176</f>
        <v>0</v>
      </c>
      <c r="D2476">
        <f>'906MP'!P2176</f>
        <v>0</v>
      </c>
      <c r="E2476">
        <f>'906MP'!X2176</f>
        <v>0</v>
      </c>
      <c r="F2476" t="str">
        <f t="shared" si="732"/>
        <v>0</v>
      </c>
      <c r="G2476" t="str">
        <f t="shared" si="733"/>
        <v>0</v>
      </c>
      <c r="H2476">
        <f>'906MP'!Y2176</f>
        <v>0</v>
      </c>
      <c r="I2476">
        <f>'906MP'!AK2176</f>
        <v>0</v>
      </c>
      <c r="J2476">
        <f>'906MP'!T2176</f>
        <v>0</v>
      </c>
      <c r="K2476">
        <f>'906MP'!AJ2176</f>
        <v>0</v>
      </c>
      <c r="L2476">
        <f>'906MP'!U2176</f>
        <v>0</v>
      </c>
      <c r="M2476" s="322" t="str">
        <f>IFERROR(VLOOKUP(A2476,PAR!$D$3:$E$53,2,FALSE),"nincs szervezet")</f>
        <v>nincs szervezet</v>
      </c>
      <c r="N2476" s="322" t="str">
        <f>VLOOKUP(F2476,PAR!$R$3:$S$5,2,FALSE)</f>
        <v>3 - egyik sem</v>
      </c>
      <c r="O2476" t="str">
        <f>IFERROR(VLOOKUP(J2476,PAR!$O$3:$P$5,2,FALSE),"nincs feladat")</f>
        <v>nincs feladat</v>
      </c>
      <c r="P2476" t="str">
        <f>IFERROR(VLOOKUP(G2476,PAR!$J$2:$M$19,4),"nincs rovat")</f>
        <v>nincs rovat</v>
      </c>
      <c r="Q2476" t="str">
        <f>IF(H2476&gt;0,VLOOKUP(H2476,PAR!$AA$3:$AC$187,3,FALSE),"nincs főkönyvi számla")</f>
        <v>nincs főkönyvi számla</v>
      </c>
      <c r="R2476" t="str">
        <f>IFERROR(VLOOKUP(K2476,PAR!$V$3:$X$438,3,FALSE),"000000 - Nincs COFOG")</f>
        <v>000000 - Nincs COFOG</v>
      </c>
      <c r="S2476">
        <f t="shared" si="734"/>
        <v>0</v>
      </c>
      <c r="T2476">
        <f t="shared" si="735"/>
        <v>0</v>
      </c>
      <c r="U2476" t="str">
        <f>IF('906MP'!J2176&gt;0,CONCATENATE('906MP'!J2176," - ",'906MP'!P2176,", ",'906MP'!E2176),"nincs megjegyzés")</f>
        <v>nincs megjegyzés</v>
      </c>
      <c r="V2476" t="str">
        <f t="shared" si="722"/>
        <v>0P0</v>
      </c>
      <c r="W2476" t="str">
        <f t="shared" si="723"/>
        <v>0P0</v>
      </c>
      <c r="X2476" t="str">
        <f t="shared" si="724"/>
        <v>P0</v>
      </c>
      <c r="Y2476" t="str">
        <f t="shared" si="725"/>
        <v>00</v>
      </c>
      <c r="Z2476" t="str">
        <f t="shared" si="736"/>
        <v>00</v>
      </c>
      <c r="AA2476" t="str">
        <f t="shared" si="726"/>
        <v>00</v>
      </c>
      <c r="AB2476" t="str">
        <f t="shared" si="727"/>
        <v>00</v>
      </c>
      <c r="AC2476" t="str">
        <f t="shared" si="728"/>
        <v>0P0</v>
      </c>
      <c r="AD2476" t="str">
        <f t="shared" si="729"/>
        <v>P00</v>
      </c>
      <c r="AE2476" t="str">
        <f t="shared" si="730"/>
        <v>0P0</v>
      </c>
      <c r="AF2476" t="str">
        <f t="shared" si="731"/>
        <v>P00</v>
      </c>
      <c r="AG2476" t="str">
        <f t="shared" si="737"/>
        <v>0P00</v>
      </c>
      <c r="AH2476" t="str">
        <f t="shared" si="738"/>
        <v>P000</v>
      </c>
      <c r="AI2476" t="str">
        <f t="shared" si="739"/>
        <v>0P00</v>
      </c>
      <c r="AJ2476" t="str">
        <f t="shared" si="740"/>
        <v>P000</v>
      </c>
    </row>
    <row r="2477" spans="1:36" x14ac:dyDescent="0.25">
      <c r="A2477" s="325" t="str">
        <f>CONCATENATE("P",'906MP'!M2177)</f>
        <v>P</v>
      </c>
      <c r="B2477">
        <f>'906MP'!H2177</f>
        <v>0</v>
      </c>
      <c r="C2477">
        <f>'906MP'!J2177</f>
        <v>0</v>
      </c>
      <c r="D2477">
        <f>'906MP'!P2177</f>
        <v>0</v>
      </c>
      <c r="E2477">
        <f>'906MP'!X2177</f>
        <v>0</v>
      </c>
      <c r="F2477" t="str">
        <f t="shared" si="732"/>
        <v>0</v>
      </c>
      <c r="G2477" t="str">
        <f t="shared" si="733"/>
        <v>0</v>
      </c>
      <c r="H2477">
        <f>'906MP'!Y2177</f>
        <v>0</v>
      </c>
      <c r="I2477">
        <f>'906MP'!AK2177</f>
        <v>0</v>
      </c>
      <c r="J2477">
        <f>'906MP'!T2177</f>
        <v>0</v>
      </c>
      <c r="K2477">
        <f>'906MP'!AJ2177</f>
        <v>0</v>
      </c>
      <c r="L2477">
        <f>'906MP'!U2177</f>
        <v>0</v>
      </c>
      <c r="M2477" s="322" t="str">
        <f>IFERROR(VLOOKUP(A2477,PAR!$D$3:$E$53,2,FALSE),"nincs szervezet")</f>
        <v>nincs szervezet</v>
      </c>
      <c r="N2477" s="322" t="str">
        <f>VLOOKUP(F2477,PAR!$R$3:$S$5,2,FALSE)</f>
        <v>3 - egyik sem</v>
      </c>
      <c r="O2477" t="str">
        <f>IFERROR(VLOOKUP(J2477,PAR!$O$3:$P$5,2,FALSE),"nincs feladat")</f>
        <v>nincs feladat</v>
      </c>
      <c r="P2477" t="str">
        <f>IFERROR(VLOOKUP(G2477,PAR!$J$2:$M$19,4),"nincs rovat")</f>
        <v>nincs rovat</v>
      </c>
      <c r="Q2477" t="str">
        <f>IF(H2477&gt;0,VLOOKUP(H2477,PAR!$AA$3:$AC$187,3,FALSE),"nincs főkönyvi számla")</f>
        <v>nincs főkönyvi számla</v>
      </c>
      <c r="R2477" t="str">
        <f>IFERROR(VLOOKUP(K2477,PAR!$V$3:$X$438,3,FALSE),"000000 - Nincs COFOG")</f>
        <v>000000 - Nincs COFOG</v>
      </c>
      <c r="S2477">
        <f t="shared" si="734"/>
        <v>0</v>
      </c>
      <c r="T2477">
        <f t="shared" si="735"/>
        <v>0</v>
      </c>
      <c r="U2477" t="str">
        <f>IF('906MP'!J2177&gt;0,CONCATENATE('906MP'!J2177," - ",'906MP'!P2177,", ",'906MP'!E2177),"nincs megjegyzés")</f>
        <v>nincs megjegyzés</v>
      </c>
      <c r="V2477" t="str">
        <f t="shared" si="722"/>
        <v>0P0</v>
      </c>
      <c r="W2477" t="str">
        <f t="shared" si="723"/>
        <v>0P0</v>
      </c>
      <c r="X2477" t="str">
        <f t="shared" si="724"/>
        <v>P0</v>
      </c>
      <c r="Y2477" t="str">
        <f t="shared" si="725"/>
        <v>00</v>
      </c>
      <c r="Z2477" t="str">
        <f t="shared" si="736"/>
        <v>00</v>
      </c>
      <c r="AA2477" t="str">
        <f t="shared" si="726"/>
        <v>00</v>
      </c>
      <c r="AB2477" t="str">
        <f t="shared" si="727"/>
        <v>00</v>
      </c>
      <c r="AC2477" t="str">
        <f t="shared" si="728"/>
        <v>0P0</v>
      </c>
      <c r="AD2477" t="str">
        <f t="shared" si="729"/>
        <v>P00</v>
      </c>
      <c r="AE2477" t="str">
        <f t="shared" si="730"/>
        <v>0P0</v>
      </c>
      <c r="AF2477" t="str">
        <f t="shared" si="731"/>
        <v>P00</v>
      </c>
      <c r="AG2477" t="str">
        <f t="shared" si="737"/>
        <v>0P00</v>
      </c>
      <c r="AH2477" t="str">
        <f t="shared" si="738"/>
        <v>P000</v>
      </c>
      <c r="AI2477" t="str">
        <f t="shared" si="739"/>
        <v>0P00</v>
      </c>
      <c r="AJ2477" t="str">
        <f t="shared" si="740"/>
        <v>P000</v>
      </c>
    </row>
    <row r="2478" spans="1:36" x14ac:dyDescent="0.25">
      <c r="A2478" s="325" t="str">
        <f>CONCATENATE("P",'906MP'!M2178)</f>
        <v>P</v>
      </c>
      <c r="B2478">
        <f>'906MP'!H2178</f>
        <v>0</v>
      </c>
      <c r="C2478">
        <f>'906MP'!J2178</f>
        <v>0</v>
      </c>
      <c r="D2478">
        <f>'906MP'!P2178</f>
        <v>0</v>
      </c>
      <c r="E2478">
        <f>'906MP'!X2178</f>
        <v>0</v>
      </c>
      <c r="F2478" t="str">
        <f t="shared" si="732"/>
        <v>0</v>
      </c>
      <c r="G2478" t="str">
        <f t="shared" si="733"/>
        <v>0</v>
      </c>
      <c r="H2478">
        <f>'906MP'!Y2178</f>
        <v>0</v>
      </c>
      <c r="I2478">
        <f>'906MP'!AK2178</f>
        <v>0</v>
      </c>
      <c r="J2478">
        <f>'906MP'!T2178</f>
        <v>0</v>
      </c>
      <c r="K2478">
        <f>'906MP'!AJ2178</f>
        <v>0</v>
      </c>
      <c r="L2478">
        <f>'906MP'!U2178</f>
        <v>0</v>
      </c>
      <c r="M2478" s="322" t="str">
        <f>IFERROR(VLOOKUP(A2478,PAR!$D$3:$E$53,2,FALSE),"nincs szervezet")</f>
        <v>nincs szervezet</v>
      </c>
      <c r="N2478" s="322" t="str">
        <f>VLOOKUP(F2478,PAR!$R$3:$S$5,2,FALSE)</f>
        <v>3 - egyik sem</v>
      </c>
      <c r="O2478" t="str">
        <f>IFERROR(VLOOKUP(J2478,PAR!$O$3:$P$5,2,FALSE),"nincs feladat")</f>
        <v>nincs feladat</v>
      </c>
      <c r="P2478" t="str">
        <f>IFERROR(VLOOKUP(G2478,PAR!$J$2:$M$19,4),"nincs rovat")</f>
        <v>nincs rovat</v>
      </c>
      <c r="Q2478" t="str">
        <f>IF(H2478&gt;0,VLOOKUP(H2478,PAR!$AA$3:$AC$187,3,FALSE),"nincs főkönyvi számla")</f>
        <v>nincs főkönyvi számla</v>
      </c>
      <c r="R2478" t="str">
        <f>IFERROR(VLOOKUP(K2478,PAR!$V$3:$X$438,3,FALSE),"000000 - Nincs COFOG")</f>
        <v>000000 - Nincs COFOG</v>
      </c>
      <c r="S2478">
        <f t="shared" si="734"/>
        <v>0</v>
      </c>
      <c r="T2478">
        <f t="shared" si="735"/>
        <v>0</v>
      </c>
      <c r="U2478" t="str">
        <f>IF('906MP'!J2178&gt;0,CONCATENATE('906MP'!J2178," - ",'906MP'!P2178,", ",'906MP'!E2178),"nincs megjegyzés")</f>
        <v>nincs megjegyzés</v>
      </c>
      <c r="V2478" t="str">
        <f t="shared" si="722"/>
        <v>0P0</v>
      </c>
      <c r="W2478" t="str">
        <f t="shared" si="723"/>
        <v>0P0</v>
      </c>
      <c r="X2478" t="str">
        <f t="shared" si="724"/>
        <v>P0</v>
      </c>
      <c r="Y2478" t="str">
        <f t="shared" si="725"/>
        <v>00</v>
      </c>
      <c r="Z2478" t="str">
        <f t="shared" si="736"/>
        <v>00</v>
      </c>
      <c r="AA2478" t="str">
        <f t="shared" si="726"/>
        <v>00</v>
      </c>
      <c r="AB2478" t="str">
        <f t="shared" si="727"/>
        <v>00</v>
      </c>
      <c r="AC2478" t="str">
        <f t="shared" si="728"/>
        <v>0P0</v>
      </c>
      <c r="AD2478" t="str">
        <f t="shared" si="729"/>
        <v>P00</v>
      </c>
      <c r="AE2478" t="str">
        <f t="shared" si="730"/>
        <v>0P0</v>
      </c>
      <c r="AF2478" t="str">
        <f t="shared" si="731"/>
        <v>P00</v>
      </c>
      <c r="AG2478" t="str">
        <f t="shared" si="737"/>
        <v>0P00</v>
      </c>
      <c r="AH2478" t="str">
        <f t="shared" si="738"/>
        <v>P000</v>
      </c>
      <c r="AI2478" t="str">
        <f t="shared" si="739"/>
        <v>0P00</v>
      </c>
      <c r="AJ2478" t="str">
        <f t="shared" si="740"/>
        <v>P000</v>
      </c>
    </row>
    <row r="2479" spans="1:36" x14ac:dyDescent="0.25">
      <c r="A2479" s="325" t="str">
        <f>CONCATENATE("P",'906MP'!M2179)</f>
        <v>P</v>
      </c>
      <c r="B2479">
        <f>'906MP'!H2179</f>
        <v>0</v>
      </c>
      <c r="C2479">
        <f>'906MP'!J2179</f>
        <v>0</v>
      </c>
      <c r="D2479">
        <f>'906MP'!P2179</f>
        <v>0</v>
      </c>
      <c r="E2479">
        <f>'906MP'!X2179</f>
        <v>0</v>
      </c>
      <c r="F2479" t="str">
        <f t="shared" si="732"/>
        <v>0</v>
      </c>
      <c r="G2479" t="str">
        <f t="shared" si="733"/>
        <v>0</v>
      </c>
      <c r="H2479">
        <f>'906MP'!Y2179</f>
        <v>0</v>
      </c>
      <c r="I2479">
        <f>'906MP'!AK2179</f>
        <v>0</v>
      </c>
      <c r="J2479">
        <f>'906MP'!T2179</f>
        <v>0</v>
      </c>
      <c r="K2479">
        <f>'906MP'!AJ2179</f>
        <v>0</v>
      </c>
      <c r="L2479">
        <f>'906MP'!U2179</f>
        <v>0</v>
      </c>
      <c r="M2479" s="322" t="str">
        <f>IFERROR(VLOOKUP(A2479,PAR!$D$3:$E$53,2,FALSE),"nincs szervezet")</f>
        <v>nincs szervezet</v>
      </c>
      <c r="N2479" s="322" t="str">
        <f>VLOOKUP(F2479,PAR!$R$3:$S$5,2,FALSE)</f>
        <v>3 - egyik sem</v>
      </c>
      <c r="O2479" t="str">
        <f>IFERROR(VLOOKUP(J2479,PAR!$O$3:$P$5,2,FALSE),"nincs feladat")</f>
        <v>nincs feladat</v>
      </c>
      <c r="P2479" t="str">
        <f>IFERROR(VLOOKUP(G2479,PAR!$J$2:$M$19,4),"nincs rovat")</f>
        <v>nincs rovat</v>
      </c>
      <c r="Q2479" t="str">
        <f>IF(H2479&gt;0,VLOOKUP(H2479,PAR!$AA$3:$AC$187,3,FALSE),"nincs főkönyvi számla")</f>
        <v>nincs főkönyvi számla</v>
      </c>
      <c r="R2479" t="str">
        <f>IFERROR(VLOOKUP(K2479,PAR!$V$3:$X$438,3,FALSE),"000000 - Nincs COFOG")</f>
        <v>000000 - Nincs COFOG</v>
      </c>
      <c r="S2479">
        <f t="shared" si="734"/>
        <v>0</v>
      </c>
      <c r="T2479">
        <f t="shared" si="735"/>
        <v>0</v>
      </c>
      <c r="U2479" t="str">
        <f>IF('906MP'!J2179&gt;0,CONCATENATE('906MP'!J2179," - ",'906MP'!P2179,", ",'906MP'!E2179),"nincs megjegyzés")</f>
        <v>nincs megjegyzés</v>
      </c>
      <c r="V2479" t="str">
        <f t="shared" si="722"/>
        <v>0P0</v>
      </c>
      <c r="W2479" t="str">
        <f t="shared" si="723"/>
        <v>0P0</v>
      </c>
      <c r="X2479" t="str">
        <f t="shared" si="724"/>
        <v>P0</v>
      </c>
      <c r="Y2479" t="str">
        <f t="shared" si="725"/>
        <v>00</v>
      </c>
      <c r="Z2479" t="str">
        <f t="shared" si="736"/>
        <v>00</v>
      </c>
      <c r="AA2479" t="str">
        <f t="shared" si="726"/>
        <v>00</v>
      </c>
      <c r="AB2479" t="str">
        <f t="shared" si="727"/>
        <v>00</v>
      </c>
      <c r="AC2479" t="str">
        <f t="shared" si="728"/>
        <v>0P0</v>
      </c>
      <c r="AD2479" t="str">
        <f t="shared" si="729"/>
        <v>P00</v>
      </c>
      <c r="AE2479" t="str">
        <f t="shared" si="730"/>
        <v>0P0</v>
      </c>
      <c r="AF2479" t="str">
        <f t="shared" si="731"/>
        <v>P00</v>
      </c>
      <c r="AG2479" t="str">
        <f t="shared" si="737"/>
        <v>0P00</v>
      </c>
      <c r="AH2479" t="str">
        <f t="shared" si="738"/>
        <v>P000</v>
      </c>
      <c r="AI2479" t="str">
        <f t="shared" si="739"/>
        <v>0P00</v>
      </c>
      <c r="AJ2479" t="str">
        <f t="shared" si="740"/>
        <v>P000</v>
      </c>
    </row>
    <row r="2480" spans="1:36" x14ac:dyDescent="0.25">
      <c r="A2480" s="325" t="str">
        <f>CONCATENATE("P",'906MP'!M2180)</f>
        <v>P</v>
      </c>
      <c r="B2480">
        <f>'906MP'!H2180</f>
        <v>0</v>
      </c>
      <c r="C2480">
        <f>'906MP'!J2180</f>
        <v>0</v>
      </c>
      <c r="D2480">
        <f>'906MP'!P2180</f>
        <v>0</v>
      </c>
      <c r="E2480">
        <f>'906MP'!X2180</f>
        <v>0</v>
      </c>
      <c r="F2480" t="str">
        <f t="shared" si="732"/>
        <v>0</v>
      </c>
      <c r="G2480" t="str">
        <f t="shared" si="733"/>
        <v>0</v>
      </c>
      <c r="H2480">
        <f>'906MP'!Y2180</f>
        <v>0</v>
      </c>
      <c r="I2480">
        <f>'906MP'!AK2180</f>
        <v>0</v>
      </c>
      <c r="J2480">
        <f>'906MP'!T2180</f>
        <v>0</v>
      </c>
      <c r="K2480">
        <f>'906MP'!AJ2180</f>
        <v>0</v>
      </c>
      <c r="L2480">
        <f>'906MP'!U2180</f>
        <v>0</v>
      </c>
      <c r="M2480" s="322" t="str">
        <f>IFERROR(VLOOKUP(A2480,PAR!$D$3:$E$53,2,FALSE),"nincs szervezet")</f>
        <v>nincs szervezet</v>
      </c>
      <c r="N2480" s="322" t="str">
        <f>VLOOKUP(F2480,PAR!$R$3:$S$5,2,FALSE)</f>
        <v>3 - egyik sem</v>
      </c>
      <c r="O2480" t="str">
        <f>IFERROR(VLOOKUP(J2480,PAR!$O$3:$P$5,2,FALSE),"nincs feladat")</f>
        <v>nincs feladat</v>
      </c>
      <c r="P2480" t="str">
        <f>IFERROR(VLOOKUP(G2480,PAR!$J$2:$M$19,4),"nincs rovat")</f>
        <v>nincs rovat</v>
      </c>
      <c r="Q2480" t="str">
        <f>IF(H2480&gt;0,VLOOKUP(H2480,PAR!$AA$3:$AC$187,3,FALSE),"nincs főkönyvi számla")</f>
        <v>nincs főkönyvi számla</v>
      </c>
      <c r="R2480" t="str">
        <f>IFERROR(VLOOKUP(K2480,PAR!$V$3:$X$438,3,FALSE),"000000 - Nincs COFOG")</f>
        <v>000000 - Nincs COFOG</v>
      </c>
      <c r="S2480">
        <f t="shared" si="734"/>
        <v>0</v>
      </c>
      <c r="T2480">
        <f t="shared" si="735"/>
        <v>0</v>
      </c>
      <c r="U2480" t="str">
        <f>IF('906MP'!J2180&gt;0,CONCATENATE('906MP'!J2180," - ",'906MP'!P2180,", ",'906MP'!E2180),"nincs megjegyzés")</f>
        <v>nincs megjegyzés</v>
      </c>
      <c r="V2480" t="str">
        <f t="shared" si="722"/>
        <v>0P0</v>
      </c>
      <c r="W2480" t="str">
        <f t="shared" si="723"/>
        <v>0P0</v>
      </c>
      <c r="X2480" t="str">
        <f t="shared" si="724"/>
        <v>P0</v>
      </c>
      <c r="Y2480" t="str">
        <f t="shared" si="725"/>
        <v>00</v>
      </c>
      <c r="Z2480" t="str">
        <f t="shared" si="736"/>
        <v>00</v>
      </c>
      <c r="AA2480" t="str">
        <f t="shared" si="726"/>
        <v>00</v>
      </c>
      <c r="AB2480" t="str">
        <f t="shared" si="727"/>
        <v>00</v>
      </c>
      <c r="AC2480" t="str">
        <f t="shared" si="728"/>
        <v>0P0</v>
      </c>
      <c r="AD2480" t="str">
        <f t="shared" si="729"/>
        <v>P00</v>
      </c>
      <c r="AE2480" t="str">
        <f t="shared" si="730"/>
        <v>0P0</v>
      </c>
      <c r="AF2480" t="str">
        <f t="shared" si="731"/>
        <v>P00</v>
      </c>
      <c r="AG2480" t="str">
        <f t="shared" si="737"/>
        <v>0P00</v>
      </c>
      <c r="AH2480" t="str">
        <f t="shared" si="738"/>
        <v>P000</v>
      </c>
      <c r="AI2480" t="str">
        <f t="shared" si="739"/>
        <v>0P00</v>
      </c>
      <c r="AJ2480" t="str">
        <f t="shared" si="740"/>
        <v>P000</v>
      </c>
    </row>
    <row r="2481" spans="1:36" x14ac:dyDescent="0.25">
      <c r="A2481" s="325" t="str">
        <f>CONCATENATE("P",'906MP'!M2181)</f>
        <v>P</v>
      </c>
      <c r="B2481">
        <f>'906MP'!H2181</f>
        <v>0</v>
      </c>
      <c r="C2481">
        <f>'906MP'!J2181</f>
        <v>0</v>
      </c>
      <c r="D2481">
        <f>'906MP'!P2181</f>
        <v>0</v>
      </c>
      <c r="E2481">
        <f>'906MP'!X2181</f>
        <v>0</v>
      </c>
      <c r="F2481" t="str">
        <f t="shared" si="732"/>
        <v>0</v>
      </c>
      <c r="G2481" t="str">
        <f t="shared" si="733"/>
        <v>0</v>
      </c>
      <c r="H2481">
        <f>'906MP'!Y2181</f>
        <v>0</v>
      </c>
      <c r="I2481">
        <f>'906MP'!AK2181</f>
        <v>0</v>
      </c>
      <c r="J2481">
        <f>'906MP'!T2181</f>
        <v>0</v>
      </c>
      <c r="K2481">
        <f>'906MP'!AJ2181</f>
        <v>0</v>
      </c>
      <c r="L2481">
        <f>'906MP'!U2181</f>
        <v>0</v>
      </c>
      <c r="M2481" s="322" t="str">
        <f>IFERROR(VLOOKUP(A2481,PAR!$D$3:$E$53,2,FALSE),"nincs szervezet")</f>
        <v>nincs szervezet</v>
      </c>
      <c r="N2481" s="322" t="str">
        <f>VLOOKUP(F2481,PAR!$R$3:$S$5,2,FALSE)</f>
        <v>3 - egyik sem</v>
      </c>
      <c r="O2481" t="str">
        <f>IFERROR(VLOOKUP(J2481,PAR!$O$3:$P$5,2,FALSE),"nincs feladat")</f>
        <v>nincs feladat</v>
      </c>
      <c r="P2481" t="str">
        <f>IFERROR(VLOOKUP(G2481,PAR!$J$2:$M$19,4),"nincs rovat")</f>
        <v>nincs rovat</v>
      </c>
      <c r="Q2481" t="str">
        <f>IF(H2481&gt;0,VLOOKUP(H2481,PAR!$AA$3:$AC$187,3,FALSE),"nincs főkönyvi számla")</f>
        <v>nincs főkönyvi számla</v>
      </c>
      <c r="R2481" t="str">
        <f>IFERROR(VLOOKUP(K2481,PAR!$V$3:$X$438,3,FALSE),"000000 - Nincs COFOG")</f>
        <v>000000 - Nincs COFOG</v>
      </c>
      <c r="S2481">
        <f t="shared" si="734"/>
        <v>0</v>
      </c>
      <c r="T2481">
        <f t="shared" si="735"/>
        <v>0</v>
      </c>
      <c r="U2481" t="str">
        <f>IF('906MP'!J2181&gt;0,CONCATENATE('906MP'!J2181," - ",'906MP'!P2181,", ",'906MP'!E2181),"nincs megjegyzés")</f>
        <v>nincs megjegyzés</v>
      </c>
      <c r="V2481" t="str">
        <f t="shared" si="722"/>
        <v>0P0</v>
      </c>
      <c r="W2481" t="str">
        <f t="shared" si="723"/>
        <v>0P0</v>
      </c>
      <c r="X2481" t="str">
        <f t="shared" si="724"/>
        <v>P0</v>
      </c>
      <c r="Y2481" t="str">
        <f t="shared" si="725"/>
        <v>00</v>
      </c>
      <c r="Z2481" t="str">
        <f t="shared" si="736"/>
        <v>00</v>
      </c>
      <c r="AA2481" t="str">
        <f t="shared" si="726"/>
        <v>00</v>
      </c>
      <c r="AB2481" t="str">
        <f t="shared" si="727"/>
        <v>00</v>
      </c>
      <c r="AC2481" t="str">
        <f t="shared" si="728"/>
        <v>0P0</v>
      </c>
      <c r="AD2481" t="str">
        <f t="shared" si="729"/>
        <v>P00</v>
      </c>
      <c r="AE2481" t="str">
        <f t="shared" si="730"/>
        <v>0P0</v>
      </c>
      <c r="AF2481" t="str">
        <f t="shared" si="731"/>
        <v>P00</v>
      </c>
      <c r="AG2481" t="str">
        <f t="shared" si="737"/>
        <v>0P00</v>
      </c>
      <c r="AH2481" t="str">
        <f t="shared" si="738"/>
        <v>P000</v>
      </c>
      <c r="AI2481" t="str">
        <f t="shared" si="739"/>
        <v>0P00</v>
      </c>
      <c r="AJ2481" t="str">
        <f t="shared" si="740"/>
        <v>P000</v>
      </c>
    </row>
    <row r="2482" spans="1:36" x14ac:dyDescent="0.25">
      <c r="A2482" s="325" t="str">
        <f>CONCATENATE("P",'906MP'!M2182)</f>
        <v>P</v>
      </c>
      <c r="B2482">
        <f>'906MP'!H2182</f>
        <v>0</v>
      </c>
      <c r="C2482">
        <f>'906MP'!J2182</f>
        <v>0</v>
      </c>
      <c r="D2482">
        <f>'906MP'!P2182</f>
        <v>0</v>
      </c>
      <c r="E2482">
        <f>'906MP'!X2182</f>
        <v>0</v>
      </c>
      <c r="F2482" t="str">
        <f t="shared" si="732"/>
        <v>0</v>
      </c>
      <c r="G2482" t="str">
        <f t="shared" si="733"/>
        <v>0</v>
      </c>
      <c r="H2482">
        <f>'906MP'!Y2182</f>
        <v>0</v>
      </c>
      <c r="I2482">
        <f>'906MP'!AK2182</f>
        <v>0</v>
      </c>
      <c r="J2482">
        <f>'906MP'!T2182</f>
        <v>0</v>
      </c>
      <c r="K2482">
        <f>'906MP'!AJ2182</f>
        <v>0</v>
      </c>
      <c r="L2482">
        <f>'906MP'!U2182</f>
        <v>0</v>
      </c>
      <c r="M2482" s="322" t="str">
        <f>IFERROR(VLOOKUP(A2482,PAR!$D$3:$E$53,2,FALSE),"nincs szervezet")</f>
        <v>nincs szervezet</v>
      </c>
      <c r="N2482" s="322" t="str">
        <f>VLOOKUP(F2482,PAR!$R$3:$S$5,2,FALSE)</f>
        <v>3 - egyik sem</v>
      </c>
      <c r="O2482" t="str">
        <f>IFERROR(VLOOKUP(J2482,PAR!$O$3:$P$5,2,FALSE),"nincs feladat")</f>
        <v>nincs feladat</v>
      </c>
      <c r="P2482" t="str">
        <f>IFERROR(VLOOKUP(G2482,PAR!$J$2:$M$19,4),"nincs rovat")</f>
        <v>nincs rovat</v>
      </c>
      <c r="Q2482" t="str">
        <f>IF(H2482&gt;0,VLOOKUP(H2482,PAR!$AA$3:$AC$187,3,FALSE),"nincs főkönyvi számla")</f>
        <v>nincs főkönyvi számla</v>
      </c>
      <c r="R2482" t="str">
        <f>IFERROR(VLOOKUP(K2482,PAR!$V$3:$X$438,3,FALSE),"000000 - Nincs COFOG")</f>
        <v>000000 - Nincs COFOG</v>
      </c>
      <c r="S2482">
        <f t="shared" si="734"/>
        <v>0</v>
      </c>
      <c r="T2482">
        <f t="shared" si="735"/>
        <v>0</v>
      </c>
      <c r="U2482" t="str">
        <f>IF('906MP'!J2182&gt;0,CONCATENATE('906MP'!J2182," - ",'906MP'!P2182,", ",'906MP'!E2182),"nincs megjegyzés")</f>
        <v>nincs megjegyzés</v>
      </c>
      <c r="V2482" t="str">
        <f t="shared" si="722"/>
        <v>0P0</v>
      </c>
      <c r="W2482" t="str">
        <f t="shared" si="723"/>
        <v>0P0</v>
      </c>
      <c r="X2482" t="str">
        <f t="shared" si="724"/>
        <v>P0</v>
      </c>
      <c r="Y2482" t="str">
        <f t="shared" si="725"/>
        <v>00</v>
      </c>
      <c r="Z2482" t="str">
        <f t="shared" si="736"/>
        <v>00</v>
      </c>
      <c r="AA2482" t="str">
        <f t="shared" si="726"/>
        <v>00</v>
      </c>
      <c r="AB2482" t="str">
        <f t="shared" si="727"/>
        <v>00</v>
      </c>
      <c r="AC2482" t="str">
        <f t="shared" si="728"/>
        <v>0P0</v>
      </c>
      <c r="AD2482" t="str">
        <f t="shared" si="729"/>
        <v>P00</v>
      </c>
      <c r="AE2482" t="str">
        <f t="shared" si="730"/>
        <v>0P0</v>
      </c>
      <c r="AF2482" t="str">
        <f t="shared" si="731"/>
        <v>P00</v>
      </c>
      <c r="AG2482" t="str">
        <f t="shared" si="737"/>
        <v>0P00</v>
      </c>
      <c r="AH2482" t="str">
        <f t="shared" si="738"/>
        <v>P000</v>
      </c>
      <c r="AI2482" t="str">
        <f t="shared" si="739"/>
        <v>0P00</v>
      </c>
      <c r="AJ2482" t="str">
        <f t="shared" si="740"/>
        <v>P000</v>
      </c>
    </row>
    <row r="2483" spans="1:36" x14ac:dyDescent="0.25">
      <c r="A2483" s="325" t="str">
        <f>CONCATENATE("P",'906MP'!M2183)</f>
        <v>P</v>
      </c>
      <c r="B2483">
        <f>'906MP'!H2183</f>
        <v>0</v>
      </c>
      <c r="C2483">
        <f>'906MP'!J2183</f>
        <v>0</v>
      </c>
      <c r="D2483">
        <f>'906MP'!P2183</f>
        <v>0</v>
      </c>
      <c r="E2483">
        <f>'906MP'!X2183</f>
        <v>0</v>
      </c>
      <c r="F2483" t="str">
        <f t="shared" si="732"/>
        <v>0</v>
      </c>
      <c r="G2483" t="str">
        <f t="shared" si="733"/>
        <v>0</v>
      </c>
      <c r="H2483">
        <f>'906MP'!Y2183</f>
        <v>0</v>
      </c>
      <c r="I2483">
        <f>'906MP'!AK2183</f>
        <v>0</v>
      </c>
      <c r="J2483">
        <f>'906MP'!T2183</f>
        <v>0</v>
      </c>
      <c r="K2483">
        <f>'906MP'!AJ2183</f>
        <v>0</v>
      </c>
      <c r="L2483">
        <f>'906MP'!U2183</f>
        <v>0</v>
      </c>
      <c r="M2483" s="322" t="str">
        <f>IFERROR(VLOOKUP(A2483,PAR!$D$3:$E$53,2,FALSE),"nincs szervezet")</f>
        <v>nincs szervezet</v>
      </c>
      <c r="N2483" s="322" t="str">
        <f>VLOOKUP(F2483,PAR!$R$3:$S$5,2,FALSE)</f>
        <v>3 - egyik sem</v>
      </c>
      <c r="O2483" t="str">
        <f>IFERROR(VLOOKUP(J2483,PAR!$O$3:$P$5,2,FALSE),"nincs feladat")</f>
        <v>nincs feladat</v>
      </c>
      <c r="P2483" t="str">
        <f>IFERROR(VLOOKUP(G2483,PAR!$J$2:$M$19,4),"nincs rovat")</f>
        <v>nincs rovat</v>
      </c>
      <c r="Q2483" t="str">
        <f>IF(H2483&gt;0,VLOOKUP(H2483,PAR!$AA$3:$AC$187,3,FALSE),"nincs főkönyvi számla")</f>
        <v>nincs főkönyvi számla</v>
      </c>
      <c r="R2483" t="str">
        <f>IFERROR(VLOOKUP(K2483,PAR!$V$3:$X$438,3,FALSE),"000000 - Nincs COFOG")</f>
        <v>000000 - Nincs COFOG</v>
      </c>
      <c r="S2483">
        <f t="shared" si="734"/>
        <v>0</v>
      </c>
      <c r="T2483">
        <f t="shared" si="735"/>
        <v>0</v>
      </c>
      <c r="U2483" t="str">
        <f>IF('906MP'!J2183&gt;0,CONCATENATE('906MP'!J2183," - ",'906MP'!P2183,", ",'906MP'!E2183),"nincs megjegyzés")</f>
        <v>nincs megjegyzés</v>
      </c>
      <c r="V2483" t="str">
        <f t="shared" si="722"/>
        <v>0P0</v>
      </c>
      <c r="W2483" t="str">
        <f t="shared" si="723"/>
        <v>0P0</v>
      </c>
      <c r="X2483" t="str">
        <f t="shared" si="724"/>
        <v>P0</v>
      </c>
      <c r="Y2483" t="str">
        <f t="shared" si="725"/>
        <v>00</v>
      </c>
      <c r="Z2483" t="str">
        <f t="shared" si="736"/>
        <v>00</v>
      </c>
      <c r="AA2483" t="str">
        <f t="shared" si="726"/>
        <v>00</v>
      </c>
      <c r="AB2483" t="str">
        <f t="shared" si="727"/>
        <v>00</v>
      </c>
      <c r="AC2483" t="str">
        <f t="shared" si="728"/>
        <v>0P0</v>
      </c>
      <c r="AD2483" t="str">
        <f t="shared" si="729"/>
        <v>P00</v>
      </c>
      <c r="AE2483" t="str">
        <f t="shared" si="730"/>
        <v>0P0</v>
      </c>
      <c r="AF2483" t="str">
        <f t="shared" si="731"/>
        <v>P00</v>
      </c>
      <c r="AG2483" t="str">
        <f t="shared" si="737"/>
        <v>0P00</v>
      </c>
      <c r="AH2483" t="str">
        <f t="shared" si="738"/>
        <v>P000</v>
      </c>
      <c r="AI2483" t="str">
        <f t="shared" si="739"/>
        <v>0P00</v>
      </c>
      <c r="AJ2483" t="str">
        <f t="shared" si="740"/>
        <v>P000</v>
      </c>
    </row>
    <row r="2484" spans="1:36" x14ac:dyDescent="0.25">
      <c r="A2484" s="325" t="str">
        <f>CONCATENATE("P",'906MP'!M2184)</f>
        <v>P</v>
      </c>
      <c r="B2484">
        <f>'906MP'!H2184</f>
        <v>0</v>
      </c>
      <c r="C2484">
        <f>'906MP'!J2184</f>
        <v>0</v>
      </c>
      <c r="D2484">
        <f>'906MP'!P2184</f>
        <v>0</v>
      </c>
      <c r="E2484">
        <f>'906MP'!X2184</f>
        <v>0</v>
      </c>
      <c r="F2484" t="str">
        <f t="shared" si="732"/>
        <v>0</v>
      </c>
      <c r="G2484" t="str">
        <f t="shared" si="733"/>
        <v>0</v>
      </c>
      <c r="H2484">
        <f>'906MP'!Y2184</f>
        <v>0</v>
      </c>
      <c r="I2484">
        <f>'906MP'!AK2184</f>
        <v>0</v>
      </c>
      <c r="J2484">
        <f>'906MP'!T2184</f>
        <v>0</v>
      </c>
      <c r="K2484">
        <f>'906MP'!AJ2184</f>
        <v>0</v>
      </c>
      <c r="L2484">
        <f>'906MP'!U2184</f>
        <v>0</v>
      </c>
      <c r="M2484" s="322" t="str">
        <f>IFERROR(VLOOKUP(A2484,PAR!$D$3:$E$53,2,FALSE),"nincs szervezet")</f>
        <v>nincs szervezet</v>
      </c>
      <c r="N2484" s="322" t="str">
        <f>VLOOKUP(F2484,PAR!$R$3:$S$5,2,FALSE)</f>
        <v>3 - egyik sem</v>
      </c>
      <c r="O2484" t="str">
        <f>IFERROR(VLOOKUP(J2484,PAR!$O$3:$P$5,2,FALSE),"nincs feladat")</f>
        <v>nincs feladat</v>
      </c>
      <c r="P2484" t="str">
        <f>IFERROR(VLOOKUP(G2484,PAR!$J$2:$M$19,4),"nincs rovat")</f>
        <v>nincs rovat</v>
      </c>
      <c r="Q2484" t="str">
        <f>IF(H2484&gt;0,VLOOKUP(H2484,PAR!$AA$3:$AC$187,3,FALSE),"nincs főkönyvi számla")</f>
        <v>nincs főkönyvi számla</v>
      </c>
      <c r="R2484" t="str">
        <f>IFERROR(VLOOKUP(K2484,PAR!$V$3:$X$438,3,FALSE),"000000 - Nincs COFOG")</f>
        <v>000000 - Nincs COFOG</v>
      </c>
      <c r="S2484">
        <f t="shared" si="734"/>
        <v>0</v>
      </c>
      <c r="T2484">
        <f t="shared" si="735"/>
        <v>0</v>
      </c>
      <c r="U2484" t="str">
        <f>IF('906MP'!J2184&gt;0,CONCATENATE('906MP'!J2184," - ",'906MP'!P2184,", ",'906MP'!E2184),"nincs megjegyzés")</f>
        <v>nincs megjegyzés</v>
      </c>
      <c r="V2484" t="str">
        <f t="shared" si="722"/>
        <v>0P0</v>
      </c>
      <c r="W2484" t="str">
        <f t="shared" si="723"/>
        <v>0P0</v>
      </c>
      <c r="X2484" t="str">
        <f t="shared" si="724"/>
        <v>P0</v>
      </c>
      <c r="Y2484" t="str">
        <f t="shared" si="725"/>
        <v>00</v>
      </c>
      <c r="Z2484" t="str">
        <f t="shared" si="736"/>
        <v>00</v>
      </c>
      <c r="AA2484" t="str">
        <f t="shared" si="726"/>
        <v>00</v>
      </c>
      <c r="AB2484" t="str">
        <f t="shared" si="727"/>
        <v>00</v>
      </c>
      <c r="AC2484" t="str">
        <f t="shared" si="728"/>
        <v>0P0</v>
      </c>
      <c r="AD2484" t="str">
        <f t="shared" si="729"/>
        <v>P00</v>
      </c>
      <c r="AE2484" t="str">
        <f t="shared" si="730"/>
        <v>0P0</v>
      </c>
      <c r="AF2484" t="str">
        <f t="shared" si="731"/>
        <v>P00</v>
      </c>
      <c r="AG2484" t="str">
        <f t="shared" si="737"/>
        <v>0P00</v>
      </c>
      <c r="AH2484" t="str">
        <f t="shared" si="738"/>
        <v>P000</v>
      </c>
      <c r="AI2484" t="str">
        <f t="shared" si="739"/>
        <v>0P00</v>
      </c>
      <c r="AJ2484" t="str">
        <f t="shared" si="740"/>
        <v>P000</v>
      </c>
    </row>
    <row r="2485" spans="1:36" x14ac:dyDescent="0.25">
      <c r="A2485" s="325" t="str">
        <f>CONCATENATE("P",'906MP'!M2185)</f>
        <v>P</v>
      </c>
      <c r="B2485">
        <f>'906MP'!H2185</f>
        <v>0</v>
      </c>
      <c r="C2485">
        <f>'906MP'!J2185</f>
        <v>0</v>
      </c>
      <c r="D2485">
        <f>'906MP'!P2185</f>
        <v>0</v>
      </c>
      <c r="E2485">
        <f>'906MP'!X2185</f>
        <v>0</v>
      </c>
      <c r="F2485" t="str">
        <f t="shared" si="732"/>
        <v>0</v>
      </c>
      <c r="G2485" t="str">
        <f t="shared" si="733"/>
        <v>0</v>
      </c>
      <c r="H2485">
        <f>'906MP'!Y2185</f>
        <v>0</v>
      </c>
      <c r="I2485">
        <f>'906MP'!AK2185</f>
        <v>0</v>
      </c>
      <c r="J2485">
        <f>'906MP'!T2185</f>
        <v>0</v>
      </c>
      <c r="K2485">
        <f>'906MP'!AJ2185</f>
        <v>0</v>
      </c>
      <c r="L2485">
        <f>'906MP'!U2185</f>
        <v>0</v>
      </c>
      <c r="M2485" s="322" t="str">
        <f>IFERROR(VLOOKUP(A2485,PAR!$D$3:$E$53,2,FALSE),"nincs szervezet")</f>
        <v>nincs szervezet</v>
      </c>
      <c r="N2485" s="322" t="str">
        <f>VLOOKUP(F2485,PAR!$R$3:$S$5,2,FALSE)</f>
        <v>3 - egyik sem</v>
      </c>
      <c r="O2485" t="str">
        <f>IFERROR(VLOOKUP(J2485,PAR!$O$3:$P$5,2,FALSE),"nincs feladat")</f>
        <v>nincs feladat</v>
      </c>
      <c r="P2485" t="str">
        <f>IFERROR(VLOOKUP(G2485,PAR!$J$2:$M$19,4),"nincs rovat")</f>
        <v>nincs rovat</v>
      </c>
      <c r="Q2485" t="str">
        <f>IF(H2485&gt;0,VLOOKUP(H2485,PAR!$AA$3:$AC$187,3,FALSE),"nincs főkönyvi számla")</f>
        <v>nincs főkönyvi számla</v>
      </c>
      <c r="R2485" t="str">
        <f>IFERROR(VLOOKUP(K2485,PAR!$V$3:$X$438,3,FALSE),"000000 - Nincs COFOG")</f>
        <v>000000 - Nincs COFOG</v>
      </c>
      <c r="S2485">
        <f t="shared" si="734"/>
        <v>0</v>
      </c>
      <c r="T2485">
        <f t="shared" si="735"/>
        <v>0</v>
      </c>
      <c r="U2485" t="str">
        <f>IF('906MP'!J2185&gt;0,CONCATENATE('906MP'!J2185," - ",'906MP'!P2185,", ",'906MP'!E2185),"nincs megjegyzés")</f>
        <v>nincs megjegyzés</v>
      </c>
      <c r="V2485" t="str">
        <f t="shared" si="722"/>
        <v>0P0</v>
      </c>
      <c r="W2485" t="str">
        <f t="shared" si="723"/>
        <v>0P0</v>
      </c>
      <c r="X2485" t="str">
        <f t="shared" si="724"/>
        <v>P0</v>
      </c>
      <c r="Y2485" t="str">
        <f t="shared" si="725"/>
        <v>00</v>
      </c>
      <c r="Z2485" t="str">
        <f t="shared" si="736"/>
        <v>00</v>
      </c>
      <c r="AA2485" t="str">
        <f t="shared" si="726"/>
        <v>00</v>
      </c>
      <c r="AB2485" t="str">
        <f t="shared" si="727"/>
        <v>00</v>
      </c>
      <c r="AC2485" t="str">
        <f t="shared" si="728"/>
        <v>0P0</v>
      </c>
      <c r="AD2485" t="str">
        <f t="shared" si="729"/>
        <v>P00</v>
      </c>
      <c r="AE2485" t="str">
        <f t="shared" si="730"/>
        <v>0P0</v>
      </c>
      <c r="AF2485" t="str">
        <f t="shared" si="731"/>
        <v>P00</v>
      </c>
      <c r="AG2485" t="str">
        <f t="shared" si="737"/>
        <v>0P00</v>
      </c>
      <c r="AH2485" t="str">
        <f t="shared" si="738"/>
        <v>P000</v>
      </c>
      <c r="AI2485" t="str">
        <f t="shared" si="739"/>
        <v>0P00</v>
      </c>
      <c r="AJ2485" t="str">
        <f t="shared" si="740"/>
        <v>P000</v>
      </c>
    </row>
    <row r="2486" spans="1:36" x14ac:dyDescent="0.25">
      <c r="A2486" s="325" t="str">
        <f>CONCATENATE("P",'906MP'!M2186)</f>
        <v>P</v>
      </c>
      <c r="B2486">
        <f>'906MP'!H2186</f>
        <v>0</v>
      </c>
      <c r="C2486">
        <f>'906MP'!J2186</f>
        <v>0</v>
      </c>
      <c r="D2486">
        <f>'906MP'!P2186</f>
        <v>0</v>
      </c>
      <c r="E2486">
        <f>'906MP'!X2186</f>
        <v>0</v>
      </c>
      <c r="F2486" t="str">
        <f t="shared" si="732"/>
        <v>0</v>
      </c>
      <c r="G2486" t="str">
        <f t="shared" si="733"/>
        <v>0</v>
      </c>
      <c r="H2486">
        <f>'906MP'!Y2186</f>
        <v>0</v>
      </c>
      <c r="I2486">
        <f>'906MP'!AK2186</f>
        <v>0</v>
      </c>
      <c r="J2486">
        <f>'906MP'!T2186</f>
        <v>0</v>
      </c>
      <c r="K2486">
        <f>'906MP'!AJ2186</f>
        <v>0</v>
      </c>
      <c r="L2486">
        <f>'906MP'!U2186</f>
        <v>0</v>
      </c>
      <c r="M2486" s="322" t="str">
        <f>IFERROR(VLOOKUP(A2486,PAR!$D$3:$E$53,2,FALSE),"nincs szervezet")</f>
        <v>nincs szervezet</v>
      </c>
      <c r="N2486" s="322" t="str">
        <f>VLOOKUP(F2486,PAR!$R$3:$S$5,2,FALSE)</f>
        <v>3 - egyik sem</v>
      </c>
      <c r="O2486" t="str">
        <f>IFERROR(VLOOKUP(J2486,PAR!$O$3:$P$5,2,FALSE),"nincs feladat")</f>
        <v>nincs feladat</v>
      </c>
      <c r="P2486" t="str">
        <f>IFERROR(VLOOKUP(G2486,PAR!$J$2:$M$19,4),"nincs rovat")</f>
        <v>nincs rovat</v>
      </c>
      <c r="Q2486" t="str">
        <f>IF(H2486&gt;0,VLOOKUP(H2486,PAR!$AA$3:$AC$187,3,FALSE),"nincs főkönyvi számla")</f>
        <v>nincs főkönyvi számla</v>
      </c>
      <c r="R2486" t="str">
        <f>IFERROR(VLOOKUP(K2486,PAR!$V$3:$X$438,3,FALSE),"000000 - Nincs COFOG")</f>
        <v>000000 - Nincs COFOG</v>
      </c>
      <c r="S2486">
        <f t="shared" si="734"/>
        <v>0</v>
      </c>
      <c r="T2486">
        <f t="shared" si="735"/>
        <v>0</v>
      </c>
      <c r="U2486" t="str">
        <f>IF('906MP'!J2186&gt;0,CONCATENATE('906MP'!J2186," - ",'906MP'!P2186,", ",'906MP'!E2186),"nincs megjegyzés")</f>
        <v>nincs megjegyzés</v>
      </c>
      <c r="V2486" t="str">
        <f t="shared" si="722"/>
        <v>0P0</v>
      </c>
      <c r="W2486" t="str">
        <f t="shared" si="723"/>
        <v>0P0</v>
      </c>
      <c r="X2486" t="str">
        <f t="shared" si="724"/>
        <v>P0</v>
      </c>
      <c r="Y2486" t="str">
        <f t="shared" si="725"/>
        <v>00</v>
      </c>
      <c r="Z2486" t="str">
        <f t="shared" si="736"/>
        <v>00</v>
      </c>
      <c r="AA2486" t="str">
        <f t="shared" si="726"/>
        <v>00</v>
      </c>
      <c r="AB2486" t="str">
        <f t="shared" si="727"/>
        <v>00</v>
      </c>
      <c r="AC2486" t="str">
        <f t="shared" si="728"/>
        <v>0P0</v>
      </c>
      <c r="AD2486" t="str">
        <f t="shared" si="729"/>
        <v>P00</v>
      </c>
      <c r="AE2486" t="str">
        <f t="shared" si="730"/>
        <v>0P0</v>
      </c>
      <c r="AF2486" t="str">
        <f t="shared" si="731"/>
        <v>P00</v>
      </c>
      <c r="AG2486" t="str">
        <f t="shared" si="737"/>
        <v>0P00</v>
      </c>
      <c r="AH2486" t="str">
        <f t="shared" si="738"/>
        <v>P000</v>
      </c>
      <c r="AI2486" t="str">
        <f t="shared" si="739"/>
        <v>0P00</v>
      </c>
      <c r="AJ2486" t="str">
        <f t="shared" si="740"/>
        <v>P000</v>
      </c>
    </row>
    <row r="2487" spans="1:36" x14ac:dyDescent="0.25">
      <c r="A2487" s="325" t="str">
        <f>CONCATENATE("P",'906MP'!M2187)</f>
        <v>P</v>
      </c>
      <c r="B2487">
        <f>'906MP'!H2187</f>
        <v>0</v>
      </c>
      <c r="C2487">
        <f>'906MP'!J2187</f>
        <v>0</v>
      </c>
      <c r="D2487">
        <f>'906MP'!P2187</f>
        <v>0</v>
      </c>
      <c r="E2487">
        <f>'906MP'!X2187</f>
        <v>0</v>
      </c>
      <c r="F2487" t="str">
        <f t="shared" si="732"/>
        <v>0</v>
      </c>
      <c r="G2487" t="str">
        <f t="shared" si="733"/>
        <v>0</v>
      </c>
      <c r="H2487">
        <f>'906MP'!Y2187</f>
        <v>0</v>
      </c>
      <c r="I2487">
        <f>'906MP'!AK2187</f>
        <v>0</v>
      </c>
      <c r="J2487">
        <f>'906MP'!T2187</f>
        <v>0</v>
      </c>
      <c r="K2487">
        <f>'906MP'!AJ2187</f>
        <v>0</v>
      </c>
      <c r="L2487">
        <f>'906MP'!U2187</f>
        <v>0</v>
      </c>
      <c r="M2487" s="322" t="str">
        <f>IFERROR(VLOOKUP(A2487,PAR!$D$3:$E$53,2,FALSE),"nincs szervezet")</f>
        <v>nincs szervezet</v>
      </c>
      <c r="N2487" s="322" t="str">
        <f>VLOOKUP(F2487,PAR!$R$3:$S$5,2,FALSE)</f>
        <v>3 - egyik sem</v>
      </c>
      <c r="O2487" t="str">
        <f>IFERROR(VLOOKUP(J2487,PAR!$O$3:$P$5,2,FALSE),"nincs feladat")</f>
        <v>nincs feladat</v>
      </c>
      <c r="P2487" t="str">
        <f>IFERROR(VLOOKUP(G2487,PAR!$J$2:$M$19,4),"nincs rovat")</f>
        <v>nincs rovat</v>
      </c>
      <c r="Q2487" t="str">
        <f>IF(H2487&gt;0,VLOOKUP(H2487,PAR!$AA$3:$AC$187,3,FALSE),"nincs főkönyvi számla")</f>
        <v>nincs főkönyvi számla</v>
      </c>
      <c r="R2487" t="str">
        <f>IFERROR(VLOOKUP(K2487,PAR!$V$3:$X$438,3,FALSE),"000000 - Nincs COFOG")</f>
        <v>000000 - Nincs COFOG</v>
      </c>
      <c r="S2487">
        <f t="shared" si="734"/>
        <v>0</v>
      </c>
      <c r="T2487">
        <f t="shared" si="735"/>
        <v>0</v>
      </c>
      <c r="U2487" t="str">
        <f>IF('906MP'!J2187&gt;0,CONCATENATE('906MP'!J2187," - ",'906MP'!P2187,", ",'906MP'!E2187),"nincs megjegyzés")</f>
        <v>nincs megjegyzés</v>
      </c>
      <c r="V2487" t="str">
        <f t="shared" si="722"/>
        <v>0P0</v>
      </c>
      <c r="W2487" t="str">
        <f t="shared" si="723"/>
        <v>0P0</v>
      </c>
      <c r="X2487" t="str">
        <f t="shared" si="724"/>
        <v>P0</v>
      </c>
      <c r="Y2487" t="str">
        <f t="shared" si="725"/>
        <v>00</v>
      </c>
      <c r="Z2487" t="str">
        <f t="shared" si="736"/>
        <v>00</v>
      </c>
      <c r="AA2487" t="str">
        <f t="shared" si="726"/>
        <v>00</v>
      </c>
      <c r="AB2487" t="str">
        <f t="shared" si="727"/>
        <v>00</v>
      </c>
      <c r="AC2487" t="str">
        <f t="shared" si="728"/>
        <v>0P0</v>
      </c>
      <c r="AD2487" t="str">
        <f t="shared" si="729"/>
        <v>P00</v>
      </c>
      <c r="AE2487" t="str">
        <f t="shared" si="730"/>
        <v>0P0</v>
      </c>
      <c r="AF2487" t="str">
        <f t="shared" si="731"/>
        <v>P00</v>
      </c>
      <c r="AG2487" t="str">
        <f t="shared" si="737"/>
        <v>0P00</v>
      </c>
      <c r="AH2487" t="str">
        <f t="shared" si="738"/>
        <v>P000</v>
      </c>
      <c r="AI2487" t="str">
        <f t="shared" si="739"/>
        <v>0P00</v>
      </c>
      <c r="AJ2487" t="str">
        <f t="shared" si="740"/>
        <v>P000</v>
      </c>
    </row>
    <row r="2488" spans="1:36" x14ac:dyDescent="0.25">
      <c r="A2488" s="325" t="str">
        <f>CONCATENATE("P",'906MP'!M2188)</f>
        <v>P</v>
      </c>
      <c r="B2488">
        <f>'906MP'!H2188</f>
        <v>0</v>
      </c>
      <c r="C2488">
        <f>'906MP'!J2188</f>
        <v>0</v>
      </c>
      <c r="D2488">
        <f>'906MP'!P2188</f>
        <v>0</v>
      </c>
      <c r="E2488">
        <f>'906MP'!X2188</f>
        <v>0</v>
      </c>
      <c r="F2488" t="str">
        <f t="shared" si="732"/>
        <v>0</v>
      </c>
      <c r="G2488" t="str">
        <f t="shared" si="733"/>
        <v>0</v>
      </c>
      <c r="H2488">
        <f>'906MP'!Y2188</f>
        <v>0</v>
      </c>
      <c r="I2488">
        <f>'906MP'!AK2188</f>
        <v>0</v>
      </c>
      <c r="J2488">
        <f>'906MP'!T2188</f>
        <v>0</v>
      </c>
      <c r="K2488">
        <f>'906MP'!AJ2188</f>
        <v>0</v>
      </c>
      <c r="L2488">
        <f>'906MP'!U2188</f>
        <v>0</v>
      </c>
      <c r="M2488" s="322" t="str">
        <f>IFERROR(VLOOKUP(A2488,PAR!$D$3:$E$53,2,FALSE),"nincs szervezet")</f>
        <v>nincs szervezet</v>
      </c>
      <c r="N2488" s="322" t="str">
        <f>VLOOKUP(F2488,PAR!$R$3:$S$5,2,FALSE)</f>
        <v>3 - egyik sem</v>
      </c>
      <c r="O2488" t="str">
        <f>IFERROR(VLOOKUP(J2488,PAR!$O$3:$P$5,2,FALSE),"nincs feladat")</f>
        <v>nincs feladat</v>
      </c>
      <c r="P2488" t="str">
        <f>IFERROR(VLOOKUP(G2488,PAR!$J$2:$M$19,4),"nincs rovat")</f>
        <v>nincs rovat</v>
      </c>
      <c r="Q2488" t="str">
        <f>IF(H2488&gt;0,VLOOKUP(H2488,PAR!$AA$3:$AC$187,3,FALSE),"nincs főkönyvi számla")</f>
        <v>nincs főkönyvi számla</v>
      </c>
      <c r="R2488" t="str">
        <f>IFERROR(VLOOKUP(K2488,PAR!$V$3:$X$438,3,FALSE),"000000 - Nincs COFOG")</f>
        <v>000000 - Nincs COFOG</v>
      </c>
      <c r="S2488">
        <f t="shared" si="734"/>
        <v>0</v>
      </c>
      <c r="T2488">
        <f t="shared" si="735"/>
        <v>0</v>
      </c>
      <c r="U2488" t="str">
        <f>IF('906MP'!J2188&gt;0,CONCATENATE('906MP'!J2188," - ",'906MP'!P2188,", ",'906MP'!E2188),"nincs megjegyzés")</f>
        <v>nincs megjegyzés</v>
      </c>
      <c r="V2488" t="str">
        <f t="shared" si="722"/>
        <v>0P0</v>
      </c>
      <c r="W2488" t="str">
        <f t="shared" si="723"/>
        <v>0P0</v>
      </c>
      <c r="X2488" t="str">
        <f t="shared" si="724"/>
        <v>P0</v>
      </c>
      <c r="Y2488" t="str">
        <f t="shared" si="725"/>
        <v>00</v>
      </c>
      <c r="Z2488" t="str">
        <f t="shared" si="736"/>
        <v>00</v>
      </c>
      <c r="AA2488" t="str">
        <f t="shared" si="726"/>
        <v>00</v>
      </c>
      <c r="AB2488" t="str">
        <f t="shared" si="727"/>
        <v>00</v>
      </c>
      <c r="AC2488" t="str">
        <f t="shared" si="728"/>
        <v>0P0</v>
      </c>
      <c r="AD2488" t="str">
        <f t="shared" si="729"/>
        <v>P00</v>
      </c>
      <c r="AE2488" t="str">
        <f t="shared" si="730"/>
        <v>0P0</v>
      </c>
      <c r="AF2488" t="str">
        <f t="shared" si="731"/>
        <v>P00</v>
      </c>
      <c r="AG2488" t="str">
        <f t="shared" si="737"/>
        <v>0P00</v>
      </c>
      <c r="AH2488" t="str">
        <f t="shared" si="738"/>
        <v>P000</v>
      </c>
      <c r="AI2488" t="str">
        <f t="shared" si="739"/>
        <v>0P00</v>
      </c>
      <c r="AJ2488" t="str">
        <f t="shared" si="740"/>
        <v>P000</v>
      </c>
    </row>
    <row r="2489" spans="1:36" x14ac:dyDescent="0.25">
      <c r="A2489" s="325" t="str">
        <f>CONCATENATE("P",'906MP'!M2189)</f>
        <v>P</v>
      </c>
      <c r="B2489">
        <f>'906MP'!H2189</f>
        <v>0</v>
      </c>
      <c r="C2489">
        <f>'906MP'!J2189</f>
        <v>0</v>
      </c>
      <c r="D2489">
        <f>'906MP'!P2189</f>
        <v>0</v>
      </c>
      <c r="E2489">
        <f>'906MP'!X2189</f>
        <v>0</v>
      </c>
      <c r="F2489" t="str">
        <f t="shared" si="732"/>
        <v>0</v>
      </c>
      <c r="G2489" t="str">
        <f t="shared" si="733"/>
        <v>0</v>
      </c>
      <c r="H2489">
        <f>'906MP'!Y2189</f>
        <v>0</v>
      </c>
      <c r="I2489">
        <f>'906MP'!AK2189</f>
        <v>0</v>
      </c>
      <c r="J2489">
        <f>'906MP'!T2189</f>
        <v>0</v>
      </c>
      <c r="K2489">
        <f>'906MP'!AJ2189</f>
        <v>0</v>
      </c>
      <c r="L2489">
        <f>'906MP'!U2189</f>
        <v>0</v>
      </c>
      <c r="M2489" s="322" t="str">
        <f>IFERROR(VLOOKUP(A2489,PAR!$D$3:$E$53,2,FALSE),"nincs szervezet")</f>
        <v>nincs szervezet</v>
      </c>
      <c r="N2489" s="322" t="str">
        <f>VLOOKUP(F2489,PAR!$R$3:$S$5,2,FALSE)</f>
        <v>3 - egyik sem</v>
      </c>
      <c r="O2489" t="str">
        <f>IFERROR(VLOOKUP(J2489,PAR!$O$3:$P$5,2,FALSE),"nincs feladat")</f>
        <v>nincs feladat</v>
      </c>
      <c r="P2489" t="str">
        <f>IFERROR(VLOOKUP(G2489,PAR!$J$2:$M$19,4),"nincs rovat")</f>
        <v>nincs rovat</v>
      </c>
      <c r="Q2489" t="str">
        <f>IF(H2489&gt;0,VLOOKUP(H2489,PAR!$AA$3:$AC$187,3,FALSE),"nincs főkönyvi számla")</f>
        <v>nincs főkönyvi számla</v>
      </c>
      <c r="R2489" t="str">
        <f>IFERROR(VLOOKUP(K2489,PAR!$V$3:$X$438,3,FALSE),"000000 - Nincs COFOG")</f>
        <v>000000 - Nincs COFOG</v>
      </c>
      <c r="S2489">
        <f t="shared" si="734"/>
        <v>0</v>
      </c>
      <c r="T2489">
        <f t="shared" si="735"/>
        <v>0</v>
      </c>
      <c r="U2489" t="str">
        <f>IF('906MP'!J2189&gt;0,CONCATENATE('906MP'!J2189," - ",'906MP'!P2189,", ",'906MP'!E2189),"nincs megjegyzés")</f>
        <v>nincs megjegyzés</v>
      </c>
      <c r="V2489" t="str">
        <f t="shared" si="722"/>
        <v>0P0</v>
      </c>
      <c r="W2489" t="str">
        <f t="shared" si="723"/>
        <v>0P0</v>
      </c>
      <c r="X2489" t="str">
        <f t="shared" si="724"/>
        <v>P0</v>
      </c>
      <c r="Y2489" t="str">
        <f t="shared" si="725"/>
        <v>00</v>
      </c>
      <c r="Z2489" t="str">
        <f t="shared" si="736"/>
        <v>00</v>
      </c>
      <c r="AA2489" t="str">
        <f t="shared" si="726"/>
        <v>00</v>
      </c>
      <c r="AB2489" t="str">
        <f t="shared" si="727"/>
        <v>00</v>
      </c>
      <c r="AC2489" t="str">
        <f t="shared" si="728"/>
        <v>0P0</v>
      </c>
      <c r="AD2489" t="str">
        <f t="shared" si="729"/>
        <v>P00</v>
      </c>
      <c r="AE2489" t="str">
        <f t="shared" si="730"/>
        <v>0P0</v>
      </c>
      <c r="AF2489" t="str">
        <f t="shared" si="731"/>
        <v>P00</v>
      </c>
      <c r="AG2489" t="str">
        <f t="shared" si="737"/>
        <v>0P00</v>
      </c>
      <c r="AH2489" t="str">
        <f t="shared" si="738"/>
        <v>P000</v>
      </c>
      <c r="AI2489" t="str">
        <f t="shared" si="739"/>
        <v>0P00</v>
      </c>
      <c r="AJ2489" t="str">
        <f t="shared" si="740"/>
        <v>P000</v>
      </c>
    </row>
    <row r="2490" spans="1:36" x14ac:dyDescent="0.25">
      <c r="A2490" s="325" t="str">
        <f>CONCATENATE("P",'906MP'!M2190)</f>
        <v>P</v>
      </c>
      <c r="B2490">
        <f>'906MP'!H2190</f>
        <v>0</v>
      </c>
      <c r="C2490">
        <f>'906MP'!J2190</f>
        <v>0</v>
      </c>
      <c r="D2490">
        <f>'906MP'!P2190</f>
        <v>0</v>
      </c>
      <c r="E2490">
        <f>'906MP'!X2190</f>
        <v>0</v>
      </c>
      <c r="F2490" t="str">
        <f t="shared" si="732"/>
        <v>0</v>
      </c>
      <c r="G2490" t="str">
        <f t="shared" si="733"/>
        <v>0</v>
      </c>
      <c r="H2490">
        <f>'906MP'!Y2190</f>
        <v>0</v>
      </c>
      <c r="I2490">
        <f>'906MP'!AK2190</f>
        <v>0</v>
      </c>
      <c r="J2490">
        <f>'906MP'!T2190</f>
        <v>0</v>
      </c>
      <c r="K2490">
        <f>'906MP'!AJ2190</f>
        <v>0</v>
      </c>
      <c r="L2490">
        <f>'906MP'!U2190</f>
        <v>0</v>
      </c>
      <c r="M2490" s="322" t="str">
        <f>IFERROR(VLOOKUP(A2490,PAR!$D$3:$E$53,2,FALSE),"nincs szervezet")</f>
        <v>nincs szervezet</v>
      </c>
      <c r="N2490" s="322" t="str">
        <f>VLOOKUP(F2490,PAR!$R$3:$S$5,2,FALSE)</f>
        <v>3 - egyik sem</v>
      </c>
      <c r="O2490" t="str">
        <f>IFERROR(VLOOKUP(J2490,PAR!$O$3:$P$5,2,FALSE),"nincs feladat")</f>
        <v>nincs feladat</v>
      </c>
      <c r="P2490" t="str">
        <f>IFERROR(VLOOKUP(G2490,PAR!$J$2:$M$19,4),"nincs rovat")</f>
        <v>nincs rovat</v>
      </c>
      <c r="Q2490" t="str">
        <f>IF(H2490&gt;0,VLOOKUP(H2490,PAR!$AA$3:$AC$187,3,FALSE),"nincs főkönyvi számla")</f>
        <v>nincs főkönyvi számla</v>
      </c>
      <c r="R2490" t="str">
        <f>IFERROR(VLOOKUP(K2490,PAR!$V$3:$X$438,3,FALSE),"000000 - Nincs COFOG")</f>
        <v>000000 - Nincs COFOG</v>
      </c>
      <c r="S2490">
        <f t="shared" si="734"/>
        <v>0</v>
      </c>
      <c r="T2490">
        <f t="shared" si="735"/>
        <v>0</v>
      </c>
      <c r="U2490" t="str">
        <f>IF('906MP'!J2190&gt;0,CONCATENATE('906MP'!J2190," - ",'906MP'!P2190,", ",'906MP'!E2190),"nincs megjegyzés")</f>
        <v>nincs megjegyzés</v>
      </c>
      <c r="V2490" t="str">
        <f t="shared" si="722"/>
        <v>0P0</v>
      </c>
      <c r="W2490" t="str">
        <f t="shared" si="723"/>
        <v>0P0</v>
      </c>
      <c r="X2490" t="str">
        <f t="shared" si="724"/>
        <v>P0</v>
      </c>
      <c r="Y2490" t="str">
        <f t="shared" si="725"/>
        <v>00</v>
      </c>
      <c r="Z2490" t="str">
        <f t="shared" si="736"/>
        <v>00</v>
      </c>
      <c r="AA2490" t="str">
        <f t="shared" si="726"/>
        <v>00</v>
      </c>
      <c r="AB2490" t="str">
        <f t="shared" si="727"/>
        <v>00</v>
      </c>
      <c r="AC2490" t="str">
        <f t="shared" si="728"/>
        <v>0P0</v>
      </c>
      <c r="AD2490" t="str">
        <f t="shared" si="729"/>
        <v>P00</v>
      </c>
      <c r="AE2490" t="str">
        <f t="shared" si="730"/>
        <v>0P0</v>
      </c>
      <c r="AF2490" t="str">
        <f t="shared" si="731"/>
        <v>P00</v>
      </c>
      <c r="AG2490" t="str">
        <f t="shared" si="737"/>
        <v>0P00</v>
      </c>
      <c r="AH2490" t="str">
        <f t="shared" si="738"/>
        <v>P000</v>
      </c>
      <c r="AI2490" t="str">
        <f t="shared" si="739"/>
        <v>0P00</v>
      </c>
      <c r="AJ2490" t="str">
        <f t="shared" si="740"/>
        <v>P000</v>
      </c>
    </row>
    <row r="2491" spans="1:36" x14ac:dyDescent="0.25">
      <c r="A2491" s="325" t="str">
        <f>CONCATENATE("P",'906MP'!M2191)</f>
        <v>P</v>
      </c>
      <c r="B2491">
        <f>'906MP'!H2191</f>
        <v>0</v>
      </c>
      <c r="C2491">
        <f>'906MP'!J2191</f>
        <v>0</v>
      </c>
      <c r="D2491">
        <f>'906MP'!P2191</f>
        <v>0</v>
      </c>
      <c r="E2491">
        <f>'906MP'!X2191</f>
        <v>0</v>
      </c>
      <c r="F2491" t="str">
        <f t="shared" si="732"/>
        <v>0</v>
      </c>
      <c r="G2491" t="str">
        <f t="shared" si="733"/>
        <v>0</v>
      </c>
      <c r="H2491">
        <f>'906MP'!Y2191</f>
        <v>0</v>
      </c>
      <c r="I2491">
        <f>'906MP'!AK2191</f>
        <v>0</v>
      </c>
      <c r="J2491">
        <f>'906MP'!T2191</f>
        <v>0</v>
      </c>
      <c r="K2491">
        <f>'906MP'!AJ2191</f>
        <v>0</v>
      </c>
      <c r="L2491">
        <f>'906MP'!U2191</f>
        <v>0</v>
      </c>
      <c r="M2491" s="322" t="str">
        <f>IFERROR(VLOOKUP(A2491,PAR!$D$3:$E$53,2,FALSE),"nincs szervezet")</f>
        <v>nincs szervezet</v>
      </c>
      <c r="N2491" s="322" t="str">
        <f>VLOOKUP(F2491,PAR!$R$3:$S$5,2,FALSE)</f>
        <v>3 - egyik sem</v>
      </c>
      <c r="O2491" t="str">
        <f>IFERROR(VLOOKUP(J2491,PAR!$O$3:$P$5,2,FALSE),"nincs feladat")</f>
        <v>nincs feladat</v>
      </c>
      <c r="P2491" t="str">
        <f>IFERROR(VLOOKUP(G2491,PAR!$J$2:$M$19,4),"nincs rovat")</f>
        <v>nincs rovat</v>
      </c>
      <c r="Q2491" t="str">
        <f>IF(H2491&gt;0,VLOOKUP(H2491,PAR!$AA$3:$AC$187,3,FALSE),"nincs főkönyvi számla")</f>
        <v>nincs főkönyvi számla</v>
      </c>
      <c r="R2491" t="str">
        <f>IFERROR(VLOOKUP(K2491,PAR!$V$3:$X$438,3,FALSE),"000000 - Nincs COFOG")</f>
        <v>000000 - Nincs COFOG</v>
      </c>
      <c r="S2491">
        <f t="shared" si="734"/>
        <v>0</v>
      </c>
      <c r="T2491">
        <f t="shared" si="735"/>
        <v>0</v>
      </c>
      <c r="U2491" t="str">
        <f>IF('906MP'!J2191&gt;0,CONCATENATE('906MP'!J2191," - ",'906MP'!P2191,", ",'906MP'!E2191),"nincs megjegyzés")</f>
        <v>nincs megjegyzés</v>
      </c>
      <c r="V2491" t="str">
        <f t="shared" si="722"/>
        <v>0P0</v>
      </c>
      <c r="W2491" t="str">
        <f t="shared" si="723"/>
        <v>0P0</v>
      </c>
      <c r="X2491" t="str">
        <f t="shared" si="724"/>
        <v>P0</v>
      </c>
      <c r="Y2491" t="str">
        <f t="shared" si="725"/>
        <v>00</v>
      </c>
      <c r="Z2491" t="str">
        <f t="shared" si="736"/>
        <v>00</v>
      </c>
      <c r="AA2491" t="str">
        <f t="shared" si="726"/>
        <v>00</v>
      </c>
      <c r="AB2491" t="str">
        <f t="shared" si="727"/>
        <v>00</v>
      </c>
      <c r="AC2491" t="str">
        <f t="shared" si="728"/>
        <v>0P0</v>
      </c>
      <c r="AD2491" t="str">
        <f t="shared" si="729"/>
        <v>P00</v>
      </c>
      <c r="AE2491" t="str">
        <f t="shared" si="730"/>
        <v>0P0</v>
      </c>
      <c r="AF2491" t="str">
        <f t="shared" si="731"/>
        <v>P00</v>
      </c>
      <c r="AG2491" t="str">
        <f t="shared" si="737"/>
        <v>0P00</v>
      </c>
      <c r="AH2491" t="str">
        <f t="shared" si="738"/>
        <v>P000</v>
      </c>
      <c r="AI2491" t="str">
        <f t="shared" si="739"/>
        <v>0P00</v>
      </c>
      <c r="AJ2491" t="str">
        <f t="shared" si="740"/>
        <v>P000</v>
      </c>
    </row>
    <row r="2492" spans="1:36" x14ac:dyDescent="0.25">
      <c r="A2492" s="325" t="str">
        <f>CONCATENATE("P",'906MP'!M2192)</f>
        <v>P</v>
      </c>
      <c r="B2492">
        <f>'906MP'!H2192</f>
        <v>0</v>
      </c>
      <c r="C2492">
        <f>'906MP'!J2192</f>
        <v>0</v>
      </c>
      <c r="D2492">
        <f>'906MP'!P2192</f>
        <v>0</v>
      </c>
      <c r="E2492">
        <f>'906MP'!X2192</f>
        <v>0</v>
      </c>
      <c r="F2492" t="str">
        <f t="shared" si="732"/>
        <v>0</v>
      </c>
      <c r="G2492" t="str">
        <f t="shared" si="733"/>
        <v>0</v>
      </c>
      <c r="H2492">
        <f>'906MP'!Y2192</f>
        <v>0</v>
      </c>
      <c r="I2492">
        <f>'906MP'!AK2192</f>
        <v>0</v>
      </c>
      <c r="J2492">
        <f>'906MP'!T2192</f>
        <v>0</v>
      </c>
      <c r="K2492">
        <f>'906MP'!AJ2192</f>
        <v>0</v>
      </c>
      <c r="L2492">
        <f>'906MP'!U2192</f>
        <v>0</v>
      </c>
      <c r="M2492" s="322" t="str">
        <f>IFERROR(VLOOKUP(A2492,PAR!$D$3:$E$53,2,FALSE),"nincs szervezet")</f>
        <v>nincs szervezet</v>
      </c>
      <c r="N2492" s="322" t="str">
        <f>VLOOKUP(F2492,PAR!$R$3:$S$5,2,FALSE)</f>
        <v>3 - egyik sem</v>
      </c>
      <c r="O2492" t="str">
        <f>IFERROR(VLOOKUP(J2492,PAR!$O$3:$P$5,2,FALSE),"nincs feladat")</f>
        <v>nincs feladat</v>
      </c>
      <c r="P2492" t="str">
        <f>IFERROR(VLOOKUP(G2492,PAR!$J$2:$M$19,4),"nincs rovat")</f>
        <v>nincs rovat</v>
      </c>
      <c r="Q2492" t="str">
        <f>IF(H2492&gt;0,VLOOKUP(H2492,PAR!$AA$3:$AC$187,3,FALSE),"nincs főkönyvi számla")</f>
        <v>nincs főkönyvi számla</v>
      </c>
      <c r="R2492" t="str">
        <f>IFERROR(VLOOKUP(K2492,PAR!$V$3:$X$438,3,FALSE),"000000 - Nincs COFOG")</f>
        <v>000000 - Nincs COFOG</v>
      </c>
      <c r="S2492">
        <f t="shared" si="734"/>
        <v>0</v>
      </c>
      <c r="T2492">
        <f t="shared" si="735"/>
        <v>0</v>
      </c>
      <c r="U2492" t="str">
        <f>IF('906MP'!J2192&gt;0,CONCATENATE('906MP'!J2192," - ",'906MP'!P2192,", ",'906MP'!E2192),"nincs megjegyzés")</f>
        <v>nincs megjegyzés</v>
      </c>
      <c r="V2492" t="str">
        <f t="shared" si="722"/>
        <v>0P0</v>
      </c>
      <c r="W2492" t="str">
        <f t="shared" si="723"/>
        <v>0P0</v>
      </c>
      <c r="X2492" t="str">
        <f t="shared" si="724"/>
        <v>P0</v>
      </c>
      <c r="Y2492" t="str">
        <f t="shared" si="725"/>
        <v>00</v>
      </c>
      <c r="Z2492" t="str">
        <f t="shared" si="736"/>
        <v>00</v>
      </c>
      <c r="AA2492" t="str">
        <f t="shared" si="726"/>
        <v>00</v>
      </c>
      <c r="AB2492" t="str">
        <f t="shared" si="727"/>
        <v>00</v>
      </c>
      <c r="AC2492" t="str">
        <f t="shared" si="728"/>
        <v>0P0</v>
      </c>
      <c r="AD2492" t="str">
        <f t="shared" si="729"/>
        <v>P00</v>
      </c>
      <c r="AE2492" t="str">
        <f t="shared" si="730"/>
        <v>0P0</v>
      </c>
      <c r="AF2492" t="str">
        <f t="shared" si="731"/>
        <v>P00</v>
      </c>
      <c r="AG2492" t="str">
        <f t="shared" si="737"/>
        <v>0P00</v>
      </c>
      <c r="AH2492" t="str">
        <f t="shared" si="738"/>
        <v>P000</v>
      </c>
      <c r="AI2492" t="str">
        <f t="shared" si="739"/>
        <v>0P00</v>
      </c>
      <c r="AJ2492" t="str">
        <f t="shared" si="740"/>
        <v>P000</v>
      </c>
    </row>
    <row r="2493" spans="1:36" x14ac:dyDescent="0.25">
      <c r="A2493" s="325" t="str">
        <f>CONCATENATE("P",'906MP'!M2193)</f>
        <v>P</v>
      </c>
      <c r="B2493">
        <f>'906MP'!H2193</f>
        <v>0</v>
      </c>
      <c r="C2493">
        <f>'906MP'!J2193</f>
        <v>0</v>
      </c>
      <c r="D2493">
        <f>'906MP'!P2193</f>
        <v>0</v>
      </c>
      <c r="E2493">
        <f>'906MP'!X2193</f>
        <v>0</v>
      </c>
      <c r="F2493" t="str">
        <f t="shared" si="732"/>
        <v>0</v>
      </c>
      <c r="G2493" t="str">
        <f t="shared" si="733"/>
        <v>0</v>
      </c>
      <c r="H2493">
        <f>'906MP'!Y2193</f>
        <v>0</v>
      </c>
      <c r="I2493">
        <f>'906MP'!AK2193</f>
        <v>0</v>
      </c>
      <c r="J2493">
        <f>'906MP'!T2193</f>
        <v>0</v>
      </c>
      <c r="K2493">
        <f>'906MP'!AJ2193</f>
        <v>0</v>
      </c>
      <c r="L2493">
        <f>'906MP'!U2193</f>
        <v>0</v>
      </c>
      <c r="M2493" s="322" t="str">
        <f>IFERROR(VLOOKUP(A2493,PAR!$D$3:$E$53,2,FALSE),"nincs szervezet")</f>
        <v>nincs szervezet</v>
      </c>
      <c r="N2493" s="322" t="str">
        <f>VLOOKUP(F2493,PAR!$R$3:$S$5,2,FALSE)</f>
        <v>3 - egyik sem</v>
      </c>
      <c r="O2493" t="str">
        <f>IFERROR(VLOOKUP(J2493,PAR!$O$3:$P$5,2,FALSE),"nincs feladat")</f>
        <v>nincs feladat</v>
      </c>
      <c r="P2493" t="str">
        <f>IFERROR(VLOOKUP(G2493,PAR!$J$2:$M$19,4),"nincs rovat")</f>
        <v>nincs rovat</v>
      </c>
      <c r="Q2493" t="str">
        <f>IF(H2493&gt;0,VLOOKUP(H2493,PAR!$AA$3:$AC$187,3,FALSE),"nincs főkönyvi számla")</f>
        <v>nincs főkönyvi számla</v>
      </c>
      <c r="R2493" t="str">
        <f>IFERROR(VLOOKUP(K2493,PAR!$V$3:$X$438,3,FALSE),"000000 - Nincs COFOG")</f>
        <v>000000 - Nincs COFOG</v>
      </c>
      <c r="S2493">
        <f t="shared" si="734"/>
        <v>0</v>
      </c>
      <c r="T2493">
        <f t="shared" si="735"/>
        <v>0</v>
      </c>
      <c r="U2493" t="str">
        <f>IF('906MP'!J2193&gt;0,CONCATENATE('906MP'!J2193," - ",'906MP'!P2193,", ",'906MP'!E2193),"nincs megjegyzés")</f>
        <v>nincs megjegyzés</v>
      </c>
      <c r="V2493" t="str">
        <f t="shared" si="722"/>
        <v>0P0</v>
      </c>
      <c r="W2493" t="str">
        <f t="shared" si="723"/>
        <v>0P0</v>
      </c>
      <c r="X2493" t="str">
        <f t="shared" si="724"/>
        <v>P0</v>
      </c>
      <c r="Y2493" t="str">
        <f t="shared" si="725"/>
        <v>00</v>
      </c>
      <c r="Z2493" t="str">
        <f t="shared" si="736"/>
        <v>00</v>
      </c>
      <c r="AA2493" t="str">
        <f t="shared" si="726"/>
        <v>00</v>
      </c>
      <c r="AB2493" t="str">
        <f t="shared" si="727"/>
        <v>00</v>
      </c>
      <c r="AC2493" t="str">
        <f t="shared" si="728"/>
        <v>0P0</v>
      </c>
      <c r="AD2493" t="str">
        <f t="shared" si="729"/>
        <v>P00</v>
      </c>
      <c r="AE2493" t="str">
        <f t="shared" si="730"/>
        <v>0P0</v>
      </c>
      <c r="AF2493" t="str">
        <f t="shared" si="731"/>
        <v>P00</v>
      </c>
      <c r="AG2493" t="str">
        <f t="shared" si="737"/>
        <v>0P00</v>
      </c>
      <c r="AH2493" t="str">
        <f t="shared" si="738"/>
        <v>P000</v>
      </c>
      <c r="AI2493" t="str">
        <f t="shared" si="739"/>
        <v>0P00</v>
      </c>
      <c r="AJ2493" t="str">
        <f t="shared" si="740"/>
        <v>P000</v>
      </c>
    </row>
    <row r="2494" spans="1:36" x14ac:dyDescent="0.25">
      <c r="A2494" s="325" t="str">
        <f>CONCATENATE("P",'906MP'!M2194)</f>
        <v>P</v>
      </c>
      <c r="B2494">
        <f>'906MP'!H2194</f>
        <v>0</v>
      </c>
      <c r="C2494">
        <f>'906MP'!J2194</f>
        <v>0</v>
      </c>
      <c r="D2494">
        <f>'906MP'!P2194</f>
        <v>0</v>
      </c>
      <c r="E2494">
        <f>'906MP'!X2194</f>
        <v>0</v>
      </c>
      <c r="F2494" t="str">
        <f t="shared" si="732"/>
        <v>0</v>
      </c>
      <c r="G2494" t="str">
        <f t="shared" si="733"/>
        <v>0</v>
      </c>
      <c r="H2494">
        <f>'906MP'!Y2194</f>
        <v>0</v>
      </c>
      <c r="I2494">
        <f>'906MP'!AK2194</f>
        <v>0</v>
      </c>
      <c r="J2494">
        <f>'906MP'!T2194</f>
        <v>0</v>
      </c>
      <c r="K2494">
        <f>'906MP'!AJ2194</f>
        <v>0</v>
      </c>
      <c r="L2494">
        <f>'906MP'!U2194</f>
        <v>0</v>
      </c>
      <c r="M2494" s="322" t="str">
        <f>IFERROR(VLOOKUP(A2494,PAR!$D$3:$E$53,2,FALSE),"nincs szervezet")</f>
        <v>nincs szervezet</v>
      </c>
      <c r="N2494" s="322" t="str">
        <f>VLOOKUP(F2494,PAR!$R$3:$S$5,2,FALSE)</f>
        <v>3 - egyik sem</v>
      </c>
      <c r="O2494" t="str">
        <f>IFERROR(VLOOKUP(J2494,PAR!$O$3:$P$5,2,FALSE),"nincs feladat")</f>
        <v>nincs feladat</v>
      </c>
      <c r="P2494" t="str">
        <f>IFERROR(VLOOKUP(G2494,PAR!$J$2:$M$19,4),"nincs rovat")</f>
        <v>nincs rovat</v>
      </c>
      <c r="Q2494" t="str">
        <f>IF(H2494&gt;0,VLOOKUP(H2494,PAR!$AA$3:$AC$187,3,FALSE),"nincs főkönyvi számla")</f>
        <v>nincs főkönyvi számla</v>
      </c>
      <c r="R2494" t="str">
        <f>IFERROR(VLOOKUP(K2494,PAR!$V$3:$X$438,3,FALSE),"000000 - Nincs COFOG")</f>
        <v>000000 - Nincs COFOG</v>
      </c>
      <c r="S2494">
        <f t="shared" si="734"/>
        <v>0</v>
      </c>
      <c r="T2494">
        <f t="shared" si="735"/>
        <v>0</v>
      </c>
      <c r="U2494" t="str">
        <f>IF('906MP'!J2194&gt;0,CONCATENATE('906MP'!J2194," - ",'906MP'!P2194,", ",'906MP'!E2194),"nincs megjegyzés")</f>
        <v>nincs megjegyzés</v>
      </c>
      <c r="V2494" t="str">
        <f t="shared" si="722"/>
        <v>0P0</v>
      </c>
      <c r="W2494" t="str">
        <f t="shared" si="723"/>
        <v>0P0</v>
      </c>
      <c r="X2494" t="str">
        <f t="shared" si="724"/>
        <v>P0</v>
      </c>
      <c r="Y2494" t="str">
        <f t="shared" si="725"/>
        <v>00</v>
      </c>
      <c r="Z2494" t="str">
        <f t="shared" si="736"/>
        <v>00</v>
      </c>
      <c r="AA2494" t="str">
        <f t="shared" si="726"/>
        <v>00</v>
      </c>
      <c r="AB2494" t="str">
        <f t="shared" si="727"/>
        <v>00</v>
      </c>
      <c r="AC2494" t="str">
        <f t="shared" si="728"/>
        <v>0P0</v>
      </c>
      <c r="AD2494" t="str">
        <f t="shared" si="729"/>
        <v>P00</v>
      </c>
      <c r="AE2494" t="str">
        <f t="shared" si="730"/>
        <v>0P0</v>
      </c>
      <c r="AF2494" t="str">
        <f t="shared" si="731"/>
        <v>P00</v>
      </c>
      <c r="AG2494" t="str">
        <f t="shared" si="737"/>
        <v>0P00</v>
      </c>
      <c r="AH2494" t="str">
        <f t="shared" si="738"/>
        <v>P000</v>
      </c>
      <c r="AI2494" t="str">
        <f t="shared" si="739"/>
        <v>0P00</v>
      </c>
      <c r="AJ2494" t="str">
        <f t="shared" si="740"/>
        <v>P000</v>
      </c>
    </row>
    <row r="2495" spans="1:36" x14ac:dyDescent="0.25">
      <c r="A2495" s="325" t="str">
        <f>CONCATENATE("P",'906MP'!M2195)</f>
        <v>P</v>
      </c>
      <c r="B2495">
        <f>'906MP'!H2195</f>
        <v>0</v>
      </c>
      <c r="C2495">
        <f>'906MP'!J2195</f>
        <v>0</v>
      </c>
      <c r="D2495">
        <f>'906MP'!P2195</f>
        <v>0</v>
      </c>
      <c r="E2495">
        <f>'906MP'!X2195</f>
        <v>0</v>
      </c>
      <c r="F2495" t="str">
        <f t="shared" si="732"/>
        <v>0</v>
      </c>
      <c r="G2495" t="str">
        <f t="shared" si="733"/>
        <v>0</v>
      </c>
      <c r="H2495">
        <f>'906MP'!Y2195</f>
        <v>0</v>
      </c>
      <c r="I2495">
        <f>'906MP'!AK2195</f>
        <v>0</v>
      </c>
      <c r="J2495">
        <f>'906MP'!T2195</f>
        <v>0</v>
      </c>
      <c r="K2495">
        <f>'906MP'!AJ2195</f>
        <v>0</v>
      </c>
      <c r="L2495">
        <f>'906MP'!U2195</f>
        <v>0</v>
      </c>
      <c r="M2495" s="322" t="str">
        <f>IFERROR(VLOOKUP(A2495,PAR!$D$3:$E$53,2,FALSE),"nincs szervezet")</f>
        <v>nincs szervezet</v>
      </c>
      <c r="N2495" s="322" t="str">
        <f>VLOOKUP(F2495,PAR!$R$3:$S$5,2,FALSE)</f>
        <v>3 - egyik sem</v>
      </c>
      <c r="O2495" t="str">
        <f>IFERROR(VLOOKUP(J2495,PAR!$O$3:$P$5,2,FALSE),"nincs feladat")</f>
        <v>nincs feladat</v>
      </c>
      <c r="P2495" t="str">
        <f>IFERROR(VLOOKUP(G2495,PAR!$J$2:$M$19,4),"nincs rovat")</f>
        <v>nincs rovat</v>
      </c>
      <c r="Q2495" t="str">
        <f>IF(H2495&gt;0,VLOOKUP(H2495,PAR!$AA$3:$AC$187,3,FALSE),"nincs főkönyvi számla")</f>
        <v>nincs főkönyvi számla</v>
      </c>
      <c r="R2495" t="str">
        <f>IFERROR(VLOOKUP(K2495,PAR!$V$3:$X$438,3,FALSE),"000000 - Nincs COFOG")</f>
        <v>000000 - Nincs COFOG</v>
      </c>
      <c r="S2495">
        <f t="shared" si="734"/>
        <v>0</v>
      </c>
      <c r="T2495">
        <f t="shared" si="735"/>
        <v>0</v>
      </c>
      <c r="U2495" t="str">
        <f>IF('906MP'!J2195&gt;0,CONCATENATE('906MP'!J2195," - ",'906MP'!P2195,", ",'906MP'!E2195),"nincs megjegyzés")</f>
        <v>nincs megjegyzés</v>
      </c>
      <c r="V2495" t="str">
        <f t="shared" si="722"/>
        <v>0P0</v>
      </c>
      <c r="W2495" t="str">
        <f t="shared" si="723"/>
        <v>0P0</v>
      </c>
      <c r="X2495" t="str">
        <f t="shared" si="724"/>
        <v>P0</v>
      </c>
      <c r="Y2495" t="str">
        <f t="shared" si="725"/>
        <v>00</v>
      </c>
      <c r="Z2495" t="str">
        <f t="shared" si="736"/>
        <v>00</v>
      </c>
      <c r="AA2495" t="str">
        <f t="shared" si="726"/>
        <v>00</v>
      </c>
      <c r="AB2495" t="str">
        <f t="shared" si="727"/>
        <v>00</v>
      </c>
      <c r="AC2495" t="str">
        <f t="shared" si="728"/>
        <v>0P0</v>
      </c>
      <c r="AD2495" t="str">
        <f t="shared" si="729"/>
        <v>P00</v>
      </c>
      <c r="AE2495" t="str">
        <f t="shared" si="730"/>
        <v>0P0</v>
      </c>
      <c r="AF2495" t="str">
        <f t="shared" si="731"/>
        <v>P00</v>
      </c>
      <c r="AG2495" t="str">
        <f t="shared" si="737"/>
        <v>0P00</v>
      </c>
      <c r="AH2495" t="str">
        <f t="shared" si="738"/>
        <v>P000</v>
      </c>
      <c r="AI2495" t="str">
        <f t="shared" si="739"/>
        <v>0P00</v>
      </c>
      <c r="AJ2495" t="str">
        <f t="shared" si="740"/>
        <v>P000</v>
      </c>
    </row>
    <row r="2496" spans="1:36" x14ac:dyDescent="0.25">
      <c r="A2496" s="325" t="str">
        <f>CONCATENATE("P",'906MP'!M2196)</f>
        <v>P</v>
      </c>
      <c r="B2496">
        <f>'906MP'!H2196</f>
        <v>0</v>
      </c>
      <c r="C2496">
        <f>'906MP'!J2196</f>
        <v>0</v>
      </c>
      <c r="D2496">
        <f>'906MP'!P2196</f>
        <v>0</v>
      </c>
      <c r="E2496">
        <f>'906MP'!X2196</f>
        <v>0</v>
      </c>
      <c r="F2496" t="str">
        <f t="shared" si="732"/>
        <v>0</v>
      </c>
      <c r="G2496" t="str">
        <f t="shared" si="733"/>
        <v>0</v>
      </c>
      <c r="H2496">
        <f>'906MP'!Y2196</f>
        <v>0</v>
      </c>
      <c r="I2496">
        <f>'906MP'!AK2196</f>
        <v>0</v>
      </c>
      <c r="J2496">
        <f>'906MP'!T2196</f>
        <v>0</v>
      </c>
      <c r="K2496">
        <f>'906MP'!AJ2196</f>
        <v>0</v>
      </c>
      <c r="L2496">
        <f>'906MP'!U2196</f>
        <v>0</v>
      </c>
      <c r="M2496" s="322" t="str">
        <f>IFERROR(VLOOKUP(A2496,PAR!$D$3:$E$53,2,FALSE),"nincs szervezet")</f>
        <v>nincs szervezet</v>
      </c>
      <c r="N2496" s="322" t="str">
        <f>VLOOKUP(F2496,PAR!$R$3:$S$5,2,FALSE)</f>
        <v>3 - egyik sem</v>
      </c>
      <c r="O2496" t="str">
        <f>IFERROR(VLOOKUP(J2496,PAR!$O$3:$P$5,2,FALSE),"nincs feladat")</f>
        <v>nincs feladat</v>
      </c>
      <c r="P2496" t="str">
        <f>IFERROR(VLOOKUP(G2496,PAR!$J$2:$M$19,4),"nincs rovat")</f>
        <v>nincs rovat</v>
      </c>
      <c r="Q2496" t="str">
        <f>IF(H2496&gt;0,VLOOKUP(H2496,PAR!$AA$3:$AC$187,3,FALSE),"nincs főkönyvi számla")</f>
        <v>nincs főkönyvi számla</v>
      </c>
      <c r="R2496" t="str">
        <f>IFERROR(VLOOKUP(K2496,PAR!$V$3:$X$438,3,FALSE),"000000 - Nincs COFOG")</f>
        <v>000000 - Nincs COFOG</v>
      </c>
      <c r="S2496">
        <f t="shared" si="734"/>
        <v>0</v>
      </c>
      <c r="T2496">
        <f t="shared" si="735"/>
        <v>0</v>
      </c>
      <c r="U2496" t="str">
        <f>IF('906MP'!J2196&gt;0,CONCATENATE('906MP'!J2196," - ",'906MP'!P2196,", ",'906MP'!E2196),"nincs megjegyzés")</f>
        <v>nincs megjegyzés</v>
      </c>
      <c r="V2496" t="str">
        <f t="shared" si="722"/>
        <v>0P0</v>
      </c>
      <c r="W2496" t="str">
        <f t="shared" si="723"/>
        <v>0P0</v>
      </c>
      <c r="X2496" t="str">
        <f t="shared" si="724"/>
        <v>P0</v>
      </c>
      <c r="Y2496" t="str">
        <f t="shared" si="725"/>
        <v>00</v>
      </c>
      <c r="Z2496" t="str">
        <f t="shared" si="736"/>
        <v>00</v>
      </c>
      <c r="AA2496" t="str">
        <f t="shared" si="726"/>
        <v>00</v>
      </c>
      <c r="AB2496" t="str">
        <f t="shared" si="727"/>
        <v>00</v>
      </c>
      <c r="AC2496" t="str">
        <f t="shared" si="728"/>
        <v>0P0</v>
      </c>
      <c r="AD2496" t="str">
        <f t="shared" si="729"/>
        <v>P00</v>
      </c>
      <c r="AE2496" t="str">
        <f t="shared" si="730"/>
        <v>0P0</v>
      </c>
      <c r="AF2496" t="str">
        <f t="shared" si="731"/>
        <v>P00</v>
      </c>
      <c r="AG2496" t="str">
        <f t="shared" si="737"/>
        <v>0P00</v>
      </c>
      <c r="AH2496" t="str">
        <f t="shared" si="738"/>
        <v>P000</v>
      </c>
      <c r="AI2496" t="str">
        <f t="shared" si="739"/>
        <v>0P00</v>
      </c>
      <c r="AJ2496" t="str">
        <f t="shared" si="740"/>
        <v>P000</v>
      </c>
    </row>
    <row r="2497" spans="1:36" x14ac:dyDescent="0.25">
      <c r="A2497" s="325" t="str">
        <f>CONCATENATE("P",'906MP'!M2197)</f>
        <v>P</v>
      </c>
      <c r="B2497">
        <f>'906MP'!H2197</f>
        <v>0</v>
      </c>
      <c r="C2497">
        <f>'906MP'!J2197</f>
        <v>0</v>
      </c>
      <c r="D2497">
        <f>'906MP'!P2197</f>
        <v>0</v>
      </c>
      <c r="E2497">
        <f>'906MP'!X2197</f>
        <v>0</v>
      </c>
      <c r="F2497" t="str">
        <f t="shared" si="732"/>
        <v>0</v>
      </c>
      <c r="G2497" t="str">
        <f t="shared" si="733"/>
        <v>0</v>
      </c>
      <c r="H2497">
        <f>'906MP'!Y2197</f>
        <v>0</v>
      </c>
      <c r="I2497">
        <f>'906MP'!AK2197</f>
        <v>0</v>
      </c>
      <c r="J2497">
        <f>'906MP'!T2197</f>
        <v>0</v>
      </c>
      <c r="K2497">
        <f>'906MP'!AJ2197</f>
        <v>0</v>
      </c>
      <c r="L2497">
        <f>'906MP'!U2197</f>
        <v>0</v>
      </c>
      <c r="M2497" s="322" t="str">
        <f>IFERROR(VLOOKUP(A2497,PAR!$D$3:$E$53,2,FALSE),"nincs szervezet")</f>
        <v>nincs szervezet</v>
      </c>
      <c r="N2497" s="322" t="str">
        <f>VLOOKUP(F2497,PAR!$R$3:$S$5,2,FALSE)</f>
        <v>3 - egyik sem</v>
      </c>
      <c r="O2497" t="str">
        <f>IFERROR(VLOOKUP(J2497,PAR!$O$3:$P$5,2,FALSE),"nincs feladat")</f>
        <v>nincs feladat</v>
      </c>
      <c r="P2497" t="str">
        <f>IFERROR(VLOOKUP(G2497,PAR!$J$2:$M$19,4),"nincs rovat")</f>
        <v>nincs rovat</v>
      </c>
      <c r="Q2497" t="str">
        <f>IF(H2497&gt;0,VLOOKUP(H2497,PAR!$AA$3:$AC$187,3,FALSE),"nincs főkönyvi számla")</f>
        <v>nincs főkönyvi számla</v>
      </c>
      <c r="R2497" t="str">
        <f>IFERROR(VLOOKUP(K2497,PAR!$V$3:$X$438,3,FALSE),"000000 - Nincs COFOG")</f>
        <v>000000 - Nincs COFOG</v>
      </c>
      <c r="S2497">
        <f t="shared" si="734"/>
        <v>0</v>
      </c>
      <c r="T2497">
        <f t="shared" si="735"/>
        <v>0</v>
      </c>
      <c r="U2497" t="str">
        <f>IF('906MP'!J2197&gt;0,CONCATENATE('906MP'!J2197," - ",'906MP'!P2197,", ",'906MP'!E2197),"nincs megjegyzés")</f>
        <v>nincs megjegyzés</v>
      </c>
      <c r="V2497" t="str">
        <f t="shared" si="722"/>
        <v>0P0</v>
      </c>
      <c r="W2497" t="str">
        <f t="shared" si="723"/>
        <v>0P0</v>
      </c>
      <c r="X2497" t="str">
        <f t="shared" si="724"/>
        <v>P0</v>
      </c>
      <c r="Y2497" t="str">
        <f t="shared" si="725"/>
        <v>00</v>
      </c>
      <c r="Z2497" t="str">
        <f t="shared" si="736"/>
        <v>00</v>
      </c>
      <c r="AA2497" t="str">
        <f t="shared" si="726"/>
        <v>00</v>
      </c>
      <c r="AB2497" t="str">
        <f t="shared" si="727"/>
        <v>00</v>
      </c>
      <c r="AC2497" t="str">
        <f t="shared" si="728"/>
        <v>0P0</v>
      </c>
      <c r="AD2497" t="str">
        <f t="shared" si="729"/>
        <v>P00</v>
      </c>
      <c r="AE2497" t="str">
        <f t="shared" si="730"/>
        <v>0P0</v>
      </c>
      <c r="AF2497" t="str">
        <f t="shared" si="731"/>
        <v>P00</v>
      </c>
      <c r="AG2497" t="str">
        <f t="shared" si="737"/>
        <v>0P00</v>
      </c>
      <c r="AH2497" t="str">
        <f t="shared" si="738"/>
        <v>P000</v>
      </c>
      <c r="AI2497" t="str">
        <f t="shared" si="739"/>
        <v>0P00</v>
      </c>
      <c r="AJ2497" t="str">
        <f t="shared" si="740"/>
        <v>P000</v>
      </c>
    </row>
    <row r="2498" spans="1:36" x14ac:dyDescent="0.25">
      <c r="A2498" s="325" t="str">
        <f>CONCATENATE("P",'906MP'!M2198)</f>
        <v>P</v>
      </c>
      <c r="B2498">
        <f>'906MP'!H2198</f>
        <v>0</v>
      </c>
      <c r="C2498">
        <f>'906MP'!J2198</f>
        <v>0</v>
      </c>
      <c r="D2498">
        <f>'906MP'!P2198</f>
        <v>0</v>
      </c>
      <c r="E2498">
        <f>'906MP'!X2198</f>
        <v>0</v>
      </c>
      <c r="F2498" t="str">
        <f t="shared" si="732"/>
        <v>0</v>
      </c>
      <c r="G2498" t="str">
        <f t="shared" si="733"/>
        <v>0</v>
      </c>
      <c r="H2498">
        <f>'906MP'!Y2198</f>
        <v>0</v>
      </c>
      <c r="I2498">
        <f>'906MP'!AK2198</f>
        <v>0</v>
      </c>
      <c r="J2498">
        <f>'906MP'!T2198</f>
        <v>0</v>
      </c>
      <c r="K2498">
        <f>'906MP'!AJ2198</f>
        <v>0</v>
      </c>
      <c r="L2498">
        <f>'906MP'!U2198</f>
        <v>0</v>
      </c>
      <c r="M2498" s="322" t="str">
        <f>IFERROR(VLOOKUP(A2498,PAR!$D$3:$E$53,2,FALSE),"nincs szervezet")</f>
        <v>nincs szervezet</v>
      </c>
      <c r="N2498" s="322" t="str">
        <f>VLOOKUP(F2498,PAR!$R$3:$S$5,2,FALSE)</f>
        <v>3 - egyik sem</v>
      </c>
      <c r="O2498" t="str">
        <f>IFERROR(VLOOKUP(J2498,PAR!$O$3:$P$5,2,FALSE),"nincs feladat")</f>
        <v>nincs feladat</v>
      </c>
      <c r="P2498" t="str">
        <f>IFERROR(VLOOKUP(G2498,PAR!$J$2:$M$19,4),"nincs rovat")</f>
        <v>nincs rovat</v>
      </c>
      <c r="Q2498" t="str">
        <f>IF(H2498&gt;0,VLOOKUP(H2498,PAR!$AA$3:$AC$187,3,FALSE),"nincs főkönyvi számla")</f>
        <v>nincs főkönyvi számla</v>
      </c>
      <c r="R2498" t="str">
        <f>IFERROR(VLOOKUP(K2498,PAR!$V$3:$X$438,3,FALSE),"000000 - Nincs COFOG")</f>
        <v>000000 - Nincs COFOG</v>
      </c>
      <c r="S2498">
        <f t="shared" si="734"/>
        <v>0</v>
      </c>
      <c r="T2498">
        <f t="shared" si="735"/>
        <v>0</v>
      </c>
      <c r="U2498" t="str">
        <f>IF('906MP'!J2198&gt;0,CONCATENATE('906MP'!J2198," - ",'906MP'!P2198,", ",'906MP'!E2198),"nincs megjegyzés")</f>
        <v>nincs megjegyzés</v>
      </c>
      <c r="V2498" t="str">
        <f t="shared" ref="V2498:V2561" si="741">CONCATENATE(B2498,A2498,G2498)</f>
        <v>0P0</v>
      </c>
      <c r="W2498" t="str">
        <f t="shared" ref="W2498:W2561" si="742">CONCATENATE(B2498,A2498,F2498)</f>
        <v>0P0</v>
      </c>
      <c r="X2498" t="str">
        <f t="shared" ref="X2498:X2561" si="743">CONCATENATE(A2498,H2498)</f>
        <v>P0</v>
      </c>
      <c r="Y2498" t="str">
        <f t="shared" ref="Y2498:Y2561" si="744">CONCATENATE(B2498,H2498)</f>
        <v>00</v>
      </c>
      <c r="Z2498" t="str">
        <f t="shared" si="736"/>
        <v>00</v>
      </c>
      <c r="AA2498" t="str">
        <f t="shared" ref="AA2498:AA2561" si="745">CONCATENATE(B2498,G2498)</f>
        <v>00</v>
      </c>
      <c r="AB2498" t="str">
        <f t="shared" ref="AB2498:AB2561" si="746">CONCATENATE(J2498,G2498)</f>
        <v>00</v>
      </c>
      <c r="AC2498" t="str">
        <f t="shared" ref="AC2498:AC2561" si="747">CONCATENATE(B2498,A2498,H2498)</f>
        <v>0P0</v>
      </c>
      <c r="AD2498" t="str">
        <f t="shared" ref="AD2498:AD2561" si="748">CONCATENATE(A2498,H2498,J2498)</f>
        <v>P00</v>
      </c>
      <c r="AE2498" t="str">
        <f t="shared" ref="AE2498:AE2561" si="749">CONCATENATE(B2498,A2498,G2498)</f>
        <v>0P0</v>
      </c>
      <c r="AF2498" t="str">
        <f t="shared" ref="AF2498:AF2561" si="750">CONCATENATE(A2498,G2498,J2498)</f>
        <v>P00</v>
      </c>
      <c r="AG2498" t="str">
        <f t="shared" si="737"/>
        <v>0P00</v>
      </c>
      <c r="AH2498" t="str">
        <f t="shared" si="738"/>
        <v>P000</v>
      </c>
      <c r="AI2498" t="str">
        <f t="shared" si="739"/>
        <v>0P00</v>
      </c>
      <c r="AJ2498" t="str">
        <f t="shared" si="740"/>
        <v>P000</v>
      </c>
    </row>
    <row r="2499" spans="1:36" x14ac:dyDescent="0.25">
      <c r="A2499" s="325" t="str">
        <f>CONCATENATE("P",'906MP'!M2199)</f>
        <v>P</v>
      </c>
      <c r="B2499">
        <f>'906MP'!H2199</f>
        <v>0</v>
      </c>
      <c r="C2499">
        <f>'906MP'!J2199</f>
        <v>0</v>
      </c>
      <c r="D2499">
        <f>'906MP'!P2199</f>
        <v>0</v>
      </c>
      <c r="E2499">
        <f>'906MP'!X2199</f>
        <v>0</v>
      </c>
      <c r="F2499" t="str">
        <f t="shared" ref="F2499:F2562" si="751">LEFT(G2499,2)</f>
        <v>0</v>
      </c>
      <c r="G2499" t="str">
        <f t="shared" ref="G2499:G2562" si="752">LEFT(H2499,3)</f>
        <v>0</v>
      </c>
      <c r="H2499">
        <f>'906MP'!Y2199</f>
        <v>0</v>
      </c>
      <c r="I2499">
        <f>'906MP'!AK2199</f>
        <v>0</v>
      </c>
      <c r="J2499">
        <f>'906MP'!T2199</f>
        <v>0</v>
      </c>
      <c r="K2499">
        <f>'906MP'!AJ2199</f>
        <v>0</v>
      </c>
      <c r="L2499">
        <f>'906MP'!U2199</f>
        <v>0</v>
      </c>
      <c r="M2499" s="322" t="str">
        <f>IFERROR(VLOOKUP(A2499,PAR!$D$3:$E$53,2,FALSE),"nincs szervezet")</f>
        <v>nincs szervezet</v>
      </c>
      <c r="N2499" s="322" t="str">
        <f>VLOOKUP(F2499,PAR!$R$3:$S$5,2,FALSE)</f>
        <v>3 - egyik sem</v>
      </c>
      <c r="O2499" t="str">
        <f>IFERROR(VLOOKUP(J2499,PAR!$O$3:$P$5,2,FALSE),"nincs feladat")</f>
        <v>nincs feladat</v>
      </c>
      <c r="P2499" t="str">
        <f>IFERROR(VLOOKUP(G2499,PAR!$J$2:$M$19,4),"nincs rovat")</f>
        <v>nincs rovat</v>
      </c>
      <c r="Q2499" t="str">
        <f>IF(H2499&gt;0,VLOOKUP(H2499,PAR!$AA$3:$AC$187,3,FALSE),"nincs főkönyvi számla")</f>
        <v>nincs főkönyvi számla</v>
      </c>
      <c r="R2499" t="str">
        <f>IFERROR(VLOOKUP(K2499,PAR!$V$3:$X$438,3,FALSE),"000000 - Nincs COFOG")</f>
        <v>000000 - Nincs COFOG</v>
      </c>
      <c r="S2499">
        <f t="shared" ref="S2499:S2562" si="753">E2499</f>
        <v>0</v>
      </c>
      <c r="T2499">
        <f t="shared" ref="T2499:T2562" si="754">IF(F2499="09",E2499*-1,E2499)</f>
        <v>0</v>
      </c>
      <c r="U2499" t="str">
        <f>IF('906MP'!J2199&gt;0,CONCATENATE('906MP'!J2199," - ",'906MP'!P2199,", ",'906MP'!E2199),"nincs megjegyzés")</f>
        <v>nincs megjegyzés</v>
      </c>
      <c r="V2499" t="str">
        <f t="shared" si="741"/>
        <v>0P0</v>
      </c>
      <c r="W2499" t="str">
        <f t="shared" si="742"/>
        <v>0P0</v>
      </c>
      <c r="X2499" t="str">
        <f t="shared" si="743"/>
        <v>P0</v>
      </c>
      <c r="Y2499" t="str">
        <f t="shared" si="744"/>
        <v>00</v>
      </c>
      <c r="Z2499" t="str">
        <f t="shared" ref="Z2499:Z2562" si="755">CONCATENATE(J2499,H2499)</f>
        <v>00</v>
      </c>
      <c r="AA2499" t="str">
        <f t="shared" si="745"/>
        <v>00</v>
      </c>
      <c r="AB2499" t="str">
        <f t="shared" si="746"/>
        <v>00</v>
      </c>
      <c r="AC2499" t="str">
        <f t="shared" si="747"/>
        <v>0P0</v>
      </c>
      <c r="AD2499" t="str">
        <f t="shared" si="748"/>
        <v>P00</v>
      </c>
      <c r="AE2499" t="str">
        <f t="shared" si="749"/>
        <v>0P0</v>
      </c>
      <c r="AF2499" t="str">
        <f t="shared" si="750"/>
        <v>P00</v>
      </c>
      <c r="AG2499" t="str">
        <f t="shared" ref="AG2499:AG2562" si="756">CONCATENATE(B2499,A2499,H2499,L2499)</f>
        <v>0P00</v>
      </c>
      <c r="AH2499" t="str">
        <f t="shared" ref="AH2499:AH2562" si="757">CONCATENATE(A2499,J2499,H2499,L2499)</f>
        <v>P000</v>
      </c>
      <c r="AI2499" t="str">
        <f t="shared" ref="AI2499:AI2562" si="758">CONCATENATE(B2499,A2499,G2499,L2499)</f>
        <v>0P00</v>
      </c>
      <c r="AJ2499" t="str">
        <f t="shared" ref="AJ2499:AJ2562" si="759">CONCATENATE(A2499,G2499,J2499,L2499)</f>
        <v>P000</v>
      </c>
    </row>
    <row r="2500" spans="1:36" x14ac:dyDescent="0.25">
      <c r="A2500" s="325" t="str">
        <f>CONCATENATE("P",'906MP'!M2200)</f>
        <v>P</v>
      </c>
      <c r="B2500">
        <f>'906MP'!H2200</f>
        <v>0</v>
      </c>
      <c r="C2500">
        <f>'906MP'!J2200</f>
        <v>0</v>
      </c>
      <c r="D2500">
        <f>'906MP'!P2200</f>
        <v>0</v>
      </c>
      <c r="E2500">
        <f>'906MP'!X2200</f>
        <v>0</v>
      </c>
      <c r="F2500" t="str">
        <f t="shared" si="751"/>
        <v>0</v>
      </c>
      <c r="G2500" t="str">
        <f t="shared" si="752"/>
        <v>0</v>
      </c>
      <c r="H2500">
        <f>'906MP'!Y2200</f>
        <v>0</v>
      </c>
      <c r="I2500">
        <f>'906MP'!AK2200</f>
        <v>0</v>
      </c>
      <c r="J2500">
        <f>'906MP'!T2200</f>
        <v>0</v>
      </c>
      <c r="K2500">
        <f>'906MP'!AJ2200</f>
        <v>0</v>
      </c>
      <c r="L2500">
        <f>'906MP'!U2200</f>
        <v>0</v>
      </c>
      <c r="M2500" s="322" t="str">
        <f>IFERROR(VLOOKUP(A2500,PAR!$D$3:$E$53,2,FALSE),"nincs szervezet")</f>
        <v>nincs szervezet</v>
      </c>
      <c r="N2500" s="322" t="str">
        <f>VLOOKUP(F2500,PAR!$R$3:$S$5,2,FALSE)</f>
        <v>3 - egyik sem</v>
      </c>
      <c r="O2500" t="str">
        <f>IFERROR(VLOOKUP(J2500,PAR!$O$3:$P$5,2,FALSE),"nincs feladat")</f>
        <v>nincs feladat</v>
      </c>
      <c r="P2500" t="str">
        <f>IFERROR(VLOOKUP(G2500,PAR!$J$2:$M$19,4),"nincs rovat")</f>
        <v>nincs rovat</v>
      </c>
      <c r="Q2500" t="str">
        <f>IF(H2500&gt;0,VLOOKUP(H2500,PAR!$AA$3:$AC$187,3,FALSE),"nincs főkönyvi számla")</f>
        <v>nincs főkönyvi számla</v>
      </c>
      <c r="R2500" t="str">
        <f>IFERROR(VLOOKUP(K2500,PAR!$V$3:$X$438,3,FALSE),"000000 - Nincs COFOG")</f>
        <v>000000 - Nincs COFOG</v>
      </c>
      <c r="S2500">
        <f t="shared" si="753"/>
        <v>0</v>
      </c>
      <c r="T2500">
        <f t="shared" si="754"/>
        <v>0</v>
      </c>
      <c r="U2500" t="str">
        <f>IF('906MP'!J2200&gt;0,CONCATENATE('906MP'!J2200," - ",'906MP'!P2200,", ",'906MP'!E2200),"nincs megjegyzés")</f>
        <v>nincs megjegyzés</v>
      </c>
      <c r="V2500" t="str">
        <f t="shared" si="741"/>
        <v>0P0</v>
      </c>
      <c r="W2500" t="str">
        <f t="shared" si="742"/>
        <v>0P0</v>
      </c>
      <c r="X2500" t="str">
        <f t="shared" si="743"/>
        <v>P0</v>
      </c>
      <c r="Y2500" t="str">
        <f t="shared" si="744"/>
        <v>00</v>
      </c>
      <c r="Z2500" t="str">
        <f t="shared" si="755"/>
        <v>00</v>
      </c>
      <c r="AA2500" t="str">
        <f t="shared" si="745"/>
        <v>00</v>
      </c>
      <c r="AB2500" t="str">
        <f t="shared" si="746"/>
        <v>00</v>
      </c>
      <c r="AC2500" t="str">
        <f t="shared" si="747"/>
        <v>0P0</v>
      </c>
      <c r="AD2500" t="str">
        <f t="shared" si="748"/>
        <v>P00</v>
      </c>
      <c r="AE2500" t="str">
        <f t="shared" si="749"/>
        <v>0P0</v>
      </c>
      <c r="AF2500" t="str">
        <f t="shared" si="750"/>
        <v>P00</v>
      </c>
      <c r="AG2500" t="str">
        <f t="shared" si="756"/>
        <v>0P00</v>
      </c>
      <c r="AH2500" t="str">
        <f t="shared" si="757"/>
        <v>P000</v>
      </c>
      <c r="AI2500" t="str">
        <f t="shared" si="758"/>
        <v>0P00</v>
      </c>
      <c r="AJ2500" t="str">
        <f t="shared" si="759"/>
        <v>P000</v>
      </c>
    </row>
    <row r="2501" spans="1:36" x14ac:dyDescent="0.25">
      <c r="A2501" s="325" t="str">
        <f>CONCATENATE("P",'906MP'!M2201)</f>
        <v>P</v>
      </c>
      <c r="B2501">
        <f>'906MP'!H2201</f>
        <v>0</v>
      </c>
      <c r="C2501">
        <f>'906MP'!J2201</f>
        <v>0</v>
      </c>
      <c r="D2501">
        <f>'906MP'!P2201</f>
        <v>0</v>
      </c>
      <c r="E2501">
        <f>'906MP'!X2201</f>
        <v>0</v>
      </c>
      <c r="F2501" t="str">
        <f t="shared" si="751"/>
        <v>0</v>
      </c>
      <c r="G2501" t="str">
        <f t="shared" si="752"/>
        <v>0</v>
      </c>
      <c r="H2501">
        <f>'906MP'!Y2201</f>
        <v>0</v>
      </c>
      <c r="I2501">
        <f>'906MP'!AK2201</f>
        <v>0</v>
      </c>
      <c r="J2501">
        <f>'906MP'!T2201</f>
        <v>0</v>
      </c>
      <c r="K2501">
        <f>'906MP'!AJ2201</f>
        <v>0</v>
      </c>
      <c r="L2501">
        <f>'906MP'!U2201</f>
        <v>0</v>
      </c>
      <c r="M2501" s="322" t="str">
        <f>IFERROR(VLOOKUP(A2501,PAR!$D$3:$E$53,2,FALSE),"nincs szervezet")</f>
        <v>nincs szervezet</v>
      </c>
      <c r="N2501" s="322" t="str">
        <f>VLOOKUP(F2501,PAR!$R$3:$S$5,2,FALSE)</f>
        <v>3 - egyik sem</v>
      </c>
      <c r="O2501" t="str">
        <f>IFERROR(VLOOKUP(J2501,PAR!$O$3:$P$5,2,FALSE),"nincs feladat")</f>
        <v>nincs feladat</v>
      </c>
      <c r="P2501" t="str">
        <f>IFERROR(VLOOKUP(G2501,PAR!$J$2:$M$19,4),"nincs rovat")</f>
        <v>nincs rovat</v>
      </c>
      <c r="Q2501" t="str">
        <f>IF(H2501&gt;0,VLOOKUP(H2501,PAR!$AA$3:$AC$187,3,FALSE),"nincs főkönyvi számla")</f>
        <v>nincs főkönyvi számla</v>
      </c>
      <c r="R2501" t="str">
        <f>IFERROR(VLOOKUP(K2501,PAR!$V$3:$X$438,3,FALSE),"000000 - Nincs COFOG")</f>
        <v>000000 - Nincs COFOG</v>
      </c>
      <c r="S2501">
        <f t="shared" si="753"/>
        <v>0</v>
      </c>
      <c r="T2501">
        <f t="shared" si="754"/>
        <v>0</v>
      </c>
      <c r="U2501" t="str">
        <f>IF('906MP'!J2201&gt;0,CONCATENATE('906MP'!J2201," - ",'906MP'!P2201,", ",'906MP'!E2201),"nincs megjegyzés")</f>
        <v>nincs megjegyzés</v>
      </c>
      <c r="V2501" t="str">
        <f t="shared" si="741"/>
        <v>0P0</v>
      </c>
      <c r="W2501" t="str">
        <f t="shared" si="742"/>
        <v>0P0</v>
      </c>
      <c r="X2501" t="str">
        <f t="shared" si="743"/>
        <v>P0</v>
      </c>
      <c r="Y2501" t="str">
        <f t="shared" si="744"/>
        <v>00</v>
      </c>
      <c r="Z2501" t="str">
        <f t="shared" si="755"/>
        <v>00</v>
      </c>
      <c r="AA2501" t="str">
        <f t="shared" si="745"/>
        <v>00</v>
      </c>
      <c r="AB2501" t="str">
        <f t="shared" si="746"/>
        <v>00</v>
      </c>
      <c r="AC2501" t="str">
        <f t="shared" si="747"/>
        <v>0P0</v>
      </c>
      <c r="AD2501" t="str">
        <f t="shared" si="748"/>
        <v>P00</v>
      </c>
      <c r="AE2501" t="str">
        <f t="shared" si="749"/>
        <v>0P0</v>
      </c>
      <c r="AF2501" t="str">
        <f t="shared" si="750"/>
        <v>P00</v>
      </c>
      <c r="AG2501" t="str">
        <f t="shared" si="756"/>
        <v>0P00</v>
      </c>
      <c r="AH2501" t="str">
        <f t="shared" si="757"/>
        <v>P000</v>
      </c>
      <c r="AI2501" t="str">
        <f t="shared" si="758"/>
        <v>0P00</v>
      </c>
      <c r="AJ2501" t="str">
        <f t="shared" si="759"/>
        <v>P000</v>
      </c>
    </row>
    <row r="2502" spans="1:36" x14ac:dyDescent="0.25">
      <c r="A2502" s="325" t="str">
        <f>CONCATENATE("P",'906MP'!M2202)</f>
        <v>P</v>
      </c>
      <c r="B2502">
        <f>'906MP'!H2202</f>
        <v>0</v>
      </c>
      <c r="C2502">
        <f>'906MP'!J2202</f>
        <v>0</v>
      </c>
      <c r="D2502">
        <f>'906MP'!P2202</f>
        <v>0</v>
      </c>
      <c r="E2502">
        <f>'906MP'!X2202</f>
        <v>0</v>
      </c>
      <c r="F2502" t="str">
        <f t="shared" si="751"/>
        <v>0</v>
      </c>
      <c r="G2502" t="str">
        <f t="shared" si="752"/>
        <v>0</v>
      </c>
      <c r="H2502">
        <f>'906MP'!Y2202</f>
        <v>0</v>
      </c>
      <c r="I2502">
        <f>'906MP'!AK2202</f>
        <v>0</v>
      </c>
      <c r="J2502">
        <f>'906MP'!T2202</f>
        <v>0</v>
      </c>
      <c r="K2502">
        <f>'906MP'!AJ2202</f>
        <v>0</v>
      </c>
      <c r="L2502">
        <f>'906MP'!U2202</f>
        <v>0</v>
      </c>
      <c r="M2502" s="322" t="str">
        <f>IFERROR(VLOOKUP(A2502,PAR!$D$3:$E$53,2,FALSE),"nincs szervezet")</f>
        <v>nincs szervezet</v>
      </c>
      <c r="N2502" s="322" t="str">
        <f>VLOOKUP(F2502,PAR!$R$3:$S$5,2,FALSE)</f>
        <v>3 - egyik sem</v>
      </c>
      <c r="O2502" t="str">
        <f>IFERROR(VLOOKUP(J2502,PAR!$O$3:$P$5,2,FALSE),"nincs feladat")</f>
        <v>nincs feladat</v>
      </c>
      <c r="P2502" t="str">
        <f>IFERROR(VLOOKUP(G2502,PAR!$J$2:$M$19,4),"nincs rovat")</f>
        <v>nincs rovat</v>
      </c>
      <c r="Q2502" t="str">
        <f>IF(H2502&gt;0,VLOOKUP(H2502,PAR!$AA$3:$AC$187,3,FALSE),"nincs főkönyvi számla")</f>
        <v>nincs főkönyvi számla</v>
      </c>
      <c r="R2502" t="str">
        <f>IFERROR(VLOOKUP(K2502,PAR!$V$3:$X$438,3,FALSE),"000000 - Nincs COFOG")</f>
        <v>000000 - Nincs COFOG</v>
      </c>
      <c r="S2502">
        <f t="shared" si="753"/>
        <v>0</v>
      </c>
      <c r="T2502">
        <f t="shared" si="754"/>
        <v>0</v>
      </c>
      <c r="U2502" t="str">
        <f>IF('906MP'!J2202&gt;0,CONCATENATE('906MP'!J2202," - ",'906MP'!P2202,", ",'906MP'!E2202),"nincs megjegyzés")</f>
        <v>nincs megjegyzés</v>
      </c>
      <c r="V2502" t="str">
        <f t="shared" si="741"/>
        <v>0P0</v>
      </c>
      <c r="W2502" t="str">
        <f t="shared" si="742"/>
        <v>0P0</v>
      </c>
      <c r="X2502" t="str">
        <f t="shared" si="743"/>
        <v>P0</v>
      </c>
      <c r="Y2502" t="str">
        <f t="shared" si="744"/>
        <v>00</v>
      </c>
      <c r="Z2502" t="str">
        <f t="shared" si="755"/>
        <v>00</v>
      </c>
      <c r="AA2502" t="str">
        <f t="shared" si="745"/>
        <v>00</v>
      </c>
      <c r="AB2502" t="str">
        <f t="shared" si="746"/>
        <v>00</v>
      </c>
      <c r="AC2502" t="str">
        <f t="shared" si="747"/>
        <v>0P0</v>
      </c>
      <c r="AD2502" t="str">
        <f t="shared" si="748"/>
        <v>P00</v>
      </c>
      <c r="AE2502" t="str">
        <f t="shared" si="749"/>
        <v>0P0</v>
      </c>
      <c r="AF2502" t="str">
        <f t="shared" si="750"/>
        <v>P00</v>
      </c>
      <c r="AG2502" t="str">
        <f t="shared" si="756"/>
        <v>0P00</v>
      </c>
      <c r="AH2502" t="str">
        <f t="shared" si="757"/>
        <v>P000</v>
      </c>
      <c r="AI2502" t="str">
        <f t="shared" si="758"/>
        <v>0P00</v>
      </c>
      <c r="AJ2502" t="str">
        <f t="shared" si="759"/>
        <v>P000</v>
      </c>
    </row>
    <row r="2503" spans="1:36" x14ac:dyDescent="0.25">
      <c r="A2503" s="325" t="str">
        <f>CONCATENATE("P",'906MP'!M2203)</f>
        <v>P</v>
      </c>
      <c r="B2503">
        <f>'906MP'!H2203</f>
        <v>0</v>
      </c>
      <c r="C2503">
        <f>'906MP'!J2203</f>
        <v>0</v>
      </c>
      <c r="D2503">
        <f>'906MP'!P2203</f>
        <v>0</v>
      </c>
      <c r="E2503">
        <f>'906MP'!X2203</f>
        <v>0</v>
      </c>
      <c r="F2503" t="str">
        <f t="shared" si="751"/>
        <v>0</v>
      </c>
      <c r="G2503" t="str">
        <f t="shared" si="752"/>
        <v>0</v>
      </c>
      <c r="H2503">
        <f>'906MP'!Y2203</f>
        <v>0</v>
      </c>
      <c r="I2503">
        <f>'906MP'!AK2203</f>
        <v>0</v>
      </c>
      <c r="J2503">
        <f>'906MP'!T2203</f>
        <v>0</v>
      </c>
      <c r="K2503">
        <f>'906MP'!AJ2203</f>
        <v>0</v>
      </c>
      <c r="L2503">
        <f>'906MP'!U2203</f>
        <v>0</v>
      </c>
      <c r="M2503" s="322" t="str">
        <f>IFERROR(VLOOKUP(A2503,PAR!$D$3:$E$53,2,FALSE),"nincs szervezet")</f>
        <v>nincs szervezet</v>
      </c>
      <c r="N2503" s="322" t="str">
        <f>VLOOKUP(F2503,PAR!$R$3:$S$5,2,FALSE)</f>
        <v>3 - egyik sem</v>
      </c>
      <c r="O2503" t="str">
        <f>IFERROR(VLOOKUP(J2503,PAR!$O$3:$P$5,2,FALSE),"nincs feladat")</f>
        <v>nincs feladat</v>
      </c>
      <c r="P2503" t="str">
        <f>IFERROR(VLOOKUP(G2503,PAR!$J$2:$M$19,4),"nincs rovat")</f>
        <v>nincs rovat</v>
      </c>
      <c r="Q2503" t="str">
        <f>IF(H2503&gt;0,VLOOKUP(H2503,PAR!$AA$3:$AC$187,3,FALSE),"nincs főkönyvi számla")</f>
        <v>nincs főkönyvi számla</v>
      </c>
      <c r="R2503" t="str">
        <f>IFERROR(VLOOKUP(K2503,PAR!$V$3:$X$438,3,FALSE),"000000 - Nincs COFOG")</f>
        <v>000000 - Nincs COFOG</v>
      </c>
      <c r="S2503">
        <f t="shared" si="753"/>
        <v>0</v>
      </c>
      <c r="T2503">
        <f t="shared" si="754"/>
        <v>0</v>
      </c>
      <c r="U2503" t="str">
        <f>IF('906MP'!J2203&gt;0,CONCATENATE('906MP'!J2203," - ",'906MP'!P2203,", ",'906MP'!E2203),"nincs megjegyzés")</f>
        <v>nincs megjegyzés</v>
      </c>
      <c r="V2503" t="str">
        <f t="shared" si="741"/>
        <v>0P0</v>
      </c>
      <c r="W2503" t="str">
        <f t="shared" si="742"/>
        <v>0P0</v>
      </c>
      <c r="X2503" t="str">
        <f t="shared" si="743"/>
        <v>P0</v>
      </c>
      <c r="Y2503" t="str">
        <f t="shared" si="744"/>
        <v>00</v>
      </c>
      <c r="Z2503" t="str">
        <f t="shared" si="755"/>
        <v>00</v>
      </c>
      <c r="AA2503" t="str">
        <f t="shared" si="745"/>
        <v>00</v>
      </c>
      <c r="AB2503" t="str">
        <f t="shared" si="746"/>
        <v>00</v>
      </c>
      <c r="AC2503" t="str">
        <f t="shared" si="747"/>
        <v>0P0</v>
      </c>
      <c r="AD2503" t="str">
        <f t="shared" si="748"/>
        <v>P00</v>
      </c>
      <c r="AE2503" t="str">
        <f t="shared" si="749"/>
        <v>0P0</v>
      </c>
      <c r="AF2503" t="str">
        <f t="shared" si="750"/>
        <v>P00</v>
      </c>
      <c r="AG2503" t="str">
        <f t="shared" si="756"/>
        <v>0P00</v>
      </c>
      <c r="AH2503" t="str">
        <f t="shared" si="757"/>
        <v>P000</v>
      </c>
      <c r="AI2503" t="str">
        <f t="shared" si="758"/>
        <v>0P00</v>
      </c>
      <c r="AJ2503" t="str">
        <f t="shared" si="759"/>
        <v>P000</v>
      </c>
    </row>
    <row r="2504" spans="1:36" x14ac:dyDescent="0.25">
      <c r="A2504" s="325" t="str">
        <f>CONCATENATE("P",'906MP'!M2204)</f>
        <v>P</v>
      </c>
      <c r="B2504">
        <f>'906MP'!H2204</f>
        <v>0</v>
      </c>
      <c r="C2504">
        <f>'906MP'!J2204</f>
        <v>0</v>
      </c>
      <c r="D2504">
        <f>'906MP'!P2204</f>
        <v>0</v>
      </c>
      <c r="E2504">
        <f>'906MP'!X2204</f>
        <v>0</v>
      </c>
      <c r="F2504" t="str">
        <f t="shared" si="751"/>
        <v>0</v>
      </c>
      <c r="G2504" t="str">
        <f t="shared" si="752"/>
        <v>0</v>
      </c>
      <c r="H2504">
        <f>'906MP'!Y2204</f>
        <v>0</v>
      </c>
      <c r="I2504">
        <f>'906MP'!AK2204</f>
        <v>0</v>
      </c>
      <c r="J2504">
        <f>'906MP'!T2204</f>
        <v>0</v>
      </c>
      <c r="K2504">
        <f>'906MP'!AJ2204</f>
        <v>0</v>
      </c>
      <c r="L2504">
        <f>'906MP'!U2204</f>
        <v>0</v>
      </c>
      <c r="M2504" s="322" t="str">
        <f>IFERROR(VLOOKUP(A2504,PAR!$D$3:$E$53,2,FALSE),"nincs szervezet")</f>
        <v>nincs szervezet</v>
      </c>
      <c r="N2504" s="322" t="str">
        <f>VLOOKUP(F2504,PAR!$R$3:$S$5,2,FALSE)</f>
        <v>3 - egyik sem</v>
      </c>
      <c r="O2504" t="str">
        <f>IFERROR(VLOOKUP(J2504,PAR!$O$3:$P$5,2,FALSE),"nincs feladat")</f>
        <v>nincs feladat</v>
      </c>
      <c r="P2504" t="str">
        <f>IFERROR(VLOOKUP(G2504,PAR!$J$2:$M$19,4),"nincs rovat")</f>
        <v>nincs rovat</v>
      </c>
      <c r="Q2504" t="str">
        <f>IF(H2504&gt;0,VLOOKUP(H2504,PAR!$AA$3:$AC$187,3,FALSE),"nincs főkönyvi számla")</f>
        <v>nincs főkönyvi számla</v>
      </c>
      <c r="R2504" t="str">
        <f>IFERROR(VLOOKUP(K2504,PAR!$V$3:$X$438,3,FALSE),"000000 - Nincs COFOG")</f>
        <v>000000 - Nincs COFOG</v>
      </c>
      <c r="S2504">
        <f t="shared" si="753"/>
        <v>0</v>
      </c>
      <c r="T2504">
        <f t="shared" si="754"/>
        <v>0</v>
      </c>
      <c r="U2504" t="str">
        <f>IF('906MP'!J2204&gt;0,CONCATENATE('906MP'!J2204," - ",'906MP'!P2204,", ",'906MP'!E2204),"nincs megjegyzés")</f>
        <v>nincs megjegyzés</v>
      </c>
      <c r="V2504" t="str">
        <f t="shared" si="741"/>
        <v>0P0</v>
      </c>
      <c r="W2504" t="str">
        <f t="shared" si="742"/>
        <v>0P0</v>
      </c>
      <c r="X2504" t="str">
        <f t="shared" si="743"/>
        <v>P0</v>
      </c>
      <c r="Y2504" t="str">
        <f t="shared" si="744"/>
        <v>00</v>
      </c>
      <c r="Z2504" t="str">
        <f t="shared" si="755"/>
        <v>00</v>
      </c>
      <c r="AA2504" t="str">
        <f t="shared" si="745"/>
        <v>00</v>
      </c>
      <c r="AB2504" t="str">
        <f t="shared" si="746"/>
        <v>00</v>
      </c>
      <c r="AC2504" t="str">
        <f t="shared" si="747"/>
        <v>0P0</v>
      </c>
      <c r="AD2504" t="str">
        <f t="shared" si="748"/>
        <v>P00</v>
      </c>
      <c r="AE2504" t="str">
        <f t="shared" si="749"/>
        <v>0P0</v>
      </c>
      <c r="AF2504" t="str">
        <f t="shared" si="750"/>
        <v>P00</v>
      </c>
      <c r="AG2504" t="str">
        <f t="shared" si="756"/>
        <v>0P00</v>
      </c>
      <c r="AH2504" t="str">
        <f t="shared" si="757"/>
        <v>P000</v>
      </c>
      <c r="AI2504" t="str">
        <f t="shared" si="758"/>
        <v>0P00</v>
      </c>
      <c r="AJ2504" t="str">
        <f t="shared" si="759"/>
        <v>P000</v>
      </c>
    </row>
    <row r="2505" spans="1:36" x14ac:dyDescent="0.25">
      <c r="A2505" s="325" t="str">
        <f>CONCATENATE("P",'906MP'!M2205)</f>
        <v>P</v>
      </c>
      <c r="B2505">
        <f>'906MP'!H2205</f>
        <v>0</v>
      </c>
      <c r="C2505">
        <f>'906MP'!J2205</f>
        <v>0</v>
      </c>
      <c r="D2505">
        <f>'906MP'!P2205</f>
        <v>0</v>
      </c>
      <c r="E2505">
        <f>'906MP'!X2205</f>
        <v>0</v>
      </c>
      <c r="F2505" t="str">
        <f t="shared" si="751"/>
        <v>0</v>
      </c>
      <c r="G2505" t="str">
        <f t="shared" si="752"/>
        <v>0</v>
      </c>
      <c r="H2505">
        <f>'906MP'!Y2205</f>
        <v>0</v>
      </c>
      <c r="I2505">
        <f>'906MP'!AK2205</f>
        <v>0</v>
      </c>
      <c r="J2505">
        <f>'906MP'!T2205</f>
        <v>0</v>
      </c>
      <c r="K2505">
        <f>'906MP'!AJ2205</f>
        <v>0</v>
      </c>
      <c r="L2505">
        <f>'906MP'!U2205</f>
        <v>0</v>
      </c>
      <c r="M2505" s="322" t="str">
        <f>IFERROR(VLOOKUP(A2505,PAR!$D$3:$E$53,2,FALSE),"nincs szervezet")</f>
        <v>nincs szervezet</v>
      </c>
      <c r="N2505" s="322" t="str">
        <f>VLOOKUP(F2505,PAR!$R$3:$S$5,2,FALSE)</f>
        <v>3 - egyik sem</v>
      </c>
      <c r="O2505" t="str">
        <f>IFERROR(VLOOKUP(J2505,PAR!$O$3:$P$5,2,FALSE),"nincs feladat")</f>
        <v>nincs feladat</v>
      </c>
      <c r="P2505" t="str">
        <f>IFERROR(VLOOKUP(G2505,PAR!$J$2:$M$19,4),"nincs rovat")</f>
        <v>nincs rovat</v>
      </c>
      <c r="Q2505" t="str">
        <f>IF(H2505&gt;0,VLOOKUP(H2505,PAR!$AA$3:$AC$187,3,FALSE),"nincs főkönyvi számla")</f>
        <v>nincs főkönyvi számla</v>
      </c>
      <c r="R2505" t="str">
        <f>IFERROR(VLOOKUP(K2505,PAR!$V$3:$X$438,3,FALSE),"000000 - Nincs COFOG")</f>
        <v>000000 - Nincs COFOG</v>
      </c>
      <c r="S2505">
        <f t="shared" si="753"/>
        <v>0</v>
      </c>
      <c r="T2505">
        <f t="shared" si="754"/>
        <v>0</v>
      </c>
      <c r="U2505" t="str">
        <f>IF('906MP'!J2205&gt;0,CONCATENATE('906MP'!J2205," - ",'906MP'!P2205,", ",'906MP'!E2205),"nincs megjegyzés")</f>
        <v>nincs megjegyzés</v>
      </c>
      <c r="V2505" t="str">
        <f t="shared" si="741"/>
        <v>0P0</v>
      </c>
      <c r="W2505" t="str">
        <f t="shared" si="742"/>
        <v>0P0</v>
      </c>
      <c r="X2505" t="str">
        <f t="shared" si="743"/>
        <v>P0</v>
      </c>
      <c r="Y2505" t="str">
        <f t="shared" si="744"/>
        <v>00</v>
      </c>
      <c r="Z2505" t="str">
        <f t="shared" si="755"/>
        <v>00</v>
      </c>
      <c r="AA2505" t="str">
        <f t="shared" si="745"/>
        <v>00</v>
      </c>
      <c r="AB2505" t="str">
        <f t="shared" si="746"/>
        <v>00</v>
      </c>
      <c r="AC2505" t="str">
        <f t="shared" si="747"/>
        <v>0P0</v>
      </c>
      <c r="AD2505" t="str">
        <f t="shared" si="748"/>
        <v>P00</v>
      </c>
      <c r="AE2505" t="str">
        <f t="shared" si="749"/>
        <v>0P0</v>
      </c>
      <c r="AF2505" t="str">
        <f t="shared" si="750"/>
        <v>P00</v>
      </c>
      <c r="AG2505" t="str">
        <f t="shared" si="756"/>
        <v>0P00</v>
      </c>
      <c r="AH2505" t="str">
        <f t="shared" si="757"/>
        <v>P000</v>
      </c>
      <c r="AI2505" t="str">
        <f t="shared" si="758"/>
        <v>0P00</v>
      </c>
      <c r="AJ2505" t="str">
        <f t="shared" si="759"/>
        <v>P000</v>
      </c>
    </row>
    <row r="2506" spans="1:36" x14ac:dyDescent="0.25">
      <c r="A2506" s="325" t="str">
        <f>CONCATENATE("P",'906MP'!M2206)</f>
        <v>P</v>
      </c>
      <c r="B2506">
        <f>'906MP'!H2206</f>
        <v>0</v>
      </c>
      <c r="C2506">
        <f>'906MP'!J2206</f>
        <v>0</v>
      </c>
      <c r="D2506">
        <f>'906MP'!P2206</f>
        <v>0</v>
      </c>
      <c r="E2506">
        <f>'906MP'!X2206</f>
        <v>0</v>
      </c>
      <c r="F2506" t="str">
        <f t="shared" si="751"/>
        <v>0</v>
      </c>
      <c r="G2506" t="str">
        <f t="shared" si="752"/>
        <v>0</v>
      </c>
      <c r="H2506">
        <f>'906MP'!Y2206</f>
        <v>0</v>
      </c>
      <c r="I2506">
        <f>'906MP'!AK2206</f>
        <v>0</v>
      </c>
      <c r="J2506">
        <f>'906MP'!T2206</f>
        <v>0</v>
      </c>
      <c r="K2506">
        <f>'906MP'!AJ2206</f>
        <v>0</v>
      </c>
      <c r="L2506">
        <f>'906MP'!U2206</f>
        <v>0</v>
      </c>
      <c r="M2506" s="322" t="str">
        <f>IFERROR(VLOOKUP(A2506,PAR!$D$3:$E$53,2,FALSE),"nincs szervezet")</f>
        <v>nincs szervezet</v>
      </c>
      <c r="N2506" s="322" t="str">
        <f>VLOOKUP(F2506,PAR!$R$3:$S$5,2,FALSE)</f>
        <v>3 - egyik sem</v>
      </c>
      <c r="O2506" t="str">
        <f>IFERROR(VLOOKUP(J2506,PAR!$O$3:$P$5,2,FALSE),"nincs feladat")</f>
        <v>nincs feladat</v>
      </c>
      <c r="P2506" t="str">
        <f>IFERROR(VLOOKUP(G2506,PAR!$J$2:$M$19,4),"nincs rovat")</f>
        <v>nincs rovat</v>
      </c>
      <c r="Q2506" t="str">
        <f>IF(H2506&gt;0,VLOOKUP(H2506,PAR!$AA$3:$AC$187,3,FALSE),"nincs főkönyvi számla")</f>
        <v>nincs főkönyvi számla</v>
      </c>
      <c r="R2506" t="str">
        <f>IFERROR(VLOOKUP(K2506,PAR!$V$3:$X$438,3,FALSE),"000000 - Nincs COFOG")</f>
        <v>000000 - Nincs COFOG</v>
      </c>
      <c r="S2506">
        <f t="shared" si="753"/>
        <v>0</v>
      </c>
      <c r="T2506">
        <f t="shared" si="754"/>
        <v>0</v>
      </c>
      <c r="U2506" t="str">
        <f>IF('906MP'!J2206&gt;0,CONCATENATE('906MP'!J2206," - ",'906MP'!P2206,", ",'906MP'!E2206),"nincs megjegyzés")</f>
        <v>nincs megjegyzés</v>
      </c>
      <c r="V2506" t="str">
        <f t="shared" si="741"/>
        <v>0P0</v>
      </c>
      <c r="W2506" t="str">
        <f t="shared" si="742"/>
        <v>0P0</v>
      </c>
      <c r="X2506" t="str">
        <f t="shared" si="743"/>
        <v>P0</v>
      </c>
      <c r="Y2506" t="str">
        <f t="shared" si="744"/>
        <v>00</v>
      </c>
      <c r="Z2506" t="str">
        <f t="shared" si="755"/>
        <v>00</v>
      </c>
      <c r="AA2506" t="str">
        <f t="shared" si="745"/>
        <v>00</v>
      </c>
      <c r="AB2506" t="str">
        <f t="shared" si="746"/>
        <v>00</v>
      </c>
      <c r="AC2506" t="str">
        <f t="shared" si="747"/>
        <v>0P0</v>
      </c>
      <c r="AD2506" t="str">
        <f t="shared" si="748"/>
        <v>P00</v>
      </c>
      <c r="AE2506" t="str">
        <f t="shared" si="749"/>
        <v>0P0</v>
      </c>
      <c r="AF2506" t="str">
        <f t="shared" si="750"/>
        <v>P00</v>
      </c>
      <c r="AG2506" t="str">
        <f t="shared" si="756"/>
        <v>0P00</v>
      </c>
      <c r="AH2506" t="str">
        <f t="shared" si="757"/>
        <v>P000</v>
      </c>
      <c r="AI2506" t="str">
        <f t="shared" si="758"/>
        <v>0P00</v>
      </c>
      <c r="AJ2506" t="str">
        <f t="shared" si="759"/>
        <v>P000</v>
      </c>
    </row>
    <row r="2507" spans="1:36" x14ac:dyDescent="0.25">
      <c r="A2507" s="325" t="str">
        <f>CONCATENATE("P",'906MP'!M2207)</f>
        <v>P</v>
      </c>
      <c r="B2507">
        <f>'906MP'!H2207</f>
        <v>0</v>
      </c>
      <c r="C2507">
        <f>'906MP'!J2207</f>
        <v>0</v>
      </c>
      <c r="D2507">
        <f>'906MP'!P2207</f>
        <v>0</v>
      </c>
      <c r="E2507">
        <f>'906MP'!X2207</f>
        <v>0</v>
      </c>
      <c r="F2507" t="str">
        <f t="shared" si="751"/>
        <v>0</v>
      </c>
      <c r="G2507" t="str">
        <f t="shared" si="752"/>
        <v>0</v>
      </c>
      <c r="H2507">
        <f>'906MP'!Y2207</f>
        <v>0</v>
      </c>
      <c r="I2507">
        <f>'906MP'!AK2207</f>
        <v>0</v>
      </c>
      <c r="J2507">
        <f>'906MP'!T2207</f>
        <v>0</v>
      </c>
      <c r="K2507">
        <f>'906MP'!AJ2207</f>
        <v>0</v>
      </c>
      <c r="L2507">
        <f>'906MP'!U2207</f>
        <v>0</v>
      </c>
      <c r="M2507" s="322" t="str">
        <f>IFERROR(VLOOKUP(A2507,PAR!$D$3:$E$53,2,FALSE),"nincs szervezet")</f>
        <v>nincs szervezet</v>
      </c>
      <c r="N2507" s="322" t="str">
        <f>VLOOKUP(F2507,PAR!$R$3:$S$5,2,FALSE)</f>
        <v>3 - egyik sem</v>
      </c>
      <c r="O2507" t="str">
        <f>IFERROR(VLOOKUP(J2507,PAR!$O$3:$P$5,2,FALSE),"nincs feladat")</f>
        <v>nincs feladat</v>
      </c>
      <c r="P2507" t="str">
        <f>IFERROR(VLOOKUP(G2507,PAR!$J$2:$M$19,4),"nincs rovat")</f>
        <v>nincs rovat</v>
      </c>
      <c r="Q2507" t="str">
        <f>IF(H2507&gt;0,VLOOKUP(H2507,PAR!$AA$3:$AC$187,3,FALSE),"nincs főkönyvi számla")</f>
        <v>nincs főkönyvi számla</v>
      </c>
      <c r="R2507" t="str">
        <f>IFERROR(VLOOKUP(K2507,PAR!$V$3:$X$438,3,FALSE),"000000 - Nincs COFOG")</f>
        <v>000000 - Nincs COFOG</v>
      </c>
      <c r="S2507">
        <f t="shared" si="753"/>
        <v>0</v>
      </c>
      <c r="T2507">
        <f t="shared" si="754"/>
        <v>0</v>
      </c>
      <c r="U2507" t="str">
        <f>IF('906MP'!J2207&gt;0,CONCATENATE('906MP'!J2207," - ",'906MP'!P2207,", ",'906MP'!E2207),"nincs megjegyzés")</f>
        <v>nincs megjegyzés</v>
      </c>
      <c r="V2507" t="str">
        <f t="shared" si="741"/>
        <v>0P0</v>
      </c>
      <c r="W2507" t="str">
        <f t="shared" si="742"/>
        <v>0P0</v>
      </c>
      <c r="X2507" t="str">
        <f t="shared" si="743"/>
        <v>P0</v>
      </c>
      <c r="Y2507" t="str">
        <f t="shared" si="744"/>
        <v>00</v>
      </c>
      <c r="Z2507" t="str">
        <f t="shared" si="755"/>
        <v>00</v>
      </c>
      <c r="AA2507" t="str">
        <f t="shared" si="745"/>
        <v>00</v>
      </c>
      <c r="AB2507" t="str">
        <f t="shared" si="746"/>
        <v>00</v>
      </c>
      <c r="AC2507" t="str">
        <f t="shared" si="747"/>
        <v>0P0</v>
      </c>
      <c r="AD2507" t="str">
        <f t="shared" si="748"/>
        <v>P00</v>
      </c>
      <c r="AE2507" t="str">
        <f t="shared" si="749"/>
        <v>0P0</v>
      </c>
      <c r="AF2507" t="str">
        <f t="shared" si="750"/>
        <v>P00</v>
      </c>
      <c r="AG2507" t="str">
        <f t="shared" si="756"/>
        <v>0P00</v>
      </c>
      <c r="AH2507" t="str">
        <f t="shared" si="757"/>
        <v>P000</v>
      </c>
      <c r="AI2507" t="str">
        <f t="shared" si="758"/>
        <v>0P00</v>
      </c>
      <c r="AJ2507" t="str">
        <f t="shared" si="759"/>
        <v>P000</v>
      </c>
    </row>
    <row r="2508" spans="1:36" x14ac:dyDescent="0.25">
      <c r="A2508" s="325" t="str">
        <f>CONCATENATE("P",'906MP'!M2208)</f>
        <v>P</v>
      </c>
      <c r="B2508">
        <f>'906MP'!H2208</f>
        <v>0</v>
      </c>
      <c r="C2508">
        <f>'906MP'!J2208</f>
        <v>0</v>
      </c>
      <c r="D2508">
        <f>'906MP'!P2208</f>
        <v>0</v>
      </c>
      <c r="E2508">
        <f>'906MP'!X2208</f>
        <v>0</v>
      </c>
      <c r="F2508" t="str">
        <f t="shared" si="751"/>
        <v>0</v>
      </c>
      <c r="G2508" t="str">
        <f t="shared" si="752"/>
        <v>0</v>
      </c>
      <c r="H2508">
        <f>'906MP'!Y2208</f>
        <v>0</v>
      </c>
      <c r="I2508">
        <f>'906MP'!AK2208</f>
        <v>0</v>
      </c>
      <c r="J2508">
        <f>'906MP'!T2208</f>
        <v>0</v>
      </c>
      <c r="K2508">
        <f>'906MP'!AJ2208</f>
        <v>0</v>
      </c>
      <c r="L2508">
        <f>'906MP'!U2208</f>
        <v>0</v>
      </c>
      <c r="M2508" s="322" t="str">
        <f>IFERROR(VLOOKUP(A2508,PAR!$D$3:$E$53,2,FALSE),"nincs szervezet")</f>
        <v>nincs szervezet</v>
      </c>
      <c r="N2508" s="322" t="str">
        <f>VLOOKUP(F2508,PAR!$R$3:$S$5,2,FALSE)</f>
        <v>3 - egyik sem</v>
      </c>
      <c r="O2508" t="str">
        <f>IFERROR(VLOOKUP(J2508,PAR!$O$3:$P$5,2,FALSE),"nincs feladat")</f>
        <v>nincs feladat</v>
      </c>
      <c r="P2508" t="str">
        <f>IFERROR(VLOOKUP(G2508,PAR!$J$2:$M$19,4),"nincs rovat")</f>
        <v>nincs rovat</v>
      </c>
      <c r="Q2508" t="str">
        <f>IF(H2508&gt;0,VLOOKUP(H2508,PAR!$AA$3:$AC$187,3,FALSE),"nincs főkönyvi számla")</f>
        <v>nincs főkönyvi számla</v>
      </c>
      <c r="R2508" t="str">
        <f>IFERROR(VLOOKUP(K2508,PAR!$V$3:$X$438,3,FALSE),"000000 - Nincs COFOG")</f>
        <v>000000 - Nincs COFOG</v>
      </c>
      <c r="S2508">
        <f t="shared" si="753"/>
        <v>0</v>
      </c>
      <c r="T2508">
        <f t="shared" si="754"/>
        <v>0</v>
      </c>
      <c r="U2508" t="str">
        <f>IF('906MP'!J2208&gt;0,CONCATENATE('906MP'!J2208," - ",'906MP'!P2208,", ",'906MP'!E2208),"nincs megjegyzés")</f>
        <v>nincs megjegyzés</v>
      </c>
      <c r="V2508" t="str">
        <f t="shared" si="741"/>
        <v>0P0</v>
      </c>
      <c r="W2508" t="str">
        <f t="shared" si="742"/>
        <v>0P0</v>
      </c>
      <c r="X2508" t="str">
        <f t="shared" si="743"/>
        <v>P0</v>
      </c>
      <c r="Y2508" t="str">
        <f t="shared" si="744"/>
        <v>00</v>
      </c>
      <c r="Z2508" t="str">
        <f t="shared" si="755"/>
        <v>00</v>
      </c>
      <c r="AA2508" t="str">
        <f t="shared" si="745"/>
        <v>00</v>
      </c>
      <c r="AB2508" t="str">
        <f t="shared" si="746"/>
        <v>00</v>
      </c>
      <c r="AC2508" t="str">
        <f t="shared" si="747"/>
        <v>0P0</v>
      </c>
      <c r="AD2508" t="str">
        <f t="shared" si="748"/>
        <v>P00</v>
      </c>
      <c r="AE2508" t="str">
        <f t="shared" si="749"/>
        <v>0P0</v>
      </c>
      <c r="AF2508" t="str">
        <f t="shared" si="750"/>
        <v>P00</v>
      </c>
      <c r="AG2508" t="str">
        <f t="shared" si="756"/>
        <v>0P00</v>
      </c>
      <c r="AH2508" t="str">
        <f t="shared" si="757"/>
        <v>P000</v>
      </c>
      <c r="AI2508" t="str">
        <f t="shared" si="758"/>
        <v>0P00</v>
      </c>
      <c r="AJ2508" t="str">
        <f t="shared" si="759"/>
        <v>P000</v>
      </c>
    </row>
    <row r="2509" spans="1:36" x14ac:dyDescent="0.25">
      <c r="A2509" s="325" t="str">
        <f>CONCATENATE("P",'906MP'!M2209)</f>
        <v>P</v>
      </c>
      <c r="B2509">
        <f>'906MP'!H2209</f>
        <v>0</v>
      </c>
      <c r="C2509">
        <f>'906MP'!J2209</f>
        <v>0</v>
      </c>
      <c r="D2509">
        <f>'906MP'!P2209</f>
        <v>0</v>
      </c>
      <c r="E2509">
        <f>'906MP'!X2209</f>
        <v>0</v>
      </c>
      <c r="F2509" t="str">
        <f t="shared" si="751"/>
        <v>0</v>
      </c>
      <c r="G2509" t="str">
        <f t="shared" si="752"/>
        <v>0</v>
      </c>
      <c r="H2509">
        <f>'906MP'!Y2209</f>
        <v>0</v>
      </c>
      <c r="I2509">
        <f>'906MP'!AK2209</f>
        <v>0</v>
      </c>
      <c r="J2509">
        <f>'906MP'!T2209</f>
        <v>0</v>
      </c>
      <c r="K2509">
        <f>'906MP'!AJ2209</f>
        <v>0</v>
      </c>
      <c r="L2509">
        <f>'906MP'!U2209</f>
        <v>0</v>
      </c>
      <c r="M2509" s="322" t="str">
        <f>IFERROR(VLOOKUP(A2509,PAR!$D$3:$E$53,2,FALSE),"nincs szervezet")</f>
        <v>nincs szervezet</v>
      </c>
      <c r="N2509" s="322" t="str">
        <f>VLOOKUP(F2509,PAR!$R$3:$S$5,2,FALSE)</f>
        <v>3 - egyik sem</v>
      </c>
      <c r="O2509" t="str">
        <f>IFERROR(VLOOKUP(J2509,PAR!$O$3:$P$5,2,FALSE),"nincs feladat")</f>
        <v>nincs feladat</v>
      </c>
      <c r="P2509" t="str">
        <f>IFERROR(VLOOKUP(G2509,PAR!$J$2:$M$19,4),"nincs rovat")</f>
        <v>nincs rovat</v>
      </c>
      <c r="Q2509" t="str">
        <f>IF(H2509&gt;0,VLOOKUP(H2509,PAR!$AA$3:$AC$187,3,FALSE),"nincs főkönyvi számla")</f>
        <v>nincs főkönyvi számla</v>
      </c>
      <c r="R2509" t="str">
        <f>IFERROR(VLOOKUP(K2509,PAR!$V$3:$X$438,3,FALSE),"000000 - Nincs COFOG")</f>
        <v>000000 - Nincs COFOG</v>
      </c>
      <c r="S2509">
        <f t="shared" si="753"/>
        <v>0</v>
      </c>
      <c r="T2509">
        <f t="shared" si="754"/>
        <v>0</v>
      </c>
      <c r="U2509" t="str">
        <f>IF('906MP'!J2209&gt;0,CONCATENATE('906MP'!J2209," - ",'906MP'!P2209,", ",'906MP'!E2209),"nincs megjegyzés")</f>
        <v>nincs megjegyzés</v>
      </c>
      <c r="V2509" t="str">
        <f t="shared" si="741"/>
        <v>0P0</v>
      </c>
      <c r="W2509" t="str">
        <f t="shared" si="742"/>
        <v>0P0</v>
      </c>
      <c r="X2509" t="str">
        <f t="shared" si="743"/>
        <v>P0</v>
      </c>
      <c r="Y2509" t="str">
        <f t="shared" si="744"/>
        <v>00</v>
      </c>
      <c r="Z2509" t="str">
        <f t="shared" si="755"/>
        <v>00</v>
      </c>
      <c r="AA2509" t="str">
        <f t="shared" si="745"/>
        <v>00</v>
      </c>
      <c r="AB2509" t="str">
        <f t="shared" si="746"/>
        <v>00</v>
      </c>
      <c r="AC2509" t="str">
        <f t="shared" si="747"/>
        <v>0P0</v>
      </c>
      <c r="AD2509" t="str">
        <f t="shared" si="748"/>
        <v>P00</v>
      </c>
      <c r="AE2509" t="str">
        <f t="shared" si="749"/>
        <v>0P0</v>
      </c>
      <c r="AF2509" t="str">
        <f t="shared" si="750"/>
        <v>P00</v>
      </c>
      <c r="AG2509" t="str">
        <f t="shared" si="756"/>
        <v>0P00</v>
      </c>
      <c r="AH2509" t="str">
        <f t="shared" si="757"/>
        <v>P000</v>
      </c>
      <c r="AI2509" t="str">
        <f t="shared" si="758"/>
        <v>0P00</v>
      </c>
      <c r="AJ2509" t="str">
        <f t="shared" si="759"/>
        <v>P000</v>
      </c>
    </row>
    <row r="2510" spans="1:36" x14ac:dyDescent="0.25">
      <c r="A2510" s="325" t="str">
        <f>CONCATENATE("P",'906MP'!M2210)</f>
        <v>P</v>
      </c>
      <c r="B2510">
        <f>'906MP'!H2210</f>
        <v>0</v>
      </c>
      <c r="C2510">
        <f>'906MP'!J2210</f>
        <v>0</v>
      </c>
      <c r="D2510">
        <f>'906MP'!P2210</f>
        <v>0</v>
      </c>
      <c r="E2510">
        <f>'906MP'!X2210</f>
        <v>0</v>
      </c>
      <c r="F2510" t="str">
        <f t="shared" si="751"/>
        <v>0</v>
      </c>
      <c r="G2510" t="str">
        <f t="shared" si="752"/>
        <v>0</v>
      </c>
      <c r="H2510">
        <f>'906MP'!Y2210</f>
        <v>0</v>
      </c>
      <c r="I2510">
        <f>'906MP'!AK2210</f>
        <v>0</v>
      </c>
      <c r="J2510">
        <f>'906MP'!T2210</f>
        <v>0</v>
      </c>
      <c r="K2510">
        <f>'906MP'!AJ2210</f>
        <v>0</v>
      </c>
      <c r="L2510">
        <f>'906MP'!U2210</f>
        <v>0</v>
      </c>
      <c r="M2510" s="322" t="str">
        <f>IFERROR(VLOOKUP(A2510,PAR!$D$3:$E$53,2,FALSE),"nincs szervezet")</f>
        <v>nincs szervezet</v>
      </c>
      <c r="N2510" s="322" t="str">
        <f>VLOOKUP(F2510,PAR!$R$3:$S$5,2,FALSE)</f>
        <v>3 - egyik sem</v>
      </c>
      <c r="O2510" t="str">
        <f>IFERROR(VLOOKUP(J2510,PAR!$O$3:$P$5,2,FALSE),"nincs feladat")</f>
        <v>nincs feladat</v>
      </c>
      <c r="P2510" t="str">
        <f>IFERROR(VLOOKUP(G2510,PAR!$J$2:$M$19,4),"nincs rovat")</f>
        <v>nincs rovat</v>
      </c>
      <c r="Q2510" t="str">
        <f>IF(H2510&gt;0,VLOOKUP(H2510,PAR!$AA$3:$AC$187,3,FALSE),"nincs főkönyvi számla")</f>
        <v>nincs főkönyvi számla</v>
      </c>
      <c r="R2510" t="str">
        <f>IFERROR(VLOOKUP(K2510,PAR!$V$3:$X$438,3,FALSE),"000000 - Nincs COFOG")</f>
        <v>000000 - Nincs COFOG</v>
      </c>
      <c r="S2510">
        <f t="shared" si="753"/>
        <v>0</v>
      </c>
      <c r="T2510">
        <f t="shared" si="754"/>
        <v>0</v>
      </c>
      <c r="U2510" t="str">
        <f>IF('906MP'!J2210&gt;0,CONCATENATE('906MP'!J2210," - ",'906MP'!P2210,", ",'906MP'!E2210),"nincs megjegyzés")</f>
        <v>nincs megjegyzés</v>
      </c>
      <c r="V2510" t="str">
        <f t="shared" si="741"/>
        <v>0P0</v>
      </c>
      <c r="W2510" t="str">
        <f t="shared" si="742"/>
        <v>0P0</v>
      </c>
      <c r="X2510" t="str">
        <f t="shared" si="743"/>
        <v>P0</v>
      </c>
      <c r="Y2510" t="str">
        <f t="shared" si="744"/>
        <v>00</v>
      </c>
      <c r="Z2510" t="str">
        <f t="shared" si="755"/>
        <v>00</v>
      </c>
      <c r="AA2510" t="str">
        <f t="shared" si="745"/>
        <v>00</v>
      </c>
      <c r="AB2510" t="str">
        <f t="shared" si="746"/>
        <v>00</v>
      </c>
      <c r="AC2510" t="str">
        <f t="shared" si="747"/>
        <v>0P0</v>
      </c>
      <c r="AD2510" t="str">
        <f t="shared" si="748"/>
        <v>P00</v>
      </c>
      <c r="AE2510" t="str">
        <f t="shared" si="749"/>
        <v>0P0</v>
      </c>
      <c r="AF2510" t="str">
        <f t="shared" si="750"/>
        <v>P00</v>
      </c>
      <c r="AG2510" t="str">
        <f t="shared" si="756"/>
        <v>0P00</v>
      </c>
      <c r="AH2510" t="str">
        <f t="shared" si="757"/>
        <v>P000</v>
      </c>
      <c r="AI2510" t="str">
        <f t="shared" si="758"/>
        <v>0P00</v>
      </c>
      <c r="AJ2510" t="str">
        <f t="shared" si="759"/>
        <v>P000</v>
      </c>
    </row>
    <row r="2511" spans="1:36" x14ac:dyDescent="0.25">
      <c r="A2511" s="325" t="str">
        <f>CONCATENATE("P",'906MP'!M2211)</f>
        <v>P</v>
      </c>
      <c r="B2511">
        <f>'906MP'!H2211</f>
        <v>0</v>
      </c>
      <c r="C2511">
        <f>'906MP'!J2211</f>
        <v>0</v>
      </c>
      <c r="D2511">
        <f>'906MP'!P2211</f>
        <v>0</v>
      </c>
      <c r="E2511">
        <f>'906MP'!X2211</f>
        <v>0</v>
      </c>
      <c r="F2511" t="str">
        <f t="shared" si="751"/>
        <v>0</v>
      </c>
      <c r="G2511" t="str">
        <f t="shared" si="752"/>
        <v>0</v>
      </c>
      <c r="H2511">
        <f>'906MP'!Y2211</f>
        <v>0</v>
      </c>
      <c r="I2511">
        <f>'906MP'!AK2211</f>
        <v>0</v>
      </c>
      <c r="J2511">
        <f>'906MP'!T2211</f>
        <v>0</v>
      </c>
      <c r="K2511">
        <f>'906MP'!AJ2211</f>
        <v>0</v>
      </c>
      <c r="L2511">
        <f>'906MP'!U2211</f>
        <v>0</v>
      </c>
      <c r="M2511" s="322" t="str">
        <f>IFERROR(VLOOKUP(A2511,PAR!$D$3:$E$53,2,FALSE),"nincs szervezet")</f>
        <v>nincs szervezet</v>
      </c>
      <c r="N2511" s="322" t="str">
        <f>VLOOKUP(F2511,PAR!$R$3:$S$5,2,FALSE)</f>
        <v>3 - egyik sem</v>
      </c>
      <c r="O2511" t="str">
        <f>IFERROR(VLOOKUP(J2511,PAR!$O$3:$P$5,2,FALSE),"nincs feladat")</f>
        <v>nincs feladat</v>
      </c>
      <c r="P2511" t="str">
        <f>IFERROR(VLOOKUP(G2511,PAR!$J$2:$M$19,4),"nincs rovat")</f>
        <v>nincs rovat</v>
      </c>
      <c r="Q2511" t="str">
        <f>IF(H2511&gt;0,VLOOKUP(H2511,PAR!$AA$3:$AC$187,3,FALSE),"nincs főkönyvi számla")</f>
        <v>nincs főkönyvi számla</v>
      </c>
      <c r="R2511" t="str">
        <f>IFERROR(VLOOKUP(K2511,PAR!$V$3:$X$438,3,FALSE),"000000 - Nincs COFOG")</f>
        <v>000000 - Nincs COFOG</v>
      </c>
      <c r="S2511">
        <f t="shared" si="753"/>
        <v>0</v>
      </c>
      <c r="T2511">
        <f t="shared" si="754"/>
        <v>0</v>
      </c>
      <c r="U2511" t="str">
        <f>IF('906MP'!J2211&gt;0,CONCATENATE('906MP'!J2211," - ",'906MP'!P2211,", ",'906MP'!E2211),"nincs megjegyzés")</f>
        <v>nincs megjegyzés</v>
      </c>
      <c r="V2511" t="str">
        <f t="shared" si="741"/>
        <v>0P0</v>
      </c>
      <c r="W2511" t="str">
        <f t="shared" si="742"/>
        <v>0P0</v>
      </c>
      <c r="X2511" t="str">
        <f t="shared" si="743"/>
        <v>P0</v>
      </c>
      <c r="Y2511" t="str">
        <f t="shared" si="744"/>
        <v>00</v>
      </c>
      <c r="Z2511" t="str">
        <f t="shared" si="755"/>
        <v>00</v>
      </c>
      <c r="AA2511" t="str">
        <f t="shared" si="745"/>
        <v>00</v>
      </c>
      <c r="AB2511" t="str">
        <f t="shared" si="746"/>
        <v>00</v>
      </c>
      <c r="AC2511" t="str">
        <f t="shared" si="747"/>
        <v>0P0</v>
      </c>
      <c r="AD2511" t="str">
        <f t="shared" si="748"/>
        <v>P00</v>
      </c>
      <c r="AE2511" t="str">
        <f t="shared" si="749"/>
        <v>0P0</v>
      </c>
      <c r="AF2511" t="str">
        <f t="shared" si="750"/>
        <v>P00</v>
      </c>
      <c r="AG2511" t="str">
        <f t="shared" si="756"/>
        <v>0P00</v>
      </c>
      <c r="AH2511" t="str">
        <f t="shared" si="757"/>
        <v>P000</v>
      </c>
      <c r="AI2511" t="str">
        <f t="shared" si="758"/>
        <v>0P00</v>
      </c>
      <c r="AJ2511" t="str">
        <f t="shared" si="759"/>
        <v>P000</v>
      </c>
    </row>
    <row r="2512" spans="1:36" x14ac:dyDescent="0.25">
      <c r="A2512" s="325" t="str">
        <f>CONCATENATE("P",'906MP'!M2212)</f>
        <v>P</v>
      </c>
      <c r="B2512">
        <f>'906MP'!H2212</f>
        <v>0</v>
      </c>
      <c r="C2512">
        <f>'906MP'!J2212</f>
        <v>0</v>
      </c>
      <c r="D2512">
        <f>'906MP'!P2212</f>
        <v>0</v>
      </c>
      <c r="E2512">
        <f>'906MP'!X2212</f>
        <v>0</v>
      </c>
      <c r="F2512" t="str">
        <f t="shared" si="751"/>
        <v>0</v>
      </c>
      <c r="G2512" t="str">
        <f t="shared" si="752"/>
        <v>0</v>
      </c>
      <c r="H2512">
        <f>'906MP'!Y2212</f>
        <v>0</v>
      </c>
      <c r="I2512">
        <f>'906MP'!AK2212</f>
        <v>0</v>
      </c>
      <c r="J2512">
        <f>'906MP'!T2212</f>
        <v>0</v>
      </c>
      <c r="K2512">
        <f>'906MP'!AJ2212</f>
        <v>0</v>
      </c>
      <c r="L2512">
        <f>'906MP'!U2212</f>
        <v>0</v>
      </c>
      <c r="M2512" s="322" t="str">
        <f>IFERROR(VLOOKUP(A2512,PAR!$D$3:$E$53,2,FALSE),"nincs szervezet")</f>
        <v>nincs szervezet</v>
      </c>
      <c r="N2512" s="322" t="str">
        <f>VLOOKUP(F2512,PAR!$R$3:$S$5,2,FALSE)</f>
        <v>3 - egyik sem</v>
      </c>
      <c r="O2512" t="str">
        <f>IFERROR(VLOOKUP(J2512,PAR!$O$3:$P$5,2,FALSE),"nincs feladat")</f>
        <v>nincs feladat</v>
      </c>
      <c r="P2512" t="str">
        <f>IFERROR(VLOOKUP(G2512,PAR!$J$2:$M$19,4),"nincs rovat")</f>
        <v>nincs rovat</v>
      </c>
      <c r="Q2512" t="str">
        <f>IF(H2512&gt;0,VLOOKUP(H2512,PAR!$AA$3:$AC$187,3,FALSE),"nincs főkönyvi számla")</f>
        <v>nincs főkönyvi számla</v>
      </c>
      <c r="R2512" t="str">
        <f>IFERROR(VLOOKUP(K2512,PAR!$V$3:$X$438,3,FALSE),"000000 - Nincs COFOG")</f>
        <v>000000 - Nincs COFOG</v>
      </c>
      <c r="S2512">
        <f t="shared" si="753"/>
        <v>0</v>
      </c>
      <c r="T2512">
        <f t="shared" si="754"/>
        <v>0</v>
      </c>
      <c r="U2512" t="str">
        <f>IF('906MP'!J2212&gt;0,CONCATENATE('906MP'!J2212," - ",'906MP'!P2212,", ",'906MP'!E2212),"nincs megjegyzés")</f>
        <v>nincs megjegyzés</v>
      </c>
      <c r="V2512" t="str">
        <f t="shared" si="741"/>
        <v>0P0</v>
      </c>
      <c r="W2512" t="str">
        <f t="shared" si="742"/>
        <v>0P0</v>
      </c>
      <c r="X2512" t="str">
        <f t="shared" si="743"/>
        <v>P0</v>
      </c>
      <c r="Y2512" t="str">
        <f t="shared" si="744"/>
        <v>00</v>
      </c>
      <c r="Z2512" t="str">
        <f t="shared" si="755"/>
        <v>00</v>
      </c>
      <c r="AA2512" t="str">
        <f t="shared" si="745"/>
        <v>00</v>
      </c>
      <c r="AB2512" t="str">
        <f t="shared" si="746"/>
        <v>00</v>
      </c>
      <c r="AC2512" t="str">
        <f t="shared" si="747"/>
        <v>0P0</v>
      </c>
      <c r="AD2512" t="str">
        <f t="shared" si="748"/>
        <v>P00</v>
      </c>
      <c r="AE2512" t="str">
        <f t="shared" si="749"/>
        <v>0P0</v>
      </c>
      <c r="AF2512" t="str">
        <f t="shared" si="750"/>
        <v>P00</v>
      </c>
      <c r="AG2512" t="str">
        <f t="shared" si="756"/>
        <v>0P00</v>
      </c>
      <c r="AH2512" t="str">
        <f t="shared" si="757"/>
        <v>P000</v>
      </c>
      <c r="AI2512" t="str">
        <f t="shared" si="758"/>
        <v>0P00</v>
      </c>
      <c r="AJ2512" t="str">
        <f t="shared" si="759"/>
        <v>P000</v>
      </c>
    </row>
    <row r="2513" spans="1:36" x14ac:dyDescent="0.25">
      <c r="A2513" s="325" t="str">
        <f>CONCATENATE("P",'906MP'!M2213)</f>
        <v>P</v>
      </c>
      <c r="B2513">
        <f>'906MP'!H2213</f>
        <v>0</v>
      </c>
      <c r="C2513">
        <f>'906MP'!J2213</f>
        <v>0</v>
      </c>
      <c r="D2513">
        <f>'906MP'!P2213</f>
        <v>0</v>
      </c>
      <c r="E2513">
        <f>'906MP'!X2213</f>
        <v>0</v>
      </c>
      <c r="F2513" t="str">
        <f t="shared" si="751"/>
        <v>0</v>
      </c>
      <c r="G2513" t="str">
        <f t="shared" si="752"/>
        <v>0</v>
      </c>
      <c r="H2513">
        <f>'906MP'!Y2213</f>
        <v>0</v>
      </c>
      <c r="I2513">
        <f>'906MP'!AK2213</f>
        <v>0</v>
      </c>
      <c r="J2513">
        <f>'906MP'!T2213</f>
        <v>0</v>
      </c>
      <c r="K2513">
        <f>'906MP'!AJ2213</f>
        <v>0</v>
      </c>
      <c r="L2513">
        <f>'906MP'!U2213</f>
        <v>0</v>
      </c>
      <c r="M2513" s="322" t="str">
        <f>IFERROR(VLOOKUP(A2513,PAR!$D$3:$E$53,2,FALSE),"nincs szervezet")</f>
        <v>nincs szervezet</v>
      </c>
      <c r="N2513" s="322" t="str">
        <f>VLOOKUP(F2513,PAR!$R$3:$S$5,2,FALSE)</f>
        <v>3 - egyik sem</v>
      </c>
      <c r="O2513" t="str">
        <f>IFERROR(VLOOKUP(J2513,PAR!$O$3:$P$5,2,FALSE),"nincs feladat")</f>
        <v>nincs feladat</v>
      </c>
      <c r="P2513" t="str">
        <f>IFERROR(VLOOKUP(G2513,PAR!$J$2:$M$19,4),"nincs rovat")</f>
        <v>nincs rovat</v>
      </c>
      <c r="Q2513" t="str">
        <f>IF(H2513&gt;0,VLOOKUP(H2513,PAR!$AA$3:$AC$187,3,FALSE),"nincs főkönyvi számla")</f>
        <v>nincs főkönyvi számla</v>
      </c>
      <c r="R2513" t="str">
        <f>IFERROR(VLOOKUP(K2513,PAR!$V$3:$X$438,3,FALSE),"000000 - Nincs COFOG")</f>
        <v>000000 - Nincs COFOG</v>
      </c>
      <c r="S2513">
        <f t="shared" si="753"/>
        <v>0</v>
      </c>
      <c r="T2513">
        <f t="shared" si="754"/>
        <v>0</v>
      </c>
      <c r="U2513" t="str">
        <f>IF('906MP'!J2213&gt;0,CONCATENATE('906MP'!J2213," - ",'906MP'!P2213,", ",'906MP'!E2213),"nincs megjegyzés")</f>
        <v>nincs megjegyzés</v>
      </c>
      <c r="V2513" t="str">
        <f t="shared" si="741"/>
        <v>0P0</v>
      </c>
      <c r="W2513" t="str">
        <f t="shared" si="742"/>
        <v>0P0</v>
      </c>
      <c r="X2513" t="str">
        <f t="shared" si="743"/>
        <v>P0</v>
      </c>
      <c r="Y2513" t="str">
        <f t="shared" si="744"/>
        <v>00</v>
      </c>
      <c r="Z2513" t="str">
        <f t="shared" si="755"/>
        <v>00</v>
      </c>
      <c r="AA2513" t="str">
        <f t="shared" si="745"/>
        <v>00</v>
      </c>
      <c r="AB2513" t="str">
        <f t="shared" si="746"/>
        <v>00</v>
      </c>
      <c r="AC2513" t="str">
        <f t="shared" si="747"/>
        <v>0P0</v>
      </c>
      <c r="AD2513" t="str">
        <f t="shared" si="748"/>
        <v>P00</v>
      </c>
      <c r="AE2513" t="str">
        <f t="shared" si="749"/>
        <v>0P0</v>
      </c>
      <c r="AF2513" t="str">
        <f t="shared" si="750"/>
        <v>P00</v>
      </c>
      <c r="AG2513" t="str">
        <f t="shared" si="756"/>
        <v>0P00</v>
      </c>
      <c r="AH2513" t="str">
        <f t="shared" si="757"/>
        <v>P000</v>
      </c>
      <c r="AI2513" t="str">
        <f t="shared" si="758"/>
        <v>0P00</v>
      </c>
      <c r="AJ2513" t="str">
        <f t="shared" si="759"/>
        <v>P000</v>
      </c>
    </row>
    <row r="2514" spans="1:36" x14ac:dyDescent="0.25">
      <c r="A2514" s="325" t="str">
        <f>CONCATENATE("P",'906MP'!M2214)</f>
        <v>P</v>
      </c>
      <c r="B2514">
        <f>'906MP'!H2214</f>
        <v>0</v>
      </c>
      <c r="C2514">
        <f>'906MP'!J2214</f>
        <v>0</v>
      </c>
      <c r="D2514">
        <f>'906MP'!P2214</f>
        <v>0</v>
      </c>
      <c r="E2514">
        <f>'906MP'!X2214</f>
        <v>0</v>
      </c>
      <c r="F2514" t="str">
        <f t="shared" si="751"/>
        <v>0</v>
      </c>
      <c r="G2514" t="str">
        <f t="shared" si="752"/>
        <v>0</v>
      </c>
      <c r="H2514">
        <f>'906MP'!Y2214</f>
        <v>0</v>
      </c>
      <c r="I2514">
        <f>'906MP'!AK2214</f>
        <v>0</v>
      </c>
      <c r="J2514">
        <f>'906MP'!T2214</f>
        <v>0</v>
      </c>
      <c r="K2514">
        <f>'906MP'!AJ2214</f>
        <v>0</v>
      </c>
      <c r="L2514">
        <f>'906MP'!U2214</f>
        <v>0</v>
      </c>
      <c r="M2514" s="322" t="str">
        <f>IFERROR(VLOOKUP(A2514,PAR!$D$3:$E$53,2,FALSE),"nincs szervezet")</f>
        <v>nincs szervezet</v>
      </c>
      <c r="N2514" s="322" t="str">
        <f>VLOOKUP(F2514,PAR!$R$3:$S$5,2,FALSE)</f>
        <v>3 - egyik sem</v>
      </c>
      <c r="O2514" t="str">
        <f>IFERROR(VLOOKUP(J2514,PAR!$O$3:$P$5,2,FALSE),"nincs feladat")</f>
        <v>nincs feladat</v>
      </c>
      <c r="P2514" t="str">
        <f>IFERROR(VLOOKUP(G2514,PAR!$J$2:$M$19,4),"nincs rovat")</f>
        <v>nincs rovat</v>
      </c>
      <c r="Q2514" t="str">
        <f>IF(H2514&gt;0,VLOOKUP(H2514,PAR!$AA$3:$AC$187,3,FALSE),"nincs főkönyvi számla")</f>
        <v>nincs főkönyvi számla</v>
      </c>
      <c r="R2514" t="str">
        <f>IFERROR(VLOOKUP(K2514,PAR!$V$3:$X$438,3,FALSE),"000000 - Nincs COFOG")</f>
        <v>000000 - Nincs COFOG</v>
      </c>
      <c r="S2514">
        <f t="shared" si="753"/>
        <v>0</v>
      </c>
      <c r="T2514">
        <f t="shared" si="754"/>
        <v>0</v>
      </c>
      <c r="U2514" t="str">
        <f>IF('906MP'!J2214&gt;0,CONCATENATE('906MP'!J2214," - ",'906MP'!P2214,", ",'906MP'!E2214),"nincs megjegyzés")</f>
        <v>nincs megjegyzés</v>
      </c>
      <c r="V2514" t="str">
        <f t="shared" si="741"/>
        <v>0P0</v>
      </c>
      <c r="W2514" t="str">
        <f t="shared" si="742"/>
        <v>0P0</v>
      </c>
      <c r="X2514" t="str">
        <f t="shared" si="743"/>
        <v>P0</v>
      </c>
      <c r="Y2514" t="str">
        <f t="shared" si="744"/>
        <v>00</v>
      </c>
      <c r="Z2514" t="str">
        <f t="shared" si="755"/>
        <v>00</v>
      </c>
      <c r="AA2514" t="str">
        <f t="shared" si="745"/>
        <v>00</v>
      </c>
      <c r="AB2514" t="str">
        <f t="shared" si="746"/>
        <v>00</v>
      </c>
      <c r="AC2514" t="str">
        <f t="shared" si="747"/>
        <v>0P0</v>
      </c>
      <c r="AD2514" t="str">
        <f t="shared" si="748"/>
        <v>P00</v>
      </c>
      <c r="AE2514" t="str">
        <f t="shared" si="749"/>
        <v>0P0</v>
      </c>
      <c r="AF2514" t="str">
        <f t="shared" si="750"/>
        <v>P00</v>
      </c>
      <c r="AG2514" t="str">
        <f t="shared" si="756"/>
        <v>0P00</v>
      </c>
      <c r="AH2514" t="str">
        <f t="shared" si="757"/>
        <v>P000</v>
      </c>
      <c r="AI2514" t="str">
        <f t="shared" si="758"/>
        <v>0P00</v>
      </c>
      <c r="AJ2514" t="str">
        <f t="shared" si="759"/>
        <v>P000</v>
      </c>
    </row>
    <row r="2515" spans="1:36" x14ac:dyDescent="0.25">
      <c r="A2515" s="325" t="str">
        <f>CONCATENATE("P",'906MP'!M2215)</f>
        <v>P</v>
      </c>
      <c r="B2515">
        <f>'906MP'!H2215</f>
        <v>0</v>
      </c>
      <c r="C2515">
        <f>'906MP'!J2215</f>
        <v>0</v>
      </c>
      <c r="D2515">
        <f>'906MP'!P2215</f>
        <v>0</v>
      </c>
      <c r="E2515">
        <f>'906MP'!X2215</f>
        <v>0</v>
      </c>
      <c r="F2515" t="str">
        <f t="shared" si="751"/>
        <v>0</v>
      </c>
      <c r="G2515" t="str">
        <f t="shared" si="752"/>
        <v>0</v>
      </c>
      <c r="H2515">
        <f>'906MP'!Y2215</f>
        <v>0</v>
      </c>
      <c r="I2515">
        <f>'906MP'!AK2215</f>
        <v>0</v>
      </c>
      <c r="J2515">
        <f>'906MP'!T2215</f>
        <v>0</v>
      </c>
      <c r="K2515">
        <f>'906MP'!AJ2215</f>
        <v>0</v>
      </c>
      <c r="L2515">
        <f>'906MP'!U2215</f>
        <v>0</v>
      </c>
      <c r="M2515" s="322" t="str">
        <f>IFERROR(VLOOKUP(A2515,PAR!$D$3:$E$53,2,FALSE),"nincs szervezet")</f>
        <v>nincs szervezet</v>
      </c>
      <c r="N2515" s="322" t="str">
        <f>VLOOKUP(F2515,PAR!$R$3:$S$5,2,FALSE)</f>
        <v>3 - egyik sem</v>
      </c>
      <c r="O2515" t="str">
        <f>IFERROR(VLOOKUP(J2515,PAR!$O$3:$P$5,2,FALSE),"nincs feladat")</f>
        <v>nincs feladat</v>
      </c>
      <c r="P2515" t="str">
        <f>IFERROR(VLOOKUP(G2515,PAR!$J$2:$M$19,4),"nincs rovat")</f>
        <v>nincs rovat</v>
      </c>
      <c r="Q2515" t="str">
        <f>IF(H2515&gt;0,VLOOKUP(H2515,PAR!$AA$3:$AC$187,3,FALSE),"nincs főkönyvi számla")</f>
        <v>nincs főkönyvi számla</v>
      </c>
      <c r="R2515" t="str">
        <f>IFERROR(VLOOKUP(K2515,PAR!$V$3:$X$438,3,FALSE),"000000 - Nincs COFOG")</f>
        <v>000000 - Nincs COFOG</v>
      </c>
      <c r="S2515">
        <f t="shared" si="753"/>
        <v>0</v>
      </c>
      <c r="T2515">
        <f t="shared" si="754"/>
        <v>0</v>
      </c>
      <c r="U2515" t="str">
        <f>IF('906MP'!J2215&gt;0,CONCATENATE('906MP'!J2215," - ",'906MP'!P2215,", ",'906MP'!E2215),"nincs megjegyzés")</f>
        <v>nincs megjegyzés</v>
      </c>
      <c r="V2515" t="str">
        <f t="shared" si="741"/>
        <v>0P0</v>
      </c>
      <c r="W2515" t="str">
        <f t="shared" si="742"/>
        <v>0P0</v>
      </c>
      <c r="X2515" t="str">
        <f t="shared" si="743"/>
        <v>P0</v>
      </c>
      <c r="Y2515" t="str">
        <f t="shared" si="744"/>
        <v>00</v>
      </c>
      <c r="Z2515" t="str">
        <f t="shared" si="755"/>
        <v>00</v>
      </c>
      <c r="AA2515" t="str">
        <f t="shared" si="745"/>
        <v>00</v>
      </c>
      <c r="AB2515" t="str">
        <f t="shared" si="746"/>
        <v>00</v>
      </c>
      <c r="AC2515" t="str">
        <f t="shared" si="747"/>
        <v>0P0</v>
      </c>
      <c r="AD2515" t="str">
        <f t="shared" si="748"/>
        <v>P00</v>
      </c>
      <c r="AE2515" t="str">
        <f t="shared" si="749"/>
        <v>0P0</v>
      </c>
      <c r="AF2515" t="str">
        <f t="shared" si="750"/>
        <v>P00</v>
      </c>
      <c r="AG2515" t="str">
        <f t="shared" si="756"/>
        <v>0P00</v>
      </c>
      <c r="AH2515" t="str">
        <f t="shared" si="757"/>
        <v>P000</v>
      </c>
      <c r="AI2515" t="str">
        <f t="shared" si="758"/>
        <v>0P00</v>
      </c>
      <c r="AJ2515" t="str">
        <f t="shared" si="759"/>
        <v>P000</v>
      </c>
    </row>
    <row r="2516" spans="1:36" x14ac:dyDescent="0.25">
      <c r="A2516" s="325" t="str">
        <f>CONCATENATE("P",'906MP'!M2216)</f>
        <v>P</v>
      </c>
      <c r="B2516">
        <f>'906MP'!H2216</f>
        <v>0</v>
      </c>
      <c r="C2516">
        <f>'906MP'!J2216</f>
        <v>0</v>
      </c>
      <c r="D2516">
        <f>'906MP'!P2216</f>
        <v>0</v>
      </c>
      <c r="E2516">
        <f>'906MP'!X2216</f>
        <v>0</v>
      </c>
      <c r="F2516" t="str">
        <f t="shared" si="751"/>
        <v>0</v>
      </c>
      <c r="G2516" t="str">
        <f t="shared" si="752"/>
        <v>0</v>
      </c>
      <c r="H2516">
        <f>'906MP'!Y2216</f>
        <v>0</v>
      </c>
      <c r="I2516">
        <f>'906MP'!AK2216</f>
        <v>0</v>
      </c>
      <c r="J2516">
        <f>'906MP'!T2216</f>
        <v>0</v>
      </c>
      <c r="K2516">
        <f>'906MP'!AJ2216</f>
        <v>0</v>
      </c>
      <c r="L2516">
        <f>'906MP'!U2216</f>
        <v>0</v>
      </c>
      <c r="M2516" s="322" t="str">
        <f>IFERROR(VLOOKUP(A2516,PAR!$D$3:$E$53,2,FALSE),"nincs szervezet")</f>
        <v>nincs szervezet</v>
      </c>
      <c r="N2516" s="322" t="str">
        <f>VLOOKUP(F2516,PAR!$R$3:$S$5,2,FALSE)</f>
        <v>3 - egyik sem</v>
      </c>
      <c r="O2516" t="str">
        <f>IFERROR(VLOOKUP(J2516,PAR!$O$3:$P$5,2,FALSE),"nincs feladat")</f>
        <v>nincs feladat</v>
      </c>
      <c r="P2516" t="str">
        <f>IFERROR(VLOOKUP(G2516,PAR!$J$2:$M$19,4),"nincs rovat")</f>
        <v>nincs rovat</v>
      </c>
      <c r="Q2516" t="str">
        <f>IF(H2516&gt;0,VLOOKUP(H2516,PAR!$AA$3:$AC$187,3,FALSE),"nincs főkönyvi számla")</f>
        <v>nincs főkönyvi számla</v>
      </c>
      <c r="R2516" t="str">
        <f>IFERROR(VLOOKUP(K2516,PAR!$V$3:$X$438,3,FALSE),"000000 - Nincs COFOG")</f>
        <v>000000 - Nincs COFOG</v>
      </c>
      <c r="S2516">
        <f t="shared" si="753"/>
        <v>0</v>
      </c>
      <c r="T2516">
        <f t="shared" si="754"/>
        <v>0</v>
      </c>
      <c r="U2516" t="str">
        <f>IF('906MP'!J2216&gt;0,CONCATENATE('906MP'!J2216," - ",'906MP'!P2216,", ",'906MP'!E2216),"nincs megjegyzés")</f>
        <v>nincs megjegyzés</v>
      </c>
      <c r="V2516" t="str">
        <f t="shared" si="741"/>
        <v>0P0</v>
      </c>
      <c r="W2516" t="str">
        <f t="shared" si="742"/>
        <v>0P0</v>
      </c>
      <c r="X2516" t="str">
        <f t="shared" si="743"/>
        <v>P0</v>
      </c>
      <c r="Y2516" t="str">
        <f t="shared" si="744"/>
        <v>00</v>
      </c>
      <c r="Z2516" t="str">
        <f t="shared" si="755"/>
        <v>00</v>
      </c>
      <c r="AA2516" t="str">
        <f t="shared" si="745"/>
        <v>00</v>
      </c>
      <c r="AB2516" t="str">
        <f t="shared" si="746"/>
        <v>00</v>
      </c>
      <c r="AC2516" t="str">
        <f t="shared" si="747"/>
        <v>0P0</v>
      </c>
      <c r="AD2516" t="str">
        <f t="shared" si="748"/>
        <v>P00</v>
      </c>
      <c r="AE2516" t="str">
        <f t="shared" si="749"/>
        <v>0P0</v>
      </c>
      <c r="AF2516" t="str">
        <f t="shared" si="750"/>
        <v>P00</v>
      </c>
      <c r="AG2516" t="str">
        <f t="shared" si="756"/>
        <v>0P00</v>
      </c>
      <c r="AH2516" t="str">
        <f t="shared" si="757"/>
        <v>P000</v>
      </c>
      <c r="AI2516" t="str">
        <f t="shared" si="758"/>
        <v>0P00</v>
      </c>
      <c r="AJ2516" t="str">
        <f t="shared" si="759"/>
        <v>P000</v>
      </c>
    </row>
    <row r="2517" spans="1:36" x14ac:dyDescent="0.25">
      <c r="A2517" s="325" t="str">
        <f>CONCATENATE("P",'906MP'!M2217)</f>
        <v>P</v>
      </c>
      <c r="B2517">
        <f>'906MP'!H2217</f>
        <v>0</v>
      </c>
      <c r="C2517">
        <f>'906MP'!J2217</f>
        <v>0</v>
      </c>
      <c r="D2517">
        <f>'906MP'!P2217</f>
        <v>0</v>
      </c>
      <c r="E2517">
        <f>'906MP'!X2217</f>
        <v>0</v>
      </c>
      <c r="F2517" t="str">
        <f t="shared" si="751"/>
        <v>0</v>
      </c>
      <c r="G2517" t="str">
        <f t="shared" si="752"/>
        <v>0</v>
      </c>
      <c r="H2517">
        <f>'906MP'!Y2217</f>
        <v>0</v>
      </c>
      <c r="I2517">
        <f>'906MP'!AK2217</f>
        <v>0</v>
      </c>
      <c r="J2517">
        <f>'906MP'!T2217</f>
        <v>0</v>
      </c>
      <c r="K2517">
        <f>'906MP'!AJ2217</f>
        <v>0</v>
      </c>
      <c r="L2517">
        <f>'906MP'!U2217</f>
        <v>0</v>
      </c>
      <c r="M2517" s="322" t="str">
        <f>IFERROR(VLOOKUP(A2517,PAR!$D$3:$E$53,2,FALSE),"nincs szervezet")</f>
        <v>nincs szervezet</v>
      </c>
      <c r="N2517" s="322" t="str">
        <f>VLOOKUP(F2517,PAR!$R$3:$S$5,2,FALSE)</f>
        <v>3 - egyik sem</v>
      </c>
      <c r="O2517" t="str">
        <f>IFERROR(VLOOKUP(J2517,PAR!$O$3:$P$5,2,FALSE),"nincs feladat")</f>
        <v>nincs feladat</v>
      </c>
      <c r="P2517" t="str">
        <f>IFERROR(VLOOKUP(G2517,PAR!$J$2:$M$19,4),"nincs rovat")</f>
        <v>nincs rovat</v>
      </c>
      <c r="Q2517" t="str">
        <f>IF(H2517&gt;0,VLOOKUP(H2517,PAR!$AA$3:$AC$187,3,FALSE),"nincs főkönyvi számla")</f>
        <v>nincs főkönyvi számla</v>
      </c>
      <c r="R2517" t="str">
        <f>IFERROR(VLOOKUP(K2517,PAR!$V$3:$X$438,3,FALSE),"000000 - Nincs COFOG")</f>
        <v>000000 - Nincs COFOG</v>
      </c>
      <c r="S2517">
        <f t="shared" si="753"/>
        <v>0</v>
      </c>
      <c r="T2517">
        <f t="shared" si="754"/>
        <v>0</v>
      </c>
      <c r="U2517" t="str">
        <f>IF('906MP'!J2217&gt;0,CONCATENATE('906MP'!J2217," - ",'906MP'!P2217,", ",'906MP'!E2217),"nincs megjegyzés")</f>
        <v>nincs megjegyzés</v>
      </c>
      <c r="V2517" t="str">
        <f t="shared" si="741"/>
        <v>0P0</v>
      </c>
      <c r="W2517" t="str">
        <f t="shared" si="742"/>
        <v>0P0</v>
      </c>
      <c r="X2517" t="str">
        <f t="shared" si="743"/>
        <v>P0</v>
      </c>
      <c r="Y2517" t="str">
        <f t="shared" si="744"/>
        <v>00</v>
      </c>
      <c r="Z2517" t="str">
        <f t="shared" si="755"/>
        <v>00</v>
      </c>
      <c r="AA2517" t="str">
        <f t="shared" si="745"/>
        <v>00</v>
      </c>
      <c r="AB2517" t="str">
        <f t="shared" si="746"/>
        <v>00</v>
      </c>
      <c r="AC2517" t="str">
        <f t="shared" si="747"/>
        <v>0P0</v>
      </c>
      <c r="AD2517" t="str">
        <f t="shared" si="748"/>
        <v>P00</v>
      </c>
      <c r="AE2517" t="str">
        <f t="shared" si="749"/>
        <v>0P0</v>
      </c>
      <c r="AF2517" t="str">
        <f t="shared" si="750"/>
        <v>P00</v>
      </c>
      <c r="AG2517" t="str">
        <f t="shared" si="756"/>
        <v>0P00</v>
      </c>
      <c r="AH2517" t="str">
        <f t="shared" si="757"/>
        <v>P000</v>
      </c>
      <c r="AI2517" t="str">
        <f t="shared" si="758"/>
        <v>0P00</v>
      </c>
      <c r="AJ2517" t="str">
        <f t="shared" si="759"/>
        <v>P000</v>
      </c>
    </row>
    <row r="2518" spans="1:36" x14ac:dyDescent="0.25">
      <c r="A2518" s="325" t="str">
        <f>CONCATENATE("P",'906MP'!M2218)</f>
        <v>P</v>
      </c>
      <c r="B2518">
        <f>'906MP'!H2218</f>
        <v>0</v>
      </c>
      <c r="C2518">
        <f>'906MP'!J2218</f>
        <v>0</v>
      </c>
      <c r="D2518">
        <f>'906MP'!P2218</f>
        <v>0</v>
      </c>
      <c r="E2518">
        <f>'906MP'!X2218</f>
        <v>0</v>
      </c>
      <c r="F2518" t="str">
        <f t="shared" si="751"/>
        <v>0</v>
      </c>
      <c r="G2518" t="str">
        <f t="shared" si="752"/>
        <v>0</v>
      </c>
      <c r="H2518">
        <f>'906MP'!Y2218</f>
        <v>0</v>
      </c>
      <c r="I2518">
        <f>'906MP'!AK2218</f>
        <v>0</v>
      </c>
      <c r="J2518">
        <f>'906MP'!T2218</f>
        <v>0</v>
      </c>
      <c r="K2518">
        <f>'906MP'!AJ2218</f>
        <v>0</v>
      </c>
      <c r="L2518">
        <f>'906MP'!U2218</f>
        <v>0</v>
      </c>
      <c r="M2518" s="322" t="str">
        <f>IFERROR(VLOOKUP(A2518,PAR!$D$3:$E$53,2,FALSE),"nincs szervezet")</f>
        <v>nincs szervezet</v>
      </c>
      <c r="N2518" s="322" t="str">
        <f>VLOOKUP(F2518,PAR!$R$3:$S$5,2,FALSE)</f>
        <v>3 - egyik sem</v>
      </c>
      <c r="O2518" t="str">
        <f>IFERROR(VLOOKUP(J2518,PAR!$O$3:$P$5,2,FALSE),"nincs feladat")</f>
        <v>nincs feladat</v>
      </c>
      <c r="P2518" t="str">
        <f>IFERROR(VLOOKUP(G2518,PAR!$J$2:$M$19,4),"nincs rovat")</f>
        <v>nincs rovat</v>
      </c>
      <c r="Q2518" t="str">
        <f>IF(H2518&gt;0,VLOOKUP(H2518,PAR!$AA$3:$AC$187,3,FALSE),"nincs főkönyvi számla")</f>
        <v>nincs főkönyvi számla</v>
      </c>
      <c r="R2518" t="str">
        <f>IFERROR(VLOOKUP(K2518,PAR!$V$3:$X$438,3,FALSE),"000000 - Nincs COFOG")</f>
        <v>000000 - Nincs COFOG</v>
      </c>
      <c r="S2518">
        <f t="shared" si="753"/>
        <v>0</v>
      </c>
      <c r="T2518">
        <f t="shared" si="754"/>
        <v>0</v>
      </c>
      <c r="U2518" t="str">
        <f>IF('906MP'!J2218&gt;0,CONCATENATE('906MP'!J2218," - ",'906MP'!P2218,", ",'906MP'!E2218),"nincs megjegyzés")</f>
        <v>nincs megjegyzés</v>
      </c>
      <c r="V2518" t="str">
        <f t="shared" si="741"/>
        <v>0P0</v>
      </c>
      <c r="W2518" t="str">
        <f t="shared" si="742"/>
        <v>0P0</v>
      </c>
      <c r="X2518" t="str">
        <f t="shared" si="743"/>
        <v>P0</v>
      </c>
      <c r="Y2518" t="str">
        <f t="shared" si="744"/>
        <v>00</v>
      </c>
      <c r="Z2518" t="str">
        <f t="shared" si="755"/>
        <v>00</v>
      </c>
      <c r="AA2518" t="str">
        <f t="shared" si="745"/>
        <v>00</v>
      </c>
      <c r="AB2518" t="str">
        <f t="shared" si="746"/>
        <v>00</v>
      </c>
      <c r="AC2518" t="str">
        <f t="shared" si="747"/>
        <v>0P0</v>
      </c>
      <c r="AD2518" t="str">
        <f t="shared" si="748"/>
        <v>P00</v>
      </c>
      <c r="AE2518" t="str">
        <f t="shared" si="749"/>
        <v>0P0</v>
      </c>
      <c r="AF2518" t="str">
        <f t="shared" si="750"/>
        <v>P00</v>
      </c>
      <c r="AG2518" t="str">
        <f t="shared" si="756"/>
        <v>0P00</v>
      </c>
      <c r="AH2518" t="str">
        <f t="shared" si="757"/>
        <v>P000</v>
      </c>
      <c r="AI2518" t="str">
        <f t="shared" si="758"/>
        <v>0P00</v>
      </c>
      <c r="AJ2518" t="str">
        <f t="shared" si="759"/>
        <v>P000</v>
      </c>
    </row>
    <row r="2519" spans="1:36" x14ac:dyDescent="0.25">
      <c r="A2519" s="325" t="str">
        <f>CONCATENATE("P",'906MP'!M2219)</f>
        <v>P</v>
      </c>
      <c r="B2519">
        <f>'906MP'!H2219</f>
        <v>0</v>
      </c>
      <c r="C2519">
        <f>'906MP'!J2219</f>
        <v>0</v>
      </c>
      <c r="D2519">
        <f>'906MP'!P2219</f>
        <v>0</v>
      </c>
      <c r="E2519">
        <f>'906MP'!X2219</f>
        <v>0</v>
      </c>
      <c r="F2519" t="str">
        <f t="shared" si="751"/>
        <v>0</v>
      </c>
      <c r="G2519" t="str">
        <f t="shared" si="752"/>
        <v>0</v>
      </c>
      <c r="H2519">
        <f>'906MP'!Y2219</f>
        <v>0</v>
      </c>
      <c r="I2519">
        <f>'906MP'!AK2219</f>
        <v>0</v>
      </c>
      <c r="J2519">
        <f>'906MP'!T2219</f>
        <v>0</v>
      </c>
      <c r="K2519">
        <f>'906MP'!AJ2219</f>
        <v>0</v>
      </c>
      <c r="L2519">
        <f>'906MP'!U2219</f>
        <v>0</v>
      </c>
      <c r="M2519" s="322" t="str">
        <f>IFERROR(VLOOKUP(A2519,PAR!$D$3:$E$53,2,FALSE),"nincs szervezet")</f>
        <v>nincs szervezet</v>
      </c>
      <c r="N2519" s="322" t="str">
        <f>VLOOKUP(F2519,PAR!$R$3:$S$5,2,FALSE)</f>
        <v>3 - egyik sem</v>
      </c>
      <c r="O2519" t="str">
        <f>IFERROR(VLOOKUP(J2519,PAR!$O$3:$P$5,2,FALSE),"nincs feladat")</f>
        <v>nincs feladat</v>
      </c>
      <c r="P2519" t="str">
        <f>IFERROR(VLOOKUP(G2519,PAR!$J$2:$M$19,4),"nincs rovat")</f>
        <v>nincs rovat</v>
      </c>
      <c r="Q2519" t="str">
        <f>IF(H2519&gt;0,VLOOKUP(H2519,PAR!$AA$3:$AC$187,3,FALSE),"nincs főkönyvi számla")</f>
        <v>nincs főkönyvi számla</v>
      </c>
      <c r="R2519" t="str">
        <f>IFERROR(VLOOKUP(K2519,PAR!$V$3:$X$438,3,FALSE),"000000 - Nincs COFOG")</f>
        <v>000000 - Nincs COFOG</v>
      </c>
      <c r="S2519">
        <f t="shared" si="753"/>
        <v>0</v>
      </c>
      <c r="T2519">
        <f t="shared" si="754"/>
        <v>0</v>
      </c>
      <c r="U2519" t="str">
        <f>IF('906MP'!J2219&gt;0,CONCATENATE('906MP'!J2219," - ",'906MP'!P2219,", ",'906MP'!E2219),"nincs megjegyzés")</f>
        <v>nincs megjegyzés</v>
      </c>
      <c r="V2519" t="str">
        <f t="shared" si="741"/>
        <v>0P0</v>
      </c>
      <c r="W2519" t="str">
        <f t="shared" si="742"/>
        <v>0P0</v>
      </c>
      <c r="X2519" t="str">
        <f t="shared" si="743"/>
        <v>P0</v>
      </c>
      <c r="Y2519" t="str">
        <f t="shared" si="744"/>
        <v>00</v>
      </c>
      <c r="Z2519" t="str">
        <f t="shared" si="755"/>
        <v>00</v>
      </c>
      <c r="AA2519" t="str">
        <f t="shared" si="745"/>
        <v>00</v>
      </c>
      <c r="AB2519" t="str">
        <f t="shared" si="746"/>
        <v>00</v>
      </c>
      <c r="AC2519" t="str">
        <f t="shared" si="747"/>
        <v>0P0</v>
      </c>
      <c r="AD2519" t="str">
        <f t="shared" si="748"/>
        <v>P00</v>
      </c>
      <c r="AE2519" t="str">
        <f t="shared" si="749"/>
        <v>0P0</v>
      </c>
      <c r="AF2519" t="str">
        <f t="shared" si="750"/>
        <v>P00</v>
      </c>
      <c r="AG2519" t="str">
        <f t="shared" si="756"/>
        <v>0P00</v>
      </c>
      <c r="AH2519" t="str">
        <f t="shared" si="757"/>
        <v>P000</v>
      </c>
      <c r="AI2519" t="str">
        <f t="shared" si="758"/>
        <v>0P00</v>
      </c>
      <c r="AJ2519" t="str">
        <f t="shared" si="759"/>
        <v>P000</v>
      </c>
    </row>
    <row r="2520" spans="1:36" x14ac:dyDescent="0.25">
      <c r="A2520" s="325" t="str">
        <f>CONCATENATE("P",'906MP'!M2220)</f>
        <v>P</v>
      </c>
      <c r="B2520">
        <f>'906MP'!H2220</f>
        <v>0</v>
      </c>
      <c r="C2520">
        <f>'906MP'!J2220</f>
        <v>0</v>
      </c>
      <c r="D2520">
        <f>'906MP'!P2220</f>
        <v>0</v>
      </c>
      <c r="E2520">
        <f>'906MP'!X2220</f>
        <v>0</v>
      </c>
      <c r="F2520" t="str">
        <f t="shared" si="751"/>
        <v>0</v>
      </c>
      <c r="G2520" t="str">
        <f t="shared" si="752"/>
        <v>0</v>
      </c>
      <c r="H2520">
        <f>'906MP'!Y2220</f>
        <v>0</v>
      </c>
      <c r="I2520">
        <f>'906MP'!AK2220</f>
        <v>0</v>
      </c>
      <c r="J2520">
        <f>'906MP'!T2220</f>
        <v>0</v>
      </c>
      <c r="K2520">
        <f>'906MP'!AJ2220</f>
        <v>0</v>
      </c>
      <c r="L2520">
        <f>'906MP'!U2220</f>
        <v>0</v>
      </c>
      <c r="M2520" s="322" t="str">
        <f>IFERROR(VLOOKUP(A2520,PAR!$D$3:$E$53,2,FALSE),"nincs szervezet")</f>
        <v>nincs szervezet</v>
      </c>
      <c r="N2520" s="322" t="str">
        <f>VLOOKUP(F2520,PAR!$R$3:$S$5,2,FALSE)</f>
        <v>3 - egyik sem</v>
      </c>
      <c r="O2520" t="str">
        <f>IFERROR(VLOOKUP(J2520,PAR!$O$3:$P$5,2,FALSE),"nincs feladat")</f>
        <v>nincs feladat</v>
      </c>
      <c r="P2520" t="str">
        <f>IFERROR(VLOOKUP(G2520,PAR!$J$2:$M$19,4),"nincs rovat")</f>
        <v>nincs rovat</v>
      </c>
      <c r="Q2520" t="str">
        <f>IF(H2520&gt;0,VLOOKUP(H2520,PAR!$AA$3:$AC$187,3,FALSE),"nincs főkönyvi számla")</f>
        <v>nincs főkönyvi számla</v>
      </c>
      <c r="R2520" t="str">
        <f>IFERROR(VLOOKUP(K2520,PAR!$V$3:$X$438,3,FALSE),"000000 - Nincs COFOG")</f>
        <v>000000 - Nincs COFOG</v>
      </c>
      <c r="S2520">
        <f t="shared" si="753"/>
        <v>0</v>
      </c>
      <c r="T2520">
        <f t="shared" si="754"/>
        <v>0</v>
      </c>
      <c r="U2520" t="str">
        <f>IF('906MP'!J2220&gt;0,CONCATENATE('906MP'!J2220," - ",'906MP'!P2220,", ",'906MP'!E2220),"nincs megjegyzés")</f>
        <v>nincs megjegyzés</v>
      </c>
      <c r="V2520" t="str">
        <f t="shared" si="741"/>
        <v>0P0</v>
      </c>
      <c r="W2520" t="str">
        <f t="shared" si="742"/>
        <v>0P0</v>
      </c>
      <c r="X2520" t="str">
        <f t="shared" si="743"/>
        <v>P0</v>
      </c>
      <c r="Y2520" t="str">
        <f t="shared" si="744"/>
        <v>00</v>
      </c>
      <c r="Z2520" t="str">
        <f t="shared" si="755"/>
        <v>00</v>
      </c>
      <c r="AA2520" t="str">
        <f t="shared" si="745"/>
        <v>00</v>
      </c>
      <c r="AB2520" t="str">
        <f t="shared" si="746"/>
        <v>00</v>
      </c>
      <c r="AC2520" t="str">
        <f t="shared" si="747"/>
        <v>0P0</v>
      </c>
      <c r="AD2520" t="str">
        <f t="shared" si="748"/>
        <v>P00</v>
      </c>
      <c r="AE2520" t="str">
        <f t="shared" si="749"/>
        <v>0P0</v>
      </c>
      <c r="AF2520" t="str">
        <f t="shared" si="750"/>
        <v>P00</v>
      </c>
      <c r="AG2520" t="str">
        <f t="shared" si="756"/>
        <v>0P00</v>
      </c>
      <c r="AH2520" t="str">
        <f t="shared" si="757"/>
        <v>P000</v>
      </c>
      <c r="AI2520" t="str">
        <f t="shared" si="758"/>
        <v>0P00</v>
      </c>
      <c r="AJ2520" t="str">
        <f t="shared" si="759"/>
        <v>P000</v>
      </c>
    </row>
    <row r="2521" spans="1:36" x14ac:dyDescent="0.25">
      <c r="A2521" s="325" t="str">
        <f>CONCATENATE("P",'906MP'!M2221)</f>
        <v>P</v>
      </c>
      <c r="B2521">
        <f>'906MP'!H2221</f>
        <v>0</v>
      </c>
      <c r="C2521">
        <f>'906MP'!J2221</f>
        <v>0</v>
      </c>
      <c r="D2521">
        <f>'906MP'!P2221</f>
        <v>0</v>
      </c>
      <c r="E2521">
        <f>'906MP'!X2221</f>
        <v>0</v>
      </c>
      <c r="F2521" t="str">
        <f t="shared" si="751"/>
        <v>0</v>
      </c>
      <c r="G2521" t="str">
        <f t="shared" si="752"/>
        <v>0</v>
      </c>
      <c r="H2521">
        <f>'906MP'!Y2221</f>
        <v>0</v>
      </c>
      <c r="I2521">
        <f>'906MP'!AK2221</f>
        <v>0</v>
      </c>
      <c r="J2521">
        <f>'906MP'!T2221</f>
        <v>0</v>
      </c>
      <c r="K2521">
        <f>'906MP'!AJ2221</f>
        <v>0</v>
      </c>
      <c r="L2521">
        <f>'906MP'!U2221</f>
        <v>0</v>
      </c>
      <c r="M2521" s="322" t="str">
        <f>IFERROR(VLOOKUP(A2521,PAR!$D$3:$E$53,2,FALSE),"nincs szervezet")</f>
        <v>nincs szervezet</v>
      </c>
      <c r="N2521" s="322" t="str">
        <f>VLOOKUP(F2521,PAR!$R$3:$S$5,2,FALSE)</f>
        <v>3 - egyik sem</v>
      </c>
      <c r="O2521" t="str">
        <f>IFERROR(VLOOKUP(J2521,PAR!$O$3:$P$5,2,FALSE),"nincs feladat")</f>
        <v>nincs feladat</v>
      </c>
      <c r="P2521" t="str">
        <f>IFERROR(VLOOKUP(G2521,PAR!$J$2:$M$19,4),"nincs rovat")</f>
        <v>nincs rovat</v>
      </c>
      <c r="Q2521" t="str">
        <f>IF(H2521&gt;0,VLOOKUP(H2521,PAR!$AA$3:$AC$187,3,FALSE),"nincs főkönyvi számla")</f>
        <v>nincs főkönyvi számla</v>
      </c>
      <c r="R2521" t="str">
        <f>IFERROR(VLOOKUP(K2521,PAR!$V$3:$X$438,3,FALSE),"000000 - Nincs COFOG")</f>
        <v>000000 - Nincs COFOG</v>
      </c>
      <c r="S2521">
        <f t="shared" si="753"/>
        <v>0</v>
      </c>
      <c r="T2521">
        <f t="shared" si="754"/>
        <v>0</v>
      </c>
      <c r="U2521" t="str">
        <f>IF('906MP'!J2221&gt;0,CONCATENATE('906MP'!J2221," - ",'906MP'!P2221,", ",'906MP'!E2221),"nincs megjegyzés")</f>
        <v>nincs megjegyzés</v>
      </c>
      <c r="V2521" t="str">
        <f t="shared" si="741"/>
        <v>0P0</v>
      </c>
      <c r="W2521" t="str">
        <f t="shared" si="742"/>
        <v>0P0</v>
      </c>
      <c r="X2521" t="str">
        <f t="shared" si="743"/>
        <v>P0</v>
      </c>
      <c r="Y2521" t="str">
        <f t="shared" si="744"/>
        <v>00</v>
      </c>
      <c r="Z2521" t="str">
        <f t="shared" si="755"/>
        <v>00</v>
      </c>
      <c r="AA2521" t="str">
        <f t="shared" si="745"/>
        <v>00</v>
      </c>
      <c r="AB2521" t="str">
        <f t="shared" si="746"/>
        <v>00</v>
      </c>
      <c r="AC2521" t="str">
        <f t="shared" si="747"/>
        <v>0P0</v>
      </c>
      <c r="AD2521" t="str">
        <f t="shared" si="748"/>
        <v>P00</v>
      </c>
      <c r="AE2521" t="str">
        <f t="shared" si="749"/>
        <v>0P0</v>
      </c>
      <c r="AF2521" t="str">
        <f t="shared" si="750"/>
        <v>P00</v>
      </c>
      <c r="AG2521" t="str">
        <f t="shared" si="756"/>
        <v>0P00</v>
      </c>
      <c r="AH2521" t="str">
        <f t="shared" si="757"/>
        <v>P000</v>
      </c>
      <c r="AI2521" t="str">
        <f t="shared" si="758"/>
        <v>0P00</v>
      </c>
      <c r="AJ2521" t="str">
        <f t="shared" si="759"/>
        <v>P000</v>
      </c>
    </row>
    <row r="2522" spans="1:36" x14ac:dyDescent="0.25">
      <c r="A2522" s="325" t="str">
        <f>CONCATENATE("P",'906MP'!M2222)</f>
        <v>P</v>
      </c>
      <c r="B2522">
        <f>'906MP'!H2222</f>
        <v>0</v>
      </c>
      <c r="C2522">
        <f>'906MP'!J2222</f>
        <v>0</v>
      </c>
      <c r="D2522">
        <f>'906MP'!P2222</f>
        <v>0</v>
      </c>
      <c r="E2522">
        <f>'906MP'!X2222</f>
        <v>0</v>
      </c>
      <c r="F2522" t="str">
        <f t="shared" si="751"/>
        <v>0</v>
      </c>
      <c r="G2522" t="str">
        <f t="shared" si="752"/>
        <v>0</v>
      </c>
      <c r="H2522">
        <f>'906MP'!Y2222</f>
        <v>0</v>
      </c>
      <c r="I2522">
        <f>'906MP'!AK2222</f>
        <v>0</v>
      </c>
      <c r="J2522">
        <f>'906MP'!T2222</f>
        <v>0</v>
      </c>
      <c r="K2522">
        <f>'906MP'!AJ2222</f>
        <v>0</v>
      </c>
      <c r="L2522">
        <f>'906MP'!U2222</f>
        <v>0</v>
      </c>
      <c r="M2522" s="322" t="str">
        <f>IFERROR(VLOOKUP(A2522,PAR!$D$3:$E$53,2,FALSE),"nincs szervezet")</f>
        <v>nincs szervezet</v>
      </c>
      <c r="N2522" s="322" t="str">
        <f>VLOOKUP(F2522,PAR!$R$3:$S$5,2,FALSE)</f>
        <v>3 - egyik sem</v>
      </c>
      <c r="O2522" t="str">
        <f>IFERROR(VLOOKUP(J2522,PAR!$O$3:$P$5,2,FALSE),"nincs feladat")</f>
        <v>nincs feladat</v>
      </c>
      <c r="P2522" t="str">
        <f>IFERROR(VLOOKUP(G2522,PAR!$J$2:$M$19,4),"nincs rovat")</f>
        <v>nincs rovat</v>
      </c>
      <c r="Q2522" t="str">
        <f>IF(H2522&gt;0,VLOOKUP(H2522,PAR!$AA$3:$AC$187,3,FALSE),"nincs főkönyvi számla")</f>
        <v>nincs főkönyvi számla</v>
      </c>
      <c r="R2522" t="str">
        <f>IFERROR(VLOOKUP(K2522,PAR!$V$3:$X$438,3,FALSE),"000000 - Nincs COFOG")</f>
        <v>000000 - Nincs COFOG</v>
      </c>
      <c r="S2522">
        <f t="shared" si="753"/>
        <v>0</v>
      </c>
      <c r="T2522">
        <f t="shared" si="754"/>
        <v>0</v>
      </c>
      <c r="U2522" t="str">
        <f>IF('906MP'!J2222&gt;0,CONCATENATE('906MP'!J2222," - ",'906MP'!P2222,", ",'906MP'!E2222),"nincs megjegyzés")</f>
        <v>nincs megjegyzés</v>
      </c>
      <c r="V2522" t="str">
        <f t="shared" si="741"/>
        <v>0P0</v>
      </c>
      <c r="W2522" t="str">
        <f t="shared" si="742"/>
        <v>0P0</v>
      </c>
      <c r="X2522" t="str">
        <f t="shared" si="743"/>
        <v>P0</v>
      </c>
      <c r="Y2522" t="str">
        <f t="shared" si="744"/>
        <v>00</v>
      </c>
      <c r="Z2522" t="str">
        <f t="shared" si="755"/>
        <v>00</v>
      </c>
      <c r="AA2522" t="str">
        <f t="shared" si="745"/>
        <v>00</v>
      </c>
      <c r="AB2522" t="str">
        <f t="shared" si="746"/>
        <v>00</v>
      </c>
      <c r="AC2522" t="str">
        <f t="shared" si="747"/>
        <v>0P0</v>
      </c>
      <c r="AD2522" t="str">
        <f t="shared" si="748"/>
        <v>P00</v>
      </c>
      <c r="AE2522" t="str">
        <f t="shared" si="749"/>
        <v>0P0</v>
      </c>
      <c r="AF2522" t="str">
        <f t="shared" si="750"/>
        <v>P00</v>
      </c>
      <c r="AG2522" t="str">
        <f t="shared" si="756"/>
        <v>0P00</v>
      </c>
      <c r="AH2522" t="str">
        <f t="shared" si="757"/>
        <v>P000</v>
      </c>
      <c r="AI2522" t="str">
        <f t="shared" si="758"/>
        <v>0P00</v>
      </c>
      <c r="AJ2522" t="str">
        <f t="shared" si="759"/>
        <v>P000</v>
      </c>
    </row>
    <row r="2523" spans="1:36" x14ac:dyDescent="0.25">
      <c r="A2523" s="325" t="str">
        <f>CONCATENATE("P",'906MP'!M2223)</f>
        <v>P</v>
      </c>
      <c r="B2523">
        <f>'906MP'!H2223</f>
        <v>0</v>
      </c>
      <c r="C2523">
        <f>'906MP'!J2223</f>
        <v>0</v>
      </c>
      <c r="D2523">
        <f>'906MP'!P2223</f>
        <v>0</v>
      </c>
      <c r="E2523">
        <f>'906MP'!X2223</f>
        <v>0</v>
      </c>
      <c r="F2523" t="str">
        <f t="shared" si="751"/>
        <v>0</v>
      </c>
      <c r="G2523" t="str">
        <f t="shared" si="752"/>
        <v>0</v>
      </c>
      <c r="H2523">
        <f>'906MP'!Y2223</f>
        <v>0</v>
      </c>
      <c r="I2523">
        <f>'906MP'!AK2223</f>
        <v>0</v>
      </c>
      <c r="J2523">
        <f>'906MP'!T2223</f>
        <v>0</v>
      </c>
      <c r="K2523">
        <f>'906MP'!AJ2223</f>
        <v>0</v>
      </c>
      <c r="L2523">
        <f>'906MP'!U2223</f>
        <v>0</v>
      </c>
      <c r="M2523" s="322" t="str">
        <f>IFERROR(VLOOKUP(A2523,PAR!$D$3:$E$53,2,FALSE),"nincs szervezet")</f>
        <v>nincs szervezet</v>
      </c>
      <c r="N2523" s="322" t="str">
        <f>VLOOKUP(F2523,PAR!$R$3:$S$5,2,FALSE)</f>
        <v>3 - egyik sem</v>
      </c>
      <c r="O2523" t="str">
        <f>IFERROR(VLOOKUP(J2523,PAR!$O$3:$P$5,2,FALSE),"nincs feladat")</f>
        <v>nincs feladat</v>
      </c>
      <c r="P2523" t="str">
        <f>IFERROR(VLOOKUP(G2523,PAR!$J$2:$M$19,4),"nincs rovat")</f>
        <v>nincs rovat</v>
      </c>
      <c r="Q2523" t="str">
        <f>IF(H2523&gt;0,VLOOKUP(H2523,PAR!$AA$3:$AC$187,3,FALSE),"nincs főkönyvi számla")</f>
        <v>nincs főkönyvi számla</v>
      </c>
      <c r="R2523" t="str">
        <f>IFERROR(VLOOKUP(K2523,PAR!$V$3:$X$438,3,FALSE),"000000 - Nincs COFOG")</f>
        <v>000000 - Nincs COFOG</v>
      </c>
      <c r="S2523">
        <f t="shared" si="753"/>
        <v>0</v>
      </c>
      <c r="T2523">
        <f t="shared" si="754"/>
        <v>0</v>
      </c>
      <c r="U2523" t="str">
        <f>IF('906MP'!J2223&gt;0,CONCATENATE('906MP'!J2223," - ",'906MP'!P2223,", ",'906MP'!E2223),"nincs megjegyzés")</f>
        <v>nincs megjegyzés</v>
      </c>
      <c r="V2523" t="str">
        <f t="shared" si="741"/>
        <v>0P0</v>
      </c>
      <c r="W2523" t="str">
        <f t="shared" si="742"/>
        <v>0P0</v>
      </c>
      <c r="X2523" t="str">
        <f t="shared" si="743"/>
        <v>P0</v>
      </c>
      <c r="Y2523" t="str">
        <f t="shared" si="744"/>
        <v>00</v>
      </c>
      <c r="Z2523" t="str">
        <f t="shared" si="755"/>
        <v>00</v>
      </c>
      <c r="AA2523" t="str">
        <f t="shared" si="745"/>
        <v>00</v>
      </c>
      <c r="AB2523" t="str">
        <f t="shared" si="746"/>
        <v>00</v>
      </c>
      <c r="AC2523" t="str">
        <f t="shared" si="747"/>
        <v>0P0</v>
      </c>
      <c r="AD2523" t="str">
        <f t="shared" si="748"/>
        <v>P00</v>
      </c>
      <c r="AE2523" t="str">
        <f t="shared" si="749"/>
        <v>0P0</v>
      </c>
      <c r="AF2523" t="str">
        <f t="shared" si="750"/>
        <v>P00</v>
      </c>
      <c r="AG2523" t="str">
        <f t="shared" si="756"/>
        <v>0P00</v>
      </c>
      <c r="AH2523" t="str">
        <f t="shared" si="757"/>
        <v>P000</v>
      </c>
      <c r="AI2523" t="str">
        <f t="shared" si="758"/>
        <v>0P00</v>
      </c>
      <c r="AJ2523" t="str">
        <f t="shared" si="759"/>
        <v>P000</v>
      </c>
    </row>
    <row r="2524" spans="1:36" x14ac:dyDescent="0.25">
      <c r="A2524" s="325" t="str">
        <f>CONCATENATE("P",'906MP'!M2224)</f>
        <v>P</v>
      </c>
      <c r="B2524">
        <f>'906MP'!H2224</f>
        <v>0</v>
      </c>
      <c r="C2524">
        <f>'906MP'!J2224</f>
        <v>0</v>
      </c>
      <c r="D2524">
        <f>'906MP'!P2224</f>
        <v>0</v>
      </c>
      <c r="E2524">
        <f>'906MP'!X2224</f>
        <v>0</v>
      </c>
      <c r="F2524" t="str">
        <f t="shared" si="751"/>
        <v>0</v>
      </c>
      <c r="G2524" t="str">
        <f t="shared" si="752"/>
        <v>0</v>
      </c>
      <c r="H2524">
        <f>'906MP'!Y2224</f>
        <v>0</v>
      </c>
      <c r="I2524">
        <f>'906MP'!AK2224</f>
        <v>0</v>
      </c>
      <c r="J2524">
        <f>'906MP'!T2224</f>
        <v>0</v>
      </c>
      <c r="K2524">
        <f>'906MP'!AJ2224</f>
        <v>0</v>
      </c>
      <c r="L2524">
        <f>'906MP'!U2224</f>
        <v>0</v>
      </c>
      <c r="M2524" s="322" t="str">
        <f>IFERROR(VLOOKUP(A2524,PAR!$D$3:$E$53,2,FALSE),"nincs szervezet")</f>
        <v>nincs szervezet</v>
      </c>
      <c r="N2524" s="322" t="str">
        <f>VLOOKUP(F2524,PAR!$R$3:$S$5,2,FALSE)</f>
        <v>3 - egyik sem</v>
      </c>
      <c r="O2524" t="str">
        <f>IFERROR(VLOOKUP(J2524,PAR!$O$3:$P$5,2,FALSE),"nincs feladat")</f>
        <v>nincs feladat</v>
      </c>
      <c r="P2524" t="str">
        <f>IFERROR(VLOOKUP(G2524,PAR!$J$2:$M$19,4),"nincs rovat")</f>
        <v>nincs rovat</v>
      </c>
      <c r="Q2524" t="str">
        <f>IF(H2524&gt;0,VLOOKUP(H2524,PAR!$AA$3:$AC$187,3,FALSE),"nincs főkönyvi számla")</f>
        <v>nincs főkönyvi számla</v>
      </c>
      <c r="R2524" t="str">
        <f>IFERROR(VLOOKUP(K2524,PAR!$V$3:$X$438,3,FALSE),"000000 - Nincs COFOG")</f>
        <v>000000 - Nincs COFOG</v>
      </c>
      <c r="S2524">
        <f t="shared" si="753"/>
        <v>0</v>
      </c>
      <c r="T2524">
        <f t="shared" si="754"/>
        <v>0</v>
      </c>
      <c r="U2524" t="str">
        <f>IF('906MP'!J2224&gt;0,CONCATENATE('906MP'!J2224," - ",'906MP'!P2224,", ",'906MP'!E2224),"nincs megjegyzés")</f>
        <v>nincs megjegyzés</v>
      </c>
      <c r="V2524" t="str">
        <f t="shared" si="741"/>
        <v>0P0</v>
      </c>
      <c r="W2524" t="str">
        <f t="shared" si="742"/>
        <v>0P0</v>
      </c>
      <c r="X2524" t="str">
        <f t="shared" si="743"/>
        <v>P0</v>
      </c>
      <c r="Y2524" t="str">
        <f t="shared" si="744"/>
        <v>00</v>
      </c>
      <c r="Z2524" t="str">
        <f t="shared" si="755"/>
        <v>00</v>
      </c>
      <c r="AA2524" t="str">
        <f t="shared" si="745"/>
        <v>00</v>
      </c>
      <c r="AB2524" t="str">
        <f t="shared" si="746"/>
        <v>00</v>
      </c>
      <c r="AC2524" t="str">
        <f t="shared" si="747"/>
        <v>0P0</v>
      </c>
      <c r="AD2524" t="str">
        <f t="shared" si="748"/>
        <v>P00</v>
      </c>
      <c r="AE2524" t="str">
        <f t="shared" si="749"/>
        <v>0P0</v>
      </c>
      <c r="AF2524" t="str">
        <f t="shared" si="750"/>
        <v>P00</v>
      </c>
      <c r="AG2524" t="str">
        <f t="shared" si="756"/>
        <v>0P00</v>
      </c>
      <c r="AH2524" t="str">
        <f t="shared" si="757"/>
        <v>P000</v>
      </c>
      <c r="AI2524" t="str">
        <f t="shared" si="758"/>
        <v>0P00</v>
      </c>
      <c r="AJ2524" t="str">
        <f t="shared" si="759"/>
        <v>P000</v>
      </c>
    </row>
    <row r="2525" spans="1:36" x14ac:dyDescent="0.25">
      <c r="A2525" s="325" t="str">
        <f>CONCATENATE("P",'906MP'!M2225)</f>
        <v>P</v>
      </c>
      <c r="B2525">
        <f>'906MP'!H2225</f>
        <v>0</v>
      </c>
      <c r="C2525">
        <f>'906MP'!J2225</f>
        <v>0</v>
      </c>
      <c r="D2525">
        <f>'906MP'!P2225</f>
        <v>0</v>
      </c>
      <c r="E2525">
        <f>'906MP'!X2225</f>
        <v>0</v>
      </c>
      <c r="F2525" t="str">
        <f t="shared" si="751"/>
        <v>0</v>
      </c>
      <c r="G2525" t="str">
        <f t="shared" si="752"/>
        <v>0</v>
      </c>
      <c r="H2525">
        <f>'906MP'!Y2225</f>
        <v>0</v>
      </c>
      <c r="I2525">
        <f>'906MP'!AK2225</f>
        <v>0</v>
      </c>
      <c r="J2525">
        <f>'906MP'!T2225</f>
        <v>0</v>
      </c>
      <c r="K2525">
        <f>'906MP'!AJ2225</f>
        <v>0</v>
      </c>
      <c r="L2525">
        <f>'906MP'!U2225</f>
        <v>0</v>
      </c>
      <c r="M2525" s="322" t="str">
        <f>IFERROR(VLOOKUP(A2525,PAR!$D$3:$E$53,2,FALSE),"nincs szervezet")</f>
        <v>nincs szervezet</v>
      </c>
      <c r="N2525" s="322" t="str">
        <f>VLOOKUP(F2525,PAR!$R$3:$S$5,2,FALSE)</f>
        <v>3 - egyik sem</v>
      </c>
      <c r="O2525" t="str">
        <f>IFERROR(VLOOKUP(J2525,PAR!$O$3:$P$5,2,FALSE),"nincs feladat")</f>
        <v>nincs feladat</v>
      </c>
      <c r="P2525" t="str">
        <f>IFERROR(VLOOKUP(G2525,PAR!$J$2:$M$19,4),"nincs rovat")</f>
        <v>nincs rovat</v>
      </c>
      <c r="Q2525" t="str">
        <f>IF(H2525&gt;0,VLOOKUP(H2525,PAR!$AA$3:$AC$187,3,FALSE),"nincs főkönyvi számla")</f>
        <v>nincs főkönyvi számla</v>
      </c>
      <c r="R2525" t="str">
        <f>IFERROR(VLOOKUP(K2525,PAR!$V$3:$X$438,3,FALSE),"000000 - Nincs COFOG")</f>
        <v>000000 - Nincs COFOG</v>
      </c>
      <c r="S2525">
        <f t="shared" si="753"/>
        <v>0</v>
      </c>
      <c r="T2525">
        <f t="shared" si="754"/>
        <v>0</v>
      </c>
      <c r="U2525" t="str">
        <f>IF('906MP'!J2225&gt;0,CONCATENATE('906MP'!J2225," - ",'906MP'!P2225,", ",'906MP'!E2225),"nincs megjegyzés")</f>
        <v>nincs megjegyzés</v>
      </c>
      <c r="V2525" t="str">
        <f t="shared" si="741"/>
        <v>0P0</v>
      </c>
      <c r="W2525" t="str">
        <f t="shared" si="742"/>
        <v>0P0</v>
      </c>
      <c r="X2525" t="str">
        <f t="shared" si="743"/>
        <v>P0</v>
      </c>
      <c r="Y2525" t="str">
        <f t="shared" si="744"/>
        <v>00</v>
      </c>
      <c r="Z2525" t="str">
        <f t="shared" si="755"/>
        <v>00</v>
      </c>
      <c r="AA2525" t="str">
        <f t="shared" si="745"/>
        <v>00</v>
      </c>
      <c r="AB2525" t="str">
        <f t="shared" si="746"/>
        <v>00</v>
      </c>
      <c r="AC2525" t="str">
        <f t="shared" si="747"/>
        <v>0P0</v>
      </c>
      <c r="AD2525" t="str">
        <f t="shared" si="748"/>
        <v>P00</v>
      </c>
      <c r="AE2525" t="str">
        <f t="shared" si="749"/>
        <v>0P0</v>
      </c>
      <c r="AF2525" t="str">
        <f t="shared" si="750"/>
        <v>P00</v>
      </c>
      <c r="AG2525" t="str">
        <f t="shared" si="756"/>
        <v>0P00</v>
      </c>
      <c r="AH2525" t="str">
        <f t="shared" si="757"/>
        <v>P000</v>
      </c>
      <c r="AI2525" t="str">
        <f t="shared" si="758"/>
        <v>0P00</v>
      </c>
      <c r="AJ2525" t="str">
        <f t="shared" si="759"/>
        <v>P000</v>
      </c>
    </row>
    <row r="2526" spans="1:36" x14ac:dyDescent="0.25">
      <c r="A2526" s="325" t="str">
        <f>CONCATENATE("P",'906MP'!M2226)</f>
        <v>P</v>
      </c>
      <c r="B2526">
        <f>'906MP'!H2226</f>
        <v>0</v>
      </c>
      <c r="C2526">
        <f>'906MP'!J2226</f>
        <v>0</v>
      </c>
      <c r="D2526">
        <f>'906MP'!P2226</f>
        <v>0</v>
      </c>
      <c r="E2526">
        <f>'906MP'!X2226</f>
        <v>0</v>
      </c>
      <c r="F2526" t="str">
        <f t="shared" si="751"/>
        <v>0</v>
      </c>
      <c r="G2526" t="str">
        <f t="shared" si="752"/>
        <v>0</v>
      </c>
      <c r="H2526">
        <f>'906MP'!Y2226</f>
        <v>0</v>
      </c>
      <c r="I2526">
        <f>'906MP'!AK2226</f>
        <v>0</v>
      </c>
      <c r="J2526">
        <f>'906MP'!T2226</f>
        <v>0</v>
      </c>
      <c r="K2526">
        <f>'906MP'!AJ2226</f>
        <v>0</v>
      </c>
      <c r="L2526">
        <f>'906MP'!U2226</f>
        <v>0</v>
      </c>
      <c r="M2526" s="322" t="str">
        <f>IFERROR(VLOOKUP(A2526,PAR!$D$3:$E$53,2,FALSE),"nincs szervezet")</f>
        <v>nincs szervezet</v>
      </c>
      <c r="N2526" s="322" t="str">
        <f>VLOOKUP(F2526,PAR!$R$3:$S$5,2,FALSE)</f>
        <v>3 - egyik sem</v>
      </c>
      <c r="O2526" t="str">
        <f>IFERROR(VLOOKUP(J2526,PAR!$O$3:$P$5,2,FALSE),"nincs feladat")</f>
        <v>nincs feladat</v>
      </c>
      <c r="P2526" t="str">
        <f>IFERROR(VLOOKUP(G2526,PAR!$J$2:$M$19,4),"nincs rovat")</f>
        <v>nincs rovat</v>
      </c>
      <c r="Q2526" t="str">
        <f>IF(H2526&gt;0,VLOOKUP(H2526,PAR!$AA$3:$AC$187,3,FALSE),"nincs főkönyvi számla")</f>
        <v>nincs főkönyvi számla</v>
      </c>
      <c r="R2526" t="str">
        <f>IFERROR(VLOOKUP(K2526,PAR!$V$3:$X$438,3,FALSE),"000000 - Nincs COFOG")</f>
        <v>000000 - Nincs COFOG</v>
      </c>
      <c r="S2526">
        <f t="shared" si="753"/>
        <v>0</v>
      </c>
      <c r="T2526">
        <f t="shared" si="754"/>
        <v>0</v>
      </c>
      <c r="U2526" t="str">
        <f>IF('906MP'!J2226&gt;0,CONCATENATE('906MP'!J2226," - ",'906MP'!P2226,", ",'906MP'!E2226),"nincs megjegyzés")</f>
        <v>nincs megjegyzés</v>
      </c>
      <c r="V2526" t="str">
        <f t="shared" si="741"/>
        <v>0P0</v>
      </c>
      <c r="W2526" t="str">
        <f t="shared" si="742"/>
        <v>0P0</v>
      </c>
      <c r="X2526" t="str">
        <f t="shared" si="743"/>
        <v>P0</v>
      </c>
      <c r="Y2526" t="str">
        <f t="shared" si="744"/>
        <v>00</v>
      </c>
      <c r="Z2526" t="str">
        <f t="shared" si="755"/>
        <v>00</v>
      </c>
      <c r="AA2526" t="str">
        <f t="shared" si="745"/>
        <v>00</v>
      </c>
      <c r="AB2526" t="str">
        <f t="shared" si="746"/>
        <v>00</v>
      </c>
      <c r="AC2526" t="str">
        <f t="shared" si="747"/>
        <v>0P0</v>
      </c>
      <c r="AD2526" t="str">
        <f t="shared" si="748"/>
        <v>P00</v>
      </c>
      <c r="AE2526" t="str">
        <f t="shared" si="749"/>
        <v>0P0</v>
      </c>
      <c r="AF2526" t="str">
        <f t="shared" si="750"/>
        <v>P00</v>
      </c>
      <c r="AG2526" t="str">
        <f t="shared" si="756"/>
        <v>0P00</v>
      </c>
      <c r="AH2526" t="str">
        <f t="shared" si="757"/>
        <v>P000</v>
      </c>
      <c r="AI2526" t="str">
        <f t="shared" si="758"/>
        <v>0P00</v>
      </c>
      <c r="AJ2526" t="str">
        <f t="shared" si="759"/>
        <v>P000</v>
      </c>
    </row>
    <row r="2527" spans="1:36" x14ac:dyDescent="0.25">
      <c r="A2527" s="325" t="str">
        <f>CONCATENATE("P",'906MP'!M2227)</f>
        <v>P</v>
      </c>
      <c r="B2527">
        <f>'906MP'!H2227</f>
        <v>0</v>
      </c>
      <c r="C2527">
        <f>'906MP'!J2227</f>
        <v>0</v>
      </c>
      <c r="D2527">
        <f>'906MP'!P2227</f>
        <v>0</v>
      </c>
      <c r="E2527">
        <f>'906MP'!X2227</f>
        <v>0</v>
      </c>
      <c r="F2527" t="str">
        <f t="shared" si="751"/>
        <v>0</v>
      </c>
      <c r="G2527" t="str">
        <f t="shared" si="752"/>
        <v>0</v>
      </c>
      <c r="H2527">
        <f>'906MP'!Y2227</f>
        <v>0</v>
      </c>
      <c r="I2527">
        <f>'906MP'!AK2227</f>
        <v>0</v>
      </c>
      <c r="J2527">
        <f>'906MP'!T2227</f>
        <v>0</v>
      </c>
      <c r="K2527">
        <f>'906MP'!AJ2227</f>
        <v>0</v>
      </c>
      <c r="L2527">
        <f>'906MP'!U2227</f>
        <v>0</v>
      </c>
      <c r="M2527" s="322" t="str">
        <f>IFERROR(VLOOKUP(A2527,PAR!$D$3:$E$53,2,FALSE),"nincs szervezet")</f>
        <v>nincs szervezet</v>
      </c>
      <c r="N2527" s="322" t="str">
        <f>VLOOKUP(F2527,PAR!$R$3:$S$5,2,FALSE)</f>
        <v>3 - egyik sem</v>
      </c>
      <c r="O2527" t="str">
        <f>IFERROR(VLOOKUP(J2527,PAR!$O$3:$P$5,2,FALSE),"nincs feladat")</f>
        <v>nincs feladat</v>
      </c>
      <c r="P2527" t="str">
        <f>IFERROR(VLOOKUP(G2527,PAR!$J$2:$M$19,4),"nincs rovat")</f>
        <v>nincs rovat</v>
      </c>
      <c r="Q2527" t="str">
        <f>IF(H2527&gt;0,VLOOKUP(H2527,PAR!$AA$3:$AC$187,3,FALSE),"nincs főkönyvi számla")</f>
        <v>nincs főkönyvi számla</v>
      </c>
      <c r="R2527" t="str">
        <f>IFERROR(VLOOKUP(K2527,PAR!$V$3:$X$438,3,FALSE),"000000 - Nincs COFOG")</f>
        <v>000000 - Nincs COFOG</v>
      </c>
      <c r="S2527">
        <f t="shared" si="753"/>
        <v>0</v>
      </c>
      <c r="T2527">
        <f t="shared" si="754"/>
        <v>0</v>
      </c>
      <c r="U2527" t="str">
        <f>IF('906MP'!J2227&gt;0,CONCATENATE('906MP'!J2227," - ",'906MP'!P2227,", ",'906MP'!E2227),"nincs megjegyzés")</f>
        <v>nincs megjegyzés</v>
      </c>
      <c r="V2527" t="str">
        <f t="shared" si="741"/>
        <v>0P0</v>
      </c>
      <c r="W2527" t="str">
        <f t="shared" si="742"/>
        <v>0P0</v>
      </c>
      <c r="X2527" t="str">
        <f t="shared" si="743"/>
        <v>P0</v>
      </c>
      <c r="Y2527" t="str">
        <f t="shared" si="744"/>
        <v>00</v>
      </c>
      <c r="Z2527" t="str">
        <f t="shared" si="755"/>
        <v>00</v>
      </c>
      <c r="AA2527" t="str">
        <f t="shared" si="745"/>
        <v>00</v>
      </c>
      <c r="AB2527" t="str">
        <f t="shared" si="746"/>
        <v>00</v>
      </c>
      <c r="AC2527" t="str">
        <f t="shared" si="747"/>
        <v>0P0</v>
      </c>
      <c r="AD2527" t="str">
        <f t="shared" si="748"/>
        <v>P00</v>
      </c>
      <c r="AE2527" t="str">
        <f t="shared" si="749"/>
        <v>0P0</v>
      </c>
      <c r="AF2527" t="str">
        <f t="shared" si="750"/>
        <v>P00</v>
      </c>
      <c r="AG2527" t="str">
        <f t="shared" si="756"/>
        <v>0P00</v>
      </c>
      <c r="AH2527" t="str">
        <f t="shared" si="757"/>
        <v>P000</v>
      </c>
      <c r="AI2527" t="str">
        <f t="shared" si="758"/>
        <v>0P00</v>
      </c>
      <c r="AJ2527" t="str">
        <f t="shared" si="759"/>
        <v>P000</v>
      </c>
    </row>
    <row r="2528" spans="1:36" x14ac:dyDescent="0.25">
      <c r="A2528" s="325" t="str">
        <f>CONCATENATE("P",'906MP'!M2228)</f>
        <v>P</v>
      </c>
      <c r="B2528">
        <f>'906MP'!H2228</f>
        <v>0</v>
      </c>
      <c r="C2528">
        <f>'906MP'!J2228</f>
        <v>0</v>
      </c>
      <c r="D2528">
        <f>'906MP'!P2228</f>
        <v>0</v>
      </c>
      <c r="E2528">
        <f>'906MP'!X2228</f>
        <v>0</v>
      </c>
      <c r="F2528" t="str">
        <f t="shared" si="751"/>
        <v>0</v>
      </c>
      <c r="G2528" t="str">
        <f t="shared" si="752"/>
        <v>0</v>
      </c>
      <c r="H2528">
        <f>'906MP'!Y2228</f>
        <v>0</v>
      </c>
      <c r="I2528">
        <f>'906MP'!AK2228</f>
        <v>0</v>
      </c>
      <c r="J2528">
        <f>'906MP'!T2228</f>
        <v>0</v>
      </c>
      <c r="K2528">
        <f>'906MP'!AJ2228</f>
        <v>0</v>
      </c>
      <c r="L2528">
        <f>'906MP'!U2228</f>
        <v>0</v>
      </c>
      <c r="M2528" s="322" t="str">
        <f>IFERROR(VLOOKUP(A2528,PAR!$D$3:$E$53,2,FALSE),"nincs szervezet")</f>
        <v>nincs szervezet</v>
      </c>
      <c r="N2528" s="322" t="str">
        <f>VLOOKUP(F2528,PAR!$R$3:$S$5,2,FALSE)</f>
        <v>3 - egyik sem</v>
      </c>
      <c r="O2528" t="str">
        <f>IFERROR(VLOOKUP(J2528,PAR!$O$3:$P$5,2,FALSE),"nincs feladat")</f>
        <v>nincs feladat</v>
      </c>
      <c r="P2528" t="str">
        <f>IFERROR(VLOOKUP(G2528,PAR!$J$2:$M$19,4),"nincs rovat")</f>
        <v>nincs rovat</v>
      </c>
      <c r="Q2528" t="str">
        <f>IF(H2528&gt;0,VLOOKUP(H2528,PAR!$AA$3:$AC$187,3,FALSE),"nincs főkönyvi számla")</f>
        <v>nincs főkönyvi számla</v>
      </c>
      <c r="R2528" t="str">
        <f>IFERROR(VLOOKUP(K2528,PAR!$V$3:$X$438,3,FALSE),"000000 - Nincs COFOG")</f>
        <v>000000 - Nincs COFOG</v>
      </c>
      <c r="S2528">
        <f t="shared" si="753"/>
        <v>0</v>
      </c>
      <c r="T2528">
        <f t="shared" si="754"/>
        <v>0</v>
      </c>
      <c r="U2528" t="str">
        <f>IF('906MP'!J2228&gt;0,CONCATENATE('906MP'!J2228," - ",'906MP'!P2228,", ",'906MP'!E2228),"nincs megjegyzés")</f>
        <v>nincs megjegyzés</v>
      </c>
      <c r="V2528" t="str">
        <f t="shared" si="741"/>
        <v>0P0</v>
      </c>
      <c r="W2528" t="str">
        <f t="shared" si="742"/>
        <v>0P0</v>
      </c>
      <c r="X2528" t="str">
        <f t="shared" si="743"/>
        <v>P0</v>
      </c>
      <c r="Y2528" t="str">
        <f t="shared" si="744"/>
        <v>00</v>
      </c>
      <c r="Z2528" t="str">
        <f t="shared" si="755"/>
        <v>00</v>
      </c>
      <c r="AA2528" t="str">
        <f t="shared" si="745"/>
        <v>00</v>
      </c>
      <c r="AB2528" t="str">
        <f t="shared" si="746"/>
        <v>00</v>
      </c>
      <c r="AC2528" t="str">
        <f t="shared" si="747"/>
        <v>0P0</v>
      </c>
      <c r="AD2528" t="str">
        <f t="shared" si="748"/>
        <v>P00</v>
      </c>
      <c r="AE2528" t="str">
        <f t="shared" si="749"/>
        <v>0P0</v>
      </c>
      <c r="AF2528" t="str">
        <f t="shared" si="750"/>
        <v>P00</v>
      </c>
      <c r="AG2528" t="str">
        <f t="shared" si="756"/>
        <v>0P00</v>
      </c>
      <c r="AH2528" t="str">
        <f t="shared" si="757"/>
        <v>P000</v>
      </c>
      <c r="AI2528" t="str">
        <f t="shared" si="758"/>
        <v>0P00</v>
      </c>
      <c r="AJ2528" t="str">
        <f t="shared" si="759"/>
        <v>P000</v>
      </c>
    </row>
    <row r="2529" spans="1:36" x14ac:dyDescent="0.25">
      <c r="A2529" s="325" t="str">
        <f>CONCATENATE("P",'906MP'!M2229)</f>
        <v>P</v>
      </c>
      <c r="B2529">
        <f>'906MP'!H2229</f>
        <v>0</v>
      </c>
      <c r="C2529">
        <f>'906MP'!J2229</f>
        <v>0</v>
      </c>
      <c r="D2529">
        <f>'906MP'!P2229</f>
        <v>0</v>
      </c>
      <c r="E2529">
        <f>'906MP'!X2229</f>
        <v>0</v>
      </c>
      <c r="F2529" t="str">
        <f t="shared" si="751"/>
        <v>0</v>
      </c>
      <c r="G2529" t="str">
        <f t="shared" si="752"/>
        <v>0</v>
      </c>
      <c r="H2529">
        <f>'906MP'!Y2229</f>
        <v>0</v>
      </c>
      <c r="I2529">
        <f>'906MP'!AK2229</f>
        <v>0</v>
      </c>
      <c r="J2529">
        <f>'906MP'!T2229</f>
        <v>0</v>
      </c>
      <c r="K2529">
        <f>'906MP'!AJ2229</f>
        <v>0</v>
      </c>
      <c r="L2529">
        <f>'906MP'!U2229</f>
        <v>0</v>
      </c>
      <c r="M2529" s="322" t="str">
        <f>IFERROR(VLOOKUP(A2529,PAR!$D$3:$E$53,2,FALSE),"nincs szervezet")</f>
        <v>nincs szervezet</v>
      </c>
      <c r="N2529" s="322" t="str">
        <f>VLOOKUP(F2529,PAR!$R$3:$S$5,2,FALSE)</f>
        <v>3 - egyik sem</v>
      </c>
      <c r="O2529" t="str">
        <f>IFERROR(VLOOKUP(J2529,PAR!$O$3:$P$5,2,FALSE),"nincs feladat")</f>
        <v>nincs feladat</v>
      </c>
      <c r="P2529" t="str">
        <f>IFERROR(VLOOKUP(G2529,PAR!$J$2:$M$19,4),"nincs rovat")</f>
        <v>nincs rovat</v>
      </c>
      <c r="Q2529" t="str">
        <f>IF(H2529&gt;0,VLOOKUP(H2529,PAR!$AA$3:$AC$187,3,FALSE),"nincs főkönyvi számla")</f>
        <v>nincs főkönyvi számla</v>
      </c>
      <c r="R2529" t="str">
        <f>IFERROR(VLOOKUP(K2529,PAR!$V$3:$X$438,3,FALSE),"000000 - Nincs COFOG")</f>
        <v>000000 - Nincs COFOG</v>
      </c>
      <c r="S2529">
        <f t="shared" si="753"/>
        <v>0</v>
      </c>
      <c r="T2529">
        <f t="shared" si="754"/>
        <v>0</v>
      </c>
      <c r="U2529" t="str">
        <f>IF('906MP'!J2229&gt;0,CONCATENATE('906MP'!J2229," - ",'906MP'!P2229,", ",'906MP'!E2229),"nincs megjegyzés")</f>
        <v>nincs megjegyzés</v>
      </c>
      <c r="V2529" t="str">
        <f t="shared" si="741"/>
        <v>0P0</v>
      </c>
      <c r="W2529" t="str">
        <f t="shared" si="742"/>
        <v>0P0</v>
      </c>
      <c r="X2529" t="str">
        <f t="shared" si="743"/>
        <v>P0</v>
      </c>
      <c r="Y2529" t="str">
        <f t="shared" si="744"/>
        <v>00</v>
      </c>
      <c r="Z2529" t="str">
        <f t="shared" si="755"/>
        <v>00</v>
      </c>
      <c r="AA2529" t="str">
        <f t="shared" si="745"/>
        <v>00</v>
      </c>
      <c r="AB2529" t="str">
        <f t="shared" si="746"/>
        <v>00</v>
      </c>
      <c r="AC2529" t="str">
        <f t="shared" si="747"/>
        <v>0P0</v>
      </c>
      <c r="AD2529" t="str">
        <f t="shared" si="748"/>
        <v>P00</v>
      </c>
      <c r="AE2529" t="str">
        <f t="shared" si="749"/>
        <v>0P0</v>
      </c>
      <c r="AF2529" t="str">
        <f t="shared" si="750"/>
        <v>P00</v>
      </c>
      <c r="AG2529" t="str">
        <f t="shared" si="756"/>
        <v>0P00</v>
      </c>
      <c r="AH2529" t="str">
        <f t="shared" si="757"/>
        <v>P000</v>
      </c>
      <c r="AI2529" t="str">
        <f t="shared" si="758"/>
        <v>0P00</v>
      </c>
      <c r="AJ2529" t="str">
        <f t="shared" si="759"/>
        <v>P000</v>
      </c>
    </row>
    <row r="2530" spans="1:36" x14ac:dyDescent="0.25">
      <c r="A2530" s="325" t="str">
        <f>CONCATENATE("P",'906MP'!M2230)</f>
        <v>P</v>
      </c>
      <c r="B2530">
        <f>'906MP'!H2230</f>
        <v>0</v>
      </c>
      <c r="C2530">
        <f>'906MP'!J2230</f>
        <v>0</v>
      </c>
      <c r="D2530">
        <f>'906MP'!P2230</f>
        <v>0</v>
      </c>
      <c r="E2530">
        <f>'906MP'!X2230</f>
        <v>0</v>
      </c>
      <c r="F2530" t="str">
        <f t="shared" si="751"/>
        <v>0</v>
      </c>
      <c r="G2530" t="str">
        <f t="shared" si="752"/>
        <v>0</v>
      </c>
      <c r="H2530">
        <f>'906MP'!Y2230</f>
        <v>0</v>
      </c>
      <c r="I2530">
        <f>'906MP'!AK2230</f>
        <v>0</v>
      </c>
      <c r="J2530">
        <f>'906MP'!T2230</f>
        <v>0</v>
      </c>
      <c r="K2530">
        <f>'906MP'!AJ2230</f>
        <v>0</v>
      </c>
      <c r="L2530">
        <f>'906MP'!U2230</f>
        <v>0</v>
      </c>
      <c r="M2530" s="322" t="str">
        <f>IFERROR(VLOOKUP(A2530,PAR!$D$3:$E$53,2,FALSE),"nincs szervezet")</f>
        <v>nincs szervezet</v>
      </c>
      <c r="N2530" s="322" t="str">
        <f>VLOOKUP(F2530,PAR!$R$3:$S$5,2,FALSE)</f>
        <v>3 - egyik sem</v>
      </c>
      <c r="O2530" t="str">
        <f>IFERROR(VLOOKUP(J2530,PAR!$O$3:$P$5,2,FALSE),"nincs feladat")</f>
        <v>nincs feladat</v>
      </c>
      <c r="P2530" t="str">
        <f>IFERROR(VLOOKUP(G2530,PAR!$J$2:$M$19,4),"nincs rovat")</f>
        <v>nincs rovat</v>
      </c>
      <c r="Q2530" t="str">
        <f>IF(H2530&gt;0,VLOOKUP(H2530,PAR!$AA$3:$AC$187,3,FALSE),"nincs főkönyvi számla")</f>
        <v>nincs főkönyvi számla</v>
      </c>
      <c r="R2530" t="str">
        <f>IFERROR(VLOOKUP(K2530,PAR!$V$3:$X$438,3,FALSE),"000000 - Nincs COFOG")</f>
        <v>000000 - Nincs COFOG</v>
      </c>
      <c r="S2530">
        <f t="shared" si="753"/>
        <v>0</v>
      </c>
      <c r="T2530">
        <f t="shared" si="754"/>
        <v>0</v>
      </c>
      <c r="U2530" t="str">
        <f>IF('906MP'!J2230&gt;0,CONCATENATE('906MP'!J2230," - ",'906MP'!P2230,", ",'906MP'!E2230),"nincs megjegyzés")</f>
        <v>nincs megjegyzés</v>
      </c>
      <c r="V2530" t="str">
        <f t="shared" si="741"/>
        <v>0P0</v>
      </c>
      <c r="W2530" t="str">
        <f t="shared" si="742"/>
        <v>0P0</v>
      </c>
      <c r="X2530" t="str">
        <f t="shared" si="743"/>
        <v>P0</v>
      </c>
      <c r="Y2530" t="str">
        <f t="shared" si="744"/>
        <v>00</v>
      </c>
      <c r="Z2530" t="str">
        <f t="shared" si="755"/>
        <v>00</v>
      </c>
      <c r="AA2530" t="str">
        <f t="shared" si="745"/>
        <v>00</v>
      </c>
      <c r="AB2530" t="str">
        <f t="shared" si="746"/>
        <v>00</v>
      </c>
      <c r="AC2530" t="str">
        <f t="shared" si="747"/>
        <v>0P0</v>
      </c>
      <c r="AD2530" t="str">
        <f t="shared" si="748"/>
        <v>P00</v>
      </c>
      <c r="AE2530" t="str">
        <f t="shared" si="749"/>
        <v>0P0</v>
      </c>
      <c r="AF2530" t="str">
        <f t="shared" si="750"/>
        <v>P00</v>
      </c>
      <c r="AG2530" t="str">
        <f t="shared" si="756"/>
        <v>0P00</v>
      </c>
      <c r="AH2530" t="str">
        <f t="shared" si="757"/>
        <v>P000</v>
      </c>
      <c r="AI2530" t="str">
        <f t="shared" si="758"/>
        <v>0P00</v>
      </c>
      <c r="AJ2530" t="str">
        <f t="shared" si="759"/>
        <v>P000</v>
      </c>
    </row>
    <row r="2531" spans="1:36" x14ac:dyDescent="0.25">
      <c r="A2531" s="325" t="str">
        <f>CONCATENATE("P",'906MP'!M2231)</f>
        <v>P</v>
      </c>
      <c r="B2531">
        <f>'906MP'!H2231</f>
        <v>0</v>
      </c>
      <c r="C2531">
        <f>'906MP'!J2231</f>
        <v>0</v>
      </c>
      <c r="D2531">
        <f>'906MP'!P2231</f>
        <v>0</v>
      </c>
      <c r="E2531">
        <f>'906MP'!X2231</f>
        <v>0</v>
      </c>
      <c r="F2531" t="str">
        <f t="shared" si="751"/>
        <v>0</v>
      </c>
      <c r="G2531" t="str">
        <f t="shared" si="752"/>
        <v>0</v>
      </c>
      <c r="H2531">
        <f>'906MP'!Y2231</f>
        <v>0</v>
      </c>
      <c r="I2531">
        <f>'906MP'!AK2231</f>
        <v>0</v>
      </c>
      <c r="J2531">
        <f>'906MP'!T2231</f>
        <v>0</v>
      </c>
      <c r="K2531">
        <f>'906MP'!AJ2231</f>
        <v>0</v>
      </c>
      <c r="L2531">
        <f>'906MP'!U2231</f>
        <v>0</v>
      </c>
      <c r="M2531" s="322" t="str">
        <f>IFERROR(VLOOKUP(A2531,PAR!$D$3:$E$53,2,FALSE),"nincs szervezet")</f>
        <v>nincs szervezet</v>
      </c>
      <c r="N2531" s="322" t="str">
        <f>VLOOKUP(F2531,PAR!$R$3:$S$5,2,FALSE)</f>
        <v>3 - egyik sem</v>
      </c>
      <c r="O2531" t="str">
        <f>IFERROR(VLOOKUP(J2531,PAR!$O$3:$P$5,2,FALSE),"nincs feladat")</f>
        <v>nincs feladat</v>
      </c>
      <c r="P2531" t="str">
        <f>IFERROR(VLOOKUP(G2531,PAR!$J$2:$M$19,4),"nincs rovat")</f>
        <v>nincs rovat</v>
      </c>
      <c r="Q2531" t="str">
        <f>IF(H2531&gt;0,VLOOKUP(H2531,PAR!$AA$3:$AC$187,3,FALSE),"nincs főkönyvi számla")</f>
        <v>nincs főkönyvi számla</v>
      </c>
      <c r="R2531" t="str">
        <f>IFERROR(VLOOKUP(K2531,PAR!$V$3:$X$438,3,FALSE),"000000 - Nincs COFOG")</f>
        <v>000000 - Nincs COFOG</v>
      </c>
      <c r="S2531">
        <f t="shared" si="753"/>
        <v>0</v>
      </c>
      <c r="T2531">
        <f t="shared" si="754"/>
        <v>0</v>
      </c>
      <c r="U2531" t="str">
        <f>IF('906MP'!J2231&gt;0,CONCATENATE('906MP'!J2231," - ",'906MP'!P2231,", ",'906MP'!E2231),"nincs megjegyzés")</f>
        <v>nincs megjegyzés</v>
      </c>
      <c r="V2531" t="str">
        <f t="shared" si="741"/>
        <v>0P0</v>
      </c>
      <c r="W2531" t="str">
        <f t="shared" si="742"/>
        <v>0P0</v>
      </c>
      <c r="X2531" t="str">
        <f t="shared" si="743"/>
        <v>P0</v>
      </c>
      <c r="Y2531" t="str">
        <f t="shared" si="744"/>
        <v>00</v>
      </c>
      <c r="Z2531" t="str">
        <f t="shared" si="755"/>
        <v>00</v>
      </c>
      <c r="AA2531" t="str">
        <f t="shared" si="745"/>
        <v>00</v>
      </c>
      <c r="AB2531" t="str">
        <f t="shared" si="746"/>
        <v>00</v>
      </c>
      <c r="AC2531" t="str">
        <f t="shared" si="747"/>
        <v>0P0</v>
      </c>
      <c r="AD2531" t="str">
        <f t="shared" si="748"/>
        <v>P00</v>
      </c>
      <c r="AE2531" t="str">
        <f t="shared" si="749"/>
        <v>0P0</v>
      </c>
      <c r="AF2531" t="str">
        <f t="shared" si="750"/>
        <v>P00</v>
      </c>
      <c r="AG2531" t="str">
        <f t="shared" si="756"/>
        <v>0P00</v>
      </c>
      <c r="AH2531" t="str">
        <f t="shared" si="757"/>
        <v>P000</v>
      </c>
      <c r="AI2531" t="str">
        <f t="shared" si="758"/>
        <v>0P00</v>
      </c>
      <c r="AJ2531" t="str">
        <f t="shared" si="759"/>
        <v>P000</v>
      </c>
    </row>
    <row r="2532" spans="1:36" x14ac:dyDescent="0.25">
      <c r="A2532" s="325" t="str">
        <f>CONCATENATE("P",'906MP'!M2232)</f>
        <v>P</v>
      </c>
      <c r="B2532">
        <f>'906MP'!H2232</f>
        <v>0</v>
      </c>
      <c r="C2532">
        <f>'906MP'!J2232</f>
        <v>0</v>
      </c>
      <c r="D2532">
        <f>'906MP'!P2232</f>
        <v>0</v>
      </c>
      <c r="E2532">
        <f>'906MP'!X2232</f>
        <v>0</v>
      </c>
      <c r="F2532" t="str">
        <f t="shared" si="751"/>
        <v>0</v>
      </c>
      <c r="G2532" t="str">
        <f t="shared" si="752"/>
        <v>0</v>
      </c>
      <c r="H2532">
        <f>'906MP'!Y2232</f>
        <v>0</v>
      </c>
      <c r="I2532">
        <f>'906MP'!AK2232</f>
        <v>0</v>
      </c>
      <c r="J2532">
        <f>'906MP'!T2232</f>
        <v>0</v>
      </c>
      <c r="K2532">
        <f>'906MP'!AJ2232</f>
        <v>0</v>
      </c>
      <c r="L2532">
        <f>'906MP'!U2232</f>
        <v>0</v>
      </c>
      <c r="M2532" s="322" t="str">
        <f>IFERROR(VLOOKUP(A2532,PAR!$D$3:$E$53,2,FALSE),"nincs szervezet")</f>
        <v>nincs szervezet</v>
      </c>
      <c r="N2532" s="322" t="str">
        <f>VLOOKUP(F2532,PAR!$R$3:$S$5,2,FALSE)</f>
        <v>3 - egyik sem</v>
      </c>
      <c r="O2532" t="str">
        <f>IFERROR(VLOOKUP(J2532,PAR!$O$3:$P$5,2,FALSE),"nincs feladat")</f>
        <v>nincs feladat</v>
      </c>
      <c r="P2532" t="str">
        <f>IFERROR(VLOOKUP(G2532,PAR!$J$2:$M$19,4),"nincs rovat")</f>
        <v>nincs rovat</v>
      </c>
      <c r="Q2532" t="str">
        <f>IF(H2532&gt;0,VLOOKUP(H2532,PAR!$AA$3:$AC$187,3,FALSE),"nincs főkönyvi számla")</f>
        <v>nincs főkönyvi számla</v>
      </c>
      <c r="R2532" t="str">
        <f>IFERROR(VLOOKUP(K2532,PAR!$V$3:$X$438,3,FALSE),"000000 - Nincs COFOG")</f>
        <v>000000 - Nincs COFOG</v>
      </c>
      <c r="S2532">
        <f t="shared" si="753"/>
        <v>0</v>
      </c>
      <c r="T2532">
        <f t="shared" si="754"/>
        <v>0</v>
      </c>
      <c r="U2532" t="str">
        <f>IF('906MP'!J2232&gt;0,CONCATENATE('906MP'!J2232," - ",'906MP'!P2232,", ",'906MP'!E2232),"nincs megjegyzés")</f>
        <v>nincs megjegyzés</v>
      </c>
      <c r="V2532" t="str">
        <f t="shared" si="741"/>
        <v>0P0</v>
      </c>
      <c r="W2532" t="str">
        <f t="shared" si="742"/>
        <v>0P0</v>
      </c>
      <c r="X2532" t="str">
        <f t="shared" si="743"/>
        <v>P0</v>
      </c>
      <c r="Y2532" t="str">
        <f t="shared" si="744"/>
        <v>00</v>
      </c>
      <c r="Z2532" t="str">
        <f t="shared" si="755"/>
        <v>00</v>
      </c>
      <c r="AA2532" t="str">
        <f t="shared" si="745"/>
        <v>00</v>
      </c>
      <c r="AB2532" t="str">
        <f t="shared" si="746"/>
        <v>00</v>
      </c>
      <c r="AC2532" t="str">
        <f t="shared" si="747"/>
        <v>0P0</v>
      </c>
      <c r="AD2532" t="str">
        <f t="shared" si="748"/>
        <v>P00</v>
      </c>
      <c r="AE2532" t="str">
        <f t="shared" si="749"/>
        <v>0P0</v>
      </c>
      <c r="AF2532" t="str">
        <f t="shared" si="750"/>
        <v>P00</v>
      </c>
      <c r="AG2532" t="str">
        <f t="shared" si="756"/>
        <v>0P00</v>
      </c>
      <c r="AH2532" t="str">
        <f t="shared" si="757"/>
        <v>P000</v>
      </c>
      <c r="AI2532" t="str">
        <f t="shared" si="758"/>
        <v>0P00</v>
      </c>
      <c r="AJ2532" t="str">
        <f t="shared" si="759"/>
        <v>P000</v>
      </c>
    </row>
    <row r="2533" spans="1:36" x14ac:dyDescent="0.25">
      <c r="A2533" s="325" t="str">
        <f>CONCATENATE("P",'906MP'!M2233)</f>
        <v>P</v>
      </c>
      <c r="B2533">
        <f>'906MP'!H2233</f>
        <v>0</v>
      </c>
      <c r="C2533">
        <f>'906MP'!J2233</f>
        <v>0</v>
      </c>
      <c r="D2533">
        <f>'906MP'!P2233</f>
        <v>0</v>
      </c>
      <c r="E2533">
        <f>'906MP'!X2233</f>
        <v>0</v>
      </c>
      <c r="F2533" t="str">
        <f t="shared" si="751"/>
        <v>0</v>
      </c>
      <c r="G2533" t="str">
        <f t="shared" si="752"/>
        <v>0</v>
      </c>
      <c r="H2533">
        <f>'906MP'!Y2233</f>
        <v>0</v>
      </c>
      <c r="I2533">
        <f>'906MP'!AK2233</f>
        <v>0</v>
      </c>
      <c r="J2533">
        <f>'906MP'!T2233</f>
        <v>0</v>
      </c>
      <c r="K2533">
        <f>'906MP'!AJ2233</f>
        <v>0</v>
      </c>
      <c r="L2533">
        <f>'906MP'!U2233</f>
        <v>0</v>
      </c>
      <c r="M2533" s="322" t="str">
        <f>IFERROR(VLOOKUP(A2533,PAR!$D$3:$E$53,2,FALSE),"nincs szervezet")</f>
        <v>nincs szervezet</v>
      </c>
      <c r="N2533" s="322" t="str">
        <f>VLOOKUP(F2533,PAR!$R$3:$S$5,2,FALSE)</f>
        <v>3 - egyik sem</v>
      </c>
      <c r="O2533" t="str">
        <f>IFERROR(VLOOKUP(J2533,PAR!$O$3:$P$5,2,FALSE),"nincs feladat")</f>
        <v>nincs feladat</v>
      </c>
      <c r="P2533" t="str">
        <f>IFERROR(VLOOKUP(G2533,PAR!$J$2:$M$19,4),"nincs rovat")</f>
        <v>nincs rovat</v>
      </c>
      <c r="Q2533" t="str">
        <f>IF(H2533&gt;0,VLOOKUP(H2533,PAR!$AA$3:$AC$187,3,FALSE),"nincs főkönyvi számla")</f>
        <v>nincs főkönyvi számla</v>
      </c>
      <c r="R2533" t="str">
        <f>IFERROR(VLOOKUP(K2533,PAR!$V$3:$X$438,3,FALSE),"000000 - Nincs COFOG")</f>
        <v>000000 - Nincs COFOG</v>
      </c>
      <c r="S2533">
        <f t="shared" si="753"/>
        <v>0</v>
      </c>
      <c r="T2533">
        <f t="shared" si="754"/>
        <v>0</v>
      </c>
      <c r="U2533" t="str">
        <f>IF('906MP'!J2233&gt;0,CONCATENATE('906MP'!J2233," - ",'906MP'!P2233,", ",'906MP'!E2233),"nincs megjegyzés")</f>
        <v>nincs megjegyzés</v>
      </c>
      <c r="V2533" t="str">
        <f t="shared" si="741"/>
        <v>0P0</v>
      </c>
      <c r="W2533" t="str">
        <f t="shared" si="742"/>
        <v>0P0</v>
      </c>
      <c r="X2533" t="str">
        <f t="shared" si="743"/>
        <v>P0</v>
      </c>
      <c r="Y2533" t="str">
        <f t="shared" si="744"/>
        <v>00</v>
      </c>
      <c r="Z2533" t="str">
        <f t="shared" si="755"/>
        <v>00</v>
      </c>
      <c r="AA2533" t="str">
        <f t="shared" si="745"/>
        <v>00</v>
      </c>
      <c r="AB2533" t="str">
        <f t="shared" si="746"/>
        <v>00</v>
      </c>
      <c r="AC2533" t="str">
        <f t="shared" si="747"/>
        <v>0P0</v>
      </c>
      <c r="AD2533" t="str">
        <f t="shared" si="748"/>
        <v>P00</v>
      </c>
      <c r="AE2533" t="str">
        <f t="shared" si="749"/>
        <v>0P0</v>
      </c>
      <c r="AF2533" t="str">
        <f t="shared" si="750"/>
        <v>P00</v>
      </c>
      <c r="AG2533" t="str">
        <f t="shared" si="756"/>
        <v>0P00</v>
      </c>
      <c r="AH2533" t="str">
        <f t="shared" si="757"/>
        <v>P000</v>
      </c>
      <c r="AI2533" t="str">
        <f t="shared" si="758"/>
        <v>0P00</v>
      </c>
      <c r="AJ2533" t="str">
        <f t="shared" si="759"/>
        <v>P000</v>
      </c>
    </row>
    <row r="2534" spans="1:36" x14ac:dyDescent="0.25">
      <c r="A2534" s="325" t="str">
        <f>CONCATENATE("P",'906MP'!M2234)</f>
        <v>P</v>
      </c>
      <c r="B2534">
        <f>'906MP'!H2234</f>
        <v>0</v>
      </c>
      <c r="C2534">
        <f>'906MP'!J2234</f>
        <v>0</v>
      </c>
      <c r="D2534">
        <f>'906MP'!P2234</f>
        <v>0</v>
      </c>
      <c r="E2534">
        <f>'906MP'!X2234</f>
        <v>0</v>
      </c>
      <c r="F2534" t="str">
        <f t="shared" si="751"/>
        <v>0</v>
      </c>
      <c r="G2534" t="str">
        <f t="shared" si="752"/>
        <v>0</v>
      </c>
      <c r="H2534">
        <f>'906MP'!Y2234</f>
        <v>0</v>
      </c>
      <c r="I2534">
        <f>'906MP'!AK2234</f>
        <v>0</v>
      </c>
      <c r="J2534">
        <f>'906MP'!T2234</f>
        <v>0</v>
      </c>
      <c r="K2534">
        <f>'906MP'!AJ2234</f>
        <v>0</v>
      </c>
      <c r="L2534">
        <f>'906MP'!U2234</f>
        <v>0</v>
      </c>
      <c r="M2534" s="322" t="str">
        <f>IFERROR(VLOOKUP(A2534,PAR!$D$3:$E$53,2,FALSE),"nincs szervezet")</f>
        <v>nincs szervezet</v>
      </c>
      <c r="N2534" s="322" t="str">
        <f>VLOOKUP(F2534,PAR!$R$3:$S$5,2,FALSE)</f>
        <v>3 - egyik sem</v>
      </c>
      <c r="O2534" t="str">
        <f>IFERROR(VLOOKUP(J2534,PAR!$O$3:$P$5,2,FALSE),"nincs feladat")</f>
        <v>nincs feladat</v>
      </c>
      <c r="P2534" t="str">
        <f>IFERROR(VLOOKUP(G2534,PAR!$J$2:$M$19,4),"nincs rovat")</f>
        <v>nincs rovat</v>
      </c>
      <c r="Q2534" t="str">
        <f>IF(H2534&gt;0,VLOOKUP(H2534,PAR!$AA$3:$AC$187,3,FALSE),"nincs főkönyvi számla")</f>
        <v>nincs főkönyvi számla</v>
      </c>
      <c r="R2534" t="str">
        <f>IFERROR(VLOOKUP(K2534,PAR!$V$3:$X$438,3,FALSE),"000000 - Nincs COFOG")</f>
        <v>000000 - Nincs COFOG</v>
      </c>
      <c r="S2534">
        <f t="shared" si="753"/>
        <v>0</v>
      </c>
      <c r="T2534">
        <f t="shared" si="754"/>
        <v>0</v>
      </c>
      <c r="U2534" t="str">
        <f>IF('906MP'!J2234&gt;0,CONCATENATE('906MP'!J2234," - ",'906MP'!P2234,", ",'906MP'!E2234),"nincs megjegyzés")</f>
        <v>nincs megjegyzés</v>
      </c>
      <c r="V2534" t="str">
        <f t="shared" si="741"/>
        <v>0P0</v>
      </c>
      <c r="W2534" t="str">
        <f t="shared" si="742"/>
        <v>0P0</v>
      </c>
      <c r="X2534" t="str">
        <f t="shared" si="743"/>
        <v>P0</v>
      </c>
      <c r="Y2534" t="str">
        <f t="shared" si="744"/>
        <v>00</v>
      </c>
      <c r="Z2534" t="str">
        <f t="shared" si="755"/>
        <v>00</v>
      </c>
      <c r="AA2534" t="str">
        <f t="shared" si="745"/>
        <v>00</v>
      </c>
      <c r="AB2534" t="str">
        <f t="shared" si="746"/>
        <v>00</v>
      </c>
      <c r="AC2534" t="str">
        <f t="shared" si="747"/>
        <v>0P0</v>
      </c>
      <c r="AD2534" t="str">
        <f t="shared" si="748"/>
        <v>P00</v>
      </c>
      <c r="AE2534" t="str">
        <f t="shared" si="749"/>
        <v>0P0</v>
      </c>
      <c r="AF2534" t="str">
        <f t="shared" si="750"/>
        <v>P00</v>
      </c>
      <c r="AG2534" t="str">
        <f t="shared" si="756"/>
        <v>0P00</v>
      </c>
      <c r="AH2534" t="str">
        <f t="shared" si="757"/>
        <v>P000</v>
      </c>
      <c r="AI2534" t="str">
        <f t="shared" si="758"/>
        <v>0P00</v>
      </c>
      <c r="AJ2534" t="str">
        <f t="shared" si="759"/>
        <v>P000</v>
      </c>
    </row>
    <row r="2535" spans="1:36" x14ac:dyDescent="0.25">
      <c r="A2535" s="325" t="str">
        <f>CONCATENATE("P",'906MP'!M2235)</f>
        <v>P</v>
      </c>
      <c r="B2535">
        <f>'906MP'!H2235</f>
        <v>0</v>
      </c>
      <c r="C2535">
        <f>'906MP'!J2235</f>
        <v>0</v>
      </c>
      <c r="D2535">
        <f>'906MP'!P2235</f>
        <v>0</v>
      </c>
      <c r="E2535">
        <f>'906MP'!X2235</f>
        <v>0</v>
      </c>
      <c r="F2535" t="str">
        <f t="shared" si="751"/>
        <v>0</v>
      </c>
      <c r="G2535" t="str">
        <f t="shared" si="752"/>
        <v>0</v>
      </c>
      <c r="H2535">
        <f>'906MP'!Y2235</f>
        <v>0</v>
      </c>
      <c r="I2535">
        <f>'906MP'!AK2235</f>
        <v>0</v>
      </c>
      <c r="J2535">
        <f>'906MP'!T2235</f>
        <v>0</v>
      </c>
      <c r="K2535">
        <f>'906MP'!AJ2235</f>
        <v>0</v>
      </c>
      <c r="L2535">
        <f>'906MP'!U2235</f>
        <v>0</v>
      </c>
      <c r="M2535" s="322" t="str">
        <f>IFERROR(VLOOKUP(A2535,PAR!$D$3:$E$53,2,FALSE),"nincs szervezet")</f>
        <v>nincs szervezet</v>
      </c>
      <c r="N2535" s="322" t="str">
        <f>VLOOKUP(F2535,PAR!$R$3:$S$5,2,FALSE)</f>
        <v>3 - egyik sem</v>
      </c>
      <c r="O2535" t="str">
        <f>IFERROR(VLOOKUP(J2535,PAR!$O$3:$P$5,2,FALSE),"nincs feladat")</f>
        <v>nincs feladat</v>
      </c>
      <c r="P2535" t="str">
        <f>IFERROR(VLOOKUP(G2535,PAR!$J$2:$M$19,4),"nincs rovat")</f>
        <v>nincs rovat</v>
      </c>
      <c r="Q2535" t="str">
        <f>IF(H2535&gt;0,VLOOKUP(H2535,PAR!$AA$3:$AC$187,3,FALSE),"nincs főkönyvi számla")</f>
        <v>nincs főkönyvi számla</v>
      </c>
      <c r="R2535" t="str">
        <f>IFERROR(VLOOKUP(K2535,PAR!$V$3:$X$438,3,FALSE),"000000 - Nincs COFOG")</f>
        <v>000000 - Nincs COFOG</v>
      </c>
      <c r="S2535">
        <f t="shared" si="753"/>
        <v>0</v>
      </c>
      <c r="T2535">
        <f t="shared" si="754"/>
        <v>0</v>
      </c>
      <c r="U2535" t="str">
        <f>IF('906MP'!J2235&gt;0,CONCATENATE('906MP'!J2235," - ",'906MP'!P2235,", ",'906MP'!E2235),"nincs megjegyzés")</f>
        <v>nincs megjegyzés</v>
      </c>
      <c r="V2535" t="str">
        <f t="shared" si="741"/>
        <v>0P0</v>
      </c>
      <c r="W2535" t="str">
        <f t="shared" si="742"/>
        <v>0P0</v>
      </c>
      <c r="X2535" t="str">
        <f t="shared" si="743"/>
        <v>P0</v>
      </c>
      <c r="Y2535" t="str">
        <f t="shared" si="744"/>
        <v>00</v>
      </c>
      <c r="Z2535" t="str">
        <f t="shared" si="755"/>
        <v>00</v>
      </c>
      <c r="AA2535" t="str">
        <f t="shared" si="745"/>
        <v>00</v>
      </c>
      <c r="AB2535" t="str">
        <f t="shared" si="746"/>
        <v>00</v>
      </c>
      <c r="AC2535" t="str">
        <f t="shared" si="747"/>
        <v>0P0</v>
      </c>
      <c r="AD2535" t="str">
        <f t="shared" si="748"/>
        <v>P00</v>
      </c>
      <c r="AE2535" t="str">
        <f t="shared" si="749"/>
        <v>0P0</v>
      </c>
      <c r="AF2535" t="str">
        <f t="shared" si="750"/>
        <v>P00</v>
      </c>
      <c r="AG2535" t="str">
        <f t="shared" si="756"/>
        <v>0P00</v>
      </c>
      <c r="AH2535" t="str">
        <f t="shared" si="757"/>
        <v>P000</v>
      </c>
      <c r="AI2535" t="str">
        <f t="shared" si="758"/>
        <v>0P00</v>
      </c>
      <c r="AJ2535" t="str">
        <f t="shared" si="759"/>
        <v>P000</v>
      </c>
    </row>
    <row r="2536" spans="1:36" x14ac:dyDescent="0.25">
      <c r="A2536" s="325" t="str">
        <f>CONCATENATE("P",'906MP'!M2236)</f>
        <v>P</v>
      </c>
      <c r="B2536">
        <f>'906MP'!H2236</f>
        <v>0</v>
      </c>
      <c r="C2536">
        <f>'906MP'!J2236</f>
        <v>0</v>
      </c>
      <c r="D2536">
        <f>'906MP'!P2236</f>
        <v>0</v>
      </c>
      <c r="E2536">
        <f>'906MP'!X2236</f>
        <v>0</v>
      </c>
      <c r="F2536" t="str">
        <f t="shared" si="751"/>
        <v>0</v>
      </c>
      <c r="G2536" t="str">
        <f t="shared" si="752"/>
        <v>0</v>
      </c>
      <c r="H2536">
        <f>'906MP'!Y2236</f>
        <v>0</v>
      </c>
      <c r="I2536">
        <f>'906MP'!AK2236</f>
        <v>0</v>
      </c>
      <c r="J2536">
        <f>'906MP'!T2236</f>
        <v>0</v>
      </c>
      <c r="K2536">
        <f>'906MP'!AJ2236</f>
        <v>0</v>
      </c>
      <c r="L2536">
        <f>'906MP'!U2236</f>
        <v>0</v>
      </c>
      <c r="M2536" s="322" t="str">
        <f>IFERROR(VLOOKUP(A2536,PAR!$D$3:$E$53,2,FALSE),"nincs szervezet")</f>
        <v>nincs szervezet</v>
      </c>
      <c r="N2536" s="322" t="str">
        <f>VLOOKUP(F2536,PAR!$R$3:$S$5,2,FALSE)</f>
        <v>3 - egyik sem</v>
      </c>
      <c r="O2536" t="str">
        <f>IFERROR(VLOOKUP(J2536,PAR!$O$3:$P$5,2,FALSE),"nincs feladat")</f>
        <v>nincs feladat</v>
      </c>
      <c r="P2536" t="str">
        <f>IFERROR(VLOOKUP(G2536,PAR!$J$2:$M$19,4),"nincs rovat")</f>
        <v>nincs rovat</v>
      </c>
      <c r="Q2536" t="str">
        <f>IF(H2536&gt;0,VLOOKUP(H2536,PAR!$AA$3:$AC$187,3,FALSE),"nincs főkönyvi számla")</f>
        <v>nincs főkönyvi számla</v>
      </c>
      <c r="R2536" t="str">
        <f>IFERROR(VLOOKUP(K2536,PAR!$V$3:$X$438,3,FALSE),"000000 - Nincs COFOG")</f>
        <v>000000 - Nincs COFOG</v>
      </c>
      <c r="S2536">
        <f t="shared" si="753"/>
        <v>0</v>
      </c>
      <c r="T2536">
        <f t="shared" si="754"/>
        <v>0</v>
      </c>
      <c r="U2536" t="str">
        <f>IF('906MP'!J2236&gt;0,CONCATENATE('906MP'!J2236," - ",'906MP'!P2236,", ",'906MP'!E2236),"nincs megjegyzés")</f>
        <v>nincs megjegyzés</v>
      </c>
      <c r="V2536" t="str">
        <f t="shared" si="741"/>
        <v>0P0</v>
      </c>
      <c r="W2536" t="str">
        <f t="shared" si="742"/>
        <v>0P0</v>
      </c>
      <c r="X2536" t="str">
        <f t="shared" si="743"/>
        <v>P0</v>
      </c>
      <c r="Y2536" t="str">
        <f t="shared" si="744"/>
        <v>00</v>
      </c>
      <c r="Z2536" t="str">
        <f t="shared" si="755"/>
        <v>00</v>
      </c>
      <c r="AA2536" t="str">
        <f t="shared" si="745"/>
        <v>00</v>
      </c>
      <c r="AB2536" t="str">
        <f t="shared" si="746"/>
        <v>00</v>
      </c>
      <c r="AC2536" t="str">
        <f t="shared" si="747"/>
        <v>0P0</v>
      </c>
      <c r="AD2536" t="str">
        <f t="shared" si="748"/>
        <v>P00</v>
      </c>
      <c r="AE2536" t="str">
        <f t="shared" si="749"/>
        <v>0P0</v>
      </c>
      <c r="AF2536" t="str">
        <f t="shared" si="750"/>
        <v>P00</v>
      </c>
      <c r="AG2536" t="str">
        <f t="shared" si="756"/>
        <v>0P00</v>
      </c>
      <c r="AH2536" t="str">
        <f t="shared" si="757"/>
        <v>P000</v>
      </c>
      <c r="AI2536" t="str">
        <f t="shared" si="758"/>
        <v>0P00</v>
      </c>
      <c r="AJ2536" t="str">
        <f t="shared" si="759"/>
        <v>P000</v>
      </c>
    </row>
    <row r="2537" spans="1:36" x14ac:dyDescent="0.25">
      <c r="A2537" s="325" t="str">
        <f>CONCATENATE("P",'906MP'!M2237)</f>
        <v>P</v>
      </c>
      <c r="B2537">
        <f>'906MP'!H2237</f>
        <v>0</v>
      </c>
      <c r="C2537">
        <f>'906MP'!J2237</f>
        <v>0</v>
      </c>
      <c r="D2537">
        <f>'906MP'!P2237</f>
        <v>0</v>
      </c>
      <c r="E2537">
        <f>'906MP'!X2237</f>
        <v>0</v>
      </c>
      <c r="F2537" t="str">
        <f t="shared" si="751"/>
        <v>0</v>
      </c>
      <c r="G2537" t="str">
        <f t="shared" si="752"/>
        <v>0</v>
      </c>
      <c r="H2537">
        <f>'906MP'!Y2237</f>
        <v>0</v>
      </c>
      <c r="I2537">
        <f>'906MP'!AK2237</f>
        <v>0</v>
      </c>
      <c r="J2537">
        <f>'906MP'!T2237</f>
        <v>0</v>
      </c>
      <c r="K2537">
        <f>'906MP'!AJ2237</f>
        <v>0</v>
      </c>
      <c r="L2537">
        <f>'906MP'!U2237</f>
        <v>0</v>
      </c>
      <c r="M2537" s="322" t="str">
        <f>IFERROR(VLOOKUP(A2537,PAR!$D$3:$E$53,2,FALSE),"nincs szervezet")</f>
        <v>nincs szervezet</v>
      </c>
      <c r="N2537" s="322" t="str">
        <f>VLOOKUP(F2537,PAR!$R$3:$S$5,2,FALSE)</f>
        <v>3 - egyik sem</v>
      </c>
      <c r="O2537" t="str">
        <f>IFERROR(VLOOKUP(J2537,PAR!$O$3:$P$5,2,FALSE),"nincs feladat")</f>
        <v>nincs feladat</v>
      </c>
      <c r="P2537" t="str">
        <f>IFERROR(VLOOKUP(G2537,PAR!$J$2:$M$19,4),"nincs rovat")</f>
        <v>nincs rovat</v>
      </c>
      <c r="Q2537" t="str">
        <f>IF(H2537&gt;0,VLOOKUP(H2537,PAR!$AA$3:$AC$187,3,FALSE),"nincs főkönyvi számla")</f>
        <v>nincs főkönyvi számla</v>
      </c>
      <c r="R2537" t="str">
        <f>IFERROR(VLOOKUP(K2537,PAR!$V$3:$X$438,3,FALSE),"000000 - Nincs COFOG")</f>
        <v>000000 - Nincs COFOG</v>
      </c>
      <c r="S2537">
        <f t="shared" si="753"/>
        <v>0</v>
      </c>
      <c r="T2537">
        <f t="shared" si="754"/>
        <v>0</v>
      </c>
      <c r="U2537" t="str">
        <f>IF('906MP'!J2237&gt;0,CONCATENATE('906MP'!J2237," - ",'906MP'!P2237,", ",'906MP'!E2237),"nincs megjegyzés")</f>
        <v>nincs megjegyzés</v>
      </c>
      <c r="V2537" t="str">
        <f t="shared" si="741"/>
        <v>0P0</v>
      </c>
      <c r="W2537" t="str">
        <f t="shared" si="742"/>
        <v>0P0</v>
      </c>
      <c r="X2537" t="str">
        <f t="shared" si="743"/>
        <v>P0</v>
      </c>
      <c r="Y2537" t="str">
        <f t="shared" si="744"/>
        <v>00</v>
      </c>
      <c r="Z2537" t="str">
        <f t="shared" si="755"/>
        <v>00</v>
      </c>
      <c r="AA2537" t="str">
        <f t="shared" si="745"/>
        <v>00</v>
      </c>
      <c r="AB2537" t="str">
        <f t="shared" si="746"/>
        <v>00</v>
      </c>
      <c r="AC2537" t="str">
        <f t="shared" si="747"/>
        <v>0P0</v>
      </c>
      <c r="AD2537" t="str">
        <f t="shared" si="748"/>
        <v>P00</v>
      </c>
      <c r="AE2537" t="str">
        <f t="shared" si="749"/>
        <v>0P0</v>
      </c>
      <c r="AF2537" t="str">
        <f t="shared" si="750"/>
        <v>P00</v>
      </c>
      <c r="AG2537" t="str">
        <f t="shared" si="756"/>
        <v>0P00</v>
      </c>
      <c r="AH2537" t="str">
        <f t="shared" si="757"/>
        <v>P000</v>
      </c>
      <c r="AI2537" t="str">
        <f t="shared" si="758"/>
        <v>0P00</v>
      </c>
      <c r="AJ2537" t="str">
        <f t="shared" si="759"/>
        <v>P000</v>
      </c>
    </row>
    <row r="2538" spans="1:36" x14ac:dyDescent="0.25">
      <c r="A2538" s="325" t="str">
        <f>CONCATENATE("P",'906MP'!M2238)</f>
        <v>P</v>
      </c>
      <c r="B2538">
        <f>'906MP'!H2238</f>
        <v>0</v>
      </c>
      <c r="C2538">
        <f>'906MP'!J2238</f>
        <v>0</v>
      </c>
      <c r="D2538">
        <f>'906MP'!P2238</f>
        <v>0</v>
      </c>
      <c r="E2538">
        <f>'906MP'!X2238</f>
        <v>0</v>
      </c>
      <c r="F2538" t="str">
        <f t="shared" si="751"/>
        <v>0</v>
      </c>
      <c r="G2538" t="str">
        <f t="shared" si="752"/>
        <v>0</v>
      </c>
      <c r="H2538">
        <f>'906MP'!Y2238</f>
        <v>0</v>
      </c>
      <c r="I2538">
        <f>'906MP'!AK2238</f>
        <v>0</v>
      </c>
      <c r="J2538">
        <f>'906MP'!T2238</f>
        <v>0</v>
      </c>
      <c r="K2538">
        <f>'906MP'!AJ2238</f>
        <v>0</v>
      </c>
      <c r="L2538">
        <f>'906MP'!U2238</f>
        <v>0</v>
      </c>
      <c r="M2538" s="322" t="str">
        <f>IFERROR(VLOOKUP(A2538,PAR!$D$3:$E$53,2,FALSE),"nincs szervezet")</f>
        <v>nincs szervezet</v>
      </c>
      <c r="N2538" s="322" t="str">
        <f>VLOOKUP(F2538,PAR!$R$3:$S$5,2,FALSE)</f>
        <v>3 - egyik sem</v>
      </c>
      <c r="O2538" t="str">
        <f>IFERROR(VLOOKUP(J2538,PAR!$O$3:$P$5,2,FALSE),"nincs feladat")</f>
        <v>nincs feladat</v>
      </c>
      <c r="P2538" t="str">
        <f>IFERROR(VLOOKUP(G2538,PAR!$J$2:$M$19,4),"nincs rovat")</f>
        <v>nincs rovat</v>
      </c>
      <c r="Q2538" t="str">
        <f>IF(H2538&gt;0,VLOOKUP(H2538,PAR!$AA$3:$AC$187,3,FALSE),"nincs főkönyvi számla")</f>
        <v>nincs főkönyvi számla</v>
      </c>
      <c r="R2538" t="str">
        <f>IFERROR(VLOOKUP(K2538,PAR!$V$3:$X$438,3,FALSE),"000000 - Nincs COFOG")</f>
        <v>000000 - Nincs COFOG</v>
      </c>
      <c r="S2538">
        <f t="shared" si="753"/>
        <v>0</v>
      </c>
      <c r="T2538">
        <f t="shared" si="754"/>
        <v>0</v>
      </c>
      <c r="U2538" t="str">
        <f>IF('906MP'!J2238&gt;0,CONCATENATE('906MP'!J2238," - ",'906MP'!P2238,", ",'906MP'!E2238),"nincs megjegyzés")</f>
        <v>nincs megjegyzés</v>
      </c>
      <c r="V2538" t="str">
        <f t="shared" si="741"/>
        <v>0P0</v>
      </c>
      <c r="W2538" t="str">
        <f t="shared" si="742"/>
        <v>0P0</v>
      </c>
      <c r="X2538" t="str">
        <f t="shared" si="743"/>
        <v>P0</v>
      </c>
      <c r="Y2538" t="str">
        <f t="shared" si="744"/>
        <v>00</v>
      </c>
      <c r="Z2538" t="str">
        <f t="shared" si="755"/>
        <v>00</v>
      </c>
      <c r="AA2538" t="str">
        <f t="shared" si="745"/>
        <v>00</v>
      </c>
      <c r="AB2538" t="str">
        <f t="shared" si="746"/>
        <v>00</v>
      </c>
      <c r="AC2538" t="str">
        <f t="shared" si="747"/>
        <v>0P0</v>
      </c>
      <c r="AD2538" t="str">
        <f t="shared" si="748"/>
        <v>P00</v>
      </c>
      <c r="AE2538" t="str">
        <f t="shared" si="749"/>
        <v>0P0</v>
      </c>
      <c r="AF2538" t="str">
        <f t="shared" si="750"/>
        <v>P00</v>
      </c>
      <c r="AG2538" t="str">
        <f t="shared" si="756"/>
        <v>0P00</v>
      </c>
      <c r="AH2538" t="str">
        <f t="shared" si="757"/>
        <v>P000</v>
      </c>
      <c r="AI2538" t="str">
        <f t="shared" si="758"/>
        <v>0P00</v>
      </c>
      <c r="AJ2538" t="str">
        <f t="shared" si="759"/>
        <v>P000</v>
      </c>
    </row>
    <row r="2539" spans="1:36" x14ac:dyDescent="0.25">
      <c r="A2539" s="325" t="str">
        <f>CONCATENATE("P",'906MP'!M2239)</f>
        <v>P</v>
      </c>
      <c r="B2539">
        <f>'906MP'!H2239</f>
        <v>0</v>
      </c>
      <c r="C2539">
        <f>'906MP'!J2239</f>
        <v>0</v>
      </c>
      <c r="D2539">
        <f>'906MP'!P2239</f>
        <v>0</v>
      </c>
      <c r="E2539">
        <f>'906MP'!X2239</f>
        <v>0</v>
      </c>
      <c r="F2539" t="str">
        <f t="shared" si="751"/>
        <v>0</v>
      </c>
      <c r="G2539" t="str">
        <f t="shared" si="752"/>
        <v>0</v>
      </c>
      <c r="H2539">
        <f>'906MP'!Y2239</f>
        <v>0</v>
      </c>
      <c r="I2539">
        <f>'906MP'!AK2239</f>
        <v>0</v>
      </c>
      <c r="J2539">
        <f>'906MP'!T2239</f>
        <v>0</v>
      </c>
      <c r="K2539">
        <f>'906MP'!AJ2239</f>
        <v>0</v>
      </c>
      <c r="L2539">
        <f>'906MP'!U2239</f>
        <v>0</v>
      </c>
      <c r="M2539" s="322" t="str">
        <f>IFERROR(VLOOKUP(A2539,PAR!$D$3:$E$53,2,FALSE),"nincs szervezet")</f>
        <v>nincs szervezet</v>
      </c>
      <c r="N2539" s="322" t="str">
        <f>VLOOKUP(F2539,PAR!$R$3:$S$5,2,FALSE)</f>
        <v>3 - egyik sem</v>
      </c>
      <c r="O2539" t="str">
        <f>IFERROR(VLOOKUP(J2539,PAR!$O$3:$P$5,2,FALSE),"nincs feladat")</f>
        <v>nincs feladat</v>
      </c>
      <c r="P2539" t="str">
        <f>IFERROR(VLOOKUP(G2539,PAR!$J$2:$M$19,4),"nincs rovat")</f>
        <v>nincs rovat</v>
      </c>
      <c r="Q2539" t="str">
        <f>IF(H2539&gt;0,VLOOKUP(H2539,PAR!$AA$3:$AC$187,3,FALSE),"nincs főkönyvi számla")</f>
        <v>nincs főkönyvi számla</v>
      </c>
      <c r="R2539" t="str">
        <f>IFERROR(VLOOKUP(K2539,PAR!$V$3:$X$438,3,FALSE),"000000 - Nincs COFOG")</f>
        <v>000000 - Nincs COFOG</v>
      </c>
      <c r="S2539">
        <f t="shared" si="753"/>
        <v>0</v>
      </c>
      <c r="T2539">
        <f t="shared" si="754"/>
        <v>0</v>
      </c>
      <c r="U2539" t="str">
        <f>IF('906MP'!J2239&gt;0,CONCATENATE('906MP'!J2239," - ",'906MP'!P2239,", ",'906MP'!E2239),"nincs megjegyzés")</f>
        <v>nincs megjegyzés</v>
      </c>
      <c r="V2539" t="str">
        <f t="shared" si="741"/>
        <v>0P0</v>
      </c>
      <c r="W2539" t="str">
        <f t="shared" si="742"/>
        <v>0P0</v>
      </c>
      <c r="X2539" t="str">
        <f t="shared" si="743"/>
        <v>P0</v>
      </c>
      <c r="Y2539" t="str">
        <f t="shared" si="744"/>
        <v>00</v>
      </c>
      <c r="Z2539" t="str">
        <f t="shared" si="755"/>
        <v>00</v>
      </c>
      <c r="AA2539" t="str">
        <f t="shared" si="745"/>
        <v>00</v>
      </c>
      <c r="AB2539" t="str">
        <f t="shared" si="746"/>
        <v>00</v>
      </c>
      <c r="AC2539" t="str">
        <f t="shared" si="747"/>
        <v>0P0</v>
      </c>
      <c r="AD2539" t="str">
        <f t="shared" si="748"/>
        <v>P00</v>
      </c>
      <c r="AE2539" t="str">
        <f t="shared" si="749"/>
        <v>0P0</v>
      </c>
      <c r="AF2539" t="str">
        <f t="shared" si="750"/>
        <v>P00</v>
      </c>
      <c r="AG2539" t="str">
        <f t="shared" si="756"/>
        <v>0P00</v>
      </c>
      <c r="AH2539" t="str">
        <f t="shared" si="757"/>
        <v>P000</v>
      </c>
      <c r="AI2539" t="str">
        <f t="shared" si="758"/>
        <v>0P00</v>
      </c>
      <c r="AJ2539" t="str">
        <f t="shared" si="759"/>
        <v>P000</v>
      </c>
    </row>
    <row r="2540" spans="1:36" x14ac:dyDescent="0.25">
      <c r="A2540" s="325" t="str">
        <f>CONCATENATE("P",'906MP'!M2240)</f>
        <v>P</v>
      </c>
      <c r="B2540">
        <f>'906MP'!H2240</f>
        <v>0</v>
      </c>
      <c r="C2540">
        <f>'906MP'!J2240</f>
        <v>0</v>
      </c>
      <c r="D2540">
        <f>'906MP'!P2240</f>
        <v>0</v>
      </c>
      <c r="E2540">
        <f>'906MP'!X2240</f>
        <v>0</v>
      </c>
      <c r="F2540" t="str">
        <f t="shared" si="751"/>
        <v>0</v>
      </c>
      <c r="G2540" t="str">
        <f t="shared" si="752"/>
        <v>0</v>
      </c>
      <c r="H2540">
        <f>'906MP'!Y2240</f>
        <v>0</v>
      </c>
      <c r="I2540">
        <f>'906MP'!AK2240</f>
        <v>0</v>
      </c>
      <c r="J2540">
        <f>'906MP'!T2240</f>
        <v>0</v>
      </c>
      <c r="K2540">
        <f>'906MP'!AJ2240</f>
        <v>0</v>
      </c>
      <c r="L2540">
        <f>'906MP'!U2240</f>
        <v>0</v>
      </c>
      <c r="M2540" s="322" t="str">
        <f>IFERROR(VLOOKUP(A2540,PAR!$D$3:$E$53,2,FALSE),"nincs szervezet")</f>
        <v>nincs szervezet</v>
      </c>
      <c r="N2540" s="322" t="str">
        <f>VLOOKUP(F2540,PAR!$R$3:$S$5,2,FALSE)</f>
        <v>3 - egyik sem</v>
      </c>
      <c r="O2540" t="str">
        <f>IFERROR(VLOOKUP(J2540,PAR!$O$3:$P$5,2,FALSE),"nincs feladat")</f>
        <v>nincs feladat</v>
      </c>
      <c r="P2540" t="str">
        <f>IFERROR(VLOOKUP(G2540,PAR!$J$2:$M$19,4),"nincs rovat")</f>
        <v>nincs rovat</v>
      </c>
      <c r="Q2540" t="str">
        <f>IF(H2540&gt;0,VLOOKUP(H2540,PAR!$AA$3:$AC$187,3,FALSE),"nincs főkönyvi számla")</f>
        <v>nincs főkönyvi számla</v>
      </c>
      <c r="R2540" t="str">
        <f>IFERROR(VLOOKUP(K2540,PAR!$V$3:$X$438,3,FALSE),"000000 - Nincs COFOG")</f>
        <v>000000 - Nincs COFOG</v>
      </c>
      <c r="S2540">
        <f t="shared" si="753"/>
        <v>0</v>
      </c>
      <c r="T2540">
        <f t="shared" si="754"/>
        <v>0</v>
      </c>
      <c r="U2540" t="str">
        <f>IF('906MP'!J2240&gt;0,CONCATENATE('906MP'!J2240," - ",'906MP'!P2240,", ",'906MP'!E2240),"nincs megjegyzés")</f>
        <v>nincs megjegyzés</v>
      </c>
      <c r="V2540" t="str">
        <f t="shared" si="741"/>
        <v>0P0</v>
      </c>
      <c r="W2540" t="str">
        <f t="shared" si="742"/>
        <v>0P0</v>
      </c>
      <c r="X2540" t="str">
        <f t="shared" si="743"/>
        <v>P0</v>
      </c>
      <c r="Y2540" t="str">
        <f t="shared" si="744"/>
        <v>00</v>
      </c>
      <c r="Z2540" t="str">
        <f t="shared" si="755"/>
        <v>00</v>
      </c>
      <c r="AA2540" t="str">
        <f t="shared" si="745"/>
        <v>00</v>
      </c>
      <c r="AB2540" t="str">
        <f t="shared" si="746"/>
        <v>00</v>
      </c>
      <c r="AC2540" t="str">
        <f t="shared" si="747"/>
        <v>0P0</v>
      </c>
      <c r="AD2540" t="str">
        <f t="shared" si="748"/>
        <v>P00</v>
      </c>
      <c r="AE2540" t="str">
        <f t="shared" si="749"/>
        <v>0P0</v>
      </c>
      <c r="AF2540" t="str">
        <f t="shared" si="750"/>
        <v>P00</v>
      </c>
      <c r="AG2540" t="str">
        <f t="shared" si="756"/>
        <v>0P00</v>
      </c>
      <c r="AH2540" t="str">
        <f t="shared" si="757"/>
        <v>P000</v>
      </c>
      <c r="AI2540" t="str">
        <f t="shared" si="758"/>
        <v>0P00</v>
      </c>
      <c r="AJ2540" t="str">
        <f t="shared" si="759"/>
        <v>P000</v>
      </c>
    </row>
    <row r="2541" spans="1:36" x14ac:dyDescent="0.25">
      <c r="A2541" s="325" t="str">
        <f>CONCATENATE("P",'906MP'!M2241)</f>
        <v>P</v>
      </c>
      <c r="B2541">
        <f>'906MP'!H2241</f>
        <v>0</v>
      </c>
      <c r="C2541">
        <f>'906MP'!J2241</f>
        <v>0</v>
      </c>
      <c r="D2541">
        <f>'906MP'!P2241</f>
        <v>0</v>
      </c>
      <c r="E2541">
        <f>'906MP'!X2241</f>
        <v>0</v>
      </c>
      <c r="F2541" t="str">
        <f t="shared" si="751"/>
        <v>0</v>
      </c>
      <c r="G2541" t="str">
        <f t="shared" si="752"/>
        <v>0</v>
      </c>
      <c r="H2541">
        <f>'906MP'!Y2241</f>
        <v>0</v>
      </c>
      <c r="I2541">
        <f>'906MP'!AK2241</f>
        <v>0</v>
      </c>
      <c r="J2541">
        <f>'906MP'!T2241</f>
        <v>0</v>
      </c>
      <c r="K2541">
        <f>'906MP'!AJ2241</f>
        <v>0</v>
      </c>
      <c r="L2541">
        <f>'906MP'!U2241</f>
        <v>0</v>
      </c>
      <c r="M2541" s="322" t="str">
        <f>IFERROR(VLOOKUP(A2541,PAR!$D$3:$E$53,2,FALSE),"nincs szervezet")</f>
        <v>nincs szervezet</v>
      </c>
      <c r="N2541" s="322" t="str">
        <f>VLOOKUP(F2541,PAR!$R$3:$S$5,2,FALSE)</f>
        <v>3 - egyik sem</v>
      </c>
      <c r="O2541" t="str">
        <f>IFERROR(VLOOKUP(J2541,PAR!$O$3:$P$5,2,FALSE),"nincs feladat")</f>
        <v>nincs feladat</v>
      </c>
      <c r="P2541" t="str">
        <f>IFERROR(VLOOKUP(G2541,PAR!$J$2:$M$19,4),"nincs rovat")</f>
        <v>nincs rovat</v>
      </c>
      <c r="Q2541" t="str">
        <f>IF(H2541&gt;0,VLOOKUP(H2541,PAR!$AA$3:$AC$187,3,FALSE),"nincs főkönyvi számla")</f>
        <v>nincs főkönyvi számla</v>
      </c>
      <c r="R2541" t="str">
        <f>IFERROR(VLOOKUP(K2541,PAR!$V$3:$X$438,3,FALSE),"000000 - Nincs COFOG")</f>
        <v>000000 - Nincs COFOG</v>
      </c>
      <c r="S2541">
        <f t="shared" si="753"/>
        <v>0</v>
      </c>
      <c r="T2541">
        <f t="shared" si="754"/>
        <v>0</v>
      </c>
      <c r="U2541" t="str">
        <f>IF('906MP'!J2241&gt;0,CONCATENATE('906MP'!J2241," - ",'906MP'!P2241,", ",'906MP'!E2241),"nincs megjegyzés")</f>
        <v>nincs megjegyzés</v>
      </c>
      <c r="V2541" t="str">
        <f t="shared" si="741"/>
        <v>0P0</v>
      </c>
      <c r="W2541" t="str">
        <f t="shared" si="742"/>
        <v>0P0</v>
      </c>
      <c r="X2541" t="str">
        <f t="shared" si="743"/>
        <v>P0</v>
      </c>
      <c r="Y2541" t="str">
        <f t="shared" si="744"/>
        <v>00</v>
      </c>
      <c r="Z2541" t="str">
        <f t="shared" si="755"/>
        <v>00</v>
      </c>
      <c r="AA2541" t="str">
        <f t="shared" si="745"/>
        <v>00</v>
      </c>
      <c r="AB2541" t="str">
        <f t="shared" si="746"/>
        <v>00</v>
      </c>
      <c r="AC2541" t="str">
        <f t="shared" si="747"/>
        <v>0P0</v>
      </c>
      <c r="AD2541" t="str">
        <f t="shared" si="748"/>
        <v>P00</v>
      </c>
      <c r="AE2541" t="str">
        <f t="shared" si="749"/>
        <v>0P0</v>
      </c>
      <c r="AF2541" t="str">
        <f t="shared" si="750"/>
        <v>P00</v>
      </c>
      <c r="AG2541" t="str">
        <f t="shared" si="756"/>
        <v>0P00</v>
      </c>
      <c r="AH2541" t="str">
        <f t="shared" si="757"/>
        <v>P000</v>
      </c>
      <c r="AI2541" t="str">
        <f t="shared" si="758"/>
        <v>0P00</v>
      </c>
      <c r="AJ2541" t="str">
        <f t="shared" si="759"/>
        <v>P000</v>
      </c>
    </row>
    <row r="2542" spans="1:36" x14ac:dyDescent="0.25">
      <c r="A2542" s="325" t="str">
        <f>CONCATENATE("P",'906MP'!M2242)</f>
        <v>P</v>
      </c>
      <c r="B2542">
        <f>'906MP'!H2242</f>
        <v>0</v>
      </c>
      <c r="C2542">
        <f>'906MP'!J2242</f>
        <v>0</v>
      </c>
      <c r="D2542">
        <f>'906MP'!P2242</f>
        <v>0</v>
      </c>
      <c r="E2542">
        <f>'906MP'!X2242</f>
        <v>0</v>
      </c>
      <c r="F2542" t="str">
        <f t="shared" si="751"/>
        <v>0</v>
      </c>
      <c r="G2542" t="str">
        <f t="shared" si="752"/>
        <v>0</v>
      </c>
      <c r="H2542">
        <f>'906MP'!Y2242</f>
        <v>0</v>
      </c>
      <c r="I2542">
        <f>'906MP'!AK2242</f>
        <v>0</v>
      </c>
      <c r="J2542">
        <f>'906MP'!T2242</f>
        <v>0</v>
      </c>
      <c r="K2542">
        <f>'906MP'!AJ2242</f>
        <v>0</v>
      </c>
      <c r="L2542">
        <f>'906MP'!U2242</f>
        <v>0</v>
      </c>
      <c r="M2542" s="322" t="str">
        <f>IFERROR(VLOOKUP(A2542,PAR!$D$3:$E$53,2,FALSE),"nincs szervezet")</f>
        <v>nincs szervezet</v>
      </c>
      <c r="N2542" s="322" t="str">
        <f>VLOOKUP(F2542,PAR!$R$3:$S$5,2,FALSE)</f>
        <v>3 - egyik sem</v>
      </c>
      <c r="O2542" t="str">
        <f>IFERROR(VLOOKUP(J2542,PAR!$O$3:$P$5,2,FALSE),"nincs feladat")</f>
        <v>nincs feladat</v>
      </c>
      <c r="P2542" t="str">
        <f>IFERROR(VLOOKUP(G2542,PAR!$J$2:$M$19,4),"nincs rovat")</f>
        <v>nincs rovat</v>
      </c>
      <c r="Q2542" t="str">
        <f>IF(H2542&gt;0,VLOOKUP(H2542,PAR!$AA$3:$AC$187,3,FALSE),"nincs főkönyvi számla")</f>
        <v>nincs főkönyvi számla</v>
      </c>
      <c r="R2542" t="str">
        <f>IFERROR(VLOOKUP(K2542,PAR!$V$3:$X$438,3,FALSE),"000000 - Nincs COFOG")</f>
        <v>000000 - Nincs COFOG</v>
      </c>
      <c r="S2542">
        <f t="shared" si="753"/>
        <v>0</v>
      </c>
      <c r="T2542">
        <f t="shared" si="754"/>
        <v>0</v>
      </c>
      <c r="U2542" t="str">
        <f>IF('906MP'!J2242&gt;0,CONCATENATE('906MP'!J2242," - ",'906MP'!P2242,", ",'906MP'!E2242),"nincs megjegyzés")</f>
        <v>nincs megjegyzés</v>
      </c>
      <c r="V2542" t="str">
        <f t="shared" si="741"/>
        <v>0P0</v>
      </c>
      <c r="W2542" t="str">
        <f t="shared" si="742"/>
        <v>0P0</v>
      </c>
      <c r="X2542" t="str">
        <f t="shared" si="743"/>
        <v>P0</v>
      </c>
      <c r="Y2542" t="str">
        <f t="shared" si="744"/>
        <v>00</v>
      </c>
      <c r="Z2542" t="str">
        <f t="shared" si="755"/>
        <v>00</v>
      </c>
      <c r="AA2542" t="str">
        <f t="shared" si="745"/>
        <v>00</v>
      </c>
      <c r="AB2542" t="str">
        <f t="shared" si="746"/>
        <v>00</v>
      </c>
      <c r="AC2542" t="str">
        <f t="shared" si="747"/>
        <v>0P0</v>
      </c>
      <c r="AD2542" t="str">
        <f t="shared" si="748"/>
        <v>P00</v>
      </c>
      <c r="AE2542" t="str">
        <f t="shared" si="749"/>
        <v>0P0</v>
      </c>
      <c r="AF2542" t="str">
        <f t="shared" si="750"/>
        <v>P00</v>
      </c>
      <c r="AG2542" t="str">
        <f t="shared" si="756"/>
        <v>0P00</v>
      </c>
      <c r="AH2542" t="str">
        <f t="shared" si="757"/>
        <v>P000</v>
      </c>
      <c r="AI2542" t="str">
        <f t="shared" si="758"/>
        <v>0P00</v>
      </c>
      <c r="AJ2542" t="str">
        <f t="shared" si="759"/>
        <v>P000</v>
      </c>
    </row>
    <row r="2543" spans="1:36" x14ac:dyDescent="0.25">
      <c r="A2543" s="325" t="str">
        <f>CONCATENATE("P",'906MP'!M2243)</f>
        <v>P</v>
      </c>
      <c r="B2543">
        <f>'906MP'!H2243</f>
        <v>0</v>
      </c>
      <c r="C2543">
        <f>'906MP'!J2243</f>
        <v>0</v>
      </c>
      <c r="D2543">
        <f>'906MP'!P2243</f>
        <v>0</v>
      </c>
      <c r="E2543">
        <f>'906MP'!X2243</f>
        <v>0</v>
      </c>
      <c r="F2543" t="str">
        <f t="shared" si="751"/>
        <v>0</v>
      </c>
      <c r="G2543" t="str">
        <f t="shared" si="752"/>
        <v>0</v>
      </c>
      <c r="H2543">
        <f>'906MP'!Y2243</f>
        <v>0</v>
      </c>
      <c r="I2543">
        <f>'906MP'!AK2243</f>
        <v>0</v>
      </c>
      <c r="J2543">
        <f>'906MP'!T2243</f>
        <v>0</v>
      </c>
      <c r="K2543">
        <f>'906MP'!AJ2243</f>
        <v>0</v>
      </c>
      <c r="L2543">
        <f>'906MP'!U2243</f>
        <v>0</v>
      </c>
      <c r="M2543" s="322" t="str">
        <f>IFERROR(VLOOKUP(A2543,PAR!$D$3:$E$53,2,FALSE),"nincs szervezet")</f>
        <v>nincs szervezet</v>
      </c>
      <c r="N2543" s="322" t="str">
        <f>VLOOKUP(F2543,PAR!$R$3:$S$5,2,FALSE)</f>
        <v>3 - egyik sem</v>
      </c>
      <c r="O2543" t="str">
        <f>IFERROR(VLOOKUP(J2543,PAR!$O$3:$P$5,2,FALSE),"nincs feladat")</f>
        <v>nincs feladat</v>
      </c>
      <c r="P2543" t="str">
        <f>IFERROR(VLOOKUP(G2543,PAR!$J$2:$M$19,4),"nincs rovat")</f>
        <v>nincs rovat</v>
      </c>
      <c r="Q2543" t="str">
        <f>IF(H2543&gt;0,VLOOKUP(H2543,PAR!$AA$3:$AC$187,3,FALSE),"nincs főkönyvi számla")</f>
        <v>nincs főkönyvi számla</v>
      </c>
      <c r="R2543" t="str">
        <f>IFERROR(VLOOKUP(K2543,PAR!$V$3:$X$438,3,FALSE),"000000 - Nincs COFOG")</f>
        <v>000000 - Nincs COFOG</v>
      </c>
      <c r="S2543">
        <f t="shared" si="753"/>
        <v>0</v>
      </c>
      <c r="T2543">
        <f t="shared" si="754"/>
        <v>0</v>
      </c>
      <c r="U2543" t="str">
        <f>IF('906MP'!J2243&gt;0,CONCATENATE('906MP'!J2243," - ",'906MP'!P2243,", ",'906MP'!E2243),"nincs megjegyzés")</f>
        <v>nincs megjegyzés</v>
      </c>
      <c r="V2543" t="str">
        <f t="shared" si="741"/>
        <v>0P0</v>
      </c>
      <c r="W2543" t="str">
        <f t="shared" si="742"/>
        <v>0P0</v>
      </c>
      <c r="X2543" t="str">
        <f t="shared" si="743"/>
        <v>P0</v>
      </c>
      <c r="Y2543" t="str">
        <f t="shared" si="744"/>
        <v>00</v>
      </c>
      <c r="Z2543" t="str">
        <f t="shared" si="755"/>
        <v>00</v>
      </c>
      <c r="AA2543" t="str">
        <f t="shared" si="745"/>
        <v>00</v>
      </c>
      <c r="AB2543" t="str">
        <f t="shared" si="746"/>
        <v>00</v>
      </c>
      <c r="AC2543" t="str">
        <f t="shared" si="747"/>
        <v>0P0</v>
      </c>
      <c r="AD2543" t="str">
        <f t="shared" si="748"/>
        <v>P00</v>
      </c>
      <c r="AE2543" t="str">
        <f t="shared" si="749"/>
        <v>0P0</v>
      </c>
      <c r="AF2543" t="str">
        <f t="shared" si="750"/>
        <v>P00</v>
      </c>
      <c r="AG2543" t="str">
        <f t="shared" si="756"/>
        <v>0P00</v>
      </c>
      <c r="AH2543" t="str">
        <f t="shared" si="757"/>
        <v>P000</v>
      </c>
      <c r="AI2543" t="str">
        <f t="shared" si="758"/>
        <v>0P00</v>
      </c>
      <c r="AJ2543" t="str">
        <f t="shared" si="759"/>
        <v>P000</v>
      </c>
    </row>
    <row r="2544" spans="1:36" x14ac:dyDescent="0.25">
      <c r="A2544" s="325" t="str">
        <f>CONCATENATE("P",'906MP'!M2244)</f>
        <v>P</v>
      </c>
      <c r="B2544">
        <f>'906MP'!H2244</f>
        <v>0</v>
      </c>
      <c r="C2544">
        <f>'906MP'!J2244</f>
        <v>0</v>
      </c>
      <c r="D2544">
        <f>'906MP'!P2244</f>
        <v>0</v>
      </c>
      <c r="E2544">
        <f>'906MP'!X2244</f>
        <v>0</v>
      </c>
      <c r="F2544" t="str">
        <f t="shared" si="751"/>
        <v>0</v>
      </c>
      <c r="G2544" t="str">
        <f t="shared" si="752"/>
        <v>0</v>
      </c>
      <c r="H2544">
        <f>'906MP'!Y2244</f>
        <v>0</v>
      </c>
      <c r="I2544">
        <f>'906MP'!AK2244</f>
        <v>0</v>
      </c>
      <c r="J2544">
        <f>'906MP'!T2244</f>
        <v>0</v>
      </c>
      <c r="K2544">
        <f>'906MP'!AJ2244</f>
        <v>0</v>
      </c>
      <c r="L2544">
        <f>'906MP'!U2244</f>
        <v>0</v>
      </c>
      <c r="M2544" s="322" t="str">
        <f>IFERROR(VLOOKUP(A2544,PAR!$D$3:$E$53,2,FALSE),"nincs szervezet")</f>
        <v>nincs szervezet</v>
      </c>
      <c r="N2544" s="322" t="str">
        <f>VLOOKUP(F2544,PAR!$R$3:$S$5,2,FALSE)</f>
        <v>3 - egyik sem</v>
      </c>
      <c r="O2544" t="str">
        <f>IFERROR(VLOOKUP(J2544,PAR!$O$3:$P$5,2,FALSE),"nincs feladat")</f>
        <v>nincs feladat</v>
      </c>
      <c r="P2544" t="str">
        <f>IFERROR(VLOOKUP(G2544,PAR!$J$2:$M$19,4),"nincs rovat")</f>
        <v>nincs rovat</v>
      </c>
      <c r="Q2544" t="str">
        <f>IF(H2544&gt;0,VLOOKUP(H2544,PAR!$AA$3:$AC$187,3,FALSE),"nincs főkönyvi számla")</f>
        <v>nincs főkönyvi számla</v>
      </c>
      <c r="R2544" t="str">
        <f>IFERROR(VLOOKUP(K2544,PAR!$V$3:$X$438,3,FALSE),"000000 - Nincs COFOG")</f>
        <v>000000 - Nincs COFOG</v>
      </c>
      <c r="S2544">
        <f t="shared" si="753"/>
        <v>0</v>
      </c>
      <c r="T2544">
        <f t="shared" si="754"/>
        <v>0</v>
      </c>
      <c r="U2544" t="str">
        <f>IF('906MP'!J2244&gt;0,CONCATENATE('906MP'!J2244," - ",'906MP'!P2244,", ",'906MP'!E2244),"nincs megjegyzés")</f>
        <v>nincs megjegyzés</v>
      </c>
      <c r="V2544" t="str">
        <f t="shared" si="741"/>
        <v>0P0</v>
      </c>
      <c r="W2544" t="str">
        <f t="shared" si="742"/>
        <v>0P0</v>
      </c>
      <c r="X2544" t="str">
        <f t="shared" si="743"/>
        <v>P0</v>
      </c>
      <c r="Y2544" t="str">
        <f t="shared" si="744"/>
        <v>00</v>
      </c>
      <c r="Z2544" t="str">
        <f t="shared" si="755"/>
        <v>00</v>
      </c>
      <c r="AA2544" t="str">
        <f t="shared" si="745"/>
        <v>00</v>
      </c>
      <c r="AB2544" t="str">
        <f t="shared" si="746"/>
        <v>00</v>
      </c>
      <c r="AC2544" t="str">
        <f t="shared" si="747"/>
        <v>0P0</v>
      </c>
      <c r="AD2544" t="str">
        <f t="shared" si="748"/>
        <v>P00</v>
      </c>
      <c r="AE2544" t="str">
        <f t="shared" si="749"/>
        <v>0P0</v>
      </c>
      <c r="AF2544" t="str">
        <f t="shared" si="750"/>
        <v>P00</v>
      </c>
      <c r="AG2544" t="str">
        <f t="shared" si="756"/>
        <v>0P00</v>
      </c>
      <c r="AH2544" t="str">
        <f t="shared" si="757"/>
        <v>P000</v>
      </c>
      <c r="AI2544" t="str">
        <f t="shared" si="758"/>
        <v>0P00</v>
      </c>
      <c r="AJ2544" t="str">
        <f t="shared" si="759"/>
        <v>P000</v>
      </c>
    </row>
    <row r="2545" spans="1:36" x14ac:dyDescent="0.25">
      <c r="A2545" s="325" t="str">
        <f>CONCATENATE("P",'906MP'!M2245)</f>
        <v>P</v>
      </c>
      <c r="B2545">
        <f>'906MP'!H2245</f>
        <v>0</v>
      </c>
      <c r="C2545">
        <f>'906MP'!J2245</f>
        <v>0</v>
      </c>
      <c r="D2545">
        <f>'906MP'!P2245</f>
        <v>0</v>
      </c>
      <c r="E2545">
        <f>'906MP'!X2245</f>
        <v>0</v>
      </c>
      <c r="F2545" t="str">
        <f t="shared" si="751"/>
        <v>0</v>
      </c>
      <c r="G2545" t="str">
        <f t="shared" si="752"/>
        <v>0</v>
      </c>
      <c r="H2545">
        <f>'906MP'!Y2245</f>
        <v>0</v>
      </c>
      <c r="I2545">
        <f>'906MP'!AK2245</f>
        <v>0</v>
      </c>
      <c r="J2545">
        <f>'906MP'!T2245</f>
        <v>0</v>
      </c>
      <c r="K2545">
        <f>'906MP'!AJ2245</f>
        <v>0</v>
      </c>
      <c r="L2545">
        <f>'906MP'!U2245</f>
        <v>0</v>
      </c>
      <c r="M2545" s="322" t="str">
        <f>IFERROR(VLOOKUP(A2545,PAR!$D$3:$E$53,2,FALSE),"nincs szervezet")</f>
        <v>nincs szervezet</v>
      </c>
      <c r="N2545" s="322" t="str">
        <f>VLOOKUP(F2545,PAR!$R$3:$S$5,2,FALSE)</f>
        <v>3 - egyik sem</v>
      </c>
      <c r="O2545" t="str">
        <f>IFERROR(VLOOKUP(J2545,PAR!$O$3:$P$5,2,FALSE),"nincs feladat")</f>
        <v>nincs feladat</v>
      </c>
      <c r="P2545" t="str">
        <f>IFERROR(VLOOKUP(G2545,PAR!$J$2:$M$19,4),"nincs rovat")</f>
        <v>nincs rovat</v>
      </c>
      <c r="Q2545" t="str">
        <f>IF(H2545&gt;0,VLOOKUP(H2545,PAR!$AA$3:$AC$187,3,FALSE),"nincs főkönyvi számla")</f>
        <v>nincs főkönyvi számla</v>
      </c>
      <c r="R2545" t="str">
        <f>IFERROR(VLOOKUP(K2545,PAR!$V$3:$X$438,3,FALSE),"000000 - Nincs COFOG")</f>
        <v>000000 - Nincs COFOG</v>
      </c>
      <c r="S2545">
        <f t="shared" si="753"/>
        <v>0</v>
      </c>
      <c r="T2545">
        <f t="shared" si="754"/>
        <v>0</v>
      </c>
      <c r="U2545" t="str">
        <f>IF('906MP'!J2245&gt;0,CONCATENATE('906MP'!J2245," - ",'906MP'!P2245,", ",'906MP'!E2245),"nincs megjegyzés")</f>
        <v>nincs megjegyzés</v>
      </c>
      <c r="V2545" t="str">
        <f t="shared" si="741"/>
        <v>0P0</v>
      </c>
      <c r="W2545" t="str">
        <f t="shared" si="742"/>
        <v>0P0</v>
      </c>
      <c r="X2545" t="str">
        <f t="shared" si="743"/>
        <v>P0</v>
      </c>
      <c r="Y2545" t="str">
        <f t="shared" si="744"/>
        <v>00</v>
      </c>
      <c r="Z2545" t="str">
        <f t="shared" si="755"/>
        <v>00</v>
      </c>
      <c r="AA2545" t="str">
        <f t="shared" si="745"/>
        <v>00</v>
      </c>
      <c r="AB2545" t="str">
        <f t="shared" si="746"/>
        <v>00</v>
      </c>
      <c r="AC2545" t="str">
        <f t="shared" si="747"/>
        <v>0P0</v>
      </c>
      <c r="AD2545" t="str">
        <f t="shared" si="748"/>
        <v>P00</v>
      </c>
      <c r="AE2545" t="str">
        <f t="shared" si="749"/>
        <v>0P0</v>
      </c>
      <c r="AF2545" t="str">
        <f t="shared" si="750"/>
        <v>P00</v>
      </c>
      <c r="AG2545" t="str">
        <f t="shared" si="756"/>
        <v>0P00</v>
      </c>
      <c r="AH2545" t="str">
        <f t="shared" si="757"/>
        <v>P000</v>
      </c>
      <c r="AI2545" t="str">
        <f t="shared" si="758"/>
        <v>0P00</v>
      </c>
      <c r="AJ2545" t="str">
        <f t="shared" si="759"/>
        <v>P000</v>
      </c>
    </row>
    <row r="2546" spans="1:36" x14ac:dyDescent="0.25">
      <c r="A2546" s="325" t="str">
        <f>CONCATENATE("P",'906MP'!M2246)</f>
        <v>P</v>
      </c>
      <c r="B2546">
        <f>'906MP'!H2246</f>
        <v>0</v>
      </c>
      <c r="C2546">
        <f>'906MP'!J2246</f>
        <v>0</v>
      </c>
      <c r="D2546">
        <f>'906MP'!P2246</f>
        <v>0</v>
      </c>
      <c r="E2546">
        <f>'906MP'!X2246</f>
        <v>0</v>
      </c>
      <c r="F2546" t="str">
        <f t="shared" si="751"/>
        <v>0</v>
      </c>
      <c r="G2546" t="str">
        <f t="shared" si="752"/>
        <v>0</v>
      </c>
      <c r="H2546">
        <f>'906MP'!Y2246</f>
        <v>0</v>
      </c>
      <c r="I2546">
        <f>'906MP'!AK2246</f>
        <v>0</v>
      </c>
      <c r="J2546">
        <f>'906MP'!T2246</f>
        <v>0</v>
      </c>
      <c r="K2546">
        <f>'906MP'!AJ2246</f>
        <v>0</v>
      </c>
      <c r="L2546">
        <f>'906MP'!U2246</f>
        <v>0</v>
      </c>
      <c r="M2546" s="322" t="str">
        <f>IFERROR(VLOOKUP(A2546,PAR!$D$3:$E$53,2,FALSE),"nincs szervezet")</f>
        <v>nincs szervezet</v>
      </c>
      <c r="N2546" s="322" t="str">
        <f>VLOOKUP(F2546,PAR!$R$3:$S$5,2,FALSE)</f>
        <v>3 - egyik sem</v>
      </c>
      <c r="O2546" t="str">
        <f>IFERROR(VLOOKUP(J2546,PAR!$O$3:$P$5,2,FALSE),"nincs feladat")</f>
        <v>nincs feladat</v>
      </c>
      <c r="P2546" t="str">
        <f>IFERROR(VLOOKUP(G2546,PAR!$J$2:$M$19,4),"nincs rovat")</f>
        <v>nincs rovat</v>
      </c>
      <c r="Q2546" t="str">
        <f>IF(H2546&gt;0,VLOOKUP(H2546,PAR!$AA$3:$AC$187,3,FALSE),"nincs főkönyvi számla")</f>
        <v>nincs főkönyvi számla</v>
      </c>
      <c r="R2546" t="str">
        <f>IFERROR(VLOOKUP(K2546,PAR!$V$3:$X$438,3,FALSE),"000000 - Nincs COFOG")</f>
        <v>000000 - Nincs COFOG</v>
      </c>
      <c r="S2546">
        <f t="shared" si="753"/>
        <v>0</v>
      </c>
      <c r="T2546">
        <f t="shared" si="754"/>
        <v>0</v>
      </c>
      <c r="U2546" t="str">
        <f>IF('906MP'!J2246&gt;0,CONCATENATE('906MP'!J2246," - ",'906MP'!P2246,", ",'906MP'!E2246),"nincs megjegyzés")</f>
        <v>nincs megjegyzés</v>
      </c>
      <c r="V2546" t="str">
        <f t="shared" si="741"/>
        <v>0P0</v>
      </c>
      <c r="W2546" t="str">
        <f t="shared" si="742"/>
        <v>0P0</v>
      </c>
      <c r="X2546" t="str">
        <f t="shared" si="743"/>
        <v>P0</v>
      </c>
      <c r="Y2546" t="str">
        <f t="shared" si="744"/>
        <v>00</v>
      </c>
      <c r="Z2546" t="str">
        <f t="shared" si="755"/>
        <v>00</v>
      </c>
      <c r="AA2546" t="str">
        <f t="shared" si="745"/>
        <v>00</v>
      </c>
      <c r="AB2546" t="str">
        <f t="shared" si="746"/>
        <v>00</v>
      </c>
      <c r="AC2546" t="str">
        <f t="shared" si="747"/>
        <v>0P0</v>
      </c>
      <c r="AD2546" t="str">
        <f t="shared" si="748"/>
        <v>P00</v>
      </c>
      <c r="AE2546" t="str">
        <f t="shared" si="749"/>
        <v>0P0</v>
      </c>
      <c r="AF2546" t="str">
        <f t="shared" si="750"/>
        <v>P00</v>
      </c>
      <c r="AG2546" t="str">
        <f t="shared" si="756"/>
        <v>0P00</v>
      </c>
      <c r="AH2546" t="str">
        <f t="shared" si="757"/>
        <v>P000</v>
      </c>
      <c r="AI2546" t="str">
        <f t="shared" si="758"/>
        <v>0P00</v>
      </c>
      <c r="AJ2546" t="str">
        <f t="shared" si="759"/>
        <v>P000</v>
      </c>
    </row>
    <row r="2547" spans="1:36" x14ac:dyDescent="0.25">
      <c r="A2547" s="325" t="str">
        <f>CONCATENATE("P",'906MP'!M2247)</f>
        <v>P</v>
      </c>
      <c r="B2547">
        <f>'906MP'!H2247</f>
        <v>0</v>
      </c>
      <c r="C2547">
        <f>'906MP'!J2247</f>
        <v>0</v>
      </c>
      <c r="D2547">
        <f>'906MP'!P2247</f>
        <v>0</v>
      </c>
      <c r="E2547">
        <f>'906MP'!X2247</f>
        <v>0</v>
      </c>
      <c r="F2547" t="str">
        <f t="shared" si="751"/>
        <v>0</v>
      </c>
      <c r="G2547" t="str">
        <f t="shared" si="752"/>
        <v>0</v>
      </c>
      <c r="H2547">
        <f>'906MP'!Y2247</f>
        <v>0</v>
      </c>
      <c r="I2547">
        <f>'906MP'!AK2247</f>
        <v>0</v>
      </c>
      <c r="J2547">
        <f>'906MP'!T2247</f>
        <v>0</v>
      </c>
      <c r="K2547">
        <f>'906MP'!AJ2247</f>
        <v>0</v>
      </c>
      <c r="L2547">
        <f>'906MP'!U2247</f>
        <v>0</v>
      </c>
      <c r="M2547" s="322" t="str">
        <f>IFERROR(VLOOKUP(A2547,PAR!$D$3:$E$53,2,FALSE),"nincs szervezet")</f>
        <v>nincs szervezet</v>
      </c>
      <c r="N2547" s="322" t="str">
        <f>VLOOKUP(F2547,PAR!$R$3:$S$5,2,FALSE)</f>
        <v>3 - egyik sem</v>
      </c>
      <c r="O2547" t="str">
        <f>IFERROR(VLOOKUP(J2547,PAR!$O$3:$P$5,2,FALSE),"nincs feladat")</f>
        <v>nincs feladat</v>
      </c>
      <c r="P2547" t="str">
        <f>IFERROR(VLOOKUP(G2547,PAR!$J$2:$M$19,4),"nincs rovat")</f>
        <v>nincs rovat</v>
      </c>
      <c r="Q2547" t="str">
        <f>IF(H2547&gt;0,VLOOKUP(H2547,PAR!$AA$3:$AC$187,3,FALSE),"nincs főkönyvi számla")</f>
        <v>nincs főkönyvi számla</v>
      </c>
      <c r="R2547" t="str">
        <f>IFERROR(VLOOKUP(K2547,PAR!$V$3:$X$438,3,FALSE),"000000 - Nincs COFOG")</f>
        <v>000000 - Nincs COFOG</v>
      </c>
      <c r="S2547">
        <f t="shared" si="753"/>
        <v>0</v>
      </c>
      <c r="T2547">
        <f t="shared" si="754"/>
        <v>0</v>
      </c>
      <c r="U2547" t="str">
        <f>IF('906MP'!J2247&gt;0,CONCATENATE('906MP'!J2247," - ",'906MP'!P2247,", ",'906MP'!E2247),"nincs megjegyzés")</f>
        <v>nincs megjegyzés</v>
      </c>
      <c r="V2547" t="str">
        <f t="shared" si="741"/>
        <v>0P0</v>
      </c>
      <c r="W2547" t="str">
        <f t="shared" si="742"/>
        <v>0P0</v>
      </c>
      <c r="X2547" t="str">
        <f t="shared" si="743"/>
        <v>P0</v>
      </c>
      <c r="Y2547" t="str">
        <f t="shared" si="744"/>
        <v>00</v>
      </c>
      <c r="Z2547" t="str">
        <f t="shared" si="755"/>
        <v>00</v>
      </c>
      <c r="AA2547" t="str">
        <f t="shared" si="745"/>
        <v>00</v>
      </c>
      <c r="AB2547" t="str">
        <f t="shared" si="746"/>
        <v>00</v>
      </c>
      <c r="AC2547" t="str">
        <f t="shared" si="747"/>
        <v>0P0</v>
      </c>
      <c r="AD2547" t="str">
        <f t="shared" si="748"/>
        <v>P00</v>
      </c>
      <c r="AE2547" t="str">
        <f t="shared" si="749"/>
        <v>0P0</v>
      </c>
      <c r="AF2547" t="str">
        <f t="shared" si="750"/>
        <v>P00</v>
      </c>
      <c r="AG2547" t="str">
        <f t="shared" si="756"/>
        <v>0P00</v>
      </c>
      <c r="AH2547" t="str">
        <f t="shared" si="757"/>
        <v>P000</v>
      </c>
      <c r="AI2547" t="str">
        <f t="shared" si="758"/>
        <v>0P00</v>
      </c>
      <c r="AJ2547" t="str">
        <f t="shared" si="759"/>
        <v>P000</v>
      </c>
    </row>
    <row r="2548" spans="1:36" x14ac:dyDescent="0.25">
      <c r="A2548" s="325" t="str">
        <f>CONCATENATE("P",'906MP'!M2248)</f>
        <v>P</v>
      </c>
      <c r="B2548">
        <f>'906MP'!H2248</f>
        <v>0</v>
      </c>
      <c r="C2548">
        <f>'906MP'!J2248</f>
        <v>0</v>
      </c>
      <c r="D2548">
        <f>'906MP'!P2248</f>
        <v>0</v>
      </c>
      <c r="E2548">
        <f>'906MP'!X2248</f>
        <v>0</v>
      </c>
      <c r="F2548" t="str">
        <f t="shared" si="751"/>
        <v>0</v>
      </c>
      <c r="G2548" t="str">
        <f t="shared" si="752"/>
        <v>0</v>
      </c>
      <c r="H2548">
        <f>'906MP'!Y2248</f>
        <v>0</v>
      </c>
      <c r="I2548">
        <f>'906MP'!AK2248</f>
        <v>0</v>
      </c>
      <c r="J2548">
        <f>'906MP'!T2248</f>
        <v>0</v>
      </c>
      <c r="K2548">
        <f>'906MP'!AJ2248</f>
        <v>0</v>
      </c>
      <c r="L2548">
        <f>'906MP'!U2248</f>
        <v>0</v>
      </c>
      <c r="M2548" s="322" t="str">
        <f>IFERROR(VLOOKUP(A2548,PAR!$D$3:$E$53,2,FALSE),"nincs szervezet")</f>
        <v>nincs szervezet</v>
      </c>
      <c r="N2548" s="322" t="str">
        <f>VLOOKUP(F2548,PAR!$R$3:$S$5,2,FALSE)</f>
        <v>3 - egyik sem</v>
      </c>
      <c r="O2548" t="str">
        <f>IFERROR(VLOOKUP(J2548,PAR!$O$3:$P$5,2,FALSE),"nincs feladat")</f>
        <v>nincs feladat</v>
      </c>
      <c r="P2548" t="str">
        <f>IFERROR(VLOOKUP(G2548,PAR!$J$2:$M$19,4),"nincs rovat")</f>
        <v>nincs rovat</v>
      </c>
      <c r="Q2548" t="str">
        <f>IF(H2548&gt;0,VLOOKUP(H2548,PAR!$AA$3:$AC$187,3,FALSE),"nincs főkönyvi számla")</f>
        <v>nincs főkönyvi számla</v>
      </c>
      <c r="R2548" t="str">
        <f>IFERROR(VLOOKUP(K2548,PAR!$V$3:$X$438,3,FALSE),"000000 - Nincs COFOG")</f>
        <v>000000 - Nincs COFOG</v>
      </c>
      <c r="S2548">
        <f t="shared" si="753"/>
        <v>0</v>
      </c>
      <c r="T2548">
        <f t="shared" si="754"/>
        <v>0</v>
      </c>
      <c r="U2548" t="str">
        <f>IF('906MP'!J2248&gt;0,CONCATENATE('906MP'!J2248," - ",'906MP'!P2248,", ",'906MP'!E2248),"nincs megjegyzés")</f>
        <v>nincs megjegyzés</v>
      </c>
      <c r="V2548" t="str">
        <f t="shared" si="741"/>
        <v>0P0</v>
      </c>
      <c r="W2548" t="str">
        <f t="shared" si="742"/>
        <v>0P0</v>
      </c>
      <c r="X2548" t="str">
        <f t="shared" si="743"/>
        <v>P0</v>
      </c>
      <c r="Y2548" t="str">
        <f t="shared" si="744"/>
        <v>00</v>
      </c>
      <c r="Z2548" t="str">
        <f t="shared" si="755"/>
        <v>00</v>
      </c>
      <c r="AA2548" t="str">
        <f t="shared" si="745"/>
        <v>00</v>
      </c>
      <c r="AB2548" t="str">
        <f t="shared" si="746"/>
        <v>00</v>
      </c>
      <c r="AC2548" t="str">
        <f t="shared" si="747"/>
        <v>0P0</v>
      </c>
      <c r="AD2548" t="str">
        <f t="shared" si="748"/>
        <v>P00</v>
      </c>
      <c r="AE2548" t="str">
        <f t="shared" si="749"/>
        <v>0P0</v>
      </c>
      <c r="AF2548" t="str">
        <f t="shared" si="750"/>
        <v>P00</v>
      </c>
      <c r="AG2548" t="str">
        <f t="shared" si="756"/>
        <v>0P00</v>
      </c>
      <c r="AH2548" t="str">
        <f t="shared" si="757"/>
        <v>P000</v>
      </c>
      <c r="AI2548" t="str">
        <f t="shared" si="758"/>
        <v>0P00</v>
      </c>
      <c r="AJ2548" t="str">
        <f t="shared" si="759"/>
        <v>P000</v>
      </c>
    </row>
    <row r="2549" spans="1:36" x14ac:dyDescent="0.25">
      <c r="A2549" s="325" t="str">
        <f>CONCATENATE("P",'906MP'!M2249)</f>
        <v>P</v>
      </c>
      <c r="B2549">
        <f>'906MP'!H2249</f>
        <v>0</v>
      </c>
      <c r="C2549">
        <f>'906MP'!J2249</f>
        <v>0</v>
      </c>
      <c r="D2549">
        <f>'906MP'!P2249</f>
        <v>0</v>
      </c>
      <c r="E2549">
        <f>'906MP'!X2249</f>
        <v>0</v>
      </c>
      <c r="F2549" t="str">
        <f t="shared" si="751"/>
        <v>0</v>
      </c>
      <c r="G2549" t="str">
        <f t="shared" si="752"/>
        <v>0</v>
      </c>
      <c r="H2549">
        <f>'906MP'!Y2249</f>
        <v>0</v>
      </c>
      <c r="I2549">
        <f>'906MP'!AK2249</f>
        <v>0</v>
      </c>
      <c r="J2549">
        <f>'906MP'!T2249</f>
        <v>0</v>
      </c>
      <c r="K2549">
        <f>'906MP'!AJ2249</f>
        <v>0</v>
      </c>
      <c r="L2549">
        <f>'906MP'!U2249</f>
        <v>0</v>
      </c>
      <c r="M2549" s="322" t="str">
        <f>IFERROR(VLOOKUP(A2549,PAR!$D$3:$E$53,2,FALSE),"nincs szervezet")</f>
        <v>nincs szervezet</v>
      </c>
      <c r="N2549" s="322" t="str">
        <f>VLOOKUP(F2549,PAR!$R$3:$S$5,2,FALSE)</f>
        <v>3 - egyik sem</v>
      </c>
      <c r="O2549" t="str">
        <f>IFERROR(VLOOKUP(J2549,PAR!$O$3:$P$5,2,FALSE),"nincs feladat")</f>
        <v>nincs feladat</v>
      </c>
      <c r="P2549" t="str">
        <f>IFERROR(VLOOKUP(G2549,PAR!$J$2:$M$19,4),"nincs rovat")</f>
        <v>nincs rovat</v>
      </c>
      <c r="Q2549" t="str">
        <f>IF(H2549&gt;0,VLOOKUP(H2549,PAR!$AA$3:$AC$187,3,FALSE),"nincs főkönyvi számla")</f>
        <v>nincs főkönyvi számla</v>
      </c>
      <c r="R2549" t="str">
        <f>IFERROR(VLOOKUP(K2549,PAR!$V$3:$X$438,3,FALSE),"000000 - Nincs COFOG")</f>
        <v>000000 - Nincs COFOG</v>
      </c>
      <c r="S2549">
        <f t="shared" si="753"/>
        <v>0</v>
      </c>
      <c r="T2549">
        <f t="shared" si="754"/>
        <v>0</v>
      </c>
      <c r="U2549" t="str">
        <f>IF('906MP'!J2249&gt;0,CONCATENATE('906MP'!J2249," - ",'906MP'!P2249,", ",'906MP'!E2249),"nincs megjegyzés")</f>
        <v>nincs megjegyzés</v>
      </c>
      <c r="V2549" t="str">
        <f t="shared" si="741"/>
        <v>0P0</v>
      </c>
      <c r="W2549" t="str">
        <f t="shared" si="742"/>
        <v>0P0</v>
      </c>
      <c r="X2549" t="str">
        <f t="shared" si="743"/>
        <v>P0</v>
      </c>
      <c r="Y2549" t="str">
        <f t="shared" si="744"/>
        <v>00</v>
      </c>
      <c r="Z2549" t="str">
        <f t="shared" si="755"/>
        <v>00</v>
      </c>
      <c r="AA2549" t="str">
        <f t="shared" si="745"/>
        <v>00</v>
      </c>
      <c r="AB2549" t="str">
        <f t="shared" si="746"/>
        <v>00</v>
      </c>
      <c r="AC2549" t="str">
        <f t="shared" si="747"/>
        <v>0P0</v>
      </c>
      <c r="AD2549" t="str">
        <f t="shared" si="748"/>
        <v>P00</v>
      </c>
      <c r="AE2549" t="str">
        <f t="shared" si="749"/>
        <v>0P0</v>
      </c>
      <c r="AF2549" t="str">
        <f t="shared" si="750"/>
        <v>P00</v>
      </c>
      <c r="AG2549" t="str">
        <f t="shared" si="756"/>
        <v>0P00</v>
      </c>
      <c r="AH2549" t="str">
        <f t="shared" si="757"/>
        <v>P000</v>
      </c>
      <c r="AI2549" t="str">
        <f t="shared" si="758"/>
        <v>0P00</v>
      </c>
      <c r="AJ2549" t="str">
        <f t="shared" si="759"/>
        <v>P000</v>
      </c>
    </row>
    <row r="2550" spans="1:36" x14ac:dyDescent="0.25">
      <c r="A2550" s="325" t="str">
        <f>CONCATENATE("P",'906MP'!M2250)</f>
        <v>P</v>
      </c>
      <c r="B2550">
        <f>'906MP'!H2250</f>
        <v>0</v>
      </c>
      <c r="C2550">
        <f>'906MP'!J2250</f>
        <v>0</v>
      </c>
      <c r="D2550">
        <f>'906MP'!P2250</f>
        <v>0</v>
      </c>
      <c r="E2550">
        <f>'906MP'!X2250</f>
        <v>0</v>
      </c>
      <c r="F2550" t="str">
        <f t="shared" si="751"/>
        <v>0</v>
      </c>
      <c r="G2550" t="str">
        <f t="shared" si="752"/>
        <v>0</v>
      </c>
      <c r="H2550">
        <f>'906MP'!Y2250</f>
        <v>0</v>
      </c>
      <c r="I2550">
        <f>'906MP'!AK2250</f>
        <v>0</v>
      </c>
      <c r="J2550">
        <f>'906MP'!T2250</f>
        <v>0</v>
      </c>
      <c r="K2550">
        <f>'906MP'!AJ2250</f>
        <v>0</v>
      </c>
      <c r="L2550">
        <f>'906MP'!U2250</f>
        <v>0</v>
      </c>
      <c r="M2550" s="322" t="str">
        <f>IFERROR(VLOOKUP(A2550,PAR!$D$3:$E$53,2,FALSE),"nincs szervezet")</f>
        <v>nincs szervezet</v>
      </c>
      <c r="N2550" s="322" t="str">
        <f>VLOOKUP(F2550,PAR!$R$3:$S$5,2,FALSE)</f>
        <v>3 - egyik sem</v>
      </c>
      <c r="O2550" t="str">
        <f>IFERROR(VLOOKUP(J2550,PAR!$O$3:$P$5,2,FALSE),"nincs feladat")</f>
        <v>nincs feladat</v>
      </c>
      <c r="P2550" t="str">
        <f>IFERROR(VLOOKUP(G2550,PAR!$J$2:$M$19,4),"nincs rovat")</f>
        <v>nincs rovat</v>
      </c>
      <c r="Q2550" t="str">
        <f>IF(H2550&gt;0,VLOOKUP(H2550,PAR!$AA$3:$AC$187,3,FALSE),"nincs főkönyvi számla")</f>
        <v>nincs főkönyvi számla</v>
      </c>
      <c r="R2550" t="str">
        <f>IFERROR(VLOOKUP(K2550,PAR!$V$3:$X$438,3,FALSE),"000000 - Nincs COFOG")</f>
        <v>000000 - Nincs COFOG</v>
      </c>
      <c r="S2550">
        <f t="shared" si="753"/>
        <v>0</v>
      </c>
      <c r="T2550">
        <f t="shared" si="754"/>
        <v>0</v>
      </c>
      <c r="U2550" t="str">
        <f>IF('906MP'!J2250&gt;0,CONCATENATE('906MP'!J2250," - ",'906MP'!P2250,", ",'906MP'!E2250),"nincs megjegyzés")</f>
        <v>nincs megjegyzés</v>
      </c>
      <c r="V2550" t="str">
        <f t="shared" si="741"/>
        <v>0P0</v>
      </c>
      <c r="W2550" t="str">
        <f t="shared" si="742"/>
        <v>0P0</v>
      </c>
      <c r="X2550" t="str">
        <f t="shared" si="743"/>
        <v>P0</v>
      </c>
      <c r="Y2550" t="str">
        <f t="shared" si="744"/>
        <v>00</v>
      </c>
      <c r="Z2550" t="str">
        <f t="shared" si="755"/>
        <v>00</v>
      </c>
      <c r="AA2550" t="str">
        <f t="shared" si="745"/>
        <v>00</v>
      </c>
      <c r="AB2550" t="str">
        <f t="shared" si="746"/>
        <v>00</v>
      </c>
      <c r="AC2550" t="str">
        <f t="shared" si="747"/>
        <v>0P0</v>
      </c>
      <c r="AD2550" t="str">
        <f t="shared" si="748"/>
        <v>P00</v>
      </c>
      <c r="AE2550" t="str">
        <f t="shared" si="749"/>
        <v>0P0</v>
      </c>
      <c r="AF2550" t="str">
        <f t="shared" si="750"/>
        <v>P00</v>
      </c>
      <c r="AG2550" t="str">
        <f t="shared" si="756"/>
        <v>0P00</v>
      </c>
      <c r="AH2550" t="str">
        <f t="shared" si="757"/>
        <v>P000</v>
      </c>
      <c r="AI2550" t="str">
        <f t="shared" si="758"/>
        <v>0P00</v>
      </c>
      <c r="AJ2550" t="str">
        <f t="shared" si="759"/>
        <v>P000</v>
      </c>
    </row>
    <row r="2551" spans="1:36" x14ac:dyDescent="0.25">
      <c r="A2551" s="325" t="str">
        <f>CONCATENATE("P",'906MP'!M2251)</f>
        <v>P</v>
      </c>
      <c r="B2551">
        <f>'906MP'!H2251</f>
        <v>0</v>
      </c>
      <c r="C2551">
        <f>'906MP'!J2251</f>
        <v>0</v>
      </c>
      <c r="D2551">
        <f>'906MP'!P2251</f>
        <v>0</v>
      </c>
      <c r="E2551">
        <f>'906MP'!X2251</f>
        <v>0</v>
      </c>
      <c r="F2551" t="str">
        <f t="shared" si="751"/>
        <v>0</v>
      </c>
      <c r="G2551" t="str">
        <f t="shared" si="752"/>
        <v>0</v>
      </c>
      <c r="H2551">
        <f>'906MP'!Y2251</f>
        <v>0</v>
      </c>
      <c r="I2551">
        <f>'906MP'!AK2251</f>
        <v>0</v>
      </c>
      <c r="J2551">
        <f>'906MP'!T2251</f>
        <v>0</v>
      </c>
      <c r="K2551">
        <f>'906MP'!AJ2251</f>
        <v>0</v>
      </c>
      <c r="L2551">
        <f>'906MP'!U2251</f>
        <v>0</v>
      </c>
      <c r="M2551" s="322" t="str">
        <f>IFERROR(VLOOKUP(A2551,PAR!$D$3:$E$53,2,FALSE),"nincs szervezet")</f>
        <v>nincs szervezet</v>
      </c>
      <c r="N2551" s="322" t="str">
        <f>VLOOKUP(F2551,PAR!$R$3:$S$5,2,FALSE)</f>
        <v>3 - egyik sem</v>
      </c>
      <c r="O2551" t="str">
        <f>IFERROR(VLOOKUP(J2551,PAR!$O$3:$P$5,2,FALSE),"nincs feladat")</f>
        <v>nincs feladat</v>
      </c>
      <c r="P2551" t="str">
        <f>IFERROR(VLOOKUP(G2551,PAR!$J$2:$M$19,4),"nincs rovat")</f>
        <v>nincs rovat</v>
      </c>
      <c r="Q2551" t="str">
        <f>IF(H2551&gt;0,VLOOKUP(H2551,PAR!$AA$3:$AC$187,3,FALSE),"nincs főkönyvi számla")</f>
        <v>nincs főkönyvi számla</v>
      </c>
      <c r="R2551" t="str">
        <f>IFERROR(VLOOKUP(K2551,PAR!$V$3:$X$438,3,FALSE),"000000 - Nincs COFOG")</f>
        <v>000000 - Nincs COFOG</v>
      </c>
      <c r="S2551">
        <f t="shared" si="753"/>
        <v>0</v>
      </c>
      <c r="T2551">
        <f t="shared" si="754"/>
        <v>0</v>
      </c>
      <c r="U2551" t="str">
        <f>IF('906MP'!J2251&gt;0,CONCATENATE('906MP'!J2251," - ",'906MP'!P2251,", ",'906MP'!E2251),"nincs megjegyzés")</f>
        <v>nincs megjegyzés</v>
      </c>
      <c r="V2551" t="str">
        <f t="shared" si="741"/>
        <v>0P0</v>
      </c>
      <c r="W2551" t="str">
        <f t="shared" si="742"/>
        <v>0P0</v>
      </c>
      <c r="X2551" t="str">
        <f t="shared" si="743"/>
        <v>P0</v>
      </c>
      <c r="Y2551" t="str">
        <f t="shared" si="744"/>
        <v>00</v>
      </c>
      <c r="Z2551" t="str">
        <f t="shared" si="755"/>
        <v>00</v>
      </c>
      <c r="AA2551" t="str">
        <f t="shared" si="745"/>
        <v>00</v>
      </c>
      <c r="AB2551" t="str">
        <f t="shared" si="746"/>
        <v>00</v>
      </c>
      <c r="AC2551" t="str">
        <f t="shared" si="747"/>
        <v>0P0</v>
      </c>
      <c r="AD2551" t="str">
        <f t="shared" si="748"/>
        <v>P00</v>
      </c>
      <c r="AE2551" t="str">
        <f t="shared" si="749"/>
        <v>0P0</v>
      </c>
      <c r="AF2551" t="str">
        <f t="shared" si="750"/>
        <v>P00</v>
      </c>
      <c r="AG2551" t="str">
        <f t="shared" si="756"/>
        <v>0P00</v>
      </c>
      <c r="AH2551" t="str">
        <f t="shared" si="757"/>
        <v>P000</v>
      </c>
      <c r="AI2551" t="str">
        <f t="shared" si="758"/>
        <v>0P00</v>
      </c>
      <c r="AJ2551" t="str">
        <f t="shared" si="759"/>
        <v>P000</v>
      </c>
    </row>
    <row r="2552" spans="1:36" x14ac:dyDescent="0.25">
      <c r="A2552" s="325" t="str">
        <f>CONCATENATE("P",'906MP'!M2252)</f>
        <v>P</v>
      </c>
      <c r="B2552">
        <f>'906MP'!H2252</f>
        <v>0</v>
      </c>
      <c r="C2552">
        <f>'906MP'!J2252</f>
        <v>0</v>
      </c>
      <c r="D2552">
        <f>'906MP'!P2252</f>
        <v>0</v>
      </c>
      <c r="E2552">
        <f>'906MP'!X2252</f>
        <v>0</v>
      </c>
      <c r="F2552" t="str">
        <f t="shared" si="751"/>
        <v>0</v>
      </c>
      <c r="G2552" t="str">
        <f t="shared" si="752"/>
        <v>0</v>
      </c>
      <c r="H2552">
        <f>'906MP'!Y2252</f>
        <v>0</v>
      </c>
      <c r="I2552">
        <f>'906MP'!AK2252</f>
        <v>0</v>
      </c>
      <c r="J2552">
        <f>'906MP'!T2252</f>
        <v>0</v>
      </c>
      <c r="K2552">
        <f>'906MP'!AJ2252</f>
        <v>0</v>
      </c>
      <c r="L2552">
        <f>'906MP'!U2252</f>
        <v>0</v>
      </c>
      <c r="M2552" s="322" t="str">
        <f>IFERROR(VLOOKUP(A2552,PAR!$D$3:$E$53,2,FALSE),"nincs szervezet")</f>
        <v>nincs szervezet</v>
      </c>
      <c r="N2552" s="322" t="str">
        <f>VLOOKUP(F2552,PAR!$R$3:$S$5,2,FALSE)</f>
        <v>3 - egyik sem</v>
      </c>
      <c r="O2552" t="str">
        <f>IFERROR(VLOOKUP(J2552,PAR!$O$3:$P$5,2,FALSE),"nincs feladat")</f>
        <v>nincs feladat</v>
      </c>
      <c r="P2552" t="str">
        <f>IFERROR(VLOOKUP(G2552,PAR!$J$2:$M$19,4),"nincs rovat")</f>
        <v>nincs rovat</v>
      </c>
      <c r="Q2552" t="str">
        <f>IF(H2552&gt;0,VLOOKUP(H2552,PAR!$AA$3:$AC$187,3,FALSE),"nincs főkönyvi számla")</f>
        <v>nincs főkönyvi számla</v>
      </c>
      <c r="R2552" t="str">
        <f>IFERROR(VLOOKUP(K2552,PAR!$V$3:$X$438,3,FALSE),"000000 - Nincs COFOG")</f>
        <v>000000 - Nincs COFOG</v>
      </c>
      <c r="S2552">
        <f t="shared" si="753"/>
        <v>0</v>
      </c>
      <c r="T2552">
        <f t="shared" si="754"/>
        <v>0</v>
      </c>
      <c r="U2552" t="str">
        <f>IF('906MP'!J2252&gt;0,CONCATENATE('906MP'!J2252," - ",'906MP'!P2252,", ",'906MP'!E2252),"nincs megjegyzés")</f>
        <v>nincs megjegyzés</v>
      </c>
      <c r="V2552" t="str">
        <f t="shared" si="741"/>
        <v>0P0</v>
      </c>
      <c r="W2552" t="str">
        <f t="shared" si="742"/>
        <v>0P0</v>
      </c>
      <c r="X2552" t="str">
        <f t="shared" si="743"/>
        <v>P0</v>
      </c>
      <c r="Y2552" t="str">
        <f t="shared" si="744"/>
        <v>00</v>
      </c>
      <c r="Z2552" t="str">
        <f t="shared" si="755"/>
        <v>00</v>
      </c>
      <c r="AA2552" t="str">
        <f t="shared" si="745"/>
        <v>00</v>
      </c>
      <c r="AB2552" t="str">
        <f t="shared" si="746"/>
        <v>00</v>
      </c>
      <c r="AC2552" t="str">
        <f t="shared" si="747"/>
        <v>0P0</v>
      </c>
      <c r="AD2552" t="str">
        <f t="shared" si="748"/>
        <v>P00</v>
      </c>
      <c r="AE2552" t="str">
        <f t="shared" si="749"/>
        <v>0P0</v>
      </c>
      <c r="AF2552" t="str">
        <f t="shared" si="750"/>
        <v>P00</v>
      </c>
      <c r="AG2552" t="str">
        <f t="shared" si="756"/>
        <v>0P00</v>
      </c>
      <c r="AH2552" t="str">
        <f t="shared" si="757"/>
        <v>P000</v>
      </c>
      <c r="AI2552" t="str">
        <f t="shared" si="758"/>
        <v>0P00</v>
      </c>
      <c r="AJ2552" t="str">
        <f t="shared" si="759"/>
        <v>P000</v>
      </c>
    </row>
    <row r="2553" spans="1:36" x14ac:dyDescent="0.25">
      <c r="A2553" s="325" t="str">
        <f>CONCATENATE("P",'906MP'!M2253)</f>
        <v>P</v>
      </c>
      <c r="B2553">
        <f>'906MP'!H2253</f>
        <v>0</v>
      </c>
      <c r="C2553">
        <f>'906MP'!J2253</f>
        <v>0</v>
      </c>
      <c r="D2553">
        <f>'906MP'!P2253</f>
        <v>0</v>
      </c>
      <c r="E2553">
        <f>'906MP'!X2253</f>
        <v>0</v>
      </c>
      <c r="F2553" t="str">
        <f t="shared" si="751"/>
        <v>0</v>
      </c>
      <c r="G2553" t="str">
        <f t="shared" si="752"/>
        <v>0</v>
      </c>
      <c r="H2553">
        <f>'906MP'!Y2253</f>
        <v>0</v>
      </c>
      <c r="I2553">
        <f>'906MP'!AK2253</f>
        <v>0</v>
      </c>
      <c r="J2553">
        <f>'906MP'!T2253</f>
        <v>0</v>
      </c>
      <c r="K2553">
        <f>'906MP'!AJ2253</f>
        <v>0</v>
      </c>
      <c r="L2553">
        <f>'906MP'!U2253</f>
        <v>0</v>
      </c>
      <c r="M2553" s="322" t="str">
        <f>IFERROR(VLOOKUP(A2553,PAR!$D$3:$E$53,2,FALSE),"nincs szervezet")</f>
        <v>nincs szervezet</v>
      </c>
      <c r="N2553" s="322" t="str">
        <f>VLOOKUP(F2553,PAR!$R$3:$S$5,2,FALSE)</f>
        <v>3 - egyik sem</v>
      </c>
      <c r="O2553" t="str">
        <f>IFERROR(VLOOKUP(J2553,PAR!$O$3:$P$5,2,FALSE),"nincs feladat")</f>
        <v>nincs feladat</v>
      </c>
      <c r="P2553" t="str">
        <f>IFERROR(VLOOKUP(G2553,PAR!$J$2:$M$19,4),"nincs rovat")</f>
        <v>nincs rovat</v>
      </c>
      <c r="Q2553" t="str">
        <f>IF(H2553&gt;0,VLOOKUP(H2553,PAR!$AA$3:$AC$187,3,FALSE),"nincs főkönyvi számla")</f>
        <v>nincs főkönyvi számla</v>
      </c>
      <c r="R2553" t="str">
        <f>IFERROR(VLOOKUP(K2553,PAR!$V$3:$X$438,3,FALSE),"000000 - Nincs COFOG")</f>
        <v>000000 - Nincs COFOG</v>
      </c>
      <c r="S2553">
        <f t="shared" si="753"/>
        <v>0</v>
      </c>
      <c r="T2553">
        <f t="shared" si="754"/>
        <v>0</v>
      </c>
      <c r="U2553" t="str">
        <f>IF('906MP'!J2253&gt;0,CONCATENATE('906MP'!J2253," - ",'906MP'!P2253,", ",'906MP'!E2253),"nincs megjegyzés")</f>
        <v>nincs megjegyzés</v>
      </c>
      <c r="V2553" t="str">
        <f t="shared" si="741"/>
        <v>0P0</v>
      </c>
      <c r="W2553" t="str">
        <f t="shared" si="742"/>
        <v>0P0</v>
      </c>
      <c r="X2553" t="str">
        <f t="shared" si="743"/>
        <v>P0</v>
      </c>
      <c r="Y2553" t="str">
        <f t="shared" si="744"/>
        <v>00</v>
      </c>
      <c r="Z2553" t="str">
        <f t="shared" si="755"/>
        <v>00</v>
      </c>
      <c r="AA2553" t="str">
        <f t="shared" si="745"/>
        <v>00</v>
      </c>
      <c r="AB2553" t="str">
        <f t="shared" si="746"/>
        <v>00</v>
      </c>
      <c r="AC2553" t="str">
        <f t="shared" si="747"/>
        <v>0P0</v>
      </c>
      <c r="AD2553" t="str">
        <f t="shared" si="748"/>
        <v>P00</v>
      </c>
      <c r="AE2553" t="str">
        <f t="shared" si="749"/>
        <v>0P0</v>
      </c>
      <c r="AF2553" t="str">
        <f t="shared" si="750"/>
        <v>P00</v>
      </c>
      <c r="AG2553" t="str">
        <f t="shared" si="756"/>
        <v>0P00</v>
      </c>
      <c r="AH2553" t="str">
        <f t="shared" si="757"/>
        <v>P000</v>
      </c>
      <c r="AI2553" t="str">
        <f t="shared" si="758"/>
        <v>0P00</v>
      </c>
      <c r="AJ2553" t="str">
        <f t="shared" si="759"/>
        <v>P000</v>
      </c>
    </row>
    <row r="2554" spans="1:36" x14ac:dyDescent="0.25">
      <c r="A2554" s="325" t="str">
        <f>CONCATENATE("P",'906MP'!M2254)</f>
        <v>P</v>
      </c>
      <c r="B2554">
        <f>'906MP'!H2254</f>
        <v>0</v>
      </c>
      <c r="C2554">
        <f>'906MP'!J2254</f>
        <v>0</v>
      </c>
      <c r="D2554">
        <f>'906MP'!P2254</f>
        <v>0</v>
      </c>
      <c r="E2554">
        <f>'906MP'!X2254</f>
        <v>0</v>
      </c>
      <c r="F2554" t="str">
        <f t="shared" si="751"/>
        <v>0</v>
      </c>
      <c r="G2554" t="str">
        <f t="shared" si="752"/>
        <v>0</v>
      </c>
      <c r="H2554">
        <f>'906MP'!Y2254</f>
        <v>0</v>
      </c>
      <c r="I2554">
        <f>'906MP'!AK2254</f>
        <v>0</v>
      </c>
      <c r="J2554">
        <f>'906MP'!T2254</f>
        <v>0</v>
      </c>
      <c r="K2554">
        <f>'906MP'!AJ2254</f>
        <v>0</v>
      </c>
      <c r="L2554">
        <f>'906MP'!U2254</f>
        <v>0</v>
      </c>
      <c r="M2554" s="322" t="str">
        <f>IFERROR(VLOOKUP(A2554,PAR!$D$3:$E$53,2,FALSE),"nincs szervezet")</f>
        <v>nincs szervezet</v>
      </c>
      <c r="N2554" s="322" t="str">
        <f>VLOOKUP(F2554,PAR!$R$3:$S$5,2,FALSE)</f>
        <v>3 - egyik sem</v>
      </c>
      <c r="O2554" t="str">
        <f>IFERROR(VLOOKUP(J2554,PAR!$O$3:$P$5,2,FALSE),"nincs feladat")</f>
        <v>nincs feladat</v>
      </c>
      <c r="P2554" t="str">
        <f>IFERROR(VLOOKUP(G2554,PAR!$J$2:$M$19,4),"nincs rovat")</f>
        <v>nincs rovat</v>
      </c>
      <c r="Q2554" t="str">
        <f>IF(H2554&gt;0,VLOOKUP(H2554,PAR!$AA$3:$AC$187,3,FALSE),"nincs főkönyvi számla")</f>
        <v>nincs főkönyvi számla</v>
      </c>
      <c r="R2554" t="str">
        <f>IFERROR(VLOOKUP(K2554,PAR!$V$3:$X$438,3,FALSE),"000000 - Nincs COFOG")</f>
        <v>000000 - Nincs COFOG</v>
      </c>
      <c r="S2554">
        <f t="shared" si="753"/>
        <v>0</v>
      </c>
      <c r="T2554">
        <f t="shared" si="754"/>
        <v>0</v>
      </c>
      <c r="U2554" t="str">
        <f>IF('906MP'!J2254&gt;0,CONCATENATE('906MP'!J2254," - ",'906MP'!P2254,", ",'906MP'!E2254),"nincs megjegyzés")</f>
        <v>nincs megjegyzés</v>
      </c>
      <c r="V2554" t="str">
        <f t="shared" si="741"/>
        <v>0P0</v>
      </c>
      <c r="W2554" t="str">
        <f t="shared" si="742"/>
        <v>0P0</v>
      </c>
      <c r="X2554" t="str">
        <f t="shared" si="743"/>
        <v>P0</v>
      </c>
      <c r="Y2554" t="str">
        <f t="shared" si="744"/>
        <v>00</v>
      </c>
      <c r="Z2554" t="str">
        <f t="shared" si="755"/>
        <v>00</v>
      </c>
      <c r="AA2554" t="str">
        <f t="shared" si="745"/>
        <v>00</v>
      </c>
      <c r="AB2554" t="str">
        <f t="shared" si="746"/>
        <v>00</v>
      </c>
      <c r="AC2554" t="str">
        <f t="shared" si="747"/>
        <v>0P0</v>
      </c>
      <c r="AD2554" t="str">
        <f t="shared" si="748"/>
        <v>P00</v>
      </c>
      <c r="AE2554" t="str">
        <f t="shared" si="749"/>
        <v>0P0</v>
      </c>
      <c r="AF2554" t="str">
        <f t="shared" si="750"/>
        <v>P00</v>
      </c>
      <c r="AG2554" t="str">
        <f t="shared" si="756"/>
        <v>0P00</v>
      </c>
      <c r="AH2554" t="str">
        <f t="shared" si="757"/>
        <v>P000</v>
      </c>
      <c r="AI2554" t="str">
        <f t="shared" si="758"/>
        <v>0P00</v>
      </c>
      <c r="AJ2554" t="str">
        <f t="shared" si="759"/>
        <v>P000</v>
      </c>
    </row>
    <row r="2555" spans="1:36" x14ac:dyDescent="0.25">
      <c r="A2555" s="325" t="str">
        <f>CONCATENATE("P",'906MP'!M2255)</f>
        <v>P</v>
      </c>
      <c r="B2555">
        <f>'906MP'!H2255</f>
        <v>0</v>
      </c>
      <c r="C2555">
        <f>'906MP'!J2255</f>
        <v>0</v>
      </c>
      <c r="D2555">
        <f>'906MP'!P2255</f>
        <v>0</v>
      </c>
      <c r="E2555">
        <f>'906MP'!X2255</f>
        <v>0</v>
      </c>
      <c r="F2555" t="str">
        <f t="shared" si="751"/>
        <v>0</v>
      </c>
      <c r="G2555" t="str">
        <f t="shared" si="752"/>
        <v>0</v>
      </c>
      <c r="H2555">
        <f>'906MP'!Y2255</f>
        <v>0</v>
      </c>
      <c r="I2555">
        <f>'906MP'!AK2255</f>
        <v>0</v>
      </c>
      <c r="J2555">
        <f>'906MP'!T2255</f>
        <v>0</v>
      </c>
      <c r="K2555">
        <f>'906MP'!AJ2255</f>
        <v>0</v>
      </c>
      <c r="L2555">
        <f>'906MP'!U2255</f>
        <v>0</v>
      </c>
      <c r="M2555" s="322" t="str">
        <f>IFERROR(VLOOKUP(A2555,PAR!$D$3:$E$53,2,FALSE),"nincs szervezet")</f>
        <v>nincs szervezet</v>
      </c>
      <c r="N2555" s="322" t="str">
        <f>VLOOKUP(F2555,PAR!$R$3:$S$5,2,FALSE)</f>
        <v>3 - egyik sem</v>
      </c>
      <c r="O2555" t="str">
        <f>IFERROR(VLOOKUP(J2555,PAR!$O$3:$P$5,2,FALSE),"nincs feladat")</f>
        <v>nincs feladat</v>
      </c>
      <c r="P2555" t="str">
        <f>IFERROR(VLOOKUP(G2555,PAR!$J$2:$M$19,4),"nincs rovat")</f>
        <v>nincs rovat</v>
      </c>
      <c r="Q2555" t="str">
        <f>IF(H2555&gt;0,VLOOKUP(H2555,PAR!$AA$3:$AC$187,3,FALSE),"nincs főkönyvi számla")</f>
        <v>nincs főkönyvi számla</v>
      </c>
      <c r="R2555" t="str">
        <f>IFERROR(VLOOKUP(K2555,PAR!$V$3:$X$438,3,FALSE),"000000 - Nincs COFOG")</f>
        <v>000000 - Nincs COFOG</v>
      </c>
      <c r="S2555">
        <f t="shared" si="753"/>
        <v>0</v>
      </c>
      <c r="T2555">
        <f t="shared" si="754"/>
        <v>0</v>
      </c>
      <c r="U2555" t="str">
        <f>IF('906MP'!J2255&gt;0,CONCATENATE('906MP'!J2255," - ",'906MP'!P2255,", ",'906MP'!E2255),"nincs megjegyzés")</f>
        <v>nincs megjegyzés</v>
      </c>
      <c r="V2555" t="str">
        <f t="shared" si="741"/>
        <v>0P0</v>
      </c>
      <c r="W2555" t="str">
        <f t="shared" si="742"/>
        <v>0P0</v>
      </c>
      <c r="X2555" t="str">
        <f t="shared" si="743"/>
        <v>P0</v>
      </c>
      <c r="Y2555" t="str">
        <f t="shared" si="744"/>
        <v>00</v>
      </c>
      <c r="Z2555" t="str">
        <f t="shared" si="755"/>
        <v>00</v>
      </c>
      <c r="AA2555" t="str">
        <f t="shared" si="745"/>
        <v>00</v>
      </c>
      <c r="AB2555" t="str">
        <f t="shared" si="746"/>
        <v>00</v>
      </c>
      <c r="AC2555" t="str">
        <f t="shared" si="747"/>
        <v>0P0</v>
      </c>
      <c r="AD2555" t="str">
        <f t="shared" si="748"/>
        <v>P00</v>
      </c>
      <c r="AE2555" t="str">
        <f t="shared" si="749"/>
        <v>0P0</v>
      </c>
      <c r="AF2555" t="str">
        <f t="shared" si="750"/>
        <v>P00</v>
      </c>
      <c r="AG2555" t="str">
        <f t="shared" si="756"/>
        <v>0P00</v>
      </c>
      <c r="AH2555" t="str">
        <f t="shared" si="757"/>
        <v>P000</v>
      </c>
      <c r="AI2555" t="str">
        <f t="shared" si="758"/>
        <v>0P00</v>
      </c>
      <c r="AJ2555" t="str">
        <f t="shared" si="759"/>
        <v>P000</v>
      </c>
    </row>
    <row r="2556" spans="1:36" x14ac:dyDescent="0.25">
      <c r="A2556" s="325" t="str">
        <f>CONCATENATE("P",'906MP'!M2256)</f>
        <v>P</v>
      </c>
      <c r="B2556">
        <f>'906MP'!H2256</f>
        <v>0</v>
      </c>
      <c r="C2556">
        <f>'906MP'!J2256</f>
        <v>0</v>
      </c>
      <c r="D2556">
        <f>'906MP'!P2256</f>
        <v>0</v>
      </c>
      <c r="E2556">
        <f>'906MP'!X2256</f>
        <v>0</v>
      </c>
      <c r="F2556" t="str">
        <f t="shared" si="751"/>
        <v>0</v>
      </c>
      <c r="G2556" t="str">
        <f t="shared" si="752"/>
        <v>0</v>
      </c>
      <c r="H2556">
        <f>'906MP'!Y2256</f>
        <v>0</v>
      </c>
      <c r="I2556">
        <f>'906MP'!AK2256</f>
        <v>0</v>
      </c>
      <c r="J2556">
        <f>'906MP'!T2256</f>
        <v>0</v>
      </c>
      <c r="K2556">
        <f>'906MP'!AJ2256</f>
        <v>0</v>
      </c>
      <c r="L2556">
        <f>'906MP'!U2256</f>
        <v>0</v>
      </c>
      <c r="M2556" s="322" t="str">
        <f>IFERROR(VLOOKUP(A2556,PAR!$D$3:$E$53,2,FALSE),"nincs szervezet")</f>
        <v>nincs szervezet</v>
      </c>
      <c r="N2556" s="322" t="str">
        <f>VLOOKUP(F2556,PAR!$R$3:$S$5,2,FALSE)</f>
        <v>3 - egyik sem</v>
      </c>
      <c r="O2556" t="str">
        <f>IFERROR(VLOOKUP(J2556,PAR!$O$3:$P$5,2,FALSE),"nincs feladat")</f>
        <v>nincs feladat</v>
      </c>
      <c r="P2556" t="str">
        <f>IFERROR(VLOOKUP(G2556,PAR!$J$2:$M$19,4),"nincs rovat")</f>
        <v>nincs rovat</v>
      </c>
      <c r="Q2556" t="str">
        <f>IF(H2556&gt;0,VLOOKUP(H2556,PAR!$AA$3:$AC$187,3,FALSE),"nincs főkönyvi számla")</f>
        <v>nincs főkönyvi számla</v>
      </c>
      <c r="R2556" t="str">
        <f>IFERROR(VLOOKUP(K2556,PAR!$V$3:$X$438,3,FALSE),"000000 - Nincs COFOG")</f>
        <v>000000 - Nincs COFOG</v>
      </c>
      <c r="S2556">
        <f t="shared" si="753"/>
        <v>0</v>
      </c>
      <c r="T2556">
        <f t="shared" si="754"/>
        <v>0</v>
      </c>
      <c r="U2556" t="str">
        <f>IF('906MP'!J2256&gt;0,CONCATENATE('906MP'!J2256," - ",'906MP'!P2256,", ",'906MP'!E2256),"nincs megjegyzés")</f>
        <v>nincs megjegyzés</v>
      </c>
      <c r="V2556" t="str">
        <f t="shared" si="741"/>
        <v>0P0</v>
      </c>
      <c r="W2556" t="str">
        <f t="shared" si="742"/>
        <v>0P0</v>
      </c>
      <c r="X2556" t="str">
        <f t="shared" si="743"/>
        <v>P0</v>
      </c>
      <c r="Y2556" t="str">
        <f t="shared" si="744"/>
        <v>00</v>
      </c>
      <c r="Z2556" t="str">
        <f t="shared" si="755"/>
        <v>00</v>
      </c>
      <c r="AA2556" t="str">
        <f t="shared" si="745"/>
        <v>00</v>
      </c>
      <c r="AB2556" t="str">
        <f t="shared" si="746"/>
        <v>00</v>
      </c>
      <c r="AC2556" t="str">
        <f t="shared" si="747"/>
        <v>0P0</v>
      </c>
      <c r="AD2556" t="str">
        <f t="shared" si="748"/>
        <v>P00</v>
      </c>
      <c r="AE2556" t="str">
        <f t="shared" si="749"/>
        <v>0P0</v>
      </c>
      <c r="AF2556" t="str">
        <f t="shared" si="750"/>
        <v>P00</v>
      </c>
      <c r="AG2556" t="str">
        <f t="shared" si="756"/>
        <v>0P00</v>
      </c>
      <c r="AH2556" t="str">
        <f t="shared" si="757"/>
        <v>P000</v>
      </c>
      <c r="AI2556" t="str">
        <f t="shared" si="758"/>
        <v>0P00</v>
      </c>
      <c r="AJ2556" t="str">
        <f t="shared" si="759"/>
        <v>P000</v>
      </c>
    </row>
    <row r="2557" spans="1:36" x14ac:dyDescent="0.25">
      <c r="A2557" s="325" t="str">
        <f>CONCATENATE("P",'906MP'!M2257)</f>
        <v>P</v>
      </c>
      <c r="B2557">
        <f>'906MP'!H2257</f>
        <v>0</v>
      </c>
      <c r="C2557">
        <f>'906MP'!J2257</f>
        <v>0</v>
      </c>
      <c r="D2557">
        <f>'906MP'!P2257</f>
        <v>0</v>
      </c>
      <c r="E2557">
        <f>'906MP'!X2257</f>
        <v>0</v>
      </c>
      <c r="F2557" t="str">
        <f t="shared" si="751"/>
        <v>0</v>
      </c>
      <c r="G2557" t="str">
        <f t="shared" si="752"/>
        <v>0</v>
      </c>
      <c r="H2557">
        <f>'906MP'!Y2257</f>
        <v>0</v>
      </c>
      <c r="I2557">
        <f>'906MP'!AK2257</f>
        <v>0</v>
      </c>
      <c r="J2557">
        <f>'906MP'!T2257</f>
        <v>0</v>
      </c>
      <c r="K2557">
        <f>'906MP'!AJ2257</f>
        <v>0</v>
      </c>
      <c r="L2557">
        <f>'906MP'!U2257</f>
        <v>0</v>
      </c>
      <c r="M2557" s="322" t="str">
        <f>IFERROR(VLOOKUP(A2557,PAR!$D$3:$E$53,2,FALSE),"nincs szervezet")</f>
        <v>nincs szervezet</v>
      </c>
      <c r="N2557" s="322" t="str">
        <f>VLOOKUP(F2557,PAR!$R$3:$S$5,2,FALSE)</f>
        <v>3 - egyik sem</v>
      </c>
      <c r="O2557" t="str">
        <f>IFERROR(VLOOKUP(J2557,PAR!$O$3:$P$5,2,FALSE),"nincs feladat")</f>
        <v>nincs feladat</v>
      </c>
      <c r="P2557" t="str">
        <f>IFERROR(VLOOKUP(G2557,PAR!$J$2:$M$19,4),"nincs rovat")</f>
        <v>nincs rovat</v>
      </c>
      <c r="Q2557" t="str">
        <f>IF(H2557&gt;0,VLOOKUP(H2557,PAR!$AA$3:$AC$187,3,FALSE),"nincs főkönyvi számla")</f>
        <v>nincs főkönyvi számla</v>
      </c>
      <c r="R2557" t="str">
        <f>IFERROR(VLOOKUP(K2557,PAR!$V$3:$X$438,3,FALSE),"000000 - Nincs COFOG")</f>
        <v>000000 - Nincs COFOG</v>
      </c>
      <c r="S2557">
        <f t="shared" si="753"/>
        <v>0</v>
      </c>
      <c r="T2557">
        <f t="shared" si="754"/>
        <v>0</v>
      </c>
      <c r="U2557" t="str">
        <f>IF('906MP'!J2257&gt;0,CONCATENATE('906MP'!J2257," - ",'906MP'!P2257,", ",'906MP'!E2257),"nincs megjegyzés")</f>
        <v>nincs megjegyzés</v>
      </c>
      <c r="V2557" t="str">
        <f t="shared" si="741"/>
        <v>0P0</v>
      </c>
      <c r="W2557" t="str">
        <f t="shared" si="742"/>
        <v>0P0</v>
      </c>
      <c r="X2557" t="str">
        <f t="shared" si="743"/>
        <v>P0</v>
      </c>
      <c r="Y2557" t="str">
        <f t="shared" si="744"/>
        <v>00</v>
      </c>
      <c r="Z2557" t="str">
        <f t="shared" si="755"/>
        <v>00</v>
      </c>
      <c r="AA2557" t="str">
        <f t="shared" si="745"/>
        <v>00</v>
      </c>
      <c r="AB2557" t="str">
        <f t="shared" si="746"/>
        <v>00</v>
      </c>
      <c r="AC2557" t="str">
        <f t="shared" si="747"/>
        <v>0P0</v>
      </c>
      <c r="AD2557" t="str">
        <f t="shared" si="748"/>
        <v>P00</v>
      </c>
      <c r="AE2557" t="str">
        <f t="shared" si="749"/>
        <v>0P0</v>
      </c>
      <c r="AF2557" t="str">
        <f t="shared" si="750"/>
        <v>P00</v>
      </c>
      <c r="AG2557" t="str">
        <f t="shared" si="756"/>
        <v>0P00</v>
      </c>
      <c r="AH2557" t="str">
        <f t="shared" si="757"/>
        <v>P000</v>
      </c>
      <c r="AI2557" t="str">
        <f t="shared" si="758"/>
        <v>0P00</v>
      </c>
      <c r="AJ2557" t="str">
        <f t="shared" si="759"/>
        <v>P000</v>
      </c>
    </row>
    <row r="2558" spans="1:36" x14ac:dyDescent="0.25">
      <c r="A2558" s="325" t="str">
        <f>CONCATENATE("P",'906MP'!M2258)</f>
        <v>P</v>
      </c>
      <c r="B2558">
        <f>'906MP'!H2258</f>
        <v>0</v>
      </c>
      <c r="C2558">
        <f>'906MP'!J2258</f>
        <v>0</v>
      </c>
      <c r="D2558">
        <f>'906MP'!P2258</f>
        <v>0</v>
      </c>
      <c r="E2558">
        <f>'906MP'!X2258</f>
        <v>0</v>
      </c>
      <c r="F2558" t="str">
        <f t="shared" si="751"/>
        <v>0</v>
      </c>
      <c r="G2558" t="str">
        <f t="shared" si="752"/>
        <v>0</v>
      </c>
      <c r="H2558">
        <f>'906MP'!Y2258</f>
        <v>0</v>
      </c>
      <c r="I2558">
        <f>'906MP'!AK2258</f>
        <v>0</v>
      </c>
      <c r="J2558">
        <f>'906MP'!T2258</f>
        <v>0</v>
      </c>
      <c r="K2558">
        <f>'906MP'!AJ2258</f>
        <v>0</v>
      </c>
      <c r="L2558">
        <f>'906MP'!U2258</f>
        <v>0</v>
      </c>
      <c r="M2558" s="322" t="str">
        <f>IFERROR(VLOOKUP(A2558,PAR!$D$3:$E$53,2,FALSE),"nincs szervezet")</f>
        <v>nincs szervezet</v>
      </c>
      <c r="N2558" s="322" t="str">
        <f>VLOOKUP(F2558,PAR!$R$3:$S$5,2,FALSE)</f>
        <v>3 - egyik sem</v>
      </c>
      <c r="O2558" t="str">
        <f>IFERROR(VLOOKUP(J2558,PAR!$O$3:$P$5,2,FALSE),"nincs feladat")</f>
        <v>nincs feladat</v>
      </c>
      <c r="P2558" t="str">
        <f>IFERROR(VLOOKUP(G2558,PAR!$J$2:$M$19,4),"nincs rovat")</f>
        <v>nincs rovat</v>
      </c>
      <c r="Q2558" t="str">
        <f>IF(H2558&gt;0,VLOOKUP(H2558,PAR!$AA$3:$AC$187,3,FALSE),"nincs főkönyvi számla")</f>
        <v>nincs főkönyvi számla</v>
      </c>
      <c r="R2558" t="str">
        <f>IFERROR(VLOOKUP(K2558,PAR!$V$3:$X$438,3,FALSE),"000000 - Nincs COFOG")</f>
        <v>000000 - Nincs COFOG</v>
      </c>
      <c r="S2558">
        <f t="shared" si="753"/>
        <v>0</v>
      </c>
      <c r="T2558">
        <f t="shared" si="754"/>
        <v>0</v>
      </c>
      <c r="U2558" t="str">
        <f>IF('906MP'!J2258&gt;0,CONCATENATE('906MP'!J2258," - ",'906MP'!P2258,", ",'906MP'!E2258),"nincs megjegyzés")</f>
        <v>nincs megjegyzés</v>
      </c>
      <c r="V2558" t="str">
        <f t="shared" si="741"/>
        <v>0P0</v>
      </c>
      <c r="W2558" t="str">
        <f t="shared" si="742"/>
        <v>0P0</v>
      </c>
      <c r="X2558" t="str">
        <f t="shared" si="743"/>
        <v>P0</v>
      </c>
      <c r="Y2558" t="str">
        <f t="shared" si="744"/>
        <v>00</v>
      </c>
      <c r="Z2558" t="str">
        <f t="shared" si="755"/>
        <v>00</v>
      </c>
      <c r="AA2558" t="str">
        <f t="shared" si="745"/>
        <v>00</v>
      </c>
      <c r="AB2558" t="str">
        <f t="shared" si="746"/>
        <v>00</v>
      </c>
      <c r="AC2558" t="str">
        <f t="shared" si="747"/>
        <v>0P0</v>
      </c>
      <c r="AD2558" t="str">
        <f t="shared" si="748"/>
        <v>P00</v>
      </c>
      <c r="AE2558" t="str">
        <f t="shared" si="749"/>
        <v>0P0</v>
      </c>
      <c r="AF2558" t="str">
        <f t="shared" si="750"/>
        <v>P00</v>
      </c>
      <c r="AG2558" t="str">
        <f t="shared" si="756"/>
        <v>0P00</v>
      </c>
      <c r="AH2558" t="str">
        <f t="shared" si="757"/>
        <v>P000</v>
      </c>
      <c r="AI2558" t="str">
        <f t="shared" si="758"/>
        <v>0P00</v>
      </c>
      <c r="AJ2558" t="str">
        <f t="shared" si="759"/>
        <v>P000</v>
      </c>
    </row>
    <row r="2559" spans="1:36" x14ac:dyDescent="0.25">
      <c r="A2559" s="325" t="str">
        <f>CONCATENATE("P",'906MP'!M2259)</f>
        <v>P</v>
      </c>
      <c r="B2559">
        <f>'906MP'!H2259</f>
        <v>0</v>
      </c>
      <c r="C2559">
        <f>'906MP'!J2259</f>
        <v>0</v>
      </c>
      <c r="D2559">
        <f>'906MP'!P2259</f>
        <v>0</v>
      </c>
      <c r="E2559">
        <f>'906MP'!X2259</f>
        <v>0</v>
      </c>
      <c r="F2559" t="str">
        <f t="shared" si="751"/>
        <v>0</v>
      </c>
      <c r="G2559" t="str">
        <f t="shared" si="752"/>
        <v>0</v>
      </c>
      <c r="H2559">
        <f>'906MP'!Y2259</f>
        <v>0</v>
      </c>
      <c r="I2559">
        <f>'906MP'!AK2259</f>
        <v>0</v>
      </c>
      <c r="J2559">
        <f>'906MP'!T2259</f>
        <v>0</v>
      </c>
      <c r="K2559">
        <f>'906MP'!AJ2259</f>
        <v>0</v>
      </c>
      <c r="L2559">
        <f>'906MP'!U2259</f>
        <v>0</v>
      </c>
      <c r="M2559" s="322" t="str">
        <f>IFERROR(VLOOKUP(A2559,PAR!$D$3:$E$53,2,FALSE),"nincs szervezet")</f>
        <v>nincs szervezet</v>
      </c>
      <c r="N2559" s="322" t="str">
        <f>VLOOKUP(F2559,PAR!$R$3:$S$5,2,FALSE)</f>
        <v>3 - egyik sem</v>
      </c>
      <c r="O2559" t="str">
        <f>IFERROR(VLOOKUP(J2559,PAR!$O$3:$P$5,2,FALSE),"nincs feladat")</f>
        <v>nincs feladat</v>
      </c>
      <c r="P2559" t="str">
        <f>IFERROR(VLOOKUP(G2559,PAR!$J$2:$M$19,4),"nincs rovat")</f>
        <v>nincs rovat</v>
      </c>
      <c r="Q2559" t="str">
        <f>IF(H2559&gt;0,VLOOKUP(H2559,PAR!$AA$3:$AC$187,3,FALSE),"nincs főkönyvi számla")</f>
        <v>nincs főkönyvi számla</v>
      </c>
      <c r="R2559" t="str">
        <f>IFERROR(VLOOKUP(K2559,PAR!$V$3:$X$438,3,FALSE),"000000 - Nincs COFOG")</f>
        <v>000000 - Nincs COFOG</v>
      </c>
      <c r="S2559">
        <f t="shared" si="753"/>
        <v>0</v>
      </c>
      <c r="T2559">
        <f t="shared" si="754"/>
        <v>0</v>
      </c>
      <c r="U2559" t="str">
        <f>IF('906MP'!J2259&gt;0,CONCATENATE('906MP'!J2259," - ",'906MP'!P2259,", ",'906MP'!E2259),"nincs megjegyzés")</f>
        <v>nincs megjegyzés</v>
      </c>
      <c r="V2559" t="str">
        <f t="shared" si="741"/>
        <v>0P0</v>
      </c>
      <c r="W2559" t="str">
        <f t="shared" si="742"/>
        <v>0P0</v>
      </c>
      <c r="X2559" t="str">
        <f t="shared" si="743"/>
        <v>P0</v>
      </c>
      <c r="Y2559" t="str">
        <f t="shared" si="744"/>
        <v>00</v>
      </c>
      <c r="Z2559" t="str">
        <f t="shared" si="755"/>
        <v>00</v>
      </c>
      <c r="AA2559" t="str">
        <f t="shared" si="745"/>
        <v>00</v>
      </c>
      <c r="AB2559" t="str">
        <f t="shared" si="746"/>
        <v>00</v>
      </c>
      <c r="AC2559" t="str">
        <f t="shared" si="747"/>
        <v>0P0</v>
      </c>
      <c r="AD2559" t="str">
        <f t="shared" si="748"/>
        <v>P00</v>
      </c>
      <c r="AE2559" t="str">
        <f t="shared" si="749"/>
        <v>0P0</v>
      </c>
      <c r="AF2559" t="str">
        <f t="shared" si="750"/>
        <v>P00</v>
      </c>
      <c r="AG2559" t="str">
        <f t="shared" si="756"/>
        <v>0P00</v>
      </c>
      <c r="AH2559" t="str">
        <f t="shared" si="757"/>
        <v>P000</v>
      </c>
      <c r="AI2559" t="str">
        <f t="shared" si="758"/>
        <v>0P00</v>
      </c>
      <c r="AJ2559" t="str">
        <f t="shared" si="759"/>
        <v>P000</v>
      </c>
    </row>
    <row r="2560" spans="1:36" x14ac:dyDescent="0.25">
      <c r="A2560" s="325" t="str">
        <f>CONCATENATE("P",'906MP'!M2260)</f>
        <v>P</v>
      </c>
      <c r="B2560">
        <f>'906MP'!H2260</f>
        <v>0</v>
      </c>
      <c r="C2560">
        <f>'906MP'!J2260</f>
        <v>0</v>
      </c>
      <c r="D2560">
        <f>'906MP'!P2260</f>
        <v>0</v>
      </c>
      <c r="E2560">
        <f>'906MP'!X2260</f>
        <v>0</v>
      </c>
      <c r="F2560" t="str">
        <f t="shared" si="751"/>
        <v>0</v>
      </c>
      <c r="G2560" t="str">
        <f t="shared" si="752"/>
        <v>0</v>
      </c>
      <c r="H2560">
        <f>'906MP'!Y2260</f>
        <v>0</v>
      </c>
      <c r="I2560">
        <f>'906MP'!AK2260</f>
        <v>0</v>
      </c>
      <c r="J2560">
        <f>'906MP'!T2260</f>
        <v>0</v>
      </c>
      <c r="K2560">
        <f>'906MP'!AJ2260</f>
        <v>0</v>
      </c>
      <c r="L2560">
        <f>'906MP'!U2260</f>
        <v>0</v>
      </c>
      <c r="M2560" s="322" t="str">
        <f>IFERROR(VLOOKUP(A2560,PAR!$D$3:$E$53,2,FALSE),"nincs szervezet")</f>
        <v>nincs szervezet</v>
      </c>
      <c r="N2560" s="322" t="str">
        <f>VLOOKUP(F2560,PAR!$R$3:$S$5,2,FALSE)</f>
        <v>3 - egyik sem</v>
      </c>
      <c r="O2560" t="str">
        <f>IFERROR(VLOOKUP(J2560,PAR!$O$3:$P$5,2,FALSE),"nincs feladat")</f>
        <v>nincs feladat</v>
      </c>
      <c r="P2560" t="str">
        <f>IFERROR(VLOOKUP(G2560,PAR!$J$2:$M$19,4),"nincs rovat")</f>
        <v>nincs rovat</v>
      </c>
      <c r="Q2560" t="str">
        <f>IF(H2560&gt;0,VLOOKUP(H2560,PAR!$AA$3:$AC$187,3,FALSE),"nincs főkönyvi számla")</f>
        <v>nincs főkönyvi számla</v>
      </c>
      <c r="R2560" t="str">
        <f>IFERROR(VLOOKUP(K2560,PAR!$V$3:$X$438,3,FALSE),"000000 - Nincs COFOG")</f>
        <v>000000 - Nincs COFOG</v>
      </c>
      <c r="S2560">
        <f t="shared" si="753"/>
        <v>0</v>
      </c>
      <c r="T2560">
        <f t="shared" si="754"/>
        <v>0</v>
      </c>
      <c r="U2560" t="str">
        <f>IF('906MP'!J2260&gt;0,CONCATENATE('906MP'!J2260," - ",'906MP'!P2260,", ",'906MP'!E2260),"nincs megjegyzés")</f>
        <v>nincs megjegyzés</v>
      </c>
      <c r="V2560" t="str">
        <f t="shared" si="741"/>
        <v>0P0</v>
      </c>
      <c r="W2560" t="str">
        <f t="shared" si="742"/>
        <v>0P0</v>
      </c>
      <c r="X2560" t="str">
        <f t="shared" si="743"/>
        <v>P0</v>
      </c>
      <c r="Y2560" t="str">
        <f t="shared" si="744"/>
        <v>00</v>
      </c>
      <c r="Z2560" t="str">
        <f t="shared" si="755"/>
        <v>00</v>
      </c>
      <c r="AA2560" t="str">
        <f t="shared" si="745"/>
        <v>00</v>
      </c>
      <c r="AB2560" t="str">
        <f t="shared" si="746"/>
        <v>00</v>
      </c>
      <c r="AC2560" t="str">
        <f t="shared" si="747"/>
        <v>0P0</v>
      </c>
      <c r="AD2560" t="str">
        <f t="shared" si="748"/>
        <v>P00</v>
      </c>
      <c r="AE2560" t="str">
        <f t="shared" si="749"/>
        <v>0P0</v>
      </c>
      <c r="AF2560" t="str">
        <f t="shared" si="750"/>
        <v>P00</v>
      </c>
      <c r="AG2560" t="str">
        <f t="shared" si="756"/>
        <v>0P00</v>
      </c>
      <c r="AH2560" t="str">
        <f t="shared" si="757"/>
        <v>P000</v>
      </c>
      <c r="AI2560" t="str">
        <f t="shared" si="758"/>
        <v>0P00</v>
      </c>
      <c r="AJ2560" t="str">
        <f t="shared" si="759"/>
        <v>P000</v>
      </c>
    </row>
    <row r="2561" spans="1:36" x14ac:dyDescent="0.25">
      <c r="A2561" s="325" t="str">
        <f>CONCATENATE("P",'906MP'!M2261)</f>
        <v>P</v>
      </c>
      <c r="B2561">
        <f>'906MP'!H2261</f>
        <v>0</v>
      </c>
      <c r="C2561">
        <f>'906MP'!J2261</f>
        <v>0</v>
      </c>
      <c r="D2561">
        <f>'906MP'!P2261</f>
        <v>0</v>
      </c>
      <c r="E2561">
        <f>'906MP'!X2261</f>
        <v>0</v>
      </c>
      <c r="F2561" t="str">
        <f t="shared" si="751"/>
        <v>0</v>
      </c>
      <c r="G2561" t="str">
        <f t="shared" si="752"/>
        <v>0</v>
      </c>
      <c r="H2561">
        <f>'906MP'!Y2261</f>
        <v>0</v>
      </c>
      <c r="I2561">
        <f>'906MP'!AK2261</f>
        <v>0</v>
      </c>
      <c r="J2561">
        <f>'906MP'!T2261</f>
        <v>0</v>
      </c>
      <c r="K2561">
        <f>'906MP'!AJ2261</f>
        <v>0</v>
      </c>
      <c r="L2561">
        <f>'906MP'!U2261</f>
        <v>0</v>
      </c>
      <c r="M2561" s="322" t="str">
        <f>IFERROR(VLOOKUP(A2561,PAR!$D$3:$E$53,2,FALSE),"nincs szervezet")</f>
        <v>nincs szervezet</v>
      </c>
      <c r="N2561" s="322" t="str">
        <f>VLOOKUP(F2561,PAR!$R$3:$S$5,2,FALSE)</f>
        <v>3 - egyik sem</v>
      </c>
      <c r="O2561" t="str">
        <f>IFERROR(VLOOKUP(J2561,PAR!$O$3:$P$5,2,FALSE),"nincs feladat")</f>
        <v>nincs feladat</v>
      </c>
      <c r="P2561" t="str">
        <f>IFERROR(VLOOKUP(G2561,PAR!$J$2:$M$19,4),"nincs rovat")</f>
        <v>nincs rovat</v>
      </c>
      <c r="Q2561" t="str">
        <f>IF(H2561&gt;0,VLOOKUP(H2561,PAR!$AA$3:$AC$187,3,FALSE),"nincs főkönyvi számla")</f>
        <v>nincs főkönyvi számla</v>
      </c>
      <c r="R2561" t="str">
        <f>IFERROR(VLOOKUP(K2561,PAR!$V$3:$X$438,3,FALSE),"000000 - Nincs COFOG")</f>
        <v>000000 - Nincs COFOG</v>
      </c>
      <c r="S2561">
        <f t="shared" si="753"/>
        <v>0</v>
      </c>
      <c r="T2561">
        <f t="shared" si="754"/>
        <v>0</v>
      </c>
      <c r="U2561" t="str">
        <f>IF('906MP'!J2261&gt;0,CONCATENATE('906MP'!J2261," - ",'906MP'!P2261,", ",'906MP'!E2261),"nincs megjegyzés")</f>
        <v>nincs megjegyzés</v>
      </c>
      <c r="V2561" t="str">
        <f t="shared" si="741"/>
        <v>0P0</v>
      </c>
      <c r="W2561" t="str">
        <f t="shared" si="742"/>
        <v>0P0</v>
      </c>
      <c r="X2561" t="str">
        <f t="shared" si="743"/>
        <v>P0</v>
      </c>
      <c r="Y2561" t="str">
        <f t="shared" si="744"/>
        <v>00</v>
      </c>
      <c r="Z2561" t="str">
        <f t="shared" si="755"/>
        <v>00</v>
      </c>
      <c r="AA2561" t="str">
        <f t="shared" si="745"/>
        <v>00</v>
      </c>
      <c r="AB2561" t="str">
        <f t="shared" si="746"/>
        <v>00</v>
      </c>
      <c r="AC2561" t="str">
        <f t="shared" si="747"/>
        <v>0P0</v>
      </c>
      <c r="AD2561" t="str">
        <f t="shared" si="748"/>
        <v>P00</v>
      </c>
      <c r="AE2561" t="str">
        <f t="shared" si="749"/>
        <v>0P0</v>
      </c>
      <c r="AF2561" t="str">
        <f t="shared" si="750"/>
        <v>P00</v>
      </c>
      <c r="AG2561" t="str">
        <f t="shared" si="756"/>
        <v>0P00</v>
      </c>
      <c r="AH2561" t="str">
        <f t="shared" si="757"/>
        <v>P000</v>
      </c>
      <c r="AI2561" t="str">
        <f t="shared" si="758"/>
        <v>0P00</v>
      </c>
      <c r="AJ2561" t="str">
        <f t="shared" si="759"/>
        <v>P000</v>
      </c>
    </row>
    <row r="2562" spans="1:36" x14ac:dyDescent="0.25">
      <c r="A2562" s="325" t="str">
        <f>CONCATENATE("P",'906MP'!M2262)</f>
        <v>P</v>
      </c>
      <c r="B2562">
        <f>'906MP'!H2262</f>
        <v>0</v>
      </c>
      <c r="C2562">
        <f>'906MP'!J2262</f>
        <v>0</v>
      </c>
      <c r="D2562">
        <f>'906MP'!P2262</f>
        <v>0</v>
      </c>
      <c r="E2562">
        <f>'906MP'!X2262</f>
        <v>0</v>
      </c>
      <c r="F2562" t="str">
        <f t="shared" si="751"/>
        <v>0</v>
      </c>
      <c r="G2562" t="str">
        <f t="shared" si="752"/>
        <v>0</v>
      </c>
      <c r="H2562">
        <f>'906MP'!Y2262</f>
        <v>0</v>
      </c>
      <c r="I2562">
        <f>'906MP'!AK2262</f>
        <v>0</v>
      </c>
      <c r="J2562">
        <f>'906MP'!T2262</f>
        <v>0</v>
      </c>
      <c r="K2562">
        <f>'906MP'!AJ2262</f>
        <v>0</v>
      </c>
      <c r="L2562">
        <f>'906MP'!U2262</f>
        <v>0</v>
      </c>
      <c r="M2562" s="322" t="str">
        <f>IFERROR(VLOOKUP(A2562,PAR!$D$3:$E$53,2,FALSE),"nincs szervezet")</f>
        <v>nincs szervezet</v>
      </c>
      <c r="N2562" s="322" t="str">
        <f>VLOOKUP(F2562,PAR!$R$3:$S$5,2,FALSE)</f>
        <v>3 - egyik sem</v>
      </c>
      <c r="O2562" t="str">
        <f>IFERROR(VLOOKUP(J2562,PAR!$O$3:$P$5,2,FALSE),"nincs feladat")</f>
        <v>nincs feladat</v>
      </c>
      <c r="P2562" t="str">
        <f>IFERROR(VLOOKUP(G2562,PAR!$J$2:$M$19,4),"nincs rovat")</f>
        <v>nincs rovat</v>
      </c>
      <c r="Q2562" t="str">
        <f>IF(H2562&gt;0,VLOOKUP(H2562,PAR!$AA$3:$AC$187,3,FALSE),"nincs főkönyvi számla")</f>
        <v>nincs főkönyvi számla</v>
      </c>
      <c r="R2562" t="str">
        <f>IFERROR(VLOOKUP(K2562,PAR!$V$3:$X$438,3,FALSE),"000000 - Nincs COFOG")</f>
        <v>000000 - Nincs COFOG</v>
      </c>
      <c r="S2562">
        <f t="shared" si="753"/>
        <v>0</v>
      </c>
      <c r="T2562">
        <f t="shared" si="754"/>
        <v>0</v>
      </c>
      <c r="U2562" t="str">
        <f>IF('906MP'!J2262&gt;0,CONCATENATE('906MP'!J2262," - ",'906MP'!P2262,", ",'906MP'!E2262),"nincs megjegyzés")</f>
        <v>nincs megjegyzés</v>
      </c>
      <c r="V2562" t="str">
        <f t="shared" ref="V2562:V2625" si="760">CONCATENATE(B2562,A2562,G2562)</f>
        <v>0P0</v>
      </c>
      <c r="W2562" t="str">
        <f t="shared" ref="W2562:W2625" si="761">CONCATENATE(B2562,A2562,F2562)</f>
        <v>0P0</v>
      </c>
      <c r="X2562" t="str">
        <f t="shared" ref="X2562:X2625" si="762">CONCATENATE(A2562,H2562)</f>
        <v>P0</v>
      </c>
      <c r="Y2562" t="str">
        <f t="shared" ref="Y2562:Y2625" si="763">CONCATENATE(B2562,H2562)</f>
        <v>00</v>
      </c>
      <c r="Z2562" t="str">
        <f t="shared" si="755"/>
        <v>00</v>
      </c>
      <c r="AA2562" t="str">
        <f t="shared" ref="AA2562:AA2625" si="764">CONCATENATE(B2562,G2562)</f>
        <v>00</v>
      </c>
      <c r="AB2562" t="str">
        <f t="shared" ref="AB2562:AB2625" si="765">CONCATENATE(J2562,G2562)</f>
        <v>00</v>
      </c>
      <c r="AC2562" t="str">
        <f t="shared" ref="AC2562:AC2625" si="766">CONCATENATE(B2562,A2562,H2562)</f>
        <v>0P0</v>
      </c>
      <c r="AD2562" t="str">
        <f t="shared" ref="AD2562:AD2625" si="767">CONCATENATE(A2562,H2562,J2562)</f>
        <v>P00</v>
      </c>
      <c r="AE2562" t="str">
        <f t="shared" ref="AE2562:AE2625" si="768">CONCATENATE(B2562,A2562,G2562)</f>
        <v>0P0</v>
      </c>
      <c r="AF2562" t="str">
        <f t="shared" ref="AF2562:AF2625" si="769">CONCATENATE(A2562,G2562,J2562)</f>
        <v>P00</v>
      </c>
      <c r="AG2562" t="str">
        <f t="shared" si="756"/>
        <v>0P00</v>
      </c>
      <c r="AH2562" t="str">
        <f t="shared" si="757"/>
        <v>P000</v>
      </c>
      <c r="AI2562" t="str">
        <f t="shared" si="758"/>
        <v>0P00</v>
      </c>
      <c r="AJ2562" t="str">
        <f t="shared" si="759"/>
        <v>P000</v>
      </c>
    </row>
    <row r="2563" spans="1:36" x14ac:dyDescent="0.25">
      <c r="A2563" s="325" t="str">
        <f>CONCATENATE("P",'906MP'!M2263)</f>
        <v>P</v>
      </c>
      <c r="B2563">
        <f>'906MP'!H2263</f>
        <v>0</v>
      </c>
      <c r="C2563">
        <f>'906MP'!J2263</f>
        <v>0</v>
      </c>
      <c r="D2563">
        <f>'906MP'!P2263</f>
        <v>0</v>
      </c>
      <c r="E2563">
        <f>'906MP'!X2263</f>
        <v>0</v>
      </c>
      <c r="F2563" t="str">
        <f t="shared" ref="F2563:F2626" si="770">LEFT(G2563,2)</f>
        <v>0</v>
      </c>
      <c r="G2563" t="str">
        <f t="shared" ref="G2563:G2626" si="771">LEFT(H2563,3)</f>
        <v>0</v>
      </c>
      <c r="H2563">
        <f>'906MP'!Y2263</f>
        <v>0</v>
      </c>
      <c r="I2563">
        <f>'906MP'!AK2263</f>
        <v>0</v>
      </c>
      <c r="J2563">
        <f>'906MP'!T2263</f>
        <v>0</v>
      </c>
      <c r="K2563">
        <f>'906MP'!AJ2263</f>
        <v>0</v>
      </c>
      <c r="L2563">
        <f>'906MP'!U2263</f>
        <v>0</v>
      </c>
      <c r="M2563" s="322" t="str">
        <f>IFERROR(VLOOKUP(A2563,PAR!$D$3:$E$53,2,FALSE),"nincs szervezet")</f>
        <v>nincs szervezet</v>
      </c>
      <c r="N2563" s="322" t="str">
        <f>VLOOKUP(F2563,PAR!$R$3:$S$5,2,FALSE)</f>
        <v>3 - egyik sem</v>
      </c>
      <c r="O2563" t="str">
        <f>IFERROR(VLOOKUP(J2563,PAR!$O$3:$P$5,2,FALSE),"nincs feladat")</f>
        <v>nincs feladat</v>
      </c>
      <c r="P2563" t="str">
        <f>IFERROR(VLOOKUP(G2563,PAR!$J$2:$M$19,4),"nincs rovat")</f>
        <v>nincs rovat</v>
      </c>
      <c r="Q2563" t="str">
        <f>IF(H2563&gt;0,VLOOKUP(H2563,PAR!$AA$3:$AC$187,3,FALSE),"nincs főkönyvi számla")</f>
        <v>nincs főkönyvi számla</v>
      </c>
      <c r="R2563" t="str">
        <f>IFERROR(VLOOKUP(K2563,PAR!$V$3:$X$438,3,FALSE),"000000 - Nincs COFOG")</f>
        <v>000000 - Nincs COFOG</v>
      </c>
      <c r="S2563">
        <f t="shared" ref="S2563:S2626" si="772">E2563</f>
        <v>0</v>
      </c>
      <c r="T2563">
        <f t="shared" ref="T2563:T2626" si="773">IF(F2563="09",E2563*-1,E2563)</f>
        <v>0</v>
      </c>
      <c r="U2563" t="str">
        <f>IF('906MP'!J2263&gt;0,CONCATENATE('906MP'!J2263," - ",'906MP'!P2263,", ",'906MP'!E2263),"nincs megjegyzés")</f>
        <v>nincs megjegyzés</v>
      </c>
      <c r="V2563" t="str">
        <f t="shared" si="760"/>
        <v>0P0</v>
      </c>
      <c r="W2563" t="str">
        <f t="shared" si="761"/>
        <v>0P0</v>
      </c>
      <c r="X2563" t="str">
        <f t="shared" si="762"/>
        <v>P0</v>
      </c>
      <c r="Y2563" t="str">
        <f t="shared" si="763"/>
        <v>00</v>
      </c>
      <c r="Z2563" t="str">
        <f t="shared" ref="Z2563:Z2626" si="774">CONCATENATE(J2563,H2563)</f>
        <v>00</v>
      </c>
      <c r="AA2563" t="str">
        <f t="shared" si="764"/>
        <v>00</v>
      </c>
      <c r="AB2563" t="str">
        <f t="shared" si="765"/>
        <v>00</v>
      </c>
      <c r="AC2563" t="str">
        <f t="shared" si="766"/>
        <v>0P0</v>
      </c>
      <c r="AD2563" t="str">
        <f t="shared" si="767"/>
        <v>P00</v>
      </c>
      <c r="AE2563" t="str">
        <f t="shared" si="768"/>
        <v>0P0</v>
      </c>
      <c r="AF2563" t="str">
        <f t="shared" si="769"/>
        <v>P00</v>
      </c>
      <c r="AG2563" t="str">
        <f t="shared" ref="AG2563:AG2626" si="775">CONCATENATE(B2563,A2563,H2563,L2563)</f>
        <v>0P00</v>
      </c>
      <c r="AH2563" t="str">
        <f t="shared" ref="AH2563:AH2626" si="776">CONCATENATE(A2563,J2563,H2563,L2563)</f>
        <v>P000</v>
      </c>
      <c r="AI2563" t="str">
        <f t="shared" ref="AI2563:AI2626" si="777">CONCATENATE(B2563,A2563,G2563,L2563)</f>
        <v>0P00</v>
      </c>
      <c r="AJ2563" t="str">
        <f t="shared" ref="AJ2563:AJ2626" si="778">CONCATENATE(A2563,G2563,J2563,L2563)</f>
        <v>P000</v>
      </c>
    </row>
    <row r="2564" spans="1:36" x14ac:dyDescent="0.25">
      <c r="A2564" s="325" t="str">
        <f>CONCATENATE("P",'906MP'!M2264)</f>
        <v>P</v>
      </c>
      <c r="B2564">
        <f>'906MP'!H2264</f>
        <v>0</v>
      </c>
      <c r="C2564">
        <f>'906MP'!J2264</f>
        <v>0</v>
      </c>
      <c r="D2564">
        <f>'906MP'!P2264</f>
        <v>0</v>
      </c>
      <c r="E2564">
        <f>'906MP'!X2264</f>
        <v>0</v>
      </c>
      <c r="F2564" t="str">
        <f t="shared" si="770"/>
        <v>0</v>
      </c>
      <c r="G2564" t="str">
        <f t="shared" si="771"/>
        <v>0</v>
      </c>
      <c r="H2564">
        <f>'906MP'!Y2264</f>
        <v>0</v>
      </c>
      <c r="I2564">
        <f>'906MP'!AK2264</f>
        <v>0</v>
      </c>
      <c r="J2564">
        <f>'906MP'!T2264</f>
        <v>0</v>
      </c>
      <c r="K2564">
        <f>'906MP'!AJ2264</f>
        <v>0</v>
      </c>
      <c r="L2564">
        <f>'906MP'!U2264</f>
        <v>0</v>
      </c>
      <c r="M2564" s="322" t="str">
        <f>IFERROR(VLOOKUP(A2564,PAR!$D$3:$E$53,2,FALSE),"nincs szervezet")</f>
        <v>nincs szervezet</v>
      </c>
      <c r="N2564" s="322" t="str">
        <f>VLOOKUP(F2564,PAR!$R$3:$S$5,2,FALSE)</f>
        <v>3 - egyik sem</v>
      </c>
      <c r="O2564" t="str">
        <f>IFERROR(VLOOKUP(J2564,PAR!$O$3:$P$5,2,FALSE),"nincs feladat")</f>
        <v>nincs feladat</v>
      </c>
      <c r="P2564" t="str">
        <f>IFERROR(VLOOKUP(G2564,PAR!$J$2:$M$19,4),"nincs rovat")</f>
        <v>nincs rovat</v>
      </c>
      <c r="Q2564" t="str">
        <f>IF(H2564&gt;0,VLOOKUP(H2564,PAR!$AA$3:$AC$187,3,FALSE),"nincs főkönyvi számla")</f>
        <v>nincs főkönyvi számla</v>
      </c>
      <c r="R2564" t="str">
        <f>IFERROR(VLOOKUP(K2564,PAR!$V$3:$X$438,3,FALSE),"000000 - Nincs COFOG")</f>
        <v>000000 - Nincs COFOG</v>
      </c>
      <c r="S2564">
        <f t="shared" si="772"/>
        <v>0</v>
      </c>
      <c r="T2564">
        <f t="shared" si="773"/>
        <v>0</v>
      </c>
      <c r="U2564" t="str">
        <f>IF('906MP'!J2264&gt;0,CONCATENATE('906MP'!J2264," - ",'906MP'!P2264,", ",'906MP'!E2264),"nincs megjegyzés")</f>
        <v>nincs megjegyzés</v>
      </c>
      <c r="V2564" t="str">
        <f t="shared" si="760"/>
        <v>0P0</v>
      </c>
      <c r="W2564" t="str">
        <f t="shared" si="761"/>
        <v>0P0</v>
      </c>
      <c r="X2564" t="str">
        <f t="shared" si="762"/>
        <v>P0</v>
      </c>
      <c r="Y2564" t="str">
        <f t="shared" si="763"/>
        <v>00</v>
      </c>
      <c r="Z2564" t="str">
        <f t="shared" si="774"/>
        <v>00</v>
      </c>
      <c r="AA2564" t="str">
        <f t="shared" si="764"/>
        <v>00</v>
      </c>
      <c r="AB2564" t="str">
        <f t="shared" si="765"/>
        <v>00</v>
      </c>
      <c r="AC2564" t="str">
        <f t="shared" si="766"/>
        <v>0P0</v>
      </c>
      <c r="AD2564" t="str">
        <f t="shared" si="767"/>
        <v>P00</v>
      </c>
      <c r="AE2564" t="str">
        <f t="shared" si="768"/>
        <v>0P0</v>
      </c>
      <c r="AF2564" t="str">
        <f t="shared" si="769"/>
        <v>P00</v>
      </c>
      <c r="AG2564" t="str">
        <f t="shared" si="775"/>
        <v>0P00</v>
      </c>
      <c r="AH2564" t="str">
        <f t="shared" si="776"/>
        <v>P000</v>
      </c>
      <c r="AI2564" t="str">
        <f t="shared" si="777"/>
        <v>0P00</v>
      </c>
      <c r="AJ2564" t="str">
        <f t="shared" si="778"/>
        <v>P000</v>
      </c>
    </row>
    <row r="2565" spans="1:36" x14ac:dyDescent="0.25">
      <c r="A2565" s="325" t="str">
        <f>CONCATENATE("P",'906MP'!M2265)</f>
        <v>P</v>
      </c>
      <c r="B2565">
        <f>'906MP'!H2265</f>
        <v>0</v>
      </c>
      <c r="C2565">
        <f>'906MP'!J2265</f>
        <v>0</v>
      </c>
      <c r="D2565">
        <f>'906MP'!P2265</f>
        <v>0</v>
      </c>
      <c r="E2565">
        <f>'906MP'!X2265</f>
        <v>0</v>
      </c>
      <c r="F2565" t="str">
        <f t="shared" si="770"/>
        <v>0</v>
      </c>
      <c r="G2565" t="str">
        <f t="shared" si="771"/>
        <v>0</v>
      </c>
      <c r="H2565">
        <f>'906MP'!Y2265</f>
        <v>0</v>
      </c>
      <c r="I2565">
        <f>'906MP'!AK2265</f>
        <v>0</v>
      </c>
      <c r="J2565">
        <f>'906MP'!T2265</f>
        <v>0</v>
      </c>
      <c r="K2565">
        <f>'906MP'!AJ2265</f>
        <v>0</v>
      </c>
      <c r="L2565">
        <f>'906MP'!U2265</f>
        <v>0</v>
      </c>
      <c r="M2565" s="322" t="str">
        <f>IFERROR(VLOOKUP(A2565,PAR!$D$3:$E$53,2,FALSE),"nincs szervezet")</f>
        <v>nincs szervezet</v>
      </c>
      <c r="N2565" s="322" t="str">
        <f>VLOOKUP(F2565,PAR!$R$3:$S$5,2,FALSE)</f>
        <v>3 - egyik sem</v>
      </c>
      <c r="O2565" t="str">
        <f>IFERROR(VLOOKUP(J2565,PAR!$O$3:$P$5,2,FALSE),"nincs feladat")</f>
        <v>nincs feladat</v>
      </c>
      <c r="P2565" t="str">
        <f>IFERROR(VLOOKUP(G2565,PAR!$J$2:$M$19,4),"nincs rovat")</f>
        <v>nincs rovat</v>
      </c>
      <c r="Q2565" t="str">
        <f>IF(H2565&gt;0,VLOOKUP(H2565,PAR!$AA$3:$AC$187,3,FALSE),"nincs főkönyvi számla")</f>
        <v>nincs főkönyvi számla</v>
      </c>
      <c r="R2565" t="str">
        <f>IFERROR(VLOOKUP(K2565,PAR!$V$3:$X$438,3,FALSE),"000000 - Nincs COFOG")</f>
        <v>000000 - Nincs COFOG</v>
      </c>
      <c r="S2565">
        <f t="shared" si="772"/>
        <v>0</v>
      </c>
      <c r="T2565">
        <f t="shared" si="773"/>
        <v>0</v>
      </c>
      <c r="U2565" t="str">
        <f>IF('906MP'!J2265&gt;0,CONCATENATE('906MP'!J2265," - ",'906MP'!P2265,", ",'906MP'!E2265),"nincs megjegyzés")</f>
        <v>nincs megjegyzés</v>
      </c>
      <c r="V2565" t="str">
        <f t="shared" si="760"/>
        <v>0P0</v>
      </c>
      <c r="W2565" t="str">
        <f t="shared" si="761"/>
        <v>0P0</v>
      </c>
      <c r="X2565" t="str">
        <f t="shared" si="762"/>
        <v>P0</v>
      </c>
      <c r="Y2565" t="str">
        <f t="shared" si="763"/>
        <v>00</v>
      </c>
      <c r="Z2565" t="str">
        <f t="shared" si="774"/>
        <v>00</v>
      </c>
      <c r="AA2565" t="str">
        <f t="shared" si="764"/>
        <v>00</v>
      </c>
      <c r="AB2565" t="str">
        <f t="shared" si="765"/>
        <v>00</v>
      </c>
      <c r="AC2565" t="str">
        <f t="shared" si="766"/>
        <v>0P0</v>
      </c>
      <c r="AD2565" t="str">
        <f t="shared" si="767"/>
        <v>P00</v>
      </c>
      <c r="AE2565" t="str">
        <f t="shared" si="768"/>
        <v>0P0</v>
      </c>
      <c r="AF2565" t="str">
        <f t="shared" si="769"/>
        <v>P00</v>
      </c>
      <c r="AG2565" t="str">
        <f t="shared" si="775"/>
        <v>0P00</v>
      </c>
      <c r="AH2565" t="str">
        <f t="shared" si="776"/>
        <v>P000</v>
      </c>
      <c r="AI2565" t="str">
        <f t="shared" si="777"/>
        <v>0P00</v>
      </c>
      <c r="AJ2565" t="str">
        <f t="shared" si="778"/>
        <v>P000</v>
      </c>
    </row>
    <row r="2566" spans="1:36" x14ac:dyDescent="0.25">
      <c r="A2566" s="325" t="str">
        <f>CONCATENATE("P",'906MP'!M2266)</f>
        <v>P</v>
      </c>
      <c r="B2566">
        <f>'906MP'!H2266</f>
        <v>0</v>
      </c>
      <c r="C2566">
        <f>'906MP'!J2266</f>
        <v>0</v>
      </c>
      <c r="D2566">
        <f>'906MP'!P2266</f>
        <v>0</v>
      </c>
      <c r="E2566">
        <f>'906MP'!X2266</f>
        <v>0</v>
      </c>
      <c r="F2566" t="str">
        <f t="shared" si="770"/>
        <v>0</v>
      </c>
      <c r="G2566" t="str">
        <f t="shared" si="771"/>
        <v>0</v>
      </c>
      <c r="H2566">
        <f>'906MP'!Y2266</f>
        <v>0</v>
      </c>
      <c r="I2566">
        <f>'906MP'!AK2266</f>
        <v>0</v>
      </c>
      <c r="J2566">
        <f>'906MP'!T2266</f>
        <v>0</v>
      </c>
      <c r="K2566">
        <f>'906MP'!AJ2266</f>
        <v>0</v>
      </c>
      <c r="L2566">
        <f>'906MP'!U2266</f>
        <v>0</v>
      </c>
      <c r="M2566" s="322" t="str">
        <f>IFERROR(VLOOKUP(A2566,PAR!$D$3:$E$53,2,FALSE),"nincs szervezet")</f>
        <v>nincs szervezet</v>
      </c>
      <c r="N2566" s="322" t="str">
        <f>VLOOKUP(F2566,PAR!$R$3:$S$5,2,FALSE)</f>
        <v>3 - egyik sem</v>
      </c>
      <c r="O2566" t="str">
        <f>IFERROR(VLOOKUP(J2566,PAR!$O$3:$P$5,2,FALSE),"nincs feladat")</f>
        <v>nincs feladat</v>
      </c>
      <c r="P2566" t="str">
        <f>IFERROR(VLOOKUP(G2566,PAR!$J$2:$M$19,4),"nincs rovat")</f>
        <v>nincs rovat</v>
      </c>
      <c r="Q2566" t="str">
        <f>IF(H2566&gt;0,VLOOKUP(H2566,PAR!$AA$3:$AC$187,3,FALSE),"nincs főkönyvi számla")</f>
        <v>nincs főkönyvi számla</v>
      </c>
      <c r="R2566" t="str">
        <f>IFERROR(VLOOKUP(K2566,PAR!$V$3:$X$438,3,FALSE),"000000 - Nincs COFOG")</f>
        <v>000000 - Nincs COFOG</v>
      </c>
      <c r="S2566">
        <f t="shared" si="772"/>
        <v>0</v>
      </c>
      <c r="T2566">
        <f t="shared" si="773"/>
        <v>0</v>
      </c>
      <c r="U2566" t="str">
        <f>IF('906MP'!J2266&gt;0,CONCATENATE('906MP'!J2266," - ",'906MP'!P2266,", ",'906MP'!E2266),"nincs megjegyzés")</f>
        <v>nincs megjegyzés</v>
      </c>
      <c r="V2566" t="str">
        <f t="shared" si="760"/>
        <v>0P0</v>
      </c>
      <c r="W2566" t="str">
        <f t="shared" si="761"/>
        <v>0P0</v>
      </c>
      <c r="X2566" t="str">
        <f t="shared" si="762"/>
        <v>P0</v>
      </c>
      <c r="Y2566" t="str">
        <f t="shared" si="763"/>
        <v>00</v>
      </c>
      <c r="Z2566" t="str">
        <f t="shared" si="774"/>
        <v>00</v>
      </c>
      <c r="AA2566" t="str">
        <f t="shared" si="764"/>
        <v>00</v>
      </c>
      <c r="AB2566" t="str">
        <f t="shared" si="765"/>
        <v>00</v>
      </c>
      <c r="AC2566" t="str">
        <f t="shared" si="766"/>
        <v>0P0</v>
      </c>
      <c r="AD2566" t="str">
        <f t="shared" si="767"/>
        <v>P00</v>
      </c>
      <c r="AE2566" t="str">
        <f t="shared" si="768"/>
        <v>0P0</v>
      </c>
      <c r="AF2566" t="str">
        <f t="shared" si="769"/>
        <v>P00</v>
      </c>
      <c r="AG2566" t="str">
        <f t="shared" si="775"/>
        <v>0P00</v>
      </c>
      <c r="AH2566" t="str">
        <f t="shared" si="776"/>
        <v>P000</v>
      </c>
      <c r="AI2566" t="str">
        <f t="shared" si="777"/>
        <v>0P00</v>
      </c>
      <c r="AJ2566" t="str">
        <f t="shared" si="778"/>
        <v>P000</v>
      </c>
    </row>
    <row r="2567" spans="1:36" x14ac:dyDescent="0.25">
      <c r="A2567" s="325" t="str">
        <f>CONCATENATE("P",'906MP'!M2267)</f>
        <v>P</v>
      </c>
      <c r="B2567">
        <f>'906MP'!H2267</f>
        <v>0</v>
      </c>
      <c r="C2567">
        <f>'906MP'!J2267</f>
        <v>0</v>
      </c>
      <c r="D2567">
        <f>'906MP'!P2267</f>
        <v>0</v>
      </c>
      <c r="E2567">
        <f>'906MP'!X2267</f>
        <v>0</v>
      </c>
      <c r="F2567" t="str">
        <f t="shared" si="770"/>
        <v>0</v>
      </c>
      <c r="G2567" t="str">
        <f t="shared" si="771"/>
        <v>0</v>
      </c>
      <c r="H2567">
        <f>'906MP'!Y2267</f>
        <v>0</v>
      </c>
      <c r="I2567">
        <f>'906MP'!AK2267</f>
        <v>0</v>
      </c>
      <c r="J2567">
        <f>'906MP'!T2267</f>
        <v>0</v>
      </c>
      <c r="K2567">
        <f>'906MP'!AJ2267</f>
        <v>0</v>
      </c>
      <c r="L2567">
        <f>'906MP'!U2267</f>
        <v>0</v>
      </c>
      <c r="M2567" s="322" t="str">
        <f>IFERROR(VLOOKUP(A2567,PAR!$D$3:$E$53,2,FALSE),"nincs szervezet")</f>
        <v>nincs szervezet</v>
      </c>
      <c r="N2567" s="322" t="str">
        <f>VLOOKUP(F2567,PAR!$R$3:$S$5,2,FALSE)</f>
        <v>3 - egyik sem</v>
      </c>
      <c r="O2567" t="str">
        <f>IFERROR(VLOOKUP(J2567,PAR!$O$3:$P$5,2,FALSE),"nincs feladat")</f>
        <v>nincs feladat</v>
      </c>
      <c r="P2567" t="str">
        <f>IFERROR(VLOOKUP(G2567,PAR!$J$2:$M$19,4),"nincs rovat")</f>
        <v>nincs rovat</v>
      </c>
      <c r="Q2567" t="str">
        <f>IF(H2567&gt;0,VLOOKUP(H2567,PAR!$AA$3:$AC$187,3,FALSE),"nincs főkönyvi számla")</f>
        <v>nincs főkönyvi számla</v>
      </c>
      <c r="R2567" t="str">
        <f>IFERROR(VLOOKUP(K2567,PAR!$V$3:$X$438,3,FALSE),"000000 - Nincs COFOG")</f>
        <v>000000 - Nincs COFOG</v>
      </c>
      <c r="S2567">
        <f t="shared" si="772"/>
        <v>0</v>
      </c>
      <c r="T2567">
        <f t="shared" si="773"/>
        <v>0</v>
      </c>
      <c r="U2567" t="str">
        <f>IF('906MP'!J2267&gt;0,CONCATENATE('906MP'!J2267," - ",'906MP'!P2267,", ",'906MP'!E2267),"nincs megjegyzés")</f>
        <v>nincs megjegyzés</v>
      </c>
      <c r="V2567" t="str">
        <f t="shared" si="760"/>
        <v>0P0</v>
      </c>
      <c r="W2567" t="str">
        <f t="shared" si="761"/>
        <v>0P0</v>
      </c>
      <c r="X2567" t="str">
        <f t="shared" si="762"/>
        <v>P0</v>
      </c>
      <c r="Y2567" t="str">
        <f t="shared" si="763"/>
        <v>00</v>
      </c>
      <c r="Z2567" t="str">
        <f t="shared" si="774"/>
        <v>00</v>
      </c>
      <c r="AA2567" t="str">
        <f t="shared" si="764"/>
        <v>00</v>
      </c>
      <c r="AB2567" t="str">
        <f t="shared" si="765"/>
        <v>00</v>
      </c>
      <c r="AC2567" t="str">
        <f t="shared" si="766"/>
        <v>0P0</v>
      </c>
      <c r="AD2567" t="str">
        <f t="shared" si="767"/>
        <v>P00</v>
      </c>
      <c r="AE2567" t="str">
        <f t="shared" si="768"/>
        <v>0P0</v>
      </c>
      <c r="AF2567" t="str">
        <f t="shared" si="769"/>
        <v>P00</v>
      </c>
      <c r="AG2567" t="str">
        <f t="shared" si="775"/>
        <v>0P00</v>
      </c>
      <c r="AH2567" t="str">
        <f t="shared" si="776"/>
        <v>P000</v>
      </c>
      <c r="AI2567" t="str">
        <f t="shared" si="777"/>
        <v>0P00</v>
      </c>
      <c r="AJ2567" t="str">
        <f t="shared" si="778"/>
        <v>P000</v>
      </c>
    </row>
    <row r="2568" spans="1:36" x14ac:dyDescent="0.25">
      <c r="A2568" s="325" t="str">
        <f>CONCATENATE("P",'906MP'!M2268)</f>
        <v>P</v>
      </c>
      <c r="B2568">
        <f>'906MP'!H2268</f>
        <v>0</v>
      </c>
      <c r="C2568">
        <f>'906MP'!J2268</f>
        <v>0</v>
      </c>
      <c r="D2568">
        <f>'906MP'!P2268</f>
        <v>0</v>
      </c>
      <c r="E2568">
        <f>'906MP'!X2268</f>
        <v>0</v>
      </c>
      <c r="F2568" t="str">
        <f t="shared" si="770"/>
        <v>0</v>
      </c>
      <c r="G2568" t="str">
        <f t="shared" si="771"/>
        <v>0</v>
      </c>
      <c r="H2568">
        <f>'906MP'!Y2268</f>
        <v>0</v>
      </c>
      <c r="I2568">
        <f>'906MP'!AK2268</f>
        <v>0</v>
      </c>
      <c r="J2568">
        <f>'906MP'!T2268</f>
        <v>0</v>
      </c>
      <c r="K2568">
        <f>'906MP'!AJ2268</f>
        <v>0</v>
      </c>
      <c r="L2568">
        <f>'906MP'!U2268</f>
        <v>0</v>
      </c>
      <c r="M2568" s="322" t="str">
        <f>IFERROR(VLOOKUP(A2568,PAR!$D$3:$E$53,2,FALSE),"nincs szervezet")</f>
        <v>nincs szervezet</v>
      </c>
      <c r="N2568" s="322" t="str">
        <f>VLOOKUP(F2568,PAR!$R$3:$S$5,2,FALSE)</f>
        <v>3 - egyik sem</v>
      </c>
      <c r="O2568" t="str">
        <f>IFERROR(VLOOKUP(J2568,PAR!$O$3:$P$5,2,FALSE),"nincs feladat")</f>
        <v>nincs feladat</v>
      </c>
      <c r="P2568" t="str">
        <f>IFERROR(VLOOKUP(G2568,PAR!$J$2:$M$19,4),"nincs rovat")</f>
        <v>nincs rovat</v>
      </c>
      <c r="Q2568" t="str">
        <f>IF(H2568&gt;0,VLOOKUP(H2568,PAR!$AA$3:$AC$187,3,FALSE),"nincs főkönyvi számla")</f>
        <v>nincs főkönyvi számla</v>
      </c>
      <c r="R2568" t="str">
        <f>IFERROR(VLOOKUP(K2568,PAR!$V$3:$X$438,3,FALSE),"000000 - Nincs COFOG")</f>
        <v>000000 - Nincs COFOG</v>
      </c>
      <c r="S2568">
        <f t="shared" si="772"/>
        <v>0</v>
      </c>
      <c r="T2568">
        <f t="shared" si="773"/>
        <v>0</v>
      </c>
      <c r="U2568" t="str">
        <f>IF('906MP'!J2268&gt;0,CONCATENATE('906MP'!J2268," - ",'906MP'!P2268,", ",'906MP'!E2268),"nincs megjegyzés")</f>
        <v>nincs megjegyzés</v>
      </c>
      <c r="V2568" t="str">
        <f t="shared" si="760"/>
        <v>0P0</v>
      </c>
      <c r="W2568" t="str">
        <f t="shared" si="761"/>
        <v>0P0</v>
      </c>
      <c r="X2568" t="str">
        <f t="shared" si="762"/>
        <v>P0</v>
      </c>
      <c r="Y2568" t="str">
        <f t="shared" si="763"/>
        <v>00</v>
      </c>
      <c r="Z2568" t="str">
        <f t="shared" si="774"/>
        <v>00</v>
      </c>
      <c r="AA2568" t="str">
        <f t="shared" si="764"/>
        <v>00</v>
      </c>
      <c r="AB2568" t="str">
        <f t="shared" si="765"/>
        <v>00</v>
      </c>
      <c r="AC2568" t="str">
        <f t="shared" si="766"/>
        <v>0P0</v>
      </c>
      <c r="AD2568" t="str">
        <f t="shared" si="767"/>
        <v>P00</v>
      </c>
      <c r="AE2568" t="str">
        <f t="shared" si="768"/>
        <v>0P0</v>
      </c>
      <c r="AF2568" t="str">
        <f t="shared" si="769"/>
        <v>P00</v>
      </c>
      <c r="AG2568" t="str">
        <f t="shared" si="775"/>
        <v>0P00</v>
      </c>
      <c r="AH2568" t="str">
        <f t="shared" si="776"/>
        <v>P000</v>
      </c>
      <c r="AI2568" t="str">
        <f t="shared" si="777"/>
        <v>0P00</v>
      </c>
      <c r="AJ2568" t="str">
        <f t="shared" si="778"/>
        <v>P000</v>
      </c>
    </row>
    <row r="2569" spans="1:36" x14ac:dyDescent="0.25">
      <c r="A2569" s="325" t="str">
        <f>CONCATENATE("P",'906MP'!M2269)</f>
        <v>P</v>
      </c>
      <c r="B2569">
        <f>'906MP'!H2269</f>
        <v>0</v>
      </c>
      <c r="C2569">
        <f>'906MP'!J2269</f>
        <v>0</v>
      </c>
      <c r="D2569">
        <f>'906MP'!P2269</f>
        <v>0</v>
      </c>
      <c r="E2569">
        <f>'906MP'!X2269</f>
        <v>0</v>
      </c>
      <c r="F2569" t="str">
        <f t="shared" si="770"/>
        <v>0</v>
      </c>
      <c r="G2569" t="str">
        <f t="shared" si="771"/>
        <v>0</v>
      </c>
      <c r="H2569">
        <f>'906MP'!Y2269</f>
        <v>0</v>
      </c>
      <c r="I2569">
        <f>'906MP'!AK2269</f>
        <v>0</v>
      </c>
      <c r="J2569">
        <f>'906MP'!T2269</f>
        <v>0</v>
      </c>
      <c r="K2569">
        <f>'906MP'!AJ2269</f>
        <v>0</v>
      </c>
      <c r="L2569">
        <f>'906MP'!U2269</f>
        <v>0</v>
      </c>
      <c r="M2569" s="322" t="str">
        <f>IFERROR(VLOOKUP(A2569,PAR!$D$3:$E$53,2,FALSE),"nincs szervezet")</f>
        <v>nincs szervezet</v>
      </c>
      <c r="N2569" s="322" t="str">
        <f>VLOOKUP(F2569,PAR!$R$3:$S$5,2,FALSE)</f>
        <v>3 - egyik sem</v>
      </c>
      <c r="O2569" t="str">
        <f>IFERROR(VLOOKUP(J2569,PAR!$O$3:$P$5,2,FALSE),"nincs feladat")</f>
        <v>nincs feladat</v>
      </c>
      <c r="P2569" t="str">
        <f>IFERROR(VLOOKUP(G2569,PAR!$J$2:$M$19,4),"nincs rovat")</f>
        <v>nincs rovat</v>
      </c>
      <c r="Q2569" t="str">
        <f>IF(H2569&gt;0,VLOOKUP(H2569,PAR!$AA$3:$AC$187,3,FALSE),"nincs főkönyvi számla")</f>
        <v>nincs főkönyvi számla</v>
      </c>
      <c r="R2569" t="str">
        <f>IFERROR(VLOOKUP(K2569,PAR!$V$3:$X$438,3,FALSE),"000000 - Nincs COFOG")</f>
        <v>000000 - Nincs COFOG</v>
      </c>
      <c r="S2569">
        <f t="shared" si="772"/>
        <v>0</v>
      </c>
      <c r="T2569">
        <f t="shared" si="773"/>
        <v>0</v>
      </c>
      <c r="U2569" t="str">
        <f>IF('906MP'!J2269&gt;0,CONCATENATE('906MP'!J2269," - ",'906MP'!P2269,", ",'906MP'!E2269),"nincs megjegyzés")</f>
        <v>nincs megjegyzés</v>
      </c>
      <c r="V2569" t="str">
        <f t="shared" si="760"/>
        <v>0P0</v>
      </c>
      <c r="W2569" t="str">
        <f t="shared" si="761"/>
        <v>0P0</v>
      </c>
      <c r="X2569" t="str">
        <f t="shared" si="762"/>
        <v>P0</v>
      </c>
      <c r="Y2569" t="str">
        <f t="shared" si="763"/>
        <v>00</v>
      </c>
      <c r="Z2569" t="str">
        <f t="shared" si="774"/>
        <v>00</v>
      </c>
      <c r="AA2569" t="str">
        <f t="shared" si="764"/>
        <v>00</v>
      </c>
      <c r="AB2569" t="str">
        <f t="shared" si="765"/>
        <v>00</v>
      </c>
      <c r="AC2569" t="str">
        <f t="shared" si="766"/>
        <v>0P0</v>
      </c>
      <c r="AD2569" t="str">
        <f t="shared" si="767"/>
        <v>P00</v>
      </c>
      <c r="AE2569" t="str">
        <f t="shared" si="768"/>
        <v>0P0</v>
      </c>
      <c r="AF2569" t="str">
        <f t="shared" si="769"/>
        <v>P00</v>
      </c>
      <c r="AG2569" t="str">
        <f t="shared" si="775"/>
        <v>0P00</v>
      </c>
      <c r="AH2569" t="str">
        <f t="shared" si="776"/>
        <v>P000</v>
      </c>
      <c r="AI2569" t="str">
        <f t="shared" si="777"/>
        <v>0P00</v>
      </c>
      <c r="AJ2569" t="str">
        <f t="shared" si="778"/>
        <v>P000</v>
      </c>
    </row>
    <row r="2570" spans="1:36" x14ac:dyDescent="0.25">
      <c r="A2570" s="325" t="str">
        <f>CONCATENATE("P",'906MP'!M2270)</f>
        <v>P</v>
      </c>
      <c r="B2570">
        <f>'906MP'!H2270</f>
        <v>0</v>
      </c>
      <c r="C2570">
        <f>'906MP'!J2270</f>
        <v>0</v>
      </c>
      <c r="D2570">
        <f>'906MP'!P2270</f>
        <v>0</v>
      </c>
      <c r="E2570">
        <f>'906MP'!X2270</f>
        <v>0</v>
      </c>
      <c r="F2570" t="str">
        <f t="shared" si="770"/>
        <v>0</v>
      </c>
      <c r="G2570" t="str">
        <f t="shared" si="771"/>
        <v>0</v>
      </c>
      <c r="H2570">
        <f>'906MP'!Y2270</f>
        <v>0</v>
      </c>
      <c r="I2570">
        <f>'906MP'!AK2270</f>
        <v>0</v>
      </c>
      <c r="J2570">
        <f>'906MP'!T2270</f>
        <v>0</v>
      </c>
      <c r="K2570">
        <f>'906MP'!AJ2270</f>
        <v>0</v>
      </c>
      <c r="L2570">
        <f>'906MP'!U2270</f>
        <v>0</v>
      </c>
      <c r="M2570" s="322" t="str">
        <f>IFERROR(VLOOKUP(A2570,PAR!$D$3:$E$53,2,FALSE),"nincs szervezet")</f>
        <v>nincs szervezet</v>
      </c>
      <c r="N2570" s="322" t="str">
        <f>VLOOKUP(F2570,PAR!$R$3:$S$5,2,FALSE)</f>
        <v>3 - egyik sem</v>
      </c>
      <c r="O2570" t="str">
        <f>IFERROR(VLOOKUP(J2570,PAR!$O$3:$P$5,2,FALSE),"nincs feladat")</f>
        <v>nincs feladat</v>
      </c>
      <c r="P2570" t="str">
        <f>IFERROR(VLOOKUP(G2570,PAR!$J$2:$M$19,4),"nincs rovat")</f>
        <v>nincs rovat</v>
      </c>
      <c r="Q2570" t="str">
        <f>IF(H2570&gt;0,VLOOKUP(H2570,PAR!$AA$3:$AC$187,3,FALSE),"nincs főkönyvi számla")</f>
        <v>nincs főkönyvi számla</v>
      </c>
      <c r="R2570" t="str">
        <f>IFERROR(VLOOKUP(K2570,PAR!$V$3:$X$438,3,FALSE),"000000 - Nincs COFOG")</f>
        <v>000000 - Nincs COFOG</v>
      </c>
      <c r="S2570">
        <f t="shared" si="772"/>
        <v>0</v>
      </c>
      <c r="T2570">
        <f t="shared" si="773"/>
        <v>0</v>
      </c>
      <c r="U2570" t="str">
        <f>IF('906MP'!J2270&gt;0,CONCATENATE('906MP'!J2270," - ",'906MP'!P2270,", ",'906MP'!E2270),"nincs megjegyzés")</f>
        <v>nincs megjegyzés</v>
      </c>
      <c r="V2570" t="str">
        <f t="shared" si="760"/>
        <v>0P0</v>
      </c>
      <c r="W2570" t="str">
        <f t="shared" si="761"/>
        <v>0P0</v>
      </c>
      <c r="X2570" t="str">
        <f t="shared" si="762"/>
        <v>P0</v>
      </c>
      <c r="Y2570" t="str">
        <f t="shared" si="763"/>
        <v>00</v>
      </c>
      <c r="Z2570" t="str">
        <f t="shared" si="774"/>
        <v>00</v>
      </c>
      <c r="AA2570" t="str">
        <f t="shared" si="764"/>
        <v>00</v>
      </c>
      <c r="AB2570" t="str">
        <f t="shared" si="765"/>
        <v>00</v>
      </c>
      <c r="AC2570" t="str">
        <f t="shared" si="766"/>
        <v>0P0</v>
      </c>
      <c r="AD2570" t="str">
        <f t="shared" si="767"/>
        <v>P00</v>
      </c>
      <c r="AE2570" t="str">
        <f t="shared" si="768"/>
        <v>0P0</v>
      </c>
      <c r="AF2570" t="str">
        <f t="shared" si="769"/>
        <v>P00</v>
      </c>
      <c r="AG2570" t="str">
        <f t="shared" si="775"/>
        <v>0P00</v>
      </c>
      <c r="AH2570" t="str">
        <f t="shared" si="776"/>
        <v>P000</v>
      </c>
      <c r="AI2570" t="str">
        <f t="shared" si="777"/>
        <v>0P00</v>
      </c>
      <c r="AJ2570" t="str">
        <f t="shared" si="778"/>
        <v>P000</v>
      </c>
    </row>
    <row r="2571" spans="1:36" x14ac:dyDescent="0.25">
      <c r="A2571" s="325" t="str">
        <f>CONCATENATE("P",'906MP'!M2271)</f>
        <v>P</v>
      </c>
      <c r="B2571">
        <f>'906MP'!H2271</f>
        <v>0</v>
      </c>
      <c r="C2571">
        <f>'906MP'!J2271</f>
        <v>0</v>
      </c>
      <c r="D2571">
        <f>'906MP'!P2271</f>
        <v>0</v>
      </c>
      <c r="E2571">
        <f>'906MP'!X2271</f>
        <v>0</v>
      </c>
      <c r="F2571" t="str">
        <f t="shared" si="770"/>
        <v>0</v>
      </c>
      <c r="G2571" t="str">
        <f t="shared" si="771"/>
        <v>0</v>
      </c>
      <c r="H2571">
        <f>'906MP'!Y2271</f>
        <v>0</v>
      </c>
      <c r="I2571">
        <f>'906MP'!AK2271</f>
        <v>0</v>
      </c>
      <c r="J2571">
        <f>'906MP'!T2271</f>
        <v>0</v>
      </c>
      <c r="K2571">
        <f>'906MP'!AJ2271</f>
        <v>0</v>
      </c>
      <c r="L2571">
        <f>'906MP'!U2271</f>
        <v>0</v>
      </c>
      <c r="M2571" s="322" t="str">
        <f>IFERROR(VLOOKUP(A2571,PAR!$D$3:$E$53,2,FALSE),"nincs szervezet")</f>
        <v>nincs szervezet</v>
      </c>
      <c r="N2571" s="322" t="str">
        <f>VLOOKUP(F2571,PAR!$R$3:$S$5,2,FALSE)</f>
        <v>3 - egyik sem</v>
      </c>
      <c r="O2571" t="str">
        <f>IFERROR(VLOOKUP(J2571,PAR!$O$3:$P$5,2,FALSE),"nincs feladat")</f>
        <v>nincs feladat</v>
      </c>
      <c r="P2571" t="str">
        <f>IFERROR(VLOOKUP(G2571,PAR!$J$2:$M$19,4),"nincs rovat")</f>
        <v>nincs rovat</v>
      </c>
      <c r="Q2571" t="str">
        <f>IF(H2571&gt;0,VLOOKUP(H2571,PAR!$AA$3:$AC$187,3,FALSE),"nincs főkönyvi számla")</f>
        <v>nincs főkönyvi számla</v>
      </c>
      <c r="R2571" t="str">
        <f>IFERROR(VLOOKUP(K2571,PAR!$V$3:$X$438,3,FALSE),"000000 - Nincs COFOG")</f>
        <v>000000 - Nincs COFOG</v>
      </c>
      <c r="S2571">
        <f t="shared" si="772"/>
        <v>0</v>
      </c>
      <c r="T2571">
        <f t="shared" si="773"/>
        <v>0</v>
      </c>
      <c r="U2571" t="str">
        <f>IF('906MP'!J2271&gt;0,CONCATENATE('906MP'!J2271," - ",'906MP'!P2271,", ",'906MP'!E2271),"nincs megjegyzés")</f>
        <v>nincs megjegyzés</v>
      </c>
      <c r="V2571" t="str">
        <f t="shared" si="760"/>
        <v>0P0</v>
      </c>
      <c r="W2571" t="str">
        <f t="shared" si="761"/>
        <v>0P0</v>
      </c>
      <c r="X2571" t="str">
        <f t="shared" si="762"/>
        <v>P0</v>
      </c>
      <c r="Y2571" t="str">
        <f t="shared" si="763"/>
        <v>00</v>
      </c>
      <c r="Z2571" t="str">
        <f t="shared" si="774"/>
        <v>00</v>
      </c>
      <c r="AA2571" t="str">
        <f t="shared" si="764"/>
        <v>00</v>
      </c>
      <c r="AB2571" t="str">
        <f t="shared" si="765"/>
        <v>00</v>
      </c>
      <c r="AC2571" t="str">
        <f t="shared" si="766"/>
        <v>0P0</v>
      </c>
      <c r="AD2571" t="str">
        <f t="shared" si="767"/>
        <v>P00</v>
      </c>
      <c r="AE2571" t="str">
        <f t="shared" si="768"/>
        <v>0P0</v>
      </c>
      <c r="AF2571" t="str">
        <f t="shared" si="769"/>
        <v>P00</v>
      </c>
      <c r="AG2571" t="str">
        <f t="shared" si="775"/>
        <v>0P00</v>
      </c>
      <c r="AH2571" t="str">
        <f t="shared" si="776"/>
        <v>P000</v>
      </c>
      <c r="AI2571" t="str">
        <f t="shared" si="777"/>
        <v>0P00</v>
      </c>
      <c r="AJ2571" t="str">
        <f t="shared" si="778"/>
        <v>P000</v>
      </c>
    </row>
    <row r="2572" spans="1:36" x14ac:dyDescent="0.25">
      <c r="A2572" s="325" t="str">
        <f>CONCATENATE("P",'906MP'!M2272)</f>
        <v>P</v>
      </c>
      <c r="B2572">
        <f>'906MP'!H2272</f>
        <v>0</v>
      </c>
      <c r="C2572">
        <f>'906MP'!J2272</f>
        <v>0</v>
      </c>
      <c r="D2572">
        <f>'906MP'!P2272</f>
        <v>0</v>
      </c>
      <c r="E2572">
        <f>'906MP'!X2272</f>
        <v>0</v>
      </c>
      <c r="F2572" t="str">
        <f t="shared" si="770"/>
        <v>0</v>
      </c>
      <c r="G2572" t="str">
        <f t="shared" si="771"/>
        <v>0</v>
      </c>
      <c r="H2572">
        <f>'906MP'!Y2272</f>
        <v>0</v>
      </c>
      <c r="I2572">
        <f>'906MP'!AK2272</f>
        <v>0</v>
      </c>
      <c r="J2572">
        <f>'906MP'!T2272</f>
        <v>0</v>
      </c>
      <c r="K2572">
        <f>'906MP'!AJ2272</f>
        <v>0</v>
      </c>
      <c r="L2572">
        <f>'906MP'!U2272</f>
        <v>0</v>
      </c>
      <c r="M2572" s="322" t="str">
        <f>IFERROR(VLOOKUP(A2572,PAR!$D$3:$E$53,2,FALSE),"nincs szervezet")</f>
        <v>nincs szervezet</v>
      </c>
      <c r="N2572" s="322" t="str">
        <f>VLOOKUP(F2572,PAR!$R$3:$S$5,2,FALSE)</f>
        <v>3 - egyik sem</v>
      </c>
      <c r="O2572" t="str">
        <f>IFERROR(VLOOKUP(J2572,PAR!$O$3:$P$5,2,FALSE),"nincs feladat")</f>
        <v>nincs feladat</v>
      </c>
      <c r="P2572" t="str">
        <f>IFERROR(VLOOKUP(G2572,PAR!$J$2:$M$19,4),"nincs rovat")</f>
        <v>nincs rovat</v>
      </c>
      <c r="Q2572" t="str">
        <f>IF(H2572&gt;0,VLOOKUP(H2572,PAR!$AA$3:$AC$187,3,FALSE),"nincs főkönyvi számla")</f>
        <v>nincs főkönyvi számla</v>
      </c>
      <c r="R2572" t="str">
        <f>IFERROR(VLOOKUP(K2572,PAR!$V$3:$X$438,3,FALSE),"000000 - Nincs COFOG")</f>
        <v>000000 - Nincs COFOG</v>
      </c>
      <c r="S2572">
        <f t="shared" si="772"/>
        <v>0</v>
      </c>
      <c r="T2572">
        <f t="shared" si="773"/>
        <v>0</v>
      </c>
      <c r="U2572" t="str">
        <f>IF('906MP'!J2272&gt;0,CONCATENATE('906MP'!J2272," - ",'906MP'!P2272,", ",'906MP'!E2272),"nincs megjegyzés")</f>
        <v>nincs megjegyzés</v>
      </c>
      <c r="V2572" t="str">
        <f t="shared" si="760"/>
        <v>0P0</v>
      </c>
      <c r="W2572" t="str">
        <f t="shared" si="761"/>
        <v>0P0</v>
      </c>
      <c r="X2572" t="str">
        <f t="shared" si="762"/>
        <v>P0</v>
      </c>
      <c r="Y2572" t="str">
        <f t="shared" si="763"/>
        <v>00</v>
      </c>
      <c r="Z2572" t="str">
        <f t="shared" si="774"/>
        <v>00</v>
      </c>
      <c r="AA2572" t="str">
        <f t="shared" si="764"/>
        <v>00</v>
      </c>
      <c r="AB2572" t="str">
        <f t="shared" si="765"/>
        <v>00</v>
      </c>
      <c r="AC2572" t="str">
        <f t="shared" si="766"/>
        <v>0P0</v>
      </c>
      <c r="AD2572" t="str">
        <f t="shared" si="767"/>
        <v>P00</v>
      </c>
      <c r="AE2572" t="str">
        <f t="shared" si="768"/>
        <v>0P0</v>
      </c>
      <c r="AF2572" t="str">
        <f t="shared" si="769"/>
        <v>P00</v>
      </c>
      <c r="AG2572" t="str">
        <f t="shared" si="775"/>
        <v>0P00</v>
      </c>
      <c r="AH2572" t="str">
        <f t="shared" si="776"/>
        <v>P000</v>
      </c>
      <c r="AI2572" t="str">
        <f t="shared" si="777"/>
        <v>0P00</v>
      </c>
      <c r="AJ2572" t="str">
        <f t="shared" si="778"/>
        <v>P000</v>
      </c>
    </row>
    <row r="2573" spans="1:36" x14ac:dyDescent="0.25">
      <c r="A2573" s="325" t="str">
        <f>CONCATENATE("P",'906MP'!M2273)</f>
        <v>P</v>
      </c>
      <c r="B2573">
        <f>'906MP'!H2273</f>
        <v>0</v>
      </c>
      <c r="C2573">
        <f>'906MP'!J2273</f>
        <v>0</v>
      </c>
      <c r="D2573">
        <f>'906MP'!P2273</f>
        <v>0</v>
      </c>
      <c r="E2573">
        <f>'906MP'!X2273</f>
        <v>0</v>
      </c>
      <c r="F2573" t="str">
        <f t="shared" si="770"/>
        <v>0</v>
      </c>
      <c r="G2573" t="str">
        <f t="shared" si="771"/>
        <v>0</v>
      </c>
      <c r="H2573">
        <f>'906MP'!Y2273</f>
        <v>0</v>
      </c>
      <c r="I2573">
        <f>'906MP'!AK2273</f>
        <v>0</v>
      </c>
      <c r="J2573">
        <f>'906MP'!T2273</f>
        <v>0</v>
      </c>
      <c r="K2573">
        <f>'906MP'!AJ2273</f>
        <v>0</v>
      </c>
      <c r="L2573">
        <f>'906MP'!U2273</f>
        <v>0</v>
      </c>
      <c r="M2573" s="322" t="str">
        <f>IFERROR(VLOOKUP(A2573,PAR!$D$3:$E$53,2,FALSE),"nincs szervezet")</f>
        <v>nincs szervezet</v>
      </c>
      <c r="N2573" s="322" t="str">
        <f>VLOOKUP(F2573,PAR!$R$3:$S$5,2,FALSE)</f>
        <v>3 - egyik sem</v>
      </c>
      <c r="O2573" t="str">
        <f>IFERROR(VLOOKUP(J2573,PAR!$O$3:$P$5,2,FALSE),"nincs feladat")</f>
        <v>nincs feladat</v>
      </c>
      <c r="P2573" t="str">
        <f>IFERROR(VLOOKUP(G2573,PAR!$J$2:$M$19,4),"nincs rovat")</f>
        <v>nincs rovat</v>
      </c>
      <c r="Q2573" t="str">
        <f>IF(H2573&gt;0,VLOOKUP(H2573,PAR!$AA$3:$AC$187,3,FALSE),"nincs főkönyvi számla")</f>
        <v>nincs főkönyvi számla</v>
      </c>
      <c r="R2573" t="str">
        <f>IFERROR(VLOOKUP(K2573,PAR!$V$3:$X$438,3,FALSE),"000000 - Nincs COFOG")</f>
        <v>000000 - Nincs COFOG</v>
      </c>
      <c r="S2573">
        <f t="shared" si="772"/>
        <v>0</v>
      </c>
      <c r="T2573">
        <f t="shared" si="773"/>
        <v>0</v>
      </c>
      <c r="U2573" t="str">
        <f>IF('906MP'!J2273&gt;0,CONCATENATE('906MP'!J2273," - ",'906MP'!P2273,", ",'906MP'!E2273),"nincs megjegyzés")</f>
        <v>nincs megjegyzés</v>
      </c>
      <c r="V2573" t="str">
        <f t="shared" si="760"/>
        <v>0P0</v>
      </c>
      <c r="W2573" t="str">
        <f t="shared" si="761"/>
        <v>0P0</v>
      </c>
      <c r="X2573" t="str">
        <f t="shared" si="762"/>
        <v>P0</v>
      </c>
      <c r="Y2573" t="str">
        <f t="shared" si="763"/>
        <v>00</v>
      </c>
      <c r="Z2573" t="str">
        <f t="shared" si="774"/>
        <v>00</v>
      </c>
      <c r="AA2573" t="str">
        <f t="shared" si="764"/>
        <v>00</v>
      </c>
      <c r="AB2573" t="str">
        <f t="shared" si="765"/>
        <v>00</v>
      </c>
      <c r="AC2573" t="str">
        <f t="shared" si="766"/>
        <v>0P0</v>
      </c>
      <c r="AD2573" t="str">
        <f t="shared" si="767"/>
        <v>P00</v>
      </c>
      <c r="AE2573" t="str">
        <f t="shared" si="768"/>
        <v>0P0</v>
      </c>
      <c r="AF2573" t="str">
        <f t="shared" si="769"/>
        <v>P00</v>
      </c>
      <c r="AG2573" t="str">
        <f t="shared" si="775"/>
        <v>0P00</v>
      </c>
      <c r="AH2573" t="str">
        <f t="shared" si="776"/>
        <v>P000</v>
      </c>
      <c r="AI2573" t="str">
        <f t="shared" si="777"/>
        <v>0P00</v>
      </c>
      <c r="AJ2573" t="str">
        <f t="shared" si="778"/>
        <v>P000</v>
      </c>
    </row>
    <row r="2574" spans="1:36" x14ac:dyDescent="0.25">
      <c r="A2574" s="325" t="str">
        <f>CONCATENATE("P",'906MP'!M2274)</f>
        <v>P</v>
      </c>
      <c r="B2574">
        <f>'906MP'!H2274</f>
        <v>0</v>
      </c>
      <c r="C2574">
        <f>'906MP'!J2274</f>
        <v>0</v>
      </c>
      <c r="D2574">
        <f>'906MP'!P2274</f>
        <v>0</v>
      </c>
      <c r="E2574">
        <f>'906MP'!X2274</f>
        <v>0</v>
      </c>
      <c r="F2574" t="str">
        <f t="shared" si="770"/>
        <v>0</v>
      </c>
      <c r="G2574" t="str">
        <f t="shared" si="771"/>
        <v>0</v>
      </c>
      <c r="H2574">
        <f>'906MP'!Y2274</f>
        <v>0</v>
      </c>
      <c r="I2574">
        <f>'906MP'!AK2274</f>
        <v>0</v>
      </c>
      <c r="J2574">
        <f>'906MP'!T2274</f>
        <v>0</v>
      </c>
      <c r="K2574">
        <f>'906MP'!AJ2274</f>
        <v>0</v>
      </c>
      <c r="L2574">
        <f>'906MP'!U2274</f>
        <v>0</v>
      </c>
      <c r="M2574" s="322" t="str">
        <f>IFERROR(VLOOKUP(A2574,PAR!$D$3:$E$53,2,FALSE),"nincs szervezet")</f>
        <v>nincs szervezet</v>
      </c>
      <c r="N2574" s="322" t="str">
        <f>VLOOKUP(F2574,PAR!$R$3:$S$5,2,FALSE)</f>
        <v>3 - egyik sem</v>
      </c>
      <c r="O2574" t="str">
        <f>IFERROR(VLOOKUP(J2574,PAR!$O$3:$P$5,2,FALSE),"nincs feladat")</f>
        <v>nincs feladat</v>
      </c>
      <c r="P2574" t="str">
        <f>IFERROR(VLOOKUP(G2574,PAR!$J$2:$M$19,4),"nincs rovat")</f>
        <v>nincs rovat</v>
      </c>
      <c r="Q2574" t="str">
        <f>IF(H2574&gt;0,VLOOKUP(H2574,PAR!$AA$3:$AC$187,3,FALSE),"nincs főkönyvi számla")</f>
        <v>nincs főkönyvi számla</v>
      </c>
      <c r="R2574" t="str">
        <f>IFERROR(VLOOKUP(K2574,PAR!$V$3:$X$438,3,FALSE),"000000 - Nincs COFOG")</f>
        <v>000000 - Nincs COFOG</v>
      </c>
      <c r="S2574">
        <f t="shared" si="772"/>
        <v>0</v>
      </c>
      <c r="T2574">
        <f t="shared" si="773"/>
        <v>0</v>
      </c>
      <c r="U2574" t="str">
        <f>IF('906MP'!J2274&gt;0,CONCATENATE('906MP'!J2274," - ",'906MP'!P2274,", ",'906MP'!E2274),"nincs megjegyzés")</f>
        <v>nincs megjegyzés</v>
      </c>
      <c r="V2574" t="str">
        <f t="shared" si="760"/>
        <v>0P0</v>
      </c>
      <c r="W2574" t="str">
        <f t="shared" si="761"/>
        <v>0P0</v>
      </c>
      <c r="X2574" t="str">
        <f t="shared" si="762"/>
        <v>P0</v>
      </c>
      <c r="Y2574" t="str">
        <f t="shared" si="763"/>
        <v>00</v>
      </c>
      <c r="Z2574" t="str">
        <f t="shared" si="774"/>
        <v>00</v>
      </c>
      <c r="AA2574" t="str">
        <f t="shared" si="764"/>
        <v>00</v>
      </c>
      <c r="AB2574" t="str">
        <f t="shared" si="765"/>
        <v>00</v>
      </c>
      <c r="AC2574" t="str">
        <f t="shared" si="766"/>
        <v>0P0</v>
      </c>
      <c r="AD2574" t="str">
        <f t="shared" si="767"/>
        <v>P00</v>
      </c>
      <c r="AE2574" t="str">
        <f t="shared" si="768"/>
        <v>0P0</v>
      </c>
      <c r="AF2574" t="str">
        <f t="shared" si="769"/>
        <v>P00</v>
      </c>
      <c r="AG2574" t="str">
        <f t="shared" si="775"/>
        <v>0P00</v>
      </c>
      <c r="AH2574" t="str">
        <f t="shared" si="776"/>
        <v>P000</v>
      </c>
      <c r="AI2574" t="str">
        <f t="shared" si="777"/>
        <v>0P00</v>
      </c>
      <c r="AJ2574" t="str">
        <f t="shared" si="778"/>
        <v>P000</v>
      </c>
    </row>
    <row r="2575" spans="1:36" x14ac:dyDescent="0.25">
      <c r="A2575" s="325" t="str">
        <f>CONCATENATE("P",'906MP'!M2275)</f>
        <v>P</v>
      </c>
      <c r="B2575">
        <f>'906MP'!H2275</f>
        <v>0</v>
      </c>
      <c r="C2575">
        <f>'906MP'!J2275</f>
        <v>0</v>
      </c>
      <c r="D2575">
        <f>'906MP'!P2275</f>
        <v>0</v>
      </c>
      <c r="E2575">
        <f>'906MP'!X2275</f>
        <v>0</v>
      </c>
      <c r="F2575" t="str">
        <f t="shared" si="770"/>
        <v>0</v>
      </c>
      <c r="G2575" t="str">
        <f t="shared" si="771"/>
        <v>0</v>
      </c>
      <c r="H2575">
        <f>'906MP'!Y2275</f>
        <v>0</v>
      </c>
      <c r="I2575">
        <f>'906MP'!AK2275</f>
        <v>0</v>
      </c>
      <c r="J2575">
        <f>'906MP'!T2275</f>
        <v>0</v>
      </c>
      <c r="K2575">
        <f>'906MP'!AJ2275</f>
        <v>0</v>
      </c>
      <c r="L2575">
        <f>'906MP'!U2275</f>
        <v>0</v>
      </c>
      <c r="M2575" s="322" t="str">
        <f>IFERROR(VLOOKUP(A2575,PAR!$D$3:$E$53,2,FALSE),"nincs szervezet")</f>
        <v>nincs szervezet</v>
      </c>
      <c r="N2575" s="322" t="str">
        <f>VLOOKUP(F2575,PAR!$R$3:$S$5,2,FALSE)</f>
        <v>3 - egyik sem</v>
      </c>
      <c r="O2575" t="str">
        <f>IFERROR(VLOOKUP(J2575,PAR!$O$3:$P$5,2,FALSE),"nincs feladat")</f>
        <v>nincs feladat</v>
      </c>
      <c r="P2575" t="str">
        <f>IFERROR(VLOOKUP(G2575,PAR!$J$2:$M$19,4),"nincs rovat")</f>
        <v>nincs rovat</v>
      </c>
      <c r="Q2575" t="str">
        <f>IF(H2575&gt;0,VLOOKUP(H2575,PAR!$AA$3:$AC$187,3,FALSE),"nincs főkönyvi számla")</f>
        <v>nincs főkönyvi számla</v>
      </c>
      <c r="R2575" t="str">
        <f>IFERROR(VLOOKUP(K2575,PAR!$V$3:$X$438,3,FALSE),"000000 - Nincs COFOG")</f>
        <v>000000 - Nincs COFOG</v>
      </c>
      <c r="S2575">
        <f t="shared" si="772"/>
        <v>0</v>
      </c>
      <c r="T2575">
        <f t="shared" si="773"/>
        <v>0</v>
      </c>
      <c r="U2575" t="str">
        <f>IF('906MP'!J2275&gt;0,CONCATENATE('906MP'!J2275," - ",'906MP'!P2275,", ",'906MP'!E2275),"nincs megjegyzés")</f>
        <v>nincs megjegyzés</v>
      </c>
      <c r="V2575" t="str">
        <f t="shared" si="760"/>
        <v>0P0</v>
      </c>
      <c r="W2575" t="str">
        <f t="shared" si="761"/>
        <v>0P0</v>
      </c>
      <c r="X2575" t="str">
        <f t="shared" si="762"/>
        <v>P0</v>
      </c>
      <c r="Y2575" t="str">
        <f t="shared" si="763"/>
        <v>00</v>
      </c>
      <c r="Z2575" t="str">
        <f t="shared" si="774"/>
        <v>00</v>
      </c>
      <c r="AA2575" t="str">
        <f t="shared" si="764"/>
        <v>00</v>
      </c>
      <c r="AB2575" t="str">
        <f t="shared" si="765"/>
        <v>00</v>
      </c>
      <c r="AC2575" t="str">
        <f t="shared" si="766"/>
        <v>0P0</v>
      </c>
      <c r="AD2575" t="str">
        <f t="shared" si="767"/>
        <v>P00</v>
      </c>
      <c r="AE2575" t="str">
        <f t="shared" si="768"/>
        <v>0P0</v>
      </c>
      <c r="AF2575" t="str">
        <f t="shared" si="769"/>
        <v>P00</v>
      </c>
      <c r="AG2575" t="str">
        <f t="shared" si="775"/>
        <v>0P00</v>
      </c>
      <c r="AH2575" t="str">
        <f t="shared" si="776"/>
        <v>P000</v>
      </c>
      <c r="AI2575" t="str">
        <f t="shared" si="777"/>
        <v>0P00</v>
      </c>
      <c r="AJ2575" t="str">
        <f t="shared" si="778"/>
        <v>P000</v>
      </c>
    </row>
    <row r="2576" spans="1:36" x14ac:dyDescent="0.25">
      <c r="A2576" s="325" t="str">
        <f>CONCATENATE("P",'906MP'!M2276)</f>
        <v>P</v>
      </c>
      <c r="B2576">
        <f>'906MP'!H2276</f>
        <v>0</v>
      </c>
      <c r="C2576">
        <f>'906MP'!J2276</f>
        <v>0</v>
      </c>
      <c r="D2576">
        <f>'906MP'!P2276</f>
        <v>0</v>
      </c>
      <c r="E2576">
        <f>'906MP'!X2276</f>
        <v>0</v>
      </c>
      <c r="F2576" t="str">
        <f t="shared" si="770"/>
        <v>0</v>
      </c>
      <c r="G2576" t="str">
        <f t="shared" si="771"/>
        <v>0</v>
      </c>
      <c r="H2576">
        <f>'906MP'!Y2276</f>
        <v>0</v>
      </c>
      <c r="I2576">
        <f>'906MP'!AK2276</f>
        <v>0</v>
      </c>
      <c r="J2576">
        <f>'906MP'!T2276</f>
        <v>0</v>
      </c>
      <c r="K2576">
        <f>'906MP'!AJ2276</f>
        <v>0</v>
      </c>
      <c r="L2576">
        <f>'906MP'!U2276</f>
        <v>0</v>
      </c>
      <c r="M2576" s="322" t="str">
        <f>IFERROR(VLOOKUP(A2576,PAR!$D$3:$E$53,2,FALSE),"nincs szervezet")</f>
        <v>nincs szervezet</v>
      </c>
      <c r="N2576" s="322" t="str">
        <f>VLOOKUP(F2576,PAR!$R$3:$S$5,2,FALSE)</f>
        <v>3 - egyik sem</v>
      </c>
      <c r="O2576" t="str">
        <f>IFERROR(VLOOKUP(J2576,PAR!$O$3:$P$5,2,FALSE),"nincs feladat")</f>
        <v>nincs feladat</v>
      </c>
      <c r="P2576" t="str">
        <f>IFERROR(VLOOKUP(G2576,PAR!$J$2:$M$19,4),"nincs rovat")</f>
        <v>nincs rovat</v>
      </c>
      <c r="Q2576" t="str">
        <f>IF(H2576&gt;0,VLOOKUP(H2576,PAR!$AA$3:$AC$187,3,FALSE),"nincs főkönyvi számla")</f>
        <v>nincs főkönyvi számla</v>
      </c>
      <c r="R2576" t="str">
        <f>IFERROR(VLOOKUP(K2576,PAR!$V$3:$X$438,3,FALSE),"000000 - Nincs COFOG")</f>
        <v>000000 - Nincs COFOG</v>
      </c>
      <c r="S2576">
        <f t="shared" si="772"/>
        <v>0</v>
      </c>
      <c r="T2576">
        <f t="shared" si="773"/>
        <v>0</v>
      </c>
      <c r="U2576" t="str">
        <f>IF('906MP'!J2276&gt;0,CONCATENATE('906MP'!J2276," - ",'906MP'!P2276,", ",'906MP'!E2276),"nincs megjegyzés")</f>
        <v>nincs megjegyzés</v>
      </c>
      <c r="V2576" t="str">
        <f t="shared" si="760"/>
        <v>0P0</v>
      </c>
      <c r="W2576" t="str">
        <f t="shared" si="761"/>
        <v>0P0</v>
      </c>
      <c r="X2576" t="str">
        <f t="shared" si="762"/>
        <v>P0</v>
      </c>
      <c r="Y2576" t="str">
        <f t="shared" si="763"/>
        <v>00</v>
      </c>
      <c r="Z2576" t="str">
        <f t="shared" si="774"/>
        <v>00</v>
      </c>
      <c r="AA2576" t="str">
        <f t="shared" si="764"/>
        <v>00</v>
      </c>
      <c r="AB2576" t="str">
        <f t="shared" si="765"/>
        <v>00</v>
      </c>
      <c r="AC2576" t="str">
        <f t="shared" si="766"/>
        <v>0P0</v>
      </c>
      <c r="AD2576" t="str">
        <f t="shared" si="767"/>
        <v>P00</v>
      </c>
      <c r="AE2576" t="str">
        <f t="shared" si="768"/>
        <v>0P0</v>
      </c>
      <c r="AF2576" t="str">
        <f t="shared" si="769"/>
        <v>P00</v>
      </c>
      <c r="AG2576" t="str">
        <f t="shared" si="775"/>
        <v>0P00</v>
      </c>
      <c r="AH2576" t="str">
        <f t="shared" si="776"/>
        <v>P000</v>
      </c>
      <c r="AI2576" t="str">
        <f t="shared" si="777"/>
        <v>0P00</v>
      </c>
      <c r="AJ2576" t="str">
        <f t="shared" si="778"/>
        <v>P000</v>
      </c>
    </row>
    <row r="2577" spans="1:36" x14ac:dyDescent="0.25">
      <c r="A2577" s="325" t="str">
        <f>CONCATENATE("P",'906MP'!M2277)</f>
        <v>P</v>
      </c>
      <c r="B2577">
        <f>'906MP'!H2277</f>
        <v>0</v>
      </c>
      <c r="C2577">
        <f>'906MP'!J2277</f>
        <v>0</v>
      </c>
      <c r="D2577">
        <f>'906MP'!P2277</f>
        <v>0</v>
      </c>
      <c r="E2577">
        <f>'906MP'!X2277</f>
        <v>0</v>
      </c>
      <c r="F2577" t="str">
        <f t="shared" si="770"/>
        <v>0</v>
      </c>
      <c r="G2577" t="str">
        <f t="shared" si="771"/>
        <v>0</v>
      </c>
      <c r="H2577">
        <f>'906MP'!Y2277</f>
        <v>0</v>
      </c>
      <c r="I2577">
        <f>'906MP'!AK2277</f>
        <v>0</v>
      </c>
      <c r="J2577">
        <f>'906MP'!T2277</f>
        <v>0</v>
      </c>
      <c r="K2577">
        <f>'906MP'!AJ2277</f>
        <v>0</v>
      </c>
      <c r="L2577">
        <f>'906MP'!U2277</f>
        <v>0</v>
      </c>
      <c r="M2577" s="322" t="str">
        <f>IFERROR(VLOOKUP(A2577,PAR!$D$3:$E$53,2,FALSE),"nincs szervezet")</f>
        <v>nincs szervezet</v>
      </c>
      <c r="N2577" s="322" t="str">
        <f>VLOOKUP(F2577,PAR!$R$3:$S$5,2,FALSE)</f>
        <v>3 - egyik sem</v>
      </c>
      <c r="O2577" t="str">
        <f>IFERROR(VLOOKUP(J2577,PAR!$O$3:$P$5,2,FALSE),"nincs feladat")</f>
        <v>nincs feladat</v>
      </c>
      <c r="P2577" t="str">
        <f>IFERROR(VLOOKUP(G2577,PAR!$J$2:$M$19,4),"nincs rovat")</f>
        <v>nincs rovat</v>
      </c>
      <c r="Q2577" t="str">
        <f>IF(H2577&gt;0,VLOOKUP(H2577,PAR!$AA$3:$AC$187,3,FALSE),"nincs főkönyvi számla")</f>
        <v>nincs főkönyvi számla</v>
      </c>
      <c r="R2577" t="str">
        <f>IFERROR(VLOOKUP(K2577,PAR!$V$3:$X$438,3,FALSE),"000000 - Nincs COFOG")</f>
        <v>000000 - Nincs COFOG</v>
      </c>
      <c r="S2577">
        <f t="shared" si="772"/>
        <v>0</v>
      </c>
      <c r="T2577">
        <f t="shared" si="773"/>
        <v>0</v>
      </c>
      <c r="U2577" t="str">
        <f>IF('906MP'!J2277&gt;0,CONCATENATE('906MP'!J2277," - ",'906MP'!P2277,", ",'906MP'!E2277),"nincs megjegyzés")</f>
        <v>nincs megjegyzés</v>
      </c>
      <c r="V2577" t="str">
        <f t="shared" si="760"/>
        <v>0P0</v>
      </c>
      <c r="W2577" t="str">
        <f t="shared" si="761"/>
        <v>0P0</v>
      </c>
      <c r="X2577" t="str">
        <f t="shared" si="762"/>
        <v>P0</v>
      </c>
      <c r="Y2577" t="str">
        <f t="shared" si="763"/>
        <v>00</v>
      </c>
      <c r="Z2577" t="str">
        <f t="shared" si="774"/>
        <v>00</v>
      </c>
      <c r="AA2577" t="str">
        <f t="shared" si="764"/>
        <v>00</v>
      </c>
      <c r="AB2577" t="str">
        <f t="shared" si="765"/>
        <v>00</v>
      </c>
      <c r="AC2577" t="str">
        <f t="shared" si="766"/>
        <v>0P0</v>
      </c>
      <c r="AD2577" t="str">
        <f t="shared" si="767"/>
        <v>P00</v>
      </c>
      <c r="AE2577" t="str">
        <f t="shared" si="768"/>
        <v>0P0</v>
      </c>
      <c r="AF2577" t="str">
        <f t="shared" si="769"/>
        <v>P00</v>
      </c>
      <c r="AG2577" t="str">
        <f t="shared" si="775"/>
        <v>0P00</v>
      </c>
      <c r="AH2577" t="str">
        <f t="shared" si="776"/>
        <v>P000</v>
      </c>
      <c r="AI2577" t="str">
        <f t="shared" si="777"/>
        <v>0P00</v>
      </c>
      <c r="AJ2577" t="str">
        <f t="shared" si="778"/>
        <v>P000</v>
      </c>
    </row>
    <row r="2578" spans="1:36" x14ac:dyDescent="0.25">
      <c r="A2578" s="325" t="str">
        <f>CONCATENATE("P",'906MP'!M2278)</f>
        <v>P</v>
      </c>
      <c r="B2578">
        <f>'906MP'!H2278</f>
        <v>0</v>
      </c>
      <c r="C2578">
        <f>'906MP'!J2278</f>
        <v>0</v>
      </c>
      <c r="D2578">
        <f>'906MP'!P2278</f>
        <v>0</v>
      </c>
      <c r="E2578">
        <f>'906MP'!X2278</f>
        <v>0</v>
      </c>
      <c r="F2578" t="str">
        <f t="shared" si="770"/>
        <v>0</v>
      </c>
      <c r="G2578" t="str">
        <f t="shared" si="771"/>
        <v>0</v>
      </c>
      <c r="H2578">
        <f>'906MP'!Y2278</f>
        <v>0</v>
      </c>
      <c r="I2578">
        <f>'906MP'!AK2278</f>
        <v>0</v>
      </c>
      <c r="J2578">
        <f>'906MP'!T2278</f>
        <v>0</v>
      </c>
      <c r="K2578">
        <f>'906MP'!AJ2278</f>
        <v>0</v>
      </c>
      <c r="L2578">
        <f>'906MP'!U2278</f>
        <v>0</v>
      </c>
      <c r="M2578" s="322" t="str">
        <f>IFERROR(VLOOKUP(A2578,PAR!$D$3:$E$53,2,FALSE),"nincs szervezet")</f>
        <v>nincs szervezet</v>
      </c>
      <c r="N2578" s="322" t="str">
        <f>VLOOKUP(F2578,PAR!$R$3:$S$5,2,FALSE)</f>
        <v>3 - egyik sem</v>
      </c>
      <c r="O2578" t="str">
        <f>IFERROR(VLOOKUP(J2578,PAR!$O$3:$P$5,2,FALSE),"nincs feladat")</f>
        <v>nincs feladat</v>
      </c>
      <c r="P2578" t="str">
        <f>IFERROR(VLOOKUP(G2578,PAR!$J$2:$M$19,4),"nincs rovat")</f>
        <v>nincs rovat</v>
      </c>
      <c r="Q2578" t="str">
        <f>IF(H2578&gt;0,VLOOKUP(H2578,PAR!$AA$3:$AC$187,3,FALSE),"nincs főkönyvi számla")</f>
        <v>nincs főkönyvi számla</v>
      </c>
      <c r="R2578" t="str">
        <f>IFERROR(VLOOKUP(K2578,PAR!$V$3:$X$438,3,FALSE),"000000 - Nincs COFOG")</f>
        <v>000000 - Nincs COFOG</v>
      </c>
      <c r="S2578">
        <f t="shared" si="772"/>
        <v>0</v>
      </c>
      <c r="T2578">
        <f t="shared" si="773"/>
        <v>0</v>
      </c>
      <c r="U2578" t="str">
        <f>IF('906MP'!J2278&gt;0,CONCATENATE('906MP'!J2278," - ",'906MP'!P2278,", ",'906MP'!E2278),"nincs megjegyzés")</f>
        <v>nincs megjegyzés</v>
      </c>
      <c r="V2578" t="str">
        <f t="shared" si="760"/>
        <v>0P0</v>
      </c>
      <c r="W2578" t="str">
        <f t="shared" si="761"/>
        <v>0P0</v>
      </c>
      <c r="X2578" t="str">
        <f t="shared" si="762"/>
        <v>P0</v>
      </c>
      <c r="Y2578" t="str">
        <f t="shared" si="763"/>
        <v>00</v>
      </c>
      <c r="Z2578" t="str">
        <f t="shared" si="774"/>
        <v>00</v>
      </c>
      <c r="AA2578" t="str">
        <f t="shared" si="764"/>
        <v>00</v>
      </c>
      <c r="AB2578" t="str">
        <f t="shared" si="765"/>
        <v>00</v>
      </c>
      <c r="AC2578" t="str">
        <f t="shared" si="766"/>
        <v>0P0</v>
      </c>
      <c r="AD2578" t="str">
        <f t="shared" si="767"/>
        <v>P00</v>
      </c>
      <c r="AE2578" t="str">
        <f t="shared" si="768"/>
        <v>0P0</v>
      </c>
      <c r="AF2578" t="str">
        <f t="shared" si="769"/>
        <v>P00</v>
      </c>
      <c r="AG2578" t="str">
        <f t="shared" si="775"/>
        <v>0P00</v>
      </c>
      <c r="AH2578" t="str">
        <f t="shared" si="776"/>
        <v>P000</v>
      </c>
      <c r="AI2578" t="str">
        <f t="shared" si="777"/>
        <v>0P00</v>
      </c>
      <c r="AJ2578" t="str">
        <f t="shared" si="778"/>
        <v>P000</v>
      </c>
    </row>
    <row r="2579" spans="1:36" x14ac:dyDescent="0.25">
      <c r="A2579" s="325" t="str">
        <f>CONCATENATE("P",'906MP'!M2279)</f>
        <v>P</v>
      </c>
      <c r="B2579">
        <f>'906MP'!H2279</f>
        <v>0</v>
      </c>
      <c r="C2579">
        <f>'906MP'!J2279</f>
        <v>0</v>
      </c>
      <c r="D2579">
        <f>'906MP'!P2279</f>
        <v>0</v>
      </c>
      <c r="E2579">
        <f>'906MP'!X2279</f>
        <v>0</v>
      </c>
      <c r="F2579" t="str">
        <f t="shared" si="770"/>
        <v>0</v>
      </c>
      <c r="G2579" t="str">
        <f t="shared" si="771"/>
        <v>0</v>
      </c>
      <c r="H2579">
        <f>'906MP'!Y2279</f>
        <v>0</v>
      </c>
      <c r="I2579">
        <f>'906MP'!AK2279</f>
        <v>0</v>
      </c>
      <c r="J2579">
        <f>'906MP'!T2279</f>
        <v>0</v>
      </c>
      <c r="K2579">
        <f>'906MP'!AJ2279</f>
        <v>0</v>
      </c>
      <c r="L2579">
        <f>'906MP'!U2279</f>
        <v>0</v>
      </c>
      <c r="M2579" s="322" t="str">
        <f>IFERROR(VLOOKUP(A2579,PAR!$D$3:$E$53,2,FALSE),"nincs szervezet")</f>
        <v>nincs szervezet</v>
      </c>
      <c r="N2579" s="322" t="str">
        <f>VLOOKUP(F2579,PAR!$R$3:$S$5,2,FALSE)</f>
        <v>3 - egyik sem</v>
      </c>
      <c r="O2579" t="str">
        <f>IFERROR(VLOOKUP(J2579,PAR!$O$3:$P$5,2,FALSE),"nincs feladat")</f>
        <v>nincs feladat</v>
      </c>
      <c r="P2579" t="str">
        <f>IFERROR(VLOOKUP(G2579,PAR!$J$2:$M$19,4),"nincs rovat")</f>
        <v>nincs rovat</v>
      </c>
      <c r="Q2579" t="str">
        <f>IF(H2579&gt;0,VLOOKUP(H2579,PAR!$AA$3:$AC$187,3,FALSE),"nincs főkönyvi számla")</f>
        <v>nincs főkönyvi számla</v>
      </c>
      <c r="R2579" t="str">
        <f>IFERROR(VLOOKUP(K2579,PAR!$V$3:$X$438,3,FALSE),"000000 - Nincs COFOG")</f>
        <v>000000 - Nincs COFOG</v>
      </c>
      <c r="S2579">
        <f t="shared" si="772"/>
        <v>0</v>
      </c>
      <c r="T2579">
        <f t="shared" si="773"/>
        <v>0</v>
      </c>
      <c r="U2579" t="str">
        <f>IF('906MP'!J2279&gt;0,CONCATENATE('906MP'!J2279," - ",'906MP'!P2279,", ",'906MP'!E2279),"nincs megjegyzés")</f>
        <v>nincs megjegyzés</v>
      </c>
      <c r="V2579" t="str">
        <f t="shared" si="760"/>
        <v>0P0</v>
      </c>
      <c r="W2579" t="str">
        <f t="shared" si="761"/>
        <v>0P0</v>
      </c>
      <c r="X2579" t="str">
        <f t="shared" si="762"/>
        <v>P0</v>
      </c>
      <c r="Y2579" t="str">
        <f t="shared" si="763"/>
        <v>00</v>
      </c>
      <c r="Z2579" t="str">
        <f t="shared" si="774"/>
        <v>00</v>
      </c>
      <c r="AA2579" t="str">
        <f t="shared" si="764"/>
        <v>00</v>
      </c>
      <c r="AB2579" t="str">
        <f t="shared" si="765"/>
        <v>00</v>
      </c>
      <c r="AC2579" t="str">
        <f t="shared" si="766"/>
        <v>0P0</v>
      </c>
      <c r="AD2579" t="str">
        <f t="shared" si="767"/>
        <v>P00</v>
      </c>
      <c r="AE2579" t="str">
        <f t="shared" si="768"/>
        <v>0P0</v>
      </c>
      <c r="AF2579" t="str">
        <f t="shared" si="769"/>
        <v>P00</v>
      </c>
      <c r="AG2579" t="str">
        <f t="shared" si="775"/>
        <v>0P00</v>
      </c>
      <c r="AH2579" t="str">
        <f t="shared" si="776"/>
        <v>P000</v>
      </c>
      <c r="AI2579" t="str">
        <f t="shared" si="777"/>
        <v>0P00</v>
      </c>
      <c r="AJ2579" t="str">
        <f t="shared" si="778"/>
        <v>P000</v>
      </c>
    </row>
    <row r="2580" spans="1:36" x14ac:dyDescent="0.25">
      <c r="A2580" s="325" t="str">
        <f>CONCATENATE("P",'906MP'!M2280)</f>
        <v>P</v>
      </c>
      <c r="B2580">
        <f>'906MP'!H2280</f>
        <v>0</v>
      </c>
      <c r="C2580">
        <f>'906MP'!J2280</f>
        <v>0</v>
      </c>
      <c r="D2580">
        <f>'906MP'!P2280</f>
        <v>0</v>
      </c>
      <c r="E2580">
        <f>'906MP'!X2280</f>
        <v>0</v>
      </c>
      <c r="F2580" t="str">
        <f t="shared" si="770"/>
        <v>0</v>
      </c>
      <c r="G2580" t="str">
        <f t="shared" si="771"/>
        <v>0</v>
      </c>
      <c r="H2580">
        <f>'906MP'!Y2280</f>
        <v>0</v>
      </c>
      <c r="I2580">
        <f>'906MP'!AK2280</f>
        <v>0</v>
      </c>
      <c r="J2580">
        <f>'906MP'!T2280</f>
        <v>0</v>
      </c>
      <c r="K2580">
        <f>'906MP'!AJ2280</f>
        <v>0</v>
      </c>
      <c r="L2580">
        <f>'906MP'!U2280</f>
        <v>0</v>
      </c>
      <c r="M2580" s="322" t="str">
        <f>IFERROR(VLOOKUP(A2580,PAR!$D$3:$E$53,2,FALSE),"nincs szervezet")</f>
        <v>nincs szervezet</v>
      </c>
      <c r="N2580" s="322" t="str">
        <f>VLOOKUP(F2580,PAR!$R$3:$S$5,2,FALSE)</f>
        <v>3 - egyik sem</v>
      </c>
      <c r="O2580" t="str">
        <f>IFERROR(VLOOKUP(J2580,PAR!$O$3:$P$5,2,FALSE),"nincs feladat")</f>
        <v>nincs feladat</v>
      </c>
      <c r="P2580" t="str">
        <f>IFERROR(VLOOKUP(G2580,PAR!$J$2:$M$19,4),"nincs rovat")</f>
        <v>nincs rovat</v>
      </c>
      <c r="Q2580" t="str">
        <f>IF(H2580&gt;0,VLOOKUP(H2580,PAR!$AA$3:$AC$187,3,FALSE),"nincs főkönyvi számla")</f>
        <v>nincs főkönyvi számla</v>
      </c>
      <c r="R2580" t="str">
        <f>IFERROR(VLOOKUP(K2580,PAR!$V$3:$X$438,3,FALSE),"000000 - Nincs COFOG")</f>
        <v>000000 - Nincs COFOG</v>
      </c>
      <c r="S2580">
        <f t="shared" si="772"/>
        <v>0</v>
      </c>
      <c r="T2580">
        <f t="shared" si="773"/>
        <v>0</v>
      </c>
      <c r="U2580" t="str">
        <f>IF('906MP'!J2280&gt;0,CONCATENATE('906MP'!J2280," - ",'906MP'!P2280,", ",'906MP'!E2280),"nincs megjegyzés")</f>
        <v>nincs megjegyzés</v>
      </c>
      <c r="V2580" t="str">
        <f t="shared" si="760"/>
        <v>0P0</v>
      </c>
      <c r="W2580" t="str">
        <f t="shared" si="761"/>
        <v>0P0</v>
      </c>
      <c r="X2580" t="str">
        <f t="shared" si="762"/>
        <v>P0</v>
      </c>
      <c r="Y2580" t="str">
        <f t="shared" si="763"/>
        <v>00</v>
      </c>
      <c r="Z2580" t="str">
        <f t="shared" si="774"/>
        <v>00</v>
      </c>
      <c r="AA2580" t="str">
        <f t="shared" si="764"/>
        <v>00</v>
      </c>
      <c r="AB2580" t="str">
        <f t="shared" si="765"/>
        <v>00</v>
      </c>
      <c r="AC2580" t="str">
        <f t="shared" si="766"/>
        <v>0P0</v>
      </c>
      <c r="AD2580" t="str">
        <f t="shared" si="767"/>
        <v>P00</v>
      </c>
      <c r="AE2580" t="str">
        <f t="shared" si="768"/>
        <v>0P0</v>
      </c>
      <c r="AF2580" t="str">
        <f t="shared" si="769"/>
        <v>P00</v>
      </c>
      <c r="AG2580" t="str">
        <f t="shared" si="775"/>
        <v>0P00</v>
      </c>
      <c r="AH2580" t="str">
        <f t="shared" si="776"/>
        <v>P000</v>
      </c>
      <c r="AI2580" t="str">
        <f t="shared" si="777"/>
        <v>0P00</v>
      </c>
      <c r="AJ2580" t="str">
        <f t="shared" si="778"/>
        <v>P000</v>
      </c>
    </row>
    <row r="2581" spans="1:36" x14ac:dyDescent="0.25">
      <c r="A2581" s="325" t="str">
        <f>CONCATENATE("P",'906MP'!M2281)</f>
        <v>P</v>
      </c>
      <c r="B2581">
        <f>'906MP'!H2281</f>
        <v>0</v>
      </c>
      <c r="C2581">
        <f>'906MP'!J2281</f>
        <v>0</v>
      </c>
      <c r="D2581">
        <f>'906MP'!P2281</f>
        <v>0</v>
      </c>
      <c r="E2581">
        <f>'906MP'!X2281</f>
        <v>0</v>
      </c>
      <c r="F2581" t="str">
        <f t="shared" si="770"/>
        <v>0</v>
      </c>
      <c r="G2581" t="str">
        <f t="shared" si="771"/>
        <v>0</v>
      </c>
      <c r="H2581">
        <f>'906MP'!Y2281</f>
        <v>0</v>
      </c>
      <c r="I2581">
        <f>'906MP'!AK2281</f>
        <v>0</v>
      </c>
      <c r="J2581">
        <f>'906MP'!T2281</f>
        <v>0</v>
      </c>
      <c r="K2581">
        <f>'906MP'!AJ2281</f>
        <v>0</v>
      </c>
      <c r="L2581">
        <f>'906MP'!U2281</f>
        <v>0</v>
      </c>
      <c r="M2581" s="322" t="str">
        <f>IFERROR(VLOOKUP(A2581,PAR!$D$3:$E$53,2,FALSE),"nincs szervezet")</f>
        <v>nincs szervezet</v>
      </c>
      <c r="N2581" s="322" t="str">
        <f>VLOOKUP(F2581,PAR!$R$3:$S$5,2,FALSE)</f>
        <v>3 - egyik sem</v>
      </c>
      <c r="O2581" t="str">
        <f>IFERROR(VLOOKUP(J2581,PAR!$O$3:$P$5,2,FALSE),"nincs feladat")</f>
        <v>nincs feladat</v>
      </c>
      <c r="P2581" t="str">
        <f>IFERROR(VLOOKUP(G2581,PAR!$J$2:$M$19,4),"nincs rovat")</f>
        <v>nincs rovat</v>
      </c>
      <c r="Q2581" t="str">
        <f>IF(H2581&gt;0,VLOOKUP(H2581,PAR!$AA$3:$AC$187,3,FALSE),"nincs főkönyvi számla")</f>
        <v>nincs főkönyvi számla</v>
      </c>
      <c r="R2581" t="str">
        <f>IFERROR(VLOOKUP(K2581,PAR!$V$3:$X$438,3,FALSE),"000000 - Nincs COFOG")</f>
        <v>000000 - Nincs COFOG</v>
      </c>
      <c r="S2581">
        <f t="shared" si="772"/>
        <v>0</v>
      </c>
      <c r="T2581">
        <f t="shared" si="773"/>
        <v>0</v>
      </c>
      <c r="U2581" t="str">
        <f>IF('906MP'!J2281&gt;0,CONCATENATE('906MP'!J2281," - ",'906MP'!P2281,", ",'906MP'!E2281),"nincs megjegyzés")</f>
        <v>nincs megjegyzés</v>
      </c>
      <c r="V2581" t="str">
        <f t="shared" si="760"/>
        <v>0P0</v>
      </c>
      <c r="W2581" t="str">
        <f t="shared" si="761"/>
        <v>0P0</v>
      </c>
      <c r="X2581" t="str">
        <f t="shared" si="762"/>
        <v>P0</v>
      </c>
      <c r="Y2581" t="str">
        <f t="shared" si="763"/>
        <v>00</v>
      </c>
      <c r="Z2581" t="str">
        <f t="shared" si="774"/>
        <v>00</v>
      </c>
      <c r="AA2581" t="str">
        <f t="shared" si="764"/>
        <v>00</v>
      </c>
      <c r="AB2581" t="str">
        <f t="shared" si="765"/>
        <v>00</v>
      </c>
      <c r="AC2581" t="str">
        <f t="shared" si="766"/>
        <v>0P0</v>
      </c>
      <c r="AD2581" t="str">
        <f t="shared" si="767"/>
        <v>P00</v>
      </c>
      <c r="AE2581" t="str">
        <f t="shared" si="768"/>
        <v>0P0</v>
      </c>
      <c r="AF2581" t="str">
        <f t="shared" si="769"/>
        <v>P00</v>
      </c>
      <c r="AG2581" t="str">
        <f t="shared" si="775"/>
        <v>0P00</v>
      </c>
      <c r="AH2581" t="str">
        <f t="shared" si="776"/>
        <v>P000</v>
      </c>
      <c r="AI2581" t="str">
        <f t="shared" si="777"/>
        <v>0P00</v>
      </c>
      <c r="AJ2581" t="str">
        <f t="shared" si="778"/>
        <v>P000</v>
      </c>
    </row>
    <row r="2582" spans="1:36" x14ac:dyDescent="0.25">
      <c r="A2582" s="325" t="str">
        <f>CONCATENATE("P",'906MP'!M2282)</f>
        <v>P</v>
      </c>
      <c r="B2582">
        <f>'906MP'!H2282</f>
        <v>0</v>
      </c>
      <c r="C2582">
        <f>'906MP'!J2282</f>
        <v>0</v>
      </c>
      <c r="D2582">
        <f>'906MP'!P2282</f>
        <v>0</v>
      </c>
      <c r="E2582">
        <f>'906MP'!X2282</f>
        <v>0</v>
      </c>
      <c r="F2582" t="str">
        <f t="shared" si="770"/>
        <v>0</v>
      </c>
      <c r="G2582" t="str">
        <f t="shared" si="771"/>
        <v>0</v>
      </c>
      <c r="H2582">
        <f>'906MP'!Y2282</f>
        <v>0</v>
      </c>
      <c r="I2582">
        <f>'906MP'!AK2282</f>
        <v>0</v>
      </c>
      <c r="J2582">
        <f>'906MP'!T2282</f>
        <v>0</v>
      </c>
      <c r="K2582">
        <f>'906MP'!AJ2282</f>
        <v>0</v>
      </c>
      <c r="L2582">
        <f>'906MP'!U2282</f>
        <v>0</v>
      </c>
      <c r="M2582" s="322" t="str">
        <f>IFERROR(VLOOKUP(A2582,PAR!$D$3:$E$53,2,FALSE),"nincs szervezet")</f>
        <v>nincs szervezet</v>
      </c>
      <c r="N2582" s="322" t="str">
        <f>VLOOKUP(F2582,PAR!$R$3:$S$5,2,FALSE)</f>
        <v>3 - egyik sem</v>
      </c>
      <c r="O2582" t="str">
        <f>IFERROR(VLOOKUP(J2582,PAR!$O$3:$P$5,2,FALSE),"nincs feladat")</f>
        <v>nincs feladat</v>
      </c>
      <c r="P2582" t="str">
        <f>IFERROR(VLOOKUP(G2582,PAR!$J$2:$M$19,4),"nincs rovat")</f>
        <v>nincs rovat</v>
      </c>
      <c r="Q2582" t="str">
        <f>IF(H2582&gt;0,VLOOKUP(H2582,PAR!$AA$3:$AC$187,3,FALSE),"nincs főkönyvi számla")</f>
        <v>nincs főkönyvi számla</v>
      </c>
      <c r="R2582" t="str">
        <f>IFERROR(VLOOKUP(K2582,PAR!$V$3:$X$438,3,FALSE),"000000 - Nincs COFOG")</f>
        <v>000000 - Nincs COFOG</v>
      </c>
      <c r="S2582">
        <f t="shared" si="772"/>
        <v>0</v>
      </c>
      <c r="T2582">
        <f t="shared" si="773"/>
        <v>0</v>
      </c>
      <c r="U2582" t="str">
        <f>IF('906MP'!J2282&gt;0,CONCATENATE('906MP'!J2282," - ",'906MP'!P2282,", ",'906MP'!E2282),"nincs megjegyzés")</f>
        <v>nincs megjegyzés</v>
      </c>
      <c r="V2582" t="str">
        <f t="shared" si="760"/>
        <v>0P0</v>
      </c>
      <c r="W2582" t="str">
        <f t="shared" si="761"/>
        <v>0P0</v>
      </c>
      <c r="X2582" t="str">
        <f t="shared" si="762"/>
        <v>P0</v>
      </c>
      <c r="Y2582" t="str">
        <f t="shared" si="763"/>
        <v>00</v>
      </c>
      <c r="Z2582" t="str">
        <f t="shared" si="774"/>
        <v>00</v>
      </c>
      <c r="AA2582" t="str">
        <f t="shared" si="764"/>
        <v>00</v>
      </c>
      <c r="AB2582" t="str">
        <f t="shared" si="765"/>
        <v>00</v>
      </c>
      <c r="AC2582" t="str">
        <f t="shared" si="766"/>
        <v>0P0</v>
      </c>
      <c r="AD2582" t="str">
        <f t="shared" si="767"/>
        <v>P00</v>
      </c>
      <c r="AE2582" t="str">
        <f t="shared" si="768"/>
        <v>0P0</v>
      </c>
      <c r="AF2582" t="str">
        <f t="shared" si="769"/>
        <v>P00</v>
      </c>
      <c r="AG2582" t="str">
        <f t="shared" si="775"/>
        <v>0P00</v>
      </c>
      <c r="AH2582" t="str">
        <f t="shared" si="776"/>
        <v>P000</v>
      </c>
      <c r="AI2582" t="str">
        <f t="shared" si="777"/>
        <v>0P00</v>
      </c>
      <c r="AJ2582" t="str">
        <f t="shared" si="778"/>
        <v>P000</v>
      </c>
    </row>
    <row r="2583" spans="1:36" x14ac:dyDescent="0.25">
      <c r="A2583" s="325" t="str">
        <f>CONCATENATE("P",'906MP'!M2283)</f>
        <v>P</v>
      </c>
      <c r="B2583">
        <f>'906MP'!H2283</f>
        <v>0</v>
      </c>
      <c r="C2583">
        <f>'906MP'!J2283</f>
        <v>0</v>
      </c>
      <c r="D2583">
        <f>'906MP'!P2283</f>
        <v>0</v>
      </c>
      <c r="E2583">
        <f>'906MP'!X2283</f>
        <v>0</v>
      </c>
      <c r="F2583" t="str">
        <f t="shared" si="770"/>
        <v>0</v>
      </c>
      <c r="G2583" t="str">
        <f t="shared" si="771"/>
        <v>0</v>
      </c>
      <c r="H2583">
        <f>'906MP'!Y2283</f>
        <v>0</v>
      </c>
      <c r="I2583">
        <f>'906MP'!AK2283</f>
        <v>0</v>
      </c>
      <c r="J2583">
        <f>'906MP'!T2283</f>
        <v>0</v>
      </c>
      <c r="K2583">
        <f>'906MP'!AJ2283</f>
        <v>0</v>
      </c>
      <c r="L2583">
        <f>'906MP'!U2283</f>
        <v>0</v>
      </c>
      <c r="M2583" s="322" t="str">
        <f>IFERROR(VLOOKUP(A2583,PAR!$D$3:$E$53,2,FALSE),"nincs szervezet")</f>
        <v>nincs szervezet</v>
      </c>
      <c r="N2583" s="322" t="str">
        <f>VLOOKUP(F2583,PAR!$R$3:$S$5,2,FALSE)</f>
        <v>3 - egyik sem</v>
      </c>
      <c r="O2583" t="str">
        <f>IFERROR(VLOOKUP(J2583,PAR!$O$3:$P$5,2,FALSE),"nincs feladat")</f>
        <v>nincs feladat</v>
      </c>
      <c r="P2583" t="str">
        <f>IFERROR(VLOOKUP(G2583,PAR!$J$2:$M$19,4),"nincs rovat")</f>
        <v>nincs rovat</v>
      </c>
      <c r="Q2583" t="str">
        <f>IF(H2583&gt;0,VLOOKUP(H2583,PAR!$AA$3:$AC$187,3,FALSE),"nincs főkönyvi számla")</f>
        <v>nincs főkönyvi számla</v>
      </c>
      <c r="R2583" t="str">
        <f>IFERROR(VLOOKUP(K2583,PAR!$V$3:$X$438,3,FALSE),"000000 - Nincs COFOG")</f>
        <v>000000 - Nincs COFOG</v>
      </c>
      <c r="S2583">
        <f t="shared" si="772"/>
        <v>0</v>
      </c>
      <c r="T2583">
        <f t="shared" si="773"/>
        <v>0</v>
      </c>
      <c r="U2583" t="str">
        <f>IF('906MP'!J2283&gt;0,CONCATENATE('906MP'!J2283," - ",'906MP'!P2283,", ",'906MP'!E2283),"nincs megjegyzés")</f>
        <v>nincs megjegyzés</v>
      </c>
      <c r="V2583" t="str">
        <f t="shared" si="760"/>
        <v>0P0</v>
      </c>
      <c r="W2583" t="str">
        <f t="shared" si="761"/>
        <v>0P0</v>
      </c>
      <c r="X2583" t="str">
        <f t="shared" si="762"/>
        <v>P0</v>
      </c>
      <c r="Y2583" t="str">
        <f t="shared" si="763"/>
        <v>00</v>
      </c>
      <c r="Z2583" t="str">
        <f t="shared" si="774"/>
        <v>00</v>
      </c>
      <c r="AA2583" t="str">
        <f t="shared" si="764"/>
        <v>00</v>
      </c>
      <c r="AB2583" t="str">
        <f t="shared" si="765"/>
        <v>00</v>
      </c>
      <c r="AC2583" t="str">
        <f t="shared" si="766"/>
        <v>0P0</v>
      </c>
      <c r="AD2583" t="str">
        <f t="shared" si="767"/>
        <v>P00</v>
      </c>
      <c r="AE2583" t="str">
        <f t="shared" si="768"/>
        <v>0P0</v>
      </c>
      <c r="AF2583" t="str">
        <f t="shared" si="769"/>
        <v>P00</v>
      </c>
      <c r="AG2583" t="str">
        <f t="shared" si="775"/>
        <v>0P00</v>
      </c>
      <c r="AH2583" t="str">
        <f t="shared" si="776"/>
        <v>P000</v>
      </c>
      <c r="AI2583" t="str">
        <f t="shared" si="777"/>
        <v>0P00</v>
      </c>
      <c r="AJ2583" t="str">
        <f t="shared" si="778"/>
        <v>P000</v>
      </c>
    </row>
    <row r="2584" spans="1:36" x14ac:dyDescent="0.25">
      <c r="A2584" s="325" t="str">
        <f>CONCATENATE("P",'906MP'!M2284)</f>
        <v>P</v>
      </c>
      <c r="B2584">
        <f>'906MP'!H2284</f>
        <v>0</v>
      </c>
      <c r="C2584">
        <f>'906MP'!J2284</f>
        <v>0</v>
      </c>
      <c r="D2584">
        <f>'906MP'!P2284</f>
        <v>0</v>
      </c>
      <c r="E2584">
        <f>'906MP'!X2284</f>
        <v>0</v>
      </c>
      <c r="F2584" t="str">
        <f t="shared" si="770"/>
        <v>0</v>
      </c>
      <c r="G2584" t="str">
        <f t="shared" si="771"/>
        <v>0</v>
      </c>
      <c r="H2584">
        <f>'906MP'!Y2284</f>
        <v>0</v>
      </c>
      <c r="I2584">
        <f>'906MP'!AK2284</f>
        <v>0</v>
      </c>
      <c r="J2584">
        <f>'906MP'!T2284</f>
        <v>0</v>
      </c>
      <c r="K2584">
        <f>'906MP'!AJ2284</f>
        <v>0</v>
      </c>
      <c r="L2584">
        <f>'906MP'!U2284</f>
        <v>0</v>
      </c>
      <c r="M2584" s="322" t="str">
        <f>IFERROR(VLOOKUP(A2584,PAR!$D$3:$E$53,2,FALSE),"nincs szervezet")</f>
        <v>nincs szervezet</v>
      </c>
      <c r="N2584" s="322" t="str">
        <f>VLOOKUP(F2584,PAR!$R$3:$S$5,2,FALSE)</f>
        <v>3 - egyik sem</v>
      </c>
      <c r="O2584" t="str">
        <f>IFERROR(VLOOKUP(J2584,PAR!$O$3:$P$5,2,FALSE),"nincs feladat")</f>
        <v>nincs feladat</v>
      </c>
      <c r="P2584" t="str">
        <f>IFERROR(VLOOKUP(G2584,PAR!$J$2:$M$19,4),"nincs rovat")</f>
        <v>nincs rovat</v>
      </c>
      <c r="Q2584" t="str">
        <f>IF(H2584&gt;0,VLOOKUP(H2584,PAR!$AA$3:$AC$187,3,FALSE),"nincs főkönyvi számla")</f>
        <v>nincs főkönyvi számla</v>
      </c>
      <c r="R2584" t="str">
        <f>IFERROR(VLOOKUP(K2584,PAR!$V$3:$X$438,3,FALSE),"000000 - Nincs COFOG")</f>
        <v>000000 - Nincs COFOG</v>
      </c>
      <c r="S2584">
        <f t="shared" si="772"/>
        <v>0</v>
      </c>
      <c r="T2584">
        <f t="shared" si="773"/>
        <v>0</v>
      </c>
      <c r="U2584" t="str">
        <f>IF('906MP'!J2284&gt;0,CONCATENATE('906MP'!J2284," - ",'906MP'!P2284,", ",'906MP'!E2284),"nincs megjegyzés")</f>
        <v>nincs megjegyzés</v>
      </c>
      <c r="V2584" t="str">
        <f t="shared" si="760"/>
        <v>0P0</v>
      </c>
      <c r="W2584" t="str">
        <f t="shared" si="761"/>
        <v>0P0</v>
      </c>
      <c r="X2584" t="str">
        <f t="shared" si="762"/>
        <v>P0</v>
      </c>
      <c r="Y2584" t="str">
        <f t="shared" si="763"/>
        <v>00</v>
      </c>
      <c r="Z2584" t="str">
        <f t="shared" si="774"/>
        <v>00</v>
      </c>
      <c r="AA2584" t="str">
        <f t="shared" si="764"/>
        <v>00</v>
      </c>
      <c r="AB2584" t="str">
        <f t="shared" si="765"/>
        <v>00</v>
      </c>
      <c r="AC2584" t="str">
        <f t="shared" si="766"/>
        <v>0P0</v>
      </c>
      <c r="AD2584" t="str">
        <f t="shared" si="767"/>
        <v>P00</v>
      </c>
      <c r="AE2584" t="str">
        <f t="shared" si="768"/>
        <v>0P0</v>
      </c>
      <c r="AF2584" t="str">
        <f t="shared" si="769"/>
        <v>P00</v>
      </c>
      <c r="AG2584" t="str">
        <f t="shared" si="775"/>
        <v>0P00</v>
      </c>
      <c r="AH2584" t="str">
        <f t="shared" si="776"/>
        <v>P000</v>
      </c>
      <c r="AI2584" t="str">
        <f t="shared" si="777"/>
        <v>0P00</v>
      </c>
      <c r="AJ2584" t="str">
        <f t="shared" si="778"/>
        <v>P000</v>
      </c>
    </row>
    <row r="2585" spans="1:36" x14ac:dyDescent="0.25">
      <c r="A2585" s="325" t="str">
        <f>CONCATENATE("P",'906MP'!M2285)</f>
        <v>P</v>
      </c>
      <c r="B2585">
        <f>'906MP'!H2285</f>
        <v>0</v>
      </c>
      <c r="C2585">
        <f>'906MP'!J2285</f>
        <v>0</v>
      </c>
      <c r="D2585">
        <f>'906MP'!P2285</f>
        <v>0</v>
      </c>
      <c r="E2585">
        <f>'906MP'!X2285</f>
        <v>0</v>
      </c>
      <c r="F2585" t="str">
        <f t="shared" si="770"/>
        <v>0</v>
      </c>
      <c r="G2585" t="str">
        <f t="shared" si="771"/>
        <v>0</v>
      </c>
      <c r="H2585">
        <f>'906MP'!Y2285</f>
        <v>0</v>
      </c>
      <c r="I2585">
        <f>'906MP'!AK2285</f>
        <v>0</v>
      </c>
      <c r="J2585">
        <f>'906MP'!T2285</f>
        <v>0</v>
      </c>
      <c r="K2585">
        <f>'906MP'!AJ2285</f>
        <v>0</v>
      </c>
      <c r="L2585">
        <f>'906MP'!U2285</f>
        <v>0</v>
      </c>
      <c r="M2585" s="322" t="str">
        <f>IFERROR(VLOOKUP(A2585,PAR!$D$3:$E$53,2,FALSE),"nincs szervezet")</f>
        <v>nincs szervezet</v>
      </c>
      <c r="N2585" s="322" t="str">
        <f>VLOOKUP(F2585,PAR!$R$3:$S$5,2,FALSE)</f>
        <v>3 - egyik sem</v>
      </c>
      <c r="O2585" t="str">
        <f>IFERROR(VLOOKUP(J2585,PAR!$O$3:$P$5,2,FALSE),"nincs feladat")</f>
        <v>nincs feladat</v>
      </c>
      <c r="P2585" t="str">
        <f>IFERROR(VLOOKUP(G2585,PAR!$J$2:$M$19,4),"nincs rovat")</f>
        <v>nincs rovat</v>
      </c>
      <c r="Q2585" t="str">
        <f>IF(H2585&gt;0,VLOOKUP(H2585,PAR!$AA$3:$AC$187,3,FALSE),"nincs főkönyvi számla")</f>
        <v>nincs főkönyvi számla</v>
      </c>
      <c r="R2585" t="str">
        <f>IFERROR(VLOOKUP(K2585,PAR!$V$3:$X$438,3,FALSE),"000000 - Nincs COFOG")</f>
        <v>000000 - Nincs COFOG</v>
      </c>
      <c r="S2585">
        <f t="shared" si="772"/>
        <v>0</v>
      </c>
      <c r="T2585">
        <f t="shared" si="773"/>
        <v>0</v>
      </c>
      <c r="U2585" t="str">
        <f>IF('906MP'!J2285&gt;0,CONCATENATE('906MP'!J2285," - ",'906MP'!P2285,", ",'906MP'!E2285),"nincs megjegyzés")</f>
        <v>nincs megjegyzés</v>
      </c>
      <c r="V2585" t="str">
        <f t="shared" si="760"/>
        <v>0P0</v>
      </c>
      <c r="W2585" t="str">
        <f t="shared" si="761"/>
        <v>0P0</v>
      </c>
      <c r="X2585" t="str">
        <f t="shared" si="762"/>
        <v>P0</v>
      </c>
      <c r="Y2585" t="str">
        <f t="shared" si="763"/>
        <v>00</v>
      </c>
      <c r="Z2585" t="str">
        <f t="shared" si="774"/>
        <v>00</v>
      </c>
      <c r="AA2585" t="str">
        <f t="shared" si="764"/>
        <v>00</v>
      </c>
      <c r="AB2585" t="str">
        <f t="shared" si="765"/>
        <v>00</v>
      </c>
      <c r="AC2585" t="str">
        <f t="shared" si="766"/>
        <v>0P0</v>
      </c>
      <c r="AD2585" t="str">
        <f t="shared" si="767"/>
        <v>P00</v>
      </c>
      <c r="AE2585" t="str">
        <f t="shared" si="768"/>
        <v>0P0</v>
      </c>
      <c r="AF2585" t="str">
        <f t="shared" si="769"/>
        <v>P00</v>
      </c>
      <c r="AG2585" t="str">
        <f t="shared" si="775"/>
        <v>0P00</v>
      </c>
      <c r="AH2585" t="str">
        <f t="shared" si="776"/>
        <v>P000</v>
      </c>
      <c r="AI2585" t="str">
        <f t="shared" si="777"/>
        <v>0P00</v>
      </c>
      <c r="AJ2585" t="str">
        <f t="shared" si="778"/>
        <v>P000</v>
      </c>
    </row>
    <row r="2586" spans="1:36" x14ac:dyDescent="0.25">
      <c r="A2586" s="325" t="str">
        <f>CONCATENATE("P",'906MP'!M2286)</f>
        <v>P</v>
      </c>
      <c r="B2586">
        <f>'906MP'!H2286</f>
        <v>0</v>
      </c>
      <c r="C2586">
        <f>'906MP'!J2286</f>
        <v>0</v>
      </c>
      <c r="D2586">
        <f>'906MP'!P2286</f>
        <v>0</v>
      </c>
      <c r="E2586">
        <f>'906MP'!X2286</f>
        <v>0</v>
      </c>
      <c r="F2586" t="str">
        <f t="shared" si="770"/>
        <v>0</v>
      </c>
      <c r="G2586" t="str">
        <f t="shared" si="771"/>
        <v>0</v>
      </c>
      <c r="H2586">
        <f>'906MP'!Y2286</f>
        <v>0</v>
      </c>
      <c r="I2586">
        <f>'906MP'!AK2286</f>
        <v>0</v>
      </c>
      <c r="J2586">
        <f>'906MP'!T2286</f>
        <v>0</v>
      </c>
      <c r="K2586">
        <f>'906MP'!AJ2286</f>
        <v>0</v>
      </c>
      <c r="L2586">
        <f>'906MP'!U2286</f>
        <v>0</v>
      </c>
      <c r="M2586" s="322" t="str">
        <f>IFERROR(VLOOKUP(A2586,PAR!$D$3:$E$53,2,FALSE),"nincs szervezet")</f>
        <v>nincs szervezet</v>
      </c>
      <c r="N2586" s="322" t="str">
        <f>VLOOKUP(F2586,PAR!$R$3:$S$5,2,FALSE)</f>
        <v>3 - egyik sem</v>
      </c>
      <c r="O2586" t="str">
        <f>IFERROR(VLOOKUP(J2586,PAR!$O$3:$P$5,2,FALSE),"nincs feladat")</f>
        <v>nincs feladat</v>
      </c>
      <c r="P2586" t="str">
        <f>IFERROR(VLOOKUP(G2586,PAR!$J$2:$M$19,4),"nincs rovat")</f>
        <v>nincs rovat</v>
      </c>
      <c r="Q2586" t="str">
        <f>IF(H2586&gt;0,VLOOKUP(H2586,PAR!$AA$3:$AC$187,3,FALSE),"nincs főkönyvi számla")</f>
        <v>nincs főkönyvi számla</v>
      </c>
      <c r="R2586" t="str">
        <f>IFERROR(VLOOKUP(K2586,PAR!$V$3:$X$438,3,FALSE),"000000 - Nincs COFOG")</f>
        <v>000000 - Nincs COFOG</v>
      </c>
      <c r="S2586">
        <f t="shared" si="772"/>
        <v>0</v>
      </c>
      <c r="T2586">
        <f t="shared" si="773"/>
        <v>0</v>
      </c>
      <c r="U2586" t="str">
        <f>IF('906MP'!J2286&gt;0,CONCATENATE('906MP'!J2286," - ",'906MP'!P2286,", ",'906MP'!E2286),"nincs megjegyzés")</f>
        <v>nincs megjegyzés</v>
      </c>
      <c r="V2586" t="str">
        <f t="shared" si="760"/>
        <v>0P0</v>
      </c>
      <c r="W2586" t="str">
        <f t="shared" si="761"/>
        <v>0P0</v>
      </c>
      <c r="X2586" t="str">
        <f t="shared" si="762"/>
        <v>P0</v>
      </c>
      <c r="Y2586" t="str">
        <f t="shared" si="763"/>
        <v>00</v>
      </c>
      <c r="Z2586" t="str">
        <f t="shared" si="774"/>
        <v>00</v>
      </c>
      <c r="AA2586" t="str">
        <f t="shared" si="764"/>
        <v>00</v>
      </c>
      <c r="AB2586" t="str">
        <f t="shared" si="765"/>
        <v>00</v>
      </c>
      <c r="AC2586" t="str">
        <f t="shared" si="766"/>
        <v>0P0</v>
      </c>
      <c r="AD2586" t="str">
        <f t="shared" si="767"/>
        <v>P00</v>
      </c>
      <c r="AE2586" t="str">
        <f t="shared" si="768"/>
        <v>0P0</v>
      </c>
      <c r="AF2586" t="str">
        <f t="shared" si="769"/>
        <v>P00</v>
      </c>
      <c r="AG2586" t="str">
        <f t="shared" si="775"/>
        <v>0P00</v>
      </c>
      <c r="AH2586" t="str">
        <f t="shared" si="776"/>
        <v>P000</v>
      </c>
      <c r="AI2586" t="str">
        <f t="shared" si="777"/>
        <v>0P00</v>
      </c>
      <c r="AJ2586" t="str">
        <f t="shared" si="778"/>
        <v>P000</v>
      </c>
    </row>
    <row r="2587" spans="1:36" x14ac:dyDescent="0.25">
      <c r="A2587" s="325" t="str">
        <f>CONCATENATE("P",'906MP'!M2287)</f>
        <v>P</v>
      </c>
      <c r="B2587">
        <f>'906MP'!H2287</f>
        <v>0</v>
      </c>
      <c r="C2587">
        <f>'906MP'!J2287</f>
        <v>0</v>
      </c>
      <c r="D2587">
        <f>'906MP'!P2287</f>
        <v>0</v>
      </c>
      <c r="E2587">
        <f>'906MP'!X2287</f>
        <v>0</v>
      </c>
      <c r="F2587" t="str">
        <f t="shared" si="770"/>
        <v>0</v>
      </c>
      <c r="G2587" t="str">
        <f t="shared" si="771"/>
        <v>0</v>
      </c>
      <c r="H2587">
        <f>'906MP'!Y2287</f>
        <v>0</v>
      </c>
      <c r="I2587">
        <f>'906MP'!AK2287</f>
        <v>0</v>
      </c>
      <c r="J2587">
        <f>'906MP'!T2287</f>
        <v>0</v>
      </c>
      <c r="K2587">
        <f>'906MP'!AJ2287</f>
        <v>0</v>
      </c>
      <c r="L2587">
        <f>'906MP'!U2287</f>
        <v>0</v>
      </c>
      <c r="M2587" s="322" t="str">
        <f>IFERROR(VLOOKUP(A2587,PAR!$D$3:$E$53,2,FALSE),"nincs szervezet")</f>
        <v>nincs szervezet</v>
      </c>
      <c r="N2587" s="322" t="str">
        <f>VLOOKUP(F2587,PAR!$R$3:$S$5,2,FALSE)</f>
        <v>3 - egyik sem</v>
      </c>
      <c r="O2587" t="str">
        <f>IFERROR(VLOOKUP(J2587,PAR!$O$3:$P$5,2,FALSE),"nincs feladat")</f>
        <v>nincs feladat</v>
      </c>
      <c r="P2587" t="str">
        <f>IFERROR(VLOOKUP(G2587,PAR!$J$2:$M$19,4),"nincs rovat")</f>
        <v>nincs rovat</v>
      </c>
      <c r="Q2587" t="str">
        <f>IF(H2587&gt;0,VLOOKUP(H2587,PAR!$AA$3:$AC$187,3,FALSE),"nincs főkönyvi számla")</f>
        <v>nincs főkönyvi számla</v>
      </c>
      <c r="R2587" t="str">
        <f>IFERROR(VLOOKUP(K2587,PAR!$V$3:$X$438,3,FALSE),"000000 - Nincs COFOG")</f>
        <v>000000 - Nincs COFOG</v>
      </c>
      <c r="S2587">
        <f t="shared" si="772"/>
        <v>0</v>
      </c>
      <c r="T2587">
        <f t="shared" si="773"/>
        <v>0</v>
      </c>
      <c r="U2587" t="str">
        <f>IF('906MP'!J2287&gt;0,CONCATENATE('906MP'!J2287," - ",'906MP'!P2287,", ",'906MP'!E2287),"nincs megjegyzés")</f>
        <v>nincs megjegyzés</v>
      </c>
      <c r="V2587" t="str">
        <f t="shared" si="760"/>
        <v>0P0</v>
      </c>
      <c r="W2587" t="str">
        <f t="shared" si="761"/>
        <v>0P0</v>
      </c>
      <c r="X2587" t="str">
        <f t="shared" si="762"/>
        <v>P0</v>
      </c>
      <c r="Y2587" t="str">
        <f t="shared" si="763"/>
        <v>00</v>
      </c>
      <c r="Z2587" t="str">
        <f t="shared" si="774"/>
        <v>00</v>
      </c>
      <c r="AA2587" t="str">
        <f t="shared" si="764"/>
        <v>00</v>
      </c>
      <c r="AB2587" t="str">
        <f t="shared" si="765"/>
        <v>00</v>
      </c>
      <c r="AC2587" t="str">
        <f t="shared" si="766"/>
        <v>0P0</v>
      </c>
      <c r="AD2587" t="str">
        <f t="shared" si="767"/>
        <v>P00</v>
      </c>
      <c r="AE2587" t="str">
        <f t="shared" si="768"/>
        <v>0P0</v>
      </c>
      <c r="AF2587" t="str">
        <f t="shared" si="769"/>
        <v>P00</v>
      </c>
      <c r="AG2587" t="str">
        <f t="shared" si="775"/>
        <v>0P00</v>
      </c>
      <c r="AH2587" t="str">
        <f t="shared" si="776"/>
        <v>P000</v>
      </c>
      <c r="AI2587" t="str">
        <f t="shared" si="777"/>
        <v>0P00</v>
      </c>
      <c r="AJ2587" t="str">
        <f t="shared" si="778"/>
        <v>P000</v>
      </c>
    </row>
    <row r="2588" spans="1:36" x14ac:dyDescent="0.25">
      <c r="A2588" s="325" t="str">
        <f>CONCATENATE("P",'906MP'!M2288)</f>
        <v>P</v>
      </c>
      <c r="B2588">
        <f>'906MP'!H2288</f>
        <v>0</v>
      </c>
      <c r="C2588">
        <f>'906MP'!J2288</f>
        <v>0</v>
      </c>
      <c r="D2588">
        <f>'906MP'!P2288</f>
        <v>0</v>
      </c>
      <c r="E2588">
        <f>'906MP'!X2288</f>
        <v>0</v>
      </c>
      <c r="F2588" t="str">
        <f t="shared" si="770"/>
        <v>0</v>
      </c>
      <c r="G2588" t="str">
        <f t="shared" si="771"/>
        <v>0</v>
      </c>
      <c r="H2588">
        <f>'906MP'!Y2288</f>
        <v>0</v>
      </c>
      <c r="I2588">
        <f>'906MP'!AK2288</f>
        <v>0</v>
      </c>
      <c r="J2588">
        <f>'906MP'!T2288</f>
        <v>0</v>
      </c>
      <c r="K2588">
        <f>'906MP'!AJ2288</f>
        <v>0</v>
      </c>
      <c r="L2588">
        <f>'906MP'!U2288</f>
        <v>0</v>
      </c>
      <c r="M2588" s="322" t="str">
        <f>IFERROR(VLOOKUP(A2588,PAR!$D$3:$E$53,2,FALSE),"nincs szervezet")</f>
        <v>nincs szervezet</v>
      </c>
      <c r="N2588" s="322" t="str">
        <f>VLOOKUP(F2588,PAR!$R$3:$S$5,2,FALSE)</f>
        <v>3 - egyik sem</v>
      </c>
      <c r="O2588" t="str">
        <f>IFERROR(VLOOKUP(J2588,PAR!$O$3:$P$5,2,FALSE),"nincs feladat")</f>
        <v>nincs feladat</v>
      </c>
      <c r="P2588" t="str">
        <f>IFERROR(VLOOKUP(G2588,PAR!$J$2:$M$19,4),"nincs rovat")</f>
        <v>nincs rovat</v>
      </c>
      <c r="Q2588" t="str">
        <f>IF(H2588&gt;0,VLOOKUP(H2588,PAR!$AA$3:$AC$187,3,FALSE),"nincs főkönyvi számla")</f>
        <v>nincs főkönyvi számla</v>
      </c>
      <c r="R2588" t="str">
        <f>IFERROR(VLOOKUP(K2588,PAR!$V$3:$X$438,3,FALSE),"000000 - Nincs COFOG")</f>
        <v>000000 - Nincs COFOG</v>
      </c>
      <c r="S2588">
        <f t="shared" si="772"/>
        <v>0</v>
      </c>
      <c r="T2588">
        <f t="shared" si="773"/>
        <v>0</v>
      </c>
      <c r="U2588" t="str">
        <f>IF('906MP'!J2288&gt;0,CONCATENATE('906MP'!J2288," - ",'906MP'!P2288,", ",'906MP'!E2288),"nincs megjegyzés")</f>
        <v>nincs megjegyzés</v>
      </c>
      <c r="V2588" t="str">
        <f t="shared" si="760"/>
        <v>0P0</v>
      </c>
      <c r="W2588" t="str">
        <f t="shared" si="761"/>
        <v>0P0</v>
      </c>
      <c r="X2588" t="str">
        <f t="shared" si="762"/>
        <v>P0</v>
      </c>
      <c r="Y2588" t="str">
        <f t="shared" si="763"/>
        <v>00</v>
      </c>
      <c r="Z2588" t="str">
        <f t="shared" si="774"/>
        <v>00</v>
      </c>
      <c r="AA2588" t="str">
        <f t="shared" si="764"/>
        <v>00</v>
      </c>
      <c r="AB2588" t="str">
        <f t="shared" si="765"/>
        <v>00</v>
      </c>
      <c r="AC2588" t="str">
        <f t="shared" si="766"/>
        <v>0P0</v>
      </c>
      <c r="AD2588" t="str">
        <f t="shared" si="767"/>
        <v>P00</v>
      </c>
      <c r="AE2588" t="str">
        <f t="shared" si="768"/>
        <v>0P0</v>
      </c>
      <c r="AF2588" t="str">
        <f t="shared" si="769"/>
        <v>P00</v>
      </c>
      <c r="AG2588" t="str">
        <f t="shared" si="775"/>
        <v>0P00</v>
      </c>
      <c r="AH2588" t="str">
        <f t="shared" si="776"/>
        <v>P000</v>
      </c>
      <c r="AI2588" t="str">
        <f t="shared" si="777"/>
        <v>0P00</v>
      </c>
      <c r="AJ2588" t="str">
        <f t="shared" si="778"/>
        <v>P000</v>
      </c>
    </row>
    <row r="2589" spans="1:36" x14ac:dyDescent="0.25">
      <c r="A2589" s="325" t="str">
        <f>CONCATENATE("P",'906MP'!M2289)</f>
        <v>P</v>
      </c>
      <c r="B2589">
        <f>'906MP'!H2289</f>
        <v>0</v>
      </c>
      <c r="C2589">
        <f>'906MP'!J2289</f>
        <v>0</v>
      </c>
      <c r="D2589">
        <f>'906MP'!P2289</f>
        <v>0</v>
      </c>
      <c r="E2589">
        <f>'906MP'!X2289</f>
        <v>0</v>
      </c>
      <c r="F2589" t="str">
        <f t="shared" si="770"/>
        <v>0</v>
      </c>
      <c r="G2589" t="str">
        <f t="shared" si="771"/>
        <v>0</v>
      </c>
      <c r="H2589">
        <f>'906MP'!Y2289</f>
        <v>0</v>
      </c>
      <c r="I2589">
        <f>'906MP'!AK2289</f>
        <v>0</v>
      </c>
      <c r="J2589">
        <f>'906MP'!T2289</f>
        <v>0</v>
      </c>
      <c r="K2589">
        <f>'906MP'!AJ2289</f>
        <v>0</v>
      </c>
      <c r="L2589">
        <f>'906MP'!U2289</f>
        <v>0</v>
      </c>
      <c r="M2589" s="322" t="str">
        <f>IFERROR(VLOOKUP(A2589,PAR!$D$3:$E$53,2,FALSE),"nincs szervezet")</f>
        <v>nincs szervezet</v>
      </c>
      <c r="N2589" s="322" t="str">
        <f>VLOOKUP(F2589,PAR!$R$3:$S$5,2,FALSE)</f>
        <v>3 - egyik sem</v>
      </c>
      <c r="O2589" t="str">
        <f>IFERROR(VLOOKUP(J2589,PAR!$O$3:$P$5,2,FALSE),"nincs feladat")</f>
        <v>nincs feladat</v>
      </c>
      <c r="P2589" t="str">
        <f>IFERROR(VLOOKUP(G2589,PAR!$J$2:$M$19,4),"nincs rovat")</f>
        <v>nincs rovat</v>
      </c>
      <c r="Q2589" t="str">
        <f>IF(H2589&gt;0,VLOOKUP(H2589,PAR!$AA$3:$AC$187,3,FALSE),"nincs főkönyvi számla")</f>
        <v>nincs főkönyvi számla</v>
      </c>
      <c r="R2589" t="str">
        <f>IFERROR(VLOOKUP(K2589,PAR!$V$3:$X$438,3,FALSE),"000000 - Nincs COFOG")</f>
        <v>000000 - Nincs COFOG</v>
      </c>
      <c r="S2589">
        <f t="shared" si="772"/>
        <v>0</v>
      </c>
      <c r="T2589">
        <f t="shared" si="773"/>
        <v>0</v>
      </c>
      <c r="U2589" t="str">
        <f>IF('906MP'!J2289&gt;0,CONCATENATE('906MP'!J2289," - ",'906MP'!P2289,", ",'906MP'!E2289),"nincs megjegyzés")</f>
        <v>nincs megjegyzés</v>
      </c>
      <c r="V2589" t="str">
        <f t="shared" si="760"/>
        <v>0P0</v>
      </c>
      <c r="W2589" t="str">
        <f t="shared" si="761"/>
        <v>0P0</v>
      </c>
      <c r="X2589" t="str">
        <f t="shared" si="762"/>
        <v>P0</v>
      </c>
      <c r="Y2589" t="str">
        <f t="shared" si="763"/>
        <v>00</v>
      </c>
      <c r="Z2589" t="str">
        <f t="shared" si="774"/>
        <v>00</v>
      </c>
      <c r="AA2589" t="str">
        <f t="shared" si="764"/>
        <v>00</v>
      </c>
      <c r="AB2589" t="str">
        <f t="shared" si="765"/>
        <v>00</v>
      </c>
      <c r="AC2589" t="str">
        <f t="shared" si="766"/>
        <v>0P0</v>
      </c>
      <c r="AD2589" t="str">
        <f t="shared" si="767"/>
        <v>P00</v>
      </c>
      <c r="AE2589" t="str">
        <f t="shared" si="768"/>
        <v>0P0</v>
      </c>
      <c r="AF2589" t="str">
        <f t="shared" si="769"/>
        <v>P00</v>
      </c>
      <c r="AG2589" t="str">
        <f t="shared" si="775"/>
        <v>0P00</v>
      </c>
      <c r="AH2589" t="str">
        <f t="shared" si="776"/>
        <v>P000</v>
      </c>
      <c r="AI2589" t="str">
        <f t="shared" si="777"/>
        <v>0P00</v>
      </c>
      <c r="AJ2589" t="str">
        <f t="shared" si="778"/>
        <v>P000</v>
      </c>
    </row>
    <row r="2590" spans="1:36" x14ac:dyDescent="0.25">
      <c r="A2590" s="325" t="str">
        <f>CONCATENATE("P",'906MP'!M2290)</f>
        <v>P</v>
      </c>
      <c r="B2590">
        <f>'906MP'!H2290</f>
        <v>0</v>
      </c>
      <c r="C2590">
        <f>'906MP'!J2290</f>
        <v>0</v>
      </c>
      <c r="D2590">
        <f>'906MP'!P2290</f>
        <v>0</v>
      </c>
      <c r="E2590">
        <f>'906MP'!X2290</f>
        <v>0</v>
      </c>
      <c r="F2590" t="str">
        <f t="shared" si="770"/>
        <v>0</v>
      </c>
      <c r="G2590" t="str">
        <f t="shared" si="771"/>
        <v>0</v>
      </c>
      <c r="H2590">
        <f>'906MP'!Y2290</f>
        <v>0</v>
      </c>
      <c r="I2590">
        <f>'906MP'!AK2290</f>
        <v>0</v>
      </c>
      <c r="J2590">
        <f>'906MP'!T2290</f>
        <v>0</v>
      </c>
      <c r="K2590">
        <f>'906MP'!AJ2290</f>
        <v>0</v>
      </c>
      <c r="L2590">
        <f>'906MP'!U2290</f>
        <v>0</v>
      </c>
      <c r="M2590" s="322" t="str">
        <f>IFERROR(VLOOKUP(A2590,PAR!$D$3:$E$53,2,FALSE),"nincs szervezet")</f>
        <v>nincs szervezet</v>
      </c>
      <c r="N2590" s="322" t="str">
        <f>VLOOKUP(F2590,PAR!$R$3:$S$5,2,FALSE)</f>
        <v>3 - egyik sem</v>
      </c>
      <c r="O2590" t="str">
        <f>IFERROR(VLOOKUP(J2590,PAR!$O$3:$P$5,2,FALSE),"nincs feladat")</f>
        <v>nincs feladat</v>
      </c>
      <c r="P2590" t="str">
        <f>IFERROR(VLOOKUP(G2590,PAR!$J$2:$M$19,4),"nincs rovat")</f>
        <v>nincs rovat</v>
      </c>
      <c r="Q2590" t="str">
        <f>IF(H2590&gt;0,VLOOKUP(H2590,PAR!$AA$3:$AC$187,3,FALSE),"nincs főkönyvi számla")</f>
        <v>nincs főkönyvi számla</v>
      </c>
      <c r="R2590" t="str">
        <f>IFERROR(VLOOKUP(K2590,PAR!$V$3:$X$438,3,FALSE),"000000 - Nincs COFOG")</f>
        <v>000000 - Nincs COFOG</v>
      </c>
      <c r="S2590">
        <f t="shared" si="772"/>
        <v>0</v>
      </c>
      <c r="T2590">
        <f t="shared" si="773"/>
        <v>0</v>
      </c>
      <c r="U2590" t="str">
        <f>IF('906MP'!J2290&gt;0,CONCATENATE('906MP'!J2290," - ",'906MP'!P2290,", ",'906MP'!E2290),"nincs megjegyzés")</f>
        <v>nincs megjegyzés</v>
      </c>
      <c r="V2590" t="str">
        <f t="shared" si="760"/>
        <v>0P0</v>
      </c>
      <c r="W2590" t="str">
        <f t="shared" si="761"/>
        <v>0P0</v>
      </c>
      <c r="X2590" t="str">
        <f t="shared" si="762"/>
        <v>P0</v>
      </c>
      <c r="Y2590" t="str">
        <f t="shared" si="763"/>
        <v>00</v>
      </c>
      <c r="Z2590" t="str">
        <f t="shared" si="774"/>
        <v>00</v>
      </c>
      <c r="AA2590" t="str">
        <f t="shared" si="764"/>
        <v>00</v>
      </c>
      <c r="AB2590" t="str">
        <f t="shared" si="765"/>
        <v>00</v>
      </c>
      <c r="AC2590" t="str">
        <f t="shared" si="766"/>
        <v>0P0</v>
      </c>
      <c r="AD2590" t="str">
        <f t="shared" si="767"/>
        <v>P00</v>
      </c>
      <c r="AE2590" t="str">
        <f t="shared" si="768"/>
        <v>0P0</v>
      </c>
      <c r="AF2590" t="str">
        <f t="shared" si="769"/>
        <v>P00</v>
      </c>
      <c r="AG2590" t="str">
        <f t="shared" si="775"/>
        <v>0P00</v>
      </c>
      <c r="AH2590" t="str">
        <f t="shared" si="776"/>
        <v>P000</v>
      </c>
      <c r="AI2590" t="str">
        <f t="shared" si="777"/>
        <v>0P00</v>
      </c>
      <c r="AJ2590" t="str">
        <f t="shared" si="778"/>
        <v>P000</v>
      </c>
    </row>
    <row r="2591" spans="1:36" x14ac:dyDescent="0.25">
      <c r="A2591" s="325" t="str">
        <f>CONCATENATE("P",'906MP'!M2291)</f>
        <v>P</v>
      </c>
      <c r="B2591">
        <f>'906MP'!H2291</f>
        <v>0</v>
      </c>
      <c r="C2591">
        <f>'906MP'!J2291</f>
        <v>0</v>
      </c>
      <c r="D2591">
        <f>'906MP'!P2291</f>
        <v>0</v>
      </c>
      <c r="E2591">
        <f>'906MP'!X2291</f>
        <v>0</v>
      </c>
      <c r="F2591" t="str">
        <f t="shared" si="770"/>
        <v>0</v>
      </c>
      <c r="G2591" t="str">
        <f t="shared" si="771"/>
        <v>0</v>
      </c>
      <c r="H2591">
        <f>'906MP'!Y2291</f>
        <v>0</v>
      </c>
      <c r="I2591">
        <f>'906MP'!AK2291</f>
        <v>0</v>
      </c>
      <c r="J2591">
        <f>'906MP'!T2291</f>
        <v>0</v>
      </c>
      <c r="K2591">
        <f>'906MP'!AJ2291</f>
        <v>0</v>
      </c>
      <c r="L2591">
        <f>'906MP'!U2291</f>
        <v>0</v>
      </c>
      <c r="M2591" s="322" t="str">
        <f>IFERROR(VLOOKUP(A2591,PAR!$D$3:$E$53,2,FALSE),"nincs szervezet")</f>
        <v>nincs szervezet</v>
      </c>
      <c r="N2591" s="322" t="str">
        <f>VLOOKUP(F2591,PAR!$R$3:$S$5,2,FALSE)</f>
        <v>3 - egyik sem</v>
      </c>
      <c r="O2591" t="str">
        <f>IFERROR(VLOOKUP(J2591,PAR!$O$3:$P$5,2,FALSE),"nincs feladat")</f>
        <v>nincs feladat</v>
      </c>
      <c r="P2591" t="str">
        <f>IFERROR(VLOOKUP(G2591,PAR!$J$2:$M$19,4),"nincs rovat")</f>
        <v>nincs rovat</v>
      </c>
      <c r="Q2591" t="str">
        <f>IF(H2591&gt;0,VLOOKUP(H2591,PAR!$AA$3:$AC$187,3,FALSE),"nincs főkönyvi számla")</f>
        <v>nincs főkönyvi számla</v>
      </c>
      <c r="R2591" t="str">
        <f>IFERROR(VLOOKUP(K2591,PAR!$V$3:$X$438,3,FALSE),"000000 - Nincs COFOG")</f>
        <v>000000 - Nincs COFOG</v>
      </c>
      <c r="S2591">
        <f t="shared" si="772"/>
        <v>0</v>
      </c>
      <c r="T2591">
        <f t="shared" si="773"/>
        <v>0</v>
      </c>
      <c r="U2591" t="str">
        <f>IF('906MP'!J2291&gt;0,CONCATENATE('906MP'!J2291," - ",'906MP'!P2291,", ",'906MP'!E2291),"nincs megjegyzés")</f>
        <v>nincs megjegyzés</v>
      </c>
      <c r="V2591" t="str">
        <f t="shared" si="760"/>
        <v>0P0</v>
      </c>
      <c r="W2591" t="str">
        <f t="shared" si="761"/>
        <v>0P0</v>
      </c>
      <c r="X2591" t="str">
        <f t="shared" si="762"/>
        <v>P0</v>
      </c>
      <c r="Y2591" t="str">
        <f t="shared" si="763"/>
        <v>00</v>
      </c>
      <c r="Z2591" t="str">
        <f t="shared" si="774"/>
        <v>00</v>
      </c>
      <c r="AA2591" t="str">
        <f t="shared" si="764"/>
        <v>00</v>
      </c>
      <c r="AB2591" t="str">
        <f t="shared" si="765"/>
        <v>00</v>
      </c>
      <c r="AC2591" t="str">
        <f t="shared" si="766"/>
        <v>0P0</v>
      </c>
      <c r="AD2591" t="str">
        <f t="shared" si="767"/>
        <v>P00</v>
      </c>
      <c r="AE2591" t="str">
        <f t="shared" si="768"/>
        <v>0P0</v>
      </c>
      <c r="AF2591" t="str">
        <f t="shared" si="769"/>
        <v>P00</v>
      </c>
      <c r="AG2591" t="str">
        <f t="shared" si="775"/>
        <v>0P00</v>
      </c>
      <c r="AH2591" t="str">
        <f t="shared" si="776"/>
        <v>P000</v>
      </c>
      <c r="AI2591" t="str">
        <f t="shared" si="777"/>
        <v>0P00</v>
      </c>
      <c r="AJ2591" t="str">
        <f t="shared" si="778"/>
        <v>P000</v>
      </c>
    </row>
    <row r="2592" spans="1:36" x14ac:dyDescent="0.25">
      <c r="A2592" s="325" t="str">
        <f>CONCATENATE("P",'906MP'!M2292)</f>
        <v>P</v>
      </c>
      <c r="B2592">
        <f>'906MP'!H2292</f>
        <v>0</v>
      </c>
      <c r="C2592">
        <f>'906MP'!J2292</f>
        <v>0</v>
      </c>
      <c r="D2592">
        <f>'906MP'!P2292</f>
        <v>0</v>
      </c>
      <c r="E2592">
        <f>'906MP'!X2292</f>
        <v>0</v>
      </c>
      <c r="F2592" t="str">
        <f t="shared" si="770"/>
        <v>0</v>
      </c>
      <c r="G2592" t="str">
        <f t="shared" si="771"/>
        <v>0</v>
      </c>
      <c r="H2592">
        <f>'906MP'!Y2292</f>
        <v>0</v>
      </c>
      <c r="I2592">
        <f>'906MP'!AK2292</f>
        <v>0</v>
      </c>
      <c r="J2592">
        <f>'906MP'!T2292</f>
        <v>0</v>
      </c>
      <c r="K2592">
        <f>'906MP'!AJ2292</f>
        <v>0</v>
      </c>
      <c r="L2592">
        <f>'906MP'!U2292</f>
        <v>0</v>
      </c>
      <c r="M2592" s="322" t="str">
        <f>IFERROR(VLOOKUP(A2592,PAR!$D$3:$E$53,2,FALSE),"nincs szervezet")</f>
        <v>nincs szervezet</v>
      </c>
      <c r="N2592" s="322" t="str">
        <f>VLOOKUP(F2592,PAR!$R$3:$S$5,2,FALSE)</f>
        <v>3 - egyik sem</v>
      </c>
      <c r="O2592" t="str">
        <f>IFERROR(VLOOKUP(J2592,PAR!$O$3:$P$5,2,FALSE),"nincs feladat")</f>
        <v>nincs feladat</v>
      </c>
      <c r="P2592" t="str">
        <f>IFERROR(VLOOKUP(G2592,PAR!$J$2:$M$19,4),"nincs rovat")</f>
        <v>nincs rovat</v>
      </c>
      <c r="Q2592" t="str">
        <f>IF(H2592&gt;0,VLOOKUP(H2592,PAR!$AA$3:$AC$187,3,FALSE),"nincs főkönyvi számla")</f>
        <v>nincs főkönyvi számla</v>
      </c>
      <c r="R2592" t="str">
        <f>IFERROR(VLOOKUP(K2592,PAR!$V$3:$X$438,3,FALSE),"000000 - Nincs COFOG")</f>
        <v>000000 - Nincs COFOG</v>
      </c>
      <c r="S2592">
        <f t="shared" si="772"/>
        <v>0</v>
      </c>
      <c r="T2592">
        <f t="shared" si="773"/>
        <v>0</v>
      </c>
      <c r="U2592" t="str">
        <f>IF('906MP'!J2292&gt;0,CONCATENATE('906MP'!J2292," - ",'906MP'!P2292,", ",'906MP'!E2292),"nincs megjegyzés")</f>
        <v>nincs megjegyzés</v>
      </c>
      <c r="V2592" t="str">
        <f t="shared" si="760"/>
        <v>0P0</v>
      </c>
      <c r="W2592" t="str">
        <f t="shared" si="761"/>
        <v>0P0</v>
      </c>
      <c r="X2592" t="str">
        <f t="shared" si="762"/>
        <v>P0</v>
      </c>
      <c r="Y2592" t="str">
        <f t="shared" si="763"/>
        <v>00</v>
      </c>
      <c r="Z2592" t="str">
        <f t="shared" si="774"/>
        <v>00</v>
      </c>
      <c r="AA2592" t="str">
        <f t="shared" si="764"/>
        <v>00</v>
      </c>
      <c r="AB2592" t="str">
        <f t="shared" si="765"/>
        <v>00</v>
      </c>
      <c r="AC2592" t="str">
        <f t="shared" si="766"/>
        <v>0P0</v>
      </c>
      <c r="AD2592" t="str">
        <f t="shared" si="767"/>
        <v>P00</v>
      </c>
      <c r="AE2592" t="str">
        <f t="shared" si="768"/>
        <v>0P0</v>
      </c>
      <c r="AF2592" t="str">
        <f t="shared" si="769"/>
        <v>P00</v>
      </c>
      <c r="AG2592" t="str">
        <f t="shared" si="775"/>
        <v>0P00</v>
      </c>
      <c r="AH2592" t="str">
        <f t="shared" si="776"/>
        <v>P000</v>
      </c>
      <c r="AI2592" t="str">
        <f t="shared" si="777"/>
        <v>0P00</v>
      </c>
      <c r="AJ2592" t="str">
        <f t="shared" si="778"/>
        <v>P000</v>
      </c>
    </row>
    <row r="2593" spans="1:36" x14ac:dyDescent="0.25">
      <c r="A2593" s="325" t="str">
        <f>CONCATENATE("P",'906MP'!M2293)</f>
        <v>P</v>
      </c>
      <c r="B2593">
        <f>'906MP'!H2293</f>
        <v>0</v>
      </c>
      <c r="C2593">
        <f>'906MP'!J2293</f>
        <v>0</v>
      </c>
      <c r="D2593">
        <f>'906MP'!P2293</f>
        <v>0</v>
      </c>
      <c r="E2593">
        <f>'906MP'!X2293</f>
        <v>0</v>
      </c>
      <c r="F2593" t="str">
        <f t="shared" si="770"/>
        <v>0</v>
      </c>
      <c r="G2593" t="str">
        <f t="shared" si="771"/>
        <v>0</v>
      </c>
      <c r="H2593">
        <f>'906MP'!Y2293</f>
        <v>0</v>
      </c>
      <c r="I2593">
        <f>'906MP'!AK2293</f>
        <v>0</v>
      </c>
      <c r="J2593">
        <f>'906MP'!T2293</f>
        <v>0</v>
      </c>
      <c r="K2593">
        <f>'906MP'!AJ2293</f>
        <v>0</v>
      </c>
      <c r="L2593">
        <f>'906MP'!U2293</f>
        <v>0</v>
      </c>
      <c r="M2593" s="322" t="str">
        <f>IFERROR(VLOOKUP(A2593,PAR!$D$3:$E$53,2,FALSE),"nincs szervezet")</f>
        <v>nincs szervezet</v>
      </c>
      <c r="N2593" s="322" t="str">
        <f>VLOOKUP(F2593,PAR!$R$3:$S$5,2,FALSE)</f>
        <v>3 - egyik sem</v>
      </c>
      <c r="O2593" t="str">
        <f>IFERROR(VLOOKUP(J2593,PAR!$O$3:$P$5,2,FALSE),"nincs feladat")</f>
        <v>nincs feladat</v>
      </c>
      <c r="P2593" t="str">
        <f>IFERROR(VLOOKUP(G2593,PAR!$J$2:$M$19,4),"nincs rovat")</f>
        <v>nincs rovat</v>
      </c>
      <c r="Q2593" t="str">
        <f>IF(H2593&gt;0,VLOOKUP(H2593,PAR!$AA$3:$AC$187,3,FALSE),"nincs főkönyvi számla")</f>
        <v>nincs főkönyvi számla</v>
      </c>
      <c r="R2593" t="str">
        <f>IFERROR(VLOOKUP(K2593,PAR!$V$3:$X$438,3,FALSE),"000000 - Nincs COFOG")</f>
        <v>000000 - Nincs COFOG</v>
      </c>
      <c r="S2593">
        <f t="shared" si="772"/>
        <v>0</v>
      </c>
      <c r="T2593">
        <f t="shared" si="773"/>
        <v>0</v>
      </c>
      <c r="U2593" t="str">
        <f>IF('906MP'!J2293&gt;0,CONCATENATE('906MP'!J2293," - ",'906MP'!P2293,", ",'906MP'!E2293),"nincs megjegyzés")</f>
        <v>nincs megjegyzés</v>
      </c>
      <c r="V2593" t="str">
        <f t="shared" si="760"/>
        <v>0P0</v>
      </c>
      <c r="W2593" t="str">
        <f t="shared" si="761"/>
        <v>0P0</v>
      </c>
      <c r="X2593" t="str">
        <f t="shared" si="762"/>
        <v>P0</v>
      </c>
      <c r="Y2593" t="str">
        <f t="shared" si="763"/>
        <v>00</v>
      </c>
      <c r="Z2593" t="str">
        <f t="shared" si="774"/>
        <v>00</v>
      </c>
      <c r="AA2593" t="str">
        <f t="shared" si="764"/>
        <v>00</v>
      </c>
      <c r="AB2593" t="str">
        <f t="shared" si="765"/>
        <v>00</v>
      </c>
      <c r="AC2593" t="str">
        <f t="shared" si="766"/>
        <v>0P0</v>
      </c>
      <c r="AD2593" t="str">
        <f t="shared" si="767"/>
        <v>P00</v>
      </c>
      <c r="AE2593" t="str">
        <f t="shared" si="768"/>
        <v>0P0</v>
      </c>
      <c r="AF2593" t="str">
        <f t="shared" si="769"/>
        <v>P00</v>
      </c>
      <c r="AG2593" t="str">
        <f t="shared" si="775"/>
        <v>0P00</v>
      </c>
      <c r="AH2593" t="str">
        <f t="shared" si="776"/>
        <v>P000</v>
      </c>
      <c r="AI2593" t="str">
        <f t="shared" si="777"/>
        <v>0P00</v>
      </c>
      <c r="AJ2593" t="str">
        <f t="shared" si="778"/>
        <v>P000</v>
      </c>
    </row>
    <row r="2594" spans="1:36" x14ac:dyDescent="0.25">
      <c r="A2594" s="325" t="str">
        <f>CONCATENATE("P",'906MP'!M2294)</f>
        <v>P</v>
      </c>
      <c r="B2594">
        <f>'906MP'!H2294</f>
        <v>0</v>
      </c>
      <c r="C2594">
        <f>'906MP'!J2294</f>
        <v>0</v>
      </c>
      <c r="D2594">
        <f>'906MP'!P2294</f>
        <v>0</v>
      </c>
      <c r="E2594">
        <f>'906MP'!X2294</f>
        <v>0</v>
      </c>
      <c r="F2594" t="str">
        <f t="shared" si="770"/>
        <v>0</v>
      </c>
      <c r="G2594" t="str">
        <f t="shared" si="771"/>
        <v>0</v>
      </c>
      <c r="H2594">
        <f>'906MP'!Y2294</f>
        <v>0</v>
      </c>
      <c r="I2594">
        <f>'906MP'!AK2294</f>
        <v>0</v>
      </c>
      <c r="J2594">
        <f>'906MP'!T2294</f>
        <v>0</v>
      </c>
      <c r="K2594">
        <f>'906MP'!AJ2294</f>
        <v>0</v>
      </c>
      <c r="L2594">
        <f>'906MP'!U2294</f>
        <v>0</v>
      </c>
      <c r="M2594" s="322" t="str">
        <f>IFERROR(VLOOKUP(A2594,PAR!$D$3:$E$53,2,FALSE),"nincs szervezet")</f>
        <v>nincs szervezet</v>
      </c>
      <c r="N2594" s="322" t="str">
        <f>VLOOKUP(F2594,PAR!$R$3:$S$5,2,FALSE)</f>
        <v>3 - egyik sem</v>
      </c>
      <c r="O2594" t="str">
        <f>IFERROR(VLOOKUP(J2594,PAR!$O$3:$P$5,2,FALSE),"nincs feladat")</f>
        <v>nincs feladat</v>
      </c>
      <c r="P2594" t="str">
        <f>IFERROR(VLOOKUP(G2594,PAR!$J$2:$M$19,4),"nincs rovat")</f>
        <v>nincs rovat</v>
      </c>
      <c r="Q2594" t="str">
        <f>IF(H2594&gt;0,VLOOKUP(H2594,PAR!$AA$3:$AC$187,3,FALSE),"nincs főkönyvi számla")</f>
        <v>nincs főkönyvi számla</v>
      </c>
      <c r="R2594" t="str">
        <f>IFERROR(VLOOKUP(K2594,PAR!$V$3:$X$438,3,FALSE),"000000 - Nincs COFOG")</f>
        <v>000000 - Nincs COFOG</v>
      </c>
      <c r="S2594">
        <f t="shared" si="772"/>
        <v>0</v>
      </c>
      <c r="T2594">
        <f t="shared" si="773"/>
        <v>0</v>
      </c>
      <c r="U2594" t="str">
        <f>IF('906MP'!J2294&gt;0,CONCATENATE('906MP'!J2294," - ",'906MP'!P2294,", ",'906MP'!E2294),"nincs megjegyzés")</f>
        <v>nincs megjegyzés</v>
      </c>
      <c r="V2594" t="str">
        <f t="shared" si="760"/>
        <v>0P0</v>
      </c>
      <c r="W2594" t="str">
        <f t="shared" si="761"/>
        <v>0P0</v>
      </c>
      <c r="X2594" t="str">
        <f t="shared" si="762"/>
        <v>P0</v>
      </c>
      <c r="Y2594" t="str">
        <f t="shared" si="763"/>
        <v>00</v>
      </c>
      <c r="Z2594" t="str">
        <f t="shared" si="774"/>
        <v>00</v>
      </c>
      <c r="AA2594" t="str">
        <f t="shared" si="764"/>
        <v>00</v>
      </c>
      <c r="AB2594" t="str">
        <f t="shared" si="765"/>
        <v>00</v>
      </c>
      <c r="AC2594" t="str">
        <f t="shared" si="766"/>
        <v>0P0</v>
      </c>
      <c r="AD2594" t="str">
        <f t="shared" si="767"/>
        <v>P00</v>
      </c>
      <c r="AE2594" t="str">
        <f t="shared" si="768"/>
        <v>0P0</v>
      </c>
      <c r="AF2594" t="str">
        <f t="shared" si="769"/>
        <v>P00</v>
      </c>
      <c r="AG2594" t="str">
        <f t="shared" si="775"/>
        <v>0P00</v>
      </c>
      <c r="AH2594" t="str">
        <f t="shared" si="776"/>
        <v>P000</v>
      </c>
      <c r="AI2594" t="str">
        <f t="shared" si="777"/>
        <v>0P00</v>
      </c>
      <c r="AJ2594" t="str">
        <f t="shared" si="778"/>
        <v>P000</v>
      </c>
    </row>
    <row r="2595" spans="1:36" x14ac:dyDescent="0.25">
      <c r="A2595" s="325" t="str">
        <f>CONCATENATE("P",'906MP'!M2295)</f>
        <v>P</v>
      </c>
      <c r="B2595">
        <f>'906MP'!H2295</f>
        <v>0</v>
      </c>
      <c r="C2595">
        <f>'906MP'!J2295</f>
        <v>0</v>
      </c>
      <c r="D2595">
        <f>'906MP'!P2295</f>
        <v>0</v>
      </c>
      <c r="E2595">
        <f>'906MP'!X2295</f>
        <v>0</v>
      </c>
      <c r="F2595" t="str">
        <f t="shared" si="770"/>
        <v>0</v>
      </c>
      <c r="G2595" t="str">
        <f t="shared" si="771"/>
        <v>0</v>
      </c>
      <c r="H2595">
        <f>'906MP'!Y2295</f>
        <v>0</v>
      </c>
      <c r="I2595">
        <f>'906MP'!AK2295</f>
        <v>0</v>
      </c>
      <c r="J2595">
        <f>'906MP'!T2295</f>
        <v>0</v>
      </c>
      <c r="K2595">
        <f>'906MP'!AJ2295</f>
        <v>0</v>
      </c>
      <c r="L2595">
        <f>'906MP'!U2295</f>
        <v>0</v>
      </c>
      <c r="M2595" s="322" t="str">
        <f>IFERROR(VLOOKUP(A2595,PAR!$D$3:$E$53,2,FALSE),"nincs szervezet")</f>
        <v>nincs szervezet</v>
      </c>
      <c r="N2595" s="322" t="str">
        <f>VLOOKUP(F2595,PAR!$R$3:$S$5,2,FALSE)</f>
        <v>3 - egyik sem</v>
      </c>
      <c r="O2595" t="str">
        <f>IFERROR(VLOOKUP(J2595,PAR!$O$3:$P$5,2,FALSE),"nincs feladat")</f>
        <v>nincs feladat</v>
      </c>
      <c r="P2595" t="str">
        <f>IFERROR(VLOOKUP(G2595,PAR!$J$2:$M$19,4),"nincs rovat")</f>
        <v>nincs rovat</v>
      </c>
      <c r="Q2595" t="str">
        <f>IF(H2595&gt;0,VLOOKUP(H2595,PAR!$AA$3:$AC$187,3,FALSE),"nincs főkönyvi számla")</f>
        <v>nincs főkönyvi számla</v>
      </c>
      <c r="R2595" t="str">
        <f>IFERROR(VLOOKUP(K2595,PAR!$V$3:$X$438,3,FALSE),"000000 - Nincs COFOG")</f>
        <v>000000 - Nincs COFOG</v>
      </c>
      <c r="S2595">
        <f t="shared" si="772"/>
        <v>0</v>
      </c>
      <c r="T2595">
        <f t="shared" si="773"/>
        <v>0</v>
      </c>
      <c r="U2595" t="str">
        <f>IF('906MP'!J2295&gt;0,CONCATENATE('906MP'!J2295," - ",'906MP'!P2295,", ",'906MP'!E2295),"nincs megjegyzés")</f>
        <v>nincs megjegyzés</v>
      </c>
      <c r="V2595" t="str">
        <f t="shared" si="760"/>
        <v>0P0</v>
      </c>
      <c r="W2595" t="str">
        <f t="shared" si="761"/>
        <v>0P0</v>
      </c>
      <c r="X2595" t="str">
        <f t="shared" si="762"/>
        <v>P0</v>
      </c>
      <c r="Y2595" t="str">
        <f t="shared" si="763"/>
        <v>00</v>
      </c>
      <c r="Z2595" t="str">
        <f t="shared" si="774"/>
        <v>00</v>
      </c>
      <c r="AA2595" t="str">
        <f t="shared" si="764"/>
        <v>00</v>
      </c>
      <c r="AB2595" t="str">
        <f t="shared" si="765"/>
        <v>00</v>
      </c>
      <c r="AC2595" t="str">
        <f t="shared" si="766"/>
        <v>0P0</v>
      </c>
      <c r="AD2595" t="str">
        <f t="shared" si="767"/>
        <v>P00</v>
      </c>
      <c r="AE2595" t="str">
        <f t="shared" si="768"/>
        <v>0P0</v>
      </c>
      <c r="AF2595" t="str">
        <f t="shared" si="769"/>
        <v>P00</v>
      </c>
      <c r="AG2595" t="str">
        <f t="shared" si="775"/>
        <v>0P00</v>
      </c>
      <c r="AH2595" t="str">
        <f t="shared" si="776"/>
        <v>P000</v>
      </c>
      <c r="AI2595" t="str">
        <f t="shared" si="777"/>
        <v>0P00</v>
      </c>
      <c r="AJ2595" t="str">
        <f t="shared" si="778"/>
        <v>P000</v>
      </c>
    </row>
    <row r="2596" spans="1:36" x14ac:dyDescent="0.25">
      <c r="A2596" s="325" t="str">
        <f>CONCATENATE("P",'906MP'!M2296)</f>
        <v>P</v>
      </c>
      <c r="B2596">
        <f>'906MP'!H2296</f>
        <v>0</v>
      </c>
      <c r="C2596">
        <f>'906MP'!J2296</f>
        <v>0</v>
      </c>
      <c r="D2596">
        <f>'906MP'!P2296</f>
        <v>0</v>
      </c>
      <c r="E2596">
        <f>'906MP'!X2296</f>
        <v>0</v>
      </c>
      <c r="F2596" t="str">
        <f t="shared" si="770"/>
        <v>0</v>
      </c>
      <c r="G2596" t="str">
        <f t="shared" si="771"/>
        <v>0</v>
      </c>
      <c r="H2596">
        <f>'906MP'!Y2296</f>
        <v>0</v>
      </c>
      <c r="I2596">
        <f>'906MP'!AK2296</f>
        <v>0</v>
      </c>
      <c r="J2596">
        <f>'906MP'!T2296</f>
        <v>0</v>
      </c>
      <c r="K2596">
        <f>'906MP'!AJ2296</f>
        <v>0</v>
      </c>
      <c r="L2596">
        <f>'906MP'!U2296</f>
        <v>0</v>
      </c>
      <c r="M2596" s="322" t="str">
        <f>IFERROR(VLOOKUP(A2596,PAR!$D$3:$E$53,2,FALSE),"nincs szervezet")</f>
        <v>nincs szervezet</v>
      </c>
      <c r="N2596" s="322" t="str">
        <f>VLOOKUP(F2596,PAR!$R$3:$S$5,2,FALSE)</f>
        <v>3 - egyik sem</v>
      </c>
      <c r="O2596" t="str">
        <f>IFERROR(VLOOKUP(J2596,PAR!$O$3:$P$5,2,FALSE),"nincs feladat")</f>
        <v>nincs feladat</v>
      </c>
      <c r="P2596" t="str">
        <f>IFERROR(VLOOKUP(G2596,PAR!$J$2:$M$19,4),"nincs rovat")</f>
        <v>nincs rovat</v>
      </c>
      <c r="Q2596" t="str">
        <f>IF(H2596&gt;0,VLOOKUP(H2596,PAR!$AA$3:$AC$187,3,FALSE),"nincs főkönyvi számla")</f>
        <v>nincs főkönyvi számla</v>
      </c>
      <c r="R2596" t="str">
        <f>IFERROR(VLOOKUP(K2596,PAR!$V$3:$X$438,3,FALSE),"000000 - Nincs COFOG")</f>
        <v>000000 - Nincs COFOG</v>
      </c>
      <c r="S2596">
        <f t="shared" si="772"/>
        <v>0</v>
      </c>
      <c r="T2596">
        <f t="shared" si="773"/>
        <v>0</v>
      </c>
      <c r="U2596" t="str">
        <f>IF('906MP'!J2296&gt;0,CONCATENATE('906MP'!J2296," - ",'906MP'!P2296,", ",'906MP'!E2296),"nincs megjegyzés")</f>
        <v>nincs megjegyzés</v>
      </c>
      <c r="V2596" t="str">
        <f t="shared" si="760"/>
        <v>0P0</v>
      </c>
      <c r="W2596" t="str">
        <f t="shared" si="761"/>
        <v>0P0</v>
      </c>
      <c r="X2596" t="str">
        <f t="shared" si="762"/>
        <v>P0</v>
      </c>
      <c r="Y2596" t="str">
        <f t="shared" si="763"/>
        <v>00</v>
      </c>
      <c r="Z2596" t="str">
        <f t="shared" si="774"/>
        <v>00</v>
      </c>
      <c r="AA2596" t="str">
        <f t="shared" si="764"/>
        <v>00</v>
      </c>
      <c r="AB2596" t="str">
        <f t="shared" si="765"/>
        <v>00</v>
      </c>
      <c r="AC2596" t="str">
        <f t="shared" si="766"/>
        <v>0P0</v>
      </c>
      <c r="AD2596" t="str">
        <f t="shared" si="767"/>
        <v>P00</v>
      </c>
      <c r="AE2596" t="str">
        <f t="shared" si="768"/>
        <v>0P0</v>
      </c>
      <c r="AF2596" t="str">
        <f t="shared" si="769"/>
        <v>P00</v>
      </c>
      <c r="AG2596" t="str">
        <f t="shared" si="775"/>
        <v>0P00</v>
      </c>
      <c r="AH2596" t="str">
        <f t="shared" si="776"/>
        <v>P000</v>
      </c>
      <c r="AI2596" t="str">
        <f t="shared" si="777"/>
        <v>0P00</v>
      </c>
      <c r="AJ2596" t="str">
        <f t="shared" si="778"/>
        <v>P000</v>
      </c>
    </row>
    <row r="2597" spans="1:36" x14ac:dyDescent="0.25">
      <c r="A2597" s="325" t="str">
        <f>CONCATENATE("P",'906MP'!M2297)</f>
        <v>P</v>
      </c>
      <c r="B2597">
        <f>'906MP'!H2297</f>
        <v>0</v>
      </c>
      <c r="C2597">
        <f>'906MP'!J2297</f>
        <v>0</v>
      </c>
      <c r="D2597">
        <f>'906MP'!P2297</f>
        <v>0</v>
      </c>
      <c r="E2597">
        <f>'906MP'!X2297</f>
        <v>0</v>
      </c>
      <c r="F2597" t="str">
        <f t="shared" si="770"/>
        <v>0</v>
      </c>
      <c r="G2597" t="str">
        <f t="shared" si="771"/>
        <v>0</v>
      </c>
      <c r="H2597">
        <f>'906MP'!Y2297</f>
        <v>0</v>
      </c>
      <c r="I2597">
        <f>'906MP'!AK2297</f>
        <v>0</v>
      </c>
      <c r="J2597">
        <f>'906MP'!T2297</f>
        <v>0</v>
      </c>
      <c r="K2597">
        <f>'906MP'!AJ2297</f>
        <v>0</v>
      </c>
      <c r="L2597">
        <f>'906MP'!U2297</f>
        <v>0</v>
      </c>
      <c r="M2597" s="322" t="str">
        <f>IFERROR(VLOOKUP(A2597,PAR!$D$3:$E$53,2,FALSE),"nincs szervezet")</f>
        <v>nincs szervezet</v>
      </c>
      <c r="N2597" s="322" t="str">
        <f>VLOOKUP(F2597,PAR!$R$3:$S$5,2,FALSE)</f>
        <v>3 - egyik sem</v>
      </c>
      <c r="O2597" t="str">
        <f>IFERROR(VLOOKUP(J2597,PAR!$O$3:$P$5,2,FALSE),"nincs feladat")</f>
        <v>nincs feladat</v>
      </c>
      <c r="P2597" t="str">
        <f>IFERROR(VLOOKUP(G2597,PAR!$J$2:$M$19,4),"nincs rovat")</f>
        <v>nincs rovat</v>
      </c>
      <c r="Q2597" t="str">
        <f>IF(H2597&gt;0,VLOOKUP(H2597,PAR!$AA$3:$AC$187,3,FALSE),"nincs főkönyvi számla")</f>
        <v>nincs főkönyvi számla</v>
      </c>
      <c r="R2597" t="str">
        <f>IFERROR(VLOOKUP(K2597,PAR!$V$3:$X$438,3,FALSE),"000000 - Nincs COFOG")</f>
        <v>000000 - Nincs COFOG</v>
      </c>
      <c r="S2597">
        <f t="shared" si="772"/>
        <v>0</v>
      </c>
      <c r="T2597">
        <f t="shared" si="773"/>
        <v>0</v>
      </c>
      <c r="U2597" t="str">
        <f>IF('906MP'!J2297&gt;0,CONCATENATE('906MP'!J2297," - ",'906MP'!P2297,", ",'906MP'!E2297),"nincs megjegyzés")</f>
        <v>nincs megjegyzés</v>
      </c>
      <c r="V2597" t="str">
        <f t="shared" si="760"/>
        <v>0P0</v>
      </c>
      <c r="W2597" t="str">
        <f t="shared" si="761"/>
        <v>0P0</v>
      </c>
      <c r="X2597" t="str">
        <f t="shared" si="762"/>
        <v>P0</v>
      </c>
      <c r="Y2597" t="str">
        <f t="shared" si="763"/>
        <v>00</v>
      </c>
      <c r="Z2597" t="str">
        <f t="shared" si="774"/>
        <v>00</v>
      </c>
      <c r="AA2597" t="str">
        <f t="shared" si="764"/>
        <v>00</v>
      </c>
      <c r="AB2597" t="str">
        <f t="shared" si="765"/>
        <v>00</v>
      </c>
      <c r="AC2597" t="str">
        <f t="shared" si="766"/>
        <v>0P0</v>
      </c>
      <c r="AD2597" t="str">
        <f t="shared" si="767"/>
        <v>P00</v>
      </c>
      <c r="AE2597" t="str">
        <f t="shared" si="768"/>
        <v>0P0</v>
      </c>
      <c r="AF2597" t="str">
        <f t="shared" si="769"/>
        <v>P00</v>
      </c>
      <c r="AG2597" t="str">
        <f t="shared" si="775"/>
        <v>0P00</v>
      </c>
      <c r="AH2597" t="str">
        <f t="shared" si="776"/>
        <v>P000</v>
      </c>
      <c r="AI2597" t="str">
        <f t="shared" si="777"/>
        <v>0P00</v>
      </c>
      <c r="AJ2597" t="str">
        <f t="shared" si="778"/>
        <v>P000</v>
      </c>
    </row>
    <row r="2598" spans="1:36" x14ac:dyDescent="0.25">
      <c r="A2598" s="325" t="str">
        <f>CONCATENATE("P",'906MP'!M2298)</f>
        <v>P</v>
      </c>
      <c r="B2598">
        <f>'906MP'!H2298</f>
        <v>0</v>
      </c>
      <c r="C2598">
        <f>'906MP'!J2298</f>
        <v>0</v>
      </c>
      <c r="D2598">
        <f>'906MP'!P2298</f>
        <v>0</v>
      </c>
      <c r="E2598">
        <f>'906MP'!X2298</f>
        <v>0</v>
      </c>
      <c r="F2598" t="str">
        <f t="shared" si="770"/>
        <v>0</v>
      </c>
      <c r="G2598" t="str">
        <f t="shared" si="771"/>
        <v>0</v>
      </c>
      <c r="H2598">
        <f>'906MP'!Y2298</f>
        <v>0</v>
      </c>
      <c r="I2598">
        <f>'906MP'!AK2298</f>
        <v>0</v>
      </c>
      <c r="J2598">
        <f>'906MP'!T2298</f>
        <v>0</v>
      </c>
      <c r="K2598">
        <f>'906MP'!AJ2298</f>
        <v>0</v>
      </c>
      <c r="L2598">
        <f>'906MP'!U2298</f>
        <v>0</v>
      </c>
      <c r="M2598" s="322" t="str">
        <f>IFERROR(VLOOKUP(A2598,PAR!$D$3:$E$53,2,FALSE),"nincs szervezet")</f>
        <v>nincs szervezet</v>
      </c>
      <c r="N2598" s="322" t="str">
        <f>VLOOKUP(F2598,PAR!$R$3:$S$5,2,FALSE)</f>
        <v>3 - egyik sem</v>
      </c>
      <c r="O2598" t="str">
        <f>IFERROR(VLOOKUP(J2598,PAR!$O$3:$P$5,2,FALSE),"nincs feladat")</f>
        <v>nincs feladat</v>
      </c>
      <c r="P2598" t="str">
        <f>IFERROR(VLOOKUP(G2598,PAR!$J$2:$M$19,4),"nincs rovat")</f>
        <v>nincs rovat</v>
      </c>
      <c r="Q2598" t="str">
        <f>IF(H2598&gt;0,VLOOKUP(H2598,PAR!$AA$3:$AC$187,3,FALSE),"nincs főkönyvi számla")</f>
        <v>nincs főkönyvi számla</v>
      </c>
      <c r="R2598" t="str">
        <f>IFERROR(VLOOKUP(K2598,PAR!$V$3:$X$438,3,FALSE),"000000 - Nincs COFOG")</f>
        <v>000000 - Nincs COFOG</v>
      </c>
      <c r="S2598">
        <f t="shared" si="772"/>
        <v>0</v>
      </c>
      <c r="T2598">
        <f t="shared" si="773"/>
        <v>0</v>
      </c>
      <c r="U2598" t="str">
        <f>IF('906MP'!J2298&gt;0,CONCATENATE('906MP'!J2298," - ",'906MP'!P2298,", ",'906MP'!E2298),"nincs megjegyzés")</f>
        <v>nincs megjegyzés</v>
      </c>
      <c r="V2598" t="str">
        <f t="shared" si="760"/>
        <v>0P0</v>
      </c>
      <c r="W2598" t="str">
        <f t="shared" si="761"/>
        <v>0P0</v>
      </c>
      <c r="X2598" t="str">
        <f t="shared" si="762"/>
        <v>P0</v>
      </c>
      <c r="Y2598" t="str">
        <f t="shared" si="763"/>
        <v>00</v>
      </c>
      <c r="Z2598" t="str">
        <f t="shared" si="774"/>
        <v>00</v>
      </c>
      <c r="AA2598" t="str">
        <f t="shared" si="764"/>
        <v>00</v>
      </c>
      <c r="AB2598" t="str">
        <f t="shared" si="765"/>
        <v>00</v>
      </c>
      <c r="AC2598" t="str">
        <f t="shared" si="766"/>
        <v>0P0</v>
      </c>
      <c r="AD2598" t="str">
        <f t="shared" si="767"/>
        <v>P00</v>
      </c>
      <c r="AE2598" t="str">
        <f t="shared" si="768"/>
        <v>0P0</v>
      </c>
      <c r="AF2598" t="str">
        <f t="shared" si="769"/>
        <v>P00</v>
      </c>
      <c r="AG2598" t="str">
        <f t="shared" si="775"/>
        <v>0P00</v>
      </c>
      <c r="AH2598" t="str">
        <f t="shared" si="776"/>
        <v>P000</v>
      </c>
      <c r="AI2598" t="str">
        <f t="shared" si="777"/>
        <v>0P00</v>
      </c>
      <c r="AJ2598" t="str">
        <f t="shared" si="778"/>
        <v>P000</v>
      </c>
    </row>
    <row r="2599" spans="1:36" x14ac:dyDescent="0.25">
      <c r="A2599" s="325" t="str">
        <f>CONCATENATE("P",'906MP'!M2299)</f>
        <v>P</v>
      </c>
      <c r="B2599">
        <f>'906MP'!H2299</f>
        <v>0</v>
      </c>
      <c r="C2599">
        <f>'906MP'!J2299</f>
        <v>0</v>
      </c>
      <c r="D2599">
        <f>'906MP'!P2299</f>
        <v>0</v>
      </c>
      <c r="E2599">
        <f>'906MP'!X2299</f>
        <v>0</v>
      </c>
      <c r="F2599" t="str">
        <f t="shared" si="770"/>
        <v>0</v>
      </c>
      <c r="G2599" t="str">
        <f t="shared" si="771"/>
        <v>0</v>
      </c>
      <c r="H2599">
        <f>'906MP'!Y2299</f>
        <v>0</v>
      </c>
      <c r="I2599">
        <f>'906MP'!AK2299</f>
        <v>0</v>
      </c>
      <c r="J2599">
        <f>'906MP'!T2299</f>
        <v>0</v>
      </c>
      <c r="K2599">
        <f>'906MP'!AJ2299</f>
        <v>0</v>
      </c>
      <c r="L2599">
        <f>'906MP'!U2299</f>
        <v>0</v>
      </c>
      <c r="M2599" s="322" t="str">
        <f>IFERROR(VLOOKUP(A2599,PAR!$D$3:$E$53,2,FALSE),"nincs szervezet")</f>
        <v>nincs szervezet</v>
      </c>
      <c r="N2599" s="322" t="str">
        <f>VLOOKUP(F2599,PAR!$R$3:$S$5,2,FALSE)</f>
        <v>3 - egyik sem</v>
      </c>
      <c r="O2599" t="str">
        <f>IFERROR(VLOOKUP(J2599,PAR!$O$3:$P$5,2,FALSE),"nincs feladat")</f>
        <v>nincs feladat</v>
      </c>
      <c r="P2599" t="str">
        <f>IFERROR(VLOOKUP(G2599,PAR!$J$2:$M$19,4),"nincs rovat")</f>
        <v>nincs rovat</v>
      </c>
      <c r="Q2599" t="str">
        <f>IF(H2599&gt;0,VLOOKUP(H2599,PAR!$AA$3:$AC$187,3,FALSE),"nincs főkönyvi számla")</f>
        <v>nincs főkönyvi számla</v>
      </c>
      <c r="R2599" t="str">
        <f>IFERROR(VLOOKUP(K2599,PAR!$V$3:$X$438,3,FALSE),"000000 - Nincs COFOG")</f>
        <v>000000 - Nincs COFOG</v>
      </c>
      <c r="S2599">
        <f t="shared" si="772"/>
        <v>0</v>
      </c>
      <c r="T2599">
        <f t="shared" si="773"/>
        <v>0</v>
      </c>
      <c r="U2599" t="str">
        <f>IF('906MP'!J2299&gt;0,CONCATENATE('906MP'!J2299," - ",'906MP'!P2299,", ",'906MP'!E2299),"nincs megjegyzés")</f>
        <v>nincs megjegyzés</v>
      </c>
      <c r="V2599" t="str">
        <f t="shared" si="760"/>
        <v>0P0</v>
      </c>
      <c r="W2599" t="str">
        <f t="shared" si="761"/>
        <v>0P0</v>
      </c>
      <c r="X2599" t="str">
        <f t="shared" si="762"/>
        <v>P0</v>
      </c>
      <c r="Y2599" t="str">
        <f t="shared" si="763"/>
        <v>00</v>
      </c>
      <c r="Z2599" t="str">
        <f t="shared" si="774"/>
        <v>00</v>
      </c>
      <c r="AA2599" t="str">
        <f t="shared" si="764"/>
        <v>00</v>
      </c>
      <c r="AB2599" t="str">
        <f t="shared" si="765"/>
        <v>00</v>
      </c>
      <c r="AC2599" t="str">
        <f t="shared" si="766"/>
        <v>0P0</v>
      </c>
      <c r="AD2599" t="str">
        <f t="shared" si="767"/>
        <v>P00</v>
      </c>
      <c r="AE2599" t="str">
        <f t="shared" si="768"/>
        <v>0P0</v>
      </c>
      <c r="AF2599" t="str">
        <f t="shared" si="769"/>
        <v>P00</v>
      </c>
      <c r="AG2599" t="str">
        <f t="shared" si="775"/>
        <v>0P00</v>
      </c>
      <c r="AH2599" t="str">
        <f t="shared" si="776"/>
        <v>P000</v>
      </c>
      <c r="AI2599" t="str">
        <f t="shared" si="777"/>
        <v>0P00</v>
      </c>
      <c r="AJ2599" t="str">
        <f t="shared" si="778"/>
        <v>P000</v>
      </c>
    </row>
    <row r="2600" spans="1:36" x14ac:dyDescent="0.25">
      <c r="A2600" s="325" t="str">
        <f>CONCATENATE("P",'906MP'!M2300)</f>
        <v>P</v>
      </c>
      <c r="B2600">
        <f>'906MP'!H2300</f>
        <v>0</v>
      </c>
      <c r="C2600">
        <f>'906MP'!J2300</f>
        <v>0</v>
      </c>
      <c r="D2600">
        <f>'906MP'!P2300</f>
        <v>0</v>
      </c>
      <c r="E2600">
        <f>'906MP'!X2300</f>
        <v>0</v>
      </c>
      <c r="F2600" t="str">
        <f t="shared" si="770"/>
        <v>0</v>
      </c>
      <c r="G2600" t="str">
        <f t="shared" si="771"/>
        <v>0</v>
      </c>
      <c r="H2600">
        <f>'906MP'!Y2300</f>
        <v>0</v>
      </c>
      <c r="I2600">
        <f>'906MP'!AK2300</f>
        <v>0</v>
      </c>
      <c r="J2600">
        <f>'906MP'!T2300</f>
        <v>0</v>
      </c>
      <c r="K2600">
        <f>'906MP'!AJ2300</f>
        <v>0</v>
      </c>
      <c r="L2600">
        <f>'906MP'!U2300</f>
        <v>0</v>
      </c>
      <c r="M2600" s="322" t="str">
        <f>IFERROR(VLOOKUP(A2600,PAR!$D$3:$E$53,2,FALSE),"nincs szervezet")</f>
        <v>nincs szervezet</v>
      </c>
      <c r="N2600" s="322" t="str">
        <f>VLOOKUP(F2600,PAR!$R$3:$S$5,2,FALSE)</f>
        <v>3 - egyik sem</v>
      </c>
      <c r="O2600" t="str">
        <f>IFERROR(VLOOKUP(J2600,PAR!$O$3:$P$5,2,FALSE),"nincs feladat")</f>
        <v>nincs feladat</v>
      </c>
      <c r="P2600" t="str">
        <f>IFERROR(VLOOKUP(G2600,PAR!$J$2:$M$19,4),"nincs rovat")</f>
        <v>nincs rovat</v>
      </c>
      <c r="Q2600" t="str">
        <f>IF(H2600&gt;0,VLOOKUP(H2600,PAR!$AA$3:$AC$187,3,FALSE),"nincs főkönyvi számla")</f>
        <v>nincs főkönyvi számla</v>
      </c>
      <c r="R2600" t="str">
        <f>IFERROR(VLOOKUP(K2600,PAR!$V$3:$X$438,3,FALSE),"000000 - Nincs COFOG")</f>
        <v>000000 - Nincs COFOG</v>
      </c>
      <c r="S2600">
        <f t="shared" si="772"/>
        <v>0</v>
      </c>
      <c r="T2600">
        <f t="shared" si="773"/>
        <v>0</v>
      </c>
      <c r="U2600" t="str">
        <f>IF('906MP'!J2300&gt;0,CONCATENATE('906MP'!J2300," - ",'906MP'!P2300,", ",'906MP'!E2300),"nincs megjegyzés")</f>
        <v>nincs megjegyzés</v>
      </c>
      <c r="V2600" t="str">
        <f t="shared" si="760"/>
        <v>0P0</v>
      </c>
      <c r="W2600" t="str">
        <f t="shared" si="761"/>
        <v>0P0</v>
      </c>
      <c r="X2600" t="str">
        <f t="shared" si="762"/>
        <v>P0</v>
      </c>
      <c r="Y2600" t="str">
        <f t="shared" si="763"/>
        <v>00</v>
      </c>
      <c r="Z2600" t="str">
        <f t="shared" si="774"/>
        <v>00</v>
      </c>
      <c r="AA2600" t="str">
        <f t="shared" si="764"/>
        <v>00</v>
      </c>
      <c r="AB2600" t="str">
        <f t="shared" si="765"/>
        <v>00</v>
      </c>
      <c r="AC2600" t="str">
        <f t="shared" si="766"/>
        <v>0P0</v>
      </c>
      <c r="AD2600" t="str">
        <f t="shared" si="767"/>
        <v>P00</v>
      </c>
      <c r="AE2600" t="str">
        <f t="shared" si="768"/>
        <v>0P0</v>
      </c>
      <c r="AF2600" t="str">
        <f t="shared" si="769"/>
        <v>P00</v>
      </c>
      <c r="AG2600" t="str">
        <f t="shared" si="775"/>
        <v>0P00</v>
      </c>
      <c r="AH2600" t="str">
        <f t="shared" si="776"/>
        <v>P000</v>
      </c>
      <c r="AI2600" t="str">
        <f t="shared" si="777"/>
        <v>0P00</v>
      </c>
      <c r="AJ2600" t="str">
        <f t="shared" si="778"/>
        <v>P000</v>
      </c>
    </row>
    <row r="2601" spans="1:36" x14ac:dyDescent="0.25">
      <c r="A2601" s="325" t="str">
        <f>CONCATENATE("P",'906MP'!M2301)</f>
        <v>P</v>
      </c>
      <c r="B2601">
        <f>'906MP'!H2301</f>
        <v>0</v>
      </c>
      <c r="C2601">
        <f>'906MP'!J2301</f>
        <v>0</v>
      </c>
      <c r="D2601">
        <f>'906MP'!P2301</f>
        <v>0</v>
      </c>
      <c r="E2601">
        <f>'906MP'!X2301</f>
        <v>0</v>
      </c>
      <c r="F2601" t="str">
        <f t="shared" si="770"/>
        <v>0</v>
      </c>
      <c r="G2601" t="str">
        <f t="shared" si="771"/>
        <v>0</v>
      </c>
      <c r="H2601">
        <f>'906MP'!Y2301</f>
        <v>0</v>
      </c>
      <c r="I2601">
        <f>'906MP'!AK2301</f>
        <v>0</v>
      </c>
      <c r="J2601">
        <f>'906MP'!T2301</f>
        <v>0</v>
      </c>
      <c r="K2601">
        <f>'906MP'!AJ2301</f>
        <v>0</v>
      </c>
      <c r="L2601">
        <f>'906MP'!U2301</f>
        <v>0</v>
      </c>
      <c r="M2601" s="322" t="str">
        <f>IFERROR(VLOOKUP(A2601,PAR!$D$3:$E$53,2,FALSE),"nincs szervezet")</f>
        <v>nincs szervezet</v>
      </c>
      <c r="N2601" s="322" t="str">
        <f>VLOOKUP(F2601,PAR!$R$3:$S$5,2,FALSE)</f>
        <v>3 - egyik sem</v>
      </c>
      <c r="O2601" t="str">
        <f>IFERROR(VLOOKUP(J2601,PAR!$O$3:$P$5,2,FALSE),"nincs feladat")</f>
        <v>nincs feladat</v>
      </c>
      <c r="P2601" t="str">
        <f>IFERROR(VLOOKUP(G2601,PAR!$J$2:$M$19,4),"nincs rovat")</f>
        <v>nincs rovat</v>
      </c>
      <c r="Q2601" t="str">
        <f>IF(H2601&gt;0,VLOOKUP(H2601,PAR!$AA$3:$AC$187,3,FALSE),"nincs főkönyvi számla")</f>
        <v>nincs főkönyvi számla</v>
      </c>
      <c r="R2601" t="str">
        <f>IFERROR(VLOOKUP(K2601,PAR!$V$3:$X$438,3,FALSE),"000000 - Nincs COFOG")</f>
        <v>000000 - Nincs COFOG</v>
      </c>
      <c r="S2601">
        <f t="shared" si="772"/>
        <v>0</v>
      </c>
      <c r="T2601">
        <f t="shared" si="773"/>
        <v>0</v>
      </c>
      <c r="U2601" t="str">
        <f>IF('906MP'!J2301&gt;0,CONCATENATE('906MP'!J2301," - ",'906MP'!P2301,", ",'906MP'!E2301),"nincs megjegyzés")</f>
        <v>nincs megjegyzés</v>
      </c>
      <c r="V2601" t="str">
        <f t="shared" si="760"/>
        <v>0P0</v>
      </c>
      <c r="W2601" t="str">
        <f t="shared" si="761"/>
        <v>0P0</v>
      </c>
      <c r="X2601" t="str">
        <f t="shared" si="762"/>
        <v>P0</v>
      </c>
      <c r="Y2601" t="str">
        <f t="shared" si="763"/>
        <v>00</v>
      </c>
      <c r="Z2601" t="str">
        <f t="shared" si="774"/>
        <v>00</v>
      </c>
      <c r="AA2601" t="str">
        <f t="shared" si="764"/>
        <v>00</v>
      </c>
      <c r="AB2601" t="str">
        <f t="shared" si="765"/>
        <v>00</v>
      </c>
      <c r="AC2601" t="str">
        <f t="shared" si="766"/>
        <v>0P0</v>
      </c>
      <c r="AD2601" t="str">
        <f t="shared" si="767"/>
        <v>P00</v>
      </c>
      <c r="AE2601" t="str">
        <f t="shared" si="768"/>
        <v>0P0</v>
      </c>
      <c r="AF2601" t="str">
        <f t="shared" si="769"/>
        <v>P00</v>
      </c>
      <c r="AG2601" t="str">
        <f t="shared" si="775"/>
        <v>0P00</v>
      </c>
      <c r="AH2601" t="str">
        <f t="shared" si="776"/>
        <v>P000</v>
      </c>
      <c r="AI2601" t="str">
        <f t="shared" si="777"/>
        <v>0P00</v>
      </c>
      <c r="AJ2601" t="str">
        <f t="shared" si="778"/>
        <v>P000</v>
      </c>
    </row>
    <row r="2602" spans="1:36" x14ac:dyDescent="0.25">
      <c r="A2602" s="325" t="str">
        <f>CONCATENATE("P",'906MP'!M2302)</f>
        <v>P</v>
      </c>
      <c r="B2602">
        <f>'906MP'!H2302</f>
        <v>0</v>
      </c>
      <c r="C2602">
        <f>'906MP'!J2302</f>
        <v>0</v>
      </c>
      <c r="D2602">
        <f>'906MP'!P2302</f>
        <v>0</v>
      </c>
      <c r="E2602">
        <f>'906MP'!X2302</f>
        <v>0</v>
      </c>
      <c r="F2602" t="str">
        <f t="shared" si="770"/>
        <v>0</v>
      </c>
      <c r="G2602" t="str">
        <f t="shared" si="771"/>
        <v>0</v>
      </c>
      <c r="H2602">
        <f>'906MP'!Y2302</f>
        <v>0</v>
      </c>
      <c r="I2602">
        <f>'906MP'!AK2302</f>
        <v>0</v>
      </c>
      <c r="J2602">
        <f>'906MP'!T2302</f>
        <v>0</v>
      </c>
      <c r="K2602">
        <f>'906MP'!AJ2302</f>
        <v>0</v>
      </c>
      <c r="L2602">
        <f>'906MP'!U2302</f>
        <v>0</v>
      </c>
      <c r="M2602" s="322" t="str">
        <f>IFERROR(VLOOKUP(A2602,PAR!$D$3:$E$53,2,FALSE),"nincs szervezet")</f>
        <v>nincs szervezet</v>
      </c>
      <c r="N2602" s="322" t="str">
        <f>VLOOKUP(F2602,PAR!$R$3:$S$5,2,FALSE)</f>
        <v>3 - egyik sem</v>
      </c>
      <c r="O2602" t="str">
        <f>IFERROR(VLOOKUP(J2602,PAR!$O$3:$P$5,2,FALSE),"nincs feladat")</f>
        <v>nincs feladat</v>
      </c>
      <c r="P2602" t="str">
        <f>IFERROR(VLOOKUP(G2602,PAR!$J$2:$M$19,4),"nincs rovat")</f>
        <v>nincs rovat</v>
      </c>
      <c r="Q2602" t="str">
        <f>IF(H2602&gt;0,VLOOKUP(H2602,PAR!$AA$3:$AC$187,3,FALSE),"nincs főkönyvi számla")</f>
        <v>nincs főkönyvi számla</v>
      </c>
      <c r="R2602" t="str">
        <f>IFERROR(VLOOKUP(K2602,PAR!$V$3:$X$438,3,FALSE),"000000 - Nincs COFOG")</f>
        <v>000000 - Nincs COFOG</v>
      </c>
      <c r="S2602">
        <f t="shared" si="772"/>
        <v>0</v>
      </c>
      <c r="T2602">
        <f t="shared" si="773"/>
        <v>0</v>
      </c>
      <c r="U2602" t="str">
        <f>IF('906MP'!J2302&gt;0,CONCATENATE('906MP'!J2302," - ",'906MP'!P2302,", ",'906MP'!E2302),"nincs megjegyzés")</f>
        <v>nincs megjegyzés</v>
      </c>
      <c r="V2602" t="str">
        <f t="shared" si="760"/>
        <v>0P0</v>
      </c>
      <c r="W2602" t="str">
        <f t="shared" si="761"/>
        <v>0P0</v>
      </c>
      <c r="X2602" t="str">
        <f t="shared" si="762"/>
        <v>P0</v>
      </c>
      <c r="Y2602" t="str">
        <f t="shared" si="763"/>
        <v>00</v>
      </c>
      <c r="Z2602" t="str">
        <f t="shared" si="774"/>
        <v>00</v>
      </c>
      <c r="AA2602" t="str">
        <f t="shared" si="764"/>
        <v>00</v>
      </c>
      <c r="AB2602" t="str">
        <f t="shared" si="765"/>
        <v>00</v>
      </c>
      <c r="AC2602" t="str">
        <f t="shared" si="766"/>
        <v>0P0</v>
      </c>
      <c r="AD2602" t="str">
        <f t="shared" si="767"/>
        <v>P00</v>
      </c>
      <c r="AE2602" t="str">
        <f t="shared" si="768"/>
        <v>0P0</v>
      </c>
      <c r="AF2602" t="str">
        <f t="shared" si="769"/>
        <v>P00</v>
      </c>
      <c r="AG2602" t="str">
        <f t="shared" si="775"/>
        <v>0P00</v>
      </c>
      <c r="AH2602" t="str">
        <f t="shared" si="776"/>
        <v>P000</v>
      </c>
      <c r="AI2602" t="str">
        <f t="shared" si="777"/>
        <v>0P00</v>
      </c>
      <c r="AJ2602" t="str">
        <f t="shared" si="778"/>
        <v>P000</v>
      </c>
    </row>
    <row r="2603" spans="1:36" x14ac:dyDescent="0.25">
      <c r="A2603" s="325" t="str">
        <f>CONCATENATE("P",'906MP'!M2303)</f>
        <v>P</v>
      </c>
      <c r="B2603">
        <f>'906MP'!H2303</f>
        <v>0</v>
      </c>
      <c r="C2603">
        <f>'906MP'!J2303</f>
        <v>0</v>
      </c>
      <c r="D2603">
        <f>'906MP'!P2303</f>
        <v>0</v>
      </c>
      <c r="E2603">
        <f>'906MP'!X2303</f>
        <v>0</v>
      </c>
      <c r="F2603" t="str">
        <f t="shared" si="770"/>
        <v>0</v>
      </c>
      <c r="G2603" t="str">
        <f t="shared" si="771"/>
        <v>0</v>
      </c>
      <c r="H2603">
        <f>'906MP'!Y2303</f>
        <v>0</v>
      </c>
      <c r="I2603">
        <f>'906MP'!AK2303</f>
        <v>0</v>
      </c>
      <c r="J2603">
        <f>'906MP'!T2303</f>
        <v>0</v>
      </c>
      <c r="K2603">
        <f>'906MP'!AJ2303</f>
        <v>0</v>
      </c>
      <c r="L2603">
        <f>'906MP'!U2303</f>
        <v>0</v>
      </c>
      <c r="M2603" s="322" t="str">
        <f>IFERROR(VLOOKUP(A2603,PAR!$D$3:$E$53,2,FALSE),"nincs szervezet")</f>
        <v>nincs szervezet</v>
      </c>
      <c r="N2603" s="322" t="str">
        <f>VLOOKUP(F2603,PAR!$R$3:$S$5,2,FALSE)</f>
        <v>3 - egyik sem</v>
      </c>
      <c r="O2603" t="str">
        <f>IFERROR(VLOOKUP(J2603,PAR!$O$3:$P$5,2,FALSE),"nincs feladat")</f>
        <v>nincs feladat</v>
      </c>
      <c r="P2603" t="str">
        <f>IFERROR(VLOOKUP(G2603,PAR!$J$2:$M$19,4),"nincs rovat")</f>
        <v>nincs rovat</v>
      </c>
      <c r="Q2603" t="str">
        <f>IF(H2603&gt;0,VLOOKUP(H2603,PAR!$AA$3:$AC$187,3,FALSE),"nincs főkönyvi számla")</f>
        <v>nincs főkönyvi számla</v>
      </c>
      <c r="R2603" t="str">
        <f>IFERROR(VLOOKUP(K2603,PAR!$V$3:$X$438,3,FALSE),"000000 - Nincs COFOG")</f>
        <v>000000 - Nincs COFOG</v>
      </c>
      <c r="S2603">
        <f t="shared" si="772"/>
        <v>0</v>
      </c>
      <c r="T2603">
        <f t="shared" si="773"/>
        <v>0</v>
      </c>
      <c r="U2603" t="str">
        <f>IF('906MP'!J2303&gt;0,CONCATENATE('906MP'!J2303," - ",'906MP'!P2303,", ",'906MP'!E2303),"nincs megjegyzés")</f>
        <v>nincs megjegyzés</v>
      </c>
      <c r="V2603" t="str">
        <f t="shared" si="760"/>
        <v>0P0</v>
      </c>
      <c r="W2603" t="str">
        <f t="shared" si="761"/>
        <v>0P0</v>
      </c>
      <c r="X2603" t="str">
        <f t="shared" si="762"/>
        <v>P0</v>
      </c>
      <c r="Y2603" t="str">
        <f t="shared" si="763"/>
        <v>00</v>
      </c>
      <c r="Z2603" t="str">
        <f t="shared" si="774"/>
        <v>00</v>
      </c>
      <c r="AA2603" t="str">
        <f t="shared" si="764"/>
        <v>00</v>
      </c>
      <c r="AB2603" t="str">
        <f t="shared" si="765"/>
        <v>00</v>
      </c>
      <c r="AC2603" t="str">
        <f t="shared" si="766"/>
        <v>0P0</v>
      </c>
      <c r="AD2603" t="str">
        <f t="shared" si="767"/>
        <v>P00</v>
      </c>
      <c r="AE2603" t="str">
        <f t="shared" si="768"/>
        <v>0P0</v>
      </c>
      <c r="AF2603" t="str">
        <f t="shared" si="769"/>
        <v>P00</v>
      </c>
      <c r="AG2603" t="str">
        <f t="shared" si="775"/>
        <v>0P00</v>
      </c>
      <c r="AH2603" t="str">
        <f t="shared" si="776"/>
        <v>P000</v>
      </c>
      <c r="AI2603" t="str">
        <f t="shared" si="777"/>
        <v>0P00</v>
      </c>
      <c r="AJ2603" t="str">
        <f t="shared" si="778"/>
        <v>P000</v>
      </c>
    </row>
    <row r="2604" spans="1:36" x14ac:dyDescent="0.25">
      <c r="A2604" s="325" t="str">
        <f>CONCATENATE("P",'906MP'!M2304)</f>
        <v>P</v>
      </c>
      <c r="B2604">
        <f>'906MP'!H2304</f>
        <v>0</v>
      </c>
      <c r="C2604">
        <f>'906MP'!J2304</f>
        <v>0</v>
      </c>
      <c r="D2604">
        <f>'906MP'!P2304</f>
        <v>0</v>
      </c>
      <c r="E2604">
        <f>'906MP'!X2304</f>
        <v>0</v>
      </c>
      <c r="F2604" t="str">
        <f t="shared" si="770"/>
        <v>0</v>
      </c>
      <c r="G2604" t="str">
        <f t="shared" si="771"/>
        <v>0</v>
      </c>
      <c r="H2604">
        <f>'906MP'!Y2304</f>
        <v>0</v>
      </c>
      <c r="I2604">
        <f>'906MP'!AK2304</f>
        <v>0</v>
      </c>
      <c r="J2604">
        <f>'906MP'!T2304</f>
        <v>0</v>
      </c>
      <c r="K2604">
        <f>'906MP'!AJ2304</f>
        <v>0</v>
      </c>
      <c r="L2604">
        <f>'906MP'!U2304</f>
        <v>0</v>
      </c>
      <c r="M2604" s="322" t="str">
        <f>IFERROR(VLOOKUP(A2604,PAR!$D$3:$E$53,2,FALSE),"nincs szervezet")</f>
        <v>nincs szervezet</v>
      </c>
      <c r="N2604" s="322" t="str">
        <f>VLOOKUP(F2604,PAR!$R$3:$S$5,2,FALSE)</f>
        <v>3 - egyik sem</v>
      </c>
      <c r="O2604" t="str">
        <f>IFERROR(VLOOKUP(J2604,PAR!$O$3:$P$5,2,FALSE),"nincs feladat")</f>
        <v>nincs feladat</v>
      </c>
      <c r="P2604" t="str">
        <f>IFERROR(VLOOKUP(G2604,PAR!$J$2:$M$19,4),"nincs rovat")</f>
        <v>nincs rovat</v>
      </c>
      <c r="Q2604" t="str">
        <f>IF(H2604&gt;0,VLOOKUP(H2604,PAR!$AA$3:$AC$187,3,FALSE),"nincs főkönyvi számla")</f>
        <v>nincs főkönyvi számla</v>
      </c>
      <c r="R2604" t="str">
        <f>IFERROR(VLOOKUP(K2604,PAR!$V$3:$X$438,3,FALSE),"000000 - Nincs COFOG")</f>
        <v>000000 - Nincs COFOG</v>
      </c>
      <c r="S2604">
        <f t="shared" si="772"/>
        <v>0</v>
      </c>
      <c r="T2604">
        <f t="shared" si="773"/>
        <v>0</v>
      </c>
      <c r="U2604" t="str">
        <f>IF('906MP'!J2304&gt;0,CONCATENATE('906MP'!J2304," - ",'906MP'!P2304,", ",'906MP'!E2304),"nincs megjegyzés")</f>
        <v>nincs megjegyzés</v>
      </c>
      <c r="V2604" t="str">
        <f t="shared" si="760"/>
        <v>0P0</v>
      </c>
      <c r="W2604" t="str">
        <f t="shared" si="761"/>
        <v>0P0</v>
      </c>
      <c r="X2604" t="str">
        <f t="shared" si="762"/>
        <v>P0</v>
      </c>
      <c r="Y2604" t="str">
        <f t="shared" si="763"/>
        <v>00</v>
      </c>
      <c r="Z2604" t="str">
        <f t="shared" si="774"/>
        <v>00</v>
      </c>
      <c r="AA2604" t="str">
        <f t="shared" si="764"/>
        <v>00</v>
      </c>
      <c r="AB2604" t="str">
        <f t="shared" si="765"/>
        <v>00</v>
      </c>
      <c r="AC2604" t="str">
        <f t="shared" si="766"/>
        <v>0P0</v>
      </c>
      <c r="AD2604" t="str">
        <f t="shared" si="767"/>
        <v>P00</v>
      </c>
      <c r="AE2604" t="str">
        <f t="shared" si="768"/>
        <v>0P0</v>
      </c>
      <c r="AF2604" t="str">
        <f t="shared" si="769"/>
        <v>P00</v>
      </c>
      <c r="AG2604" t="str">
        <f t="shared" si="775"/>
        <v>0P00</v>
      </c>
      <c r="AH2604" t="str">
        <f t="shared" si="776"/>
        <v>P000</v>
      </c>
      <c r="AI2604" t="str">
        <f t="shared" si="777"/>
        <v>0P00</v>
      </c>
      <c r="AJ2604" t="str">
        <f t="shared" si="778"/>
        <v>P000</v>
      </c>
    </row>
    <row r="2605" spans="1:36" x14ac:dyDescent="0.25">
      <c r="A2605" s="325" t="str">
        <f>CONCATENATE("P",'906MP'!M2305)</f>
        <v>P</v>
      </c>
      <c r="B2605">
        <f>'906MP'!H2305</f>
        <v>0</v>
      </c>
      <c r="C2605">
        <f>'906MP'!J2305</f>
        <v>0</v>
      </c>
      <c r="D2605">
        <f>'906MP'!P2305</f>
        <v>0</v>
      </c>
      <c r="E2605">
        <f>'906MP'!X2305</f>
        <v>0</v>
      </c>
      <c r="F2605" t="str">
        <f t="shared" si="770"/>
        <v>0</v>
      </c>
      <c r="G2605" t="str">
        <f t="shared" si="771"/>
        <v>0</v>
      </c>
      <c r="H2605">
        <f>'906MP'!Y2305</f>
        <v>0</v>
      </c>
      <c r="I2605">
        <f>'906MP'!AK2305</f>
        <v>0</v>
      </c>
      <c r="J2605">
        <f>'906MP'!T2305</f>
        <v>0</v>
      </c>
      <c r="K2605">
        <f>'906MP'!AJ2305</f>
        <v>0</v>
      </c>
      <c r="L2605">
        <f>'906MP'!U2305</f>
        <v>0</v>
      </c>
      <c r="M2605" s="322" t="str">
        <f>IFERROR(VLOOKUP(A2605,PAR!$D$3:$E$53,2,FALSE),"nincs szervezet")</f>
        <v>nincs szervezet</v>
      </c>
      <c r="N2605" s="322" t="str">
        <f>VLOOKUP(F2605,PAR!$R$3:$S$5,2,FALSE)</f>
        <v>3 - egyik sem</v>
      </c>
      <c r="O2605" t="str">
        <f>IFERROR(VLOOKUP(J2605,PAR!$O$3:$P$5,2,FALSE),"nincs feladat")</f>
        <v>nincs feladat</v>
      </c>
      <c r="P2605" t="str">
        <f>IFERROR(VLOOKUP(G2605,PAR!$J$2:$M$19,4),"nincs rovat")</f>
        <v>nincs rovat</v>
      </c>
      <c r="Q2605" t="str">
        <f>IF(H2605&gt;0,VLOOKUP(H2605,PAR!$AA$3:$AC$187,3,FALSE),"nincs főkönyvi számla")</f>
        <v>nincs főkönyvi számla</v>
      </c>
      <c r="R2605" t="str">
        <f>IFERROR(VLOOKUP(K2605,PAR!$V$3:$X$438,3,FALSE),"000000 - Nincs COFOG")</f>
        <v>000000 - Nincs COFOG</v>
      </c>
      <c r="S2605">
        <f t="shared" si="772"/>
        <v>0</v>
      </c>
      <c r="T2605">
        <f t="shared" si="773"/>
        <v>0</v>
      </c>
      <c r="U2605" t="str">
        <f>IF('906MP'!J2305&gt;0,CONCATENATE('906MP'!J2305," - ",'906MP'!P2305,", ",'906MP'!E2305),"nincs megjegyzés")</f>
        <v>nincs megjegyzés</v>
      </c>
      <c r="V2605" t="str">
        <f t="shared" si="760"/>
        <v>0P0</v>
      </c>
      <c r="W2605" t="str">
        <f t="shared" si="761"/>
        <v>0P0</v>
      </c>
      <c r="X2605" t="str">
        <f t="shared" si="762"/>
        <v>P0</v>
      </c>
      <c r="Y2605" t="str">
        <f t="shared" si="763"/>
        <v>00</v>
      </c>
      <c r="Z2605" t="str">
        <f t="shared" si="774"/>
        <v>00</v>
      </c>
      <c r="AA2605" t="str">
        <f t="shared" si="764"/>
        <v>00</v>
      </c>
      <c r="AB2605" t="str">
        <f t="shared" si="765"/>
        <v>00</v>
      </c>
      <c r="AC2605" t="str">
        <f t="shared" si="766"/>
        <v>0P0</v>
      </c>
      <c r="AD2605" t="str">
        <f t="shared" si="767"/>
        <v>P00</v>
      </c>
      <c r="AE2605" t="str">
        <f t="shared" si="768"/>
        <v>0P0</v>
      </c>
      <c r="AF2605" t="str">
        <f t="shared" si="769"/>
        <v>P00</v>
      </c>
      <c r="AG2605" t="str">
        <f t="shared" si="775"/>
        <v>0P00</v>
      </c>
      <c r="AH2605" t="str">
        <f t="shared" si="776"/>
        <v>P000</v>
      </c>
      <c r="AI2605" t="str">
        <f t="shared" si="777"/>
        <v>0P00</v>
      </c>
      <c r="AJ2605" t="str">
        <f t="shared" si="778"/>
        <v>P000</v>
      </c>
    </row>
    <row r="2606" spans="1:36" x14ac:dyDescent="0.25">
      <c r="A2606" s="325" t="str">
        <f>CONCATENATE("P",'906MP'!M2306)</f>
        <v>P</v>
      </c>
      <c r="B2606">
        <f>'906MP'!H2306</f>
        <v>0</v>
      </c>
      <c r="C2606">
        <f>'906MP'!J2306</f>
        <v>0</v>
      </c>
      <c r="D2606">
        <f>'906MP'!P2306</f>
        <v>0</v>
      </c>
      <c r="E2606">
        <f>'906MP'!X2306</f>
        <v>0</v>
      </c>
      <c r="F2606" t="str">
        <f t="shared" si="770"/>
        <v>0</v>
      </c>
      <c r="G2606" t="str">
        <f t="shared" si="771"/>
        <v>0</v>
      </c>
      <c r="H2606">
        <f>'906MP'!Y2306</f>
        <v>0</v>
      </c>
      <c r="I2606">
        <f>'906MP'!AK2306</f>
        <v>0</v>
      </c>
      <c r="J2606">
        <f>'906MP'!T2306</f>
        <v>0</v>
      </c>
      <c r="K2606">
        <f>'906MP'!AJ2306</f>
        <v>0</v>
      </c>
      <c r="L2606">
        <f>'906MP'!U2306</f>
        <v>0</v>
      </c>
      <c r="M2606" s="322" t="str">
        <f>IFERROR(VLOOKUP(A2606,PAR!$D$3:$E$53,2,FALSE),"nincs szervezet")</f>
        <v>nincs szervezet</v>
      </c>
      <c r="N2606" s="322" t="str">
        <f>VLOOKUP(F2606,PAR!$R$3:$S$5,2,FALSE)</f>
        <v>3 - egyik sem</v>
      </c>
      <c r="O2606" t="str">
        <f>IFERROR(VLOOKUP(J2606,PAR!$O$3:$P$5,2,FALSE),"nincs feladat")</f>
        <v>nincs feladat</v>
      </c>
      <c r="P2606" t="str">
        <f>IFERROR(VLOOKUP(G2606,PAR!$J$2:$M$19,4),"nincs rovat")</f>
        <v>nincs rovat</v>
      </c>
      <c r="Q2606" t="str">
        <f>IF(H2606&gt;0,VLOOKUP(H2606,PAR!$AA$3:$AC$187,3,FALSE),"nincs főkönyvi számla")</f>
        <v>nincs főkönyvi számla</v>
      </c>
      <c r="R2606" t="str">
        <f>IFERROR(VLOOKUP(K2606,PAR!$V$3:$X$438,3,FALSE),"000000 - Nincs COFOG")</f>
        <v>000000 - Nincs COFOG</v>
      </c>
      <c r="S2606">
        <f t="shared" si="772"/>
        <v>0</v>
      </c>
      <c r="T2606">
        <f t="shared" si="773"/>
        <v>0</v>
      </c>
      <c r="U2606" t="str">
        <f>IF('906MP'!J2306&gt;0,CONCATENATE('906MP'!J2306," - ",'906MP'!P2306,", ",'906MP'!E2306),"nincs megjegyzés")</f>
        <v>nincs megjegyzés</v>
      </c>
      <c r="V2606" t="str">
        <f t="shared" si="760"/>
        <v>0P0</v>
      </c>
      <c r="W2606" t="str">
        <f t="shared" si="761"/>
        <v>0P0</v>
      </c>
      <c r="X2606" t="str">
        <f t="shared" si="762"/>
        <v>P0</v>
      </c>
      <c r="Y2606" t="str">
        <f t="shared" si="763"/>
        <v>00</v>
      </c>
      <c r="Z2606" t="str">
        <f t="shared" si="774"/>
        <v>00</v>
      </c>
      <c r="AA2606" t="str">
        <f t="shared" si="764"/>
        <v>00</v>
      </c>
      <c r="AB2606" t="str">
        <f t="shared" si="765"/>
        <v>00</v>
      </c>
      <c r="AC2606" t="str">
        <f t="shared" si="766"/>
        <v>0P0</v>
      </c>
      <c r="AD2606" t="str">
        <f t="shared" si="767"/>
        <v>P00</v>
      </c>
      <c r="AE2606" t="str">
        <f t="shared" si="768"/>
        <v>0P0</v>
      </c>
      <c r="AF2606" t="str">
        <f t="shared" si="769"/>
        <v>P00</v>
      </c>
      <c r="AG2606" t="str">
        <f t="shared" si="775"/>
        <v>0P00</v>
      </c>
      <c r="AH2606" t="str">
        <f t="shared" si="776"/>
        <v>P000</v>
      </c>
      <c r="AI2606" t="str">
        <f t="shared" si="777"/>
        <v>0P00</v>
      </c>
      <c r="AJ2606" t="str">
        <f t="shared" si="778"/>
        <v>P000</v>
      </c>
    </row>
    <row r="2607" spans="1:36" x14ac:dyDescent="0.25">
      <c r="A2607" s="325" t="str">
        <f>CONCATENATE("P",'906MP'!M2307)</f>
        <v>P</v>
      </c>
      <c r="B2607">
        <f>'906MP'!H2307</f>
        <v>0</v>
      </c>
      <c r="C2607">
        <f>'906MP'!J2307</f>
        <v>0</v>
      </c>
      <c r="D2607">
        <f>'906MP'!P2307</f>
        <v>0</v>
      </c>
      <c r="E2607">
        <f>'906MP'!X2307</f>
        <v>0</v>
      </c>
      <c r="F2607" t="str">
        <f t="shared" si="770"/>
        <v>0</v>
      </c>
      <c r="G2607" t="str">
        <f t="shared" si="771"/>
        <v>0</v>
      </c>
      <c r="H2607">
        <f>'906MP'!Y2307</f>
        <v>0</v>
      </c>
      <c r="I2607">
        <f>'906MP'!AK2307</f>
        <v>0</v>
      </c>
      <c r="J2607">
        <f>'906MP'!T2307</f>
        <v>0</v>
      </c>
      <c r="K2607">
        <f>'906MP'!AJ2307</f>
        <v>0</v>
      </c>
      <c r="L2607">
        <f>'906MP'!U2307</f>
        <v>0</v>
      </c>
      <c r="M2607" s="322" t="str">
        <f>IFERROR(VLOOKUP(A2607,PAR!$D$3:$E$53,2,FALSE),"nincs szervezet")</f>
        <v>nincs szervezet</v>
      </c>
      <c r="N2607" s="322" t="str">
        <f>VLOOKUP(F2607,PAR!$R$3:$S$5,2,FALSE)</f>
        <v>3 - egyik sem</v>
      </c>
      <c r="O2607" t="str">
        <f>IFERROR(VLOOKUP(J2607,PAR!$O$3:$P$5,2,FALSE),"nincs feladat")</f>
        <v>nincs feladat</v>
      </c>
      <c r="P2607" t="str">
        <f>IFERROR(VLOOKUP(G2607,PAR!$J$2:$M$19,4),"nincs rovat")</f>
        <v>nincs rovat</v>
      </c>
      <c r="Q2607" t="str">
        <f>IF(H2607&gt;0,VLOOKUP(H2607,PAR!$AA$3:$AC$187,3,FALSE),"nincs főkönyvi számla")</f>
        <v>nincs főkönyvi számla</v>
      </c>
      <c r="R2607" t="str">
        <f>IFERROR(VLOOKUP(K2607,PAR!$V$3:$X$438,3,FALSE),"000000 - Nincs COFOG")</f>
        <v>000000 - Nincs COFOG</v>
      </c>
      <c r="S2607">
        <f t="shared" si="772"/>
        <v>0</v>
      </c>
      <c r="T2607">
        <f t="shared" si="773"/>
        <v>0</v>
      </c>
      <c r="U2607" t="str">
        <f>IF('906MP'!J2307&gt;0,CONCATENATE('906MP'!J2307," - ",'906MP'!P2307,", ",'906MP'!E2307),"nincs megjegyzés")</f>
        <v>nincs megjegyzés</v>
      </c>
      <c r="V2607" t="str">
        <f t="shared" si="760"/>
        <v>0P0</v>
      </c>
      <c r="W2607" t="str">
        <f t="shared" si="761"/>
        <v>0P0</v>
      </c>
      <c r="X2607" t="str">
        <f t="shared" si="762"/>
        <v>P0</v>
      </c>
      <c r="Y2607" t="str">
        <f t="shared" si="763"/>
        <v>00</v>
      </c>
      <c r="Z2607" t="str">
        <f t="shared" si="774"/>
        <v>00</v>
      </c>
      <c r="AA2607" t="str">
        <f t="shared" si="764"/>
        <v>00</v>
      </c>
      <c r="AB2607" t="str">
        <f t="shared" si="765"/>
        <v>00</v>
      </c>
      <c r="AC2607" t="str">
        <f t="shared" si="766"/>
        <v>0P0</v>
      </c>
      <c r="AD2607" t="str">
        <f t="shared" si="767"/>
        <v>P00</v>
      </c>
      <c r="AE2607" t="str">
        <f t="shared" si="768"/>
        <v>0P0</v>
      </c>
      <c r="AF2607" t="str">
        <f t="shared" si="769"/>
        <v>P00</v>
      </c>
      <c r="AG2607" t="str">
        <f t="shared" si="775"/>
        <v>0P00</v>
      </c>
      <c r="AH2607" t="str">
        <f t="shared" si="776"/>
        <v>P000</v>
      </c>
      <c r="AI2607" t="str">
        <f t="shared" si="777"/>
        <v>0P00</v>
      </c>
      <c r="AJ2607" t="str">
        <f t="shared" si="778"/>
        <v>P000</v>
      </c>
    </row>
    <row r="2608" spans="1:36" x14ac:dyDescent="0.25">
      <c r="A2608" s="325" t="str">
        <f>CONCATENATE("P",'906MP'!M2308)</f>
        <v>P</v>
      </c>
      <c r="B2608">
        <f>'906MP'!H2308</f>
        <v>0</v>
      </c>
      <c r="C2608">
        <f>'906MP'!J2308</f>
        <v>0</v>
      </c>
      <c r="D2608">
        <f>'906MP'!P2308</f>
        <v>0</v>
      </c>
      <c r="E2608">
        <f>'906MP'!X2308</f>
        <v>0</v>
      </c>
      <c r="F2608" t="str">
        <f t="shared" si="770"/>
        <v>0</v>
      </c>
      <c r="G2608" t="str">
        <f t="shared" si="771"/>
        <v>0</v>
      </c>
      <c r="H2608">
        <f>'906MP'!Y2308</f>
        <v>0</v>
      </c>
      <c r="I2608">
        <f>'906MP'!AK2308</f>
        <v>0</v>
      </c>
      <c r="J2608">
        <f>'906MP'!T2308</f>
        <v>0</v>
      </c>
      <c r="K2608">
        <f>'906MP'!AJ2308</f>
        <v>0</v>
      </c>
      <c r="L2608">
        <f>'906MP'!U2308</f>
        <v>0</v>
      </c>
      <c r="M2608" s="322" t="str">
        <f>IFERROR(VLOOKUP(A2608,PAR!$D$3:$E$53,2,FALSE),"nincs szervezet")</f>
        <v>nincs szervezet</v>
      </c>
      <c r="N2608" s="322" t="str">
        <f>VLOOKUP(F2608,PAR!$R$3:$S$5,2,FALSE)</f>
        <v>3 - egyik sem</v>
      </c>
      <c r="O2608" t="str">
        <f>IFERROR(VLOOKUP(J2608,PAR!$O$3:$P$5,2,FALSE),"nincs feladat")</f>
        <v>nincs feladat</v>
      </c>
      <c r="P2608" t="str">
        <f>IFERROR(VLOOKUP(G2608,PAR!$J$2:$M$19,4),"nincs rovat")</f>
        <v>nincs rovat</v>
      </c>
      <c r="Q2608" t="str">
        <f>IF(H2608&gt;0,VLOOKUP(H2608,PAR!$AA$3:$AC$187,3,FALSE),"nincs főkönyvi számla")</f>
        <v>nincs főkönyvi számla</v>
      </c>
      <c r="R2608" t="str">
        <f>IFERROR(VLOOKUP(K2608,PAR!$V$3:$X$438,3,FALSE),"000000 - Nincs COFOG")</f>
        <v>000000 - Nincs COFOG</v>
      </c>
      <c r="S2608">
        <f t="shared" si="772"/>
        <v>0</v>
      </c>
      <c r="T2608">
        <f t="shared" si="773"/>
        <v>0</v>
      </c>
      <c r="U2608" t="str">
        <f>IF('906MP'!J2308&gt;0,CONCATENATE('906MP'!J2308," - ",'906MP'!P2308,", ",'906MP'!E2308),"nincs megjegyzés")</f>
        <v>nincs megjegyzés</v>
      </c>
      <c r="V2608" t="str">
        <f t="shared" si="760"/>
        <v>0P0</v>
      </c>
      <c r="W2608" t="str">
        <f t="shared" si="761"/>
        <v>0P0</v>
      </c>
      <c r="X2608" t="str">
        <f t="shared" si="762"/>
        <v>P0</v>
      </c>
      <c r="Y2608" t="str">
        <f t="shared" si="763"/>
        <v>00</v>
      </c>
      <c r="Z2608" t="str">
        <f t="shared" si="774"/>
        <v>00</v>
      </c>
      <c r="AA2608" t="str">
        <f t="shared" si="764"/>
        <v>00</v>
      </c>
      <c r="AB2608" t="str">
        <f t="shared" si="765"/>
        <v>00</v>
      </c>
      <c r="AC2608" t="str">
        <f t="shared" si="766"/>
        <v>0P0</v>
      </c>
      <c r="AD2608" t="str">
        <f t="shared" si="767"/>
        <v>P00</v>
      </c>
      <c r="AE2608" t="str">
        <f t="shared" si="768"/>
        <v>0P0</v>
      </c>
      <c r="AF2608" t="str">
        <f t="shared" si="769"/>
        <v>P00</v>
      </c>
      <c r="AG2608" t="str">
        <f t="shared" si="775"/>
        <v>0P00</v>
      </c>
      <c r="AH2608" t="str">
        <f t="shared" si="776"/>
        <v>P000</v>
      </c>
      <c r="AI2608" t="str">
        <f t="shared" si="777"/>
        <v>0P00</v>
      </c>
      <c r="AJ2608" t="str">
        <f t="shared" si="778"/>
        <v>P000</v>
      </c>
    </row>
    <row r="2609" spans="1:36" x14ac:dyDescent="0.25">
      <c r="A2609" s="325" t="str">
        <f>CONCATENATE("P",'906MP'!M2309)</f>
        <v>P</v>
      </c>
      <c r="B2609">
        <f>'906MP'!H2309</f>
        <v>0</v>
      </c>
      <c r="C2609">
        <f>'906MP'!J2309</f>
        <v>0</v>
      </c>
      <c r="D2609">
        <f>'906MP'!P2309</f>
        <v>0</v>
      </c>
      <c r="E2609">
        <f>'906MP'!X2309</f>
        <v>0</v>
      </c>
      <c r="F2609" t="str">
        <f t="shared" si="770"/>
        <v>0</v>
      </c>
      <c r="G2609" t="str">
        <f t="shared" si="771"/>
        <v>0</v>
      </c>
      <c r="H2609">
        <f>'906MP'!Y2309</f>
        <v>0</v>
      </c>
      <c r="I2609">
        <f>'906MP'!AK2309</f>
        <v>0</v>
      </c>
      <c r="J2609">
        <f>'906MP'!T2309</f>
        <v>0</v>
      </c>
      <c r="K2609">
        <f>'906MP'!AJ2309</f>
        <v>0</v>
      </c>
      <c r="L2609">
        <f>'906MP'!U2309</f>
        <v>0</v>
      </c>
      <c r="M2609" s="322" t="str">
        <f>IFERROR(VLOOKUP(A2609,PAR!$D$3:$E$53,2,FALSE),"nincs szervezet")</f>
        <v>nincs szervezet</v>
      </c>
      <c r="N2609" s="322" t="str">
        <f>VLOOKUP(F2609,PAR!$R$3:$S$5,2,FALSE)</f>
        <v>3 - egyik sem</v>
      </c>
      <c r="O2609" t="str">
        <f>IFERROR(VLOOKUP(J2609,PAR!$O$3:$P$5,2,FALSE),"nincs feladat")</f>
        <v>nincs feladat</v>
      </c>
      <c r="P2609" t="str">
        <f>IFERROR(VLOOKUP(G2609,PAR!$J$2:$M$19,4),"nincs rovat")</f>
        <v>nincs rovat</v>
      </c>
      <c r="Q2609" t="str">
        <f>IF(H2609&gt;0,VLOOKUP(H2609,PAR!$AA$3:$AC$187,3,FALSE),"nincs főkönyvi számla")</f>
        <v>nincs főkönyvi számla</v>
      </c>
      <c r="R2609" t="str">
        <f>IFERROR(VLOOKUP(K2609,PAR!$V$3:$X$438,3,FALSE),"000000 - Nincs COFOG")</f>
        <v>000000 - Nincs COFOG</v>
      </c>
      <c r="S2609">
        <f t="shared" si="772"/>
        <v>0</v>
      </c>
      <c r="T2609">
        <f t="shared" si="773"/>
        <v>0</v>
      </c>
      <c r="U2609" t="str">
        <f>IF('906MP'!J2309&gt;0,CONCATENATE('906MP'!J2309," - ",'906MP'!P2309,", ",'906MP'!E2309),"nincs megjegyzés")</f>
        <v>nincs megjegyzés</v>
      </c>
      <c r="V2609" t="str">
        <f t="shared" si="760"/>
        <v>0P0</v>
      </c>
      <c r="W2609" t="str">
        <f t="shared" si="761"/>
        <v>0P0</v>
      </c>
      <c r="X2609" t="str">
        <f t="shared" si="762"/>
        <v>P0</v>
      </c>
      <c r="Y2609" t="str">
        <f t="shared" si="763"/>
        <v>00</v>
      </c>
      <c r="Z2609" t="str">
        <f t="shared" si="774"/>
        <v>00</v>
      </c>
      <c r="AA2609" t="str">
        <f t="shared" si="764"/>
        <v>00</v>
      </c>
      <c r="AB2609" t="str">
        <f t="shared" si="765"/>
        <v>00</v>
      </c>
      <c r="AC2609" t="str">
        <f t="shared" si="766"/>
        <v>0P0</v>
      </c>
      <c r="AD2609" t="str">
        <f t="shared" si="767"/>
        <v>P00</v>
      </c>
      <c r="AE2609" t="str">
        <f t="shared" si="768"/>
        <v>0P0</v>
      </c>
      <c r="AF2609" t="str">
        <f t="shared" si="769"/>
        <v>P00</v>
      </c>
      <c r="AG2609" t="str">
        <f t="shared" si="775"/>
        <v>0P00</v>
      </c>
      <c r="AH2609" t="str">
        <f t="shared" si="776"/>
        <v>P000</v>
      </c>
      <c r="AI2609" t="str">
        <f t="shared" si="777"/>
        <v>0P00</v>
      </c>
      <c r="AJ2609" t="str">
        <f t="shared" si="778"/>
        <v>P000</v>
      </c>
    </row>
    <row r="2610" spans="1:36" x14ac:dyDescent="0.25">
      <c r="A2610" s="325" t="str">
        <f>CONCATENATE("P",'906MP'!M2310)</f>
        <v>P</v>
      </c>
      <c r="B2610">
        <f>'906MP'!H2310</f>
        <v>0</v>
      </c>
      <c r="C2610">
        <f>'906MP'!J2310</f>
        <v>0</v>
      </c>
      <c r="D2610">
        <f>'906MP'!P2310</f>
        <v>0</v>
      </c>
      <c r="E2610">
        <f>'906MP'!X2310</f>
        <v>0</v>
      </c>
      <c r="F2610" t="str">
        <f t="shared" si="770"/>
        <v>0</v>
      </c>
      <c r="G2610" t="str">
        <f t="shared" si="771"/>
        <v>0</v>
      </c>
      <c r="H2610">
        <f>'906MP'!Y2310</f>
        <v>0</v>
      </c>
      <c r="I2610">
        <f>'906MP'!AK2310</f>
        <v>0</v>
      </c>
      <c r="J2610">
        <f>'906MP'!T2310</f>
        <v>0</v>
      </c>
      <c r="K2610">
        <f>'906MP'!AJ2310</f>
        <v>0</v>
      </c>
      <c r="L2610">
        <f>'906MP'!U2310</f>
        <v>0</v>
      </c>
      <c r="M2610" s="322" t="str">
        <f>IFERROR(VLOOKUP(A2610,PAR!$D$3:$E$53,2,FALSE),"nincs szervezet")</f>
        <v>nincs szervezet</v>
      </c>
      <c r="N2610" s="322" t="str">
        <f>VLOOKUP(F2610,PAR!$R$3:$S$5,2,FALSE)</f>
        <v>3 - egyik sem</v>
      </c>
      <c r="O2610" t="str">
        <f>IFERROR(VLOOKUP(J2610,PAR!$O$3:$P$5,2,FALSE),"nincs feladat")</f>
        <v>nincs feladat</v>
      </c>
      <c r="P2610" t="str">
        <f>IFERROR(VLOOKUP(G2610,PAR!$J$2:$M$19,4),"nincs rovat")</f>
        <v>nincs rovat</v>
      </c>
      <c r="Q2610" t="str">
        <f>IF(H2610&gt;0,VLOOKUP(H2610,PAR!$AA$3:$AC$187,3,FALSE),"nincs főkönyvi számla")</f>
        <v>nincs főkönyvi számla</v>
      </c>
      <c r="R2610" t="str">
        <f>IFERROR(VLOOKUP(K2610,PAR!$V$3:$X$438,3,FALSE),"000000 - Nincs COFOG")</f>
        <v>000000 - Nincs COFOG</v>
      </c>
      <c r="S2610">
        <f t="shared" si="772"/>
        <v>0</v>
      </c>
      <c r="T2610">
        <f t="shared" si="773"/>
        <v>0</v>
      </c>
      <c r="U2610" t="str">
        <f>IF('906MP'!J2310&gt;0,CONCATENATE('906MP'!J2310," - ",'906MP'!P2310,", ",'906MP'!E2310),"nincs megjegyzés")</f>
        <v>nincs megjegyzés</v>
      </c>
      <c r="V2610" t="str">
        <f t="shared" si="760"/>
        <v>0P0</v>
      </c>
      <c r="W2610" t="str">
        <f t="shared" si="761"/>
        <v>0P0</v>
      </c>
      <c r="X2610" t="str">
        <f t="shared" si="762"/>
        <v>P0</v>
      </c>
      <c r="Y2610" t="str">
        <f t="shared" si="763"/>
        <v>00</v>
      </c>
      <c r="Z2610" t="str">
        <f t="shared" si="774"/>
        <v>00</v>
      </c>
      <c r="AA2610" t="str">
        <f t="shared" si="764"/>
        <v>00</v>
      </c>
      <c r="AB2610" t="str">
        <f t="shared" si="765"/>
        <v>00</v>
      </c>
      <c r="AC2610" t="str">
        <f t="shared" si="766"/>
        <v>0P0</v>
      </c>
      <c r="AD2610" t="str">
        <f t="shared" si="767"/>
        <v>P00</v>
      </c>
      <c r="AE2610" t="str">
        <f t="shared" si="768"/>
        <v>0P0</v>
      </c>
      <c r="AF2610" t="str">
        <f t="shared" si="769"/>
        <v>P00</v>
      </c>
      <c r="AG2610" t="str">
        <f t="shared" si="775"/>
        <v>0P00</v>
      </c>
      <c r="AH2610" t="str">
        <f t="shared" si="776"/>
        <v>P000</v>
      </c>
      <c r="AI2610" t="str">
        <f t="shared" si="777"/>
        <v>0P00</v>
      </c>
      <c r="AJ2610" t="str">
        <f t="shared" si="778"/>
        <v>P000</v>
      </c>
    </row>
    <row r="2611" spans="1:36" x14ac:dyDescent="0.25">
      <c r="A2611" s="325" t="str">
        <f>CONCATENATE("P",'906MP'!M2311)</f>
        <v>P</v>
      </c>
      <c r="B2611">
        <f>'906MP'!H2311</f>
        <v>0</v>
      </c>
      <c r="C2611">
        <f>'906MP'!J2311</f>
        <v>0</v>
      </c>
      <c r="D2611">
        <f>'906MP'!P2311</f>
        <v>0</v>
      </c>
      <c r="E2611">
        <f>'906MP'!X2311</f>
        <v>0</v>
      </c>
      <c r="F2611" t="str">
        <f t="shared" si="770"/>
        <v>0</v>
      </c>
      <c r="G2611" t="str">
        <f t="shared" si="771"/>
        <v>0</v>
      </c>
      <c r="H2611">
        <f>'906MP'!Y2311</f>
        <v>0</v>
      </c>
      <c r="I2611">
        <f>'906MP'!AK2311</f>
        <v>0</v>
      </c>
      <c r="J2611">
        <f>'906MP'!T2311</f>
        <v>0</v>
      </c>
      <c r="K2611">
        <f>'906MP'!AJ2311</f>
        <v>0</v>
      </c>
      <c r="L2611">
        <f>'906MP'!U2311</f>
        <v>0</v>
      </c>
      <c r="M2611" s="322" t="str">
        <f>IFERROR(VLOOKUP(A2611,PAR!$D$3:$E$53,2,FALSE),"nincs szervezet")</f>
        <v>nincs szervezet</v>
      </c>
      <c r="N2611" s="322" t="str">
        <f>VLOOKUP(F2611,PAR!$R$3:$S$5,2,FALSE)</f>
        <v>3 - egyik sem</v>
      </c>
      <c r="O2611" t="str">
        <f>IFERROR(VLOOKUP(J2611,PAR!$O$3:$P$5,2,FALSE),"nincs feladat")</f>
        <v>nincs feladat</v>
      </c>
      <c r="P2611" t="str">
        <f>IFERROR(VLOOKUP(G2611,PAR!$J$2:$M$19,4),"nincs rovat")</f>
        <v>nincs rovat</v>
      </c>
      <c r="Q2611" t="str">
        <f>IF(H2611&gt;0,VLOOKUP(H2611,PAR!$AA$3:$AC$187,3,FALSE),"nincs főkönyvi számla")</f>
        <v>nincs főkönyvi számla</v>
      </c>
      <c r="R2611" t="str">
        <f>IFERROR(VLOOKUP(K2611,PAR!$V$3:$X$438,3,FALSE),"000000 - Nincs COFOG")</f>
        <v>000000 - Nincs COFOG</v>
      </c>
      <c r="S2611">
        <f t="shared" si="772"/>
        <v>0</v>
      </c>
      <c r="T2611">
        <f t="shared" si="773"/>
        <v>0</v>
      </c>
      <c r="U2611" t="str">
        <f>IF('906MP'!J2311&gt;0,CONCATENATE('906MP'!J2311," - ",'906MP'!P2311,", ",'906MP'!E2311),"nincs megjegyzés")</f>
        <v>nincs megjegyzés</v>
      </c>
      <c r="V2611" t="str">
        <f t="shared" si="760"/>
        <v>0P0</v>
      </c>
      <c r="W2611" t="str">
        <f t="shared" si="761"/>
        <v>0P0</v>
      </c>
      <c r="X2611" t="str">
        <f t="shared" si="762"/>
        <v>P0</v>
      </c>
      <c r="Y2611" t="str">
        <f t="shared" si="763"/>
        <v>00</v>
      </c>
      <c r="Z2611" t="str">
        <f t="shared" si="774"/>
        <v>00</v>
      </c>
      <c r="AA2611" t="str">
        <f t="shared" si="764"/>
        <v>00</v>
      </c>
      <c r="AB2611" t="str">
        <f t="shared" si="765"/>
        <v>00</v>
      </c>
      <c r="AC2611" t="str">
        <f t="shared" si="766"/>
        <v>0P0</v>
      </c>
      <c r="AD2611" t="str">
        <f t="shared" si="767"/>
        <v>P00</v>
      </c>
      <c r="AE2611" t="str">
        <f t="shared" si="768"/>
        <v>0P0</v>
      </c>
      <c r="AF2611" t="str">
        <f t="shared" si="769"/>
        <v>P00</v>
      </c>
      <c r="AG2611" t="str">
        <f t="shared" si="775"/>
        <v>0P00</v>
      </c>
      <c r="AH2611" t="str">
        <f t="shared" si="776"/>
        <v>P000</v>
      </c>
      <c r="AI2611" t="str">
        <f t="shared" si="777"/>
        <v>0P00</v>
      </c>
      <c r="AJ2611" t="str">
        <f t="shared" si="778"/>
        <v>P000</v>
      </c>
    </row>
    <row r="2612" spans="1:36" x14ac:dyDescent="0.25">
      <c r="A2612" s="325" t="str">
        <f>CONCATENATE("P",'906MP'!M2312)</f>
        <v>P</v>
      </c>
      <c r="B2612">
        <f>'906MP'!H2312</f>
        <v>0</v>
      </c>
      <c r="C2612">
        <f>'906MP'!J2312</f>
        <v>0</v>
      </c>
      <c r="D2612">
        <f>'906MP'!P2312</f>
        <v>0</v>
      </c>
      <c r="E2612">
        <f>'906MP'!X2312</f>
        <v>0</v>
      </c>
      <c r="F2612" t="str">
        <f t="shared" si="770"/>
        <v>0</v>
      </c>
      <c r="G2612" t="str">
        <f t="shared" si="771"/>
        <v>0</v>
      </c>
      <c r="H2612">
        <f>'906MP'!Y2312</f>
        <v>0</v>
      </c>
      <c r="I2612">
        <f>'906MP'!AK2312</f>
        <v>0</v>
      </c>
      <c r="J2612">
        <f>'906MP'!T2312</f>
        <v>0</v>
      </c>
      <c r="K2612">
        <f>'906MP'!AJ2312</f>
        <v>0</v>
      </c>
      <c r="L2612">
        <f>'906MP'!U2312</f>
        <v>0</v>
      </c>
      <c r="M2612" s="322" t="str">
        <f>IFERROR(VLOOKUP(A2612,PAR!$D$3:$E$53,2,FALSE),"nincs szervezet")</f>
        <v>nincs szervezet</v>
      </c>
      <c r="N2612" s="322" t="str">
        <f>VLOOKUP(F2612,PAR!$R$3:$S$5,2,FALSE)</f>
        <v>3 - egyik sem</v>
      </c>
      <c r="O2612" t="str">
        <f>IFERROR(VLOOKUP(J2612,PAR!$O$3:$P$5,2,FALSE),"nincs feladat")</f>
        <v>nincs feladat</v>
      </c>
      <c r="P2612" t="str">
        <f>IFERROR(VLOOKUP(G2612,PAR!$J$2:$M$19,4),"nincs rovat")</f>
        <v>nincs rovat</v>
      </c>
      <c r="Q2612" t="str">
        <f>IF(H2612&gt;0,VLOOKUP(H2612,PAR!$AA$3:$AC$187,3,FALSE),"nincs főkönyvi számla")</f>
        <v>nincs főkönyvi számla</v>
      </c>
      <c r="R2612" t="str">
        <f>IFERROR(VLOOKUP(K2612,PAR!$V$3:$X$438,3,FALSE),"000000 - Nincs COFOG")</f>
        <v>000000 - Nincs COFOG</v>
      </c>
      <c r="S2612">
        <f t="shared" si="772"/>
        <v>0</v>
      </c>
      <c r="T2612">
        <f t="shared" si="773"/>
        <v>0</v>
      </c>
      <c r="U2612" t="str">
        <f>IF('906MP'!J2312&gt;0,CONCATENATE('906MP'!J2312," - ",'906MP'!P2312,", ",'906MP'!E2312),"nincs megjegyzés")</f>
        <v>nincs megjegyzés</v>
      </c>
      <c r="V2612" t="str">
        <f t="shared" si="760"/>
        <v>0P0</v>
      </c>
      <c r="W2612" t="str">
        <f t="shared" si="761"/>
        <v>0P0</v>
      </c>
      <c r="X2612" t="str">
        <f t="shared" si="762"/>
        <v>P0</v>
      </c>
      <c r="Y2612" t="str">
        <f t="shared" si="763"/>
        <v>00</v>
      </c>
      <c r="Z2612" t="str">
        <f t="shared" si="774"/>
        <v>00</v>
      </c>
      <c r="AA2612" t="str">
        <f t="shared" si="764"/>
        <v>00</v>
      </c>
      <c r="AB2612" t="str">
        <f t="shared" si="765"/>
        <v>00</v>
      </c>
      <c r="AC2612" t="str">
        <f t="shared" si="766"/>
        <v>0P0</v>
      </c>
      <c r="AD2612" t="str">
        <f t="shared" si="767"/>
        <v>P00</v>
      </c>
      <c r="AE2612" t="str">
        <f t="shared" si="768"/>
        <v>0P0</v>
      </c>
      <c r="AF2612" t="str">
        <f t="shared" si="769"/>
        <v>P00</v>
      </c>
      <c r="AG2612" t="str">
        <f t="shared" si="775"/>
        <v>0P00</v>
      </c>
      <c r="AH2612" t="str">
        <f t="shared" si="776"/>
        <v>P000</v>
      </c>
      <c r="AI2612" t="str">
        <f t="shared" si="777"/>
        <v>0P00</v>
      </c>
      <c r="AJ2612" t="str">
        <f t="shared" si="778"/>
        <v>P000</v>
      </c>
    </row>
    <row r="2613" spans="1:36" x14ac:dyDescent="0.25">
      <c r="A2613" s="325" t="str">
        <f>CONCATENATE("P",'906MP'!M2313)</f>
        <v>P</v>
      </c>
      <c r="B2613">
        <f>'906MP'!H2313</f>
        <v>0</v>
      </c>
      <c r="C2613">
        <f>'906MP'!J2313</f>
        <v>0</v>
      </c>
      <c r="D2613">
        <f>'906MP'!P2313</f>
        <v>0</v>
      </c>
      <c r="E2613">
        <f>'906MP'!X2313</f>
        <v>0</v>
      </c>
      <c r="F2613" t="str">
        <f t="shared" si="770"/>
        <v>0</v>
      </c>
      <c r="G2613" t="str">
        <f t="shared" si="771"/>
        <v>0</v>
      </c>
      <c r="H2613">
        <f>'906MP'!Y2313</f>
        <v>0</v>
      </c>
      <c r="I2613">
        <f>'906MP'!AK2313</f>
        <v>0</v>
      </c>
      <c r="J2613">
        <f>'906MP'!T2313</f>
        <v>0</v>
      </c>
      <c r="K2613">
        <f>'906MP'!AJ2313</f>
        <v>0</v>
      </c>
      <c r="L2613">
        <f>'906MP'!U2313</f>
        <v>0</v>
      </c>
      <c r="M2613" s="322" t="str">
        <f>IFERROR(VLOOKUP(A2613,PAR!$D$3:$E$53,2,FALSE),"nincs szervezet")</f>
        <v>nincs szervezet</v>
      </c>
      <c r="N2613" s="322" t="str">
        <f>VLOOKUP(F2613,PAR!$R$3:$S$5,2,FALSE)</f>
        <v>3 - egyik sem</v>
      </c>
      <c r="O2613" t="str">
        <f>IFERROR(VLOOKUP(J2613,PAR!$O$3:$P$5,2,FALSE),"nincs feladat")</f>
        <v>nincs feladat</v>
      </c>
      <c r="P2613" t="str">
        <f>IFERROR(VLOOKUP(G2613,PAR!$J$2:$M$19,4),"nincs rovat")</f>
        <v>nincs rovat</v>
      </c>
      <c r="Q2613" t="str">
        <f>IF(H2613&gt;0,VLOOKUP(H2613,PAR!$AA$3:$AC$187,3,FALSE),"nincs főkönyvi számla")</f>
        <v>nincs főkönyvi számla</v>
      </c>
      <c r="R2613" t="str">
        <f>IFERROR(VLOOKUP(K2613,PAR!$V$3:$X$438,3,FALSE),"000000 - Nincs COFOG")</f>
        <v>000000 - Nincs COFOG</v>
      </c>
      <c r="S2613">
        <f t="shared" si="772"/>
        <v>0</v>
      </c>
      <c r="T2613">
        <f t="shared" si="773"/>
        <v>0</v>
      </c>
      <c r="U2613" t="str">
        <f>IF('906MP'!J2313&gt;0,CONCATENATE('906MP'!J2313," - ",'906MP'!P2313,", ",'906MP'!E2313),"nincs megjegyzés")</f>
        <v>nincs megjegyzés</v>
      </c>
      <c r="V2613" t="str">
        <f t="shared" si="760"/>
        <v>0P0</v>
      </c>
      <c r="W2613" t="str">
        <f t="shared" si="761"/>
        <v>0P0</v>
      </c>
      <c r="X2613" t="str">
        <f t="shared" si="762"/>
        <v>P0</v>
      </c>
      <c r="Y2613" t="str">
        <f t="shared" si="763"/>
        <v>00</v>
      </c>
      <c r="Z2613" t="str">
        <f t="shared" si="774"/>
        <v>00</v>
      </c>
      <c r="AA2613" t="str">
        <f t="shared" si="764"/>
        <v>00</v>
      </c>
      <c r="AB2613" t="str">
        <f t="shared" si="765"/>
        <v>00</v>
      </c>
      <c r="AC2613" t="str">
        <f t="shared" si="766"/>
        <v>0P0</v>
      </c>
      <c r="AD2613" t="str">
        <f t="shared" si="767"/>
        <v>P00</v>
      </c>
      <c r="AE2613" t="str">
        <f t="shared" si="768"/>
        <v>0P0</v>
      </c>
      <c r="AF2613" t="str">
        <f t="shared" si="769"/>
        <v>P00</v>
      </c>
      <c r="AG2613" t="str">
        <f t="shared" si="775"/>
        <v>0P00</v>
      </c>
      <c r="AH2613" t="str">
        <f t="shared" si="776"/>
        <v>P000</v>
      </c>
      <c r="AI2613" t="str">
        <f t="shared" si="777"/>
        <v>0P00</v>
      </c>
      <c r="AJ2613" t="str">
        <f t="shared" si="778"/>
        <v>P000</v>
      </c>
    </row>
    <row r="2614" spans="1:36" x14ac:dyDescent="0.25">
      <c r="A2614" s="325" t="str">
        <f>CONCATENATE("P",'906MP'!M2314)</f>
        <v>P</v>
      </c>
      <c r="B2614">
        <f>'906MP'!H2314</f>
        <v>0</v>
      </c>
      <c r="C2614">
        <f>'906MP'!J2314</f>
        <v>0</v>
      </c>
      <c r="D2614">
        <f>'906MP'!P2314</f>
        <v>0</v>
      </c>
      <c r="E2614">
        <f>'906MP'!X2314</f>
        <v>0</v>
      </c>
      <c r="F2614" t="str">
        <f t="shared" si="770"/>
        <v>0</v>
      </c>
      <c r="G2614" t="str">
        <f t="shared" si="771"/>
        <v>0</v>
      </c>
      <c r="H2614">
        <f>'906MP'!Y2314</f>
        <v>0</v>
      </c>
      <c r="I2614">
        <f>'906MP'!AK2314</f>
        <v>0</v>
      </c>
      <c r="J2614">
        <f>'906MP'!T2314</f>
        <v>0</v>
      </c>
      <c r="K2614">
        <f>'906MP'!AJ2314</f>
        <v>0</v>
      </c>
      <c r="L2614">
        <f>'906MP'!U2314</f>
        <v>0</v>
      </c>
      <c r="M2614" s="322" t="str">
        <f>IFERROR(VLOOKUP(A2614,PAR!$D$3:$E$53,2,FALSE),"nincs szervezet")</f>
        <v>nincs szervezet</v>
      </c>
      <c r="N2614" s="322" t="str">
        <f>VLOOKUP(F2614,PAR!$R$3:$S$5,2,FALSE)</f>
        <v>3 - egyik sem</v>
      </c>
      <c r="O2614" t="str">
        <f>IFERROR(VLOOKUP(J2614,PAR!$O$3:$P$5,2,FALSE),"nincs feladat")</f>
        <v>nincs feladat</v>
      </c>
      <c r="P2614" t="str">
        <f>IFERROR(VLOOKUP(G2614,PAR!$J$2:$M$19,4),"nincs rovat")</f>
        <v>nincs rovat</v>
      </c>
      <c r="Q2614" t="str">
        <f>IF(H2614&gt;0,VLOOKUP(H2614,PAR!$AA$3:$AC$187,3,FALSE),"nincs főkönyvi számla")</f>
        <v>nincs főkönyvi számla</v>
      </c>
      <c r="R2614" t="str">
        <f>IFERROR(VLOOKUP(K2614,PAR!$V$3:$X$438,3,FALSE),"000000 - Nincs COFOG")</f>
        <v>000000 - Nincs COFOG</v>
      </c>
      <c r="S2614">
        <f t="shared" si="772"/>
        <v>0</v>
      </c>
      <c r="T2614">
        <f t="shared" si="773"/>
        <v>0</v>
      </c>
      <c r="U2614" t="str">
        <f>IF('906MP'!J2314&gt;0,CONCATENATE('906MP'!J2314," - ",'906MP'!P2314,", ",'906MP'!E2314),"nincs megjegyzés")</f>
        <v>nincs megjegyzés</v>
      </c>
      <c r="V2614" t="str">
        <f t="shared" si="760"/>
        <v>0P0</v>
      </c>
      <c r="W2614" t="str">
        <f t="shared" si="761"/>
        <v>0P0</v>
      </c>
      <c r="X2614" t="str">
        <f t="shared" si="762"/>
        <v>P0</v>
      </c>
      <c r="Y2614" t="str">
        <f t="shared" si="763"/>
        <v>00</v>
      </c>
      <c r="Z2614" t="str">
        <f t="shared" si="774"/>
        <v>00</v>
      </c>
      <c r="AA2614" t="str">
        <f t="shared" si="764"/>
        <v>00</v>
      </c>
      <c r="AB2614" t="str">
        <f t="shared" si="765"/>
        <v>00</v>
      </c>
      <c r="AC2614" t="str">
        <f t="shared" si="766"/>
        <v>0P0</v>
      </c>
      <c r="AD2614" t="str">
        <f t="shared" si="767"/>
        <v>P00</v>
      </c>
      <c r="AE2614" t="str">
        <f t="shared" si="768"/>
        <v>0P0</v>
      </c>
      <c r="AF2614" t="str">
        <f t="shared" si="769"/>
        <v>P00</v>
      </c>
      <c r="AG2614" t="str">
        <f t="shared" si="775"/>
        <v>0P00</v>
      </c>
      <c r="AH2614" t="str">
        <f t="shared" si="776"/>
        <v>P000</v>
      </c>
      <c r="AI2614" t="str">
        <f t="shared" si="777"/>
        <v>0P00</v>
      </c>
      <c r="AJ2614" t="str">
        <f t="shared" si="778"/>
        <v>P000</v>
      </c>
    </row>
    <row r="2615" spans="1:36" x14ac:dyDescent="0.25">
      <c r="A2615" s="325" t="str">
        <f>CONCATENATE("P",'906MP'!M2315)</f>
        <v>P</v>
      </c>
      <c r="B2615">
        <f>'906MP'!H2315</f>
        <v>0</v>
      </c>
      <c r="C2615">
        <f>'906MP'!J2315</f>
        <v>0</v>
      </c>
      <c r="D2615">
        <f>'906MP'!P2315</f>
        <v>0</v>
      </c>
      <c r="E2615">
        <f>'906MP'!X2315</f>
        <v>0</v>
      </c>
      <c r="F2615" t="str">
        <f t="shared" si="770"/>
        <v>0</v>
      </c>
      <c r="G2615" t="str">
        <f t="shared" si="771"/>
        <v>0</v>
      </c>
      <c r="H2615">
        <f>'906MP'!Y2315</f>
        <v>0</v>
      </c>
      <c r="I2615">
        <f>'906MP'!AK2315</f>
        <v>0</v>
      </c>
      <c r="J2615">
        <f>'906MP'!T2315</f>
        <v>0</v>
      </c>
      <c r="K2615">
        <f>'906MP'!AJ2315</f>
        <v>0</v>
      </c>
      <c r="L2615">
        <f>'906MP'!U2315</f>
        <v>0</v>
      </c>
      <c r="M2615" s="322" t="str">
        <f>IFERROR(VLOOKUP(A2615,PAR!$D$3:$E$53,2,FALSE),"nincs szervezet")</f>
        <v>nincs szervezet</v>
      </c>
      <c r="N2615" s="322" t="str">
        <f>VLOOKUP(F2615,PAR!$R$3:$S$5,2,FALSE)</f>
        <v>3 - egyik sem</v>
      </c>
      <c r="O2615" t="str">
        <f>IFERROR(VLOOKUP(J2615,PAR!$O$3:$P$5,2,FALSE),"nincs feladat")</f>
        <v>nincs feladat</v>
      </c>
      <c r="P2615" t="str">
        <f>IFERROR(VLOOKUP(G2615,PAR!$J$2:$M$19,4),"nincs rovat")</f>
        <v>nincs rovat</v>
      </c>
      <c r="Q2615" t="str">
        <f>IF(H2615&gt;0,VLOOKUP(H2615,PAR!$AA$3:$AC$187,3,FALSE),"nincs főkönyvi számla")</f>
        <v>nincs főkönyvi számla</v>
      </c>
      <c r="R2615" t="str">
        <f>IFERROR(VLOOKUP(K2615,PAR!$V$3:$X$438,3,FALSE),"000000 - Nincs COFOG")</f>
        <v>000000 - Nincs COFOG</v>
      </c>
      <c r="S2615">
        <f t="shared" si="772"/>
        <v>0</v>
      </c>
      <c r="T2615">
        <f t="shared" si="773"/>
        <v>0</v>
      </c>
      <c r="U2615" t="str">
        <f>IF('906MP'!J2315&gt;0,CONCATENATE('906MP'!J2315," - ",'906MP'!P2315,", ",'906MP'!E2315),"nincs megjegyzés")</f>
        <v>nincs megjegyzés</v>
      </c>
      <c r="V2615" t="str">
        <f t="shared" si="760"/>
        <v>0P0</v>
      </c>
      <c r="W2615" t="str">
        <f t="shared" si="761"/>
        <v>0P0</v>
      </c>
      <c r="X2615" t="str">
        <f t="shared" si="762"/>
        <v>P0</v>
      </c>
      <c r="Y2615" t="str">
        <f t="shared" si="763"/>
        <v>00</v>
      </c>
      <c r="Z2615" t="str">
        <f t="shared" si="774"/>
        <v>00</v>
      </c>
      <c r="AA2615" t="str">
        <f t="shared" si="764"/>
        <v>00</v>
      </c>
      <c r="AB2615" t="str">
        <f t="shared" si="765"/>
        <v>00</v>
      </c>
      <c r="AC2615" t="str">
        <f t="shared" si="766"/>
        <v>0P0</v>
      </c>
      <c r="AD2615" t="str">
        <f t="shared" si="767"/>
        <v>P00</v>
      </c>
      <c r="AE2615" t="str">
        <f t="shared" si="768"/>
        <v>0P0</v>
      </c>
      <c r="AF2615" t="str">
        <f t="shared" si="769"/>
        <v>P00</v>
      </c>
      <c r="AG2615" t="str">
        <f t="shared" si="775"/>
        <v>0P00</v>
      </c>
      <c r="AH2615" t="str">
        <f t="shared" si="776"/>
        <v>P000</v>
      </c>
      <c r="AI2615" t="str">
        <f t="shared" si="777"/>
        <v>0P00</v>
      </c>
      <c r="AJ2615" t="str">
        <f t="shared" si="778"/>
        <v>P000</v>
      </c>
    </row>
    <row r="2616" spans="1:36" x14ac:dyDescent="0.25">
      <c r="A2616" s="325" t="str">
        <f>CONCATENATE("P",'906MP'!M2316)</f>
        <v>P</v>
      </c>
      <c r="B2616">
        <f>'906MP'!H2316</f>
        <v>0</v>
      </c>
      <c r="C2616">
        <f>'906MP'!J2316</f>
        <v>0</v>
      </c>
      <c r="D2616">
        <f>'906MP'!P2316</f>
        <v>0</v>
      </c>
      <c r="E2616">
        <f>'906MP'!X2316</f>
        <v>0</v>
      </c>
      <c r="F2616" t="str">
        <f t="shared" si="770"/>
        <v>0</v>
      </c>
      <c r="G2616" t="str">
        <f t="shared" si="771"/>
        <v>0</v>
      </c>
      <c r="H2616">
        <f>'906MP'!Y2316</f>
        <v>0</v>
      </c>
      <c r="I2616">
        <f>'906MP'!AK2316</f>
        <v>0</v>
      </c>
      <c r="J2616">
        <f>'906MP'!T2316</f>
        <v>0</v>
      </c>
      <c r="K2616">
        <f>'906MP'!AJ2316</f>
        <v>0</v>
      </c>
      <c r="L2616">
        <f>'906MP'!U2316</f>
        <v>0</v>
      </c>
      <c r="M2616" s="322" t="str">
        <f>IFERROR(VLOOKUP(A2616,PAR!$D$3:$E$53,2,FALSE),"nincs szervezet")</f>
        <v>nincs szervezet</v>
      </c>
      <c r="N2616" s="322" t="str">
        <f>VLOOKUP(F2616,PAR!$R$3:$S$5,2,FALSE)</f>
        <v>3 - egyik sem</v>
      </c>
      <c r="O2616" t="str">
        <f>IFERROR(VLOOKUP(J2616,PAR!$O$3:$P$5,2,FALSE),"nincs feladat")</f>
        <v>nincs feladat</v>
      </c>
      <c r="P2616" t="str">
        <f>IFERROR(VLOOKUP(G2616,PAR!$J$2:$M$19,4),"nincs rovat")</f>
        <v>nincs rovat</v>
      </c>
      <c r="Q2616" t="str">
        <f>IF(H2616&gt;0,VLOOKUP(H2616,PAR!$AA$3:$AC$187,3,FALSE),"nincs főkönyvi számla")</f>
        <v>nincs főkönyvi számla</v>
      </c>
      <c r="R2616" t="str">
        <f>IFERROR(VLOOKUP(K2616,PAR!$V$3:$X$438,3,FALSE),"000000 - Nincs COFOG")</f>
        <v>000000 - Nincs COFOG</v>
      </c>
      <c r="S2616">
        <f t="shared" si="772"/>
        <v>0</v>
      </c>
      <c r="T2616">
        <f t="shared" si="773"/>
        <v>0</v>
      </c>
      <c r="U2616" t="str">
        <f>IF('906MP'!J2316&gt;0,CONCATENATE('906MP'!J2316," - ",'906MP'!P2316,", ",'906MP'!E2316),"nincs megjegyzés")</f>
        <v>nincs megjegyzés</v>
      </c>
      <c r="V2616" t="str">
        <f t="shared" si="760"/>
        <v>0P0</v>
      </c>
      <c r="W2616" t="str">
        <f t="shared" si="761"/>
        <v>0P0</v>
      </c>
      <c r="X2616" t="str">
        <f t="shared" si="762"/>
        <v>P0</v>
      </c>
      <c r="Y2616" t="str">
        <f t="shared" si="763"/>
        <v>00</v>
      </c>
      <c r="Z2616" t="str">
        <f t="shared" si="774"/>
        <v>00</v>
      </c>
      <c r="AA2616" t="str">
        <f t="shared" si="764"/>
        <v>00</v>
      </c>
      <c r="AB2616" t="str">
        <f t="shared" si="765"/>
        <v>00</v>
      </c>
      <c r="AC2616" t="str">
        <f t="shared" si="766"/>
        <v>0P0</v>
      </c>
      <c r="AD2616" t="str">
        <f t="shared" si="767"/>
        <v>P00</v>
      </c>
      <c r="AE2616" t="str">
        <f t="shared" si="768"/>
        <v>0P0</v>
      </c>
      <c r="AF2616" t="str">
        <f t="shared" si="769"/>
        <v>P00</v>
      </c>
      <c r="AG2616" t="str">
        <f t="shared" si="775"/>
        <v>0P00</v>
      </c>
      <c r="AH2616" t="str">
        <f t="shared" si="776"/>
        <v>P000</v>
      </c>
      <c r="AI2616" t="str">
        <f t="shared" si="777"/>
        <v>0P00</v>
      </c>
      <c r="AJ2616" t="str">
        <f t="shared" si="778"/>
        <v>P000</v>
      </c>
    </row>
    <row r="2617" spans="1:36" x14ac:dyDescent="0.25">
      <c r="A2617" s="325" t="str">
        <f>CONCATENATE("P",'906MP'!M2317)</f>
        <v>P</v>
      </c>
      <c r="B2617">
        <f>'906MP'!H2317</f>
        <v>0</v>
      </c>
      <c r="C2617">
        <f>'906MP'!J2317</f>
        <v>0</v>
      </c>
      <c r="D2617">
        <f>'906MP'!P2317</f>
        <v>0</v>
      </c>
      <c r="E2617">
        <f>'906MP'!X2317</f>
        <v>0</v>
      </c>
      <c r="F2617" t="str">
        <f t="shared" si="770"/>
        <v>0</v>
      </c>
      <c r="G2617" t="str">
        <f t="shared" si="771"/>
        <v>0</v>
      </c>
      <c r="H2617">
        <f>'906MP'!Y2317</f>
        <v>0</v>
      </c>
      <c r="I2617">
        <f>'906MP'!AK2317</f>
        <v>0</v>
      </c>
      <c r="J2617">
        <f>'906MP'!T2317</f>
        <v>0</v>
      </c>
      <c r="K2617">
        <f>'906MP'!AJ2317</f>
        <v>0</v>
      </c>
      <c r="L2617">
        <f>'906MP'!U2317</f>
        <v>0</v>
      </c>
      <c r="M2617" s="322" t="str">
        <f>IFERROR(VLOOKUP(A2617,PAR!$D$3:$E$53,2,FALSE),"nincs szervezet")</f>
        <v>nincs szervezet</v>
      </c>
      <c r="N2617" s="322" t="str">
        <f>VLOOKUP(F2617,PAR!$R$3:$S$5,2,FALSE)</f>
        <v>3 - egyik sem</v>
      </c>
      <c r="O2617" t="str">
        <f>IFERROR(VLOOKUP(J2617,PAR!$O$3:$P$5,2,FALSE),"nincs feladat")</f>
        <v>nincs feladat</v>
      </c>
      <c r="P2617" t="str">
        <f>IFERROR(VLOOKUP(G2617,PAR!$J$2:$M$19,4),"nincs rovat")</f>
        <v>nincs rovat</v>
      </c>
      <c r="Q2617" t="str">
        <f>IF(H2617&gt;0,VLOOKUP(H2617,PAR!$AA$3:$AC$187,3,FALSE),"nincs főkönyvi számla")</f>
        <v>nincs főkönyvi számla</v>
      </c>
      <c r="R2617" t="str">
        <f>IFERROR(VLOOKUP(K2617,PAR!$V$3:$X$438,3,FALSE),"000000 - Nincs COFOG")</f>
        <v>000000 - Nincs COFOG</v>
      </c>
      <c r="S2617">
        <f t="shared" si="772"/>
        <v>0</v>
      </c>
      <c r="T2617">
        <f t="shared" si="773"/>
        <v>0</v>
      </c>
      <c r="U2617" t="str">
        <f>IF('906MP'!J2317&gt;0,CONCATENATE('906MP'!J2317," - ",'906MP'!P2317,", ",'906MP'!E2317),"nincs megjegyzés")</f>
        <v>nincs megjegyzés</v>
      </c>
      <c r="V2617" t="str">
        <f t="shared" si="760"/>
        <v>0P0</v>
      </c>
      <c r="W2617" t="str">
        <f t="shared" si="761"/>
        <v>0P0</v>
      </c>
      <c r="X2617" t="str">
        <f t="shared" si="762"/>
        <v>P0</v>
      </c>
      <c r="Y2617" t="str">
        <f t="shared" si="763"/>
        <v>00</v>
      </c>
      <c r="Z2617" t="str">
        <f t="shared" si="774"/>
        <v>00</v>
      </c>
      <c r="AA2617" t="str">
        <f t="shared" si="764"/>
        <v>00</v>
      </c>
      <c r="AB2617" t="str">
        <f t="shared" si="765"/>
        <v>00</v>
      </c>
      <c r="AC2617" t="str">
        <f t="shared" si="766"/>
        <v>0P0</v>
      </c>
      <c r="AD2617" t="str">
        <f t="shared" si="767"/>
        <v>P00</v>
      </c>
      <c r="AE2617" t="str">
        <f t="shared" si="768"/>
        <v>0P0</v>
      </c>
      <c r="AF2617" t="str">
        <f t="shared" si="769"/>
        <v>P00</v>
      </c>
      <c r="AG2617" t="str">
        <f t="shared" si="775"/>
        <v>0P00</v>
      </c>
      <c r="AH2617" t="str">
        <f t="shared" si="776"/>
        <v>P000</v>
      </c>
      <c r="AI2617" t="str">
        <f t="shared" si="777"/>
        <v>0P00</v>
      </c>
      <c r="AJ2617" t="str">
        <f t="shared" si="778"/>
        <v>P000</v>
      </c>
    </row>
    <row r="2618" spans="1:36" x14ac:dyDescent="0.25">
      <c r="A2618" s="325" t="str">
        <f>CONCATENATE("P",'906MP'!M2318)</f>
        <v>P</v>
      </c>
      <c r="B2618">
        <f>'906MP'!H2318</f>
        <v>0</v>
      </c>
      <c r="C2618">
        <f>'906MP'!J2318</f>
        <v>0</v>
      </c>
      <c r="D2618">
        <f>'906MP'!P2318</f>
        <v>0</v>
      </c>
      <c r="E2618">
        <f>'906MP'!X2318</f>
        <v>0</v>
      </c>
      <c r="F2618" t="str">
        <f t="shared" si="770"/>
        <v>0</v>
      </c>
      <c r="G2618" t="str">
        <f t="shared" si="771"/>
        <v>0</v>
      </c>
      <c r="H2618">
        <f>'906MP'!Y2318</f>
        <v>0</v>
      </c>
      <c r="I2618">
        <f>'906MP'!AK2318</f>
        <v>0</v>
      </c>
      <c r="J2618">
        <f>'906MP'!T2318</f>
        <v>0</v>
      </c>
      <c r="K2618">
        <f>'906MP'!AJ2318</f>
        <v>0</v>
      </c>
      <c r="L2618">
        <f>'906MP'!U2318</f>
        <v>0</v>
      </c>
      <c r="M2618" s="322" t="str">
        <f>IFERROR(VLOOKUP(A2618,PAR!$D$3:$E$53,2,FALSE),"nincs szervezet")</f>
        <v>nincs szervezet</v>
      </c>
      <c r="N2618" s="322" t="str">
        <f>VLOOKUP(F2618,PAR!$R$3:$S$5,2,FALSE)</f>
        <v>3 - egyik sem</v>
      </c>
      <c r="O2618" t="str">
        <f>IFERROR(VLOOKUP(J2618,PAR!$O$3:$P$5,2,FALSE),"nincs feladat")</f>
        <v>nincs feladat</v>
      </c>
      <c r="P2618" t="str">
        <f>IFERROR(VLOOKUP(G2618,PAR!$J$2:$M$19,4),"nincs rovat")</f>
        <v>nincs rovat</v>
      </c>
      <c r="Q2618" t="str">
        <f>IF(H2618&gt;0,VLOOKUP(H2618,PAR!$AA$3:$AC$187,3,FALSE),"nincs főkönyvi számla")</f>
        <v>nincs főkönyvi számla</v>
      </c>
      <c r="R2618" t="str">
        <f>IFERROR(VLOOKUP(K2618,PAR!$V$3:$X$438,3,FALSE),"000000 - Nincs COFOG")</f>
        <v>000000 - Nincs COFOG</v>
      </c>
      <c r="S2618">
        <f t="shared" si="772"/>
        <v>0</v>
      </c>
      <c r="T2618">
        <f t="shared" si="773"/>
        <v>0</v>
      </c>
      <c r="U2618" t="str">
        <f>IF('906MP'!J2318&gt;0,CONCATENATE('906MP'!J2318," - ",'906MP'!P2318,", ",'906MP'!E2318),"nincs megjegyzés")</f>
        <v>nincs megjegyzés</v>
      </c>
      <c r="V2618" t="str">
        <f t="shared" si="760"/>
        <v>0P0</v>
      </c>
      <c r="W2618" t="str">
        <f t="shared" si="761"/>
        <v>0P0</v>
      </c>
      <c r="X2618" t="str">
        <f t="shared" si="762"/>
        <v>P0</v>
      </c>
      <c r="Y2618" t="str">
        <f t="shared" si="763"/>
        <v>00</v>
      </c>
      <c r="Z2618" t="str">
        <f t="shared" si="774"/>
        <v>00</v>
      </c>
      <c r="AA2618" t="str">
        <f t="shared" si="764"/>
        <v>00</v>
      </c>
      <c r="AB2618" t="str">
        <f t="shared" si="765"/>
        <v>00</v>
      </c>
      <c r="AC2618" t="str">
        <f t="shared" si="766"/>
        <v>0P0</v>
      </c>
      <c r="AD2618" t="str">
        <f t="shared" si="767"/>
        <v>P00</v>
      </c>
      <c r="AE2618" t="str">
        <f t="shared" si="768"/>
        <v>0P0</v>
      </c>
      <c r="AF2618" t="str">
        <f t="shared" si="769"/>
        <v>P00</v>
      </c>
      <c r="AG2618" t="str">
        <f t="shared" si="775"/>
        <v>0P00</v>
      </c>
      <c r="AH2618" t="str">
        <f t="shared" si="776"/>
        <v>P000</v>
      </c>
      <c r="AI2618" t="str">
        <f t="shared" si="777"/>
        <v>0P00</v>
      </c>
      <c r="AJ2618" t="str">
        <f t="shared" si="778"/>
        <v>P000</v>
      </c>
    </row>
    <row r="2619" spans="1:36" x14ac:dyDescent="0.25">
      <c r="A2619" s="325" t="str">
        <f>CONCATENATE("P",'906MP'!M2319)</f>
        <v>P</v>
      </c>
      <c r="B2619">
        <f>'906MP'!H2319</f>
        <v>0</v>
      </c>
      <c r="C2619">
        <f>'906MP'!J2319</f>
        <v>0</v>
      </c>
      <c r="D2619">
        <f>'906MP'!P2319</f>
        <v>0</v>
      </c>
      <c r="E2619">
        <f>'906MP'!X2319</f>
        <v>0</v>
      </c>
      <c r="F2619" t="str">
        <f t="shared" si="770"/>
        <v>0</v>
      </c>
      <c r="G2619" t="str">
        <f t="shared" si="771"/>
        <v>0</v>
      </c>
      <c r="H2619">
        <f>'906MP'!Y2319</f>
        <v>0</v>
      </c>
      <c r="I2619">
        <f>'906MP'!AK2319</f>
        <v>0</v>
      </c>
      <c r="J2619">
        <f>'906MP'!T2319</f>
        <v>0</v>
      </c>
      <c r="K2619">
        <f>'906MP'!AJ2319</f>
        <v>0</v>
      </c>
      <c r="L2619">
        <f>'906MP'!U2319</f>
        <v>0</v>
      </c>
      <c r="M2619" s="322" t="str">
        <f>IFERROR(VLOOKUP(A2619,PAR!$D$3:$E$53,2,FALSE),"nincs szervezet")</f>
        <v>nincs szervezet</v>
      </c>
      <c r="N2619" s="322" t="str">
        <f>VLOOKUP(F2619,PAR!$R$3:$S$5,2,FALSE)</f>
        <v>3 - egyik sem</v>
      </c>
      <c r="O2619" t="str">
        <f>IFERROR(VLOOKUP(J2619,PAR!$O$3:$P$5,2,FALSE),"nincs feladat")</f>
        <v>nincs feladat</v>
      </c>
      <c r="P2619" t="str">
        <f>IFERROR(VLOOKUP(G2619,PAR!$J$2:$M$19,4),"nincs rovat")</f>
        <v>nincs rovat</v>
      </c>
      <c r="Q2619" t="str">
        <f>IF(H2619&gt;0,VLOOKUP(H2619,PAR!$AA$3:$AC$187,3,FALSE),"nincs főkönyvi számla")</f>
        <v>nincs főkönyvi számla</v>
      </c>
      <c r="R2619" t="str">
        <f>IFERROR(VLOOKUP(K2619,PAR!$V$3:$X$438,3,FALSE),"000000 - Nincs COFOG")</f>
        <v>000000 - Nincs COFOG</v>
      </c>
      <c r="S2619">
        <f t="shared" si="772"/>
        <v>0</v>
      </c>
      <c r="T2619">
        <f t="shared" si="773"/>
        <v>0</v>
      </c>
      <c r="U2619" t="str">
        <f>IF('906MP'!J2319&gt;0,CONCATENATE('906MP'!J2319," - ",'906MP'!P2319,", ",'906MP'!E2319),"nincs megjegyzés")</f>
        <v>nincs megjegyzés</v>
      </c>
      <c r="V2619" t="str">
        <f t="shared" si="760"/>
        <v>0P0</v>
      </c>
      <c r="W2619" t="str">
        <f t="shared" si="761"/>
        <v>0P0</v>
      </c>
      <c r="X2619" t="str">
        <f t="shared" si="762"/>
        <v>P0</v>
      </c>
      <c r="Y2619" t="str">
        <f t="shared" si="763"/>
        <v>00</v>
      </c>
      <c r="Z2619" t="str">
        <f t="shared" si="774"/>
        <v>00</v>
      </c>
      <c r="AA2619" t="str">
        <f t="shared" si="764"/>
        <v>00</v>
      </c>
      <c r="AB2619" t="str">
        <f t="shared" si="765"/>
        <v>00</v>
      </c>
      <c r="AC2619" t="str">
        <f t="shared" si="766"/>
        <v>0P0</v>
      </c>
      <c r="AD2619" t="str">
        <f t="shared" si="767"/>
        <v>P00</v>
      </c>
      <c r="AE2619" t="str">
        <f t="shared" si="768"/>
        <v>0P0</v>
      </c>
      <c r="AF2619" t="str">
        <f t="shared" si="769"/>
        <v>P00</v>
      </c>
      <c r="AG2619" t="str">
        <f t="shared" si="775"/>
        <v>0P00</v>
      </c>
      <c r="AH2619" t="str">
        <f t="shared" si="776"/>
        <v>P000</v>
      </c>
      <c r="AI2619" t="str">
        <f t="shared" si="777"/>
        <v>0P00</v>
      </c>
      <c r="AJ2619" t="str">
        <f t="shared" si="778"/>
        <v>P000</v>
      </c>
    </row>
    <row r="2620" spans="1:36" x14ac:dyDescent="0.25">
      <c r="A2620" s="325" t="str">
        <f>CONCATENATE("P",'906MP'!M2320)</f>
        <v>P</v>
      </c>
      <c r="B2620">
        <f>'906MP'!H2320</f>
        <v>0</v>
      </c>
      <c r="C2620">
        <f>'906MP'!J2320</f>
        <v>0</v>
      </c>
      <c r="D2620">
        <f>'906MP'!P2320</f>
        <v>0</v>
      </c>
      <c r="E2620">
        <f>'906MP'!X2320</f>
        <v>0</v>
      </c>
      <c r="F2620" t="str">
        <f t="shared" si="770"/>
        <v>0</v>
      </c>
      <c r="G2620" t="str">
        <f t="shared" si="771"/>
        <v>0</v>
      </c>
      <c r="H2620">
        <f>'906MP'!Y2320</f>
        <v>0</v>
      </c>
      <c r="I2620">
        <f>'906MP'!AK2320</f>
        <v>0</v>
      </c>
      <c r="J2620">
        <f>'906MP'!T2320</f>
        <v>0</v>
      </c>
      <c r="K2620">
        <f>'906MP'!AJ2320</f>
        <v>0</v>
      </c>
      <c r="L2620">
        <f>'906MP'!U2320</f>
        <v>0</v>
      </c>
      <c r="M2620" s="322" t="str">
        <f>IFERROR(VLOOKUP(A2620,PAR!$D$3:$E$53,2,FALSE),"nincs szervezet")</f>
        <v>nincs szervezet</v>
      </c>
      <c r="N2620" s="322" t="str">
        <f>VLOOKUP(F2620,PAR!$R$3:$S$5,2,FALSE)</f>
        <v>3 - egyik sem</v>
      </c>
      <c r="O2620" t="str">
        <f>IFERROR(VLOOKUP(J2620,PAR!$O$3:$P$5,2,FALSE),"nincs feladat")</f>
        <v>nincs feladat</v>
      </c>
      <c r="P2620" t="str">
        <f>IFERROR(VLOOKUP(G2620,PAR!$J$2:$M$19,4),"nincs rovat")</f>
        <v>nincs rovat</v>
      </c>
      <c r="Q2620" t="str">
        <f>IF(H2620&gt;0,VLOOKUP(H2620,PAR!$AA$3:$AC$187,3,FALSE),"nincs főkönyvi számla")</f>
        <v>nincs főkönyvi számla</v>
      </c>
      <c r="R2620" t="str">
        <f>IFERROR(VLOOKUP(K2620,PAR!$V$3:$X$438,3,FALSE),"000000 - Nincs COFOG")</f>
        <v>000000 - Nincs COFOG</v>
      </c>
      <c r="S2620">
        <f t="shared" si="772"/>
        <v>0</v>
      </c>
      <c r="T2620">
        <f t="shared" si="773"/>
        <v>0</v>
      </c>
      <c r="U2620" t="str">
        <f>IF('906MP'!J2320&gt;0,CONCATENATE('906MP'!J2320," - ",'906MP'!P2320,", ",'906MP'!E2320),"nincs megjegyzés")</f>
        <v>nincs megjegyzés</v>
      </c>
      <c r="V2620" t="str">
        <f t="shared" si="760"/>
        <v>0P0</v>
      </c>
      <c r="W2620" t="str">
        <f t="shared" si="761"/>
        <v>0P0</v>
      </c>
      <c r="X2620" t="str">
        <f t="shared" si="762"/>
        <v>P0</v>
      </c>
      <c r="Y2620" t="str">
        <f t="shared" si="763"/>
        <v>00</v>
      </c>
      <c r="Z2620" t="str">
        <f t="shared" si="774"/>
        <v>00</v>
      </c>
      <c r="AA2620" t="str">
        <f t="shared" si="764"/>
        <v>00</v>
      </c>
      <c r="AB2620" t="str">
        <f t="shared" si="765"/>
        <v>00</v>
      </c>
      <c r="AC2620" t="str">
        <f t="shared" si="766"/>
        <v>0P0</v>
      </c>
      <c r="AD2620" t="str">
        <f t="shared" si="767"/>
        <v>P00</v>
      </c>
      <c r="AE2620" t="str">
        <f t="shared" si="768"/>
        <v>0P0</v>
      </c>
      <c r="AF2620" t="str">
        <f t="shared" si="769"/>
        <v>P00</v>
      </c>
      <c r="AG2620" t="str">
        <f t="shared" si="775"/>
        <v>0P00</v>
      </c>
      <c r="AH2620" t="str">
        <f t="shared" si="776"/>
        <v>P000</v>
      </c>
      <c r="AI2620" t="str">
        <f t="shared" si="777"/>
        <v>0P00</v>
      </c>
      <c r="AJ2620" t="str">
        <f t="shared" si="778"/>
        <v>P000</v>
      </c>
    </row>
    <row r="2621" spans="1:36" x14ac:dyDescent="0.25">
      <c r="A2621" s="325" t="str">
        <f>CONCATENATE("P",'906MP'!M2321)</f>
        <v>P</v>
      </c>
      <c r="B2621">
        <f>'906MP'!H2321</f>
        <v>0</v>
      </c>
      <c r="C2621">
        <f>'906MP'!J2321</f>
        <v>0</v>
      </c>
      <c r="D2621">
        <f>'906MP'!P2321</f>
        <v>0</v>
      </c>
      <c r="E2621">
        <f>'906MP'!X2321</f>
        <v>0</v>
      </c>
      <c r="F2621" t="str">
        <f t="shared" si="770"/>
        <v>0</v>
      </c>
      <c r="G2621" t="str">
        <f t="shared" si="771"/>
        <v>0</v>
      </c>
      <c r="H2621">
        <f>'906MP'!Y2321</f>
        <v>0</v>
      </c>
      <c r="I2621">
        <f>'906MP'!AK2321</f>
        <v>0</v>
      </c>
      <c r="J2621">
        <f>'906MP'!T2321</f>
        <v>0</v>
      </c>
      <c r="K2621">
        <f>'906MP'!AJ2321</f>
        <v>0</v>
      </c>
      <c r="L2621">
        <f>'906MP'!U2321</f>
        <v>0</v>
      </c>
      <c r="M2621" s="322" t="str">
        <f>IFERROR(VLOOKUP(A2621,PAR!$D$3:$E$53,2,FALSE),"nincs szervezet")</f>
        <v>nincs szervezet</v>
      </c>
      <c r="N2621" s="322" t="str">
        <f>VLOOKUP(F2621,PAR!$R$3:$S$5,2,FALSE)</f>
        <v>3 - egyik sem</v>
      </c>
      <c r="O2621" t="str">
        <f>IFERROR(VLOOKUP(J2621,PAR!$O$3:$P$5,2,FALSE),"nincs feladat")</f>
        <v>nincs feladat</v>
      </c>
      <c r="P2621" t="str">
        <f>IFERROR(VLOOKUP(G2621,PAR!$J$2:$M$19,4),"nincs rovat")</f>
        <v>nincs rovat</v>
      </c>
      <c r="Q2621" t="str">
        <f>IF(H2621&gt;0,VLOOKUP(H2621,PAR!$AA$3:$AC$187,3,FALSE),"nincs főkönyvi számla")</f>
        <v>nincs főkönyvi számla</v>
      </c>
      <c r="R2621" t="str">
        <f>IFERROR(VLOOKUP(K2621,PAR!$V$3:$X$438,3,FALSE),"000000 - Nincs COFOG")</f>
        <v>000000 - Nincs COFOG</v>
      </c>
      <c r="S2621">
        <f t="shared" si="772"/>
        <v>0</v>
      </c>
      <c r="T2621">
        <f t="shared" si="773"/>
        <v>0</v>
      </c>
      <c r="U2621" t="str">
        <f>IF('906MP'!J2321&gt;0,CONCATENATE('906MP'!J2321," - ",'906MP'!P2321,", ",'906MP'!E2321),"nincs megjegyzés")</f>
        <v>nincs megjegyzés</v>
      </c>
      <c r="V2621" t="str">
        <f t="shared" si="760"/>
        <v>0P0</v>
      </c>
      <c r="W2621" t="str">
        <f t="shared" si="761"/>
        <v>0P0</v>
      </c>
      <c r="X2621" t="str">
        <f t="shared" si="762"/>
        <v>P0</v>
      </c>
      <c r="Y2621" t="str">
        <f t="shared" si="763"/>
        <v>00</v>
      </c>
      <c r="Z2621" t="str">
        <f t="shared" si="774"/>
        <v>00</v>
      </c>
      <c r="AA2621" t="str">
        <f t="shared" si="764"/>
        <v>00</v>
      </c>
      <c r="AB2621" t="str">
        <f t="shared" si="765"/>
        <v>00</v>
      </c>
      <c r="AC2621" t="str">
        <f t="shared" si="766"/>
        <v>0P0</v>
      </c>
      <c r="AD2621" t="str">
        <f t="shared" si="767"/>
        <v>P00</v>
      </c>
      <c r="AE2621" t="str">
        <f t="shared" si="768"/>
        <v>0P0</v>
      </c>
      <c r="AF2621" t="str">
        <f t="shared" si="769"/>
        <v>P00</v>
      </c>
      <c r="AG2621" t="str">
        <f t="shared" si="775"/>
        <v>0P00</v>
      </c>
      <c r="AH2621" t="str">
        <f t="shared" si="776"/>
        <v>P000</v>
      </c>
      <c r="AI2621" t="str">
        <f t="shared" si="777"/>
        <v>0P00</v>
      </c>
      <c r="AJ2621" t="str">
        <f t="shared" si="778"/>
        <v>P000</v>
      </c>
    </row>
    <row r="2622" spans="1:36" x14ac:dyDescent="0.25">
      <c r="A2622" s="325" t="str">
        <f>CONCATENATE("P",'906MP'!M2322)</f>
        <v>P</v>
      </c>
      <c r="B2622">
        <f>'906MP'!H2322</f>
        <v>0</v>
      </c>
      <c r="C2622">
        <f>'906MP'!J2322</f>
        <v>0</v>
      </c>
      <c r="D2622">
        <f>'906MP'!P2322</f>
        <v>0</v>
      </c>
      <c r="E2622">
        <f>'906MP'!X2322</f>
        <v>0</v>
      </c>
      <c r="F2622" t="str">
        <f t="shared" si="770"/>
        <v>0</v>
      </c>
      <c r="G2622" t="str">
        <f t="shared" si="771"/>
        <v>0</v>
      </c>
      <c r="H2622">
        <f>'906MP'!Y2322</f>
        <v>0</v>
      </c>
      <c r="I2622">
        <f>'906MP'!AK2322</f>
        <v>0</v>
      </c>
      <c r="J2622">
        <f>'906MP'!T2322</f>
        <v>0</v>
      </c>
      <c r="K2622">
        <f>'906MP'!AJ2322</f>
        <v>0</v>
      </c>
      <c r="L2622">
        <f>'906MP'!U2322</f>
        <v>0</v>
      </c>
      <c r="M2622" s="322" t="str">
        <f>IFERROR(VLOOKUP(A2622,PAR!$D$3:$E$53,2,FALSE),"nincs szervezet")</f>
        <v>nincs szervezet</v>
      </c>
      <c r="N2622" s="322" t="str">
        <f>VLOOKUP(F2622,PAR!$R$3:$S$5,2,FALSE)</f>
        <v>3 - egyik sem</v>
      </c>
      <c r="O2622" t="str">
        <f>IFERROR(VLOOKUP(J2622,PAR!$O$3:$P$5,2,FALSE),"nincs feladat")</f>
        <v>nincs feladat</v>
      </c>
      <c r="P2622" t="str">
        <f>IFERROR(VLOOKUP(G2622,PAR!$J$2:$M$19,4),"nincs rovat")</f>
        <v>nincs rovat</v>
      </c>
      <c r="Q2622" t="str">
        <f>IF(H2622&gt;0,VLOOKUP(H2622,PAR!$AA$3:$AC$187,3,FALSE),"nincs főkönyvi számla")</f>
        <v>nincs főkönyvi számla</v>
      </c>
      <c r="R2622" t="str">
        <f>IFERROR(VLOOKUP(K2622,PAR!$V$3:$X$438,3,FALSE),"000000 - Nincs COFOG")</f>
        <v>000000 - Nincs COFOG</v>
      </c>
      <c r="S2622">
        <f t="shared" si="772"/>
        <v>0</v>
      </c>
      <c r="T2622">
        <f t="shared" si="773"/>
        <v>0</v>
      </c>
      <c r="U2622" t="str">
        <f>IF('906MP'!J2322&gt;0,CONCATENATE('906MP'!J2322," - ",'906MP'!P2322,", ",'906MP'!E2322),"nincs megjegyzés")</f>
        <v>nincs megjegyzés</v>
      </c>
      <c r="V2622" t="str">
        <f t="shared" si="760"/>
        <v>0P0</v>
      </c>
      <c r="W2622" t="str">
        <f t="shared" si="761"/>
        <v>0P0</v>
      </c>
      <c r="X2622" t="str">
        <f t="shared" si="762"/>
        <v>P0</v>
      </c>
      <c r="Y2622" t="str">
        <f t="shared" si="763"/>
        <v>00</v>
      </c>
      <c r="Z2622" t="str">
        <f t="shared" si="774"/>
        <v>00</v>
      </c>
      <c r="AA2622" t="str">
        <f t="shared" si="764"/>
        <v>00</v>
      </c>
      <c r="AB2622" t="str">
        <f t="shared" si="765"/>
        <v>00</v>
      </c>
      <c r="AC2622" t="str">
        <f t="shared" si="766"/>
        <v>0P0</v>
      </c>
      <c r="AD2622" t="str">
        <f t="shared" si="767"/>
        <v>P00</v>
      </c>
      <c r="AE2622" t="str">
        <f t="shared" si="768"/>
        <v>0P0</v>
      </c>
      <c r="AF2622" t="str">
        <f t="shared" si="769"/>
        <v>P00</v>
      </c>
      <c r="AG2622" t="str">
        <f t="shared" si="775"/>
        <v>0P00</v>
      </c>
      <c r="AH2622" t="str">
        <f t="shared" si="776"/>
        <v>P000</v>
      </c>
      <c r="AI2622" t="str">
        <f t="shared" si="777"/>
        <v>0P00</v>
      </c>
      <c r="AJ2622" t="str">
        <f t="shared" si="778"/>
        <v>P000</v>
      </c>
    </row>
    <row r="2623" spans="1:36" x14ac:dyDescent="0.25">
      <c r="A2623" s="325" t="str">
        <f>CONCATENATE("P",'906MP'!M2323)</f>
        <v>P</v>
      </c>
      <c r="B2623">
        <f>'906MP'!H2323</f>
        <v>0</v>
      </c>
      <c r="C2623">
        <f>'906MP'!J2323</f>
        <v>0</v>
      </c>
      <c r="D2623">
        <f>'906MP'!P2323</f>
        <v>0</v>
      </c>
      <c r="E2623">
        <f>'906MP'!X2323</f>
        <v>0</v>
      </c>
      <c r="F2623" t="str">
        <f t="shared" si="770"/>
        <v>0</v>
      </c>
      <c r="G2623" t="str">
        <f t="shared" si="771"/>
        <v>0</v>
      </c>
      <c r="H2623">
        <f>'906MP'!Y2323</f>
        <v>0</v>
      </c>
      <c r="I2623">
        <f>'906MP'!AK2323</f>
        <v>0</v>
      </c>
      <c r="J2623">
        <f>'906MP'!T2323</f>
        <v>0</v>
      </c>
      <c r="K2623">
        <f>'906MP'!AJ2323</f>
        <v>0</v>
      </c>
      <c r="L2623">
        <f>'906MP'!U2323</f>
        <v>0</v>
      </c>
      <c r="M2623" s="322" t="str">
        <f>IFERROR(VLOOKUP(A2623,PAR!$D$3:$E$53,2,FALSE),"nincs szervezet")</f>
        <v>nincs szervezet</v>
      </c>
      <c r="N2623" s="322" t="str">
        <f>VLOOKUP(F2623,PAR!$R$3:$S$5,2,FALSE)</f>
        <v>3 - egyik sem</v>
      </c>
      <c r="O2623" t="str">
        <f>IFERROR(VLOOKUP(J2623,PAR!$O$3:$P$5,2,FALSE),"nincs feladat")</f>
        <v>nincs feladat</v>
      </c>
      <c r="P2623" t="str">
        <f>IFERROR(VLOOKUP(G2623,PAR!$J$2:$M$19,4),"nincs rovat")</f>
        <v>nincs rovat</v>
      </c>
      <c r="Q2623" t="str">
        <f>IF(H2623&gt;0,VLOOKUP(H2623,PAR!$AA$3:$AC$187,3,FALSE),"nincs főkönyvi számla")</f>
        <v>nincs főkönyvi számla</v>
      </c>
      <c r="R2623" t="str">
        <f>IFERROR(VLOOKUP(K2623,PAR!$V$3:$X$438,3,FALSE),"000000 - Nincs COFOG")</f>
        <v>000000 - Nincs COFOG</v>
      </c>
      <c r="S2623">
        <f t="shared" si="772"/>
        <v>0</v>
      </c>
      <c r="T2623">
        <f t="shared" si="773"/>
        <v>0</v>
      </c>
      <c r="U2623" t="str">
        <f>IF('906MP'!J2323&gt;0,CONCATENATE('906MP'!J2323," - ",'906MP'!P2323,", ",'906MP'!E2323),"nincs megjegyzés")</f>
        <v>nincs megjegyzés</v>
      </c>
      <c r="V2623" t="str">
        <f t="shared" si="760"/>
        <v>0P0</v>
      </c>
      <c r="W2623" t="str">
        <f t="shared" si="761"/>
        <v>0P0</v>
      </c>
      <c r="X2623" t="str">
        <f t="shared" si="762"/>
        <v>P0</v>
      </c>
      <c r="Y2623" t="str">
        <f t="shared" si="763"/>
        <v>00</v>
      </c>
      <c r="Z2623" t="str">
        <f t="shared" si="774"/>
        <v>00</v>
      </c>
      <c r="AA2623" t="str">
        <f t="shared" si="764"/>
        <v>00</v>
      </c>
      <c r="AB2623" t="str">
        <f t="shared" si="765"/>
        <v>00</v>
      </c>
      <c r="AC2623" t="str">
        <f t="shared" si="766"/>
        <v>0P0</v>
      </c>
      <c r="AD2623" t="str">
        <f t="shared" si="767"/>
        <v>P00</v>
      </c>
      <c r="AE2623" t="str">
        <f t="shared" si="768"/>
        <v>0P0</v>
      </c>
      <c r="AF2623" t="str">
        <f t="shared" si="769"/>
        <v>P00</v>
      </c>
      <c r="AG2623" t="str">
        <f t="shared" si="775"/>
        <v>0P00</v>
      </c>
      <c r="AH2623" t="str">
        <f t="shared" si="776"/>
        <v>P000</v>
      </c>
      <c r="AI2623" t="str">
        <f t="shared" si="777"/>
        <v>0P00</v>
      </c>
      <c r="AJ2623" t="str">
        <f t="shared" si="778"/>
        <v>P000</v>
      </c>
    </row>
    <row r="2624" spans="1:36" x14ac:dyDescent="0.25">
      <c r="A2624" s="325" t="str">
        <f>CONCATENATE("P",'906MP'!M2324)</f>
        <v>P</v>
      </c>
      <c r="B2624">
        <f>'906MP'!H2324</f>
        <v>0</v>
      </c>
      <c r="C2624">
        <f>'906MP'!J2324</f>
        <v>0</v>
      </c>
      <c r="D2624">
        <f>'906MP'!P2324</f>
        <v>0</v>
      </c>
      <c r="E2624">
        <f>'906MP'!X2324</f>
        <v>0</v>
      </c>
      <c r="F2624" t="str">
        <f t="shared" si="770"/>
        <v>0</v>
      </c>
      <c r="G2624" t="str">
        <f t="shared" si="771"/>
        <v>0</v>
      </c>
      <c r="H2624">
        <f>'906MP'!Y2324</f>
        <v>0</v>
      </c>
      <c r="I2624">
        <f>'906MP'!AK2324</f>
        <v>0</v>
      </c>
      <c r="J2624">
        <f>'906MP'!T2324</f>
        <v>0</v>
      </c>
      <c r="K2624">
        <f>'906MP'!AJ2324</f>
        <v>0</v>
      </c>
      <c r="L2624">
        <f>'906MP'!U2324</f>
        <v>0</v>
      </c>
      <c r="M2624" s="322" t="str">
        <f>IFERROR(VLOOKUP(A2624,PAR!$D$3:$E$53,2,FALSE),"nincs szervezet")</f>
        <v>nincs szervezet</v>
      </c>
      <c r="N2624" s="322" t="str">
        <f>VLOOKUP(F2624,PAR!$R$3:$S$5,2,FALSE)</f>
        <v>3 - egyik sem</v>
      </c>
      <c r="O2624" t="str">
        <f>IFERROR(VLOOKUP(J2624,PAR!$O$3:$P$5,2,FALSE),"nincs feladat")</f>
        <v>nincs feladat</v>
      </c>
      <c r="P2624" t="str">
        <f>IFERROR(VLOOKUP(G2624,PAR!$J$2:$M$19,4),"nincs rovat")</f>
        <v>nincs rovat</v>
      </c>
      <c r="Q2624" t="str">
        <f>IF(H2624&gt;0,VLOOKUP(H2624,PAR!$AA$3:$AC$187,3,FALSE),"nincs főkönyvi számla")</f>
        <v>nincs főkönyvi számla</v>
      </c>
      <c r="R2624" t="str">
        <f>IFERROR(VLOOKUP(K2624,PAR!$V$3:$X$438,3,FALSE),"000000 - Nincs COFOG")</f>
        <v>000000 - Nincs COFOG</v>
      </c>
      <c r="S2624">
        <f t="shared" si="772"/>
        <v>0</v>
      </c>
      <c r="T2624">
        <f t="shared" si="773"/>
        <v>0</v>
      </c>
      <c r="U2624" t="str">
        <f>IF('906MP'!J2324&gt;0,CONCATENATE('906MP'!J2324," - ",'906MP'!P2324,", ",'906MP'!E2324),"nincs megjegyzés")</f>
        <v>nincs megjegyzés</v>
      </c>
      <c r="V2624" t="str">
        <f t="shared" si="760"/>
        <v>0P0</v>
      </c>
      <c r="W2624" t="str">
        <f t="shared" si="761"/>
        <v>0P0</v>
      </c>
      <c r="X2624" t="str">
        <f t="shared" si="762"/>
        <v>P0</v>
      </c>
      <c r="Y2624" t="str">
        <f t="shared" si="763"/>
        <v>00</v>
      </c>
      <c r="Z2624" t="str">
        <f t="shared" si="774"/>
        <v>00</v>
      </c>
      <c r="AA2624" t="str">
        <f t="shared" si="764"/>
        <v>00</v>
      </c>
      <c r="AB2624" t="str">
        <f t="shared" si="765"/>
        <v>00</v>
      </c>
      <c r="AC2624" t="str">
        <f t="shared" si="766"/>
        <v>0P0</v>
      </c>
      <c r="AD2624" t="str">
        <f t="shared" si="767"/>
        <v>P00</v>
      </c>
      <c r="AE2624" t="str">
        <f t="shared" si="768"/>
        <v>0P0</v>
      </c>
      <c r="AF2624" t="str">
        <f t="shared" si="769"/>
        <v>P00</v>
      </c>
      <c r="AG2624" t="str">
        <f t="shared" si="775"/>
        <v>0P00</v>
      </c>
      <c r="AH2624" t="str">
        <f t="shared" si="776"/>
        <v>P000</v>
      </c>
      <c r="AI2624" t="str">
        <f t="shared" si="777"/>
        <v>0P00</v>
      </c>
      <c r="AJ2624" t="str">
        <f t="shared" si="778"/>
        <v>P000</v>
      </c>
    </row>
    <row r="2625" spans="1:36" x14ac:dyDescent="0.25">
      <c r="A2625" s="325" t="str">
        <f>CONCATENATE("P",'906MP'!M2325)</f>
        <v>P</v>
      </c>
      <c r="B2625">
        <f>'906MP'!H2325</f>
        <v>0</v>
      </c>
      <c r="C2625">
        <f>'906MP'!J2325</f>
        <v>0</v>
      </c>
      <c r="D2625">
        <f>'906MP'!P2325</f>
        <v>0</v>
      </c>
      <c r="E2625">
        <f>'906MP'!X2325</f>
        <v>0</v>
      </c>
      <c r="F2625" t="str">
        <f t="shared" si="770"/>
        <v>0</v>
      </c>
      <c r="G2625" t="str">
        <f t="shared" si="771"/>
        <v>0</v>
      </c>
      <c r="H2625">
        <f>'906MP'!Y2325</f>
        <v>0</v>
      </c>
      <c r="I2625">
        <f>'906MP'!AK2325</f>
        <v>0</v>
      </c>
      <c r="J2625">
        <f>'906MP'!T2325</f>
        <v>0</v>
      </c>
      <c r="K2625">
        <f>'906MP'!AJ2325</f>
        <v>0</v>
      </c>
      <c r="L2625">
        <f>'906MP'!U2325</f>
        <v>0</v>
      </c>
      <c r="M2625" s="322" t="str">
        <f>IFERROR(VLOOKUP(A2625,PAR!$D$3:$E$53,2,FALSE),"nincs szervezet")</f>
        <v>nincs szervezet</v>
      </c>
      <c r="N2625" s="322" t="str">
        <f>VLOOKUP(F2625,PAR!$R$3:$S$5,2,FALSE)</f>
        <v>3 - egyik sem</v>
      </c>
      <c r="O2625" t="str">
        <f>IFERROR(VLOOKUP(J2625,PAR!$O$3:$P$5,2,FALSE),"nincs feladat")</f>
        <v>nincs feladat</v>
      </c>
      <c r="P2625" t="str">
        <f>IFERROR(VLOOKUP(G2625,PAR!$J$2:$M$19,4),"nincs rovat")</f>
        <v>nincs rovat</v>
      </c>
      <c r="Q2625" t="str">
        <f>IF(H2625&gt;0,VLOOKUP(H2625,PAR!$AA$3:$AC$187,3,FALSE),"nincs főkönyvi számla")</f>
        <v>nincs főkönyvi számla</v>
      </c>
      <c r="R2625" t="str">
        <f>IFERROR(VLOOKUP(K2625,PAR!$V$3:$X$438,3,FALSE),"000000 - Nincs COFOG")</f>
        <v>000000 - Nincs COFOG</v>
      </c>
      <c r="S2625">
        <f t="shared" si="772"/>
        <v>0</v>
      </c>
      <c r="T2625">
        <f t="shared" si="773"/>
        <v>0</v>
      </c>
      <c r="U2625" t="str">
        <f>IF('906MP'!J2325&gt;0,CONCATENATE('906MP'!J2325," - ",'906MP'!P2325,", ",'906MP'!E2325),"nincs megjegyzés")</f>
        <v>nincs megjegyzés</v>
      </c>
      <c r="V2625" t="str">
        <f t="shared" si="760"/>
        <v>0P0</v>
      </c>
      <c r="W2625" t="str">
        <f t="shared" si="761"/>
        <v>0P0</v>
      </c>
      <c r="X2625" t="str">
        <f t="shared" si="762"/>
        <v>P0</v>
      </c>
      <c r="Y2625" t="str">
        <f t="shared" si="763"/>
        <v>00</v>
      </c>
      <c r="Z2625" t="str">
        <f t="shared" si="774"/>
        <v>00</v>
      </c>
      <c r="AA2625" t="str">
        <f t="shared" si="764"/>
        <v>00</v>
      </c>
      <c r="AB2625" t="str">
        <f t="shared" si="765"/>
        <v>00</v>
      </c>
      <c r="AC2625" t="str">
        <f t="shared" si="766"/>
        <v>0P0</v>
      </c>
      <c r="AD2625" t="str">
        <f t="shared" si="767"/>
        <v>P00</v>
      </c>
      <c r="AE2625" t="str">
        <f t="shared" si="768"/>
        <v>0P0</v>
      </c>
      <c r="AF2625" t="str">
        <f t="shared" si="769"/>
        <v>P00</v>
      </c>
      <c r="AG2625" t="str">
        <f t="shared" si="775"/>
        <v>0P00</v>
      </c>
      <c r="AH2625" t="str">
        <f t="shared" si="776"/>
        <v>P000</v>
      </c>
      <c r="AI2625" t="str">
        <f t="shared" si="777"/>
        <v>0P00</v>
      </c>
      <c r="AJ2625" t="str">
        <f t="shared" si="778"/>
        <v>P000</v>
      </c>
    </row>
    <row r="2626" spans="1:36" x14ac:dyDescent="0.25">
      <c r="A2626" s="325" t="str">
        <f>CONCATENATE("P",'906MP'!M2326)</f>
        <v>P</v>
      </c>
      <c r="B2626">
        <f>'906MP'!H2326</f>
        <v>0</v>
      </c>
      <c r="C2626">
        <f>'906MP'!J2326</f>
        <v>0</v>
      </c>
      <c r="D2626">
        <f>'906MP'!P2326</f>
        <v>0</v>
      </c>
      <c r="E2626">
        <f>'906MP'!X2326</f>
        <v>0</v>
      </c>
      <c r="F2626" t="str">
        <f t="shared" si="770"/>
        <v>0</v>
      </c>
      <c r="G2626" t="str">
        <f t="shared" si="771"/>
        <v>0</v>
      </c>
      <c r="H2626">
        <f>'906MP'!Y2326</f>
        <v>0</v>
      </c>
      <c r="I2626">
        <f>'906MP'!AK2326</f>
        <v>0</v>
      </c>
      <c r="J2626">
        <f>'906MP'!T2326</f>
        <v>0</v>
      </c>
      <c r="K2626">
        <f>'906MP'!AJ2326</f>
        <v>0</v>
      </c>
      <c r="L2626">
        <f>'906MP'!U2326</f>
        <v>0</v>
      </c>
      <c r="M2626" s="322" t="str">
        <f>IFERROR(VLOOKUP(A2626,PAR!$D$3:$E$53,2,FALSE),"nincs szervezet")</f>
        <v>nincs szervezet</v>
      </c>
      <c r="N2626" s="322" t="str">
        <f>VLOOKUP(F2626,PAR!$R$3:$S$5,2,FALSE)</f>
        <v>3 - egyik sem</v>
      </c>
      <c r="O2626" t="str">
        <f>IFERROR(VLOOKUP(J2626,PAR!$O$3:$P$5,2,FALSE),"nincs feladat")</f>
        <v>nincs feladat</v>
      </c>
      <c r="P2626" t="str">
        <f>IFERROR(VLOOKUP(G2626,PAR!$J$2:$M$19,4),"nincs rovat")</f>
        <v>nincs rovat</v>
      </c>
      <c r="Q2626" t="str">
        <f>IF(H2626&gt;0,VLOOKUP(H2626,PAR!$AA$3:$AC$187,3,FALSE),"nincs főkönyvi számla")</f>
        <v>nincs főkönyvi számla</v>
      </c>
      <c r="R2626" t="str">
        <f>IFERROR(VLOOKUP(K2626,PAR!$V$3:$X$438,3,FALSE),"000000 - Nincs COFOG")</f>
        <v>000000 - Nincs COFOG</v>
      </c>
      <c r="S2626">
        <f t="shared" si="772"/>
        <v>0</v>
      </c>
      <c r="T2626">
        <f t="shared" si="773"/>
        <v>0</v>
      </c>
      <c r="U2626" t="str">
        <f>IF('906MP'!J2326&gt;0,CONCATENATE('906MP'!J2326," - ",'906MP'!P2326,", ",'906MP'!E2326),"nincs megjegyzés")</f>
        <v>nincs megjegyzés</v>
      </c>
      <c r="V2626" t="str">
        <f t="shared" ref="V2626:V2689" si="779">CONCATENATE(B2626,A2626,G2626)</f>
        <v>0P0</v>
      </c>
      <c r="W2626" t="str">
        <f t="shared" ref="W2626:W2689" si="780">CONCATENATE(B2626,A2626,F2626)</f>
        <v>0P0</v>
      </c>
      <c r="X2626" t="str">
        <f t="shared" ref="X2626:X2689" si="781">CONCATENATE(A2626,H2626)</f>
        <v>P0</v>
      </c>
      <c r="Y2626" t="str">
        <f t="shared" ref="Y2626:Y2689" si="782">CONCATENATE(B2626,H2626)</f>
        <v>00</v>
      </c>
      <c r="Z2626" t="str">
        <f t="shared" si="774"/>
        <v>00</v>
      </c>
      <c r="AA2626" t="str">
        <f t="shared" ref="AA2626:AA2689" si="783">CONCATENATE(B2626,G2626)</f>
        <v>00</v>
      </c>
      <c r="AB2626" t="str">
        <f t="shared" ref="AB2626:AB2689" si="784">CONCATENATE(J2626,G2626)</f>
        <v>00</v>
      </c>
      <c r="AC2626" t="str">
        <f t="shared" ref="AC2626:AC2689" si="785">CONCATENATE(B2626,A2626,H2626)</f>
        <v>0P0</v>
      </c>
      <c r="AD2626" t="str">
        <f t="shared" ref="AD2626:AD2689" si="786">CONCATENATE(A2626,H2626,J2626)</f>
        <v>P00</v>
      </c>
      <c r="AE2626" t="str">
        <f t="shared" ref="AE2626:AE2689" si="787">CONCATENATE(B2626,A2626,G2626)</f>
        <v>0P0</v>
      </c>
      <c r="AF2626" t="str">
        <f t="shared" ref="AF2626:AF2689" si="788">CONCATENATE(A2626,G2626,J2626)</f>
        <v>P00</v>
      </c>
      <c r="AG2626" t="str">
        <f t="shared" si="775"/>
        <v>0P00</v>
      </c>
      <c r="AH2626" t="str">
        <f t="shared" si="776"/>
        <v>P000</v>
      </c>
      <c r="AI2626" t="str">
        <f t="shared" si="777"/>
        <v>0P00</v>
      </c>
      <c r="AJ2626" t="str">
        <f t="shared" si="778"/>
        <v>P000</v>
      </c>
    </row>
    <row r="2627" spans="1:36" x14ac:dyDescent="0.25">
      <c r="A2627" s="325" t="str">
        <f>CONCATENATE("P",'906MP'!M2327)</f>
        <v>P</v>
      </c>
      <c r="B2627">
        <f>'906MP'!H2327</f>
        <v>0</v>
      </c>
      <c r="C2627">
        <f>'906MP'!J2327</f>
        <v>0</v>
      </c>
      <c r="D2627">
        <f>'906MP'!P2327</f>
        <v>0</v>
      </c>
      <c r="E2627">
        <f>'906MP'!X2327</f>
        <v>0</v>
      </c>
      <c r="F2627" t="str">
        <f t="shared" ref="F2627:F2690" si="789">LEFT(G2627,2)</f>
        <v>0</v>
      </c>
      <c r="G2627" t="str">
        <f t="shared" ref="G2627:G2690" si="790">LEFT(H2627,3)</f>
        <v>0</v>
      </c>
      <c r="H2627">
        <f>'906MP'!Y2327</f>
        <v>0</v>
      </c>
      <c r="I2627">
        <f>'906MP'!AK2327</f>
        <v>0</v>
      </c>
      <c r="J2627">
        <f>'906MP'!T2327</f>
        <v>0</v>
      </c>
      <c r="K2627">
        <f>'906MP'!AJ2327</f>
        <v>0</v>
      </c>
      <c r="L2627">
        <f>'906MP'!U2327</f>
        <v>0</v>
      </c>
      <c r="M2627" s="322" t="str">
        <f>IFERROR(VLOOKUP(A2627,PAR!$D$3:$E$53,2,FALSE),"nincs szervezet")</f>
        <v>nincs szervezet</v>
      </c>
      <c r="N2627" s="322" t="str">
        <f>VLOOKUP(F2627,PAR!$R$3:$S$5,2,FALSE)</f>
        <v>3 - egyik sem</v>
      </c>
      <c r="O2627" t="str">
        <f>IFERROR(VLOOKUP(J2627,PAR!$O$3:$P$5,2,FALSE),"nincs feladat")</f>
        <v>nincs feladat</v>
      </c>
      <c r="P2627" t="str">
        <f>IFERROR(VLOOKUP(G2627,PAR!$J$2:$M$19,4),"nincs rovat")</f>
        <v>nincs rovat</v>
      </c>
      <c r="Q2627" t="str">
        <f>IF(H2627&gt;0,VLOOKUP(H2627,PAR!$AA$3:$AC$187,3,FALSE),"nincs főkönyvi számla")</f>
        <v>nincs főkönyvi számla</v>
      </c>
      <c r="R2627" t="str">
        <f>IFERROR(VLOOKUP(K2627,PAR!$V$3:$X$438,3,FALSE),"000000 - Nincs COFOG")</f>
        <v>000000 - Nincs COFOG</v>
      </c>
      <c r="S2627">
        <f t="shared" ref="S2627:S2690" si="791">E2627</f>
        <v>0</v>
      </c>
      <c r="T2627">
        <f t="shared" ref="T2627:T2690" si="792">IF(F2627="09",E2627*-1,E2627)</f>
        <v>0</v>
      </c>
      <c r="U2627" t="str">
        <f>IF('906MP'!J2327&gt;0,CONCATENATE('906MP'!J2327," - ",'906MP'!P2327,", ",'906MP'!E2327),"nincs megjegyzés")</f>
        <v>nincs megjegyzés</v>
      </c>
      <c r="V2627" t="str">
        <f t="shared" si="779"/>
        <v>0P0</v>
      </c>
      <c r="W2627" t="str">
        <f t="shared" si="780"/>
        <v>0P0</v>
      </c>
      <c r="X2627" t="str">
        <f t="shared" si="781"/>
        <v>P0</v>
      </c>
      <c r="Y2627" t="str">
        <f t="shared" si="782"/>
        <v>00</v>
      </c>
      <c r="Z2627" t="str">
        <f t="shared" ref="Z2627:Z2690" si="793">CONCATENATE(J2627,H2627)</f>
        <v>00</v>
      </c>
      <c r="AA2627" t="str">
        <f t="shared" si="783"/>
        <v>00</v>
      </c>
      <c r="AB2627" t="str">
        <f t="shared" si="784"/>
        <v>00</v>
      </c>
      <c r="AC2627" t="str">
        <f t="shared" si="785"/>
        <v>0P0</v>
      </c>
      <c r="AD2627" t="str">
        <f t="shared" si="786"/>
        <v>P00</v>
      </c>
      <c r="AE2627" t="str">
        <f t="shared" si="787"/>
        <v>0P0</v>
      </c>
      <c r="AF2627" t="str">
        <f t="shared" si="788"/>
        <v>P00</v>
      </c>
      <c r="AG2627" t="str">
        <f t="shared" ref="AG2627:AG2690" si="794">CONCATENATE(B2627,A2627,H2627,L2627)</f>
        <v>0P00</v>
      </c>
      <c r="AH2627" t="str">
        <f t="shared" ref="AH2627:AH2690" si="795">CONCATENATE(A2627,J2627,H2627,L2627)</f>
        <v>P000</v>
      </c>
      <c r="AI2627" t="str">
        <f t="shared" ref="AI2627:AI2690" si="796">CONCATENATE(B2627,A2627,G2627,L2627)</f>
        <v>0P00</v>
      </c>
      <c r="AJ2627" t="str">
        <f t="shared" ref="AJ2627:AJ2690" si="797">CONCATENATE(A2627,G2627,J2627,L2627)</f>
        <v>P000</v>
      </c>
    </row>
    <row r="2628" spans="1:36" x14ac:dyDescent="0.25">
      <c r="A2628" s="325" t="str">
        <f>CONCATENATE("P",'906MP'!M2328)</f>
        <v>P</v>
      </c>
      <c r="B2628">
        <f>'906MP'!H2328</f>
        <v>0</v>
      </c>
      <c r="C2628">
        <f>'906MP'!J2328</f>
        <v>0</v>
      </c>
      <c r="D2628">
        <f>'906MP'!P2328</f>
        <v>0</v>
      </c>
      <c r="E2628">
        <f>'906MP'!X2328</f>
        <v>0</v>
      </c>
      <c r="F2628" t="str">
        <f t="shared" si="789"/>
        <v>0</v>
      </c>
      <c r="G2628" t="str">
        <f t="shared" si="790"/>
        <v>0</v>
      </c>
      <c r="H2628">
        <f>'906MP'!Y2328</f>
        <v>0</v>
      </c>
      <c r="I2628">
        <f>'906MP'!AK2328</f>
        <v>0</v>
      </c>
      <c r="J2628">
        <f>'906MP'!T2328</f>
        <v>0</v>
      </c>
      <c r="K2628">
        <f>'906MP'!AJ2328</f>
        <v>0</v>
      </c>
      <c r="L2628">
        <f>'906MP'!U2328</f>
        <v>0</v>
      </c>
      <c r="M2628" s="322" t="str">
        <f>IFERROR(VLOOKUP(A2628,PAR!$D$3:$E$53,2,FALSE),"nincs szervezet")</f>
        <v>nincs szervezet</v>
      </c>
      <c r="N2628" s="322" t="str">
        <f>VLOOKUP(F2628,PAR!$R$3:$S$5,2,FALSE)</f>
        <v>3 - egyik sem</v>
      </c>
      <c r="O2628" t="str">
        <f>IFERROR(VLOOKUP(J2628,PAR!$O$3:$P$5,2,FALSE),"nincs feladat")</f>
        <v>nincs feladat</v>
      </c>
      <c r="P2628" t="str">
        <f>IFERROR(VLOOKUP(G2628,PAR!$J$2:$M$19,4),"nincs rovat")</f>
        <v>nincs rovat</v>
      </c>
      <c r="Q2628" t="str">
        <f>IF(H2628&gt;0,VLOOKUP(H2628,PAR!$AA$3:$AC$187,3,FALSE),"nincs főkönyvi számla")</f>
        <v>nincs főkönyvi számla</v>
      </c>
      <c r="R2628" t="str">
        <f>IFERROR(VLOOKUP(K2628,PAR!$V$3:$X$438,3,FALSE),"000000 - Nincs COFOG")</f>
        <v>000000 - Nincs COFOG</v>
      </c>
      <c r="S2628">
        <f t="shared" si="791"/>
        <v>0</v>
      </c>
      <c r="T2628">
        <f t="shared" si="792"/>
        <v>0</v>
      </c>
      <c r="U2628" t="str">
        <f>IF('906MP'!J2328&gt;0,CONCATENATE('906MP'!J2328," - ",'906MP'!P2328,", ",'906MP'!E2328),"nincs megjegyzés")</f>
        <v>nincs megjegyzés</v>
      </c>
      <c r="V2628" t="str">
        <f t="shared" si="779"/>
        <v>0P0</v>
      </c>
      <c r="W2628" t="str">
        <f t="shared" si="780"/>
        <v>0P0</v>
      </c>
      <c r="X2628" t="str">
        <f t="shared" si="781"/>
        <v>P0</v>
      </c>
      <c r="Y2628" t="str">
        <f t="shared" si="782"/>
        <v>00</v>
      </c>
      <c r="Z2628" t="str">
        <f t="shared" si="793"/>
        <v>00</v>
      </c>
      <c r="AA2628" t="str">
        <f t="shared" si="783"/>
        <v>00</v>
      </c>
      <c r="AB2628" t="str">
        <f t="shared" si="784"/>
        <v>00</v>
      </c>
      <c r="AC2628" t="str">
        <f t="shared" si="785"/>
        <v>0P0</v>
      </c>
      <c r="AD2628" t="str">
        <f t="shared" si="786"/>
        <v>P00</v>
      </c>
      <c r="AE2628" t="str">
        <f t="shared" si="787"/>
        <v>0P0</v>
      </c>
      <c r="AF2628" t="str">
        <f t="shared" si="788"/>
        <v>P00</v>
      </c>
      <c r="AG2628" t="str">
        <f t="shared" si="794"/>
        <v>0P00</v>
      </c>
      <c r="AH2628" t="str">
        <f t="shared" si="795"/>
        <v>P000</v>
      </c>
      <c r="AI2628" t="str">
        <f t="shared" si="796"/>
        <v>0P00</v>
      </c>
      <c r="AJ2628" t="str">
        <f t="shared" si="797"/>
        <v>P000</v>
      </c>
    </row>
    <row r="2629" spans="1:36" x14ac:dyDescent="0.25">
      <c r="A2629" s="325" t="str">
        <f>CONCATENATE("P",'906MP'!M2329)</f>
        <v>P</v>
      </c>
      <c r="B2629">
        <f>'906MP'!H2329</f>
        <v>0</v>
      </c>
      <c r="C2629">
        <f>'906MP'!J2329</f>
        <v>0</v>
      </c>
      <c r="D2629">
        <f>'906MP'!P2329</f>
        <v>0</v>
      </c>
      <c r="E2629">
        <f>'906MP'!X2329</f>
        <v>0</v>
      </c>
      <c r="F2629" t="str">
        <f t="shared" si="789"/>
        <v>0</v>
      </c>
      <c r="G2629" t="str">
        <f t="shared" si="790"/>
        <v>0</v>
      </c>
      <c r="H2629">
        <f>'906MP'!Y2329</f>
        <v>0</v>
      </c>
      <c r="I2629">
        <f>'906MP'!AK2329</f>
        <v>0</v>
      </c>
      <c r="J2629">
        <f>'906MP'!T2329</f>
        <v>0</v>
      </c>
      <c r="K2629">
        <f>'906MP'!AJ2329</f>
        <v>0</v>
      </c>
      <c r="L2629">
        <f>'906MP'!U2329</f>
        <v>0</v>
      </c>
      <c r="M2629" s="322" t="str">
        <f>IFERROR(VLOOKUP(A2629,PAR!$D$3:$E$53,2,FALSE),"nincs szervezet")</f>
        <v>nincs szervezet</v>
      </c>
      <c r="N2629" s="322" t="str">
        <f>VLOOKUP(F2629,PAR!$R$3:$S$5,2,FALSE)</f>
        <v>3 - egyik sem</v>
      </c>
      <c r="O2629" t="str">
        <f>IFERROR(VLOOKUP(J2629,PAR!$O$3:$P$5,2,FALSE),"nincs feladat")</f>
        <v>nincs feladat</v>
      </c>
      <c r="P2629" t="str">
        <f>IFERROR(VLOOKUP(G2629,PAR!$J$2:$M$19,4),"nincs rovat")</f>
        <v>nincs rovat</v>
      </c>
      <c r="Q2629" t="str">
        <f>IF(H2629&gt;0,VLOOKUP(H2629,PAR!$AA$3:$AC$187,3,FALSE),"nincs főkönyvi számla")</f>
        <v>nincs főkönyvi számla</v>
      </c>
      <c r="R2629" t="str">
        <f>IFERROR(VLOOKUP(K2629,PAR!$V$3:$X$438,3,FALSE),"000000 - Nincs COFOG")</f>
        <v>000000 - Nincs COFOG</v>
      </c>
      <c r="S2629">
        <f t="shared" si="791"/>
        <v>0</v>
      </c>
      <c r="T2629">
        <f t="shared" si="792"/>
        <v>0</v>
      </c>
      <c r="U2629" t="str">
        <f>IF('906MP'!J2329&gt;0,CONCATENATE('906MP'!J2329," - ",'906MP'!P2329,", ",'906MP'!E2329),"nincs megjegyzés")</f>
        <v>nincs megjegyzés</v>
      </c>
      <c r="V2629" t="str">
        <f t="shared" si="779"/>
        <v>0P0</v>
      </c>
      <c r="W2629" t="str">
        <f t="shared" si="780"/>
        <v>0P0</v>
      </c>
      <c r="X2629" t="str">
        <f t="shared" si="781"/>
        <v>P0</v>
      </c>
      <c r="Y2629" t="str">
        <f t="shared" si="782"/>
        <v>00</v>
      </c>
      <c r="Z2629" t="str">
        <f t="shared" si="793"/>
        <v>00</v>
      </c>
      <c r="AA2629" t="str">
        <f t="shared" si="783"/>
        <v>00</v>
      </c>
      <c r="AB2629" t="str">
        <f t="shared" si="784"/>
        <v>00</v>
      </c>
      <c r="AC2629" t="str">
        <f t="shared" si="785"/>
        <v>0P0</v>
      </c>
      <c r="AD2629" t="str">
        <f t="shared" si="786"/>
        <v>P00</v>
      </c>
      <c r="AE2629" t="str">
        <f t="shared" si="787"/>
        <v>0P0</v>
      </c>
      <c r="AF2629" t="str">
        <f t="shared" si="788"/>
        <v>P00</v>
      </c>
      <c r="AG2629" t="str">
        <f t="shared" si="794"/>
        <v>0P00</v>
      </c>
      <c r="AH2629" t="str">
        <f t="shared" si="795"/>
        <v>P000</v>
      </c>
      <c r="AI2629" t="str">
        <f t="shared" si="796"/>
        <v>0P00</v>
      </c>
      <c r="AJ2629" t="str">
        <f t="shared" si="797"/>
        <v>P000</v>
      </c>
    </row>
    <row r="2630" spans="1:36" x14ac:dyDescent="0.25">
      <c r="A2630" s="325" t="str">
        <f>CONCATENATE("P",'906MP'!M2330)</f>
        <v>P</v>
      </c>
      <c r="B2630">
        <f>'906MP'!H2330</f>
        <v>0</v>
      </c>
      <c r="C2630">
        <f>'906MP'!J2330</f>
        <v>0</v>
      </c>
      <c r="D2630">
        <f>'906MP'!P2330</f>
        <v>0</v>
      </c>
      <c r="E2630">
        <f>'906MP'!X2330</f>
        <v>0</v>
      </c>
      <c r="F2630" t="str">
        <f t="shared" si="789"/>
        <v>0</v>
      </c>
      <c r="G2630" t="str">
        <f t="shared" si="790"/>
        <v>0</v>
      </c>
      <c r="H2630">
        <f>'906MP'!Y2330</f>
        <v>0</v>
      </c>
      <c r="I2630">
        <f>'906MP'!AK2330</f>
        <v>0</v>
      </c>
      <c r="J2630">
        <f>'906MP'!T2330</f>
        <v>0</v>
      </c>
      <c r="K2630">
        <f>'906MP'!AJ2330</f>
        <v>0</v>
      </c>
      <c r="L2630">
        <f>'906MP'!U2330</f>
        <v>0</v>
      </c>
      <c r="M2630" s="322" t="str">
        <f>IFERROR(VLOOKUP(A2630,PAR!$D$3:$E$53,2,FALSE),"nincs szervezet")</f>
        <v>nincs szervezet</v>
      </c>
      <c r="N2630" s="322" t="str">
        <f>VLOOKUP(F2630,PAR!$R$3:$S$5,2,FALSE)</f>
        <v>3 - egyik sem</v>
      </c>
      <c r="O2630" t="str">
        <f>IFERROR(VLOOKUP(J2630,PAR!$O$3:$P$5,2,FALSE),"nincs feladat")</f>
        <v>nincs feladat</v>
      </c>
      <c r="P2630" t="str">
        <f>IFERROR(VLOOKUP(G2630,PAR!$J$2:$M$19,4),"nincs rovat")</f>
        <v>nincs rovat</v>
      </c>
      <c r="Q2630" t="str">
        <f>IF(H2630&gt;0,VLOOKUP(H2630,PAR!$AA$3:$AC$187,3,FALSE),"nincs főkönyvi számla")</f>
        <v>nincs főkönyvi számla</v>
      </c>
      <c r="R2630" t="str">
        <f>IFERROR(VLOOKUP(K2630,PAR!$V$3:$X$438,3,FALSE),"000000 - Nincs COFOG")</f>
        <v>000000 - Nincs COFOG</v>
      </c>
      <c r="S2630">
        <f t="shared" si="791"/>
        <v>0</v>
      </c>
      <c r="T2630">
        <f t="shared" si="792"/>
        <v>0</v>
      </c>
      <c r="U2630" t="str">
        <f>IF('906MP'!J2330&gt;0,CONCATENATE('906MP'!J2330," - ",'906MP'!P2330,", ",'906MP'!E2330),"nincs megjegyzés")</f>
        <v>nincs megjegyzés</v>
      </c>
      <c r="V2630" t="str">
        <f t="shared" si="779"/>
        <v>0P0</v>
      </c>
      <c r="W2630" t="str">
        <f t="shared" si="780"/>
        <v>0P0</v>
      </c>
      <c r="X2630" t="str">
        <f t="shared" si="781"/>
        <v>P0</v>
      </c>
      <c r="Y2630" t="str">
        <f t="shared" si="782"/>
        <v>00</v>
      </c>
      <c r="Z2630" t="str">
        <f t="shared" si="793"/>
        <v>00</v>
      </c>
      <c r="AA2630" t="str">
        <f t="shared" si="783"/>
        <v>00</v>
      </c>
      <c r="AB2630" t="str">
        <f t="shared" si="784"/>
        <v>00</v>
      </c>
      <c r="AC2630" t="str">
        <f t="shared" si="785"/>
        <v>0P0</v>
      </c>
      <c r="AD2630" t="str">
        <f t="shared" si="786"/>
        <v>P00</v>
      </c>
      <c r="AE2630" t="str">
        <f t="shared" si="787"/>
        <v>0P0</v>
      </c>
      <c r="AF2630" t="str">
        <f t="shared" si="788"/>
        <v>P00</v>
      </c>
      <c r="AG2630" t="str">
        <f t="shared" si="794"/>
        <v>0P00</v>
      </c>
      <c r="AH2630" t="str">
        <f t="shared" si="795"/>
        <v>P000</v>
      </c>
      <c r="AI2630" t="str">
        <f t="shared" si="796"/>
        <v>0P00</v>
      </c>
      <c r="AJ2630" t="str">
        <f t="shared" si="797"/>
        <v>P000</v>
      </c>
    </row>
    <row r="2631" spans="1:36" x14ac:dyDescent="0.25">
      <c r="A2631" s="325" t="str">
        <f>CONCATENATE("P",'906MP'!M2331)</f>
        <v>P</v>
      </c>
      <c r="B2631">
        <f>'906MP'!H2331</f>
        <v>0</v>
      </c>
      <c r="C2631">
        <f>'906MP'!J2331</f>
        <v>0</v>
      </c>
      <c r="D2631">
        <f>'906MP'!P2331</f>
        <v>0</v>
      </c>
      <c r="E2631">
        <f>'906MP'!X2331</f>
        <v>0</v>
      </c>
      <c r="F2631" t="str">
        <f t="shared" si="789"/>
        <v>0</v>
      </c>
      <c r="G2631" t="str">
        <f t="shared" si="790"/>
        <v>0</v>
      </c>
      <c r="H2631">
        <f>'906MP'!Y2331</f>
        <v>0</v>
      </c>
      <c r="I2631">
        <f>'906MP'!AK2331</f>
        <v>0</v>
      </c>
      <c r="J2631">
        <f>'906MP'!T2331</f>
        <v>0</v>
      </c>
      <c r="K2631">
        <f>'906MP'!AJ2331</f>
        <v>0</v>
      </c>
      <c r="L2631">
        <f>'906MP'!U2331</f>
        <v>0</v>
      </c>
      <c r="M2631" s="322" t="str">
        <f>IFERROR(VLOOKUP(A2631,PAR!$D$3:$E$53,2,FALSE),"nincs szervezet")</f>
        <v>nincs szervezet</v>
      </c>
      <c r="N2631" s="322" t="str">
        <f>VLOOKUP(F2631,PAR!$R$3:$S$5,2,FALSE)</f>
        <v>3 - egyik sem</v>
      </c>
      <c r="O2631" t="str">
        <f>IFERROR(VLOOKUP(J2631,PAR!$O$3:$P$5,2,FALSE),"nincs feladat")</f>
        <v>nincs feladat</v>
      </c>
      <c r="P2631" t="str">
        <f>IFERROR(VLOOKUP(G2631,PAR!$J$2:$M$19,4),"nincs rovat")</f>
        <v>nincs rovat</v>
      </c>
      <c r="Q2631" t="str">
        <f>IF(H2631&gt;0,VLOOKUP(H2631,PAR!$AA$3:$AC$187,3,FALSE),"nincs főkönyvi számla")</f>
        <v>nincs főkönyvi számla</v>
      </c>
      <c r="R2631" t="str">
        <f>IFERROR(VLOOKUP(K2631,PAR!$V$3:$X$438,3,FALSE),"000000 - Nincs COFOG")</f>
        <v>000000 - Nincs COFOG</v>
      </c>
      <c r="S2631">
        <f t="shared" si="791"/>
        <v>0</v>
      </c>
      <c r="T2631">
        <f t="shared" si="792"/>
        <v>0</v>
      </c>
      <c r="U2631" t="str">
        <f>IF('906MP'!J2331&gt;0,CONCATENATE('906MP'!J2331," - ",'906MP'!P2331,", ",'906MP'!E2331),"nincs megjegyzés")</f>
        <v>nincs megjegyzés</v>
      </c>
      <c r="V2631" t="str">
        <f t="shared" si="779"/>
        <v>0P0</v>
      </c>
      <c r="W2631" t="str">
        <f t="shared" si="780"/>
        <v>0P0</v>
      </c>
      <c r="X2631" t="str">
        <f t="shared" si="781"/>
        <v>P0</v>
      </c>
      <c r="Y2631" t="str">
        <f t="shared" si="782"/>
        <v>00</v>
      </c>
      <c r="Z2631" t="str">
        <f t="shared" si="793"/>
        <v>00</v>
      </c>
      <c r="AA2631" t="str">
        <f t="shared" si="783"/>
        <v>00</v>
      </c>
      <c r="AB2631" t="str">
        <f t="shared" si="784"/>
        <v>00</v>
      </c>
      <c r="AC2631" t="str">
        <f t="shared" si="785"/>
        <v>0P0</v>
      </c>
      <c r="AD2631" t="str">
        <f t="shared" si="786"/>
        <v>P00</v>
      </c>
      <c r="AE2631" t="str">
        <f t="shared" si="787"/>
        <v>0P0</v>
      </c>
      <c r="AF2631" t="str">
        <f t="shared" si="788"/>
        <v>P00</v>
      </c>
      <c r="AG2631" t="str">
        <f t="shared" si="794"/>
        <v>0P00</v>
      </c>
      <c r="AH2631" t="str">
        <f t="shared" si="795"/>
        <v>P000</v>
      </c>
      <c r="AI2631" t="str">
        <f t="shared" si="796"/>
        <v>0P00</v>
      </c>
      <c r="AJ2631" t="str">
        <f t="shared" si="797"/>
        <v>P000</v>
      </c>
    </row>
    <row r="2632" spans="1:36" x14ac:dyDescent="0.25">
      <c r="A2632" s="325" t="str">
        <f>CONCATENATE("P",'906MP'!M2332)</f>
        <v>P</v>
      </c>
      <c r="B2632">
        <f>'906MP'!H2332</f>
        <v>0</v>
      </c>
      <c r="C2632">
        <f>'906MP'!J2332</f>
        <v>0</v>
      </c>
      <c r="D2632">
        <f>'906MP'!P2332</f>
        <v>0</v>
      </c>
      <c r="E2632">
        <f>'906MP'!X2332</f>
        <v>0</v>
      </c>
      <c r="F2632" t="str">
        <f t="shared" si="789"/>
        <v>0</v>
      </c>
      <c r="G2632" t="str">
        <f t="shared" si="790"/>
        <v>0</v>
      </c>
      <c r="H2632">
        <f>'906MP'!Y2332</f>
        <v>0</v>
      </c>
      <c r="I2632">
        <f>'906MP'!AK2332</f>
        <v>0</v>
      </c>
      <c r="J2632">
        <f>'906MP'!T2332</f>
        <v>0</v>
      </c>
      <c r="K2632">
        <f>'906MP'!AJ2332</f>
        <v>0</v>
      </c>
      <c r="L2632">
        <f>'906MP'!U2332</f>
        <v>0</v>
      </c>
      <c r="M2632" s="322" t="str">
        <f>IFERROR(VLOOKUP(A2632,PAR!$D$3:$E$53,2,FALSE),"nincs szervezet")</f>
        <v>nincs szervezet</v>
      </c>
      <c r="N2632" s="322" t="str">
        <f>VLOOKUP(F2632,PAR!$R$3:$S$5,2,FALSE)</f>
        <v>3 - egyik sem</v>
      </c>
      <c r="O2632" t="str">
        <f>IFERROR(VLOOKUP(J2632,PAR!$O$3:$P$5,2,FALSE),"nincs feladat")</f>
        <v>nincs feladat</v>
      </c>
      <c r="P2632" t="str">
        <f>IFERROR(VLOOKUP(G2632,PAR!$J$2:$M$19,4),"nincs rovat")</f>
        <v>nincs rovat</v>
      </c>
      <c r="Q2632" t="str">
        <f>IF(H2632&gt;0,VLOOKUP(H2632,PAR!$AA$3:$AC$187,3,FALSE),"nincs főkönyvi számla")</f>
        <v>nincs főkönyvi számla</v>
      </c>
      <c r="R2632" t="str">
        <f>IFERROR(VLOOKUP(K2632,PAR!$V$3:$X$438,3,FALSE),"000000 - Nincs COFOG")</f>
        <v>000000 - Nincs COFOG</v>
      </c>
      <c r="S2632">
        <f t="shared" si="791"/>
        <v>0</v>
      </c>
      <c r="T2632">
        <f t="shared" si="792"/>
        <v>0</v>
      </c>
      <c r="U2632" t="str">
        <f>IF('906MP'!J2332&gt;0,CONCATENATE('906MP'!J2332," - ",'906MP'!P2332,", ",'906MP'!E2332),"nincs megjegyzés")</f>
        <v>nincs megjegyzés</v>
      </c>
      <c r="V2632" t="str">
        <f t="shared" si="779"/>
        <v>0P0</v>
      </c>
      <c r="W2632" t="str">
        <f t="shared" si="780"/>
        <v>0P0</v>
      </c>
      <c r="X2632" t="str">
        <f t="shared" si="781"/>
        <v>P0</v>
      </c>
      <c r="Y2632" t="str">
        <f t="shared" si="782"/>
        <v>00</v>
      </c>
      <c r="Z2632" t="str">
        <f t="shared" si="793"/>
        <v>00</v>
      </c>
      <c r="AA2632" t="str">
        <f t="shared" si="783"/>
        <v>00</v>
      </c>
      <c r="AB2632" t="str">
        <f t="shared" si="784"/>
        <v>00</v>
      </c>
      <c r="AC2632" t="str">
        <f t="shared" si="785"/>
        <v>0P0</v>
      </c>
      <c r="AD2632" t="str">
        <f t="shared" si="786"/>
        <v>P00</v>
      </c>
      <c r="AE2632" t="str">
        <f t="shared" si="787"/>
        <v>0P0</v>
      </c>
      <c r="AF2632" t="str">
        <f t="shared" si="788"/>
        <v>P00</v>
      </c>
      <c r="AG2632" t="str">
        <f t="shared" si="794"/>
        <v>0P00</v>
      </c>
      <c r="AH2632" t="str">
        <f t="shared" si="795"/>
        <v>P000</v>
      </c>
      <c r="AI2632" t="str">
        <f t="shared" si="796"/>
        <v>0P00</v>
      </c>
      <c r="AJ2632" t="str">
        <f t="shared" si="797"/>
        <v>P000</v>
      </c>
    </row>
    <row r="2633" spans="1:36" x14ac:dyDescent="0.25">
      <c r="A2633" s="325" t="str">
        <f>CONCATENATE("P",'906MP'!M2333)</f>
        <v>P</v>
      </c>
      <c r="B2633">
        <f>'906MP'!H2333</f>
        <v>0</v>
      </c>
      <c r="C2633">
        <f>'906MP'!J2333</f>
        <v>0</v>
      </c>
      <c r="D2633">
        <f>'906MP'!P2333</f>
        <v>0</v>
      </c>
      <c r="E2633">
        <f>'906MP'!X2333</f>
        <v>0</v>
      </c>
      <c r="F2633" t="str">
        <f t="shared" si="789"/>
        <v>0</v>
      </c>
      <c r="G2633" t="str">
        <f t="shared" si="790"/>
        <v>0</v>
      </c>
      <c r="H2633">
        <f>'906MP'!Y2333</f>
        <v>0</v>
      </c>
      <c r="I2633">
        <f>'906MP'!AK2333</f>
        <v>0</v>
      </c>
      <c r="J2633">
        <f>'906MP'!T2333</f>
        <v>0</v>
      </c>
      <c r="K2633">
        <f>'906MP'!AJ2333</f>
        <v>0</v>
      </c>
      <c r="L2633">
        <f>'906MP'!U2333</f>
        <v>0</v>
      </c>
      <c r="M2633" s="322" t="str">
        <f>IFERROR(VLOOKUP(A2633,PAR!$D$3:$E$53,2,FALSE),"nincs szervezet")</f>
        <v>nincs szervezet</v>
      </c>
      <c r="N2633" s="322" t="str">
        <f>VLOOKUP(F2633,PAR!$R$3:$S$5,2,FALSE)</f>
        <v>3 - egyik sem</v>
      </c>
      <c r="O2633" t="str">
        <f>IFERROR(VLOOKUP(J2633,PAR!$O$3:$P$5,2,FALSE),"nincs feladat")</f>
        <v>nincs feladat</v>
      </c>
      <c r="P2633" t="str">
        <f>IFERROR(VLOOKUP(G2633,PAR!$J$2:$M$19,4),"nincs rovat")</f>
        <v>nincs rovat</v>
      </c>
      <c r="Q2633" t="str">
        <f>IF(H2633&gt;0,VLOOKUP(H2633,PAR!$AA$3:$AC$187,3,FALSE),"nincs főkönyvi számla")</f>
        <v>nincs főkönyvi számla</v>
      </c>
      <c r="R2633" t="str">
        <f>IFERROR(VLOOKUP(K2633,PAR!$V$3:$X$438,3,FALSE),"000000 - Nincs COFOG")</f>
        <v>000000 - Nincs COFOG</v>
      </c>
      <c r="S2633">
        <f t="shared" si="791"/>
        <v>0</v>
      </c>
      <c r="T2633">
        <f t="shared" si="792"/>
        <v>0</v>
      </c>
      <c r="U2633" t="str">
        <f>IF('906MP'!J2333&gt;0,CONCATENATE('906MP'!J2333," - ",'906MP'!P2333,", ",'906MP'!E2333),"nincs megjegyzés")</f>
        <v>nincs megjegyzés</v>
      </c>
      <c r="V2633" t="str">
        <f t="shared" si="779"/>
        <v>0P0</v>
      </c>
      <c r="W2633" t="str">
        <f t="shared" si="780"/>
        <v>0P0</v>
      </c>
      <c r="X2633" t="str">
        <f t="shared" si="781"/>
        <v>P0</v>
      </c>
      <c r="Y2633" t="str">
        <f t="shared" si="782"/>
        <v>00</v>
      </c>
      <c r="Z2633" t="str">
        <f t="shared" si="793"/>
        <v>00</v>
      </c>
      <c r="AA2633" t="str">
        <f t="shared" si="783"/>
        <v>00</v>
      </c>
      <c r="AB2633" t="str">
        <f t="shared" si="784"/>
        <v>00</v>
      </c>
      <c r="AC2633" t="str">
        <f t="shared" si="785"/>
        <v>0P0</v>
      </c>
      <c r="AD2633" t="str">
        <f t="shared" si="786"/>
        <v>P00</v>
      </c>
      <c r="AE2633" t="str">
        <f t="shared" si="787"/>
        <v>0P0</v>
      </c>
      <c r="AF2633" t="str">
        <f t="shared" si="788"/>
        <v>P00</v>
      </c>
      <c r="AG2633" t="str">
        <f t="shared" si="794"/>
        <v>0P00</v>
      </c>
      <c r="AH2633" t="str">
        <f t="shared" si="795"/>
        <v>P000</v>
      </c>
      <c r="AI2633" t="str">
        <f t="shared" si="796"/>
        <v>0P00</v>
      </c>
      <c r="AJ2633" t="str">
        <f t="shared" si="797"/>
        <v>P000</v>
      </c>
    </row>
    <row r="2634" spans="1:36" x14ac:dyDescent="0.25">
      <c r="A2634" s="325" t="str">
        <f>CONCATENATE("P",'906MP'!M2334)</f>
        <v>P</v>
      </c>
      <c r="B2634">
        <f>'906MP'!H2334</f>
        <v>0</v>
      </c>
      <c r="C2634">
        <f>'906MP'!J2334</f>
        <v>0</v>
      </c>
      <c r="D2634">
        <f>'906MP'!P2334</f>
        <v>0</v>
      </c>
      <c r="E2634">
        <f>'906MP'!X2334</f>
        <v>0</v>
      </c>
      <c r="F2634" t="str">
        <f t="shared" si="789"/>
        <v>0</v>
      </c>
      <c r="G2634" t="str">
        <f t="shared" si="790"/>
        <v>0</v>
      </c>
      <c r="H2634">
        <f>'906MP'!Y2334</f>
        <v>0</v>
      </c>
      <c r="I2634">
        <f>'906MP'!AK2334</f>
        <v>0</v>
      </c>
      <c r="J2634">
        <f>'906MP'!T2334</f>
        <v>0</v>
      </c>
      <c r="K2634">
        <f>'906MP'!AJ2334</f>
        <v>0</v>
      </c>
      <c r="L2634">
        <f>'906MP'!U2334</f>
        <v>0</v>
      </c>
      <c r="M2634" s="322" t="str">
        <f>IFERROR(VLOOKUP(A2634,PAR!$D$3:$E$53,2,FALSE),"nincs szervezet")</f>
        <v>nincs szervezet</v>
      </c>
      <c r="N2634" s="322" t="str">
        <f>VLOOKUP(F2634,PAR!$R$3:$S$5,2,FALSE)</f>
        <v>3 - egyik sem</v>
      </c>
      <c r="O2634" t="str">
        <f>IFERROR(VLOOKUP(J2634,PAR!$O$3:$P$5,2,FALSE),"nincs feladat")</f>
        <v>nincs feladat</v>
      </c>
      <c r="P2634" t="str">
        <f>IFERROR(VLOOKUP(G2634,PAR!$J$2:$M$19,4),"nincs rovat")</f>
        <v>nincs rovat</v>
      </c>
      <c r="Q2634" t="str">
        <f>IF(H2634&gt;0,VLOOKUP(H2634,PAR!$AA$3:$AC$187,3,FALSE),"nincs főkönyvi számla")</f>
        <v>nincs főkönyvi számla</v>
      </c>
      <c r="R2634" t="str">
        <f>IFERROR(VLOOKUP(K2634,PAR!$V$3:$X$438,3,FALSE),"000000 - Nincs COFOG")</f>
        <v>000000 - Nincs COFOG</v>
      </c>
      <c r="S2634">
        <f t="shared" si="791"/>
        <v>0</v>
      </c>
      <c r="T2634">
        <f t="shared" si="792"/>
        <v>0</v>
      </c>
      <c r="U2634" t="str">
        <f>IF('906MP'!J2334&gt;0,CONCATENATE('906MP'!J2334," - ",'906MP'!P2334,", ",'906MP'!E2334),"nincs megjegyzés")</f>
        <v>nincs megjegyzés</v>
      </c>
      <c r="V2634" t="str">
        <f t="shared" si="779"/>
        <v>0P0</v>
      </c>
      <c r="W2634" t="str">
        <f t="shared" si="780"/>
        <v>0P0</v>
      </c>
      <c r="X2634" t="str">
        <f t="shared" si="781"/>
        <v>P0</v>
      </c>
      <c r="Y2634" t="str">
        <f t="shared" si="782"/>
        <v>00</v>
      </c>
      <c r="Z2634" t="str">
        <f t="shared" si="793"/>
        <v>00</v>
      </c>
      <c r="AA2634" t="str">
        <f t="shared" si="783"/>
        <v>00</v>
      </c>
      <c r="AB2634" t="str">
        <f t="shared" si="784"/>
        <v>00</v>
      </c>
      <c r="AC2634" t="str">
        <f t="shared" si="785"/>
        <v>0P0</v>
      </c>
      <c r="AD2634" t="str">
        <f t="shared" si="786"/>
        <v>P00</v>
      </c>
      <c r="AE2634" t="str">
        <f t="shared" si="787"/>
        <v>0P0</v>
      </c>
      <c r="AF2634" t="str">
        <f t="shared" si="788"/>
        <v>P00</v>
      </c>
      <c r="AG2634" t="str">
        <f t="shared" si="794"/>
        <v>0P00</v>
      </c>
      <c r="AH2634" t="str">
        <f t="shared" si="795"/>
        <v>P000</v>
      </c>
      <c r="AI2634" t="str">
        <f t="shared" si="796"/>
        <v>0P00</v>
      </c>
      <c r="AJ2634" t="str">
        <f t="shared" si="797"/>
        <v>P000</v>
      </c>
    </row>
    <row r="2635" spans="1:36" x14ac:dyDescent="0.25">
      <c r="A2635" s="325" t="str">
        <f>CONCATENATE("P",'906MP'!M2335)</f>
        <v>P</v>
      </c>
      <c r="B2635">
        <f>'906MP'!H2335</f>
        <v>0</v>
      </c>
      <c r="C2635">
        <f>'906MP'!J2335</f>
        <v>0</v>
      </c>
      <c r="D2635">
        <f>'906MP'!P2335</f>
        <v>0</v>
      </c>
      <c r="E2635">
        <f>'906MP'!X2335</f>
        <v>0</v>
      </c>
      <c r="F2635" t="str">
        <f t="shared" si="789"/>
        <v>0</v>
      </c>
      <c r="G2635" t="str">
        <f t="shared" si="790"/>
        <v>0</v>
      </c>
      <c r="H2635">
        <f>'906MP'!Y2335</f>
        <v>0</v>
      </c>
      <c r="I2635">
        <f>'906MP'!AK2335</f>
        <v>0</v>
      </c>
      <c r="J2635">
        <f>'906MP'!T2335</f>
        <v>0</v>
      </c>
      <c r="K2635">
        <f>'906MP'!AJ2335</f>
        <v>0</v>
      </c>
      <c r="L2635">
        <f>'906MP'!U2335</f>
        <v>0</v>
      </c>
      <c r="M2635" s="322" t="str">
        <f>IFERROR(VLOOKUP(A2635,PAR!$D$3:$E$53,2,FALSE),"nincs szervezet")</f>
        <v>nincs szervezet</v>
      </c>
      <c r="N2635" s="322" t="str">
        <f>VLOOKUP(F2635,PAR!$R$3:$S$5,2,FALSE)</f>
        <v>3 - egyik sem</v>
      </c>
      <c r="O2635" t="str">
        <f>IFERROR(VLOOKUP(J2635,PAR!$O$3:$P$5,2,FALSE),"nincs feladat")</f>
        <v>nincs feladat</v>
      </c>
      <c r="P2635" t="str">
        <f>IFERROR(VLOOKUP(G2635,PAR!$J$2:$M$19,4),"nincs rovat")</f>
        <v>nincs rovat</v>
      </c>
      <c r="Q2635" t="str">
        <f>IF(H2635&gt;0,VLOOKUP(H2635,PAR!$AA$3:$AC$187,3,FALSE),"nincs főkönyvi számla")</f>
        <v>nincs főkönyvi számla</v>
      </c>
      <c r="R2635" t="str">
        <f>IFERROR(VLOOKUP(K2635,PAR!$V$3:$X$438,3,FALSE),"000000 - Nincs COFOG")</f>
        <v>000000 - Nincs COFOG</v>
      </c>
      <c r="S2635">
        <f t="shared" si="791"/>
        <v>0</v>
      </c>
      <c r="T2635">
        <f t="shared" si="792"/>
        <v>0</v>
      </c>
      <c r="U2635" t="str">
        <f>IF('906MP'!J2335&gt;0,CONCATENATE('906MP'!J2335," - ",'906MP'!P2335,", ",'906MP'!E2335),"nincs megjegyzés")</f>
        <v>nincs megjegyzés</v>
      </c>
      <c r="V2635" t="str">
        <f t="shared" si="779"/>
        <v>0P0</v>
      </c>
      <c r="W2635" t="str">
        <f t="shared" si="780"/>
        <v>0P0</v>
      </c>
      <c r="X2635" t="str">
        <f t="shared" si="781"/>
        <v>P0</v>
      </c>
      <c r="Y2635" t="str">
        <f t="shared" si="782"/>
        <v>00</v>
      </c>
      <c r="Z2635" t="str">
        <f t="shared" si="793"/>
        <v>00</v>
      </c>
      <c r="AA2635" t="str">
        <f t="shared" si="783"/>
        <v>00</v>
      </c>
      <c r="AB2635" t="str">
        <f t="shared" si="784"/>
        <v>00</v>
      </c>
      <c r="AC2635" t="str">
        <f t="shared" si="785"/>
        <v>0P0</v>
      </c>
      <c r="AD2635" t="str">
        <f t="shared" si="786"/>
        <v>P00</v>
      </c>
      <c r="AE2635" t="str">
        <f t="shared" si="787"/>
        <v>0P0</v>
      </c>
      <c r="AF2635" t="str">
        <f t="shared" si="788"/>
        <v>P00</v>
      </c>
      <c r="AG2635" t="str">
        <f t="shared" si="794"/>
        <v>0P00</v>
      </c>
      <c r="AH2635" t="str">
        <f t="shared" si="795"/>
        <v>P000</v>
      </c>
      <c r="AI2635" t="str">
        <f t="shared" si="796"/>
        <v>0P00</v>
      </c>
      <c r="AJ2635" t="str">
        <f t="shared" si="797"/>
        <v>P000</v>
      </c>
    </row>
    <row r="2636" spans="1:36" x14ac:dyDescent="0.25">
      <c r="A2636" s="325" t="str">
        <f>CONCATENATE("P",'906MP'!M2336)</f>
        <v>P</v>
      </c>
      <c r="B2636">
        <f>'906MP'!H2336</f>
        <v>0</v>
      </c>
      <c r="C2636">
        <f>'906MP'!J2336</f>
        <v>0</v>
      </c>
      <c r="D2636">
        <f>'906MP'!P2336</f>
        <v>0</v>
      </c>
      <c r="E2636">
        <f>'906MP'!X2336</f>
        <v>0</v>
      </c>
      <c r="F2636" t="str">
        <f t="shared" si="789"/>
        <v>0</v>
      </c>
      <c r="G2636" t="str">
        <f t="shared" si="790"/>
        <v>0</v>
      </c>
      <c r="H2636">
        <f>'906MP'!Y2336</f>
        <v>0</v>
      </c>
      <c r="I2636">
        <f>'906MP'!AK2336</f>
        <v>0</v>
      </c>
      <c r="J2636">
        <f>'906MP'!T2336</f>
        <v>0</v>
      </c>
      <c r="K2636">
        <f>'906MP'!AJ2336</f>
        <v>0</v>
      </c>
      <c r="L2636">
        <f>'906MP'!U2336</f>
        <v>0</v>
      </c>
      <c r="M2636" s="322" t="str">
        <f>IFERROR(VLOOKUP(A2636,PAR!$D$3:$E$53,2,FALSE),"nincs szervezet")</f>
        <v>nincs szervezet</v>
      </c>
      <c r="N2636" s="322" t="str">
        <f>VLOOKUP(F2636,PAR!$R$3:$S$5,2,FALSE)</f>
        <v>3 - egyik sem</v>
      </c>
      <c r="O2636" t="str">
        <f>IFERROR(VLOOKUP(J2636,PAR!$O$3:$P$5,2,FALSE),"nincs feladat")</f>
        <v>nincs feladat</v>
      </c>
      <c r="P2636" t="str">
        <f>IFERROR(VLOOKUP(G2636,PAR!$J$2:$M$19,4),"nincs rovat")</f>
        <v>nincs rovat</v>
      </c>
      <c r="Q2636" t="str">
        <f>IF(H2636&gt;0,VLOOKUP(H2636,PAR!$AA$3:$AC$187,3,FALSE),"nincs főkönyvi számla")</f>
        <v>nincs főkönyvi számla</v>
      </c>
      <c r="R2636" t="str">
        <f>IFERROR(VLOOKUP(K2636,PAR!$V$3:$X$438,3,FALSE),"000000 - Nincs COFOG")</f>
        <v>000000 - Nincs COFOG</v>
      </c>
      <c r="S2636">
        <f t="shared" si="791"/>
        <v>0</v>
      </c>
      <c r="T2636">
        <f t="shared" si="792"/>
        <v>0</v>
      </c>
      <c r="U2636" t="str">
        <f>IF('906MP'!J2336&gt;0,CONCATENATE('906MP'!J2336," - ",'906MP'!P2336,", ",'906MP'!E2336),"nincs megjegyzés")</f>
        <v>nincs megjegyzés</v>
      </c>
      <c r="V2636" t="str">
        <f t="shared" si="779"/>
        <v>0P0</v>
      </c>
      <c r="W2636" t="str">
        <f t="shared" si="780"/>
        <v>0P0</v>
      </c>
      <c r="X2636" t="str">
        <f t="shared" si="781"/>
        <v>P0</v>
      </c>
      <c r="Y2636" t="str">
        <f t="shared" si="782"/>
        <v>00</v>
      </c>
      <c r="Z2636" t="str">
        <f t="shared" si="793"/>
        <v>00</v>
      </c>
      <c r="AA2636" t="str">
        <f t="shared" si="783"/>
        <v>00</v>
      </c>
      <c r="AB2636" t="str">
        <f t="shared" si="784"/>
        <v>00</v>
      </c>
      <c r="AC2636" t="str">
        <f t="shared" si="785"/>
        <v>0P0</v>
      </c>
      <c r="AD2636" t="str">
        <f t="shared" si="786"/>
        <v>P00</v>
      </c>
      <c r="AE2636" t="str">
        <f t="shared" si="787"/>
        <v>0P0</v>
      </c>
      <c r="AF2636" t="str">
        <f t="shared" si="788"/>
        <v>P00</v>
      </c>
      <c r="AG2636" t="str">
        <f t="shared" si="794"/>
        <v>0P00</v>
      </c>
      <c r="AH2636" t="str">
        <f t="shared" si="795"/>
        <v>P000</v>
      </c>
      <c r="AI2636" t="str">
        <f t="shared" si="796"/>
        <v>0P00</v>
      </c>
      <c r="AJ2636" t="str">
        <f t="shared" si="797"/>
        <v>P000</v>
      </c>
    </row>
    <row r="2637" spans="1:36" x14ac:dyDescent="0.25">
      <c r="A2637" s="325" t="str">
        <f>CONCATENATE("P",'906MP'!M2337)</f>
        <v>P</v>
      </c>
      <c r="B2637">
        <f>'906MP'!H2337</f>
        <v>0</v>
      </c>
      <c r="C2637">
        <f>'906MP'!J2337</f>
        <v>0</v>
      </c>
      <c r="D2637">
        <f>'906MP'!P2337</f>
        <v>0</v>
      </c>
      <c r="E2637">
        <f>'906MP'!X2337</f>
        <v>0</v>
      </c>
      <c r="F2637" t="str">
        <f t="shared" si="789"/>
        <v>0</v>
      </c>
      <c r="G2637" t="str">
        <f t="shared" si="790"/>
        <v>0</v>
      </c>
      <c r="H2637">
        <f>'906MP'!Y2337</f>
        <v>0</v>
      </c>
      <c r="I2637">
        <f>'906MP'!AK2337</f>
        <v>0</v>
      </c>
      <c r="J2637">
        <f>'906MP'!T2337</f>
        <v>0</v>
      </c>
      <c r="K2637">
        <f>'906MP'!AJ2337</f>
        <v>0</v>
      </c>
      <c r="L2637">
        <f>'906MP'!U2337</f>
        <v>0</v>
      </c>
      <c r="M2637" s="322" t="str">
        <f>IFERROR(VLOOKUP(A2637,PAR!$D$3:$E$53,2,FALSE),"nincs szervezet")</f>
        <v>nincs szervezet</v>
      </c>
      <c r="N2637" s="322" t="str">
        <f>VLOOKUP(F2637,PAR!$R$3:$S$5,2,FALSE)</f>
        <v>3 - egyik sem</v>
      </c>
      <c r="O2637" t="str">
        <f>IFERROR(VLOOKUP(J2637,PAR!$O$3:$P$5,2,FALSE),"nincs feladat")</f>
        <v>nincs feladat</v>
      </c>
      <c r="P2637" t="str">
        <f>IFERROR(VLOOKUP(G2637,PAR!$J$2:$M$19,4),"nincs rovat")</f>
        <v>nincs rovat</v>
      </c>
      <c r="Q2637" t="str">
        <f>IF(H2637&gt;0,VLOOKUP(H2637,PAR!$AA$3:$AC$187,3,FALSE),"nincs főkönyvi számla")</f>
        <v>nincs főkönyvi számla</v>
      </c>
      <c r="R2637" t="str">
        <f>IFERROR(VLOOKUP(K2637,PAR!$V$3:$X$438,3,FALSE),"000000 - Nincs COFOG")</f>
        <v>000000 - Nincs COFOG</v>
      </c>
      <c r="S2637">
        <f t="shared" si="791"/>
        <v>0</v>
      </c>
      <c r="T2637">
        <f t="shared" si="792"/>
        <v>0</v>
      </c>
      <c r="U2637" t="str">
        <f>IF('906MP'!J2337&gt;0,CONCATENATE('906MP'!J2337," - ",'906MP'!P2337,", ",'906MP'!E2337),"nincs megjegyzés")</f>
        <v>nincs megjegyzés</v>
      </c>
      <c r="V2637" t="str">
        <f t="shared" si="779"/>
        <v>0P0</v>
      </c>
      <c r="W2637" t="str">
        <f t="shared" si="780"/>
        <v>0P0</v>
      </c>
      <c r="X2637" t="str">
        <f t="shared" si="781"/>
        <v>P0</v>
      </c>
      <c r="Y2637" t="str">
        <f t="shared" si="782"/>
        <v>00</v>
      </c>
      <c r="Z2637" t="str">
        <f t="shared" si="793"/>
        <v>00</v>
      </c>
      <c r="AA2637" t="str">
        <f t="shared" si="783"/>
        <v>00</v>
      </c>
      <c r="AB2637" t="str">
        <f t="shared" si="784"/>
        <v>00</v>
      </c>
      <c r="AC2637" t="str">
        <f t="shared" si="785"/>
        <v>0P0</v>
      </c>
      <c r="AD2637" t="str">
        <f t="shared" si="786"/>
        <v>P00</v>
      </c>
      <c r="AE2637" t="str">
        <f t="shared" si="787"/>
        <v>0P0</v>
      </c>
      <c r="AF2637" t="str">
        <f t="shared" si="788"/>
        <v>P00</v>
      </c>
      <c r="AG2637" t="str">
        <f t="shared" si="794"/>
        <v>0P00</v>
      </c>
      <c r="AH2637" t="str">
        <f t="shared" si="795"/>
        <v>P000</v>
      </c>
      <c r="AI2637" t="str">
        <f t="shared" si="796"/>
        <v>0P00</v>
      </c>
      <c r="AJ2637" t="str">
        <f t="shared" si="797"/>
        <v>P000</v>
      </c>
    </row>
    <row r="2638" spans="1:36" x14ac:dyDescent="0.25">
      <c r="A2638" s="325" t="str">
        <f>CONCATENATE("P",'906MP'!M2338)</f>
        <v>P</v>
      </c>
      <c r="B2638">
        <f>'906MP'!H2338</f>
        <v>0</v>
      </c>
      <c r="C2638">
        <f>'906MP'!J2338</f>
        <v>0</v>
      </c>
      <c r="D2638">
        <f>'906MP'!P2338</f>
        <v>0</v>
      </c>
      <c r="E2638">
        <f>'906MP'!X2338</f>
        <v>0</v>
      </c>
      <c r="F2638" t="str">
        <f t="shared" si="789"/>
        <v>0</v>
      </c>
      <c r="G2638" t="str">
        <f t="shared" si="790"/>
        <v>0</v>
      </c>
      <c r="H2638">
        <f>'906MP'!Y2338</f>
        <v>0</v>
      </c>
      <c r="I2638">
        <f>'906MP'!AK2338</f>
        <v>0</v>
      </c>
      <c r="J2638">
        <f>'906MP'!T2338</f>
        <v>0</v>
      </c>
      <c r="K2638">
        <f>'906MP'!AJ2338</f>
        <v>0</v>
      </c>
      <c r="L2638">
        <f>'906MP'!U2338</f>
        <v>0</v>
      </c>
      <c r="M2638" s="322" t="str">
        <f>IFERROR(VLOOKUP(A2638,PAR!$D$3:$E$53,2,FALSE),"nincs szervezet")</f>
        <v>nincs szervezet</v>
      </c>
      <c r="N2638" s="322" t="str">
        <f>VLOOKUP(F2638,PAR!$R$3:$S$5,2,FALSE)</f>
        <v>3 - egyik sem</v>
      </c>
      <c r="O2638" t="str">
        <f>IFERROR(VLOOKUP(J2638,PAR!$O$3:$P$5,2,FALSE),"nincs feladat")</f>
        <v>nincs feladat</v>
      </c>
      <c r="P2638" t="str">
        <f>IFERROR(VLOOKUP(G2638,PAR!$J$2:$M$19,4),"nincs rovat")</f>
        <v>nincs rovat</v>
      </c>
      <c r="Q2638" t="str">
        <f>IF(H2638&gt;0,VLOOKUP(H2638,PAR!$AA$3:$AC$187,3,FALSE),"nincs főkönyvi számla")</f>
        <v>nincs főkönyvi számla</v>
      </c>
      <c r="R2638" t="str">
        <f>IFERROR(VLOOKUP(K2638,PAR!$V$3:$X$438,3,FALSE),"000000 - Nincs COFOG")</f>
        <v>000000 - Nincs COFOG</v>
      </c>
      <c r="S2638">
        <f t="shared" si="791"/>
        <v>0</v>
      </c>
      <c r="T2638">
        <f t="shared" si="792"/>
        <v>0</v>
      </c>
      <c r="U2638" t="str">
        <f>IF('906MP'!J2338&gt;0,CONCATENATE('906MP'!J2338," - ",'906MP'!P2338,", ",'906MP'!E2338),"nincs megjegyzés")</f>
        <v>nincs megjegyzés</v>
      </c>
      <c r="V2638" t="str">
        <f t="shared" si="779"/>
        <v>0P0</v>
      </c>
      <c r="W2638" t="str">
        <f t="shared" si="780"/>
        <v>0P0</v>
      </c>
      <c r="X2638" t="str">
        <f t="shared" si="781"/>
        <v>P0</v>
      </c>
      <c r="Y2638" t="str">
        <f t="shared" si="782"/>
        <v>00</v>
      </c>
      <c r="Z2638" t="str">
        <f t="shared" si="793"/>
        <v>00</v>
      </c>
      <c r="AA2638" t="str">
        <f t="shared" si="783"/>
        <v>00</v>
      </c>
      <c r="AB2638" t="str">
        <f t="shared" si="784"/>
        <v>00</v>
      </c>
      <c r="AC2638" t="str">
        <f t="shared" si="785"/>
        <v>0P0</v>
      </c>
      <c r="AD2638" t="str">
        <f t="shared" si="786"/>
        <v>P00</v>
      </c>
      <c r="AE2638" t="str">
        <f t="shared" si="787"/>
        <v>0P0</v>
      </c>
      <c r="AF2638" t="str">
        <f t="shared" si="788"/>
        <v>P00</v>
      </c>
      <c r="AG2638" t="str">
        <f t="shared" si="794"/>
        <v>0P00</v>
      </c>
      <c r="AH2638" t="str">
        <f t="shared" si="795"/>
        <v>P000</v>
      </c>
      <c r="AI2638" t="str">
        <f t="shared" si="796"/>
        <v>0P00</v>
      </c>
      <c r="AJ2638" t="str">
        <f t="shared" si="797"/>
        <v>P000</v>
      </c>
    </row>
    <row r="2639" spans="1:36" x14ac:dyDescent="0.25">
      <c r="A2639" s="325" t="str">
        <f>CONCATENATE("P",'906MP'!M2339)</f>
        <v>P</v>
      </c>
      <c r="B2639">
        <f>'906MP'!H2339</f>
        <v>0</v>
      </c>
      <c r="C2639">
        <f>'906MP'!J2339</f>
        <v>0</v>
      </c>
      <c r="D2639">
        <f>'906MP'!P2339</f>
        <v>0</v>
      </c>
      <c r="E2639">
        <f>'906MP'!X2339</f>
        <v>0</v>
      </c>
      <c r="F2639" t="str">
        <f t="shared" si="789"/>
        <v>0</v>
      </c>
      <c r="G2639" t="str">
        <f t="shared" si="790"/>
        <v>0</v>
      </c>
      <c r="H2639">
        <f>'906MP'!Y2339</f>
        <v>0</v>
      </c>
      <c r="I2639">
        <f>'906MP'!AK2339</f>
        <v>0</v>
      </c>
      <c r="J2639">
        <f>'906MP'!T2339</f>
        <v>0</v>
      </c>
      <c r="K2639">
        <f>'906MP'!AJ2339</f>
        <v>0</v>
      </c>
      <c r="L2639">
        <f>'906MP'!U2339</f>
        <v>0</v>
      </c>
      <c r="M2639" s="322" t="str">
        <f>IFERROR(VLOOKUP(A2639,PAR!$D$3:$E$53,2,FALSE),"nincs szervezet")</f>
        <v>nincs szervezet</v>
      </c>
      <c r="N2639" s="322" t="str">
        <f>VLOOKUP(F2639,PAR!$R$3:$S$5,2,FALSE)</f>
        <v>3 - egyik sem</v>
      </c>
      <c r="O2639" t="str">
        <f>IFERROR(VLOOKUP(J2639,PAR!$O$3:$P$5,2,FALSE),"nincs feladat")</f>
        <v>nincs feladat</v>
      </c>
      <c r="P2639" t="str">
        <f>IFERROR(VLOOKUP(G2639,PAR!$J$2:$M$19,4),"nincs rovat")</f>
        <v>nincs rovat</v>
      </c>
      <c r="Q2639" t="str">
        <f>IF(H2639&gt;0,VLOOKUP(H2639,PAR!$AA$3:$AC$187,3,FALSE),"nincs főkönyvi számla")</f>
        <v>nincs főkönyvi számla</v>
      </c>
      <c r="R2639" t="str">
        <f>IFERROR(VLOOKUP(K2639,PAR!$V$3:$X$438,3,FALSE),"000000 - Nincs COFOG")</f>
        <v>000000 - Nincs COFOG</v>
      </c>
      <c r="S2639">
        <f t="shared" si="791"/>
        <v>0</v>
      </c>
      <c r="T2639">
        <f t="shared" si="792"/>
        <v>0</v>
      </c>
      <c r="U2639" t="str">
        <f>IF('906MP'!J2339&gt;0,CONCATENATE('906MP'!J2339," - ",'906MP'!P2339,", ",'906MP'!E2339),"nincs megjegyzés")</f>
        <v>nincs megjegyzés</v>
      </c>
      <c r="V2639" t="str">
        <f t="shared" si="779"/>
        <v>0P0</v>
      </c>
      <c r="W2639" t="str">
        <f t="shared" si="780"/>
        <v>0P0</v>
      </c>
      <c r="X2639" t="str">
        <f t="shared" si="781"/>
        <v>P0</v>
      </c>
      <c r="Y2639" t="str">
        <f t="shared" si="782"/>
        <v>00</v>
      </c>
      <c r="Z2639" t="str">
        <f t="shared" si="793"/>
        <v>00</v>
      </c>
      <c r="AA2639" t="str">
        <f t="shared" si="783"/>
        <v>00</v>
      </c>
      <c r="AB2639" t="str">
        <f t="shared" si="784"/>
        <v>00</v>
      </c>
      <c r="AC2639" t="str">
        <f t="shared" si="785"/>
        <v>0P0</v>
      </c>
      <c r="AD2639" t="str">
        <f t="shared" si="786"/>
        <v>P00</v>
      </c>
      <c r="AE2639" t="str">
        <f t="shared" si="787"/>
        <v>0P0</v>
      </c>
      <c r="AF2639" t="str">
        <f t="shared" si="788"/>
        <v>P00</v>
      </c>
      <c r="AG2639" t="str">
        <f t="shared" si="794"/>
        <v>0P00</v>
      </c>
      <c r="AH2639" t="str">
        <f t="shared" si="795"/>
        <v>P000</v>
      </c>
      <c r="AI2639" t="str">
        <f t="shared" si="796"/>
        <v>0P00</v>
      </c>
      <c r="AJ2639" t="str">
        <f t="shared" si="797"/>
        <v>P000</v>
      </c>
    </row>
    <row r="2640" spans="1:36" x14ac:dyDescent="0.25">
      <c r="A2640" s="325" t="str">
        <f>CONCATENATE("P",'906MP'!M2340)</f>
        <v>P</v>
      </c>
      <c r="B2640">
        <f>'906MP'!H2340</f>
        <v>0</v>
      </c>
      <c r="C2640">
        <f>'906MP'!J2340</f>
        <v>0</v>
      </c>
      <c r="D2640">
        <f>'906MP'!P2340</f>
        <v>0</v>
      </c>
      <c r="E2640">
        <f>'906MP'!X2340</f>
        <v>0</v>
      </c>
      <c r="F2640" t="str">
        <f t="shared" si="789"/>
        <v>0</v>
      </c>
      <c r="G2640" t="str">
        <f t="shared" si="790"/>
        <v>0</v>
      </c>
      <c r="H2640">
        <f>'906MP'!Y2340</f>
        <v>0</v>
      </c>
      <c r="I2640">
        <f>'906MP'!AK2340</f>
        <v>0</v>
      </c>
      <c r="J2640">
        <f>'906MP'!T2340</f>
        <v>0</v>
      </c>
      <c r="K2640">
        <f>'906MP'!AJ2340</f>
        <v>0</v>
      </c>
      <c r="L2640">
        <f>'906MP'!U2340</f>
        <v>0</v>
      </c>
      <c r="M2640" s="322" t="str">
        <f>IFERROR(VLOOKUP(A2640,PAR!$D$3:$E$53,2,FALSE),"nincs szervezet")</f>
        <v>nincs szervezet</v>
      </c>
      <c r="N2640" s="322" t="str">
        <f>VLOOKUP(F2640,PAR!$R$3:$S$5,2,FALSE)</f>
        <v>3 - egyik sem</v>
      </c>
      <c r="O2640" t="str">
        <f>IFERROR(VLOOKUP(J2640,PAR!$O$3:$P$5,2,FALSE),"nincs feladat")</f>
        <v>nincs feladat</v>
      </c>
      <c r="P2640" t="str">
        <f>IFERROR(VLOOKUP(G2640,PAR!$J$2:$M$19,4),"nincs rovat")</f>
        <v>nincs rovat</v>
      </c>
      <c r="Q2640" t="str">
        <f>IF(H2640&gt;0,VLOOKUP(H2640,PAR!$AA$3:$AC$187,3,FALSE),"nincs főkönyvi számla")</f>
        <v>nincs főkönyvi számla</v>
      </c>
      <c r="R2640" t="str">
        <f>IFERROR(VLOOKUP(K2640,PAR!$V$3:$X$438,3,FALSE),"000000 - Nincs COFOG")</f>
        <v>000000 - Nincs COFOG</v>
      </c>
      <c r="S2640">
        <f t="shared" si="791"/>
        <v>0</v>
      </c>
      <c r="T2640">
        <f t="shared" si="792"/>
        <v>0</v>
      </c>
      <c r="U2640" t="str">
        <f>IF('906MP'!J2340&gt;0,CONCATENATE('906MP'!J2340," - ",'906MP'!P2340,", ",'906MP'!E2340),"nincs megjegyzés")</f>
        <v>nincs megjegyzés</v>
      </c>
      <c r="V2640" t="str">
        <f t="shared" si="779"/>
        <v>0P0</v>
      </c>
      <c r="W2640" t="str">
        <f t="shared" si="780"/>
        <v>0P0</v>
      </c>
      <c r="X2640" t="str">
        <f t="shared" si="781"/>
        <v>P0</v>
      </c>
      <c r="Y2640" t="str">
        <f t="shared" si="782"/>
        <v>00</v>
      </c>
      <c r="Z2640" t="str">
        <f t="shared" si="793"/>
        <v>00</v>
      </c>
      <c r="AA2640" t="str">
        <f t="shared" si="783"/>
        <v>00</v>
      </c>
      <c r="AB2640" t="str">
        <f t="shared" si="784"/>
        <v>00</v>
      </c>
      <c r="AC2640" t="str">
        <f t="shared" si="785"/>
        <v>0P0</v>
      </c>
      <c r="AD2640" t="str">
        <f t="shared" si="786"/>
        <v>P00</v>
      </c>
      <c r="AE2640" t="str">
        <f t="shared" si="787"/>
        <v>0P0</v>
      </c>
      <c r="AF2640" t="str">
        <f t="shared" si="788"/>
        <v>P00</v>
      </c>
      <c r="AG2640" t="str">
        <f t="shared" si="794"/>
        <v>0P00</v>
      </c>
      <c r="AH2640" t="str">
        <f t="shared" si="795"/>
        <v>P000</v>
      </c>
      <c r="AI2640" t="str">
        <f t="shared" si="796"/>
        <v>0P00</v>
      </c>
      <c r="AJ2640" t="str">
        <f t="shared" si="797"/>
        <v>P000</v>
      </c>
    </row>
    <row r="2641" spans="1:36" x14ac:dyDescent="0.25">
      <c r="A2641" s="325" t="str">
        <f>CONCATENATE("P",'906MP'!M2341)</f>
        <v>P</v>
      </c>
      <c r="B2641">
        <f>'906MP'!H2341</f>
        <v>0</v>
      </c>
      <c r="C2641">
        <f>'906MP'!J2341</f>
        <v>0</v>
      </c>
      <c r="D2641">
        <f>'906MP'!P2341</f>
        <v>0</v>
      </c>
      <c r="E2641">
        <f>'906MP'!X2341</f>
        <v>0</v>
      </c>
      <c r="F2641" t="str">
        <f t="shared" si="789"/>
        <v>0</v>
      </c>
      <c r="G2641" t="str">
        <f t="shared" si="790"/>
        <v>0</v>
      </c>
      <c r="H2641">
        <f>'906MP'!Y2341</f>
        <v>0</v>
      </c>
      <c r="I2641">
        <f>'906MP'!AK2341</f>
        <v>0</v>
      </c>
      <c r="J2641">
        <f>'906MP'!T2341</f>
        <v>0</v>
      </c>
      <c r="K2641">
        <f>'906MP'!AJ2341</f>
        <v>0</v>
      </c>
      <c r="L2641">
        <f>'906MP'!U2341</f>
        <v>0</v>
      </c>
      <c r="M2641" s="322" t="str">
        <f>IFERROR(VLOOKUP(A2641,PAR!$D$3:$E$53,2,FALSE),"nincs szervezet")</f>
        <v>nincs szervezet</v>
      </c>
      <c r="N2641" s="322" t="str">
        <f>VLOOKUP(F2641,PAR!$R$3:$S$5,2,FALSE)</f>
        <v>3 - egyik sem</v>
      </c>
      <c r="O2641" t="str">
        <f>IFERROR(VLOOKUP(J2641,PAR!$O$3:$P$5,2,FALSE),"nincs feladat")</f>
        <v>nincs feladat</v>
      </c>
      <c r="P2641" t="str">
        <f>IFERROR(VLOOKUP(G2641,PAR!$J$2:$M$19,4),"nincs rovat")</f>
        <v>nincs rovat</v>
      </c>
      <c r="Q2641" t="str">
        <f>IF(H2641&gt;0,VLOOKUP(H2641,PAR!$AA$3:$AC$187,3,FALSE),"nincs főkönyvi számla")</f>
        <v>nincs főkönyvi számla</v>
      </c>
      <c r="R2641" t="str">
        <f>IFERROR(VLOOKUP(K2641,PAR!$V$3:$X$438,3,FALSE),"000000 - Nincs COFOG")</f>
        <v>000000 - Nincs COFOG</v>
      </c>
      <c r="S2641">
        <f t="shared" si="791"/>
        <v>0</v>
      </c>
      <c r="T2641">
        <f t="shared" si="792"/>
        <v>0</v>
      </c>
      <c r="U2641" t="str">
        <f>IF('906MP'!J2341&gt;0,CONCATENATE('906MP'!J2341," - ",'906MP'!P2341,", ",'906MP'!E2341),"nincs megjegyzés")</f>
        <v>nincs megjegyzés</v>
      </c>
      <c r="V2641" t="str">
        <f t="shared" si="779"/>
        <v>0P0</v>
      </c>
      <c r="W2641" t="str">
        <f t="shared" si="780"/>
        <v>0P0</v>
      </c>
      <c r="X2641" t="str">
        <f t="shared" si="781"/>
        <v>P0</v>
      </c>
      <c r="Y2641" t="str">
        <f t="shared" si="782"/>
        <v>00</v>
      </c>
      <c r="Z2641" t="str">
        <f t="shared" si="793"/>
        <v>00</v>
      </c>
      <c r="AA2641" t="str">
        <f t="shared" si="783"/>
        <v>00</v>
      </c>
      <c r="AB2641" t="str">
        <f t="shared" si="784"/>
        <v>00</v>
      </c>
      <c r="AC2641" t="str">
        <f t="shared" si="785"/>
        <v>0P0</v>
      </c>
      <c r="AD2641" t="str">
        <f t="shared" si="786"/>
        <v>P00</v>
      </c>
      <c r="AE2641" t="str">
        <f t="shared" si="787"/>
        <v>0P0</v>
      </c>
      <c r="AF2641" t="str">
        <f t="shared" si="788"/>
        <v>P00</v>
      </c>
      <c r="AG2641" t="str">
        <f t="shared" si="794"/>
        <v>0P00</v>
      </c>
      <c r="AH2641" t="str">
        <f t="shared" si="795"/>
        <v>P000</v>
      </c>
      <c r="AI2641" t="str">
        <f t="shared" si="796"/>
        <v>0P00</v>
      </c>
      <c r="AJ2641" t="str">
        <f t="shared" si="797"/>
        <v>P000</v>
      </c>
    </row>
    <row r="2642" spans="1:36" x14ac:dyDescent="0.25">
      <c r="A2642" s="325" t="str">
        <f>CONCATENATE("P",'906MP'!M2342)</f>
        <v>P</v>
      </c>
      <c r="B2642">
        <f>'906MP'!H2342</f>
        <v>0</v>
      </c>
      <c r="C2642">
        <f>'906MP'!J2342</f>
        <v>0</v>
      </c>
      <c r="D2642">
        <f>'906MP'!P2342</f>
        <v>0</v>
      </c>
      <c r="E2642">
        <f>'906MP'!X2342</f>
        <v>0</v>
      </c>
      <c r="F2642" t="str">
        <f t="shared" si="789"/>
        <v>0</v>
      </c>
      <c r="G2642" t="str">
        <f t="shared" si="790"/>
        <v>0</v>
      </c>
      <c r="H2642">
        <f>'906MP'!Y2342</f>
        <v>0</v>
      </c>
      <c r="I2642">
        <f>'906MP'!AK2342</f>
        <v>0</v>
      </c>
      <c r="J2642">
        <f>'906MP'!T2342</f>
        <v>0</v>
      </c>
      <c r="K2642">
        <f>'906MP'!AJ2342</f>
        <v>0</v>
      </c>
      <c r="L2642">
        <f>'906MP'!U2342</f>
        <v>0</v>
      </c>
      <c r="M2642" s="322" t="str">
        <f>IFERROR(VLOOKUP(A2642,PAR!$D$3:$E$53,2,FALSE),"nincs szervezet")</f>
        <v>nincs szervezet</v>
      </c>
      <c r="N2642" s="322" t="str">
        <f>VLOOKUP(F2642,PAR!$R$3:$S$5,2,FALSE)</f>
        <v>3 - egyik sem</v>
      </c>
      <c r="O2642" t="str">
        <f>IFERROR(VLOOKUP(J2642,PAR!$O$3:$P$5,2,FALSE),"nincs feladat")</f>
        <v>nincs feladat</v>
      </c>
      <c r="P2642" t="str">
        <f>IFERROR(VLOOKUP(G2642,PAR!$J$2:$M$19,4),"nincs rovat")</f>
        <v>nincs rovat</v>
      </c>
      <c r="Q2642" t="str">
        <f>IF(H2642&gt;0,VLOOKUP(H2642,PAR!$AA$3:$AC$187,3,FALSE),"nincs főkönyvi számla")</f>
        <v>nincs főkönyvi számla</v>
      </c>
      <c r="R2642" t="str">
        <f>IFERROR(VLOOKUP(K2642,PAR!$V$3:$X$438,3,FALSE),"000000 - Nincs COFOG")</f>
        <v>000000 - Nincs COFOG</v>
      </c>
      <c r="S2642">
        <f t="shared" si="791"/>
        <v>0</v>
      </c>
      <c r="T2642">
        <f t="shared" si="792"/>
        <v>0</v>
      </c>
      <c r="U2642" t="str">
        <f>IF('906MP'!J2342&gt;0,CONCATENATE('906MP'!J2342," - ",'906MP'!P2342,", ",'906MP'!E2342),"nincs megjegyzés")</f>
        <v>nincs megjegyzés</v>
      </c>
      <c r="V2642" t="str">
        <f t="shared" si="779"/>
        <v>0P0</v>
      </c>
      <c r="W2642" t="str">
        <f t="shared" si="780"/>
        <v>0P0</v>
      </c>
      <c r="X2642" t="str">
        <f t="shared" si="781"/>
        <v>P0</v>
      </c>
      <c r="Y2642" t="str">
        <f t="shared" si="782"/>
        <v>00</v>
      </c>
      <c r="Z2642" t="str">
        <f t="shared" si="793"/>
        <v>00</v>
      </c>
      <c r="AA2642" t="str">
        <f t="shared" si="783"/>
        <v>00</v>
      </c>
      <c r="AB2642" t="str">
        <f t="shared" si="784"/>
        <v>00</v>
      </c>
      <c r="AC2642" t="str">
        <f t="shared" si="785"/>
        <v>0P0</v>
      </c>
      <c r="AD2642" t="str">
        <f t="shared" si="786"/>
        <v>P00</v>
      </c>
      <c r="AE2642" t="str">
        <f t="shared" si="787"/>
        <v>0P0</v>
      </c>
      <c r="AF2642" t="str">
        <f t="shared" si="788"/>
        <v>P00</v>
      </c>
      <c r="AG2642" t="str">
        <f t="shared" si="794"/>
        <v>0P00</v>
      </c>
      <c r="AH2642" t="str">
        <f t="shared" si="795"/>
        <v>P000</v>
      </c>
      <c r="AI2642" t="str">
        <f t="shared" si="796"/>
        <v>0P00</v>
      </c>
      <c r="AJ2642" t="str">
        <f t="shared" si="797"/>
        <v>P000</v>
      </c>
    </row>
    <row r="2643" spans="1:36" x14ac:dyDescent="0.25">
      <c r="A2643" s="325" t="str">
        <f>CONCATENATE("P",'906MP'!M2343)</f>
        <v>P</v>
      </c>
      <c r="B2643">
        <f>'906MP'!H2343</f>
        <v>0</v>
      </c>
      <c r="C2643">
        <f>'906MP'!J2343</f>
        <v>0</v>
      </c>
      <c r="D2643">
        <f>'906MP'!P2343</f>
        <v>0</v>
      </c>
      <c r="E2643">
        <f>'906MP'!X2343</f>
        <v>0</v>
      </c>
      <c r="F2643" t="str">
        <f t="shared" si="789"/>
        <v>0</v>
      </c>
      <c r="G2643" t="str">
        <f t="shared" si="790"/>
        <v>0</v>
      </c>
      <c r="H2643">
        <f>'906MP'!Y2343</f>
        <v>0</v>
      </c>
      <c r="I2643">
        <f>'906MP'!AK2343</f>
        <v>0</v>
      </c>
      <c r="J2643">
        <f>'906MP'!T2343</f>
        <v>0</v>
      </c>
      <c r="K2643">
        <f>'906MP'!AJ2343</f>
        <v>0</v>
      </c>
      <c r="L2643">
        <f>'906MP'!U2343</f>
        <v>0</v>
      </c>
      <c r="M2643" s="322" t="str">
        <f>IFERROR(VLOOKUP(A2643,PAR!$D$3:$E$53,2,FALSE),"nincs szervezet")</f>
        <v>nincs szervezet</v>
      </c>
      <c r="N2643" s="322" t="str">
        <f>VLOOKUP(F2643,PAR!$R$3:$S$5,2,FALSE)</f>
        <v>3 - egyik sem</v>
      </c>
      <c r="O2643" t="str">
        <f>IFERROR(VLOOKUP(J2643,PAR!$O$3:$P$5,2,FALSE),"nincs feladat")</f>
        <v>nincs feladat</v>
      </c>
      <c r="P2643" t="str">
        <f>IFERROR(VLOOKUP(G2643,PAR!$J$2:$M$19,4),"nincs rovat")</f>
        <v>nincs rovat</v>
      </c>
      <c r="Q2643" t="str">
        <f>IF(H2643&gt;0,VLOOKUP(H2643,PAR!$AA$3:$AC$187,3,FALSE),"nincs főkönyvi számla")</f>
        <v>nincs főkönyvi számla</v>
      </c>
      <c r="R2643" t="str">
        <f>IFERROR(VLOOKUP(K2643,PAR!$V$3:$X$438,3,FALSE),"000000 - Nincs COFOG")</f>
        <v>000000 - Nincs COFOG</v>
      </c>
      <c r="S2643">
        <f t="shared" si="791"/>
        <v>0</v>
      </c>
      <c r="T2643">
        <f t="shared" si="792"/>
        <v>0</v>
      </c>
      <c r="U2643" t="str">
        <f>IF('906MP'!J2343&gt;0,CONCATENATE('906MP'!J2343," - ",'906MP'!P2343,", ",'906MP'!E2343),"nincs megjegyzés")</f>
        <v>nincs megjegyzés</v>
      </c>
      <c r="V2643" t="str">
        <f t="shared" si="779"/>
        <v>0P0</v>
      </c>
      <c r="W2643" t="str">
        <f t="shared" si="780"/>
        <v>0P0</v>
      </c>
      <c r="X2643" t="str">
        <f t="shared" si="781"/>
        <v>P0</v>
      </c>
      <c r="Y2643" t="str">
        <f t="shared" si="782"/>
        <v>00</v>
      </c>
      <c r="Z2643" t="str">
        <f t="shared" si="793"/>
        <v>00</v>
      </c>
      <c r="AA2643" t="str">
        <f t="shared" si="783"/>
        <v>00</v>
      </c>
      <c r="AB2643" t="str">
        <f t="shared" si="784"/>
        <v>00</v>
      </c>
      <c r="AC2643" t="str">
        <f t="shared" si="785"/>
        <v>0P0</v>
      </c>
      <c r="AD2643" t="str">
        <f t="shared" si="786"/>
        <v>P00</v>
      </c>
      <c r="AE2643" t="str">
        <f t="shared" si="787"/>
        <v>0P0</v>
      </c>
      <c r="AF2643" t="str">
        <f t="shared" si="788"/>
        <v>P00</v>
      </c>
      <c r="AG2643" t="str">
        <f t="shared" si="794"/>
        <v>0P00</v>
      </c>
      <c r="AH2643" t="str">
        <f t="shared" si="795"/>
        <v>P000</v>
      </c>
      <c r="AI2643" t="str">
        <f t="shared" si="796"/>
        <v>0P00</v>
      </c>
      <c r="AJ2643" t="str">
        <f t="shared" si="797"/>
        <v>P000</v>
      </c>
    </row>
    <row r="2644" spans="1:36" x14ac:dyDescent="0.25">
      <c r="A2644" s="325" t="str">
        <f>CONCATENATE("P",'906MP'!M2344)</f>
        <v>P</v>
      </c>
      <c r="B2644">
        <f>'906MP'!H2344</f>
        <v>0</v>
      </c>
      <c r="C2644">
        <f>'906MP'!J2344</f>
        <v>0</v>
      </c>
      <c r="D2644">
        <f>'906MP'!P2344</f>
        <v>0</v>
      </c>
      <c r="E2644">
        <f>'906MP'!X2344</f>
        <v>0</v>
      </c>
      <c r="F2644" t="str">
        <f t="shared" si="789"/>
        <v>0</v>
      </c>
      <c r="G2644" t="str">
        <f t="shared" si="790"/>
        <v>0</v>
      </c>
      <c r="H2644">
        <f>'906MP'!Y2344</f>
        <v>0</v>
      </c>
      <c r="I2644">
        <f>'906MP'!AK2344</f>
        <v>0</v>
      </c>
      <c r="J2644">
        <f>'906MP'!T2344</f>
        <v>0</v>
      </c>
      <c r="K2644">
        <f>'906MP'!AJ2344</f>
        <v>0</v>
      </c>
      <c r="L2644">
        <f>'906MP'!U2344</f>
        <v>0</v>
      </c>
      <c r="M2644" s="322" t="str">
        <f>IFERROR(VLOOKUP(A2644,PAR!$D$3:$E$53,2,FALSE),"nincs szervezet")</f>
        <v>nincs szervezet</v>
      </c>
      <c r="N2644" s="322" t="str">
        <f>VLOOKUP(F2644,PAR!$R$3:$S$5,2,FALSE)</f>
        <v>3 - egyik sem</v>
      </c>
      <c r="O2644" t="str">
        <f>IFERROR(VLOOKUP(J2644,PAR!$O$3:$P$5,2,FALSE),"nincs feladat")</f>
        <v>nincs feladat</v>
      </c>
      <c r="P2644" t="str">
        <f>IFERROR(VLOOKUP(G2644,PAR!$J$2:$M$19,4),"nincs rovat")</f>
        <v>nincs rovat</v>
      </c>
      <c r="Q2644" t="str">
        <f>IF(H2644&gt;0,VLOOKUP(H2644,PAR!$AA$3:$AC$187,3,FALSE),"nincs főkönyvi számla")</f>
        <v>nincs főkönyvi számla</v>
      </c>
      <c r="R2644" t="str">
        <f>IFERROR(VLOOKUP(K2644,PAR!$V$3:$X$438,3,FALSE),"000000 - Nincs COFOG")</f>
        <v>000000 - Nincs COFOG</v>
      </c>
      <c r="S2644">
        <f t="shared" si="791"/>
        <v>0</v>
      </c>
      <c r="T2644">
        <f t="shared" si="792"/>
        <v>0</v>
      </c>
      <c r="U2644" t="str">
        <f>IF('906MP'!J2344&gt;0,CONCATENATE('906MP'!J2344," - ",'906MP'!P2344,", ",'906MP'!E2344),"nincs megjegyzés")</f>
        <v>nincs megjegyzés</v>
      </c>
      <c r="V2644" t="str">
        <f t="shared" si="779"/>
        <v>0P0</v>
      </c>
      <c r="W2644" t="str">
        <f t="shared" si="780"/>
        <v>0P0</v>
      </c>
      <c r="X2644" t="str">
        <f t="shared" si="781"/>
        <v>P0</v>
      </c>
      <c r="Y2644" t="str">
        <f t="shared" si="782"/>
        <v>00</v>
      </c>
      <c r="Z2644" t="str">
        <f t="shared" si="793"/>
        <v>00</v>
      </c>
      <c r="AA2644" t="str">
        <f t="shared" si="783"/>
        <v>00</v>
      </c>
      <c r="AB2644" t="str">
        <f t="shared" si="784"/>
        <v>00</v>
      </c>
      <c r="AC2644" t="str">
        <f t="shared" si="785"/>
        <v>0P0</v>
      </c>
      <c r="AD2644" t="str">
        <f t="shared" si="786"/>
        <v>P00</v>
      </c>
      <c r="AE2644" t="str">
        <f t="shared" si="787"/>
        <v>0P0</v>
      </c>
      <c r="AF2644" t="str">
        <f t="shared" si="788"/>
        <v>P00</v>
      </c>
      <c r="AG2644" t="str">
        <f t="shared" si="794"/>
        <v>0P00</v>
      </c>
      <c r="AH2644" t="str">
        <f t="shared" si="795"/>
        <v>P000</v>
      </c>
      <c r="AI2644" t="str">
        <f t="shared" si="796"/>
        <v>0P00</v>
      </c>
      <c r="AJ2644" t="str">
        <f t="shared" si="797"/>
        <v>P000</v>
      </c>
    </row>
    <row r="2645" spans="1:36" x14ac:dyDescent="0.25">
      <c r="A2645" s="325" t="str">
        <f>CONCATENATE("P",'906MP'!M2345)</f>
        <v>P</v>
      </c>
      <c r="B2645">
        <f>'906MP'!H2345</f>
        <v>0</v>
      </c>
      <c r="C2645">
        <f>'906MP'!J2345</f>
        <v>0</v>
      </c>
      <c r="D2645">
        <f>'906MP'!P2345</f>
        <v>0</v>
      </c>
      <c r="E2645">
        <f>'906MP'!X2345</f>
        <v>0</v>
      </c>
      <c r="F2645" t="str">
        <f t="shared" si="789"/>
        <v>0</v>
      </c>
      <c r="G2645" t="str">
        <f t="shared" si="790"/>
        <v>0</v>
      </c>
      <c r="H2645">
        <f>'906MP'!Y2345</f>
        <v>0</v>
      </c>
      <c r="I2645">
        <f>'906MP'!AK2345</f>
        <v>0</v>
      </c>
      <c r="J2645">
        <f>'906MP'!T2345</f>
        <v>0</v>
      </c>
      <c r="K2645">
        <f>'906MP'!AJ2345</f>
        <v>0</v>
      </c>
      <c r="L2645">
        <f>'906MP'!U2345</f>
        <v>0</v>
      </c>
      <c r="M2645" s="322" t="str">
        <f>IFERROR(VLOOKUP(A2645,PAR!$D$3:$E$53,2,FALSE),"nincs szervezet")</f>
        <v>nincs szervezet</v>
      </c>
      <c r="N2645" s="322" t="str">
        <f>VLOOKUP(F2645,PAR!$R$3:$S$5,2,FALSE)</f>
        <v>3 - egyik sem</v>
      </c>
      <c r="O2645" t="str">
        <f>IFERROR(VLOOKUP(J2645,PAR!$O$3:$P$5,2,FALSE),"nincs feladat")</f>
        <v>nincs feladat</v>
      </c>
      <c r="P2645" t="str">
        <f>IFERROR(VLOOKUP(G2645,PAR!$J$2:$M$19,4),"nincs rovat")</f>
        <v>nincs rovat</v>
      </c>
      <c r="Q2645" t="str">
        <f>IF(H2645&gt;0,VLOOKUP(H2645,PAR!$AA$3:$AC$187,3,FALSE),"nincs főkönyvi számla")</f>
        <v>nincs főkönyvi számla</v>
      </c>
      <c r="R2645" t="str">
        <f>IFERROR(VLOOKUP(K2645,PAR!$V$3:$X$438,3,FALSE),"000000 - Nincs COFOG")</f>
        <v>000000 - Nincs COFOG</v>
      </c>
      <c r="S2645">
        <f t="shared" si="791"/>
        <v>0</v>
      </c>
      <c r="T2645">
        <f t="shared" si="792"/>
        <v>0</v>
      </c>
      <c r="U2645" t="str">
        <f>IF('906MP'!J2345&gt;0,CONCATENATE('906MP'!J2345," - ",'906MP'!P2345,", ",'906MP'!E2345),"nincs megjegyzés")</f>
        <v>nincs megjegyzés</v>
      </c>
      <c r="V2645" t="str">
        <f t="shared" si="779"/>
        <v>0P0</v>
      </c>
      <c r="W2645" t="str">
        <f t="shared" si="780"/>
        <v>0P0</v>
      </c>
      <c r="X2645" t="str">
        <f t="shared" si="781"/>
        <v>P0</v>
      </c>
      <c r="Y2645" t="str">
        <f t="shared" si="782"/>
        <v>00</v>
      </c>
      <c r="Z2645" t="str">
        <f t="shared" si="793"/>
        <v>00</v>
      </c>
      <c r="AA2645" t="str">
        <f t="shared" si="783"/>
        <v>00</v>
      </c>
      <c r="AB2645" t="str">
        <f t="shared" si="784"/>
        <v>00</v>
      </c>
      <c r="AC2645" t="str">
        <f t="shared" si="785"/>
        <v>0P0</v>
      </c>
      <c r="AD2645" t="str">
        <f t="shared" si="786"/>
        <v>P00</v>
      </c>
      <c r="AE2645" t="str">
        <f t="shared" si="787"/>
        <v>0P0</v>
      </c>
      <c r="AF2645" t="str">
        <f t="shared" si="788"/>
        <v>P00</v>
      </c>
      <c r="AG2645" t="str">
        <f t="shared" si="794"/>
        <v>0P00</v>
      </c>
      <c r="AH2645" t="str">
        <f t="shared" si="795"/>
        <v>P000</v>
      </c>
      <c r="AI2645" t="str">
        <f t="shared" si="796"/>
        <v>0P00</v>
      </c>
      <c r="AJ2645" t="str">
        <f t="shared" si="797"/>
        <v>P000</v>
      </c>
    </row>
    <row r="2646" spans="1:36" x14ac:dyDescent="0.25">
      <c r="A2646" s="325" t="str">
        <f>CONCATENATE("P",'906MP'!M2346)</f>
        <v>P</v>
      </c>
      <c r="B2646">
        <f>'906MP'!H2346</f>
        <v>0</v>
      </c>
      <c r="C2646">
        <f>'906MP'!J2346</f>
        <v>0</v>
      </c>
      <c r="D2646">
        <f>'906MP'!P2346</f>
        <v>0</v>
      </c>
      <c r="E2646">
        <f>'906MP'!X2346</f>
        <v>0</v>
      </c>
      <c r="F2646" t="str">
        <f t="shared" si="789"/>
        <v>0</v>
      </c>
      <c r="G2646" t="str">
        <f t="shared" si="790"/>
        <v>0</v>
      </c>
      <c r="H2646">
        <f>'906MP'!Y2346</f>
        <v>0</v>
      </c>
      <c r="I2646">
        <f>'906MP'!AK2346</f>
        <v>0</v>
      </c>
      <c r="J2646">
        <f>'906MP'!T2346</f>
        <v>0</v>
      </c>
      <c r="K2646">
        <f>'906MP'!AJ2346</f>
        <v>0</v>
      </c>
      <c r="L2646">
        <f>'906MP'!U2346</f>
        <v>0</v>
      </c>
      <c r="M2646" s="322" t="str">
        <f>IFERROR(VLOOKUP(A2646,PAR!$D$3:$E$53,2,FALSE),"nincs szervezet")</f>
        <v>nincs szervezet</v>
      </c>
      <c r="N2646" s="322" t="str">
        <f>VLOOKUP(F2646,PAR!$R$3:$S$5,2,FALSE)</f>
        <v>3 - egyik sem</v>
      </c>
      <c r="O2646" t="str">
        <f>IFERROR(VLOOKUP(J2646,PAR!$O$3:$P$5,2,FALSE),"nincs feladat")</f>
        <v>nincs feladat</v>
      </c>
      <c r="P2646" t="str">
        <f>IFERROR(VLOOKUP(G2646,PAR!$J$2:$M$19,4),"nincs rovat")</f>
        <v>nincs rovat</v>
      </c>
      <c r="Q2646" t="str">
        <f>IF(H2646&gt;0,VLOOKUP(H2646,PAR!$AA$3:$AC$187,3,FALSE),"nincs főkönyvi számla")</f>
        <v>nincs főkönyvi számla</v>
      </c>
      <c r="R2646" t="str">
        <f>IFERROR(VLOOKUP(K2646,PAR!$V$3:$X$438,3,FALSE),"000000 - Nincs COFOG")</f>
        <v>000000 - Nincs COFOG</v>
      </c>
      <c r="S2646">
        <f t="shared" si="791"/>
        <v>0</v>
      </c>
      <c r="T2646">
        <f t="shared" si="792"/>
        <v>0</v>
      </c>
      <c r="U2646" t="str">
        <f>IF('906MP'!J2346&gt;0,CONCATENATE('906MP'!J2346," - ",'906MP'!P2346,", ",'906MP'!E2346),"nincs megjegyzés")</f>
        <v>nincs megjegyzés</v>
      </c>
      <c r="V2646" t="str">
        <f t="shared" si="779"/>
        <v>0P0</v>
      </c>
      <c r="W2646" t="str">
        <f t="shared" si="780"/>
        <v>0P0</v>
      </c>
      <c r="X2646" t="str">
        <f t="shared" si="781"/>
        <v>P0</v>
      </c>
      <c r="Y2646" t="str">
        <f t="shared" si="782"/>
        <v>00</v>
      </c>
      <c r="Z2646" t="str">
        <f t="shared" si="793"/>
        <v>00</v>
      </c>
      <c r="AA2646" t="str">
        <f t="shared" si="783"/>
        <v>00</v>
      </c>
      <c r="AB2646" t="str">
        <f t="shared" si="784"/>
        <v>00</v>
      </c>
      <c r="AC2646" t="str">
        <f t="shared" si="785"/>
        <v>0P0</v>
      </c>
      <c r="AD2646" t="str">
        <f t="shared" si="786"/>
        <v>P00</v>
      </c>
      <c r="AE2646" t="str">
        <f t="shared" si="787"/>
        <v>0P0</v>
      </c>
      <c r="AF2646" t="str">
        <f t="shared" si="788"/>
        <v>P00</v>
      </c>
      <c r="AG2646" t="str">
        <f t="shared" si="794"/>
        <v>0P00</v>
      </c>
      <c r="AH2646" t="str">
        <f t="shared" si="795"/>
        <v>P000</v>
      </c>
      <c r="AI2646" t="str">
        <f t="shared" si="796"/>
        <v>0P00</v>
      </c>
      <c r="AJ2646" t="str">
        <f t="shared" si="797"/>
        <v>P000</v>
      </c>
    </row>
    <row r="2647" spans="1:36" x14ac:dyDescent="0.25">
      <c r="A2647" s="325" t="str">
        <f>CONCATENATE("P",'906MP'!M2347)</f>
        <v>P</v>
      </c>
      <c r="B2647">
        <f>'906MP'!H2347</f>
        <v>0</v>
      </c>
      <c r="C2647">
        <f>'906MP'!J2347</f>
        <v>0</v>
      </c>
      <c r="D2647">
        <f>'906MP'!P2347</f>
        <v>0</v>
      </c>
      <c r="E2647">
        <f>'906MP'!X2347</f>
        <v>0</v>
      </c>
      <c r="F2647" t="str">
        <f t="shared" si="789"/>
        <v>0</v>
      </c>
      <c r="G2647" t="str">
        <f t="shared" si="790"/>
        <v>0</v>
      </c>
      <c r="H2647">
        <f>'906MP'!Y2347</f>
        <v>0</v>
      </c>
      <c r="I2647">
        <f>'906MP'!AK2347</f>
        <v>0</v>
      </c>
      <c r="J2647">
        <f>'906MP'!T2347</f>
        <v>0</v>
      </c>
      <c r="K2647">
        <f>'906MP'!AJ2347</f>
        <v>0</v>
      </c>
      <c r="L2647">
        <f>'906MP'!U2347</f>
        <v>0</v>
      </c>
      <c r="M2647" s="322" t="str">
        <f>IFERROR(VLOOKUP(A2647,PAR!$D$3:$E$53,2,FALSE),"nincs szervezet")</f>
        <v>nincs szervezet</v>
      </c>
      <c r="N2647" s="322" t="str">
        <f>VLOOKUP(F2647,PAR!$R$3:$S$5,2,FALSE)</f>
        <v>3 - egyik sem</v>
      </c>
      <c r="O2647" t="str">
        <f>IFERROR(VLOOKUP(J2647,PAR!$O$3:$P$5,2,FALSE),"nincs feladat")</f>
        <v>nincs feladat</v>
      </c>
      <c r="P2647" t="str">
        <f>IFERROR(VLOOKUP(G2647,PAR!$J$2:$M$19,4),"nincs rovat")</f>
        <v>nincs rovat</v>
      </c>
      <c r="Q2647" t="str">
        <f>IF(H2647&gt;0,VLOOKUP(H2647,PAR!$AA$3:$AC$187,3,FALSE),"nincs főkönyvi számla")</f>
        <v>nincs főkönyvi számla</v>
      </c>
      <c r="R2647" t="str">
        <f>IFERROR(VLOOKUP(K2647,PAR!$V$3:$X$438,3,FALSE),"000000 - Nincs COFOG")</f>
        <v>000000 - Nincs COFOG</v>
      </c>
      <c r="S2647">
        <f t="shared" si="791"/>
        <v>0</v>
      </c>
      <c r="T2647">
        <f t="shared" si="792"/>
        <v>0</v>
      </c>
      <c r="U2647" t="str">
        <f>IF('906MP'!J2347&gt;0,CONCATENATE('906MP'!J2347," - ",'906MP'!P2347,", ",'906MP'!E2347),"nincs megjegyzés")</f>
        <v>nincs megjegyzés</v>
      </c>
      <c r="V2647" t="str">
        <f t="shared" si="779"/>
        <v>0P0</v>
      </c>
      <c r="W2647" t="str">
        <f t="shared" si="780"/>
        <v>0P0</v>
      </c>
      <c r="X2647" t="str">
        <f t="shared" si="781"/>
        <v>P0</v>
      </c>
      <c r="Y2647" t="str">
        <f t="shared" si="782"/>
        <v>00</v>
      </c>
      <c r="Z2647" t="str">
        <f t="shared" si="793"/>
        <v>00</v>
      </c>
      <c r="AA2647" t="str">
        <f t="shared" si="783"/>
        <v>00</v>
      </c>
      <c r="AB2647" t="str">
        <f t="shared" si="784"/>
        <v>00</v>
      </c>
      <c r="AC2647" t="str">
        <f t="shared" si="785"/>
        <v>0P0</v>
      </c>
      <c r="AD2647" t="str">
        <f t="shared" si="786"/>
        <v>P00</v>
      </c>
      <c r="AE2647" t="str">
        <f t="shared" si="787"/>
        <v>0P0</v>
      </c>
      <c r="AF2647" t="str">
        <f t="shared" si="788"/>
        <v>P00</v>
      </c>
      <c r="AG2647" t="str">
        <f t="shared" si="794"/>
        <v>0P00</v>
      </c>
      <c r="AH2647" t="str">
        <f t="shared" si="795"/>
        <v>P000</v>
      </c>
      <c r="AI2647" t="str">
        <f t="shared" si="796"/>
        <v>0P00</v>
      </c>
      <c r="AJ2647" t="str">
        <f t="shared" si="797"/>
        <v>P000</v>
      </c>
    </row>
    <row r="2648" spans="1:36" x14ac:dyDescent="0.25">
      <c r="A2648" s="325" t="str">
        <f>CONCATENATE("P",'906MP'!M2348)</f>
        <v>P</v>
      </c>
      <c r="B2648">
        <f>'906MP'!H2348</f>
        <v>0</v>
      </c>
      <c r="C2648">
        <f>'906MP'!J2348</f>
        <v>0</v>
      </c>
      <c r="D2648">
        <f>'906MP'!P2348</f>
        <v>0</v>
      </c>
      <c r="E2648">
        <f>'906MP'!X2348</f>
        <v>0</v>
      </c>
      <c r="F2648" t="str">
        <f t="shared" si="789"/>
        <v>0</v>
      </c>
      <c r="G2648" t="str">
        <f t="shared" si="790"/>
        <v>0</v>
      </c>
      <c r="H2648">
        <f>'906MP'!Y2348</f>
        <v>0</v>
      </c>
      <c r="I2648">
        <f>'906MP'!AK2348</f>
        <v>0</v>
      </c>
      <c r="J2648">
        <f>'906MP'!T2348</f>
        <v>0</v>
      </c>
      <c r="K2648">
        <f>'906MP'!AJ2348</f>
        <v>0</v>
      </c>
      <c r="L2648">
        <f>'906MP'!U2348</f>
        <v>0</v>
      </c>
      <c r="M2648" s="322" t="str">
        <f>IFERROR(VLOOKUP(A2648,PAR!$D$3:$E$53,2,FALSE),"nincs szervezet")</f>
        <v>nincs szervezet</v>
      </c>
      <c r="N2648" s="322" t="str">
        <f>VLOOKUP(F2648,PAR!$R$3:$S$5,2,FALSE)</f>
        <v>3 - egyik sem</v>
      </c>
      <c r="O2648" t="str">
        <f>IFERROR(VLOOKUP(J2648,PAR!$O$3:$P$5,2,FALSE),"nincs feladat")</f>
        <v>nincs feladat</v>
      </c>
      <c r="P2648" t="str">
        <f>IFERROR(VLOOKUP(G2648,PAR!$J$2:$M$19,4),"nincs rovat")</f>
        <v>nincs rovat</v>
      </c>
      <c r="Q2648" t="str">
        <f>IF(H2648&gt;0,VLOOKUP(H2648,PAR!$AA$3:$AC$187,3,FALSE),"nincs főkönyvi számla")</f>
        <v>nincs főkönyvi számla</v>
      </c>
      <c r="R2648" t="str">
        <f>IFERROR(VLOOKUP(K2648,PAR!$V$3:$X$438,3,FALSE),"000000 - Nincs COFOG")</f>
        <v>000000 - Nincs COFOG</v>
      </c>
      <c r="S2648">
        <f t="shared" si="791"/>
        <v>0</v>
      </c>
      <c r="T2648">
        <f t="shared" si="792"/>
        <v>0</v>
      </c>
      <c r="U2648" t="str">
        <f>IF('906MP'!J2348&gt;0,CONCATENATE('906MP'!J2348," - ",'906MP'!P2348,", ",'906MP'!E2348),"nincs megjegyzés")</f>
        <v>nincs megjegyzés</v>
      </c>
      <c r="V2648" t="str">
        <f t="shared" si="779"/>
        <v>0P0</v>
      </c>
      <c r="W2648" t="str">
        <f t="shared" si="780"/>
        <v>0P0</v>
      </c>
      <c r="X2648" t="str">
        <f t="shared" si="781"/>
        <v>P0</v>
      </c>
      <c r="Y2648" t="str">
        <f t="shared" si="782"/>
        <v>00</v>
      </c>
      <c r="Z2648" t="str">
        <f t="shared" si="793"/>
        <v>00</v>
      </c>
      <c r="AA2648" t="str">
        <f t="shared" si="783"/>
        <v>00</v>
      </c>
      <c r="AB2648" t="str">
        <f t="shared" si="784"/>
        <v>00</v>
      </c>
      <c r="AC2648" t="str">
        <f t="shared" si="785"/>
        <v>0P0</v>
      </c>
      <c r="AD2648" t="str">
        <f t="shared" si="786"/>
        <v>P00</v>
      </c>
      <c r="AE2648" t="str">
        <f t="shared" si="787"/>
        <v>0P0</v>
      </c>
      <c r="AF2648" t="str">
        <f t="shared" si="788"/>
        <v>P00</v>
      </c>
      <c r="AG2648" t="str">
        <f t="shared" si="794"/>
        <v>0P00</v>
      </c>
      <c r="AH2648" t="str">
        <f t="shared" si="795"/>
        <v>P000</v>
      </c>
      <c r="AI2648" t="str">
        <f t="shared" si="796"/>
        <v>0P00</v>
      </c>
      <c r="AJ2648" t="str">
        <f t="shared" si="797"/>
        <v>P000</v>
      </c>
    </row>
    <row r="2649" spans="1:36" x14ac:dyDescent="0.25">
      <c r="A2649" s="325" t="str">
        <f>CONCATENATE("P",'906MP'!M2349)</f>
        <v>P</v>
      </c>
      <c r="B2649">
        <f>'906MP'!H2349</f>
        <v>0</v>
      </c>
      <c r="C2649">
        <f>'906MP'!J2349</f>
        <v>0</v>
      </c>
      <c r="D2649">
        <f>'906MP'!P2349</f>
        <v>0</v>
      </c>
      <c r="E2649">
        <f>'906MP'!X2349</f>
        <v>0</v>
      </c>
      <c r="F2649" t="str">
        <f t="shared" si="789"/>
        <v>0</v>
      </c>
      <c r="G2649" t="str">
        <f t="shared" si="790"/>
        <v>0</v>
      </c>
      <c r="H2649">
        <f>'906MP'!Y2349</f>
        <v>0</v>
      </c>
      <c r="I2649">
        <f>'906MP'!AK2349</f>
        <v>0</v>
      </c>
      <c r="J2649">
        <f>'906MP'!T2349</f>
        <v>0</v>
      </c>
      <c r="K2649">
        <f>'906MP'!AJ2349</f>
        <v>0</v>
      </c>
      <c r="L2649">
        <f>'906MP'!U2349</f>
        <v>0</v>
      </c>
      <c r="M2649" s="322" t="str">
        <f>IFERROR(VLOOKUP(A2649,PAR!$D$3:$E$53,2,FALSE),"nincs szervezet")</f>
        <v>nincs szervezet</v>
      </c>
      <c r="N2649" s="322" t="str">
        <f>VLOOKUP(F2649,PAR!$R$3:$S$5,2,FALSE)</f>
        <v>3 - egyik sem</v>
      </c>
      <c r="O2649" t="str">
        <f>IFERROR(VLOOKUP(J2649,PAR!$O$3:$P$5,2,FALSE),"nincs feladat")</f>
        <v>nincs feladat</v>
      </c>
      <c r="P2649" t="str">
        <f>IFERROR(VLOOKUP(G2649,PAR!$J$2:$M$19,4),"nincs rovat")</f>
        <v>nincs rovat</v>
      </c>
      <c r="Q2649" t="str">
        <f>IF(H2649&gt;0,VLOOKUP(H2649,PAR!$AA$3:$AC$187,3,FALSE),"nincs főkönyvi számla")</f>
        <v>nincs főkönyvi számla</v>
      </c>
      <c r="R2649" t="str">
        <f>IFERROR(VLOOKUP(K2649,PAR!$V$3:$X$438,3,FALSE),"000000 - Nincs COFOG")</f>
        <v>000000 - Nincs COFOG</v>
      </c>
      <c r="S2649">
        <f t="shared" si="791"/>
        <v>0</v>
      </c>
      <c r="T2649">
        <f t="shared" si="792"/>
        <v>0</v>
      </c>
      <c r="U2649" t="str">
        <f>IF('906MP'!J2349&gt;0,CONCATENATE('906MP'!J2349," - ",'906MP'!P2349,", ",'906MP'!E2349),"nincs megjegyzés")</f>
        <v>nincs megjegyzés</v>
      </c>
      <c r="V2649" t="str">
        <f t="shared" si="779"/>
        <v>0P0</v>
      </c>
      <c r="W2649" t="str">
        <f t="shared" si="780"/>
        <v>0P0</v>
      </c>
      <c r="X2649" t="str">
        <f t="shared" si="781"/>
        <v>P0</v>
      </c>
      <c r="Y2649" t="str">
        <f t="shared" si="782"/>
        <v>00</v>
      </c>
      <c r="Z2649" t="str">
        <f t="shared" si="793"/>
        <v>00</v>
      </c>
      <c r="AA2649" t="str">
        <f t="shared" si="783"/>
        <v>00</v>
      </c>
      <c r="AB2649" t="str">
        <f t="shared" si="784"/>
        <v>00</v>
      </c>
      <c r="AC2649" t="str">
        <f t="shared" si="785"/>
        <v>0P0</v>
      </c>
      <c r="AD2649" t="str">
        <f t="shared" si="786"/>
        <v>P00</v>
      </c>
      <c r="AE2649" t="str">
        <f t="shared" si="787"/>
        <v>0P0</v>
      </c>
      <c r="AF2649" t="str">
        <f t="shared" si="788"/>
        <v>P00</v>
      </c>
      <c r="AG2649" t="str">
        <f t="shared" si="794"/>
        <v>0P00</v>
      </c>
      <c r="AH2649" t="str">
        <f t="shared" si="795"/>
        <v>P000</v>
      </c>
      <c r="AI2649" t="str">
        <f t="shared" si="796"/>
        <v>0P00</v>
      </c>
      <c r="AJ2649" t="str">
        <f t="shared" si="797"/>
        <v>P000</v>
      </c>
    </row>
    <row r="2650" spans="1:36" x14ac:dyDescent="0.25">
      <c r="A2650" s="325" t="str">
        <f>CONCATENATE("P",'906MP'!M2350)</f>
        <v>P</v>
      </c>
      <c r="B2650">
        <f>'906MP'!H2350</f>
        <v>0</v>
      </c>
      <c r="C2650">
        <f>'906MP'!J2350</f>
        <v>0</v>
      </c>
      <c r="D2650">
        <f>'906MP'!P2350</f>
        <v>0</v>
      </c>
      <c r="E2650">
        <f>'906MP'!X2350</f>
        <v>0</v>
      </c>
      <c r="F2650" t="str">
        <f t="shared" si="789"/>
        <v>0</v>
      </c>
      <c r="G2650" t="str">
        <f t="shared" si="790"/>
        <v>0</v>
      </c>
      <c r="H2650">
        <f>'906MP'!Y2350</f>
        <v>0</v>
      </c>
      <c r="I2650">
        <f>'906MP'!AK2350</f>
        <v>0</v>
      </c>
      <c r="J2650">
        <f>'906MP'!T2350</f>
        <v>0</v>
      </c>
      <c r="K2650">
        <f>'906MP'!AJ2350</f>
        <v>0</v>
      </c>
      <c r="L2650">
        <f>'906MP'!U2350</f>
        <v>0</v>
      </c>
      <c r="M2650" s="322" t="str">
        <f>IFERROR(VLOOKUP(A2650,PAR!$D$3:$E$53,2,FALSE),"nincs szervezet")</f>
        <v>nincs szervezet</v>
      </c>
      <c r="N2650" s="322" t="str">
        <f>VLOOKUP(F2650,PAR!$R$3:$S$5,2,FALSE)</f>
        <v>3 - egyik sem</v>
      </c>
      <c r="O2650" t="str">
        <f>IFERROR(VLOOKUP(J2650,PAR!$O$3:$P$5,2,FALSE),"nincs feladat")</f>
        <v>nincs feladat</v>
      </c>
      <c r="P2650" t="str">
        <f>IFERROR(VLOOKUP(G2650,PAR!$J$2:$M$19,4),"nincs rovat")</f>
        <v>nincs rovat</v>
      </c>
      <c r="Q2650" t="str">
        <f>IF(H2650&gt;0,VLOOKUP(H2650,PAR!$AA$3:$AC$187,3,FALSE),"nincs főkönyvi számla")</f>
        <v>nincs főkönyvi számla</v>
      </c>
      <c r="R2650" t="str">
        <f>IFERROR(VLOOKUP(K2650,PAR!$V$3:$X$438,3,FALSE),"000000 - Nincs COFOG")</f>
        <v>000000 - Nincs COFOG</v>
      </c>
      <c r="S2650">
        <f t="shared" si="791"/>
        <v>0</v>
      </c>
      <c r="T2650">
        <f t="shared" si="792"/>
        <v>0</v>
      </c>
      <c r="U2650" t="str">
        <f>IF('906MP'!J2350&gt;0,CONCATENATE('906MP'!J2350," - ",'906MP'!P2350,", ",'906MP'!E2350),"nincs megjegyzés")</f>
        <v>nincs megjegyzés</v>
      </c>
      <c r="V2650" t="str">
        <f t="shared" si="779"/>
        <v>0P0</v>
      </c>
      <c r="W2650" t="str">
        <f t="shared" si="780"/>
        <v>0P0</v>
      </c>
      <c r="X2650" t="str">
        <f t="shared" si="781"/>
        <v>P0</v>
      </c>
      <c r="Y2650" t="str">
        <f t="shared" si="782"/>
        <v>00</v>
      </c>
      <c r="Z2650" t="str">
        <f t="shared" si="793"/>
        <v>00</v>
      </c>
      <c r="AA2650" t="str">
        <f t="shared" si="783"/>
        <v>00</v>
      </c>
      <c r="AB2650" t="str">
        <f t="shared" si="784"/>
        <v>00</v>
      </c>
      <c r="AC2650" t="str">
        <f t="shared" si="785"/>
        <v>0P0</v>
      </c>
      <c r="AD2650" t="str">
        <f t="shared" si="786"/>
        <v>P00</v>
      </c>
      <c r="AE2650" t="str">
        <f t="shared" si="787"/>
        <v>0P0</v>
      </c>
      <c r="AF2650" t="str">
        <f t="shared" si="788"/>
        <v>P00</v>
      </c>
      <c r="AG2650" t="str">
        <f t="shared" si="794"/>
        <v>0P00</v>
      </c>
      <c r="AH2650" t="str">
        <f t="shared" si="795"/>
        <v>P000</v>
      </c>
      <c r="AI2650" t="str">
        <f t="shared" si="796"/>
        <v>0P00</v>
      </c>
      <c r="AJ2650" t="str">
        <f t="shared" si="797"/>
        <v>P000</v>
      </c>
    </row>
    <row r="2651" spans="1:36" x14ac:dyDescent="0.25">
      <c r="A2651" s="325" t="str">
        <f>CONCATENATE("P",'906MP'!M2351)</f>
        <v>P</v>
      </c>
      <c r="B2651">
        <f>'906MP'!H2351</f>
        <v>0</v>
      </c>
      <c r="C2651">
        <f>'906MP'!J2351</f>
        <v>0</v>
      </c>
      <c r="D2651">
        <f>'906MP'!P2351</f>
        <v>0</v>
      </c>
      <c r="E2651">
        <f>'906MP'!X2351</f>
        <v>0</v>
      </c>
      <c r="F2651" t="str">
        <f t="shared" si="789"/>
        <v>0</v>
      </c>
      <c r="G2651" t="str">
        <f t="shared" si="790"/>
        <v>0</v>
      </c>
      <c r="H2651">
        <f>'906MP'!Y2351</f>
        <v>0</v>
      </c>
      <c r="I2651">
        <f>'906MP'!AK2351</f>
        <v>0</v>
      </c>
      <c r="J2651">
        <f>'906MP'!T2351</f>
        <v>0</v>
      </c>
      <c r="K2651">
        <f>'906MP'!AJ2351</f>
        <v>0</v>
      </c>
      <c r="L2651">
        <f>'906MP'!U2351</f>
        <v>0</v>
      </c>
      <c r="M2651" s="322" t="str">
        <f>IFERROR(VLOOKUP(A2651,PAR!$D$3:$E$53,2,FALSE),"nincs szervezet")</f>
        <v>nincs szervezet</v>
      </c>
      <c r="N2651" s="322" t="str">
        <f>VLOOKUP(F2651,PAR!$R$3:$S$5,2,FALSE)</f>
        <v>3 - egyik sem</v>
      </c>
      <c r="O2651" t="str">
        <f>IFERROR(VLOOKUP(J2651,PAR!$O$3:$P$5,2,FALSE),"nincs feladat")</f>
        <v>nincs feladat</v>
      </c>
      <c r="P2651" t="str">
        <f>IFERROR(VLOOKUP(G2651,PAR!$J$2:$M$19,4),"nincs rovat")</f>
        <v>nincs rovat</v>
      </c>
      <c r="Q2651" t="str">
        <f>IF(H2651&gt;0,VLOOKUP(H2651,PAR!$AA$3:$AC$187,3,FALSE),"nincs főkönyvi számla")</f>
        <v>nincs főkönyvi számla</v>
      </c>
      <c r="R2651" t="str">
        <f>IFERROR(VLOOKUP(K2651,PAR!$V$3:$X$438,3,FALSE),"000000 - Nincs COFOG")</f>
        <v>000000 - Nincs COFOG</v>
      </c>
      <c r="S2651">
        <f t="shared" si="791"/>
        <v>0</v>
      </c>
      <c r="T2651">
        <f t="shared" si="792"/>
        <v>0</v>
      </c>
      <c r="U2651" t="str">
        <f>IF('906MP'!J2351&gt;0,CONCATENATE('906MP'!J2351," - ",'906MP'!P2351,", ",'906MP'!E2351),"nincs megjegyzés")</f>
        <v>nincs megjegyzés</v>
      </c>
      <c r="V2651" t="str">
        <f t="shared" si="779"/>
        <v>0P0</v>
      </c>
      <c r="W2651" t="str">
        <f t="shared" si="780"/>
        <v>0P0</v>
      </c>
      <c r="X2651" t="str">
        <f t="shared" si="781"/>
        <v>P0</v>
      </c>
      <c r="Y2651" t="str">
        <f t="shared" si="782"/>
        <v>00</v>
      </c>
      <c r="Z2651" t="str">
        <f t="shared" si="793"/>
        <v>00</v>
      </c>
      <c r="AA2651" t="str">
        <f t="shared" si="783"/>
        <v>00</v>
      </c>
      <c r="AB2651" t="str">
        <f t="shared" si="784"/>
        <v>00</v>
      </c>
      <c r="AC2651" t="str">
        <f t="shared" si="785"/>
        <v>0P0</v>
      </c>
      <c r="AD2651" t="str">
        <f t="shared" si="786"/>
        <v>P00</v>
      </c>
      <c r="AE2651" t="str">
        <f t="shared" si="787"/>
        <v>0P0</v>
      </c>
      <c r="AF2651" t="str">
        <f t="shared" si="788"/>
        <v>P00</v>
      </c>
      <c r="AG2651" t="str">
        <f t="shared" si="794"/>
        <v>0P00</v>
      </c>
      <c r="AH2651" t="str">
        <f t="shared" si="795"/>
        <v>P000</v>
      </c>
      <c r="AI2651" t="str">
        <f t="shared" si="796"/>
        <v>0P00</v>
      </c>
      <c r="AJ2651" t="str">
        <f t="shared" si="797"/>
        <v>P000</v>
      </c>
    </row>
    <row r="2652" spans="1:36" x14ac:dyDescent="0.25">
      <c r="A2652" s="325" t="str">
        <f>CONCATENATE("P",'906MP'!M2352)</f>
        <v>P</v>
      </c>
      <c r="B2652">
        <f>'906MP'!H2352</f>
        <v>0</v>
      </c>
      <c r="C2652">
        <f>'906MP'!J2352</f>
        <v>0</v>
      </c>
      <c r="D2652">
        <f>'906MP'!P2352</f>
        <v>0</v>
      </c>
      <c r="E2652">
        <f>'906MP'!X2352</f>
        <v>0</v>
      </c>
      <c r="F2652" t="str">
        <f t="shared" si="789"/>
        <v>0</v>
      </c>
      <c r="G2652" t="str">
        <f t="shared" si="790"/>
        <v>0</v>
      </c>
      <c r="H2652">
        <f>'906MP'!Y2352</f>
        <v>0</v>
      </c>
      <c r="I2652">
        <f>'906MP'!AK2352</f>
        <v>0</v>
      </c>
      <c r="J2652">
        <f>'906MP'!T2352</f>
        <v>0</v>
      </c>
      <c r="K2652">
        <f>'906MP'!AJ2352</f>
        <v>0</v>
      </c>
      <c r="L2652">
        <f>'906MP'!U2352</f>
        <v>0</v>
      </c>
      <c r="M2652" s="322" t="str">
        <f>IFERROR(VLOOKUP(A2652,PAR!$D$3:$E$53,2,FALSE),"nincs szervezet")</f>
        <v>nincs szervezet</v>
      </c>
      <c r="N2652" s="322" t="str">
        <f>VLOOKUP(F2652,PAR!$R$3:$S$5,2,FALSE)</f>
        <v>3 - egyik sem</v>
      </c>
      <c r="O2652" t="str">
        <f>IFERROR(VLOOKUP(J2652,PAR!$O$3:$P$5,2,FALSE),"nincs feladat")</f>
        <v>nincs feladat</v>
      </c>
      <c r="P2652" t="str">
        <f>IFERROR(VLOOKUP(G2652,PAR!$J$2:$M$19,4),"nincs rovat")</f>
        <v>nincs rovat</v>
      </c>
      <c r="Q2652" t="str">
        <f>IF(H2652&gt;0,VLOOKUP(H2652,PAR!$AA$3:$AC$187,3,FALSE),"nincs főkönyvi számla")</f>
        <v>nincs főkönyvi számla</v>
      </c>
      <c r="R2652" t="str">
        <f>IFERROR(VLOOKUP(K2652,PAR!$V$3:$X$438,3,FALSE),"000000 - Nincs COFOG")</f>
        <v>000000 - Nincs COFOG</v>
      </c>
      <c r="S2652">
        <f t="shared" si="791"/>
        <v>0</v>
      </c>
      <c r="T2652">
        <f t="shared" si="792"/>
        <v>0</v>
      </c>
      <c r="U2652" t="str">
        <f>IF('906MP'!J2352&gt;0,CONCATENATE('906MP'!J2352," - ",'906MP'!P2352,", ",'906MP'!E2352),"nincs megjegyzés")</f>
        <v>nincs megjegyzés</v>
      </c>
      <c r="V2652" t="str">
        <f t="shared" si="779"/>
        <v>0P0</v>
      </c>
      <c r="W2652" t="str">
        <f t="shared" si="780"/>
        <v>0P0</v>
      </c>
      <c r="X2652" t="str">
        <f t="shared" si="781"/>
        <v>P0</v>
      </c>
      <c r="Y2652" t="str">
        <f t="shared" si="782"/>
        <v>00</v>
      </c>
      <c r="Z2652" t="str">
        <f t="shared" si="793"/>
        <v>00</v>
      </c>
      <c r="AA2652" t="str">
        <f t="shared" si="783"/>
        <v>00</v>
      </c>
      <c r="AB2652" t="str">
        <f t="shared" si="784"/>
        <v>00</v>
      </c>
      <c r="AC2652" t="str">
        <f t="shared" si="785"/>
        <v>0P0</v>
      </c>
      <c r="AD2652" t="str">
        <f t="shared" si="786"/>
        <v>P00</v>
      </c>
      <c r="AE2652" t="str">
        <f t="shared" si="787"/>
        <v>0P0</v>
      </c>
      <c r="AF2652" t="str">
        <f t="shared" si="788"/>
        <v>P00</v>
      </c>
      <c r="AG2652" t="str">
        <f t="shared" si="794"/>
        <v>0P00</v>
      </c>
      <c r="AH2652" t="str">
        <f t="shared" si="795"/>
        <v>P000</v>
      </c>
      <c r="AI2652" t="str">
        <f t="shared" si="796"/>
        <v>0P00</v>
      </c>
      <c r="AJ2652" t="str">
        <f t="shared" si="797"/>
        <v>P000</v>
      </c>
    </row>
    <row r="2653" spans="1:36" x14ac:dyDescent="0.25">
      <c r="A2653" s="325" t="str">
        <f>CONCATENATE("P",'906MP'!M2353)</f>
        <v>P</v>
      </c>
      <c r="B2653">
        <f>'906MP'!H2353</f>
        <v>0</v>
      </c>
      <c r="C2653">
        <f>'906MP'!J2353</f>
        <v>0</v>
      </c>
      <c r="D2653">
        <f>'906MP'!P2353</f>
        <v>0</v>
      </c>
      <c r="E2653">
        <f>'906MP'!X2353</f>
        <v>0</v>
      </c>
      <c r="F2653" t="str">
        <f t="shared" si="789"/>
        <v>0</v>
      </c>
      <c r="G2653" t="str">
        <f t="shared" si="790"/>
        <v>0</v>
      </c>
      <c r="H2653">
        <f>'906MP'!Y2353</f>
        <v>0</v>
      </c>
      <c r="I2653">
        <f>'906MP'!AK2353</f>
        <v>0</v>
      </c>
      <c r="J2653">
        <f>'906MP'!T2353</f>
        <v>0</v>
      </c>
      <c r="K2653">
        <f>'906MP'!AJ2353</f>
        <v>0</v>
      </c>
      <c r="L2653">
        <f>'906MP'!U2353</f>
        <v>0</v>
      </c>
      <c r="M2653" s="322" t="str">
        <f>IFERROR(VLOOKUP(A2653,PAR!$D$3:$E$53,2,FALSE),"nincs szervezet")</f>
        <v>nincs szervezet</v>
      </c>
      <c r="N2653" s="322" t="str">
        <f>VLOOKUP(F2653,PAR!$R$3:$S$5,2,FALSE)</f>
        <v>3 - egyik sem</v>
      </c>
      <c r="O2653" t="str">
        <f>IFERROR(VLOOKUP(J2653,PAR!$O$3:$P$5,2,FALSE),"nincs feladat")</f>
        <v>nincs feladat</v>
      </c>
      <c r="P2653" t="str">
        <f>IFERROR(VLOOKUP(G2653,PAR!$J$2:$M$19,4),"nincs rovat")</f>
        <v>nincs rovat</v>
      </c>
      <c r="Q2653" t="str">
        <f>IF(H2653&gt;0,VLOOKUP(H2653,PAR!$AA$3:$AC$187,3,FALSE),"nincs főkönyvi számla")</f>
        <v>nincs főkönyvi számla</v>
      </c>
      <c r="R2653" t="str">
        <f>IFERROR(VLOOKUP(K2653,PAR!$V$3:$X$438,3,FALSE),"000000 - Nincs COFOG")</f>
        <v>000000 - Nincs COFOG</v>
      </c>
      <c r="S2653">
        <f t="shared" si="791"/>
        <v>0</v>
      </c>
      <c r="T2653">
        <f t="shared" si="792"/>
        <v>0</v>
      </c>
      <c r="U2653" t="str">
        <f>IF('906MP'!J2353&gt;0,CONCATENATE('906MP'!J2353," - ",'906MP'!P2353,", ",'906MP'!E2353),"nincs megjegyzés")</f>
        <v>nincs megjegyzés</v>
      </c>
      <c r="V2653" t="str">
        <f t="shared" si="779"/>
        <v>0P0</v>
      </c>
      <c r="W2653" t="str">
        <f t="shared" si="780"/>
        <v>0P0</v>
      </c>
      <c r="X2653" t="str">
        <f t="shared" si="781"/>
        <v>P0</v>
      </c>
      <c r="Y2653" t="str">
        <f t="shared" si="782"/>
        <v>00</v>
      </c>
      <c r="Z2653" t="str">
        <f t="shared" si="793"/>
        <v>00</v>
      </c>
      <c r="AA2653" t="str">
        <f t="shared" si="783"/>
        <v>00</v>
      </c>
      <c r="AB2653" t="str">
        <f t="shared" si="784"/>
        <v>00</v>
      </c>
      <c r="AC2653" t="str">
        <f t="shared" si="785"/>
        <v>0P0</v>
      </c>
      <c r="AD2653" t="str">
        <f t="shared" si="786"/>
        <v>P00</v>
      </c>
      <c r="AE2653" t="str">
        <f t="shared" si="787"/>
        <v>0P0</v>
      </c>
      <c r="AF2653" t="str">
        <f t="shared" si="788"/>
        <v>P00</v>
      </c>
      <c r="AG2653" t="str">
        <f t="shared" si="794"/>
        <v>0P00</v>
      </c>
      <c r="AH2653" t="str">
        <f t="shared" si="795"/>
        <v>P000</v>
      </c>
      <c r="AI2653" t="str">
        <f t="shared" si="796"/>
        <v>0P00</v>
      </c>
      <c r="AJ2653" t="str">
        <f t="shared" si="797"/>
        <v>P000</v>
      </c>
    </row>
    <row r="2654" spans="1:36" x14ac:dyDescent="0.25">
      <c r="A2654" s="325" t="str">
        <f>CONCATENATE("P",'906MP'!M2354)</f>
        <v>P</v>
      </c>
      <c r="B2654">
        <f>'906MP'!H2354</f>
        <v>0</v>
      </c>
      <c r="C2654">
        <f>'906MP'!J2354</f>
        <v>0</v>
      </c>
      <c r="D2654">
        <f>'906MP'!P2354</f>
        <v>0</v>
      </c>
      <c r="E2654">
        <f>'906MP'!X2354</f>
        <v>0</v>
      </c>
      <c r="F2654" t="str">
        <f t="shared" si="789"/>
        <v>0</v>
      </c>
      <c r="G2654" t="str">
        <f t="shared" si="790"/>
        <v>0</v>
      </c>
      <c r="H2654">
        <f>'906MP'!Y2354</f>
        <v>0</v>
      </c>
      <c r="I2654">
        <f>'906MP'!AK2354</f>
        <v>0</v>
      </c>
      <c r="J2654">
        <f>'906MP'!T2354</f>
        <v>0</v>
      </c>
      <c r="K2654">
        <f>'906MP'!AJ2354</f>
        <v>0</v>
      </c>
      <c r="L2654">
        <f>'906MP'!U2354</f>
        <v>0</v>
      </c>
      <c r="M2654" s="322" t="str">
        <f>IFERROR(VLOOKUP(A2654,PAR!$D$3:$E$53,2,FALSE),"nincs szervezet")</f>
        <v>nincs szervezet</v>
      </c>
      <c r="N2654" s="322" t="str">
        <f>VLOOKUP(F2654,PAR!$R$3:$S$5,2,FALSE)</f>
        <v>3 - egyik sem</v>
      </c>
      <c r="O2654" t="str">
        <f>IFERROR(VLOOKUP(J2654,PAR!$O$3:$P$5,2,FALSE),"nincs feladat")</f>
        <v>nincs feladat</v>
      </c>
      <c r="P2654" t="str">
        <f>IFERROR(VLOOKUP(G2654,PAR!$J$2:$M$19,4),"nincs rovat")</f>
        <v>nincs rovat</v>
      </c>
      <c r="Q2654" t="str">
        <f>IF(H2654&gt;0,VLOOKUP(H2654,PAR!$AA$3:$AC$187,3,FALSE),"nincs főkönyvi számla")</f>
        <v>nincs főkönyvi számla</v>
      </c>
      <c r="R2654" t="str">
        <f>IFERROR(VLOOKUP(K2654,PAR!$V$3:$X$438,3,FALSE),"000000 - Nincs COFOG")</f>
        <v>000000 - Nincs COFOG</v>
      </c>
      <c r="S2654">
        <f t="shared" si="791"/>
        <v>0</v>
      </c>
      <c r="T2654">
        <f t="shared" si="792"/>
        <v>0</v>
      </c>
      <c r="U2654" t="str">
        <f>IF('906MP'!J2354&gt;0,CONCATENATE('906MP'!J2354," - ",'906MP'!P2354,", ",'906MP'!E2354),"nincs megjegyzés")</f>
        <v>nincs megjegyzés</v>
      </c>
      <c r="V2654" t="str">
        <f t="shared" si="779"/>
        <v>0P0</v>
      </c>
      <c r="W2654" t="str">
        <f t="shared" si="780"/>
        <v>0P0</v>
      </c>
      <c r="X2654" t="str">
        <f t="shared" si="781"/>
        <v>P0</v>
      </c>
      <c r="Y2654" t="str">
        <f t="shared" si="782"/>
        <v>00</v>
      </c>
      <c r="Z2654" t="str">
        <f t="shared" si="793"/>
        <v>00</v>
      </c>
      <c r="AA2654" t="str">
        <f t="shared" si="783"/>
        <v>00</v>
      </c>
      <c r="AB2654" t="str">
        <f t="shared" si="784"/>
        <v>00</v>
      </c>
      <c r="AC2654" t="str">
        <f t="shared" si="785"/>
        <v>0P0</v>
      </c>
      <c r="AD2654" t="str">
        <f t="shared" si="786"/>
        <v>P00</v>
      </c>
      <c r="AE2654" t="str">
        <f t="shared" si="787"/>
        <v>0P0</v>
      </c>
      <c r="AF2654" t="str">
        <f t="shared" si="788"/>
        <v>P00</v>
      </c>
      <c r="AG2654" t="str">
        <f t="shared" si="794"/>
        <v>0P00</v>
      </c>
      <c r="AH2654" t="str">
        <f t="shared" si="795"/>
        <v>P000</v>
      </c>
      <c r="AI2654" t="str">
        <f t="shared" si="796"/>
        <v>0P00</v>
      </c>
      <c r="AJ2654" t="str">
        <f t="shared" si="797"/>
        <v>P000</v>
      </c>
    </row>
    <row r="2655" spans="1:36" x14ac:dyDescent="0.25">
      <c r="A2655" s="325" t="str">
        <f>CONCATENATE("P",'906MP'!M2355)</f>
        <v>P</v>
      </c>
      <c r="B2655">
        <f>'906MP'!H2355</f>
        <v>0</v>
      </c>
      <c r="C2655">
        <f>'906MP'!J2355</f>
        <v>0</v>
      </c>
      <c r="D2655">
        <f>'906MP'!P2355</f>
        <v>0</v>
      </c>
      <c r="E2655">
        <f>'906MP'!X2355</f>
        <v>0</v>
      </c>
      <c r="F2655" t="str">
        <f t="shared" si="789"/>
        <v>0</v>
      </c>
      <c r="G2655" t="str">
        <f t="shared" si="790"/>
        <v>0</v>
      </c>
      <c r="H2655">
        <f>'906MP'!Y2355</f>
        <v>0</v>
      </c>
      <c r="I2655">
        <f>'906MP'!AK2355</f>
        <v>0</v>
      </c>
      <c r="J2655">
        <f>'906MP'!T2355</f>
        <v>0</v>
      </c>
      <c r="K2655">
        <f>'906MP'!AJ2355</f>
        <v>0</v>
      </c>
      <c r="L2655">
        <f>'906MP'!U2355</f>
        <v>0</v>
      </c>
      <c r="M2655" s="322" t="str">
        <f>IFERROR(VLOOKUP(A2655,PAR!$D$3:$E$53,2,FALSE),"nincs szervezet")</f>
        <v>nincs szervezet</v>
      </c>
      <c r="N2655" s="322" t="str">
        <f>VLOOKUP(F2655,PAR!$R$3:$S$5,2,FALSE)</f>
        <v>3 - egyik sem</v>
      </c>
      <c r="O2655" t="str">
        <f>IFERROR(VLOOKUP(J2655,PAR!$O$3:$P$5,2,FALSE),"nincs feladat")</f>
        <v>nincs feladat</v>
      </c>
      <c r="P2655" t="str">
        <f>IFERROR(VLOOKUP(G2655,PAR!$J$2:$M$19,4),"nincs rovat")</f>
        <v>nincs rovat</v>
      </c>
      <c r="Q2655" t="str">
        <f>IF(H2655&gt;0,VLOOKUP(H2655,PAR!$AA$3:$AC$187,3,FALSE),"nincs főkönyvi számla")</f>
        <v>nincs főkönyvi számla</v>
      </c>
      <c r="R2655" t="str">
        <f>IFERROR(VLOOKUP(K2655,PAR!$V$3:$X$438,3,FALSE),"000000 - Nincs COFOG")</f>
        <v>000000 - Nincs COFOG</v>
      </c>
      <c r="S2655">
        <f t="shared" si="791"/>
        <v>0</v>
      </c>
      <c r="T2655">
        <f t="shared" si="792"/>
        <v>0</v>
      </c>
      <c r="U2655" t="str">
        <f>IF('906MP'!J2355&gt;0,CONCATENATE('906MP'!J2355," - ",'906MP'!P2355,", ",'906MP'!E2355),"nincs megjegyzés")</f>
        <v>nincs megjegyzés</v>
      </c>
      <c r="V2655" t="str">
        <f t="shared" si="779"/>
        <v>0P0</v>
      </c>
      <c r="W2655" t="str">
        <f t="shared" si="780"/>
        <v>0P0</v>
      </c>
      <c r="X2655" t="str">
        <f t="shared" si="781"/>
        <v>P0</v>
      </c>
      <c r="Y2655" t="str">
        <f t="shared" si="782"/>
        <v>00</v>
      </c>
      <c r="Z2655" t="str">
        <f t="shared" si="793"/>
        <v>00</v>
      </c>
      <c r="AA2655" t="str">
        <f t="shared" si="783"/>
        <v>00</v>
      </c>
      <c r="AB2655" t="str">
        <f t="shared" si="784"/>
        <v>00</v>
      </c>
      <c r="AC2655" t="str">
        <f t="shared" si="785"/>
        <v>0P0</v>
      </c>
      <c r="AD2655" t="str">
        <f t="shared" si="786"/>
        <v>P00</v>
      </c>
      <c r="AE2655" t="str">
        <f t="shared" si="787"/>
        <v>0P0</v>
      </c>
      <c r="AF2655" t="str">
        <f t="shared" si="788"/>
        <v>P00</v>
      </c>
      <c r="AG2655" t="str">
        <f t="shared" si="794"/>
        <v>0P00</v>
      </c>
      <c r="AH2655" t="str">
        <f t="shared" si="795"/>
        <v>P000</v>
      </c>
      <c r="AI2655" t="str">
        <f t="shared" si="796"/>
        <v>0P00</v>
      </c>
      <c r="AJ2655" t="str">
        <f t="shared" si="797"/>
        <v>P000</v>
      </c>
    </row>
    <row r="2656" spans="1:36" x14ac:dyDescent="0.25">
      <c r="A2656" s="325" t="str">
        <f>CONCATENATE("P",'906MP'!M2356)</f>
        <v>P</v>
      </c>
      <c r="B2656">
        <f>'906MP'!H2356</f>
        <v>0</v>
      </c>
      <c r="C2656">
        <f>'906MP'!J2356</f>
        <v>0</v>
      </c>
      <c r="D2656">
        <f>'906MP'!P2356</f>
        <v>0</v>
      </c>
      <c r="E2656">
        <f>'906MP'!X2356</f>
        <v>0</v>
      </c>
      <c r="F2656" t="str">
        <f t="shared" si="789"/>
        <v>0</v>
      </c>
      <c r="G2656" t="str">
        <f t="shared" si="790"/>
        <v>0</v>
      </c>
      <c r="H2656">
        <f>'906MP'!Y2356</f>
        <v>0</v>
      </c>
      <c r="I2656">
        <f>'906MP'!AK2356</f>
        <v>0</v>
      </c>
      <c r="J2656">
        <f>'906MP'!T2356</f>
        <v>0</v>
      </c>
      <c r="K2656">
        <f>'906MP'!AJ2356</f>
        <v>0</v>
      </c>
      <c r="L2656">
        <f>'906MP'!U2356</f>
        <v>0</v>
      </c>
      <c r="M2656" s="322" t="str">
        <f>IFERROR(VLOOKUP(A2656,PAR!$D$3:$E$53,2,FALSE),"nincs szervezet")</f>
        <v>nincs szervezet</v>
      </c>
      <c r="N2656" s="322" t="str">
        <f>VLOOKUP(F2656,PAR!$R$3:$S$5,2,FALSE)</f>
        <v>3 - egyik sem</v>
      </c>
      <c r="O2656" t="str">
        <f>IFERROR(VLOOKUP(J2656,PAR!$O$3:$P$5,2,FALSE),"nincs feladat")</f>
        <v>nincs feladat</v>
      </c>
      <c r="P2656" t="str">
        <f>IFERROR(VLOOKUP(G2656,PAR!$J$2:$M$19,4),"nincs rovat")</f>
        <v>nincs rovat</v>
      </c>
      <c r="Q2656" t="str">
        <f>IF(H2656&gt;0,VLOOKUP(H2656,PAR!$AA$3:$AC$187,3,FALSE),"nincs főkönyvi számla")</f>
        <v>nincs főkönyvi számla</v>
      </c>
      <c r="R2656" t="str">
        <f>IFERROR(VLOOKUP(K2656,PAR!$V$3:$X$438,3,FALSE),"000000 - Nincs COFOG")</f>
        <v>000000 - Nincs COFOG</v>
      </c>
      <c r="S2656">
        <f t="shared" si="791"/>
        <v>0</v>
      </c>
      <c r="T2656">
        <f t="shared" si="792"/>
        <v>0</v>
      </c>
      <c r="U2656" t="str">
        <f>IF('906MP'!J2356&gt;0,CONCATENATE('906MP'!J2356," - ",'906MP'!P2356,", ",'906MP'!E2356),"nincs megjegyzés")</f>
        <v>nincs megjegyzés</v>
      </c>
      <c r="V2656" t="str">
        <f t="shared" si="779"/>
        <v>0P0</v>
      </c>
      <c r="W2656" t="str">
        <f t="shared" si="780"/>
        <v>0P0</v>
      </c>
      <c r="X2656" t="str">
        <f t="shared" si="781"/>
        <v>P0</v>
      </c>
      <c r="Y2656" t="str">
        <f t="shared" si="782"/>
        <v>00</v>
      </c>
      <c r="Z2656" t="str">
        <f t="shared" si="793"/>
        <v>00</v>
      </c>
      <c r="AA2656" t="str">
        <f t="shared" si="783"/>
        <v>00</v>
      </c>
      <c r="AB2656" t="str">
        <f t="shared" si="784"/>
        <v>00</v>
      </c>
      <c r="AC2656" t="str">
        <f t="shared" si="785"/>
        <v>0P0</v>
      </c>
      <c r="AD2656" t="str">
        <f t="shared" si="786"/>
        <v>P00</v>
      </c>
      <c r="AE2656" t="str">
        <f t="shared" si="787"/>
        <v>0P0</v>
      </c>
      <c r="AF2656" t="str">
        <f t="shared" si="788"/>
        <v>P00</v>
      </c>
      <c r="AG2656" t="str">
        <f t="shared" si="794"/>
        <v>0P00</v>
      </c>
      <c r="AH2656" t="str">
        <f t="shared" si="795"/>
        <v>P000</v>
      </c>
      <c r="AI2656" t="str">
        <f t="shared" si="796"/>
        <v>0P00</v>
      </c>
      <c r="AJ2656" t="str">
        <f t="shared" si="797"/>
        <v>P000</v>
      </c>
    </row>
    <row r="2657" spans="1:36" x14ac:dyDescent="0.25">
      <c r="A2657" s="325" t="str">
        <f>CONCATENATE("P",'906MP'!M2357)</f>
        <v>P</v>
      </c>
      <c r="B2657">
        <f>'906MP'!H2357</f>
        <v>0</v>
      </c>
      <c r="C2657">
        <f>'906MP'!J2357</f>
        <v>0</v>
      </c>
      <c r="D2657">
        <f>'906MP'!P2357</f>
        <v>0</v>
      </c>
      <c r="E2657">
        <f>'906MP'!X2357</f>
        <v>0</v>
      </c>
      <c r="F2657" t="str">
        <f t="shared" si="789"/>
        <v>0</v>
      </c>
      <c r="G2657" t="str">
        <f t="shared" si="790"/>
        <v>0</v>
      </c>
      <c r="H2657">
        <f>'906MP'!Y2357</f>
        <v>0</v>
      </c>
      <c r="I2657">
        <f>'906MP'!AK2357</f>
        <v>0</v>
      </c>
      <c r="J2657">
        <f>'906MP'!T2357</f>
        <v>0</v>
      </c>
      <c r="K2657">
        <f>'906MP'!AJ2357</f>
        <v>0</v>
      </c>
      <c r="L2657">
        <f>'906MP'!U2357</f>
        <v>0</v>
      </c>
      <c r="M2657" s="322" t="str">
        <f>IFERROR(VLOOKUP(A2657,PAR!$D$3:$E$53,2,FALSE),"nincs szervezet")</f>
        <v>nincs szervezet</v>
      </c>
      <c r="N2657" s="322" t="str">
        <f>VLOOKUP(F2657,PAR!$R$3:$S$5,2,FALSE)</f>
        <v>3 - egyik sem</v>
      </c>
      <c r="O2657" t="str">
        <f>IFERROR(VLOOKUP(J2657,PAR!$O$3:$P$5,2,FALSE),"nincs feladat")</f>
        <v>nincs feladat</v>
      </c>
      <c r="P2657" t="str">
        <f>IFERROR(VLOOKUP(G2657,PAR!$J$2:$M$19,4),"nincs rovat")</f>
        <v>nincs rovat</v>
      </c>
      <c r="Q2657" t="str">
        <f>IF(H2657&gt;0,VLOOKUP(H2657,PAR!$AA$3:$AC$187,3,FALSE),"nincs főkönyvi számla")</f>
        <v>nincs főkönyvi számla</v>
      </c>
      <c r="R2657" t="str">
        <f>IFERROR(VLOOKUP(K2657,PAR!$V$3:$X$438,3,FALSE),"000000 - Nincs COFOG")</f>
        <v>000000 - Nincs COFOG</v>
      </c>
      <c r="S2657">
        <f t="shared" si="791"/>
        <v>0</v>
      </c>
      <c r="T2657">
        <f t="shared" si="792"/>
        <v>0</v>
      </c>
      <c r="U2657" t="str">
        <f>IF('906MP'!J2357&gt;0,CONCATENATE('906MP'!J2357," - ",'906MP'!P2357,", ",'906MP'!E2357),"nincs megjegyzés")</f>
        <v>nincs megjegyzés</v>
      </c>
      <c r="V2657" t="str">
        <f t="shared" si="779"/>
        <v>0P0</v>
      </c>
      <c r="W2657" t="str">
        <f t="shared" si="780"/>
        <v>0P0</v>
      </c>
      <c r="X2657" t="str">
        <f t="shared" si="781"/>
        <v>P0</v>
      </c>
      <c r="Y2657" t="str">
        <f t="shared" si="782"/>
        <v>00</v>
      </c>
      <c r="Z2657" t="str">
        <f t="shared" si="793"/>
        <v>00</v>
      </c>
      <c r="AA2657" t="str">
        <f t="shared" si="783"/>
        <v>00</v>
      </c>
      <c r="AB2657" t="str">
        <f t="shared" si="784"/>
        <v>00</v>
      </c>
      <c r="AC2657" t="str">
        <f t="shared" si="785"/>
        <v>0P0</v>
      </c>
      <c r="AD2657" t="str">
        <f t="shared" si="786"/>
        <v>P00</v>
      </c>
      <c r="AE2657" t="str">
        <f t="shared" si="787"/>
        <v>0P0</v>
      </c>
      <c r="AF2657" t="str">
        <f t="shared" si="788"/>
        <v>P00</v>
      </c>
      <c r="AG2657" t="str">
        <f t="shared" si="794"/>
        <v>0P00</v>
      </c>
      <c r="AH2657" t="str">
        <f t="shared" si="795"/>
        <v>P000</v>
      </c>
      <c r="AI2657" t="str">
        <f t="shared" si="796"/>
        <v>0P00</v>
      </c>
      <c r="AJ2657" t="str">
        <f t="shared" si="797"/>
        <v>P000</v>
      </c>
    </row>
    <row r="2658" spans="1:36" x14ac:dyDescent="0.25">
      <c r="A2658" s="325" t="str">
        <f>CONCATENATE("P",'906MP'!M2358)</f>
        <v>P</v>
      </c>
      <c r="B2658">
        <f>'906MP'!H2358</f>
        <v>0</v>
      </c>
      <c r="C2658">
        <f>'906MP'!J2358</f>
        <v>0</v>
      </c>
      <c r="D2658">
        <f>'906MP'!P2358</f>
        <v>0</v>
      </c>
      <c r="E2658">
        <f>'906MP'!X2358</f>
        <v>0</v>
      </c>
      <c r="F2658" t="str">
        <f t="shared" si="789"/>
        <v>0</v>
      </c>
      <c r="G2658" t="str">
        <f t="shared" si="790"/>
        <v>0</v>
      </c>
      <c r="H2658">
        <f>'906MP'!Y2358</f>
        <v>0</v>
      </c>
      <c r="I2658">
        <f>'906MP'!AK2358</f>
        <v>0</v>
      </c>
      <c r="J2658">
        <f>'906MP'!T2358</f>
        <v>0</v>
      </c>
      <c r="K2658">
        <f>'906MP'!AJ2358</f>
        <v>0</v>
      </c>
      <c r="L2658">
        <f>'906MP'!U2358</f>
        <v>0</v>
      </c>
      <c r="M2658" s="322" t="str">
        <f>IFERROR(VLOOKUP(A2658,PAR!$D$3:$E$53,2,FALSE),"nincs szervezet")</f>
        <v>nincs szervezet</v>
      </c>
      <c r="N2658" s="322" t="str">
        <f>VLOOKUP(F2658,PAR!$R$3:$S$5,2,FALSE)</f>
        <v>3 - egyik sem</v>
      </c>
      <c r="O2658" t="str">
        <f>IFERROR(VLOOKUP(J2658,PAR!$O$3:$P$5,2,FALSE),"nincs feladat")</f>
        <v>nincs feladat</v>
      </c>
      <c r="P2658" t="str">
        <f>IFERROR(VLOOKUP(G2658,PAR!$J$2:$M$19,4),"nincs rovat")</f>
        <v>nincs rovat</v>
      </c>
      <c r="Q2658" t="str">
        <f>IF(H2658&gt;0,VLOOKUP(H2658,PAR!$AA$3:$AC$187,3,FALSE),"nincs főkönyvi számla")</f>
        <v>nincs főkönyvi számla</v>
      </c>
      <c r="R2658" t="str">
        <f>IFERROR(VLOOKUP(K2658,PAR!$V$3:$X$438,3,FALSE),"000000 - Nincs COFOG")</f>
        <v>000000 - Nincs COFOG</v>
      </c>
      <c r="S2658">
        <f t="shared" si="791"/>
        <v>0</v>
      </c>
      <c r="T2658">
        <f t="shared" si="792"/>
        <v>0</v>
      </c>
      <c r="U2658" t="str">
        <f>IF('906MP'!J2358&gt;0,CONCATENATE('906MP'!J2358," - ",'906MP'!P2358,", ",'906MP'!E2358),"nincs megjegyzés")</f>
        <v>nincs megjegyzés</v>
      </c>
      <c r="V2658" t="str">
        <f t="shared" si="779"/>
        <v>0P0</v>
      </c>
      <c r="W2658" t="str">
        <f t="shared" si="780"/>
        <v>0P0</v>
      </c>
      <c r="X2658" t="str">
        <f t="shared" si="781"/>
        <v>P0</v>
      </c>
      <c r="Y2658" t="str">
        <f t="shared" si="782"/>
        <v>00</v>
      </c>
      <c r="Z2658" t="str">
        <f t="shared" si="793"/>
        <v>00</v>
      </c>
      <c r="AA2658" t="str">
        <f t="shared" si="783"/>
        <v>00</v>
      </c>
      <c r="AB2658" t="str">
        <f t="shared" si="784"/>
        <v>00</v>
      </c>
      <c r="AC2658" t="str">
        <f t="shared" si="785"/>
        <v>0P0</v>
      </c>
      <c r="AD2658" t="str">
        <f t="shared" si="786"/>
        <v>P00</v>
      </c>
      <c r="AE2658" t="str">
        <f t="shared" si="787"/>
        <v>0P0</v>
      </c>
      <c r="AF2658" t="str">
        <f t="shared" si="788"/>
        <v>P00</v>
      </c>
      <c r="AG2658" t="str">
        <f t="shared" si="794"/>
        <v>0P00</v>
      </c>
      <c r="AH2658" t="str">
        <f t="shared" si="795"/>
        <v>P000</v>
      </c>
      <c r="AI2658" t="str">
        <f t="shared" si="796"/>
        <v>0P00</v>
      </c>
      <c r="AJ2658" t="str">
        <f t="shared" si="797"/>
        <v>P000</v>
      </c>
    </row>
    <row r="2659" spans="1:36" x14ac:dyDescent="0.25">
      <c r="A2659" s="325" t="str">
        <f>CONCATENATE("P",'906MP'!M2359)</f>
        <v>P</v>
      </c>
      <c r="B2659">
        <f>'906MP'!H2359</f>
        <v>0</v>
      </c>
      <c r="C2659">
        <f>'906MP'!J2359</f>
        <v>0</v>
      </c>
      <c r="D2659">
        <f>'906MP'!P2359</f>
        <v>0</v>
      </c>
      <c r="E2659">
        <f>'906MP'!X2359</f>
        <v>0</v>
      </c>
      <c r="F2659" t="str">
        <f t="shared" si="789"/>
        <v>0</v>
      </c>
      <c r="G2659" t="str">
        <f t="shared" si="790"/>
        <v>0</v>
      </c>
      <c r="H2659">
        <f>'906MP'!Y2359</f>
        <v>0</v>
      </c>
      <c r="I2659">
        <f>'906MP'!AK2359</f>
        <v>0</v>
      </c>
      <c r="J2659">
        <f>'906MP'!T2359</f>
        <v>0</v>
      </c>
      <c r="K2659">
        <f>'906MP'!AJ2359</f>
        <v>0</v>
      </c>
      <c r="L2659">
        <f>'906MP'!U2359</f>
        <v>0</v>
      </c>
      <c r="M2659" s="322" t="str">
        <f>IFERROR(VLOOKUP(A2659,PAR!$D$3:$E$53,2,FALSE),"nincs szervezet")</f>
        <v>nincs szervezet</v>
      </c>
      <c r="N2659" s="322" t="str">
        <f>VLOOKUP(F2659,PAR!$R$3:$S$5,2,FALSE)</f>
        <v>3 - egyik sem</v>
      </c>
      <c r="O2659" t="str">
        <f>IFERROR(VLOOKUP(J2659,PAR!$O$3:$P$5,2,FALSE),"nincs feladat")</f>
        <v>nincs feladat</v>
      </c>
      <c r="P2659" t="str">
        <f>IFERROR(VLOOKUP(G2659,PAR!$J$2:$M$19,4),"nincs rovat")</f>
        <v>nincs rovat</v>
      </c>
      <c r="Q2659" t="str">
        <f>IF(H2659&gt;0,VLOOKUP(H2659,PAR!$AA$3:$AC$187,3,FALSE),"nincs főkönyvi számla")</f>
        <v>nincs főkönyvi számla</v>
      </c>
      <c r="R2659" t="str">
        <f>IFERROR(VLOOKUP(K2659,PAR!$V$3:$X$438,3,FALSE),"000000 - Nincs COFOG")</f>
        <v>000000 - Nincs COFOG</v>
      </c>
      <c r="S2659">
        <f t="shared" si="791"/>
        <v>0</v>
      </c>
      <c r="T2659">
        <f t="shared" si="792"/>
        <v>0</v>
      </c>
      <c r="U2659" t="str">
        <f>IF('906MP'!J2359&gt;0,CONCATENATE('906MP'!J2359," - ",'906MP'!P2359,", ",'906MP'!E2359),"nincs megjegyzés")</f>
        <v>nincs megjegyzés</v>
      </c>
      <c r="V2659" t="str">
        <f t="shared" si="779"/>
        <v>0P0</v>
      </c>
      <c r="W2659" t="str">
        <f t="shared" si="780"/>
        <v>0P0</v>
      </c>
      <c r="X2659" t="str">
        <f t="shared" si="781"/>
        <v>P0</v>
      </c>
      <c r="Y2659" t="str">
        <f t="shared" si="782"/>
        <v>00</v>
      </c>
      <c r="Z2659" t="str">
        <f t="shared" si="793"/>
        <v>00</v>
      </c>
      <c r="AA2659" t="str">
        <f t="shared" si="783"/>
        <v>00</v>
      </c>
      <c r="AB2659" t="str">
        <f t="shared" si="784"/>
        <v>00</v>
      </c>
      <c r="AC2659" t="str">
        <f t="shared" si="785"/>
        <v>0P0</v>
      </c>
      <c r="AD2659" t="str">
        <f t="shared" si="786"/>
        <v>P00</v>
      </c>
      <c r="AE2659" t="str">
        <f t="shared" si="787"/>
        <v>0P0</v>
      </c>
      <c r="AF2659" t="str">
        <f t="shared" si="788"/>
        <v>P00</v>
      </c>
      <c r="AG2659" t="str">
        <f t="shared" si="794"/>
        <v>0P00</v>
      </c>
      <c r="AH2659" t="str">
        <f t="shared" si="795"/>
        <v>P000</v>
      </c>
      <c r="AI2659" t="str">
        <f t="shared" si="796"/>
        <v>0P00</v>
      </c>
      <c r="AJ2659" t="str">
        <f t="shared" si="797"/>
        <v>P000</v>
      </c>
    </row>
    <row r="2660" spans="1:36" x14ac:dyDescent="0.25">
      <c r="A2660" s="325" t="str">
        <f>CONCATENATE("P",'906MP'!M2360)</f>
        <v>P</v>
      </c>
      <c r="B2660">
        <f>'906MP'!H2360</f>
        <v>0</v>
      </c>
      <c r="C2660">
        <f>'906MP'!J2360</f>
        <v>0</v>
      </c>
      <c r="D2660">
        <f>'906MP'!P2360</f>
        <v>0</v>
      </c>
      <c r="E2660">
        <f>'906MP'!X2360</f>
        <v>0</v>
      </c>
      <c r="F2660" t="str">
        <f t="shared" si="789"/>
        <v>0</v>
      </c>
      <c r="G2660" t="str">
        <f t="shared" si="790"/>
        <v>0</v>
      </c>
      <c r="H2660">
        <f>'906MP'!Y2360</f>
        <v>0</v>
      </c>
      <c r="I2660">
        <f>'906MP'!AK2360</f>
        <v>0</v>
      </c>
      <c r="J2660">
        <f>'906MP'!T2360</f>
        <v>0</v>
      </c>
      <c r="K2660">
        <f>'906MP'!AJ2360</f>
        <v>0</v>
      </c>
      <c r="L2660">
        <f>'906MP'!U2360</f>
        <v>0</v>
      </c>
      <c r="M2660" s="322" t="str">
        <f>IFERROR(VLOOKUP(A2660,PAR!$D$3:$E$53,2,FALSE),"nincs szervezet")</f>
        <v>nincs szervezet</v>
      </c>
      <c r="N2660" s="322" t="str">
        <f>VLOOKUP(F2660,PAR!$R$3:$S$5,2,FALSE)</f>
        <v>3 - egyik sem</v>
      </c>
      <c r="O2660" t="str">
        <f>IFERROR(VLOOKUP(J2660,PAR!$O$3:$P$5,2,FALSE),"nincs feladat")</f>
        <v>nincs feladat</v>
      </c>
      <c r="P2660" t="str">
        <f>IFERROR(VLOOKUP(G2660,PAR!$J$2:$M$19,4),"nincs rovat")</f>
        <v>nincs rovat</v>
      </c>
      <c r="Q2660" t="str">
        <f>IF(H2660&gt;0,VLOOKUP(H2660,PAR!$AA$3:$AC$187,3,FALSE),"nincs főkönyvi számla")</f>
        <v>nincs főkönyvi számla</v>
      </c>
      <c r="R2660" t="str">
        <f>IFERROR(VLOOKUP(K2660,PAR!$V$3:$X$438,3,FALSE),"000000 - Nincs COFOG")</f>
        <v>000000 - Nincs COFOG</v>
      </c>
      <c r="S2660">
        <f t="shared" si="791"/>
        <v>0</v>
      </c>
      <c r="T2660">
        <f t="shared" si="792"/>
        <v>0</v>
      </c>
      <c r="U2660" t="str">
        <f>IF('906MP'!J2360&gt;0,CONCATENATE('906MP'!J2360," - ",'906MP'!P2360,", ",'906MP'!E2360),"nincs megjegyzés")</f>
        <v>nincs megjegyzés</v>
      </c>
      <c r="V2660" t="str">
        <f t="shared" si="779"/>
        <v>0P0</v>
      </c>
      <c r="W2660" t="str">
        <f t="shared" si="780"/>
        <v>0P0</v>
      </c>
      <c r="X2660" t="str">
        <f t="shared" si="781"/>
        <v>P0</v>
      </c>
      <c r="Y2660" t="str">
        <f t="shared" si="782"/>
        <v>00</v>
      </c>
      <c r="Z2660" t="str">
        <f t="shared" si="793"/>
        <v>00</v>
      </c>
      <c r="AA2660" t="str">
        <f t="shared" si="783"/>
        <v>00</v>
      </c>
      <c r="AB2660" t="str">
        <f t="shared" si="784"/>
        <v>00</v>
      </c>
      <c r="AC2660" t="str">
        <f t="shared" si="785"/>
        <v>0P0</v>
      </c>
      <c r="AD2660" t="str">
        <f t="shared" si="786"/>
        <v>P00</v>
      </c>
      <c r="AE2660" t="str">
        <f t="shared" si="787"/>
        <v>0P0</v>
      </c>
      <c r="AF2660" t="str">
        <f t="shared" si="788"/>
        <v>P00</v>
      </c>
      <c r="AG2660" t="str">
        <f t="shared" si="794"/>
        <v>0P00</v>
      </c>
      <c r="AH2660" t="str">
        <f t="shared" si="795"/>
        <v>P000</v>
      </c>
      <c r="AI2660" t="str">
        <f t="shared" si="796"/>
        <v>0P00</v>
      </c>
      <c r="AJ2660" t="str">
        <f t="shared" si="797"/>
        <v>P000</v>
      </c>
    </row>
    <row r="2661" spans="1:36" x14ac:dyDescent="0.25">
      <c r="A2661" s="325" t="str">
        <f>CONCATENATE("P",'906MP'!M2361)</f>
        <v>P</v>
      </c>
      <c r="B2661">
        <f>'906MP'!H2361</f>
        <v>0</v>
      </c>
      <c r="C2661">
        <f>'906MP'!J2361</f>
        <v>0</v>
      </c>
      <c r="D2661">
        <f>'906MP'!P2361</f>
        <v>0</v>
      </c>
      <c r="E2661">
        <f>'906MP'!X2361</f>
        <v>0</v>
      </c>
      <c r="F2661" t="str">
        <f t="shared" si="789"/>
        <v>0</v>
      </c>
      <c r="G2661" t="str">
        <f t="shared" si="790"/>
        <v>0</v>
      </c>
      <c r="H2661">
        <f>'906MP'!Y2361</f>
        <v>0</v>
      </c>
      <c r="I2661">
        <f>'906MP'!AK2361</f>
        <v>0</v>
      </c>
      <c r="J2661">
        <f>'906MP'!T2361</f>
        <v>0</v>
      </c>
      <c r="K2661">
        <f>'906MP'!AJ2361</f>
        <v>0</v>
      </c>
      <c r="L2661">
        <f>'906MP'!U2361</f>
        <v>0</v>
      </c>
      <c r="M2661" s="322" t="str">
        <f>IFERROR(VLOOKUP(A2661,PAR!$D$3:$E$53,2,FALSE),"nincs szervezet")</f>
        <v>nincs szervezet</v>
      </c>
      <c r="N2661" s="322" t="str">
        <f>VLOOKUP(F2661,PAR!$R$3:$S$5,2,FALSE)</f>
        <v>3 - egyik sem</v>
      </c>
      <c r="O2661" t="str">
        <f>IFERROR(VLOOKUP(J2661,PAR!$O$3:$P$5,2,FALSE),"nincs feladat")</f>
        <v>nincs feladat</v>
      </c>
      <c r="P2661" t="str">
        <f>IFERROR(VLOOKUP(G2661,PAR!$J$2:$M$19,4),"nincs rovat")</f>
        <v>nincs rovat</v>
      </c>
      <c r="Q2661" t="str">
        <f>IF(H2661&gt;0,VLOOKUP(H2661,PAR!$AA$3:$AC$187,3,FALSE),"nincs főkönyvi számla")</f>
        <v>nincs főkönyvi számla</v>
      </c>
      <c r="R2661" t="str">
        <f>IFERROR(VLOOKUP(K2661,PAR!$V$3:$X$438,3,FALSE),"000000 - Nincs COFOG")</f>
        <v>000000 - Nincs COFOG</v>
      </c>
      <c r="S2661">
        <f t="shared" si="791"/>
        <v>0</v>
      </c>
      <c r="T2661">
        <f t="shared" si="792"/>
        <v>0</v>
      </c>
      <c r="U2661" t="str">
        <f>IF('906MP'!J2361&gt;0,CONCATENATE('906MP'!J2361," - ",'906MP'!P2361,", ",'906MP'!E2361),"nincs megjegyzés")</f>
        <v>nincs megjegyzés</v>
      </c>
      <c r="V2661" t="str">
        <f t="shared" si="779"/>
        <v>0P0</v>
      </c>
      <c r="W2661" t="str">
        <f t="shared" si="780"/>
        <v>0P0</v>
      </c>
      <c r="X2661" t="str">
        <f t="shared" si="781"/>
        <v>P0</v>
      </c>
      <c r="Y2661" t="str">
        <f t="shared" si="782"/>
        <v>00</v>
      </c>
      <c r="Z2661" t="str">
        <f t="shared" si="793"/>
        <v>00</v>
      </c>
      <c r="AA2661" t="str">
        <f t="shared" si="783"/>
        <v>00</v>
      </c>
      <c r="AB2661" t="str">
        <f t="shared" si="784"/>
        <v>00</v>
      </c>
      <c r="AC2661" t="str">
        <f t="shared" si="785"/>
        <v>0P0</v>
      </c>
      <c r="AD2661" t="str">
        <f t="shared" si="786"/>
        <v>P00</v>
      </c>
      <c r="AE2661" t="str">
        <f t="shared" si="787"/>
        <v>0P0</v>
      </c>
      <c r="AF2661" t="str">
        <f t="shared" si="788"/>
        <v>P00</v>
      </c>
      <c r="AG2661" t="str">
        <f t="shared" si="794"/>
        <v>0P00</v>
      </c>
      <c r="AH2661" t="str">
        <f t="shared" si="795"/>
        <v>P000</v>
      </c>
      <c r="AI2661" t="str">
        <f t="shared" si="796"/>
        <v>0P00</v>
      </c>
      <c r="AJ2661" t="str">
        <f t="shared" si="797"/>
        <v>P000</v>
      </c>
    </row>
    <row r="2662" spans="1:36" x14ac:dyDescent="0.25">
      <c r="A2662" s="325" t="str">
        <f>CONCATENATE("P",'906MP'!M2362)</f>
        <v>P</v>
      </c>
      <c r="B2662">
        <f>'906MP'!H2362</f>
        <v>0</v>
      </c>
      <c r="C2662">
        <f>'906MP'!J2362</f>
        <v>0</v>
      </c>
      <c r="D2662">
        <f>'906MP'!P2362</f>
        <v>0</v>
      </c>
      <c r="E2662">
        <f>'906MP'!X2362</f>
        <v>0</v>
      </c>
      <c r="F2662" t="str">
        <f t="shared" si="789"/>
        <v>0</v>
      </c>
      <c r="G2662" t="str">
        <f t="shared" si="790"/>
        <v>0</v>
      </c>
      <c r="H2662">
        <f>'906MP'!Y2362</f>
        <v>0</v>
      </c>
      <c r="I2662">
        <f>'906MP'!AK2362</f>
        <v>0</v>
      </c>
      <c r="J2662">
        <f>'906MP'!T2362</f>
        <v>0</v>
      </c>
      <c r="K2662">
        <f>'906MP'!AJ2362</f>
        <v>0</v>
      </c>
      <c r="L2662">
        <f>'906MP'!U2362</f>
        <v>0</v>
      </c>
      <c r="M2662" s="322" t="str">
        <f>IFERROR(VLOOKUP(A2662,PAR!$D$3:$E$53,2,FALSE),"nincs szervezet")</f>
        <v>nincs szervezet</v>
      </c>
      <c r="N2662" s="322" t="str">
        <f>VLOOKUP(F2662,PAR!$R$3:$S$5,2,FALSE)</f>
        <v>3 - egyik sem</v>
      </c>
      <c r="O2662" t="str">
        <f>IFERROR(VLOOKUP(J2662,PAR!$O$3:$P$5,2,FALSE),"nincs feladat")</f>
        <v>nincs feladat</v>
      </c>
      <c r="P2662" t="str">
        <f>IFERROR(VLOOKUP(G2662,PAR!$J$2:$M$19,4),"nincs rovat")</f>
        <v>nincs rovat</v>
      </c>
      <c r="Q2662" t="str">
        <f>IF(H2662&gt;0,VLOOKUP(H2662,PAR!$AA$3:$AC$187,3,FALSE),"nincs főkönyvi számla")</f>
        <v>nincs főkönyvi számla</v>
      </c>
      <c r="R2662" t="str">
        <f>IFERROR(VLOOKUP(K2662,PAR!$V$3:$X$438,3,FALSE),"000000 - Nincs COFOG")</f>
        <v>000000 - Nincs COFOG</v>
      </c>
      <c r="S2662">
        <f t="shared" si="791"/>
        <v>0</v>
      </c>
      <c r="T2662">
        <f t="shared" si="792"/>
        <v>0</v>
      </c>
      <c r="U2662" t="str">
        <f>IF('906MP'!J2362&gt;0,CONCATENATE('906MP'!J2362," - ",'906MP'!P2362,", ",'906MP'!E2362),"nincs megjegyzés")</f>
        <v>nincs megjegyzés</v>
      </c>
      <c r="V2662" t="str">
        <f t="shared" si="779"/>
        <v>0P0</v>
      </c>
      <c r="W2662" t="str">
        <f t="shared" si="780"/>
        <v>0P0</v>
      </c>
      <c r="X2662" t="str">
        <f t="shared" si="781"/>
        <v>P0</v>
      </c>
      <c r="Y2662" t="str">
        <f t="shared" si="782"/>
        <v>00</v>
      </c>
      <c r="Z2662" t="str">
        <f t="shared" si="793"/>
        <v>00</v>
      </c>
      <c r="AA2662" t="str">
        <f t="shared" si="783"/>
        <v>00</v>
      </c>
      <c r="AB2662" t="str">
        <f t="shared" si="784"/>
        <v>00</v>
      </c>
      <c r="AC2662" t="str">
        <f t="shared" si="785"/>
        <v>0P0</v>
      </c>
      <c r="AD2662" t="str">
        <f t="shared" si="786"/>
        <v>P00</v>
      </c>
      <c r="AE2662" t="str">
        <f t="shared" si="787"/>
        <v>0P0</v>
      </c>
      <c r="AF2662" t="str">
        <f t="shared" si="788"/>
        <v>P00</v>
      </c>
      <c r="AG2662" t="str">
        <f t="shared" si="794"/>
        <v>0P00</v>
      </c>
      <c r="AH2662" t="str">
        <f t="shared" si="795"/>
        <v>P000</v>
      </c>
      <c r="AI2662" t="str">
        <f t="shared" si="796"/>
        <v>0P00</v>
      </c>
      <c r="AJ2662" t="str">
        <f t="shared" si="797"/>
        <v>P000</v>
      </c>
    </row>
    <row r="2663" spans="1:36" x14ac:dyDescent="0.25">
      <c r="A2663" s="325" t="str">
        <f>CONCATENATE("P",'906MP'!M2363)</f>
        <v>P</v>
      </c>
      <c r="B2663">
        <f>'906MP'!H2363</f>
        <v>0</v>
      </c>
      <c r="C2663">
        <f>'906MP'!J2363</f>
        <v>0</v>
      </c>
      <c r="D2663">
        <f>'906MP'!P2363</f>
        <v>0</v>
      </c>
      <c r="E2663">
        <f>'906MP'!X2363</f>
        <v>0</v>
      </c>
      <c r="F2663" t="str">
        <f t="shared" si="789"/>
        <v>0</v>
      </c>
      <c r="G2663" t="str">
        <f t="shared" si="790"/>
        <v>0</v>
      </c>
      <c r="H2663">
        <f>'906MP'!Y2363</f>
        <v>0</v>
      </c>
      <c r="I2663">
        <f>'906MP'!AK2363</f>
        <v>0</v>
      </c>
      <c r="J2663">
        <f>'906MP'!T2363</f>
        <v>0</v>
      </c>
      <c r="K2663">
        <f>'906MP'!AJ2363</f>
        <v>0</v>
      </c>
      <c r="L2663">
        <f>'906MP'!U2363</f>
        <v>0</v>
      </c>
      <c r="M2663" s="322" t="str">
        <f>IFERROR(VLOOKUP(A2663,PAR!$D$3:$E$53,2,FALSE),"nincs szervezet")</f>
        <v>nincs szervezet</v>
      </c>
      <c r="N2663" s="322" t="str">
        <f>VLOOKUP(F2663,PAR!$R$3:$S$5,2,FALSE)</f>
        <v>3 - egyik sem</v>
      </c>
      <c r="O2663" t="str">
        <f>IFERROR(VLOOKUP(J2663,PAR!$O$3:$P$5,2,FALSE),"nincs feladat")</f>
        <v>nincs feladat</v>
      </c>
      <c r="P2663" t="str">
        <f>IFERROR(VLOOKUP(G2663,PAR!$J$2:$M$19,4),"nincs rovat")</f>
        <v>nincs rovat</v>
      </c>
      <c r="Q2663" t="str">
        <f>IF(H2663&gt;0,VLOOKUP(H2663,PAR!$AA$3:$AC$187,3,FALSE),"nincs főkönyvi számla")</f>
        <v>nincs főkönyvi számla</v>
      </c>
      <c r="R2663" t="str">
        <f>IFERROR(VLOOKUP(K2663,PAR!$V$3:$X$438,3,FALSE),"000000 - Nincs COFOG")</f>
        <v>000000 - Nincs COFOG</v>
      </c>
      <c r="S2663">
        <f t="shared" si="791"/>
        <v>0</v>
      </c>
      <c r="T2663">
        <f t="shared" si="792"/>
        <v>0</v>
      </c>
      <c r="U2663" t="str">
        <f>IF('906MP'!J2363&gt;0,CONCATENATE('906MP'!J2363," - ",'906MP'!P2363,", ",'906MP'!E2363),"nincs megjegyzés")</f>
        <v>nincs megjegyzés</v>
      </c>
      <c r="V2663" t="str">
        <f t="shared" si="779"/>
        <v>0P0</v>
      </c>
      <c r="W2663" t="str">
        <f t="shared" si="780"/>
        <v>0P0</v>
      </c>
      <c r="X2663" t="str">
        <f t="shared" si="781"/>
        <v>P0</v>
      </c>
      <c r="Y2663" t="str">
        <f t="shared" si="782"/>
        <v>00</v>
      </c>
      <c r="Z2663" t="str">
        <f t="shared" si="793"/>
        <v>00</v>
      </c>
      <c r="AA2663" t="str">
        <f t="shared" si="783"/>
        <v>00</v>
      </c>
      <c r="AB2663" t="str">
        <f t="shared" si="784"/>
        <v>00</v>
      </c>
      <c r="AC2663" t="str">
        <f t="shared" si="785"/>
        <v>0P0</v>
      </c>
      <c r="AD2663" t="str">
        <f t="shared" si="786"/>
        <v>P00</v>
      </c>
      <c r="AE2663" t="str">
        <f t="shared" si="787"/>
        <v>0P0</v>
      </c>
      <c r="AF2663" t="str">
        <f t="shared" si="788"/>
        <v>P00</v>
      </c>
      <c r="AG2663" t="str">
        <f t="shared" si="794"/>
        <v>0P00</v>
      </c>
      <c r="AH2663" t="str">
        <f t="shared" si="795"/>
        <v>P000</v>
      </c>
      <c r="AI2663" t="str">
        <f t="shared" si="796"/>
        <v>0P00</v>
      </c>
      <c r="AJ2663" t="str">
        <f t="shared" si="797"/>
        <v>P000</v>
      </c>
    </row>
    <row r="2664" spans="1:36" x14ac:dyDescent="0.25">
      <c r="A2664" s="325" t="str">
        <f>CONCATENATE("P",'906MP'!M2364)</f>
        <v>P</v>
      </c>
      <c r="B2664">
        <f>'906MP'!H2364</f>
        <v>0</v>
      </c>
      <c r="C2664">
        <f>'906MP'!J2364</f>
        <v>0</v>
      </c>
      <c r="D2664">
        <f>'906MP'!P2364</f>
        <v>0</v>
      </c>
      <c r="E2664">
        <f>'906MP'!X2364</f>
        <v>0</v>
      </c>
      <c r="F2664" t="str">
        <f t="shared" si="789"/>
        <v>0</v>
      </c>
      <c r="G2664" t="str">
        <f t="shared" si="790"/>
        <v>0</v>
      </c>
      <c r="H2664">
        <f>'906MP'!Y2364</f>
        <v>0</v>
      </c>
      <c r="I2664">
        <f>'906MP'!AK2364</f>
        <v>0</v>
      </c>
      <c r="J2664">
        <f>'906MP'!T2364</f>
        <v>0</v>
      </c>
      <c r="K2664">
        <f>'906MP'!AJ2364</f>
        <v>0</v>
      </c>
      <c r="L2664">
        <f>'906MP'!U2364</f>
        <v>0</v>
      </c>
      <c r="M2664" s="322" t="str">
        <f>IFERROR(VLOOKUP(A2664,PAR!$D$3:$E$53,2,FALSE),"nincs szervezet")</f>
        <v>nincs szervezet</v>
      </c>
      <c r="N2664" s="322" t="str">
        <f>VLOOKUP(F2664,PAR!$R$3:$S$5,2,FALSE)</f>
        <v>3 - egyik sem</v>
      </c>
      <c r="O2664" t="str">
        <f>IFERROR(VLOOKUP(J2664,PAR!$O$3:$P$5,2,FALSE),"nincs feladat")</f>
        <v>nincs feladat</v>
      </c>
      <c r="P2664" t="str">
        <f>IFERROR(VLOOKUP(G2664,PAR!$J$2:$M$19,4),"nincs rovat")</f>
        <v>nincs rovat</v>
      </c>
      <c r="Q2664" t="str">
        <f>IF(H2664&gt;0,VLOOKUP(H2664,PAR!$AA$3:$AC$187,3,FALSE),"nincs főkönyvi számla")</f>
        <v>nincs főkönyvi számla</v>
      </c>
      <c r="R2664" t="str">
        <f>IFERROR(VLOOKUP(K2664,PAR!$V$3:$X$438,3,FALSE),"000000 - Nincs COFOG")</f>
        <v>000000 - Nincs COFOG</v>
      </c>
      <c r="S2664">
        <f t="shared" si="791"/>
        <v>0</v>
      </c>
      <c r="T2664">
        <f t="shared" si="792"/>
        <v>0</v>
      </c>
      <c r="U2664" t="str">
        <f>IF('906MP'!J2364&gt;0,CONCATENATE('906MP'!J2364," - ",'906MP'!P2364,", ",'906MP'!E2364),"nincs megjegyzés")</f>
        <v>nincs megjegyzés</v>
      </c>
      <c r="V2664" t="str">
        <f t="shared" si="779"/>
        <v>0P0</v>
      </c>
      <c r="W2664" t="str">
        <f t="shared" si="780"/>
        <v>0P0</v>
      </c>
      <c r="X2664" t="str">
        <f t="shared" si="781"/>
        <v>P0</v>
      </c>
      <c r="Y2664" t="str">
        <f t="shared" si="782"/>
        <v>00</v>
      </c>
      <c r="Z2664" t="str">
        <f t="shared" si="793"/>
        <v>00</v>
      </c>
      <c r="AA2664" t="str">
        <f t="shared" si="783"/>
        <v>00</v>
      </c>
      <c r="AB2664" t="str">
        <f t="shared" si="784"/>
        <v>00</v>
      </c>
      <c r="AC2664" t="str">
        <f t="shared" si="785"/>
        <v>0P0</v>
      </c>
      <c r="AD2664" t="str">
        <f t="shared" si="786"/>
        <v>P00</v>
      </c>
      <c r="AE2664" t="str">
        <f t="shared" si="787"/>
        <v>0P0</v>
      </c>
      <c r="AF2664" t="str">
        <f t="shared" si="788"/>
        <v>P00</v>
      </c>
      <c r="AG2664" t="str">
        <f t="shared" si="794"/>
        <v>0P00</v>
      </c>
      <c r="AH2664" t="str">
        <f t="shared" si="795"/>
        <v>P000</v>
      </c>
      <c r="AI2664" t="str">
        <f t="shared" si="796"/>
        <v>0P00</v>
      </c>
      <c r="AJ2664" t="str">
        <f t="shared" si="797"/>
        <v>P000</v>
      </c>
    </row>
    <row r="2665" spans="1:36" x14ac:dyDescent="0.25">
      <c r="A2665" s="325" t="str">
        <f>CONCATENATE("P",'906MP'!M2365)</f>
        <v>P</v>
      </c>
      <c r="B2665">
        <f>'906MP'!H2365</f>
        <v>0</v>
      </c>
      <c r="C2665">
        <f>'906MP'!J2365</f>
        <v>0</v>
      </c>
      <c r="D2665">
        <f>'906MP'!P2365</f>
        <v>0</v>
      </c>
      <c r="E2665">
        <f>'906MP'!X2365</f>
        <v>0</v>
      </c>
      <c r="F2665" t="str">
        <f t="shared" si="789"/>
        <v>0</v>
      </c>
      <c r="G2665" t="str">
        <f t="shared" si="790"/>
        <v>0</v>
      </c>
      <c r="H2665">
        <f>'906MP'!Y2365</f>
        <v>0</v>
      </c>
      <c r="I2665">
        <f>'906MP'!AK2365</f>
        <v>0</v>
      </c>
      <c r="J2665">
        <f>'906MP'!T2365</f>
        <v>0</v>
      </c>
      <c r="K2665">
        <f>'906MP'!AJ2365</f>
        <v>0</v>
      </c>
      <c r="L2665">
        <f>'906MP'!U2365</f>
        <v>0</v>
      </c>
      <c r="M2665" s="322" t="str">
        <f>IFERROR(VLOOKUP(A2665,PAR!$D$3:$E$53,2,FALSE),"nincs szervezet")</f>
        <v>nincs szervezet</v>
      </c>
      <c r="N2665" s="322" t="str">
        <f>VLOOKUP(F2665,PAR!$R$3:$S$5,2,FALSE)</f>
        <v>3 - egyik sem</v>
      </c>
      <c r="O2665" t="str">
        <f>IFERROR(VLOOKUP(J2665,PAR!$O$3:$P$5,2,FALSE),"nincs feladat")</f>
        <v>nincs feladat</v>
      </c>
      <c r="P2665" t="str">
        <f>IFERROR(VLOOKUP(G2665,PAR!$J$2:$M$19,4),"nincs rovat")</f>
        <v>nincs rovat</v>
      </c>
      <c r="Q2665" t="str">
        <f>IF(H2665&gt;0,VLOOKUP(H2665,PAR!$AA$3:$AC$187,3,FALSE),"nincs főkönyvi számla")</f>
        <v>nincs főkönyvi számla</v>
      </c>
      <c r="R2665" t="str">
        <f>IFERROR(VLOOKUP(K2665,PAR!$V$3:$X$438,3,FALSE),"000000 - Nincs COFOG")</f>
        <v>000000 - Nincs COFOG</v>
      </c>
      <c r="S2665">
        <f t="shared" si="791"/>
        <v>0</v>
      </c>
      <c r="T2665">
        <f t="shared" si="792"/>
        <v>0</v>
      </c>
      <c r="U2665" t="str">
        <f>IF('906MP'!J2365&gt;0,CONCATENATE('906MP'!J2365," - ",'906MP'!P2365,", ",'906MP'!E2365),"nincs megjegyzés")</f>
        <v>nincs megjegyzés</v>
      </c>
      <c r="V2665" t="str">
        <f t="shared" si="779"/>
        <v>0P0</v>
      </c>
      <c r="W2665" t="str">
        <f t="shared" si="780"/>
        <v>0P0</v>
      </c>
      <c r="X2665" t="str">
        <f t="shared" si="781"/>
        <v>P0</v>
      </c>
      <c r="Y2665" t="str">
        <f t="shared" si="782"/>
        <v>00</v>
      </c>
      <c r="Z2665" t="str">
        <f t="shared" si="793"/>
        <v>00</v>
      </c>
      <c r="AA2665" t="str">
        <f t="shared" si="783"/>
        <v>00</v>
      </c>
      <c r="AB2665" t="str">
        <f t="shared" si="784"/>
        <v>00</v>
      </c>
      <c r="AC2665" t="str">
        <f t="shared" si="785"/>
        <v>0P0</v>
      </c>
      <c r="AD2665" t="str">
        <f t="shared" si="786"/>
        <v>P00</v>
      </c>
      <c r="AE2665" t="str">
        <f t="shared" si="787"/>
        <v>0P0</v>
      </c>
      <c r="AF2665" t="str">
        <f t="shared" si="788"/>
        <v>P00</v>
      </c>
      <c r="AG2665" t="str">
        <f t="shared" si="794"/>
        <v>0P00</v>
      </c>
      <c r="AH2665" t="str">
        <f t="shared" si="795"/>
        <v>P000</v>
      </c>
      <c r="AI2665" t="str">
        <f t="shared" si="796"/>
        <v>0P00</v>
      </c>
      <c r="AJ2665" t="str">
        <f t="shared" si="797"/>
        <v>P000</v>
      </c>
    </row>
    <row r="2666" spans="1:36" x14ac:dyDescent="0.25">
      <c r="A2666" s="325" t="str">
        <f>CONCATENATE("P",'906MP'!M2366)</f>
        <v>P</v>
      </c>
      <c r="B2666">
        <f>'906MP'!H2366</f>
        <v>0</v>
      </c>
      <c r="C2666">
        <f>'906MP'!J2366</f>
        <v>0</v>
      </c>
      <c r="D2666">
        <f>'906MP'!P2366</f>
        <v>0</v>
      </c>
      <c r="E2666">
        <f>'906MP'!X2366</f>
        <v>0</v>
      </c>
      <c r="F2666" t="str">
        <f t="shared" si="789"/>
        <v>0</v>
      </c>
      <c r="G2666" t="str">
        <f t="shared" si="790"/>
        <v>0</v>
      </c>
      <c r="H2666">
        <f>'906MP'!Y2366</f>
        <v>0</v>
      </c>
      <c r="I2666">
        <f>'906MP'!AK2366</f>
        <v>0</v>
      </c>
      <c r="J2666">
        <f>'906MP'!T2366</f>
        <v>0</v>
      </c>
      <c r="K2666">
        <f>'906MP'!AJ2366</f>
        <v>0</v>
      </c>
      <c r="L2666">
        <f>'906MP'!U2366</f>
        <v>0</v>
      </c>
      <c r="M2666" s="322" t="str">
        <f>IFERROR(VLOOKUP(A2666,PAR!$D$3:$E$53,2,FALSE),"nincs szervezet")</f>
        <v>nincs szervezet</v>
      </c>
      <c r="N2666" s="322" t="str">
        <f>VLOOKUP(F2666,PAR!$R$3:$S$5,2,FALSE)</f>
        <v>3 - egyik sem</v>
      </c>
      <c r="O2666" t="str">
        <f>IFERROR(VLOOKUP(J2666,PAR!$O$3:$P$5,2,FALSE),"nincs feladat")</f>
        <v>nincs feladat</v>
      </c>
      <c r="P2666" t="str">
        <f>IFERROR(VLOOKUP(G2666,PAR!$J$2:$M$19,4),"nincs rovat")</f>
        <v>nincs rovat</v>
      </c>
      <c r="Q2666" t="str">
        <f>IF(H2666&gt;0,VLOOKUP(H2666,PAR!$AA$3:$AC$187,3,FALSE),"nincs főkönyvi számla")</f>
        <v>nincs főkönyvi számla</v>
      </c>
      <c r="R2666" t="str">
        <f>IFERROR(VLOOKUP(K2666,PAR!$V$3:$X$438,3,FALSE),"000000 - Nincs COFOG")</f>
        <v>000000 - Nincs COFOG</v>
      </c>
      <c r="S2666">
        <f t="shared" si="791"/>
        <v>0</v>
      </c>
      <c r="T2666">
        <f t="shared" si="792"/>
        <v>0</v>
      </c>
      <c r="U2666" t="str">
        <f>IF('906MP'!J2366&gt;0,CONCATENATE('906MP'!J2366," - ",'906MP'!P2366,", ",'906MP'!E2366),"nincs megjegyzés")</f>
        <v>nincs megjegyzés</v>
      </c>
      <c r="V2666" t="str">
        <f t="shared" si="779"/>
        <v>0P0</v>
      </c>
      <c r="W2666" t="str">
        <f t="shared" si="780"/>
        <v>0P0</v>
      </c>
      <c r="X2666" t="str">
        <f t="shared" si="781"/>
        <v>P0</v>
      </c>
      <c r="Y2666" t="str">
        <f t="shared" si="782"/>
        <v>00</v>
      </c>
      <c r="Z2666" t="str">
        <f t="shared" si="793"/>
        <v>00</v>
      </c>
      <c r="AA2666" t="str">
        <f t="shared" si="783"/>
        <v>00</v>
      </c>
      <c r="AB2666" t="str">
        <f t="shared" si="784"/>
        <v>00</v>
      </c>
      <c r="AC2666" t="str">
        <f t="shared" si="785"/>
        <v>0P0</v>
      </c>
      <c r="AD2666" t="str">
        <f t="shared" si="786"/>
        <v>P00</v>
      </c>
      <c r="AE2666" t="str">
        <f t="shared" si="787"/>
        <v>0P0</v>
      </c>
      <c r="AF2666" t="str">
        <f t="shared" si="788"/>
        <v>P00</v>
      </c>
      <c r="AG2666" t="str">
        <f t="shared" si="794"/>
        <v>0P00</v>
      </c>
      <c r="AH2666" t="str">
        <f t="shared" si="795"/>
        <v>P000</v>
      </c>
      <c r="AI2666" t="str">
        <f t="shared" si="796"/>
        <v>0P00</v>
      </c>
      <c r="AJ2666" t="str">
        <f t="shared" si="797"/>
        <v>P000</v>
      </c>
    </row>
    <row r="2667" spans="1:36" x14ac:dyDescent="0.25">
      <c r="A2667" s="325" t="str">
        <f>CONCATENATE("P",'906MP'!M2367)</f>
        <v>P</v>
      </c>
      <c r="B2667">
        <f>'906MP'!H2367</f>
        <v>0</v>
      </c>
      <c r="C2667">
        <f>'906MP'!J2367</f>
        <v>0</v>
      </c>
      <c r="D2667">
        <f>'906MP'!P2367</f>
        <v>0</v>
      </c>
      <c r="E2667">
        <f>'906MP'!X2367</f>
        <v>0</v>
      </c>
      <c r="F2667" t="str">
        <f t="shared" si="789"/>
        <v>0</v>
      </c>
      <c r="G2667" t="str">
        <f t="shared" si="790"/>
        <v>0</v>
      </c>
      <c r="H2667">
        <f>'906MP'!Y2367</f>
        <v>0</v>
      </c>
      <c r="I2667">
        <f>'906MP'!AK2367</f>
        <v>0</v>
      </c>
      <c r="J2667">
        <f>'906MP'!T2367</f>
        <v>0</v>
      </c>
      <c r="K2667">
        <f>'906MP'!AJ2367</f>
        <v>0</v>
      </c>
      <c r="L2667">
        <f>'906MP'!U2367</f>
        <v>0</v>
      </c>
      <c r="M2667" s="322" t="str">
        <f>IFERROR(VLOOKUP(A2667,PAR!$D$3:$E$53,2,FALSE),"nincs szervezet")</f>
        <v>nincs szervezet</v>
      </c>
      <c r="N2667" s="322" t="str">
        <f>VLOOKUP(F2667,PAR!$R$3:$S$5,2,FALSE)</f>
        <v>3 - egyik sem</v>
      </c>
      <c r="O2667" t="str">
        <f>IFERROR(VLOOKUP(J2667,PAR!$O$3:$P$5,2,FALSE),"nincs feladat")</f>
        <v>nincs feladat</v>
      </c>
      <c r="P2667" t="str">
        <f>IFERROR(VLOOKUP(G2667,PAR!$J$2:$M$19,4),"nincs rovat")</f>
        <v>nincs rovat</v>
      </c>
      <c r="Q2667" t="str">
        <f>IF(H2667&gt;0,VLOOKUP(H2667,PAR!$AA$3:$AC$187,3,FALSE),"nincs főkönyvi számla")</f>
        <v>nincs főkönyvi számla</v>
      </c>
      <c r="R2667" t="str">
        <f>IFERROR(VLOOKUP(K2667,PAR!$V$3:$X$438,3,FALSE),"000000 - Nincs COFOG")</f>
        <v>000000 - Nincs COFOG</v>
      </c>
      <c r="S2667">
        <f t="shared" si="791"/>
        <v>0</v>
      </c>
      <c r="T2667">
        <f t="shared" si="792"/>
        <v>0</v>
      </c>
      <c r="U2667" t="str">
        <f>IF('906MP'!J2367&gt;0,CONCATENATE('906MP'!J2367," - ",'906MP'!P2367,", ",'906MP'!E2367),"nincs megjegyzés")</f>
        <v>nincs megjegyzés</v>
      </c>
      <c r="V2667" t="str">
        <f t="shared" si="779"/>
        <v>0P0</v>
      </c>
      <c r="W2667" t="str">
        <f t="shared" si="780"/>
        <v>0P0</v>
      </c>
      <c r="X2667" t="str">
        <f t="shared" si="781"/>
        <v>P0</v>
      </c>
      <c r="Y2667" t="str">
        <f t="shared" si="782"/>
        <v>00</v>
      </c>
      <c r="Z2667" t="str">
        <f t="shared" si="793"/>
        <v>00</v>
      </c>
      <c r="AA2667" t="str">
        <f t="shared" si="783"/>
        <v>00</v>
      </c>
      <c r="AB2667" t="str">
        <f t="shared" si="784"/>
        <v>00</v>
      </c>
      <c r="AC2667" t="str">
        <f t="shared" si="785"/>
        <v>0P0</v>
      </c>
      <c r="AD2667" t="str">
        <f t="shared" si="786"/>
        <v>P00</v>
      </c>
      <c r="AE2667" t="str">
        <f t="shared" si="787"/>
        <v>0P0</v>
      </c>
      <c r="AF2667" t="str">
        <f t="shared" si="788"/>
        <v>P00</v>
      </c>
      <c r="AG2667" t="str">
        <f t="shared" si="794"/>
        <v>0P00</v>
      </c>
      <c r="AH2667" t="str">
        <f t="shared" si="795"/>
        <v>P000</v>
      </c>
      <c r="AI2667" t="str">
        <f t="shared" si="796"/>
        <v>0P00</v>
      </c>
      <c r="AJ2667" t="str">
        <f t="shared" si="797"/>
        <v>P000</v>
      </c>
    </row>
    <row r="2668" spans="1:36" x14ac:dyDescent="0.25">
      <c r="A2668" s="325" t="str">
        <f>CONCATENATE("P",'906MP'!M2368)</f>
        <v>P</v>
      </c>
      <c r="B2668">
        <f>'906MP'!H2368</f>
        <v>0</v>
      </c>
      <c r="C2668">
        <f>'906MP'!J2368</f>
        <v>0</v>
      </c>
      <c r="D2668">
        <f>'906MP'!P2368</f>
        <v>0</v>
      </c>
      <c r="E2668">
        <f>'906MP'!X2368</f>
        <v>0</v>
      </c>
      <c r="F2668" t="str">
        <f t="shared" si="789"/>
        <v>0</v>
      </c>
      <c r="G2668" t="str">
        <f t="shared" si="790"/>
        <v>0</v>
      </c>
      <c r="H2668">
        <f>'906MP'!Y2368</f>
        <v>0</v>
      </c>
      <c r="I2668">
        <f>'906MP'!AK2368</f>
        <v>0</v>
      </c>
      <c r="J2668">
        <f>'906MP'!T2368</f>
        <v>0</v>
      </c>
      <c r="K2668">
        <f>'906MP'!AJ2368</f>
        <v>0</v>
      </c>
      <c r="L2668">
        <f>'906MP'!U2368</f>
        <v>0</v>
      </c>
      <c r="M2668" s="322" t="str">
        <f>IFERROR(VLOOKUP(A2668,PAR!$D$3:$E$53,2,FALSE),"nincs szervezet")</f>
        <v>nincs szervezet</v>
      </c>
      <c r="N2668" s="322" t="str">
        <f>VLOOKUP(F2668,PAR!$R$3:$S$5,2,FALSE)</f>
        <v>3 - egyik sem</v>
      </c>
      <c r="O2668" t="str">
        <f>IFERROR(VLOOKUP(J2668,PAR!$O$3:$P$5,2,FALSE),"nincs feladat")</f>
        <v>nincs feladat</v>
      </c>
      <c r="P2668" t="str">
        <f>IFERROR(VLOOKUP(G2668,PAR!$J$2:$M$19,4),"nincs rovat")</f>
        <v>nincs rovat</v>
      </c>
      <c r="Q2668" t="str">
        <f>IF(H2668&gt;0,VLOOKUP(H2668,PAR!$AA$3:$AC$187,3,FALSE),"nincs főkönyvi számla")</f>
        <v>nincs főkönyvi számla</v>
      </c>
      <c r="R2668" t="str">
        <f>IFERROR(VLOOKUP(K2668,PAR!$V$3:$X$438,3,FALSE),"000000 - Nincs COFOG")</f>
        <v>000000 - Nincs COFOG</v>
      </c>
      <c r="S2668">
        <f t="shared" si="791"/>
        <v>0</v>
      </c>
      <c r="T2668">
        <f t="shared" si="792"/>
        <v>0</v>
      </c>
      <c r="U2668" t="str">
        <f>IF('906MP'!J2368&gt;0,CONCATENATE('906MP'!J2368," - ",'906MP'!P2368,", ",'906MP'!E2368),"nincs megjegyzés")</f>
        <v>nincs megjegyzés</v>
      </c>
      <c r="V2668" t="str">
        <f t="shared" si="779"/>
        <v>0P0</v>
      </c>
      <c r="W2668" t="str">
        <f t="shared" si="780"/>
        <v>0P0</v>
      </c>
      <c r="X2668" t="str">
        <f t="shared" si="781"/>
        <v>P0</v>
      </c>
      <c r="Y2668" t="str">
        <f t="shared" si="782"/>
        <v>00</v>
      </c>
      <c r="Z2668" t="str">
        <f t="shared" si="793"/>
        <v>00</v>
      </c>
      <c r="AA2668" t="str">
        <f t="shared" si="783"/>
        <v>00</v>
      </c>
      <c r="AB2668" t="str">
        <f t="shared" si="784"/>
        <v>00</v>
      </c>
      <c r="AC2668" t="str">
        <f t="shared" si="785"/>
        <v>0P0</v>
      </c>
      <c r="AD2668" t="str">
        <f t="shared" si="786"/>
        <v>P00</v>
      </c>
      <c r="AE2668" t="str">
        <f t="shared" si="787"/>
        <v>0P0</v>
      </c>
      <c r="AF2668" t="str">
        <f t="shared" si="788"/>
        <v>P00</v>
      </c>
      <c r="AG2668" t="str">
        <f t="shared" si="794"/>
        <v>0P00</v>
      </c>
      <c r="AH2668" t="str">
        <f t="shared" si="795"/>
        <v>P000</v>
      </c>
      <c r="AI2668" t="str">
        <f t="shared" si="796"/>
        <v>0P00</v>
      </c>
      <c r="AJ2668" t="str">
        <f t="shared" si="797"/>
        <v>P000</v>
      </c>
    </row>
    <row r="2669" spans="1:36" x14ac:dyDescent="0.25">
      <c r="A2669" s="325" t="str">
        <f>CONCATENATE("P",'906MP'!M2369)</f>
        <v>P</v>
      </c>
      <c r="B2669">
        <f>'906MP'!H2369</f>
        <v>0</v>
      </c>
      <c r="C2669">
        <f>'906MP'!J2369</f>
        <v>0</v>
      </c>
      <c r="D2669">
        <f>'906MP'!P2369</f>
        <v>0</v>
      </c>
      <c r="E2669">
        <f>'906MP'!X2369</f>
        <v>0</v>
      </c>
      <c r="F2669" t="str">
        <f t="shared" si="789"/>
        <v>0</v>
      </c>
      <c r="G2669" t="str">
        <f t="shared" si="790"/>
        <v>0</v>
      </c>
      <c r="H2669">
        <f>'906MP'!Y2369</f>
        <v>0</v>
      </c>
      <c r="I2669">
        <f>'906MP'!AK2369</f>
        <v>0</v>
      </c>
      <c r="J2669">
        <f>'906MP'!T2369</f>
        <v>0</v>
      </c>
      <c r="K2669">
        <f>'906MP'!AJ2369</f>
        <v>0</v>
      </c>
      <c r="L2669">
        <f>'906MP'!U2369</f>
        <v>0</v>
      </c>
      <c r="M2669" s="322" t="str">
        <f>IFERROR(VLOOKUP(A2669,PAR!$D$3:$E$53,2,FALSE),"nincs szervezet")</f>
        <v>nincs szervezet</v>
      </c>
      <c r="N2669" s="322" t="str">
        <f>VLOOKUP(F2669,PAR!$R$3:$S$5,2,FALSE)</f>
        <v>3 - egyik sem</v>
      </c>
      <c r="O2669" t="str">
        <f>IFERROR(VLOOKUP(J2669,PAR!$O$3:$P$5,2,FALSE),"nincs feladat")</f>
        <v>nincs feladat</v>
      </c>
      <c r="P2669" t="str">
        <f>IFERROR(VLOOKUP(G2669,PAR!$J$2:$M$19,4),"nincs rovat")</f>
        <v>nincs rovat</v>
      </c>
      <c r="Q2669" t="str">
        <f>IF(H2669&gt;0,VLOOKUP(H2669,PAR!$AA$3:$AC$187,3,FALSE),"nincs főkönyvi számla")</f>
        <v>nincs főkönyvi számla</v>
      </c>
      <c r="R2669" t="str">
        <f>IFERROR(VLOOKUP(K2669,PAR!$V$3:$X$438,3,FALSE),"000000 - Nincs COFOG")</f>
        <v>000000 - Nincs COFOG</v>
      </c>
      <c r="S2669">
        <f t="shared" si="791"/>
        <v>0</v>
      </c>
      <c r="T2669">
        <f t="shared" si="792"/>
        <v>0</v>
      </c>
      <c r="U2669" t="str">
        <f>IF('906MP'!J2369&gt;0,CONCATENATE('906MP'!J2369," - ",'906MP'!P2369,", ",'906MP'!E2369),"nincs megjegyzés")</f>
        <v>nincs megjegyzés</v>
      </c>
      <c r="V2669" t="str">
        <f t="shared" si="779"/>
        <v>0P0</v>
      </c>
      <c r="W2669" t="str">
        <f t="shared" si="780"/>
        <v>0P0</v>
      </c>
      <c r="X2669" t="str">
        <f t="shared" si="781"/>
        <v>P0</v>
      </c>
      <c r="Y2669" t="str">
        <f t="shared" si="782"/>
        <v>00</v>
      </c>
      <c r="Z2669" t="str">
        <f t="shared" si="793"/>
        <v>00</v>
      </c>
      <c r="AA2669" t="str">
        <f t="shared" si="783"/>
        <v>00</v>
      </c>
      <c r="AB2669" t="str">
        <f t="shared" si="784"/>
        <v>00</v>
      </c>
      <c r="AC2669" t="str">
        <f t="shared" si="785"/>
        <v>0P0</v>
      </c>
      <c r="AD2669" t="str">
        <f t="shared" si="786"/>
        <v>P00</v>
      </c>
      <c r="AE2669" t="str">
        <f t="shared" si="787"/>
        <v>0P0</v>
      </c>
      <c r="AF2669" t="str">
        <f t="shared" si="788"/>
        <v>P00</v>
      </c>
      <c r="AG2669" t="str">
        <f t="shared" si="794"/>
        <v>0P00</v>
      </c>
      <c r="AH2669" t="str">
        <f t="shared" si="795"/>
        <v>P000</v>
      </c>
      <c r="AI2669" t="str">
        <f t="shared" si="796"/>
        <v>0P00</v>
      </c>
      <c r="AJ2669" t="str">
        <f t="shared" si="797"/>
        <v>P000</v>
      </c>
    </row>
    <row r="2670" spans="1:36" x14ac:dyDescent="0.25">
      <c r="A2670" s="325" t="str">
        <f>CONCATENATE("P",'906MP'!M2370)</f>
        <v>P</v>
      </c>
      <c r="B2670">
        <f>'906MP'!H2370</f>
        <v>0</v>
      </c>
      <c r="C2670">
        <f>'906MP'!J2370</f>
        <v>0</v>
      </c>
      <c r="D2670">
        <f>'906MP'!P2370</f>
        <v>0</v>
      </c>
      <c r="E2670">
        <f>'906MP'!X2370</f>
        <v>0</v>
      </c>
      <c r="F2670" t="str">
        <f t="shared" si="789"/>
        <v>0</v>
      </c>
      <c r="G2670" t="str">
        <f t="shared" si="790"/>
        <v>0</v>
      </c>
      <c r="H2670">
        <f>'906MP'!Y2370</f>
        <v>0</v>
      </c>
      <c r="I2670">
        <f>'906MP'!AK2370</f>
        <v>0</v>
      </c>
      <c r="J2670">
        <f>'906MP'!T2370</f>
        <v>0</v>
      </c>
      <c r="K2670">
        <f>'906MP'!AJ2370</f>
        <v>0</v>
      </c>
      <c r="L2670">
        <f>'906MP'!U2370</f>
        <v>0</v>
      </c>
      <c r="M2670" s="322" t="str">
        <f>IFERROR(VLOOKUP(A2670,PAR!$D$3:$E$53,2,FALSE),"nincs szervezet")</f>
        <v>nincs szervezet</v>
      </c>
      <c r="N2670" s="322" t="str">
        <f>VLOOKUP(F2670,PAR!$R$3:$S$5,2,FALSE)</f>
        <v>3 - egyik sem</v>
      </c>
      <c r="O2670" t="str">
        <f>IFERROR(VLOOKUP(J2670,PAR!$O$3:$P$5,2,FALSE),"nincs feladat")</f>
        <v>nincs feladat</v>
      </c>
      <c r="P2670" t="str">
        <f>IFERROR(VLOOKUP(G2670,PAR!$J$2:$M$19,4),"nincs rovat")</f>
        <v>nincs rovat</v>
      </c>
      <c r="Q2670" t="str">
        <f>IF(H2670&gt;0,VLOOKUP(H2670,PAR!$AA$3:$AC$187,3,FALSE),"nincs főkönyvi számla")</f>
        <v>nincs főkönyvi számla</v>
      </c>
      <c r="R2670" t="str">
        <f>IFERROR(VLOOKUP(K2670,PAR!$V$3:$X$438,3,FALSE),"000000 - Nincs COFOG")</f>
        <v>000000 - Nincs COFOG</v>
      </c>
      <c r="S2670">
        <f t="shared" si="791"/>
        <v>0</v>
      </c>
      <c r="T2670">
        <f t="shared" si="792"/>
        <v>0</v>
      </c>
      <c r="U2670" t="str">
        <f>IF('906MP'!J2370&gt;0,CONCATENATE('906MP'!J2370," - ",'906MP'!P2370,", ",'906MP'!E2370),"nincs megjegyzés")</f>
        <v>nincs megjegyzés</v>
      </c>
      <c r="V2670" t="str">
        <f t="shared" si="779"/>
        <v>0P0</v>
      </c>
      <c r="W2670" t="str">
        <f t="shared" si="780"/>
        <v>0P0</v>
      </c>
      <c r="X2670" t="str">
        <f t="shared" si="781"/>
        <v>P0</v>
      </c>
      <c r="Y2670" t="str">
        <f t="shared" si="782"/>
        <v>00</v>
      </c>
      <c r="Z2670" t="str">
        <f t="shared" si="793"/>
        <v>00</v>
      </c>
      <c r="AA2670" t="str">
        <f t="shared" si="783"/>
        <v>00</v>
      </c>
      <c r="AB2670" t="str">
        <f t="shared" si="784"/>
        <v>00</v>
      </c>
      <c r="AC2670" t="str">
        <f t="shared" si="785"/>
        <v>0P0</v>
      </c>
      <c r="AD2670" t="str">
        <f t="shared" si="786"/>
        <v>P00</v>
      </c>
      <c r="AE2670" t="str">
        <f t="shared" si="787"/>
        <v>0P0</v>
      </c>
      <c r="AF2670" t="str">
        <f t="shared" si="788"/>
        <v>P00</v>
      </c>
      <c r="AG2670" t="str">
        <f t="shared" si="794"/>
        <v>0P00</v>
      </c>
      <c r="AH2670" t="str">
        <f t="shared" si="795"/>
        <v>P000</v>
      </c>
      <c r="AI2670" t="str">
        <f t="shared" si="796"/>
        <v>0P00</v>
      </c>
      <c r="AJ2670" t="str">
        <f t="shared" si="797"/>
        <v>P000</v>
      </c>
    </row>
    <row r="2671" spans="1:36" x14ac:dyDescent="0.25">
      <c r="A2671" s="325" t="str">
        <f>CONCATENATE("P",'906MP'!M2371)</f>
        <v>P</v>
      </c>
      <c r="B2671">
        <f>'906MP'!H2371</f>
        <v>0</v>
      </c>
      <c r="C2671">
        <f>'906MP'!J2371</f>
        <v>0</v>
      </c>
      <c r="D2671">
        <f>'906MP'!P2371</f>
        <v>0</v>
      </c>
      <c r="E2671">
        <f>'906MP'!X2371</f>
        <v>0</v>
      </c>
      <c r="F2671" t="str">
        <f t="shared" si="789"/>
        <v>0</v>
      </c>
      <c r="G2671" t="str">
        <f t="shared" si="790"/>
        <v>0</v>
      </c>
      <c r="H2671">
        <f>'906MP'!Y2371</f>
        <v>0</v>
      </c>
      <c r="I2671">
        <f>'906MP'!AK2371</f>
        <v>0</v>
      </c>
      <c r="J2671">
        <f>'906MP'!T2371</f>
        <v>0</v>
      </c>
      <c r="K2671">
        <f>'906MP'!AJ2371</f>
        <v>0</v>
      </c>
      <c r="L2671">
        <f>'906MP'!U2371</f>
        <v>0</v>
      </c>
      <c r="M2671" s="322" t="str">
        <f>IFERROR(VLOOKUP(A2671,PAR!$D$3:$E$53,2,FALSE),"nincs szervezet")</f>
        <v>nincs szervezet</v>
      </c>
      <c r="N2671" s="322" t="str">
        <f>VLOOKUP(F2671,PAR!$R$3:$S$5,2,FALSE)</f>
        <v>3 - egyik sem</v>
      </c>
      <c r="O2671" t="str">
        <f>IFERROR(VLOOKUP(J2671,PAR!$O$3:$P$5,2,FALSE),"nincs feladat")</f>
        <v>nincs feladat</v>
      </c>
      <c r="P2671" t="str">
        <f>IFERROR(VLOOKUP(G2671,PAR!$J$2:$M$19,4),"nincs rovat")</f>
        <v>nincs rovat</v>
      </c>
      <c r="Q2671" t="str">
        <f>IF(H2671&gt;0,VLOOKUP(H2671,PAR!$AA$3:$AC$187,3,FALSE),"nincs főkönyvi számla")</f>
        <v>nincs főkönyvi számla</v>
      </c>
      <c r="R2671" t="str">
        <f>IFERROR(VLOOKUP(K2671,PAR!$V$3:$X$438,3,FALSE),"000000 - Nincs COFOG")</f>
        <v>000000 - Nincs COFOG</v>
      </c>
      <c r="S2671">
        <f t="shared" si="791"/>
        <v>0</v>
      </c>
      <c r="T2671">
        <f t="shared" si="792"/>
        <v>0</v>
      </c>
      <c r="U2671" t="str">
        <f>IF('906MP'!J2371&gt;0,CONCATENATE('906MP'!J2371," - ",'906MP'!P2371,", ",'906MP'!E2371),"nincs megjegyzés")</f>
        <v>nincs megjegyzés</v>
      </c>
      <c r="V2671" t="str">
        <f t="shared" si="779"/>
        <v>0P0</v>
      </c>
      <c r="W2671" t="str">
        <f t="shared" si="780"/>
        <v>0P0</v>
      </c>
      <c r="X2671" t="str">
        <f t="shared" si="781"/>
        <v>P0</v>
      </c>
      <c r="Y2671" t="str">
        <f t="shared" si="782"/>
        <v>00</v>
      </c>
      <c r="Z2671" t="str">
        <f t="shared" si="793"/>
        <v>00</v>
      </c>
      <c r="AA2671" t="str">
        <f t="shared" si="783"/>
        <v>00</v>
      </c>
      <c r="AB2671" t="str">
        <f t="shared" si="784"/>
        <v>00</v>
      </c>
      <c r="AC2671" t="str">
        <f t="shared" si="785"/>
        <v>0P0</v>
      </c>
      <c r="AD2671" t="str">
        <f t="shared" si="786"/>
        <v>P00</v>
      </c>
      <c r="AE2671" t="str">
        <f t="shared" si="787"/>
        <v>0P0</v>
      </c>
      <c r="AF2671" t="str">
        <f t="shared" si="788"/>
        <v>P00</v>
      </c>
      <c r="AG2671" t="str">
        <f t="shared" si="794"/>
        <v>0P00</v>
      </c>
      <c r="AH2671" t="str">
        <f t="shared" si="795"/>
        <v>P000</v>
      </c>
      <c r="AI2671" t="str">
        <f t="shared" si="796"/>
        <v>0P00</v>
      </c>
      <c r="AJ2671" t="str">
        <f t="shared" si="797"/>
        <v>P000</v>
      </c>
    </row>
    <row r="2672" spans="1:36" x14ac:dyDescent="0.25">
      <c r="A2672" s="325" t="str">
        <f>CONCATENATE("P",'906MP'!M2372)</f>
        <v>P</v>
      </c>
      <c r="B2672">
        <f>'906MP'!H2372</f>
        <v>0</v>
      </c>
      <c r="C2672">
        <f>'906MP'!J2372</f>
        <v>0</v>
      </c>
      <c r="D2672">
        <f>'906MP'!P2372</f>
        <v>0</v>
      </c>
      <c r="E2672">
        <f>'906MP'!X2372</f>
        <v>0</v>
      </c>
      <c r="F2672" t="str">
        <f t="shared" si="789"/>
        <v>0</v>
      </c>
      <c r="G2672" t="str">
        <f t="shared" si="790"/>
        <v>0</v>
      </c>
      <c r="H2672">
        <f>'906MP'!Y2372</f>
        <v>0</v>
      </c>
      <c r="I2672">
        <f>'906MP'!AK2372</f>
        <v>0</v>
      </c>
      <c r="J2672">
        <f>'906MP'!T2372</f>
        <v>0</v>
      </c>
      <c r="K2672">
        <f>'906MP'!AJ2372</f>
        <v>0</v>
      </c>
      <c r="L2672">
        <f>'906MP'!U2372</f>
        <v>0</v>
      </c>
      <c r="M2672" s="322" t="str">
        <f>IFERROR(VLOOKUP(A2672,PAR!$D$3:$E$53,2,FALSE),"nincs szervezet")</f>
        <v>nincs szervezet</v>
      </c>
      <c r="N2672" s="322" t="str">
        <f>VLOOKUP(F2672,PAR!$R$3:$S$5,2,FALSE)</f>
        <v>3 - egyik sem</v>
      </c>
      <c r="O2672" t="str">
        <f>IFERROR(VLOOKUP(J2672,PAR!$O$3:$P$5,2,FALSE),"nincs feladat")</f>
        <v>nincs feladat</v>
      </c>
      <c r="P2672" t="str">
        <f>IFERROR(VLOOKUP(G2672,PAR!$J$2:$M$19,4),"nincs rovat")</f>
        <v>nincs rovat</v>
      </c>
      <c r="Q2672" t="str">
        <f>IF(H2672&gt;0,VLOOKUP(H2672,PAR!$AA$3:$AC$187,3,FALSE),"nincs főkönyvi számla")</f>
        <v>nincs főkönyvi számla</v>
      </c>
      <c r="R2672" t="str">
        <f>IFERROR(VLOOKUP(K2672,PAR!$V$3:$X$438,3,FALSE),"000000 - Nincs COFOG")</f>
        <v>000000 - Nincs COFOG</v>
      </c>
      <c r="S2672">
        <f t="shared" si="791"/>
        <v>0</v>
      </c>
      <c r="T2672">
        <f t="shared" si="792"/>
        <v>0</v>
      </c>
      <c r="U2672" t="str">
        <f>IF('906MP'!J2372&gt;0,CONCATENATE('906MP'!J2372," - ",'906MP'!P2372,", ",'906MP'!E2372),"nincs megjegyzés")</f>
        <v>nincs megjegyzés</v>
      </c>
      <c r="V2672" t="str">
        <f t="shared" si="779"/>
        <v>0P0</v>
      </c>
      <c r="W2672" t="str">
        <f t="shared" si="780"/>
        <v>0P0</v>
      </c>
      <c r="X2672" t="str">
        <f t="shared" si="781"/>
        <v>P0</v>
      </c>
      <c r="Y2672" t="str">
        <f t="shared" si="782"/>
        <v>00</v>
      </c>
      <c r="Z2672" t="str">
        <f t="shared" si="793"/>
        <v>00</v>
      </c>
      <c r="AA2672" t="str">
        <f t="shared" si="783"/>
        <v>00</v>
      </c>
      <c r="AB2672" t="str">
        <f t="shared" si="784"/>
        <v>00</v>
      </c>
      <c r="AC2672" t="str">
        <f t="shared" si="785"/>
        <v>0P0</v>
      </c>
      <c r="AD2672" t="str">
        <f t="shared" si="786"/>
        <v>P00</v>
      </c>
      <c r="AE2672" t="str">
        <f t="shared" si="787"/>
        <v>0P0</v>
      </c>
      <c r="AF2672" t="str">
        <f t="shared" si="788"/>
        <v>P00</v>
      </c>
      <c r="AG2672" t="str">
        <f t="shared" si="794"/>
        <v>0P00</v>
      </c>
      <c r="AH2672" t="str">
        <f t="shared" si="795"/>
        <v>P000</v>
      </c>
      <c r="AI2672" t="str">
        <f t="shared" si="796"/>
        <v>0P00</v>
      </c>
      <c r="AJ2672" t="str">
        <f t="shared" si="797"/>
        <v>P000</v>
      </c>
    </row>
    <row r="2673" spans="1:36" x14ac:dyDescent="0.25">
      <c r="A2673" s="325" t="str">
        <f>CONCATENATE("P",'906MP'!M2373)</f>
        <v>P</v>
      </c>
      <c r="B2673">
        <f>'906MP'!H2373</f>
        <v>0</v>
      </c>
      <c r="C2673">
        <f>'906MP'!J2373</f>
        <v>0</v>
      </c>
      <c r="D2673">
        <f>'906MP'!P2373</f>
        <v>0</v>
      </c>
      <c r="E2673">
        <f>'906MP'!X2373</f>
        <v>0</v>
      </c>
      <c r="F2673" t="str">
        <f t="shared" si="789"/>
        <v>0</v>
      </c>
      <c r="G2673" t="str">
        <f t="shared" si="790"/>
        <v>0</v>
      </c>
      <c r="H2673">
        <f>'906MP'!Y2373</f>
        <v>0</v>
      </c>
      <c r="I2673">
        <f>'906MP'!AK2373</f>
        <v>0</v>
      </c>
      <c r="J2673">
        <f>'906MP'!T2373</f>
        <v>0</v>
      </c>
      <c r="K2673">
        <f>'906MP'!AJ2373</f>
        <v>0</v>
      </c>
      <c r="L2673">
        <f>'906MP'!U2373</f>
        <v>0</v>
      </c>
      <c r="M2673" s="322" t="str">
        <f>IFERROR(VLOOKUP(A2673,PAR!$D$3:$E$53,2,FALSE),"nincs szervezet")</f>
        <v>nincs szervezet</v>
      </c>
      <c r="N2673" s="322" t="str">
        <f>VLOOKUP(F2673,PAR!$R$3:$S$5,2,FALSE)</f>
        <v>3 - egyik sem</v>
      </c>
      <c r="O2673" t="str">
        <f>IFERROR(VLOOKUP(J2673,PAR!$O$3:$P$5,2,FALSE),"nincs feladat")</f>
        <v>nincs feladat</v>
      </c>
      <c r="P2673" t="str">
        <f>IFERROR(VLOOKUP(G2673,PAR!$J$2:$M$19,4),"nincs rovat")</f>
        <v>nincs rovat</v>
      </c>
      <c r="Q2673" t="str">
        <f>IF(H2673&gt;0,VLOOKUP(H2673,PAR!$AA$3:$AC$187,3,FALSE),"nincs főkönyvi számla")</f>
        <v>nincs főkönyvi számla</v>
      </c>
      <c r="R2673" t="str">
        <f>IFERROR(VLOOKUP(K2673,PAR!$V$3:$X$438,3,FALSE),"000000 - Nincs COFOG")</f>
        <v>000000 - Nincs COFOG</v>
      </c>
      <c r="S2673">
        <f t="shared" si="791"/>
        <v>0</v>
      </c>
      <c r="T2673">
        <f t="shared" si="792"/>
        <v>0</v>
      </c>
      <c r="U2673" t="str">
        <f>IF('906MP'!J2373&gt;0,CONCATENATE('906MP'!J2373," - ",'906MP'!P2373,", ",'906MP'!E2373),"nincs megjegyzés")</f>
        <v>nincs megjegyzés</v>
      </c>
      <c r="V2673" t="str">
        <f t="shared" si="779"/>
        <v>0P0</v>
      </c>
      <c r="W2673" t="str">
        <f t="shared" si="780"/>
        <v>0P0</v>
      </c>
      <c r="X2673" t="str">
        <f t="shared" si="781"/>
        <v>P0</v>
      </c>
      <c r="Y2673" t="str">
        <f t="shared" si="782"/>
        <v>00</v>
      </c>
      <c r="Z2673" t="str">
        <f t="shared" si="793"/>
        <v>00</v>
      </c>
      <c r="AA2673" t="str">
        <f t="shared" si="783"/>
        <v>00</v>
      </c>
      <c r="AB2673" t="str">
        <f t="shared" si="784"/>
        <v>00</v>
      </c>
      <c r="AC2673" t="str">
        <f t="shared" si="785"/>
        <v>0P0</v>
      </c>
      <c r="AD2673" t="str">
        <f t="shared" si="786"/>
        <v>P00</v>
      </c>
      <c r="AE2673" t="str">
        <f t="shared" si="787"/>
        <v>0P0</v>
      </c>
      <c r="AF2673" t="str">
        <f t="shared" si="788"/>
        <v>P00</v>
      </c>
      <c r="AG2673" t="str">
        <f t="shared" si="794"/>
        <v>0P00</v>
      </c>
      <c r="AH2673" t="str">
        <f t="shared" si="795"/>
        <v>P000</v>
      </c>
      <c r="AI2673" t="str">
        <f t="shared" si="796"/>
        <v>0P00</v>
      </c>
      <c r="AJ2673" t="str">
        <f t="shared" si="797"/>
        <v>P000</v>
      </c>
    </row>
    <row r="2674" spans="1:36" x14ac:dyDescent="0.25">
      <c r="A2674" s="325" t="str">
        <f>CONCATENATE("P",'906MP'!M2374)</f>
        <v>P</v>
      </c>
      <c r="B2674">
        <f>'906MP'!H2374</f>
        <v>0</v>
      </c>
      <c r="C2674">
        <f>'906MP'!J2374</f>
        <v>0</v>
      </c>
      <c r="D2674">
        <f>'906MP'!P2374</f>
        <v>0</v>
      </c>
      <c r="E2674">
        <f>'906MP'!X2374</f>
        <v>0</v>
      </c>
      <c r="F2674" t="str">
        <f t="shared" si="789"/>
        <v>0</v>
      </c>
      <c r="G2674" t="str">
        <f t="shared" si="790"/>
        <v>0</v>
      </c>
      <c r="H2674">
        <f>'906MP'!Y2374</f>
        <v>0</v>
      </c>
      <c r="I2674">
        <f>'906MP'!AK2374</f>
        <v>0</v>
      </c>
      <c r="J2674">
        <f>'906MP'!T2374</f>
        <v>0</v>
      </c>
      <c r="K2674">
        <f>'906MP'!AJ2374</f>
        <v>0</v>
      </c>
      <c r="L2674">
        <f>'906MP'!U2374</f>
        <v>0</v>
      </c>
      <c r="M2674" s="322" t="str">
        <f>IFERROR(VLOOKUP(A2674,PAR!$D$3:$E$53,2,FALSE),"nincs szervezet")</f>
        <v>nincs szervezet</v>
      </c>
      <c r="N2674" s="322" t="str">
        <f>VLOOKUP(F2674,PAR!$R$3:$S$5,2,FALSE)</f>
        <v>3 - egyik sem</v>
      </c>
      <c r="O2674" t="str">
        <f>IFERROR(VLOOKUP(J2674,PAR!$O$3:$P$5,2,FALSE),"nincs feladat")</f>
        <v>nincs feladat</v>
      </c>
      <c r="P2674" t="str">
        <f>IFERROR(VLOOKUP(G2674,PAR!$J$2:$M$19,4),"nincs rovat")</f>
        <v>nincs rovat</v>
      </c>
      <c r="Q2674" t="str">
        <f>IF(H2674&gt;0,VLOOKUP(H2674,PAR!$AA$3:$AC$187,3,FALSE),"nincs főkönyvi számla")</f>
        <v>nincs főkönyvi számla</v>
      </c>
      <c r="R2674" t="str">
        <f>IFERROR(VLOOKUP(K2674,PAR!$V$3:$X$438,3,FALSE),"000000 - Nincs COFOG")</f>
        <v>000000 - Nincs COFOG</v>
      </c>
      <c r="S2674">
        <f t="shared" si="791"/>
        <v>0</v>
      </c>
      <c r="T2674">
        <f t="shared" si="792"/>
        <v>0</v>
      </c>
      <c r="U2674" t="str">
        <f>IF('906MP'!J2374&gt;0,CONCATENATE('906MP'!J2374," - ",'906MP'!P2374,", ",'906MP'!E2374),"nincs megjegyzés")</f>
        <v>nincs megjegyzés</v>
      </c>
      <c r="V2674" t="str">
        <f t="shared" si="779"/>
        <v>0P0</v>
      </c>
      <c r="W2674" t="str">
        <f t="shared" si="780"/>
        <v>0P0</v>
      </c>
      <c r="X2674" t="str">
        <f t="shared" si="781"/>
        <v>P0</v>
      </c>
      <c r="Y2674" t="str">
        <f t="shared" si="782"/>
        <v>00</v>
      </c>
      <c r="Z2674" t="str">
        <f t="shared" si="793"/>
        <v>00</v>
      </c>
      <c r="AA2674" t="str">
        <f t="shared" si="783"/>
        <v>00</v>
      </c>
      <c r="AB2674" t="str">
        <f t="shared" si="784"/>
        <v>00</v>
      </c>
      <c r="AC2674" t="str">
        <f t="shared" si="785"/>
        <v>0P0</v>
      </c>
      <c r="AD2674" t="str">
        <f t="shared" si="786"/>
        <v>P00</v>
      </c>
      <c r="AE2674" t="str">
        <f t="shared" si="787"/>
        <v>0P0</v>
      </c>
      <c r="AF2674" t="str">
        <f t="shared" si="788"/>
        <v>P00</v>
      </c>
      <c r="AG2674" t="str">
        <f t="shared" si="794"/>
        <v>0P00</v>
      </c>
      <c r="AH2674" t="str">
        <f t="shared" si="795"/>
        <v>P000</v>
      </c>
      <c r="AI2674" t="str">
        <f t="shared" si="796"/>
        <v>0P00</v>
      </c>
      <c r="AJ2674" t="str">
        <f t="shared" si="797"/>
        <v>P000</v>
      </c>
    </row>
    <row r="2675" spans="1:36" x14ac:dyDescent="0.25">
      <c r="A2675" s="325" t="str">
        <f>CONCATENATE("P",'906MP'!M2375)</f>
        <v>P</v>
      </c>
      <c r="B2675">
        <f>'906MP'!H2375</f>
        <v>0</v>
      </c>
      <c r="C2675">
        <f>'906MP'!J2375</f>
        <v>0</v>
      </c>
      <c r="D2675">
        <f>'906MP'!P2375</f>
        <v>0</v>
      </c>
      <c r="E2675">
        <f>'906MP'!X2375</f>
        <v>0</v>
      </c>
      <c r="F2675" t="str">
        <f t="shared" si="789"/>
        <v>0</v>
      </c>
      <c r="G2675" t="str">
        <f t="shared" si="790"/>
        <v>0</v>
      </c>
      <c r="H2675">
        <f>'906MP'!Y2375</f>
        <v>0</v>
      </c>
      <c r="I2675">
        <f>'906MP'!AK2375</f>
        <v>0</v>
      </c>
      <c r="J2675">
        <f>'906MP'!T2375</f>
        <v>0</v>
      </c>
      <c r="K2675">
        <f>'906MP'!AJ2375</f>
        <v>0</v>
      </c>
      <c r="L2675">
        <f>'906MP'!U2375</f>
        <v>0</v>
      </c>
      <c r="M2675" s="322" t="str">
        <f>IFERROR(VLOOKUP(A2675,PAR!$D$3:$E$53,2,FALSE),"nincs szervezet")</f>
        <v>nincs szervezet</v>
      </c>
      <c r="N2675" s="322" t="str">
        <f>VLOOKUP(F2675,PAR!$R$3:$S$5,2,FALSE)</f>
        <v>3 - egyik sem</v>
      </c>
      <c r="O2675" t="str">
        <f>IFERROR(VLOOKUP(J2675,PAR!$O$3:$P$5,2,FALSE),"nincs feladat")</f>
        <v>nincs feladat</v>
      </c>
      <c r="P2675" t="str">
        <f>IFERROR(VLOOKUP(G2675,PAR!$J$2:$M$19,4),"nincs rovat")</f>
        <v>nincs rovat</v>
      </c>
      <c r="Q2675" t="str">
        <f>IF(H2675&gt;0,VLOOKUP(H2675,PAR!$AA$3:$AC$187,3,FALSE),"nincs főkönyvi számla")</f>
        <v>nincs főkönyvi számla</v>
      </c>
      <c r="R2675" t="str">
        <f>IFERROR(VLOOKUP(K2675,PAR!$V$3:$X$438,3,FALSE),"000000 - Nincs COFOG")</f>
        <v>000000 - Nincs COFOG</v>
      </c>
      <c r="S2675">
        <f t="shared" si="791"/>
        <v>0</v>
      </c>
      <c r="T2675">
        <f t="shared" si="792"/>
        <v>0</v>
      </c>
      <c r="U2675" t="str">
        <f>IF('906MP'!J2375&gt;0,CONCATENATE('906MP'!J2375," - ",'906MP'!P2375,", ",'906MP'!E2375),"nincs megjegyzés")</f>
        <v>nincs megjegyzés</v>
      </c>
      <c r="V2675" t="str">
        <f t="shared" si="779"/>
        <v>0P0</v>
      </c>
      <c r="W2675" t="str">
        <f t="shared" si="780"/>
        <v>0P0</v>
      </c>
      <c r="X2675" t="str">
        <f t="shared" si="781"/>
        <v>P0</v>
      </c>
      <c r="Y2675" t="str">
        <f t="shared" si="782"/>
        <v>00</v>
      </c>
      <c r="Z2675" t="str">
        <f t="shared" si="793"/>
        <v>00</v>
      </c>
      <c r="AA2675" t="str">
        <f t="shared" si="783"/>
        <v>00</v>
      </c>
      <c r="AB2675" t="str">
        <f t="shared" si="784"/>
        <v>00</v>
      </c>
      <c r="AC2675" t="str">
        <f t="shared" si="785"/>
        <v>0P0</v>
      </c>
      <c r="AD2675" t="str">
        <f t="shared" si="786"/>
        <v>P00</v>
      </c>
      <c r="AE2675" t="str">
        <f t="shared" si="787"/>
        <v>0P0</v>
      </c>
      <c r="AF2675" t="str">
        <f t="shared" si="788"/>
        <v>P00</v>
      </c>
      <c r="AG2675" t="str">
        <f t="shared" si="794"/>
        <v>0P00</v>
      </c>
      <c r="AH2675" t="str">
        <f t="shared" si="795"/>
        <v>P000</v>
      </c>
      <c r="AI2675" t="str">
        <f t="shared" si="796"/>
        <v>0P00</v>
      </c>
      <c r="AJ2675" t="str">
        <f t="shared" si="797"/>
        <v>P000</v>
      </c>
    </row>
    <row r="2676" spans="1:36" x14ac:dyDescent="0.25">
      <c r="A2676" s="325" t="str">
        <f>CONCATENATE("P",'906MP'!M2376)</f>
        <v>P</v>
      </c>
      <c r="B2676">
        <f>'906MP'!H2376</f>
        <v>0</v>
      </c>
      <c r="C2676">
        <f>'906MP'!J2376</f>
        <v>0</v>
      </c>
      <c r="D2676">
        <f>'906MP'!P2376</f>
        <v>0</v>
      </c>
      <c r="E2676">
        <f>'906MP'!X2376</f>
        <v>0</v>
      </c>
      <c r="F2676" t="str">
        <f t="shared" si="789"/>
        <v>0</v>
      </c>
      <c r="G2676" t="str">
        <f t="shared" si="790"/>
        <v>0</v>
      </c>
      <c r="H2676">
        <f>'906MP'!Y2376</f>
        <v>0</v>
      </c>
      <c r="I2676">
        <f>'906MP'!AK2376</f>
        <v>0</v>
      </c>
      <c r="J2676">
        <f>'906MP'!T2376</f>
        <v>0</v>
      </c>
      <c r="K2676">
        <f>'906MP'!AJ2376</f>
        <v>0</v>
      </c>
      <c r="L2676">
        <f>'906MP'!U2376</f>
        <v>0</v>
      </c>
      <c r="M2676" s="322" t="str">
        <f>IFERROR(VLOOKUP(A2676,PAR!$D$3:$E$53,2,FALSE),"nincs szervezet")</f>
        <v>nincs szervezet</v>
      </c>
      <c r="N2676" s="322" t="str">
        <f>VLOOKUP(F2676,PAR!$R$3:$S$5,2,FALSE)</f>
        <v>3 - egyik sem</v>
      </c>
      <c r="O2676" t="str">
        <f>IFERROR(VLOOKUP(J2676,PAR!$O$3:$P$5,2,FALSE),"nincs feladat")</f>
        <v>nincs feladat</v>
      </c>
      <c r="P2676" t="str">
        <f>IFERROR(VLOOKUP(G2676,PAR!$J$2:$M$19,4),"nincs rovat")</f>
        <v>nincs rovat</v>
      </c>
      <c r="Q2676" t="str">
        <f>IF(H2676&gt;0,VLOOKUP(H2676,PAR!$AA$3:$AC$187,3,FALSE),"nincs főkönyvi számla")</f>
        <v>nincs főkönyvi számla</v>
      </c>
      <c r="R2676" t="str">
        <f>IFERROR(VLOOKUP(K2676,PAR!$V$3:$X$438,3,FALSE),"000000 - Nincs COFOG")</f>
        <v>000000 - Nincs COFOG</v>
      </c>
      <c r="S2676">
        <f t="shared" si="791"/>
        <v>0</v>
      </c>
      <c r="T2676">
        <f t="shared" si="792"/>
        <v>0</v>
      </c>
      <c r="U2676" t="str">
        <f>IF('906MP'!J2376&gt;0,CONCATENATE('906MP'!J2376," - ",'906MP'!P2376,", ",'906MP'!E2376),"nincs megjegyzés")</f>
        <v>nincs megjegyzés</v>
      </c>
      <c r="V2676" t="str">
        <f t="shared" si="779"/>
        <v>0P0</v>
      </c>
      <c r="W2676" t="str">
        <f t="shared" si="780"/>
        <v>0P0</v>
      </c>
      <c r="X2676" t="str">
        <f t="shared" si="781"/>
        <v>P0</v>
      </c>
      <c r="Y2676" t="str">
        <f t="shared" si="782"/>
        <v>00</v>
      </c>
      <c r="Z2676" t="str">
        <f t="shared" si="793"/>
        <v>00</v>
      </c>
      <c r="AA2676" t="str">
        <f t="shared" si="783"/>
        <v>00</v>
      </c>
      <c r="AB2676" t="str">
        <f t="shared" si="784"/>
        <v>00</v>
      </c>
      <c r="AC2676" t="str">
        <f t="shared" si="785"/>
        <v>0P0</v>
      </c>
      <c r="AD2676" t="str">
        <f t="shared" si="786"/>
        <v>P00</v>
      </c>
      <c r="AE2676" t="str">
        <f t="shared" si="787"/>
        <v>0P0</v>
      </c>
      <c r="AF2676" t="str">
        <f t="shared" si="788"/>
        <v>P00</v>
      </c>
      <c r="AG2676" t="str">
        <f t="shared" si="794"/>
        <v>0P00</v>
      </c>
      <c r="AH2676" t="str">
        <f t="shared" si="795"/>
        <v>P000</v>
      </c>
      <c r="AI2676" t="str">
        <f t="shared" si="796"/>
        <v>0P00</v>
      </c>
      <c r="AJ2676" t="str">
        <f t="shared" si="797"/>
        <v>P000</v>
      </c>
    </row>
    <row r="2677" spans="1:36" x14ac:dyDescent="0.25">
      <c r="A2677" s="325" t="str">
        <f>CONCATENATE("P",'906MP'!M2377)</f>
        <v>P</v>
      </c>
      <c r="B2677">
        <f>'906MP'!H2377</f>
        <v>0</v>
      </c>
      <c r="C2677">
        <f>'906MP'!J2377</f>
        <v>0</v>
      </c>
      <c r="D2677">
        <f>'906MP'!P2377</f>
        <v>0</v>
      </c>
      <c r="E2677">
        <f>'906MP'!X2377</f>
        <v>0</v>
      </c>
      <c r="F2677" t="str">
        <f t="shared" si="789"/>
        <v>0</v>
      </c>
      <c r="G2677" t="str">
        <f t="shared" si="790"/>
        <v>0</v>
      </c>
      <c r="H2677">
        <f>'906MP'!Y2377</f>
        <v>0</v>
      </c>
      <c r="I2677">
        <f>'906MP'!AK2377</f>
        <v>0</v>
      </c>
      <c r="J2677">
        <f>'906MP'!T2377</f>
        <v>0</v>
      </c>
      <c r="K2677">
        <f>'906MP'!AJ2377</f>
        <v>0</v>
      </c>
      <c r="L2677">
        <f>'906MP'!U2377</f>
        <v>0</v>
      </c>
      <c r="M2677" s="322" t="str">
        <f>IFERROR(VLOOKUP(A2677,PAR!$D$3:$E$53,2,FALSE),"nincs szervezet")</f>
        <v>nincs szervezet</v>
      </c>
      <c r="N2677" s="322" t="str">
        <f>VLOOKUP(F2677,PAR!$R$3:$S$5,2,FALSE)</f>
        <v>3 - egyik sem</v>
      </c>
      <c r="O2677" t="str">
        <f>IFERROR(VLOOKUP(J2677,PAR!$O$3:$P$5,2,FALSE),"nincs feladat")</f>
        <v>nincs feladat</v>
      </c>
      <c r="P2677" t="str">
        <f>IFERROR(VLOOKUP(G2677,PAR!$J$2:$M$19,4),"nincs rovat")</f>
        <v>nincs rovat</v>
      </c>
      <c r="Q2677" t="str">
        <f>IF(H2677&gt;0,VLOOKUP(H2677,PAR!$AA$3:$AC$187,3,FALSE),"nincs főkönyvi számla")</f>
        <v>nincs főkönyvi számla</v>
      </c>
      <c r="R2677" t="str">
        <f>IFERROR(VLOOKUP(K2677,PAR!$V$3:$X$438,3,FALSE),"000000 - Nincs COFOG")</f>
        <v>000000 - Nincs COFOG</v>
      </c>
      <c r="S2677">
        <f t="shared" si="791"/>
        <v>0</v>
      </c>
      <c r="T2677">
        <f t="shared" si="792"/>
        <v>0</v>
      </c>
      <c r="U2677" t="str">
        <f>IF('906MP'!J2377&gt;0,CONCATENATE('906MP'!J2377," - ",'906MP'!P2377,", ",'906MP'!E2377),"nincs megjegyzés")</f>
        <v>nincs megjegyzés</v>
      </c>
      <c r="V2677" t="str">
        <f t="shared" si="779"/>
        <v>0P0</v>
      </c>
      <c r="W2677" t="str">
        <f t="shared" si="780"/>
        <v>0P0</v>
      </c>
      <c r="X2677" t="str">
        <f t="shared" si="781"/>
        <v>P0</v>
      </c>
      <c r="Y2677" t="str">
        <f t="shared" si="782"/>
        <v>00</v>
      </c>
      <c r="Z2677" t="str">
        <f t="shared" si="793"/>
        <v>00</v>
      </c>
      <c r="AA2677" t="str">
        <f t="shared" si="783"/>
        <v>00</v>
      </c>
      <c r="AB2677" t="str">
        <f t="shared" si="784"/>
        <v>00</v>
      </c>
      <c r="AC2677" t="str">
        <f t="shared" si="785"/>
        <v>0P0</v>
      </c>
      <c r="AD2677" t="str">
        <f t="shared" si="786"/>
        <v>P00</v>
      </c>
      <c r="AE2677" t="str">
        <f t="shared" si="787"/>
        <v>0P0</v>
      </c>
      <c r="AF2677" t="str">
        <f t="shared" si="788"/>
        <v>P00</v>
      </c>
      <c r="AG2677" t="str">
        <f t="shared" si="794"/>
        <v>0P00</v>
      </c>
      <c r="AH2677" t="str">
        <f t="shared" si="795"/>
        <v>P000</v>
      </c>
      <c r="AI2677" t="str">
        <f t="shared" si="796"/>
        <v>0P00</v>
      </c>
      <c r="AJ2677" t="str">
        <f t="shared" si="797"/>
        <v>P000</v>
      </c>
    </row>
    <row r="2678" spans="1:36" x14ac:dyDescent="0.25">
      <c r="A2678" s="325" t="str">
        <f>CONCATENATE("P",'906MP'!M2378)</f>
        <v>P</v>
      </c>
      <c r="B2678">
        <f>'906MP'!H2378</f>
        <v>0</v>
      </c>
      <c r="C2678">
        <f>'906MP'!J2378</f>
        <v>0</v>
      </c>
      <c r="D2678">
        <f>'906MP'!P2378</f>
        <v>0</v>
      </c>
      <c r="E2678">
        <f>'906MP'!X2378</f>
        <v>0</v>
      </c>
      <c r="F2678" t="str">
        <f t="shared" si="789"/>
        <v>0</v>
      </c>
      <c r="G2678" t="str">
        <f t="shared" si="790"/>
        <v>0</v>
      </c>
      <c r="H2678">
        <f>'906MP'!Y2378</f>
        <v>0</v>
      </c>
      <c r="I2678">
        <f>'906MP'!AK2378</f>
        <v>0</v>
      </c>
      <c r="J2678">
        <f>'906MP'!T2378</f>
        <v>0</v>
      </c>
      <c r="K2678">
        <f>'906MP'!AJ2378</f>
        <v>0</v>
      </c>
      <c r="L2678">
        <f>'906MP'!U2378</f>
        <v>0</v>
      </c>
      <c r="M2678" s="322" t="str">
        <f>IFERROR(VLOOKUP(A2678,PAR!$D$3:$E$53,2,FALSE),"nincs szervezet")</f>
        <v>nincs szervezet</v>
      </c>
      <c r="N2678" s="322" t="str">
        <f>VLOOKUP(F2678,PAR!$R$3:$S$5,2,FALSE)</f>
        <v>3 - egyik sem</v>
      </c>
      <c r="O2678" t="str">
        <f>IFERROR(VLOOKUP(J2678,PAR!$O$3:$P$5,2,FALSE),"nincs feladat")</f>
        <v>nincs feladat</v>
      </c>
      <c r="P2678" t="str">
        <f>IFERROR(VLOOKUP(G2678,PAR!$J$2:$M$19,4),"nincs rovat")</f>
        <v>nincs rovat</v>
      </c>
      <c r="Q2678" t="str">
        <f>IF(H2678&gt;0,VLOOKUP(H2678,PAR!$AA$3:$AC$187,3,FALSE),"nincs főkönyvi számla")</f>
        <v>nincs főkönyvi számla</v>
      </c>
      <c r="R2678" t="str">
        <f>IFERROR(VLOOKUP(K2678,PAR!$V$3:$X$438,3,FALSE),"000000 - Nincs COFOG")</f>
        <v>000000 - Nincs COFOG</v>
      </c>
      <c r="S2678">
        <f t="shared" si="791"/>
        <v>0</v>
      </c>
      <c r="T2678">
        <f t="shared" si="792"/>
        <v>0</v>
      </c>
      <c r="U2678" t="str">
        <f>IF('906MP'!J2378&gt;0,CONCATENATE('906MP'!J2378," - ",'906MP'!P2378,", ",'906MP'!E2378),"nincs megjegyzés")</f>
        <v>nincs megjegyzés</v>
      </c>
      <c r="V2678" t="str">
        <f t="shared" si="779"/>
        <v>0P0</v>
      </c>
      <c r="W2678" t="str">
        <f t="shared" si="780"/>
        <v>0P0</v>
      </c>
      <c r="X2678" t="str">
        <f t="shared" si="781"/>
        <v>P0</v>
      </c>
      <c r="Y2678" t="str">
        <f t="shared" si="782"/>
        <v>00</v>
      </c>
      <c r="Z2678" t="str">
        <f t="shared" si="793"/>
        <v>00</v>
      </c>
      <c r="AA2678" t="str">
        <f t="shared" si="783"/>
        <v>00</v>
      </c>
      <c r="AB2678" t="str">
        <f t="shared" si="784"/>
        <v>00</v>
      </c>
      <c r="AC2678" t="str">
        <f t="shared" si="785"/>
        <v>0P0</v>
      </c>
      <c r="AD2678" t="str">
        <f t="shared" si="786"/>
        <v>P00</v>
      </c>
      <c r="AE2678" t="str">
        <f t="shared" si="787"/>
        <v>0P0</v>
      </c>
      <c r="AF2678" t="str">
        <f t="shared" si="788"/>
        <v>P00</v>
      </c>
      <c r="AG2678" t="str">
        <f t="shared" si="794"/>
        <v>0P00</v>
      </c>
      <c r="AH2678" t="str">
        <f t="shared" si="795"/>
        <v>P000</v>
      </c>
      <c r="AI2678" t="str">
        <f t="shared" si="796"/>
        <v>0P00</v>
      </c>
      <c r="AJ2678" t="str">
        <f t="shared" si="797"/>
        <v>P000</v>
      </c>
    </row>
    <row r="2679" spans="1:36" x14ac:dyDescent="0.25">
      <c r="A2679" s="325" t="str">
        <f>CONCATENATE("P",'906MP'!M2379)</f>
        <v>P</v>
      </c>
      <c r="B2679">
        <f>'906MP'!H2379</f>
        <v>0</v>
      </c>
      <c r="C2679">
        <f>'906MP'!J2379</f>
        <v>0</v>
      </c>
      <c r="D2679">
        <f>'906MP'!P2379</f>
        <v>0</v>
      </c>
      <c r="E2679">
        <f>'906MP'!X2379</f>
        <v>0</v>
      </c>
      <c r="F2679" t="str">
        <f t="shared" si="789"/>
        <v>0</v>
      </c>
      <c r="G2679" t="str">
        <f t="shared" si="790"/>
        <v>0</v>
      </c>
      <c r="H2679">
        <f>'906MP'!Y2379</f>
        <v>0</v>
      </c>
      <c r="I2679">
        <f>'906MP'!AK2379</f>
        <v>0</v>
      </c>
      <c r="J2679">
        <f>'906MP'!T2379</f>
        <v>0</v>
      </c>
      <c r="K2679">
        <f>'906MP'!AJ2379</f>
        <v>0</v>
      </c>
      <c r="L2679">
        <f>'906MP'!U2379</f>
        <v>0</v>
      </c>
      <c r="M2679" s="322" t="str">
        <f>IFERROR(VLOOKUP(A2679,PAR!$D$3:$E$53,2,FALSE),"nincs szervezet")</f>
        <v>nincs szervezet</v>
      </c>
      <c r="N2679" s="322" t="str">
        <f>VLOOKUP(F2679,PAR!$R$3:$S$5,2,FALSE)</f>
        <v>3 - egyik sem</v>
      </c>
      <c r="O2679" t="str">
        <f>IFERROR(VLOOKUP(J2679,PAR!$O$3:$P$5,2,FALSE),"nincs feladat")</f>
        <v>nincs feladat</v>
      </c>
      <c r="P2679" t="str">
        <f>IFERROR(VLOOKUP(G2679,PAR!$J$2:$M$19,4),"nincs rovat")</f>
        <v>nincs rovat</v>
      </c>
      <c r="Q2679" t="str">
        <f>IF(H2679&gt;0,VLOOKUP(H2679,PAR!$AA$3:$AC$187,3,FALSE),"nincs főkönyvi számla")</f>
        <v>nincs főkönyvi számla</v>
      </c>
      <c r="R2679" t="str">
        <f>IFERROR(VLOOKUP(K2679,PAR!$V$3:$X$438,3,FALSE),"000000 - Nincs COFOG")</f>
        <v>000000 - Nincs COFOG</v>
      </c>
      <c r="S2679">
        <f t="shared" si="791"/>
        <v>0</v>
      </c>
      <c r="T2679">
        <f t="shared" si="792"/>
        <v>0</v>
      </c>
      <c r="U2679" t="str">
        <f>IF('906MP'!J2379&gt;0,CONCATENATE('906MP'!J2379," - ",'906MP'!P2379,", ",'906MP'!E2379),"nincs megjegyzés")</f>
        <v>nincs megjegyzés</v>
      </c>
      <c r="V2679" t="str">
        <f t="shared" si="779"/>
        <v>0P0</v>
      </c>
      <c r="W2679" t="str">
        <f t="shared" si="780"/>
        <v>0P0</v>
      </c>
      <c r="X2679" t="str">
        <f t="shared" si="781"/>
        <v>P0</v>
      </c>
      <c r="Y2679" t="str">
        <f t="shared" si="782"/>
        <v>00</v>
      </c>
      <c r="Z2679" t="str">
        <f t="shared" si="793"/>
        <v>00</v>
      </c>
      <c r="AA2679" t="str">
        <f t="shared" si="783"/>
        <v>00</v>
      </c>
      <c r="AB2679" t="str">
        <f t="shared" si="784"/>
        <v>00</v>
      </c>
      <c r="AC2679" t="str">
        <f t="shared" si="785"/>
        <v>0P0</v>
      </c>
      <c r="AD2679" t="str">
        <f t="shared" si="786"/>
        <v>P00</v>
      </c>
      <c r="AE2679" t="str">
        <f t="shared" si="787"/>
        <v>0P0</v>
      </c>
      <c r="AF2679" t="str">
        <f t="shared" si="788"/>
        <v>P00</v>
      </c>
      <c r="AG2679" t="str">
        <f t="shared" si="794"/>
        <v>0P00</v>
      </c>
      <c r="AH2679" t="str">
        <f t="shared" si="795"/>
        <v>P000</v>
      </c>
      <c r="AI2679" t="str">
        <f t="shared" si="796"/>
        <v>0P00</v>
      </c>
      <c r="AJ2679" t="str">
        <f t="shared" si="797"/>
        <v>P000</v>
      </c>
    </row>
    <row r="2680" spans="1:36" x14ac:dyDescent="0.25">
      <c r="A2680" s="325" t="str">
        <f>CONCATENATE("P",'906MP'!M2380)</f>
        <v>P</v>
      </c>
      <c r="B2680">
        <f>'906MP'!H2380</f>
        <v>0</v>
      </c>
      <c r="C2680">
        <f>'906MP'!J2380</f>
        <v>0</v>
      </c>
      <c r="D2680">
        <f>'906MP'!P2380</f>
        <v>0</v>
      </c>
      <c r="E2680">
        <f>'906MP'!X2380</f>
        <v>0</v>
      </c>
      <c r="F2680" t="str">
        <f t="shared" si="789"/>
        <v>0</v>
      </c>
      <c r="G2680" t="str">
        <f t="shared" si="790"/>
        <v>0</v>
      </c>
      <c r="H2680">
        <f>'906MP'!Y2380</f>
        <v>0</v>
      </c>
      <c r="I2680">
        <f>'906MP'!AK2380</f>
        <v>0</v>
      </c>
      <c r="J2680">
        <f>'906MP'!T2380</f>
        <v>0</v>
      </c>
      <c r="K2680">
        <f>'906MP'!AJ2380</f>
        <v>0</v>
      </c>
      <c r="L2680">
        <f>'906MP'!U2380</f>
        <v>0</v>
      </c>
      <c r="M2680" s="322" t="str">
        <f>IFERROR(VLOOKUP(A2680,PAR!$D$3:$E$53,2,FALSE),"nincs szervezet")</f>
        <v>nincs szervezet</v>
      </c>
      <c r="N2680" s="322" t="str">
        <f>VLOOKUP(F2680,PAR!$R$3:$S$5,2,FALSE)</f>
        <v>3 - egyik sem</v>
      </c>
      <c r="O2680" t="str">
        <f>IFERROR(VLOOKUP(J2680,PAR!$O$3:$P$5,2,FALSE),"nincs feladat")</f>
        <v>nincs feladat</v>
      </c>
      <c r="P2680" t="str">
        <f>IFERROR(VLOOKUP(G2680,PAR!$J$2:$M$19,4),"nincs rovat")</f>
        <v>nincs rovat</v>
      </c>
      <c r="Q2680" t="str">
        <f>IF(H2680&gt;0,VLOOKUP(H2680,PAR!$AA$3:$AC$187,3,FALSE),"nincs főkönyvi számla")</f>
        <v>nincs főkönyvi számla</v>
      </c>
      <c r="R2680" t="str">
        <f>IFERROR(VLOOKUP(K2680,PAR!$V$3:$X$438,3,FALSE),"000000 - Nincs COFOG")</f>
        <v>000000 - Nincs COFOG</v>
      </c>
      <c r="S2680">
        <f t="shared" si="791"/>
        <v>0</v>
      </c>
      <c r="T2680">
        <f t="shared" si="792"/>
        <v>0</v>
      </c>
      <c r="U2680" t="str">
        <f>IF('906MP'!J2380&gt;0,CONCATENATE('906MP'!J2380," - ",'906MP'!P2380,", ",'906MP'!E2380),"nincs megjegyzés")</f>
        <v>nincs megjegyzés</v>
      </c>
      <c r="V2680" t="str">
        <f t="shared" si="779"/>
        <v>0P0</v>
      </c>
      <c r="W2680" t="str">
        <f t="shared" si="780"/>
        <v>0P0</v>
      </c>
      <c r="X2680" t="str">
        <f t="shared" si="781"/>
        <v>P0</v>
      </c>
      <c r="Y2680" t="str">
        <f t="shared" si="782"/>
        <v>00</v>
      </c>
      <c r="Z2680" t="str">
        <f t="shared" si="793"/>
        <v>00</v>
      </c>
      <c r="AA2680" t="str">
        <f t="shared" si="783"/>
        <v>00</v>
      </c>
      <c r="AB2680" t="str">
        <f t="shared" si="784"/>
        <v>00</v>
      </c>
      <c r="AC2680" t="str">
        <f t="shared" si="785"/>
        <v>0P0</v>
      </c>
      <c r="AD2680" t="str">
        <f t="shared" si="786"/>
        <v>P00</v>
      </c>
      <c r="AE2680" t="str">
        <f t="shared" si="787"/>
        <v>0P0</v>
      </c>
      <c r="AF2680" t="str">
        <f t="shared" si="788"/>
        <v>P00</v>
      </c>
      <c r="AG2680" t="str">
        <f t="shared" si="794"/>
        <v>0P00</v>
      </c>
      <c r="AH2680" t="str">
        <f t="shared" si="795"/>
        <v>P000</v>
      </c>
      <c r="AI2680" t="str">
        <f t="shared" si="796"/>
        <v>0P00</v>
      </c>
      <c r="AJ2680" t="str">
        <f t="shared" si="797"/>
        <v>P000</v>
      </c>
    </row>
    <row r="2681" spans="1:36" x14ac:dyDescent="0.25">
      <c r="A2681" s="325" t="str">
        <f>CONCATENATE("P",'906MP'!M2381)</f>
        <v>P</v>
      </c>
      <c r="B2681">
        <f>'906MP'!H2381</f>
        <v>0</v>
      </c>
      <c r="C2681">
        <f>'906MP'!J2381</f>
        <v>0</v>
      </c>
      <c r="D2681">
        <f>'906MP'!P2381</f>
        <v>0</v>
      </c>
      <c r="E2681">
        <f>'906MP'!X2381</f>
        <v>0</v>
      </c>
      <c r="F2681" t="str">
        <f t="shared" si="789"/>
        <v>0</v>
      </c>
      <c r="G2681" t="str">
        <f t="shared" si="790"/>
        <v>0</v>
      </c>
      <c r="H2681">
        <f>'906MP'!Y2381</f>
        <v>0</v>
      </c>
      <c r="I2681">
        <f>'906MP'!AK2381</f>
        <v>0</v>
      </c>
      <c r="J2681">
        <f>'906MP'!T2381</f>
        <v>0</v>
      </c>
      <c r="K2681">
        <f>'906MP'!AJ2381</f>
        <v>0</v>
      </c>
      <c r="L2681">
        <f>'906MP'!U2381</f>
        <v>0</v>
      </c>
      <c r="M2681" s="322" t="str">
        <f>IFERROR(VLOOKUP(A2681,PAR!$D$3:$E$53,2,FALSE),"nincs szervezet")</f>
        <v>nincs szervezet</v>
      </c>
      <c r="N2681" s="322" t="str">
        <f>VLOOKUP(F2681,PAR!$R$3:$S$5,2,FALSE)</f>
        <v>3 - egyik sem</v>
      </c>
      <c r="O2681" t="str">
        <f>IFERROR(VLOOKUP(J2681,PAR!$O$3:$P$5,2,FALSE),"nincs feladat")</f>
        <v>nincs feladat</v>
      </c>
      <c r="P2681" t="str">
        <f>IFERROR(VLOOKUP(G2681,PAR!$J$2:$M$19,4),"nincs rovat")</f>
        <v>nincs rovat</v>
      </c>
      <c r="Q2681" t="str">
        <f>IF(H2681&gt;0,VLOOKUP(H2681,PAR!$AA$3:$AC$187,3,FALSE),"nincs főkönyvi számla")</f>
        <v>nincs főkönyvi számla</v>
      </c>
      <c r="R2681" t="str">
        <f>IFERROR(VLOOKUP(K2681,PAR!$V$3:$X$438,3,FALSE),"000000 - Nincs COFOG")</f>
        <v>000000 - Nincs COFOG</v>
      </c>
      <c r="S2681">
        <f t="shared" si="791"/>
        <v>0</v>
      </c>
      <c r="T2681">
        <f t="shared" si="792"/>
        <v>0</v>
      </c>
      <c r="U2681" t="str">
        <f>IF('906MP'!J2381&gt;0,CONCATENATE('906MP'!J2381," - ",'906MP'!P2381,", ",'906MP'!E2381),"nincs megjegyzés")</f>
        <v>nincs megjegyzés</v>
      </c>
      <c r="V2681" t="str">
        <f t="shared" si="779"/>
        <v>0P0</v>
      </c>
      <c r="W2681" t="str">
        <f t="shared" si="780"/>
        <v>0P0</v>
      </c>
      <c r="X2681" t="str">
        <f t="shared" si="781"/>
        <v>P0</v>
      </c>
      <c r="Y2681" t="str">
        <f t="shared" si="782"/>
        <v>00</v>
      </c>
      <c r="Z2681" t="str">
        <f t="shared" si="793"/>
        <v>00</v>
      </c>
      <c r="AA2681" t="str">
        <f t="shared" si="783"/>
        <v>00</v>
      </c>
      <c r="AB2681" t="str">
        <f t="shared" si="784"/>
        <v>00</v>
      </c>
      <c r="AC2681" t="str">
        <f t="shared" si="785"/>
        <v>0P0</v>
      </c>
      <c r="AD2681" t="str">
        <f t="shared" si="786"/>
        <v>P00</v>
      </c>
      <c r="AE2681" t="str">
        <f t="shared" si="787"/>
        <v>0P0</v>
      </c>
      <c r="AF2681" t="str">
        <f t="shared" si="788"/>
        <v>P00</v>
      </c>
      <c r="AG2681" t="str">
        <f t="shared" si="794"/>
        <v>0P00</v>
      </c>
      <c r="AH2681" t="str">
        <f t="shared" si="795"/>
        <v>P000</v>
      </c>
      <c r="AI2681" t="str">
        <f t="shared" si="796"/>
        <v>0P00</v>
      </c>
      <c r="AJ2681" t="str">
        <f t="shared" si="797"/>
        <v>P000</v>
      </c>
    </row>
    <row r="2682" spans="1:36" x14ac:dyDescent="0.25">
      <c r="A2682" s="325" t="str">
        <f>CONCATENATE("P",'906MP'!M2382)</f>
        <v>P</v>
      </c>
      <c r="B2682">
        <f>'906MP'!H2382</f>
        <v>0</v>
      </c>
      <c r="C2682">
        <f>'906MP'!J2382</f>
        <v>0</v>
      </c>
      <c r="D2682">
        <f>'906MP'!P2382</f>
        <v>0</v>
      </c>
      <c r="E2682">
        <f>'906MP'!X2382</f>
        <v>0</v>
      </c>
      <c r="F2682" t="str">
        <f t="shared" si="789"/>
        <v>0</v>
      </c>
      <c r="G2682" t="str">
        <f t="shared" si="790"/>
        <v>0</v>
      </c>
      <c r="H2682">
        <f>'906MP'!Y2382</f>
        <v>0</v>
      </c>
      <c r="I2682">
        <f>'906MP'!AK2382</f>
        <v>0</v>
      </c>
      <c r="J2682">
        <f>'906MP'!T2382</f>
        <v>0</v>
      </c>
      <c r="K2682">
        <f>'906MP'!AJ2382</f>
        <v>0</v>
      </c>
      <c r="L2682">
        <f>'906MP'!U2382</f>
        <v>0</v>
      </c>
      <c r="M2682" s="322" t="str">
        <f>IFERROR(VLOOKUP(A2682,PAR!$D$3:$E$53,2,FALSE),"nincs szervezet")</f>
        <v>nincs szervezet</v>
      </c>
      <c r="N2682" s="322" t="str">
        <f>VLOOKUP(F2682,PAR!$R$3:$S$5,2,FALSE)</f>
        <v>3 - egyik sem</v>
      </c>
      <c r="O2682" t="str">
        <f>IFERROR(VLOOKUP(J2682,PAR!$O$3:$P$5,2,FALSE),"nincs feladat")</f>
        <v>nincs feladat</v>
      </c>
      <c r="P2682" t="str">
        <f>IFERROR(VLOOKUP(G2682,PAR!$J$2:$M$19,4),"nincs rovat")</f>
        <v>nincs rovat</v>
      </c>
      <c r="Q2682" t="str">
        <f>IF(H2682&gt;0,VLOOKUP(H2682,PAR!$AA$3:$AC$187,3,FALSE),"nincs főkönyvi számla")</f>
        <v>nincs főkönyvi számla</v>
      </c>
      <c r="R2682" t="str">
        <f>IFERROR(VLOOKUP(K2682,PAR!$V$3:$X$438,3,FALSE),"000000 - Nincs COFOG")</f>
        <v>000000 - Nincs COFOG</v>
      </c>
      <c r="S2682">
        <f t="shared" si="791"/>
        <v>0</v>
      </c>
      <c r="T2682">
        <f t="shared" si="792"/>
        <v>0</v>
      </c>
      <c r="U2682" t="str">
        <f>IF('906MP'!J2382&gt;0,CONCATENATE('906MP'!J2382," - ",'906MP'!P2382,", ",'906MP'!E2382),"nincs megjegyzés")</f>
        <v>nincs megjegyzés</v>
      </c>
      <c r="V2682" t="str">
        <f t="shared" si="779"/>
        <v>0P0</v>
      </c>
      <c r="W2682" t="str">
        <f t="shared" si="780"/>
        <v>0P0</v>
      </c>
      <c r="X2682" t="str">
        <f t="shared" si="781"/>
        <v>P0</v>
      </c>
      <c r="Y2682" t="str">
        <f t="shared" si="782"/>
        <v>00</v>
      </c>
      <c r="Z2682" t="str">
        <f t="shared" si="793"/>
        <v>00</v>
      </c>
      <c r="AA2682" t="str">
        <f t="shared" si="783"/>
        <v>00</v>
      </c>
      <c r="AB2682" t="str">
        <f t="shared" si="784"/>
        <v>00</v>
      </c>
      <c r="AC2682" t="str">
        <f t="shared" si="785"/>
        <v>0P0</v>
      </c>
      <c r="AD2682" t="str">
        <f t="shared" si="786"/>
        <v>P00</v>
      </c>
      <c r="AE2682" t="str">
        <f t="shared" si="787"/>
        <v>0P0</v>
      </c>
      <c r="AF2682" t="str">
        <f t="shared" si="788"/>
        <v>P00</v>
      </c>
      <c r="AG2682" t="str">
        <f t="shared" si="794"/>
        <v>0P00</v>
      </c>
      <c r="AH2682" t="str">
        <f t="shared" si="795"/>
        <v>P000</v>
      </c>
      <c r="AI2682" t="str">
        <f t="shared" si="796"/>
        <v>0P00</v>
      </c>
      <c r="AJ2682" t="str">
        <f t="shared" si="797"/>
        <v>P000</v>
      </c>
    </row>
    <row r="2683" spans="1:36" x14ac:dyDescent="0.25">
      <c r="A2683" s="325" t="str">
        <f>CONCATENATE("P",'906MP'!M2383)</f>
        <v>P</v>
      </c>
      <c r="B2683">
        <f>'906MP'!H2383</f>
        <v>0</v>
      </c>
      <c r="C2683">
        <f>'906MP'!J2383</f>
        <v>0</v>
      </c>
      <c r="D2683">
        <f>'906MP'!P2383</f>
        <v>0</v>
      </c>
      <c r="E2683">
        <f>'906MP'!X2383</f>
        <v>0</v>
      </c>
      <c r="F2683" t="str">
        <f t="shared" si="789"/>
        <v>0</v>
      </c>
      <c r="G2683" t="str">
        <f t="shared" si="790"/>
        <v>0</v>
      </c>
      <c r="H2683">
        <f>'906MP'!Y2383</f>
        <v>0</v>
      </c>
      <c r="I2683">
        <f>'906MP'!AK2383</f>
        <v>0</v>
      </c>
      <c r="J2683">
        <f>'906MP'!T2383</f>
        <v>0</v>
      </c>
      <c r="K2683">
        <f>'906MP'!AJ2383</f>
        <v>0</v>
      </c>
      <c r="L2683">
        <f>'906MP'!U2383</f>
        <v>0</v>
      </c>
      <c r="M2683" s="322" t="str">
        <f>IFERROR(VLOOKUP(A2683,PAR!$D$3:$E$53,2,FALSE),"nincs szervezet")</f>
        <v>nincs szervezet</v>
      </c>
      <c r="N2683" s="322" t="str">
        <f>VLOOKUP(F2683,PAR!$R$3:$S$5,2,FALSE)</f>
        <v>3 - egyik sem</v>
      </c>
      <c r="O2683" t="str">
        <f>IFERROR(VLOOKUP(J2683,PAR!$O$3:$P$5,2,FALSE),"nincs feladat")</f>
        <v>nincs feladat</v>
      </c>
      <c r="P2683" t="str">
        <f>IFERROR(VLOOKUP(G2683,PAR!$J$2:$M$19,4),"nincs rovat")</f>
        <v>nincs rovat</v>
      </c>
      <c r="Q2683" t="str">
        <f>IF(H2683&gt;0,VLOOKUP(H2683,PAR!$AA$3:$AC$187,3,FALSE),"nincs főkönyvi számla")</f>
        <v>nincs főkönyvi számla</v>
      </c>
      <c r="R2683" t="str">
        <f>IFERROR(VLOOKUP(K2683,PAR!$V$3:$X$438,3,FALSE),"000000 - Nincs COFOG")</f>
        <v>000000 - Nincs COFOG</v>
      </c>
      <c r="S2683">
        <f t="shared" si="791"/>
        <v>0</v>
      </c>
      <c r="T2683">
        <f t="shared" si="792"/>
        <v>0</v>
      </c>
      <c r="U2683" t="str">
        <f>IF('906MP'!J2383&gt;0,CONCATENATE('906MP'!J2383," - ",'906MP'!P2383,", ",'906MP'!E2383),"nincs megjegyzés")</f>
        <v>nincs megjegyzés</v>
      </c>
      <c r="V2683" t="str">
        <f t="shared" si="779"/>
        <v>0P0</v>
      </c>
      <c r="W2683" t="str">
        <f t="shared" si="780"/>
        <v>0P0</v>
      </c>
      <c r="X2683" t="str">
        <f t="shared" si="781"/>
        <v>P0</v>
      </c>
      <c r="Y2683" t="str">
        <f t="shared" si="782"/>
        <v>00</v>
      </c>
      <c r="Z2683" t="str">
        <f t="shared" si="793"/>
        <v>00</v>
      </c>
      <c r="AA2683" t="str">
        <f t="shared" si="783"/>
        <v>00</v>
      </c>
      <c r="AB2683" t="str">
        <f t="shared" si="784"/>
        <v>00</v>
      </c>
      <c r="AC2683" t="str">
        <f t="shared" si="785"/>
        <v>0P0</v>
      </c>
      <c r="AD2683" t="str">
        <f t="shared" si="786"/>
        <v>P00</v>
      </c>
      <c r="AE2683" t="str">
        <f t="shared" si="787"/>
        <v>0P0</v>
      </c>
      <c r="AF2683" t="str">
        <f t="shared" si="788"/>
        <v>P00</v>
      </c>
      <c r="AG2683" t="str">
        <f t="shared" si="794"/>
        <v>0P00</v>
      </c>
      <c r="AH2683" t="str">
        <f t="shared" si="795"/>
        <v>P000</v>
      </c>
      <c r="AI2683" t="str">
        <f t="shared" si="796"/>
        <v>0P00</v>
      </c>
      <c r="AJ2683" t="str">
        <f t="shared" si="797"/>
        <v>P000</v>
      </c>
    </row>
    <row r="2684" spans="1:36" x14ac:dyDescent="0.25">
      <c r="A2684" s="325" t="str">
        <f>CONCATENATE("P",'906MP'!M2384)</f>
        <v>P</v>
      </c>
      <c r="B2684">
        <f>'906MP'!H2384</f>
        <v>0</v>
      </c>
      <c r="C2684">
        <f>'906MP'!J2384</f>
        <v>0</v>
      </c>
      <c r="D2684">
        <f>'906MP'!P2384</f>
        <v>0</v>
      </c>
      <c r="E2684">
        <f>'906MP'!X2384</f>
        <v>0</v>
      </c>
      <c r="F2684" t="str">
        <f t="shared" si="789"/>
        <v>0</v>
      </c>
      <c r="G2684" t="str">
        <f t="shared" si="790"/>
        <v>0</v>
      </c>
      <c r="H2684">
        <f>'906MP'!Y2384</f>
        <v>0</v>
      </c>
      <c r="I2684">
        <f>'906MP'!AK2384</f>
        <v>0</v>
      </c>
      <c r="J2684">
        <f>'906MP'!T2384</f>
        <v>0</v>
      </c>
      <c r="K2684">
        <f>'906MP'!AJ2384</f>
        <v>0</v>
      </c>
      <c r="L2684">
        <f>'906MP'!U2384</f>
        <v>0</v>
      </c>
      <c r="M2684" s="322" t="str">
        <f>IFERROR(VLOOKUP(A2684,PAR!$D$3:$E$53,2,FALSE),"nincs szervezet")</f>
        <v>nincs szervezet</v>
      </c>
      <c r="N2684" s="322" t="str">
        <f>VLOOKUP(F2684,PAR!$R$3:$S$5,2,FALSE)</f>
        <v>3 - egyik sem</v>
      </c>
      <c r="O2684" t="str">
        <f>IFERROR(VLOOKUP(J2684,PAR!$O$3:$P$5,2,FALSE),"nincs feladat")</f>
        <v>nincs feladat</v>
      </c>
      <c r="P2684" t="str">
        <f>IFERROR(VLOOKUP(G2684,PAR!$J$2:$M$19,4),"nincs rovat")</f>
        <v>nincs rovat</v>
      </c>
      <c r="Q2684" t="str">
        <f>IF(H2684&gt;0,VLOOKUP(H2684,PAR!$AA$3:$AC$187,3,FALSE),"nincs főkönyvi számla")</f>
        <v>nincs főkönyvi számla</v>
      </c>
      <c r="R2684" t="str">
        <f>IFERROR(VLOOKUP(K2684,PAR!$V$3:$X$438,3,FALSE),"000000 - Nincs COFOG")</f>
        <v>000000 - Nincs COFOG</v>
      </c>
      <c r="S2684">
        <f t="shared" si="791"/>
        <v>0</v>
      </c>
      <c r="T2684">
        <f t="shared" si="792"/>
        <v>0</v>
      </c>
      <c r="U2684" t="str">
        <f>IF('906MP'!J2384&gt;0,CONCATENATE('906MP'!J2384," - ",'906MP'!P2384,", ",'906MP'!E2384),"nincs megjegyzés")</f>
        <v>nincs megjegyzés</v>
      </c>
      <c r="V2684" t="str">
        <f t="shared" si="779"/>
        <v>0P0</v>
      </c>
      <c r="W2684" t="str">
        <f t="shared" si="780"/>
        <v>0P0</v>
      </c>
      <c r="X2684" t="str">
        <f t="shared" si="781"/>
        <v>P0</v>
      </c>
      <c r="Y2684" t="str">
        <f t="shared" si="782"/>
        <v>00</v>
      </c>
      <c r="Z2684" t="str">
        <f t="shared" si="793"/>
        <v>00</v>
      </c>
      <c r="AA2684" t="str">
        <f t="shared" si="783"/>
        <v>00</v>
      </c>
      <c r="AB2684" t="str">
        <f t="shared" si="784"/>
        <v>00</v>
      </c>
      <c r="AC2684" t="str">
        <f t="shared" si="785"/>
        <v>0P0</v>
      </c>
      <c r="AD2684" t="str">
        <f t="shared" si="786"/>
        <v>P00</v>
      </c>
      <c r="AE2684" t="str">
        <f t="shared" si="787"/>
        <v>0P0</v>
      </c>
      <c r="AF2684" t="str">
        <f t="shared" si="788"/>
        <v>P00</v>
      </c>
      <c r="AG2684" t="str">
        <f t="shared" si="794"/>
        <v>0P00</v>
      </c>
      <c r="AH2684" t="str">
        <f t="shared" si="795"/>
        <v>P000</v>
      </c>
      <c r="AI2684" t="str">
        <f t="shared" si="796"/>
        <v>0P00</v>
      </c>
      <c r="AJ2684" t="str">
        <f t="shared" si="797"/>
        <v>P000</v>
      </c>
    </row>
    <row r="2685" spans="1:36" x14ac:dyDescent="0.25">
      <c r="A2685" s="325" t="str">
        <f>CONCATENATE("P",'906MP'!M2385)</f>
        <v>P</v>
      </c>
      <c r="B2685">
        <f>'906MP'!H2385</f>
        <v>0</v>
      </c>
      <c r="C2685">
        <f>'906MP'!J2385</f>
        <v>0</v>
      </c>
      <c r="D2685">
        <f>'906MP'!P2385</f>
        <v>0</v>
      </c>
      <c r="E2685">
        <f>'906MP'!X2385</f>
        <v>0</v>
      </c>
      <c r="F2685" t="str">
        <f t="shared" si="789"/>
        <v>0</v>
      </c>
      <c r="G2685" t="str">
        <f t="shared" si="790"/>
        <v>0</v>
      </c>
      <c r="H2685">
        <f>'906MP'!Y2385</f>
        <v>0</v>
      </c>
      <c r="I2685">
        <f>'906MP'!AK2385</f>
        <v>0</v>
      </c>
      <c r="J2685">
        <f>'906MP'!T2385</f>
        <v>0</v>
      </c>
      <c r="K2685">
        <f>'906MP'!AJ2385</f>
        <v>0</v>
      </c>
      <c r="L2685">
        <f>'906MP'!U2385</f>
        <v>0</v>
      </c>
      <c r="M2685" s="322" t="str">
        <f>IFERROR(VLOOKUP(A2685,PAR!$D$3:$E$53,2,FALSE),"nincs szervezet")</f>
        <v>nincs szervezet</v>
      </c>
      <c r="N2685" s="322" t="str">
        <f>VLOOKUP(F2685,PAR!$R$3:$S$5,2,FALSE)</f>
        <v>3 - egyik sem</v>
      </c>
      <c r="O2685" t="str">
        <f>IFERROR(VLOOKUP(J2685,PAR!$O$3:$P$5,2,FALSE),"nincs feladat")</f>
        <v>nincs feladat</v>
      </c>
      <c r="P2685" t="str">
        <f>IFERROR(VLOOKUP(G2685,PAR!$J$2:$M$19,4),"nincs rovat")</f>
        <v>nincs rovat</v>
      </c>
      <c r="Q2685" t="str">
        <f>IF(H2685&gt;0,VLOOKUP(H2685,PAR!$AA$3:$AC$187,3,FALSE),"nincs főkönyvi számla")</f>
        <v>nincs főkönyvi számla</v>
      </c>
      <c r="R2685" t="str">
        <f>IFERROR(VLOOKUP(K2685,PAR!$V$3:$X$438,3,FALSE),"000000 - Nincs COFOG")</f>
        <v>000000 - Nincs COFOG</v>
      </c>
      <c r="S2685">
        <f t="shared" si="791"/>
        <v>0</v>
      </c>
      <c r="T2685">
        <f t="shared" si="792"/>
        <v>0</v>
      </c>
      <c r="U2685" t="str">
        <f>IF('906MP'!J2385&gt;0,CONCATENATE('906MP'!J2385," - ",'906MP'!P2385,", ",'906MP'!E2385),"nincs megjegyzés")</f>
        <v>nincs megjegyzés</v>
      </c>
      <c r="V2685" t="str">
        <f t="shared" si="779"/>
        <v>0P0</v>
      </c>
      <c r="W2685" t="str">
        <f t="shared" si="780"/>
        <v>0P0</v>
      </c>
      <c r="X2685" t="str">
        <f t="shared" si="781"/>
        <v>P0</v>
      </c>
      <c r="Y2685" t="str">
        <f t="shared" si="782"/>
        <v>00</v>
      </c>
      <c r="Z2685" t="str">
        <f t="shared" si="793"/>
        <v>00</v>
      </c>
      <c r="AA2685" t="str">
        <f t="shared" si="783"/>
        <v>00</v>
      </c>
      <c r="AB2685" t="str">
        <f t="shared" si="784"/>
        <v>00</v>
      </c>
      <c r="AC2685" t="str">
        <f t="shared" si="785"/>
        <v>0P0</v>
      </c>
      <c r="AD2685" t="str">
        <f t="shared" si="786"/>
        <v>P00</v>
      </c>
      <c r="AE2685" t="str">
        <f t="shared" si="787"/>
        <v>0P0</v>
      </c>
      <c r="AF2685" t="str">
        <f t="shared" si="788"/>
        <v>P00</v>
      </c>
      <c r="AG2685" t="str">
        <f t="shared" si="794"/>
        <v>0P00</v>
      </c>
      <c r="AH2685" t="str">
        <f t="shared" si="795"/>
        <v>P000</v>
      </c>
      <c r="AI2685" t="str">
        <f t="shared" si="796"/>
        <v>0P00</v>
      </c>
      <c r="AJ2685" t="str">
        <f t="shared" si="797"/>
        <v>P000</v>
      </c>
    </row>
    <row r="2686" spans="1:36" x14ac:dyDescent="0.25">
      <c r="A2686" s="325" t="str">
        <f>CONCATENATE("P",'906MP'!M2386)</f>
        <v>P</v>
      </c>
      <c r="B2686">
        <f>'906MP'!H2386</f>
        <v>0</v>
      </c>
      <c r="C2686">
        <f>'906MP'!J2386</f>
        <v>0</v>
      </c>
      <c r="D2686">
        <f>'906MP'!P2386</f>
        <v>0</v>
      </c>
      <c r="E2686">
        <f>'906MP'!X2386</f>
        <v>0</v>
      </c>
      <c r="F2686" t="str">
        <f t="shared" si="789"/>
        <v>0</v>
      </c>
      <c r="G2686" t="str">
        <f t="shared" si="790"/>
        <v>0</v>
      </c>
      <c r="H2686">
        <f>'906MP'!Y2386</f>
        <v>0</v>
      </c>
      <c r="I2686">
        <f>'906MP'!AK2386</f>
        <v>0</v>
      </c>
      <c r="J2686">
        <f>'906MP'!T2386</f>
        <v>0</v>
      </c>
      <c r="K2686">
        <f>'906MP'!AJ2386</f>
        <v>0</v>
      </c>
      <c r="L2686">
        <f>'906MP'!U2386</f>
        <v>0</v>
      </c>
      <c r="M2686" s="322" t="str">
        <f>IFERROR(VLOOKUP(A2686,PAR!$D$3:$E$53,2,FALSE),"nincs szervezet")</f>
        <v>nincs szervezet</v>
      </c>
      <c r="N2686" s="322" t="str">
        <f>VLOOKUP(F2686,PAR!$R$3:$S$5,2,FALSE)</f>
        <v>3 - egyik sem</v>
      </c>
      <c r="O2686" t="str">
        <f>IFERROR(VLOOKUP(J2686,PAR!$O$3:$P$5,2,FALSE),"nincs feladat")</f>
        <v>nincs feladat</v>
      </c>
      <c r="P2686" t="str">
        <f>IFERROR(VLOOKUP(G2686,PAR!$J$2:$M$19,4),"nincs rovat")</f>
        <v>nincs rovat</v>
      </c>
      <c r="Q2686" t="str">
        <f>IF(H2686&gt;0,VLOOKUP(H2686,PAR!$AA$3:$AC$187,3,FALSE),"nincs főkönyvi számla")</f>
        <v>nincs főkönyvi számla</v>
      </c>
      <c r="R2686" t="str">
        <f>IFERROR(VLOOKUP(K2686,PAR!$V$3:$X$438,3,FALSE),"000000 - Nincs COFOG")</f>
        <v>000000 - Nincs COFOG</v>
      </c>
      <c r="S2686">
        <f t="shared" si="791"/>
        <v>0</v>
      </c>
      <c r="T2686">
        <f t="shared" si="792"/>
        <v>0</v>
      </c>
      <c r="U2686" t="str">
        <f>IF('906MP'!J2386&gt;0,CONCATENATE('906MP'!J2386," - ",'906MP'!P2386,", ",'906MP'!E2386),"nincs megjegyzés")</f>
        <v>nincs megjegyzés</v>
      </c>
      <c r="V2686" t="str">
        <f t="shared" si="779"/>
        <v>0P0</v>
      </c>
      <c r="W2686" t="str">
        <f t="shared" si="780"/>
        <v>0P0</v>
      </c>
      <c r="X2686" t="str">
        <f t="shared" si="781"/>
        <v>P0</v>
      </c>
      <c r="Y2686" t="str">
        <f t="shared" si="782"/>
        <v>00</v>
      </c>
      <c r="Z2686" t="str">
        <f t="shared" si="793"/>
        <v>00</v>
      </c>
      <c r="AA2686" t="str">
        <f t="shared" si="783"/>
        <v>00</v>
      </c>
      <c r="AB2686" t="str">
        <f t="shared" si="784"/>
        <v>00</v>
      </c>
      <c r="AC2686" t="str">
        <f t="shared" si="785"/>
        <v>0P0</v>
      </c>
      <c r="AD2686" t="str">
        <f t="shared" si="786"/>
        <v>P00</v>
      </c>
      <c r="AE2686" t="str">
        <f t="shared" si="787"/>
        <v>0P0</v>
      </c>
      <c r="AF2686" t="str">
        <f t="shared" si="788"/>
        <v>P00</v>
      </c>
      <c r="AG2686" t="str">
        <f t="shared" si="794"/>
        <v>0P00</v>
      </c>
      <c r="AH2686" t="str">
        <f t="shared" si="795"/>
        <v>P000</v>
      </c>
      <c r="AI2686" t="str">
        <f t="shared" si="796"/>
        <v>0P00</v>
      </c>
      <c r="AJ2686" t="str">
        <f t="shared" si="797"/>
        <v>P000</v>
      </c>
    </row>
    <row r="2687" spans="1:36" x14ac:dyDescent="0.25">
      <c r="A2687" s="325" t="str">
        <f>CONCATENATE("P",'906MP'!M2387)</f>
        <v>P</v>
      </c>
      <c r="B2687">
        <f>'906MP'!H2387</f>
        <v>0</v>
      </c>
      <c r="C2687">
        <f>'906MP'!J2387</f>
        <v>0</v>
      </c>
      <c r="D2687">
        <f>'906MP'!P2387</f>
        <v>0</v>
      </c>
      <c r="E2687">
        <f>'906MP'!X2387</f>
        <v>0</v>
      </c>
      <c r="F2687" t="str">
        <f t="shared" si="789"/>
        <v>0</v>
      </c>
      <c r="G2687" t="str">
        <f t="shared" si="790"/>
        <v>0</v>
      </c>
      <c r="H2687">
        <f>'906MP'!Y2387</f>
        <v>0</v>
      </c>
      <c r="I2687">
        <f>'906MP'!AK2387</f>
        <v>0</v>
      </c>
      <c r="J2687">
        <f>'906MP'!T2387</f>
        <v>0</v>
      </c>
      <c r="K2687">
        <f>'906MP'!AJ2387</f>
        <v>0</v>
      </c>
      <c r="L2687">
        <f>'906MP'!U2387</f>
        <v>0</v>
      </c>
      <c r="M2687" s="322" t="str">
        <f>IFERROR(VLOOKUP(A2687,PAR!$D$3:$E$53,2,FALSE),"nincs szervezet")</f>
        <v>nincs szervezet</v>
      </c>
      <c r="N2687" s="322" t="str">
        <f>VLOOKUP(F2687,PAR!$R$3:$S$5,2,FALSE)</f>
        <v>3 - egyik sem</v>
      </c>
      <c r="O2687" t="str">
        <f>IFERROR(VLOOKUP(J2687,PAR!$O$3:$P$5,2,FALSE),"nincs feladat")</f>
        <v>nincs feladat</v>
      </c>
      <c r="P2687" t="str">
        <f>IFERROR(VLOOKUP(G2687,PAR!$J$2:$M$19,4),"nincs rovat")</f>
        <v>nincs rovat</v>
      </c>
      <c r="Q2687" t="str">
        <f>IF(H2687&gt;0,VLOOKUP(H2687,PAR!$AA$3:$AC$187,3,FALSE),"nincs főkönyvi számla")</f>
        <v>nincs főkönyvi számla</v>
      </c>
      <c r="R2687" t="str">
        <f>IFERROR(VLOOKUP(K2687,PAR!$V$3:$X$438,3,FALSE),"000000 - Nincs COFOG")</f>
        <v>000000 - Nincs COFOG</v>
      </c>
      <c r="S2687">
        <f t="shared" si="791"/>
        <v>0</v>
      </c>
      <c r="T2687">
        <f t="shared" si="792"/>
        <v>0</v>
      </c>
      <c r="U2687" t="str">
        <f>IF('906MP'!J2387&gt;0,CONCATENATE('906MP'!J2387," - ",'906MP'!P2387,", ",'906MP'!E2387),"nincs megjegyzés")</f>
        <v>nincs megjegyzés</v>
      </c>
      <c r="V2687" t="str">
        <f t="shared" si="779"/>
        <v>0P0</v>
      </c>
      <c r="W2687" t="str">
        <f t="shared" si="780"/>
        <v>0P0</v>
      </c>
      <c r="X2687" t="str">
        <f t="shared" si="781"/>
        <v>P0</v>
      </c>
      <c r="Y2687" t="str">
        <f t="shared" si="782"/>
        <v>00</v>
      </c>
      <c r="Z2687" t="str">
        <f t="shared" si="793"/>
        <v>00</v>
      </c>
      <c r="AA2687" t="str">
        <f t="shared" si="783"/>
        <v>00</v>
      </c>
      <c r="AB2687" t="str">
        <f t="shared" si="784"/>
        <v>00</v>
      </c>
      <c r="AC2687" t="str">
        <f t="shared" si="785"/>
        <v>0P0</v>
      </c>
      <c r="AD2687" t="str">
        <f t="shared" si="786"/>
        <v>P00</v>
      </c>
      <c r="AE2687" t="str">
        <f t="shared" si="787"/>
        <v>0P0</v>
      </c>
      <c r="AF2687" t="str">
        <f t="shared" si="788"/>
        <v>P00</v>
      </c>
      <c r="AG2687" t="str">
        <f t="shared" si="794"/>
        <v>0P00</v>
      </c>
      <c r="AH2687" t="str">
        <f t="shared" si="795"/>
        <v>P000</v>
      </c>
      <c r="AI2687" t="str">
        <f t="shared" si="796"/>
        <v>0P00</v>
      </c>
      <c r="AJ2687" t="str">
        <f t="shared" si="797"/>
        <v>P000</v>
      </c>
    </row>
    <row r="2688" spans="1:36" x14ac:dyDescent="0.25">
      <c r="A2688" s="325" t="str">
        <f>CONCATENATE("P",'906MP'!M2388)</f>
        <v>P</v>
      </c>
      <c r="B2688">
        <f>'906MP'!H2388</f>
        <v>0</v>
      </c>
      <c r="C2688">
        <f>'906MP'!J2388</f>
        <v>0</v>
      </c>
      <c r="D2688">
        <f>'906MP'!P2388</f>
        <v>0</v>
      </c>
      <c r="E2688">
        <f>'906MP'!X2388</f>
        <v>0</v>
      </c>
      <c r="F2688" t="str">
        <f t="shared" si="789"/>
        <v>0</v>
      </c>
      <c r="G2688" t="str">
        <f t="shared" si="790"/>
        <v>0</v>
      </c>
      <c r="H2688">
        <f>'906MP'!Y2388</f>
        <v>0</v>
      </c>
      <c r="I2688">
        <f>'906MP'!AK2388</f>
        <v>0</v>
      </c>
      <c r="J2688">
        <f>'906MP'!T2388</f>
        <v>0</v>
      </c>
      <c r="K2688">
        <f>'906MP'!AJ2388</f>
        <v>0</v>
      </c>
      <c r="L2688">
        <f>'906MP'!U2388</f>
        <v>0</v>
      </c>
      <c r="M2688" s="322" t="str">
        <f>IFERROR(VLOOKUP(A2688,PAR!$D$3:$E$53,2,FALSE),"nincs szervezet")</f>
        <v>nincs szervezet</v>
      </c>
      <c r="N2688" s="322" t="str">
        <f>VLOOKUP(F2688,PAR!$R$3:$S$5,2,FALSE)</f>
        <v>3 - egyik sem</v>
      </c>
      <c r="O2688" t="str">
        <f>IFERROR(VLOOKUP(J2688,PAR!$O$3:$P$5,2,FALSE),"nincs feladat")</f>
        <v>nincs feladat</v>
      </c>
      <c r="P2688" t="str">
        <f>IFERROR(VLOOKUP(G2688,PAR!$J$2:$M$19,4),"nincs rovat")</f>
        <v>nincs rovat</v>
      </c>
      <c r="Q2688" t="str">
        <f>IF(H2688&gt;0,VLOOKUP(H2688,PAR!$AA$3:$AC$187,3,FALSE),"nincs főkönyvi számla")</f>
        <v>nincs főkönyvi számla</v>
      </c>
      <c r="R2688" t="str">
        <f>IFERROR(VLOOKUP(K2688,PAR!$V$3:$X$438,3,FALSE),"000000 - Nincs COFOG")</f>
        <v>000000 - Nincs COFOG</v>
      </c>
      <c r="S2688">
        <f t="shared" si="791"/>
        <v>0</v>
      </c>
      <c r="T2688">
        <f t="shared" si="792"/>
        <v>0</v>
      </c>
      <c r="U2688" t="str">
        <f>IF('906MP'!J2388&gt;0,CONCATENATE('906MP'!J2388," - ",'906MP'!P2388,", ",'906MP'!E2388),"nincs megjegyzés")</f>
        <v>nincs megjegyzés</v>
      </c>
      <c r="V2688" t="str">
        <f t="shared" si="779"/>
        <v>0P0</v>
      </c>
      <c r="W2688" t="str">
        <f t="shared" si="780"/>
        <v>0P0</v>
      </c>
      <c r="X2688" t="str">
        <f t="shared" si="781"/>
        <v>P0</v>
      </c>
      <c r="Y2688" t="str">
        <f t="shared" si="782"/>
        <v>00</v>
      </c>
      <c r="Z2688" t="str">
        <f t="shared" si="793"/>
        <v>00</v>
      </c>
      <c r="AA2688" t="str">
        <f t="shared" si="783"/>
        <v>00</v>
      </c>
      <c r="AB2688" t="str">
        <f t="shared" si="784"/>
        <v>00</v>
      </c>
      <c r="AC2688" t="str">
        <f t="shared" si="785"/>
        <v>0P0</v>
      </c>
      <c r="AD2688" t="str">
        <f t="shared" si="786"/>
        <v>P00</v>
      </c>
      <c r="AE2688" t="str">
        <f t="shared" si="787"/>
        <v>0P0</v>
      </c>
      <c r="AF2688" t="str">
        <f t="shared" si="788"/>
        <v>P00</v>
      </c>
      <c r="AG2688" t="str">
        <f t="shared" si="794"/>
        <v>0P00</v>
      </c>
      <c r="AH2688" t="str">
        <f t="shared" si="795"/>
        <v>P000</v>
      </c>
      <c r="AI2688" t="str">
        <f t="shared" si="796"/>
        <v>0P00</v>
      </c>
      <c r="AJ2688" t="str">
        <f t="shared" si="797"/>
        <v>P000</v>
      </c>
    </row>
    <row r="2689" spans="1:36" x14ac:dyDescent="0.25">
      <c r="A2689" s="325" t="str">
        <f>CONCATENATE("P",'906MP'!M2389)</f>
        <v>P</v>
      </c>
      <c r="B2689">
        <f>'906MP'!H2389</f>
        <v>0</v>
      </c>
      <c r="C2689">
        <f>'906MP'!J2389</f>
        <v>0</v>
      </c>
      <c r="D2689">
        <f>'906MP'!P2389</f>
        <v>0</v>
      </c>
      <c r="E2689">
        <f>'906MP'!X2389</f>
        <v>0</v>
      </c>
      <c r="F2689" t="str">
        <f t="shared" si="789"/>
        <v>0</v>
      </c>
      <c r="G2689" t="str">
        <f t="shared" si="790"/>
        <v>0</v>
      </c>
      <c r="H2689">
        <f>'906MP'!Y2389</f>
        <v>0</v>
      </c>
      <c r="I2689">
        <f>'906MP'!AK2389</f>
        <v>0</v>
      </c>
      <c r="J2689">
        <f>'906MP'!T2389</f>
        <v>0</v>
      </c>
      <c r="K2689">
        <f>'906MP'!AJ2389</f>
        <v>0</v>
      </c>
      <c r="L2689">
        <f>'906MP'!U2389</f>
        <v>0</v>
      </c>
      <c r="M2689" s="322" t="str">
        <f>IFERROR(VLOOKUP(A2689,PAR!$D$3:$E$53,2,FALSE),"nincs szervezet")</f>
        <v>nincs szervezet</v>
      </c>
      <c r="N2689" s="322" t="str">
        <f>VLOOKUP(F2689,PAR!$R$3:$S$5,2,FALSE)</f>
        <v>3 - egyik sem</v>
      </c>
      <c r="O2689" t="str">
        <f>IFERROR(VLOOKUP(J2689,PAR!$O$3:$P$5,2,FALSE),"nincs feladat")</f>
        <v>nincs feladat</v>
      </c>
      <c r="P2689" t="str">
        <f>IFERROR(VLOOKUP(G2689,PAR!$J$2:$M$19,4),"nincs rovat")</f>
        <v>nincs rovat</v>
      </c>
      <c r="Q2689" t="str">
        <f>IF(H2689&gt;0,VLOOKUP(H2689,PAR!$AA$3:$AC$187,3,FALSE),"nincs főkönyvi számla")</f>
        <v>nincs főkönyvi számla</v>
      </c>
      <c r="R2689" t="str">
        <f>IFERROR(VLOOKUP(K2689,PAR!$V$3:$X$438,3,FALSE),"000000 - Nincs COFOG")</f>
        <v>000000 - Nincs COFOG</v>
      </c>
      <c r="S2689">
        <f t="shared" si="791"/>
        <v>0</v>
      </c>
      <c r="T2689">
        <f t="shared" si="792"/>
        <v>0</v>
      </c>
      <c r="U2689" t="str">
        <f>IF('906MP'!J2389&gt;0,CONCATENATE('906MP'!J2389," - ",'906MP'!P2389,", ",'906MP'!E2389),"nincs megjegyzés")</f>
        <v>nincs megjegyzés</v>
      </c>
      <c r="V2689" t="str">
        <f t="shared" si="779"/>
        <v>0P0</v>
      </c>
      <c r="W2689" t="str">
        <f t="shared" si="780"/>
        <v>0P0</v>
      </c>
      <c r="X2689" t="str">
        <f t="shared" si="781"/>
        <v>P0</v>
      </c>
      <c r="Y2689" t="str">
        <f t="shared" si="782"/>
        <v>00</v>
      </c>
      <c r="Z2689" t="str">
        <f t="shared" si="793"/>
        <v>00</v>
      </c>
      <c r="AA2689" t="str">
        <f t="shared" si="783"/>
        <v>00</v>
      </c>
      <c r="AB2689" t="str">
        <f t="shared" si="784"/>
        <v>00</v>
      </c>
      <c r="AC2689" t="str">
        <f t="shared" si="785"/>
        <v>0P0</v>
      </c>
      <c r="AD2689" t="str">
        <f t="shared" si="786"/>
        <v>P00</v>
      </c>
      <c r="AE2689" t="str">
        <f t="shared" si="787"/>
        <v>0P0</v>
      </c>
      <c r="AF2689" t="str">
        <f t="shared" si="788"/>
        <v>P00</v>
      </c>
      <c r="AG2689" t="str">
        <f t="shared" si="794"/>
        <v>0P00</v>
      </c>
      <c r="AH2689" t="str">
        <f t="shared" si="795"/>
        <v>P000</v>
      </c>
      <c r="AI2689" t="str">
        <f t="shared" si="796"/>
        <v>0P00</v>
      </c>
      <c r="AJ2689" t="str">
        <f t="shared" si="797"/>
        <v>P000</v>
      </c>
    </row>
    <row r="2690" spans="1:36" x14ac:dyDescent="0.25">
      <c r="A2690" s="325" t="str">
        <f>CONCATENATE("P",'906MP'!M2390)</f>
        <v>P</v>
      </c>
      <c r="B2690">
        <f>'906MP'!H2390</f>
        <v>0</v>
      </c>
      <c r="C2690">
        <f>'906MP'!J2390</f>
        <v>0</v>
      </c>
      <c r="D2690">
        <f>'906MP'!P2390</f>
        <v>0</v>
      </c>
      <c r="E2690">
        <f>'906MP'!X2390</f>
        <v>0</v>
      </c>
      <c r="F2690" t="str">
        <f t="shared" si="789"/>
        <v>0</v>
      </c>
      <c r="G2690" t="str">
        <f t="shared" si="790"/>
        <v>0</v>
      </c>
      <c r="H2690">
        <f>'906MP'!Y2390</f>
        <v>0</v>
      </c>
      <c r="I2690">
        <f>'906MP'!AK2390</f>
        <v>0</v>
      </c>
      <c r="J2690">
        <f>'906MP'!T2390</f>
        <v>0</v>
      </c>
      <c r="K2690">
        <f>'906MP'!AJ2390</f>
        <v>0</v>
      </c>
      <c r="L2690">
        <f>'906MP'!U2390</f>
        <v>0</v>
      </c>
      <c r="M2690" s="322" t="str">
        <f>IFERROR(VLOOKUP(A2690,PAR!$D$3:$E$53,2,FALSE),"nincs szervezet")</f>
        <v>nincs szervezet</v>
      </c>
      <c r="N2690" s="322" t="str">
        <f>VLOOKUP(F2690,PAR!$R$3:$S$5,2,FALSE)</f>
        <v>3 - egyik sem</v>
      </c>
      <c r="O2690" t="str">
        <f>IFERROR(VLOOKUP(J2690,PAR!$O$3:$P$5,2,FALSE),"nincs feladat")</f>
        <v>nincs feladat</v>
      </c>
      <c r="P2690" t="str">
        <f>IFERROR(VLOOKUP(G2690,PAR!$J$2:$M$19,4),"nincs rovat")</f>
        <v>nincs rovat</v>
      </c>
      <c r="Q2690" t="str">
        <f>IF(H2690&gt;0,VLOOKUP(H2690,PAR!$AA$3:$AC$187,3,FALSE),"nincs főkönyvi számla")</f>
        <v>nincs főkönyvi számla</v>
      </c>
      <c r="R2690" t="str">
        <f>IFERROR(VLOOKUP(K2690,PAR!$V$3:$X$438,3,FALSE),"000000 - Nincs COFOG")</f>
        <v>000000 - Nincs COFOG</v>
      </c>
      <c r="S2690">
        <f t="shared" si="791"/>
        <v>0</v>
      </c>
      <c r="T2690">
        <f t="shared" si="792"/>
        <v>0</v>
      </c>
      <c r="U2690" t="str">
        <f>IF('906MP'!J2390&gt;0,CONCATENATE('906MP'!J2390," - ",'906MP'!P2390,", ",'906MP'!E2390),"nincs megjegyzés")</f>
        <v>nincs megjegyzés</v>
      </c>
      <c r="V2690" t="str">
        <f t="shared" ref="V2690:V2753" si="798">CONCATENATE(B2690,A2690,G2690)</f>
        <v>0P0</v>
      </c>
      <c r="W2690" t="str">
        <f t="shared" ref="W2690:W2753" si="799">CONCATENATE(B2690,A2690,F2690)</f>
        <v>0P0</v>
      </c>
      <c r="X2690" t="str">
        <f t="shared" ref="X2690:X2753" si="800">CONCATENATE(A2690,H2690)</f>
        <v>P0</v>
      </c>
      <c r="Y2690" t="str">
        <f t="shared" ref="Y2690:Y2753" si="801">CONCATENATE(B2690,H2690)</f>
        <v>00</v>
      </c>
      <c r="Z2690" t="str">
        <f t="shared" si="793"/>
        <v>00</v>
      </c>
      <c r="AA2690" t="str">
        <f t="shared" ref="AA2690:AA2753" si="802">CONCATENATE(B2690,G2690)</f>
        <v>00</v>
      </c>
      <c r="AB2690" t="str">
        <f t="shared" ref="AB2690:AB2753" si="803">CONCATENATE(J2690,G2690)</f>
        <v>00</v>
      </c>
      <c r="AC2690" t="str">
        <f t="shared" ref="AC2690:AC2753" si="804">CONCATENATE(B2690,A2690,H2690)</f>
        <v>0P0</v>
      </c>
      <c r="AD2690" t="str">
        <f t="shared" ref="AD2690:AD2753" si="805">CONCATENATE(A2690,H2690,J2690)</f>
        <v>P00</v>
      </c>
      <c r="AE2690" t="str">
        <f t="shared" ref="AE2690:AE2753" si="806">CONCATENATE(B2690,A2690,G2690)</f>
        <v>0P0</v>
      </c>
      <c r="AF2690" t="str">
        <f t="shared" ref="AF2690:AF2753" si="807">CONCATENATE(A2690,G2690,J2690)</f>
        <v>P00</v>
      </c>
      <c r="AG2690" t="str">
        <f t="shared" si="794"/>
        <v>0P00</v>
      </c>
      <c r="AH2690" t="str">
        <f t="shared" si="795"/>
        <v>P000</v>
      </c>
      <c r="AI2690" t="str">
        <f t="shared" si="796"/>
        <v>0P00</v>
      </c>
      <c r="AJ2690" t="str">
        <f t="shared" si="797"/>
        <v>P000</v>
      </c>
    </row>
    <row r="2691" spans="1:36" x14ac:dyDescent="0.25">
      <c r="A2691" s="325" t="str">
        <f>CONCATENATE("P",'906MP'!M2391)</f>
        <v>P</v>
      </c>
      <c r="B2691">
        <f>'906MP'!H2391</f>
        <v>0</v>
      </c>
      <c r="C2691">
        <f>'906MP'!J2391</f>
        <v>0</v>
      </c>
      <c r="D2691">
        <f>'906MP'!P2391</f>
        <v>0</v>
      </c>
      <c r="E2691">
        <f>'906MP'!X2391</f>
        <v>0</v>
      </c>
      <c r="F2691" t="str">
        <f t="shared" ref="F2691:F2754" si="808">LEFT(G2691,2)</f>
        <v>0</v>
      </c>
      <c r="G2691" t="str">
        <f t="shared" ref="G2691:G2754" si="809">LEFT(H2691,3)</f>
        <v>0</v>
      </c>
      <c r="H2691">
        <f>'906MP'!Y2391</f>
        <v>0</v>
      </c>
      <c r="I2691">
        <f>'906MP'!AK2391</f>
        <v>0</v>
      </c>
      <c r="J2691">
        <f>'906MP'!T2391</f>
        <v>0</v>
      </c>
      <c r="K2691">
        <f>'906MP'!AJ2391</f>
        <v>0</v>
      </c>
      <c r="L2691">
        <f>'906MP'!U2391</f>
        <v>0</v>
      </c>
      <c r="M2691" s="322" t="str">
        <f>IFERROR(VLOOKUP(A2691,PAR!$D$3:$E$53,2,FALSE),"nincs szervezet")</f>
        <v>nincs szervezet</v>
      </c>
      <c r="N2691" s="322" t="str">
        <f>VLOOKUP(F2691,PAR!$R$3:$S$5,2,FALSE)</f>
        <v>3 - egyik sem</v>
      </c>
      <c r="O2691" t="str">
        <f>IFERROR(VLOOKUP(J2691,PAR!$O$3:$P$5,2,FALSE),"nincs feladat")</f>
        <v>nincs feladat</v>
      </c>
      <c r="P2691" t="str">
        <f>IFERROR(VLOOKUP(G2691,PAR!$J$2:$M$19,4),"nincs rovat")</f>
        <v>nincs rovat</v>
      </c>
      <c r="Q2691" t="str">
        <f>IF(H2691&gt;0,VLOOKUP(H2691,PAR!$AA$3:$AC$187,3,FALSE),"nincs főkönyvi számla")</f>
        <v>nincs főkönyvi számla</v>
      </c>
      <c r="R2691" t="str">
        <f>IFERROR(VLOOKUP(K2691,PAR!$V$3:$X$438,3,FALSE),"000000 - Nincs COFOG")</f>
        <v>000000 - Nincs COFOG</v>
      </c>
      <c r="S2691">
        <f t="shared" ref="S2691:S2754" si="810">E2691</f>
        <v>0</v>
      </c>
      <c r="T2691">
        <f t="shared" ref="T2691:T2754" si="811">IF(F2691="09",E2691*-1,E2691)</f>
        <v>0</v>
      </c>
      <c r="U2691" t="str">
        <f>IF('906MP'!J2391&gt;0,CONCATENATE('906MP'!J2391," - ",'906MP'!P2391,", ",'906MP'!E2391),"nincs megjegyzés")</f>
        <v>nincs megjegyzés</v>
      </c>
      <c r="V2691" t="str">
        <f t="shared" si="798"/>
        <v>0P0</v>
      </c>
      <c r="W2691" t="str">
        <f t="shared" si="799"/>
        <v>0P0</v>
      </c>
      <c r="X2691" t="str">
        <f t="shared" si="800"/>
        <v>P0</v>
      </c>
      <c r="Y2691" t="str">
        <f t="shared" si="801"/>
        <v>00</v>
      </c>
      <c r="Z2691" t="str">
        <f t="shared" ref="Z2691:Z2754" si="812">CONCATENATE(J2691,H2691)</f>
        <v>00</v>
      </c>
      <c r="AA2691" t="str">
        <f t="shared" si="802"/>
        <v>00</v>
      </c>
      <c r="AB2691" t="str">
        <f t="shared" si="803"/>
        <v>00</v>
      </c>
      <c r="AC2691" t="str">
        <f t="shared" si="804"/>
        <v>0P0</v>
      </c>
      <c r="AD2691" t="str">
        <f t="shared" si="805"/>
        <v>P00</v>
      </c>
      <c r="AE2691" t="str">
        <f t="shared" si="806"/>
        <v>0P0</v>
      </c>
      <c r="AF2691" t="str">
        <f t="shared" si="807"/>
        <v>P00</v>
      </c>
      <c r="AG2691" t="str">
        <f t="shared" ref="AG2691:AG2754" si="813">CONCATENATE(B2691,A2691,H2691,L2691)</f>
        <v>0P00</v>
      </c>
      <c r="AH2691" t="str">
        <f t="shared" ref="AH2691:AH2754" si="814">CONCATENATE(A2691,J2691,H2691,L2691)</f>
        <v>P000</v>
      </c>
      <c r="AI2691" t="str">
        <f t="shared" ref="AI2691:AI2754" si="815">CONCATENATE(B2691,A2691,G2691,L2691)</f>
        <v>0P00</v>
      </c>
      <c r="AJ2691" t="str">
        <f t="shared" ref="AJ2691:AJ2754" si="816">CONCATENATE(A2691,G2691,J2691,L2691)</f>
        <v>P000</v>
      </c>
    </row>
    <row r="2692" spans="1:36" x14ac:dyDescent="0.25">
      <c r="A2692" s="325" t="str">
        <f>CONCATENATE("P",'906MP'!M2392)</f>
        <v>P</v>
      </c>
      <c r="B2692">
        <f>'906MP'!H2392</f>
        <v>0</v>
      </c>
      <c r="C2692">
        <f>'906MP'!J2392</f>
        <v>0</v>
      </c>
      <c r="D2692">
        <f>'906MP'!P2392</f>
        <v>0</v>
      </c>
      <c r="E2692">
        <f>'906MP'!X2392</f>
        <v>0</v>
      </c>
      <c r="F2692" t="str">
        <f t="shared" si="808"/>
        <v>0</v>
      </c>
      <c r="G2692" t="str">
        <f t="shared" si="809"/>
        <v>0</v>
      </c>
      <c r="H2692">
        <f>'906MP'!Y2392</f>
        <v>0</v>
      </c>
      <c r="I2692">
        <f>'906MP'!AK2392</f>
        <v>0</v>
      </c>
      <c r="J2692">
        <f>'906MP'!T2392</f>
        <v>0</v>
      </c>
      <c r="K2692">
        <f>'906MP'!AJ2392</f>
        <v>0</v>
      </c>
      <c r="L2692">
        <f>'906MP'!U2392</f>
        <v>0</v>
      </c>
      <c r="M2692" s="322" t="str">
        <f>IFERROR(VLOOKUP(A2692,PAR!$D$3:$E$53,2,FALSE),"nincs szervezet")</f>
        <v>nincs szervezet</v>
      </c>
      <c r="N2692" s="322" t="str">
        <f>VLOOKUP(F2692,PAR!$R$3:$S$5,2,FALSE)</f>
        <v>3 - egyik sem</v>
      </c>
      <c r="O2692" t="str">
        <f>IFERROR(VLOOKUP(J2692,PAR!$O$3:$P$5,2,FALSE),"nincs feladat")</f>
        <v>nincs feladat</v>
      </c>
      <c r="P2692" t="str">
        <f>IFERROR(VLOOKUP(G2692,PAR!$J$2:$M$19,4),"nincs rovat")</f>
        <v>nincs rovat</v>
      </c>
      <c r="Q2692" t="str">
        <f>IF(H2692&gt;0,VLOOKUP(H2692,PAR!$AA$3:$AC$187,3,FALSE),"nincs főkönyvi számla")</f>
        <v>nincs főkönyvi számla</v>
      </c>
      <c r="R2692" t="str">
        <f>IFERROR(VLOOKUP(K2692,PAR!$V$3:$X$438,3,FALSE),"000000 - Nincs COFOG")</f>
        <v>000000 - Nincs COFOG</v>
      </c>
      <c r="S2692">
        <f t="shared" si="810"/>
        <v>0</v>
      </c>
      <c r="T2692">
        <f t="shared" si="811"/>
        <v>0</v>
      </c>
      <c r="U2692" t="str">
        <f>IF('906MP'!J2392&gt;0,CONCATENATE('906MP'!J2392," - ",'906MP'!P2392,", ",'906MP'!E2392),"nincs megjegyzés")</f>
        <v>nincs megjegyzés</v>
      </c>
      <c r="V2692" t="str">
        <f t="shared" si="798"/>
        <v>0P0</v>
      </c>
      <c r="W2692" t="str">
        <f t="shared" si="799"/>
        <v>0P0</v>
      </c>
      <c r="X2692" t="str">
        <f t="shared" si="800"/>
        <v>P0</v>
      </c>
      <c r="Y2692" t="str">
        <f t="shared" si="801"/>
        <v>00</v>
      </c>
      <c r="Z2692" t="str">
        <f t="shared" si="812"/>
        <v>00</v>
      </c>
      <c r="AA2692" t="str">
        <f t="shared" si="802"/>
        <v>00</v>
      </c>
      <c r="AB2692" t="str">
        <f t="shared" si="803"/>
        <v>00</v>
      </c>
      <c r="AC2692" t="str">
        <f t="shared" si="804"/>
        <v>0P0</v>
      </c>
      <c r="AD2692" t="str">
        <f t="shared" si="805"/>
        <v>P00</v>
      </c>
      <c r="AE2692" t="str">
        <f t="shared" si="806"/>
        <v>0P0</v>
      </c>
      <c r="AF2692" t="str">
        <f t="shared" si="807"/>
        <v>P00</v>
      </c>
      <c r="AG2692" t="str">
        <f t="shared" si="813"/>
        <v>0P00</v>
      </c>
      <c r="AH2692" t="str">
        <f t="shared" si="814"/>
        <v>P000</v>
      </c>
      <c r="AI2692" t="str">
        <f t="shared" si="815"/>
        <v>0P00</v>
      </c>
      <c r="AJ2692" t="str">
        <f t="shared" si="816"/>
        <v>P000</v>
      </c>
    </row>
    <row r="2693" spans="1:36" x14ac:dyDescent="0.25">
      <c r="A2693" s="325" t="str">
        <f>CONCATENATE("P",'906MP'!M2393)</f>
        <v>P</v>
      </c>
      <c r="B2693">
        <f>'906MP'!H2393</f>
        <v>0</v>
      </c>
      <c r="C2693">
        <f>'906MP'!J2393</f>
        <v>0</v>
      </c>
      <c r="D2693">
        <f>'906MP'!P2393</f>
        <v>0</v>
      </c>
      <c r="E2693">
        <f>'906MP'!X2393</f>
        <v>0</v>
      </c>
      <c r="F2693" t="str">
        <f t="shared" si="808"/>
        <v>0</v>
      </c>
      <c r="G2693" t="str">
        <f t="shared" si="809"/>
        <v>0</v>
      </c>
      <c r="H2693">
        <f>'906MP'!Y2393</f>
        <v>0</v>
      </c>
      <c r="I2693">
        <f>'906MP'!AK2393</f>
        <v>0</v>
      </c>
      <c r="J2693">
        <f>'906MP'!T2393</f>
        <v>0</v>
      </c>
      <c r="K2693">
        <f>'906MP'!AJ2393</f>
        <v>0</v>
      </c>
      <c r="L2693">
        <f>'906MP'!U2393</f>
        <v>0</v>
      </c>
      <c r="M2693" s="322" t="str">
        <f>IFERROR(VLOOKUP(A2693,PAR!$D$3:$E$53,2,FALSE),"nincs szervezet")</f>
        <v>nincs szervezet</v>
      </c>
      <c r="N2693" s="322" t="str">
        <f>VLOOKUP(F2693,PAR!$R$3:$S$5,2,FALSE)</f>
        <v>3 - egyik sem</v>
      </c>
      <c r="O2693" t="str">
        <f>IFERROR(VLOOKUP(J2693,PAR!$O$3:$P$5,2,FALSE),"nincs feladat")</f>
        <v>nincs feladat</v>
      </c>
      <c r="P2693" t="str">
        <f>IFERROR(VLOOKUP(G2693,PAR!$J$2:$M$19,4),"nincs rovat")</f>
        <v>nincs rovat</v>
      </c>
      <c r="Q2693" t="str">
        <f>IF(H2693&gt;0,VLOOKUP(H2693,PAR!$AA$3:$AC$187,3,FALSE),"nincs főkönyvi számla")</f>
        <v>nincs főkönyvi számla</v>
      </c>
      <c r="R2693" t="str">
        <f>IFERROR(VLOOKUP(K2693,PAR!$V$3:$X$438,3,FALSE),"000000 - Nincs COFOG")</f>
        <v>000000 - Nincs COFOG</v>
      </c>
      <c r="S2693">
        <f t="shared" si="810"/>
        <v>0</v>
      </c>
      <c r="T2693">
        <f t="shared" si="811"/>
        <v>0</v>
      </c>
      <c r="U2693" t="str">
        <f>IF('906MP'!J2393&gt;0,CONCATENATE('906MP'!J2393," - ",'906MP'!P2393,", ",'906MP'!E2393),"nincs megjegyzés")</f>
        <v>nincs megjegyzés</v>
      </c>
      <c r="V2693" t="str">
        <f t="shared" si="798"/>
        <v>0P0</v>
      </c>
      <c r="W2693" t="str">
        <f t="shared" si="799"/>
        <v>0P0</v>
      </c>
      <c r="X2693" t="str">
        <f t="shared" si="800"/>
        <v>P0</v>
      </c>
      <c r="Y2693" t="str">
        <f t="shared" si="801"/>
        <v>00</v>
      </c>
      <c r="Z2693" t="str">
        <f t="shared" si="812"/>
        <v>00</v>
      </c>
      <c r="AA2693" t="str">
        <f t="shared" si="802"/>
        <v>00</v>
      </c>
      <c r="AB2693" t="str">
        <f t="shared" si="803"/>
        <v>00</v>
      </c>
      <c r="AC2693" t="str">
        <f t="shared" si="804"/>
        <v>0P0</v>
      </c>
      <c r="AD2693" t="str">
        <f t="shared" si="805"/>
        <v>P00</v>
      </c>
      <c r="AE2693" t="str">
        <f t="shared" si="806"/>
        <v>0P0</v>
      </c>
      <c r="AF2693" t="str">
        <f t="shared" si="807"/>
        <v>P00</v>
      </c>
      <c r="AG2693" t="str">
        <f t="shared" si="813"/>
        <v>0P00</v>
      </c>
      <c r="AH2693" t="str">
        <f t="shared" si="814"/>
        <v>P000</v>
      </c>
      <c r="AI2693" t="str">
        <f t="shared" si="815"/>
        <v>0P00</v>
      </c>
      <c r="AJ2693" t="str">
        <f t="shared" si="816"/>
        <v>P000</v>
      </c>
    </row>
    <row r="2694" spans="1:36" x14ac:dyDescent="0.25">
      <c r="A2694" s="325" t="str">
        <f>CONCATENATE("P",'906MP'!M2394)</f>
        <v>P</v>
      </c>
      <c r="B2694">
        <f>'906MP'!H2394</f>
        <v>0</v>
      </c>
      <c r="C2694">
        <f>'906MP'!J2394</f>
        <v>0</v>
      </c>
      <c r="D2694">
        <f>'906MP'!P2394</f>
        <v>0</v>
      </c>
      <c r="E2694">
        <f>'906MP'!X2394</f>
        <v>0</v>
      </c>
      <c r="F2694" t="str">
        <f t="shared" si="808"/>
        <v>0</v>
      </c>
      <c r="G2694" t="str">
        <f t="shared" si="809"/>
        <v>0</v>
      </c>
      <c r="H2694">
        <f>'906MP'!Y2394</f>
        <v>0</v>
      </c>
      <c r="I2694">
        <f>'906MP'!AK2394</f>
        <v>0</v>
      </c>
      <c r="J2694">
        <f>'906MP'!T2394</f>
        <v>0</v>
      </c>
      <c r="K2694">
        <f>'906MP'!AJ2394</f>
        <v>0</v>
      </c>
      <c r="L2694">
        <f>'906MP'!U2394</f>
        <v>0</v>
      </c>
      <c r="M2694" s="322" t="str">
        <f>IFERROR(VLOOKUP(A2694,PAR!$D$3:$E$53,2,FALSE),"nincs szervezet")</f>
        <v>nincs szervezet</v>
      </c>
      <c r="N2694" s="322" t="str">
        <f>VLOOKUP(F2694,PAR!$R$3:$S$5,2,FALSE)</f>
        <v>3 - egyik sem</v>
      </c>
      <c r="O2694" t="str">
        <f>IFERROR(VLOOKUP(J2694,PAR!$O$3:$P$5,2,FALSE),"nincs feladat")</f>
        <v>nincs feladat</v>
      </c>
      <c r="P2694" t="str">
        <f>IFERROR(VLOOKUP(G2694,PAR!$J$2:$M$19,4),"nincs rovat")</f>
        <v>nincs rovat</v>
      </c>
      <c r="Q2694" t="str">
        <f>IF(H2694&gt;0,VLOOKUP(H2694,PAR!$AA$3:$AC$187,3,FALSE),"nincs főkönyvi számla")</f>
        <v>nincs főkönyvi számla</v>
      </c>
      <c r="R2694" t="str">
        <f>IFERROR(VLOOKUP(K2694,PAR!$V$3:$X$438,3,FALSE),"000000 - Nincs COFOG")</f>
        <v>000000 - Nincs COFOG</v>
      </c>
      <c r="S2694">
        <f t="shared" si="810"/>
        <v>0</v>
      </c>
      <c r="T2694">
        <f t="shared" si="811"/>
        <v>0</v>
      </c>
      <c r="U2694" t="str">
        <f>IF('906MP'!J2394&gt;0,CONCATENATE('906MP'!J2394," - ",'906MP'!P2394,", ",'906MP'!E2394),"nincs megjegyzés")</f>
        <v>nincs megjegyzés</v>
      </c>
      <c r="V2694" t="str">
        <f t="shared" si="798"/>
        <v>0P0</v>
      </c>
      <c r="W2694" t="str">
        <f t="shared" si="799"/>
        <v>0P0</v>
      </c>
      <c r="X2694" t="str">
        <f t="shared" si="800"/>
        <v>P0</v>
      </c>
      <c r="Y2694" t="str">
        <f t="shared" si="801"/>
        <v>00</v>
      </c>
      <c r="Z2694" t="str">
        <f t="shared" si="812"/>
        <v>00</v>
      </c>
      <c r="AA2694" t="str">
        <f t="shared" si="802"/>
        <v>00</v>
      </c>
      <c r="AB2694" t="str">
        <f t="shared" si="803"/>
        <v>00</v>
      </c>
      <c r="AC2694" t="str">
        <f t="shared" si="804"/>
        <v>0P0</v>
      </c>
      <c r="AD2694" t="str">
        <f t="shared" si="805"/>
        <v>P00</v>
      </c>
      <c r="AE2694" t="str">
        <f t="shared" si="806"/>
        <v>0P0</v>
      </c>
      <c r="AF2694" t="str">
        <f t="shared" si="807"/>
        <v>P00</v>
      </c>
      <c r="AG2694" t="str">
        <f t="shared" si="813"/>
        <v>0P00</v>
      </c>
      <c r="AH2694" t="str">
        <f t="shared" si="814"/>
        <v>P000</v>
      </c>
      <c r="AI2694" t="str">
        <f t="shared" si="815"/>
        <v>0P00</v>
      </c>
      <c r="AJ2694" t="str">
        <f t="shared" si="816"/>
        <v>P000</v>
      </c>
    </row>
    <row r="2695" spans="1:36" x14ac:dyDescent="0.25">
      <c r="A2695" s="325" t="str">
        <f>CONCATENATE("P",'906MP'!M2395)</f>
        <v>P</v>
      </c>
      <c r="B2695">
        <f>'906MP'!H2395</f>
        <v>0</v>
      </c>
      <c r="C2695">
        <f>'906MP'!J2395</f>
        <v>0</v>
      </c>
      <c r="D2695">
        <f>'906MP'!P2395</f>
        <v>0</v>
      </c>
      <c r="E2695">
        <f>'906MP'!X2395</f>
        <v>0</v>
      </c>
      <c r="F2695" t="str">
        <f t="shared" si="808"/>
        <v>0</v>
      </c>
      <c r="G2695" t="str">
        <f t="shared" si="809"/>
        <v>0</v>
      </c>
      <c r="H2695">
        <f>'906MP'!Y2395</f>
        <v>0</v>
      </c>
      <c r="I2695">
        <f>'906MP'!AK2395</f>
        <v>0</v>
      </c>
      <c r="J2695">
        <f>'906MP'!T2395</f>
        <v>0</v>
      </c>
      <c r="K2695">
        <f>'906MP'!AJ2395</f>
        <v>0</v>
      </c>
      <c r="L2695">
        <f>'906MP'!U2395</f>
        <v>0</v>
      </c>
      <c r="M2695" s="322" t="str">
        <f>IFERROR(VLOOKUP(A2695,PAR!$D$3:$E$53,2,FALSE),"nincs szervezet")</f>
        <v>nincs szervezet</v>
      </c>
      <c r="N2695" s="322" t="str">
        <f>VLOOKUP(F2695,PAR!$R$3:$S$5,2,FALSE)</f>
        <v>3 - egyik sem</v>
      </c>
      <c r="O2695" t="str">
        <f>IFERROR(VLOOKUP(J2695,PAR!$O$3:$P$5,2,FALSE),"nincs feladat")</f>
        <v>nincs feladat</v>
      </c>
      <c r="P2695" t="str">
        <f>IFERROR(VLOOKUP(G2695,PAR!$J$2:$M$19,4),"nincs rovat")</f>
        <v>nincs rovat</v>
      </c>
      <c r="Q2695" t="str">
        <f>IF(H2695&gt;0,VLOOKUP(H2695,PAR!$AA$3:$AC$187,3,FALSE),"nincs főkönyvi számla")</f>
        <v>nincs főkönyvi számla</v>
      </c>
      <c r="R2695" t="str">
        <f>IFERROR(VLOOKUP(K2695,PAR!$V$3:$X$438,3,FALSE),"000000 - Nincs COFOG")</f>
        <v>000000 - Nincs COFOG</v>
      </c>
      <c r="S2695">
        <f t="shared" si="810"/>
        <v>0</v>
      </c>
      <c r="T2695">
        <f t="shared" si="811"/>
        <v>0</v>
      </c>
      <c r="U2695" t="str">
        <f>IF('906MP'!J2395&gt;0,CONCATENATE('906MP'!J2395," - ",'906MP'!P2395,", ",'906MP'!E2395),"nincs megjegyzés")</f>
        <v>nincs megjegyzés</v>
      </c>
      <c r="V2695" t="str">
        <f t="shared" si="798"/>
        <v>0P0</v>
      </c>
      <c r="W2695" t="str">
        <f t="shared" si="799"/>
        <v>0P0</v>
      </c>
      <c r="X2695" t="str">
        <f t="shared" si="800"/>
        <v>P0</v>
      </c>
      <c r="Y2695" t="str">
        <f t="shared" si="801"/>
        <v>00</v>
      </c>
      <c r="Z2695" t="str">
        <f t="shared" si="812"/>
        <v>00</v>
      </c>
      <c r="AA2695" t="str">
        <f t="shared" si="802"/>
        <v>00</v>
      </c>
      <c r="AB2695" t="str">
        <f t="shared" si="803"/>
        <v>00</v>
      </c>
      <c r="AC2695" t="str">
        <f t="shared" si="804"/>
        <v>0P0</v>
      </c>
      <c r="AD2695" t="str">
        <f t="shared" si="805"/>
        <v>P00</v>
      </c>
      <c r="AE2695" t="str">
        <f t="shared" si="806"/>
        <v>0P0</v>
      </c>
      <c r="AF2695" t="str">
        <f t="shared" si="807"/>
        <v>P00</v>
      </c>
      <c r="AG2695" t="str">
        <f t="shared" si="813"/>
        <v>0P00</v>
      </c>
      <c r="AH2695" t="str">
        <f t="shared" si="814"/>
        <v>P000</v>
      </c>
      <c r="AI2695" t="str">
        <f t="shared" si="815"/>
        <v>0P00</v>
      </c>
      <c r="AJ2695" t="str">
        <f t="shared" si="816"/>
        <v>P000</v>
      </c>
    </row>
    <row r="2696" spans="1:36" x14ac:dyDescent="0.25">
      <c r="A2696" s="325" t="str">
        <f>CONCATENATE("P",'906MP'!M2396)</f>
        <v>P</v>
      </c>
      <c r="B2696">
        <f>'906MP'!H2396</f>
        <v>0</v>
      </c>
      <c r="C2696">
        <f>'906MP'!J2396</f>
        <v>0</v>
      </c>
      <c r="D2696">
        <f>'906MP'!P2396</f>
        <v>0</v>
      </c>
      <c r="E2696">
        <f>'906MP'!X2396</f>
        <v>0</v>
      </c>
      <c r="F2696" t="str">
        <f t="shared" si="808"/>
        <v>0</v>
      </c>
      <c r="G2696" t="str">
        <f t="shared" si="809"/>
        <v>0</v>
      </c>
      <c r="H2696">
        <f>'906MP'!Y2396</f>
        <v>0</v>
      </c>
      <c r="I2696">
        <f>'906MP'!AK2396</f>
        <v>0</v>
      </c>
      <c r="J2696">
        <f>'906MP'!T2396</f>
        <v>0</v>
      </c>
      <c r="K2696">
        <f>'906MP'!AJ2396</f>
        <v>0</v>
      </c>
      <c r="L2696">
        <f>'906MP'!U2396</f>
        <v>0</v>
      </c>
      <c r="M2696" s="322" t="str">
        <f>IFERROR(VLOOKUP(A2696,PAR!$D$3:$E$53,2,FALSE),"nincs szervezet")</f>
        <v>nincs szervezet</v>
      </c>
      <c r="N2696" s="322" t="str">
        <f>VLOOKUP(F2696,PAR!$R$3:$S$5,2,FALSE)</f>
        <v>3 - egyik sem</v>
      </c>
      <c r="O2696" t="str">
        <f>IFERROR(VLOOKUP(J2696,PAR!$O$3:$P$5,2,FALSE),"nincs feladat")</f>
        <v>nincs feladat</v>
      </c>
      <c r="P2696" t="str">
        <f>IFERROR(VLOOKUP(G2696,PAR!$J$2:$M$19,4),"nincs rovat")</f>
        <v>nincs rovat</v>
      </c>
      <c r="Q2696" t="str">
        <f>IF(H2696&gt;0,VLOOKUP(H2696,PAR!$AA$3:$AC$187,3,FALSE),"nincs főkönyvi számla")</f>
        <v>nincs főkönyvi számla</v>
      </c>
      <c r="R2696" t="str">
        <f>IFERROR(VLOOKUP(K2696,PAR!$V$3:$X$438,3,FALSE),"000000 - Nincs COFOG")</f>
        <v>000000 - Nincs COFOG</v>
      </c>
      <c r="S2696">
        <f t="shared" si="810"/>
        <v>0</v>
      </c>
      <c r="T2696">
        <f t="shared" si="811"/>
        <v>0</v>
      </c>
      <c r="U2696" t="str">
        <f>IF('906MP'!J2396&gt;0,CONCATENATE('906MP'!J2396," - ",'906MP'!P2396,", ",'906MP'!E2396),"nincs megjegyzés")</f>
        <v>nincs megjegyzés</v>
      </c>
      <c r="V2696" t="str">
        <f t="shared" si="798"/>
        <v>0P0</v>
      </c>
      <c r="W2696" t="str">
        <f t="shared" si="799"/>
        <v>0P0</v>
      </c>
      <c r="X2696" t="str">
        <f t="shared" si="800"/>
        <v>P0</v>
      </c>
      <c r="Y2696" t="str">
        <f t="shared" si="801"/>
        <v>00</v>
      </c>
      <c r="Z2696" t="str">
        <f t="shared" si="812"/>
        <v>00</v>
      </c>
      <c r="AA2696" t="str">
        <f t="shared" si="802"/>
        <v>00</v>
      </c>
      <c r="AB2696" t="str">
        <f t="shared" si="803"/>
        <v>00</v>
      </c>
      <c r="AC2696" t="str">
        <f t="shared" si="804"/>
        <v>0P0</v>
      </c>
      <c r="AD2696" t="str">
        <f t="shared" si="805"/>
        <v>P00</v>
      </c>
      <c r="AE2696" t="str">
        <f t="shared" si="806"/>
        <v>0P0</v>
      </c>
      <c r="AF2696" t="str">
        <f t="shared" si="807"/>
        <v>P00</v>
      </c>
      <c r="AG2696" t="str">
        <f t="shared" si="813"/>
        <v>0P00</v>
      </c>
      <c r="AH2696" t="str">
        <f t="shared" si="814"/>
        <v>P000</v>
      </c>
      <c r="AI2696" t="str">
        <f t="shared" si="815"/>
        <v>0P00</v>
      </c>
      <c r="AJ2696" t="str">
        <f t="shared" si="816"/>
        <v>P000</v>
      </c>
    </row>
    <row r="2697" spans="1:36" x14ac:dyDescent="0.25">
      <c r="A2697" s="325" t="str">
        <f>CONCATENATE("P",'906MP'!M2397)</f>
        <v>P</v>
      </c>
      <c r="B2697">
        <f>'906MP'!H2397</f>
        <v>0</v>
      </c>
      <c r="C2697">
        <f>'906MP'!J2397</f>
        <v>0</v>
      </c>
      <c r="D2697">
        <f>'906MP'!P2397</f>
        <v>0</v>
      </c>
      <c r="E2697">
        <f>'906MP'!X2397</f>
        <v>0</v>
      </c>
      <c r="F2697" t="str">
        <f t="shared" si="808"/>
        <v>0</v>
      </c>
      <c r="G2697" t="str">
        <f t="shared" si="809"/>
        <v>0</v>
      </c>
      <c r="H2697">
        <f>'906MP'!Y2397</f>
        <v>0</v>
      </c>
      <c r="I2697">
        <f>'906MP'!AK2397</f>
        <v>0</v>
      </c>
      <c r="J2697">
        <f>'906MP'!T2397</f>
        <v>0</v>
      </c>
      <c r="K2697">
        <f>'906MP'!AJ2397</f>
        <v>0</v>
      </c>
      <c r="L2697">
        <f>'906MP'!U2397</f>
        <v>0</v>
      </c>
      <c r="M2697" s="322" t="str">
        <f>IFERROR(VLOOKUP(A2697,PAR!$D$3:$E$53,2,FALSE),"nincs szervezet")</f>
        <v>nincs szervezet</v>
      </c>
      <c r="N2697" s="322" t="str">
        <f>VLOOKUP(F2697,PAR!$R$3:$S$5,2,FALSE)</f>
        <v>3 - egyik sem</v>
      </c>
      <c r="O2697" t="str">
        <f>IFERROR(VLOOKUP(J2697,PAR!$O$3:$P$5,2,FALSE),"nincs feladat")</f>
        <v>nincs feladat</v>
      </c>
      <c r="P2697" t="str">
        <f>IFERROR(VLOOKUP(G2697,PAR!$J$2:$M$19,4),"nincs rovat")</f>
        <v>nincs rovat</v>
      </c>
      <c r="Q2697" t="str">
        <f>IF(H2697&gt;0,VLOOKUP(H2697,PAR!$AA$3:$AC$187,3,FALSE),"nincs főkönyvi számla")</f>
        <v>nincs főkönyvi számla</v>
      </c>
      <c r="R2697" t="str">
        <f>IFERROR(VLOOKUP(K2697,PAR!$V$3:$X$438,3,FALSE),"000000 - Nincs COFOG")</f>
        <v>000000 - Nincs COFOG</v>
      </c>
      <c r="S2697">
        <f t="shared" si="810"/>
        <v>0</v>
      </c>
      <c r="T2697">
        <f t="shared" si="811"/>
        <v>0</v>
      </c>
      <c r="U2697" t="str">
        <f>IF('906MP'!J2397&gt;0,CONCATENATE('906MP'!J2397," - ",'906MP'!P2397,", ",'906MP'!E2397),"nincs megjegyzés")</f>
        <v>nincs megjegyzés</v>
      </c>
      <c r="V2697" t="str">
        <f t="shared" si="798"/>
        <v>0P0</v>
      </c>
      <c r="W2697" t="str">
        <f t="shared" si="799"/>
        <v>0P0</v>
      </c>
      <c r="X2697" t="str">
        <f t="shared" si="800"/>
        <v>P0</v>
      </c>
      <c r="Y2697" t="str">
        <f t="shared" si="801"/>
        <v>00</v>
      </c>
      <c r="Z2697" t="str">
        <f t="shared" si="812"/>
        <v>00</v>
      </c>
      <c r="AA2697" t="str">
        <f t="shared" si="802"/>
        <v>00</v>
      </c>
      <c r="AB2697" t="str">
        <f t="shared" si="803"/>
        <v>00</v>
      </c>
      <c r="AC2697" t="str">
        <f t="shared" si="804"/>
        <v>0P0</v>
      </c>
      <c r="AD2697" t="str">
        <f t="shared" si="805"/>
        <v>P00</v>
      </c>
      <c r="AE2697" t="str">
        <f t="shared" si="806"/>
        <v>0P0</v>
      </c>
      <c r="AF2697" t="str">
        <f t="shared" si="807"/>
        <v>P00</v>
      </c>
      <c r="AG2697" t="str">
        <f t="shared" si="813"/>
        <v>0P00</v>
      </c>
      <c r="AH2697" t="str">
        <f t="shared" si="814"/>
        <v>P000</v>
      </c>
      <c r="AI2697" t="str">
        <f t="shared" si="815"/>
        <v>0P00</v>
      </c>
      <c r="AJ2697" t="str">
        <f t="shared" si="816"/>
        <v>P000</v>
      </c>
    </row>
    <row r="2698" spans="1:36" x14ac:dyDescent="0.25">
      <c r="A2698" s="325" t="str">
        <f>CONCATENATE("P",'906MP'!M2398)</f>
        <v>P</v>
      </c>
      <c r="B2698">
        <f>'906MP'!H2398</f>
        <v>0</v>
      </c>
      <c r="C2698">
        <f>'906MP'!J2398</f>
        <v>0</v>
      </c>
      <c r="D2698">
        <f>'906MP'!P2398</f>
        <v>0</v>
      </c>
      <c r="E2698">
        <f>'906MP'!X2398</f>
        <v>0</v>
      </c>
      <c r="F2698" t="str">
        <f t="shared" si="808"/>
        <v>0</v>
      </c>
      <c r="G2698" t="str">
        <f t="shared" si="809"/>
        <v>0</v>
      </c>
      <c r="H2698">
        <f>'906MP'!Y2398</f>
        <v>0</v>
      </c>
      <c r="I2698">
        <f>'906MP'!AK2398</f>
        <v>0</v>
      </c>
      <c r="J2698">
        <f>'906MP'!T2398</f>
        <v>0</v>
      </c>
      <c r="K2698">
        <f>'906MP'!AJ2398</f>
        <v>0</v>
      </c>
      <c r="L2698">
        <f>'906MP'!U2398</f>
        <v>0</v>
      </c>
      <c r="M2698" s="322" t="str">
        <f>IFERROR(VLOOKUP(A2698,PAR!$D$3:$E$53,2,FALSE),"nincs szervezet")</f>
        <v>nincs szervezet</v>
      </c>
      <c r="N2698" s="322" t="str">
        <f>VLOOKUP(F2698,PAR!$R$3:$S$5,2,FALSE)</f>
        <v>3 - egyik sem</v>
      </c>
      <c r="O2698" t="str">
        <f>IFERROR(VLOOKUP(J2698,PAR!$O$3:$P$5,2,FALSE),"nincs feladat")</f>
        <v>nincs feladat</v>
      </c>
      <c r="P2698" t="str">
        <f>IFERROR(VLOOKUP(G2698,PAR!$J$2:$M$19,4),"nincs rovat")</f>
        <v>nincs rovat</v>
      </c>
      <c r="Q2698" t="str">
        <f>IF(H2698&gt;0,VLOOKUP(H2698,PAR!$AA$3:$AC$187,3,FALSE),"nincs főkönyvi számla")</f>
        <v>nincs főkönyvi számla</v>
      </c>
      <c r="R2698" t="str">
        <f>IFERROR(VLOOKUP(K2698,PAR!$V$3:$X$438,3,FALSE),"000000 - Nincs COFOG")</f>
        <v>000000 - Nincs COFOG</v>
      </c>
      <c r="S2698">
        <f t="shared" si="810"/>
        <v>0</v>
      </c>
      <c r="T2698">
        <f t="shared" si="811"/>
        <v>0</v>
      </c>
      <c r="U2698" t="str">
        <f>IF('906MP'!J2398&gt;0,CONCATENATE('906MP'!J2398," - ",'906MP'!P2398,", ",'906MP'!E2398),"nincs megjegyzés")</f>
        <v>nincs megjegyzés</v>
      </c>
      <c r="V2698" t="str">
        <f t="shared" si="798"/>
        <v>0P0</v>
      </c>
      <c r="W2698" t="str">
        <f t="shared" si="799"/>
        <v>0P0</v>
      </c>
      <c r="X2698" t="str">
        <f t="shared" si="800"/>
        <v>P0</v>
      </c>
      <c r="Y2698" t="str">
        <f t="shared" si="801"/>
        <v>00</v>
      </c>
      <c r="Z2698" t="str">
        <f t="shared" si="812"/>
        <v>00</v>
      </c>
      <c r="AA2698" t="str">
        <f t="shared" si="802"/>
        <v>00</v>
      </c>
      <c r="AB2698" t="str">
        <f t="shared" si="803"/>
        <v>00</v>
      </c>
      <c r="AC2698" t="str">
        <f t="shared" si="804"/>
        <v>0P0</v>
      </c>
      <c r="AD2698" t="str">
        <f t="shared" si="805"/>
        <v>P00</v>
      </c>
      <c r="AE2698" t="str">
        <f t="shared" si="806"/>
        <v>0P0</v>
      </c>
      <c r="AF2698" t="str">
        <f t="shared" si="807"/>
        <v>P00</v>
      </c>
      <c r="AG2698" t="str">
        <f t="shared" si="813"/>
        <v>0P00</v>
      </c>
      <c r="AH2698" t="str">
        <f t="shared" si="814"/>
        <v>P000</v>
      </c>
      <c r="AI2698" t="str">
        <f t="shared" si="815"/>
        <v>0P00</v>
      </c>
      <c r="AJ2698" t="str">
        <f t="shared" si="816"/>
        <v>P000</v>
      </c>
    </row>
    <row r="2699" spans="1:36" x14ac:dyDescent="0.25">
      <c r="A2699" s="325" t="str">
        <f>CONCATENATE("P",'906MP'!M2399)</f>
        <v>P</v>
      </c>
      <c r="B2699">
        <f>'906MP'!H2399</f>
        <v>0</v>
      </c>
      <c r="C2699">
        <f>'906MP'!J2399</f>
        <v>0</v>
      </c>
      <c r="D2699">
        <f>'906MP'!P2399</f>
        <v>0</v>
      </c>
      <c r="E2699">
        <f>'906MP'!X2399</f>
        <v>0</v>
      </c>
      <c r="F2699" t="str">
        <f t="shared" si="808"/>
        <v>0</v>
      </c>
      <c r="G2699" t="str">
        <f t="shared" si="809"/>
        <v>0</v>
      </c>
      <c r="H2699">
        <f>'906MP'!Y2399</f>
        <v>0</v>
      </c>
      <c r="I2699">
        <f>'906MP'!AK2399</f>
        <v>0</v>
      </c>
      <c r="J2699">
        <f>'906MP'!T2399</f>
        <v>0</v>
      </c>
      <c r="K2699">
        <f>'906MP'!AJ2399</f>
        <v>0</v>
      </c>
      <c r="L2699">
        <f>'906MP'!U2399</f>
        <v>0</v>
      </c>
      <c r="M2699" s="322" t="str">
        <f>IFERROR(VLOOKUP(A2699,PAR!$D$3:$E$53,2,FALSE),"nincs szervezet")</f>
        <v>nincs szervezet</v>
      </c>
      <c r="N2699" s="322" t="str">
        <f>VLOOKUP(F2699,PAR!$R$3:$S$5,2,FALSE)</f>
        <v>3 - egyik sem</v>
      </c>
      <c r="O2699" t="str">
        <f>IFERROR(VLOOKUP(J2699,PAR!$O$3:$P$5,2,FALSE),"nincs feladat")</f>
        <v>nincs feladat</v>
      </c>
      <c r="P2699" t="str">
        <f>IFERROR(VLOOKUP(G2699,PAR!$J$2:$M$19,4),"nincs rovat")</f>
        <v>nincs rovat</v>
      </c>
      <c r="Q2699" t="str">
        <f>IF(H2699&gt;0,VLOOKUP(H2699,PAR!$AA$3:$AC$187,3,FALSE),"nincs főkönyvi számla")</f>
        <v>nincs főkönyvi számla</v>
      </c>
      <c r="R2699" t="str">
        <f>IFERROR(VLOOKUP(K2699,PAR!$V$3:$X$438,3,FALSE),"000000 - Nincs COFOG")</f>
        <v>000000 - Nincs COFOG</v>
      </c>
      <c r="S2699">
        <f t="shared" si="810"/>
        <v>0</v>
      </c>
      <c r="T2699">
        <f t="shared" si="811"/>
        <v>0</v>
      </c>
      <c r="U2699" t="str">
        <f>IF('906MP'!J2399&gt;0,CONCATENATE('906MP'!J2399," - ",'906MP'!P2399,", ",'906MP'!E2399),"nincs megjegyzés")</f>
        <v>nincs megjegyzés</v>
      </c>
      <c r="V2699" t="str">
        <f t="shared" si="798"/>
        <v>0P0</v>
      </c>
      <c r="W2699" t="str">
        <f t="shared" si="799"/>
        <v>0P0</v>
      </c>
      <c r="X2699" t="str">
        <f t="shared" si="800"/>
        <v>P0</v>
      </c>
      <c r="Y2699" t="str">
        <f t="shared" si="801"/>
        <v>00</v>
      </c>
      <c r="Z2699" t="str">
        <f t="shared" si="812"/>
        <v>00</v>
      </c>
      <c r="AA2699" t="str">
        <f t="shared" si="802"/>
        <v>00</v>
      </c>
      <c r="AB2699" t="str">
        <f t="shared" si="803"/>
        <v>00</v>
      </c>
      <c r="AC2699" t="str">
        <f t="shared" si="804"/>
        <v>0P0</v>
      </c>
      <c r="AD2699" t="str">
        <f t="shared" si="805"/>
        <v>P00</v>
      </c>
      <c r="AE2699" t="str">
        <f t="shared" si="806"/>
        <v>0P0</v>
      </c>
      <c r="AF2699" t="str">
        <f t="shared" si="807"/>
        <v>P00</v>
      </c>
      <c r="AG2699" t="str">
        <f t="shared" si="813"/>
        <v>0P00</v>
      </c>
      <c r="AH2699" t="str">
        <f t="shared" si="814"/>
        <v>P000</v>
      </c>
      <c r="AI2699" t="str">
        <f t="shared" si="815"/>
        <v>0P00</v>
      </c>
      <c r="AJ2699" t="str">
        <f t="shared" si="816"/>
        <v>P000</v>
      </c>
    </row>
    <row r="2700" spans="1:36" x14ac:dyDescent="0.25">
      <c r="A2700" s="325" t="str">
        <f>CONCATENATE("P",'906MP'!M2400)</f>
        <v>P</v>
      </c>
      <c r="B2700">
        <f>'906MP'!H2400</f>
        <v>0</v>
      </c>
      <c r="C2700">
        <f>'906MP'!J2400</f>
        <v>0</v>
      </c>
      <c r="D2700">
        <f>'906MP'!P2400</f>
        <v>0</v>
      </c>
      <c r="E2700">
        <f>'906MP'!X2400</f>
        <v>0</v>
      </c>
      <c r="F2700" t="str">
        <f t="shared" si="808"/>
        <v>0</v>
      </c>
      <c r="G2700" t="str">
        <f t="shared" si="809"/>
        <v>0</v>
      </c>
      <c r="H2700">
        <f>'906MP'!Y2400</f>
        <v>0</v>
      </c>
      <c r="I2700">
        <f>'906MP'!AK2400</f>
        <v>0</v>
      </c>
      <c r="J2700">
        <f>'906MP'!T2400</f>
        <v>0</v>
      </c>
      <c r="K2700">
        <f>'906MP'!AJ2400</f>
        <v>0</v>
      </c>
      <c r="L2700">
        <f>'906MP'!U2400</f>
        <v>0</v>
      </c>
      <c r="M2700" s="322" t="str">
        <f>IFERROR(VLOOKUP(A2700,PAR!$D$3:$E$53,2,FALSE),"nincs szervezet")</f>
        <v>nincs szervezet</v>
      </c>
      <c r="N2700" s="322" t="str">
        <f>VLOOKUP(F2700,PAR!$R$3:$S$5,2,FALSE)</f>
        <v>3 - egyik sem</v>
      </c>
      <c r="O2700" t="str">
        <f>IFERROR(VLOOKUP(J2700,PAR!$O$3:$P$5,2,FALSE),"nincs feladat")</f>
        <v>nincs feladat</v>
      </c>
      <c r="P2700" t="str">
        <f>IFERROR(VLOOKUP(G2700,PAR!$J$2:$M$19,4),"nincs rovat")</f>
        <v>nincs rovat</v>
      </c>
      <c r="Q2700" t="str">
        <f>IF(H2700&gt;0,VLOOKUP(H2700,PAR!$AA$3:$AC$187,3,FALSE),"nincs főkönyvi számla")</f>
        <v>nincs főkönyvi számla</v>
      </c>
      <c r="R2700" t="str">
        <f>IFERROR(VLOOKUP(K2700,PAR!$V$3:$X$438,3,FALSE),"000000 - Nincs COFOG")</f>
        <v>000000 - Nincs COFOG</v>
      </c>
      <c r="S2700">
        <f t="shared" si="810"/>
        <v>0</v>
      </c>
      <c r="T2700">
        <f t="shared" si="811"/>
        <v>0</v>
      </c>
      <c r="U2700" t="str">
        <f>IF('906MP'!J2400&gt;0,CONCATENATE('906MP'!J2400," - ",'906MP'!P2400,", ",'906MP'!E2400),"nincs megjegyzés")</f>
        <v>nincs megjegyzés</v>
      </c>
      <c r="V2700" t="str">
        <f t="shared" si="798"/>
        <v>0P0</v>
      </c>
      <c r="W2700" t="str">
        <f t="shared" si="799"/>
        <v>0P0</v>
      </c>
      <c r="X2700" t="str">
        <f t="shared" si="800"/>
        <v>P0</v>
      </c>
      <c r="Y2700" t="str">
        <f t="shared" si="801"/>
        <v>00</v>
      </c>
      <c r="Z2700" t="str">
        <f t="shared" si="812"/>
        <v>00</v>
      </c>
      <c r="AA2700" t="str">
        <f t="shared" si="802"/>
        <v>00</v>
      </c>
      <c r="AB2700" t="str">
        <f t="shared" si="803"/>
        <v>00</v>
      </c>
      <c r="AC2700" t="str">
        <f t="shared" si="804"/>
        <v>0P0</v>
      </c>
      <c r="AD2700" t="str">
        <f t="shared" si="805"/>
        <v>P00</v>
      </c>
      <c r="AE2700" t="str">
        <f t="shared" si="806"/>
        <v>0P0</v>
      </c>
      <c r="AF2700" t="str">
        <f t="shared" si="807"/>
        <v>P00</v>
      </c>
      <c r="AG2700" t="str">
        <f t="shared" si="813"/>
        <v>0P00</v>
      </c>
      <c r="AH2700" t="str">
        <f t="shared" si="814"/>
        <v>P000</v>
      </c>
      <c r="AI2700" t="str">
        <f t="shared" si="815"/>
        <v>0P00</v>
      </c>
      <c r="AJ2700" t="str">
        <f t="shared" si="816"/>
        <v>P000</v>
      </c>
    </row>
    <row r="2701" spans="1:36" x14ac:dyDescent="0.25">
      <c r="A2701" s="325" t="str">
        <f>CONCATENATE("P",'906MP'!M2401)</f>
        <v>P</v>
      </c>
      <c r="B2701">
        <f>'906MP'!H2401</f>
        <v>0</v>
      </c>
      <c r="C2701">
        <f>'906MP'!J2401</f>
        <v>0</v>
      </c>
      <c r="D2701">
        <f>'906MP'!P2401</f>
        <v>0</v>
      </c>
      <c r="E2701">
        <f>'906MP'!X2401</f>
        <v>0</v>
      </c>
      <c r="F2701" t="str">
        <f t="shared" si="808"/>
        <v>0</v>
      </c>
      <c r="G2701" t="str">
        <f t="shared" si="809"/>
        <v>0</v>
      </c>
      <c r="H2701">
        <f>'906MP'!Y2401</f>
        <v>0</v>
      </c>
      <c r="I2701">
        <f>'906MP'!AK2401</f>
        <v>0</v>
      </c>
      <c r="J2701">
        <f>'906MP'!T2401</f>
        <v>0</v>
      </c>
      <c r="K2701">
        <f>'906MP'!AJ2401</f>
        <v>0</v>
      </c>
      <c r="L2701">
        <f>'906MP'!U2401</f>
        <v>0</v>
      </c>
      <c r="M2701" s="322" t="str">
        <f>IFERROR(VLOOKUP(A2701,PAR!$D$3:$E$53,2,FALSE),"nincs szervezet")</f>
        <v>nincs szervezet</v>
      </c>
      <c r="N2701" s="322" t="str">
        <f>VLOOKUP(F2701,PAR!$R$3:$S$5,2,FALSE)</f>
        <v>3 - egyik sem</v>
      </c>
      <c r="O2701" t="str">
        <f>IFERROR(VLOOKUP(J2701,PAR!$O$3:$P$5,2,FALSE),"nincs feladat")</f>
        <v>nincs feladat</v>
      </c>
      <c r="P2701" t="str">
        <f>IFERROR(VLOOKUP(G2701,PAR!$J$2:$M$19,4),"nincs rovat")</f>
        <v>nincs rovat</v>
      </c>
      <c r="Q2701" t="str">
        <f>IF(H2701&gt;0,VLOOKUP(H2701,PAR!$AA$3:$AC$187,3,FALSE),"nincs főkönyvi számla")</f>
        <v>nincs főkönyvi számla</v>
      </c>
      <c r="R2701" t="str">
        <f>IFERROR(VLOOKUP(K2701,PAR!$V$3:$X$438,3,FALSE),"000000 - Nincs COFOG")</f>
        <v>000000 - Nincs COFOG</v>
      </c>
      <c r="S2701">
        <f t="shared" si="810"/>
        <v>0</v>
      </c>
      <c r="T2701">
        <f t="shared" si="811"/>
        <v>0</v>
      </c>
      <c r="U2701" t="str">
        <f>IF('906MP'!J2401&gt;0,CONCATENATE('906MP'!J2401," - ",'906MP'!P2401,", ",'906MP'!E2401),"nincs megjegyzés")</f>
        <v>nincs megjegyzés</v>
      </c>
      <c r="V2701" t="str">
        <f t="shared" si="798"/>
        <v>0P0</v>
      </c>
      <c r="W2701" t="str">
        <f t="shared" si="799"/>
        <v>0P0</v>
      </c>
      <c r="X2701" t="str">
        <f t="shared" si="800"/>
        <v>P0</v>
      </c>
      <c r="Y2701" t="str">
        <f t="shared" si="801"/>
        <v>00</v>
      </c>
      <c r="Z2701" t="str">
        <f t="shared" si="812"/>
        <v>00</v>
      </c>
      <c r="AA2701" t="str">
        <f t="shared" si="802"/>
        <v>00</v>
      </c>
      <c r="AB2701" t="str">
        <f t="shared" si="803"/>
        <v>00</v>
      </c>
      <c r="AC2701" t="str">
        <f t="shared" si="804"/>
        <v>0P0</v>
      </c>
      <c r="AD2701" t="str">
        <f t="shared" si="805"/>
        <v>P00</v>
      </c>
      <c r="AE2701" t="str">
        <f t="shared" si="806"/>
        <v>0P0</v>
      </c>
      <c r="AF2701" t="str">
        <f t="shared" si="807"/>
        <v>P00</v>
      </c>
      <c r="AG2701" t="str">
        <f t="shared" si="813"/>
        <v>0P00</v>
      </c>
      <c r="AH2701" t="str">
        <f t="shared" si="814"/>
        <v>P000</v>
      </c>
      <c r="AI2701" t="str">
        <f t="shared" si="815"/>
        <v>0P00</v>
      </c>
      <c r="AJ2701" t="str">
        <f t="shared" si="816"/>
        <v>P000</v>
      </c>
    </row>
    <row r="2702" spans="1:36" x14ac:dyDescent="0.25">
      <c r="A2702" s="325" t="str">
        <f>CONCATENATE("P",'906MP'!M2402)</f>
        <v>P</v>
      </c>
      <c r="B2702">
        <f>'906MP'!H2402</f>
        <v>0</v>
      </c>
      <c r="C2702">
        <f>'906MP'!J2402</f>
        <v>0</v>
      </c>
      <c r="D2702">
        <f>'906MP'!P2402</f>
        <v>0</v>
      </c>
      <c r="E2702">
        <f>'906MP'!X2402</f>
        <v>0</v>
      </c>
      <c r="F2702" t="str">
        <f t="shared" si="808"/>
        <v>0</v>
      </c>
      <c r="G2702" t="str">
        <f t="shared" si="809"/>
        <v>0</v>
      </c>
      <c r="H2702">
        <f>'906MP'!Y2402</f>
        <v>0</v>
      </c>
      <c r="I2702">
        <f>'906MP'!AK2402</f>
        <v>0</v>
      </c>
      <c r="J2702">
        <f>'906MP'!T2402</f>
        <v>0</v>
      </c>
      <c r="K2702">
        <f>'906MP'!AJ2402</f>
        <v>0</v>
      </c>
      <c r="L2702">
        <f>'906MP'!U2402</f>
        <v>0</v>
      </c>
      <c r="M2702" s="322" t="str">
        <f>IFERROR(VLOOKUP(A2702,PAR!$D$3:$E$53,2,FALSE),"nincs szervezet")</f>
        <v>nincs szervezet</v>
      </c>
      <c r="N2702" s="322" t="str">
        <f>VLOOKUP(F2702,PAR!$R$3:$S$5,2,FALSE)</f>
        <v>3 - egyik sem</v>
      </c>
      <c r="O2702" t="str">
        <f>IFERROR(VLOOKUP(J2702,PAR!$O$3:$P$5,2,FALSE),"nincs feladat")</f>
        <v>nincs feladat</v>
      </c>
      <c r="P2702" t="str">
        <f>IFERROR(VLOOKUP(G2702,PAR!$J$2:$M$19,4),"nincs rovat")</f>
        <v>nincs rovat</v>
      </c>
      <c r="Q2702" t="str">
        <f>IF(H2702&gt;0,VLOOKUP(H2702,PAR!$AA$3:$AC$187,3,FALSE),"nincs főkönyvi számla")</f>
        <v>nincs főkönyvi számla</v>
      </c>
      <c r="R2702" t="str">
        <f>IFERROR(VLOOKUP(K2702,PAR!$V$3:$X$438,3,FALSE),"000000 - Nincs COFOG")</f>
        <v>000000 - Nincs COFOG</v>
      </c>
      <c r="S2702">
        <f t="shared" si="810"/>
        <v>0</v>
      </c>
      <c r="T2702">
        <f t="shared" si="811"/>
        <v>0</v>
      </c>
      <c r="U2702" t="str">
        <f>IF('906MP'!J2402&gt;0,CONCATENATE('906MP'!J2402," - ",'906MP'!P2402,", ",'906MP'!E2402),"nincs megjegyzés")</f>
        <v>nincs megjegyzés</v>
      </c>
      <c r="V2702" t="str">
        <f t="shared" si="798"/>
        <v>0P0</v>
      </c>
      <c r="W2702" t="str">
        <f t="shared" si="799"/>
        <v>0P0</v>
      </c>
      <c r="X2702" t="str">
        <f t="shared" si="800"/>
        <v>P0</v>
      </c>
      <c r="Y2702" t="str">
        <f t="shared" si="801"/>
        <v>00</v>
      </c>
      <c r="Z2702" t="str">
        <f t="shared" si="812"/>
        <v>00</v>
      </c>
      <c r="AA2702" t="str">
        <f t="shared" si="802"/>
        <v>00</v>
      </c>
      <c r="AB2702" t="str">
        <f t="shared" si="803"/>
        <v>00</v>
      </c>
      <c r="AC2702" t="str">
        <f t="shared" si="804"/>
        <v>0P0</v>
      </c>
      <c r="AD2702" t="str">
        <f t="shared" si="805"/>
        <v>P00</v>
      </c>
      <c r="AE2702" t="str">
        <f t="shared" si="806"/>
        <v>0P0</v>
      </c>
      <c r="AF2702" t="str">
        <f t="shared" si="807"/>
        <v>P00</v>
      </c>
      <c r="AG2702" t="str">
        <f t="shared" si="813"/>
        <v>0P00</v>
      </c>
      <c r="AH2702" t="str">
        <f t="shared" si="814"/>
        <v>P000</v>
      </c>
      <c r="AI2702" t="str">
        <f t="shared" si="815"/>
        <v>0P00</v>
      </c>
      <c r="AJ2702" t="str">
        <f t="shared" si="816"/>
        <v>P000</v>
      </c>
    </row>
    <row r="2703" spans="1:36" x14ac:dyDescent="0.25">
      <c r="A2703" s="325" t="str">
        <f>CONCATENATE("P",'906MP'!M2403)</f>
        <v>P</v>
      </c>
      <c r="B2703">
        <f>'906MP'!H2403</f>
        <v>0</v>
      </c>
      <c r="C2703">
        <f>'906MP'!J2403</f>
        <v>0</v>
      </c>
      <c r="D2703">
        <f>'906MP'!P2403</f>
        <v>0</v>
      </c>
      <c r="E2703">
        <f>'906MP'!X2403</f>
        <v>0</v>
      </c>
      <c r="F2703" t="str">
        <f t="shared" si="808"/>
        <v>0</v>
      </c>
      <c r="G2703" t="str">
        <f t="shared" si="809"/>
        <v>0</v>
      </c>
      <c r="H2703">
        <f>'906MP'!Y2403</f>
        <v>0</v>
      </c>
      <c r="I2703">
        <f>'906MP'!AK2403</f>
        <v>0</v>
      </c>
      <c r="J2703">
        <f>'906MP'!T2403</f>
        <v>0</v>
      </c>
      <c r="K2703">
        <f>'906MP'!AJ2403</f>
        <v>0</v>
      </c>
      <c r="L2703">
        <f>'906MP'!U2403</f>
        <v>0</v>
      </c>
      <c r="M2703" s="322" t="str">
        <f>IFERROR(VLOOKUP(A2703,PAR!$D$3:$E$53,2,FALSE),"nincs szervezet")</f>
        <v>nincs szervezet</v>
      </c>
      <c r="N2703" s="322" t="str">
        <f>VLOOKUP(F2703,PAR!$R$3:$S$5,2,FALSE)</f>
        <v>3 - egyik sem</v>
      </c>
      <c r="O2703" t="str">
        <f>IFERROR(VLOOKUP(J2703,PAR!$O$3:$P$5,2,FALSE),"nincs feladat")</f>
        <v>nincs feladat</v>
      </c>
      <c r="P2703" t="str">
        <f>IFERROR(VLOOKUP(G2703,PAR!$J$2:$M$19,4),"nincs rovat")</f>
        <v>nincs rovat</v>
      </c>
      <c r="Q2703" t="str">
        <f>IF(H2703&gt;0,VLOOKUP(H2703,PAR!$AA$3:$AC$187,3,FALSE),"nincs főkönyvi számla")</f>
        <v>nincs főkönyvi számla</v>
      </c>
      <c r="R2703" t="str">
        <f>IFERROR(VLOOKUP(K2703,PAR!$V$3:$X$438,3,FALSE),"000000 - Nincs COFOG")</f>
        <v>000000 - Nincs COFOG</v>
      </c>
      <c r="S2703">
        <f t="shared" si="810"/>
        <v>0</v>
      </c>
      <c r="T2703">
        <f t="shared" si="811"/>
        <v>0</v>
      </c>
      <c r="U2703" t="str">
        <f>IF('906MP'!J2403&gt;0,CONCATENATE('906MP'!J2403," - ",'906MP'!P2403,", ",'906MP'!E2403),"nincs megjegyzés")</f>
        <v>nincs megjegyzés</v>
      </c>
      <c r="V2703" t="str">
        <f t="shared" si="798"/>
        <v>0P0</v>
      </c>
      <c r="W2703" t="str">
        <f t="shared" si="799"/>
        <v>0P0</v>
      </c>
      <c r="X2703" t="str">
        <f t="shared" si="800"/>
        <v>P0</v>
      </c>
      <c r="Y2703" t="str">
        <f t="shared" si="801"/>
        <v>00</v>
      </c>
      <c r="Z2703" t="str">
        <f t="shared" si="812"/>
        <v>00</v>
      </c>
      <c r="AA2703" t="str">
        <f t="shared" si="802"/>
        <v>00</v>
      </c>
      <c r="AB2703" t="str">
        <f t="shared" si="803"/>
        <v>00</v>
      </c>
      <c r="AC2703" t="str">
        <f t="shared" si="804"/>
        <v>0P0</v>
      </c>
      <c r="AD2703" t="str">
        <f t="shared" si="805"/>
        <v>P00</v>
      </c>
      <c r="AE2703" t="str">
        <f t="shared" si="806"/>
        <v>0P0</v>
      </c>
      <c r="AF2703" t="str">
        <f t="shared" si="807"/>
        <v>P00</v>
      </c>
      <c r="AG2703" t="str">
        <f t="shared" si="813"/>
        <v>0P00</v>
      </c>
      <c r="AH2703" t="str">
        <f t="shared" si="814"/>
        <v>P000</v>
      </c>
      <c r="AI2703" t="str">
        <f t="shared" si="815"/>
        <v>0P00</v>
      </c>
      <c r="AJ2703" t="str">
        <f t="shared" si="816"/>
        <v>P000</v>
      </c>
    </row>
    <row r="2704" spans="1:36" x14ac:dyDescent="0.25">
      <c r="A2704" s="325" t="str">
        <f>CONCATENATE("P",'906MP'!M2404)</f>
        <v>P</v>
      </c>
      <c r="B2704">
        <f>'906MP'!H2404</f>
        <v>0</v>
      </c>
      <c r="C2704">
        <f>'906MP'!J2404</f>
        <v>0</v>
      </c>
      <c r="D2704">
        <f>'906MP'!P2404</f>
        <v>0</v>
      </c>
      <c r="E2704">
        <f>'906MP'!X2404</f>
        <v>0</v>
      </c>
      <c r="F2704" t="str">
        <f t="shared" si="808"/>
        <v>0</v>
      </c>
      <c r="G2704" t="str">
        <f t="shared" si="809"/>
        <v>0</v>
      </c>
      <c r="H2704">
        <f>'906MP'!Y2404</f>
        <v>0</v>
      </c>
      <c r="I2704">
        <f>'906MP'!AK2404</f>
        <v>0</v>
      </c>
      <c r="J2704">
        <f>'906MP'!T2404</f>
        <v>0</v>
      </c>
      <c r="K2704">
        <f>'906MP'!AJ2404</f>
        <v>0</v>
      </c>
      <c r="L2704">
        <f>'906MP'!U2404</f>
        <v>0</v>
      </c>
      <c r="M2704" s="322" t="str">
        <f>IFERROR(VLOOKUP(A2704,PAR!$D$3:$E$53,2,FALSE),"nincs szervezet")</f>
        <v>nincs szervezet</v>
      </c>
      <c r="N2704" s="322" t="str">
        <f>VLOOKUP(F2704,PAR!$R$3:$S$5,2,FALSE)</f>
        <v>3 - egyik sem</v>
      </c>
      <c r="O2704" t="str">
        <f>IFERROR(VLOOKUP(J2704,PAR!$O$3:$P$5,2,FALSE),"nincs feladat")</f>
        <v>nincs feladat</v>
      </c>
      <c r="P2704" t="str">
        <f>IFERROR(VLOOKUP(G2704,PAR!$J$2:$M$19,4),"nincs rovat")</f>
        <v>nincs rovat</v>
      </c>
      <c r="Q2704" t="str">
        <f>IF(H2704&gt;0,VLOOKUP(H2704,PAR!$AA$3:$AC$187,3,FALSE),"nincs főkönyvi számla")</f>
        <v>nincs főkönyvi számla</v>
      </c>
      <c r="R2704" t="str">
        <f>IFERROR(VLOOKUP(K2704,PAR!$V$3:$X$438,3,FALSE),"000000 - Nincs COFOG")</f>
        <v>000000 - Nincs COFOG</v>
      </c>
      <c r="S2704">
        <f t="shared" si="810"/>
        <v>0</v>
      </c>
      <c r="T2704">
        <f t="shared" si="811"/>
        <v>0</v>
      </c>
      <c r="U2704" t="str">
        <f>IF('906MP'!J2404&gt;0,CONCATENATE('906MP'!J2404," - ",'906MP'!P2404,", ",'906MP'!E2404),"nincs megjegyzés")</f>
        <v>nincs megjegyzés</v>
      </c>
      <c r="V2704" t="str">
        <f t="shared" si="798"/>
        <v>0P0</v>
      </c>
      <c r="W2704" t="str">
        <f t="shared" si="799"/>
        <v>0P0</v>
      </c>
      <c r="X2704" t="str">
        <f t="shared" si="800"/>
        <v>P0</v>
      </c>
      <c r="Y2704" t="str">
        <f t="shared" si="801"/>
        <v>00</v>
      </c>
      <c r="Z2704" t="str">
        <f t="shared" si="812"/>
        <v>00</v>
      </c>
      <c r="AA2704" t="str">
        <f t="shared" si="802"/>
        <v>00</v>
      </c>
      <c r="AB2704" t="str">
        <f t="shared" si="803"/>
        <v>00</v>
      </c>
      <c r="AC2704" t="str">
        <f t="shared" si="804"/>
        <v>0P0</v>
      </c>
      <c r="AD2704" t="str">
        <f t="shared" si="805"/>
        <v>P00</v>
      </c>
      <c r="AE2704" t="str">
        <f t="shared" si="806"/>
        <v>0P0</v>
      </c>
      <c r="AF2704" t="str">
        <f t="shared" si="807"/>
        <v>P00</v>
      </c>
      <c r="AG2704" t="str">
        <f t="shared" si="813"/>
        <v>0P00</v>
      </c>
      <c r="AH2704" t="str">
        <f t="shared" si="814"/>
        <v>P000</v>
      </c>
      <c r="AI2704" t="str">
        <f t="shared" si="815"/>
        <v>0P00</v>
      </c>
      <c r="AJ2704" t="str">
        <f t="shared" si="816"/>
        <v>P000</v>
      </c>
    </row>
    <row r="2705" spans="1:36" x14ac:dyDescent="0.25">
      <c r="A2705" s="325" t="str">
        <f>CONCATENATE("P",'906MP'!M2405)</f>
        <v>P</v>
      </c>
      <c r="B2705">
        <f>'906MP'!H2405</f>
        <v>0</v>
      </c>
      <c r="C2705">
        <f>'906MP'!J2405</f>
        <v>0</v>
      </c>
      <c r="D2705">
        <f>'906MP'!P2405</f>
        <v>0</v>
      </c>
      <c r="E2705">
        <f>'906MP'!X2405</f>
        <v>0</v>
      </c>
      <c r="F2705" t="str">
        <f t="shared" si="808"/>
        <v>0</v>
      </c>
      <c r="G2705" t="str">
        <f t="shared" si="809"/>
        <v>0</v>
      </c>
      <c r="H2705">
        <f>'906MP'!Y2405</f>
        <v>0</v>
      </c>
      <c r="I2705">
        <f>'906MP'!AK2405</f>
        <v>0</v>
      </c>
      <c r="J2705">
        <f>'906MP'!T2405</f>
        <v>0</v>
      </c>
      <c r="K2705">
        <f>'906MP'!AJ2405</f>
        <v>0</v>
      </c>
      <c r="L2705">
        <f>'906MP'!U2405</f>
        <v>0</v>
      </c>
      <c r="M2705" s="322" t="str">
        <f>IFERROR(VLOOKUP(A2705,PAR!$D$3:$E$53,2,FALSE),"nincs szervezet")</f>
        <v>nincs szervezet</v>
      </c>
      <c r="N2705" s="322" t="str">
        <f>VLOOKUP(F2705,PAR!$R$3:$S$5,2,FALSE)</f>
        <v>3 - egyik sem</v>
      </c>
      <c r="O2705" t="str">
        <f>IFERROR(VLOOKUP(J2705,PAR!$O$3:$P$5,2,FALSE),"nincs feladat")</f>
        <v>nincs feladat</v>
      </c>
      <c r="P2705" t="str">
        <f>IFERROR(VLOOKUP(G2705,PAR!$J$2:$M$19,4),"nincs rovat")</f>
        <v>nincs rovat</v>
      </c>
      <c r="Q2705" t="str">
        <f>IF(H2705&gt;0,VLOOKUP(H2705,PAR!$AA$3:$AC$187,3,FALSE),"nincs főkönyvi számla")</f>
        <v>nincs főkönyvi számla</v>
      </c>
      <c r="R2705" t="str">
        <f>IFERROR(VLOOKUP(K2705,PAR!$V$3:$X$438,3,FALSE),"000000 - Nincs COFOG")</f>
        <v>000000 - Nincs COFOG</v>
      </c>
      <c r="S2705">
        <f t="shared" si="810"/>
        <v>0</v>
      </c>
      <c r="T2705">
        <f t="shared" si="811"/>
        <v>0</v>
      </c>
      <c r="U2705" t="str">
        <f>IF('906MP'!J2405&gt;0,CONCATENATE('906MP'!J2405," - ",'906MP'!P2405,", ",'906MP'!E2405),"nincs megjegyzés")</f>
        <v>nincs megjegyzés</v>
      </c>
      <c r="V2705" t="str">
        <f t="shared" si="798"/>
        <v>0P0</v>
      </c>
      <c r="W2705" t="str">
        <f t="shared" si="799"/>
        <v>0P0</v>
      </c>
      <c r="X2705" t="str">
        <f t="shared" si="800"/>
        <v>P0</v>
      </c>
      <c r="Y2705" t="str">
        <f t="shared" si="801"/>
        <v>00</v>
      </c>
      <c r="Z2705" t="str">
        <f t="shared" si="812"/>
        <v>00</v>
      </c>
      <c r="AA2705" t="str">
        <f t="shared" si="802"/>
        <v>00</v>
      </c>
      <c r="AB2705" t="str">
        <f t="shared" si="803"/>
        <v>00</v>
      </c>
      <c r="AC2705" t="str">
        <f t="shared" si="804"/>
        <v>0P0</v>
      </c>
      <c r="AD2705" t="str">
        <f t="shared" si="805"/>
        <v>P00</v>
      </c>
      <c r="AE2705" t="str">
        <f t="shared" si="806"/>
        <v>0P0</v>
      </c>
      <c r="AF2705" t="str">
        <f t="shared" si="807"/>
        <v>P00</v>
      </c>
      <c r="AG2705" t="str">
        <f t="shared" si="813"/>
        <v>0P00</v>
      </c>
      <c r="AH2705" t="str">
        <f t="shared" si="814"/>
        <v>P000</v>
      </c>
      <c r="AI2705" t="str">
        <f t="shared" si="815"/>
        <v>0P00</v>
      </c>
      <c r="AJ2705" t="str">
        <f t="shared" si="816"/>
        <v>P000</v>
      </c>
    </row>
    <row r="2706" spans="1:36" x14ac:dyDescent="0.25">
      <c r="A2706" s="325" t="str">
        <f>CONCATENATE("P",'906MP'!M2406)</f>
        <v>P</v>
      </c>
      <c r="B2706">
        <f>'906MP'!H2406</f>
        <v>0</v>
      </c>
      <c r="C2706">
        <f>'906MP'!J2406</f>
        <v>0</v>
      </c>
      <c r="D2706">
        <f>'906MP'!P2406</f>
        <v>0</v>
      </c>
      <c r="E2706">
        <f>'906MP'!X2406</f>
        <v>0</v>
      </c>
      <c r="F2706" t="str">
        <f t="shared" si="808"/>
        <v>0</v>
      </c>
      <c r="G2706" t="str">
        <f t="shared" si="809"/>
        <v>0</v>
      </c>
      <c r="H2706">
        <f>'906MP'!Y2406</f>
        <v>0</v>
      </c>
      <c r="I2706">
        <f>'906MP'!AK2406</f>
        <v>0</v>
      </c>
      <c r="J2706">
        <f>'906MP'!T2406</f>
        <v>0</v>
      </c>
      <c r="K2706">
        <f>'906MP'!AJ2406</f>
        <v>0</v>
      </c>
      <c r="L2706">
        <f>'906MP'!U2406</f>
        <v>0</v>
      </c>
      <c r="M2706" s="322" t="str">
        <f>IFERROR(VLOOKUP(A2706,PAR!$D$3:$E$53,2,FALSE),"nincs szervezet")</f>
        <v>nincs szervezet</v>
      </c>
      <c r="N2706" s="322" t="str">
        <f>VLOOKUP(F2706,PAR!$R$3:$S$5,2,FALSE)</f>
        <v>3 - egyik sem</v>
      </c>
      <c r="O2706" t="str">
        <f>IFERROR(VLOOKUP(J2706,PAR!$O$3:$P$5,2,FALSE),"nincs feladat")</f>
        <v>nincs feladat</v>
      </c>
      <c r="P2706" t="str">
        <f>IFERROR(VLOOKUP(G2706,PAR!$J$2:$M$19,4),"nincs rovat")</f>
        <v>nincs rovat</v>
      </c>
      <c r="Q2706" t="str">
        <f>IF(H2706&gt;0,VLOOKUP(H2706,PAR!$AA$3:$AC$187,3,FALSE),"nincs főkönyvi számla")</f>
        <v>nincs főkönyvi számla</v>
      </c>
      <c r="R2706" t="str">
        <f>IFERROR(VLOOKUP(K2706,PAR!$V$3:$X$438,3,FALSE),"000000 - Nincs COFOG")</f>
        <v>000000 - Nincs COFOG</v>
      </c>
      <c r="S2706">
        <f t="shared" si="810"/>
        <v>0</v>
      </c>
      <c r="T2706">
        <f t="shared" si="811"/>
        <v>0</v>
      </c>
      <c r="U2706" t="str">
        <f>IF('906MP'!J2406&gt;0,CONCATENATE('906MP'!J2406," - ",'906MP'!P2406,", ",'906MP'!E2406),"nincs megjegyzés")</f>
        <v>nincs megjegyzés</v>
      </c>
      <c r="V2706" t="str">
        <f t="shared" si="798"/>
        <v>0P0</v>
      </c>
      <c r="W2706" t="str">
        <f t="shared" si="799"/>
        <v>0P0</v>
      </c>
      <c r="X2706" t="str">
        <f t="shared" si="800"/>
        <v>P0</v>
      </c>
      <c r="Y2706" t="str">
        <f t="shared" si="801"/>
        <v>00</v>
      </c>
      <c r="Z2706" t="str">
        <f t="shared" si="812"/>
        <v>00</v>
      </c>
      <c r="AA2706" t="str">
        <f t="shared" si="802"/>
        <v>00</v>
      </c>
      <c r="AB2706" t="str">
        <f t="shared" si="803"/>
        <v>00</v>
      </c>
      <c r="AC2706" t="str">
        <f t="shared" si="804"/>
        <v>0P0</v>
      </c>
      <c r="AD2706" t="str">
        <f t="shared" si="805"/>
        <v>P00</v>
      </c>
      <c r="AE2706" t="str">
        <f t="shared" si="806"/>
        <v>0P0</v>
      </c>
      <c r="AF2706" t="str">
        <f t="shared" si="807"/>
        <v>P00</v>
      </c>
      <c r="AG2706" t="str">
        <f t="shared" si="813"/>
        <v>0P00</v>
      </c>
      <c r="AH2706" t="str">
        <f t="shared" si="814"/>
        <v>P000</v>
      </c>
      <c r="AI2706" t="str">
        <f t="shared" si="815"/>
        <v>0P00</v>
      </c>
      <c r="AJ2706" t="str">
        <f t="shared" si="816"/>
        <v>P000</v>
      </c>
    </row>
    <row r="2707" spans="1:36" x14ac:dyDescent="0.25">
      <c r="A2707" s="325" t="str">
        <f>CONCATENATE("P",'906MP'!M2407)</f>
        <v>P</v>
      </c>
      <c r="B2707">
        <f>'906MP'!H2407</f>
        <v>0</v>
      </c>
      <c r="C2707">
        <f>'906MP'!J2407</f>
        <v>0</v>
      </c>
      <c r="D2707">
        <f>'906MP'!P2407</f>
        <v>0</v>
      </c>
      <c r="E2707">
        <f>'906MP'!X2407</f>
        <v>0</v>
      </c>
      <c r="F2707" t="str">
        <f t="shared" si="808"/>
        <v>0</v>
      </c>
      <c r="G2707" t="str">
        <f t="shared" si="809"/>
        <v>0</v>
      </c>
      <c r="H2707">
        <f>'906MP'!Y2407</f>
        <v>0</v>
      </c>
      <c r="I2707">
        <f>'906MP'!AK2407</f>
        <v>0</v>
      </c>
      <c r="J2707">
        <f>'906MP'!T2407</f>
        <v>0</v>
      </c>
      <c r="K2707">
        <f>'906MP'!AJ2407</f>
        <v>0</v>
      </c>
      <c r="L2707">
        <f>'906MP'!U2407</f>
        <v>0</v>
      </c>
      <c r="M2707" s="322" t="str">
        <f>IFERROR(VLOOKUP(A2707,PAR!$D$3:$E$53,2,FALSE),"nincs szervezet")</f>
        <v>nincs szervezet</v>
      </c>
      <c r="N2707" s="322" t="str">
        <f>VLOOKUP(F2707,PAR!$R$3:$S$5,2,FALSE)</f>
        <v>3 - egyik sem</v>
      </c>
      <c r="O2707" t="str">
        <f>IFERROR(VLOOKUP(J2707,PAR!$O$3:$P$5,2,FALSE),"nincs feladat")</f>
        <v>nincs feladat</v>
      </c>
      <c r="P2707" t="str">
        <f>IFERROR(VLOOKUP(G2707,PAR!$J$2:$M$19,4),"nincs rovat")</f>
        <v>nincs rovat</v>
      </c>
      <c r="Q2707" t="str">
        <f>IF(H2707&gt;0,VLOOKUP(H2707,PAR!$AA$3:$AC$187,3,FALSE),"nincs főkönyvi számla")</f>
        <v>nincs főkönyvi számla</v>
      </c>
      <c r="R2707" t="str">
        <f>IFERROR(VLOOKUP(K2707,PAR!$V$3:$X$438,3,FALSE),"000000 - Nincs COFOG")</f>
        <v>000000 - Nincs COFOG</v>
      </c>
      <c r="S2707">
        <f t="shared" si="810"/>
        <v>0</v>
      </c>
      <c r="T2707">
        <f t="shared" si="811"/>
        <v>0</v>
      </c>
      <c r="U2707" t="str">
        <f>IF('906MP'!J2407&gt;0,CONCATENATE('906MP'!J2407," - ",'906MP'!P2407,", ",'906MP'!E2407),"nincs megjegyzés")</f>
        <v>nincs megjegyzés</v>
      </c>
      <c r="V2707" t="str">
        <f t="shared" si="798"/>
        <v>0P0</v>
      </c>
      <c r="W2707" t="str">
        <f t="shared" si="799"/>
        <v>0P0</v>
      </c>
      <c r="X2707" t="str">
        <f t="shared" si="800"/>
        <v>P0</v>
      </c>
      <c r="Y2707" t="str">
        <f t="shared" si="801"/>
        <v>00</v>
      </c>
      <c r="Z2707" t="str">
        <f t="shared" si="812"/>
        <v>00</v>
      </c>
      <c r="AA2707" t="str">
        <f t="shared" si="802"/>
        <v>00</v>
      </c>
      <c r="AB2707" t="str">
        <f t="shared" si="803"/>
        <v>00</v>
      </c>
      <c r="AC2707" t="str">
        <f t="shared" si="804"/>
        <v>0P0</v>
      </c>
      <c r="AD2707" t="str">
        <f t="shared" si="805"/>
        <v>P00</v>
      </c>
      <c r="AE2707" t="str">
        <f t="shared" si="806"/>
        <v>0P0</v>
      </c>
      <c r="AF2707" t="str">
        <f t="shared" si="807"/>
        <v>P00</v>
      </c>
      <c r="AG2707" t="str">
        <f t="shared" si="813"/>
        <v>0P00</v>
      </c>
      <c r="AH2707" t="str">
        <f t="shared" si="814"/>
        <v>P000</v>
      </c>
      <c r="AI2707" t="str">
        <f t="shared" si="815"/>
        <v>0P00</v>
      </c>
      <c r="AJ2707" t="str">
        <f t="shared" si="816"/>
        <v>P000</v>
      </c>
    </row>
    <row r="2708" spans="1:36" x14ac:dyDescent="0.25">
      <c r="A2708" s="325" t="str">
        <f>CONCATENATE("P",'906MP'!M2408)</f>
        <v>P</v>
      </c>
      <c r="B2708">
        <f>'906MP'!H2408</f>
        <v>0</v>
      </c>
      <c r="C2708">
        <f>'906MP'!J2408</f>
        <v>0</v>
      </c>
      <c r="D2708">
        <f>'906MP'!P2408</f>
        <v>0</v>
      </c>
      <c r="E2708">
        <f>'906MP'!X2408</f>
        <v>0</v>
      </c>
      <c r="F2708" t="str">
        <f t="shared" si="808"/>
        <v>0</v>
      </c>
      <c r="G2708" t="str">
        <f t="shared" si="809"/>
        <v>0</v>
      </c>
      <c r="H2708">
        <f>'906MP'!Y2408</f>
        <v>0</v>
      </c>
      <c r="I2708">
        <f>'906MP'!AK2408</f>
        <v>0</v>
      </c>
      <c r="J2708">
        <f>'906MP'!T2408</f>
        <v>0</v>
      </c>
      <c r="K2708">
        <f>'906MP'!AJ2408</f>
        <v>0</v>
      </c>
      <c r="L2708">
        <f>'906MP'!U2408</f>
        <v>0</v>
      </c>
      <c r="M2708" s="322" t="str">
        <f>IFERROR(VLOOKUP(A2708,PAR!$D$3:$E$53,2,FALSE),"nincs szervezet")</f>
        <v>nincs szervezet</v>
      </c>
      <c r="N2708" s="322" t="str">
        <f>VLOOKUP(F2708,PAR!$R$3:$S$5,2,FALSE)</f>
        <v>3 - egyik sem</v>
      </c>
      <c r="O2708" t="str">
        <f>IFERROR(VLOOKUP(J2708,PAR!$O$3:$P$5,2,FALSE),"nincs feladat")</f>
        <v>nincs feladat</v>
      </c>
      <c r="P2708" t="str">
        <f>IFERROR(VLOOKUP(G2708,PAR!$J$2:$M$19,4),"nincs rovat")</f>
        <v>nincs rovat</v>
      </c>
      <c r="Q2708" t="str">
        <f>IF(H2708&gt;0,VLOOKUP(H2708,PAR!$AA$3:$AC$187,3,FALSE),"nincs főkönyvi számla")</f>
        <v>nincs főkönyvi számla</v>
      </c>
      <c r="R2708" t="str">
        <f>IFERROR(VLOOKUP(K2708,PAR!$V$3:$X$438,3,FALSE),"000000 - Nincs COFOG")</f>
        <v>000000 - Nincs COFOG</v>
      </c>
      <c r="S2708">
        <f t="shared" si="810"/>
        <v>0</v>
      </c>
      <c r="T2708">
        <f t="shared" si="811"/>
        <v>0</v>
      </c>
      <c r="U2708" t="str">
        <f>IF('906MP'!J2408&gt;0,CONCATENATE('906MP'!J2408," - ",'906MP'!P2408,", ",'906MP'!E2408),"nincs megjegyzés")</f>
        <v>nincs megjegyzés</v>
      </c>
      <c r="V2708" t="str">
        <f t="shared" si="798"/>
        <v>0P0</v>
      </c>
      <c r="W2708" t="str">
        <f t="shared" si="799"/>
        <v>0P0</v>
      </c>
      <c r="X2708" t="str">
        <f t="shared" si="800"/>
        <v>P0</v>
      </c>
      <c r="Y2708" t="str">
        <f t="shared" si="801"/>
        <v>00</v>
      </c>
      <c r="Z2708" t="str">
        <f t="shared" si="812"/>
        <v>00</v>
      </c>
      <c r="AA2708" t="str">
        <f t="shared" si="802"/>
        <v>00</v>
      </c>
      <c r="AB2708" t="str">
        <f t="shared" si="803"/>
        <v>00</v>
      </c>
      <c r="AC2708" t="str">
        <f t="shared" si="804"/>
        <v>0P0</v>
      </c>
      <c r="AD2708" t="str">
        <f t="shared" si="805"/>
        <v>P00</v>
      </c>
      <c r="AE2708" t="str">
        <f t="shared" si="806"/>
        <v>0P0</v>
      </c>
      <c r="AF2708" t="str">
        <f t="shared" si="807"/>
        <v>P00</v>
      </c>
      <c r="AG2708" t="str">
        <f t="shared" si="813"/>
        <v>0P00</v>
      </c>
      <c r="AH2708" t="str">
        <f t="shared" si="814"/>
        <v>P000</v>
      </c>
      <c r="AI2708" t="str">
        <f t="shared" si="815"/>
        <v>0P00</v>
      </c>
      <c r="AJ2708" t="str">
        <f t="shared" si="816"/>
        <v>P000</v>
      </c>
    </row>
    <row r="2709" spans="1:36" x14ac:dyDescent="0.25">
      <c r="A2709" s="325" t="str">
        <f>CONCATENATE("P",'906MP'!M2409)</f>
        <v>P</v>
      </c>
      <c r="B2709">
        <f>'906MP'!H2409</f>
        <v>0</v>
      </c>
      <c r="C2709">
        <f>'906MP'!J2409</f>
        <v>0</v>
      </c>
      <c r="D2709">
        <f>'906MP'!P2409</f>
        <v>0</v>
      </c>
      <c r="E2709">
        <f>'906MP'!X2409</f>
        <v>0</v>
      </c>
      <c r="F2709" t="str">
        <f t="shared" si="808"/>
        <v>0</v>
      </c>
      <c r="G2709" t="str">
        <f t="shared" si="809"/>
        <v>0</v>
      </c>
      <c r="H2709">
        <f>'906MP'!Y2409</f>
        <v>0</v>
      </c>
      <c r="I2709">
        <f>'906MP'!AK2409</f>
        <v>0</v>
      </c>
      <c r="J2709">
        <f>'906MP'!T2409</f>
        <v>0</v>
      </c>
      <c r="K2709">
        <f>'906MP'!AJ2409</f>
        <v>0</v>
      </c>
      <c r="L2709">
        <f>'906MP'!U2409</f>
        <v>0</v>
      </c>
      <c r="M2709" s="322" t="str">
        <f>IFERROR(VLOOKUP(A2709,PAR!$D$3:$E$53,2,FALSE),"nincs szervezet")</f>
        <v>nincs szervezet</v>
      </c>
      <c r="N2709" s="322" t="str">
        <f>VLOOKUP(F2709,PAR!$R$3:$S$5,2,FALSE)</f>
        <v>3 - egyik sem</v>
      </c>
      <c r="O2709" t="str">
        <f>IFERROR(VLOOKUP(J2709,PAR!$O$3:$P$5,2,FALSE),"nincs feladat")</f>
        <v>nincs feladat</v>
      </c>
      <c r="P2709" t="str">
        <f>IFERROR(VLOOKUP(G2709,PAR!$J$2:$M$19,4),"nincs rovat")</f>
        <v>nincs rovat</v>
      </c>
      <c r="Q2709" t="str">
        <f>IF(H2709&gt;0,VLOOKUP(H2709,PAR!$AA$3:$AC$187,3,FALSE),"nincs főkönyvi számla")</f>
        <v>nincs főkönyvi számla</v>
      </c>
      <c r="R2709" t="str">
        <f>IFERROR(VLOOKUP(K2709,PAR!$V$3:$X$438,3,FALSE),"000000 - Nincs COFOG")</f>
        <v>000000 - Nincs COFOG</v>
      </c>
      <c r="S2709">
        <f t="shared" si="810"/>
        <v>0</v>
      </c>
      <c r="T2709">
        <f t="shared" si="811"/>
        <v>0</v>
      </c>
      <c r="U2709" t="str">
        <f>IF('906MP'!J2409&gt;0,CONCATENATE('906MP'!J2409," - ",'906MP'!P2409,", ",'906MP'!E2409),"nincs megjegyzés")</f>
        <v>nincs megjegyzés</v>
      </c>
      <c r="V2709" t="str">
        <f t="shared" si="798"/>
        <v>0P0</v>
      </c>
      <c r="W2709" t="str">
        <f t="shared" si="799"/>
        <v>0P0</v>
      </c>
      <c r="X2709" t="str">
        <f t="shared" si="800"/>
        <v>P0</v>
      </c>
      <c r="Y2709" t="str">
        <f t="shared" si="801"/>
        <v>00</v>
      </c>
      <c r="Z2709" t="str">
        <f t="shared" si="812"/>
        <v>00</v>
      </c>
      <c r="AA2709" t="str">
        <f t="shared" si="802"/>
        <v>00</v>
      </c>
      <c r="AB2709" t="str">
        <f t="shared" si="803"/>
        <v>00</v>
      </c>
      <c r="AC2709" t="str">
        <f t="shared" si="804"/>
        <v>0P0</v>
      </c>
      <c r="AD2709" t="str">
        <f t="shared" si="805"/>
        <v>P00</v>
      </c>
      <c r="AE2709" t="str">
        <f t="shared" si="806"/>
        <v>0P0</v>
      </c>
      <c r="AF2709" t="str">
        <f t="shared" si="807"/>
        <v>P00</v>
      </c>
      <c r="AG2709" t="str">
        <f t="shared" si="813"/>
        <v>0P00</v>
      </c>
      <c r="AH2709" t="str">
        <f t="shared" si="814"/>
        <v>P000</v>
      </c>
      <c r="AI2709" t="str">
        <f t="shared" si="815"/>
        <v>0P00</v>
      </c>
      <c r="AJ2709" t="str">
        <f t="shared" si="816"/>
        <v>P000</v>
      </c>
    </row>
    <row r="2710" spans="1:36" x14ac:dyDescent="0.25">
      <c r="A2710" s="325" t="str">
        <f>CONCATENATE("P",'906MP'!M2410)</f>
        <v>P</v>
      </c>
      <c r="B2710">
        <f>'906MP'!H2410</f>
        <v>0</v>
      </c>
      <c r="C2710">
        <f>'906MP'!J2410</f>
        <v>0</v>
      </c>
      <c r="D2710">
        <f>'906MP'!P2410</f>
        <v>0</v>
      </c>
      <c r="E2710">
        <f>'906MP'!X2410</f>
        <v>0</v>
      </c>
      <c r="F2710" t="str">
        <f t="shared" si="808"/>
        <v>0</v>
      </c>
      <c r="G2710" t="str">
        <f t="shared" si="809"/>
        <v>0</v>
      </c>
      <c r="H2710">
        <f>'906MP'!Y2410</f>
        <v>0</v>
      </c>
      <c r="I2710">
        <f>'906MP'!AK2410</f>
        <v>0</v>
      </c>
      <c r="J2710">
        <f>'906MP'!T2410</f>
        <v>0</v>
      </c>
      <c r="K2710">
        <f>'906MP'!AJ2410</f>
        <v>0</v>
      </c>
      <c r="L2710">
        <f>'906MP'!U2410</f>
        <v>0</v>
      </c>
      <c r="M2710" s="322" t="str">
        <f>IFERROR(VLOOKUP(A2710,PAR!$D$3:$E$53,2,FALSE),"nincs szervezet")</f>
        <v>nincs szervezet</v>
      </c>
      <c r="N2710" s="322" t="str">
        <f>VLOOKUP(F2710,PAR!$R$3:$S$5,2,FALSE)</f>
        <v>3 - egyik sem</v>
      </c>
      <c r="O2710" t="str">
        <f>IFERROR(VLOOKUP(J2710,PAR!$O$3:$P$5,2,FALSE),"nincs feladat")</f>
        <v>nincs feladat</v>
      </c>
      <c r="P2710" t="str">
        <f>IFERROR(VLOOKUP(G2710,PAR!$J$2:$M$19,4),"nincs rovat")</f>
        <v>nincs rovat</v>
      </c>
      <c r="Q2710" t="str">
        <f>IF(H2710&gt;0,VLOOKUP(H2710,PAR!$AA$3:$AC$187,3,FALSE),"nincs főkönyvi számla")</f>
        <v>nincs főkönyvi számla</v>
      </c>
      <c r="R2710" t="str">
        <f>IFERROR(VLOOKUP(K2710,PAR!$V$3:$X$438,3,FALSE),"000000 - Nincs COFOG")</f>
        <v>000000 - Nincs COFOG</v>
      </c>
      <c r="S2710">
        <f t="shared" si="810"/>
        <v>0</v>
      </c>
      <c r="T2710">
        <f t="shared" si="811"/>
        <v>0</v>
      </c>
      <c r="U2710" t="str">
        <f>IF('906MP'!J2410&gt;0,CONCATENATE('906MP'!J2410," - ",'906MP'!P2410,", ",'906MP'!E2410),"nincs megjegyzés")</f>
        <v>nincs megjegyzés</v>
      </c>
      <c r="V2710" t="str">
        <f t="shared" si="798"/>
        <v>0P0</v>
      </c>
      <c r="W2710" t="str">
        <f t="shared" si="799"/>
        <v>0P0</v>
      </c>
      <c r="X2710" t="str">
        <f t="shared" si="800"/>
        <v>P0</v>
      </c>
      <c r="Y2710" t="str">
        <f t="shared" si="801"/>
        <v>00</v>
      </c>
      <c r="Z2710" t="str">
        <f t="shared" si="812"/>
        <v>00</v>
      </c>
      <c r="AA2710" t="str">
        <f t="shared" si="802"/>
        <v>00</v>
      </c>
      <c r="AB2710" t="str">
        <f t="shared" si="803"/>
        <v>00</v>
      </c>
      <c r="AC2710" t="str">
        <f t="shared" si="804"/>
        <v>0P0</v>
      </c>
      <c r="AD2710" t="str">
        <f t="shared" si="805"/>
        <v>P00</v>
      </c>
      <c r="AE2710" t="str">
        <f t="shared" si="806"/>
        <v>0P0</v>
      </c>
      <c r="AF2710" t="str">
        <f t="shared" si="807"/>
        <v>P00</v>
      </c>
      <c r="AG2710" t="str">
        <f t="shared" si="813"/>
        <v>0P00</v>
      </c>
      <c r="AH2710" t="str">
        <f t="shared" si="814"/>
        <v>P000</v>
      </c>
      <c r="AI2710" t="str">
        <f t="shared" si="815"/>
        <v>0P00</v>
      </c>
      <c r="AJ2710" t="str">
        <f t="shared" si="816"/>
        <v>P000</v>
      </c>
    </row>
    <row r="2711" spans="1:36" x14ac:dyDescent="0.25">
      <c r="A2711" s="325" t="str">
        <f>CONCATENATE("P",'906MP'!M2411)</f>
        <v>P</v>
      </c>
      <c r="B2711">
        <f>'906MP'!H2411</f>
        <v>0</v>
      </c>
      <c r="C2711">
        <f>'906MP'!J2411</f>
        <v>0</v>
      </c>
      <c r="D2711">
        <f>'906MP'!P2411</f>
        <v>0</v>
      </c>
      <c r="E2711">
        <f>'906MP'!X2411</f>
        <v>0</v>
      </c>
      <c r="F2711" t="str">
        <f t="shared" si="808"/>
        <v>0</v>
      </c>
      <c r="G2711" t="str">
        <f t="shared" si="809"/>
        <v>0</v>
      </c>
      <c r="H2711">
        <f>'906MP'!Y2411</f>
        <v>0</v>
      </c>
      <c r="I2711">
        <f>'906MP'!AK2411</f>
        <v>0</v>
      </c>
      <c r="J2711">
        <f>'906MP'!T2411</f>
        <v>0</v>
      </c>
      <c r="K2711">
        <f>'906MP'!AJ2411</f>
        <v>0</v>
      </c>
      <c r="L2711">
        <f>'906MP'!U2411</f>
        <v>0</v>
      </c>
      <c r="M2711" s="322" t="str">
        <f>IFERROR(VLOOKUP(A2711,PAR!$D$3:$E$53,2,FALSE),"nincs szervezet")</f>
        <v>nincs szervezet</v>
      </c>
      <c r="N2711" s="322" t="str">
        <f>VLOOKUP(F2711,PAR!$R$3:$S$5,2,FALSE)</f>
        <v>3 - egyik sem</v>
      </c>
      <c r="O2711" t="str">
        <f>IFERROR(VLOOKUP(J2711,PAR!$O$3:$P$5,2,FALSE),"nincs feladat")</f>
        <v>nincs feladat</v>
      </c>
      <c r="P2711" t="str">
        <f>IFERROR(VLOOKUP(G2711,PAR!$J$2:$M$19,4),"nincs rovat")</f>
        <v>nincs rovat</v>
      </c>
      <c r="Q2711" t="str">
        <f>IF(H2711&gt;0,VLOOKUP(H2711,PAR!$AA$3:$AC$187,3,FALSE),"nincs főkönyvi számla")</f>
        <v>nincs főkönyvi számla</v>
      </c>
      <c r="R2711" t="str">
        <f>IFERROR(VLOOKUP(K2711,PAR!$V$3:$X$438,3,FALSE),"000000 - Nincs COFOG")</f>
        <v>000000 - Nincs COFOG</v>
      </c>
      <c r="S2711">
        <f t="shared" si="810"/>
        <v>0</v>
      </c>
      <c r="T2711">
        <f t="shared" si="811"/>
        <v>0</v>
      </c>
      <c r="U2711" t="str">
        <f>IF('906MP'!J2411&gt;0,CONCATENATE('906MP'!J2411," - ",'906MP'!P2411,", ",'906MP'!E2411),"nincs megjegyzés")</f>
        <v>nincs megjegyzés</v>
      </c>
      <c r="V2711" t="str">
        <f t="shared" si="798"/>
        <v>0P0</v>
      </c>
      <c r="W2711" t="str">
        <f t="shared" si="799"/>
        <v>0P0</v>
      </c>
      <c r="X2711" t="str">
        <f t="shared" si="800"/>
        <v>P0</v>
      </c>
      <c r="Y2711" t="str">
        <f t="shared" si="801"/>
        <v>00</v>
      </c>
      <c r="Z2711" t="str">
        <f t="shared" si="812"/>
        <v>00</v>
      </c>
      <c r="AA2711" t="str">
        <f t="shared" si="802"/>
        <v>00</v>
      </c>
      <c r="AB2711" t="str">
        <f t="shared" si="803"/>
        <v>00</v>
      </c>
      <c r="AC2711" t="str">
        <f t="shared" si="804"/>
        <v>0P0</v>
      </c>
      <c r="AD2711" t="str">
        <f t="shared" si="805"/>
        <v>P00</v>
      </c>
      <c r="AE2711" t="str">
        <f t="shared" si="806"/>
        <v>0P0</v>
      </c>
      <c r="AF2711" t="str">
        <f t="shared" si="807"/>
        <v>P00</v>
      </c>
      <c r="AG2711" t="str">
        <f t="shared" si="813"/>
        <v>0P00</v>
      </c>
      <c r="AH2711" t="str">
        <f t="shared" si="814"/>
        <v>P000</v>
      </c>
      <c r="AI2711" t="str">
        <f t="shared" si="815"/>
        <v>0P00</v>
      </c>
      <c r="AJ2711" t="str">
        <f t="shared" si="816"/>
        <v>P000</v>
      </c>
    </row>
    <row r="2712" spans="1:36" x14ac:dyDescent="0.25">
      <c r="A2712" s="325" t="str">
        <f>CONCATENATE("P",'906MP'!M2412)</f>
        <v>P</v>
      </c>
      <c r="B2712">
        <f>'906MP'!H2412</f>
        <v>0</v>
      </c>
      <c r="C2712">
        <f>'906MP'!J2412</f>
        <v>0</v>
      </c>
      <c r="D2712">
        <f>'906MP'!P2412</f>
        <v>0</v>
      </c>
      <c r="E2712">
        <f>'906MP'!X2412</f>
        <v>0</v>
      </c>
      <c r="F2712" t="str">
        <f t="shared" si="808"/>
        <v>0</v>
      </c>
      <c r="G2712" t="str">
        <f t="shared" si="809"/>
        <v>0</v>
      </c>
      <c r="H2712">
        <f>'906MP'!Y2412</f>
        <v>0</v>
      </c>
      <c r="I2712">
        <f>'906MP'!AK2412</f>
        <v>0</v>
      </c>
      <c r="J2712">
        <f>'906MP'!T2412</f>
        <v>0</v>
      </c>
      <c r="K2712">
        <f>'906MP'!AJ2412</f>
        <v>0</v>
      </c>
      <c r="L2712">
        <f>'906MP'!U2412</f>
        <v>0</v>
      </c>
      <c r="M2712" s="322" t="str">
        <f>IFERROR(VLOOKUP(A2712,PAR!$D$3:$E$53,2,FALSE),"nincs szervezet")</f>
        <v>nincs szervezet</v>
      </c>
      <c r="N2712" s="322" t="str">
        <f>VLOOKUP(F2712,PAR!$R$3:$S$5,2,FALSE)</f>
        <v>3 - egyik sem</v>
      </c>
      <c r="O2712" t="str">
        <f>IFERROR(VLOOKUP(J2712,PAR!$O$3:$P$5,2,FALSE),"nincs feladat")</f>
        <v>nincs feladat</v>
      </c>
      <c r="P2712" t="str">
        <f>IFERROR(VLOOKUP(G2712,PAR!$J$2:$M$19,4),"nincs rovat")</f>
        <v>nincs rovat</v>
      </c>
      <c r="Q2712" t="str">
        <f>IF(H2712&gt;0,VLOOKUP(H2712,PAR!$AA$3:$AC$187,3,FALSE),"nincs főkönyvi számla")</f>
        <v>nincs főkönyvi számla</v>
      </c>
      <c r="R2712" t="str">
        <f>IFERROR(VLOOKUP(K2712,PAR!$V$3:$X$438,3,FALSE),"000000 - Nincs COFOG")</f>
        <v>000000 - Nincs COFOG</v>
      </c>
      <c r="S2712">
        <f t="shared" si="810"/>
        <v>0</v>
      </c>
      <c r="T2712">
        <f t="shared" si="811"/>
        <v>0</v>
      </c>
      <c r="U2712" t="str">
        <f>IF('906MP'!J2412&gt;0,CONCATENATE('906MP'!J2412," - ",'906MP'!P2412,", ",'906MP'!E2412),"nincs megjegyzés")</f>
        <v>nincs megjegyzés</v>
      </c>
      <c r="V2712" t="str">
        <f t="shared" si="798"/>
        <v>0P0</v>
      </c>
      <c r="W2712" t="str">
        <f t="shared" si="799"/>
        <v>0P0</v>
      </c>
      <c r="X2712" t="str">
        <f t="shared" si="800"/>
        <v>P0</v>
      </c>
      <c r="Y2712" t="str">
        <f t="shared" si="801"/>
        <v>00</v>
      </c>
      <c r="Z2712" t="str">
        <f t="shared" si="812"/>
        <v>00</v>
      </c>
      <c r="AA2712" t="str">
        <f t="shared" si="802"/>
        <v>00</v>
      </c>
      <c r="AB2712" t="str">
        <f t="shared" si="803"/>
        <v>00</v>
      </c>
      <c r="AC2712" t="str">
        <f t="shared" si="804"/>
        <v>0P0</v>
      </c>
      <c r="AD2712" t="str">
        <f t="shared" si="805"/>
        <v>P00</v>
      </c>
      <c r="AE2712" t="str">
        <f t="shared" si="806"/>
        <v>0P0</v>
      </c>
      <c r="AF2712" t="str">
        <f t="shared" si="807"/>
        <v>P00</v>
      </c>
      <c r="AG2712" t="str">
        <f t="shared" si="813"/>
        <v>0P00</v>
      </c>
      <c r="AH2712" t="str">
        <f t="shared" si="814"/>
        <v>P000</v>
      </c>
      <c r="AI2712" t="str">
        <f t="shared" si="815"/>
        <v>0P00</v>
      </c>
      <c r="AJ2712" t="str">
        <f t="shared" si="816"/>
        <v>P000</v>
      </c>
    </row>
    <row r="2713" spans="1:36" x14ac:dyDescent="0.25">
      <c r="A2713" s="325" t="str">
        <f>CONCATENATE("P",'906MP'!M2413)</f>
        <v>P</v>
      </c>
      <c r="B2713">
        <f>'906MP'!H2413</f>
        <v>0</v>
      </c>
      <c r="C2713">
        <f>'906MP'!J2413</f>
        <v>0</v>
      </c>
      <c r="D2713">
        <f>'906MP'!P2413</f>
        <v>0</v>
      </c>
      <c r="E2713">
        <f>'906MP'!X2413</f>
        <v>0</v>
      </c>
      <c r="F2713" t="str">
        <f t="shared" si="808"/>
        <v>0</v>
      </c>
      <c r="G2713" t="str">
        <f t="shared" si="809"/>
        <v>0</v>
      </c>
      <c r="H2713">
        <f>'906MP'!Y2413</f>
        <v>0</v>
      </c>
      <c r="I2713">
        <f>'906MP'!AK2413</f>
        <v>0</v>
      </c>
      <c r="J2713">
        <f>'906MP'!T2413</f>
        <v>0</v>
      </c>
      <c r="K2713">
        <f>'906MP'!AJ2413</f>
        <v>0</v>
      </c>
      <c r="L2713">
        <f>'906MP'!U2413</f>
        <v>0</v>
      </c>
      <c r="M2713" s="322" t="str">
        <f>IFERROR(VLOOKUP(A2713,PAR!$D$3:$E$53,2,FALSE),"nincs szervezet")</f>
        <v>nincs szervezet</v>
      </c>
      <c r="N2713" s="322" t="str">
        <f>VLOOKUP(F2713,PAR!$R$3:$S$5,2,FALSE)</f>
        <v>3 - egyik sem</v>
      </c>
      <c r="O2713" t="str">
        <f>IFERROR(VLOOKUP(J2713,PAR!$O$3:$P$5,2,FALSE),"nincs feladat")</f>
        <v>nincs feladat</v>
      </c>
      <c r="P2713" t="str">
        <f>IFERROR(VLOOKUP(G2713,PAR!$J$2:$M$19,4),"nincs rovat")</f>
        <v>nincs rovat</v>
      </c>
      <c r="Q2713" t="str">
        <f>IF(H2713&gt;0,VLOOKUP(H2713,PAR!$AA$3:$AC$187,3,FALSE),"nincs főkönyvi számla")</f>
        <v>nincs főkönyvi számla</v>
      </c>
      <c r="R2713" t="str">
        <f>IFERROR(VLOOKUP(K2713,PAR!$V$3:$X$438,3,FALSE),"000000 - Nincs COFOG")</f>
        <v>000000 - Nincs COFOG</v>
      </c>
      <c r="S2713">
        <f t="shared" si="810"/>
        <v>0</v>
      </c>
      <c r="T2713">
        <f t="shared" si="811"/>
        <v>0</v>
      </c>
      <c r="U2713" t="str">
        <f>IF('906MP'!J2413&gt;0,CONCATENATE('906MP'!J2413," - ",'906MP'!P2413,", ",'906MP'!E2413),"nincs megjegyzés")</f>
        <v>nincs megjegyzés</v>
      </c>
      <c r="V2713" t="str">
        <f t="shared" si="798"/>
        <v>0P0</v>
      </c>
      <c r="W2713" t="str">
        <f t="shared" si="799"/>
        <v>0P0</v>
      </c>
      <c r="X2713" t="str">
        <f t="shared" si="800"/>
        <v>P0</v>
      </c>
      <c r="Y2713" t="str">
        <f t="shared" si="801"/>
        <v>00</v>
      </c>
      <c r="Z2713" t="str">
        <f t="shared" si="812"/>
        <v>00</v>
      </c>
      <c r="AA2713" t="str">
        <f t="shared" si="802"/>
        <v>00</v>
      </c>
      <c r="AB2713" t="str">
        <f t="shared" si="803"/>
        <v>00</v>
      </c>
      <c r="AC2713" t="str">
        <f t="shared" si="804"/>
        <v>0P0</v>
      </c>
      <c r="AD2713" t="str">
        <f t="shared" si="805"/>
        <v>P00</v>
      </c>
      <c r="AE2713" t="str">
        <f t="shared" si="806"/>
        <v>0P0</v>
      </c>
      <c r="AF2713" t="str">
        <f t="shared" si="807"/>
        <v>P00</v>
      </c>
      <c r="AG2713" t="str">
        <f t="shared" si="813"/>
        <v>0P00</v>
      </c>
      <c r="AH2713" t="str">
        <f t="shared" si="814"/>
        <v>P000</v>
      </c>
      <c r="AI2713" t="str">
        <f t="shared" si="815"/>
        <v>0P00</v>
      </c>
      <c r="AJ2713" t="str">
        <f t="shared" si="816"/>
        <v>P000</v>
      </c>
    </row>
    <row r="2714" spans="1:36" x14ac:dyDescent="0.25">
      <c r="A2714" s="325" t="str">
        <f>CONCATENATE("P",'906MP'!M2414)</f>
        <v>P</v>
      </c>
      <c r="B2714">
        <f>'906MP'!H2414</f>
        <v>0</v>
      </c>
      <c r="C2714">
        <f>'906MP'!J2414</f>
        <v>0</v>
      </c>
      <c r="D2714">
        <f>'906MP'!P2414</f>
        <v>0</v>
      </c>
      <c r="E2714">
        <f>'906MP'!X2414</f>
        <v>0</v>
      </c>
      <c r="F2714" t="str">
        <f t="shared" si="808"/>
        <v>0</v>
      </c>
      <c r="G2714" t="str">
        <f t="shared" si="809"/>
        <v>0</v>
      </c>
      <c r="H2714">
        <f>'906MP'!Y2414</f>
        <v>0</v>
      </c>
      <c r="I2714">
        <f>'906MP'!AK2414</f>
        <v>0</v>
      </c>
      <c r="J2714">
        <f>'906MP'!T2414</f>
        <v>0</v>
      </c>
      <c r="K2714">
        <f>'906MP'!AJ2414</f>
        <v>0</v>
      </c>
      <c r="L2714">
        <f>'906MP'!U2414</f>
        <v>0</v>
      </c>
      <c r="M2714" s="322" t="str">
        <f>IFERROR(VLOOKUP(A2714,PAR!$D$3:$E$53,2,FALSE),"nincs szervezet")</f>
        <v>nincs szervezet</v>
      </c>
      <c r="N2714" s="322" t="str">
        <f>VLOOKUP(F2714,PAR!$R$3:$S$5,2,FALSE)</f>
        <v>3 - egyik sem</v>
      </c>
      <c r="O2714" t="str">
        <f>IFERROR(VLOOKUP(J2714,PAR!$O$3:$P$5,2,FALSE),"nincs feladat")</f>
        <v>nincs feladat</v>
      </c>
      <c r="P2714" t="str">
        <f>IFERROR(VLOOKUP(G2714,PAR!$J$2:$M$19,4),"nincs rovat")</f>
        <v>nincs rovat</v>
      </c>
      <c r="Q2714" t="str">
        <f>IF(H2714&gt;0,VLOOKUP(H2714,PAR!$AA$3:$AC$187,3,FALSE),"nincs főkönyvi számla")</f>
        <v>nincs főkönyvi számla</v>
      </c>
      <c r="R2714" t="str">
        <f>IFERROR(VLOOKUP(K2714,PAR!$V$3:$X$438,3,FALSE),"000000 - Nincs COFOG")</f>
        <v>000000 - Nincs COFOG</v>
      </c>
      <c r="S2714">
        <f t="shared" si="810"/>
        <v>0</v>
      </c>
      <c r="T2714">
        <f t="shared" si="811"/>
        <v>0</v>
      </c>
      <c r="U2714" t="str">
        <f>IF('906MP'!J2414&gt;0,CONCATENATE('906MP'!J2414," - ",'906MP'!P2414,", ",'906MP'!E2414),"nincs megjegyzés")</f>
        <v>nincs megjegyzés</v>
      </c>
      <c r="V2714" t="str">
        <f t="shared" si="798"/>
        <v>0P0</v>
      </c>
      <c r="W2714" t="str">
        <f t="shared" si="799"/>
        <v>0P0</v>
      </c>
      <c r="X2714" t="str">
        <f t="shared" si="800"/>
        <v>P0</v>
      </c>
      <c r="Y2714" t="str">
        <f t="shared" si="801"/>
        <v>00</v>
      </c>
      <c r="Z2714" t="str">
        <f t="shared" si="812"/>
        <v>00</v>
      </c>
      <c r="AA2714" t="str">
        <f t="shared" si="802"/>
        <v>00</v>
      </c>
      <c r="AB2714" t="str">
        <f t="shared" si="803"/>
        <v>00</v>
      </c>
      <c r="AC2714" t="str">
        <f t="shared" si="804"/>
        <v>0P0</v>
      </c>
      <c r="AD2714" t="str">
        <f t="shared" si="805"/>
        <v>P00</v>
      </c>
      <c r="AE2714" t="str">
        <f t="shared" si="806"/>
        <v>0P0</v>
      </c>
      <c r="AF2714" t="str">
        <f t="shared" si="807"/>
        <v>P00</v>
      </c>
      <c r="AG2714" t="str">
        <f t="shared" si="813"/>
        <v>0P00</v>
      </c>
      <c r="AH2714" t="str">
        <f t="shared" si="814"/>
        <v>P000</v>
      </c>
      <c r="AI2714" t="str">
        <f t="shared" si="815"/>
        <v>0P00</v>
      </c>
      <c r="AJ2714" t="str">
        <f t="shared" si="816"/>
        <v>P000</v>
      </c>
    </row>
    <row r="2715" spans="1:36" x14ac:dyDescent="0.25">
      <c r="A2715" s="325" t="str">
        <f>CONCATENATE("P",'906MP'!M2415)</f>
        <v>P</v>
      </c>
      <c r="B2715">
        <f>'906MP'!H2415</f>
        <v>0</v>
      </c>
      <c r="C2715">
        <f>'906MP'!J2415</f>
        <v>0</v>
      </c>
      <c r="D2715">
        <f>'906MP'!P2415</f>
        <v>0</v>
      </c>
      <c r="E2715">
        <f>'906MP'!X2415</f>
        <v>0</v>
      </c>
      <c r="F2715" t="str">
        <f t="shared" si="808"/>
        <v>0</v>
      </c>
      <c r="G2715" t="str">
        <f t="shared" si="809"/>
        <v>0</v>
      </c>
      <c r="H2715">
        <f>'906MP'!Y2415</f>
        <v>0</v>
      </c>
      <c r="I2715">
        <f>'906MP'!AK2415</f>
        <v>0</v>
      </c>
      <c r="J2715">
        <f>'906MP'!T2415</f>
        <v>0</v>
      </c>
      <c r="K2715">
        <f>'906MP'!AJ2415</f>
        <v>0</v>
      </c>
      <c r="L2715">
        <f>'906MP'!U2415</f>
        <v>0</v>
      </c>
      <c r="M2715" s="322" t="str">
        <f>IFERROR(VLOOKUP(A2715,PAR!$D$3:$E$53,2,FALSE),"nincs szervezet")</f>
        <v>nincs szervezet</v>
      </c>
      <c r="N2715" s="322" t="str">
        <f>VLOOKUP(F2715,PAR!$R$3:$S$5,2,FALSE)</f>
        <v>3 - egyik sem</v>
      </c>
      <c r="O2715" t="str">
        <f>IFERROR(VLOOKUP(J2715,PAR!$O$3:$P$5,2,FALSE),"nincs feladat")</f>
        <v>nincs feladat</v>
      </c>
      <c r="P2715" t="str">
        <f>IFERROR(VLOOKUP(G2715,PAR!$J$2:$M$19,4),"nincs rovat")</f>
        <v>nincs rovat</v>
      </c>
      <c r="Q2715" t="str">
        <f>IF(H2715&gt;0,VLOOKUP(H2715,PAR!$AA$3:$AC$187,3,FALSE),"nincs főkönyvi számla")</f>
        <v>nincs főkönyvi számla</v>
      </c>
      <c r="R2715" t="str">
        <f>IFERROR(VLOOKUP(K2715,PAR!$V$3:$X$438,3,FALSE),"000000 - Nincs COFOG")</f>
        <v>000000 - Nincs COFOG</v>
      </c>
      <c r="S2715">
        <f t="shared" si="810"/>
        <v>0</v>
      </c>
      <c r="T2715">
        <f t="shared" si="811"/>
        <v>0</v>
      </c>
      <c r="U2715" t="str">
        <f>IF('906MP'!J2415&gt;0,CONCATENATE('906MP'!J2415," - ",'906MP'!P2415,", ",'906MP'!E2415),"nincs megjegyzés")</f>
        <v>nincs megjegyzés</v>
      </c>
      <c r="V2715" t="str">
        <f t="shared" si="798"/>
        <v>0P0</v>
      </c>
      <c r="W2715" t="str">
        <f t="shared" si="799"/>
        <v>0P0</v>
      </c>
      <c r="X2715" t="str">
        <f t="shared" si="800"/>
        <v>P0</v>
      </c>
      <c r="Y2715" t="str">
        <f t="shared" si="801"/>
        <v>00</v>
      </c>
      <c r="Z2715" t="str">
        <f t="shared" si="812"/>
        <v>00</v>
      </c>
      <c r="AA2715" t="str">
        <f t="shared" si="802"/>
        <v>00</v>
      </c>
      <c r="AB2715" t="str">
        <f t="shared" si="803"/>
        <v>00</v>
      </c>
      <c r="AC2715" t="str">
        <f t="shared" si="804"/>
        <v>0P0</v>
      </c>
      <c r="AD2715" t="str">
        <f t="shared" si="805"/>
        <v>P00</v>
      </c>
      <c r="AE2715" t="str">
        <f t="shared" si="806"/>
        <v>0P0</v>
      </c>
      <c r="AF2715" t="str">
        <f t="shared" si="807"/>
        <v>P00</v>
      </c>
      <c r="AG2715" t="str">
        <f t="shared" si="813"/>
        <v>0P00</v>
      </c>
      <c r="AH2715" t="str">
        <f t="shared" si="814"/>
        <v>P000</v>
      </c>
      <c r="AI2715" t="str">
        <f t="shared" si="815"/>
        <v>0P00</v>
      </c>
      <c r="AJ2715" t="str">
        <f t="shared" si="816"/>
        <v>P000</v>
      </c>
    </row>
    <row r="2716" spans="1:36" x14ac:dyDescent="0.25">
      <c r="A2716" s="325" t="str">
        <f>CONCATENATE("P",'906MP'!M2416)</f>
        <v>P</v>
      </c>
      <c r="B2716">
        <f>'906MP'!H2416</f>
        <v>0</v>
      </c>
      <c r="C2716">
        <f>'906MP'!J2416</f>
        <v>0</v>
      </c>
      <c r="D2716">
        <f>'906MP'!P2416</f>
        <v>0</v>
      </c>
      <c r="E2716">
        <f>'906MP'!X2416</f>
        <v>0</v>
      </c>
      <c r="F2716" t="str">
        <f t="shared" si="808"/>
        <v>0</v>
      </c>
      <c r="G2716" t="str">
        <f t="shared" si="809"/>
        <v>0</v>
      </c>
      <c r="H2716">
        <f>'906MP'!Y2416</f>
        <v>0</v>
      </c>
      <c r="I2716">
        <f>'906MP'!AK2416</f>
        <v>0</v>
      </c>
      <c r="J2716">
        <f>'906MP'!T2416</f>
        <v>0</v>
      </c>
      <c r="K2716">
        <f>'906MP'!AJ2416</f>
        <v>0</v>
      </c>
      <c r="L2716">
        <f>'906MP'!U2416</f>
        <v>0</v>
      </c>
      <c r="M2716" s="322" t="str">
        <f>IFERROR(VLOOKUP(A2716,PAR!$D$3:$E$53,2,FALSE),"nincs szervezet")</f>
        <v>nincs szervezet</v>
      </c>
      <c r="N2716" s="322" t="str">
        <f>VLOOKUP(F2716,PAR!$R$3:$S$5,2,FALSE)</f>
        <v>3 - egyik sem</v>
      </c>
      <c r="O2716" t="str">
        <f>IFERROR(VLOOKUP(J2716,PAR!$O$3:$P$5,2,FALSE),"nincs feladat")</f>
        <v>nincs feladat</v>
      </c>
      <c r="P2716" t="str">
        <f>IFERROR(VLOOKUP(G2716,PAR!$J$2:$M$19,4),"nincs rovat")</f>
        <v>nincs rovat</v>
      </c>
      <c r="Q2716" t="str">
        <f>IF(H2716&gt;0,VLOOKUP(H2716,PAR!$AA$3:$AC$187,3,FALSE),"nincs főkönyvi számla")</f>
        <v>nincs főkönyvi számla</v>
      </c>
      <c r="R2716" t="str">
        <f>IFERROR(VLOOKUP(K2716,PAR!$V$3:$X$438,3,FALSE),"000000 - Nincs COFOG")</f>
        <v>000000 - Nincs COFOG</v>
      </c>
      <c r="S2716">
        <f t="shared" si="810"/>
        <v>0</v>
      </c>
      <c r="T2716">
        <f t="shared" si="811"/>
        <v>0</v>
      </c>
      <c r="U2716" t="str">
        <f>IF('906MP'!J2416&gt;0,CONCATENATE('906MP'!J2416," - ",'906MP'!P2416,", ",'906MP'!E2416),"nincs megjegyzés")</f>
        <v>nincs megjegyzés</v>
      </c>
      <c r="V2716" t="str">
        <f t="shared" si="798"/>
        <v>0P0</v>
      </c>
      <c r="W2716" t="str">
        <f t="shared" si="799"/>
        <v>0P0</v>
      </c>
      <c r="X2716" t="str">
        <f t="shared" si="800"/>
        <v>P0</v>
      </c>
      <c r="Y2716" t="str">
        <f t="shared" si="801"/>
        <v>00</v>
      </c>
      <c r="Z2716" t="str">
        <f t="shared" si="812"/>
        <v>00</v>
      </c>
      <c r="AA2716" t="str">
        <f t="shared" si="802"/>
        <v>00</v>
      </c>
      <c r="AB2716" t="str">
        <f t="shared" si="803"/>
        <v>00</v>
      </c>
      <c r="AC2716" t="str">
        <f t="shared" si="804"/>
        <v>0P0</v>
      </c>
      <c r="AD2716" t="str">
        <f t="shared" si="805"/>
        <v>P00</v>
      </c>
      <c r="AE2716" t="str">
        <f t="shared" si="806"/>
        <v>0P0</v>
      </c>
      <c r="AF2716" t="str">
        <f t="shared" si="807"/>
        <v>P00</v>
      </c>
      <c r="AG2716" t="str">
        <f t="shared" si="813"/>
        <v>0P00</v>
      </c>
      <c r="AH2716" t="str">
        <f t="shared" si="814"/>
        <v>P000</v>
      </c>
      <c r="AI2716" t="str">
        <f t="shared" si="815"/>
        <v>0P00</v>
      </c>
      <c r="AJ2716" t="str">
        <f t="shared" si="816"/>
        <v>P000</v>
      </c>
    </row>
    <row r="2717" spans="1:36" x14ac:dyDescent="0.25">
      <c r="A2717" s="325" t="str">
        <f>CONCATENATE("P",'906MP'!M2417)</f>
        <v>P</v>
      </c>
      <c r="B2717">
        <f>'906MP'!H2417</f>
        <v>0</v>
      </c>
      <c r="C2717">
        <f>'906MP'!J2417</f>
        <v>0</v>
      </c>
      <c r="D2717">
        <f>'906MP'!P2417</f>
        <v>0</v>
      </c>
      <c r="E2717">
        <f>'906MP'!X2417</f>
        <v>0</v>
      </c>
      <c r="F2717" t="str">
        <f t="shared" si="808"/>
        <v>0</v>
      </c>
      <c r="G2717" t="str">
        <f t="shared" si="809"/>
        <v>0</v>
      </c>
      <c r="H2717">
        <f>'906MP'!Y2417</f>
        <v>0</v>
      </c>
      <c r="I2717">
        <f>'906MP'!AK2417</f>
        <v>0</v>
      </c>
      <c r="J2717">
        <f>'906MP'!T2417</f>
        <v>0</v>
      </c>
      <c r="K2717">
        <f>'906MP'!AJ2417</f>
        <v>0</v>
      </c>
      <c r="L2717">
        <f>'906MP'!U2417</f>
        <v>0</v>
      </c>
      <c r="M2717" s="322" t="str">
        <f>IFERROR(VLOOKUP(A2717,PAR!$D$3:$E$53,2,FALSE),"nincs szervezet")</f>
        <v>nincs szervezet</v>
      </c>
      <c r="N2717" s="322" t="str">
        <f>VLOOKUP(F2717,PAR!$R$3:$S$5,2,FALSE)</f>
        <v>3 - egyik sem</v>
      </c>
      <c r="O2717" t="str">
        <f>IFERROR(VLOOKUP(J2717,PAR!$O$3:$P$5,2,FALSE),"nincs feladat")</f>
        <v>nincs feladat</v>
      </c>
      <c r="P2717" t="str">
        <f>IFERROR(VLOOKUP(G2717,PAR!$J$2:$M$19,4),"nincs rovat")</f>
        <v>nincs rovat</v>
      </c>
      <c r="Q2717" t="str">
        <f>IF(H2717&gt;0,VLOOKUP(H2717,PAR!$AA$3:$AC$187,3,FALSE),"nincs főkönyvi számla")</f>
        <v>nincs főkönyvi számla</v>
      </c>
      <c r="R2717" t="str">
        <f>IFERROR(VLOOKUP(K2717,PAR!$V$3:$X$438,3,FALSE),"000000 - Nincs COFOG")</f>
        <v>000000 - Nincs COFOG</v>
      </c>
      <c r="S2717">
        <f t="shared" si="810"/>
        <v>0</v>
      </c>
      <c r="T2717">
        <f t="shared" si="811"/>
        <v>0</v>
      </c>
      <c r="U2717" t="str">
        <f>IF('906MP'!J2417&gt;0,CONCATENATE('906MP'!J2417," - ",'906MP'!P2417,", ",'906MP'!E2417),"nincs megjegyzés")</f>
        <v>nincs megjegyzés</v>
      </c>
      <c r="V2717" t="str">
        <f t="shared" si="798"/>
        <v>0P0</v>
      </c>
      <c r="W2717" t="str">
        <f t="shared" si="799"/>
        <v>0P0</v>
      </c>
      <c r="X2717" t="str">
        <f t="shared" si="800"/>
        <v>P0</v>
      </c>
      <c r="Y2717" t="str">
        <f t="shared" si="801"/>
        <v>00</v>
      </c>
      <c r="Z2717" t="str">
        <f t="shared" si="812"/>
        <v>00</v>
      </c>
      <c r="AA2717" t="str">
        <f t="shared" si="802"/>
        <v>00</v>
      </c>
      <c r="AB2717" t="str">
        <f t="shared" si="803"/>
        <v>00</v>
      </c>
      <c r="AC2717" t="str">
        <f t="shared" si="804"/>
        <v>0P0</v>
      </c>
      <c r="AD2717" t="str">
        <f t="shared" si="805"/>
        <v>P00</v>
      </c>
      <c r="AE2717" t="str">
        <f t="shared" si="806"/>
        <v>0P0</v>
      </c>
      <c r="AF2717" t="str">
        <f t="shared" si="807"/>
        <v>P00</v>
      </c>
      <c r="AG2717" t="str">
        <f t="shared" si="813"/>
        <v>0P00</v>
      </c>
      <c r="AH2717" t="str">
        <f t="shared" si="814"/>
        <v>P000</v>
      </c>
      <c r="AI2717" t="str">
        <f t="shared" si="815"/>
        <v>0P00</v>
      </c>
      <c r="AJ2717" t="str">
        <f t="shared" si="816"/>
        <v>P000</v>
      </c>
    </row>
    <row r="2718" spans="1:36" x14ac:dyDescent="0.25">
      <c r="A2718" s="325" t="str">
        <f>CONCATENATE("P",'906MP'!M2418)</f>
        <v>P</v>
      </c>
      <c r="B2718">
        <f>'906MP'!H2418</f>
        <v>0</v>
      </c>
      <c r="C2718">
        <f>'906MP'!J2418</f>
        <v>0</v>
      </c>
      <c r="D2718">
        <f>'906MP'!P2418</f>
        <v>0</v>
      </c>
      <c r="E2718">
        <f>'906MP'!X2418</f>
        <v>0</v>
      </c>
      <c r="F2718" t="str">
        <f t="shared" si="808"/>
        <v>0</v>
      </c>
      <c r="G2718" t="str">
        <f t="shared" si="809"/>
        <v>0</v>
      </c>
      <c r="H2718">
        <f>'906MP'!Y2418</f>
        <v>0</v>
      </c>
      <c r="I2718">
        <f>'906MP'!AK2418</f>
        <v>0</v>
      </c>
      <c r="J2718">
        <f>'906MP'!T2418</f>
        <v>0</v>
      </c>
      <c r="K2718">
        <f>'906MP'!AJ2418</f>
        <v>0</v>
      </c>
      <c r="L2718">
        <f>'906MP'!U2418</f>
        <v>0</v>
      </c>
      <c r="M2718" s="322" t="str">
        <f>IFERROR(VLOOKUP(A2718,PAR!$D$3:$E$53,2,FALSE),"nincs szervezet")</f>
        <v>nincs szervezet</v>
      </c>
      <c r="N2718" s="322" t="str">
        <f>VLOOKUP(F2718,PAR!$R$3:$S$5,2,FALSE)</f>
        <v>3 - egyik sem</v>
      </c>
      <c r="O2718" t="str">
        <f>IFERROR(VLOOKUP(J2718,PAR!$O$3:$P$5,2,FALSE),"nincs feladat")</f>
        <v>nincs feladat</v>
      </c>
      <c r="P2718" t="str">
        <f>IFERROR(VLOOKUP(G2718,PAR!$J$2:$M$19,4),"nincs rovat")</f>
        <v>nincs rovat</v>
      </c>
      <c r="Q2718" t="str">
        <f>IF(H2718&gt;0,VLOOKUP(H2718,PAR!$AA$3:$AC$187,3,FALSE),"nincs főkönyvi számla")</f>
        <v>nincs főkönyvi számla</v>
      </c>
      <c r="R2718" t="str">
        <f>IFERROR(VLOOKUP(K2718,PAR!$V$3:$X$438,3,FALSE),"000000 - Nincs COFOG")</f>
        <v>000000 - Nincs COFOG</v>
      </c>
      <c r="S2718">
        <f t="shared" si="810"/>
        <v>0</v>
      </c>
      <c r="T2718">
        <f t="shared" si="811"/>
        <v>0</v>
      </c>
      <c r="U2718" t="str">
        <f>IF('906MP'!J2418&gt;0,CONCATENATE('906MP'!J2418," - ",'906MP'!P2418,", ",'906MP'!E2418),"nincs megjegyzés")</f>
        <v>nincs megjegyzés</v>
      </c>
      <c r="V2718" t="str">
        <f t="shared" si="798"/>
        <v>0P0</v>
      </c>
      <c r="W2718" t="str">
        <f t="shared" si="799"/>
        <v>0P0</v>
      </c>
      <c r="X2718" t="str">
        <f t="shared" si="800"/>
        <v>P0</v>
      </c>
      <c r="Y2718" t="str">
        <f t="shared" si="801"/>
        <v>00</v>
      </c>
      <c r="Z2718" t="str">
        <f t="shared" si="812"/>
        <v>00</v>
      </c>
      <c r="AA2718" t="str">
        <f t="shared" si="802"/>
        <v>00</v>
      </c>
      <c r="AB2718" t="str">
        <f t="shared" si="803"/>
        <v>00</v>
      </c>
      <c r="AC2718" t="str">
        <f t="shared" si="804"/>
        <v>0P0</v>
      </c>
      <c r="AD2718" t="str">
        <f t="shared" si="805"/>
        <v>P00</v>
      </c>
      <c r="AE2718" t="str">
        <f t="shared" si="806"/>
        <v>0P0</v>
      </c>
      <c r="AF2718" t="str">
        <f t="shared" si="807"/>
        <v>P00</v>
      </c>
      <c r="AG2718" t="str">
        <f t="shared" si="813"/>
        <v>0P00</v>
      </c>
      <c r="AH2718" t="str">
        <f t="shared" si="814"/>
        <v>P000</v>
      </c>
      <c r="AI2718" t="str">
        <f t="shared" si="815"/>
        <v>0P00</v>
      </c>
      <c r="AJ2718" t="str">
        <f t="shared" si="816"/>
        <v>P000</v>
      </c>
    </row>
    <row r="2719" spans="1:36" x14ac:dyDescent="0.25">
      <c r="A2719" s="325" t="str">
        <f>CONCATENATE("P",'906MP'!M2419)</f>
        <v>P</v>
      </c>
      <c r="B2719">
        <f>'906MP'!H2419</f>
        <v>0</v>
      </c>
      <c r="C2719">
        <f>'906MP'!J2419</f>
        <v>0</v>
      </c>
      <c r="D2719">
        <f>'906MP'!P2419</f>
        <v>0</v>
      </c>
      <c r="E2719">
        <f>'906MP'!X2419</f>
        <v>0</v>
      </c>
      <c r="F2719" t="str">
        <f t="shared" si="808"/>
        <v>0</v>
      </c>
      <c r="G2719" t="str">
        <f t="shared" si="809"/>
        <v>0</v>
      </c>
      <c r="H2719">
        <f>'906MP'!Y2419</f>
        <v>0</v>
      </c>
      <c r="I2719">
        <f>'906MP'!AK2419</f>
        <v>0</v>
      </c>
      <c r="J2719">
        <f>'906MP'!T2419</f>
        <v>0</v>
      </c>
      <c r="K2719">
        <f>'906MP'!AJ2419</f>
        <v>0</v>
      </c>
      <c r="L2719">
        <f>'906MP'!U2419</f>
        <v>0</v>
      </c>
      <c r="M2719" s="322" t="str">
        <f>IFERROR(VLOOKUP(A2719,PAR!$D$3:$E$53,2,FALSE),"nincs szervezet")</f>
        <v>nincs szervezet</v>
      </c>
      <c r="N2719" s="322" t="str">
        <f>VLOOKUP(F2719,PAR!$R$3:$S$5,2,FALSE)</f>
        <v>3 - egyik sem</v>
      </c>
      <c r="O2719" t="str">
        <f>IFERROR(VLOOKUP(J2719,PAR!$O$3:$P$5,2,FALSE),"nincs feladat")</f>
        <v>nincs feladat</v>
      </c>
      <c r="P2719" t="str">
        <f>IFERROR(VLOOKUP(G2719,PAR!$J$2:$M$19,4),"nincs rovat")</f>
        <v>nincs rovat</v>
      </c>
      <c r="Q2719" t="str">
        <f>IF(H2719&gt;0,VLOOKUP(H2719,PAR!$AA$3:$AC$187,3,FALSE),"nincs főkönyvi számla")</f>
        <v>nincs főkönyvi számla</v>
      </c>
      <c r="R2719" t="str">
        <f>IFERROR(VLOOKUP(K2719,PAR!$V$3:$X$438,3,FALSE),"000000 - Nincs COFOG")</f>
        <v>000000 - Nincs COFOG</v>
      </c>
      <c r="S2719">
        <f t="shared" si="810"/>
        <v>0</v>
      </c>
      <c r="T2719">
        <f t="shared" si="811"/>
        <v>0</v>
      </c>
      <c r="U2719" t="str">
        <f>IF('906MP'!J2419&gt;0,CONCATENATE('906MP'!J2419," - ",'906MP'!P2419,", ",'906MP'!E2419),"nincs megjegyzés")</f>
        <v>nincs megjegyzés</v>
      </c>
      <c r="V2719" t="str">
        <f t="shared" si="798"/>
        <v>0P0</v>
      </c>
      <c r="W2719" t="str">
        <f t="shared" si="799"/>
        <v>0P0</v>
      </c>
      <c r="X2719" t="str">
        <f t="shared" si="800"/>
        <v>P0</v>
      </c>
      <c r="Y2719" t="str">
        <f t="shared" si="801"/>
        <v>00</v>
      </c>
      <c r="Z2719" t="str">
        <f t="shared" si="812"/>
        <v>00</v>
      </c>
      <c r="AA2719" t="str">
        <f t="shared" si="802"/>
        <v>00</v>
      </c>
      <c r="AB2719" t="str">
        <f t="shared" si="803"/>
        <v>00</v>
      </c>
      <c r="AC2719" t="str">
        <f t="shared" si="804"/>
        <v>0P0</v>
      </c>
      <c r="AD2719" t="str">
        <f t="shared" si="805"/>
        <v>P00</v>
      </c>
      <c r="AE2719" t="str">
        <f t="shared" si="806"/>
        <v>0P0</v>
      </c>
      <c r="AF2719" t="str">
        <f t="shared" si="807"/>
        <v>P00</v>
      </c>
      <c r="AG2719" t="str">
        <f t="shared" si="813"/>
        <v>0P00</v>
      </c>
      <c r="AH2719" t="str">
        <f t="shared" si="814"/>
        <v>P000</v>
      </c>
      <c r="AI2719" t="str">
        <f t="shared" si="815"/>
        <v>0P00</v>
      </c>
      <c r="AJ2719" t="str">
        <f t="shared" si="816"/>
        <v>P000</v>
      </c>
    </row>
    <row r="2720" spans="1:36" x14ac:dyDescent="0.25">
      <c r="A2720" s="325" t="str">
        <f>CONCATENATE("P",'906MP'!M2420)</f>
        <v>P</v>
      </c>
      <c r="B2720">
        <f>'906MP'!H2420</f>
        <v>0</v>
      </c>
      <c r="C2720">
        <f>'906MP'!J2420</f>
        <v>0</v>
      </c>
      <c r="D2720">
        <f>'906MP'!P2420</f>
        <v>0</v>
      </c>
      <c r="E2720">
        <f>'906MP'!X2420</f>
        <v>0</v>
      </c>
      <c r="F2720" t="str">
        <f t="shared" si="808"/>
        <v>0</v>
      </c>
      <c r="G2720" t="str">
        <f t="shared" si="809"/>
        <v>0</v>
      </c>
      <c r="H2720">
        <f>'906MP'!Y2420</f>
        <v>0</v>
      </c>
      <c r="I2720">
        <f>'906MP'!AK2420</f>
        <v>0</v>
      </c>
      <c r="J2720">
        <f>'906MP'!T2420</f>
        <v>0</v>
      </c>
      <c r="K2720">
        <f>'906MP'!AJ2420</f>
        <v>0</v>
      </c>
      <c r="L2720">
        <f>'906MP'!U2420</f>
        <v>0</v>
      </c>
      <c r="M2720" s="322" t="str">
        <f>IFERROR(VLOOKUP(A2720,PAR!$D$3:$E$53,2,FALSE),"nincs szervezet")</f>
        <v>nincs szervezet</v>
      </c>
      <c r="N2720" s="322" t="str">
        <f>VLOOKUP(F2720,PAR!$R$3:$S$5,2,FALSE)</f>
        <v>3 - egyik sem</v>
      </c>
      <c r="O2720" t="str">
        <f>IFERROR(VLOOKUP(J2720,PAR!$O$3:$P$5,2,FALSE),"nincs feladat")</f>
        <v>nincs feladat</v>
      </c>
      <c r="P2720" t="str">
        <f>IFERROR(VLOOKUP(G2720,PAR!$J$2:$M$19,4),"nincs rovat")</f>
        <v>nincs rovat</v>
      </c>
      <c r="Q2720" t="str">
        <f>IF(H2720&gt;0,VLOOKUP(H2720,PAR!$AA$3:$AC$187,3,FALSE),"nincs főkönyvi számla")</f>
        <v>nincs főkönyvi számla</v>
      </c>
      <c r="R2720" t="str">
        <f>IFERROR(VLOOKUP(K2720,PAR!$V$3:$X$438,3,FALSE),"000000 - Nincs COFOG")</f>
        <v>000000 - Nincs COFOG</v>
      </c>
      <c r="S2720">
        <f t="shared" si="810"/>
        <v>0</v>
      </c>
      <c r="T2720">
        <f t="shared" si="811"/>
        <v>0</v>
      </c>
      <c r="U2720" t="str">
        <f>IF('906MP'!J2420&gt;0,CONCATENATE('906MP'!J2420," - ",'906MP'!P2420,", ",'906MP'!E2420),"nincs megjegyzés")</f>
        <v>nincs megjegyzés</v>
      </c>
      <c r="V2720" t="str">
        <f t="shared" si="798"/>
        <v>0P0</v>
      </c>
      <c r="W2720" t="str">
        <f t="shared" si="799"/>
        <v>0P0</v>
      </c>
      <c r="X2720" t="str">
        <f t="shared" si="800"/>
        <v>P0</v>
      </c>
      <c r="Y2720" t="str">
        <f t="shared" si="801"/>
        <v>00</v>
      </c>
      <c r="Z2720" t="str">
        <f t="shared" si="812"/>
        <v>00</v>
      </c>
      <c r="AA2720" t="str">
        <f t="shared" si="802"/>
        <v>00</v>
      </c>
      <c r="AB2720" t="str">
        <f t="shared" si="803"/>
        <v>00</v>
      </c>
      <c r="AC2720" t="str">
        <f t="shared" si="804"/>
        <v>0P0</v>
      </c>
      <c r="AD2720" t="str">
        <f t="shared" si="805"/>
        <v>P00</v>
      </c>
      <c r="AE2720" t="str">
        <f t="shared" si="806"/>
        <v>0P0</v>
      </c>
      <c r="AF2720" t="str">
        <f t="shared" si="807"/>
        <v>P00</v>
      </c>
      <c r="AG2720" t="str">
        <f t="shared" si="813"/>
        <v>0P00</v>
      </c>
      <c r="AH2720" t="str">
        <f t="shared" si="814"/>
        <v>P000</v>
      </c>
      <c r="AI2720" t="str">
        <f t="shared" si="815"/>
        <v>0P00</v>
      </c>
      <c r="AJ2720" t="str">
        <f t="shared" si="816"/>
        <v>P000</v>
      </c>
    </row>
    <row r="2721" spans="1:36" x14ac:dyDescent="0.25">
      <c r="A2721" s="325" t="str">
        <f>CONCATENATE("P",'906MP'!M2421)</f>
        <v>P</v>
      </c>
      <c r="B2721">
        <f>'906MP'!H2421</f>
        <v>0</v>
      </c>
      <c r="C2721">
        <f>'906MP'!J2421</f>
        <v>0</v>
      </c>
      <c r="D2721">
        <f>'906MP'!P2421</f>
        <v>0</v>
      </c>
      <c r="E2721">
        <f>'906MP'!X2421</f>
        <v>0</v>
      </c>
      <c r="F2721" t="str">
        <f t="shared" si="808"/>
        <v>0</v>
      </c>
      <c r="G2721" t="str">
        <f t="shared" si="809"/>
        <v>0</v>
      </c>
      <c r="H2721">
        <f>'906MP'!Y2421</f>
        <v>0</v>
      </c>
      <c r="I2721">
        <f>'906MP'!AK2421</f>
        <v>0</v>
      </c>
      <c r="J2721">
        <f>'906MP'!T2421</f>
        <v>0</v>
      </c>
      <c r="K2721">
        <f>'906MP'!AJ2421</f>
        <v>0</v>
      </c>
      <c r="L2721">
        <f>'906MP'!U2421</f>
        <v>0</v>
      </c>
      <c r="M2721" s="322" t="str">
        <f>IFERROR(VLOOKUP(A2721,PAR!$D$3:$E$53,2,FALSE),"nincs szervezet")</f>
        <v>nincs szervezet</v>
      </c>
      <c r="N2721" s="322" t="str">
        <f>VLOOKUP(F2721,PAR!$R$3:$S$5,2,FALSE)</f>
        <v>3 - egyik sem</v>
      </c>
      <c r="O2721" t="str">
        <f>IFERROR(VLOOKUP(J2721,PAR!$O$3:$P$5,2,FALSE),"nincs feladat")</f>
        <v>nincs feladat</v>
      </c>
      <c r="P2721" t="str">
        <f>IFERROR(VLOOKUP(G2721,PAR!$J$2:$M$19,4),"nincs rovat")</f>
        <v>nincs rovat</v>
      </c>
      <c r="Q2721" t="str">
        <f>IF(H2721&gt;0,VLOOKUP(H2721,PAR!$AA$3:$AC$187,3,FALSE),"nincs főkönyvi számla")</f>
        <v>nincs főkönyvi számla</v>
      </c>
      <c r="R2721" t="str">
        <f>IFERROR(VLOOKUP(K2721,PAR!$V$3:$X$438,3,FALSE),"000000 - Nincs COFOG")</f>
        <v>000000 - Nincs COFOG</v>
      </c>
      <c r="S2721">
        <f t="shared" si="810"/>
        <v>0</v>
      </c>
      <c r="T2721">
        <f t="shared" si="811"/>
        <v>0</v>
      </c>
      <c r="U2721" t="str">
        <f>IF('906MP'!J2421&gt;0,CONCATENATE('906MP'!J2421," - ",'906MP'!P2421,", ",'906MP'!E2421),"nincs megjegyzés")</f>
        <v>nincs megjegyzés</v>
      </c>
      <c r="V2721" t="str">
        <f t="shared" si="798"/>
        <v>0P0</v>
      </c>
      <c r="W2721" t="str">
        <f t="shared" si="799"/>
        <v>0P0</v>
      </c>
      <c r="X2721" t="str">
        <f t="shared" si="800"/>
        <v>P0</v>
      </c>
      <c r="Y2721" t="str">
        <f t="shared" si="801"/>
        <v>00</v>
      </c>
      <c r="Z2721" t="str">
        <f t="shared" si="812"/>
        <v>00</v>
      </c>
      <c r="AA2721" t="str">
        <f t="shared" si="802"/>
        <v>00</v>
      </c>
      <c r="AB2721" t="str">
        <f t="shared" si="803"/>
        <v>00</v>
      </c>
      <c r="AC2721" t="str">
        <f t="shared" si="804"/>
        <v>0P0</v>
      </c>
      <c r="AD2721" t="str">
        <f t="shared" si="805"/>
        <v>P00</v>
      </c>
      <c r="AE2721" t="str">
        <f t="shared" si="806"/>
        <v>0P0</v>
      </c>
      <c r="AF2721" t="str">
        <f t="shared" si="807"/>
        <v>P00</v>
      </c>
      <c r="AG2721" t="str">
        <f t="shared" si="813"/>
        <v>0P00</v>
      </c>
      <c r="AH2721" t="str">
        <f t="shared" si="814"/>
        <v>P000</v>
      </c>
      <c r="AI2721" t="str">
        <f t="shared" si="815"/>
        <v>0P00</v>
      </c>
      <c r="AJ2721" t="str">
        <f t="shared" si="816"/>
        <v>P000</v>
      </c>
    </row>
    <row r="2722" spans="1:36" x14ac:dyDescent="0.25">
      <c r="A2722" s="325" t="str">
        <f>CONCATENATE("P",'906MP'!M2422)</f>
        <v>P</v>
      </c>
      <c r="B2722">
        <f>'906MP'!H2422</f>
        <v>0</v>
      </c>
      <c r="C2722">
        <f>'906MP'!J2422</f>
        <v>0</v>
      </c>
      <c r="D2722">
        <f>'906MP'!P2422</f>
        <v>0</v>
      </c>
      <c r="E2722">
        <f>'906MP'!X2422</f>
        <v>0</v>
      </c>
      <c r="F2722" t="str">
        <f t="shared" si="808"/>
        <v>0</v>
      </c>
      <c r="G2722" t="str">
        <f t="shared" si="809"/>
        <v>0</v>
      </c>
      <c r="H2722">
        <f>'906MP'!Y2422</f>
        <v>0</v>
      </c>
      <c r="I2722">
        <f>'906MP'!AK2422</f>
        <v>0</v>
      </c>
      <c r="J2722">
        <f>'906MP'!T2422</f>
        <v>0</v>
      </c>
      <c r="K2722">
        <f>'906MP'!AJ2422</f>
        <v>0</v>
      </c>
      <c r="L2722">
        <f>'906MP'!U2422</f>
        <v>0</v>
      </c>
      <c r="M2722" s="322" t="str">
        <f>IFERROR(VLOOKUP(A2722,PAR!$D$3:$E$53,2,FALSE),"nincs szervezet")</f>
        <v>nincs szervezet</v>
      </c>
      <c r="N2722" s="322" t="str">
        <f>VLOOKUP(F2722,PAR!$R$3:$S$5,2,FALSE)</f>
        <v>3 - egyik sem</v>
      </c>
      <c r="O2722" t="str">
        <f>IFERROR(VLOOKUP(J2722,PAR!$O$3:$P$5,2,FALSE),"nincs feladat")</f>
        <v>nincs feladat</v>
      </c>
      <c r="P2722" t="str">
        <f>IFERROR(VLOOKUP(G2722,PAR!$J$2:$M$19,4),"nincs rovat")</f>
        <v>nincs rovat</v>
      </c>
      <c r="Q2722" t="str">
        <f>IF(H2722&gt;0,VLOOKUP(H2722,PAR!$AA$3:$AC$187,3,FALSE),"nincs főkönyvi számla")</f>
        <v>nincs főkönyvi számla</v>
      </c>
      <c r="R2722" t="str">
        <f>IFERROR(VLOOKUP(K2722,PAR!$V$3:$X$438,3,FALSE),"000000 - Nincs COFOG")</f>
        <v>000000 - Nincs COFOG</v>
      </c>
      <c r="S2722">
        <f t="shared" si="810"/>
        <v>0</v>
      </c>
      <c r="T2722">
        <f t="shared" si="811"/>
        <v>0</v>
      </c>
      <c r="U2722" t="str">
        <f>IF('906MP'!J2422&gt;0,CONCATENATE('906MP'!J2422," - ",'906MP'!P2422,", ",'906MP'!E2422),"nincs megjegyzés")</f>
        <v>nincs megjegyzés</v>
      </c>
      <c r="V2722" t="str">
        <f t="shared" si="798"/>
        <v>0P0</v>
      </c>
      <c r="W2722" t="str">
        <f t="shared" si="799"/>
        <v>0P0</v>
      </c>
      <c r="X2722" t="str">
        <f t="shared" si="800"/>
        <v>P0</v>
      </c>
      <c r="Y2722" t="str">
        <f t="shared" si="801"/>
        <v>00</v>
      </c>
      <c r="Z2722" t="str">
        <f t="shared" si="812"/>
        <v>00</v>
      </c>
      <c r="AA2722" t="str">
        <f t="shared" si="802"/>
        <v>00</v>
      </c>
      <c r="AB2722" t="str">
        <f t="shared" si="803"/>
        <v>00</v>
      </c>
      <c r="AC2722" t="str">
        <f t="shared" si="804"/>
        <v>0P0</v>
      </c>
      <c r="AD2722" t="str">
        <f t="shared" si="805"/>
        <v>P00</v>
      </c>
      <c r="AE2722" t="str">
        <f t="shared" si="806"/>
        <v>0P0</v>
      </c>
      <c r="AF2722" t="str">
        <f t="shared" si="807"/>
        <v>P00</v>
      </c>
      <c r="AG2722" t="str">
        <f t="shared" si="813"/>
        <v>0P00</v>
      </c>
      <c r="AH2722" t="str">
        <f t="shared" si="814"/>
        <v>P000</v>
      </c>
      <c r="AI2722" t="str">
        <f t="shared" si="815"/>
        <v>0P00</v>
      </c>
      <c r="AJ2722" t="str">
        <f t="shared" si="816"/>
        <v>P000</v>
      </c>
    </row>
    <row r="2723" spans="1:36" x14ac:dyDescent="0.25">
      <c r="A2723" s="325" t="str">
        <f>CONCATENATE("P",'906MP'!M2423)</f>
        <v>P</v>
      </c>
      <c r="B2723">
        <f>'906MP'!H2423</f>
        <v>0</v>
      </c>
      <c r="C2723">
        <f>'906MP'!J2423</f>
        <v>0</v>
      </c>
      <c r="D2723">
        <f>'906MP'!P2423</f>
        <v>0</v>
      </c>
      <c r="E2723">
        <f>'906MP'!X2423</f>
        <v>0</v>
      </c>
      <c r="F2723" t="str">
        <f t="shared" si="808"/>
        <v>0</v>
      </c>
      <c r="G2723" t="str">
        <f t="shared" si="809"/>
        <v>0</v>
      </c>
      <c r="H2723">
        <f>'906MP'!Y2423</f>
        <v>0</v>
      </c>
      <c r="I2723">
        <f>'906MP'!AK2423</f>
        <v>0</v>
      </c>
      <c r="J2723">
        <f>'906MP'!T2423</f>
        <v>0</v>
      </c>
      <c r="K2723">
        <f>'906MP'!AJ2423</f>
        <v>0</v>
      </c>
      <c r="L2723">
        <f>'906MP'!U2423</f>
        <v>0</v>
      </c>
      <c r="M2723" s="322" t="str">
        <f>IFERROR(VLOOKUP(A2723,PAR!$D$3:$E$53,2,FALSE),"nincs szervezet")</f>
        <v>nincs szervezet</v>
      </c>
      <c r="N2723" s="322" t="str">
        <f>VLOOKUP(F2723,PAR!$R$3:$S$5,2,FALSE)</f>
        <v>3 - egyik sem</v>
      </c>
      <c r="O2723" t="str">
        <f>IFERROR(VLOOKUP(J2723,PAR!$O$3:$P$5,2,FALSE),"nincs feladat")</f>
        <v>nincs feladat</v>
      </c>
      <c r="P2723" t="str">
        <f>IFERROR(VLOOKUP(G2723,PAR!$J$2:$M$19,4),"nincs rovat")</f>
        <v>nincs rovat</v>
      </c>
      <c r="Q2723" t="str">
        <f>IF(H2723&gt;0,VLOOKUP(H2723,PAR!$AA$3:$AC$187,3,FALSE),"nincs főkönyvi számla")</f>
        <v>nincs főkönyvi számla</v>
      </c>
      <c r="R2723" t="str">
        <f>IFERROR(VLOOKUP(K2723,PAR!$V$3:$X$438,3,FALSE),"000000 - Nincs COFOG")</f>
        <v>000000 - Nincs COFOG</v>
      </c>
      <c r="S2723">
        <f t="shared" si="810"/>
        <v>0</v>
      </c>
      <c r="T2723">
        <f t="shared" si="811"/>
        <v>0</v>
      </c>
      <c r="U2723" t="str">
        <f>IF('906MP'!J2423&gt;0,CONCATENATE('906MP'!J2423," - ",'906MP'!P2423,", ",'906MP'!E2423),"nincs megjegyzés")</f>
        <v>nincs megjegyzés</v>
      </c>
      <c r="V2723" t="str">
        <f t="shared" si="798"/>
        <v>0P0</v>
      </c>
      <c r="W2723" t="str">
        <f t="shared" si="799"/>
        <v>0P0</v>
      </c>
      <c r="X2723" t="str">
        <f t="shared" si="800"/>
        <v>P0</v>
      </c>
      <c r="Y2723" t="str">
        <f t="shared" si="801"/>
        <v>00</v>
      </c>
      <c r="Z2723" t="str">
        <f t="shared" si="812"/>
        <v>00</v>
      </c>
      <c r="AA2723" t="str">
        <f t="shared" si="802"/>
        <v>00</v>
      </c>
      <c r="AB2723" t="str">
        <f t="shared" si="803"/>
        <v>00</v>
      </c>
      <c r="AC2723" t="str">
        <f t="shared" si="804"/>
        <v>0P0</v>
      </c>
      <c r="AD2723" t="str">
        <f t="shared" si="805"/>
        <v>P00</v>
      </c>
      <c r="AE2723" t="str">
        <f t="shared" si="806"/>
        <v>0P0</v>
      </c>
      <c r="AF2723" t="str">
        <f t="shared" si="807"/>
        <v>P00</v>
      </c>
      <c r="AG2723" t="str">
        <f t="shared" si="813"/>
        <v>0P00</v>
      </c>
      <c r="AH2723" t="str">
        <f t="shared" si="814"/>
        <v>P000</v>
      </c>
      <c r="AI2723" t="str">
        <f t="shared" si="815"/>
        <v>0P00</v>
      </c>
      <c r="AJ2723" t="str">
        <f t="shared" si="816"/>
        <v>P000</v>
      </c>
    </row>
    <row r="2724" spans="1:36" x14ac:dyDescent="0.25">
      <c r="A2724" s="325" t="str">
        <f>CONCATENATE("P",'906MP'!M2424)</f>
        <v>P</v>
      </c>
      <c r="B2724">
        <f>'906MP'!H2424</f>
        <v>0</v>
      </c>
      <c r="C2724">
        <f>'906MP'!J2424</f>
        <v>0</v>
      </c>
      <c r="D2724">
        <f>'906MP'!P2424</f>
        <v>0</v>
      </c>
      <c r="E2724">
        <f>'906MP'!X2424</f>
        <v>0</v>
      </c>
      <c r="F2724" t="str">
        <f t="shared" si="808"/>
        <v>0</v>
      </c>
      <c r="G2724" t="str">
        <f t="shared" si="809"/>
        <v>0</v>
      </c>
      <c r="H2724">
        <f>'906MP'!Y2424</f>
        <v>0</v>
      </c>
      <c r="I2724">
        <f>'906MP'!AK2424</f>
        <v>0</v>
      </c>
      <c r="J2724">
        <f>'906MP'!T2424</f>
        <v>0</v>
      </c>
      <c r="K2724">
        <f>'906MP'!AJ2424</f>
        <v>0</v>
      </c>
      <c r="L2724">
        <f>'906MP'!U2424</f>
        <v>0</v>
      </c>
      <c r="M2724" s="322" t="str">
        <f>IFERROR(VLOOKUP(A2724,PAR!$D$3:$E$53,2,FALSE),"nincs szervezet")</f>
        <v>nincs szervezet</v>
      </c>
      <c r="N2724" s="322" t="str">
        <f>VLOOKUP(F2724,PAR!$R$3:$S$5,2,FALSE)</f>
        <v>3 - egyik sem</v>
      </c>
      <c r="O2724" t="str">
        <f>IFERROR(VLOOKUP(J2724,PAR!$O$3:$P$5,2,FALSE),"nincs feladat")</f>
        <v>nincs feladat</v>
      </c>
      <c r="P2724" t="str">
        <f>IFERROR(VLOOKUP(G2724,PAR!$J$2:$M$19,4),"nincs rovat")</f>
        <v>nincs rovat</v>
      </c>
      <c r="Q2724" t="str">
        <f>IF(H2724&gt;0,VLOOKUP(H2724,PAR!$AA$3:$AC$187,3,FALSE),"nincs főkönyvi számla")</f>
        <v>nincs főkönyvi számla</v>
      </c>
      <c r="R2724" t="str">
        <f>IFERROR(VLOOKUP(K2724,PAR!$V$3:$X$438,3,FALSE),"000000 - Nincs COFOG")</f>
        <v>000000 - Nincs COFOG</v>
      </c>
      <c r="S2724">
        <f t="shared" si="810"/>
        <v>0</v>
      </c>
      <c r="T2724">
        <f t="shared" si="811"/>
        <v>0</v>
      </c>
      <c r="U2724" t="str">
        <f>IF('906MP'!J2424&gt;0,CONCATENATE('906MP'!J2424," - ",'906MP'!P2424,", ",'906MP'!E2424),"nincs megjegyzés")</f>
        <v>nincs megjegyzés</v>
      </c>
      <c r="V2724" t="str">
        <f t="shared" si="798"/>
        <v>0P0</v>
      </c>
      <c r="W2724" t="str">
        <f t="shared" si="799"/>
        <v>0P0</v>
      </c>
      <c r="X2724" t="str">
        <f t="shared" si="800"/>
        <v>P0</v>
      </c>
      <c r="Y2724" t="str">
        <f t="shared" si="801"/>
        <v>00</v>
      </c>
      <c r="Z2724" t="str">
        <f t="shared" si="812"/>
        <v>00</v>
      </c>
      <c r="AA2724" t="str">
        <f t="shared" si="802"/>
        <v>00</v>
      </c>
      <c r="AB2724" t="str">
        <f t="shared" si="803"/>
        <v>00</v>
      </c>
      <c r="AC2724" t="str">
        <f t="shared" si="804"/>
        <v>0P0</v>
      </c>
      <c r="AD2724" t="str">
        <f t="shared" si="805"/>
        <v>P00</v>
      </c>
      <c r="AE2724" t="str">
        <f t="shared" si="806"/>
        <v>0P0</v>
      </c>
      <c r="AF2724" t="str">
        <f t="shared" si="807"/>
        <v>P00</v>
      </c>
      <c r="AG2724" t="str">
        <f t="shared" si="813"/>
        <v>0P00</v>
      </c>
      <c r="AH2724" t="str">
        <f t="shared" si="814"/>
        <v>P000</v>
      </c>
      <c r="AI2724" t="str">
        <f t="shared" si="815"/>
        <v>0P00</v>
      </c>
      <c r="AJ2724" t="str">
        <f t="shared" si="816"/>
        <v>P000</v>
      </c>
    </row>
    <row r="2725" spans="1:36" x14ac:dyDescent="0.25">
      <c r="A2725" s="325" t="str">
        <f>CONCATENATE("P",'906MP'!M2425)</f>
        <v>P</v>
      </c>
      <c r="B2725">
        <f>'906MP'!H2425</f>
        <v>0</v>
      </c>
      <c r="C2725">
        <f>'906MP'!J2425</f>
        <v>0</v>
      </c>
      <c r="D2725">
        <f>'906MP'!P2425</f>
        <v>0</v>
      </c>
      <c r="E2725">
        <f>'906MP'!X2425</f>
        <v>0</v>
      </c>
      <c r="F2725" t="str">
        <f t="shared" si="808"/>
        <v>0</v>
      </c>
      <c r="G2725" t="str">
        <f t="shared" si="809"/>
        <v>0</v>
      </c>
      <c r="H2725">
        <f>'906MP'!Y2425</f>
        <v>0</v>
      </c>
      <c r="I2725">
        <f>'906MP'!AK2425</f>
        <v>0</v>
      </c>
      <c r="J2725">
        <f>'906MP'!T2425</f>
        <v>0</v>
      </c>
      <c r="K2725">
        <f>'906MP'!AJ2425</f>
        <v>0</v>
      </c>
      <c r="L2725">
        <f>'906MP'!U2425</f>
        <v>0</v>
      </c>
      <c r="M2725" s="322" t="str">
        <f>IFERROR(VLOOKUP(A2725,PAR!$D$3:$E$53,2,FALSE),"nincs szervezet")</f>
        <v>nincs szervezet</v>
      </c>
      <c r="N2725" s="322" t="str">
        <f>VLOOKUP(F2725,PAR!$R$3:$S$5,2,FALSE)</f>
        <v>3 - egyik sem</v>
      </c>
      <c r="O2725" t="str">
        <f>IFERROR(VLOOKUP(J2725,PAR!$O$3:$P$5,2,FALSE),"nincs feladat")</f>
        <v>nincs feladat</v>
      </c>
      <c r="P2725" t="str">
        <f>IFERROR(VLOOKUP(G2725,PAR!$J$2:$M$19,4),"nincs rovat")</f>
        <v>nincs rovat</v>
      </c>
      <c r="Q2725" t="str">
        <f>IF(H2725&gt;0,VLOOKUP(H2725,PAR!$AA$3:$AC$187,3,FALSE),"nincs főkönyvi számla")</f>
        <v>nincs főkönyvi számla</v>
      </c>
      <c r="R2725" t="str">
        <f>IFERROR(VLOOKUP(K2725,PAR!$V$3:$X$438,3,FALSE),"000000 - Nincs COFOG")</f>
        <v>000000 - Nincs COFOG</v>
      </c>
      <c r="S2725">
        <f t="shared" si="810"/>
        <v>0</v>
      </c>
      <c r="T2725">
        <f t="shared" si="811"/>
        <v>0</v>
      </c>
      <c r="U2725" t="str">
        <f>IF('906MP'!J2425&gt;0,CONCATENATE('906MP'!J2425," - ",'906MP'!P2425,", ",'906MP'!E2425),"nincs megjegyzés")</f>
        <v>nincs megjegyzés</v>
      </c>
      <c r="V2725" t="str">
        <f t="shared" si="798"/>
        <v>0P0</v>
      </c>
      <c r="W2725" t="str">
        <f t="shared" si="799"/>
        <v>0P0</v>
      </c>
      <c r="X2725" t="str">
        <f t="shared" si="800"/>
        <v>P0</v>
      </c>
      <c r="Y2725" t="str">
        <f t="shared" si="801"/>
        <v>00</v>
      </c>
      <c r="Z2725" t="str">
        <f t="shared" si="812"/>
        <v>00</v>
      </c>
      <c r="AA2725" t="str">
        <f t="shared" si="802"/>
        <v>00</v>
      </c>
      <c r="AB2725" t="str">
        <f t="shared" si="803"/>
        <v>00</v>
      </c>
      <c r="AC2725" t="str">
        <f t="shared" si="804"/>
        <v>0P0</v>
      </c>
      <c r="AD2725" t="str">
        <f t="shared" si="805"/>
        <v>P00</v>
      </c>
      <c r="AE2725" t="str">
        <f t="shared" si="806"/>
        <v>0P0</v>
      </c>
      <c r="AF2725" t="str">
        <f t="shared" si="807"/>
        <v>P00</v>
      </c>
      <c r="AG2725" t="str">
        <f t="shared" si="813"/>
        <v>0P00</v>
      </c>
      <c r="AH2725" t="str">
        <f t="shared" si="814"/>
        <v>P000</v>
      </c>
      <c r="AI2725" t="str">
        <f t="shared" si="815"/>
        <v>0P00</v>
      </c>
      <c r="AJ2725" t="str">
        <f t="shared" si="816"/>
        <v>P000</v>
      </c>
    </row>
    <row r="2726" spans="1:36" x14ac:dyDescent="0.25">
      <c r="A2726" s="325" t="str">
        <f>CONCATENATE("P",'906MP'!M2426)</f>
        <v>P</v>
      </c>
      <c r="B2726">
        <f>'906MP'!H2426</f>
        <v>0</v>
      </c>
      <c r="C2726">
        <f>'906MP'!J2426</f>
        <v>0</v>
      </c>
      <c r="D2726">
        <f>'906MP'!P2426</f>
        <v>0</v>
      </c>
      <c r="E2726">
        <f>'906MP'!X2426</f>
        <v>0</v>
      </c>
      <c r="F2726" t="str">
        <f t="shared" si="808"/>
        <v>0</v>
      </c>
      <c r="G2726" t="str">
        <f t="shared" si="809"/>
        <v>0</v>
      </c>
      <c r="H2726">
        <f>'906MP'!Y2426</f>
        <v>0</v>
      </c>
      <c r="I2726">
        <f>'906MP'!AK2426</f>
        <v>0</v>
      </c>
      <c r="J2726">
        <f>'906MP'!T2426</f>
        <v>0</v>
      </c>
      <c r="K2726">
        <f>'906MP'!AJ2426</f>
        <v>0</v>
      </c>
      <c r="L2726">
        <f>'906MP'!U2426</f>
        <v>0</v>
      </c>
      <c r="M2726" s="322" t="str">
        <f>IFERROR(VLOOKUP(A2726,PAR!$D$3:$E$53,2,FALSE),"nincs szervezet")</f>
        <v>nincs szervezet</v>
      </c>
      <c r="N2726" s="322" t="str">
        <f>VLOOKUP(F2726,PAR!$R$3:$S$5,2,FALSE)</f>
        <v>3 - egyik sem</v>
      </c>
      <c r="O2726" t="str">
        <f>IFERROR(VLOOKUP(J2726,PAR!$O$3:$P$5,2,FALSE),"nincs feladat")</f>
        <v>nincs feladat</v>
      </c>
      <c r="P2726" t="str">
        <f>IFERROR(VLOOKUP(G2726,PAR!$J$2:$M$19,4),"nincs rovat")</f>
        <v>nincs rovat</v>
      </c>
      <c r="Q2726" t="str">
        <f>IF(H2726&gt;0,VLOOKUP(H2726,PAR!$AA$3:$AC$187,3,FALSE),"nincs főkönyvi számla")</f>
        <v>nincs főkönyvi számla</v>
      </c>
      <c r="R2726" t="str">
        <f>IFERROR(VLOOKUP(K2726,PAR!$V$3:$X$438,3,FALSE),"000000 - Nincs COFOG")</f>
        <v>000000 - Nincs COFOG</v>
      </c>
      <c r="S2726">
        <f t="shared" si="810"/>
        <v>0</v>
      </c>
      <c r="T2726">
        <f t="shared" si="811"/>
        <v>0</v>
      </c>
      <c r="U2726" t="str">
        <f>IF('906MP'!J2426&gt;0,CONCATENATE('906MP'!J2426," - ",'906MP'!P2426,", ",'906MP'!E2426),"nincs megjegyzés")</f>
        <v>nincs megjegyzés</v>
      </c>
      <c r="V2726" t="str">
        <f t="shared" si="798"/>
        <v>0P0</v>
      </c>
      <c r="W2726" t="str">
        <f t="shared" si="799"/>
        <v>0P0</v>
      </c>
      <c r="X2726" t="str">
        <f t="shared" si="800"/>
        <v>P0</v>
      </c>
      <c r="Y2726" t="str">
        <f t="shared" si="801"/>
        <v>00</v>
      </c>
      <c r="Z2726" t="str">
        <f t="shared" si="812"/>
        <v>00</v>
      </c>
      <c r="AA2726" t="str">
        <f t="shared" si="802"/>
        <v>00</v>
      </c>
      <c r="AB2726" t="str">
        <f t="shared" si="803"/>
        <v>00</v>
      </c>
      <c r="AC2726" t="str">
        <f t="shared" si="804"/>
        <v>0P0</v>
      </c>
      <c r="AD2726" t="str">
        <f t="shared" si="805"/>
        <v>P00</v>
      </c>
      <c r="AE2726" t="str">
        <f t="shared" si="806"/>
        <v>0P0</v>
      </c>
      <c r="AF2726" t="str">
        <f t="shared" si="807"/>
        <v>P00</v>
      </c>
      <c r="AG2726" t="str">
        <f t="shared" si="813"/>
        <v>0P00</v>
      </c>
      <c r="AH2726" t="str">
        <f t="shared" si="814"/>
        <v>P000</v>
      </c>
      <c r="AI2726" t="str">
        <f t="shared" si="815"/>
        <v>0P00</v>
      </c>
      <c r="AJ2726" t="str">
        <f t="shared" si="816"/>
        <v>P000</v>
      </c>
    </row>
    <row r="2727" spans="1:36" x14ac:dyDescent="0.25">
      <c r="A2727" s="325" t="str">
        <f>CONCATENATE("P",'906MP'!M2427)</f>
        <v>P</v>
      </c>
      <c r="B2727">
        <f>'906MP'!H2427</f>
        <v>0</v>
      </c>
      <c r="C2727">
        <f>'906MP'!J2427</f>
        <v>0</v>
      </c>
      <c r="D2727">
        <f>'906MP'!P2427</f>
        <v>0</v>
      </c>
      <c r="E2727">
        <f>'906MP'!X2427</f>
        <v>0</v>
      </c>
      <c r="F2727" t="str">
        <f t="shared" si="808"/>
        <v>0</v>
      </c>
      <c r="G2727" t="str">
        <f t="shared" si="809"/>
        <v>0</v>
      </c>
      <c r="H2727">
        <f>'906MP'!Y2427</f>
        <v>0</v>
      </c>
      <c r="I2727">
        <f>'906MP'!AK2427</f>
        <v>0</v>
      </c>
      <c r="J2727">
        <f>'906MP'!T2427</f>
        <v>0</v>
      </c>
      <c r="K2727">
        <f>'906MP'!AJ2427</f>
        <v>0</v>
      </c>
      <c r="L2727">
        <f>'906MP'!U2427</f>
        <v>0</v>
      </c>
      <c r="M2727" s="322" t="str">
        <f>IFERROR(VLOOKUP(A2727,PAR!$D$3:$E$53,2,FALSE),"nincs szervezet")</f>
        <v>nincs szervezet</v>
      </c>
      <c r="N2727" s="322" t="str">
        <f>VLOOKUP(F2727,PAR!$R$3:$S$5,2,FALSE)</f>
        <v>3 - egyik sem</v>
      </c>
      <c r="O2727" t="str">
        <f>IFERROR(VLOOKUP(J2727,PAR!$O$3:$P$5,2,FALSE),"nincs feladat")</f>
        <v>nincs feladat</v>
      </c>
      <c r="P2727" t="str">
        <f>IFERROR(VLOOKUP(G2727,PAR!$J$2:$M$19,4),"nincs rovat")</f>
        <v>nincs rovat</v>
      </c>
      <c r="Q2727" t="str">
        <f>IF(H2727&gt;0,VLOOKUP(H2727,PAR!$AA$3:$AC$187,3,FALSE),"nincs főkönyvi számla")</f>
        <v>nincs főkönyvi számla</v>
      </c>
      <c r="R2727" t="str">
        <f>IFERROR(VLOOKUP(K2727,PAR!$V$3:$X$438,3,FALSE),"000000 - Nincs COFOG")</f>
        <v>000000 - Nincs COFOG</v>
      </c>
      <c r="S2727">
        <f t="shared" si="810"/>
        <v>0</v>
      </c>
      <c r="T2727">
        <f t="shared" si="811"/>
        <v>0</v>
      </c>
      <c r="U2727" t="str">
        <f>IF('906MP'!J2427&gt;0,CONCATENATE('906MP'!J2427," - ",'906MP'!P2427,", ",'906MP'!E2427),"nincs megjegyzés")</f>
        <v>nincs megjegyzés</v>
      </c>
      <c r="V2727" t="str">
        <f t="shared" si="798"/>
        <v>0P0</v>
      </c>
      <c r="W2727" t="str">
        <f t="shared" si="799"/>
        <v>0P0</v>
      </c>
      <c r="X2727" t="str">
        <f t="shared" si="800"/>
        <v>P0</v>
      </c>
      <c r="Y2727" t="str">
        <f t="shared" si="801"/>
        <v>00</v>
      </c>
      <c r="Z2727" t="str">
        <f t="shared" si="812"/>
        <v>00</v>
      </c>
      <c r="AA2727" t="str">
        <f t="shared" si="802"/>
        <v>00</v>
      </c>
      <c r="AB2727" t="str">
        <f t="shared" si="803"/>
        <v>00</v>
      </c>
      <c r="AC2727" t="str">
        <f t="shared" si="804"/>
        <v>0P0</v>
      </c>
      <c r="AD2727" t="str">
        <f t="shared" si="805"/>
        <v>P00</v>
      </c>
      <c r="AE2727" t="str">
        <f t="shared" si="806"/>
        <v>0P0</v>
      </c>
      <c r="AF2727" t="str">
        <f t="shared" si="807"/>
        <v>P00</v>
      </c>
      <c r="AG2727" t="str">
        <f t="shared" si="813"/>
        <v>0P00</v>
      </c>
      <c r="AH2727" t="str">
        <f t="shared" si="814"/>
        <v>P000</v>
      </c>
      <c r="AI2727" t="str">
        <f t="shared" si="815"/>
        <v>0P00</v>
      </c>
      <c r="AJ2727" t="str">
        <f t="shared" si="816"/>
        <v>P000</v>
      </c>
    </row>
    <row r="2728" spans="1:36" x14ac:dyDescent="0.25">
      <c r="A2728" s="325" t="str">
        <f>CONCATENATE("P",'906MP'!M2428)</f>
        <v>P</v>
      </c>
      <c r="B2728">
        <f>'906MP'!H2428</f>
        <v>0</v>
      </c>
      <c r="C2728">
        <f>'906MP'!J2428</f>
        <v>0</v>
      </c>
      <c r="D2728">
        <f>'906MP'!P2428</f>
        <v>0</v>
      </c>
      <c r="E2728">
        <f>'906MP'!X2428</f>
        <v>0</v>
      </c>
      <c r="F2728" t="str">
        <f t="shared" si="808"/>
        <v>0</v>
      </c>
      <c r="G2728" t="str">
        <f t="shared" si="809"/>
        <v>0</v>
      </c>
      <c r="H2728">
        <f>'906MP'!Y2428</f>
        <v>0</v>
      </c>
      <c r="I2728">
        <f>'906MP'!AK2428</f>
        <v>0</v>
      </c>
      <c r="J2728">
        <f>'906MP'!T2428</f>
        <v>0</v>
      </c>
      <c r="K2728">
        <f>'906MP'!AJ2428</f>
        <v>0</v>
      </c>
      <c r="L2728">
        <f>'906MP'!U2428</f>
        <v>0</v>
      </c>
      <c r="M2728" s="322" t="str">
        <f>IFERROR(VLOOKUP(A2728,PAR!$D$3:$E$53,2,FALSE),"nincs szervezet")</f>
        <v>nincs szervezet</v>
      </c>
      <c r="N2728" s="322" t="str">
        <f>VLOOKUP(F2728,PAR!$R$3:$S$5,2,FALSE)</f>
        <v>3 - egyik sem</v>
      </c>
      <c r="O2728" t="str">
        <f>IFERROR(VLOOKUP(J2728,PAR!$O$3:$P$5,2,FALSE),"nincs feladat")</f>
        <v>nincs feladat</v>
      </c>
      <c r="P2728" t="str">
        <f>IFERROR(VLOOKUP(G2728,PAR!$J$2:$M$19,4),"nincs rovat")</f>
        <v>nincs rovat</v>
      </c>
      <c r="Q2728" t="str">
        <f>IF(H2728&gt;0,VLOOKUP(H2728,PAR!$AA$3:$AC$187,3,FALSE),"nincs főkönyvi számla")</f>
        <v>nincs főkönyvi számla</v>
      </c>
      <c r="R2728" t="str">
        <f>IFERROR(VLOOKUP(K2728,PAR!$V$3:$X$438,3,FALSE),"000000 - Nincs COFOG")</f>
        <v>000000 - Nincs COFOG</v>
      </c>
      <c r="S2728">
        <f t="shared" si="810"/>
        <v>0</v>
      </c>
      <c r="T2728">
        <f t="shared" si="811"/>
        <v>0</v>
      </c>
      <c r="U2728" t="str">
        <f>IF('906MP'!J2428&gt;0,CONCATENATE('906MP'!J2428," - ",'906MP'!P2428,", ",'906MP'!E2428),"nincs megjegyzés")</f>
        <v>nincs megjegyzés</v>
      </c>
      <c r="V2728" t="str">
        <f t="shared" si="798"/>
        <v>0P0</v>
      </c>
      <c r="W2728" t="str">
        <f t="shared" si="799"/>
        <v>0P0</v>
      </c>
      <c r="X2728" t="str">
        <f t="shared" si="800"/>
        <v>P0</v>
      </c>
      <c r="Y2728" t="str">
        <f t="shared" si="801"/>
        <v>00</v>
      </c>
      <c r="Z2728" t="str">
        <f t="shared" si="812"/>
        <v>00</v>
      </c>
      <c r="AA2728" t="str">
        <f t="shared" si="802"/>
        <v>00</v>
      </c>
      <c r="AB2728" t="str">
        <f t="shared" si="803"/>
        <v>00</v>
      </c>
      <c r="AC2728" t="str">
        <f t="shared" si="804"/>
        <v>0P0</v>
      </c>
      <c r="AD2728" t="str">
        <f t="shared" si="805"/>
        <v>P00</v>
      </c>
      <c r="AE2728" t="str">
        <f t="shared" si="806"/>
        <v>0P0</v>
      </c>
      <c r="AF2728" t="str">
        <f t="shared" si="807"/>
        <v>P00</v>
      </c>
      <c r="AG2728" t="str">
        <f t="shared" si="813"/>
        <v>0P00</v>
      </c>
      <c r="AH2728" t="str">
        <f t="shared" si="814"/>
        <v>P000</v>
      </c>
      <c r="AI2728" t="str">
        <f t="shared" si="815"/>
        <v>0P00</v>
      </c>
      <c r="AJ2728" t="str">
        <f t="shared" si="816"/>
        <v>P000</v>
      </c>
    </row>
    <row r="2729" spans="1:36" x14ac:dyDescent="0.25">
      <c r="A2729" s="325" t="str">
        <f>CONCATENATE("P",'906MP'!M2429)</f>
        <v>P</v>
      </c>
      <c r="B2729">
        <f>'906MP'!H2429</f>
        <v>0</v>
      </c>
      <c r="C2729">
        <f>'906MP'!J2429</f>
        <v>0</v>
      </c>
      <c r="D2729">
        <f>'906MP'!P2429</f>
        <v>0</v>
      </c>
      <c r="E2729">
        <f>'906MP'!X2429</f>
        <v>0</v>
      </c>
      <c r="F2729" t="str">
        <f t="shared" si="808"/>
        <v>0</v>
      </c>
      <c r="G2729" t="str">
        <f t="shared" si="809"/>
        <v>0</v>
      </c>
      <c r="H2729">
        <f>'906MP'!Y2429</f>
        <v>0</v>
      </c>
      <c r="I2729">
        <f>'906MP'!AK2429</f>
        <v>0</v>
      </c>
      <c r="J2729">
        <f>'906MP'!T2429</f>
        <v>0</v>
      </c>
      <c r="K2729">
        <f>'906MP'!AJ2429</f>
        <v>0</v>
      </c>
      <c r="L2729">
        <f>'906MP'!U2429</f>
        <v>0</v>
      </c>
      <c r="M2729" s="322" t="str">
        <f>IFERROR(VLOOKUP(A2729,PAR!$D$3:$E$53,2,FALSE),"nincs szervezet")</f>
        <v>nincs szervezet</v>
      </c>
      <c r="N2729" s="322" t="str">
        <f>VLOOKUP(F2729,PAR!$R$3:$S$5,2,FALSE)</f>
        <v>3 - egyik sem</v>
      </c>
      <c r="O2729" t="str">
        <f>IFERROR(VLOOKUP(J2729,PAR!$O$3:$P$5,2,FALSE),"nincs feladat")</f>
        <v>nincs feladat</v>
      </c>
      <c r="P2729" t="str">
        <f>IFERROR(VLOOKUP(G2729,PAR!$J$2:$M$19,4),"nincs rovat")</f>
        <v>nincs rovat</v>
      </c>
      <c r="Q2729" t="str">
        <f>IF(H2729&gt;0,VLOOKUP(H2729,PAR!$AA$3:$AC$187,3,FALSE),"nincs főkönyvi számla")</f>
        <v>nincs főkönyvi számla</v>
      </c>
      <c r="R2729" t="str">
        <f>IFERROR(VLOOKUP(K2729,PAR!$V$3:$X$438,3,FALSE),"000000 - Nincs COFOG")</f>
        <v>000000 - Nincs COFOG</v>
      </c>
      <c r="S2729">
        <f t="shared" si="810"/>
        <v>0</v>
      </c>
      <c r="T2729">
        <f t="shared" si="811"/>
        <v>0</v>
      </c>
      <c r="U2729" t="str">
        <f>IF('906MP'!J2429&gt;0,CONCATENATE('906MP'!J2429," - ",'906MP'!P2429,", ",'906MP'!E2429),"nincs megjegyzés")</f>
        <v>nincs megjegyzés</v>
      </c>
      <c r="V2729" t="str">
        <f t="shared" si="798"/>
        <v>0P0</v>
      </c>
      <c r="W2729" t="str">
        <f t="shared" si="799"/>
        <v>0P0</v>
      </c>
      <c r="X2729" t="str">
        <f t="shared" si="800"/>
        <v>P0</v>
      </c>
      <c r="Y2729" t="str">
        <f t="shared" si="801"/>
        <v>00</v>
      </c>
      <c r="Z2729" t="str">
        <f t="shared" si="812"/>
        <v>00</v>
      </c>
      <c r="AA2729" t="str">
        <f t="shared" si="802"/>
        <v>00</v>
      </c>
      <c r="AB2729" t="str">
        <f t="shared" si="803"/>
        <v>00</v>
      </c>
      <c r="AC2729" t="str">
        <f t="shared" si="804"/>
        <v>0P0</v>
      </c>
      <c r="AD2729" t="str">
        <f t="shared" si="805"/>
        <v>P00</v>
      </c>
      <c r="AE2729" t="str">
        <f t="shared" si="806"/>
        <v>0P0</v>
      </c>
      <c r="AF2729" t="str">
        <f t="shared" si="807"/>
        <v>P00</v>
      </c>
      <c r="AG2729" t="str">
        <f t="shared" si="813"/>
        <v>0P00</v>
      </c>
      <c r="AH2729" t="str">
        <f t="shared" si="814"/>
        <v>P000</v>
      </c>
      <c r="AI2729" t="str">
        <f t="shared" si="815"/>
        <v>0P00</v>
      </c>
      <c r="AJ2729" t="str">
        <f t="shared" si="816"/>
        <v>P000</v>
      </c>
    </row>
    <row r="2730" spans="1:36" x14ac:dyDescent="0.25">
      <c r="A2730" s="325" t="str">
        <f>CONCATENATE("P",'906MP'!M2430)</f>
        <v>P</v>
      </c>
      <c r="B2730">
        <f>'906MP'!H2430</f>
        <v>0</v>
      </c>
      <c r="C2730">
        <f>'906MP'!J2430</f>
        <v>0</v>
      </c>
      <c r="D2730">
        <f>'906MP'!P2430</f>
        <v>0</v>
      </c>
      <c r="E2730">
        <f>'906MP'!X2430</f>
        <v>0</v>
      </c>
      <c r="F2730" t="str">
        <f t="shared" si="808"/>
        <v>0</v>
      </c>
      <c r="G2730" t="str">
        <f t="shared" si="809"/>
        <v>0</v>
      </c>
      <c r="H2730">
        <f>'906MP'!Y2430</f>
        <v>0</v>
      </c>
      <c r="I2730">
        <f>'906MP'!AK2430</f>
        <v>0</v>
      </c>
      <c r="J2730">
        <f>'906MP'!T2430</f>
        <v>0</v>
      </c>
      <c r="K2730">
        <f>'906MP'!AJ2430</f>
        <v>0</v>
      </c>
      <c r="L2730">
        <f>'906MP'!U2430</f>
        <v>0</v>
      </c>
      <c r="M2730" s="322" t="str">
        <f>IFERROR(VLOOKUP(A2730,PAR!$D$3:$E$53,2,FALSE),"nincs szervezet")</f>
        <v>nincs szervezet</v>
      </c>
      <c r="N2730" s="322" t="str">
        <f>VLOOKUP(F2730,PAR!$R$3:$S$5,2,FALSE)</f>
        <v>3 - egyik sem</v>
      </c>
      <c r="O2730" t="str">
        <f>IFERROR(VLOOKUP(J2730,PAR!$O$3:$P$5,2,FALSE),"nincs feladat")</f>
        <v>nincs feladat</v>
      </c>
      <c r="P2730" t="str">
        <f>IFERROR(VLOOKUP(G2730,PAR!$J$2:$M$19,4),"nincs rovat")</f>
        <v>nincs rovat</v>
      </c>
      <c r="Q2730" t="str">
        <f>IF(H2730&gt;0,VLOOKUP(H2730,PAR!$AA$3:$AC$187,3,FALSE),"nincs főkönyvi számla")</f>
        <v>nincs főkönyvi számla</v>
      </c>
      <c r="R2730" t="str">
        <f>IFERROR(VLOOKUP(K2730,PAR!$V$3:$X$438,3,FALSE),"000000 - Nincs COFOG")</f>
        <v>000000 - Nincs COFOG</v>
      </c>
      <c r="S2730">
        <f t="shared" si="810"/>
        <v>0</v>
      </c>
      <c r="T2730">
        <f t="shared" si="811"/>
        <v>0</v>
      </c>
      <c r="U2730" t="str">
        <f>IF('906MP'!J2430&gt;0,CONCATENATE('906MP'!J2430," - ",'906MP'!P2430,", ",'906MP'!E2430),"nincs megjegyzés")</f>
        <v>nincs megjegyzés</v>
      </c>
      <c r="V2730" t="str">
        <f t="shared" si="798"/>
        <v>0P0</v>
      </c>
      <c r="W2730" t="str">
        <f t="shared" si="799"/>
        <v>0P0</v>
      </c>
      <c r="X2730" t="str">
        <f t="shared" si="800"/>
        <v>P0</v>
      </c>
      <c r="Y2730" t="str">
        <f t="shared" si="801"/>
        <v>00</v>
      </c>
      <c r="Z2730" t="str">
        <f t="shared" si="812"/>
        <v>00</v>
      </c>
      <c r="AA2730" t="str">
        <f t="shared" si="802"/>
        <v>00</v>
      </c>
      <c r="AB2730" t="str">
        <f t="shared" si="803"/>
        <v>00</v>
      </c>
      <c r="AC2730" t="str">
        <f t="shared" si="804"/>
        <v>0P0</v>
      </c>
      <c r="AD2730" t="str">
        <f t="shared" si="805"/>
        <v>P00</v>
      </c>
      <c r="AE2730" t="str">
        <f t="shared" si="806"/>
        <v>0P0</v>
      </c>
      <c r="AF2730" t="str">
        <f t="shared" si="807"/>
        <v>P00</v>
      </c>
      <c r="AG2730" t="str">
        <f t="shared" si="813"/>
        <v>0P00</v>
      </c>
      <c r="AH2730" t="str">
        <f t="shared" si="814"/>
        <v>P000</v>
      </c>
      <c r="AI2730" t="str">
        <f t="shared" si="815"/>
        <v>0P00</v>
      </c>
      <c r="AJ2730" t="str">
        <f t="shared" si="816"/>
        <v>P000</v>
      </c>
    </row>
    <row r="2731" spans="1:36" x14ac:dyDescent="0.25">
      <c r="A2731" s="325" t="str">
        <f>CONCATENATE("P",'906MP'!M2431)</f>
        <v>P</v>
      </c>
      <c r="B2731">
        <f>'906MP'!H2431</f>
        <v>0</v>
      </c>
      <c r="C2731">
        <f>'906MP'!J2431</f>
        <v>0</v>
      </c>
      <c r="D2731">
        <f>'906MP'!P2431</f>
        <v>0</v>
      </c>
      <c r="E2731">
        <f>'906MP'!X2431</f>
        <v>0</v>
      </c>
      <c r="F2731" t="str">
        <f t="shared" si="808"/>
        <v>0</v>
      </c>
      <c r="G2731" t="str">
        <f t="shared" si="809"/>
        <v>0</v>
      </c>
      <c r="H2731">
        <f>'906MP'!Y2431</f>
        <v>0</v>
      </c>
      <c r="I2731">
        <f>'906MP'!AK2431</f>
        <v>0</v>
      </c>
      <c r="J2731">
        <f>'906MP'!T2431</f>
        <v>0</v>
      </c>
      <c r="K2731">
        <f>'906MP'!AJ2431</f>
        <v>0</v>
      </c>
      <c r="L2731">
        <f>'906MP'!U2431</f>
        <v>0</v>
      </c>
      <c r="M2731" s="322" t="str">
        <f>IFERROR(VLOOKUP(A2731,PAR!$D$3:$E$53,2,FALSE),"nincs szervezet")</f>
        <v>nincs szervezet</v>
      </c>
      <c r="N2731" s="322" t="str">
        <f>VLOOKUP(F2731,PAR!$R$3:$S$5,2,FALSE)</f>
        <v>3 - egyik sem</v>
      </c>
      <c r="O2731" t="str">
        <f>IFERROR(VLOOKUP(J2731,PAR!$O$3:$P$5,2,FALSE),"nincs feladat")</f>
        <v>nincs feladat</v>
      </c>
      <c r="P2731" t="str">
        <f>IFERROR(VLOOKUP(G2731,PAR!$J$2:$M$19,4),"nincs rovat")</f>
        <v>nincs rovat</v>
      </c>
      <c r="Q2731" t="str">
        <f>IF(H2731&gt;0,VLOOKUP(H2731,PAR!$AA$3:$AC$187,3,FALSE),"nincs főkönyvi számla")</f>
        <v>nincs főkönyvi számla</v>
      </c>
      <c r="R2731" t="str">
        <f>IFERROR(VLOOKUP(K2731,PAR!$V$3:$X$438,3,FALSE),"000000 - Nincs COFOG")</f>
        <v>000000 - Nincs COFOG</v>
      </c>
      <c r="S2731">
        <f t="shared" si="810"/>
        <v>0</v>
      </c>
      <c r="T2731">
        <f t="shared" si="811"/>
        <v>0</v>
      </c>
      <c r="U2731" t="str">
        <f>IF('906MP'!J2431&gt;0,CONCATENATE('906MP'!J2431," - ",'906MP'!P2431,", ",'906MP'!E2431),"nincs megjegyzés")</f>
        <v>nincs megjegyzés</v>
      </c>
      <c r="V2731" t="str">
        <f t="shared" si="798"/>
        <v>0P0</v>
      </c>
      <c r="W2731" t="str">
        <f t="shared" si="799"/>
        <v>0P0</v>
      </c>
      <c r="X2731" t="str">
        <f t="shared" si="800"/>
        <v>P0</v>
      </c>
      <c r="Y2731" t="str">
        <f t="shared" si="801"/>
        <v>00</v>
      </c>
      <c r="Z2731" t="str">
        <f t="shared" si="812"/>
        <v>00</v>
      </c>
      <c r="AA2731" t="str">
        <f t="shared" si="802"/>
        <v>00</v>
      </c>
      <c r="AB2731" t="str">
        <f t="shared" si="803"/>
        <v>00</v>
      </c>
      <c r="AC2731" t="str">
        <f t="shared" si="804"/>
        <v>0P0</v>
      </c>
      <c r="AD2731" t="str">
        <f t="shared" si="805"/>
        <v>P00</v>
      </c>
      <c r="AE2731" t="str">
        <f t="shared" si="806"/>
        <v>0P0</v>
      </c>
      <c r="AF2731" t="str">
        <f t="shared" si="807"/>
        <v>P00</v>
      </c>
      <c r="AG2731" t="str">
        <f t="shared" si="813"/>
        <v>0P00</v>
      </c>
      <c r="AH2731" t="str">
        <f t="shared" si="814"/>
        <v>P000</v>
      </c>
      <c r="AI2731" t="str">
        <f t="shared" si="815"/>
        <v>0P00</v>
      </c>
      <c r="AJ2731" t="str">
        <f t="shared" si="816"/>
        <v>P000</v>
      </c>
    </row>
    <row r="2732" spans="1:36" x14ac:dyDescent="0.25">
      <c r="A2732" s="325" t="str">
        <f>CONCATENATE("P",'906MP'!M2432)</f>
        <v>P</v>
      </c>
      <c r="B2732">
        <f>'906MP'!H2432</f>
        <v>0</v>
      </c>
      <c r="C2732">
        <f>'906MP'!J2432</f>
        <v>0</v>
      </c>
      <c r="D2732">
        <f>'906MP'!P2432</f>
        <v>0</v>
      </c>
      <c r="E2732">
        <f>'906MP'!X2432</f>
        <v>0</v>
      </c>
      <c r="F2732" t="str">
        <f t="shared" si="808"/>
        <v>0</v>
      </c>
      <c r="G2732" t="str">
        <f t="shared" si="809"/>
        <v>0</v>
      </c>
      <c r="H2732">
        <f>'906MP'!Y2432</f>
        <v>0</v>
      </c>
      <c r="I2732">
        <f>'906MP'!AK2432</f>
        <v>0</v>
      </c>
      <c r="J2732">
        <f>'906MP'!T2432</f>
        <v>0</v>
      </c>
      <c r="K2732">
        <f>'906MP'!AJ2432</f>
        <v>0</v>
      </c>
      <c r="L2732">
        <f>'906MP'!U2432</f>
        <v>0</v>
      </c>
      <c r="M2732" s="322" t="str">
        <f>IFERROR(VLOOKUP(A2732,PAR!$D$3:$E$53,2,FALSE),"nincs szervezet")</f>
        <v>nincs szervezet</v>
      </c>
      <c r="N2732" s="322" t="str">
        <f>VLOOKUP(F2732,PAR!$R$3:$S$5,2,FALSE)</f>
        <v>3 - egyik sem</v>
      </c>
      <c r="O2732" t="str">
        <f>IFERROR(VLOOKUP(J2732,PAR!$O$3:$P$5,2,FALSE),"nincs feladat")</f>
        <v>nincs feladat</v>
      </c>
      <c r="P2732" t="str">
        <f>IFERROR(VLOOKUP(G2732,PAR!$J$2:$M$19,4),"nincs rovat")</f>
        <v>nincs rovat</v>
      </c>
      <c r="Q2732" t="str">
        <f>IF(H2732&gt;0,VLOOKUP(H2732,PAR!$AA$3:$AC$187,3,FALSE),"nincs főkönyvi számla")</f>
        <v>nincs főkönyvi számla</v>
      </c>
      <c r="R2732" t="str">
        <f>IFERROR(VLOOKUP(K2732,PAR!$V$3:$X$438,3,FALSE),"000000 - Nincs COFOG")</f>
        <v>000000 - Nincs COFOG</v>
      </c>
      <c r="S2732">
        <f t="shared" si="810"/>
        <v>0</v>
      </c>
      <c r="T2732">
        <f t="shared" si="811"/>
        <v>0</v>
      </c>
      <c r="U2732" t="str">
        <f>IF('906MP'!J2432&gt;0,CONCATENATE('906MP'!J2432," - ",'906MP'!P2432,", ",'906MP'!E2432),"nincs megjegyzés")</f>
        <v>nincs megjegyzés</v>
      </c>
      <c r="V2732" t="str">
        <f t="shared" si="798"/>
        <v>0P0</v>
      </c>
      <c r="W2732" t="str">
        <f t="shared" si="799"/>
        <v>0P0</v>
      </c>
      <c r="X2732" t="str">
        <f t="shared" si="800"/>
        <v>P0</v>
      </c>
      <c r="Y2732" t="str">
        <f t="shared" si="801"/>
        <v>00</v>
      </c>
      <c r="Z2732" t="str">
        <f t="shared" si="812"/>
        <v>00</v>
      </c>
      <c r="AA2732" t="str">
        <f t="shared" si="802"/>
        <v>00</v>
      </c>
      <c r="AB2732" t="str">
        <f t="shared" si="803"/>
        <v>00</v>
      </c>
      <c r="AC2732" t="str">
        <f t="shared" si="804"/>
        <v>0P0</v>
      </c>
      <c r="AD2732" t="str">
        <f t="shared" si="805"/>
        <v>P00</v>
      </c>
      <c r="AE2732" t="str">
        <f t="shared" si="806"/>
        <v>0P0</v>
      </c>
      <c r="AF2732" t="str">
        <f t="shared" si="807"/>
        <v>P00</v>
      </c>
      <c r="AG2732" t="str">
        <f t="shared" si="813"/>
        <v>0P00</v>
      </c>
      <c r="AH2732" t="str">
        <f t="shared" si="814"/>
        <v>P000</v>
      </c>
      <c r="AI2732" t="str">
        <f t="shared" si="815"/>
        <v>0P00</v>
      </c>
      <c r="AJ2732" t="str">
        <f t="shared" si="816"/>
        <v>P000</v>
      </c>
    </row>
    <row r="2733" spans="1:36" x14ac:dyDescent="0.25">
      <c r="A2733" s="325" t="str">
        <f>CONCATENATE("P",'906MP'!M2433)</f>
        <v>P</v>
      </c>
      <c r="B2733">
        <f>'906MP'!H2433</f>
        <v>0</v>
      </c>
      <c r="C2733">
        <f>'906MP'!J2433</f>
        <v>0</v>
      </c>
      <c r="D2733">
        <f>'906MP'!P2433</f>
        <v>0</v>
      </c>
      <c r="E2733">
        <f>'906MP'!X2433</f>
        <v>0</v>
      </c>
      <c r="F2733" t="str">
        <f t="shared" si="808"/>
        <v>0</v>
      </c>
      <c r="G2733" t="str">
        <f t="shared" si="809"/>
        <v>0</v>
      </c>
      <c r="H2733">
        <f>'906MP'!Y2433</f>
        <v>0</v>
      </c>
      <c r="I2733">
        <f>'906MP'!AK2433</f>
        <v>0</v>
      </c>
      <c r="J2733">
        <f>'906MP'!T2433</f>
        <v>0</v>
      </c>
      <c r="K2733">
        <f>'906MP'!AJ2433</f>
        <v>0</v>
      </c>
      <c r="L2733">
        <f>'906MP'!U2433</f>
        <v>0</v>
      </c>
      <c r="M2733" s="322" t="str">
        <f>IFERROR(VLOOKUP(A2733,PAR!$D$3:$E$53,2,FALSE),"nincs szervezet")</f>
        <v>nincs szervezet</v>
      </c>
      <c r="N2733" s="322" t="str">
        <f>VLOOKUP(F2733,PAR!$R$3:$S$5,2,FALSE)</f>
        <v>3 - egyik sem</v>
      </c>
      <c r="O2733" t="str">
        <f>IFERROR(VLOOKUP(J2733,PAR!$O$3:$P$5,2,FALSE),"nincs feladat")</f>
        <v>nincs feladat</v>
      </c>
      <c r="P2733" t="str">
        <f>IFERROR(VLOOKUP(G2733,PAR!$J$2:$M$19,4),"nincs rovat")</f>
        <v>nincs rovat</v>
      </c>
      <c r="Q2733" t="str">
        <f>IF(H2733&gt;0,VLOOKUP(H2733,PAR!$AA$3:$AC$187,3,FALSE),"nincs főkönyvi számla")</f>
        <v>nincs főkönyvi számla</v>
      </c>
      <c r="R2733" t="str">
        <f>IFERROR(VLOOKUP(K2733,PAR!$V$3:$X$438,3,FALSE),"000000 - Nincs COFOG")</f>
        <v>000000 - Nincs COFOG</v>
      </c>
      <c r="S2733">
        <f t="shared" si="810"/>
        <v>0</v>
      </c>
      <c r="T2733">
        <f t="shared" si="811"/>
        <v>0</v>
      </c>
      <c r="U2733" t="str">
        <f>IF('906MP'!J2433&gt;0,CONCATENATE('906MP'!J2433," - ",'906MP'!P2433,", ",'906MP'!E2433),"nincs megjegyzés")</f>
        <v>nincs megjegyzés</v>
      </c>
      <c r="V2733" t="str">
        <f t="shared" si="798"/>
        <v>0P0</v>
      </c>
      <c r="W2733" t="str">
        <f t="shared" si="799"/>
        <v>0P0</v>
      </c>
      <c r="X2733" t="str">
        <f t="shared" si="800"/>
        <v>P0</v>
      </c>
      <c r="Y2733" t="str">
        <f t="shared" si="801"/>
        <v>00</v>
      </c>
      <c r="Z2733" t="str">
        <f t="shared" si="812"/>
        <v>00</v>
      </c>
      <c r="AA2733" t="str">
        <f t="shared" si="802"/>
        <v>00</v>
      </c>
      <c r="AB2733" t="str">
        <f t="shared" si="803"/>
        <v>00</v>
      </c>
      <c r="AC2733" t="str">
        <f t="shared" si="804"/>
        <v>0P0</v>
      </c>
      <c r="AD2733" t="str">
        <f t="shared" si="805"/>
        <v>P00</v>
      </c>
      <c r="AE2733" t="str">
        <f t="shared" si="806"/>
        <v>0P0</v>
      </c>
      <c r="AF2733" t="str">
        <f t="shared" si="807"/>
        <v>P00</v>
      </c>
      <c r="AG2733" t="str">
        <f t="shared" si="813"/>
        <v>0P00</v>
      </c>
      <c r="AH2733" t="str">
        <f t="shared" si="814"/>
        <v>P000</v>
      </c>
      <c r="AI2733" t="str">
        <f t="shared" si="815"/>
        <v>0P00</v>
      </c>
      <c r="AJ2733" t="str">
        <f t="shared" si="816"/>
        <v>P000</v>
      </c>
    </row>
    <row r="2734" spans="1:36" x14ac:dyDescent="0.25">
      <c r="A2734" s="325" t="str">
        <f>CONCATENATE("P",'906MP'!M2434)</f>
        <v>P</v>
      </c>
      <c r="B2734">
        <f>'906MP'!H2434</f>
        <v>0</v>
      </c>
      <c r="C2734">
        <f>'906MP'!J2434</f>
        <v>0</v>
      </c>
      <c r="D2734">
        <f>'906MP'!P2434</f>
        <v>0</v>
      </c>
      <c r="E2734">
        <f>'906MP'!X2434</f>
        <v>0</v>
      </c>
      <c r="F2734" t="str">
        <f t="shared" si="808"/>
        <v>0</v>
      </c>
      <c r="G2734" t="str">
        <f t="shared" si="809"/>
        <v>0</v>
      </c>
      <c r="H2734">
        <f>'906MP'!Y2434</f>
        <v>0</v>
      </c>
      <c r="I2734">
        <f>'906MP'!AK2434</f>
        <v>0</v>
      </c>
      <c r="J2734">
        <f>'906MP'!T2434</f>
        <v>0</v>
      </c>
      <c r="K2734">
        <f>'906MP'!AJ2434</f>
        <v>0</v>
      </c>
      <c r="L2734">
        <f>'906MP'!U2434</f>
        <v>0</v>
      </c>
      <c r="M2734" s="322" t="str">
        <f>IFERROR(VLOOKUP(A2734,PAR!$D$3:$E$53,2,FALSE),"nincs szervezet")</f>
        <v>nincs szervezet</v>
      </c>
      <c r="N2734" s="322" t="str">
        <f>VLOOKUP(F2734,PAR!$R$3:$S$5,2,FALSE)</f>
        <v>3 - egyik sem</v>
      </c>
      <c r="O2734" t="str">
        <f>IFERROR(VLOOKUP(J2734,PAR!$O$3:$P$5,2,FALSE),"nincs feladat")</f>
        <v>nincs feladat</v>
      </c>
      <c r="P2734" t="str">
        <f>IFERROR(VLOOKUP(G2734,PAR!$J$2:$M$19,4),"nincs rovat")</f>
        <v>nincs rovat</v>
      </c>
      <c r="Q2734" t="str">
        <f>IF(H2734&gt;0,VLOOKUP(H2734,PAR!$AA$3:$AC$187,3,FALSE),"nincs főkönyvi számla")</f>
        <v>nincs főkönyvi számla</v>
      </c>
      <c r="R2734" t="str">
        <f>IFERROR(VLOOKUP(K2734,PAR!$V$3:$X$438,3,FALSE),"000000 - Nincs COFOG")</f>
        <v>000000 - Nincs COFOG</v>
      </c>
      <c r="S2734">
        <f t="shared" si="810"/>
        <v>0</v>
      </c>
      <c r="T2734">
        <f t="shared" si="811"/>
        <v>0</v>
      </c>
      <c r="U2734" t="str">
        <f>IF('906MP'!J2434&gt;0,CONCATENATE('906MP'!J2434," - ",'906MP'!P2434,", ",'906MP'!E2434),"nincs megjegyzés")</f>
        <v>nincs megjegyzés</v>
      </c>
      <c r="V2734" t="str">
        <f t="shared" si="798"/>
        <v>0P0</v>
      </c>
      <c r="W2734" t="str">
        <f t="shared" si="799"/>
        <v>0P0</v>
      </c>
      <c r="X2734" t="str">
        <f t="shared" si="800"/>
        <v>P0</v>
      </c>
      <c r="Y2734" t="str">
        <f t="shared" si="801"/>
        <v>00</v>
      </c>
      <c r="Z2734" t="str">
        <f t="shared" si="812"/>
        <v>00</v>
      </c>
      <c r="AA2734" t="str">
        <f t="shared" si="802"/>
        <v>00</v>
      </c>
      <c r="AB2734" t="str">
        <f t="shared" si="803"/>
        <v>00</v>
      </c>
      <c r="AC2734" t="str">
        <f t="shared" si="804"/>
        <v>0P0</v>
      </c>
      <c r="AD2734" t="str">
        <f t="shared" si="805"/>
        <v>P00</v>
      </c>
      <c r="AE2734" t="str">
        <f t="shared" si="806"/>
        <v>0P0</v>
      </c>
      <c r="AF2734" t="str">
        <f t="shared" si="807"/>
        <v>P00</v>
      </c>
      <c r="AG2734" t="str">
        <f t="shared" si="813"/>
        <v>0P00</v>
      </c>
      <c r="AH2734" t="str">
        <f t="shared" si="814"/>
        <v>P000</v>
      </c>
      <c r="AI2734" t="str">
        <f t="shared" si="815"/>
        <v>0P00</v>
      </c>
      <c r="AJ2734" t="str">
        <f t="shared" si="816"/>
        <v>P000</v>
      </c>
    </row>
    <row r="2735" spans="1:36" x14ac:dyDescent="0.25">
      <c r="A2735" s="325" t="str">
        <f>CONCATENATE("P",'906MP'!M2435)</f>
        <v>P</v>
      </c>
      <c r="B2735">
        <f>'906MP'!H2435</f>
        <v>0</v>
      </c>
      <c r="C2735">
        <f>'906MP'!J2435</f>
        <v>0</v>
      </c>
      <c r="D2735">
        <f>'906MP'!P2435</f>
        <v>0</v>
      </c>
      <c r="E2735">
        <f>'906MP'!X2435</f>
        <v>0</v>
      </c>
      <c r="F2735" t="str">
        <f t="shared" si="808"/>
        <v>0</v>
      </c>
      <c r="G2735" t="str">
        <f t="shared" si="809"/>
        <v>0</v>
      </c>
      <c r="H2735">
        <f>'906MP'!Y2435</f>
        <v>0</v>
      </c>
      <c r="I2735">
        <f>'906MP'!AK2435</f>
        <v>0</v>
      </c>
      <c r="J2735">
        <f>'906MP'!T2435</f>
        <v>0</v>
      </c>
      <c r="K2735">
        <f>'906MP'!AJ2435</f>
        <v>0</v>
      </c>
      <c r="L2735">
        <f>'906MP'!U2435</f>
        <v>0</v>
      </c>
      <c r="M2735" s="322" t="str">
        <f>IFERROR(VLOOKUP(A2735,PAR!$D$3:$E$53,2,FALSE),"nincs szervezet")</f>
        <v>nincs szervezet</v>
      </c>
      <c r="N2735" s="322" t="str">
        <f>VLOOKUP(F2735,PAR!$R$3:$S$5,2,FALSE)</f>
        <v>3 - egyik sem</v>
      </c>
      <c r="O2735" t="str">
        <f>IFERROR(VLOOKUP(J2735,PAR!$O$3:$P$5,2,FALSE),"nincs feladat")</f>
        <v>nincs feladat</v>
      </c>
      <c r="P2735" t="str">
        <f>IFERROR(VLOOKUP(G2735,PAR!$J$2:$M$19,4),"nincs rovat")</f>
        <v>nincs rovat</v>
      </c>
      <c r="Q2735" t="str">
        <f>IF(H2735&gt;0,VLOOKUP(H2735,PAR!$AA$3:$AC$187,3,FALSE),"nincs főkönyvi számla")</f>
        <v>nincs főkönyvi számla</v>
      </c>
      <c r="R2735" t="str">
        <f>IFERROR(VLOOKUP(K2735,PAR!$V$3:$X$438,3,FALSE),"000000 - Nincs COFOG")</f>
        <v>000000 - Nincs COFOG</v>
      </c>
      <c r="S2735">
        <f t="shared" si="810"/>
        <v>0</v>
      </c>
      <c r="T2735">
        <f t="shared" si="811"/>
        <v>0</v>
      </c>
      <c r="U2735" t="str">
        <f>IF('906MP'!J2435&gt;0,CONCATENATE('906MP'!J2435," - ",'906MP'!P2435,", ",'906MP'!E2435),"nincs megjegyzés")</f>
        <v>nincs megjegyzés</v>
      </c>
      <c r="V2735" t="str">
        <f t="shared" si="798"/>
        <v>0P0</v>
      </c>
      <c r="W2735" t="str">
        <f t="shared" si="799"/>
        <v>0P0</v>
      </c>
      <c r="X2735" t="str">
        <f t="shared" si="800"/>
        <v>P0</v>
      </c>
      <c r="Y2735" t="str">
        <f t="shared" si="801"/>
        <v>00</v>
      </c>
      <c r="Z2735" t="str">
        <f t="shared" si="812"/>
        <v>00</v>
      </c>
      <c r="AA2735" t="str">
        <f t="shared" si="802"/>
        <v>00</v>
      </c>
      <c r="AB2735" t="str">
        <f t="shared" si="803"/>
        <v>00</v>
      </c>
      <c r="AC2735" t="str">
        <f t="shared" si="804"/>
        <v>0P0</v>
      </c>
      <c r="AD2735" t="str">
        <f t="shared" si="805"/>
        <v>P00</v>
      </c>
      <c r="AE2735" t="str">
        <f t="shared" si="806"/>
        <v>0P0</v>
      </c>
      <c r="AF2735" t="str">
        <f t="shared" si="807"/>
        <v>P00</v>
      </c>
      <c r="AG2735" t="str">
        <f t="shared" si="813"/>
        <v>0P00</v>
      </c>
      <c r="AH2735" t="str">
        <f t="shared" si="814"/>
        <v>P000</v>
      </c>
      <c r="AI2735" t="str">
        <f t="shared" si="815"/>
        <v>0P00</v>
      </c>
      <c r="AJ2735" t="str">
        <f t="shared" si="816"/>
        <v>P000</v>
      </c>
    </row>
    <row r="2736" spans="1:36" x14ac:dyDescent="0.25">
      <c r="A2736" s="325" t="str">
        <f>CONCATENATE("P",'906MP'!M2436)</f>
        <v>P</v>
      </c>
      <c r="B2736">
        <f>'906MP'!H2436</f>
        <v>0</v>
      </c>
      <c r="C2736">
        <f>'906MP'!J2436</f>
        <v>0</v>
      </c>
      <c r="D2736">
        <f>'906MP'!P2436</f>
        <v>0</v>
      </c>
      <c r="E2736">
        <f>'906MP'!X2436</f>
        <v>0</v>
      </c>
      <c r="F2736" t="str">
        <f t="shared" si="808"/>
        <v>0</v>
      </c>
      <c r="G2736" t="str">
        <f t="shared" si="809"/>
        <v>0</v>
      </c>
      <c r="H2736">
        <f>'906MP'!Y2436</f>
        <v>0</v>
      </c>
      <c r="I2736">
        <f>'906MP'!AK2436</f>
        <v>0</v>
      </c>
      <c r="J2736">
        <f>'906MP'!T2436</f>
        <v>0</v>
      </c>
      <c r="K2736">
        <f>'906MP'!AJ2436</f>
        <v>0</v>
      </c>
      <c r="L2736">
        <f>'906MP'!U2436</f>
        <v>0</v>
      </c>
      <c r="M2736" s="322" t="str">
        <f>IFERROR(VLOOKUP(A2736,PAR!$D$3:$E$53,2,FALSE),"nincs szervezet")</f>
        <v>nincs szervezet</v>
      </c>
      <c r="N2736" s="322" t="str">
        <f>VLOOKUP(F2736,PAR!$R$3:$S$5,2,FALSE)</f>
        <v>3 - egyik sem</v>
      </c>
      <c r="O2736" t="str">
        <f>IFERROR(VLOOKUP(J2736,PAR!$O$3:$P$5,2,FALSE),"nincs feladat")</f>
        <v>nincs feladat</v>
      </c>
      <c r="P2736" t="str">
        <f>IFERROR(VLOOKUP(G2736,PAR!$J$2:$M$19,4),"nincs rovat")</f>
        <v>nincs rovat</v>
      </c>
      <c r="Q2736" t="str">
        <f>IF(H2736&gt;0,VLOOKUP(H2736,PAR!$AA$3:$AC$187,3,FALSE),"nincs főkönyvi számla")</f>
        <v>nincs főkönyvi számla</v>
      </c>
      <c r="R2736" t="str">
        <f>IFERROR(VLOOKUP(K2736,PAR!$V$3:$X$438,3,FALSE),"000000 - Nincs COFOG")</f>
        <v>000000 - Nincs COFOG</v>
      </c>
      <c r="S2736">
        <f t="shared" si="810"/>
        <v>0</v>
      </c>
      <c r="T2736">
        <f t="shared" si="811"/>
        <v>0</v>
      </c>
      <c r="U2736" t="str">
        <f>IF('906MP'!J2436&gt;0,CONCATENATE('906MP'!J2436," - ",'906MP'!P2436,", ",'906MP'!E2436),"nincs megjegyzés")</f>
        <v>nincs megjegyzés</v>
      </c>
      <c r="V2736" t="str">
        <f t="shared" si="798"/>
        <v>0P0</v>
      </c>
      <c r="W2736" t="str">
        <f t="shared" si="799"/>
        <v>0P0</v>
      </c>
      <c r="X2736" t="str">
        <f t="shared" si="800"/>
        <v>P0</v>
      </c>
      <c r="Y2736" t="str">
        <f t="shared" si="801"/>
        <v>00</v>
      </c>
      <c r="Z2736" t="str">
        <f t="shared" si="812"/>
        <v>00</v>
      </c>
      <c r="AA2736" t="str">
        <f t="shared" si="802"/>
        <v>00</v>
      </c>
      <c r="AB2736" t="str">
        <f t="shared" si="803"/>
        <v>00</v>
      </c>
      <c r="AC2736" t="str">
        <f t="shared" si="804"/>
        <v>0P0</v>
      </c>
      <c r="AD2736" t="str">
        <f t="shared" si="805"/>
        <v>P00</v>
      </c>
      <c r="AE2736" t="str">
        <f t="shared" si="806"/>
        <v>0P0</v>
      </c>
      <c r="AF2736" t="str">
        <f t="shared" si="807"/>
        <v>P00</v>
      </c>
      <c r="AG2736" t="str">
        <f t="shared" si="813"/>
        <v>0P00</v>
      </c>
      <c r="AH2736" t="str">
        <f t="shared" si="814"/>
        <v>P000</v>
      </c>
      <c r="AI2736" t="str">
        <f t="shared" si="815"/>
        <v>0P00</v>
      </c>
      <c r="AJ2736" t="str">
        <f t="shared" si="816"/>
        <v>P000</v>
      </c>
    </row>
    <row r="2737" spans="1:36" x14ac:dyDescent="0.25">
      <c r="A2737" s="325" t="str">
        <f>CONCATENATE("P",'906MP'!M2437)</f>
        <v>P</v>
      </c>
      <c r="B2737">
        <f>'906MP'!H2437</f>
        <v>0</v>
      </c>
      <c r="C2737">
        <f>'906MP'!J2437</f>
        <v>0</v>
      </c>
      <c r="D2737">
        <f>'906MP'!P2437</f>
        <v>0</v>
      </c>
      <c r="E2737">
        <f>'906MP'!X2437</f>
        <v>0</v>
      </c>
      <c r="F2737" t="str">
        <f t="shared" si="808"/>
        <v>0</v>
      </c>
      <c r="G2737" t="str">
        <f t="shared" si="809"/>
        <v>0</v>
      </c>
      <c r="H2737">
        <f>'906MP'!Y2437</f>
        <v>0</v>
      </c>
      <c r="I2737">
        <f>'906MP'!AK2437</f>
        <v>0</v>
      </c>
      <c r="J2737">
        <f>'906MP'!T2437</f>
        <v>0</v>
      </c>
      <c r="K2737">
        <f>'906MP'!AJ2437</f>
        <v>0</v>
      </c>
      <c r="L2737">
        <f>'906MP'!U2437</f>
        <v>0</v>
      </c>
      <c r="M2737" s="322" t="str">
        <f>IFERROR(VLOOKUP(A2737,PAR!$D$3:$E$53,2,FALSE),"nincs szervezet")</f>
        <v>nincs szervezet</v>
      </c>
      <c r="N2737" s="322" t="str">
        <f>VLOOKUP(F2737,PAR!$R$3:$S$5,2,FALSE)</f>
        <v>3 - egyik sem</v>
      </c>
      <c r="O2737" t="str">
        <f>IFERROR(VLOOKUP(J2737,PAR!$O$3:$P$5,2,FALSE),"nincs feladat")</f>
        <v>nincs feladat</v>
      </c>
      <c r="P2737" t="str">
        <f>IFERROR(VLOOKUP(G2737,PAR!$J$2:$M$19,4),"nincs rovat")</f>
        <v>nincs rovat</v>
      </c>
      <c r="Q2737" t="str">
        <f>IF(H2737&gt;0,VLOOKUP(H2737,PAR!$AA$3:$AC$187,3,FALSE),"nincs főkönyvi számla")</f>
        <v>nincs főkönyvi számla</v>
      </c>
      <c r="R2737" t="str">
        <f>IFERROR(VLOOKUP(K2737,PAR!$V$3:$X$438,3,FALSE),"000000 - Nincs COFOG")</f>
        <v>000000 - Nincs COFOG</v>
      </c>
      <c r="S2737">
        <f t="shared" si="810"/>
        <v>0</v>
      </c>
      <c r="T2737">
        <f t="shared" si="811"/>
        <v>0</v>
      </c>
      <c r="U2737" t="str">
        <f>IF('906MP'!J2437&gt;0,CONCATENATE('906MP'!J2437," - ",'906MP'!P2437,", ",'906MP'!E2437),"nincs megjegyzés")</f>
        <v>nincs megjegyzés</v>
      </c>
      <c r="V2737" t="str">
        <f t="shared" si="798"/>
        <v>0P0</v>
      </c>
      <c r="W2737" t="str">
        <f t="shared" si="799"/>
        <v>0P0</v>
      </c>
      <c r="X2737" t="str">
        <f t="shared" si="800"/>
        <v>P0</v>
      </c>
      <c r="Y2737" t="str">
        <f t="shared" si="801"/>
        <v>00</v>
      </c>
      <c r="Z2737" t="str">
        <f t="shared" si="812"/>
        <v>00</v>
      </c>
      <c r="AA2737" t="str">
        <f t="shared" si="802"/>
        <v>00</v>
      </c>
      <c r="AB2737" t="str">
        <f t="shared" si="803"/>
        <v>00</v>
      </c>
      <c r="AC2737" t="str">
        <f t="shared" si="804"/>
        <v>0P0</v>
      </c>
      <c r="AD2737" t="str">
        <f t="shared" si="805"/>
        <v>P00</v>
      </c>
      <c r="AE2737" t="str">
        <f t="shared" si="806"/>
        <v>0P0</v>
      </c>
      <c r="AF2737" t="str">
        <f t="shared" si="807"/>
        <v>P00</v>
      </c>
      <c r="AG2737" t="str">
        <f t="shared" si="813"/>
        <v>0P00</v>
      </c>
      <c r="AH2737" t="str">
        <f t="shared" si="814"/>
        <v>P000</v>
      </c>
      <c r="AI2737" t="str">
        <f t="shared" si="815"/>
        <v>0P00</v>
      </c>
      <c r="AJ2737" t="str">
        <f t="shared" si="816"/>
        <v>P000</v>
      </c>
    </row>
    <row r="2738" spans="1:36" x14ac:dyDescent="0.25">
      <c r="A2738" s="325" t="str">
        <f>CONCATENATE("P",'906MP'!M2438)</f>
        <v>P</v>
      </c>
      <c r="B2738">
        <f>'906MP'!H2438</f>
        <v>0</v>
      </c>
      <c r="C2738">
        <f>'906MP'!J2438</f>
        <v>0</v>
      </c>
      <c r="D2738">
        <f>'906MP'!P2438</f>
        <v>0</v>
      </c>
      <c r="E2738">
        <f>'906MP'!X2438</f>
        <v>0</v>
      </c>
      <c r="F2738" t="str">
        <f t="shared" si="808"/>
        <v>0</v>
      </c>
      <c r="G2738" t="str">
        <f t="shared" si="809"/>
        <v>0</v>
      </c>
      <c r="H2738">
        <f>'906MP'!Y2438</f>
        <v>0</v>
      </c>
      <c r="I2738">
        <f>'906MP'!AK2438</f>
        <v>0</v>
      </c>
      <c r="J2738">
        <f>'906MP'!T2438</f>
        <v>0</v>
      </c>
      <c r="K2738">
        <f>'906MP'!AJ2438</f>
        <v>0</v>
      </c>
      <c r="L2738">
        <f>'906MP'!U2438</f>
        <v>0</v>
      </c>
      <c r="M2738" s="322" t="str">
        <f>IFERROR(VLOOKUP(A2738,PAR!$D$3:$E$53,2,FALSE),"nincs szervezet")</f>
        <v>nincs szervezet</v>
      </c>
      <c r="N2738" s="322" t="str">
        <f>VLOOKUP(F2738,PAR!$R$3:$S$5,2,FALSE)</f>
        <v>3 - egyik sem</v>
      </c>
      <c r="O2738" t="str">
        <f>IFERROR(VLOOKUP(J2738,PAR!$O$3:$P$5,2,FALSE),"nincs feladat")</f>
        <v>nincs feladat</v>
      </c>
      <c r="P2738" t="str">
        <f>IFERROR(VLOOKUP(G2738,PAR!$J$2:$M$19,4),"nincs rovat")</f>
        <v>nincs rovat</v>
      </c>
      <c r="Q2738" t="str">
        <f>IF(H2738&gt;0,VLOOKUP(H2738,PAR!$AA$3:$AC$187,3,FALSE),"nincs főkönyvi számla")</f>
        <v>nincs főkönyvi számla</v>
      </c>
      <c r="R2738" t="str">
        <f>IFERROR(VLOOKUP(K2738,PAR!$V$3:$X$438,3,FALSE),"000000 - Nincs COFOG")</f>
        <v>000000 - Nincs COFOG</v>
      </c>
      <c r="S2738">
        <f t="shared" si="810"/>
        <v>0</v>
      </c>
      <c r="T2738">
        <f t="shared" si="811"/>
        <v>0</v>
      </c>
      <c r="U2738" t="str">
        <f>IF('906MP'!J2438&gt;0,CONCATENATE('906MP'!J2438," - ",'906MP'!P2438,", ",'906MP'!E2438),"nincs megjegyzés")</f>
        <v>nincs megjegyzés</v>
      </c>
      <c r="V2738" t="str">
        <f t="shared" si="798"/>
        <v>0P0</v>
      </c>
      <c r="W2738" t="str">
        <f t="shared" si="799"/>
        <v>0P0</v>
      </c>
      <c r="X2738" t="str">
        <f t="shared" si="800"/>
        <v>P0</v>
      </c>
      <c r="Y2738" t="str">
        <f t="shared" si="801"/>
        <v>00</v>
      </c>
      <c r="Z2738" t="str">
        <f t="shared" si="812"/>
        <v>00</v>
      </c>
      <c r="AA2738" t="str">
        <f t="shared" si="802"/>
        <v>00</v>
      </c>
      <c r="AB2738" t="str">
        <f t="shared" si="803"/>
        <v>00</v>
      </c>
      <c r="AC2738" t="str">
        <f t="shared" si="804"/>
        <v>0P0</v>
      </c>
      <c r="AD2738" t="str">
        <f t="shared" si="805"/>
        <v>P00</v>
      </c>
      <c r="AE2738" t="str">
        <f t="shared" si="806"/>
        <v>0P0</v>
      </c>
      <c r="AF2738" t="str">
        <f t="shared" si="807"/>
        <v>P00</v>
      </c>
      <c r="AG2738" t="str">
        <f t="shared" si="813"/>
        <v>0P00</v>
      </c>
      <c r="AH2738" t="str">
        <f t="shared" si="814"/>
        <v>P000</v>
      </c>
      <c r="AI2738" t="str">
        <f t="shared" si="815"/>
        <v>0P00</v>
      </c>
      <c r="AJ2738" t="str">
        <f t="shared" si="816"/>
        <v>P000</v>
      </c>
    </row>
    <row r="2739" spans="1:36" x14ac:dyDescent="0.25">
      <c r="A2739" s="325" t="str">
        <f>CONCATENATE("P",'906MP'!M2439)</f>
        <v>P</v>
      </c>
      <c r="B2739">
        <f>'906MP'!H2439</f>
        <v>0</v>
      </c>
      <c r="C2739">
        <f>'906MP'!J2439</f>
        <v>0</v>
      </c>
      <c r="D2739">
        <f>'906MP'!P2439</f>
        <v>0</v>
      </c>
      <c r="E2739">
        <f>'906MP'!X2439</f>
        <v>0</v>
      </c>
      <c r="F2739" t="str">
        <f t="shared" si="808"/>
        <v>0</v>
      </c>
      <c r="G2739" t="str">
        <f t="shared" si="809"/>
        <v>0</v>
      </c>
      <c r="H2739">
        <f>'906MP'!Y2439</f>
        <v>0</v>
      </c>
      <c r="I2739">
        <f>'906MP'!AK2439</f>
        <v>0</v>
      </c>
      <c r="J2739">
        <f>'906MP'!T2439</f>
        <v>0</v>
      </c>
      <c r="K2739">
        <f>'906MP'!AJ2439</f>
        <v>0</v>
      </c>
      <c r="L2739">
        <f>'906MP'!U2439</f>
        <v>0</v>
      </c>
      <c r="M2739" s="322" t="str">
        <f>IFERROR(VLOOKUP(A2739,PAR!$D$3:$E$53,2,FALSE),"nincs szervezet")</f>
        <v>nincs szervezet</v>
      </c>
      <c r="N2739" s="322" t="str">
        <f>VLOOKUP(F2739,PAR!$R$3:$S$5,2,FALSE)</f>
        <v>3 - egyik sem</v>
      </c>
      <c r="O2739" t="str">
        <f>IFERROR(VLOOKUP(J2739,PAR!$O$3:$P$5,2,FALSE),"nincs feladat")</f>
        <v>nincs feladat</v>
      </c>
      <c r="P2739" t="str">
        <f>IFERROR(VLOOKUP(G2739,PAR!$J$2:$M$19,4),"nincs rovat")</f>
        <v>nincs rovat</v>
      </c>
      <c r="Q2739" t="str">
        <f>IF(H2739&gt;0,VLOOKUP(H2739,PAR!$AA$3:$AC$187,3,FALSE),"nincs főkönyvi számla")</f>
        <v>nincs főkönyvi számla</v>
      </c>
      <c r="R2739" t="str">
        <f>IFERROR(VLOOKUP(K2739,PAR!$V$3:$X$438,3,FALSE),"000000 - Nincs COFOG")</f>
        <v>000000 - Nincs COFOG</v>
      </c>
      <c r="S2739">
        <f t="shared" si="810"/>
        <v>0</v>
      </c>
      <c r="T2739">
        <f t="shared" si="811"/>
        <v>0</v>
      </c>
      <c r="U2739" t="str">
        <f>IF('906MP'!J2439&gt;0,CONCATENATE('906MP'!J2439," - ",'906MP'!P2439,", ",'906MP'!E2439),"nincs megjegyzés")</f>
        <v>nincs megjegyzés</v>
      </c>
      <c r="V2739" t="str">
        <f t="shared" si="798"/>
        <v>0P0</v>
      </c>
      <c r="W2739" t="str">
        <f t="shared" si="799"/>
        <v>0P0</v>
      </c>
      <c r="X2739" t="str">
        <f t="shared" si="800"/>
        <v>P0</v>
      </c>
      <c r="Y2739" t="str">
        <f t="shared" si="801"/>
        <v>00</v>
      </c>
      <c r="Z2739" t="str">
        <f t="shared" si="812"/>
        <v>00</v>
      </c>
      <c r="AA2739" t="str">
        <f t="shared" si="802"/>
        <v>00</v>
      </c>
      <c r="AB2739" t="str">
        <f t="shared" si="803"/>
        <v>00</v>
      </c>
      <c r="AC2739" t="str">
        <f t="shared" si="804"/>
        <v>0P0</v>
      </c>
      <c r="AD2739" t="str">
        <f t="shared" si="805"/>
        <v>P00</v>
      </c>
      <c r="AE2739" t="str">
        <f t="shared" si="806"/>
        <v>0P0</v>
      </c>
      <c r="AF2739" t="str">
        <f t="shared" si="807"/>
        <v>P00</v>
      </c>
      <c r="AG2739" t="str">
        <f t="shared" si="813"/>
        <v>0P00</v>
      </c>
      <c r="AH2739" t="str">
        <f t="shared" si="814"/>
        <v>P000</v>
      </c>
      <c r="AI2739" t="str">
        <f t="shared" si="815"/>
        <v>0P00</v>
      </c>
      <c r="AJ2739" t="str">
        <f t="shared" si="816"/>
        <v>P000</v>
      </c>
    </row>
    <row r="2740" spans="1:36" x14ac:dyDescent="0.25">
      <c r="A2740" s="325" t="str">
        <f>CONCATENATE("P",'906MP'!M2440)</f>
        <v>P</v>
      </c>
      <c r="B2740">
        <f>'906MP'!H2440</f>
        <v>0</v>
      </c>
      <c r="C2740">
        <f>'906MP'!J2440</f>
        <v>0</v>
      </c>
      <c r="D2740">
        <f>'906MP'!P2440</f>
        <v>0</v>
      </c>
      <c r="E2740">
        <f>'906MP'!X2440</f>
        <v>0</v>
      </c>
      <c r="F2740" t="str">
        <f t="shared" si="808"/>
        <v>0</v>
      </c>
      <c r="G2740" t="str">
        <f t="shared" si="809"/>
        <v>0</v>
      </c>
      <c r="H2740">
        <f>'906MP'!Y2440</f>
        <v>0</v>
      </c>
      <c r="I2740">
        <f>'906MP'!AK2440</f>
        <v>0</v>
      </c>
      <c r="J2740">
        <f>'906MP'!T2440</f>
        <v>0</v>
      </c>
      <c r="K2740">
        <f>'906MP'!AJ2440</f>
        <v>0</v>
      </c>
      <c r="L2740">
        <f>'906MP'!U2440</f>
        <v>0</v>
      </c>
      <c r="M2740" s="322" t="str">
        <f>IFERROR(VLOOKUP(A2740,PAR!$D$3:$E$53,2,FALSE),"nincs szervezet")</f>
        <v>nincs szervezet</v>
      </c>
      <c r="N2740" s="322" t="str">
        <f>VLOOKUP(F2740,PAR!$R$3:$S$5,2,FALSE)</f>
        <v>3 - egyik sem</v>
      </c>
      <c r="O2740" t="str">
        <f>IFERROR(VLOOKUP(J2740,PAR!$O$3:$P$5,2,FALSE),"nincs feladat")</f>
        <v>nincs feladat</v>
      </c>
      <c r="P2740" t="str">
        <f>IFERROR(VLOOKUP(G2740,PAR!$J$2:$M$19,4),"nincs rovat")</f>
        <v>nincs rovat</v>
      </c>
      <c r="Q2740" t="str">
        <f>IF(H2740&gt;0,VLOOKUP(H2740,PAR!$AA$3:$AC$187,3,FALSE),"nincs főkönyvi számla")</f>
        <v>nincs főkönyvi számla</v>
      </c>
      <c r="R2740" t="str">
        <f>IFERROR(VLOOKUP(K2740,PAR!$V$3:$X$438,3,FALSE),"000000 - Nincs COFOG")</f>
        <v>000000 - Nincs COFOG</v>
      </c>
      <c r="S2740">
        <f t="shared" si="810"/>
        <v>0</v>
      </c>
      <c r="T2740">
        <f t="shared" si="811"/>
        <v>0</v>
      </c>
      <c r="U2740" t="str">
        <f>IF('906MP'!J2440&gt;0,CONCATENATE('906MP'!J2440," - ",'906MP'!P2440,", ",'906MP'!E2440),"nincs megjegyzés")</f>
        <v>nincs megjegyzés</v>
      </c>
      <c r="V2740" t="str">
        <f t="shared" si="798"/>
        <v>0P0</v>
      </c>
      <c r="W2740" t="str">
        <f t="shared" si="799"/>
        <v>0P0</v>
      </c>
      <c r="X2740" t="str">
        <f t="shared" si="800"/>
        <v>P0</v>
      </c>
      <c r="Y2740" t="str">
        <f t="shared" si="801"/>
        <v>00</v>
      </c>
      <c r="Z2740" t="str">
        <f t="shared" si="812"/>
        <v>00</v>
      </c>
      <c r="AA2740" t="str">
        <f t="shared" si="802"/>
        <v>00</v>
      </c>
      <c r="AB2740" t="str">
        <f t="shared" si="803"/>
        <v>00</v>
      </c>
      <c r="AC2740" t="str">
        <f t="shared" si="804"/>
        <v>0P0</v>
      </c>
      <c r="AD2740" t="str">
        <f t="shared" si="805"/>
        <v>P00</v>
      </c>
      <c r="AE2740" t="str">
        <f t="shared" si="806"/>
        <v>0P0</v>
      </c>
      <c r="AF2740" t="str">
        <f t="shared" si="807"/>
        <v>P00</v>
      </c>
      <c r="AG2740" t="str">
        <f t="shared" si="813"/>
        <v>0P00</v>
      </c>
      <c r="AH2740" t="str">
        <f t="shared" si="814"/>
        <v>P000</v>
      </c>
      <c r="AI2740" t="str">
        <f t="shared" si="815"/>
        <v>0P00</v>
      </c>
      <c r="AJ2740" t="str">
        <f t="shared" si="816"/>
        <v>P000</v>
      </c>
    </row>
    <row r="2741" spans="1:36" x14ac:dyDescent="0.25">
      <c r="A2741" s="325" t="str">
        <f>CONCATENATE("P",'906MP'!M2441)</f>
        <v>P</v>
      </c>
      <c r="B2741">
        <f>'906MP'!H2441</f>
        <v>0</v>
      </c>
      <c r="C2741">
        <f>'906MP'!J2441</f>
        <v>0</v>
      </c>
      <c r="D2741">
        <f>'906MP'!P2441</f>
        <v>0</v>
      </c>
      <c r="E2741">
        <f>'906MP'!X2441</f>
        <v>0</v>
      </c>
      <c r="F2741" t="str">
        <f t="shared" si="808"/>
        <v>0</v>
      </c>
      <c r="G2741" t="str">
        <f t="shared" si="809"/>
        <v>0</v>
      </c>
      <c r="H2741">
        <f>'906MP'!Y2441</f>
        <v>0</v>
      </c>
      <c r="I2741">
        <f>'906MP'!AK2441</f>
        <v>0</v>
      </c>
      <c r="J2741">
        <f>'906MP'!T2441</f>
        <v>0</v>
      </c>
      <c r="K2741">
        <f>'906MP'!AJ2441</f>
        <v>0</v>
      </c>
      <c r="L2741">
        <f>'906MP'!U2441</f>
        <v>0</v>
      </c>
      <c r="M2741" s="322" t="str">
        <f>IFERROR(VLOOKUP(A2741,PAR!$D$3:$E$53,2,FALSE),"nincs szervezet")</f>
        <v>nincs szervezet</v>
      </c>
      <c r="N2741" s="322" t="str">
        <f>VLOOKUP(F2741,PAR!$R$3:$S$5,2,FALSE)</f>
        <v>3 - egyik sem</v>
      </c>
      <c r="O2741" t="str">
        <f>IFERROR(VLOOKUP(J2741,PAR!$O$3:$P$5,2,FALSE),"nincs feladat")</f>
        <v>nincs feladat</v>
      </c>
      <c r="P2741" t="str">
        <f>IFERROR(VLOOKUP(G2741,PAR!$J$2:$M$19,4),"nincs rovat")</f>
        <v>nincs rovat</v>
      </c>
      <c r="Q2741" t="str">
        <f>IF(H2741&gt;0,VLOOKUP(H2741,PAR!$AA$3:$AC$187,3,FALSE),"nincs főkönyvi számla")</f>
        <v>nincs főkönyvi számla</v>
      </c>
      <c r="R2741" t="str">
        <f>IFERROR(VLOOKUP(K2741,PAR!$V$3:$X$438,3,FALSE),"000000 - Nincs COFOG")</f>
        <v>000000 - Nincs COFOG</v>
      </c>
      <c r="S2741">
        <f t="shared" si="810"/>
        <v>0</v>
      </c>
      <c r="T2741">
        <f t="shared" si="811"/>
        <v>0</v>
      </c>
      <c r="U2741" t="str">
        <f>IF('906MP'!J2441&gt;0,CONCATENATE('906MP'!J2441," - ",'906MP'!P2441,", ",'906MP'!E2441),"nincs megjegyzés")</f>
        <v>nincs megjegyzés</v>
      </c>
      <c r="V2741" t="str">
        <f t="shared" si="798"/>
        <v>0P0</v>
      </c>
      <c r="W2741" t="str">
        <f t="shared" si="799"/>
        <v>0P0</v>
      </c>
      <c r="X2741" t="str">
        <f t="shared" si="800"/>
        <v>P0</v>
      </c>
      <c r="Y2741" t="str">
        <f t="shared" si="801"/>
        <v>00</v>
      </c>
      <c r="Z2741" t="str">
        <f t="shared" si="812"/>
        <v>00</v>
      </c>
      <c r="AA2741" t="str">
        <f t="shared" si="802"/>
        <v>00</v>
      </c>
      <c r="AB2741" t="str">
        <f t="shared" si="803"/>
        <v>00</v>
      </c>
      <c r="AC2741" t="str">
        <f t="shared" si="804"/>
        <v>0P0</v>
      </c>
      <c r="AD2741" t="str">
        <f t="shared" si="805"/>
        <v>P00</v>
      </c>
      <c r="AE2741" t="str">
        <f t="shared" si="806"/>
        <v>0P0</v>
      </c>
      <c r="AF2741" t="str">
        <f t="shared" si="807"/>
        <v>P00</v>
      </c>
      <c r="AG2741" t="str">
        <f t="shared" si="813"/>
        <v>0P00</v>
      </c>
      <c r="AH2741" t="str">
        <f t="shared" si="814"/>
        <v>P000</v>
      </c>
      <c r="AI2741" t="str">
        <f t="shared" si="815"/>
        <v>0P00</v>
      </c>
      <c r="AJ2741" t="str">
        <f t="shared" si="816"/>
        <v>P000</v>
      </c>
    </row>
    <row r="2742" spans="1:36" x14ac:dyDescent="0.25">
      <c r="A2742" s="325" t="str">
        <f>CONCATENATE("P",'906MP'!M2442)</f>
        <v>P</v>
      </c>
      <c r="B2742">
        <f>'906MP'!H2442</f>
        <v>0</v>
      </c>
      <c r="C2742">
        <f>'906MP'!J2442</f>
        <v>0</v>
      </c>
      <c r="D2742">
        <f>'906MP'!P2442</f>
        <v>0</v>
      </c>
      <c r="E2742">
        <f>'906MP'!X2442</f>
        <v>0</v>
      </c>
      <c r="F2742" t="str">
        <f t="shared" si="808"/>
        <v>0</v>
      </c>
      <c r="G2742" t="str">
        <f t="shared" si="809"/>
        <v>0</v>
      </c>
      <c r="H2742">
        <f>'906MP'!Y2442</f>
        <v>0</v>
      </c>
      <c r="I2742">
        <f>'906MP'!AK2442</f>
        <v>0</v>
      </c>
      <c r="J2742">
        <f>'906MP'!T2442</f>
        <v>0</v>
      </c>
      <c r="K2742">
        <f>'906MP'!AJ2442</f>
        <v>0</v>
      </c>
      <c r="L2742">
        <f>'906MP'!U2442</f>
        <v>0</v>
      </c>
      <c r="M2742" s="322" t="str">
        <f>IFERROR(VLOOKUP(A2742,PAR!$D$3:$E$53,2,FALSE),"nincs szervezet")</f>
        <v>nincs szervezet</v>
      </c>
      <c r="N2742" s="322" t="str">
        <f>VLOOKUP(F2742,PAR!$R$3:$S$5,2,FALSE)</f>
        <v>3 - egyik sem</v>
      </c>
      <c r="O2742" t="str">
        <f>IFERROR(VLOOKUP(J2742,PAR!$O$3:$P$5,2,FALSE),"nincs feladat")</f>
        <v>nincs feladat</v>
      </c>
      <c r="P2742" t="str">
        <f>IFERROR(VLOOKUP(G2742,PAR!$J$2:$M$19,4),"nincs rovat")</f>
        <v>nincs rovat</v>
      </c>
      <c r="Q2742" t="str">
        <f>IF(H2742&gt;0,VLOOKUP(H2742,PAR!$AA$3:$AC$187,3,FALSE),"nincs főkönyvi számla")</f>
        <v>nincs főkönyvi számla</v>
      </c>
      <c r="R2742" t="str">
        <f>IFERROR(VLOOKUP(K2742,PAR!$V$3:$X$438,3,FALSE),"000000 - Nincs COFOG")</f>
        <v>000000 - Nincs COFOG</v>
      </c>
      <c r="S2742">
        <f t="shared" si="810"/>
        <v>0</v>
      </c>
      <c r="T2742">
        <f t="shared" si="811"/>
        <v>0</v>
      </c>
      <c r="U2742" t="str">
        <f>IF('906MP'!J2442&gt;0,CONCATENATE('906MP'!J2442," - ",'906MP'!P2442,", ",'906MP'!E2442),"nincs megjegyzés")</f>
        <v>nincs megjegyzés</v>
      </c>
      <c r="V2742" t="str">
        <f t="shared" si="798"/>
        <v>0P0</v>
      </c>
      <c r="W2742" t="str">
        <f t="shared" si="799"/>
        <v>0P0</v>
      </c>
      <c r="X2742" t="str">
        <f t="shared" si="800"/>
        <v>P0</v>
      </c>
      <c r="Y2742" t="str">
        <f t="shared" si="801"/>
        <v>00</v>
      </c>
      <c r="Z2742" t="str">
        <f t="shared" si="812"/>
        <v>00</v>
      </c>
      <c r="AA2742" t="str">
        <f t="shared" si="802"/>
        <v>00</v>
      </c>
      <c r="AB2742" t="str">
        <f t="shared" si="803"/>
        <v>00</v>
      </c>
      <c r="AC2742" t="str">
        <f t="shared" si="804"/>
        <v>0P0</v>
      </c>
      <c r="AD2742" t="str">
        <f t="shared" si="805"/>
        <v>P00</v>
      </c>
      <c r="AE2742" t="str">
        <f t="shared" si="806"/>
        <v>0P0</v>
      </c>
      <c r="AF2742" t="str">
        <f t="shared" si="807"/>
        <v>P00</v>
      </c>
      <c r="AG2742" t="str">
        <f t="shared" si="813"/>
        <v>0P00</v>
      </c>
      <c r="AH2742" t="str">
        <f t="shared" si="814"/>
        <v>P000</v>
      </c>
      <c r="AI2742" t="str">
        <f t="shared" si="815"/>
        <v>0P00</v>
      </c>
      <c r="AJ2742" t="str">
        <f t="shared" si="816"/>
        <v>P000</v>
      </c>
    </row>
    <row r="2743" spans="1:36" x14ac:dyDescent="0.25">
      <c r="A2743" s="325" t="str">
        <f>CONCATENATE("P",'906MP'!M2443)</f>
        <v>P</v>
      </c>
      <c r="B2743">
        <f>'906MP'!H2443</f>
        <v>0</v>
      </c>
      <c r="C2743">
        <f>'906MP'!J2443</f>
        <v>0</v>
      </c>
      <c r="D2743">
        <f>'906MP'!P2443</f>
        <v>0</v>
      </c>
      <c r="E2743">
        <f>'906MP'!X2443</f>
        <v>0</v>
      </c>
      <c r="F2743" t="str">
        <f t="shared" si="808"/>
        <v>0</v>
      </c>
      <c r="G2743" t="str">
        <f t="shared" si="809"/>
        <v>0</v>
      </c>
      <c r="H2743">
        <f>'906MP'!Y2443</f>
        <v>0</v>
      </c>
      <c r="I2743">
        <f>'906MP'!AK2443</f>
        <v>0</v>
      </c>
      <c r="J2743">
        <f>'906MP'!T2443</f>
        <v>0</v>
      </c>
      <c r="K2743">
        <f>'906MP'!AJ2443</f>
        <v>0</v>
      </c>
      <c r="L2743">
        <f>'906MP'!U2443</f>
        <v>0</v>
      </c>
      <c r="M2743" s="322" t="str">
        <f>IFERROR(VLOOKUP(A2743,PAR!$D$3:$E$53,2,FALSE),"nincs szervezet")</f>
        <v>nincs szervezet</v>
      </c>
      <c r="N2743" s="322" t="str">
        <f>VLOOKUP(F2743,PAR!$R$3:$S$5,2,FALSE)</f>
        <v>3 - egyik sem</v>
      </c>
      <c r="O2743" t="str">
        <f>IFERROR(VLOOKUP(J2743,PAR!$O$3:$P$5,2,FALSE),"nincs feladat")</f>
        <v>nincs feladat</v>
      </c>
      <c r="P2743" t="str">
        <f>IFERROR(VLOOKUP(G2743,PAR!$J$2:$M$19,4),"nincs rovat")</f>
        <v>nincs rovat</v>
      </c>
      <c r="Q2743" t="str">
        <f>IF(H2743&gt;0,VLOOKUP(H2743,PAR!$AA$3:$AC$187,3,FALSE),"nincs főkönyvi számla")</f>
        <v>nincs főkönyvi számla</v>
      </c>
      <c r="R2743" t="str">
        <f>IFERROR(VLOOKUP(K2743,PAR!$V$3:$X$438,3,FALSE),"000000 - Nincs COFOG")</f>
        <v>000000 - Nincs COFOG</v>
      </c>
      <c r="S2743">
        <f t="shared" si="810"/>
        <v>0</v>
      </c>
      <c r="T2743">
        <f t="shared" si="811"/>
        <v>0</v>
      </c>
      <c r="U2743" t="str">
        <f>IF('906MP'!J2443&gt;0,CONCATENATE('906MP'!J2443," - ",'906MP'!P2443,", ",'906MP'!E2443),"nincs megjegyzés")</f>
        <v>nincs megjegyzés</v>
      </c>
      <c r="V2743" t="str">
        <f t="shared" si="798"/>
        <v>0P0</v>
      </c>
      <c r="W2743" t="str">
        <f t="shared" si="799"/>
        <v>0P0</v>
      </c>
      <c r="X2743" t="str">
        <f t="shared" si="800"/>
        <v>P0</v>
      </c>
      <c r="Y2743" t="str">
        <f t="shared" si="801"/>
        <v>00</v>
      </c>
      <c r="Z2743" t="str">
        <f t="shared" si="812"/>
        <v>00</v>
      </c>
      <c r="AA2743" t="str">
        <f t="shared" si="802"/>
        <v>00</v>
      </c>
      <c r="AB2743" t="str">
        <f t="shared" si="803"/>
        <v>00</v>
      </c>
      <c r="AC2743" t="str">
        <f t="shared" si="804"/>
        <v>0P0</v>
      </c>
      <c r="AD2743" t="str">
        <f t="shared" si="805"/>
        <v>P00</v>
      </c>
      <c r="AE2743" t="str">
        <f t="shared" si="806"/>
        <v>0P0</v>
      </c>
      <c r="AF2743" t="str">
        <f t="shared" si="807"/>
        <v>P00</v>
      </c>
      <c r="AG2743" t="str">
        <f t="shared" si="813"/>
        <v>0P00</v>
      </c>
      <c r="AH2743" t="str">
        <f t="shared" si="814"/>
        <v>P000</v>
      </c>
      <c r="AI2743" t="str">
        <f t="shared" si="815"/>
        <v>0P00</v>
      </c>
      <c r="AJ2743" t="str">
        <f t="shared" si="816"/>
        <v>P000</v>
      </c>
    </row>
    <row r="2744" spans="1:36" x14ac:dyDescent="0.25">
      <c r="A2744" s="325" t="str">
        <f>CONCATENATE("P",'906MP'!M2444)</f>
        <v>P</v>
      </c>
      <c r="B2744">
        <f>'906MP'!H2444</f>
        <v>0</v>
      </c>
      <c r="C2744">
        <f>'906MP'!J2444</f>
        <v>0</v>
      </c>
      <c r="D2744">
        <f>'906MP'!P2444</f>
        <v>0</v>
      </c>
      <c r="E2744">
        <f>'906MP'!X2444</f>
        <v>0</v>
      </c>
      <c r="F2744" t="str">
        <f t="shared" si="808"/>
        <v>0</v>
      </c>
      <c r="G2744" t="str">
        <f t="shared" si="809"/>
        <v>0</v>
      </c>
      <c r="H2744">
        <f>'906MP'!Y2444</f>
        <v>0</v>
      </c>
      <c r="I2744">
        <f>'906MP'!AK2444</f>
        <v>0</v>
      </c>
      <c r="J2744">
        <f>'906MP'!T2444</f>
        <v>0</v>
      </c>
      <c r="K2744">
        <f>'906MP'!AJ2444</f>
        <v>0</v>
      </c>
      <c r="L2744">
        <f>'906MP'!U2444</f>
        <v>0</v>
      </c>
      <c r="M2744" s="322" t="str">
        <f>IFERROR(VLOOKUP(A2744,PAR!$D$3:$E$53,2,FALSE),"nincs szervezet")</f>
        <v>nincs szervezet</v>
      </c>
      <c r="N2744" s="322" t="str">
        <f>VLOOKUP(F2744,PAR!$R$3:$S$5,2,FALSE)</f>
        <v>3 - egyik sem</v>
      </c>
      <c r="O2744" t="str">
        <f>IFERROR(VLOOKUP(J2744,PAR!$O$3:$P$5,2,FALSE),"nincs feladat")</f>
        <v>nincs feladat</v>
      </c>
      <c r="P2744" t="str">
        <f>IFERROR(VLOOKUP(G2744,PAR!$J$2:$M$19,4),"nincs rovat")</f>
        <v>nincs rovat</v>
      </c>
      <c r="Q2744" t="str">
        <f>IF(H2744&gt;0,VLOOKUP(H2744,PAR!$AA$3:$AC$187,3,FALSE),"nincs főkönyvi számla")</f>
        <v>nincs főkönyvi számla</v>
      </c>
      <c r="R2744" t="str">
        <f>IFERROR(VLOOKUP(K2744,PAR!$V$3:$X$438,3,FALSE),"000000 - Nincs COFOG")</f>
        <v>000000 - Nincs COFOG</v>
      </c>
      <c r="S2744">
        <f t="shared" si="810"/>
        <v>0</v>
      </c>
      <c r="T2744">
        <f t="shared" si="811"/>
        <v>0</v>
      </c>
      <c r="U2744" t="str">
        <f>IF('906MP'!J2444&gt;0,CONCATENATE('906MP'!J2444," - ",'906MP'!P2444,", ",'906MP'!E2444),"nincs megjegyzés")</f>
        <v>nincs megjegyzés</v>
      </c>
      <c r="V2744" t="str">
        <f t="shared" si="798"/>
        <v>0P0</v>
      </c>
      <c r="W2744" t="str">
        <f t="shared" si="799"/>
        <v>0P0</v>
      </c>
      <c r="X2744" t="str">
        <f t="shared" si="800"/>
        <v>P0</v>
      </c>
      <c r="Y2744" t="str">
        <f t="shared" si="801"/>
        <v>00</v>
      </c>
      <c r="Z2744" t="str">
        <f t="shared" si="812"/>
        <v>00</v>
      </c>
      <c r="AA2744" t="str">
        <f t="shared" si="802"/>
        <v>00</v>
      </c>
      <c r="AB2744" t="str">
        <f t="shared" si="803"/>
        <v>00</v>
      </c>
      <c r="AC2744" t="str">
        <f t="shared" si="804"/>
        <v>0P0</v>
      </c>
      <c r="AD2744" t="str">
        <f t="shared" si="805"/>
        <v>P00</v>
      </c>
      <c r="AE2744" t="str">
        <f t="shared" si="806"/>
        <v>0P0</v>
      </c>
      <c r="AF2744" t="str">
        <f t="shared" si="807"/>
        <v>P00</v>
      </c>
      <c r="AG2744" t="str">
        <f t="shared" si="813"/>
        <v>0P00</v>
      </c>
      <c r="AH2744" t="str">
        <f t="shared" si="814"/>
        <v>P000</v>
      </c>
      <c r="AI2744" t="str">
        <f t="shared" si="815"/>
        <v>0P00</v>
      </c>
      <c r="AJ2744" t="str">
        <f t="shared" si="816"/>
        <v>P000</v>
      </c>
    </row>
    <row r="2745" spans="1:36" x14ac:dyDescent="0.25">
      <c r="A2745" s="325" t="str">
        <f>CONCATENATE("P",'906MP'!M2445)</f>
        <v>P</v>
      </c>
      <c r="B2745">
        <f>'906MP'!H2445</f>
        <v>0</v>
      </c>
      <c r="C2745">
        <f>'906MP'!J2445</f>
        <v>0</v>
      </c>
      <c r="D2745">
        <f>'906MP'!P2445</f>
        <v>0</v>
      </c>
      <c r="E2745">
        <f>'906MP'!X2445</f>
        <v>0</v>
      </c>
      <c r="F2745" t="str">
        <f t="shared" si="808"/>
        <v>0</v>
      </c>
      <c r="G2745" t="str">
        <f t="shared" si="809"/>
        <v>0</v>
      </c>
      <c r="H2745">
        <f>'906MP'!Y2445</f>
        <v>0</v>
      </c>
      <c r="I2745">
        <f>'906MP'!AK2445</f>
        <v>0</v>
      </c>
      <c r="J2745">
        <f>'906MP'!T2445</f>
        <v>0</v>
      </c>
      <c r="K2745">
        <f>'906MP'!AJ2445</f>
        <v>0</v>
      </c>
      <c r="L2745">
        <f>'906MP'!U2445</f>
        <v>0</v>
      </c>
      <c r="M2745" s="322" t="str">
        <f>IFERROR(VLOOKUP(A2745,PAR!$D$3:$E$53,2,FALSE),"nincs szervezet")</f>
        <v>nincs szervezet</v>
      </c>
      <c r="N2745" s="322" t="str">
        <f>VLOOKUP(F2745,PAR!$R$3:$S$5,2,FALSE)</f>
        <v>3 - egyik sem</v>
      </c>
      <c r="O2745" t="str">
        <f>IFERROR(VLOOKUP(J2745,PAR!$O$3:$P$5,2,FALSE),"nincs feladat")</f>
        <v>nincs feladat</v>
      </c>
      <c r="P2745" t="str">
        <f>IFERROR(VLOOKUP(G2745,PAR!$J$2:$M$19,4),"nincs rovat")</f>
        <v>nincs rovat</v>
      </c>
      <c r="Q2745" t="str">
        <f>IF(H2745&gt;0,VLOOKUP(H2745,PAR!$AA$3:$AC$187,3,FALSE),"nincs főkönyvi számla")</f>
        <v>nincs főkönyvi számla</v>
      </c>
      <c r="R2745" t="str">
        <f>IFERROR(VLOOKUP(K2745,PAR!$V$3:$X$438,3,FALSE),"000000 - Nincs COFOG")</f>
        <v>000000 - Nincs COFOG</v>
      </c>
      <c r="S2745">
        <f t="shared" si="810"/>
        <v>0</v>
      </c>
      <c r="T2745">
        <f t="shared" si="811"/>
        <v>0</v>
      </c>
      <c r="U2745" t="str">
        <f>IF('906MP'!J2445&gt;0,CONCATENATE('906MP'!J2445," - ",'906MP'!P2445,", ",'906MP'!E2445),"nincs megjegyzés")</f>
        <v>nincs megjegyzés</v>
      </c>
      <c r="V2745" t="str">
        <f t="shared" si="798"/>
        <v>0P0</v>
      </c>
      <c r="W2745" t="str">
        <f t="shared" si="799"/>
        <v>0P0</v>
      </c>
      <c r="X2745" t="str">
        <f t="shared" si="800"/>
        <v>P0</v>
      </c>
      <c r="Y2745" t="str">
        <f t="shared" si="801"/>
        <v>00</v>
      </c>
      <c r="Z2745" t="str">
        <f t="shared" si="812"/>
        <v>00</v>
      </c>
      <c r="AA2745" t="str">
        <f t="shared" si="802"/>
        <v>00</v>
      </c>
      <c r="AB2745" t="str">
        <f t="shared" si="803"/>
        <v>00</v>
      </c>
      <c r="AC2745" t="str">
        <f t="shared" si="804"/>
        <v>0P0</v>
      </c>
      <c r="AD2745" t="str">
        <f t="shared" si="805"/>
        <v>P00</v>
      </c>
      <c r="AE2745" t="str">
        <f t="shared" si="806"/>
        <v>0P0</v>
      </c>
      <c r="AF2745" t="str">
        <f t="shared" si="807"/>
        <v>P00</v>
      </c>
      <c r="AG2745" t="str">
        <f t="shared" si="813"/>
        <v>0P00</v>
      </c>
      <c r="AH2745" t="str">
        <f t="shared" si="814"/>
        <v>P000</v>
      </c>
      <c r="AI2745" t="str">
        <f t="shared" si="815"/>
        <v>0P00</v>
      </c>
      <c r="AJ2745" t="str">
        <f t="shared" si="816"/>
        <v>P000</v>
      </c>
    </row>
    <row r="2746" spans="1:36" x14ac:dyDescent="0.25">
      <c r="A2746" s="325" t="str">
        <f>CONCATENATE("P",'906MP'!M2446)</f>
        <v>P</v>
      </c>
      <c r="B2746">
        <f>'906MP'!H2446</f>
        <v>0</v>
      </c>
      <c r="C2746">
        <f>'906MP'!J2446</f>
        <v>0</v>
      </c>
      <c r="D2746">
        <f>'906MP'!P2446</f>
        <v>0</v>
      </c>
      <c r="E2746">
        <f>'906MP'!X2446</f>
        <v>0</v>
      </c>
      <c r="F2746" t="str">
        <f t="shared" si="808"/>
        <v>0</v>
      </c>
      <c r="G2746" t="str">
        <f t="shared" si="809"/>
        <v>0</v>
      </c>
      <c r="H2746">
        <f>'906MP'!Y2446</f>
        <v>0</v>
      </c>
      <c r="I2746">
        <f>'906MP'!AK2446</f>
        <v>0</v>
      </c>
      <c r="J2746">
        <f>'906MP'!T2446</f>
        <v>0</v>
      </c>
      <c r="K2746">
        <f>'906MP'!AJ2446</f>
        <v>0</v>
      </c>
      <c r="L2746">
        <f>'906MP'!U2446</f>
        <v>0</v>
      </c>
      <c r="M2746" s="322" t="str">
        <f>IFERROR(VLOOKUP(A2746,PAR!$D$3:$E$53,2,FALSE),"nincs szervezet")</f>
        <v>nincs szervezet</v>
      </c>
      <c r="N2746" s="322" t="str">
        <f>VLOOKUP(F2746,PAR!$R$3:$S$5,2,FALSE)</f>
        <v>3 - egyik sem</v>
      </c>
      <c r="O2746" t="str">
        <f>IFERROR(VLOOKUP(J2746,PAR!$O$3:$P$5,2,FALSE),"nincs feladat")</f>
        <v>nincs feladat</v>
      </c>
      <c r="P2746" t="str">
        <f>IFERROR(VLOOKUP(G2746,PAR!$J$2:$M$19,4),"nincs rovat")</f>
        <v>nincs rovat</v>
      </c>
      <c r="Q2746" t="str">
        <f>IF(H2746&gt;0,VLOOKUP(H2746,PAR!$AA$3:$AC$187,3,FALSE),"nincs főkönyvi számla")</f>
        <v>nincs főkönyvi számla</v>
      </c>
      <c r="R2746" t="str">
        <f>IFERROR(VLOOKUP(K2746,PAR!$V$3:$X$438,3,FALSE),"000000 - Nincs COFOG")</f>
        <v>000000 - Nincs COFOG</v>
      </c>
      <c r="S2746">
        <f t="shared" si="810"/>
        <v>0</v>
      </c>
      <c r="T2746">
        <f t="shared" si="811"/>
        <v>0</v>
      </c>
      <c r="U2746" t="str">
        <f>IF('906MP'!J2446&gt;0,CONCATENATE('906MP'!J2446," - ",'906MP'!P2446,", ",'906MP'!E2446),"nincs megjegyzés")</f>
        <v>nincs megjegyzés</v>
      </c>
      <c r="V2746" t="str">
        <f t="shared" si="798"/>
        <v>0P0</v>
      </c>
      <c r="W2746" t="str">
        <f t="shared" si="799"/>
        <v>0P0</v>
      </c>
      <c r="X2746" t="str">
        <f t="shared" si="800"/>
        <v>P0</v>
      </c>
      <c r="Y2746" t="str">
        <f t="shared" si="801"/>
        <v>00</v>
      </c>
      <c r="Z2746" t="str">
        <f t="shared" si="812"/>
        <v>00</v>
      </c>
      <c r="AA2746" t="str">
        <f t="shared" si="802"/>
        <v>00</v>
      </c>
      <c r="AB2746" t="str">
        <f t="shared" si="803"/>
        <v>00</v>
      </c>
      <c r="AC2746" t="str">
        <f t="shared" si="804"/>
        <v>0P0</v>
      </c>
      <c r="AD2746" t="str">
        <f t="shared" si="805"/>
        <v>P00</v>
      </c>
      <c r="AE2746" t="str">
        <f t="shared" si="806"/>
        <v>0P0</v>
      </c>
      <c r="AF2746" t="str">
        <f t="shared" si="807"/>
        <v>P00</v>
      </c>
      <c r="AG2746" t="str">
        <f t="shared" si="813"/>
        <v>0P00</v>
      </c>
      <c r="AH2746" t="str">
        <f t="shared" si="814"/>
        <v>P000</v>
      </c>
      <c r="AI2746" t="str">
        <f t="shared" si="815"/>
        <v>0P00</v>
      </c>
      <c r="AJ2746" t="str">
        <f t="shared" si="816"/>
        <v>P000</v>
      </c>
    </row>
    <row r="2747" spans="1:36" x14ac:dyDescent="0.25">
      <c r="A2747" s="325" t="str">
        <f>CONCATENATE("P",'906MP'!M2447)</f>
        <v>P</v>
      </c>
      <c r="B2747">
        <f>'906MP'!H2447</f>
        <v>0</v>
      </c>
      <c r="C2747">
        <f>'906MP'!J2447</f>
        <v>0</v>
      </c>
      <c r="D2747">
        <f>'906MP'!P2447</f>
        <v>0</v>
      </c>
      <c r="E2747">
        <f>'906MP'!X2447</f>
        <v>0</v>
      </c>
      <c r="F2747" t="str">
        <f t="shared" si="808"/>
        <v>0</v>
      </c>
      <c r="G2747" t="str">
        <f t="shared" si="809"/>
        <v>0</v>
      </c>
      <c r="H2747">
        <f>'906MP'!Y2447</f>
        <v>0</v>
      </c>
      <c r="I2747">
        <f>'906MP'!AK2447</f>
        <v>0</v>
      </c>
      <c r="J2747">
        <f>'906MP'!T2447</f>
        <v>0</v>
      </c>
      <c r="K2747">
        <f>'906MP'!AJ2447</f>
        <v>0</v>
      </c>
      <c r="L2747">
        <f>'906MP'!U2447</f>
        <v>0</v>
      </c>
      <c r="M2747" s="322" t="str">
        <f>IFERROR(VLOOKUP(A2747,PAR!$D$3:$E$53,2,FALSE),"nincs szervezet")</f>
        <v>nincs szervezet</v>
      </c>
      <c r="N2747" s="322" t="str">
        <f>VLOOKUP(F2747,PAR!$R$3:$S$5,2,FALSE)</f>
        <v>3 - egyik sem</v>
      </c>
      <c r="O2747" t="str">
        <f>IFERROR(VLOOKUP(J2747,PAR!$O$3:$P$5,2,FALSE),"nincs feladat")</f>
        <v>nincs feladat</v>
      </c>
      <c r="P2747" t="str">
        <f>IFERROR(VLOOKUP(G2747,PAR!$J$2:$M$19,4),"nincs rovat")</f>
        <v>nincs rovat</v>
      </c>
      <c r="Q2747" t="str">
        <f>IF(H2747&gt;0,VLOOKUP(H2747,PAR!$AA$3:$AC$187,3,FALSE),"nincs főkönyvi számla")</f>
        <v>nincs főkönyvi számla</v>
      </c>
      <c r="R2747" t="str">
        <f>IFERROR(VLOOKUP(K2747,PAR!$V$3:$X$438,3,FALSE),"000000 - Nincs COFOG")</f>
        <v>000000 - Nincs COFOG</v>
      </c>
      <c r="S2747">
        <f t="shared" si="810"/>
        <v>0</v>
      </c>
      <c r="T2747">
        <f t="shared" si="811"/>
        <v>0</v>
      </c>
      <c r="U2747" t="str">
        <f>IF('906MP'!J2447&gt;0,CONCATENATE('906MP'!J2447," - ",'906MP'!P2447,", ",'906MP'!E2447),"nincs megjegyzés")</f>
        <v>nincs megjegyzés</v>
      </c>
      <c r="V2747" t="str">
        <f t="shared" si="798"/>
        <v>0P0</v>
      </c>
      <c r="W2747" t="str">
        <f t="shared" si="799"/>
        <v>0P0</v>
      </c>
      <c r="X2747" t="str">
        <f t="shared" si="800"/>
        <v>P0</v>
      </c>
      <c r="Y2747" t="str">
        <f t="shared" si="801"/>
        <v>00</v>
      </c>
      <c r="Z2747" t="str">
        <f t="shared" si="812"/>
        <v>00</v>
      </c>
      <c r="AA2747" t="str">
        <f t="shared" si="802"/>
        <v>00</v>
      </c>
      <c r="AB2747" t="str">
        <f t="shared" si="803"/>
        <v>00</v>
      </c>
      <c r="AC2747" t="str">
        <f t="shared" si="804"/>
        <v>0P0</v>
      </c>
      <c r="AD2747" t="str">
        <f t="shared" si="805"/>
        <v>P00</v>
      </c>
      <c r="AE2747" t="str">
        <f t="shared" si="806"/>
        <v>0P0</v>
      </c>
      <c r="AF2747" t="str">
        <f t="shared" si="807"/>
        <v>P00</v>
      </c>
      <c r="AG2747" t="str">
        <f t="shared" si="813"/>
        <v>0P00</v>
      </c>
      <c r="AH2747" t="str">
        <f t="shared" si="814"/>
        <v>P000</v>
      </c>
      <c r="AI2747" t="str">
        <f t="shared" si="815"/>
        <v>0P00</v>
      </c>
      <c r="AJ2747" t="str">
        <f t="shared" si="816"/>
        <v>P000</v>
      </c>
    </row>
    <row r="2748" spans="1:36" x14ac:dyDescent="0.25">
      <c r="A2748" s="325" t="str">
        <f>CONCATENATE("P",'906MP'!M2448)</f>
        <v>P</v>
      </c>
      <c r="B2748">
        <f>'906MP'!H2448</f>
        <v>0</v>
      </c>
      <c r="C2748">
        <f>'906MP'!J2448</f>
        <v>0</v>
      </c>
      <c r="D2748">
        <f>'906MP'!P2448</f>
        <v>0</v>
      </c>
      <c r="E2748">
        <f>'906MP'!X2448</f>
        <v>0</v>
      </c>
      <c r="F2748" t="str">
        <f t="shared" si="808"/>
        <v>0</v>
      </c>
      <c r="G2748" t="str">
        <f t="shared" si="809"/>
        <v>0</v>
      </c>
      <c r="H2748">
        <f>'906MP'!Y2448</f>
        <v>0</v>
      </c>
      <c r="I2748">
        <f>'906MP'!AK2448</f>
        <v>0</v>
      </c>
      <c r="J2748">
        <f>'906MP'!T2448</f>
        <v>0</v>
      </c>
      <c r="K2748">
        <f>'906MP'!AJ2448</f>
        <v>0</v>
      </c>
      <c r="L2748">
        <f>'906MP'!U2448</f>
        <v>0</v>
      </c>
      <c r="M2748" s="322" t="str">
        <f>IFERROR(VLOOKUP(A2748,PAR!$D$3:$E$53,2,FALSE),"nincs szervezet")</f>
        <v>nincs szervezet</v>
      </c>
      <c r="N2748" s="322" t="str">
        <f>VLOOKUP(F2748,PAR!$R$3:$S$5,2,FALSE)</f>
        <v>3 - egyik sem</v>
      </c>
      <c r="O2748" t="str">
        <f>IFERROR(VLOOKUP(J2748,PAR!$O$3:$P$5,2,FALSE),"nincs feladat")</f>
        <v>nincs feladat</v>
      </c>
      <c r="P2748" t="str">
        <f>IFERROR(VLOOKUP(G2748,PAR!$J$2:$M$19,4),"nincs rovat")</f>
        <v>nincs rovat</v>
      </c>
      <c r="Q2748" t="str">
        <f>IF(H2748&gt;0,VLOOKUP(H2748,PAR!$AA$3:$AC$187,3,FALSE),"nincs főkönyvi számla")</f>
        <v>nincs főkönyvi számla</v>
      </c>
      <c r="R2748" t="str">
        <f>IFERROR(VLOOKUP(K2748,PAR!$V$3:$X$438,3,FALSE),"000000 - Nincs COFOG")</f>
        <v>000000 - Nincs COFOG</v>
      </c>
      <c r="S2748">
        <f t="shared" si="810"/>
        <v>0</v>
      </c>
      <c r="T2748">
        <f t="shared" si="811"/>
        <v>0</v>
      </c>
      <c r="U2748" t="str">
        <f>IF('906MP'!J2448&gt;0,CONCATENATE('906MP'!J2448," - ",'906MP'!P2448,", ",'906MP'!E2448),"nincs megjegyzés")</f>
        <v>nincs megjegyzés</v>
      </c>
      <c r="V2748" t="str">
        <f t="shared" si="798"/>
        <v>0P0</v>
      </c>
      <c r="W2748" t="str">
        <f t="shared" si="799"/>
        <v>0P0</v>
      </c>
      <c r="X2748" t="str">
        <f t="shared" si="800"/>
        <v>P0</v>
      </c>
      <c r="Y2748" t="str">
        <f t="shared" si="801"/>
        <v>00</v>
      </c>
      <c r="Z2748" t="str">
        <f t="shared" si="812"/>
        <v>00</v>
      </c>
      <c r="AA2748" t="str">
        <f t="shared" si="802"/>
        <v>00</v>
      </c>
      <c r="AB2748" t="str">
        <f t="shared" si="803"/>
        <v>00</v>
      </c>
      <c r="AC2748" t="str">
        <f t="shared" si="804"/>
        <v>0P0</v>
      </c>
      <c r="AD2748" t="str">
        <f t="shared" si="805"/>
        <v>P00</v>
      </c>
      <c r="AE2748" t="str">
        <f t="shared" si="806"/>
        <v>0P0</v>
      </c>
      <c r="AF2748" t="str">
        <f t="shared" si="807"/>
        <v>P00</v>
      </c>
      <c r="AG2748" t="str">
        <f t="shared" si="813"/>
        <v>0P00</v>
      </c>
      <c r="AH2748" t="str">
        <f t="shared" si="814"/>
        <v>P000</v>
      </c>
      <c r="AI2748" t="str">
        <f t="shared" si="815"/>
        <v>0P00</v>
      </c>
      <c r="AJ2748" t="str">
        <f t="shared" si="816"/>
        <v>P000</v>
      </c>
    </row>
    <row r="2749" spans="1:36" x14ac:dyDescent="0.25">
      <c r="A2749" s="325" t="str">
        <f>CONCATENATE("P",'906MP'!M2449)</f>
        <v>P</v>
      </c>
      <c r="B2749">
        <f>'906MP'!H2449</f>
        <v>0</v>
      </c>
      <c r="C2749">
        <f>'906MP'!J2449</f>
        <v>0</v>
      </c>
      <c r="D2749">
        <f>'906MP'!P2449</f>
        <v>0</v>
      </c>
      <c r="E2749">
        <f>'906MP'!X2449</f>
        <v>0</v>
      </c>
      <c r="F2749" t="str">
        <f t="shared" si="808"/>
        <v>0</v>
      </c>
      <c r="G2749" t="str">
        <f t="shared" si="809"/>
        <v>0</v>
      </c>
      <c r="H2749">
        <f>'906MP'!Y2449</f>
        <v>0</v>
      </c>
      <c r="I2749">
        <f>'906MP'!AK2449</f>
        <v>0</v>
      </c>
      <c r="J2749">
        <f>'906MP'!T2449</f>
        <v>0</v>
      </c>
      <c r="K2749">
        <f>'906MP'!AJ2449</f>
        <v>0</v>
      </c>
      <c r="L2749">
        <f>'906MP'!U2449</f>
        <v>0</v>
      </c>
      <c r="M2749" s="322" t="str">
        <f>IFERROR(VLOOKUP(A2749,PAR!$D$3:$E$53,2,FALSE),"nincs szervezet")</f>
        <v>nincs szervezet</v>
      </c>
      <c r="N2749" s="322" t="str">
        <f>VLOOKUP(F2749,PAR!$R$3:$S$5,2,FALSE)</f>
        <v>3 - egyik sem</v>
      </c>
      <c r="O2749" t="str">
        <f>IFERROR(VLOOKUP(J2749,PAR!$O$3:$P$5,2,FALSE),"nincs feladat")</f>
        <v>nincs feladat</v>
      </c>
      <c r="P2749" t="str">
        <f>IFERROR(VLOOKUP(G2749,PAR!$J$2:$M$19,4),"nincs rovat")</f>
        <v>nincs rovat</v>
      </c>
      <c r="Q2749" t="str">
        <f>IF(H2749&gt;0,VLOOKUP(H2749,PAR!$AA$3:$AC$187,3,FALSE),"nincs főkönyvi számla")</f>
        <v>nincs főkönyvi számla</v>
      </c>
      <c r="R2749" t="str">
        <f>IFERROR(VLOOKUP(K2749,PAR!$V$3:$X$438,3,FALSE),"000000 - Nincs COFOG")</f>
        <v>000000 - Nincs COFOG</v>
      </c>
      <c r="S2749">
        <f t="shared" si="810"/>
        <v>0</v>
      </c>
      <c r="T2749">
        <f t="shared" si="811"/>
        <v>0</v>
      </c>
      <c r="U2749" t="str">
        <f>IF('906MP'!J2449&gt;0,CONCATENATE('906MP'!J2449," - ",'906MP'!P2449,", ",'906MP'!E2449),"nincs megjegyzés")</f>
        <v>nincs megjegyzés</v>
      </c>
      <c r="V2749" t="str">
        <f t="shared" si="798"/>
        <v>0P0</v>
      </c>
      <c r="W2749" t="str">
        <f t="shared" si="799"/>
        <v>0P0</v>
      </c>
      <c r="X2749" t="str">
        <f t="shared" si="800"/>
        <v>P0</v>
      </c>
      <c r="Y2749" t="str">
        <f t="shared" si="801"/>
        <v>00</v>
      </c>
      <c r="Z2749" t="str">
        <f t="shared" si="812"/>
        <v>00</v>
      </c>
      <c r="AA2749" t="str">
        <f t="shared" si="802"/>
        <v>00</v>
      </c>
      <c r="AB2749" t="str">
        <f t="shared" si="803"/>
        <v>00</v>
      </c>
      <c r="AC2749" t="str">
        <f t="shared" si="804"/>
        <v>0P0</v>
      </c>
      <c r="AD2749" t="str">
        <f t="shared" si="805"/>
        <v>P00</v>
      </c>
      <c r="AE2749" t="str">
        <f t="shared" si="806"/>
        <v>0P0</v>
      </c>
      <c r="AF2749" t="str">
        <f t="shared" si="807"/>
        <v>P00</v>
      </c>
      <c r="AG2749" t="str">
        <f t="shared" si="813"/>
        <v>0P00</v>
      </c>
      <c r="AH2749" t="str">
        <f t="shared" si="814"/>
        <v>P000</v>
      </c>
      <c r="AI2749" t="str">
        <f t="shared" si="815"/>
        <v>0P00</v>
      </c>
      <c r="AJ2749" t="str">
        <f t="shared" si="816"/>
        <v>P000</v>
      </c>
    </row>
    <row r="2750" spans="1:36" x14ac:dyDescent="0.25">
      <c r="A2750" s="325" t="str">
        <f>CONCATENATE("P",'906MP'!M2450)</f>
        <v>P</v>
      </c>
      <c r="B2750">
        <f>'906MP'!H2450</f>
        <v>0</v>
      </c>
      <c r="C2750">
        <f>'906MP'!J2450</f>
        <v>0</v>
      </c>
      <c r="D2750">
        <f>'906MP'!P2450</f>
        <v>0</v>
      </c>
      <c r="E2750">
        <f>'906MP'!X2450</f>
        <v>0</v>
      </c>
      <c r="F2750" t="str">
        <f t="shared" si="808"/>
        <v>0</v>
      </c>
      <c r="G2750" t="str">
        <f t="shared" si="809"/>
        <v>0</v>
      </c>
      <c r="H2750">
        <f>'906MP'!Y2450</f>
        <v>0</v>
      </c>
      <c r="I2750">
        <f>'906MP'!AK2450</f>
        <v>0</v>
      </c>
      <c r="J2750">
        <f>'906MP'!T2450</f>
        <v>0</v>
      </c>
      <c r="K2750">
        <f>'906MP'!AJ2450</f>
        <v>0</v>
      </c>
      <c r="L2750">
        <f>'906MP'!U2450</f>
        <v>0</v>
      </c>
      <c r="M2750" s="322" t="str">
        <f>IFERROR(VLOOKUP(A2750,PAR!$D$3:$E$53,2,FALSE),"nincs szervezet")</f>
        <v>nincs szervezet</v>
      </c>
      <c r="N2750" s="322" t="str">
        <f>VLOOKUP(F2750,PAR!$R$3:$S$5,2,FALSE)</f>
        <v>3 - egyik sem</v>
      </c>
      <c r="O2750" t="str">
        <f>IFERROR(VLOOKUP(J2750,PAR!$O$3:$P$5,2,FALSE),"nincs feladat")</f>
        <v>nincs feladat</v>
      </c>
      <c r="P2750" t="str">
        <f>IFERROR(VLOOKUP(G2750,PAR!$J$2:$M$19,4),"nincs rovat")</f>
        <v>nincs rovat</v>
      </c>
      <c r="Q2750" t="str">
        <f>IF(H2750&gt;0,VLOOKUP(H2750,PAR!$AA$3:$AC$187,3,FALSE),"nincs főkönyvi számla")</f>
        <v>nincs főkönyvi számla</v>
      </c>
      <c r="R2750" t="str">
        <f>IFERROR(VLOOKUP(K2750,PAR!$V$3:$X$438,3,FALSE),"000000 - Nincs COFOG")</f>
        <v>000000 - Nincs COFOG</v>
      </c>
      <c r="S2750">
        <f t="shared" si="810"/>
        <v>0</v>
      </c>
      <c r="T2750">
        <f t="shared" si="811"/>
        <v>0</v>
      </c>
      <c r="U2750" t="str">
        <f>IF('906MP'!J2450&gt;0,CONCATENATE('906MP'!J2450," - ",'906MP'!P2450,", ",'906MP'!E2450),"nincs megjegyzés")</f>
        <v>nincs megjegyzés</v>
      </c>
      <c r="V2750" t="str">
        <f t="shared" si="798"/>
        <v>0P0</v>
      </c>
      <c r="W2750" t="str">
        <f t="shared" si="799"/>
        <v>0P0</v>
      </c>
      <c r="X2750" t="str">
        <f t="shared" si="800"/>
        <v>P0</v>
      </c>
      <c r="Y2750" t="str">
        <f t="shared" si="801"/>
        <v>00</v>
      </c>
      <c r="Z2750" t="str">
        <f t="shared" si="812"/>
        <v>00</v>
      </c>
      <c r="AA2750" t="str">
        <f t="shared" si="802"/>
        <v>00</v>
      </c>
      <c r="AB2750" t="str">
        <f t="shared" si="803"/>
        <v>00</v>
      </c>
      <c r="AC2750" t="str">
        <f t="shared" si="804"/>
        <v>0P0</v>
      </c>
      <c r="AD2750" t="str">
        <f t="shared" si="805"/>
        <v>P00</v>
      </c>
      <c r="AE2750" t="str">
        <f t="shared" si="806"/>
        <v>0P0</v>
      </c>
      <c r="AF2750" t="str">
        <f t="shared" si="807"/>
        <v>P00</v>
      </c>
      <c r="AG2750" t="str">
        <f t="shared" si="813"/>
        <v>0P00</v>
      </c>
      <c r="AH2750" t="str">
        <f t="shared" si="814"/>
        <v>P000</v>
      </c>
      <c r="AI2750" t="str">
        <f t="shared" si="815"/>
        <v>0P00</v>
      </c>
      <c r="AJ2750" t="str">
        <f t="shared" si="816"/>
        <v>P000</v>
      </c>
    </row>
    <row r="2751" spans="1:36" x14ac:dyDescent="0.25">
      <c r="A2751" s="325" t="str">
        <f>CONCATENATE("P",'906MP'!M2451)</f>
        <v>P</v>
      </c>
      <c r="B2751">
        <f>'906MP'!H2451</f>
        <v>0</v>
      </c>
      <c r="C2751">
        <f>'906MP'!J2451</f>
        <v>0</v>
      </c>
      <c r="D2751">
        <f>'906MP'!P2451</f>
        <v>0</v>
      </c>
      <c r="E2751">
        <f>'906MP'!X2451</f>
        <v>0</v>
      </c>
      <c r="F2751" t="str">
        <f t="shared" si="808"/>
        <v>0</v>
      </c>
      <c r="G2751" t="str">
        <f t="shared" si="809"/>
        <v>0</v>
      </c>
      <c r="H2751">
        <f>'906MP'!Y2451</f>
        <v>0</v>
      </c>
      <c r="I2751">
        <f>'906MP'!AK2451</f>
        <v>0</v>
      </c>
      <c r="J2751">
        <f>'906MP'!T2451</f>
        <v>0</v>
      </c>
      <c r="K2751">
        <f>'906MP'!AJ2451</f>
        <v>0</v>
      </c>
      <c r="L2751">
        <f>'906MP'!U2451</f>
        <v>0</v>
      </c>
      <c r="M2751" s="322" t="str">
        <f>IFERROR(VLOOKUP(A2751,PAR!$D$3:$E$53,2,FALSE),"nincs szervezet")</f>
        <v>nincs szervezet</v>
      </c>
      <c r="N2751" s="322" t="str">
        <f>VLOOKUP(F2751,PAR!$R$3:$S$5,2,FALSE)</f>
        <v>3 - egyik sem</v>
      </c>
      <c r="O2751" t="str">
        <f>IFERROR(VLOOKUP(J2751,PAR!$O$3:$P$5,2,FALSE),"nincs feladat")</f>
        <v>nincs feladat</v>
      </c>
      <c r="P2751" t="str">
        <f>IFERROR(VLOOKUP(G2751,PAR!$J$2:$M$19,4),"nincs rovat")</f>
        <v>nincs rovat</v>
      </c>
      <c r="Q2751" t="str">
        <f>IF(H2751&gt;0,VLOOKUP(H2751,PAR!$AA$3:$AC$187,3,FALSE),"nincs főkönyvi számla")</f>
        <v>nincs főkönyvi számla</v>
      </c>
      <c r="R2751" t="str">
        <f>IFERROR(VLOOKUP(K2751,PAR!$V$3:$X$438,3,FALSE),"000000 - Nincs COFOG")</f>
        <v>000000 - Nincs COFOG</v>
      </c>
      <c r="S2751">
        <f t="shared" si="810"/>
        <v>0</v>
      </c>
      <c r="T2751">
        <f t="shared" si="811"/>
        <v>0</v>
      </c>
      <c r="U2751" t="str">
        <f>IF('906MP'!J2451&gt;0,CONCATENATE('906MP'!J2451," - ",'906MP'!P2451,", ",'906MP'!E2451),"nincs megjegyzés")</f>
        <v>nincs megjegyzés</v>
      </c>
      <c r="V2751" t="str">
        <f t="shared" si="798"/>
        <v>0P0</v>
      </c>
      <c r="W2751" t="str">
        <f t="shared" si="799"/>
        <v>0P0</v>
      </c>
      <c r="X2751" t="str">
        <f t="shared" si="800"/>
        <v>P0</v>
      </c>
      <c r="Y2751" t="str">
        <f t="shared" si="801"/>
        <v>00</v>
      </c>
      <c r="Z2751" t="str">
        <f t="shared" si="812"/>
        <v>00</v>
      </c>
      <c r="AA2751" t="str">
        <f t="shared" si="802"/>
        <v>00</v>
      </c>
      <c r="AB2751" t="str">
        <f t="shared" si="803"/>
        <v>00</v>
      </c>
      <c r="AC2751" t="str">
        <f t="shared" si="804"/>
        <v>0P0</v>
      </c>
      <c r="AD2751" t="str">
        <f t="shared" si="805"/>
        <v>P00</v>
      </c>
      <c r="AE2751" t="str">
        <f t="shared" si="806"/>
        <v>0P0</v>
      </c>
      <c r="AF2751" t="str">
        <f t="shared" si="807"/>
        <v>P00</v>
      </c>
      <c r="AG2751" t="str">
        <f t="shared" si="813"/>
        <v>0P00</v>
      </c>
      <c r="AH2751" t="str">
        <f t="shared" si="814"/>
        <v>P000</v>
      </c>
      <c r="AI2751" t="str">
        <f t="shared" si="815"/>
        <v>0P00</v>
      </c>
      <c r="AJ2751" t="str">
        <f t="shared" si="816"/>
        <v>P000</v>
      </c>
    </row>
    <row r="2752" spans="1:36" x14ac:dyDescent="0.25">
      <c r="A2752" s="325" t="str">
        <f>CONCATENATE("P",'906MP'!M2452)</f>
        <v>P</v>
      </c>
      <c r="B2752">
        <f>'906MP'!H2452</f>
        <v>0</v>
      </c>
      <c r="C2752">
        <f>'906MP'!J2452</f>
        <v>0</v>
      </c>
      <c r="D2752">
        <f>'906MP'!P2452</f>
        <v>0</v>
      </c>
      <c r="E2752">
        <f>'906MP'!X2452</f>
        <v>0</v>
      </c>
      <c r="F2752" t="str">
        <f t="shared" si="808"/>
        <v>0</v>
      </c>
      <c r="G2752" t="str">
        <f t="shared" si="809"/>
        <v>0</v>
      </c>
      <c r="H2752">
        <f>'906MP'!Y2452</f>
        <v>0</v>
      </c>
      <c r="I2752">
        <f>'906MP'!AK2452</f>
        <v>0</v>
      </c>
      <c r="J2752">
        <f>'906MP'!T2452</f>
        <v>0</v>
      </c>
      <c r="K2752">
        <f>'906MP'!AJ2452</f>
        <v>0</v>
      </c>
      <c r="L2752">
        <f>'906MP'!U2452</f>
        <v>0</v>
      </c>
      <c r="M2752" s="322" t="str">
        <f>IFERROR(VLOOKUP(A2752,PAR!$D$3:$E$53,2,FALSE),"nincs szervezet")</f>
        <v>nincs szervezet</v>
      </c>
      <c r="N2752" s="322" t="str">
        <f>VLOOKUP(F2752,PAR!$R$3:$S$5,2,FALSE)</f>
        <v>3 - egyik sem</v>
      </c>
      <c r="O2752" t="str">
        <f>IFERROR(VLOOKUP(J2752,PAR!$O$3:$P$5,2,FALSE),"nincs feladat")</f>
        <v>nincs feladat</v>
      </c>
      <c r="P2752" t="str">
        <f>IFERROR(VLOOKUP(G2752,PAR!$J$2:$M$19,4),"nincs rovat")</f>
        <v>nincs rovat</v>
      </c>
      <c r="Q2752" t="str">
        <f>IF(H2752&gt;0,VLOOKUP(H2752,PAR!$AA$3:$AC$187,3,FALSE),"nincs főkönyvi számla")</f>
        <v>nincs főkönyvi számla</v>
      </c>
      <c r="R2752" t="str">
        <f>IFERROR(VLOOKUP(K2752,PAR!$V$3:$X$438,3,FALSE),"000000 - Nincs COFOG")</f>
        <v>000000 - Nincs COFOG</v>
      </c>
      <c r="S2752">
        <f t="shared" si="810"/>
        <v>0</v>
      </c>
      <c r="T2752">
        <f t="shared" si="811"/>
        <v>0</v>
      </c>
      <c r="U2752" t="str">
        <f>IF('906MP'!J2452&gt;0,CONCATENATE('906MP'!J2452," - ",'906MP'!P2452,", ",'906MP'!E2452),"nincs megjegyzés")</f>
        <v>nincs megjegyzés</v>
      </c>
      <c r="V2752" t="str">
        <f t="shared" si="798"/>
        <v>0P0</v>
      </c>
      <c r="W2752" t="str">
        <f t="shared" si="799"/>
        <v>0P0</v>
      </c>
      <c r="X2752" t="str">
        <f t="shared" si="800"/>
        <v>P0</v>
      </c>
      <c r="Y2752" t="str">
        <f t="shared" si="801"/>
        <v>00</v>
      </c>
      <c r="Z2752" t="str">
        <f t="shared" si="812"/>
        <v>00</v>
      </c>
      <c r="AA2752" t="str">
        <f t="shared" si="802"/>
        <v>00</v>
      </c>
      <c r="AB2752" t="str">
        <f t="shared" si="803"/>
        <v>00</v>
      </c>
      <c r="AC2752" t="str">
        <f t="shared" si="804"/>
        <v>0P0</v>
      </c>
      <c r="AD2752" t="str">
        <f t="shared" si="805"/>
        <v>P00</v>
      </c>
      <c r="AE2752" t="str">
        <f t="shared" si="806"/>
        <v>0P0</v>
      </c>
      <c r="AF2752" t="str">
        <f t="shared" si="807"/>
        <v>P00</v>
      </c>
      <c r="AG2752" t="str">
        <f t="shared" si="813"/>
        <v>0P00</v>
      </c>
      <c r="AH2752" t="str">
        <f t="shared" si="814"/>
        <v>P000</v>
      </c>
      <c r="AI2752" t="str">
        <f t="shared" si="815"/>
        <v>0P00</v>
      </c>
      <c r="AJ2752" t="str">
        <f t="shared" si="816"/>
        <v>P000</v>
      </c>
    </row>
    <row r="2753" spans="1:36" x14ac:dyDescent="0.25">
      <c r="A2753" s="325" t="str">
        <f>CONCATENATE("P",'906MP'!M2453)</f>
        <v>P</v>
      </c>
      <c r="B2753">
        <f>'906MP'!H2453</f>
        <v>0</v>
      </c>
      <c r="C2753">
        <f>'906MP'!J2453</f>
        <v>0</v>
      </c>
      <c r="D2753">
        <f>'906MP'!P2453</f>
        <v>0</v>
      </c>
      <c r="E2753">
        <f>'906MP'!X2453</f>
        <v>0</v>
      </c>
      <c r="F2753" t="str">
        <f t="shared" si="808"/>
        <v>0</v>
      </c>
      <c r="G2753" t="str">
        <f t="shared" si="809"/>
        <v>0</v>
      </c>
      <c r="H2753">
        <f>'906MP'!Y2453</f>
        <v>0</v>
      </c>
      <c r="I2753">
        <f>'906MP'!AK2453</f>
        <v>0</v>
      </c>
      <c r="J2753">
        <f>'906MP'!T2453</f>
        <v>0</v>
      </c>
      <c r="K2753">
        <f>'906MP'!AJ2453</f>
        <v>0</v>
      </c>
      <c r="L2753">
        <f>'906MP'!U2453</f>
        <v>0</v>
      </c>
      <c r="M2753" s="322" t="str">
        <f>IFERROR(VLOOKUP(A2753,PAR!$D$3:$E$53,2,FALSE),"nincs szervezet")</f>
        <v>nincs szervezet</v>
      </c>
      <c r="N2753" s="322" t="str">
        <f>VLOOKUP(F2753,PAR!$R$3:$S$5,2,FALSE)</f>
        <v>3 - egyik sem</v>
      </c>
      <c r="O2753" t="str">
        <f>IFERROR(VLOOKUP(J2753,PAR!$O$3:$P$5,2,FALSE),"nincs feladat")</f>
        <v>nincs feladat</v>
      </c>
      <c r="P2753" t="str">
        <f>IFERROR(VLOOKUP(G2753,PAR!$J$2:$M$19,4),"nincs rovat")</f>
        <v>nincs rovat</v>
      </c>
      <c r="Q2753" t="str">
        <f>IF(H2753&gt;0,VLOOKUP(H2753,PAR!$AA$3:$AC$187,3,FALSE),"nincs főkönyvi számla")</f>
        <v>nincs főkönyvi számla</v>
      </c>
      <c r="R2753" t="str">
        <f>IFERROR(VLOOKUP(K2753,PAR!$V$3:$X$438,3,FALSE),"000000 - Nincs COFOG")</f>
        <v>000000 - Nincs COFOG</v>
      </c>
      <c r="S2753">
        <f t="shared" si="810"/>
        <v>0</v>
      </c>
      <c r="T2753">
        <f t="shared" si="811"/>
        <v>0</v>
      </c>
      <c r="U2753" t="str">
        <f>IF('906MP'!J2453&gt;0,CONCATENATE('906MP'!J2453," - ",'906MP'!P2453,", ",'906MP'!E2453),"nincs megjegyzés")</f>
        <v>nincs megjegyzés</v>
      </c>
      <c r="V2753" t="str">
        <f t="shared" si="798"/>
        <v>0P0</v>
      </c>
      <c r="W2753" t="str">
        <f t="shared" si="799"/>
        <v>0P0</v>
      </c>
      <c r="X2753" t="str">
        <f t="shared" si="800"/>
        <v>P0</v>
      </c>
      <c r="Y2753" t="str">
        <f t="shared" si="801"/>
        <v>00</v>
      </c>
      <c r="Z2753" t="str">
        <f t="shared" si="812"/>
        <v>00</v>
      </c>
      <c r="AA2753" t="str">
        <f t="shared" si="802"/>
        <v>00</v>
      </c>
      <c r="AB2753" t="str">
        <f t="shared" si="803"/>
        <v>00</v>
      </c>
      <c r="AC2753" t="str">
        <f t="shared" si="804"/>
        <v>0P0</v>
      </c>
      <c r="AD2753" t="str">
        <f t="shared" si="805"/>
        <v>P00</v>
      </c>
      <c r="AE2753" t="str">
        <f t="shared" si="806"/>
        <v>0P0</v>
      </c>
      <c r="AF2753" t="str">
        <f t="shared" si="807"/>
        <v>P00</v>
      </c>
      <c r="AG2753" t="str">
        <f t="shared" si="813"/>
        <v>0P00</v>
      </c>
      <c r="AH2753" t="str">
        <f t="shared" si="814"/>
        <v>P000</v>
      </c>
      <c r="AI2753" t="str">
        <f t="shared" si="815"/>
        <v>0P00</v>
      </c>
      <c r="AJ2753" t="str">
        <f t="shared" si="816"/>
        <v>P000</v>
      </c>
    </row>
    <row r="2754" spans="1:36" x14ac:dyDescent="0.25">
      <c r="A2754" s="325" t="str">
        <f>CONCATENATE("P",'906MP'!M2454)</f>
        <v>P</v>
      </c>
      <c r="B2754">
        <f>'906MP'!H2454</f>
        <v>0</v>
      </c>
      <c r="C2754">
        <f>'906MP'!J2454</f>
        <v>0</v>
      </c>
      <c r="D2754">
        <f>'906MP'!P2454</f>
        <v>0</v>
      </c>
      <c r="E2754">
        <f>'906MP'!X2454</f>
        <v>0</v>
      </c>
      <c r="F2754" t="str">
        <f t="shared" si="808"/>
        <v>0</v>
      </c>
      <c r="G2754" t="str">
        <f t="shared" si="809"/>
        <v>0</v>
      </c>
      <c r="H2754">
        <f>'906MP'!Y2454</f>
        <v>0</v>
      </c>
      <c r="I2754">
        <f>'906MP'!AK2454</f>
        <v>0</v>
      </c>
      <c r="J2754">
        <f>'906MP'!T2454</f>
        <v>0</v>
      </c>
      <c r="K2754">
        <f>'906MP'!AJ2454</f>
        <v>0</v>
      </c>
      <c r="L2754">
        <f>'906MP'!U2454</f>
        <v>0</v>
      </c>
      <c r="M2754" s="322" t="str">
        <f>IFERROR(VLOOKUP(A2754,PAR!$D$3:$E$53,2,FALSE),"nincs szervezet")</f>
        <v>nincs szervezet</v>
      </c>
      <c r="N2754" s="322" t="str">
        <f>VLOOKUP(F2754,PAR!$R$3:$S$5,2,FALSE)</f>
        <v>3 - egyik sem</v>
      </c>
      <c r="O2754" t="str">
        <f>IFERROR(VLOOKUP(J2754,PAR!$O$3:$P$5,2,FALSE),"nincs feladat")</f>
        <v>nincs feladat</v>
      </c>
      <c r="P2754" t="str">
        <f>IFERROR(VLOOKUP(G2754,PAR!$J$2:$M$19,4),"nincs rovat")</f>
        <v>nincs rovat</v>
      </c>
      <c r="Q2754" t="str">
        <f>IF(H2754&gt;0,VLOOKUP(H2754,PAR!$AA$3:$AC$187,3,FALSE),"nincs főkönyvi számla")</f>
        <v>nincs főkönyvi számla</v>
      </c>
      <c r="R2754" t="str">
        <f>IFERROR(VLOOKUP(K2754,PAR!$V$3:$X$438,3,FALSE),"000000 - Nincs COFOG")</f>
        <v>000000 - Nincs COFOG</v>
      </c>
      <c r="S2754">
        <f t="shared" si="810"/>
        <v>0</v>
      </c>
      <c r="T2754">
        <f t="shared" si="811"/>
        <v>0</v>
      </c>
      <c r="U2754" t="str">
        <f>IF('906MP'!J2454&gt;0,CONCATENATE('906MP'!J2454," - ",'906MP'!P2454,", ",'906MP'!E2454),"nincs megjegyzés")</f>
        <v>nincs megjegyzés</v>
      </c>
      <c r="V2754" t="str">
        <f t="shared" ref="V2754:V2817" si="817">CONCATENATE(B2754,A2754,G2754)</f>
        <v>0P0</v>
      </c>
      <c r="W2754" t="str">
        <f t="shared" ref="W2754:W2817" si="818">CONCATENATE(B2754,A2754,F2754)</f>
        <v>0P0</v>
      </c>
      <c r="X2754" t="str">
        <f t="shared" ref="X2754:X2817" si="819">CONCATENATE(A2754,H2754)</f>
        <v>P0</v>
      </c>
      <c r="Y2754" t="str">
        <f t="shared" ref="Y2754:Y2817" si="820">CONCATENATE(B2754,H2754)</f>
        <v>00</v>
      </c>
      <c r="Z2754" t="str">
        <f t="shared" si="812"/>
        <v>00</v>
      </c>
      <c r="AA2754" t="str">
        <f t="shared" ref="AA2754:AA2817" si="821">CONCATENATE(B2754,G2754)</f>
        <v>00</v>
      </c>
      <c r="AB2754" t="str">
        <f t="shared" ref="AB2754:AB2817" si="822">CONCATENATE(J2754,G2754)</f>
        <v>00</v>
      </c>
      <c r="AC2754" t="str">
        <f t="shared" ref="AC2754:AC2817" si="823">CONCATENATE(B2754,A2754,H2754)</f>
        <v>0P0</v>
      </c>
      <c r="AD2754" t="str">
        <f t="shared" ref="AD2754:AD2817" si="824">CONCATENATE(A2754,H2754,J2754)</f>
        <v>P00</v>
      </c>
      <c r="AE2754" t="str">
        <f t="shared" ref="AE2754:AE2817" si="825">CONCATENATE(B2754,A2754,G2754)</f>
        <v>0P0</v>
      </c>
      <c r="AF2754" t="str">
        <f t="shared" ref="AF2754:AF2817" si="826">CONCATENATE(A2754,G2754,J2754)</f>
        <v>P00</v>
      </c>
      <c r="AG2754" t="str">
        <f t="shared" si="813"/>
        <v>0P00</v>
      </c>
      <c r="AH2754" t="str">
        <f t="shared" si="814"/>
        <v>P000</v>
      </c>
      <c r="AI2754" t="str">
        <f t="shared" si="815"/>
        <v>0P00</v>
      </c>
      <c r="AJ2754" t="str">
        <f t="shared" si="816"/>
        <v>P000</v>
      </c>
    </row>
    <row r="2755" spans="1:36" x14ac:dyDescent="0.25">
      <c r="A2755" s="325" t="str">
        <f>CONCATENATE("P",'906MP'!M2455)</f>
        <v>P</v>
      </c>
      <c r="B2755">
        <f>'906MP'!H2455</f>
        <v>0</v>
      </c>
      <c r="C2755">
        <f>'906MP'!J2455</f>
        <v>0</v>
      </c>
      <c r="D2755">
        <f>'906MP'!P2455</f>
        <v>0</v>
      </c>
      <c r="E2755">
        <f>'906MP'!X2455</f>
        <v>0</v>
      </c>
      <c r="F2755" t="str">
        <f t="shared" ref="F2755:F2818" si="827">LEFT(G2755,2)</f>
        <v>0</v>
      </c>
      <c r="G2755" t="str">
        <f t="shared" ref="G2755:G2818" si="828">LEFT(H2755,3)</f>
        <v>0</v>
      </c>
      <c r="H2755">
        <f>'906MP'!Y2455</f>
        <v>0</v>
      </c>
      <c r="I2755">
        <f>'906MP'!AK2455</f>
        <v>0</v>
      </c>
      <c r="J2755">
        <f>'906MP'!T2455</f>
        <v>0</v>
      </c>
      <c r="K2755">
        <f>'906MP'!AJ2455</f>
        <v>0</v>
      </c>
      <c r="L2755">
        <f>'906MP'!U2455</f>
        <v>0</v>
      </c>
      <c r="M2755" s="322" t="str">
        <f>IFERROR(VLOOKUP(A2755,PAR!$D$3:$E$53,2,FALSE),"nincs szervezet")</f>
        <v>nincs szervezet</v>
      </c>
      <c r="N2755" s="322" t="str">
        <f>VLOOKUP(F2755,PAR!$R$3:$S$5,2,FALSE)</f>
        <v>3 - egyik sem</v>
      </c>
      <c r="O2755" t="str">
        <f>IFERROR(VLOOKUP(J2755,PAR!$O$3:$P$5,2,FALSE),"nincs feladat")</f>
        <v>nincs feladat</v>
      </c>
      <c r="P2755" t="str">
        <f>IFERROR(VLOOKUP(G2755,PAR!$J$2:$M$19,4),"nincs rovat")</f>
        <v>nincs rovat</v>
      </c>
      <c r="Q2755" t="str">
        <f>IF(H2755&gt;0,VLOOKUP(H2755,PAR!$AA$3:$AC$187,3,FALSE),"nincs főkönyvi számla")</f>
        <v>nincs főkönyvi számla</v>
      </c>
      <c r="R2755" t="str">
        <f>IFERROR(VLOOKUP(K2755,PAR!$V$3:$X$438,3,FALSE),"000000 - Nincs COFOG")</f>
        <v>000000 - Nincs COFOG</v>
      </c>
      <c r="S2755">
        <f t="shared" ref="S2755:S2818" si="829">E2755</f>
        <v>0</v>
      </c>
      <c r="T2755">
        <f t="shared" ref="T2755:T2818" si="830">IF(F2755="09",E2755*-1,E2755)</f>
        <v>0</v>
      </c>
      <c r="U2755" t="str">
        <f>IF('906MP'!J2455&gt;0,CONCATENATE('906MP'!J2455," - ",'906MP'!P2455,", ",'906MP'!E2455),"nincs megjegyzés")</f>
        <v>nincs megjegyzés</v>
      </c>
      <c r="V2755" t="str">
        <f t="shared" si="817"/>
        <v>0P0</v>
      </c>
      <c r="W2755" t="str">
        <f t="shared" si="818"/>
        <v>0P0</v>
      </c>
      <c r="X2755" t="str">
        <f t="shared" si="819"/>
        <v>P0</v>
      </c>
      <c r="Y2755" t="str">
        <f t="shared" si="820"/>
        <v>00</v>
      </c>
      <c r="Z2755" t="str">
        <f t="shared" ref="Z2755:Z2818" si="831">CONCATENATE(J2755,H2755)</f>
        <v>00</v>
      </c>
      <c r="AA2755" t="str">
        <f t="shared" si="821"/>
        <v>00</v>
      </c>
      <c r="AB2755" t="str">
        <f t="shared" si="822"/>
        <v>00</v>
      </c>
      <c r="AC2755" t="str">
        <f t="shared" si="823"/>
        <v>0P0</v>
      </c>
      <c r="AD2755" t="str">
        <f t="shared" si="824"/>
        <v>P00</v>
      </c>
      <c r="AE2755" t="str">
        <f t="shared" si="825"/>
        <v>0P0</v>
      </c>
      <c r="AF2755" t="str">
        <f t="shared" si="826"/>
        <v>P00</v>
      </c>
      <c r="AG2755" t="str">
        <f t="shared" ref="AG2755:AG2818" si="832">CONCATENATE(B2755,A2755,H2755,L2755)</f>
        <v>0P00</v>
      </c>
      <c r="AH2755" t="str">
        <f t="shared" ref="AH2755:AH2818" si="833">CONCATENATE(A2755,J2755,H2755,L2755)</f>
        <v>P000</v>
      </c>
      <c r="AI2755" t="str">
        <f t="shared" ref="AI2755:AI2818" si="834">CONCATENATE(B2755,A2755,G2755,L2755)</f>
        <v>0P00</v>
      </c>
      <c r="AJ2755" t="str">
        <f t="shared" ref="AJ2755:AJ2818" si="835">CONCATENATE(A2755,G2755,J2755,L2755)</f>
        <v>P000</v>
      </c>
    </row>
    <row r="2756" spans="1:36" x14ac:dyDescent="0.25">
      <c r="A2756" s="325" t="str">
        <f>CONCATENATE("P",'906MP'!M2456)</f>
        <v>P</v>
      </c>
      <c r="B2756">
        <f>'906MP'!H2456</f>
        <v>0</v>
      </c>
      <c r="C2756">
        <f>'906MP'!J2456</f>
        <v>0</v>
      </c>
      <c r="D2756">
        <f>'906MP'!P2456</f>
        <v>0</v>
      </c>
      <c r="E2756">
        <f>'906MP'!X2456</f>
        <v>0</v>
      </c>
      <c r="F2756" t="str">
        <f t="shared" si="827"/>
        <v>0</v>
      </c>
      <c r="G2756" t="str">
        <f t="shared" si="828"/>
        <v>0</v>
      </c>
      <c r="H2756">
        <f>'906MP'!Y2456</f>
        <v>0</v>
      </c>
      <c r="I2756">
        <f>'906MP'!AK2456</f>
        <v>0</v>
      </c>
      <c r="J2756">
        <f>'906MP'!T2456</f>
        <v>0</v>
      </c>
      <c r="K2756">
        <f>'906MP'!AJ2456</f>
        <v>0</v>
      </c>
      <c r="L2756">
        <f>'906MP'!U2456</f>
        <v>0</v>
      </c>
      <c r="M2756" s="322" t="str">
        <f>IFERROR(VLOOKUP(A2756,PAR!$D$3:$E$53,2,FALSE),"nincs szervezet")</f>
        <v>nincs szervezet</v>
      </c>
      <c r="N2756" s="322" t="str">
        <f>VLOOKUP(F2756,PAR!$R$3:$S$5,2,FALSE)</f>
        <v>3 - egyik sem</v>
      </c>
      <c r="O2756" t="str">
        <f>IFERROR(VLOOKUP(J2756,PAR!$O$3:$P$5,2,FALSE),"nincs feladat")</f>
        <v>nincs feladat</v>
      </c>
      <c r="P2756" t="str">
        <f>IFERROR(VLOOKUP(G2756,PAR!$J$2:$M$19,4),"nincs rovat")</f>
        <v>nincs rovat</v>
      </c>
      <c r="Q2756" t="str">
        <f>IF(H2756&gt;0,VLOOKUP(H2756,PAR!$AA$3:$AC$187,3,FALSE),"nincs főkönyvi számla")</f>
        <v>nincs főkönyvi számla</v>
      </c>
      <c r="R2756" t="str">
        <f>IFERROR(VLOOKUP(K2756,PAR!$V$3:$X$438,3,FALSE),"000000 - Nincs COFOG")</f>
        <v>000000 - Nincs COFOG</v>
      </c>
      <c r="S2756">
        <f t="shared" si="829"/>
        <v>0</v>
      </c>
      <c r="T2756">
        <f t="shared" si="830"/>
        <v>0</v>
      </c>
      <c r="U2756" t="str">
        <f>IF('906MP'!J2456&gt;0,CONCATENATE('906MP'!J2456," - ",'906MP'!P2456,", ",'906MP'!E2456),"nincs megjegyzés")</f>
        <v>nincs megjegyzés</v>
      </c>
      <c r="V2756" t="str">
        <f t="shared" si="817"/>
        <v>0P0</v>
      </c>
      <c r="W2756" t="str">
        <f t="shared" si="818"/>
        <v>0P0</v>
      </c>
      <c r="X2756" t="str">
        <f t="shared" si="819"/>
        <v>P0</v>
      </c>
      <c r="Y2756" t="str">
        <f t="shared" si="820"/>
        <v>00</v>
      </c>
      <c r="Z2756" t="str">
        <f t="shared" si="831"/>
        <v>00</v>
      </c>
      <c r="AA2756" t="str">
        <f t="shared" si="821"/>
        <v>00</v>
      </c>
      <c r="AB2756" t="str">
        <f t="shared" si="822"/>
        <v>00</v>
      </c>
      <c r="AC2756" t="str">
        <f t="shared" si="823"/>
        <v>0P0</v>
      </c>
      <c r="AD2756" t="str">
        <f t="shared" si="824"/>
        <v>P00</v>
      </c>
      <c r="AE2756" t="str">
        <f t="shared" si="825"/>
        <v>0P0</v>
      </c>
      <c r="AF2756" t="str">
        <f t="shared" si="826"/>
        <v>P00</v>
      </c>
      <c r="AG2756" t="str">
        <f t="shared" si="832"/>
        <v>0P00</v>
      </c>
      <c r="AH2756" t="str">
        <f t="shared" si="833"/>
        <v>P000</v>
      </c>
      <c r="AI2756" t="str">
        <f t="shared" si="834"/>
        <v>0P00</v>
      </c>
      <c r="AJ2756" t="str">
        <f t="shared" si="835"/>
        <v>P000</v>
      </c>
    </row>
    <row r="2757" spans="1:36" x14ac:dyDescent="0.25">
      <c r="A2757" s="325" t="str">
        <f>CONCATENATE("P",'906MP'!M2457)</f>
        <v>P</v>
      </c>
      <c r="B2757">
        <f>'906MP'!H2457</f>
        <v>0</v>
      </c>
      <c r="C2757">
        <f>'906MP'!J2457</f>
        <v>0</v>
      </c>
      <c r="D2757">
        <f>'906MP'!P2457</f>
        <v>0</v>
      </c>
      <c r="E2757">
        <f>'906MP'!X2457</f>
        <v>0</v>
      </c>
      <c r="F2757" t="str">
        <f t="shared" si="827"/>
        <v>0</v>
      </c>
      <c r="G2757" t="str">
        <f t="shared" si="828"/>
        <v>0</v>
      </c>
      <c r="H2757">
        <f>'906MP'!Y2457</f>
        <v>0</v>
      </c>
      <c r="I2757">
        <f>'906MP'!AK2457</f>
        <v>0</v>
      </c>
      <c r="J2757">
        <f>'906MP'!T2457</f>
        <v>0</v>
      </c>
      <c r="K2757">
        <f>'906MP'!AJ2457</f>
        <v>0</v>
      </c>
      <c r="L2757">
        <f>'906MP'!U2457</f>
        <v>0</v>
      </c>
      <c r="M2757" s="322" t="str">
        <f>IFERROR(VLOOKUP(A2757,PAR!$D$3:$E$53,2,FALSE),"nincs szervezet")</f>
        <v>nincs szervezet</v>
      </c>
      <c r="N2757" s="322" t="str">
        <f>VLOOKUP(F2757,PAR!$R$3:$S$5,2,FALSE)</f>
        <v>3 - egyik sem</v>
      </c>
      <c r="O2757" t="str">
        <f>IFERROR(VLOOKUP(J2757,PAR!$O$3:$P$5,2,FALSE),"nincs feladat")</f>
        <v>nincs feladat</v>
      </c>
      <c r="P2757" t="str">
        <f>IFERROR(VLOOKUP(G2757,PAR!$J$2:$M$19,4),"nincs rovat")</f>
        <v>nincs rovat</v>
      </c>
      <c r="Q2757" t="str">
        <f>IF(H2757&gt;0,VLOOKUP(H2757,PAR!$AA$3:$AC$187,3,FALSE),"nincs főkönyvi számla")</f>
        <v>nincs főkönyvi számla</v>
      </c>
      <c r="R2757" t="str">
        <f>IFERROR(VLOOKUP(K2757,PAR!$V$3:$X$438,3,FALSE),"000000 - Nincs COFOG")</f>
        <v>000000 - Nincs COFOG</v>
      </c>
      <c r="S2757">
        <f t="shared" si="829"/>
        <v>0</v>
      </c>
      <c r="T2757">
        <f t="shared" si="830"/>
        <v>0</v>
      </c>
      <c r="U2757" t="str">
        <f>IF('906MP'!J2457&gt;0,CONCATENATE('906MP'!J2457," - ",'906MP'!P2457,", ",'906MP'!E2457),"nincs megjegyzés")</f>
        <v>nincs megjegyzés</v>
      </c>
      <c r="V2757" t="str">
        <f t="shared" si="817"/>
        <v>0P0</v>
      </c>
      <c r="W2757" t="str">
        <f t="shared" si="818"/>
        <v>0P0</v>
      </c>
      <c r="X2757" t="str">
        <f t="shared" si="819"/>
        <v>P0</v>
      </c>
      <c r="Y2757" t="str">
        <f t="shared" si="820"/>
        <v>00</v>
      </c>
      <c r="Z2757" t="str">
        <f t="shared" si="831"/>
        <v>00</v>
      </c>
      <c r="AA2757" t="str">
        <f t="shared" si="821"/>
        <v>00</v>
      </c>
      <c r="AB2757" t="str">
        <f t="shared" si="822"/>
        <v>00</v>
      </c>
      <c r="AC2757" t="str">
        <f t="shared" si="823"/>
        <v>0P0</v>
      </c>
      <c r="AD2757" t="str">
        <f t="shared" si="824"/>
        <v>P00</v>
      </c>
      <c r="AE2757" t="str">
        <f t="shared" si="825"/>
        <v>0P0</v>
      </c>
      <c r="AF2757" t="str">
        <f t="shared" si="826"/>
        <v>P00</v>
      </c>
      <c r="AG2757" t="str">
        <f t="shared" si="832"/>
        <v>0P00</v>
      </c>
      <c r="AH2757" t="str">
        <f t="shared" si="833"/>
        <v>P000</v>
      </c>
      <c r="AI2757" t="str">
        <f t="shared" si="834"/>
        <v>0P00</v>
      </c>
      <c r="AJ2757" t="str">
        <f t="shared" si="835"/>
        <v>P000</v>
      </c>
    </row>
    <row r="2758" spans="1:36" x14ac:dyDescent="0.25">
      <c r="A2758" s="325" t="str">
        <f>CONCATENATE("P",'906MP'!M2458)</f>
        <v>P</v>
      </c>
      <c r="B2758">
        <f>'906MP'!H2458</f>
        <v>0</v>
      </c>
      <c r="C2758">
        <f>'906MP'!J2458</f>
        <v>0</v>
      </c>
      <c r="D2758">
        <f>'906MP'!P2458</f>
        <v>0</v>
      </c>
      <c r="E2758">
        <f>'906MP'!X2458</f>
        <v>0</v>
      </c>
      <c r="F2758" t="str">
        <f t="shared" si="827"/>
        <v>0</v>
      </c>
      <c r="G2758" t="str">
        <f t="shared" si="828"/>
        <v>0</v>
      </c>
      <c r="H2758">
        <f>'906MP'!Y2458</f>
        <v>0</v>
      </c>
      <c r="I2758">
        <f>'906MP'!AK2458</f>
        <v>0</v>
      </c>
      <c r="J2758">
        <f>'906MP'!T2458</f>
        <v>0</v>
      </c>
      <c r="K2758">
        <f>'906MP'!AJ2458</f>
        <v>0</v>
      </c>
      <c r="L2758">
        <f>'906MP'!U2458</f>
        <v>0</v>
      </c>
      <c r="M2758" s="322" t="str">
        <f>IFERROR(VLOOKUP(A2758,PAR!$D$3:$E$53,2,FALSE),"nincs szervezet")</f>
        <v>nincs szervezet</v>
      </c>
      <c r="N2758" s="322" t="str">
        <f>VLOOKUP(F2758,PAR!$R$3:$S$5,2,FALSE)</f>
        <v>3 - egyik sem</v>
      </c>
      <c r="O2758" t="str">
        <f>IFERROR(VLOOKUP(J2758,PAR!$O$3:$P$5,2,FALSE),"nincs feladat")</f>
        <v>nincs feladat</v>
      </c>
      <c r="P2758" t="str">
        <f>IFERROR(VLOOKUP(G2758,PAR!$J$2:$M$19,4),"nincs rovat")</f>
        <v>nincs rovat</v>
      </c>
      <c r="Q2758" t="str">
        <f>IF(H2758&gt;0,VLOOKUP(H2758,PAR!$AA$3:$AC$187,3,FALSE),"nincs főkönyvi számla")</f>
        <v>nincs főkönyvi számla</v>
      </c>
      <c r="R2758" t="str">
        <f>IFERROR(VLOOKUP(K2758,PAR!$V$3:$X$438,3,FALSE),"000000 - Nincs COFOG")</f>
        <v>000000 - Nincs COFOG</v>
      </c>
      <c r="S2758">
        <f t="shared" si="829"/>
        <v>0</v>
      </c>
      <c r="T2758">
        <f t="shared" si="830"/>
        <v>0</v>
      </c>
      <c r="U2758" t="str">
        <f>IF('906MP'!J2458&gt;0,CONCATENATE('906MP'!J2458," - ",'906MP'!P2458,", ",'906MP'!E2458),"nincs megjegyzés")</f>
        <v>nincs megjegyzés</v>
      </c>
      <c r="V2758" t="str">
        <f t="shared" si="817"/>
        <v>0P0</v>
      </c>
      <c r="W2758" t="str">
        <f t="shared" si="818"/>
        <v>0P0</v>
      </c>
      <c r="X2758" t="str">
        <f t="shared" si="819"/>
        <v>P0</v>
      </c>
      <c r="Y2758" t="str">
        <f t="shared" si="820"/>
        <v>00</v>
      </c>
      <c r="Z2758" t="str">
        <f t="shared" si="831"/>
        <v>00</v>
      </c>
      <c r="AA2758" t="str">
        <f t="shared" si="821"/>
        <v>00</v>
      </c>
      <c r="AB2758" t="str">
        <f t="shared" si="822"/>
        <v>00</v>
      </c>
      <c r="AC2758" t="str">
        <f t="shared" si="823"/>
        <v>0P0</v>
      </c>
      <c r="AD2758" t="str">
        <f t="shared" si="824"/>
        <v>P00</v>
      </c>
      <c r="AE2758" t="str">
        <f t="shared" si="825"/>
        <v>0P0</v>
      </c>
      <c r="AF2758" t="str">
        <f t="shared" si="826"/>
        <v>P00</v>
      </c>
      <c r="AG2758" t="str">
        <f t="shared" si="832"/>
        <v>0P00</v>
      </c>
      <c r="AH2758" t="str">
        <f t="shared" si="833"/>
        <v>P000</v>
      </c>
      <c r="AI2758" t="str">
        <f t="shared" si="834"/>
        <v>0P00</v>
      </c>
      <c r="AJ2758" t="str">
        <f t="shared" si="835"/>
        <v>P000</v>
      </c>
    </row>
    <row r="2759" spans="1:36" x14ac:dyDescent="0.25">
      <c r="A2759" s="325" t="str">
        <f>CONCATENATE("P",'906MP'!M2459)</f>
        <v>P</v>
      </c>
      <c r="B2759">
        <f>'906MP'!H2459</f>
        <v>0</v>
      </c>
      <c r="C2759">
        <f>'906MP'!J2459</f>
        <v>0</v>
      </c>
      <c r="D2759">
        <f>'906MP'!P2459</f>
        <v>0</v>
      </c>
      <c r="E2759">
        <f>'906MP'!X2459</f>
        <v>0</v>
      </c>
      <c r="F2759" t="str">
        <f t="shared" si="827"/>
        <v>0</v>
      </c>
      <c r="G2759" t="str">
        <f t="shared" si="828"/>
        <v>0</v>
      </c>
      <c r="H2759">
        <f>'906MP'!Y2459</f>
        <v>0</v>
      </c>
      <c r="I2759">
        <f>'906MP'!AK2459</f>
        <v>0</v>
      </c>
      <c r="J2759">
        <f>'906MP'!T2459</f>
        <v>0</v>
      </c>
      <c r="K2759">
        <f>'906MP'!AJ2459</f>
        <v>0</v>
      </c>
      <c r="L2759">
        <f>'906MP'!U2459</f>
        <v>0</v>
      </c>
      <c r="M2759" s="322" t="str">
        <f>IFERROR(VLOOKUP(A2759,PAR!$D$3:$E$53,2,FALSE),"nincs szervezet")</f>
        <v>nincs szervezet</v>
      </c>
      <c r="N2759" s="322" t="str">
        <f>VLOOKUP(F2759,PAR!$R$3:$S$5,2,FALSE)</f>
        <v>3 - egyik sem</v>
      </c>
      <c r="O2759" t="str">
        <f>IFERROR(VLOOKUP(J2759,PAR!$O$3:$P$5,2,FALSE),"nincs feladat")</f>
        <v>nincs feladat</v>
      </c>
      <c r="P2759" t="str">
        <f>IFERROR(VLOOKUP(G2759,PAR!$J$2:$M$19,4),"nincs rovat")</f>
        <v>nincs rovat</v>
      </c>
      <c r="Q2759" t="str">
        <f>IF(H2759&gt;0,VLOOKUP(H2759,PAR!$AA$3:$AC$187,3,FALSE),"nincs főkönyvi számla")</f>
        <v>nincs főkönyvi számla</v>
      </c>
      <c r="R2759" t="str">
        <f>IFERROR(VLOOKUP(K2759,PAR!$V$3:$X$438,3,FALSE),"000000 - Nincs COFOG")</f>
        <v>000000 - Nincs COFOG</v>
      </c>
      <c r="S2759">
        <f t="shared" si="829"/>
        <v>0</v>
      </c>
      <c r="T2759">
        <f t="shared" si="830"/>
        <v>0</v>
      </c>
      <c r="U2759" t="str">
        <f>IF('906MP'!J2459&gt;0,CONCATENATE('906MP'!J2459," - ",'906MP'!P2459,", ",'906MP'!E2459),"nincs megjegyzés")</f>
        <v>nincs megjegyzés</v>
      </c>
      <c r="V2759" t="str">
        <f t="shared" si="817"/>
        <v>0P0</v>
      </c>
      <c r="W2759" t="str">
        <f t="shared" si="818"/>
        <v>0P0</v>
      </c>
      <c r="X2759" t="str">
        <f t="shared" si="819"/>
        <v>P0</v>
      </c>
      <c r="Y2759" t="str">
        <f t="shared" si="820"/>
        <v>00</v>
      </c>
      <c r="Z2759" t="str">
        <f t="shared" si="831"/>
        <v>00</v>
      </c>
      <c r="AA2759" t="str">
        <f t="shared" si="821"/>
        <v>00</v>
      </c>
      <c r="AB2759" t="str">
        <f t="shared" si="822"/>
        <v>00</v>
      </c>
      <c r="AC2759" t="str">
        <f t="shared" si="823"/>
        <v>0P0</v>
      </c>
      <c r="AD2759" t="str">
        <f t="shared" si="824"/>
        <v>P00</v>
      </c>
      <c r="AE2759" t="str">
        <f t="shared" si="825"/>
        <v>0P0</v>
      </c>
      <c r="AF2759" t="str">
        <f t="shared" si="826"/>
        <v>P00</v>
      </c>
      <c r="AG2759" t="str">
        <f t="shared" si="832"/>
        <v>0P00</v>
      </c>
      <c r="AH2759" t="str">
        <f t="shared" si="833"/>
        <v>P000</v>
      </c>
      <c r="AI2759" t="str">
        <f t="shared" si="834"/>
        <v>0P00</v>
      </c>
      <c r="AJ2759" t="str">
        <f t="shared" si="835"/>
        <v>P000</v>
      </c>
    </row>
    <row r="2760" spans="1:36" x14ac:dyDescent="0.25">
      <c r="A2760" s="325" t="str">
        <f>CONCATENATE("P",'906MP'!M2460)</f>
        <v>P</v>
      </c>
      <c r="B2760">
        <f>'906MP'!H2460</f>
        <v>0</v>
      </c>
      <c r="C2760">
        <f>'906MP'!J2460</f>
        <v>0</v>
      </c>
      <c r="D2760">
        <f>'906MP'!P2460</f>
        <v>0</v>
      </c>
      <c r="E2760">
        <f>'906MP'!X2460</f>
        <v>0</v>
      </c>
      <c r="F2760" t="str">
        <f t="shared" si="827"/>
        <v>0</v>
      </c>
      <c r="G2760" t="str">
        <f t="shared" si="828"/>
        <v>0</v>
      </c>
      <c r="H2760">
        <f>'906MP'!Y2460</f>
        <v>0</v>
      </c>
      <c r="I2760">
        <f>'906MP'!AK2460</f>
        <v>0</v>
      </c>
      <c r="J2760">
        <f>'906MP'!T2460</f>
        <v>0</v>
      </c>
      <c r="K2760">
        <f>'906MP'!AJ2460</f>
        <v>0</v>
      </c>
      <c r="L2760">
        <f>'906MP'!U2460</f>
        <v>0</v>
      </c>
      <c r="M2760" s="322" t="str">
        <f>IFERROR(VLOOKUP(A2760,PAR!$D$3:$E$53,2,FALSE),"nincs szervezet")</f>
        <v>nincs szervezet</v>
      </c>
      <c r="N2760" s="322" t="str">
        <f>VLOOKUP(F2760,PAR!$R$3:$S$5,2,FALSE)</f>
        <v>3 - egyik sem</v>
      </c>
      <c r="O2760" t="str">
        <f>IFERROR(VLOOKUP(J2760,PAR!$O$3:$P$5,2,FALSE),"nincs feladat")</f>
        <v>nincs feladat</v>
      </c>
      <c r="P2760" t="str">
        <f>IFERROR(VLOOKUP(G2760,PAR!$J$2:$M$19,4),"nincs rovat")</f>
        <v>nincs rovat</v>
      </c>
      <c r="Q2760" t="str">
        <f>IF(H2760&gt;0,VLOOKUP(H2760,PAR!$AA$3:$AC$187,3,FALSE),"nincs főkönyvi számla")</f>
        <v>nincs főkönyvi számla</v>
      </c>
      <c r="R2760" t="str">
        <f>IFERROR(VLOOKUP(K2760,PAR!$V$3:$X$438,3,FALSE),"000000 - Nincs COFOG")</f>
        <v>000000 - Nincs COFOG</v>
      </c>
      <c r="S2760">
        <f t="shared" si="829"/>
        <v>0</v>
      </c>
      <c r="T2760">
        <f t="shared" si="830"/>
        <v>0</v>
      </c>
      <c r="U2760" t="str">
        <f>IF('906MP'!J2460&gt;0,CONCATENATE('906MP'!J2460," - ",'906MP'!P2460,", ",'906MP'!E2460),"nincs megjegyzés")</f>
        <v>nincs megjegyzés</v>
      </c>
      <c r="V2760" t="str">
        <f t="shared" si="817"/>
        <v>0P0</v>
      </c>
      <c r="W2760" t="str">
        <f t="shared" si="818"/>
        <v>0P0</v>
      </c>
      <c r="X2760" t="str">
        <f t="shared" si="819"/>
        <v>P0</v>
      </c>
      <c r="Y2760" t="str">
        <f t="shared" si="820"/>
        <v>00</v>
      </c>
      <c r="Z2760" t="str">
        <f t="shared" si="831"/>
        <v>00</v>
      </c>
      <c r="AA2760" t="str">
        <f t="shared" si="821"/>
        <v>00</v>
      </c>
      <c r="AB2760" t="str">
        <f t="shared" si="822"/>
        <v>00</v>
      </c>
      <c r="AC2760" t="str">
        <f t="shared" si="823"/>
        <v>0P0</v>
      </c>
      <c r="AD2760" t="str">
        <f t="shared" si="824"/>
        <v>P00</v>
      </c>
      <c r="AE2760" t="str">
        <f t="shared" si="825"/>
        <v>0P0</v>
      </c>
      <c r="AF2760" t="str">
        <f t="shared" si="826"/>
        <v>P00</v>
      </c>
      <c r="AG2760" t="str">
        <f t="shared" si="832"/>
        <v>0P00</v>
      </c>
      <c r="AH2760" t="str">
        <f t="shared" si="833"/>
        <v>P000</v>
      </c>
      <c r="AI2760" t="str">
        <f t="shared" si="834"/>
        <v>0P00</v>
      </c>
      <c r="AJ2760" t="str">
        <f t="shared" si="835"/>
        <v>P000</v>
      </c>
    </row>
    <row r="2761" spans="1:36" x14ac:dyDescent="0.25">
      <c r="A2761" s="325" t="str">
        <f>CONCATENATE("P",'906MP'!M2461)</f>
        <v>P</v>
      </c>
      <c r="B2761">
        <f>'906MP'!H2461</f>
        <v>0</v>
      </c>
      <c r="C2761">
        <f>'906MP'!J2461</f>
        <v>0</v>
      </c>
      <c r="D2761">
        <f>'906MP'!P2461</f>
        <v>0</v>
      </c>
      <c r="E2761">
        <f>'906MP'!X2461</f>
        <v>0</v>
      </c>
      <c r="F2761" t="str">
        <f t="shared" si="827"/>
        <v>0</v>
      </c>
      <c r="G2761" t="str">
        <f t="shared" si="828"/>
        <v>0</v>
      </c>
      <c r="H2761">
        <f>'906MP'!Y2461</f>
        <v>0</v>
      </c>
      <c r="I2761">
        <f>'906MP'!AK2461</f>
        <v>0</v>
      </c>
      <c r="J2761">
        <f>'906MP'!T2461</f>
        <v>0</v>
      </c>
      <c r="K2761">
        <f>'906MP'!AJ2461</f>
        <v>0</v>
      </c>
      <c r="L2761">
        <f>'906MP'!U2461</f>
        <v>0</v>
      </c>
      <c r="M2761" s="322" t="str">
        <f>IFERROR(VLOOKUP(A2761,PAR!$D$3:$E$53,2,FALSE),"nincs szervezet")</f>
        <v>nincs szervezet</v>
      </c>
      <c r="N2761" s="322" t="str">
        <f>VLOOKUP(F2761,PAR!$R$3:$S$5,2,FALSE)</f>
        <v>3 - egyik sem</v>
      </c>
      <c r="O2761" t="str">
        <f>IFERROR(VLOOKUP(J2761,PAR!$O$3:$P$5,2,FALSE),"nincs feladat")</f>
        <v>nincs feladat</v>
      </c>
      <c r="P2761" t="str">
        <f>IFERROR(VLOOKUP(G2761,PAR!$J$2:$M$19,4),"nincs rovat")</f>
        <v>nincs rovat</v>
      </c>
      <c r="Q2761" t="str">
        <f>IF(H2761&gt;0,VLOOKUP(H2761,PAR!$AA$3:$AC$187,3,FALSE),"nincs főkönyvi számla")</f>
        <v>nincs főkönyvi számla</v>
      </c>
      <c r="R2761" t="str">
        <f>IFERROR(VLOOKUP(K2761,PAR!$V$3:$X$438,3,FALSE),"000000 - Nincs COFOG")</f>
        <v>000000 - Nincs COFOG</v>
      </c>
      <c r="S2761">
        <f t="shared" si="829"/>
        <v>0</v>
      </c>
      <c r="T2761">
        <f t="shared" si="830"/>
        <v>0</v>
      </c>
      <c r="U2761" t="str">
        <f>IF('906MP'!J2461&gt;0,CONCATENATE('906MP'!J2461," - ",'906MP'!P2461,", ",'906MP'!E2461),"nincs megjegyzés")</f>
        <v>nincs megjegyzés</v>
      </c>
      <c r="V2761" t="str">
        <f t="shared" si="817"/>
        <v>0P0</v>
      </c>
      <c r="W2761" t="str">
        <f t="shared" si="818"/>
        <v>0P0</v>
      </c>
      <c r="X2761" t="str">
        <f t="shared" si="819"/>
        <v>P0</v>
      </c>
      <c r="Y2761" t="str">
        <f t="shared" si="820"/>
        <v>00</v>
      </c>
      <c r="Z2761" t="str">
        <f t="shared" si="831"/>
        <v>00</v>
      </c>
      <c r="AA2761" t="str">
        <f t="shared" si="821"/>
        <v>00</v>
      </c>
      <c r="AB2761" t="str">
        <f t="shared" si="822"/>
        <v>00</v>
      </c>
      <c r="AC2761" t="str">
        <f t="shared" si="823"/>
        <v>0P0</v>
      </c>
      <c r="AD2761" t="str">
        <f t="shared" si="824"/>
        <v>P00</v>
      </c>
      <c r="AE2761" t="str">
        <f t="shared" si="825"/>
        <v>0P0</v>
      </c>
      <c r="AF2761" t="str">
        <f t="shared" si="826"/>
        <v>P00</v>
      </c>
      <c r="AG2761" t="str">
        <f t="shared" si="832"/>
        <v>0P00</v>
      </c>
      <c r="AH2761" t="str">
        <f t="shared" si="833"/>
        <v>P000</v>
      </c>
      <c r="AI2761" t="str">
        <f t="shared" si="834"/>
        <v>0P00</v>
      </c>
      <c r="AJ2761" t="str">
        <f t="shared" si="835"/>
        <v>P000</v>
      </c>
    </row>
    <row r="2762" spans="1:36" x14ac:dyDescent="0.25">
      <c r="A2762" s="325" t="str">
        <f>CONCATENATE("P",'906MP'!M2462)</f>
        <v>P</v>
      </c>
      <c r="B2762">
        <f>'906MP'!H2462</f>
        <v>0</v>
      </c>
      <c r="C2762">
        <f>'906MP'!J2462</f>
        <v>0</v>
      </c>
      <c r="D2762">
        <f>'906MP'!P2462</f>
        <v>0</v>
      </c>
      <c r="E2762">
        <f>'906MP'!X2462</f>
        <v>0</v>
      </c>
      <c r="F2762" t="str">
        <f t="shared" si="827"/>
        <v>0</v>
      </c>
      <c r="G2762" t="str">
        <f t="shared" si="828"/>
        <v>0</v>
      </c>
      <c r="H2762">
        <f>'906MP'!Y2462</f>
        <v>0</v>
      </c>
      <c r="I2762">
        <f>'906MP'!AK2462</f>
        <v>0</v>
      </c>
      <c r="J2762">
        <f>'906MP'!T2462</f>
        <v>0</v>
      </c>
      <c r="K2762">
        <f>'906MP'!AJ2462</f>
        <v>0</v>
      </c>
      <c r="L2762">
        <f>'906MP'!U2462</f>
        <v>0</v>
      </c>
      <c r="M2762" s="322" t="str">
        <f>IFERROR(VLOOKUP(A2762,PAR!$D$3:$E$53,2,FALSE),"nincs szervezet")</f>
        <v>nincs szervezet</v>
      </c>
      <c r="N2762" s="322" t="str">
        <f>VLOOKUP(F2762,PAR!$R$3:$S$5,2,FALSE)</f>
        <v>3 - egyik sem</v>
      </c>
      <c r="O2762" t="str">
        <f>IFERROR(VLOOKUP(J2762,PAR!$O$3:$P$5,2,FALSE),"nincs feladat")</f>
        <v>nincs feladat</v>
      </c>
      <c r="P2762" t="str">
        <f>IFERROR(VLOOKUP(G2762,PAR!$J$2:$M$19,4),"nincs rovat")</f>
        <v>nincs rovat</v>
      </c>
      <c r="Q2762" t="str">
        <f>IF(H2762&gt;0,VLOOKUP(H2762,PAR!$AA$3:$AC$187,3,FALSE),"nincs főkönyvi számla")</f>
        <v>nincs főkönyvi számla</v>
      </c>
      <c r="R2762" t="str">
        <f>IFERROR(VLOOKUP(K2762,PAR!$V$3:$X$438,3,FALSE),"000000 - Nincs COFOG")</f>
        <v>000000 - Nincs COFOG</v>
      </c>
      <c r="S2762">
        <f t="shared" si="829"/>
        <v>0</v>
      </c>
      <c r="T2762">
        <f t="shared" si="830"/>
        <v>0</v>
      </c>
      <c r="U2762" t="str">
        <f>IF('906MP'!J2462&gt;0,CONCATENATE('906MP'!J2462," - ",'906MP'!P2462,", ",'906MP'!E2462),"nincs megjegyzés")</f>
        <v>nincs megjegyzés</v>
      </c>
      <c r="V2762" t="str">
        <f t="shared" si="817"/>
        <v>0P0</v>
      </c>
      <c r="W2762" t="str">
        <f t="shared" si="818"/>
        <v>0P0</v>
      </c>
      <c r="X2762" t="str">
        <f t="shared" si="819"/>
        <v>P0</v>
      </c>
      <c r="Y2762" t="str">
        <f t="shared" si="820"/>
        <v>00</v>
      </c>
      <c r="Z2762" t="str">
        <f t="shared" si="831"/>
        <v>00</v>
      </c>
      <c r="AA2762" t="str">
        <f t="shared" si="821"/>
        <v>00</v>
      </c>
      <c r="AB2762" t="str">
        <f t="shared" si="822"/>
        <v>00</v>
      </c>
      <c r="AC2762" t="str">
        <f t="shared" si="823"/>
        <v>0P0</v>
      </c>
      <c r="AD2762" t="str">
        <f t="shared" si="824"/>
        <v>P00</v>
      </c>
      <c r="AE2762" t="str">
        <f t="shared" si="825"/>
        <v>0P0</v>
      </c>
      <c r="AF2762" t="str">
        <f t="shared" si="826"/>
        <v>P00</v>
      </c>
      <c r="AG2762" t="str">
        <f t="shared" si="832"/>
        <v>0P00</v>
      </c>
      <c r="AH2762" t="str">
        <f t="shared" si="833"/>
        <v>P000</v>
      </c>
      <c r="AI2762" t="str">
        <f t="shared" si="834"/>
        <v>0P00</v>
      </c>
      <c r="AJ2762" t="str">
        <f t="shared" si="835"/>
        <v>P000</v>
      </c>
    </row>
    <row r="2763" spans="1:36" x14ac:dyDescent="0.25">
      <c r="A2763" s="325" t="str">
        <f>CONCATENATE("P",'906MP'!M2463)</f>
        <v>P</v>
      </c>
      <c r="B2763">
        <f>'906MP'!H2463</f>
        <v>0</v>
      </c>
      <c r="C2763">
        <f>'906MP'!J2463</f>
        <v>0</v>
      </c>
      <c r="D2763">
        <f>'906MP'!P2463</f>
        <v>0</v>
      </c>
      <c r="E2763">
        <f>'906MP'!X2463</f>
        <v>0</v>
      </c>
      <c r="F2763" t="str">
        <f t="shared" si="827"/>
        <v>0</v>
      </c>
      <c r="G2763" t="str">
        <f t="shared" si="828"/>
        <v>0</v>
      </c>
      <c r="H2763">
        <f>'906MP'!Y2463</f>
        <v>0</v>
      </c>
      <c r="I2763">
        <f>'906MP'!AK2463</f>
        <v>0</v>
      </c>
      <c r="J2763">
        <f>'906MP'!T2463</f>
        <v>0</v>
      </c>
      <c r="K2763">
        <f>'906MP'!AJ2463</f>
        <v>0</v>
      </c>
      <c r="L2763">
        <f>'906MP'!U2463</f>
        <v>0</v>
      </c>
      <c r="M2763" s="322" t="str">
        <f>IFERROR(VLOOKUP(A2763,PAR!$D$3:$E$53,2,FALSE),"nincs szervezet")</f>
        <v>nincs szervezet</v>
      </c>
      <c r="N2763" s="322" t="str">
        <f>VLOOKUP(F2763,PAR!$R$3:$S$5,2,FALSE)</f>
        <v>3 - egyik sem</v>
      </c>
      <c r="O2763" t="str">
        <f>IFERROR(VLOOKUP(J2763,PAR!$O$3:$P$5,2,FALSE),"nincs feladat")</f>
        <v>nincs feladat</v>
      </c>
      <c r="P2763" t="str">
        <f>IFERROR(VLOOKUP(G2763,PAR!$J$2:$M$19,4),"nincs rovat")</f>
        <v>nincs rovat</v>
      </c>
      <c r="Q2763" t="str">
        <f>IF(H2763&gt;0,VLOOKUP(H2763,PAR!$AA$3:$AC$187,3,FALSE),"nincs főkönyvi számla")</f>
        <v>nincs főkönyvi számla</v>
      </c>
      <c r="R2763" t="str">
        <f>IFERROR(VLOOKUP(K2763,PAR!$V$3:$X$438,3,FALSE),"000000 - Nincs COFOG")</f>
        <v>000000 - Nincs COFOG</v>
      </c>
      <c r="S2763">
        <f t="shared" si="829"/>
        <v>0</v>
      </c>
      <c r="T2763">
        <f t="shared" si="830"/>
        <v>0</v>
      </c>
      <c r="U2763" t="str">
        <f>IF('906MP'!J2463&gt;0,CONCATENATE('906MP'!J2463," - ",'906MP'!P2463,", ",'906MP'!E2463),"nincs megjegyzés")</f>
        <v>nincs megjegyzés</v>
      </c>
      <c r="V2763" t="str">
        <f t="shared" si="817"/>
        <v>0P0</v>
      </c>
      <c r="W2763" t="str">
        <f t="shared" si="818"/>
        <v>0P0</v>
      </c>
      <c r="X2763" t="str">
        <f t="shared" si="819"/>
        <v>P0</v>
      </c>
      <c r="Y2763" t="str">
        <f t="shared" si="820"/>
        <v>00</v>
      </c>
      <c r="Z2763" t="str">
        <f t="shared" si="831"/>
        <v>00</v>
      </c>
      <c r="AA2763" t="str">
        <f t="shared" si="821"/>
        <v>00</v>
      </c>
      <c r="AB2763" t="str">
        <f t="shared" si="822"/>
        <v>00</v>
      </c>
      <c r="AC2763" t="str">
        <f t="shared" si="823"/>
        <v>0P0</v>
      </c>
      <c r="AD2763" t="str">
        <f t="shared" si="824"/>
        <v>P00</v>
      </c>
      <c r="AE2763" t="str">
        <f t="shared" si="825"/>
        <v>0P0</v>
      </c>
      <c r="AF2763" t="str">
        <f t="shared" si="826"/>
        <v>P00</v>
      </c>
      <c r="AG2763" t="str">
        <f t="shared" si="832"/>
        <v>0P00</v>
      </c>
      <c r="AH2763" t="str">
        <f t="shared" si="833"/>
        <v>P000</v>
      </c>
      <c r="AI2763" t="str">
        <f t="shared" si="834"/>
        <v>0P00</v>
      </c>
      <c r="AJ2763" t="str">
        <f t="shared" si="835"/>
        <v>P000</v>
      </c>
    </row>
    <row r="2764" spans="1:36" x14ac:dyDescent="0.25">
      <c r="A2764" s="325" t="str">
        <f>CONCATENATE("P",'906MP'!M2464)</f>
        <v>P</v>
      </c>
      <c r="B2764">
        <f>'906MP'!H2464</f>
        <v>0</v>
      </c>
      <c r="C2764">
        <f>'906MP'!J2464</f>
        <v>0</v>
      </c>
      <c r="D2764">
        <f>'906MP'!P2464</f>
        <v>0</v>
      </c>
      <c r="E2764">
        <f>'906MP'!X2464</f>
        <v>0</v>
      </c>
      <c r="F2764" t="str">
        <f t="shared" si="827"/>
        <v>0</v>
      </c>
      <c r="G2764" t="str">
        <f t="shared" si="828"/>
        <v>0</v>
      </c>
      <c r="H2764">
        <f>'906MP'!Y2464</f>
        <v>0</v>
      </c>
      <c r="I2764">
        <f>'906MP'!AK2464</f>
        <v>0</v>
      </c>
      <c r="J2764">
        <f>'906MP'!T2464</f>
        <v>0</v>
      </c>
      <c r="K2764">
        <f>'906MP'!AJ2464</f>
        <v>0</v>
      </c>
      <c r="L2764">
        <f>'906MP'!U2464</f>
        <v>0</v>
      </c>
      <c r="M2764" s="322" t="str">
        <f>IFERROR(VLOOKUP(A2764,PAR!$D$3:$E$53,2,FALSE),"nincs szervezet")</f>
        <v>nincs szervezet</v>
      </c>
      <c r="N2764" s="322" t="str">
        <f>VLOOKUP(F2764,PAR!$R$3:$S$5,2,FALSE)</f>
        <v>3 - egyik sem</v>
      </c>
      <c r="O2764" t="str">
        <f>IFERROR(VLOOKUP(J2764,PAR!$O$3:$P$5,2,FALSE),"nincs feladat")</f>
        <v>nincs feladat</v>
      </c>
      <c r="P2764" t="str">
        <f>IFERROR(VLOOKUP(G2764,PAR!$J$2:$M$19,4),"nincs rovat")</f>
        <v>nincs rovat</v>
      </c>
      <c r="Q2764" t="str">
        <f>IF(H2764&gt;0,VLOOKUP(H2764,PAR!$AA$3:$AC$187,3,FALSE),"nincs főkönyvi számla")</f>
        <v>nincs főkönyvi számla</v>
      </c>
      <c r="R2764" t="str">
        <f>IFERROR(VLOOKUP(K2764,PAR!$V$3:$X$438,3,FALSE),"000000 - Nincs COFOG")</f>
        <v>000000 - Nincs COFOG</v>
      </c>
      <c r="S2764">
        <f t="shared" si="829"/>
        <v>0</v>
      </c>
      <c r="T2764">
        <f t="shared" si="830"/>
        <v>0</v>
      </c>
      <c r="U2764" t="str">
        <f>IF('906MP'!J2464&gt;0,CONCATENATE('906MP'!J2464," - ",'906MP'!P2464,", ",'906MP'!E2464),"nincs megjegyzés")</f>
        <v>nincs megjegyzés</v>
      </c>
      <c r="V2764" t="str">
        <f t="shared" si="817"/>
        <v>0P0</v>
      </c>
      <c r="W2764" t="str">
        <f t="shared" si="818"/>
        <v>0P0</v>
      </c>
      <c r="X2764" t="str">
        <f t="shared" si="819"/>
        <v>P0</v>
      </c>
      <c r="Y2764" t="str">
        <f t="shared" si="820"/>
        <v>00</v>
      </c>
      <c r="Z2764" t="str">
        <f t="shared" si="831"/>
        <v>00</v>
      </c>
      <c r="AA2764" t="str">
        <f t="shared" si="821"/>
        <v>00</v>
      </c>
      <c r="AB2764" t="str">
        <f t="shared" si="822"/>
        <v>00</v>
      </c>
      <c r="AC2764" t="str">
        <f t="shared" si="823"/>
        <v>0P0</v>
      </c>
      <c r="AD2764" t="str">
        <f t="shared" si="824"/>
        <v>P00</v>
      </c>
      <c r="AE2764" t="str">
        <f t="shared" si="825"/>
        <v>0P0</v>
      </c>
      <c r="AF2764" t="str">
        <f t="shared" si="826"/>
        <v>P00</v>
      </c>
      <c r="AG2764" t="str">
        <f t="shared" si="832"/>
        <v>0P00</v>
      </c>
      <c r="AH2764" t="str">
        <f t="shared" si="833"/>
        <v>P000</v>
      </c>
      <c r="AI2764" t="str">
        <f t="shared" si="834"/>
        <v>0P00</v>
      </c>
      <c r="AJ2764" t="str">
        <f t="shared" si="835"/>
        <v>P000</v>
      </c>
    </row>
    <row r="2765" spans="1:36" x14ac:dyDescent="0.25">
      <c r="A2765" s="325" t="str">
        <f>CONCATENATE("P",'906MP'!M2465)</f>
        <v>P</v>
      </c>
      <c r="B2765">
        <f>'906MP'!H2465</f>
        <v>0</v>
      </c>
      <c r="C2765">
        <f>'906MP'!J2465</f>
        <v>0</v>
      </c>
      <c r="D2765">
        <f>'906MP'!P2465</f>
        <v>0</v>
      </c>
      <c r="E2765">
        <f>'906MP'!X2465</f>
        <v>0</v>
      </c>
      <c r="F2765" t="str">
        <f t="shared" si="827"/>
        <v>0</v>
      </c>
      <c r="G2765" t="str">
        <f t="shared" si="828"/>
        <v>0</v>
      </c>
      <c r="H2765">
        <f>'906MP'!Y2465</f>
        <v>0</v>
      </c>
      <c r="I2765">
        <f>'906MP'!AK2465</f>
        <v>0</v>
      </c>
      <c r="J2765">
        <f>'906MP'!T2465</f>
        <v>0</v>
      </c>
      <c r="K2765">
        <f>'906MP'!AJ2465</f>
        <v>0</v>
      </c>
      <c r="L2765">
        <f>'906MP'!U2465</f>
        <v>0</v>
      </c>
      <c r="M2765" s="322" t="str">
        <f>IFERROR(VLOOKUP(A2765,PAR!$D$3:$E$53,2,FALSE),"nincs szervezet")</f>
        <v>nincs szervezet</v>
      </c>
      <c r="N2765" s="322" t="str">
        <f>VLOOKUP(F2765,PAR!$R$3:$S$5,2,FALSE)</f>
        <v>3 - egyik sem</v>
      </c>
      <c r="O2765" t="str">
        <f>IFERROR(VLOOKUP(J2765,PAR!$O$3:$P$5,2,FALSE),"nincs feladat")</f>
        <v>nincs feladat</v>
      </c>
      <c r="P2765" t="str">
        <f>IFERROR(VLOOKUP(G2765,PAR!$J$2:$M$19,4),"nincs rovat")</f>
        <v>nincs rovat</v>
      </c>
      <c r="Q2765" t="str">
        <f>IF(H2765&gt;0,VLOOKUP(H2765,PAR!$AA$3:$AC$187,3,FALSE),"nincs főkönyvi számla")</f>
        <v>nincs főkönyvi számla</v>
      </c>
      <c r="R2765" t="str">
        <f>IFERROR(VLOOKUP(K2765,PAR!$V$3:$X$438,3,FALSE),"000000 - Nincs COFOG")</f>
        <v>000000 - Nincs COFOG</v>
      </c>
      <c r="S2765">
        <f t="shared" si="829"/>
        <v>0</v>
      </c>
      <c r="T2765">
        <f t="shared" si="830"/>
        <v>0</v>
      </c>
      <c r="U2765" t="str">
        <f>IF('906MP'!J2465&gt;0,CONCATENATE('906MP'!J2465," - ",'906MP'!P2465,", ",'906MP'!E2465),"nincs megjegyzés")</f>
        <v>nincs megjegyzés</v>
      </c>
      <c r="V2765" t="str">
        <f t="shared" si="817"/>
        <v>0P0</v>
      </c>
      <c r="W2765" t="str">
        <f t="shared" si="818"/>
        <v>0P0</v>
      </c>
      <c r="X2765" t="str">
        <f t="shared" si="819"/>
        <v>P0</v>
      </c>
      <c r="Y2765" t="str">
        <f t="shared" si="820"/>
        <v>00</v>
      </c>
      <c r="Z2765" t="str">
        <f t="shared" si="831"/>
        <v>00</v>
      </c>
      <c r="AA2765" t="str">
        <f t="shared" si="821"/>
        <v>00</v>
      </c>
      <c r="AB2765" t="str">
        <f t="shared" si="822"/>
        <v>00</v>
      </c>
      <c r="AC2765" t="str">
        <f t="shared" si="823"/>
        <v>0P0</v>
      </c>
      <c r="AD2765" t="str">
        <f t="shared" si="824"/>
        <v>P00</v>
      </c>
      <c r="AE2765" t="str">
        <f t="shared" si="825"/>
        <v>0P0</v>
      </c>
      <c r="AF2765" t="str">
        <f t="shared" si="826"/>
        <v>P00</v>
      </c>
      <c r="AG2765" t="str">
        <f t="shared" si="832"/>
        <v>0P00</v>
      </c>
      <c r="AH2765" t="str">
        <f t="shared" si="833"/>
        <v>P000</v>
      </c>
      <c r="AI2765" t="str">
        <f t="shared" si="834"/>
        <v>0P00</v>
      </c>
      <c r="AJ2765" t="str">
        <f t="shared" si="835"/>
        <v>P000</v>
      </c>
    </row>
    <row r="2766" spans="1:36" x14ac:dyDescent="0.25">
      <c r="A2766" s="325" t="str">
        <f>CONCATENATE("P",'906MP'!M2466)</f>
        <v>P</v>
      </c>
      <c r="B2766">
        <f>'906MP'!H2466</f>
        <v>0</v>
      </c>
      <c r="C2766">
        <f>'906MP'!J2466</f>
        <v>0</v>
      </c>
      <c r="D2766">
        <f>'906MP'!P2466</f>
        <v>0</v>
      </c>
      <c r="E2766">
        <f>'906MP'!X2466</f>
        <v>0</v>
      </c>
      <c r="F2766" t="str">
        <f t="shared" si="827"/>
        <v>0</v>
      </c>
      <c r="G2766" t="str">
        <f t="shared" si="828"/>
        <v>0</v>
      </c>
      <c r="H2766">
        <f>'906MP'!Y2466</f>
        <v>0</v>
      </c>
      <c r="I2766">
        <f>'906MP'!AK2466</f>
        <v>0</v>
      </c>
      <c r="J2766">
        <f>'906MP'!T2466</f>
        <v>0</v>
      </c>
      <c r="K2766">
        <f>'906MP'!AJ2466</f>
        <v>0</v>
      </c>
      <c r="L2766">
        <f>'906MP'!U2466</f>
        <v>0</v>
      </c>
      <c r="M2766" s="322" t="str">
        <f>IFERROR(VLOOKUP(A2766,PAR!$D$3:$E$53,2,FALSE),"nincs szervezet")</f>
        <v>nincs szervezet</v>
      </c>
      <c r="N2766" s="322" t="str">
        <f>VLOOKUP(F2766,PAR!$R$3:$S$5,2,FALSE)</f>
        <v>3 - egyik sem</v>
      </c>
      <c r="O2766" t="str">
        <f>IFERROR(VLOOKUP(J2766,PAR!$O$3:$P$5,2,FALSE),"nincs feladat")</f>
        <v>nincs feladat</v>
      </c>
      <c r="P2766" t="str">
        <f>IFERROR(VLOOKUP(G2766,PAR!$J$2:$M$19,4),"nincs rovat")</f>
        <v>nincs rovat</v>
      </c>
      <c r="Q2766" t="str">
        <f>IF(H2766&gt;0,VLOOKUP(H2766,PAR!$AA$3:$AC$187,3,FALSE),"nincs főkönyvi számla")</f>
        <v>nincs főkönyvi számla</v>
      </c>
      <c r="R2766" t="str">
        <f>IFERROR(VLOOKUP(K2766,PAR!$V$3:$X$438,3,FALSE),"000000 - Nincs COFOG")</f>
        <v>000000 - Nincs COFOG</v>
      </c>
      <c r="S2766">
        <f t="shared" si="829"/>
        <v>0</v>
      </c>
      <c r="T2766">
        <f t="shared" si="830"/>
        <v>0</v>
      </c>
      <c r="U2766" t="str">
        <f>IF('906MP'!J2466&gt;0,CONCATENATE('906MP'!J2466," - ",'906MP'!P2466,", ",'906MP'!E2466),"nincs megjegyzés")</f>
        <v>nincs megjegyzés</v>
      </c>
      <c r="V2766" t="str">
        <f t="shared" si="817"/>
        <v>0P0</v>
      </c>
      <c r="W2766" t="str">
        <f t="shared" si="818"/>
        <v>0P0</v>
      </c>
      <c r="X2766" t="str">
        <f t="shared" si="819"/>
        <v>P0</v>
      </c>
      <c r="Y2766" t="str">
        <f t="shared" si="820"/>
        <v>00</v>
      </c>
      <c r="Z2766" t="str">
        <f t="shared" si="831"/>
        <v>00</v>
      </c>
      <c r="AA2766" t="str">
        <f t="shared" si="821"/>
        <v>00</v>
      </c>
      <c r="AB2766" t="str">
        <f t="shared" si="822"/>
        <v>00</v>
      </c>
      <c r="AC2766" t="str">
        <f t="shared" si="823"/>
        <v>0P0</v>
      </c>
      <c r="AD2766" t="str">
        <f t="shared" si="824"/>
        <v>P00</v>
      </c>
      <c r="AE2766" t="str">
        <f t="shared" si="825"/>
        <v>0P0</v>
      </c>
      <c r="AF2766" t="str">
        <f t="shared" si="826"/>
        <v>P00</v>
      </c>
      <c r="AG2766" t="str">
        <f t="shared" si="832"/>
        <v>0P00</v>
      </c>
      <c r="AH2766" t="str">
        <f t="shared" si="833"/>
        <v>P000</v>
      </c>
      <c r="AI2766" t="str">
        <f t="shared" si="834"/>
        <v>0P00</v>
      </c>
      <c r="AJ2766" t="str">
        <f t="shared" si="835"/>
        <v>P000</v>
      </c>
    </row>
    <row r="2767" spans="1:36" x14ac:dyDescent="0.25">
      <c r="A2767" s="325" t="str">
        <f>CONCATENATE("P",'906MP'!M2467)</f>
        <v>P</v>
      </c>
      <c r="B2767">
        <f>'906MP'!H2467</f>
        <v>0</v>
      </c>
      <c r="C2767">
        <f>'906MP'!J2467</f>
        <v>0</v>
      </c>
      <c r="D2767">
        <f>'906MP'!P2467</f>
        <v>0</v>
      </c>
      <c r="E2767">
        <f>'906MP'!X2467</f>
        <v>0</v>
      </c>
      <c r="F2767" t="str">
        <f t="shared" si="827"/>
        <v>0</v>
      </c>
      <c r="G2767" t="str">
        <f t="shared" si="828"/>
        <v>0</v>
      </c>
      <c r="H2767">
        <f>'906MP'!Y2467</f>
        <v>0</v>
      </c>
      <c r="I2767">
        <f>'906MP'!AK2467</f>
        <v>0</v>
      </c>
      <c r="J2767">
        <f>'906MP'!T2467</f>
        <v>0</v>
      </c>
      <c r="K2767">
        <f>'906MP'!AJ2467</f>
        <v>0</v>
      </c>
      <c r="L2767">
        <f>'906MP'!U2467</f>
        <v>0</v>
      </c>
      <c r="M2767" s="322" t="str">
        <f>IFERROR(VLOOKUP(A2767,PAR!$D$3:$E$53,2,FALSE),"nincs szervezet")</f>
        <v>nincs szervezet</v>
      </c>
      <c r="N2767" s="322" t="str">
        <f>VLOOKUP(F2767,PAR!$R$3:$S$5,2,FALSE)</f>
        <v>3 - egyik sem</v>
      </c>
      <c r="O2767" t="str">
        <f>IFERROR(VLOOKUP(J2767,PAR!$O$3:$P$5,2,FALSE),"nincs feladat")</f>
        <v>nincs feladat</v>
      </c>
      <c r="P2767" t="str">
        <f>IFERROR(VLOOKUP(G2767,PAR!$J$2:$M$19,4),"nincs rovat")</f>
        <v>nincs rovat</v>
      </c>
      <c r="Q2767" t="str">
        <f>IF(H2767&gt;0,VLOOKUP(H2767,PAR!$AA$3:$AC$187,3,FALSE),"nincs főkönyvi számla")</f>
        <v>nincs főkönyvi számla</v>
      </c>
      <c r="R2767" t="str">
        <f>IFERROR(VLOOKUP(K2767,PAR!$V$3:$X$438,3,FALSE),"000000 - Nincs COFOG")</f>
        <v>000000 - Nincs COFOG</v>
      </c>
      <c r="S2767">
        <f t="shared" si="829"/>
        <v>0</v>
      </c>
      <c r="T2767">
        <f t="shared" si="830"/>
        <v>0</v>
      </c>
      <c r="U2767" t="str">
        <f>IF('906MP'!J2467&gt;0,CONCATENATE('906MP'!J2467," - ",'906MP'!P2467,", ",'906MP'!E2467),"nincs megjegyzés")</f>
        <v>nincs megjegyzés</v>
      </c>
      <c r="V2767" t="str">
        <f t="shared" si="817"/>
        <v>0P0</v>
      </c>
      <c r="W2767" t="str">
        <f t="shared" si="818"/>
        <v>0P0</v>
      </c>
      <c r="X2767" t="str">
        <f t="shared" si="819"/>
        <v>P0</v>
      </c>
      <c r="Y2767" t="str">
        <f t="shared" si="820"/>
        <v>00</v>
      </c>
      <c r="Z2767" t="str">
        <f t="shared" si="831"/>
        <v>00</v>
      </c>
      <c r="AA2767" t="str">
        <f t="shared" si="821"/>
        <v>00</v>
      </c>
      <c r="AB2767" t="str">
        <f t="shared" si="822"/>
        <v>00</v>
      </c>
      <c r="AC2767" t="str">
        <f t="shared" si="823"/>
        <v>0P0</v>
      </c>
      <c r="AD2767" t="str">
        <f t="shared" si="824"/>
        <v>P00</v>
      </c>
      <c r="AE2767" t="str">
        <f t="shared" si="825"/>
        <v>0P0</v>
      </c>
      <c r="AF2767" t="str">
        <f t="shared" si="826"/>
        <v>P00</v>
      </c>
      <c r="AG2767" t="str">
        <f t="shared" si="832"/>
        <v>0P00</v>
      </c>
      <c r="AH2767" t="str">
        <f t="shared" si="833"/>
        <v>P000</v>
      </c>
      <c r="AI2767" t="str">
        <f t="shared" si="834"/>
        <v>0P00</v>
      </c>
      <c r="AJ2767" t="str">
        <f t="shared" si="835"/>
        <v>P000</v>
      </c>
    </row>
    <row r="2768" spans="1:36" x14ac:dyDescent="0.25">
      <c r="A2768" s="325" t="str">
        <f>CONCATENATE("P",'906MP'!M2468)</f>
        <v>P</v>
      </c>
      <c r="B2768">
        <f>'906MP'!H2468</f>
        <v>0</v>
      </c>
      <c r="C2768">
        <f>'906MP'!J2468</f>
        <v>0</v>
      </c>
      <c r="D2768">
        <f>'906MP'!P2468</f>
        <v>0</v>
      </c>
      <c r="E2768">
        <f>'906MP'!X2468</f>
        <v>0</v>
      </c>
      <c r="F2768" t="str">
        <f t="shared" si="827"/>
        <v>0</v>
      </c>
      <c r="G2768" t="str">
        <f t="shared" si="828"/>
        <v>0</v>
      </c>
      <c r="H2768">
        <f>'906MP'!Y2468</f>
        <v>0</v>
      </c>
      <c r="I2768">
        <f>'906MP'!AK2468</f>
        <v>0</v>
      </c>
      <c r="J2768">
        <f>'906MP'!T2468</f>
        <v>0</v>
      </c>
      <c r="K2768">
        <f>'906MP'!AJ2468</f>
        <v>0</v>
      </c>
      <c r="L2768">
        <f>'906MP'!U2468</f>
        <v>0</v>
      </c>
      <c r="M2768" s="322" t="str">
        <f>IFERROR(VLOOKUP(A2768,PAR!$D$3:$E$53,2,FALSE),"nincs szervezet")</f>
        <v>nincs szervezet</v>
      </c>
      <c r="N2768" s="322" t="str">
        <f>VLOOKUP(F2768,PAR!$R$3:$S$5,2,FALSE)</f>
        <v>3 - egyik sem</v>
      </c>
      <c r="O2768" t="str">
        <f>IFERROR(VLOOKUP(J2768,PAR!$O$3:$P$5,2,FALSE),"nincs feladat")</f>
        <v>nincs feladat</v>
      </c>
      <c r="P2768" t="str">
        <f>IFERROR(VLOOKUP(G2768,PAR!$J$2:$M$19,4),"nincs rovat")</f>
        <v>nincs rovat</v>
      </c>
      <c r="Q2768" t="str">
        <f>IF(H2768&gt;0,VLOOKUP(H2768,PAR!$AA$3:$AC$187,3,FALSE),"nincs főkönyvi számla")</f>
        <v>nincs főkönyvi számla</v>
      </c>
      <c r="R2768" t="str">
        <f>IFERROR(VLOOKUP(K2768,PAR!$V$3:$X$438,3,FALSE),"000000 - Nincs COFOG")</f>
        <v>000000 - Nincs COFOG</v>
      </c>
      <c r="S2768">
        <f t="shared" si="829"/>
        <v>0</v>
      </c>
      <c r="T2768">
        <f t="shared" si="830"/>
        <v>0</v>
      </c>
      <c r="U2768" t="str">
        <f>IF('906MP'!J2468&gt;0,CONCATENATE('906MP'!J2468," - ",'906MP'!P2468,", ",'906MP'!E2468),"nincs megjegyzés")</f>
        <v>nincs megjegyzés</v>
      </c>
      <c r="V2768" t="str">
        <f t="shared" si="817"/>
        <v>0P0</v>
      </c>
      <c r="W2768" t="str">
        <f t="shared" si="818"/>
        <v>0P0</v>
      </c>
      <c r="X2768" t="str">
        <f t="shared" si="819"/>
        <v>P0</v>
      </c>
      <c r="Y2768" t="str">
        <f t="shared" si="820"/>
        <v>00</v>
      </c>
      <c r="Z2768" t="str">
        <f t="shared" si="831"/>
        <v>00</v>
      </c>
      <c r="AA2768" t="str">
        <f t="shared" si="821"/>
        <v>00</v>
      </c>
      <c r="AB2768" t="str">
        <f t="shared" si="822"/>
        <v>00</v>
      </c>
      <c r="AC2768" t="str">
        <f t="shared" si="823"/>
        <v>0P0</v>
      </c>
      <c r="AD2768" t="str">
        <f t="shared" si="824"/>
        <v>P00</v>
      </c>
      <c r="AE2768" t="str">
        <f t="shared" si="825"/>
        <v>0P0</v>
      </c>
      <c r="AF2768" t="str">
        <f t="shared" si="826"/>
        <v>P00</v>
      </c>
      <c r="AG2768" t="str">
        <f t="shared" si="832"/>
        <v>0P00</v>
      </c>
      <c r="AH2768" t="str">
        <f t="shared" si="833"/>
        <v>P000</v>
      </c>
      <c r="AI2768" t="str">
        <f t="shared" si="834"/>
        <v>0P00</v>
      </c>
      <c r="AJ2768" t="str">
        <f t="shared" si="835"/>
        <v>P000</v>
      </c>
    </row>
    <row r="2769" spans="1:36" x14ac:dyDescent="0.25">
      <c r="A2769" s="325" t="str">
        <f>CONCATENATE("P",'906MP'!M2469)</f>
        <v>P</v>
      </c>
      <c r="B2769">
        <f>'906MP'!H2469</f>
        <v>0</v>
      </c>
      <c r="C2769">
        <f>'906MP'!J2469</f>
        <v>0</v>
      </c>
      <c r="D2769">
        <f>'906MP'!P2469</f>
        <v>0</v>
      </c>
      <c r="E2769">
        <f>'906MP'!X2469</f>
        <v>0</v>
      </c>
      <c r="F2769" t="str">
        <f t="shared" si="827"/>
        <v>0</v>
      </c>
      <c r="G2769" t="str">
        <f t="shared" si="828"/>
        <v>0</v>
      </c>
      <c r="H2769">
        <f>'906MP'!Y2469</f>
        <v>0</v>
      </c>
      <c r="I2769">
        <f>'906MP'!AK2469</f>
        <v>0</v>
      </c>
      <c r="J2769">
        <f>'906MP'!T2469</f>
        <v>0</v>
      </c>
      <c r="K2769">
        <f>'906MP'!AJ2469</f>
        <v>0</v>
      </c>
      <c r="L2769">
        <f>'906MP'!U2469</f>
        <v>0</v>
      </c>
      <c r="M2769" s="322" t="str">
        <f>IFERROR(VLOOKUP(A2769,PAR!$D$3:$E$53,2,FALSE),"nincs szervezet")</f>
        <v>nincs szervezet</v>
      </c>
      <c r="N2769" s="322" t="str">
        <f>VLOOKUP(F2769,PAR!$R$3:$S$5,2,FALSE)</f>
        <v>3 - egyik sem</v>
      </c>
      <c r="O2769" t="str">
        <f>IFERROR(VLOOKUP(J2769,PAR!$O$3:$P$5,2,FALSE),"nincs feladat")</f>
        <v>nincs feladat</v>
      </c>
      <c r="P2769" t="str">
        <f>IFERROR(VLOOKUP(G2769,PAR!$J$2:$M$19,4),"nincs rovat")</f>
        <v>nincs rovat</v>
      </c>
      <c r="Q2769" t="str">
        <f>IF(H2769&gt;0,VLOOKUP(H2769,PAR!$AA$3:$AC$187,3,FALSE),"nincs főkönyvi számla")</f>
        <v>nincs főkönyvi számla</v>
      </c>
      <c r="R2769" t="str">
        <f>IFERROR(VLOOKUP(K2769,PAR!$V$3:$X$438,3,FALSE),"000000 - Nincs COFOG")</f>
        <v>000000 - Nincs COFOG</v>
      </c>
      <c r="S2769">
        <f t="shared" si="829"/>
        <v>0</v>
      </c>
      <c r="T2769">
        <f t="shared" si="830"/>
        <v>0</v>
      </c>
      <c r="U2769" t="str">
        <f>IF('906MP'!J2469&gt;0,CONCATENATE('906MP'!J2469," - ",'906MP'!P2469,", ",'906MP'!E2469),"nincs megjegyzés")</f>
        <v>nincs megjegyzés</v>
      </c>
      <c r="V2769" t="str">
        <f t="shared" si="817"/>
        <v>0P0</v>
      </c>
      <c r="W2769" t="str">
        <f t="shared" si="818"/>
        <v>0P0</v>
      </c>
      <c r="X2769" t="str">
        <f t="shared" si="819"/>
        <v>P0</v>
      </c>
      <c r="Y2769" t="str">
        <f t="shared" si="820"/>
        <v>00</v>
      </c>
      <c r="Z2769" t="str">
        <f t="shared" si="831"/>
        <v>00</v>
      </c>
      <c r="AA2769" t="str">
        <f t="shared" si="821"/>
        <v>00</v>
      </c>
      <c r="AB2769" t="str">
        <f t="shared" si="822"/>
        <v>00</v>
      </c>
      <c r="AC2769" t="str">
        <f t="shared" si="823"/>
        <v>0P0</v>
      </c>
      <c r="AD2769" t="str">
        <f t="shared" si="824"/>
        <v>P00</v>
      </c>
      <c r="AE2769" t="str">
        <f t="shared" si="825"/>
        <v>0P0</v>
      </c>
      <c r="AF2769" t="str">
        <f t="shared" si="826"/>
        <v>P00</v>
      </c>
      <c r="AG2769" t="str">
        <f t="shared" si="832"/>
        <v>0P00</v>
      </c>
      <c r="AH2769" t="str">
        <f t="shared" si="833"/>
        <v>P000</v>
      </c>
      <c r="AI2769" t="str">
        <f t="shared" si="834"/>
        <v>0P00</v>
      </c>
      <c r="AJ2769" t="str">
        <f t="shared" si="835"/>
        <v>P000</v>
      </c>
    </row>
    <row r="2770" spans="1:36" x14ac:dyDescent="0.25">
      <c r="A2770" s="325" t="str">
        <f>CONCATENATE("P",'906MP'!M2470)</f>
        <v>P</v>
      </c>
      <c r="B2770">
        <f>'906MP'!H2470</f>
        <v>0</v>
      </c>
      <c r="C2770">
        <f>'906MP'!J2470</f>
        <v>0</v>
      </c>
      <c r="D2770">
        <f>'906MP'!P2470</f>
        <v>0</v>
      </c>
      <c r="E2770">
        <f>'906MP'!X2470</f>
        <v>0</v>
      </c>
      <c r="F2770" t="str">
        <f t="shared" si="827"/>
        <v>0</v>
      </c>
      <c r="G2770" t="str">
        <f t="shared" si="828"/>
        <v>0</v>
      </c>
      <c r="H2770">
        <f>'906MP'!Y2470</f>
        <v>0</v>
      </c>
      <c r="I2770">
        <f>'906MP'!AK2470</f>
        <v>0</v>
      </c>
      <c r="J2770">
        <f>'906MP'!T2470</f>
        <v>0</v>
      </c>
      <c r="K2770">
        <f>'906MP'!AJ2470</f>
        <v>0</v>
      </c>
      <c r="L2770">
        <f>'906MP'!U2470</f>
        <v>0</v>
      </c>
      <c r="M2770" s="322" t="str">
        <f>IFERROR(VLOOKUP(A2770,PAR!$D$3:$E$53,2,FALSE),"nincs szervezet")</f>
        <v>nincs szervezet</v>
      </c>
      <c r="N2770" s="322" t="str">
        <f>VLOOKUP(F2770,PAR!$R$3:$S$5,2,FALSE)</f>
        <v>3 - egyik sem</v>
      </c>
      <c r="O2770" t="str">
        <f>IFERROR(VLOOKUP(J2770,PAR!$O$3:$P$5,2,FALSE),"nincs feladat")</f>
        <v>nincs feladat</v>
      </c>
      <c r="P2770" t="str">
        <f>IFERROR(VLOOKUP(G2770,PAR!$J$2:$M$19,4),"nincs rovat")</f>
        <v>nincs rovat</v>
      </c>
      <c r="Q2770" t="str">
        <f>IF(H2770&gt;0,VLOOKUP(H2770,PAR!$AA$3:$AC$187,3,FALSE),"nincs főkönyvi számla")</f>
        <v>nincs főkönyvi számla</v>
      </c>
      <c r="R2770" t="str">
        <f>IFERROR(VLOOKUP(K2770,PAR!$V$3:$X$438,3,FALSE),"000000 - Nincs COFOG")</f>
        <v>000000 - Nincs COFOG</v>
      </c>
      <c r="S2770">
        <f t="shared" si="829"/>
        <v>0</v>
      </c>
      <c r="T2770">
        <f t="shared" si="830"/>
        <v>0</v>
      </c>
      <c r="U2770" t="str">
        <f>IF('906MP'!J2470&gt;0,CONCATENATE('906MP'!J2470," - ",'906MP'!P2470,", ",'906MP'!E2470),"nincs megjegyzés")</f>
        <v>nincs megjegyzés</v>
      </c>
      <c r="V2770" t="str">
        <f t="shared" si="817"/>
        <v>0P0</v>
      </c>
      <c r="W2770" t="str">
        <f t="shared" si="818"/>
        <v>0P0</v>
      </c>
      <c r="X2770" t="str">
        <f t="shared" si="819"/>
        <v>P0</v>
      </c>
      <c r="Y2770" t="str">
        <f t="shared" si="820"/>
        <v>00</v>
      </c>
      <c r="Z2770" t="str">
        <f t="shared" si="831"/>
        <v>00</v>
      </c>
      <c r="AA2770" t="str">
        <f t="shared" si="821"/>
        <v>00</v>
      </c>
      <c r="AB2770" t="str">
        <f t="shared" si="822"/>
        <v>00</v>
      </c>
      <c r="AC2770" t="str">
        <f t="shared" si="823"/>
        <v>0P0</v>
      </c>
      <c r="AD2770" t="str">
        <f t="shared" si="824"/>
        <v>P00</v>
      </c>
      <c r="AE2770" t="str">
        <f t="shared" si="825"/>
        <v>0P0</v>
      </c>
      <c r="AF2770" t="str">
        <f t="shared" si="826"/>
        <v>P00</v>
      </c>
      <c r="AG2770" t="str">
        <f t="shared" si="832"/>
        <v>0P00</v>
      </c>
      <c r="AH2770" t="str">
        <f t="shared" si="833"/>
        <v>P000</v>
      </c>
      <c r="AI2770" t="str">
        <f t="shared" si="834"/>
        <v>0P00</v>
      </c>
      <c r="AJ2770" t="str">
        <f t="shared" si="835"/>
        <v>P000</v>
      </c>
    </row>
    <row r="2771" spans="1:36" x14ac:dyDescent="0.25">
      <c r="A2771" s="325" t="str">
        <f>CONCATENATE("P",'906MP'!M2471)</f>
        <v>P</v>
      </c>
      <c r="B2771">
        <f>'906MP'!H2471</f>
        <v>0</v>
      </c>
      <c r="C2771">
        <f>'906MP'!J2471</f>
        <v>0</v>
      </c>
      <c r="D2771">
        <f>'906MP'!P2471</f>
        <v>0</v>
      </c>
      <c r="E2771">
        <f>'906MP'!X2471</f>
        <v>0</v>
      </c>
      <c r="F2771" t="str">
        <f t="shared" si="827"/>
        <v>0</v>
      </c>
      <c r="G2771" t="str">
        <f t="shared" si="828"/>
        <v>0</v>
      </c>
      <c r="H2771">
        <f>'906MP'!Y2471</f>
        <v>0</v>
      </c>
      <c r="I2771">
        <f>'906MP'!AK2471</f>
        <v>0</v>
      </c>
      <c r="J2771">
        <f>'906MP'!T2471</f>
        <v>0</v>
      </c>
      <c r="K2771">
        <f>'906MP'!AJ2471</f>
        <v>0</v>
      </c>
      <c r="L2771">
        <f>'906MP'!U2471</f>
        <v>0</v>
      </c>
      <c r="M2771" s="322" t="str">
        <f>IFERROR(VLOOKUP(A2771,PAR!$D$3:$E$53,2,FALSE),"nincs szervezet")</f>
        <v>nincs szervezet</v>
      </c>
      <c r="N2771" s="322" t="str">
        <f>VLOOKUP(F2771,PAR!$R$3:$S$5,2,FALSE)</f>
        <v>3 - egyik sem</v>
      </c>
      <c r="O2771" t="str">
        <f>IFERROR(VLOOKUP(J2771,PAR!$O$3:$P$5,2,FALSE),"nincs feladat")</f>
        <v>nincs feladat</v>
      </c>
      <c r="P2771" t="str">
        <f>IFERROR(VLOOKUP(G2771,PAR!$J$2:$M$19,4),"nincs rovat")</f>
        <v>nincs rovat</v>
      </c>
      <c r="Q2771" t="str">
        <f>IF(H2771&gt;0,VLOOKUP(H2771,PAR!$AA$3:$AC$187,3,FALSE),"nincs főkönyvi számla")</f>
        <v>nincs főkönyvi számla</v>
      </c>
      <c r="R2771" t="str">
        <f>IFERROR(VLOOKUP(K2771,PAR!$V$3:$X$438,3,FALSE),"000000 - Nincs COFOG")</f>
        <v>000000 - Nincs COFOG</v>
      </c>
      <c r="S2771">
        <f t="shared" si="829"/>
        <v>0</v>
      </c>
      <c r="T2771">
        <f t="shared" si="830"/>
        <v>0</v>
      </c>
      <c r="U2771" t="str">
        <f>IF('906MP'!J2471&gt;0,CONCATENATE('906MP'!J2471," - ",'906MP'!P2471,", ",'906MP'!E2471),"nincs megjegyzés")</f>
        <v>nincs megjegyzés</v>
      </c>
      <c r="V2771" t="str">
        <f t="shared" si="817"/>
        <v>0P0</v>
      </c>
      <c r="W2771" t="str">
        <f t="shared" si="818"/>
        <v>0P0</v>
      </c>
      <c r="X2771" t="str">
        <f t="shared" si="819"/>
        <v>P0</v>
      </c>
      <c r="Y2771" t="str">
        <f t="shared" si="820"/>
        <v>00</v>
      </c>
      <c r="Z2771" t="str">
        <f t="shared" si="831"/>
        <v>00</v>
      </c>
      <c r="AA2771" t="str">
        <f t="shared" si="821"/>
        <v>00</v>
      </c>
      <c r="AB2771" t="str">
        <f t="shared" si="822"/>
        <v>00</v>
      </c>
      <c r="AC2771" t="str">
        <f t="shared" si="823"/>
        <v>0P0</v>
      </c>
      <c r="AD2771" t="str">
        <f t="shared" si="824"/>
        <v>P00</v>
      </c>
      <c r="AE2771" t="str">
        <f t="shared" si="825"/>
        <v>0P0</v>
      </c>
      <c r="AF2771" t="str">
        <f t="shared" si="826"/>
        <v>P00</v>
      </c>
      <c r="AG2771" t="str">
        <f t="shared" si="832"/>
        <v>0P00</v>
      </c>
      <c r="AH2771" t="str">
        <f t="shared" si="833"/>
        <v>P000</v>
      </c>
      <c r="AI2771" t="str">
        <f t="shared" si="834"/>
        <v>0P00</v>
      </c>
      <c r="AJ2771" t="str">
        <f t="shared" si="835"/>
        <v>P000</v>
      </c>
    </row>
    <row r="2772" spans="1:36" x14ac:dyDescent="0.25">
      <c r="A2772" s="325" t="str">
        <f>CONCATENATE("P",'906MP'!M2472)</f>
        <v>P</v>
      </c>
      <c r="B2772">
        <f>'906MP'!H2472</f>
        <v>0</v>
      </c>
      <c r="C2772">
        <f>'906MP'!J2472</f>
        <v>0</v>
      </c>
      <c r="D2772">
        <f>'906MP'!P2472</f>
        <v>0</v>
      </c>
      <c r="E2772">
        <f>'906MP'!X2472</f>
        <v>0</v>
      </c>
      <c r="F2772" t="str">
        <f t="shared" si="827"/>
        <v>0</v>
      </c>
      <c r="G2772" t="str">
        <f t="shared" si="828"/>
        <v>0</v>
      </c>
      <c r="H2772">
        <f>'906MP'!Y2472</f>
        <v>0</v>
      </c>
      <c r="I2772">
        <f>'906MP'!AK2472</f>
        <v>0</v>
      </c>
      <c r="J2772">
        <f>'906MP'!T2472</f>
        <v>0</v>
      </c>
      <c r="K2772">
        <f>'906MP'!AJ2472</f>
        <v>0</v>
      </c>
      <c r="L2772">
        <f>'906MP'!U2472</f>
        <v>0</v>
      </c>
      <c r="M2772" s="322" t="str">
        <f>IFERROR(VLOOKUP(A2772,PAR!$D$3:$E$53,2,FALSE),"nincs szervezet")</f>
        <v>nincs szervezet</v>
      </c>
      <c r="N2772" s="322" t="str">
        <f>VLOOKUP(F2772,PAR!$R$3:$S$5,2,FALSE)</f>
        <v>3 - egyik sem</v>
      </c>
      <c r="O2772" t="str">
        <f>IFERROR(VLOOKUP(J2772,PAR!$O$3:$P$5,2,FALSE),"nincs feladat")</f>
        <v>nincs feladat</v>
      </c>
      <c r="P2772" t="str">
        <f>IFERROR(VLOOKUP(G2772,PAR!$J$2:$M$19,4),"nincs rovat")</f>
        <v>nincs rovat</v>
      </c>
      <c r="Q2772" t="str">
        <f>IF(H2772&gt;0,VLOOKUP(H2772,PAR!$AA$3:$AC$187,3,FALSE),"nincs főkönyvi számla")</f>
        <v>nincs főkönyvi számla</v>
      </c>
      <c r="R2772" t="str">
        <f>IFERROR(VLOOKUP(K2772,PAR!$V$3:$X$438,3,FALSE),"000000 - Nincs COFOG")</f>
        <v>000000 - Nincs COFOG</v>
      </c>
      <c r="S2772">
        <f t="shared" si="829"/>
        <v>0</v>
      </c>
      <c r="T2772">
        <f t="shared" si="830"/>
        <v>0</v>
      </c>
      <c r="U2772" t="str">
        <f>IF('906MP'!J2472&gt;0,CONCATENATE('906MP'!J2472," - ",'906MP'!P2472,", ",'906MP'!E2472),"nincs megjegyzés")</f>
        <v>nincs megjegyzés</v>
      </c>
      <c r="V2772" t="str">
        <f t="shared" si="817"/>
        <v>0P0</v>
      </c>
      <c r="W2772" t="str">
        <f t="shared" si="818"/>
        <v>0P0</v>
      </c>
      <c r="X2772" t="str">
        <f t="shared" si="819"/>
        <v>P0</v>
      </c>
      <c r="Y2772" t="str">
        <f t="shared" si="820"/>
        <v>00</v>
      </c>
      <c r="Z2772" t="str">
        <f t="shared" si="831"/>
        <v>00</v>
      </c>
      <c r="AA2772" t="str">
        <f t="shared" si="821"/>
        <v>00</v>
      </c>
      <c r="AB2772" t="str">
        <f t="shared" si="822"/>
        <v>00</v>
      </c>
      <c r="AC2772" t="str">
        <f t="shared" si="823"/>
        <v>0P0</v>
      </c>
      <c r="AD2772" t="str">
        <f t="shared" si="824"/>
        <v>P00</v>
      </c>
      <c r="AE2772" t="str">
        <f t="shared" si="825"/>
        <v>0P0</v>
      </c>
      <c r="AF2772" t="str">
        <f t="shared" si="826"/>
        <v>P00</v>
      </c>
      <c r="AG2772" t="str">
        <f t="shared" si="832"/>
        <v>0P00</v>
      </c>
      <c r="AH2772" t="str">
        <f t="shared" si="833"/>
        <v>P000</v>
      </c>
      <c r="AI2772" t="str">
        <f t="shared" si="834"/>
        <v>0P00</v>
      </c>
      <c r="AJ2772" t="str">
        <f t="shared" si="835"/>
        <v>P000</v>
      </c>
    </row>
    <row r="2773" spans="1:36" x14ac:dyDescent="0.25">
      <c r="A2773" s="325" t="str">
        <f>CONCATENATE("P",'906MP'!M2473)</f>
        <v>P</v>
      </c>
      <c r="B2773">
        <f>'906MP'!H2473</f>
        <v>0</v>
      </c>
      <c r="C2773">
        <f>'906MP'!J2473</f>
        <v>0</v>
      </c>
      <c r="D2773">
        <f>'906MP'!P2473</f>
        <v>0</v>
      </c>
      <c r="E2773">
        <f>'906MP'!X2473</f>
        <v>0</v>
      </c>
      <c r="F2773" t="str">
        <f t="shared" si="827"/>
        <v>0</v>
      </c>
      <c r="G2773" t="str">
        <f t="shared" si="828"/>
        <v>0</v>
      </c>
      <c r="H2773">
        <f>'906MP'!Y2473</f>
        <v>0</v>
      </c>
      <c r="I2773">
        <f>'906MP'!AK2473</f>
        <v>0</v>
      </c>
      <c r="J2773">
        <f>'906MP'!T2473</f>
        <v>0</v>
      </c>
      <c r="K2773">
        <f>'906MP'!AJ2473</f>
        <v>0</v>
      </c>
      <c r="L2773">
        <f>'906MP'!U2473</f>
        <v>0</v>
      </c>
      <c r="M2773" s="322" t="str">
        <f>IFERROR(VLOOKUP(A2773,PAR!$D$3:$E$53,2,FALSE),"nincs szervezet")</f>
        <v>nincs szervezet</v>
      </c>
      <c r="N2773" s="322" t="str">
        <f>VLOOKUP(F2773,PAR!$R$3:$S$5,2,FALSE)</f>
        <v>3 - egyik sem</v>
      </c>
      <c r="O2773" t="str">
        <f>IFERROR(VLOOKUP(J2773,PAR!$O$3:$P$5,2,FALSE),"nincs feladat")</f>
        <v>nincs feladat</v>
      </c>
      <c r="P2773" t="str">
        <f>IFERROR(VLOOKUP(G2773,PAR!$J$2:$M$19,4),"nincs rovat")</f>
        <v>nincs rovat</v>
      </c>
      <c r="Q2773" t="str">
        <f>IF(H2773&gt;0,VLOOKUP(H2773,PAR!$AA$3:$AC$187,3,FALSE),"nincs főkönyvi számla")</f>
        <v>nincs főkönyvi számla</v>
      </c>
      <c r="R2773" t="str">
        <f>IFERROR(VLOOKUP(K2773,PAR!$V$3:$X$438,3,FALSE),"000000 - Nincs COFOG")</f>
        <v>000000 - Nincs COFOG</v>
      </c>
      <c r="S2773">
        <f t="shared" si="829"/>
        <v>0</v>
      </c>
      <c r="T2773">
        <f t="shared" si="830"/>
        <v>0</v>
      </c>
      <c r="U2773" t="str">
        <f>IF('906MP'!J2473&gt;0,CONCATENATE('906MP'!J2473," - ",'906MP'!P2473,", ",'906MP'!E2473),"nincs megjegyzés")</f>
        <v>nincs megjegyzés</v>
      </c>
      <c r="V2773" t="str">
        <f t="shared" si="817"/>
        <v>0P0</v>
      </c>
      <c r="W2773" t="str">
        <f t="shared" si="818"/>
        <v>0P0</v>
      </c>
      <c r="X2773" t="str">
        <f t="shared" si="819"/>
        <v>P0</v>
      </c>
      <c r="Y2773" t="str">
        <f t="shared" si="820"/>
        <v>00</v>
      </c>
      <c r="Z2773" t="str">
        <f t="shared" si="831"/>
        <v>00</v>
      </c>
      <c r="AA2773" t="str">
        <f t="shared" si="821"/>
        <v>00</v>
      </c>
      <c r="AB2773" t="str">
        <f t="shared" si="822"/>
        <v>00</v>
      </c>
      <c r="AC2773" t="str">
        <f t="shared" si="823"/>
        <v>0P0</v>
      </c>
      <c r="AD2773" t="str">
        <f t="shared" si="824"/>
        <v>P00</v>
      </c>
      <c r="AE2773" t="str">
        <f t="shared" si="825"/>
        <v>0P0</v>
      </c>
      <c r="AF2773" t="str">
        <f t="shared" si="826"/>
        <v>P00</v>
      </c>
      <c r="AG2773" t="str">
        <f t="shared" si="832"/>
        <v>0P00</v>
      </c>
      <c r="AH2773" t="str">
        <f t="shared" si="833"/>
        <v>P000</v>
      </c>
      <c r="AI2773" t="str">
        <f t="shared" si="834"/>
        <v>0P00</v>
      </c>
      <c r="AJ2773" t="str">
        <f t="shared" si="835"/>
        <v>P000</v>
      </c>
    </row>
    <row r="2774" spans="1:36" x14ac:dyDescent="0.25">
      <c r="A2774" s="325" t="str">
        <f>CONCATENATE("P",'906MP'!M2474)</f>
        <v>P</v>
      </c>
      <c r="B2774">
        <f>'906MP'!H2474</f>
        <v>0</v>
      </c>
      <c r="C2774">
        <f>'906MP'!J2474</f>
        <v>0</v>
      </c>
      <c r="D2774">
        <f>'906MP'!P2474</f>
        <v>0</v>
      </c>
      <c r="E2774">
        <f>'906MP'!X2474</f>
        <v>0</v>
      </c>
      <c r="F2774" t="str">
        <f t="shared" si="827"/>
        <v>0</v>
      </c>
      <c r="G2774" t="str">
        <f t="shared" si="828"/>
        <v>0</v>
      </c>
      <c r="H2774">
        <f>'906MP'!Y2474</f>
        <v>0</v>
      </c>
      <c r="I2774">
        <f>'906MP'!AK2474</f>
        <v>0</v>
      </c>
      <c r="J2774">
        <f>'906MP'!T2474</f>
        <v>0</v>
      </c>
      <c r="K2774">
        <f>'906MP'!AJ2474</f>
        <v>0</v>
      </c>
      <c r="L2774">
        <f>'906MP'!U2474</f>
        <v>0</v>
      </c>
      <c r="M2774" s="322" t="str">
        <f>IFERROR(VLOOKUP(A2774,PAR!$D$3:$E$53,2,FALSE),"nincs szervezet")</f>
        <v>nincs szervezet</v>
      </c>
      <c r="N2774" s="322" t="str">
        <f>VLOOKUP(F2774,PAR!$R$3:$S$5,2,FALSE)</f>
        <v>3 - egyik sem</v>
      </c>
      <c r="O2774" t="str">
        <f>IFERROR(VLOOKUP(J2774,PAR!$O$3:$P$5,2,FALSE),"nincs feladat")</f>
        <v>nincs feladat</v>
      </c>
      <c r="P2774" t="str">
        <f>IFERROR(VLOOKUP(G2774,PAR!$J$2:$M$19,4),"nincs rovat")</f>
        <v>nincs rovat</v>
      </c>
      <c r="Q2774" t="str">
        <f>IF(H2774&gt;0,VLOOKUP(H2774,PAR!$AA$3:$AC$187,3,FALSE),"nincs főkönyvi számla")</f>
        <v>nincs főkönyvi számla</v>
      </c>
      <c r="R2774" t="str">
        <f>IFERROR(VLOOKUP(K2774,PAR!$V$3:$X$438,3,FALSE),"000000 - Nincs COFOG")</f>
        <v>000000 - Nincs COFOG</v>
      </c>
      <c r="S2774">
        <f t="shared" si="829"/>
        <v>0</v>
      </c>
      <c r="T2774">
        <f t="shared" si="830"/>
        <v>0</v>
      </c>
      <c r="U2774" t="str">
        <f>IF('906MP'!J2474&gt;0,CONCATENATE('906MP'!J2474," - ",'906MP'!P2474,", ",'906MP'!E2474),"nincs megjegyzés")</f>
        <v>nincs megjegyzés</v>
      </c>
      <c r="V2774" t="str">
        <f t="shared" si="817"/>
        <v>0P0</v>
      </c>
      <c r="W2774" t="str">
        <f t="shared" si="818"/>
        <v>0P0</v>
      </c>
      <c r="X2774" t="str">
        <f t="shared" si="819"/>
        <v>P0</v>
      </c>
      <c r="Y2774" t="str">
        <f t="shared" si="820"/>
        <v>00</v>
      </c>
      <c r="Z2774" t="str">
        <f t="shared" si="831"/>
        <v>00</v>
      </c>
      <c r="AA2774" t="str">
        <f t="shared" si="821"/>
        <v>00</v>
      </c>
      <c r="AB2774" t="str">
        <f t="shared" si="822"/>
        <v>00</v>
      </c>
      <c r="AC2774" t="str">
        <f t="shared" si="823"/>
        <v>0P0</v>
      </c>
      <c r="AD2774" t="str">
        <f t="shared" si="824"/>
        <v>P00</v>
      </c>
      <c r="AE2774" t="str">
        <f t="shared" si="825"/>
        <v>0P0</v>
      </c>
      <c r="AF2774" t="str">
        <f t="shared" si="826"/>
        <v>P00</v>
      </c>
      <c r="AG2774" t="str">
        <f t="shared" si="832"/>
        <v>0P00</v>
      </c>
      <c r="AH2774" t="str">
        <f t="shared" si="833"/>
        <v>P000</v>
      </c>
      <c r="AI2774" t="str">
        <f t="shared" si="834"/>
        <v>0P00</v>
      </c>
      <c r="AJ2774" t="str">
        <f t="shared" si="835"/>
        <v>P000</v>
      </c>
    </row>
    <row r="2775" spans="1:36" x14ac:dyDescent="0.25">
      <c r="A2775" s="325" t="str">
        <f>CONCATENATE("P",'906MP'!M2475)</f>
        <v>P</v>
      </c>
      <c r="B2775">
        <f>'906MP'!H2475</f>
        <v>0</v>
      </c>
      <c r="C2775">
        <f>'906MP'!J2475</f>
        <v>0</v>
      </c>
      <c r="D2775">
        <f>'906MP'!P2475</f>
        <v>0</v>
      </c>
      <c r="E2775">
        <f>'906MP'!X2475</f>
        <v>0</v>
      </c>
      <c r="F2775" t="str">
        <f t="shared" si="827"/>
        <v>0</v>
      </c>
      <c r="G2775" t="str">
        <f t="shared" si="828"/>
        <v>0</v>
      </c>
      <c r="H2775">
        <f>'906MP'!Y2475</f>
        <v>0</v>
      </c>
      <c r="I2775">
        <f>'906MP'!AK2475</f>
        <v>0</v>
      </c>
      <c r="J2775">
        <f>'906MP'!T2475</f>
        <v>0</v>
      </c>
      <c r="K2775">
        <f>'906MP'!AJ2475</f>
        <v>0</v>
      </c>
      <c r="L2775">
        <f>'906MP'!U2475</f>
        <v>0</v>
      </c>
      <c r="M2775" s="322" t="str">
        <f>IFERROR(VLOOKUP(A2775,PAR!$D$3:$E$53,2,FALSE),"nincs szervezet")</f>
        <v>nincs szervezet</v>
      </c>
      <c r="N2775" s="322" t="str">
        <f>VLOOKUP(F2775,PAR!$R$3:$S$5,2,FALSE)</f>
        <v>3 - egyik sem</v>
      </c>
      <c r="O2775" t="str">
        <f>IFERROR(VLOOKUP(J2775,PAR!$O$3:$P$5,2,FALSE),"nincs feladat")</f>
        <v>nincs feladat</v>
      </c>
      <c r="P2775" t="str">
        <f>IFERROR(VLOOKUP(G2775,PAR!$J$2:$M$19,4),"nincs rovat")</f>
        <v>nincs rovat</v>
      </c>
      <c r="Q2775" t="str">
        <f>IF(H2775&gt;0,VLOOKUP(H2775,PAR!$AA$3:$AC$187,3,FALSE),"nincs főkönyvi számla")</f>
        <v>nincs főkönyvi számla</v>
      </c>
      <c r="R2775" t="str">
        <f>IFERROR(VLOOKUP(K2775,PAR!$V$3:$X$438,3,FALSE),"000000 - Nincs COFOG")</f>
        <v>000000 - Nincs COFOG</v>
      </c>
      <c r="S2775">
        <f t="shared" si="829"/>
        <v>0</v>
      </c>
      <c r="T2775">
        <f t="shared" si="830"/>
        <v>0</v>
      </c>
      <c r="U2775" t="str">
        <f>IF('906MP'!J2475&gt;0,CONCATENATE('906MP'!J2475," - ",'906MP'!P2475,", ",'906MP'!E2475),"nincs megjegyzés")</f>
        <v>nincs megjegyzés</v>
      </c>
      <c r="V2775" t="str">
        <f t="shared" si="817"/>
        <v>0P0</v>
      </c>
      <c r="W2775" t="str">
        <f t="shared" si="818"/>
        <v>0P0</v>
      </c>
      <c r="X2775" t="str">
        <f t="shared" si="819"/>
        <v>P0</v>
      </c>
      <c r="Y2775" t="str">
        <f t="shared" si="820"/>
        <v>00</v>
      </c>
      <c r="Z2775" t="str">
        <f t="shared" si="831"/>
        <v>00</v>
      </c>
      <c r="AA2775" t="str">
        <f t="shared" si="821"/>
        <v>00</v>
      </c>
      <c r="AB2775" t="str">
        <f t="shared" si="822"/>
        <v>00</v>
      </c>
      <c r="AC2775" t="str">
        <f t="shared" si="823"/>
        <v>0P0</v>
      </c>
      <c r="AD2775" t="str">
        <f t="shared" si="824"/>
        <v>P00</v>
      </c>
      <c r="AE2775" t="str">
        <f t="shared" si="825"/>
        <v>0P0</v>
      </c>
      <c r="AF2775" t="str">
        <f t="shared" si="826"/>
        <v>P00</v>
      </c>
      <c r="AG2775" t="str">
        <f t="shared" si="832"/>
        <v>0P00</v>
      </c>
      <c r="AH2775" t="str">
        <f t="shared" si="833"/>
        <v>P000</v>
      </c>
      <c r="AI2775" t="str">
        <f t="shared" si="834"/>
        <v>0P00</v>
      </c>
      <c r="AJ2775" t="str">
        <f t="shared" si="835"/>
        <v>P000</v>
      </c>
    </row>
    <row r="2776" spans="1:36" x14ac:dyDescent="0.25">
      <c r="A2776" s="325" t="str">
        <f>CONCATENATE("P",'906MP'!M2476)</f>
        <v>P</v>
      </c>
      <c r="B2776">
        <f>'906MP'!H2476</f>
        <v>0</v>
      </c>
      <c r="C2776">
        <f>'906MP'!J2476</f>
        <v>0</v>
      </c>
      <c r="D2776">
        <f>'906MP'!P2476</f>
        <v>0</v>
      </c>
      <c r="E2776">
        <f>'906MP'!X2476</f>
        <v>0</v>
      </c>
      <c r="F2776" t="str">
        <f t="shared" si="827"/>
        <v>0</v>
      </c>
      <c r="G2776" t="str">
        <f t="shared" si="828"/>
        <v>0</v>
      </c>
      <c r="H2776">
        <f>'906MP'!Y2476</f>
        <v>0</v>
      </c>
      <c r="I2776">
        <f>'906MP'!AK2476</f>
        <v>0</v>
      </c>
      <c r="J2776">
        <f>'906MP'!T2476</f>
        <v>0</v>
      </c>
      <c r="K2776">
        <f>'906MP'!AJ2476</f>
        <v>0</v>
      </c>
      <c r="L2776">
        <f>'906MP'!U2476</f>
        <v>0</v>
      </c>
      <c r="M2776" s="322" t="str">
        <f>IFERROR(VLOOKUP(A2776,PAR!$D$3:$E$53,2,FALSE),"nincs szervezet")</f>
        <v>nincs szervezet</v>
      </c>
      <c r="N2776" s="322" t="str">
        <f>VLOOKUP(F2776,PAR!$R$3:$S$5,2,FALSE)</f>
        <v>3 - egyik sem</v>
      </c>
      <c r="O2776" t="str">
        <f>IFERROR(VLOOKUP(J2776,PAR!$O$3:$P$5,2,FALSE),"nincs feladat")</f>
        <v>nincs feladat</v>
      </c>
      <c r="P2776" t="str">
        <f>IFERROR(VLOOKUP(G2776,PAR!$J$2:$M$19,4),"nincs rovat")</f>
        <v>nincs rovat</v>
      </c>
      <c r="Q2776" t="str">
        <f>IF(H2776&gt;0,VLOOKUP(H2776,PAR!$AA$3:$AC$187,3,FALSE),"nincs főkönyvi számla")</f>
        <v>nincs főkönyvi számla</v>
      </c>
      <c r="R2776" t="str">
        <f>IFERROR(VLOOKUP(K2776,PAR!$V$3:$X$438,3,FALSE),"000000 - Nincs COFOG")</f>
        <v>000000 - Nincs COFOG</v>
      </c>
      <c r="S2776">
        <f t="shared" si="829"/>
        <v>0</v>
      </c>
      <c r="T2776">
        <f t="shared" si="830"/>
        <v>0</v>
      </c>
      <c r="U2776" t="str">
        <f>IF('906MP'!J2476&gt;0,CONCATENATE('906MP'!J2476," - ",'906MP'!P2476,", ",'906MP'!E2476),"nincs megjegyzés")</f>
        <v>nincs megjegyzés</v>
      </c>
      <c r="V2776" t="str">
        <f t="shared" si="817"/>
        <v>0P0</v>
      </c>
      <c r="W2776" t="str">
        <f t="shared" si="818"/>
        <v>0P0</v>
      </c>
      <c r="X2776" t="str">
        <f t="shared" si="819"/>
        <v>P0</v>
      </c>
      <c r="Y2776" t="str">
        <f t="shared" si="820"/>
        <v>00</v>
      </c>
      <c r="Z2776" t="str">
        <f t="shared" si="831"/>
        <v>00</v>
      </c>
      <c r="AA2776" t="str">
        <f t="shared" si="821"/>
        <v>00</v>
      </c>
      <c r="AB2776" t="str">
        <f t="shared" si="822"/>
        <v>00</v>
      </c>
      <c r="AC2776" t="str">
        <f t="shared" si="823"/>
        <v>0P0</v>
      </c>
      <c r="AD2776" t="str">
        <f t="shared" si="824"/>
        <v>P00</v>
      </c>
      <c r="AE2776" t="str">
        <f t="shared" si="825"/>
        <v>0P0</v>
      </c>
      <c r="AF2776" t="str">
        <f t="shared" si="826"/>
        <v>P00</v>
      </c>
      <c r="AG2776" t="str">
        <f t="shared" si="832"/>
        <v>0P00</v>
      </c>
      <c r="AH2776" t="str">
        <f t="shared" si="833"/>
        <v>P000</v>
      </c>
      <c r="AI2776" t="str">
        <f t="shared" si="834"/>
        <v>0P00</v>
      </c>
      <c r="AJ2776" t="str">
        <f t="shared" si="835"/>
        <v>P000</v>
      </c>
    </row>
    <row r="2777" spans="1:36" x14ac:dyDescent="0.25">
      <c r="A2777" s="325" t="str">
        <f>CONCATENATE("P",'906MP'!M2477)</f>
        <v>P</v>
      </c>
      <c r="B2777">
        <f>'906MP'!H2477</f>
        <v>0</v>
      </c>
      <c r="C2777">
        <f>'906MP'!J2477</f>
        <v>0</v>
      </c>
      <c r="D2777">
        <f>'906MP'!P2477</f>
        <v>0</v>
      </c>
      <c r="E2777">
        <f>'906MP'!X2477</f>
        <v>0</v>
      </c>
      <c r="F2777" t="str">
        <f t="shared" si="827"/>
        <v>0</v>
      </c>
      <c r="G2777" t="str">
        <f t="shared" si="828"/>
        <v>0</v>
      </c>
      <c r="H2777">
        <f>'906MP'!Y2477</f>
        <v>0</v>
      </c>
      <c r="I2777">
        <f>'906MP'!AK2477</f>
        <v>0</v>
      </c>
      <c r="J2777">
        <f>'906MP'!T2477</f>
        <v>0</v>
      </c>
      <c r="K2777">
        <f>'906MP'!AJ2477</f>
        <v>0</v>
      </c>
      <c r="L2777">
        <f>'906MP'!U2477</f>
        <v>0</v>
      </c>
      <c r="M2777" s="322" t="str">
        <f>IFERROR(VLOOKUP(A2777,PAR!$D$3:$E$53,2,FALSE),"nincs szervezet")</f>
        <v>nincs szervezet</v>
      </c>
      <c r="N2777" s="322" t="str">
        <f>VLOOKUP(F2777,PAR!$R$3:$S$5,2,FALSE)</f>
        <v>3 - egyik sem</v>
      </c>
      <c r="O2777" t="str">
        <f>IFERROR(VLOOKUP(J2777,PAR!$O$3:$P$5,2,FALSE),"nincs feladat")</f>
        <v>nincs feladat</v>
      </c>
      <c r="P2777" t="str">
        <f>IFERROR(VLOOKUP(G2777,PAR!$J$2:$M$19,4),"nincs rovat")</f>
        <v>nincs rovat</v>
      </c>
      <c r="Q2777" t="str">
        <f>IF(H2777&gt;0,VLOOKUP(H2777,PAR!$AA$3:$AC$187,3,FALSE),"nincs főkönyvi számla")</f>
        <v>nincs főkönyvi számla</v>
      </c>
      <c r="R2777" t="str">
        <f>IFERROR(VLOOKUP(K2777,PAR!$V$3:$X$438,3,FALSE),"000000 - Nincs COFOG")</f>
        <v>000000 - Nincs COFOG</v>
      </c>
      <c r="S2777">
        <f t="shared" si="829"/>
        <v>0</v>
      </c>
      <c r="T2777">
        <f t="shared" si="830"/>
        <v>0</v>
      </c>
      <c r="U2777" t="str">
        <f>IF('906MP'!J2477&gt;0,CONCATENATE('906MP'!J2477," - ",'906MP'!P2477,", ",'906MP'!E2477),"nincs megjegyzés")</f>
        <v>nincs megjegyzés</v>
      </c>
      <c r="V2777" t="str">
        <f t="shared" si="817"/>
        <v>0P0</v>
      </c>
      <c r="W2777" t="str">
        <f t="shared" si="818"/>
        <v>0P0</v>
      </c>
      <c r="X2777" t="str">
        <f t="shared" si="819"/>
        <v>P0</v>
      </c>
      <c r="Y2777" t="str">
        <f t="shared" si="820"/>
        <v>00</v>
      </c>
      <c r="Z2777" t="str">
        <f t="shared" si="831"/>
        <v>00</v>
      </c>
      <c r="AA2777" t="str">
        <f t="shared" si="821"/>
        <v>00</v>
      </c>
      <c r="AB2777" t="str">
        <f t="shared" si="822"/>
        <v>00</v>
      </c>
      <c r="AC2777" t="str">
        <f t="shared" si="823"/>
        <v>0P0</v>
      </c>
      <c r="AD2777" t="str">
        <f t="shared" si="824"/>
        <v>P00</v>
      </c>
      <c r="AE2777" t="str">
        <f t="shared" si="825"/>
        <v>0P0</v>
      </c>
      <c r="AF2777" t="str">
        <f t="shared" si="826"/>
        <v>P00</v>
      </c>
      <c r="AG2777" t="str">
        <f t="shared" si="832"/>
        <v>0P00</v>
      </c>
      <c r="AH2777" t="str">
        <f t="shared" si="833"/>
        <v>P000</v>
      </c>
      <c r="AI2777" t="str">
        <f t="shared" si="834"/>
        <v>0P00</v>
      </c>
      <c r="AJ2777" t="str">
        <f t="shared" si="835"/>
        <v>P000</v>
      </c>
    </row>
    <row r="2778" spans="1:36" x14ac:dyDescent="0.25">
      <c r="A2778" s="325" t="str">
        <f>CONCATENATE("P",'906MP'!M2478)</f>
        <v>P</v>
      </c>
      <c r="B2778">
        <f>'906MP'!H2478</f>
        <v>0</v>
      </c>
      <c r="C2778">
        <f>'906MP'!J2478</f>
        <v>0</v>
      </c>
      <c r="D2778">
        <f>'906MP'!P2478</f>
        <v>0</v>
      </c>
      <c r="E2778">
        <f>'906MP'!X2478</f>
        <v>0</v>
      </c>
      <c r="F2778" t="str">
        <f t="shared" si="827"/>
        <v>0</v>
      </c>
      <c r="G2778" t="str">
        <f t="shared" si="828"/>
        <v>0</v>
      </c>
      <c r="H2778">
        <f>'906MP'!Y2478</f>
        <v>0</v>
      </c>
      <c r="I2778">
        <f>'906MP'!AK2478</f>
        <v>0</v>
      </c>
      <c r="J2778">
        <f>'906MP'!T2478</f>
        <v>0</v>
      </c>
      <c r="K2778">
        <f>'906MP'!AJ2478</f>
        <v>0</v>
      </c>
      <c r="L2778">
        <f>'906MP'!U2478</f>
        <v>0</v>
      </c>
      <c r="M2778" s="322" t="str">
        <f>IFERROR(VLOOKUP(A2778,PAR!$D$3:$E$53,2,FALSE),"nincs szervezet")</f>
        <v>nincs szervezet</v>
      </c>
      <c r="N2778" s="322" t="str">
        <f>VLOOKUP(F2778,PAR!$R$3:$S$5,2,FALSE)</f>
        <v>3 - egyik sem</v>
      </c>
      <c r="O2778" t="str">
        <f>IFERROR(VLOOKUP(J2778,PAR!$O$3:$P$5,2,FALSE),"nincs feladat")</f>
        <v>nincs feladat</v>
      </c>
      <c r="P2778" t="str">
        <f>IFERROR(VLOOKUP(G2778,PAR!$J$2:$M$19,4),"nincs rovat")</f>
        <v>nincs rovat</v>
      </c>
      <c r="Q2778" t="str">
        <f>IF(H2778&gt;0,VLOOKUP(H2778,PAR!$AA$3:$AC$187,3,FALSE),"nincs főkönyvi számla")</f>
        <v>nincs főkönyvi számla</v>
      </c>
      <c r="R2778" t="str">
        <f>IFERROR(VLOOKUP(K2778,PAR!$V$3:$X$438,3,FALSE),"000000 - Nincs COFOG")</f>
        <v>000000 - Nincs COFOG</v>
      </c>
      <c r="S2778">
        <f t="shared" si="829"/>
        <v>0</v>
      </c>
      <c r="T2778">
        <f t="shared" si="830"/>
        <v>0</v>
      </c>
      <c r="U2778" t="str">
        <f>IF('906MP'!J2478&gt;0,CONCATENATE('906MP'!J2478," - ",'906MP'!P2478,", ",'906MP'!E2478),"nincs megjegyzés")</f>
        <v>nincs megjegyzés</v>
      </c>
      <c r="V2778" t="str">
        <f t="shared" si="817"/>
        <v>0P0</v>
      </c>
      <c r="W2778" t="str">
        <f t="shared" si="818"/>
        <v>0P0</v>
      </c>
      <c r="X2778" t="str">
        <f t="shared" si="819"/>
        <v>P0</v>
      </c>
      <c r="Y2778" t="str">
        <f t="shared" si="820"/>
        <v>00</v>
      </c>
      <c r="Z2778" t="str">
        <f t="shared" si="831"/>
        <v>00</v>
      </c>
      <c r="AA2778" t="str">
        <f t="shared" si="821"/>
        <v>00</v>
      </c>
      <c r="AB2778" t="str">
        <f t="shared" si="822"/>
        <v>00</v>
      </c>
      <c r="AC2778" t="str">
        <f t="shared" si="823"/>
        <v>0P0</v>
      </c>
      <c r="AD2778" t="str">
        <f t="shared" si="824"/>
        <v>P00</v>
      </c>
      <c r="AE2778" t="str">
        <f t="shared" si="825"/>
        <v>0P0</v>
      </c>
      <c r="AF2778" t="str">
        <f t="shared" si="826"/>
        <v>P00</v>
      </c>
      <c r="AG2778" t="str">
        <f t="shared" si="832"/>
        <v>0P00</v>
      </c>
      <c r="AH2778" t="str">
        <f t="shared" si="833"/>
        <v>P000</v>
      </c>
      <c r="AI2778" t="str">
        <f t="shared" si="834"/>
        <v>0P00</v>
      </c>
      <c r="AJ2778" t="str">
        <f t="shared" si="835"/>
        <v>P000</v>
      </c>
    </row>
    <row r="2779" spans="1:36" x14ac:dyDescent="0.25">
      <c r="A2779" s="325" t="str">
        <f>CONCATENATE("P",'906MP'!M2479)</f>
        <v>P</v>
      </c>
      <c r="B2779">
        <f>'906MP'!H2479</f>
        <v>0</v>
      </c>
      <c r="C2779">
        <f>'906MP'!J2479</f>
        <v>0</v>
      </c>
      <c r="D2779">
        <f>'906MP'!P2479</f>
        <v>0</v>
      </c>
      <c r="E2779">
        <f>'906MP'!X2479</f>
        <v>0</v>
      </c>
      <c r="F2779" t="str">
        <f t="shared" si="827"/>
        <v>0</v>
      </c>
      <c r="G2779" t="str">
        <f t="shared" si="828"/>
        <v>0</v>
      </c>
      <c r="H2779">
        <f>'906MP'!Y2479</f>
        <v>0</v>
      </c>
      <c r="I2779">
        <f>'906MP'!AK2479</f>
        <v>0</v>
      </c>
      <c r="J2779">
        <f>'906MP'!T2479</f>
        <v>0</v>
      </c>
      <c r="K2779">
        <f>'906MP'!AJ2479</f>
        <v>0</v>
      </c>
      <c r="L2779">
        <f>'906MP'!U2479</f>
        <v>0</v>
      </c>
      <c r="M2779" s="322" t="str">
        <f>IFERROR(VLOOKUP(A2779,PAR!$D$3:$E$53,2,FALSE),"nincs szervezet")</f>
        <v>nincs szervezet</v>
      </c>
      <c r="N2779" s="322" t="str">
        <f>VLOOKUP(F2779,PAR!$R$3:$S$5,2,FALSE)</f>
        <v>3 - egyik sem</v>
      </c>
      <c r="O2779" t="str">
        <f>IFERROR(VLOOKUP(J2779,PAR!$O$3:$P$5,2,FALSE),"nincs feladat")</f>
        <v>nincs feladat</v>
      </c>
      <c r="P2779" t="str">
        <f>IFERROR(VLOOKUP(G2779,PAR!$J$2:$M$19,4),"nincs rovat")</f>
        <v>nincs rovat</v>
      </c>
      <c r="Q2779" t="str">
        <f>IF(H2779&gt;0,VLOOKUP(H2779,PAR!$AA$3:$AC$187,3,FALSE),"nincs főkönyvi számla")</f>
        <v>nincs főkönyvi számla</v>
      </c>
      <c r="R2779" t="str">
        <f>IFERROR(VLOOKUP(K2779,PAR!$V$3:$X$438,3,FALSE),"000000 - Nincs COFOG")</f>
        <v>000000 - Nincs COFOG</v>
      </c>
      <c r="S2779">
        <f t="shared" si="829"/>
        <v>0</v>
      </c>
      <c r="T2779">
        <f t="shared" si="830"/>
        <v>0</v>
      </c>
      <c r="U2779" t="str">
        <f>IF('906MP'!J2479&gt;0,CONCATENATE('906MP'!J2479," - ",'906MP'!P2479,", ",'906MP'!E2479),"nincs megjegyzés")</f>
        <v>nincs megjegyzés</v>
      </c>
      <c r="V2779" t="str">
        <f t="shared" si="817"/>
        <v>0P0</v>
      </c>
      <c r="W2779" t="str">
        <f t="shared" si="818"/>
        <v>0P0</v>
      </c>
      <c r="X2779" t="str">
        <f t="shared" si="819"/>
        <v>P0</v>
      </c>
      <c r="Y2779" t="str">
        <f t="shared" si="820"/>
        <v>00</v>
      </c>
      <c r="Z2779" t="str">
        <f t="shared" si="831"/>
        <v>00</v>
      </c>
      <c r="AA2779" t="str">
        <f t="shared" si="821"/>
        <v>00</v>
      </c>
      <c r="AB2779" t="str">
        <f t="shared" si="822"/>
        <v>00</v>
      </c>
      <c r="AC2779" t="str">
        <f t="shared" si="823"/>
        <v>0P0</v>
      </c>
      <c r="AD2779" t="str">
        <f t="shared" si="824"/>
        <v>P00</v>
      </c>
      <c r="AE2779" t="str">
        <f t="shared" si="825"/>
        <v>0P0</v>
      </c>
      <c r="AF2779" t="str">
        <f t="shared" si="826"/>
        <v>P00</v>
      </c>
      <c r="AG2779" t="str">
        <f t="shared" si="832"/>
        <v>0P00</v>
      </c>
      <c r="AH2779" t="str">
        <f t="shared" si="833"/>
        <v>P000</v>
      </c>
      <c r="AI2779" t="str">
        <f t="shared" si="834"/>
        <v>0P00</v>
      </c>
      <c r="AJ2779" t="str">
        <f t="shared" si="835"/>
        <v>P000</v>
      </c>
    </row>
    <row r="2780" spans="1:36" x14ac:dyDescent="0.25">
      <c r="A2780" s="325" t="str">
        <f>CONCATENATE("P",'906MP'!M2480)</f>
        <v>P</v>
      </c>
      <c r="B2780">
        <f>'906MP'!H2480</f>
        <v>0</v>
      </c>
      <c r="C2780">
        <f>'906MP'!J2480</f>
        <v>0</v>
      </c>
      <c r="D2780">
        <f>'906MP'!P2480</f>
        <v>0</v>
      </c>
      <c r="E2780">
        <f>'906MP'!X2480</f>
        <v>0</v>
      </c>
      <c r="F2780" t="str">
        <f t="shared" si="827"/>
        <v>0</v>
      </c>
      <c r="G2780" t="str">
        <f t="shared" si="828"/>
        <v>0</v>
      </c>
      <c r="H2780">
        <f>'906MP'!Y2480</f>
        <v>0</v>
      </c>
      <c r="I2780">
        <f>'906MP'!AK2480</f>
        <v>0</v>
      </c>
      <c r="J2780">
        <f>'906MP'!T2480</f>
        <v>0</v>
      </c>
      <c r="K2780">
        <f>'906MP'!AJ2480</f>
        <v>0</v>
      </c>
      <c r="L2780">
        <f>'906MP'!U2480</f>
        <v>0</v>
      </c>
      <c r="M2780" s="322" t="str">
        <f>IFERROR(VLOOKUP(A2780,PAR!$D$3:$E$53,2,FALSE),"nincs szervezet")</f>
        <v>nincs szervezet</v>
      </c>
      <c r="N2780" s="322" t="str">
        <f>VLOOKUP(F2780,PAR!$R$3:$S$5,2,FALSE)</f>
        <v>3 - egyik sem</v>
      </c>
      <c r="O2780" t="str">
        <f>IFERROR(VLOOKUP(J2780,PAR!$O$3:$P$5,2,FALSE),"nincs feladat")</f>
        <v>nincs feladat</v>
      </c>
      <c r="P2780" t="str">
        <f>IFERROR(VLOOKUP(G2780,PAR!$J$2:$M$19,4),"nincs rovat")</f>
        <v>nincs rovat</v>
      </c>
      <c r="Q2780" t="str">
        <f>IF(H2780&gt;0,VLOOKUP(H2780,PAR!$AA$3:$AC$187,3,FALSE),"nincs főkönyvi számla")</f>
        <v>nincs főkönyvi számla</v>
      </c>
      <c r="R2780" t="str">
        <f>IFERROR(VLOOKUP(K2780,PAR!$V$3:$X$438,3,FALSE),"000000 - Nincs COFOG")</f>
        <v>000000 - Nincs COFOG</v>
      </c>
      <c r="S2780">
        <f t="shared" si="829"/>
        <v>0</v>
      </c>
      <c r="T2780">
        <f t="shared" si="830"/>
        <v>0</v>
      </c>
      <c r="U2780" t="str">
        <f>IF('906MP'!J2480&gt;0,CONCATENATE('906MP'!J2480," - ",'906MP'!P2480,", ",'906MP'!E2480),"nincs megjegyzés")</f>
        <v>nincs megjegyzés</v>
      </c>
      <c r="V2780" t="str">
        <f t="shared" si="817"/>
        <v>0P0</v>
      </c>
      <c r="W2780" t="str">
        <f t="shared" si="818"/>
        <v>0P0</v>
      </c>
      <c r="X2780" t="str">
        <f t="shared" si="819"/>
        <v>P0</v>
      </c>
      <c r="Y2780" t="str">
        <f t="shared" si="820"/>
        <v>00</v>
      </c>
      <c r="Z2780" t="str">
        <f t="shared" si="831"/>
        <v>00</v>
      </c>
      <c r="AA2780" t="str">
        <f t="shared" si="821"/>
        <v>00</v>
      </c>
      <c r="AB2780" t="str">
        <f t="shared" si="822"/>
        <v>00</v>
      </c>
      <c r="AC2780" t="str">
        <f t="shared" si="823"/>
        <v>0P0</v>
      </c>
      <c r="AD2780" t="str">
        <f t="shared" si="824"/>
        <v>P00</v>
      </c>
      <c r="AE2780" t="str">
        <f t="shared" si="825"/>
        <v>0P0</v>
      </c>
      <c r="AF2780" t="str">
        <f t="shared" si="826"/>
        <v>P00</v>
      </c>
      <c r="AG2780" t="str">
        <f t="shared" si="832"/>
        <v>0P00</v>
      </c>
      <c r="AH2780" t="str">
        <f t="shared" si="833"/>
        <v>P000</v>
      </c>
      <c r="AI2780" t="str">
        <f t="shared" si="834"/>
        <v>0P00</v>
      </c>
      <c r="AJ2780" t="str">
        <f t="shared" si="835"/>
        <v>P000</v>
      </c>
    </row>
    <row r="2781" spans="1:36" x14ac:dyDescent="0.25">
      <c r="A2781" s="325" t="str">
        <f>CONCATENATE("P",'906MP'!M2481)</f>
        <v>P</v>
      </c>
      <c r="B2781">
        <f>'906MP'!H2481</f>
        <v>0</v>
      </c>
      <c r="C2781">
        <f>'906MP'!J2481</f>
        <v>0</v>
      </c>
      <c r="D2781">
        <f>'906MP'!P2481</f>
        <v>0</v>
      </c>
      <c r="E2781">
        <f>'906MP'!X2481</f>
        <v>0</v>
      </c>
      <c r="F2781" t="str">
        <f t="shared" si="827"/>
        <v>0</v>
      </c>
      <c r="G2781" t="str">
        <f t="shared" si="828"/>
        <v>0</v>
      </c>
      <c r="H2781">
        <f>'906MP'!Y2481</f>
        <v>0</v>
      </c>
      <c r="I2781">
        <f>'906MP'!AK2481</f>
        <v>0</v>
      </c>
      <c r="J2781">
        <f>'906MP'!T2481</f>
        <v>0</v>
      </c>
      <c r="K2781">
        <f>'906MP'!AJ2481</f>
        <v>0</v>
      </c>
      <c r="L2781">
        <f>'906MP'!U2481</f>
        <v>0</v>
      </c>
      <c r="M2781" s="322" t="str">
        <f>IFERROR(VLOOKUP(A2781,PAR!$D$3:$E$53,2,FALSE),"nincs szervezet")</f>
        <v>nincs szervezet</v>
      </c>
      <c r="N2781" s="322" t="str">
        <f>VLOOKUP(F2781,PAR!$R$3:$S$5,2,FALSE)</f>
        <v>3 - egyik sem</v>
      </c>
      <c r="O2781" t="str">
        <f>IFERROR(VLOOKUP(J2781,PAR!$O$3:$P$5,2,FALSE),"nincs feladat")</f>
        <v>nincs feladat</v>
      </c>
      <c r="P2781" t="str">
        <f>IFERROR(VLOOKUP(G2781,PAR!$J$2:$M$19,4),"nincs rovat")</f>
        <v>nincs rovat</v>
      </c>
      <c r="Q2781" t="str">
        <f>IF(H2781&gt;0,VLOOKUP(H2781,PAR!$AA$3:$AC$187,3,FALSE),"nincs főkönyvi számla")</f>
        <v>nincs főkönyvi számla</v>
      </c>
      <c r="R2781" t="str">
        <f>IFERROR(VLOOKUP(K2781,PAR!$V$3:$X$438,3,FALSE),"000000 - Nincs COFOG")</f>
        <v>000000 - Nincs COFOG</v>
      </c>
      <c r="S2781">
        <f t="shared" si="829"/>
        <v>0</v>
      </c>
      <c r="T2781">
        <f t="shared" si="830"/>
        <v>0</v>
      </c>
      <c r="U2781" t="str">
        <f>IF('906MP'!J2481&gt;0,CONCATENATE('906MP'!J2481," - ",'906MP'!P2481,", ",'906MP'!E2481),"nincs megjegyzés")</f>
        <v>nincs megjegyzés</v>
      </c>
      <c r="V2781" t="str">
        <f t="shared" si="817"/>
        <v>0P0</v>
      </c>
      <c r="W2781" t="str">
        <f t="shared" si="818"/>
        <v>0P0</v>
      </c>
      <c r="X2781" t="str">
        <f t="shared" si="819"/>
        <v>P0</v>
      </c>
      <c r="Y2781" t="str">
        <f t="shared" si="820"/>
        <v>00</v>
      </c>
      <c r="Z2781" t="str">
        <f t="shared" si="831"/>
        <v>00</v>
      </c>
      <c r="AA2781" t="str">
        <f t="shared" si="821"/>
        <v>00</v>
      </c>
      <c r="AB2781" t="str">
        <f t="shared" si="822"/>
        <v>00</v>
      </c>
      <c r="AC2781" t="str">
        <f t="shared" si="823"/>
        <v>0P0</v>
      </c>
      <c r="AD2781" t="str">
        <f t="shared" si="824"/>
        <v>P00</v>
      </c>
      <c r="AE2781" t="str">
        <f t="shared" si="825"/>
        <v>0P0</v>
      </c>
      <c r="AF2781" t="str">
        <f t="shared" si="826"/>
        <v>P00</v>
      </c>
      <c r="AG2781" t="str">
        <f t="shared" si="832"/>
        <v>0P00</v>
      </c>
      <c r="AH2781" t="str">
        <f t="shared" si="833"/>
        <v>P000</v>
      </c>
      <c r="AI2781" t="str">
        <f t="shared" si="834"/>
        <v>0P00</v>
      </c>
      <c r="AJ2781" t="str">
        <f t="shared" si="835"/>
        <v>P000</v>
      </c>
    </row>
    <row r="2782" spans="1:36" x14ac:dyDescent="0.25">
      <c r="A2782" s="325" t="str">
        <f>CONCATENATE("P",'906MP'!M2482)</f>
        <v>P</v>
      </c>
      <c r="B2782">
        <f>'906MP'!H2482</f>
        <v>0</v>
      </c>
      <c r="C2782">
        <f>'906MP'!J2482</f>
        <v>0</v>
      </c>
      <c r="D2782">
        <f>'906MP'!P2482</f>
        <v>0</v>
      </c>
      <c r="E2782">
        <f>'906MP'!X2482</f>
        <v>0</v>
      </c>
      <c r="F2782" t="str">
        <f t="shared" si="827"/>
        <v>0</v>
      </c>
      <c r="G2782" t="str">
        <f t="shared" si="828"/>
        <v>0</v>
      </c>
      <c r="H2782">
        <f>'906MP'!Y2482</f>
        <v>0</v>
      </c>
      <c r="I2782">
        <f>'906MP'!AK2482</f>
        <v>0</v>
      </c>
      <c r="J2782">
        <f>'906MP'!T2482</f>
        <v>0</v>
      </c>
      <c r="K2782">
        <f>'906MP'!AJ2482</f>
        <v>0</v>
      </c>
      <c r="L2782">
        <f>'906MP'!U2482</f>
        <v>0</v>
      </c>
      <c r="M2782" s="322" t="str">
        <f>IFERROR(VLOOKUP(A2782,PAR!$D$3:$E$53,2,FALSE),"nincs szervezet")</f>
        <v>nincs szervezet</v>
      </c>
      <c r="N2782" s="322" t="str">
        <f>VLOOKUP(F2782,PAR!$R$3:$S$5,2,FALSE)</f>
        <v>3 - egyik sem</v>
      </c>
      <c r="O2782" t="str">
        <f>IFERROR(VLOOKUP(J2782,PAR!$O$3:$P$5,2,FALSE),"nincs feladat")</f>
        <v>nincs feladat</v>
      </c>
      <c r="P2782" t="str">
        <f>IFERROR(VLOOKUP(G2782,PAR!$J$2:$M$19,4),"nincs rovat")</f>
        <v>nincs rovat</v>
      </c>
      <c r="Q2782" t="str">
        <f>IF(H2782&gt;0,VLOOKUP(H2782,PAR!$AA$3:$AC$187,3,FALSE),"nincs főkönyvi számla")</f>
        <v>nincs főkönyvi számla</v>
      </c>
      <c r="R2782" t="str">
        <f>IFERROR(VLOOKUP(K2782,PAR!$V$3:$X$438,3,FALSE),"000000 - Nincs COFOG")</f>
        <v>000000 - Nincs COFOG</v>
      </c>
      <c r="S2782">
        <f t="shared" si="829"/>
        <v>0</v>
      </c>
      <c r="T2782">
        <f t="shared" si="830"/>
        <v>0</v>
      </c>
      <c r="U2782" t="str">
        <f>IF('906MP'!J2482&gt;0,CONCATENATE('906MP'!J2482," - ",'906MP'!P2482,", ",'906MP'!E2482),"nincs megjegyzés")</f>
        <v>nincs megjegyzés</v>
      </c>
      <c r="V2782" t="str">
        <f t="shared" si="817"/>
        <v>0P0</v>
      </c>
      <c r="W2782" t="str">
        <f t="shared" si="818"/>
        <v>0P0</v>
      </c>
      <c r="X2782" t="str">
        <f t="shared" si="819"/>
        <v>P0</v>
      </c>
      <c r="Y2782" t="str">
        <f t="shared" si="820"/>
        <v>00</v>
      </c>
      <c r="Z2782" t="str">
        <f t="shared" si="831"/>
        <v>00</v>
      </c>
      <c r="AA2782" t="str">
        <f t="shared" si="821"/>
        <v>00</v>
      </c>
      <c r="AB2782" t="str">
        <f t="shared" si="822"/>
        <v>00</v>
      </c>
      <c r="AC2782" t="str">
        <f t="shared" si="823"/>
        <v>0P0</v>
      </c>
      <c r="AD2782" t="str">
        <f t="shared" si="824"/>
        <v>P00</v>
      </c>
      <c r="AE2782" t="str">
        <f t="shared" si="825"/>
        <v>0P0</v>
      </c>
      <c r="AF2782" t="str">
        <f t="shared" si="826"/>
        <v>P00</v>
      </c>
      <c r="AG2782" t="str">
        <f t="shared" si="832"/>
        <v>0P00</v>
      </c>
      <c r="AH2782" t="str">
        <f t="shared" si="833"/>
        <v>P000</v>
      </c>
      <c r="AI2782" t="str">
        <f t="shared" si="834"/>
        <v>0P00</v>
      </c>
      <c r="AJ2782" t="str">
        <f t="shared" si="835"/>
        <v>P000</v>
      </c>
    </row>
    <row r="2783" spans="1:36" x14ac:dyDescent="0.25">
      <c r="A2783" s="325" t="str">
        <f>CONCATENATE("P",'906MP'!M2483)</f>
        <v>P</v>
      </c>
      <c r="B2783">
        <f>'906MP'!H2483</f>
        <v>0</v>
      </c>
      <c r="C2783">
        <f>'906MP'!J2483</f>
        <v>0</v>
      </c>
      <c r="D2783">
        <f>'906MP'!P2483</f>
        <v>0</v>
      </c>
      <c r="E2783">
        <f>'906MP'!X2483</f>
        <v>0</v>
      </c>
      <c r="F2783" t="str">
        <f t="shared" si="827"/>
        <v>0</v>
      </c>
      <c r="G2783" t="str">
        <f t="shared" si="828"/>
        <v>0</v>
      </c>
      <c r="H2783">
        <f>'906MP'!Y2483</f>
        <v>0</v>
      </c>
      <c r="I2783">
        <f>'906MP'!AK2483</f>
        <v>0</v>
      </c>
      <c r="J2783">
        <f>'906MP'!T2483</f>
        <v>0</v>
      </c>
      <c r="K2783">
        <f>'906MP'!AJ2483</f>
        <v>0</v>
      </c>
      <c r="L2783">
        <f>'906MP'!U2483</f>
        <v>0</v>
      </c>
      <c r="M2783" s="322" t="str">
        <f>IFERROR(VLOOKUP(A2783,PAR!$D$3:$E$53,2,FALSE),"nincs szervezet")</f>
        <v>nincs szervezet</v>
      </c>
      <c r="N2783" s="322" t="str">
        <f>VLOOKUP(F2783,PAR!$R$3:$S$5,2,FALSE)</f>
        <v>3 - egyik sem</v>
      </c>
      <c r="O2783" t="str">
        <f>IFERROR(VLOOKUP(J2783,PAR!$O$3:$P$5,2,FALSE),"nincs feladat")</f>
        <v>nincs feladat</v>
      </c>
      <c r="P2783" t="str">
        <f>IFERROR(VLOOKUP(G2783,PAR!$J$2:$M$19,4),"nincs rovat")</f>
        <v>nincs rovat</v>
      </c>
      <c r="Q2783" t="str">
        <f>IF(H2783&gt;0,VLOOKUP(H2783,PAR!$AA$3:$AC$187,3,FALSE),"nincs főkönyvi számla")</f>
        <v>nincs főkönyvi számla</v>
      </c>
      <c r="R2783" t="str">
        <f>IFERROR(VLOOKUP(K2783,PAR!$V$3:$X$438,3,FALSE),"000000 - Nincs COFOG")</f>
        <v>000000 - Nincs COFOG</v>
      </c>
      <c r="S2783">
        <f t="shared" si="829"/>
        <v>0</v>
      </c>
      <c r="T2783">
        <f t="shared" si="830"/>
        <v>0</v>
      </c>
      <c r="U2783" t="str">
        <f>IF('906MP'!J2483&gt;0,CONCATENATE('906MP'!J2483," - ",'906MP'!P2483,", ",'906MP'!E2483),"nincs megjegyzés")</f>
        <v>nincs megjegyzés</v>
      </c>
      <c r="V2783" t="str">
        <f t="shared" si="817"/>
        <v>0P0</v>
      </c>
      <c r="W2783" t="str">
        <f t="shared" si="818"/>
        <v>0P0</v>
      </c>
      <c r="X2783" t="str">
        <f t="shared" si="819"/>
        <v>P0</v>
      </c>
      <c r="Y2783" t="str">
        <f t="shared" si="820"/>
        <v>00</v>
      </c>
      <c r="Z2783" t="str">
        <f t="shared" si="831"/>
        <v>00</v>
      </c>
      <c r="AA2783" t="str">
        <f t="shared" si="821"/>
        <v>00</v>
      </c>
      <c r="AB2783" t="str">
        <f t="shared" si="822"/>
        <v>00</v>
      </c>
      <c r="AC2783" t="str">
        <f t="shared" si="823"/>
        <v>0P0</v>
      </c>
      <c r="AD2783" t="str">
        <f t="shared" si="824"/>
        <v>P00</v>
      </c>
      <c r="AE2783" t="str">
        <f t="shared" si="825"/>
        <v>0P0</v>
      </c>
      <c r="AF2783" t="str">
        <f t="shared" si="826"/>
        <v>P00</v>
      </c>
      <c r="AG2783" t="str">
        <f t="shared" si="832"/>
        <v>0P00</v>
      </c>
      <c r="AH2783" t="str">
        <f t="shared" si="833"/>
        <v>P000</v>
      </c>
      <c r="AI2783" t="str">
        <f t="shared" si="834"/>
        <v>0P00</v>
      </c>
      <c r="AJ2783" t="str">
        <f t="shared" si="835"/>
        <v>P000</v>
      </c>
    </row>
    <row r="2784" spans="1:36" x14ac:dyDescent="0.25">
      <c r="A2784" s="325" t="str">
        <f>CONCATENATE("P",'906MP'!M2484)</f>
        <v>P</v>
      </c>
      <c r="B2784">
        <f>'906MP'!H2484</f>
        <v>0</v>
      </c>
      <c r="C2784">
        <f>'906MP'!J2484</f>
        <v>0</v>
      </c>
      <c r="D2784">
        <f>'906MP'!P2484</f>
        <v>0</v>
      </c>
      <c r="E2784">
        <f>'906MP'!X2484</f>
        <v>0</v>
      </c>
      <c r="F2784" t="str">
        <f t="shared" si="827"/>
        <v>0</v>
      </c>
      <c r="G2784" t="str">
        <f t="shared" si="828"/>
        <v>0</v>
      </c>
      <c r="H2784">
        <f>'906MP'!Y2484</f>
        <v>0</v>
      </c>
      <c r="I2784">
        <f>'906MP'!AK2484</f>
        <v>0</v>
      </c>
      <c r="J2784">
        <f>'906MP'!T2484</f>
        <v>0</v>
      </c>
      <c r="K2784">
        <f>'906MP'!AJ2484</f>
        <v>0</v>
      </c>
      <c r="L2784">
        <f>'906MP'!U2484</f>
        <v>0</v>
      </c>
      <c r="M2784" s="322" t="str">
        <f>IFERROR(VLOOKUP(A2784,PAR!$D$3:$E$53,2,FALSE),"nincs szervezet")</f>
        <v>nincs szervezet</v>
      </c>
      <c r="N2784" s="322" t="str">
        <f>VLOOKUP(F2784,PAR!$R$3:$S$5,2,FALSE)</f>
        <v>3 - egyik sem</v>
      </c>
      <c r="O2784" t="str">
        <f>IFERROR(VLOOKUP(J2784,PAR!$O$3:$P$5,2,FALSE),"nincs feladat")</f>
        <v>nincs feladat</v>
      </c>
      <c r="P2784" t="str">
        <f>IFERROR(VLOOKUP(G2784,PAR!$J$2:$M$19,4),"nincs rovat")</f>
        <v>nincs rovat</v>
      </c>
      <c r="Q2784" t="str">
        <f>IF(H2784&gt;0,VLOOKUP(H2784,PAR!$AA$3:$AC$187,3,FALSE),"nincs főkönyvi számla")</f>
        <v>nincs főkönyvi számla</v>
      </c>
      <c r="R2784" t="str">
        <f>IFERROR(VLOOKUP(K2784,PAR!$V$3:$X$438,3,FALSE),"000000 - Nincs COFOG")</f>
        <v>000000 - Nincs COFOG</v>
      </c>
      <c r="S2784">
        <f t="shared" si="829"/>
        <v>0</v>
      </c>
      <c r="T2784">
        <f t="shared" si="830"/>
        <v>0</v>
      </c>
      <c r="U2784" t="str">
        <f>IF('906MP'!J2484&gt;0,CONCATENATE('906MP'!J2484," - ",'906MP'!P2484,", ",'906MP'!E2484),"nincs megjegyzés")</f>
        <v>nincs megjegyzés</v>
      </c>
      <c r="V2784" t="str">
        <f t="shared" si="817"/>
        <v>0P0</v>
      </c>
      <c r="W2784" t="str">
        <f t="shared" si="818"/>
        <v>0P0</v>
      </c>
      <c r="X2784" t="str">
        <f t="shared" si="819"/>
        <v>P0</v>
      </c>
      <c r="Y2784" t="str">
        <f t="shared" si="820"/>
        <v>00</v>
      </c>
      <c r="Z2784" t="str">
        <f t="shared" si="831"/>
        <v>00</v>
      </c>
      <c r="AA2784" t="str">
        <f t="shared" si="821"/>
        <v>00</v>
      </c>
      <c r="AB2784" t="str">
        <f t="shared" si="822"/>
        <v>00</v>
      </c>
      <c r="AC2784" t="str">
        <f t="shared" si="823"/>
        <v>0P0</v>
      </c>
      <c r="AD2784" t="str">
        <f t="shared" si="824"/>
        <v>P00</v>
      </c>
      <c r="AE2784" t="str">
        <f t="shared" si="825"/>
        <v>0P0</v>
      </c>
      <c r="AF2784" t="str">
        <f t="shared" si="826"/>
        <v>P00</v>
      </c>
      <c r="AG2784" t="str">
        <f t="shared" si="832"/>
        <v>0P00</v>
      </c>
      <c r="AH2784" t="str">
        <f t="shared" si="833"/>
        <v>P000</v>
      </c>
      <c r="AI2784" t="str">
        <f t="shared" si="834"/>
        <v>0P00</v>
      </c>
      <c r="AJ2784" t="str">
        <f t="shared" si="835"/>
        <v>P000</v>
      </c>
    </row>
    <row r="2785" spans="1:36" x14ac:dyDescent="0.25">
      <c r="A2785" s="325" t="str">
        <f>CONCATENATE("P",'906MP'!M2485)</f>
        <v>P</v>
      </c>
      <c r="B2785">
        <f>'906MP'!H2485</f>
        <v>0</v>
      </c>
      <c r="C2785">
        <f>'906MP'!J2485</f>
        <v>0</v>
      </c>
      <c r="D2785">
        <f>'906MP'!P2485</f>
        <v>0</v>
      </c>
      <c r="E2785">
        <f>'906MP'!X2485</f>
        <v>0</v>
      </c>
      <c r="F2785" t="str">
        <f t="shared" si="827"/>
        <v>0</v>
      </c>
      <c r="G2785" t="str">
        <f t="shared" si="828"/>
        <v>0</v>
      </c>
      <c r="H2785">
        <f>'906MP'!Y2485</f>
        <v>0</v>
      </c>
      <c r="I2785">
        <f>'906MP'!AK2485</f>
        <v>0</v>
      </c>
      <c r="J2785">
        <f>'906MP'!T2485</f>
        <v>0</v>
      </c>
      <c r="K2785">
        <f>'906MP'!AJ2485</f>
        <v>0</v>
      </c>
      <c r="L2785">
        <f>'906MP'!U2485</f>
        <v>0</v>
      </c>
      <c r="M2785" s="322" t="str">
        <f>IFERROR(VLOOKUP(A2785,PAR!$D$3:$E$53,2,FALSE),"nincs szervezet")</f>
        <v>nincs szervezet</v>
      </c>
      <c r="N2785" s="322" t="str">
        <f>VLOOKUP(F2785,PAR!$R$3:$S$5,2,FALSE)</f>
        <v>3 - egyik sem</v>
      </c>
      <c r="O2785" t="str">
        <f>IFERROR(VLOOKUP(J2785,PAR!$O$3:$P$5,2,FALSE),"nincs feladat")</f>
        <v>nincs feladat</v>
      </c>
      <c r="P2785" t="str">
        <f>IFERROR(VLOOKUP(G2785,PAR!$J$2:$M$19,4),"nincs rovat")</f>
        <v>nincs rovat</v>
      </c>
      <c r="Q2785" t="str">
        <f>IF(H2785&gt;0,VLOOKUP(H2785,PAR!$AA$3:$AC$187,3,FALSE),"nincs főkönyvi számla")</f>
        <v>nincs főkönyvi számla</v>
      </c>
      <c r="R2785" t="str">
        <f>IFERROR(VLOOKUP(K2785,PAR!$V$3:$X$438,3,FALSE),"000000 - Nincs COFOG")</f>
        <v>000000 - Nincs COFOG</v>
      </c>
      <c r="S2785">
        <f t="shared" si="829"/>
        <v>0</v>
      </c>
      <c r="T2785">
        <f t="shared" si="830"/>
        <v>0</v>
      </c>
      <c r="U2785" t="str">
        <f>IF('906MP'!J2485&gt;0,CONCATENATE('906MP'!J2485," - ",'906MP'!P2485,", ",'906MP'!E2485),"nincs megjegyzés")</f>
        <v>nincs megjegyzés</v>
      </c>
      <c r="V2785" t="str">
        <f t="shared" si="817"/>
        <v>0P0</v>
      </c>
      <c r="W2785" t="str">
        <f t="shared" si="818"/>
        <v>0P0</v>
      </c>
      <c r="X2785" t="str">
        <f t="shared" si="819"/>
        <v>P0</v>
      </c>
      <c r="Y2785" t="str">
        <f t="shared" si="820"/>
        <v>00</v>
      </c>
      <c r="Z2785" t="str">
        <f t="shared" si="831"/>
        <v>00</v>
      </c>
      <c r="AA2785" t="str">
        <f t="shared" si="821"/>
        <v>00</v>
      </c>
      <c r="AB2785" t="str">
        <f t="shared" si="822"/>
        <v>00</v>
      </c>
      <c r="AC2785" t="str">
        <f t="shared" si="823"/>
        <v>0P0</v>
      </c>
      <c r="AD2785" t="str">
        <f t="shared" si="824"/>
        <v>P00</v>
      </c>
      <c r="AE2785" t="str">
        <f t="shared" si="825"/>
        <v>0P0</v>
      </c>
      <c r="AF2785" t="str">
        <f t="shared" si="826"/>
        <v>P00</v>
      </c>
      <c r="AG2785" t="str">
        <f t="shared" si="832"/>
        <v>0P00</v>
      </c>
      <c r="AH2785" t="str">
        <f t="shared" si="833"/>
        <v>P000</v>
      </c>
      <c r="AI2785" t="str">
        <f t="shared" si="834"/>
        <v>0P00</v>
      </c>
      <c r="AJ2785" t="str">
        <f t="shared" si="835"/>
        <v>P000</v>
      </c>
    </row>
    <row r="2786" spans="1:36" x14ac:dyDescent="0.25">
      <c r="A2786" s="325" t="str">
        <f>CONCATENATE("P",'906MP'!M2486)</f>
        <v>P</v>
      </c>
      <c r="B2786">
        <f>'906MP'!H2486</f>
        <v>0</v>
      </c>
      <c r="C2786">
        <f>'906MP'!J2486</f>
        <v>0</v>
      </c>
      <c r="D2786">
        <f>'906MP'!P2486</f>
        <v>0</v>
      </c>
      <c r="E2786">
        <f>'906MP'!X2486</f>
        <v>0</v>
      </c>
      <c r="F2786" t="str">
        <f t="shared" si="827"/>
        <v>0</v>
      </c>
      <c r="G2786" t="str">
        <f t="shared" si="828"/>
        <v>0</v>
      </c>
      <c r="H2786">
        <f>'906MP'!Y2486</f>
        <v>0</v>
      </c>
      <c r="I2786">
        <f>'906MP'!AK2486</f>
        <v>0</v>
      </c>
      <c r="J2786">
        <f>'906MP'!T2486</f>
        <v>0</v>
      </c>
      <c r="K2786">
        <f>'906MP'!AJ2486</f>
        <v>0</v>
      </c>
      <c r="L2786">
        <f>'906MP'!U2486</f>
        <v>0</v>
      </c>
      <c r="M2786" s="322" t="str">
        <f>IFERROR(VLOOKUP(A2786,PAR!$D$3:$E$53,2,FALSE),"nincs szervezet")</f>
        <v>nincs szervezet</v>
      </c>
      <c r="N2786" s="322" t="str">
        <f>VLOOKUP(F2786,PAR!$R$3:$S$5,2,FALSE)</f>
        <v>3 - egyik sem</v>
      </c>
      <c r="O2786" t="str">
        <f>IFERROR(VLOOKUP(J2786,PAR!$O$3:$P$5,2,FALSE),"nincs feladat")</f>
        <v>nincs feladat</v>
      </c>
      <c r="P2786" t="str">
        <f>IFERROR(VLOOKUP(G2786,PAR!$J$2:$M$19,4),"nincs rovat")</f>
        <v>nincs rovat</v>
      </c>
      <c r="Q2786" t="str">
        <f>IF(H2786&gt;0,VLOOKUP(H2786,PAR!$AA$3:$AC$187,3,FALSE),"nincs főkönyvi számla")</f>
        <v>nincs főkönyvi számla</v>
      </c>
      <c r="R2786" t="str">
        <f>IFERROR(VLOOKUP(K2786,PAR!$V$3:$X$438,3,FALSE),"000000 - Nincs COFOG")</f>
        <v>000000 - Nincs COFOG</v>
      </c>
      <c r="S2786">
        <f t="shared" si="829"/>
        <v>0</v>
      </c>
      <c r="T2786">
        <f t="shared" si="830"/>
        <v>0</v>
      </c>
      <c r="U2786" t="str">
        <f>IF('906MP'!J2486&gt;0,CONCATENATE('906MP'!J2486," - ",'906MP'!P2486,", ",'906MP'!E2486),"nincs megjegyzés")</f>
        <v>nincs megjegyzés</v>
      </c>
      <c r="V2786" t="str">
        <f t="shared" si="817"/>
        <v>0P0</v>
      </c>
      <c r="W2786" t="str">
        <f t="shared" si="818"/>
        <v>0P0</v>
      </c>
      <c r="X2786" t="str">
        <f t="shared" si="819"/>
        <v>P0</v>
      </c>
      <c r="Y2786" t="str">
        <f t="shared" si="820"/>
        <v>00</v>
      </c>
      <c r="Z2786" t="str">
        <f t="shared" si="831"/>
        <v>00</v>
      </c>
      <c r="AA2786" t="str">
        <f t="shared" si="821"/>
        <v>00</v>
      </c>
      <c r="AB2786" t="str">
        <f t="shared" si="822"/>
        <v>00</v>
      </c>
      <c r="AC2786" t="str">
        <f t="shared" si="823"/>
        <v>0P0</v>
      </c>
      <c r="AD2786" t="str">
        <f t="shared" si="824"/>
        <v>P00</v>
      </c>
      <c r="AE2786" t="str">
        <f t="shared" si="825"/>
        <v>0P0</v>
      </c>
      <c r="AF2786" t="str">
        <f t="shared" si="826"/>
        <v>P00</v>
      </c>
      <c r="AG2786" t="str">
        <f t="shared" si="832"/>
        <v>0P00</v>
      </c>
      <c r="AH2786" t="str">
        <f t="shared" si="833"/>
        <v>P000</v>
      </c>
      <c r="AI2786" t="str">
        <f t="shared" si="834"/>
        <v>0P00</v>
      </c>
      <c r="AJ2786" t="str">
        <f t="shared" si="835"/>
        <v>P000</v>
      </c>
    </row>
    <row r="2787" spans="1:36" x14ac:dyDescent="0.25">
      <c r="A2787" s="325" t="str">
        <f>CONCATENATE("P",'906MP'!M2487)</f>
        <v>P</v>
      </c>
      <c r="B2787">
        <f>'906MP'!H2487</f>
        <v>0</v>
      </c>
      <c r="C2787">
        <f>'906MP'!J2487</f>
        <v>0</v>
      </c>
      <c r="D2787">
        <f>'906MP'!P2487</f>
        <v>0</v>
      </c>
      <c r="E2787">
        <f>'906MP'!X2487</f>
        <v>0</v>
      </c>
      <c r="F2787" t="str">
        <f t="shared" si="827"/>
        <v>0</v>
      </c>
      <c r="G2787" t="str">
        <f t="shared" si="828"/>
        <v>0</v>
      </c>
      <c r="H2787">
        <f>'906MP'!Y2487</f>
        <v>0</v>
      </c>
      <c r="I2787">
        <f>'906MP'!AK2487</f>
        <v>0</v>
      </c>
      <c r="J2787">
        <f>'906MP'!T2487</f>
        <v>0</v>
      </c>
      <c r="K2787">
        <f>'906MP'!AJ2487</f>
        <v>0</v>
      </c>
      <c r="L2787">
        <f>'906MP'!U2487</f>
        <v>0</v>
      </c>
      <c r="M2787" s="322" t="str">
        <f>IFERROR(VLOOKUP(A2787,PAR!$D$3:$E$53,2,FALSE),"nincs szervezet")</f>
        <v>nincs szervezet</v>
      </c>
      <c r="N2787" s="322" t="str">
        <f>VLOOKUP(F2787,PAR!$R$3:$S$5,2,FALSE)</f>
        <v>3 - egyik sem</v>
      </c>
      <c r="O2787" t="str">
        <f>IFERROR(VLOOKUP(J2787,PAR!$O$3:$P$5,2,FALSE),"nincs feladat")</f>
        <v>nincs feladat</v>
      </c>
      <c r="P2787" t="str">
        <f>IFERROR(VLOOKUP(G2787,PAR!$J$2:$M$19,4),"nincs rovat")</f>
        <v>nincs rovat</v>
      </c>
      <c r="Q2787" t="str">
        <f>IF(H2787&gt;0,VLOOKUP(H2787,PAR!$AA$3:$AC$187,3,FALSE),"nincs főkönyvi számla")</f>
        <v>nincs főkönyvi számla</v>
      </c>
      <c r="R2787" t="str">
        <f>IFERROR(VLOOKUP(K2787,PAR!$V$3:$X$438,3,FALSE),"000000 - Nincs COFOG")</f>
        <v>000000 - Nincs COFOG</v>
      </c>
      <c r="S2787">
        <f t="shared" si="829"/>
        <v>0</v>
      </c>
      <c r="T2787">
        <f t="shared" si="830"/>
        <v>0</v>
      </c>
      <c r="U2787" t="str">
        <f>IF('906MP'!J2487&gt;0,CONCATENATE('906MP'!J2487," - ",'906MP'!P2487,", ",'906MP'!E2487),"nincs megjegyzés")</f>
        <v>nincs megjegyzés</v>
      </c>
      <c r="V2787" t="str">
        <f t="shared" si="817"/>
        <v>0P0</v>
      </c>
      <c r="W2787" t="str">
        <f t="shared" si="818"/>
        <v>0P0</v>
      </c>
      <c r="X2787" t="str">
        <f t="shared" si="819"/>
        <v>P0</v>
      </c>
      <c r="Y2787" t="str">
        <f t="shared" si="820"/>
        <v>00</v>
      </c>
      <c r="Z2787" t="str">
        <f t="shared" si="831"/>
        <v>00</v>
      </c>
      <c r="AA2787" t="str">
        <f t="shared" si="821"/>
        <v>00</v>
      </c>
      <c r="AB2787" t="str">
        <f t="shared" si="822"/>
        <v>00</v>
      </c>
      <c r="AC2787" t="str">
        <f t="shared" si="823"/>
        <v>0P0</v>
      </c>
      <c r="AD2787" t="str">
        <f t="shared" si="824"/>
        <v>P00</v>
      </c>
      <c r="AE2787" t="str">
        <f t="shared" si="825"/>
        <v>0P0</v>
      </c>
      <c r="AF2787" t="str">
        <f t="shared" si="826"/>
        <v>P00</v>
      </c>
      <c r="AG2787" t="str">
        <f t="shared" si="832"/>
        <v>0P00</v>
      </c>
      <c r="AH2787" t="str">
        <f t="shared" si="833"/>
        <v>P000</v>
      </c>
      <c r="AI2787" t="str">
        <f t="shared" si="834"/>
        <v>0P00</v>
      </c>
      <c r="AJ2787" t="str">
        <f t="shared" si="835"/>
        <v>P000</v>
      </c>
    </row>
    <row r="2788" spans="1:36" x14ac:dyDescent="0.25">
      <c r="A2788" s="325" t="str">
        <f>CONCATENATE("P",'906MP'!M2488)</f>
        <v>P</v>
      </c>
      <c r="B2788">
        <f>'906MP'!H2488</f>
        <v>0</v>
      </c>
      <c r="C2788">
        <f>'906MP'!J2488</f>
        <v>0</v>
      </c>
      <c r="D2788">
        <f>'906MP'!P2488</f>
        <v>0</v>
      </c>
      <c r="E2788">
        <f>'906MP'!X2488</f>
        <v>0</v>
      </c>
      <c r="F2788" t="str">
        <f t="shared" si="827"/>
        <v>0</v>
      </c>
      <c r="G2788" t="str">
        <f t="shared" si="828"/>
        <v>0</v>
      </c>
      <c r="H2788">
        <f>'906MP'!Y2488</f>
        <v>0</v>
      </c>
      <c r="I2788">
        <f>'906MP'!AK2488</f>
        <v>0</v>
      </c>
      <c r="J2788">
        <f>'906MP'!T2488</f>
        <v>0</v>
      </c>
      <c r="K2788">
        <f>'906MP'!AJ2488</f>
        <v>0</v>
      </c>
      <c r="L2788">
        <f>'906MP'!U2488</f>
        <v>0</v>
      </c>
      <c r="M2788" s="322" t="str">
        <f>IFERROR(VLOOKUP(A2788,PAR!$D$3:$E$53,2,FALSE),"nincs szervezet")</f>
        <v>nincs szervezet</v>
      </c>
      <c r="N2788" s="322" t="str">
        <f>VLOOKUP(F2788,PAR!$R$3:$S$5,2,FALSE)</f>
        <v>3 - egyik sem</v>
      </c>
      <c r="O2788" t="str">
        <f>IFERROR(VLOOKUP(J2788,PAR!$O$3:$P$5,2,FALSE),"nincs feladat")</f>
        <v>nincs feladat</v>
      </c>
      <c r="P2788" t="str">
        <f>IFERROR(VLOOKUP(G2788,PAR!$J$2:$M$19,4),"nincs rovat")</f>
        <v>nincs rovat</v>
      </c>
      <c r="Q2788" t="str">
        <f>IF(H2788&gt;0,VLOOKUP(H2788,PAR!$AA$3:$AC$187,3,FALSE),"nincs főkönyvi számla")</f>
        <v>nincs főkönyvi számla</v>
      </c>
      <c r="R2788" t="str">
        <f>IFERROR(VLOOKUP(K2788,PAR!$V$3:$X$438,3,FALSE),"000000 - Nincs COFOG")</f>
        <v>000000 - Nincs COFOG</v>
      </c>
      <c r="S2788">
        <f t="shared" si="829"/>
        <v>0</v>
      </c>
      <c r="T2788">
        <f t="shared" si="830"/>
        <v>0</v>
      </c>
      <c r="U2788" t="str">
        <f>IF('906MP'!J2488&gt;0,CONCATENATE('906MP'!J2488," - ",'906MP'!P2488,", ",'906MP'!E2488),"nincs megjegyzés")</f>
        <v>nincs megjegyzés</v>
      </c>
      <c r="V2788" t="str">
        <f t="shared" si="817"/>
        <v>0P0</v>
      </c>
      <c r="W2788" t="str">
        <f t="shared" si="818"/>
        <v>0P0</v>
      </c>
      <c r="X2788" t="str">
        <f t="shared" si="819"/>
        <v>P0</v>
      </c>
      <c r="Y2788" t="str">
        <f t="shared" si="820"/>
        <v>00</v>
      </c>
      <c r="Z2788" t="str">
        <f t="shared" si="831"/>
        <v>00</v>
      </c>
      <c r="AA2788" t="str">
        <f t="shared" si="821"/>
        <v>00</v>
      </c>
      <c r="AB2788" t="str">
        <f t="shared" si="822"/>
        <v>00</v>
      </c>
      <c r="AC2788" t="str">
        <f t="shared" si="823"/>
        <v>0P0</v>
      </c>
      <c r="AD2788" t="str">
        <f t="shared" si="824"/>
        <v>P00</v>
      </c>
      <c r="AE2788" t="str">
        <f t="shared" si="825"/>
        <v>0P0</v>
      </c>
      <c r="AF2788" t="str">
        <f t="shared" si="826"/>
        <v>P00</v>
      </c>
      <c r="AG2788" t="str">
        <f t="shared" si="832"/>
        <v>0P00</v>
      </c>
      <c r="AH2788" t="str">
        <f t="shared" si="833"/>
        <v>P000</v>
      </c>
      <c r="AI2788" t="str">
        <f t="shared" si="834"/>
        <v>0P00</v>
      </c>
      <c r="AJ2788" t="str">
        <f t="shared" si="835"/>
        <v>P000</v>
      </c>
    </row>
    <row r="2789" spans="1:36" x14ac:dyDescent="0.25">
      <c r="A2789" s="325" t="str">
        <f>CONCATENATE("P",'906MP'!M2489)</f>
        <v>P</v>
      </c>
      <c r="B2789">
        <f>'906MP'!H2489</f>
        <v>0</v>
      </c>
      <c r="C2789">
        <f>'906MP'!J2489</f>
        <v>0</v>
      </c>
      <c r="D2789">
        <f>'906MP'!P2489</f>
        <v>0</v>
      </c>
      <c r="E2789">
        <f>'906MP'!X2489</f>
        <v>0</v>
      </c>
      <c r="F2789" t="str">
        <f t="shared" si="827"/>
        <v>0</v>
      </c>
      <c r="G2789" t="str">
        <f t="shared" si="828"/>
        <v>0</v>
      </c>
      <c r="H2789">
        <f>'906MP'!Y2489</f>
        <v>0</v>
      </c>
      <c r="I2789">
        <f>'906MP'!AK2489</f>
        <v>0</v>
      </c>
      <c r="J2789">
        <f>'906MP'!T2489</f>
        <v>0</v>
      </c>
      <c r="K2789">
        <f>'906MP'!AJ2489</f>
        <v>0</v>
      </c>
      <c r="L2789">
        <f>'906MP'!U2489</f>
        <v>0</v>
      </c>
      <c r="M2789" s="322" t="str">
        <f>IFERROR(VLOOKUP(A2789,PAR!$D$3:$E$53,2,FALSE),"nincs szervezet")</f>
        <v>nincs szervezet</v>
      </c>
      <c r="N2789" s="322" t="str">
        <f>VLOOKUP(F2789,PAR!$R$3:$S$5,2,FALSE)</f>
        <v>3 - egyik sem</v>
      </c>
      <c r="O2789" t="str">
        <f>IFERROR(VLOOKUP(J2789,PAR!$O$3:$P$5,2,FALSE),"nincs feladat")</f>
        <v>nincs feladat</v>
      </c>
      <c r="P2789" t="str">
        <f>IFERROR(VLOOKUP(G2789,PAR!$J$2:$M$19,4),"nincs rovat")</f>
        <v>nincs rovat</v>
      </c>
      <c r="Q2789" t="str">
        <f>IF(H2789&gt;0,VLOOKUP(H2789,PAR!$AA$3:$AC$187,3,FALSE),"nincs főkönyvi számla")</f>
        <v>nincs főkönyvi számla</v>
      </c>
      <c r="R2789" t="str">
        <f>IFERROR(VLOOKUP(K2789,PAR!$V$3:$X$438,3,FALSE),"000000 - Nincs COFOG")</f>
        <v>000000 - Nincs COFOG</v>
      </c>
      <c r="S2789">
        <f t="shared" si="829"/>
        <v>0</v>
      </c>
      <c r="T2789">
        <f t="shared" si="830"/>
        <v>0</v>
      </c>
      <c r="U2789" t="str">
        <f>IF('906MP'!J2489&gt;0,CONCATENATE('906MP'!J2489," - ",'906MP'!P2489,", ",'906MP'!E2489),"nincs megjegyzés")</f>
        <v>nincs megjegyzés</v>
      </c>
      <c r="V2789" t="str">
        <f t="shared" si="817"/>
        <v>0P0</v>
      </c>
      <c r="W2789" t="str">
        <f t="shared" si="818"/>
        <v>0P0</v>
      </c>
      <c r="X2789" t="str">
        <f t="shared" si="819"/>
        <v>P0</v>
      </c>
      <c r="Y2789" t="str">
        <f t="shared" si="820"/>
        <v>00</v>
      </c>
      <c r="Z2789" t="str">
        <f t="shared" si="831"/>
        <v>00</v>
      </c>
      <c r="AA2789" t="str">
        <f t="shared" si="821"/>
        <v>00</v>
      </c>
      <c r="AB2789" t="str">
        <f t="shared" si="822"/>
        <v>00</v>
      </c>
      <c r="AC2789" t="str">
        <f t="shared" si="823"/>
        <v>0P0</v>
      </c>
      <c r="AD2789" t="str">
        <f t="shared" si="824"/>
        <v>P00</v>
      </c>
      <c r="AE2789" t="str">
        <f t="shared" si="825"/>
        <v>0P0</v>
      </c>
      <c r="AF2789" t="str">
        <f t="shared" si="826"/>
        <v>P00</v>
      </c>
      <c r="AG2789" t="str">
        <f t="shared" si="832"/>
        <v>0P00</v>
      </c>
      <c r="AH2789" t="str">
        <f t="shared" si="833"/>
        <v>P000</v>
      </c>
      <c r="AI2789" t="str">
        <f t="shared" si="834"/>
        <v>0P00</v>
      </c>
      <c r="AJ2789" t="str">
        <f t="shared" si="835"/>
        <v>P000</v>
      </c>
    </row>
    <row r="2790" spans="1:36" x14ac:dyDescent="0.25">
      <c r="A2790" s="325" t="str">
        <f>CONCATENATE("P",'906MP'!M2490)</f>
        <v>P</v>
      </c>
      <c r="B2790">
        <f>'906MP'!H2490</f>
        <v>0</v>
      </c>
      <c r="C2790">
        <f>'906MP'!J2490</f>
        <v>0</v>
      </c>
      <c r="D2790">
        <f>'906MP'!P2490</f>
        <v>0</v>
      </c>
      <c r="E2790">
        <f>'906MP'!X2490</f>
        <v>0</v>
      </c>
      <c r="F2790" t="str">
        <f t="shared" si="827"/>
        <v>0</v>
      </c>
      <c r="G2790" t="str">
        <f t="shared" si="828"/>
        <v>0</v>
      </c>
      <c r="H2790">
        <f>'906MP'!Y2490</f>
        <v>0</v>
      </c>
      <c r="I2790">
        <f>'906MP'!AK2490</f>
        <v>0</v>
      </c>
      <c r="J2790">
        <f>'906MP'!T2490</f>
        <v>0</v>
      </c>
      <c r="K2790">
        <f>'906MP'!AJ2490</f>
        <v>0</v>
      </c>
      <c r="L2790">
        <f>'906MP'!U2490</f>
        <v>0</v>
      </c>
      <c r="M2790" s="322" t="str">
        <f>IFERROR(VLOOKUP(A2790,PAR!$D$3:$E$53,2,FALSE),"nincs szervezet")</f>
        <v>nincs szervezet</v>
      </c>
      <c r="N2790" s="322" t="str">
        <f>VLOOKUP(F2790,PAR!$R$3:$S$5,2,FALSE)</f>
        <v>3 - egyik sem</v>
      </c>
      <c r="O2790" t="str">
        <f>IFERROR(VLOOKUP(J2790,PAR!$O$3:$P$5,2,FALSE),"nincs feladat")</f>
        <v>nincs feladat</v>
      </c>
      <c r="P2790" t="str">
        <f>IFERROR(VLOOKUP(G2790,PAR!$J$2:$M$19,4),"nincs rovat")</f>
        <v>nincs rovat</v>
      </c>
      <c r="Q2790" t="str">
        <f>IF(H2790&gt;0,VLOOKUP(H2790,PAR!$AA$3:$AC$187,3,FALSE),"nincs főkönyvi számla")</f>
        <v>nincs főkönyvi számla</v>
      </c>
      <c r="R2790" t="str">
        <f>IFERROR(VLOOKUP(K2790,PAR!$V$3:$X$438,3,FALSE),"000000 - Nincs COFOG")</f>
        <v>000000 - Nincs COFOG</v>
      </c>
      <c r="S2790">
        <f t="shared" si="829"/>
        <v>0</v>
      </c>
      <c r="T2790">
        <f t="shared" si="830"/>
        <v>0</v>
      </c>
      <c r="U2790" t="str">
        <f>IF('906MP'!J2490&gt;0,CONCATENATE('906MP'!J2490," - ",'906MP'!P2490,", ",'906MP'!E2490),"nincs megjegyzés")</f>
        <v>nincs megjegyzés</v>
      </c>
      <c r="V2790" t="str">
        <f t="shared" si="817"/>
        <v>0P0</v>
      </c>
      <c r="W2790" t="str">
        <f t="shared" si="818"/>
        <v>0P0</v>
      </c>
      <c r="X2790" t="str">
        <f t="shared" si="819"/>
        <v>P0</v>
      </c>
      <c r="Y2790" t="str">
        <f t="shared" si="820"/>
        <v>00</v>
      </c>
      <c r="Z2790" t="str">
        <f t="shared" si="831"/>
        <v>00</v>
      </c>
      <c r="AA2790" t="str">
        <f t="shared" si="821"/>
        <v>00</v>
      </c>
      <c r="AB2790" t="str">
        <f t="shared" si="822"/>
        <v>00</v>
      </c>
      <c r="AC2790" t="str">
        <f t="shared" si="823"/>
        <v>0P0</v>
      </c>
      <c r="AD2790" t="str">
        <f t="shared" si="824"/>
        <v>P00</v>
      </c>
      <c r="AE2790" t="str">
        <f t="shared" si="825"/>
        <v>0P0</v>
      </c>
      <c r="AF2790" t="str">
        <f t="shared" si="826"/>
        <v>P00</v>
      </c>
      <c r="AG2790" t="str">
        <f t="shared" si="832"/>
        <v>0P00</v>
      </c>
      <c r="AH2790" t="str">
        <f t="shared" si="833"/>
        <v>P000</v>
      </c>
      <c r="AI2790" t="str">
        <f t="shared" si="834"/>
        <v>0P00</v>
      </c>
      <c r="AJ2790" t="str">
        <f t="shared" si="835"/>
        <v>P000</v>
      </c>
    </row>
    <row r="2791" spans="1:36" x14ac:dyDescent="0.25">
      <c r="A2791" s="325" t="str">
        <f>CONCATENATE("P",'906MP'!M2491)</f>
        <v>P</v>
      </c>
      <c r="B2791">
        <f>'906MP'!H2491</f>
        <v>0</v>
      </c>
      <c r="C2791">
        <f>'906MP'!J2491</f>
        <v>0</v>
      </c>
      <c r="D2791">
        <f>'906MP'!P2491</f>
        <v>0</v>
      </c>
      <c r="E2791">
        <f>'906MP'!X2491</f>
        <v>0</v>
      </c>
      <c r="F2791" t="str">
        <f t="shared" si="827"/>
        <v>0</v>
      </c>
      <c r="G2791" t="str">
        <f t="shared" si="828"/>
        <v>0</v>
      </c>
      <c r="H2791">
        <f>'906MP'!Y2491</f>
        <v>0</v>
      </c>
      <c r="I2791">
        <f>'906MP'!AK2491</f>
        <v>0</v>
      </c>
      <c r="J2791">
        <f>'906MP'!T2491</f>
        <v>0</v>
      </c>
      <c r="K2791">
        <f>'906MP'!AJ2491</f>
        <v>0</v>
      </c>
      <c r="L2791">
        <f>'906MP'!U2491</f>
        <v>0</v>
      </c>
      <c r="M2791" s="322" t="str">
        <f>IFERROR(VLOOKUP(A2791,PAR!$D$3:$E$53,2,FALSE),"nincs szervezet")</f>
        <v>nincs szervezet</v>
      </c>
      <c r="N2791" s="322" t="str">
        <f>VLOOKUP(F2791,PAR!$R$3:$S$5,2,FALSE)</f>
        <v>3 - egyik sem</v>
      </c>
      <c r="O2791" t="str">
        <f>IFERROR(VLOOKUP(J2791,PAR!$O$3:$P$5,2,FALSE),"nincs feladat")</f>
        <v>nincs feladat</v>
      </c>
      <c r="P2791" t="str">
        <f>IFERROR(VLOOKUP(G2791,PAR!$J$2:$M$19,4),"nincs rovat")</f>
        <v>nincs rovat</v>
      </c>
      <c r="Q2791" t="str">
        <f>IF(H2791&gt;0,VLOOKUP(H2791,PAR!$AA$3:$AC$187,3,FALSE),"nincs főkönyvi számla")</f>
        <v>nincs főkönyvi számla</v>
      </c>
      <c r="R2791" t="str">
        <f>IFERROR(VLOOKUP(K2791,PAR!$V$3:$X$438,3,FALSE),"000000 - Nincs COFOG")</f>
        <v>000000 - Nincs COFOG</v>
      </c>
      <c r="S2791">
        <f t="shared" si="829"/>
        <v>0</v>
      </c>
      <c r="T2791">
        <f t="shared" si="830"/>
        <v>0</v>
      </c>
      <c r="U2791" t="str">
        <f>IF('906MP'!J2491&gt;0,CONCATENATE('906MP'!J2491," - ",'906MP'!P2491,", ",'906MP'!E2491),"nincs megjegyzés")</f>
        <v>nincs megjegyzés</v>
      </c>
      <c r="V2791" t="str">
        <f t="shared" si="817"/>
        <v>0P0</v>
      </c>
      <c r="W2791" t="str">
        <f t="shared" si="818"/>
        <v>0P0</v>
      </c>
      <c r="X2791" t="str">
        <f t="shared" si="819"/>
        <v>P0</v>
      </c>
      <c r="Y2791" t="str">
        <f t="shared" si="820"/>
        <v>00</v>
      </c>
      <c r="Z2791" t="str">
        <f t="shared" si="831"/>
        <v>00</v>
      </c>
      <c r="AA2791" t="str">
        <f t="shared" si="821"/>
        <v>00</v>
      </c>
      <c r="AB2791" t="str">
        <f t="shared" si="822"/>
        <v>00</v>
      </c>
      <c r="AC2791" t="str">
        <f t="shared" si="823"/>
        <v>0P0</v>
      </c>
      <c r="AD2791" t="str">
        <f t="shared" si="824"/>
        <v>P00</v>
      </c>
      <c r="AE2791" t="str">
        <f t="shared" si="825"/>
        <v>0P0</v>
      </c>
      <c r="AF2791" t="str">
        <f t="shared" si="826"/>
        <v>P00</v>
      </c>
      <c r="AG2791" t="str">
        <f t="shared" si="832"/>
        <v>0P00</v>
      </c>
      <c r="AH2791" t="str">
        <f t="shared" si="833"/>
        <v>P000</v>
      </c>
      <c r="AI2791" t="str">
        <f t="shared" si="834"/>
        <v>0P00</v>
      </c>
      <c r="AJ2791" t="str">
        <f t="shared" si="835"/>
        <v>P000</v>
      </c>
    </row>
    <row r="2792" spans="1:36" x14ac:dyDescent="0.25">
      <c r="A2792" s="325" t="str">
        <f>CONCATENATE("P",'906MP'!M2492)</f>
        <v>P</v>
      </c>
      <c r="B2792">
        <f>'906MP'!H2492</f>
        <v>0</v>
      </c>
      <c r="C2792">
        <f>'906MP'!J2492</f>
        <v>0</v>
      </c>
      <c r="D2792">
        <f>'906MP'!P2492</f>
        <v>0</v>
      </c>
      <c r="E2792">
        <f>'906MP'!X2492</f>
        <v>0</v>
      </c>
      <c r="F2792" t="str">
        <f t="shared" si="827"/>
        <v>0</v>
      </c>
      <c r="G2792" t="str">
        <f t="shared" si="828"/>
        <v>0</v>
      </c>
      <c r="H2792">
        <f>'906MP'!Y2492</f>
        <v>0</v>
      </c>
      <c r="I2792">
        <f>'906MP'!AK2492</f>
        <v>0</v>
      </c>
      <c r="J2792">
        <f>'906MP'!T2492</f>
        <v>0</v>
      </c>
      <c r="K2792">
        <f>'906MP'!AJ2492</f>
        <v>0</v>
      </c>
      <c r="L2792">
        <f>'906MP'!U2492</f>
        <v>0</v>
      </c>
      <c r="M2792" s="322" t="str">
        <f>IFERROR(VLOOKUP(A2792,PAR!$D$3:$E$53,2,FALSE),"nincs szervezet")</f>
        <v>nincs szervezet</v>
      </c>
      <c r="N2792" s="322" t="str">
        <f>VLOOKUP(F2792,PAR!$R$3:$S$5,2,FALSE)</f>
        <v>3 - egyik sem</v>
      </c>
      <c r="O2792" t="str">
        <f>IFERROR(VLOOKUP(J2792,PAR!$O$3:$P$5,2,FALSE),"nincs feladat")</f>
        <v>nincs feladat</v>
      </c>
      <c r="P2792" t="str">
        <f>IFERROR(VLOOKUP(G2792,PAR!$J$2:$M$19,4),"nincs rovat")</f>
        <v>nincs rovat</v>
      </c>
      <c r="Q2792" t="str">
        <f>IF(H2792&gt;0,VLOOKUP(H2792,PAR!$AA$3:$AC$187,3,FALSE),"nincs főkönyvi számla")</f>
        <v>nincs főkönyvi számla</v>
      </c>
      <c r="R2792" t="str">
        <f>IFERROR(VLOOKUP(K2792,PAR!$V$3:$X$438,3,FALSE),"000000 - Nincs COFOG")</f>
        <v>000000 - Nincs COFOG</v>
      </c>
      <c r="S2792">
        <f t="shared" si="829"/>
        <v>0</v>
      </c>
      <c r="T2792">
        <f t="shared" si="830"/>
        <v>0</v>
      </c>
      <c r="U2792" t="str">
        <f>IF('906MP'!J2492&gt;0,CONCATENATE('906MP'!J2492," - ",'906MP'!P2492,", ",'906MP'!E2492),"nincs megjegyzés")</f>
        <v>nincs megjegyzés</v>
      </c>
      <c r="V2792" t="str">
        <f t="shared" si="817"/>
        <v>0P0</v>
      </c>
      <c r="W2792" t="str">
        <f t="shared" si="818"/>
        <v>0P0</v>
      </c>
      <c r="X2792" t="str">
        <f t="shared" si="819"/>
        <v>P0</v>
      </c>
      <c r="Y2792" t="str">
        <f t="shared" si="820"/>
        <v>00</v>
      </c>
      <c r="Z2792" t="str">
        <f t="shared" si="831"/>
        <v>00</v>
      </c>
      <c r="AA2792" t="str">
        <f t="shared" si="821"/>
        <v>00</v>
      </c>
      <c r="AB2792" t="str">
        <f t="shared" si="822"/>
        <v>00</v>
      </c>
      <c r="AC2792" t="str">
        <f t="shared" si="823"/>
        <v>0P0</v>
      </c>
      <c r="AD2792" t="str">
        <f t="shared" si="824"/>
        <v>P00</v>
      </c>
      <c r="AE2792" t="str">
        <f t="shared" si="825"/>
        <v>0P0</v>
      </c>
      <c r="AF2792" t="str">
        <f t="shared" si="826"/>
        <v>P00</v>
      </c>
      <c r="AG2792" t="str">
        <f t="shared" si="832"/>
        <v>0P00</v>
      </c>
      <c r="AH2792" t="str">
        <f t="shared" si="833"/>
        <v>P000</v>
      </c>
      <c r="AI2792" t="str">
        <f t="shared" si="834"/>
        <v>0P00</v>
      </c>
      <c r="AJ2792" t="str">
        <f t="shared" si="835"/>
        <v>P000</v>
      </c>
    </row>
    <row r="2793" spans="1:36" x14ac:dyDescent="0.25">
      <c r="A2793" s="325" t="str">
        <f>CONCATENATE("P",'906MP'!M2493)</f>
        <v>P</v>
      </c>
      <c r="B2793">
        <f>'906MP'!H2493</f>
        <v>0</v>
      </c>
      <c r="C2793">
        <f>'906MP'!J2493</f>
        <v>0</v>
      </c>
      <c r="D2793">
        <f>'906MP'!P2493</f>
        <v>0</v>
      </c>
      <c r="E2793">
        <f>'906MP'!X2493</f>
        <v>0</v>
      </c>
      <c r="F2793" t="str">
        <f t="shared" si="827"/>
        <v>0</v>
      </c>
      <c r="G2793" t="str">
        <f t="shared" si="828"/>
        <v>0</v>
      </c>
      <c r="H2793">
        <f>'906MP'!Y2493</f>
        <v>0</v>
      </c>
      <c r="I2793">
        <f>'906MP'!AK2493</f>
        <v>0</v>
      </c>
      <c r="J2793">
        <f>'906MP'!T2493</f>
        <v>0</v>
      </c>
      <c r="K2793">
        <f>'906MP'!AJ2493</f>
        <v>0</v>
      </c>
      <c r="L2793">
        <f>'906MP'!U2493</f>
        <v>0</v>
      </c>
      <c r="M2793" s="322" t="str">
        <f>IFERROR(VLOOKUP(A2793,PAR!$D$3:$E$53,2,FALSE),"nincs szervezet")</f>
        <v>nincs szervezet</v>
      </c>
      <c r="N2793" s="322" t="str">
        <f>VLOOKUP(F2793,PAR!$R$3:$S$5,2,FALSE)</f>
        <v>3 - egyik sem</v>
      </c>
      <c r="O2793" t="str">
        <f>IFERROR(VLOOKUP(J2793,PAR!$O$3:$P$5,2,FALSE),"nincs feladat")</f>
        <v>nincs feladat</v>
      </c>
      <c r="P2793" t="str">
        <f>IFERROR(VLOOKUP(G2793,PAR!$J$2:$M$19,4),"nincs rovat")</f>
        <v>nincs rovat</v>
      </c>
      <c r="Q2793" t="str">
        <f>IF(H2793&gt;0,VLOOKUP(H2793,PAR!$AA$3:$AC$187,3,FALSE),"nincs főkönyvi számla")</f>
        <v>nincs főkönyvi számla</v>
      </c>
      <c r="R2793" t="str">
        <f>IFERROR(VLOOKUP(K2793,PAR!$V$3:$X$438,3,FALSE),"000000 - Nincs COFOG")</f>
        <v>000000 - Nincs COFOG</v>
      </c>
      <c r="S2793">
        <f t="shared" si="829"/>
        <v>0</v>
      </c>
      <c r="T2793">
        <f t="shared" si="830"/>
        <v>0</v>
      </c>
      <c r="U2793" t="str">
        <f>IF('906MP'!J2493&gt;0,CONCATENATE('906MP'!J2493," - ",'906MP'!P2493,", ",'906MP'!E2493),"nincs megjegyzés")</f>
        <v>nincs megjegyzés</v>
      </c>
      <c r="V2793" t="str">
        <f t="shared" si="817"/>
        <v>0P0</v>
      </c>
      <c r="W2793" t="str">
        <f t="shared" si="818"/>
        <v>0P0</v>
      </c>
      <c r="X2793" t="str">
        <f t="shared" si="819"/>
        <v>P0</v>
      </c>
      <c r="Y2793" t="str">
        <f t="shared" si="820"/>
        <v>00</v>
      </c>
      <c r="Z2793" t="str">
        <f t="shared" si="831"/>
        <v>00</v>
      </c>
      <c r="AA2793" t="str">
        <f t="shared" si="821"/>
        <v>00</v>
      </c>
      <c r="AB2793" t="str">
        <f t="shared" si="822"/>
        <v>00</v>
      </c>
      <c r="AC2793" t="str">
        <f t="shared" si="823"/>
        <v>0P0</v>
      </c>
      <c r="AD2793" t="str">
        <f t="shared" si="824"/>
        <v>P00</v>
      </c>
      <c r="AE2793" t="str">
        <f t="shared" si="825"/>
        <v>0P0</v>
      </c>
      <c r="AF2793" t="str">
        <f t="shared" si="826"/>
        <v>P00</v>
      </c>
      <c r="AG2793" t="str">
        <f t="shared" si="832"/>
        <v>0P00</v>
      </c>
      <c r="AH2793" t="str">
        <f t="shared" si="833"/>
        <v>P000</v>
      </c>
      <c r="AI2793" t="str">
        <f t="shared" si="834"/>
        <v>0P00</v>
      </c>
      <c r="AJ2793" t="str">
        <f t="shared" si="835"/>
        <v>P000</v>
      </c>
    </row>
    <row r="2794" spans="1:36" x14ac:dyDescent="0.25">
      <c r="A2794" s="325" t="str">
        <f>CONCATENATE("P",'906MP'!M2494)</f>
        <v>P</v>
      </c>
      <c r="B2794">
        <f>'906MP'!H2494</f>
        <v>0</v>
      </c>
      <c r="C2794">
        <f>'906MP'!J2494</f>
        <v>0</v>
      </c>
      <c r="D2794">
        <f>'906MP'!P2494</f>
        <v>0</v>
      </c>
      <c r="E2794">
        <f>'906MP'!X2494</f>
        <v>0</v>
      </c>
      <c r="F2794" t="str">
        <f t="shared" si="827"/>
        <v>0</v>
      </c>
      <c r="G2794" t="str">
        <f t="shared" si="828"/>
        <v>0</v>
      </c>
      <c r="H2794">
        <f>'906MP'!Y2494</f>
        <v>0</v>
      </c>
      <c r="I2794">
        <f>'906MP'!AK2494</f>
        <v>0</v>
      </c>
      <c r="J2794">
        <f>'906MP'!T2494</f>
        <v>0</v>
      </c>
      <c r="K2794">
        <f>'906MP'!AJ2494</f>
        <v>0</v>
      </c>
      <c r="L2794">
        <f>'906MP'!U2494</f>
        <v>0</v>
      </c>
      <c r="M2794" s="322" t="str">
        <f>IFERROR(VLOOKUP(A2794,PAR!$D$3:$E$53,2,FALSE),"nincs szervezet")</f>
        <v>nincs szervezet</v>
      </c>
      <c r="N2794" s="322" t="str">
        <f>VLOOKUP(F2794,PAR!$R$3:$S$5,2,FALSE)</f>
        <v>3 - egyik sem</v>
      </c>
      <c r="O2794" t="str">
        <f>IFERROR(VLOOKUP(J2794,PAR!$O$3:$P$5,2,FALSE),"nincs feladat")</f>
        <v>nincs feladat</v>
      </c>
      <c r="P2794" t="str">
        <f>IFERROR(VLOOKUP(G2794,PAR!$J$2:$M$19,4),"nincs rovat")</f>
        <v>nincs rovat</v>
      </c>
      <c r="Q2794" t="str">
        <f>IF(H2794&gt;0,VLOOKUP(H2794,PAR!$AA$3:$AC$187,3,FALSE),"nincs főkönyvi számla")</f>
        <v>nincs főkönyvi számla</v>
      </c>
      <c r="R2794" t="str">
        <f>IFERROR(VLOOKUP(K2794,PAR!$V$3:$X$438,3,FALSE),"000000 - Nincs COFOG")</f>
        <v>000000 - Nincs COFOG</v>
      </c>
      <c r="S2794">
        <f t="shared" si="829"/>
        <v>0</v>
      </c>
      <c r="T2794">
        <f t="shared" si="830"/>
        <v>0</v>
      </c>
      <c r="U2794" t="str">
        <f>IF('906MP'!J2494&gt;0,CONCATENATE('906MP'!J2494," - ",'906MP'!P2494,", ",'906MP'!E2494),"nincs megjegyzés")</f>
        <v>nincs megjegyzés</v>
      </c>
      <c r="V2794" t="str">
        <f t="shared" si="817"/>
        <v>0P0</v>
      </c>
      <c r="W2794" t="str">
        <f t="shared" si="818"/>
        <v>0P0</v>
      </c>
      <c r="X2794" t="str">
        <f t="shared" si="819"/>
        <v>P0</v>
      </c>
      <c r="Y2794" t="str">
        <f t="shared" si="820"/>
        <v>00</v>
      </c>
      <c r="Z2794" t="str">
        <f t="shared" si="831"/>
        <v>00</v>
      </c>
      <c r="AA2794" t="str">
        <f t="shared" si="821"/>
        <v>00</v>
      </c>
      <c r="AB2794" t="str">
        <f t="shared" si="822"/>
        <v>00</v>
      </c>
      <c r="AC2794" t="str">
        <f t="shared" si="823"/>
        <v>0P0</v>
      </c>
      <c r="AD2794" t="str">
        <f t="shared" si="824"/>
        <v>P00</v>
      </c>
      <c r="AE2794" t="str">
        <f t="shared" si="825"/>
        <v>0P0</v>
      </c>
      <c r="AF2794" t="str">
        <f t="shared" si="826"/>
        <v>P00</v>
      </c>
      <c r="AG2794" t="str">
        <f t="shared" si="832"/>
        <v>0P00</v>
      </c>
      <c r="AH2794" t="str">
        <f t="shared" si="833"/>
        <v>P000</v>
      </c>
      <c r="AI2794" t="str">
        <f t="shared" si="834"/>
        <v>0P00</v>
      </c>
      <c r="AJ2794" t="str">
        <f t="shared" si="835"/>
        <v>P000</v>
      </c>
    </row>
    <row r="2795" spans="1:36" x14ac:dyDescent="0.25">
      <c r="A2795" s="325" t="str">
        <f>CONCATENATE("P",'906MP'!M2495)</f>
        <v>P</v>
      </c>
      <c r="B2795">
        <f>'906MP'!H2495</f>
        <v>0</v>
      </c>
      <c r="C2795">
        <f>'906MP'!J2495</f>
        <v>0</v>
      </c>
      <c r="D2795">
        <f>'906MP'!P2495</f>
        <v>0</v>
      </c>
      <c r="E2795">
        <f>'906MP'!X2495</f>
        <v>0</v>
      </c>
      <c r="F2795" t="str">
        <f t="shared" si="827"/>
        <v>0</v>
      </c>
      <c r="G2795" t="str">
        <f t="shared" si="828"/>
        <v>0</v>
      </c>
      <c r="H2795">
        <f>'906MP'!Y2495</f>
        <v>0</v>
      </c>
      <c r="I2795">
        <f>'906MP'!AK2495</f>
        <v>0</v>
      </c>
      <c r="J2795">
        <f>'906MP'!T2495</f>
        <v>0</v>
      </c>
      <c r="K2795">
        <f>'906MP'!AJ2495</f>
        <v>0</v>
      </c>
      <c r="L2795">
        <f>'906MP'!U2495</f>
        <v>0</v>
      </c>
      <c r="M2795" s="322" t="str">
        <f>IFERROR(VLOOKUP(A2795,PAR!$D$3:$E$53,2,FALSE),"nincs szervezet")</f>
        <v>nincs szervezet</v>
      </c>
      <c r="N2795" s="322" t="str">
        <f>VLOOKUP(F2795,PAR!$R$3:$S$5,2,FALSE)</f>
        <v>3 - egyik sem</v>
      </c>
      <c r="O2795" t="str">
        <f>IFERROR(VLOOKUP(J2795,PAR!$O$3:$P$5,2,FALSE),"nincs feladat")</f>
        <v>nincs feladat</v>
      </c>
      <c r="P2795" t="str">
        <f>IFERROR(VLOOKUP(G2795,PAR!$J$2:$M$19,4),"nincs rovat")</f>
        <v>nincs rovat</v>
      </c>
      <c r="Q2795" t="str">
        <f>IF(H2795&gt;0,VLOOKUP(H2795,PAR!$AA$3:$AC$187,3,FALSE),"nincs főkönyvi számla")</f>
        <v>nincs főkönyvi számla</v>
      </c>
      <c r="R2795" t="str">
        <f>IFERROR(VLOOKUP(K2795,PAR!$V$3:$X$438,3,FALSE),"000000 - Nincs COFOG")</f>
        <v>000000 - Nincs COFOG</v>
      </c>
      <c r="S2795">
        <f t="shared" si="829"/>
        <v>0</v>
      </c>
      <c r="T2795">
        <f t="shared" si="830"/>
        <v>0</v>
      </c>
      <c r="U2795" t="str">
        <f>IF('906MP'!J2495&gt;0,CONCATENATE('906MP'!J2495," - ",'906MP'!P2495,", ",'906MP'!E2495),"nincs megjegyzés")</f>
        <v>nincs megjegyzés</v>
      </c>
      <c r="V2795" t="str">
        <f t="shared" si="817"/>
        <v>0P0</v>
      </c>
      <c r="W2795" t="str">
        <f t="shared" si="818"/>
        <v>0P0</v>
      </c>
      <c r="X2795" t="str">
        <f t="shared" si="819"/>
        <v>P0</v>
      </c>
      <c r="Y2795" t="str">
        <f t="shared" si="820"/>
        <v>00</v>
      </c>
      <c r="Z2795" t="str">
        <f t="shared" si="831"/>
        <v>00</v>
      </c>
      <c r="AA2795" t="str">
        <f t="shared" si="821"/>
        <v>00</v>
      </c>
      <c r="AB2795" t="str">
        <f t="shared" si="822"/>
        <v>00</v>
      </c>
      <c r="AC2795" t="str">
        <f t="shared" si="823"/>
        <v>0P0</v>
      </c>
      <c r="AD2795" t="str">
        <f t="shared" si="824"/>
        <v>P00</v>
      </c>
      <c r="AE2795" t="str">
        <f t="shared" si="825"/>
        <v>0P0</v>
      </c>
      <c r="AF2795" t="str">
        <f t="shared" si="826"/>
        <v>P00</v>
      </c>
      <c r="AG2795" t="str">
        <f t="shared" si="832"/>
        <v>0P00</v>
      </c>
      <c r="AH2795" t="str">
        <f t="shared" si="833"/>
        <v>P000</v>
      </c>
      <c r="AI2795" t="str">
        <f t="shared" si="834"/>
        <v>0P00</v>
      </c>
      <c r="AJ2795" t="str">
        <f t="shared" si="835"/>
        <v>P000</v>
      </c>
    </row>
    <row r="2796" spans="1:36" x14ac:dyDescent="0.25">
      <c r="A2796" s="325" t="str">
        <f>CONCATENATE("P",'906MP'!M2496)</f>
        <v>P</v>
      </c>
      <c r="B2796">
        <f>'906MP'!H2496</f>
        <v>0</v>
      </c>
      <c r="C2796">
        <f>'906MP'!J2496</f>
        <v>0</v>
      </c>
      <c r="D2796">
        <f>'906MP'!P2496</f>
        <v>0</v>
      </c>
      <c r="E2796">
        <f>'906MP'!X2496</f>
        <v>0</v>
      </c>
      <c r="F2796" t="str">
        <f t="shared" si="827"/>
        <v>0</v>
      </c>
      <c r="G2796" t="str">
        <f t="shared" si="828"/>
        <v>0</v>
      </c>
      <c r="H2796">
        <f>'906MP'!Y2496</f>
        <v>0</v>
      </c>
      <c r="I2796">
        <f>'906MP'!AK2496</f>
        <v>0</v>
      </c>
      <c r="J2796">
        <f>'906MP'!T2496</f>
        <v>0</v>
      </c>
      <c r="K2796">
        <f>'906MP'!AJ2496</f>
        <v>0</v>
      </c>
      <c r="L2796">
        <f>'906MP'!U2496</f>
        <v>0</v>
      </c>
      <c r="M2796" s="322" t="str">
        <f>IFERROR(VLOOKUP(A2796,PAR!$D$3:$E$53,2,FALSE),"nincs szervezet")</f>
        <v>nincs szervezet</v>
      </c>
      <c r="N2796" s="322" t="str">
        <f>VLOOKUP(F2796,PAR!$R$3:$S$5,2,FALSE)</f>
        <v>3 - egyik sem</v>
      </c>
      <c r="O2796" t="str">
        <f>IFERROR(VLOOKUP(J2796,PAR!$O$3:$P$5,2,FALSE),"nincs feladat")</f>
        <v>nincs feladat</v>
      </c>
      <c r="P2796" t="str">
        <f>IFERROR(VLOOKUP(G2796,PAR!$J$2:$M$19,4),"nincs rovat")</f>
        <v>nincs rovat</v>
      </c>
      <c r="Q2796" t="str">
        <f>IF(H2796&gt;0,VLOOKUP(H2796,PAR!$AA$3:$AC$187,3,FALSE),"nincs főkönyvi számla")</f>
        <v>nincs főkönyvi számla</v>
      </c>
      <c r="R2796" t="str">
        <f>IFERROR(VLOOKUP(K2796,PAR!$V$3:$X$438,3,FALSE),"000000 - Nincs COFOG")</f>
        <v>000000 - Nincs COFOG</v>
      </c>
      <c r="S2796">
        <f t="shared" si="829"/>
        <v>0</v>
      </c>
      <c r="T2796">
        <f t="shared" si="830"/>
        <v>0</v>
      </c>
      <c r="U2796" t="str">
        <f>IF('906MP'!J2496&gt;0,CONCATENATE('906MP'!J2496," - ",'906MP'!P2496,", ",'906MP'!E2496),"nincs megjegyzés")</f>
        <v>nincs megjegyzés</v>
      </c>
      <c r="V2796" t="str">
        <f t="shared" si="817"/>
        <v>0P0</v>
      </c>
      <c r="W2796" t="str">
        <f t="shared" si="818"/>
        <v>0P0</v>
      </c>
      <c r="X2796" t="str">
        <f t="shared" si="819"/>
        <v>P0</v>
      </c>
      <c r="Y2796" t="str">
        <f t="shared" si="820"/>
        <v>00</v>
      </c>
      <c r="Z2796" t="str">
        <f t="shared" si="831"/>
        <v>00</v>
      </c>
      <c r="AA2796" t="str">
        <f t="shared" si="821"/>
        <v>00</v>
      </c>
      <c r="AB2796" t="str">
        <f t="shared" si="822"/>
        <v>00</v>
      </c>
      <c r="AC2796" t="str">
        <f t="shared" si="823"/>
        <v>0P0</v>
      </c>
      <c r="AD2796" t="str">
        <f t="shared" si="824"/>
        <v>P00</v>
      </c>
      <c r="AE2796" t="str">
        <f t="shared" si="825"/>
        <v>0P0</v>
      </c>
      <c r="AF2796" t="str">
        <f t="shared" si="826"/>
        <v>P00</v>
      </c>
      <c r="AG2796" t="str">
        <f t="shared" si="832"/>
        <v>0P00</v>
      </c>
      <c r="AH2796" t="str">
        <f t="shared" si="833"/>
        <v>P000</v>
      </c>
      <c r="AI2796" t="str">
        <f t="shared" si="834"/>
        <v>0P00</v>
      </c>
      <c r="AJ2796" t="str">
        <f t="shared" si="835"/>
        <v>P000</v>
      </c>
    </row>
    <row r="2797" spans="1:36" x14ac:dyDescent="0.25">
      <c r="A2797" s="325" t="str">
        <f>CONCATENATE("P",'906MP'!M2497)</f>
        <v>P</v>
      </c>
      <c r="B2797">
        <f>'906MP'!H2497</f>
        <v>0</v>
      </c>
      <c r="C2797">
        <f>'906MP'!J2497</f>
        <v>0</v>
      </c>
      <c r="D2797">
        <f>'906MP'!P2497</f>
        <v>0</v>
      </c>
      <c r="E2797">
        <f>'906MP'!X2497</f>
        <v>0</v>
      </c>
      <c r="F2797" t="str">
        <f t="shared" si="827"/>
        <v>0</v>
      </c>
      <c r="G2797" t="str">
        <f t="shared" si="828"/>
        <v>0</v>
      </c>
      <c r="H2797">
        <f>'906MP'!Y2497</f>
        <v>0</v>
      </c>
      <c r="I2797">
        <f>'906MP'!AK2497</f>
        <v>0</v>
      </c>
      <c r="J2797">
        <f>'906MP'!T2497</f>
        <v>0</v>
      </c>
      <c r="K2797">
        <f>'906MP'!AJ2497</f>
        <v>0</v>
      </c>
      <c r="L2797">
        <f>'906MP'!U2497</f>
        <v>0</v>
      </c>
      <c r="M2797" s="322" t="str">
        <f>IFERROR(VLOOKUP(A2797,PAR!$D$3:$E$53,2,FALSE),"nincs szervezet")</f>
        <v>nincs szervezet</v>
      </c>
      <c r="N2797" s="322" t="str">
        <f>VLOOKUP(F2797,PAR!$R$3:$S$5,2,FALSE)</f>
        <v>3 - egyik sem</v>
      </c>
      <c r="O2797" t="str">
        <f>IFERROR(VLOOKUP(J2797,PAR!$O$3:$P$5,2,FALSE),"nincs feladat")</f>
        <v>nincs feladat</v>
      </c>
      <c r="P2797" t="str">
        <f>IFERROR(VLOOKUP(G2797,PAR!$J$2:$M$19,4),"nincs rovat")</f>
        <v>nincs rovat</v>
      </c>
      <c r="Q2797" t="str">
        <f>IF(H2797&gt;0,VLOOKUP(H2797,PAR!$AA$3:$AC$187,3,FALSE),"nincs főkönyvi számla")</f>
        <v>nincs főkönyvi számla</v>
      </c>
      <c r="R2797" t="str">
        <f>IFERROR(VLOOKUP(K2797,PAR!$V$3:$X$438,3,FALSE),"000000 - Nincs COFOG")</f>
        <v>000000 - Nincs COFOG</v>
      </c>
      <c r="S2797">
        <f t="shared" si="829"/>
        <v>0</v>
      </c>
      <c r="T2797">
        <f t="shared" si="830"/>
        <v>0</v>
      </c>
      <c r="U2797" t="str">
        <f>IF('906MP'!J2497&gt;0,CONCATENATE('906MP'!J2497," - ",'906MP'!P2497,", ",'906MP'!E2497),"nincs megjegyzés")</f>
        <v>nincs megjegyzés</v>
      </c>
      <c r="V2797" t="str">
        <f t="shared" si="817"/>
        <v>0P0</v>
      </c>
      <c r="W2797" t="str">
        <f t="shared" si="818"/>
        <v>0P0</v>
      </c>
      <c r="X2797" t="str">
        <f t="shared" si="819"/>
        <v>P0</v>
      </c>
      <c r="Y2797" t="str">
        <f t="shared" si="820"/>
        <v>00</v>
      </c>
      <c r="Z2797" t="str">
        <f t="shared" si="831"/>
        <v>00</v>
      </c>
      <c r="AA2797" t="str">
        <f t="shared" si="821"/>
        <v>00</v>
      </c>
      <c r="AB2797" t="str">
        <f t="shared" si="822"/>
        <v>00</v>
      </c>
      <c r="AC2797" t="str">
        <f t="shared" si="823"/>
        <v>0P0</v>
      </c>
      <c r="AD2797" t="str">
        <f t="shared" si="824"/>
        <v>P00</v>
      </c>
      <c r="AE2797" t="str">
        <f t="shared" si="825"/>
        <v>0P0</v>
      </c>
      <c r="AF2797" t="str">
        <f t="shared" si="826"/>
        <v>P00</v>
      </c>
      <c r="AG2797" t="str">
        <f t="shared" si="832"/>
        <v>0P00</v>
      </c>
      <c r="AH2797" t="str">
        <f t="shared" si="833"/>
        <v>P000</v>
      </c>
      <c r="AI2797" t="str">
        <f t="shared" si="834"/>
        <v>0P00</v>
      </c>
      <c r="AJ2797" t="str">
        <f t="shared" si="835"/>
        <v>P000</v>
      </c>
    </row>
    <row r="2798" spans="1:36" x14ac:dyDescent="0.25">
      <c r="A2798" s="325" t="str">
        <f>CONCATENATE("P",'906MP'!M2498)</f>
        <v>P</v>
      </c>
      <c r="B2798">
        <f>'906MP'!H2498</f>
        <v>0</v>
      </c>
      <c r="C2798">
        <f>'906MP'!J2498</f>
        <v>0</v>
      </c>
      <c r="D2798">
        <f>'906MP'!P2498</f>
        <v>0</v>
      </c>
      <c r="E2798">
        <f>'906MP'!X2498</f>
        <v>0</v>
      </c>
      <c r="F2798" t="str">
        <f t="shared" si="827"/>
        <v>0</v>
      </c>
      <c r="G2798" t="str">
        <f t="shared" si="828"/>
        <v>0</v>
      </c>
      <c r="H2798">
        <f>'906MP'!Y2498</f>
        <v>0</v>
      </c>
      <c r="I2798">
        <f>'906MP'!AK2498</f>
        <v>0</v>
      </c>
      <c r="J2798">
        <f>'906MP'!T2498</f>
        <v>0</v>
      </c>
      <c r="K2798">
        <f>'906MP'!AJ2498</f>
        <v>0</v>
      </c>
      <c r="L2798">
        <f>'906MP'!U2498</f>
        <v>0</v>
      </c>
      <c r="M2798" s="322" t="str">
        <f>IFERROR(VLOOKUP(A2798,PAR!$D$3:$E$53,2,FALSE),"nincs szervezet")</f>
        <v>nincs szervezet</v>
      </c>
      <c r="N2798" s="322" t="str">
        <f>VLOOKUP(F2798,PAR!$R$3:$S$5,2,FALSE)</f>
        <v>3 - egyik sem</v>
      </c>
      <c r="O2798" t="str">
        <f>IFERROR(VLOOKUP(J2798,PAR!$O$3:$P$5,2,FALSE),"nincs feladat")</f>
        <v>nincs feladat</v>
      </c>
      <c r="P2798" t="str">
        <f>IFERROR(VLOOKUP(G2798,PAR!$J$2:$M$19,4),"nincs rovat")</f>
        <v>nincs rovat</v>
      </c>
      <c r="Q2798" t="str">
        <f>IF(H2798&gt;0,VLOOKUP(H2798,PAR!$AA$3:$AC$187,3,FALSE),"nincs főkönyvi számla")</f>
        <v>nincs főkönyvi számla</v>
      </c>
      <c r="R2798" t="str">
        <f>IFERROR(VLOOKUP(K2798,PAR!$V$3:$X$438,3,FALSE),"000000 - Nincs COFOG")</f>
        <v>000000 - Nincs COFOG</v>
      </c>
      <c r="S2798">
        <f t="shared" si="829"/>
        <v>0</v>
      </c>
      <c r="T2798">
        <f t="shared" si="830"/>
        <v>0</v>
      </c>
      <c r="U2798" t="str">
        <f>IF('906MP'!J2498&gt;0,CONCATENATE('906MP'!J2498," - ",'906MP'!P2498,", ",'906MP'!E2498),"nincs megjegyzés")</f>
        <v>nincs megjegyzés</v>
      </c>
      <c r="V2798" t="str">
        <f t="shared" si="817"/>
        <v>0P0</v>
      </c>
      <c r="W2798" t="str">
        <f t="shared" si="818"/>
        <v>0P0</v>
      </c>
      <c r="X2798" t="str">
        <f t="shared" si="819"/>
        <v>P0</v>
      </c>
      <c r="Y2798" t="str">
        <f t="shared" si="820"/>
        <v>00</v>
      </c>
      <c r="Z2798" t="str">
        <f t="shared" si="831"/>
        <v>00</v>
      </c>
      <c r="AA2798" t="str">
        <f t="shared" si="821"/>
        <v>00</v>
      </c>
      <c r="AB2798" t="str">
        <f t="shared" si="822"/>
        <v>00</v>
      </c>
      <c r="AC2798" t="str">
        <f t="shared" si="823"/>
        <v>0P0</v>
      </c>
      <c r="AD2798" t="str">
        <f t="shared" si="824"/>
        <v>P00</v>
      </c>
      <c r="AE2798" t="str">
        <f t="shared" si="825"/>
        <v>0P0</v>
      </c>
      <c r="AF2798" t="str">
        <f t="shared" si="826"/>
        <v>P00</v>
      </c>
      <c r="AG2798" t="str">
        <f t="shared" si="832"/>
        <v>0P00</v>
      </c>
      <c r="AH2798" t="str">
        <f t="shared" si="833"/>
        <v>P000</v>
      </c>
      <c r="AI2798" t="str">
        <f t="shared" si="834"/>
        <v>0P00</v>
      </c>
      <c r="AJ2798" t="str">
        <f t="shared" si="835"/>
        <v>P000</v>
      </c>
    </row>
    <row r="2799" spans="1:36" x14ac:dyDescent="0.25">
      <c r="A2799" s="325" t="str">
        <f>CONCATENATE("P",'906MP'!M2499)</f>
        <v>P</v>
      </c>
      <c r="B2799">
        <f>'906MP'!H2499</f>
        <v>0</v>
      </c>
      <c r="C2799">
        <f>'906MP'!J2499</f>
        <v>0</v>
      </c>
      <c r="D2799">
        <f>'906MP'!P2499</f>
        <v>0</v>
      </c>
      <c r="E2799">
        <f>'906MP'!X2499</f>
        <v>0</v>
      </c>
      <c r="F2799" t="str">
        <f t="shared" si="827"/>
        <v>0</v>
      </c>
      <c r="G2799" t="str">
        <f t="shared" si="828"/>
        <v>0</v>
      </c>
      <c r="H2799">
        <f>'906MP'!Y2499</f>
        <v>0</v>
      </c>
      <c r="I2799">
        <f>'906MP'!AK2499</f>
        <v>0</v>
      </c>
      <c r="J2799">
        <f>'906MP'!T2499</f>
        <v>0</v>
      </c>
      <c r="K2799">
        <f>'906MP'!AJ2499</f>
        <v>0</v>
      </c>
      <c r="L2799">
        <f>'906MP'!U2499</f>
        <v>0</v>
      </c>
      <c r="M2799" s="322" t="str">
        <f>IFERROR(VLOOKUP(A2799,PAR!$D$3:$E$53,2,FALSE),"nincs szervezet")</f>
        <v>nincs szervezet</v>
      </c>
      <c r="N2799" s="322" t="str">
        <f>VLOOKUP(F2799,PAR!$R$3:$S$5,2,FALSE)</f>
        <v>3 - egyik sem</v>
      </c>
      <c r="O2799" t="str">
        <f>IFERROR(VLOOKUP(J2799,PAR!$O$3:$P$5,2,FALSE),"nincs feladat")</f>
        <v>nincs feladat</v>
      </c>
      <c r="P2799" t="str">
        <f>IFERROR(VLOOKUP(G2799,PAR!$J$2:$M$19,4),"nincs rovat")</f>
        <v>nincs rovat</v>
      </c>
      <c r="Q2799" t="str">
        <f>IF(H2799&gt;0,VLOOKUP(H2799,PAR!$AA$3:$AC$187,3,FALSE),"nincs főkönyvi számla")</f>
        <v>nincs főkönyvi számla</v>
      </c>
      <c r="R2799" t="str">
        <f>IFERROR(VLOOKUP(K2799,PAR!$V$3:$X$438,3,FALSE),"000000 - Nincs COFOG")</f>
        <v>000000 - Nincs COFOG</v>
      </c>
      <c r="S2799">
        <f t="shared" si="829"/>
        <v>0</v>
      </c>
      <c r="T2799">
        <f t="shared" si="830"/>
        <v>0</v>
      </c>
      <c r="U2799" t="str">
        <f>IF('906MP'!J2499&gt;0,CONCATENATE('906MP'!J2499," - ",'906MP'!P2499,", ",'906MP'!E2499),"nincs megjegyzés")</f>
        <v>nincs megjegyzés</v>
      </c>
      <c r="V2799" t="str">
        <f t="shared" si="817"/>
        <v>0P0</v>
      </c>
      <c r="W2799" t="str">
        <f t="shared" si="818"/>
        <v>0P0</v>
      </c>
      <c r="X2799" t="str">
        <f t="shared" si="819"/>
        <v>P0</v>
      </c>
      <c r="Y2799" t="str">
        <f t="shared" si="820"/>
        <v>00</v>
      </c>
      <c r="Z2799" t="str">
        <f t="shared" si="831"/>
        <v>00</v>
      </c>
      <c r="AA2799" t="str">
        <f t="shared" si="821"/>
        <v>00</v>
      </c>
      <c r="AB2799" t="str">
        <f t="shared" si="822"/>
        <v>00</v>
      </c>
      <c r="AC2799" t="str">
        <f t="shared" si="823"/>
        <v>0P0</v>
      </c>
      <c r="AD2799" t="str">
        <f t="shared" si="824"/>
        <v>P00</v>
      </c>
      <c r="AE2799" t="str">
        <f t="shared" si="825"/>
        <v>0P0</v>
      </c>
      <c r="AF2799" t="str">
        <f t="shared" si="826"/>
        <v>P00</v>
      </c>
      <c r="AG2799" t="str">
        <f t="shared" si="832"/>
        <v>0P00</v>
      </c>
      <c r="AH2799" t="str">
        <f t="shared" si="833"/>
        <v>P000</v>
      </c>
      <c r="AI2799" t="str">
        <f t="shared" si="834"/>
        <v>0P00</v>
      </c>
      <c r="AJ2799" t="str">
        <f t="shared" si="835"/>
        <v>P000</v>
      </c>
    </row>
    <row r="2800" spans="1:36" x14ac:dyDescent="0.25">
      <c r="A2800" s="325" t="str">
        <f>CONCATENATE("P",'906MP'!M2500)</f>
        <v>P</v>
      </c>
      <c r="B2800">
        <f>'906MP'!H2500</f>
        <v>0</v>
      </c>
      <c r="C2800">
        <f>'906MP'!J2500</f>
        <v>0</v>
      </c>
      <c r="D2800">
        <f>'906MP'!P2500</f>
        <v>0</v>
      </c>
      <c r="E2800">
        <f>'906MP'!X2500</f>
        <v>0</v>
      </c>
      <c r="F2800" t="str">
        <f t="shared" si="827"/>
        <v>0</v>
      </c>
      <c r="G2800" t="str">
        <f t="shared" si="828"/>
        <v>0</v>
      </c>
      <c r="H2800">
        <f>'906MP'!Y2500</f>
        <v>0</v>
      </c>
      <c r="I2800">
        <f>'906MP'!AK2500</f>
        <v>0</v>
      </c>
      <c r="J2800">
        <f>'906MP'!T2500</f>
        <v>0</v>
      </c>
      <c r="K2800">
        <f>'906MP'!AJ2500</f>
        <v>0</v>
      </c>
      <c r="L2800">
        <f>'906MP'!U2500</f>
        <v>0</v>
      </c>
      <c r="M2800" s="322" t="str">
        <f>IFERROR(VLOOKUP(A2800,PAR!$D$3:$E$53,2,FALSE),"nincs szervezet")</f>
        <v>nincs szervezet</v>
      </c>
      <c r="N2800" s="322" t="str">
        <f>VLOOKUP(F2800,PAR!$R$3:$S$5,2,FALSE)</f>
        <v>3 - egyik sem</v>
      </c>
      <c r="O2800" t="str">
        <f>IFERROR(VLOOKUP(J2800,PAR!$O$3:$P$5,2,FALSE),"nincs feladat")</f>
        <v>nincs feladat</v>
      </c>
      <c r="P2800" t="str">
        <f>IFERROR(VLOOKUP(G2800,PAR!$J$2:$M$19,4),"nincs rovat")</f>
        <v>nincs rovat</v>
      </c>
      <c r="Q2800" t="str">
        <f>IF(H2800&gt;0,VLOOKUP(H2800,PAR!$AA$3:$AC$187,3,FALSE),"nincs főkönyvi számla")</f>
        <v>nincs főkönyvi számla</v>
      </c>
      <c r="R2800" t="str">
        <f>IFERROR(VLOOKUP(K2800,PAR!$V$3:$X$438,3,FALSE),"000000 - Nincs COFOG")</f>
        <v>000000 - Nincs COFOG</v>
      </c>
      <c r="S2800">
        <f t="shared" si="829"/>
        <v>0</v>
      </c>
      <c r="T2800">
        <f t="shared" si="830"/>
        <v>0</v>
      </c>
      <c r="U2800" t="str">
        <f>IF('906MP'!J2500&gt;0,CONCATENATE('906MP'!J2500," - ",'906MP'!P2500,", ",'906MP'!E2500),"nincs megjegyzés")</f>
        <v>nincs megjegyzés</v>
      </c>
      <c r="V2800" t="str">
        <f t="shared" si="817"/>
        <v>0P0</v>
      </c>
      <c r="W2800" t="str">
        <f t="shared" si="818"/>
        <v>0P0</v>
      </c>
      <c r="X2800" t="str">
        <f t="shared" si="819"/>
        <v>P0</v>
      </c>
      <c r="Y2800" t="str">
        <f t="shared" si="820"/>
        <v>00</v>
      </c>
      <c r="Z2800" t="str">
        <f t="shared" si="831"/>
        <v>00</v>
      </c>
      <c r="AA2800" t="str">
        <f t="shared" si="821"/>
        <v>00</v>
      </c>
      <c r="AB2800" t="str">
        <f t="shared" si="822"/>
        <v>00</v>
      </c>
      <c r="AC2800" t="str">
        <f t="shared" si="823"/>
        <v>0P0</v>
      </c>
      <c r="AD2800" t="str">
        <f t="shared" si="824"/>
        <v>P00</v>
      </c>
      <c r="AE2800" t="str">
        <f t="shared" si="825"/>
        <v>0P0</v>
      </c>
      <c r="AF2800" t="str">
        <f t="shared" si="826"/>
        <v>P00</v>
      </c>
      <c r="AG2800" t="str">
        <f t="shared" si="832"/>
        <v>0P00</v>
      </c>
      <c r="AH2800" t="str">
        <f t="shared" si="833"/>
        <v>P000</v>
      </c>
      <c r="AI2800" t="str">
        <f t="shared" si="834"/>
        <v>0P00</v>
      </c>
      <c r="AJ2800" t="str">
        <f t="shared" si="835"/>
        <v>P000</v>
      </c>
    </row>
    <row r="2801" spans="1:36" x14ac:dyDescent="0.25">
      <c r="A2801" s="325" t="str">
        <f>CONCATENATE("P",'906MP'!M2501)</f>
        <v>P</v>
      </c>
      <c r="B2801">
        <f>'906MP'!H2501</f>
        <v>0</v>
      </c>
      <c r="C2801">
        <f>'906MP'!J2501</f>
        <v>0</v>
      </c>
      <c r="D2801">
        <f>'906MP'!P2501</f>
        <v>0</v>
      </c>
      <c r="E2801">
        <f>'906MP'!X2501</f>
        <v>0</v>
      </c>
      <c r="F2801" t="str">
        <f t="shared" si="827"/>
        <v>0</v>
      </c>
      <c r="G2801" t="str">
        <f t="shared" si="828"/>
        <v>0</v>
      </c>
      <c r="H2801">
        <f>'906MP'!Y2501</f>
        <v>0</v>
      </c>
      <c r="I2801">
        <f>'906MP'!AK2501</f>
        <v>0</v>
      </c>
      <c r="J2801">
        <f>'906MP'!T2501</f>
        <v>0</v>
      </c>
      <c r="K2801">
        <f>'906MP'!AJ2501</f>
        <v>0</v>
      </c>
      <c r="L2801">
        <f>'906MP'!U2501</f>
        <v>0</v>
      </c>
      <c r="M2801" s="322" t="str">
        <f>IFERROR(VLOOKUP(A2801,PAR!$D$3:$E$53,2,FALSE),"nincs szervezet")</f>
        <v>nincs szervezet</v>
      </c>
      <c r="N2801" s="322" t="str">
        <f>VLOOKUP(F2801,PAR!$R$3:$S$5,2,FALSE)</f>
        <v>3 - egyik sem</v>
      </c>
      <c r="O2801" t="str">
        <f>IFERROR(VLOOKUP(J2801,PAR!$O$3:$P$5,2,FALSE),"nincs feladat")</f>
        <v>nincs feladat</v>
      </c>
      <c r="P2801" t="str">
        <f>IFERROR(VLOOKUP(G2801,PAR!$J$2:$M$19,4),"nincs rovat")</f>
        <v>nincs rovat</v>
      </c>
      <c r="Q2801" t="str">
        <f>IF(H2801&gt;0,VLOOKUP(H2801,PAR!$AA$3:$AC$187,3,FALSE),"nincs főkönyvi számla")</f>
        <v>nincs főkönyvi számla</v>
      </c>
      <c r="R2801" t="str">
        <f>IFERROR(VLOOKUP(K2801,PAR!$V$3:$X$438,3,FALSE),"000000 - Nincs COFOG")</f>
        <v>000000 - Nincs COFOG</v>
      </c>
      <c r="S2801">
        <f t="shared" si="829"/>
        <v>0</v>
      </c>
      <c r="T2801">
        <f t="shared" si="830"/>
        <v>0</v>
      </c>
      <c r="U2801" t="str">
        <f>IF('906MP'!J2501&gt;0,CONCATENATE('906MP'!J2501," - ",'906MP'!P2501,", ",'906MP'!E2501),"nincs megjegyzés")</f>
        <v>nincs megjegyzés</v>
      </c>
      <c r="V2801" t="str">
        <f t="shared" si="817"/>
        <v>0P0</v>
      </c>
      <c r="W2801" t="str">
        <f t="shared" si="818"/>
        <v>0P0</v>
      </c>
      <c r="X2801" t="str">
        <f t="shared" si="819"/>
        <v>P0</v>
      </c>
      <c r="Y2801" t="str">
        <f t="shared" si="820"/>
        <v>00</v>
      </c>
      <c r="Z2801" t="str">
        <f t="shared" si="831"/>
        <v>00</v>
      </c>
      <c r="AA2801" t="str">
        <f t="shared" si="821"/>
        <v>00</v>
      </c>
      <c r="AB2801" t="str">
        <f t="shared" si="822"/>
        <v>00</v>
      </c>
      <c r="AC2801" t="str">
        <f t="shared" si="823"/>
        <v>0P0</v>
      </c>
      <c r="AD2801" t="str">
        <f t="shared" si="824"/>
        <v>P00</v>
      </c>
      <c r="AE2801" t="str">
        <f t="shared" si="825"/>
        <v>0P0</v>
      </c>
      <c r="AF2801" t="str">
        <f t="shared" si="826"/>
        <v>P00</v>
      </c>
      <c r="AG2801" t="str">
        <f t="shared" si="832"/>
        <v>0P00</v>
      </c>
      <c r="AH2801" t="str">
        <f t="shared" si="833"/>
        <v>P000</v>
      </c>
      <c r="AI2801" t="str">
        <f t="shared" si="834"/>
        <v>0P00</v>
      </c>
      <c r="AJ2801" t="str">
        <f t="shared" si="835"/>
        <v>P000</v>
      </c>
    </row>
    <row r="2802" spans="1:36" x14ac:dyDescent="0.25">
      <c r="A2802" s="325" t="str">
        <f>CONCATENATE("P",'906MP'!M2502)</f>
        <v>P</v>
      </c>
      <c r="B2802">
        <f>'906MP'!H2502</f>
        <v>0</v>
      </c>
      <c r="C2802">
        <f>'906MP'!J2502</f>
        <v>0</v>
      </c>
      <c r="D2802">
        <f>'906MP'!P2502</f>
        <v>0</v>
      </c>
      <c r="E2802">
        <f>'906MP'!X2502</f>
        <v>0</v>
      </c>
      <c r="F2802" t="str">
        <f t="shared" si="827"/>
        <v>0</v>
      </c>
      <c r="G2802" t="str">
        <f t="shared" si="828"/>
        <v>0</v>
      </c>
      <c r="H2802">
        <f>'906MP'!Y2502</f>
        <v>0</v>
      </c>
      <c r="I2802">
        <f>'906MP'!AK2502</f>
        <v>0</v>
      </c>
      <c r="J2802">
        <f>'906MP'!T2502</f>
        <v>0</v>
      </c>
      <c r="K2802">
        <f>'906MP'!AJ2502</f>
        <v>0</v>
      </c>
      <c r="L2802">
        <f>'906MP'!U2502</f>
        <v>0</v>
      </c>
      <c r="M2802" s="322" t="str">
        <f>IFERROR(VLOOKUP(A2802,PAR!$D$3:$E$53,2,FALSE),"nincs szervezet")</f>
        <v>nincs szervezet</v>
      </c>
      <c r="N2802" s="322" t="str">
        <f>VLOOKUP(F2802,PAR!$R$3:$S$5,2,FALSE)</f>
        <v>3 - egyik sem</v>
      </c>
      <c r="O2802" t="str">
        <f>IFERROR(VLOOKUP(J2802,PAR!$O$3:$P$5,2,FALSE),"nincs feladat")</f>
        <v>nincs feladat</v>
      </c>
      <c r="P2802" t="str">
        <f>IFERROR(VLOOKUP(G2802,PAR!$J$2:$M$19,4),"nincs rovat")</f>
        <v>nincs rovat</v>
      </c>
      <c r="Q2802" t="str">
        <f>IF(H2802&gt;0,VLOOKUP(H2802,PAR!$AA$3:$AC$187,3,FALSE),"nincs főkönyvi számla")</f>
        <v>nincs főkönyvi számla</v>
      </c>
      <c r="R2802" t="str">
        <f>IFERROR(VLOOKUP(K2802,PAR!$V$3:$X$438,3,FALSE),"000000 - Nincs COFOG")</f>
        <v>000000 - Nincs COFOG</v>
      </c>
      <c r="S2802">
        <f t="shared" si="829"/>
        <v>0</v>
      </c>
      <c r="T2802">
        <f t="shared" si="830"/>
        <v>0</v>
      </c>
      <c r="U2802" t="str">
        <f>IF('906MP'!J2502&gt;0,CONCATENATE('906MP'!J2502," - ",'906MP'!P2502,", ",'906MP'!E2502),"nincs megjegyzés")</f>
        <v>nincs megjegyzés</v>
      </c>
      <c r="V2802" t="str">
        <f t="shared" si="817"/>
        <v>0P0</v>
      </c>
      <c r="W2802" t="str">
        <f t="shared" si="818"/>
        <v>0P0</v>
      </c>
      <c r="X2802" t="str">
        <f t="shared" si="819"/>
        <v>P0</v>
      </c>
      <c r="Y2802" t="str">
        <f t="shared" si="820"/>
        <v>00</v>
      </c>
      <c r="Z2802" t="str">
        <f t="shared" si="831"/>
        <v>00</v>
      </c>
      <c r="AA2802" t="str">
        <f t="shared" si="821"/>
        <v>00</v>
      </c>
      <c r="AB2802" t="str">
        <f t="shared" si="822"/>
        <v>00</v>
      </c>
      <c r="AC2802" t="str">
        <f t="shared" si="823"/>
        <v>0P0</v>
      </c>
      <c r="AD2802" t="str">
        <f t="shared" si="824"/>
        <v>P00</v>
      </c>
      <c r="AE2802" t="str">
        <f t="shared" si="825"/>
        <v>0P0</v>
      </c>
      <c r="AF2802" t="str">
        <f t="shared" si="826"/>
        <v>P00</v>
      </c>
      <c r="AG2802" t="str">
        <f t="shared" si="832"/>
        <v>0P00</v>
      </c>
      <c r="AH2802" t="str">
        <f t="shared" si="833"/>
        <v>P000</v>
      </c>
      <c r="AI2802" t="str">
        <f t="shared" si="834"/>
        <v>0P00</v>
      </c>
      <c r="AJ2802" t="str">
        <f t="shared" si="835"/>
        <v>P000</v>
      </c>
    </row>
    <row r="2803" spans="1:36" x14ac:dyDescent="0.25">
      <c r="A2803" s="325" t="str">
        <f>CONCATENATE("P",'906MP'!M2503)</f>
        <v>P</v>
      </c>
      <c r="B2803">
        <f>'906MP'!H2503</f>
        <v>0</v>
      </c>
      <c r="C2803">
        <f>'906MP'!J2503</f>
        <v>0</v>
      </c>
      <c r="D2803">
        <f>'906MP'!P2503</f>
        <v>0</v>
      </c>
      <c r="E2803">
        <f>'906MP'!X2503</f>
        <v>0</v>
      </c>
      <c r="F2803" t="str">
        <f t="shared" si="827"/>
        <v>0</v>
      </c>
      <c r="G2803" t="str">
        <f t="shared" si="828"/>
        <v>0</v>
      </c>
      <c r="H2803">
        <f>'906MP'!Y2503</f>
        <v>0</v>
      </c>
      <c r="I2803">
        <f>'906MP'!AK2503</f>
        <v>0</v>
      </c>
      <c r="J2803">
        <f>'906MP'!T2503</f>
        <v>0</v>
      </c>
      <c r="K2803">
        <f>'906MP'!AJ2503</f>
        <v>0</v>
      </c>
      <c r="L2803">
        <f>'906MP'!U2503</f>
        <v>0</v>
      </c>
      <c r="M2803" s="322" t="str">
        <f>IFERROR(VLOOKUP(A2803,PAR!$D$3:$E$53,2,FALSE),"nincs szervezet")</f>
        <v>nincs szervezet</v>
      </c>
      <c r="N2803" s="322" t="str">
        <f>VLOOKUP(F2803,PAR!$R$3:$S$5,2,FALSE)</f>
        <v>3 - egyik sem</v>
      </c>
      <c r="O2803" t="str">
        <f>IFERROR(VLOOKUP(J2803,PAR!$O$3:$P$5,2,FALSE),"nincs feladat")</f>
        <v>nincs feladat</v>
      </c>
      <c r="P2803" t="str">
        <f>IFERROR(VLOOKUP(G2803,PAR!$J$2:$M$19,4),"nincs rovat")</f>
        <v>nincs rovat</v>
      </c>
      <c r="Q2803" t="str">
        <f>IF(H2803&gt;0,VLOOKUP(H2803,PAR!$AA$3:$AC$187,3,FALSE),"nincs főkönyvi számla")</f>
        <v>nincs főkönyvi számla</v>
      </c>
      <c r="R2803" t="str">
        <f>IFERROR(VLOOKUP(K2803,PAR!$V$3:$X$438,3,FALSE),"000000 - Nincs COFOG")</f>
        <v>000000 - Nincs COFOG</v>
      </c>
      <c r="S2803">
        <f t="shared" si="829"/>
        <v>0</v>
      </c>
      <c r="T2803">
        <f t="shared" si="830"/>
        <v>0</v>
      </c>
      <c r="U2803" t="str">
        <f>IF('906MP'!J2503&gt;0,CONCATENATE('906MP'!J2503," - ",'906MP'!P2503,", ",'906MP'!E2503),"nincs megjegyzés")</f>
        <v>nincs megjegyzés</v>
      </c>
      <c r="V2803" t="str">
        <f t="shared" si="817"/>
        <v>0P0</v>
      </c>
      <c r="W2803" t="str">
        <f t="shared" si="818"/>
        <v>0P0</v>
      </c>
      <c r="X2803" t="str">
        <f t="shared" si="819"/>
        <v>P0</v>
      </c>
      <c r="Y2803" t="str">
        <f t="shared" si="820"/>
        <v>00</v>
      </c>
      <c r="Z2803" t="str">
        <f t="shared" si="831"/>
        <v>00</v>
      </c>
      <c r="AA2803" t="str">
        <f t="shared" si="821"/>
        <v>00</v>
      </c>
      <c r="AB2803" t="str">
        <f t="shared" si="822"/>
        <v>00</v>
      </c>
      <c r="AC2803" t="str">
        <f t="shared" si="823"/>
        <v>0P0</v>
      </c>
      <c r="AD2803" t="str">
        <f t="shared" si="824"/>
        <v>P00</v>
      </c>
      <c r="AE2803" t="str">
        <f t="shared" si="825"/>
        <v>0P0</v>
      </c>
      <c r="AF2803" t="str">
        <f t="shared" si="826"/>
        <v>P00</v>
      </c>
      <c r="AG2803" t="str">
        <f t="shared" si="832"/>
        <v>0P00</v>
      </c>
      <c r="AH2803" t="str">
        <f t="shared" si="833"/>
        <v>P000</v>
      </c>
      <c r="AI2803" t="str">
        <f t="shared" si="834"/>
        <v>0P00</v>
      </c>
      <c r="AJ2803" t="str">
        <f t="shared" si="835"/>
        <v>P000</v>
      </c>
    </row>
    <row r="2804" spans="1:36" x14ac:dyDescent="0.25">
      <c r="A2804" s="325" t="str">
        <f>CONCATENATE("P",'906MP'!M2504)</f>
        <v>P</v>
      </c>
      <c r="B2804">
        <f>'906MP'!H2504</f>
        <v>0</v>
      </c>
      <c r="C2804">
        <f>'906MP'!J2504</f>
        <v>0</v>
      </c>
      <c r="D2804">
        <f>'906MP'!P2504</f>
        <v>0</v>
      </c>
      <c r="E2804">
        <f>'906MP'!X2504</f>
        <v>0</v>
      </c>
      <c r="F2804" t="str">
        <f t="shared" si="827"/>
        <v>0</v>
      </c>
      <c r="G2804" t="str">
        <f t="shared" si="828"/>
        <v>0</v>
      </c>
      <c r="H2804">
        <f>'906MP'!Y2504</f>
        <v>0</v>
      </c>
      <c r="I2804">
        <f>'906MP'!AK2504</f>
        <v>0</v>
      </c>
      <c r="J2804">
        <f>'906MP'!T2504</f>
        <v>0</v>
      </c>
      <c r="K2804">
        <f>'906MP'!AJ2504</f>
        <v>0</v>
      </c>
      <c r="L2804">
        <f>'906MP'!U2504</f>
        <v>0</v>
      </c>
      <c r="M2804" s="322" t="str">
        <f>IFERROR(VLOOKUP(A2804,PAR!$D$3:$E$53,2,FALSE),"nincs szervezet")</f>
        <v>nincs szervezet</v>
      </c>
      <c r="N2804" s="322" t="str">
        <f>VLOOKUP(F2804,PAR!$R$3:$S$5,2,FALSE)</f>
        <v>3 - egyik sem</v>
      </c>
      <c r="O2804" t="str">
        <f>IFERROR(VLOOKUP(J2804,PAR!$O$3:$P$5,2,FALSE),"nincs feladat")</f>
        <v>nincs feladat</v>
      </c>
      <c r="P2804" t="str">
        <f>IFERROR(VLOOKUP(G2804,PAR!$J$2:$M$19,4),"nincs rovat")</f>
        <v>nincs rovat</v>
      </c>
      <c r="Q2804" t="str">
        <f>IF(H2804&gt;0,VLOOKUP(H2804,PAR!$AA$3:$AC$187,3,FALSE),"nincs főkönyvi számla")</f>
        <v>nincs főkönyvi számla</v>
      </c>
      <c r="R2804" t="str">
        <f>IFERROR(VLOOKUP(K2804,PAR!$V$3:$X$438,3,FALSE),"000000 - Nincs COFOG")</f>
        <v>000000 - Nincs COFOG</v>
      </c>
      <c r="S2804">
        <f t="shared" si="829"/>
        <v>0</v>
      </c>
      <c r="T2804">
        <f t="shared" si="830"/>
        <v>0</v>
      </c>
      <c r="U2804" t="str">
        <f>IF('906MP'!J2504&gt;0,CONCATENATE('906MP'!J2504," - ",'906MP'!P2504,", ",'906MP'!E2504),"nincs megjegyzés")</f>
        <v>nincs megjegyzés</v>
      </c>
      <c r="V2804" t="str">
        <f t="shared" si="817"/>
        <v>0P0</v>
      </c>
      <c r="W2804" t="str">
        <f t="shared" si="818"/>
        <v>0P0</v>
      </c>
      <c r="X2804" t="str">
        <f t="shared" si="819"/>
        <v>P0</v>
      </c>
      <c r="Y2804" t="str">
        <f t="shared" si="820"/>
        <v>00</v>
      </c>
      <c r="Z2804" t="str">
        <f t="shared" si="831"/>
        <v>00</v>
      </c>
      <c r="AA2804" t="str">
        <f t="shared" si="821"/>
        <v>00</v>
      </c>
      <c r="AB2804" t="str">
        <f t="shared" si="822"/>
        <v>00</v>
      </c>
      <c r="AC2804" t="str">
        <f t="shared" si="823"/>
        <v>0P0</v>
      </c>
      <c r="AD2804" t="str">
        <f t="shared" si="824"/>
        <v>P00</v>
      </c>
      <c r="AE2804" t="str">
        <f t="shared" si="825"/>
        <v>0P0</v>
      </c>
      <c r="AF2804" t="str">
        <f t="shared" si="826"/>
        <v>P00</v>
      </c>
      <c r="AG2804" t="str">
        <f t="shared" si="832"/>
        <v>0P00</v>
      </c>
      <c r="AH2804" t="str">
        <f t="shared" si="833"/>
        <v>P000</v>
      </c>
      <c r="AI2804" t="str">
        <f t="shared" si="834"/>
        <v>0P00</v>
      </c>
      <c r="AJ2804" t="str">
        <f t="shared" si="835"/>
        <v>P000</v>
      </c>
    </row>
    <row r="2805" spans="1:36" x14ac:dyDescent="0.25">
      <c r="A2805" s="325" t="str">
        <f>CONCATENATE("P",'906MP'!M2505)</f>
        <v>P</v>
      </c>
      <c r="B2805">
        <f>'906MP'!H2505</f>
        <v>0</v>
      </c>
      <c r="C2805">
        <f>'906MP'!J2505</f>
        <v>0</v>
      </c>
      <c r="D2805">
        <f>'906MP'!P2505</f>
        <v>0</v>
      </c>
      <c r="E2805">
        <f>'906MP'!X2505</f>
        <v>0</v>
      </c>
      <c r="F2805" t="str">
        <f t="shared" si="827"/>
        <v>0</v>
      </c>
      <c r="G2805" t="str">
        <f t="shared" si="828"/>
        <v>0</v>
      </c>
      <c r="H2805">
        <f>'906MP'!Y2505</f>
        <v>0</v>
      </c>
      <c r="I2805">
        <f>'906MP'!AK2505</f>
        <v>0</v>
      </c>
      <c r="J2805">
        <f>'906MP'!T2505</f>
        <v>0</v>
      </c>
      <c r="K2805">
        <f>'906MP'!AJ2505</f>
        <v>0</v>
      </c>
      <c r="L2805">
        <f>'906MP'!U2505</f>
        <v>0</v>
      </c>
      <c r="M2805" s="322" t="str">
        <f>IFERROR(VLOOKUP(A2805,PAR!$D$3:$E$53,2,FALSE),"nincs szervezet")</f>
        <v>nincs szervezet</v>
      </c>
      <c r="N2805" s="322" t="str">
        <f>VLOOKUP(F2805,PAR!$R$3:$S$5,2,FALSE)</f>
        <v>3 - egyik sem</v>
      </c>
      <c r="O2805" t="str">
        <f>IFERROR(VLOOKUP(J2805,PAR!$O$3:$P$5,2,FALSE),"nincs feladat")</f>
        <v>nincs feladat</v>
      </c>
      <c r="P2805" t="str">
        <f>IFERROR(VLOOKUP(G2805,PAR!$J$2:$M$19,4),"nincs rovat")</f>
        <v>nincs rovat</v>
      </c>
      <c r="Q2805" t="str">
        <f>IF(H2805&gt;0,VLOOKUP(H2805,PAR!$AA$3:$AC$187,3,FALSE),"nincs főkönyvi számla")</f>
        <v>nincs főkönyvi számla</v>
      </c>
      <c r="R2805" t="str">
        <f>IFERROR(VLOOKUP(K2805,PAR!$V$3:$X$438,3,FALSE),"000000 - Nincs COFOG")</f>
        <v>000000 - Nincs COFOG</v>
      </c>
      <c r="S2805">
        <f t="shared" si="829"/>
        <v>0</v>
      </c>
      <c r="T2805">
        <f t="shared" si="830"/>
        <v>0</v>
      </c>
      <c r="U2805" t="str">
        <f>IF('906MP'!J2505&gt;0,CONCATENATE('906MP'!J2505," - ",'906MP'!P2505,", ",'906MP'!E2505),"nincs megjegyzés")</f>
        <v>nincs megjegyzés</v>
      </c>
      <c r="V2805" t="str">
        <f t="shared" si="817"/>
        <v>0P0</v>
      </c>
      <c r="W2805" t="str">
        <f t="shared" si="818"/>
        <v>0P0</v>
      </c>
      <c r="X2805" t="str">
        <f t="shared" si="819"/>
        <v>P0</v>
      </c>
      <c r="Y2805" t="str">
        <f t="shared" si="820"/>
        <v>00</v>
      </c>
      <c r="Z2805" t="str">
        <f t="shared" si="831"/>
        <v>00</v>
      </c>
      <c r="AA2805" t="str">
        <f t="shared" si="821"/>
        <v>00</v>
      </c>
      <c r="AB2805" t="str">
        <f t="shared" si="822"/>
        <v>00</v>
      </c>
      <c r="AC2805" t="str">
        <f t="shared" si="823"/>
        <v>0P0</v>
      </c>
      <c r="AD2805" t="str">
        <f t="shared" si="824"/>
        <v>P00</v>
      </c>
      <c r="AE2805" t="str">
        <f t="shared" si="825"/>
        <v>0P0</v>
      </c>
      <c r="AF2805" t="str">
        <f t="shared" si="826"/>
        <v>P00</v>
      </c>
      <c r="AG2805" t="str">
        <f t="shared" si="832"/>
        <v>0P00</v>
      </c>
      <c r="AH2805" t="str">
        <f t="shared" si="833"/>
        <v>P000</v>
      </c>
      <c r="AI2805" t="str">
        <f t="shared" si="834"/>
        <v>0P00</v>
      </c>
      <c r="AJ2805" t="str">
        <f t="shared" si="835"/>
        <v>P000</v>
      </c>
    </row>
    <row r="2806" spans="1:36" x14ac:dyDescent="0.25">
      <c r="A2806" s="325" t="str">
        <f>CONCATENATE("P",'906MP'!M2506)</f>
        <v>P</v>
      </c>
      <c r="B2806">
        <f>'906MP'!H2506</f>
        <v>0</v>
      </c>
      <c r="C2806">
        <f>'906MP'!J2506</f>
        <v>0</v>
      </c>
      <c r="D2806">
        <f>'906MP'!P2506</f>
        <v>0</v>
      </c>
      <c r="E2806">
        <f>'906MP'!X2506</f>
        <v>0</v>
      </c>
      <c r="F2806" t="str">
        <f t="shared" si="827"/>
        <v>0</v>
      </c>
      <c r="G2806" t="str">
        <f t="shared" si="828"/>
        <v>0</v>
      </c>
      <c r="H2806">
        <f>'906MP'!Y2506</f>
        <v>0</v>
      </c>
      <c r="I2806">
        <f>'906MP'!AK2506</f>
        <v>0</v>
      </c>
      <c r="J2806">
        <f>'906MP'!T2506</f>
        <v>0</v>
      </c>
      <c r="K2806">
        <f>'906MP'!AJ2506</f>
        <v>0</v>
      </c>
      <c r="L2806">
        <f>'906MP'!U2506</f>
        <v>0</v>
      </c>
      <c r="M2806" s="322" t="str">
        <f>IFERROR(VLOOKUP(A2806,PAR!$D$3:$E$53,2,FALSE),"nincs szervezet")</f>
        <v>nincs szervezet</v>
      </c>
      <c r="N2806" s="322" t="str">
        <f>VLOOKUP(F2806,PAR!$R$3:$S$5,2,FALSE)</f>
        <v>3 - egyik sem</v>
      </c>
      <c r="O2806" t="str">
        <f>IFERROR(VLOOKUP(J2806,PAR!$O$3:$P$5,2,FALSE),"nincs feladat")</f>
        <v>nincs feladat</v>
      </c>
      <c r="P2806" t="str">
        <f>IFERROR(VLOOKUP(G2806,PAR!$J$2:$M$19,4),"nincs rovat")</f>
        <v>nincs rovat</v>
      </c>
      <c r="Q2806" t="str">
        <f>IF(H2806&gt;0,VLOOKUP(H2806,PAR!$AA$3:$AC$187,3,FALSE),"nincs főkönyvi számla")</f>
        <v>nincs főkönyvi számla</v>
      </c>
      <c r="R2806" t="str">
        <f>IFERROR(VLOOKUP(K2806,PAR!$V$3:$X$438,3,FALSE),"000000 - Nincs COFOG")</f>
        <v>000000 - Nincs COFOG</v>
      </c>
      <c r="S2806">
        <f t="shared" si="829"/>
        <v>0</v>
      </c>
      <c r="T2806">
        <f t="shared" si="830"/>
        <v>0</v>
      </c>
      <c r="U2806" t="str">
        <f>IF('906MP'!J2506&gt;0,CONCATENATE('906MP'!J2506," - ",'906MP'!P2506,", ",'906MP'!E2506),"nincs megjegyzés")</f>
        <v>nincs megjegyzés</v>
      </c>
      <c r="V2806" t="str">
        <f t="shared" si="817"/>
        <v>0P0</v>
      </c>
      <c r="W2806" t="str">
        <f t="shared" si="818"/>
        <v>0P0</v>
      </c>
      <c r="X2806" t="str">
        <f t="shared" si="819"/>
        <v>P0</v>
      </c>
      <c r="Y2806" t="str">
        <f t="shared" si="820"/>
        <v>00</v>
      </c>
      <c r="Z2806" t="str">
        <f t="shared" si="831"/>
        <v>00</v>
      </c>
      <c r="AA2806" t="str">
        <f t="shared" si="821"/>
        <v>00</v>
      </c>
      <c r="AB2806" t="str">
        <f t="shared" si="822"/>
        <v>00</v>
      </c>
      <c r="AC2806" t="str">
        <f t="shared" si="823"/>
        <v>0P0</v>
      </c>
      <c r="AD2806" t="str">
        <f t="shared" si="824"/>
        <v>P00</v>
      </c>
      <c r="AE2806" t="str">
        <f t="shared" si="825"/>
        <v>0P0</v>
      </c>
      <c r="AF2806" t="str">
        <f t="shared" si="826"/>
        <v>P00</v>
      </c>
      <c r="AG2806" t="str">
        <f t="shared" si="832"/>
        <v>0P00</v>
      </c>
      <c r="AH2806" t="str">
        <f t="shared" si="833"/>
        <v>P000</v>
      </c>
      <c r="AI2806" t="str">
        <f t="shared" si="834"/>
        <v>0P00</v>
      </c>
      <c r="AJ2806" t="str">
        <f t="shared" si="835"/>
        <v>P000</v>
      </c>
    </row>
    <row r="2807" spans="1:36" x14ac:dyDescent="0.25">
      <c r="A2807" s="325" t="str">
        <f>CONCATENATE("P",'906MP'!M2507)</f>
        <v>P</v>
      </c>
      <c r="B2807">
        <f>'906MP'!H2507</f>
        <v>0</v>
      </c>
      <c r="C2807">
        <f>'906MP'!J2507</f>
        <v>0</v>
      </c>
      <c r="D2807">
        <f>'906MP'!P2507</f>
        <v>0</v>
      </c>
      <c r="E2807">
        <f>'906MP'!X2507</f>
        <v>0</v>
      </c>
      <c r="F2807" t="str">
        <f t="shared" si="827"/>
        <v>0</v>
      </c>
      <c r="G2807" t="str">
        <f t="shared" si="828"/>
        <v>0</v>
      </c>
      <c r="H2807">
        <f>'906MP'!Y2507</f>
        <v>0</v>
      </c>
      <c r="I2807">
        <f>'906MP'!AK2507</f>
        <v>0</v>
      </c>
      <c r="J2807">
        <f>'906MP'!T2507</f>
        <v>0</v>
      </c>
      <c r="K2807">
        <f>'906MP'!AJ2507</f>
        <v>0</v>
      </c>
      <c r="L2807">
        <f>'906MP'!U2507</f>
        <v>0</v>
      </c>
      <c r="M2807" s="322" t="str">
        <f>IFERROR(VLOOKUP(A2807,PAR!$D$3:$E$53,2,FALSE),"nincs szervezet")</f>
        <v>nincs szervezet</v>
      </c>
      <c r="N2807" s="322" t="str">
        <f>VLOOKUP(F2807,PAR!$R$3:$S$5,2,FALSE)</f>
        <v>3 - egyik sem</v>
      </c>
      <c r="O2807" t="str">
        <f>IFERROR(VLOOKUP(J2807,PAR!$O$3:$P$5,2,FALSE),"nincs feladat")</f>
        <v>nincs feladat</v>
      </c>
      <c r="P2807" t="str">
        <f>IFERROR(VLOOKUP(G2807,PAR!$J$2:$M$19,4),"nincs rovat")</f>
        <v>nincs rovat</v>
      </c>
      <c r="Q2807" t="str">
        <f>IF(H2807&gt;0,VLOOKUP(H2807,PAR!$AA$3:$AC$187,3,FALSE),"nincs főkönyvi számla")</f>
        <v>nincs főkönyvi számla</v>
      </c>
      <c r="R2807" t="str">
        <f>IFERROR(VLOOKUP(K2807,PAR!$V$3:$X$438,3,FALSE),"000000 - Nincs COFOG")</f>
        <v>000000 - Nincs COFOG</v>
      </c>
      <c r="S2807">
        <f t="shared" si="829"/>
        <v>0</v>
      </c>
      <c r="T2807">
        <f t="shared" si="830"/>
        <v>0</v>
      </c>
      <c r="U2807" t="str">
        <f>IF('906MP'!J2507&gt;0,CONCATENATE('906MP'!J2507," - ",'906MP'!P2507,", ",'906MP'!E2507),"nincs megjegyzés")</f>
        <v>nincs megjegyzés</v>
      </c>
      <c r="V2807" t="str">
        <f t="shared" si="817"/>
        <v>0P0</v>
      </c>
      <c r="W2807" t="str">
        <f t="shared" si="818"/>
        <v>0P0</v>
      </c>
      <c r="X2807" t="str">
        <f t="shared" si="819"/>
        <v>P0</v>
      </c>
      <c r="Y2807" t="str">
        <f t="shared" si="820"/>
        <v>00</v>
      </c>
      <c r="Z2807" t="str">
        <f t="shared" si="831"/>
        <v>00</v>
      </c>
      <c r="AA2807" t="str">
        <f t="shared" si="821"/>
        <v>00</v>
      </c>
      <c r="AB2807" t="str">
        <f t="shared" si="822"/>
        <v>00</v>
      </c>
      <c r="AC2807" t="str">
        <f t="shared" si="823"/>
        <v>0P0</v>
      </c>
      <c r="AD2807" t="str">
        <f t="shared" si="824"/>
        <v>P00</v>
      </c>
      <c r="AE2807" t="str">
        <f t="shared" si="825"/>
        <v>0P0</v>
      </c>
      <c r="AF2807" t="str">
        <f t="shared" si="826"/>
        <v>P00</v>
      </c>
      <c r="AG2807" t="str">
        <f t="shared" si="832"/>
        <v>0P00</v>
      </c>
      <c r="AH2807" t="str">
        <f t="shared" si="833"/>
        <v>P000</v>
      </c>
      <c r="AI2807" t="str">
        <f t="shared" si="834"/>
        <v>0P00</v>
      </c>
      <c r="AJ2807" t="str">
        <f t="shared" si="835"/>
        <v>P000</v>
      </c>
    </row>
    <row r="2808" spans="1:36" x14ac:dyDescent="0.25">
      <c r="A2808" s="325" t="str">
        <f>CONCATENATE("P",'906MP'!M2508)</f>
        <v>P</v>
      </c>
      <c r="B2808">
        <f>'906MP'!H2508</f>
        <v>0</v>
      </c>
      <c r="C2808">
        <f>'906MP'!J2508</f>
        <v>0</v>
      </c>
      <c r="D2808">
        <f>'906MP'!P2508</f>
        <v>0</v>
      </c>
      <c r="E2808">
        <f>'906MP'!X2508</f>
        <v>0</v>
      </c>
      <c r="F2808" t="str">
        <f t="shared" si="827"/>
        <v>0</v>
      </c>
      <c r="G2808" t="str">
        <f t="shared" si="828"/>
        <v>0</v>
      </c>
      <c r="H2808">
        <f>'906MP'!Y2508</f>
        <v>0</v>
      </c>
      <c r="I2808">
        <f>'906MP'!AK2508</f>
        <v>0</v>
      </c>
      <c r="J2808">
        <f>'906MP'!T2508</f>
        <v>0</v>
      </c>
      <c r="K2808">
        <f>'906MP'!AJ2508</f>
        <v>0</v>
      </c>
      <c r="L2808">
        <f>'906MP'!U2508</f>
        <v>0</v>
      </c>
      <c r="M2808" s="322" t="str">
        <f>IFERROR(VLOOKUP(A2808,PAR!$D$3:$E$53,2,FALSE),"nincs szervezet")</f>
        <v>nincs szervezet</v>
      </c>
      <c r="N2808" s="322" t="str">
        <f>VLOOKUP(F2808,PAR!$R$3:$S$5,2,FALSE)</f>
        <v>3 - egyik sem</v>
      </c>
      <c r="O2808" t="str">
        <f>IFERROR(VLOOKUP(J2808,PAR!$O$3:$P$5,2,FALSE),"nincs feladat")</f>
        <v>nincs feladat</v>
      </c>
      <c r="P2808" t="str">
        <f>IFERROR(VLOOKUP(G2808,PAR!$J$2:$M$19,4),"nincs rovat")</f>
        <v>nincs rovat</v>
      </c>
      <c r="Q2808" t="str">
        <f>IF(H2808&gt;0,VLOOKUP(H2808,PAR!$AA$3:$AC$187,3,FALSE),"nincs főkönyvi számla")</f>
        <v>nincs főkönyvi számla</v>
      </c>
      <c r="R2808" t="str">
        <f>IFERROR(VLOOKUP(K2808,PAR!$V$3:$X$438,3,FALSE),"000000 - Nincs COFOG")</f>
        <v>000000 - Nincs COFOG</v>
      </c>
      <c r="S2808">
        <f t="shared" si="829"/>
        <v>0</v>
      </c>
      <c r="T2808">
        <f t="shared" si="830"/>
        <v>0</v>
      </c>
      <c r="U2808" t="str">
        <f>IF('906MP'!J2508&gt;0,CONCATENATE('906MP'!J2508," - ",'906MP'!P2508,", ",'906MP'!E2508),"nincs megjegyzés")</f>
        <v>nincs megjegyzés</v>
      </c>
      <c r="V2808" t="str">
        <f t="shared" si="817"/>
        <v>0P0</v>
      </c>
      <c r="W2808" t="str">
        <f t="shared" si="818"/>
        <v>0P0</v>
      </c>
      <c r="X2808" t="str">
        <f t="shared" si="819"/>
        <v>P0</v>
      </c>
      <c r="Y2808" t="str">
        <f t="shared" si="820"/>
        <v>00</v>
      </c>
      <c r="Z2808" t="str">
        <f t="shared" si="831"/>
        <v>00</v>
      </c>
      <c r="AA2808" t="str">
        <f t="shared" si="821"/>
        <v>00</v>
      </c>
      <c r="AB2808" t="str">
        <f t="shared" si="822"/>
        <v>00</v>
      </c>
      <c r="AC2808" t="str">
        <f t="shared" si="823"/>
        <v>0P0</v>
      </c>
      <c r="AD2808" t="str">
        <f t="shared" si="824"/>
        <v>P00</v>
      </c>
      <c r="AE2808" t="str">
        <f t="shared" si="825"/>
        <v>0P0</v>
      </c>
      <c r="AF2808" t="str">
        <f t="shared" si="826"/>
        <v>P00</v>
      </c>
      <c r="AG2808" t="str">
        <f t="shared" si="832"/>
        <v>0P00</v>
      </c>
      <c r="AH2808" t="str">
        <f t="shared" si="833"/>
        <v>P000</v>
      </c>
      <c r="AI2808" t="str">
        <f t="shared" si="834"/>
        <v>0P00</v>
      </c>
      <c r="AJ2808" t="str">
        <f t="shared" si="835"/>
        <v>P000</v>
      </c>
    </row>
    <row r="2809" spans="1:36" x14ac:dyDescent="0.25">
      <c r="A2809" s="325" t="str">
        <f>CONCATENATE("P",'906MP'!M2509)</f>
        <v>P</v>
      </c>
      <c r="B2809">
        <f>'906MP'!H2509</f>
        <v>0</v>
      </c>
      <c r="C2809">
        <f>'906MP'!J2509</f>
        <v>0</v>
      </c>
      <c r="D2809">
        <f>'906MP'!P2509</f>
        <v>0</v>
      </c>
      <c r="E2809">
        <f>'906MP'!X2509</f>
        <v>0</v>
      </c>
      <c r="F2809" t="str">
        <f t="shared" si="827"/>
        <v>0</v>
      </c>
      <c r="G2809" t="str">
        <f t="shared" si="828"/>
        <v>0</v>
      </c>
      <c r="H2809">
        <f>'906MP'!Y2509</f>
        <v>0</v>
      </c>
      <c r="I2809">
        <f>'906MP'!AK2509</f>
        <v>0</v>
      </c>
      <c r="J2809">
        <f>'906MP'!T2509</f>
        <v>0</v>
      </c>
      <c r="K2809">
        <f>'906MP'!AJ2509</f>
        <v>0</v>
      </c>
      <c r="L2809">
        <f>'906MP'!U2509</f>
        <v>0</v>
      </c>
      <c r="M2809" s="322" t="str">
        <f>IFERROR(VLOOKUP(A2809,PAR!$D$3:$E$53,2,FALSE),"nincs szervezet")</f>
        <v>nincs szervezet</v>
      </c>
      <c r="N2809" s="322" t="str">
        <f>VLOOKUP(F2809,PAR!$R$3:$S$5,2,FALSE)</f>
        <v>3 - egyik sem</v>
      </c>
      <c r="O2809" t="str">
        <f>IFERROR(VLOOKUP(J2809,PAR!$O$3:$P$5,2,FALSE),"nincs feladat")</f>
        <v>nincs feladat</v>
      </c>
      <c r="P2809" t="str">
        <f>IFERROR(VLOOKUP(G2809,PAR!$J$2:$M$19,4),"nincs rovat")</f>
        <v>nincs rovat</v>
      </c>
      <c r="Q2809" t="str">
        <f>IF(H2809&gt;0,VLOOKUP(H2809,PAR!$AA$3:$AC$187,3,FALSE),"nincs főkönyvi számla")</f>
        <v>nincs főkönyvi számla</v>
      </c>
      <c r="R2809" t="str">
        <f>IFERROR(VLOOKUP(K2809,PAR!$V$3:$X$438,3,FALSE),"000000 - Nincs COFOG")</f>
        <v>000000 - Nincs COFOG</v>
      </c>
      <c r="S2809">
        <f t="shared" si="829"/>
        <v>0</v>
      </c>
      <c r="T2809">
        <f t="shared" si="830"/>
        <v>0</v>
      </c>
      <c r="U2809" t="str">
        <f>IF('906MP'!J2509&gt;0,CONCATENATE('906MP'!J2509," - ",'906MP'!P2509,", ",'906MP'!E2509),"nincs megjegyzés")</f>
        <v>nincs megjegyzés</v>
      </c>
      <c r="V2809" t="str">
        <f t="shared" si="817"/>
        <v>0P0</v>
      </c>
      <c r="W2809" t="str">
        <f t="shared" si="818"/>
        <v>0P0</v>
      </c>
      <c r="X2809" t="str">
        <f t="shared" si="819"/>
        <v>P0</v>
      </c>
      <c r="Y2809" t="str">
        <f t="shared" si="820"/>
        <v>00</v>
      </c>
      <c r="Z2809" t="str">
        <f t="shared" si="831"/>
        <v>00</v>
      </c>
      <c r="AA2809" t="str">
        <f t="shared" si="821"/>
        <v>00</v>
      </c>
      <c r="AB2809" t="str">
        <f t="shared" si="822"/>
        <v>00</v>
      </c>
      <c r="AC2809" t="str">
        <f t="shared" si="823"/>
        <v>0P0</v>
      </c>
      <c r="AD2809" t="str">
        <f t="shared" si="824"/>
        <v>P00</v>
      </c>
      <c r="AE2809" t="str">
        <f t="shared" si="825"/>
        <v>0P0</v>
      </c>
      <c r="AF2809" t="str">
        <f t="shared" si="826"/>
        <v>P00</v>
      </c>
      <c r="AG2809" t="str">
        <f t="shared" si="832"/>
        <v>0P00</v>
      </c>
      <c r="AH2809" t="str">
        <f t="shared" si="833"/>
        <v>P000</v>
      </c>
      <c r="AI2809" t="str">
        <f t="shared" si="834"/>
        <v>0P00</v>
      </c>
      <c r="AJ2809" t="str">
        <f t="shared" si="835"/>
        <v>P000</v>
      </c>
    </row>
    <row r="2810" spans="1:36" x14ac:dyDescent="0.25">
      <c r="A2810" s="325" t="str">
        <f>CONCATENATE("P",'906MP'!M2510)</f>
        <v>P</v>
      </c>
      <c r="B2810">
        <f>'906MP'!H2510</f>
        <v>0</v>
      </c>
      <c r="C2810">
        <f>'906MP'!J2510</f>
        <v>0</v>
      </c>
      <c r="D2810">
        <f>'906MP'!P2510</f>
        <v>0</v>
      </c>
      <c r="E2810">
        <f>'906MP'!X2510</f>
        <v>0</v>
      </c>
      <c r="F2810" t="str">
        <f t="shared" si="827"/>
        <v>0</v>
      </c>
      <c r="G2810" t="str">
        <f t="shared" si="828"/>
        <v>0</v>
      </c>
      <c r="H2810">
        <f>'906MP'!Y2510</f>
        <v>0</v>
      </c>
      <c r="I2810">
        <f>'906MP'!AK2510</f>
        <v>0</v>
      </c>
      <c r="J2810">
        <f>'906MP'!T2510</f>
        <v>0</v>
      </c>
      <c r="K2810">
        <f>'906MP'!AJ2510</f>
        <v>0</v>
      </c>
      <c r="L2810">
        <f>'906MP'!U2510</f>
        <v>0</v>
      </c>
      <c r="M2810" s="322" t="str">
        <f>IFERROR(VLOOKUP(A2810,PAR!$D$3:$E$53,2,FALSE),"nincs szervezet")</f>
        <v>nincs szervezet</v>
      </c>
      <c r="N2810" s="322" t="str">
        <f>VLOOKUP(F2810,PAR!$R$3:$S$5,2,FALSE)</f>
        <v>3 - egyik sem</v>
      </c>
      <c r="O2810" t="str">
        <f>IFERROR(VLOOKUP(J2810,PAR!$O$3:$P$5,2,FALSE),"nincs feladat")</f>
        <v>nincs feladat</v>
      </c>
      <c r="P2810" t="str">
        <f>IFERROR(VLOOKUP(G2810,PAR!$J$2:$M$19,4),"nincs rovat")</f>
        <v>nincs rovat</v>
      </c>
      <c r="Q2810" t="str">
        <f>IF(H2810&gt;0,VLOOKUP(H2810,PAR!$AA$3:$AC$187,3,FALSE),"nincs főkönyvi számla")</f>
        <v>nincs főkönyvi számla</v>
      </c>
      <c r="R2810" t="str">
        <f>IFERROR(VLOOKUP(K2810,PAR!$V$3:$X$438,3,FALSE),"000000 - Nincs COFOG")</f>
        <v>000000 - Nincs COFOG</v>
      </c>
      <c r="S2810">
        <f t="shared" si="829"/>
        <v>0</v>
      </c>
      <c r="T2810">
        <f t="shared" si="830"/>
        <v>0</v>
      </c>
      <c r="U2810" t="str">
        <f>IF('906MP'!J2510&gt;0,CONCATENATE('906MP'!J2510," - ",'906MP'!P2510,", ",'906MP'!E2510),"nincs megjegyzés")</f>
        <v>nincs megjegyzés</v>
      </c>
      <c r="V2810" t="str">
        <f t="shared" si="817"/>
        <v>0P0</v>
      </c>
      <c r="W2810" t="str">
        <f t="shared" si="818"/>
        <v>0P0</v>
      </c>
      <c r="X2810" t="str">
        <f t="shared" si="819"/>
        <v>P0</v>
      </c>
      <c r="Y2810" t="str">
        <f t="shared" si="820"/>
        <v>00</v>
      </c>
      <c r="Z2810" t="str">
        <f t="shared" si="831"/>
        <v>00</v>
      </c>
      <c r="AA2810" t="str">
        <f t="shared" si="821"/>
        <v>00</v>
      </c>
      <c r="AB2810" t="str">
        <f t="shared" si="822"/>
        <v>00</v>
      </c>
      <c r="AC2810" t="str">
        <f t="shared" si="823"/>
        <v>0P0</v>
      </c>
      <c r="AD2810" t="str">
        <f t="shared" si="824"/>
        <v>P00</v>
      </c>
      <c r="AE2810" t="str">
        <f t="shared" si="825"/>
        <v>0P0</v>
      </c>
      <c r="AF2810" t="str">
        <f t="shared" si="826"/>
        <v>P00</v>
      </c>
      <c r="AG2810" t="str">
        <f t="shared" si="832"/>
        <v>0P00</v>
      </c>
      <c r="AH2810" t="str">
        <f t="shared" si="833"/>
        <v>P000</v>
      </c>
      <c r="AI2810" t="str">
        <f t="shared" si="834"/>
        <v>0P00</v>
      </c>
      <c r="AJ2810" t="str">
        <f t="shared" si="835"/>
        <v>P000</v>
      </c>
    </row>
    <row r="2811" spans="1:36" x14ac:dyDescent="0.25">
      <c r="A2811" s="325" t="str">
        <f>CONCATENATE("P",'906MP'!M2511)</f>
        <v>P</v>
      </c>
      <c r="B2811">
        <f>'906MP'!H2511</f>
        <v>0</v>
      </c>
      <c r="C2811">
        <f>'906MP'!J2511</f>
        <v>0</v>
      </c>
      <c r="D2811">
        <f>'906MP'!P2511</f>
        <v>0</v>
      </c>
      <c r="E2811">
        <f>'906MP'!X2511</f>
        <v>0</v>
      </c>
      <c r="F2811" t="str">
        <f t="shared" si="827"/>
        <v>0</v>
      </c>
      <c r="G2811" t="str">
        <f t="shared" si="828"/>
        <v>0</v>
      </c>
      <c r="H2811">
        <f>'906MP'!Y2511</f>
        <v>0</v>
      </c>
      <c r="I2811">
        <f>'906MP'!AK2511</f>
        <v>0</v>
      </c>
      <c r="J2811">
        <f>'906MP'!T2511</f>
        <v>0</v>
      </c>
      <c r="K2811">
        <f>'906MP'!AJ2511</f>
        <v>0</v>
      </c>
      <c r="L2811">
        <f>'906MP'!U2511</f>
        <v>0</v>
      </c>
      <c r="M2811" s="322" t="str">
        <f>IFERROR(VLOOKUP(A2811,PAR!$D$3:$E$53,2,FALSE),"nincs szervezet")</f>
        <v>nincs szervezet</v>
      </c>
      <c r="N2811" s="322" t="str">
        <f>VLOOKUP(F2811,PAR!$R$3:$S$5,2,FALSE)</f>
        <v>3 - egyik sem</v>
      </c>
      <c r="O2811" t="str">
        <f>IFERROR(VLOOKUP(J2811,PAR!$O$3:$P$5,2,FALSE),"nincs feladat")</f>
        <v>nincs feladat</v>
      </c>
      <c r="P2811" t="str">
        <f>IFERROR(VLOOKUP(G2811,PAR!$J$2:$M$19,4),"nincs rovat")</f>
        <v>nincs rovat</v>
      </c>
      <c r="Q2811" t="str">
        <f>IF(H2811&gt;0,VLOOKUP(H2811,PAR!$AA$3:$AC$187,3,FALSE),"nincs főkönyvi számla")</f>
        <v>nincs főkönyvi számla</v>
      </c>
      <c r="R2811" t="str">
        <f>IFERROR(VLOOKUP(K2811,PAR!$V$3:$X$438,3,FALSE),"000000 - Nincs COFOG")</f>
        <v>000000 - Nincs COFOG</v>
      </c>
      <c r="S2811">
        <f t="shared" si="829"/>
        <v>0</v>
      </c>
      <c r="T2811">
        <f t="shared" si="830"/>
        <v>0</v>
      </c>
      <c r="U2811" t="str">
        <f>IF('906MP'!J2511&gt;0,CONCATENATE('906MP'!J2511," - ",'906MP'!P2511,", ",'906MP'!E2511),"nincs megjegyzés")</f>
        <v>nincs megjegyzés</v>
      </c>
      <c r="V2811" t="str">
        <f t="shared" si="817"/>
        <v>0P0</v>
      </c>
      <c r="W2811" t="str">
        <f t="shared" si="818"/>
        <v>0P0</v>
      </c>
      <c r="X2811" t="str">
        <f t="shared" si="819"/>
        <v>P0</v>
      </c>
      <c r="Y2811" t="str">
        <f t="shared" si="820"/>
        <v>00</v>
      </c>
      <c r="Z2811" t="str">
        <f t="shared" si="831"/>
        <v>00</v>
      </c>
      <c r="AA2811" t="str">
        <f t="shared" si="821"/>
        <v>00</v>
      </c>
      <c r="AB2811" t="str">
        <f t="shared" si="822"/>
        <v>00</v>
      </c>
      <c r="AC2811" t="str">
        <f t="shared" si="823"/>
        <v>0P0</v>
      </c>
      <c r="AD2811" t="str">
        <f t="shared" si="824"/>
        <v>P00</v>
      </c>
      <c r="AE2811" t="str">
        <f t="shared" si="825"/>
        <v>0P0</v>
      </c>
      <c r="AF2811" t="str">
        <f t="shared" si="826"/>
        <v>P00</v>
      </c>
      <c r="AG2811" t="str">
        <f t="shared" si="832"/>
        <v>0P00</v>
      </c>
      <c r="AH2811" t="str">
        <f t="shared" si="833"/>
        <v>P000</v>
      </c>
      <c r="AI2811" t="str">
        <f t="shared" si="834"/>
        <v>0P00</v>
      </c>
      <c r="AJ2811" t="str">
        <f t="shared" si="835"/>
        <v>P000</v>
      </c>
    </row>
    <row r="2812" spans="1:36" x14ac:dyDescent="0.25">
      <c r="A2812" s="325" t="str">
        <f>CONCATENATE("P",'906MP'!M2512)</f>
        <v>P</v>
      </c>
      <c r="B2812">
        <f>'906MP'!H2512</f>
        <v>0</v>
      </c>
      <c r="C2812">
        <f>'906MP'!J2512</f>
        <v>0</v>
      </c>
      <c r="D2812">
        <f>'906MP'!P2512</f>
        <v>0</v>
      </c>
      <c r="E2812">
        <f>'906MP'!X2512</f>
        <v>0</v>
      </c>
      <c r="F2812" t="str">
        <f t="shared" si="827"/>
        <v>0</v>
      </c>
      <c r="G2812" t="str">
        <f t="shared" si="828"/>
        <v>0</v>
      </c>
      <c r="H2812">
        <f>'906MP'!Y2512</f>
        <v>0</v>
      </c>
      <c r="I2812">
        <f>'906MP'!AK2512</f>
        <v>0</v>
      </c>
      <c r="J2812">
        <f>'906MP'!T2512</f>
        <v>0</v>
      </c>
      <c r="K2812">
        <f>'906MP'!AJ2512</f>
        <v>0</v>
      </c>
      <c r="L2812">
        <f>'906MP'!U2512</f>
        <v>0</v>
      </c>
      <c r="M2812" s="322" t="str">
        <f>IFERROR(VLOOKUP(A2812,PAR!$D$3:$E$53,2,FALSE),"nincs szervezet")</f>
        <v>nincs szervezet</v>
      </c>
      <c r="N2812" s="322" t="str">
        <f>VLOOKUP(F2812,PAR!$R$3:$S$5,2,FALSE)</f>
        <v>3 - egyik sem</v>
      </c>
      <c r="O2812" t="str">
        <f>IFERROR(VLOOKUP(J2812,PAR!$O$3:$P$5,2,FALSE),"nincs feladat")</f>
        <v>nincs feladat</v>
      </c>
      <c r="P2812" t="str">
        <f>IFERROR(VLOOKUP(G2812,PAR!$J$2:$M$19,4),"nincs rovat")</f>
        <v>nincs rovat</v>
      </c>
      <c r="Q2812" t="str">
        <f>IF(H2812&gt;0,VLOOKUP(H2812,PAR!$AA$3:$AC$187,3,FALSE),"nincs főkönyvi számla")</f>
        <v>nincs főkönyvi számla</v>
      </c>
      <c r="R2812" t="str">
        <f>IFERROR(VLOOKUP(K2812,PAR!$V$3:$X$438,3,FALSE),"000000 - Nincs COFOG")</f>
        <v>000000 - Nincs COFOG</v>
      </c>
      <c r="S2812">
        <f t="shared" si="829"/>
        <v>0</v>
      </c>
      <c r="T2812">
        <f t="shared" si="830"/>
        <v>0</v>
      </c>
      <c r="U2812" t="str">
        <f>IF('906MP'!J2512&gt;0,CONCATENATE('906MP'!J2512," - ",'906MP'!P2512,", ",'906MP'!E2512),"nincs megjegyzés")</f>
        <v>nincs megjegyzés</v>
      </c>
      <c r="V2812" t="str">
        <f t="shared" si="817"/>
        <v>0P0</v>
      </c>
      <c r="W2812" t="str">
        <f t="shared" si="818"/>
        <v>0P0</v>
      </c>
      <c r="X2812" t="str">
        <f t="shared" si="819"/>
        <v>P0</v>
      </c>
      <c r="Y2812" t="str">
        <f t="shared" si="820"/>
        <v>00</v>
      </c>
      <c r="Z2812" t="str">
        <f t="shared" si="831"/>
        <v>00</v>
      </c>
      <c r="AA2812" t="str">
        <f t="shared" si="821"/>
        <v>00</v>
      </c>
      <c r="AB2812" t="str">
        <f t="shared" si="822"/>
        <v>00</v>
      </c>
      <c r="AC2812" t="str">
        <f t="shared" si="823"/>
        <v>0P0</v>
      </c>
      <c r="AD2812" t="str">
        <f t="shared" si="824"/>
        <v>P00</v>
      </c>
      <c r="AE2812" t="str">
        <f t="shared" si="825"/>
        <v>0P0</v>
      </c>
      <c r="AF2812" t="str">
        <f t="shared" si="826"/>
        <v>P00</v>
      </c>
      <c r="AG2812" t="str">
        <f t="shared" si="832"/>
        <v>0P00</v>
      </c>
      <c r="AH2812" t="str">
        <f t="shared" si="833"/>
        <v>P000</v>
      </c>
      <c r="AI2812" t="str">
        <f t="shared" si="834"/>
        <v>0P00</v>
      </c>
      <c r="AJ2812" t="str">
        <f t="shared" si="835"/>
        <v>P000</v>
      </c>
    </row>
    <row r="2813" spans="1:36" x14ac:dyDescent="0.25">
      <c r="A2813" s="325" t="str">
        <f>CONCATENATE("P",'906MP'!M2513)</f>
        <v>P</v>
      </c>
      <c r="B2813">
        <f>'906MP'!H2513</f>
        <v>0</v>
      </c>
      <c r="C2813">
        <f>'906MP'!J2513</f>
        <v>0</v>
      </c>
      <c r="D2813">
        <f>'906MP'!P2513</f>
        <v>0</v>
      </c>
      <c r="E2813">
        <f>'906MP'!X2513</f>
        <v>0</v>
      </c>
      <c r="F2813" t="str">
        <f t="shared" si="827"/>
        <v>0</v>
      </c>
      <c r="G2813" t="str">
        <f t="shared" si="828"/>
        <v>0</v>
      </c>
      <c r="H2813">
        <f>'906MP'!Y2513</f>
        <v>0</v>
      </c>
      <c r="I2813">
        <f>'906MP'!AK2513</f>
        <v>0</v>
      </c>
      <c r="J2813">
        <f>'906MP'!T2513</f>
        <v>0</v>
      </c>
      <c r="K2813">
        <f>'906MP'!AJ2513</f>
        <v>0</v>
      </c>
      <c r="L2813">
        <f>'906MP'!U2513</f>
        <v>0</v>
      </c>
      <c r="M2813" s="322" t="str">
        <f>IFERROR(VLOOKUP(A2813,PAR!$D$3:$E$53,2,FALSE),"nincs szervezet")</f>
        <v>nincs szervezet</v>
      </c>
      <c r="N2813" s="322" t="str">
        <f>VLOOKUP(F2813,PAR!$R$3:$S$5,2,FALSE)</f>
        <v>3 - egyik sem</v>
      </c>
      <c r="O2813" t="str">
        <f>IFERROR(VLOOKUP(J2813,PAR!$O$3:$P$5,2,FALSE),"nincs feladat")</f>
        <v>nincs feladat</v>
      </c>
      <c r="P2813" t="str">
        <f>IFERROR(VLOOKUP(G2813,PAR!$J$2:$M$19,4),"nincs rovat")</f>
        <v>nincs rovat</v>
      </c>
      <c r="Q2813" t="str">
        <f>IF(H2813&gt;0,VLOOKUP(H2813,PAR!$AA$3:$AC$187,3,FALSE),"nincs főkönyvi számla")</f>
        <v>nincs főkönyvi számla</v>
      </c>
      <c r="R2813" t="str">
        <f>IFERROR(VLOOKUP(K2813,PAR!$V$3:$X$438,3,FALSE),"000000 - Nincs COFOG")</f>
        <v>000000 - Nincs COFOG</v>
      </c>
      <c r="S2813">
        <f t="shared" si="829"/>
        <v>0</v>
      </c>
      <c r="T2813">
        <f t="shared" si="830"/>
        <v>0</v>
      </c>
      <c r="U2813" t="str">
        <f>IF('906MP'!J2513&gt;0,CONCATENATE('906MP'!J2513," - ",'906MP'!P2513,", ",'906MP'!E2513),"nincs megjegyzés")</f>
        <v>nincs megjegyzés</v>
      </c>
      <c r="V2813" t="str">
        <f t="shared" si="817"/>
        <v>0P0</v>
      </c>
      <c r="W2813" t="str">
        <f t="shared" si="818"/>
        <v>0P0</v>
      </c>
      <c r="X2813" t="str">
        <f t="shared" si="819"/>
        <v>P0</v>
      </c>
      <c r="Y2813" t="str">
        <f t="shared" si="820"/>
        <v>00</v>
      </c>
      <c r="Z2813" t="str">
        <f t="shared" si="831"/>
        <v>00</v>
      </c>
      <c r="AA2813" t="str">
        <f t="shared" si="821"/>
        <v>00</v>
      </c>
      <c r="AB2813" t="str">
        <f t="shared" si="822"/>
        <v>00</v>
      </c>
      <c r="AC2813" t="str">
        <f t="shared" si="823"/>
        <v>0P0</v>
      </c>
      <c r="AD2813" t="str">
        <f t="shared" si="824"/>
        <v>P00</v>
      </c>
      <c r="AE2813" t="str">
        <f t="shared" si="825"/>
        <v>0P0</v>
      </c>
      <c r="AF2813" t="str">
        <f t="shared" si="826"/>
        <v>P00</v>
      </c>
      <c r="AG2813" t="str">
        <f t="shared" si="832"/>
        <v>0P00</v>
      </c>
      <c r="AH2813" t="str">
        <f t="shared" si="833"/>
        <v>P000</v>
      </c>
      <c r="AI2813" t="str">
        <f t="shared" si="834"/>
        <v>0P00</v>
      </c>
      <c r="AJ2813" t="str">
        <f t="shared" si="835"/>
        <v>P000</v>
      </c>
    </row>
    <row r="2814" spans="1:36" x14ac:dyDescent="0.25">
      <c r="A2814" s="325" t="str">
        <f>CONCATENATE("P",'906MP'!M2514)</f>
        <v>P</v>
      </c>
      <c r="B2814">
        <f>'906MP'!H2514</f>
        <v>0</v>
      </c>
      <c r="C2814">
        <f>'906MP'!J2514</f>
        <v>0</v>
      </c>
      <c r="D2814">
        <f>'906MP'!P2514</f>
        <v>0</v>
      </c>
      <c r="E2814">
        <f>'906MP'!X2514</f>
        <v>0</v>
      </c>
      <c r="F2814" t="str">
        <f t="shared" si="827"/>
        <v>0</v>
      </c>
      <c r="G2814" t="str">
        <f t="shared" si="828"/>
        <v>0</v>
      </c>
      <c r="H2814">
        <f>'906MP'!Y2514</f>
        <v>0</v>
      </c>
      <c r="I2814">
        <f>'906MP'!AK2514</f>
        <v>0</v>
      </c>
      <c r="J2814">
        <f>'906MP'!T2514</f>
        <v>0</v>
      </c>
      <c r="K2814">
        <f>'906MP'!AJ2514</f>
        <v>0</v>
      </c>
      <c r="L2814">
        <f>'906MP'!U2514</f>
        <v>0</v>
      </c>
      <c r="M2814" s="322" t="str">
        <f>IFERROR(VLOOKUP(A2814,PAR!$D$3:$E$53,2,FALSE),"nincs szervezet")</f>
        <v>nincs szervezet</v>
      </c>
      <c r="N2814" s="322" t="str">
        <f>VLOOKUP(F2814,PAR!$R$3:$S$5,2,FALSE)</f>
        <v>3 - egyik sem</v>
      </c>
      <c r="O2814" t="str">
        <f>IFERROR(VLOOKUP(J2814,PAR!$O$3:$P$5,2,FALSE),"nincs feladat")</f>
        <v>nincs feladat</v>
      </c>
      <c r="P2814" t="str">
        <f>IFERROR(VLOOKUP(G2814,PAR!$J$2:$M$19,4),"nincs rovat")</f>
        <v>nincs rovat</v>
      </c>
      <c r="Q2814" t="str">
        <f>IF(H2814&gt;0,VLOOKUP(H2814,PAR!$AA$3:$AC$187,3,FALSE),"nincs főkönyvi számla")</f>
        <v>nincs főkönyvi számla</v>
      </c>
      <c r="R2814" t="str">
        <f>IFERROR(VLOOKUP(K2814,PAR!$V$3:$X$438,3,FALSE),"000000 - Nincs COFOG")</f>
        <v>000000 - Nincs COFOG</v>
      </c>
      <c r="S2814">
        <f t="shared" si="829"/>
        <v>0</v>
      </c>
      <c r="T2814">
        <f t="shared" si="830"/>
        <v>0</v>
      </c>
      <c r="U2814" t="str">
        <f>IF('906MP'!J2514&gt;0,CONCATENATE('906MP'!J2514," - ",'906MP'!P2514,", ",'906MP'!E2514),"nincs megjegyzés")</f>
        <v>nincs megjegyzés</v>
      </c>
      <c r="V2814" t="str">
        <f t="shared" si="817"/>
        <v>0P0</v>
      </c>
      <c r="W2814" t="str">
        <f t="shared" si="818"/>
        <v>0P0</v>
      </c>
      <c r="X2814" t="str">
        <f t="shared" si="819"/>
        <v>P0</v>
      </c>
      <c r="Y2814" t="str">
        <f t="shared" si="820"/>
        <v>00</v>
      </c>
      <c r="Z2814" t="str">
        <f t="shared" si="831"/>
        <v>00</v>
      </c>
      <c r="AA2814" t="str">
        <f t="shared" si="821"/>
        <v>00</v>
      </c>
      <c r="AB2814" t="str">
        <f t="shared" si="822"/>
        <v>00</v>
      </c>
      <c r="AC2814" t="str">
        <f t="shared" si="823"/>
        <v>0P0</v>
      </c>
      <c r="AD2814" t="str">
        <f t="shared" si="824"/>
        <v>P00</v>
      </c>
      <c r="AE2814" t="str">
        <f t="shared" si="825"/>
        <v>0P0</v>
      </c>
      <c r="AF2814" t="str">
        <f t="shared" si="826"/>
        <v>P00</v>
      </c>
      <c r="AG2814" t="str">
        <f t="shared" si="832"/>
        <v>0P00</v>
      </c>
      <c r="AH2814" t="str">
        <f t="shared" si="833"/>
        <v>P000</v>
      </c>
      <c r="AI2814" t="str">
        <f t="shared" si="834"/>
        <v>0P00</v>
      </c>
      <c r="AJ2814" t="str">
        <f t="shared" si="835"/>
        <v>P000</v>
      </c>
    </row>
    <row r="2815" spans="1:36" x14ac:dyDescent="0.25">
      <c r="A2815" s="325" t="str">
        <f>CONCATENATE("P",'906MP'!M2515)</f>
        <v>P</v>
      </c>
      <c r="B2815">
        <f>'906MP'!H2515</f>
        <v>0</v>
      </c>
      <c r="C2815">
        <f>'906MP'!J2515</f>
        <v>0</v>
      </c>
      <c r="D2815">
        <f>'906MP'!P2515</f>
        <v>0</v>
      </c>
      <c r="E2815">
        <f>'906MP'!X2515</f>
        <v>0</v>
      </c>
      <c r="F2815" t="str">
        <f t="shared" si="827"/>
        <v>0</v>
      </c>
      <c r="G2815" t="str">
        <f t="shared" si="828"/>
        <v>0</v>
      </c>
      <c r="H2815">
        <f>'906MP'!Y2515</f>
        <v>0</v>
      </c>
      <c r="I2815">
        <f>'906MP'!AK2515</f>
        <v>0</v>
      </c>
      <c r="J2815">
        <f>'906MP'!T2515</f>
        <v>0</v>
      </c>
      <c r="K2815">
        <f>'906MP'!AJ2515</f>
        <v>0</v>
      </c>
      <c r="L2815">
        <f>'906MP'!U2515</f>
        <v>0</v>
      </c>
      <c r="M2815" s="322" t="str">
        <f>IFERROR(VLOOKUP(A2815,PAR!$D$3:$E$53,2,FALSE),"nincs szervezet")</f>
        <v>nincs szervezet</v>
      </c>
      <c r="N2815" s="322" t="str">
        <f>VLOOKUP(F2815,PAR!$R$3:$S$5,2,FALSE)</f>
        <v>3 - egyik sem</v>
      </c>
      <c r="O2815" t="str">
        <f>IFERROR(VLOOKUP(J2815,PAR!$O$3:$P$5,2,FALSE),"nincs feladat")</f>
        <v>nincs feladat</v>
      </c>
      <c r="P2815" t="str">
        <f>IFERROR(VLOOKUP(G2815,PAR!$J$2:$M$19,4),"nincs rovat")</f>
        <v>nincs rovat</v>
      </c>
      <c r="Q2815" t="str">
        <f>IF(H2815&gt;0,VLOOKUP(H2815,PAR!$AA$3:$AC$187,3,FALSE),"nincs főkönyvi számla")</f>
        <v>nincs főkönyvi számla</v>
      </c>
      <c r="R2815" t="str">
        <f>IFERROR(VLOOKUP(K2815,PAR!$V$3:$X$438,3,FALSE),"000000 - Nincs COFOG")</f>
        <v>000000 - Nincs COFOG</v>
      </c>
      <c r="S2815">
        <f t="shared" si="829"/>
        <v>0</v>
      </c>
      <c r="T2815">
        <f t="shared" si="830"/>
        <v>0</v>
      </c>
      <c r="U2815" t="str">
        <f>IF('906MP'!J2515&gt;0,CONCATENATE('906MP'!J2515," - ",'906MP'!P2515,", ",'906MP'!E2515),"nincs megjegyzés")</f>
        <v>nincs megjegyzés</v>
      </c>
      <c r="V2815" t="str">
        <f t="shared" si="817"/>
        <v>0P0</v>
      </c>
      <c r="W2815" t="str">
        <f t="shared" si="818"/>
        <v>0P0</v>
      </c>
      <c r="X2815" t="str">
        <f t="shared" si="819"/>
        <v>P0</v>
      </c>
      <c r="Y2815" t="str">
        <f t="shared" si="820"/>
        <v>00</v>
      </c>
      <c r="Z2815" t="str">
        <f t="shared" si="831"/>
        <v>00</v>
      </c>
      <c r="AA2815" t="str">
        <f t="shared" si="821"/>
        <v>00</v>
      </c>
      <c r="AB2815" t="str">
        <f t="shared" si="822"/>
        <v>00</v>
      </c>
      <c r="AC2815" t="str">
        <f t="shared" si="823"/>
        <v>0P0</v>
      </c>
      <c r="AD2815" t="str">
        <f t="shared" si="824"/>
        <v>P00</v>
      </c>
      <c r="AE2815" t="str">
        <f t="shared" si="825"/>
        <v>0P0</v>
      </c>
      <c r="AF2815" t="str">
        <f t="shared" si="826"/>
        <v>P00</v>
      </c>
      <c r="AG2815" t="str">
        <f t="shared" si="832"/>
        <v>0P00</v>
      </c>
      <c r="AH2815" t="str">
        <f t="shared" si="833"/>
        <v>P000</v>
      </c>
      <c r="AI2815" t="str">
        <f t="shared" si="834"/>
        <v>0P00</v>
      </c>
      <c r="AJ2815" t="str">
        <f t="shared" si="835"/>
        <v>P000</v>
      </c>
    </row>
    <row r="2816" spans="1:36" x14ac:dyDescent="0.25">
      <c r="A2816" s="325" t="str">
        <f>CONCATENATE("P",'906MP'!M2516)</f>
        <v>P</v>
      </c>
      <c r="B2816">
        <f>'906MP'!H2516</f>
        <v>0</v>
      </c>
      <c r="C2816">
        <f>'906MP'!J2516</f>
        <v>0</v>
      </c>
      <c r="D2816">
        <f>'906MP'!P2516</f>
        <v>0</v>
      </c>
      <c r="E2816">
        <f>'906MP'!X2516</f>
        <v>0</v>
      </c>
      <c r="F2816" t="str">
        <f t="shared" si="827"/>
        <v>0</v>
      </c>
      <c r="G2816" t="str">
        <f t="shared" si="828"/>
        <v>0</v>
      </c>
      <c r="H2816">
        <f>'906MP'!Y2516</f>
        <v>0</v>
      </c>
      <c r="I2816">
        <f>'906MP'!AK2516</f>
        <v>0</v>
      </c>
      <c r="J2816">
        <f>'906MP'!T2516</f>
        <v>0</v>
      </c>
      <c r="K2816">
        <f>'906MP'!AJ2516</f>
        <v>0</v>
      </c>
      <c r="L2816">
        <f>'906MP'!U2516</f>
        <v>0</v>
      </c>
      <c r="M2816" s="322" t="str">
        <f>IFERROR(VLOOKUP(A2816,PAR!$D$3:$E$53,2,FALSE),"nincs szervezet")</f>
        <v>nincs szervezet</v>
      </c>
      <c r="N2816" s="322" t="str">
        <f>VLOOKUP(F2816,PAR!$R$3:$S$5,2,FALSE)</f>
        <v>3 - egyik sem</v>
      </c>
      <c r="O2816" t="str">
        <f>IFERROR(VLOOKUP(J2816,PAR!$O$3:$P$5,2,FALSE),"nincs feladat")</f>
        <v>nincs feladat</v>
      </c>
      <c r="P2816" t="str">
        <f>IFERROR(VLOOKUP(G2816,PAR!$J$2:$M$19,4),"nincs rovat")</f>
        <v>nincs rovat</v>
      </c>
      <c r="Q2816" t="str">
        <f>IF(H2816&gt;0,VLOOKUP(H2816,PAR!$AA$3:$AC$187,3,FALSE),"nincs főkönyvi számla")</f>
        <v>nincs főkönyvi számla</v>
      </c>
      <c r="R2816" t="str">
        <f>IFERROR(VLOOKUP(K2816,PAR!$V$3:$X$438,3,FALSE),"000000 - Nincs COFOG")</f>
        <v>000000 - Nincs COFOG</v>
      </c>
      <c r="S2816">
        <f t="shared" si="829"/>
        <v>0</v>
      </c>
      <c r="T2816">
        <f t="shared" si="830"/>
        <v>0</v>
      </c>
      <c r="U2816" t="str">
        <f>IF('906MP'!J2516&gt;0,CONCATENATE('906MP'!J2516," - ",'906MP'!P2516,", ",'906MP'!E2516),"nincs megjegyzés")</f>
        <v>nincs megjegyzés</v>
      </c>
      <c r="V2816" t="str">
        <f t="shared" si="817"/>
        <v>0P0</v>
      </c>
      <c r="W2816" t="str">
        <f t="shared" si="818"/>
        <v>0P0</v>
      </c>
      <c r="X2816" t="str">
        <f t="shared" si="819"/>
        <v>P0</v>
      </c>
      <c r="Y2816" t="str">
        <f t="shared" si="820"/>
        <v>00</v>
      </c>
      <c r="Z2816" t="str">
        <f t="shared" si="831"/>
        <v>00</v>
      </c>
      <c r="AA2816" t="str">
        <f t="shared" si="821"/>
        <v>00</v>
      </c>
      <c r="AB2816" t="str">
        <f t="shared" si="822"/>
        <v>00</v>
      </c>
      <c r="AC2816" t="str">
        <f t="shared" si="823"/>
        <v>0P0</v>
      </c>
      <c r="AD2816" t="str">
        <f t="shared" si="824"/>
        <v>P00</v>
      </c>
      <c r="AE2816" t="str">
        <f t="shared" si="825"/>
        <v>0P0</v>
      </c>
      <c r="AF2816" t="str">
        <f t="shared" si="826"/>
        <v>P00</v>
      </c>
      <c r="AG2816" t="str">
        <f t="shared" si="832"/>
        <v>0P00</v>
      </c>
      <c r="AH2816" t="str">
        <f t="shared" si="833"/>
        <v>P000</v>
      </c>
      <c r="AI2816" t="str">
        <f t="shared" si="834"/>
        <v>0P00</v>
      </c>
      <c r="AJ2816" t="str">
        <f t="shared" si="835"/>
        <v>P000</v>
      </c>
    </row>
    <row r="2817" spans="1:36" x14ac:dyDescent="0.25">
      <c r="A2817" s="325" t="str">
        <f>CONCATENATE("P",'906MP'!M2517)</f>
        <v>P</v>
      </c>
      <c r="B2817">
        <f>'906MP'!H2517</f>
        <v>0</v>
      </c>
      <c r="C2817">
        <f>'906MP'!J2517</f>
        <v>0</v>
      </c>
      <c r="D2817">
        <f>'906MP'!P2517</f>
        <v>0</v>
      </c>
      <c r="E2817">
        <f>'906MP'!X2517</f>
        <v>0</v>
      </c>
      <c r="F2817" t="str">
        <f t="shared" si="827"/>
        <v>0</v>
      </c>
      <c r="G2817" t="str">
        <f t="shared" si="828"/>
        <v>0</v>
      </c>
      <c r="H2817">
        <f>'906MP'!Y2517</f>
        <v>0</v>
      </c>
      <c r="I2817">
        <f>'906MP'!AK2517</f>
        <v>0</v>
      </c>
      <c r="J2817">
        <f>'906MP'!T2517</f>
        <v>0</v>
      </c>
      <c r="K2817">
        <f>'906MP'!AJ2517</f>
        <v>0</v>
      </c>
      <c r="L2817">
        <f>'906MP'!U2517</f>
        <v>0</v>
      </c>
      <c r="M2817" s="322" t="str">
        <f>IFERROR(VLOOKUP(A2817,PAR!$D$3:$E$53,2,FALSE),"nincs szervezet")</f>
        <v>nincs szervezet</v>
      </c>
      <c r="N2817" s="322" t="str">
        <f>VLOOKUP(F2817,PAR!$R$3:$S$5,2,FALSE)</f>
        <v>3 - egyik sem</v>
      </c>
      <c r="O2817" t="str">
        <f>IFERROR(VLOOKUP(J2817,PAR!$O$3:$P$5,2,FALSE),"nincs feladat")</f>
        <v>nincs feladat</v>
      </c>
      <c r="P2817" t="str">
        <f>IFERROR(VLOOKUP(G2817,PAR!$J$2:$M$19,4),"nincs rovat")</f>
        <v>nincs rovat</v>
      </c>
      <c r="Q2817" t="str">
        <f>IF(H2817&gt;0,VLOOKUP(H2817,PAR!$AA$3:$AC$187,3,FALSE),"nincs főkönyvi számla")</f>
        <v>nincs főkönyvi számla</v>
      </c>
      <c r="R2817" t="str">
        <f>IFERROR(VLOOKUP(K2817,PAR!$V$3:$X$438,3,FALSE),"000000 - Nincs COFOG")</f>
        <v>000000 - Nincs COFOG</v>
      </c>
      <c r="S2817">
        <f t="shared" si="829"/>
        <v>0</v>
      </c>
      <c r="T2817">
        <f t="shared" si="830"/>
        <v>0</v>
      </c>
      <c r="U2817" t="str">
        <f>IF('906MP'!J2517&gt;0,CONCATENATE('906MP'!J2517," - ",'906MP'!P2517,", ",'906MP'!E2517),"nincs megjegyzés")</f>
        <v>nincs megjegyzés</v>
      </c>
      <c r="V2817" t="str">
        <f t="shared" si="817"/>
        <v>0P0</v>
      </c>
      <c r="W2817" t="str">
        <f t="shared" si="818"/>
        <v>0P0</v>
      </c>
      <c r="X2817" t="str">
        <f t="shared" si="819"/>
        <v>P0</v>
      </c>
      <c r="Y2817" t="str">
        <f t="shared" si="820"/>
        <v>00</v>
      </c>
      <c r="Z2817" t="str">
        <f t="shared" si="831"/>
        <v>00</v>
      </c>
      <c r="AA2817" t="str">
        <f t="shared" si="821"/>
        <v>00</v>
      </c>
      <c r="AB2817" t="str">
        <f t="shared" si="822"/>
        <v>00</v>
      </c>
      <c r="AC2817" t="str">
        <f t="shared" si="823"/>
        <v>0P0</v>
      </c>
      <c r="AD2817" t="str">
        <f t="shared" si="824"/>
        <v>P00</v>
      </c>
      <c r="AE2817" t="str">
        <f t="shared" si="825"/>
        <v>0P0</v>
      </c>
      <c r="AF2817" t="str">
        <f t="shared" si="826"/>
        <v>P00</v>
      </c>
      <c r="AG2817" t="str">
        <f t="shared" si="832"/>
        <v>0P00</v>
      </c>
      <c r="AH2817" t="str">
        <f t="shared" si="833"/>
        <v>P000</v>
      </c>
      <c r="AI2817" t="str">
        <f t="shared" si="834"/>
        <v>0P00</v>
      </c>
      <c r="AJ2817" t="str">
        <f t="shared" si="835"/>
        <v>P000</v>
      </c>
    </row>
    <row r="2818" spans="1:36" x14ac:dyDescent="0.25">
      <c r="A2818" s="325" t="str">
        <f>CONCATENATE("P",'906MP'!M2518)</f>
        <v>P</v>
      </c>
      <c r="B2818">
        <f>'906MP'!H2518</f>
        <v>0</v>
      </c>
      <c r="C2818">
        <f>'906MP'!J2518</f>
        <v>0</v>
      </c>
      <c r="D2818">
        <f>'906MP'!P2518</f>
        <v>0</v>
      </c>
      <c r="E2818">
        <f>'906MP'!X2518</f>
        <v>0</v>
      </c>
      <c r="F2818" t="str">
        <f t="shared" si="827"/>
        <v>0</v>
      </c>
      <c r="G2818" t="str">
        <f t="shared" si="828"/>
        <v>0</v>
      </c>
      <c r="H2818">
        <f>'906MP'!Y2518</f>
        <v>0</v>
      </c>
      <c r="I2818">
        <f>'906MP'!AK2518</f>
        <v>0</v>
      </c>
      <c r="J2818">
        <f>'906MP'!T2518</f>
        <v>0</v>
      </c>
      <c r="K2818">
        <f>'906MP'!AJ2518</f>
        <v>0</v>
      </c>
      <c r="L2818">
        <f>'906MP'!U2518</f>
        <v>0</v>
      </c>
      <c r="M2818" s="322" t="str">
        <f>IFERROR(VLOOKUP(A2818,PAR!$D$3:$E$53,2,FALSE),"nincs szervezet")</f>
        <v>nincs szervezet</v>
      </c>
      <c r="N2818" s="322" t="str">
        <f>VLOOKUP(F2818,PAR!$R$3:$S$5,2,FALSE)</f>
        <v>3 - egyik sem</v>
      </c>
      <c r="O2818" t="str">
        <f>IFERROR(VLOOKUP(J2818,PAR!$O$3:$P$5,2,FALSE),"nincs feladat")</f>
        <v>nincs feladat</v>
      </c>
      <c r="P2818" t="str">
        <f>IFERROR(VLOOKUP(G2818,PAR!$J$2:$M$19,4),"nincs rovat")</f>
        <v>nincs rovat</v>
      </c>
      <c r="Q2818" t="str">
        <f>IF(H2818&gt;0,VLOOKUP(H2818,PAR!$AA$3:$AC$187,3,FALSE),"nincs főkönyvi számla")</f>
        <v>nincs főkönyvi számla</v>
      </c>
      <c r="R2818" t="str">
        <f>IFERROR(VLOOKUP(K2818,PAR!$V$3:$X$438,3,FALSE),"000000 - Nincs COFOG")</f>
        <v>000000 - Nincs COFOG</v>
      </c>
      <c r="S2818">
        <f t="shared" si="829"/>
        <v>0</v>
      </c>
      <c r="T2818">
        <f t="shared" si="830"/>
        <v>0</v>
      </c>
      <c r="U2818" t="str">
        <f>IF('906MP'!J2518&gt;0,CONCATENATE('906MP'!J2518," - ",'906MP'!P2518,", ",'906MP'!E2518),"nincs megjegyzés")</f>
        <v>nincs megjegyzés</v>
      </c>
      <c r="V2818" t="str">
        <f t="shared" ref="V2818:V2881" si="836">CONCATENATE(B2818,A2818,G2818)</f>
        <v>0P0</v>
      </c>
      <c r="W2818" t="str">
        <f t="shared" ref="W2818:W2881" si="837">CONCATENATE(B2818,A2818,F2818)</f>
        <v>0P0</v>
      </c>
      <c r="X2818" t="str">
        <f t="shared" ref="X2818:X2881" si="838">CONCATENATE(A2818,H2818)</f>
        <v>P0</v>
      </c>
      <c r="Y2818" t="str">
        <f t="shared" ref="Y2818:Y2881" si="839">CONCATENATE(B2818,H2818)</f>
        <v>00</v>
      </c>
      <c r="Z2818" t="str">
        <f t="shared" si="831"/>
        <v>00</v>
      </c>
      <c r="AA2818" t="str">
        <f t="shared" ref="AA2818:AA2881" si="840">CONCATENATE(B2818,G2818)</f>
        <v>00</v>
      </c>
      <c r="AB2818" t="str">
        <f t="shared" ref="AB2818:AB2881" si="841">CONCATENATE(J2818,G2818)</f>
        <v>00</v>
      </c>
      <c r="AC2818" t="str">
        <f t="shared" ref="AC2818:AC2881" si="842">CONCATENATE(B2818,A2818,H2818)</f>
        <v>0P0</v>
      </c>
      <c r="AD2818" t="str">
        <f t="shared" ref="AD2818:AD2881" si="843">CONCATENATE(A2818,H2818,J2818)</f>
        <v>P00</v>
      </c>
      <c r="AE2818" t="str">
        <f t="shared" ref="AE2818:AE2881" si="844">CONCATENATE(B2818,A2818,G2818)</f>
        <v>0P0</v>
      </c>
      <c r="AF2818" t="str">
        <f t="shared" ref="AF2818:AF2881" si="845">CONCATENATE(A2818,G2818,J2818)</f>
        <v>P00</v>
      </c>
      <c r="AG2818" t="str">
        <f t="shared" si="832"/>
        <v>0P00</v>
      </c>
      <c r="AH2818" t="str">
        <f t="shared" si="833"/>
        <v>P000</v>
      </c>
      <c r="AI2818" t="str">
        <f t="shared" si="834"/>
        <v>0P00</v>
      </c>
      <c r="AJ2818" t="str">
        <f t="shared" si="835"/>
        <v>P000</v>
      </c>
    </row>
    <row r="2819" spans="1:36" x14ac:dyDescent="0.25">
      <c r="A2819" s="325" t="str">
        <f>CONCATENATE("P",'906MP'!M2519)</f>
        <v>P</v>
      </c>
      <c r="B2819">
        <f>'906MP'!H2519</f>
        <v>0</v>
      </c>
      <c r="C2819">
        <f>'906MP'!J2519</f>
        <v>0</v>
      </c>
      <c r="D2819">
        <f>'906MP'!P2519</f>
        <v>0</v>
      </c>
      <c r="E2819">
        <f>'906MP'!X2519</f>
        <v>0</v>
      </c>
      <c r="F2819" t="str">
        <f t="shared" ref="F2819:F2882" si="846">LEFT(G2819,2)</f>
        <v>0</v>
      </c>
      <c r="G2819" t="str">
        <f t="shared" ref="G2819:G2882" si="847">LEFT(H2819,3)</f>
        <v>0</v>
      </c>
      <c r="H2819">
        <f>'906MP'!Y2519</f>
        <v>0</v>
      </c>
      <c r="I2819">
        <f>'906MP'!AK2519</f>
        <v>0</v>
      </c>
      <c r="J2819">
        <f>'906MP'!T2519</f>
        <v>0</v>
      </c>
      <c r="K2819">
        <f>'906MP'!AJ2519</f>
        <v>0</v>
      </c>
      <c r="L2819">
        <f>'906MP'!U2519</f>
        <v>0</v>
      </c>
      <c r="M2819" s="322" t="str">
        <f>IFERROR(VLOOKUP(A2819,PAR!$D$3:$E$53,2,FALSE),"nincs szervezet")</f>
        <v>nincs szervezet</v>
      </c>
      <c r="N2819" s="322" t="str">
        <f>VLOOKUP(F2819,PAR!$R$3:$S$5,2,FALSE)</f>
        <v>3 - egyik sem</v>
      </c>
      <c r="O2819" t="str">
        <f>IFERROR(VLOOKUP(J2819,PAR!$O$3:$P$5,2,FALSE),"nincs feladat")</f>
        <v>nincs feladat</v>
      </c>
      <c r="P2819" t="str">
        <f>IFERROR(VLOOKUP(G2819,PAR!$J$2:$M$19,4),"nincs rovat")</f>
        <v>nincs rovat</v>
      </c>
      <c r="Q2819" t="str">
        <f>IF(H2819&gt;0,VLOOKUP(H2819,PAR!$AA$3:$AC$187,3,FALSE),"nincs főkönyvi számla")</f>
        <v>nincs főkönyvi számla</v>
      </c>
      <c r="R2819" t="str">
        <f>IFERROR(VLOOKUP(K2819,PAR!$V$3:$X$438,3,FALSE),"000000 - Nincs COFOG")</f>
        <v>000000 - Nincs COFOG</v>
      </c>
      <c r="S2819">
        <f t="shared" ref="S2819:S2882" si="848">E2819</f>
        <v>0</v>
      </c>
      <c r="T2819">
        <f t="shared" ref="T2819:T2882" si="849">IF(F2819="09",E2819*-1,E2819)</f>
        <v>0</v>
      </c>
      <c r="U2819" t="str">
        <f>IF('906MP'!J2519&gt;0,CONCATENATE('906MP'!J2519," - ",'906MP'!P2519,", ",'906MP'!E2519),"nincs megjegyzés")</f>
        <v>nincs megjegyzés</v>
      </c>
      <c r="V2819" t="str">
        <f t="shared" si="836"/>
        <v>0P0</v>
      </c>
      <c r="W2819" t="str">
        <f t="shared" si="837"/>
        <v>0P0</v>
      </c>
      <c r="X2819" t="str">
        <f t="shared" si="838"/>
        <v>P0</v>
      </c>
      <c r="Y2819" t="str">
        <f t="shared" si="839"/>
        <v>00</v>
      </c>
      <c r="Z2819" t="str">
        <f t="shared" ref="Z2819:Z2882" si="850">CONCATENATE(J2819,H2819)</f>
        <v>00</v>
      </c>
      <c r="AA2819" t="str">
        <f t="shared" si="840"/>
        <v>00</v>
      </c>
      <c r="AB2819" t="str">
        <f t="shared" si="841"/>
        <v>00</v>
      </c>
      <c r="AC2819" t="str">
        <f t="shared" si="842"/>
        <v>0P0</v>
      </c>
      <c r="AD2819" t="str">
        <f t="shared" si="843"/>
        <v>P00</v>
      </c>
      <c r="AE2819" t="str">
        <f t="shared" si="844"/>
        <v>0P0</v>
      </c>
      <c r="AF2819" t="str">
        <f t="shared" si="845"/>
        <v>P00</v>
      </c>
      <c r="AG2819" t="str">
        <f t="shared" ref="AG2819:AG2882" si="851">CONCATENATE(B2819,A2819,H2819,L2819)</f>
        <v>0P00</v>
      </c>
      <c r="AH2819" t="str">
        <f t="shared" ref="AH2819:AH2882" si="852">CONCATENATE(A2819,J2819,H2819,L2819)</f>
        <v>P000</v>
      </c>
      <c r="AI2819" t="str">
        <f t="shared" ref="AI2819:AI2882" si="853">CONCATENATE(B2819,A2819,G2819,L2819)</f>
        <v>0P00</v>
      </c>
      <c r="AJ2819" t="str">
        <f t="shared" ref="AJ2819:AJ2882" si="854">CONCATENATE(A2819,G2819,J2819,L2819)</f>
        <v>P000</v>
      </c>
    </row>
    <row r="2820" spans="1:36" x14ac:dyDescent="0.25">
      <c r="A2820" s="325" t="str">
        <f>CONCATENATE("P",'906MP'!M2520)</f>
        <v>P</v>
      </c>
      <c r="B2820">
        <f>'906MP'!H2520</f>
        <v>0</v>
      </c>
      <c r="C2820">
        <f>'906MP'!J2520</f>
        <v>0</v>
      </c>
      <c r="D2820">
        <f>'906MP'!P2520</f>
        <v>0</v>
      </c>
      <c r="E2820">
        <f>'906MP'!X2520</f>
        <v>0</v>
      </c>
      <c r="F2820" t="str">
        <f t="shared" si="846"/>
        <v>0</v>
      </c>
      <c r="G2820" t="str">
        <f t="shared" si="847"/>
        <v>0</v>
      </c>
      <c r="H2820">
        <f>'906MP'!Y2520</f>
        <v>0</v>
      </c>
      <c r="I2820">
        <f>'906MP'!AK2520</f>
        <v>0</v>
      </c>
      <c r="J2820">
        <f>'906MP'!T2520</f>
        <v>0</v>
      </c>
      <c r="K2820">
        <f>'906MP'!AJ2520</f>
        <v>0</v>
      </c>
      <c r="L2820">
        <f>'906MP'!U2520</f>
        <v>0</v>
      </c>
      <c r="M2820" s="322" t="str">
        <f>IFERROR(VLOOKUP(A2820,PAR!$D$3:$E$53,2,FALSE),"nincs szervezet")</f>
        <v>nincs szervezet</v>
      </c>
      <c r="N2820" s="322" t="str">
        <f>VLOOKUP(F2820,PAR!$R$3:$S$5,2,FALSE)</f>
        <v>3 - egyik sem</v>
      </c>
      <c r="O2820" t="str">
        <f>IFERROR(VLOOKUP(J2820,PAR!$O$3:$P$5,2,FALSE),"nincs feladat")</f>
        <v>nincs feladat</v>
      </c>
      <c r="P2820" t="str">
        <f>IFERROR(VLOOKUP(G2820,PAR!$J$2:$M$19,4),"nincs rovat")</f>
        <v>nincs rovat</v>
      </c>
      <c r="Q2820" t="str">
        <f>IF(H2820&gt;0,VLOOKUP(H2820,PAR!$AA$3:$AC$187,3,FALSE),"nincs főkönyvi számla")</f>
        <v>nincs főkönyvi számla</v>
      </c>
      <c r="R2820" t="str">
        <f>IFERROR(VLOOKUP(K2820,PAR!$V$3:$X$438,3,FALSE),"000000 - Nincs COFOG")</f>
        <v>000000 - Nincs COFOG</v>
      </c>
      <c r="S2820">
        <f t="shared" si="848"/>
        <v>0</v>
      </c>
      <c r="T2820">
        <f t="shared" si="849"/>
        <v>0</v>
      </c>
      <c r="U2820" t="str">
        <f>IF('906MP'!J2520&gt;0,CONCATENATE('906MP'!J2520," - ",'906MP'!P2520,", ",'906MP'!E2520),"nincs megjegyzés")</f>
        <v>nincs megjegyzés</v>
      </c>
      <c r="V2820" t="str">
        <f t="shared" si="836"/>
        <v>0P0</v>
      </c>
      <c r="W2820" t="str">
        <f t="shared" si="837"/>
        <v>0P0</v>
      </c>
      <c r="X2820" t="str">
        <f t="shared" si="838"/>
        <v>P0</v>
      </c>
      <c r="Y2820" t="str">
        <f t="shared" si="839"/>
        <v>00</v>
      </c>
      <c r="Z2820" t="str">
        <f t="shared" si="850"/>
        <v>00</v>
      </c>
      <c r="AA2820" t="str">
        <f t="shared" si="840"/>
        <v>00</v>
      </c>
      <c r="AB2820" t="str">
        <f t="shared" si="841"/>
        <v>00</v>
      </c>
      <c r="AC2820" t="str">
        <f t="shared" si="842"/>
        <v>0P0</v>
      </c>
      <c r="AD2820" t="str">
        <f t="shared" si="843"/>
        <v>P00</v>
      </c>
      <c r="AE2820" t="str">
        <f t="shared" si="844"/>
        <v>0P0</v>
      </c>
      <c r="AF2820" t="str">
        <f t="shared" si="845"/>
        <v>P00</v>
      </c>
      <c r="AG2820" t="str">
        <f t="shared" si="851"/>
        <v>0P00</v>
      </c>
      <c r="AH2820" t="str">
        <f t="shared" si="852"/>
        <v>P000</v>
      </c>
      <c r="AI2820" t="str">
        <f t="shared" si="853"/>
        <v>0P00</v>
      </c>
      <c r="AJ2820" t="str">
        <f t="shared" si="854"/>
        <v>P000</v>
      </c>
    </row>
    <row r="2821" spans="1:36" x14ac:dyDescent="0.25">
      <c r="A2821" s="325" t="str">
        <f>CONCATENATE("P",'906MP'!M2521)</f>
        <v>P</v>
      </c>
      <c r="B2821">
        <f>'906MP'!H2521</f>
        <v>0</v>
      </c>
      <c r="C2821">
        <f>'906MP'!J2521</f>
        <v>0</v>
      </c>
      <c r="D2821">
        <f>'906MP'!P2521</f>
        <v>0</v>
      </c>
      <c r="E2821">
        <f>'906MP'!X2521</f>
        <v>0</v>
      </c>
      <c r="F2821" t="str">
        <f t="shared" si="846"/>
        <v>0</v>
      </c>
      <c r="G2821" t="str">
        <f t="shared" si="847"/>
        <v>0</v>
      </c>
      <c r="H2821">
        <f>'906MP'!Y2521</f>
        <v>0</v>
      </c>
      <c r="I2821">
        <f>'906MP'!AK2521</f>
        <v>0</v>
      </c>
      <c r="J2821">
        <f>'906MP'!T2521</f>
        <v>0</v>
      </c>
      <c r="K2821">
        <f>'906MP'!AJ2521</f>
        <v>0</v>
      </c>
      <c r="L2821">
        <f>'906MP'!U2521</f>
        <v>0</v>
      </c>
      <c r="M2821" s="322" t="str">
        <f>IFERROR(VLOOKUP(A2821,PAR!$D$3:$E$53,2,FALSE),"nincs szervezet")</f>
        <v>nincs szervezet</v>
      </c>
      <c r="N2821" s="322" t="str">
        <f>VLOOKUP(F2821,PAR!$R$3:$S$5,2,FALSE)</f>
        <v>3 - egyik sem</v>
      </c>
      <c r="O2821" t="str">
        <f>IFERROR(VLOOKUP(J2821,PAR!$O$3:$P$5,2,FALSE),"nincs feladat")</f>
        <v>nincs feladat</v>
      </c>
      <c r="P2821" t="str">
        <f>IFERROR(VLOOKUP(G2821,PAR!$J$2:$M$19,4),"nincs rovat")</f>
        <v>nincs rovat</v>
      </c>
      <c r="Q2821" t="str">
        <f>IF(H2821&gt;0,VLOOKUP(H2821,PAR!$AA$3:$AC$187,3,FALSE),"nincs főkönyvi számla")</f>
        <v>nincs főkönyvi számla</v>
      </c>
      <c r="R2821" t="str">
        <f>IFERROR(VLOOKUP(K2821,PAR!$V$3:$X$438,3,FALSE),"000000 - Nincs COFOG")</f>
        <v>000000 - Nincs COFOG</v>
      </c>
      <c r="S2821">
        <f t="shared" si="848"/>
        <v>0</v>
      </c>
      <c r="T2821">
        <f t="shared" si="849"/>
        <v>0</v>
      </c>
      <c r="U2821" t="str">
        <f>IF('906MP'!J2521&gt;0,CONCATENATE('906MP'!J2521," - ",'906MP'!P2521,", ",'906MP'!E2521),"nincs megjegyzés")</f>
        <v>nincs megjegyzés</v>
      </c>
      <c r="V2821" t="str">
        <f t="shared" si="836"/>
        <v>0P0</v>
      </c>
      <c r="W2821" t="str">
        <f t="shared" si="837"/>
        <v>0P0</v>
      </c>
      <c r="X2821" t="str">
        <f t="shared" si="838"/>
        <v>P0</v>
      </c>
      <c r="Y2821" t="str">
        <f t="shared" si="839"/>
        <v>00</v>
      </c>
      <c r="Z2821" t="str">
        <f t="shared" si="850"/>
        <v>00</v>
      </c>
      <c r="AA2821" t="str">
        <f t="shared" si="840"/>
        <v>00</v>
      </c>
      <c r="AB2821" t="str">
        <f t="shared" si="841"/>
        <v>00</v>
      </c>
      <c r="AC2821" t="str">
        <f t="shared" si="842"/>
        <v>0P0</v>
      </c>
      <c r="AD2821" t="str">
        <f t="shared" si="843"/>
        <v>P00</v>
      </c>
      <c r="AE2821" t="str">
        <f t="shared" si="844"/>
        <v>0P0</v>
      </c>
      <c r="AF2821" t="str">
        <f t="shared" si="845"/>
        <v>P00</v>
      </c>
      <c r="AG2821" t="str">
        <f t="shared" si="851"/>
        <v>0P00</v>
      </c>
      <c r="AH2821" t="str">
        <f t="shared" si="852"/>
        <v>P000</v>
      </c>
      <c r="AI2821" t="str">
        <f t="shared" si="853"/>
        <v>0P00</v>
      </c>
      <c r="AJ2821" t="str">
        <f t="shared" si="854"/>
        <v>P000</v>
      </c>
    </row>
    <row r="2822" spans="1:36" x14ac:dyDescent="0.25">
      <c r="A2822" s="325" t="str">
        <f>CONCATENATE("P",'906MP'!M2522)</f>
        <v>P</v>
      </c>
      <c r="B2822">
        <f>'906MP'!H2522</f>
        <v>0</v>
      </c>
      <c r="C2822">
        <f>'906MP'!J2522</f>
        <v>0</v>
      </c>
      <c r="D2822">
        <f>'906MP'!P2522</f>
        <v>0</v>
      </c>
      <c r="E2822">
        <f>'906MP'!X2522</f>
        <v>0</v>
      </c>
      <c r="F2822" t="str">
        <f t="shared" si="846"/>
        <v>0</v>
      </c>
      <c r="G2822" t="str">
        <f t="shared" si="847"/>
        <v>0</v>
      </c>
      <c r="H2822">
        <f>'906MP'!Y2522</f>
        <v>0</v>
      </c>
      <c r="I2822">
        <f>'906MP'!AK2522</f>
        <v>0</v>
      </c>
      <c r="J2822">
        <f>'906MP'!T2522</f>
        <v>0</v>
      </c>
      <c r="K2822">
        <f>'906MP'!AJ2522</f>
        <v>0</v>
      </c>
      <c r="L2822">
        <f>'906MP'!U2522</f>
        <v>0</v>
      </c>
      <c r="M2822" s="322" t="str">
        <f>IFERROR(VLOOKUP(A2822,PAR!$D$3:$E$53,2,FALSE),"nincs szervezet")</f>
        <v>nincs szervezet</v>
      </c>
      <c r="N2822" s="322" t="str">
        <f>VLOOKUP(F2822,PAR!$R$3:$S$5,2,FALSE)</f>
        <v>3 - egyik sem</v>
      </c>
      <c r="O2822" t="str">
        <f>IFERROR(VLOOKUP(J2822,PAR!$O$3:$P$5,2,FALSE),"nincs feladat")</f>
        <v>nincs feladat</v>
      </c>
      <c r="P2822" t="str">
        <f>IFERROR(VLOOKUP(G2822,PAR!$J$2:$M$19,4),"nincs rovat")</f>
        <v>nincs rovat</v>
      </c>
      <c r="Q2822" t="str">
        <f>IF(H2822&gt;0,VLOOKUP(H2822,PAR!$AA$3:$AC$187,3,FALSE),"nincs főkönyvi számla")</f>
        <v>nincs főkönyvi számla</v>
      </c>
      <c r="R2822" t="str">
        <f>IFERROR(VLOOKUP(K2822,PAR!$V$3:$X$438,3,FALSE),"000000 - Nincs COFOG")</f>
        <v>000000 - Nincs COFOG</v>
      </c>
      <c r="S2822">
        <f t="shared" si="848"/>
        <v>0</v>
      </c>
      <c r="T2822">
        <f t="shared" si="849"/>
        <v>0</v>
      </c>
      <c r="U2822" t="str">
        <f>IF('906MP'!J2522&gt;0,CONCATENATE('906MP'!J2522," - ",'906MP'!P2522,", ",'906MP'!E2522),"nincs megjegyzés")</f>
        <v>nincs megjegyzés</v>
      </c>
      <c r="V2822" t="str">
        <f t="shared" si="836"/>
        <v>0P0</v>
      </c>
      <c r="W2822" t="str">
        <f t="shared" si="837"/>
        <v>0P0</v>
      </c>
      <c r="X2822" t="str">
        <f t="shared" si="838"/>
        <v>P0</v>
      </c>
      <c r="Y2822" t="str">
        <f t="shared" si="839"/>
        <v>00</v>
      </c>
      <c r="Z2822" t="str">
        <f t="shared" si="850"/>
        <v>00</v>
      </c>
      <c r="AA2822" t="str">
        <f t="shared" si="840"/>
        <v>00</v>
      </c>
      <c r="AB2822" t="str">
        <f t="shared" si="841"/>
        <v>00</v>
      </c>
      <c r="AC2822" t="str">
        <f t="shared" si="842"/>
        <v>0P0</v>
      </c>
      <c r="AD2822" t="str">
        <f t="shared" si="843"/>
        <v>P00</v>
      </c>
      <c r="AE2822" t="str">
        <f t="shared" si="844"/>
        <v>0P0</v>
      </c>
      <c r="AF2822" t="str">
        <f t="shared" si="845"/>
        <v>P00</v>
      </c>
      <c r="AG2822" t="str">
        <f t="shared" si="851"/>
        <v>0P00</v>
      </c>
      <c r="AH2822" t="str">
        <f t="shared" si="852"/>
        <v>P000</v>
      </c>
      <c r="AI2822" t="str">
        <f t="shared" si="853"/>
        <v>0P00</v>
      </c>
      <c r="AJ2822" t="str">
        <f t="shared" si="854"/>
        <v>P000</v>
      </c>
    </row>
    <row r="2823" spans="1:36" x14ac:dyDescent="0.25">
      <c r="A2823" s="325" t="str">
        <f>CONCATENATE("P",'906MP'!M2523)</f>
        <v>P</v>
      </c>
      <c r="B2823">
        <f>'906MP'!H2523</f>
        <v>0</v>
      </c>
      <c r="C2823">
        <f>'906MP'!J2523</f>
        <v>0</v>
      </c>
      <c r="D2823">
        <f>'906MP'!P2523</f>
        <v>0</v>
      </c>
      <c r="E2823">
        <f>'906MP'!X2523</f>
        <v>0</v>
      </c>
      <c r="F2823" t="str">
        <f t="shared" si="846"/>
        <v>0</v>
      </c>
      <c r="G2823" t="str">
        <f t="shared" si="847"/>
        <v>0</v>
      </c>
      <c r="H2823">
        <f>'906MP'!Y2523</f>
        <v>0</v>
      </c>
      <c r="I2823">
        <f>'906MP'!AK2523</f>
        <v>0</v>
      </c>
      <c r="J2823">
        <f>'906MP'!T2523</f>
        <v>0</v>
      </c>
      <c r="K2823">
        <f>'906MP'!AJ2523</f>
        <v>0</v>
      </c>
      <c r="L2823">
        <f>'906MP'!U2523</f>
        <v>0</v>
      </c>
      <c r="M2823" s="322" t="str">
        <f>IFERROR(VLOOKUP(A2823,PAR!$D$3:$E$53,2,FALSE),"nincs szervezet")</f>
        <v>nincs szervezet</v>
      </c>
      <c r="N2823" s="322" t="str">
        <f>VLOOKUP(F2823,PAR!$R$3:$S$5,2,FALSE)</f>
        <v>3 - egyik sem</v>
      </c>
      <c r="O2823" t="str">
        <f>IFERROR(VLOOKUP(J2823,PAR!$O$3:$P$5,2,FALSE),"nincs feladat")</f>
        <v>nincs feladat</v>
      </c>
      <c r="P2823" t="str">
        <f>IFERROR(VLOOKUP(G2823,PAR!$J$2:$M$19,4),"nincs rovat")</f>
        <v>nincs rovat</v>
      </c>
      <c r="Q2823" t="str">
        <f>IF(H2823&gt;0,VLOOKUP(H2823,PAR!$AA$3:$AC$187,3,FALSE),"nincs főkönyvi számla")</f>
        <v>nincs főkönyvi számla</v>
      </c>
      <c r="R2823" t="str">
        <f>IFERROR(VLOOKUP(K2823,PAR!$V$3:$X$438,3,FALSE),"000000 - Nincs COFOG")</f>
        <v>000000 - Nincs COFOG</v>
      </c>
      <c r="S2823">
        <f t="shared" si="848"/>
        <v>0</v>
      </c>
      <c r="T2823">
        <f t="shared" si="849"/>
        <v>0</v>
      </c>
      <c r="U2823" t="str">
        <f>IF('906MP'!J2523&gt;0,CONCATENATE('906MP'!J2523," - ",'906MP'!P2523,", ",'906MP'!E2523),"nincs megjegyzés")</f>
        <v>nincs megjegyzés</v>
      </c>
      <c r="V2823" t="str">
        <f t="shared" si="836"/>
        <v>0P0</v>
      </c>
      <c r="W2823" t="str">
        <f t="shared" si="837"/>
        <v>0P0</v>
      </c>
      <c r="X2823" t="str">
        <f t="shared" si="838"/>
        <v>P0</v>
      </c>
      <c r="Y2823" t="str">
        <f t="shared" si="839"/>
        <v>00</v>
      </c>
      <c r="Z2823" t="str">
        <f t="shared" si="850"/>
        <v>00</v>
      </c>
      <c r="AA2823" t="str">
        <f t="shared" si="840"/>
        <v>00</v>
      </c>
      <c r="AB2823" t="str">
        <f t="shared" si="841"/>
        <v>00</v>
      </c>
      <c r="AC2823" t="str">
        <f t="shared" si="842"/>
        <v>0P0</v>
      </c>
      <c r="AD2823" t="str">
        <f t="shared" si="843"/>
        <v>P00</v>
      </c>
      <c r="AE2823" t="str">
        <f t="shared" si="844"/>
        <v>0P0</v>
      </c>
      <c r="AF2823" t="str">
        <f t="shared" si="845"/>
        <v>P00</v>
      </c>
      <c r="AG2823" t="str">
        <f t="shared" si="851"/>
        <v>0P00</v>
      </c>
      <c r="AH2823" t="str">
        <f t="shared" si="852"/>
        <v>P000</v>
      </c>
      <c r="AI2823" t="str">
        <f t="shared" si="853"/>
        <v>0P00</v>
      </c>
      <c r="AJ2823" t="str">
        <f t="shared" si="854"/>
        <v>P000</v>
      </c>
    </row>
    <row r="2824" spans="1:36" x14ac:dyDescent="0.25">
      <c r="A2824" s="325" t="str">
        <f>CONCATENATE("P",'906MP'!M2524)</f>
        <v>P</v>
      </c>
      <c r="B2824">
        <f>'906MP'!H2524</f>
        <v>0</v>
      </c>
      <c r="C2824">
        <f>'906MP'!J2524</f>
        <v>0</v>
      </c>
      <c r="D2824">
        <f>'906MP'!P2524</f>
        <v>0</v>
      </c>
      <c r="E2824">
        <f>'906MP'!X2524</f>
        <v>0</v>
      </c>
      <c r="F2824" t="str">
        <f t="shared" si="846"/>
        <v>0</v>
      </c>
      <c r="G2824" t="str">
        <f t="shared" si="847"/>
        <v>0</v>
      </c>
      <c r="H2824">
        <f>'906MP'!Y2524</f>
        <v>0</v>
      </c>
      <c r="I2824">
        <f>'906MP'!AK2524</f>
        <v>0</v>
      </c>
      <c r="J2824">
        <f>'906MP'!T2524</f>
        <v>0</v>
      </c>
      <c r="K2824">
        <f>'906MP'!AJ2524</f>
        <v>0</v>
      </c>
      <c r="L2824">
        <f>'906MP'!U2524</f>
        <v>0</v>
      </c>
      <c r="M2824" s="322" t="str">
        <f>IFERROR(VLOOKUP(A2824,PAR!$D$3:$E$53,2,FALSE),"nincs szervezet")</f>
        <v>nincs szervezet</v>
      </c>
      <c r="N2824" s="322" t="str">
        <f>VLOOKUP(F2824,PAR!$R$3:$S$5,2,FALSE)</f>
        <v>3 - egyik sem</v>
      </c>
      <c r="O2824" t="str">
        <f>IFERROR(VLOOKUP(J2824,PAR!$O$3:$P$5,2,FALSE),"nincs feladat")</f>
        <v>nincs feladat</v>
      </c>
      <c r="P2824" t="str">
        <f>IFERROR(VLOOKUP(G2824,PAR!$J$2:$M$19,4),"nincs rovat")</f>
        <v>nincs rovat</v>
      </c>
      <c r="Q2824" t="str">
        <f>IF(H2824&gt;0,VLOOKUP(H2824,PAR!$AA$3:$AC$187,3,FALSE),"nincs főkönyvi számla")</f>
        <v>nincs főkönyvi számla</v>
      </c>
      <c r="R2824" t="str">
        <f>IFERROR(VLOOKUP(K2824,PAR!$V$3:$X$438,3,FALSE),"000000 - Nincs COFOG")</f>
        <v>000000 - Nincs COFOG</v>
      </c>
      <c r="S2824">
        <f t="shared" si="848"/>
        <v>0</v>
      </c>
      <c r="T2824">
        <f t="shared" si="849"/>
        <v>0</v>
      </c>
      <c r="U2824" t="str">
        <f>IF('906MP'!J2524&gt;0,CONCATENATE('906MP'!J2524," - ",'906MP'!P2524,", ",'906MP'!E2524),"nincs megjegyzés")</f>
        <v>nincs megjegyzés</v>
      </c>
      <c r="V2824" t="str">
        <f t="shared" si="836"/>
        <v>0P0</v>
      </c>
      <c r="W2824" t="str">
        <f t="shared" si="837"/>
        <v>0P0</v>
      </c>
      <c r="X2824" t="str">
        <f t="shared" si="838"/>
        <v>P0</v>
      </c>
      <c r="Y2824" t="str">
        <f t="shared" si="839"/>
        <v>00</v>
      </c>
      <c r="Z2824" t="str">
        <f t="shared" si="850"/>
        <v>00</v>
      </c>
      <c r="AA2824" t="str">
        <f t="shared" si="840"/>
        <v>00</v>
      </c>
      <c r="AB2824" t="str">
        <f t="shared" si="841"/>
        <v>00</v>
      </c>
      <c r="AC2824" t="str">
        <f t="shared" si="842"/>
        <v>0P0</v>
      </c>
      <c r="AD2824" t="str">
        <f t="shared" si="843"/>
        <v>P00</v>
      </c>
      <c r="AE2824" t="str">
        <f t="shared" si="844"/>
        <v>0P0</v>
      </c>
      <c r="AF2824" t="str">
        <f t="shared" si="845"/>
        <v>P00</v>
      </c>
      <c r="AG2824" t="str">
        <f t="shared" si="851"/>
        <v>0P00</v>
      </c>
      <c r="AH2824" t="str">
        <f t="shared" si="852"/>
        <v>P000</v>
      </c>
      <c r="AI2824" t="str">
        <f t="shared" si="853"/>
        <v>0P00</v>
      </c>
      <c r="AJ2824" t="str">
        <f t="shared" si="854"/>
        <v>P000</v>
      </c>
    </row>
    <row r="2825" spans="1:36" x14ac:dyDescent="0.25">
      <c r="A2825" s="325" t="str">
        <f>CONCATENATE("P",'906MP'!M2525)</f>
        <v>P</v>
      </c>
      <c r="B2825">
        <f>'906MP'!H2525</f>
        <v>0</v>
      </c>
      <c r="C2825">
        <f>'906MP'!J2525</f>
        <v>0</v>
      </c>
      <c r="D2825">
        <f>'906MP'!P2525</f>
        <v>0</v>
      </c>
      <c r="E2825">
        <f>'906MP'!X2525</f>
        <v>0</v>
      </c>
      <c r="F2825" t="str">
        <f t="shared" si="846"/>
        <v>0</v>
      </c>
      <c r="G2825" t="str">
        <f t="shared" si="847"/>
        <v>0</v>
      </c>
      <c r="H2825">
        <f>'906MP'!Y2525</f>
        <v>0</v>
      </c>
      <c r="I2825">
        <f>'906MP'!AK2525</f>
        <v>0</v>
      </c>
      <c r="J2825">
        <f>'906MP'!T2525</f>
        <v>0</v>
      </c>
      <c r="K2825">
        <f>'906MP'!AJ2525</f>
        <v>0</v>
      </c>
      <c r="L2825">
        <f>'906MP'!U2525</f>
        <v>0</v>
      </c>
      <c r="M2825" s="322" t="str">
        <f>IFERROR(VLOOKUP(A2825,PAR!$D$3:$E$53,2,FALSE),"nincs szervezet")</f>
        <v>nincs szervezet</v>
      </c>
      <c r="N2825" s="322" t="str">
        <f>VLOOKUP(F2825,PAR!$R$3:$S$5,2,FALSE)</f>
        <v>3 - egyik sem</v>
      </c>
      <c r="O2825" t="str">
        <f>IFERROR(VLOOKUP(J2825,PAR!$O$3:$P$5,2,FALSE),"nincs feladat")</f>
        <v>nincs feladat</v>
      </c>
      <c r="P2825" t="str">
        <f>IFERROR(VLOOKUP(G2825,PAR!$J$2:$M$19,4),"nincs rovat")</f>
        <v>nincs rovat</v>
      </c>
      <c r="Q2825" t="str">
        <f>IF(H2825&gt;0,VLOOKUP(H2825,PAR!$AA$3:$AC$187,3,FALSE),"nincs főkönyvi számla")</f>
        <v>nincs főkönyvi számla</v>
      </c>
      <c r="R2825" t="str">
        <f>IFERROR(VLOOKUP(K2825,PAR!$V$3:$X$438,3,FALSE),"000000 - Nincs COFOG")</f>
        <v>000000 - Nincs COFOG</v>
      </c>
      <c r="S2825">
        <f t="shared" si="848"/>
        <v>0</v>
      </c>
      <c r="T2825">
        <f t="shared" si="849"/>
        <v>0</v>
      </c>
      <c r="U2825" t="str">
        <f>IF('906MP'!J2525&gt;0,CONCATENATE('906MP'!J2525," - ",'906MP'!P2525,", ",'906MP'!E2525),"nincs megjegyzés")</f>
        <v>nincs megjegyzés</v>
      </c>
      <c r="V2825" t="str">
        <f t="shared" si="836"/>
        <v>0P0</v>
      </c>
      <c r="W2825" t="str">
        <f t="shared" si="837"/>
        <v>0P0</v>
      </c>
      <c r="X2825" t="str">
        <f t="shared" si="838"/>
        <v>P0</v>
      </c>
      <c r="Y2825" t="str">
        <f t="shared" si="839"/>
        <v>00</v>
      </c>
      <c r="Z2825" t="str">
        <f t="shared" si="850"/>
        <v>00</v>
      </c>
      <c r="AA2825" t="str">
        <f t="shared" si="840"/>
        <v>00</v>
      </c>
      <c r="AB2825" t="str">
        <f t="shared" si="841"/>
        <v>00</v>
      </c>
      <c r="AC2825" t="str">
        <f t="shared" si="842"/>
        <v>0P0</v>
      </c>
      <c r="AD2825" t="str">
        <f t="shared" si="843"/>
        <v>P00</v>
      </c>
      <c r="AE2825" t="str">
        <f t="shared" si="844"/>
        <v>0P0</v>
      </c>
      <c r="AF2825" t="str">
        <f t="shared" si="845"/>
        <v>P00</v>
      </c>
      <c r="AG2825" t="str">
        <f t="shared" si="851"/>
        <v>0P00</v>
      </c>
      <c r="AH2825" t="str">
        <f t="shared" si="852"/>
        <v>P000</v>
      </c>
      <c r="AI2825" t="str">
        <f t="shared" si="853"/>
        <v>0P00</v>
      </c>
      <c r="AJ2825" t="str">
        <f t="shared" si="854"/>
        <v>P000</v>
      </c>
    </row>
    <row r="2826" spans="1:36" x14ac:dyDescent="0.25">
      <c r="A2826" s="325" t="str">
        <f>CONCATENATE("P",'906MP'!M2526)</f>
        <v>P</v>
      </c>
      <c r="B2826">
        <f>'906MP'!H2526</f>
        <v>0</v>
      </c>
      <c r="C2826">
        <f>'906MP'!J2526</f>
        <v>0</v>
      </c>
      <c r="D2826">
        <f>'906MP'!P2526</f>
        <v>0</v>
      </c>
      <c r="E2826">
        <f>'906MP'!X2526</f>
        <v>0</v>
      </c>
      <c r="F2826" t="str">
        <f t="shared" si="846"/>
        <v>0</v>
      </c>
      <c r="G2826" t="str">
        <f t="shared" si="847"/>
        <v>0</v>
      </c>
      <c r="H2826">
        <f>'906MP'!Y2526</f>
        <v>0</v>
      </c>
      <c r="I2826">
        <f>'906MP'!AK2526</f>
        <v>0</v>
      </c>
      <c r="J2826">
        <f>'906MP'!T2526</f>
        <v>0</v>
      </c>
      <c r="K2826">
        <f>'906MP'!AJ2526</f>
        <v>0</v>
      </c>
      <c r="L2826">
        <f>'906MP'!U2526</f>
        <v>0</v>
      </c>
      <c r="M2826" s="322" t="str">
        <f>IFERROR(VLOOKUP(A2826,PAR!$D$3:$E$53,2,FALSE),"nincs szervezet")</f>
        <v>nincs szervezet</v>
      </c>
      <c r="N2826" s="322" t="str">
        <f>VLOOKUP(F2826,PAR!$R$3:$S$5,2,FALSE)</f>
        <v>3 - egyik sem</v>
      </c>
      <c r="O2826" t="str">
        <f>IFERROR(VLOOKUP(J2826,PAR!$O$3:$P$5,2,FALSE),"nincs feladat")</f>
        <v>nincs feladat</v>
      </c>
      <c r="P2826" t="str">
        <f>IFERROR(VLOOKUP(G2826,PAR!$J$2:$M$19,4),"nincs rovat")</f>
        <v>nincs rovat</v>
      </c>
      <c r="Q2826" t="str">
        <f>IF(H2826&gt;0,VLOOKUP(H2826,PAR!$AA$3:$AC$187,3,FALSE),"nincs főkönyvi számla")</f>
        <v>nincs főkönyvi számla</v>
      </c>
      <c r="R2826" t="str">
        <f>IFERROR(VLOOKUP(K2826,PAR!$V$3:$X$438,3,FALSE),"000000 - Nincs COFOG")</f>
        <v>000000 - Nincs COFOG</v>
      </c>
      <c r="S2826">
        <f t="shared" si="848"/>
        <v>0</v>
      </c>
      <c r="T2826">
        <f t="shared" si="849"/>
        <v>0</v>
      </c>
      <c r="U2826" t="str">
        <f>IF('906MP'!J2526&gt;0,CONCATENATE('906MP'!J2526," - ",'906MP'!P2526,", ",'906MP'!E2526),"nincs megjegyzés")</f>
        <v>nincs megjegyzés</v>
      </c>
      <c r="V2826" t="str">
        <f t="shared" si="836"/>
        <v>0P0</v>
      </c>
      <c r="W2826" t="str">
        <f t="shared" si="837"/>
        <v>0P0</v>
      </c>
      <c r="X2826" t="str">
        <f t="shared" si="838"/>
        <v>P0</v>
      </c>
      <c r="Y2826" t="str">
        <f t="shared" si="839"/>
        <v>00</v>
      </c>
      <c r="Z2826" t="str">
        <f t="shared" si="850"/>
        <v>00</v>
      </c>
      <c r="AA2826" t="str">
        <f t="shared" si="840"/>
        <v>00</v>
      </c>
      <c r="AB2826" t="str">
        <f t="shared" si="841"/>
        <v>00</v>
      </c>
      <c r="AC2826" t="str">
        <f t="shared" si="842"/>
        <v>0P0</v>
      </c>
      <c r="AD2826" t="str">
        <f t="shared" si="843"/>
        <v>P00</v>
      </c>
      <c r="AE2826" t="str">
        <f t="shared" si="844"/>
        <v>0P0</v>
      </c>
      <c r="AF2826" t="str">
        <f t="shared" si="845"/>
        <v>P00</v>
      </c>
      <c r="AG2826" t="str">
        <f t="shared" si="851"/>
        <v>0P00</v>
      </c>
      <c r="AH2826" t="str">
        <f t="shared" si="852"/>
        <v>P000</v>
      </c>
      <c r="AI2826" t="str">
        <f t="shared" si="853"/>
        <v>0P00</v>
      </c>
      <c r="AJ2826" t="str">
        <f t="shared" si="854"/>
        <v>P000</v>
      </c>
    </row>
    <row r="2827" spans="1:36" x14ac:dyDescent="0.25">
      <c r="A2827" s="325" t="str">
        <f>CONCATENATE("P",'906MP'!M2527)</f>
        <v>P</v>
      </c>
      <c r="B2827">
        <f>'906MP'!H2527</f>
        <v>0</v>
      </c>
      <c r="C2827">
        <f>'906MP'!J2527</f>
        <v>0</v>
      </c>
      <c r="D2827">
        <f>'906MP'!P2527</f>
        <v>0</v>
      </c>
      <c r="E2827">
        <f>'906MP'!X2527</f>
        <v>0</v>
      </c>
      <c r="F2827" t="str">
        <f t="shared" si="846"/>
        <v>0</v>
      </c>
      <c r="G2827" t="str">
        <f t="shared" si="847"/>
        <v>0</v>
      </c>
      <c r="H2827">
        <f>'906MP'!Y2527</f>
        <v>0</v>
      </c>
      <c r="I2827">
        <f>'906MP'!AK2527</f>
        <v>0</v>
      </c>
      <c r="J2827">
        <f>'906MP'!T2527</f>
        <v>0</v>
      </c>
      <c r="K2827">
        <f>'906MP'!AJ2527</f>
        <v>0</v>
      </c>
      <c r="L2827">
        <f>'906MP'!U2527</f>
        <v>0</v>
      </c>
      <c r="M2827" s="322" t="str">
        <f>IFERROR(VLOOKUP(A2827,PAR!$D$3:$E$53,2,FALSE),"nincs szervezet")</f>
        <v>nincs szervezet</v>
      </c>
      <c r="N2827" s="322" t="str">
        <f>VLOOKUP(F2827,PAR!$R$3:$S$5,2,FALSE)</f>
        <v>3 - egyik sem</v>
      </c>
      <c r="O2827" t="str">
        <f>IFERROR(VLOOKUP(J2827,PAR!$O$3:$P$5,2,FALSE),"nincs feladat")</f>
        <v>nincs feladat</v>
      </c>
      <c r="P2827" t="str">
        <f>IFERROR(VLOOKUP(G2827,PAR!$J$2:$M$19,4),"nincs rovat")</f>
        <v>nincs rovat</v>
      </c>
      <c r="Q2827" t="str">
        <f>IF(H2827&gt;0,VLOOKUP(H2827,PAR!$AA$3:$AC$187,3,FALSE),"nincs főkönyvi számla")</f>
        <v>nincs főkönyvi számla</v>
      </c>
      <c r="R2827" t="str">
        <f>IFERROR(VLOOKUP(K2827,PAR!$V$3:$X$438,3,FALSE),"000000 - Nincs COFOG")</f>
        <v>000000 - Nincs COFOG</v>
      </c>
      <c r="S2827">
        <f t="shared" si="848"/>
        <v>0</v>
      </c>
      <c r="T2827">
        <f t="shared" si="849"/>
        <v>0</v>
      </c>
      <c r="U2827" t="str">
        <f>IF('906MP'!J2527&gt;0,CONCATENATE('906MP'!J2527," - ",'906MP'!P2527,", ",'906MP'!E2527),"nincs megjegyzés")</f>
        <v>nincs megjegyzés</v>
      </c>
      <c r="V2827" t="str">
        <f t="shared" si="836"/>
        <v>0P0</v>
      </c>
      <c r="W2827" t="str">
        <f t="shared" si="837"/>
        <v>0P0</v>
      </c>
      <c r="X2827" t="str">
        <f t="shared" si="838"/>
        <v>P0</v>
      </c>
      <c r="Y2827" t="str">
        <f t="shared" si="839"/>
        <v>00</v>
      </c>
      <c r="Z2827" t="str">
        <f t="shared" si="850"/>
        <v>00</v>
      </c>
      <c r="AA2827" t="str">
        <f t="shared" si="840"/>
        <v>00</v>
      </c>
      <c r="AB2827" t="str">
        <f t="shared" si="841"/>
        <v>00</v>
      </c>
      <c r="AC2827" t="str">
        <f t="shared" si="842"/>
        <v>0P0</v>
      </c>
      <c r="AD2827" t="str">
        <f t="shared" si="843"/>
        <v>P00</v>
      </c>
      <c r="AE2827" t="str">
        <f t="shared" si="844"/>
        <v>0P0</v>
      </c>
      <c r="AF2827" t="str">
        <f t="shared" si="845"/>
        <v>P00</v>
      </c>
      <c r="AG2827" t="str">
        <f t="shared" si="851"/>
        <v>0P00</v>
      </c>
      <c r="AH2827" t="str">
        <f t="shared" si="852"/>
        <v>P000</v>
      </c>
      <c r="AI2827" t="str">
        <f t="shared" si="853"/>
        <v>0P00</v>
      </c>
      <c r="AJ2827" t="str">
        <f t="shared" si="854"/>
        <v>P000</v>
      </c>
    </row>
    <row r="2828" spans="1:36" x14ac:dyDescent="0.25">
      <c r="A2828" s="325" t="str">
        <f>CONCATENATE("P",'906MP'!M2528)</f>
        <v>P</v>
      </c>
      <c r="B2828">
        <f>'906MP'!H2528</f>
        <v>0</v>
      </c>
      <c r="C2828">
        <f>'906MP'!J2528</f>
        <v>0</v>
      </c>
      <c r="D2828">
        <f>'906MP'!P2528</f>
        <v>0</v>
      </c>
      <c r="E2828">
        <f>'906MP'!X2528</f>
        <v>0</v>
      </c>
      <c r="F2828" t="str">
        <f t="shared" si="846"/>
        <v>0</v>
      </c>
      <c r="G2828" t="str">
        <f t="shared" si="847"/>
        <v>0</v>
      </c>
      <c r="H2828">
        <f>'906MP'!Y2528</f>
        <v>0</v>
      </c>
      <c r="I2828">
        <f>'906MP'!AK2528</f>
        <v>0</v>
      </c>
      <c r="J2828">
        <f>'906MP'!T2528</f>
        <v>0</v>
      </c>
      <c r="K2828">
        <f>'906MP'!AJ2528</f>
        <v>0</v>
      </c>
      <c r="L2828">
        <f>'906MP'!U2528</f>
        <v>0</v>
      </c>
      <c r="M2828" s="322" t="str">
        <f>IFERROR(VLOOKUP(A2828,PAR!$D$3:$E$53,2,FALSE),"nincs szervezet")</f>
        <v>nincs szervezet</v>
      </c>
      <c r="N2828" s="322" t="str">
        <f>VLOOKUP(F2828,PAR!$R$3:$S$5,2,FALSE)</f>
        <v>3 - egyik sem</v>
      </c>
      <c r="O2828" t="str">
        <f>IFERROR(VLOOKUP(J2828,PAR!$O$3:$P$5,2,FALSE),"nincs feladat")</f>
        <v>nincs feladat</v>
      </c>
      <c r="P2828" t="str">
        <f>IFERROR(VLOOKUP(G2828,PAR!$J$2:$M$19,4),"nincs rovat")</f>
        <v>nincs rovat</v>
      </c>
      <c r="Q2828" t="str">
        <f>IF(H2828&gt;0,VLOOKUP(H2828,PAR!$AA$3:$AC$187,3,FALSE),"nincs főkönyvi számla")</f>
        <v>nincs főkönyvi számla</v>
      </c>
      <c r="R2828" t="str">
        <f>IFERROR(VLOOKUP(K2828,PAR!$V$3:$X$438,3,FALSE),"000000 - Nincs COFOG")</f>
        <v>000000 - Nincs COFOG</v>
      </c>
      <c r="S2828">
        <f t="shared" si="848"/>
        <v>0</v>
      </c>
      <c r="T2828">
        <f t="shared" si="849"/>
        <v>0</v>
      </c>
      <c r="U2828" t="str">
        <f>IF('906MP'!J2528&gt;0,CONCATENATE('906MP'!J2528," - ",'906MP'!P2528,", ",'906MP'!E2528),"nincs megjegyzés")</f>
        <v>nincs megjegyzés</v>
      </c>
      <c r="V2828" t="str">
        <f t="shared" si="836"/>
        <v>0P0</v>
      </c>
      <c r="W2828" t="str">
        <f t="shared" si="837"/>
        <v>0P0</v>
      </c>
      <c r="X2828" t="str">
        <f t="shared" si="838"/>
        <v>P0</v>
      </c>
      <c r="Y2828" t="str">
        <f t="shared" si="839"/>
        <v>00</v>
      </c>
      <c r="Z2828" t="str">
        <f t="shared" si="850"/>
        <v>00</v>
      </c>
      <c r="AA2828" t="str">
        <f t="shared" si="840"/>
        <v>00</v>
      </c>
      <c r="AB2828" t="str">
        <f t="shared" si="841"/>
        <v>00</v>
      </c>
      <c r="AC2828" t="str">
        <f t="shared" si="842"/>
        <v>0P0</v>
      </c>
      <c r="AD2828" t="str">
        <f t="shared" si="843"/>
        <v>P00</v>
      </c>
      <c r="AE2828" t="str">
        <f t="shared" si="844"/>
        <v>0P0</v>
      </c>
      <c r="AF2828" t="str">
        <f t="shared" si="845"/>
        <v>P00</v>
      </c>
      <c r="AG2828" t="str">
        <f t="shared" si="851"/>
        <v>0P00</v>
      </c>
      <c r="AH2828" t="str">
        <f t="shared" si="852"/>
        <v>P000</v>
      </c>
      <c r="AI2828" t="str">
        <f t="shared" si="853"/>
        <v>0P00</v>
      </c>
      <c r="AJ2828" t="str">
        <f t="shared" si="854"/>
        <v>P000</v>
      </c>
    </row>
    <row r="2829" spans="1:36" x14ac:dyDescent="0.25">
      <c r="A2829" s="325" t="str">
        <f>CONCATENATE("P",'906MP'!M2529)</f>
        <v>P</v>
      </c>
      <c r="B2829">
        <f>'906MP'!H2529</f>
        <v>0</v>
      </c>
      <c r="C2829">
        <f>'906MP'!J2529</f>
        <v>0</v>
      </c>
      <c r="D2829">
        <f>'906MP'!P2529</f>
        <v>0</v>
      </c>
      <c r="E2829">
        <f>'906MP'!X2529</f>
        <v>0</v>
      </c>
      <c r="F2829" t="str">
        <f t="shared" si="846"/>
        <v>0</v>
      </c>
      <c r="G2829" t="str">
        <f t="shared" si="847"/>
        <v>0</v>
      </c>
      <c r="H2829">
        <f>'906MP'!Y2529</f>
        <v>0</v>
      </c>
      <c r="I2829">
        <f>'906MP'!AK2529</f>
        <v>0</v>
      </c>
      <c r="J2829">
        <f>'906MP'!T2529</f>
        <v>0</v>
      </c>
      <c r="K2829">
        <f>'906MP'!AJ2529</f>
        <v>0</v>
      </c>
      <c r="L2829">
        <f>'906MP'!U2529</f>
        <v>0</v>
      </c>
      <c r="M2829" s="322" t="str">
        <f>IFERROR(VLOOKUP(A2829,PAR!$D$3:$E$53,2,FALSE),"nincs szervezet")</f>
        <v>nincs szervezet</v>
      </c>
      <c r="N2829" s="322" t="str">
        <f>VLOOKUP(F2829,PAR!$R$3:$S$5,2,FALSE)</f>
        <v>3 - egyik sem</v>
      </c>
      <c r="O2829" t="str">
        <f>IFERROR(VLOOKUP(J2829,PAR!$O$3:$P$5,2,FALSE),"nincs feladat")</f>
        <v>nincs feladat</v>
      </c>
      <c r="P2829" t="str">
        <f>IFERROR(VLOOKUP(G2829,PAR!$J$2:$M$19,4),"nincs rovat")</f>
        <v>nincs rovat</v>
      </c>
      <c r="Q2829" t="str">
        <f>IF(H2829&gt;0,VLOOKUP(H2829,PAR!$AA$3:$AC$187,3,FALSE),"nincs főkönyvi számla")</f>
        <v>nincs főkönyvi számla</v>
      </c>
      <c r="R2829" t="str">
        <f>IFERROR(VLOOKUP(K2829,PAR!$V$3:$X$438,3,FALSE),"000000 - Nincs COFOG")</f>
        <v>000000 - Nincs COFOG</v>
      </c>
      <c r="S2829">
        <f t="shared" si="848"/>
        <v>0</v>
      </c>
      <c r="T2829">
        <f t="shared" si="849"/>
        <v>0</v>
      </c>
      <c r="U2829" t="str">
        <f>IF('906MP'!J2529&gt;0,CONCATENATE('906MP'!J2529," - ",'906MP'!P2529,", ",'906MP'!E2529),"nincs megjegyzés")</f>
        <v>nincs megjegyzés</v>
      </c>
      <c r="V2829" t="str">
        <f t="shared" si="836"/>
        <v>0P0</v>
      </c>
      <c r="W2829" t="str">
        <f t="shared" si="837"/>
        <v>0P0</v>
      </c>
      <c r="X2829" t="str">
        <f t="shared" si="838"/>
        <v>P0</v>
      </c>
      <c r="Y2829" t="str">
        <f t="shared" si="839"/>
        <v>00</v>
      </c>
      <c r="Z2829" t="str">
        <f t="shared" si="850"/>
        <v>00</v>
      </c>
      <c r="AA2829" t="str">
        <f t="shared" si="840"/>
        <v>00</v>
      </c>
      <c r="AB2829" t="str">
        <f t="shared" si="841"/>
        <v>00</v>
      </c>
      <c r="AC2829" t="str">
        <f t="shared" si="842"/>
        <v>0P0</v>
      </c>
      <c r="AD2829" t="str">
        <f t="shared" si="843"/>
        <v>P00</v>
      </c>
      <c r="AE2829" t="str">
        <f t="shared" si="844"/>
        <v>0P0</v>
      </c>
      <c r="AF2829" t="str">
        <f t="shared" si="845"/>
        <v>P00</v>
      </c>
      <c r="AG2829" t="str">
        <f t="shared" si="851"/>
        <v>0P00</v>
      </c>
      <c r="AH2829" t="str">
        <f t="shared" si="852"/>
        <v>P000</v>
      </c>
      <c r="AI2829" t="str">
        <f t="shared" si="853"/>
        <v>0P00</v>
      </c>
      <c r="AJ2829" t="str">
        <f t="shared" si="854"/>
        <v>P000</v>
      </c>
    </row>
    <row r="2830" spans="1:36" x14ac:dyDescent="0.25">
      <c r="A2830" s="325" t="str">
        <f>CONCATENATE("P",'906MP'!M2530)</f>
        <v>P</v>
      </c>
      <c r="B2830">
        <f>'906MP'!H2530</f>
        <v>0</v>
      </c>
      <c r="C2830">
        <f>'906MP'!J2530</f>
        <v>0</v>
      </c>
      <c r="D2830">
        <f>'906MP'!P2530</f>
        <v>0</v>
      </c>
      <c r="E2830">
        <f>'906MP'!X2530</f>
        <v>0</v>
      </c>
      <c r="F2830" t="str">
        <f t="shared" si="846"/>
        <v>0</v>
      </c>
      <c r="G2830" t="str">
        <f t="shared" si="847"/>
        <v>0</v>
      </c>
      <c r="H2830">
        <f>'906MP'!Y2530</f>
        <v>0</v>
      </c>
      <c r="I2830">
        <f>'906MP'!AK2530</f>
        <v>0</v>
      </c>
      <c r="J2830">
        <f>'906MP'!T2530</f>
        <v>0</v>
      </c>
      <c r="K2830">
        <f>'906MP'!AJ2530</f>
        <v>0</v>
      </c>
      <c r="L2830">
        <f>'906MP'!U2530</f>
        <v>0</v>
      </c>
      <c r="M2830" s="322" t="str">
        <f>IFERROR(VLOOKUP(A2830,PAR!$D$3:$E$53,2,FALSE),"nincs szervezet")</f>
        <v>nincs szervezet</v>
      </c>
      <c r="N2830" s="322" t="str">
        <f>VLOOKUP(F2830,PAR!$R$3:$S$5,2,FALSE)</f>
        <v>3 - egyik sem</v>
      </c>
      <c r="O2830" t="str">
        <f>IFERROR(VLOOKUP(J2830,PAR!$O$3:$P$5,2,FALSE),"nincs feladat")</f>
        <v>nincs feladat</v>
      </c>
      <c r="P2830" t="str">
        <f>IFERROR(VLOOKUP(G2830,PAR!$J$2:$M$19,4),"nincs rovat")</f>
        <v>nincs rovat</v>
      </c>
      <c r="Q2830" t="str">
        <f>IF(H2830&gt;0,VLOOKUP(H2830,PAR!$AA$3:$AC$187,3,FALSE),"nincs főkönyvi számla")</f>
        <v>nincs főkönyvi számla</v>
      </c>
      <c r="R2830" t="str">
        <f>IFERROR(VLOOKUP(K2830,PAR!$V$3:$X$438,3,FALSE),"000000 - Nincs COFOG")</f>
        <v>000000 - Nincs COFOG</v>
      </c>
      <c r="S2830">
        <f t="shared" si="848"/>
        <v>0</v>
      </c>
      <c r="T2830">
        <f t="shared" si="849"/>
        <v>0</v>
      </c>
      <c r="U2830" t="str">
        <f>IF('906MP'!J2530&gt;0,CONCATENATE('906MP'!J2530," - ",'906MP'!P2530,", ",'906MP'!E2530),"nincs megjegyzés")</f>
        <v>nincs megjegyzés</v>
      </c>
      <c r="V2830" t="str">
        <f t="shared" si="836"/>
        <v>0P0</v>
      </c>
      <c r="W2830" t="str">
        <f t="shared" si="837"/>
        <v>0P0</v>
      </c>
      <c r="X2830" t="str">
        <f t="shared" si="838"/>
        <v>P0</v>
      </c>
      <c r="Y2830" t="str">
        <f t="shared" si="839"/>
        <v>00</v>
      </c>
      <c r="Z2830" t="str">
        <f t="shared" si="850"/>
        <v>00</v>
      </c>
      <c r="AA2830" t="str">
        <f t="shared" si="840"/>
        <v>00</v>
      </c>
      <c r="AB2830" t="str">
        <f t="shared" si="841"/>
        <v>00</v>
      </c>
      <c r="AC2830" t="str">
        <f t="shared" si="842"/>
        <v>0P0</v>
      </c>
      <c r="AD2830" t="str">
        <f t="shared" si="843"/>
        <v>P00</v>
      </c>
      <c r="AE2830" t="str">
        <f t="shared" si="844"/>
        <v>0P0</v>
      </c>
      <c r="AF2830" t="str">
        <f t="shared" si="845"/>
        <v>P00</v>
      </c>
      <c r="AG2830" t="str">
        <f t="shared" si="851"/>
        <v>0P00</v>
      </c>
      <c r="AH2830" t="str">
        <f t="shared" si="852"/>
        <v>P000</v>
      </c>
      <c r="AI2830" t="str">
        <f t="shared" si="853"/>
        <v>0P00</v>
      </c>
      <c r="AJ2830" t="str">
        <f t="shared" si="854"/>
        <v>P000</v>
      </c>
    </row>
    <row r="2831" spans="1:36" x14ac:dyDescent="0.25">
      <c r="A2831" s="325" t="str">
        <f>CONCATENATE("P",'906MP'!M2531)</f>
        <v>P</v>
      </c>
      <c r="B2831">
        <f>'906MP'!H2531</f>
        <v>0</v>
      </c>
      <c r="C2831">
        <f>'906MP'!J2531</f>
        <v>0</v>
      </c>
      <c r="D2831">
        <f>'906MP'!P2531</f>
        <v>0</v>
      </c>
      <c r="E2831">
        <f>'906MP'!X2531</f>
        <v>0</v>
      </c>
      <c r="F2831" t="str">
        <f t="shared" si="846"/>
        <v>0</v>
      </c>
      <c r="G2831" t="str">
        <f t="shared" si="847"/>
        <v>0</v>
      </c>
      <c r="H2831">
        <f>'906MP'!Y2531</f>
        <v>0</v>
      </c>
      <c r="I2831">
        <f>'906MP'!AK2531</f>
        <v>0</v>
      </c>
      <c r="J2831">
        <f>'906MP'!T2531</f>
        <v>0</v>
      </c>
      <c r="K2831">
        <f>'906MP'!AJ2531</f>
        <v>0</v>
      </c>
      <c r="L2831">
        <f>'906MP'!U2531</f>
        <v>0</v>
      </c>
      <c r="M2831" s="322" t="str">
        <f>IFERROR(VLOOKUP(A2831,PAR!$D$3:$E$53,2,FALSE),"nincs szervezet")</f>
        <v>nincs szervezet</v>
      </c>
      <c r="N2831" s="322" t="str">
        <f>VLOOKUP(F2831,PAR!$R$3:$S$5,2,FALSE)</f>
        <v>3 - egyik sem</v>
      </c>
      <c r="O2831" t="str">
        <f>IFERROR(VLOOKUP(J2831,PAR!$O$3:$P$5,2,FALSE),"nincs feladat")</f>
        <v>nincs feladat</v>
      </c>
      <c r="P2831" t="str">
        <f>IFERROR(VLOOKUP(G2831,PAR!$J$2:$M$19,4),"nincs rovat")</f>
        <v>nincs rovat</v>
      </c>
      <c r="Q2831" t="str">
        <f>IF(H2831&gt;0,VLOOKUP(H2831,PAR!$AA$3:$AC$187,3,FALSE),"nincs főkönyvi számla")</f>
        <v>nincs főkönyvi számla</v>
      </c>
      <c r="R2831" t="str">
        <f>IFERROR(VLOOKUP(K2831,PAR!$V$3:$X$438,3,FALSE),"000000 - Nincs COFOG")</f>
        <v>000000 - Nincs COFOG</v>
      </c>
      <c r="S2831">
        <f t="shared" si="848"/>
        <v>0</v>
      </c>
      <c r="T2831">
        <f t="shared" si="849"/>
        <v>0</v>
      </c>
      <c r="U2831" t="str">
        <f>IF('906MP'!J2531&gt;0,CONCATENATE('906MP'!J2531," - ",'906MP'!P2531,", ",'906MP'!E2531),"nincs megjegyzés")</f>
        <v>nincs megjegyzés</v>
      </c>
      <c r="V2831" t="str">
        <f t="shared" si="836"/>
        <v>0P0</v>
      </c>
      <c r="W2831" t="str">
        <f t="shared" si="837"/>
        <v>0P0</v>
      </c>
      <c r="X2831" t="str">
        <f t="shared" si="838"/>
        <v>P0</v>
      </c>
      <c r="Y2831" t="str">
        <f t="shared" si="839"/>
        <v>00</v>
      </c>
      <c r="Z2831" t="str">
        <f t="shared" si="850"/>
        <v>00</v>
      </c>
      <c r="AA2831" t="str">
        <f t="shared" si="840"/>
        <v>00</v>
      </c>
      <c r="AB2831" t="str">
        <f t="shared" si="841"/>
        <v>00</v>
      </c>
      <c r="AC2831" t="str">
        <f t="shared" si="842"/>
        <v>0P0</v>
      </c>
      <c r="AD2831" t="str">
        <f t="shared" si="843"/>
        <v>P00</v>
      </c>
      <c r="AE2831" t="str">
        <f t="shared" si="844"/>
        <v>0P0</v>
      </c>
      <c r="AF2831" t="str">
        <f t="shared" si="845"/>
        <v>P00</v>
      </c>
      <c r="AG2831" t="str">
        <f t="shared" si="851"/>
        <v>0P00</v>
      </c>
      <c r="AH2831" t="str">
        <f t="shared" si="852"/>
        <v>P000</v>
      </c>
      <c r="AI2831" t="str">
        <f t="shared" si="853"/>
        <v>0P00</v>
      </c>
      <c r="AJ2831" t="str">
        <f t="shared" si="854"/>
        <v>P000</v>
      </c>
    </row>
    <row r="2832" spans="1:36" x14ac:dyDescent="0.25">
      <c r="A2832" s="325" t="str">
        <f>CONCATENATE("P",'906MP'!M2532)</f>
        <v>P</v>
      </c>
      <c r="B2832">
        <f>'906MP'!H2532</f>
        <v>0</v>
      </c>
      <c r="C2832">
        <f>'906MP'!J2532</f>
        <v>0</v>
      </c>
      <c r="D2832">
        <f>'906MP'!P2532</f>
        <v>0</v>
      </c>
      <c r="E2832">
        <f>'906MP'!X2532</f>
        <v>0</v>
      </c>
      <c r="F2832" t="str">
        <f t="shared" si="846"/>
        <v>0</v>
      </c>
      <c r="G2832" t="str">
        <f t="shared" si="847"/>
        <v>0</v>
      </c>
      <c r="H2832">
        <f>'906MP'!Y2532</f>
        <v>0</v>
      </c>
      <c r="I2832">
        <f>'906MP'!AK2532</f>
        <v>0</v>
      </c>
      <c r="J2832">
        <f>'906MP'!T2532</f>
        <v>0</v>
      </c>
      <c r="K2832">
        <f>'906MP'!AJ2532</f>
        <v>0</v>
      </c>
      <c r="L2832">
        <f>'906MP'!U2532</f>
        <v>0</v>
      </c>
      <c r="M2832" s="322" t="str">
        <f>IFERROR(VLOOKUP(A2832,PAR!$D$3:$E$53,2,FALSE),"nincs szervezet")</f>
        <v>nincs szervezet</v>
      </c>
      <c r="N2832" s="322" t="str">
        <f>VLOOKUP(F2832,PAR!$R$3:$S$5,2,FALSE)</f>
        <v>3 - egyik sem</v>
      </c>
      <c r="O2832" t="str">
        <f>IFERROR(VLOOKUP(J2832,PAR!$O$3:$P$5,2,FALSE),"nincs feladat")</f>
        <v>nincs feladat</v>
      </c>
      <c r="P2832" t="str">
        <f>IFERROR(VLOOKUP(G2832,PAR!$J$2:$M$19,4),"nincs rovat")</f>
        <v>nincs rovat</v>
      </c>
      <c r="Q2832" t="str">
        <f>IF(H2832&gt;0,VLOOKUP(H2832,PAR!$AA$3:$AC$187,3,FALSE),"nincs főkönyvi számla")</f>
        <v>nincs főkönyvi számla</v>
      </c>
      <c r="R2832" t="str">
        <f>IFERROR(VLOOKUP(K2832,PAR!$V$3:$X$438,3,FALSE),"000000 - Nincs COFOG")</f>
        <v>000000 - Nincs COFOG</v>
      </c>
      <c r="S2832">
        <f t="shared" si="848"/>
        <v>0</v>
      </c>
      <c r="T2832">
        <f t="shared" si="849"/>
        <v>0</v>
      </c>
      <c r="U2832" t="str">
        <f>IF('906MP'!J2532&gt;0,CONCATENATE('906MP'!J2532," - ",'906MP'!P2532,", ",'906MP'!E2532),"nincs megjegyzés")</f>
        <v>nincs megjegyzés</v>
      </c>
      <c r="V2832" t="str">
        <f t="shared" si="836"/>
        <v>0P0</v>
      </c>
      <c r="W2832" t="str">
        <f t="shared" si="837"/>
        <v>0P0</v>
      </c>
      <c r="X2832" t="str">
        <f t="shared" si="838"/>
        <v>P0</v>
      </c>
      <c r="Y2832" t="str">
        <f t="shared" si="839"/>
        <v>00</v>
      </c>
      <c r="Z2832" t="str">
        <f t="shared" si="850"/>
        <v>00</v>
      </c>
      <c r="AA2832" t="str">
        <f t="shared" si="840"/>
        <v>00</v>
      </c>
      <c r="AB2832" t="str">
        <f t="shared" si="841"/>
        <v>00</v>
      </c>
      <c r="AC2832" t="str">
        <f t="shared" si="842"/>
        <v>0P0</v>
      </c>
      <c r="AD2832" t="str">
        <f t="shared" si="843"/>
        <v>P00</v>
      </c>
      <c r="AE2832" t="str">
        <f t="shared" si="844"/>
        <v>0P0</v>
      </c>
      <c r="AF2832" t="str">
        <f t="shared" si="845"/>
        <v>P00</v>
      </c>
      <c r="AG2832" t="str">
        <f t="shared" si="851"/>
        <v>0P00</v>
      </c>
      <c r="AH2832" t="str">
        <f t="shared" si="852"/>
        <v>P000</v>
      </c>
      <c r="AI2832" t="str">
        <f t="shared" si="853"/>
        <v>0P00</v>
      </c>
      <c r="AJ2832" t="str">
        <f t="shared" si="854"/>
        <v>P000</v>
      </c>
    </row>
    <row r="2833" spans="1:36" x14ac:dyDescent="0.25">
      <c r="A2833" s="325" t="str">
        <f>CONCATENATE("P",'906MP'!M2533)</f>
        <v>P</v>
      </c>
      <c r="B2833">
        <f>'906MP'!H2533</f>
        <v>0</v>
      </c>
      <c r="C2833">
        <f>'906MP'!J2533</f>
        <v>0</v>
      </c>
      <c r="D2833">
        <f>'906MP'!P2533</f>
        <v>0</v>
      </c>
      <c r="E2833">
        <f>'906MP'!X2533</f>
        <v>0</v>
      </c>
      <c r="F2833" t="str">
        <f t="shared" si="846"/>
        <v>0</v>
      </c>
      <c r="G2833" t="str">
        <f t="shared" si="847"/>
        <v>0</v>
      </c>
      <c r="H2833">
        <f>'906MP'!Y2533</f>
        <v>0</v>
      </c>
      <c r="I2833">
        <f>'906MP'!AK2533</f>
        <v>0</v>
      </c>
      <c r="J2833">
        <f>'906MP'!T2533</f>
        <v>0</v>
      </c>
      <c r="K2833">
        <f>'906MP'!AJ2533</f>
        <v>0</v>
      </c>
      <c r="L2833">
        <f>'906MP'!U2533</f>
        <v>0</v>
      </c>
      <c r="M2833" s="322" t="str">
        <f>IFERROR(VLOOKUP(A2833,PAR!$D$3:$E$53,2,FALSE),"nincs szervezet")</f>
        <v>nincs szervezet</v>
      </c>
      <c r="N2833" s="322" t="str">
        <f>VLOOKUP(F2833,PAR!$R$3:$S$5,2,FALSE)</f>
        <v>3 - egyik sem</v>
      </c>
      <c r="O2833" t="str">
        <f>IFERROR(VLOOKUP(J2833,PAR!$O$3:$P$5,2,FALSE),"nincs feladat")</f>
        <v>nincs feladat</v>
      </c>
      <c r="P2833" t="str">
        <f>IFERROR(VLOOKUP(G2833,PAR!$J$2:$M$19,4),"nincs rovat")</f>
        <v>nincs rovat</v>
      </c>
      <c r="Q2833" t="str">
        <f>IF(H2833&gt;0,VLOOKUP(H2833,PAR!$AA$3:$AC$187,3,FALSE),"nincs főkönyvi számla")</f>
        <v>nincs főkönyvi számla</v>
      </c>
      <c r="R2833" t="str">
        <f>IFERROR(VLOOKUP(K2833,PAR!$V$3:$X$438,3,FALSE),"000000 - Nincs COFOG")</f>
        <v>000000 - Nincs COFOG</v>
      </c>
      <c r="S2833">
        <f t="shared" si="848"/>
        <v>0</v>
      </c>
      <c r="T2833">
        <f t="shared" si="849"/>
        <v>0</v>
      </c>
      <c r="U2833" t="str">
        <f>IF('906MP'!J2533&gt;0,CONCATENATE('906MP'!J2533," - ",'906MP'!P2533,", ",'906MP'!E2533),"nincs megjegyzés")</f>
        <v>nincs megjegyzés</v>
      </c>
      <c r="V2833" t="str">
        <f t="shared" si="836"/>
        <v>0P0</v>
      </c>
      <c r="W2833" t="str">
        <f t="shared" si="837"/>
        <v>0P0</v>
      </c>
      <c r="X2833" t="str">
        <f t="shared" si="838"/>
        <v>P0</v>
      </c>
      <c r="Y2833" t="str">
        <f t="shared" si="839"/>
        <v>00</v>
      </c>
      <c r="Z2833" t="str">
        <f t="shared" si="850"/>
        <v>00</v>
      </c>
      <c r="AA2833" t="str">
        <f t="shared" si="840"/>
        <v>00</v>
      </c>
      <c r="AB2833" t="str">
        <f t="shared" si="841"/>
        <v>00</v>
      </c>
      <c r="AC2833" t="str">
        <f t="shared" si="842"/>
        <v>0P0</v>
      </c>
      <c r="AD2833" t="str">
        <f t="shared" si="843"/>
        <v>P00</v>
      </c>
      <c r="AE2833" t="str">
        <f t="shared" si="844"/>
        <v>0P0</v>
      </c>
      <c r="AF2833" t="str">
        <f t="shared" si="845"/>
        <v>P00</v>
      </c>
      <c r="AG2833" t="str">
        <f t="shared" si="851"/>
        <v>0P00</v>
      </c>
      <c r="AH2833" t="str">
        <f t="shared" si="852"/>
        <v>P000</v>
      </c>
      <c r="AI2833" t="str">
        <f t="shared" si="853"/>
        <v>0P00</v>
      </c>
      <c r="AJ2833" t="str">
        <f t="shared" si="854"/>
        <v>P000</v>
      </c>
    </row>
    <row r="2834" spans="1:36" x14ac:dyDescent="0.25">
      <c r="A2834" s="325" t="str">
        <f>CONCATENATE("P",'906MP'!M2534)</f>
        <v>P</v>
      </c>
      <c r="B2834">
        <f>'906MP'!H2534</f>
        <v>0</v>
      </c>
      <c r="C2834">
        <f>'906MP'!J2534</f>
        <v>0</v>
      </c>
      <c r="D2834">
        <f>'906MP'!P2534</f>
        <v>0</v>
      </c>
      <c r="E2834">
        <f>'906MP'!X2534</f>
        <v>0</v>
      </c>
      <c r="F2834" t="str">
        <f t="shared" si="846"/>
        <v>0</v>
      </c>
      <c r="G2834" t="str">
        <f t="shared" si="847"/>
        <v>0</v>
      </c>
      <c r="H2834">
        <f>'906MP'!Y2534</f>
        <v>0</v>
      </c>
      <c r="I2834">
        <f>'906MP'!AK2534</f>
        <v>0</v>
      </c>
      <c r="J2834">
        <f>'906MP'!T2534</f>
        <v>0</v>
      </c>
      <c r="K2834">
        <f>'906MP'!AJ2534</f>
        <v>0</v>
      </c>
      <c r="L2834">
        <f>'906MP'!U2534</f>
        <v>0</v>
      </c>
      <c r="M2834" s="322" t="str">
        <f>IFERROR(VLOOKUP(A2834,PAR!$D$3:$E$53,2,FALSE),"nincs szervezet")</f>
        <v>nincs szervezet</v>
      </c>
      <c r="N2834" s="322" t="str">
        <f>VLOOKUP(F2834,PAR!$R$3:$S$5,2,FALSE)</f>
        <v>3 - egyik sem</v>
      </c>
      <c r="O2834" t="str">
        <f>IFERROR(VLOOKUP(J2834,PAR!$O$3:$P$5,2,FALSE),"nincs feladat")</f>
        <v>nincs feladat</v>
      </c>
      <c r="P2834" t="str">
        <f>IFERROR(VLOOKUP(G2834,PAR!$J$2:$M$19,4),"nincs rovat")</f>
        <v>nincs rovat</v>
      </c>
      <c r="Q2834" t="str">
        <f>IF(H2834&gt;0,VLOOKUP(H2834,PAR!$AA$3:$AC$187,3,FALSE),"nincs főkönyvi számla")</f>
        <v>nincs főkönyvi számla</v>
      </c>
      <c r="R2834" t="str">
        <f>IFERROR(VLOOKUP(K2834,PAR!$V$3:$X$438,3,FALSE),"000000 - Nincs COFOG")</f>
        <v>000000 - Nincs COFOG</v>
      </c>
      <c r="S2834">
        <f t="shared" si="848"/>
        <v>0</v>
      </c>
      <c r="T2834">
        <f t="shared" si="849"/>
        <v>0</v>
      </c>
      <c r="U2834" t="str">
        <f>IF('906MP'!J2534&gt;0,CONCATENATE('906MP'!J2534," - ",'906MP'!P2534,", ",'906MP'!E2534),"nincs megjegyzés")</f>
        <v>nincs megjegyzés</v>
      </c>
      <c r="V2834" t="str">
        <f t="shared" si="836"/>
        <v>0P0</v>
      </c>
      <c r="W2834" t="str">
        <f t="shared" si="837"/>
        <v>0P0</v>
      </c>
      <c r="X2834" t="str">
        <f t="shared" si="838"/>
        <v>P0</v>
      </c>
      <c r="Y2834" t="str">
        <f t="shared" si="839"/>
        <v>00</v>
      </c>
      <c r="Z2834" t="str">
        <f t="shared" si="850"/>
        <v>00</v>
      </c>
      <c r="AA2834" t="str">
        <f t="shared" si="840"/>
        <v>00</v>
      </c>
      <c r="AB2834" t="str">
        <f t="shared" si="841"/>
        <v>00</v>
      </c>
      <c r="AC2834" t="str">
        <f t="shared" si="842"/>
        <v>0P0</v>
      </c>
      <c r="AD2834" t="str">
        <f t="shared" si="843"/>
        <v>P00</v>
      </c>
      <c r="AE2834" t="str">
        <f t="shared" si="844"/>
        <v>0P0</v>
      </c>
      <c r="AF2834" t="str">
        <f t="shared" si="845"/>
        <v>P00</v>
      </c>
      <c r="AG2834" t="str">
        <f t="shared" si="851"/>
        <v>0P00</v>
      </c>
      <c r="AH2834" t="str">
        <f t="shared" si="852"/>
        <v>P000</v>
      </c>
      <c r="AI2834" t="str">
        <f t="shared" si="853"/>
        <v>0P00</v>
      </c>
      <c r="AJ2834" t="str">
        <f t="shared" si="854"/>
        <v>P000</v>
      </c>
    </row>
    <row r="2835" spans="1:36" x14ac:dyDescent="0.25">
      <c r="A2835" s="325" t="str">
        <f>CONCATENATE("P",'906MP'!M2535)</f>
        <v>P</v>
      </c>
      <c r="B2835">
        <f>'906MP'!H2535</f>
        <v>0</v>
      </c>
      <c r="C2835">
        <f>'906MP'!J2535</f>
        <v>0</v>
      </c>
      <c r="D2835">
        <f>'906MP'!P2535</f>
        <v>0</v>
      </c>
      <c r="E2835">
        <f>'906MP'!X2535</f>
        <v>0</v>
      </c>
      <c r="F2835" t="str">
        <f t="shared" si="846"/>
        <v>0</v>
      </c>
      <c r="G2835" t="str">
        <f t="shared" si="847"/>
        <v>0</v>
      </c>
      <c r="H2835">
        <f>'906MP'!Y2535</f>
        <v>0</v>
      </c>
      <c r="I2835">
        <f>'906MP'!AK2535</f>
        <v>0</v>
      </c>
      <c r="J2835">
        <f>'906MP'!T2535</f>
        <v>0</v>
      </c>
      <c r="K2835">
        <f>'906MP'!AJ2535</f>
        <v>0</v>
      </c>
      <c r="L2835">
        <f>'906MP'!U2535</f>
        <v>0</v>
      </c>
      <c r="M2835" s="322" t="str">
        <f>IFERROR(VLOOKUP(A2835,PAR!$D$3:$E$53,2,FALSE),"nincs szervezet")</f>
        <v>nincs szervezet</v>
      </c>
      <c r="N2835" s="322" t="str">
        <f>VLOOKUP(F2835,PAR!$R$3:$S$5,2,FALSE)</f>
        <v>3 - egyik sem</v>
      </c>
      <c r="O2835" t="str">
        <f>IFERROR(VLOOKUP(J2835,PAR!$O$3:$P$5,2,FALSE),"nincs feladat")</f>
        <v>nincs feladat</v>
      </c>
      <c r="P2835" t="str">
        <f>IFERROR(VLOOKUP(G2835,PAR!$J$2:$M$19,4),"nincs rovat")</f>
        <v>nincs rovat</v>
      </c>
      <c r="Q2835" t="str">
        <f>IF(H2835&gt;0,VLOOKUP(H2835,PAR!$AA$3:$AC$187,3,FALSE),"nincs főkönyvi számla")</f>
        <v>nincs főkönyvi számla</v>
      </c>
      <c r="R2835" t="str">
        <f>IFERROR(VLOOKUP(K2835,PAR!$V$3:$X$438,3,FALSE),"000000 - Nincs COFOG")</f>
        <v>000000 - Nincs COFOG</v>
      </c>
      <c r="S2835">
        <f t="shared" si="848"/>
        <v>0</v>
      </c>
      <c r="T2835">
        <f t="shared" si="849"/>
        <v>0</v>
      </c>
      <c r="U2835" t="str">
        <f>IF('906MP'!J2535&gt;0,CONCATENATE('906MP'!J2535," - ",'906MP'!P2535,", ",'906MP'!E2535),"nincs megjegyzés")</f>
        <v>nincs megjegyzés</v>
      </c>
      <c r="V2835" t="str">
        <f t="shared" si="836"/>
        <v>0P0</v>
      </c>
      <c r="W2835" t="str">
        <f t="shared" si="837"/>
        <v>0P0</v>
      </c>
      <c r="X2835" t="str">
        <f t="shared" si="838"/>
        <v>P0</v>
      </c>
      <c r="Y2835" t="str">
        <f t="shared" si="839"/>
        <v>00</v>
      </c>
      <c r="Z2835" t="str">
        <f t="shared" si="850"/>
        <v>00</v>
      </c>
      <c r="AA2835" t="str">
        <f t="shared" si="840"/>
        <v>00</v>
      </c>
      <c r="AB2835" t="str">
        <f t="shared" si="841"/>
        <v>00</v>
      </c>
      <c r="AC2835" t="str">
        <f t="shared" si="842"/>
        <v>0P0</v>
      </c>
      <c r="AD2835" t="str">
        <f t="shared" si="843"/>
        <v>P00</v>
      </c>
      <c r="AE2835" t="str">
        <f t="shared" si="844"/>
        <v>0P0</v>
      </c>
      <c r="AF2835" t="str">
        <f t="shared" si="845"/>
        <v>P00</v>
      </c>
      <c r="AG2835" t="str">
        <f t="shared" si="851"/>
        <v>0P00</v>
      </c>
      <c r="AH2835" t="str">
        <f t="shared" si="852"/>
        <v>P000</v>
      </c>
      <c r="AI2835" t="str">
        <f t="shared" si="853"/>
        <v>0P00</v>
      </c>
      <c r="AJ2835" t="str">
        <f t="shared" si="854"/>
        <v>P000</v>
      </c>
    </row>
    <row r="2836" spans="1:36" x14ac:dyDescent="0.25">
      <c r="A2836" s="325" t="str">
        <f>CONCATENATE("P",'906MP'!M2536)</f>
        <v>P</v>
      </c>
      <c r="B2836">
        <f>'906MP'!H2536</f>
        <v>0</v>
      </c>
      <c r="C2836">
        <f>'906MP'!J2536</f>
        <v>0</v>
      </c>
      <c r="D2836">
        <f>'906MP'!P2536</f>
        <v>0</v>
      </c>
      <c r="E2836">
        <f>'906MP'!X2536</f>
        <v>0</v>
      </c>
      <c r="F2836" t="str">
        <f t="shared" si="846"/>
        <v>0</v>
      </c>
      <c r="G2836" t="str">
        <f t="shared" si="847"/>
        <v>0</v>
      </c>
      <c r="H2836">
        <f>'906MP'!Y2536</f>
        <v>0</v>
      </c>
      <c r="I2836">
        <f>'906MP'!AK2536</f>
        <v>0</v>
      </c>
      <c r="J2836">
        <f>'906MP'!T2536</f>
        <v>0</v>
      </c>
      <c r="K2836">
        <f>'906MP'!AJ2536</f>
        <v>0</v>
      </c>
      <c r="L2836">
        <f>'906MP'!U2536</f>
        <v>0</v>
      </c>
      <c r="M2836" s="322" t="str">
        <f>IFERROR(VLOOKUP(A2836,PAR!$D$3:$E$53,2,FALSE),"nincs szervezet")</f>
        <v>nincs szervezet</v>
      </c>
      <c r="N2836" s="322" t="str">
        <f>VLOOKUP(F2836,PAR!$R$3:$S$5,2,FALSE)</f>
        <v>3 - egyik sem</v>
      </c>
      <c r="O2836" t="str">
        <f>IFERROR(VLOOKUP(J2836,PAR!$O$3:$P$5,2,FALSE),"nincs feladat")</f>
        <v>nincs feladat</v>
      </c>
      <c r="P2836" t="str">
        <f>IFERROR(VLOOKUP(G2836,PAR!$J$2:$M$19,4),"nincs rovat")</f>
        <v>nincs rovat</v>
      </c>
      <c r="Q2836" t="str">
        <f>IF(H2836&gt;0,VLOOKUP(H2836,PAR!$AA$3:$AC$187,3,FALSE),"nincs főkönyvi számla")</f>
        <v>nincs főkönyvi számla</v>
      </c>
      <c r="R2836" t="str">
        <f>IFERROR(VLOOKUP(K2836,PAR!$V$3:$X$438,3,FALSE),"000000 - Nincs COFOG")</f>
        <v>000000 - Nincs COFOG</v>
      </c>
      <c r="S2836">
        <f t="shared" si="848"/>
        <v>0</v>
      </c>
      <c r="T2836">
        <f t="shared" si="849"/>
        <v>0</v>
      </c>
      <c r="U2836" t="str">
        <f>IF('906MP'!J2536&gt;0,CONCATENATE('906MP'!J2536," - ",'906MP'!P2536,", ",'906MP'!E2536),"nincs megjegyzés")</f>
        <v>nincs megjegyzés</v>
      </c>
      <c r="V2836" t="str">
        <f t="shared" si="836"/>
        <v>0P0</v>
      </c>
      <c r="W2836" t="str">
        <f t="shared" si="837"/>
        <v>0P0</v>
      </c>
      <c r="X2836" t="str">
        <f t="shared" si="838"/>
        <v>P0</v>
      </c>
      <c r="Y2836" t="str">
        <f t="shared" si="839"/>
        <v>00</v>
      </c>
      <c r="Z2836" t="str">
        <f t="shared" si="850"/>
        <v>00</v>
      </c>
      <c r="AA2836" t="str">
        <f t="shared" si="840"/>
        <v>00</v>
      </c>
      <c r="AB2836" t="str">
        <f t="shared" si="841"/>
        <v>00</v>
      </c>
      <c r="AC2836" t="str">
        <f t="shared" si="842"/>
        <v>0P0</v>
      </c>
      <c r="AD2836" t="str">
        <f t="shared" si="843"/>
        <v>P00</v>
      </c>
      <c r="AE2836" t="str">
        <f t="shared" si="844"/>
        <v>0P0</v>
      </c>
      <c r="AF2836" t="str">
        <f t="shared" si="845"/>
        <v>P00</v>
      </c>
      <c r="AG2836" t="str">
        <f t="shared" si="851"/>
        <v>0P00</v>
      </c>
      <c r="AH2836" t="str">
        <f t="shared" si="852"/>
        <v>P000</v>
      </c>
      <c r="AI2836" t="str">
        <f t="shared" si="853"/>
        <v>0P00</v>
      </c>
      <c r="AJ2836" t="str">
        <f t="shared" si="854"/>
        <v>P000</v>
      </c>
    </row>
    <row r="2837" spans="1:36" x14ac:dyDescent="0.25">
      <c r="A2837" s="325" t="str">
        <f>CONCATENATE("P",'906MP'!M2537)</f>
        <v>P</v>
      </c>
      <c r="B2837">
        <f>'906MP'!H2537</f>
        <v>0</v>
      </c>
      <c r="C2837">
        <f>'906MP'!J2537</f>
        <v>0</v>
      </c>
      <c r="D2837">
        <f>'906MP'!P2537</f>
        <v>0</v>
      </c>
      <c r="E2837">
        <f>'906MP'!X2537</f>
        <v>0</v>
      </c>
      <c r="F2837" t="str">
        <f t="shared" si="846"/>
        <v>0</v>
      </c>
      <c r="G2837" t="str">
        <f t="shared" si="847"/>
        <v>0</v>
      </c>
      <c r="H2837">
        <f>'906MP'!Y2537</f>
        <v>0</v>
      </c>
      <c r="I2837">
        <f>'906MP'!AK2537</f>
        <v>0</v>
      </c>
      <c r="J2837">
        <f>'906MP'!T2537</f>
        <v>0</v>
      </c>
      <c r="K2837">
        <f>'906MP'!AJ2537</f>
        <v>0</v>
      </c>
      <c r="L2837">
        <f>'906MP'!U2537</f>
        <v>0</v>
      </c>
      <c r="M2837" s="322" t="str">
        <f>IFERROR(VLOOKUP(A2837,PAR!$D$3:$E$53,2,FALSE),"nincs szervezet")</f>
        <v>nincs szervezet</v>
      </c>
      <c r="N2837" s="322" t="str">
        <f>VLOOKUP(F2837,PAR!$R$3:$S$5,2,FALSE)</f>
        <v>3 - egyik sem</v>
      </c>
      <c r="O2837" t="str">
        <f>IFERROR(VLOOKUP(J2837,PAR!$O$3:$P$5,2,FALSE),"nincs feladat")</f>
        <v>nincs feladat</v>
      </c>
      <c r="P2837" t="str">
        <f>IFERROR(VLOOKUP(G2837,PAR!$J$2:$M$19,4),"nincs rovat")</f>
        <v>nincs rovat</v>
      </c>
      <c r="Q2837" t="str">
        <f>IF(H2837&gt;0,VLOOKUP(H2837,PAR!$AA$3:$AC$187,3,FALSE),"nincs főkönyvi számla")</f>
        <v>nincs főkönyvi számla</v>
      </c>
      <c r="R2837" t="str">
        <f>IFERROR(VLOOKUP(K2837,PAR!$V$3:$X$438,3,FALSE),"000000 - Nincs COFOG")</f>
        <v>000000 - Nincs COFOG</v>
      </c>
      <c r="S2837">
        <f t="shared" si="848"/>
        <v>0</v>
      </c>
      <c r="T2837">
        <f t="shared" si="849"/>
        <v>0</v>
      </c>
      <c r="U2837" t="str">
        <f>IF('906MP'!J2537&gt;0,CONCATENATE('906MP'!J2537," - ",'906MP'!P2537,", ",'906MP'!E2537),"nincs megjegyzés")</f>
        <v>nincs megjegyzés</v>
      </c>
      <c r="V2837" t="str">
        <f t="shared" si="836"/>
        <v>0P0</v>
      </c>
      <c r="W2837" t="str">
        <f t="shared" si="837"/>
        <v>0P0</v>
      </c>
      <c r="X2837" t="str">
        <f t="shared" si="838"/>
        <v>P0</v>
      </c>
      <c r="Y2837" t="str">
        <f t="shared" si="839"/>
        <v>00</v>
      </c>
      <c r="Z2837" t="str">
        <f t="shared" si="850"/>
        <v>00</v>
      </c>
      <c r="AA2837" t="str">
        <f t="shared" si="840"/>
        <v>00</v>
      </c>
      <c r="AB2837" t="str">
        <f t="shared" si="841"/>
        <v>00</v>
      </c>
      <c r="AC2837" t="str">
        <f t="shared" si="842"/>
        <v>0P0</v>
      </c>
      <c r="AD2837" t="str">
        <f t="shared" si="843"/>
        <v>P00</v>
      </c>
      <c r="AE2837" t="str">
        <f t="shared" si="844"/>
        <v>0P0</v>
      </c>
      <c r="AF2837" t="str">
        <f t="shared" si="845"/>
        <v>P00</v>
      </c>
      <c r="AG2837" t="str">
        <f t="shared" si="851"/>
        <v>0P00</v>
      </c>
      <c r="AH2837" t="str">
        <f t="shared" si="852"/>
        <v>P000</v>
      </c>
      <c r="AI2837" t="str">
        <f t="shared" si="853"/>
        <v>0P00</v>
      </c>
      <c r="AJ2837" t="str">
        <f t="shared" si="854"/>
        <v>P000</v>
      </c>
    </row>
    <row r="2838" spans="1:36" x14ac:dyDescent="0.25">
      <c r="A2838" s="325" t="str">
        <f>CONCATENATE("P",'906MP'!M2538)</f>
        <v>P</v>
      </c>
      <c r="B2838">
        <f>'906MP'!H2538</f>
        <v>0</v>
      </c>
      <c r="C2838">
        <f>'906MP'!J2538</f>
        <v>0</v>
      </c>
      <c r="D2838">
        <f>'906MP'!P2538</f>
        <v>0</v>
      </c>
      <c r="E2838">
        <f>'906MP'!X2538</f>
        <v>0</v>
      </c>
      <c r="F2838" t="str">
        <f t="shared" si="846"/>
        <v>0</v>
      </c>
      <c r="G2838" t="str">
        <f t="shared" si="847"/>
        <v>0</v>
      </c>
      <c r="H2838">
        <f>'906MP'!Y2538</f>
        <v>0</v>
      </c>
      <c r="I2838">
        <f>'906MP'!AK2538</f>
        <v>0</v>
      </c>
      <c r="J2838">
        <f>'906MP'!T2538</f>
        <v>0</v>
      </c>
      <c r="K2838">
        <f>'906MP'!AJ2538</f>
        <v>0</v>
      </c>
      <c r="L2838">
        <f>'906MP'!U2538</f>
        <v>0</v>
      </c>
      <c r="M2838" s="322" t="str">
        <f>IFERROR(VLOOKUP(A2838,PAR!$D$3:$E$53,2,FALSE),"nincs szervezet")</f>
        <v>nincs szervezet</v>
      </c>
      <c r="N2838" s="322" t="str">
        <f>VLOOKUP(F2838,PAR!$R$3:$S$5,2,FALSE)</f>
        <v>3 - egyik sem</v>
      </c>
      <c r="O2838" t="str">
        <f>IFERROR(VLOOKUP(J2838,PAR!$O$3:$P$5,2,FALSE),"nincs feladat")</f>
        <v>nincs feladat</v>
      </c>
      <c r="P2838" t="str">
        <f>IFERROR(VLOOKUP(G2838,PAR!$J$2:$M$19,4),"nincs rovat")</f>
        <v>nincs rovat</v>
      </c>
      <c r="Q2838" t="str">
        <f>IF(H2838&gt;0,VLOOKUP(H2838,PAR!$AA$3:$AC$187,3,FALSE),"nincs főkönyvi számla")</f>
        <v>nincs főkönyvi számla</v>
      </c>
      <c r="R2838" t="str">
        <f>IFERROR(VLOOKUP(K2838,PAR!$V$3:$X$438,3,FALSE),"000000 - Nincs COFOG")</f>
        <v>000000 - Nincs COFOG</v>
      </c>
      <c r="S2838">
        <f t="shared" si="848"/>
        <v>0</v>
      </c>
      <c r="T2838">
        <f t="shared" si="849"/>
        <v>0</v>
      </c>
      <c r="U2838" t="str">
        <f>IF('906MP'!J2538&gt;0,CONCATENATE('906MP'!J2538," - ",'906MP'!P2538,", ",'906MP'!E2538),"nincs megjegyzés")</f>
        <v>nincs megjegyzés</v>
      </c>
      <c r="V2838" t="str">
        <f t="shared" si="836"/>
        <v>0P0</v>
      </c>
      <c r="W2838" t="str">
        <f t="shared" si="837"/>
        <v>0P0</v>
      </c>
      <c r="X2838" t="str">
        <f t="shared" si="838"/>
        <v>P0</v>
      </c>
      <c r="Y2838" t="str">
        <f t="shared" si="839"/>
        <v>00</v>
      </c>
      <c r="Z2838" t="str">
        <f t="shared" si="850"/>
        <v>00</v>
      </c>
      <c r="AA2838" t="str">
        <f t="shared" si="840"/>
        <v>00</v>
      </c>
      <c r="AB2838" t="str">
        <f t="shared" si="841"/>
        <v>00</v>
      </c>
      <c r="AC2838" t="str">
        <f t="shared" si="842"/>
        <v>0P0</v>
      </c>
      <c r="AD2838" t="str">
        <f t="shared" si="843"/>
        <v>P00</v>
      </c>
      <c r="AE2838" t="str">
        <f t="shared" si="844"/>
        <v>0P0</v>
      </c>
      <c r="AF2838" t="str">
        <f t="shared" si="845"/>
        <v>P00</v>
      </c>
      <c r="AG2838" t="str">
        <f t="shared" si="851"/>
        <v>0P00</v>
      </c>
      <c r="AH2838" t="str">
        <f t="shared" si="852"/>
        <v>P000</v>
      </c>
      <c r="AI2838" t="str">
        <f t="shared" si="853"/>
        <v>0P00</v>
      </c>
      <c r="AJ2838" t="str">
        <f t="shared" si="854"/>
        <v>P000</v>
      </c>
    </row>
    <row r="2839" spans="1:36" x14ac:dyDescent="0.25">
      <c r="A2839" s="325" t="str">
        <f>CONCATENATE("P",'906MP'!M2539)</f>
        <v>P</v>
      </c>
      <c r="B2839">
        <f>'906MP'!H2539</f>
        <v>0</v>
      </c>
      <c r="C2839">
        <f>'906MP'!J2539</f>
        <v>0</v>
      </c>
      <c r="D2839">
        <f>'906MP'!P2539</f>
        <v>0</v>
      </c>
      <c r="E2839">
        <f>'906MP'!X2539</f>
        <v>0</v>
      </c>
      <c r="F2839" t="str">
        <f t="shared" si="846"/>
        <v>0</v>
      </c>
      <c r="G2839" t="str">
        <f t="shared" si="847"/>
        <v>0</v>
      </c>
      <c r="H2839">
        <f>'906MP'!Y2539</f>
        <v>0</v>
      </c>
      <c r="I2839">
        <f>'906MP'!AK2539</f>
        <v>0</v>
      </c>
      <c r="J2839">
        <f>'906MP'!T2539</f>
        <v>0</v>
      </c>
      <c r="K2839">
        <f>'906MP'!AJ2539</f>
        <v>0</v>
      </c>
      <c r="L2839">
        <f>'906MP'!U2539</f>
        <v>0</v>
      </c>
      <c r="M2839" s="322" t="str">
        <f>IFERROR(VLOOKUP(A2839,PAR!$D$3:$E$53,2,FALSE),"nincs szervezet")</f>
        <v>nincs szervezet</v>
      </c>
      <c r="N2839" s="322" t="str">
        <f>VLOOKUP(F2839,PAR!$R$3:$S$5,2,FALSE)</f>
        <v>3 - egyik sem</v>
      </c>
      <c r="O2839" t="str">
        <f>IFERROR(VLOOKUP(J2839,PAR!$O$3:$P$5,2,FALSE),"nincs feladat")</f>
        <v>nincs feladat</v>
      </c>
      <c r="P2839" t="str">
        <f>IFERROR(VLOOKUP(G2839,PAR!$J$2:$M$19,4),"nincs rovat")</f>
        <v>nincs rovat</v>
      </c>
      <c r="Q2839" t="str">
        <f>IF(H2839&gt;0,VLOOKUP(H2839,PAR!$AA$3:$AC$187,3,FALSE),"nincs főkönyvi számla")</f>
        <v>nincs főkönyvi számla</v>
      </c>
      <c r="R2839" t="str">
        <f>IFERROR(VLOOKUP(K2839,PAR!$V$3:$X$438,3,FALSE),"000000 - Nincs COFOG")</f>
        <v>000000 - Nincs COFOG</v>
      </c>
      <c r="S2839">
        <f t="shared" si="848"/>
        <v>0</v>
      </c>
      <c r="T2839">
        <f t="shared" si="849"/>
        <v>0</v>
      </c>
      <c r="U2839" t="str">
        <f>IF('906MP'!J2539&gt;0,CONCATENATE('906MP'!J2539," - ",'906MP'!P2539,", ",'906MP'!E2539),"nincs megjegyzés")</f>
        <v>nincs megjegyzés</v>
      </c>
      <c r="V2839" t="str">
        <f t="shared" si="836"/>
        <v>0P0</v>
      </c>
      <c r="W2839" t="str">
        <f t="shared" si="837"/>
        <v>0P0</v>
      </c>
      <c r="X2839" t="str">
        <f t="shared" si="838"/>
        <v>P0</v>
      </c>
      <c r="Y2839" t="str">
        <f t="shared" si="839"/>
        <v>00</v>
      </c>
      <c r="Z2839" t="str">
        <f t="shared" si="850"/>
        <v>00</v>
      </c>
      <c r="AA2839" t="str">
        <f t="shared" si="840"/>
        <v>00</v>
      </c>
      <c r="AB2839" t="str">
        <f t="shared" si="841"/>
        <v>00</v>
      </c>
      <c r="AC2839" t="str">
        <f t="shared" si="842"/>
        <v>0P0</v>
      </c>
      <c r="AD2839" t="str">
        <f t="shared" si="843"/>
        <v>P00</v>
      </c>
      <c r="AE2839" t="str">
        <f t="shared" si="844"/>
        <v>0P0</v>
      </c>
      <c r="AF2839" t="str">
        <f t="shared" si="845"/>
        <v>P00</v>
      </c>
      <c r="AG2839" t="str">
        <f t="shared" si="851"/>
        <v>0P00</v>
      </c>
      <c r="AH2839" t="str">
        <f t="shared" si="852"/>
        <v>P000</v>
      </c>
      <c r="AI2839" t="str">
        <f t="shared" si="853"/>
        <v>0P00</v>
      </c>
      <c r="AJ2839" t="str">
        <f t="shared" si="854"/>
        <v>P000</v>
      </c>
    </row>
    <row r="2840" spans="1:36" x14ac:dyDescent="0.25">
      <c r="A2840" s="325" t="str">
        <f>CONCATENATE("P",'906MP'!M2540)</f>
        <v>P</v>
      </c>
      <c r="B2840">
        <f>'906MP'!H2540</f>
        <v>0</v>
      </c>
      <c r="C2840">
        <f>'906MP'!J2540</f>
        <v>0</v>
      </c>
      <c r="D2840">
        <f>'906MP'!P2540</f>
        <v>0</v>
      </c>
      <c r="E2840">
        <f>'906MP'!X2540</f>
        <v>0</v>
      </c>
      <c r="F2840" t="str">
        <f t="shared" si="846"/>
        <v>0</v>
      </c>
      <c r="G2840" t="str">
        <f t="shared" si="847"/>
        <v>0</v>
      </c>
      <c r="H2840">
        <f>'906MP'!Y2540</f>
        <v>0</v>
      </c>
      <c r="I2840">
        <f>'906MP'!AK2540</f>
        <v>0</v>
      </c>
      <c r="J2840">
        <f>'906MP'!T2540</f>
        <v>0</v>
      </c>
      <c r="K2840">
        <f>'906MP'!AJ2540</f>
        <v>0</v>
      </c>
      <c r="L2840">
        <f>'906MP'!U2540</f>
        <v>0</v>
      </c>
      <c r="M2840" s="322" t="str">
        <f>IFERROR(VLOOKUP(A2840,PAR!$D$3:$E$53,2,FALSE),"nincs szervezet")</f>
        <v>nincs szervezet</v>
      </c>
      <c r="N2840" s="322" t="str">
        <f>VLOOKUP(F2840,PAR!$R$3:$S$5,2,FALSE)</f>
        <v>3 - egyik sem</v>
      </c>
      <c r="O2840" t="str">
        <f>IFERROR(VLOOKUP(J2840,PAR!$O$3:$P$5,2,FALSE),"nincs feladat")</f>
        <v>nincs feladat</v>
      </c>
      <c r="P2840" t="str">
        <f>IFERROR(VLOOKUP(G2840,PAR!$J$2:$M$19,4),"nincs rovat")</f>
        <v>nincs rovat</v>
      </c>
      <c r="Q2840" t="str">
        <f>IF(H2840&gt;0,VLOOKUP(H2840,PAR!$AA$3:$AC$187,3,FALSE),"nincs főkönyvi számla")</f>
        <v>nincs főkönyvi számla</v>
      </c>
      <c r="R2840" t="str">
        <f>IFERROR(VLOOKUP(K2840,PAR!$V$3:$X$438,3,FALSE),"000000 - Nincs COFOG")</f>
        <v>000000 - Nincs COFOG</v>
      </c>
      <c r="S2840">
        <f t="shared" si="848"/>
        <v>0</v>
      </c>
      <c r="T2840">
        <f t="shared" si="849"/>
        <v>0</v>
      </c>
      <c r="U2840" t="str">
        <f>IF('906MP'!J2540&gt;0,CONCATENATE('906MP'!J2540," - ",'906MP'!P2540,", ",'906MP'!E2540),"nincs megjegyzés")</f>
        <v>nincs megjegyzés</v>
      </c>
      <c r="V2840" t="str">
        <f t="shared" si="836"/>
        <v>0P0</v>
      </c>
      <c r="W2840" t="str">
        <f t="shared" si="837"/>
        <v>0P0</v>
      </c>
      <c r="X2840" t="str">
        <f t="shared" si="838"/>
        <v>P0</v>
      </c>
      <c r="Y2840" t="str">
        <f t="shared" si="839"/>
        <v>00</v>
      </c>
      <c r="Z2840" t="str">
        <f t="shared" si="850"/>
        <v>00</v>
      </c>
      <c r="AA2840" t="str">
        <f t="shared" si="840"/>
        <v>00</v>
      </c>
      <c r="AB2840" t="str">
        <f t="shared" si="841"/>
        <v>00</v>
      </c>
      <c r="AC2840" t="str">
        <f t="shared" si="842"/>
        <v>0P0</v>
      </c>
      <c r="AD2840" t="str">
        <f t="shared" si="843"/>
        <v>P00</v>
      </c>
      <c r="AE2840" t="str">
        <f t="shared" si="844"/>
        <v>0P0</v>
      </c>
      <c r="AF2840" t="str">
        <f t="shared" si="845"/>
        <v>P00</v>
      </c>
      <c r="AG2840" t="str">
        <f t="shared" si="851"/>
        <v>0P00</v>
      </c>
      <c r="AH2840" t="str">
        <f t="shared" si="852"/>
        <v>P000</v>
      </c>
      <c r="AI2840" t="str">
        <f t="shared" si="853"/>
        <v>0P00</v>
      </c>
      <c r="AJ2840" t="str">
        <f t="shared" si="854"/>
        <v>P000</v>
      </c>
    </row>
    <row r="2841" spans="1:36" x14ac:dyDescent="0.25">
      <c r="A2841" s="325" t="str">
        <f>CONCATENATE("P",'906MP'!M2541)</f>
        <v>P</v>
      </c>
      <c r="B2841">
        <f>'906MP'!H2541</f>
        <v>0</v>
      </c>
      <c r="C2841">
        <f>'906MP'!J2541</f>
        <v>0</v>
      </c>
      <c r="D2841">
        <f>'906MP'!P2541</f>
        <v>0</v>
      </c>
      <c r="E2841">
        <f>'906MP'!X2541</f>
        <v>0</v>
      </c>
      <c r="F2841" t="str">
        <f t="shared" si="846"/>
        <v>0</v>
      </c>
      <c r="G2841" t="str">
        <f t="shared" si="847"/>
        <v>0</v>
      </c>
      <c r="H2841">
        <f>'906MP'!Y2541</f>
        <v>0</v>
      </c>
      <c r="I2841">
        <f>'906MP'!AK2541</f>
        <v>0</v>
      </c>
      <c r="J2841">
        <f>'906MP'!T2541</f>
        <v>0</v>
      </c>
      <c r="K2841">
        <f>'906MP'!AJ2541</f>
        <v>0</v>
      </c>
      <c r="L2841">
        <f>'906MP'!U2541</f>
        <v>0</v>
      </c>
      <c r="M2841" s="322" t="str">
        <f>IFERROR(VLOOKUP(A2841,PAR!$D$3:$E$53,2,FALSE),"nincs szervezet")</f>
        <v>nincs szervezet</v>
      </c>
      <c r="N2841" s="322" t="str">
        <f>VLOOKUP(F2841,PAR!$R$3:$S$5,2,FALSE)</f>
        <v>3 - egyik sem</v>
      </c>
      <c r="O2841" t="str">
        <f>IFERROR(VLOOKUP(J2841,PAR!$O$3:$P$5,2,FALSE),"nincs feladat")</f>
        <v>nincs feladat</v>
      </c>
      <c r="P2841" t="str">
        <f>IFERROR(VLOOKUP(G2841,PAR!$J$2:$M$19,4),"nincs rovat")</f>
        <v>nincs rovat</v>
      </c>
      <c r="Q2841" t="str">
        <f>IF(H2841&gt;0,VLOOKUP(H2841,PAR!$AA$3:$AC$187,3,FALSE),"nincs főkönyvi számla")</f>
        <v>nincs főkönyvi számla</v>
      </c>
      <c r="R2841" t="str">
        <f>IFERROR(VLOOKUP(K2841,PAR!$V$3:$X$438,3,FALSE),"000000 - Nincs COFOG")</f>
        <v>000000 - Nincs COFOG</v>
      </c>
      <c r="S2841">
        <f t="shared" si="848"/>
        <v>0</v>
      </c>
      <c r="T2841">
        <f t="shared" si="849"/>
        <v>0</v>
      </c>
      <c r="U2841" t="str">
        <f>IF('906MP'!J2541&gt;0,CONCATENATE('906MP'!J2541," - ",'906MP'!P2541,", ",'906MP'!E2541),"nincs megjegyzés")</f>
        <v>nincs megjegyzés</v>
      </c>
      <c r="V2841" t="str">
        <f t="shared" si="836"/>
        <v>0P0</v>
      </c>
      <c r="W2841" t="str">
        <f t="shared" si="837"/>
        <v>0P0</v>
      </c>
      <c r="X2841" t="str">
        <f t="shared" si="838"/>
        <v>P0</v>
      </c>
      <c r="Y2841" t="str">
        <f t="shared" si="839"/>
        <v>00</v>
      </c>
      <c r="Z2841" t="str">
        <f t="shared" si="850"/>
        <v>00</v>
      </c>
      <c r="AA2841" t="str">
        <f t="shared" si="840"/>
        <v>00</v>
      </c>
      <c r="AB2841" t="str">
        <f t="shared" si="841"/>
        <v>00</v>
      </c>
      <c r="AC2841" t="str">
        <f t="shared" si="842"/>
        <v>0P0</v>
      </c>
      <c r="AD2841" t="str">
        <f t="shared" si="843"/>
        <v>P00</v>
      </c>
      <c r="AE2841" t="str">
        <f t="shared" si="844"/>
        <v>0P0</v>
      </c>
      <c r="AF2841" t="str">
        <f t="shared" si="845"/>
        <v>P00</v>
      </c>
      <c r="AG2841" t="str">
        <f t="shared" si="851"/>
        <v>0P00</v>
      </c>
      <c r="AH2841" t="str">
        <f t="shared" si="852"/>
        <v>P000</v>
      </c>
      <c r="AI2841" t="str">
        <f t="shared" si="853"/>
        <v>0P00</v>
      </c>
      <c r="AJ2841" t="str">
        <f t="shared" si="854"/>
        <v>P000</v>
      </c>
    </row>
    <row r="2842" spans="1:36" x14ac:dyDescent="0.25">
      <c r="A2842" s="325" t="str">
        <f>CONCATENATE("P",'906MP'!M2542)</f>
        <v>P</v>
      </c>
      <c r="B2842">
        <f>'906MP'!H2542</f>
        <v>0</v>
      </c>
      <c r="C2842">
        <f>'906MP'!J2542</f>
        <v>0</v>
      </c>
      <c r="D2842">
        <f>'906MP'!P2542</f>
        <v>0</v>
      </c>
      <c r="E2842">
        <f>'906MP'!X2542</f>
        <v>0</v>
      </c>
      <c r="F2842" t="str">
        <f t="shared" si="846"/>
        <v>0</v>
      </c>
      <c r="G2842" t="str">
        <f t="shared" si="847"/>
        <v>0</v>
      </c>
      <c r="H2842">
        <f>'906MP'!Y2542</f>
        <v>0</v>
      </c>
      <c r="I2842">
        <f>'906MP'!AK2542</f>
        <v>0</v>
      </c>
      <c r="J2842">
        <f>'906MP'!T2542</f>
        <v>0</v>
      </c>
      <c r="K2842">
        <f>'906MP'!AJ2542</f>
        <v>0</v>
      </c>
      <c r="L2842">
        <f>'906MP'!U2542</f>
        <v>0</v>
      </c>
      <c r="M2842" s="322" t="str">
        <f>IFERROR(VLOOKUP(A2842,PAR!$D$3:$E$53,2,FALSE),"nincs szervezet")</f>
        <v>nincs szervezet</v>
      </c>
      <c r="N2842" s="322" t="str">
        <f>VLOOKUP(F2842,PAR!$R$3:$S$5,2,FALSE)</f>
        <v>3 - egyik sem</v>
      </c>
      <c r="O2842" t="str">
        <f>IFERROR(VLOOKUP(J2842,PAR!$O$3:$P$5,2,FALSE),"nincs feladat")</f>
        <v>nincs feladat</v>
      </c>
      <c r="P2842" t="str">
        <f>IFERROR(VLOOKUP(G2842,PAR!$J$2:$M$19,4),"nincs rovat")</f>
        <v>nincs rovat</v>
      </c>
      <c r="Q2842" t="str">
        <f>IF(H2842&gt;0,VLOOKUP(H2842,PAR!$AA$3:$AC$187,3,FALSE),"nincs főkönyvi számla")</f>
        <v>nincs főkönyvi számla</v>
      </c>
      <c r="R2842" t="str">
        <f>IFERROR(VLOOKUP(K2842,PAR!$V$3:$X$438,3,FALSE),"000000 - Nincs COFOG")</f>
        <v>000000 - Nincs COFOG</v>
      </c>
      <c r="S2842">
        <f t="shared" si="848"/>
        <v>0</v>
      </c>
      <c r="T2842">
        <f t="shared" si="849"/>
        <v>0</v>
      </c>
      <c r="U2842" t="str">
        <f>IF('906MP'!J2542&gt;0,CONCATENATE('906MP'!J2542," - ",'906MP'!P2542,", ",'906MP'!E2542),"nincs megjegyzés")</f>
        <v>nincs megjegyzés</v>
      </c>
      <c r="V2842" t="str">
        <f t="shared" si="836"/>
        <v>0P0</v>
      </c>
      <c r="W2842" t="str">
        <f t="shared" si="837"/>
        <v>0P0</v>
      </c>
      <c r="X2842" t="str">
        <f t="shared" si="838"/>
        <v>P0</v>
      </c>
      <c r="Y2842" t="str">
        <f t="shared" si="839"/>
        <v>00</v>
      </c>
      <c r="Z2842" t="str">
        <f t="shared" si="850"/>
        <v>00</v>
      </c>
      <c r="AA2842" t="str">
        <f t="shared" si="840"/>
        <v>00</v>
      </c>
      <c r="AB2842" t="str">
        <f t="shared" si="841"/>
        <v>00</v>
      </c>
      <c r="AC2842" t="str">
        <f t="shared" si="842"/>
        <v>0P0</v>
      </c>
      <c r="AD2842" t="str">
        <f t="shared" si="843"/>
        <v>P00</v>
      </c>
      <c r="AE2842" t="str">
        <f t="shared" si="844"/>
        <v>0P0</v>
      </c>
      <c r="AF2842" t="str">
        <f t="shared" si="845"/>
        <v>P00</v>
      </c>
      <c r="AG2842" t="str">
        <f t="shared" si="851"/>
        <v>0P00</v>
      </c>
      <c r="AH2842" t="str">
        <f t="shared" si="852"/>
        <v>P000</v>
      </c>
      <c r="AI2842" t="str">
        <f t="shared" si="853"/>
        <v>0P00</v>
      </c>
      <c r="AJ2842" t="str">
        <f t="shared" si="854"/>
        <v>P000</v>
      </c>
    </row>
    <row r="2843" spans="1:36" x14ac:dyDescent="0.25">
      <c r="A2843" s="325" t="str">
        <f>CONCATENATE("P",'906MP'!M2543)</f>
        <v>P</v>
      </c>
      <c r="B2843">
        <f>'906MP'!H2543</f>
        <v>0</v>
      </c>
      <c r="C2843">
        <f>'906MP'!J2543</f>
        <v>0</v>
      </c>
      <c r="D2843">
        <f>'906MP'!P2543</f>
        <v>0</v>
      </c>
      <c r="E2843">
        <f>'906MP'!X2543</f>
        <v>0</v>
      </c>
      <c r="F2843" t="str">
        <f t="shared" si="846"/>
        <v>0</v>
      </c>
      <c r="G2843" t="str">
        <f t="shared" si="847"/>
        <v>0</v>
      </c>
      <c r="H2843">
        <f>'906MP'!Y2543</f>
        <v>0</v>
      </c>
      <c r="I2843">
        <f>'906MP'!AK2543</f>
        <v>0</v>
      </c>
      <c r="J2843">
        <f>'906MP'!T2543</f>
        <v>0</v>
      </c>
      <c r="K2843">
        <f>'906MP'!AJ2543</f>
        <v>0</v>
      </c>
      <c r="L2843">
        <f>'906MP'!U2543</f>
        <v>0</v>
      </c>
      <c r="M2843" s="322" t="str">
        <f>IFERROR(VLOOKUP(A2843,PAR!$D$3:$E$53,2,FALSE),"nincs szervezet")</f>
        <v>nincs szervezet</v>
      </c>
      <c r="N2843" s="322" t="str">
        <f>VLOOKUP(F2843,PAR!$R$3:$S$5,2,FALSE)</f>
        <v>3 - egyik sem</v>
      </c>
      <c r="O2843" t="str">
        <f>IFERROR(VLOOKUP(J2843,PAR!$O$3:$P$5,2,FALSE),"nincs feladat")</f>
        <v>nincs feladat</v>
      </c>
      <c r="P2843" t="str">
        <f>IFERROR(VLOOKUP(G2843,PAR!$J$2:$M$19,4),"nincs rovat")</f>
        <v>nincs rovat</v>
      </c>
      <c r="Q2843" t="str">
        <f>IF(H2843&gt;0,VLOOKUP(H2843,PAR!$AA$3:$AC$187,3,FALSE),"nincs főkönyvi számla")</f>
        <v>nincs főkönyvi számla</v>
      </c>
      <c r="R2843" t="str">
        <f>IFERROR(VLOOKUP(K2843,PAR!$V$3:$X$438,3,FALSE),"000000 - Nincs COFOG")</f>
        <v>000000 - Nincs COFOG</v>
      </c>
      <c r="S2843">
        <f t="shared" si="848"/>
        <v>0</v>
      </c>
      <c r="T2843">
        <f t="shared" si="849"/>
        <v>0</v>
      </c>
      <c r="U2843" t="str">
        <f>IF('906MP'!J2543&gt;0,CONCATENATE('906MP'!J2543," - ",'906MP'!P2543,", ",'906MP'!E2543),"nincs megjegyzés")</f>
        <v>nincs megjegyzés</v>
      </c>
      <c r="V2843" t="str">
        <f t="shared" si="836"/>
        <v>0P0</v>
      </c>
      <c r="W2843" t="str">
        <f t="shared" si="837"/>
        <v>0P0</v>
      </c>
      <c r="X2843" t="str">
        <f t="shared" si="838"/>
        <v>P0</v>
      </c>
      <c r="Y2843" t="str">
        <f t="shared" si="839"/>
        <v>00</v>
      </c>
      <c r="Z2843" t="str">
        <f t="shared" si="850"/>
        <v>00</v>
      </c>
      <c r="AA2843" t="str">
        <f t="shared" si="840"/>
        <v>00</v>
      </c>
      <c r="AB2843" t="str">
        <f t="shared" si="841"/>
        <v>00</v>
      </c>
      <c r="AC2843" t="str">
        <f t="shared" si="842"/>
        <v>0P0</v>
      </c>
      <c r="AD2843" t="str">
        <f t="shared" si="843"/>
        <v>P00</v>
      </c>
      <c r="AE2843" t="str">
        <f t="shared" si="844"/>
        <v>0P0</v>
      </c>
      <c r="AF2843" t="str">
        <f t="shared" si="845"/>
        <v>P00</v>
      </c>
      <c r="AG2843" t="str">
        <f t="shared" si="851"/>
        <v>0P00</v>
      </c>
      <c r="AH2843" t="str">
        <f t="shared" si="852"/>
        <v>P000</v>
      </c>
      <c r="AI2843" t="str">
        <f t="shared" si="853"/>
        <v>0P00</v>
      </c>
      <c r="AJ2843" t="str">
        <f t="shared" si="854"/>
        <v>P000</v>
      </c>
    </row>
    <row r="2844" spans="1:36" x14ac:dyDescent="0.25">
      <c r="A2844" s="325" t="str">
        <f>CONCATENATE("P",'906MP'!M2544)</f>
        <v>P</v>
      </c>
      <c r="B2844">
        <f>'906MP'!H2544</f>
        <v>0</v>
      </c>
      <c r="C2844">
        <f>'906MP'!J2544</f>
        <v>0</v>
      </c>
      <c r="D2844">
        <f>'906MP'!P2544</f>
        <v>0</v>
      </c>
      <c r="E2844">
        <f>'906MP'!X2544</f>
        <v>0</v>
      </c>
      <c r="F2844" t="str">
        <f t="shared" si="846"/>
        <v>0</v>
      </c>
      <c r="G2844" t="str">
        <f t="shared" si="847"/>
        <v>0</v>
      </c>
      <c r="H2844">
        <f>'906MP'!Y2544</f>
        <v>0</v>
      </c>
      <c r="I2844">
        <f>'906MP'!AK2544</f>
        <v>0</v>
      </c>
      <c r="J2844">
        <f>'906MP'!T2544</f>
        <v>0</v>
      </c>
      <c r="K2844">
        <f>'906MP'!AJ2544</f>
        <v>0</v>
      </c>
      <c r="L2844">
        <f>'906MP'!U2544</f>
        <v>0</v>
      </c>
      <c r="M2844" s="322" t="str">
        <f>IFERROR(VLOOKUP(A2844,PAR!$D$3:$E$53,2,FALSE),"nincs szervezet")</f>
        <v>nincs szervezet</v>
      </c>
      <c r="N2844" s="322" t="str">
        <f>VLOOKUP(F2844,PAR!$R$3:$S$5,2,FALSE)</f>
        <v>3 - egyik sem</v>
      </c>
      <c r="O2844" t="str">
        <f>IFERROR(VLOOKUP(J2844,PAR!$O$3:$P$5,2,FALSE),"nincs feladat")</f>
        <v>nincs feladat</v>
      </c>
      <c r="P2844" t="str">
        <f>IFERROR(VLOOKUP(G2844,PAR!$J$2:$M$19,4),"nincs rovat")</f>
        <v>nincs rovat</v>
      </c>
      <c r="Q2844" t="str">
        <f>IF(H2844&gt;0,VLOOKUP(H2844,PAR!$AA$3:$AC$187,3,FALSE),"nincs főkönyvi számla")</f>
        <v>nincs főkönyvi számla</v>
      </c>
      <c r="R2844" t="str">
        <f>IFERROR(VLOOKUP(K2844,PAR!$V$3:$X$438,3,FALSE),"000000 - Nincs COFOG")</f>
        <v>000000 - Nincs COFOG</v>
      </c>
      <c r="S2844">
        <f t="shared" si="848"/>
        <v>0</v>
      </c>
      <c r="T2844">
        <f t="shared" si="849"/>
        <v>0</v>
      </c>
      <c r="U2844" t="str">
        <f>IF('906MP'!J2544&gt;0,CONCATENATE('906MP'!J2544," - ",'906MP'!P2544,", ",'906MP'!E2544),"nincs megjegyzés")</f>
        <v>nincs megjegyzés</v>
      </c>
      <c r="V2844" t="str">
        <f t="shared" si="836"/>
        <v>0P0</v>
      </c>
      <c r="W2844" t="str">
        <f t="shared" si="837"/>
        <v>0P0</v>
      </c>
      <c r="X2844" t="str">
        <f t="shared" si="838"/>
        <v>P0</v>
      </c>
      <c r="Y2844" t="str">
        <f t="shared" si="839"/>
        <v>00</v>
      </c>
      <c r="Z2844" t="str">
        <f t="shared" si="850"/>
        <v>00</v>
      </c>
      <c r="AA2844" t="str">
        <f t="shared" si="840"/>
        <v>00</v>
      </c>
      <c r="AB2844" t="str">
        <f t="shared" si="841"/>
        <v>00</v>
      </c>
      <c r="AC2844" t="str">
        <f t="shared" si="842"/>
        <v>0P0</v>
      </c>
      <c r="AD2844" t="str">
        <f t="shared" si="843"/>
        <v>P00</v>
      </c>
      <c r="AE2844" t="str">
        <f t="shared" si="844"/>
        <v>0P0</v>
      </c>
      <c r="AF2844" t="str">
        <f t="shared" si="845"/>
        <v>P00</v>
      </c>
      <c r="AG2844" t="str">
        <f t="shared" si="851"/>
        <v>0P00</v>
      </c>
      <c r="AH2844" t="str">
        <f t="shared" si="852"/>
        <v>P000</v>
      </c>
      <c r="AI2844" t="str">
        <f t="shared" si="853"/>
        <v>0P00</v>
      </c>
      <c r="AJ2844" t="str">
        <f t="shared" si="854"/>
        <v>P000</v>
      </c>
    </row>
    <row r="2845" spans="1:36" x14ac:dyDescent="0.25">
      <c r="A2845" s="325" t="str">
        <f>CONCATENATE("P",'906MP'!M2545)</f>
        <v>P</v>
      </c>
      <c r="B2845">
        <f>'906MP'!H2545</f>
        <v>0</v>
      </c>
      <c r="C2845">
        <f>'906MP'!J2545</f>
        <v>0</v>
      </c>
      <c r="D2845">
        <f>'906MP'!P2545</f>
        <v>0</v>
      </c>
      <c r="E2845">
        <f>'906MP'!X2545</f>
        <v>0</v>
      </c>
      <c r="F2845" t="str">
        <f t="shared" si="846"/>
        <v>0</v>
      </c>
      <c r="G2845" t="str">
        <f t="shared" si="847"/>
        <v>0</v>
      </c>
      <c r="H2845">
        <f>'906MP'!Y2545</f>
        <v>0</v>
      </c>
      <c r="I2845">
        <f>'906MP'!AK2545</f>
        <v>0</v>
      </c>
      <c r="J2845">
        <f>'906MP'!T2545</f>
        <v>0</v>
      </c>
      <c r="K2845">
        <f>'906MP'!AJ2545</f>
        <v>0</v>
      </c>
      <c r="L2845">
        <f>'906MP'!U2545</f>
        <v>0</v>
      </c>
      <c r="M2845" s="322" t="str">
        <f>IFERROR(VLOOKUP(A2845,PAR!$D$3:$E$53,2,FALSE),"nincs szervezet")</f>
        <v>nincs szervezet</v>
      </c>
      <c r="N2845" s="322" t="str">
        <f>VLOOKUP(F2845,PAR!$R$3:$S$5,2,FALSE)</f>
        <v>3 - egyik sem</v>
      </c>
      <c r="O2845" t="str">
        <f>IFERROR(VLOOKUP(J2845,PAR!$O$3:$P$5,2,FALSE),"nincs feladat")</f>
        <v>nincs feladat</v>
      </c>
      <c r="P2845" t="str">
        <f>IFERROR(VLOOKUP(G2845,PAR!$J$2:$M$19,4),"nincs rovat")</f>
        <v>nincs rovat</v>
      </c>
      <c r="Q2845" t="str">
        <f>IF(H2845&gt;0,VLOOKUP(H2845,PAR!$AA$3:$AC$187,3,FALSE),"nincs főkönyvi számla")</f>
        <v>nincs főkönyvi számla</v>
      </c>
      <c r="R2845" t="str">
        <f>IFERROR(VLOOKUP(K2845,PAR!$V$3:$X$438,3,FALSE),"000000 - Nincs COFOG")</f>
        <v>000000 - Nincs COFOG</v>
      </c>
      <c r="S2845">
        <f t="shared" si="848"/>
        <v>0</v>
      </c>
      <c r="T2845">
        <f t="shared" si="849"/>
        <v>0</v>
      </c>
      <c r="U2845" t="str">
        <f>IF('906MP'!J2545&gt;0,CONCATENATE('906MP'!J2545," - ",'906MP'!P2545,", ",'906MP'!E2545),"nincs megjegyzés")</f>
        <v>nincs megjegyzés</v>
      </c>
      <c r="V2845" t="str">
        <f t="shared" si="836"/>
        <v>0P0</v>
      </c>
      <c r="W2845" t="str">
        <f t="shared" si="837"/>
        <v>0P0</v>
      </c>
      <c r="X2845" t="str">
        <f t="shared" si="838"/>
        <v>P0</v>
      </c>
      <c r="Y2845" t="str">
        <f t="shared" si="839"/>
        <v>00</v>
      </c>
      <c r="Z2845" t="str">
        <f t="shared" si="850"/>
        <v>00</v>
      </c>
      <c r="AA2845" t="str">
        <f t="shared" si="840"/>
        <v>00</v>
      </c>
      <c r="AB2845" t="str">
        <f t="shared" si="841"/>
        <v>00</v>
      </c>
      <c r="AC2845" t="str">
        <f t="shared" si="842"/>
        <v>0P0</v>
      </c>
      <c r="AD2845" t="str">
        <f t="shared" si="843"/>
        <v>P00</v>
      </c>
      <c r="AE2845" t="str">
        <f t="shared" si="844"/>
        <v>0P0</v>
      </c>
      <c r="AF2845" t="str">
        <f t="shared" si="845"/>
        <v>P00</v>
      </c>
      <c r="AG2845" t="str">
        <f t="shared" si="851"/>
        <v>0P00</v>
      </c>
      <c r="AH2845" t="str">
        <f t="shared" si="852"/>
        <v>P000</v>
      </c>
      <c r="AI2845" t="str">
        <f t="shared" si="853"/>
        <v>0P00</v>
      </c>
      <c r="AJ2845" t="str">
        <f t="shared" si="854"/>
        <v>P000</v>
      </c>
    </row>
    <row r="2846" spans="1:36" x14ac:dyDescent="0.25">
      <c r="A2846" s="325" t="str">
        <f>CONCATENATE("P",'906MP'!M2546)</f>
        <v>P</v>
      </c>
      <c r="B2846">
        <f>'906MP'!H2546</f>
        <v>0</v>
      </c>
      <c r="C2846">
        <f>'906MP'!J2546</f>
        <v>0</v>
      </c>
      <c r="D2846">
        <f>'906MP'!P2546</f>
        <v>0</v>
      </c>
      <c r="E2846">
        <f>'906MP'!X2546</f>
        <v>0</v>
      </c>
      <c r="F2846" t="str">
        <f t="shared" si="846"/>
        <v>0</v>
      </c>
      <c r="G2846" t="str">
        <f t="shared" si="847"/>
        <v>0</v>
      </c>
      <c r="H2846">
        <f>'906MP'!Y2546</f>
        <v>0</v>
      </c>
      <c r="I2846">
        <f>'906MP'!AK2546</f>
        <v>0</v>
      </c>
      <c r="J2846">
        <f>'906MP'!T2546</f>
        <v>0</v>
      </c>
      <c r="K2846">
        <f>'906MP'!AJ2546</f>
        <v>0</v>
      </c>
      <c r="L2846">
        <f>'906MP'!U2546</f>
        <v>0</v>
      </c>
      <c r="M2846" s="322" t="str">
        <f>IFERROR(VLOOKUP(A2846,PAR!$D$3:$E$53,2,FALSE),"nincs szervezet")</f>
        <v>nincs szervezet</v>
      </c>
      <c r="N2846" s="322" t="str">
        <f>VLOOKUP(F2846,PAR!$R$3:$S$5,2,FALSE)</f>
        <v>3 - egyik sem</v>
      </c>
      <c r="O2846" t="str">
        <f>IFERROR(VLOOKUP(J2846,PAR!$O$3:$P$5,2,FALSE),"nincs feladat")</f>
        <v>nincs feladat</v>
      </c>
      <c r="P2846" t="str">
        <f>IFERROR(VLOOKUP(G2846,PAR!$J$2:$M$19,4),"nincs rovat")</f>
        <v>nincs rovat</v>
      </c>
      <c r="Q2846" t="str">
        <f>IF(H2846&gt;0,VLOOKUP(H2846,PAR!$AA$3:$AC$187,3,FALSE),"nincs főkönyvi számla")</f>
        <v>nincs főkönyvi számla</v>
      </c>
      <c r="R2846" t="str">
        <f>IFERROR(VLOOKUP(K2846,PAR!$V$3:$X$438,3,FALSE),"000000 - Nincs COFOG")</f>
        <v>000000 - Nincs COFOG</v>
      </c>
      <c r="S2846">
        <f t="shared" si="848"/>
        <v>0</v>
      </c>
      <c r="T2846">
        <f t="shared" si="849"/>
        <v>0</v>
      </c>
      <c r="U2846" t="str">
        <f>IF('906MP'!J2546&gt;0,CONCATENATE('906MP'!J2546," - ",'906MP'!P2546,", ",'906MP'!E2546),"nincs megjegyzés")</f>
        <v>nincs megjegyzés</v>
      </c>
      <c r="V2846" t="str">
        <f t="shared" si="836"/>
        <v>0P0</v>
      </c>
      <c r="W2846" t="str">
        <f t="shared" si="837"/>
        <v>0P0</v>
      </c>
      <c r="X2846" t="str">
        <f t="shared" si="838"/>
        <v>P0</v>
      </c>
      <c r="Y2846" t="str">
        <f t="shared" si="839"/>
        <v>00</v>
      </c>
      <c r="Z2846" t="str">
        <f t="shared" si="850"/>
        <v>00</v>
      </c>
      <c r="AA2846" t="str">
        <f t="shared" si="840"/>
        <v>00</v>
      </c>
      <c r="AB2846" t="str">
        <f t="shared" si="841"/>
        <v>00</v>
      </c>
      <c r="AC2846" t="str">
        <f t="shared" si="842"/>
        <v>0P0</v>
      </c>
      <c r="AD2846" t="str">
        <f t="shared" si="843"/>
        <v>P00</v>
      </c>
      <c r="AE2846" t="str">
        <f t="shared" si="844"/>
        <v>0P0</v>
      </c>
      <c r="AF2846" t="str">
        <f t="shared" si="845"/>
        <v>P00</v>
      </c>
      <c r="AG2846" t="str">
        <f t="shared" si="851"/>
        <v>0P00</v>
      </c>
      <c r="AH2846" t="str">
        <f t="shared" si="852"/>
        <v>P000</v>
      </c>
      <c r="AI2846" t="str">
        <f t="shared" si="853"/>
        <v>0P00</v>
      </c>
      <c r="AJ2846" t="str">
        <f t="shared" si="854"/>
        <v>P000</v>
      </c>
    </row>
    <row r="2847" spans="1:36" x14ac:dyDescent="0.25">
      <c r="A2847" s="325" t="str">
        <f>CONCATENATE("P",'906MP'!M2547)</f>
        <v>P</v>
      </c>
      <c r="B2847">
        <f>'906MP'!H2547</f>
        <v>0</v>
      </c>
      <c r="C2847">
        <f>'906MP'!J2547</f>
        <v>0</v>
      </c>
      <c r="D2847">
        <f>'906MP'!P2547</f>
        <v>0</v>
      </c>
      <c r="E2847">
        <f>'906MP'!X2547</f>
        <v>0</v>
      </c>
      <c r="F2847" t="str">
        <f t="shared" si="846"/>
        <v>0</v>
      </c>
      <c r="G2847" t="str">
        <f t="shared" si="847"/>
        <v>0</v>
      </c>
      <c r="H2847">
        <f>'906MP'!Y2547</f>
        <v>0</v>
      </c>
      <c r="I2847">
        <f>'906MP'!AK2547</f>
        <v>0</v>
      </c>
      <c r="J2847">
        <f>'906MP'!T2547</f>
        <v>0</v>
      </c>
      <c r="K2847">
        <f>'906MP'!AJ2547</f>
        <v>0</v>
      </c>
      <c r="L2847">
        <f>'906MP'!U2547</f>
        <v>0</v>
      </c>
      <c r="M2847" s="322" t="str">
        <f>IFERROR(VLOOKUP(A2847,PAR!$D$3:$E$53,2,FALSE),"nincs szervezet")</f>
        <v>nincs szervezet</v>
      </c>
      <c r="N2847" s="322" t="str">
        <f>VLOOKUP(F2847,PAR!$R$3:$S$5,2,FALSE)</f>
        <v>3 - egyik sem</v>
      </c>
      <c r="O2847" t="str">
        <f>IFERROR(VLOOKUP(J2847,PAR!$O$3:$P$5,2,FALSE),"nincs feladat")</f>
        <v>nincs feladat</v>
      </c>
      <c r="P2847" t="str">
        <f>IFERROR(VLOOKUP(G2847,PAR!$J$2:$M$19,4),"nincs rovat")</f>
        <v>nincs rovat</v>
      </c>
      <c r="Q2847" t="str">
        <f>IF(H2847&gt;0,VLOOKUP(H2847,PAR!$AA$3:$AC$187,3,FALSE),"nincs főkönyvi számla")</f>
        <v>nincs főkönyvi számla</v>
      </c>
      <c r="R2847" t="str">
        <f>IFERROR(VLOOKUP(K2847,PAR!$V$3:$X$438,3,FALSE),"000000 - Nincs COFOG")</f>
        <v>000000 - Nincs COFOG</v>
      </c>
      <c r="S2847">
        <f t="shared" si="848"/>
        <v>0</v>
      </c>
      <c r="T2847">
        <f t="shared" si="849"/>
        <v>0</v>
      </c>
      <c r="U2847" t="str">
        <f>IF('906MP'!J2547&gt;0,CONCATENATE('906MP'!J2547," - ",'906MP'!P2547,", ",'906MP'!E2547),"nincs megjegyzés")</f>
        <v>nincs megjegyzés</v>
      </c>
      <c r="V2847" t="str">
        <f t="shared" si="836"/>
        <v>0P0</v>
      </c>
      <c r="W2847" t="str">
        <f t="shared" si="837"/>
        <v>0P0</v>
      </c>
      <c r="X2847" t="str">
        <f t="shared" si="838"/>
        <v>P0</v>
      </c>
      <c r="Y2847" t="str">
        <f t="shared" si="839"/>
        <v>00</v>
      </c>
      <c r="Z2847" t="str">
        <f t="shared" si="850"/>
        <v>00</v>
      </c>
      <c r="AA2847" t="str">
        <f t="shared" si="840"/>
        <v>00</v>
      </c>
      <c r="AB2847" t="str">
        <f t="shared" si="841"/>
        <v>00</v>
      </c>
      <c r="AC2847" t="str">
        <f t="shared" si="842"/>
        <v>0P0</v>
      </c>
      <c r="AD2847" t="str">
        <f t="shared" si="843"/>
        <v>P00</v>
      </c>
      <c r="AE2847" t="str">
        <f t="shared" si="844"/>
        <v>0P0</v>
      </c>
      <c r="AF2847" t="str">
        <f t="shared" si="845"/>
        <v>P00</v>
      </c>
      <c r="AG2847" t="str">
        <f t="shared" si="851"/>
        <v>0P00</v>
      </c>
      <c r="AH2847" t="str">
        <f t="shared" si="852"/>
        <v>P000</v>
      </c>
      <c r="AI2847" t="str">
        <f t="shared" si="853"/>
        <v>0P00</v>
      </c>
      <c r="AJ2847" t="str">
        <f t="shared" si="854"/>
        <v>P000</v>
      </c>
    </row>
    <row r="2848" spans="1:36" x14ac:dyDescent="0.25">
      <c r="A2848" s="325" t="str">
        <f>CONCATENATE("P",'906MP'!M2548)</f>
        <v>P</v>
      </c>
      <c r="B2848">
        <f>'906MP'!H2548</f>
        <v>0</v>
      </c>
      <c r="C2848">
        <f>'906MP'!J2548</f>
        <v>0</v>
      </c>
      <c r="D2848">
        <f>'906MP'!P2548</f>
        <v>0</v>
      </c>
      <c r="E2848">
        <f>'906MP'!X2548</f>
        <v>0</v>
      </c>
      <c r="F2848" t="str">
        <f t="shared" si="846"/>
        <v>0</v>
      </c>
      <c r="G2848" t="str">
        <f t="shared" si="847"/>
        <v>0</v>
      </c>
      <c r="H2848">
        <f>'906MP'!Y2548</f>
        <v>0</v>
      </c>
      <c r="I2848">
        <f>'906MP'!AK2548</f>
        <v>0</v>
      </c>
      <c r="J2848">
        <f>'906MP'!T2548</f>
        <v>0</v>
      </c>
      <c r="K2848">
        <f>'906MP'!AJ2548</f>
        <v>0</v>
      </c>
      <c r="L2848">
        <f>'906MP'!U2548</f>
        <v>0</v>
      </c>
      <c r="M2848" s="322" t="str">
        <f>IFERROR(VLOOKUP(A2848,PAR!$D$3:$E$53,2,FALSE),"nincs szervezet")</f>
        <v>nincs szervezet</v>
      </c>
      <c r="N2848" s="322" t="str">
        <f>VLOOKUP(F2848,PAR!$R$3:$S$5,2,FALSE)</f>
        <v>3 - egyik sem</v>
      </c>
      <c r="O2848" t="str">
        <f>IFERROR(VLOOKUP(J2848,PAR!$O$3:$P$5,2,FALSE),"nincs feladat")</f>
        <v>nincs feladat</v>
      </c>
      <c r="P2848" t="str">
        <f>IFERROR(VLOOKUP(G2848,PAR!$J$2:$M$19,4),"nincs rovat")</f>
        <v>nincs rovat</v>
      </c>
      <c r="Q2848" t="str">
        <f>IF(H2848&gt;0,VLOOKUP(H2848,PAR!$AA$3:$AC$187,3,FALSE),"nincs főkönyvi számla")</f>
        <v>nincs főkönyvi számla</v>
      </c>
      <c r="R2848" t="str">
        <f>IFERROR(VLOOKUP(K2848,PAR!$V$3:$X$438,3,FALSE),"000000 - Nincs COFOG")</f>
        <v>000000 - Nincs COFOG</v>
      </c>
      <c r="S2848">
        <f t="shared" si="848"/>
        <v>0</v>
      </c>
      <c r="T2848">
        <f t="shared" si="849"/>
        <v>0</v>
      </c>
      <c r="U2848" t="str">
        <f>IF('906MP'!J2548&gt;0,CONCATENATE('906MP'!J2548," - ",'906MP'!P2548,", ",'906MP'!E2548),"nincs megjegyzés")</f>
        <v>nincs megjegyzés</v>
      </c>
      <c r="V2848" t="str">
        <f t="shared" si="836"/>
        <v>0P0</v>
      </c>
      <c r="W2848" t="str">
        <f t="shared" si="837"/>
        <v>0P0</v>
      </c>
      <c r="X2848" t="str">
        <f t="shared" si="838"/>
        <v>P0</v>
      </c>
      <c r="Y2848" t="str">
        <f t="shared" si="839"/>
        <v>00</v>
      </c>
      <c r="Z2848" t="str">
        <f t="shared" si="850"/>
        <v>00</v>
      </c>
      <c r="AA2848" t="str">
        <f t="shared" si="840"/>
        <v>00</v>
      </c>
      <c r="AB2848" t="str">
        <f t="shared" si="841"/>
        <v>00</v>
      </c>
      <c r="AC2848" t="str">
        <f t="shared" si="842"/>
        <v>0P0</v>
      </c>
      <c r="AD2848" t="str">
        <f t="shared" si="843"/>
        <v>P00</v>
      </c>
      <c r="AE2848" t="str">
        <f t="shared" si="844"/>
        <v>0P0</v>
      </c>
      <c r="AF2848" t="str">
        <f t="shared" si="845"/>
        <v>P00</v>
      </c>
      <c r="AG2848" t="str">
        <f t="shared" si="851"/>
        <v>0P00</v>
      </c>
      <c r="AH2848" t="str">
        <f t="shared" si="852"/>
        <v>P000</v>
      </c>
      <c r="AI2848" t="str">
        <f t="shared" si="853"/>
        <v>0P00</v>
      </c>
      <c r="AJ2848" t="str">
        <f t="shared" si="854"/>
        <v>P000</v>
      </c>
    </row>
    <row r="2849" spans="1:36" x14ac:dyDescent="0.25">
      <c r="A2849" s="325" t="str">
        <f>CONCATENATE("P",'906MP'!M2549)</f>
        <v>P</v>
      </c>
      <c r="B2849">
        <f>'906MP'!H2549</f>
        <v>0</v>
      </c>
      <c r="C2849">
        <f>'906MP'!J2549</f>
        <v>0</v>
      </c>
      <c r="D2849">
        <f>'906MP'!P2549</f>
        <v>0</v>
      </c>
      <c r="E2849">
        <f>'906MP'!X2549</f>
        <v>0</v>
      </c>
      <c r="F2849" t="str">
        <f t="shared" si="846"/>
        <v>0</v>
      </c>
      <c r="G2849" t="str">
        <f t="shared" si="847"/>
        <v>0</v>
      </c>
      <c r="H2849">
        <f>'906MP'!Y2549</f>
        <v>0</v>
      </c>
      <c r="I2849">
        <f>'906MP'!AK2549</f>
        <v>0</v>
      </c>
      <c r="J2849">
        <f>'906MP'!T2549</f>
        <v>0</v>
      </c>
      <c r="K2849">
        <f>'906MP'!AJ2549</f>
        <v>0</v>
      </c>
      <c r="L2849">
        <f>'906MP'!U2549</f>
        <v>0</v>
      </c>
      <c r="M2849" s="322" t="str">
        <f>IFERROR(VLOOKUP(A2849,PAR!$D$3:$E$53,2,FALSE),"nincs szervezet")</f>
        <v>nincs szervezet</v>
      </c>
      <c r="N2849" s="322" t="str">
        <f>VLOOKUP(F2849,PAR!$R$3:$S$5,2,FALSE)</f>
        <v>3 - egyik sem</v>
      </c>
      <c r="O2849" t="str">
        <f>IFERROR(VLOOKUP(J2849,PAR!$O$3:$P$5,2,FALSE),"nincs feladat")</f>
        <v>nincs feladat</v>
      </c>
      <c r="P2849" t="str">
        <f>IFERROR(VLOOKUP(G2849,PAR!$J$2:$M$19,4),"nincs rovat")</f>
        <v>nincs rovat</v>
      </c>
      <c r="Q2849" t="str">
        <f>IF(H2849&gt;0,VLOOKUP(H2849,PAR!$AA$3:$AC$187,3,FALSE),"nincs főkönyvi számla")</f>
        <v>nincs főkönyvi számla</v>
      </c>
      <c r="R2849" t="str">
        <f>IFERROR(VLOOKUP(K2849,PAR!$V$3:$X$438,3,FALSE),"000000 - Nincs COFOG")</f>
        <v>000000 - Nincs COFOG</v>
      </c>
      <c r="S2849">
        <f t="shared" si="848"/>
        <v>0</v>
      </c>
      <c r="T2849">
        <f t="shared" si="849"/>
        <v>0</v>
      </c>
      <c r="U2849" t="str">
        <f>IF('906MP'!J2549&gt;0,CONCATENATE('906MP'!J2549," - ",'906MP'!P2549,", ",'906MP'!E2549),"nincs megjegyzés")</f>
        <v>nincs megjegyzés</v>
      </c>
      <c r="V2849" t="str">
        <f t="shared" si="836"/>
        <v>0P0</v>
      </c>
      <c r="W2849" t="str">
        <f t="shared" si="837"/>
        <v>0P0</v>
      </c>
      <c r="X2849" t="str">
        <f t="shared" si="838"/>
        <v>P0</v>
      </c>
      <c r="Y2849" t="str">
        <f t="shared" si="839"/>
        <v>00</v>
      </c>
      <c r="Z2849" t="str">
        <f t="shared" si="850"/>
        <v>00</v>
      </c>
      <c r="AA2849" t="str">
        <f t="shared" si="840"/>
        <v>00</v>
      </c>
      <c r="AB2849" t="str">
        <f t="shared" si="841"/>
        <v>00</v>
      </c>
      <c r="AC2849" t="str">
        <f t="shared" si="842"/>
        <v>0P0</v>
      </c>
      <c r="AD2849" t="str">
        <f t="shared" si="843"/>
        <v>P00</v>
      </c>
      <c r="AE2849" t="str">
        <f t="shared" si="844"/>
        <v>0P0</v>
      </c>
      <c r="AF2849" t="str">
        <f t="shared" si="845"/>
        <v>P00</v>
      </c>
      <c r="AG2849" t="str">
        <f t="shared" si="851"/>
        <v>0P00</v>
      </c>
      <c r="AH2849" t="str">
        <f t="shared" si="852"/>
        <v>P000</v>
      </c>
      <c r="AI2849" t="str">
        <f t="shared" si="853"/>
        <v>0P00</v>
      </c>
      <c r="AJ2849" t="str">
        <f t="shared" si="854"/>
        <v>P000</v>
      </c>
    </row>
    <row r="2850" spans="1:36" x14ac:dyDescent="0.25">
      <c r="A2850" s="325" t="str">
        <f>CONCATENATE("P",'906MP'!M2550)</f>
        <v>P</v>
      </c>
      <c r="B2850">
        <f>'906MP'!H2550</f>
        <v>0</v>
      </c>
      <c r="C2850">
        <f>'906MP'!J2550</f>
        <v>0</v>
      </c>
      <c r="D2850">
        <f>'906MP'!P2550</f>
        <v>0</v>
      </c>
      <c r="E2850">
        <f>'906MP'!X2550</f>
        <v>0</v>
      </c>
      <c r="F2850" t="str">
        <f t="shared" si="846"/>
        <v>0</v>
      </c>
      <c r="G2850" t="str">
        <f t="shared" si="847"/>
        <v>0</v>
      </c>
      <c r="H2850">
        <f>'906MP'!Y2550</f>
        <v>0</v>
      </c>
      <c r="I2850">
        <f>'906MP'!AK2550</f>
        <v>0</v>
      </c>
      <c r="J2850">
        <f>'906MP'!T2550</f>
        <v>0</v>
      </c>
      <c r="K2850">
        <f>'906MP'!AJ2550</f>
        <v>0</v>
      </c>
      <c r="L2850">
        <f>'906MP'!U2550</f>
        <v>0</v>
      </c>
      <c r="M2850" s="322" t="str">
        <f>IFERROR(VLOOKUP(A2850,PAR!$D$3:$E$53,2,FALSE),"nincs szervezet")</f>
        <v>nincs szervezet</v>
      </c>
      <c r="N2850" s="322" t="str">
        <f>VLOOKUP(F2850,PAR!$R$3:$S$5,2,FALSE)</f>
        <v>3 - egyik sem</v>
      </c>
      <c r="O2850" t="str">
        <f>IFERROR(VLOOKUP(J2850,PAR!$O$3:$P$5,2,FALSE),"nincs feladat")</f>
        <v>nincs feladat</v>
      </c>
      <c r="P2850" t="str">
        <f>IFERROR(VLOOKUP(G2850,PAR!$J$2:$M$19,4),"nincs rovat")</f>
        <v>nincs rovat</v>
      </c>
      <c r="Q2850" t="str">
        <f>IF(H2850&gt;0,VLOOKUP(H2850,PAR!$AA$3:$AC$187,3,FALSE),"nincs főkönyvi számla")</f>
        <v>nincs főkönyvi számla</v>
      </c>
      <c r="R2850" t="str">
        <f>IFERROR(VLOOKUP(K2850,PAR!$V$3:$X$438,3,FALSE),"000000 - Nincs COFOG")</f>
        <v>000000 - Nincs COFOG</v>
      </c>
      <c r="S2850">
        <f t="shared" si="848"/>
        <v>0</v>
      </c>
      <c r="T2850">
        <f t="shared" si="849"/>
        <v>0</v>
      </c>
      <c r="U2850" t="str">
        <f>IF('906MP'!J2550&gt;0,CONCATENATE('906MP'!J2550," - ",'906MP'!P2550,", ",'906MP'!E2550),"nincs megjegyzés")</f>
        <v>nincs megjegyzés</v>
      </c>
      <c r="V2850" t="str">
        <f t="shared" si="836"/>
        <v>0P0</v>
      </c>
      <c r="W2850" t="str">
        <f t="shared" si="837"/>
        <v>0P0</v>
      </c>
      <c r="X2850" t="str">
        <f t="shared" si="838"/>
        <v>P0</v>
      </c>
      <c r="Y2850" t="str">
        <f t="shared" si="839"/>
        <v>00</v>
      </c>
      <c r="Z2850" t="str">
        <f t="shared" si="850"/>
        <v>00</v>
      </c>
      <c r="AA2850" t="str">
        <f t="shared" si="840"/>
        <v>00</v>
      </c>
      <c r="AB2850" t="str">
        <f t="shared" si="841"/>
        <v>00</v>
      </c>
      <c r="AC2850" t="str">
        <f t="shared" si="842"/>
        <v>0P0</v>
      </c>
      <c r="AD2850" t="str">
        <f t="shared" si="843"/>
        <v>P00</v>
      </c>
      <c r="AE2850" t="str">
        <f t="shared" si="844"/>
        <v>0P0</v>
      </c>
      <c r="AF2850" t="str">
        <f t="shared" si="845"/>
        <v>P00</v>
      </c>
      <c r="AG2850" t="str">
        <f t="shared" si="851"/>
        <v>0P00</v>
      </c>
      <c r="AH2850" t="str">
        <f t="shared" si="852"/>
        <v>P000</v>
      </c>
      <c r="AI2850" t="str">
        <f t="shared" si="853"/>
        <v>0P00</v>
      </c>
      <c r="AJ2850" t="str">
        <f t="shared" si="854"/>
        <v>P000</v>
      </c>
    </row>
    <row r="2851" spans="1:36" x14ac:dyDescent="0.25">
      <c r="A2851" s="325" t="str">
        <f>CONCATENATE("P",'906MP'!M2551)</f>
        <v>P</v>
      </c>
      <c r="B2851">
        <f>'906MP'!H2551</f>
        <v>0</v>
      </c>
      <c r="C2851">
        <f>'906MP'!J2551</f>
        <v>0</v>
      </c>
      <c r="D2851">
        <f>'906MP'!P2551</f>
        <v>0</v>
      </c>
      <c r="E2851">
        <f>'906MP'!X2551</f>
        <v>0</v>
      </c>
      <c r="F2851" t="str">
        <f t="shared" si="846"/>
        <v>0</v>
      </c>
      <c r="G2851" t="str">
        <f t="shared" si="847"/>
        <v>0</v>
      </c>
      <c r="H2851">
        <f>'906MP'!Y2551</f>
        <v>0</v>
      </c>
      <c r="I2851">
        <f>'906MP'!AK2551</f>
        <v>0</v>
      </c>
      <c r="J2851">
        <f>'906MP'!T2551</f>
        <v>0</v>
      </c>
      <c r="K2851">
        <f>'906MP'!AJ2551</f>
        <v>0</v>
      </c>
      <c r="L2851">
        <f>'906MP'!U2551</f>
        <v>0</v>
      </c>
      <c r="M2851" s="322" t="str">
        <f>IFERROR(VLOOKUP(A2851,PAR!$D$3:$E$53,2,FALSE),"nincs szervezet")</f>
        <v>nincs szervezet</v>
      </c>
      <c r="N2851" s="322" t="str">
        <f>VLOOKUP(F2851,PAR!$R$3:$S$5,2,FALSE)</f>
        <v>3 - egyik sem</v>
      </c>
      <c r="O2851" t="str">
        <f>IFERROR(VLOOKUP(J2851,PAR!$O$3:$P$5,2,FALSE),"nincs feladat")</f>
        <v>nincs feladat</v>
      </c>
      <c r="P2851" t="str">
        <f>IFERROR(VLOOKUP(G2851,PAR!$J$2:$M$19,4),"nincs rovat")</f>
        <v>nincs rovat</v>
      </c>
      <c r="Q2851" t="str">
        <f>IF(H2851&gt;0,VLOOKUP(H2851,PAR!$AA$3:$AC$187,3,FALSE),"nincs főkönyvi számla")</f>
        <v>nincs főkönyvi számla</v>
      </c>
      <c r="R2851" t="str">
        <f>IFERROR(VLOOKUP(K2851,PAR!$V$3:$X$438,3,FALSE),"000000 - Nincs COFOG")</f>
        <v>000000 - Nincs COFOG</v>
      </c>
      <c r="S2851">
        <f t="shared" si="848"/>
        <v>0</v>
      </c>
      <c r="T2851">
        <f t="shared" si="849"/>
        <v>0</v>
      </c>
      <c r="U2851" t="str">
        <f>IF('906MP'!J2551&gt;0,CONCATENATE('906MP'!J2551," - ",'906MP'!P2551,", ",'906MP'!E2551),"nincs megjegyzés")</f>
        <v>nincs megjegyzés</v>
      </c>
      <c r="V2851" t="str">
        <f t="shared" si="836"/>
        <v>0P0</v>
      </c>
      <c r="W2851" t="str">
        <f t="shared" si="837"/>
        <v>0P0</v>
      </c>
      <c r="X2851" t="str">
        <f t="shared" si="838"/>
        <v>P0</v>
      </c>
      <c r="Y2851" t="str">
        <f t="shared" si="839"/>
        <v>00</v>
      </c>
      <c r="Z2851" t="str">
        <f t="shared" si="850"/>
        <v>00</v>
      </c>
      <c r="AA2851" t="str">
        <f t="shared" si="840"/>
        <v>00</v>
      </c>
      <c r="AB2851" t="str">
        <f t="shared" si="841"/>
        <v>00</v>
      </c>
      <c r="AC2851" t="str">
        <f t="shared" si="842"/>
        <v>0P0</v>
      </c>
      <c r="AD2851" t="str">
        <f t="shared" si="843"/>
        <v>P00</v>
      </c>
      <c r="AE2851" t="str">
        <f t="shared" si="844"/>
        <v>0P0</v>
      </c>
      <c r="AF2851" t="str">
        <f t="shared" si="845"/>
        <v>P00</v>
      </c>
      <c r="AG2851" t="str">
        <f t="shared" si="851"/>
        <v>0P00</v>
      </c>
      <c r="AH2851" t="str">
        <f t="shared" si="852"/>
        <v>P000</v>
      </c>
      <c r="AI2851" t="str">
        <f t="shared" si="853"/>
        <v>0P00</v>
      </c>
      <c r="AJ2851" t="str">
        <f t="shared" si="854"/>
        <v>P000</v>
      </c>
    </row>
    <row r="2852" spans="1:36" x14ac:dyDescent="0.25">
      <c r="A2852" s="325" t="str">
        <f>CONCATENATE("P",'906MP'!M2552)</f>
        <v>P</v>
      </c>
      <c r="B2852">
        <f>'906MP'!H2552</f>
        <v>0</v>
      </c>
      <c r="C2852">
        <f>'906MP'!J2552</f>
        <v>0</v>
      </c>
      <c r="D2852">
        <f>'906MP'!P2552</f>
        <v>0</v>
      </c>
      <c r="E2852">
        <f>'906MP'!X2552</f>
        <v>0</v>
      </c>
      <c r="F2852" t="str">
        <f t="shared" si="846"/>
        <v>0</v>
      </c>
      <c r="G2852" t="str">
        <f t="shared" si="847"/>
        <v>0</v>
      </c>
      <c r="H2852">
        <f>'906MP'!Y2552</f>
        <v>0</v>
      </c>
      <c r="I2852">
        <f>'906MP'!AK2552</f>
        <v>0</v>
      </c>
      <c r="J2852">
        <f>'906MP'!T2552</f>
        <v>0</v>
      </c>
      <c r="K2852">
        <f>'906MP'!AJ2552</f>
        <v>0</v>
      </c>
      <c r="L2852">
        <f>'906MP'!U2552</f>
        <v>0</v>
      </c>
      <c r="M2852" s="322" t="str">
        <f>IFERROR(VLOOKUP(A2852,PAR!$D$3:$E$53,2,FALSE),"nincs szervezet")</f>
        <v>nincs szervezet</v>
      </c>
      <c r="N2852" s="322" t="str">
        <f>VLOOKUP(F2852,PAR!$R$3:$S$5,2,FALSE)</f>
        <v>3 - egyik sem</v>
      </c>
      <c r="O2852" t="str">
        <f>IFERROR(VLOOKUP(J2852,PAR!$O$3:$P$5,2,FALSE),"nincs feladat")</f>
        <v>nincs feladat</v>
      </c>
      <c r="P2852" t="str">
        <f>IFERROR(VLOOKUP(G2852,PAR!$J$2:$M$19,4),"nincs rovat")</f>
        <v>nincs rovat</v>
      </c>
      <c r="Q2852" t="str">
        <f>IF(H2852&gt;0,VLOOKUP(H2852,PAR!$AA$3:$AC$187,3,FALSE),"nincs főkönyvi számla")</f>
        <v>nincs főkönyvi számla</v>
      </c>
      <c r="R2852" t="str">
        <f>IFERROR(VLOOKUP(K2852,PAR!$V$3:$X$438,3,FALSE),"000000 - Nincs COFOG")</f>
        <v>000000 - Nincs COFOG</v>
      </c>
      <c r="S2852">
        <f t="shared" si="848"/>
        <v>0</v>
      </c>
      <c r="T2852">
        <f t="shared" si="849"/>
        <v>0</v>
      </c>
      <c r="U2852" t="str">
        <f>IF('906MP'!J2552&gt;0,CONCATENATE('906MP'!J2552," - ",'906MP'!P2552,", ",'906MP'!E2552),"nincs megjegyzés")</f>
        <v>nincs megjegyzés</v>
      </c>
      <c r="V2852" t="str">
        <f t="shared" si="836"/>
        <v>0P0</v>
      </c>
      <c r="W2852" t="str">
        <f t="shared" si="837"/>
        <v>0P0</v>
      </c>
      <c r="X2852" t="str">
        <f t="shared" si="838"/>
        <v>P0</v>
      </c>
      <c r="Y2852" t="str">
        <f t="shared" si="839"/>
        <v>00</v>
      </c>
      <c r="Z2852" t="str">
        <f t="shared" si="850"/>
        <v>00</v>
      </c>
      <c r="AA2852" t="str">
        <f t="shared" si="840"/>
        <v>00</v>
      </c>
      <c r="AB2852" t="str">
        <f t="shared" si="841"/>
        <v>00</v>
      </c>
      <c r="AC2852" t="str">
        <f t="shared" si="842"/>
        <v>0P0</v>
      </c>
      <c r="AD2852" t="str">
        <f t="shared" si="843"/>
        <v>P00</v>
      </c>
      <c r="AE2852" t="str">
        <f t="shared" si="844"/>
        <v>0P0</v>
      </c>
      <c r="AF2852" t="str">
        <f t="shared" si="845"/>
        <v>P00</v>
      </c>
      <c r="AG2852" t="str">
        <f t="shared" si="851"/>
        <v>0P00</v>
      </c>
      <c r="AH2852" t="str">
        <f t="shared" si="852"/>
        <v>P000</v>
      </c>
      <c r="AI2852" t="str">
        <f t="shared" si="853"/>
        <v>0P00</v>
      </c>
      <c r="AJ2852" t="str">
        <f t="shared" si="854"/>
        <v>P000</v>
      </c>
    </row>
    <row r="2853" spans="1:36" x14ac:dyDescent="0.25">
      <c r="A2853" s="325" t="str">
        <f>CONCATENATE("P",'906MP'!M2553)</f>
        <v>P</v>
      </c>
      <c r="B2853">
        <f>'906MP'!H2553</f>
        <v>0</v>
      </c>
      <c r="C2853">
        <f>'906MP'!J2553</f>
        <v>0</v>
      </c>
      <c r="D2853">
        <f>'906MP'!P2553</f>
        <v>0</v>
      </c>
      <c r="E2853">
        <f>'906MP'!X2553</f>
        <v>0</v>
      </c>
      <c r="F2853" t="str">
        <f t="shared" si="846"/>
        <v>0</v>
      </c>
      <c r="G2853" t="str">
        <f t="shared" si="847"/>
        <v>0</v>
      </c>
      <c r="H2853">
        <f>'906MP'!Y2553</f>
        <v>0</v>
      </c>
      <c r="I2853">
        <f>'906MP'!AK2553</f>
        <v>0</v>
      </c>
      <c r="J2853">
        <f>'906MP'!T2553</f>
        <v>0</v>
      </c>
      <c r="K2853">
        <f>'906MP'!AJ2553</f>
        <v>0</v>
      </c>
      <c r="L2853">
        <f>'906MP'!U2553</f>
        <v>0</v>
      </c>
      <c r="M2853" s="322" t="str">
        <f>IFERROR(VLOOKUP(A2853,PAR!$D$3:$E$53,2,FALSE),"nincs szervezet")</f>
        <v>nincs szervezet</v>
      </c>
      <c r="N2853" s="322" t="str">
        <f>VLOOKUP(F2853,PAR!$R$3:$S$5,2,FALSE)</f>
        <v>3 - egyik sem</v>
      </c>
      <c r="O2853" t="str">
        <f>IFERROR(VLOOKUP(J2853,PAR!$O$3:$P$5,2,FALSE),"nincs feladat")</f>
        <v>nincs feladat</v>
      </c>
      <c r="P2853" t="str">
        <f>IFERROR(VLOOKUP(G2853,PAR!$J$2:$M$19,4),"nincs rovat")</f>
        <v>nincs rovat</v>
      </c>
      <c r="Q2853" t="str">
        <f>IF(H2853&gt;0,VLOOKUP(H2853,PAR!$AA$3:$AC$187,3,FALSE),"nincs főkönyvi számla")</f>
        <v>nincs főkönyvi számla</v>
      </c>
      <c r="R2853" t="str">
        <f>IFERROR(VLOOKUP(K2853,PAR!$V$3:$X$438,3,FALSE),"000000 - Nincs COFOG")</f>
        <v>000000 - Nincs COFOG</v>
      </c>
      <c r="S2853">
        <f t="shared" si="848"/>
        <v>0</v>
      </c>
      <c r="T2853">
        <f t="shared" si="849"/>
        <v>0</v>
      </c>
      <c r="U2853" t="str">
        <f>IF('906MP'!J2553&gt;0,CONCATENATE('906MP'!J2553," - ",'906MP'!P2553,", ",'906MP'!E2553),"nincs megjegyzés")</f>
        <v>nincs megjegyzés</v>
      </c>
      <c r="V2853" t="str">
        <f t="shared" si="836"/>
        <v>0P0</v>
      </c>
      <c r="W2853" t="str">
        <f t="shared" si="837"/>
        <v>0P0</v>
      </c>
      <c r="X2853" t="str">
        <f t="shared" si="838"/>
        <v>P0</v>
      </c>
      <c r="Y2853" t="str">
        <f t="shared" si="839"/>
        <v>00</v>
      </c>
      <c r="Z2853" t="str">
        <f t="shared" si="850"/>
        <v>00</v>
      </c>
      <c r="AA2853" t="str">
        <f t="shared" si="840"/>
        <v>00</v>
      </c>
      <c r="AB2853" t="str">
        <f t="shared" si="841"/>
        <v>00</v>
      </c>
      <c r="AC2853" t="str">
        <f t="shared" si="842"/>
        <v>0P0</v>
      </c>
      <c r="AD2853" t="str">
        <f t="shared" si="843"/>
        <v>P00</v>
      </c>
      <c r="AE2853" t="str">
        <f t="shared" si="844"/>
        <v>0P0</v>
      </c>
      <c r="AF2853" t="str">
        <f t="shared" si="845"/>
        <v>P00</v>
      </c>
      <c r="AG2853" t="str">
        <f t="shared" si="851"/>
        <v>0P00</v>
      </c>
      <c r="AH2853" t="str">
        <f t="shared" si="852"/>
        <v>P000</v>
      </c>
      <c r="AI2853" t="str">
        <f t="shared" si="853"/>
        <v>0P00</v>
      </c>
      <c r="AJ2853" t="str">
        <f t="shared" si="854"/>
        <v>P000</v>
      </c>
    </row>
    <row r="2854" spans="1:36" x14ac:dyDescent="0.25">
      <c r="A2854" s="325" t="str">
        <f>CONCATENATE("P",'906MP'!M2554)</f>
        <v>P</v>
      </c>
      <c r="B2854">
        <f>'906MP'!H2554</f>
        <v>0</v>
      </c>
      <c r="C2854">
        <f>'906MP'!J2554</f>
        <v>0</v>
      </c>
      <c r="D2854">
        <f>'906MP'!P2554</f>
        <v>0</v>
      </c>
      <c r="E2854">
        <f>'906MP'!X2554</f>
        <v>0</v>
      </c>
      <c r="F2854" t="str">
        <f t="shared" si="846"/>
        <v>0</v>
      </c>
      <c r="G2854" t="str">
        <f t="shared" si="847"/>
        <v>0</v>
      </c>
      <c r="H2854">
        <f>'906MP'!Y2554</f>
        <v>0</v>
      </c>
      <c r="I2854">
        <f>'906MP'!AK2554</f>
        <v>0</v>
      </c>
      <c r="J2854">
        <f>'906MP'!T2554</f>
        <v>0</v>
      </c>
      <c r="K2854">
        <f>'906MP'!AJ2554</f>
        <v>0</v>
      </c>
      <c r="L2854">
        <f>'906MP'!U2554</f>
        <v>0</v>
      </c>
      <c r="M2854" s="322" t="str">
        <f>IFERROR(VLOOKUP(A2854,PAR!$D$3:$E$53,2,FALSE),"nincs szervezet")</f>
        <v>nincs szervezet</v>
      </c>
      <c r="N2854" s="322" t="str">
        <f>VLOOKUP(F2854,PAR!$R$3:$S$5,2,FALSE)</f>
        <v>3 - egyik sem</v>
      </c>
      <c r="O2854" t="str">
        <f>IFERROR(VLOOKUP(J2854,PAR!$O$3:$P$5,2,FALSE),"nincs feladat")</f>
        <v>nincs feladat</v>
      </c>
      <c r="P2854" t="str">
        <f>IFERROR(VLOOKUP(G2854,PAR!$J$2:$M$19,4),"nincs rovat")</f>
        <v>nincs rovat</v>
      </c>
      <c r="Q2854" t="str">
        <f>IF(H2854&gt;0,VLOOKUP(H2854,PAR!$AA$3:$AC$187,3,FALSE),"nincs főkönyvi számla")</f>
        <v>nincs főkönyvi számla</v>
      </c>
      <c r="R2854" t="str">
        <f>IFERROR(VLOOKUP(K2854,PAR!$V$3:$X$438,3,FALSE),"000000 - Nincs COFOG")</f>
        <v>000000 - Nincs COFOG</v>
      </c>
      <c r="S2854">
        <f t="shared" si="848"/>
        <v>0</v>
      </c>
      <c r="T2854">
        <f t="shared" si="849"/>
        <v>0</v>
      </c>
      <c r="U2854" t="str">
        <f>IF('906MP'!J2554&gt;0,CONCATENATE('906MP'!J2554," - ",'906MP'!P2554,", ",'906MP'!E2554),"nincs megjegyzés")</f>
        <v>nincs megjegyzés</v>
      </c>
      <c r="V2854" t="str">
        <f t="shared" si="836"/>
        <v>0P0</v>
      </c>
      <c r="W2854" t="str">
        <f t="shared" si="837"/>
        <v>0P0</v>
      </c>
      <c r="X2854" t="str">
        <f t="shared" si="838"/>
        <v>P0</v>
      </c>
      <c r="Y2854" t="str">
        <f t="shared" si="839"/>
        <v>00</v>
      </c>
      <c r="Z2854" t="str">
        <f t="shared" si="850"/>
        <v>00</v>
      </c>
      <c r="AA2854" t="str">
        <f t="shared" si="840"/>
        <v>00</v>
      </c>
      <c r="AB2854" t="str">
        <f t="shared" si="841"/>
        <v>00</v>
      </c>
      <c r="AC2854" t="str">
        <f t="shared" si="842"/>
        <v>0P0</v>
      </c>
      <c r="AD2854" t="str">
        <f t="shared" si="843"/>
        <v>P00</v>
      </c>
      <c r="AE2854" t="str">
        <f t="shared" si="844"/>
        <v>0P0</v>
      </c>
      <c r="AF2854" t="str">
        <f t="shared" si="845"/>
        <v>P00</v>
      </c>
      <c r="AG2854" t="str">
        <f t="shared" si="851"/>
        <v>0P00</v>
      </c>
      <c r="AH2854" t="str">
        <f t="shared" si="852"/>
        <v>P000</v>
      </c>
      <c r="AI2854" t="str">
        <f t="shared" si="853"/>
        <v>0P00</v>
      </c>
      <c r="AJ2854" t="str">
        <f t="shared" si="854"/>
        <v>P000</v>
      </c>
    </row>
    <row r="2855" spans="1:36" x14ac:dyDescent="0.25">
      <c r="A2855" s="325" t="str">
        <f>CONCATENATE("P",'906MP'!M2555)</f>
        <v>P</v>
      </c>
      <c r="B2855">
        <f>'906MP'!H2555</f>
        <v>0</v>
      </c>
      <c r="C2855">
        <f>'906MP'!J2555</f>
        <v>0</v>
      </c>
      <c r="D2855">
        <f>'906MP'!P2555</f>
        <v>0</v>
      </c>
      <c r="E2855">
        <f>'906MP'!X2555</f>
        <v>0</v>
      </c>
      <c r="F2855" t="str">
        <f t="shared" si="846"/>
        <v>0</v>
      </c>
      <c r="G2855" t="str">
        <f t="shared" si="847"/>
        <v>0</v>
      </c>
      <c r="H2855">
        <f>'906MP'!Y2555</f>
        <v>0</v>
      </c>
      <c r="I2855">
        <f>'906MP'!AK2555</f>
        <v>0</v>
      </c>
      <c r="J2855">
        <f>'906MP'!T2555</f>
        <v>0</v>
      </c>
      <c r="K2855">
        <f>'906MP'!AJ2555</f>
        <v>0</v>
      </c>
      <c r="L2855">
        <f>'906MP'!U2555</f>
        <v>0</v>
      </c>
      <c r="M2855" s="322" t="str">
        <f>IFERROR(VLOOKUP(A2855,PAR!$D$3:$E$53,2,FALSE),"nincs szervezet")</f>
        <v>nincs szervezet</v>
      </c>
      <c r="N2855" s="322" t="str">
        <f>VLOOKUP(F2855,PAR!$R$3:$S$5,2,FALSE)</f>
        <v>3 - egyik sem</v>
      </c>
      <c r="O2855" t="str">
        <f>IFERROR(VLOOKUP(J2855,PAR!$O$3:$P$5,2,FALSE),"nincs feladat")</f>
        <v>nincs feladat</v>
      </c>
      <c r="P2855" t="str">
        <f>IFERROR(VLOOKUP(G2855,PAR!$J$2:$M$19,4),"nincs rovat")</f>
        <v>nincs rovat</v>
      </c>
      <c r="Q2855" t="str">
        <f>IF(H2855&gt;0,VLOOKUP(H2855,PAR!$AA$3:$AC$187,3,FALSE),"nincs főkönyvi számla")</f>
        <v>nincs főkönyvi számla</v>
      </c>
      <c r="R2855" t="str">
        <f>IFERROR(VLOOKUP(K2855,PAR!$V$3:$X$438,3,FALSE),"000000 - Nincs COFOG")</f>
        <v>000000 - Nincs COFOG</v>
      </c>
      <c r="S2855">
        <f t="shared" si="848"/>
        <v>0</v>
      </c>
      <c r="T2855">
        <f t="shared" si="849"/>
        <v>0</v>
      </c>
      <c r="U2855" t="str">
        <f>IF('906MP'!J2555&gt;0,CONCATENATE('906MP'!J2555," - ",'906MP'!P2555,", ",'906MP'!E2555),"nincs megjegyzés")</f>
        <v>nincs megjegyzés</v>
      </c>
      <c r="V2855" t="str">
        <f t="shared" si="836"/>
        <v>0P0</v>
      </c>
      <c r="W2855" t="str">
        <f t="shared" si="837"/>
        <v>0P0</v>
      </c>
      <c r="X2855" t="str">
        <f t="shared" si="838"/>
        <v>P0</v>
      </c>
      <c r="Y2855" t="str">
        <f t="shared" si="839"/>
        <v>00</v>
      </c>
      <c r="Z2855" t="str">
        <f t="shared" si="850"/>
        <v>00</v>
      </c>
      <c r="AA2855" t="str">
        <f t="shared" si="840"/>
        <v>00</v>
      </c>
      <c r="AB2855" t="str">
        <f t="shared" si="841"/>
        <v>00</v>
      </c>
      <c r="AC2855" t="str">
        <f t="shared" si="842"/>
        <v>0P0</v>
      </c>
      <c r="AD2855" t="str">
        <f t="shared" si="843"/>
        <v>P00</v>
      </c>
      <c r="AE2855" t="str">
        <f t="shared" si="844"/>
        <v>0P0</v>
      </c>
      <c r="AF2855" t="str">
        <f t="shared" si="845"/>
        <v>P00</v>
      </c>
      <c r="AG2855" t="str">
        <f t="shared" si="851"/>
        <v>0P00</v>
      </c>
      <c r="AH2855" t="str">
        <f t="shared" si="852"/>
        <v>P000</v>
      </c>
      <c r="AI2855" t="str">
        <f t="shared" si="853"/>
        <v>0P00</v>
      </c>
      <c r="AJ2855" t="str">
        <f t="shared" si="854"/>
        <v>P000</v>
      </c>
    </row>
    <row r="2856" spans="1:36" x14ac:dyDescent="0.25">
      <c r="A2856" s="325" t="str">
        <f>CONCATENATE("P",'906MP'!M2556)</f>
        <v>P</v>
      </c>
      <c r="B2856">
        <f>'906MP'!H2556</f>
        <v>0</v>
      </c>
      <c r="C2856">
        <f>'906MP'!J2556</f>
        <v>0</v>
      </c>
      <c r="D2856">
        <f>'906MP'!P2556</f>
        <v>0</v>
      </c>
      <c r="E2856">
        <f>'906MP'!X2556</f>
        <v>0</v>
      </c>
      <c r="F2856" t="str">
        <f t="shared" si="846"/>
        <v>0</v>
      </c>
      <c r="G2856" t="str">
        <f t="shared" si="847"/>
        <v>0</v>
      </c>
      <c r="H2856">
        <f>'906MP'!Y2556</f>
        <v>0</v>
      </c>
      <c r="I2856">
        <f>'906MP'!AK2556</f>
        <v>0</v>
      </c>
      <c r="J2856">
        <f>'906MP'!T2556</f>
        <v>0</v>
      </c>
      <c r="K2856">
        <f>'906MP'!AJ2556</f>
        <v>0</v>
      </c>
      <c r="L2856">
        <f>'906MP'!U2556</f>
        <v>0</v>
      </c>
      <c r="M2856" s="322" t="str">
        <f>IFERROR(VLOOKUP(A2856,PAR!$D$3:$E$53,2,FALSE),"nincs szervezet")</f>
        <v>nincs szervezet</v>
      </c>
      <c r="N2856" s="322" t="str">
        <f>VLOOKUP(F2856,PAR!$R$3:$S$5,2,FALSE)</f>
        <v>3 - egyik sem</v>
      </c>
      <c r="O2856" t="str">
        <f>IFERROR(VLOOKUP(J2856,PAR!$O$3:$P$5,2,FALSE),"nincs feladat")</f>
        <v>nincs feladat</v>
      </c>
      <c r="P2856" t="str">
        <f>IFERROR(VLOOKUP(G2856,PAR!$J$2:$M$19,4),"nincs rovat")</f>
        <v>nincs rovat</v>
      </c>
      <c r="Q2856" t="str">
        <f>IF(H2856&gt;0,VLOOKUP(H2856,PAR!$AA$3:$AC$187,3,FALSE),"nincs főkönyvi számla")</f>
        <v>nincs főkönyvi számla</v>
      </c>
      <c r="R2856" t="str">
        <f>IFERROR(VLOOKUP(K2856,PAR!$V$3:$X$438,3,FALSE),"000000 - Nincs COFOG")</f>
        <v>000000 - Nincs COFOG</v>
      </c>
      <c r="S2856">
        <f t="shared" si="848"/>
        <v>0</v>
      </c>
      <c r="T2856">
        <f t="shared" si="849"/>
        <v>0</v>
      </c>
      <c r="U2856" t="str">
        <f>IF('906MP'!J2556&gt;0,CONCATENATE('906MP'!J2556," - ",'906MP'!P2556,", ",'906MP'!E2556),"nincs megjegyzés")</f>
        <v>nincs megjegyzés</v>
      </c>
      <c r="V2856" t="str">
        <f t="shared" si="836"/>
        <v>0P0</v>
      </c>
      <c r="W2856" t="str">
        <f t="shared" si="837"/>
        <v>0P0</v>
      </c>
      <c r="X2856" t="str">
        <f t="shared" si="838"/>
        <v>P0</v>
      </c>
      <c r="Y2856" t="str">
        <f t="shared" si="839"/>
        <v>00</v>
      </c>
      <c r="Z2856" t="str">
        <f t="shared" si="850"/>
        <v>00</v>
      </c>
      <c r="AA2856" t="str">
        <f t="shared" si="840"/>
        <v>00</v>
      </c>
      <c r="AB2856" t="str">
        <f t="shared" si="841"/>
        <v>00</v>
      </c>
      <c r="AC2856" t="str">
        <f t="shared" si="842"/>
        <v>0P0</v>
      </c>
      <c r="AD2856" t="str">
        <f t="shared" si="843"/>
        <v>P00</v>
      </c>
      <c r="AE2856" t="str">
        <f t="shared" si="844"/>
        <v>0P0</v>
      </c>
      <c r="AF2856" t="str">
        <f t="shared" si="845"/>
        <v>P00</v>
      </c>
      <c r="AG2856" t="str">
        <f t="shared" si="851"/>
        <v>0P00</v>
      </c>
      <c r="AH2856" t="str">
        <f t="shared" si="852"/>
        <v>P000</v>
      </c>
      <c r="AI2856" t="str">
        <f t="shared" si="853"/>
        <v>0P00</v>
      </c>
      <c r="AJ2856" t="str">
        <f t="shared" si="854"/>
        <v>P000</v>
      </c>
    </row>
    <row r="2857" spans="1:36" x14ac:dyDescent="0.25">
      <c r="A2857" s="325" t="str">
        <f>CONCATENATE("P",'906MP'!M2557)</f>
        <v>P</v>
      </c>
      <c r="B2857">
        <f>'906MP'!H2557</f>
        <v>0</v>
      </c>
      <c r="C2857">
        <f>'906MP'!J2557</f>
        <v>0</v>
      </c>
      <c r="D2857">
        <f>'906MP'!P2557</f>
        <v>0</v>
      </c>
      <c r="E2857">
        <f>'906MP'!X2557</f>
        <v>0</v>
      </c>
      <c r="F2857" t="str">
        <f t="shared" si="846"/>
        <v>0</v>
      </c>
      <c r="G2857" t="str">
        <f t="shared" si="847"/>
        <v>0</v>
      </c>
      <c r="H2857">
        <f>'906MP'!Y2557</f>
        <v>0</v>
      </c>
      <c r="I2857">
        <f>'906MP'!AK2557</f>
        <v>0</v>
      </c>
      <c r="J2857">
        <f>'906MP'!T2557</f>
        <v>0</v>
      </c>
      <c r="K2857">
        <f>'906MP'!AJ2557</f>
        <v>0</v>
      </c>
      <c r="L2857">
        <f>'906MP'!U2557</f>
        <v>0</v>
      </c>
      <c r="M2857" s="322" t="str">
        <f>IFERROR(VLOOKUP(A2857,PAR!$D$3:$E$53,2,FALSE),"nincs szervezet")</f>
        <v>nincs szervezet</v>
      </c>
      <c r="N2857" s="322" t="str">
        <f>VLOOKUP(F2857,PAR!$R$3:$S$5,2,FALSE)</f>
        <v>3 - egyik sem</v>
      </c>
      <c r="O2857" t="str">
        <f>IFERROR(VLOOKUP(J2857,PAR!$O$3:$P$5,2,FALSE),"nincs feladat")</f>
        <v>nincs feladat</v>
      </c>
      <c r="P2857" t="str">
        <f>IFERROR(VLOOKUP(G2857,PAR!$J$2:$M$19,4),"nincs rovat")</f>
        <v>nincs rovat</v>
      </c>
      <c r="Q2857" t="str">
        <f>IF(H2857&gt;0,VLOOKUP(H2857,PAR!$AA$3:$AC$187,3,FALSE),"nincs főkönyvi számla")</f>
        <v>nincs főkönyvi számla</v>
      </c>
      <c r="R2857" t="str">
        <f>IFERROR(VLOOKUP(K2857,PAR!$V$3:$X$438,3,FALSE),"000000 - Nincs COFOG")</f>
        <v>000000 - Nincs COFOG</v>
      </c>
      <c r="S2857">
        <f t="shared" si="848"/>
        <v>0</v>
      </c>
      <c r="T2857">
        <f t="shared" si="849"/>
        <v>0</v>
      </c>
      <c r="U2857" t="str">
        <f>IF('906MP'!J2557&gt;0,CONCATENATE('906MP'!J2557," - ",'906MP'!P2557,", ",'906MP'!E2557),"nincs megjegyzés")</f>
        <v>nincs megjegyzés</v>
      </c>
      <c r="V2857" t="str">
        <f t="shared" si="836"/>
        <v>0P0</v>
      </c>
      <c r="W2857" t="str">
        <f t="shared" si="837"/>
        <v>0P0</v>
      </c>
      <c r="X2857" t="str">
        <f t="shared" si="838"/>
        <v>P0</v>
      </c>
      <c r="Y2857" t="str">
        <f t="shared" si="839"/>
        <v>00</v>
      </c>
      <c r="Z2857" t="str">
        <f t="shared" si="850"/>
        <v>00</v>
      </c>
      <c r="AA2857" t="str">
        <f t="shared" si="840"/>
        <v>00</v>
      </c>
      <c r="AB2857" t="str">
        <f t="shared" si="841"/>
        <v>00</v>
      </c>
      <c r="AC2857" t="str">
        <f t="shared" si="842"/>
        <v>0P0</v>
      </c>
      <c r="AD2857" t="str">
        <f t="shared" si="843"/>
        <v>P00</v>
      </c>
      <c r="AE2857" t="str">
        <f t="shared" si="844"/>
        <v>0P0</v>
      </c>
      <c r="AF2857" t="str">
        <f t="shared" si="845"/>
        <v>P00</v>
      </c>
      <c r="AG2857" t="str">
        <f t="shared" si="851"/>
        <v>0P00</v>
      </c>
      <c r="AH2857" t="str">
        <f t="shared" si="852"/>
        <v>P000</v>
      </c>
      <c r="AI2857" t="str">
        <f t="shared" si="853"/>
        <v>0P00</v>
      </c>
      <c r="AJ2857" t="str">
        <f t="shared" si="854"/>
        <v>P000</v>
      </c>
    </row>
    <row r="2858" spans="1:36" x14ac:dyDescent="0.25">
      <c r="A2858" s="325" t="str">
        <f>CONCATENATE("P",'906MP'!M2558)</f>
        <v>P</v>
      </c>
      <c r="B2858">
        <f>'906MP'!H2558</f>
        <v>0</v>
      </c>
      <c r="C2858">
        <f>'906MP'!J2558</f>
        <v>0</v>
      </c>
      <c r="D2858">
        <f>'906MP'!P2558</f>
        <v>0</v>
      </c>
      <c r="E2858">
        <f>'906MP'!X2558</f>
        <v>0</v>
      </c>
      <c r="F2858" t="str">
        <f t="shared" si="846"/>
        <v>0</v>
      </c>
      <c r="G2858" t="str">
        <f t="shared" si="847"/>
        <v>0</v>
      </c>
      <c r="H2858">
        <f>'906MP'!Y2558</f>
        <v>0</v>
      </c>
      <c r="I2858">
        <f>'906MP'!AK2558</f>
        <v>0</v>
      </c>
      <c r="J2858">
        <f>'906MP'!T2558</f>
        <v>0</v>
      </c>
      <c r="K2858">
        <f>'906MP'!AJ2558</f>
        <v>0</v>
      </c>
      <c r="L2858">
        <f>'906MP'!U2558</f>
        <v>0</v>
      </c>
      <c r="M2858" s="322" t="str">
        <f>IFERROR(VLOOKUP(A2858,PAR!$D$3:$E$53,2,FALSE),"nincs szervezet")</f>
        <v>nincs szervezet</v>
      </c>
      <c r="N2858" s="322" t="str">
        <f>VLOOKUP(F2858,PAR!$R$3:$S$5,2,FALSE)</f>
        <v>3 - egyik sem</v>
      </c>
      <c r="O2858" t="str">
        <f>IFERROR(VLOOKUP(J2858,PAR!$O$3:$P$5,2,FALSE),"nincs feladat")</f>
        <v>nincs feladat</v>
      </c>
      <c r="P2858" t="str">
        <f>IFERROR(VLOOKUP(G2858,PAR!$J$2:$M$19,4),"nincs rovat")</f>
        <v>nincs rovat</v>
      </c>
      <c r="Q2858" t="str">
        <f>IF(H2858&gt;0,VLOOKUP(H2858,PAR!$AA$3:$AC$187,3,FALSE),"nincs főkönyvi számla")</f>
        <v>nincs főkönyvi számla</v>
      </c>
      <c r="R2858" t="str">
        <f>IFERROR(VLOOKUP(K2858,PAR!$V$3:$X$438,3,FALSE),"000000 - Nincs COFOG")</f>
        <v>000000 - Nincs COFOG</v>
      </c>
      <c r="S2858">
        <f t="shared" si="848"/>
        <v>0</v>
      </c>
      <c r="T2858">
        <f t="shared" si="849"/>
        <v>0</v>
      </c>
      <c r="U2858" t="str">
        <f>IF('906MP'!J2558&gt;0,CONCATENATE('906MP'!J2558," - ",'906MP'!P2558,", ",'906MP'!E2558),"nincs megjegyzés")</f>
        <v>nincs megjegyzés</v>
      </c>
      <c r="V2858" t="str">
        <f t="shared" si="836"/>
        <v>0P0</v>
      </c>
      <c r="W2858" t="str">
        <f t="shared" si="837"/>
        <v>0P0</v>
      </c>
      <c r="X2858" t="str">
        <f t="shared" si="838"/>
        <v>P0</v>
      </c>
      <c r="Y2858" t="str">
        <f t="shared" si="839"/>
        <v>00</v>
      </c>
      <c r="Z2858" t="str">
        <f t="shared" si="850"/>
        <v>00</v>
      </c>
      <c r="AA2858" t="str">
        <f t="shared" si="840"/>
        <v>00</v>
      </c>
      <c r="AB2858" t="str">
        <f t="shared" si="841"/>
        <v>00</v>
      </c>
      <c r="AC2858" t="str">
        <f t="shared" si="842"/>
        <v>0P0</v>
      </c>
      <c r="AD2858" t="str">
        <f t="shared" si="843"/>
        <v>P00</v>
      </c>
      <c r="AE2858" t="str">
        <f t="shared" si="844"/>
        <v>0P0</v>
      </c>
      <c r="AF2858" t="str">
        <f t="shared" si="845"/>
        <v>P00</v>
      </c>
      <c r="AG2858" t="str">
        <f t="shared" si="851"/>
        <v>0P00</v>
      </c>
      <c r="AH2858" t="str">
        <f t="shared" si="852"/>
        <v>P000</v>
      </c>
      <c r="AI2858" t="str">
        <f t="shared" si="853"/>
        <v>0P00</v>
      </c>
      <c r="AJ2858" t="str">
        <f t="shared" si="854"/>
        <v>P000</v>
      </c>
    </row>
    <row r="2859" spans="1:36" x14ac:dyDescent="0.25">
      <c r="A2859" s="325" t="str">
        <f>CONCATENATE("P",'906MP'!M2559)</f>
        <v>P</v>
      </c>
      <c r="B2859">
        <f>'906MP'!H2559</f>
        <v>0</v>
      </c>
      <c r="C2859">
        <f>'906MP'!J2559</f>
        <v>0</v>
      </c>
      <c r="D2859">
        <f>'906MP'!P2559</f>
        <v>0</v>
      </c>
      <c r="E2859">
        <f>'906MP'!X2559</f>
        <v>0</v>
      </c>
      <c r="F2859" t="str">
        <f t="shared" si="846"/>
        <v>0</v>
      </c>
      <c r="G2859" t="str">
        <f t="shared" si="847"/>
        <v>0</v>
      </c>
      <c r="H2859">
        <f>'906MP'!Y2559</f>
        <v>0</v>
      </c>
      <c r="I2859">
        <f>'906MP'!AK2559</f>
        <v>0</v>
      </c>
      <c r="J2859">
        <f>'906MP'!T2559</f>
        <v>0</v>
      </c>
      <c r="K2859">
        <f>'906MP'!AJ2559</f>
        <v>0</v>
      </c>
      <c r="L2859">
        <f>'906MP'!U2559</f>
        <v>0</v>
      </c>
      <c r="M2859" s="322" t="str">
        <f>IFERROR(VLOOKUP(A2859,PAR!$D$3:$E$53,2,FALSE),"nincs szervezet")</f>
        <v>nincs szervezet</v>
      </c>
      <c r="N2859" s="322" t="str">
        <f>VLOOKUP(F2859,PAR!$R$3:$S$5,2,FALSE)</f>
        <v>3 - egyik sem</v>
      </c>
      <c r="O2859" t="str">
        <f>IFERROR(VLOOKUP(J2859,PAR!$O$3:$P$5,2,FALSE),"nincs feladat")</f>
        <v>nincs feladat</v>
      </c>
      <c r="P2859" t="str">
        <f>IFERROR(VLOOKUP(G2859,PAR!$J$2:$M$19,4),"nincs rovat")</f>
        <v>nincs rovat</v>
      </c>
      <c r="Q2859" t="str">
        <f>IF(H2859&gt;0,VLOOKUP(H2859,PAR!$AA$3:$AC$187,3,FALSE),"nincs főkönyvi számla")</f>
        <v>nincs főkönyvi számla</v>
      </c>
      <c r="R2859" t="str">
        <f>IFERROR(VLOOKUP(K2859,PAR!$V$3:$X$438,3,FALSE),"000000 - Nincs COFOG")</f>
        <v>000000 - Nincs COFOG</v>
      </c>
      <c r="S2859">
        <f t="shared" si="848"/>
        <v>0</v>
      </c>
      <c r="T2859">
        <f t="shared" si="849"/>
        <v>0</v>
      </c>
      <c r="U2859" t="str">
        <f>IF('906MP'!J2559&gt;0,CONCATENATE('906MP'!J2559," - ",'906MP'!P2559,", ",'906MP'!E2559),"nincs megjegyzés")</f>
        <v>nincs megjegyzés</v>
      </c>
      <c r="V2859" t="str">
        <f t="shared" si="836"/>
        <v>0P0</v>
      </c>
      <c r="W2859" t="str">
        <f t="shared" si="837"/>
        <v>0P0</v>
      </c>
      <c r="X2859" t="str">
        <f t="shared" si="838"/>
        <v>P0</v>
      </c>
      <c r="Y2859" t="str">
        <f t="shared" si="839"/>
        <v>00</v>
      </c>
      <c r="Z2859" t="str">
        <f t="shared" si="850"/>
        <v>00</v>
      </c>
      <c r="AA2859" t="str">
        <f t="shared" si="840"/>
        <v>00</v>
      </c>
      <c r="AB2859" t="str">
        <f t="shared" si="841"/>
        <v>00</v>
      </c>
      <c r="AC2859" t="str">
        <f t="shared" si="842"/>
        <v>0P0</v>
      </c>
      <c r="AD2859" t="str">
        <f t="shared" si="843"/>
        <v>P00</v>
      </c>
      <c r="AE2859" t="str">
        <f t="shared" si="844"/>
        <v>0P0</v>
      </c>
      <c r="AF2859" t="str">
        <f t="shared" si="845"/>
        <v>P00</v>
      </c>
      <c r="AG2859" t="str">
        <f t="shared" si="851"/>
        <v>0P00</v>
      </c>
      <c r="AH2859" t="str">
        <f t="shared" si="852"/>
        <v>P000</v>
      </c>
      <c r="AI2859" t="str">
        <f t="shared" si="853"/>
        <v>0P00</v>
      </c>
      <c r="AJ2859" t="str">
        <f t="shared" si="854"/>
        <v>P000</v>
      </c>
    </row>
    <row r="2860" spans="1:36" x14ac:dyDescent="0.25">
      <c r="A2860" s="325" t="str">
        <f>CONCATENATE("P",'906MP'!M2560)</f>
        <v>P</v>
      </c>
      <c r="B2860">
        <f>'906MP'!H2560</f>
        <v>0</v>
      </c>
      <c r="C2860">
        <f>'906MP'!J2560</f>
        <v>0</v>
      </c>
      <c r="D2860">
        <f>'906MP'!P2560</f>
        <v>0</v>
      </c>
      <c r="E2860">
        <f>'906MP'!X2560</f>
        <v>0</v>
      </c>
      <c r="F2860" t="str">
        <f t="shared" si="846"/>
        <v>0</v>
      </c>
      <c r="G2860" t="str">
        <f t="shared" si="847"/>
        <v>0</v>
      </c>
      <c r="H2860">
        <f>'906MP'!Y2560</f>
        <v>0</v>
      </c>
      <c r="I2860">
        <f>'906MP'!AK2560</f>
        <v>0</v>
      </c>
      <c r="J2860">
        <f>'906MP'!T2560</f>
        <v>0</v>
      </c>
      <c r="K2860">
        <f>'906MP'!AJ2560</f>
        <v>0</v>
      </c>
      <c r="L2860">
        <f>'906MP'!U2560</f>
        <v>0</v>
      </c>
      <c r="M2860" s="322" t="str">
        <f>IFERROR(VLOOKUP(A2860,PAR!$D$3:$E$53,2,FALSE),"nincs szervezet")</f>
        <v>nincs szervezet</v>
      </c>
      <c r="N2860" s="322" t="str">
        <f>VLOOKUP(F2860,PAR!$R$3:$S$5,2,FALSE)</f>
        <v>3 - egyik sem</v>
      </c>
      <c r="O2860" t="str">
        <f>IFERROR(VLOOKUP(J2860,PAR!$O$3:$P$5,2,FALSE),"nincs feladat")</f>
        <v>nincs feladat</v>
      </c>
      <c r="P2860" t="str">
        <f>IFERROR(VLOOKUP(G2860,PAR!$J$2:$M$19,4),"nincs rovat")</f>
        <v>nincs rovat</v>
      </c>
      <c r="Q2860" t="str">
        <f>IF(H2860&gt;0,VLOOKUP(H2860,PAR!$AA$3:$AC$187,3,FALSE),"nincs főkönyvi számla")</f>
        <v>nincs főkönyvi számla</v>
      </c>
      <c r="R2860" t="str">
        <f>IFERROR(VLOOKUP(K2860,PAR!$V$3:$X$438,3,FALSE),"000000 - Nincs COFOG")</f>
        <v>000000 - Nincs COFOG</v>
      </c>
      <c r="S2860">
        <f t="shared" si="848"/>
        <v>0</v>
      </c>
      <c r="T2860">
        <f t="shared" si="849"/>
        <v>0</v>
      </c>
      <c r="U2860" t="str">
        <f>IF('906MP'!J2560&gt;0,CONCATENATE('906MP'!J2560," - ",'906MP'!P2560,", ",'906MP'!E2560),"nincs megjegyzés")</f>
        <v>nincs megjegyzés</v>
      </c>
      <c r="V2860" t="str">
        <f t="shared" si="836"/>
        <v>0P0</v>
      </c>
      <c r="W2860" t="str">
        <f t="shared" si="837"/>
        <v>0P0</v>
      </c>
      <c r="X2860" t="str">
        <f t="shared" si="838"/>
        <v>P0</v>
      </c>
      <c r="Y2860" t="str">
        <f t="shared" si="839"/>
        <v>00</v>
      </c>
      <c r="Z2860" t="str">
        <f t="shared" si="850"/>
        <v>00</v>
      </c>
      <c r="AA2860" t="str">
        <f t="shared" si="840"/>
        <v>00</v>
      </c>
      <c r="AB2860" t="str">
        <f t="shared" si="841"/>
        <v>00</v>
      </c>
      <c r="AC2860" t="str">
        <f t="shared" si="842"/>
        <v>0P0</v>
      </c>
      <c r="AD2860" t="str">
        <f t="shared" si="843"/>
        <v>P00</v>
      </c>
      <c r="AE2860" t="str">
        <f t="shared" si="844"/>
        <v>0P0</v>
      </c>
      <c r="AF2860" t="str">
        <f t="shared" si="845"/>
        <v>P00</v>
      </c>
      <c r="AG2860" t="str">
        <f t="shared" si="851"/>
        <v>0P00</v>
      </c>
      <c r="AH2860" t="str">
        <f t="shared" si="852"/>
        <v>P000</v>
      </c>
      <c r="AI2860" t="str">
        <f t="shared" si="853"/>
        <v>0P00</v>
      </c>
      <c r="AJ2860" t="str">
        <f t="shared" si="854"/>
        <v>P000</v>
      </c>
    </row>
    <row r="2861" spans="1:36" x14ac:dyDescent="0.25">
      <c r="A2861" s="325" t="str">
        <f>CONCATENATE("P",'906MP'!M2561)</f>
        <v>P</v>
      </c>
      <c r="B2861">
        <f>'906MP'!H2561</f>
        <v>0</v>
      </c>
      <c r="C2861">
        <f>'906MP'!J2561</f>
        <v>0</v>
      </c>
      <c r="D2861">
        <f>'906MP'!P2561</f>
        <v>0</v>
      </c>
      <c r="E2861">
        <f>'906MP'!X2561</f>
        <v>0</v>
      </c>
      <c r="F2861" t="str">
        <f t="shared" si="846"/>
        <v>0</v>
      </c>
      <c r="G2861" t="str">
        <f t="shared" si="847"/>
        <v>0</v>
      </c>
      <c r="H2861">
        <f>'906MP'!Y2561</f>
        <v>0</v>
      </c>
      <c r="I2861">
        <f>'906MP'!AK2561</f>
        <v>0</v>
      </c>
      <c r="J2861">
        <f>'906MP'!T2561</f>
        <v>0</v>
      </c>
      <c r="K2861">
        <f>'906MP'!AJ2561</f>
        <v>0</v>
      </c>
      <c r="L2861">
        <f>'906MP'!U2561</f>
        <v>0</v>
      </c>
      <c r="M2861" s="322" t="str">
        <f>IFERROR(VLOOKUP(A2861,PAR!$D$3:$E$53,2,FALSE),"nincs szervezet")</f>
        <v>nincs szervezet</v>
      </c>
      <c r="N2861" s="322" t="str">
        <f>VLOOKUP(F2861,PAR!$R$3:$S$5,2,FALSE)</f>
        <v>3 - egyik sem</v>
      </c>
      <c r="O2861" t="str">
        <f>IFERROR(VLOOKUP(J2861,PAR!$O$3:$P$5,2,FALSE),"nincs feladat")</f>
        <v>nincs feladat</v>
      </c>
      <c r="P2861" t="str">
        <f>IFERROR(VLOOKUP(G2861,PAR!$J$2:$M$19,4),"nincs rovat")</f>
        <v>nincs rovat</v>
      </c>
      <c r="Q2861" t="str">
        <f>IF(H2861&gt;0,VLOOKUP(H2861,PAR!$AA$3:$AC$187,3,FALSE),"nincs főkönyvi számla")</f>
        <v>nincs főkönyvi számla</v>
      </c>
      <c r="R2861" t="str">
        <f>IFERROR(VLOOKUP(K2861,PAR!$V$3:$X$438,3,FALSE),"000000 - Nincs COFOG")</f>
        <v>000000 - Nincs COFOG</v>
      </c>
      <c r="S2861">
        <f t="shared" si="848"/>
        <v>0</v>
      </c>
      <c r="T2861">
        <f t="shared" si="849"/>
        <v>0</v>
      </c>
      <c r="U2861" t="str">
        <f>IF('906MP'!J2561&gt;0,CONCATENATE('906MP'!J2561," - ",'906MP'!P2561,", ",'906MP'!E2561),"nincs megjegyzés")</f>
        <v>nincs megjegyzés</v>
      </c>
      <c r="V2861" t="str">
        <f t="shared" si="836"/>
        <v>0P0</v>
      </c>
      <c r="W2861" t="str">
        <f t="shared" si="837"/>
        <v>0P0</v>
      </c>
      <c r="X2861" t="str">
        <f t="shared" si="838"/>
        <v>P0</v>
      </c>
      <c r="Y2861" t="str">
        <f t="shared" si="839"/>
        <v>00</v>
      </c>
      <c r="Z2861" t="str">
        <f t="shared" si="850"/>
        <v>00</v>
      </c>
      <c r="AA2861" t="str">
        <f t="shared" si="840"/>
        <v>00</v>
      </c>
      <c r="AB2861" t="str">
        <f t="shared" si="841"/>
        <v>00</v>
      </c>
      <c r="AC2861" t="str">
        <f t="shared" si="842"/>
        <v>0P0</v>
      </c>
      <c r="AD2861" t="str">
        <f t="shared" si="843"/>
        <v>P00</v>
      </c>
      <c r="AE2861" t="str">
        <f t="shared" si="844"/>
        <v>0P0</v>
      </c>
      <c r="AF2861" t="str">
        <f t="shared" si="845"/>
        <v>P00</v>
      </c>
      <c r="AG2861" t="str">
        <f t="shared" si="851"/>
        <v>0P00</v>
      </c>
      <c r="AH2861" t="str">
        <f t="shared" si="852"/>
        <v>P000</v>
      </c>
      <c r="AI2861" t="str">
        <f t="shared" si="853"/>
        <v>0P00</v>
      </c>
      <c r="AJ2861" t="str">
        <f t="shared" si="854"/>
        <v>P000</v>
      </c>
    </row>
    <row r="2862" spans="1:36" x14ac:dyDescent="0.25">
      <c r="A2862" s="325" t="str">
        <f>CONCATENATE("P",'906MP'!M2562)</f>
        <v>P</v>
      </c>
      <c r="B2862">
        <f>'906MP'!H2562</f>
        <v>0</v>
      </c>
      <c r="C2862">
        <f>'906MP'!J2562</f>
        <v>0</v>
      </c>
      <c r="D2862">
        <f>'906MP'!P2562</f>
        <v>0</v>
      </c>
      <c r="E2862">
        <f>'906MP'!X2562</f>
        <v>0</v>
      </c>
      <c r="F2862" t="str">
        <f t="shared" si="846"/>
        <v>0</v>
      </c>
      <c r="G2862" t="str">
        <f t="shared" si="847"/>
        <v>0</v>
      </c>
      <c r="H2862">
        <f>'906MP'!Y2562</f>
        <v>0</v>
      </c>
      <c r="I2862">
        <f>'906MP'!AK2562</f>
        <v>0</v>
      </c>
      <c r="J2862">
        <f>'906MP'!T2562</f>
        <v>0</v>
      </c>
      <c r="K2862">
        <f>'906MP'!AJ2562</f>
        <v>0</v>
      </c>
      <c r="L2862">
        <f>'906MP'!U2562</f>
        <v>0</v>
      </c>
      <c r="M2862" s="322" t="str">
        <f>IFERROR(VLOOKUP(A2862,PAR!$D$3:$E$53,2,FALSE),"nincs szervezet")</f>
        <v>nincs szervezet</v>
      </c>
      <c r="N2862" s="322" t="str">
        <f>VLOOKUP(F2862,PAR!$R$3:$S$5,2,FALSE)</f>
        <v>3 - egyik sem</v>
      </c>
      <c r="O2862" t="str">
        <f>IFERROR(VLOOKUP(J2862,PAR!$O$3:$P$5,2,FALSE),"nincs feladat")</f>
        <v>nincs feladat</v>
      </c>
      <c r="P2862" t="str">
        <f>IFERROR(VLOOKUP(G2862,PAR!$J$2:$M$19,4),"nincs rovat")</f>
        <v>nincs rovat</v>
      </c>
      <c r="Q2862" t="str">
        <f>IF(H2862&gt;0,VLOOKUP(H2862,PAR!$AA$3:$AC$187,3,FALSE),"nincs főkönyvi számla")</f>
        <v>nincs főkönyvi számla</v>
      </c>
      <c r="R2862" t="str">
        <f>IFERROR(VLOOKUP(K2862,PAR!$V$3:$X$438,3,FALSE),"000000 - Nincs COFOG")</f>
        <v>000000 - Nincs COFOG</v>
      </c>
      <c r="S2862">
        <f t="shared" si="848"/>
        <v>0</v>
      </c>
      <c r="T2862">
        <f t="shared" si="849"/>
        <v>0</v>
      </c>
      <c r="U2862" t="str">
        <f>IF('906MP'!J2562&gt;0,CONCATENATE('906MP'!J2562," - ",'906MP'!P2562,", ",'906MP'!E2562),"nincs megjegyzés")</f>
        <v>nincs megjegyzés</v>
      </c>
      <c r="V2862" t="str">
        <f t="shared" si="836"/>
        <v>0P0</v>
      </c>
      <c r="W2862" t="str">
        <f t="shared" si="837"/>
        <v>0P0</v>
      </c>
      <c r="X2862" t="str">
        <f t="shared" si="838"/>
        <v>P0</v>
      </c>
      <c r="Y2862" t="str">
        <f t="shared" si="839"/>
        <v>00</v>
      </c>
      <c r="Z2862" t="str">
        <f t="shared" si="850"/>
        <v>00</v>
      </c>
      <c r="AA2862" t="str">
        <f t="shared" si="840"/>
        <v>00</v>
      </c>
      <c r="AB2862" t="str">
        <f t="shared" si="841"/>
        <v>00</v>
      </c>
      <c r="AC2862" t="str">
        <f t="shared" si="842"/>
        <v>0P0</v>
      </c>
      <c r="AD2862" t="str">
        <f t="shared" si="843"/>
        <v>P00</v>
      </c>
      <c r="AE2862" t="str">
        <f t="shared" si="844"/>
        <v>0P0</v>
      </c>
      <c r="AF2862" t="str">
        <f t="shared" si="845"/>
        <v>P00</v>
      </c>
      <c r="AG2862" t="str">
        <f t="shared" si="851"/>
        <v>0P00</v>
      </c>
      <c r="AH2862" t="str">
        <f t="shared" si="852"/>
        <v>P000</v>
      </c>
      <c r="AI2862" t="str">
        <f t="shared" si="853"/>
        <v>0P00</v>
      </c>
      <c r="AJ2862" t="str">
        <f t="shared" si="854"/>
        <v>P000</v>
      </c>
    </row>
    <row r="2863" spans="1:36" x14ac:dyDescent="0.25">
      <c r="A2863" s="325" t="str">
        <f>CONCATENATE("P",'906MP'!M2563)</f>
        <v>P</v>
      </c>
      <c r="B2863">
        <f>'906MP'!H2563</f>
        <v>0</v>
      </c>
      <c r="C2863">
        <f>'906MP'!J2563</f>
        <v>0</v>
      </c>
      <c r="D2863">
        <f>'906MP'!P2563</f>
        <v>0</v>
      </c>
      <c r="E2863">
        <f>'906MP'!X2563</f>
        <v>0</v>
      </c>
      <c r="F2863" t="str">
        <f t="shared" si="846"/>
        <v>0</v>
      </c>
      <c r="G2863" t="str">
        <f t="shared" si="847"/>
        <v>0</v>
      </c>
      <c r="H2863">
        <f>'906MP'!Y2563</f>
        <v>0</v>
      </c>
      <c r="I2863">
        <f>'906MP'!AK2563</f>
        <v>0</v>
      </c>
      <c r="J2863">
        <f>'906MP'!T2563</f>
        <v>0</v>
      </c>
      <c r="K2863">
        <f>'906MP'!AJ2563</f>
        <v>0</v>
      </c>
      <c r="L2863">
        <f>'906MP'!U2563</f>
        <v>0</v>
      </c>
      <c r="M2863" s="322" t="str">
        <f>IFERROR(VLOOKUP(A2863,PAR!$D$3:$E$53,2,FALSE),"nincs szervezet")</f>
        <v>nincs szervezet</v>
      </c>
      <c r="N2863" s="322" t="str">
        <f>VLOOKUP(F2863,PAR!$R$3:$S$5,2,FALSE)</f>
        <v>3 - egyik sem</v>
      </c>
      <c r="O2863" t="str">
        <f>IFERROR(VLOOKUP(J2863,PAR!$O$3:$P$5,2,FALSE),"nincs feladat")</f>
        <v>nincs feladat</v>
      </c>
      <c r="P2863" t="str">
        <f>IFERROR(VLOOKUP(G2863,PAR!$J$2:$M$19,4),"nincs rovat")</f>
        <v>nincs rovat</v>
      </c>
      <c r="Q2863" t="str">
        <f>IF(H2863&gt;0,VLOOKUP(H2863,PAR!$AA$3:$AC$187,3,FALSE),"nincs főkönyvi számla")</f>
        <v>nincs főkönyvi számla</v>
      </c>
      <c r="R2863" t="str">
        <f>IFERROR(VLOOKUP(K2863,PAR!$V$3:$X$438,3,FALSE),"000000 - Nincs COFOG")</f>
        <v>000000 - Nincs COFOG</v>
      </c>
      <c r="S2863">
        <f t="shared" si="848"/>
        <v>0</v>
      </c>
      <c r="T2863">
        <f t="shared" si="849"/>
        <v>0</v>
      </c>
      <c r="U2863" t="str">
        <f>IF('906MP'!J2563&gt;0,CONCATENATE('906MP'!J2563," - ",'906MP'!P2563,", ",'906MP'!E2563),"nincs megjegyzés")</f>
        <v>nincs megjegyzés</v>
      </c>
      <c r="V2863" t="str">
        <f t="shared" si="836"/>
        <v>0P0</v>
      </c>
      <c r="W2863" t="str">
        <f t="shared" si="837"/>
        <v>0P0</v>
      </c>
      <c r="X2863" t="str">
        <f t="shared" si="838"/>
        <v>P0</v>
      </c>
      <c r="Y2863" t="str">
        <f t="shared" si="839"/>
        <v>00</v>
      </c>
      <c r="Z2863" t="str">
        <f t="shared" si="850"/>
        <v>00</v>
      </c>
      <c r="AA2863" t="str">
        <f t="shared" si="840"/>
        <v>00</v>
      </c>
      <c r="AB2863" t="str">
        <f t="shared" si="841"/>
        <v>00</v>
      </c>
      <c r="AC2863" t="str">
        <f t="shared" si="842"/>
        <v>0P0</v>
      </c>
      <c r="AD2863" t="str">
        <f t="shared" si="843"/>
        <v>P00</v>
      </c>
      <c r="AE2863" t="str">
        <f t="shared" si="844"/>
        <v>0P0</v>
      </c>
      <c r="AF2863" t="str">
        <f t="shared" si="845"/>
        <v>P00</v>
      </c>
      <c r="AG2863" t="str">
        <f t="shared" si="851"/>
        <v>0P00</v>
      </c>
      <c r="AH2863" t="str">
        <f t="shared" si="852"/>
        <v>P000</v>
      </c>
      <c r="AI2863" t="str">
        <f t="shared" si="853"/>
        <v>0P00</v>
      </c>
      <c r="AJ2863" t="str">
        <f t="shared" si="854"/>
        <v>P000</v>
      </c>
    </row>
    <row r="2864" spans="1:36" x14ac:dyDescent="0.25">
      <c r="A2864" s="325" t="str">
        <f>CONCATENATE("P",'906MP'!M2564)</f>
        <v>P</v>
      </c>
      <c r="B2864">
        <f>'906MP'!H2564</f>
        <v>0</v>
      </c>
      <c r="C2864">
        <f>'906MP'!J2564</f>
        <v>0</v>
      </c>
      <c r="D2864">
        <f>'906MP'!P2564</f>
        <v>0</v>
      </c>
      <c r="E2864">
        <f>'906MP'!X2564</f>
        <v>0</v>
      </c>
      <c r="F2864" t="str">
        <f t="shared" si="846"/>
        <v>0</v>
      </c>
      <c r="G2864" t="str">
        <f t="shared" si="847"/>
        <v>0</v>
      </c>
      <c r="H2864">
        <f>'906MP'!Y2564</f>
        <v>0</v>
      </c>
      <c r="I2864">
        <f>'906MP'!AK2564</f>
        <v>0</v>
      </c>
      <c r="J2864">
        <f>'906MP'!T2564</f>
        <v>0</v>
      </c>
      <c r="K2864">
        <f>'906MP'!AJ2564</f>
        <v>0</v>
      </c>
      <c r="L2864">
        <f>'906MP'!U2564</f>
        <v>0</v>
      </c>
      <c r="M2864" s="322" t="str">
        <f>IFERROR(VLOOKUP(A2864,PAR!$D$3:$E$53,2,FALSE),"nincs szervezet")</f>
        <v>nincs szervezet</v>
      </c>
      <c r="N2864" s="322" t="str">
        <f>VLOOKUP(F2864,PAR!$R$3:$S$5,2,FALSE)</f>
        <v>3 - egyik sem</v>
      </c>
      <c r="O2864" t="str">
        <f>IFERROR(VLOOKUP(J2864,PAR!$O$3:$P$5,2,FALSE),"nincs feladat")</f>
        <v>nincs feladat</v>
      </c>
      <c r="P2864" t="str">
        <f>IFERROR(VLOOKUP(G2864,PAR!$J$2:$M$19,4),"nincs rovat")</f>
        <v>nincs rovat</v>
      </c>
      <c r="Q2864" t="str">
        <f>IF(H2864&gt;0,VLOOKUP(H2864,PAR!$AA$3:$AC$187,3,FALSE),"nincs főkönyvi számla")</f>
        <v>nincs főkönyvi számla</v>
      </c>
      <c r="R2864" t="str">
        <f>IFERROR(VLOOKUP(K2864,PAR!$V$3:$X$438,3,FALSE),"000000 - Nincs COFOG")</f>
        <v>000000 - Nincs COFOG</v>
      </c>
      <c r="S2864">
        <f t="shared" si="848"/>
        <v>0</v>
      </c>
      <c r="T2864">
        <f t="shared" si="849"/>
        <v>0</v>
      </c>
      <c r="U2864" t="str">
        <f>IF('906MP'!J2564&gt;0,CONCATENATE('906MP'!J2564," - ",'906MP'!P2564,", ",'906MP'!E2564),"nincs megjegyzés")</f>
        <v>nincs megjegyzés</v>
      </c>
      <c r="V2864" t="str">
        <f t="shared" si="836"/>
        <v>0P0</v>
      </c>
      <c r="W2864" t="str">
        <f t="shared" si="837"/>
        <v>0P0</v>
      </c>
      <c r="X2864" t="str">
        <f t="shared" si="838"/>
        <v>P0</v>
      </c>
      <c r="Y2864" t="str">
        <f t="shared" si="839"/>
        <v>00</v>
      </c>
      <c r="Z2864" t="str">
        <f t="shared" si="850"/>
        <v>00</v>
      </c>
      <c r="AA2864" t="str">
        <f t="shared" si="840"/>
        <v>00</v>
      </c>
      <c r="AB2864" t="str">
        <f t="shared" si="841"/>
        <v>00</v>
      </c>
      <c r="AC2864" t="str">
        <f t="shared" si="842"/>
        <v>0P0</v>
      </c>
      <c r="AD2864" t="str">
        <f t="shared" si="843"/>
        <v>P00</v>
      </c>
      <c r="AE2864" t="str">
        <f t="shared" si="844"/>
        <v>0P0</v>
      </c>
      <c r="AF2864" t="str">
        <f t="shared" si="845"/>
        <v>P00</v>
      </c>
      <c r="AG2864" t="str">
        <f t="shared" si="851"/>
        <v>0P00</v>
      </c>
      <c r="AH2864" t="str">
        <f t="shared" si="852"/>
        <v>P000</v>
      </c>
      <c r="AI2864" t="str">
        <f t="shared" si="853"/>
        <v>0P00</v>
      </c>
      <c r="AJ2864" t="str">
        <f t="shared" si="854"/>
        <v>P000</v>
      </c>
    </row>
    <row r="2865" spans="1:36" x14ac:dyDescent="0.25">
      <c r="A2865" s="325" t="str">
        <f>CONCATENATE("P",'906MP'!M2565)</f>
        <v>P</v>
      </c>
      <c r="B2865">
        <f>'906MP'!H2565</f>
        <v>0</v>
      </c>
      <c r="C2865">
        <f>'906MP'!J2565</f>
        <v>0</v>
      </c>
      <c r="D2865">
        <f>'906MP'!P2565</f>
        <v>0</v>
      </c>
      <c r="E2865">
        <f>'906MP'!X2565</f>
        <v>0</v>
      </c>
      <c r="F2865" t="str">
        <f t="shared" si="846"/>
        <v>0</v>
      </c>
      <c r="G2865" t="str">
        <f t="shared" si="847"/>
        <v>0</v>
      </c>
      <c r="H2865">
        <f>'906MP'!Y2565</f>
        <v>0</v>
      </c>
      <c r="I2865">
        <f>'906MP'!AK2565</f>
        <v>0</v>
      </c>
      <c r="J2865">
        <f>'906MP'!T2565</f>
        <v>0</v>
      </c>
      <c r="K2865">
        <f>'906MP'!AJ2565</f>
        <v>0</v>
      </c>
      <c r="L2865">
        <f>'906MP'!U2565</f>
        <v>0</v>
      </c>
      <c r="M2865" s="322" t="str">
        <f>IFERROR(VLOOKUP(A2865,PAR!$D$3:$E$53,2,FALSE),"nincs szervezet")</f>
        <v>nincs szervezet</v>
      </c>
      <c r="N2865" s="322" t="str">
        <f>VLOOKUP(F2865,PAR!$R$3:$S$5,2,FALSE)</f>
        <v>3 - egyik sem</v>
      </c>
      <c r="O2865" t="str">
        <f>IFERROR(VLOOKUP(J2865,PAR!$O$3:$P$5,2,FALSE),"nincs feladat")</f>
        <v>nincs feladat</v>
      </c>
      <c r="P2865" t="str">
        <f>IFERROR(VLOOKUP(G2865,PAR!$J$2:$M$19,4),"nincs rovat")</f>
        <v>nincs rovat</v>
      </c>
      <c r="Q2865" t="str">
        <f>IF(H2865&gt;0,VLOOKUP(H2865,PAR!$AA$3:$AC$187,3,FALSE),"nincs főkönyvi számla")</f>
        <v>nincs főkönyvi számla</v>
      </c>
      <c r="R2865" t="str">
        <f>IFERROR(VLOOKUP(K2865,PAR!$V$3:$X$438,3,FALSE),"000000 - Nincs COFOG")</f>
        <v>000000 - Nincs COFOG</v>
      </c>
      <c r="S2865">
        <f t="shared" si="848"/>
        <v>0</v>
      </c>
      <c r="T2865">
        <f t="shared" si="849"/>
        <v>0</v>
      </c>
      <c r="U2865" t="str">
        <f>IF('906MP'!J2565&gt;0,CONCATENATE('906MP'!J2565," - ",'906MP'!P2565,", ",'906MP'!E2565),"nincs megjegyzés")</f>
        <v>nincs megjegyzés</v>
      </c>
      <c r="V2865" t="str">
        <f t="shared" si="836"/>
        <v>0P0</v>
      </c>
      <c r="W2865" t="str">
        <f t="shared" si="837"/>
        <v>0P0</v>
      </c>
      <c r="X2865" t="str">
        <f t="shared" si="838"/>
        <v>P0</v>
      </c>
      <c r="Y2865" t="str">
        <f t="shared" si="839"/>
        <v>00</v>
      </c>
      <c r="Z2865" t="str">
        <f t="shared" si="850"/>
        <v>00</v>
      </c>
      <c r="AA2865" t="str">
        <f t="shared" si="840"/>
        <v>00</v>
      </c>
      <c r="AB2865" t="str">
        <f t="shared" si="841"/>
        <v>00</v>
      </c>
      <c r="AC2865" t="str">
        <f t="shared" si="842"/>
        <v>0P0</v>
      </c>
      <c r="AD2865" t="str">
        <f t="shared" si="843"/>
        <v>P00</v>
      </c>
      <c r="AE2865" t="str">
        <f t="shared" si="844"/>
        <v>0P0</v>
      </c>
      <c r="AF2865" t="str">
        <f t="shared" si="845"/>
        <v>P00</v>
      </c>
      <c r="AG2865" t="str">
        <f t="shared" si="851"/>
        <v>0P00</v>
      </c>
      <c r="AH2865" t="str">
        <f t="shared" si="852"/>
        <v>P000</v>
      </c>
      <c r="AI2865" t="str">
        <f t="shared" si="853"/>
        <v>0P00</v>
      </c>
      <c r="AJ2865" t="str">
        <f t="shared" si="854"/>
        <v>P000</v>
      </c>
    </row>
    <row r="2866" spans="1:36" x14ac:dyDescent="0.25">
      <c r="A2866" s="325" t="str">
        <f>CONCATENATE("P",'906MP'!M2566)</f>
        <v>P</v>
      </c>
      <c r="B2866">
        <f>'906MP'!H2566</f>
        <v>0</v>
      </c>
      <c r="C2866">
        <f>'906MP'!J2566</f>
        <v>0</v>
      </c>
      <c r="D2866">
        <f>'906MP'!P2566</f>
        <v>0</v>
      </c>
      <c r="E2866">
        <f>'906MP'!X2566</f>
        <v>0</v>
      </c>
      <c r="F2866" t="str">
        <f t="shared" si="846"/>
        <v>0</v>
      </c>
      <c r="G2866" t="str">
        <f t="shared" si="847"/>
        <v>0</v>
      </c>
      <c r="H2866">
        <f>'906MP'!Y2566</f>
        <v>0</v>
      </c>
      <c r="I2866">
        <f>'906MP'!AK2566</f>
        <v>0</v>
      </c>
      <c r="J2866">
        <f>'906MP'!T2566</f>
        <v>0</v>
      </c>
      <c r="K2866">
        <f>'906MP'!AJ2566</f>
        <v>0</v>
      </c>
      <c r="L2866">
        <f>'906MP'!U2566</f>
        <v>0</v>
      </c>
      <c r="M2866" s="322" t="str">
        <f>IFERROR(VLOOKUP(A2866,PAR!$D$3:$E$53,2,FALSE),"nincs szervezet")</f>
        <v>nincs szervezet</v>
      </c>
      <c r="N2866" s="322" t="str">
        <f>VLOOKUP(F2866,PAR!$R$3:$S$5,2,FALSE)</f>
        <v>3 - egyik sem</v>
      </c>
      <c r="O2866" t="str">
        <f>IFERROR(VLOOKUP(J2866,PAR!$O$3:$P$5,2,FALSE),"nincs feladat")</f>
        <v>nincs feladat</v>
      </c>
      <c r="P2866" t="str">
        <f>IFERROR(VLOOKUP(G2866,PAR!$J$2:$M$19,4),"nincs rovat")</f>
        <v>nincs rovat</v>
      </c>
      <c r="Q2866" t="str">
        <f>IF(H2866&gt;0,VLOOKUP(H2866,PAR!$AA$3:$AC$187,3,FALSE),"nincs főkönyvi számla")</f>
        <v>nincs főkönyvi számla</v>
      </c>
      <c r="R2866" t="str">
        <f>IFERROR(VLOOKUP(K2866,PAR!$V$3:$X$438,3,FALSE),"000000 - Nincs COFOG")</f>
        <v>000000 - Nincs COFOG</v>
      </c>
      <c r="S2866">
        <f t="shared" si="848"/>
        <v>0</v>
      </c>
      <c r="T2866">
        <f t="shared" si="849"/>
        <v>0</v>
      </c>
      <c r="U2866" t="str">
        <f>IF('906MP'!J2566&gt;0,CONCATENATE('906MP'!J2566," - ",'906MP'!P2566,", ",'906MP'!E2566),"nincs megjegyzés")</f>
        <v>nincs megjegyzés</v>
      </c>
      <c r="V2866" t="str">
        <f t="shared" si="836"/>
        <v>0P0</v>
      </c>
      <c r="W2866" t="str">
        <f t="shared" si="837"/>
        <v>0P0</v>
      </c>
      <c r="X2866" t="str">
        <f t="shared" si="838"/>
        <v>P0</v>
      </c>
      <c r="Y2866" t="str">
        <f t="shared" si="839"/>
        <v>00</v>
      </c>
      <c r="Z2866" t="str">
        <f t="shared" si="850"/>
        <v>00</v>
      </c>
      <c r="AA2866" t="str">
        <f t="shared" si="840"/>
        <v>00</v>
      </c>
      <c r="AB2866" t="str">
        <f t="shared" si="841"/>
        <v>00</v>
      </c>
      <c r="AC2866" t="str">
        <f t="shared" si="842"/>
        <v>0P0</v>
      </c>
      <c r="AD2866" t="str">
        <f t="shared" si="843"/>
        <v>P00</v>
      </c>
      <c r="AE2866" t="str">
        <f t="shared" si="844"/>
        <v>0P0</v>
      </c>
      <c r="AF2866" t="str">
        <f t="shared" si="845"/>
        <v>P00</v>
      </c>
      <c r="AG2866" t="str">
        <f t="shared" si="851"/>
        <v>0P00</v>
      </c>
      <c r="AH2866" t="str">
        <f t="shared" si="852"/>
        <v>P000</v>
      </c>
      <c r="AI2866" t="str">
        <f t="shared" si="853"/>
        <v>0P00</v>
      </c>
      <c r="AJ2866" t="str">
        <f t="shared" si="854"/>
        <v>P000</v>
      </c>
    </row>
    <row r="2867" spans="1:36" x14ac:dyDescent="0.25">
      <c r="A2867" s="325" t="str">
        <f>CONCATENATE("P",'906MP'!M2567)</f>
        <v>P</v>
      </c>
      <c r="B2867">
        <f>'906MP'!H2567</f>
        <v>0</v>
      </c>
      <c r="C2867">
        <f>'906MP'!J2567</f>
        <v>0</v>
      </c>
      <c r="D2867">
        <f>'906MP'!P2567</f>
        <v>0</v>
      </c>
      <c r="E2867">
        <f>'906MP'!X2567</f>
        <v>0</v>
      </c>
      <c r="F2867" t="str">
        <f t="shared" si="846"/>
        <v>0</v>
      </c>
      <c r="G2867" t="str">
        <f t="shared" si="847"/>
        <v>0</v>
      </c>
      <c r="H2867">
        <f>'906MP'!Y2567</f>
        <v>0</v>
      </c>
      <c r="I2867">
        <f>'906MP'!AK2567</f>
        <v>0</v>
      </c>
      <c r="J2867">
        <f>'906MP'!T2567</f>
        <v>0</v>
      </c>
      <c r="K2867">
        <f>'906MP'!AJ2567</f>
        <v>0</v>
      </c>
      <c r="L2867">
        <f>'906MP'!U2567</f>
        <v>0</v>
      </c>
      <c r="M2867" s="322" t="str">
        <f>IFERROR(VLOOKUP(A2867,PAR!$D$3:$E$53,2,FALSE),"nincs szervezet")</f>
        <v>nincs szervezet</v>
      </c>
      <c r="N2867" s="322" t="str">
        <f>VLOOKUP(F2867,PAR!$R$3:$S$5,2,FALSE)</f>
        <v>3 - egyik sem</v>
      </c>
      <c r="O2867" t="str">
        <f>IFERROR(VLOOKUP(J2867,PAR!$O$3:$P$5,2,FALSE),"nincs feladat")</f>
        <v>nincs feladat</v>
      </c>
      <c r="P2867" t="str">
        <f>IFERROR(VLOOKUP(G2867,PAR!$J$2:$M$19,4),"nincs rovat")</f>
        <v>nincs rovat</v>
      </c>
      <c r="Q2867" t="str">
        <f>IF(H2867&gt;0,VLOOKUP(H2867,PAR!$AA$3:$AC$187,3,FALSE),"nincs főkönyvi számla")</f>
        <v>nincs főkönyvi számla</v>
      </c>
      <c r="R2867" t="str">
        <f>IFERROR(VLOOKUP(K2867,PAR!$V$3:$X$438,3,FALSE),"000000 - Nincs COFOG")</f>
        <v>000000 - Nincs COFOG</v>
      </c>
      <c r="S2867">
        <f t="shared" si="848"/>
        <v>0</v>
      </c>
      <c r="T2867">
        <f t="shared" si="849"/>
        <v>0</v>
      </c>
      <c r="U2867" t="str">
        <f>IF('906MP'!J2567&gt;0,CONCATENATE('906MP'!J2567," - ",'906MP'!P2567,", ",'906MP'!E2567),"nincs megjegyzés")</f>
        <v>nincs megjegyzés</v>
      </c>
      <c r="V2867" t="str">
        <f t="shared" si="836"/>
        <v>0P0</v>
      </c>
      <c r="W2867" t="str">
        <f t="shared" si="837"/>
        <v>0P0</v>
      </c>
      <c r="X2867" t="str">
        <f t="shared" si="838"/>
        <v>P0</v>
      </c>
      <c r="Y2867" t="str">
        <f t="shared" si="839"/>
        <v>00</v>
      </c>
      <c r="Z2867" t="str">
        <f t="shared" si="850"/>
        <v>00</v>
      </c>
      <c r="AA2867" t="str">
        <f t="shared" si="840"/>
        <v>00</v>
      </c>
      <c r="AB2867" t="str">
        <f t="shared" si="841"/>
        <v>00</v>
      </c>
      <c r="AC2867" t="str">
        <f t="shared" si="842"/>
        <v>0P0</v>
      </c>
      <c r="AD2867" t="str">
        <f t="shared" si="843"/>
        <v>P00</v>
      </c>
      <c r="AE2867" t="str">
        <f t="shared" si="844"/>
        <v>0P0</v>
      </c>
      <c r="AF2867" t="str">
        <f t="shared" si="845"/>
        <v>P00</v>
      </c>
      <c r="AG2867" t="str">
        <f t="shared" si="851"/>
        <v>0P00</v>
      </c>
      <c r="AH2867" t="str">
        <f t="shared" si="852"/>
        <v>P000</v>
      </c>
      <c r="AI2867" t="str">
        <f t="shared" si="853"/>
        <v>0P00</v>
      </c>
      <c r="AJ2867" t="str">
        <f t="shared" si="854"/>
        <v>P000</v>
      </c>
    </row>
    <row r="2868" spans="1:36" x14ac:dyDescent="0.25">
      <c r="A2868" s="325" t="str">
        <f>CONCATENATE("P",'906MP'!M2568)</f>
        <v>P</v>
      </c>
      <c r="B2868">
        <f>'906MP'!H2568</f>
        <v>0</v>
      </c>
      <c r="C2868">
        <f>'906MP'!J2568</f>
        <v>0</v>
      </c>
      <c r="D2868">
        <f>'906MP'!P2568</f>
        <v>0</v>
      </c>
      <c r="E2868">
        <f>'906MP'!X2568</f>
        <v>0</v>
      </c>
      <c r="F2868" t="str">
        <f t="shared" si="846"/>
        <v>0</v>
      </c>
      <c r="G2868" t="str">
        <f t="shared" si="847"/>
        <v>0</v>
      </c>
      <c r="H2868">
        <f>'906MP'!Y2568</f>
        <v>0</v>
      </c>
      <c r="I2868">
        <f>'906MP'!AK2568</f>
        <v>0</v>
      </c>
      <c r="J2868">
        <f>'906MP'!T2568</f>
        <v>0</v>
      </c>
      <c r="K2868">
        <f>'906MP'!AJ2568</f>
        <v>0</v>
      </c>
      <c r="L2868">
        <f>'906MP'!U2568</f>
        <v>0</v>
      </c>
      <c r="M2868" s="322" t="str">
        <f>IFERROR(VLOOKUP(A2868,PAR!$D$3:$E$53,2,FALSE),"nincs szervezet")</f>
        <v>nincs szervezet</v>
      </c>
      <c r="N2868" s="322" t="str">
        <f>VLOOKUP(F2868,PAR!$R$3:$S$5,2,FALSE)</f>
        <v>3 - egyik sem</v>
      </c>
      <c r="O2868" t="str">
        <f>IFERROR(VLOOKUP(J2868,PAR!$O$3:$P$5,2,FALSE),"nincs feladat")</f>
        <v>nincs feladat</v>
      </c>
      <c r="P2868" t="str">
        <f>IFERROR(VLOOKUP(G2868,PAR!$J$2:$M$19,4),"nincs rovat")</f>
        <v>nincs rovat</v>
      </c>
      <c r="Q2868" t="str">
        <f>IF(H2868&gt;0,VLOOKUP(H2868,PAR!$AA$3:$AC$187,3,FALSE),"nincs főkönyvi számla")</f>
        <v>nincs főkönyvi számla</v>
      </c>
      <c r="R2868" t="str">
        <f>IFERROR(VLOOKUP(K2868,PAR!$V$3:$X$438,3,FALSE),"000000 - Nincs COFOG")</f>
        <v>000000 - Nincs COFOG</v>
      </c>
      <c r="S2868">
        <f t="shared" si="848"/>
        <v>0</v>
      </c>
      <c r="T2868">
        <f t="shared" si="849"/>
        <v>0</v>
      </c>
      <c r="U2868" t="str">
        <f>IF('906MP'!J2568&gt;0,CONCATENATE('906MP'!J2568," - ",'906MP'!P2568,", ",'906MP'!E2568),"nincs megjegyzés")</f>
        <v>nincs megjegyzés</v>
      </c>
      <c r="V2868" t="str">
        <f t="shared" si="836"/>
        <v>0P0</v>
      </c>
      <c r="W2868" t="str">
        <f t="shared" si="837"/>
        <v>0P0</v>
      </c>
      <c r="X2868" t="str">
        <f t="shared" si="838"/>
        <v>P0</v>
      </c>
      <c r="Y2868" t="str">
        <f t="shared" si="839"/>
        <v>00</v>
      </c>
      <c r="Z2868" t="str">
        <f t="shared" si="850"/>
        <v>00</v>
      </c>
      <c r="AA2868" t="str">
        <f t="shared" si="840"/>
        <v>00</v>
      </c>
      <c r="AB2868" t="str">
        <f t="shared" si="841"/>
        <v>00</v>
      </c>
      <c r="AC2868" t="str">
        <f t="shared" si="842"/>
        <v>0P0</v>
      </c>
      <c r="AD2868" t="str">
        <f t="shared" si="843"/>
        <v>P00</v>
      </c>
      <c r="AE2868" t="str">
        <f t="shared" si="844"/>
        <v>0P0</v>
      </c>
      <c r="AF2868" t="str">
        <f t="shared" si="845"/>
        <v>P00</v>
      </c>
      <c r="AG2868" t="str">
        <f t="shared" si="851"/>
        <v>0P00</v>
      </c>
      <c r="AH2868" t="str">
        <f t="shared" si="852"/>
        <v>P000</v>
      </c>
      <c r="AI2868" t="str">
        <f t="shared" si="853"/>
        <v>0P00</v>
      </c>
      <c r="AJ2868" t="str">
        <f t="shared" si="854"/>
        <v>P000</v>
      </c>
    </row>
    <row r="2869" spans="1:36" x14ac:dyDescent="0.25">
      <c r="A2869" s="325" t="str">
        <f>CONCATENATE("P",'906MP'!M2569)</f>
        <v>P</v>
      </c>
      <c r="B2869">
        <f>'906MP'!H2569</f>
        <v>0</v>
      </c>
      <c r="C2869">
        <f>'906MP'!J2569</f>
        <v>0</v>
      </c>
      <c r="D2869">
        <f>'906MP'!P2569</f>
        <v>0</v>
      </c>
      <c r="E2869">
        <f>'906MP'!X2569</f>
        <v>0</v>
      </c>
      <c r="F2869" t="str">
        <f t="shared" si="846"/>
        <v>0</v>
      </c>
      <c r="G2869" t="str">
        <f t="shared" si="847"/>
        <v>0</v>
      </c>
      <c r="H2869">
        <f>'906MP'!Y2569</f>
        <v>0</v>
      </c>
      <c r="I2869">
        <f>'906MP'!AK2569</f>
        <v>0</v>
      </c>
      <c r="J2869">
        <f>'906MP'!T2569</f>
        <v>0</v>
      </c>
      <c r="K2869">
        <f>'906MP'!AJ2569</f>
        <v>0</v>
      </c>
      <c r="L2869">
        <f>'906MP'!U2569</f>
        <v>0</v>
      </c>
      <c r="M2869" s="322" t="str">
        <f>IFERROR(VLOOKUP(A2869,PAR!$D$3:$E$53,2,FALSE),"nincs szervezet")</f>
        <v>nincs szervezet</v>
      </c>
      <c r="N2869" s="322" t="str">
        <f>VLOOKUP(F2869,PAR!$R$3:$S$5,2,FALSE)</f>
        <v>3 - egyik sem</v>
      </c>
      <c r="O2869" t="str">
        <f>IFERROR(VLOOKUP(J2869,PAR!$O$3:$P$5,2,FALSE),"nincs feladat")</f>
        <v>nincs feladat</v>
      </c>
      <c r="P2869" t="str">
        <f>IFERROR(VLOOKUP(G2869,PAR!$J$2:$M$19,4),"nincs rovat")</f>
        <v>nincs rovat</v>
      </c>
      <c r="Q2869" t="str">
        <f>IF(H2869&gt;0,VLOOKUP(H2869,PAR!$AA$3:$AC$187,3,FALSE),"nincs főkönyvi számla")</f>
        <v>nincs főkönyvi számla</v>
      </c>
      <c r="R2869" t="str">
        <f>IFERROR(VLOOKUP(K2869,PAR!$V$3:$X$438,3,FALSE),"000000 - Nincs COFOG")</f>
        <v>000000 - Nincs COFOG</v>
      </c>
      <c r="S2869">
        <f t="shared" si="848"/>
        <v>0</v>
      </c>
      <c r="T2869">
        <f t="shared" si="849"/>
        <v>0</v>
      </c>
      <c r="U2869" t="str">
        <f>IF('906MP'!J2569&gt;0,CONCATENATE('906MP'!J2569," - ",'906MP'!P2569,", ",'906MP'!E2569),"nincs megjegyzés")</f>
        <v>nincs megjegyzés</v>
      </c>
      <c r="V2869" t="str">
        <f t="shared" si="836"/>
        <v>0P0</v>
      </c>
      <c r="W2869" t="str">
        <f t="shared" si="837"/>
        <v>0P0</v>
      </c>
      <c r="X2869" t="str">
        <f t="shared" si="838"/>
        <v>P0</v>
      </c>
      <c r="Y2869" t="str">
        <f t="shared" si="839"/>
        <v>00</v>
      </c>
      <c r="Z2869" t="str">
        <f t="shared" si="850"/>
        <v>00</v>
      </c>
      <c r="AA2869" t="str">
        <f t="shared" si="840"/>
        <v>00</v>
      </c>
      <c r="AB2869" t="str">
        <f t="shared" si="841"/>
        <v>00</v>
      </c>
      <c r="AC2869" t="str">
        <f t="shared" si="842"/>
        <v>0P0</v>
      </c>
      <c r="AD2869" t="str">
        <f t="shared" si="843"/>
        <v>P00</v>
      </c>
      <c r="AE2869" t="str">
        <f t="shared" si="844"/>
        <v>0P0</v>
      </c>
      <c r="AF2869" t="str">
        <f t="shared" si="845"/>
        <v>P00</v>
      </c>
      <c r="AG2869" t="str">
        <f t="shared" si="851"/>
        <v>0P00</v>
      </c>
      <c r="AH2869" t="str">
        <f t="shared" si="852"/>
        <v>P000</v>
      </c>
      <c r="AI2869" t="str">
        <f t="shared" si="853"/>
        <v>0P00</v>
      </c>
      <c r="AJ2869" t="str">
        <f t="shared" si="854"/>
        <v>P000</v>
      </c>
    </row>
    <row r="2870" spans="1:36" x14ac:dyDescent="0.25">
      <c r="A2870" s="325" t="str">
        <f>CONCATENATE("P",'906MP'!M2570)</f>
        <v>P</v>
      </c>
      <c r="B2870">
        <f>'906MP'!H2570</f>
        <v>0</v>
      </c>
      <c r="C2870">
        <f>'906MP'!J2570</f>
        <v>0</v>
      </c>
      <c r="D2870">
        <f>'906MP'!P2570</f>
        <v>0</v>
      </c>
      <c r="E2870">
        <f>'906MP'!X2570</f>
        <v>0</v>
      </c>
      <c r="F2870" t="str">
        <f t="shared" si="846"/>
        <v>0</v>
      </c>
      <c r="G2870" t="str">
        <f t="shared" si="847"/>
        <v>0</v>
      </c>
      <c r="H2870">
        <f>'906MP'!Y2570</f>
        <v>0</v>
      </c>
      <c r="I2870">
        <f>'906MP'!AK2570</f>
        <v>0</v>
      </c>
      <c r="J2870">
        <f>'906MP'!T2570</f>
        <v>0</v>
      </c>
      <c r="K2870">
        <f>'906MP'!AJ2570</f>
        <v>0</v>
      </c>
      <c r="L2870">
        <f>'906MP'!U2570</f>
        <v>0</v>
      </c>
      <c r="M2870" s="322" t="str">
        <f>IFERROR(VLOOKUP(A2870,PAR!$D$3:$E$53,2,FALSE),"nincs szervezet")</f>
        <v>nincs szervezet</v>
      </c>
      <c r="N2870" s="322" t="str">
        <f>VLOOKUP(F2870,PAR!$R$3:$S$5,2,FALSE)</f>
        <v>3 - egyik sem</v>
      </c>
      <c r="O2870" t="str">
        <f>IFERROR(VLOOKUP(J2870,PAR!$O$3:$P$5,2,FALSE),"nincs feladat")</f>
        <v>nincs feladat</v>
      </c>
      <c r="P2870" t="str">
        <f>IFERROR(VLOOKUP(G2870,PAR!$J$2:$M$19,4),"nincs rovat")</f>
        <v>nincs rovat</v>
      </c>
      <c r="Q2870" t="str">
        <f>IF(H2870&gt;0,VLOOKUP(H2870,PAR!$AA$3:$AC$187,3,FALSE),"nincs főkönyvi számla")</f>
        <v>nincs főkönyvi számla</v>
      </c>
      <c r="R2870" t="str">
        <f>IFERROR(VLOOKUP(K2870,PAR!$V$3:$X$438,3,FALSE),"000000 - Nincs COFOG")</f>
        <v>000000 - Nincs COFOG</v>
      </c>
      <c r="S2870">
        <f t="shared" si="848"/>
        <v>0</v>
      </c>
      <c r="T2870">
        <f t="shared" si="849"/>
        <v>0</v>
      </c>
      <c r="U2870" t="str">
        <f>IF('906MP'!J2570&gt;0,CONCATENATE('906MP'!J2570," - ",'906MP'!P2570,", ",'906MP'!E2570),"nincs megjegyzés")</f>
        <v>nincs megjegyzés</v>
      </c>
      <c r="V2870" t="str">
        <f t="shared" si="836"/>
        <v>0P0</v>
      </c>
      <c r="W2870" t="str">
        <f t="shared" si="837"/>
        <v>0P0</v>
      </c>
      <c r="X2870" t="str">
        <f t="shared" si="838"/>
        <v>P0</v>
      </c>
      <c r="Y2870" t="str">
        <f t="shared" si="839"/>
        <v>00</v>
      </c>
      <c r="Z2870" t="str">
        <f t="shared" si="850"/>
        <v>00</v>
      </c>
      <c r="AA2870" t="str">
        <f t="shared" si="840"/>
        <v>00</v>
      </c>
      <c r="AB2870" t="str">
        <f t="shared" si="841"/>
        <v>00</v>
      </c>
      <c r="AC2870" t="str">
        <f t="shared" si="842"/>
        <v>0P0</v>
      </c>
      <c r="AD2870" t="str">
        <f t="shared" si="843"/>
        <v>P00</v>
      </c>
      <c r="AE2870" t="str">
        <f t="shared" si="844"/>
        <v>0P0</v>
      </c>
      <c r="AF2870" t="str">
        <f t="shared" si="845"/>
        <v>P00</v>
      </c>
      <c r="AG2870" t="str">
        <f t="shared" si="851"/>
        <v>0P00</v>
      </c>
      <c r="AH2870" t="str">
        <f t="shared" si="852"/>
        <v>P000</v>
      </c>
      <c r="AI2870" t="str">
        <f t="shared" si="853"/>
        <v>0P00</v>
      </c>
      <c r="AJ2870" t="str">
        <f t="shared" si="854"/>
        <v>P000</v>
      </c>
    </row>
    <row r="2871" spans="1:36" x14ac:dyDescent="0.25">
      <c r="A2871" s="325" t="str">
        <f>CONCATENATE("P",'906MP'!M2571)</f>
        <v>P</v>
      </c>
      <c r="B2871">
        <f>'906MP'!H2571</f>
        <v>0</v>
      </c>
      <c r="C2871">
        <f>'906MP'!J2571</f>
        <v>0</v>
      </c>
      <c r="D2871">
        <f>'906MP'!P2571</f>
        <v>0</v>
      </c>
      <c r="E2871">
        <f>'906MP'!X2571</f>
        <v>0</v>
      </c>
      <c r="F2871" t="str">
        <f t="shared" si="846"/>
        <v>0</v>
      </c>
      <c r="G2871" t="str">
        <f t="shared" si="847"/>
        <v>0</v>
      </c>
      <c r="H2871">
        <f>'906MP'!Y2571</f>
        <v>0</v>
      </c>
      <c r="I2871">
        <f>'906MP'!AK2571</f>
        <v>0</v>
      </c>
      <c r="J2871">
        <f>'906MP'!T2571</f>
        <v>0</v>
      </c>
      <c r="K2871">
        <f>'906MP'!AJ2571</f>
        <v>0</v>
      </c>
      <c r="L2871">
        <f>'906MP'!U2571</f>
        <v>0</v>
      </c>
      <c r="M2871" s="322" t="str">
        <f>IFERROR(VLOOKUP(A2871,PAR!$D$3:$E$53,2,FALSE),"nincs szervezet")</f>
        <v>nincs szervezet</v>
      </c>
      <c r="N2871" s="322" t="str">
        <f>VLOOKUP(F2871,PAR!$R$3:$S$5,2,FALSE)</f>
        <v>3 - egyik sem</v>
      </c>
      <c r="O2871" t="str">
        <f>IFERROR(VLOOKUP(J2871,PAR!$O$3:$P$5,2,FALSE),"nincs feladat")</f>
        <v>nincs feladat</v>
      </c>
      <c r="P2871" t="str">
        <f>IFERROR(VLOOKUP(G2871,PAR!$J$2:$M$19,4),"nincs rovat")</f>
        <v>nincs rovat</v>
      </c>
      <c r="Q2871" t="str">
        <f>IF(H2871&gt;0,VLOOKUP(H2871,PAR!$AA$3:$AC$187,3,FALSE),"nincs főkönyvi számla")</f>
        <v>nincs főkönyvi számla</v>
      </c>
      <c r="R2871" t="str">
        <f>IFERROR(VLOOKUP(K2871,PAR!$V$3:$X$438,3,FALSE),"000000 - Nincs COFOG")</f>
        <v>000000 - Nincs COFOG</v>
      </c>
      <c r="S2871">
        <f t="shared" si="848"/>
        <v>0</v>
      </c>
      <c r="T2871">
        <f t="shared" si="849"/>
        <v>0</v>
      </c>
      <c r="U2871" t="str">
        <f>IF('906MP'!J2571&gt;0,CONCATENATE('906MP'!J2571," - ",'906MP'!P2571,", ",'906MP'!E2571),"nincs megjegyzés")</f>
        <v>nincs megjegyzés</v>
      </c>
      <c r="V2871" t="str">
        <f t="shared" si="836"/>
        <v>0P0</v>
      </c>
      <c r="W2871" t="str">
        <f t="shared" si="837"/>
        <v>0P0</v>
      </c>
      <c r="X2871" t="str">
        <f t="shared" si="838"/>
        <v>P0</v>
      </c>
      <c r="Y2871" t="str">
        <f t="shared" si="839"/>
        <v>00</v>
      </c>
      <c r="Z2871" t="str">
        <f t="shared" si="850"/>
        <v>00</v>
      </c>
      <c r="AA2871" t="str">
        <f t="shared" si="840"/>
        <v>00</v>
      </c>
      <c r="AB2871" t="str">
        <f t="shared" si="841"/>
        <v>00</v>
      </c>
      <c r="AC2871" t="str">
        <f t="shared" si="842"/>
        <v>0P0</v>
      </c>
      <c r="AD2871" t="str">
        <f t="shared" si="843"/>
        <v>P00</v>
      </c>
      <c r="AE2871" t="str">
        <f t="shared" si="844"/>
        <v>0P0</v>
      </c>
      <c r="AF2871" t="str">
        <f t="shared" si="845"/>
        <v>P00</v>
      </c>
      <c r="AG2871" t="str">
        <f t="shared" si="851"/>
        <v>0P00</v>
      </c>
      <c r="AH2871" t="str">
        <f t="shared" si="852"/>
        <v>P000</v>
      </c>
      <c r="AI2871" t="str">
        <f t="shared" si="853"/>
        <v>0P00</v>
      </c>
      <c r="AJ2871" t="str">
        <f t="shared" si="854"/>
        <v>P000</v>
      </c>
    </row>
    <row r="2872" spans="1:36" x14ac:dyDescent="0.25">
      <c r="A2872" s="325" t="str">
        <f>CONCATENATE("P",'906MP'!M2572)</f>
        <v>P</v>
      </c>
      <c r="B2872">
        <f>'906MP'!H2572</f>
        <v>0</v>
      </c>
      <c r="C2872">
        <f>'906MP'!J2572</f>
        <v>0</v>
      </c>
      <c r="D2872">
        <f>'906MP'!P2572</f>
        <v>0</v>
      </c>
      <c r="E2872">
        <f>'906MP'!X2572</f>
        <v>0</v>
      </c>
      <c r="F2872" t="str">
        <f t="shared" si="846"/>
        <v>0</v>
      </c>
      <c r="G2872" t="str">
        <f t="shared" si="847"/>
        <v>0</v>
      </c>
      <c r="H2872">
        <f>'906MP'!Y2572</f>
        <v>0</v>
      </c>
      <c r="I2872">
        <f>'906MP'!AK2572</f>
        <v>0</v>
      </c>
      <c r="J2872">
        <f>'906MP'!T2572</f>
        <v>0</v>
      </c>
      <c r="K2872">
        <f>'906MP'!AJ2572</f>
        <v>0</v>
      </c>
      <c r="L2872">
        <f>'906MP'!U2572</f>
        <v>0</v>
      </c>
      <c r="M2872" s="322" t="str">
        <f>IFERROR(VLOOKUP(A2872,PAR!$D$3:$E$53,2,FALSE),"nincs szervezet")</f>
        <v>nincs szervezet</v>
      </c>
      <c r="N2872" s="322" t="str">
        <f>VLOOKUP(F2872,PAR!$R$3:$S$5,2,FALSE)</f>
        <v>3 - egyik sem</v>
      </c>
      <c r="O2872" t="str">
        <f>IFERROR(VLOOKUP(J2872,PAR!$O$3:$P$5,2,FALSE),"nincs feladat")</f>
        <v>nincs feladat</v>
      </c>
      <c r="P2872" t="str">
        <f>IFERROR(VLOOKUP(G2872,PAR!$J$2:$M$19,4),"nincs rovat")</f>
        <v>nincs rovat</v>
      </c>
      <c r="Q2872" t="str">
        <f>IF(H2872&gt;0,VLOOKUP(H2872,PAR!$AA$3:$AC$187,3,FALSE),"nincs főkönyvi számla")</f>
        <v>nincs főkönyvi számla</v>
      </c>
      <c r="R2872" t="str">
        <f>IFERROR(VLOOKUP(K2872,PAR!$V$3:$X$438,3,FALSE),"000000 - Nincs COFOG")</f>
        <v>000000 - Nincs COFOG</v>
      </c>
      <c r="S2872">
        <f t="shared" si="848"/>
        <v>0</v>
      </c>
      <c r="T2872">
        <f t="shared" si="849"/>
        <v>0</v>
      </c>
      <c r="U2872" t="str">
        <f>IF('906MP'!J2572&gt;0,CONCATENATE('906MP'!J2572," - ",'906MP'!P2572,", ",'906MP'!E2572),"nincs megjegyzés")</f>
        <v>nincs megjegyzés</v>
      </c>
      <c r="V2872" t="str">
        <f t="shared" si="836"/>
        <v>0P0</v>
      </c>
      <c r="W2872" t="str">
        <f t="shared" si="837"/>
        <v>0P0</v>
      </c>
      <c r="X2872" t="str">
        <f t="shared" si="838"/>
        <v>P0</v>
      </c>
      <c r="Y2872" t="str">
        <f t="shared" si="839"/>
        <v>00</v>
      </c>
      <c r="Z2872" t="str">
        <f t="shared" si="850"/>
        <v>00</v>
      </c>
      <c r="AA2872" t="str">
        <f t="shared" si="840"/>
        <v>00</v>
      </c>
      <c r="AB2872" t="str">
        <f t="shared" si="841"/>
        <v>00</v>
      </c>
      <c r="AC2872" t="str">
        <f t="shared" si="842"/>
        <v>0P0</v>
      </c>
      <c r="AD2872" t="str">
        <f t="shared" si="843"/>
        <v>P00</v>
      </c>
      <c r="AE2872" t="str">
        <f t="shared" si="844"/>
        <v>0P0</v>
      </c>
      <c r="AF2872" t="str">
        <f t="shared" si="845"/>
        <v>P00</v>
      </c>
      <c r="AG2872" t="str">
        <f t="shared" si="851"/>
        <v>0P00</v>
      </c>
      <c r="AH2872" t="str">
        <f t="shared" si="852"/>
        <v>P000</v>
      </c>
      <c r="AI2872" t="str">
        <f t="shared" si="853"/>
        <v>0P00</v>
      </c>
      <c r="AJ2872" t="str">
        <f t="shared" si="854"/>
        <v>P000</v>
      </c>
    </row>
    <row r="2873" spans="1:36" x14ac:dyDescent="0.25">
      <c r="A2873" s="325" t="str">
        <f>CONCATENATE("P",'906MP'!M2573)</f>
        <v>P</v>
      </c>
      <c r="B2873">
        <f>'906MP'!H2573</f>
        <v>0</v>
      </c>
      <c r="C2873">
        <f>'906MP'!J2573</f>
        <v>0</v>
      </c>
      <c r="D2873">
        <f>'906MP'!P2573</f>
        <v>0</v>
      </c>
      <c r="E2873">
        <f>'906MP'!X2573</f>
        <v>0</v>
      </c>
      <c r="F2873" t="str">
        <f t="shared" si="846"/>
        <v>0</v>
      </c>
      <c r="G2873" t="str">
        <f t="shared" si="847"/>
        <v>0</v>
      </c>
      <c r="H2873">
        <f>'906MP'!Y2573</f>
        <v>0</v>
      </c>
      <c r="I2873">
        <f>'906MP'!AK2573</f>
        <v>0</v>
      </c>
      <c r="J2873">
        <f>'906MP'!T2573</f>
        <v>0</v>
      </c>
      <c r="K2873">
        <f>'906MP'!AJ2573</f>
        <v>0</v>
      </c>
      <c r="L2873">
        <f>'906MP'!U2573</f>
        <v>0</v>
      </c>
      <c r="M2873" s="322" t="str">
        <f>IFERROR(VLOOKUP(A2873,PAR!$D$3:$E$53,2,FALSE),"nincs szervezet")</f>
        <v>nincs szervezet</v>
      </c>
      <c r="N2873" s="322" t="str">
        <f>VLOOKUP(F2873,PAR!$R$3:$S$5,2,FALSE)</f>
        <v>3 - egyik sem</v>
      </c>
      <c r="O2873" t="str">
        <f>IFERROR(VLOOKUP(J2873,PAR!$O$3:$P$5,2,FALSE),"nincs feladat")</f>
        <v>nincs feladat</v>
      </c>
      <c r="P2873" t="str">
        <f>IFERROR(VLOOKUP(G2873,PAR!$J$2:$M$19,4),"nincs rovat")</f>
        <v>nincs rovat</v>
      </c>
      <c r="Q2873" t="str">
        <f>IF(H2873&gt;0,VLOOKUP(H2873,PAR!$AA$3:$AC$187,3,FALSE),"nincs főkönyvi számla")</f>
        <v>nincs főkönyvi számla</v>
      </c>
      <c r="R2873" t="str">
        <f>IFERROR(VLOOKUP(K2873,PAR!$V$3:$X$438,3,FALSE),"000000 - Nincs COFOG")</f>
        <v>000000 - Nincs COFOG</v>
      </c>
      <c r="S2873">
        <f t="shared" si="848"/>
        <v>0</v>
      </c>
      <c r="T2873">
        <f t="shared" si="849"/>
        <v>0</v>
      </c>
      <c r="U2873" t="str">
        <f>IF('906MP'!J2573&gt;0,CONCATENATE('906MP'!J2573," - ",'906MP'!P2573,", ",'906MP'!E2573),"nincs megjegyzés")</f>
        <v>nincs megjegyzés</v>
      </c>
      <c r="V2873" t="str">
        <f t="shared" si="836"/>
        <v>0P0</v>
      </c>
      <c r="W2873" t="str">
        <f t="shared" si="837"/>
        <v>0P0</v>
      </c>
      <c r="X2873" t="str">
        <f t="shared" si="838"/>
        <v>P0</v>
      </c>
      <c r="Y2873" t="str">
        <f t="shared" si="839"/>
        <v>00</v>
      </c>
      <c r="Z2873" t="str">
        <f t="shared" si="850"/>
        <v>00</v>
      </c>
      <c r="AA2873" t="str">
        <f t="shared" si="840"/>
        <v>00</v>
      </c>
      <c r="AB2873" t="str">
        <f t="shared" si="841"/>
        <v>00</v>
      </c>
      <c r="AC2873" t="str">
        <f t="shared" si="842"/>
        <v>0P0</v>
      </c>
      <c r="AD2873" t="str">
        <f t="shared" si="843"/>
        <v>P00</v>
      </c>
      <c r="AE2873" t="str">
        <f t="shared" si="844"/>
        <v>0P0</v>
      </c>
      <c r="AF2873" t="str">
        <f t="shared" si="845"/>
        <v>P00</v>
      </c>
      <c r="AG2873" t="str">
        <f t="shared" si="851"/>
        <v>0P00</v>
      </c>
      <c r="AH2873" t="str">
        <f t="shared" si="852"/>
        <v>P000</v>
      </c>
      <c r="AI2873" t="str">
        <f t="shared" si="853"/>
        <v>0P00</v>
      </c>
      <c r="AJ2873" t="str">
        <f t="shared" si="854"/>
        <v>P000</v>
      </c>
    </row>
    <row r="2874" spans="1:36" x14ac:dyDescent="0.25">
      <c r="A2874" s="325" t="str">
        <f>CONCATENATE("P",'906MP'!M2574)</f>
        <v>P</v>
      </c>
      <c r="B2874">
        <f>'906MP'!H2574</f>
        <v>0</v>
      </c>
      <c r="C2874">
        <f>'906MP'!J2574</f>
        <v>0</v>
      </c>
      <c r="D2874">
        <f>'906MP'!P2574</f>
        <v>0</v>
      </c>
      <c r="E2874">
        <f>'906MP'!X2574</f>
        <v>0</v>
      </c>
      <c r="F2874" t="str">
        <f t="shared" si="846"/>
        <v>0</v>
      </c>
      <c r="G2874" t="str">
        <f t="shared" si="847"/>
        <v>0</v>
      </c>
      <c r="H2874">
        <f>'906MP'!Y2574</f>
        <v>0</v>
      </c>
      <c r="I2874">
        <f>'906MP'!AK2574</f>
        <v>0</v>
      </c>
      <c r="J2874">
        <f>'906MP'!T2574</f>
        <v>0</v>
      </c>
      <c r="K2874">
        <f>'906MP'!AJ2574</f>
        <v>0</v>
      </c>
      <c r="L2874">
        <f>'906MP'!U2574</f>
        <v>0</v>
      </c>
      <c r="M2874" s="322" t="str">
        <f>IFERROR(VLOOKUP(A2874,PAR!$D$3:$E$53,2,FALSE),"nincs szervezet")</f>
        <v>nincs szervezet</v>
      </c>
      <c r="N2874" s="322" t="str">
        <f>VLOOKUP(F2874,PAR!$R$3:$S$5,2,FALSE)</f>
        <v>3 - egyik sem</v>
      </c>
      <c r="O2874" t="str">
        <f>IFERROR(VLOOKUP(J2874,PAR!$O$3:$P$5,2,FALSE),"nincs feladat")</f>
        <v>nincs feladat</v>
      </c>
      <c r="P2874" t="str">
        <f>IFERROR(VLOOKUP(G2874,PAR!$J$2:$M$19,4),"nincs rovat")</f>
        <v>nincs rovat</v>
      </c>
      <c r="Q2874" t="str">
        <f>IF(H2874&gt;0,VLOOKUP(H2874,PAR!$AA$3:$AC$187,3,FALSE),"nincs főkönyvi számla")</f>
        <v>nincs főkönyvi számla</v>
      </c>
      <c r="R2874" t="str">
        <f>IFERROR(VLOOKUP(K2874,PAR!$V$3:$X$438,3,FALSE),"000000 - Nincs COFOG")</f>
        <v>000000 - Nincs COFOG</v>
      </c>
      <c r="S2874">
        <f t="shared" si="848"/>
        <v>0</v>
      </c>
      <c r="T2874">
        <f t="shared" si="849"/>
        <v>0</v>
      </c>
      <c r="U2874" t="str">
        <f>IF('906MP'!J2574&gt;0,CONCATENATE('906MP'!J2574," - ",'906MP'!P2574,", ",'906MP'!E2574),"nincs megjegyzés")</f>
        <v>nincs megjegyzés</v>
      </c>
      <c r="V2874" t="str">
        <f t="shared" si="836"/>
        <v>0P0</v>
      </c>
      <c r="W2874" t="str">
        <f t="shared" si="837"/>
        <v>0P0</v>
      </c>
      <c r="X2874" t="str">
        <f t="shared" si="838"/>
        <v>P0</v>
      </c>
      <c r="Y2874" t="str">
        <f t="shared" si="839"/>
        <v>00</v>
      </c>
      <c r="Z2874" t="str">
        <f t="shared" si="850"/>
        <v>00</v>
      </c>
      <c r="AA2874" t="str">
        <f t="shared" si="840"/>
        <v>00</v>
      </c>
      <c r="AB2874" t="str">
        <f t="shared" si="841"/>
        <v>00</v>
      </c>
      <c r="AC2874" t="str">
        <f t="shared" si="842"/>
        <v>0P0</v>
      </c>
      <c r="AD2874" t="str">
        <f t="shared" si="843"/>
        <v>P00</v>
      </c>
      <c r="AE2874" t="str">
        <f t="shared" si="844"/>
        <v>0P0</v>
      </c>
      <c r="AF2874" t="str">
        <f t="shared" si="845"/>
        <v>P00</v>
      </c>
      <c r="AG2874" t="str">
        <f t="shared" si="851"/>
        <v>0P00</v>
      </c>
      <c r="AH2874" t="str">
        <f t="shared" si="852"/>
        <v>P000</v>
      </c>
      <c r="AI2874" t="str">
        <f t="shared" si="853"/>
        <v>0P00</v>
      </c>
      <c r="AJ2874" t="str">
        <f t="shared" si="854"/>
        <v>P000</v>
      </c>
    </row>
    <row r="2875" spans="1:36" x14ac:dyDescent="0.25">
      <c r="A2875" s="325" t="str">
        <f>CONCATENATE("P",'906MP'!M2575)</f>
        <v>P</v>
      </c>
      <c r="B2875">
        <f>'906MP'!H2575</f>
        <v>0</v>
      </c>
      <c r="C2875">
        <f>'906MP'!J2575</f>
        <v>0</v>
      </c>
      <c r="D2875">
        <f>'906MP'!P2575</f>
        <v>0</v>
      </c>
      <c r="E2875">
        <f>'906MP'!X2575</f>
        <v>0</v>
      </c>
      <c r="F2875" t="str">
        <f t="shared" si="846"/>
        <v>0</v>
      </c>
      <c r="G2875" t="str">
        <f t="shared" si="847"/>
        <v>0</v>
      </c>
      <c r="H2875">
        <f>'906MP'!Y2575</f>
        <v>0</v>
      </c>
      <c r="I2875">
        <f>'906MP'!AK2575</f>
        <v>0</v>
      </c>
      <c r="J2875">
        <f>'906MP'!T2575</f>
        <v>0</v>
      </c>
      <c r="K2875">
        <f>'906MP'!AJ2575</f>
        <v>0</v>
      </c>
      <c r="L2875">
        <f>'906MP'!U2575</f>
        <v>0</v>
      </c>
      <c r="M2875" s="322" t="str">
        <f>IFERROR(VLOOKUP(A2875,PAR!$D$3:$E$53,2,FALSE),"nincs szervezet")</f>
        <v>nincs szervezet</v>
      </c>
      <c r="N2875" s="322" t="str">
        <f>VLOOKUP(F2875,PAR!$R$3:$S$5,2,FALSE)</f>
        <v>3 - egyik sem</v>
      </c>
      <c r="O2875" t="str">
        <f>IFERROR(VLOOKUP(J2875,PAR!$O$3:$P$5,2,FALSE),"nincs feladat")</f>
        <v>nincs feladat</v>
      </c>
      <c r="P2875" t="str">
        <f>IFERROR(VLOOKUP(G2875,PAR!$J$2:$M$19,4),"nincs rovat")</f>
        <v>nincs rovat</v>
      </c>
      <c r="Q2875" t="str">
        <f>IF(H2875&gt;0,VLOOKUP(H2875,PAR!$AA$3:$AC$187,3,FALSE),"nincs főkönyvi számla")</f>
        <v>nincs főkönyvi számla</v>
      </c>
      <c r="R2875" t="str">
        <f>IFERROR(VLOOKUP(K2875,PAR!$V$3:$X$438,3,FALSE),"000000 - Nincs COFOG")</f>
        <v>000000 - Nincs COFOG</v>
      </c>
      <c r="S2875">
        <f t="shared" si="848"/>
        <v>0</v>
      </c>
      <c r="T2875">
        <f t="shared" si="849"/>
        <v>0</v>
      </c>
      <c r="U2875" t="str">
        <f>IF('906MP'!J2575&gt;0,CONCATENATE('906MP'!J2575," - ",'906MP'!P2575,", ",'906MP'!E2575),"nincs megjegyzés")</f>
        <v>nincs megjegyzés</v>
      </c>
      <c r="V2875" t="str">
        <f t="shared" si="836"/>
        <v>0P0</v>
      </c>
      <c r="W2875" t="str">
        <f t="shared" si="837"/>
        <v>0P0</v>
      </c>
      <c r="X2875" t="str">
        <f t="shared" si="838"/>
        <v>P0</v>
      </c>
      <c r="Y2875" t="str">
        <f t="shared" si="839"/>
        <v>00</v>
      </c>
      <c r="Z2875" t="str">
        <f t="shared" si="850"/>
        <v>00</v>
      </c>
      <c r="AA2875" t="str">
        <f t="shared" si="840"/>
        <v>00</v>
      </c>
      <c r="AB2875" t="str">
        <f t="shared" si="841"/>
        <v>00</v>
      </c>
      <c r="AC2875" t="str">
        <f t="shared" si="842"/>
        <v>0P0</v>
      </c>
      <c r="AD2875" t="str">
        <f t="shared" si="843"/>
        <v>P00</v>
      </c>
      <c r="AE2875" t="str">
        <f t="shared" si="844"/>
        <v>0P0</v>
      </c>
      <c r="AF2875" t="str">
        <f t="shared" si="845"/>
        <v>P00</v>
      </c>
      <c r="AG2875" t="str">
        <f t="shared" si="851"/>
        <v>0P00</v>
      </c>
      <c r="AH2875" t="str">
        <f t="shared" si="852"/>
        <v>P000</v>
      </c>
      <c r="AI2875" t="str">
        <f t="shared" si="853"/>
        <v>0P00</v>
      </c>
      <c r="AJ2875" t="str">
        <f t="shared" si="854"/>
        <v>P000</v>
      </c>
    </row>
    <row r="2876" spans="1:36" x14ac:dyDescent="0.25">
      <c r="A2876" s="325" t="str">
        <f>CONCATENATE("P",'906MP'!M2576)</f>
        <v>P</v>
      </c>
      <c r="B2876">
        <f>'906MP'!H2576</f>
        <v>0</v>
      </c>
      <c r="C2876">
        <f>'906MP'!J2576</f>
        <v>0</v>
      </c>
      <c r="D2876">
        <f>'906MP'!P2576</f>
        <v>0</v>
      </c>
      <c r="E2876">
        <f>'906MP'!X2576</f>
        <v>0</v>
      </c>
      <c r="F2876" t="str">
        <f t="shared" si="846"/>
        <v>0</v>
      </c>
      <c r="G2876" t="str">
        <f t="shared" si="847"/>
        <v>0</v>
      </c>
      <c r="H2876">
        <f>'906MP'!Y2576</f>
        <v>0</v>
      </c>
      <c r="I2876">
        <f>'906MP'!AK2576</f>
        <v>0</v>
      </c>
      <c r="J2876">
        <f>'906MP'!T2576</f>
        <v>0</v>
      </c>
      <c r="K2876">
        <f>'906MP'!AJ2576</f>
        <v>0</v>
      </c>
      <c r="L2876">
        <f>'906MP'!U2576</f>
        <v>0</v>
      </c>
      <c r="M2876" s="322" t="str">
        <f>IFERROR(VLOOKUP(A2876,PAR!$D$3:$E$53,2,FALSE),"nincs szervezet")</f>
        <v>nincs szervezet</v>
      </c>
      <c r="N2876" s="322" t="str">
        <f>VLOOKUP(F2876,PAR!$R$3:$S$5,2,FALSE)</f>
        <v>3 - egyik sem</v>
      </c>
      <c r="O2876" t="str">
        <f>IFERROR(VLOOKUP(J2876,PAR!$O$3:$P$5,2,FALSE),"nincs feladat")</f>
        <v>nincs feladat</v>
      </c>
      <c r="P2876" t="str">
        <f>IFERROR(VLOOKUP(G2876,PAR!$J$2:$M$19,4),"nincs rovat")</f>
        <v>nincs rovat</v>
      </c>
      <c r="Q2876" t="str">
        <f>IF(H2876&gt;0,VLOOKUP(H2876,PAR!$AA$3:$AC$187,3,FALSE),"nincs főkönyvi számla")</f>
        <v>nincs főkönyvi számla</v>
      </c>
      <c r="R2876" t="str">
        <f>IFERROR(VLOOKUP(K2876,PAR!$V$3:$X$438,3,FALSE),"000000 - Nincs COFOG")</f>
        <v>000000 - Nincs COFOG</v>
      </c>
      <c r="S2876">
        <f t="shared" si="848"/>
        <v>0</v>
      </c>
      <c r="T2876">
        <f t="shared" si="849"/>
        <v>0</v>
      </c>
      <c r="U2876" t="str">
        <f>IF('906MP'!J2576&gt;0,CONCATENATE('906MP'!J2576," - ",'906MP'!P2576,", ",'906MP'!E2576),"nincs megjegyzés")</f>
        <v>nincs megjegyzés</v>
      </c>
      <c r="V2876" t="str">
        <f t="shared" si="836"/>
        <v>0P0</v>
      </c>
      <c r="W2876" t="str">
        <f t="shared" si="837"/>
        <v>0P0</v>
      </c>
      <c r="X2876" t="str">
        <f t="shared" si="838"/>
        <v>P0</v>
      </c>
      <c r="Y2876" t="str">
        <f t="shared" si="839"/>
        <v>00</v>
      </c>
      <c r="Z2876" t="str">
        <f t="shared" si="850"/>
        <v>00</v>
      </c>
      <c r="AA2876" t="str">
        <f t="shared" si="840"/>
        <v>00</v>
      </c>
      <c r="AB2876" t="str">
        <f t="shared" si="841"/>
        <v>00</v>
      </c>
      <c r="AC2876" t="str">
        <f t="shared" si="842"/>
        <v>0P0</v>
      </c>
      <c r="AD2876" t="str">
        <f t="shared" si="843"/>
        <v>P00</v>
      </c>
      <c r="AE2876" t="str">
        <f t="shared" si="844"/>
        <v>0P0</v>
      </c>
      <c r="AF2876" t="str">
        <f t="shared" si="845"/>
        <v>P00</v>
      </c>
      <c r="AG2876" t="str">
        <f t="shared" si="851"/>
        <v>0P00</v>
      </c>
      <c r="AH2876" t="str">
        <f t="shared" si="852"/>
        <v>P000</v>
      </c>
      <c r="AI2876" t="str">
        <f t="shared" si="853"/>
        <v>0P00</v>
      </c>
      <c r="AJ2876" t="str">
        <f t="shared" si="854"/>
        <v>P000</v>
      </c>
    </row>
    <row r="2877" spans="1:36" x14ac:dyDescent="0.25">
      <c r="A2877" s="325" t="str">
        <f>CONCATENATE("P",'906MP'!M2577)</f>
        <v>P</v>
      </c>
      <c r="B2877">
        <f>'906MP'!H2577</f>
        <v>0</v>
      </c>
      <c r="C2877">
        <f>'906MP'!J2577</f>
        <v>0</v>
      </c>
      <c r="D2877">
        <f>'906MP'!P2577</f>
        <v>0</v>
      </c>
      <c r="E2877">
        <f>'906MP'!X2577</f>
        <v>0</v>
      </c>
      <c r="F2877" t="str">
        <f t="shared" si="846"/>
        <v>0</v>
      </c>
      <c r="G2877" t="str">
        <f t="shared" si="847"/>
        <v>0</v>
      </c>
      <c r="H2877">
        <f>'906MP'!Y2577</f>
        <v>0</v>
      </c>
      <c r="I2877">
        <f>'906MP'!AK2577</f>
        <v>0</v>
      </c>
      <c r="J2877">
        <f>'906MP'!T2577</f>
        <v>0</v>
      </c>
      <c r="K2877">
        <f>'906MP'!AJ2577</f>
        <v>0</v>
      </c>
      <c r="L2877">
        <f>'906MP'!U2577</f>
        <v>0</v>
      </c>
      <c r="M2877" s="322" t="str">
        <f>IFERROR(VLOOKUP(A2877,PAR!$D$3:$E$53,2,FALSE),"nincs szervezet")</f>
        <v>nincs szervezet</v>
      </c>
      <c r="N2877" s="322" t="str">
        <f>VLOOKUP(F2877,PAR!$R$3:$S$5,2,FALSE)</f>
        <v>3 - egyik sem</v>
      </c>
      <c r="O2877" t="str">
        <f>IFERROR(VLOOKUP(J2877,PAR!$O$3:$P$5,2,FALSE),"nincs feladat")</f>
        <v>nincs feladat</v>
      </c>
      <c r="P2877" t="str">
        <f>IFERROR(VLOOKUP(G2877,PAR!$J$2:$M$19,4),"nincs rovat")</f>
        <v>nincs rovat</v>
      </c>
      <c r="Q2877" t="str">
        <f>IF(H2877&gt;0,VLOOKUP(H2877,PAR!$AA$3:$AC$187,3,FALSE),"nincs főkönyvi számla")</f>
        <v>nincs főkönyvi számla</v>
      </c>
      <c r="R2877" t="str">
        <f>IFERROR(VLOOKUP(K2877,PAR!$V$3:$X$438,3,FALSE),"000000 - Nincs COFOG")</f>
        <v>000000 - Nincs COFOG</v>
      </c>
      <c r="S2877">
        <f t="shared" si="848"/>
        <v>0</v>
      </c>
      <c r="T2877">
        <f t="shared" si="849"/>
        <v>0</v>
      </c>
      <c r="U2877" t="str">
        <f>IF('906MP'!J2577&gt;0,CONCATENATE('906MP'!J2577," - ",'906MP'!P2577,", ",'906MP'!E2577),"nincs megjegyzés")</f>
        <v>nincs megjegyzés</v>
      </c>
      <c r="V2877" t="str">
        <f t="shared" si="836"/>
        <v>0P0</v>
      </c>
      <c r="W2877" t="str">
        <f t="shared" si="837"/>
        <v>0P0</v>
      </c>
      <c r="X2877" t="str">
        <f t="shared" si="838"/>
        <v>P0</v>
      </c>
      <c r="Y2877" t="str">
        <f t="shared" si="839"/>
        <v>00</v>
      </c>
      <c r="Z2877" t="str">
        <f t="shared" si="850"/>
        <v>00</v>
      </c>
      <c r="AA2877" t="str">
        <f t="shared" si="840"/>
        <v>00</v>
      </c>
      <c r="AB2877" t="str">
        <f t="shared" si="841"/>
        <v>00</v>
      </c>
      <c r="AC2877" t="str">
        <f t="shared" si="842"/>
        <v>0P0</v>
      </c>
      <c r="AD2877" t="str">
        <f t="shared" si="843"/>
        <v>P00</v>
      </c>
      <c r="AE2877" t="str">
        <f t="shared" si="844"/>
        <v>0P0</v>
      </c>
      <c r="AF2877" t="str">
        <f t="shared" si="845"/>
        <v>P00</v>
      </c>
      <c r="AG2877" t="str">
        <f t="shared" si="851"/>
        <v>0P00</v>
      </c>
      <c r="AH2877" t="str">
        <f t="shared" si="852"/>
        <v>P000</v>
      </c>
      <c r="AI2877" t="str">
        <f t="shared" si="853"/>
        <v>0P00</v>
      </c>
      <c r="AJ2877" t="str">
        <f t="shared" si="854"/>
        <v>P000</v>
      </c>
    </row>
    <row r="2878" spans="1:36" x14ac:dyDescent="0.25">
      <c r="A2878" s="325" t="str">
        <f>CONCATENATE("P",'906MP'!M2578)</f>
        <v>P</v>
      </c>
      <c r="B2878">
        <f>'906MP'!H2578</f>
        <v>0</v>
      </c>
      <c r="C2878">
        <f>'906MP'!J2578</f>
        <v>0</v>
      </c>
      <c r="D2878">
        <f>'906MP'!P2578</f>
        <v>0</v>
      </c>
      <c r="E2878">
        <f>'906MP'!X2578</f>
        <v>0</v>
      </c>
      <c r="F2878" t="str">
        <f t="shared" si="846"/>
        <v>0</v>
      </c>
      <c r="G2878" t="str">
        <f t="shared" si="847"/>
        <v>0</v>
      </c>
      <c r="H2878">
        <f>'906MP'!Y2578</f>
        <v>0</v>
      </c>
      <c r="I2878">
        <f>'906MP'!AK2578</f>
        <v>0</v>
      </c>
      <c r="J2878">
        <f>'906MP'!T2578</f>
        <v>0</v>
      </c>
      <c r="K2878">
        <f>'906MP'!AJ2578</f>
        <v>0</v>
      </c>
      <c r="L2878">
        <f>'906MP'!U2578</f>
        <v>0</v>
      </c>
      <c r="M2878" s="322" t="str">
        <f>IFERROR(VLOOKUP(A2878,PAR!$D$3:$E$53,2,FALSE),"nincs szervezet")</f>
        <v>nincs szervezet</v>
      </c>
      <c r="N2878" s="322" t="str">
        <f>VLOOKUP(F2878,PAR!$R$3:$S$5,2,FALSE)</f>
        <v>3 - egyik sem</v>
      </c>
      <c r="O2878" t="str">
        <f>IFERROR(VLOOKUP(J2878,PAR!$O$3:$P$5,2,FALSE),"nincs feladat")</f>
        <v>nincs feladat</v>
      </c>
      <c r="P2878" t="str">
        <f>IFERROR(VLOOKUP(G2878,PAR!$J$2:$M$19,4),"nincs rovat")</f>
        <v>nincs rovat</v>
      </c>
      <c r="Q2878" t="str">
        <f>IF(H2878&gt;0,VLOOKUP(H2878,PAR!$AA$3:$AC$187,3,FALSE),"nincs főkönyvi számla")</f>
        <v>nincs főkönyvi számla</v>
      </c>
      <c r="R2878" t="str">
        <f>IFERROR(VLOOKUP(K2878,PAR!$V$3:$X$438,3,FALSE),"000000 - Nincs COFOG")</f>
        <v>000000 - Nincs COFOG</v>
      </c>
      <c r="S2878">
        <f t="shared" si="848"/>
        <v>0</v>
      </c>
      <c r="T2878">
        <f t="shared" si="849"/>
        <v>0</v>
      </c>
      <c r="U2878" t="str">
        <f>IF('906MP'!J2578&gt;0,CONCATENATE('906MP'!J2578," - ",'906MP'!P2578,", ",'906MP'!E2578),"nincs megjegyzés")</f>
        <v>nincs megjegyzés</v>
      </c>
      <c r="V2878" t="str">
        <f t="shared" si="836"/>
        <v>0P0</v>
      </c>
      <c r="W2878" t="str">
        <f t="shared" si="837"/>
        <v>0P0</v>
      </c>
      <c r="X2878" t="str">
        <f t="shared" si="838"/>
        <v>P0</v>
      </c>
      <c r="Y2878" t="str">
        <f t="shared" si="839"/>
        <v>00</v>
      </c>
      <c r="Z2878" t="str">
        <f t="shared" si="850"/>
        <v>00</v>
      </c>
      <c r="AA2878" t="str">
        <f t="shared" si="840"/>
        <v>00</v>
      </c>
      <c r="AB2878" t="str">
        <f t="shared" si="841"/>
        <v>00</v>
      </c>
      <c r="AC2878" t="str">
        <f t="shared" si="842"/>
        <v>0P0</v>
      </c>
      <c r="AD2878" t="str">
        <f t="shared" si="843"/>
        <v>P00</v>
      </c>
      <c r="AE2878" t="str">
        <f t="shared" si="844"/>
        <v>0P0</v>
      </c>
      <c r="AF2878" t="str">
        <f t="shared" si="845"/>
        <v>P00</v>
      </c>
      <c r="AG2878" t="str">
        <f t="shared" si="851"/>
        <v>0P00</v>
      </c>
      <c r="AH2878" t="str">
        <f t="shared" si="852"/>
        <v>P000</v>
      </c>
      <c r="AI2878" t="str">
        <f t="shared" si="853"/>
        <v>0P00</v>
      </c>
      <c r="AJ2878" t="str">
        <f t="shared" si="854"/>
        <v>P000</v>
      </c>
    </row>
    <row r="2879" spans="1:36" x14ac:dyDescent="0.25">
      <c r="A2879" s="325" t="str">
        <f>CONCATENATE("P",'906MP'!M2579)</f>
        <v>P</v>
      </c>
      <c r="B2879">
        <f>'906MP'!H2579</f>
        <v>0</v>
      </c>
      <c r="C2879">
        <f>'906MP'!J2579</f>
        <v>0</v>
      </c>
      <c r="D2879">
        <f>'906MP'!P2579</f>
        <v>0</v>
      </c>
      <c r="E2879">
        <f>'906MP'!X2579</f>
        <v>0</v>
      </c>
      <c r="F2879" t="str">
        <f t="shared" si="846"/>
        <v>0</v>
      </c>
      <c r="G2879" t="str">
        <f t="shared" si="847"/>
        <v>0</v>
      </c>
      <c r="H2879">
        <f>'906MP'!Y2579</f>
        <v>0</v>
      </c>
      <c r="I2879">
        <f>'906MP'!AK2579</f>
        <v>0</v>
      </c>
      <c r="J2879">
        <f>'906MP'!T2579</f>
        <v>0</v>
      </c>
      <c r="K2879">
        <f>'906MP'!AJ2579</f>
        <v>0</v>
      </c>
      <c r="L2879">
        <f>'906MP'!U2579</f>
        <v>0</v>
      </c>
      <c r="M2879" s="322" t="str">
        <f>IFERROR(VLOOKUP(A2879,PAR!$D$3:$E$53,2,FALSE),"nincs szervezet")</f>
        <v>nincs szervezet</v>
      </c>
      <c r="N2879" s="322" t="str">
        <f>VLOOKUP(F2879,PAR!$R$3:$S$5,2,FALSE)</f>
        <v>3 - egyik sem</v>
      </c>
      <c r="O2879" t="str">
        <f>IFERROR(VLOOKUP(J2879,PAR!$O$3:$P$5,2,FALSE),"nincs feladat")</f>
        <v>nincs feladat</v>
      </c>
      <c r="P2879" t="str">
        <f>IFERROR(VLOOKUP(G2879,PAR!$J$2:$M$19,4),"nincs rovat")</f>
        <v>nincs rovat</v>
      </c>
      <c r="Q2879" t="str">
        <f>IF(H2879&gt;0,VLOOKUP(H2879,PAR!$AA$3:$AC$187,3,FALSE),"nincs főkönyvi számla")</f>
        <v>nincs főkönyvi számla</v>
      </c>
      <c r="R2879" t="str">
        <f>IFERROR(VLOOKUP(K2879,PAR!$V$3:$X$438,3,FALSE),"000000 - Nincs COFOG")</f>
        <v>000000 - Nincs COFOG</v>
      </c>
      <c r="S2879">
        <f t="shared" si="848"/>
        <v>0</v>
      </c>
      <c r="T2879">
        <f t="shared" si="849"/>
        <v>0</v>
      </c>
      <c r="U2879" t="str">
        <f>IF('906MP'!J2579&gt;0,CONCATENATE('906MP'!J2579," - ",'906MP'!P2579,", ",'906MP'!E2579),"nincs megjegyzés")</f>
        <v>nincs megjegyzés</v>
      </c>
      <c r="V2879" t="str">
        <f t="shared" si="836"/>
        <v>0P0</v>
      </c>
      <c r="W2879" t="str">
        <f t="shared" si="837"/>
        <v>0P0</v>
      </c>
      <c r="X2879" t="str">
        <f t="shared" si="838"/>
        <v>P0</v>
      </c>
      <c r="Y2879" t="str">
        <f t="shared" si="839"/>
        <v>00</v>
      </c>
      <c r="Z2879" t="str">
        <f t="shared" si="850"/>
        <v>00</v>
      </c>
      <c r="AA2879" t="str">
        <f t="shared" si="840"/>
        <v>00</v>
      </c>
      <c r="AB2879" t="str">
        <f t="shared" si="841"/>
        <v>00</v>
      </c>
      <c r="AC2879" t="str">
        <f t="shared" si="842"/>
        <v>0P0</v>
      </c>
      <c r="AD2879" t="str">
        <f t="shared" si="843"/>
        <v>P00</v>
      </c>
      <c r="AE2879" t="str">
        <f t="shared" si="844"/>
        <v>0P0</v>
      </c>
      <c r="AF2879" t="str">
        <f t="shared" si="845"/>
        <v>P00</v>
      </c>
      <c r="AG2879" t="str">
        <f t="shared" si="851"/>
        <v>0P00</v>
      </c>
      <c r="AH2879" t="str">
        <f t="shared" si="852"/>
        <v>P000</v>
      </c>
      <c r="AI2879" t="str">
        <f t="shared" si="853"/>
        <v>0P00</v>
      </c>
      <c r="AJ2879" t="str">
        <f t="shared" si="854"/>
        <v>P000</v>
      </c>
    </row>
    <row r="2880" spans="1:36" x14ac:dyDescent="0.25">
      <c r="A2880" s="325" t="str">
        <f>CONCATENATE("P",'906MP'!M2580)</f>
        <v>P</v>
      </c>
      <c r="B2880">
        <f>'906MP'!H2580</f>
        <v>0</v>
      </c>
      <c r="C2880">
        <f>'906MP'!J2580</f>
        <v>0</v>
      </c>
      <c r="D2880">
        <f>'906MP'!P2580</f>
        <v>0</v>
      </c>
      <c r="E2880">
        <f>'906MP'!X2580</f>
        <v>0</v>
      </c>
      <c r="F2880" t="str">
        <f t="shared" si="846"/>
        <v>0</v>
      </c>
      <c r="G2880" t="str">
        <f t="shared" si="847"/>
        <v>0</v>
      </c>
      <c r="H2880">
        <f>'906MP'!Y2580</f>
        <v>0</v>
      </c>
      <c r="I2880">
        <f>'906MP'!AK2580</f>
        <v>0</v>
      </c>
      <c r="J2880">
        <f>'906MP'!T2580</f>
        <v>0</v>
      </c>
      <c r="K2880">
        <f>'906MP'!AJ2580</f>
        <v>0</v>
      </c>
      <c r="L2880">
        <f>'906MP'!U2580</f>
        <v>0</v>
      </c>
      <c r="M2880" s="322" t="str">
        <f>IFERROR(VLOOKUP(A2880,PAR!$D$3:$E$53,2,FALSE),"nincs szervezet")</f>
        <v>nincs szervezet</v>
      </c>
      <c r="N2880" s="322" t="str">
        <f>VLOOKUP(F2880,PAR!$R$3:$S$5,2,FALSE)</f>
        <v>3 - egyik sem</v>
      </c>
      <c r="O2880" t="str">
        <f>IFERROR(VLOOKUP(J2880,PAR!$O$3:$P$5,2,FALSE),"nincs feladat")</f>
        <v>nincs feladat</v>
      </c>
      <c r="P2880" t="str">
        <f>IFERROR(VLOOKUP(G2880,PAR!$J$2:$M$19,4),"nincs rovat")</f>
        <v>nincs rovat</v>
      </c>
      <c r="Q2880" t="str">
        <f>IF(H2880&gt;0,VLOOKUP(H2880,PAR!$AA$3:$AC$187,3,FALSE),"nincs főkönyvi számla")</f>
        <v>nincs főkönyvi számla</v>
      </c>
      <c r="R2880" t="str">
        <f>IFERROR(VLOOKUP(K2880,PAR!$V$3:$X$438,3,FALSE),"000000 - Nincs COFOG")</f>
        <v>000000 - Nincs COFOG</v>
      </c>
      <c r="S2880">
        <f t="shared" si="848"/>
        <v>0</v>
      </c>
      <c r="T2880">
        <f t="shared" si="849"/>
        <v>0</v>
      </c>
      <c r="U2880" t="str">
        <f>IF('906MP'!J2580&gt;0,CONCATENATE('906MP'!J2580," - ",'906MP'!P2580,", ",'906MP'!E2580),"nincs megjegyzés")</f>
        <v>nincs megjegyzés</v>
      </c>
      <c r="V2880" t="str">
        <f t="shared" si="836"/>
        <v>0P0</v>
      </c>
      <c r="W2880" t="str">
        <f t="shared" si="837"/>
        <v>0P0</v>
      </c>
      <c r="X2880" t="str">
        <f t="shared" si="838"/>
        <v>P0</v>
      </c>
      <c r="Y2880" t="str">
        <f t="shared" si="839"/>
        <v>00</v>
      </c>
      <c r="Z2880" t="str">
        <f t="shared" si="850"/>
        <v>00</v>
      </c>
      <c r="AA2880" t="str">
        <f t="shared" si="840"/>
        <v>00</v>
      </c>
      <c r="AB2880" t="str">
        <f t="shared" si="841"/>
        <v>00</v>
      </c>
      <c r="AC2880" t="str">
        <f t="shared" si="842"/>
        <v>0P0</v>
      </c>
      <c r="AD2880" t="str">
        <f t="shared" si="843"/>
        <v>P00</v>
      </c>
      <c r="AE2880" t="str">
        <f t="shared" si="844"/>
        <v>0P0</v>
      </c>
      <c r="AF2880" t="str">
        <f t="shared" si="845"/>
        <v>P00</v>
      </c>
      <c r="AG2880" t="str">
        <f t="shared" si="851"/>
        <v>0P00</v>
      </c>
      <c r="AH2880" t="str">
        <f t="shared" si="852"/>
        <v>P000</v>
      </c>
      <c r="AI2880" t="str">
        <f t="shared" si="853"/>
        <v>0P00</v>
      </c>
      <c r="AJ2880" t="str">
        <f t="shared" si="854"/>
        <v>P000</v>
      </c>
    </row>
    <row r="2881" spans="1:36" x14ac:dyDescent="0.25">
      <c r="A2881" s="325" t="str">
        <f>CONCATENATE("P",'906MP'!M2581)</f>
        <v>P</v>
      </c>
      <c r="B2881">
        <f>'906MP'!H2581</f>
        <v>0</v>
      </c>
      <c r="C2881">
        <f>'906MP'!J2581</f>
        <v>0</v>
      </c>
      <c r="D2881">
        <f>'906MP'!P2581</f>
        <v>0</v>
      </c>
      <c r="E2881">
        <f>'906MP'!X2581</f>
        <v>0</v>
      </c>
      <c r="F2881" t="str">
        <f t="shared" si="846"/>
        <v>0</v>
      </c>
      <c r="G2881" t="str">
        <f t="shared" si="847"/>
        <v>0</v>
      </c>
      <c r="H2881">
        <f>'906MP'!Y2581</f>
        <v>0</v>
      </c>
      <c r="I2881">
        <f>'906MP'!AK2581</f>
        <v>0</v>
      </c>
      <c r="J2881">
        <f>'906MP'!T2581</f>
        <v>0</v>
      </c>
      <c r="K2881">
        <f>'906MP'!AJ2581</f>
        <v>0</v>
      </c>
      <c r="L2881">
        <f>'906MP'!U2581</f>
        <v>0</v>
      </c>
      <c r="M2881" s="322" t="str">
        <f>IFERROR(VLOOKUP(A2881,PAR!$D$3:$E$53,2,FALSE),"nincs szervezet")</f>
        <v>nincs szervezet</v>
      </c>
      <c r="N2881" s="322" t="str">
        <f>VLOOKUP(F2881,PAR!$R$3:$S$5,2,FALSE)</f>
        <v>3 - egyik sem</v>
      </c>
      <c r="O2881" t="str">
        <f>IFERROR(VLOOKUP(J2881,PAR!$O$3:$P$5,2,FALSE),"nincs feladat")</f>
        <v>nincs feladat</v>
      </c>
      <c r="P2881" t="str">
        <f>IFERROR(VLOOKUP(G2881,PAR!$J$2:$M$19,4),"nincs rovat")</f>
        <v>nincs rovat</v>
      </c>
      <c r="Q2881" t="str">
        <f>IF(H2881&gt;0,VLOOKUP(H2881,PAR!$AA$3:$AC$187,3,FALSE),"nincs főkönyvi számla")</f>
        <v>nincs főkönyvi számla</v>
      </c>
      <c r="R2881" t="str">
        <f>IFERROR(VLOOKUP(K2881,PAR!$V$3:$X$438,3,FALSE),"000000 - Nincs COFOG")</f>
        <v>000000 - Nincs COFOG</v>
      </c>
      <c r="S2881">
        <f t="shared" si="848"/>
        <v>0</v>
      </c>
      <c r="T2881">
        <f t="shared" si="849"/>
        <v>0</v>
      </c>
      <c r="U2881" t="str">
        <f>IF('906MP'!J2581&gt;0,CONCATENATE('906MP'!J2581," - ",'906MP'!P2581,", ",'906MP'!E2581),"nincs megjegyzés")</f>
        <v>nincs megjegyzés</v>
      </c>
      <c r="V2881" t="str">
        <f t="shared" si="836"/>
        <v>0P0</v>
      </c>
      <c r="W2881" t="str">
        <f t="shared" si="837"/>
        <v>0P0</v>
      </c>
      <c r="X2881" t="str">
        <f t="shared" si="838"/>
        <v>P0</v>
      </c>
      <c r="Y2881" t="str">
        <f t="shared" si="839"/>
        <v>00</v>
      </c>
      <c r="Z2881" t="str">
        <f t="shared" si="850"/>
        <v>00</v>
      </c>
      <c r="AA2881" t="str">
        <f t="shared" si="840"/>
        <v>00</v>
      </c>
      <c r="AB2881" t="str">
        <f t="shared" si="841"/>
        <v>00</v>
      </c>
      <c r="AC2881" t="str">
        <f t="shared" si="842"/>
        <v>0P0</v>
      </c>
      <c r="AD2881" t="str">
        <f t="shared" si="843"/>
        <v>P00</v>
      </c>
      <c r="AE2881" t="str">
        <f t="shared" si="844"/>
        <v>0P0</v>
      </c>
      <c r="AF2881" t="str">
        <f t="shared" si="845"/>
        <v>P00</v>
      </c>
      <c r="AG2881" t="str">
        <f t="shared" si="851"/>
        <v>0P00</v>
      </c>
      <c r="AH2881" t="str">
        <f t="shared" si="852"/>
        <v>P000</v>
      </c>
      <c r="AI2881" t="str">
        <f t="shared" si="853"/>
        <v>0P00</v>
      </c>
      <c r="AJ2881" t="str">
        <f t="shared" si="854"/>
        <v>P000</v>
      </c>
    </row>
    <row r="2882" spans="1:36" x14ac:dyDescent="0.25">
      <c r="A2882" s="325" t="str">
        <f>CONCATENATE("P",'906MP'!M2582)</f>
        <v>P</v>
      </c>
      <c r="B2882">
        <f>'906MP'!H2582</f>
        <v>0</v>
      </c>
      <c r="C2882">
        <f>'906MP'!J2582</f>
        <v>0</v>
      </c>
      <c r="D2882">
        <f>'906MP'!P2582</f>
        <v>0</v>
      </c>
      <c r="E2882">
        <f>'906MP'!X2582</f>
        <v>0</v>
      </c>
      <c r="F2882" t="str">
        <f t="shared" si="846"/>
        <v>0</v>
      </c>
      <c r="G2882" t="str">
        <f t="shared" si="847"/>
        <v>0</v>
      </c>
      <c r="H2882">
        <f>'906MP'!Y2582</f>
        <v>0</v>
      </c>
      <c r="I2882">
        <f>'906MP'!AK2582</f>
        <v>0</v>
      </c>
      <c r="J2882">
        <f>'906MP'!T2582</f>
        <v>0</v>
      </c>
      <c r="K2882">
        <f>'906MP'!AJ2582</f>
        <v>0</v>
      </c>
      <c r="L2882">
        <f>'906MP'!U2582</f>
        <v>0</v>
      </c>
      <c r="M2882" s="322" t="str">
        <f>IFERROR(VLOOKUP(A2882,PAR!$D$3:$E$53,2,FALSE),"nincs szervezet")</f>
        <v>nincs szervezet</v>
      </c>
      <c r="N2882" s="322" t="str">
        <f>VLOOKUP(F2882,PAR!$R$3:$S$5,2,FALSE)</f>
        <v>3 - egyik sem</v>
      </c>
      <c r="O2882" t="str">
        <f>IFERROR(VLOOKUP(J2882,PAR!$O$3:$P$5,2,FALSE),"nincs feladat")</f>
        <v>nincs feladat</v>
      </c>
      <c r="P2882" t="str">
        <f>IFERROR(VLOOKUP(G2882,PAR!$J$2:$M$19,4),"nincs rovat")</f>
        <v>nincs rovat</v>
      </c>
      <c r="Q2882" t="str">
        <f>IF(H2882&gt;0,VLOOKUP(H2882,PAR!$AA$3:$AC$187,3,FALSE),"nincs főkönyvi számla")</f>
        <v>nincs főkönyvi számla</v>
      </c>
      <c r="R2882" t="str">
        <f>IFERROR(VLOOKUP(K2882,PAR!$V$3:$X$438,3,FALSE),"000000 - Nincs COFOG")</f>
        <v>000000 - Nincs COFOG</v>
      </c>
      <c r="S2882">
        <f t="shared" si="848"/>
        <v>0</v>
      </c>
      <c r="T2882">
        <f t="shared" si="849"/>
        <v>0</v>
      </c>
      <c r="U2882" t="str">
        <f>IF('906MP'!J2582&gt;0,CONCATENATE('906MP'!J2582," - ",'906MP'!P2582,", ",'906MP'!E2582),"nincs megjegyzés")</f>
        <v>nincs megjegyzés</v>
      </c>
      <c r="V2882" t="str">
        <f t="shared" ref="V2882:V2945" si="855">CONCATENATE(B2882,A2882,G2882)</f>
        <v>0P0</v>
      </c>
      <c r="W2882" t="str">
        <f t="shared" ref="W2882:W2945" si="856">CONCATENATE(B2882,A2882,F2882)</f>
        <v>0P0</v>
      </c>
      <c r="X2882" t="str">
        <f t="shared" ref="X2882:X2945" si="857">CONCATENATE(A2882,H2882)</f>
        <v>P0</v>
      </c>
      <c r="Y2882" t="str">
        <f t="shared" ref="Y2882:Y2945" si="858">CONCATENATE(B2882,H2882)</f>
        <v>00</v>
      </c>
      <c r="Z2882" t="str">
        <f t="shared" si="850"/>
        <v>00</v>
      </c>
      <c r="AA2882" t="str">
        <f t="shared" ref="AA2882:AA2945" si="859">CONCATENATE(B2882,G2882)</f>
        <v>00</v>
      </c>
      <c r="AB2882" t="str">
        <f t="shared" ref="AB2882:AB2945" si="860">CONCATENATE(J2882,G2882)</f>
        <v>00</v>
      </c>
      <c r="AC2882" t="str">
        <f t="shared" ref="AC2882:AC2945" si="861">CONCATENATE(B2882,A2882,H2882)</f>
        <v>0P0</v>
      </c>
      <c r="AD2882" t="str">
        <f t="shared" ref="AD2882:AD2945" si="862">CONCATENATE(A2882,H2882,J2882)</f>
        <v>P00</v>
      </c>
      <c r="AE2882" t="str">
        <f t="shared" ref="AE2882:AE2945" si="863">CONCATENATE(B2882,A2882,G2882)</f>
        <v>0P0</v>
      </c>
      <c r="AF2882" t="str">
        <f t="shared" ref="AF2882:AF2945" si="864">CONCATENATE(A2882,G2882,J2882)</f>
        <v>P00</v>
      </c>
      <c r="AG2882" t="str">
        <f t="shared" si="851"/>
        <v>0P00</v>
      </c>
      <c r="AH2882" t="str">
        <f t="shared" si="852"/>
        <v>P000</v>
      </c>
      <c r="AI2882" t="str">
        <f t="shared" si="853"/>
        <v>0P00</v>
      </c>
      <c r="AJ2882" t="str">
        <f t="shared" si="854"/>
        <v>P000</v>
      </c>
    </row>
    <row r="2883" spans="1:36" x14ac:dyDescent="0.25">
      <c r="A2883" s="325" t="str">
        <f>CONCATENATE("P",'906MP'!M2583)</f>
        <v>P</v>
      </c>
      <c r="B2883">
        <f>'906MP'!H2583</f>
        <v>0</v>
      </c>
      <c r="C2883">
        <f>'906MP'!J2583</f>
        <v>0</v>
      </c>
      <c r="D2883">
        <f>'906MP'!P2583</f>
        <v>0</v>
      </c>
      <c r="E2883">
        <f>'906MP'!X2583</f>
        <v>0</v>
      </c>
      <c r="F2883" t="str">
        <f t="shared" ref="F2883:F2946" si="865">LEFT(G2883,2)</f>
        <v>0</v>
      </c>
      <c r="G2883" t="str">
        <f t="shared" ref="G2883:G2946" si="866">LEFT(H2883,3)</f>
        <v>0</v>
      </c>
      <c r="H2883">
        <f>'906MP'!Y2583</f>
        <v>0</v>
      </c>
      <c r="I2883">
        <f>'906MP'!AK2583</f>
        <v>0</v>
      </c>
      <c r="J2883">
        <f>'906MP'!T2583</f>
        <v>0</v>
      </c>
      <c r="K2883">
        <f>'906MP'!AJ2583</f>
        <v>0</v>
      </c>
      <c r="L2883">
        <f>'906MP'!U2583</f>
        <v>0</v>
      </c>
      <c r="M2883" s="322" t="str">
        <f>IFERROR(VLOOKUP(A2883,PAR!$D$3:$E$53,2,FALSE),"nincs szervezet")</f>
        <v>nincs szervezet</v>
      </c>
      <c r="N2883" s="322" t="str">
        <f>VLOOKUP(F2883,PAR!$R$3:$S$5,2,FALSE)</f>
        <v>3 - egyik sem</v>
      </c>
      <c r="O2883" t="str">
        <f>IFERROR(VLOOKUP(J2883,PAR!$O$3:$P$5,2,FALSE),"nincs feladat")</f>
        <v>nincs feladat</v>
      </c>
      <c r="P2883" t="str">
        <f>IFERROR(VLOOKUP(G2883,PAR!$J$2:$M$19,4),"nincs rovat")</f>
        <v>nincs rovat</v>
      </c>
      <c r="Q2883" t="str">
        <f>IF(H2883&gt;0,VLOOKUP(H2883,PAR!$AA$3:$AC$187,3,FALSE),"nincs főkönyvi számla")</f>
        <v>nincs főkönyvi számla</v>
      </c>
      <c r="R2883" t="str">
        <f>IFERROR(VLOOKUP(K2883,PAR!$V$3:$X$438,3,FALSE),"000000 - Nincs COFOG")</f>
        <v>000000 - Nincs COFOG</v>
      </c>
      <c r="S2883">
        <f t="shared" ref="S2883:S2946" si="867">E2883</f>
        <v>0</v>
      </c>
      <c r="T2883">
        <f t="shared" ref="T2883:T2946" si="868">IF(F2883="09",E2883*-1,E2883)</f>
        <v>0</v>
      </c>
      <c r="U2883" t="str">
        <f>IF('906MP'!J2583&gt;0,CONCATENATE('906MP'!J2583," - ",'906MP'!P2583,", ",'906MP'!E2583),"nincs megjegyzés")</f>
        <v>nincs megjegyzés</v>
      </c>
      <c r="V2883" t="str">
        <f t="shared" si="855"/>
        <v>0P0</v>
      </c>
      <c r="W2883" t="str">
        <f t="shared" si="856"/>
        <v>0P0</v>
      </c>
      <c r="X2883" t="str">
        <f t="shared" si="857"/>
        <v>P0</v>
      </c>
      <c r="Y2883" t="str">
        <f t="shared" si="858"/>
        <v>00</v>
      </c>
      <c r="Z2883" t="str">
        <f t="shared" ref="Z2883:Z2946" si="869">CONCATENATE(J2883,H2883)</f>
        <v>00</v>
      </c>
      <c r="AA2883" t="str">
        <f t="shared" si="859"/>
        <v>00</v>
      </c>
      <c r="AB2883" t="str">
        <f t="shared" si="860"/>
        <v>00</v>
      </c>
      <c r="AC2883" t="str">
        <f t="shared" si="861"/>
        <v>0P0</v>
      </c>
      <c r="AD2883" t="str">
        <f t="shared" si="862"/>
        <v>P00</v>
      </c>
      <c r="AE2883" t="str">
        <f t="shared" si="863"/>
        <v>0P0</v>
      </c>
      <c r="AF2883" t="str">
        <f t="shared" si="864"/>
        <v>P00</v>
      </c>
      <c r="AG2883" t="str">
        <f t="shared" ref="AG2883:AG2946" si="870">CONCATENATE(B2883,A2883,H2883,L2883)</f>
        <v>0P00</v>
      </c>
      <c r="AH2883" t="str">
        <f t="shared" ref="AH2883:AH2946" si="871">CONCATENATE(A2883,J2883,H2883,L2883)</f>
        <v>P000</v>
      </c>
      <c r="AI2883" t="str">
        <f t="shared" ref="AI2883:AI2946" si="872">CONCATENATE(B2883,A2883,G2883,L2883)</f>
        <v>0P00</v>
      </c>
      <c r="AJ2883" t="str">
        <f t="shared" ref="AJ2883:AJ2946" si="873">CONCATENATE(A2883,G2883,J2883,L2883)</f>
        <v>P000</v>
      </c>
    </row>
    <row r="2884" spans="1:36" x14ac:dyDescent="0.25">
      <c r="A2884" s="325" t="str">
        <f>CONCATENATE("P",'906MP'!M2584)</f>
        <v>P</v>
      </c>
      <c r="B2884">
        <f>'906MP'!H2584</f>
        <v>0</v>
      </c>
      <c r="C2884">
        <f>'906MP'!J2584</f>
        <v>0</v>
      </c>
      <c r="D2884">
        <f>'906MP'!P2584</f>
        <v>0</v>
      </c>
      <c r="E2884">
        <f>'906MP'!X2584</f>
        <v>0</v>
      </c>
      <c r="F2884" t="str">
        <f t="shared" si="865"/>
        <v>0</v>
      </c>
      <c r="G2884" t="str">
        <f t="shared" si="866"/>
        <v>0</v>
      </c>
      <c r="H2884">
        <f>'906MP'!Y2584</f>
        <v>0</v>
      </c>
      <c r="I2884">
        <f>'906MP'!AK2584</f>
        <v>0</v>
      </c>
      <c r="J2884">
        <f>'906MP'!T2584</f>
        <v>0</v>
      </c>
      <c r="K2884">
        <f>'906MP'!AJ2584</f>
        <v>0</v>
      </c>
      <c r="L2884">
        <f>'906MP'!U2584</f>
        <v>0</v>
      </c>
      <c r="M2884" s="322" t="str">
        <f>IFERROR(VLOOKUP(A2884,PAR!$D$3:$E$53,2,FALSE),"nincs szervezet")</f>
        <v>nincs szervezet</v>
      </c>
      <c r="N2884" s="322" t="str">
        <f>VLOOKUP(F2884,PAR!$R$3:$S$5,2,FALSE)</f>
        <v>3 - egyik sem</v>
      </c>
      <c r="O2884" t="str">
        <f>IFERROR(VLOOKUP(J2884,PAR!$O$3:$P$5,2,FALSE),"nincs feladat")</f>
        <v>nincs feladat</v>
      </c>
      <c r="P2884" t="str">
        <f>IFERROR(VLOOKUP(G2884,PAR!$J$2:$M$19,4),"nincs rovat")</f>
        <v>nincs rovat</v>
      </c>
      <c r="Q2884" t="str">
        <f>IF(H2884&gt;0,VLOOKUP(H2884,PAR!$AA$3:$AC$187,3,FALSE),"nincs főkönyvi számla")</f>
        <v>nincs főkönyvi számla</v>
      </c>
      <c r="R2884" t="str">
        <f>IFERROR(VLOOKUP(K2884,PAR!$V$3:$X$438,3,FALSE),"000000 - Nincs COFOG")</f>
        <v>000000 - Nincs COFOG</v>
      </c>
      <c r="S2884">
        <f t="shared" si="867"/>
        <v>0</v>
      </c>
      <c r="T2884">
        <f t="shared" si="868"/>
        <v>0</v>
      </c>
      <c r="U2884" t="str">
        <f>IF('906MP'!J2584&gt;0,CONCATENATE('906MP'!J2584," - ",'906MP'!P2584,", ",'906MP'!E2584),"nincs megjegyzés")</f>
        <v>nincs megjegyzés</v>
      </c>
      <c r="V2884" t="str">
        <f t="shared" si="855"/>
        <v>0P0</v>
      </c>
      <c r="W2884" t="str">
        <f t="shared" si="856"/>
        <v>0P0</v>
      </c>
      <c r="X2884" t="str">
        <f t="shared" si="857"/>
        <v>P0</v>
      </c>
      <c r="Y2884" t="str">
        <f t="shared" si="858"/>
        <v>00</v>
      </c>
      <c r="Z2884" t="str">
        <f t="shared" si="869"/>
        <v>00</v>
      </c>
      <c r="AA2884" t="str">
        <f t="shared" si="859"/>
        <v>00</v>
      </c>
      <c r="AB2884" t="str">
        <f t="shared" si="860"/>
        <v>00</v>
      </c>
      <c r="AC2884" t="str">
        <f t="shared" si="861"/>
        <v>0P0</v>
      </c>
      <c r="AD2884" t="str">
        <f t="shared" si="862"/>
        <v>P00</v>
      </c>
      <c r="AE2884" t="str">
        <f t="shared" si="863"/>
        <v>0P0</v>
      </c>
      <c r="AF2884" t="str">
        <f t="shared" si="864"/>
        <v>P00</v>
      </c>
      <c r="AG2884" t="str">
        <f t="shared" si="870"/>
        <v>0P00</v>
      </c>
      <c r="AH2884" t="str">
        <f t="shared" si="871"/>
        <v>P000</v>
      </c>
      <c r="AI2884" t="str">
        <f t="shared" si="872"/>
        <v>0P00</v>
      </c>
      <c r="AJ2884" t="str">
        <f t="shared" si="873"/>
        <v>P000</v>
      </c>
    </row>
    <row r="2885" spans="1:36" x14ac:dyDescent="0.25">
      <c r="A2885" s="325" t="str">
        <f>CONCATENATE("P",'906MP'!M2585)</f>
        <v>P</v>
      </c>
      <c r="B2885">
        <f>'906MP'!H2585</f>
        <v>0</v>
      </c>
      <c r="C2885">
        <f>'906MP'!J2585</f>
        <v>0</v>
      </c>
      <c r="D2885">
        <f>'906MP'!P2585</f>
        <v>0</v>
      </c>
      <c r="E2885">
        <f>'906MP'!X2585</f>
        <v>0</v>
      </c>
      <c r="F2885" t="str">
        <f t="shared" si="865"/>
        <v>0</v>
      </c>
      <c r="G2885" t="str">
        <f t="shared" si="866"/>
        <v>0</v>
      </c>
      <c r="H2885">
        <f>'906MP'!Y2585</f>
        <v>0</v>
      </c>
      <c r="I2885">
        <f>'906MP'!AK2585</f>
        <v>0</v>
      </c>
      <c r="J2885">
        <f>'906MP'!T2585</f>
        <v>0</v>
      </c>
      <c r="K2885">
        <f>'906MP'!AJ2585</f>
        <v>0</v>
      </c>
      <c r="L2885">
        <f>'906MP'!U2585</f>
        <v>0</v>
      </c>
      <c r="M2885" s="322" t="str">
        <f>IFERROR(VLOOKUP(A2885,PAR!$D$3:$E$53,2,FALSE),"nincs szervezet")</f>
        <v>nincs szervezet</v>
      </c>
      <c r="N2885" s="322" t="str">
        <f>VLOOKUP(F2885,PAR!$R$3:$S$5,2,FALSE)</f>
        <v>3 - egyik sem</v>
      </c>
      <c r="O2885" t="str">
        <f>IFERROR(VLOOKUP(J2885,PAR!$O$3:$P$5,2,FALSE),"nincs feladat")</f>
        <v>nincs feladat</v>
      </c>
      <c r="P2885" t="str">
        <f>IFERROR(VLOOKUP(G2885,PAR!$J$2:$M$19,4),"nincs rovat")</f>
        <v>nincs rovat</v>
      </c>
      <c r="Q2885" t="str">
        <f>IF(H2885&gt;0,VLOOKUP(H2885,PAR!$AA$3:$AC$187,3,FALSE),"nincs főkönyvi számla")</f>
        <v>nincs főkönyvi számla</v>
      </c>
      <c r="R2885" t="str">
        <f>IFERROR(VLOOKUP(K2885,PAR!$V$3:$X$438,3,FALSE),"000000 - Nincs COFOG")</f>
        <v>000000 - Nincs COFOG</v>
      </c>
      <c r="S2885">
        <f t="shared" si="867"/>
        <v>0</v>
      </c>
      <c r="T2885">
        <f t="shared" si="868"/>
        <v>0</v>
      </c>
      <c r="U2885" t="str">
        <f>IF('906MP'!J2585&gt;0,CONCATENATE('906MP'!J2585," - ",'906MP'!P2585,", ",'906MP'!E2585),"nincs megjegyzés")</f>
        <v>nincs megjegyzés</v>
      </c>
      <c r="V2885" t="str">
        <f t="shared" si="855"/>
        <v>0P0</v>
      </c>
      <c r="W2885" t="str">
        <f t="shared" si="856"/>
        <v>0P0</v>
      </c>
      <c r="X2885" t="str">
        <f t="shared" si="857"/>
        <v>P0</v>
      </c>
      <c r="Y2885" t="str">
        <f t="shared" si="858"/>
        <v>00</v>
      </c>
      <c r="Z2885" t="str">
        <f t="shared" si="869"/>
        <v>00</v>
      </c>
      <c r="AA2885" t="str">
        <f t="shared" si="859"/>
        <v>00</v>
      </c>
      <c r="AB2885" t="str">
        <f t="shared" si="860"/>
        <v>00</v>
      </c>
      <c r="AC2885" t="str">
        <f t="shared" si="861"/>
        <v>0P0</v>
      </c>
      <c r="AD2885" t="str">
        <f t="shared" si="862"/>
        <v>P00</v>
      </c>
      <c r="AE2885" t="str">
        <f t="shared" si="863"/>
        <v>0P0</v>
      </c>
      <c r="AF2885" t="str">
        <f t="shared" si="864"/>
        <v>P00</v>
      </c>
      <c r="AG2885" t="str">
        <f t="shared" si="870"/>
        <v>0P00</v>
      </c>
      <c r="AH2885" t="str">
        <f t="shared" si="871"/>
        <v>P000</v>
      </c>
      <c r="AI2885" t="str">
        <f t="shared" si="872"/>
        <v>0P00</v>
      </c>
      <c r="AJ2885" t="str">
        <f t="shared" si="873"/>
        <v>P000</v>
      </c>
    </row>
    <row r="2886" spans="1:36" x14ac:dyDescent="0.25">
      <c r="A2886" s="325" t="str">
        <f>CONCATENATE("P",'906MP'!M2586)</f>
        <v>P</v>
      </c>
      <c r="B2886">
        <f>'906MP'!H2586</f>
        <v>0</v>
      </c>
      <c r="C2886">
        <f>'906MP'!J2586</f>
        <v>0</v>
      </c>
      <c r="D2886">
        <f>'906MP'!P2586</f>
        <v>0</v>
      </c>
      <c r="E2886">
        <f>'906MP'!X2586</f>
        <v>0</v>
      </c>
      <c r="F2886" t="str">
        <f t="shared" si="865"/>
        <v>0</v>
      </c>
      <c r="G2886" t="str">
        <f t="shared" si="866"/>
        <v>0</v>
      </c>
      <c r="H2886">
        <f>'906MP'!Y2586</f>
        <v>0</v>
      </c>
      <c r="I2886">
        <f>'906MP'!AK2586</f>
        <v>0</v>
      </c>
      <c r="J2886">
        <f>'906MP'!T2586</f>
        <v>0</v>
      </c>
      <c r="K2886">
        <f>'906MP'!AJ2586</f>
        <v>0</v>
      </c>
      <c r="L2886">
        <f>'906MP'!U2586</f>
        <v>0</v>
      </c>
      <c r="M2886" s="322" t="str">
        <f>IFERROR(VLOOKUP(A2886,PAR!$D$3:$E$53,2,FALSE),"nincs szervezet")</f>
        <v>nincs szervezet</v>
      </c>
      <c r="N2886" s="322" t="str">
        <f>VLOOKUP(F2886,PAR!$R$3:$S$5,2,FALSE)</f>
        <v>3 - egyik sem</v>
      </c>
      <c r="O2886" t="str">
        <f>IFERROR(VLOOKUP(J2886,PAR!$O$3:$P$5,2,FALSE),"nincs feladat")</f>
        <v>nincs feladat</v>
      </c>
      <c r="P2886" t="str">
        <f>IFERROR(VLOOKUP(G2886,PAR!$J$2:$M$19,4),"nincs rovat")</f>
        <v>nincs rovat</v>
      </c>
      <c r="Q2886" t="str">
        <f>IF(H2886&gt;0,VLOOKUP(H2886,PAR!$AA$3:$AC$187,3,FALSE),"nincs főkönyvi számla")</f>
        <v>nincs főkönyvi számla</v>
      </c>
      <c r="R2886" t="str">
        <f>IFERROR(VLOOKUP(K2886,PAR!$V$3:$X$438,3,FALSE),"000000 - Nincs COFOG")</f>
        <v>000000 - Nincs COFOG</v>
      </c>
      <c r="S2886">
        <f t="shared" si="867"/>
        <v>0</v>
      </c>
      <c r="T2886">
        <f t="shared" si="868"/>
        <v>0</v>
      </c>
      <c r="U2886" t="str">
        <f>IF('906MP'!J2586&gt;0,CONCATENATE('906MP'!J2586," - ",'906MP'!P2586,", ",'906MP'!E2586),"nincs megjegyzés")</f>
        <v>nincs megjegyzés</v>
      </c>
      <c r="V2886" t="str">
        <f t="shared" si="855"/>
        <v>0P0</v>
      </c>
      <c r="W2886" t="str">
        <f t="shared" si="856"/>
        <v>0P0</v>
      </c>
      <c r="X2886" t="str">
        <f t="shared" si="857"/>
        <v>P0</v>
      </c>
      <c r="Y2886" t="str">
        <f t="shared" si="858"/>
        <v>00</v>
      </c>
      <c r="Z2886" t="str">
        <f t="shared" si="869"/>
        <v>00</v>
      </c>
      <c r="AA2886" t="str">
        <f t="shared" si="859"/>
        <v>00</v>
      </c>
      <c r="AB2886" t="str">
        <f t="shared" si="860"/>
        <v>00</v>
      </c>
      <c r="AC2886" t="str">
        <f t="shared" si="861"/>
        <v>0P0</v>
      </c>
      <c r="AD2886" t="str">
        <f t="shared" si="862"/>
        <v>P00</v>
      </c>
      <c r="AE2886" t="str">
        <f t="shared" si="863"/>
        <v>0P0</v>
      </c>
      <c r="AF2886" t="str">
        <f t="shared" si="864"/>
        <v>P00</v>
      </c>
      <c r="AG2886" t="str">
        <f t="shared" si="870"/>
        <v>0P00</v>
      </c>
      <c r="AH2886" t="str">
        <f t="shared" si="871"/>
        <v>P000</v>
      </c>
      <c r="AI2886" t="str">
        <f t="shared" si="872"/>
        <v>0P00</v>
      </c>
      <c r="AJ2886" t="str">
        <f t="shared" si="873"/>
        <v>P000</v>
      </c>
    </row>
    <row r="2887" spans="1:36" x14ac:dyDescent="0.25">
      <c r="A2887" s="325" t="str">
        <f>CONCATENATE("P",'906MP'!M2587)</f>
        <v>P</v>
      </c>
      <c r="B2887">
        <f>'906MP'!H2587</f>
        <v>0</v>
      </c>
      <c r="C2887">
        <f>'906MP'!J2587</f>
        <v>0</v>
      </c>
      <c r="D2887">
        <f>'906MP'!P2587</f>
        <v>0</v>
      </c>
      <c r="E2887">
        <f>'906MP'!X2587</f>
        <v>0</v>
      </c>
      <c r="F2887" t="str">
        <f t="shared" si="865"/>
        <v>0</v>
      </c>
      <c r="G2887" t="str">
        <f t="shared" si="866"/>
        <v>0</v>
      </c>
      <c r="H2887">
        <f>'906MP'!Y2587</f>
        <v>0</v>
      </c>
      <c r="I2887">
        <f>'906MP'!AK2587</f>
        <v>0</v>
      </c>
      <c r="J2887">
        <f>'906MP'!T2587</f>
        <v>0</v>
      </c>
      <c r="K2887">
        <f>'906MP'!AJ2587</f>
        <v>0</v>
      </c>
      <c r="L2887">
        <f>'906MP'!U2587</f>
        <v>0</v>
      </c>
      <c r="M2887" s="322" t="str">
        <f>IFERROR(VLOOKUP(A2887,PAR!$D$3:$E$53,2,FALSE),"nincs szervezet")</f>
        <v>nincs szervezet</v>
      </c>
      <c r="N2887" s="322" t="str">
        <f>VLOOKUP(F2887,PAR!$R$3:$S$5,2,FALSE)</f>
        <v>3 - egyik sem</v>
      </c>
      <c r="O2887" t="str">
        <f>IFERROR(VLOOKUP(J2887,PAR!$O$3:$P$5,2,FALSE),"nincs feladat")</f>
        <v>nincs feladat</v>
      </c>
      <c r="P2887" t="str">
        <f>IFERROR(VLOOKUP(G2887,PAR!$J$2:$M$19,4),"nincs rovat")</f>
        <v>nincs rovat</v>
      </c>
      <c r="Q2887" t="str">
        <f>IF(H2887&gt;0,VLOOKUP(H2887,PAR!$AA$3:$AC$187,3,FALSE),"nincs főkönyvi számla")</f>
        <v>nincs főkönyvi számla</v>
      </c>
      <c r="R2887" t="str">
        <f>IFERROR(VLOOKUP(K2887,PAR!$V$3:$X$438,3,FALSE),"000000 - Nincs COFOG")</f>
        <v>000000 - Nincs COFOG</v>
      </c>
      <c r="S2887">
        <f t="shared" si="867"/>
        <v>0</v>
      </c>
      <c r="T2887">
        <f t="shared" si="868"/>
        <v>0</v>
      </c>
      <c r="U2887" t="str">
        <f>IF('906MP'!J2587&gt;0,CONCATENATE('906MP'!J2587," - ",'906MP'!P2587,", ",'906MP'!E2587),"nincs megjegyzés")</f>
        <v>nincs megjegyzés</v>
      </c>
      <c r="V2887" t="str">
        <f t="shared" si="855"/>
        <v>0P0</v>
      </c>
      <c r="W2887" t="str">
        <f t="shared" si="856"/>
        <v>0P0</v>
      </c>
      <c r="X2887" t="str">
        <f t="shared" si="857"/>
        <v>P0</v>
      </c>
      <c r="Y2887" t="str">
        <f t="shared" si="858"/>
        <v>00</v>
      </c>
      <c r="Z2887" t="str">
        <f t="shared" si="869"/>
        <v>00</v>
      </c>
      <c r="AA2887" t="str">
        <f t="shared" si="859"/>
        <v>00</v>
      </c>
      <c r="AB2887" t="str">
        <f t="shared" si="860"/>
        <v>00</v>
      </c>
      <c r="AC2887" t="str">
        <f t="shared" si="861"/>
        <v>0P0</v>
      </c>
      <c r="AD2887" t="str">
        <f t="shared" si="862"/>
        <v>P00</v>
      </c>
      <c r="AE2887" t="str">
        <f t="shared" si="863"/>
        <v>0P0</v>
      </c>
      <c r="AF2887" t="str">
        <f t="shared" si="864"/>
        <v>P00</v>
      </c>
      <c r="AG2887" t="str">
        <f t="shared" si="870"/>
        <v>0P00</v>
      </c>
      <c r="AH2887" t="str">
        <f t="shared" si="871"/>
        <v>P000</v>
      </c>
      <c r="AI2887" t="str">
        <f t="shared" si="872"/>
        <v>0P00</v>
      </c>
      <c r="AJ2887" t="str">
        <f t="shared" si="873"/>
        <v>P000</v>
      </c>
    </row>
    <row r="2888" spans="1:36" x14ac:dyDescent="0.25">
      <c r="A2888" s="325" t="str">
        <f>CONCATENATE("P",'906MP'!M2588)</f>
        <v>P</v>
      </c>
      <c r="B2888">
        <f>'906MP'!H2588</f>
        <v>0</v>
      </c>
      <c r="C2888">
        <f>'906MP'!J2588</f>
        <v>0</v>
      </c>
      <c r="D2888">
        <f>'906MP'!P2588</f>
        <v>0</v>
      </c>
      <c r="E2888">
        <f>'906MP'!X2588</f>
        <v>0</v>
      </c>
      <c r="F2888" t="str">
        <f t="shared" si="865"/>
        <v>0</v>
      </c>
      <c r="G2888" t="str">
        <f t="shared" si="866"/>
        <v>0</v>
      </c>
      <c r="H2888">
        <f>'906MP'!Y2588</f>
        <v>0</v>
      </c>
      <c r="I2888">
        <f>'906MP'!AK2588</f>
        <v>0</v>
      </c>
      <c r="J2888">
        <f>'906MP'!T2588</f>
        <v>0</v>
      </c>
      <c r="K2888">
        <f>'906MP'!AJ2588</f>
        <v>0</v>
      </c>
      <c r="L2888">
        <f>'906MP'!U2588</f>
        <v>0</v>
      </c>
      <c r="M2888" s="322" t="str">
        <f>IFERROR(VLOOKUP(A2888,PAR!$D$3:$E$53,2,FALSE),"nincs szervezet")</f>
        <v>nincs szervezet</v>
      </c>
      <c r="N2888" s="322" t="str">
        <f>VLOOKUP(F2888,PAR!$R$3:$S$5,2,FALSE)</f>
        <v>3 - egyik sem</v>
      </c>
      <c r="O2888" t="str">
        <f>IFERROR(VLOOKUP(J2888,PAR!$O$3:$P$5,2,FALSE),"nincs feladat")</f>
        <v>nincs feladat</v>
      </c>
      <c r="P2888" t="str">
        <f>IFERROR(VLOOKUP(G2888,PAR!$J$2:$M$19,4),"nincs rovat")</f>
        <v>nincs rovat</v>
      </c>
      <c r="Q2888" t="str">
        <f>IF(H2888&gt;0,VLOOKUP(H2888,PAR!$AA$3:$AC$187,3,FALSE),"nincs főkönyvi számla")</f>
        <v>nincs főkönyvi számla</v>
      </c>
      <c r="R2888" t="str">
        <f>IFERROR(VLOOKUP(K2888,PAR!$V$3:$X$438,3,FALSE),"000000 - Nincs COFOG")</f>
        <v>000000 - Nincs COFOG</v>
      </c>
      <c r="S2888">
        <f t="shared" si="867"/>
        <v>0</v>
      </c>
      <c r="T2888">
        <f t="shared" si="868"/>
        <v>0</v>
      </c>
      <c r="U2888" t="str">
        <f>IF('906MP'!J2588&gt;0,CONCATENATE('906MP'!J2588," - ",'906MP'!P2588,", ",'906MP'!E2588),"nincs megjegyzés")</f>
        <v>nincs megjegyzés</v>
      </c>
      <c r="V2888" t="str">
        <f t="shared" si="855"/>
        <v>0P0</v>
      </c>
      <c r="W2888" t="str">
        <f t="shared" si="856"/>
        <v>0P0</v>
      </c>
      <c r="X2888" t="str">
        <f t="shared" si="857"/>
        <v>P0</v>
      </c>
      <c r="Y2888" t="str">
        <f t="shared" si="858"/>
        <v>00</v>
      </c>
      <c r="Z2888" t="str">
        <f t="shared" si="869"/>
        <v>00</v>
      </c>
      <c r="AA2888" t="str">
        <f t="shared" si="859"/>
        <v>00</v>
      </c>
      <c r="AB2888" t="str">
        <f t="shared" si="860"/>
        <v>00</v>
      </c>
      <c r="AC2888" t="str">
        <f t="shared" si="861"/>
        <v>0P0</v>
      </c>
      <c r="AD2888" t="str">
        <f t="shared" si="862"/>
        <v>P00</v>
      </c>
      <c r="AE2888" t="str">
        <f t="shared" si="863"/>
        <v>0P0</v>
      </c>
      <c r="AF2888" t="str">
        <f t="shared" si="864"/>
        <v>P00</v>
      </c>
      <c r="AG2888" t="str">
        <f t="shared" si="870"/>
        <v>0P00</v>
      </c>
      <c r="AH2888" t="str">
        <f t="shared" si="871"/>
        <v>P000</v>
      </c>
      <c r="AI2888" t="str">
        <f t="shared" si="872"/>
        <v>0P00</v>
      </c>
      <c r="AJ2888" t="str">
        <f t="shared" si="873"/>
        <v>P000</v>
      </c>
    </row>
    <row r="2889" spans="1:36" x14ac:dyDescent="0.25">
      <c r="A2889" s="325" t="str">
        <f>CONCATENATE("P",'906MP'!M2589)</f>
        <v>P</v>
      </c>
      <c r="B2889">
        <f>'906MP'!H2589</f>
        <v>0</v>
      </c>
      <c r="C2889">
        <f>'906MP'!J2589</f>
        <v>0</v>
      </c>
      <c r="D2889">
        <f>'906MP'!P2589</f>
        <v>0</v>
      </c>
      <c r="E2889">
        <f>'906MP'!X2589</f>
        <v>0</v>
      </c>
      <c r="F2889" t="str">
        <f t="shared" si="865"/>
        <v>0</v>
      </c>
      <c r="G2889" t="str">
        <f t="shared" si="866"/>
        <v>0</v>
      </c>
      <c r="H2889">
        <f>'906MP'!Y2589</f>
        <v>0</v>
      </c>
      <c r="I2889">
        <f>'906MP'!AK2589</f>
        <v>0</v>
      </c>
      <c r="J2889">
        <f>'906MP'!T2589</f>
        <v>0</v>
      </c>
      <c r="K2889">
        <f>'906MP'!AJ2589</f>
        <v>0</v>
      </c>
      <c r="L2889">
        <f>'906MP'!U2589</f>
        <v>0</v>
      </c>
      <c r="M2889" s="322" t="str">
        <f>IFERROR(VLOOKUP(A2889,PAR!$D$3:$E$53,2,FALSE),"nincs szervezet")</f>
        <v>nincs szervezet</v>
      </c>
      <c r="N2889" s="322" t="str">
        <f>VLOOKUP(F2889,PAR!$R$3:$S$5,2,FALSE)</f>
        <v>3 - egyik sem</v>
      </c>
      <c r="O2889" t="str">
        <f>IFERROR(VLOOKUP(J2889,PAR!$O$3:$P$5,2,FALSE),"nincs feladat")</f>
        <v>nincs feladat</v>
      </c>
      <c r="P2889" t="str">
        <f>IFERROR(VLOOKUP(G2889,PAR!$J$2:$M$19,4),"nincs rovat")</f>
        <v>nincs rovat</v>
      </c>
      <c r="Q2889" t="str">
        <f>IF(H2889&gt;0,VLOOKUP(H2889,PAR!$AA$3:$AC$187,3,FALSE),"nincs főkönyvi számla")</f>
        <v>nincs főkönyvi számla</v>
      </c>
      <c r="R2889" t="str">
        <f>IFERROR(VLOOKUP(K2889,PAR!$V$3:$X$438,3,FALSE),"000000 - Nincs COFOG")</f>
        <v>000000 - Nincs COFOG</v>
      </c>
      <c r="S2889">
        <f t="shared" si="867"/>
        <v>0</v>
      </c>
      <c r="T2889">
        <f t="shared" si="868"/>
        <v>0</v>
      </c>
      <c r="U2889" t="str">
        <f>IF('906MP'!J2589&gt;0,CONCATENATE('906MP'!J2589," - ",'906MP'!P2589,", ",'906MP'!E2589),"nincs megjegyzés")</f>
        <v>nincs megjegyzés</v>
      </c>
      <c r="V2889" t="str">
        <f t="shared" si="855"/>
        <v>0P0</v>
      </c>
      <c r="W2889" t="str">
        <f t="shared" si="856"/>
        <v>0P0</v>
      </c>
      <c r="X2889" t="str">
        <f t="shared" si="857"/>
        <v>P0</v>
      </c>
      <c r="Y2889" t="str">
        <f t="shared" si="858"/>
        <v>00</v>
      </c>
      <c r="Z2889" t="str">
        <f t="shared" si="869"/>
        <v>00</v>
      </c>
      <c r="AA2889" t="str">
        <f t="shared" si="859"/>
        <v>00</v>
      </c>
      <c r="AB2889" t="str">
        <f t="shared" si="860"/>
        <v>00</v>
      </c>
      <c r="AC2889" t="str">
        <f t="shared" si="861"/>
        <v>0P0</v>
      </c>
      <c r="AD2889" t="str">
        <f t="shared" si="862"/>
        <v>P00</v>
      </c>
      <c r="AE2889" t="str">
        <f t="shared" si="863"/>
        <v>0P0</v>
      </c>
      <c r="AF2889" t="str">
        <f t="shared" si="864"/>
        <v>P00</v>
      </c>
      <c r="AG2889" t="str">
        <f t="shared" si="870"/>
        <v>0P00</v>
      </c>
      <c r="AH2889" t="str">
        <f t="shared" si="871"/>
        <v>P000</v>
      </c>
      <c r="AI2889" t="str">
        <f t="shared" si="872"/>
        <v>0P00</v>
      </c>
      <c r="AJ2889" t="str">
        <f t="shared" si="873"/>
        <v>P000</v>
      </c>
    </row>
    <row r="2890" spans="1:36" x14ac:dyDescent="0.25">
      <c r="A2890" s="325" t="str">
        <f>CONCATENATE("P",'906MP'!M2590)</f>
        <v>P</v>
      </c>
      <c r="B2890">
        <f>'906MP'!H2590</f>
        <v>0</v>
      </c>
      <c r="C2890">
        <f>'906MP'!J2590</f>
        <v>0</v>
      </c>
      <c r="D2890">
        <f>'906MP'!P2590</f>
        <v>0</v>
      </c>
      <c r="E2890">
        <f>'906MP'!X2590</f>
        <v>0</v>
      </c>
      <c r="F2890" t="str">
        <f t="shared" si="865"/>
        <v>0</v>
      </c>
      <c r="G2890" t="str">
        <f t="shared" si="866"/>
        <v>0</v>
      </c>
      <c r="H2890">
        <f>'906MP'!Y2590</f>
        <v>0</v>
      </c>
      <c r="I2890">
        <f>'906MP'!AK2590</f>
        <v>0</v>
      </c>
      <c r="J2890">
        <f>'906MP'!T2590</f>
        <v>0</v>
      </c>
      <c r="K2890">
        <f>'906MP'!AJ2590</f>
        <v>0</v>
      </c>
      <c r="L2890">
        <f>'906MP'!U2590</f>
        <v>0</v>
      </c>
      <c r="M2890" s="322" t="str">
        <f>IFERROR(VLOOKUP(A2890,PAR!$D$3:$E$53,2,FALSE),"nincs szervezet")</f>
        <v>nincs szervezet</v>
      </c>
      <c r="N2890" s="322" t="str">
        <f>VLOOKUP(F2890,PAR!$R$3:$S$5,2,FALSE)</f>
        <v>3 - egyik sem</v>
      </c>
      <c r="O2890" t="str">
        <f>IFERROR(VLOOKUP(J2890,PAR!$O$3:$P$5,2,FALSE),"nincs feladat")</f>
        <v>nincs feladat</v>
      </c>
      <c r="P2890" t="str">
        <f>IFERROR(VLOOKUP(G2890,PAR!$J$2:$M$19,4),"nincs rovat")</f>
        <v>nincs rovat</v>
      </c>
      <c r="Q2890" t="str">
        <f>IF(H2890&gt;0,VLOOKUP(H2890,PAR!$AA$3:$AC$187,3,FALSE),"nincs főkönyvi számla")</f>
        <v>nincs főkönyvi számla</v>
      </c>
      <c r="R2890" t="str">
        <f>IFERROR(VLOOKUP(K2890,PAR!$V$3:$X$438,3,FALSE),"000000 - Nincs COFOG")</f>
        <v>000000 - Nincs COFOG</v>
      </c>
      <c r="S2890">
        <f t="shared" si="867"/>
        <v>0</v>
      </c>
      <c r="T2890">
        <f t="shared" si="868"/>
        <v>0</v>
      </c>
      <c r="U2890" t="str">
        <f>IF('906MP'!J2590&gt;0,CONCATENATE('906MP'!J2590," - ",'906MP'!P2590,", ",'906MP'!E2590),"nincs megjegyzés")</f>
        <v>nincs megjegyzés</v>
      </c>
      <c r="V2890" t="str">
        <f t="shared" si="855"/>
        <v>0P0</v>
      </c>
      <c r="W2890" t="str">
        <f t="shared" si="856"/>
        <v>0P0</v>
      </c>
      <c r="X2890" t="str">
        <f t="shared" si="857"/>
        <v>P0</v>
      </c>
      <c r="Y2890" t="str">
        <f t="shared" si="858"/>
        <v>00</v>
      </c>
      <c r="Z2890" t="str">
        <f t="shared" si="869"/>
        <v>00</v>
      </c>
      <c r="AA2890" t="str">
        <f t="shared" si="859"/>
        <v>00</v>
      </c>
      <c r="AB2890" t="str">
        <f t="shared" si="860"/>
        <v>00</v>
      </c>
      <c r="AC2890" t="str">
        <f t="shared" si="861"/>
        <v>0P0</v>
      </c>
      <c r="AD2890" t="str">
        <f t="shared" si="862"/>
        <v>P00</v>
      </c>
      <c r="AE2890" t="str">
        <f t="shared" si="863"/>
        <v>0P0</v>
      </c>
      <c r="AF2890" t="str">
        <f t="shared" si="864"/>
        <v>P00</v>
      </c>
      <c r="AG2890" t="str">
        <f t="shared" si="870"/>
        <v>0P00</v>
      </c>
      <c r="AH2890" t="str">
        <f t="shared" si="871"/>
        <v>P000</v>
      </c>
      <c r="AI2890" t="str">
        <f t="shared" si="872"/>
        <v>0P00</v>
      </c>
      <c r="AJ2890" t="str">
        <f t="shared" si="873"/>
        <v>P000</v>
      </c>
    </row>
    <row r="2891" spans="1:36" x14ac:dyDescent="0.25">
      <c r="A2891" s="325" t="str">
        <f>CONCATENATE("P",'906MP'!M2591)</f>
        <v>P</v>
      </c>
      <c r="B2891">
        <f>'906MP'!H2591</f>
        <v>0</v>
      </c>
      <c r="C2891">
        <f>'906MP'!J2591</f>
        <v>0</v>
      </c>
      <c r="D2891">
        <f>'906MP'!P2591</f>
        <v>0</v>
      </c>
      <c r="E2891">
        <f>'906MP'!X2591</f>
        <v>0</v>
      </c>
      <c r="F2891" t="str">
        <f t="shared" si="865"/>
        <v>0</v>
      </c>
      <c r="G2891" t="str">
        <f t="shared" si="866"/>
        <v>0</v>
      </c>
      <c r="H2891">
        <f>'906MP'!Y2591</f>
        <v>0</v>
      </c>
      <c r="I2891">
        <f>'906MP'!AK2591</f>
        <v>0</v>
      </c>
      <c r="J2891">
        <f>'906MP'!T2591</f>
        <v>0</v>
      </c>
      <c r="K2891">
        <f>'906MP'!AJ2591</f>
        <v>0</v>
      </c>
      <c r="L2891">
        <f>'906MP'!U2591</f>
        <v>0</v>
      </c>
      <c r="M2891" s="322" t="str">
        <f>IFERROR(VLOOKUP(A2891,PAR!$D$3:$E$53,2,FALSE),"nincs szervezet")</f>
        <v>nincs szervezet</v>
      </c>
      <c r="N2891" s="322" t="str">
        <f>VLOOKUP(F2891,PAR!$R$3:$S$5,2,FALSE)</f>
        <v>3 - egyik sem</v>
      </c>
      <c r="O2891" t="str">
        <f>IFERROR(VLOOKUP(J2891,PAR!$O$3:$P$5,2,FALSE),"nincs feladat")</f>
        <v>nincs feladat</v>
      </c>
      <c r="P2891" t="str">
        <f>IFERROR(VLOOKUP(G2891,PAR!$J$2:$M$19,4),"nincs rovat")</f>
        <v>nincs rovat</v>
      </c>
      <c r="Q2891" t="str">
        <f>IF(H2891&gt;0,VLOOKUP(H2891,PAR!$AA$3:$AC$187,3,FALSE),"nincs főkönyvi számla")</f>
        <v>nincs főkönyvi számla</v>
      </c>
      <c r="R2891" t="str">
        <f>IFERROR(VLOOKUP(K2891,PAR!$V$3:$X$438,3,FALSE),"000000 - Nincs COFOG")</f>
        <v>000000 - Nincs COFOG</v>
      </c>
      <c r="S2891">
        <f t="shared" si="867"/>
        <v>0</v>
      </c>
      <c r="T2891">
        <f t="shared" si="868"/>
        <v>0</v>
      </c>
      <c r="U2891" t="str">
        <f>IF('906MP'!J2591&gt;0,CONCATENATE('906MP'!J2591," - ",'906MP'!P2591,", ",'906MP'!E2591),"nincs megjegyzés")</f>
        <v>nincs megjegyzés</v>
      </c>
      <c r="V2891" t="str">
        <f t="shared" si="855"/>
        <v>0P0</v>
      </c>
      <c r="W2891" t="str">
        <f t="shared" si="856"/>
        <v>0P0</v>
      </c>
      <c r="X2891" t="str">
        <f t="shared" si="857"/>
        <v>P0</v>
      </c>
      <c r="Y2891" t="str">
        <f t="shared" si="858"/>
        <v>00</v>
      </c>
      <c r="Z2891" t="str">
        <f t="shared" si="869"/>
        <v>00</v>
      </c>
      <c r="AA2891" t="str">
        <f t="shared" si="859"/>
        <v>00</v>
      </c>
      <c r="AB2891" t="str">
        <f t="shared" si="860"/>
        <v>00</v>
      </c>
      <c r="AC2891" t="str">
        <f t="shared" si="861"/>
        <v>0P0</v>
      </c>
      <c r="AD2891" t="str">
        <f t="shared" si="862"/>
        <v>P00</v>
      </c>
      <c r="AE2891" t="str">
        <f t="shared" si="863"/>
        <v>0P0</v>
      </c>
      <c r="AF2891" t="str">
        <f t="shared" si="864"/>
        <v>P00</v>
      </c>
      <c r="AG2891" t="str">
        <f t="shared" si="870"/>
        <v>0P00</v>
      </c>
      <c r="AH2891" t="str">
        <f t="shared" si="871"/>
        <v>P000</v>
      </c>
      <c r="AI2891" t="str">
        <f t="shared" si="872"/>
        <v>0P00</v>
      </c>
      <c r="AJ2891" t="str">
        <f t="shared" si="873"/>
        <v>P000</v>
      </c>
    </row>
    <row r="2892" spans="1:36" x14ac:dyDescent="0.25">
      <c r="A2892" s="325" t="str">
        <f>CONCATENATE("P",'906MP'!M2592)</f>
        <v>P</v>
      </c>
      <c r="B2892">
        <f>'906MP'!H2592</f>
        <v>0</v>
      </c>
      <c r="C2892">
        <f>'906MP'!J2592</f>
        <v>0</v>
      </c>
      <c r="D2892">
        <f>'906MP'!P2592</f>
        <v>0</v>
      </c>
      <c r="E2892">
        <f>'906MP'!X2592</f>
        <v>0</v>
      </c>
      <c r="F2892" t="str">
        <f t="shared" si="865"/>
        <v>0</v>
      </c>
      <c r="G2892" t="str">
        <f t="shared" si="866"/>
        <v>0</v>
      </c>
      <c r="H2892">
        <f>'906MP'!Y2592</f>
        <v>0</v>
      </c>
      <c r="I2892">
        <f>'906MP'!AK2592</f>
        <v>0</v>
      </c>
      <c r="J2892">
        <f>'906MP'!T2592</f>
        <v>0</v>
      </c>
      <c r="K2892">
        <f>'906MP'!AJ2592</f>
        <v>0</v>
      </c>
      <c r="L2892">
        <f>'906MP'!U2592</f>
        <v>0</v>
      </c>
      <c r="M2892" s="322" t="str">
        <f>IFERROR(VLOOKUP(A2892,PAR!$D$3:$E$53,2,FALSE),"nincs szervezet")</f>
        <v>nincs szervezet</v>
      </c>
      <c r="N2892" s="322" t="str">
        <f>VLOOKUP(F2892,PAR!$R$3:$S$5,2,FALSE)</f>
        <v>3 - egyik sem</v>
      </c>
      <c r="O2892" t="str">
        <f>IFERROR(VLOOKUP(J2892,PAR!$O$3:$P$5,2,FALSE),"nincs feladat")</f>
        <v>nincs feladat</v>
      </c>
      <c r="P2892" t="str">
        <f>IFERROR(VLOOKUP(G2892,PAR!$J$2:$M$19,4),"nincs rovat")</f>
        <v>nincs rovat</v>
      </c>
      <c r="Q2892" t="str">
        <f>IF(H2892&gt;0,VLOOKUP(H2892,PAR!$AA$3:$AC$187,3,FALSE),"nincs főkönyvi számla")</f>
        <v>nincs főkönyvi számla</v>
      </c>
      <c r="R2892" t="str">
        <f>IFERROR(VLOOKUP(K2892,PAR!$V$3:$X$438,3,FALSE),"000000 - Nincs COFOG")</f>
        <v>000000 - Nincs COFOG</v>
      </c>
      <c r="S2892">
        <f t="shared" si="867"/>
        <v>0</v>
      </c>
      <c r="T2892">
        <f t="shared" si="868"/>
        <v>0</v>
      </c>
      <c r="U2892" t="str">
        <f>IF('906MP'!J2592&gt;0,CONCATENATE('906MP'!J2592," - ",'906MP'!P2592,", ",'906MP'!E2592),"nincs megjegyzés")</f>
        <v>nincs megjegyzés</v>
      </c>
      <c r="V2892" t="str">
        <f t="shared" si="855"/>
        <v>0P0</v>
      </c>
      <c r="W2892" t="str">
        <f t="shared" si="856"/>
        <v>0P0</v>
      </c>
      <c r="X2892" t="str">
        <f t="shared" si="857"/>
        <v>P0</v>
      </c>
      <c r="Y2892" t="str">
        <f t="shared" si="858"/>
        <v>00</v>
      </c>
      <c r="Z2892" t="str">
        <f t="shared" si="869"/>
        <v>00</v>
      </c>
      <c r="AA2892" t="str">
        <f t="shared" si="859"/>
        <v>00</v>
      </c>
      <c r="AB2892" t="str">
        <f t="shared" si="860"/>
        <v>00</v>
      </c>
      <c r="AC2892" t="str">
        <f t="shared" si="861"/>
        <v>0P0</v>
      </c>
      <c r="AD2892" t="str">
        <f t="shared" si="862"/>
        <v>P00</v>
      </c>
      <c r="AE2892" t="str">
        <f t="shared" si="863"/>
        <v>0P0</v>
      </c>
      <c r="AF2892" t="str">
        <f t="shared" si="864"/>
        <v>P00</v>
      </c>
      <c r="AG2892" t="str">
        <f t="shared" si="870"/>
        <v>0P00</v>
      </c>
      <c r="AH2892" t="str">
        <f t="shared" si="871"/>
        <v>P000</v>
      </c>
      <c r="AI2892" t="str">
        <f t="shared" si="872"/>
        <v>0P00</v>
      </c>
      <c r="AJ2892" t="str">
        <f t="shared" si="873"/>
        <v>P000</v>
      </c>
    </row>
    <row r="2893" spans="1:36" x14ac:dyDescent="0.25">
      <c r="A2893" s="325" t="str">
        <f>CONCATENATE("P",'906MP'!M2593)</f>
        <v>P</v>
      </c>
      <c r="B2893">
        <f>'906MP'!H2593</f>
        <v>0</v>
      </c>
      <c r="C2893">
        <f>'906MP'!J2593</f>
        <v>0</v>
      </c>
      <c r="D2893">
        <f>'906MP'!P2593</f>
        <v>0</v>
      </c>
      <c r="E2893">
        <f>'906MP'!X2593</f>
        <v>0</v>
      </c>
      <c r="F2893" t="str">
        <f t="shared" si="865"/>
        <v>0</v>
      </c>
      <c r="G2893" t="str">
        <f t="shared" si="866"/>
        <v>0</v>
      </c>
      <c r="H2893">
        <f>'906MP'!Y2593</f>
        <v>0</v>
      </c>
      <c r="I2893">
        <f>'906MP'!AK2593</f>
        <v>0</v>
      </c>
      <c r="J2893">
        <f>'906MP'!T2593</f>
        <v>0</v>
      </c>
      <c r="K2893">
        <f>'906MP'!AJ2593</f>
        <v>0</v>
      </c>
      <c r="L2893">
        <f>'906MP'!U2593</f>
        <v>0</v>
      </c>
      <c r="M2893" s="322" t="str">
        <f>IFERROR(VLOOKUP(A2893,PAR!$D$3:$E$53,2,FALSE),"nincs szervezet")</f>
        <v>nincs szervezet</v>
      </c>
      <c r="N2893" s="322" t="str">
        <f>VLOOKUP(F2893,PAR!$R$3:$S$5,2,FALSE)</f>
        <v>3 - egyik sem</v>
      </c>
      <c r="O2893" t="str">
        <f>IFERROR(VLOOKUP(J2893,PAR!$O$3:$P$5,2,FALSE),"nincs feladat")</f>
        <v>nincs feladat</v>
      </c>
      <c r="P2893" t="str">
        <f>IFERROR(VLOOKUP(G2893,PAR!$J$2:$M$19,4),"nincs rovat")</f>
        <v>nincs rovat</v>
      </c>
      <c r="Q2893" t="str">
        <f>IF(H2893&gt;0,VLOOKUP(H2893,PAR!$AA$3:$AC$187,3,FALSE),"nincs főkönyvi számla")</f>
        <v>nincs főkönyvi számla</v>
      </c>
      <c r="R2893" t="str">
        <f>IFERROR(VLOOKUP(K2893,PAR!$V$3:$X$438,3,FALSE),"000000 - Nincs COFOG")</f>
        <v>000000 - Nincs COFOG</v>
      </c>
      <c r="S2893">
        <f t="shared" si="867"/>
        <v>0</v>
      </c>
      <c r="T2893">
        <f t="shared" si="868"/>
        <v>0</v>
      </c>
      <c r="U2893" t="str">
        <f>IF('906MP'!J2593&gt;0,CONCATENATE('906MP'!J2593," - ",'906MP'!P2593,", ",'906MP'!E2593),"nincs megjegyzés")</f>
        <v>nincs megjegyzés</v>
      </c>
      <c r="V2893" t="str">
        <f t="shared" si="855"/>
        <v>0P0</v>
      </c>
      <c r="W2893" t="str">
        <f t="shared" si="856"/>
        <v>0P0</v>
      </c>
      <c r="X2893" t="str">
        <f t="shared" si="857"/>
        <v>P0</v>
      </c>
      <c r="Y2893" t="str">
        <f t="shared" si="858"/>
        <v>00</v>
      </c>
      <c r="Z2893" t="str">
        <f t="shared" si="869"/>
        <v>00</v>
      </c>
      <c r="AA2893" t="str">
        <f t="shared" si="859"/>
        <v>00</v>
      </c>
      <c r="AB2893" t="str">
        <f t="shared" si="860"/>
        <v>00</v>
      </c>
      <c r="AC2893" t="str">
        <f t="shared" si="861"/>
        <v>0P0</v>
      </c>
      <c r="AD2893" t="str">
        <f t="shared" si="862"/>
        <v>P00</v>
      </c>
      <c r="AE2893" t="str">
        <f t="shared" si="863"/>
        <v>0P0</v>
      </c>
      <c r="AF2893" t="str">
        <f t="shared" si="864"/>
        <v>P00</v>
      </c>
      <c r="AG2893" t="str">
        <f t="shared" si="870"/>
        <v>0P00</v>
      </c>
      <c r="AH2893" t="str">
        <f t="shared" si="871"/>
        <v>P000</v>
      </c>
      <c r="AI2893" t="str">
        <f t="shared" si="872"/>
        <v>0P00</v>
      </c>
      <c r="AJ2893" t="str">
        <f t="shared" si="873"/>
        <v>P000</v>
      </c>
    </row>
    <row r="2894" spans="1:36" x14ac:dyDescent="0.25">
      <c r="A2894" s="325" t="str">
        <f>CONCATENATE("P",'906MP'!M2594)</f>
        <v>P</v>
      </c>
      <c r="B2894">
        <f>'906MP'!H2594</f>
        <v>0</v>
      </c>
      <c r="C2894">
        <f>'906MP'!J2594</f>
        <v>0</v>
      </c>
      <c r="D2894">
        <f>'906MP'!P2594</f>
        <v>0</v>
      </c>
      <c r="E2894">
        <f>'906MP'!X2594</f>
        <v>0</v>
      </c>
      <c r="F2894" t="str">
        <f t="shared" si="865"/>
        <v>0</v>
      </c>
      <c r="G2894" t="str">
        <f t="shared" si="866"/>
        <v>0</v>
      </c>
      <c r="H2894">
        <f>'906MP'!Y2594</f>
        <v>0</v>
      </c>
      <c r="I2894">
        <f>'906MP'!AK2594</f>
        <v>0</v>
      </c>
      <c r="J2894">
        <f>'906MP'!T2594</f>
        <v>0</v>
      </c>
      <c r="K2894">
        <f>'906MP'!AJ2594</f>
        <v>0</v>
      </c>
      <c r="L2894">
        <f>'906MP'!U2594</f>
        <v>0</v>
      </c>
      <c r="M2894" s="322" t="str">
        <f>IFERROR(VLOOKUP(A2894,PAR!$D$3:$E$53,2,FALSE),"nincs szervezet")</f>
        <v>nincs szervezet</v>
      </c>
      <c r="N2894" s="322" t="str">
        <f>VLOOKUP(F2894,PAR!$R$3:$S$5,2,FALSE)</f>
        <v>3 - egyik sem</v>
      </c>
      <c r="O2894" t="str">
        <f>IFERROR(VLOOKUP(J2894,PAR!$O$3:$P$5,2,FALSE),"nincs feladat")</f>
        <v>nincs feladat</v>
      </c>
      <c r="P2894" t="str">
        <f>IFERROR(VLOOKUP(G2894,PAR!$J$2:$M$19,4),"nincs rovat")</f>
        <v>nincs rovat</v>
      </c>
      <c r="Q2894" t="str">
        <f>IF(H2894&gt;0,VLOOKUP(H2894,PAR!$AA$3:$AC$187,3,FALSE),"nincs főkönyvi számla")</f>
        <v>nincs főkönyvi számla</v>
      </c>
      <c r="R2894" t="str">
        <f>IFERROR(VLOOKUP(K2894,PAR!$V$3:$X$438,3,FALSE),"000000 - Nincs COFOG")</f>
        <v>000000 - Nincs COFOG</v>
      </c>
      <c r="S2894">
        <f t="shared" si="867"/>
        <v>0</v>
      </c>
      <c r="T2894">
        <f t="shared" si="868"/>
        <v>0</v>
      </c>
      <c r="U2894" t="str">
        <f>IF('906MP'!J2594&gt;0,CONCATENATE('906MP'!J2594," - ",'906MP'!P2594,", ",'906MP'!E2594),"nincs megjegyzés")</f>
        <v>nincs megjegyzés</v>
      </c>
      <c r="V2894" t="str">
        <f t="shared" si="855"/>
        <v>0P0</v>
      </c>
      <c r="W2894" t="str">
        <f t="shared" si="856"/>
        <v>0P0</v>
      </c>
      <c r="X2894" t="str">
        <f t="shared" si="857"/>
        <v>P0</v>
      </c>
      <c r="Y2894" t="str">
        <f t="shared" si="858"/>
        <v>00</v>
      </c>
      <c r="Z2894" t="str">
        <f t="shared" si="869"/>
        <v>00</v>
      </c>
      <c r="AA2894" t="str">
        <f t="shared" si="859"/>
        <v>00</v>
      </c>
      <c r="AB2894" t="str">
        <f t="shared" si="860"/>
        <v>00</v>
      </c>
      <c r="AC2894" t="str">
        <f t="shared" si="861"/>
        <v>0P0</v>
      </c>
      <c r="AD2894" t="str">
        <f t="shared" si="862"/>
        <v>P00</v>
      </c>
      <c r="AE2894" t="str">
        <f t="shared" si="863"/>
        <v>0P0</v>
      </c>
      <c r="AF2894" t="str">
        <f t="shared" si="864"/>
        <v>P00</v>
      </c>
      <c r="AG2894" t="str">
        <f t="shared" si="870"/>
        <v>0P00</v>
      </c>
      <c r="AH2894" t="str">
        <f t="shared" si="871"/>
        <v>P000</v>
      </c>
      <c r="AI2894" t="str">
        <f t="shared" si="872"/>
        <v>0P00</v>
      </c>
      <c r="AJ2894" t="str">
        <f t="shared" si="873"/>
        <v>P000</v>
      </c>
    </row>
    <row r="2895" spans="1:36" x14ac:dyDescent="0.25">
      <c r="A2895" s="325" t="str">
        <f>CONCATENATE("P",'906MP'!M2595)</f>
        <v>P</v>
      </c>
      <c r="B2895">
        <f>'906MP'!H2595</f>
        <v>0</v>
      </c>
      <c r="C2895">
        <f>'906MP'!J2595</f>
        <v>0</v>
      </c>
      <c r="D2895">
        <f>'906MP'!P2595</f>
        <v>0</v>
      </c>
      <c r="E2895">
        <f>'906MP'!X2595</f>
        <v>0</v>
      </c>
      <c r="F2895" t="str">
        <f t="shared" si="865"/>
        <v>0</v>
      </c>
      <c r="G2895" t="str">
        <f t="shared" si="866"/>
        <v>0</v>
      </c>
      <c r="H2895">
        <f>'906MP'!Y2595</f>
        <v>0</v>
      </c>
      <c r="I2895">
        <f>'906MP'!AK2595</f>
        <v>0</v>
      </c>
      <c r="J2895">
        <f>'906MP'!T2595</f>
        <v>0</v>
      </c>
      <c r="K2895">
        <f>'906MP'!AJ2595</f>
        <v>0</v>
      </c>
      <c r="L2895">
        <f>'906MP'!U2595</f>
        <v>0</v>
      </c>
      <c r="M2895" s="322" t="str">
        <f>IFERROR(VLOOKUP(A2895,PAR!$D$3:$E$53,2,FALSE),"nincs szervezet")</f>
        <v>nincs szervezet</v>
      </c>
      <c r="N2895" s="322" t="str">
        <f>VLOOKUP(F2895,PAR!$R$3:$S$5,2,FALSE)</f>
        <v>3 - egyik sem</v>
      </c>
      <c r="O2895" t="str">
        <f>IFERROR(VLOOKUP(J2895,PAR!$O$3:$P$5,2,FALSE),"nincs feladat")</f>
        <v>nincs feladat</v>
      </c>
      <c r="P2895" t="str">
        <f>IFERROR(VLOOKUP(G2895,PAR!$J$2:$M$19,4),"nincs rovat")</f>
        <v>nincs rovat</v>
      </c>
      <c r="Q2895" t="str">
        <f>IF(H2895&gt;0,VLOOKUP(H2895,PAR!$AA$3:$AC$187,3,FALSE),"nincs főkönyvi számla")</f>
        <v>nincs főkönyvi számla</v>
      </c>
      <c r="R2895" t="str">
        <f>IFERROR(VLOOKUP(K2895,PAR!$V$3:$X$438,3,FALSE),"000000 - Nincs COFOG")</f>
        <v>000000 - Nincs COFOG</v>
      </c>
      <c r="S2895">
        <f t="shared" si="867"/>
        <v>0</v>
      </c>
      <c r="T2895">
        <f t="shared" si="868"/>
        <v>0</v>
      </c>
      <c r="U2895" t="str">
        <f>IF('906MP'!J2595&gt;0,CONCATENATE('906MP'!J2595," - ",'906MP'!P2595,", ",'906MP'!E2595),"nincs megjegyzés")</f>
        <v>nincs megjegyzés</v>
      </c>
      <c r="V2895" t="str">
        <f t="shared" si="855"/>
        <v>0P0</v>
      </c>
      <c r="W2895" t="str">
        <f t="shared" si="856"/>
        <v>0P0</v>
      </c>
      <c r="X2895" t="str">
        <f t="shared" si="857"/>
        <v>P0</v>
      </c>
      <c r="Y2895" t="str">
        <f t="shared" si="858"/>
        <v>00</v>
      </c>
      <c r="Z2895" t="str">
        <f t="shared" si="869"/>
        <v>00</v>
      </c>
      <c r="AA2895" t="str">
        <f t="shared" si="859"/>
        <v>00</v>
      </c>
      <c r="AB2895" t="str">
        <f t="shared" si="860"/>
        <v>00</v>
      </c>
      <c r="AC2895" t="str">
        <f t="shared" si="861"/>
        <v>0P0</v>
      </c>
      <c r="AD2895" t="str">
        <f t="shared" si="862"/>
        <v>P00</v>
      </c>
      <c r="AE2895" t="str">
        <f t="shared" si="863"/>
        <v>0P0</v>
      </c>
      <c r="AF2895" t="str">
        <f t="shared" si="864"/>
        <v>P00</v>
      </c>
      <c r="AG2895" t="str">
        <f t="shared" si="870"/>
        <v>0P00</v>
      </c>
      <c r="AH2895" t="str">
        <f t="shared" si="871"/>
        <v>P000</v>
      </c>
      <c r="AI2895" t="str">
        <f t="shared" si="872"/>
        <v>0P00</v>
      </c>
      <c r="AJ2895" t="str">
        <f t="shared" si="873"/>
        <v>P000</v>
      </c>
    </row>
    <row r="2896" spans="1:36" x14ac:dyDescent="0.25">
      <c r="A2896" s="325" t="str">
        <f>CONCATENATE("P",'906MP'!M2596)</f>
        <v>P</v>
      </c>
      <c r="B2896">
        <f>'906MP'!H2596</f>
        <v>0</v>
      </c>
      <c r="C2896">
        <f>'906MP'!J2596</f>
        <v>0</v>
      </c>
      <c r="D2896">
        <f>'906MP'!P2596</f>
        <v>0</v>
      </c>
      <c r="E2896">
        <f>'906MP'!X2596</f>
        <v>0</v>
      </c>
      <c r="F2896" t="str">
        <f t="shared" si="865"/>
        <v>0</v>
      </c>
      <c r="G2896" t="str">
        <f t="shared" si="866"/>
        <v>0</v>
      </c>
      <c r="H2896">
        <f>'906MP'!Y2596</f>
        <v>0</v>
      </c>
      <c r="I2896">
        <f>'906MP'!AK2596</f>
        <v>0</v>
      </c>
      <c r="J2896">
        <f>'906MP'!T2596</f>
        <v>0</v>
      </c>
      <c r="K2896">
        <f>'906MP'!AJ2596</f>
        <v>0</v>
      </c>
      <c r="L2896">
        <f>'906MP'!U2596</f>
        <v>0</v>
      </c>
      <c r="M2896" s="322" t="str">
        <f>IFERROR(VLOOKUP(A2896,PAR!$D$3:$E$53,2,FALSE),"nincs szervezet")</f>
        <v>nincs szervezet</v>
      </c>
      <c r="N2896" s="322" t="str">
        <f>VLOOKUP(F2896,PAR!$R$3:$S$5,2,FALSE)</f>
        <v>3 - egyik sem</v>
      </c>
      <c r="O2896" t="str">
        <f>IFERROR(VLOOKUP(J2896,PAR!$O$3:$P$5,2,FALSE),"nincs feladat")</f>
        <v>nincs feladat</v>
      </c>
      <c r="P2896" t="str">
        <f>IFERROR(VLOOKUP(G2896,PAR!$J$2:$M$19,4),"nincs rovat")</f>
        <v>nincs rovat</v>
      </c>
      <c r="Q2896" t="str">
        <f>IF(H2896&gt;0,VLOOKUP(H2896,PAR!$AA$3:$AC$187,3,FALSE),"nincs főkönyvi számla")</f>
        <v>nincs főkönyvi számla</v>
      </c>
      <c r="R2896" t="str">
        <f>IFERROR(VLOOKUP(K2896,PAR!$V$3:$X$438,3,FALSE),"000000 - Nincs COFOG")</f>
        <v>000000 - Nincs COFOG</v>
      </c>
      <c r="S2896">
        <f t="shared" si="867"/>
        <v>0</v>
      </c>
      <c r="T2896">
        <f t="shared" si="868"/>
        <v>0</v>
      </c>
      <c r="U2896" t="str">
        <f>IF('906MP'!J2596&gt;0,CONCATENATE('906MP'!J2596," - ",'906MP'!P2596,", ",'906MP'!E2596),"nincs megjegyzés")</f>
        <v>nincs megjegyzés</v>
      </c>
      <c r="V2896" t="str">
        <f t="shared" si="855"/>
        <v>0P0</v>
      </c>
      <c r="W2896" t="str">
        <f t="shared" si="856"/>
        <v>0P0</v>
      </c>
      <c r="X2896" t="str">
        <f t="shared" si="857"/>
        <v>P0</v>
      </c>
      <c r="Y2896" t="str">
        <f t="shared" si="858"/>
        <v>00</v>
      </c>
      <c r="Z2896" t="str">
        <f t="shared" si="869"/>
        <v>00</v>
      </c>
      <c r="AA2896" t="str">
        <f t="shared" si="859"/>
        <v>00</v>
      </c>
      <c r="AB2896" t="str">
        <f t="shared" si="860"/>
        <v>00</v>
      </c>
      <c r="AC2896" t="str">
        <f t="shared" si="861"/>
        <v>0P0</v>
      </c>
      <c r="AD2896" t="str">
        <f t="shared" si="862"/>
        <v>P00</v>
      </c>
      <c r="AE2896" t="str">
        <f t="shared" si="863"/>
        <v>0P0</v>
      </c>
      <c r="AF2896" t="str">
        <f t="shared" si="864"/>
        <v>P00</v>
      </c>
      <c r="AG2896" t="str">
        <f t="shared" si="870"/>
        <v>0P00</v>
      </c>
      <c r="AH2896" t="str">
        <f t="shared" si="871"/>
        <v>P000</v>
      </c>
      <c r="AI2896" t="str">
        <f t="shared" si="872"/>
        <v>0P00</v>
      </c>
      <c r="AJ2896" t="str">
        <f t="shared" si="873"/>
        <v>P000</v>
      </c>
    </row>
    <row r="2897" spans="1:36" x14ac:dyDescent="0.25">
      <c r="A2897" s="325" t="str">
        <f>CONCATENATE("P",'906MP'!M2597)</f>
        <v>P</v>
      </c>
      <c r="B2897">
        <f>'906MP'!H2597</f>
        <v>0</v>
      </c>
      <c r="C2897">
        <f>'906MP'!J2597</f>
        <v>0</v>
      </c>
      <c r="D2897">
        <f>'906MP'!P2597</f>
        <v>0</v>
      </c>
      <c r="E2897">
        <f>'906MP'!X2597</f>
        <v>0</v>
      </c>
      <c r="F2897" t="str">
        <f t="shared" si="865"/>
        <v>0</v>
      </c>
      <c r="G2897" t="str">
        <f t="shared" si="866"/>
        <v>0</v>
      </c>
      <c r="H2897">
        <f>'906MP'!Y2597</f>
        <v>0</v>
      </c>
      <c r="I2897">
        <f>'906MP'!AK2597</f>
        <v>0</v>
      </c>
      <c r="J2897">
        <f>'906MP'!T2597</f>
        <v>0</v>
      </c>
      <c r="K2897">
        <f>'906MP'!AJ2597</f>
        <v>0</v>
      </c>
      <c r="L2897">
        <f>'906MP'!U2597</f>
        <v>0</v>
      </c>
      <c r="M2897" s="322" t="str">
        <f>IFERROR(VLOOKUP(A2897,PAR!$D$3:$E$53,2,FALSE),"nincs szervezet")</f>
        <v>nincs szervezet</v>
      </c>
      <c r="N2897" s="322" t="str">
        <f>VLOOKUP(F2897,PAR!$R$3:$S$5,2,FALSE)</f>
        <v>3 - egyik sem</v>
      </c>
      <c r="O2897" t="str">
        <f>IFERROR(VLOOKUP(J2897,PAR!$O$3:$P$5,2,FALSE),"nincs feladat")</f>
        <v>nincs feladat</v>
      </c>
      <c r="P2897" t="str">
        <f>IFERROR(VLOOKUP(G2897,PAR!$J$2:$M$19,4),"nincs rovat")</f>
        <v>nincs rovat</v>
      </c>
      <c r="Q2897" t="str">
        <f>IF(H2897&gt;0,VLOOKUP(H2897,PAR!$AA$3:$AC$187,3,FALSE),"nincs főkönyvi számla")</f>
        <v>nincs főkönyvi számla</v>
      </c>
      <c r="R2897" t="str">
        <f>IFERROR(VLOOKUP(K2897,PAR!$V$3:$X$438,3,FALSE),"000000 - Nincs COFOG")</f>
        <v>000000 - Nincs COFOG</v>
      </c>
      <c r="S2897">
        <f t="shared" si="867"/>
        <v>0</v>
      </c>
      <c r="T2897">
        <f t="shared" si="868"/>
        <v>0</v>
      </c>
      <c r="U2897" t="str">
        <f>IF('906MP'!J2597&gt;0,CONCATENATE('906MP'!J2597," - ",'906MP'!P2597,", ",'906MP'!E2597),"nincs megjegyzés")</f>
        <v>nincs megjegyzés</v>
      </c>
      <c r="V2897" t="str">
        <f t="shared" si="855"/>
        <v>0P0</v>
      </c>
      <c r="W2897" t="str">
        <f t="shared" si="856"/>
        <v>0P0</v>
      </c>
      <c r="X2897" t="str">
        <f t="shared" si="857"/>
        <v>P0</v>
      </c>
      <c r="Y2897" t="str">
        <f t="shared" si="858"/>
        <v>00</v>
      </c>
      <c r="Z2897" t="str">
        <f t="shared" si="869"/>
        <v>00</v>
      </c>
      <c r="AA2897" t="str">
        <f t="shared" si="859"/>
        <v>00</v>
      </c>
      <c r="AB2897" t="str">
        <f t="shared" si="860"/>
        <v>00</v>
      </c>
      <c r="AC2897" t="str">
        <f t="shared" si="861"/>
        <v>0P0</v>
      </c>
      <c r="AD2897" t="str">
        <f t="shared" si="862"/>
        <v>P00</v>
      </c>
      <c r="AE2897" t="str">
        <f t="shared" si="863"/>
        <v>0P0</v>
      </c>
      <c r="AF2897" t="str">
        <f t="shared" si="864"/>
        <v>P00</v>
      </c>
      <c r="AG2897" t="str">
        <f t="shared" si="870"/>
        <v>0P00</v>
      </c>
      <c r="AH2897" t="str">
        <f t="shared" si="871"/>
        <v>P000</v>
      </c>
      <c r="AI2897" t="str">
        <f t="shared" si="872"/>
        <v>0P00</v>
      </c>
      <c r="AJ2897" t="str">
        <f t="shared" si="873"/>
        <v>P000</v>
      </c>
    </row>
    <row r="2898" spans="1:36" x14ac:dyDescent="0.25">
      <c r="A2898" s="325" t="str">
        <f>CONCATENATE("P",'906MP'!M2598)</f>
        <v>P</v>
      </c>
      <c r="B2898">
        <f>'906MP'!H2598</f>
        <v>0</v>
      </c>
      <c r="C2898">
        <f>'906MP'!J2598</f>
        <v>0</v>
      </c>
      <c r="D2898">
        <f>'906MP'!P2598</f>
        <v>0</v>
      </c>
      <c r="E2898">
        <f>'906MP'!X2598</f>
        <v>0</v>
      </c>
      <c r="F2898" t="str">
        <f t="shared" si="865"/>
        <v>0</v>
      </c>
      <c r="G2898" t="str">
        <f t="shared" si="866"/>
        <v>0</v>
      </c>
      <c r="H2898">
        <f>'906MP'!Y2598</f>
        <v>0</v>
      </c>
      <c r="I2898">
        <f>'906MP'!AK2598</f>
        <v>0</v>
      </c>
      <c r="J2898">
        <f>'906MP'!T2598</f>
        <v>0</v>
      </c>
      <c r="K2898">
        <f>'906MP'!AJ2598</f>
        <v>0</v>
      </c>
      <c r="L2898">
        <f>'906MP'!U2598</f>
        <v>0</v>
      </c>
      <c r="M2898" s="322" t="str">
        <f>IFERROR(VLOOKUP(A2898,PAR!$D$3:$E$53,2,FALSE),"nincs szervezet")</f>
        <v>nincs szervezet</v>
      </c>
      <c r="N2898" s="322" t="str">
        <f>VLOOKUP(F2898,PAR!$R$3:$S$5,2,FALSE)</f>
        <v>3 - egyik sem</v>
      </c>
      <c r="O2898" t="str">
        <f>IFERROR(VLOOKUP(J2898,PAR!$O$3:$P$5,2,FALSE),"nincs feladat")</f>
        <v>nincs feladat</v>
      </c>
      <c r="P2898" t="str">
        <f>IFERROR(VLOOKUP(G2898,PAR!$J$2:$M$19,4),"nincs rovat")</f>
        <v>nincs rovat</v>
      </c>
      <c r="Q2898" t="str">
        <f>IF(H2898&gt;0,VLOOKUP(H2898,PAR!$AA$3:$AC$187,3,FALSE),"nincs főkönyvi számla")</f>
        <v>nincs főkönyvi számla</v>
      </c>
      <c r="R2898" t="str">
        <f>IFERROR(VLOOKUP(K2898,PAR!$V$3:$X$438,3,FALSE),"000000 - Nincs COFOG")</f>
        <v>000000 - Nincs COFOG</v>
      </c>
      <c r="S2898">
        <f t="shared" si="867"/>
        <v>0</v>
      </c>
      <c r="T2898">
        <f t="shared" si="868"/>
        <v>0</v>
      </c>
      <c r="U2898" t="str">
        <f>IF('906MP'!J2598&gt;0,CONCATENATE('906MP'!J2598," - ",'906MP'!P2598,", ",'906MP'!E2598),"nincs megjegyzés")</f>
        <v>nincs megjegyzés</v>
      </c>
      <c r="V2898" t="str">
        <f t="shared" si="855"/>
        <v>0P0</v>
      </c>
      <c r="W2898" t="str">
        <f t="shared" si="856"/>
        <v>0P0</v>
      </c>
      <c r="X2898" t="str">
        <f t="shared" si="857"/>
        <v>P0</v>
      </c>
      <c r="Y2898" t="str">
        <f t="shared" si="858"/>
        <v>00</v>
      </c>
      <c r="Z2898" t="str">
        <f t="shared" si="869"/>
        <v>00</v>
      </c>
      <c r="AA2898" t="str">
        <f t="shared" si="859"/>
        <v>00</v>
      </c>
      <c r="AB2898" t="str">
        <f t="shared" si="860"/>
        <v>00</v>
      </c>
      <c r="AC2898" t="str">
        <f t="shared" si="861"/>
        <v>0P0</v>
      </c>
      <c r="AD2898" t="str">
        <f t="shared" si="862"/>
        <v>P00</v>
      </c>
      <c r="AE2898" t="str">
        <f t="shared" si="863"/>
        <v>0P0</v>
      </c>
      <c r="AF2898" t="str">
        <f t="shared" si="864"/>
        <v>P00</v>
      </c>
      <c r="AG2898" t="str">
        <f t="shared" si="870"/>
        <v>0P00</v>
      </c>
      <c r="AH2898" t="str">
        <f t="shared" si="871"/>
        <v>P000</v>
      </c>
      <c r="AI2898" t="str">
        <f t="shared" si="872"/>
        <v>0P00</v>
      </c>
      <c r="AJ2898" t="str">
        <f t="shared" si="873"/>
        <v>P000</v>
      </c>
    </row>
    <row r="2899" spans="1:36" x14ac:dyDescent="0.25">
      <c r="A2899" s="325" t="str">
        <f>CONCATENATE("P",'906MP'!M2599)</f>
        <v>P</v>
      </c>
      <c r="B2899">
        <f>'906MP'!H2599</f>
        <v>0</v>
      </c>
      <c r="C2899">
        <f>'906MP'!J2599</f>
        <v>0</v>
      </c>
      <c r="D2899">
        <f>'906MP'!P2599</f>
        <v>0</v>
      </c>
      <c r="E2899">
        <f>'906MP'!X2599</f>
        <v>0</v>
      </c>
      <c r="F2899" t="str">
        <f t="shared" si="865"/>
        <v>0</v>
      </c>
      <c r="G2899" t="str">
        <f t="shared" si="866"/>
        <v>0</v>
      </c>
      <c r="H2899">
        <f>'906MP'!Y2599</f>
        <v>0</v>
      </c>
      <c r="I2899">
        <f>'906MP'!AK2599</f>
        <v>0</v>
      </c>
      <c r="J2899">
        <f>'906MP'!T2599</f>
        <v>0</v>
      </c>
      <c r="K2899">
        <f>'906MP'!AJ2599</f>
        <v>0</v>
      </c>
      <c r="L2899">
        <f>'906MP'!U2599</f>
        <v>0</v>
      </c>
      <c r="M2899" s="322" t="str">
        <f>IFERROR(VLOOKUP(A2899,PAR!$D$3:$E$53,2,FALSE),"nincs szervezet")</f>
        <v>nincs szervezet</v>
      </c>
      <c r="N2899" s="322" t="str">
        <f>VLOOKUP(F2899,PAR!$R$3:$S$5,2,FALSE)</f>
        <v>3 - egyik sem</v>
      </c>
      <c r="O2899" t="str">
        <f>IFERROR(VLOOKUP(J2899,PAR!$O$3:$P$5,2,FALSE),"nincs feladat")</f>
        <v>nincs feladat</v>
      </c>
      <c r="P2899" t="str">
        <f>IFERROR(VLOOKUP(G2899,PAR!$J$2:$M$19,4),"nincs rovat")</f>
        <v>nincs rovat</v>
      </c>
      <c r="Q2899" t="str">
        <f>IF(H2899&gt;0,VLOOKUP(H2899,PAR!$AA$3:$AC$187,3,FALSE),"nincs főkönyvi számla")</f>
        <v>nincs főkönyvi számla</v>
      </c>
      <c r="R2899" t="str">
        <f>IFERROR(VLOOKUP(K2899,PAR!$V$3:$X$438,3,FALSE),"000000 - Nincs COFOG")</f>
        <v>000000 - Nincs COFOG</v>
      </c>
      <c r="S2899">
        <f t="shared" si="867"/>
        <v>0</v>
      </c>
      <c r="T2899">
        <f t="shared" si="868"/>
        <v>0</v>
      </c>
      <c r="U2899" t="str">
        <f>IF('906MP'!J2599&gt;0,CONCATENATE('906MP'!J2599," - ",'906MP'!P2599,", ",'906MP'!E2599),"nincs megjegyzés")</f>
        <v>nincs megjegyzés</v>
      </c>
      <c r="V2899" t="str">
        <f t="shared" si="855"/>
        <v>0P0</v>
      </c>
      <c r="W2899" t="str">
        <f t="shared" si="856"/>
        <v>0P0</v>
      </c>
      <c r="X2899" t="str">
        <f t="shared" si="857"/>
        <v>P0</v>
      </c>
      <c r="Y2899" t="str">
        <f t="shared" si="858"/>
        <v>00</v>
      </c>
      <c r="Z2899" t="str">
        <f t="shared" si="869"/>
        <v>00</v>
      </c>
      <c r="AA2899" t="str">
        <f t="shared" si="859"/>
        <v>00</v>
      </c>
      <c r="AB2899" t="str">
        <f t="shared" si="860"/>
        <v>00</v>
      </c>
      <c r="AC2899" t="str">
        <f t="shared" si="861"/>
        <v>0P0</v>
      </c>
      <c r="AD2899" t="str">
        <f t="shared" si="862"/>
        <v>P00</v>
      </c>
      <c r="AE2899" t="str">
        <f t="shared" si="863"/>
        <v>0P0</v>
      </c>
      <c r="AF2899" t="str">
        <f t="shared" si="864"/>
        <v>P00</v>
      </c>
      <c r="AG2899" t="str">
        <f t="shared" si="870"/>
        <v>0P00</v>
      </c>
      <c r="AH2899" t="str">
        <f t="shared" si="871"/>
        <v>P000</v>
      </c>
      <c r="AI2899" t="str">
        <f t="shared" si="872"/>
        <v>0P00</v>
      </c>
      <c r="AJ2899" t="str">
        <f t="shared" si="873"/>
        <v>P000</v>
      </c>
    </row>
    <row r="2900" spans="1:36" x14ac:dyDescent="0.25">
      <c r="A2900" s="325" t="str">
        <f>CONCATENATE("P",'906MP'!M2600)</f>
        <v>P</v>
      </c>
      <c r="B2900">
        <f>'906MP'!H2600</f>
        <v>0</v>
      </c>
      <c r="C2900">
        <f>'906MP'!J2600</f>
        <v>0</v>
      </c>
      <c r="D2900">
        <f>'906MP'!P2600</f>
        <v>0</v>
      </c>
      <c r="E2900">
        <f>'906MP'!X2600</f>
        <v>0</v>
      </c>
      <c r="F2900" t="str">
        <f t="shared" si="865"/>
        <v>0</v>
      </c>
      <c r="G2900" t="str">
        <f t="shared" si="866"/>
        <v>0</v>
      </c>
      <c r="H2900">
        <f>'906MP'!Y2600</f>
        <v>0</v>
      </c>
      <c r="I2900">
        <f>'906MP'!AK2600</f>
        <v>0</v>
      </c>
      <c r="J2900">
        <f>'906MP'!T2600</f>
        <v>0</v>
      </c>
      <c r="K2900">
        <f>'906MP'!AJ2600</f>
        <v>0</v>
      </c>
      <c r="L2900">
        <f>'906MP'!U2600</f>
        <v>0</v>
      </c>
      <c r="M2900" s="322" t="str">
        <f>IFERROR(VLOOKUP(A2900,PAR!$D$3:$E$53,2,FALSE),"nincs szervezet")</f>
        <v>nincs szervezet</v>
      </c>
      <c r="N2900" s="322" t="str">
        <f>VLOOKUP(F2900,PAR!$R$3:$S$5,2,FALSE)</f>
        <v>3 - egyik sem</v>
      </c>
      <c r="O2900" t="str">
        <f>IFERROR(VLOOKUP(J2900,PAR!$O$3:$P$5,2,FALSE),"nincs feladat")</f>
        <v>nincs feladat</v>
      </c>
      <c r="P2900" t="str">
        <f>IFERROR(VLOOKUP(G2900,PAR!$J$2:$M$19,4),"nincs rovat")</f>
        <v>nincs rovat</v>
      </c>
      <c r="Q2900" t="str">
        <f>IF(H2900&gt;0,VLOOKUP(H2900,PAR!$AA$3:$AC$187,3,FALSE),"nincs főkönyvi számla")</f>
        <v>nincs főkönyvi számla</v>
      </c>
      <c r="R2900" t="str">
        <f>IFERROR(VLOOKUP(K2900,PAR!$V$3:$X$438,3,FALSE),"000000 - Nincs COFOG")</f>
        <v>000000 - Nincs COFOG</v>
      </c>
      <c r="S2900">
        <f t="shared" si="867"/>
        <v>0</v>
      </c>
      <c r="T2900">
        <f t="shared" si="868"/>
        <v>0</v>
      </c>
      <c r="U2900" t="str">
        <f>IF('906MP'!J2600&gt;0,CONCATENATE('906MP'!J2600," - ",'906MP'!P2600,", ",'906MP'!E2600),"nincs megjegyzés")</f>
        <v>nincs megjegyzés</v>
      </c>
      <c r="V2900" t="str">
        <f t="shared" si="855"/>
        <v>0P0</v>
      </c>
      <c r="W2900" t="str">
        <f t="shared" si="856"/>
        <v>0P0</v>
      </c>
      <c r="X2900" t="str">
        <f t="shared" si="857"/>
        <v>P0</v>
      </c>
      <c r="Y2900" t="str">
        <f t="shared" si="858"/>
        <v>00</v>
      </c>
      <c r="Z2900" t="str">
        <f t="shared" si="869"/>
        <v>00</v>
      </c>
      <c r="AA2900" t="str">
        <f t="shared" si="859"/>
        <v>00</v>
      </c>
      <c r="AB2900" t="str">
        <f t="shared" si="860"/>
        <v>00</v>
      </c>
      <c r="AC2900" t="str">
        <f t="shared" si="861"/>
        <v>0P0</v>
      </c>
      <c r="AD2900" t="str">
        <f t="shared" si="862"/>
        <v>P00</v>
      </c>
      <c r="AE2900" t="str">
        <f t="shared" si="863"/>
        <v>0P0</v>
      </c>
      <c r="AF2900" t="str">
        <f t="shared" si="864"/>
        <v>P00</v>
      </c>
      <c r="AG2900" t="str">
        <f t="shared" si="870"/>
        <v>0P00</v>
      </c>
      <c r="AH2900" t="str">
        <f t="shared" si="871"/>
        <v>P000</v>
      </c>
      <c r="AI2900" t="str">
        <f t="shared" si="872"/>
        <v>0P00</v>
      </c>
      <c r="AJ2900" t="str">
        <f t="shared" si="873"/>
        <v>P000</v>
      </c>
    </row>
    <row r="2901" spans="1:36" x14ac:dyDescent="0.25">
      <c r="A2901" s="325" t="str">
        <f>CONCATENATE("P",'906MP'!M2601)</f>
        <v>P</v>
      </c>
      <c r="B2901">
        <f>'906MP'!H2601</f>
        <v>0</v>
      </c>
      <c r="C2901">
        <f>'906MP'!J2601</f>
        <v>0</v>
      </c>
      <c r="D2901">
        <f>'906MP'!P2601</f>
        <v>0</v>
      </c>
      <c r="E2901">
        <f>'906MP'!X2601</f>
        <v>0</v>
      </c>
      <c r="F2901" t="str">
        <f t="shared" si="865"/>
        <v>0</v>
      </c>
      <c r="G2901" t="str">
        <f t="shared" si="866"/>
        <v>0</v>
      </c>
      <c r="H2901">
        <f>'906MP'!Y2601</f>
        <v>0</v>
      </c>
      <c r="I2901">
        <f>'906MP'!AK2601</f>
        <v>0</v>
      </c>
      <c r="J2901">
        <f>'906MP'!T2601</f>
        <v>0</v>
      </c>
      <c r="K2901">
        <f>'906MP'!AJ2601</f>
        <v>0</v>
      </c>
      <c r="L2901">
        <f>'906MP'!U2601</f>
        <v>0</v>
      </c>
      <c r="M2901" s="322" t="str">
        <f>IFERROR(VLOOKUP(A2901,PAR!$D$3:$E$53,2,FALSE),"nincs szervezet")</f>
        <v>nincs szervezet</v>
      </c>
      <c r="N2901" s="322" t="str">
        <f>VLOOKUP(F2901,PAR!$R$3:$S$5,2,FALSE)</f>
        <v>3 - egyik sem</v>
      </c>
      <c r="O2901" t="str">
        <f>IFERROR(VLOOKUP(J2901,PAR!$O$3:$P$5,2,FALSE),"nincs feladat")</f>
        <v>nincs feladat</v>
      </c>
      <c r="P2901" t="str">
        <f>IFERROR(VLOOKUP(G2901,PAR!$J$2:$M$19,4),"nincs rovat")</f>
        <v>nincs rovat</v>
      </c>
      <c r="Q2901" t="str">
        <f>IF(H2901&gt;0,VLOOKUP(H2901,PAR!$AA$3:$AC$187,3,FALSE),"nincs főkönyvi számla")</f>
        <v>nincs főkönyvi számla</v>
      </c>
      <c r="R2901" t="str">
        <f>IFERROR(VLOOKUP(K2901,PAR!$V$3:$X$438,3,FALSE),"000000 - Nincs COFOG")</f>
        <v>000000 - Nincs COFOG</v>
      </c>
      <c r="S2901">
        <f t="shared" si="867"/>
        <v>0</v>
      </c>
      <c r="T2901">
        <f t="shared" si="868"/>
        <v>0</v>
      </c>
      <c r="U2901" t="str">
        <f>IF('906MP'!J2601&gt;0,CONCATENATE('906MP'!J2601," - ",'906MP'!P2601,", ",'906MP'!E2601),"nincs megjegyzés")</f>
        <v>nincs megjegyzés</v>
      </c>
      <c r="V2901" t="str">
        <f t="shared" si="855"/>
        <v>0P0</v>
      </c>
      <c r="W2901" t="str">
        <f t="shared" si="856"/>
        <v>0P0</v>
      </c>
      <c r="X2901" t="str">
        <f t="shared" si="857"/>
        <v>P0</v>
      </c>
      <c r="Y2901" t="str">
        <f t="shared" si="858"/>
        <v>00</v>
      </c>
      <c r="Z2901" t="str">
        <f t="shared" si="869"/>
        <v>00</v>
      </c>
      <c r="AA2901" t="str">
        <f t="shared" si="859"/>
        <v>00</v>
      </c>
      <c r="AB2901" t="str">
        <f t="shared" si="860"/>
        <v>00</v>
      </c>
      <c r="AC2901" t="str">
        <f t="shared" si="861"/>
        <v>0P0</v>
      </c>
      <c r="AD2901" t="str">
        <f t="shared" si="862"/>
        <v>P00</v>
      </c>
      <c r="AE2901" t="str">
        <f t="shared" si="863"/>
        <v>0P0</v>
      </c>
      <c r="AF2901" t="str">
        <f t="shared" si="864"/>
        <v>P00</v>
      </c>
      <c r="AG2901" t="str">
        <f t="shared" si="870"/>
        <v>0P00</v>
      </c>
      <c r="AH2901" t="str">
        <f t="shared" si="871"/>
        <v>P000</v>
      </c>
      <c r="AI2901" t="str">
        <f t="shared" si="872"/>
        <v>0P00</v>
      </c>
      <c r="AJ2901" t="str">
        <f t="shared" si="873"/>
        <v>P000</v>
      </c>
    </row>
    <row r="2902" spans="1:36" x14ac:dyDescent="0.25">
      <c r="A2902" s="325" t="str">
        <f>CONCATENATE("P",'906MP'!M2602)</f>
        <v>P</v>
      </c>
      <c r="B2902">
        <f>'906MP'!H2602</f>
        <v>0</v>
      </c>
      <c r="C2902">
        <f>'906MP'!J2602</f>
        <v>0</v>
      </c>
      <c r="D2902">
        <f>'906MP'!P2602</f>
        <v>0</v>
      </c>
      <c r="E2902">
        <f>'906MP'!X2602</f>
        <v>0</v>
      </c>
      <c r="F2902" t="str">
        <f t="shared" si="865"/>
        <v>0</v>
      </c>
      <c r="G2902" t="str">
        <f t="shared" si="866"/>
        <v>0</v>
      </c>
      <c r="H2902">
        <f>'906MP'!Y2602</f>
        <v>0</v>
      </c>
      <c r="I2902">
        <f>'906MP'!AK2602</f>
        <v>0</v>
      </c>
      <c r="J2902">
        <f>'906MP'!T2602</f>
        <v>0</v>
      </c>
      <c r="K2902">
        <f>'906MP'!AJ2602</f>
        <v>0</v>
      </c>
      <c r="L2902">
        <f>'906MP'!U2602</f>
        <v>0</v>
      </c>
      <c r="M2902" s="322" t="str">
        <f>IFERROR(VLOOKUP(A2902,PAR!$D$3:$E$53,2,FALSE),"nincs szervezet")</f>
        <v>nincs szervezet</v>
      </c>
      <c r="N2902" s="322" t="str">
        <f>VLOOKUP(F2902,PAR!$R$3:$S$5,2,FALSE)</f>
        <v>3 - egyik sem</v>
      </c>
      <c r="O2902" t="str">
        <f>IFERROR(VLOOKUP(J2902,PAR!$O$3:$P$5,2,FALSE),"nincs feladat")</f>
        <v>nincs feladat</v>
      </c>
      <c r="P2902" t="str">
        <f>IFERROR(VLOOKUP(G2902,PAR!$J$2:$M$19,4),"nincs rovat")</f>
        <v>nincs rovat</v>
      </c>
      <c r="Q2902" t="str">
        <f>IF(H2902&gt;0,VLOOKUP(H2902,PAR!$AA$3:$AC$187,3,FALSE),"nincs főkönyvi számla")</f>
        <v>nincs főkönyvi számla</v>
      </c>
      <c r="R2902" t="str">
        <f>IFERROR(VLOOKUP(K2902,PAR!$V$3:$X$438,3,FALSE),"000000 - Nincs COFOG")</f>
        <v>000000 - Nincs COFOG</v>
      </c>
      <c r="S2902">
        <f t="shared" si="867"/>
        <v>0</v>
      </c>
      <c r="T2902">
        <f t="shared" si="868"/>
        <v>0</v>
      </c>
      <c r="U2902" t="str">
        <f>IF('906MP'!J2602&gt;0,CONCATENATE('906MP'!J2602," - ",'906MP'!P2602,", ",'906MP'!E2602),"nincs megjegyzés")</f>
        <v>nincs megjegyzés</v>
      </c>
      <c r="V2902" t="str">
        <f t="shared" si="855"/>
        <v>0P0</v>
      </c>
      <c r="W2902" t="str">
        <f t="shared" si="856"/>
        <v>0P0</v>
      </c>
      <c r="X2902" t="str">
        <f t="shared" si="857"/>
        <v>P0</v>
      </c>
      <c r="Y2902" t="str">
        <f t="shared" si="858"/>
        <v>00</v>
      </c>
      <c r="Z2902" t="str">
        <f t="shared" si="869"/>
        <v>00</v>
      </c>
      <c r="AA2902" t="str">
        <f t="shared" si="859"/>
        <v>00</v>
      </c>
      <c r="AB2902" t="str">
        <f t="shared" si="860"/>
        <v>00</v>
      </c>
      <c r="AC2902" t="str">
        <f t="shared" si="861"/>
        <v>0P0</v>
      </c>
      <c r="AD2902" t="str">
        <f t="shared" si="862"/>
        <v>P00</v>
      </c>
      <c r="AE2902" t="str">
        <f t="shared" si="863"/>
        <v>0P0</v>
      </c>
      <c r="AF2902" t="str">
        <f t="shared" si="864"/>
        <v>P00</v>
      </c>
      <c r="AG2902" t="str">
        <f t="shared" si="870"/>
        <v>0P00</v>
      </c>
      <c r="AH2902" t="str">
        <f t="shared" si="871"/>
        <v>P000</v>
      </c>
      <c r="AI2902" t="str">
        <f t="shared" si="872"/>
        <v>0P00</v>
      </c>
      <c r="AJ2902" t="str">
        <f t="shared" si="873"/>
        <v>P000</v>
      </c>
    </row>
    <row r="2903" spans="1:36" x14ac:dyDescent="0.25">
      <c r="A2903" s="325" t="str">
        <f>CONCATENATE("P",'906MP'!M2603)</f>
        <v>P</v>
      </c>
      <c r="B2903">
        <f>'906MP'!H2603</f>
        <v>0</v>
      </c>
      <c r="C2903">
        <f>'906MP'!J2603</f>
        <v>0</v>
      </c>
      <c r="D2903">
        <f>'906MP'!P2603</f>
        <v>0</v>
      </c>
      <c r="E2903">
        <f>'906MP'!X2603</f>
        <v>0</v>
      </c>
      <c r="F2903" t="str">
        <f t="shared" si="865"/>
        <v>0</v>
      </c>
      <c r="G2903" t="str">
        <f t="shared" si="866"/>
        <v>0</v>
      </c>
      <c r="H2903">
        <f>'906MP'!Y2603</f>
        <v>0</v>
      </c>
      <c r="I2903">
        <f>'906MP'!AK2603</f>
        <v>0</v>
      </c>
      <c r="J2903">
        <f>'906MP'!T2603</f>
        <v>0</v>
      </c>
      <c r="K2903">
        <f>'906MP'!AJ2603</f>
        <v>0</v>
      </c>
      <c r="L2903">
        <f>'906MP'!U2603</f>
        <v>0</v>
      </c>
      <c r="M2903" s="322" t="str">
        <f>IFERROR(VLOOKUP(A2903,PAR!$D$3:$E$53,2,FALSE),"nincs szervezet")</f>
        <v>nincs szervezet</v>
      </c>
      <c r="N2903" s="322" t="str">
        <f>VLOOKUP(F2903,PAR!$R$3:$S$5,2,FALSE)</f>
        <v>3 - egyik sem</v>
      </c>
      <c r="O2903" t="str">
        <f>IFERROR(VLOOKUP(J2903,PAR!$O$3:$P$5,2,FALSE),"nincs feladat")</f>
        <v>nincs feladat</v>
      </c>
      <c r="P2903" t="str">
        <f>IFERROR(VLOOKUP(G2903,PAR!$J$2:$M$19,4),"nincs rovat")</f>
        <v>nincs rovat</v>
      </c>
      <c r="Q2903" t="str">
        <f>IF(H2903&gt;0,VLOOKUP(H2903,PAR!$AA$3:$AC$187,3,FALSE),"nincs főkönyvi számla")</f>
        <v>nincs főkönyvi számla</v>
      </c>
      <c r="R2903" t="str">
        <f>IFERROR(VLOOKUP(K2903,PAR!$V$3:$X$438,3,FALSE),"000000 - Nincs COFOG")</f>
        <v>000000 - Nincs COFOG</v>
      </c>
      <c r="S2903">
        <f t="shared" si="867"/>
        <v>0</v>
      </c>
      <c r="T2903">
        <f t="shared" si="868"/>
        <v>0</v>
      </c>
      <c r="U2903" t="str">
        <f>IF('906MP'!J2603&gt;0,CONCATENATE('906MP'!J2603," - ",'906MP'!P2603,", ",'906MP'!E2603),"nincs megjegyzés")</f>
        <v>nincs megjegyzés</v>
      </c>
      <c r="V2903" t="str">
        <f t="shared" si="855"/>
        <v>0P0</v>
      </c>
      <c r="W2903" t="str">
        <f t="shared" si="856"/>
        <v>0P0</v>
      </c>
      <c r="X2903" t="str">
        <f t="shared" si="857"/>
        <v>P0</v>
      </c>
      <c r="Y2903" t="str">
        <f t="shared" si="858"/>
        <v>00</v>
      </c>
      <c r="Z2903" t="str">
        <f t="shared" si="869"/>
        <v>00</v>
      </c>
      <c r="AA2903" t="str">
        <f t="shared" si="859"/>
        <v>00</v>
      </c>
      <c r="AB2903" t="str">
        <f t="shared" si="860"/>
        <v>00</v>
      </c>
      <c r="AC2903" t="str">
        <f t="shared" si="861"/>
        <v>0P0</v>
      </c>
      <c r="AD2903" t="str">
        <f t="shared" si="862"/>
        <v>P00</v>
      </c>
      <c r="AE2903" t="str">
        <f t="shared" si="863"/>
        <v>0P0</v>
      </c>
      <c r="AF2903" t="str">
        <f t="shared" si="864"/>
        <v>P00</v>
      </c>
      <c r="AG2903" t="str">
        <f t="shared" si="870"/>
        <v>0P00</v>
      </c>
      <c r="AH2903" t="str">
        <f t="shared" si="871"/>
        <v>P000</v>
      </c>
      <c r="AI2903" t="str">
        <f t="shared" si="872"/>
        <v>0P00</v>
      </c>
      <c r="AJ2903" t="str">
        <f t="shared" si="873"/>
        <v>P000</v>
      </c>
    </row>
    <row r="2904" spans="1:36" x14ac:dyDescent="0.25">
      <c r="A2904" s="325" t="str">
        <f>CONCATENATE("P",'906MP'!M2604)</f>
        <v>P</v>
      </c>
      <c r="B2904">
        <f>'906MP'!H2604</f>
        <v>0</v>
      </c>
      <c r="C2904">
        <f>'906MP'!J2604</f>
        <v>0</v>
      </c>
      <c r="D2904">
        <f>'906MP'!P2604</f>
        <v>0</v>
      </c>
      <c r="E2904">
        <f>'906MP'!X2604</f>
        <v>0</v>
      </c>
      <c r="F2904" t="str">
        <f t="shared" si="865"/>
        <v>0</v>
      </c>
      <c r="G2904" t="str">
        <f t="shared" si="866"/>
        <v>0</v>
      </c>
      <c r="H2904">
        <f>'906MP'!Y2604</f>
        <v>0</v>
      </c>
      <c r="I2904">
        <f>'906MP'!AK2604</f>
        <v>0</v>
      </c>
      <c r="J2904">
        <f>'906MP'!T2604</f>
        <v>0</v>
      </c>
      <c r="K2904">
        <f>'906MP'!AJ2604</f>
        <v>0</v>
      </c>
      <c r="L2904">
        <f>'906MP'!U2604</f>
        <v>0</v>
      </c>
      <c r="M2904" s="322" t="str">
        <f>IFERROR(VLOOKUP(A2904,PAR!$D$3:$E$53,2,FALSE),"nincs szervezet")</f>
        <v>nincs szervezet</v>
      </c>
      <c r="N2904" s="322" t="str">
        <f>VLOOKUP(F2904,PAR!$R$3:$S$5,2,FALSE)</f>
        <v>3 - egyik sem</v>
      </c>
      <c r="O2904" t="str">
        <f>IFERROR(VLOOKUP(J2904,PAR!$O$3:$P$5,2,FALSE),"nincs feladat")</f>
        <v>nincs feladat</v>
      </c>
      <c r="P2904" t="str">
        <f>IFERROR(VLOOKUP(G2904,PAR!$J$2:$M$19,4),"nincs rovat")</f>
        <v>nincs rovat</v>
      </c>
      <c r="Q2904" t="str">
        <f>IF(H2904&gt;0,VLOOKUP(H2904,PAR!$AA$3:$AC$187,3,FALSE),"nincs főkönyvi számla")</f>
        <v>nincs főkönyvi számla</v>
      </c>
      <c r="R2904" t="str">
        <f>IFERROR(VLOOKUP(K2904,PAR!$V$3:$X$438,3,FALSE),"000000 - Nincs COFOG")</f>
        <v>000000 - Nincs COFOG</v>
      </c>
      <c r="S2904">
        <f t="shared" si="867"/>
        <v>0</v>
      </c>
      <c r="T2904">
        <f t="shared" si="868"/>
        <v>0</v>
      </c>
      <c r="U2904" t="str">
        <f>IF('906MP'!J2604&gt;0,CONCATENATE('906MP'!J2604," - ",'906MP'!P2604,", ",'906MP'!E2604),"nincs megjegyzés")</f>
        <v>nincs megjegyzés</v>
      </c>
      <c r="V2904" t="str">
        <f t="shared" si="855"/>
        <v>0P0</v>
      </c>
      <c r="W2904" t="str">
        <f t="shared" si="856"/>
        <v>0P0</v>
      </c>
      <c r="X2904" t="str">
        <f t="shared" si="857"/>
        <v>P0</v>
      </c>
      <c r="Y2904" t="str">
        <f t="shared" si="858"/>
        <v>00</v>
      </c>
      <c r="Z2904" t="str">
        <f t="shared" si="869"/>
        <v>00</v>
      </c>
      <c r="AA2904" t="str">
        <f t="shared" si="859"/>
        <v>00</v>
      </c>
      <c r="AB2904" t="str">
        <f t="shared" si="860"/>
        <v>00</v>
      </c>
      <c r="AC2904" t="str">
        <f t="shared" si="861"/>
        <v>0P0</v>
      </c>
      <c r="AD2904" t="str">
        <f t="shared" si="862"/>
        <v>P00</v>
      </c>
      <c r="AE2904" t="str">
        <f t="shared" si="863"/>
        <v>0P0</v>
      </c>
      <c r="AF2904" t="str">
        <f t="shared" si="864"/>
        <v>P00</v>
      </c>
      <c r="AG2904" t="str">
        <f t="shared" si="870"/>
        <v>0P00</v>
      </c>
      <c r="AH2904" t="str">
        <f t="shared" si="871"/>
        <v>P000</v>
      </c>
      <c r="AI2904" t="str">
        <f t="shared" si="872"/>
        <v>0P00</v>
      </c>
      <c r="AJ2904" t="str">
        <f t="shared" si="873"/>
        <v>P000</v>
      </c>
    </row>
    <row r="2905" spans="1:36" x14ac:dyDescent="0.25">
      <c r="A2905" s="325" t="str">
        <f>CONCATENATE("P",'906MP'!M2605)</f>
        <v>P</v>
      </c>
      <c r="B2905">
        <f>'906MP'!H2605</f>
        <v>0</v>
      </c>
      <c r="C2905">
        <f>'906MP'!J2605</f>
        <v>0</v>
      </c>
      <c r="D2905">
        <f>'906MP'!P2605</f>
        <v>0</v>
      </c>
      <c r="E2905">
        <f>'906MP'!X2605</f>
        <v>0</v>
      </c>
      <c r="F2905" t="str">
        <f t="shared" si="865"/>
        <v>0</v>
      </c>
      <c r="G2905" t="str">
        <f t="shared" si="866"/>
        <v>0</v>
      </c>
      <c r="H2905">
        <f>'906MP'!Y2605</f>
        <v>0</v>
      </c>
      <c r="I2905">
        <f>'906MP'!AK2605</f>
        <v>0</v>
      </c>
      <c r="J2905">
        <f>'906MP'!T2605</f>
        <v>0</v>
      </c>
      <c r="K2905">
        <f>'906MP'!AJ2605</f>
        <v>0</v>
      </c>
      <c r="L2905">
        <f>'906MP'!U2605</f>
        <v>0</v>
      </c>
      <c r="M2905" s="322" t="str">
        <f>IFERROR(VLOOKUP(A2905,PAR!$D$3:$E$53,2,FALSE),"nincs szervezet")</f>
        <v>nincs szervezet</v>
      </c>
      <c r="N2905" s="322" t="str">
        <f>VLOOKUP(F2905,PAR!$R$3:$S$5,2,FALSE)</f>
        <v>3 - egyik sem</v>
      </c>
      <c r="O2905" t="str">
        <f>IFERROR(VLOOKUP(J2905,PAR!$O$3:$P$5,2,FALSE),"nincs feladat")</f>
        <v>nincs feladat</v>
      </c>
      <c r="P2905" t="str">
        <f>IFERROR(VLOOKUP(G2905,PAR!$J$2:$M$19,4),"nincs rovat")</f>
        <v>nincs rovat</v>
      </c>
      <c r="Q2905" t="str">
        <f>IF(H2905&gt;0,VLOOKUP(H2905,PAR!$AA$3:$AC$187,3,FALSE),"nincs főkönyvi számla")</f>
        <v>nincs főkönyvi számla</v>
      </c>
      <c r="R2905" t="str">
        <f>IFERROR(VLOOKUP(K2905,PAR!$V$3:$X$438,3,FALSE),"000000 - Nincs COFOG")</f>
        <v>000000 - Nincs COFOG</v>
      </c>
      <c r="S2905">
        <f t="shared" si="867"/>
        <v>0</v>
      </c>
      <c r="T2905">
        <f t="shared" si="868"/>
        <v>0</v>
      </c>
      <c r="U2905" t="str">
        <f>IF('906MP'!J2605&gt;0,CONCATENATE('906MP'!J2605," - ",'906MP'!P2605,", ",'906MP'!E2605),"nincs megjegyzés")</f>
        <v>nincs megjegyzés</v>
      </c>
      <c r="V2905" t="str">
        <f t="shared" si="855"/>
        <v>0P0</v>
      </c>
      <c r="W2905" t="str">
        <f t="shared" si="856"/>
        <v>0P0</v>
      </c>
      <c r="X2905" t="str">
        <f t="shared" si="857"/>
        <v>P0</v>
      </c>
      <c r="Y2905" t="str">
        <f t="shared" si="858"/>
        <v>00</v>
      </c>
      <c r="Z2905" t="str">
        <f t="shared" si="869"/>
        <v>00</v>
      </c>
      <c r="AA2905" t="str">
        <f t="shared" si="859"/>
        <v>00</v>
      </c>
      <c r="AB2905" t="str">
        <f t="shared" si="860"/>
        <v>00</v>
      </c>
      <c r="AC2905" t="str">
        <f t="shared" si="861"/>
        <v>0P0</v>
      </c>
      <c r="AD2905" t="str">
        <f t="shared" si="862"/>
        <v>P00</v>
      </c>
      <c r="AE2905" t="str">
        <f t="shared" si="863"/>
        <v>0P0</v>
      </c>
      <c r="AF2905" t="str">
        <f t="shared" si="864"/>
        <v>P00</v>
      </c>
      <c r="AG2905" t="str">
        <f t="shared" si="870"/>
        <v>0P00</v>
      </c>
      <c r="AH2905" t="str">
        <f t="shared" si="871"/>
        <v>P000</v>
      </c>
      <c r="AI2905" t="str">
        <f t="shared" si="872"/>
        <v>0P00</v>
      </c>
      <c r="AJ2905" t="str">
        <f t="shared" si="873"/>
        <v>P000</v>
      </c>
    </row>
    <row r="2906" spans="1:36" x14ac:dyDescent="0.25">
      <c r="A2906" s="325" t="str">
        <f>CONCATENATE("P",'906MP'!M2606)</f>
        <v>P</v>
      </c>
      <c r="B2906">
        <f>'906MP'!H2606</f>
        <v>0</v>
      </c>
      <c r="C2906">
        <f>'906MP'!J2606</f>
        <v>0</v>
      </c>
      <c r="D2906">
        <f>'906MP'!P2606</f>
        <v>0</v>
      </c>
      <c r="E2906">
        <f>'906MP'!X2606</f>
        <v>0</v>
      </c>
      <c r="F2906" t="str">
        <f t="shared" si="865"/>
        <v>0</v>
      </c>
      <c r="G2906" t="str">
        <f t="shared" si="866"/>
        <v>0</v>
      </c>
      <c r="H2906">
        <f>'906MP'!Y2606</f>
        <v>0</v>
      </c>
      <c r="I2906">
        <f>'906MP'!AK2606</f>
        <v>0</v>
      </c>
      <c r="J2906">
        <f>'906MP'!T2606</f>
        <v>0</v>
      </c>
      <c r="K2906">
        <f>'906MP'!AJ2606</f>
        <v>0</v>
      </c>
      <c r="L2906">
        <f>'906MP'!U2606</f>
        <v>0</v>
      </c>
      <c r="M2906" s="322" t="str">
        <f>IFERROR(VLOOKUP(A2906,PAR!$D$3:$E$53,2,FALSE),"nincs szervezet")</f>
        <v>nincs szervezet</v>
      </c>
      <c r="N2906" s="322" t="str">
        <f>VLOOKUP(F2906,PAR!$R$3:$S$5,2,FALSE)</f>
        <v>3 - egyik sem</v>
      </c>
      <c r="O2906" t="str">
        <f>IFERROR(VLOOKUP(J2906,PAR!$O$3:$P$5,2,FALSE),"nincs feladat")</f>
        <v>nincs feladat</v>
      </c>
      <c r="P2906" t="str">
        <f>IFERROR(VLOOKUP(G2906,PAR!$J$2:$M$19,4),"nincs rovat")</f>
        <v>nincs rovat</v>
      </c>
      <c r="Q2906" t="str">
        <f>IF(H2906&gt;0,VLOOKUP(H2906,PAR!$AA$3:$AC$187,3,FALSE),"nincs főkönyvi számla")</f>
        <v>nincs főkönyvi számla</v>
      </c>
      <c r="R2906" t="str">
        <f>IFERROR(VLOOKUP(K2906,PAR!$V$3:$X$438,3,FALSE),"000000 - Nincs COFOG")</f>
        <v>000000 - Nincs COFOG</v>
      </c>
      <c r="S2906">
        <f t="shared" si="867"/>
        <v>0</v>
      </c>
      <c r="T2906">
        <f t="shared" si="868"/>
        <v>0</v>
      </c>
      <c r="U2906" t="str">
        <f>IF('906MP'!J2606&gt;0,CONCATENATE('906MP'!J2606," - ",'906MP'!P2606,", ",'906MP'!E2606),"nincs megjegyzés")</f>
        <v>nincs megjegyzés</v>
      </c>
      <c r="V2906" t="str">
        <f t="shared" si="855"/>
        <v>0P0</v>
      </c>
      <c r="W2906" t="str">
        <f t="shared" si="856"/>
        <v>0P0</v>
      </c>
      <c r="X2906" t="str">
        <f t="shared" si="857"/>
        <v>P0</v>
      </c>
      <c r="Y2906" t="str">
        <f t="shared" si="858"/>
        <v>00</v>
      </c>
      <c r="Z2906" t="str">
        <f t="shared" si="869"/>
        <v>00</v>
      </c>
      <c r="AA2906" t="str">
        <f t="shared" si="859"/>
        <v>00</v>
      </c>
      <c r="AB2906" t="str">
        <f t="shared" si="860"/>
        <v>00</v>
      </c>
      <c r="AC2906" t="str">
        <f t="shared" si="861"/>
        <v>0P0</v>
      </c>
      <c r="AD2906" t="str">
        <f t="shared" si="862"/>
        <v>P00</v>
      </c>
      <c r="AE2906" t="str">
        <f t="shared" si="863"/>
        <v>0P0</v>
      </c>
      <c r="AF2906" t="str">
        <f t="shared" si="864"/>
        <v>P00</v>
      </c>
      <c r="AG2906" t="str">
        <f t="shared" si="870"/>
        <v>0P00</v>
      </c>
      <c r="AH2906" t="str">
        <f t="shared" si="871"/>
        <v>P000</v>
      </c>
      <c r="AI2906" t="str">
        <f t="shared" si="872"/>
        <v>0P00</v>
      </c>
      <c r="AJ2906" t="str">
        <f t="shared" si="873"/>
        <v>P000</v>
      </c>
    </row>
    <row r="2907" spans="1:36" x14ac:dyDescent="0.25">
      <c r="A2907" s="325" t="str">
        <f>CONCATENATE("P",'906MP'!M2607)</f>
        <v>P</v>
      </c>
      <c r="B2907">
        <f>'906MP'!H2607</f>
        <v>0</v>
      </c>
      <c r="C2907">
        <f>'906MP'!J2607</f>
        <v>0</v>
      </c>
      <c r="D2907">
        <f>'906MP'!P2607</f>
        <v>0</v>
      </c>
      <c r="E2907">
        <f>'906MP'!X2607</f>
        <v>0</v>
      </c>
      <c r="F2907" t="str">
        <f t="shared" si="865"/>
        <v>0</v>
      </c>
      <c r="G2907" t="str">
        <f t="shared" si="866"/>
        <v>0</v>
      </c>
      <c r="H2907">
        <f>'906MP'!Y2607</f>
        <v>0</v>
      </c>
      <c r="I2907">
        <f>'906MP'!AK2607</f>
        <v>0</v>
      </c>
      <c r="J2907">
        <f>'906MP'!T2607</f>
        <v>0</v>
      </c>
      <c r="K2907">
        <f>'906MP'!AJ2607</f>
        <v>0</v>
      </c>
      <c r="L2907">
        <f>'906MP'!U2607</f>
        <v>0</v>
      </c>
      <c r="M2907" s="322" t="str">
        <f>IFERROR(VLOOKUP(A2907,PAR!$D$3:$E$53,2,FALSE),"nincs szervezet")</f>
        <v>nincs szervezet</v>
      </c>
      <c r="N2907" s="322" t="str">
        <f>VLOOKUP(F2907,PAR!$R$3:$S$5,2,FALSE)</f>
        <v>3 - egyik sem</v>
      </c>
      <c r="O2907" t="str">
        <f>IFERROR(VLOOKUP(J2907,PAR!$O$3:$P$5,2,FALSE),"nincs feladat")</f>
        <v>nincs feladat</v>
      </c>
      <c r="P2907" t="str">
        <f>IFERROR(VLOOKUP(G2907,PAR!$J$2:$M$19,4),"nincs rovat")</f>
        <v>nincs rovat</v>
      </c>
      <c r="Q2907" t="str">
        <f>IF(H2907&gt;0,VLOOKUP(H2907,PAR!$AA$3:$AC$187,3,FALSE),"nincs főkönyvi számla")</f>
        <v>nincs főkönyvi számla</v>
      </c>
      <c r="R2907" t="str">
        <f>IFERROR(VLOOKUP(K2907,PAR!$V$3:$X$438,3,FALSE),"000000 - Nincs COFOG")</f>
        <v>000000 - Nincs COFOG</v>
      </c>
      <c r="S2907">
        <f t="shared" si="867"/>
        <v>0</v>
      </c>
      <c r="T2907">
        <f t="shared" si="868"/>
        <v>0</v>
      </c>
      <c r="U2907" t="str">
        <f>IF('906MP'!J2607&gt;0,CONCATENATE('906MP'!J2607," - ",'906MP'!P2607,", ",'906MP'!E2607),"nincs megjegyzés")</f>
        <v>nincs megjegyzés</v>
      </c>
      <c r="V2907" t="str">
        <f t="shared" si="855"/>
        <v>0P0</v>
      </c>
      <c r="W2907" t="str">
        <f t="shared" si="856"/>
        <v>0P0</v>
      </c>
      <c r="X2907" t="str">
        <f t="shared" si="857"/>
        <v>P0</v>
      </c>
      <c r="Y2907" t="str">
        <f t="shared" si="858"/>
        <v>00</v>
      </c>
      <c r="Z2907" t="str">
        <f t="shared" si="869"/>
        <v>00</v>
      </c>
      <c r="AA2907" t="str">
        <f t="shared" si="859"/>
        <v>00</v>
      </c>
      <c r="AB2907" t="str">
        <f t="shared" si="860"/>
        <v>00</v>
      </c>
      <c r="AC2907" t="str">
        <f t="shared" si="861"/>
        <v>0P0</v>
      </c>
      <c r="AD2907" t="str">
        <f t="shared" si="862"/>
        <v>P00</v>
      </c>
      <c r="AE2907" t="str">
        <f t="shared" si="863"/>
        <v>0P0</v>
      </c>
      <c r="AF2907" t="str">
        <f t="shared" si="864"/>
        <v>P00</v>
      </c>
      <c r="AG2907" t="str">
        <f t="shared" si="870"/>
        <v>0P00</v>
      </c>
      <c r="AH2907" t="str">
        <f t="shared" si="871"/>
        <v>P000</v>
      </c>
      <c r="AI2907" t="str">
        <f t="shared" si="872"/>
        <v>0P00</v>
      </c>
      <c r="AJ2907" t="str">
        <f t="shared" si="873"/>
        <v>P000</v>
      </c>
    </row>
    <row r="2908" spans="1:36" x14ac:dyDescent="0.25">
      <c r="A2908" s="325" t="str">
        <f>CONCATENATE("P",'906MP'!M2608)</f>
        <v>P</v>
      </c>
      <c r="B2908">
        <f>'906MP'!H2608</f>
        <v>0</v>
      </c>
      <c r="C2908">
        <f>'906MP'!J2608</f>
        <v>0</v>
      </c>
      <c r="D2908">
        <f>'906MP'!P2608</f>
        <v>0</v>
      </c>
      <c r="E2908">
        <f>'906MP'!X2608</f>
        <v>0</v>
      </c>
      <c r="F2908" t="str">
        <f t="shared" si="865"/>
        <v>0</v>
      </c>
      <c r="G2908" t="str">
        <f t="shared" si="866"/>
        <v>0</v>
      </c>
      <c r="H2908">
        <f>'906MP'!Y2608</f>
        <v>0</v>
      </c>
      <c r="I2908">
        <f>'906MP'!AK2608</f>
        <v>0</v>
      </c>
      <c r="J2908">
        <f>'906MP'!T2608</f>
        <v>0</v>
      </c>
      <c r="K2908">
        <f>'906MP'!AJ2608</f>
        <v>0</v>
      </c>
      <c r="L2908">
        <f>'906MP'!U2608</f>
        <v>0</v>
      </c>
      <c r="M2908" s="322" t="str">
        <f>IFERROR(VLOOKUP(A2908,PAR!$D$3:$E$53,2,FALSE),"nincs szervezet")</f>
        <v>nincs szervezet</v>
      </c>
      <c r="N2908" s="322" t="str">
        <f>VLOOKUP(F2908,PAR!$R$3:$S$5,2,FALSE)</f>
        <v>3 - egyik sem</v>
      </c>
      <c r="O2908" t="str">
        <f>IFERROR(VLOOKUP(J2908,PAR!$O$3:$P$5,2,FALSE),"nincs feladat")</f>
        <v>nincs feladat</v>
      </c>
      <c r="P2908" t="str">
        <f>IFERROR(VLOOKUP(G2908,PAR!$J$2:$M$19,4),"nincs rovat")</f>
        <v>nincs rovat</v>
      </c>
      <c r="Q2908" t="str">
        <f>IF(H2908&gt;0,VLOOKUP(H2908,PAR!$AA$3:$AC$187,3,FALSE),"nincs főkönyvi számla")</f>
        <v>nincs főkönyvi számla</v>
      </c>
      <c r="R2908" t="str">
        <f>IFERROR(VLOOKUP(K2908,PAR!$V$3:$X$438,3,FALSE),"000000 - Nincs COFOG")</f>
        <v>000000 - Nincs COFOG</v>
      </c>
      <c r="S2908">
        <f t="shared" si="867"/>
        <v>0</v>
      </c>
      <c r="T2908">
        <f t="shared" si="868"/>
        <v>0</v>
      </c>
      <c r="U2908" t="str">
        <f>IF('906MP'!J2608&gt;0,CONCATENATE('906MP'!J2608," - ",'906MP'!P2608,", ",'906MP'!E2608),"nincs megjegyzés")</f>
        <v>nincs megjegyzés</v>
      </c>
      <c r="V2908" t="str">
        <f t="shared" si="855"/>
        <v>0P0</v>
      </c>
      <c r="W2908" t="str">
        <f t="shared" si="856"/>
        <v>0P0</v>
      </c>
      <c r="X2908" t="str">
        <f t="shared" si="857"/>
        <v>P0</v>
      </c>
      <c r="Y2908" t="str">
        <f t="shared" si="858"/>
        <v>00</v>
      </c>
      <c r="Z2908" t="str">
        <f t="shared" si="869"/>
        <v>00</v>
      </c>
      <c r="AA2908" t="str">
        <f t="shared" si="859"/>
        <v>00</v>
      </c>
      <c r="AB2908" t="str">
        <f t="shared" si="860"/>
        <v>00</v>
      </c>
      <c r="AC2908" t="str">
        <f t="shared" si="861"/>
        <v>0P0</v>
      </c>
      <c r="AD2908" t="str">
        <f t="shared" si="862"/>
        <v>P00</v>
      </c>
      <c r="AE2908" t="str">
        <f t="shared" si="863"/>
        <v>0P0</v>
      </c>
      <c r="AF2908" t="str">
        <f t="shared" si="864"/>
        <v>P00</v>
      </c>
      <c r="AG2908" t="str">
        <f t="shared" si="870"/>
        <v>0P00</v>
      </c>
      <c r="AH2908" t="str">
        <f t="shared" si="871"/>
        <v>P000</v>
      </c>
      <c r="AI2908" t="str">
        <f t="shared" si="872"/>
        <v>0P00</v>
      </c>
      <c r="AJ2908" t="str">
        <f t="shared" si="873"/>
        <v>P000</v>
      </c>
    </row>
    <row r="2909" spans="1:36" x14ac:dyDescent="0.25">
      <c r="A2909" s="325" t="str">
        <f>CONCATENATE("P",'906MP'!M2609)</f>
        <v>P</v>
      </c>
      <c r="B2909">
        <f>'906MP'!H2609</f>
        <v>0</v>
      </c>
      <c r="C2909">
        <f>'906MP'!J2609</f>
        <v>0</v>
      </c>
      <c r="D2909">
        <f>'906MP'!P2609</f>
        <v>0</v>
      </c>
      <c r="E2909">
        <f>'906MP'!X2609</f>
        <v>0</v>
      </c>
      <c r="F2909" t="str">
        <f t="shared" si="865"/>
        <v>0</v>
      </c>
      <c r="G2909" t="str">
        <f t="shared" si="866"/>
        <v>0</v>
      </c>
      <c r="H2909">
        <f>'906MP'!Y2609</f>
        <v>0</v>
      </c>
      <c r="I2909">
        <f>'906MP'!AK2609</f>
        <v>0</v>
      </c>
      <c r="J2909">
        <f>'906MP'!T2609</f>
        <v>0</v>
      </c>
      <c r="K2909">
        <f>'906MP'!AJ2609</f>
        <v>0</v>
      </c>
      <c r="L2909">
        <f>'906MP'!U2609</f>
        <v>0</v>
      </c>
      <c r="M2909" s="322" t="str">
        <f>IFERROR(VLOOKUP(A2909,PAR!$D$3:$E$53,2,FALSE),"nincs szervezet")</f>
        <v>nincs szervezet</v>
      </c>
      <c r="N2909" s="322" t="str">
        <f>VLOOKUP(F2909,PAR!$R$3:$S$5,2,FALSE)</f>
        <v>3 - egyik sem</v>
      </c>
      <c r="O2909" t="str">
        <f>IFERROR(VLOOKUP(J2909,PAR!$O$3:$P$5,2,FALSE),"nincs feladat")</f>
        <v>nincs feladat</v>
      </c>
      <c r="P2909" t="str">
        <f>IFERROR(VLOOKUP(G2909,PAR!$J$2:$M$19,4),"nincs rovat")</f>
        <v>nincs rovat</v>
      </c>
      <c r="Q2909" t="str">
        <f>IF(H2909&gt;0,VLOOKUP(H2909,PAR!$AA$3:$AC$187,3,FALSE),"nincs főkönyvi számla")</f>
        <v>nincs főkönyvi számla</v>
      </c>
      <c r="R2909" t="str">
        <f>IFERROR(VLOOKUP(K2909,PAR!$V$3:$X$438,3,FALSE),"000000 - Nincs COFOG")</f>
        <v>000000 - Nincs COFOG</v>
      </c>
      <c r="S2909">
        <f t="shared" si="867"/>
        <v>0</v>
      </c>
      <c r="T2909">
        <f t="shared" si="868"/>
        <v>0</v>
      </c>
      <c r="U2909" t="str">
        <f>IF('906MP'!J2609&gt;0,CONCATENATE('906MP'!J2609," - ",'906MP'!P2609,", ",'906MP'!E2609),"nincs megjegyzés")</f>
        <v>nincs megjegyzés</v>
      </c>
      <c r="V2909" t="str">
        <f t="shared" si="855"/>
        <v>0P0</v>
      </c>
      <c r="W2909" t="str">
        <f t="shared" si="856"/>
        <v>0P0</v>
      </c>
      <c r="X2909" t="str">
        <f t="shared" si="857"/>
        <v>P0</v>
      </c>
      <c r="Y2909" t="str">
        <f t="shared" si="858"/>
        <v>00</v>
      </c>
      <c r="Z2909" t="str">
        <f t="shared" si="869"/>
        <v>00</v>
      </c>
      <c r="AA2909" t="str">
        <f t="shared" si="859"/>
        <v>00</v>
      </c>
      <c r="AB2909" t="str">
        <f t="shared" si="860"/>
        <v>00</v>
      </c>
      <c r="AC2909" t="str">
        <f t="shared" si="861"/>
        <v>0P0</v>
      </c>
      <c r="AD2909" t="str">
        <f t="shared" si="862"/>
        <v>P00</v>
      </c>
      <c r="AE2909" t="str">
        <f t="shared" si="863"/>
        <v>0P0</v>
      </c>
      <c r="AF2909" t="str">
        <f t="shared" si="864"/>
        <v>P00</v>
      </c>
      <c r="AG2909" t="str">
        <f t="shared" si="870"/>
        <v>0P00</v>
      </c>
      <c r="AH2909" t="str">
        <f t="shared" si="871"/>
        <v>P000</v>
      </c>
      <c r="AI2909" t="str">
        <f t="shared" si="872"/>
        <v>0P00</v>
      </c>
      <c r="AJ2909" t="str">
        <f t="shared" si="873"/>
        <v>P000</v>
      </c>
    </row>
    <row r="2910" spans="1:36" x14ac:dyDescent="0.25">
      <c r="A2910" s="325" t="str">
        <f>CONCATENATE("P",'906MP'!M2610)</f>
        <v>P</v>
      </c>
      <c r="B2910">
        <f>'906MP'!H2610</f>
        <v>0</v>
      </c>
      <c r="C2910">
        <f>'906MP'!J2610</f>
        <v>0</v>
      </c>
      <c r="D2910">
        <f>'906MP'!P2610</f>
        <v>0</v>
      </c>
      <c r="E2910">
        <f>'906MP'!X2610</f>
        <v>0</v>
      </c>
      <c r="F2910" t="str">
        <f t="shared" si="865"/>
        <v>0</v>
      </c>
      <c r="G2910" t="str">
        <f t="shared" si="866"/>
        <v>0</v>
      </c>
      <c r="H2910">
        <f>'906MP'!Y2610</f>
        <v>0</v>
      </c>
      <c r="I2910">
        <f>'906MP'!AK2610</f>
        <v>0</v>
      </c>
      <c r="J2910">
        <f>'906MP'!T2610</f>
        <v>0</v>
      </c>
      <c r="K2910">
        <f>'906MP'!AJ2610</f>
        <v>0</v>
      </c>
      <c r="L2910">
        <f>'906MP'!U2610</f>
        <v>0</v>
      </c>
      <c r="M2910" s="322" t="str">
        <f>IFERROR(VLOOKUP(A2910,PAR!$D$3:$E$53,2,FALSE),"nincs szervezet")</f>
        <v>nincs szervezet</v>
      </c>
      <c r="N2910" s="322" t="str">
        <f>VLOOKUP(F2910,PAR!$R$3:$S$5,2,FALSE)</f>
        <v>3 - egyik sem</v>
      </c>
      <c r="O2910" t="str">
        <f>IFERROR(VLOOKUP(J2910,PAR!$O$3:$P$5,2,FALSE),"nincs feladat")</f>
        <v>nincs feladat</v>
      </c>
      <c r="P2910" t="str">
        <f>IFERROR(VLOOKUP(G2910,PAR!$J$2:$M$19,4),"nincs rovat")</f>
        <v>nincs rovat</v>
      </c>
      <c r="Q2910" t="str">
        <f>IF(H2910&gt;0,VLOOKUP(H2910,PAR!$AA$3:$AC$187,3,FALSE),"nincs főkönyvi számla")</f>
        <v>nincs főkönyvi számla</v>
      </c>
      <c r="R2910" t="str">
        <f>IFERROR(VLOOKUP(K2910,PAR!$V$3:$X$438,3,FALSE),"000000 - Nincs COFOG")</f>
        <v>000000 - Nincs COFOG</v>
      </c>
      <c r="S2910">
        <f t="shared" si="867"/>
        <v>0</v>
      </c>
      <c r="T2910">
        <f t="shared" si="868"/>
        <v>0</v>
      </c>
      <c r="U2910" t="str">
        <f>IF('906MP'!J2610&gt;0,CONCATENATE('906MP'!J2610," - ",'906MP'!P2610,", ",'906MP'!E2610),"nincs megjegyzés")</f>
        <v>nincs megjegyzés</v>
      </c>
      <c r="V2910" t="str">
        <f t="shared" si="855"/>
        <v>0P0</v>
      </c>
      <c r="W2910" t="str">
        <f t="shared" si="856"/>
        <v>0P0</v>
      </c>
      <c r="X2910" t="str">
        <f t="shared" si="857"/>
        <v>P0</v>
      </c>
      <c r="Y2910" t="str">
        <f t="shared" si="858"/>
        <v>00</v>
      </c>
      <c r="Z2910" t="str">
        <f t="shared" si="869"/>
        <v>00</v>
      </c>
      <c r="AA2910" t="str">
        <f t="shared" si="859"/>
        <v>00</v>
      </c>
      <c r="AB2910" t="str">
        <f t="shared" si="860"/>
        <v>00</v>
      </c>
      <c r="AC2910" t="str">
        <f t="shared" si="861"/>
        <v>0P0</v>
      </c>
      <c r="AD2910" t="str">
        <f t="shared" si="862"/>
        <v>P00</v>
      </c>
      <c r="AE2910" t="str">
        <f t="shared" si="863"/>
        <v>0P0</v>
      </c>
      <c r="AF2910" t="str">
        <f t="shared" si="864"/>
        <v>P00</v>
      </c>
      <c r="AG2910" t="str">
        <f t="shared" si="870"/>
        <v>0P00</v>
      </c>
      <c r="AH2910" t="str">
        <f t="shared" si="871"/>
        <v>P000</v>
      </c>
      <c r="AI2910" t="str">
        <f t="shared" si="872"/>
        <v>0P00</v>
      </c>
      <c r="AJ2910" t="str">
        <f t="shared" si="873"/>
        <v>P000</v>
      </c>
    </row>
    <row r="2911" spans="1:36" x14ac:dyDescent="0.25">
      <c r="A2911" s="325" t="str">
        <f>CONCATENATE("P",'906MP'!M2611)</f>
        <v>P</v>
      </c>
      <c r="B2911">
        <f>'906MP'!H2611</f>
        <v>0</v>
      </c>
      <c r="C2911">
        <f>'906MP'!J2611</f>
        <v>0</v>
      </c>
      <c r="D2911">
        <f>'906MP'!P2611</f>
        <v>0</v>
      </c>
      <c r="E2911">
        <f>'906MP'!X2611</f>
        <v>0</v>
      </c>
      <c r="F2911" t="str">
        <f t="shared" si="865"/>
        <v>0</v>
      </c>
      <c r="G2911" t="str">
        <f t="shared" si="866"/>
        <v>0</v>
      </c>
      <c r="H2911">
        <f>'906MP'!Y2611</f>
        <v>0</v>
      </c>
      <c r="I2911">
        <f>'906MP'!AK2611</f>
        <v>0</v>
      </c>
      <c r="J2911">
        <f>'906MP'!T2611</f>
        <v>0</v>
      </c>
      <c r="K2911">
        <f>'906MP'!AJ2611</f>
        <v>0</v>
      </c>
      <c r="L2911">
        <f>'906MP'!U2611</f>
        <v>0</v>
      </c>
      <c r="M2911" s="322" t="str">
        <f>IFERROR(VLOOKUP(A2911,PAR!$D$3:$E$53,2,FALSE),"nincs szervezet")</f>
        <v>nincs szervezet</v>
      </c>
      <c r="N2911" s="322" t="str">
        <f>VLOOKUP(F2911,PAR!$R$3:$S$5,2,FALSE)</f>
        <v>3 - egyik sem</v>
      </c>
      <c r="O2911" t="str">
        <f>IFERROR(VLOOKUP(J2911,PAR!$O$3:$P$5,2,FALSE),"nincs feladat")</f>
        <v>nincs feladat</v>
      </c>
      <c r="P2911" t="str">
        <f>IFERROR(VLOOKUP(G2911,PAR!$J$2:$M$19,4),"nincs rovat")</f>
        <v>nincs rovat</v>
      </c>
      <c r="Q2911" t="str">
        <f>IF(H2911&gt;0,VLOOKUP(H2911,PAR!$AA$3:$AC$187,3,FALSE),"nincs főkönyvi számla")</f>
        <v>nincs főkönyvi számla</v>
      </c>
      <c r="R2911" t="str">
        <f>IFERROR(VLOOKUP(K2911,PAR!$V$3:$X$438,3,FALSE),"000000 - Nincs COFOG")</f>
        <v>000000 - Nincs COFOG</v>
      </c>
      <c r="S2911">
        <f t="shared" si="867"/>
        <v>0</v>
      </c>
      <c r="T2911">
        <f t="shared" si="868"/>
        <v>0</v>
      </c>
      <c r="U2911" t="str">
        <f>IF('906MP'!J2611&gt;0,CONCATENATE('906MP'!J2611," - ",'906MP'!P2611,", ",'906MP'!E2611),"nincs megjegyzés")</f>
        <v>nincs megjegyzés</v>
      </c>
      <c r="V2911" t="str">
        <f t="shared" si="855"/>
        <v>0P0</v>
      </c>
      <c r="W2911" t="str">
        <f t="shared" si="856"/>
        <v>0P0</v>
      </c>
      <c r="X2911" t="str">
        <f t="shared" si="857"/>
        <v>P0</v>
      </c>
      <c r="Y2911" t="str">
        <f t="shared" si="858"/>
        <v>00</v>
      </c>
      <c r="Z2911" t="str">
        <f t="shared" si="869"/>
        <v>00</v>
      </c>
      <c r="AA2911" t="str">
        <f t="shared" si="859"/>
        <v>00</v>
      </c>
      <c r="AB2911" t="str">
        <f t="shared" si="860"/>
        <v>00</v>
      </c>
      <c r="AC2911" t="str">
        <f t="shared" si="861"/>
        <v>0P0</v>
      </c>
      <c r="AD2911" t="str">
        <f t="shared" si="862"/>
        <v>P00</v>
      </c>
      <c r="AE2911" t="str">
        <f t="shared" si="863"/>
        <v>0P0</v>
      </c>
      <c r="AF2911" t="str">
        <f t="shared" si="864"/>
        <v>P00</v>
      </c>
      <c r="AG2911" t="str">
        <f t="shared" si="870"/>
        <v>0P00</v>
      </c>
      <c r="AH2911" t="str">
        <f t="shared" si="871"/>
        <v>P000</v>
      </c>
      <c r="AI2911" t="str">
        <f t="shared" si="872"/>
        <v>0P00</v>
      </c>
      <c r="AJ2911" t="str">
        <f t="shared" si="873"/>
        <v>P000</v>
      </c>
    </row>
    <row r="2912" spans="1:36" x14ac:dyDescent="0.25">
      <c r="A2912" s="325" t="str">
        <f>CONCATENATE("P",'906MP'!M2612)</f>
        <v>P</v>
      </c>
      <c r="B2912">
        <f>'906MP'!H2612</f>
        <v>0</v>
      </c>
      <c r="C2912">
        <f>'906MP'!J2612</f>
        <v>0</v>
      </c>
      <c r="D2912">
        <f>'906MP'!P2612</f>
        <v>0</v>
      </c>
      <c r="E2912">
        <f>'906MP'!X2612</f>
        <v>0</v>
      </c>
      <c r="F2912" t="str">
        <f t="shared" si="865"/>
        <v>0</v>
      </c>
      <c r="G2912" t="str">
        <f t="shared" si="866"/>
        <v>0</v>
      </c>
      <c r="H2912">
        <f>'906MP'!Y2612</f>
        <v>0</v>
      </c>
      <c r="I2912">
        <f>'906MP'!AK2612</f>
        <v>0</v>
      </c>
      <c r="J2912">
        <f>'906MP'!T2612</f>
        <v>0</v>
      </c>
      <c r="K2912">
        <f>'906MP'!AJ2612</f>
        <v>0</v>
      </c>
      <c r="L2912">
        <f>'906MP'!U2612</f>
        <v>0</v>
      </c>
      <c r="M2912" s="322" t="str">
        <f>IFERROR(VLOOKUP(A2912,PAR!$D$3:$E$53,2,FALSE),"nincs szervezet")</f>
        <v>nincs szervezet</v>
      </c>
      <c r="N2912" s="322" t="str">
        <f>VLOOKUP(F2912,PAR!$R$3:$S$5,2,FALSE)</f>
        <v>3 - egyik sem</v>
      </c>
      <c r="O2912" t="str">
        <f>IFERROR(VLOOKUP(J2912,PAR!$O$3:$P$5,2,FALSE),"nincs feladat")</f>
        <v>nincs feladat</v>
      </c>
      <c r="P2912" t="str">
        <f>IFERROR(VLOOKUP(G2912,PAR!$J$2:$M$19,4),"nincs rovat")</f>
        <v>nincs rovat</v>
      </c>
      <c r="Q2912" t="str">
        <f>IF(H2912&gt;0,VLOOKUP(H2912,PAR!$AA$3:$AC$187,3,FALSE),"nincs főkönyvi számla")</f>
        <v>nincs főkönyvi számla</v>
      </c>
      <c r="R2912" t="str">
        <f>IFERROR(VLOOKUP(K2912,PAR!$V$3:$X$438,3,FALSE),"000000 - Nincs COFOG")</f>
        <v>000000 - Nincs COFOG</v>
      </c>
      <c r="S2912">
        <f t="shared" si="867"/>
        <v>0</v>
      </c>
      <c r="T2912">
        <f t="shared" si="868"/>
        <v>0</v>
      </c>
      <c r="U2912" t="str">
        <f>IF('906MP'!J2612&gt;0,CONCATENATE('906MP'!J2612," - ",'906MP'!P2612,", ",'906MP'!E2612),"nincs megjegyzés")</f>
        <v>nincs megjegyzés</v>
      </c>
      <c r="V2912" t="str">
        <f t="shared" si="855"/>
        <v>0P0</v>
      </c>
      <c r="W2912" t="str">
        <f t="shared" si="856"/>
        <v>0P0</v>
      </c>
      <c r="X2912" t="str">
        <f t="shared" si="857"/>
        <v>P0</v>
      </c>
      <c r="Y2912" t="str">
        <f t="shared" si="858"/>
        <v>00</v>
      </c>
      <c r="Z2912" t="str">
        <f t="shared" si="869"/>
        <v>00</v>
      </c>
      <c r="AA2912" t="str">
        <f t="shared" si="859"/>
        <v>00</v>
      </c>
      <c r="AB2912" t="str">
        <f t="shared" si="860"/>
        <v>00</v>
      </c>
      <c r="AC2912" t="str">
        <f t="shared" si="861"/>
        <v>0P0</v>
      </c>
      <c r="AD2912" t="str">
        <f t="shared" si="862"/>
        <v>P00</v>
      </c>
      <c r="AE2912" t="str">
        <f t="shared" si="863"/>
        <v>0P0</v>
      </c>
      <c r="AF2912" t="str">
        <f t="shared" si="864"/>
        <v>P00</v>
      </c>
      <c r="AG2912" t="str">
        <f t="shared" si="870"/>
        <v>0P00</v>
      </c>
      <c r="AH2912" t="str">
        <f t="shared" si="871"/>
        <v>P000</v>
      </c>
      <c r="AI2912" t="str">
        <f t="shared" si="872"/>
        <v>0P00</v>
      </c>
      <c r="AJ2912" t="str">
        <f t="shared" si="873"/>
        <v>P000</v>
      </c>
    </row>
    <row r="2913" spans="1:36" x14ac:dyDescent="0.25">
      <c r="A2913" s="325" t="str">
        <f>CONCATENATE("P",'906MP'!M2613)</f>
        <v>P</v>
      </c>
      <c r="B2913">
        <f>'906MP'!H2613</f>
        <v>0</v>
      </c>
      <c r="C2913">
        <f>'906MP'!J2613</f>
        <v>0</v>
      </c>
      <c r="D2913">
        <f>'906MP'!P2613</f>
        <v>0</v>
      </c>
      <c r="E2913">
        <f>'906MP'!X2613</f>
        <v>0</v>
      </c>
      <c r="F2913" t="str">
        <f t="shared" si="865"/>
        <v>0</v>
      </c>
      <c r="G2913" t="str">
        <f t="shared" si="866"/>
        <v>0</v>
      </c>
      <c r="H2913">
        <f>'906MP'!Y2613</f>
        <v>0</v>
      </c>
      <c r="I2913">
        <f>'906MP'!AK2613</f>
        <v>0</v>
      </c>
      <c r="J2913">
        <f>'906MP'!T2613</f>
        <v>0</v>
      </c>
      <c r="K2913">
        <f>'906MP'!AJ2613</f>
        <v>0</v>
      </c>
      <c r="L2913">
        <f>'906MP'!U2613</f>
        <v>0</v>
      </c>
      <c r="M2913" s="322" t="str">
        <f>IFERROR(VLOOKUP(A2913,PAR!$D$3:$E$53,2,FALSE),"nincs szervezet")</f>
        <v>nincs szervezet</v>
      </c>
      <c r="N2913" s="322" t="str">
        <f>VLOOKUP(F2913,PAR!$R$3:$S$5,2,FALSE)</f>
        <v>3 - egyik sem</v>
      </c>
      <c r="O2913" t="str">
        <f>IFERROR(VLOOKUP(J2913,PAR!$O$3:$P$5,2,FALSE),"nincs feladat")</f>
        <v>nincs feladat</v>
      </c>
      <c r="P2913" t="str">
        <f>IFERROR(VLOOKUP(G2913,PAR!$J$2:$M$19,4),"nincs rovat")</f>
        <v>nincs rovat</v>
      </c>
      <c r="Q2913" t="str">
        <f>IF(H2913&gt;0,VLOOKUP(H2913,PAR!$AA$3:$AC$187,3,FALSE),"nincs főkönyvi számla")</f>
        <v>nincs főkönyvi számla</v>
      </c>
      <c r="R2913" t="str">
        <f>IFERROR(VLOOKUP(K2913,PAR!$V$3:$X$438,3,FALSE),"000000 - Nincs COFOG")</f>
        <v>000000 - Nincs COFOG</v>
      </c>
      <c r="S2913">
        <f t="shared" si="867"/>
        <v>0</v>
      </c>
      <c r="T2913">
        <f t="shared" si="868"/>
        <v>0</v>
      </c>
      <c r="U2913" t="str">
        <f>IF('906MP'!J2613&gt;0,CONCATENATE('906MP'!J2613," - ",'906MP'!P2613,", ",'906MP'!E2613),"nincs megjegyzés")</f>
        <v>nincs megjegyzés</v>
      </c>
      <c r="V2913" t="str">
        <f t="shared" si="855"/>
        <v>0P0</v>
      </c>
      <c r="W2913" t="str">
        <f t="shared" si="856"/>
        <v>0P0</v>
      </c>
      <c r="X2913" t="str">
        <f t="shared" si="857"/>
        <v>P0</v>
      </c>
      <c r="Y2913" t="str">
        <f t="shared" si="858"/>
        <v>00</v>
      </c>
      <c r="Z2913" t="str">
        <f t="shared" si="869"/>
        <v>00</v>
      </c>
      <c r="AA2913" t="str">
        <f t="shared" si="859"/>
        <v>00</v>
      </c>
      <c r="AB2913" t="str">
        <f t="shared" si="860"/>
        <v>00</v>
      </c>
      <c r="AC2913" t="str">
        <f t="shared" si="861"/>
        <v>0P0</v>
      </c>
      <c r="AD2913" t="str">
        <f t="shared" si="862"/>
        <v>P00</v>
      </c>
      <c r="AE2913" t="str">
        <f t="shared" si="863"/>
        <v>0P0</v>
      </c>
      <c r="AF2913" t="str">
        <f t="shared" si="864"/>
        <v>P00</v>
      </c>
      <c r="AG2913" t="str">
        <f t="shared" si="870"/>
        <v>0P00</v>
      </c>
      <c r="AH2913" t="str">
        <f t="shared" si="871"/>
        <v>P000</v>
      </c>
      <c r="AI2913" t="str">
        <f t="shared" si="872"/>
        <v>0P00</v>
      </c>
      <c r="AJ2913" t="str">
        <f t="shared" si="873"/>
        <v>P000</v>
      </c>
    </row>
    <row r="2914" spans="1:36" x14ac:dyDescent="0.25">
      <c r="A2914" s="325" t="str">
        <f>CONCATENATE("P",'906MP'!M2614)</f>
        <v>P</v>
      </c>
      <c r="B2914">
        <f>'906MP'!H2614</f>
        <v>0</v>
      </c>
      <c r="C2914">
        <f>'906MP'!J2614</f>
        <v>0</v>
      </c>
      <c r="D2914">
        <f>'906MP'!P2614</f>
        <v>0</v>
      </c>
      <c r="E2914">
        <f>'906MP'!X2614</f>
        <v>0</v>
      </c>
      <c r="F2914" t="str">
        <f t="shared" si="865"/>
        <v>0</v>
      </c>
      <c r="G2914" t="str">
        <f t="shared" si="866"/>
        <v>0</v>
      </c>
      <c r="H2914">
        <f>'906MP'!Y2614</f>
        <v>0</v>
      </c>
      <c r="I2914">
        <f>'906MP'!AK2614</f>
        <v>0</v>
      </c>
      <c r="J2914">
        <f>'906MP'!T2614</f>
        <v>0</v>
      </c>
      <c r="K2914">
        <f>'906MP'!AJ2614</f>
        <v>0</v>
      </c>
      <c r="L2914">
        <f>'906MP'!U2614</f>
        <v>0</v>
      </c>
      <c r="M2914" s="322" t="str">
        <f>IFERROR(VLOOKUP(A2914,PAR!$D$3:$E$53,2,FALSE),"nincs szervezet")</f>
        <v>nincs szervezet</v>
      </c>
      <c r="N2914" s="322" t="str">
        <f>VLOOKUP(F2914,PAR!$R$3:$S$5,2,FALSE)</f>
        <v>3 - egyik sem</v>
      </c>
      <c r="O2914" t="str">
        <f>IFERROR(VLOOKUP(J2914,PAR!$O$3:$P$5,2,FALSE),"nincs feladat")</f>
        <v>nincs feladat</v>
      </c>
      <c r="P2914" t="str">
        <f>IFERROR(VLOOKUP(G2914,PAR!$J$2:$M$19,4),"nincs rovat")</f>
        <v>nincs rovat</v>
      </c>
      <c r="Q2914" t="str">
        <f>IF(H2914&gt;0,VLOOKUP(H2914,PAR!$AA$3:$AC$187,3,FALSE),"nincs főkönyvi számla")</f>
        <v>nincs főkönyvi számla</v>
      </c>
      <c r="R2914" t="str">
        <f>IFERROR(VLOOKUP(K2914,PAR!$V$3:$X$438,3,FALSE),"000000 - Nincs COFOG")</f>
        <v>000000 - Nincs COFOG</v>
      </c>
      <c r="S2914">
        <f t="shared" si="867"/>
        <v>0</v>
      </c>
      <c r="T2914">
        <f t="shared" si="868"/>
        <v>0</v>
      </c>
      <c r="U2914" t="str">
        <f>IF('906MP'!J2614&gt;0,CONCATENATE('906MP'!J2614," - ",'906MP'!P2614,", ",'906MP'!E2614),"nincs megjegyzés")</f>
        <v>nincs megjegyzés</v>
      </c>
      <c r="V2914" t="str">
        <f t="shared" si="855"/>
        <v>0P0</v>
      </c>
      <c r="W2914" t="str">
        <f t="shared" si="856"/>
        <v>0P0</v>
      </c>
      <c r="X2914" t="str">
        <f t="shared" si="857"/>
        <v>P0</v>
      </c>
      <c r="Y2914" t="str">
        <f t="shared" si="858"/>
        <v>00</v>
      </c>
      <c r="Z2914" t="str">
        <f t="shared" si="869"/>
        <v>00</v>
      </c>
      <c r="AA2914" t="str">
        <f t="shared" si="859"/>
        <v>00</v>
      </c>
      <c r="AB2914" t="str">
        <f t="shared" si="860"/>
        <v>00</v>
      </c>
      <c r="AC2914" t="str">
        <f t="shared" si="861"/>
        <v>0P0</v>
      </c>
      <c r="AD2914" t="str">
        <f t="shared" si="862"/>
        <v>P00</v>
      </c>
      <c r="AE2914" t="str">
        <f t="shared" si="863"/>
        <v>0P0</v>
      </c>
      <c r="AF2914" t="str">
        <f t="shared" si="864"/>
        <v>P00</v>
      </c>
      <c r="AG2914" t="str">
        <f t="shared" si="870"/>
        <v>0P00</v>
      </c>
      <c r="AH2914" t="str">
        <f t="shared" si="871"/>
        <v>P000</v>
      </c>
      <c r="AI2914" t="str">
        <f t="shared" si="872"/>
        <v>0P00</v>
      </c>
      <c r="AJ2914" t="str">
        <f t="shared" si="873"/>
        <v>P000</v>
      </c>
    </row>
    <row r="2915" spans="1:36" x14ac:dyDescent="0.25">
      <c r="A2915" s="325" t="str">
        <f>CONCATENATE("P",'906MP'!M2615)</f>
        <v>P</v>
      </c>
      <c r="B2915">
        <f>'906MP'!H2615</f>
        <v>0</v>
      </c>
      <c r="C2915">
        <f>'906MP'!J2615</f>
        <v>0</v>
      </c>
      <c r="D2915">
        <f>'906MP'!P2615</f>
        <v>0</v>
      </c>
      <c r="E2915">
        <f>'906MP'!X2615</f>
        <v>0</v>
      </c>
      <c r="F2915" t="str">
        <f t="shared" si="865"/>
        <v>0</v>
      </c>
      <c r="G2915" t="str">
        <f t="shared" si="866"/>
        <v>0</v>
      </c>
      <c r="H2915">
        <f>'906MP'!Y2615</f>
        <v>0</v>
      </c>
      <c r="I2915">
        <f>'906MP'!AK2615</f>
        <v>0</v>
      </c>
      <c r="J2915">
        <f>'906MP'!T2615</f>
        <v>0</v>
      </c>
      <c r="K2915">
        <f>'906MP'!AJ2615</f>
        <v>0</v>
      </c>
      <c r="L2915">
        <f>'906MP'!U2615</f>
        <v>0</v>
      </c>
      <c r="M2915" s="322" t="str">
        <f>IFERROR(VLOOKUP(A2915,PAR!$D$3:$E$53,2,FALSE),"nincs szervezet")</f>
        <v>nincs szervezet</v>
      </c>
      <c r="N2915" s="322" t="str">
        <f>VLOOKUP(F2915,PAR!$R$3:$S$5,2,FALSE)</f>
        <v>3 - egyik sem</v>
      </c>
      <c r="O2915" t="str">
        <f>IFERROR(VLOOKUP(J2915,PAR!$O$3:$P$5,2,FALSE),"nincs feladat")</f>
        <v>nincs feladat</v>
      </c>
      <c r="P2915" t="str">
        <f>IFERROR(VLOOKUP(G2915,PAR!$J$2:$M$19,4),"nincs rovat")</f>
        <v>nincs rovat</v>
      </c>
      <c r="Q2915" t="str">
        <f>IF(H2915&gt;0,VLOOKUP(H2915,PAR!$AA$3:$AC$187,3,FALSE),"nincs főkönyvi számla")</f>
        <v>nincs főkönyvi számla</v>
      </c>
      <c r="R2915" t="str">
        <f>IFERROR(VLOOKUP(K2915,PAR!$V$3:$X$438,3,FALSE),"000000 - Nincs COFOG")</f>
        <v>000000 - Nincs COFOG</v>
      </c>
      <c r="S2915">
        <f t="shared" si="867"/>
        <v>0</v>
      </c>
      <c r="T2915">
        <f t="shared" si="868"/>
        <v>0</v>
      </c>
      <c r="U2915" t="str">
        <f>IF('906MP'!J2615&gt;0,CONCATENATE('906MP'!J2615," - ",'906MP'!P2615,", ",'906MP'!E2615),"nincs megjegyzés")</f>
        <v>nincs megjegyzés</v>
      </c>
      <c r="V2915" t="str">
        <f t="shared" si="855"/>
        <v>0P0</v>
      </c>
      <c r="W2915" t="str">
        <f t="shared" si="856"/>
        <v>0P0</v>
      </c>
      <c r="X2915" t="str">
        <f t="shared" si="857"/>
        <v>P0</v>
      </c>
      <c r="Y2915" t="str">
        <f t="shared" si="858"/>
        <v>00</v>
      </c>
      <c r="Z2915" t="str">
        <f t="shared" si="869"/>
        <v>00</v>
      </c>
      <c r="AA2915" t="str">
        <f t="shared" si="859"/>
        <v>00</v>
      </c>
      <c r="AB2915" t="str">
        <f t="shared" si="860"/>
        <v>00</v>
      </c>
      <c r="AC2915" t="str">
        <f t="shared" si="861"/>
        <v>0P0</v>
      </c>
      <c r="AD2915" t="str">
        <f t="shared" si="862"/>
        <v>P00</v>
      </c>
      <c r="AE2915" t="str">
        <f t="shared" si="863"/>
        <v>0P0</v>
      </c>
      <c r="AF2915" t="str">
        <f t="shared" si="864"/>
        <v>P00</v>
      </c>
      <c r="AG2915" t="str">
        <f t="shared" si="870"/>
        <v>0P00</v>
      </c>
      <c r="AH2915" t="str">
        <f t="shared" si="871"/>
        <v>P000</v>
      </c>
      <c r="AI2915" t="str">
        <f t="shared" si="872"/>
        <v>0P00</v>
      </c>
      <c r="AJ2915" t="str">
        <f t="shared" si="873"/>
        <v>P000</v>
      </c>
    </row>
    <row r="2916" spans="1:36" x14ac:dyDescent="0.25">
      <c r="A2916" s="325" t="str">
        <f>CONCATENATE("P",'906MP'!M2616)</f>
        <v>P</v>
      </c>
      <c r="B2916">
        <f>'906MP'!H2616</f>
        <v>0</v>
      </c>
      <c r="C2916">
        <f>'906MP'!J2616</f>
        <v>0</v>
      </c>
      <c r="D2916">
        <f>'906MP'!P2616</f>
        <v>0</v>
      </c>
      <c r="E2916">
        <f>'906MP'!X2616</f>
        <v>0</v>
      </c>
      <c r="F2916" t="str">
        <f t="shared" si="865"/>
        <v>0</v>
      </c>
      <c r="G2916" t="str">
        <f t="shared" si="866"/>
        <v>0</v>
      </c>
      <c r="H2916">
        <f>'906MP'!Y2616</f>
        <v>0</v>
      </c>
      <c r="I2916">
        <f>'906MP'!AK2616</f>
        <v>0</v>
      </c>
      <c r="J2916">
        <f>'906MP'!T2616</f>
        <v>0</v>
      </c>
      <c r="K2916">
        <f>'906MP'!AJ2616</f>
        <v>0</v>
      </c>
      <c r="L2916">
        <f>'906MP'!U2616</f>
        <v>0</v>
      </c>
      <c r="M2916" s="322" t="str">
        <f>IFERROR(VLOOKUP(A2916,PAR!$D$3:$E$53,2,FALSE),"nincs szervezet")</f>
        <v>nincs szervezet</v>
      </c>
      <c r="N2916" s="322" t="str">
        <f>VLOOKUP(F2916,PAR!$R$3:$S$5,2,FALSE)</f>
        <v>3 - egyik sem</v>
      </c>
      <c r="O2916" t="str">
        <f>IFERROR(VLOOKUP(J2916,PAR!$O$3:$P$5,2,FALSE),"nincs feladat")</f>
        <v>nincs feladat</v>
      </c>
      <c r="P2916" t="str">
        <f>IFERROR(VLOOKUP(G2916,PAR!$J$2:$M$19,4),"nincs rovat")</f>
        <v>nincs rovat</v>
      </c>
      <c r="Q2916" t="str">
        <f>IF(H2916&gt;0,VLOOKUP(H2916,PAR!$AA$3:$AC$187,3,FALSE),"nincs főkönyvi számla")</f>
        <v>nincs főkönyvi számla</v>
      </c>
      <c r="R2916" t="str">
        <f>IFERROR(VLOOKUP(K2916,PAR!$V$3:$X$438,3,FALSE),"000000 - Nincs COFOG")</f>
        <v>000000 - Nincs COFOG</v>
      </c>
      <c r="S2916">
        <f t="shared" si="867"/>
        <v>0</v>
      </c>
      <c r="T2916">
        <f t="shared" si="868"/>
        <v>0</v>
      </c>
      <c r="U2916" t="str">
        <f>IF('906MP'!J2616&gt;0,CONCATENATE('906MP'!J2616," - ",'906MP'!P2616,", ",'906MP'!E2616),"nincs megjegyzés")</f>
        <v>nincs megjegyzés</v>
      </c>
      <c r="V2916" t="str">
        <f t="shared" si="855"/>
        <v>0P0</v>
      </c>
      <c r="W2916" t="str">
        <f t="shared" si="856"/>
        <v>0P0</v>
      </c>
      <c r="X2916" t="str">
        <f t="shared" si="857"/>
        <v>P0</v>
      </c>
      <c r="Y2916" t="str">
        <f t="shared" si="858"/>
        <v>00</v>
      </c>
      <c r="Z2916" t="str">
        <f t="shared" si="869"/>
        <v>00</v>
      </c>
      <c r="AA2916" t="str">
        <f t="shared" si="859"/>
        <v>00</v>
      </c>
      <c r="AB2916" t="str">
        <f t="shared" si="860"/>
        <v>00</v>
      </c>
      <c r="AC2916" t="str">
        <f t="shared" si="861"/>
        <v>0P0</v>
      </c>
      <c r="AD2916" t="str">
        <f t="shared" si="862"/>
        <v>P00</v>
      </c>
      <c r="AE2916" t="str">
        <f t="shared" si="863"/>
        <v>0P0</v>
      </c>
      <c r="AF2916" t="str">
        <f t="shared" si="864"/>
        <v>P00</v>
      </c>
      <c r="AG2916" t="str">
        <f t="shared" si="870"/>
        <v>0P00</v>
      </c>
      <c r="AH2916" t="str">
        <f t="shared" si="871"/>
        <v>P000</v>
      </c>
      <c r="AI2916" t="str">
        <f t="shared" si="872"/>
        <v>0P00</v>
      </c>
      <c r="AJ2916" t="str">
        <f t="shared" si="873"/>
        <v>P000</v>
      </c>
    </row>
    <row r="2917" spans="1:36" x14ac:dyDescent="0.25">
      <c r="A2917" s="325" t="str">
        <f>CONCATENATE("P",'906MP'!M2617)</f>
        <v>P</v>
      </c>
      <c r="B2917">
        <f>'906MP'!H2617</f>
        <v>0</v>
      </c>
      <c r="C2917">
        <f>'906MP'!J2617</f>
        <v>0</v>
      </c>
      <c r="D2917">
        <f>'906MP'!P2617</f>
        <v>0</v>
      </c>
      <c r="E2917">
        <f>'906MP'!X2617</f>
        <v>0</v>
      </c>
      <c r="F2917" t="str">
        <f t="shared" si="865"/>
        <v>0</v>
      </c>
      <c r="G2917" t="str">
        <f t="shared" si="866"/>
        <v>0</v>
      </c>
      <c r="H2917">
        <f>'906MP'!Y2617</f>
        <v>0</v>
      </c>
      <c r="I2917">
        <f>'906MP'!AK2617</f>
        <v>0</v>
      </c>
      <c r="J2917">
        <f>'906MP'!T2617</f>
        <v>0</v>
      </c>
      <c r="K2917">
        <f>'906MP'!AJ2617</f>
        <v>0</v>
      </c>
      <c r="L2917">
        <f>'906MP'!U2617</f>
        <v>0</v>
      </c>
      <c r="M2917" s="322" t="str">
        <f>IFERROR(VLOOKUP(A2917,PAR!$D$3:$E$53,2,FALSE),"nincs szervezet")</f>
        <v>nincs szervezet</v>
      </c>
      <c r="N2917" s="322" t="str">
        <f>VLOOKUP(F2917,PAR!$R$3:$S$5,2,FALSE)</f>
        <v>3 - egyik sem</v>
      </c>
      <c r="O2917" t="str">
        <f>IFERROR(VLOOKUP(J2917,PAR!$O$3:$P$5,2,FALSE),"nincs feladat")</f>
        <v>nincs feladat</v>
      </c>
      <c r="P2917" t="str">
        <f>IFERROR(VLOOKUP(G2917,PAR!$J$2:$M$19,4),"nincs rovat")</f>
        <v>nincs rovat</v>
      </c>
      <c r="Q2917" t="str">
        <f>IF(H2917&gt;0,VLOOKUP(H2917,PAR!$AA$3:$AC$187,3,FALSE),"nincs főkönyvi számla")</f>
        <v>nincs főkönyvi számla</v>
      </c>
      <c r="R2917" t="str">
        <f>IFERROR(VLOOKUP(K2917,PAR!$V$3:$X$438,3,FALSE),"000000 - Nincs COFOG")</f>
        <v>000000 - Nincs COFOG</v>
      </c>
      <c r="S2917">
        <f t="shared" si="867"/>
        <v>0</v>
      </c>
      <c r="T2917">
        <f t="shared" si="868"/>
        <v>0</v>
      </c>
      <c r="U2917" t="str">
        <f>IF('906MP'!J2617&gt;0,CONCATENATE('906MP'!J2617," - ",'906MP'!P2617,", ",'906MP'!E2617),"nincs megjegyzés")</f>
        <v>nincs megjegyzés</v>
      </c>
      <c r="V2917" t="str">
        <f t="shared" si="855"/>
        <v>0P0</v>
      </c>
      <c r="W2917" t="str">
        <f t="shared" si="856"/>
        <v>0P0</v>
      </c>
      <c r="X2917" t="str">
        <f t="shared" si="857"/>
        <v>P0</v>
      </c>
      <c r="Y2917" t="str">
        <f t="shared" si="858"/>
        <v>00</v>
      </c>
      <c r="Z2917" t="str">
        <f t="shared" si="869"/>
        <v>00</v>
      </c>
      <c r="AA2917" t="str">
        <f t="shared" si="859"/>
        <v>00</v>
      </c>
      <c r="AB2917" t="str">
        <f t="shared" si="860"/>
        <v>00</v>
      </c>
      <c r="AC2917" t="str">
        <f t="shared" si="861"/>
        <v>0P0</v>
      </c>
      <c r="AD2917" t="str">
        <f t="shared" si="862"/>
        <v>P00</v>
      </c>
      <c r="AE2917" t="str">
        <f t="shared" si="863"/>
        <v>0P0</v>
      </c>
      <c r="AF2917" t="str">
        <f t="shared" si="864"/>
        <v>P00</v>
      </c>
      <c r="AG2917" t="str">
        <f t="shared" si="870"/>
        <v>0P00</v>
      </c>
      <c r="AH2917" t="str">
        <f t="shared" si="871"/>
        <v>P000</v>
      </c>
      <c r="AI2917" t="str">
        <f t="shared" si="872"/>
        <v>0P00</v>
      </c>
      <c r="AJ2917" t="str">
        <f t="shared" si="873"/>
        <v>P000</v>
      </c>
    </row>
    <row r="2918" spans="1:36" x14ac:dyDescent="0.25">
      <c r="A2918" s="325" t="str">
        <f>CONCATENATE("P",'906MP'!M2618)</f>
        <v>P</v>
      </c>
      <c r="B2918">
        <f>'906MP'!H2618</f>
        <v>0</v>
      </c>
      <c r="C2918">
        <f>'906MP'!J2618</f>
        <v>0</v>
      </c>
      <c r="D2918">
        <f>'906MP'!P2618</f>
        <v>0</v>
      </c>
      <c r="E2918">
        <f>'906MP'!X2618</f>
        <v>0</v>
      </c>
      <c r="F2918" t="str">
        <f t="shared" si="865"/>
        <v>0</v>
      </c>
      <c r="G2918" t="str">
        <f t="shared" si="866"/>
        <v>0</v>
      </c>
      <c r="H2918">
        <f>'906MP'!Y2618</f>
        <v>0</v>
      </c>
      <c r="I2918">
        <f>'906MP'!AK2618</f>
        <v>0</v>
      </c>
      <c r="J2918">
        <f>'906MP'!T2618</f>
        <v>0</v>
      </c>
      <c r="K2918">
        <f>'906MP'!AJ2618</f>
        <v>0</v>
      </c>
      <c r="L2918">
        <f>'906MP'!U2618</f>
        <v>0</v>
      </c>
      <c r="M2918" s="322" t="str">
        <f>IFERROR(VLOOKUP(A2918,PAR!$D$3:$E$53,2,FALSE),"nincs szervezet")</f>
        <v>nincs szervezet</v>
      </c>
      <c r="N2918" s="322" t="str">
        <f>VLOOKUP(F2918,PAR!$R$3:$S$5,2,FALSE)</f>
        <v>3 - egyik sem</v>
      </c>
      <c r="O2918" t="str">
        <f>IFERROR(VLOOKUP(J2918,PAR!$O$3:$P$5,2,FALSE),"nincs feladat")</f>
        <v>nincs feladat</v>
      </c>
      <c r="P2918" t="str">
        <f>IFERROR(VLOOKUP(G2918,PAR!$J$2:$M$19,4),"nincs rovat")</f>
        <v>nincs rovat</v>
      </c>
      <c r="Q2918" t="str">
        <f>IF(H2918&gt;0,VLOOKUP(H2918,PAR!$AA$3:$AC$187,3,FALSE),"nincs főkönyvi számla")</f>
        <v>nincs főkönyvi számla</v>
      </c>
      <c r="R2918" t="str">
        <f>IFERROR(VLOOKUP(K2918,PAR!$V$3:$X$438,3,FALSE),"000000 - Nincs COFOG")</f>
        <v>000000 - Nincs COFOG</v>
      </c>
      <c r="S2918">
        <f t="shared" si="867"/>
        <v>0</v>
      </c>
      <c r="T2918">
        <f t="shared" si="868"/>
        <v>0</v>
      </c>
      <c r="U2918" t="str">
        <f>IF('906MP'!J2618&gt;0,CONCATENATE('906MP'!J2618," - ",'906MP'!P2618,", ",'906MP'!E2618),"nincs megjegyzés")</f>
        <v>nincs megjegyzés</v>
      </c>
      <c r="V2918" t="str">
        <f t="shared" si="855"/>
        <v>0P0</v>
      </c>
      <c r="W2918" t="str">
        <f t="shared" si="856"/>
        <v>0P0</v>
      </c>
      <c r="X2918" t="str">
        <f t="shared" si="857"/>
        <v>P0</v>
      </c>
      <c r="Y2918" t="str">
        <f t="shared" si="858"/>
        <v>00</v>
      </c>
      <c r="Z2918" t="str">
        <f t="shared" si="869"/>
        <v>00</v>
      </c>
      <c r="AA2918" t="str">
        <f t="shared" si="859"/>
        <v>00</v>
      </c>
      <c r="AB2918" t="str">
        <f t="shared" si="860"/>
        <v>00</v>
      </c>
      <c r="AC2918" t="str">
        <f t="shared" si="861"/>
        <v>0P0</v>
      </c>
      <c r="AD2918" t="str">
        <f t="shared" si="862"/>
        <v>P00</v>
      </c>
      <c r="AE2918" t="str">
        <f t="shared" si="863"/>
        <v>0P0</v>
      </c>
      <c r="AF2918" t="str">
        <f t="shared" si="864"/>
        <v>P00</v>
      </c>
      <c r="AG2918" t="str">
        <f t="shared" si="870"/>
        <v>0P00</v>
      </c>
      <c r="AH2918" t="str">
        <f t="shared" si="871"/>
        <v>P000</v>
      </c>
      <c r="AI2918" t="str">
        <f t="shared" si="872"/>
        <v>0P00</v>
      </c>
      <c r="AJ2918" t="str">
        <f t="shared" si="873"/>
        <v>P000</v>
      </c>
    </row>
    <row r="2919" spans="1:36" x14ac:dyDescent="0.25">
      <c r="A2919" s="325" t="str">
        <f>CONCATENATE("P",'906MP'!M2619)</f>
        <v>P</v>
      </c>
      <c r="B2919">
        <f>'906MP'!H2619</f>
        <v>0</v>
      </c>
      <c r="C2919">
        <f>'906MP'!J2619</f>
        <v>0</v>
      </c>
      <c r="D2919">
        <f>'906MP'!P2619</f>
        <v>0</v>
      </c>
      <c r="E2919">
        <f>'906MP'!X2619</f>
        <v>0</v>
      </c>
      <c r="F2919" t="str">
        <f t="shared" si="865"/>
        <v>0</v>
      </c>
      <c r="G2919" t="str">
        <f t="shared" si="866"/>
        <v>0</v>
      </c>
      <c r="H2919">
        <f>'906MP'!Y2619</f>
        <v>0</v>
      </c>
      <c r="I2919">
        <f>'906MP'!AK2619</f>
        <v>0</v>
      </c>
      <c r="J2919">
        <f>'906MP'!T2619</f>
        <v>0</v>
      </c>
      <c r="K2919">
        <f>'906MP'!AJ2619</f>
        <v>0</v>
      </c>
      <c r="L2919">
        <f>'906MP'!U2619</f>
        <v>0</v>
      </c>
      <c r="M2919" s="322" t="str">
        <f>IFERROR(VLOOKUP(A2919,PAR!$D$3:$E$53,2,FALSE),"nincs szervezet")</f>
        <v>nincs szervezet</v>
      </c>
      <c r="N2919" s="322" t="str">
        <f>VLOOKUP(F2919,PAR!$R$3:$S$5,2,FALSE)</f>
        <v>3 - egyik sem</v>
      </c>
      <c r="O2919" t="str">
        <f>IFERROR(VLOOKUP(J2919,PAR!$O$3:$P$5,2,FALSE),"nincs feladat")</f>
        <v>nincs feladat</v>
      </c>
      <c r="P2919" t="str">
        <f>IFERROR(VLOOKUP(G2919,PAR!$J$2:$M$19,4),"nincs rovat")</f>
        <v>nincs rovat</v>
      </c>
      <c r="Q2919" t="str">
        <f>IF(H2919&gt;0,VLOOKUP(H2919,PAR!$AA$3:$AC$187,3,FALSE),"nincs főkönyvi számla")</f>
        <v>nincs főkönyvi számla</v>
      </c>
      <c r="R2919" t="str">
        <f>IFERROR(VLOOKUP(K2919,PAR!$V$3:$X$438,3,FALSE),"000000 - Nincs COFOG")</f>
        <v>000000 - Nincs COFOG</v>
      </c>
      <c r="S2919">
        <f t="shared" si="867"/>
        <v>0</v>
      </c>
      <c r="T2919">
        <f t="shared" si="868"/>
        <v>0</v>
      </c>
      <c r="U2919" t="str">
        <f>IF('906MP'!J2619&gt;0,CONCATENATE('906MP'!J2619," - ",'906MP'!P2619,", ",'906MP'!E2619),"nincs megjegyzés")</f>
        <v>nincs megjegyzés</v>
      </c>
      <c r="V2919" t="str">
        <f t="shared" si="855"/>
        <v>0P0</v>
      </c>
      <c r="W2919" t="str">
        <f t="shared" si="856"/>
        <v>0P0</v>
      </c>
      <c r="X2919" t="str">
        <f t="shared" si="857"/>
        <v>P0</v>
      </c>
      <c r="Y2919" t="str">
        <f t="shared" si="858"/>
        <v>00</v>
      </c>
      <c r="Z2919" t="str">
        <f t="shared" si="869"/>
        <v>00</v>
      </c>
      <c r="AA2919" t="str">
        <f t="shared" si="859"/>
        <v>00</v>
      </c>
      <c r="AB2919" t="str">
        <f t="shared" si="860"/>
        <v>00</v>
      </c>
      <c r="AC2919" t="str">
        <f t="shared" si="861"/>
        <v>0P0</v>
      </c>
      <c r="AD2919" t="str">
        <f t="shared" si="862"/>
        <v>P00</v>
      </c>
      <c r="AE2919" t="str">
        <f t="shared" si="863"/>
        <v>0P0</v>
      </c>
      <c r="AF2919" t="str">
        <f t="shared" si="864"/>
        <v>P00</v>
      </c>
      <c r="AG2919" t="str">
        <f t="shared" si="870"/>
        <v>0P00</v>
      </c>
      <c r="AH2919" t="str">
        <f t="shared" si="871"/>
        <v>P000</v>
      </c>
      <c r="AI2919" t="str">
        <f t="shared" si="872"/>
        <v>0P00</v>
      </c>
      <c r="AJ2919" t="str">
        <f t="shared" si="873"/>
        <v>P000</v>
      </c>
    </row>
    <row r="2920" spans="1:36" x14ac:dyDescent="0.25">
      <c r="A2920" s="325" t="str">
        <f>CONCATENATE("P",'906MP'!M2620)</f>
        <v>P</v>
      </c>
      <c r="B2920">
        <f>'906MP'!H2620</f>
        <v>0</v>
      </c>
      <c r="C2920">
        <f>'906MP'!J2620</f>
        <v>0</v>
      </c>
      <c r="D2920">
        <f>'906MP'!P2620</f>
        <v>0</v>
      </c>
      <c r="E2920">
        <f>'906MP'!X2620</f>
        <v>0</v>
      </c>
      <c r="F2920" t="str">
        <f t="shared" si="865"/>
        <v>0</v>
      </c>
      <c r="G2920" t="str">
        <f t="shared" si="866"/>
        <v>0</v>
      </c>
      <c r="H2920">
        <f>'906MP'!Y2620</f>
        <v>0</v>
      </c>
      <c r="I2920">
        <f>'906MP'!AK2620</f>
        <v>0</v>
      </c>
      <c r="J2920">
        <f>'906MP'!T2620</f>
        <v>0</v>
      </c>
      <c r="K2920">
        <f>'906MP'!AJ2620</f>
        <v>0</v>
      </c>
      <c r="L2920">
        <f>'906MP'!U2620</f>
        <v>0</v>
      </c>
      <c r="M2920" s="322" t="str">
        <f>IFERROR(VLOOKUP(A2920,PAR!$D$3:$E$53,2,FALSE),"nincs szervezet")</f>
        <v>nincs szervezet</v>
      </c>
      <c r="N2920" s="322" t="str">
        <f>VLOOKUP(F2920,PAR!$R$3:$S$5,2,FALSE)</f>
        <v>3 - egyik sem</v>
      </c>
      <c r="O2920" t="str">
        <f>IFERROR(VLOOKUP(J2920,PAR!$O$3:$P$5,2,FALSE),"nincs feladat")</f>
        <v>nincs feladat</v>
      </c>
      <c r="P2920" t="str">
        <f>IFERROR(VLOOKUP(G2920,PAR!$J$2:$M$19,4),"nincs rovat")</f>
        <v>nincs rovat</v>
      </c>
      <c r="Q2920" t="str">
        <f>IF(H2920&gt;0,VLOOKUP(H2920,PAR!$AA$3:$AC$187,3,FALSE),"nincs főkönyvi számla")</f>
        <v>nincs főkönyvi számla</v>
      </c>
      <c r="R2920" t="str">
        <f>IFERROR(VLOOKUP(K2920,PAR!$V$3:$X$438,3,FALSE),"000000 - Nincs COFOG")</f>
        <v>000000 - Nincs COFOG</v>
      </c>
      <c r="S2920">
        <f t="shared" si="867"/>
        <v>0</v>
      </c>
      <c r="T2920">
        <f t="shared" si="868"/>
        <v>0</v>
      </c>
      <c r="U2920" t="str">
        <f>IF('906MP'!J2620&gt;0,CONCATENATE('906MP'!J2620," - ",'906MP'!P2620,", ",'906MP'!E2620),"nincs megjegyzés")</f>
        <v>nincs megjegyzés</v>
      </c>
      <c r="V2920" t="str">
        <f t="shared" si="855"/>
        <v>0P0</v>
      </c>
      <c r="W2920" t="str">
        <f t="shared" si="856"/>
        <v>0P0</v>
      </c>
      <c r="X2920" t="str">
        <f t="shared" si="857"/>
        <v>P0</v>
      </c>
      <c r="Y2920" t="str">
        <f t="shared" si="858"/>
        <v>00</v>
      </c>
      <c r="Z2920" t="str">
        <f t="shared" si="869"/>
        <v>00</v>
      </c>
      <c r="AA2920" t="str">
        <f t="shared" si="859"/>
        <v>00</v>
      </c>
      <c r="AB2920" t="str">
        <f t="shared" si="860"/>
        <v>00</v>
      </c>
      <c r="AC2920" t="str">
        <f t="shared" si="861"/>
        <v>0P0</v>
      </c>
      <c r="AD2920" t="str">
        <f t="shared" si="862"/>
        <v>P00</v>
      </c>
      <c r="AE2920" t="str">
        <f t="shared" si="863"/>
        <v>0P0</v>
      </c>
      <c r="AF2920" t="str">
        <f t="shared" si="864"/>
        <v>P00</v>
      </c>
      <c r="AG2920" t="str">
        <f t="shared" si="870"/>
        <v>0P00</v>
      </c>
      <c r="AH2920" t="str">
        <f t="shared" si="871"/>
        <v>P000</v>
      </c>
      <c r="AI2920" t="str">
        <f t="shared" si="872"/>
        <v>0P00</v>
      </c>
      <c r="AJ2920" t="str">
        <f t="shared" si="873"/>
        <v>P000</v>
      </c>
    </row>
    <row r="2921" spans="1:36" x14ac:dyDescent="0.25">
      <c r="A2921" s="325" t="str">
        <f>CONCATENATE("P",'906MP'!M2621)</f>
        <v>P</v>
      </c>
      <c r="B2921">
        <f>'906MP'!H2621</f>
        <v>0</v>
      </c>
      <c r="C2921">
        <f>'906MP'!J2621</f>
        <v>0</v>
      </c>
      <c r="D2921">
        <f>'906MP'!P2621</f>
        <v>0</v>
      </c>
      <c r="E2921">
        <f>'906MP'!X2621</f>
        <v>0</v>
      </c>
      <c r="F2921" t="str">
        <f t="shared" si="865"/>
        <v>0</v>
      </c>
      <c r="G2921" t="str">
        <f t="shared" si="866"/>
        <v>0</v>
      </c>
      <c r="H2921">
        <f>'906MP'!Y2621</f>
        <v>0</v>
      </c>
      <c r="I2921">
        <f>'906MP'!AK2621</f>
        <v>0</v>
      </c>
      <c r="J2921">
        <f>'906MP'!T2621</f>
        <v>0</v>
      </c>
      <c r="K2921">
        <f>'906MP'!AJ2621</f>
        <v>0</v>
      </c>
      <c r="L2921">
        <f>'906MP'!U2621</f>
        <v>0</v>
      </c>
      <c r="M2921" s="322" t="str">
        <f>IFERROR(VLOOKUP(A2921,PAR!$D$3:$E$53,2,FALSE),"nincs szervezet")</f>
        <v>nincs szervezet</v>
      </c>
      <c r="N2921" s="322" t="str">
        <f>VLOOKUP(F2921,PAR!$R$3:$S$5,2,FALSE)</f>
        <v>3 - egyik sem</v>
      </c>
      <c r="O2921" t="str">
        <f>IFERROR(VLOOKUP(J2921,PAR!$O$3:$P$5,2,FALSE),"nincs feladat")</f>
        <v>nincs feladat</v>
      </c>
      <c r="P2921" t="str">
        <f>IFERROR(VLOOKUP(G2921,PAR!$J$2:$M$19,4),"nincs rovat")</f>
        <v>nincs rovat</v>
      </c>
      <c r="Q2921" t="str">
        <f>IF(H2921&gt;0,VLOOKUP(H2921,PAR!$AA$3:$AC$187,3,FALSE),"nincs főkönyvi számla")</f>
        <v>nincs főkönyvi számla</v>
      </c>
      <c r="R2921" t="str">
        <f>IFERROR(VLOOKUP(K2921,PAR!$V$3:$X$438,3,FALSE),"000000 - Nincs COFOG")</f>
        <v>000000 - Nincs COFOG</v>
      </c>
      <c r="S2921">
        <f t="shared" si="867"/>
        <v>0</v>
      </c>
      <c r="T2921">
        <f t="shared" si="868"/>
        <v>0</v>
      </c>
      <c r="U2921" t="str">
        <f>IF('906MP'!J2621&gt;0,CONCATENATE('906MP'!J2621," - ",'906MP'!P2621,", ",'906MP'!E2621),"nincs megjegyzés")</f>
        <v>nincs megjegyzés</v>
      </c>
      <c r="V2921" t="str">
        <f t="shared" si="855"/>
        <v>0P0</v>
      </c>
      <c r="W2921" t="str">
        <f t="shared" si="856"/>
        <v>0P0</v>
      </c>
      <c r="X2921" t="str">
        <f t="shared" si="857"/>
        <v>P0</v>
      </c>
      <c r="Y2921" t="str">
        <f t="shared" si="858"/>
        <v>00</v>
      </c>
      <c r="Z2921" t="str">
        <f t="shared" si="869"/>
        <v>00</v>
      </c>
      <c r="AA2921" t="str">
        <f t="shared" si="859"/>
        <v>00</v>
      </c>
      <c r="AB2921" t="str">
        <f t="shared" si="860"/>
        <v>00</v>
      </c>
      <c r="AC2921" t="str">
        <f t="shared" si="861"/>
        <v>0P0</v>
      </c>
      <c r="AD2921" t="str">
        <f t="shared" si="862"/>
        <v>P00</v>
      </c>
      <c r="AE2921" t="str">
        <f t="shared" si="863"/>
        <v>0P0</v>
      </c>
      <c r="AF2921" t="str">
        <f t="shared" si="864"/>
        <v>P00</v>
      </c>
      <c r="AG2921" t="str">
        <f t="shared" si="870"/>
        <v>0P00</v>
      </c>
      <c r="AH2921" t="str">
        <f t="shared" si="871"/>
        <v>P000</v>
      </c>
      <c r="AI2921" t="str">
        <f t="shared" si="872"/>
        <v>0P00</v>
      </c>
      <c r="AJ2921" t="str">
        <f t="shared" si="873"/>
        <v>P000</v>
      </c>
    </row>
    <row r="2922" spans="1:36" x14ac:dyDescent="0.25">
      <c r="A2922" s="325" t="str">
        <f>CONCATENATE("P",'906MP'!M2622)</f>
        <v>P</v>
      </c>
      <c r="B2922">
        <f>'906MP'!H2622</f>
        <v>0</v>
      </c>
      <c r="C2922">
        <f>'906MP'!J2622</f>
        <v>0</v>
      </c>
      <c r="D2922">
        <f>'906MP'!P2622</f>
        <v>0</v>
      </c>
      <c r="E2922">
        <f>'906MP'!X2622</f>
        <v>0</v>
      </c>
      <c r="F2922" t="str">
        <f t="shared" si="865"/>
        <v>0</v>
      </c>
      <c r="G2922" t="str">
        <f t="shared" si="866"/>
        <v>0</v>
      </c>
      <c r="H2922">
        <f>'906MP'!Y2622</f>
        <v>0</v>
      </c>
      <c r="I2922">
        <f>'906MP'!AK2622</f>
        <v>0</v>
      </c>
      <c r="J2922">
        <f>'906MP'!T2622</f>
        <v>0</v>
      </c>
      <c r="K2922">
        <f>'906MP'!AJ2622</f>
        <v>0</v>
      </c>
      <c r="L2922">
        <f>'906MP'!U2622</f>
        <v>0</v>
      </c>
      <c r="M2922" s="322" t="str">
        <f>IFERROR(VLOOKUP(A2922,PAR!$D$3:$E$53,2,FALSE),"nincs szervezet")</f>
        <v>nincs szervezet</v>
      </c>
      <c r="N2922" s="322" t="str">
        <f>VLOOKUP(F2922,PAR!$R$3:$S$5,2,FALSE)</f>
        <v>3 - egyik sem</v>
      </c>
      <c r="O2922" t="str">
        <f>IFERROR(VLOOKUP(J2922,PAR!$O$3:$P$5,2,FALSE),"nincs feladat")</f>
        <v>nincs feladat</v>
      </c>
      <c r="P2922" t="str">
        <f>IFERROR(VLOOKUP(G2922,PAR!$J$2:$M$19,4),"nincs rovat")</f>
        <v>nincs rovat</v>
      </c>
      <c r="Q2922" t="str">
        <f>IF(H2922&gt;0,VLOOKUP(H2922,PAR!$AA$3:$AC$187,3,FALSE),"nincs főkönyvi számla")</f>
        <v>nincs főkönyvi számla</v>
      </c>
      <c r="R2922" t="str">
        <f>IFERROR(VLOOKUP(K2922,PAR!$V$3:$X$438,3,FALSE),"000000 - Nincs COFOG")</f>
        <v>000000 - Nincs COFOG</v>
      </c>
      <c r="S2922">
        <f t="shared" si="867"/>
        <v>0</v>
      </c>
      <c r="T2922">
        <f t="shared" si="868"/>
        <v>0</v>
      </c>
      <c r="U2922" t="str">
        <f>IF('906MP'!J2622&gt;0,CONCATENATE('906MP'!J2622," - ",'906MP'!P2622,", ",'906MP'!E2622),"nincs megjegyzés")</f>
        <v>nincs megjegyzés</v>
      </c>
      <c r="V2922" t="str">
        <f t="shared" si="855"/>
        <v>0P0</v>
      </c>
      <c r="W2922" t="str">
        <f t="shared" si="856"/>
        <v>0P0</v>
      </c>
      <c r="X2922" t="str">
        <f t="shared" si="857"/>
        <v>P0</v>
      </c>
      <c r="Y2922" t="str">
        <f t="shared" si="858"/>
        <v>00</v>
      </c>
      <c r="Z2922" t="str">
        <f t="shared" si="869"/>
        <v>00</v>
      </c>
      <c r="AA2922" t="str">
        <f t="shared" si="859"/>
        <v>00</v>
      </c>
      <c r="AB2922" t="str">
        <f t="shared" si="860"/>
        <v>00</v>
      </c>
      <c r="AC2922" t="str">
        <f t="shared" si="861"/>
        <v>0P0</v>
      </c>
      <c r="AD2922" t="str">
        <f t="shared" si="862"/>
        <v>P00</v>
      </c>
      <c r="AE2922" t="str">
        <f t="shared" si="863"/>
        <v>0P0</v>
      </c>
      <c r="AF2922" t="str">
        <f t="shared" si="864"/>
        <v>P00</v>
      </c>
      <c r="AG2922" t="str">
        <f t="shared" si="870"/>
        <v>0P00</v>
      </c>
      <c r="AH2922" t="str">
        <f t="shared" si="871"/>
        <v>P000</v>
      </c>
      <c r="AI2922" t="str">
        <f t="shared" si="872"/>
        <v>0P00</v>
      </c>
      <c r="AJ2922" t="str">
        <f t="shared" si="873"/>
        <v>P000</v>
      </c>
    </row>
    <row r="2923" spans="1:36" x14ac:dyDescent="0.25">
      <c r="A2923" s="325" t="str">
        <f>CONCATENATE("P",'906MP'!M2623)</f>
        <v>P</v>
      </c>
      <c r="B2923">
        <f>'906MP'!H2623</f>
        <v>0</v>
      </c>
      <c r="C2923">
        <f>'906MP'!J2623</f>
        <v>0</v>
      </c>
      <c r="D2923">
        <f>'906MP'!P2623</f>
        <v>0</v>
      </c>
      <c r="E2923">
        <f>'906MP'!X2623</f>
        <v>0</v>
      </c>
      <c r="F2923" t="str">
        <f t="shared" si="865"/>
        <v>0</v>
      </c>
      <c r="G2923" t="str">
        <f t="shared" si="866"/>
        <v>0</v>
      </c>
      <c r="H2923">
        <f>'906MP'!Y2623</f>
        <v>0</v>
      </c>
      <c r="I2923">
        <f>'906MP'!AK2623</f>
        <v>0</v>
      </c>
      <c r="J2923">
        <f>'906MP'!T2623</f>
        <v>0</v>
      </c>
      <c r="K2923">
        <f>'906MP'!AJ2623</f>
        <v>0</v>
      </c>
      <c r="L2923">
        <f>'906MP'!U2623</f>
        <v>0</v>
      </c>
      <c r="M2923" s="322" t="str">
        <f>IFERROR(VLOOKUP(A2923,PAR!$D$3:$E$53,2,FALSE),"nincs szervezet")</f>
        <v>nincs szervezet</v>
      </c>
      <c r="N2923" s="322" t="str">
        <f>VLOOKUP(F2923,PAR!$R$3:$S$5,2,FALSE)</f>
        <v>3 - egyik sem</v>
      </c>
      <c r="O2923" t="str">
        <f>IFERROR(VLOOKUP(J2923,PAR!$O$3:$P$5,2,FALSE),"nincs feladat")</f>
        <v>nincs feladat</v>
      </c>
      <c r="P2923" t="str">
        <f>IFERROR(VLOOKUP(G2923,PAR!$J$2:$M$19,4),"nincs rovat")</f>
        <v>nincs rovat</v>
      </c>
      <c r="Q2923" t="str">
        <f>IF(H2923&gt;0,VLOOKUP(H2923,PAR!$AA$3:$AC$187,3,FALSE),"nincs főkönyvi számla")</f>
        <v>nincs főkönyvi számla</v>
      </c>
      <c r="R2923" t="str">
        <f>IFERROR(VLOOKUP(K2923,PAR!$V$3:$X$438,3,FALSE),"000000 - Nincs COFOG")</f>
        <v>000000 - Nincs COFOG</v>
      </c>
      <c r="S2923">
        <f t="shared" si="867"/>
        <v>0</v>
      </c>
      <c r="T2923">
        <f t="shared" si="868"/>
        <v>0</v>
      </c>
      <c r="U2923" t="str">
        <f>IF('906MP'!J2623&gt;0,CONCATENATE('906MP'!J2623," - ",'906MP'!P2623,", ",'906MP'!E2623),"nincs megjegyzés")</f>
        <v>nincs megjegyzés</v>
      </c>
      <c r="V2923" t="str">
        <f t="shared" si="855"/>
        <v>0P0</v>
      </c>
      <c r="W2923" t="str">
        <f t="shared" si="856"/>
        <v>0P0</v>
      </c>
      <c r="X2923" t="str">
        <f t="shared" si="857"/>
        <v>P0</v>
      </c>
      <c r="Y2923" t="str">
        <f t="shared" si="858"/>
        <v>00</v>
      </c>
      <c r="Z2923" t="str">
        <f t="shared" si="869"/>
        <v>00</v>
      </c>
      <c r="AA2923" t="str">
        <f t="shared" si="859"/>
        <v>00</v>
      </c>
      <c r="AB2923" t="str">
        <f t="shared" si="860"/>
        <v>00</v>
      </c>
      <c r="AC2923" t="str">
        <f t="shared" si="861"/>
        <v>0P0</v>
      </c>
      <c r="AD2923" t="str">
        <f t="shared" si="862"/>
        <v>P00</v>
      </c>
      <c r="AE2923" t="str">
        <f t="shared" si="863"/>
        <v>0P0</v>
      </c>
      <c r="AF2923" t="str">
        <f t="shared" si="864"/>
        <v>P00</v>
      </c>
      <c r="AG2923" t="str">
        <f t="shared" si="870"/>
        <v>0P00</v>
      </c>
      <c r="AH2923" t="str">
        <f t="shared" si="871"/>
        <v>P000</v>
      </c>
      <c r="AI2923" t="str">
        <f t="shared" si="872"/>
        <v>0P00</v>
      </c>
      <c r="AJ2923" t="str">
        <f t="shared" si="873"/>
        <v>P000</v>
      </c>
    </row>
    <row r="2924" spans="1:36" x14ac:dyDescent="0.25">
      <c r="A2924" s="325" t="str">
        <f>CONCATENATE("P",'906MP'!M2624)</f>
        <v>P</v>
      </c>
      <c r="B2924">
        <f>'906MP'!H2624</f>
        <v>0</v>
      </c>
      <c r="C2924">
        <f>'906MP'!J2624</f>
        <v>0</v>
      </c>
      <c r="D2924">
        <f>'906MP'!P2624</f>
        <v>0</v>
      </c>
      <c r="E2924">
        <f>'906MP'!X2624</f>
        <v>0</v>
      </c>
      <c r="F2924" t="str">
        <f t="shared" si="865"/>
        <v>0</v>
      </c>
      <c r="G2924" t="str">
        <f t="shared" si="866"/>
        <v>0</v>
      </c>
      <c r="H2924">
        <f>'906MP'!Y2624</f>
        <v>0</v>
      </c>
      <c r="I2924">
        <f>'906MP'!AK2624</f>
        <v>0</v>
      </c>
      <c r="J2924">
        <f>'906MP'!T2624</f>
        <v>0</v>
      </c>
      <c r="K2924">
        <f>'906MP'!AJ2624</f>
        <v>0</v>
      </c>
      <c r="L2924">
        <f>'906MP'!U2624</f>
        <v>0</v>
      </c>
      <c r="M2924" s="322" t="str">
        <f>IFERROR(VLOOKUP(A2924,PAR!$D$3:$E$53,2,FALSE),"nincs szervezet")</f>
        <v>nincs szervezet</v>
      </c>
      <c r="N2924" s="322" t="str">
        <f>VLOOKUP(F2924,PAR!$R$3:$S$5,2,FALSE)</f>
        <v>3 - egyik sem</v>
      </c>
      <c r="O2924" t="str">
        <f>IFERROR(VLOOKUP(J2924,PAR!$O$3:$P$5,2,FALSE),"nincs feladat")</f>
        <v>nincs feladat</v>
      </c>
      <c r="P2924" t="str">
        <f>IFERROR(VLOOKUP(G2924,PAR!$J$2:$M$19,4),"nincs rovat")</f>
        <v>nincs rovat</v>
      </c>
      <c r="Q2924" t="str">
        <f>IF(H2924&gt;0,VLOOKUP(H2924,PAR!$AA$3:$AC$187,3,FALSE),"nincs főkönyvi számla")</f>
        <v>nincs főkönyvi számla</v>
      </c>
      <c r="R2924" t="str">
        <f>IFERROR(VLOOKUP(K2924,PAR!$V$3:$X$438,3,FALSE),"000000 - Nincs COFOG")</f>
        <v>000000 - Nincs COFOG</v>
      </c>
      <c r="S2924">
        <f t="shared" si="867"/>
        <v>0</v>
      </c>
      <c r="T2924">
        <f t="shared" si="868"/>
        <v>0</v>
      </c>
      <c r="U2924" t="str">
        <f>IF('906MP'!J2624&gt;0,CONCATENATE('906MP'!J2624," - ",'906MP'!P2624,", ",'906MP'!E2624),"nincs megjegyzés")</f>
        <v>nincs megjegyzés</v>
      </c>
      <c r="V2924" t="str">
        <f t="shared" si="855"/>
        <v>0P0</v>
      </c>
      <c r="W2924" t="str">
        <f t="shared" si="856"/>
        <v>0P0</v>
      </c>
      <c r="X2924" t="str">
        <f t="shared" si="857"/>
        <v>P0</v>
      </c>
      <c r="Y2924" t="str">
        <f t="shared" si="858"/>
        <v>00</v>
      </c>
      <c r="Z2924" t="str">
        <f t="shared" si="869"/>
        <v>00</v>
      </c>
      <c r="AA2924" t="str">
        <f t="shared" si="859"/>
        <v>00</v>
      </c>
      <c r="AB2924" t="str">
        <f t="shared" si="860"/>
        <v>00</v>
      </c>
      <c r="AC2924" t="str">
        <f t="shared" si="861"/>
        <v>0P0</v>
      </c>
      <c r="AD2924" t="str">
        <f t="shared" si="862"/>
        <v>P00</v>
      </c>
      <c r="AE2924" t="str">
        <f t="shared" si="863"/>
        <v>0P0</v>
      </c>
      <c r="AF2924" t="str">
        <f t="shared" si="864"/>
        <v>P00</v>
      </c>
      <c r="AG2924" t="str">
        <f t="shared" si="870"/>
        <v>0P00</v>
      </c>
      <c r="AH2924" t="str">
        <f t="shared" si="871"/>
        <v>P000</v>
      </c>
      <c r="AI2924" t="str">
        <f t="shared" si="872"/>
        <v>0P00</v>
      </c>
      <c r="AJ2924" t="str">
        <f t="shared" si="873"/>
        <v>P000</v>
      </c>
    </row>
    <row r="2925" spans="1:36" x14ac:dyDescent="0.25">
      <c r="A2925" s="325" t="str">
        <f>CONCATENATE("P",'906MP'!M2625)</f>
        <v>P</v>
      </c>
      <c r="B2925">
        <f>'906MP'!H2625</f>
        <v>0</v>
      </c>
      <c r="C2925">
        <f>'906MP'!J2625</f>
        <v>0</v>
      </c>
      <c r="D2925">
        <f>'906MP'!P2625</f>
        <v>0</v>
      </c>
      <c r="E2925">
        <f>'906MP'!X2625</f>
        <v>0</v>
      </c>
      <c r="F2925" t="str">
        <f t="shared" si="865"/>
        <v>0</v>
      </c>
      <c r="G2925" t="str">
        <f t="shared" si="866"/>
        <v>0</v>
      </c>
      <c r="H2925">
        <f>'906MP'!Y2625</f>
        <v>0</v>
      </c>
      <c r="I2925">
        <f>'906MP'!AK2625</f>
        <v>0</v>
      </c>
      <c r="J2925">
        <f>'906MP'!T2625</f>
        <v>0</v>
      </c>
      <c r="K2925">
        <f>'906MP'!AJ2625</f>
        <v>0</v>
      </c>
      <c r="L2925">
        <f>'906MP'!U2625</f>
        <v>0</v>
      </c>
      <c r="M2925" s="322" t="str">
        <f>IFERROR(VLOOKUP(A2925,PAR!$D$3:$E$53,2,FALSE),"nincs szervezet")</f>
        <v>nincs szervezet</v>
      </c>
      <c r="N2925" s="322" t="str">
        <f>VLOOKUP(F2925,PAR!$R$3:$S$5,2,FALSE)</f>
        <v>3 - egyik sem</v>
      </c>
      <c r="O2925" t="str">
        <f>IFERROR(VLOOKUP(J2925,PAR!$O$3:$P$5,2,FALSE),"nincs feladat")</f>
        <v>nincs feladat</v>
      </c>
      <c r="P2925" t="str">
        <f>IFERROR(VLOOKUP(G2925,PAR!$J$2:$M$19,4),"nincs rovat")</f>
        <v>nincs rovat</v>
      </c>
      <c r="Q2925" t="str">
        <f>IF(H2925&gt;0,VLOOKUP(H2925,PAR!$AA$3:$AC$187,3,FALSE),"nincs főkönyvi számla")</f>
        <v>nincs főkönyvi számla</v>
      </c>
      <c r="R2925" t="str">
        <f>IFERROR(VLOOKUP(K2925,PAR!$V$3:$X$438,3,FALSE),"000000 - Nincs COFOG")</f>
        <v>000000 - Nincs COFOG</v>
      </c>
      <c r="S2925">
        <f t="shared" si="867"/>
        <v>0</v>
      </c>
      <c r="T2925">
        <f t="shared" si="868"/>
        <v>0</v>
      </c>
      <c r="U2925" t="str">
        <f>IF('906MP'!J2625&gt;0,CONCATENATE('906MP'!J2625," - ",'906MP'!P2625,", ",'906MP'!E2625),"nincs megjegyzés")</f>
        <v>nincs megjegyzés</v>
      </c>
      <c r="V2925" t="str">
        <f t="shared" si="855"/>
        <v>0P0</v>
      </c>
      <c r="W2925" t="str">
        <f t="shared" si="856"/>
        <v>0P0</v>
      </c>
      <c r="X2925" t="str">
        <f t="shared" si="857"/>
        <v>P0</v>
      </c>
      <c r="Y2925" t="str">
        <f t="shared" si="858"/>
        <v>00</v>
      </c>
      <c r="Z2925" t="str">
        <f t="shared" si="869"/>
        <v>00</v>
      </c>
      <c r="AA2925" t="str">
        <f t="shared" si="859"/>
        <v>00</v>
      </c>
      <c r="AB2925" t="str">
        <f t="shared" si="860"/>
        <v>00</v>
      </c>
      <c r="AC2925" t="str">
        <f t="shared" si="861"/>
        <v>0P0</v>
      </c>
      <c r="AD2925" t="str">
        <f t="shared" si="862"/>
        <v>P00</v>
      </c>
      <c r="AE2925" t="str">
        <f t="shared" si="863"/>
        <v>0P0</v>
      </c>
      <c r="AF2925" t="str">
        <f t="shared" si="864"/>
        <v>P00</v>
      </c>
      <c r="AG2925" t="str">
        <f t="shared" si="870"/>
        <v>0P00</v>
      </c>
      <c r="AH2925" t="str">
        <f t="shared" si="871"/>
        <v>P000</v>
      </c>
      <c r="AI2925" t="str">
        <f t="shared" si="872"/>
        <v>0P00</v>
      </c>
      <c r="AJ2925" t="str">
        <f t="shared" si="873"/>
        <v>P000</v>
      </c>
    </row>
    <row r="2926" spans="1:36" x14ac:dyDescent="0.25">
      <c r="A2926" s="325" t="str">
        <f>CONCATENATE("P",'906MP'!M2626)</f>
        <v>P</v>
      </c>
      <c r="B2926">
        <f>'906MP'!H2626</f>
        <v>0</v>
      </c>
      <c r="C2926">
        <f>'906MP'!J2626</f>
        <v>0</v>
      </c>
      <c r="D2926">
        <f>'906MP'!P2626</f>
        <v>0</v>
      </c>
      <c r="E2926">
        <f>'906MP'!X2626</f>
        <v>0</v>
      </c>
      <c r="F2926" t="str">
        <f t="shared" si="865"/>
        <v>0</v>
      </c>
      <c r="G2926" t="str">
        <f t="shared" si="866"/>
        <v>0</v>
      </c>
      <c r="H2926">
        <f>'906MP'!Y2626</f>
        <v>0</v>
      </c>
      <c r="I2926">
        <f>'906MP'!AK2626</f>
        <v>0</v>
      </c>
      <c r="J2926">
        <f>'906MP'!T2626</f>
        <v>0</v>
      </c>
      <c r="K2926">
        <f>'906MP'!AJ2626</f>
        <v>0</v>
      </c>
      <c r="L2926">
        <f>'906MP'!U2626</f>
        <v>0</v>
      </c>
      <c r="M2926" s="322" t="str">
        <f>IFERROR(VLOOKUP(A2926,PAR!$D$3:$E$53,2,FALSE),"nincs szervezet")</f>
        <v>nincs szervezet</v>
      </c>
      <c r="N2926" s="322" t="str">
        <f>VLOOKUP(F2926,PAR!$R$3:$S$5,2,FALSE)</f>
        <v>3 - egyik sem</v>
      </c>
      <c r="O2926" t="str">
        <f>IFERROR(VLOOKUP(J2926,PAR!$O$3:$P$5,2,FALSE),"nincs feladat")</f>
        <v>nincs feladat</v>
      </c>
      <c r="P2926" t="str">
        <f>IFERROR(VLOOKUP(G2926,PAR!$J$2:$M$19,4),"nincs rovat")</f>
        <v>nincs rovat</v>
      </c>
      <c r="Q2926" t="str">
        <f>IF(H2926&gt;0,VLOOKUP(H2926,PAR!$AA$3:$AC$187,3,FALSE),"nincs főkönyvi számla")</f>
        <v>nincs főkönyvi számla</v>
      </c>
      <c r="R2926" t="str">
        <f>IFERROR(VLOOKUP(K2926,PAR!$V$3:$X$438,3,FALSE),"000000 - Nincs COFOG")</f>
        <v>000000 - Nincs COFOG</v>
      </c>
      <c r="S2926">
        <f t="shared" si="867"/>
        <v>0</v>
      </c>
      <c r="T2926">
        <f t="shared" si="868"/>
        <v>0</v>
      </c>
      <c r="U2926" t="str">
        <f>IF('906MP'!J2626&gt;0,CONCATENATE('906MP'!J2626," - ",'906MP'!P2626,", ",'906MP'!E2626),"nincs megjegyzés")</f>
        <v>nincs megjegyzés</v>
      </c>
      <c r="V2926" t="str">
        <f t="shared" si="855"/>
        <v>0P0</v>
      </c>
      <c r="W2926" t="str">
        <f t="shared" si="856"/>
        <v>0P0</v>
      </c>
      <c r="X2926" t="str">
        <f t="shared" si="857"/>
        <v>P0</v>
      </c>
      <c r="Y2926" t="str">
        <f t="shared" si="858"/>
        <v>00</v>
      </c>
      <c r="Z2926" t="str">
        <f t="shared" si="869"/>
        <v>00</v>
      </c>
      <c r="AA2926" t="str">
        <f t="shared" si="859"/>
        <v>00</v>
      </c>
      <c r="AB2926" t="str">
        <f t="shared" si="860"/>
        <v>00</v>
      </c>
      <c r="AC2926" t="str">
        <f t="shared" si="861"/>
        <v>0P0</v>
      </c>
      <c r="AD2926" t="str">
        <f t="shared" si="862"/>
        <v>P00</v>
      </c>
      <c r="AE2926" t="str">
        <f t="shared" si="863"/>
        <v>0P0</v>
      </c>
      <c r="AF2926" t="str">
        <f t="shared" si="864"/>
        <v>P00</v>
      </c>
      <c r="AG2926" t="str">
        <f t="shared" si="870"/>
        <v>0P00</v>
      </c>
      <c r="AH2926" t="str">
        <f t="shared" si="871"/>
        <v>P000</v>
      </c>
      <c r="AI2926" t="str">
        <f t="shared" si="872"/>
        <v>0P00</v>
      </c>
      <c r="AJ2926" t="str">
        <f t="shared" si="873"/>
        <v>P000</v>
      </c>
    </row>
    <row r="2927" spans="1:36" x14ac:dyDescent="0.25">
      <c r="A2927" s="325" t="str">
        <f>CONCATENATE("P",'906MP'!M2627)</f>
        <v>P</v>
      </c>
      <c r="B2927">
        <f>'906MP'!H2627</f>
        <v>0</v>
      </c>
      <c r="C2927">
        <f>'906MP'!J2627</f>
        <v>0</v>
      </c>
      <c r="D2927">
        <f>'906MP'!P2627</f>
        <v>0</v>
      </c>
      <c r="E2927">
        <f>'906MP'!X2627</f>
        <v>0</v>
      </c>
      <c r="F2927" t="str">
        <f t="shared" si="865"/>
        <v>0</v>
      </c>
      <c r="G2927" t="str">
        <f t="shared" si="866"/>
        <v>0</v>
      </c>
      <c r="H2927">
        <f>'906MP'!Y2627</f>
        <v>0</v>
      </c>
      <c r="I2927">
        <f>'906MP'!AK2627</f>
        <v>0</v>
      </c>
      <c r="J2927">
        <f>'906MP'!T2627</f>
        <v>0</v>
      </c>
      <c r="K2927">
        <f>'906MP'!AJ2627</f>
        <v>0</v>
      </c>
      <c r="L2927">
        <f>'906MP'!U2627</f>
        <v>0</v>
      </c>
      <c r="M2927" s="322" t="str">
        <f>IFERROR(VLOOKUP(A2927,PAR!$D$3:$E$53,2,FALSE),"nincs szervezet")</f>
        <v>nincs szervezet</v>
      </c>
      <c r="N2927" s="322" t="str">
        <f>VLOOKUP(F2927,PAR!$R$3:$S$5,2,FALSE)</f>
        <v>3 - egyik sem</v>
      </c>
      <c r="O2927" t="str">
        <f>IFERROR(VLOOKUP(J2927,PAR!$O$3:$P$5,2,FALSE),"nincs feladat")</f>
        <v>nincs feladat</v>
      </c>
      <c r="P2927" t="str">
        <f>IFERROR(VLOOKUP(G2927,PAR!$J$2:$M$19,4),"nincs rovat")</f>
        <v>nincs rovat</v>
      </c>
      <c r="Q2927" t="str">
        <f>IF(H2927&gt;0,VLOOKUP(H2927,PAR!$AA$3:$AC$187,3,FALSE),"nincs főkönyvi számla")</f>
        <v>nincs főkönyvi számla</v>
      </c>
      <c r="R2927" t="str">
        <f>IFERROR(VLOOKUP(K2927,PAR!$V$3:$X$438,3,FALSE),"000000 - Nincs COFOG")</f>
        <v>000000 - Nincs COFOG</v>
      </c>
      <c r="S2927">
        <f t="shared" si="867"/>
        <v>0</v>
      </c>
      <c r="T2927">
        <f t="shared" si="868"/>
        <v>0</v>
      </c>
      <c r="U2927" t="str">
        <f>IF('906MP'!J2627&gt;0,CONCATENATE('906MP'!J2627," - ",'906MP'!P2627,", ",'906MP'!E2627),"nincs megjegyzés")</f>
        <v>nincs megjegyzés</v>
      </c>
      <c r="V2927" t="str">
        <f t="shared" si="855"/>
        <v>0P0</v>
      </c>
      <c r="W2927" t="str">
        <f t="shared" si="856"/>
        <v>0P0</v>
      </c>
      <c r="X2927" t="str">
        <f t="shared" si="857"/>
        <v>P0</v>
      </c>
      <c r="Y2927" t="str">
        <f t="shared" si="858"/>
        <v>00</v>
      </c>
      <c r="Z2927" t="str">
        <f t="shared" si="869"/>
        <v>00</v>
      </c>
      <c r="AA2927" t="str">
        <f t="shared" si="859"/>
        <v>00</v>
      </c>
      <c r="AB2927" t="str">
        <f t="shared" si="860"/>
        <v>00</v>
      </c>
      <c r="AC2927" t="str">
        <f t="shared" si="861"/>
        <v>0P0</v>
      </c>
      <c r="AD2927" t="str">
        <f t="shared" si="862"/>
        <v>P00</v>
      </c>
      <c r="AE2927" t="str">
        <f t="shared" si="863"/>
        <v>0P0</v>
      </c>
      <c r="AF2927" t="str">
        <f t="shared" si="864"/>
        <v>P00</v>
      </c>
      <c r="AG2927" t="str">
        <f t="shared" si="870"/>
        <v>0P00</v>
      </c>
      <c r="AH2927" t="str">
        <f t="shared" si="871"/>
        <v>P000</v>
      </c>
      <c r="AI2927" t="str">
        <f t="shared" si="872"/>
        <v>0P00</v>
      </c>
      <c r="AJ2927" t="str">
        <f t="shared" si="873"/>
        <v>P000</v>
      </c>
    </row>
    <row r="2928" spans="1:36" x14ac:dyDescent="0.25">
      <c r="A2928" s="325" t="str">
        <f>CONCATENATE("P",'906MP'!M2628)</f>
        <v>P</v>
      </c>
      <c r="B2928">
        <f>'906MP'!H2628</f>
        <v>0</v>
      </c>
      <c r="C2928">
        <f>'906MP'!J2628</f>
        <v>0</v>
      </c>
      <c r="D2928">
        <f>'906MP'!P2628</f>
        <v>0</v>
      </c>
      <c r="E2928">
        <f>'906MP'!X2628</f>
        <v>0</v>
      </c>
      <c r="F2928" t="str">
        <f t="shared" si="865"/>
        <v>0</v>
      </c>
      <c r="G2928" t="str">
        <f t="shared" si="866"/>
        <v>0</v>
      </c>
      <c r="H2928">
        <f>'906MP'!Y2628</f>
        <v>0</v>
      </c>
      <c r="I2928">
        <f>'906MP'!AK2628</f>
        <v>0</v>
      </c>
      <c r="J2928">
        <f>'906MP'!T2628</f>
        <v>0</v>
      </c>
      <c r="K2928">
        <f>'906MP'!AJ2628</f>
        <v>0</v>
      </c>
      <c r="L2928">
        <f>'906MP'!U2628</f>
        <v>0</v>
      </c>
      <c r="M2928" s="322" t="str">
        <f>IFERROR(VLOOKUP(A2928,PAR!$D$3:$E$53,2,FALSE),"nincs szervezet")</f>
        <v>nincs szervezet</v>
      </c>
      <c r="N2928" s="322" t="str">
        <f>VLOOKUP(F2928,PAR!$R$3:$S$5,2,FALSE)</f>
        <v>3 - egyik sem</v>
      </c>
      <c r="O2928" t="str">
        <f>IFERROR(VLOOKUP(J2928,PAR!$O$3:$P$5,2,FALSE),"nincs feladat")</f>
        <v>nincs feladat</v>
      </c>
      <c r="P2928" t="str">
        <f>IFERROR(VLOOKUP(G2928,PAR!$J$2:$M$19,4),"nincs rovat")</f>
        <v>nincs rovat</v>
      </c>
      <c r="Q2928" t="str">
        <f>IF(H2928&gt;0,VLOOKUP(H2928,PAR!$AA$3:$AC$187,3,FALSE),"nincs főkönyvi számla")</f>
        <v>nincs főkönyvi számla</v>
      </c>
      <c r="R2928" t="str">
        <f>IFERROR(VLOOKUP(K2928,PAR!$V$3:$X$438,3,FALSE),"000000 - Nincs COFOG")</f>
        <v>000000 - Nincs COFOG</v>
      </c>
      <c r="S2928">
        <f t="shared" si="867"/>
        <v>0</v>
      </c>
      <c r="T2928">
        <f t="shared" si="868"/>
        <v>0</v>
      </c>
      <c r="U2928" t="str">
        <f>IF('906MP'!J2628&gt;0,CONCATENATE('906MP'!J2628," - ",'906MP'!P2628,", ",'906MP'!E2628),"nincs megjegyzés")</f>
        <v>nincs megjegyzés</v>
      </c>
      <c r="V2928" t="str">
        <f t="shared" si="855"/>
        <v>0P0</v>
      </c>
      <c r="W2928" t="str">
        <f t="shared" si="856"/>
        <v>0P0</v>
      </c>
      <c r="X2928" t="str">
        <f t="shared" si="857"/>
        <v>P0</v>
      </c>
      <c r="Y2928" t="str">
        <f t="shared" si="858"/>
        <v>00</v>
      </c>
      <c r="Z2928" t="str">
        <f t="shared" si="869"/>
        <v>00</v>
      </c>
      <c r="AA2928" t="str">
        <f t="shared" si="859"/>
        <v>00</v>
      </c>
      <c r="AB2928" t="str">
        <f t="shared" si="860"/>
        <v>00</v>
      </c>
      <c r="AC2928" t="str">
        <f t="shared" si="861"/>
        <v>0P0</v>
      </c>
      <c r="AD2928" t="str">
        <f t="shared" si="862"/>
        <v>P00</v>
      </c>
      <c r="AE2928" t="str">
        <f t="shared" si="863"/>
        <v>0P0</v>
      </c>
      <c r="AF2928" t="str">
        <f t="shared" si="864"/>
        <v>P00</v>
      </c>
      <c r="AG2928" t="str">
        <f t="shared" si="870"/>
        <v>0P00</v>
      </c>
      <c r="AH2928" t="str">
        <f t="shared" si="871"/>
        <v>P000</v>
      </c>
      <c r="AI2928" t="str">
        <f t="shared" si="872"/>
        <v>0P00</v>
      </c>
      <c r="AJ2928" t="str">
        <f t="shared" si="873"/>
        <v>P000</v>
      </c>
    </row>
    <row r="2929" spans="1:36" x14ac:dyDescent="0.25">
      <c r="A2929" s="325" t="str">
        <f>CONCATENATE("P",'906MP'!M2629)</f>
        <v>P</v>
      </c>
      <c r="B2929">
        <f>'906MP'!H2629</f>
        <v>0</v>
      </c>
      <c r="C2929">
        <f>'906MP'!J2629</f>
        <v>0</v>
      </c>
      <c r="D2929">
        <f>'906MP'!P2629</f>
        <v>0</v>
      </c>
      <c r="E2929">
        <f>'906MP'!X2629</f>
        <v>0</v>
      </c>
      <c r="F2929" t="str">
        <f t="shared" si="865"/>
        <v>0</v>
      </c>
      <c r="G2929" t="str">
        <f t="shared" si="866"/>
        <v>0</v>
      </c>
      <c r="H2929">
        <f>'906MP'!Y2629</f>
        <v>0</v>
      </c>
      <c r="I2929">
        <f>'906MP'!AK2629</f>
        <v>0</v>
      </c>
      <c r="J2929">
        <f>'906MP'!T2629</f>
        <v>0</v>
      </c>
      <c r="K2929">
        <f>'906MP'!AJ2629</f>
        <v>0</v>
      </c>
      <c r="L2929">
        <f>'906MP'!U2629</f>
        <v>0</v>
      </c>
      <c r="M2929" s="322" t="str">
        <f>IFERROR(VLOOKUP(A2929,PAR!$D$3:$E$53,2,FALSE),"nincs szervezet")</f>
        <v>nincs szervezet</v>
      </c>
      <c r="N2929" s="322" t="str">
        <f>VLOOKUP(F2929,PAR!$R$3:$S$5,2,FALSE)</f>
        <v>3 - egyik sem</v>
      </c>
      <c r="O2929" t="str">
        <f>IFERROR(VLOOKUP(J2929,PAR!$O$3:$P$5,2,FALSE),"nincs feladat")</f>
        <v>nincs feladat</v>
      </c>
      <c r="P2929" t="str">
        <f>IFERROR(VLOOKUP(G2929,PAR!$J$2:$M$19,4),"nincs rovat")</f>
        <v>nincs rovat</v>
      </c>
      <c r="Q2929" t="str">
        <f>IF(H2929&gt;0,VLOOKUP(H2929,PAR!$AA$3:$AC$187,3,FALSE),"nincs főkönyvi számla")</f>
        <v>nincs főkönyvi számla</v>
      </c>
      <c r="R2929" t="str">
        <f>IFERROR(VLOOKUP(K2929,PAR!$V$3:$X$438,3,FALSE),"000000 - Nincs COFOG")</f>
        <v>000000 - Nincs COFOG</v>
      </c>
      <c r="S2929">
        <f t="shared" si="867"/>
        <v>0</v>
      </c>
      <c r="T2929">
        <f t="shared" si="868"/>
        <v>0</v>
      </c>
      <c r="U2929" t="str">
        <f>IF('906MP'!J2629&gt;0,CONCATENATE('906MP'!J2629," - ",'906MP'!P2629,", ",'906MP'!E2629),"nincs megjegyzés")</f>
        <v>nincs megjegyzés</v>
      </c>
      <c r="V2929" t="str">
        <f t="shared" si="855"/>
        <v>0P0</v>
      </c>
      <c r="W2929" t="str">
        <f t="shared" si="856"/>
        <v>0P0</v>
      </c>
      <c r="X2929" t="str">
        <f t="shared" si="857"/>
        <v>P0</v>
      </c>
      <c r="Y2929" t="str">
        <f t="shared" si="858"/>
        <v>00</v>
      </c>
      <c r="Z2929" t="str">
        <f t="shared" si="869"/>
        <v>00</v>
      </c>
      <c r="AA2929" t="str">
        <f t="shared" si="859"/>
        <v>00</v>
      </c>
      <c r="AB2929" t="str">
        <f t="shared" si="860"/>
        <v>00</v>
      </c>
      <c r="AC2929" t="str">
        <f t="shared" si="861"/>
        <v>0P0</v>
      </c>
      <c r="AD2929" t="str">
        <f t="shared" si="862"/>
        <v>P00</v>
      </c>
      <c r="AE2929" t="str">
        <f t="shared" si="863"/>
        <v>0P0</v>
      </c>
      <c r="AF2929" t="str">
        <f t="shared" si="864"/>
        <v>P00</v>
      </c>
      <c r="AG2929" t="str">
        <f t="shared" si="870"/>
        <v>0P00</v>
      </c>
      <c r="AH2929" t="str">
        <f t="shared" si="871"/>
        <v>P000</v>
      </c>
      <c r="AI2929" t="str">
        <f t="shared" si="872"/>
        <v>0P00</v>
      </c>
      <c r="AJ2929" t="str">
        <f t="shared" si="873"/>
        <v>P000</v>
      </c>
    </row>
    <row r="2930" spans="1:36" x14ac:dyDescent="0.25">
      <c r="A2930" s="325" t="str">
        <f>CONCATENATE("P",'906MP'!M2630)</f>
        <v>P</v>
      </c>
      <c r="B2930">
        <f>'906MP'!H2630</f>
        <v>0</v>
      </c>
      <c r="C2930">
        <f>'906MP'!J2630</f>
        <v>0</v>
      </c>
      <c r="D2930">
        <f>'906MP'!P2630</f>
        <v>0</v>
      </c>
      <c r="E2930">
        <f>'906MP'!X2630</f>
        <v>0</v>
      </c>
      <c r="F2930" t="str">
        <f t="shared" si="865"/>
        <v>0</v>
      </c>
      <c r="G2930" t="str">
        <f t="shared" si="866"/>
        <v>0</v>
      </c>
      <c r="H2930">
        <f>'906MP'!Y2630</f>
        <v>0</v>
      </c>
      <c r="I2930">
        <f>'906MP'!AK2630</f>
        <v>0</v>
      </c>
      <c r="J2930">
        <f>'906MP'!T2630</f>
        <v>0</v>
      </c>
      <c r="K2930">
        <f>'906MP'!AJ2630</f>
        <v>0</v>
      </c>
      <c r="L2930">
        <f>'906MP'!U2630</f>
        <v>0</v>
      </c>
      <c r="M2930" s="322" t="str">
        <f>IFERROR(VLOOKUP(A2930,PAR!$D$3:$E$53,2,FALSE),"nincs szervezet")</f>
        <v>nincs szervezet</v>
      </c>
      <c r="N2930" s="322" t="str">
        <f>VLOOKUP(F2930,PAR!$R$3:$S$5,2,FALSE)</f>
        <v>3 - egyik sem</v>
      </c>
      <c r="O2930" t="str">
        <f>IFERROR(VLOOKUP(J2930,PAR!$O$3:$P$5,2,FALSE),"nincs feladat")</f>
        <v>nincs feladat</v>
      </c>
      <c r="P2930" t="str">
        <f>IFERROR(VLOOKUP(G2930,PAR!$J$2:$M$19,4),"nincs rovat")</f>
        <v>nincs rovat</v>
      </c>
      <c r="Q2930" t="str">
        <f>IF(H2930&gt;0,VLOOKUP(H2930,PAR!$AA$3:$AC$187,3,FALSE),"nincs főkönyvi számla")</f>
        <v>nincs főkönyvi számla</v>
      </c>
      <c r="R2930" t="str">
        <f>IFERROR(VLOOKUP(K2930,PAR!$V$3:$X$438,3,FALSE),"000000 - Nincs COFOG")</f>
        <v>000000 - Nincs COFOG</v>
      </c>
      <c r="S2930">
        <f t="shared" si="867"/>
        <v>0</v>
      </c>
      <c r="T2930">
        <f t="shared" si="868"/>
        <v>0</v>
      </c>
      <c r="U2930" t="str">
        <f>IF('906MP'!J2630&gt;0,CONCATENATE('906MP'!J2630," - ",'906MP'!P2630,", ",'906MP'!E2630),"nincs megjegyzés")</f>
        <v>nincs megjegyzés</v>
      </c>
      <c r="V2930" t="str">
        <f t="shared" si="855"/>
        <v>0P0</v>
      </c>
      <c r="W2930" t="str">
        <f t="shared" si="856"/>
        <v>0P0</v>
      </c>
      <c r="X2930" t="str">
        <f t="shared" si="857"/>
        <v>P0</v>
      </c>
      <c r="Y2930" t="str">
        <f t="shared" si="858"/>
        <v>00</v>
      </c>
      <c r="Z2930" t="str">
        <f t="shared" si="869"/>
        <v>00</v>
      </c>
      <c r="AA2930" t="str">
        <f t="shared" si="859"/>
        <v>00</v>
      </c>
      <c r="AB2930" t="str">
        <f t="shared" si="860"/>
        <v>00</v>
      </c>
      <c r="AC2930" t="str">
        <f t="shared" si="861"/>
        <v>0P0</v>
      </c>
      <c r="AD2930" t="str">
        <f t="shared" si="862"/>
        <v>P00</v>
      </c>
      <c r="AE2930" t="str">
        <f t="shared" si="863"/>
        <v>0P0</v>
      </c>
      <c r="AF2930" t="str">
        <f t="shared" si="864"/>
        <v>P00</v>
      </c>
      <c r="AG2930" t="str">
        <f t="shared" si="870"/>
        <v>0P00</v>
      </c>
      <c r="AH2930" t="str">
        <f t="shared" si="871"/>
        <v>P000</v>
      </c>
      <c r="AI2930" t="str">
        <f t="shared" si="872"/>
        <v>0P00</v>
      </c>
      <c r="AJ2930" t="str">
        <f t="shared" si="873"/>
        <v>P000</v>
      </c>
    </row>
    <row r="2931" spans="1:36" x14ac:dyDescent="0.25">
      <c r="A2931" s="325" t="str">
        <f>CONCATENATE("P",'906MP'!M2631)</f>
        <v>P</v>
      </c>
      <c r="B2931">
        <f>'906MP'!H2631</f>
        <v>0</v>
      </c>
      <c r="C2931">
        <f>'906MP'!J2631</f>
        <v>0</v>
      </c>
      <c r="D2931">
        <f>'906MP'!P2631</f>
        <v>0</v>
      </c>
      <c r="E2931">
        <f>'906MP'!X2631</f>
        <v>0</v>
      </c>
      <c r="F2931" t="str">
        <f t="shared" si="865"/>
        <v>0</v>
      </c>
      <c r="G2931" t="str">
        <f t="shared" si="866"/>
        <v>0</v>
      </c>
      <c r="H2931">
        <f>'906MP'!Y2631</f>
        <v>0</v>
      </c>
      <c r="I2931">
        <f>'906MP'!AK2631</f>
        <v>0</v>
      </c>
      <c r="J2931">
        <f>'906MP'!T2631</f>
        <v>0</v>
      </c>
      <c r="K2931">
        <f>'906MP'!AJ2631</f>
        <v>0</v>
      </c>
      <c r="L2931">
        <f>'906MP'!U2631</f>
        <v>0</v>
      </c>
      <c r="M2931" s="322" t="str">
        <f>IFERROR(VLOOKUP(A2931,PAR!$D$3:$E$53,2,FALSE),"nincs szervezet")</f>
        <v>nincs szervezet</v>
      </c>
      <c r="N2931" s="322" t="str">
        <f>VLOOKUP(F2931,PAR!$R$3:$S$5,2,FALSE)</f>
        <v>3 - egyik sem</v>
      </c>
      <c r="O2931" t="str">
        <f>IFERROR(VLOOKUP(J2931,PAR!$O$3:$P$5,2,FALSE),"nincs feladat")</f>
        <v>nincs feladat</v>
      </c>
      <c r="P2931" t="str">
        <f>IFERROR(VLOOKUP(G2931,PAR!$J$2:$M$19,4),"nincs rovat")</f>
        <v>nincs rovat</v>
      </c>
      <c r="Q2931" t="str">
        <f>IF(H2931&gt;0,VLOOKUP(H2931,PAR!$AA$3:$AC$187,3,FALSE),"nincs főkönyvi számla")</f>
        <v>nincs főkönyvi számla</v>
      </c>
      <c r="R2931" t="str">
        <f>IFERROR(VLOOKUP(K2931,PAR!$V$3:$X$438,3,FALSE),"000000 - Nincs COFOG")</f>
        <v>000000 - Nincs COFOG</v>
      </c>
      <c r="S2931">
        <f t="shared" si="867"/>
        <v>0</v>
      </c>
      <c r="T2931">
        <f t="shared" si="868"/>
        <v>0</v>
      </c>
      <c r="U2931" t="str">
        <f>IF('906MP'!J2631&gt;0,CONCATENATE('906MP'!J2631," - ",'906MP'!P2631,", ",'906MP'!E2631),"nincs megjegyzés")</f>
        <v>nincs megjegyzés</v>
      </c>
      <c r="V2931" t="str">
        <f t="shared" si="855"/>
        <v>0P0</v>
      </c>
      <c r="W2931" t="str">
        <f t="shared" si="856"/>
        <v>0P0</v>
      </c>
      <c r="X2931" t="str">
        <f t="shared" si="857"/>
        <v>P0</v>
      </c>
      <c r="Y2931" t="str">
        <f t="shared" si="858"/>
        <v>00</v>
      </c>
      <c r="Z2931" t="str">
        <f t="shared" si="869"/>
        <v>00</v>
      </c>
      <c r="AA2931" t="str">
        <f t="shared" si="859"/>
        <v>00</v>
      </c>
      <c r="AB2931" t="str">
        <f t="shared" si="860"/>
        <v>00</v>
      </c>
      <c r="AC2931" t="str">
        <f t="shared" si="861"/>
        <v>0P0</v>
      </c>
      <c r="AD2931" t="str">
        <f t="shared" si="862"/>
        <v>P00</v>
      </c>
      <c r="AE2931" t="str">
        <f t="shared" si="863"/>
        <v>0P0</v>
      </c>
      <c r="AF2931" t="str">
        <f t="shared" si="864"/>
        <v>P00</v>
      </c>
      <c r="AG2931" t="str">
        <f t="shared" si="870"/>
        <v>0P00</v>
      </c>
      <c r="AH2931" t="str">
        <f t="shared" si="871"/>
        <v>P000</v>
      </c>
      <c r="AI2931" t="str">
        <f t="shared" si="872"/>
        <v>0P00</v>
      </c>
      <c r="AJ2931" t="str">
        <f t="shared" si="873"/>
        <v>P000</v>
      </c>
    </row>
    <row r="2932" spans="1:36" x14ac:dyDescent="0.25">
      <c r="A2932" s="325" t="str">
        <f>CONCATENATE("P",'906MP'!M2632)</f>
        <v>P</v>
      </c>
      <c r="B2932">
        <f>'906MP'!H2632</f>
        <v>0</v>
      </c>
      <c r="C2932">
        <f>'906MP'!J2632</f>
        <v>0</v>
      </c>
      <c r="D2932">
        <f>'906MP'!P2632</f>
        <v>0</v>
      </c>
      <c r="E2932">
        <f>'906MP'!X2632</f>
        <v>0</v>
      </c>
      <c r="F2932" t="str">
        <f t="shared" si="865"/>
        <v>0</v>
      </c>
      <c r="G2932" t="str">
        <f t="shared" si="866"/>
        <v>0</v>
      </c>
      <c r="H2932">
        <f>'906MP'!Y2632</f>
        <v>0</v>
      </c>
      <c r="I2932">
        <f>'906MP'!AK2632</f>
        <v>0</v>
      </c>
      <c r="J2932">
        <f>'906MP'!T2632</f>
        <v>0</v>
      </c>
      <c r="K2932">
        <f>'906MP'!AJ2632</f>
        <v>0</v>
      </c>
      <c r="L2932">
        <f>'906MP'!U2632</f>
        <v>0</v>
      </c>
      <c r="M2932" s="322" t="str">
        <f>IFERROR(VLOOKUP(A2932,PAR!$D$3:$E$53,2,FALSE),"nincs szervezet")</f>
        <v>nincs szervezet</v>
      </c>
      <c r="N2932" s="322" t="str">
        <f>VLOOKUP(F2932,PAR!$R$3:$S$5,2,FALSE)</f>
        <v>3 - egyik sem</v>
      </c>
      <c r="O2932" t="str">
        <f>IFERROR(VLOOKUP(J2932,PAR!$O$3:$P$5,2,FALSE),"nincs feladat")</f>
        <v>nincs feladat</v>
      </c>
      <c r="P2932" t="str">
        <f>IFERROR(VLOOKUP(G2932,PAR!$J$2:$M$19,4),"nincs rovat")</f>
        <v>nincs rovat</v>
      </c>
      <c r="Q2932" t="str">
        <f>IF(H2932&gt;0,VLOOKUP(H2932,PAR!$AA$3:$AC$187,3,FALSE),"nincs főkönyvi számla")</f>
        <v>nincs főkönyvi számla</v>
      </c>
      <c r="R2932" t="str">
        <f>IFERROR(VLOOKUP(K2932,PAR!$V$3:$X$438,3,FALSE),"000000 - Nincs COFOG")</f>
        <v>000000 - Nincs COFOG</v>
      </c>
      <c r="S2932">
        <f t="shared" si="867"/>
        <v>0</v>
      </c>
      <c r="T2932">
        <f t="shared" si="868"/>
        <v>0</v>
      </c>
      <c r="U2932" t="str">
        <f>IF('906MP'!J2632&gt;0,CONCATENATE('906MP'!J2632," - ",'906MP'!P2632,", ",'906MP'!E2632),"nincs megjegyzés")</f>
        <v>nincs megjegyzés</v>
      </c>
      <c r="V2932" t="str">
        <f t="shared" si="855"/>
        <v>0P0</v>
      </c>
      <c r="W2932" t="str">
        <f t="shared" si="856"/>
        <v>0P0</v>
      </c>
      <c r="X2932" t="str">
        <f t="shared" si="857"/>
        <v>P0</v>
      </c>
      <c r="Y2932" t="str">
        <f t="shared" si="858"/>
        <v>00</v>
      </c>
      <c r="Z2932" t="str">
        <f t="shared" si="869"/>
        <v>00</v>
      </c>
      <c r="AA2932" t="str">
        <f t="shared" si="859"/>
        <v>00</v>
      </c>
      <c r="AB2932" t="str">
        <f t="shared" si="860"/>
        <v>00</v>
      </c>
      <c r="AC2932" t="str">
        <f t="shared" si="861"/>
        <v>0P0</v>
      </c>
      <c r="AD2932" t="str">
        <f t="shared" si="862"/>
        <v>P00</v>
      </c>
      <c r="AE2932" t="str">
        <f t="shared" si="863"/>
        <v>0P0</v>
      </c>
      <c r="AF2932" t="str">
        <f t="shared" si="864"/>
        <v>P00</v>
      </c>
      <c r="AG2932" t="str">
        <f t="shared" si="870"/>
        <v>0P00</v>
      </c>
      <c r="AH2932" t="str">
        <f t="shared" si="871"/>
        <v>P000</v>
      </c>
      <c r="AI2932" t="str">
        <f t="shared" si="872"/>
        <v>0P00</v>
      </c>
      <c r="AJ2932" t="str">
        <f t="shared" si="873"/>
        <v>P000</v>
      </c>
    </row>
    <row r="2933" spans="1:36" x14ac:dyDescent="0.25">
      <c r="A2933" s="325" t="str">
        <f>CONCATENATE("P",'906MP'!M2633)</f>
        <v>P</v>
      </c>
      <c r="B2933">
        <f>'906MP'!H2633</f>
        <v>0</v>
      </c>
      <c r="C2933">
        <f>'906MP'!J2633</f>
        <v>0</v>
      </c>
      <c r="D2933">
        <f>'906MP'!P2633</f>
        <v>0</v>
      </c>
      <c r="E2933">
        <f>'906MP'!X2633</f>
        <v>0</v>
      </c>
      <c r="F2933" t="str">
        <f t="shared" si="865"/>
        <v>0</v>
      </c>
      <c r="G2933" t="str">
        <f t="shared" si="866"/>
        <v>0</v>
      </c>
      <c r="H2933">
        <f>'906MP'!Y2633</f>
        <v>0</v>
      </c>
      <c r="I2933">
        <f>'906MP'!AK2633</f>
        <v>0</v>
      </c>
      <c r="J2933">
        <f>'906MP'!T2633</f>
        <v>0</v>
      </c>
      <c r="K2933">
        <f>'906MP'!AJ2633</f>
        <v>0</v>
      </c>
      <c r="L2933">
        <f>'906MP'!U2633</f>
        <v>0</v>
      </c>
      <c r="M2933" s="322" t="str">
        <f>IFERROR(VLOOKUP(A2933,PAR!$D$3:$E$53,2,FALSE),"nincs szervezet")</f>
        <v>nincs szervezet</v>
      </c>
      <c r="N2933" s="322" t="str">
        <f>VLOOKUP(F2933,PAR!$R$3:$S$5,2,FALSE)</f>
        <v>3 - egyik sem</v>
      </c>
      <c r="O2933" t="str">
        <f>IFERROR(VLOOKUP(J2933,PAR!$O$3:$P$5,2,FALSE),"nincs feladat")</f>
        <v>nincs feladat</v>
      </c>
      <c r="P2933" t="str">
        <f>IFERROR(VLOOKUP(G2933,PAR!$J$2:$M$19,4),"nincs rovat")</f>
        <v>nincs rovat</v>
      </c>
      <c r="Q2933" t="str">
        <f>IF(H2933&gt;0,VLOOKUP(H2933,PAR!$AA$3:$AC$187,3,FALSE),"nincs főkönyvi számla")</f>
        <v>nincs főkönyvi számla</v>
      </c>
      <c r="R2933" t="str">
        <f>IFERROR(VLOOKUP(K2933,PAR!$V$3:$X$438,3,FALSE),"000000 - Nincs COFOG")</f>
        <v>000000 - Nincs COFOG</v>
      </c>
      <c r="S2933">
        <f t="shared" si="867"/>
        <v>0</v>
      </c>
      <c r="T2933">
        <f t="shared" si="868"/>
        <v>0</v>
      </c>
      <c r="U2933" t="str">
        <f>IF('906MP'!J2633&gt;0,CONCATENATE('906MP'!J2633," - ",'906MP'!P2633,", ",'906MP'!E2633),"nincs megjegyzés")</f>
        <v>nincs megjegyzés</v>
      </c>
      <c r="V2933" t="str">
        <f t="shared" si="855"/>
        <v>0P0</v>
      </c>
      <c r="W2933" t="str">
        <f t="shared" si="856"/>
        <v>0P0</v>
      </c>
      <c r="X2933" t="str">
        <f t="shared" si="857"/>
        <v>P0</v>
      </c>
      <c r="Y2933" t="str">
        <f t="shared" si="858"/>
        <v>00</v>
      </c>
      <c r="Z2933" t="str">
        <f t="shared" si="869"/>
        <v>00</v>
      </c>
      <c r="AA2933" t="str">
        <f t="shared" si="859"/>
        <v>00</v>
      </c>
      <c r="AB2933" t="str">
        <f t="shared" si="860"/>
        <v>00</v>
      </c>
      <c r="AC2933" t="str">
        <f t="shared" si="861"/>
        <v>0P0</v>
      </c>
      <c r="AD2933" t="str">
        <f t="shared" si="862"/>
        <v>P00</v>
      </c>
      <c r="AE2933" t="str">
        <f t="shared" si="863"/>
        <v>0P0</v>
      </c>
      <c r="AF2933" t="str">
        <f t="shared" si="864"/>
        <v>P00</v>
      </c>
      <c r="AG2933" t="str">
        <f t="shared" si="870"/>
        <v>0P00</v>
      </c>
      <c r="AH2933" t="str">
        <f t="shared" si="871"/>
        <v>P000</v>
      </c>
      <c r="AI2933" t="str">
        <f t="shared" si="872"/>
        <v>0P00</v>
      </c>
      <c r="AJ2933" t="str">
        <f t="shared" si="873"/>
        <v>P000</v>
      </c>
    </row>
    <row r="2934" spans="1:36" x14ac:dyDescent="0.25">
      <c r="A2934" s="325" t="str">
        <f>CONCATENATE("P",'906MP'!M2634)</f>
        <v>P</v>
      </c>
      <c r="B2934">
        <f>'906MP'!H2634</f>
        <v>0</v>
      </c>
      <c r="C2934">
        <f>'906MP'!J2634</f>
        <v>0</v>
      </c>
      <c r="D2934">
        <f>'906MP'!P2634</f>
        <v>0</v>
      </c>
      <c r="E2934">
        <f>'906MP'!X2634</f>
        <v>0</v>
      </c>
      <c r="F2934" t="str">
        <f t="shared" si="865"/>
        <v>0</v>
      </c>
      <c r="G2934" t="str">
        <f t="shared" si="866"/>
        <v>0</v>
      </c>
      <c r="H2934">
        <f>'906MP'!Y2634</f>
        <v>0</v>
      </c>
      <c r="I2934">
        <f>'906MP'!AK2634</f>
        <v>0</v>
      </c>
      <c r="J2934">
        <f>'906MP'!T2634</f>
        <v>0</v>
      </c>
      <c r="K2934">
        <f>'906MP'!AJ2634</f>
        <v>0</v>
      </c>
      <c r="L2934">
        <f>'906MP'!U2634</f>
        <v>0</v>
      </c>
      <c r="M2934" s="322" t="str">
        <f>IFERROR(VLOOKUP(A2934,PAR!$D$3:$E$53,2,FALSE),"nincs szervezet")</f>
        <v>nincs szervezet</v>
      </c>
      <c r="N2934" s="322" t="str">
        <f>VLOOKUP(F2934,PAR!$R$3:$S$5,2,FALSE)</f>
        <v>3 - egyik sem</v>
      </c>
      <c r="O2934" t="str">
        <f>IFERROR(VLOOKUP(J2934,PAR!$O$3:$P$5,2,FALSE),"nincs feladat")</f>
        <v>nincs feladat</v>
      </c>
      <c r="P2934" t="str">
        <f>IFERROR(VLOOKUP(G2934,PAR!$J$2:$M$19,4),"nincs rovat")</f>
        <v>nincs rovat</v>
      </c>
      <c r="Q2934" t="str">
        <f>IF(H2934&gt;0,VLOOKUP(H2934,PAR!$AA$3:$AC$187,3,FALSE),"nincs főkönyvi számla")</f>
        <v>nincs főkönyvi számla</v>
      </c>
      <c r="R2934" t="str">
        <f>IFERROR(VLOOKUP(K2934,PAR!$V$3:$X$438,3,FALSE),"000000 - Nincs COFOG")</f>
        <v>000000 - Nincs COFOG</v>
      </c>
      <c r="S2934">
        <f t="shared" si="867"/>
        <v>0</v>
      </c>
      <c r="T2934">
        <f t="shared" si="868"/>
        <v>0</v>
      </c>
      <c r="U2934" t="str">
        <f>IF('906MP'!J2634&gt;0,CONCATENATE('906MP'!J2634," - ",'906MP'!P2634,", ",'906MP'!E2634),"nincs megjegyzés")</f>
        <v>nincs megjegyzés</v>
      </c>
      <c r="V2934" t="str">
        <f t="shared" si="855"/>
        <v>0P0</v>
      </c>
      <c r="W2934" t="str">
        <f t="shared" si="856"/>
        <v>0P0</v>
      </c>
      <c r="X2934" t="str">
        <f t="shared" si="857"/>
        <v>P0</v>
      </c>
      <c r="Y2934" t="str">
        <f t="shared" si="858"/>
        <v>00</v>
      </c>
      <c r="Z2934" t="str">
        <f t="shared" si="869"/>
        <v>00</v>
      </c>
      <c r="AA2934" t="str">
        <f t="shared" si="859"/>
        <v>00</v>
      </c>
      <c r="AB2934" t="str">
        <f t="shared" si="860"/>
        <v>00</v>
      </c>
      <c r="AC2934" t="str">
        <f t="shared" si="861"/>
        <v>0P0</v>
      </c>
      <c r="AD2934" t="str">
        <f t="shared" si="862"/>
        <v>P00</v>
      </c>
      <c r="AE2934" t="str">
        <f t="shared" si="863"/>
        <v>0P0</v>
      </c>
      <c r="AF2934" t="str">
        <f t="shared" si="864"/>
        <v>P00</v>
      </c>
      <c r="AG2934" t="str">
        <f t="shared" si="870"/>
        <v>0P00</v>
      </c>
      <c r="AH2934" t="str">
        <f t="shared" si="871"/>
        <v>P000</v>
      </c>
      <c r="AI2934" t="str">
        <f t="shared" si="872"/>
        <v>0P00</v>
      </c>
      <c r="AJ2934" t="str">
        <f t="shared" si="873"/>
        <v>P000</v>
      </c>
    </row>
    <row r="2935" spans="1:36" x14ac:dyDescent="0.25">
      <c r="A2935" s="325" t="str">
        <f>CONCATENATE("P",'906MP'!M2635)</f>
        <v>P</v>
      </c>
      <c r="B2935">
        <f>'906MP'!H2635</f>
        <v>0</v>
      </c>
      <c r="C2935">
        <f>'906MP'!J2635</f>
        <v>0</v>
      </c>
      <c r="D2935">
        <f>'906MP'!P2635</f>
        <v>0</v>
      </c>
      <c r="E2935">
        <f>'906MP'!X2635</f>
        <v>0</v>
      </c>
      <c r="F2935" t="str">
        <f t="shared" si="865"/>
        <v>0</v>
      </c>
      <c r="G2935" t="str">
        <f t="shared" si="866"/>
        <v>0</v>
      </c>
      <c r="H2935">
        <f>'906MP'!Y2635</f>
        <v>0</v>
      </c>
      <c r="I2935">
        <f>'906MP'!AK2635</f>
        <v>0</v>
      </c>
      <c r="J2935">
        <f>'906MP'!T2635</f>
        <v>0</v>
      </c>
      <c r="K2935">
        <f>'906MP'!AJ2635</f>
        <v>0</v>
      </c>
      <c r="L2935">
        <f>'906MP'!U2635</f>
        <v>0</v>
      </c>
      <c r="M2935" s="322" t="str">
        <f>IFERROR(VLOOKUP(A2935,PAR!$D$3:$E$53,2,FALSE),"nincs szervezet")</f>
        <v>nincs szervezet</v>
      </c>
      <c r="N2935" s="322" t="str">
        <f>VLOOKUP(F2935,PAR!$R$3:$S$5,2,FALSE)</f>
        <v>3 - egyik sem</v>
      </c>
      <c r="O2935" t="str">
        <f>IFERROR(VLOOKUP(J2935,PAR!$O$3:$P$5,2,FALSE),"nincs feladat")</f>
        <v>nincs feladat</v>
      </c>
      <c r="P2935" t="str">
        <f>IFERROR(VLOOKUP(G2935,PAR!$J$2:$M$19,4),"nincs rovat")</f>
        <v>nincs rovat</v>
      </c>
      <c r="Q2935" t="str">
        <f>IF(H2935&gt;0,VLOOKUP(H2935,PAR!$AA$3:$AC$187,3,FALSE),"nincs főkönyvi számla")</f>
        <v>nincs főkönyvi számla</v>
      </c>
      <c r="R2935" t="str">
        <f>IFERROR(VLOOKUP(K2935,PAR!$V$3:$X$438,3,FALSE),"000000 - Nincs COFOG")</f>
        <v>000000 - Nincs COFOG</v>
      </c>
      <c r="S2935">
        <f t="shared" si="867"/>
        <v>0</v>
      </c>
      <c r="T2935">
        <f t="shared" si="868"/>
        <v>0</v>
      </c>
      <c r="U2935" t="str">
        <f>IF('906MP'!J2635&gt;0,CONCATENATE('906MP'!J2635," - ",'906MP'!P2635,", ",'906MP'!E2635),"nincs megjegyzés")</f>
        <v>nincs megjegyzés</v>
      </c>
      <c r="V2935" t="str">
        <f t="shared" si="855"/>
        <v>0P0</v>
      </c>
      <c r="W2935" t="str">
        <f t="shared" si="856"/>
        <v>0P0</v>
      </c>
      <c r="X2935" t="str">
        <f t="shared" si="857"/>
        <v>P0</v>
      </c>
      <c r="Y2935" t="str">
        <f t="shared" si="858"/>
        <v>00</v>
      </c>
      <c r="Z2935" t="str">
        <f t="shared" si="869"/>
        <v>00</v>
      </c>
      <c r="AA2935" t="str">
        <f t="shared" si="859"/>
        <v>00</v>
      </c>
      <c r="AB2935" t="str">
        <f t="shared" si="860"/>
        <v>00</v>
      </c>
      <c r="AC2935" t="str">
        <f t="shared" si="861"/>
        <v>0P0</v>
      </c>
      <c r="AD2935" t="str">
        <f t="shared" si="862"/>
        <v>P00</v>
      </c>
      <c r="AE2935" t="str">
        <f t="shared" si="863"/>
        <v>0P0</v>
      </c>
      <c r="AF2935" t="str">
        <f t="shared" si="864"/>
        <v>P00</v>
      </c>
      <c r="AG2935" t="str">
        <f t="shared" si="870"/>
        <v>0P00</v>
      </c>
      <c r="AH2935" t="str">
        <f t="shared" si="871"/>
        <v>P000</v>
      </c>
      <c r="AI2935" t="str">
        <f t="shared" si="872"/>
        <v>0P00</v>
      </c>
      <c r="AJ2935" t="str">
        <f t="shared" si="873"/>
        <v>P000</v>
      </c>
    </row>
    <row r="2936" spans="1:36" x14ac:dyDescent="0.25">
      <c r="A2936" s="325" t="str">
        <f>CONCATENATE("P",'906MP'!M2636)</f>
        <v>P</v>
      </c>
      <c r="B2936">
        <f>'906MP'!H2636</f>
        <v>0</v>
      </c>
      <c r="C2936">
        <f>'906MP'!J2636</f>
        <v>0</v>
      </c>
      <c r="D2936">
        <f>'906MP'!P2636</f>
        <v>0</v>
      </c>
      <c r="E2936">
        <f>'906MP'!X2636</f>
        <v>0</v>
      </c>
      <c r="F2936" t="str">
        <f t="shared" si="865"/>
        <v>0</v>
      </c>
      <c r="G2936" t="str">
        <f t="shared" si="866"/>
        <v>0</v>
      </c>
      <c r="H2936">
        <f>'906MP'!Y2636</f>
        <v>0</v>
      </c>
      <c r="I2936">
        <f>'906MP'!AK2636</f>
        <v>0</v>
      </c>
      <c r="J2936">
        <f>'906MP'!T2636</f>
        <v>0</v>
      </c>
      <c r="K2936">
        <f>'906MP'!AJ2636</f>
        <v>0</v>
      </c>
      <c r="L2936">
        <f>'906MP'!U2636</f>
        <v>0</v>
      </c>
      <c r="M2936" s="322" t="str">
        <f>IFERROR(VLOOKUP(A2936,PAR!$D$3:$E$53,2,FALSE),"nincs szervezet")</f>
        <v>nincs szervezet</v>
      </c>
      <c r="N2936" s="322" t="str">
        <f>VLOOKUP(F2936,PAR!$R$3:$S$5,2,FALSE)</f>
        <v>3 - egyik sem</v>
      </c>
      <c r="O2936" t="str">
        <f>IFERROR(VLOOKUP(J2936,PAR!$O$3:$P$5,2,FALSE),"nincs feladat")</f>
        <v>nincs feladat</v>
      </c>
      <c r="P2936" t="str">
        <f>IFERROR(VLOOKUP(G2936,PAR!$J$2:$M$19,4),"nincs rovat")</f>
        <v>nincs rovat</v>
      </c>
      <c r="Q2936" t="str">
        <f>IF(H2936&gt;0,VLOOKUP(H2936,PAR!$AA$3:$AC$187,3,FALSE),"nincs főkönyvi számla")</f>
        <v>nincs főkönyvi számla</v>
      </c>
      <c r="R2936" t="str">
        <f>IFERROR(VLOOKUP(K2936,PAR!$V$3:$X$438,3,FALSE),"000000 - Nincs COFOG")</f>
        <v>000000 - Nincs COFOG</v>
      </c>
      <c r="S2936">
        <f t="shared" si="867"/>
        <v>0</v>
      </c>
      <c r="T2936">
        <f t="shared" si="868"/>
        <v>0</v>
      </c>
      <c r="U2936" t="str">
        <f>IF('906MP'!J2636&gt;0,CONCATENATE('906MP'!J2636," - ",'906MP'!P2636,", ",'906MP'!E2636),"nincs megjegyzés")</f>
        <v>nincs megjegyzés</v>
      </c>
      <c r="V2936" t="str">
        <f t="shared" si="855"/>
        <v>0P0</v>
      </c>
      <c r="W2936" t="str">
        <f t="shared" si="856"/>
        <v>0P0</v>
      </c>
      <c r="X2936" t="str">
        <f t="shared" si="857"/>
        <v>P0</v>
      </c>
      <c r="Y2936" t="str">
        <f t="shared" si="858"/>
        <v>00</v>
      </c>
      <c r="Z2936" t="str">
        <f t="shared" si="869"/>
        <v>00</v>
      </c>
      <c r="AA2936" t="str">
        <f t="shared" si="859"/>
        <v>00</v>
      </c>
      <c r="AB2936" t="str">
        <f t="shared" si="860"/>
        <v>00</v>
      </c>
      <c r="AC2936" t="str">
        <f t="shared" si="861"/>
        <v>0P0</v>
      </c>
      <c r="AD2936" t="str">
        <f t="shared" si="862"/>
        <v>P00</v>
      </c>
      <c r="AE2936" t="str">
        <f t="shared" si="863"/>
        <v>0P0</v>
      </c>
      <c r="AF2936" t="str">
        <f t="shared" si="864"/>
        <v>P00</v>
      </c>
      <c r="AG2936" t="str">
        <f t="shared" si="870"/>
        <v>0P00</v>
      </c>
      <c r="AH2936" t="str">
        <f t="shared" si="871"/>
        <v>P000</v>
      </c>
      <c r="AI2936" t="str">
        <f t="shared" si="872"/>
        <v>0P00</v>
      </c>
      <c r="AJ2936" t="str">
        <f t="shared" si="873"/>
        <v>P000</v>
      </c>
    </row>
    <row r="2937" spans="1:36" x14ac:dyDescent="0.25">
      <c r="A2937" s="325" t="str">
        <f>CONCATENATE("P",'906MP'!M2637)</f>
        <v>P</v>
      </c>
      <c r="B2937">
        <f>'906MP'!H2637</f>
        <v>0</v>
      </c>
      <c r="C2937">
        <f>'906MP'!J2637</f>
        <v>0</v>
      </c>
      <c r="D2937">
        <f>'906MP'!P2637</f>
        <v>0</v>
      </c>
      <c r="E2937">
        <f>'906MP'!X2637</f>
        <v>0</v>
      </c>
      <c r="F2937" t="str">
        <f t="shared" si="865"/>
        <v>0</v>
      </c>
      <c r="G2937" t="str">
        <f t="shared" si="866"/>
        <v>0</v>
      </c>
      <c r="H2937">
        <f>'906MP'!Y2637</f>
        <v>0</v>
      </c>
      <c r="I2937">
        <f>'906MP'!AK2637</f>
        <v>0</v>
      </c>
      <c r="J2937">
        <f>'906MP'!T2637</f>
        <v>0</v>
      </c>
      <c r="K2937">
        <f>'906MP'!AJ2637</f>
        <v>0</v>
      </c>
      <c r="L2937">
        <f>'906MP'!U2637</f>
        <v>0</v>
      </c>
      <c r="M2937" s="322" t="str">
        <f>IFERROR(VLOOKUP(A2937,PAR!$D$3:$E$53,2,FALSE),"nincs szervezet")</f>
        <v>nincs szervezet</v>
      </c>
      <c r="N2937" s="322" t="str">
        <f>VLOOKUP(F2937,PAR!$R$3:$S$5,2,FALSE)</f>
        <v>3 - egyik sem</v>
      </c>
      <c r="O2937" t="str">
        <f>IFERROR(VLOOKUP(J2937,PAR!$O$3:$P$5,2,FALSE),"nincs feladat")</f>
        <v>nincs feladat</v>
      </c>
      <c r="P2937" t="str">
        <f>IFERROR(VLOOKUP(G2937,PAR!$J$2:$M$19,4),"nincs rovat")</f>
        <v>nincs rovat</v>
      </c>
      <c r="Q2937" t="str">
        <f>IF(H2937&gt;0,VLOOKUP(H2937,PAR!$AA$3:$AC$187,3,FALSE),"nincs főkönyvi számla")</f>
        <v>nincs főkönyvi számla</v>
      </c>
      <c r="R2937" t="str">
        <f>IFERROR(VLOOKUP(K2937,PAR!$V$3:$X$438,3,FALSE),"000000 - Nincs COFOG")</f>
        <v>000000 - Nincs COFOG</v>
      </c>
      <c r="S2937">
        <f t="shared" si="867"/>
        <v>0</v>
      </c>
      <c r="T2937">
        <f t="shared" si="868"/>
        <v>0</v>
      </c>
      <c r="U2937" t="str">
        <f>IF('906MP'!J2637&gt;0,CONCATENATE('906MP'!J2637," - ",'906MP'!P2637,", ",'906MP'!E2637),"nincs megjegyzés")</f>
        <v>nincs megjegyzés</v>
      </c>
      <c r="V2937" t="str">
        <f t="shared" si="855"/>
        <v>0P0</v>
      </c>
      <c r="W2937" t="str">
        <f t="shared" si="856"/>
        <v>0P0</v>
      </c>
      <c r="X2937" t="str">
        <f t="shared" si="857"/>
        <v>P0</v>
      </c>
      <c r="Y2937" t="str">
        <f t="shared" si="858"/>
        <v>00</v>
      </c>
      <c r="Z2937" t="str">
        <f t="shared" si="869"/>
        <v>00</v>
      </c>
      <c r="AA2937" t="str">
        <f t="shared" si="859"/>
        <v>00</v>
      </c>
      <c r="AB2937" t="str">
        <f t="shared" si="860"/>
        <v>00</v>
      </c>
      <c r="AC2937" t="str">
        <f t="shared" si="861"/>
        <v>0P0</v>
      </c>
      <c r="AD2937" t="str">
        <f t="shared" si="862"/>
        <v>P00</v>
      </c>
      <c r="AE2937" t="str">
        <f t="shared" si="863"/>
        <v>0P0</v>
      </c>
      <c r="AF2937" t="str">
        <f t="shared" si="864"/>
        <v>P00</v>
      </c>
      <c r="AG2937" t="str">
        <f t="shared" si="870"/>
        <v>0P00</v>
      </c>
      <c r="AH2937" t="str">
        <f t="shared" si="871"/>
        <v>P000</v>
      </c>
      <c r="AI2937" t="str">
        <f t="shared" si="872"/>
        <v>0P00</v>
      </c>
      <c r="AJ2937" t="str">
        <f t="shared" si="873"/>
        <v>P000</v>
      </c>
    </row>
    <row r="2938" spans="1:36" x14ac:dyDescent="0.25">
      <c r="A2938" s="325" t="str">
        <f>CONCATENATE("P",'906MP'!M2638)</f>
        <v>P</v>
      </c>
      <c r="B2938">
        <f>'906MP'!H2638</f>
        <v>0</v>
      </c>
      <c r="C2938">
        <f>'906MP'!J2638</f>
        <v>0</v>
      </c>
      <c r="D2938">
        <f>'906MP'!P2638</f>
        <v>0</v>
      </c>
      <c r="E2938">
        <f>'906MP'!X2638</f>
        <v>0</v>
      </c>
      <c r="F2938" t="str">
        <f t="shared" si="865"/>
        <v>0</v>
      </c>
      <c r="G2938" t="str">
        <f t="shared" si="866"/>
        <v>0</v>
      </c>
      <c r="H2938">
        <f>'906MP'!Y2638</f>
        <v>0</v>
      </c>
      <c r="I2938">
        <f>'906MP'!AK2638</f>
        <v>0</v>
      </c>
      <c r="J2938">
        <f>'906MP'!T2638</f>
        <v>0</v>
      </c>
      <c r="K2938">
        <f>'906MP'!AJ2638</f>
        <v>0</v>
      </c>
      <c r="L2938">
        <f>'906MP'!U2638</f>
        <v>0</v>
      </c>
      <c r="M2938" s="322" t="str">
        <f>IFERROR(VLOOKUP(A2938,PAR!$D$3:$E$53,2,FALSE),"nincs szervezet")</f>
        <v>nincs szervezet</v>
      </c>
      <c r="N2938" s="322" t="str">
        <f>VLOOKUP(F2938,PAR!$R$3:$S$5,2,FALSE)</f>
        <v>3 - egyik sem</v>
      </c>
      <c r="O2938" t="str">
        <f>IFERROR(VLOOKUP(J2938,PAR!$O$3:$P$5,2,FALSE),"nincs feladat")</f>
        <v>nincs feladat</v>
      </c>
      <c r="P2938" t="str">
        <f>IFERROR(VLOOKUP(G2938,PAR!$J$2:$M$19,4),"nincs rovat")</f>
        <v>nincs rovat</v>
      </c>
      <c r="Q2938" t="str">
        <f>IF(H2938&gt;0,VLOOKUP(H2938,PAR!$AA$3:$AC$187,3,FALSE),"nincs főkönyvi számla")</f>
        <v>nincs főkönyvi számla</v>
      </c>
      <c r="R2938" t="str">
        <f>IFERROR(VLOOKUP(K2938,PAR!$V$3:$X$438,3,FALSE),"000000 - Nincs COFOG")</f>
        <v>000000 - Nincs COFOG</v>
      </c>
      <c r="S2938">
        <f t="shared" si="867"/>
        <v>0</v>
      </c>
      <c r="T2938">
        <f t="shared" si="868"/>
        <v>0</v>
      </c>
      <c r="U2938" t="str">
        <f>IF('906MP'!J2638&gt;0,CONCATENATE('906MP'!J2638," - ",'906MP'!P2638,", ",'906MP'!E2638),"nincs megjegyzés")</f>
        <v>nincs megjegyzés</v>
      </c>
      <c r="V2938" t="str">
        <f t="shared" si="855"/>
        <v>0P0</v>
      </c>
      <c r="W2938" t="str">
        <f t="shared" si="856"/>
        <v>0P0</v>
      </c>
      <c r="X2938" t="str">
        <f t="shared" si="857"/>
        <v>P0</v>
      </c>
      <c r="Y2938" t="str">
        <f t="shared" si="858"/>
        <v>00</v>
      </c>
      <c r="Z2938" t="str">
        <f t="shared" si="869"/>
        <v>00</v>
      </c>
      <c r="AA2938" t="str">
        <f t="shared" si="859"/>
        <v>00</v>
      </c>
      <c r="AB2938" t="str">
        <f t="shared" si="860"/>
        <v>00</v>
      </c>
      <c r="AC2938" t="str">
        <f t="shared" si="861"/>
        <v>0P0</v>
      </c>
      <c r="AD2938" t="str">
        <f t="shared" si="862"/>
        <v>P00</v>
      </c>
      <c r="AE2938" t="str">
        <f t="shared" si="863"/>
        <v>0P0</v>
      </c>
      <c r="AF2938" t="str">
        <f t="shared" si="864"/>
        <v>P00</v>
      </c>
      <c r="AG2938" t="str">
        <f t="shared" si="870"/>
        <v>0P00</v>
      </c>
      <c r="AH2938" t="str">
        <f t="shared" si="871"/>
        <v>P000</v>
      </c>
      <c r="AI2938" t="str">
        <f t="shared" si="872"/>
        <v>0P00</v>
      </c>
      <c r="AJ2938" t="str">
        <f t="shared" si="873"/>
        <v>P000</v>
      </c>
    </row>
    <row r="2939" spans="1:36" x14ac:dyDescent="0.25">
      <c r="A2939" s="325" t="str">
        <f>CONCATENATE("P",'906MP'!M2639)</f>
        <v>P</v>
      </c>
      <c r="B2939">
        <f>'906MP'!H2639</f>
        <v>0</v>
      </c>
      <c r="C2939">
        <f>'906MP'!J2639</f>
        <v>0</v>
      </c>
      <c r="D2939">
        <f>'906MP'!P2639</f>
        <v>0</v>
      </c>
      <c r="E2939">
        <f>'906MP'!X2639</f>
        <v>0</v>
      </c>
      <c r="F2939" t="str">
        <f t="shared" si="865"/>
        <v>0</v>
      </c>
      <c r="G2939" t="str">
        <f t="shared" si="866"/>
        <v>0</v>
      </c>
      <c r="H2939">
        <f>'906MP'!Y2639</f>
        <v>0</v>
      </c>
      <c r="I2939">
        <f>'906MP'!AK2639</f>
        <v>0</v>
      </c>
      <c r="J2939">
        <f>'906MP'!T2639</f>
        <v>0</v>
      </c>
      <c r="K2939">
        <f>'906MP'!AJ2639</f>
        <v>0</v>
      </c>
      <c r="L2939">
        <f>'906MP'!U2639</f>
        <v>0</v>
      </c>
      <c r="M2939" s="322" t="str">
        <f>IFERROR(VLOOKUP(A2939,PAR!$D$3:$E$53,2,FALSE),"nincs szervezet")</f>
        <v>nincs szervezet</v>
      </c>
      <c r="N2939" s="322" t="str">
        <f>VLOOKUP(F2939,PAR!$R$3:$S$5,2,FALSE)</f>
        <v>3 - egyik sem</v>
      </c>
      <c r="O2939" t="str">
        <f>IFERROR(VLOOKUP(J2939,PAR!$O$3:$P$5,2,FALSE),"nincs feladat")</f>
        <v>nincs feladat</v>
      </c>
      <c r="P2939" t="str">
        <f>IFERROR(VLOOKUP(G2939,PAR!$J$2:$M$19,4),"nincs rovat")</f>
        <v>nincs rovat</v>
      </c>
      <c r="Q2939" t="str">
        <f>IF(H2939&gt;0,VLOOKUP(H2939,PAR!$AA$3:$AC$187,3,FALSE),"nincs főkönyvi számla")</f>
        <v>nincs főkönyvi számla</v>
      </c>
      <c r="R2939" t="str">
        <f>IFERROR(VLOOKUP(K2939,PAR!$V$3:$X$438,3,FALSE),"000000 - Nincs COFOG")</f>
        <v>000000 - Nincs COFOG</v>
      </c>
      <c r="S2939">
        <f t="shared" si="867"/>
        <v>0</v>
      </c>
      <c r="T2939">
        <f t="shared" si="868"/>
        <v>0</v>
      </c>
      <c r="U2939" t="str">
        <f>IF('906MP'!J2639&gt;0,CONCATENATE('906MP'!J2639," - ",'906MP'!P2639,", ",'906MP'!E2639),"nincs megjegyzés")</f>
        <v>nincs megjegyzés</v>
      </c>
      <c r="V2939" t="str">
        <f t="shared" si="855"/>
        <v>0P0</v>
      </c>
      <c r="W2939" t="str">
        <f t="shared" si="856"/>
        <v>0P0</v>
      </c>
      <c r="X2939" t="str">
        <f t="shared" si="857"/>
        <v>P0</v>
      </c>
      <c r="Y2939" t="str">
        <f t="shared" si="858"/>
        <v>00</v>
      </c>
      <c r="Z2939" t="str">
        <f t="shared" si="869"/>
        <v>00</v>
      </c>
      <c r="AA2939" t="str">
        <f t="shared" si="859"/>
        <v>00</v>
      </c>
      <c r="AB2939" t="str">
        <f t="shared" si="860"/>
        <v>00</v>
      </c>
      <c r="AC2939" t="str">
        <f t="shared" si="861"/>
        <v>0P0</v>
      </c>
      <c r="AD2939" t="str">
        <f t="shared" si="862"/>
        <v>P00</v>
      </c>
      <c r="AE2939" t="str">
        <f t="shared" si="863"/>
        <v>0P0</v>
      </c>
      <c r="AF2939" t="str">
        <f t="shared" si="864"/>
        <v>P00</v>
      </c>
      <c r="AG2939" t="str">
        <f t="shared" si="870"/>
        <v>0P00</v>
      </c>
      <c r="AH2939" t="str">
        <f t="shared" si="871"/>
        <v>P000</v>
      </c>
      <c r="AI2939" t="str">
        <f t="shared" si="872"/>
        <v>0P00</v>
      </c>
      <c r="AJ2939" t="str">
        <f t="shared" si="873"/>
        <v>P000</v>
      </c>
    </row>
    <row r="2940" spans="1:36" x14ac:dyDescent="0.25">
      <c r="A2940" s="325" t="str">
        <f>CONCATENATE("P",'906MP'!M2640)</f>
        <v>P</v>
      </c>
      <c r="B2940">
        <f>'906MP'!H2640</f>
        <v>0</v>
      </c>
      <c r="C2940">
        <f>'906MP'!J2640</f>
        <v>0</v>
      </c>
      <c r="D2940">
        <f>'906MP'!P2640</f>
        <v>0</v>
      </c>
      <c r="E2940">
        <f>'906MP'!X2640</f>
        <v>0</v>
      </c>
      <c r="F2940" t="str">
        <f t="shared" si="865"/>
        <v>0</v>
      </c>
      <c r="G2940" t="str">
        <f t="shared" si="866"/>
        <v>0</v>
      </c>
      <c r="H2940">
        <f>'906MP'!Y2640</f>
        <v>0</v>
      </c>
      <c r="I2940">
        <f>'906MP'!AK2640</f>
        <v>0</v>
      </c>
      <c r="J2940">
        <f>'906MP'!T2640</f>
        <v>0</v>
      </c>
      <c r="K2940">
        <f>'906MP'!AJ2640</f>
        <v>0</v>
      </c>
      <c r="L2940">
        <f>'906MP'!U2640</f>
        <v>0</v>
      </c>
      <c r="M2940" s="322" t="str">
        <f>IFERROR(VLOOKUP(A2940,PAR!$D$3:$E$53,2,FALSE),"nincs szervezet")</f>
        <v>nincs szervezet</v>
      </c>
      <c r="N2940" s="322" t="str">
        <f>VLOOKUP(F2940,PAR!$R$3:$S$5,2,FALSE)</f>
        <v>3 - egyik sem</v>
      </c>
      <c r="O2940" t="str">
        <f>IFERROR(VLOOKUP(J2940,PAR!$O$3:$P$5,2,FALSE),"nincs feladat")</f>
        <v>nincs feladat</v>
      </c>
      <c r="P2940" t="str">
        <f>IFERROR(VLOOKUP(G2940,PAR!$J$2:$M$19,4),"nincs rovat")</f>
        <v>nincs rovat</v>
      </c>
      <c r="Q2940" t="str">
        <f>IF(H2940&gt;0,VLOOKUP(H2940,PAR!$AA$3:$AC$187,3,FALSE),"nincs főkönyvi számla")</f>
        <v>nincs főkönyvi számla</v>
      </c>
      <c r="R2940" t="str">
        <f>IFERROR(VLOOKUP(K2940,PAR!$V$3:$X$438,3,FALSE),"000000 - Nincs COFOG")</f>
        <v>000000 - Nincs COFOG</v>
      </c>
      <c r="S2940">
        <f t="shared" si="867"/>
        <v>0</v>
      </c>
      <c r="T2940">
        <f t="shared" si="868"/>
        <v>0</v>
      </c>
      <c r="U2940" t="str">
        <f>IF('906MP'!J2640&gt;0,CONCATENATE('906MP'!J2640," - ",'906MP'!P2640,", ",'906MP'!E2640),"nincs megjegyzés")</f>
        <v>nincs megjegyzés</v>
      </c>
      <c r="V2940" t="str">
        <f t="shared" si="855"/>
        <v>0P0</v>
      </c>
      <c r="W2940" t="str">
        <f t="shared" si="856"/>
        <v>0P0</v>
      </c>
      <c r="X2940" t="str">
        <f t="shared" si="857"/>
        <v>P0</v>
      </c>
      <c r="Y2940" t="str">
        <f t="shared" si="858"/>
        <v>00</v>
      </c>
      <c r="Z2940" t="str">
        <f t="shared" si="869"/>
        <v>00</v>
      </c>
      <c r="AA2940" t="str">
        <f t="shared" si="859"/>
        <v>00</v>
      </c>
      <c r="AB2940" t="str">
        <f t="shared" si="860"/>
        <v>00</v>
      </c>
      <c r="AC2940" t="str">
        <f t="shared" si="861"/>
        <v>0P0</v>
      </c>
      <c r="AD2940" t="str">
        <f t="shared" si="862"/>
        <v>P00</v>
      </c>
      <c r="AE2940" t="str">
        <f t="shared" si="863"/>
        <v>0P0</v>
      </c>
      <c r="AF2940" t="str">
        <f t="shared" si="864"/>
        <v>P00</v>
      </c>
      <c r="AG2940" t="str">
        <f t="shared" si="870"/>
        <v>0P00</v>
      </c>
      <c r="AH2940" t="str">
        <f t="shared" si="871"/>
        <v>P000</v>
      </c>
      <c r="AI2940" t="str">
        <f t="shared" si="872"/>
        <v>0P00</v>
      </c>
      <c r="AJ2940" t="str">
        <f t="shared" si="873"/>
        <v>P000</v>
      </c>
    </row>
    <row r="2941" spans="1:36" x14ac:dyDescent="0.25">
      <c r="A2941" s="325" t="str">
        <f>CONCATENATE("P",'906MP'!M2641)</f>
        <v>P</v>
      </c>
      <c r="B2941">
        <f>'906MP'!H2641</f>
        <v>0</v>
      </c>
      <c r="C2941">
        <f>'906MP'!J2641</f>
        <v>0</v>
      </c>
      <c r="D2941">
        <f>'906MP'!P2641</f>
        <v>0</v>
      </c>
      <c r="E2941">
        <f>'906MP'!X2641</f>
        <v>0</v>
      </c>
      <c r="F2941" t="str">
        <f t="shared" si="865"/>
        <v>0</v>
      </c>
      <c r="G2941" t="str">
        <f t="shared" si="866"/>
        <v>0</v>
      </c>
      <c r="H2941">
        <f>'906MP'!Y2641</f>
        <v>0</v>
      </c>
      <c r="I2941">
        <f>'906MP'!AK2641</f>
        <v>0</v>
      </c>
      <c r="J2941">
        <f>'906MP'!T2641</f>
        <v>0</v>
      </c>
      <c r="K2941">
        <f>'906MP'!AJ2641</f>
        <v>0</v>
      </c>
      <c r="L2941">
        <f>'906MP'!U2641</f>
        <v>0</v>
      </c>
      <c r="M2941" s="322" t="str">
        <f>IFERROR(VLOOKUP(A2941,PAR!$D$3:$E$53,2,FALSE),"nincs szervezet")</f>
        <v>nincs szervezet</v>
      </c>
      <c r="N2941" s="322" t="str">
        <f>VLOOKUP(F2941,PAR!$R$3:$S$5,2,FALSE)</f>
        <v>3 - egyik sem</v>
      </c>
      <c r="O2941" t="str">
        <f>IFERROR(VLOOKUP(J2941,PAR!$O$3:$P$5,2,FALSE),"nincs feladat")</f>
        <v>nincs feladat</v>
      </c>
      <c r="P2941" t="str">
        <f>IFERROR(VLOOKUP(G2941,PAR!$J$2:$M$19,4),"nincs rovat")</f>
        <v>nincs rovat</v>
      </c>
      <c r="Q2941" t="str">
        <f>IF(H2941&gt;0,VLOOKUP(H2941,PAR!$AA$3:$AC$187,3,FALSE),"nincs főkönyvi számla")</f>
        <v>nincs főkönyvi számla</v>
      </c>
      <c r="R2941" t="str">
        <f>IFERROR(VLOOKUP(K2941,PAR!$V$3:$X$438,3,FALSE),"000000 - Nincs COFOG")</f>
        <v>000000 - Nincs COFOG</v>
      </c>
      <c r="S2941">
        <f t="shared" si="867"/>
        <v>0</v>
      </c>
      <c r="T2941">
        <f t="shared" si="868"/>
        <v>0</v>
      </c>
      <c r="U2941" t="str">
        <f>IF('906MP'!J2641&gt;0,CONCATENATE('906MP'!J2641," - ",'906MP'!P2641,", ",'906MP'!E2641),"nincs megjegyzés")</f>
        <v>nincs megjegyzés</v>
      </c>
      <c r="V2941" t="str">
        <f t="shared" si="855"/>
        <v>0P0</v>
      </c>
      <c r="W2941" t="str">
        <f t="shared" si="856"/>
        <v>0P0</v>
      </c>
      <c r="X2941" t="str">
        <f t="shared" si="857"/>
        <v>P0</v>
      </c>
      <c r="Y2941" t="str">
        <f t="shared" si="858"/>
        <v>00</v>
      </c>
      <c r="Z2941" t="str">
        <f t="shared" si="869"/>
        <v>00</v>
      </c>
      <c r="AA2941" t="str">
        <f t="shared" si="859"/>
        <v>00</v>
      </c>
      <c r="AB2941" t="str">
        <f t="shared" si="860"/>
        <v>00</v>
      </c>
      <c r="AC2941" t="str">
        <f t="shared" si="861"/>
        <v>0P0</v>
      </c>
      <c r="AD2941" t="str">
        <f t="shared" si="862"/>
        <v>P00</v>
      </c>
      <c r="AE2941" t="str">
        <f t="shared" si="863"/>
        <v>0P0</v>
      </c>
      <c r="AF2941" t="str">
        <f t="shared" si="864"/>
        <v>P00</v>
      </c>
      <c r="AG2941" t="str">
        <f t="shared" si="870"/>
        <v>0P00</v>
      </c>
      <c r="AH2941" t="str">
        <f t="shared" si="871"/>
        <v>P000</v>
      </c>
      <c r="AI2941" t="str">
        <f t="shared" si="872"/>
        <v>0P00</v>
      </c>
      <c r="AJ2941" t="str">
        <f t="shared" si="873"/>
        <v>P000</v>
      </c>
    </row>
    <row r="2942" spans="1:36" x14ac:dyDescent="0.25">
      <c r="A2942" s="325" t="str">
        <f>CONCATENATE("P",'906MP'!M2642)</f>
        <v>P</v>
      </c>
      <c r="B2942">
        <f>'906MP'!H2642</f>
        <v>0</v>
      </c>
      <c r="C2942">
        <f>'906MP'!J2642</f>
        <v>0</v>
      </c>
      <c r="D2942">
        <f>'906MP'!P2642</f>
        <v>0</v>
      </c>
      <c r="E2942">
        <f>'906MP'!X2642</f>
        <v>0</v>
      </c>
      <c r="F2942" t="str">
        <f t="shared" si="865"/>
        <v>0</v>
      </c>
      <c r="G2942" t="str">
        <f t="shared" si="866"/>
        <v>0</v>
      </c>
      <c r="H2942">
        <f>'906MP'!Y2642</f>
        <v>0</v>
      </c>
      <c r="I2942">
        <f>'906MP'!AK2642</f>
        <v>0</v>
      </c>
      <c r="J2942">
        <f>'906MP'!T2642</f>
        <v>0</v>
      </c>
      <c r="K2942">
        <f>'906MP'!AJ2642</f>
        <v>0</v>
      </c>
      <c r="L2942">
        <f>'906MP'!U2642</f>
        <v>0</v>
      </c>
      <c r="M2942" s="322" t="str">
        <f>IFERROR(VLOOKUP(A2942,PAR!$D$3:$E$53,2,FALSE),"nincs szervezet")</f>
        <v>nincs szervezet</v>
      </c>
      <c r="N2942" s="322" t="str">
        <f>VLOOKUP(F2942,PAR!$R$3:$S$5,2,FALSE)</f>
        <v>3 - egyik sem</v>
      </c>
      <c r="O2942" t="str">
        <f>IFERROR(VLOOKUP(J2942,PAR!$O$3:$P$5,2,FALSE),"nincs feladat")</f>
        <v>nincs feladat</v>
      </c>
      <c r="P2942" t="str">
        <f>IFERROR(VLOOKUP(G2942,PAR!$J$2:$M$19,4),"nincs rovat")</f>
        <v>nincs rovat</v>
      </c>
      <c r="Q2942" t="str">
        <f>IF(H2942&gt;0,VLOOKUP(H2942,PAR!$AA$3:$AC$187,3,FALSE),"nincs főkönyvi számla")</f>
        <v>nincs főkönyvi számla</v>
      </c>
      <c r="R2942" t="str">
        <f>IFERROR(VLOOKUP(K2942,PAR!$V$3:$X$438,3,FALSE),"000000 - Nincs COFOG")</f>
        <v>000000 - Nincs COFOG</v>
      </c>
      <c r="S2942">
        <f t="shared" si="867"/>
        <v>0</v>
      </c>
      <c r="T2942">
        <f t="shared" si="868"/>
        <v>0</v>
      </c>
      <c r="U2942" t="str">
        <f>IF('906MP'!J2642&gt;0,CONCATENATE('906MP'!J2642," - ",'906MP'!P2642,", ",'906MP'!E2642),"nincs megjegyzés")</f>
        <v>nincs megjegyzés</v>
      </c>
      <c r="V2942" t="str">
        <f t="shared" si="855"/>
        <v>0P0</v>
      </c>
      <c r="W2942" t="str">
        <f t="shared" si="856"/>
        <v>0P0</v>
      </c>
      <c r="X2942" t="str">
        <f t="shared" si="857"/>
        <v>P0</v>
      </c>
      <c r="Y2942" t="str">
        <f t="shared" si="858"/>
        <v>00</v>
      </c>
      <c r="Z2942" t="str">
        <f t="shared" si="869"/>
        <v>00</v>
      </c>
      <c r="AA2942" t="str">
        <f t="shared" si="859"/>
        <v>00</v>
      </c>
      <c r="AB2942" t="str">
        <f t="shared" si="860"/>
        <v>00</v>
      </c>
      <c r="AC2942" t="str">
        <f t="shared" si="861"/>
        <v>0P0</v>
      </c>
      <c r="AD2942" t="str">
        <f t="shared" si="862"/>
        <v>P00</v>
      </c>
      <c r="AE2942" t="str">
        <f t="shared" si="863"/>
        <v>0P0</v>
      </c>
      <c r="AF2942" t="str">
        <f t="shared" si="864"/>
        <v>P00</v>
      </c>
      <c r="AG2942" t="str">
        <f t="shared" si="870"/>
        <v>0P00</v>
      </c>
      <c r="AH2942" t="str">
        <f t="shared" si="871"/>
        <v>P000</v>
      </c>
      <c r="AI2942" t="str">
        <f t="shared" si="872"/>
        <v>0P00</v>
      </c>
      <c r="AJ2942" t="str">
        <f t="shared" si="873"/>
        <v>P000</v>
      </c>
    </row>
    <row r="2943" spans="1:36" x14ac:dyDescent="0.25">
      <c r="A2943" s="325" t="str">
        <f>CONCATENATE("P",'906MP'!M2643)</f>
        <v>P</v>
      </c>
      <c r="B2943">
        <f>'906MP'!H2643</f>
        <v>0</v>
      </c>
      <c r="C2943">
        <f>'906MP'!J2643</f>
        <v>0</v>
      </c>
      <c r="D2943">
        <f>'906MP'!P2643</f>
        <v>0</v>
      </c>
      <c r="E2943">
        <f>'906MP'!X2643</f>
        <v>0</v>
      </c>
      <c r="F2943" t="str">
        <f t="shared" si="865"/>
        <v>0</v>
      </c>
      <c r="G2943" t="str">
        <f t="shared" si="866"/>
        <v>0</v>
      </c>
      <c r="H2943">
        <f>'906MP'!Y2643</f>
        <v>0</v>
      </c>
      <c r="I2943">
        <f>'906MP'!AK2643</f>
        <v>0</v>
      </c>
      <c r="J2943">
        <f>'906MP'!T2643</f>
        <v>0</v>
      </c>
      <c r="K2943">
        <f>'906MP'!AJ2643</f>
        <v>0</v>
      </c>
      <c r="L2943">
        <f>'906MP'!U2643</f>
        <v>0</v>
      </c>
      <c r="M2943" s="322" t="str">
        <f>IFERROR(VLOOKUP(A2943,PAR!$D$3:$E$53,2,FALSE),"nincs szervezet")</f>
        <v>nincs szervezet</v>
      </c>
      <c r="N2943" s="322" t="str">
        <f>VLOOKUP(F2943,PAR!$R$3:$S$5,2,FALSE)</f>
        <v>3 - egyik sem</v>
      </c>
      <c r="O2943" t="str">
        <f>IFERROR(VLOOKUP(J2943,PAR!$O$3:$P$5,2,FALSE),"nincs feladat")</f>
        <v>nincs feladat</v>
      </c>
      <c r="P2943" t="str">
        <f>IFERROR(VLOOKUP(G2943,PAR!$J$2:$M$19,4),"nincs rovat")</f>
        <v>nincs rovat</v>
      </c>
      <c r="Q2943" t="str">
        <f>IF(H2943&gt;0,VLOOKUP(H2943,PAR!$AA$3:$AC$187,3,FALSE),"nincs főkönyvi számla")</f>
        <v>nincs főkönyvi számla</v>
      </c>
      <c r="R2943" t="str">
        <f>IFERROR(VLOOKUP(K2943,PAR!$V$3:$X$438,3,FALSE),"000000 - Nincs COFOG")</f>
        <v>000000 - Nincs COFOG</v>
      </c>
      <c r="S2943">
        <f t="shared" si="867"/>
        <v>0</v>
      </c>
      <c r="T2943">
        <f t="shared" si="868"/>
        <v>0</v>
      </c>
      <c r="U2943" t="str">
        <f>IF('906MP'!J2643&gt;0,CONCATENATE('906MP'!J2643," - ",'906MP'!P2643,", ",'906MP'!E2643),"nincs megjegyzés")</f>
        <v>nincs megjegyzés</v>
      </c>
      <c r="V2943" t="str">
        <f t="shared" si="855"/>
        <v>0P0</v>
      </c>
      <c r="W2943" t="str">
        <f t="shared" si="856"/>
        <v>0P0</v>
      </c>
      <c r="X2943" t="str">
        <f t="shared" si="857"/>
        <v>P0</v>
      </c>
      <c r="Y2943" t="str">
        <f t="shared" si="858"/>
        <v>00</v>
      </c>
      <c r="Z2943" t="str">
        <f t="shared" si="869"/>
        <v>00</v>
      </c>
      <c r="AA2943" t="str">
        <f t="shared" si="859"/>
        <v>00</v>
      </c>
      <c r="AB2943" t="str">
        <f t="shared" si="860"/>
        <v>00</v>
      </c>
      <c r="AC2943" t="str">
        <f t="shared" si="861"/>
        <v>0P0</v>
      </c>
      <c r="AD2943" t="str">
        <f t="shared" si="862"/>
        <v>P00</v>
      </c>
      <c r="AE2943" t="str">
        <f t="shared" si="863"/>
        <v>0P0</v>
      </c>
      <c r="AF2943" t="str">
        <f t="shared" si="864"/>
        <v>P00</v>
      </c>
      <c r="AG2943" t="str">
        <f t="shared" si="870"/>
        <v>0P00</v>
      </c>
      <c r="AH2943" t="str">
        <f t="shared" si="871"/>
        <v>P000</v>
      </c>
      <c r="AI2943" t="str">
        <f t="shared" si="872"/>
        <v>0P00</v>
      </c>
      <c r="AJ2943" t="str">
        <f t="shared" si="873"/>
        <v>P000</v>
      </c>
    </row>
    <row r="2944" spans="1:36" x14ac:dyDescent="0.25">
      <c r="A2944" s="325" t="str">
        <f>CONCATENATE("P",'906MP'!M2644)</f>
        <v>P</v>
      </c>
      <c r="B2944">
        <f>'906MP'!H2644</f>
        <v>0</v>
      </c>
      <c r="C2944">
        <f>'906MP'!J2644</f>
        <v>0</v>
      </c>
      <c r="D2944">
        <f>'906MP'!P2644</f>
        <v>0</v>
      </c>
      <c r="E2944">
        <f>'906MP'!X2644</f>
        <v>0</v>
      </c>
      <c r="F2944" t="str">
        <f t="shared" si="865"/>
        <v>0</v>
      </c>
      <c r="G2944" t="str">
        <f t="shared" si="866"/>
        <v>0</v>
      </c>
      <c r="H2944">
        <f>'906MP'!Y2644</f>
        <v>0</v>
      </c>
      <c r="I2944">
        <f>'906MP'!AK2644</f>
        <v>0</v>
      </c>
      <c r="J2944">
        <f>'906MP'!T2644</f>
        <v>0</v>
      </c>
      <c r="K2944">
        <f>'906MP'!AJ2644</f>
        <v>0</v>
      </c>
      <c r="L2944">
        <f>'906MP'!U2644</f>
        <v>0</v>
      </c>
      <c r="M2944" s="322" t="str">
        <f>IFERROR(VLOOKUP(A2944,PAR!$D$3:$E$53,2,FALSE),"nincs szervezet")</f>
        <v>nincs szervezet</v>
      </c>
      <c r="N2944" s="322" t="str">
        <f>VLOOKUP(F2944,PAR!$R$3:$S$5,2,FALSE)</f>
        <v>3 - egyik sem</v>
      </c>
      <c r="O2944" t="str">
        <f>IFERROR(VLOOKUP(J2944,PAR!$O$3:$P$5,2,FALSE),"nincs feladat")</f>
        <v>nincs feladat</v>
      </c>
      <c r="P2944" t="str">
        <f>IFERROR(VLOOKUP(G2944,PAR!$J$2:$M$19,4),"nincs rovat")</f>
        <v>nincs rovat</v>
      </c>
      <c r="Q2944" t="str">
        <f>IF(H2944&gt;0,VLOOKUP(H2944,PAR!$AA$3:$AC$187,3,FALSE),"nincs főkönyvi számla")</f>
        <v>nincs főkönyvi számla</v>
      </c>
      <c r="R2944" t="str">
        <f>IFERROR(VLOOKUP(K2944,PAR!$V$3:$X$438,3,FALSE),"000000 - Nincs COFOG")</f>
        <v>000000 - Nincs COFOG</v>
      </c>
      <c r="S2944">
        <f t="shared" si="867"/>
        <v>0</v>
      </c>
      <c r="T2944">
        <f t="shared" si="868"/>
        <v>0</v>
      </c>
      <c r="U2944" t="str">
        <f>IF('906MP'!J2644&gt;0,CONCATENATE('906MP'!J2644," - ",'906MP'!P2644,", ",'906MP'!E2644),"nincs megjegyzés")</f>
        <v>nincs megjegyzés</v>
      </c>
      <c r="V2944" t="str">
        <f t="shared" si="855"/>
        <v>0P0</v>
      </c>
      <c r="W2944" t="str">
        <f t="shared" si="856"/>
        <v>0P0</v>
      </c>
      <c r="X2944" t="str">
        <f t="shared" si="857"/>
        <v>P0</v>
      </c>
      <c r="Y2944" t="str">
        <f t="shared" si="858"/>
        <v>00</v>
      </c>
      <c r="Z2944" t="str">
        <f t="shared" si="869"/>
        <v>00</v>
      </c>
      <c r="AA2944" t="str">
        <f t="shared" si="859"/>
        <v>00</v>
      </c>
      <c r="AB2944" t="str">
        <f t="shared" si="860"/>
        <v>00</v>
      </c>
      <c r="AC2944" t="str">
        <f t="shared" si="861"/>
        <v>0P0</v>
      </c>
      <c r="AD2944" t="str">
        <f t="shared" si="862"/>
        <v>P00</v>
      </c>
      <c r="AE2944" t="str">
        <f t="shared" si="863"/>
        <v>0P0</v>
      </c>
      <c r="AF2944" t="str">
        <f t="shared" si="864"/>
        <v>P00</v>
      </c>
      <c r="AG2944" t="str">
        <f t="shared" si="870"/>
        <v>0P00</v>
      </c>
      <c r="AH2944" t="str">
        <f t="shared" si="871"/>
        <v>P000</v>
      </c>
      <c r="AI2944" t="str">
        <f t="shared" si="872"/>
        <v>0P00</v>
      </c>
      <c r="AJ2944" t="str">
        <f t="shared" si="873"/>
        <v>P000</v>
      </c>
    </row>
    <row r="2945" spans="1:36" x14ac:dyDescent="0.25">
      <c r="A2945" s="325" t="str">
        <f>CONCATENATE("P",'906MP'!M2645)</f>
        <v>P</v>
      </c>
      <c r="B2945">
        <f>'906MP'!H2645</f>
        <v>0</v>
      </c>
      <c r="C2945">
        <f>'906MP'!J2645</f>
        <v>0</v>
      </c>
      <c r="D2945">
        <f>'906MP'!P2645</f>
        <v>0</v>
      </c>
      <c r="E2945">
        <f>'906MP'!X2645</f>
        <v>0</v>
      </c>
      <c r="F2945" t="str">
        <f t="shared" si="865"/>
        <v>0</v>
      </c>
      <c r="G2945" t="str">
        <f t="shared" si="866"/>
        <v>0</v>
      </c>
      <c r="H2945">
        <f>'906MP'!Y2645</f>
        <v>0</v>
      </c>
      <c r="I2945">
        <f>'906MP'!AK2645</f>
        <v>0</v>
      </c>
      <c r="J2945">
        <f>'906MP'!T2645</f>
        <v>0</v>
      </c>
      <c r="K2945">
        <f>'906MP'!AJ2645</f>
        <v>0</v>
      </c>
      <c r="L2945">
        <f>'906MP'!U2645</f>
        <v>0</v>
      </c>
      <c r="M2945" s="322" t="str">
        <f>IFERROR(VLOOKUP(A2945,PAR!$D$3:$E$53,2,FALSE),"nincs szervezet")</f>
        <v>nincs szervezet</v>
      </c>
      <c r="N2945" s="322" t="str">
        <f>VLOOKUP(F2945,PAR!$R$3:$S$5,2,FALSE)</f>
        <v>3 - egyik sem</v>
      </c>
      <c r="O2945" t="str">
        <f>IFERROR(VLOOKUP(J2945,PAR!$O$3:$P$5,2,FALSE),"nincs feladat")</f>
        <v>nincs feladat</v>
      </c>
      <c r="P2945" t="str">
        <f>IFERROR(VLOOKUP(G2945,PAR!$J$2:$M$19,4),"nincs rovat")</f>
        <v>nincs rovat</v>
      </c>
      <c r="Q2945" t="str">
        <f>IF(H2945&gt;0,VLOOKUP(H2945,PAR!$AA$3:$AC$187,3,FALSE),"nincs főkönyvi számla")</f>
        <v>nincs főkönyvi számla</v>
      </c>
      <c r="R2945" t="str">
        <f>IFERROR(VLOOKUP(K2945,PAR!$V$3:$X$438,3,FALSE),"000000 - Nincs COFOG")</f>
        <v>000000 - Nincs COFOG</v>
      </c>
      <c r="S2945">
        <f t="shared" si="867"/>
        <v>0</v>
      </c>
      <c r="T2945">
        <f t="shared" si="868"/>
        <v>0</v>
      </c>
      <c r="U2945" t="str">
        <f>IF('906MP'!J2645&gt;0,CONCATENATE('906MP'!J2645," - ",'906MP'!P2645,", ",'906MP'!E2645),"nincs megjegyzés")</f>
        <v>nincs megjegyzés</v>
      </c>
      <c r="V2945" t="str">
        <f t="shared" si="855"/>
        <v>0P0</v>
      </c>
      <c r="W2945" t="str">
        <f t="shared" si="856"/>
        <v>0P0</v>
      </c>
      <c r="X2945" t="str">
        <f t="shared" si="857"/>
        <v>P0</v>
      </c>
      <c r="Y2945" t="str">
        <f t="shared" si="858"/>
        <v>00</v>
      </c>
      <c r="Z2945" t="str">
        <f t="shared" si="869"/>
        <v>00</v>
      </c>
      <c r="AA2945" t="str">
        <f t="shared" si="859"/>
        <v>00</v>
      </c>
      <c r="AB2945" t="str">
        <f t="shared" si="860"/>
        <v>00</v>
      </c>
      <c r="AC2945" t="str">
        <f t="shared" si="861"/>
        <v>0P0</v>
      </c>
      <c r="AD2945" t="str">
        <f t="shared" si="862"/>
        <v>P00</v>
      </c>
      <c r="AE2945" t="str">
        <f t="shared" si="863"/>
        <v>0P0</v>
      </c>
      <c r="AF2945" t="str">
        <f t="shared" si="864"/>
        <v>P00</v>
      </c>
      <c r="AG2945" t="str">
        <f t="shared" si="870"/>
        <v>0P00</v>
      </c>
      <c r="AH2945" t="str">
        <f t="shared" si="871"/>
        <v>P000</v>
      </c>
      <c r="AI2945" t="str">
        <f t="shared" si="872"/>
        <v>0P00</v>
      </c>
      <c r="AJ2945" t="str">
        <f t="shared" si="873"/>
        <v>P000</v>
      </c>
    </row>
    <row r="2946" spans="1:36" x14ac:dyDescent="0.25">
      <c r="A2946" s="325" t="str">
        <f>CONCATENATE("P",'906MP'!M2646)</f>
        <v>P</v>
      </c>
      <c r="B2946">
        <f>'906MP'!H2646</f>
        <v>0</v>
      </c>
      <c r="C2946">
        <f>'906MP'!J2646</f>
        <v>0</v>
      </c>
      <c r="D2946">
        <f>'906MP'!P2646</f>
        <v>0</v>
      </c>
      <c r="E2946">
        <f>'906MP'!X2646</f>
        <v>0</v>
      </c>
      <c r="F2946" t="str">
        <f t="shared" si="865"/>
        <v>0</v>
      </c>
      <c r="G2946" t="str">
        <f t="shared" si="866"/>
        <v>0</v>
      </c>
      <c r="H2946">
        <f>'906MP'!Y2646</f>
        <v>0</v>
      </c>
      <c r="I2946">
        <f>'906MP'!AK2646</f>
        <v>0</v>
      </c>
      <c r="J2946">
        <f>'906MP'!T2646</f>
        <v>0</v>
      </c>
      <c r="K2946">
        <f>'906MP'!AJ2646</f>
        <v>0</v>
      </c>
      <c r="L2946">
        <f>'906MP'!U2646</f>
        <v>0</v>
      </c>
      <c r="M2946" s="322" t="str">
        <f>IFERROR(VLOOKUP(A2946,PAR!$D$3:$E$53,2,FALSE),"nincs szervezet")</f>
        <v>nincs szervezet</v>
      </c>
      <c r="N2946" s="322" t="str">
        <f>VLOOKUP(F2946,PAR!$R$3:$S$5,2,FALSE)</f>
        <v>3 - egyik sem</v>
      </c>
      <c r="O2946" t="str">
        <f>IFERROR(VLOOKUP(J2946,PAR!$O$3:$P$5,2,FALSE),"nincs feladat")</f>
        <v>nincs feladat</v>
      </c>
      <c r="P2946" t="str">
        <f>IFERROR(VLOOKUP(G2946,PAR!$J$2:$M$19,4),"nincs rovat")</f>
        <v>nincs rovat</v>
      </c>
      <c r="Q2946" t="str">
        <f>IF(H2946&gt;0,VLOOKUP(H2946,PAR!$AA$3:$AC$187,3,FALSE),"nincs főkönyvi számla")</f>
        <v>nincs főkönyvi számla</v>
      </c>
      <c r="R2946" t="str">
        <f>IFERROR(VLOOKUP(K2946,PAR!$V$3:$X$438,3,FALSE),"000000 - Nincs COFOG")</f>
        <v>000000 - Nincs COFOG</v>
      </c>
      <c r="S2946">
        <f t="shared" si="867"/>
        <v>0</v>
      </c>
      <c r="T2946">
        <f t="shared" si="868"/>
        <v>0</v>
      </c>
      <c r="U2946" t="str">
        <f>IF('906MP'!J2646&gt;0,CONCATENATE('906MP'!J2646," - ",'906MP'!P2646,", ",'906MP'!E2646),"nincs megjegyzés")</f>
        <v>nincs megjegyzés</v>
      </c>
      <c r="V2946" t="str">
        <f t="shared" ref="V2946:V3000" si="874">CONCATENATE(B2946,A2946,G2946)</f>
        <v>0P0</v>
      </c>
      <c r="W2946" t="str">
        <f t="shared" ref="W2946:W3000" si="875">CONCATENATE(B2946,A2946,F2946)</f>
        <v>0P0</v>
      </c>
      <c r="X2946" t="str">
        <f t="shared" ref="X2946:X3000" si="876">CONCATENATE(A2946,H2946)</f>
        <v>P0</v>
      </c>
      <c r="Y2946" t="str">
        <f t="shared" ref="Y2946:Y3000" si="877">CONCATENATE(B2946,H2946)</f>
        <v>00</v>
      </c>
      <c r="Z2946" t="str">
        <f t="shared" si="869"/>
        <v>00</v>
      </c>
      <c r="AA2946" t="str">
        <f t="shared" ref="AA2946:AA3000" si="878">CONCATENATE(B2946,G2946)</f>
        <v>00</v>
      </c>
      <c r="AB2946" t="str">
        <f t="shared" ref="AB2946:AB3000" si="879">CONCATENATE(J2946,G2946)</f>
        <v>00</v>
      </c>
      <c r="AC2946" t="str">
        <f t="shared" ref="AC2946:AC3000" si="880">CONCATENATE(B2946,A2946,H2946)</f>
        <v>0P0</v>
      </c>
      <c r="AD2946" t="str">
        <f t="shared" ref="AD2946:AD3000" si="881">CONCATENATE(A2946,H2946,J2946)</f>
        <v>P00</v>
      </c>
      <c r="AE2946" t="str">
        <f t="shared" ref="AE2946:AE3000" si="882">CONCATENATE(B2946,A2946,G2946)</f>
        <v>0P0</v>
      </c>
      <c r="AF2946" t="str">
        <f t="shared" ref="AF2946:AF3000" si="883">CONCATENATE(A2946,G2946,J2946)</f>
        <v>P00</v>
      </c>
      <c r="AG2946" t="str">
        <f t="shared" si="870"/>
        <v>0P00</v>
      </c>
      <c r="AH2946" t="str">
        <f t="shared" si="871"/>
        <v>P000</v>
      </c>
      <c r="AI2946" t="str">
        <f t="shared" si="872"/>
        <v>0P00</v>
      </c>
      <c r="AJ2946" t="str">
        <f t="shared" si="873"/>
        <v>P000</v>
      </c>
    </row>
    <row r="2947" spans="1:36" x14ac:dyDescent="0.25">
      <c r="A2947" s="325" t="str">
        <f>CONCATENATE("P",'906MP'!M2647)</f>
        <v>P</v>
      </c>
      <c r="B2947">
        <f>'906MP'!H2647</f>
        <v>0</v>
      </c>
      <c r="C2947">
        <f>'906MP'!J2647</f>
        <v>0</v>
      </c>
      <c r="D2947">
        <f>'906MP'!P2647</f>
        <v>0</v>
      </c>
      <c r="E2947">
        <f>'906MP'!X2647</f>
        <v>0</v>
      </c>
      <c r="F2947" t="str">
        <f t="shared" ref="F2947:F3000" si="884">LEFT(G2947,2)</f>
        <v>0</v>
      </c>
      <c r="G2947" t="str">
        <f t="shared" ref="G2947:G3000" si="885">LEFT(H2947,3)</f>
        <v>0</v>
      </c>
      <c r="H2947">
        <f>'906MP'!Y2647</f>
        <v>0</v>
      </c>
      <c r="I2947">
        <f>'906MP'!AK2647</f>
        <v>0</v>
      </c>
      <c r="J2947">
        <f>'906MP'!T2647</f>
        <v>0</v>
      </c>
      <c r="K2947">
        <f>'906MP'!AJ2647</f>
        <v>0</v>
      </c>
      <c r="L2947">
        <f>'906MP'!U2647</f>
        <v>0</v>
      </c>
      <c r="M2947" s="322" t="str">
        <f>IFERROR(VLOOKUP(A2947,PAR!$D$3:$E$53,2,FALSE),"nincs szervezet")</f>
        <v>nincs szervezet</v>
      </c>
      <c r="N2947" s="322" t="str">
        <f>VLOOKUP(F2947,PAR!$R$3:$S$5,2,FALSE)</f>
        <v>3 - egyik sem</v>
      </c>
      <c r="O2947" t="str">
        <f>IFERROR(VLOOKUP(J2947,PAR!$O$3:$P$5,2,FALSE),"nincs feladat")</f>
        <v>nincs feladat</v>
      </c>
      <c r="P2947" t="str">
        <f>IFERROR(VLOOKUP(G2947,PAR!$J$2:$M$19,4),"nincs rovat")</f>
        <v>nincs rovat</v>
      </c>
      <c r="Q2947" t="str">
        <f>IF(H2947&gt;0,VLOOKUP(H2947,PAR!$AA$3:$AC$187,3,FALSE),"nincs főkönyvi számla")</f>
        <v>nincs főkönyvi számla</v>
      </c>
      <c r="R2947" t="str">
        <f>IFERROR(VLOOKUP(K2947,PAR!$V$3:$X$438,3,FALSE),"000000 - Nincs COFOG")</f>
        <v>000000 - Nincs COFOG</v>
      </c>
      <c r="S2947">
        <f t="shared" ref="S2947:S3000" si="886">E2947</f>
        <v>0</v>
      </c>
      <c r="T2947">
        <f t="shared" ref="T2947:T3000" si="887">IF(F2947="09",E2947*-1,E2947)</f>
        <v>0</v>
      </c>
      <c r="U2947" t="str">
        <f>IF('906MP'!J2647&gt;0,CONCATENATE('906MP'!J2647," - ",'906MP'!P2647,", ",'906MP'!E2647),"nincs megjegyzés")</f>
        <v>nincs megjegyzés</v>
      </c>
      <c r="V2947" t="str">
        <f t="shared" si="874"/>
        <v>0P0</v>
      </c>
      <c r="W2947" t="str">
        <f t="shared" si="875"/>
        <v>0P0</v>
      </c>
      <c r="X2947" t="str">
        <f t="shared" si="876"/>
        <v>P0</v>
      </c>
      <c r="Y2947" t="str">
        <f t="shared" si="877"/>
        <v>00</v>
      </c>
      <c r="Z2947" t="str">
        <f t="shared" ref="Z2947:Z3000" si="888">CONCATENATE(J2947,H2947)</f>
        <v>00</v>
      </c>
      <c r="AA2947" t="str">
        <f t="shared" si="878"/>
        <v>00</v>
      </c>
      <c r="AB2947" t="str">
        <f t="shared" si="879"/>
        <v>00</v>
      </c>
      <c r="AC2947" t="str">
        <f t="shared" si="880"/>
        <v>0P0</v>
      </c>
      <c r="AD2947" t="str">
        <f t="shared" si="881"/>
        <v>P00</v>
      </c>
      <c r="AE2947" t="str">
        <f t="shared" si="882"/>
        <v>0P0</v>
      </c>
      <c r="AF2947" t="str">
        <f t="shared" si="883"/>
        <v>P00</v>
      </c>
      <c r="AG2947" t="str">
        <f t="shared" ref="AG2947:AG3000" si="889">CONCATENATE(B2947,A2947,H2947,L2947)</f>
        <v>0P00</v>
      </c>
      <c r="AH2947" t="str">
        <f t="shared" ref="AH2947:AH3000" si="890">CONCATENATE(A2947,J2947,H2947,L2947)</f>
        <v>P000</v>
      </c>
      <c r="AI2947" t="str">
        <f t="shared" ref="AI2947:AI3000" si="891">CONCATENATE(B2947,A2947,G2947,L2947)</f>
        <v>0P00</v>
      </c>
      <c r="AJ2947" t="str">
        <f t="shared" ref="AJ2947:AJ3000" si="892">CONCATENATE(A2947,G2947,J2947,L2947)</f>
        <v>P000</v>
      </c>
    </row>
    <row r="2948" spans="1:36" x14ac:dyDescent="0.25">
      <c r="A2948" s="325" t="str">
        <f>CONCATENATE("P",'906MP'!M2648)</f>
        <v>P</v>
      </c>
      <c r="B2948">
        <f>'906MP'!H2648</f>
        <v>0</v>
      </c>
      <c r="C2948">
        <f>'906MP'!J2648</f>
        <v>0</v>
      </c>
      <c r="D2948">
        <f>'906MP'!P2648</f>
        <v>0</v>
      </c>
      <c r="E2948">
        <f>'906MP'!X2648</f>
        <v>0</v>
      </c>
      <c r="F2948" t="str">
        <f t="shared" si="884"/>
        <v>0</v>
      </c>
      <c r="G2948" t="str">
        <f t="shared" si="885"/>
        <v>0</v>
      </c>
      <c r="H2948">
        <f>'906MP'!Y2648</f>
        <v>0</v>
      </c>
      <c r="I2948">
        <f>'906MP'!AK2648</f>
        <v>0</v>
      </c>
      <c r="J2948">
        <f>'906MP'!T2648</f>
        <v>0</v>
      </c>
      <c r="K2948">
        <f>'906MP'!AJ2648</f>
        <v>0</v>
      </c>
      <c r="L2948">
        <f>'906MP'!U2648</f>
        <v>0</v>
      </c>
      <c r="M2948" s="322" t="str">
        <f>IFERROR(VLOOKUP(A2948,PAR!$D$3:$E$53,2,FALSE),"nincs szervezet")</f>
        <v>nincs szervezet</v>
      </c>
      <c r="N2948" s="322" t="str">
        <f>VLOOKUP(F2948,PAR!$R$3:$S$5,2,FALSE)</f>
        <v>3 - egyik sem</v>
      </c>
      <c r="O2948" t="str">
        <f>IFERROR(VLOOKUP(J2948,PAR!$O$3:$P$5,2,FALSE),"nincs feladat")</f>
        <v>nincs feladat</v>
      </c>
      <c r="P2948" t="str">
        <f>IFERROR(VLOOKUP(G2948,PAR!$J$2:$M$19,4),"nincs rovat")</f>
        <v>nincs rovat</v>
      </c>
      <c r="Q2948" t="str">
        <f>IF(H2948&gt;0,VLOOKUP(H2948,PAR!$AA$3:$AC$187,3,FALSE),"nincs főkönyvi számla")</f>
        <v>nincs főkönyvi számla</v>
      </c>
      <c r="R2948" t="str">
        <f>IFERROR(VLOOKUP(K2948,PAR!$V$3:$X$438,3,FALSE),"000000 - Nincs COFOG")</f>
        <v>000000 - Nincs COFOG</v>
      </c>
      <c r="S2948">
        <f t="shared" si="886"/>
        <v>0</v>
      </c>
      <c r="T2948">
        <f t="shared" si="887"/>
        <v>0</v>
      </c>
      <c r="U2948" t="str">
        <f>IF('906MP'!J2648&gt;0,CONCATENATE('906MP'!J2648," - ",'906MP'!P2648,", ",'906MP'!E2648),"nincs megjegyzés")</f>
        <v>nincs megjegyzés</v>
      </c>
      <c r="V2948" t="str">
        <f t="shared" si="874"/>
        <v>0P0</v>
      </c>
      <c r="W2948" t="str">
        <f t="shared" si="875"/>
        <v>0P0</v>
      </c>
      <c r="X2948" t="str">
        <f t="shared" si="876"/>
        <v>P0</v>
      </c>
      <c r="Y2948" t="str">
        <f t="shared" si="877"/>
        <v>00</v>
      </c>
      <c r="Z2948" t="str">
        <f t="shared" si="888"/>
        <v>00</v>
      </c>
      <c r="AA2948" t="str">
        <f t="shared" si="878"/>
        <v>00</v>
      </c>
      <c r="AB2948" t="str">
        <f t="shared" si="879"/>
        <v>00</v>
      </c>
      <c r="AC2948" t="str">
        <f t="shared" si="880"/>
        <v>0P0</v>
      </c>
      <c r="AD2948" t="str">
        <f t="shared" si="881"/>
        <v>P00</v>
      </c>
      <c r="AE2948" t="str">
        <f t="shared" si="882"/>
        <v>0P0</v>
      </c>
      <c r="AF2948" t="str">
        <f t="shared" si="883"/>
        <v>P00</v>
      </c>
      <c r="AG2948" t="str">
        <f t="shared" si="889"/>
        <v>0P00</v>
      </c>
      <c r="AH2948" t="str">
        <f t="shared" si="890"/>
        <v>P000</v>
      </c>
      <c r="AI2948" t="str">
        <f t="shared" si="891"/>
        <v>0P00</v>
      </c>
      <c r="AJ2948" t="str">
        <f t="shared" si="892"/>
        <v>P000</v>
      </c>
    </row>
    <row r="2949" spans="1:36" x14ac:dyDescent="0.25">
      <c r="A2949" s="325" t="str">
        <f>CONCATENATE("P",'906MP'!M2649)</f>
        <v>P</v>
      </c>
      <c r="B2949">
        <f>'906MP'!H2649</f>
        <v>0</v>
      </c>
      <c r="C2949">
        <f>'906MP'!J2649</f>
        <v>0</v>
      </c>
      <c r="D2949">
        <f>'906MP'!P2649</f>
        <v>0</v>
      </c>
      <c r="E2949">
        <f>'906MP'!X2649</f>
        <v>0</v>
      </c>
      <c r="F2949" t="str">
        <f t="shared" si="884"/>
        <v>0</v>
      </c>
      <c r="G2949" t="str">
        <f t="shared" si="885"/>
        <v>0</v>
      </c>
      <c r="H2949">
        <f>'906MP'!Y2649</f>
        <v>0</v>
      </c>
      <c r="I2949">
        <f>'906MP'!AK2649</f>
        <v>0</v>
      </c>
      <c r="J2949">
        <f>'906MP'!T2649</f>
        <v>0</v>
      </c>
      <c r="K2949">
        <f>'906MP'!AJ2649</f>
        <v>0</v>
      </c>
      <c r="L2949">
        <f>'906MP'!U2649</f>
        <v>0</v>
      </c>
      <c r="M2949" s="322" t="str">
        <f>IFERROR(VLOOKUP(A2949,PAR!$D$3:$E$53,2,FALSE),"nincs szervezet")</f>
        <v>nincs szervezet</v>
      </c>
      <c r="N2949" s="322" t="str">
        <f>VLOOKUP(F2949,PAR!$R$3:$S$5,2,FALSE)</f>
        <v>3 - egyik sem</v>
      </c>
      <c r="O2949" t="str">
        <f>IFERROR(VLOOKUP(J2949,PAR!$O$3:$P$5,2,FALSE),"nincs feladat")</f>
        <v>nincs feladat</v>
      </c>
      <c r="P2949" t="str">
        <f>IFERROR(VLOOKUP(G2949,PAR!$J$2:$M$19,4),"nincs rovat")</f>
        <v>nincs rovat</v>
      </c>
      <c r="Q2949" t="str">
        <f>IF(H2949&gt;0,VLOOKUP(H2949,PAR!$AA$3:$AC$187,3,FALSE),"nincs főkönyvi számla")</f>
        <v>nincs főkönyvi számla</v>
      </c>
      <c r="R2949" t="str">
        <f>IFERROR(VLOOKUP(K2949,PAR!$V$3:$X$438,3,FALSE),"000000 - Nincs COFOG")</f>
        <v>000000 - Nincs COFOG</v>
      </c>
      <c r="S2949">
        <f t="shared" si="886"/>
        <v>0</v>
      </c>
      <c r="T2949">
        <f t="shared" si="887"/>
        <v>0</v>
      </c>
      <c r="U2949" t="str">
        <f>IF('906MP'!J2649&gt;0,CONCATENATE('906MP'!J2649," - ",'906MP'!P2649,", ",'906MP'!E2649),"nincs megjegyzés")</f>
        <v>nincs megjegyzés</v>
      </c>
      <c r="V2949" t="str">
        <f t="shared" si="874"/>
        <v>0P0</v>
      </c>
      <c r="W2949" t="str">
        <f t="shared" si="875"/>
        <v>0P0</v>
      </c>
      <c r="X2949" t="str">
        <f t="shared" si="876"/>
        <v>P0</v>
      </c>
      <c r="Y2949" t="str">
        <f t="shared" si="877"/>
        <v>00</v>
      </c>
      <c r="Z2949" t="str">
        <f t="shared" si="888"/>
        <v>00</v>
      </c>
      <c r="AA2949" t="str">
        <f t="shared" si="878"/>
        <v>00</v>
      </c>
      <c r="AB2949" t="str">
        <f t="shared" si="879"/>
        <v>00</v>
      </c>
      <c r="AC2949" t="str">
        <f t="shared" si="880"/>
        <v>0P0</v>
      </c>
      <c r="AD2949" t="str">
        <f t="shared" si="881"/>
        <v>P00</v>
      </c>
      <c r="AE2949" t="str">
        <f t="shared" si="882"/>
        <v>0P0</v>
      </c>
      <c r="AF2949" t="str">
        <f t="shared" si="883"/>
        <v>P00</v>
      </c>
      <c r="AG2949" t="str">
        <f t="shared" si="889"/>
        <v>0P00</v>
      </c>
      <c r="AH2949" t="str">
        <f t="shared" si="890"/>
        <v>P000</v>
      </c>
      <c r="AI2949" t="str">
        <f t="shared" si="891"/>
        <v>0P00</v>
      </c>
      <c r="AJ2949" t="str">
        <f t="shared" si="892"/>
        <v>P000</v>
      </c>
    </row>
    <row r="2950" spans="1:36" x14ac:dyDescent="0.25">
      <c r="A2950" s="325" t="str">
        <f>CONCATENATE("P",'906MP'!M2650)</f>
        <v>P</v>
      </c>
      <c r="B2950">
        <f>'906MP'!H2650</f>
        <v>0</v>
      </c>
      <c r="C2950">
        <f>'906MP'!J2650</f>
        <v>0</v>
      </c>
      <c r="D2950">
        <f>'906MP'!P2650</f>
        <v>0</v>
      </c>
      <c r="E2950">
        <f>'906MP'!X2650</f>
        <v>0</v>
      </c>
      <c r="F2950" t="str">
        <f t="shared" si="884"/>
        <v>0</v>
      </c>
      <c r="G2950" t="str">
        <f t="shared" si="885"/>
        <v>0</v>
      </c>
      <c r="H2950">
        <f>'906MP'!Y2650</f>
        <v>0</v>
      </c>
      <c r="I2950">
        <f>'906MP'!AK2650</f>
        <v>0</v>
      </c>
      <c r="J2950">
        <f>'906MP'!T2650</f>
        <v>0</v>
      </c>
      <c r="K2950">
        <f>'906MP'!AJ2650</f>
        <v>0</v>
      </c>
      <c r="L2950">
        <f>'906MP'!U2650</f>
        <v>0</v>
      </c>
      <c r="M2950" s="322" t="str">
        <f>IFERROR(VLOOKUP(A2950,PAR!$D$3:$E$53,2,FALSE),"nincs szervezet")</f>
        <v>nincs szervezet</v>
      </c>
      <c r="N2950" s="322" t="str">
        <f>VLOOKUP(F2950,PAR!$R$3:$S$5,2,FALSE)</f>
        <v>3 - egyik sem</v>
      </c>
      <c r="O2950" t="str">
        <f>IFERROR(VLOOKUP(J2950,PAR!$O$3:$P$5,2,FALSE),"nincs feladat")</f>
        <v>nincs feladat</v>
      </c>
      <c r="P2950" t="str">
        <f>IFERROR(VLOOKUP(G2950,PAR!$J$2:$M$19,4),"nincs rovat")</f>
        <v>nincs rovat</v>
      </c>
      <c r="Q2950" t="str">
        <f>IF(H2950&gt;0,VLOOKUP(H2950,PAR!$AA$3:$AC$187,3,FALSE),"nincs főkönyvi számla")</f>
        <v>nincs főkönyvi számla</v>
      </c>
      <c r="R2950" t="str">
        <f>IFERROR(VLOOKUP(K2950,PAR!$V$3:$X$438,3,FALSE),"000000 - Nincs COFOG")</f>
        <v>000000 - Nincs COFOG</v>
      </c>
      <c r="S2950">
        <f t="shared" si="886"/>
        <v>0</v>
      </c>
      <c r="T2950">
        <f t="shared" si="887"/>
        <v>0</v>
      </c>
      <c r="U2950" t="str">
        <f>IF('906MP'!J2650&gt;0,CONCATENATE('906MP'!J2650," - ",'906MP'!P2650,", ",'906MP'!E2650),"nincs megjegyzés")</f>
        <v>nincs megjegyzés</v>
      </c>
      <c r="V2950" t="str">
        <f t="shared" si="874"/>
        <v>0P0</v>
      </c>
      <c r="W2950" t="str">
        <f t="shared" si="875"/>
        <v>0P0</v>
      </c>
      <c r="X2950" t="str">
        <f t="shared" si="876"/>
        <v>P0</v>
      </c>
      <c r="Y2950" t="str">
        <f t="shared" si="877"/>
        <v>00</v>
      </c>
      <c r="Z2950" t="str">
        <f t="shared" si="888"/>
        <v>00</v>
      </c>
      <c r="AA2950" t="str">
        <f t="shared" si="878"/>
        <v>00</v>
      </c>
      <c r="AB2950" t="str">
        <f t="shared" si="879"/>
        <v>00</v>
      </c>
      <c r="AC2950" t="str">
        <f t="shared" si="880"/>
        <v>0P0</v>
      </c>
      <c r="AD2950" t="str">
        <f t="shared" si="881"/>
        <v>P00</v>
      </c>
      <c r="AE2950" t="str">
        <f t="shared" si="882"/>
        <v>0P0</v>
      </c>
      <c r="AF2950" t="str">
        <f t="shared" si="883"/>
        <v>P00</v>
      </c>
      <c r="AG2950" t="str">
        <f t="shared" si="889"/>
        <v>0P00</v>
      </c>
      <c r="AH2950" t="str">
        <f t="shared" si="890"/>
        <v>P000</v>
      </c>
      <c r="AI2950" t="str">
        <f t="shared" si="891"/>
        <v>0P00</v>
      </c>
      <c r="AJ2950" t="str">
        <f t="shared" si="892"/>
        <v>P000</v>
      </c>
    </row>
    <row r="2951" spans="1:36" x14ac:dyDescent="0.25">
      <c r="A2951" s="325" t="str">
        <f>CONCATENATE("P",'906MP'!M2651)</f>
        <v>P</v>
      </c>
      <c r="B2951">
        <f>'906MP'!H2651</f>
        <v>0</v>
      </c>
      <c r="C2951">
        <f>'906MP'!J2651</f>
        <v>0</v>
      </c>
      <c r="D2951">
        <f>'906MP'!P2651</f>
        <v>0</v>
      </c>
      <c r="E2951">
        <f>'906MP'!X2651</f>
        <v>0</v>
      </c>
      <c r="F2951" t="str">
        <f t="shared" si="884"/>
        <v>0</v>
      </c>
      <c r="G2951" t="str">
        <f t="shared" si="885"/>
        <v>0</v>
      </c>
      <c r="H2951">
        <f>'906MP'!Y2651</f>
        <v>0</v>
      </c>
      <c r="I2951">
        <f>'906MP'!AK2651</f>
        <v>0</v>
      </c>
      <c r="J2951">
        <f>'906MP'!T2651</f>
        <v>0</v>
      </c>
      <c r="K2951">
        <f>'906MP'!AJ2651</f>
        <v>0</v>
      </c>
      <c r="L2951">
        <f>'906MP'!U2651</f>
        <v>0</v>
      </c>
      <c r="M2951" s="322" t="str">
        <f>IFERROR(VLOOKUP(A2951,PAR!$D$3:$E$53,2,FALSE),"nincs szervezet")</f>
        <v>nincs szervezet</v>
      </c>
      <c r="N2951" s="322" t="str">
        <f>VLOOKUP(F2951,PAR!$R$3:$S$5,2,FALSE)</f>
        <v>3 - egyik sem</v>
      </c>
      <c r="O2951" t="str">
        <f>IFERROR(VLOOKUP(J2951,PAR!$O$3:$P$5,2,FALSE),"nincs feladat")</f>
        <v>nincs feladat</v>
      </c>
      <c r="P2951" t="str">
        <f>IFERROR(VLOOKUP(G2951,PAR!$J$2:$M$19,4),"nincs rovat")</f>
        <v>nincs rovat</v>
      </c>
      <c r="Q2951" t="str">
        <f>IF(H2951&gt;0,VLOOKUP(H2951,PAR!$AA$3:$AC$187,3,FALSE),"nincs főkönyvi számla")</f>
        <v>nincs főkönyvi számla</v>
      </c>
      <c r="R2951" t="str">
        <f>IFERROR(VLOOKUP(K2951,PAR!$V$3:$X$438,3,FALSE),"000000 - Nincs COFOG")</f>
        <v>000000 - Nincs COFOG</v>
      </c>
      <c r="S2951">
        <f t="shared" si="886"/>
        <v>0</v>
      </c>
      <c r="T2951">
        <f t="shared" si="887"/>
        <v>0</v>
      </c>
      <c r="U2951" t="str">
        <f>IF('906MP'!J2651&gt;0,CONCATENATE('906MP'!J2651," - ",'906MP'!P2651,", ",'906MP'!E2651),"nincs megjegyzés")</f>
        <v>nincs megjegyzés</v>
      </c>
      <c r="V2951" t="str">
        <f t="shared" si="874"/>
        <v>0P0</v>
      </c>
      <c r="W2951" t="str">
        <f t="shared" si="875"/>
        <v>0P0</v>
      </c>
      <c r="X2951" t="str">
        <f t="shared" si="876"/>
        <v>P0</v>
      </c>
      <c r="Y2951" t="str">
        <f t="shared" si="877"/>
        <v>00</v>
      </c>
      <c r="Z2951" t="str">
        <f t="shared" si="888"/>
        <v>00</v>
      </c>
      <c r="AA2951" t="str">
        <f t="shared" si="878"/>
        <v>00</v>
      </c>
      <c r="AB2951" t="str">
        <f t="shared" si="879"/>
        <v>00</v>
      </c>
      <c r="AC2951" t="str">
        <f t="shared" si="880"/>
        <v>0P0</v>
      </c>
      <c r="AD2951" t="str">
        <f t="shared" si="881"/>
        <v>P00</v>
      </c>
      <c r="AE2951" t="str">
        <f t="shared" si="882"/>
        <v>0P0</v>
      </c>
      <c r="AF2951" t="str">
        <f t="shared" si="883"/>
        <v>P00</v>
      </c>
      <c r="AG2951" t="str">
        <f t="shared" si="889"/>
        <v>0P00</v>
      </c>
      <c r="AH2951" t="str">
        <f t="shared" si="890"/>
        <v>P000</v>
      </c>
      <c r="AI2951" t="str">
        <f t="shared" si="891"/>
        <v>0P00</v>
      </c>
      <c r="AJ2951" t="str">
        <f t="shared" si="892"/>
        <v>P000</v>
      </c>
    </row>
    <row r="2952" spans="1:36" x14ac:dyDescent="0.25">
      <c r="A2952" s="325" t="str">
        <f>CONCATENATE("P",'906MP'!M2652)</f>
        <v>P</v>
      </c>
      <c r="B2952">
        <f>'906MP'!H2652</f>
        <v>0</v>
      </c>
      <c r="C2952">
        <f>'906MP'!J2652</f>
        <v>0</v>
      </c>
      <c r="D2952">
        <f>'906MP'!P2652</f>
        <v>0</v>
      </c>
      <c r="E2952">
        <f>'906MP'!X2652</f>
        <v>0</v>
      </c>
      <c r="F2952" t="str">
        <f t="shared" si="884"/>
        <v>0</v>
      </c>
      <c r="G2952" t="str">
        <f t="shared" si="885"/>
        <v>0</v>
      </c>
      <c r="H2952">
        <f>'906MP'!Y2652</f>
        <v>0</v>
      </c>
      <c r="I2952">
        <f>'906MP'!AK2652</f>
        <v>0</v>
      </c>
      <c r="J2952">
        <f>'906MP'!T2652</f>
        <v>0</v>
      </c>
      <c r="K2952">
        <f>'906MP'!AJ2652</f>
        <v>0</v>
      </c>
      <c r="L2952">
        <f>'906MP'!U2652</f>
        <v>0</v>
      </c>
      <c r="M2952" s="322" t="str">
        <f>IFERROR(VLOOKUP(A2952,PAR!$D$3:$E$53,2,FALSE),"nincs szervezet")</f>
        <v>nincs szervezet</v>
      </c>
      <c r="N2952" s="322" t="str">
        <f>VLOOKUP(F2952,PAR!$R$3:$S$5,2,FALSE)</f>
        <v>3 - egyik sem</v>
      </c>
      <c r="O2952" t="str">
        <f>IFERROR(VLOOKUP(J2952,PAR!$O$3:$P$5,2,FALSE),"nincs feladat")</f>
        <v>nincs feladat</v>
      </c>
      <c r="P2952" t="str">
        <f>IFERROR(VLOOKUP(G2952,PAR!$J$2:$M$19,4),"nincs rovat")</f>
        <v>nincs rovat</v>
      </c>
      <c r="Q2952" t="str">
        <f>IF(H2952&gt;0,VLOOKUP(H2952,PAR!$AA$3:$AC$187,3,FALSE),"nincs főkönyvi számla")</f>
        <v>nincs főkönyvi számla</v>
      </c>
      <c r="R2952" t="str">
        <f>IFERROR(VLOOKUP(K2952,PAR!$V$3:$X$438,3,FALSE),"000000 - Nincs COFOG")</f>
        <v>000000 - Nincs COFOG</v>
      </c>
      <c r="S2952">
        <f t="shared" si="886"/>
        <v>0</v>
      </c>
      <c r="T2952">
        <f t="shared" si="887"/>
        <v>0</v>
      </c>
      <c r="U2952" t="str">
        <f>IF('906MP'!J2652&gt;0,CONCATENATE('906MP'!J2652," - ",'906MP'!P2652,", ",'906MP'!E2652),"nincs megjegyzés")</f>
        <v>nincs megjegyzés</v>
      </c>
      <c r="V2952" t="str">
        <f t="shared" si="874"/>
        <v>0P0</v>
      </c>
      <c r="W2952" t="str">
        <f t="shared" si="875"/>
        <v>0P0</v>
      </c>
      <c r="X2952" t="str">
        <f t="shared" si="876"/>
        <v>P0</v>
      </c>
      <c r="Y2952" t="str">
        <f t="shared" si="877"/>
        <v>00</v>
      </c>
      <c r="Z2952" t="str">
        <f t="shared" si="888"/>
        <v>00</v>
      </c>
      <c r="AA2952" t="str">
        <f t="shared" si="878"/>
        <v>00</v>
      </c>
      <c r="AB2952" t="str">
        <f t="shared" si="879"/>
        <v>00</v>
      </c>
      <c r="AC2952" t="str">
        <f t="shared" si="880"/>
        <v>0P0</v>
      </c>
      <c r="AD2952" t="str">
        <f t="shared" si="881"/>
        <v>P00</v>
      </c>
      <c r="AE2952" t="str">
        <f t="shared" si="882"/>
        <v>0P0</v>
      </c>
      <c r="AF2952" t="str">
        <f t="shared" si="883"/>
        <v>P00</v>
      </c>
      <c r="AG2952" t="str">
        <f t="shared" si="889"/>
        <v>0P00</v>
      </c>
      <c r="AH2952" t="str">
        <f t="shared" si="890"/>
        <v>P000</v>
      </c>
      <c r="AI2952" t="str">
        <f t="shared" si="891"/>
        <v>0P00</v>
      </c>
      <c r="AJ2952" t="str">
        <f t="shared" si="892"/>
        <v>P000</v>
      </c>
    </row>
    <row r="2953" spans="1:36" x14ac:dyDescent="0.25">
      <c r="A2953" s="325" t="str">
        <f>CONCATENATE("P",'906MP'!M2653)</f>
        <v>P</v>
      </c>
      <c r="B2953">
        <f>'906MP'!H2653</f>
        <v>0</v>
      </c>
      <c r="C2953">
        <f>'906MP'!J2653</f>
        <v>0</v>
      </c>
      <c r="D2953">
        <f>'906MP'!P2653</f>
        <v>0</v>
      </c>
      <c r="E2953">
        <f>'906MP'!X2653</f>
        <v>0</v>
      </c>
      <c r="F2953" t="str">
        <f t="shared" si="884"/>
        <v>0</v>
      </c>
      <c r="G2953" t="str">
        <f t="shared" si="885"/>
        <v>0</v>
      </c>
      <c r="H2953">
        <f>'906MP'!Y2653</f>
        <v>0</v>
      </c>
      <c r="I2953">
        <f>'906MP'!AK2653</f>
        <v>0</v>
      </c>
      <c r="J2953">
        <f>'906MP'!T2653</f>
        <v>0</v>
      </c>
      <c r="K2953">
        <f>'906MP'!AJ2653</f>
        <v>0</v>
      </c>
      <c r="L2953">
        <f>'906MP'!U2653</f>
        <v>0</v>
      </c>
      <c r="M2953" s="322" t="str">
        <f>IFERROR(VLOOKUP(A2953,PAR!$D$3:$E$53,2,FALSE),"nincs szervezet")</f>
        <v>nincs szervezet</v>
      </c>
      <c r="N2953" s="322" t="str">
        <f>VLOOKUP(F2953,PAR!$R$3:$S$5,2,FALSE)</f>
        <v>3 - egyik sem</v>
      </c>
      <c r="O2953" t="str">
        <f>IFERROR(VLOOKUP(J2953,PAR!$O$3:$P$5,2,FALSE),"nincs feladat")</f>
        <v>nincs feladat</v>
      </c>
      <c r="P2953" t="str">
        <f>IFERROR(VLOOKUP(G2953,PAR!$J$2:$M$19,4),"nincs rovat")</f>
        <v>nincs rovat</v>
      </c>
      <c r="Q2953" t="str">
        <f>IF(H2953&gt;0,VLOOKUP(H2953,PAR!$AA$3:$AC$187,3,FALSE),"nincs főkönyvi számla")</f>
        <v>nincs főkönyvi számla</v>
      </c>
      <c r="R2953" t="str">
        <f>IFERROR(VLOOKUP(K2953,PAR!$V$3:$X$438,3,FALSE),"000000 - Nincs COFOG")</f>
        <v>000000 - Nincs COFOG</v>
      </c>
      <c r="S2953">
        <f t="shared" si="886"/>
        <v>0</v>
      </c>
      <c r="T2953">
        <f t="shared" si="887"/>
        <v>0</v>
      </c>
      <c r="U2953" t="str">
        <f>IF('906MP'!J2653&gt;0,CONCATENATE('906MP'!J2653," - ",'906MP'!P2653,", ",'906MP'!E2653),"nincs megjegyzés")</f>
        <v>nincs megjegyzés</v>
      </c>
      <c r="V2953" t="str">
        <f t="shared" si="874"/>
        <v>0P0</v>
      </c>
      <c r="W2953" t="str">
        <f t="shared" si="875"/>
        <v>0P0</v>
      </c>
      <c r="X2953" t="str">
        <f t="shared" si="876"/>
        <v>P0</v>
      </c>
      <c r="Y2953" t="str">
        <f t="shared" si="877"/>
        <v>00</v>
      </c>
      <c r="Z2953" t="str">
        <f t="shared" si="888"/>
        <v>00</v>
      </c>
      <c r="AA2953" t="str">
        <f t="shared" si="878"/>
        <v>00</v>
      </c>
      <c r="AB2953" t="str">
        <f t="shared" si="879"/>
        <v>00</v>
      </c>
      <c r="AC2953" t="str">
        <f t="shared" si="880"/>
        <v>0P0</v>
      </c>
      <c r="AD2953" t="str">
        <f t="shared" si="881"/>
        <v>P00</v>
      </c>
      <c r="AE2953" t="str">
        <f t="shared" si="882"/>
        <v>0P0</v>
      </c>
      <c r="AF2953" t="str">
        <f t="shared" si="883"/>
        <v>P00</v>
      </c>
      <c r="AG2953" t="str">
        <f t="shared" si="889"/>
        <v>0P00</v>
      </c>
      <c r="AH2953" t="str">
        <f t="shared" si="890"/>
        <v>P000</v>
      </c>
      <c r="AI2953" t="str">
        <f t="shared" si="891"/>
        <v>0P00</v>
      </c>
      <c r="AJ2953" t="str">
        <f t="shared" si="892"/>
        <v>P000</v>
      </c>
    </row>
    <row r="2954" spans="1:36" x14ac:dyDescent="0.25">
      <c r="A2954" s="325" t="str">
        <f>CONCATENATE("P",'906MP'!M2654)</f>
        <v>P</v>
      </c>
      <c r="B2954">
        <f>'906MP'!H2654</f>
        <v>0</v>
      </c>
      <c r="C2954">
        <f>'906MP'!J2654</f>
        <v>0</v>
      </c>
      <c r="D2954">
        <f>'906MP'!P2654</f>
        <v>0</v>
      </c>
      <c r="E2954">
        <f>'906MP'!X2654</f>
        <v>0</v>
      </c>
      <c r="F2954" t="str">
        <f t="shared" si="884"/>
        <v>0</v>
      </c>
      <c r="G2954" t="str">
        <f t="shared" si="885"/>
        <v>0</v>
      </c>
      <c r="H2954">
        <f>'906MP'!Y2654</f>
        <v>0</v>
      </c>
      <c r="I2954">
        <f>'906MP'!AK2654</f>
        <v>0</v>
      </c>
      <c r="J2954">
        <f>'906MP'!T2654</f>
        <v>0</v>
      </c>
      <c r="K2954">
        <f>'906MP'!AJ2654</f>
        <v>0</v>
      </c>
      <c r="L2954">
        <f>'906MP'!U2654</f>
        <v>0</v>
      </c>
      <c r="M2954" s="322" t="str">
        <f>IFERROR(VLOOKUP(A2954,PAR!$D$3:$E$53,2,FALSE),"nincs szervezet")</f>
        <v>nincs szervezet</v>
      </c>
      <c r="N2954" s="322" t="str">
        <f>VLOOKUP(F2954,PAR!$R$3:$S$5,2,FALSE)</f>
        <v>3 - egyik sem</v>
      </c>
      <c r="O2954" t="str">
        <f>IFERROR(VLOOKUP(J2954,PAR!$O$3:$P$5,2,FALSE),"nincs feladat")</f>
        <v>nincs feladat</v>
      </c>
      <c r="P2954" t="str">
        <f>IFERROR(VLOOKUP(G2954,PAR!$J$2:$M$19,4),"nincs rovat")</f>
        <v>nincs rovat</v>
      </c>
      <c r="Q2954" t="str">
        <f>IF(H2954&gt;0,VLOOKUP(H2954,PAR!$AA$3:$AC$187,3,FALSE),"nincs főkönyvi számla")</f>
        <v>nincs főkönyvi számla</v>
      </c>
      <c r="R2954" t="str">
        <f>IFERROR(VLOOKUP(K2954,PAR!$V$3:$X$438,3,FALSE),"000000 - Nincs COFOG")</f>
        <v>000000 - Nincs COFOG</v>
      </c>
      <c r="S2954">
        <f t="shared" si="886"/>
        <v>0</v>
      </c>
      <c r="T2954">
        <f t="shared" si="887"/>
        <v>0</v>
      </c>
      <c r="U2954" t="str">
        <f>IF('906MP'!J2654&gt;0,CONCATENATE('906MP'!J2654," - ",'906MP'!P2654,", ",'906MP'!E2654),"nincs megjegyzés")</f>
        <v>nincs megjegyzés</v>
      </c>
      <c r="V2954" t="str">
        <f t="shared" si="874"/>
        <v>0P0</v>
      </c>
      <c r="W2954" t="str">
        <f t="shared" si="875"/>
        <v>0P0</v>
      </c>
      <c r="X2954" t="str">
        <f t="shared" si="876"/>
        <v>P0</v>
      </c>
      <c r="Y2954" t="str">
        <f t="shared" si="877"/>
        <v>00</v>
      </c>
      <c r="Z2954" t="str">
        <f t="shared" si="888"/>
        <v>00</v>
      </c>
      <c r="AA2954" t="str">
        <f t="shared" si="878"/>
        <v>00</v>
      </c>
      <c r="AB2954" t="str">
        <f t="shared" si="879"/>
        <v>00</v>
      </c>
      <c r="AC2954" t="str">
        <f t="shared" si="880"/>
        <v>0P0</v>
      </c>
      <c r="AD2954" t="str">
        <f t="shared" si="881"/>
        <v>P00</v>
      </c>
      <c r="AE2954" t="str">
        <f t="shared" si="882"/>
        <v>0P0</v>
      </c>
      <c r="AF2954" t="str">
        <f t="shared" si="883"/>
        <v>P00</v>
      </c>
      <c r="AG2954" t="str">
        <f t="shared" si="889"/>
        <v>0P00</v>
      </c>
      <c r="AH2954" t="str">
        <f t="shared" si="890"/>
        <v>P000</v>
      </c>
      <c r="AI2954" t="str">
        <f t="shared" si="891"/>
        <v>0P00</v>
      </c>
      <c r="AJ2954" t="str">
        <f t="shared" si="892"/>
        <v>P000</v>
      </c>
    </row>
    <row r="2955" spans="1:36" x14ac:dyDescent="0.25">
      <c r="A2955" s="325" t="str">
        <f>CONCATENATE("P",'906MP'!M2655)</f>
        <v>P</v>
      </c>
      <c r="B2955">
        <f>'906MP'!H2655</f>
        <v>0</v>
      </c>
      <c r="C2955">
        <f>'906MP'!J2655</f>
        <v>0</v>
      </c>
      <c r="D2955">
        <f>'906MP'!P2655</f>
        <v>0</v>
      </c>
      <c r="E2955">
        <f>'906MP'!X2655</f>
        <v>0</v>
      </c>
      <c r="F2955" t="str">
        <f t="shared" si="884"/>
        <v>0</v>
      </c>
      <c r="G2955" t="str">
        <f t="shared" si="885"/>
        <v>0</v>
      </c>
      <c r="H2955">
        <f>'906MP'!Y2655</f>
        <v>0</v>
      </c>
      <c r="I2955">
        <f>'906MP'!AK2655</f>
        <v>0</v>
      </c>
      <c r="J2955">
        <f>'906MP'!T2655</f>
        <v>0</v>
      </c>
      <c r="K2955">
        <f>'906MP'!AJ2655</f>
        <v>0</v>
      </c>
      <c r="L2955">
        <f>'906MP'!U2655</f>
        <v>0</v>
      </c>
      <c r="M2955" s="322" t="str">
        <f>IFERROR(VLOOKUP(A2955,PAR!$D$3:$E$53,2,FALSE),"nincs szervezet")</f>
        <v>nincs szervezet</v>
      </c>
      <c r="N2955" s="322" t="str">
        <f>VLOOKUP(F2955,PAR!$R$3:$S$5,2,FALSE)</f>
        <v>3 - egyik sem</v>
      </c>
      <c r="O2955" t="str">
        <f>IFERROR(VLOOKUP(J2955,PAR!$O$3:$P$5,2,FALSE),"nincs feladat")</f>
        <v>nincs feladat</v>
      </c>
      <c r="P2955" t="str">
        <f>IFERROR(VLOOKUP(G2955,PAR!$J$2:$M$19,4),"nincs rovat")</f>
        <v>nincs rovat</v>
      </c>
      <c r="Q2955" t="str">
        <f>IF(H2955&gt;0,VLOOKUP(H2955,PAR!$AA$3:$AC$187,3,FALSE),"nincs főkönyvi számla")</f>
        <v>nincs főkönyvi számla</v>
      </c>
      <c r="R2955" t="str">
        <f>IFERROR(VLOOKUP(K2955,PAR!$V$3:$X$438,3,FALSE),"000000 - Nincs COFOG")</f>
        <v>000000 - Nincs COFOG</v>
      </c>
      <c r="S2955">
        <f t="shared" si="886"/>
        <v>0</v>
      </c>
      <c r="T2955">
        <f t="shared" si="887"/>
        <v>0</v>
      </c>
      <c r="U2955" t="str">
        <f>IF('906MP'!J2655&gt;0,CONCATENATE('906MP'!J2655," - ",'906MP'!P2655,", ",'906MP'!E2655),"nincs megjegyzés")</f>
        <v>nincs megjegyzés</v>
      </c>
      <c r="V2955" t="str">
        <f t="shared" si="874"/>
        <v>0P0</v>
      </c>
      <c r="W2955" t="str">
        <f t="shared" si="875"/>
        <v>0P0</v>
      </c>
      <c r="X2955" t="str">
        <f t="shared" si="876"/>
        <v>P0</v>
      </c>
      <c r="Y2955" t="str">
        <f t="shared" si="877"/>
        <v>00</v>
      </c>
      <c r="Z2955" t="str">
        <f t="shared" si="888"/>
        <v>00</v>
      </c>
      <c r="AA2955" t="str">
        <f t="shared" si="878"/>
        <v>00</v>
      </c>
      <c r="AB2955" t="str">
        <f t="shared" si="879"/>
        <v>00</v>
      </c>
      <c r="AC2955" t="str">
        <f t="shared" si="880"/>
        <v>0P0</v>
      </c>
      <c r="AD2955" t="str">
        <f t="shared" si="881"/>
        <v>P00</v>
      </c>
      <c r="AE2955" t="str">
        <f t="shared" si="882"/>
        <v>0P0</v>
      </c>
      <c r="AF2955" t="str">
        <f t="shared" si="883"/>
        <v>P00</v>
      </c>
      <c r="AG2955" t="str">
        <f t="shared" si="889"/>
        <v>0P00</v>
      </c>
      <c r="AH2955" t="str">
        <f t="shared" si="890"/>
        <v>P000</v>
      </c>
      <c r="AI2955" t="str">
        <f t="shared" si="891"/>
        <v>0P00</v>
      </c>
      <c r="AJ2955" t="str">
        <f t="shared" si="892"/>
        <v>P000</v>
      </c>
    </row>
    <row r="2956" spans="1:36" x14ac:dyDescent="0.25">
      <c r="A2956" s="325" t="str">
        <f>CONCATENATE("P",'906MP'!M2656)</f>
        <v>P</v>
      </c>
      <c r="B2956">
        <f>'906MP'!H2656</f>
        <v>0</v>
      </c>
      <c r="C2956">
        <f>'906MP'!J2656</f>
        <v>0</v>
      </c>
      <c r="D2956">
        <f>'906MP'!P2656</f>
        <v>0</v>
      </c>
      <c r="E2956">
        <f>'906MP'!X2656</f>
        <v>0</v>
      </c>
      <c r="F2956" t="str">
        <f t="shared" si="884"/>
        <v>0</v>
      </c>
      <c r="G2956" t="str">
        <f t="shared" si="885"/>
        <v>0</v>
      </c>
      <c r="H2956">
        <f>'906MP'!Y2656</f>
        <v>0</v>
      </c>
      <c r="I2956">
        <f>'906MP'!AK2656</f>
        <v>0</v>
      </c>
      <c r="J2956">
        <f>'906MP'!T2656</f>
        <v>0</v>
      </c>
      <c r="K2956">
        <f>'906MP'!AJ2656</f>
        <v>0</v>
      </c>
      <c r="L2956">
        <f>'906MP'!U2656</f>
        <v>0</v>
      </c>
      <c r="M2956" s="322" t="str">
        <f>IFERROR(VLOOKUP(A2956,PAR!$D$3:$E$53,2,FALSE),"nincs szervezet")</f>
        <v>nincs szervezet</v>
      </c>
      <c r="N2956" s="322" t="str">
        <f>VLOOKUP(F2956,PAR!$R$3:$S$5,2,FALSE)</f>
        <v>3 - egyik sem</v>
      </c>
      <c r="O2956" t="str">
        <f>IFERROR(VLOOKUP(J2956,PAR!$O$3:$P$5,2,FALSE),"nincs feladat")</f>
        <v>nincs feladat</v>
      </c>
      <c r="P2956" t="str">
        <f>IFERROR(VLOOKUP(G2956,PAR!$J$2:$M$19,4),"nincs rovat")</f>
        <v>nincs rovat</v>
      </c>
      <c r="Q2956" t="str">
        <f>IF(H2956&gt;0,VLOOKUP(H2956,PAR!$AA$3:$AC$187,3,FALSE),"nincs főkönyvi számla")</f>
        <v>nincs főkönyvi számla</v>
      </c>
      <c r="R2956" t="str">
        <f>IFERROR(VLOOKUP(K2956,PAR!$V$3:$X$438,3,FALSE),"000000 - Nincs COFOG")</f>
        <v>000000 - Nincs COFOG</v>
      </c>
      <c r="S2956">
        <f t="shared" si="886"/>
        <v>0</v>
      </c>
      <c r="T2956">
        <f t="shared" si="887"/>
        <v>0</v>
      </c>
      <c r="U2956" t="str">
        <f>IF('906MP'!J2656&gt;0,CONCATENATE('906MP'!J2656," - ",'906MP'!P2656,", ",'906MP'!E2656),"nincs megjegyzés")</f>
        <v>nincs megjegyzés</v>
      </c>
      <c r="V2956" t="str">
        <f t="shared" si="874"/>
        <v>0P0</v>
      </c>
      <c r="W2956" t="str">
        <f t="shared" si="875"/>
        <v>0P0</v>
      </c>
      <c r="X2956" t="str">
        <f t="shared" si="876"/>
        <v>P0</v>
      </c>
      <c r="Y2956" t="str">
        <f t="shared" si="877"/>
        <v>00</v>
      </c>
      <c r="Z2956" t="str">
        <f t="shared" si="888"/>
        <v>00</v>
      </c>
      <c r="AA2956" t="str">
        <f t="shared" si="878"/>
        <v>00</v>
      </c>
      <c r="AB2956" t="str">
        <f t="shared" si="879"/>
        <v>00</v>
      </c>
      <c r="AC2956" t="str">
        <f t="shared" si="880"/>
        <v>0P0</v>
      </c>
      <c r="AD2956" t="str">
        <f t="shared" si="881"/>
        <v>P00</v>
      </c>
      <c r="AE2956" t="str">
        <f t="shared" si="882"/>
        <v>0P0</v>
      </c>
      <c r="AF2956" t="str">
        <f t="shared" si="883"/>
        <v>P00</v>
      </c>
      <c r="AG2956" t="str">
        <f t="shared" si="889"/>
        <v>0P00</v>
      </c>
      <c r="AH2956" t="str">
        <f t="shared" si="890"/>
        <v>P000</v>
      </c>
      <c r="AI2956" t="str">
        <f t="shared" si="891"/>
        <v>0P00</v>
      </c>
      <c r="AJ2956" t="str">
        <f t="shared" si="892"/>
        <v>P000</v>
      </c>
    </row>
    <row r="2957" spans="1:36" x14ac:dyDescent="0.25">
      <c r="A2957" s="325" t="str">
        <f>CONCATENATE("P",'906MP'!M2657)</f>
        <v>P</v>
      </c>
      <c r="B2957">
        <f>'906MP'!H2657</f>
        <v>0</v>
      </c>
      <c r="C2957">
        <f>'906MP'!J2657</f>
        <v>0</v>
      </c>
      <c r="D2957">
        <f>'906MP'!P2657</f>
        <v>0</v>
      </c>
      <c r="E2957">
        <f>'906MP'!X2657</f>
        <v>0</v>
      </c>
      <c r="F2957" t="str">
        <f t="shared" si="884"/>
        <v>0</v>
      </c>
      <c r="G2957" t="str">
        <f t="shared" si="885"/>
        <v>0</v>
      </c>
      <c r="H2957">
        <f>'906MP'!Y2657</f>
        <v>0</v>
      </c>
      <c r="I2957">
        <f>'906MP'!AK2657</f>
        <v>0</v>
      </c>
      <c r="J2957">
        <f>'906MP'!T2657</f>
        <v>0</v>
      </c>
      <c r="K2957">
        <f>'906MP'!AJ2657</f>
        <v>0</v>
      </c>
      <c r="L2957">
        <f>'906MP'!U2657</f>
        <v>0</v>
      </c>
      <c r="M2957" s="322" t="str">
        <f>IFERROR(VLOOKUP(A2957,PAR!$D$3:$E$53,2,FALSE),"nincs szervezet")</f>
        <v>nincs szervezet</v>
      </c>
      <c r="N2957" s="322" t="str">
        <f>VLOOKUP(F2957,PAR!$R$3:$S$5,2,FALSE)</f>
        <v>3 - egyik sem</v>
      </c>
      <c r="O2957" t="str">
        <f>IFERROR(VLOOKUP(J2957,PAR!$O$3:$P$5,2,FALSE),"nincs feladat")</f>
        <v>nincs feladat</v>
      </c>
      <c r="P2957" t="str">
        <f>IFERROR(VLOOKUP(G2957,PAR!$J$2:$M$19,4),"nincs rovat")</f>
        <v>nincs rovat</v>
      </c>
      <c r="Q2957" t="str">
        <f>IF(H2957&gt;0,VLOOKUP(H2957,PAR!$AA$3:$AC$187,3,FALSE),"nincs főkönyvi számla")</f>
        <v>nincs főkönyvi számla</v>
      </c>
      <c r="R2957" t="str">
        <f>IFERROR(VLOOKUP(K2957,PAR!$V$3:$X$438,3,FALSE),"000000 - Nincs COFOG")</f>
        <v>000000 - Nincs COFOG</v>
      </c>
      <c r="S2957">
        <f t="shared" si="886"/>
        <v>0</v>
      </c>
      <c r="T2957">
        <f t="shared" si="887"/>
        <v>0</v>
      </c>
      <c r="U2957" t="str">
        <f>IF('906MP'!J2657&gt;0,CONCATENATE('906MP'!J2657," - ",'906MP'!P2657,", ",'906MP'!E2657),"nincs megjegyzés")</f>
        <v>nincs megjegyzés</v>
      </c>
      <c r="V2957" t="str">
        <f t="shared" si="874"/>
        <v>0P0</v>
      </c>
      <c r="W2957" t="str">
        <f t="shared" si="875"/>
        <v>0P0</v>
      </c>
      <c r="X2957" t="str">
        <f t="shared" si="876"/>
        <v>P0</v>
      </c>
      <c r="Y2957" t="str">
        <f t="shared" si="877"/>
        <v>00</v>
      </c>
      <c r="Z2957" t="str">
        <f t="shared" si="888"/>
        <v>00</v>
      </c>
      <c r="AA2957" t="str">
        <f t="shared" si="878"/>
        <v>00</v>
      </c>
      <c r="AB2957" t="str">
        <f t="shared" si="879"/>
        <v>00</v>
      </c>
      <c r="AC2957" t="str">
        <f t="shared" si="880"/>
        <v>0P0</v>
      </c>
      <c r="AD2957" t="str">
        <f t="shared" si="881"/>
        <v>P00</v>
      </c>
      <c r="AE2957" t="str">
        <f t="shared" si="882"/>
        <v>0P0</v>
      </c>
      <c r="AF2957" t="str">
        <f t="shared" si="883"/>
        <v>P00</v>
      </c>
      <c r="AG2957" t="str">
        <f t="shared" si="889"/>
        <v>0P00</v>
      </c>
      <c r="AH2957" t="str">
        <f t="shared" si="890"/>
        <v>P000</v>
      </c>
      <c r="AI2957" t="str">
        <f t="shared" si="891"/>
        <v>0P00</v>
      </c>
      <c r="AJ2957" t="str">
        <f t="shared" si="892"/>
        <v>P000</v>
      </c>
    </row>
    <row r="2958" spans="1:36" x14ac:dyDescent="0.25">
      <c r="A2958" s="325" t="str">
        <f>CONCATENATE("P",'906MP'!M2658)</f>
        <v>P</v>
      </c>
      <c r="B2958">
        <f>'906MP'!H2658</f>
        <v>0</v>
      </c>
      <c r="C2958">
        <f>'906MP'!J2658</f>
        <v>0</v>
      </c>
      <c r="D2958">
        <f>'906MP'!P2658</f>
        <v>0</v>
      </c>
      <c r="E2958">
        <f>'906MP'!X2658</f>
        <v>0</v>
      </c>
      <c r="F2958" t="str">
        <f t="shared" si="884"/>
        <v>0</v>
      </c>
      <c r="G2958" t="str">
        <f t="shared" si="885"/>
        <v>0</v>
      </c>
      <c r="H2958">
        <f>'906MP'!Y2658</f>
        <v>0</v>
      </c>
      <c r="I2958">
        <f>'906MP'!AK2658</f>
        <v>0</v>
      </c>
      <c r="J2958">
        <f>'906MP'!T2658</f>
        <v>0</v>
      </c>
      <c r="K2958">
        <f>'906MP'!AJ2658</f>
        <v>0</v>
      </c>
      <c r="L2958">
        <f>'906MP'!U2658</f>
        <v>0</v>
      </c>
      <c r="M2958" s="322" t="str">
        <f>IFERROR(VLOOKUP(A2958,PAR!$D$3:$E$53,2,FALSE),"nincs szervezet")</f>
        <v>nincs szervezet</v>
      </c>
      <c r="N2958" s="322" t="str">
        <f>VLOOKUP(F2958,PAR!$R$3:$S$5,2,FALSE)</f>
        <v>3 - egyik sem</v>
      </c>
      <c r="O2958" t="str">
        <f>IFERROR(VLOOKUP(J2958,PAR!$O$3:$P$5,2,FALSE),"nincs feladat")</f>
        <v>nincs feladat</v>
      </c>
      <c r="P2958" t="str">
        <f>IFERROR(VLOOKUP(G2958,PAR!$J$2:$M$19,4),"nincs rovat")</f>
        <v>nincs rovat</v>
      </c>
      <c r="Q2958" t="str">
        <f>IF(H2958&gt;0,VLOOKUP(H2958,PAR!$AA$3:$AC$187,3,FALSE),"nincs főkönyvi számla")</f>
        <v>nincs főkönyvi számla</v>
      </c>
      <c r="R2958" t="str">
        <f>IFERROR(VLOOKUP(K2958,PAR!$V$3:$X$438,3,FALSE),"000000 - Nincs COFOG")</f>
        <v>000000 - Nincs COFOG</v>
      </c>
      <c r="S2958">
        <f t="shared" si="886"/>
        <v>0</v>
      </c>
      <c r="T2958">
        <f t="shared" si="887"/>
        <v>0</v>
      </c>
      <c r="U2958" t="str">
        <f>IF('906MP'!J2658&gt;0,CONCATENATE('906MP'!J2658," - ",'906MP'!P2658,", ",'906MP'!E2658),"nincs megjegyzés")</f>
        <v>nincs megjegyzés</v>
      </c>
      <c r="V2958" t="str">
        <f t="shared" si="874"/>
        <v>0P0</v>
      </c>
      <c r="W2958" t="str">
        <f t="shared" si="875"/>
        <v>0P0</v>
      </c>
      <c r="X2958" t="str">
        <f t="shared" si="876"/>
        <v>P0</v>
      </c>
      <c r="Y2958" t="str">
        <f t="shared" si="877"/>
        <v>00</v>
      </c>
      <c r="Z2958" t="str">
        <f t="shared" si="888"/>
        <v>00</v>
      </c>
      <c r="AA2958" t="str">
        <f t="shared" si="878"/>
        <v>00</v>
      </c>
      <c r="AB2958" t="str">
        <f t="shared" si="879"/>
        <v>00</v>
      </c>
      <c r="AC2958" t="str">
        <f t="shared" si="880"/>
        <v>0P0</v>
      </c>
      <c r="AD2958" t="str">
        <f t="shared" si="881"/>
        <v>P00</v>
      </c>
      <c r="AE2958" t="str">
        <f t="shared" si="882"/>
        <v>0P0</v>
      </c>
      <c r="AF2958" t="str">
        <f t="shared" si="883"/>
        <v>P00</v>
      </c>
      <c r="AG2958" t="str">
        <f t="shared" si="889"/>
        <v>0P00</v>
      </c>
      <c r="AH2958" t="str">
        <f t="shared" si="890"/>
        <v>P000</v>
      </c>
      <c r="AI2958" t="str">
        <f t="shared" si="891"/>
        <v>0P00</v>
      </c>
      <c r="AJ2958" t="str">
        <f t="shared" si="892"/>
        <v>P000</v>
      </c>
    </row>
    <row r="2959" spans="1:36" x14ac:dyDescent="0.25">
      <c r="A2959" s="325" t="str">
        <f>CONCATENATE("P",'906MP'!M2659)</f>
        <v>P</v>
      </c>
      <c r="B2959">
        <f>'906MP'!H2659</f>
        <v>0</v>
      </c>
      <c r="C2959">
        <f>'906MP'!J2659</f>
        <v>0</v>
      </c>
      <c r="D2959">
        <f>'906MP'!P2659</f>
        <v>0</v>
      </c>
      <c r="E2959">
        <f>'906MP'!X2659</f>
        <v>0</v>
      </c>
      <c r="F2959" t="str">
        <f t="shared" si="884"/>
        <v>0</v>
      </c>
      <c r="G2959" t="str">
        <f t="shared" si="885"/>
        <v>0</v>
      </c>
      <c r="H2959">
        <f>'906MP'!Y2659</f>
        <v>0</v>
      </c>
      <c r="I2959">
        <f>'906MP'!AK2659</f>
        <v>0</v>
      </c>
      <c r="J2959">
        <f>'906MP'!T2659</f>
        <v>0</v>
      </c>
      <c r="K2959">
        <f>'906MP'!AJ2659</f>
        <v>0</v>
      </c>
      <c r="L2959">
        <f>'906MP'!U2659</f>
        <v>0</v>
      </c>
      <c r="M2959" s="322" t="str">
        <f>IFERROR(VLOOKUP(A2959,PAR!$D$3:$E$53,2,FALSE),"nincs szervezet")</f>
        <v>nincs szervezet</v>
      </c>
      <c r="N2959" s="322" t="str">
        <f>VLOOKUP(F2959,PAR!$R$3:$S$5,2,FALSE)</f>
        <v>3 - egyik sem</v>
      </c>
      <c r="O2959" t="str">
        <f>IFERROR(VLOOKUP(J2959,PAR!$O$3:$P$5,2,FALSE),"nincs feladat")</f>
        <v>nincs feladat</v>
      </c>
      <c r="P2959" t="str">
        <f>IFERROR(VLOOKUP(G2959,PAR!$J$2:$M$19,4),"nincs rovat")</f>
        <v>nincs rovat</v>
      </c>
      <c r="Q2959" t="str">
        <f>IF(H2959&gt;0,VLOOKUP(H2959,PAR!$AA$3:$AC$187,3,FALSE),"nincs főkönyvi számla")</f>
        <v>nincs főkönyvi számla</v>
      </c>
      <c r="R2959" t="str">
        <f>IFERROR(VLOOKUP(K2959,PAR!$V$3:$X$438,3,FALSE),"000000 - Nincs COFOG")</f>
        <v>000000 - Nincs COFOG</v>
      </c>
      <c r="S2959">
        <f t="shared" si="886"/>
        <v>0</v>
      </c>
      <c r="T2959">
        <f t="shared" si="887"/>
        <v>0</v>
      </c>
      <c r="U2959" t="str">
        <f>IF('906MP'!J2659&gt;0,CONCATENATE('906MP'!J2659," - ",'906MP'!P2659,", ",'906MP'!E2659),"nincs megjegyzés")</f>
        <v>nincs megjegyzés</v>
      </c>
      <c r="V2959" t="str">
        <f t="shared" si="874"/>
        <v>0P0</v>
      </c>
      <c r="W2959" t="str">
        <f t="shared" si="875"/>
        <v>0P0</v>
      </c>
      <c r="X2959" t="str">
        <f t="shared" si="876"/>
        <v>P0</v>
      </c>
      <c r="Y2959" t="str">
        <f t="shared" si="877"/>
        <v>00</v>
      </c>
      <c r="Z2959" t="str">
        <f t="shared" si="888"/>
        <v>00</v>
      </c>
      <c r="AA2959" t="str">
        <f t="shared" si="878"/>
        <v>00</v>
      </c>
      <c r="AB2959" t="str">
        <f t="shared" si="879"/>
        <v>00</v>
      </c>
      <c r="AC2959" t="str">
        <f t="shared" si="880"/>
        <v>0P0</v>
      </c>
      <c r="AD2959" t="str">
        <f t="shared" si="881"/>
        <v>P00</v>
      </c>
      <c r="AE2959" t="str">
        <f t="shared" si="882"/>
        <v>0P0</v>
      </c>
      <c r="AF2959" t="str">
        <f t="shared" si="883"/>
        <v>P00</v>
      </c>
      <c r="AG2959" t="str">
        <f t="shared" si="889"/>
        <v>0P00</v>
      </c>
      <c r="AH2959" t="str">
        <f t="shared" si="890"/>
        <v>P000</v>
      </c>
      <c r="AI2959" t="str">
        <f t="shared" si="891"/>
        <v>0P00</v>
      </c>
      <c r="AJ2959" t="str">
        <f t="shared" si="892"/>
        <v>P000</v>
      </c>
    </row>
    <row r="2960" spans="1:36" x14ac:dyDescent="0.25">
      <c r="A2960" s="325" t="str">
        <f>CONCATENATE("P",'906MP'!M2660)</f>
        <v>P</v>
      </c>
      <c r="B2960">
        <f>'906MP'!H2660</f>
        <v>0</v>
      </c>
      <c r="C2960">
        <f>'906MP'!J2660</f>
        <v>0</v>
      </c>
      <c r="D2960">
        <f>'906MP'!P2660</f>
        <v>0</v>
      </c>
      <c r="E2960">
        <f>'906MP'!X2660</f>
        <v>0</v>
      </c>
      <c r="F2960" t="str">
        <f t="shared" si="884"/>
        <v>0</v>
      </c>
      <c r="G2960" t="str">
        <f t="shared" si="885"/>
        <v>0</v>
      </c>
      <c r="H2960">
        <f>'906MP'!Y2660</f>
        <v>0</v>
      </c>
      <c r="I2960">
        <f>'906MP'!AK2660</f>
        <v>0</v>
      </c>
      <c r="J2960">
        <f>'906MP'!T2660</f>
        <v>0</v>
      </c>
      <c r="K2960">
        <f>'906MP'!AJ2660</f>
        <v>0</v>
      </c>
      <c r="L2960">
        <f>'906MP'!U2660</f>
        <v>0</v>
      </c>
      <c r="M2960" s="322" t="str">
        <f>IFERROR(VLOOKUP(A2960,PAR!$D$3:$E$53,2,FALSE),"nincs szervezet")</f>
        <v>nincs szervezet</v>
      </c>
      <c r="N2960" s="322" t="str">
        <f>VLOOKUP(F2960,PAR!$R$3:$S$5,2,FALSE)</f>
        <v>3 - egyik sem</v>
      </c>
      <c r="O2960" t="str">
        <f>IFERROR(VLOOKUP(J2960,PAR!$O$3:$P$5,2,FALSE),"nincs feladat")</f>
        <v>nincs feladat</v>
      </c>
      <c r="P2960" t="str">
        <f>IFERROR(VLOOKUP(G2960,PAR!$J$2:$M$19,4),"nincs rovat")</f>
        <v>nincs rovat</v>
      </c>
      <c r="Q2960" t="str">
        <f>IF(H2960&gt;0,VLOOKUP(H2960,PAR!$AA$3:$AC$187,3,FALSE),"nincs főkönyvi számla")</f>
        <v>nincs főkönyvi számla</v>
      </c>
      <c r="R2960" t="str">
        <f>IFERROR(VLOOKUP(K2960,PAR!$V$3:$X$438,3,FALSE),"000000 - Nincs COFOG")</f>
        <v>000000 - Nincs COFOG</v>
      </c>
      <c r="S2960">
        <f t="shared" si="886"/>
        <v>0</v>
      </c>
      <c r="T2960">
        <f t="shared" si="887"/>
        <v>0</v>
      </c>
      <c r="U2960" t="str">
        <f>IF('906MP'!J2660&gt;0,CONCATENATE('906MP'!J2660," - ",'906MP'!P2660,", ",'906MP'!E2660),"nincs megjegyzés")</f>
        <v>nincs megjegyzés</v>
      </c>
      <c r="V2960" t="str">
        <f t="shared" si="874"/>
        <v>0P0</v>
      </c>
      <c r="W2960" t="str">
        <f t="shared" si="875"/>
        <v>0P0</v>
      </c>
      <c r="X2960" t="str">
        <f t="shared" si="876"/>
        <v>P0</v>
      </c>
      <c r="Y2960" t="str">
        <f t="shared" si="877"/>
        <v>00</v>
      </c>
      <c r="Z2960" t="str">
        <f t="shared" si="888"/>
        <v>00</v>
      </c>
      <c r="AA2960" t="str">
        <f t="shared" si="878"/>
        <v>00</v>
      </c>
      <c r="AB2960" t="str">
        <f t="shared" si="879"/>
        <v>00</v>
      </c>
      <c r="AC2960" t="str">
        <f t="shared" si="880"/>
        <v>0P0</v>
      </c>
      <c r="AD2960" t="str">
        <f t="shared" si="881"/>
        <v>P00</v>
      </c>
      <c r="AE2960" t="str">
        <f t="shared" si="882"/>
        <v>0P0</v>
      </c>
      <c r="AF2960" t="str">
        <f t="shared" si="883"/>
        <v>P00</v>
      </c>
      <c r="AG2960" t="str">
        <f t="shared" si="889"/>
        <v>0P00</v>
      </c>
      <c r="AH2960" t="str">
        <f t="shared" si="890"/>
        <v>P000</v>
      </c>
      <c r="AI2960" t="str">
        <f t="shared" si="891"/>
        <v>0P00</v>
      </c>
      <c r="AJ2960" t="str">
        <f t="shared" si="892"/>
        <v>P000</v>
      </c>
    </row>
    <row r="2961" spans="1:36" x14ac:dyDescent="0.25">
      <c r="A2961" s="325" t="str">
        <f>CONCATENATE("P",'906MP'!M2661)</f>
        <v>P</v>
      </c>
      <c r="B2961">
        <f>'906MP'!H2661</f>
        <v>0</v>
      </c>
      <c r="C2961">
        <f>'906MP'!J2661</f>
        <v>0</v>
      </c>
      <c r="D2961">
        <f>'906MP'!P2661</f>
        <v>0</v>
      </c>
      <c r="E2961">
        <f>'906MP'!X2661</f>
        <v>0</v>
      </c>
      <c r="F2961" t="str">
        <f t="shared" si="884"/>
        <v>0</v>
      </c>
      <c r="G2961" t="str">
        <f t="shared" si="885"/>
        <v>0</v>
      </c>
      <c r="H2961">
        <f>'906MP'!Y2661</f>
        <v>0</v>
      </c>
      <c r="I2961">
        <f>'906MP'!AK2661</f>
        <v>0</v>
      </c>
      <c r="J2961">
        <f>'906MP'!T2661</f>
        <v>0</v>
      </c>
      <c r="K2961">
        <f>'906MP'!AJ2661</f>
        <v>0</v>
      </c>
      <c r="L2961">
        <f>'906MP'!U2661</f>
        <v>0</v>
      </c>
      <c r="M2961" s="322" t="str">
        <f>IFERROR(VLOOKUP(A2961,PAR!$D$3:$E$53,2,FALSE),"nincs szervezet")</f>
        <v>nincs szervezet</v>
      </c>
      <c r="N2961" s="322" t="str">
        <f>VLOOKUP(F2961,PAR!$R$3:$S$5,2,FALSE)</f>
        <v>3 - egyik sem</v>
      </c>
      <c r="O2961" t="str">
        <f>IFERROR(VLOOKUP(J2961,PAR!$O$3:$P$5,2,FALSE),"nincs feladat")</f>
        <v>nincs feladat</v>
      </c>
      <c r="P2961" t="str">
        <f>IFERROR(VLOOKUP(G2961,PAR!$J$2:$M$19,4),"nincs rovat")</f>
        <v>nincs rovat</v>
      </c>
      <c r="Q2961" t="str">
        <f>IF(H2961&gt;0,VLOOKUP(H2961,PAR!$AA$3:$AC$187,3,FALSE),"nincs főkönyvi számla")</f>
        <v>nincs főkönyvi számla</v>
      </c>
      <c r="R2961" t="str">
        <f>IFERROR(VLOOKUP(K2961,PAR!$V$3:$X$438,3,FALSE),"000000 - Nincs COFOG")</f>
        <v>000000 - Nincs COFOG</v>
      </c>
      <c r="S2961">
        <f t="shared" si="886"/>
        <v>0</v>
      </c>
      <c r="T2961">
        <f t="shared" si="887"/>
        <v>0</v>
      </c>
      <c r="U2961" t="str">
        <f>IF('906MP'!J2661&gt;0,CONCATENATE('906MP'!J2661," - ",'906MP'!P2661,", ",'906MP'!E2661),"nincs megjegyzés")</f>
        <v>nincs megjegyzés</v>
      </c>
      <c r="V2961" t="str">
        <f t="shared" si="874"/>
        <v>0P0</v>
      </c>
      <c r="W2961" t="str">
        <f t="shared" si="875"/>
        <v>0P0</v>
      </c>
      <c r="X2961" t="str">
        <f t="shared" si="876"/>
        <v>P0</v>
      </c>
      <c r="Y2961" t="str">
        <f t="shared" si="877"/>
        <v>00</v>
      </c>
      <c r="Z2961" t="str">
        <f t="shared" si="888"/>
        <v>00</v>
      </c>
      <c r="AA2961" t="str">
        <f t="shared" si="878"/>
        <v>00</v>
      </c>
      <c r="AB2961" t="str">
        <f t="shared" si="879"/>
        <v>00</v>
      </c>
      <c r="AC2961" t="str">
        <f t="shared" si="880"/>
        <v>0P0</v>
      </c>
      <c r="AD2961" t="str">
        <f t="shared" si="881"/>
        <v>P00</v>
      </c>
      <c r="AE2961" t="str">
        <f t="shared" si="882"/>
        <v>0P0</v>
      </c>
      <c r="AF2961" t="str">
        <f t="shared" si="883"/>
        <v>P00</v>
      </c>
      <c r="AG2961" t="str">
        <f t="shared" si="889"/>
        <v>0P00</v>
      </c>
      <c r="AH2961" t="str">
        <f t="shared" si="890"/>
        <v>P000</v>
      </c>
      <c r="AI2961" t="str">
        <f t="shared" si="891"/>
        <v>0P00</v>
      </c>
      <c r="AJ2961" t="str">
        <f t="shared" si="892"/>
        <v>P000</v>
      </c>
    </row>
    <row r="2962" spans="1:36" x14ac:dyDescent="0.25">
      <c r="A2962" s="325" t="str">
        <f>CONCATENATE("P",'906MP'!M2662)</f>
        <v>P</v>
      </c>
      <c r="B2962">
        <f>'906MP'!H2662</f>
        <v>0</v>
      </c>
      <c r="C2962">
        <f>'906MP'!J2662</f>
        <v>0</v>
      </c>
      <c r="D2962">
        <f>'906MP'!P2662</f>
        <v>0</v>
      </c>
      <c r="E2962">
        <f>'906MP'!X2662</f>
        <v>0</v>
      </c>
      <c r="F2962" t="str">
        <f t="shared" si="884"/>
        <v>0</v>
      </c>
      <c r="G2962" t="str">
        <f t="shared" si="885"/>
        <v>0</v>
      </c>
      <c r="H2962">
        <f>'906MP'!Y2662</f>
        <v>0</v>
      </c>
      <c r="I2962">
        <f>'906MP'!AK2662</f>
        <v>0</v>
      </c>
      <c r="J2962">
        <f>'906MP'!T2662</f>
        <v>0</v>
      </c>
      <c r="K2962">
        <f>'906MP'!AJ2662</f>
        <v>0</v>
      </c>
      <c r="L2962">
        <f>'906MP'!U2662</f>
        <v>0</v>
      </c>
      <c r="M2962" s="322" t="str">
        <f>IFERROR(VLOOKUP(A2962,PAR!$D$3:$E$53,2,FALSE),"nincs szervezet")</f>
        <v>nincs szervezet</v>
      </c>
      <c r="N2962" s="322" t="str">
        <f>VLOOKUP(F2962,PAR!$R$3:$S$5,2,FALSE)</f>
        <v>3 - egyik sem</v>
      </c>
      <c r="O2962" t="str">
        <f>IFERROR(VLOOKUP(J2962,PAR!$O$3:$P$5,2,FALSE),"nincs feladat")</f>
        <v>nincs feladat</v>
      </c>
      <c r="P2962" t="str">
        <f>IFERROR(VLOOKUP(G2962,PAR!$J$2:$M$19,4),"nincs rovat")</f>
        <v>nincs rovat</v>
      </c>
      <c r="Q2962" t="str">
        <f>IF(H2962&gt;0,VLOOKUP(H2962,PAR!$AA$3:$AC$187,3,FALSE),"nincs főkönyvi számla")</f>
        <v>nincs főkönyvi számla</v>
      </c>
      <c r="R2962" t="str">
        <f>IFERROR(VLOOKUP(K2962,PAR!$V$3:$X$438,3,FALSE),"000000 - Nincs COFOG")</f>
        <v>000000 - Nincs COFOG</v>
      </c>
      <c r="S2962">
        <f t="shared" si="886"/>
        <v>0</v>
      </c>
      <c r="T2962">
        <f t="shared" si="887"/>
        <v>0</v>
      </c>
      <c r="U2962" t="str">
        <f>IF('906MP'!J2662&gt;0,CONCATENATE('906MP'!J2662," - ",'906MP'!P2662,", ",'906MP'!E2662),"nincs megjegyzés")</f>
        <v>nincs megjegyzés</v>
      </c>
      <c r="V2962" t="str">
        <f t="shared" si="874"/>
        <v>0P0</v>
      </c>
      <c r="W2962" t="str">
        <f t="shared" si="875"/>
        <v>0P0</v>
      </c>
      <c r="X2962" t="str">
        <f t="shared" si="876"/>
        <v>P0</v>
      </c>
      <c r="Y2962" t="str">
        <f t="shared" si="877"/>
        <v>00</v>
      </c>
      <c r="Z2962" t="str">
        <f t="shared" si="888"/>
        <v>00</v>
      </c>
      <c r="AA2962" t="str">
        <f t="shared" si="878"/>
        <v>00</v>
      </c>
      <c r="AB2962" t="str">
        <f t="shared" si="879"/>
        <v>00</v>
      </c>
      <c r="AC2962" t="str">
        <f t="shared" si="880"/>
        <v>0P0</v>
      </c>
      <c r="AD2962" t="str">
        <f t="shared" si="881"/>
        <v>P00</v>
      </c>
      <c r="AE2962" t="str">
        <f t="shared" si="882"/>
        <v>0P0</v>
      </c>
      <c r="AF2962" t="str">
        <f t="shared" si="883"/>
        <v>P00</v>
      </c>
      <c r="AG2962" t="str">
        <f t="shared" si="889"/>
        <v>0P00</v>
      </c>
      <c r="AH2962" t="str">
        <f t="shared" si="890"/>
        <v>P000</v>
      </c>
      <c r="AI2962" t="str">
        <f t="shared" si="891"/>
        <v>0P00</v>
      </c>
      <c r="AJ2962" t="str">
        <f t="shared" si="892"/>
        <v>P000</v>
      </c>
    </row>
    <row r="2963" spans="1:36" x14ac:dyDescent="0.25">
      <c r="A2963" s="325" t="str">
        <f>CONCATENATE("P",'906MP'!M2663)</f>
        <v>P</v>
      </c>
      <c r="B2963">
        <f>'906MP'!H2663</f>
        <v>0</v>
      </c>
      <c r="C2963">
        <f>'906MP'!J2663</f>
        <v>0</v>
      </c>
      <c r="D2963">
        <f>'906MP'!P2663</f>
        <v>0</v>
      </c>
      <c r="E2963">
        <f>'906MP'!X2663</f>
        <v>0</v>
      </c>
      <c r="F2963" t="str">
        <f t="shared" si="884"/>
        <v>0</v>
      </c>
      <c r="G2963" t="str">
        <f t="shared" si="885"/>
        <v>0</v>
      </c>
      <c r="H2963">
        <f>'906MP'!Y2663</f>
        <v>0</v>
      </c>
      <c r="I2963">
        <f>'906MP'!AK2663</f>
        <v>0</v>
      </c>
      <c r="J2963">
        <f>'906MP'!T2663</f>
        <v>0</v>
      </c>
      <c r="K2963">
        <f>'906MP'!AJ2663</f>
        <v>0</v>
      </c>
      <c r="L2963">
        <f>'906MP'!U2663</f>
        <v>0</v>
      </c>
      <c r="M2963" s="322" t="str">
        <f>IFERROR(VLOOKUP(A2963,PAR!$D$3:$E$53,2,FALSE),"nincs szervezet")</f>
        <v>nincs szervezet</v>
      </c>
      <c r="N2963" s="322" t="str">
        <f>VLOOKUP(F2963,PAR!$R$3:$S$5,2,FALSE)</f>
        <v>3 - egyik sem</v>
      </c>
      <c r="O2963" t="str">
        <f>IFERROR(VLOOKUP(J2963,PAR!$O$3:$P$5,2,FALSE),"nincs feladat")</f>
        <v>nincs feladat</v>
      </c>
      <c r="P2963" t="str">
        <f>IFERROR(VLOOKUP(G2963,PAR!$J$2:$M$19,4),"nincs rovat")</f>
        <v>nincs rovat</v>
      </c>
      <c r="Q2963" t="str">
        <f>IF(H2963&gt;0,VLOOKUP(H2963,PAR!$AA$3:$AC$187,3,FALSE),"nincs főkönyvi számla")</f>
        <v>nincs főkönyvi számla</v>
      </c>
      <c r="R2963" t="str">
        <f>IFERROR(VLOOKUP(K2963,PAR!$V$3:$X$438,3,FALSE),"000000 - Nincs COFOG")</f>
        <v>000000 - Nincs COFOG</v>
      </c>
      <c r="S2963">
        <f t="shared" si="886"/>
        <v>0</v>
      </c>
      <c r="T2963">
        <f t="shared" si="887"/>
        <v>0</v>
      </c>
      <c r="U2963" t="str">
        <f>IF('906MP'!J2663&gt;0,CONCATENATE('906MP'!J2663," - ",'906MP'!P2663,", ",'906MP'!E2663),"nincs megjegyzés")</f>
        <v>nincs megjegyzés</v>
      </c>
      <c r="V2963" t="str">
        <f t="shared" si="874"/>
        <v>0P0</v>
      </c>
      <c r="W2963" t="str">
        <f t="shared" si="875"/>
        <v>0P0</v>
      </c>
      <c r="X2963" t="str">
        <f t="shared" si="876"/>
        <v>P0</v>
      </c>
      <c r="Y2963" t="str">
        <f t="shared" si="877"/>
        <v>00</v>
      </c>
      <c r="Z2963" t="str">
        <f t="shared" si="888"/>
        <v>00</v>
      </c>
      <c r="AA2963" t="str">
        <f t="shared" si="878"/>
        <v>00</v>
      </c>
      <c r="AB2963" t="str">
        <f t="shared" si="879"/>
        <v>00</v>
      </c>
      <c r="AC2963" t="str">
        <f t="shared" si="880"/>
        <v>0P0</v>
      </c>
      <c r="AD2963" t="str">
        <f t="shared" si="881"/>
        <v>P00</v>
      </c>
      <c r="AE2963" t="str">
        <f t="shared" si="882"/>
        <v>0P0</v>
      </c>
      <c r="AF2963" t="str">
        <f t="shared" si="883"/>
        <v>P00</v>
      </c>
      <c r="AG2963" t="str">
        <f t="shared" si="889"/>
        <v>0P00</v>
      </c>
      <c r="AH2963" t="str">
        <f t="shared" si="890"/>
        <v>P000</v>
      </c>
      <c r="AI2963" t="str">
        <f t="shared" si="891"/>
        <v>0P00</v>
      </c>
      <c r="AJ2963" t="str">
        <f t="shared" si="892"/>
        <v>P000</v>
      </c>
    </row>
    <row r="2964" spans="1:36" x14ac:dyDescent="0.25">
      <c r="A2964" s="325" t="str">
        <f>CONCATENATE("P",'906MP'!M2664)</f>
        <v>P</v>
      </c>
      <c r="B2964">
        <f>'906MP'!H2664</f>
        <v>0</v>
      </c>
      <c r="C2964">
        <f>'906MP'!J2664</f>
        <v>0</v>
      </c>
      <c r="D2964">
        <f>'906MP'!P2664</f>
        <v>0</v>
      </c>
      <c r="E2964">
        <f>'906MP'!X2664</f>
        <v>0</v>
      </c>
      <c r="F2964" t="str">
        <f t="shared" si="884"/>
        <v>0</v>
      </c>
      <c r="G2964" t="str">
        <f t="shared" si="885"/>
        <v>0</v>
      </c>
      <c r="H2964">
        <f>'906MP'!Y2664</f>
        <v>0</v>
      </c>
      <c r="I2964">
        <f>'906MP'!AK2664</f>
        <v>0</v>
      </c>
      <c r="J2964">
        <f>'906MP'!T2664</f>
        <v>0</v>
      </c>
      <c r="K2964">
        <f>'906MP'!AJ2664</f>
        <v>0</v>
      </c>
      <c r="L2964">
        <f>'906MP'!U2664</f>
        <v>0</v>
      </c>
      <c r="M2964" s="322" t="str">
        <f>IFERROR(VLOOKUP(A2964,PAR!$D$3:$E$53,2,FALSE),"nincs szervezet")</f>
        <v>nincs szervezet</v>
      </c>
      <c r="N2964" s="322" t="str">
        <f>VLOOKUP(F2964,PAR!$R$3:$S$5,2,FALSE)</f>
        <v>3 - egyik sem</v>
      </c>
      <c r="O2964" t="str">
        <f>IFERROR(VLOOKUP(J2964,PAR!$O$3:$P$5,2,FALSE),"nincs feladat")</f>
        <v>nincs feladat</v>
      </c>
      <c r="P2964" t="str">
        <f>IFERROR(VLOOKUP(G2964,PAR!$J$2:$M$19,4),"nincs rovat")</f>
        <v>nincs rovat</v>
      </c>
      <c r="Q2964" t="str">
        <f>IF(H2964&gt;0,VLOOKUP(H2964,PAR!$AA$3:$AC$187,3,FALSE),"nincs főkönyvi számla")</f>
        <v>nincs főkönyvi számla</v>
      </c>
      <c r="R2964" t="str">
        <f>IFERROR(VLOOKUP(K2964,PAR!$V$3:$X$438,3,FALSE),"000000 - Nincs COFOG")</f>
        <v>000000 - Nincs COFOG</v>
      </c>
      <c r="S2964">
        <f t="shared" si="886"/>
        <v>0</v>
      </c>
      <c r="T2964">
        <f t="shared" si="887"/>
        <v>0</v>
      </c>
      <c r="U2964" t="str">
        <f>IF('906MP'!J2664&gt;0,CONCATENATE('906MP'!J2664," - ",'906MP'!P2664,", ",'906MP'!E2664),"nincs megjegyzés")</f>
        <v>nincs megjegyzés</v>
      </c>
      <c r="V2964" t="str">
        <f t="shared" si="874"/>
        <v>0P0</v>
      </c>
      <c r="W2964" t="str">
        <f t="shared" si="875"/>
        <v>0P0</v>
      </c>
      <c r="X2964" t="str">
        <f t="shared" si="876"/>
        <v>P0</v>
      </c>
      <c r="Y2964" t="str">
        <f t="shared" si="877"/>
        <v>00</v>
      </c>
      <c r="Z2964" t="str">
        <f t="shared" si="888"/>
        <v>00</v>
      </c>
      <c r="AA2964" t="str">
        <f t="shared" si="878"/>
        <v>00</v>
      </c>
      <c r="AB2964" t="str">
        <f t="shared" si="879"/>
        <v>00</v>
      </c>
      <c r="AC2964" t="str">
        <f t="shared" si="880"/>
        <v>0P0</v>
      </c>
      <c r="AD2964" t="str">
        <f t="shared" si="881"/>
        <v>P00</v>
      </c>
      <c r="AE2964" t="str">
        <f t="shared" si="882"/>
        <v>0P0</v>
      </c>
      <c r="AF2964" t="str">
        <f t="shared" si="883"/>
        <v>P00</v>
      </c>
      <c r="AG2964" t="str">
        <f t="shared" si="889"/>
        <v>0P00</v>
      </c>
      <c r="AH2964" t="str">
        <f t="shared" si="890"/>
        <v>P000</v>
      </c>
      <c r="AI2964" t="str">
        <f t="shared" si="891"/>
        <v>0P00</v>
      </c>
      <c r="AJ2964" t="str">
        <f t="shared" si="892"/>
        <v>P000</v>
      </c>
    </row>
    <row r="2965" spans="1:36" x14ac:dyDescent="0.25">
      <c r="A2965" s="325" t="str">
        <f>CONCATENATE("P",'906MP'!M2665)</f>
        <v>P</v>
      </c>
      <c r="B2965">
        <f>'906MP'!H2665</f>
        <v>0</v>
      </c>
      <c r="C2965">
        <f>'906MP'!J2665</f>
        <v>0</v>
      </c>
      <c r="D2965">
        <f>'906MP'!P2665</f>
        <v>0</v>
      </c>
      <c r="E2965">
        <f>'906MP'!X2665</f>
        <v>0</v>
      </c>
      <c r="F2965" t="str">
        <f t="shared" si="884"/>
        <v>0</v>
      </c>
      <c r="G2965" t="str">
        <f t="shared" si="885"/>
        <v>0</v>
      </c>
      <c r="H2965">
        <f>'906MP'!Y2665</f>
        <v>0</v>
      </c>
      <c r="I2965">
        <f>'906MP'!AK2665</f>
        <v>0</v>
      </c>
      <c r="J2965">
        <f>'906MP'!T2665</f>
        <v>0</v>
      </c>
      <c r="K2965">
        <f>'906MP'!AJ2665</f>
        <v>0</v>
      </c>
      <c r="L2965">
        <f>'906MP'!U2665</f>
        <v>0</v>
      </c>
      <c r="M2965" s="322" t="str">
        <f>IFERROR(VLOOKUP(A2965,PAR!$D$3:$E$53,2,FALSE),"nincs szervezet")</f>
        <v>nincs szervezet</v>
      </c>
      <c r="N2965" s="322" t="str">
        <f>VLOOKUP(F2965,PAR!$R$3:$S$5,2,FALSE)</f>
        <v>3 - egyik sem</v>
      </c>
      <c r="O2965" t="str">
        <f>IFERROR(VLOOKUP(J2965,PAR!$O$3:$P$5,2,FALSE),"nincs feladat")</f>
        <v>nincs feladat</v>
      </c>
      <c r="P2965" t="str">
        <f>IFERROR(VLOOKUP(G2965,PAR!$J$2:$M$19,4),"nincs rovat")</f>
        <v>nincs rovat</v>
      </c>
      <c r="Q2965" t="str">
        <f>IF(H2965&gt;0,VLOOKUP(H2965,PAR!$AA$3:$AC$187,3,FALSE),"nincs főkönyvi számla")</f>
        <v>nincs főkönyvi számla</v>
      </c>
      <c r="R2965" t="str">
        <f>IFERROR(VLOOKUP(K2965,PAR!$V$3:$X$438,3,FALSE),"000000 - Nincs COFOG")</f>
        <v>000000 - Nincs COFOG</v>
      </c>
      <c r="S2965">
        <f t="shared" si="886"/>
        <v>0</v>
      </c>
      <c r="T2965">
        <f t="shared" si="887"/>
        <v>0</v>
      </c>
      <c r="U2965" t="str">
        <f>IF('906MP'!J2665&gt;0,CONCATENATE('906MP'!J2665," - ",'906MP'!P2665,", ",'906MP'!E2665),"nincs megjegyzés")</f>
        <v>nincs megjegyzés</v>
      </c>
      <c r="V2965" t="str">
        <f t="shared" si="874"/>
        <v>0P0</v>
      </c>
      <c r="W2965" t="str">
        <f t="shared" si="875"/>
        <v>0P0</v>
      </c>
      <c r="X2965" t="str">
        <f t="shared" si="876"/>
        <v>P0</v>
      </c>
      <c r="Y2965" t="str">
        <f t="shared" si="877"/>
        <v>00</v>
      </c>
      <c r="Z2965" t="str">
        <f t="shared" si="888"/>
        <v>00</v>
      </c>
      <c r="AA2965" t="str">
        <f t="shared" si="878"/>
        <v>00</v>
      </c>
      <c r="AB2965" t="str">
        <f t="shared" si="879"/>
        <v>00</v>
      </c>
      <c r="AC2965" t="str">
        <f t="shared" si="880"/>
        <v>0P0</v>
      </c>
      <c r="AD2965" t="str">
        <f t="shared" si="881"/>
        <v>P00</v>
      </c>
      <c r="AE2965" t="str">
        <f t="shared" si="882"/>
        <v>0P0</v>
      </c>
      <c r="AF2965" t="str">
        <f t="shared" si="883"/>
        <v>P00</v>
      </c>
      <c r="AG2965" t="str">
        <f t="shared" si="889"/>
        <v>0P00</v>
      </c>
      <c r="AH2965" t="str">
        <f t="shared" si="890"/>
        <v>P000</v>
      </c>
      <c r="AI2965" t="str">
        <f t="shared" si="891"/>
        <v>0P00</v>
      </c>
      <c r="AJ2965" t="str">
        <f t="shared" si="892"/>
        <v>P000</v>
      </c>
    </row>
    <row r="2966" spans="1:36" x14ac:dyDescent="0.25">
      <c r="A2966" s="325" t="str">
        <f>CONCATENATE("P",'906MP'!M2666)</f>
        <v>P</v>
      </c>
      <c r="B2966">
        <f>'906MP'!H2666</f>
        <v>0</v>
      </c>
      <c r="C2966">
        <f>'906MP'!J2666</f>
        <v>0</v>
      </c>
      <c r="D2966">
        <f>'906MP'!P2666</f>
        <v>0</v>
      </c>
      <c r="E2966">
        <f>'906MP'!X2666</f>
        <v>0</v>
      </c>
      <c r="F2966" t="str">
        <f t="shared" si="884"/>
        <v>0</v>
      </c>
      <c r="G2966" t="str">
        <f t="shared" si="885"/>
        <v>0</v>
      </c>
      <c r="H2966">
        <f>'906MP'!Y2666</f>
        <v>0</v>
      </c>
      <c r="I2966">
        <f>'906MP'!AK2666</f>
        <v>0</v>
      </c>
      <c r="J2966">
        <f>'906MP'!T2666</f>
        <v>0</v>
      </c>
      <c r="K2966">
        <f>'906MP'!AJ2666</f>
        <v>0</v>
      </c>
      <c r="L2966">
        <f>'906MP'!U2666</f>
        <v>0</v>
      </c>
      <c r="M2966" s="322" t="str">
        <f>IFERROR(VLOOKUP(A2966,PAR!$D$3:$E$53,2,FALSE),"nincs szervezet")</f>
        <v>nincs szervezet</v>
      </c>
      <c r="N2966" s="322" t="str">
        <f>VLOOKUP(F2966,PAR!$R$3:$S$5,2,FALSE)</f>
        <v>3 - egyik sem</v>
      </c>
      <c r="O2966" t="str">
        <f>IFERROR(VLOOKUP(J2966,PAR!$O$3:$P$5,2,FALSE),"nincs feladat")</f>
        <v>nincs feladat</v>
      </c>
      <c r="P2966" t="str">
        <f>IFERROR(VLOOKUP(G2966,PAR!$J$2:$M$19,4),"nincs rovat")</f>
        <v>nincs rovat</v>
      </c>
      <c r="Q2966" t="str">
        <f>IF(H2966&gt;0,VLOOKUP(H2966,PAR!$AA$3:$AC$187,3,FALSE),"nincs főkönyvi számla")</f>
        <v>nincs főkönyvi számla</v>
      </c>
      <c r="R2966" t="str">
        <f>IFERROR(VLOOKUP(K2966,PAR!$V$3:$X$438,3,FALSE),"000000 - Nincs COFOG")</f>
        <v>000000 - Nincs COFOG</v>
      </c>
      <c r="S2966">
        <f t="shared" si="886"/>
        <v>0</v>
      </c>
      <c r="T2966">
        <f t="shared" si="887"/>
        <v>0</v>
      </c>
      <c r="U2966" t="str">
        <f>IF('906MP'!J2666&gt;0,CONCATENATE('906MP'!J2666," - ",'906MP'!P2666,", ",'906MP'!E2666),"nincs megjegyzés")</f>
        <v>nincs megjegyzés</v>
      </c>
      <c r="V2966" t="str">
        <f t="shared" si="874"/>
        <v>0P0</v>
      </c>
      <c r="W2966" t="str">
        <f t="shared" si="875"/>
        <v>0P0</v>
      </c>
      <c r="X2966" t="str">
        <f t="shared" si="876"/>
        <v>P0</v>
      </c>
      <c r="Y2966" t="str">
        <f t="shared" si="877"/>
        <v>00</v>
      </c>
      <c r="Z2966" t="str">
        <f t="shared" si="888"/>
        <v>00</v>
      </c>
      <c r="AA2966" t="str">
        <f t="shared" si="878"/>
        <v>00</v>
      </c>
      <c r="AB2966" t="str">
        <f t="shared" si="879"/>
        <v>00</v>
      </c>
      <c r="AC2966" t="str">
        <f t="shared" si="880"/>
        <v>0P0</v>
      </c>
      <c r="AD2966" t="str">
        <f t="shared" si="881"/>
        <v>P00</v>
      </c>
      <c r="AE2966" t="str">
        <f t="shared" si="882"/>
        <v>0P0</v>
      </c>
      <c r="AF2966" t="str">
        <f t="shared" si="883"/>
        <v>P00</v>
      </c>
      <c r="AG2966" t="str">
        <f t="shared" si="889"/>
        <v>0P00</v>
      </c>
      <c r="AH2966" t="str">
        <f t="shared" si="890"/>
        <v>P000</v>
      </c>
      <c r="AI2966" t="str">
        <f t="shared" si="891"/>
        <v>0P00</v>
      </c>
      <c r="AJ2966" t="str">
        <f t="shared" si="892"/>
        <v>P000</v>
      </c>
    </row>
    <row r="2967" spans="1:36" x14ac:dyDescent="0.25">
      <c r="A2967" s="325" t="str">
        <f>CONCATENATE("P",'906MP'!M2667)</f>
        <v>P</v>
      </c>
      <c r="B2967">
        <f>'906MP'!H2667</f>
        <v>0</v>
      </c>
      <c r="C2967">
        <f>'906MP'!J2667</f>
        <v>0</v>
      </c>
      <c r="D2967">
        <f>'906MP'!P2667</f>
        <v>0</v>
      </c>
      <c r="E2967">
        <f>'906MP'!X2667</f>
        <v>0</v>
      </c>
      <c r="F2967" t="str">
        <f t="shared" si="884"/>
        <v>0</v>
      </c>
      <c r="G2967" t="str">
        <f t="shared" si="885"/>
        <v>0</v>
      </c>
      <c r="H2967">
        <f>'906MP'!Y2667</f>
        <v>0</v>
      </c>
      <c r="I2967">
        <f>'906MP'!AK2667</f>
        <v>0</v>
      </c>
      <c r="J2967">
        <f>'906MP'!T2667</f>
        <v>0</v>
      </c>
      <c r="K2967">
        <f>'906MP'!AJ2667</f>
        <v>0</v>
      </c>
      <c r="L2967">
        <f>'906MP'!U2667</f>
        <v>0</v>
      </c>
      <c r="M2967" s="322" t="str">
        <f>IFERROR(VLOOKUP(A2967,PAR!$D$3:$E$53,2,FALSE),"nincs szervezet")</f>
        <v>nincs szervezet</v>
      </c>
      <c r="N2967" s="322" t="str">
        <f>VLOOKUP(F2967,PAR!$R$3:$S$5,2,FALSE)</f>
        <v>3 - egyik sem</v>
      </c>
      <c r="O2967" t="str">
        <f>IFERROR(VLOOKUP(J2967,PAR!$O$3:$P$5,2,FALSE),"nincs feladat")</f>
        <v>nincs feladat</v>
      </c>
      <c r="P2967" t="str">
        <f>IFERROR(VLOOKUP(G2967,PAR!$J$2:$M$19,4),"nincs rovat")</f>
        <v>nincs rovat</v>
      </c>
      <c r="Q2967" t="str">
        <f>IF(H2967&gt;0,VLOOKUP(H2967,PAR!$AA$3:$AC$187,3,FALSE),"nincs főkönyvi számla")</f>
        <v>nincs főkönyvi számla</v>
      </c>
      <c r="R2967" t="str">
        <f>IFERROR(VLOOKUP(K2967,PAR!$V$3:$X$438,3,FALSE),"000000 - Nincs COFOG")</f>
        <v>000000 - Nincs COFOG</v>
      </c>
      <c r="S2967">
        <f t="shared" si="886"/>
        <v>0</v>
      </c>
      <c r="T2967">
        <f t="shared" si="887"/>
        <v>0</v>
      </c>
      <c r="U2967" t="str">
        <f>IF('906MP'!J2667&gt;0,CONCATENATE('906MP'!J2667," - ",'906MP'!P2667,", ",'906MP'!E2667),"nincs megjegyzés")</f>
        <v>nincs megjegyzés</v>
      </c>
      <c r="V2967" t="str">
        <f t="shared" si="874"/>
        <v>0P0</v>
      </c>
      <c r="W2967" t="str">
        <f t="shared" si="875"/>
        <v>0P0</v>
      </c>
      <c r="X2967" t="str">
        <f t="shared" si="876"/>
        <v>P0</v>
      </c>
      <c r="Y2967" t="str">
        <f t="shared" si="877"/>
        <v>00</v>
      </c>
      <c r="Z2967" t="str">
        <f t="shared" si="888"/>
        <v>00</v>
      </c>
      <c r="AA2967" t="str">
        <f t="shared" si="878"/>
        <v>00</v>
      </c>
      <c r="AB2967" t="str">
        <f t="shared" si="879"/>
        <v>00</v>
      </c>
      <c r="AC2967" t="str">
        <f t="shared" si="880"/>
        <v>0P0</v>
      </c>
      <c r="AD2967" t="str">
        <f t="shared" si="881"/>
        <v>P00</v>
      </c>
      <c r="AE2967" t="str">
        <f t="shared" si="882"/>
        <v>0P0</v>
      </c>
      <c r="AF2967" t="str">
        <f t="shared" si="883"/>
        <v>P00</v>
      </c>
      <c r="AG2967" t="str">
        <f t="shared" si="889"/>
        <v>0P00</v>
      </c>
      <c r="AH2967" t="str">
        <f t="shared" si="890"/>
        <v>P000</v>
      </c>
      <c r="AI2967" t="str">
        <f t="shared" si="891"/>
        <v>0P00</v>
      </c>
      <c r="AJ2967" t="str">
        <f t="shared" si="892"/>
        <v>P000</v>
      </c>
    </row>
    <row r="2968" spans="1:36" x14ac:dyDescent="0.25">
      <c r="A2968" s="325" t="str">
        <f>CONCATENATE("P",'906MP'!M2668)</f>
        <v>P</v>
      </c>
      <c r="B2968">
        <f>'906MP'!H2668</f>
        <v>0</v>
      </c>
      <c r="C2968">
        <f>'906MP'!J2668</f>
        <v>0</v>
      </c>
      <c r="D2968">
        <f>'906MP'!P2668</f>
        <v>0</v>
      </c>
      <c r="E2968">
        <f>'906MP'!X2668</f>
        <v>0</v>
      </c>
      <c r="F2968" t="str">
        <f t="shared" si="884"/>
        <v>0</v>
      </c>
      <c r="G2968" t="str">
        <f t="shared" si="885"/>
        <v>0</v>
      </c>
      <c r="H2968">
        <f>'906MP'!Y2668</f>
        <v>0</v>
      </c>
      <c r="I2968">
        <f>'906MP'!AK2668</f>
        <v>0</v>
      </c>
      <c r="J2968">
        <f>'906MP'!T2668</f>
        <v>0</v>
      </c>
      <c r="K2968">
        <f>'906MP'!AJ2668</f>
        <v>0</v>
      </c>
      <c r="L2968">
        <f>'906MP'!U2668</f>
        <v>0</v>
      </c>
      <c r="M2968" s="322" t="str">
        <f>IFERROR(VLOOKUP(A2968,PAR!$D$3:$E$53,2,FALSE),"nincs szervezet")</f>
        <v>nincs szervezet</v>
      </c>
      <c r="N2968" s="322" t="str">
        <f>VLOOKUP(F2968,PAR!$R$3:$S$5,2,FALSE)</f>
        <v>3 - egyik sem</v>
      </c>
      <c r="O2968" t="str">
        <f>IFERROR(VLOOKUP(J2968,PAR!$O$3:$P$5,2,FALSE),"nincs feladat")</f>
        <v>nincs feladat</v>
      </c>
      <c r="P2968" t="str">
        <f>IFERROR(VLOOKUP(G2968,PAR!$J$2:$M$19,4),"nincs rovat")</f>
        <v>nincs rovat</v>
      </c>
      <c r="Q2968" t="str">
        <f>IF(H2968&gt;0,VLOOKUP(H2968,PAR!$AA$3:$AC$187,3,FALSE),"nincs főkönyvi számla")</f>
        <v>nincs főkönyvi számla</v>
      </c>
      <c r="R2968" t="str">
        <f>IFERROR(VLOOKUP(K2968,PAR!$V$3:$X$438,3,FALSE),"000000 - Nincs COFOG")</f>
        <v>000000 - Nincs COFOG</v>
      </c>
      <c r="S2968">
        <f t="shared" si="886"/>
        <v>0</v>
      </c>
      <c r="T2968">
        <f t="shared" si="887"/>
        <v>0</v>
      </c>
      <c r="U2968" t="str">
        <f>IF('906MP'!J2668&gt;0,CONCATENATE('906MP'!J2668," - ",'906MP'!P2668,", ",'906MP'!E2668),"nincs megjegyzés")</f>
        <v>nincs megjegyzés</v>
      </c>
      <c r="V2968" t="str">
        <f t="shared" si="874"/>
        <v>0P0</v>
      </c>
      <c r="W2968" t="str">
        <f t="shared" si="875"/>
        <v>0P0</v>
      </c>
      <c r="X2968" t="str">
        <f t="shared" si="876"/>
        <v>P0</v>
      </c>
      <c r="Y2968" t="str">
        <f t="shared" si="877"/>
        <v>00</v>
      </c>
      <c r="Z2968" t="str">
        <f t="shared" si="888"/>
        <v>00</v>
      </c>
      <c r="AA2968" t="str">
        <f t="shared" si="878"/>
        <v>00</v>
      </c>
      <c r="AB2968" t="str">
        <f t="shared" si="879"/>
        <v>00</v>
      </c>
      <c r="AC2968" t="str">
        <f t="shared" si="880"/>
        <v>0P0</v>
      </c>
      <c r="AD2968" t="str">
        <f t="shared" si="881"/>
        <v>P00</v>
      </c>
      <c r="AE2968" t="str">
        <f t="shared" si="882"/>
        <v>0P0</v>
      </c>
      <c r="AF2968" t="str">
        <f t="shared" si="883"/>
        <v>P00</v>
      </c>
      <c r="AG2968" t="str">
        <f t="shared" si="889"/>
        <v>0P00</v>
      </c>
      <c r="AH2968" t="str">
        <f t="shared" si="890"/>
        <v>P000</v>
      </c>
      <c r="AI2968" t="str">
        <f t="shared" si="891"/>
        <v>0P00</v>
      </c>
      <c r="AJ2968" t="str">
        <f t="shared" si="892"/>
        <v>P000</v>
      </c>
    </row>
    <row r="2969" spans="1:36" x14ac:dyDescent="0.25">
      <c r="A2969" s="325" t="str">
        <f>CONCATENATE("P",'906MP'!M2669)</f>
        <v>P</v>
      </c>
      <c r="B2969">
        <f>'906MP'!H2669</f>
        <v>0</v>
      </c>
      <c r="C2969">
        <f>'906MP'!J2669</f>
        <v>0</v>
      </c>
      <c r="D2969">
        <f>'906MP'!P2669</f>
        <v>0</v>
      </c>
      <c r="E2969">
        <f>'906MP'!X2669</f>
        <v>0</v>
      </c>
      <c r="F2969" t="str">
        <f t="shared" si="884"/>
        <v>0</v>
      </c>
      <c r="G2969" t="str">
        <f t="shared" si="885"/>
        <v>0</v>
      </c>
      <c r="H2969">
        <f>'906MP'!Y2669</f>
        <v>0</v>
      </c>
      <c r="I2969">
        <f>'906MP'!AK2669</f>
        <v>0</v>
      </c>
      <c r="J2969">
        <f>'906MP'!T2669</f>
        <v>0</v>
      </c>
      <c r="K2969">
        <f>'906MP'!AJ2669</f>
        <v>0</v>
      </c>
      <c r="L2969">
        <f>'906MP'!U2669</f>
        <v>0</v>
      </c>
      <c r="M2969" s="322" t="str">
        <f>IFERROR(VLOOKUP(A2969,PAR!$D$3:$E$53,2,FALSE),"nincs szervezet")</f>
        <v>nincs szervezet</v>
      </c>
      <c r="N2969" s="322" t="str">
        <f>VLOOKUP(F2969,PAR!$R$3:$S$5,2,FALSE)</f>
        <v>3 - egyik sem</v>
      </c>
      <c r="O2969" t="str">
        <f>IFERROR(VLOOKUP(J2969,PAR!$O$3:$P$5,2,FALSE),"nincs feladat")</f>
        <v>nincs feladat</v>
      </c>
      <c r="P2969" t="str">
        <f>IFERROR(VLOOKUP(G2969,PAR!$J$2:$M$19,4),"nincs rovat")</f>
        <v>nincs rovat</v>
      </c>
      <c r="Q2969" t="str">
        <f>IF(H2969&gt;0,VLOOKUP(H2969,PAR!$AA$3:$AC$187,3,FALSE),"nincs főkönyvi számla")</f>
        <v>nincs főkönyvi számla</v>
      </c>
      <c r="R2969" t="str">
        <f>IFERROR(VLOOKUP(K2969,PAR!$V$3:$X$438,3,FALSE),"000000 - Nincs COFOG")</f>
        <v>000000 - Nincs COFOG</v>
      </c>
      <c r="S2969">
        <f t="shared" si="886"/>
        <v>0</v>
      </c>
      <c r="T2969">
        <f t="shared" si="887"/>
        <v>0</v>
      </c>
      <c r="U2969" t="str">
        <f>IF('906MP'!J2669&gt;0,CONCATENATE('906MP'!J2669," - ",'906MP'!P2669,", ",'906MP'!E2669),"nincs megjegyzés")</f>
        <v>nincs megjegyzés</v>
      </c>
      <c r="V2969" t="str">
        <f t="shared" si="874"/>
        <v>0P0</v>
      </c>
      <c r="W2969" t="str">
        <f t="shared" si="875"/>
        <v>0P0</v>
      </c>
      <c r="X2969" t="str">
        <f t="shared" si="876"/>
        <v>P0</v>
      </c>
      <c r="Y2969" t="str">
        <f t="shared" si="877"/>
        <v>00</v>
      </c>
      <c r="Z2969" t="str">
        <f t="shared" si="888"/>
        <v>00</v>
      </c>
      <c r="AA2969" t="str">
        <f t="shared" si="878"/>
        <v>00</v>
      </c>
      <c r="AB2969" t="str">
        <f t="shared" si="879"/>
        <v>00</v>
      </c>
      <c r="AC2969" t="str">
        <f t="shared" si="880"/>
        <v>0P0</v>
      </c>
      <c r="AD2969" t="str">
        <f t="shared" si="881"/>
        <v>P00</v>
      </c>
      <c r="AE2969" t="str">
        <f t="shared" si="882"/>
        <v>0P0</v>
      </c>
      <c r="AF2969" t="str">
        <f t="shared" si="883"/>
        <v>P00</v>
      </c>
      <c r="AG2969" t="str">
        <f t="shared" si="889"/>
        <v>0P00</v>
      </c>
      <c r="AH2969" t="str">
        <f t="shared" si="890"/>
        <v>P000</v>
      </c>
      <c r="AI2969" t="str">
        <f t="shared" si="891"/>
        <v>0P00</v>
      </c>
      <c r="AJ2969" t="str">
        <f t="shared" si="892"/>
        <v>P000</v>
      </c>
    </row>
    <row r="2970" spans="1:36" x14ac:dyDescent="0.25">
      <c r="A2970" s="325" t="str">
        <f>CONCATENATE("P",'906MP'!M2670)</f>
        <v>P</v>
      </c>
      <c r="B2970">
        <f>'906MP'!H2670</f>
        <v>0</v>
      </c>
      <c r="C2970">
        <f>'906MP'!J2670</f>
        <v>0</v>
      </c>
      <c r="D2970">
        <f>'906MP'!P2670</f>
        <v>0</v>
      </c>
      <c r="E2970">
        <f>'906MP'!X2670</f>
        <v>0</v>
      </c>
      <c r="F2970" t="str">
        <f t="shared" si="884"/>
        <v>0</v>
      </c>
      <c r="G2970" t="str">
        <f t="shared" si="885"/>
        <v>0</v>
      </c>
      <c r="H2970">
        <f>'906MP'!Y2670</f>
        <v>0</v>
      </c>
      <c r="I2970">
        <f>'906MP'!AK2670</f>
        <v>0</v>
      </c>
      <c r="J2970">
        <f>'906MP'!T2670</f>
        <v>0</v>
      </c>
      <c r="K2970">
        <f>'906MP'!AJ2670</f>
        <v>0</v>
      </c>
      <c r="L2970">
        <f>'906MP'!U2670</f>
        <v>0</v>
      </c>
      <c r="M2970" s="322" t="str">
        <f>IFERROR(VLOOKUP(A2970,PAR!$D$3:$E$53,2,FALSE),"nincs szervezet")</f>
        <v>nincs szervezet</v>
      </c>
      <c r="N2970" s="322" t="str">
        <f>VLOOKUP(F2970,PAR!$R$3:$S$5,2,FALSE)</f>
        <v>3 - egyik sem</v>
      </c>
      <c r="O2970" t="str">
        <f>IFERROR(VLOOKUP(J2970,PAR!$O$3:$P$5,2,FALSE),"nincs feladat")</f>
        <v>nincs feladat</v>
      </c>
      <c r="P2970" t="str">
        <f>IFERROR(VLOOKUP(G2970,PAR!$J$2:$M$19,4),"nincs rovat")</f>
        <v>nincs rovat</v>
      </c>
      <c r="Q2970" t="str">
        <f>IF(H2970&gt;0,VLOOKUP(H2970,PAR!$AA$3:$AC$187,3,FALSE),"nincs főkönyvi számla")</f>
        <v>nincs főkönyvi számla</v>
      </c>
      <c r="R2970" t="str">
        <f>IFERROR(VLOOKUP(K2970,PAR!$V$3:$X$438,3,FALSE),"000000 - Nincs COFOG")</f>
        <v>000000 - Nincs COFOG</v>
      </c>
      <c r="S2970">
        <f t="shared" si="886"/>
        <v>0</v>
      </c>
      <c r="T2970">
        <f t="shared" si="887"/>
        <v>0</v>
      </c>
      <c r="U2970" t="str">
        <f>IF('906MP'!J2670&gt;0,CONCATENATE('906MP'!J2670," - ",'906MP'!P2670,", ",'906MP'!E2670),"nincs megjegyzés")</f>
        <v>nincs megjegyzés</v>
      </c>
      <c r="V2970" t="str">
        <f t="shared" si="874"/>
        <v>0P0</v>
      </c>
      <c r="W2970" t="str">
        <f t="shared" si="875"/>
        <v>0P0</v>
      </c>
      <c r="X2970" t="str">
        <f t="shared" si="876"/>
        <v>P0</v>
      </c>
      <c r="Y2970" t="str">
        <f t="shared" si="877"/>
        <v>00</v>
      </c>
      <c r="Z2970" t="str">
        <f t="shared" si="888"/>
        <v>00</v>
      </c>
      <c r="AA2970" t="str">
        <f t="shared" si="878"/>
        <v>00</v>
      </c>
      <c r="AB2970" t="str">
        <f t="shared" si="879"/>
        <v>00</v>
      </c>
      <c r="AC2970" t="str">
        <f t="shared" si="880"/>
        <v>0P0</v>
      </c>
      <c r="AD2970" t="str">
        <f t="shared" si="881"/>
        <v>P00</v>
      </c>
      <c r="AE2970" t="str">
        <f t="shared" si="882"/>
        <v>0P0</v>
      </c>
      <c r="AF2970" t="str">
        <f t="shared" si="883"/>
        <v>P00</v>
      </c>
      <c r="AG2970" t="str">
        <f t="shared" si="889"/>
        <v>0P00</v>
      </c>
      <c r="AH2970" t="str">
        <f t="shared" si="890"/>
        <v>P000</v>
      </c>
      <c r="AI2970" t="str">
        <f t="shared" si="891"/>
        <v>0P00</v>
      </c>
      <c r="AJ2970" t="str">
        <f t="shared" si="892"/>
        <v>P000</v>
      </c>
    </row>
    <row r="2971" spans="1:36" x14ac:dyDescent="0.25">
      <c r="A2971" s="325" t="str">
        <f>CONCATENATE("P",'906MP'!M2671)</f>
        <v>P</v>
      </c>
      <c r="B2971">
        <f>'906MP'!H2671</f>
        <v>0</v>
      </c>
      <c r="C2971">
        <f>'906MP'!J2671</f>
        <v>0</v>
      </c>
      <c r="D2971">
        <f>'906MP'!P2671</f>
        <v>0</v>
      </c>
      <c r="E2971">
        <f>'906MP'!X2671</f>
        <v>0</v>
      </c>
      <c r="F2971" t="str">
        <f t="shared" si="884"/>
        <v>0</v>
      </c>
      <c r="G2971" t="str">
        <f t="shared" si="885"/>
        <v>0</v>
      </c>
      <c r="H2971">
        <f>'906MP'!Y2671</f>
        <v>0</v>
      </c>
      <c r="I2971">
        <f>'906MP'!AK2671</f>
        <v>0</v>
      </c>
      <c r="J2971">
        <f>'906MP'!T2671</f>
        <v>0</v>
      </c>
      <c r="K2971">
        <f>'906MP'!AJ2671</f>
        <v>0</v>
      </c>
      <c r="L2971">
        <f>'906MP'!U2671</f>
        <v>0</v>
      </c>
      <c r="M2971" s="322" t="str">
        <f>IFERROR(VLOOKUP(A2971,PAR!$D$3:$E$53,2,FALSE),"nincs szervezet")</f>
        <v>nincs szervezet</v>
      </c>
      <c r="N2971" s="322" t="str">
        <f>VLOOKUP(F2971,PAR!$R$3:$S$5,2,FALSE)</f>
        <v>3 - egyik sem</v>
      </c>
      <c r="O2971" t="str">
        <f>IFERROR(VLOOKUP(J2971,PAR!$O$3:$P$5,2,FALSE),"nincs feladat")</f>
        <v>nincs feladat</v>
      </c>
      <c r="P2971" t="str">
        <f>IFERROR(VLOOKUP(G2971,PAR!$J$2:$M$19,4),"nincs rovat")</f>
        <v>nincs rovat</v>
      </c>
      <c r="Q2971" t="str">
        <f>IF(H2971&gt;0,VLOOKUP(H2971,PAR!$AA$3:$AC$187,3,FALSE),"nincs főkönyvi számla")</f>
        <v>nincs főkönyvi számla</v>
      </c>
      <c r="R2971" t="str">
        <f>IFERROR(VLOOKUP(K2971,PAR!$V$3:$X$438,3,FALSE),"000000 - Nincs COFOG")</f>
        <v>000000 - Nincs COFOG</v>
      </c>
      <c r="S2971">
        <f t="shared" si="886"/>
        <v>0</v>
      </c>
      <c r="T2971">
        <f t="shared" si="887"/>
        <v>0</v>
      </c>
      <c r="U2971" t="str">
        <f>IF('906MP'!J2671&gt;0,CONCATENATE('906MP'!J2671," - ",'906MP'!P2671,", ",'906MP'!E2671),"nincs megjegyzés")</f>
        <v>nincs megjegyzés</v>
      </c>
      <c r="V2971" t="str">
        <f t="shared" si="874"/>
        <v>0P0</v>
      </c>
      <c r="W2971" t="str">
        <f t="shared" si="875"/>
        <v>0P0</v>
      </c>
      <c r="X2971" t="str">
        <f t="shared" si="876"/>
        <v>P0</v>
      </c>
      <c r="Y2971" t="str">
        <f t="shared" si="877"/>
        <v>00</v>
      </c>
      <c r="Z2971" t="str">
        <f t="shared" si="888"/>
        <v>00</v>
      </c>
      <c r="AA2971" t="str">
        <f t="shared" si="878"/>
        <v>00</v>
      </c>
      <c r="AB2971" t="str">
        <f t="shared" si="879"/>
        <v>00</v>
      </c>
      <c r="AC2971" t="str">
        <f t="shared" si="880"/>
        <v>0P0</v>
      </c>
      <c r="AD2971" t="str">
        <f t="shared" si="881"/>
        <v>P00</v>
      </c>
      <c r="AE2971" t="str">
        <f t="shared" si="882"/>
        <v>0P0</v>
      </c>
      <c r="AF2971" t="str">
        <f t="shared" si="883"/>
        <v>P00</v>
      </c>
      <c r="AG2971" t="str">
        <f t="shared" si="889"/>
        <v>0P00</v>
      </c>
      <c r="AH2971" t="str">
        <f t="shared" si="890"/>
        <v>P000</v>
      </c>
      <c r="AI2971" t="str">
        <f t="shared" si="891"/>
        <v>0P00</v>
      </c>
      <c r="AJ2971" t="str">
        <f t="shared" si="892"/>
        <v>P000</v>
      </c>
    </row>
    <row r="2972" spans="1:36" x14ac:dyDescent="0.25">
      <c r="A2972" s="325" t="str">
        <f>CONCATENATE("P",'906MP'!M2672)</f>
        <v>P</v>
      </c>
      <c r="B2972">
        <f>'906MP'!H2672</f>
        <v>0</v>
      </c>
      <c r="C2972">
        <f>'906MP'!J2672</f>
        <v>0</v>
      </c>
      <c r="D2972">
        <f>'906MP'!P2672</f>
        <v>0</v>
      </c>
      <c r="E2972">
        <f>'906MP'!X2672</f>
        <v>0</v>
      </c>
      <c r="F2972" t="str">
        <f t="shared" si="884"/>
        <v>0</v>
      </c>
      <c r="G2972" t="str">
        <f t="shared" si="885"/>
        <v>0</v>
      </c>
      <c r="H2972">
        <f>'906MP'!Y2672</f>
        <v>0</v>
      </c>
      <c r="I2972">
        <f>'906MP'!AK2672</f>
        <v>0</v>
      </c>
      <c r="J2972">
        <f>'906MP'!T2672</f>
        <v>0</v>
      </c>
      <c r="K2972">
        <f>'906MP'!AJ2672</f>
        <v>0</v>
      </c>
      <c r="L2972">
        <f>'906MP'!U2672</f>
        <v>0</v>
      </c>
      <c r="M2972" s="322" t="str">
        <f>IFERROR(VLOOKUP(A2972,PAR!$D$3:$E$53,2,FALSE),"nincs szervezet")</f>
        <v>nincs szervezet</v>
      </c>
      <c r="N2972" s="322" t="str">
        <f>VLOOKUP(F2972,PAR!$R$3:$S$5,2,FALSE)</f>
        <v>3 - egyik sem</v>
      </c>
      <c r="O2972" t="str">
        <f>IFERROR(VLOOKUP(J2972,PAR!$O$3:$P$5,2,FALSE),"nincs feladat")</f>
        <v>nincs feladat</v>
      </c>
      <c r="P2972" t="str">
        <f>IFERROR(VLOOKUP(G2972,PAR!$J$2:$M$19,4),"nincs rovat")</f>
        <v>nincs rovat</v>
      </c>
      <c r="Q2972" t="str">
        <f>IF(H2972&gt;0,VLOOKUP(H2972,PAR!$AA$3:$AC$187,3,FALSE),"nincs főkönyvi számla")</f>
        <v>nincs főkönyvi számla</v>
      </c>
      <c r="R2972" t="str">
        <f>IFERROR(VLOOKUP(K2972,PAR!$V$3:$X$438,3,FALSE),"000000 - Nincs COFOG")</f>
        <v>000000 - Nincs COFOG</v>
      </c>
      <c r="S2972">
        <f t="shared" si="886"/>
        <v>0</v>
      </c>
      <c r="T2972">
        <f t="shared" si="887"/>
        <v>0</v>
      </c>
      <c r="U2972" t="str">
        <f>IF('906MP'!J2672&gt;0,CONCATENATE('906MP'!J2672," - ",'906MP'!P2672,", ",'906MP'!E2672),"nincs megjegyzés")</f>
        <v>nincs megjegyzés</v>
      </c>
      <c r="V2972" t="str">
        <f t="shared" si="874"/>
        <v>0P0</v>
      </c>
      <c r="W2972" t="str">
        <f t="shared" si="875"/>
        <v>0P0</v>
      </c>
      <c r="X2972" t="str">
        <f t="shared" si="876"/>
        <v>P0</v>
      </c>
      <c r="Y2972" t="str">
        <f t="shared" si="877"/>
        <v>00</v>
      </c>
      <c r="Z2972" t="str">
        <f t="shared" si="888"/>
        <v>00</v>
      </c>
      <c r="AA2972" t="str">
        <f t="shared" si="878"/>
        <v>00</v>
      </c>
      <c r="AB2972" t="str">
        <f t="shared" si="879"/>
        <v>00</v>
      </c>
      <c r="AC2972" t="str">
        <f t="shared" si="880"/>
        <v>0P0</v>
      </c>
      <c r="AD2972" t="str">
        <f t="shared" si="881"/>
        <v>P00</v>
      </c>
      <c r="AE2972" t="str">
        <f t="shared" si="882"/>
        <v>0P0</v>
      </c>
      <c r="AF2972" t="str">
        <f t="shared" si="883"/>
        <v>P00</v>
      </c>
      <c r="AG2972" t="str">
        <f t="shared" si="889"/>
        <v>0P00</v>
      </c>
      <c r="AH2972" t="str">
        <f t="shared" si="890"/>
        <v>P000</v>
      </c>
      <c r="AI2972" t="str">
        <f t="shared" si="891"/>
        <v>0P00</v>
      </c>
      <c r="AJ2972" t="str">
        <f t="shared" si="892"/>
        <v>P000</v>
      </c>
    </row>
    <row r="2973" spans="1:36" x14ac:dyDescent="0.25">
      <c r="A2973" s="325" t="str">
        <f>CONCATENATE("P",'906MP'!M2673)</f>
        <v>P</v>
      </c>
      <c r="B2973">
        <f>'906MP'!H2673</f>
        <v>0</v>
      </c>
      <c r="C2973">
        <f>'906MP'!J2673</f>
        <v>0</v>
      </c>
      <c r="D2973">
        <f>'906MP'!P2673</f>
        <v>0</v>
      </c>
      <c r="E2973">
        <f>'906MP'!X2673</f>
        <v>0</v>
      </c>
      <c r="F2973" t="str">
        <f t="shared" si="884"/>
        <v>0</v>
      </c>
      <c r="G2973" t="str">
        <f t="shared" si="885"/>
        <v>0</v>
      </c>
      <c r="H2973">
        <f>'906MP'!Y2673</f>
        <v>0</v>
      </c>
      <c r="I2973">
        <f>'906MP'!AK2673</f>
        <v>0</v>
      </c>
      <c r="J2973">
        <f>'906MP'!T2673</f>
        <v>0</v>
      </c>
      <c r="K2973">
        <f>'906MP'!AJ2673</f>
        <v>0</v>
      </c>
      <c r="L2973">
        <f>'906MP'!U2673</f>
        <v>0</v>
      </c>
      <c r="M2973" s="322" t="str">
        <f>IFERROR(VLOOKUP(A2973,PAR!$D$3:$E$53,2,FALSE),"nincs szervezet")</f>
        <v>nincs szervezet</v>
      </c>
      <c r="N2973" s="322" t="str">
        <f>VLOOKUP(F2973,PAR!$R$3:$S$5,2,FALSE)</f>
        <v>3 - egyik sem</v>
      </c>
      <c r="O2973" t="str">
        <f>IFERROR(VLOOKUP(J2973,PAR!$O$3:$P$5,2,FALSE),"nincs feladat")</f>
        <v>nincs feladat</v>
      </c>
      <c r="P2973" t="str">
        <f>IFERROR(VLOOKUP(G2973,PAR!$J$2:$M$19,4),"nincs rovat")</f>
        <v>nincs rovat</v>
      </c>
      <c r="Q2973" t="str">
        <f>IF(H2973&gt;0,VLOOKUP(H2973,PAR!$AA$3:$AC$187,3,FALSE),"nincs főkönyvi számla")</f>
        <v>nincs főkönyvi számla</v>
      </c>
      <c r="R2973" t="str">
        <f>IFERROR(VLOOKUP(K2973,PAR!$V$3:$X$438,3,FALSE),"000000 - Nincs COFOG")</f>
        <v>000000 - Nincs COFOG</v>
      </c>
      <c r="S2973">
        <f t="shared" si="886"/>
        <v>0</v>
      </c>
      <c r="T2973">
        <f t="shared" si="887"/>
        <v>0</v>
      </c>
      <c r="U2973" t="str">
        <f>IF('906MP'!J2673&gt;0,CONCATENATE('906MP'!J2673," - ",'906MP'!P2673,", ",'906MP'!E2673),"nincs megjegyzés")</f>
        <v>nincs megjegyzés</v>
      </c>
      <c r="V2973" t="str">
        <f t="shared" si="874"/>
        <v>0P0</v>
      </c>
      <c r="W2973" t="str">
        <f t="shared" si="875"/>
        <v>0P0</v>
      </c>
      <c r="X2973" t="str">
        <f t="shared" si="876"/>
        <v>P0</v>
      </c>
      <c r="Y2973" t="str">
        <f t="shared" si="877"/>
        <v>00</v>
      </c>
      <c r="Z2973" t="str">
        <f t="shared" si="888"/>
        <v>00</v>
      </c>
      <c r="AA2973" t="str">
        <f t="shared" si="878"/>
        <v>00</v>
      </c>
      <c r="AB2973" t="str">
        <f t="shared" si="879"/>
        <v>00</v>
      </c>
      <c r="AC2973" t="str">
        <f t="shared" si="880"/>
        <v>0P0</v>
      </c>
      <c r="AD2973" t="str">
        <f t="shared" si="881"/>
        <v>P00</v>
      </c>
      <c r="AE2973" t="str">
        <f t="shared" si="882"/>
        <v>0P0</v>
      </c>
      <c r="AF2973" t="str">
        <f t="shared" si="883"/>
        <v>P00</v>
      </c>
      <c r="AG2973" t="str">
        <f t="shared" si="889"/>
        <v>0P00</v>
      </c>
      <c r="AH2973" t="str">
        <f t="shared" si="890"/>
        <v>P000</v>
      </c>
      <c r="AI2973" t="str">
        <f t="shared" si="891"/>
        <v>0P00</v>
      </c>
      <c r="AJ2973" t="str">
        <f t="shared" si="892"/>
        <v>P000</v>
      </c>
    </row>
    <row r="2974" spans="1:36" x14ac:dyDescent="0.25">
      <c r="A2974" s="325" t="str">
        <f>CONCATENATE("P",'906MP'!M2674)</f>
        <v>P</v>
      </c>
      <c r="B2974">
        <f>'906MP'!H2674</f>
        <v>0</v>
      </c>
      <c r="C2974">
        <f>'906MP'!J2674</f>
        <v>0</v>
      </c>
      <c r="D2974">
        <f>'906MP'!P2674</f>
        <v>0</v>
      </c>
      <c r="E2974">
        <f>'906MP'!X2674</f>
        <v>0</v>
      </c>
      <c r="F2974" t="str">
        <f t="shared" si="884"/>
        <v>0</v>
      </c>
      <c r="G2974" t="str">
        <f t="shared" si="885"/>
        <v>0</v>
      </c>
      <c r="H2974">
        <f>'906MP'!Y2674</f>
        <v>0</v>
      </c>
      <c r="I2974">
        <f>'906MP'!AK2674</f>
        <v>0</v>
      </c>
      <c r="J2974">
        <f>'906MP'!T2674</f>
        <v>0</v>
      </c>
      <c r="K2974">
        <f>'906MP'!AJ2674</f>
        <v>0</v>
      </c>
      <c r="L2974">
        <f>'906MP'!U2674</f>
        <v>0</v>
      </c>
      <c r="M2974" s="322" t="str">
        <f>IFERROR(VLOOKUP(A2974,PAR!$D$3:$E$53,2,FALSE),"nincs szervezet")</f>
        <v>nincs szervezet</v>
      </c>
      <c r="N2974" s="322" t="str">
        <f>VLOOKUP(F2974,PAR!$R$3:$S$5,2,FALSE)</f>
        <v>3 - egyik sem</v>
      </c>
      <c r="O2974" t="str">
        <f>IFERROR(VLOOKUP(J2974,PAR!$O$3:$P$5,2,FALSE),"nincs feladat")</f>
        <v>nincs feladat</v>
      </c>
      <c r="P2974" t="str">
        <f>IFERROR(VLOOKUP(G2974,PAR!$J$2:$M$19,4),"nincs rovat")</f>
        <v>nincs rovat</v>
      </c>
      <c r="Q2974" t="str">
        <f>IF(H2974&gt;0,VLOOKUP(H2974,PAR!$AA$3:$AC$187,3,FALSE),"nincs főkönyvi számla")</f>
        <v>nincs főkönyvi számla</v>
      </c>
      <c r="R2974" t="str">
        <f>IFERROR(VLOOKUP(K2974,PAR!$V$3:$X$438,3,FALSE),"000000 - Nincs COFOG")</f>
        <v>000000 - Nincs COFOG</v>
      </c>
      <c r="S2974">
        <f t="shared" si="886"/>
        <v>0</v>
      </c>
      <c r="T2974">
        <f t="shared" si="887"/>
        <v>0</v>
      </c>
      <c r="U2974" t="str">
        <f>IF('906MP'!J2674&gt;0,CONCATENATE('906MP'!J2674," - ",'906MP'!P2674,", ",'906MP'!E2674),"nincs megjegyzés")</f>
        <v>nincs megjegyzés</v>
      </c>
      <c r="V2974" t="str">
        <f t="shared" si="874"/>
        <v>0P0</v>
      </c>
      <c r="W2974" t="str">
        <f t="shared" si="875"/>
        <v>0P0</v>
      </c>
      <c r="X2974" t="str">
        <f t="shared" si="876"/>
        <v>P0</v>
      </c>
      <c r="Y2974" t="str">
        <f t="shared" si="877"/>
        <v>00</v>
      </c>
      <c r="Z2974" t="str">
        <f t="shared" si="888"/>
        <v>00</v>
      </c>
      <c r="AA2974" t="str">
        <f t="shared" si="878"/>
        <v>00</v>
      </c>
      <c r="AB2974" t="str">
        <f t="shared" si="879"/>
        <v>00</v>
      </c>
      <c r="AC2974" t="str">
        <f t="shared" si="880"/>
        <v>0P0</v>
      </c>
      <c r="AD2974" t="str">
        <f t="shared" si="881"/>
        <v>P00</v>
      </c>
      <c r="AE2974" t="str">
        <f t="shared" si="882"/>
        <v>0P0</v>
      </c>
      <c r="AF2974" t="str">
        <f t="shared" si="883"/>
        <v>P00</v>
      </c>
      <c r="AG2974" t="str">
        <f t="shared" si="889"/>
        <v>0P00</v>
      </c>
      <c r="AH2974" t="str">
        <f t="shared" si="890"/>
        <v>P000</v>
      </c>
      <c r="AI2974" t="str">
        <f t="shared" si="891"/>
        <v>0P00</v>
      </c>
      <c r="AJ2974" t="str">
        <f t="shared" si="892"/>
        <v>P000</v>
      </c>
    </row>
    <row r="2975" spans="1:36" x14ac:dyDescent="0.25">
      <c r="A2975" s="325" t="str">
        <f>CONCATENATE("P",'906MP'!M2675)</f>
        <v>P</v>
      </c>
      <c r="B2975">
        <f>'906MP'!H2675</f>
        <v>0</v>
      </c>
      <c r="C2975">
        <f>'906MP'!J2675</f>
        <v>0</v>
      </c>
      <c r="D2975">
        <f>'906MP'!P2675</f>
        <v>0</v>
      </c>
      <c r="E2975">
        <f>'906MP'!X2675</f>
        <v>0</v>
      </c>
      <c r="F2975" t="str">
        <f t="shared" si="884"/>
        <v>0</v>
      </c>
      <c r="G2975" t="str">
        <f t="shared" si="885"/>
        <v>0</v>
      </c>
      <c r="H2975">
        <f>'906MP'!Y2675</f>
        <v>0</v>
      </c>
      <c r="I2975">
        <f>'906MP'!AK2675</f>
        <v>0</v>
      </c>
      <c r="J2975">
        <f>'906MP'!T2675</f>
        <v>0</v>
      </c>
      <c r="K2975">
        <f>'906MP'!AJ2675</f>
        <v>0</v>
      </c>
      <c r="L2975">
        <f>'906MP'!U2675</f>
        <v>0</v>
      </c>
      <c r="M2975" s="322" t="str">
        <f>IFERROR(VLOOKUP(A2975,PAR!$D$3:$E$53,2,FALSE),"nincs szervezet")</f>
        <v>nincs szervezet</v>
      </c>
      <c r="N2975" s="322" t="str">
        <f>VLOOKUP(F2975,PAR!$R$3:$S$5,2,FALSE)</f>
        <v>3 - egyik sem</v>
      </c>
      <c r="O2975" t="str">
        <f>IFERROR(VLOOKUP(J2975,PAR!$O$3:$P$5,2,FALSE),"nincs feladat")</f>
        <v>nincs feladat</v>
      </c>
      <c r="P2975" t="str">
        <f>IFERROR(VLOOKUP(G2975,PAR!$J$2:$M$19,4),"nincs rovat")</f>
        <v>nincs rovat</v>
      </c>
      <c r="Q2975" t="str">
        <f>IF(H2975&gt;0,VLOOKUP(H2975,PAR!$AA$3:$AC$187,3,FALSE),"nincs főkönyvi számla")</f>
        <v>nincs főkönyvi számla</v>
      </c>
      <c r="R2975" t="str">
        <f>IFERROR(VLOOKUP(K2975,PAR!$V$3:$X$438,3,FALSE),"000000 - Nincs COFOG")</f>
        <v>000000 - Nincs COFOG</v>
      </c>
      <c r="S2975">
        <f t="shared" si="886"/>
        <v>0</v>
      </c>
      <c r="T2975">
        <f t="shared" si="887"/>
        <v>0</v>
      </c>
      <c r="U2975" t="str">
        <f>IF('906MP'!J2675&gt;0,CONCATENATE('906MP'!J2675," - ",'906MP'!P2675,", ",'906MP'!E2675),"nincs megjegyzés")</f>
        <v>nincs megjegyzés</v>
      </c>
      <c r="V2975" t="str">
        <f t="shared" si="874"/>
        <v>0P0</v>
      </c>
      <c r="W2975" t="str">
        <f t="shared" si="875"/>
        <v>0P0</v>
      </c>
      <c r="X2975" t="str">
        <f t="shared" si="876"/>
        <v>P0</v>
      </c>
      <c r="Y2975" t="str">
        <f t="shared" si="877"/>
        <v>00</v>
      </c>
      <c r="Z2975" t="str">
        <f t="shared" si="888"/>
        <v>00</v>
      </c>
      <c r="AA2975" t="str">
        <f t="shared" si="878"/>
        <v>00</v>
      </c>
      <c r="AB2975" t="str">
        <f t="shared" si="879"/>
        <v>00</v>
      </c>
      <c r="AC2975" t="str">
        <f t="shared" si="880"/>
        <v>0P0</v>
      </c>
      <c r="AD2975" t="str">
        <f t="shared" si="881"/>
        <v>P00</v>
      </c>
      <c r="AE2975" t="str">
        <f t="shared" si="882"/>
        <v>0P0</v>
      </c>
      <c r="AF2975" t="str">
        <f t="shared" si="883"/>
        <v>P00</v>
      </c>
      <c r="AG2975" t="str">
        <f t="shared" si="889"/>
        <v>0P00</v>
      </c>
      <c r="AH2975" t="str">
        <f t="shared" si="890"/>
        <v>P000</v>
      </c>
      <c r="AI2975" t="str">
        <f t="shared" si="891"/>
        <v>0P00</v>
      </c>
      <c r="AJ2975" t="str">
        <f t="shared" si="892"/>
        <v>P000</v>
      </c>
    </row>
    <row r="2976" spans="1:36" x14ac:dyDescent="0.25">
      <c r="A2976" s="325" t="str">
        <f>CONCATENATE("P",'906MP'!M2676)</f>
        <v>P</v>
      </c>
      <c r="B2976">
        <f>'906MP'!H2676</f>
        <v>0</v>
      </c>
      <c r="C2976">
        <f>'906MP'!J2676</f>
        <v>0</v>
      </c>
      <c r="D2976">
        <f>'906MP'!P2676</f>
        <v>0</v>
      </c>
      <c r="E2976">
        <f>'906MP'!X2676</f>
        <v>0</v>
      </c>
      <c r="F2976" t="str">
        <f t="shared" si="884"/>
        <v>0</v>
      </c>
      <c r="G2976" t="str">
        <f t="shared" si="885"/>
        <v>0</v>
      </c>
      <c r="H2976">
        <f>'906MP'!Y2676</f>
        <v>0</v>
      </c>
      <c r="I2976">
        <f>'906MP'!AK2676</f>
        <v>0</v>
      </c>
      <c r="J2976">
        <f>'906MP'!T2676</f>
        <v>0</v>
      </c>
      <c r="K2976">
        <f>'906MP'!AJ2676</f>
        <v>0</v>
      </c>
      <c r="L2976">
        <f>'906MP'!U2676</f>
        <v>0</v>
      </c>
      <c r="M2976" s="322" t="str">
        <f>IFERROR(VLOOKUP(A2976,PAR!$D$3:$E$53,2,FALSE),"nincs szervezet")</f>
        <v>nincs szervezet</v>
      </c>
      <c r="N2976" s="322" t="str">
        <f>VLOOKUP(F2976,PAR!$R$3:$S$5,2,FALSE)</f>
        <v>3 - egyik sem</v>
      </c>
      <c r="O2976" t="str">
        <f>IFERROR(VLOOKUP(J2976,PAR!$O$3:$P$5,2,FALSE),"nincs feladat")</f>
        <v>nincs feladat</v>
      </c>
      <c r="P2976" t="str">
        <f>IFERROR(VLOOKUP(G2976,PAR!$J$2:$M$19,4),"nincs rovat")</f>
        <v>nincs rovat</v>
      </c>
      <c r="Q2976" t="str">
        <f>IF(H2976&gt;0,VLOOKUP(H2976,PAR!$AA$3:$AC$187,3,FALSE),"nincs főkönyvi számla")</f>
        <v>nincs főkönyvi számla</v>
      </c>
      <c r="R2976" t="str">
        <f>IFERROR(VLOOKUP(K2976,PAR!$V$3:$X$438,3,FALSE),"000000 - Nincs COFOG")</f>
        <v>000000 - Nincs COFOG</v>
      </c>
      <c r="S2976">
        <f t="shared" si="886"/>
        <v>0</v>
      </c>
      <c r="T2976">
        <f t="shared" si="887"/>
        <v>0</v>
      </c>
      <c r="U2976" t="str">
        <f>IF('906MP'!J2676&gt;0,CONCATENATE('906MP'!J2676," - ",'906MP'!P2676,", ",'906MP'!E2676),"nincs megjegyzés")</f>
        <v>nincs megjegyzés</v>
      </c>
      <c r="V2976" t="str">
        <f t="shared" si="874"/>
        <v>0P0</v>
      </c>
      <c r="W2976" t="str">
        <f t="shared" si="875"/>
        <v>0P0</v>
      </c>
      <c r="X2976" t="str">
        <f t="shared" si="876"/>
        <v>P0</v>
      </c>
      <c r="Y2976" t="str">
        <f t="shared" si="877"/>
        <v>00</v>
      </c>
      <c r="Z2976" t="str">
        <f t="shared" si="888"/>
        <v>00</v>
      </c>
      <c r="AA2976" t="str">
        <f t="shared" si="878"/>
        <v>00</v>
      </c>
      <c r="AB2976" t="str">
        <f t="shared" si="879"/>
        <v>00</v>
      </c>
      <c r="AC2976" t="str">
        <f t="shared" si="880"/>
        <v>0P0</v>
      </c>
      <c r="AD2976" t="str">
        <f t="shared" si="881"/>
        <v>P00</v>
      </c>
      <c r="AE2976" t="str">
        <f t="shared" si="882"/>
        <v>0P0</v>
      </c>
      <c r="AF2976" t="str">
        <f t="shared" si="883"/>
        <v>P00</v>
      </c>
      <c r="AG2976" t="str">
        <f t="shared" si="889"/>
        <v>0P00</v>
      </c>
      <c r="AH2976" t="str">
        <f t="shared" si="890"/>
        <v>P000</v>
      </c>
      <c r="AI2976" t="str">
        <f t="shared" si="891"/>
        <v>0P00</v>
      </c>
      <c r="AJ2976" t="str">
        <f t="shared" si="892"/>
        <v>P000</v>
      </c>
    </row>
    <row r="2977" spans="1:36" x14ac:dyDescent="0.25">
      <c r="A2977" s="325" t="str">
        <f>CONCATENATE("P",'906MP'!M2677)</f>
        <v>P</v>
      </c>
      <c r="B2977">
        <f>'906MP'!H2677</f>
        <v>0</v>
      </c>
      <c r="C2977">
        <f>'906MP'!J2677</f>
        <v>0</v>
      </c>
      <c r="D2977">
        <f>'906MP'!P2677</f>
        <v>0</v>
      </c>
      <c r="E2977">
        <f>'906MP'!X2677</f>
        <v>0</v>
      </c>
      <c r="F2977" t="str">
        <f t="shared" si="884"/>
        <v>0</v>
      </c>
      <c r="G2977" t="str">
        <f t="shared" si="885"/>
        <v>0</v>
      </c>
      <c r="H2977">
        <f>'906MP'!Y2677</f>
        <v>0</v>
      </c>
      <c r="I2977">
        <f>'906MP'!AK2677</f>
        <v>0</v>
      </c>
      <c r="J2977">
        <f>'906MP'!T2677</f>
        <v>0</v>
      </c>
      <c r="K2977">
        <f>'906MP'!AJ2677</f>
        <v>0</v>
      </c>
      <c r="L2977">
        <f>'906MP'!U2677</f>
        <v>0</v>
      </c>
      <c r="M2977" s="322" t="str">
        <f>IFERROR(VLOOKUP(A2977,PAR!$D$3:$E$53,2,FALSE),"nincs szervezet")</f>
        <v>nincs szervezet</v>
      </c>
      <c r="N2977" s="322" t="str">
        <f>VLOOKUP(F2977,PAR!$R$3:$S$5,2,FALSE)</f>
        <v>3 - egyik sem</v>
      </c>
      <c r="O2977" t="str">
        <f>IFERROR(VLOOKUP(J2977,PAR!$O$3:$P$5,2,FALSE),"nincs feladat")</f>
        <v>nincs feladat</v>
      </c>
      <c r="P2977" t="str">
        <f>IFERROR(VLOOKUP(G2977,PAR!$J$2:$M$19,4),"nincs rovat")</f>
        <v>nincs rovat</v>
      </c>
      <c r="Q2977" t="str">
        <f>IF(H2977&gt;0,VLOOKUP(H2977,PAR!$AA$3:$AC$187,3,FALSE),"nincs főkönyvi számla")</f>
        <v>nincs főkönyvi számla</v>
      </c>
      <c r="R2977" t="str">
        <f>IFERROR(VLOOKUP(K2977,PAR!$V$3:$X$438,3,FALSE),"000000 - Nincs COFOG")</f>
        <v>000000 - Nincs COFOG</v>
      </c>
      <c r="S2977">
        <f t="shared" si="886"/>
        <v>0</v>
      </c>
      <c r="T2977">
        <f t="shared" si="887"/>
        <v>0</v>
      </c>
      <c r="U2977" t="str">
        <f>IF('906MP'!J2677&gt;0,CONCATENATE('906MP'!J2677," - ",'906MP'!P2677,", ",'906MP'!E2677),"nincs megjegyzés")</f>
        <v>nincs megjegyzés</v>
      </c>
      <c r="V2977" t="str">
        <f t="shared" si="874"/>
        <v>0P0</v>
      </c>
      <c r="W2977" t="str">
        <f t="shared" si="875"/>
        <v>0P0</v>
      </c>
      <c r="X2977" t="str">
        <f t="shared" si="876"/>
        <v>P0</v>
      </c>
      <c r="Y2977" t="str">
        <f t="shared" si="877"/>
        <v>00</v>
      </c>
      <c r="Z2977" t="str">
        <f t="shared" si="888"/>
        <v>00</v>
      </c>
      <c r="AA2977" t="str">
        <f t="shared" si="878"/>
        <v>00</v>
      </c>
      <c r="AB2977" t="str">
        <f t="shared" si="879"/>
        <v>00</v>
      </c>
      <c r="AC2977" t="str">
        <f t="shared" si="880"/>
        <v>0P0</v>
      </c>
      <c r="AD2977" t="str">
        <f t="shared" si="881"/>
        <v>P00</v>
      </c>
      <c r="AE2977" t="str">
        <f t="shared" si="882"/>
        <v>0P0</v>
      </c>
      <c r="AF2977" t="str">
        <f t="shared" si="883"/>
        <v>P00</v>
      </c>
      <c r="AG2977" t="str">
        <f t="shared" si="889"/>
        <v>0P00</v>
      </c>
      <c r="AH2977" t="str">
        <f t="shared" si="890"/>
        <v>P000</v>
      </c>
      <c r="AI2977" t="str">
        <f t="shared" si="891"/>
        <v>0P00</v>
      </c>
      <c r="AJ2977" t="str">
        <f t="shared" si="892"/>
        <v>P000</v>
      </c>
    </row>
    <row r="2978" spans="1:36" x14ac:dyDescent="0.25">
      <c r="A2978" s="325" t="str">
        <f>CONCATENATE("P",'906MP'!M2678)</f>
        <v>P</v>
      </c>
      <c r="B2978">
        <f>'906MP'!H2678</f>
        <v>0</v>
      </c>
      <c r="C2978">
        <f>'906MP'!J2678</f>
        <v>0</v>
      </c>
      <c r="D2978">
        <f>'906MP'!P2678</f>
        <v>0</v>
      </c>
      <c r="E2978">
        <f>'906MP'!X2678</f>
        <v>0</v>
      </c>
      <c r="F2978" t="str">
        <f t="shared" si="884"/>
        <v>0</v>
      </c>
      <c r="G2978" t="str">
        <f t="shared" si="885"/>
        <v>0</v>
      </c>
      <c r="H2978">
        <f>'906MP'!Y2678</f>
        <v>0</v>
      </c>
      <c r="I2978">
        <f>'906MP'!AK2678</f>
        <v>0</v>
      </c>
      <c r="J2978">
        <f>'906MP'!T2678</f>
        <v>0</v>
      </c>
      <c r="K2978">
        <f>'906MP'!AJ2678</f>
        <v>0</v>
      </c>
      <c r="L2978">
        <f>'906MP'!U2678</f>
        <v>0</v>
      </c>
      <c r="M2978" s="322" t="str">
        <f>IFERROR(VLOOKUP(A2978,PAR!$D$3:$E$53,2,FALSE),"nincs szervezet")</f>
        <v>nincs szervezet</v>
      </c>
      <c r="N2978" s="322" t="str">
        <f>VLOOKUP(F2978,PAR!$R$3:$S$5,2,FALSE)</f>
        <v>3 - egyik sem</v>
      </c>
      <c r="O2978" t="str">
        <f>IFERROR(VLOOKUP(J2978,PAR!$O$3:$P$5,2,FALSE),"nincs feladat")</f>
        <v>nincs feladat</v>
      </c>
      <c r="P2978" t="str">
        <f>IFERROR(VLOOKUP(G2978,PAR!$J$2:$M$19,4),"nincs rovat")</f>
        <v>nincs rovat</v>
      </c>
      <c r="Q2978" t="str">
        <f>IF(H2978&gt;0,VLOOKUP(H2978,PAR!$AA$3:$AC$187,3,FALSE),"nincs főkönyvi számla")</f>
        <v>nincs főkönyvi számla</v>
      </c>
      <c r="R2978" t="str">
        <f>IFERROR(VLOOKUP(K2978,PAR!$V$3:$X$438,3,FALSE),"000000 - Nincs COFOG")</f>
        <v>000000 - Nincs COFOG</v>
      </c>
      <c r="S2978">
        <f t="shared" si="886"/>
        <v>0</v>
      </c>
      <c r="T2978">
        <f t="shared" si="887"/>
        <v>0</v>
      </c>
      <c r="U2978" t="str">
        <f>IF('906MP'!J2678&gt;0,CONCATENATE('906MP'!J2678," - ",'906MP'!P2678,", ",'906MP'!E2678),"nincs megjegyzés")</f>
        <v>nincs megjegyzés</v>
      </c>
      <c r="V2978" t="str">
        <f t="shared" si="874"/>
        <v>0P0</v>
      </c>
      <c r="W2978" t="str">
        <f t="shared" si="875"/>
        <v>0P0</v>
      </c>
      <c r="X2978" t="str">
        <f t="shared" si="876"/>
        <v>P0</v>
      </c>
      <c r="Y2978" t="str">
        <f t="shared" si="877"/>
        <v>00</v>
      </c>
      <c r="Z2978" t="str">
        <f t="shared" si="888"/>
        <v>00</v>
      </c>
      <c r="AA2978" t="str">
        <f t="shared" si="878"/>
        <v>00</v>
      </c>
      <c r="AB2978" t="str">
        <f t="shared" si="879"/>
        <v>00</v>
      </c>
      <c r="AC2978" t="str">
        <f t="shared" si="880"/>
        <v>0P0</v>
      </c>
      <c r="AD2978" t="str">
        <f t="shared" si="881"/>
        <v>P00</v>
      </c>
      <c r="AE2978" t="str">
        <f t="shared" si="882"/>
        <v>0P0</v>
      </c>
      <c r="AF2978" t="str">
        <f t="shared" si="883"/>
        <v>P00</v>
      </c>
      <c r="AG2978" t="str">
        <f t="shared" si="889"/>
        <v>0P00</v>
      </c>
      <c r="AH2978" t="str">
        <f t="shared" si="890"/>
        <v>P000</v>
      </c>
      <c r="AI2978" t="str">
        <f t="shared" si="891"/>
        <v>0P00</v>
      </c>
      <c r="AJ2978" t="str">
        <f t="shared" si="892"/>
        <v>P000</v>
      </c>
    </row>
    <row r="2979" spans="1:36" x14ac:dyDescent="0.25">
      <c r="A2979" s="325" t="str">
        <f>CONCATENATE("P",'906MP'!M2679)</f>
        <v>P</v>
      </c>
      <c r="B2979">
        <f>'906MP'!H2679</f>
        <v>0</v>
      </c>
      <c r="C2979">
        <f>'906MP'!J2679</f>
        <v>0</v>
      </c>
      <c r="D2979">
        <f>'906MP'!P2679</f>
        <v>0</v>
      </c>
      <c r="E2979">
        <f>'906MP'!X2679</f>
        <v>0</v>
      </c>
      <c r="F2979" t="str">
        <f t="shared" si="884"/>
        <v>0</v>
      </c>
      <c r="G2979" t="str">
        <f t="shared" si="885"/>
        <v>0</v>
      </c>
      <c r="H2979">
        <f>'906MP'!Y2679</f>
        <v>0</v>
      </c>
      <c r="I2979">
        <f>'906MP'!AK2679</f>
        <v>0</v>
      </c>
      <c r="J2979">
        <f>'906MP'!T2679</f>
        <v>0</v>
      </c>
      <c r="K2979">
        <f>'906MP'!AJ2679</f>
        <v>0</v>
      </c>
      <c r="L2979">
        <f>'906MP'!U2679</f>
        <v>0</v>
      </c>
      <c r="M2979" s="322" t="str">
        <f>IFERROR(VLOOKUP(A2979,PAR!$D$3:$E$53,2,FALSE),"nincs szervezet")</f>
        <v>nincs szervezet</v>
      </c>
      <c r="N2979" s="322" t="str">
        <f>VLOOKUP(F2979,PAR!$R$3:$S$5,2,FALSE)</f>
        <v>3 - egyik sem</v>
      </c>
      <c r="O2979" t="str">
        <f>IFERROR(VLOOKUP(J2979,PAR!$O$3:$P$5,2,FALSE),"nincs feladat")</f>
        <v>nincs feladat</v>
      </c>
      <c r="P2979" t="str">
        <f>IFERROR(VLOOKUP(G2979,PAR!$J$2:$M$19,4),"nincs rovat")</f>
        <v>nincs rovat</v>
      </c>
      <c r="Q2979" t="str">
        <f>IF(H2979&gt;0,VLOOKUP(H2979,PAR!$AA$3:$AC$187,3,FALSE),"nincs főkönyvi számla")</f>
        <v>nincs főkönyvi számla</v>
      </c>
      <c r="R2979" t="str">
        <f>IFERROR(VLOOKUP(K2979,PAR!$V$3:$X$438,3,FALSE),"000000 - Nincs COFOG")</f>
        <v>000000 - Nincs COFOG</v>
      </c>
      <c r="S2979">
        <f t="shared" si="886"/>
        <v>0</v>
      </c>
      <c r="T2979">
        <f t="shared" si="887"/>
        <v>0</v>
      </c>
      <c r="U2979" t="str">
        <f>IF('906MP'!J2679&gt;0,CONCATENATE('906MP'!J2679," - ",'906MP'!P2679,", ",'906MP'!E2679),"nincs megjegyzés")</f>
        <v>nincs megjegyzés</v>
      </c>
      <c r="V2979" t="str">
        <f t="shared" si="874"/>
        <v>0P0</v>
      </c>
      <c r="W2979" t="str">
        <f t="shared" si="875"/>
        <v>0P0</v>
      </c>
      <c r="X2979" t="str">
        <f t="shared" si="876"/>
        <v>P0</v>
      </c>
      <c r="Y2979" t="str">
        <f t="shared" si="877"/>
        <v>00</v>
      </c>
      <c r="Z2979" t="str">
        <f t="shared" si="888"/>
        <v>00</v>
      </c>
      <c r="AA2979" t="str">
        <f t="shared" si="878"/>
        <v>00</v>
      </c>
      <c r="AB2979" t="str">
        <f t="shared" si="879"/>
        <v>00</v>
      </c>
      <c r="AC2979" t="str">
        <f t="shared" si="880"/>
        <v>0P0</v>
      </c>
      <c r="AD2979" t="str">
        <f t="shared" si="881"/>
        <v>P00</v>
      </c>
      <c r="AE2979" t="str">
        <f t="shared" si="882"/>
        <v>0P0</v>
      </c>
      <c r="AF2979" t="str">
        <f t="shared" si="883"/>
        <v>P00</v>
      </c>
      <c r="AG2979" t="str">
        <f t="shared" si="889"/>
        <v>0P00</v>
      </c>
      <c r="AH2979" t="str">
        <f t="shared" si="890"/>
        <v>P000</v>
      </c>
      <c r="AI2979" t="str">
        <f t="shared" si="891"/>
        <v>0P00</v>
      </c>
      <c r="AJ2979" t="str">
        <f t="shared" si="892"/>
        <v>P000</v>
      </c>
    </row>
    <row r="2980" spans="1:36" x14ac:dyDescent="0.25">
      <c r="A2980" s="325" t="str">
        <f>CONCATENATE("P",'906MP'!M2680)</f>
        <v>P</v>
      </c>
      <c r="B2980">
        <f>'906MP'!H2680</f>
        <v>0</v>
      </c>
      <c r="C2980">
        <f>'906MP'!J2680</f>
        <v>0</v>
      </c>
      <c r="D2980">
        <f>'906MP'!P2680</f>
        <v>0</v>
      </c>
      <c r="E2980">
        <f>'906MP'!X2680</f>
        <v>0</v>
      </c>
      <c r="F2980" t="str">
        <f t="shared" si="884"/>
        <v>0</v>
      </c>
      <c r="G2980" t="str">
        <f t="shared" si="885"/>
        <v>0</v>
      </c>
      <c r="H2980">
        <f>'906MP'!Y2680</f>
        <v>0</v>
      </c>
      <c r="I2980">
        <f>'906MP'!AK2680</f>
        <v>0</v>
      </c>
      <c r="J2980">
        <f>'906MP'!T2680</f>
        <v>0</v>
      </c>
      <c r="K2980">
        <f>'906MP'!AJ2680</f>
        <v>0</v>
      </c>
      <c r="L2980">
        <f>'906MP'!U2680</f>
        <v>0</v>
      </c>
      <c r="M2980" s="322" t="str">
        <f>IFERROR(VLOOKUP(A2980,PAR!$D$3:$E$53,2,FALSE),"nincs szervezet")</f>
        <v>nincs szervezet</v>
      </c>
      <c r="N2980" s="322" t="str">
        <f>VLOOKUP(F2980,PAR!$R$3:$S$5,2,FALSE)</f>
        <v>3 - egyik sem</v>
      </c>
      <c r="O2980" t="str">
        <f>IFERROR(VLOOKUP(J2980,PAR!$O$3:$P$5,2,FALSE),"nincs feladat")</f>
        <v>nincs feladat</v>
      </c>
      <c r="P2980" t="str">
        <f>IFERROR(VLOOKUP(G2980,PAR!$J$2:$M$19,4),"nincs rovat")</f>
        <v>nincs rovat</v>
      </c>
      <c r="Q2980" t="str">
        <f>IF(H2980&gt;0,VLOOKUP(H2980,PAR!$AA$3:$AC$187,3,FALSE),"nincs főkönyvi számla")</f>
        <v>nincs főkönyvi számla</v>
      </c>
      <c r="R2980" t="str">
        <f>IFERROR(VLOOKUP(K2980,PAR!$V$3:$X$438,3,FALSE),"000000 - Nincs COFOG")</f>
        <v>000000 - Nincs COFOG</v>
      </c>
      <c r="S2980">
        <f t="shared" si="886"/>
        <v>0</v>
      </c>
      <c r="T2980">
        <f t="shared" si="887"/>
        <v>0</v>
      </c>
      <c r="U2980" t="str">
        <f>IF('906MP'!J2680&gt;0,CONCATENATE('906MP'!J2680," - ",'906MP'!P2680,", ",'906MP'!E2680),"nincs megjegyzés")</f>
        <v>nincs megjegyzés</v>
      </c>
      <c r="V2980" t="str">
        <f t="shared" si="874"/>
        <v>0P0</v>
      </c>
      <c r="W2980" t="str">
        <f t="shared" si="875"/>
        <v>0P0</v>
      </c>
      <c r="X2980" t="str">
        <f t="shared" si="876"/>
        <v>P0</v>
      </c>
      <c r="Y2980" t="str">
        <f t="shared" si="877"/>
        <v>00</v>
      </c>
      <c r="Z2980" t="str">
        <f t="shared" si="888"/>
        <v>00</v>
      </c>
      <c r="AA2980" t="str">
        <f t="shared" si="878"/>
        <v>00</v>
      </c>
      <c r="AB2980" t="str">
        <f t="shared" si="879"/>
        <v>00</v>
      </c>
      <c r="AC2980" t="str">
        <f t="shared" si="880"/>
        <v>0P0</v>
      </c>
      <c r="AD2980" t="str">
        <f t="shared" si="881"/>
        <v>P00</v>
      </c>
      <c r="AE2980" t="str">
        <f t="shared" si="882"/>
        <v>0P0</v>
      </c>
      <c r="AF2980" t="str">
        <f t="shared" si="883"/>
        <v>P00</v>
      </c>
      <c r="AG2980" t="str">
        <f t="shared" si="889"/>
        <v>0P00</v>
      </c>
      <c r="AH2980" t="str">
        <f t="shared" si="890"/>
        <v>P000</v>
      </c>
      <c r="AI2980" t="str">
        <f t="shared" si="891"/>
        <v>0P00</v>
      </c>
      <c r="AJ2980" t="str">
        <f t="shared" si="892"/>
        <v>P000</v>
      </c>
    </row>
    <row r="2981" spans="1:36" x14ac:dyDescent="0.25">
      <c r="A2981" s="325" t="str">
        <f>CONCATENATE("P",'906MP'!M2681)</f>
        <v>P</v>
      </c>
      <c r="B2981">
        <f>'906MP'!H2681</f>
        <v>0</v>
      </c>
      <c r="C2981">
        <f>'906MP'!J2681</f>
        <v>0</v>
      </c>
      <c r="D2981">
        <f>'906MP'!P2681</f>
        <v>0</v>
      </c>
      <c r="E2981">
        <f>'906MP'!X2681</f>
        <v>0</v>
      </c>
      <c r="F2981" t="str">
        <f t="shared" si="884"/>
        <v>0</v>
      </c>
      <c r="G2981" t="str">
        <f t="shared" si="885"/>
        <v>0</v>
      </c>
      <c r="H2981">
        <f>'906MP'!Y2681</f>
        <v>0</v>
      </c>
      <c r="I2981">
        <f>'906MP'!AK2681</f>
        <v>0</v>
      </c>
      <c r="J2981">
        <f>'906MP'!T2681</f>
        <v>0</v>
      </c>
      <c r="K2981">
        <f>'906MP'!AJ2681</f>
        <v>0</v>
      </c>
      <c r="L2981">
        <f>'906MP'!U2681</f>
        <v>0</v>
      </c>
      <c r="M2981" s="322" t="str">
        <f>IFERROR(VLOOKUP(A2981,PAR!$D$3:$E$53,2,FALSE),"nincs szervezet")</f>
        <v>nincs szervezet</v>
      </c>
      <c r="N2981" s="322" t="str">
        <f>VLOOKUP(F2981,PAR!$R$3:$S$5,2,FALSE)</f>
        <v>3 - egyik sem</v>
      </c>
      <c r="O2981" t="str">
        <f>IFERROR(VLOOKUP(J2981,PAR!$O$3:$P$5,2,FALSE),"nincs feladat")</f>
        <v>nincs feladat</v>
      </c>
      <c r="P2981" t="str">
        <f>IFERROR(VLOOKUP(G2981,PAR!$J$2:$M$19,4),"nincs rovat")</f>
        <v>nincs rovat</v>
      </c>
      <c r="Q2981" t="str">
        <f>IF(H2981&gt;0,VLOOKUP(H2981,PAR!$AA$3:$AC$187,3,FALSE),"nincs főkönyvi számla")</f>
        <v>nincs főkönyvi számla</v>
      </c>
      <c r="R2981" t="str">
        <f>IFERROR(VLOOKUP(K2981,PAR!$V$3:$X$438,3,FALSE),"000000 - Nincs COFOG")</f>
        <v>000000 - Nincs COFOG</v>
      </c>
      <c r="S2981">
        <f t="shared" si="886"/>
        <v>0</v>
      </c>
      <c r="T2981">
        <f t="shared" si="887"/>
        <v>0</v>
      </c>
      <c r="U2981" t="str">
        <f>IF('906MP'!J2681&gt;0,CONCATENATE('906MP'!J2681," - ",'906MP'!P2681,", ",'906MP'!E2681),"nincs megjegyzés")</f>
        <v>nincs megjegyzés</v>
      </c>
      <c r="V2981" t="str">
        <f t="shared" si="874"/>
        <v>0P0</v>
      </c>
      <c r="W2981" t="str">
        <f t="shared" si="875"/>
        <v>0P0</v>
      </c>
      <c r="X2981" t="str">
        <f t="shared" si="876"/>
        <v>P0</v>
      </c>
      <c r="Y2981" t="str">
        <f t="shared" si="877"/>
        <v>00</v>
      </c>
      <c r="Z2981" t="str">
        <f t="shared" si="888"/>
        <v>00</v>
      </c>
      <c r="AA2981" t="str">
        <f t="shared" si="878"/>
        <v>00</v>
      </c>
      <c r="AB2981" t="str">
        <f t="shared" si="879"/>
        <v>00</v>
      </c>
      <c r="AC2981" t="str">
        <f t="shared" si="880"/>
        <v>0P0</v>
      </c>
      <c r="AD2981" t="str">
        <f t="shared" si="881"/>
        <v>P00</v>
      </c>
      <c r="AE2981" t="str">
        <f t="shared" si="882"/>
        <v>0P0</v>
      </c>
      <c r="AF2981" t="str">
        <f t="shared" si="883"/>
        <v>P00</v>
      </c>
      <c r="AG2981" t="str">
        <f t="shared" si="889"/>
        <v>0P00</v>
      </c>
      <c r="AH2981" t="str">
        <f t="shared" si="890"/>
        <v>P000</v>
      </c>
      <c r="AI2981" t="str">
        <f t="shared" si="891"/>
        <v>0P00</v>
      </c>
      <c r="AJ2981" t="str">
        <f t="shared" si="892"/>
        <v>P000</v>
      </c>
    </row>
    <row r="2982" spans="1:36" x14ac:dyDescent="0.25">
      <c r="A2982" s="325" t="str">
        <f>CONCATENATE("P",'906MP'!M2682)</f>
        <v>P</v>
      </c>
      <c r="B2982">
        <f>'906MP'!H2682</f>
        <v>0</v>
      </c>
      <c r="C2982">
        <f>'906MP'!J2682</f>
        <v>0</v>
      </c>
      <c r="D2982">
        <f>'906MP'!P2682</f>
        <v>0</v>
      </c>
      <c r="E2982">
        <f>'906MP'!X2682</f>
        <v>0</v>
      </c>
      <c r="F2982" t="str">
        <f t="shared" si="884"/>
        <v>0</v>
      </c>
      <c r="G2982" t="str">
        <f t="shared" si="885"/>
        <v>0</v>
      </c>
      <c r="H2982">
        <f>'906MP'!Y2682</f>
        <v>0</v>
      </c>
      <c r="I2982">
        <f>'906MP'!AK2682</f>
        <v>0</v>
      </c>
      <c r="J2982">
        <f>'906MP'!T2682</f>
        <v>0</v>
      </c>
      <c r="K2982">
        <f>'906MP'!AJ2682</f>
        <v>0</v>
      </c>
      <c r="L2982">
        <f>'906MP'!U2682</f>
        <v>0</v>
      </c>
      <c r="M2982" s="322" t="str">
        <f>IFERROR(VLOOKUP(A2982,PAR!$D$3:$E$53,2,FALSE),"nincs szervezet")</f>
        <v>nincs szervezet</v>
      </c>
      <c r="N2982" s="322" t="str">
        <f>VLOOKUP(F2982,PAR!$R$3:$S$5,2,FALSE)</f>
        <v>3 - egyik sem</v>
      </c>
      <c r="O2982" t="str">
        <f>IFERROR(VLOOKUP(J2982,PAR!$O$3:$P$5,2,FALSE),"nincs feladat")</f>
        <v>nincs feladat</v>
      </c>
      <c r="P2982" t="str">
        <f>IFERROR(VLOOKUP(G2982,PAR!$J$2:$M$19,4),"nincs rovat")</f>
        <v>nincs rovat</v>
      </c>
      <c r="Q2982" t="str">
        <f>IF(H2982&gt;0,VLOOKUP(H2982,PAR!$AA$3:$AC$187,3,FALSE),"nincs főkönyvi számla")</f>
        <v>nincs főkönyvi számla</v>
      </c>
      <c r="R2982" t="str">
        <f>IFERROR(VLOOKUP(K2982,PAR!$V$3:$X$438,3,FALSE),"000000 - Nincs COFOG")</f>
        <v>000000 - Nincs COFOG</v>
      </c>
      <c r="S2982">
        <f t="shared" si="886"/>
        <v>0</v>
      </c>
      <c r="T2982">
        <f t="shared" si="887"/>
        <v>0</v>
      </c>
      <c r="U2982" t="str">
        <f>IF('906MP'!J2682&gt;0,CONCATENATE('906MP'!J2682," - ",'906MP'!P2682,", ",'906MP'!E2682),"nincs megjegyzés")</f>
        <v>nincs megjegyzés</v>
      </c>
      <c r="V2982" t="str">
        <f t="shared" si="874"/>
        <v>0P0</v>
      </c>
      <c r="W2982" t="str">
        <f t="shared" si="875"/>
        <v>0P0</v>
      </c>
      <c r="X2982" t="str">
        <f t="shared" si="876"/>
        <v>P0</v>
      </c>
      <c r="Y2982" t="str">
        <f t="shared" si="877"/>
        <v>00</v>
      </c>
      <c r="Z2982" t="str">
        <f t="shared" si="888"/>
        <v>00</v>
      </c>
      <c r="AA2982" t="str">
        <f t="shared" si="878"/>
        <v>00</v>
      </c>
      <c r="AB2982" t="str">
        <f t="shared" si="879"/>
        <v>00</v>
      </c>
      <c r="AC2982" t="str">
        <f t="shared" si="880"/>
        <v>0P0</v>
      </c>
      <c r="AD2982" t="str">
        <f t="shared" si="881"/>
        <v>P00</v>
      </c>
      <c r="AE2982" t="str">
        <f t="shared" si="882"/>
        <v>0P0</v>
      </c>
      <c r="AF2982" t="str">
        <f t="shared" si="883"/>
        <v>P00</v>
      </c>
      <c r="AG2982" t="str">
        <f t="shared" si="889"/>
        <v>0P00</v>
      </c>
      <c r="AH2982" t="str">
        <f t="shared" si="890"/>
        <v>P000</v>
      </c>
      <c r="AI2982" t="str">
        <f t="shared" si="891"/>
        <v>0P00</v>
      </c>
      <c r="AJ2982" t="str">
        <f t="shared" si="892"/>
        <v>P000</v>
      </c>
    </row>
    <row r="2983" spans="1:36" x14ac:dyDescent="0.25">
      <c r="A2983" s="325" t="str">
        <f>CONCATENATE("P",'906MP'!M2683)</f>
        <v>P</v>
      </c>
      <c r="B2983">
        <f>'906MP'!H2683</f>
        <v>0</v>
      </c>
      <c r="C2983">
        <f>'906MP'!J2683</f>
        <v>0</v>
      </c>
      <c r="D2983">
        <f>'906MP'!P2683</f>
        <v>0</v>
      </c>
      <c r="E2983">
        <f>'906MP'!X2683</f>
        <v>0</v>
      </c>
      <c r="F2983" t="str">
        <f t="shared" si="884"/>
        <v>0</v>
      </c>
      <c r="G2983" t="str">
        <f t="shared" si="885"/>
        <v>0</v>
      </c>
      <c r="H2983">
        <f>'906MP'!Y2683</f>
        <v>0</v>
      </c>
      <c r="I2983">
        <f>'906MP'!AK2683</f>
        <v>0</v>
      </c>
      <c r="J2983">
        <f>'906MP'!T2683</f>
        <v>0</v>
      </c>
      <c r="K2983">
        <f>'906MP'!AJ2683</f>
        <v>0</v>
      </c>
      <c r="L2983">
        <f>'906MP'!U2683</f>
        <v>0</v>
      </c>
      <c r="M2983" s="322" t="str">
        <f>IFERROR(VLOOKUP(A2983,PAR!$D$3:$E$53,2,FALSE),"nincs szervezet")</f>
        <v>nincs szervezet</v>
      </c>
      <c r="N2983" s="322" t="str">
        <f>VLOOKUP(F2983,PAR!$R$3:$S$5,2,FALSE)</f>
        <v>3 - egyik sem</v>
      </c>
      <c r="O2983" t="str">
        <f>IFERROR(VLOOKUP(J2983,PAR!$O$3:$P$5,2,FALSE),"nincs feladat")</f>
        <v>nincs feladat</v>
      </c>
      <c r="P2983" t="str">
        <f>IFERROR(VLOOKUP(G2983,PAR!$J$2:$M$19,4),"nincs rovat")</f>
        <v>nincs rovat</v>
      </c>
      <c r="Q2983" t="str">
        <f>IF(H2983&gt;0,VLOOKUP(H2983,PAR!$AA$3:$AC$187,3,FALSE),"nincs főkönyvi számla")</f>
        <v>nincs főkönyvi számla</v>
      </c>
      <c r="R2983" t="str">
        <f>IFERROR(VLOOKUP(K2983,PAR!$V$3:$X$438,3,FALSE),"000000 - Nincs COFOG")</f>
        <v>000000 - Nincs COFOG</v>
      </c>
      <c r="S2983">
        <f t="shared" si="886"/>
        <v>0</v>
      </c>
      <c r="T2983">
        <f t="shared" si="887"/>
        <v>0</v>
      </c>
      <c r="U2983" t="str">
        <f>IF('906MP'!J2683&gt;0,CONCATENATE('906MP'!J2683," - ",'906MP'!P2683,", ",'906MP'!E2683),"nincs megjegyzés")</f>
        <v>nincs megjegyzés</v>
      </c>
      <c r="V2983" t="str">
        <f t="shared" si="874"/>
        <v>0P0</v>
      </c>
      <c r="W2983" t="str">
        <f t="shared" si="875"/>
        <v>0P0</v>
      </c>
      <c r="X2983" t="str">
        <f t="shared" si="876"/>
        <v>P0</v>
      </c>
      <c r="Y2983" t="str">
        <f t="shared" si="877"/>
        <v>00</v>
      </c>
      <c r="Z2983" t="str">
        <f t="shared" si="888"/>
        <v>00</v>
      </c>
      <c r="AA2983" t="str">
        <f t="shared" si="878"/>
        <v>00</v>
      </c>
      <c r="AB2983" t="str">
        <f t="shared" si="879"/>
        <v>00</v>
      </c>
      <c r="AC2983" t="str">
        <f t="shared" si="880"/>
        <v>0P0</v>
      </c>
      <c r="AD2983" t="str">
        <f t="shared" si="881"/>
        <v>P00</v>
      </c>
      <c r="AE2983" t="str">
        <f t="shared" si="882"/>
        <v>0P0</v>
      </c>
      <c r="AF2983" t="str">
        <f t="shared" si="883"/>
        <v>P00</v>
      </c>
      <c r="AG2983" t="str">
        <f t="shared" si="889"/>
        <v>0P00</v>
      </c>
      <c r="AH2983" t="str">
        <f t="shared" si="890"/>
        <v>P000</v>
      </c>
      <c r="AI2983" t="str">
        <f t="shared" si="891"/>
        <v>0P00</v>
      </c>
      <c r="AJ2983" t="str">
        <f t="shared" si="892"/>
        <v>P000</v>
      </c>
    </row>
    <row r="2984" spans="1:36" x14ac:dyDescent="0.25">
      <c r="A2984" s="325" t="str">
        <f>CONCATENATE("P",'906MP'!M2684)</f>
        <v>P</v>
      </c>
      <c r="B2984">
        <f>'906MP'!H2684</f>
        <v>0</v>
      </c>
      <c r="C2984">
        <f>'906MP'!J2684</f>
        <v>0</v>
      </c>
      <c r="D2984">
        <f>'906MP'!P2684</f>
        <v>0</v>
      </c>
      <c r="E2984">
        <f>'906MP'!X2684</f>
        <v>0</v>
      </c>
      <c r="F2984" t="str">
        <f t="shared" si="884"/>
        <v>0</v>
      </c>
      <c r="G2984" t="str">
        <f t="shared" si="885"/>
        <v>0</v>
      </c>
      <c r="H2984">
        <f>'906MP'!Y2684</f>
        <v>0</v>
      </c>
      <c r="I2984">
        <f>'906MP'!AK2684</f>
        <v>0</v>
      </c>
      <c r="J2984">
        <f>'906MP'!T2684</f>
        <v>0</v>
      </c>
      <c r="K2984">
        <f>'906MP'!AJ2684</f>
        <v>0</v>
      </c>
      <c r="L2984">
        <f>'906MP'!U2684</f>
        <v>0</v>
      </c>
      <c r="M2984" s="322" t="str">
        <f>IFERROR(VLOOKUP(A2984,PAR!$D$3:$E$53,2,FALSE),"nincs szervezet")</f>
        <v>nincs szervezet</v>
      </c>
      <c r="N2984" s="322" t="str">
        <f>VLOOKUP(F2984,PAR!$R$3:$S$5,2,FALSE)</f>
        <v>3 - egyik sem</v>
      </c>
      <c r="O2984" t="str">
        <f>IFERROR(VLOOKUP(J2984,PAR!$O$3:$P$5,2,FALSE),"nincs feladat")</f>
        <v>nincs feladat</v>
      </c>
      <c r="P2984" t="str">
        <f>IFERROR(VLOOKUP(G2984,PAR!$J$2:$M$19,4),"nincs rovat")</f>
        <v>nincs rovat</v>
      </c>
      <c r="Q2984" t="str">
        <f>IF(H2984&gt;0,VLOOKUP(H2984,PAR!$AA$3:$AC$187,3,FALSE),"nincs főkönyvi számla")</f>
        <v>nincs főkönyvi számla</v>
      </c>
      <c r="R2984" t="str">
        <f>IFERROR(VLOOKUP(K2984,PAR!$V$3:$X$438,3,FALSE),"000000 - Nincs COFOG")</f>
        <v>000000 - Nincs COFOG</v>
      </c>
      <c r="S2984">
        <f t="shared" si="886"/>
        <v>0</v>
      </c>
      <c r="T2984">
        <f t="shared" si="887"/>
        <v>0</v>
      </c>
      <c r="U2984" t="str">
        <f>IF('906MP'!J2684&gt;0,CONCATENATE('906MP'!J2684," - ",'906MP'!P2684,", ",'906MP'!E2684),"nincs megjegyzés")</f>
        <v>nincs megjegyzés</v>
      </c>
      <c r="V2984" t="str">
        <f t="shared" si="874"/>
        <v>0P0</v>
      </c>
      <c r="W2984" t="str">
        <f t="shared" si="875"/>
        <v>0P0</v>
      </c>
      <c r="X2984" t="str">
        <f t="shared" si="876"/>
        <v>P0</v>
      </c>
      <c r="Y2984" t="str">
        <f t="shared" si="877"/>
        <v>00</v>
      </c>
      <c r="Z2984" t="str">
        <f t="shared" si="888"/>
        <v>00</v>
      </c>
      <c r="AA2984" t="str">
        <f t="shared" si="878"/>
        <v>00</v>
      </c>
      <c r="AB2984" t="str">
        <f t="shared" si="879"/>
        <v>00</v>
      </c>
      <c r="AC2984" t="str">
        <f t="shared" si="880"/>
        <v>0P0</v>
      </c>
      <c r="AD2984" t="str">
        <f t="shared" si="881"/>
        <v>P00</v>
      </c>
      <c r="AE2984" t="str">
        <f t="shared" si="882"/>
        <v>0P0</v>
      </c>
      <c r="AF2984" t="str">
        <f t="shared" si="883"/>
        <v>P00</v>
      </c>
      <c r="AG2984" t="str">
        <f t="shared" si="889"/>
        <v>0P00</v>
      </c>
      <c r="AH2984" t="str">
        <f t="shared" si="890"/>
        <v>P000</v>
      </c>
      <c r="AI2984" t="str">
        <f t="shared" si="891"/>
        <v>0P00</v>
      </c>
      <c r="AJ2984" t="str">
        <f t="shared" si="892"/>
        <v>P000</v>
      </c>
    </row>
    <row r="2985" spans="1:36" x14ac:dyDescent="0.25">
      <c r="A2985" s="325" t="str">
        <f>CONCATENATE("P",'906MP'!M2685)</f>
        <v>P</v>
      </c>
      <c r="B2985">
        <f>'906MP'!H2685</f>
        <v>0</v>
      </c>
      <c r="C2985">
        <f>'906MP'!J2685</f>
        <v>0</v>
      </c>
      <c r="D2985">
        <f>'906MP'!P2685</f>
        <v>0</v>
      </c>
      <c r="E2985">
        <f>'906MP'!X2685</f>
        <v>0</v>
      </c>
      <c r="F2985" t="str">
        <f t="shared" si="884"/>
        <v>0</v>
      </c>
      <c r="G2985" t="str">
        <f t="shared" si="885"/>
        <v>0</v>
      </c>
      <c r="H2985">
        <f>'906MP'!Y2685</f>
        <v>0</v>
      </c>
      <c r="I2985">
        <f>'906MP'!AK2685</f>
        <v>0</v>
      </c>
      <c r="J2985">
        <f>'906MP'!T2685</f>
        <v>0</v>
      </c>
      <c r="K2985">
        <f>'906MP'!AJ2685</f>
        <v>0</v>
      </c>
      <c r="L2985">
        <f>'906MP'!U2685</f>
        <v>0</v>
      </c>
      <c r="M2985" s="322" t="str">
        <f>IFERROR(VLOOKUP(A2985,PAR!$D$3:$E$53,2,FALSE),"nincs szervezet")</f>
        <v>nincs szervezet</v>
      </c>
      <c r="N2985" s="322" t="str">
        <f>VLOOKUP(F2985,PAR!$R$3:$S$5,2,FALSE)</f>
        <v>3 - egyik sem</v>
      </c>
      <c r="O2985" t="str">
        <f>IFERROR(VLOOKUP(J2985,PAR!$O$3:$P$5,2,FALSE),"nincs feladat")</f>
        <v>nincs feladat</v>
      </c>
      <c r="P2985" t="str">
        <f>IFERROR(VLOOKUP(G2985,PAR!$J$2:$M$19,4),"nincs rovat")</f>
        <v>nincs rovat</v>
      </c>
      <c r="Q2985" t="str">
        <f>IF(H2985&gt;0,VLOOKUP(H2985,PAR!$AA$3:$AC$187,3,FALSE),"nincs főkönyvi számla")</f>
        <v>nincs főkönyvi számla</v>
      </c>
      <c r="R2985" t="str">
        <f>IFERROR(VLOOKUP(K2985,PAR!$V$3:$X$438,3,FALSE),"000000 - Nincs COFOG")</f>
        <v>000000 - Nincs COFOG</v>
      </c>
      <c r="S2985">
        <f t="shared" si="886"/>
        <v>0</v>
      </c>
      <c r="T2985">
        <f t="shared" si="887"/>
        <v>0</v>
      </c>
      <c r="U2985" t="str">
        <f>IF('906MP'!J2685&gt;0,CONCATENATE('906MP'!J2685," - ",'906MP'!P2685,", ",'906MP'!E2685),"nincs megjegyzés")</f>
        <v>nincs megjegyzés</v>
      </c>
      <c r="V2985" t="str">
        <f t="shared" si="874"/>
        <v>0P0</v>
      </c>
      <c r="W2985" t="str">
        <f t="shared" si="875"/>
        <v>0P0</v>
      </c>
      <c r="X2985" t="str">
        <f t="shared" si="876"/>
        <v>P0</v>
      </c>
      <c r="Y2985" t="str">
        <f t="shared" si="877"/>
        <v>00</v>
      </c>
      <c r="Z2985" t="str">
        <f t="shared" si="888"/>
        <v>00</v>
      </c>
      <c r="AA2985" t="str">
        <f t="shared" si="878"/>
        <v>00</v>
      </c>
      <c r="AB2985" t="str">
        <f t="shared" si="879"/>
        <v>00</v>
      </c>
      <c r="AC2985" t="str">
        <f t="shared" si="880"/>
        <v>0P0</v>
      </c>
      <c r="AD2985" t="str">
        <f t="shared" si="881"/>
        <v>P00</v>
      </c>
      <c r="AE2985" t="str">
        <f t="shared" si="882"/>
        <v>0P0</v>
      </c>
      <c r="AF2985" t="str">
        <f t="shared" si="883"/>
        <v>P00</v>
      </c>
      <c r="AG2985" t="str">
        <f t="shared" si="889"/>
        <v>0P00</v>
      </c>
      <c r="AH2985" t="str">
        <f t="shared" si="890"/>
        <v>P000</v>
      </c>
      <c r="AI2985" t="str">
        <f t="shared" si="891"/>
        <v>0P00</v>
      </c>
      <c r="AJ2985" t="str">
        <f t="shared" si="892"/>
        <v>P000</v>
      </c>
    </row>
    <row r="2986" spans="1:36" x14ac:dyDescent="0.25">
      <c r="A2986" s="325" t="str">
        <f>CONCATENATE("P",'906MP'!M2686)</f>
        <v>P</v>
      </c>
      <c r="B2986">
        <f>'906MP'!H2686</f>
        <v>0</v>
      </c>
      <c r="C2986">
        <f>'906MP'!J2686</f>
        <v>0</v>
      </c>
      <c r="D2986">
        <f>'906MP'!P2686</f>
        <v>0</v>
      </c>
      <c r="E2986">
        <f>'906MP'!X2686</f>
        <v>0</v>
      </c>
      <c r="F2986" t="str">
        <f t="shared" si="884"/>
        <v>0</v>
      </c>
      <c r="G2986" t="str">
        <f t="shared" si="885"/>
        <v>0</v>
      </c>
      <c r="H2986">
        <f>'906MP'!Y2686</f>
        <v>0</v>
      </c>
      <c r="I2986">
        <f>'906MP'!AK2686</f>
        <v>0</v>
      </c>
      <c r="J2986">
        <f>'906MP'!T2686</f>
        <v>0</v>
      </c>
      <c r="K2986">
        <f>'906MP'!AJ2686</f>
        <v>0</v>
      </c>
      <c r="L2986">
        <f>'906MP'!U2686</f>
        <v>0</v>
      </c>
      <c r="M2986" s="322" t="str">
        <f>IFERROR(VLOOKUP(A2986,PAR!$D$3:$E$53,2,FALSE),"nincs szervezet")</f>
        <v>nincs szervezet</v>
      </c>
      <c r="N2986" s="322" t="str">
        <f>VLOOKUP(F2986,PAR!$R$3:$S$5,2,FALSE)</f>
        <v>3 - egyik sem</v>
      </c>
      <c r="O2986" t="str">
        <f>IFERROR(VLOOKUP(J2986,PAR!$O$3:$P$5,2,FALSE),"nincs feladat")</f>
        <v>nincs feladat</v>
      </c>
      <c r="P2986" t="str">
        <f>IFERROR(VLOOKUP(G2986,PAR!$J$2:$M$19,4),"nincs rovat")</f>
        <v>nincs rovat</v>
      </c>
      <c r="Q2986" t="str">
        <f>IF(H2986&gt;0,VLOOKUP(H2986,PAR!$AA$3:$AC$187,3,FALSE),"nincs főkönyvi számla")</f>
        <v>nincs főkönyvi számla</v>
      </c>
      <c r="R2986" t="str">
        <f>IFERROR(VLOOKUP(K2986,PAR!$V$3:$X$438,3,FALSE),"000000 - Nincs COFOG")</f>
        <v>000000 - Nincs COFOG</v>
      </c>
      <c r="S2986">
        <f t="shared" si="886"/>
        <v>0</v>
      </c>
      <c r="T2986">
        <f t="shared" si="887"/>
        <v>0</v>
      </c>
      <c r="U2986" t="str">
        <f>IF('906MP'!J2686&gt;0,CONCATENATE('906MP'!J2686," - ",'906MP'!P2686,", ",'906MP'!E2686),"nincs megjegyzés")</f>
        <v>nincs megjegyzés</v>
      </c>
      <c r="V2986" t="str">
        <f t="shared" si="874"/>
        <v>0P0</v>
      </c>
      <c r="W2986" t="str">
        <f t="shared" si="875"/>
        <v>0P0</v>
      </c>
      <c r="X2986" t="str">
        <f t="shared" si="876"/>
        <v>P0</v>
      </c>
      <c r="Y2986" t="str">
        <f t="shared" si="877"/>
        <v>00</v>
      </c>
      <c r="Z2986" t="str">
        <f t="shared" si="888"/>
        <v>00</v>
      </c>
      <c r="AA2986" t="str">
        <f t="shared" si="878"/>
        <v>00</v>
      </c>
      <c r="AB2986" t="str">
        <f t="shared" si="879"/>
        <v>00</v>
      </c>
      <c r="AC2986" t="str">
        <f t="shared" si="880"/>
        <v>0P0</v>
      </c>
      <c r="AD2986" t="str">
        <f t="shared" si="881"/>
        <v>P00</v>
      </c>
      <c r="AE2986" t="str">
        <f t="shared" si="882"/>
        <v>0P0</v>
      </c>
      <c r="AF2986" t="str">
        <f t="shared" si="883"/>
        <v>P00</v>
      </c>
      <c r="AG2986" t="str">
        <f t="shared" si="889"/>
        <v>0P00</v>
      </c>
      <c r="AH2986" t="str">
        <f t="shared" si="890"/>
        <v>P000</v>
      </c>
      <c r="AI2986" t="str">
        <f t="shared" si="891"/>
        <v>0P00</v>
      </c>
      <c r="AJ2986" t="str">
        <f t="shared" si="892"/>
        <v>P000</v>
      </c>
    </row>
    <row r="2987" spans="1:36" x14ac:dyDescent="0.25">
      <c r="A2987" s="325" t="str">
        <f>CONCATENATE("P",'906MP'!M2687)</f>
        <v>P</v>
      </c>
      <c r="B2987">
        <f>'906MP'!H2687</f>
        <v>0</v>
      </c>
      <c r="C2987">
        <f>'906MP'!J2687</f>
        <v>0</v>
      </c>
      <c r="D2987">
        <f>'906MP'!P2687</f>
        <v>0</v>
      </c>
      <c r="E2987">
        <f>'906MP'!X2687</f>
        <v>0</v>
      </c>
      <c r="F2987" t="str">
        <f t="shared" si="884"/>
        <v>0</v>
      </c>
      <c r="G2987" t="str">
        <f t="shared" si="885"/>
        <v>0</v>
      </c>
      <c r="H2987">
        <f>'906MP'!Y2687</f>
        <v>0</v>
      </c>
      <c r="I2987">
        <f>'906MP'!AK2687</f>
        <v>0</v>
      </c>
      <c r="J2987">
        <f>'906MP'!T2687</f>
        <v>0</v>
      </c>
      <c r="K2987">
        <f>'906MP'!AJ2687</f>
        <v>0</v>
      </c>
      <c r="L2987">
        <f>'906MP'!U2687</f>
        <v>0</v>
      </c>
      <c r="M2987" s="322" t="str">
        <f>IFERROR(VLOOKUP(A2987,PAR!$D$3:$E$53,2,FALSE),"nincs szervezet")</f>
        <v>nincs szervezet</v>
      </c>
      <c r="N2987" s="322" t="str">
        <f>VLOOKUP(F2987,PAR!$R$3:$S$5,2,FALSE)</f>
        <v>3 - egyik sem</v>
      </c>
      <c r="O2987" t="str">
        <f>IFERROR(VLOOKUP(J2987,PAR!$O$3:$P$5,2,FALSE),"nincs feladat")</f>
        <v>nincs feladat</v>
      </c>
      <c r="P2987" t="str">
        <f>IFERROR(VLOOKUP(G2987,PAR!$J$2:$M$19,4),"nincs rovat")</f>
        <v>nincs rovat</v>
      </c>
      <c r="Q2987" t="str">
        <f>IF(H2987&gt;0,VLOOKUP(H2987,PAR!$AA$3:$AC$187,3,FALSE),"nincs főkönyvi számla")</f>
        <v>nincs főkönyvi számla</v>
      </c>
      <c r="R2987" t="str">
        <f>IFERROR(VLOOKUP(K2987,PAR!$V$3:$X$438,3,FALSE),"000000 - Nincs COFOG")</f>
        <v>000000 - Nincs COFOG</v>
      </c>
      <c r="S2987">
        <f t="shared" si="886"/>
        <v>0</v>
      </c>
      <c r="T2987">
        <f t="shared" si="887"/>
        <v>0</v>
      </c>
      <c r="U2987" t="str">
        <f>IF('906MP'!J2687&gt;0,CONCATENATE('906MP'!J2687," - ",'906MP'!P2687,", ",'906MP'!E2687),"nincs megjegyzés")</f>
        <v>nincs megjegyzés</v>
      </c>
      <c r="V2987" t="str">
        <f t="shared" si="874"/>
        <v>0P0</v>
      </c>
      <c r="W2987" t="str">
        <f t="shared" si="875"/>
        <v>0P0</v>
      </c>
      <c r="X2987" t="str">
        <f t="shared" si="876"/>
        <v>P0</v>
      </c>
      <c r="Y2987" t="str">
        <f t="shared" si="877"/>
        <v>00</v>
      </c>
      <c r="Z2987" t="str">
        <f t="shared" si="888"/>
        <v>00</v>
      </c>
      <c r="AA2987" t="str">
        <f t="shared" si="878"/>
        <v>00</v>
      </c>
      <c r="AB2987" t="str">
        <f t="shared" si="879"/>
        <v>00</v>
      </c>
      <c r="AC2987" t="str">
        <f t="shared" si="880"/>
        <v>0P0</v>
      </c>
      <c r="AD2987" t="str">
        <f t="shared" si="881"/>
        <v>P00</v>
      </c>
      <c r="AE2987" t="str">
        <f t="shared" si="882"/>
        <v>0P0</v>
      </c>
      <c r="AF2987" t="str">
        <f t="shared" si="883"/>
        <v>P00</v>
      </c>
      <c r="AG2987" t="str">
        <f t="shared" si="889"/>
        <v>0P00</v>
      </c>
      <c r="AH2987" t="str">
        <f t="shared" si="890"/>
        <v>P000</v>
      </c>
      <c r="AI2987" t="str">
        <f t="shared" si="891"/>
        <v>0P00</v>
      </c>
      <c r="AJ2987" t="str">
        <f t="shared" si="892"/>
        <v>P000</v>
      </c>
    </row>
    <row r="2988" spans="1:36" x14ac:dyDescent="0.25">
      <c r="A2988" s="325" t="str">
        <f>CONCATENATE("P",'906MP'!M2688)</f>
        <v>P</v>
      </c>
      <c r="B2988">
        <f>'906MP'!H2688</f>
        <v>0</v>
      </c>
      <c r="C2988">
        <f>'906MP'!J2688</f>
        <v>0</v>
      </c>
      <c r="D2988">
        <f>'906MP'!P2688</f>
        <v>0</v>
      </c>
      <c r="E2988">
        <f>'906MP'!X2688</f>
        <v>0</v>
      </c>
      <c r="F2988" t="str">
        <f t="shared" si="884"/>
        <v>0</v>
      </c>
      <c r="G2988" t="str">
        <f t="shared" si="885"/>
        <v>0</v>
      </c>
      <c r="H2988">
        <f>'906MP'!Y2688</f>
        <v>0</v>
      </c>
      <c r="I2988">
        <f>'906MP'!AK2688</f>
        <v>0</v>
      </c>
      <c r="J2988">
        <f>'906MP'!T2688</f>
        <v>0</v>
      </c>
      <c r="K2988">
        <f>'906MP'!AJ2688</f>
        <v>0</v>
      </c>
      <c r="L2988">
        <f>'906MP'!U2688</f>
        <v>0</v>
      </c>
      <c r="M2988" s="322" t="str">
        <f>IFERROR(VLOOKUP(A2988,PAR!$D$3:$E$53,2,FALSE),"nincs szervezet")</f>
        <v>nincs szervezet</v>
      </c>
      <c r="N2988" s="322" t="str">
        <f>VLOOKUP(F2988,PAR!$R$3:$S$5,2,FALSE)</f>
        <v>3 - egyik sem</v>
      </c>
      <c r="O2988" t="str">
        <f>IFERROR(VLOOKUP(J2988,PAR!$O$3:$P$5,2,FALSE),"nincs feladat")</f>
        <v>nincs feladat</v>
      </c>
      <c r="P2988" t="str">
        <f>IFERROR(VLOOKUP(G2988,PAR!$J$2:$M$19,4),"nincs rovat")</f>
        <v>nincs rovat</v>
      </c>
      <c r="Q2988" t="str">
        <f>IF(H2988&gt;0,VLOOKUP(H2988,PAR!$AA$3:$AC$187,3,FALSE),"nincs főkönyvi számla")</f>
        <v>nincs főkönyvi számla</v>
      </c>
      <c r="R2988" t="str">
        <f>IFERROR(VLOOKUP(K2988,PAR!$V$3:$X$438,3,FALSE),"000000 - Nincs COFOG")</f>
        <v>000000 - Nincs COFOG</v>
      </c>
      <c r="S2988">
        <f t="shared" si="886"/>
        <v>0</v>
      </c>
      <c r="T2988">
        <f t="shared" si="887"/>
        <v>0</v>
      </c>
      <c r="U2988" t="str">
        <f>IF('906MP'!J2688&gt;0,CONCATENATE('906MP'!J2688," - ",'906MP'!P2688,", ",'906MP'!E2688),"nincs megjegyzés")</f>
        <v>nincs megjegyzés</v>
      </c>
      <c r="V2988" t="str">
        <f t="shared" si="874"/>
        <v>0P0</v>
      </c>
      <c r="W2988" t="str">
        <f t="shared" si="875"/>
        <v>0P0</v>
      </c>
      <c r="X2988" t="str">
        <f t="shared" si="876"/>
        <v>P0</v>
      </c>
      <c r="Y2988" t="str">
        <f t="shared" si="877"/>
        <v>00</v>
      </c>
      <c r="Z2988" t="str">
        <f t="shared" si="888"/>
        <v>00</v>
      </c>
      <c r="AA2988" t="str">
        <f t="shared" si="878"/>
        <v>00</v>
      </c>
      <c r="AB2988" t="str">
        <f t="shared" si="879"/>
        <v>00</v>
      </c>
      <c r="AC2988" t="str">
        <f t="shared" si="880"/>
        <v>0P0</v>
      </c>
      <c r="AD2988" t="str">
        <f t="shared" si="881"/>
        <v>P00</v>
      </c>
      <c r="AE2988" t="str">
        <f t="shared" si="882"/>
        <v>0P0</v>
      </c>
      <c r="AF2988" t="str">
        <f t="shared" si="883"/>
        <v>P00</v>
      </c>
      <c r="AG2988" t="str">
        <f t="shared" si="889"/>
        <v>0P00</v>
      </c>
      <c r="AH2988" t="str">
        <f t="shared" si="890"/>
        <v>P000</v>
      </c>
      <c r="AI2988" t="str">
        <f t="shared" si="891"/>
        <v>0P00</v>
      </c>
      <c r="AJ2988" t="str">
        <f t="shared" si="892"/>
        <v>P000</v>
      </c>
    </row>
    <row r="2989" spans="1:36" x14ac:dyDescent="0.25">
      <c r="A2989" s="325" t="str">
        <f>CONCATENATE("P",'906MP'!M2689)</f>
        <v>P</v>
      </c>
      <c r="B2989">
        <f>'906MP'!H2689</f>
        <v>0</v>
      </c>
      <c r="C2989">
        <f>'906MP'!J2689</f>
        <v>0</v>
      </c>
      <c r="D2989">
        <f>'906MP'!P2689</f>
        <v>0</v>
      </c>
      <c r="E2989">
        <f>'906MP'!X2689</f>
        <v>0</v>
      </c>
      <c r="F2989" t="str">
        <f t="shared" si="884"/>
        <v>0</v>
      </c>
      <c r="G2989" t="str">
        <f t="shared" si="885"/>
        <v>0</v>
      </c>
      <c r="H2989">
        <f>'906MP'!Y2689</f>
        <v>0</v>
      </c>
      <c r="I2989">
        <f>'906MP'!AK2689</f>
        <v>0</v>
      </c>
      <c r="J2989">
        <f>'906MP'!T2689</f>
        <v>0</v>
      </c>
      <c r="K2989">
        <f>'906MP'!AJ2689</f>
        <v>0</v>
      </c>
      <c r="L2989">
        <f>'906MP'!U2689</f>
        <v>0</v>
      </c>
      <c r="M2989" s="322" t="str">
        <f>IFERROR(VLOOKUP(A2989,PAR!$D$3:$E$53,2,FALSE),"nincs szervezet")</f>
        <v>nincs szervezet</v>
      </c>
      <c r="N2989" s="322" t="str">
        <f>VLOOKUP(F2989,PAR!$R$3:$S$5,2,FALSE)</f>
        <v>3 - egyik sem</v>
      </c>
      <c r="O2989" t="str">
        <f>IFERROR(VLOOKUP(J2989,PAR!$O$3:$P$5,2,FALSE),"nincs feladat")</f>
        <v>nincs feladat</v>
      </c>
      <c r="P2989" t="str">
        <f>IFERROR(VLOOKUP(G2989,PAR!$J$2:$M$19,4),"nincs rovat")</f>
        <v>nincs rovat</v>
      </c>
      <c r="Q2989" t="str">
        <f>IF(H2989&gt;0,VLOOKUP(H2989,PAR!$AA$3:$AC$187,3,FALSE),"nincs főkönyvi számla")</f>
        <v>nincs főkönyvi számla</v>
      </c>
      <c r="R2989" t="str">
        <f>IFERROR(VLOOKUP(K2989,PAR!$V$3:$X$438,3,FALSE),"000000 - Nincs COFOG")</f>
        <v>000000 - Nincs COFOG</v>
      </c>
      <c r="S2989">
        <f t="shared" si="886"/>
        <v>0</v>
      </c>
      <c r="T2989">
        <f t="shared" si="887"/>
        <v>0</v>
      </c>
      <c r="U2989" t="str">
        <f>IF('906MP'!J2689&gt;0,CONCATENATE('906MP'!J2689," - ",'906MP'!P2689,", ",'906MP'!E2689),"nincs megjegyzés")</f>
        <v>nincs megjegyzés</v>
      </c>
      <c r="V2989" t="str">
        <f t="shared" si="874"/>
        <v>0P0</v>
      </c>
      <c r="W2989" t="str">
        <f t="shared" si="875"/>
        <v>0P0</v>
      </c>
      <c r="X2989" t="str">
        <f t="shared" si="876"/>
        <v>P0</v>
      </c>
      <c r="Y2989" t="str">
        <f t="shared" si="877"/>
        <v>00</v>
      </c>
      <c r="Z2989" t="str">
        <f t="shared" si="888"/>
        <v>00</v>
      </c>
      <c r="AA2989" t="str">
        <f t="shared" si="878"/>
        <v>00</v>
      </c>
      <c r="AB2989" t="str">
        <f t="shared" si="879"/>
        <v>00</v>
      </c>
      <c r="AC2989" t="str">
        <f t="shared" si="880"/>
        <v>0P0</v>
      </c>
      <c r="AD2989" t="str">
        <f t="shared" si="881"/>
        <v>P00</v>
      </c>
      <c r="AE2989" t="str">
        <f t="shared" si="882"/>
        <v>0P0</v>
      </c>
      <c r="AF2989" t="str">
        <f t="shared" si="883"/>
        <v>P00</v>
      </c>
      <c r="AG2989" t="str">
        <f t="shared" si="889"/>
        <v>0P00</v>
      </c>
      <c r="AH2989" t="str">
        <f t="shared" si="890"/>
        <v>P000</v>
      </c>
      <c r="AI2989" t="str">
        <f t="shared" si="891"/>
        <v>0P00</v>
      </c>
      <c r="AJ2989" t="str">
        <f t="shared" si="892"/>
        <v>P000</v>
      </c>
    </row>
    <row r="2990" spans="1:36" x14ac:dyDescent="0.25">
      <c r="A2990" s="325" t="str">
        <f>CONCATENATE("P",'906MP'!M2690)</f>
        <v>P</v>
      </c>
      <c r="B2990">
        <f>'906MP'!H2690</f>
        <v>0</v>
      </c>
      <c r="C2990">
        <f>'906MP'!J2690</f>
        <v>0</v>
      </c>
      <c r="D2990">
        <f>'906MP'!P2690</f>
        <v>0</v>
      </c>
      <c r="E2990">
        <f>'906MP'!X2690</f>
        <v>0</v>
      </c>
      <c r="F2990" t="str">
        <f t="shared" si="884"/>
        <v>0</v>
      </c>
      <c r="G2990" t="str">
        <f t="shared" si="885"/>
        <v>0</v>
      </c>
      <c r="H2990">
        <f>'906MP'!Y2690</f>
        <v>0</v>
      </c>
      <c r="I2990">
        <f>'906MP'!AK2690</f>
        <v>0</v>
      </c>
      <c r="J2990">
        <f>'906MP'!T2690</f>
        <v>0</v>
      </c>
      <c r="K2990">
        <f>'906MP'!AJ2690</f>
        <v>0</v>
      </c>
      <c r="L2990">
        <f>'906MP'!U2690</f>
        <v>0</v>
      </c>
      <c r="M2990" s="322" t="str">
        <f>IFERROR(VLOOKUP(A2990,PAR!$D$3:$E$53,2,FALSE),"nincs szervezet")</f>
        <v>nincs szervezet</v>
      </c>
      <c r="N2990" s="322" t="str">
        <f>VLOOKUP(F2990,PAR!$R$3:$S$5,2,FALSE)</f>
        <v>3 - egyik sem</v>
      </c>
      <c r="O2990" t="str">
        <f>IFERROR(VLOOKUP(J2990,PAR!$O$3:$P$5,2,FALSE),"nincs feladat")</f>
        <v>nincs feladat</v>
      </c>
      <c r="P2990" t="str">
        <f>IFERROR(VLOOKUP(G2990,PAR!$J$2:$M$19,4),"nincs rovat")</f>
        <v>nincs rovat</v>
      </c>
      <c r="Q2990" t="str">
        <f>IF(H2990&gt;0,VLOOKUP(H2990,PAR!$AA$3:$AC$187,3,FALSE),"nincs főkönyvi számla")</f>
        <v>nincs főkönyvi számla</v>
      </c>
      <c r="R2990" t="str">
        <f>IFERROR(VLOOKUP(K2990,PAR!$V$3:$X$438,3,FALSE),"000000 - Nincs COFOG")</f>
        <v>000000 - Nincs COFOG</v>
      </c>
      <c r="S2990">
        <f t="shared" si="886"/>
        <v>0</v>
      </c>
      <c r="T2990">
        <f t="shared" si="887"/>
        <v>0</v>
      </c>
      <c r="U2990" t="str">
        <f>IF('906MP'!J2690&gt;0,CONCATENATE('906MP'!J2690," - ",'906MP'!P2690,", ",'906MP'!E2690),"nincs megjegyzés")</f>
        <v>nincs megjegyzés</v>
      </c>
      <c r="V2990" t="str">
        <f t="shared" si="874"/>
        <v>0P0</v>
      </c>
      <c r="W2990" t="str">
        <f t="shared" si="875"/>
        <v>0P0</v>
      </c>
      <c r="X2990" t="str">
        <f t="shared" si="876"/>
        <v>P0</v>
      </c>
      <c r="Y2990" t="str">
        <f t="shared" si="877"/>
        <v>00</v>
      </c>
      <c r="Z2990" t="str">
        <f t="shared" si="888"/>
        <v>00</v>
      </c>
      <c r="AA2990" t="str">
        <f t="shared" si="878"/>
        <v>00</v>
      </c>
      <c r="AB2990" t="str">
        <f t="shared" si="879"/>
        <v>00</v>
      </c>
      <c r="AC2990" t="str">
        <f t="shared" si="880"/>
        <v>0P0</v>
      </c>
      <c r="AD2990" t="str">
        <f t="shared" si="881"/>
        <v>P00</v>
      </c>
      <c r="AE2990" t="str">
        <f t="shared" si="882"/>
        <v>0P0</v>
      </c>
      <c r="AF2990" t="str">
        <f t="shared" si="883"/>
        <v>P00</v>
      </c>
      <c r="AG2990" t="str">
        <f t="shared" si="889"/>
        <v>0P00</v>
      </c>
      <c r="AH2990" t="str">
        <f t="shared" si="890"/>
        <v>P000</v>
      </c>
      <c r="AI2990" t="str">
        <f t="shared" si="891"/>
        <v>0P00</v>
      </c>
      <c r="AJ2990" t="str">
        <f t="shared" si="892"/>
        <v>P000</v>
      </c>
    </row>
    <row r="2991" spans="1:36" x14ac:dyDescent="0.25">
      <c r="A2991" s="325" t="str">
        <f>CONCATENATE("P",'906MP'!M2691)</f>
        <v>P</v>
      </c>
      <c r="B2991">
        <f>'906MP'!H2691</f>
        <v>0</v>
      </c>
      <c r="C2991">
        <f>'906MP'!J2691</f>
        <v>0</v>
      </c>
      <c r="D2991">
        <f>'906MP'!P2691</f>
        <v>0</v>
      </c>
      <c r="E2991">
        <f>'906MP'!X2691</f>
        <v>0</v>
      </c>
      <c r="F2991" t="str">
        <f t="shared" si="884"/>
        <v>0</v>
      </c>
      <c r="G2991" t="str">
        <f t="shared" si="885"/>
        <v>0</v>
      </c>
      <c r="H2991">
        <f>'906MP'!Y2691</f>
        <v>0</v>
      </c>
      <c r="I2991">
        <f>'906MP'!AK2691</f>
        <v>0</v>
      </c>
      <c r="J2991">
        <f>'906MP'!T2691</f>
        <v>0</v>
      </c>
      <c r="K2991">
        <f>'906MP'!AJ2691</f>
        <v>0</v>
      </c>
      <c r="L2991">
        <f>'906MP'!U2691</f>
        <v>0</v>
      </c>
      <c r="M2991" s="322" t="str">
        <f>IFERROR(VLOOKUP(A2991,PAR!$D$3:$E$53,2,FALSE),"nincs szervezet")</f>
        <v>nincs szervezet</v>
      </c>
      <c r="N2991" s="322" t="str">
        <f>VLOOKUP(F2991,PAR!$R$3:$S$5,2,FALSE)</f>
        <v>3 - egyik sem</v>
      </c>
      <c r="O2991" t="str">
        <f>IFERROR(VLOOKUP(J2991,PAR!$O$3:$P$5,2,FALSE),"nincs feladat")</f>
        <v>nincs feladat</v>
      </c>
      <c r="P2991" t="str">
        <f>IFERROR(VLOOKUP(G2991,PAR!$J$2:$M$19,4),"nincs rovat")</f>
        <v>nincs rovat</v>
      </c>
      <c r="Q2991" t="str">
        <f>IF(H2991&gt;0,VLOOKUP(H2991,PAR!$AA$3:$AC$187,3,FALSE),"nincs főkönyvi számla")</f>
        <v>nincs főkönyvi számla</v>
      </c>
      <c r="R2991" t="str">
        <f>IFERROR(VLOOKUP(K2991,PAR!$V$3:$X$438,3,FALSE),"000000 - Nincs COFOG")</f>
        <v>000000 - Nincs COFOG</v>
      </c>
      <c r="S2991">
        <f t="shared" si="886"/>
        <v>0</v>
      </c>
      <c r="T2991">
        <f t="shared" si="887"/>
        <v>0</v>
      </c>
      <c r="U2991" t="str">
        <f>IF('906MP'!J2691&gt;0,CONCATENATE('906MP'!J2691," - ",'906MP'!P2691,", ",'906MP'!E2691),"nincs megjegyzés")</f>
        <v>nincs megjegyzés</v>
      </c>
      <c r="V2991" t="str">
        <f t="shared" si="874"/>
        <v>0P0</v>
      </c>
      <c r="W2991" t="str">
        <f t="shared" si="875"/>
        <v>0P0</v>
      </c>
      <c r="X2991" t="str">
        <f t="shared" si="876"/>
        <v>P0</v>
      </c>
      <c r="Y2991" t="str">
        <f t="shared" si="877"/>
        <v>00</v>
      </c>
      <c r="Z2991" t="str">
        <f t="shared" si="888"/>
        <v>00</v>
      </c>
      <c r="AA2991" t="str">
        <f t="shared" si="878"/>
        <v>00</v>
      </c>
      <c r="AB2991" t="str">
        <f t="shared" si="879"/>
        <v>00</v>
      </c>
      <c r="AC2991" t="str">
        <f t="shared" si="880"/>
        <v>0P0</v>
      </c>
      <c r="AD2991" t="str">
        <f t="shared" si="881"/>
        <v>P00</v>
      </c>
      <c r="AE2991" t="str">
        <f t="shared" si="882"/>
        <v>0P0</v>
      </c>
      <c r="AF2991" t="str">
        <f t="shared" si="883"/>
        <v>P00</v>
      </c>
      <c r="AG2991" t="str">
        <f t="shared" si="889"/>
        <v>0P00</v>
      </c>
      <c r="AH2991" t="str">
        <f t="shared" si="890"/>
        <v>P000</v>
      </c>
      <c r="AI2991" t="str">
        <f t="shared" si="891"/>
        <v>0P00</v>
      </c>
      <c r="AJ2991" t="str">
        <f t="shared" si="892"/>
        <v>P000</v>
      </c>
    </row>
    <row r="2992" spans="1:36" x14ac:dyDescent="0.25">
      <c r="A2992" s="325" t="str">
        <f>CONCATENATE("P",'906MP'!M2692)</f>
        <v>P</v>
      </c>
      <c r="B2992">
        <f>'906MP'!H2692</f>
        <v>0</v>
      </c>
      <c r="C2992">
        <f>'906MP'!J2692</f>
        <v>0</v>
      </c>
      <c r="D2992">
        <f>'906MP'!P2692</f>
        <v>0</v>
      </c>
      <c r="E2992">
        <f>'906MP'!X2692</f>
        <v>0</v>
      </c>
      <c r="F2992" t="str">
        <f t="shared" si="884"/>
        <v>0</v>
      </c>
      <c r="G2992" t="str">
        <f t="shared" si="885"/>
        <v>0</v>
      </c>
      <c r="H2992">
        <f>'906MP'!Y2692</f>
        <v>0</v>
      </c>
      <c r="I2992">
        <f>'906MP'!AK2692</f>
        <v>0</v>
      </c>
      <c r="J2992">
        <f>'906MP'!T2692</f>
        <v>0</v>
      </c>
      <c r="K2992">
        <f>'906MP'!AJ2692</f>
        <v>0</v>
      </c>
      <c r="L2992">
        <f>'906MP'!U2692</f>
        <v>0</v>
      </c>
      <c r="M2992" s="322" t="str">
        <f>IFERROR(VLOOKUP(A2992,PAR!$D$3:$E$53,2,FALSE),"nincs szervezet")</f>
        <v>nincs szervezet</v>
      </c>
      <c r="N2992" s="322" t="str">
        <f>VLOOKUP(F2992,PAR!$R$3:$S$5,2,FALSE)</f>
        <v>3 - egyik sem</v>
      </c>
      <c r="O2992" t="str">
        <f>IFERROR(VLOOKUP(J2992,PAR!$O$3:$P$5,2,FALSE),"nincs feladat")</f>
        <v>nincs feladat</v>
      </c>
      <c r="P2992" t="str">
        <f>IFERROR(VLOOKUP(G2992,PAR!$J$2:$M$19,4),"nincs rovat")</f>
        <v>nincs rovat</v>
      </c>
      <c r="Q2992" t="str">
        <f>IF(H2992&gt;0,VLOOKUP(H2992,PAR!$AA$3:$AC$187,3,FALSE),"nincs főkönyvi számla")</f>
        <v>nincs főkönyvi számla</v>
      </c>
      <c r="R2992" t="str">
        <f>IFERROR(VLOOKUP(K2992,PAR!$V$3:$X$438,3,FALSE),"000000 - Nincs COFOG")</f>
        <v>000000 - Nincs COFOG</v>
      </c>
      <c r="S2992">
        <f t="shared" si="886"/>
        <v>0</v>
      </c>
      <c r="T2992">
        <f t="shared" si="887"/>
        <v>0</v>
      </c>
      <c r="U2992" t="str">
        <f>IF('906MP'!J2692&gt;0,CONCATENATE('906MP'!J2692," - ",'906MP'!P2692,", ",'906MP'!E2692),"nincs megjegyzés")</f>
        <v>nincs megjegyzés</v>
      </c>
      <c r="V2992" t="str">
        <f t="shared" si="874"/>
        <v>0P0</v>
      </c>
      <c r="W2992" t="str">
        <f t="shared" si="875"/>
        <v>0P0</v>
      </c>
      <c r="X2992" t="str">
        <f t="shared" si="876"/>
        <v>P0</v>
      </c>
      <c r="Y2992" t="str">
        <f t="shared" si="877"/>
        <v>00</v>
      </c>
      <c r="Z2992" t="str">
        <f t="shared" si="888"/>
        <v>00</v>
      </c>
      <c r="AA2992" t="str">
        <f t="shared" si="878"/>
        <v>00</v>
      </c>
      <c r="AB2992" t="str">
        <f t="shared" si="879"/>
        <v>00</v>
      </c>
      <c r="AC2992" t="str">
        <f t="shared" si="880"/>
        <v>0P0</v>
      </c>
      <c r="AD2992" t="str">
        <f t="shared" si="881"/>
        <v>P00</v>
      </c>
      <c r="AE2992" t="str">
        <f t="shared" si="882"/>
        <v>0P0</v>
      </c>
      <c r="AF2992" t="str">
        <f t="shared" si="883"/>
        <v>P00</v>
      </c>
      <c r="AG2992" t="str">
        <f t="shared" si="889"/>
        <v>0P00</v>
      </c>
      <c r="AH2992" t="str">
        <f t="shared" si="890"/>
        <v>P000</v>
      </c>
      <c r="AI2992" t="str">
        <f t="shared" si="891"/>
        <v>0P00</v>
      </c>
      <c r="AJ2992" t="str">
        <f t="shared" si="892"/>
        <v>P000</v>
      </c>
    </row>
    <row r="2993" spans="1:36" x14ac:dyDescent="0.25">
      <c r="A2993" s="325" t="str">
        <f>CONCATENATE("P",'906MP'!M2693)</f>
        <v>P</v>
      </c>
      <c r="B2993">
        <f>'906MP'!H2693</f>
        <v>0</v>
      </c>
      <c r="C2993">
        <f>'906MP'!J2693</f>
        <v>0</v>
      </c>
      <c r="D2993">
        <f>'906MP'!P2693</f>
        <v>0</v>
      </c>
      <c r="E2993">
        <f>'906MP'!X2693</f>
        <v>0</v>
      </c>
      <c r="F2993" t="str">
        <f t="shared" si="884"/>
        <v>0</v>
      </c>
      <c r="G2993" t="str">
        <f t="shared" si="885"/>
        <v>0</v>
      </c>
      <c r="H2993">
        <f>'906MP'!Y2693</f>
        <v>0</v>
      </c>
      <c r="I2993">
        <f>'906MP'!AK2693</f>
        <v>0</v>
      </c>
      <c r="J2993">
        <f>'906MP'!T2693</f>
        <v>0</v>
      </c>
      <c r="K2993">
        <f>'906MP'!AJ2693</f>
        <v>0</v>
      </c>
      <c r="L2993">
        <f>'906MP'!U2693</f>
        <v>0</v>
      </c>
      <c r="M2993" s="322" t="str">
        <f>IFERROR(VLOOKUP(A2993,PAR!$D$3:$E$53,2,FALSE),"nincs szervezet")</f>
        <v>nincs szervezet</v>
      </c>
      <c r="N2993" s="322" t="str">
        <f>VLOOKUP(F2993,PAR!$R$3:$S$5,2,FALSE)</f>
        <v>3 - egyik sem</v>
      </c>
      <c r="O2993" t="str">
        <f>IFERROR(VLOOKUP(J2993,PAR!$O$3:$P$5,2,FALSE),"nincs feladat")</f>
        <v>nincs feladat</v>
      </c>
      <c r="P2993" t="str">
        <f>IFERROR(VLOOKUP(G2993,PAR!$J$2:$M$19,4),"nincs rovat")</f>
        <v>nincs rovat</v>
      </c>
      <c r="Q2993" t="str">
        <f>IF(H2993&gt;0,VLOOKUP(H2993,PAR!$AA$3:$AC$187,3,FALSE),"nincs főkönyvi számla")</f>
        <v>nincs főkönyvi számla</v>
      </c>
      <c r="R2993" t="str">
        <f>IFERROR(VLOOKUP(K2993,PAR!$V$3:$X$438,3,FALSE),"000000 - Nincs COFOG")</f>
        <v>000000 - Nincs COFOG</v>
      </c>
      <c r="S2993">
        <f t="shared" si="886"/>
        <v>0</v>
      </c>
      <c r="T2993">
        <f t="shared" si="887"/>
        <v>0</v>
      </c>
      <c r="U2993" t="str">
        <f>IF('906MP'!J2693&gt;0,CONCATENATE('906MP'!J2693," - ",'906MP'!P2693,", ",'906MP'!E2693),"nincs megjegyzés")</f>
        <v>nincs megjegyzés</v>
      </c>
      <c r="V2993" t="str">
        <f t="shared" si="874"/>
        <v>0P0</v>
      </c>
      <c r="W2993" t="str">
        <f t="shared" si="875"/>
        <v>0P0</v>
      </c>
      <c r="X2993" t="str">
        <f t="shared" si="876"/>
        <v>P0</v>
      </c>
      <c r="Y2993" t="str">
        <f t="shared" si="877"/>
        <v>00</v>
      </c>
      <c r="Z2993" t="str">
        <f t="shared" si="888"/>
        <v>00</v>
      </c>
      <c r="AA2993" t="str">
        <f t="shared" si="878"/>
        <v>00</v>
      </c>
      <c r="AB2993" t="str">
        <f t="shared" si="879"/>
        <v>00</v>
      </c>
      <c r="AC2993" t="str">
        <f t="shared" si="880"/>
        <v>0P0</v>
      </c>
      <c r="AD2993" t="str">
        <f t="shared" si="881"/>
        <v>P00</v>
      </c>
      <c r="AE2993" t="str">
        <f t="shared" si="882"/>
        <v>0P0</v>
      </c>
      <c r="AF2993" t="str">
        <f t="shared" si="883"/>
        <v>P00</v>
      </c>
      <c r="AG2993" t="str">
        <f t="shared" si="889"/>
        <v>0P00</v>
      </c>
      <c r="AH2993" t="str">
        <f t="shared" si="890"/>
        <v>P000</v>
      </c>
      <c r="AI2993" t="str">
        <f t="shared" si="891"/>
        <v>0P00</v>
      </c>
      <c r="AJ2993" t="str">
        <f t="shared" si="892"/>
        <v>P000</v>
      </c>
    </row>
    <row r="2994" spans="1:36" x14ac:dyDescent="0.25">
      <c r="A2994" s="325" t="str">
        <f>CONCATENATE("P",'906MP'!M2694)</f>
        <v>P</v>
      </c>
      <c r="B2994">
        <f>'906MP'!H2694</f>
        <v>0</v>
      </c>
      <c r="C2994">
        <f>'906MP'!J2694</f>
        <v>0</v>
      </c>
      <c r="D2994">
        <f>'906MP'!P2694</f>
        <v>0</v>
      </c>
      <c r="E2994">
        <f>'906MP'!X2694</f>
        <v>0</v>
      </c>
      <c r="F2994" t="str">
        <f t="shared" si="884"/>
        <v>0</v>
      </c>
      <c r="G2994" t="str">
        <f t="shared" si="885"/>
        <v>0</v>
      </c>
      <c r="H2994">
        <f>'906MP'!Y2694</f>
        <v>0</v>
      </c>
      <c r="I2994">
        <f>'906MP'!AK2694</f>
        <v>0</v>
      </c>
      <c r="J2994">
        <f>'906MP'!T2694</f>
        <v>0</v>
      </c>
      <c r="K2994">
        <f>'906MP'!AJ2694</f>
        <v>0</v>
      </c>
      <c r="L2994">
        <f>'906MP'!U2694</f>
        <v>0</v>
      </c>
      <c r="M2994" s="322" t="str">
        <f>IFERROR(VLOOKUP(A2994,PAR!$D$3:$E$53,2,FALSE),"nincs szervezet")</f>
        <v>nincs szervezet</v>
      </c>
      <c r="N2994" s="322" t="str">
        <f>VLOOKUP(F2994,PAR!$R$3:$S$5,2,FALSE)</f>
        <v>3 - egyik sem</v>
      </c>
      <c r="O2994" t="str">
        <f>IFERROR(VLOOKUP(J2994,PAR!$O$3:$P$5,2,FALSE),"nincs feladat")</f>
        <v>nincs feladat</v>
      </c>
      <c r="P2994" t="str">
        <f>IFERROR(VLOOKUP(G2994,PAR!$J$2:$M$19,4),"nincs rovat")</f>
        <v>nincs rovat</v>
      </c>
      <c r="Q2994" t="str">
        <f>IF(H2994&gt;0,VLOOKUP(H2994,PAR!$AA$3:$AC$187,3,FALSE),"nincs főkönyvi számla")</f>
        <v>nincs főkönyvi számla</v>
      </c>
      <c r="R2994" t="str">
        <f>IFERROR(VLOOKUP(K2994,PAR!$V$3:$X$438,3,FALSE),"000000 - Nincs COFOG")</f>
        <v>000000 - Nincs COFOG</v>
      </c>
      <c r="S2994">
        <f t="shared" si="886"/>
        <v>0</v>
      </c>
      <c r="T2994">
        <f t="shared" si="887"/>
        <v>0</v>
      </c>
      <c r="U2994" t="str">
        <f>IF('906MP'!J2694&gt;0,CONCATENATE('906MP'!J2694," - ",'906MP'!P2694,", ",'906MP'!E2694),"nincs megjegyzés")</f>
        <v>nincs megjegyzés</v>
      </c>
      <c r="V2994" t="str">
        <f t="shared" si="874"/>
        <v>0P0</v>
      </c>
      <c r="W2994" t="str">
        <f t="shared" si="875"/>
        <v>0P0</v>
      </c>
      <c r="X2994" t="str">
        <f t="shared" si="876"/>
        <v>P0</v>
      </c>
      <c r="Y2994" t="str">
        <f t="shared" si="877"/>
        <v>00</v>
      </c>
      <c r="Z2994" t="str">
        <f t="shared" si="888"/>
        <v>00</v>
      </c>
      <c r="AA2994" t="str">
        <f t="shared" si="878"/>
        <v>00</v>
      </c>
      <c r="AB2994" t="str">
        <f t="shared" si="879"/>
        <v>00</v>
      </c>
      <c r="AC2994" t="str">
        <f t="shared" si="880"/>
        <v>0P0</v>
      </c>
      <c r="AD2994" t="str">
        <f t="shared" si="881"/>
        <v>P00</v>
      </c>
      <c r="AE2994" t="str">
        <f t="shared" si="882"/>
        <v>0P0</v>
      </c>
      <c r="AF2994" t="str">
        <f t="shared" si="883"/>
        <v>P00</v>
      </c>
      <c r="AG2994" t="str">
        <f t="shared" si="889"/>
        <v>0P00</v>
      </c>
      <c r="AH2994" t="str">
        <f t="shared" si="890"/>
        <v>P000</v>
      </c>
      <c r="AI2994" t="str">
        <f t="shared" si="891"/>
        <v>0P00</v>
      </c>
      <c r="AJ2994" t="str">
        <f t="shared" si="892"/>
        <v>P000</v>
      </c>
    </row>
    <row r="2995" spans="1:36" x14ac:dyDescent="0.25">
      <c r="A2995" s="325" t="str">
        <f>CONCATENATE("P",'906MP'!M2695)</f>
        <v>P</v>
      </c>
      <c r="B2995">
        <f>'906MP'!H2695</f>
        <v>0</v>
      </c>
      <c r="C2995">
        <f>'906MP'!J2695</f>
        <v>0</v>
      </c>
      <c r="D2995">
        <f>'906MP'!P2695</f>
        <v>0</v>
      </c>
      <c r="E2995">
        <f>'906MP'!X2695</f>
        <v>0</v>
      </c>
      <c r="F2995" t="str">
        <f t="shared" si="884"/>
        <v>0</v>
      </c>
      <c r="G2995" t="str">
        <f t="shared" si="885"/>
        <v>0</v>
      </c>
      <c r="H2995">
        <f>'906MP'!Y2695</f>
        <v>0</v>
      </c>
      <c r="I2995">
        <f>'906MP'!AK2695</f>
        <v>0</v>
      </c>
      <c r="J2995">
        <f>'906MP'!T2695</f>
        <v>0</v>
      </c>
      <c r="K2995">
        <f>'906MP'!AJ2695</f>
        <v>0</v>
      </c>
      <c r="L2995">
        <f>'906MP'!U2695</f>
        <v>0</v>
      </c>
      <c r="M2995" s="322" t="str">
        <f>IFERROR(VLOOKUP(A2995,PAR!$D$3:$E$53,2,FALSE),"nincs szervezet")</f>
        <v>nincs szervezet</v>
      </c>
      <c r="N2995" s="322" t="str">
        <f>VLOOKUP(F2995,PAR!$R$3:$S$5,2,FALSE)</f>
        <v>3 - egyik sem</v>
      </c>
      <c r="O2995" t="str">
        <f>IFERROR(VLOOKUP(J2995,PAR!$O$3:$P$5,2,FALSE),"nincs feladat")</f>
        <v>nincs feladat</v>
      </c>
      <c r="P2995" t="str">
        <f>IFERROR(VLOOKUP(G2995,PAR!$J$2:$M$19,4),"nincs rovat")</f>
        <v>nincs rovat</v>
      </c>
      <c r="Q2995" t="str">
        <f>IF(H2995&gt;0,VLOOKUP(H2995,PAR!$AA$3:$AC$187,3,FALSE),"nincs főkönyvi számla")</f>
        <v>nincs főkönyvi számla</v>
      </c>
      <c r="R2995" t="str">
        <f>IFERROR(VLOOKUP(K2995,PAR!$V$3:$X$438,3,FALSE),"000000 - Nincs COFOG")</f>
        <v>000000 - Nincs COFOG</v>
      </c>
      <c r="S2995">
        <f t="shared" si="886"/>
        <v>0</v>
      </c>
      <c r="T2995">
        <f t="shared" si="887"/>
        <v>0</v>
      </c>
      <c r="U2995" t="str">
        <f>IF('906MP'!J2695&gt;0,CONCATENATE('906MP'!J2695," - ",'906MP'!P2695,", ",'906MP'!E2695),"nincs megjegyzés")</f>
        <v>nincs megjegyzés</v>
      </c>
      <c r="V2995" t="str">
        <f t="shared" si="874"/>
        <v>0P0</v>
      </c>
      <c r="W2995" t="str">
        <f t="shared" si="875"/>
        <v>0P0</v>
      </c>
      <c r="X2995" t="str">
        <f t="shared" si="876"/>
        <v>P0</v>
      </c>
      <c r="Y2995" t="str">
        <f t="shared" si="877"/>
        <v>00</v>
      </c>
      <c r="Z2995" t="str">
        <f t="shared" si="888"/>
        <v>00</v>
      </c>
      <c r="AA2995" t="str">
        <f t="shared" si="878"/>
        <v>00</v>
      </c>
      <c r="AB2995" t="str">
        <f t="shared" si="879"/>
        <v>00</v>
      </c>
      <c r="AC2995" t="str">
        <f t="shared" si="880"/>
        <v>0P0</v>
      </c>
      <c r="AD2995" t="str">
        <f t="shared" si="881"/>
        <v>P00</v>
      </c>
      <c r="AE2995" t="str">
        <f t="shared" si="882"/>
        <v>0P0</v>
      </c>
      <c r="AF2995" t="str">
        <f t="shared" si="883"/>
        <v>P00</v>
      </c>
      <c r="AG2995" t="str">
        <f t="shared" si="889"/>
        <v>0P00</v>
      </c>
      <c r="AH2995" t="str">
        <f t="shared" si="890"/>
        <v>P000</v>
      </c>
      <c r="AI2995" t="str">
        <f t="shared" si="891"/>
        <v>0P00</v>
      </c>
      <c r="AJ2995" t="str">
        <f t="shared" si="892"/>
        <v>P000</v>
      </c>
    </row>
    <row r="2996" spans="1:36" x14ac:dyDescent="0.25">
      <c r="A2996" s="325" t="str">
        <f>CONCATENATE("P",'906MP'!M2696)</f>
        <v>P</v>
      </c>
      <c r="B2996">
        <f>'906MP'!H2696</f>
        <v>0</v>
      </c>
      <c r="C2996">
        <f>'906MP'!J2696</f>
        <v>0</v>
      </c>
      <c r="D2996">
        <f>'906MP'!P2696</f>
        <v>0</v>
      </c>
      <c r="E2996">
        <f>'906MP'!X2696</f>
        <v>0</v>
      </c>
      <c r="F2996" t="str">
        <f t="shared" si="884"/>
        <v>0</v>
      </c>
      <c r="G2996" t="str">
        <f t="shared" si="885"/>
        <v>0</v>
      </c>
      <c r="H2996">
        <f>'906MP'!Y2696</f>
        <v>0</v>
      </c>
      <c r="I2996">
        <f>'906MP'!AK2696</f>
        <v>0</v>
      </c>
      <c r="J2996">
        <f>'906MP'!T2696</f>
        <v>0</v>
      </c>
      <c r="K2996">
        <f>'906MP'!AJ2696</f>
        <v>0</v>
      </c>
      <c r="L2996">
        <f>'906MP'!U2696</f>
        <v>0</v>
      </c>
      <c r="M2996" s="322" t="str">
        <f>IFERROR(VLOOKUP(A2996,PAR!$D$3:$E$53,2,FALSE),"nincs szervezet")</f>
        <v>nincs szervezet</v>
      </c>
      <c r="N2996" s="322" t="str">
        <f>VLOOKUP(F2996,PAR!$R$3:$S$5,2,FALSE)</f>
        <v>3 - egyik sem</v>
      </c>
      <c r="O2996" t="str">
        <f>IFERROR(VLOOKUP(J2996,PAR!$O$3:$P$5,2,FALSE),"nincs feladat")</f>
        <v>nincs feladat</v>
      </c>
      <c r="P2996" t="str">
        <f>IFERROR(VLOOKUP(G2996,PAR!$J$2:$M$19,4),"nincs rovat")</f>
        <v>nincs rovat</v>
      </c>
      <c r="Q2996" t="str">
        <f>IF(H2996&gt;0,VLOOKUP(H2996,PAR!$AA$3:$AC$187,3,FALSE),"nincs főkönyvi számla")</f>
        <v>nincs főkönyvi számla</v>
      </c>
      <c r="R2996" t="str">
        <f>IFERROR(VLOOKUP(K2996,PAR!$V$3:$X$438,3,FALSE),"000000 - Nincs COFOG")</f>
        <v>000000 - Nincs COFOG</v>
      </c>
      <c r="S2996">
        <f t="shared" si="886"/>
        <v>0</v>
      </c>
      <c r="T2996">
        <f t="shared" si="887"/>
        <v>0</v>
      </c>
      <c r="U2996" t="str">
        <f>IF('906MP'!J2696&gt;0,CONCATENATE('906MP'!J2696," - ",'906MP'!P2696,", ",'906MP'!E2696),"nincs megjegyzés")</f>
        <v>nincs megjegyzés</v>
      </c>
      <c r="V2996" t="str">
        <f t="shared" si="874"/>
        <v>0P0</v>
      </c>
      <c r="W2996" t="str">
        <f t="shared" si="875"/>
        <v>0P0</v>
      </c>
      <c r="X2996" t="str">
        <f t="shared" si="876"/>
        <v>P0</v>
      </c>
      <c r="Y2996" t="str">
        <f t="shared" si="877"/>
        <v>00</v>
      </c>
      <c r="Z2996" t="str">
        <f t="shared" si="888"/>
        <v>00</v>
      </c>
      <c r="AA2996" t="str">
        <f t="shared" si="878"/>
        <v>00</v>
      </c>
      <c r="AB2996" t="str">
        <f t="shared" si="879"/>
        <v>00</v>
      </c>
      <c r="AC2996" t="str">
        <f t="shared" si="880"/>
        <v>0P0</v>
      </c>
      <c r="AD2996" t="str">
        <f t="shared" si="881"/>
        <v>P00</v>
      </c>
      <c r="AE2996" t="str">
        <f t="shared" si="882"/>
        <v>0P0</v>
      </c>
      <c r="AF2996" t="str">
        <f t="shared" si="883"/>
        <v>P00</v>
      </c>
      <c r="AG2996" t="str">
        <f t="shared" si="889"/>
        <v>0P00</v>
      </c>
      <c r="AH2996" t="str">
        <f t="shared" si="890"/>
        <v>P000</v>
      </c>
      <c r="AI2996" t="str">
        <f t="shared" si="891"/>
        <v>0P00</v>
      </c>
      <c r="AJ2996" t="str">
        <f t="shared" si="892"/>
        <v>P000</v>
      </c>
    </row>
    <row r="2997" spans="1:36" x14ac:dyDescent="0.25">
      <c r="A2997" s="325" t="str">
        <f>CONCATENATE("P",'906MP'!M2697)</f>
        <v>P</v>
      </c>
      <c r="B2997">
        <f>'906MP'!H2697</f>
        <v>0</v>
      </c>
      <c r="C2997">
        <f>'906MP'!J2697</f>
        <v>0</v>
      </c>
      <c r="D2997">
        <f>'906MP'!P2697</f>
        <v>0</v>
      </c>
      <c r="E2997">
        <f>'906MP'!X2697</f>
        <v>0</v>
      </c>
      <c r="F2997" t="str">
        <f t="shared" si="884"/>
        <v>0</v>
      </c>
      <c r="G2997" t="str">
        <f t="shared" si="885"/>
        <v>0</v>
      </c>
      <c r="H2997">
        <f>'906MP'!Y2697</f>
        <v>0</v>
      </c>
      <c r="I2997">
        <f>'906MP'!AK2697</f>
        <v>0</v>
      </c>
      <c r="J2997">
        <f>'906MP'!T2697</f>
        <v>0</v>
      </c>
      <c r="K2997">
        <f>'906MP'!AJ2697</f>
        <v>0</v>
      </c>
      <c r="L2997">
        <f>'906MP'!U2697</f>
        <v>0</v>
      </c>
      <c r="M2997" s="322" t="str">
        <f>IFERROR(VLOOKUP(A2997,PAR!$D$3:$E$53,2,FALSE),"nincs szervezet")</f>
        <v>nincs szervezet</v>
      </c>
      <c r="N2997" s="322" t="str">
        <f>VLOOKUP(F2997,PAR!$R$3:$S$5,2,FALSE)</f>
        <v>3 - egyik sem</v>
      </c>
      <c r="O2997" t="str">
        <f>IFERROR(VLOOKUP(J2997,PAR!$O$3:$P$5,2,FALSE),"nincs feladat")</f>
        <v>nincs feladat</v>
      </c>
      <c r="P2997" t="str">
        <f>IFERROR(VLOOKUP(G2997,PAR!$J$2:$M$19,4),"nincs rovat")</f>
        <v>nincs rovat</v>
      </c>
      <c r="Q2997" t="str">
        <f>IF(H2997&gt;0,VLOOKUP(H2997,PAR!$AA$3:$AC$187,3,FALSE),"nincs főkönyvi számla")</f>
        <v>nincs főkönyvi számla</v>
      </c>
      <c r="R2997" t="str">
        <f>IFERROR(VLOOKUP(K2997,PAR!$V$3:$X$438,3,FALSE),"000000 - Nincs COFOG")</f>
        <v>000000 - Nincs COFOG</v>
      </c>
      <c r="S2997">
        <f t="shared" si="886"/>
        <v>0</v>
      </c>
      <c r="T2997">
        <f t="shared" si="887"/>
        <v>0</v>
      </c>
      <c r="U2997" t="str">
        <f>IF('906MP'!J2697&gt;0,CONCATENATE('906MP'!J2697," - ",'906MP'!P2697,", ",'906MP'!E2697),"nincs megjegyzés")</f>
        <v>nincs megjegyzés</v>
      </c>
      <c r="V2997" t="str">
        <f t="shared" si="874"/>
        <v>0P0</v>
      </c>
      <c r="W2997" t="str">
        <f t="shared" si="875"/>
        <v>0P0</v>
      </c>
      <c r="X2997" t="str">
        <f t="shared" si="876"/>
        <v>P0</v>
      </c>
      <c r="Y2997" t="str">
        <f t="shared" si="877"/>
        <v>00</v>
      </c>
      <c r="Z2997" t="str">
        <f t="shared" si="888"/>
        <v>00</v>
      </c>
      <c r="AA2997" t="str">
        <f t="shared" si="878"/>
        <v>00</v>
      </c>
      <c r="AB2997" t="str">
        <f t="shared" si="879"/>
        <v>00</v>
      </c>
      <c r="AC2997" t="str">
        <f t="shared" si="880"/>
        <v>0P0</v>
      </c>
      <c r="AD2997" t="str">
        <f t="shared" si="881"/>
        <v>P00</v>
      </c>
      <c r="AE2997" t="str">
        <f t="shared" si="882"/>
        <v>0P0</v>
      </c>
      <c r="AF2997" t="str">
        <f t="shared" si="883"/>
        <v>P00</v>
      </c>
      <c r="AG2997" t="str">
        <f t="shared" si="889"/>
        <v>0P00</v>
      </c>
      <c r="AH2997" t="str">
        <f t="shared" si="890"/>
        <v>P000</v>
      </c>
      <c r="AI2997" t="str">
        <f t="shared" si="891"/>
        <v>0P00</v>
      </c>
      <c r="AJ2997" t="str">
        <f t="shared" si="892"/>
        <v>P000</v>
      </c>
    </row>
    <row r="2998" spans="1:36" x14ac:dyDescent="0.25">
      <c r="A2998" s="325" t="str">
        <f>CONCATENATE("P",'906MP'!M2698)</f>
        <v>P</v>
      </c>
      <c r="B2998">
        <f>'906MP'!H2698</f>
        <v>0</v>
      </c>
      <c r="C2998">
        <f>'906MP'!J2698</f>
        <v>0</v>
      </c>
      <c r="D2998">
        <f>'906MP'!P2698</f>
        <v>0</v>
      </c>
      <c r="E2998">
        <f>'906MP'!X2698</f>
        <v>0</v>
      </c>
      <c r="F2998" t="str">
        <f t="shared" si="884"/>
        <v>0</v>
      </c>
      <c r="G2998" t="str">
        <f t="shared" si="885"/>
        <v>0</v>
      </c>
      <c r="H2998">
        <f>'906MP'!Y2698</f>
        <v>0</v>
      </c>
      <c r="I2998">
        <f>'906MP'!AK2698</f>
        <v>0</v>
      </c>
      <c r="J2998">
        <f>'906MP'!T2698</f>
        <v>0</v>
      </c>
      <c r="K2998">
        <f>'906MP'!AJ2698</f>
        <v>0</v>
      </c>
      <c r="L2998">
        <f>'906MP'!U2698</f>
        <v>0</v>
      </c>
      <c r="M2998" s="322" t="str">
        <f>IFERROR(VLOOKUP(A2998,PAR!$D$3:$E$53,2,FALSE),"nincs szervezet")</f>
        <v>nincs szervezet</v>
      </c>
      <c r="N2998" s="322" t="str">
        <f>VLOOKUP(F2998,PAR!$R$3:$S$5,2,FALSE)</f>
        <v>3 - egyik sem</v>
      </c>
      <c r="O2998" t="str">
        <f>IFERROR(VLOOKUP(J2998,PAR!$O$3:$P$5,2,FALSE),"nincs feladat")</f>
        <v>nincs feladat</v>
      </c>
      <c r="P2998" t="str">
        <f>IFERROR(VLOOKUP(G2998,PAR!$J$2:$M$19,4),"nincs rovat")</f>
        <v>nincs rovat</v>
      </c>
      <c r="Q2998" t="str">
        <f>IF(H2998&gt;0,VLOOKUP(H2998,PAR!$AA$3:$AC$187,3,FALSE),"nincs főkönyvi számla")</f>
        <v>nincs főkönyvi számla</v>
      </c>
      <c r="R2998" t="str">
        <f>IFERROR(VLOOKUP(K2998,PAR!$V$3:$X$438,3,FALSE),"000000 - Nincs COFOG")</f>
        <v>000000 - Nincs COFOG</v>
      </c>
      <c r="S2998">
        <f t="shared" si="886"/>
        <v>0</v>
      </c>
      <c r="T2998">
        <f t="shared" si="887"/>
        <v>0</v>
      </c>
      <c r="U2998" t="str">
        <f>IF('906MP'!J2698&gt;0,CONCATENATE('906MP'!J2698," - ",'906MP'!P2698,", ",'906MP'!E2698),"nincs megjegyzés")</f>
        <v>nincs megjegyzés</v>
      </c>
      <c r="V2998" t="str">
        <f t="shared" si="874"/>
        <v>0P0</v>
      </c>
      <c r="W2998" t="str">
        <f t="shared" si="875"/>
        <v>0P0</v>
      </c>
      <c r="X2998" t="str">
        <f t="shared" si="876"/>
        <v>P0</v>
      </c>
      <c r="Y2998" t="str">
        <f t="shared" si="877"/>
        <v>00</v>
      </c>
      <c r="Z2998" t="str">
        <f t="shared" si="888"/>
        <v>00</v>
      </c>
      <c r="AA2998" t="str">
        <f t="shared" si="878"/>
        <v>00</v>
      </c>
      <c r="AB2998" t="str">
        <f t="shared" si="879"/>
        <v>00</v>
      </c>
      <c r="AC2998" t="str">
        <f t="shared" si="880"/>
        <v>0P0</v>
      </c>
      <c r="AD2998" t="str">
        <f t="shared" si="881"/>
        <v>P00</v>
      </c>
      <c r="AE2998" t="str">
        <f t="shared" si="882"/>
        <v>0P0</v>
      </c>
      <c r="AF2998" t="str">
        <f t="shared" si="883"/>
        <v>P00</v>
      </c>
      <c r="AG2998" t="str">
        <f t="shared" si="889"/>
        <v>0P00</v>
      </c>
      <c r="AH2998" t="str">
        <f t="shared" si="890"/>
        <v>P000</v>
      </c>
      <c r="AI2998" t="str">
        <f t="shared" si="891"/>
        <v>0P00</v>
      </c>
      <c r="AJ2998" t="str">
        <f t="shared" si="892"/>
        <v>P000</v>
      </c>
    </row>
    <row r="2999" spans="1:36" x14ac:dyDescent="0.25">
      <c r="A2999" s="325" t="str">
        <f>CONCATENATE("P",'906MP'!M2699)</f>
        <v>P</v>
      </c>
      <c r="B2999">
        <f>'906MP'!H2699</f>
        <v>0</v>
      </c>
      <c r="C2999">
        <f>'906MP'!J2699</f>
        <v>0</v>
      </c>
      <c r="D2999">
        <f>'906MP'!P2699</f>
        <v>0</v>
      </c>
      <c r="E2999">
        <f>'906MP'!X2699</f>
        <v>0</v>
      </c>
      <c r="F2999" t="str">
        <f t="shared" si="884"/>
        <v>0</v>
      </c>
      <c r="G2999" t="str">
        <f t="shared" si="885"/>
        <v>0</v>
      </c>
      <c r="H2999">
        <f>'906MP'!Y2699</f>
        <v>0</v>
      </c>
      <c r="I2999">
        <f>'906MP'!AK2699</f>
        <v>0</v>
      </c>
      <c r="J2999">
        <f>'906MP'!T2699</f>
        <v>0</v>
      </c>
      <c r="K2999">
        <f>'906MP'!AJ2699</f>
        <v>0</v>
      </c>
      <c r="L2999">
        <f>'906MP'!U2699</f>
        <v>0</v>
      </c>
      <c r="M2999" s="322" t="str">
        <f>IFERROR(VLOOKUP(A2999,PAR!$D$3:$E$53,2,FALSE),"nincs szervezet")</f>
        <v>nincs szervezet</v>
      </c>
      <c r="N2999" s="322" t="str">
        <f>VLOOKUP(F2999,PAR!$R$3:$S$5,2,FALSE)</f>
        <v>3 - egyik sem</v>
      </c>
      <c r="O2999" t="str">
        <f>IFERROR(VLOOKUP(J2999,PAR!$O$3:$P$5,2,FALSE),"nincs feladat")</f>
        <v>nincs feladat</v>
      </c>
      <c r="P2999" t="str">
        <f>IFERROR(VLOOKUP(G2999,PAR!$J$2:$M$19,4),"nincs rovat")</f>
        <v>nincs rovat</v>
      </c>
      <c r="Q2999" t="str">
        <f>IF(H2999&gt;0,VLOOKUP(H2999,PAR!$AA$3:$AC$187,3,FALSE),"nincs főkönyvi számla")</f>
        <v>nincs főkönyvi számla</v>
      </c>
      <c r="R2999" t="str">
        <f>IFERROR(VLOOKUP(K2999,PAR!$V$3:$X$438,3,FALSE),"000000 - Nincs COFOG")</f>
        <v>000000 - Nincs COFOG</v>
      </c>
      <c r="S2999">
        <f t="shared" si="886"/>
        <v>0</v>
      </c>
      <c r="T2999">
        <f t="shared" si="887"/>
        <v>0</v>
      </c>
      <c r="U2999" t="str">
        <f>IF('906MP'!J2699&gt;0,CONCATENATE('906MP'!J2699," - ",'906MP'!P2699,", ",'906MP'!E2699),"nincs megjegyzés")</f>
        <v>nincs megjegyzés</v>
      </c>
      <c r="V2999" t="str">
        <f t="shared" si="874"/>
        <v>0P0</v>
      </c>
      <c r="W2999" t="str">
        <f t="shared" si="875"/>
        <v>0P0</v>
      </c>
      <c r="X2999" t="str">
        <f t="shared" si="876"/>
        <v>P0</v>
      </c>
      <c r="Y2999" t="str">
        <f t="shared" si="877"/>
        <v>00</v>
      </c>
      <c r="Z2999" t="str">
        <f t="shared" si="888"/>
        <v>00</v>
      </c>
      <c r="AA2999" t="str">
        <f t="shared" si="878"/>
        <v>00</v>
      </c>
      <c r="AB2999" t="str">
        <f t="shared" si="879"/>
        <v>00</v>
      </c>
      <c r="AC2999" t="str">
        <f t="shared" si="880"/>
        <v>0P0</v>
      </c>
      <c r="AD2999" t="str">
        <f t="shared" si="881"/>
        <v>P00</v>
      </c>
      <c r="AE2999" t="str">
        <f t="shared" si="882"/>
        <v>0P0</v>
      </c>
      <c r="AF2999" t="str">
        <f t="shared" si="883"/>
        <v>P00</v>
      </c>
      <c r="AG2999" t="str">
        <f t="shared" si="889"/>
        <v>0P00</v>
      </c>
      <c r="AH2999" t="str">
        <f t="shared" si="890"/>
        <v>P000</v>
      </c>
      <c r="AI2999" t="str">
        <f t="shared" si="891"/>
        <v>0P00</v>
      </c>
      <c r="AJ2999" t="str">
        <f t="shared" si="892"/>
        <v>P000</v>
      </c>
    </row>
    <row r="3000" spans="1:36" x14ac:dyDescent="0.25">
      <c r="A3000" s="325" t="str">
        <f>CONCATENATE("P",'906MP'!M2700)</f>
        <v>P</v>
      </c>
      <c r="B3000">
        <f>'906MP'!H2700</f>
        <v>0</v>
      </c>
      <c r="C3000">
        <f>'906MP'!J2700</f>
        <v>0</v>
      </c>
      <c r="D3000">
        <f>'906MP'!P2700</f>
        <v>0</v>
      </c>
      <c r="E3000">
        <f>'906MP'!X2700</f>
        <v>0</v>
      </c>
      <c r="F3000" t="str">
        <f t="shared" si="884"/>
        <v>0</v>
      </c>
      <c r="G3000" t="str">
        <f t="shared" si="885"/>
        <v>0</v>
      </c>
      <c r="H3000">
        <f>'906MP'!Y2700</f>
        <v>0</v>
      </c>
      <c r="I3000">
        <f>'906MP'!AK2700</f>
        <v>0</v>
      </c>
      <c r="J3000">
        <f>'906MP'!T2700</f>
        <v>0</v>
      </c>
      <c r="K3000">
        <f>'906MP'!AJ2700</f>
        <v>0</v>
      </c>
      <c r="L3000">
        <f>'906MP'!U2700</f>
        <v>0</v>
      </c>
      <c r="M3000" s="322" t="str">
        <f>IFERROR(VLOOKUP(A3000,PAR!$D$3:$E$53,2,FALSE),"nincs szervezet")</f>
        <v>nincs szervezet</v>
      </c>
      <c r="N3000" s="322" t="str">
        <f>VLOOKUP(F3000,PAR!$R$3:$S$5,2,FALSE)</f>
        <v>3 - egyik sem</v>
      </c>
      <c r="O3000" t="str">
        <f>IFERROR(VLOOKUP(J3000,PAR!$O$3:$P$5,2,FALSE),"nincs feladat")</f>
        <v>nincs feladat</v>
      </c>
      <c r="P3000" t="str">
        <f>IFERROR(VLOOKUP(G3000,PAR!$J$2:$M$19,4),"nincs rovat")</f>
        <v>nincs rovat</v>
      </c>
      <c r="Q3000" t="str">
        <f>IF(H3000&gt;0,VLOOKUP(H3000,PAR!$AA$3:$AC$187,3,FALSE),"nincs főkönyvi számla")</f>
        <v>nincs főkönyvi számla</v>
      </c>
      <c r="R3000" t="str">
        <f>IFERROR(VLOOKUP(K3000,PAR!$V$3:$X$438,3,FALSE),"000000 - Nincs COFOG")</f>
        <v>000000 - Nincs COFOG</v>
      </c>
      <c r="S3000">
        <f t="shared" si="886"/>
        <v>0</v>
      </c>
      <c r="T3000">
        <f t="shared" si="887"/>
        <v>0</v>
      </c>
      <c r="U3000" t="str">
        <f>IF('906MP'!J2700&gt;0,CONCATENATE('906MP'!J2700," - ",'906MP'!P2700,", ",'906MP'!E2700),"nincs megjegyzés")</f>
        <v>nincs megjegyzés</v>
      </c>
      <c r="V3000" t="str">
        <f t="shared" si="874"/>
        <v>0P0</v>
      </c>
      <c r="W3000" t="str">
        <f t="shared" si="875"/>
        <v>0P0</v>
      </c>
      <c r="X3000" t="str">
        <f t="shared" si="876"/>
        <v>P0</v>
      </c>
      <c r="Y3000" t="str">
        <f t="shared" si="877"/>
        <v>00</v>
      </c>
      <c r="Z3000" t="str">
        <f t="shared" si="888"/>
        <v>00</v>
      </c>
      <c r="AA3000" t="str">
        <f t="shared" si="878"/>
        <v>00</v>
      </c>
      <c r="AB3000" t="str">
        <f t="shared" si="879"/>
        <v>00</v>
      </c>
      <c r="AC3000" t="str">
        <f t="shared" si="880"/>
        <v>0P0</v>
      </c>
      <c r="AD3000" t="str">
        <f t="shared" si="881"/>
        <v>P00</v>
      </c>
      <c r="AE3000" t="str">
        <f t="shared" si="882"/>
        <v>0P0</v>
      </c>
      <c r="AF3000" t="str">
        <f t="shared" si="883"/>
        <v>P00</v>
      </c>
      <c r="AG3000" t="str">
        <f t="shared" si="889"/>
        <v>0P00</v>
      </c>
      <c r="AH3000" t="str">
        <f t="shared" si="890"/>
        <v>P000</v>
      </c>
      <c r="AI3000" t="str">
        <f t="shared" si="891"/>
        <v>0P00</v>
      </c>
      <c r="AJ3000" t="str">
        <f t="shared" si="892"/>
        <v>P000</v>
      </c>
    </row>
  </sheetData>
  <autoFilter ref="A1:V3000" xr:uid="{53D57DB0-6FB8-45BB-8335-881E14765A92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T � b l � z a t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D a t a M a s h u p   x m l n s = " h t t p : / / s c h e m a s . m i c r o s o f t . c o m / D a t a M a s h u p " > A A A A A B U D A A B Q S w M E F A A C A A g A p F 2 N W V H h 3 6 i l A A A A 9 g A A A B I A H A B D b 2 5 m a W c v U G F j a 2 F n Z S 5 4 b W w g o h g A K K A U A A A A A A A A A A A A A A A A A A A A A A A A A A A A h Y + 9 D o I w G E V f h X S n P 7 A Q 8 l E H F w d J T I z G t S k V G q E Y 2 l r e z c F H 8 h X E K O r m e M 8 9 w 7 3 3 6 w 0 W Y 9 d G F z V Y 3 Z s C M U x R p I z s K 2 3 q A n l 3 j D O 0 4 L A R 8 i R q F U 2 y s f l o q w I 1 z p 1 z Q k I I O K S 4 H 2 q S U M r I o V x v Z a M 6 g T 6 y / i / H 2 l g n j F S I w / 4 1 h i e Y p R l m G c U U y A y h 1 O Y r J N P e Z / s D Y e l b 5 w f F G x + v d k D m C O T 9 g T 8 A U E s D B B Q A A g A I A K R d j V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k X Y 1 Z K I p H u A 4 A A A A R A A A A E w A c A E Z v c m 1 1 b G F z L 1 N l Y 3 R p b 2 4 x L m 0 g o h g A K K A U A A A A A A A A A A A A A A A A A A A A A A A A A A A A K 0 5 N L s n M z 1 M I h t C G 1 g B Q S w E C L Q A U A A I A C A C k X Y 1 Z U e H f q K U A A A D 2 A A A A E g A A A A A A A A A A A A A A A A A A A A A A Q 2 9 u Z m l n L 1 B h Y 2 t h Z 2 U u e G 1 s U E s B A i 0 A F A A C A A g A p F 2 N W Q / K 6 a u k A A A A 6 Q A A A B M A A A A A A A A A A A A A A A A A 8 Q A A A F t D b 2 5 0 Z W 5 0 X 1 R 5 c G V z X S 5 4 b W x Q S w E C L Q A U A A I A C A C k X Y 1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W R u i a 8 a F h U + 1 i w f u D S C x f w A A A A A C A A A A A A A Q Z g A A A A E A A C A A A A A N L w o R Z l x 0 p A U M A a N A Q 8 Q L I T L c 6 i L B F / d s 4 B Z f I T k 1 / w A A A A A O g A A A A A I A A C A A A A A C + 8 / p y V O k n y k V 8 9 7 2 i P Y K u D P 0 A a O / Z i X S r f 9 s G 8 F 5 O l A A A A D s u h D J 2 3 j h w 6 b f t R C F 3 v E U p / q G y N O j 7 T p D D r w N J + Z s L 7 L g o X K Q S n Q Y d g o A 4 y s N q A G B K J Z g n E Z R S h o Z y M i a A H T Z b J f u + X c o Q j 6 M 2 9 k o I / 4 K G U A A A A B m P 2 f T H m j n / e J P / y V G A 4 G 6 W y O A T C v g 9 I k c c q 6 E l j G 7 6 P s a H l g 2 d G Q q K d k F F s 1 O j D L P 7 w 7 S E u H R i u h w c Q 1 y r T M Y < / D a t a M a s h u p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T � b l � z a t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 T � b l � z a t 1 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 T � b l � z a t 1 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 T � b l � z a t 1 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 C o l u m n s \ K i s m a r o s   K � z s � g   � n k o r m � n y z a t a 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 C o l u m n s \ K i s m a r o s   K � z s � g   � n k o r m � n y z a t a 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T � b l � z a t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 K i s m a r o s   K � z s � g   � n k o r m � n y z a t a < / s t r i n g > < / k e y > < v a l u e > < i n t > 2 5 3 < / i n t > < / v a l u e > < / i t e m > < / C o l u m n W i d t h s > < C o l u m n D i s p l a y I n d e x > < i t e m > < k e y > < s t r i n g > K i s m a r o s   K � z s � g   � n k o r m � n y z a t a < / s t r i n g > < / k e y > < v a l u e > < i n t > 0 < / i n t > < / v a l u e > < / i t e m > < / C o l u m n D i s p l a y I n d e x > < C o l u m n F r o z e n   / > < C o l u m n C h e c k e d   / > < C o l u m n F i l t e r > < i t e m > < k e y > < s t r i n g > K i s m a r o s   K � z s � g   � n k o r m � n y z a t a < / s t r i n g > < / k e y > < v a l u e > < F i l t e r E x p r e s s i o n   x s i : n i l = " t r u e "   / > < / v a l u e > < / i t e m > < / C o l u m n F i l t e r > < S e l e c t i o n F i l t e r > < i t e m > < k e y > < s t r i n g > K i s m a r o s   K � z s � g   � n k o r m � n y z a t a < / s t r i n g > < / k e y > < v a l u e > < S e l e c t i o n F i l t e r > < S e l e c t i o n T y p e > D e s e l e c t < / S e l e c t i o n T y p e > < I t e m s > < a n y T y p e   x s i : n i l = " t r u e "   / > < a n y T y p e   x s i : t y p e = " x s d : s t r i n g "   / > < / I t e m s > < / S e l e c t i o n F i l t e r > < / v a l u e > < / i t e m > < / S e l e c t i o n F i l t e r > < F i l t e r P a r a m e t e r s > < i t e m > < k e y > < s t r i n g > K i s m a r o s   K � z s � g   � n k o r m � n y z a t a 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 2 0 2 0 - 1 2 - 2 8 T 2 3 : 4 5 : 2 5 . 5 8 6 3 9 1 4 + 0 1 : 0 0 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 T � b l � z a t 1 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 T � b l � z a t 1 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 C o l u m n s \ K i s m a r o s   K � z s � g   � n k o r m � n y z a t a 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08101E05-41F4-4AFE-8081-9209A0AF67FF}">
  <ds:schemaRefs>
    <ds:schemaRef ds:uri="http://gemini/pivotcustomization/RelationshipAutoDetectionEnabled"/>
  </ds:schemaRefs>
</ds:datastoreItem>
</file>

<file path=customXml/itemProps10.xml><?xml version="1.0" encoding="utf-8"?>
<ds:datastoreItem xmlns:ds="http://schemas.openxmlformats.org/officeDocument/2006/customXml" ds:itemID="{BC251BD0-601F-472F-B896-5594068462CC}">
  <ds:schemaRefs>
    <ds:schemaRef ds:uri="http://gemini/pivotcustomization/TableOrder"/>
  </ds:schemaRefs>
</ds:datastoreItem>
</file>

<file path=customXml/itemProps11.xml><?xml version="1.0" encoding="utf-8"?>
<ds:datastoreItem xmlns:ds="http://schemas.openxmlformats.org/officeDocument/2006/customXml" ds:itemID="{E68276B5-B3CA-4393-A308-9E2341B70274}">
  <ds:schemaRefs>
    <ds:schemaRef ds:uri="http://gemini/pivotcustomization/ShowHidden"/>
  </ds:schemaRefs>
</ds:datastoreItem>
</file>

<file path=customXml/itemProps12.xml><?xml version="1.0" encoding="utf-8"?>
<ds:datastoreItem xmlns:ds="http://schemas.openxmlformats.org/officeDocument/2006/customXml" ds:itemID="{DA7402D9-C61A-4BFE-BC64-D0BABD20CA75}">
  <ds:schemaRefs>
    <ds:schemaRef ds:uri="http://gemini/pivotcustomization/SandboxNonEmpty"/>
  </ds:schemaRefs>
</ds:datastoreItem>
</file>

<file path=customXml/itemProps13.xml><?xml version="1.0" encoding="utf-8"?>
<ds:datastoreItem xmlns:ds="http://schemas.openxmlformats.org/officeDocument/2006/customXml" ds:itemID="{015A408A-1E3A-48DE-8C0A-6CDE9D621B5B}">
  <ds:schemaRefs>
    <ds:schemaRef ds:uri="http://gemini/pivotcustomization/PowerPivotVersion"/>
  </ds:schemaRefs>
</ds:datastoreItem>
</file>

<file path=customXml/itemProps14.xml><?xml version="1.0" encoding="utf-8"?>
<ds:datastoreItem xmlns:ds="http://schemas.openxmlformats.org/officeDocument/2006/customXml" ds:itemID="{5B9BEFA7-64F5-482F-9880-389FD2E9B9A4}">
  <ds:schemaRefs>
    <ds:schemaRef ds:uri="http://gemini/pivotcustomization/FormulaBarState"/>
  </ds:schemaRefs>
</ds:datastoreItem>
</file>

<file path=customXml/itemProps15.xml><?xml version="1.0" encoding="utf-8"?>
<ds:datastoreItem xmlns:ds="http://schemas.openxmlformats.org/officeDocument/2006/customXml" ds:itemID="{15C04F9A-17F9-4C99-BEA0-D7440CCD33BA}">
  <ds:schemaRefs>
    <ds:schemaRef ds:uri="http://gemini/pivotcustomization/ManualCalcMode"/>
  </ds:schemaRefs>
</ds:datastoreItem>
</file>

<file path=customXml/itemProps16.xml><?xml version="1.0" encoding="utf-8"?>
<ds:datastoreItem xmlns:ds="http://schemas.openxmlformats.org/officeDocument/2006/customXml" ds:itemID="{77FFCA53-2F60-4A0F-96EF-FE4B2AABF007}">
  <ds:schemaRefs>
    <ds:schemaRef ds:uri="http://schemas.microsoft.com/DataMashup"/>
  </ds:schemaRefs>
</ds:datastoreItem>
</file>

<file path=customXml/itemProps17.xml><?xml version="1.0" encoding="utf-8"?>
<ds:datastoreItem xmlns:ds="http://schemas.openxmlformats.org/officeDocument/2006/customXml" ds:itemID="{797DC9C0-0EC3-4352-A625-932C4C9BC6A6}">
  <ds:schemaRefs>
    <ds:schemaRef ds:uri="http://gemini/pivotcustomization/ClientWindowXML"/>
  </ds:schemaRefs>
</ds:datastoreItem>
</file>

<file path=customXml/itemProps2.xml><?xml version="1.0" encoding="utf-8"?>
<ds:datastoreItem xmlns:ds="http://schemas.openxmlformats.org/officeDocument/2006/customXml" ds:itemID="{F2B37B83-7DF2-4F47-BA43-E4CE55F8723A}">
  <ds:schemaRefs>
    <ds:schemaRef ds:uri="http://gemini/pivotcustomization/MeasureGridState"/>
  </ds:schemaRefs>
</ds:datastoreItem>
</file>

<file path=customXml/itemProps3.xml><?xml version="1.0" encoding="utf-8"?>
<ds:datastoreItem xmlns:ds="http://schemas.openxmlformats.org/officeDocument/2006/customXml" ds:itemID="{61CE1801-6243-49B0-AC89-426E3F1246BB}">
  <ds:schemaRefs>
    <ds:schemaRef ds:uri="http://gemini/pivotcustomization/Diagrams"/>
  </ds:schemaRefs>
</ds:datastoreItem>
</file>

<file path=customXml/itemProps4.xml><?xml version="1.0" encoding="utf-8"?>
<ds:datastoreItem xmlns:ds="http://schemas.openxmlformats.org/officeDocument/2006/customXml" ds:itemID="{18DDCE2C-2FA6-4049-A822-25F4B5FD8098}">
  <ds:schemaRefs>
    <ds:schemaRef ds:uri="http://gemini/pivotcustomization/IsSandboxEmbedded"/>
  </ds:schemaRefs>
</ds:datastoreItem>
</file>

<file path=customXml/itemProps5.xml><?xml version="1.0" encoding="utf-8"?>
<ds:datastoreItem xmlns:ds="http://schemas.openxmlformats.org/officeDocument/2006/customXml" ds:itemID="{F3D46DB1-4920-4595-8AD2-6F3126C0B041}">
  <ds:schemaRefs>
    <ds:schemaRef ds:uri="http://gemini/pivotcustomization/LinkedTableUpdateMode"/>
  </ds:schemaRefs>
</ds:datastoreItem>
</file>

<file path=customXml/itemProps6.xml><?xml version="1.0" encoding="utf-8"?>
<ds:datastoreItem xmlns:ds="http://schemas.openxmlformats.org/officeDocument/2006/customXml" ds:itemID="{D79438A0-02A6-4202-A7AE-531F68E79214}">
  <ds:schemaRefs>
    <ds:schemaRef ds:uri="http://gemini/pivotcustomization/TableXML_Táblázat1"/>
  </ds:schemaRefs>
</ds:datastoreItem>
</file>

<file path=customXml/itemProps7.xml><?xml version="1.0" encoding="utf-8"?>
<ds:datastoreItem xmlns:ds="http://schemas.openxmlformats.org/officeDocument/2006/customXml" ds:itemID="{190AC8D9-6780-4214-8EC9-A50A0F35FF68}">
  <ds:schemaRefs>
    <ds:schemaRef ds:uri="http://gemini/pivotcustomization/ShowImplicitMeasures"/>
  </ds:schemaRefs>
</ds:datastoreItem>
</file>

<file path=customXml/itemProps8.xml><?xml version="1.0" encoding="utf-8"?>
<ds:datastoreItem xmlns:ds="http://schemas.openxmlformats.org/officeDocument/2006/customXml" ds:itemID="{93B8A9D8-4812-4370-8DA3-85977A3B39DC}">
  <ds:schemaRefs>
    <ds:schemaRef ds:uri="http://gemini/pivotcustomization/ErrorCache"/>
  </ds:schemaRefs>
</ds:datastoreItem>
</file>

<file path=customXml/itemProps9.xml><?xml version="1.0" encoding="utf-8"?>
<ds:datastoreItem xmlns:ds="http://schemas.openxmlformats.org/officeDocument/2006/customXml" ds:itemID="{C1958EE3-8C58-492B-9A5F-4656BA1EA90C}">
  <ds:schemaRefs>
    <ds:schemaRef ds:uri="http://gemini/pivotcustomization/TableWidget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37</vt:i4>
      </vt:variant>
      <vt:variant>
        <vt:lpstr>Névvel ellátott tartományok</vt:lpstr>
      </vt:variant>
      <vt:variant>
        <vt:i4>34</vt:i4>
      </vt:variant>
    </vt:vector>
  </HeadingPairs>
  <TitlesOfParts>
    <vt:vector size="71" baseType="lpstr">
      <vt:lpstr>Index</vt:lpstr>
      <vt:lpstr>PAR</vt:lpstr>
      <vt:lpstr>Info</vt:lpstr>
      <vt:lpstr>Tervezés</vt:lpstr>
      <vt:lpstr>Főkönyvi kivonat</vt:lpstr>
      <vt:lpstr>Részletező</vt:lpstr>
      <vt:lpstr>Cofog</vt:lpstr>
      <vt:lpstr>906MP</vt:lpstr>
      <vt:lpstr>Adat</vt:lpstr>
      <vt:lpstr>Előterjesztés</vt:lpstr>
      <vt:lpstr>Indokolás</vt:lpstr>
      <vt:lpstr>Rendelet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'01'!Nyomtatási_terület</vt:lpstr>
      <vt:lpstr>'02'!Nyomtatási_terület</vt:lpstr>
      <vt:lpstr>'03'!Nyomtatási_terület</vt:lpstr>
      <vt:lpstr>'04'!Nyomtatási_terület</vt:lpstr>
      <vt:lpstr>'05'!Nyomtatási_terület</vt:lpstr>
      <vt:lpstr>'06'!Nyomtatási_terület</vt:lpstr>
      <vt:lpstr>'07'!Nyomtatási_terület</vt:lpstr>
      <vt:lpstr>'08'!Nyomtatási_terület</vt:lpstr>
      <vt:lpstr>'09'!Nyomtatási_terület</vt:lpstr>
      <vt:lpstr>'10'!Nyomtatási_terület</vt:lpstr>
      <vt:lpstr>'11'!Nyomtatási_terület</vt:lpstr>
      <vt:lpstr>'12'!Nyomtatási_terület</vt:lpstr>
      <vt:lpstr>'13'!Nyomtatási_terület</vt:lpstr>
      <vt:lpstr>'14'!Nyomtatási_terület</vt:lpstr>
      <vt:lpstr>'15'!Nyomtatási_terület</vt:lpstr>
      <vt:lpstr>'16'!Nyomtatási_terület</vt:lpstr>
      <vt:lpstr>Cofog!Nyomtatási_terület</vt:lpstr>
      <vt:lpstr>Előterjesztés!Nyomtatási_terület</vt:lpstr>
      <vt:lpstr>'Főkönyvi kivonat'!Nyomtatási_terület</vt:lpstr>
      <vt:lpstr>Index!Nyomtatási_terület</vt:lpstr>
      <vt:lpstr>Indokolás!Nyomtatási_terület</vt:lpstr>
      <vt:lpstr>Info!Nyomtatási_terület</vt:lpstr>
      <vt:lpstr>Rendelet!Nyomtatási_terület</vt:lpstr>
      <vt:lpstr>Részletező!Nyomtatási_terület</vt:lpstr>
      <vt:lpstr>'T1'!Nyomtatási_terület</vt:lpstr>
      <vt:lpstr>'T2'!Nyomtatási_terület</vt:lpstr>
      <vt:lpstr>'T3'!Nyomtatási_terület</vt:lpstr>
      <vt:lpstr>'T4'!Nyomtatási_terület</vt:lpstr>
      <vt:lpstr>'T5'!Nyomtatási_terület</vt:lpstr>
      <vt:lpstr>'T6'!Nyomtatási_terület</vt:lpstr>
      <vt:lpstr>'T7'!Nyomtatási_terület</vt:lpstr>
      <vt:lpstr>'T8'!Nyomtatási_terület</vt:lpstr>
      <vt:lpstr>'T9'!Nyomtatási_terület</vt:lpstr>
      <vt:lpstr>Tervezés!Nyomtatási_terület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Hajdú László</dc:creator>
  <cp:lastModifiedBy>Seres Adrienn</cp:lastModifiedBy>
  <cp:revision/>
  <cp:lastPrinted>2025-08-26T10:10:00Z</cp:lastPrinted>
  <dcterms:created xsi:type="dcterms:W3CDTF">2015-12-30T11:14:08Z</dcterms:created>
  <dcterms:modified xsi:type="dcterms:W3CDTF">2025-08-28T09:41:21Z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1f1c612e-ae5e-4ed0-911f-c09050cca318</vt:lpwstr>
  </property>
</Properties>
</file>